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drawings/drawing4.xml" ContentType="application/vnd.openxmlformats-officedocument.drawing+xml"/>
  <Override PartName="/xl/comments16.xml" ContentType="application/vnd.openxmlformats-officedocument.spreadsheetml.comments+xml"/>
  <Override PartName="/xl/drawings/drawing5.xml" ContentType="application/vnd.openxmlformats-officedocument.drawing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D:\GitHub-OpenSource-Externals+Backups\bierdeckel-automation\Bierdeckel-Test\test_data\"/>
    </mc:Choice>
  </mc:AlternateContent>
  <bookViews>
    <workbookView xWindow="-120" yWindow="-120" windowWidth="25320" windowHeight="11355" tabRatio="937"/>
  </bookViews>
  <sheets>
    <sheet name="Grunddaten" sheetId="29" r:id="rId1"/>
    <sheet name="Unternehmerlohn" sheetId="48" r:id="rId2"/>
    <sheet name="Personalplanung" sheetId="14" r:id="rId3"/>
    <sheet name="Gesamtkostenplanung" sheetId="13" r:id="rId4"/>
    <sheet name="Finanzplanung" sheetId="8" r:id="rId5"/>
    <sheet name="Auftragsplanung" sheetId="15" r:id="rId6"/>
    <sheet name="Monatsplanung" sheetId="16" r:id="rId7"/>
    <sheet name="Mitarbeiterverteilung" sheetId="19" r:id="rId8"/>
    <sheet name="Bestandsveränderungen Aktuell" sheetId="7" r:id="rId9"/>
    <sheet name="Bestandsveränderungen Vorjahr" sheetId="63" r:id="rId10"/>
    <sheet name="Planzahlen Rentabilität" sheetId="5" r:id="rId11"/>
    <sheet name="Planzahlen Liquidität" sheetId="62" r:id="rId12"/>
    <sheet name="Plan Renta+Liqui (Druck Monat)" sheetId="68" r:id="rId13"/>
    <sheet name="Kostenverteilung" sheetId="17" r:id="rId14"/>
    <sheet name="Bierdeckel Kalkulation" sheetId="64" r:id="rId15"/>
    <sheet name="Kreditrechner" sheetId="6" r:id="rId16"/>
    <sheet name="Struktur Aktuell" sheetId="31" r:id="rId17"/>
    <sheet name="Struktur Vorjahr" sheetId="49" r:id="rId18"/>
    <sheet name="Ist Aktuell Monat 01" sheetId="32" r:id="rId19"/>
    <sheet name="Ist Aktuell Monat 02" sheetId="33" r:id="rId20"/>
    <sheet name="Ist Aktuell Monat 03" sheetId="34" r:id="rId21"/>
    <sheet name="Ist Aktuell Monat 04" sheetId="35" r:id="rId22"/>
    <sheet name="Ist Aktuell Monat 05" sheetId="36" r:id="rId23"/>
    <sheet name="Ist Aktuell Monat 06" sheetId="37" r:id="rId24"/>
    <sheet name="Ist Aktuell Monat 07" sheetId="38" r:id="rId25"/>
    <sheet name="Ist Aktuell Monat 08" sheetId="39" r:id="rId26"/>
    <sheet name="Ist Aktuell Monat 09" sheetId="40" r:id="rId27"/>
    <sheet name="Ist Aktuell Monat 10" sheetId="41" r:id="rId28"/>
    <sheet name="Ist Aktuell Monat 11" sheetId="42" r:id="rId29"/>
    <sheet name="Ist Aktuell Monat 12" sheetId="43" r:id="rId30"/>
    <sheet name="Ist Vorjahr Monat 01" sheetId="50" r:id="rId31"/>
    <sheet name="Ist Vorjahr Monat 02" sheetId="51" r:id="rId32"/>
    <sheet name="Ist Vorjahr Monat 03" sheetId="52" r:id="rId33"/>
    <sheet name="Ist Vorjahr Monat 04" sheetId="53" r:id="rId34"/>
    <sheet name="Ist Vorjahr Monat 05" sheetId="54" r:id="rId35"/>
    <sheet name="Ist Vorjahr Monat 06" sheetId="55" r:id="rId36"/>
    <sheet name="Ist Vorjahr Monat 07" sheetId="56" r:id="rId37"/>
    <sheet name="Ist Vorjahr Monat 08" sheetId="57" r:id="rId38"/>
    <sheet name="Ist Vorjahr Monat 09" sheetId="58" r:id="rId39"/>
    <sheet name="Ist Vorjahr Monat 10" sheetId="59" r:id="rId40"/>
    <sheet name="Ist Vorjahr Monat 11" sheetId="60" r:id="rId41"/>
    <sheet name="Ist Vorjahr Monat 12" sheetId="61" r:id="rId42"/>
    <sheet name="Grafiken" sheetId="45" r:id="rId43"/>
    <sheet name="Liqui-Cockpit" sheetId="44" r:id="rId44"/>
    <sheet name="Kommentare" sheetId="30" r:id="rId45"/>
    <sheet name="Stundencontrolling" sheetId="4" r:id="rId46"/>
    <sheet name="BAB-PC1" sheetId="18" r:id="rId47"/>
    <sheet name="BAB-PC2" sheetId="21" r:id="rId48"/>
    <sheet name="BAB-PC3" sheetId="22" r:id="rId49"/>
    <sheet name="BAB-PC4" sheetId="23" r:id="rId50"/>
    <sheet name="BAB-PC5" sheetId="24" r:id="rId51"/>
    <sheet name="BAB-PC6" sheetId="25" r:id="rId52"/>
    <sheet name="BAB-PC7" sheetId="26" r:id="rId53"/>
    <sheet name="DB I + DB II pro LC" sheetId="20" r:id="rId54"/>
    <sheet name="BAB-Vorlage Vorkalk." sheetId="28" r:id="rId55"/>
    <sheet name="Vorkalkulation" sheetId="27" r:id="rId56"/>
    <sheet name="Kennzahlen" sheetId="12" r:id="rId57"/>
    <sheet name="UN-Lohn" sheetId="11" r:id="rId5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4" i="13" l="1"/>
  <c r="D37" i="13" l="1"/>
  <c r="D38" i="13"/>
  <c r="D39" i="13"/>
  <c r="D17" i="13"/>
  <c r="D11" i="13"/>
  <c r="D7" i="7" l="1"/>
  <c r="B22" i="11" l="1"/>
  <c r="B7" i="11"/>
  <c r="B5" i="11"/>
  <c r="B4" i="11"/>
  <c r="C97" i="28"/>
  <c r="C95" i="28"/>
  <c r="I80" i="28"/>
  <c r="F80" i="28"/>
  <c r="C60" i="28"/>
  <c r="E13" i="28" s="1"/>
  <c r="C58" i="28"/>
  <c r="O50" i="28"/>
  <c r="F50" i="28" s="1"/>
  <c r="M50" i="28"/>
  <c r="G50" i="28" s="1"/>
  <c r="L50" i="28"/>
  <c r="K50" i="28"/>
  <c r="J50" i="28"/>
  <c r="D50" i="28" s="1"/>
  <c r="E50" i="28"/>
  <c r="M48" i="28"/>
  <c r="L48" i="28"/>
  <c r="K48" i="28"/>
  <c r="J48" i="28"/>
  <c r="B48" i="28"/>
  <c r="C48" i="28" s="1"/>
  <c r="M46" i="28"/>
  <c r="L46" i="28"/>
  <c r="K46" i="28"/>
  <c r="J46" i="28"/>
  <c r="B46" i="28"/>
  <c r="C46" i="28" s="1"/>
  <c r="M44" i="28"/>
  <c r="L44" i="28"/>
  <c r="K44" i="28"/>
  <c r="J44" i="28"/>
  <c r="B44" i="28"/>
  <c r="C44" i="28" s="1"/>
  <c r="O44" i="28" s="1"/>
  <c r="M42" i="28"/>
  <c r="L42" i="28"/>
  <c r="K42" i="28"/>
  <c r="J42" i="28"/>
  <c r="B42" i="28"/>
  <c r="C42" i="28" s="1"/>
  <c r="O42" i="28" s="1"/>
  <c r="C33" i="28"/>
  <c r="C32" i="28"/>
  <c r="C31" i="28"/>
  <c r="C30" i="28"/>
  <c r="E16" i="28" s="1"/>
  <c r="C29" i="28"/>
  <c r="H28" i="28"/>
  <c r="G28" i="28"/>
  <c r="F28" i="28"/>
  <c r="E28" i="28"/>
  <c r="D28" i="28"/>
  <c r="E22" i="28"/>
  <c r="A122" i="20"/>
  <c r="C106" i="20" s="1"/>
  <c r="D106" i="20" s="1"/>
  <c r="A121" i="20"/>
  <c r="C89" i="20" s="1"/>
  <c r="D89" i="20" s="1"/>
  <c r="A120" i="20"/>
  <c r="C70" i="20" s="1"/>
  <c r="D70" i="20" s="1"/>
  <c r="A119" i="20"/>
  <c r="C57" i="20" s="1"/>
  <c r="A118" i="20"/>
  <c r="C41" i="20" s="1"/>
  <c r="A117" i="20"/>
  <c r="A116" i="20"/>
  <c r="N110" i="20"/>
  <c r="F110" i="20"/>
  <c r="N108" i="20"/>
  <c r="F108" i="20"/>
  <c r="N106" i="20"/>
  <c r="F106" i="20"/>
  <c r="N105" i="20"/>
  <c r="F105" i="20"/>
  <c r="M104" i="20"/>
  <c r="L104" i="20"/>
  <c r="L107" i="20" s="1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N103" i="20"/>
  <c r="F103" i="20"/>
  <c r="D103" i="20"/>
  <c r="N102" i="20"/>
  <c r="F102" i="20"/>
  <c r="B100" i="20"/>
  <c r="N94" i="20"/>
  <c r="F94" i="20"/>
  <c r="N92" i="20"/>
  <c r="F92" i="20"/>
  <c r="N90" i="20"/>
  <c r="F90" i="20"/>
  <c r="C90" i="20"/>
  <c r="D90" i="20" s="1"/>
  <c r="N89" i="20"/>
  <c r="F89" i="20"/>
  <c r="M88" i="20"/>
  <c r="M91" i="20" s="1"/>
  <c r="L88" i="20"/>
  <c r="L91" i="20" s="1"/>
  <c r="L93" i="20" s="1"/>
  <c r="AP87" i="20"/>
  <c r="AO87" i="20"/>
  <c r="AN87" i="20"/>
  <c r="AM87" i="20"/>
  <c r="AL87" i="20"/>
  <c r="AK87" i="20"/>
  <c r="AJ87" i="20"/>
  <c r="AI87" i="20"/>
  <c r="AH87" i="20"/>
  <c r="AG87" i="20"/>
  <c r="AF87" i="20"/>
  <c r="AE87" i="20"/>
  <c r="N87" i="20"/>
  <c r="F87" i="20"/>
  <c r="D87" i="20"/>
  <c r="N86" i="20"/>
  <c r="F86" i="20"/>
  <c r="C86" i="20"/>
  <c r="D86" i="20" s="1"/>
  <c r="B84" i="20"/>
  <c r="N78" i="20"/>
  <c r="F78" i="20"/>
  <c r="N76" i="20"/>
  <c r="F76" i="20"/>
  <c r="N74" i="20"/>
  <c r="F74" i="20"/>
  <c r="C74" i="20"/>
  <c r="D74" i="20" s="1"/>
  <c r="N73" i="20"/>
  <c r="F73" i="20"/>
  <c r="C73" i="20"/>
  <c r="D73" i="20" s="1"/>
  <c r="M72" i="20"/>
  <c r="L72" i="20"/>
  <c r="L75" i="20" s="1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N71" i="20"/>
  <c r="F71" i="20"/>
  <c r="D71" i="20"/>
  <c r="N70" i="20"/>
  <c r="F70" i="20"/>
  <c r="B68" i="20"/>
  <c r="N62" i="20"/>
  <c r="F62" i="20"/>
  <c r="N60" i="20"/>
  <c r="F60" i="20"/>
  <c r="N58" i="20"/>
  <c r="F58" i="20"/>
  <c r="N57" i="20"/>
  <c r="F57" i="20"/>
  <c r="M56" i="20"/>
  <c r="M59" i="20" s="1"/>
  <c r="L56" i="20"/>
  <c r="L59" i="20" s="1"/>
  <c r="L63" i="20" s="1"/>
  <c r="L64" i="20" s="1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N55" i="20"/>
  <c r="F55" i="20"/>
  <c r="D55" i="20"/>
  <c r="N54" i="20"/>
  <c r="F54" i="20"/>
  <c r="B52" i="20"/>
  <c r="N46" i="20"/>
  <c r="F46" i="20"/>
  <c r="N44" i="20"/>
  <c r="F44" i="20"/>
  <c r="N42" i="20"/>
  <c r="F42" i="20"/>
  <c r="N41" i="20"/>
  <c r="F41" i="20"/>
  <c r="M40" i="20"/>
  <c r="M43" i="20" s="1"/>
  <c r="M47" i="20" s="1"/>
  <c r="L40" i="20"/>
  <c r="L43" i="20" s="1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N39" i="20"/>
  <c r="F39" i="20"/>
  <c r="D39" i="20"/>
  <c r="N38" i="20"/>
  <c r="F38" i="20"/>
  <c r="B36" i="20"/>
  <c r="N30" i="20"/>
  <c r="F30" i="20"/>
  <c r="N28" i="20"/>
  <c r="F28" i="20"/>
  <c r="N26" i="20"/>
  <c r="F26" i="20"/>
  <c r="C26" i="20"/>
  <c r="D26" i="20" s="1"/>
  <c r="N25" i="20"/>
  <c r="F25" i="20"/>
  <c r="C25" i="20"/>
  <c r="D25" i="20" s="1"/>
  <c r="M24" i="20"/>
  <c r="M27" i="20" s="1"/>
  <c r="L24" i="20"/>
  <c r="L27" i="20" s="1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N23" i="20"/>
  <c r="F23" i="20"/>
  <c r="D23" i="20"/>
  <c r="N22" i="20"/>
  <c r="F22" i="20"/>
  <c r="C22" i="20"/>
  <c r="D22" i="20" s="1"/>
  <c r="B20" i="20"/>
  <c r="N14" i="20"/>
  <c r="F14" i="20"/>
  <c r="N12" i="20"/>
  <c r="F12" i="20"/>
  <c r="N10" i="20"/>
  <c r="F10" i="20"/>
  <c r="N9" i="20"/>
  <c r="F9" i="20"/>
  <c r="M8" i="20"/>
  <c r="M11" i="20" s="1"/>
  <c r="L8" i="20"/>
  <c r="L11" i="20" s="1"/>
  <c r="AP7" i="20"/>
  <c r="AO7" i="20"/>
  <c r="AN7" i="20"/>
  <c r="AM7" i="20"/>
  <c r="AL7" i="20"/>
  <c r="AK7" i="20"/>
  <c r="AJ7" i="20"/>
  <c r="AI7" i="20"/>
  <c r="AH7" i="20"/>
  <c r="AG7" i="20"/>
  <c r="AF7" i="20"/>
  <c r="AE7" i="20"/>
  <c r="N7" i="20"/>
  <c r="F7" i="20"/>
  <c r="D7" i="20"/>
  <c r="N6" i="20"/>
  <c r="F6" i="20"/>
  <c r="B4" i="20"/>
  <c r="B1" i="20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H89" i="26"/>
  <c r="K88" i="26"/>
  <c r="H88" i="26"/>
  <c r="K87" i="26"/>
  <c r="H87" i="26"/>
  <c r="K86" i="26"/>
  <c r="H86" i="26"/>
  <c r="K85" i="26"/>
  <c r="H85" i="26"/>
  <c r="K84" i="26"/>
  <c r="H84" i="26"/>
  <c r="K83" i="26"/>
  <c r="H83" i="26"/>
  <c r="K82" i="26"/>
  <c r="H82" i="26"/>
  <c r="K81" i="26"/>
  <c r="H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K53" i="26"/>
  <c r="H53" i="26"/>
  <c r="K52" i="26"/>
  <c r="H52" i="26"/>
  <c r="K51" i="26"/>
  <c r="H51" i="26"/>
  <c r="K50" i="26"/>
  <c r="H50" i="26"/>
  <c r="K49" i="26"/>
  <c r="H49" i="26"/>
  <c r="K48" i="26"/>
  <c r="H48" i="26"/>
  <c r="K47" i="26"/>
  <c r="H47" i="26"/>
  <c r="K46" i="26"/>
  <c r="H46" i="26"/>
  <c r="K45" i="26"/>
  <c r="H45" i="26"/>
  <c r="K44" i="26"/>
  <c r="H44" i="26"/>
  <c r="K43" i="26"/>
  <c r="H43" i="26"/>
  <c r="K42" i="26"/>
  <c r="H42" i="26"/>
  <c r="K41" i="26"/>
  <c r="H41" i="26"/>
  <c r="K40" i="26"/>
  <c r="H40" i="26"/>
  <c r="K39" i="26"/>
  <c r="H39" i="26"/>
  <c r="K38" i="26"/>
  <c r="H38" i="26"/>
  <c r="K37" i="26"/>
  <c r="H37" i="26"/>
  <c r="K36" i="26"/>
  <c r="H36" i="26"/>
  <c r="K35" i="26"/>
  <c r="H35" i="26"/>
  <c r="K34" i="26"/>
  <c r="H34" i="26"/>
  <c r="K33" i="26"/>
  <c r="H33" i="26"/>
  <c r="K32" i="26"/>
  <c r="H32" i="26"/>
  <c r="K31" i="26"/>
  <c r="H31" i="26"/>
  <c r="K30" i="26"/>
  <c r="H30" i="26"/>
  <c r="K29" i="26"/>
  <c r="H29" i="26"/>
  <c r="K28" i="26"/>
  <c r="H28" i="26"/>
  <c r="K27" i="26"/>
  <c r="H27" i="26"/>
  <c r="K26" i="26"/>
  <c r="H26" i="26"/>
  <c r="K25" i="26"/>
  <c r="H25" i="26"/>
  <c r="K24" i="26"/>
  <c r="H24" i="26"/>
  <c r="K23" i="26"/>
  <c r="H23" i="26"/>
  <c r="K22" i="26"/>
  <c r="H22" i="26"/>
  <c r="K21" i="26"/>
  <c r="H21" i="26"/>
  <c r="E18" i="26"/>
  <c r="H18" i="26" s="1"/>
  <c r="B18" i="26"/>
  <c r="E17" i="26"/>
  <c r="H17" i="26" s="1"/>
  <c r="B17" i="26"/>
  <c r="E15" i="26"/>
  <c r="H15" i="26" s="1"/>
  <c r="E14" i="26"/>
  <c r="H14" i="26" s="1"/>
  <c r="E13" i="26"/>
  <c r="H13" i="26" s="1"/>
  <c r="E12" i="26"/>
  <c r="K12" i="26" s="1"/>
  <c r="E11" i="26"/>
  <c r="K11" i="26" s="1"/>
  <c r="E10" i="26"/>
  <c r="K10" i="26" s="1"/>
  <c r="E9" i="26"/>
  <c r="K9" i="26" s="1"/>
  <c r="E8" i="26"/>
  <c r="K8" i="26" s="1"/>
  <c r="H7" i="26"/>
  <c r="E7" i="26"/>
  <c r="K7" i="26" s="1"/>
  <c r="E6" i="26"/>
  <c r="K6" i="26" s="1"/>
  <c r="E5" i="26"/>
  <c r="K5" i="26" s="1"/>
  <c r="E4" i="26"/>
  <c r="K4" i="26" s="1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H89" i="25"/>
  <c r="K88" i="25"/>
  <c r="H88" i="25"/>
  <c r="K87" i="25"/>
  <c r="H87" i="25"/>
  <c r="K86" i="25"/>
  <c r="H86" i="25"/>
  <c r="K85" i="25"/>
  <c r="H85" i="25"/>
  <c r="K84" i="25"/>
  <c r="H84" i="25"/>
  <c r="K83" i="25"/>
  <c r="H83" i="25"/>
  <c r="K82" i="25"/>
  <c r="H82" i="25"/>
  <c r="K81" i="25"/>
  <c r="H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K53" i="25"/>
  <c r="H53" i="25"/>
  <c r="K52" i="25"/>
  <c r="H52" i="25"/>
  <c r="K51" i="25"/>
  <c r="H51" i="25"/>
  <c r="K50" i="25"/>
  <c r="H50" i="25"/>
  <c r="K49" i="25"/>
  <c r="H49" i="25"/>
  <c r="K48" i="25"/>
  <c r="H48" i="25"/>
  <c r="K47" i="25"/>
  <c r="H47" i="25"/>
  <c r="K46" i="25"/>
  <c r="H46" i="25"/>
  <c r="K45" i="25"/>
  <c r="H45" i="25"/>
  <c r="K44" i="25"/>
  <c r="H44" i="25"/>
  <c r="K43" i="25"/>
  <c r="H43" i="25"/>
  <c r="K42" i="25"/>
  <c r="H42" i="25"/>
  <c r="K41" i="25"/>
  <c r="H41" i="25"/>
  <c r="K40" i="25"/>
  <c r="H40" i="25"/>
  <c r="K39" i="25"/>
  <c r="H39" i="25"/>
  <c r="K38" i="25"/>
  <c r="H38" i="25"/>
  <c r="K37" i="25"/>
  <c r="H37" i="25"/>
  <c r="K36" i="25"/>
  <c r="H36" i="25"/>
  <c r="K35" i="25"/>
  <c r="H35" i="25"/>
  <c r="K34" i="25"/>
  <c r="H34" i="25"/>
  <c r="K33" i="25"/>
  <c r="H33" i="25"/>
  <c r="K32" i="25"/>
  <c r="H32" i="25"/>
  <c r="K31" i="25"/>
  <c r="H31" i="25"/>
  <c r="K30" i="25"/>
  <c r="H30" i="25"/>
  <c r="K29" i="25"/>
  <c r="H29" i="25"/>
  <c r="K28" i="25"/>
  <c r="H28" i="25"/>
  <c r="K27" i="25"/>
  <c r="H27" i="25"/>
  <c r="K26" i="25"/>
  <c r="H26" i="25"/>
  <c r="K25" i="25"/>
  <c r="H25" i="25"/>
  <c r="K24" i="25"/>
  <c r="H24" i="25"/>
  <c r="K23" i="25"/>
  <c r="H23" i="25"/>
  <c r="K22" i="25"/>
  <c r="H22" i="25"/>
  <c r="K21" i="25"/>
  <c r="H21" i="25"/>
  <c r="E18" i="25"/>
  <c r="H18" i="25" s="1"/>
  <c r="B18" i="25"/>
  <c r="E17" i="25"/>
  <c r="H17" i="25" s="1"/>
  <c r="B17" i="25"/>
  <c r="E15" i="25"/>
  <c r="H15" i="25" s="1"/>
  <c r="E14" i="25"/>
  <c r="H14" i="25" s="1"/>
  <c r="E13" i="25"/>
  <c r="K13" i="25" s="1"/>
  <c r="E12" i="25"/>
  <c r="K12" i="25" s="1"/>
  <c r="H11" i="25"/>
  <c r="E11" i="25"/>
  <c r="K11" i="25" s="1"/>
  <c r="E10" i="25"/>
  <c r="K10" i="25" s="1"/>
  <c r="H9" i="25"/>
  <c r="E9" i="25"/>
  <c r="K9" i="25" s="1"/>
  <c r="E8" i="25"/>
  <c r="K8" i="25" s="1"/>
  <c r="E7" i="25"/>
  <c r="K7" i="25" s="1"/>
  <c r="E6" i="25"/>
  <c r="K6" i="25" s="1"/>
  <c r="E5" i="25"/>
  <c r="K5" i="25" s="1"/>
  <c r="E4" i="25"/>
  <c r="K4" i="25" s="1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H89" i="24"/>
  <c r="K88" i="24"/>
  <c r="H88" i="24"/>
  <c r="K87" i="24"/>
  <c r="H87" i="24"/>
  <c r="K86" i="24"/>
  <c r="H86" i="24"/>
  <c r="K85" i="24"/>
  <c r="H85" i="24"/>
  <c r="K84" i="24"/>
  <c r="H84" i="24"/>
  <c r="K83" i="24"/>
  <c r="H83" i="24"/>
  <c r="K82" i="24"/>
  <c r="H82" i="24"/>
  <c r="K81" i="24"/>
  <c r="H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K53" i="24"/>
  <c r="H53" i="24"/>
  <c r="K52" i="24"/>
  <c r="H52" i="24"/>
  <c r="K51" i="24"/>
  <c r="H51" i="24"/>
  <c r="K50" i="24"/>
  <c r="H50" i="24"/>
  <c r="K49" i="24"/>
  <c r="H49" i="24"/>
  <c r="K48" i="24"/>
  <c r="H48" i="24"/>
  <c r="K47" i="24"/>
  <c r="H47" i="24"/>
  <c r="K46" i="24"/>
  <c r="H46" i="24"/>
  <c r="K45" i="24"/>
  <c r="H45" i="24"/>
  <c r="K44" i="24"/>
  <c r="H44" i="24"/>
  <c r="K43" i="24"/>
  <c r="H43" i="24"/>
  <c r="K42" i="24"/>
  <c r="H42" i="24"/>
  <c r="K41" i="24"/>
  <c r="H41" i="24"/>
  <c r="K40" i="24"/>
  <c r="H40" i="24"/>
  <c r="K39" i="24"/>
  <c r="H39" i="24"/>
  <c r="K38" i="24"/>
  <c r="H38" i="24"/>
  <c r="K37" i="24"/>
  <c r="H37" i="24"/>
  <c r="K36" i="24"/>
  <c r="H36" i="24"/>
  <c r="K35" i="24"/>
  <c r="H35" i="24"/>
  <c r="K34" i="24"/>
  <c r="H34" i="24"/>
  <c r="K33" i="24"/>
  <c r="H33" i="24"/>
  <c r="K32" i="24"/>
  <c r="H32" i="24"/>
  <c r="K31" i="24"/>
  <c r="H31" i="24"/>
  <c r="K30" i="24"/>
  <c r="H30" i="24"/>
  <c r="K29" i="24"/>
  <c r="H29" i="24"/>
  <c r="K28" i="24"/>
  <c r="H28" i="24"/>
  <c r="K27" i="24"/>
  <c r="H27" i="24"/>
  <c r="K26" i="24"/>
  <c r="H26" i="24"/>
  <c r="K25" i="24"/>
  <c r="H25" i="24"/>
  <c r="K24" i="24"/>
  <c r="H24" i="24"/>
  <c r="K23" i="24"/>
  <c r="H23" i="24"/>
  <c r="K22" i="24"/>
  <c r="H22" i="24"/>
  <c r="K21" i="24"/>
  <c r="H21" i="24"/>
  <c r="E18" i="24"/>
  <c r="H18" i="24" s="1"/>
  <c r="B18" i="24"/>
  <c r="E17" i="24"/>
  <c r="H17" i="24" s="1"/>
  <c r="B17" i="24"/>
  <c r="E15" i="24"/>
  <c r="K15" i="24" s="1"/>
  <c r="E14" i="24"/>
  <c r="K14" i="24" s="1"/>
  <c r="E13" i="24"/>
  <c r="K13" i="24" s="1"/>
  <c r="E12" i="24"/>
  <c r="K12" i="24" s="1"/>
  <c r="E11" i="24"/>
  <c r="K11" i="24" s="1"/>
  <c r="E10" i="24"/>
  <c r="K10" i="24" s="1"/>
  <c r="E9" i="24"/>
  <c r="K9" i="24" s="1"/>
  <c r="E8" i="24"/>
  <c r="K8" i="24" s="1"/>
  <c r="E7" i="24"/>
  <c r="K7" i="24" s="1"/>
  <c r="E6" i="24"/>
  <c r="K6" i="24" s="1"/>
  <c r="E5" i="24"/>
  <c r="K5" i="24" s="1"/>
  <c r="E4" i="24"/>
  <c r="K4" i="24" s="1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H90" i="23"/>
  <c r="K89" i="23"/>
  <c r="H89" i="23"/>
  <c r="K88" i="23"/>
  <c r="H88" i="23"/>
  <c r="K87" i="23"/>
  <c r="H87" i="23"/>
  <c r="K86" i="23"/>
  <c r="H86" i="23"/>
  <c r="K85" i="23"/>
  <c r="H85" i="23"/>
  <c r="K84" i="23"/>
  <c r="H84" i="23"/>
  <c r="K83" i="23"/>
  <c r="H83" i="23"/>
  <c r="K82" i="23"/>
  <c r="H82" i="23"/>
  <c r="K81" i="23"/>
  <c r="H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K53" i="23"/>
  <c r="H53" i="23"/>
  <c r="K52" i="23"/>
  <c r="H52" i="23"/>
  <c r="K51" i="23"/>
  <c r="H51" i="23"/>
  <c r="K50" i="23"/>
  <c r="H50" i="23"/>
  <c r="K49" i="23"/>
  <c r="H49" i="23"/>
  <c r="K48" i="23"/>
  <c r="H48" i="23"/>
  <c r="K47" i="23"/>
  <c r="H47" i="23"/>
  <c r="K46" i="23"/>
  <c r="H46" i="23"/>
  <c r="K45" i="23"/>
  <c r="H45" i="23"/>
  <c r="K44" i="23"/>
  <c r="H44" i="23"/>
  <c r="K43" i="23"/>
  <c r="H43" i="23"/>
  <c r="K42" i="23"/>
  <c r="H42" i="23"/>
  <c r="K41" i="23"/>
  <c r="H41" i="23"/>
  <c r="K40" i="23"/>
  <c r="H40" i="23"/>
  <c r="K39" i="23"/>
  <c r="H39" i="23"/>
  <c r="K38" i="23"/>
  <c r="H38" i="23"/>
  <c r="K37" i="23"/>
  <c r="H37" i="23"/>
  <c r="K36" i="23"/>
  <c r="H36" i="23"/>
  <c r="K35" i="23"/>
  <c r="H35" i="23"/>
  <c r="K34" i="23"/>
  <c r="H34" i="23"/>
  <c r="K33" i="23"/>
  <c r="H33" i="23"/>
  <c r="K32" i="23"/>
  <c r="H32" i="23"/>
  <c r="K31" i="23"/>
  <c r="H31" i="23"/>
  <c r="K30" i="23"/>
  <c r="H30" i="23"/>
  <c r="K29" i="23"/>
  <c r="H29" i="23"/>
  <c r="K28" i="23"/>
  <c r="H28" i="23"/>
  <c r="K27" i="23"/>
  <c r="H27" i="23"/>
  <c r="K26" i="23"/>
  <c r="H26" i="23"/>
  <c r="K25" i="23"/>
  <c r="H25" i="23"/>
  <c r="K24" i="23"/>
  <c r="H24" i="23"/>
  <c r="K23" i="23"/>
  <c r="H23" i="23"/>
  <c r="K22" i="23"/>
  <c r="H22" i="23"/>
  <c r="K21" i="23"/>
  <c r="H21" i="23"/>
  <c r="E18" i="23"/>
  <c r="H18" i="23" s="1"/>
  <c r="B18" i="23"/>
  <c r="E17" i="23"/>
  <c r="H17" i="23" s="1"/>
  <c r="B17" i="23"/>
  <c r="E15" i="23"/>
  <c r="H15" i="23" s="1"/>
  <c r="E14" i="23"/>
  <c r="H14" i="23" s="1"/>
  <c r="E13" i="23"/>
  <c r="K13" i="23" s="1"/>
  <c r="H12" i="23"/>
  <c r="E12" i="23"/>
  <c r="K12" i="23" s="1"/>
  <c r="E11" i="23"/>
  <c r="K11" i="23" s="1"/>
  <c r="E10" i="23"/>
  <c r="K10" i="23" s="1"/>
  <c r="E9" i="23"/>
  <c r="K9" i="23" s="1"/>
  <c r="E8" i="23"/>
  <c r="K8" i="23" s="1"/>
  <c r="E7" i="23"/>
  <c r="K7" i="23" s="1"/>
  <c r="E6" i="23"/>
  <c r="K6" i="23" s="1"/>
  <c r="E5" i="23"/>
  <c r="K5" i="23" s="1"/>
  <c r="E4" i="23"/>
  <c r="K4" i="23" s="1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85" i="22"/>
  <c r="H85" i="22"/>
  <c r="K84" i="22"/>
  <c r="H84" i="22"/>
  <c r="K83" i="22"/>
  <c r="H83" i="22"/>
  <c r="K82" i="22"/>
  <c r="H82" i="22"/>
  <c r="K81" i="22"/>
  <c r="H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43" i="22"/>
  <c r="H43" i="22"/>
  <c r="K42" i="22"/>
  <c r="H42" i="22"/>
  <c r="K41" i="22"/>
  <c r="H41" i="22"/>
  <c r="K40" i="22"/>
  <c r="H40" i="22"/>
  <c r="K39" i="22"/>
  <c r="H39" i="22"/>
  <c r="K38" i="22"/>
  <c r="H38" i="22"/>
  <c r="K37" i="22"/>
  <c r="H37" i="22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22" i="22"/>
  <c r="H22" i="22"/>
  <c r="K21" i="22"/>
  <c r="H21" i="22"/>
  <c r="E18" i="22"/>
  <c r="H18" i="22" s="1"/>
  <c r="B18" i="22"/>
  <c r="E17" i="22"/>
  <c r="K17" i="22" s="1"/>
  <c r="B17" i="22"/>
  <c r="E15" i="22"/>
  <c r="K15" i="22" s="1"/>
  <c r="E14" i="22"/>
  <c r="K14" i="22" s="1"/>
  <c r="E13" i="22"/>
  <c r="K13" i="22" s="1"/>
  <c r="E12" i="22"/>
  <c r="K12" i="22" s="1"/>
  <c r="E11" i="22"/>
  <c r="K11" i="22" s="1"/>
  <c r="E10" i="22"/>
  <c r="K10" i="22" s="1"/>
  <c r="E9" i="22"/>
  <c r="K9" i="22" s="1"/>
  <c r="E8" i="22"/>
  <c r="K8" i="22" s="1"/>
  <c r="E7" i="22"/>
  <c r="K7" i="22" s="1"/>
  <c r="E6" i="22"/>
  <c r="K6" i="22" s="1"/>
  <c r="E5" i="22"/>
  <c r="K5" i="22" s="1"/>
  <c r="E4" i="22"/>
  <c r="K4" i="22" s="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1" i="21"/>
  <c r="H21" i="21"/>
  <c r="E18" i="21"/>
  <c r="K18" i="21" s="1"/>
  <c r="B18" i="21"/>
  <c r="E17" i="21"/>
  <c r="K17" i="21" s="1"/>
  <c r="B17" i="21"/>
  <c r="E15" i="21"/>
  <c r="K15" i="21" s="1"/>
  <c r="E14" i="21"/>
  <c r="K14" i="21" s="1"/>
  <c r="E13" i="21"/>
  <c r="K13" i="21" s="1"/>
  <c r="E12" i="21"/>
  <c r="K12" i="21" s="1"/>
  <c r="E11" i="21"/>
  <c r="K11" i="21" s="1"/>
  <c r="E10" i="21"/>
  <c r="K10" i="21" s="1"/>
  <c r="E9" i="21"/>
  <c r="K9" i="21" s="1"/>
  <c r="E8" i="21"/>
  <c r="K8" i="21" s="1"/>
  <c r="E7" i="21"/>
  <c r="K7" i="21" s="1"/>
  <c r="E6" i="21"/>
  <c r="K6" i="21" s="1"/>
  <c r="E5" i="21"/>
  <c r="K5" i="21" s="1"/>
  <c r="E4" i="21"/>
  <c r="K4" i="21" s="1"/>
  <c r="Y10" i="12"/>
  <c r="W10" i="12"/>
  <c r="U10" i="12"/>
  <c r="S10" i="12"/>
  <c r="Q10" i="12"/>
  <c r="O10" i="12"/>
  <c r="M10" i="12"/>
  <c r="K10" i="12"/>
  <c r="I10" i="12"/>
  <c r="G10" i="12"/>
  <c r="E10" i="12"/>
  <c r="C10" i="12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E18" i="18"/>
  <c r="H18" i="18" s="1"/>
  <c r="B18" i="18"/>
  <c r="E17" i="18"/>
  <c r="H17" i="18" s="1"/>
  <c r="B17" i="18"/>
  <c r="E15" i="18"/>
  <c r="K15" i="18" s="1"/>
  <c r="E14" i="18"/>
  <c r="K14" i="18" s="1"/>
  <c r="E13" i="18"/>
  <c r="K13" i="18" s="1"/>
  <c r="E12" i="18"/>
  <c r="K12" i="18" s="1"/>
  <c r="E11" i="18"/>
  <c r="K11" i="18" s="1"/>
  <c r="E10" i="18"/>
  <c r="K10" i="18" s="1"/>
  <c r="E9" i="18"/>
  <c r="K9" i="18" s="1"/>
  <c r="E8" i="18"/>
  <c r="K8" i="18" s="1"/>
  <c r="E7" i="18"/>
  <c r="K7" i="18" s="1"/>
  <c r="E6" i="18"/>
  <c r="K6" i="18" s="1"/>
  <c r="E5" i="18"/>
  <c r="K5" i="18" s="1"/>
  <c r="E4" i="18"/>
  <c r="K4" i="18" s="1"/>
  <c r="AK1354" i="4"/>
  <c r="AF1354" i="4"/>
  <c r="AK1353" i="4"/>
  <c r="AF1353" i="4"/>
  <c r="AK1352" i="4"/>
  <c r="AF1352" i="4"/>
  <c r="AK1351" i="4"/>
  <c r="AF1351" i="4"/>
  <c r="AK1350" i="4"/>
  <c r="AF1350" i="4"/>
  <c r="AK1349" i="4"/>
  <c r="AF1349" i="4"/>
  <c r="AK1348" i="4"/>
  <c r="AF1348" i="4"/>
  <c r="AK1347" i="4"/>
  <c r="AF1347" i="4"/>
  <c r="AK1346" i="4"/>
  <c r="AH1346" i="4" s="1"/>
  <c r="AF1346" i="4"/>
  <c r="AK1345" i="4"/>
  <c r="AF1345" i="4"/>
  <c r="AK1344" i="4"/>
  <c r="AF1344" i="4"/>
  <c r="AK1343" i="4"/>
  <c r="AF1343" i="4"/>
  <c r="AK1342" i="4"/>
  <c r="AF1342" i="4"/>
  <c r="AK1341" i="4"/>
  <c r="AF1341" i="4"/>
  <c r="AK1340" i="4"/>
  <c r="AF1340" i="4"/>
  <c r="AK1339" i="4"/>
  <c r="AF1339" i="4"/>
  <c r="AK1338" i="4"/>
  <c r="AF1338" i="4"/>
  <c r="AK1337" i="4"/>
  <c r="AF1337" i="4"/>
  <c r="AK1336" i="4"/>
  <c r="AF1336" i="4"/>
  <c r="AK1335" i="4"/>
  <c r="AF1335" i="4"/>
  <c r="AK1334" i="4"/>
  <c r="AF1334" i="4"/>
  <c r="AK1333" i="4"/>
  <c r="AF1333" i="4"/>
  <c r="AK1332" i="4"/>
  <c r="AF1332" i="4"/>
  <c r="AK1331" i="4"/>
  <c r="AF1331" i="4"/>
  <c r="AK1330" i="4"/>
  <c r="AF1330" i="4"/>
  <c r="AK1329" i="4"/>
  <c r="AF1329" i="4"/>
  <c r="AK1328" i="4"/>
  <c r="AF1328" i="4"/>
  <c r="AK1327" i="4"/>
  <c r="AF1327" i="4"/>
  <c r="AK1326" i="4"/>
  <c r="AF1326" i="4"/>
  <c r="AK1325" i="4"/>
  <c r="AF1325" i="4"/>
  <c r="AK1324" i="4"/>
  <c r="AF1324" i="4"/>
  <c r="AK1323" i="4"/>
  <c r="AF1323" i="4"/>
  <c r="AK1322" i="4"/>
  <c r="AF1322" i="4"/>
  <c r="AK1321" i="4"/>
  <c r="AF1321" i="4"/>
  <c r="AK1320" i="4"/>
  <c r="AF1320" i="4"/>
  <c r="AK1319" i="4"/>
  <c r="AF1319" i="4"/>
  <c r="AK1318" i="4"/>
  <c r="AF1318" i="4"/>
  <c r="AK1317" i="4"/>
  <c r="AF1317" i="4"/>
  <c r="AK1316" i="4"/>
  <c r="AF1316" i="4"/>
  <c r="AK1315" i="4"/>
  <c r="AF1315" i="4"/>
  <c r="AK1314" i="4"/>
  <c r="AF1314" i="4"/>
  <c r="AK1313" i="4"/>
  <c r="AF1313" i="4"/>
  <c r="AK1312" i="4"/>
  <c r="AF1312" i="4"/>
  <c r="AK1311" i="4"/>
  <c r="AF1311" i="4"/>
  <c r="AK1310" i="4"/>
  <c r="AF1310" i="4"/>
  <c r="AK1309" i="4"/>
  <c r="AF1309" i="4"/>
  <c r="AK1308" i="4"/>
  <c r="AF1308" i="4"/>
  <c r="AK1307" i="4"/>
  <c r="AF1307" i="4"/>
  <c r="AK1306" i="4"/>
  <c r="AF1306" i="4"/>
  <c r="AK1305" i="4"/>
  <c r="AF1305" i="4"/>
  <c r="AK1304" i="4"/>
  <c r="AF1304" i="4"/>
  <c r="AK1303" i="4"/>
  <c r="AF1303" i="4"/>
  <c r="AK1302" i="4"/>
  <c r="AF1302" i="4"/>
  <c r="AK1301" i="4"/>
  <c r="AF1301" i="4"/>
  <c r="AK1300" i="4"/>
  <c r="AF1300" i="4"/>
  <c r="AK1299" i="4"/>
  <c r="AF1299" i="4"/>
  <c r="AK1298" i="4"/>
  <c r="AF1298" i="4"/>
  <c r="AK1297" i="4"/>
  <c r="AF1297" i="4"/>
  <c r="AK1296" i="4"/>
  <c r="AF1296" i="4"/>
  <c r="AK1295" i="4"/>
  <c r="AF1295" i="4"/>
  <c r="AK1294" i="4"/>
  <c r="AF1294" i="4"/>
  <c r="AK1293" i="4"/>
  <c r="AF1293" i="4"/>
  <c r="AK1292" i="4"/>
  <c r="AF1292" i="4"/>
  <c r="AK1291" i="4"/>
  <c r="AF1291" i="4"/>
  <c r="AK1290" i="4"/>
  <c r="AF1290" i="4"/>
  <c r="AK1289" i="4"/>
  <c r="AF1289" i="4"/>
  <c r="AK1288" i="4"/>
  <c r="AF1288" i="4"/>
  <c r="AK1287" i="4"/>
  <c r="AF1287" i="4"/>
  <c r="AK1286" i="4"/>
  <c r="AF1286" i="4"/>
  <c r="AK1285" i="4"/>
  <c r="AF1285" i="4"/>
  <c r="AK1284" i="4"/>
  <c r="AF1284" i="4"/>
  <c r="AK1283" i="4"/>
  <c r="AF1283" i="4"/>
  <c r="AK1282" i="4"/>
  <c r="AF1282" i="4"/>
  <c r="AK1281" i="4"/>
  <c r="AF1281" i="4"/>
  <c r="AK1280" i="4"/>
  <c r="AF1280" i="4"/>
  <c r="AK1279" i="4"/>
  <c r="AF1279" i="4"/>
  <c r="AK1278" i="4"/>
  <c r="AF1278" i="4"/>
  <c r="AK1277" i="4"/>
  <c r="AF1277" i="4"/>
  <c r="AK1276" i="4"/>
  <c r="AF1276" i="4"/>
  <c r="AK1275" i="4"/>
  <c r="AF1275" i="4"/>
  <c r="AK1274" i="4"/>
  <c r="AF1274" i="4"/>
  <c r="AK1273" i="4"/>
  <c r="AF1273" i="4"/>
  <c r="AK1272" i="4"/>
  <c r="AF1272" i="4"/>
  <c r="AK1271" i="4"/>
  <c r="AF1271" i="4"/>
  <c r="AK1270" i="4"/>
  <c r="AF1270" i="4"/>
  <c r="AK1269" i="4"/>
  <c r="AF1269" i="4"/>
  <c r="AK1268" i="4"/>
  <c r="AF1268" i="4"/>
  <c r="AK1267" i="4"/>
  <c r="AF1267" i="4"/>
  <c r="AK1266" i="4"/>
  <c r="AF1266" i="4"/>
  <c r="AK1265" i="4"/>
  <c r="AF1265" i="4"/>
  <c r="AK1264" i="4"/>
  <c r="AF1264" i="4"/>
  <c r="AK1263" i="4"/>
  <c r="AF1263" i="4"/>
  <c r="AK1262" i="4"/>
  <c r="AF1262" i="4"/>
  <c r="AK1261" i="4"/>
  <c r="AF1261" i="4"/>
  <c r="AK1260" i="4"/>
  <c r="AF1260" i="4"/>
  <c r="AK1259" i="4"/>
  <c r="AF1259" i="4"/>
  <c r="AK1258" i="4"/>
  <c r="AF1258" i="4"/>
  <c r="AK1257" i="4"/>
  <c r="AF1257" i="4"/>
  <c r="AK1256" i="4"/>
  <c r="AF1256" i="4"/>
  <c r="AK1255" i="4"/>
  <c r="AF1255" i="4"/>
  <c r="AK1254" i="4"/>
  <c r="AF1254" i="4"/>
  <c r="AK1251" i="4"/>
  <c r="AF1251" i="4"/>
  <c r="AH1251" i="4" s="1"/>
  <c r="Y4" i="12" s="1"/>
  <c r="AH1250" i="4"/>
  <c r="AH1249" i="4"/>
  <c r="AH1248" i="4"/>
  <c r="AH1247" i="4"/>
  <c r="AH1246" i="4"/>
  <c r="AH1245" i="4"/>
  <c r="AH1244" i="4"/>
  <c r="AH1243" i="4"/>
  <c r="AH1242" i="4"/>
  <c r="AH1241" i="4"/>
  <c r="AH1240" i="4"/>
  <c r="AH1239" i="4"/>
  <c r="AH1238" i="4"/>
  <c r="AH1237" i="4"/>
  <c r="AH1236" i="4"/>
  <c r="AH1235" i="4"/>
  <c r="AH1234" i="4"/>
  <c r="AH1233" i="4"/>
  <c r="AH1232" i="4"/>
  <c r="AH1231" i="4"/>
  <c r="AH1230" i="4"/>
  <c r="AH1229" i="4"/>
  <c r="AH1228" i="4"/>
  <c r="AH1227" i="4"/>
  <c r="AH1226" i="4"/>
  <c r="AH1225" i="4"/>
  <c r="AH1224" i="4"/>
  <c r="AH1223" i="4"/>
  <c r="AH1222" i="4"/>
  <c r="AH1221" i="4"/>
  <c r="AH1220" i="4"/>
  <c r="AH1219" i="4"/>
  <c r="AH1218" i="4"/>
  <c r="AH1217" i="4"/>
  <c r="AH1216" i="4"/>
  <c r="AH1215" i="4"/>
  <c r="AH1214" i="4"/>
  <c r="AH1213" i="4"/>
  <c r="AH1212" i="4"/>
  <c r="AH1211" i="4"/>
  <c r="AH1210" i="4"/>
  <c r="AH1209" i="4"/>
  <c r="AH1208" i="4"/>
  <c r="AH1207" i="4"/>
  <c r="AH1206" i="4"/>
  <c r="AH1205" i="4"/>
  <c r="AH1204" i="4"/>
  <c r="AH1203" i="4"/>
  <c r="AH1202" i="4"/>
  <c r="AH1201" i="4"/>
  <c r="AH1200" i="4"/>
  <c r="AH1199" i="4"/>
  <c r="AH1198" i="4"/>
  <c r="AH1197" i="4"/>
  <c r="AH1196" i="4"/>
  <c r="AH1195" i="4"/>
  <c r="AH1194" i="4"/>
  <c r="AH1193" i="4"/>
  <c r="AH1192" i="4"/>
  <c r="AH1191" i="4"/>
  <c r="AH1190" i="4"/>
  <c r="AH1189" i="4"/>
  <c r="AH1188" i="4"/>
  <c r="AH1187" i="4"/>
  <c r="AH1186" i="4"/>
  <c r="AH1185" i="4"/>
  <c r="AH1184" i="4"/>
  <c r="AH1183" i="4"/>
  <c r="AH1182" i="4"/>
  <c r="AH1181" i="4"/>
  <c r="AH1180" i="4"/>
  <c r="AH1179" i="4"/>
  <c r="AH1178" i="4"/>
  <c r="AH1177" i="4"/>
  <c r="AH1176" i="4"/>
  <c r="AH1175" i="4"/>
  <c r="AH1174" i="4"/>
  <c r="AH1173" i="4"/>
  <c r="AH1172" i="4"/>
  <c r="AH1171" i="4"/>
  <c r="AH1170" i="4"/>
  <c r="AH1169" i="4"/>
  <c r="AH1168" i="4"/>
  <c r="AH1167" i="4"/>
  <c r="AH1166" i="4"/>
  <c r="AH1165" i="4"/>
  <c r="AH1164" i="4"/>
  <c r="AH1163" i="4"/>
  <c r="AH1162" i="4"/>
  <c r="AH1161" i="4"/>
  <c r="AH1160" i="4"/>
  <c r="AH1159" i="4"/>
  <c r="AH1158" i="4"/>
  <c r="AH1157" i="4"/>
  <c r="AH1156" i="4"/>
  <c r="AH1155" i="4"/>
  <c r="AH1154" i="4"/>
  <c r="AH1153" i="4"/>
  <c r="AH1152" i="4"/>
  <c r="AH1151" i="4"/>
  <c r="AH1150" i="4"/>
  <c r="AK1147" i="4"/>
  <c r="AF1147" i="4"/>
  <c r="AH1146" i="4"/>
  <c r="AH1145" i="4"/>
  <c r="AH1144" i="4"/>
  <c r="AH1143" i="4"/>
  <c r="AH1142" i="4"/>
  <c r="AH1141" i="4"/>
  <c r="AH1140" i="4"/>
  <c r="AH1139" i="4"/>
  <c r="AH1138" i="4"/>
  <c r="AH1137" i="4"/>
  <c r="AH1136" i="4"/>
  <c r="AH1135" i="4"/>
  <c r="AH1134" i="4"/>
  <c r="AH1133" i="4"/>
  <c r="AH1132" i="4"/>
  <c r="AH1131" i="4"/>
  <c r="AH1130" i="4"/>
  <c r="AH1129" i="4"/>
  <c r="AH1128" i="4"/>
  <c r="AH1127" i="4"/>
  <c r="AH1126" i="4"/>
  <c r="AH1125" i="4"/>
  <c r="AH1124" i="4"/>
  <c r="AH1123" i="4"/>
  <c r="AH1122" i="4"/>
  <c r="AH1121" i="4"/>
  <c r="AH1120" i="4"/>
  <c r="AH1119" i="4"/>
  <c r="AH1118" i="4"/>
  <c r="AH1117" i="4"/>
  <c r="AH1116" i="4"/>
  <c r="AH1115" i="4"/>
  <c r="AH1114" i="4"/>
  <c r="AH1113" i="4"/>
  <c r="AH1112" i="4"/>
  <c r="AH1111" i="4"/>
  <c r="AH1110" i="4"/>
  <c r="AH1109" i="4"/>
  <c r="AH1108" i="4"/>
  <c r="AH1107" i="4"/>
  <c r="AH1106" i="4"/>
  <c r="AH1105" i="4"/>
  <c r="AH1104" i="4"/>
  <c r="AH1103" i="4"/>
  <c r="AH1102" i="4"/>
  <c r="AH1101" i="4"/>
  <c r="AH1100" i="4"/>
  <c r="AH1099" i="4"/>
  <c r="AH1098" i="4"/>
  <c r="AH1097" i="4"/>
  <c r="AH1096" i="4"/>
  <c r="AH1095" i="4"/>
  <c r="AH1094" i="4"/>
  <c r="AH1093" i="4"/>
  <c r="AH1092" i="4"/>
  <c r="AH1091" i="4"/>
  <c r="AH1090" i="4"/>
  <c r="AH1089" i="4"/>
  <c r="AH1088" i="4"/>
  <c r="AH1087" i="4"/>
  <c r="AH1086" i="4"/>
  <c r="AH1085" i="4"/>
  <c r="AH1084" i="4"/>
  <c r="AH1083" i="4"/>
  <c r="AH1082" i="4"/>
  <c r="AH1081" i="4"/>
  <c r="AH1080" i="4"/>
  <c r="AH1079" i="4"/>
  <c r="AH1078" i="4"/>
  <c r="AH1077" i="4"/>
  <c r="AH1076" i="4"/>
  <c r="AH1075" i="4"/>
  <c r="AH1074" i="4"/>
  <c r="AH1073" i="4"/>
  <c r="AH1072" i="4"/>
  <c r="AH1071" i="4"/>
  <c r="AH1070" i="4"/>
  <c r="AH1069" i="4"/>
  <c r="AH1068" i="4"/>
  <c r="AH1067" i="4"/>
  <c r="AH1066" i="4"/>
  <c r="AH1065" i="4"/>
  <c r="AH1064" i="4"/>
  <c r="AH1063" i="4"/>
  <c r="AH1062" i="4"/>
  <c r="AH1061" i="4"/>
  <c r="AH1060" i="4"/>
  <c r="AH1059" i="4"/>
  <c r="AH1058" i="4"/>
  <c r="AH1057" i="4"/>
  <c r="AH1056" i="4"/>
  <c r="AH1055" i="4"/>
  <c r="AH1054" i="4"/>
  <c r="AH1053" i="4"/>
  <c r="AH1052" i="4"/>
  <c r="AH1051" i="4"/>
  <c r="AH1050" i="4"/>
  <c r="AH1049" i="4"/>
  <c r="AH1048" i="4"/>
  <c r="AH1047" i="4"/>
  <c r="AH1046" i="4"/>
  <c r="AK1043" i="4"/>
  <c r="AF1043" i="4"/>
  <c r="AH1042" i="4"/>
  <c r="AH1041" i="4"/>
  <c r="AH1040" i="4"/>
  <c r="AH1039" i="4"/>
  <c r="AH1038" i="4"/>
  <c r="AH1037" i="4"/>
  <c r="AH1036" i="4"/>
  <c r="AH1035" i="4"/>
  <c r="AH1034" i="4"/>
  <c r="AH1033" i="4"/>
  <c r="AH1032" i="4"/>
  <c r="AH1031" i="4"/>
  <c r="AH1030" i="4"/>
  <c r="AH1029" i="4"/>
  <c r="AH1028" i="4"/>
  <c r="AH1027" i="4"/>
  <c r="AH1026" i="4"/>
  <c r="AH1025" i="4"/>
  <c r="AH1024" i="4"/>
  <c r="AH1023" i="4"/>
  <c r="AH1022" i="4"/>
  <c r="AH1021" i="4"/>
  <c r="AH1020" i="4"/>
  <c r="AH1019" i="4"/>
  <c r="AH1018" i="4"/>
  <c r="AH1017" i="4"/>
  <c r="AH1016" i="4"/>
  <c r="AH1015" i="4"/>
  <c r="AH1014" i="4"/>
  <c r="AH1013" i="4"/>
  <c r="AH1012" i="4"/>
  <c r="AH1011" i="4"/>
  <c r="AH1010" i="4"/>
  <c r="AH1009" i="4"/>
  <c r="AH1008" i="4"/>
  <c r="AH1007" i="4"/>
  <c r="AH1006" i="4"/>
  <c r="AH1005" i="4"/>
  <c r="AH1004" i="4"/>
  <c r="AH1003" i="4"/>
  <c r="AH1002" i="4"/>
  <c r="AH1001" i="4"/>
  <c r="AH1000" i="4"/>
  <c r="AH999" i="4"/>
  <c r="AH998" i="4"/>
  <c r="AH997" i="4"/>
  <c r="AH996" i="4"/>
  <c r="AH995" i="4"/>
  <c r="AH994" i="4"/>
  <c r="AH993" i="4"/>
  <c r="AH992" i="4"/>
  <c r="AH991" i="4"/>
  <c r="AH990" i="4"/>
  <c r="AH989" i="4"/>
  <c r="AH988" i="4"/>
  <c r="AH987" i="4"/>
  <c r="AH986" i="4"/>
  <c r="AH985" i="4"/>
  <c r="AH984" i="4"/>
  <c r="AH983" i="4"/>
  <c r="AH982" i="4"/>
  <c r="AH981" i="4"/>
  <c r="AH980" i="4"/>
  <c r="AH979" i="4"/>
  <c r="AH978" i="4"/>
  <c r="AH977" i="4"/>
  <c r="AH976" i="4"/>
  <c r="AH975" i="4"/>
  <c r="AH974" i="4"/>
  <c r="AH973" i="4"/>
  <c r="AH972" i="4"/>
  <c r="AH971" i="4"/>
  <c r="AH970" i="4"/>
  <c r="AH969" i="4"/>
  <c r="AH968" i="4"/>
  <c r="AH967" i="4"/>
  <c r="AH966" i="4"/>
  <c r="AH965" i="4"/>
  <c r="AH964" i="4"/>
  <c r="AH963" i="4"/>
  <c r="AH962" i="4"/>
  <c r="AH961" i="4"/>
  <c r="AH960" i="4"/>
  <c r="AH959" i="4"/>
  <c r="AH958" i="4"/>
  <c r="AH957" i="4"/>
  <c r="AH956" i="4"/>
  <c r="AH955" i="4"/>
  <c r="AH954" i="4"/>
  <c r="AH953" i="4"/>
  <c r="AH952" i="4"/>
  <c r="AH951" i="4"/>
  <c r="AH950" i="4"/>
  <c r="AH949" i="4"/>
  <c r="AH948" i="4"/>
  <c r="AH947" i="4"/>
  <c r="AH946" i="4"/>
  <c r="AH945" i="4"/>
  <c r="AH944" i="4"/>
  <c r="AH943" i="4"/>
  <c r="AH942" i="4"/>
  <c r="AK939" i="4"/>
  <c r="AF939" i="4"/>
  <c r="AH938" i="4"/>
  <c r="AH937" i="4"/>
  <c r="AH936" i="4"/>
  <c r="AH935" i="4"/>
  <c r="AH934" i="4"/>
  <c r="AH933" i="4"/>
  <c r="AH932" i="4"/>
  <c r="AH931" i="4"/>
  <c r="AH930" i="4"/>
  <c r="AH929" i="4"/>
  <c r="AH928" i="4"/>
  <c r="AH927" i="4"/>
  <c r="AH926" i="4"/>
  <c r="AH925" i="4"/>
  <c r="AH924" i="4"/>
  <c r="AH923" i="4"/>
  <c r="AH922" i="4"/>
  <c r="AH921" i="4"/>
  <c r="AH920" i="4"/>
  <c r="AH919" i="4"/>
  <c r="AH918" i="4"/>
  <c r="AH917" i="4"/>
  <c r="AH916" i="4"/>
  <c r="AH915" i="4"/>
  <c r="AH914" i="4"/>
  <c r="AH913" i="4"/>
  <c r="AH912" i="4"/>
  <c r="AH911" i="4"/>
  <c r="AH910" i="4"/>
  <c r="AH909" i="4"/>
  <c r="AH908" i="4"/>
  <c r="AH907" i="4"/>
  <c r="AH906" i="4"/>
  <c r="AH905" i="4"/>
  <c r="AH904" i="4"/>
  <c r="AH903" i="4"/>
  <c r="AH902" i="4"/>
  <c r="AH901" i="4"/>
  <c r="AH900" i="4"/>
  <c r="AH899" i="4"/>
  <c r="AH898" i="4"/>
  <c r="AH897" i="4"/>
  <c r="AH896" i="4"/>
  <c r="AH895" i="4"/>
  <c r="AH894" i="4"/>
  <c r="AH893" i="4"/>
  <c r="AH892" i="4"/>
  <c r="AH891" i="4"/>
  <c r="AH890" i="4"/>
  <c r="AH889" i="4"/>
  <c r="AH888" i="4"/>
  <c r="AH887" i="4"/>
  <c r="AH886" i="4"/>
  <c r="AH885" i="4"/>
  <c r="AH884" i="4"/>
  <c r="AH883" i="4"/>
  <c r="AH882" i="4"/>
  <c r="AH881" i="4"/>
  <c r="AH880" i="4"/>
  <c r="AH879" i="4"/>
  <c r="AH878" i="4"/>
  <c r="AH877" i="4"/>
  <c r="AH876" i="4"/>
  <c r="AH875" i="4"/>
  <c r="AH874" i="4"/>
  <c r="AH873" i="4"/>
  <c r="AH872" i="4"/>
  <c r="AH871" i="4"/>
  <c r="AH870" i="4"/>
  <c r="AH869" i="4"/>
  <c r="AH868" i="4"/>
  <c r="AH867" i="4"/>
  <c r="AH866" i="4"/>
  <c r="AH865" i="4"/>
  <c r="AH864" i="4"/>
  <c r="AH863" i="4"/>
  <c r="AH862" i="4"/>
  <c r="AH861" i="4"/>
  <c r="AH860" i="4"/>
  <c r="AH859" i="4"/>
  <c r="AH858" i="4"/>
  <c r="AH857" i="4"/>
  <c r="AH856" i="4"/>
  <c r="AH855" i="4"/>
  <c r="AH854" i="4"/>
  <c r="AH853" i="4"/>
  <c r="AH852" i="4"/>
  <c r="AH851" i="4"/>
  <c r="AH850" i="4"/>
  <c r="AH849" i="4"/>
  <c r="AH848" i="4"/>
  <c r="AH847" i="4"/>
  <c r="AH846" i="4"/>
  <c r="AH845" i="4"/>
  <c r="AH844" i="4"/>
  <c r="AH843" i="4"/>
  <c r="AH842" i="4"/>
  <c r="AH841" i="4"/>
  <c r="AH840" i="4"/>
  <c r="AH839" i="4"/>
  <c r="AH838" i="4"/>
  <c r="AK835" i="4"/>
  <c r="AF835" i="4"/>
  <c r="AH834" i="4"/>
  <c r="AH833" i="4"/>
  <c r="AH832" i="4"/>
  <c r="AH831" i="4"/>
  <c r="AH830" i="4"/>
  <c r="AH829" i="4"/>
  <c r="AH828" i="4"/>
  <c r="AH827" i="4"/>
  <c r="AH826" i="4"/>
  <c r="AH825" i="4"/>
  <c r="AH824" i="4"/>
  <c r="AH823" i="4"/>
  <c r="AH822" i="4"/>
  <c r="AH821" i="4"/>
  <c r="AH820" i="4"/>
  <c r="AH819" i="4"/>
  <c r="AH818" i="4"/>
  <c r="AH817" i="4"/>
  <c r="AH816" i="4"/>
  <c r="AH815" i="4"/>
  <c r="AH814" i="4"/>
  <c r="AH813" i="4"/>
  <c r="AH812" i="4"/>
  <c r="AH811" i="4"/>
  <c r="AH810" i="4"/>
  <c r="AH809" i="4"/>
  <c r="AH808" i="4"/>
  <c r="AH807" i="4"/>
  <c r="AH806" i="4"/>
  <c r="AH805" i="4"/>
  <c r="AH804" i="4"/>
  <c r="AH803" i="4"/>
  <c r="AH802" i="4"/>
  <c r="AH801" i="4"/>
  <c r="AH800" i="4"/>
  <c r="AH799" i="4"/>
  <c r="AH798" i="4"/>
  <c r="AH797" i="4"/>
  <c r="AH796" i="4"/>
  <c r="AH795" i="4"/>
  <c r="AH794" i="4"/>
  <c r="AH793" i="4"/>
  <c r="AH792" i="4"/>
  <c r="AH791" i="4"/>
  <c r="AH790" i="4"/>
  <c r="AH789" i="4"/>
  <c r="AH788" i="4"/>
  <c r="AH787" i="4"/>
  <c r="AH786" i="4"/>
  <c r="AH785" i="4"/>
  <c r="AH784" i="4"/>
  <c r="AH783" i="4"/>
  <c r="AH782" i="4"/>
  <c r="AH781" i="4"/>
  <c r="AH780" i="4"/>
  <c r="AH779" i="4"/>
  <c r="AH778" i="4"/>
  <c r="AH777" i="4"/>
  <c r="AH776" i="4"/>
  <c r="AH775" i="4"/>
  <c r="AH774" i="4"/>
  <c r="AH773" i="4"/>
  <c r="AH772" i="4"/>
  <c r="AH771" i="4"/>
  <c r="AH770" i="4"/>
  <c r="AH769" i="4"/>
  <c r="AH768" i="4"/>
  <c r="AH767" i="4"/>
  <c r="AH766" i="4"/>
  <c r="AH765" i="4"/>
  <c r="AH764" i="4"/>
  <c r="AH763" i="4"/>
  <c r="AH762" i="4"/>
  <c r="AH761" i="4"/>
  <c r="AH760" i="4"/>
  <c r="AH759" i="4"/>
  <c r="AH758" i="4"/>
  <c r="AH757" i="4"/>
  <c r="AH756" i="4"/>
  <c r="AH755" i="4"/>
  <c r="AH754" i="4"/>
  <c r="AH753" i="4"/>
  <c r="AH752" i="4"/>
  <c r="AH751" i="4"/>
  <c r="AH750" i="4"/>
  <c r="AH749" i="4"/>
  <c r="AH748" i="4"/>
  <c r="AH747" i="4"/>
  <c r="AH746" i="4"/>
  <c r="AH745" i="4"/>
  <c r="AH744" i="4"/>
  <c r="AH743" i="4"/>
  <c r="AH742" i="4"/>
  <c r="AH741" i="4"/>
  <c r="AH740" i="4"/>
  <c r="AH739" i="4"/>
  <c r="AH738" i="4"/>
  <c r="AH737" i="4"/>
  <c r="AH736" i="4"/>
  <c r="AH735" i="4"/>
  <c r="AH734" i="4"/>
  <c r="AK731" i="4"/>
  <c r="AF731" i="4"/>
  <c r="AH730" i="4"/>
  <c r="AH729" i="4"/>
  <c r="AH728" i="4"/>
  <c r="AH727" i="4"/>
  <c r="AH726" i="4"/>
  <c r="AH725" i="4"/>
  <c r="AH724" i="4"/>
  <c r="AH723" i="4"/>
  <c r="AH722" i="4"/>
  <c r="AH721" i="4"/>
  <c r="AH720" i="4"/>
  <c r="AH719" i="4"/>
  <c r="AH718" i="4"/>
  <c r="AH717" i="4"/>
  <c r="AH716" i="4"/>
  <c r="AH715" i="4"/>
  <c r="AH714" i="4"/>
  <c r="AH713" i="4"/>
  <c r="AH712" i="4"/>
  <c r="AH711" i="4"/>
  <c r="AH710" i="4"/>
  <c r="AH709" i="4"/>
  <c r="AH708" i="4"/>
  <c r="AH707" i="4"/>
  <c r="AH706" i="4"/>
  <c r="AH705" i="4"/>
  <c r="AH704" i="4"/>
  <c r="AH703" i="4"/>
  <c r="AH702" i="4"/>
  <c r="AH701" i="4"/>
  <c r="AH700" i="4"/>
  <c r="AH699" i="4"/>
  <c r="AH698" i="4"/>
  <c r="AH697" i="4"/>
  <c r="AH696" i="4"/>
  <c r="AH695" i="4"/>
  <c r="AH694" i="4"/>
  <c r="AH693" i="4"/>
  <c r="AH692" i="4"/>
  <c r="AH691" i="4"/>
  <c r="AH690" i="4"/>
  <c r="AH689" i="4"/>
  <c r="AH688" i="4"/>
  <c r="AH687" i="4"/>
  <c r="AH686" i="4"/>
  <c r="AH685" i="4"/>
  <c r="AH684" i="4"/>
  <c r="AH683" i="4"/>
  <c r="AH682" i="4"/>
  <c r="AH681" i="4"/>
  <c r="AH680" i="4"/>
  <c r="AH679" i="4"/>
  <c r="AH678" i="4"/>
  <c r="AH677" i="4"/>
  <c r="AH676" i="4"/>
  <c r="AH675" i="4"/>
  <c r="AH674" i="4"/>
  <c r="AH673" i="4"/>
  <c r="AH672" i="4"/>
  <c r="AH671" i="4"/>
  <c r="AH670" i="4"/>
  <c r="AH669" i="4"/>
  <c r="AH668" i="4"/>
  <c r="AH667" i="4"/>
  <c r="AH666" i="4"/>
  <c r="AH665" i="4"/>
  <c r="AH664" i="4"/>
  <c r="AH663" i="4"/>
  <c r="AH662" i="4"/>
  <c r="AH661" i="4"/>
  <c r="AH660" i="4"/>
  <c r="AH659" i="4"/>
  <c r="AH658" i="4"/>
  <c r="AH657" i="4"/>
  <c r="AH656" i="4"/>
  <c r="AH655" i="4"/>
  <c r="AH654" i="4"/>
  <c r="AH653" i="4"/>
  <c r="AH652" i="4"/>
  <c r="AH651" i="4"/>
  <c r="AH650" i="4"/>
  <c r="AH649" i="4"/>
  <c r="AH648" i="4"/>
  <c r="AH647" i="4"/>
  <c r="AH646" i="4"/>
  <c r="AH645" i="4"/>
  <c r="AH644" i="4"/>
  <c r="AH643" i="4"/>
  <c r="AH642" i="4"/>
  <c r="AH641" i="4"/>
  <c r="AH640" i="4"/>
  <c r="AH639" i="4"/>
  <c r="AH638" i="4"/>
  <c r="AH637" i="4"/>
  <c r="AH636" i="4"/>
  <c r="AH635" i="4"/>
  <c r="AH634" i="4"/>
  <c r="AH633" i="4"/>
  <c r="AH632" i="4"/>
  <c r="AH631" i="4"/>
  <c r="AH630" i="4"/>
  <c r="AK627" i="4"/>
  <c r="AF627" i="4"/>
  <c r="AH626" i="4"/>
  <c r="AH625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9" i="4"/>
  <c r="AH588" i="4"/>
  <c r="AH587" i="4"/>
  <c r="AH586" i="4"/>
  <c r="AH585" i="4"/>
  <c r="AH584" i="4"/>
  <c r="AH583" i="4"/>
  <c r="AH582" i="4"/>
  <c r="AH581" i="4"/>
  <c r="AH580" i="4"/>
  <c r="AH579" i="4"/>
  <c r="AH578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6" i="4"/>
  <c r="AH545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2" i="4"/>
  <c r="AH531" i="4"/>
  <c r="AH530" i="4"/>
  <c r="AH529" i="4"/>
  <c r="AH528" i="4"/>
  <c r="AH527" i="4"/>
  <c r="AH526" i="4"/>
  <c r="AK523" i="4"/>
  <c r="AH523" i="4" s="1"/>
  <c r="K4" i="12" s="1"/>
  <c r="AF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8" i="4"/>
  <c r="AH507" i="4"/>
  <c r="AH506" i="4"/>
  <c r="AH505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9" i="4"/>
  <c r="AH488" i="4"/>
  <c r="AH487" i="4"/>
  <c r="AH486" i="4"/>
  <c r="AH485" i="4"/>
  <c r="AH484" i="4"/>
  <c r="AH483" i="4"/>
  <c r="AH482" i="4"/>
  <c r="AH481" i="4"/>
  <c r="AH480" i="4"/>
  <c r="AH479" i="4"/>
  <c r="AH478" i="4"/>
  <c r="AH477" i="4"/>
  <c r="AH476" i="4"/>
  <c r="AH475" i="4"/>
  <c r="AH474" i="4"/>
  <c r="AH473" i="4"/>
  <c r="AH472" i="4"/>
  <c r="AH471" i="4"/>
  <c r="AH470" i="4"/>
  <c r="AH469" i="4"/>
  <c r="AH468" i="4"/>
  <c r="AH467" i="4"/>
  <c r="AH466" i="4"/>
  <c r="AH465" i="4"/>
  <c r="AH464" i="4"/>
  <c r="AH463" i="4"/>
  <c r="AH462" i="4"/>
  <c r="AH461" i="4"/>
  <c r="AH460" i="4"/>
  <c r="AH459" i="4"/>
  <c r="AH458" i="4"/>
  <c r="AH457" i="4"/>
  <c r="AH456" i="4"/>
  <c r="AH455" i="4"/>
  <c r="AH454" i="4"/>
  <c r="AH453" i="4"/>
  <c r="AH452" i="4"/>
  <c r="AH451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K419" i="4"/>
  <c r="AF419" i="4"/>
  <c r="AH418" i="4"/>
  <c r="AH417" i="4"/>
  <c r="AH416" i="4"/>
  <c r="AH415" i="4"/>
  <c r="AH414" i="4"/>
  <c r="AH413" i="4"/>
  <c r="AH412" i="4"/>
  <c r="AH411" i="4"/>
  <c r="AH410" i="4"/>
  <c r="AH409" i="4"/>
  <c r="AH408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9" i="4"/>
  <c r="AH318" i="4"/>
  <c r="AK315" i="4"/>
  <c r="AF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8" i="4"/>
  <c r="AH267" i="4"/>
  <c r="AH266" i="4"/>
  <c r="AH265" i="4"/>
  <c r="AH264" i="4"/>
  <c r="AH263" i="4"/>
  <c r="AH262" i="4"/>
  <c r="AH261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5" i="4"/>
  <c r="AH234" i="4"/>
  <c r="AH233" i="4"/>
  <c r="AH232" i="4"/>
  <c r="AH231" i="4"/>
  <c r="AH230" i="4"/>
  <c r="AH229" i="4"/>
  <c r="AH228" i="4"/>
  <c r="AH227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K211" i="4"/>
  <c r="AH211" i="4" s="1"/>
  <c r="E4" i="12" s="1"/>
  <c r="AF211" i="4"/>
  <c r="AH210" i="4"/>
  <c r="AH209" i="4"/>
  <c r="AH208" i="4"/>
  <c r="AH207" i="4"/>
  <c r="AH206" i="4"/>
  <c r="AH205" i="4"/>
  <c r="AH204" i="4"/>
  <c r="AH203" i="4"/>
  <c r="AH202" i="4"/>
  <c r="AH201" i="4"/>
  <c r="AH200" i="4"/>
  <c r="AH199" i="4"/>
  <c r="AH198" i="4"/>
  <c r="AH197" i="4"/>
  <c r="AH196" i="4"/>
  <c r="AH195" i="4"/>
  <c r="AH194" i="4"/>
  <c r="AH193" i="4"/>
  <c r="AH192" i="4"/>
  <c r="AH191" i="4"/>
  <c r="AH190" i="4"/>
  <c r="AH189" i="4"/>
  <c r="AH188" i="4"/>
  <c r="AH187" i="4"/>
  <c r="AH186" i="4"/>
  <c r="AH185" i="4"/>
  <c r="AH184" i="4"/>
  <c r="AH183" i="4"/>
  <c r="AH182" i="4"/>
  <c r="AH181" i="4"/>
  <c r="AH180" i="4"/>
  <c r="AH179" i="4"/>
  <c r="AH178" i="4"/>
  <c r="AH177" i="4"/>
  <c r="AH176" i="4"/>
  <c r="AH175" i="4"/>
  <c r="AH174" i="4"/>
  <c r="AH173" i="4"/>
  <c r="AH172" i="4"/>
  <c r="AH171" i="4"/>
  <c r="AH170" i="4"/>
  <c r="AH169" i="4"/>
  <c r="AH168" i="4"/>
  <c r="AH167" i="4"/>
  <c r="AH166" i="4"/>
  <c r="AH165" i="4"/>
  <c r="AH164" i="4"/>
  <c r="AH163" i="4"/>
  <c r="AH162" i="4"/>
  <c r="AH161" i="4"/>
  <c r="AH160" i="4"/>
  <c r="AH159" i="4"/>
  <c r="AH158" i="4"/>
  <c r="AH157" i="4"/>
  <c r="AH156" i="4"/>
  <c r="AH155" i="4"/>
  <c r="AH154" i="4"/>
  <c r="AH153" i="4"/>
  <c r="AH152" i="4"/>
  <c r="AH151" i="4"/>
  <c r="AH150" i="4"/>
  <c r="AH149" i="4"/>
  <c r="AH148" i="4"/>
  <c r="AH147" i="4"/>
  <c r="AH146" i="4"/>
  <c r="AH145" i="4"/>
  <c r="AH144" i="4"/>
  <c r="AH143" i="4"/>
  <c r="AH142" i="4"/>
  <c r="AH141" i="4"/>
  <c r="AH140" i="4"/>
  <c r="AH139" i="4"/>
  <c r="AH138" i="4"/>
  <c r="AH137" i="4"/>
  <c r="AH136" i="4"/>
  <c r="AH135" i="4"/>
  <c r="AH134" i="4"/>
  <c r="AH133" i="4"/>
  <c r="AH132" i="4"/>
  <c r="AH131" i="4"/>
  <c r="AH130" i="4"/>
  <c r="AH129" i="4"/>
  <c r="AH128" i="4"/>
  <c r="AH127" i="4"/>
  <c r="AH126" i="4"/>
  <c r="AH125" i="4"/>
  <c r="AH124" i="4"/>
  <c r="AH123" i="4"/>
  <c r="AH122" i="4"/>
  <c r="AH121" i="4"/>
  <c r="AH120" i="4"/>
  <c r="AH119" i="4"/>
  <c r="AH118" i="4"/>
  <c r="AH117" i="4"/>
  <c r="AH116" i="4"/>
  <c r="AH115" i="4"/>
  <c r="AH114" i="4"/>
  <c r="AH113" i="4"/>
  <c r="AH112" i="4"/>
  <c r="AH111" i="4"/>
  <c r="AH110" i="4"/>
  <c r="AK107" i="4"/>
  <c r="AF107" i="4"/>
  <c r="AH106" i="4"/>
  <c r="AG106" i="4"/>
  <c r="AG210" i="4" s="1"/>
  <c r="AB106" i="4"/>
  <c r="AB210" i="4" s="1"/>
  <c r="I106" i="4"/>
  <c r="I210" i="4" s="1"/>
  <c r="B106" i="4"/>
  <c r="B210" i="4" s="1"/>
  <c r="B314" i="4" s="1"/>
  <c r="B418" i="4" s="1"/>
  <c r="B522" i="4" s="1"/>
  <c r="B626" i="4" s="1"/>
  <c r="B730" i="4" s="1"/>
  <c r="B834" i="4" s="1"/>
  <c r="B938" i="4" s="1"/>
  <c r="B1042" i="4" s="1"/>
  <c r="B1146" i="4" s="1"/>
  <c r="B1250" i="4" s="1"/>
  <c r="B1354" i="4" s="1"/>
  <c r="AH105" i="4"/>
  <c r="AG105" i="4"/>
  <c r="AG209" i="4" s="1"/>
  <c r="AB105" i="4"/>
  <c r="I105" i="4"/>
  <c r="I209" i="4" s="1"/>
  <c r="B105" i="4"/>
  <c r="B209" i="4" s="1"/>
  <c r="B313" i="4" s="1"/>
  <c r="B417" i="4" s="1"/>
  <c r="B521" i="4" s="1"/>
  <c r="B625" i="4" s="1"/>
  <c r="B729" i="4" s="1"/>
  <c r="B833" i="4" s="1"/>
  <c r="B937" i="4" s="1"/>
  <c r="B1041" i="4" s="1"/>
  <c r="B1145" i="4" s="1"/>
  <c r="B1249" i="4" s="1"/>
  <c r="B1353" i="4" s="1"/>
  <c r="AH104" i="4"/>
  <c r="AG104" i="4"/>
  <c r="AG208" i="4" s="1"/>
  <c r="AB104" i="4"/>
  <c r="AB208" i="4" s="1"/>
  <c r="I104" i="4"/>
  <c r="I208" i="4" s="1"/>
  <c r="B104" i="4"/>
  <c r="B208" i="4" s="1"/>
  <c r="B312" i="4" s="1"/>
  <c r="B416" i="4" s="1"/>
  <c r="B520" i="4" s="1"/>
  <c r="B624" i="4" s="1"/>
  <c r="B728" i="4" s="1"/>
  <c r="B832" i="4" s="1"/>
  <c r="B936" i="4" s="1"/>
  <c r="B1040" i="4" s="1"/>
  <c r="B1144" i="4" s="1"/>
  <c r="B1248" i="4" s="1"/>
  <c r="B1352" i="4" s="1"/>
  <c r="AH103" i="4"/>
  <c r="AG103" i="4"/>
  <c r="AG207" i="4" s="1"/>
  <c r="AB103" i="4"/>
  <c r="I103" i="4"/>
  <c r="I207" i="4" s="1"/>
  <c r="B103" i="4"/>
  <c r="B207" i="4" s="1"/>
  <c r="B311" i="4" s="1"/>
  <c r="B415" i="4" s="1"/>
  <c r="B519" i="4" s="1"/>
  <c r="B623" i="4" s="1"/>
  <c r="B727" i="4" s="1"/>
  <c r="B831" i="4" s="1"/>
  <c r="B935" i="4" s="1"/>
  <c r="B1039" i="4" s="1"/>
  <c r="B1143" i="4" s="1"/>
  <c r="B1247" i="4" s="1"/>
  <c r="B1351" i="4" s="1"/>
  <c r="AH102" i="4"/>
  <c r="AG102" i="4"/>
  <c r="AG206" i="4" s="1"/>
  <c r="AB102" i="4"/>
  <c r="AB206" i="4" s="1"/>
  <c r="I102" i="4"/>
  <c r="I206" i="4" s="1"/>
  <c r="B102" i="4"/>
  <c r="B206" i="4" s="1"/>
  <c r="B310" i="4" s="1"/>
  <c r="B414" i="4" s="1"/>
  <c r="B518" i="4" s="1"/>
  <c r="B622" i="4" s="1"/>
  <c r="B726" i="4" s="1"/>
  <c r="B830" i="4" s="1"/>
  <c r="B934" i="4" s="1"/>
  <c r="B1038" i="4" s="1"/>
  <c r="B1142" i="4" s="1"/>
  <c r="B1246" i="4" s="1"/>
  <c r="B1350" i="4" s="1"/>
  <c r="AH101" i="4"/>
  <c r="AG101" i="4"/>
  <c r="AG205" i="4" s="1"/>
  <c r="AB101" i="4"/>
  <c r="I101" i="4"/>
  <c r="I205" i="4" s="1"/>
  <c r="B101" i="4"/>
  <c r="B205" i="4" s="1"/>
  <c r="B309" i="4" s="1"/>
  <c r="B413" i="4" s="1"/>
  <c r="B517" i="4" s="1"/>
  <c r="B621" i="4" s="1"/>
  <c r="B725" i="4" s="1"/>
  <c r="B829" i="4" s="1"/>
  <c r="B933" i="4" s="1"/>
  <c r="B1037" i="4" s="1"/>
  <c r="B1141" i="4" s="1"/>
  <c r="B1245" i="4" s="1"/>
  <c r="B1349" i="4" s="1"/>
  <c r="AH100" i="4"/>
  <c r="AG100" i="4"/>
  <c r="AG204" i="4" s="1"/>
  <c r="AB100" i="4"/>
  <c r="AB204" i="4" s="1"/>
  <c r="I100" i="4"/>
  <c r="I204" i="4" s="1"/>
  <c r="B100" i="4"/>
  <c r="B204" i="4" s="1"/>
  <c r="B308" i="4" s="1"/>
  <c r="B412" i="4" s="1"/>
  <c r="B516" i="4" s="1"/>
  <c r="B620" i="4" s="1"/>
  <c r="B724" i="4" s="1"/>
  <c r="B828" i="4" s="1"/>
  <c r="B932" i="4" s="1"/>
  <c r="B1036" i="4" s="1"/>
  <c r="B1140" i="4" s="1"/>
  <c r="B1244" i="4" s="1"/>
  <c r="B1348" i="4" s="1"/>
  <c r="AH99" i="4"/>
  <c r="AG99" i="4"/>
  <c r="AG203" i="4" s="1"/>
  <c r="AB99" i="4"/>
  <c r="I99" i="4"/>
  <c r="I203" i="4" s="1"/>
  <c r="B99" i="4"/>
  <c r="B203" i="4" s="1"/>
  <c r="B307" i="4" s="1"/>
  <c r="B411" i="4" s="1"/>
  <c r="B515" i="4" s="1"/>
  <c r="B619" i="4" s="1"/>
  <c r="B723" i="4" s="1"/>
  <c r="B827" i="4" s="1"/>
  <c r="B931" i="4" s="1"/>
  <c r="B1035" i="4" s="1"/>
  <c r="B1139" i="4" s="1"/>
  <c r="B1243" i="4" s="1"/>
  <c r="B1347" i="4" s="1"/>
  <c r="AH98" i="4"/>
  <c r="AG98" i="4"/>
  <c r="AG202" i="4" s="1"/>
  <c r="AB98" i="4"/>
  <c r="AB202" i="4" s="1"/>
  <c r="I98" i="4"/>
  <c r="I202" i="4" s="1"/>
  <c r="B98" i="4"/>
  <c r="B202" i="4" s="1"/>
  <c r="B306" i="4" s="1"/>
  <c r="B410" i="4" s="1"/>
  <c r="B514" i="4" s="1"/>
  <c r="B618" i="4" s="1"/>
  <c r="B722" i="4" s="1"/>
  <c r="B826" i="4" s="1"/>
  <c r="B930" i="4" s="1"/>
  <c r="B1034" i="4" s="1"/>
  <c r="B1138" i="4" s="1"/>
  <c r="B1242" i="4" s="1"/>
  <c r="B1346" i="4" s="1"/>
  <c r="AH97" i="4"/>
  <c r="AG97" i="4"/>
  <c r="AG201" i="4" s="1"/>
  <c r="AB97" i="4"/>
  <c r="I97" i="4"/>
  <c r="I201" i="4" s="1"/>
  <c r="B97" i="4"/>
  <c r="B201" i="4" s="1"/>
  <c r="B305" i="4" s="1"/>
  <c r="B409" i="4" s="1"/>
  <c r="B513" i="4" s="1"/>
  <c r="B617" i="4" s="1"/>
  <c r="B721" i="4" s="1"/>
  <c r="B825" i="4" s="1"/>
  <c r="B929" i="4" s="1"/>
  <c r="B1033" i="4" s="1"/>
  <c r="B1137" i="4" s="1"/>
  <c r="B1241" i="4" s="1"/>
  <c r="B1345" i="4" s="1"/>
  <c r="AH96" i="4"/>
  <c r="AG96" i="4"/>
  <c r="AG200" i="4" s="1"/>
  <c r="AB96" i="4"/>
  <c r="AB200" i="4" s="1"/>
  <c r="I96" i="4"/>
  <c r="I200" i="4" s="1"/>
  <c r="B96" i="4"/>
  <c r="B200" i="4" s="1"/>
  <c r="B304" i="4" s="1"/>
  <c r="B408" i="4" s="1"/>
  <c r="B512" i="4" s="1"/>
  <c r="B616" i="4" s="1"/>
  <c r="B720" i="4" s="1"/>
  <c r="B824" i="4" s="1"/>
  <c r="B928" i="4" s="1"/>
  <c r="B1032" i="4" s="1"/>
  <c r="B1136" i="4" s="1"/>
  <c r="B1240" i="4" s="1"/>
  <c r="B1344" i="4" s="1"/>
  <c r="AH95" i="4"/>
  <c r="AG95" i="4"/>
  <c r="AG199" i="4" s="1"/>
  <c r="AB95" i="4"/>
  <c r="I95" i="4"/>
  <c r="I199" i="4" s="1"/>
  <c r="B95" i="4"/>
  <c r="B199" i="4" s="1"/>
  <c r="B303" i="4" s="1"/>
  <c r="B407" i="4" s="1"/>
  <c r="B511" i="4" s="1"/>
  <c r="B615" i="4" s="1"/>
  <c r="B719" i="4" s="1"/>
  <c r="B823" i="4" s="1"/>
  <c r="B927" i="4" s="1"/>
  <c r="B1031" i="4" s="1"/>
  <c r="B1135" i="4" s="1"/>
  <c r="B1239" i="4" s="1"/>
  <c r="B1343" i="4" s="1"/>
  <c r="AH94" i="4"/>
  <c r="AG94" i="4"/>
  <c r="AG198" i="4" s="1"/>
  <c r="AB94" i="4"/>
  <c r="AB198" i="4" s="1"/>
  <c r="I94" i="4"/>
  <c r="I198" i="4" s="1"/>
  <c r="B94" i="4"/>
  <c r="B198" i="4" s="1"/>
  <c r="B302" i="4" s="1"/>
  <c r="B406" i="4" s="1"/>
  <c r="B510" i="4" s="1"/>
  <c r="B614" i="4" s="1"/>
  <c r="B718" i="4" s="1"/>
  <c r="B822" i="4" s="1"/>
  <c r="B926" i="4" s="1"/>
  <c r="B1030" i="4" s="1"/>
  <c r="B1134" i="4" s="1"/>
  <c r="B1238" i="4" s="1"/>
  <c r="B1342" i="4" s="1"/>
  <c r="AH93" i="4"/>
  <c r="AG93" i="4"/>
  <c r="AG197" i="4" s="1"/>
  <c r="AB93" i="4"/>
  <c r="I93" i="4"/>
  <c r="I197" i="4" s="1"/>
  <c r="B93" i="4"/>
  <c r="B197" i="4" s="1"/>
  <c r="B301" i="4" s="1"/>
  <c r="B405" i="4" s="1"/>
  <c r="B509" i="4" s="1"/>
  <c r="B613" i="4" s="1"/>
  <c r="B717" i="4" s="1"/>
  <c r="B821" i="4" s="1"/>
  <c r="B925" i="4" s="1"/>
  <c r="B1029" i="4" s="1"/>
  <c r="B1133" i="4" s="1"/>
  <c r="B1237" i="4" s="1"/>
  <c r="B1341" i="4" s="1"/>
  <c r="AH92" i="4"/>
  <c r="AG92" i="4"/>
  <c r="AG196" i="4" s="1"/>
  <c r="AB92" i="4"/>
  <c r="AB196" i="4" s="1"/>
  <c r="I92" i="4"/>
  <c r="I196" i="4" s="1"/>
  <c r="B92" i="4"/>
  <c r="B196" i="4" s="1"/>
  <c r="B300" i="4" s="1"/>
  <c r="B404" i="4" s="1"/>
  <c r="B508" i="4" s="1"/>
  <c r="B612" i="4" s="1"/>
  <c r="B716" i="4" s="1"/>
  <c r="B820" i="4" s="1"/>
  <c r="B924" i="4" s="1"/>
  <c r="B1028" i="4" s="1"/>
  <c r="B1132" i="4" s="1"/>
  <c r="B1236" i="4" s="1"/>
  <c r="B1340" i="4" s="1"/>
  <c r="AH91" i="4"/>
  <c r="AG91" i="4"/>
  <c r="AG195" i="4" s="1"/>
  <c r="AB91" i="4"/>
  <c r="I91" i="4"/>
  <c r="I195" i="4" s="1"/>
  <c r="B91" i="4"/>
  <c r="B195" i="4" s="1"/>
  <c r="B299" i="4" s="1"/>
  <c r="B403" i="4" s="1"/>
  <c r="B507" i="4" s="1"/>
  <c r="B611" i="4" s="1"/>
  <c r="B715" i="4" s="1"/>
  <c r="B819" i="4" s="1"/>
  <c r="B923" i="4" s="1"/>
  <c r="B1027" i="4" s="1"/>
  <c r="B1131" i="4" s="1"/>
  <c r="B1235" i="4" s="1"/>
  <c r="B1339" i="4" s="1"/>
  <c r="AH90" i="4"/>
  <c r="AG90" i="4"/>
  <c r="AG194" i="4" s="1"/>
  <c r="AB90" i="4"/>
  <c r="AB194" i="4" s="1"/>
  <c r="I90" i="4"/>
  <c r="I194" i="4" s="1"/>
  <c r="B90" i="4"/>
  <c r="B194" i="4" s="1"/>
  <c r="B298" i="4" s="1"/>
  <c r="B402" i="4" s="1"/>
  <c r="B506" i="4" s="1"/>
  <c r="B610" i="4" s="1"/>
  <c r="B714" i="4" s="1"/>
  <c r="B818" i="4" s="1"/>
  <c r="B922" i="4" s="1"/>
  <c r="B1026" i="4" s="1"/>
  <c r="B1130" i="4" s="1"/>
  <c r="B1234" i="4" s="1"/>
  <c r="B1338" i="4" s="1"/>
  <c r="AH89" i="4"/>
  <c r="AG89" i="4"/>
  <c r="AG193" i="4" s="1"/>
  <c r="AB89" i="4"/>
  <c r="I89" i="4"/>
  <c r="I193" i="4" s="1"/>
  <c r="B89" i="4"/>
  <c r="B193" i="4" s="1"/>
  <c r="B297" i="4" s="1"/>
  <c r="B401" i="4" s="1"/>
  <c r="B505" i="4" s="1"/>
  <c r="B609" i="4" s="1"/>
  <c r="B713" i="4" s="1"/>
  <c r="B817" i="4" s="1"/>
  <c r="B921" i="4" s="1"/>
  <c r="B1025" i="4" s="1"/>
  <c r="B1129" i="4" s="1"/>
  <c r="B1233" i="4" s="1"/>
  <c r="B1337" i="4" s="1"/>
  <c r="AH88" i="4"/>
  <c r="AG88" i="4"/>
  <c r="AG192" i="4" s="1"/>
  <c r="AB88" i="4"/>
  <c r="AB192" i="4" s="1"/>
  <c r="I88" i="4"/>
  <c r="I192" i="4" s="1"/>
  <c r="B88" i="4"/>
  <c r="B192" i="4" s="1"/>
  <c r="B296" i="4" s="1"/>
  <c r="B400" i="4" s="1"/>
  <c r="B504" i="4" s="1"/>
  <c r="B608" i="4" s="1"/>
  <c r="B712" i="4" s="1"/>
  <c r="B816" i="4" s="1"/>
  <c r="B920" i="4" s="1"/>
  <c r="B1024" i="4" s="1"/>
  <c r="B1128" i="4" s="1"/>
  <c r="B1232" i="4" s="1"/>
  <c r="B1336" i="4" s="1"/>
  <c r="AH87" i="4"/>
  <c r="AG87" i="4"/>
  <c r="AG191" i="4" s="1"/>
  <c r="AB87" i="4"/>
  <c r="I87" i="4"/>
  <c r="I191" i="4" s="1"/>
  <c r="B87" i="4"/>
  <c r="B191" i="4" s="1"/>
  <c r="B295" i="4" s="1"/>
  <c r="B399" i="4" s="1"/>
  <c r="B503" i="4" s="1"/>
  <c r="B607" i="4" s="1"/>
  <c r="B711" i="4" s="1"/>
  <c r="B815" i="4" s="1"/>
  <c r="B919" i="4" s="1"/>
  <c r="B1023" i="4" s="1"/>
  <c r="B1127" i="4" s="1"/>
  <c r="B1231" i="4" s="1"/>
  <c r="B1335" i="4" s="1"/>
  <c r="AH86" i="4"/>
  <c r="AG86" i="4"/>
  <c r="AG190" i="4" s="1"/>
  <c r="AB86" i="4"/>
  <c r="AB190" i="4" s="1"/>
  <c r="I86" i="4"/>
  <c r="I190" i="4" s="1"/>
  <c r="B86" i="4"/>
  <c r="B190" i="4" s="1"/>
  <c r="B294" i="4" s="1"/>
  <c r="B398" i="4" s="1"/>
  <c r="B502" i="4" s="1"/>
  <c r="B606" i="4" s="1"/>
  <c r="B710" i="4" s="1"/>
  <c r="B814" i="4" s="1"/>
  <c r="B918" i="4" s="1"/>
  <c r="B1022" i="4" s="1"/>
  <c r="B1126" i="4" s="1"/>
  <c r="B1230" i="4" s="1"/>
  <c r="B1334" i="4" s="1"/>
  <c r="AH85" i="4"/>
  <c r="AG85" i="4"/>
  <c r="AG189" i="4" s="1"/>
  <c r="AB85" i="4"/>
  <c r="I85" i="4"/>
  <c r="I189" i="4" s="1"/>
  <c r="B85" i="4"/>
  <c r="B189" i="4" s="1"/>
  <c r="B293" i="4" s="1"/>
  <c r="B397" i="4" s="1"/>
  <c r="B501" i="4" s="1"/>
  <c r="B605" i="4" s="1"/>
  <c r="B709" i="4" s="1"/>
  <c r="B813" i="4" s="1"/>
  <c r="B917" i="4" s="1"/>
  <c r="B1021" i="4" s="1"/>
  <c r="B1125" i="4" s="1"/>
  <c r="B1229" i="4" s="1"/>
  <c r="B1333" i="4" s="1"/>
  <c r="AH84" i="4"/>
  <c r="AG84" i="4"/>
  <c r="AG188" i="4" s="1"/>
  <c r="AB84" i="4"/>
  <c r="AB188" i="4" s="1"/>
  <c r="I84" i="4"/>
  <c r="I188" i="4" s="1"/>
  <c r="B84" i="4"/>
  <c r="B188" i="4" s="1"/>
  <c r="B292" i="4" s="1"/>
  <c r="B396" i="4" s="1"/>
  <c r="B500" i="4" s="1"/>
  <c r="B604" i="4" s="1"/>
  <c r="B708" i="4" s="1"/>
  <c r="B812" i="4" s="1"/>
  <c r="B916" i="4" s="1"/>
  <c r="B1020" i="4" s="1"/>
  <c r="B1124" i="4" s="1"/>
  <c r="B1228" i="4" s="1"/>
  <c r="B1332" i="4" s="1"/>
  <c r="AH83" i="4"/>
  <c r="AG83" i="4"/>
  <c r="AG187" i="4" s="1"/>
  <c r="AB83" i="4"/>
  <c r="I83" i="4"/>
  <c r="I187" i="4" s="1"/>
  <c r="B83" i="4"/>
  <c r="B187" i="4" s="1"/>
  <c r="B291" i="4" s="1"/>
  <c r="B395" i="4" s="1"/>
  <c r="B499" i="4" s="1"/>
  <c r="B603" i="4" s="1"/>
  <c r="B707" i="4" s="1"/>
  <c r="B811" i="4" s="1"/>
  <c r="B915" i="4" s="1"/>
  <c r="B1019" i="4" s="1"/>
  <c r="B1123" i="4" s="1"/>
  <c r="B1227" i="4" s="1"/>
  <c r="B1331" i="4" s="1"/>
  <c r="AH82" i="4"/>
  <c r="AG82" i="4"/>
  <c r="AG186" i="4" s="1"/>
  <c r="AB82" i="4"/>
  <c r="AB186" i="4" s="1"/>
  <c r="I82" i="4"/>
  <c r="I186" i="4" s="1"/>
  <c r="B82" i="4"/>
  <c r="B186" i="4" s="1"/>
  <c r="B290" i="4" s="1"/>
  <c r="B394" i="4" s="1"/>
  <c r="B498" i="4" s="1"/>
  <c r="B602" i="4" s="1"/>
  <c r="B706" i="4" s="1"/>
  <c r="B810" i="4" s="1"/>
  <c r="B914" i="4" s="1"/>
  <c r="B1018" i="4" s="1"/>
  <c r="B1122" i="4" s="1"/>
  <c r="B1226" i="4" s="1"/>
  <c r="B1330" i="4" s="1"/>
  <c r="AH81" i="4"/>
  <c r="AG81" i="4"/>
  <c r="AG185" i="4" s="1"/>
  <c r="AB81" i="4"/>
  <c r="I81" i="4"/>
  <c r="I185" i="4" s="1"/>
  <c r="B81" i="4"/>
  <c r="B185" i="4" s="1"/>
  <c r="B289" i="4" s="1"/>
  <c r="B393" i="4" s="1"/>
  <c r="B497" i="4" s="1"/>
  <c r="B601" i="4" s="1"/>
  <c r="B705" i="4" s="1"/>
  <c r="B809" i="4" s="1"/>
  <c r="B913" i="4" s="1"/>
  <c r="B1017" i="4" s="1"/>
  <c r="B1121" i="4" s="1"/>
  <c r="B1225" i="4" s="1"/>
  <c r="B1329" i="4" s="1"/>
  <c r="AH80" i="4"/>
  <c r="AG80" i="4"/>
  <c r="AG184" i="4" s="1"/>
  <c r="AB80" i="4"/>
  <c r="AB184" i="4" s="1"/>
  <c r="I80" i="4"/>
  <c r="I184" i="4" s="1"/>
  <c r="B80" i="4"/>
  <c r="B184" i="4" s="1"/>
  <c r="B288" i="4" s="1"/>
  <c r="B392" i="4" s="1"/>
  <c r="B496" i="4" s="1"/>
  <c r="B600" i="4" s="1"/>
  <c r="B704" i="4" s="1"/>
  <c r="B808" i="4" s="1"/>
  <c r="B912" i="4" s="1"/>
  <c r="B1016" i="4" s="1"/>
  <c r="B1120" i="4" s="1"/>
  <c r="B1224" i="4" s="1"/>
  <c r="B1328" i="4" s="1"/>
  <c r="AH79" i="4"/>
  <c r="AG79" i="4"/>
  <c r="AG183" i="4" s="1"/>
  <c r="AB79" i="4"/>
  <c r="I79" i="4"/>
  <c r="I183" i="4" s="1"/>
  <c r="B79" i="4"/>
  <c r="B183" i="4" s="1"/>
  <c r="B287" i="4" s="1"/>
  <c r="B391" i="4" s="1"/>
  <c r="B495" i="4" s="1"/>
  <c r="B599" i="4" s="1"/>
  <c r="B703" i="4" s="1"/>
  <c r="B807" i="4" s="1"/>
  <c r="B911" i="4" s="1"/>
  <c r="B1015" i="4" s="1"/>
  <c r="B1119" i="4" s="1"/>
  <c r="B1223" i="4" s="1"/>
  <c r="B1327" i="4" s="1"/>
  <c r="AH78" i="4"/>
  <c r="AG78" i="4"/>
  <c r="AG182" i="4" s="1"/>
  <c r="AB78" i="4"/>
  <c r="AB182" i="4" s="1"/>
  <c r="I78" i="4"/>
  <c r="I182" i="4" s="1"/>
  <c r="B78" i="4"/>
  <c r="B182" i="4" s="1"/>
  <c r="B286" i="4" s="1"/>
  <c r="B390" i="4" s="1"/>
  <c r="B494" i="4" s="1"/>
  <c r="B598" i="4" s="1"/>
  <c r="B702" i="4" s="1"/>
  <c r="B806" i="4" s="1"/>
  <c r="B910" i="4" s="1"/>
  <c r="B1014" i="4" s="1"/>
  <c r="B1118" i="4" s="1"/>
  <c r="B1222" i="4" s="1"/>
  <c r="B1326" i="4" s="1"/>
  <c r="AH77" i="4"/>
  <c r="AG77" i="4"/>
  <c r="AG181" i="4" s="1"/>
  <c r="AB77" i="4"/>
  <c r="I77" i="4"/>
  <c r="I181" i="4" s="1"/>
  <c r="B77" i="4"/>
  <c r="B181" i="4" s="1"/>
  <c r="B285" i="4" s="1"/>
  <c r="B389" i="4" s="1"/>
  <c r="B493" i="4" s="1"/>
  <c r="B597" i="4" s="1"/>
  <c r="B701" i="4" s="1"/>
  <c r="B805" i="4" s="1"/>
  <c r="B909" i="4" s="1"/>
  <c r="B1013" i="4" s="1"/>
  <c r="B1117" i="4" s="1"/>
  <c r="B1221" i="4" s="1"/>
  <c r="B1325" i="4" s="1"/>
  <c r="AH76" i="4"/>
  <c r="AG76" i="4"/>
  <c r="AG180" i="4" s="1"/>
  <c r="AB76" i="4"/>
  <c r="AB180" i="4" s="1"/>
  <c r="I76" i="4"/>
  <c r="I180" i="4" s="1"/>
  <c r="B76" i="4"/>
  <c r="B180" i="4" s="1"/>
  <c r="B284" i="4" s="1"/>
  <c r="B388" i="4" s="1"/>
  <c r="B492" i="4" s="1"/>
  <c r="B596" i="4" s="1"/>
  <c r="B700" i="4" s="1"/>
  <c r="B804" i="4" s="1"/>
  <c r="B908" i="4" s="1"/>
  <c r="B1012" i="4" s="1"/>
  <c r="B1116" i="4" s="1"/>
  <c r="B1220" i="4" s="1"/>
  <c r="B1324" i="4" s="1"/>
  <c r="AH75" i="4"/>
  <c r="AG75" i="4"/>
  <c r="AG179" i="4" s="1"/>
  <c r="AB75" i="4"/>
  <c r="I75" i="4"/>
  <c r="I179" i="4" s="1"/>
  <c r="B75" i="4"/>
  <c r="B179" i="4" s="1"/>
  <c r="B283" i="4" s="1"/>
  <c r="B387" i="4" s="1"/>
  <c r="B491" i="4" s="1"/>
  <c r="B595" i="4" s="1"/>
  <c r="B699" i="4" s="1"/>
  <c r="B803" i="4" s="1"/>
  <c r="B907" i="4" s="1"/>
  <c r="B1011" i="4" s="1"/>
  <c r="B1115" i="4" s="1"/>
  <c r="B1219" i="4" s="1"/>
  <c r="B1323" i="4" s="1"/>
  <c r="AH74" i="4"/>
  <c r="AG74" i="4"/>
  <c r="AG178" i="4" s="1"/>
  <c r="AB74" i="4"/>
  <c r="AB178" i="4" s="1"/>
  <c r="I74" i="4"/>
  <c r="I178" i="4" s="1"/>
  <c r="B74" i="4"/>
  <c r="B178" i="4" s="1"/>
  <c r="B282" i="4" s="1"/>
  <c r="B386" i="4" s="1"/>
  <c r="B490" i="4" s="1"/>
  <c r="B594" i="4" s="1"/>
  <c r="B698" i="4" s="1"/>
  <c r="B802" i="4" s="1"/>
  <c r="B906" i="4" s="1"/>
  <c r="B1010" i="4" s="1"/>
  <c r="B1114" i="4" s="1"/>
  <c r="B1218" i="4" s="1"/>
  <c r="B1322" i="4" s="1"/>
  <c r="AH73" i="4"/>
  <c r="AG73" i="4"/>
  <c r="AG177" i="4" s="1"/>
  <c r="AB73" i="4"/>
  <c r="I73" i="4"/>
  <c r="I177" i="4" s="1"/>
  <c r="B73" i="4"/>
  <c r="B177" i="4" s="1"/>
  <c r="B281" i="4" s="1"/>
  <c r="B385" i="4" s="1"/>
  <c r="B489" i="4" s="1"/>
  <c r="B593" i="4" s="1"/>
  <c r="B697" i="4" s="1"/>
  <c r="B801" i="4" s="1"/>
  <c r="B905" i="4" s="1"/>
  <c r="B1009" i="4" s="1"/>
  <c r="B1113" i="4" s="1"/>
  <c r="B1217" i="4" s="1"/>
  <c r="B1321" i="4" s="1"/>
  <c r="AH72" i="4"/>
  <c r="AG72" i="4"/>
  <c r="AG176" i="4" s="1"/>
  <c r="AB72" i="4"/>
  <c r="AB176" i="4" s="1"/>
  <c r="I72" i="4"/>
  <c r="I176" i="4" s="1"/>
  <c r="B72" i="4"/>
  <c r="B176" i="4" s="1"/>
  <c r="B280" i="4" s="1"/>
  <c r="B384" i="4" s="1"/>
  <c r="B488" i="4" s="1"/>
  <c r="B592" i="4" s="1"/>
  <c r="B696" i="4" s="1"/>
  <c r="B800" i="4" s="1"/>
  <c r="B904" i="4" s="1"/>
  <c r="B1008" i="4" s="1"/>
  <c r="B1112" i="4" s="1"/>
  <c r="B1216" i="4" s="1"/>
  <c r="B1320" i="4" s="1"/>
  <c r="AH71" i="4"/>
  <c r="AG71" i="4"/>
  <c r="AG175" i="4" s="1"/>
  <c r="AB71" i="4"/>
  <c r="I71" i="4"/>
  <c r="I175" i="4" s="1"/>
  <c r="B71" i="4"/>
  <c r="B175" i="4" s="1"/>
  <c r="B279" i="4" s="1"/>
  <c r="B383" i="4" s="1"/>
  <c r="B487" i="4" s="1"/>
  <c r="B591" i="4" s="1"/>
  <c r="B695" i="4" s="1"/>
  <c r="B799" i="4" s="1"/>
  <c r="B903" i="4" s="1"/>
  <c r="B1007" i="4" s="1"/>
  <c r="B1111" i="4" s="1"/>
  <c r="B1215" i="4" s="1"/>
  <c r="B1319" i="4" s="1"/>
  <c r="AH70" i="4"/>
  <c r="AG70" i="4"/>
  <c r="AG174" i="4" s="1"/>
  <c r="AB70" i="4"/>
  <c r="AB174" i="4" s="1"/>
  <c r="I70" i="4"/>
  <c r="I174" i="4" s="1"/>
  <c r="B70" i="4"/>
  <c r="B174" i="4" s="1"/>
  <c r="B278" i="4" s="1"/>
  <c r="B382" i="4" s="1"/>
  <c r="B486" i="4" s="1"/>
  <c r="B590" i="4" s="1"/>
  <c r="B694" i="4" s="1"/>
  <c r="B798" i="4" s="1"/>
  <c r="B902" i="4" s="1"/>
  <c r="B1006" i="4" s="1"/>
  <c r="B1110" i="4" s="1"/>
  <c r="B1214" i="4" s="1"/>
  <c r="B1318" i="4" s="1"/>
  <c r="AH69" i="4"/>
  <c r="AG69" i="4"/>
  <c r="AG173" i="4" s="1"/>
  <c r="AB69" i="4"/>
  <c r="I69" i="4"/>
  <c r="I173" i="4" s="1"/>
  <c r="B69" i="4"/>
  <c r="B173" i="4" s="1"/>
  <c r="B277" i="4" s="1"/>
  <c r="B381" i="4" s="1"/>
  <c r="B485" i="4" s="1"/>
  <c r="B589" i="4" s="1"/>
  <c r="B693" i="4" s="1"/>
  <c r="B797" i="4" s="1"/>
  <c r="B901" i="4" s="1"/>
  <c r="B1005" i="4" s="1"/>
  <c r="B1109" i="4" s="1"/>
  <c r="B1213" i="4" s="1"/>
  <c r="B1317" i="4" s="1"/>
  <c r="AH68" i="4"/>
  <c r="AG68" i="4"/>
  <c r="AG172" i="4" s="1"/>
  <c r="AB68" i="4"/>
  <c r="AB172" i="4" s="1"/>
  <c r="I68" i="4"/>
  <c r="I172" i="4" s="1"/>
  <c r="B68" i="4"/>
  <c r="B172" i="4" s="1"/>
  <c r="B276" i="4" s="1"/>
  <c r="B380" i="4" s="1"/>
  <c r="B484" i="4" s="1"/>
  <c r="B588" i="4" s="1"/>
  <c r="B692" i="4" s="1"/>
  <c r="B796" i="4" s="1"/>
  <c r="B900" i="4" s="1"/>
  <c r="B1004" i="4" s="1"/>
  <c r="B1108" i="4" s="1"/>
  <c r="B1212" i="4" s="1"/>
  <c r="B1316" i="4" s="1"/>
  <c r="AH67" i="4"/>
  <c r="AG67" i="4"/>
  <c r="AG171" i="4" s="1"/>
  <c r="AB67" i="4"/>
  <c r="I67" i="4"/>
  <c r="I171" i="4" s="1"/>
  <c r="B67" i="4"/>
  <c r="B171" i="4" s="1"/>
  <c r="B275" i="4" s="1"/>
  <c r="B379" i="4" s="1"/>
  <c r="B483" i="4" s="1"/>
  <c r="B587" i="4" s="1"/>
  <c r="B691" i="4" s="1"/>
  <c r="B795" i="4" s="1"/>
  <c r="B899" i="4" s="1"/>
  <c r="B1003" i="4" s="1"/>
  <c r="B1107" i="4" s="1"/>
  <c r="B1211" i="4" s="1"/>
  <c r="B1315" i="4" s="1"/>
  <c r="AH66" i="4"/>
  <c r="AG66" i="4"/>
  <c r="AG170" i="4" s="1"/>
  <c r="AB66" i="4"/>
  <c r="AB170" i="4" s="1"/>
  <c r="I66" i="4"/>
  <c r="I170" i="4" s="1"/>
  <c r="B66" i="4"/>
  <c r="B170" i="4" s="1"/>
  <c r="B274" i="4" s="1"/>
  <c r="B378" i="4" s="1"/>
  <c r="B482" i="4" s="1"/>
  <c r="B586" i="4" s="1"/>
  <c r="B690" i="4" s="1"/>
  <c r="B794" i="4" s="1"/>
  <c r="B898" i="4" s="1"/>
  <c r="B1002" i="4" s="1"/>
  <c r="B1106" i="4" s="1"/>
  <c r="B1210" i="4" s="1"/>
  <c r="B1314" i="4" s="1"/>
  <c r="AH65" i="4"/>
  <c r="AG65" i="4"/>
  <c r="AG169" i="4" s="1"/>
  <c r="AB65" i="4"/>
  <c r="I65" i="4"/>
  <c r="I169" i="4" s="1"/>
  <c r="B65" i="4"/>
  <c r="B169" i="4" s="1"/>
  <c r="B273" i="4" s="1"/>
  <c r="B377" i="4" s="1"/>
  <c r="B481" i="4" s="1"/>
  <c r="B585" i="4" s="1"/>
  <c r="B689" i="4" s="1"/>
  <c r="B793" i="4" s="1"/>
  <c r="B897" i="4" s="1"/>
  <c r="B1001" i="4" s="1"/>
  <c r="B1105" i="4" s="1"/>
  <c r="B1209" i="4" s="1"/>
  <c r="B1313" i="4" s="1"/>
  <c r="AH64" i="4"/>
  <c r="AG64" i="4"/>
  <c r="AG168" i="4" s="1"/>
  <c r="AB64" i="4"/>
  <c r="AB168" i="4" s="1"/>
  <c r="I64" i="4"/>
  <c r="I168" i="4" s="1"/>
  <c r="B64" i="4"/>
  <c r="B168" i="4" s="1"/>
  <c r="B272" i="4" s="1"/>
  <c r="B376" i="4" s="1"/>
  <c r="B480" i="4" s="1"/>
  <c r="B584" i="4" s="1"/>
  <c r="B688" i="4" s="1"/>
  <c r="B792" i="4" s="1"/>
  <c r="B896" i="4" s="1"/>
  <c r="B1000" i="4" s="1"/>
  <c r="B1104" i="4" s="1"/>
  <c r="B1208" i="4" s="1"/>
  <c r="B1312" i="4" s="1"/>
  <c r="AH63" i="4"/>
  <c r="AG63" i="4"/>
  <c r="AG167" i="4" s="1"/>
  <c r="AB63" i="4"/>
  <c r="I63" i="4"/>
  <c r="I167" i="4" s="1"/>
  <c r="B63" i="4"/>
  <c r="B167" i="4" s="1"/>
  <c r="B271" i="4" s="1"/>
  <c r="B375" i="4" s="1"/>
  <c r="B479" i="4" s="1"/>
  <c r="B583" i="4" s="1"/>
  <c r="B687" i="4" s="1"/>
  <c r="B791" i="4" s="1"/>
  <c r="B895" i="4" s="1"/>
  <c r="B999" i="4" s="1"/>
  <c r="B1103" i="4" s="1"/>
  <c r="B1207" i="4" s="1"/>
  <c r="B1311" i="4" s="1"/>
  <c r="AH62" i="4"/>
  <c r="AG62" i="4"/>
  <c r="AG166" i="4" s="1"/>
  <c r="AB62" i="4"/>
  <c r="AB166" i="4" s="1"/>
  <c r="I62" i="4"/>
  <c r="I166" i="4" s="1"/>
  <c r="B62" i="4"/>
  <c r="B166" i="4" s="1"/>
  <c r="B270" i="4" s="1"/>
  <c r="B374" i="4" s="1"/>
  <c r="B478" i="4" s="1"/>
  <c r="B582" i="4" s="1"/>
  <c r="B686" i="4" s="1"/>
  <c r="B790" i="4" s="1"/>
  <c r="B894" i="4" s="1"/>
  <c r="B998" i="4" s="1"/>
  <c r="B1102" i="4" s="1"/>
  <c r="B1206" i="4" s="1"/>
  <c r="B1310" i="4" s="1"/>
  <c r="AH61" i="4"/>
  <c r="AG61" i="4"/>
  <c r="AG165" i="4" s="1"/>
  <c r="AB61" i="4"/>
  <c r="I61" i="4"/>
  <c r="I165" i="4" s="1"/>
  <c r="B61" i="4"/>
  <c r="B165" i="4" s="1"/>
  <c r="B269" i="4" s="1"/>
  <c r="B373" i="4" s="1"/>
  <c r="B477" i="4" s="1"/>
  <c r="B581" i="4" s="1"/>
  <c r="B685" i="4" s="1"/>
  <c r="B789" i="4" s="1"/>
  <c r="B893" i="4" s="1"/>
  <c r="B997" i="4" s="1"/>
  <c r="B1101" i="4" s="1"/>
  <c r="B1205" i="4" s="1"/>
  <c r="B1309" i="4" s="1"/>
  <c r="AH60" i="4"/>
  <c r="AG60" i="4"/>
  <c r="AG164" i="4" s="1"/>
  <c r="AB60" i="4"/>
  <c r="AB164" i="4" s="1"/>
  <c r="I60" i="4"/>
  <c r="I164" i="4" s="1"/>
  <c r="B60" i="4"/>
  <c r="B164" i="4" s="1"/>
  <c r="B268" i="4" s="1"/>
  <c r="B372" i="4" s="1"/>
  <c r="B476" i="4" s="1"/>
  <c r="B580" i="4" s="1"/>
  <c r="B684" i="4" s="1"/>
  <c r="B788" i="4" s="1"/>
  <c r="B892" i="4" s="1"/>
  <c r="B996" i="4" s="1"/>
  <c r="B1100" i="4" s="1"/>
  <c r="B1204" i="4" s="1"/>
  <c r="B1308" i="4" s="1"/>
  <c r="AH59" i="4"/>
  <c r="AG59" i="4"/>
  <c r="AG163" i="4" s="1"/>
  <c r="AB59" i="4"/>
  <c r="I59" i="4"/>
  <c r="I163" i="4" s="1"/>
  <c r="B59" i="4"/>
  <c r="B163" i="4" s="1"/>
  <c r="B267" i="4" s="1"/>
  <c r="B371" i="4" s="1"/>
  <c r="B475" i="4" s="1"/>
  <c r="B579" i="4" s="1"/>
  <c r="B683" i="4" s="1"/>
  <c r="B787" i="4" s="1"/>
  <c r="B891" i="4" s="1"/>
  <c r="B995" i="4" s="1"/>
  <c r="B1099" i="4" s="1"/>
  <c r="B1203" i="4" s="1"/>
  <c r="B1307" i="4" s="1"/>
  <c r="AH58" i="4"/>
  <c r="AG58" i="4"/>
  <c r="AG162" i="4" s="1"/>
  <c r="AB58" i="4"/>
  <c r="I58" i="4"/>
  <c r="I162" i="4" s="1"/>
  <c r="B58" i="4"/>
  <c r="B162" i="4" s="1"/>
  <c r="B266" i="4" s="1"/>
  <c r="B370" i="4" s="1"/>
  <c r="B474" i="4" s="1"/>
  <c r="B578" i="4" s="1"/>
  <c r="B682" i="4" s="1"/>
  <c r="B786" i="4" s="1"/>
  <c r="B890" i="4" s="1"/>
  <c r="B994" i="4" s="1"/>
  <c r="B1098" i="4" s="1"/>
  <c r="B1202" i="4" s="1"/>
  <c r="B1306" i="4" s="1"/>
  <c r="AH57" i="4"/>
  <c r="AG57" i="4"/>
  <c r="AG161" i="4" s="1"/>
  <c r="AB57" i="4"/>
  <c r="I57" i="4"/>
  <c r="I161" i="4" s="1"/>
  <c r="B57" i="4"/>
  <c r="B161" i="4" s="1"/>
  <c r="B265" i="4" s="1"/>
  <c r="B369" i="4" s="1"/>
  <c r="B473" i="4" s="1"/>
  <c r="B577" i="4" s="1"/>
  <c r="B681" i="4" s="1"/>
  <c r="B785" i="4" s="1"/>
  <c r="B889" i="4" s="1"/>
  <c r="B993" i="4" s="1"/>
  <c r="B1097" i="4" s="1"/>
  <c r="B1201" i="4" s="1"/>
  <c r="B1305" i="4" s="1"/>
  <c r="AH56" i="4"/>
  <c r="AG56" i="4"/>
  <c r="AG160" i="4" s="1"/>
  <c r="AB56" i="4"/>
  <c r="I56" i="4"/>
  <c r="I160" i="4" s="1"/>
  <c r="B56" i="4"/>
  <c r="B160" i="4" s="1"/>
  <c r="B264" i="4" s="1"/>
  <c r="B368" i="4" s="1"/>
  <c r="B472" i="4" s="1"/>
  <c r="B576" i="4" s="1"/>
  <c r="B680" i="4" s="1"/>
  <c r="B784" i="4" s="1"/>
  <c r="B888" i="4" s="1"/>
  <c r="B992" i="4" s="1"/>
  <c r="B1096" i="4" s="1"/>
  <c r="B1200" i="4" s="1"/>
  <c r="B1304" i="4" s="1"/>
  <c r="AH55" i="4"/>
  <c r="AG55" i="4"/>
  <c r="AG159" i="4" s="1"/>
  <c r="AB55" i="4"/>
  <c r="I55" i="4"/>
  <c r="I159" i="4" s="1"/>
  <c r="B55" i="4"/>
  <c r="B159" i="4" s="1"/>
  <c r="B263" i="4" s="1"/>
  <c r="B367" i="4" s="1"/>
  <c r="B471" i="4" s="1"/>
  <c r="B575" i="4" s="1"/>
  <c r="B679" i="4" s="1"/>
  <c r="B783" i="4" s="1"/>
  <c r="B887" i="4" s="1"/>
  <c r="B991" i="4" s="1"/>
  <c r="B1095" i="4" s="1"/>
  <c r="B1199" i="4" s="1"/>
  <c r="B1303" i="4" s="1"/>
  <c r="AH54" i="4"/>
  <c r="AG54" i="4"/>
  <c r="AG158" i="4" s="1"/>
  <c r="AB54" i="4"/>
  <c r="I54" i="4"/>
  <c r="I158" i="4" s="1"/>
  <c r="B54" i="4"/>
  <c r="B158" i="4" s="1"/>
  <c r="B262" i="4" s="1"/>
  <c r="B366" i="4" s="1"/>
  <c r="B470" i="4" s="1"/>
  <c r="B574" i="4" s="1"/>
  <c r="B678" i="4" s="1"/>
  <c r="B782" i="4" s="1"/>
  <c r="B886" i="4" s="1"/>
  <c r="B990" i="4" s="1"/>
  <c r="B1094" i="4" s="1"/>
  <c r="B1198" i="4" s="1"/>
  <c r="B1302" i="4" s="1"/>
  <c r="AH53" i="4"/>
  <c r="AG53" i="4"/>
  <c r="AG157" i="4" s="1"/>
  <c r="AB53" i="4"/>
  <c r="AB157" i="4" s="1"/>
  <c r="I53" i="4"/>
  <c r="I157" i="4" s="1"/>
  <c r="B53" i="4"/>
  <c r="B157" i="4" s="1"/>
  <c r="B261" i="4" s="1"/>
  <c r="B365" i="4" s="1"/>
  <c r="B469" i="4" s="1"/>
  <c r="B573" i="4" s="1"/>
  <c r="B677" i="4" s="1"/>
  <c r="B781" i="4" s="1"/>
  <c r="B885" i="4" s="1"/>
  <c r="B989" i="4" s="1"/>
  <c r="B1093" i="4" s="1"/>
  <c r="B1197" i="4" s="1"/>
  <c r="B1301" i="4" s="1"/>
  <c r="AH52" i="4"/>
  <c r="AG52" i="4"/>
  <c r="AG156" i="4" s="1"/>
  <c r="AB52" i="4"/>
  <c r="AB156" i="4" s="1"/>
  <c r="I52" i="4"/>
  <c r="I156" i="4" s="1"/>
  <c r="B52" i="4"/>
  <c r="B156" i="4" s="1"/>
  <c r="B260" i="4" s="1"/>
  <c r="B364" i="4" s="1"/>
  <c r="B468" i="4" s="1"/>
  <c r="B572" i="4" s="1"/>
  <c r="B676" i="4" s="1"/>
  <c r="B780" i="4" s="1"/>
  <c r="B884" i="4" s="1"/>
  <c r="B988" i="4" s="1"/>
  <c r="B1092" i="4" s="1"/>
  <c r="B1196" i="4" s="1"/>
  <c r="B1300" i="4" s="1"/>
  <c r="AH51" i="4"/>
  <c r="AG51" i="4"/>
  <c r="AG155" i="4" s="1"/>
  <c r="AB51" i="4"/>
  <c r="AB155" i="4" s="1"/>
  <c r="I51" i="4"/>
  <c r="I155" i="4" s="1"/>
  <c r="B51" i="4"/>
  <c r="B155" i="4" s="1"/>
  <c r="B259" i="4" s="1"/>
  <c r="B363" i="4" s="1"/>
  <c r="B467" i="4" s="1"/>
  <c r="B571" i="4" s="1"/>
  <c r="B675" i="4" s="1"/>
  <c r="B779" i="4" s="1"/>
  <c r="B883" i="4" s="1"/>
  <c r="B987" i="4" s="1"/>
  <c r="B1091" i="4" s="1"/>
  <c r="B1195" i="4" s="1"/>
  <c r="B1299" i="4" s="1"/>
  <c r="AH50" i="4"/>
  <c r="AG50" i="4"/>
  <c r="AG154" i="4" s="1"/>
  <c r="AB50" i="4"/>
  <c r="AB154" i="4" s="1"/>
  <c r="I50" i="4"/>
  <c r="I154" i="4" s="1"/>
  <c r="B50" i="4"/>
  <c r="B154" i="4" s="1"/>
  <c r="B258" i="4" s="1"/>
  <c r="B362" i="4" s="1"/>
  <c r="B466" i="4" s="1"/>
  <c r="B570" i="4" s="1"/>
  <c r="B674" i="4" s="1"/>
  <c r="B778" i="4" s="1"/>
  <c r="B882" i="4" s="1"/>
  <c r="B986" i="4" s="1"/>
  <c r="B1090" i="4" s="1"/>
  <c r="B1194" i="4" s="1"/>
  <c r="B1298" i="4" s="1"/>
  <c r="AH49" i="4"/>
  <c r="AG49" i="4"/>
  <c r="AG153" i="4" s="1"/>
  <c r="AB49" i="4"/>
  <c r="AB153" i="4" s="1"/>
  <c r="I49" i="4"/>
  <c r="I153" i="4" s="1"/>
  <c r="B49" i="4"/>
  <c r="B153" i="4" s="1"/>
  <c r="B257" i="4" s="1"/>
  <c r="B361" i="4" s="1"/>
  <c r="B465" i="4" s="1"/>
  <c r="B569" i="4" s="1"/>
  <c r="B673" i="4" s="1"/>
  <c r="B777" i="4" s="1"/>
  <c r="B881" i="4" s="1"/>
  <c r="B985" i="4" s="1"/>
  <c r="B1089" i="4" s="1"/>
  <c r="B1193" i="4" s="1"/>
  <c r="B1297" i="4" s="1"/>
  <c r="AH48" i="4"/>
  <c r="AG48" i="4"/>
  <c r="AG152" i="4" s="1"/>
  <c r="AB48" i="4"/>
  <c r="AB152" i="4" s="1"/>
  <c r="I48" i="4"/>
  <c r="I152" i="4" s="1"/>
  <c r="B48" i="4"/>
  <c r="B152" i="4" s="1"/>
  <c r="B256" i="4" s="1"/>
  <c r="B360" i="4" s="1"/>
  <c r="B464" i="4" s="1"/>
  <c r="B568" i="4" s="1"/>
  <c r="B672" i="4" s="1"/>
  <c r="B776" i="4" s="1"/>
  <c r="B880" i="4" s="1"/>
  <c r="B984" i="4" s="1"/>
  <c r="B1088" i="4" s="1"/>
  <c r="B1192" i="4" s="1"/>
  <c r="B1296" i="4" s="1"/>
  <c r="AH47" i="4"/>
  <c r="AG47" i="4"/>
  <c r="AG151" i="4" s="1"/>
  <c r="AB47" i="4"/>
  <c r="AB151" i="4" s="1"/>
  <c r="I47" i="4"/>
  <c r="I151" i="4" s="1"/>
  <c r="B47" i="4"/>
  <c r="B151" i="4" s="1"/>
  <c r="B255" i="4" s="1"/>
  <c r="B359" i="4" s="1"/>
  <c r="B463" i="4" s="1"/>
  <c r="B567" i="4" s="1"/>
  <c r="B671" i="4" s="1"/>
  <c r="B775" i="4" s="1"/>
  <c r="B879" i="4" s="1"/>
  <c r="B983" i="4" s="1"/>
  <c r="B1087" i="4" s="1"/>
  <c r="B1191" i="4" s="1"/>
  <c r="B1295" i="4" s="1"/>
  <c r="AH46" i="4"/>
  <c r="AG46" i="4"/>
  <c r="AG150" i="4" s="1"/>
  <c r="AB46" i="4"/>
  <c r="AB150" i="4" s="1"/>
  <c r="I46" i="4"/>
  <c r="I150" i="4" s="1"/>
  <c r="B46" i="4"/>
  <c r="B150" i="4" s="1"/>
  <c r="B254" i="4" s="1"/>
  <c r="B358" i="4" s="1"/>
  <c r="B462" i="4" s="1"/>
  <c r="B566" i="4" s="1"/>
  <c r="B670" i="4" s="1"/>
  <c r="B774" i="4" s="1"/>
  <c r="B878" i="4" s="1"/>
  <c r="B982" i="4" s="1"/>
  <c r="B1086" i="4" s="1"/>
  <c r="B1190" i="4" s="1"/>
  <c r="B1294" i="4" s="1"/>
  <c r="AH45" i="4"/>
  <c r="AG45" i="4"/>
  <c r="AG149" i="4" s="1"/>
  <c r="AB45" i="4"/>
  <c r="AB149" i="4" s="1"/>
  <c r="I45" i="4"/>
  <c r="I149" i="4" s="1"/>
  <c r="B45" i="4"/>
  <c r="B149" i="4" s="1"/>
  <c r="B253" i="4" s="1"/>
  <c r="B357" i="4" s="1"/>
  <c r="B461" i="4" s="1"/>
  <c r="B565" i="4" s="1"/>
  <c r="B669" i="4" s="1"/>
  <c r="B773" i="4" s="1"/>
  <c r="B877" i="4" s="1"/>
  <c r="B981" i="4" s="1"/>
  <c r="B1085" i="4" s="1"/>
  <c r="B1189" i="4" s="1"/>
  <c r="B1293" i="4" s="1"/>
  <c r="AH44" i="4"/>
  <c r="AG44" i="4"/>
  <c r="AG148" i="4" s="1"/>
  <c r="AB44" i="4"/>
  <c r="AB148" i="4" s="1"/>
  <c r="I44" i="4"/>
  <c r="I148" i="4" s="1"/>
  <c r="B44" i="4"/>
  <c r="B148" i="4" s="1"/>
  <c r="B252" i="4" s="1"/>
  <c r="B356" i="4" s="1"/>
  <c r="B460" i="4" s="1"/>
  <c r="B564" i="4" s="1"/>
  <c r="B668" i="4" s="1"/>
  <c r="B772" i="4" s="1"/>
  <c r="B876" i="4" s="1"/>
  <c r="B980" i="4" s="1"/>
  <c r="B1084" i="4" s="1"/>
  <c r="B1188" i="4" s="1"/>
  <c r="B1292" i="4" s="1"/>
  <c r="AH43" i="4"/>
  <c r="AG43" i="4"/>
  <c r="AG147" i="4" s="1"/>
  <c r="AB43" i="4"/>
  <c r="AB147" i="4" s="1"/>
  <c r="I43" i="4"/>
  <c r="I147" i="4" s="1"/>
  <c r="B43" i="4"/>
  <c r="B147" i="4" s="1"/>
  <c r="B251" i="4" s="1"/>
  <c r="B355" i="4" s="1"/>
  <c r="B459" i="4" s="1"/>
  <c r="B563" i="4" s="1"/>
  <c r="B667" i="4" s="1"/>
  <c r="B771" i="4" s="1"/>
  <c r="B875" i="4" s="1"/>
  <c r="B979" i="4" s="1"/>
  <c r="B1083" i="4" s="1"/>
  <c r="B1187" i="4" s="1"/>
  <c r="B1291" i="4" s="1"/>
  <c r="AH42" i="4"/>
  <c r="AG42" i="4"/>
  <c r="AG146" i="4" s="1"/>
  <c r="AB42" i="4"/>
  <c r="AB146" i="4" s="1"/>
  <c r="I42" i="4"/>
  <c r="I146" i="4" s="1"/>
  <c r="B42" i="4"/>
  <c r="B146" i="4" s="1"/>
  <c r="B250" i="4" s="1"/>
  <c r="B354" i="4" s="1"/>
  <c r="B458" i="4" s="1"/>
  <c r="B562" i="4" s="1"/>
  <c r="B666" i="4" s="1"/>
  <c r="B770" i="4" s="1"/>
  <c r="B874" i="4" s="1"/>
  <c r="B978" i="4" s="1"/>
  <c r="B1082" i="4" s="1"/>
  <c r="B1186" i="4" s="1"/>
  <c r="B1290" i="4" s="1"/>
  <c r="AH41" i="4"/>
  <c r="AG41" i="4"/>
  <c r="AG145" i="4" s="1"/>
  <c r="AB41" i="4"/>
  <c r="AB145" i="4" s="1"/>
  <c r="I41" i="4"/>
  <c r="I145" i="4" s="1"/>
  <c r="B41" i="4"/>
  <c r="B145" i="4" s="1"/>
  <c r="B249" i="4" s="1"/>
  <c r="B353" i="4" s="1"/>
  <c r="B457" i="4" s="1"/>
  <c r="B561" i="4" s="1"/>
  <c r="B665" i="4" s="1"/>
  <c r="B769" i="4" s="1"/>
  <c r="B873" i="4" s="1"/>
  <c r="B977" i="4" s="1"/>
  <c r="B1081" i="4" s="1"/>
  <c r="B1185" i="4" s="1"/>
  <c r="B1289" i="4" s="1"/>
  <c r="AH40" i="4"/>
  <c r="AG40" i="4"/>
  <c r="AG144" i="4" s="1"/>
  <c r="AB40" i="4"/>
  <c r="AB144" i="4" s="1"/>
  <c r="I40" i="4"/>
  <c r="I144" i="4" s="1"/>
  <c r="B40" i="4"/>
  <c r="B144" i="4" s="1"/>
  <c r="B248" i="4" s="1"/>
  <c r="B352" i="4" s="1"/>
  <c r="B456" i="4" s="1"/>
  <c r="B560" i="4" s="1"/>
  <c r="B664" i="4" s="1"/>
  <c r="B768" i="4" s="1"/>
  <c r="B872" i="4" s="1"/>
  <c r="B976" i="4" s="1"/>
  <c r="B1080" i="4" s="1"/>
  <c r="B1184" i="4" s="1"/>
  <c r="B1288" i="4" s="1"/>
  <c r="AH39" i="4"/>
  <c r="AG39" i="4"/>
  <c r="AG143" i="4" s="1"/>
  <c r="AB39" i="4"/>
  <c r="AB143" i="4" s="1"/>
  <c r="I39" i="4"/>
  <c r="I143" i="4" s="1"/>
  <c r="B39" i="4"/>
  <c r="B143" i="4" s="1"/>
  <c r="B247" i="4" s="1"/>
  <c r="B351" i="4" s="1"/>
  <c r="B455" i="4" s="1"/>
  <c r="B559" i="4" s="1"/>
  <c r="B663" i="4" s="1"/>
  <c r="B767" i="4" s="1"/>
  <c r="B871" i="4" s="1"/>
  <c r="B975" i="4" s="1"/>
  <c r="B1079" i="4" s="1"/>
  <c r="B1183" i="4" s="1"/>
  <c r="B1287" i="4" s="1"/>
  <c r="AH38" i="4"/>
  <c r="AG38" i="4"/>
  <c r="AG142" i="4" s="1"/>
  <c r="AB38" i="4"/>
  <c r="AB142" i="4" s="1"/>
  <c r="I38" i="4"/>
  <c r="I142" i="4" s="1"/>
  <c r="B38" i="4"/>
  <c r="B142" i="4" s="1"/>
  <c r="B246" i="4" s="1"/>
  <c r="B350" i="4" s="1"/>
  <c r="B454" i="4" s="1"/>
  <c r="B558" i="4" s="1"/>
  <c r="B662" i="4" s="1"/>
  <c r="B766" i="4" s="1"/>
  <c r="B870" i="4" s="1"/>
  <c r="B974" i="4" s="1"/>
  <c r="B1078" i="4" s="1"/>
  <c r="B1182" i="4" s="1"/>
  <c r="B1286" i="4" s="1"/>
  <c r="AH37" i="4"/>
  <c r="AG37" i="4"/>
  <c r="AG141" i="4" s="1"/>
  <c r="AB37" i="4"/>
  <c r="AB141" i="4" s="1"/>
  <c r="I37" i="4"/>
  <c r="I141" i="4" s="1"/>
  <c r="B37" i="4"/>
  <c r="B141" i="4" s="1"/>
  <c r="B245" i="4" s="1"/>
  <c r="B349" i="4" s="1"/>
  <c r="B453" i="4" s="1"/>
  <c r="B557" i="4" s="1"/>
  <c r="B661" i="4" s="1"/>
  <c r="B765" i="4" s="1"/>
  <c r="B869" i="4" s="1"/>
  <c r="B973" i="4" s="1"/>
  <c r="B1077" i="4" s="1"/>
  <c r="B1181" i="4" s="1"/>
  <c r="B1285" i="4" s="1"/>
  <c r="AH36" i="4"/>
  <c r="AG36" i="4"/>
  <c r="AG140" i="4" s="1"/>
  <c r="AB36" i="4"/>
  <c r="AB140" i="4" s="1"/>
  <c r="I36" i="4"/>
  <c r="I140" i="4" s="1"/>
  <c r="B36" i="4"/>
  <c r="B140" i="4" s="1"/>
  <c r="B244" i="4" s="1"/>
  <c r="B348" i="4" s="1"/>
  <c r="B452" i="4" s="1"/>
  <c r="B556" i="4" s="1"/>
  <c r="B660" i="4" s="1"/>
  <c r="B764" i="4" s="1"/>
  <c r="B868" i="4" s="1"/>
  <c r="B972" i="4" s="1"/>
  <c r="B1076" i="4" s="1"/>
  <c r="B1180" i="4" s="1"/>
  <c r="B1284" i="4" s="1"/>
  <c r="AH35" i="4"/>
  <c r="AG35" i="4"/>
  <c r="AG139" i="4" s="1"/>
  <c r="AB35" i="4"/>
  <c r="AB139" i="4" s="1"/>
  <c r="I35" i="4"/>
  <c r="I139" i="4" s="1"/>
  <c r="B35" i="4"/>
  <c r="B139" i="4" s="1"/>
  <c r="B243" i="4" s="1"/>
  <c r="B347" i="4" s="1"/>
  <c r="B451" i="4" s="1"/>
  <c r="B555" i="4" s="1"/>
  <c r="B659" i="4" s="1"/>
  <c r="B763" i="4" s="1"/>
  <c r="B867" i="4" s="1"/>
  <c r="B971" i="4" s="1"/>
  <c r="B1075" i="4" s="1"/>
  <c r="B1179" i="4" s="1"/>
  <c r="B1283" i="4" s="1"/>
  <c r="AH34" i="4"/>
  <c r="AG34" i="4"/>
  <c r="AG138" i="4" s="1"/>
  <c r="AB34" i="4"/>
  <c r="AB138" i="4" s="1"/>
  <c r="I34" i="4"/>
  <c r="I138" i="4" s="1"/>
  <c r="B34" i="4"/>
  <c r="B138" i="4" s="1"/>
  <c r="B242" i="4" s="1"/>
  <c r="B346" i="4" s="1"/>
  <c r="B450" i="4" s="1"/>
  <c r="B554" i="4" s="1"/>
  <c r="B658" i="4" s="1"/>
  <c r="B762" i="4" s="1"/>
  <c r="B866" i="4" s="1"/>
  <c r="B970" i="4" s="1"/>
  <c r="B1074" i="4" s="1"/>
  <c r="B1178" i="4" s="1"/>
  <c r="B1282" i="4" s="1"/>
  <c r="AH33" i="4"/>
  <c r="AG33" i="4"/>
  <c r="AG137" i="4" s="1"/>
  <c r="AB33" i="4"/>
  <c r="AB137" i="4" s="1"/>
  <c r="I33" i="4"/>
  <c r="I137" i="4" s="1"/>
  <c r="B33" i="4"/>
  <c r="B137" i="4" s="1"/>
  <c r="B241" i="4" s="1"/>
  <c r="B345" i="4" s="1"/>
  <c r="B449" i="4" s="1"/>
  <c r="B553" i="4" s="1"/>
  <c r="B657" i="4" s="1"/>
  <c r="B761" i="4" s="1"/>
  <c r="B865" i="4" s="1"/>
  <c r="B969" i="4" s="1"/>
  <c r="B1073" i="4" s="1"/>
  <c r="B1177" i="4" s="1"/>
  <c r="B1281" i="4" s="1"/>
  <c r="AH32" i="4"/>
  <c r="AG32" i="4"/>
  <c r="AG136" i="4" s="1"/>
  <c r="AB32" i="4"/>
  <c r="AB136" i="4" s="1"/>
  <c r="I32" i="4"/>
  <c r="I136" i="4" s="1"/>
  <c r="B32" i="4"/>
  <c r="B136" i="4" s="1"/>
  <c r="B240" i="4" s="1"/>
  <c r="B344" i="4" s="1"/>
  <c r="B448" i="4" s="1"/>
  <c r="B552" i="4" s="1"/>
  <c r="B656" i="4" s="1"/>
  <c r="B760" i="4" s="1"/>
  <c r="B864" i="4" s="1"/>
  <c r="B968" i="4" s="1"/>
  <c r="B1072" i="4" s="1"/>
  <c r="B1176" i="4" s="1"/>
  <c r="B1280" i="4" s="1"/>
  <c r="AH31" i="4"/>
  <c r="AG31" i="4"/>
  <c r="AG135" i="4" s="1"/>
  <c r="AB31" i="4"/>
  <c r="AB135" i="4" s="1"/>
  <c r="I31" i="4"/>
  <c r="I135" i="4" s="1"/>
  <c r="B31" i="4"/>
  <c r="B135" i="4" s="1"/>
  <c r="B239" i="4" s="1"/>
  <c r="B343" i="4" s="1"/>
  <c r="B447" i="4" s="1"/>
  <c r="B551" i="4" s="1"/>
  <c r="B655" i="4" s="1"/>
  <c r="B759" i="4" s="1"/>
  <c r="B863" i="4" s="1"/>
  <c r="B967" i="4" s="1"/>
  <c r="B1071" i="4" s="1"/>
  <c r="B1175" i="4" s="1"/>
  <c r="B1279" i="4" s="1"/>
  <c r="AH30" i="4"/>
  <c r="AG30" i="4"/>
  <c r="AG134" i="4" s="1"/>
  <c r="AB30" i="4"/>
  <c r="AB134" i="4" s="1"/>
  <c r="I30" i="4"/>
  <c r="I134" i="4" s="1"/>
  <c r="B30" i="4"/>
  <c r="B134" i="4" s="1"/>
  <c r="B238" i="4" s="1"/>
  <c r="B342" i="4" s="1"/>
  <c r="B446" i="4" s="1"/>
  <c r="B550" i="4" s="1"/>
  <c r="B654" i="4" s="1"/>
  <c r="B758" i="4" s="1"/>
  <c r="B862" i="4" s="1"/>
  <c r="B966" i="4" s="1"/>
  <c r="B1070" i="4" s="1"/>
  <c r="B1174" i="4" s="1"/>
  <c r="B1278" i="4" s="1"/>
  <c r="AH29" i="4"/>
  <c r="AG29" i="4"/>
  <c r="AG133" i="4" s="1"/>
  <c r="AB29" i="4"/>
  <c r="AB133" i="4" s="1"/>
  <c r="I29" i="4"/>
  <c r="I133" i="4" s="1"/>
  <c r="B29" i="4"/>
  <c r="B133" i="4" s="1"/>
  <c r="B237" i="4" s="1"/>
  <c r="B341" i="4" s="1"/>
  <c r="B445" i="4" s="1"/>
  <c r="B549" i="4" s="1"/>
  <c r="B653" i="4" s="1"/>
  <c r="B757" i="4" s="1"/>
  <c r="B861" i="4" s="1"/>
  <c r="B965" i="4" s="1"/>
  <c r="B1069" i="4" s="1"/>
  <c r="B1173" i="4" s="1"/>
  <c r="B1277" i="4" s="1"/>
  <c r="AH28" i="4"/>
  <c r="AG28" i="4"/>
  <c r="AG132" i="4" s="1"/>
  <c r="AB28" i="4"/>
  <c r="AB132" i="4" s="1"/>
  <c r="I28" i="4"/>
  <c r="I132" i="4" s="1"/>
  <c r="B28" i="4"/>
  <c r="B132" i="4" s="1"/>
  <c r="B236" i="4" s="1"/>
  <c r="B340" i="4" s="1"/>
  <c r="B444" i="4" s="1"/>
  <c r="B548" i="4" s="1"/>
  <c r="B652" i="4" s="1"/>
  <c r="B756" i="4" s="1"/>
  <c r="B860" i="4" s="1"/>
  <c r="B964" i="4" s="1"/>
  <c r="B1068" i="4" s="1"/>
  <c r="B1172" i="4" s="1"/>
  <c r="B1276" i="4" s="1"/>
  <c r="AH27" i="4"/>
  <c r="AG27" i="4"/>
  <c r="AG131" i="4" s="1"/>
  <c r="AB27" i="4"/>
  <c r="AB131" i="4" s="1"/>
  <c r="I27" i="4"/>
  <c r="I131" i="4" s="1"/>
  <c r="B27" i="4"/>
  <c r="B131" i="4" s="1"/>
  <c r="B235" i="4" s="1"/>
  <c r="B339" i="4" s="1"/>
  <c r="B443" i="4" s="1"/>
  <c r="B547" i="4" s="1"/>
  <c r="B651" i="4" s="1"/>
  <c r="B755" i="4" s="1"/>
  <c r="B859" i="4" s="1"/>
  <c r="B963" i="4" s="1"/>
  <c r="B1067" i="4" s="1"/>
  <c r="B1171" i="4" s="1"/>
  <c r="B1275" i="4" s="1"/>
  <c r="AH26" i="4"/>
  <c r="AG26" i="4"/>
  <c r="AG130" i="4" s="1"/>
  <c r="AB26" i="4"/>
  <c r="AB130" i="4" s="1"/>
  <c r="I26" i="4"/>
  <c r="I130" i="4" s="1"/>
  <c r="B26" i="4"/>
  <c r="B130" i="4" s="1"/>
  <c r="B234" i="4" s="1"/>
  <c r="B338" i="4" s="1"/>
  <c r="B442" i="4" s="1"/>
  <c r="B546" i="4" s="1"/>
  <c r="B650" i="4" s="1"/>
  <c r="B754" i="4" s="1"/>
  <c r="B858" i="4" s="1"/>
  <c r="B962" i="4" s="1"/>
  <c r="B1066" i="4" s="1"/>
  <c r="B1170" i="4" s="1"/>
  <c r="B1274" i="4" s="1"/>
  <c r="AH25" i="4"/>
  <c r="AG25" i="4"/>
  <c r="AG129" i="4" s="1"/>
  <c r="AB25" i="4"/>
  <c r="AB129" i="4" s="1"/>
  <c r="I25" i="4"/>
  <c r="I129" i="4" s="1"/>
  <c r="B25" i="4"/>
  <c r="B129" i="4" s="1"/>
  <c r="B233" i="4" s="1"/>
  <c r="B337" i="4" s="1"/>
  <c r="B441" i="4" s="1"/>
  <c r="B545" i="4" s="1"/>
  <c r="B649" i="4" s="1"/>
  <c r="B753" i="4" s="1"/>
  <c r="B857" i="4" s="1"/>
  <c r="B961" i="4" s="1"/>
  <c r="B1065" i="4" s="1"/>
  <c r="B1169" i="4" s="1"/>
  <c r="B1273" i="4" s="1"/>
  <c r="AH24" i="4"/>
  <c r="AG24" i="4"/>
  <c r="AG128" i="4" s="1"/>
  <c r="AB24" i="4"/>
  <c r="AB128" i="4" s="1"/>
  <c r="I24" i="4"/>
  <c r="I128" i="4" s="1"/>
  <c r="B24" i="4"/>
  <c r="B128" i="4" s="1"/>
  <c r="B232" i="4" s="1"/>
  <c r="B336" i="4" s="1"/>
  <c r="B440" i="4" s="1"/>
  <c r="B544" i="4" s="1"/>
  <c r="B648" i="4" s="1"/>
  <c r="B752" i="4" s="1"/>
  <c r="B856" i="4" s="1"/>
  <c r="B960" i="4" s="1"/>
  <c r="B1064" i="4" s="1"/>
  <c r="B1168" i="4" s="1"/>
  <c r="B1272" i="4" s="1"/>
  <c r="AH23" i="4"/>
  <c r="AG23" i="4"/>
  <c r="AG127" i="4" s="1"/>
  <c r="AB23" i="4"/>
  <c r="AB127" i="4" s="1"/>
  <c r="I23" i="4"/>
  <c r="I127" i="4" s="1"/>
  <c r="B23" i="4"/>
  <c r="B127" i="4" s="1"/>
  <c r="B231" i="4" s="1"/>
  <c r="B335" i="4" s="1"/>
  <c r="B439" i="4" s="1"/>
  <c r="B543" i="4" s="1"/>
  <c r="B647" i="4" s="1"/>
  <c r="B751" i="4" s="1"/>
  <c r="B855" i="4" s="1"/>
  <c r="B959" i="4" s="1"/>
  <c r="B1063" i="4" s="1"/>
  <c r="B1167" i="4" s="1"/>
  <c r="B1271" i="4" s="1"/>
  <c r="AH22" i="4"/>
  <c r="AG22" i="4"/>
  <c r="AG126" i="4" s="1"/>
  <c r="AB22" i="4"/>
  <c r="AB126" i="4" s="1"/>
  <c r="I22" i="4"/>
  <c r="I126" i="4" s="1"/>
  <c r="B22" i="4"/>
  <c r="B126" i="4" s="1"/>
  <c r="B230" i="4" s="1"/>
  <c r="B334" i="4" s="1"/>
  <c r="B438" i="4" s="1"/>
  <c r="B542" i="4" s="1"/>
  <c r="B646" i="4" s="1"/>
  <c r="B750" i="4" s="1"/>
  <c r="B854" i="4" s="1"/>
  <c r="B958" i="4" s="1"/>
  <c r="B1062" i="4" s="1"/>
  <c r="B1166" i="4" s="1"/>
  <c r="B1270" i="4" s="1"/>
  <c r="AH21" i="4"/>
  <c r="AG21" i="4"/>
  <c r="AG125" i="4" s="1"/>
  <c r="AB21" i="4"/>
  <c r="AB125" i="4" s="1"/>
  <c r="I21" i="4"/>
  <c r="I125" i="4" s="1"/>
  <c r="B21" i="4"/>
  <c r="B125" i="4" s="1"/>
  <c r="B229" i="4" s="1"/>
  <c r="B333" i="4" s="1"/>
  <c r="B437" i="4" s="1"/>
  <c r="B541" i="4" s="1"/>
  <c r="B645" i="4" s="1"/>
  <c r="B749" i="4" s="1"/>
  <c r="B853" i="4" s="1"/>
  <c r="B957" i="4" s="1"/>
  <c r="B1061" i="4" s="1"/>
  <c r="B1165" i="4" s="1"/>
  <c r="B1269" i="4" s="1"/>
  <c r="AH20" i="4"/>
  <c r="AG20" i="4"/>
  <c r="AG124" i="4" s="1"/>
  <c r="AB20" i="4"/>
  <c r="AB124" i="4" s="1"/>
  <c r="I20" i="4"/>
  <c r="I124" i="4" s="1"/>
  <c r="B20" i="4"/>
  <c r="B124" i="4" s="1"/>
  <c r="B228" i="4" s="1"/>
  <c r="B332" i="4" s="1"/>
  <c r="B436" i="4" s="1"/>
  <c r="B540" i="4" s="1"/>
  <c r="B644" i="4" s="1"/>
  <c r="B748" i="4" s="1"/>
  <c r="B852" i="4" s="1"/>
  <c r="B956" i="4" s="1"/>
  <c r="B1060" i="4" s="1"/>
  <c r="B1164" i="4" s="1"/>
  <c r="B1268" i="4" s="1"/>
  <c r="AH19" i="4"/>
  <c r="AG19" i="4"/>
  <c r="AG123" i="4" s="1"/>
  <c r="AB19" i="4"/>
  <c r="AB123" i="4" s="1"/>
  <c r="I19" i="4"/>
  <c r="I123" i="4" s="1"/>
  <c r="B19" i="4"/>
  <c r="B123" i="4" s="1"/>
  <c r="B227" i="4" s="1"/>
  <c r="B331" i="4" s="1"/>
  <c r="B435" i="4" s="1"/>
  <c r="B539" i="4" s="1"/>
  <c r="B643" i="4" s="1"/>
  <c r="B747" i="4" s="1"/>
  <c r="B851" i="4" s="1"/>
  <c r="B955" i="4" s="1"/>
  <c r="B1059" i="4" s="1"/>
  <c r="B1163" i="4" s="1"/>
  <c r="B1267" i="4" s="1"/>
  <c r="AH18" i="4"/>
  <c r="AG18" i="4"/>
  <c r="AG122" i="4" s="1"/>
  <c r="AB18" i="4"/>
  <c r="AB122" i="4" s="1"/>
  <c r="I18" i="4"/>
  <c r="I122" i="4" s="1"/>
  <c r="B18" i="4"/>
  <c r="B122" i="4" s="1"/>
  <c r="B226" i="4" s="1"/>
  <c r="B330" i="4" s="1"/>
  <c r="B434" i="4" s="1"/>
  <c r="B538" i="4" s="1"/>
  <c r="B642" i="4" s="1"/>
  <c r="B746" i="4" s="1"/>
  <c r="B850" i="4" s="1"/>
  <c r="B954" i="4" s="1"/>
  <c r="B1058" i="4" s="1"/>
  <c r="B1162" i="4" s="1"/>
  <c r="B1266" i="4" s="1"/>
  <c r="AH17" i="4"/>
  <c r="AG17" i="4"/>
  <c r="AG121" i="4" s="1"/>
  <c r="AB17" i="4"/>
  <c r="AB121" i="4" s="1"/>
  <c r="I17" i="4"/>
  <c r="I121" i="4" s="1"/>
  <c r="B17" i="4"/>
  <c r="B121" i="4" s="1"/>
  <c r="B225" i="4" s="1"/>
  <c r="B329" i="4" s="1"/>
  <c r="B433" i="4" s="1"/>
  <c r="B537" i="4" s="1"/>
  <c r="B641" i="4" s="1"/>
  <c r="B745" i="4" s="1"/>
  <c r="B849" i="4" s="1"/>
  <c r="B953" i="4" s="1"/>
  <c r="B1057" i="4" s="1"/>
  <c r="B1161" i="4" s="1"/>
  <c r="B1265" i="4" s="1"/>
  <c r="AH16" i="4"/>
  <c r="AG16" i="4"/>
  <c r="AG120" i="4" s="1"/>
  <c r="AB16" i="4"/>
  <c r="AB120" i="4" s="1"/>
  <c r="I16" i="4"/>
  <c r="I120" i="4" s="1"/>
  <c r="B16" i="4"/>
  <c r="B120" i="4" s="1"/>
  <c r="B224" i="4" s="1"/>
  <c r="B328" i="4" s="1"/>
  <c r="B432" i="4" s="1"/>
  <c r="B536" i="4" s="1"/>
  <c r="B640" i="4" s="1"/>
  <c r="B744" i="4" s="1"/>
  <c r="B848" i="4" s="1"/>
  <c r="B952" i="4" s="1"/>
  <c r="B1056" i="4" s="1"/>
  <c r="B1160" i="4" s="1"/>
  <c r="B1264" i="4" s="1"/>
  <c r="AH15" i="4"/>
  <c r="AG15" i="4"/>
  <c r="AG119" i="4" s="1"/>
  <c r="AB15" i="4"/>
  <c r="AB119" i="4" s="1"/>
  <c r="I15" i="4"/>
  <c r="I119" i="4" s="1"/>
  <c r="B15" i="4"/>
  <c r="B119" i="4" s="1"/>
  <c r="B223" i="4" s="1"/>
  <c r="B327" i="4" s="1"/>
  <c r="B431" i="4" s="1"/>
  <c r="B535" i="4" s="1"/>
  <c r="B639" i="4" s="1"/>
  <c r="B743" i="4" s="1"/>
  <c r="B847" i="4" s="1"/>
  <c r="B951" i="4" s="1"/>
  <c r="B1055" i="4" s="1"/>
  <c r="B1159" i="4" s="1"/>
  <c r="B1263" i="4" s="1"/>
  <c r="AH14" i="4"/>
  <c r="AG14" i="4"/>
  <c r="AG118" i="4" s="1"/>
  <c r="AB14" i="4"/>
  <c r="AB118" i="4" s="1"/>
  <c r="I14" i="4"/>
  <c r="I118" i="4" s="1"/>
  <c r="B14" i="4"/>
  <c r="B118" i="4" s="1"/>
  <c r="B222" i="4" s="1"/>
  <c r="B326" i="4" s="1"/>
  <c r="B430" i="4" s="1"/>
  <c r="B534" i="4" s="1"/>
  <c r="B638" i="4" s="1"/>
  <c r="B742" i="4" s="1"/>
  <c r="B846" i="4" s="1"/>
  <c r="B950" i="4" s="1"/>
  <c r="B1054" i="4" s="1"/>
  <c r="B1158" i="4" s="1"/>
  <c r="B1262" i="4" s="1"/>
  <c r="AH13" i="4"/>
  <c r="AG13" i="4"/>
  <c r="AG117" i="4" s="1"/>
  <c r="AB13" i="4"/>
  <c r="AB117" i="4" s="1"/>
  <c r="I13" i="4"/>
  <c r="I117" i="4" s="1"/>
  <c r="B13" i="4"/>
  <c r="B117" i="4" s="1"/>
  <c r="B221" i="4" s="1"/>
  <c r="B325" i="4" s="1"/>
  <c r="B429" i="4" s="1"/>
  <c r="B533" i="4" s="1"/>
  <c r="B637" i="4" s="1"/>
  <c r="B741" i="4" s="1"/>
  <c r="B845" i="4" s="1"/>
  <c r="B949" i="4" s="1"/>
  <c r="B1053" i="4" s="1"/>
  <c r="B1157" i="4" s="1"/>
  <c r="B1261" i="4" s="1"/>
  <c r="AH12" i="4"/>
  <c r="AG12" i="4"/>
  <c r="AG116" i="4" s="1"/>
  <c r="AB12" i="4"/>
  <c r="AB116" i="4" s="1"/>
  <c r="I12" i="4"/>
  <c r="I116" i="4" s="1"/>
  <c r="B12" i="4"/>
  <c r="B116" i="4" s="1"/>
  <c r="B220" i="4" s="1"/>
  <c r="B324" i="4" s="1"/>
  <c r="B428" i="4" s="1"/>
  <c r="B532" i="4" s="1"/>
  <c r="B636" i="4" s="1"/>
  <c r="B740" i="4" s="1"/>
  <c r="B844" i="4" s="1"/>
  <c r="B948" i="4" s="1"/>
  <c r="B1052" i="4" s="1"/>
  <c r="B1156" i="4" s="1"/>
  <c r="B1260" i="4" s="1"/>
  <c r="AH11" i="4"/>
  <c r="AG11" i="4"/>
  <c r="AG115" i="4" s="1"/>
  <c r="AB11" i="4"/>
  <c r="AB115" i="4" s="1"/>
  <c r="I11" i="4"/>
  <c r="I115" i="4" s="1"/>
  <c r="B11" i="4"/>
  <c r="B115" i="4" s="1"/>
  <c r="B219" i="4" s="1"/>
  <c r="B323" i="4" s="1"/>
  <c r="B427" i="4" s="1"/>
  <c r="B531" i="4" s="1"/>
  <c r="B635" i="4" s="1"/>
  <c r="B739" i="4" s="1"/>
  <c r="B843" i="4" s="1"/>
  <c r="B947" i="4" s="1"/>
  <c r="B1051" i="4" s="1"/>
  <c r="B1155" i="4" s="1"/>
  <c r="B1259" i="4" s="1"/>
  <c r="AH10" i="4"/>
  <c r="AG10" i="4"/>
  <c r="AG114" i="4" s="1"/>
  <c r="AB10" i="4"/>
  <c r="AB114" i="4" s="1"/>
  <c r="I10" i="4"/>
  <c r="I114" i="4" s="1"/>
  <c r="B10" i="4"/>
  <c r="B114" i="4" s="1"/>
  <c r="B218" i="4" s="1"/>
  <c r="B322" i="4" s="1"/>
  <c r="B426" i="4" s="1"/>
  <c r="B530" i="4" s="1"/>
  <c r="B634" i="4" s="1"/>
  <c r="B738" i="4" s="1"/>
  <c r="B842" i="4" s="1"/>
  <c r="B946" i="4" s="1"/>
  <c r="B1050" i="4" s="1"/>
  <c r="B1154" i="4" s="1"/>
  <c r="B1258" i="4" s="1"/>
  <c r="AH9" i="4"/>
  <c r="AG9" i="4"/>
  <c r="AG113" i="4" s="1"/>
  <c r="AB9" i="4"/>
  <c r="AB113" i="4" s="1"/>
  <c r="I9" i="4"/>
  <c r="I113" i="4" s="1"/>
  <c r="B9" i="4"/>
  <c r="B113" i="4" s="1"/>
  <c r="B217" i="4" s="1"/>
  <c r="B321" i="4" s="1"/>
  <c r="B425" i="4" s="1"/>
  <c r="B529" i="4" s="1"/>
  <c r="B633" i="4" s="1"/>
  <c r="B737" i="4" s="1"/>
  <c r="B841" i="4" s="1"/>
  <c r="B945" i="4" s="1"/>
  <c r="B1049" i="4" s="1"/>
  <c r="B1153" i="4" s="1"/>
  <c r="B1257" i="4" s="1"/>
  <c r="AH8" i="4"/>
  <c r="AG8" i="4"/>
  <c r="AG112" i="4" s="1"/>
  <c r="AB8" i="4"/>
  <c r="AB112" i="4" s="1"/>
  <c r="I8" i="4"/>
  <c r="I112" i="4" s="1"/>
  <c r="B8" i="4"/>
  <c r="B112" i="4" s="1"/>
  <c r="B216" i="4" s="1"/>
  <c r="B320" i="4" s="1"/>
  <c r="B424" i="4" s="1"/>
  <c r="B528" i="4" s="1"/>
  <c r="B632" i="4" s="1"/>
  <c r="B736" i="4" s="1"/>
  <c r="B840" i="4" s="1"/>
  <c r="B944" i="4" s="1"/>
  <c r="B1048" i="4" s="1"/>
  <c r="B1152" i="4" s="1"/>
  <c r="B1256" i="4" s="1"/>
  <c r="AH7" i="4"/>
  <c r="AG7" i="4"/>
  <c r="AG111" i="4" s="1"/>
  <c r="AB7" i="4"/>
  <c r="AB111" i="4" s="1"/>
  <c r="I7" i="4"/>
  <c r="I111" i="4" s="1"/>
  <c r="B7" i="4"/>
  <c r="B111" i="4" s="1"/>
  <c r="B215" i="4" s="1"/>
  <c r="B319" i="4" s="1"/>
  <c r="B423" i="4" s="1"/>
  <c r="B527" i="4" s="1"/>
  <c r="B631" i="4" s="1"/>
  <c r="B735" i="4" s="1"/>
  <c r="B839" i="4" s="1"/>
  <c r="B943" i="4" s="1"/>
  <c r="B1047" i="4" s="1"/>
  <c r="B1151" i="4" s="1"/>
  <c r="B1255" i="4" s="1"/>
  <c r="AH6" i="4"/>
  <c r="AG6" i="4"/>
  <c r="AB6" i="4"/>
  <c r="I6" i="4"/>
  <c r="B6" i="4"/>
  <c r="B110" i="4" s="1"/>
  <c r="B214" i="4" s="1"/>
  <c r="B318" i="4" s="1"/>
  <c r="B422" i="4" s="1"/>
  <c r="B526" i="4" s="1"/>
  <c r="B630" i="4" s="1"/>
  <c r="B734" i="4" s="1"/>
  <c r="B838" i="4" s="1"/>
  <c r="B942" i="4" s="1"/>
  <c r="B1046" i="4" s="1"/>
  <c r="B1150" i="4" s="1"/>
  <c r="B1254" i="4" s="1"/>
  <c r="K36" i="44"/>
  <c r="K43" i="44" s="1"/>
  <c r="M32" i="44"/>
  <c r="M33" i="44" s="1"/>
  <c r="N31" i="44"/>
  <c r="C31" i="44"/>
  <c r="C3" i="44"/>
  <c r="AR604" i="45"/>
  <c r="AQ604" i="45"/>
  <c r="AP604" i="45"/>
  <c r="AO604" i="45"/>
  <c r="AN604" i="45"/>
  <c r="AM604" i="45"/>
  <c r="AL604" i="45"/>
  <c r="AK604" i="45"/>
  <c r="AJ604" i="45"/>
  <c r="AI604" i="45"/>
  <c r="AH604" i="45"/>
  <c r="AG604" i="45"/>
  <c r="AF604" i="45"/>
  <c r="AF618" i="45" s="1"/>
  <c r="AE604" i="45"/>
  <c r="AE618" i="45" s="1"/>
  <c r="AD604" i="45"/>
  <c r="AC604" i="45"/>
  <c r="AB604" i="45"/>
  <c r="AA604" i="45"/>
  <c r="Z604" i="45"/>
  <c r="Z618" i="45" s="1"/>
  <c r="Y604" i="45"/>
  <c r="Y618" i="45" s="1"/>
  <c r="X604" i="45"/>
  <c r="W604" i="45"/>
  <c r="V604" i="45"/>
  <c r="U604" i="45"/>
  <c r="V531" i="45"/>
  <c r="V530" i="45"/>
  <c r="W529" i="45"/>
  <c r="W531" i="45" s="1"/>
  <c r="V507" i="45"/>
  <c r="V506" i="45"/>
  <c r="W505" i="45"/>
  <c r="W507" i="45" s="1"/>
  <c r="U483" i="45"/>
  <c r="V480" i="45"/>
  <c r="W494" i="45" s="1"/>
  <c r="U480" i="45"/>
  <c r="U479" i="45"/>
  <c r="U495" i="45" s="1"/>
  <c r="V456" i="45"/>
  <c r="W468" i="45" s="1"/>
  <c r="U456" i="45"/>
  <c r="U471" i="45" s="1"/>
  <c r="U455" i="45"/>
  <c r="U459" i="45" s="1"/>
  <c r="AB431" i="45"/>
  <c r="AB442" i="45" s="1"/>
  <c r="Z431" i="45"/>
  <c r="AA441" i="45" s="1"/>
  <c r="Y431" i="45"/>
  <c r="Y442" i="45" s="1"/>
  <c r="X431" i="45"/>
  <c r="X442" i="45" s="1"/>
  <c r="V431" i="45"/>
  <c r="W441" i="45" s="1"/>
  <c r="U431" i="45"/>
  <c r="U442" i="45" s="1"/>
  <c r="AB407" i="45"/>
  <c r="AB418" i="45" s="1"/>
  <c r="Z407" i="45"/>
  <c r="AA417" i="45" s="1"/>
  <c r="Y407" i="45"/>
  <c r="Y418" i="45" s="1"/>
  <c r="X407" i="45"/>
  <c r="X414" i="45" s="1"/>
  <c r="V407" i="45"/>
  <c r="W417" i="45" s="1"/>
  <c r="U407" i="45"/>
  <c r="U418" i="45" s="1"/>
  <c r="V381" i="45"/>
  <c r="U381" i="45"/>
  <c r="V356" i="45"/>
  <c r="U356" i="45"/>
  <c r="AB331" i="45"/>
  <c r="Z331" i="45"/>
  <c r="Y331" i="45"/>
  <c r="X331" i="45"/>
  <c r="V331" i="45"/>
  <c r="U331" i="45"/>
  <c r="AB307" i="45"/>
  <c r="Z307" i="45"/>
  <c r="Y307" i="45"/>
  <c r="X307" i="45"/>
  <c r="V307" i="45"/>
  <c r="U307" i="45"/>
  <c r="X282" i="45"/>
  <c r="W282" i="45"/>
  <c r="V282" i="45"/>
  <c r="V285" i="45" s="1"/>
  <c r="U282" i="45"/>
  <c r="X258" i="45"/>
  <c r="W258" i="45"/>
  <c r="V258" i="45"/>
  <c r="V261" i="45" s="1"/>
  <c r="U258" i="45"/>
  <c r="X231" i="45"/>
  <c r="X234" i="45" s="1"/>
  <c r="W231" i="45"/>
  <c r="V231" i="45"/>
  <c r="V234" i="45" s="1"/>
  <c r="U231" i="45"/>
  <c r="X207" i="45"/>
  <c r="X210" i="45" s="1"/>
  <c r="W207" i="45"/>
  <c r="V207" i="45"/>
  <c r="V210" i="45" s="1"/>
  <c r="U207" i="45"/>
  <c r="X180" i="45"/>
  <c r="W180" i="45"/>
  <c r="V180" i="45"/>
  <c r="U180" i="45"/>
  <c r="U188" i="45" s="1"/>
  <c r="X156" i="45"/>
  <c r="W156" i="45"/>
  <c r="V156" i="45"/>
  <c r="U156" i="45"/>
  <c r="U164" i="45" s="1"/>
  <c r="X129" i="45"/>
  <c r="X132" i="45" s="1"/>
  <c r="W129" i="45"/>
  <c r="V129" i="45"/>
  <c r="V132" i="45" s="1"/>
  <c r="U129" i="45"/>
  <c r="X105" i="45"/>
  <c r="X108" i="45" s="1"/>
  <c r="W105" i="45"/>
  <c r="V105" i="45"/>
  <c r="V108" i="45" s="1"/>
  <c r="U105" i="45"/>
  <c r="X78" i="45"/>
  <c r="W78" i="45"/>
  <c r="V78" i="45"/>
  <c r="U78" i="45"/>
  <c r="U86" i="45" s="1"/>
  <c r="X54" i="45"/>
  <c r="W54" i="45"/>
  <c r="V54" i="45"/>
  <c r="U54" i="45"/>
  <c r="U62" i="45" s="1"/>
  <c r="Y33" i="45"/>
  <c r="Z33" i="45" s="1"/>
  <c r="Y31" i="45"/>
  <c r="Z31" i="45" s="1"/>
  <c r="X27" i="45"/>
  <c r="W27" i="45"/>
  <c r="V27" i="45"/>
  <c r="U27" i="45"/>
  <c r="Y9" i="45"/>
  <c r="Z9" i="45" s="1"/>
  <c r="Y7" i="45"/>
  <c r="Z7" i="45" s="1"/>
  <c r="X3" i="45"/>
  <c r="W3" i="45"/>
  <c r="V3" i="45"/>
  <c r="U3" i="45"/>
  <c r="G1" i="61"/>
  <c r="G1" i="60"/>
  <c r="N107" i="59"/>
  <c r="N106" i="59"/>
  <c r="N105" i="59"/>
  <c r="N104" i="59"/>
  <c r="N103" i="59"/>
  <c r="N102" i="59"/>
  <c r="N101" i="59"/>
  <c r="N100" i="59"/>
  <c r="N99" i="59"/>
  <c r="N98" i="59"/>
  <c r="N97" i="59"/>
  <c r="N96" i="59"/>
  <c r="N95" i="59"/>
  <c r="N94" i="59"/>
  <c r="N93" i="59"/>
  <c r="N92" i="59"/>
  <c r="N91" i="59"/>
  <c r="N90" i="59"/>
  <c r="N89" i="59"/>
  <c r="N88" i="59"/>
  <c r="N87" i="59"/>
  <c r="N86" i="59"/>
  <c r="N85" i="59"/>
  <c r="N84" i="59"/>
  <c r="N83" i="59"/>
  <c r="N82" i="59"/>
  <c r="N81" i="59"/>
  <c r="N80" i="59"/>
  <c r="N79" i="59"/>
  <c r="N78" i="59"/>
  <c r="N77" i="59"/>
  <c r="N76" i="59"/>
  <c r="N75" i="59"/>
  <c r="N74" i="59"/>
  <c r="N73" i="59"/>
  <c r="N72" i="59"/>
  <c r="N71" i="59"/>
  <c r="N70" i="59"/>
  <c r="N69" i="59"/>
  <c r="N68" i="59"/>
  <c r="N67" i="59"/>
  <c r="N66" i="59"/>
  <c r="N65" i="59"/>
  <c r="N64" i="59"/>
  <c r="N63" i="59"/>
  <c r="N62" i="59"/>
  <c r="N61" i="59"/>
  <c r="N60" i="59"/>
  <c r="N59" i="59"/>
  <c r="N58" i="59"/>
  <c r="N57" i="59"/>
  <c r="N56" i="59"/>
  <c r="N55" i="59"/>
  <c r="N54" i="59"/>
  <c r="N53" i="59"/>
  <c r="N52" i="59"/>
  <c r="N51" i="59"/>
  <c r="N50" i="59"/>
  <c r="N49" i="59"/>
  <c r="N48" i="59"/>
  <c r="N47" i="59"/>
  <c r="N46" i="59"/>
  <c r="N45" i="59"/>
  <c r="N44" i="59"/>
  <c r="N43" i="59"/>
  <c r="N42" i="59"/>
  <c r="N41" i="59"/>
  <c r="N40" i="59"/>
  <c r="N39" i="59"/>
  <c r="N38" i="59"/>
  <c r="N37" i="59"/>
  <c r="N36" i="59"/>
  <c r="N35" i="59"/>
  <c r="N34" i="59"/>
  <c r="N33" i="59"/>
  <c r="N32" i="59"/>
  <c r="N31" i="59"/>
  <c r="N30" i="59"/>
  <c r="N29" i="59"/>
  <c r="N28" i="59"/>
  <c r="N27" i="59"/>
  <c r="N26" i="59"/>
  <c r="N25" i="59"/>
  <c r="N24" i="59"/>
  <c r="N23" i="59"/>
  <c r="N22" i="59"/>
  <c r="N21" i="59"/>
  <c r="N20" i="59"/>
  <c r="N19" i="59"/>
  <c r="N18" i="59"/>
  <c r="N17" i="59"/>
  <c r="N16" i="59"/>
  <c r="N15" i="59"/>
  <c r="N14" i="59"/>
  <c r="N13" i="59"/>
  <c r="N12" i="59"/>
  <c r="N11" i="59"/>
  <c r="N10" i="59"/>
  <c r="N9" i="59"/>
  <c r="N8" i="59"/>
  <c r="N7" i="59"/>
  <c r="N6" i="59"/>
  <c r="N5" i="59"/>
  <c r="N4" i="59"/>
  <c r="G1" i="59"/>
  <c r="N107" i="58"/>
  <c r="N106" i="58"/>
  <c r="N105" i="58"/>
  <c r="N104" i="58"/>
  <c r="N103" i="58"/>
  <c r="N102" i="58"/>
  <c r="N101" i="58"/>
  <c r="N100" i="58"/>
  <c r="N99" i="58"/>
  <c r="N98" i="58"/>
  <c r="N97" i="58"/>
  <c r="N96" i="58"/>
  <c r="N95" i="58"/>
  <c r="N94" i="58"/>
  <c r="N93" i="58"/>
  <c r="N92" i="58"/>
  <c r="N91" i="58"/>
  <c r="N90" i="58"/>
  <c r="N89" i="58"/>
  <c r="N88" i="58"/>
  <c r="N87" i="58"/>
  <c r="N86" i="58"/>
  <c r="N85" i="58"/>
  <c r="N84" i="58"/>
  <c r="N83" i="58"/>
  <c r="N82" i="58"/>
  <c r="N81" i="58"/>
  <c r="N80" i="58"/>
  <c r="N79" i="58"/>
  <c r="N78" i="58"/>
  <c r="N77" i="58"/>
  <c r="N76" i="58"/>
  <c r="N75" i="58"/>
  <c r="N74" i="58"/>
  <c r="N73" i="58"/>
  <c r="N72" i="58"/>
  <c r="N71" i="58"/>
  <c r="N70" i="58"/>
  <c r="N69" i="58"/>
  <c r="N68" i="58"/>
  <c r="N67" i="58"/>
  <c r="N66" i="58"/>
  <c r="N65" i="58"/>
  <c r="N64" i="58"/>
  <c r="N63" i="58"/>
  <c r="N62" i="58"/>
  <c r="N61" i="58"/>
  <c r="N60" i="58"/>
  <c r="N59" i="58"/>
  <c r="N58" i="58"/>
  <c r="N57" i="58"/>
  <c r="N56" i="58"/>
  <c r="N55" i="58"/>
  <c r="N54" i="58"/>
  <c r="N53" i="58"/>
  <c r="N52" i="58"/>
  <c r="N51" i="58"/>
  <c r="N50" i="58"/>
  <c r="N49" i="58"/>
  <c r="N48" i="58"/>
  <c r="N47" i="58"/>
  <c r="N46" i="58"/>
  <c r="N45" i="58"/>
  <c r="N44" i="58"/>
  <c r="N43" i="58"/>
  <c r="N42" i="58"/>
  <c r="N41" i="58"/>
  <c r="N40" i="58"/>
  <c r="N39" i="58"/>
  <c r="N38" i="58"/>
  <c r="N37" i="58"/>
  <c r="N36" i="58"/>
  <c r="N35" i="58"/>
  <c r="N34" i="58"/>
  <c r="N33" i="58"/>
  <c r="N32" i="58"/>
  <c r="N31" i="58"/>
  <c r="N30" i="58"/>
  <c r="N29" i="58"/>
  <c r="N28" i="58"/>
  <c r="N27" i="58"/>
  <c r="N26" i="58"/>
  <c r="N25" i="58"/>
  <c r="N24" i="58"/>
  <c r="N23" i="58"/>
  <c r="N22" i="58"/>
  <c r="N21" i="58"/>
  <c r="N20" i="58"/>
  <c r="N19" i="58"/>
  <c r="N18" i="58"/>
  <c r="N17" i="58"/>
  <c r="N16" i="58"/>
  <c r="N15" i="58"/>
  <c r="N14" i="58"/>
  <c r="N13" i="58"/>
  <c r="N12" i="58"/>
  <c r="N11" i="58"/>
  <c r="N10" i="58"/>
  <c r="N9" i="58"/>
  <c r="N8" i="58"/>
  <c r="N7" i="58"/>
  <c r="N6" i="58"/>
  <c r="N5" i="58"/>
  <c r="N4" i="58"/>
  <c r="G1" i="58"/>
  <c r="N107" i="57"/>
  <c r="N106" i="57"/>
  <c r="N105" i="57"/>
  <c r="N104" i="57"/>
  <c r="N103" i="57"/>
  <c r="N102" i="57"/>
  <c r="N101" i="57"/>
  <c r="N100" i="57"/>
  <c r="N99" i="57"/>
  <c r="N98" i="57"/>
  <c r="N97" i="57"/>
  <c r="N96" i="57"/>
  <c r="N95" i="57"/>
  <c r="N94" i="57"/>
  <c r="N93" i="57"/>
  <c r="N92" i="57"/>
  <c r="N91" i="57"/>
  <c r="N90" i="57"/>
  <c r="N89" i="57"/>
  <c r="N88" i="57"/>
  <c r="N87" i="57"/>
  <c r="N86" i="57"/>
  <c r="N85" i="57"/>
  <c r="N84" i="57"/>
  <c r="N83" i="57"/>
  <c r="N82" i="57"/>
  <c r="N81" i="57"/>
  <c r="N80" i="57"/>
  <c r="N79" i="57"/>
  <c r="N78" i="57"/>
  <c r="N77" i="57"/>
  <c r="N76" i="57"/>
  <c r="N75" i="57"/>
  <c r="N74" i="57"/>
  <c r="N73" i="57"/>
  <c r="N72" i="57"/>
  <c r="N71" i="57"/>
  <c r="N70" i="57"/>
  <c r="N69" i="57"/>
  <c r="N68" i="57"/>
  <c r="N67" i="57"/>
  <c r="N66" i="57"/>
  <c r="N65" i="57"/>
  <c r="N64" i="57"/>
  <c r="N63" i="57"/>
  <c r="N62" i="57"/>
  <c r="N61" i="57"/>
  <c r="N60" i="57"/>
  <c r="N59" i="57"/>
  <c r="N58" i="57"/>
  <c r="N57" i="57"/>
  <c r="N56" i="57"/>
  <c r="N55" i="57"/>
  <c r="N54" i="57"/>
  <c r="N53" i="57"/>
  <c r="N52" i="57"/>
  <c r="N51" i="57"/>
  <c r="N50" i="57"/>
  <c r="N49" i="57"/>
  <c r="N48" i="57"/>
  <c r="N47" i="57"/>
  <c r="N46" i="57"/>
  <c r="N45" i="57"/>
  <c r="N44" i="57"/>
  <c r="N43" i="57"/>
  <c r="N42" i="57"/>
  <c r="N41" i="57"/>
  <c r="N40" i="57"/>
  <c r="N39" i="57"/>
  <c r="N38" i="57"/>
  <c r="N37" i="57"/>
  <c r="N36" i="57"/>
  <c r="N35" i="57"/>
  <c r="N34" i="57"/>
  <c r="N33" i="57"/>
  <c r="N32" i="57"/>
  <c r="N31" i="57"/>
  <c r="N30" i="57"/>
  <c r="N29" i="57"/>
  <c r="N28" i="57"/>
  <c r="N27" i="57"/>
  <c r="N26" i="57"/>
  <c r="N25" i="57"/>
  <c r="N24" i="57"/>
  <c r="N23" i="57"/>
  <c r="N22" i="57"/>
  <c r="N21" i="57"/>
  <c r="N20" i="57"/>
  <c r="N19" i="57"/>
  <c r="N18" i="57"/>
  <c r="N17" i="57"/>
  <c r="N16" i="57"/>
  <c r="N15" i="57"/>
  <c r="N14" i="57"/>
  <c r="N13" i="57"/>
  <c r="N12" i="57"/>
  <c r="N11" i="57"/>
  <c r="N10" i="57"/>
  <c r="N9" i="57"/>
  <c r="N8" i="57"/>
  <c r="N7" i="57"/>
  <c r="N6" i="57"/>
  <c r="N5" i="57"/>
  <c r="N4" i="57"/>
  <c r="G1" i="57"/>
  <c r="N107" i="56"/>
  <c r="N106" i="56"/>
  <c r="N105" i="56"/>
  <c r="N104" i="56"/>
  <c r="N103" i="56"/>
  <c r="N102" i="56"/>
  <c r="N101" i="56"/>
  <c r="N100" i="56"/>
  <c r="N99" i="56"/>
  <c r="N98" i="56"/>
  <c r="N97" i="56"/>
  <c r="N96" i="56"/>
  <c r="N95" i="56"/>
  <c r="N94" i="56"/>
  <c r="N93" i="56"/>
  <c r="N92" i="56"/>
  <c r="N91" i="56"/>
  <c r="N90" i="56"/>
  <c r="N89" i="56"/>
  <c r="N88" i="56"/>
  <c r="N87" i="56"/>
  <c r="N86" i="56"/>
  <c r="N85" i="56"/>
  <c r="N84" i="56"/>
  <c r="N83" i="56"/>
  <c r="N82" i="56"/>
  <c r="N81" i="56"/>
  <c r="N80" i="56"/>
  <c r="N79" i="56"/>
  <c r="N78" i="56"/>
  <c r="N77" i="56"/>
  <c r="N76" i="56"/>
  <c r="N75" i="56"/>
  <c r="N74" i="56"/>
  <c r="N73" i="56"/>
  <c r="N72" i="56"/>
  <c r="N71" i="56"/>
  <c r="N70" i="56"/>
  <c r="N69" i="56"/>
  <c r="N68" i="56"/>
  <c r="N67" i="56"/>
  <c r="N66" i="56"/>
  <c r="N65" i="56"/>
  <c r="N64" i="56"/>
  <c r="N63" i="56"/>
  <c r="N62" i="56"/>
  <c r="N61" i="56"/>
  <c r="N60" i="56"/>
  <c r="N59" i="56"/>
  <c r="N58" i="56"/>
  <c r="N57" i="56"/>
  <c r="N56" i="56"/>
  <c r="N55" i="56"/>
  <c r="N54" i="56"/>
  <c r="N53" i="56"/>
  <c r="N52" i="56"/>
  <c r="N51" i="56"/>
  <c r="N50" i="56"/>
  <c r="N49" i="56"/>
  <c r="N48" i="56"/>
  <c r="N47" i="56"/>
  <c r="N46" i="56"/>
  <c r="N45" i="56"/>
  <c r="N44" i="56"/>
  <c r="N43" i="56"/>
  <c r="N42" i="56"/>
  <c r="N41" i="56"/>
  <c r="N40" i="56"/>
  <c r="N39" i="56"/>
  <c r="N38" i="56"/>
  <c r="N37" i="56"/>
  <c r="N36" i="56"/>
  <c r="N35" i="56"/>
  <c r="N34" i="56"/>
  <c r="N33" i="56"/>
  <c r="N32" i="56"/>
  <c r="N31" i="56"/>
  <c r="N30" i="56"/>
  <c r="N29" i="56"/>
  <c r="N28" i="56"/>
  <c r="N27" i="56"/>
  <c r="N26" i="56"/>
  <c r="N25" i="56"/>
  <c r="N24" i="56"/>
  <c r="N23" i="56"/>
  <c r="N22" i="56"/>
  <c r="N21" i="56"/>
  <c r="N20" i="56"/>
  <c r="N19" i="56"/>
  <c r="N18" i="56"/>
  <c r="N17" i="56"/>
  <c r="N16" i="56"/>
  <c r="N15" i="56"/>
  <c r="N14" i="56"/>
  <c r="N13" i="56"/>
  <c r="N12" i="56"/>
  <c r="N11" i="56"/>
  <c r="N10" i="56"/>
  <c r="N9" i="56"/>
  <c r="N8" i="56"/>
  <c r="N7" i="56"/>
  <c r="N6" i="56"/>
  <c r="N5" i="56"/>
  <c r="N4" i="56"/>
  <c r="G1" i="56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G1" i="55"/>
  <c r="N107" i="54"/>
  <c r="N106" i="54"/>
  <c r="N105" i="54"/>
  <c r="N104" i="54"/>
  <c r="N103" i="54"/>
  <c r="N102" i="54"/>
  <c r="N101" i="54"/>
  <c r="N100" i="54"/>
  <c r="N99" i="54"/>
  <c r="N98" i="54"/>
  <c r="N97" i="54"/>
  <c r="N96" i="54"/>
  <c r="N95" i="54"/>
  <c r="N94" i="54"/>
  <c r="N93" i="54"/>
  <c r="N92" i="54"/>
  <c r="N91" i="54"/>
  <c r="N90" i="54"/>
  <c r="N89" i="54"/>
  <c r="N88" i="54"/>
  <c r="N87" i="54"/>
  <c r="N86" i="54"/>
  <c r="N85" i="54"/>
  <c r="N84" i="54"/>
  <c r="N83" i="54"/>
  <c r="N82" i="54"/>
  <c r="N81" i="54"/>
  <c r="N80" i="54"/>
  <c r="N79" i="54"/>
  <c r="N78" i="54"/>
  <c r="N77" i="54"/>
  <c r="N76" i="54"/>
  <c r="N75" i="54"/>
  <c r="N74" i="54"/>
  <c r="N73" i="54"/>
  <c r="N72" i="54"/>
  <c r="N71" i="54"/>
  <c r="N70" i="54"/>
  <c r="N69" i="54"/>
  <c r="N68" i="54"/>
  <c r="N67" i="54"/>
  <c r="N66" i="54"/>
  <c r="N65" i="54"/>
  <c r="N64" i="54"/>
  <c r="N63" i="54"/>
  <c r="N62" i="54"/>
  <c r="N61" i="54"/>
  <c r="N60" i="54"/>
  <c r="N59" i="54"/>
  <c r="N58" i="54"/>
  <c r="N57" i="54"/>
  <c r="N56" i="54"/>
  <c r="N55" i="54"/>
  <c r="N54" i="54"/>
  <c r="N53" i="54"/>
  <c r="N52" i="54"/>
  <c r="N51" i="54"/>
  <c r="N50" i="54"/>
  <c r="N49" i="54"/>
  <c r="N48" i="54"/>
  <c r="N47" i="54"/>
  <c r="N46" i="54"/>
  <c r="N45" i="54"/>
  <c r="N44" i="54"/>
  <c r="N43" i="54"/>
  <c r="N42" i="54"/>
  <c r="N41" i="54"/>
  <c r="N40" i="54"/>
  <c r="N39" i="54"/>
  <c r="N38" i="54"/>
  <c r="N37" i="54"/>
  <c r="N36" i="54"/>
  <c r="N35" i="54"/>
  <c r="N34" i="54"/>
  <c r="N33" i="54"/>
  <c r="N32" i="54"/>
  <c r="N31" i="54"/>
  <c r="N30" i="54"/>
  <c r="N29" i="54"/>
  <c r="N28" i="54"/>
  <c r="N27" i="54"/>
  <c r="N26" i="54"/>
  <c r="N25" i="54"/>
  <c r="N24" i="54"/>
  <c r="N23" i="54"/>
  <c r="N22" i="54"/>
  <c r="N21" i="54"/>
  <c r="N20" i="54"/>
  <c r="N19" i="54"/>
  <c r="N18" i="54"/>
  <c r="N17" i="54"/>
  <c r="N16" i="54"/>
  <c r="N15" i="54"/>
  <c r="N14" i="54"/>
  <c r="N13" i="54"/>
  <c r="N12" i="54"/>
  <c r="N11" i="54"/>
  <c r="N10" i="54"/>
  <c r="N9" i="54"/>
  <c r="N8" i="54"/>
  <c r="N7" i="54"/>
  <c r="N6" i="54"/>
  <c r="N5" i="54"/>
  <c r="N4" i="54"/>
  <c r="G1" i="54"/>
  <c r="N107" i="53"/>
  <c r="N106" i="53"/>
  <c r="N105" i="53"/>
  <c r="N104" i="53"/>
  <c r="N103" i="53"/>
  <c r="N102" i="53"/>
  <c r="N101" i="53"/>
  <c r="N100" i="53"/>
  <c r="N99" i="53"/>
  <c r="N98" i="53"/>
  <c r="N97" i="53"/>
  <c r="N96" i="53"/>
  <c r="N95" i="53"/>
  <c r="N94" i="53"/>
  <c r="N93" i="53"/>
  <c r="N92" i="53"/>
  <c r="N91" i="53"/>
  <c r="N90" i="53"/>
  <c r="N89" i="53"/>
  <c r="N88" i="53"/>
  <c r="N87" i="53"/>
  <c r="N86" i="53"/>
  <c r="N85" i="53"/>
  <c r="N84" i="53"/>
  <c r="N83" i="53"/>
  <c r="N82" i="53"/>
  <c r="N81" i="53"/>
  <c r="N80" i="53"/>
  <c r="N79" i="53"/>
  <c r="N78" i="53"/>
  <c r="N77" i="53"/>
  <c r="N76" i="53"/>
  <c r="N75" i="53"/>
  <c r="N74" i="53"/>
  <c r="N73" i="53"/>
  <c r="N72" i="53"/>
  <c r="N71" i="53"/>
  <c r="N70" i="53"/>
  <c r="N69" i="53"/>
  <c r="N68" i="53"/>
  <c r="N67" i="53"/>
  <c r="N66" i="53"/>
  <c r="N65" i="53"/>
  <c r="N64" i="53"/>
  <c r="N63" i="53"/>
  <c r="N62" i="53"/>
  <c r="N61" i="53"/>
  <c r="N60" i="53"/>
  <c r="N59" i="53"/>
  <c r="N58" i="53"/>
  <c r="N57" i="53"/>
  <c r="N56" i="53"/>
  <c r="N55" i="53"/>
  <c r="N54" i="53"/>
  <c r="N53" i="53"/>
  <c r="N52" i="53"/>
  <c r="N51" i="53"/>
  <c r="N50" i="53"/>
  <c r="N49" i="53"/>
  <c r="N48" i="53"/>
  <c r="N47" i="53"/>
  <c r="N46" i="53"/>
  <c r="N45" i="53"/>
  <c r="N44" i="53"/>
  <c r="N43" i="53"/>
  <c r="N42" i="53"/>
  <c r="N41" i="53"/>
  <c r="N40" i="53"/>
  <c r="N39" i="53"/>
  <c r="N38" i="53"/>
  <c r="N37" i="53"/>
  <c r="N36" i="53"/>
  <c r="N35" i="53"/>
  <c r="N34" i="53"/>
  <c r="N33" i="53"/>
  <c r="N32" i="53"/>
  <c r="N31" i="53"/>
  <c r="N30" i="53"/>
  <c r="N29" i="53"/>
  <c r="N28" i="53"/>
  <c r="N27" i="53"/>
  <c r="N26" i="53"/>
  <c r="N25" i="53"/>
  <c r="N24" i="53"/>
  <c r="N23" i="53"/>
  <c r="N22" i="53"/>
  <c r="N21" i="53"/>
  <c r="N20" i="53"/>
  <c r="N19" i="53"/>
  <c r="N18" i="53"/>
  <c r="N17" i="53"/>
  <c r="N16" i="53"/>
  <c r="N15" i="53"/>
  <c r="N14" i="53"/>
  <c r="N13" i="53"/>
  <c r="N12" i="53"/>
  <c r="N11" i="53"/>
  <c r="N10" i="53"/>
  <c r="N9" i="53"/>
  <c r="N8" i="53"/>
  <c r="N7" i="53"/>
  <c r="N6" i="53"/>
  <c r="N5" i="53"/>
  <c r="N4" i="53"/>
  <c r="G1" i="53"/>
  <c r="N107" i="52"/>
  <c r="N106" i="52"/>
  <c r="N105" i="52"/>
  <c r="N104" i="52"/>
  <c r="N103" i="52"/>
  <c r="N102" i="52"/>
  <c r="N101" i="52"/>
  <c r="N100" i="52"/>
  <c r="N99" i="52"/>
  <c r="N98" i="52"/>
  <c r="N97" i="52"/>
  <c r="N96" i="52"/>
  <c r="N95" i="52"/>
  <c r="N94" i="52"/>
  <c r="N93" i="52"/>
  <c r="N92" i="52"/>
  <c r="N91" i="52"/>
  <c r="N90" i="52"/>
  <c r="N89" i="52"/>
  <c r="N88" i="52"/>
  <c r="N87" i="52"/>
  <c r="N86" i="52"/>
  <c r="N85" i="52"/>
  <c r="N84" i="52"/>
  <c r="N83" i="52"/>
  <c r="N82" i="52"/>
  <c r="N81" i="52"/>
  <c r="N80" i="52"/>
  <c r="N79" i="52"/>
  <c r="N78" i="52"/>
  <c r="N77" i="52"/>
  <c r="N76" i="52"/>
  <c r="N75" i="52"/>
  <c r="N74" i="52"/>
  <c r="N73" i="52"/>
  <c r="N72" i="52"/>
  <c r="N71" i="52"/>
  <c r="N70" i="52"/>
  <c r="N69" i="52"/>
  <c r="N68" i="52"/>
  <c r="N67" i="52"/>
  <c r="N66" i="52"/>
  <c r="N65" i="52"/>
  <c r="N64" i="52"/>
  <c r="N63" i="52"/>
  <c r="N62" i="52"/>
  <c r="N61" i="52"/>
  <c r="N60" i="52"/>
  <c r="N59" i="52"/>
  <c r="N58" i="52"/>
  <c r="N57" i="52"/>
  <c r="N56" i="52"/>
  <c r="N55" i="52"/>
  <c r="N54" i="52"/>
  <c r="N53" i="52"/>
  <c r="N52" i="52"/>
  <c r="N51" i="52"/>
  <c r="N50" i="52"/>
  <c r="N49" i="52"/>
  <c r="N48" i="52"/>
  <c r="N47" i="52"/>
  <c r="N46" i="52"/>
  <c r="N45" i="52"/>
  <c r="N44" i="52"/>
  <c r="N43" i="52"/>
  <c r="N42" i="52"/>
  <c r="N41" i="52"/>
  <c r="N40" i="52"/>
  <c r="N39" i="52"/>
  <c r="N38" i="52"/>
  <c r="N37" i="52"/>
  <c r="N36" i="52"/>
  <c r="N35" i="52"/>
  <c r="N34" i="52"/>
  <c r="N33" i="52"/>
  <c r="N32" i="52"/>
  <c r="N31" i="52"/>
  <c r="N30" i="52"/>
  <c r="N29" i="52"/>
  <c r="N28" i="52"/>
  <c r="N27" i="52"/>
  <c r="N26" i="52"/>
  <c r="N25" i="52"/>
  <c r="N24" i="52"/>
  <c r="N23" i="52"/>
  <c r="N22" i="52"/>
  <c r="N21" i="52"/>
  <c r="N20" i="52"/>
  <c r="N19" i="52"/>
  <c r="N18" i="52"/>
  <c r="N17" i="52"/>
  <c r="N16" i="52"/>
  <c r="N15" i="52"/>
  <c r="N14" i="52"/>
  <c r="N13" i="52"/>
  <c r="N12" i="52"/>
  <c r="N11" i="52"/>
  <c r="N10" i="52"/>
  <c r="N9" i="52"/>
  <c r="N8" i="52"/>
  <c r="N7" i="52"/>
  <c r="N6" i="52"/>
  <c r="N5" i="52"/>
  <c r="N4" i="52"/>
  <c r="G1" i="52"/>
  <c r="N107" i="51"/>
  <c r="N106" i="51"/>
  <c r="N105" i="51"/>
  <c r="N104" i="51"/>
  <c r="N103" i="51"/>
  <c r="N102" i="51"/>
  <c r="N101" i="51"/>
  <c r="N100" i="51"/>
  <c r="N99" i="51"/>
  <c r="N98" i="51"/>
  <c r="N97" i="51"/>
  <c r="N96" i="51"/>
  <c r="N95" i="51"/>
  <c r="N94" i="51"/>
  <c r="N93" i="51"/>
  <c r="N92" i="51"/>
  <c r="N91" i="51"/>
  <c r="N90" i="51"/>
  <c r="N89" i="51"/>
  <c r="N88" i="51"/>
  <c r="N87" i="51"/>
  <c r="N86" i="51"/>
  <c r="N85" i="51"/>
  <c r="N84" i="51"/>
  <c r="N83" i="51"/>
  <c r="N82" i="51"/>
  <c r="N81" i="51"/>
  <c r="N80" i="51"/>
  <c r="N79" i="51"/>
  <c r="N78" i="51"/>
  <c r="N77" i="51"/>
  <c r="N76" i="51"/>
  <c r="N75" i="51"/>
  <c r="N74" i="51"/>
  <c r="N73" i="51"/>
  <c r="N72" i="51"/>
  <c r="N71" i="51"/>
  <c r="N70" i="51"/>
  <c r="N69" i="51"/>
  <c r="N68" i="51"/>
  <c r="N67" i="51"/>
  <c r="N66" i="51"/>
  <c r="N65" i="51"/>
  <c r="N64" i="51"/>
  <c r="N63" i="51"/>
  <c r="N62" i="51"/>
  <c r="N61" i="51"/>
  <c r="N60" i="51"/>
  <c r="N59" i="51"/>
  <c r="N58" i="51"/>
  <c r="N57" i="51"/>
  <c r="N56" i="51"/>
  <c r="N55" i="51"/>
  <c r="N54" i="51"/>
  <c r="N53" i="51"/>
  <c r="N52" i="51"/>
  <c r="N51" i="51"/>
  <c r="N50" i="51"/>
  <c r="N49" i="51"/>
  <c r="N48" i="51"/>
  <c r="N47" i="51"/>
  <c r="N46" i="51"/>
  <c r="N45" i="51"/>
  <c r="N44" i="51"/>
  <c r="N43" i="51"/>
  <c r="N42" i="51"/>
  <c r="N41" i="51"/>
  <c r="N40" i="51"/>
  <c r="N39" i="51"/>
  <c r="N38" i="51"/>
  <c r="N37" i="51"/>
  <c r="N36" i="51"/>
  <c r="N35" i="51"/>
  <c r="N34" i="51"/>
  <c r="N33" i="51"/>
  <c r="N32" i="51"/>
  <c r="N31" i="51"/>
  <c r="N30" i="51"/>
  <c r="N29" i="51"/>
  <c r="N28" i="51"/>
  <c r="N27" i="51"/>
  <c r="N26" i="51"/>
  <c r="N25" i="51"/>
  <c r="N24" i="51"/>
  <c r="N23" i="51"/>
  <c r="N22" i="51"/>
  <c r="N21" i="51"/>
  <c r="N20" i="51"/>
  <c r="N19" i="51"/>
  <c r="N18" i="51"/>
  <c r="N17" i="51"/>
  <c r="N16" i="51"/>
  <c r="N15" i="51"/>
  <c r="N14" i="51"/>
  <c r="N13" i="51"/>
  <c r="N12" i="51"/>
  <c r="N11" i="51"/>
  <c r="N10" i="51"/>
  <c r="N9" i="51"/>
  <c r="N8" i="51"/>
  <c r="N7" i="51"/>
  <c r="N6" i="51"/>
  <c r="N5" i="51"/>
  <c r="N4" i="51"/>
  <c r="G1" i="51"/>
  <c r="N107" i="50"/>
  <c r="N106" i="50"/>
  <c r="N105" i="50"/>
  <c r="N104" i="50"/>
  <c r="N103" i="50"/>
  <c r="N102" i="50"/>
  <c r="N101" i="50"/>
  <c r="N100" i="50"/>
  <c r="N99" i="50"/>
  <c r="N98" i="50"/>
  <c r="N97" i="50"/>
  <c r="N96" i="50"/>
  <c r="N95" i="50"/>
  <c r="N94" i="50"/>
  <c r="N93" i="50"/>
  <c r="N92" i="50"/>
  <c r="N91" i="50"/>
  <c r="N90" i="50"/>
  <c r="N89" i="50"/>
  <c r="N88" i="50"/>
  <c r="N87" i="50"/>
  <c r="N86" i="50"/>
  <c r="N85" i="50"/>
  <c r="N84" i="50"/>
  <c r="N83" i="50"/>
  <c r="N82" i="50"/>
  <c r="N81" i="50"/>
  <c r="N80" i="50"/>
  <c r="N79" i="50"/>
  <c r="N78" i="50"/>
  <c r="N77" i="50"/>
  <c r="N76" i="50"/>
  <c r="N75" i="50"/>
  <c r="N74" i="50"/>
  <c r="N73" i="50"/>
  <c r="N72" i="50"/>
  <c r="N71" i="50"/>
  <c r="N70" i="50"/>
  <c r="N69" i="50"/>
  <c r="N68" i="50"/>
  <c r="N67" i="50"/>
  <c r="N66" i="50"/>
  <c r="N65" i="50"/>
  <c r="N64" i="50"/>
  <c r="N63" i="50"/>
  <c r="N62" i="50"/>
  <c r="N61" i="50"/>
  <c r="N60" i="50"/>
  <c r="N59" i="50"/>
  <c r="N58" i="50"/>
  <c r="N57" i="50"/>
  <c r="N56" i="50"/>
  <c r="N55" i="50"/>
  <c r="N54" i="50"/>
  <c r="N53" i="50"/>
  <c r="N52" i="50"/>
  <c r="N51" i="50"/>
  <c r="N50" i="50"/>
  <c r="N49" i="50"/>
  <c r="N48" i="50"/>
  <c r="N47" i="50"/>
  <c r="N46" i="50"/>
  <c r="N45" i="50"/>
  <c r="N44" i="50"/>
  <c r="N43" i="50"/>
  <c r="N42" i="50"/>
  <c r="N41" i="50"/>
  <c r="N40" i="50"/>
  <c r="N39" i="50"/>
  <c r="N38" i="50"/>
  <c r="N37" i="50"/>
  <c r="N36" i="50"/>
  <c r="N35" i="50"/>
  <c r="N34" i="50"/>
  <c r="N33" i="50"/>
  <c r="N32" i="50"/>
  <c r="N31" i="50"/>
  <c r="N30" i="50"/>
  <c r="N29" i="50"/>
  <c r="N28" i="50"/>
  <c r="N27" i="50"/>
  <c r="N26" i="50"/>
  <c r="N25" i="50"/>
  <c r="N24" i="50"/>
  <c r="N23" i="50"/>
  <c r="N22" i="50"/>
  <c r="N21" i="50"/>
  <c r="N20" i="50"/>
  <c r="N19" i="50"/>
  <c r="N18" i="50"/>
  <c r="N17" i="50"/>
  <c r="N16" i="50"/>
  <c r="N15" i="50"/>
  <c r="N14" i="50"/>
  <c r="N13" i="50"/>
  <c r="N12" i="50"/>
  <c r="N11" i="50"/>
  <c r="N10" i="50"/>
  <c r="N9" i="50"/>
  <c r="N8" i="50"/>
  <c r="N7" i="50"/>
  <c r="N6" i="50"/>
  <c r="N5" i="50"/>
  <c r="N4" i="50"/>
  <c r="G1" i="50"/>
  <c r="G1" i="43"/>
  <c r="G1" i="42"/>
  <c r="N107" i="41"/>
  <c r="N106" i="41"/>
  <c r="N105" i="41"/>
  <c r="N104" i="41"/>
  <c r="N103" i="41"/>
  <c r="N102" i="41"/>
  <c r="N101" i="41"/>
  <c r="N100" i="41"/>
  <c r="N99" i="41"/>
  <c r="N98" i="41"/>
  <c r="N97" i="41"/>
  <c r="N96" i="41"/>
  <c r="N95" i="41"/>
  <c r="N94" i="41"/>
  <c r="N93" i="41"/>
  <c r="N92" i="41"/>
  <c r="N91" i="41"/>
  <c r="N90" i="41"/>
  <c r="N89" i="41"/>
  <c r="N88" i="41"/>
  <c r="N87" i="41"/>
  <c r="N86" i="41"/>
  <c r="N85" i="41"/>
  <c r="N84" i="41"/>
  <c r="N83" i="41"/>
  <c r="N82" i="41"/>
  <c r="N81" i="41"/>
  <c r="N80" i="41"/>
  <c r="N79" i="41"/>
  <c r="N78" i="41"/>
  <c r="N77" i="41"/>
  <c r="N76" i="41"/>
  <c r="N75" i="41"/>
  <c r="N74" i="41"/>
  <c r="N73" i="41"/>
  <c r="N72" i="41"/>
  <c r="N71" i="41"/>
  <c r="N70" i="41"/>
  <c r="N69" i="41"/>
  <c r="N68" i="41"/>
  <c r="N67" i="41"/>
  <c r="N66" i="41"/>
  <c r="N65" i="41"/>
  <c r="N64" i="41"/>
  <c r="N63" i="41"/>
  <c r="N62" i="41"/>
  <c r="N61" i="41"/>
  <c r="N60" i="41"/>
  <c r="N59" i="41"/>
  <c r="N58" i="41"/>
  <c r="N57" i="41"/>
  <c r="N56" i="41"/>
  <c r="N55" i="41"/>
  <c r="N54" i="41"/>
  <c r="N53" i="41"/>
  <c r="N52" i="41"/>
  <c r="N51" i="41"/>
  <c r="N50" i="41"/>
  <c r="N49" i="41"/>
  <c r="N48" i="41"/>
  <c r="N47" i="41"/>
  <c r="N46" i="41"/>
  <c r="N45" i="41"/>
  <c r="N44" i="41"/>
  <c r="N43" i="41"/>
  <c r="N42" i="41"/>
  <c r="N41" i="41"/>
  <c r="N40" i="41"/>
  <c r="N39" i="41"/>
  <c r="N38" i="41"/>
  <c r="N37" i="41"/>
  <c r="N36" i="41"/>
  <c r="N35" i="41"/>
  <c r="N34" i="41"/>
  <c r="N33" i="41"/>
  <c r="N32" i="41"/>
  <c r="N31" i="41"/>
  <c r="N30" i="41"/>
  <c r="N29" i="41"/>
  <c r="N28" i="41"/>
  <c r="N27" i="41"/>
  <c r="N26" i="41"/>
  <c r="N25" i="41"/>
  <c r="N24" i="41"/>
  <c r="N23" i="41"/>
  <c r="N22" i="41"/>
  <c r="N21" i="41"/>
  <c r="N20" i="41"/>
  <c r="N19" i="41"/>
  <c r="N18" i="41"/>
  <c r="N17" i="41"/>
  <c r="N16" i="41"/>
  <c r="N15" i="41"/>
  <c r="N14" i="41"/>
  <c r="N13" i="41"/>
  <c r="N12" i="41"/>
  <c r="N11" i="41"/>
  <c r="N10" i="41"/>
  <c r="N9" i="41"/>
  <c r="N8" i="41"/>
  <c r="N7" i="41"/>
  <c r="N6" i="41"/>
  <c r="N5" i="41"/>
  <c r="N4" i="41"/>
  <c r="G1" i="41"/>
  <c r="N107" i="40"/>
  <c r="N106" i="40"/>
  <c r="N105" i="40"/>
  <c r="N104" i="40"/>
  <c r="N103" i="40"/>
  <c r="N102" i="40"/>
  <c r="N101" i="40"/>
  <c r="N100" i="40"/>
  <c r="N99" i="40"/>
  <c r="N98" i="40"/>
  <c r="N97" i="40"/>
  <c r="N96" i="40"/>
  <c r="N95" i="40"/>
  <c r="N94" i="40"/>
  <c r="N93" i="40"/>
  <c r="N92" i="40"/>
  <c r="N91" i="40"/>
  <c r="N90" i="40"/>
  <c r="N89" i="40"/>
  <c r="N88" i="40"/>
  <c r="N87" i="40"/>
  <c r="N86" i="40"/>
  <c r="N85" i="40"/>
  <c r="N84" i="40"/>
  <c r="N83" i="40"/>
  <c r="N82" i="40"/>
  <c r="N81" i="40"/>
  <c r="N80" i="40"/>
  <c r="N79" i="40"/>
  <c r="N78" i="40"/>
  <c r="N77" i="40"/>
  <c r="N76" i="40"/>
  <c r="N75" i="40"/>
  <c r="N74" i="40"/>
  <c r="N73" i="40"/>
  <c r="N72" i="40"/>
  <c r="N71" i="40"/>
  <c r="N70" i="40"/>
  <c r="N69" i="40"/>
  <c r="N68" i="40"/>
  <c r="N67" i="40"/>
  <c r="N66" i="40"/>
  <c r="N65" i="40"/>
  <c r="N64" i="40"/>
  <c r="N63" i="40"/>
  <c r="N62" i="40"/>
  <c r="N61" i="40"/>
  <c r="N60" i="40"/>
  <c r="N59" i="40"/>
  <c r="N58" i="40"/>
  <c r="N57" i="40"/>
  <c r="N56" i="40"/>
  <c r="N55" i="40"/>
  <c r="N54" i="40"/>
  <c r="N53" i="40"/>
  <c r="N52" i="40"/>
  <c r="N51" i="40"/>
  <c r="N50" i="40"/>
  <c r="N49" i="40"/>
  <c r="N48" i="40"/>
  <c r="N47" i="40"/>
  <c r="N46" i="40"/>
  <c r="N45" i="40"/>
  <c r="N44" i="40"/>
  <c r="N43" i="40"/>
  <c r="N42" i="40"/>
  <c r="N41" i="40"/>
  <c r="N40" i="40"/>
  <c r="N39" i="40"/>
  <c r="N38" i="40"/>
  <c r="N37" i="40"/>
  <c r="N36" i="40"/>
  <c r="N35" i="40"/>
  <c r="N34" i="40"/>
  <c r="N33" i="40"/>
  <c r="N32" i="40"/>
  <c r="N31" i="40"/>
  <c r="N30" i="40"/>
  <c r="N29" i="40"/>
  <c r="N28" i="40"/>
  <c r="N27" i="40"/>
  <c r="N26" i="40"/>
  <c r="N25" i="40"/>
  <c r="N24" i="40"/>
  <c r="N23" i="40"/>
  <c r="N22" i="40"/>
  <c r="N21" i="40"/>
  <c r="N20" i="40"/>
  <c r="N19" i="40"/>
  <c r="N18" i="40"/>
  <c r="N17" i="40"/>
  <c r="N16" i="40"/>
  <c r="N15" i="40"/>
  <c r="N14" i="40"/>
  <c r="N13" i="40"/>
  <c r="N12" i="40"/>
  <c r="N11" i="40"/>
  <c r="N10" i="40"/>
  <c r="N9" i="40"/>
  <c r="N8" i="40"/>
  <c r="N7" i="40"/>
  <c r="N6" i="40"/>
  <c r="N5" i="40"/>
  <c r="N4" i="40"/>
  <c r="G1" i="40"/>
  <c r="N107" i="39"/>
  <c r="N106" i="39"/>
  <c r="N105" i="39"/>
  <c r="N104" i="39"/>
  <c r="N103" i="39"/>
  <c r="N102" i="39"/>
  <c r="N101" i="39"/>
  <c r="N100" i="39"/>
  <c r="N99" i="39"/>
  <c r="N98" i="39"/>
  <c r="N97" i="39"/>
  <c r="N96" i="39"/>
  <c r="N95" i="39"/>
  <c r="N94" i="39"/>
  <c r="N93" i="39"/>
  <c r="N92" i="39"/>
  <c r="N91" i="39"/>
  <c r="N90" i="39"/>
  <c r="N89" i="39"/>
  <c r="N88" i="39"/>
  <c r="N87" i="39"/>
  <c r="N86" i="39"/>
  <c r="N85" i="39"/>
  <c r="N84" i="39"/>
  <c r="N83" i="39"/>
  <c r="N82" i="39"/>
  <c r="N81" i="39"/>
  <c r="N80" i="39"/>
  <c r="N79" i="39"/>
  <c r="N78" i="39"/>
  <c r="N77" i="39"/>
  <c r="N76" i="39"/>
  <c r="N75" i="39"/>
  <c r="N74" i="39"/>
  <c r="N73" i="39"/>
  <c r="N72" i="39"/>
  <c r="N71" i="39"/>
  <c r="N70" i="39"/>
  <c r="N69" i="39"/>
  <c r="N68" i="39"/>
  <c r="N67" i="39"/>
  <c r="N66" i="39"/>
  <c r="N65" i="39"/>
  <c r="N64" i="39"/>
  <c r="N63" i="39"/>
  <c r="N62" i="39"/>
  <c r="N61" i="39"/>
  <c r="N60" i="39"/>
  <c r="N59" i="39"/>
  <c r="N58" i="39"/>
  <c r="N57" i="39"/>
  <c r="N56" i="39"/>
  <c r="N55" i="39"/>
  <c r="N54" i="39"/>
  <c r="N53" i="39"/>
  <c r="N52" i="39"/>
  <c r="N51" i="39"/>
  <c r="N50" i="39"/>
  <c r="N49" i="39"/>
  <c r="N48" i="39"/>
  <c r="N47" i="39"/>
  <c r="N46" i="39"/>
  <c r="N45" i="39"/>
  <c r="N44" i="39"/>
  <c r="N43" i="39"/>
  <c r="N42" i="39"/>
  <c r="N41" i="39"/>
  <c r="N40" i="39"/>
  <c r="N39" i="39"/>
  <c r="N38" i="39"/>
  <c r="N37" i="39"/>
  <c r="N36" i="39"/>
  <c r="N35" i="39"/>
  <c r="N34" i="39"/>
  <c r="N33" i="39"/>
  <c r="N32" i="39"/>
  <c r="N31" i="39"/>
  <c r="N30" i="39"/>
  <c r="N29" i="39"/>
  <c r="N28" i="39"/>
  <c r="N27" i="39"/>
  <c r="N26" i="39"/>
  <c r="N25" i="39"/>
  <c r="N24" i="39"/>
  <c r="N23" i="39"/>
  <c r="N22" i="39"/>
  <c r="N21" i="39"/>
  <c r="N20" i="39"/>
  <c r="N19" i="39"/>
  <c r="N18" i="39"/>
  <c r="N17" i="39"/>
  <c r="N16" i="39"/>
  <c r="N15" i="39"/>
  <c r="N14" i="39"/>
  <c r="N13" i="39"/>
  <c r="N12" i="39"/>
  <c r="N11" i="39"/>
  <c r="N10" i="39"/>
  <c r="N9" i="39"/>
  <c r="N8" i="39"/>
  <c r="N7" i="39"/>
  <c r="N6" i="39"/>
  <c r="N5" i="39"/>
  <c r="N4" i="39"/>
  <c r="G1" i="39"/>
  <c r="N107" i="38"/>
  <c r="N106" i="38"/>
  <c r="N105" i="38"/>
  <c r="N104" i="38"/>
  <c r="N103" i="38"/>
  <c r="N102" i="38"/>
  <c r="N101" i="38"/>
  <c r="N100" i="38"/>
  <c r="N99" i="38"/>
  <c r="N98" i="38"/>
  <c r="N97" i="38"/>
  <c r="N96" i="38"/>
  <c r="N95" i="38"/>
  <c r="N94" i="38"/>
  <c r="N93" i="38"/>
  <c r="N92" i="38"/>
  <c r="N91" i="38"/>
  <c r="N90" i="38"/>
  <c r="N89" i="38"/>
  <c r="N88" i="38"/>
  <c r="N87" i="38"/>
  <c r="N86" i="38"/>
  <c r="N85" i="38"/>
  <c r="N84" i="38"/>
  <c r="N83" i="38"/>
  <c r="N82" i="38"/>
  <c r="N81" i="38"/>
  <c r="N80" i="38"/>
  <c r="N79" i="38"/>
  <c r="N78" i="38"/>
  <c r="N77" i="38"/>
  <c r="N76" i="38"/>
  <c r="N75" i="38"/>
  <c r="N74" i="38"/>
  <c r="N73" i="38"/>
  <c r="N72" i="38"/>
  <c r="N71" i="38"/>
  <c r="N70" i="38"/>
  <c r="N69" i="38"/>
  <c r="N68" i="38"/>
  <c r="N67" i="38"/>
  <c r="N66" i="38"/>
  <c r="N65" i="38"/>
  <c r="N64" i="38"/>
  <c r="N63" i="38"/>
  <c r="N62" i="38"/>
  <c r="N61" i="38"/>
  <c r="N60" i="38"/>
  <c r="N59" i="38"/>
  <c r="N58" i="38"/>
  <c r="N57" i="38"/>
  <c r="N56" i="38"/>
  <c r="N55" i="38"/>
  <c r="N54" i="38"/>
  <c r="N53" i="38"/>
  <c r="N52" i="38"/>
  <c r="N51" i="38"/>
  <c r="N50" i="38"/>
  <c r="N49" i="38"/>
  <c r="N48" i="38"/>
  <c r="N47" i="38"/>
  <c r="N46" i="38"/>
  <c r="N45" i="38"/>
  <c r="N44" i="38"/>
  <c r="N43" i="38"/>
  <c r="N42" i="38"/>
  <c r="N41" i="38"/>
  <c r="N40" i="38"/>
  <c r="N39" i="38"/>
  <c r="N38" i="38"/>
  <c r="N37" i="38"/>
  <c r="N36" i="38"/>
  <c r="N35" i="38"/>
  <c r="N34" i="38"/>
  <c r="N33" i="38"/>
  <c r="N32" i="38"/>
  <c r="N31" i="38"/>
  <c r="N30" i="38"/>
  <c r="N29" i="38"/>
  <c r="N28" i="38"/>
  <c r="N27" i="38"/>
  <c r="N26" i="38"/>
  <c r="N25" i="38"/>
  <c r="N24" i="38"/>
  <c r="N23" i="38"/>
  <c r="N22" i="38"/>
  <c r="N21" i="38"/>
  <c r="N20" i="38"/>
  <c r="N19" i="38"/>
  <c r="N18" i="38"/>
  <c r="N17" i="38"/>
  <c r="N16" i="38"/>
  <c r="N15" i="38"/>
  <c r="N14" i="38"/>
  <c r="N13" i="38"/>
  <c r="N12" i="38"/>
  <c r="N11" i="38"/>
  <c r="N10" i="38"/>
  <c r="N9" i="38"/>
  <c r="N8" i="38"/>
  <c r="N7" i="38"/>
  <c r="N6" i="38"/>
  <c r="N5" i="38"/>
  <c r="N4" i="38"/>
  <c r="G1" i="38"/>
  <c r="N107" i="37"/>
  <c r="N106" i="37"/>
  <c r="N105" i="37"/>
  <c r="N104" i="37"/>
  <c r="N103" i="37"/>
  <c r="N102" i="37"/>
  <c r="N101" i="37"/>
  <c r="N100" i="37"/>
  <c r="N99" i="37"/>
  <c r="N98" i="37"/>
  <c r="N97" i="37"/>
  <c r="N96" i="37"/>
  <c r="N95" i="37"/>
  <c r="N94" i="37"/>
  <c r="N93" i="37"/>
  <c r="N92" i="37"/>
  <c r="N91" i="37"/>
  <c r="N90" i="37"/>
  <c r="N89" i="37"/>
  <c r="N88" i="37"/>
  <c r="N87" i="37"/>
  <c r="N86" i="37"/>
  <c r="N85" i="37"/>
  <c r="N84" i="37"/>
  <c r="N83" i="37"/>
  <c r="N82" i="37"/>
  <c r="N81" i="37"/>
  <c r="N80" i="37"/>
  <c r="N79" i="37"/>
  <c r="N78" i="37"/>
  <c r="N77" i="37"/>
  <c r="N76" i="37"/>
  <c r="N75" i="37"/>
  <c r="N74" i="37"/>
  <c r="N73" i="37"/>
  <c r="N72" i="37"/>
  <c r="N71" i="37"/>
  <c r="N70" i="37"/>
  <c r="N69" i="37"/>
  <c r="N68" i="37"/>
  <c r="N67" i="37"/>
  <c r="N66" i="37"/>
  <c r="N65" i="37"/>
  <c r="N64" i="37"/>
  <c r="N63" i="37"/>
  <c r="N62" i="37"/>
  <c r="N61" i="37"/>
  <c r="N60" i="37"/>
  <c r="N59" i="37"/>
  <c r="N58" i="37"/>
  <c r="N57" i="37"/>
  <c r="N56" i="37"/>
  <c r="N55" i="37"/>
  <c r="N54" i="37"/>
  <c r="N53" i="37"/>
  <c r="N52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N37" i="37"/>
  <c r="N36" i="37"/>
  <c r="N35" i="37"/>
  <c r="N34" i="37"/>
  <c r="N33" i="37"/>
  <c r="N32" i="37"/>
  <c r="N31" i="37"/>
  <c r="N30" i="37"/>
  <c r="N29" i="37"/>
  <c r="N28" i="37"/>
  <c r="N27" i="37"/>
  <c r="N26" i="37"/>
  <c r="N25" i="37"/>
  <c r="N24" i="37"/>
  <c r="N23" i="37"/>
  <c r="N22" i="37"/>
  <c r="N21" i="37"/>
  <c r="N20" i="37"/>
  <c r="N19" i="37"/>
  <c r="N18" i="37"/>
  <c r="N17" i="37"/>
  <c r="N16" i="37"/>
  <c r="N15" i="37"/>
  <c r="N14" i="37"/>
  <c r="N13" i="37"/>
  <c r="N12" i="37"/>
  <c r="N11" i="37"/>
  <c r="N10" i="37"/>
  <c r="N9" i="37"/>
  <c r="N8" i="37"/>
  <c r="N7" i="37"/>
  <c r="N6" i="37"/>
  <c r="N5" i="37"/>
  <c r="N4" i="37"/>
  <c r="G1" i="37"/>
  <c r="N107" i="36"/>
  <c r="N106" i="36"/>
  <c r="N105" i="36"/>
  <c r="N104" i="36"/>
  <c r="N103" i="36"/>
  <c r="N102" i="36"/>
  <c r="N101" i="36"/>
  <c r="N100" i="36"/>
  <c r="N99" i="36"/>
  <c r="N98" i="36"/>
  <c r="N97" i="36"/>
  <c r="N96" i="36"/>
  <c r="N95" i="36"/>
  <c r="N94" i="36"/>
  <c r="N93" i="36"/>
  <c r="N92" i="36"/>
  <c r="N91" i="36"/>
  <c r="N90" i="36"/>
  <c r="N89" i="36"/>
  <c r="N88" i="36"/>
  <c r="N87" i="36"/>
  <c r="N86" i="36"/>
  <c r="N85" i="36"/>
  <c r="N84" i="36"/>
  <c r="N83" i="36"/>
  <c r="N82" i="36"/>
  <c r="N81" i="36"/>
  <c r="N80" i="36"/>
  <c r="N79" i="36"/>
  <c r="N78" i="36"/>
  <c r="N77" i="36"/>
  <c r="N76" i="36"/>
  <c r="N75" i="36"/>
  <c r="N74" i="36"/>
  <c r="N73" i="36"/>
  <c r="N72" i="36"/>
  <c r="N71" i="36"/>
  <c r="N70" i="36"/>
  <c r="N69" i="36"/>
  <c r="N68" i="36"/>
  <c r="N67" i="36"/>
  <c r="N66" i="36"/>
  <c r="N65" i="36"/>
  <c r="N64" i="36"/>
  <c r="N63" i="36"/>
  <c r="N62" i="36"/>
  <c r="N61" i="36"/>
  <c r="N60" i="36"/>
  <c r="N59" i="36"/>
  <c r="N58" i="36"/>
  <c r="N57" i="36"/>
  <c r="N56" i="36"/>
  <c r="N55" i="36"/>
  <c r="N54" i="36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N29" i="36"/>
  <c r="N28" i="36"/>
  <c r="N27" i="36"/>
  <c r="N26" i="36"/>
  <c r="N25" i="36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G1" i="36"/>
  <c r="N107" i="35"/>
  <c r="N106" i="35"/>
  <c r="N105" i="35"/>
  <c r="N104" i="35"/>
  <c r="N103" i="35"/>
  <c r="N102" i="35"/>
  <c r="N101" i="35"/>
  <c r="N100" i="35"/>
  <c r="N99" i="35"/>
  <c r="N98" i="35"/>
  <c r="N97" i="35"/>
  <c r="N96" i="35"/>
  <c r="N95" i="35"/>
  <c r="N94" i="35"/>
  <c r="N93" i="35"/>
  <c r="N92" i="35"/>
  <c r="N91" i="35"/>
  <c r="N90" i="35"/>
  <c r="N89" i="35"/>
  <c r="N88" i="35"/>
  <c r="N87" i="35"/>
  <c r="N86" i="35"/>
  <c r="N85" i="35"/>
  <c r="N84" i="35"/>
  <c r="N83" i="35"/>
  <c r="N82" i="35"/>
  <c r="N81" i="35"/>
  <c r="N80" i="35"/>
  <c r="N79" i="35"/>
  <c r="N78" i="35"/>
  <c r="N77" i="35"/>
  <c r="N76" i="35"/>
  <c r="N75" i="35"/>
  <c r="N74" i="35"/>
  <c r="N73" i="35"/>
  <c r="N72" i="35"/>
  <c r="N71" i="35"/>
  <c r="N70" i="35"/>
  <c r="N69" i="35"/>
  <c r="N68" i="35"/>
  <c r="N67" i="35"/>
  <c r="N66" i="35"/>
  <c r="N65" i="35"/>
  <c r="N64" i="35"/>
  <c r="N63" i="35"/>
  <c r="N62" i="35"/>
  <c r="N61" i="35"/>
  <c r="N60" i="35"/>
  <c r="N59" i="35"/>
  <c r="N58" i="35"/>
  <c r="N57" i="35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4" i="35"/>
  <c r="G1" i="35"/>
  <c r="N107" i="34"/>
  <c r="N106" i="34"/>
  <c r="N105" i="34"/>
  <c r="N104" i="34"/>
  <c r="N103" i="34"/>
  <c r="N102" i="34"/>
  <c r="N101" i="34"/>
  <c r="N100" i="34"/>
  <c r="N99" i="34"/>
  <c r="N98" i="34"/>
  <c r="N97" i="34"/>
  <c r="N96" i="34"/>
  <c r="N95" i="34"/>
  <c r="N94" i="34"/>
  <c r="N93" i="34"/>
  <c r="N92" i="34"/>
  <c r="N91" i="34"/>
  <c r="N90" i="34"/>
  <c r="N89" i="34"/>
  <c r="N88" i="34"/>
  <c r="N87" i="34"/>
  <c r="N86" i="34"/>
  <c r="N85" i="34"/>
  <c r="N84" i="34"/>
  <c r="N83" i="34"/>
  <c r="N82" i="34"/>
  <c r="N81" i="34"/>
  <c r="N80" i="34"/>
  <c r="N79" i="34"/>
  <c r="N78" i="34"/>
  <c r="N77" i="34"/>
  <c r="N76" i="34"/>
  <c r="N75" i="34"/>
  <c r="N74" i="34"/>
  <c r="N73" i="34"/>
  <c r="N72" i="34"/>
  <c r="N71" i="34"/>
  <c r="N70" i="34"/>
  <c r="N69" i="34"/>
  <c r="N68" i="34"/>
  <c r="N67" i="34"/>
  <c r="N66" i="34"/>
  <c r="N65" i="34"/>
  <c r="N64" i="34"/>
  <c r="N63" i="34"/>
  <c r="N62" i="34"/>
  <c r="N61" i="34"/>
  <c r="N60" i="34"/>
  <c r="N59" i="34"/>
  <c r="N58" i="34"/>
  <c r="N57" i="34"/>
  <c r="N56" i="34"/>
  <c r="N55" i="34"/>
  <c r="N54" i="34"/>
  <c r="N53" i="34"/>
  <c r="N52" i="34"/>
  <c r="N51" i="34"/>
  <c r="N50" i="34"/>
  <c r="N49" i="34"/>
  <c r="N48" i="34"/>
  <c r="N47" i="34"/>
  <c r="N46" i="34"/>
  <c r="N45" i="34"/>
  <c r="N44" i="34"/>
  <c r="N43" i="34"/>
  <c r="N42" i="34"/>
  <c r="N41" i="34"/>
  <c r="N40" i="34"/>
  <c r="N39" i="34"/>
  <c r="N38" i="34"/>
  <c r="N37" i="34"/>
  <c r="N36" i="34"/>
  <c r="N35" i="34"/>
  <c r="N34" i="34"/>
  <c r="N33" i="34"/>
  <c r="N32" i="34"/>
  <c r="N31" i="34"/>
  <c r="N30" i="34"/>
  <c r="N29" i="34"/>
  <c r="N28" i="34"/>
  <c r="N27" i="34"/>
  <c r="N26" i="34"/>
  <c r="N25" i="34"/>
  <c r="N24" i="34"/>
  <c r="N23" i="34"/>
  <c r="N22" i="34"/>
  <c r="N21" i="34"/>
  <c r="N20" i="34"/>
  <c r="N19" i="34"/>
  <c r="N18" i="34"/>
  <c r="N17" i="34"/>
  <c r="N16" i="34"/>
  <c r="N15" i="34"/>
  <c r="N14" i="34"/>
  <c r="N13" i="34"/>
  <c r="N12" i="34"/>
  <c r="N11" i="34"/>
  <c r="N10" i="34"/>
  <c r="N9" i="34"/>
  <c r="N8" i="34"/>
  <c r="N7" i="34"/>
  <c r="N6" i="34"/>
  <c r="N5" i="34"/>
  <c r="N4" i="34"/>
  <c r="G1" i="34"/>
  <c r="N107" i="33"/>
  <c r="N106" i="33"/>
  <c r="N105" i="33"/>
  <c r="N104" i="33"/>
  <c r="N103" i="33"/>
  <c r="N102" i="33"/>
  <c r="N101" i="33"/>
  <c r="N100" i="33"/>
  <c r="N99" i="33"/>
  <c r="N98" i="33"/>
  <c r="N97" i="33"/>
  <c r="N96" i="33"/>
  <c r="N95" i="33"/>
  <c r="N94" i="33"/>
  <c r="N93" i="33"/>
  <c r="N92" i="33"/>
  <c r="N91" i="33"/>
  <c r="N90" i="33"/>
  <c r="N89" i="33"/>
  <c r="N88" i="33"/>
  <c r="N87" i="33"/>
  <c r="N86" i="33"/>
  <c r="N85" i="33"/>
  <c r="N84" i="33"/>
  <c r="N83" i="33"/>
  <c r="N82" i="33"/>
  <c r="N81" i="33"/>
  <c r="N80" i="33"/>
  <c r="N79" i="33"/>
  <c r="N78" i="33"/>
  <c r="N77" i="33"/>
  <c r="N76" i="33"/>
  <c r="N75" i="33"/>
  <c r="N74" i="33"/>
  <c r="N73" i="33"/>
  <c r="N72" i="33"/>
  <c r="N71" i="33"/>
  <c r="N70" i="33"/>
  <c r="N69" i="33"/>
  <c r="N68" i="33"/>
  <c r="N67" i="33"/>
  <c r="N66" i="33"/>
  <c r="N65" i="33"/>
  <c r="N64" i="33"/>
  <c r="N63" i="33"/>
  <c r="N62" i="33"/>
  <c r="N61" i="33"/>
  <c r="N60" i="33"/>
  <c r="N59" i="33"/>
  <c r="N58" i="33"/>
  <c r="N57" i="33"/>
  <c r="N56" i="33"/>
  <c r="N55" i="33"/>
  <c r="N54" i="33"/>
  <c r="N53" i="33"/>
  <c r="N52" i="33"/>
  <c r="N51" i="33"/>
  <c r="N50" i="33"/>
  <c r="N49" i="33"/>
  <c r="N48" i="33"/>
  <c r="N47" i="33"/>
  <c r="N46" i="33"/>
  <c r="N45" i="33"/>
  <c r="N44" i="33"/>
  <c r="N43" i="33"/>
  <c r="N42" i="33"/>
  <c r="N41" i="33"/>
  <c r="N40" i="33"/>
  <c r="N39" i="33"/>
  <c r="N38" i="33"/>
  <c r="N37" i="33"/>
  <c r="N36" i="33"/>
  <c r="N35" i="33"/>
  <c r="N34" i="33"/>
  <c r="N33" i="33"/>
  <c r="N32" i="33"/>
  <c r="N31" i="33"/>
  <c r="N30" i="33"/>
  <c r="N29" i="33"/>
  <c r="N28" i="33"/>
  <c r="N27" i="33"/>
  <c r="N26" i="33"/>
  <c r="N25" i="33"/>
  <c r="N24" i="33"/>
  <c r="N23" i="33"/>
  <c r="N22" i="33"/>
  <c r="N21" i="33"/>
  <c r="N20" i="33"/>
  <c r="N19" i="33"/>
  <c r="N18" i="33"/>
  <c r="N17" i="33"/>
  <c r="N16" i="33"/>
  <c r="N15" i="33"/>
  <c r="N14" i="33"/>
  <c r="N13" i="33"/>
  <c r="N12" i="33"/>
  <c r="N11" i="33"/>
  <c r="N10" i="33"/>
  <c r="N9" i="33"/>
  <c r="N8" i="33"/>
  <c r="N7" i="33"/>
  <c r="N6" i="33"/>
  <c r="N5" i="33"/>
  <c r="N4" i="33"/>
  <c r="G1" i="33"/>
  <c r="N107" i="32"/>
  <c r="N106" i="32"/>
  <c r="N105" i="32"/>
  <c r="N104" i="32"/>
  <c r="N103" i="32"/>
  <c r="N102" i="32"/>
  <c r="N101" i="32"/>
  <c r="N100" i="32"/>
  <c r="N99" i="32"/>
  <c r="N98" i="32"/>
  <c r="N97" i="32"/>
  <c r="N96" i="32"/>
  <c r="N95" i="32"/>
  <c r="N94" i="32"/>
  <c r="N93" i="32"/>
  <c r="N92" i="32"/>
  <c r="N91" i="32"/>
  <c r="N90" i="32"/>
  <c r="N89" i="32"/>
  <c r="N88" i="32"/>
  <c r="N87" i="32"/>
  <c r="N86" i="32"/>
  <c r="N85" i="32"/>
  <c r="N84" i="32"/>
  <c r="N83" i="32"/>
  <c r="N82" i="32"/>
  <c r="N81" i="32"/>
  <c r="N80" i="32"/>
  <c r="N79" i="32"/>
  <c r="N78" i="32"/>
  <c r="N77" i="32"/>
  <c r="N76" i="32"/>
  <c r="N75" i="32"/>
  <c r="N74" i="32"/>
  <c r="N73" i="32"/>
  <c r="N72" i="32"/>
  <c r="N71" i="32"/>
  <c r="N70" i="32"/>
  <c r="N69" i="32"/>
  <c r="N68" i="32"/>
  <c r="N67" i="32"/>
  <c r="N66" i="32"/>
  <c r="N65" i="32"/>
  <c r="N64" i="32"/>
  <c r="N63" i="32"/>
  <c r="N62" i="32"/>
  <c r="N61" i="32"/>
  <c r="N60" i="32"/>
  <c r="N59" i="32"/>
  <c r="N58" i="32"/>
  <c r="N57" i="32"/>
  <c r="N56" i="32"/>
  <c r="N55" i="32"/>
  <c r="N54" i="32"/>
  <c r="N53" i="32"/>
  <c r="N52" i="32"/>
  <c r="N51" i="32"/>
  <c r="N50" i="32"/>
  <c r="N49" i="32"/>
  <c r="N48" i="32"/>
  <c r="N47" i="32"/>
  <c r="N46" i="32"/>
  <c r="N45" i="32"/>
  <c r="N44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7" i="32"/>
  <c r="N16" i="32"/>
  <c r="N15" i="32"/>
  <c r="N14" i="32"/>
  <c r="N13" i="32"/>
  <c r="N12" i="32"/>
  <c r="N11" i="32"/>
  <c r="N10" i="32"/>
  <c r="N9" i="32"/>
  <c r="N8" i="32"/>
  <c r="N7" i="32"/>
  <c r="N6" i="32"/>
  <c r="N5" i="32"/>
  <c r="N4" i="32"/>
  <c r="G1" i="32"/>
  <c r="E618" i="49"/>
  <c r="B618" i="49"/>
  <c r="E617" i="49"/>
  <c r="B617" i="49"/>
  <c r="E616" i="49"/>
  <c r="B616" i="49"/>
  <c r="E615" i="49"/>
  <c r="B615" i="49"/>
  <c r="E614" i="49"/>
  <c r="E613" i="49"/>
  <c r="B613" i="49"/>
  <c r="E612" i="49"/>
  <c r="B612" i="49"/>
  <c r="E611" i="49"/>
  <c r="B611" i="49"/>
  <c r="E610" i="49"/>
  <c r="B610" i="49"/>
  <c r="E609" i="49"/>
  <c r="E608" i="49"/>
  <c r="B608" i="49"/>
  <c r="E607" i="49"/>
  <c r="B607" i="49"/>
  <c r="E606" i="49"/>
  <c r="B606" i="49"/>
  <c r="E605" i="49"/>
  <c r="B605" i="49"/>
  <c r="E604" i="49"/>
  <c r="E603" i="49"/>
  <c r="B603" i="49"/>
  <c r="E602" i="49"/>
  <c r="B602" i="49"/>
  <c r="E601" i="49"/>
  <c r="B601" i="49"/>
  <c r="E600" i="49"/>
  <c r="E599" i="49"/>
  <c r="B599" i="49"/>
  <c r="E598" i="49"/>
  <c r="B598" i="49"/>
  <c r="E597" i="49"/>
  <c r="B597" i="49"/>
  <c r="E596" i="49"/>
  <c r="B596" i="49"/>
  <c r="E595" i="49"/>
  <c r="B595" i="49"/>
  <c r="E594" i="49"/>
  <c r="B594" i="49"/>
  <c r="E593" i="49"/>
  <c r="B593" i="49"/>
  <c r="E592" i="49"/>
  <c r="B592" i="49"/>
  <c r="E591" i="49"/>
  <c r="B591" i="49"/>
  <c r="E590" i="49"/>
  <c r="B590" i="49"/>
  <c r="E589" i="49"/>
  <c r="B589" i="49"/>
  <c r="E588" i="49"/>
  <c r="B588" i="49"/>
  <c r="E587" i="49"/>
  <c r="B587" i="49"/>
  <c r="E586" i="49"/>
  <c r="B586" i="49"/>
  <c r="E585" i="49"/>
  <c r="B585" i="49"/>
  <c r="E584" i="49"/>
  <c r="E583" i="49"/>
  <c r="B583" i="49"/>
  <c r="E582" i="49"/>
  <c r="B582" i="49"/>
  <c r="E581" i="49"/>
  <c r="B581" i="49"/>
  <c r="E580" i="49"/>
  <c r="B580" i="49"/>
  <c r="E579" i="49"/>
  <c r="B579" i="49"/>
  <c r="E578" i="49"/>
  <c r="B578" i="49"/>
  <c r="E577" i="49"/>
  <c r="B577" i="49"/>
  <c r="E576" i="49"/>
  <c r="B576" i="49"/>
  <c r="E575" i="49"/>
  <c r="B575" i="49"/>
  <c r="E574" i="49"/>
  <c r="B574" i="49"/>
  <c r="E573" i="49"/>
  <c r="B573" i="49"/>
  <c r="E572" i="49"/>
  <c r="B572" i="49"/>
  <c r="E571" i="49"/>
  <c r="B571" i="49"/>
  <c r="E570" i="49"/>
  <c r="B570" i="49"/>
  <c r="E569" i="49"/>
  <c r="E568" i="49"/>
  <c r="B568" i="49"/>
  <c r="E567" i="49"/>
  <c r="B567" i="49"/>
  <c r="E566" i="49"/>
  <c r="B566" i="49"/>
  <c r="E565" i="49"/>
  <c r="E564" i="49"/>
  <c r="B564" i="49"/>
  <c r="E563" i="49"/>
  <c r="B563" i="49"/>
  <c r="E562" i="49"/>
  <c r="B562" i="49"/>
  <c r="E561" i="49"/>
  <c r="E560" i="49"/>
  <c r="B560" i="49"/>
  <c r="E559" i="49"/>
  <c r="B559" i="49"/>
  <c r="E558" i="49"/>
  <c r="B558" i="49"/>
  <c r="E557" i="49"/>
  <c r="E556" i="49"/>
  <c r="B556" i="49"/>
  <c r="E555" i="49"/>
  <c r="B555" i="49"/>
  <c r="E554" i="49"/>
  <c r="B554" i="49"/>
  <c r="E553" i="49"/>
  <c r="E552" i="49"/>
  <c r="B552" i="49"/>
  <c r="E551" i="49"/>
  <c r="B551" i="49"/>
  <c r="E550" i="49"/>
  <c r="B550" i="49"/>
  <c r="E549" i="49"/>
  <c r="B549" i="49"/>
  <c r="E548" i="49"/>
  <c r="B548" i="49"/>
  <c r="E547" i="49"/>
  <c r="B547" i="49"/>
  <c r="E546" i="49"/>
  <c r="B546" i="49"/>
  <c r="E545" i="49"/>
  <c r="B545" i="49"/>
  <c r="E544" i="49"/>
  <c r="B544" i="49"/>
  <c r="E543" i="49"/>
  <c r="B543" i="49"/>
  <c r="E542" i="49"/>
  <c r="E537" i="49"/>
  <c r="B537" i="49"/>
  <c r="E536" i="49"/>
  <c r="B536" i="49"/>
  <c r="E535" i="49"/>
  <c r="B535" i="49"/>
  <c r="E534" i="49"/>
  <c r="B534" i="49"/>
  <c r="E533" i="49"/>
  <c r="B533" i="49"/>
  <c r="E532" i="49"/>
  <c r="B532" i="49"/>
  <c r="E531" i="49"/>
  <c r="E527" i="49"/>
  <c r="E526" i="49"/>
  <c r="B526" i="49"/>
  <c r="E525" i="49"/>
  <c r="B525" i="49"/>
  <c r="E524" i="49"/>
  <c r="B524" i="49"/>
  <c r="E523" i="49"/>
  <c r="B523" i="49"/>
  <c r="E522" i="49"/>
  <c r="B522" i="49"/>
  <c r="E521" i="49"/>
  <c r="B521" i="49"/>
  <c r="E520" i="49"/>
  <c r="B520" i="49"/>
  <c r="E519" i="49"/>
  <c r="B519" i="49"/>
  <c r="E518" i="49"/>
  <c r="B518" i="49"/>
  <c r="E517" i="49"/>
  <c r="B517" i="49"/>
  <c r="E516" i="49"/>
  <c r="B516" i="49"/>
  <c r="E515" i="49"/>
  <c r="B515" i="49"/>
  <c r="E514" i="49"/>
  <c r="B514" i="49"/>
  <c r="E513" i="49"/>
  <c r="B513" i="49"/>
  <c r="E512" i="49"/>
  <c r="B512" i="49"/>
  <c r="E511" i="49"/>
  <c r="B511" i="49"/>
  <c r="E510" i="49"/>
  <c r="B510" i="49"/>
  <c r="E509" i="49"/>
  <c r="B509" i="49"/>
  <c r="E508" i="49"/>
  <c r="B508" i="49"/>
  <c r="E507" i="49"/>
  <c r="B507" i="49"/>
  <c r="E506" i="49"/>
  <c r="E505" i="49"/>
  <c r="B505" i="49"/>
  <c r="E504" i="49"/>
  <c r="B504" i="49"/>
  <c r="E503" i="49"/>
  <c r="B503" i="49"/>
  <c r="E502" i="49"/>
  <c r="B502" i="49"/>
  <c r="E501" i="49"/>
  <c r="B501" i="49"/>
  <c r="E500" i="49"/>
  <c r="B500" i="49"/>
  <c r="E499" i="49"/>
  <c r="B499" i="49"/>
  <c r="E498" i="49"/>
  <c r="B498" i="49"/>
  <c r="E497" i="49"/>
  <c r="B497" i="49"/>
  <c r="E496" i="49"/>
  <c r="B496" i="49"/>
  <c r="E495" i="49"/>
  <c r="B495" i="49"/>
  <c r="E494" i="49"/>
  <c r="B494" i="49"/>
  <c r="E493" i="49"/>
  <c r="B493" i="49"/>
  <c r="E492" i="49"/>
  <c r="B492" i="49"/>
  <c r="E491" i="49"/>
  <c r="B491" i="49"/>
  <c r="E490" i="49"/>
  <c r="B490" i="49"/>
  <c r="E489" i="49"/>
  <c r="B489" i="49"/>
  <c r="E488" i="49"/>
  <c r="B488" i="49"/>
  <c r="E487" i="49"/>
  <c r="E486" i="49"/>
  <c r="B486" i="49"/>
  <c r="E485" i="49"/>
  <c r="B485" i="49"/>
  <c r="E484" i="49"/>
  <c r="B484" i="49"/>
  <c r="E483" i="49"/>
  <c r="B483" i="49"/>
  <c r="E482" i="49"/>
  <c r="E481" i="49"/>
  <c r="E480" i="49"/>
  <c r="B480" i="49"/>
  <c r="E479" i="49"/>
  <c r="B479" i="49"/>
  <c r="E478" i="49"/>
  <c r="B478" i="49"/>
  <c r="E477" i="49"/>
  <c r="B477" i="49"/>
  <c r="E476" i="49"/>
  <c r="E475" i="49"/>
  <c r="B475" i="49"/>
  <c r="E474" i="49"/>
  <c r="B474" i="49"/>
  <c r="E473" i="49"/>
  <c r="B473" i="49"/>
  <c r="E472" i="49"/>
  <c r="B472" i="49"/>
  <c r="E471" i="49"/>
  <c r="B471" i="49"/>
  <c r="E470" i="49"/>
  <c r="B470" i="49"/>
  <c r="E469" i="49"/>
  <c r="E468" i="49"/>
  <c r="B468" i="49"/>
  <c r="E467" i="49"/>
  <c r="B467" i="49"/>
  <c r="E466" i="49"/>
  <c r="B466" i="49"/>
  <c r="E465" i="49"/>
  <c r="B465" i="49"/>
  <c r="E464" i="49"/>
  <c r="B464" i="49"/>
  <c r="E463" i="49"/>
  <c r="B463" i="49"/>
  <c r="E462" i="49"/>
  <c r="B462" i="49"/>
  <c r="E461" i="49"/>
  <c r="B461" i="49"/>
  <c r="E460" i="49"/>
  <c r="B460" i="49"/>
  <c r="E459" i="49"/>
  <c r="E458" i="49"/>
  <c r="B458" i="49"/>
  <c r="E457" i="49"/>
  <c r="B457" i="49"/>
  <c r="E456" i="49"/>
  <c r="B456" i="49"/>
  <c r="E455" i="49"/>
  <c r="B455" i="49"/>
  <c r="E454" i="49"/>
  <c r="B454" i="49"/>
  <c r="E453" i="49"/>
  <c r="B453" i="49"/>
  <c r="E452" i="49"/>
  <c r="B452" i="49"/>
  <c r="E451" i="49"/>
  <c r="B451" i="49"/>
  <c r="E450" i="49"/>
  <c r="B450" i="49"/>
  <c r="E449" i="49"/>
  <c r="B449" i="49"/>
  <c r="E448" i="49"/>
  <c r="B448" i="49"/>
  <c r="E447" i="49"/>
  <c r="B447" i="49"/>
  <c r="E446" i="49"/>
  <c r="B446" i="49"/>
  <c r="E445" i="49"/>
  <c r="B445" i="49"/>
  <c r="E444" i="49"/>
  <c r="B444" i="49"/>
  <c r="E443" i="49"/>
  <c r="B443" i="49"/>
  <c r="E442" i="49"/>
  <c r="E441" i="49"/>
  <c r="B441" i="49"/>
  <c r="E440" i="49"/>
  <c r="B440" i="49"/>
  <c r="E439" i="49"/>
  <c r="B439" i="49"/>
  <c r="E438" i="49"/>
  <c r="B438" i="49"/>
  <c r="E437" i="49"/>
  <c r="B437" i="49"/>
  <c r="E436" i="49"/>
  <c r="B436" i="49"/>
  <c r="E435" i="49"/>
  <c r="B435" i="49"/>
  <c r="E434" i="49"/>
  <c r="B434" i="49"/>
  <c r="E433" i="49"/>
  <c r="B433" i="49"/>
  <c r="E432" i="49"/>
  <c r="B432" i="49"/>
  <c r="E431" i="49"/>
  <c r="B431" i="49"/>
  <c r="E430" i="49"/>
  <c r="B430" i="49"/>
  <c r="E429" i="49"/>
  <c r="E428" i="49"/>
  <c r="B428" i="49"/>
  <c r="E427" i="49"/>
  <c r="B427" i="49"/>
  <c r="E426" i="49"/>
  <c r="B426" i="49"/>
  <c r="E425" i="49"/>
  <c r="B425" i="49"/>
  <c r="E424" i="49"/>
  <c r="B424" i="49"/>
  <c r="E423" i="49"/>
  <c r="B423" i="49"/>
  <c r="E422" i="49"/>
  <c r="B422" i="49"/>
  <c r="E421" i="49"/>
  <c r="B421" i="49"/>
  <c r="E420" i="49"/>
  <c r="B420" i="49"/>
  <c r="E419" i="49"/>
  <c r="B419" i="49"/>
  <c r="E418" i="49"/>
  <c r="B418" i="49"/>
  <c r="E417" i="49"/>
  <c r="B417" i="49"/>
  <c r="E416" i="49"/>
  <c r="E415" i="49"/>
  <c r="B415" i="49"/>
  <c r="E414" i="49"/>
  <c r="B414" i="49"/>
  <c r="E413" i="49"/>
  <c r="B413" i="49"/>
  <c r="E412" i="49"/>
  <c r="B412" i="49"/>
  <c r="E411" i="49"/>
  <c r="B411" i="49"/>
  <c r="E410" i="49"/>
  <c r="B410" i="49"/>
  <c r="E409" i="49"/>
  <c r="B409" i="49"/>
  <c r="E408" i="49"/>
  <c r="B408" i="49"/>
  <c r="E407" i="49"/>
  <c r="B407" i="49"/>
  <c r="E406" i="49"/>
  <c r="B406" i="49"/>
  <c r="E405" i="49"/>
  <c r="B405" i="49"/>
  <c r="E404" i="49"/>
  <c r="B404" i="49"/>
  <c r="E403" i="49"/>
  <c r="B403" i="49"/>
  <c r="E402" i="49"/>
  <c r="B402" i="49"/>
  <c r="E401" i="49"/>
  <c r="B401" i="49"/>
  <c r="E400" i="49"/>
  <c r="B400" i="49"/>
  <c r="E399" i="49"/>
  <c r="E398" i="49"/>
  <c r="E397" i="49"/>
  <c r="B397" i="49"/>
  <c r="E396" i="49"/>
  <c r="B396" i="49"/>
  <c r="E395" i="49"/>
  <c r="B395" i="49"/>
  <c r="E394" i="49"/>
  <c r="B394" i="49"/>
  <c r="E393" i="49"/>
  <c r="E392" i="49"/>
  <c r="B391" i="49"/>
  <c r="E387" i="49"/>
  <c r="E386" i="49"/>
  <c r="B386" i="49"/>
  <c r="E385" i="49"/>
  <c r="B385" i="49"/>
  <c r="E384" i="49"/>
  <c r="B384" i="49"/>
  <c r="E383" i="49"/>
  <c r="B383" i="49"/>
  <c r="E382" i="49"/>
  <c r="E381" i="49"/>
  <c r="B381" i="49"/>
  <c r="E380" i="49"/>
  <c r="B380" i="49"/>
  <c r="E379" i="49"/>
  <c r="B379" i="49"/>
  <c r="E378" i="49"/>
  <c r="B378" i="49"/>
  <c r="E377" i="49"/>
  <c r="E376" i="49"/>
  <c r="E375" i="49"/>
  <c r="B375" i="49"/>
  <c r="E374" i="49"/>
  <c r="B374" i="49"/>
  <c r="E373" i="49"/>
  <c r="B373" i="49"/>
  <c r="E372" i="49"/>
  <c r="B372" i="49"/>
  <c r="E371" i="49"/>
  <c r="B371" i="49"/>
  <c r="E370" i="49"/>
  <c r="B370" i="49"/>
  <c r="E369" i="49"/>
  <c r="B369" i="49"/>
  <c r="E368" i="49"/>
  <c r="B368" i="49"/>
  <c r="E367" i="49"/>
  <c r="B367" i="49"/>
  <c r="E366" i="49"/>
  <c r="E365" i="49"/>
  <c r="B365" i="49"/>
  <c r="E364" i="49"/>
  <c r="B364" i="49"/>
  <c r="E363" i="49"/>
  <c r="B363" i="49"/>
  <c r="E362" i="49"/>
  <c r="B362" i="49"/>
  <c r="E361" i="49"/>
  <c r="B361" i="49"/>
  <c r="E360" i="49"/>
  <c r="B360" i="49"/>
  <c r="E359" i="49"/>
  <c r="B359" i="49"/>
  <c r="E358" i="49"/>
  <c r="B358" i="49"/>
  <c r="E357" i="49"/>
  <c r="B357" i="49"/>
  <c r="E356" i="49"/>
  <c r="E355" i="49"/>
  <c r="E354" i="49"/>
  <c r="E353" i="49"/>
  <c r="B353" i="49"/>
  <c r="E352" i="49"/>
  <c r="B352" i="49"/>
  <c r="E351" i="49"/>
  <c r="B351" i="49"/>
  <c r="E350" i="49"/>
  <c r="B350" i="49"/>
  <c r="E349" i="49"/>
  <c r="B349" i="49"/>
  <c r="E348" i="49"/>
  <c r="B348" i="49"/>
  <c r="E347" i="49"/>
  <c r="E346" i="49"/>
  <c r="B346" i="49"/>
  <c r="E345" i="49"/>
  <c r="B345" i="49"/>
  <c r="E344" i="49"/>
  <c r="B344" i="49"/>
  <c r="E343" i="49"/>
  <c r="B343" i="49"/>
  <c r="E342" i="49"/>
  <c r="B342" i="49"/>
  <c r="E341" i="49"/>
  <c r="B341" i="49"/>
  <c r="E340" i="49"/>
  <c r="E339" i="49"/>
  <c r="B339" i="49"/>
  <c r="E338" i="49"/>
  <c r="B338" i="49"/>
  <c r="E337" i="49"/>
  <c r="B337" i="49"/>
  <c r="E336" i="49"/>
  <c r="B336" i="49"/>
  <c r="E335" i="49"/>
  <c r="B335" i="49"/>
  <c r="E334" i="49"/>
  <c r="B334" i="49"/>
  <c r="E333" i="49"/>
  <c r="E332" i="49"/>
  <c r="B332" i="49"/>
  <c r="E331" i="49"/>
  <c r="B331" i="49"/>
  <c r="E330" i="49"/>
  <c r="B330" i="49"/>
  <c r="E329" i="49"/>
  <c r="B329" i="49"/>
  <c r="E328" i="49"/>
  <c r="E327" i="49"/>
  <c r="B327" i="49"/>
  <c r="E326" i="49"/>
  <c r="B326" i="49"/>
  <c r="E325" i="49"/>
  <c r="B325" i="49"/>
  <c r="E324" i="49"/>
  <c r="B324" i="49"/>
  <c r="E323" i="49"/>
  <c r="B323" i="49"/>
  <c r="E322" i="49"/>
  <c r="B322" i="49"/>
  <c r="E321" i="49"/>
  <c r="E320" i="49"/>
  <c r="B320" i="49"/>
  <c r="E319" i="49"/>
  <c r="B319" i="49"/>
  <c r="E318" i="49"/>
  <c r="B318" i="49"/>
  <c r="E317" i="49"/>
  <c r="B317" i="49"/>
  <c r="E316" i="49"/>
  <c r="B316" i="49"/>
  <c r="E315" i="49"/>
  <c r="E314" i="49"/>
  <c r="E313" i="49"/>
  <c r="E312" i="49"/>
  <c r="B312" i="49"/>
  <c r="E311" i="49"/>
  <c r="B311" i="49"/>
  <c r="E310" i="49"/>
  <c r="B310" i="49"/>
  <c r="E309" i="49"/>
  <c r="B309" i="49"/>
  <c r="E308" i="49"/>
  <c r="B308" i="49"/>
  <c r="E307" i="49"/>
  <c r="B307" i="49"/>
  <c r="E306" i="49"/>
  <c r="E305" i="49"/>
  <c r="B305" i="49"/>
  <c r="E304" i="49"/>
  <c r="B304" i="49"/>
  <c r="E303" i="49"/>
  <c r="B303" i="49"/>
  <c r="E302" i="49"/>
  <c r="B302" i="49"/>
  <c r="E301" i="49"/>
  <c r="E300" i="49"/>
  <c r="E299" i="49"/>
  <c r="B299" i="49"/>
  <c r="E298" i="49"/>
  <c r="B298" i="49"/>
  <c r="E297" i="49"/>
  <c r="B297" i="49"/>
  <c r="E296" i="49"/>
  <c r="B296" i="49"/>
  <c r="E295" i="49"/>
  <c r="B295" i="49"/>
  <c r="E294" i="49"/>
  <c r="B294" i="49"/>
  <c r="E293" i="49"/>
  <c r="E292" i="49"/>
  <c r="B292" i="49"/>
  <c r="E291" i="49"/>
  <c r="B291" i="49"/>
  <c r="E290" i="49"/>
  <c r="B290" i="49"/>
  <c r="E289" i="49"/>
  <c r="B289" i="49"/>
  <c r="E288" i="49"/>
  <c r="B288" i="49"/>
  <c r="E287" i="49"/>
  <c r="B287" i="49"/>
  <c r="E286" i="49"/>
  <c r="E285" i="49"/>
  <c r="B285" i="49"/>
  <c r="E284" i="49"/>
  <c r="B284" i="49"/>
  <c r="E283" i="49"/>
  <c r="B283" i="49"/>
  <c r="E282" i="49"/>
  <c r="B282" i="49"/>
  <c r="E281" i="49"/>
  <c r="B281" i="49"/>
  <c r="E280" i="49"/>
  <c r="B280" i="49"/>
  <c r="E279" i="49"/>
  <c r="B279" i="49"/>
  <c r="E278" i="49"/>
  <c r="B278" i="49"/>
  <c r="E277" i="49"/>
  <c r="B277" i="49"/>
  <c r="E276" i="49"/>
  <c r="B276" i="49"/>
  <c r="E275" i="49"/>
  <c r="B275" i="49"/>
  <c r="E274" i="49"/>
  <c r="B274" i="49"/>
  <c r="E273" i="49"/>
  <c r="B273" i="49"/>
  <c r="E272" i="49"/>
  <c r="B272" i="49"/>
  <c r="E271" i="49"/>
  <c r="B271" i="49"/>
  <c r="E270" i="49"/>
  <c r="B270" i="49"/>
  <c r="E269" i="49"/>
  <c r="B269" i="49"/>
  <c r="E268" i="49"/>
  <c r="B268" i="49"/>
  <c r="E267" i="49"/>
  <c r="E266" i="49"/>
  <c r="B266" i="49"/>
  <c r="E265" i="49"/>
  <c r="B265" i="49"/>
  <c r="E264" i="49"/>
  <c r="B264" i="49"/>
  <c r="E263" i="49"/>
  <c r="B263" i="49"/>
  <c r="E262" i="49"/>
  <c r="B262" i="49"/>
  <c r="E261" i="49"/>
  <c r="B261" i="49"/>
  <c r="E260" i="49"/>
  <c r="B260" i="49"/>
  <c r="E259" i="49"/>
  <c r="B259" i="49"/>
  <c r="E258" i="49"/>
  <c r="B258" i="49"/>
  <c r="E257" i="49"/>
  <c r="B257" i="49"/>
  <c r="E256" i="49"/>
  <c r="E255" i="49"/>
  <c r="B255" i="49"/>
  <c r="E254" i="49"/>
  <c r="B254" i="49"/>
  <c r="E253" i="49"/>
  <c r="B253" i="49"/>
  <c r="E252" i="49"/>
  <c r="B252" i="49"/>
  <c r="E251" i="49"/>
  <c r="B251" i="49"/>
  <c r="E250" i="49"/>
  <c r="B250" i="49"/>
  <c r="E249" i="49"/>
  <c r="B249" i="49"/>
  <c r="E248" i="49"/>
  <c r="B248" i="49"/>
  <c r="E247" i="49"/>
  <c r="B247" i="49"/>
  <c r="E246" i="49"/>
  <c r="B246" i="49"/>
  <c r="E245" i="49"/>
  <c r="B245" i="49"/>
  <c r="E244" i="49"/>
  <c r="B244" i="49"/>
  <c r="E243" i="49"/>
  <c r="B243" i="49"/>
  <c r="E242" i="49"/>
  <c r="B242" i="49"/>
  <c r="E241" i="49"/>
  <c r="B241" i="49"/>
  <c r="E240" i="49"/>
  <c r="B240" i="49"/>
  <c r="E239" i="49"/>
  <c r="B239" i="49"/>
  <c r="E238" i="49"/>
  <c r="E237" i="49"/>
  <c r="B237" i="49"/>
  <c r="E236" i="49"/>
  <c r="B236" i="49"/>
  <c r="E235" i="49"/>
  <c r="B235" i="49"/>
  <c r="E234" i="49"/>
  <c r="B234" i="49"/>
  <c r="E233" i="49"/>
  <c r="B233" i="49"/>
  <c r="E232" i="49"/>
  <c r="B232" i="49"/>
  <c r="E231" i="49"/>
  <c r="B231" i="49"/>
  <c r="E230" i="49"/>
  <c r="B230" i="49"/>
  <c r="E229" i="49"/>
  <c r="B229" i="49"/>
  <c r="E228" i="49"/>
  <c r="E227" i="49"/>
  <c r="B227" i="49"/>
  <c r="E226" i="49"/>
  <c r="B226" i="49"/>
  <c r="E225" i="49"/>
  <c r="B225" i="49"/>
  <c r="E224" i="49"/>
  <c r="B224" i="49"/>
  <c r="E223" i="49"/>
  <c r="B223" i="49"/>
  <c r="E222" i="49"/>
  <c r="B222" i="49"/>
  <c r="E221" i="49"/>
  <c r="B221" i="49"/>
  <c r="E220" i="49"/>
  <c r="B220" i="49"/>
  <c r="E219" i="49"/>
  <c r="E218" i="49"/>
  <c r="B218" i="49"/>
  <c r="E217" i="49"/>
  <c r="B217" i="49"/>
  <c r="E216" i="49"/>
  <c r="B216" i="49"/>
  <c r="E215" i="49"/>
  <c r="B215" i="49"/>
  <c r="E214" i="49"/>
  <c r="B214" i="49"/>
  <c r="E213" i="49"/>
  <c r="B213" i="49"/>
  <c r="E212" i="49"/>
  <c r="B212" i="49"/>
  <c r="E211" i="49"/>
  <c r="B211" i="49"/>
  <c r="E210" i="49"/>
  <c r="B210" i="49"/>
  <c r="E209" i="49"/>
  <c r="B209" i="49"/>
  <c r="E208" i="49"/>
  <c r="E207" i="49"/>
  <c r="B207" i="49"/>
  <c r="E206" i="49"/>
  <c r="B206" i="49"/>
  <c r="E205" i="49"/>
  <c r="B205" i="49"/>
  <c r="E204" i="49"/>
  <c r="B204" i="49"/>
  <c r="E203" i="49"/>
  <c r="B203" i="49"/>
  <c r="E202" i="49"/>
  <c r="B202" i="49"/>
  <c r="E201" i="49"/>
  <c r="B201" i="49"/>
  <c r="E200" i="49"/>
  <c r="B200" i="49"/>
  <c r="E199" i="49"/>
  <c r="B199" i="49"/>
  <c r="E198" i="49"/>
  <c r="B198" i="49"/>
  <c r="E197" i="49"/>
  <c r="B197" i="49"/>
  <c r="E196" i="49"/>
  <c r="B196" i="49"/>
  <c r="E195" i="49"/>
  <c r="B195" i="49"/>
  <c r="E194" i="49"/>
  <c r="B194" i="49"/>
  <c r="E193" i="49"/>
  <c r="B193" i="49"/>
  <c r="E192" i="49"/>
  <c r="B192" i="49"/>
  <c r="E191" i="49"/>
  <c r="B191" i="49"/>
  <c r="E190" i="49"/>
  <c r="B190" i="49"/>
  <c r="E189" i="49"/>
  <c r="B189" i="49"/>
  <c r="E188" i="49"/>
  <c r="E187" i="49"/>
  <c r="B187" i="49"/>
  <c r="E186" i="49"/>
  <c r="B186" i="49"/>
  <c r="E185" i="49"/>
  <c r="B185" i="49"/>
  <c r="E184" i="49"/>
  <c r="B184" i="49"/>
  <c r="E183" i="49"/>
  <c r="B183" i="49"/>
  <c r="E182" i="49"/>
  <c r="B182" i="49"/>
  <c r="E181" i="49"/>
  <c r="B181" i="49"/>
  <c r="E180" i="49"/>
  <c r="B180" i="49"/>
  <c r="E179" i="49"/>
  <c r="B179" i="49"/>
  <c r="E178" i="49"/>
  <c r="E177" i="49"/>
  <c r="E176" i="49"/>
  <c r="B176" i="49"/>
  <c r="E175" i="49"/>
  <c r="B175" i="49"/>
  <c r="E174" i="49"/>
  <c r="B174" i="49"/>
  <c r="E173" i="49"/>
  <c r="B173" i="49"/>
  <c r="E172" i="49"/>
  <c r="B172" i="49"/>
  <c r="E171" i="49"/>
  <c r="B171" i="49"/>
  <c r="E170" i="49"/>
  <c r="B170" i="49"/>
  <c r="E169" i="49"/>
  <c r="B169" i="49"/>
  <c r="E168" i="49"/>
  <c r="E167" i="49"/>
  <c r="B167" i="49"/>
  <c r="E166" i="49"/>
  <c r="B166" i="49"/>
  <c r="E165" i="49"/>
  <c r="B165" i="49"/>
  <c r="E164" i="49"/>
  <c r="B164" i="49"/>
  <c r="E163" i="49"/>
  <c r="B163" i="49"/>
  <c r="E162" i="49"/>
  <c r="B162" i="49"/>
  <c r="E161" i="49"/>
  <c r="B161" i="49"/>
  <c r="E160" i="49"/>
  <c r="B160" i="49"/>
  <c r="E159" i="49"/>
  <c r="B159" i="49"/>
  <c r="E158" i="49"/>
  <c r="E157" i="49"/>
  <c r="E156" i="49"/>
  <c r="E155" i="49"/>
  <c r="B155" i="49"/>
  <c r="E154" i="49"/>
  <c r="B154" i="49"/>
  <c r="E153" i="49"/>
  <c r="E152" i="49"/>
  <c r="B152" i="49"/>
  <c r="E151" i="49"/>
  <c r="B151" i="49"/>
  <c r="E150" i="49"/>
  <c r="B150" i="49"/>
  <c r="E149" i="49"/>
  <c r="B149" i="49"/>
  <c r="E148" i="49"/>
  <c r="B148" i="49"/>
  <c r="E147" i="49"/>
  <c r="B147" i="49"/>
  <c r="E146" i="49"/>
  <c r="B146" i="49"/>
  <c r="E145" i="49"/>
  <c r="B145" i="49"/>
  <c r="E144" i="49"/>
  <c r="E143" i="49"/>
  <c r="B143" i="49"/>
  <c r="E142" i="49"/>
  <c r="B142" i="49"/>
  <c r="E141" i="49"/>
  <c r="B141" i="49"/>
  <c r="E140" i="49"/>
  <c r="B140" i="49"/>
  <c r="E139" i="49"/>
  <c r="B139" i="49"/>
  <c r="E138" i="49"/>
  <c r="B138" i="49"/>
  <c r="E137" i="49"/>
  <c r="B137" i="49"/>
  <c r="E136" i="49"/>
  <c r="E135" i="49"/>
  <c r="B135" i="49"/>
  <c r="E134" i="49"/>
  <c r="B134" i="49"/>
  <c r="E133" i="49"/>
  <c r="B133" i="49"/>
  <c r="E132" i="49"/>
  <c r="B132" i="49"/>
  <c r="E131" i="49"/>
  <c r="B131" i="49"/>
  <c r="E130" i="49"/>
  <c r="B130" i="49"/>
  <c r="E129" i="49"/>
  <c r="B129" i="49"/>
  <c r="E128" i="49"/>
  <c r="B128" i="49"/>
  <c r="E127" i="49"/>
  <c r="E126" i="49"/>
  <c r="B126" i="49"/>
  <c r="E125" i="49"/>
  <c r="B125" i="49"/>
  <c r="E124" i="49"/>
  <c r="B124" i="49"/>
  <c r="E123" i="49"/>
  <c r="B123" i="49"/>
  <c r="E122" i="49"/>
  <c r="B122" i="49"/>
  <c r="E121" i="49"/>
  <c r="B121" i="49"/>
  <c r="E120" i="49"/>
  <c r="B120" i="49"/>
  <c r="E119" i="49"/>
  <c r="B119" i="49"/>
  <c r="E118" i="49"/>
  <c r="B118" i="49"/>
  <c r="E117" i="49"/>
  <c r="B117" i="49"/>
  <c r="E116" i="49"/>
  <c r="B116" i="49"/>
  <c r="E115" i="49"/>
  <c r="B115" i="49"/>
  <c r="E114" i="49"/>
  <c r="B114" i="49"/>
  <c r="E113" i="49"/>
  <c r="B113" i="49"/>
  <c r="E112" i="49"/>
  <c r="B112" i="49"/>
  <c r="E111" i="49"/>
  <c r="B111" i="49"/>
  <c r="E110" i="49"/>
  <c r="B110" i="49"/>
  <c r="E109" i="49"/>
  <c r="E108" i="49"/>
  <c r="E107" i="49"/>
  <c r="E106" i="49"/>
  <c r="B106" i="49"/>
  <c r="E105" i="49"/>
  <c r="B105" i="49"/>
  <c r="E104" i="49"/>
  <c r="B104" i="49"/>
  <c r="E103" i="49"/>
  <c r="B103" i="49"/>
  <c r="E102" i="49"/>
  <c r="B102" i="49"/>
  <c r="E101" i="49"/>
  <c r="B101" i="49"/>
  <c r="E100" i="49"/>
  <c r="B100" i="49"/>
  <c r="E99" i="49"/>
  <c r="B99" i="49"/>
  <c r="E98" i="49"/>
  <c r="E97" i="49"/>
  <c r="B97" i="49"/>
  <c r="E96" i="49"/>
  <c r="B96" i="49"/>
  <c r="E95" i="49"/>
  <c r="B95" i="49"/>
  <c r="E94" i="49"/>
  <c r="B94" i="49"/>
  <c r="E93" i="49"/>
  <c r="B93" i="49"/>
  <c r="E92" i="49"/>
  <c r="B92" i="49"/>
  <c r="E91" i="49"/>
  <c r="B91" i="49"/>
  <c r="E90" i="49"/>
  <c r="B90" i="49"/>
  <c r="E89" i="49"/>
  <c r="E88" i="49"/>
  <c r="B88" i="49"/>
  <c r="E87" i="49"/>
  <c r="B87" i="49"/>
  <c r="E86" i="49"/>
  <c r="B86" i="49"/>
  <c r="E85" i="49"/>
  <c r="B85" i="49"/>
  <c r="E84" i="49"/>
  <c r="B84" i="49"/>
  <c r="E83" i="49"/>
  <c r="B83" i="49"/>
  <c r="E82" i="49"/>
  <c r="B82" i="49"/>
  <c r="E81" i="49"/>
  <c r="B81" i="49"/>
  <c r="E80" i="49"/>
  <c r="E79" i="49"/>
  <c r="B79" i="49"/>
  <c r="E78" i="49"/>
  <c r="B78" i="49"/>
  <c r="E77" i="49"/>
  <c r="B77" i="49"/>
  <c r="E76" i="49"/>
  <c r="B76" i="49"/>
  <c r="E75" i="49"/>
  <c r="B75" i="49"/>
  <c r="E74" i="49"/>
  <c r="B74" i="49"/>
  <c r="E73" i="49"/>
  <c r="B73" i="49"/>
  <c r="E72" i="49"/>
  <c r="B72" i="49"/>
  <c r="E71" i="49"/>
  <c r="E70" i="49"/>
  <c r="B70" i="49"/>
  <c r="E69" i="49"/>
  <c r="B69" i="49"/>
  <c r="E68" i="49"/>
  <c r="B68" i="49"/>
  <c r="E67" i="49"/>
  <c r="B67" i="49"/>
  <c r="E66" i="49"/>
  <c r="B66" i="49"/>
  <c r="E65" i="49"/>
  <c r="B65" i="49"/>
  <c r="E64" i="49"/>
  <c r="B64" i="49"/>
  <c r="E63" i="49"/>
  <c r="B63" i="49"/>
  <c r="E62" i="49"/>
  <c r="E61" i="49"/>
  <c r="B61" i="49"/>
  <c r="E60" i="49"/>
  <c r="B60" i="49"/>
  <c r="E59" i="49"/>
  <c r="B59" i="49"/>
  <c r="E58" i="49"/>
  <c r="B58" i="49"/>
  <c r="E57" i="49"/>
  <c r="B57" i="49"/>
  <c r="E56" i="49"/>
  <c r="B56" i="49"/>
  <c r="E55" i="49"/>
  <c r="B55" i="49"/>
  <c r="E54" i="49"/>
  <c r="B54" i="49"/>
  <c r="E53" i="49"/>
  <c r="B53" i="49"/>
  <c r="E52" i="49"/>
  <c r="B52" i="49"/>
  <c r="E51" i="49"/>
  <c r="B51" i="49"/>
  <c r="E50" i="49"/>
  <c r="B50" i="49"/>
  <c r="E49" i="49"/>
  <c r="B49" i="49"/>
  <c r="E48" i="49"/>
  <c r="B48" i="49"/>
  <c r="E47" i="49"/>
  <c r="E46" i="49"/>
  <c r="E45" i="49"/>
  <c r="B45" i="49"/>
  <c r="E44" i="49"/>
  <c r="B44" i="49"/>
  <c r="E43" i="49"/>
  <c r="B43" i="49"/>
  <c r="E42" i="49"/>
  <c r="B42" i="49"/>
  <c r="E41" i="49"/>
  <c r="B41" i="49"/>
  <c r="E40" i="49"/>
  <c r="B40" i="49"/>
  <c r="E39" i="49"/>
  <c r="B39" i="49"/>
  <c r="E38" i="49"/>
  <c r="B38" i="49"/>
  <c r="E37" i="49"/>
  <c r="B37" i="49"/>
  <c r="E36" i="49"/>
  <c r="B36" i="49"/>
  <c r="E35" i="49"/>
  <c r="E34" i="49"/>
  <c r="B34" i="49"/>
  <c r="E33" i="49"/>
  <c r="B33" i="49"/>
  <c r="E32" i="49"/>
  <c r="B32" i="49"/>
  <c r="E31" i="49"/>
  <c r="B31" i="49"/>
  <c r="E30" i="49"/>
  <c r="B30" i="49"/>
  <c r="E29" i="49"/>
  <c r="B29" i="49"/>
  <c r="E28" i="49"/>
  <c r="B28" i="49"/>
  <c r="E27" i="49"/>
  <c r="B27" i="49"/>
  <c r="E26" i="49"/>
  <c r="E25" i="49"/>
  <c r="B25" i="49"/>
  <c r="E24" i="49"/>
  <c r="B24" i="49"/>
  <c r="E23" i="49"/>
  <c r="B23" i="49"/>
  <c r="E22" i="49"/>
  <c r="B22" i="49"/>
  <c r="E21" i="49"/>
  <c r="B21" i="49"/>
  <c r="E20" i="49"/>
  <c r="B20" i="49"/>
  <c r="E19" i="49"/>
  <c r="B19" i="49"/>
  <c r="E18" i="49"/>
  <c r="B18" i="49"/>
  <c r="E17" i="49"/>
  <c r="B17" i="49"/>
  <c r="E16" i="49"/>
  <c r="B16" i="49"/>
  <c r="E15" i="49"/>
  <c r="B15" i="49"/>
  <c r="E14" i="49"/>
  <c r="B14" i="49"/>
  <c r="E13" i="49"/>
  <c r="B13" i="49"/>
  <c r="E12" i="49"/>
  <c r="B12" i="49"/>
  <c r="E11" i="49"/>
  <c r="B11" i="49"/>
  <c r="E10" i="49"/>
  <c r="B10" i="49"/>
  <c r="R8" i="49"/>
  <c r="Q8" i="49"/>
  <c r="P8" i="49"/>
  <c r="O8" i="49"/>
  <c r="N8" i="49"/>
  <c r="M8" i="49"/>
  <c r="L8" i="49"/>
  <c r="K8" i="49"/>
  <c r="J8" i="49"/>
  <c r="I8" i="49"/>
  <c r="H8" i="49"/>
  <c r="G8" i="49"/>
  <c r="AP7" i="49"/>
  <c r="AO7" i="49"/>
  <c r="AN7" i="49"/>
  <c r="AM7" i="49"/>
  <c r="AL7" i="49"/>
  <c r="AK7" i="49"/>
  <c r="AJ7" i="49"/>
  <c r="AI7" i="49"/>
  <c r="AH7" i="49"/>
  <c r="AG7" i="49"/>
  <c r="AF7" i="49"/>
  <c r="AE7" i="49"/>
  <c r="AD7" i="49"/>
  <c r="AC7" i="49"/>
  <c r="AB7" i="49"/>
  <c r="AA7" i="49"/>
  <c r="Z7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AP6" i="49"/>
  <c r="AO6" i="49"/>
  <c r="AN6" i="49"/>
  <c r="AM6" i="49"/>
  <c r="AL6" i="49"/>
  <c r="AK6" i="49"/>
  <c r="AJ6" i="49"/>
  <c r="AI6" i="49"/>
  <c r="AH6" i="49"/>
  <c r="AG6" i="49"/>
  <c r="AF6" i="49"/>
  <c r="AE6" i="49"/>
  <c r="AD6" i="49"/>
  <c r="AC6" i="49"/>
  <c r="AB6" i="49"/>
  <c r="AA6" i="49"/>
  <c r="Z6" i="49"/>
  <c r="Y6" i="49"/>
  <c r="X6" i="49"/>
  <c r="W6" i="49"/>
  <c r="V6" i="49"/>
  <c r="U6" i="49"/>
  <c r="T6" i="49"/>
  <c r="S6" i="49"/>
  <c r="R6" i="49"/>
  <c r="Q6" i="49"/>
  <c r="P6" i="49"/>
  <c r="O6" i="49"/>
  <c r="N6" i="49"/>
  <c r="M6" i="49"/>
  <c r="L6" i="49"/>
  <c r="K6" i="49"/>
  <c r="J6" i="49"/>
  <c r="I6" i="49"/>
  <c r="H6" i="49"/>
  <c r="G6" i="49"/>
  <c r="AP5" i="49"/>
  <c r="AO5" i="49"/>
  <c r="AN5" i="49"/>
  <c r="AM5" i="49"/>
  <c r="AL5" i="49"/>
  <c r="AK5" i="49"/>
  <c r="AJ5" i="49"/>
  <c r="AI5" i="49"/>
  <c r="AH5" i="49"/>
  <c r="AG5" i="49"/>
  <c r="AF5" i="49"/>
  <c r="AE5" i="49"/>
  <c r="AD5" i="49"/>
  <c r="AC5" i="49"/>
  <c r="AB5" i="49"/>
  <c r="AA5" i="49"/>
  <c r="Z5" i="49"/>
  <c r="Y5" i="49"/>
  <c r="X5" i="49"/>
  <c r="W5" i="49"/>
  <c r="V5" i="49"/>
  <c r="U5" i="49"/>
  <c r="T5" i="49"/>
  <c r="S5" i="49"/>
  <c r="R5" i="49"/>
  <c r="Q5" i="49"/>
  <c r="P5" i="49"/>
  <c r="O5" i="49"/>
  <c r="N5" i="49"/>
  <c r="M5" i="49"/>
  <c r="L5" i="49"/>
  <c r="K5" i="49"/>
  <c r="J5" i="49"/>
  <c r="I5" i="49"/>
  <c r="H5" i="49"/>
  <c r="G5" i="49"/>
  <c r="AP4" i="49"/>
  <c r="AO4" i="49"/>
  <c r="AN4" i="49"/>
  <c r="AM4" i="49"/>
  <c r="AL4" i="49"/>
  <c r="AK4" i="49"/>
  <c r="AJ4" i="49"/>
  <c r="AI4" i="49"/>
  <c r="AH4" i="49"/>
  <c r="AG4" i="49"/>
  <c r="AF4" i="49"/>
  <c r="AE4" i="49"/>
  <c r="AD4" i="49"/>
  <c r="AC4" i="49"/>
  <c r="AB4" i="49"/>
  <c r="AA4" i="49"/>
  <c r="Z4" i="49"/>
  <c r="Y4" i="49"/>
  <c r="X4" i="49"/>
  <c r="W4" i="49"/>
  <c r="V4" i="49"/>
  <c r="U4" i="49"/>
  <c r="T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E618" i="31"/>
  <c r="B618" i="31"/>
  <c r="E617" i="31"/>
  <c r="B617" i="31"/>
  <c r="E616" i="31"/>
  <c r="B616" i="31"/>
  <c r="E615" i="31"/>
  <c r="B615" i="31"/>
  <c r="E614" i="31"/>
  <c r="E613" i="31"/>
  <c r="B613" i="31"/>
  <c r="E612" i="31"/>
  <c r="B612" i="31"/>
  <c r="E611" i="31"/>
  <c r="B611" i="31"/>
  <c r="E610" i="31"/>
  <c r="B610" i="31"/>
  <c r="E609" i="31"/>
  <c r="E608" i="31"/>
  <c r="B608" i="31"/>
  <c r="E607" i="31"/>
  <c r="B607" i="31"/>
  <c r="E606" i="31"/>
  <c r="B606" i="31"/>
  <c r="E605" i="31"/>
  <c r="B605" i="31"/>
  <c r="E604" i="31"/>
  <c r="E603" i="31"/>
  <c r="B603" i="31"/>
  <c r="E602" i="31"/>
  <c r="B602" i="31"/>
  <c r="E601" i="31"/>
  <c r="B601" i="31"/>
  <c r="E600" i="31"/>
  <c r="E599" i="31"/>
  <c r="B599" i="31"/>
  <c r="E598" i="31"/>
  <c r="B598" i="31"/>
  <c r="E597" i="31"/>
  <c r="B597" i="31"/>
  <c r="E596" i="31"/>
  <c r="B596" i="31"/>
  <c r="E595" i="31"/>
  <c r="B595" i="31"/>
  <c r="E594" i="31"/>
  <c r="B594" i="31"/>
  <c r="E593" i="31"/>
  <c r="B593" i="31"/>
  <c r="E592" i="31"/>
  <c r="B592" i="31"/>
  <c r="E591" i="31"/>
  <c r="B591" i="31"/>
  <c r="E590" i="31"/>
  <c r="B590" i="31"/>
  <c r="E589" i="31"/>
  <c r="B589" i="31"/>
  <c r="E588" i="31"/>
  <c r="B588" i="31"/>
  <c r="E587" i="31"/>
  <c r="B587" i="31"/>
  <c r="E586" i="31"/>
  <c r="B586" i="31"/>
  <c r="E585" i="31"/>
  <c r="B585" i="31"/>
  <c r="E584" i="31"/>
  <c r="E583" i="31"/>
  <c r="B583" i="31"/>
  <c r="E582" i="31"/>
  <c r="B582" i="31"/>
  <c r="E581" i="31"/>
  <c r="B581" i="31"/>
  <c r="E580" i="31"/>
  <c r="B580" i="31"/>
  <c r="E579" i="31"/>
  <c r="B579" i="31"/>
  <c r="E578" i="31"/>
  <c r="B578" i="31"/>
  <c r="E577" i="31"/>
  <c r="B577" i="31"/>
  <c r="E576" i="31"/>
  <c r="B576" i="31"/>
  <c r="E575" i="31"/>
  <c r="B575" i="31"/>
  <c r="E574" i="31"/>
  <c r="B574" i="31"/>
  <c r="E573" i="31"/>
  <c r="B573" i="31"/>
  <c r="E572" i="31"/>
  <c r="B572" i="31"/>
  <c r="E571" i="31"/>
  <c r="B571" i="31"/>
  <c r="E570" i="31"/>
  <c r="B570" i="31"/>
  <c r="E569" i="31"/>
  <c r="E568" i="31"/>
  <c r="B568" i="31"/>
  <c r="E567" i="31"/>
  <c r="B567" i="31"/>
  <c r="E566" i="31"/>
  <c r="B566" i="31"/>
  <c r="E565" i="31"/>
  <c r="E564" i="31"/>
  <c r="B564" i="31"/>
  <c r="E563" i="31"/>
  <c r="B563" i="31"/>
  <c r="E562" i="31"/>
  <c r="B562" i="31"/>
  <c r="E561" i="31"/>
  <c r="E560" i="31"/>
  <c r="B560" i="31"/>
  <c r="E559" i="31"/>
  <c r="B559" i="31"/>
  <c r="E558" i="31"/>
  <c r="B558" i="31"/>
  <c r="E557" i="31"/>
  <c r="E556" i="31"/>
  <c r="B556" i="31"/>
  <c r="E555" i="31"/>
  <c r="B555" i="31"/>
  <c r="E554" i="31"/>
  <c r="B554" i="31"/>
  <c r="E553" i="31"/>
  <c r="E552" i="31"/>
  <c r="B552" i="31"/>
  <c r="E551" i="31"/>
  <c r="B551" i="31"/>
  <c r="E550" i="31"/>
  <c r="B550" i="31"/>
  <c r="E549" i="31"/>
  <c r="B549" i="31"/>
  <c r="E548" i="31"/>
  <c r="B548" i="31"/>
  <c r="E547" i="31"/>
  <c r="B547" i="31"/>
  <c r="E546" i="31"/>
  <c r="B546" i="31"/>
  <c r="E545" i="31"/>
  <c r="B545" i="31"/>
  <c r="E544" i="31"/>
  <c r="B544" i="31"/>
  <c r="E543" i="31"/>
  <c r="B543" i="31"/>
  <c r="E542" i="31"/>
  <c r="E537" i="31"/>
  <c r="B537" i="31"/>
  <c r="E536" i="31"/>
  <c r="B536" i="31"/>
  <c r="E535" i="31"/>
  <c r="B535" i="31"/>
  <c r="E534" i="31"/>
  <c r="B534" i="31"/>
  <c r="E533" i="31"/>
  <c r="B533" i="31"/>
  <c r="E532" i="31"/>
  <c r="B532" i="31"/>
  <c r="E531" i="31"/>
  <c r="E527" i="31"/>
  <c r="E526" i="31"/>
  <c r="B526" i="31"/>
  <c r="E525" i="31"/>
  <c r="B525" i="31"/>
  <c r="E524" i="31"/>
  <c r="B524" i="31"/>
  <c r="E523" i="31"/>
  <c r="B523" i="31"/>
  <c r="E522" i="31"/>
  <c r="B522" i="31"/>
  <c r="E521" i="31"/>
  <c r="B521" i="31"/>
  <c r="E520" i="31"/>
  <c r="B520" i="31"/>
  <c r="E519" i="31"/>
  <c r="B519" i="31"/>
  <c r="E518" i="31"/>
  <c r="B518" i="31"/>
  <c r="E517" i="31"/>
  <c r="B517" i="31"/>
  <c r="E516" i="31"/>
  <c r="B516" i="31"/>
  <c r="E515" i="31"/>
  <c r="B515" i="31"/>
  <c r="E514" i="31"/>
  <c r="B514" i="31"/>
  <c r="E513" i="31"/>
  <c r="B513" i="31"/>
  <c r="E512" i="31"/>
  <c r="B512" i="31"/>
  <c r="E511" i="31"/>
  <c r="B511" i="31"/>
  <c r="E510" i="31"/>
  <c r="B510" i="31"/>
  <c r="E509" i="31"/>
  <c r="B509" i="31"/>
  <c r="E508" i="31"/>
  <c r="B508" i="31"/>
  <c r="E507" i="31"/>
  <c r="B507" i="31"/>
  <c r="E506" i="31"/>
  <c r="E505" i="31"/>
  <c r="B505" i="31"/>
  <c r="E504" i="31"/>
  <c r="B504" i="31"/>
  <c r="E503" i="31"/>
  <c r="B503" i="31"/>
  <c r="E502" i="31"/>
  <c r="B502" i="31"/>
  <c r="E501" i="31"/>
  <c r="B501" i="31"/>
  <c r="E500" i="31"/>
  <c r="B500" i="31"/>
  <c r="E499" i="31"/>
  <c r="B499" i="31"/>
  <c r="E498" i="31"/>
  <c r="B498" i="31"/>
  <c r="E497" i="31"/>
  <c r="B497" i="31"/>
  <c r="E496" i="31"/>
  <c r="B496" i="31"/>
  <c r="E495" i="31"/>
  <c r="B495" i="31"/>
  <c r="E494" i="31"/>
  <c r="B494" i="31"/>
  <c r="E493" i="31"/>
  <c r="B493" i="31"/>
  <c r="E492" i="31"/>
  <c r="B492" i="31"/>
  <c r="E491" i="31"/>
  <c r="B491" i="31"/>
  <c r="E490" i="31"/>
  <c r="B490" i="31"/>
  <c r="E489" i="31"/>
  <c r="B489" i="31"/>
  <c r="E488" i="31"/>
  <c r="B488" i="31"/>
  <c r="E487" i="31"/>
  <c r="E486" i="31"/>
  <c r="B486" i="31"/>
  <c r="E485" i="31"/>
  <c r="B485" i="31"/>
  <c r="E484" i="31"/>
  <c r="B484" i="31"/>
  <c r="E483" i="31"/>
  <c r="B483" i="31"/>
  <c r="E482" i="31"/>
  <c r="E481" i="31"/>
  <c r="E480" i="31"/>
  <c r="B480" i="31"/>
  <c r="E479" i="31"/>
  <c r="B479" i="31"/>
  <c r="E478" i="31"/>
  <c r="B478" i="31"/>
  <c r="E477" i="31"/>
  <c r="B477" i="31"/>
  <c r="E476" i="31"/>
  <c r="E475" i="31"/>
  <c r="B475" i="31"/>
  <c r="E474" i="31"/>
  <c r="B474" i="31"/>
  <c r="E473" i="31"/>
  <c r="B473" i="31"/>
  <c r="E472" i="31"/>
  <c r="B472" i="31"/>
  <c r="E471" i="31"/>
  <c r="B471" i="31"/>
  <c r="E470" i="31"/>
  <c r="B470" i="31"/>
  <c r="E469" i="31"/>
  <c r="E468" i="31"/>
  <c r="B468" i="31"/>
  <c r="E467" i="31"/>
  <c r="B467" i="31"/>
  <c r="E466" i="31"/>
  <c r="B466" i="31"/>
  <c r="E465" i="31"/>
  <c r="B465" i="31"/>
  <c r="E464" i="31"/>
  <c r="B464" i="31"/>
  <c r="E463" i="31"/>
  <c r="B463" i="31"/>
  <c r="E462" i="31"/>
  <c r="B462" i="31"/>
  <c r="E461" i="31"/>
  <c r="B461" i="31"/>
  <c r="E460" i="31"/>
  <c r="B460" i="31"/>
  <c r="E459" i="31"/>
  <c r="E458" i="31"/>
  <c r="B458" i="31"/>
  <c r="E457" i="31"/>
  <c r="B457" i="31"/>
  <c r="E456" i="31"/>
  <c r="B456" i="31"/>
  <c r="E455" i="31"/>
  <c r="B455" i="31"/>
  <c r="E454" i="31"/>
  <c r="B454" i="31"/>
  <c r="E453" i="31"/>
  <c r="B453" i="31"/>
  <c r="E452" i="31"/>
  <c r="B452" i="31"/>
  <c r="E451" i="31"/>
  <c r="B451" i="31"/>
  <c r="E450" i="31"/>
  <c r="B450" i="31"/>
  <c r="E449" i="31"/>
  <c r="B449" i="31"/>
  <c r="E448" i="31"/>
  <c r="B448" i="31"/>
  <c r="E447" i="31"/>
  <c r="B447" i="31"/>
  <c r="E446" i="31"/>
  <c r="B446" i="31"/>
  <c r="E445" i="31"/>
  <c r="B445" i="31"/>
  <c r="E444" i="31"/>
  <c r="B444" i="31"/>
  <c r="E443" i="31"/>
  <c r="B443" i="31"/>
  <c r="E442" i="31"/>
  <c r="E441" i="31"/>
  <c r="B441" i="31"/>
  <c r="E440" i="31"/>
  <c r="B440" i="31"/>
  <c r="E439" i="31"/>
  <c r="B439" i="31"/>
  <c r="E438" i="31"/>
  <c r="B438" i="31"/>
  <c r="E437" i="31"/>
  <c r="B437" i="31"/>
  <c r="E436" i="31"/>
  <c r="B436" i="31"/>
  <c r="E435" i="31"/>
  <c r="B435" i="31"/>
  <c r="E434" i="31"/>
  <c r="B434" i="31"/>
  <c r="E433" i="31"/>
  <c r="B433" i="31"/>
  <c r="E432" i="31"/>
  <c r="B432" i="31"/>
  <c r="E431" i="31"/>
  <c r="B431" i="31"/>
  <c r="E430" i="31"/>
  <c r="B430" i="31"/>
  <c r="E429" i="31"/>
  <c r="E428" i="31"/>
  <c r="B428" i="31"/>
  <c r="E427" i="31"/>
  <c r="B427" i="31"/>
  <c r="E426" i="31"/>
  <c r="B426" i="31"/>
  <c r="E425" i="31"/>
  <c r="B425" i="31"/>
  <c r="E424" i="31"/>
  <c r="B424" i="31"/>
  <c r="E423" i="31"/>
  <c r="B423" i="31"/>
  <c r="E422" i="31"/>
  <c r="B422" i="31"/>
  <c r="E421" i="31"/>
  <c r="B421" i="31"/>
  <c r="E420" i="31"/>
  <c r="B420" i="31"/>
  <c r="E419" i="31"/>
  <c r="B419" i="31"/>
  <c r="E418" i="31"/>
  <c r="B418" i="31"/>
  <c r="E417" i="31"/>
  <c r="B417" i="31"/>
  <c r="E416" i="31"/>
  <c r="E415" i="31"/>
  <c r="B415" i="31"/>
  <c r="E414" i="31"/>
  <c r="B414" i="31"/>
  <c r="E413" i="31"/>
  <c r="B413" i="31"/>
  <c r="E412" i="31"/>
  <c r="B412" i="31"/>
  <c r="E411" i="31"/>
  <c r="B411" i="31"/>
  <c r="E410" i="31"/>
  <c r="B410" i="31"/>
  <c r="E409" i="31"/>
  <c r="B409" i="31"/>
  <c r="E408" i="31"/>
  <c r="B408" i="31"/>
  <c r="E407" i="31"/>
  <c r="B407" i="31"/>
  <c r="E406" i="31"/>
  <c r="B406" i="31"/>
  <c r="E405" i="31"/>
  <c r="B405" i="31"/>
  <c r="E404" i="31"/>
  <c r="B404" i="31"/>
  <c r="E403" i="31"/>
  <c r="B403" i="31"/>
  <c r="E402" i="31"/>
  <c r="B402" i="31"/>
  <c r="E401" i="31"/>
  <c r="B401" i="31"/>
  <c r="E400" i="31"/>
  <c r="B400" i="31"/>
  <c r="E399" i="31"/>
  <c r="E398" i="31"/>
  <c r="E397" i="31"/>
  <c r="B397" i="31"/>
  <c r="E396" i="31"/>
  <c r="B396" i="31"/>
  <c r="E395" i="31"/>
  <c r="B395" i="31"/>
  <c r="E394" i="31"/>
  <c r="B394" i="31"/>
  <c r="E393" i="31"/>
  <c r="E392" i="31"/>
  <c r="B391" i="31"/>
  <c r="B17" i="62" s="1"/>
  <c r="B61" i="68" s="1"/>
  <c r="E387" i="31"/>
  <c r="E386" i="31"/>
  <c r="B386" i="31"/>
  <c r="E385" i="31"/>
  <c r="B385" i="31"/>
  <c r="E384" i="31"/>
  <c r="B384" i="31"/>
  <c r="E383" i="31"/>
  <c r="B383" i="31"/>
  <c r="E382" i="31"/>
  <c r="E381" i="31"/>
  <c r="B381" i="31"/>
  <c r="E380" i="31"/>
  <c r="B380" i="31"/>
  <c r="E379" i="31"/>
  <c r="B379" i="31"/>
  <c r="E378" i="31"/>
  <c r="B378" i="31"/>
  <c r="E377" i="31"/>
  <c r="E376" i="31"/>
  <c r="E375" i="31"/>
  <c r="B375" i="31"/>
  <c r="E374" i="31"/>
  <c r="B374" i="31"/>
  <c r="E373" i="31"/>
  <c r="B373" i="31"/>
  <c r="E372" i="31"/>
  <c r="B372" i="31"/>
  <c r="E371" i="31"/>
  <c r="B371" i="31"/>
  <c r="E370" i="31"/>
  <c r="B370" i="31"/>
  <c r="E369" i="31"/>
  <c r="B369" i="31"/>
  <c r="E368" i="31"/>
  <c r="B368" i="31"/>
  <c r="E367" i="31"/>
  <c r="B367" i="31"/>
  <c r="E366" i="31"/>
  <c r="E365" i="31"/>
  <c r="B365" i="31"/>
  <c r="E364" i="31"/>
  <c r="B364" i="31"/>
  <c r="E363" i="31"/>
  <c r="B363" i="31"/>
  <c r="E362" i="31"/>
  <c r="B362" i="31"/>
  <c r="E361" i="31"/>
  <c r="B361" i="31"/>
  <c r="E360" i="31"/>
  <c r="B360" i="31"/>
  <c r="E359" i="31"/>
  <c r="B359" i="31"/>
  <c r="E358" i="31"/>
  <c r="B358" i="31"/>
  <c r="E357" i="31"/>
  <c r="B357" i="31"/>
  <c r="E356" i="31"/>
  <c r="E355" i="31"/>
  <c r="E354" i="31"/>
  <c r="E353" i="31"/>
  <c r="B353" i="31"/>
  <c r="E352" i="31"/>
  <c r="B352" i="31"/>
  <c r="E351" i="31"/>
  <c r="B351" i="31"/>
  <c r="E350" i="31"/>
  <c r="B350" i="31"/>
  <c r="E349" i="31"/>
  <c r="B349" i="31"/>
  <c r="E348" i="31"/>
  <c r="B348" i="31"/>
  <c r="E347" i="31"/>
  <c r="E346" i="31"/>
  <c r="B346" i="31"/>
  <c r="E345" i="31"/>
  <c r="B345" i="31"/>
  <c r="E344" i="31"/>
  <c r="B344" i="31"/>
  <c r="E343" i="31"/>
  <c r="B343" i="31"/>
  <c r="E342" i="31"/>
  <c r="B342" i="31"/>
  <c r="E341" i="31"/>
  <c r="B341" i="31"/>
  <c r="E340" i="31"/>
  <c r="E339" i="31"/>
  <c r="B339" i="31"/>
  <c r="E338" i="31"/>
  <c r="B338" i="31"/>
  <c r="E337" i="31"/>
  <c r="B337" i="31"/>
  <c r="E336" i="31"/>
  <c r="B336" i="31"/>
  <c r="E335" i="31"/>
  <c r="B335" i="31"/>
  <c r="E334" i="31"/>
  <c r="B334" i="31"/>
  <c r="E333" i="31"/>
  <c r="E332" i="31"/>
  <c r="B332" i="31"/>
  <c r="E331" i="31"/>
  <c r="B331" i="31"/>
  <c r="E330" i="31"/>
  <c r="B330" i="31"/>
  <c r="E329" i="31"/>
  <c r="B329" i="31"/>
  <c r="E328" i="31"/>
  <c r="E327" i="31"/>
  <c r="B327" i="31"/>
  <c r="E326" i="31"/>
  <c r="B326" i="31"/>
  <c r="E325" i="31"/>
  <c r="B325" i="31"/>
  <c r="E324" i="31"/>
  <c r="B324" i="31"/>
  <c r="E323" i="31"/>
  <c r="B323" i="31"/>
  <c r="E322" i="31"/>
  <c r="B322" i="31"/>
  <c r="E321" i="31"/>
  <c r="E320" i="31"/>
  <c r="B320" i="31"/>
  <c r="E319" i="31"/>
  <c r="B319" i="31"/>
  <c r="E318" i="31"/>
  <c r="B318" i="31"/>
  <c r="E317" i="31"/>
  <c r="B317" i="31"/>
  <c r="E316" i="31"/>
  <c r="B316" i="31"/>
  <c r="E315" i="31"/>
  <c r="E314" i="31"/>
  <c r="E313" i="31"/>
  <c r="E312" i="31"/>
  <c r="B312" i="31"/>
  <c r="E311" i="31"/>
  <c r="B311" i="31"/>
  <c r="E310" i="31"/>
  <c r="B310" i="31"/>
  <c r="E309" i="31"/>
  <c r="B309" i="31"/>
  <c r="E308" i="31"/>
  <c r="B308" i="31"/>
  <c r="E307" i="31"/>
  <c r="B307" i="31"/>
  <c r="E306" i="31"/>
  <c r="E305" i="31"/>
  <c r="B305" i="31"/>
  <c r="E304" i="31"/>
  <c r="B304" i="31"/>
  <c r="E303" i="31"/>
  <c r="B303" i="31"/>
  <c r="E302" i="31"/>
  <c r="B302" i="31"/>
  <c r="E301" i="31"/>
  <c r="E300" i="31"/>
  <c r="E299" i="31"/>
  <c r="B299" i="31"/>
  <c r="E298" i="31"/>
  <c r="B298" i="31"/>
  <c r="E297" i="31"/>
  <c r="B297" i="31"/>
  <c r="E296" i="31"/>
  <c r="B296" i="31"/>
  <c r="E295" i="31"/>
  <c r="B295" i="31"/>
  <c r="E294" i="31"/>
  <c r="B294" i="31"/>
  <c r="E293" i="31"/>
  <c r="E292" i="31"/>
  <c r="B292" i="31"/>
  <c r="E291" i="31"/>
  <c r="B291" i="31"/>
  <c r="E290" i="31"/>
  <c r="B290" i="31"/>
  <c r="E289" i="31"/>
  <c r="B289" i="31"/>
  <c r="E288" i="31"/>
  <c r="B288" i="31"/>
  <c r="E287" i="31"/>
  <c r="B287" i="31"/>
  <c r="E286" i="31"/>
  <c r="E285" i="31"/>
  <c r="B285" i="31"/>
  <c r="E284" i="31"/>
  <c r="B284" i="31"/>
  <c r="E283" i="31"/>
  <c r="B283" i="31"/>
  <c r="E282" i="31"/>
  <c r="B282" i="31"/>
  <c r="E281" i="31"/>
  <c r="B281" i="31"/>
  <c r="E280" i="31"/>
  <c r="B280" i="31"/>
  <c r="E279" i="31"/>
  <c r="B279" i="31"/>
  <c r="E278" i="31"/>
  <c r="B278" i="31"/>
  <c r="E277" i="31"/>
  <c r="B277" i="31"/>
  <c r="E276" i="31"/>
  <c r="B276" i="31"/>
  <c r="E275" i="31"/>
  <c r="B275" i="31"/>
  <c r="E274" i="31"/>
  <c r="B274" i="31"/>
  <c r="E273" i="31"/>
  <c r="B273" i="31"/>
  <c r="E272" i="31"/>
  <c r="B272" i="31"/>
  <c r="E271" i="31"/>
  <c r="B271" i="31"/>
  <c r="E270" i="31"/>
  <c r="B270" i="31"/>
  <c r="E269" i="31"/>
  <c r="B269" i="31"/>
  <c r="E268" i="31"/>
  <c r="B268" i="31"/>
  <c r="E267" i="31"/>
  <c r="E266" i="31"/>
  <c r="B266" i="31"/>
  <c r="E265" i="31"/>
  <c r="B265" i="31"/>
  <c r="E264" i="31"/>
  <c r="B264" i="31"/>
  <c r="E263" i="31"/>
  <c r="B263" i="31"/>
  <c r="E262" i="31"/>
  <c r="B262" i="31"/>
  <c r="E261" i="31"/>
  <c r="B261" i="31"/>
  <c r="E260" i="31"/>
  <c r="B260" i="31"/>
  <c r="E259" i="31"/>
  <c r="B259" i="31"/>
  <c r="E258" i="31"/>
  <c r="B258" i="31"/>
  <c r="E257" i="31"/>
  <c r="B257" i="31"/>
  <c r="E256" i="31"/>
  <c r="E255" i="31"/>
  <c r="B255" i="31"/>
  <c r="E254" i="31"/>
  <c r="B254" i="31"/>
  <c r="E253" i="31"/>
  <c r="B253" i="31"/>
  <c r="E252" i="31"/>
  <c r="B252" i="31"/>
  <c r="E251" i="31"/>
  <c r="B251" i="31"/>
  <c r="E250" i="31"/>
  <c r="B250" i="31"/>
  <c r="E249" i="31"/>
  <c r="B249" i="31"/>
  <c r="E248" i="31"/>
  <c r="B248" i="31"/>
  <c r="E247" i="31"/>
  <c r="B247" i="31"/>
  <c r="E246" i="31"/>
  <c r="B246" i="31"/>
  <c r="E245" i="31"/>
  <c r="B245" i="31"/>
  <c r="E244" i="31"/>
  <c r="B244" i="31"/>
  <c r="E243" i="31"/>
  <c r="B243" i="31"/>
  <c r="E242" i="31"/>
  <c r="B242" i="31"/>
  <c r="E241" i="31"/>
  <c r="B241" i="31"/>
  <c r="E240" i="31"/>
  <c r="B240" i="31"/>
  <c r="E239" i="31"/>
  <c r="B239" i="31"/>
  <c r="E238" i="31"/>
  <c r="E237" i="31"/>
  <c r="B237" i="31"/>
  <c r="E236" i="31"/>
  <c r="B236" i="31"/>
  <c r="E235" i="31"/>
  <c r="B235" i="31"/>
  <c r="E234" i="31"/>
  <c r="B234" i="31"/>
  <c r="E233" i="31"/>
  <c r="B233" i="31"/>
  <c r="E232" i="31"/>
  <c r="B232" i="31"/>
  <c r="E231" i="31"/>
  <c r="B231" i="31"/>
  <c r="E230" i="31"/>
  <c r="B230" i="31"/>
  <c r="E229" i="31"/>
  <c r="B229" i="31"/>
  <c r="E228" i="31"/>
  <c r="E227" i="31"/>
  <c r="B227" i="31"/>
  <c r="E226" i="31"/>
  <c r="B226" i="31"/>
  <c r="E225" i="31"/>
  <c r="B225" i="31"/>
  <c r="E224" i="31"/>
  <c r="B224" i="31"/>
  <c r="E223" i="31"/>
  <c r="B223" i="31"/>
  <c r="E222" i="31"/>
  <c r="B222" i="31"/>
  <c r="E221" i="31"/>
  <c r="B221" i="31"/>
  <c r="E220" i="31"/>
  <c r="B220" i="31"/>
  <c r="E219" i="31"/>
  <c r="E218" i="31"/>
  <c r="B218" i="31"/>
  <c r="E217" i="31"/>
  <c r="B217" i="31"/>
  <c r="E216" i="31"/>
  <c r="B216" i="31"/>
  <c r="E215" i="31"/>
  <c r="B215" i="31"/>
  <c r="E214" i="31"/>
  <c r="B214" i="31"/>
  <c r="E213" i="31"/>
  <c r="B213" i="31"/>
  <c r="E212" i="31"/>
  <c r="B212" i="31"/>
  <c r="E211" i="31"/>
  <c r="B211" i="31"/>
  <c r="E210" i="31"/>
  <c r="B210" i="31"/>
  <c r="E209" i="31"/>
  <c r="B209" i="31"/>
  <c r="E208" i="31"/>
  <c r="E207" i="31"/>
  <c r="B207" i="31"/>
  <c r="E206" i="31"/>
  <c r="B206" i="31"/>
  <c r="E205" i="31"/>
  <c r="B205" i="31"/>
  <c r="E204" i="31"/>
  <c r="B204" i="31"/>
  <c r="E203" i="31"/>
  <c r="B203" i="31"/>
  <c r="E202" i="31"/>
  <c r="B202" i="31"/>
  <c r="E201" i="31"/>
  <c r="B201" i="31"/>
  <c r="E200" i="31"/>
  <c r="B200" i="31"/>
  <c r="E199" i="31"/>
  <c r="B199" i="31"/>
  <c r="E198" i="31"/>
  <c r="B198" i="31"/>
  <c r="E197" i="31"/>
  <c r="B197" i="31"/>
  <c r="E196" i="31"/>
  <c r="B196" i="31"/>
  <c r="E195" i="31"/>
  <c r="B195" i="31"/>
  <c r="E194" i="31"/>
  <c r="B194" i="31"/>
  <c r="E193" i="31"/>
  <c r="B193" i="31"/>
  <c r="E192" i="31"/>
  <c r="B192" i="31"/>
  <c r="E191" i="31"/>
  <c r="B191" i="31"/>
  <c r="E190" i="31"/>
  <c r="B190" i="31"/>
  <c r="E189" i="31"/>
  <c r="B189" i="31"/>
  <c r="E188" i="31"/>
  <c r="E187" i="31"/>
  <c r="B187" i="31"/>
  <c r="E186" i="31"/>
  <c r="B186" i="31"/>
  <c r="E185" i="31"/>
  <c r="B185" i="31"/>
  <c r="E184" i="31"/>
  <c r="B184" i="31"/>
  <c r="E183" i="31"/>
  <c r="B183" i="31"/>
  <c r="E182" i="31"/>
  <c r="B182" i="31"/>
  <c r="E181" i="31"/>
  <c r="B181" i="31"/>
  <c r="E180" i="31"/>
  <c r="B180" i="31"/>
  <c r="E179" i="31"/>
  <c r="B179" i="31"/>
  <c r="E178" i="31"/>
  <c r="E177" i="31"/>
  <c r="E176" i="31"/>
  <c r="B176" i="31"/>
  <c r="E175" i="31"/>
  <c r="B175" i="31"/>
  <c r="E174" i="31"/>
  <c r="B174" i="31"/>
  <c r="E173" i="31"/>
  <c r="B173" i="31"/>
  <c r="E172" i="31"/>
  <c r="B172" i="31"/>
  <c r="E171" i="31"/>
  <c r="B171" i="31"/>
  <c r="E170" i="31"/>
  <c r="B170" i="31"/>
  <c r="E169" i="31"/>
  <c r="B169" i="31"/>
  <c r="E168" i="31"/>
  <c r="E167" i="31"/>
  <c r="B167" i="31"/>
  <c r="E166" i="31"/>
  <c r="B166" i="31"/>
  <c r="E165" i="31"/>
  <c r="B165" i="31"/>
  <c r="E164" i="31"/>
  <c r="B164" i="31"/>
  <c r="E163" i="31"/>
  <c r="B163" i="31"/>
  <c r="E162" i="31"/>
  <c r="B162" i="31"/>
  <c r="E161" i="31"/>
  <c r="B161" i="31"/>
  <c r="E160" i="31"/>
  <c r="B160" i="31"/>
  <c r="E159" i="31"/>
  <c r="B159" i="31"/>
  <c r="E158" i="31"/>
  <c r="E157" i="31"/>
  <c r="E156" i="31"/>
  <c r="E155" i="31"/>
  <c r="B155" i="31"/>
  <c r="E154" i="31"/>
  <c r="B154" i="31"/>
  <c r="E153" i="31"/>
  <c r="E152" i="31"/>
  <c r="B152" i="31"/>
  <c r="E151" i="31"/>
  <c r="B151" i="31"/>
  <c r="E150" i="31"/>
  <c r="B150" i="31"/>
  <c r="E149" i="31"/>
  <c r="B149" i="31"/>
  <c r="E148" i="31"/>
  <c r="B148" i="31"/>
  <c r="E147" i="31"/>
  <c r="B147" i="31"/>
  <c r="E146" i="31"/>
  <c r="B146" i="31"/>
  <c r="E145" i="31"/>
  <c r="B145" i="31"/>
  <c r="E144" i="31"/>
  <c r="E143" i="31"/>
  <c r="B143" i="31"/>
  <c r="E142" i="31"/>
  <c r="B142" i="31"/>
  <c r="E141" i="31"/>
  <c r="B141" i="31"/>
  <c r="E140" i="31"/>
  <c r="B140" i="31"/>
  <c r="E139" i="31"/>
  <c r="B139" i="31"/>
  <c r="E138" i="31"/>
  <c r="B138" i="31"/>
  <c r="E137" i="31"/>
  <c r="B137" i="31"/>
  <c r="E136" i="31"/>
  <c r="E135" i="31"/>
  <c r="B135" i="31"/>
  <c r="E134" i="31"/>
  <c r="B134" i="31"/>
  <c r="E133" i="31"/>
  <c r="B133" i="31"/>
  <c r="E132" i="31"/>
  <c r="B132" i="31"/>
  <c r="E131" i="31"/>
  <c r="B131" i="31"/>
  <c r="E130" i="31"/>
  <c r="B130" i="31"/>
  <c r="E129" i="31"/>
  <c r="B129" i="31"/>
  <c r="E128" i="31"/>
  <c r="B128" i="31"/>
  <c r="E127" i="31"/>
  <c r="E126" i="31"/>
  <c r="B126" i="31"/>
  <c r="E125" i="31"/>
  <c r="B125" i="31"/>
  <c r="E124" i="31"/>
  <c r="B124" i="31"/>
  <c r="E123" i="31"/>
  <c r="B123" i="31"/>
  <c r="E122" i="31"/>
  <c r="B122" i="31"/>
  <c r="E121" i="31"/>
  <c r="B121" i="31"/>
  <c r="E120" i="31"/>
  <c r="B120" i="31"/>
  <c r="E119" i="31"/>
  <c r="B119" i="31"/>
  <c r="E118" i="31"/>
  <c r="B118" i="31"/>
  <c r="E117" i="31"/>
  <c r="B117" i="31"/>
  <c r="E116" i="31"/>
  <c r="B116" i="31"/>
  <c r="E115" i="31"/>
  <c r="B115" i="31"/>
  <c r="E114" i="31"/>
  <c r="B114" i="31"/>
  <c r="E113" i="31"/>
  <c r="B113" i="31"/>
  <c r="E112" i="31"/>
  <c r="B112" i="31"/>
  <c r="E111" i="31"/>
  <c r="B111" i="31"/>
  <c r="E110" i="31"/>
  <c r="B110" i="31"/>
  <c r="E109" i="31"/>
  <c r="E108" i="31"/>
  <c r="E107" i="31"/>
  <c r="E106" i="31"/>
  <c r="B106" i="31"/>
  <c r="E105" i="31"/>
  <c r="B105" i="31"/>
  <c r="E104" i="31"/>
  <c r="B104" i="31"/>
  <c r="E103" i="31"/>
  <c r="B103" i="31"/>
  <c r="E102" i="31"/>
  <c r="B102" i="31"/>
  <c r="E101" i="31"/>
  <c r="B101" i="31"/>
  <c r="E100" i="31"/>
  <c r="B100" i="31"/>
  <c r="E99" i="31"/>
  <c r="B99" i="31"/>
  <c r="E98" i="31"/>
  <c r="E97" i="31"/>
  <c r="B97" i="31"/>
  <c r="E96" i="31"/>
  <c r="B96" i="31"/>
  <c r="E95" i="31"/>
  <c r="B95" i="31"/>
  <c r="E94" i="31"/>
  <c r="B94" i="31"/>
  <c r="E93" i="31"/>
  <c r="B93" i="31"/>
  <c r="E92" i="31"/>
  <c r="B92" i="31"/>
  <c r="E91" i="31"/>
  <c r="B91" i="31"/>
  <c r="E90" i="31"/>
  <c r="B90" i="31"/>
  <c r="E89" i="31"/>
  <c r="E88" i="31"/>
  <c r="B88" i="31"/>
  <c r="E87" i="31"/>
  <c r="B87" i="31"/>
  <c r="E86" i="31"/>
  <c r="B86" i="31"/>
  <c r="E85" i="31"/>
  <c r="B85" i="31"/>
  <c r="E84" i="31"/>
  <c r="B84" i="31"/>
  <c r="E83" i="31"/>
  <c r="B83" i="31"/>
  <c r="E82" i="31"/>
  <c r="B82" i="31"/>
  <c r="E81" i="31"/>
  <c r="B81" i="31"/>
  <c r="E80" i="31"/>
  <c r="E79" i="31"/>
  <c r="B79" i="31"/>
  <c r="E78" i="31"/>
  <c r="B78" i="31"/>
  <c r="E77" i="31"/>
  <c r="B77" i="31"/>
  <c r="E76" i="31"/>
  <c r="B76" i="31"/>
  <c r="E75" i="31"/>
  <c r="B75" i="31"/>
  <c r="E74" i="31"/>
  <c r="B74" i="31"/>
  <c r="E73" i="31"/>
  <c r="B73" i="31"/>
  <c r="E72" i="31"/>
  <c r="B72" i="31"/>
  <c r="E71" i="31"/>
  <c r="E70" i="31"/>
  <c r="B70" i="31"/>
  <c r="E69" i="31"/>
  <c r="B69" i="31"/>
  <c r="E68" i="31"/>
  <c r="B68" i="31"/>
  <c r="E67" i="31"/>
  <c r="B67" i="31"/>
  <c r="E66" i="31"/>
  <c r="B66" i="31"/>
  <c r="E65" i="31"/>
  <c r="B65" i="31"/>
  <c r="E64" i="31"/>
  <c r="B64" i="31"/>
  <c r="E63" i="31"/>
  <c r="B63" i="31"/>
  <c r="E62" i="31"/>
  <c r="E61" i="31"/>
  <c r="B61" i="31"/>
  <c r="E60" i="31"/>
  <c r="B60" i="31"/>
  <c r="E59" i="31"/>
  <c r="B59" i="31"/>
  <c r="E58" i="31"/>
  <c r="B58" i="31"/>
  <c r="E57" i="31"/>
  <c r="B57" i="31"/>
  <c r="E56" i="31"/>
  <c r="B56" i="31"/>
  <c r="E55" i="31"/>
  <c r="B55" i="31"/>
  <c r="E54" i="31"/>
  <c r="B54" i="31"/>
  <c r="E53" i="31"/>
  <c r="B53" i="31"/>
  <c r="E52" i="31"/>
  <c r="B52" i="31"/>
  <c r="E51" i="31"/>
  <c r="B51" i="31"/>
  <c r="E50" i="31"/>
  <c r="B50" i="31"/>
  <c r="E49" i="31"/>
  <c r="B49" i="31"/>
  <c r="E48" i="31"/>
  <c r="B48" i="31"/>
  <c r="E47" i="31"/>
  <c r="E46" i="31"/>
  <c r="E45" i="31"/>
  <c r="B45" i="31"/>
  <c r="E44" i="31"/>
  <c r="B44" i="31"/>
  <c r="E43" i="31"/>
  <c r="B43" i="31"/>
  <c r="E42" i="31"/>
  <c r="B42" i="31"/>
  <c r="E41" i="31"/>
  <c r="B41" i="31"/>
  <c r="E40" i="31"/>
  <c r="B40" i="31"/>
  <c r="E39" i="31"/>
  <c r="B39" i="31"/>
  <c r="E38" i="31"/>
  <c r="B38" i="31"/>
  <c r="E37" i="31"/>
  <c r="B37" i="31"/>
  <c r="E36" i="31"/>
  <c r="B36" i="31"/>
  <c r="E35" i="31"/>
  <c r="E34" i="31"/>
  <c r="B34" i="31"/>
  <c r="E33" i="31"/>
  <c r="B33" i="31"/>
  <c r="E32" i="31"/>
  <c r="B32" i="31"/>
  <c r="E31" i="31"/>
  <c r="B31" i="31"/>
  <c r="E30" i="31"/>
  <c r="B30" i="31"/>
  <c r="E29" i="31"/>
  <c r="B29" i="31"/>
  <c r="E28" i="31"/>
  <c r="B28" i="31"/>
  <c r="E27" i="31"/>
  <c r="B27" i="31"/>
  <c r="E26" i="31"/>
  <c r="E25" i="31"/>
  <c r="B25" i="31"/>
  <c r="E24" i="31"/>
  <c r="B24" i="31"/>
  <c r="E23" i="31"/>
  <c r="B23" i="31"/>
  <c r="E22" i="31"/>
  <c r="B22" i="31"/>
  <c r="E21" i="31"/>
  <c r="B21" i="31"/>
  <c r="E20" i="31"/>
  <c r="B20" i="31"/>
  <c r="E19" i="31"/>
  <c r="B19" i="31"/>
  <c r="E18" i="31"/>
  <c r="B18" i="31"/>
  <c r="E17" i="31"/>
  <c r="B17" i="31"/>
  <c r="E16" i="31"/>
  <c r="B16" i="31"/>
  <c r="E15" i="31"/>
  <c r="B15" i="31"/>
  <c r="E14" i="31"/>
  <c r="B14" i="31"/>
  <c r="E13" i="31"/>
  <c r="B13" i="31"/>
  <c r="E12" i="31"/>
  <c r="B12" i="31"/>
  <c r="E11" i="31"/>
  <c r="B11" i="31"/>
  <c r="E10" i="31"/>
  <c r="B10" i="31"/>
  <c r="R8" i="31"/>
  <c r="Q8" i="31"/>
  <c r="P8" i="31"/>
  <c r="O8" i="31"/>
  <c r="N8" i="31"/>
  <c r="M8" i="31"/>
  <c r="L8" i="31"/>
  <c r="K8" i="31"/>
  <c r="J8" i="31"/>
  <c r="I8" i="31"/>
  <c r="H8" i="31"/>
  <c r="G8" i="31"/>
  <c r="AP7" i="31"/>
  <c r="AO7" i="31"/>
  <c r="AN7" i="31"/>
  <c r="AM7" i="31"/>
  <c r="AL7" i="31"/>
  <c r="AK7" i="31"/>
  <c r="AJ7" i="31"/>
  <c r="AI7" i="31"/>
  <c r="AH7" i="31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AP6" i="31"/>
  <c r="AO6" i="31"/>
  <c r="AN6" i="31"/>
  <c r="AM6" i="31"/>
  <c r="AL6" i="31"/>
  <c r="AK6" i="31"/>
  <c r="AJ6" i="31"/>
  <c r="AI6" i="31"/>
  <c r="AH6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AP5" i="31"/>
  <c r="AO5" i="31"/>
  <c r="AN5" i="31"/>
  <c r="AM5" i="31"/>
  <c r="AL5" i="31"/>
  <c r="AK5" i="31"/>
  <c r="AJ5" i="31"/>
  <c r="AI5" i="31"/>
  <c r="AH5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AP4" i="31"/>
  <c r="AO4" i="31"/>
  <c r="AN4" i="31"/>
  <c r="AM4" i="31"/>
  <c r="AL4" i="31"/>
  <c r="AK4" i="31"/>
  <c r="AJ4" i="31"/>
  <c r="AI4" i="3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D16" i="6"/>
  <c r="I15" i="6"/>
  <c r="I14" i="6"/>
  <c r="I13" i="6"/>
  <c r="I12" i="6"/>
  <c r="I11" i="6"/>
  <c r="I10" i="6"/>
  <c r="I9" i="6"/>
  <c r="I8" i="6"/>
  <c r="I7" i="6"/>
  <c r="H7" i="6"/>
  <c r="J7" i="6" s="1"/>
  <c r="F7" i="6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B1" i="64"/>
  <c r="X27" i="17"/>
  <c r="U27" i="17"/>
  <c r="R27" i="17"/>
  <c r="I27" i="17"/>
  <c r="U25" i="17"/>
  <c r="F125" i="25" s="1"/>
  <c r="R25" i="17"/>
  <c r="F125" i="24" s="1"/>
  <c r="I25" i="17"/>
  <c r="F125" i="21" s="1"/>
  <c r="AC18" i="17"/>
  <c r="AA18" i="17" s="1"/>
  <c r="Z18" i="17"/>
  <c r="X18" i="17" s="1"/>
  <c r="C18" i="26" s="1"/>
  <c r="W18" i="17"/>
  <c r="U18" i="17" s="1"/>
  <c r="C18" i="25" s="1"/>
  <c r="T18" i="17"/>
  <c r="R18" i="17" s="1"/>
  <c r="C18" i="24" s="1"/>
  <c r="Q18" i="17"/>
  <c r="O18" i="17" s="1"/>
  <c r="C18" i="23" s="1"/>
  <c r="N18" i="17"/>
  <c r="L18" i="17" s="1"/>
  <c r="C18" i="22" s="1"/>
  <c r="K18" i="17"/>
  <c r="I18" i="17" s="1"/>
  <c r="C18" i="21" s="1"/>
  <c r="H18" i="17"/>
  <c r="F18" i="17" s="1"/>
  <c r="C18" i="18" s="1"/>
  <c r="AC17" i="17"/>
  <c r="Z17" i="17"/>
  <c r="W17" i="17"/>
  <c r="T17" i="17"/>
  <c r="Q17" i="17"/>
  <c r="N17" i="17"/>
  <c r="K17" i="17"/>
  <c r="H17" i="17"/>
  <c r="AC15" i="17"/>
  <c r="Z15" i="17"/>
  <c r="W15" i="17"/>
  <c r="T15" i="17"/>
  <c r="Q15" i="17"/>
  <c r="N15" i="17"/>
  <c r="K15" i="17"/>
  <c r="H15" i="17"/>
  <c r="C15" i="17"/>
  <c r="AA15" i="17" s="1"/>
  <c r="AC14" i="17"/>
  <c r="Z14" i="17"/>
  <c r="W14" i="17"/>
  <c r="T14" i="17"/>
  <c r="Q14" i="17"/>
  <c r="N14" i="17"/>
  <c r="K14" i="17"/>
  <c r="H14" i="17"/>
  <c r="C14" i="17"/>
  <c r="AC13" i="17"/>
  <c r="Z13" i="17"/>
  <c r="W13" i="17"/>
  <c r="T13" i="17"/>
  <c r="Q13" i="17"/>
  <c r="N13" i="17"/>
  <c r="K13" i="17"/>
  <c r="H13" i="17"/>
  <c r="C13" i="17"/>
  <c r="AC12" i="17"/>
  <c r="Z12" i="17"/>
  <c r="W12" i="17"/>
  <c r="T12" i="17"/>
  <c r="Q12" i="17"/>
  <c r="N12" i="17"/>
  <c r="K12" i="17"/>
  <c r="H12" i="17"/>
  <c r="AC11" i="17"/>
  <c r="Z11" i="17"/>
  <c r="W11" i="17"/>
  <c r="T11" i="17"/>
  <c r="Q11" i="17"/>
  <c r="N11" i="17"/>
  <c r="K11" i="17"/>
  <c r="H11" i="17"/>
  <c r="AC10" i="17"/>
  <c r="Z10" i="17"/>
  <c r="W10" i="17"/>
  <c r="T10" i="17"/>
  <c r="Q10" i="17"/>
  <c r="N10" i="17"/>
  <c r="K10" i="17"/>
  <c r="H10" i="17"/>
  <c r="AC9" i="17"/>
  <c r="Z9" i="17"/>
  <c r="W9" i="17"/>
  <c r="T9" i="17"/>
  <c r="Q9" i="17"/>
  <c r="N9" i="17"/>
  <c r="K9" i="17"/>
  <c r="H9" i="17"/>
  <c r="AC8" i="17"/>
  <c r="Z8" i="17"/>
  <c r="W8" i="17"/>
  <c r="T8" i="17"/>
  <c r="Q8" i="17"/>
  <c r="N8" i="17"/>
  <c r="K8" i="17"/>
  <c r="H8" i="17"/>
  <c r="C8" i="17"/>
  <c r="X8" i="17" s="1"/>
  <c r="C8" i="26" s="1"/>
  <c r="AC7" i="17"/>
  <c r="Z7" i="17"/>
  <c r="W7" i="17"/>
  <c r="T7" i="17"/>
  <c r="Q7" i="17"/>
  <c r="N7" i="17"/>
  <c r="K7" i="17"/>
  <c r="H7" i="17"/>
  <c r="C7" i="17"/>
  <c r="AA7" i="17" s="1"/>
  <c r="AC6" i="17"/>
  <c r="Z6" i="17"/>
  <c r="W6" i="17"/>
  <c r="T6" i="17"/>
  <c r="Q6" i="17"/>
  <c r="N6" i="17"/>
  <c r="K6" i="17"/>
  <c r="H6" i="17"/>
  <c r="AC5" i="17"/>
  <c r="Z5" i="17"/>
  <c r="W5" i="17"/>
  <c r="T5" i="17"/>
  <c r="Q5" i="17"/>
  <c r="N5" i="17"/>
  <c r="K5" i="17"/>
  <c r="H5" i="17"/>
  <c r="AC4" i="17"/>
  <c r="Z4" i="17"/>
  <c r="W4" i="17"/>
  <c r="T4" i="17"/>
  <c r="Q4" i="17"/>
  <c r="N4" i="17"/>
  <c r="K4" i="17"/>
  <c r="H4" i="17"/>
  <c r="B4" i="17"/>
  <c r="X2" i="17"/>
  <c r="B1" i="26" s="1"/>
  <c r="U2" i="17"/>
  <c r="B1" i="25" s="1"/>
  <c r="R2" i="17"/>
  <c r="B1" i="24" s="1"/>
  <c r="O2" i="17"/>
  <c r="B1" i="23" s="1"/>
  <c r="L2" i="17"/>
  <c r="B1" i="22" s="1"/>
  <c r="I2" i="17"/>
  <c r="B1" i="21" s="1"/>
  <c r="F2" i="17"/>
  <c r="B1" i="18" s="1"/>
  <c r="B80" i="68"/>
  <c r="A80" i="68"/>
  <c r="A79" i="68"/>
  <c r="A78" i="68"/>
  <c r="A77" i="68"/>
  <c r="A76" i="68"/>
  <c r="A75" i="68"/>
  <c r="A74" i="68"/>
  <c r="B73" i="68"/>
  <c r="A73" i="68"/>
  <c r="A72" i="68"/>
  <c r="A71" i="68"/>
  <c r="A70" i="68"/>
  <c r="B69" i="68"/>
  <c r="A69" i="68"/>
  <c r="A68" i="68"/>
  <c r="B67" i="68"/>
  <c r="A67" i="68"/>
  <c r="A66" i="68"/>
  <c r="A65" i="68"/>
  <c r="A64" i="68"/>
  <c r="A63" i="68"/>
  <c r="A62" i="68"/>
  <c r="A61" i="68"/>
  <c r="B60" i="68"/>
  <c r="A60" i="68"/>
  <c r="B59" i="68"/>
  <c r="A59" i="68"/>
  <c r="J57" i="68"/>
  <c r="I57" i="68"/>
  <c r="H57" i="68"/>
  <c r="G57" i="68"/>
  <c r="F57" i="68"/>
  <c r="E57" i="68"/>
  <c r="D57" i="68"/>
  <c r="C57" i="68"/>
  <c r="B57" i="68"/>
  <c r="A55" i="68"/>
  <c r="A54" i="68"/>
  <c r="A53" i="68"/>
  <c r="A52" i="68"/>
  <c r="A51" i="68"/>
  <c r="A50" i="68"/>
  <c r="A49" i="68"/>
  <c r="A48" i="68"/>
  <c r="A47" i="68"/>
  <c r="A46" i="68"/>
  <c r="A45" i="68"/>
  <c r="A44" i="68"/>
  <c r="A43" i="68"/>
  <c r="A42" i="68"/>
  <c r="A41" i="68"/>
  <c r="A40" i="68"/>
  <c r="A39" i="68"/>
  <c r="A38" i="68"/>
  <c r="A37" i="68"/>
  <c r="A36" i="68"/>
  <c r="A35" i="68"/>
  <c r="A34" i="68"/>
  <c r="A33" i="68"/>
  <c r="A32" i="68"/>
  <c r="A31" i="68"/>
  <c r="A30" i="68"/>
  <c r="A29" i="68"/>
  <c r="A28" i="68"/>
  <c r="A27" i="68"/>
  <c r="A26" i="68"/>
  <c r="A25" i="68"/>
  <c r="A24" i="68"/>
  <c r="A23" i="68"/>
  <c r="A22" i="68"/>
  <c r="A21" i="68"/>
  <c r="A20" i="68"/>
  <c r="A19" i="68"/>
  <c r="A18" i="68"/>
  <c r="A17" i="68"/>
  <c r="N16" i="68"/>
  <c r="A16" i="68"/>
  <c r="N15" i="68"/>
  <c r="A15" i="68"/>
  <c r="N14" i="68"/>
  <c r="A14" i="68"/>
  <c r="N13" i="68"/>
  <c r="A13" i="68"/>
  <c r="N12" i="68"/>
  <c r="A12" i="68"/>
  <c r="N11" i="68"/>
  <c r="A11" i="68"/>
  <c r="N10" i="68"/>
  <c r="A10" i="68"/>
  <c r="N9" i="68"/>
  <c r="A9" i="68"/>
  <c r="N8" i="68"/>
  <c r="A8" i="68"/>
  <c r="N7" i="68"/>
  <c r="A7" i="68"/>
  <c r="N6" i="68"/>
  <c r="L6" i="68"/>
  <c r="L7" i="68" s="1"/>
  <c r="L8" i="68" s="1"/>
  <c r="L9" i="68" s="1"/>
  <c r="L10" i="68" s="1"/>
  <c r="L11" i="68" s="1"/>
  <c r="L12" i="68" s="1"/>
  <c r="L13" i="68" s="1"/>
  <c r="L14" i="68" s="1"/>
  <c r="L15" i="68" s="1"/>
  <c r="L16" i="68" s="1"/>
  <c r="A6" i="68"/>
  <c r="N5" i="68"/>
  <c r="A5" i="68"/>
  <c r="B4" i="68"/>
  <c r="A4" i="68"/>
  <c r="B3" i="68"/>
  <c r="A3" i="68"/>
  <c r="N1" i="68"/>
  <c r="K44" i="62"/>
  <c r="R44" i="62" s="1"/>
  <c r="CD43" i="62"/>
  <c r="CB43" i="62"/>
  <c r="K43" i="62"/>
  <c r="R43" i="62" s="1"/>
  <c r="CD42" i="62"/>
  <c r="CB42" i="62"/>
  <c r="AN42" i="62"/>
  <c r="AL42" i="62"/>
  <c r="B35" i="62"/>
  <c r="B79" i="68" s="1"/>
  <c r="Y34" i="62"/>
  <c r="AM34" i="62" s="1"/>
  <c r="R34" i="62"/>
  <c r="B34" i="62"/>
  <c r="B78" i="68" s="1"/>
  <c r="Y33" i="62"/>
  <c r="AM33" i="62" s="1"/>
  <c r="R33" i="62"/>
  <c r="B33" i="62"/>
  <c r="B77" i="68" s="1"/>
  <c r="Y32" i="62"/>
  <c r="AM32" i="62" s="1"/>
  <c r="R32" i="62"/>
  <c r="B32" i="62"/>
  <c r="B76" i="68" s="1"/>
  <c r="B31" i="62"/>
  <c r="B75" i="68" s="1"/>
  <c r="Y30" i="62"/>
  <c r="AM30" i="62" s="1"/>
  <c r="R30" i="62"/>
  <c r="B30" i="62"/>
  <c r="B74" i="68" s="1"/>
  <c r="AN29" i="62"/>
  <c r="AL29" i="62"/>
  <c r="Y28" i="62"/>
  <c r="R28" i="62"/>
  <c r="B28" i="62"/>
  <c r="B72" i="68" s="1"/>
  <c r="Y27" i="62"/>
  <c r="R27" i="62"/>
  <c r="B27" i="62"/>
  <c r="B71" i="68" s="1"/>
  <c r="B26" i="62"/>
  <c r="B70" i="68" s="1"/>
  <c r="Y25" i="62"/>
  <c r="AM25" i="62" s="1"/>
  <c r="R25" i="62"/>
  <c r="B24" i="62"/>
  <c r="B68" i="68" s="1"/>
  <c r="Y22" i="62"/>
  <c r="AM22" i="62" s="1"/>
  <c r="BA22" i="62" s="1"/>
  <c r="R22" i="62"/>
  <c r="B22" i="62"/>
  <c r="B66" i="68" s="1"/>
  <c r="B21" i="62"/>
  <c r="B65" i="68" s="1"/>
  <c r="B20" i="62"/>
  <c r="B64" i="68" s="1"/>
  <c r="Y19" i="62"/>
  <c r="AM19" i="62" s="1"/>
  <c r="BA19" i="62" s="1"/>
  <c r="BO19" i="62" s="1"/>
  <c r="CC19" i="62" s="1"/>
  <c r="CQ19" i="62" s="1"/>
  <c r="DE19" i="62" s="1"/>
  <c r="DS19" i="62" s="1"/>
  <c r="EG19" i="62" s="1"/>
  <c r="EU19" i="62" s="1"/>
  <c r="FI19" i="62" s="1"/>
  <c r="R19" i="62"/>
  <c r="B19" i="62"/>
  <c r="B63" i="68" s="1"/>
  <c r="CD18" i="62"/>
  <c r="CD48" i="62" s="1"/>
  <c r="CB18" i="62"/>
  <c r="CB48" i="62" s="1"/>
  <c r="AN18" i="62"/>
  <c r="AN48" i="62" s="1"/>
  <c r="AL18" i="62"/>
  <c r="AL48" i="62" s="1"/>
  <c r="B18" i="62"/>
  <c r="B62" i="68" s="1"/>
  <c r="CS16" i="62"/>
  <c r="CL16" i="62"/>
  <c r="FH12" i="62"/>
  <c r="ET12" i="62"/>
  <c r="EF12" i="62"/>
  <c r="DR12" i="62"/>
  <c r="DD12" i="62"/>
  <c r="CP12" i="62"/>
  <c r="CB12" i="62"/>
  <c r="BN12" i="62"/>
  <c r="AZ12" i="62"/>
  <c r="AL12" i="62"/>
  <c r="X12" i="62"/>
  <c r="J12" i="62"/>
  <c r="AS12" i="62" s="1"/>
  <c r="C10" i="62"/>
  <c r="D9" i="62"/>
  <c r="D8" i="62"/>
  <c r="A6" i="62"/>
  <c r="B62" i="5"/>
  <c r="B55" i="68" s="1"/>
  <c r="Y61" i="5"/>
  <c r="AM61" i="5" s="1"/>
  <c r="R61" i="5"/>
  <c r="B61" i="5"/>
  <c r="B54" i="68" s="1"/>
  <c r="Y60" i="5"/>
  <c r="AM60" i="5" s="1"/>
  <c r="R60" i="5"/>
  <c r="B60" i="5"/>
  <c r="B53" i="68" s="1"/>
  <c r="B59" i="5"/>
  <c r="B52" i="68" s="1"/>
  <c r="FR58" i="5"/>
  <c r="FD58" i="5"/>
  <c r="Y58" i="5"/>
  <c r="AM58" i="5" s="1"/>
  <c r="R58" i="5"/>
  <c r="AF58" i="5" s="1"/>
  <c r="AT58" i="5" s="1"/>
  <c r="B58" i="5"/>
  <c r="B51" i="68" s="1"/>
  <c r="B57" i="5"/>
  <c r="B50" i="68" s="1"/>
  <c r="B56" i="5"/>
  <c r="B49" i="68" s="1"/>
  <c r="B55" i="5"/>
  <c r="B48" i="68" s="1"/>
  <c r="Y54" i="5"/>
  <c r="AM54" i="5" s="1"/>
  <c r="R54" i="5"/>
  <c r="B54" i="5"/>
  <c r="B47" i="68" s="1"/>
  <c r="Y53" i="5"/>
  <c r="AM53" i="5" s="1"/>
  <c r="R53" i="5"/>
  <c r="B53" i="5"/>
  <c r="B46" i="68" s="1"/>
  <c r="Y52" i="5"/>
  <c r="AM52" i="5" s="1"/>
  <c r="BA52" i="5" s="1"/>
  <c r="BO52" i="5" s="1"/>
  <c r="CC52" i="5" s="1"/>
  <c r="CQ52" i="5" s="1"/>
  <c r="DE52" i="5" s="1"/>
  <c r="DS52" i="5" s="1"/>
  <c r="EG52" i="5" s="1"/>
  <c r="EU52" i="5" s="1"/>
  <c r="FI52" i="5" s="1"/>
  <c r="R52" i="5"/>
  <c r="B52" i="5"/>
  <c r="B45" i="68" s="1"/>
  <c r="Y51" i="5"/>
  <c r="Y43" i="62" s="1"/>
  <c r="R51" i="5"/>
  <c r="AF51" i="5" s="1"/>
  <c r="B51" i="5"/>
  <c r="B44" i="68" s="1"/>
  <c r="Y50" i="5"/>
  <c r="AM50" i="5" s="1"/>
  <c r="AO50" i="5" s="1"/>
  <c r="R50" i="5"/>
  <c r="B50" i="5"/>
  <c r="B43" i="68" s="1"/>
  <c r="FI49" i="5"/>
  <c r="FI18" i="62" s="1"/>
  <c r="FI48" i="62" s="1"/>
  <c r="EU49" i="5"/>
  <c r="EU18" i="62" s="1"/>
  <c r="EU48" i="62" s="1"/>
  <c r="EG49" i="5"/>
  <c r="EG18" i="62" s="1"/>
  <c r="EG48" i="62" s="1"/>
  <c r="DS49" i="5"/>
  <c r="DS18" i="62" s="1"/>
  <c r="DS48" i="62" s="1"/>
  <c r="DE49" i="5"/>
  <c r="DE18" i="62" s="1"/>
  <c r="DE48" i="62" s="1"/>
  <c r="CQ49" i="5"/>
  <c r="CQ18" i="62" s="1"/>
  <c r="CQ48" i="62" s="1"/>
  <c r="CC49" i="5"/>
  <c r="BO49" i="5"/>
  <c r="BO18" i="62" s="1"/>
  <c r="BO48" i="62" s="1"/>
  <c r="BA49" i="5"/>
  <c r="BA18" i="62" s="1"/>
  <c r="BA48" i="62" s="1"/>
  <c r="AM49" i="5"/>
  <c r="AM18" i="62" s="1"/>
  <c r="Y49" i="5"/>
  <c r="Y18" i="62" s="1"/>
  <c r="Y48" i="62" s="1"/>
  <c r="K49" i="5"/>
  <c r="K55" i="5" s="1"/>
  <c r="B49" i="5"/>
  <c r="B42" i="68" s="1"/>
  <c r="B48" i="5"/>
  <c r="B41" i="68" s="1"/>
  <c r="B47" i="5"/>
  <c r="B40" i="68" s="1"/>
  <c r="B46" i="5"/>
  <c r="B39" i="68" s="1"/>
  <c r="Y45" i="5"/>
  <c r="AM45" i="5" s="1"/>
  <c r="R45" i="5"/>
  <c r="B45" i="5"/>
  <c r="B38" i="68" s="1"/>
  <c r="B44" i="5"/>
  <c r="B37" i="68" s="1"/>
  <c r="B43" i="5"/>
  <c r="B36" i="68" s="1"/>
  <c r="B42" i="5"/>
  <c r="B35" i="68" s="1"/>
  <c r="B41" i="5"/>
  <c r="B34" i="68" s="1"/>
  <c r="B40" i="5"/>
  <c r="B33" i="68" s="1"/>
  <c r="B39" i="5"/>
  <c r="B32" i="68" s="1"/>
  <c r="B38" i="5"/>
  <c r="B31" i="68" s="1"/>
  <c r="B37" i="5"/>
  <c r="B30" i="68" s="1"/>
  <c r="B36" i="5"/>
  <c r="B29" i="68" s="1"/>
  <c r="B35" i="5"/>
  <c r="B28" i="68" s="1"/>
  <c r="B34" i="5"/>
  <c r="B27" i="68" s="1"/>
  <c r="CD33" i="5"/>
  <c r="CB33" i="5"/>
  <c r="AN33" i="5"/>
  <c r="AL33" i="5"/>
  <c r="B33" i="5"/>
  <c r="B26" i="68" s="1"/>
  <c r="B32" i="5"/>
  <c r="B25" i="68" s="1"/>
  <c r="B31" i="5"/>
  <c r="B24" i="68" s="1"/>
  <c r="B30" i="5"/>
  <c r="B23" i="68" s="1"/>
  <c r="B29" i="5"/>
  <c r="B22" i="68" s="1"/>
  <c r="Y28" i="5"/>
  <c r="AM28" i="5" s="1"/>
  <c r="R28" i="5"/>
  <c r="B28" i="5"/>
  <c r="B21" i="68" s="1"/>
  <c r="Y27" i="5"/>
  <c r="AM27" i="5" s="1"/>
  <c r="R27" i="5"/>
  <c r="B27" i="5"/>
  <c r="B20" i="68" s="1"/>
  <c r="Y26" i="5"/>
  <c r="AM26" i="5" s="1"/>
  <c r="R26" i="5"/>
  <c r="AF26" i="5" s="1"/>
  <c r="AT26" i="5" s="1"/>
  <c r="B26" i="5"/>
  <c r="B19" i="68" s="1"/>
  <c r="Y25" i="5"/>
  <c r="AM25" i="5" s="1"/>
  <c r="AO25" i="5" s="1"/>
  <c r="R25" i="5"/>
  <c r="AF25" i="5" s="1"/>
  <c r="B25" i="5"/>
  <c r="B18" i="68" s="1"/>
  <c r="B24" i="5"/>
  <c r="B17" i="68" s="1"/>
  <c r="B23" i="5"/>
  <c r="B16" i="68" s="1"/>
  <c r="B22" i="5"/>
  <c r="B15" i="68" s="1"/>
  <c r="B21" i="5"/>
  <c r="B14" i="68" s="1"/>
  <c r="FI20" i="5"/>
  <c r="EU20" i="5"/>
  <c r="EG20" i="5"/>
  <c r="DS20" i="5"/>
  <c r="DE20" i="5"/>
  <c r="CQ20" i="5"/>
  <c r="CC20" i="5"/>
  <c r="CE20" i="5" s="1"/>
  <c r="BO20" i="5"/>
  <c r="BA20" i="5"/>
  <c r="AM20" i="5"/>
  <c r="Y20" i="5"/>
  <c r="R20" i="5"/>
  <c r="B20" i="5"/>
  <c r="B13" i="68" s="1"/>
  <c r="Y19" i="5"/>
  <c r="AM19" i="5" s="1"/>
  <c r="R19" i="5"/>
  <c r="B19" i="5"/>
  <c r="B12" i="68" s="1"/>
  <c r="Y18" i="5"/>
  <c r="AM18" i="5" s="1"/>
  <c r="R18" i="5"/>
  <c r="B18" i="5"/>
  <c r="B11" i="68" s="1"/>
  <c r="Y17" i="5"/>
  <c r="AM17" i="5" s="1"/>
  <c r="R17" i="5"/>
  <c r="B17" i="5"/>
  <c r="B10" i="68" s="1"/>
  <c r="B16" i="5"/>
  <c r="B9" i="68" s="1"/>
  <c r="CD15" i="5"/>
  <c r="CB15" i="5"/>
  <c r="B15" i="5"/>
  <c r="B8" i="68" s="1"/>
  <c r="Y14" i="5"/>
  <c r="AM14" i="5" s="1"/>
  <c r="BA14" i="5" s="1"/>
  <c r="BO14" i="5" s="1"/>
  <c r="CC14" i="5" s="1"/>
  <c r="R14" i="5"/>
  <c r="B14" i="5"/>
  <c r="B7" i="68" s="1"/>
  <c r="Y13" i="5"/>
  <c r="AM13" i="5" s="1"/>
  <c r="R13" i="5"/>
  <c r="B13" i="5"/>
  <c r="B6" i="68" s="1"/>
  <c r="B12" i="5"/>
  <c r="B5" i="68" s="1"/>
  <c r="FH10" i="5"/>
  <c r="M16" i="68" s="1"/>
  <c r="ET10" i="5"/>
  <c r="M15" i="68" s="1"/>
  <c r="EF10" i="5"/>
  <c r="M14" i="68" s="1"/>
  <c r="DR10" i="5"/>
  <c r="M13" i="68" s="1"/>
  <c r="DD10" i="5"/>
  <c r="M12" i="68" s="1"/>
  <c r="CP10" i="5"/>
  <c r="M11" i="68" s="1"/>
  <c r="CB10" i="5"/>
  <c r="M10" i="68" s="1"/>
  <c r="BN10" i="5"/>
  <c r="M9" i="68" s="1"/>
  <c r="AZ10" i="5"/>
  <c r="M8" i="68" s="1"/>
  <c r="AL10" i="5"/>
  <c r="M7" i="68" s="1"/>
  <c r="X10" i="5"/>
  <c r="M6" i="68" s="1"/>
  <c r="J10" i="5"/>
  <c r="D8" i="5"/>
  <c r="A6" i="5"/>
  <c r="D2" i="4" s="1"/>
  <c r="D35" i="63"/>
  <c r="E35" i="63" s="1"/>
  <c r="D34" i="63"/>
  <c r="E34" i="63" s="1"/>
  <c r="D33" i="63"/>
  <c r="E33" i="63" s="1"/>
  <c r="D32" i="63"/>
  <c r="E32" i="63" s="1"/>
  <c r="D31" i="63"/>
  <c r="E31" i="63" s="1"/>
  <c r="E30" i="63"/>
  <c r="D30" i="63"/>
  <c r="D29" i="63"/>
  <c r="E29" i="63" s="1"/>
  <c r="D28" i="63"/>
  <c r="E28" i="63" s="1"/>
  <c r="D27" i="63"/>
  <c r="E27" i="63" s="1"/>
  <c r="D26" i="63"/>
  <c r="E26" i="63" s="1"/>
  <c r="D25" i="63"/>
  <c r="E25" i="63" s="1"/>
  <c r="E24" i="63"/>
  <c r="G18" i="63"/>
  <c r="D18" i="63"/>
  <c r="E18" i="63" s="1"/>
  <c r="G17" i="63"/>
  <c r="D17" i="63"/>
  <c r="E17" i="63" s="1"/>
  <c r="G16" i="63"/>
  <c r="D16" i="63"/>
  <c r="E16" i="63" s="1"/>
  <c r="G15" i="63"/>
  <c r="D15" i="63"/>
  <c r="E15" i="63" s="1"/>
  <c r="G14" i="63"/>
  <c r="D14" i="63"/>
  <c r="E14" i="63" s="1"/>
  <c r="G13" i="63"/>
  <c r="D13" i="63"/>
  <c r="E13" i="63" s="1"/>
  <c r="G12" i="63"/>
  <c r="D12" i="63"/>
  <c r="E12" i="63" s="1"/>
  <c r="G11" i="63"/>
  <c r="D11" i="63"/>
  <c r="E11" i="63" s="1"/>
  <c r="G10" i="63"/>
  <c r="D10" i="63"/>
  <c r="E10" i="63" s="1"/>
  <c r="G9" i="63"/>
  <c r="D9" i="63"/>
  <c r="E9" i="63" s="1"/>
  <c r="G8" i="63"/>
  <c r="D8" i="63"/>
  <c r="E8" i="63" s="1"/>
  <c r="G7" i="63"/>
  <c r="E7" i="63"/>
  <c r="G1" i="63"/>
  <c r="D35" i="7"/>
  <c r="E35" i="7" s="1"/>
  <c r="D34" i="7"/>
  <c r="E34" i="7" s="1"/>
  <c r="D33" i="7"/>
  <c r="E33" i="7" s="1"/>
  <c r="D32" i="7"/>
  <c r="E32" i="7" s="1"/>
  <c r="D31" i="7"/>
  <c r="E31" i="7" s="1"/>
  <c r="D30" i="7"/>
  <c r="E30" i="7" s="1"/>
  <c r="D29" i="7"/>
  <c r="E29" i="7" s="1"/>
  <c r="D28" i="7"/>
  <c r="E28" i="7" s="1"/>
  <c r="D27" i="7"/>
  <c r="E27" i="7" s="1"/>
  <c r="E26" i="7"/>
  <c r="D26" i="7"/>
  <c r="D25" i="7"/>
  <c r="E25" i="7" s="1"/>
  <c r="D24" i="7"/>
  <c r="E24" i="7" s="1"/>
  <c r="G18" i="7"/>
  <c r="Y11" i="12" s="1"/>
  <c r="D18" i="7"/>
  <c r="E18" i="7" s="1"/>
  <c r="G17" i="7"/>
  <c r="W11" i="12" s="1"/>
  <c r="D17" i="7"/>
  <c r="E17" i="7" s="1"/>
  <c r="G16" i="7"/>
  <c r="U11" i="12" s="1"/>
  <c r="D16" i="7"/>
  <c r="E16" i="7" s="1"/>
  <c r="G15" i="7"/>
  <c r="S11" i="12" s="1"/>
  <c r="D15" i="7"/>
  <c r="E15" i="7" s="1"/>
  <c r="G14" i="7"/>
  <c r="Q11" i="12" s="1"/>
  <c r="D14" i="7"/>
  <c r="E14" i="7" s="1"/>
  <c r="G13" i="7"/>
  <c r="O11" i="12" s="1"/>
  <c r="D13" i="7"/>
  <c r="E13" i="7" s="1"/>
  <c r="G12" i="7"/>
  <c r="M11" i="12" s="1"/>
  <c r="D12" i="7"/>
  <c r="E12" i="7" s="1"/>
  <c r="G11" i="7"/>
  <c r="K11" i="12" s="1"/>
  <c r="D11" i="7"/>
  <c r="E11" i="7" s="1"/>
  <c r="G10" i="7"/>
  <c r="I11" i="12" s="1"/>
  <c r="D10" i="7"/>
  <c r="E10" i="7" s="1"/>
  <c r="G9" i="7"/>
  <c r="G11" i="12" s="1"/>
  <c r="D9" i="7"/>
  <c r="E9" i="7" s="1"/>
  <c r="G8" i="7"/>
  <c r="E11" i="12" s="1"/>
  <c r="D8" i="7"/>
  <c r="E8" i="7" s="1"/>
  <c r="G7" i="7"/>
  <c r="C11" i="12" s="1"/>
  <c r="E7" i="7"/>
  <c r="G1" i="7"/>
  <c r="AX107" i="19"/>
  <c r="AW107" i="19"/>
  <c r="AV107" i="19"/>
  <c r="AU107" i="19"/>
  <c r="AT107" i="19"/>
  <c r="AS107" i="19"/>
  <c r="AR107" i="19"/>
  <c r="AQ107" i="19"/>
  <c r="Q107" i="19"/>
  <c r="P107" i="19"/>
  <c r="O107" i="19"/>
  <c r="N107" i="19"/>
  <c r="M107" i="19"/>
  <c r="L107" i="19"/>
  <c r="K107" i="19"/>
  <c r="J107" i="19"/>
  <c r="A107" i="19"/>
  <c r="AY106" i="19"/>
  <c r="R106" i="19"/>
  <c r="E106" i="19"/>
  <c r="A106" i="19"/>
  <c r="AY105" i="19"/>
  <c r="R105" i="19"/>
  <c r="E105" i="19"/>
  <c r="S105" i="19" s="1"/>
  <c r="A105" i="19"/>
  <c r="AZ105" i="19" s="1"/>
  <c r="AY104" i="19"/>
  <c r="R104" i="19"/>
  <c r="E104" i="19"/>
  <c r="S104" i="19" s="1"/>
  <c r="A104" i="19"/>
  <c r="AY103" i="19"/>
  <c r="R103" i="19"/>
  <c r="E103" i="19"/>
  <c r="A103" i="19"/>
  <c r="AY102" i="19"/>
  <c r="R102" i="19"/>
  <c r="E102" i="19"/>
  <c r="S102" i="19" s="1"/>
  <c r="A102" i="19"/>
  <c r="AY101" i="19"/>
  <c r="R101" i="19"/>
  <c r="E101" i="19"/>
  <c r="S101" i="19" s="1"/>
  <c r="A101" i="19"/>
  <c r="AY100" i="19"/>
  <c r="R100" i="19"/>
  <c r="E100" i="19"/>
  <c r="S100" i="19" s="1"/>
  <c r="A100" i="19"/>
  <c r="AY99" i="19"/>
  <c r="R99" i="19"/>
  <c r="E99" i="19"/>
  <c r="S99" i="19" s="1"/>
  <c r="A99" i="19"/>
  <c r="AY98" i="19"/>
  <c r="R98" i="19"/>
  <c r="E98" i="19"/>
  <c r="A98" i="19"/>
  <c r="AY97" i="19"/>
  <c r="R97" i="19"/>
  <c r="E97" i="19"/>
  <c r="S97" i="19" s="1"/>
  <c r="A97" i="19"/>
  <c r="AY96" i="19"/>
  <c r="R96" i="19"/>
  <c r="E96" i="19"/>
  <c r="S96" i="19" s="1"/>
  <c r="A96" i="19"/>
  <c r="AY95" i="19"/>
  <c r="R95" i="19"/>
  <c r="E95" i="19"/>
  <c r="A95" i="19"/>
  <c r="AY94" i="19"/>
  <c r="R94" i="19"/>
  <c r="E94" i="19"/>
  <c r="S94" i="19" s="1"/>
  <c r="A94" i="19"/>
  <c r="AY93" i="19"/>
  <c r="R93" i="19"/>
  <c r="E93" i="19"/>
  <c r="S93" i="19" s="1"/>
  <c r="A93" i="19"/>
  <c r="AZ93" i="19" s="1"/>
  <c r="AY92" i="19"/>
  <c r="R92" i="19"/>
  <c r="E92" i="19"/>
  <c r="S92" i="19" s="1"/>
  <c r="A92" i="19"/>
  <c r="AY91" i="19"/>
  <c r="R91" i="19"/>
  <c r="E91" i="19"/>
  <c r="S91" i="19" s="1"/>
  <c r="A91" i="19"/>
  <c r="AY90" i="19"/>
  <c r="R90" i="19"/>
  <c r="E90" i="19"/>
  <c r="S90" i="19" s="1"/>
  <c r="A90" i="19"/>
  <c r="AY89" i="19"/>
  <c r="R89" i="19"/>
  <c r="E89" i="19"/>
  <c r="S89" i="19" s="1"/>
  <c r="A89" i="19"/>
  <c r="AY88" i="19"/>
  <c r="R88" i="19"/>
  <c r="E88" i="19"/>
  <c r="A88" i="19"/>
  <c r="AY87" i="19"/>
  <c r="R87" i="19"/>
  <c r="E87" i="19"/>
  <c r="S87" i="19" s="1"/>
  <c r="A87" i="19"/>
  <c r="AY86" i="19"/>
  <c r="R86" i="19"/>
  <c r="E86" i="19"/>
  <c r="S86" i="19" s="1"/>
  <c r="A86" i="19"/>
  <c r="AY85" i="19"/>
  <c r="R85" i="19"/>
  <c r="E85" i="19"/>
  <c r="S85" i="19" s="1"/>
  <c r="A85" i="19"/>
  <c r="AY84" i="19"/>
  <c r="R84" i="19"/>
  <c r="E84" i="19"/>
  <c r="A84" i="19"/>
  <c r="AY83" i="19"/>
  <c r="R83" i="19"/>
  <c r="E83" i="19"/>
  <c r="S83" i="19" s="1"/>
  <c r="A83" i="19"/>
  <c r="AY82" i="19"/>
  <c r="R82" i="19"/>
  <c r="E82" i="19"/>
  <c r="S82" i="19" s="1"/>
  <c r="A82" i="19"/>
  <c r="AY81" i="19"/>
  <c r="R81" i="19"/>
  <c r="E81" i="19"/>
  <c r="S81" i="19" s="1"/>
  <c r="A81" i="19"/>
  <c r="AY80" i="19"/>
  <c r="R80" i="19"/>
  <c r="E80" i="19"/>
  <c r="A80" i="19"/>
  <c r="AY79" i="19"/>
  <c r="R79" i="19"/>
  <c r="E79" i="19"/>
  <c r="S79" i="19" s="1"/>
  <c r="A79" i="19"/>
  <c r="AY78" i="19"/>
  <c r="R78" i="19"/>
  <c r="E78" i="19"/>
  <c r="S78" i="19" s="1"/>
  <c r="A78" i="19"/>
  <c r="AY77" i="19"/>
  <c r="R77" i="19"/>
  <c r="E77" i="19"/>
  <c r="S77" i="19" s="1"/>
  <c r="A77" i="19"/>
  <c r="AY76" i="19"/>
  <c r="R76" i="19"/>
  <c r="E76" i="19"/>
  <c r="A76" i="19"/>
  <c r="AY75" i="19"/>
  <c r="R75" i="19"/>
  <c r="E75" i="19"/>
  <c r="S75" i="19" s="1"/>
  <c r="A75" i="19"/>
  <c r="AY74" i="19"/>
  <c r="R74" i="19"/>
  <c r="E74" i="19"/>
  <c r="S74" i="19" s="1"/>
  <c r="A74" i="19"/>
  <c r="AY73" i="19"/>
  <c r="R73" i="19"/>
  <c r="E73" i="19"/>
  <c r="S73" i="19" s="1"/>
  <c r="A73" i="19"/>
  <c r="AY72" i="19"/>
  <c r="R72" i="19"/>
  <c r="E72" i="19"/>
  <c r="A72" i="19"/>
  <c r="AY71" i="19"/>
  <c r="R71" i="19"/>
  <c r="E71" i="19"/>
  <c r="S71" i="19" s="1"/>
  <c r="A71" i="19"/>
  <c r="AY70" i="19"/>
  <c r="R70" i="19"/>
  <c r="E70" i="19"/>
  <c r="S70" i="19" s="1"/>
  <c r="A70" i="19"/>
  <c r="AY69" i="19"/>
  <c r="R69" i="19"/>
  <c r="E69" i="19"/>
  <c r="S69" i="19" s="1"/>
  <c r="A69" i="19"/>
  <c r="AY68" i="19"/>
  <c r="R68" i="19"/>
  <c r="E68" i="19"/>
  <c r="A68" i="19"/>
  <c r="AY67" i="19"/>
  <c r="R67" i="19"/>
  <c r="E67" i="19"/>
  <c r="S67" i="19" s="1"/>
  <c r="A67" i="19"/>
  <c r="AY66" i="19"/>
  <c r="R66" i="19"/>
  <c r="E66" i="19"/>
  <c r="S66" i="19" s="1"/>
  <c r="A66" i="19"/>
  <c r="AY65" i="19"/>
  <c r="R65" i="19"/>
  <c r="E65" i="19"/>
  <c r="S65" i="19" s="1"/>
  <c r="A65" i="19"/>
  <c r="AY64" i="19"/>
  <c r="R64" i="19"/>
  <c r="E64" i="19"/>
  <c r="A64" i="19"/>
  <c r="AY63" i="19"/>
  <c r="R63" i="19"/>
  <c r="E63" i="19"/>
  <c r="S63" i="19" s="1"/>
  <c r="A63" i="19"/>
  <c r="AY62" i="19"/>
  <c r="R62" i="19"/>
  <c r="E62" i="19"/>
  <c r="S62" i="19" s="1"/>
  <c r="A62" i="19"/>
  <c r="AY61" i="19"/>
  <c r="R61" i="19"/>
  <c r="E61" i="19"/>
  <c r="S61" i="19" s="1"/>
  <c r="A61" i="19"/>
  <c r="AY60" i="19"/>
  <c r="R60" i="19"/>
  <c r="E60" i="19"/>
  <c r="A60" i="19"/>
  <c r="AY59" i="19"/>
  <c r="R59" i="19"/>
  <c r="E59" i="19"/>
  <c r="S59" i="19" s="1"/>
  <c r="A59" i="19"/>
  <c r="AY58" i="19"/>
  <c r="R58" i="19"/>
  <c r="E58" i="19"/>
  <c r="S58" i="19" s="1"/>
  <c r="A58" i="19"/>
  <c r="AY57" i="19"/>
  <c r="R57" i="19"/>
  <c r="E57" i="19"/>
  <c r="S57" i="19" s="1"/>
  <c r="A57" i="19"/>
  <c r="AY56" i="19"/>
  <c r="R56" i="19"/>
  <c r="E56" i="19"/>
  <c r="A56" i="19"/>
  <c r="AY55" i="19"/>
  <c r="R55" i="19"/>
  <c r="E55" i="19"/>
  <c r="S55" i="19" s="1"/>
  <c r="A55" i="19"/>
  <c r="AY54" i="19"/>
  <c r="R54" i="19"/>
  <c r="E54" i="19"/>
  <c r="S54" i="19" s="1"/>
  <c r="A54" i="19"/>
  <c r="AY53" i="19"/>
  <c r="R53" i="19"/>
  <c r="E53" i="19"/>
  <c r="S53" i="19" s="1"/>
  <c r="A53" i="19"/>
  <c r="AY52" i="19"/>
  <c r="R52" i="19"/>
  <c r="E52" i="19"/>
  <c r="A52" i="19"/>
  <c r="AY51" i="19"/>
  <c r="R51" i="19"/>
  <c r="E51" i="19"/>
  <c r="S51" i="19" s="1"/>
  <c r="A51" i="19"/>
  <c r="AY50" i="19"/>
  <c r="R50" i="19"/>
  <c r="E50" i="19"/>
  <c r="S50" i="19" s="1"/>
  <c r="A50" i="19"/>
  <c r="AY49" i="19"/>
  <c r="R49" i="19"/>
  <c r="E49" i="19"/>
  <c r="S49" i="19" s="1"/>
  <c r="A49" i="19"/>
  <c r="AY48" i="19"/>
  <c r="R48" i="19"/>
  <c r="E48" i="19"/>
  <c r="A48" i="19"/>
  <c r="AY47" i="19"/>
  <c r="R47" i="19"/>
  <c r="E47" i="19"/>
  <c r="S47" i="19" s="1"/>
  <c r="A47" i="19"/>
  <c r="AY46" i="19"/>
  <c r="R46" i="19"/>
  <c r="E46" i="19"/>
  <c r="S46" i="19" s="1"/>
  <c r="A46" i="19"/>
  <c r="AY45" i="19"/>
  <c r="R45" i="19"/>
  <c r="E45" i="19"/>
  <c r="S45" i="19" s="1"/>
  <c r="A45" i="19"/>
  <c r="AY44" i="19"/>
  <c r="R44" i="19"/>
  <c r="E44" i="19"/>
  <c r="A44" i="19"/>
  <c r="AY43" i="19"/>
  <c r="R43" i="19"/>
  <c r="E43" i="19"/>
  <c r="S43" i="19" s="1"/>
  <c r="A43" i="19"/>
  <c r="AY42" i="19"/>
  <c r="R42" i="19"/>
  <c r="E42" i="19"/>
  <c r="S42" i="19" s="1"/>
  <c r="A42" i="19"/>
  <c r="AY41" i="19"/>
  <c r="R41" i="19"/>
  <c r="E41" i="19"/>
  <c r="S41" i="19" s="1"/>
  <c r="A41" i="19"/>
  <c r="AY40" i="19"/>
  <c r="R40" i="19"/>
  <c r="E40" i="19"/>
  <c r="A40" i="19"/>
  <c r="AY39" i="19"/>
  <c r="R39" i="19"/>
  <c r="E39" i="19"/>
  <c r="S39" i="19" s="1"/>
  <c r="A39" i="19"/>
  <c r="AY38" i="19"/>
  <c r="R38" i="19"/>
  <c r="E38" i="19"/>
  <c r="S38" i="19" s="1"/>
  <c r="A38" i="19"/>
  <c r="AY37" i="19"/>
  <c r="R37" i="19"/>
  <c r="E37" i="19"/>
  <c r="S37" i="19" s="1"/>
  <c r="A37" i="19"/>
  <c r="AY36" i="19"/>
  <c r="R36" i="19"/>
  <c r="E36" i="19"/>
  <c r="A36" i="19"/>
  <c r="AY35" i="19"/>
  <c r="R35" i="19"/>
  <c r="E35" i="19"/>
  <c r="S35" i="19" s="1"/>
  <c r="A35" i="19"/>
  <c r="AY34" i="19"/>
  <c r="R34" i="19"/>
  <c r="E34" i="19"/>
  <c r="S34" i="19" s="1"/>
  <c r="A34" i="19"/>
  <c r="AY33" i="19"/>
  <c r="R33" i="19"/>
  <c r="E33" i="19"/>
  <c r="S33" i="19" s="1"/>
  <c r="A33" i="19"/>
  <c r="AY32" i="19"/>
  <c r="R32" i="19"/>
  <c r="E32" i="19"/>
  <c r="A32" i="19"/>
  <c r="AY31" i="19"/>
  <c r="R31" i="19"/>
  <c r="E31" i="19"/>
  <c r="S31" i="19" s="1"/>
  <c r="A31" i="19"/>
  <c r="AY30" i="19"/>
  <c r="R30" i="19"/>
  <c r="E30" i="19"/>
  <c r="S30" i="19" s="1"/>
  <c r="A30" i="19"/>
  <c r="AY29" i="19"/>
  <c r="R29" i="19"/>
  <c r="E29" i="19"/>
  <c r="S29" i="19" s="1"/>
  <c r="A29" i="19"/>
  <c r="AY28" i="19"/>
  <c r="R28" i="19"/>
  <c r="E28" i="19"/>
  <c r="A28" i="19"/>
  <c r="AY27" i="19"/>
  <c r="R27" i="19"/>
  <c r="E27" i="19"/>
  <c r="S27" i="19" s="1"/>
  <c r="A27" i="19"/>
  <c r="AY26" i="19"/>
  <c r="R26" i="19"/>
  <c r="E26" i="19"/>
  <c r="S26" i="19" s="1"/>
  <c r="A26" i="19"/>
  <c r="AY25" i="19"/>
  <c r="R25" i="19"/>
  <c r="E25" i="19"/>
  <c r="S25" i="19" s="1"/>
  <c r="A25" i="19"/>
  <c r="AY24" i="19"/>
  <c r="R24" i="19"/>
  <c r="E24" i="19"/>
  <c r="A24" i="19"/>
  <c r="AY23" i="19"/>
  <c r="R23" i="19"/>
  <c r="E23" i="19"/>
  <c r="S23" i="19" s="1"/>
  <c r="A23" i="19"/>
  <c r="AY22" i="19"/>
  <c r="R22" i="19"/>
  <c r="E22" i="19"/>
  <c r="S22" i="19" s="1"/>
  <c r="A22" i="19"/>
  <c r="AY21" i="19"/>
  <c r="R21" i="19"/>
  <c r="E21" i="19"/>
  <c r="S21" i="19" s="1"/>
  <c r="A21" i="19"/>
  <c r="AY20" i="19"/>
  <c r="R20" i="19"/>
  <c r="E20" i="19"/>
  <c r="A20" i="19"/>
  <c r="AY19" i="19"/>
  <c r="R19" i="19"/>
  <c r="E19" i="19"/>
  <c r="S19" i="19" s="1"/>
  <c r="A19" i="19"/>
  <c r="AY18" i="19"/>
  <c r="R18" i="19"/>
  <c r="E18" i="19"/>
  <c r="S18" i="19" s="1"/>
  <c r="A18" i="19"/>
  <c r="AY17" i="19"/>
  <c r="R17" i="19"/>
  <c r="E17" i="19"/>
  <c r="S17" i="19" s="1"/>
  <c r="A17" i="19"/>
  <c r="AY16" i="19"/>
  <c r="R16" i="19"/>
  <c r="E16" i="19"/>
  <c r="A16" i="19"/>
  <c r="AY15" i="19"/>
  <c r="R15" i="19"/>
  <c r="E15" i="19"/>
  <c r="S15" i="19" s="1"/>
  <c r="A15" i="19"/>
  <c r="AY14" i="19"/>
  <c r="R14" i="19"/>
  <c r="E14" i="19"/>
  <c r="S14" i="19" s="1"/>
  <c r="A14" i="19"/>
  <c r="AY13" i="19"/>
  <c r="R13" i="19"/>
  <c r="E13" i="19"/>
  <c r="S13" i="19" s="1"/>
  <c r="A13" i="19"/>
  <c r="AY12" i="19"/>
  <c r="R12" i="19"/>
  <c r="E12" i="19"/>
  <c r="A12" i="19"/>
  <c r="AY11" i="19"/>
  <c r="R11" i="19"/>
  <c r="E11" i="19"/>
  <c r="S11" i="19" s="1"/>
  <c r="A11" i="19"/>
  <c r="AY10" i="19"/>
  <c r="R10" i="19"/>
  <c r="E10" i="19"/>
  <c r="S10" i="19" s="1"/>
  <c r="A10" i="19"/>
  <c r="AY9" i="19"/>
  <c r="R9" i="19"/>
  <c r="E9" i="19"/>
  <c r="S9" i="19" s="1"/>
  <c r="A9" i="19"/>
  <c r="AY8" i="19"/>
  <c r="R8" i="19"/>
  <c r="E8" i="19"/>
  <c r="A8" i="19"/>
  <c r="AY7" i="19"/>
  <c r="R7" i="19"/>
  <c r="E7" i="19"/>
  <c r="A7" i="19"/>
  <c r="AY6" i="19"/>
  <c r="R6" i="19"/>
  <c r="E6" i="19"/>
  <c r="A6" i="19"/>
  <c r="AW5" i="19"/>
  <c r="AV5" i="19"/>
  <c r="AU5" i="19"/>
  <c r="AT5" i="19"/>
  <c r="AS5" i="19"/>
  <c r="AR5" i="19"/>
  <c r="AQ5" i="19"/>
  <c r="P5" i="19"/>
  <c r="O5" i="19"/>
  <c r="N5" i="19"/>
  <c r="M5" i="19"/>
  <c r="L5" i="19"/>
  <c r="K5" i="19"/>
  <c r="J5" i="19"/>
  <c r="C3" i="19"/>
  <c r="C1" i="17" s="1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B160" i="16"/>
  <c r="B181" i="16" s="1"/>
  <c r="F152" i="16"/>
  <c r="E150" i="16"/>
  <c r="AG150" i="16" s="1"/>
  <c r="D150" i="16"/>
  <c r="B150" i="16"/>
  <c r="B173" i="16" s="1"/>
  <c r="B194" i="16" s="1"/>
  <c r="A150" i="16"/>
  <c r="A173" i="16" s="1"/>
  <c r="A194" i="16" s="1"/>
  <c r="E149" i="16"/>
  <c r="E172" i="16" s="1"/>
  <c r="D149" i="16"/>
  <c r="B149" i="16"/>
  <c r="B172" i="16" s="1"/>
  <c r="B193" i="16" s="1"/>
  <c r="A149" i="16"/>
  <c r="A172" i="16" s="1"/>
  <c r="A193" i="16" s="1"/>
  <c r="E148" i="16"/>
  <c r="AG148" i="16" s="1"/>
  <c r="D148" i="16"/>
  <c r="B148" i="16"/>
  <c r="B171" i="16" s="1"/>
  <c r="B192" i="16" s="1"/>
  <c r="A148" i="16"/>
  <c r="A171" i="16" s="1"/>
  <c r="A192" i="16" s="1"/>
  <c r="E147" i="16"/>
  <c r="E170" i="16" s="1"/>
  <c r="D147" i="16"/>
  <c r="B147" i="16"/>
  <c r="B170" i="16" s="1"/>
  <c r="B191" i="16" s="1"/>
  <c r="A147" i="16"/>
  <c r="A170" i="16" s="1"/>
  <c r="A191" i="16" s="1"/>
  <c r="E146" i="16"/>
  <c r="AG146" i="16" s="1"/>
  <c r="D146" i="16"/>
  <c r="B146" i="16"/>
  <c r="B169" i="16" s="1"/>
  <c r="B190" i="16" s="1"/>
  <c r="A146" i="16"/>
  <c r="A169" i="16" s="1"/>
  <c r="A190" i="16" s="1"/>
  <c r="E145" i="16"/>
  <c r="E168" i="16" s="1"/>
  <c r="D145" i="16"/>
  <c r="B145" i="16"/>
  <c r="B168" i="16" s="1"/>
  <c r="B189" i="16" s="1"/>
  <c r="A145" i="16"/>
  <c r="A168" i="16" s="1"/>
  <c r="A189" i="16" s="1"/>
  <c r="E144" i="16"/>
  <c r="AG144" i="16" s="1"/>
  <c r="D144" i="16"/>
  <c r="B144" i="16"/>
  <c r="B167" i="16" s="1"/>
  <c r="B188" i="16" s="1"/>
  <c r="A144" i="16"/>
  <c r="A167" i="16" s="1"/>
  <c r="A188" i="16" s="1"/>
  <c r="E143" i="16"/>
  <c r="E166" i="16" s="1"/>
  <c r="D143" i="16"/>
  <c r="B143" i="16"/>
  <c r="B166" i="16" s="1"/>
  <c r="B187" i="16" s="1"/>
  <c r="A143" i="16"/>
  <c r="A166" i="16" s="1"/>
  <c r="A187" i="16" s="1"/>
  <c r="E142" i="16"/>
  <c r="AG142" i="16" s="1"/>
  <c r="D142" i="16"/>
  <c r="B142" i="16"/>
  <c r="B165" i="16" s="1"/>
  <c r="B186" i="16" s="1"/>
  <c r="A142" i="16"/>
  <c r="A165" i="16" s="1"/>
  <c r="A186" i="16" s="1"/>
  <c r="E141" i="16"/>
  <c r="E164" i="16" s="1"/>
  <c r="D141" i="16"/>
  <c r="B141" i="16"/>
  <c r="B164" i="16" s="1"/>
  <c r="B185" i="16" s="1"/>
  <c r="A141" i="16"/>
  <c r="A164" i="16" s="1"/>
  <c r="A185" i="16" s="1"/>
  <c r="E140" i="16"/>
  <c r="AG140" i="16" s="1"/>
  <c r="D140" i="16"/>
  <c r="B140" i="16"/>
  <c r="B163" i="16" s="1"/>
  <c r="B184" i="16" s="1"/>
  <c r="A140" i="16"/>
  <c r="A163" i="16" s="1"/>
  <c r="A184" i="16" s="1"/>
  <c r="E139" i="16"/>
  <c r="E162" i="16" s="1"/>
  <c r="D139" i="16"/>
  <c r="B139" i="16"/>
  <c r="B162" i="16" s="1"/>
  <c r="B183" i="16" s="1"/>
  <c r="A139" i="16"/>
  <c r="A162" i="16" s="1"/>
  <c r="A183" i="16" s="1"/>
  <c r="E138" i="16"/>
  <c r="D138" i="16"/>
  <c r="B138" i="16"/>
  <c r="B161" i="16" s="1"/>
  <c r="B182" i="16" s="1"/>
  <c r="A138" i="16"/>
  <c r="A161" i="16" s="1"/>
  <c r="A182" i="16" s="1"/>
  <c r="E137" i="16"/>
  <c r="E160" i="16" s="1"/>
  <c r="B137" i="16"/>
  <c r="A137" i="16"/>
  <c r="A160" i="16" s="1"/>
  <c r="A181" i="16" s="1"/>
  <c r="U131" i="16"/>
  <c r="AE131" i="16" s="1"/>
  <c r="F131" i="16"/>
  <c r="A131" i="16"/>
  <c r="U130" i="16"/>
  <c r="AE130" i="16" s="1"/>
  <c r="F130" i="16"/>
  <c r="A130" i="16"/>
  <c r="U129" i="16"/>
  <c r="AE129" i="16" s="1"/>
  <c r="F129" i="16"/>
  <c r="A129" i="16"/>
  <c r="U128" i="16"/>
  <c r="AE128" i="16" s="1"/>
  <c r="F128" i="16"/>
  <c r="A128" i="16"/>
  <c r="U127" i="16"/>
  <c r="AE127" i="16" s="1"/>
  <c r="F127" i="16"/>
  <c r="A127" i="16"/>
  <c r="U126" i="16"/>
  <c r="F126" i="16"/>
  <c r="A126" i="16"/>
  <c r="U123" i="16"/>
  <c r="AE123" i="16" s="1"/>
  <c r="DS43" i="5" s="1"/>
  <c r="F123" i="16"/>
  <c r="U122" i="16"/>
  <c r="Z122" i="16" s="1"/>
  <c r="BA42" i="5" s="1"/>
  <c r="F122" i="16"/>
  <c r="F121" i="16"/>
  <c r="F120" i="16"/>
  <c r="F119" i="16"/>
  <c r="F118" i="16"/>
  <c r="U117" i="16"/>
  <c r="F117" i="16"/>
  <c r="U116" i="16"/>
  <c r="AH116" i="16" s="1"/>
  <c r="FI36" i="5" s="1"/>
  <c r="F116" i="16"/>
  <c r="F115" i="16"/>
  <c r="F114" i="16"/>
  <c r="U113" i="16"/>
  <c r="W113" i="16" s="1"/>
  <c r="K32" i="5" s="1"/>
  <c r="F113" i="16"/>
  <c r="U112" i="16"/>
  <c r="F112" i="16"/>
  <c r="U107" i="16"/>
  <c r="E106" i="16"/>
  <c r="F106" i="16" s="1"/>
  <c r="D106" i="16"/>
  <c r="A106" i="16"/>
  <c r="E105" i="16"/>
  <c r="D105" i="16"/>
  <c r="A105" i="16"/>
  <c r="E104" i="16"/>
  <c r="F104" i="16" s="1"/>
  <c r="D104" i="16"/>
  <c r="A104" i="16"/>
  <c r="E103" i="16"/>
  <c r="D103" i="16"/>
  <c r="A103" i="16"/>
  <c r="E102" i="16"/>
  <c r="F102" i="16" s="1"/>
  <c r="D102" i="16"/>
  <c r="A102" i="16"/>
  <c r="E101" i="16"/>
  <c r="D101" i="16"/>
  <c r="A101" i="16"/>
  <c r="E100" i="16"/>
  <c r="F100" i="16" s="1"/>
  <c r="D100" i="16"/>
  <c r="A100" i="16"/>
  <c r="E99" i="16"/>
  <c r="D99" i="16"/>
  <c r="A99" i="16"/>
  <c r="E98" i="16"/>
  <c r="F98" i="16" s="1"/>
  <c r="D98" i="16"/>
  <c r="A98" i="16"/>
  <c r="E97" i="16"/>
  <c r="D97" i="16"/>
  <c r="A97" i="16"/>
  <c r="E96" i="16"/>
  <c r="F96" i="16" s="1"/>
  <c r="D96" i="16"/>
  <c r="A96" i="16"/>
  <c r="E95" i="16"/>
  <c r="D95" i="16"/>
  <c r="A95" i="16"/>
  <c r="E94" i="16"/>
  <c r="F94" i="16" s="1"/>
  <c r="D94" i="16"/>
  <c r="A94" i="16"/>
  <c r="E93" i="16"/>
  <c r="D93" i="16"/>
  <c r="A93" i="16"/>
  <c r="E92" i="16"/>
  <c r="F92" i="16" s="1"/>
  <c r="D92" i="16"/>
  <c r="A92" i="16"/>
  <c r="E91" i="16"/>
  <c r="D91" i="16"/>
  <c r="A91" i="16"/>
  <c r="E90" i="16"/>
  <c r="F90" i="16" s="1"/>
  <c r="D90" i="16"/>
  <c r="A90" i="16"/>
  <c r="E89" i="16"/>
  <c r="D89" i="16"/>
  <c r="A89" i="16"/>
  <c r="E88" i="16"/>
  <c r="F88" i="16" s="1"/>
  <c r="D88" i="16"/>
  <c r="A88" i="16"/>
  <c r="E87" i="16"/>
  <c r="D87" i="16"/>
  <c r="A87" i="16"/>
  <c r="E86" i="16"/>
  <c r="F86" i="16" s="1"/>
  <c r="D86" i="16"/>
  <c r="A86" i="16"/>
  <c r="E85" i="16"/>
  <c r="D85" i="16"/>
  <c r="A85" i="16"/>
  <c r="E84" i="16"/>
  <c r="F84" i="16" s="1"/>
  <c r="D84" i="16"/>
  <c r="A84" i="16"/>
  <c r="E83" i="16"/>
  <c r="D83" i="16"/>
  <c r="A83" i="16"/>
  <c r="E82" i="16"/>
  <c r="F82" i="16" s="1"/>
  <c r="D82" i="16"/>
  <c r="A82" i="16"/>
  <c r="E81" i="16"/>
  <c r="D81" i="16"/>
  <c r="A81" i="16"/>
  <c r="E80" i="16"/>
  <c r="F80" i="16" s="1"/>
  <c r="D80" i="16"/>
  <c r="A80" i="16"/>
  <c r="E79" i="16"/>
  <c r="D79" i="16"/>
  <c r="A79" i="16"/>
  <c r="E78" i="16"/>
  <c r="F78" i="16" s="1"/>
  <c r="D78" i="16"/>
  <c r="A78" i="16"/>
  <c r="E77" i="16"/>
  <c r="D77" i="16"/>
  <c r="A77" i="16"/>
  <c r="E76" i="16"/>
  <c r="F76" i="16" s="1"/>
  <c r="D76" i="16"/>
  <c r="A76" i="16"/>
  <c r="E75" i="16"/>
  <c r="D75" i="16"/>
  <c r="A75" i="16"/>
  <c r="E74" i="16"/>
  <c r="F74" i="16" s="1"/>
  <c r="D74" i="16"/>
  <c r="A74" i="16"/>
  <c r="E73" i="16"/>
  <c r="D73" i="16"/>
  <c r="A73" i="16"/>
  <c r="E72" i="16"/>
  <c r="F72" i="16" s="1"/>
  <c r="D72" i="16"/>
  <c r="A72" i="16"/>
  <c r="E71" i="16"/>
  <c r="D71" i="16"/>
  <c r="A71" i="16"/>
  <c r="E70" i="16"/>
  <c r="F70" i="16" s="1"/>
  <c r="D70" i="16"/>
  <c r="A70" i="16"/>
  <c r="E69" i="16"/>
  <c r="D69" i="16"/>
  <c r="A69" i="16"/>
  <c r="E68" i="16"/>
  <c r="F68" i="16" s="1"/>
  <c r="D68" i="16"/>
  <c r="A68" i="16"/>
  <c r="E67" i="16"/>
  <c r="D67" i="16"/>
  <c r="A67" i="16"/>
  <c r="E66" i="16"/>
  <c r="F66" i="16" s="1"/>
  <c r="D66" i="16"/>
  <c r="A66" i="16"/>
  <c r="E65" i="16"/>
  <c r="D65" i="16"/>
  <c r="A65" i="16"/>
  <c r="E64" i="16"/>
  <c r="F64" i="16" s="1"/>
  <c r="D64" i="16"/>
  <c r="A64" i="16"/>
  <c r="E63" i="16"/>
  <c r="D63" i="16"/>
  <c r="A63" i="16"/>
  <c r="E62" i="16"/>
  <c r="F62" i="16" s="1"/>
  <c r="D62" i="16"/>
  <c r="A62" i="16"/>
  <c r="E61" i="16"/>
  <c r="D61" i="16"/>
  <c r="A61" i="16"/>
  <c r="E60" i="16"/>
  <c r="F60" i="16" s="1"/>
  <c r="D60" i="16"/>
  <c r="A60" i="16"/>
  <c r="E59" i="16"/>
  <c r="D59" i="16"/>
  <c r="A59" i="16"/>
  <c r="E58" i="16"/>
  <c r="F58" i="16" s="1"/>
  <c r="D58" i="16"/>
  <c r="A58" i="16"/>
  <c r="E57" i="16"/>
  <c r="D57" i="16"/>
  <c r="A57" i="16"/>
  <c r="E56" i="16"/>
  <c r="F56" i="16" s="1"/>
  <c r="D56" i="16"/>
  <c r="A56" i="16"/>
  <c r="E55" i="16"/>
  <c r="D55" i="16"/>
  <c r="A55" i="16"/>
  <c r="E54" i="16"/>
  <c r="F54" i="16" s="1"/>
  <c r="D54" i="16"/>
  <c r="A54" i="16"/>
  <c r="E53" i="16"/>
  <c r="D53" i="16"/>
  <c r="A53" i="16"/>
  <c r="E52" i="16"/>
  <c r="F52" i="16" s="1"/>
  <c r="D52" i="16"/>
  <c r="A52" i="16"/>
  <c r="E51" i="16"/>
  <c r="D51" i="16"/>
  <c r="A51" i="16"/>
  <c r="E50" i="16"/>
  <c r="F50" i="16" s="1"/>
  <c r="D50" i="16"/>
  <c r="A50" i="16"/>
  <c r="E49" i="16"/>
  <c r="D49" i="16"/>
  <c r="A49" i="16"/>
  <c r="E48" i="16"/>
  <c r="F48" i="16" s="1"/>
  <c r="D48" i="16"/>
  <c r="A48" i="16"/>
  <c r="E47" i="16"/>
  <c r="D47" i="16"/>
  <c r="A47" i="16"/>
  <c r="E46" i="16"/>
  <c r="F46" i="16" s="1"/>
  <c r="D46" i="16"/>
  <c r="A46" i="16"/>
  <c r="E45" i="16"/>
  <c r="D45" i="16"/>
  <c r="A45" i="16"/>
  <c r="E44" i="16"/>
  <c r="F44" i="16" s="1"/>
  <c r="D44" i="16"/>
  <c r="A44" i="16"/>
  <c r="E43" i="16"/>
  <c r="D43" i="16"/>
  <c r="A43" i="16"/>
  <c r="E42" i="16"/>
  <c r="F42" i="16" s="1"/>
  <c r="D42" i="16"/>
  <c r="A42" i="16"/>
  <c r="E41" i="16"/>
  <c r="D41" i="16"/>
  <c r="A41" i="16"/>
  <c r="E40" i="16"/>
  <c r="F40" i="16" s="1"/>
  <c r="D40" i="16"/>
  <c r="A40" i="16"/>
  <c r="E39" i="16"/>
  <c r="D39" i="16"/>
  <c r="A39" i="16"/>
  <c r="E38" i="16"/>
  <c r="F38" i="16" s="1"/>
  <c r="D38" i="16"/>
  <c r="A38" i="16"/>
  <c r="E37" i="16"/>
  <c r="D37" i="16"/>
  <c r="A37" i="16"/>
  <c r="E36" i="16"/>
  <c r="F36" i="16" s="1"/>
  <c r="D36" i="16"/>
  <c r="A36" i="16"/>
  <c r="E35" i="16"/>
  <c r="D35" i="16"/>
  <c r="A35" i="16"/>
  <c r="E34" i="16"/>
  <c r="F34" i="16" s="1"/>
  <c r="D34" i="16"/>
  <c r="A34" i="16"/>
  <c r="E33" i="16"/>
  <c r="D33" i="16"/>
  <c r="A33" i="16"/>
  <c r="E32" i="16"/>
  <c r="F32" i="16" s="1"/>
  <c r="D32" i="16"/>
  <c r="A32" i="16"/>
  <c r="E31" i="16"/>
  <c r="D31" i="16"/>
  <c r="A31" i="16"/>
  <c r="E30" i="16"/>
  <c r="F30" i="16" s="1"/>
  <c r="D30" i="16"/>
  <c r="A30" i="16"/>
  <c r="E29" i="16"/>
  <c r="D29" i="16"/>
  <c r="A29" i="16"/>
  <c r="E28" i="16"/>
  <c r="F28" i="16" s="1"/>
  <c r="D28" i="16"/>
  <c r="A28" i="16"/>
  <c r="E27" i="16"/>
  <c r="D27" i="16"/>
  <c r="A27" i="16"/>
  <c r="E26" i="16"/>
  <c r="F26" i="16" s="1"/>
  <c r="D26" i="16"/>
  <c r="A26" i="16"/>
  <c r="E25" i="16"/>
  <c r="D25" i="16"/>
  <c r="A25" i="16"/>
  <c r="E24" i="16"/>
  <c r="F24" i="16" s="1"/>
  <c r="D24" i="16"/>
  <c r="A24" i="16"/>
  <c r="E23" i="16"/>
  <c r="D23" i="16"/>
  <c r="A23" i="16"/>
  <c r="E22" i="16"/>
  <c r="F22" i="16" s="1"/>
  <c r="D22" i="16"/>
  <c r="A22" i="16"/>
  <c r="E21" i="16"/>
  <c r="D21" i="16"/>
  <c r="A21" i="16"/>
  <c r="E20" i="16"/>
  <c r="F20" i="16" s="1"/>
  <c r="D20" i="16"/>
  <c r="A20" i="16"/>
  <c r="E19" i="16"/>
  <c r="D19" i="16"/>
  <c r="A19" i="16"/>
  <c r="E18" i="16"/>
  <c r="F18" i="16" s="1"/>
  <c r="D18" i="16"/>
  <c r="A18" i="16"/>
  <c r="E17" i="16"/>
  <c r="D17" i="16"/>
  <c r="A17" i="16"/>
  <c r="E16" i="16"/>
  <c r="F16" i="16" s="1"/>
  <c r="D16" i="16"/>
  <c r="A16" i="16"/>
  <c r="E15" i="16"/>
  <c r="D15" i="16"/>
  <c r="A15" i="16"/>
  <c r="E14" i="16"/>
  <c r="F14" i="16" s="1"/>
  <c r="D14" i="16"/>
  <c r="A14" i="16"/>
  <c r="E13" i="16"/>
  <c r="D13" i="16"/>
  <c r="A13" i="16"/>
  <c r="E12" i="16"/>
  <c r="F12" i="16" s="1"/>
  <c r="D12" i="16"/>
  <c r="A12" i="16"/>
  <c r="E11" i="16"/>
  <c r="D11" i="16"/>
  <c r="A11" i="16"/>
  <c r="E10" i="16"/>
  <c r="F10" i="16" s="1"/>
  <c r="D10" i="16"/>
  <c r="A10" i="16"/>
  <c r="E9" i="16"/>
  <c r="D9" i="16"/>
  <c r="A9" i="16"/>
  <c r="E8" i="16"/>
  <c r="F8" i="16" s="1"/>
  <c r="D8" i="16"/>
  <c r="A8" i="16"/>
  <c r="E7" i="16"/>
  <c r="D7" i="16"/>
  <c r="A7" i="16"/>
  <c r="E6" i="16"/>
  <c r="F6" i="16" s="1"/>
  <c r="D6" i="16"/>
  <c r="A6" i="16"/>
  <c r="AH4" i="16"/>
  <c r="AG4" i="16"/>
  <c r="AF4" i="16"/>
  <c r="AE4" i="16"/>
  <c r="AD4" i="16"/>
  <c r="AC4" i="16"/>
  <c r="AB4" i="16"/>
  <c r="AA4" i="16"/>
  <c r="Z4" i="16"/>
  <c r="Y4" i="16"/>
  <c r="X4" i="16"/>
  <c r="W4" i="16"/>
  <c r="R4" i="16"/>
  <c r="Q4" i="16"/>
  <c r="P4" i="16"/>
  <c r="O4" i="16"/>
  <c r="N4" i="16"/>
  <c r="M4" i="16"/>
  <c r="L4" i="16"/>
  <c r="K4" i="16"/>
  <c r="J4" i="16"/>
  <c r="I4" i="16"/>
  <c r="H4" i="16"/>
  <c r="G4" i="16"/>
  <c r="B2" i="16"/>
  <c r="D35" i="15"/>
  <c r="D37" i="15" s="1"/>
  <c r="D34" i="15"/>
  <c r="D31" i="15"/>
  <c r="Q20" i="15"/>
  <c r="Q25" i="15" s="1"/>
  <c r="P20" i="15"/>
  <c r="P25" i="15" s="1"/>
  <c r="O20" i="15"/>
  <c r="O25" i="15" s="1"/>
  <c r="N20" i="15"/>
  <c r="N25" i="15" s="1"/>
  <c r="M20" i="15"/>
  <c r="M25" i="15" s="1"/>
  <c r="L20" i="15"/>
  <c r="L25" i="15" s="1"/>
  <c r="K20" i="15"/>
  <c r="K25" i="15" s="1"/>
  <c r="J20" i="15"/>
  <c r="J25" i="15" s="1"/>
  <c r="I20" i="15"/>
  <c r="I25" i="15" s="1"/>
  <c r="H20" i="15"/>
  <c r="H25" i="15" s="1"/>
  <c r="G20" i="15"/>
  <c r="G25" i="15" s="1"/>
  <c r="F20" i="15"/>
  <c r="E20" i="15"/>
  <c r="E25" i="15" s="1"/>
  <c r="Q19" i="15"/>
  <c r="Q24" i="15" s="1"/>
  <c r="P19" i="15"/>
  <c r="P24" i="15" s="1"/>
  <c r="O19" i="15"/>
  <c r="O24" i="15" s="1"/>
  <c r="N19" i="15"/>
  <c r="N24" i="15" s="1"/>
  <c r="M19" i="15"/>
  <c r="M24" i="15" s="1"/>
  <c r="L19" i="15"/>
  <c r="L24" i="15" s="1"/>
  <c r="K19" i="15"/>
  <c r="K24" i="15" s="1"/>
  <c r="J19" i="15"/>
  <c r="J24" i="15" s="1"/>
  <c r="I19" i="15"/>
  <c r="I24" i="15" s="1"/>
  <c r="H19" i="15"/>
  <c r="H24" i="15" s="1"/>
  <c r="G19" i="15"/>
  <c r="G24" i="15" s="1"/>
  <c r="F19" i="15"/>
  <c r="F24" i="15" s="1"/>
  <c r="E19" i="15"/>
  <c r="E24" i="15" s="1"/>
  <c r="Q18" i="15"/>
  <c r="P18" i="15"/>
  <c r="O18" i="15"/>
  <c r="N18" i="15"/>
  <c r="N21" i="15" s="1"/>
  <c r="M18" i="15"/>
  <c r="L18" i="15"/>
  <c r="K18" i="15"/>
  <c r="J18" i="15"/>
  <c r="J21" i="15" s="1"/>
  <c r="I18" i="15"/>
  <c r="H18" i="15"/>
  <c r="G18" i="15"/>
  <c r="F18" i="15"/>
  <c r="F21" i="15" s="1"/>
  <c r="E18" i="15"/>
  <c r="Q15" i="15"/>
  <c r="C150" i="16" s="1"/>
  <c r="P15" i="15"/>
  <c r="C149" i="16" s="1"/>
  <c r="O15" i="15"/>
  <c r="C148" i="16" s="1"/>
  <c r="N15" i="15"/>
  <c r="M15" i="15"/>
  <c r="C146" i="16" s="1"/>
  <c r="L15" i="15"/>
  <c r="C145" i="16" s="1"/>
  <c r="K15" i="15"/>
  <c r="C144" i="16" s="1"/>
  <c r="J15" i="15"/>
  <c r="C143" i="16" s="1"/>
  <c r="I15" i="15"/>
  <c r="C142" i="16" s="1"/>
  <c r="H15" i="15"/>
  <c r="C141" i="16" s="1"/>
  <c r="G15" i="15"/>
  <c r="C140" i="16" s="1"/>
  <c r="F15" i="15"/>
  <c r="C139" i="16" s="1"/>
  <c r="E15" i="15"/>
  <c r="C138" i="16" s="1"/>
  <c r="Q13" i="15"/>
  <c r="Q12" i="15"/>
  <c r="Q16" i="15" s="1"/>
  <c r="P12" i="15"/>
  <c r="O12" i="15"/>
  <c r="O16" i="15" s="1"/>
  <c r="N12" i="15"/>
  <c r="M12" i="15"/>
  <c r="L12" i="15"/>
  <c r="K12" i="15"/>
  <c r="J12" i="15"/>
  <c r="I12" i="15"/>
  <c r="I13" i="15" s="1"/>
  <c r="H12" i="15"/>
  <c r="G12" i="15"/>
  <c r="G13" i="15" s="1"/>
  <c r="F12" i="15"/>
  <c r="E12" i="15"/>
  <c r="E16" i="15" s="1"/>
  <c r="D10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7" i="15"/>
  <c r="C2" i="15"/>
  <c r="I22" i="8"/>
  <c r="I23" i="8" s="1"/>
  <c r="H22" i="8"/>
  <c r="E22" i="8"/>
  <c r="AA21" i="8"/>
  <c r="Z21" i="8"/>
  <c r="Y21" i="8"/>
  <c r="X21" i="8"/>
  <c r="W21" i="8"/>
  <c r="V21" i="8"/>
  <c r="U21" i="8"/>
  <c r="T21" i="8"/>
  <c r="S21" i="8"/>
  <c r="R21" i="8"/>
  <c r="Q21" i="8"/>
  <c r="P21" i="8"/>
  <c r="K21" i="8"/>
  <c r="AA20" i="8"/>
  <c r="Z20" i="8"/>
  <c r="Y20" i="8"/>
  <c r="X20" i="8"/>
  <c r="W20" i="8"/>
  <c r="V20" i="8"/>
  <c r="U20" i="8"/>
  <c r="T20" i="8"/>
  <c r="S20" i="8"/>
  <c r="R20" i="8"/>
  <c r="Q20" i="8"/>
  <c r="P20" i="8"/>
  <c r="K20" i="8"/>
  <c r="AA19" i="8"/>
  <c r="Z19" i="8"/>
  <c r="Y19" i="8"/>
  <c r="X19" i="8"/>
  <c r="W19" i="8"/>
  <c r="V19" i="8"/>
  <c r="U19" i="8"/>
  <c r="T19" i="8"/>
  <c r="S19" i="8"/>
  <c r="R19" i="8"/>
  <c r="Q19" i="8"/>
  <c r="P19" i="8"/>
  <c r="K19" i="8"/>
  <c r="AA18" i="8"/>
  <c r="Z18" i="8"/>
  <c r="Y18" i="8"/>
  <c r="X18" i="8"/>
  <c r="W18" i="8"/>
  <c r="V18" i="8"/>
  <c r="U18" i="8"/>
  <c r="T18" i="8"/>
  <c r="S18" i="8"/>
  <c r="R18" i="8"/>
  <c r="Q18" i="8"/>
  <c r="P18" i="8"/>
  <c r="K18" i="8"/>
  <c r="AM18" i="8" s="1"/>
  <c r="AA17" i="8"/>
  <c r="Z17" i="8"/>
  <c r="Y17" i="8"/>
  <c r="X17" i="8"/>
  <c r="W17" i="8"/>
  <c r="V17" i="8"/>
  <c r="U17" i="8"/>
  <c r="T17" i="8"/>
  <c r="S17" i="8"/>
  <c r="R17" i="8"/>
  <c r="Q17" i="8"/>
  <c r="P17" i="8"/>
  <c r="K17" i="8"/>
  <c r="AA16" i="8"/>
  <c r="Z16" i="8"/>
  <c r="Y16" i="8"/>
  <c r="X16" i="8"/>
  <c r="W16" i="8"/>
  <c r="V16" i="8"/>
  <c r="U16" i="8"/>
  <c r="T16" i="8"/>
  <c r="S16" i="8"/>
  <c r="R16" i="8"/>
  <c r="Q16" i="8"/>
  <c r="P16" i="8"/>
  <c r="K16" i="8"/>
  <c r="AA15" i="8"/>
  <c r="Z15" i="8"/>
  <c r="Y15" i="8"/>
  <c r="X15" i="8"/>
  <c r="W15" i="8"/>
  <c r="V15" i="8"/>
  <c r="U15" i="8"/>
  <c r="T15" i="8"/>
  <c r="S15" i="8"/>
  <c r="R15" i="8"/>
  <c r="Q15" i="8"/>
  <c r="P15" i="8"/>
  <c r="K15" i="8"/>
  <c r="AA14" i="8"/>
  <c r="Z14" i="8"/>
  <c r="Y14" i="8"/>
  <c r="X14" i="8"/>
  <c r="W14" i="8"/>
  <c r="V14" i="8"/>
  <c r="U14" i="8"/>
  <c r="T14" i="8"/>
  <c r="S14" i="8"/>
  <c r="R14" i="8"/>
  <c r="Q14" i="8"/>
  <c r="P14" i="8"/>
  <c r="K14" i="8"/>
  <c r="L14" i="8" s="1"/>
  <c r="BC14" i="8" s="1"/>
  <c r="AF13" i="8"/>
  <c r="AA13" i="8"/>
  <c r="Z13" i="8"/>
  <c r="Y13" i="8"/>
  <c r="X13" i="8"/>
  <c r="W13" i="8"/>
  <c r="V13" i="8"/>
  <c r="U13" i="8"/>
  <c r="T13" i="8"/>
  <c r="K13" i="8"/>
  <c r="AH13" i="8" s="1"/>
  <c r="AA12" i="8"/>
  <c r="Z12" i="8"/>
  <c r="Y12" i="8"/>
  <c r="X12" i="8"/>
  <c r="W12" i="8"/>
  <c r="V12" i="8"/>
  <c r="U12" i="8"/>
  <c r="T12" i="8"/>
  <c r="S12" i="8"/>
  <c r="R12" i="8"/>
  <c r="Q12" i="8"/>
  <c r="P12" i="8"/>
  <c r="K12" i="8"/>
  <c r="AA11" i="8"/>
  <c r="AP11" i="8" s="1"/>
  <c r="Z11" i="8"/>
  <c r="AO11" i="8" s="1"/>
  <c r="Y11" i="8"/>
  <c r="AN11" i="8" s="1"/>
  <c r="X11" i="8"/>
  <c r="AM11" i="8" s="1"/>
  <c r="W11" i="8"/>
  <c r="AL11" i="8" s="1"/>
  <c r="V11" i="8"/>
  <c r="AK11" i="8" s="1"/>
  <c r="U11" i="8"/>
  <c r="AJ11" i="8" s="1"/>
  <c r="T11" i="8"/>
  <c r="AI11" i="8" s="1"/>
  <c r="S11" i="8"/>
  <c r="AH11" i="8" s="1"/>
  <c r="R11" i="8"/>
  <c r="AG11" i="8" s="1"/>
  <c r="Q11" i="8"/>
  <c r="AF11" i="8" s="1"/>
  <c r="P11" i="8"/>
  <c r="AE11" i="8" s="1"/>
  <c r="BE10" i="8"/>
  <c r="BD10" i="8"/>
  <c r="BC10" i="8"/>
  <c r="BB10" i="8"/>
  <c r="BA10" i="8"/>
  <c r="AZ10" i="8"/>
  <c r="AY10" i="8"/>
  <c r="AX10" i="8"/>
  <c r="AW10" i="8"/>
  <c r="AV10" i="8"/>
  <c r="AU10" i="8"/>
  <c r="AT10" i="8"/>
  <c r="AA10" i="8"/>
  <c r="Z10" i="8"/>
  <c r="Y10" i="8"/>
  <c r="X10" i="8"/>
  <c r="W10" i="8"/>
  <c r="V10" i="8"/>
  <c r="U10" i="8"/>
  <c r="T10" i="8"/>
  <c r="S10" i="8"/>
  <c r="R10" i="8"/>
  <c r="Q10" i="8"/>
  <c r="P10" i="8"/>
  <c r="K10" i="8"/>
  <c r="AP10" i="8" s="1"/>
  <c r="BE9" i="8"/>
  <c r="BD9" i="8"/>
  <c r="BC9" i="8"/>
  <c r="BB9" i="8"/>
  <c r="BA9" i="8"/>
  <c r="AZ9" i="8"/>
  <c r="AY9" i="8"/>
  <c r="AX9" i="8"/>
  <c r="AW9" i="8"/>
  <c r="AV9" i="8"/>
  <c r="AU9" i="8"/>
  <c r="AT9" i="8"/>
  <c r="AA9" i="8"/>
  <c r="Z9" i="8"/>
  <c r="Y9" i="8"/>
  <c r="X9" i="8"/>
  <c r="W9" i="8"/>
  <c r="V9" i="8"/>
  <c r="U9" i="8"/>
  <c r="T9" i="8"/>
  <c r="S9" i="8"/>
  <c r="R9" i="8"/>
  <c r="Q9" i="8"/>
  <c r="P9" i="8"/>
  <c r="K9" i="8"/>
  <c r="AP9" i="8" s="1"/>
  <c r="BE8" i="8"/>
  <c r="BD8" i="8"/>
  <c r="BC8" i="8"/>
  <c r="BB8" i="8"/>
  <c r="BA8" i="8"/>
  <c r="AZ8" i="8"/>
  <c r="AY8" i="8"/>
  <c r="AX8" i="8"/>
  <c r="AW8" i="8"/>
  <c r="AV8" i="8"/>
  <c r="AU8" i="8"/>
  <c r="AT8" i="8"/>
  <c r="AA8" i="8"/>
  <c r="Z8" i="8"/>
  <c r="Y8" i="8"/>
  <c r="X8" i="8"/>
  <c r="W8" i="8"/>
  <c r="V8" i="8"/>
  <c r="U8" i="8"/>
  <c r="T8" i="8"/>
  <c r="S8" i="8"/>
  <c r="R8" i="8"/>
  <c r="Q8" i="8"/>
  <c r="P8" i="8"/>
  <c r="K8" i="8"/>
  <c r="BE7" i="8"/>
  <c r="BD7" i="8"/>
  <c r="BC7" i="8"/>
  <c r="BB7" i="8"/>
  <c r="BA7" i="8"/>
  <c r="AZ7" i="8"/>
  <c r="AY7" i="8"/>
  <c r="AX7" i="8"/>
  <c r="AW7" i="8"/>
  <c r="AV7" i="8"/>
  <c r="AU7" i="8"/>
  <c r="AT7" i="8"/>
  <c r="AP7" i="8"/>
  <c r="AO7" i="8"/>
  <c r="AN7" i="8"/>
  <c r="AM7" i="8"/>
  <c r="AL7" i="8"/>
  <c r="AK7" i="8"/>
  <c r="AJ7" i="8"/>
  <c r="AI7" i="8"/>
  <c r="AH7" i="8"/>
  <c r="AG7" i="8"/>
  <c r="AF7" i="8"/>
  <c r="AE7" i="8"/>
  <c r="AA7" i="8"/>
  <c r="Z7" i="8"/>
  <c r="Y7" i="8"/>
  <c r="X7" i="8"/>
  <c r="W7" i="8"/>
  <c r="V7" i="8"/>
  <c r="U7" i="8"/>
  <c r="T7" i="8"/>
  <c r="S7" i="8"/>
  <c r="R7" i="8"/>
  <c r="Q7" i="8"/>
  <c r="P7" i="8"/>
  <c r="AP5" i="8"/>
  <c r="D41" i="13"/>
  <c r="D27" i="13"/>
  <c r="C12" i="17" s="1"/>
  <c r="D23" i="13"/>
  <c r="C11" i="17" s="1"/>
  <c r="D20" i="13"/>
  <c r="D16" i="13"/>
  <c r="C9" i="17" s="1"/>
  <c r="D9" i="13"/>
  <c r="C6" i="17" s="1"/>
  <c r="D7" i="13"/>
  <c r="C5" i="17" s="1"/>
  <c r="D3" i="13"/>
  <c r="C4" i="17" s="1"/>
  <c r="A1" i="13"/>
  <c r="AE107" i="14"/>
  <c r="AD107" i="14"/>
  <c r="AC107" i="14"/>
  <c r="AB107" i="14"/>
  <c r="X107" i="14"/>
  <c r="U107" i="14"/>
  <c r="S107" i="14"/>
  <c r="R107" i="14"/>
  <c r="Q107" i="14"/>
  <c r="P107" i="14"/>
  <c r="AF106" i="14"/>
  <c r="T106" i="14"/>
  <c r="O106" i="14"/>
  <c r="F106" i="14"/>
  <c r="J106" i="14" s="1"/>
  <c r="N106" i="14" s="1"/>
  <c r="AF105" i="14"/>
  <c r="T105" i="14"/>
  <c r="O105" i="14"/>
  <c r="F105" i="14"/>
  <c r="J105" i="14" s="1"/>
  <c r="AF104" i="14"/>
  <c r="T104" i="14"/>
  <c r="O104" i="14"/>
  <c r="F104" i="14"/>
  <c r="J104" i="14" s="1"/>
  <c r="AF103" i="14"/>
  <c r="T103" i="14"/>
  <c r="O103" i="14"/>
  <c r="F103" i="14"/>
  <c r="J103" i="14" s="1"/>
  <c r="AF102" i="14"/>
  <c r="T102" i="14"/>
  <c r="O102" i="14"/>
  <c r="F102" i="14"/>
  <c r="J102" i="14" s="1"/>
  <c r="N102" i="14" s="1"/>
  <c r="AF101" i="14"/>
  <c r="T101" i="14"/>
  <c r="O101" i="14"/>
  <c r="F101" i="14"/>
  <c r="J101" i="14" s="1"/>
  <c r="AF100" i="14"/>
  <c r="T100" i="14"/>
  <c r="O100" i="14"/>
  <c r="F100" i="14"/>
  <c r="J100" i="14" s="1"/>
  <c r="AF99" i="14"/>
  <c r="T99" i="14"/>
  <c r="O99" i="14"/>
  <c r="F99" i="14"/>
  <c r="J99" i="14" s="1"/>
  <c r="AF98" i="14"/>
  <c r="T98" i="14"/>
  <c r="O98" i="14"/>
  <c r="F98" i="14"/>
  <c r="AF97" i="14"/>
  <c r="T97" i="14"/>
  <c r="Z97" i="14" s="1"/>
  <c r="O97" i="14"/>
  <c r="F97" i="14"/>
  <c r="J97" i="14" s="1"/>
  <c r="AF96" i="14"/>
  <c r="T96" i="14"/>
  <c r="O96" i="14"/>
  <c r="F96" i="14"/>
  <c r="AF95" i="14"/>
  <c r="T95" i="14"/>
  <c r="Z95" i="14" s="1"/>
  <c r="O95" i="14"/>
  <c r="F95" i="14"/>
  <c r="J95" i="14" s="1"/>
  <c r="AF94" i="14"/>
  <c r="T94" i="14"/>
  <c r="O94" i="14"/>
  <c r="J94" i="14"/>
  <c r="N94" i="14" s="1"/>
  <c r="F94" i="14"/>
  <c r="G94" i="14" s="1"/>
  <c r="D94" i="4" s="1"/>
  <c r="D198" i="4" s="1"/>
  <c r="D302" i="4" s="1"/>
  <c r="D406" i="4" s="1"/>
  <c r="D510" i="4" s="1"/>
  <c r="D614" i="4" s="1"/>
  <c r="D718" i="4" s="1"/>
  <c r="D822" i="4" s="1"/>
  <c r="D926" i="4" s="1"/>
  <c r="D1030" i="4" s="1"/>
  <c r="D1134" i="4" s="1"/>
  <c r="D1238" i="4" s="1"/>
  <c r="D1342" i="4" s="1"/>
  <c r="AF93" i="14"/>
  <c r="T93" i="14"/>
  <c r="Z93" i="14" s="1"/>
  <c r="O93" i="14"/>
  <c r="F93" i="14"/>
  <c r="J93" i="14" s="1"/>
  <c r="AF92" i="14"/>
  <c r="T92" i="14"/>
  <c r="O92" i="14"/>
  <c r="F92" i="14"/>
  <c r="G92" i="14" s="1"/>
  <c r="D92" i="4" s="1"/>
  <c r="D196" i="4" s="1"/>
  <c r="D300" i="4" s="1"/>
  <c r="D404" i="4" s="1"/>
  <c r="D508" i="4" s="1"/>
  <c r="D612" i="4" s="1"/>
  <c r="D716" i="4" s="1"/>
  <c r="D820" i="4" s="1"/>
  <c r="D924" i="4" s="1"/>
  <c r="D1028" i="4" s="1"/>
  <c r="D1132" i="4" s="1"/>
  <c r="D1236" i="4" s="1"/>
  <c r="D1340" i="4" s="1"/>
  <c r="AF91" i="14"/>
  <c r="T91" i="14"/>
  <c r="Z91" i="14" s="1"/>
  <c r="O91" i="14"/>
  <c r="F91" i="14"/>
  <c r="J91" i="14" s="1"/>
  <c r="AF90" i="14"/>
  <c r="T90" i="14"/>
  <c r="O90" i="14"/>
  <c r="F90" i="14"/>
  <c r="AF89" i="14"/>
  <c r="Z89" i="14"/>
  <c r="T89" i="14"/>
  <c r="O89" i="14"/>
  <c r="F89" i="14"/>
  <c r="J89" i="14" s="1"/>
  <c r="AF88" i="14"/>
  <c r="T88" i="14"/>
  <c r="O88" i="14"/>
  <c r="J88" i="14"/>
  <c r="G88" i="14"/>
  <c r="D88" i="4" s="1"/>
  <c r="D192" i="4" s="1"/>
  <c r="D296" i="4" s="1"/>
  <c r="D400" i="4" s="1"/>
  <c r="D504" i="4" s="1"/>
  <c r="D608" i="4" s="1"/>
  <c r="D712" i="4" s="1"/>
  <c r="D816" i="4" s="1"/>
  <c r="D920" i="4" s="1"/>
  <c r="D1024" i="4" s="1"/>
  <c r="D1128" i="4" s="1"/>
  <c r="D1232" i="4" s="1"/>
  <c r="D1336" i="4" s="1"/>
  <c r="F88" i="14"/>
  <c r="AF87" i="14"/>
  <c r="T87" i="14"/>
  <c r="Z87" i="14" s="1"/>
  <c r="O87" i="14"/>
  <c r="F87" i="14"/>
  <c r="J87" i="14" s="1"/>
  <c r="AF86" i="14"/>
  <c r="T86" i="14"/>
  <c r="O86" i="14"/>
  <c r="F86" i="14"/>
  <c r="J86" i="14" s="1"/>
  <c r="N86" i="14" s="1"/>
  <c r="AF85" i="14"/>
  <c r="T85" i="14"/>
  <c r="O85" i="14"/>
  <c r="F85" i="14"/>
  <c r="J85" i="14" s="1"/>
  <c r="AF84" i="14"/>
  <c r="T84" i="14"/>
  <c r="O84" i="14"/>
  <c r="F84" i="14"/>
  <c r="J84" i="14" s="1"/>
  <c r="AF83" i="14"/>
  <c r="T83" i="14"/>
  <c r="O83" i="14"/>
  <c r="F83" i="14"/>
  <c r="J83" i="14" s="1"/>
  <c r="AF82" i="14"/>
  <c r="T82" i="14"/>
  <c r="O82" i="14"/>
  <c r="F82" i="14"/>
  <c r="AF81" i="14"/>
  <c r="T81" i="14"/>
  <c r="Z81" i="14" s="1"/>
  <c r="O81" i="14"/>
  <c r="F81" i="14"/>
  <c r="J81" i="14" s="1"/>
  <c r="AF80" i="14"/>
  <c r="T80" i="14"/>
  <c r="O80" i="14"/>
  <c r="F80" i="14"/>
  <c r="AF79" i="14"/>
  <c r="T79" i="14"/>
  <c r="Z79" i="14" s="1"/>
  <c r="O79" i="14"/>
  <c r="F79" i="14"/>
  <c r="AF78" i="14"/>
  <c r="T78" i="14"/>
  <c r="O78" i="14"/>
  <c r="F78" i="14"/>
  <c r="AF77" i="14"/>
  <c r="T77" i="14"/>
  <c r="Z77" i="14" s="1"/>
  <c r="O77" i="14"/>
  <c r="F77" i="14"/>
  <c r="J77" i="14" s="1"/>
  <c r="AF76" i="14"/>
  <c r="T76" i="14"/>
  <c r="O76" i="14"/>
  <c r="F76" i="14"/>
  <c r="G76" i="14" s="1"/>
  <c r="D76" i="4" s="1"/>
  <c r="D180" i="4" s="1"/>
  <c r="D284" i="4" s="1"/>
  <c r="D388" i="4" s="1"/>
  <c r="D492" i="4" s="1"/>
  <c r="D596" i="4" s="1"/>
  <c r="D700" i="4" s="1"/>
  <c r="D804" i="4" s="1"/>
  <c r="D908" i="4" s="1"/>
  <c r="D1012" i="4" s="1"/>
  <c r="D1116" i="4" s="1"/>
  <c r="D1220" i="4" s="1"/>
  <c r="D1324" i="4" s="1"/>
  <c r="AF75" i="14"/>
  <c r="T75" i="14"/>
  <c r="Z75" i="14" s="1"/>
  <c r="O75" i="14"/>
  <c r="F75" i="14"/>
  <c r="G75" i="14" s="1"/>
  <c r="D75" i="4" s="1"/>
  <c r="D179" i="4" s="1"/>
  <c r="D283" i="4" s="1"/>
  <c r="D387" i="4" s="1"/>
  <c r="D491" i="4" s="1"/>
  <c r="D595" i="4" s="1"/>
  <c r="D699" i="4" s="1"/>
  <c r="D803" i="4" s="1"/>
  <c r="D907" i="4" s="1"/>
  <c r="D1011" i="4" s="1"/>
  <c r="D1115" i="4" s="1"/>
  <c r="D1219" i="4" s="1"/>
  <c r="D1323" i="4" s="1"/>
  <c r="AF74" i="14"/>
  <c r="T74" i="14"/>
  <c r="Z74" i="14" s="1"/>
  <c r="O74" i="14"/>
  <c r="F74" i="14"/>
  <c r="J74" i="14" s="1"/>
  <c r="N74" i="14" s="1"/>
  <c r="AF73" i="14"/>
  <c r="T73" i="14"/>
  <c r="O73" i="14"/>
  <c r="F73" i="14"/>
  <c r="J73" i="14" s="1"/>
  <c r="AF72" i="14"/>
  <c r="T72" i="14"/>
  <c r="O72" i="14"/>
  <c r="J72" i="14"/>
  <c r="F72" i="14"/>
  <c r="G72" i="14" s="1"/>
  <c r="D72" i="4" s="1"/>
  <c r="D176" i="4" s="1"/>
  <c r="D280" i="4" s="1"/>
  <c r="D384" i="4" s="1"/>
  <c r="D488" i="4" s="1"/>
  <c r="D592" i="4" s="1"/>
  <c r="D696" i="4" s="1"/>
  <c r="D800" i="4" s="1"/>
  <c r="D904" i="4" s="1"/>
  <c r="D1008" i="4" s="1"/>
  <c r="D1112" i="4" s="1"/>
  <c r="D1216" i="4" s="1"/>
  <c r="D1320" i="4" s="1"/>
  <c r="AF71" i="14"/>
  <c r="T71" i="14"/>
  <c r="O71" i="14"/>
  <c r="F71" i="14"/>
  <c r="J71" i="14" s="1"/>
  <c r="AF70" i="14"/>
  <c r="T70" i="14"/>
  <c r="Z70" i="14" s="1"/>
  <c r="O70" i="14"/>
  <c r="F70" i="14"/>
  <c r="AF69" i="14"/>
  <c r="T69" i="14"/>
  <c r="O69" i="14"/>
  <c r="F69" i="14"/>
  <c r="J69" i="14" s="1"/>
  <c r="AF68" i="14"/>
  <c r="T68" i="14"/>
  <c r="O68" i="14"/>
  <c r="F68" i="14"/>
  <c r="J68" i="14" s="1"/>
  <c r="AF67" i="14"/>
  <c r="T67" i="14"/>
  <c r="O67" i="14"/>
  <c r="F67" i="14"/>
  <c r="AF66" i="14"/>
  <c r="T66" i="14"/>
  <c r="O66" i="14"/>
  <c r="F66" i="14"/>
  <c r="AF65" i="14"/>
  <c r="T65" i="14"/>
  <c r="Z65" i="14" s="1"/>
  <c r="O65" i="14"/>
  <c r="F65" i="14"/>
  <c r="J65" i="14" s="1"/>
  <c r="AF64" i="14"/>
  <c r="T64" i="14"/>
  <c r="O64" i="14"/>
  <c r="F64" i="14"/>
  <c r="AF63" i="14"/>
  <c r="T63" i="14"/>
  <c r="Z63" i="14" s="1"/>
  <c r="O63" i="14"/>
  <c r="F63" i="14"/>
  <c r="G63" i="14" s="1"/>
  <c r="D63" i="4" s="1"/>
  <c r="D167" i="4" s="1"/>
  <c r="D271" i="4" s="1"/>
  <c r="D375" i="4" s="1"/>
  <c r="D479" i="4" s="1"/>
  <c r="D583" i="4" s="1"/>
  <c r="D687" i="4" s="1"/>
  <c r="D791" i="4" s="1"/>
  <c r="D895" i="4" s="1"/>
  <c r="D999" i="4" s="1"/>
  <c r="D1103" i="4" s="1"/>
  <c r="D1207" i="4" s="1"/>
  <c r="D1311" i="4" s="1"/>
  <c r="AF62" i="14"/>
  <c r="T62" i="14"/>
  <c r="Z62" i="14" s="1"/>
  <c r="O62" i="14"/>
  <c r="F62" i="14"/>
  <c r="G62" i="14" s="1"/>
  <c r="D62" i="4" s="1"/>
  <c r="D166" i="4" s="1"/>
  <c r="D270" i="4" s="1"/>
  <c r="D374" i="4" s="1"/>
  <c r="D478" i="4" s="1"/>
  <c r="D582" i="4" s="1"/>
  <c r="D686" i="4" s="1"/>
  <c r="D790" i="4" s="1"/>
  <c r="D894" i="4" s="1"/>
  <c r="D998" i="4" s="1"/>
  <c r="D1102" i="4" s="1"/>
  <c r="D1206" i="4" s="1"/>
  <c r="D1310" i="4" s="1"/>
  <c r="AF61" i="14"/>
  <c r="T61" i="14"/>
  <c r="Z61" i="14" s="1"/>
  <c r="O61" i="14"/>
  <c r="F61" i="14"/>
  <c r="J61" i="14" s="1"/>
  <c r="AF60" i="14"/>
  <c r="T60" i="14"/>
  <c r="O60" i="14"/>
  <c r="J60" i="14"/>
  <c r="F60" i="14"/>
  <c r="G60" i="14" s="1"/>
  <c r="D60" i="4" s="1"/>
  <c r="D164" i="4" s="1"/>
  <c r="D268" i="4" s="1"/>
  <c r="D372" i="4" s="1"/>
  <c r="D476" i="4" s="1"/>
  <c r="D580" i="4" s="1"/>
  <c r="D684" i="4" s="1"/>
  <c r="D788" i="4" s="1"/>
  <c r="D892" i="4" s="1"/>
  <c r="D996" i="4" s="1"/>
  <c r="D1100" i="4" s="1"/>
  <c r="D1204" i="4" s="1"/>
  <c r="D1308" i="4" s="1"/>
  <c r="AF59" i="14"/>
  <c r="T59" i="14"/>
  <c r="Z59" i="14" s="1"/>
  <c r="O59" i="14"/>
  <c r="F59" i="14"/>
  <c r="G59" i="14" s="1"/>
  <c r="D59" i="4" s="1"/>
  <c r="D163" i="4" s="1"/>
  <c r="D267" i="4" s="1"/>
  <c r="D371" i="4" s="1"/>
  <c r="D475" i="4" s="1"/>
  <c r="D579" i="4" s="1"/>
  <c r="D683" i="4" s="1"/>
  <c r="D787" i="4" s="1"/>
  <c r="D891" i="4" s="1"/>
  <c r="D995" i="4" s="1"/>
  <c r="D1099" i="4" s="1"/>
  <c r="D1203" i="4" s="1"/>
  <c r="D1307" i="4" s="1"/>
  <c r="AF58" i="14"/>
  <c r="T58" i="14"/>
  <c r="Z58" i="14" s="1"/>
  <c r="O58" i="14"/>
  <c r="J58" i="14"/>
  <c r="N58" i="14" s="1"/>
  <c r="F58" i="14"/>
  <c r="G58" i="14" s="1"/>
  <c r="D58" i="4" s="1"/>
  <c r="D162" i="4" s="1"/>
  <c r="D266" i="4" s="1"/>
  <c r="D370" i="4" s="1"/>
  <c r="D474" i="4" s="1"/>
  <c r="D578" i="4" s="1"/>
  <c r="D682" i="4" s="1"/>
  <c r="D786" i="4" s="1"/>
  <c r="D890" i="4" s="1"/>
  <c r="D994" i="4" s="1"/>
  <c r="D1098" i="4" s="1"/>
  <c r="D1202" i="4" s="1"/>
  <c r="D1306" i="4" s="1"/>
  <c r="AF57" i="14"/>
  <c r="T57" i="14"/>
  <c r="Z57" i="14" s="1"/>
  <c r="O57" i="14"/>
  <c r="F57" i="14"/>
  <c r="J57" i="14" s="1"/>
  <c r="AF56" i="14"/>
  <c r="T56" i="14"/>
  <c r="O56" i="14"/>
  <c r="F56" i="14"/>
  <c r="J56" i="14" s="1"/>
  <c r="AF55" i="14"/>
  <c r="T55" i="14"/>
  <c r="Z55" i="14" s="1"/>
  <c r="O55" i="14"/>
  <c r="F55" i="14"/>
  <c r="AF54" i="14"/>
  <c r="T54" i="14"/>
  <c r="Z54" i="14" s="1"/>
  <c r="O54" i="14"/>
  <c r="F54" i="14"/>
  <c r="J54" i="14" s="1"/>
  <c r="N54" i="14" s="1"/>
  <c r="AF53" i="14"/>
  <c r="T53" i="14"/>
  <c r="O53" i="14"/>
  <c r="F53" i="14"/>
  <c r="J53" i="14" s="1"/>
  <c r="AF52" i="14"/>
  <c r="T52" i="14"/>
  <c r="O52" i="14"/>
  <c r="F52" i="14"/>
  <c r="J52" i="14" s="1"/>
  <c r="AF51" i="14"/>
  <c r="T51" i="14"/>
  <c r="O51" i="14"/>
  <c r="F51" i="14"/>
  <c r="J51" i="14" s="1"/>
  <c r="AF50" i="14"/>
  <c r="T50" i="14"/>
  <c r="O50" i="14"/>
  <c r="F50" i="14"/>
  <c r="AF49" i="14"/>
  <c r="T49" i="14"/>
  <c r="Z49" i="14" s="1"/>
  <c r="O49" i="14"/>
  <c r="F49" i="14"/>
  <c r="J49" i="14" s="1"/>
  <c r="AF48" i="14"/>
  <c r="T48" i="14"/>
  <c r="O48" i="14"/>
  <c r="F48" i="14"/>
  <c r="AF47" i="14"/>
  <c r="T47" i="14"/>
  <c r="Z47" i="14" s="1"/>
  <c r="O47" i="14"/>
  <c r="F47" i="14"/>
  <c r="J47" i="14" s="1"/>
  <c r="AF46" i="14"/>
  <c r="T46" i="14"/>
  <c r="O46" i="14"/>
  <c r="F46" i="14"/>
  <c r="G46" i="14" s="1"/>
  <c r="D46" i="4" s="1"/>
  <c r="D150" i="4" s="1"/>
  <c r="D254" i="4" s="1"/>
  <c r="D358" i="4" s="1"/>
  <c r="D462" i="4" s="1"/>
  <c r="D566" i="4" s="1"/>
  <c r="D670" i="4" s="1"/>
  <c r="D774" i="4" s="1"/>
  <c r="D878" i="4" s="1"/>
  <c r="D982" i="4" s="1"/>
  <c r="D1086" i="4" s="1"/>
  <c r="D1190" i="4" s="1"/>
  <c r="D1294" i="4" s="1"/>
  <c r="AF45" i="14"/>
  <c r="T45" i="14"/>
  <c r="Z45" i="14" s="1"/>
  <c r="O45" i="14"/>
  <c r="F45" i="14"/>
  <c r="J45" i="14" s="1"/>
  <c r="AF44" i="14"/>
  <c r="T44" i="14"/>
  <c r="O44" i="14"/>
  <c r="F44" i="14"/>
  <c r="AF43" i="14"/>
  <c r="T43" i="14"/>
  <c r="Z43" i="14" s="1"/>
  <c r="O43" i="14"/>
  <c r="F43" i="14"/>
  <c r="J43" i="14" s="1"/>
  <c r="AF42" i="14"/>
  <c r="T42" i="14"/>
  <c r="O42" i="14"/>
  <c r="J42" i="14"/>
  <c r="N42" i="14" s="1"/>
  <c r="F42" i="14"/>
  <c r="G42" i="14" s="1"/>
  <c r="D42" i="4" s="1"/>
  <c r="D146" i="4" s="1"/>
  <c r="D250" i="4" s="1"/>
  <c r="D354" i="4" s="1"/>
  <c r="D458" i="4" s="1"/>
  <c r="D562" i="4" s="1"/>
  <c r="D666" i="4" s="1"/>
  <c r="D770" i="4" s="1"/>
  <c r="D874" i="4" s="1"/>
  <c r="D978" i="4" s="1"/>
  <c r="D1082" i="4" s="1"/>
  <c r="D1186" i="4" s="1"/>
  <c r="D1290" i="4" s="1"/>
  <c r="AF41" i="14"/>
  <c r="T41" i="14"/>
  <c r="O41" i="14"/>
  <c r="F41" i="14"/>
  <c r="J41" i="14" s="1"/>
  <c r="AF40" i="14"/>
  <c r="T40" i="14"/>
  <c r="O40" i="14"/>
  <c r="F40" i="14"/>
  <c r="J40" i="14" s="1"/>
  <c r="AF39" i="14"/>
  <c r="T39" i="14"/>
  <c r="O39" i="14"/>
  <c r="F39" i="14"/>
  <c r="AF38" i="14"/>
  <c r="T38" i="14"/>
  <c r="O38" i="14"/>
  <c r="F38" i="14"/>
  <c r="J38" i="14" s="1"/>
  <c r="N38" i="14" s="1"/>
  <c r="AF37" i="14"/>
  <c r="T37" i="14"/>
  <c r="O37" i="14"/>
  <c r="F37" i="14"/>
  <c r="J37" i="14" s="1"/>
  <c r="AF36" i="14"/>
  <c r="T36" i="14"/>
  <c r="O36" i="14"/>
  <c r="F36" i="14"/>
  <c r="J36" i="14" s="1"/>
  <c r="AF35" i="14"/>
  <c r="T35" i="14"/>
  <c r="O35" i="14"/>
  <c r="F35" i="14"/>
  <c r="G35" i="14" s="1"/>
  <c r="D35" i="4" s="1"/>
  <c r="D139" i="4" s="1"/>
  <c r="D243" i="4" s="1"/>
  <c r="D347" i="4" s="1"/>
  <c r="D451" i="4" s="1"/>
  <c r="D555" i="4" s="1"/>
  <c r="D659" i="4" s="1"/>
  <c r="D763" i="4" s="1"/>
  <c r="D867" i="4" s="1"/>
  <c r="D971" i="4" s="1"/>
  <c r="D1075" i="4" s="1"/>
  <c r="D1179" i="4" s="1"/>
  <c r="D1283" i="4" s="1"/>
  <c r="AF34" i="14"/>
  <c r="T34" i="14"/>
  <c r="O34" i="14"/>
  <c r="F34" i="14"/>
  <c r="AF33" i="14"/>
  <c r="T33" i="14"/>
  <c r="Z33" i="14" s="1"/>
  <c r="O33" i="14"/>
  <c r="F33" i="14"/>
  <c r="J33" i="14" s="1"/>
  <c r="AF32" i="14"/>
  <c r="T32" i="14"/>
  <c r="O32" i="14"/>
  <c r="F32" i="14"/>
  <c r="AF31" i="14"/>
  <c r="T31" i="14"/>
  <c r="Z31" i="14" s="1"/>
  <c r="O31" i="14"/>
  <c r="F31" i="14"/>
  <c r="J31" i="14" s="1"/>
  <c r="AF30" i="14"/>
  <c r="T30" i="14"/>
  <c r="O30" i="14"/>
  <c r="F30" i="14"/>
  <c r="G30" i="14" s="1"/>
  <c r="D30" i="4" s="1"/>
  <c r="D134" i="4" s="1"/>
  <c r="D238" i="4" s="1"/>
  <c r="D342" i="4" s="1"/>
  <c r="D446" i="4" s="1"/>
  <c r="D550" i="4" s="1"/>
  <c r="D654" i="4" s="1"/>
  <c r="D758" i="4" s="1"/>
  <c r="D862" i="4" s="1"/>
  <c r="D966" i="4" s="1"/>
  <c r="D1070" i="4" s="1"/>
  <c r="D1174" i="4" s="1"/>
  <c r="D1278" i="4" s="1"/>
  <c r="AF29" i="14"/>
  <c r="T29" i="14"/>
  <c r="Z29" i="14" s="1"/>
  <c r="O29" i="14"/>
  <c r="F29" i="14"/>
  <c r="J29" i="14" s="1"/>
  <c r="AF28" i="14"/>
  <c r="T28" i="14"/>
  <c r="O28" i="14"/>
  <c r="F28" i="14"/>
  <c r="G28" i="14" s="1"/>
  <c r="D28" i="4" s="1"/>
  <c r="D132" i="4" s="1"/>
  <c r="D236" i="4" s="1"/>
  <c r="D340" i="4" s="1"/>
  <c r="D444" i="4" s="1"/>
  <c r="D548" i="4" s="1"/>
  <c r="D652" i="4" s="1"/>
  <c r="D756" i="4" s="1"/>
  <c r="D860" i="4" s="1"/>
  <c r="D964" i="4" s="1"/>
  <c r="D1068" i="4" s="1"/>
  <c r="D1172" i="4" s="1"/>
  <c r="D1276" i="4" s="1"/>
  <c r="AF27" i="14"/>
  <c r="T27" i="14"/>
  <c r="Z27" i="14" s="1"/>
  <c r="O27" i="14"/>
  <c r="F27" i="14"/>
  <c r="AF26" i="14"/>
  <c r="T26" i="14"/>
  <c r="O26" i="14"/>
  <c r="F26" i="14"/>
  <c r="AF25" i="14"/>
  <c r="T25" i="14"/>
  <c r="Z25" i="14" s="1"/>
  <c r="O25" i="14"/>
  <c r="F25" i="14"/>
  <c r="J25" i="14" s="1"/>
  <c r="AF24" i="14"/>
  <c r="T24" i="14"/>
  <c r="O24" i="14"/>
  <c r="F24" i="14"/>
  <c r="J24" i="14" s="1"/>
  <c r="AF23" i="14"/>
  <c r="T23" i="14"/>
  <c r="Z23" i="14" s="1"/>
  <c r="O23" i="14"/>
  <c r="F23" i="14"/>
  <c r="AF22" i="14"/>
  <c r="O22" i="14"/>
  <c r="L22" i="14"/>
  <c r="M22" i="14" s="1"/>
  <c r="F22" i="14"/>
  <c r="J22" i="14" s="1"/>
  <c r="AF21" i="14"/>
  <c r="O21" i="14"/>
  <c r="M21" i="14"/>
  <c r="F21" i="14"/>
  <c r="AF20" i="14"/>
  <c r="O20" i="14"/>
  <c r="M20" i="14"/>
  <c r="F20" i="14"/>
  <c r="J20" i="14" s="1"/>
  <c r="AF19" i="14"/>
  <c r="O19" i="14"/>
  <c r="M19" i="14"/>
  <c r="J19" i="14"/>
  <c r="F19" i="14"/>
  <c r="G19" i="14" s="1"/>
  <c r="D19" i="4" s="1"/>
  <c r="D123" i="4" s="1"/>
  <c r="D227" i="4" s="1"/>
  <c r="D331" i="4" s="1"/>
  <c r="D435" i="4" s="1"/>
  <c r="D539" i="4" s="1"/>
  <c r="D643" i="4" s="1"/>
  <c r="D747" i="4" s="1"/>
  <c r="D851" i="4" s="1"/>
  <c r="D955" i="4" s="1"/>
  <c r="D1059" i="4" s="1"/>
  <c r="D1163" i="4" s="1"/>
  <c r="D1267" i="4" s="1"/>
  <c r="AF18" i="14"/>
  <c r="O18" i="14"/>
  <c r="M18" i="14"/>
  <c r="F18" i="14"/>
  <c r="J18" i="14" s="1"/>
  <c r="AF17" i="14"/>
  <c r="O17" i="14"/>
  <c r="M17" i="14"/>
  <c r="F17" i="14"/>
  <c r="G17" i="14" s="1"/>
  <c r="D17" i="4" s="1"/>
  <c r="D121" i="4" s="1"/>
  <c r="D225" i="4" s="1"/>
  <c r="D329" i="4" s="1"/>
  <c r="D433" i="4" s="1"/>
  <c r="D537" i="4" s="1"/>
  <c r="D641" i="4" s="1"/>
  <c r="D745" i="4" s="1"/>
  <c r="D849" i="4" s="1"/>
  <c r="D953" i="4" s="1"/>
  <c r="D1057" i="4" s="1"/>
  <c r="D1161" i="4" s="1"/>
  <c r="D1265" i="4" s="1"/>
  <c r="AF16" i="14"/>
  <c r="O16" i="14"/>
  <c r="M16" i="14"/>
  <c r="F16" i="14"/>
  <c r="AF15" i="14"/>
  <c r="O15" i="14"/>
  <c r="M15" i="14"/>
  <c r="F15" i="14"/>
  <c r="G15" i="14" s="1"/>
  <c r="D15" i="4" s="1"/>
  <c r="D119" i="4" s="1"/>
  <c r="D223" i="4" s="1"/>
  <c r="D327" i="4" s="1"/>
  <c r="D431" i="4" s="1"/>
  <c r="D535" i="4" s="1"/>
  <c r="D639" i="4" s="1"/>
  <c r="D743" i="4" s="1"/>
  <c r="D847" i="4" s="1"/>
  <c r="D951" i="4" s="1"/>
  <c r="D1055" i="4" s="1"/>
  <c r="D1159" i="4" s="1"/>
  <c r="D1263" i="4" s="1"/>
  <c r="AF14" i="14"/>
  <c r="O14" i="14"/>
  <c r="M14" i="14"/>
  <c r="F14" i="14"/>
  <c r="J14" i="14" s="1"/>
  <c r="AF13" i="14"/>
  <c r="O13" i="14"/>
  <c r="M13" i="14"/>
  <c r="F13" i="14"/>
  <c r="G13" i="14" s="1"/>
  <c r="D13" i="4" s="1"/>
  <c r="D117" i="4" s="1"/>
  <c r="D221" i="4" s="1"/>
  <c r="D325" i="4" s="1"/>
  <c r="D429" i="4" s="1"/>
  <c r="D533" i="4" s="1"/>
  <c r="D637" i="4" s="1"/>
  <c r="D741" i="4" s="1"/>
  <c r="D845" i="4" s="1"/>
  <c r="D949" i="4" s="1"/>
  <c r="D1053" i="4" s="1"/>
  <c r="D1157" i="4" s="1"/>
  <c r="D1261" i="4" s="1"/>
  <c r="AF12" i="14"/>
  <c r="O12" i="14"/>
  <c r="M12" i="14"/>
  <c r="F12" i="14"/>
  <c r="J12" i="14" s="1"/>
  <c r="AF11" i="14"/>
  <c r="O11" i="14"/>
  <c r="M11" i="14"/>
  <c r="F11" i="14"/>
  <c r="G11" i="14" s="1"/>
  <c r="D11" i="4" s="1"/>
  <c r="D115" i="4" s="1"/>
  <c r="D219" i="4" s="1"/>
  <c r="D323" i="4" s="1"/>
  <c r="D427" i="4" s="1"/>
  <c r="D531" i="4" s="1"/>
  <c r="D635" i="4" s="1"/>
  <c r="D739" i="4" s="1"/>
  <c r="D843" i="4" s="1"/>
  <c r="D947" i="4" s="1"/>
  <c r="D1051" i="4" s="1"/>
  <c r="D1155" i="4" s="1"/>
  <c r="D1259" i="4" s="1"/>
  <c r="AF10" i="14"/>
  <c r="O10" i="14"/>
  <c r="M10" i="14"/>
  <c r="J10" i="14"/>
  <c r="F10" i="14"/>
  <c r="G10" i="14" s="1"/>
  <c r="D10" i="4" s="1"/>
  <c r="D114" i="4" s="1"/>
  <c r="D218" i="4" s="1"/>
  <c r="D322" i="4" s="1"/>
  <c r="D426" i="4" s="1"/>
  <c r="D530" i="4" s="1"/>
  <c r="D634" i="4" s="1"/>
  <c r="D738" i="4" s="1"/>
  <c r="D842" i="4" s="1"/>
  <c r="D946" i="4" s="1"/>
  <c r="D1050" i="4" s="1"/>
  <c r="D1154" i="4" s="1"/>
  <c r="D1258" i="4" s="1"/>
  <c r="AF9" i="14"/>
  <c r="O9" i="14"/>
  <c r="M9" i="14"/>
  <c r="F9" i="14"/>
  <c r="G9" i="14" s="1"/>
  <c r="D9" i="4" s="1"/>
  <c r="D113" i="4" s="1"/>
  <c r="D217" i="4" s="1"/>
  <c r="D321" i="4" s="1"/>
  <c r="D425" i="4" s="1"/>
  <c r="D529" i="4" s="1"/>
  <c r="D633" i="4" s="1"/>
  <c r="D737" i="4" s="1"/>
  <c r="D841" i="4" s="1"/>
  <c r="D945" i="4" s="1"/>
  <c r="D1049" i="4" s="1"/>
  <c r="D1153" i="4" s="1"/>
  <c r="D1257" i="4" s="1"/>
  <c r="AF8" i="14"/>
  <c r="O8" i="14"/>
  <c r="M8" i="14"/>
  <c r="F8" i="14"/>
  <c r="AF7" i="14"/>
  <c r="O7" i="14"/>
  <c r="M7" i="14"/>
  <c r="F7" i="14"/>
  <c r="G7" i="14" s="1"/>
  <c r="D7" i="4" s="1"/>
  <c r="D111" i="4" s="1"/>
  <c r="D215" i="4" s="1"/>
  <c r="D319" i="4" s="1"/>
  <c r="D423" i="4" s="1"/>
  <c r="D527" i="4" s="1"/>
  <c r="D631" i="4" s="1"/>
  <c r="D735" i="4" s="1"/>
  <c r="D839" i="4" s="1"/>
  <c r="D943" i="4" s="1"/>
  <c r="D1047" i="4" s="1"/>
  <c r="D1151" i="4" s="1"/>
  <c r="D1255" i="4" s="1"/>
  <c r="AF6" i="14"/>
  <c r="O6" i="14"/>
  <c r="M6" i="14"/>
  <c r="F6" i="14"/>
  <c r="J6" i="14" s="1"/>
  <c r="AJ2" i="14"/>
  <c r="G2" i="14"/>
  <c r="C2" i="14"/>
  <c r="C56" i="48"/>
  <c r="C57" i="48" s="1"/>
  <c r="B57" i="48" s="1"/>
  <c r="A49" i="48"/>
  <c r="C48" i="48"/>
  <c r="A2" i="48"/>
  <c r="B42" i="29"/>
  <c r="B34" i="29"/>
  <c r="B13" i="29"/>
  <c r="E8" i="29"/>
  <c r="C2" i="13" s="1"/>
  <c r="D7" i="29"/>
  <c r="E3" i="44" s="1"/>
  <c r="E6" i="29"/>
  <c r="D6" i="29"/>
  <c r="E5" i="29"/>
  <c r="O3" i="29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H2" i="29"/>
  <c r="B24" i="63" s="1"/>
  <c r="B25" i="63" s="1"/>
  <c r="B26" i="63" s="1"/>
  <c r="B27" i="63" s="1"/>
  <c r="B28" i="63" s="1"/>
  <c r="B29" i="63" s="1"/>
  <c r="B30" i="63" s="1"/>
  <c r="B31" i="63" s="1"/>
  <c r="B32" i="63" s="1"/>
  <c r="B33" i="63" s="1"/>
  <c r="B34" i="63" s="1"/>
  <c r="B35" i="63" s="1"/>
  <c r="D1" i="29"/>
  <c r="D41" i="20" l="1"/>
  <c r="L25" i="17"/>
  <c r="F125" i="22" s="1"/>
  <c r="E7" i="29"/>
  <c r="G24" i="14"/>
  <c r="D24" i="4" s="1"/>
  <c r="D128" i="4" s="1"/>
  <c r="D232" i="4" s="1"/>
  <c r="D336" i="4" s="1"/>
  <c r="D440" i="4" s="1"/>
  <c r="D544" i="4" s="1"/>
  <c r="D648" i="4" s="1"/>
  <c r="D752" i="4" s="1"/>
  <c r="D856" i="4" s="1"/>
  <c r="D960" i="4" s="1"/>
  <c r="D1064" i="4" s="1"/>
  <c r="D1168" i="4" s="1"/>
  <c r="D1272" i="4" s="1"/>
  <c r="J30" i="14"/>
  <c r="N30" i="14" s="1"/>
  <c r="G74" i="14"/>
  <c r="D74" i="4" s="1"/>
  <c r="D178" i="4" s="1"/>
  <c r="D282" i="4" s="1"/>
  <c r="D386" i="4" s="1"/>
  <c r="D490" i="4" s="1"/>
  <c r="D594" i="4" s="1"/>
  <c r="D698" i="4" s="1"/>
  <c r="D802" i="4" s="1"/>
  <c r="D906" i="4" s="1"/>
  <c r="D1010" i="4" s="1"/>
  <c r="D1114" i="4" s="1"/>
  <c r="D1218" i="4" s="1"/>
  <c r="D1322" i="4" s="1"/>
  <c r="G102" i="14"/>
  <c r="D102" i="4" s="1"/>
  <c r="D206" i="4" s="1"/>
  <c r="D310" i="4" s="1"/>
  <c r="D414" i="4" s="1"/>
  <c r="D518" i="4" s="1"/>
  <c r="D622" i="4" s="1"/>
  <c r="D726" i="4" s="1"/>
  <c r="D830" i="4" s="1"/>
  <c r="D934" i="4" s="1"/>
  <c r="D1038" i="4" s="1"/>
  <c r="D1142" i="4" s="1"/>
  <c r="D1246" i="4" s="1"/>
  <c r="D1350" i="4" s="1"/>
  <c r="AO17" i="8"/>
  <c r="AH731" i="4"/>
  <c r="O4" i="12" s="1"/>
  <c r="H7" i="25"/>
  <c r="H5" i="26"/>
  <c r="C42" i="20"/>
  <c r="F56" i="20"/>
  <c r="C102" i="20"/>
  <c r="D102" i="20" s="1"/>
  <c r="C105" i="20"/>
  <c r="G38" i="14"/>
  <c r="D38" i="4" s="1"/>
  <c r="D142" i="4" s="1"/>
  <c r="D246" i="4" s="1"/>
  <c r="D350" i="4" s="1"/>
  <c r="D454" i="4" s="1"/>
  <c r="D558" i="4" s="1"/>
  <c r="D662" i="4" s="1"/>
  <c r="D766" i="4" s="1"/>
  <c r="D870" i="4" s="1"/>
  <c r="D974" i="4" s="1"/>
  <c r="D1078" i="4" s="1"/>
  <c r="D1182" i="4" s="1"/>
  <c r="D1286" i="4" s="1"/>
  <c r="J46" i="14"/>
  <c r="N46" i="14" s="1"/>
  <c r="J76" i="14"/>
  <c r="AJ76" i="14" s="1"/>
  <c r="AL76" i="14" s="1"/>
  <c r="G106" i="14"/>
  <c r="D106" i="4" s="1"/>
  <c r="D210" i="4" s="1"/>
  <c r="D314" i="4" s="1"/>
  <c r="D418" i="4" s="1"/>
  <c r="D522" i="4" s="1"/>
  <c r="D626" i="4" s="1"/>
  <c r="D730" i="4" s="1"/>
  <c r="D834" i="4" s="1"/>
  <c r="D938" i="4" s="1"/>
  <c r="D1042" i="4" s="1"/>
  <c r="D1146" i="4" s="1"/>
  <c r="D1250" i="4" s="1"/>
  <c r="D1354" i="4" s="1"/>
  <c r="AH14" i="8"/>
  <c r="AL14" i="8"/>
  <c r="AP14" i="8"/>
  <c r="E13" i="15"/>
  <c r="I16" i="15"/>
  <c r="Z116" i="16"/>
  <c r="BA36" i="5" s="1"/>
  <c r="D20" i="5"/>
  <c r="K7" i="6"/>
  <c r="D24" i="6" s="1"/>
  <c r="H5" i="25"/>
  <c r="H13" i="25"/>
  <c r="H11" i="26"/>
  <c r="C38" i="20"/>
  <c r="C40" i="20" s="1"/>
  <c r="J17" i="14"/>
  <c r="AF10" i="8"/>
  <c r="AJ10" i="8"/>
  <c r="AN10" i="8"/>
  <c r="O13" i="15"/>
  <c r="AD116" i="16"/>
  <c r="DE36" i="5" s="1"/>
  <c r="AF18" i="5"/>
  <c r="AT18" i="5" s="1"/>
  <c r="AF28" i="62"/>
  <c r="AF33" i="62"/>
  <c r="AH627" i="4"/>
  <c r="M4" i="12" s="1"/>
  <c r="AH1348" i="4"/>
  <c r="H9" i="26"/>
  <c r="N72" i="20"/>
  <c r="G20" i="14"/>
  <c r="D20" i="4" s="1"/>
  <c r="D124" i="4" s="1"/>
  <c r="D228" i="4" s="1"/>
  <c r="D332" i="4" s="1"/>
  <c r="D436" i="4" s="1"/>
  <c r="D540" i="4" s="1"/>
  <c r="D644" i="4" s="1"/>
  <c r="D748" i="4" s="1"/>
  <c r="D852" i="4" s="1"/>
  <c r="D956" i="4" s="1"/>
  <c r="D1060" i="4" s="1"/>
  <c r="D1164" i="4" s="1"/>
  <c r="D1268" i="4" s="1"/>
  <c r="J28" i="14"/>
  <c r="D160" i="16"/>
  <c r="D19" i="15"/>
  <c r="G21" i="14"/>
  <c r="D21" i="4" s="1"/>
  <c r="D125" i="4" s="1"/>
  <c r="D229" i="4" s="1"/>
  <c r="D333" i="4" s="1"/>
  <c r="D437" i="4" s="1"/>
  <c r="D541" i="4" s="1"/>
  <c r="D645" i="4" s="1"/>
  <c r="D749" i="4" s="1"/>
  <c r="D853" i="4" s="1"/>
  <c r="D957" i="4" s="1"/>
  <c r="D1061" i="4" s="1"/>
  <c r="D1165" i="4" s="1"/>
  <c r="D1269" i="4" s="1"/>
  <c r="J21" i="14"/>
  <c r="G40" i="14"/>
  <c r="D40" i="4" s="1"/>
  <c r="D144" i="4" s="1"/>
  <c r="D248" i="4" s="1"/>
  <c r="D352" i="4" s="1"/>
  <c r="D456" i="4" s="1"/>
  <c r="D560" i="4" s="1"/>
  <c r="D664" i="4" s="1"/>
  <c r="D768" i="4" s="1"/>
  <c r="D872" i="4" s="1"/>
  <c r="D976" i="4" s="1"/>
  <c r="D1080" i="4" s="1"/>
  <c r="D1184" i="4" s="1"/>
  <c r="D1288" i="4" s="1"/>
  <c r="J13" i="14"/>
  <c r="AJ13" i="14" s="1"/>
  <c r="AL13" i="14" s="1"/>
  <c r="J16" i="14"/>
  <c r="G16" i="14"/>
  <c r="D16" i="4" s="1"/>
  <c r="D120" i="4" s="1"/>
  <c r="D224" i="4" s="1"/>
  <c r="D328" i="4" s="1"/>
  <c r="D432" i="4" s="1"/>
  <c r="D536" i="4" s="1"/>
  <c r="D640" i="4" s="1"/>
  <c r="D744" i="4" s="1"/>
  <c r="D848" i="4" s="1"/>
  <c r="D952" i="4" s="1"/>
  <c r="D1056" i="4" s="1"/>
  <c r="D1160" i="4" s="1"/>
  <c r="D1264" i="4" s="1"/>
  <c r="J90" i="14"/>
  <c r="N90" i="14" s="1"/>
  <c r="G90" i="14"/>
  <c r="D90" i="4" s="1"/>
  <c r="D194" i="4" s="1"/>
  <c r="D298" i="4" s="1"/>
  <c r="D402" i="4" s="1"/>
  <c r="D506" i="4" s="1"/>
  <c r="D610" i="4" s="1"/>
  <c r="D714" i="4" s="1"/>
  <c r="D818" i="4" s="1"/>
  <c r="D922" i="4" s="1"/>
  <c r="D1026" i="4" s="1"/>
  <c r="D1130" i="4" s="1"/>
  <c r="D1234" i="4" s="1"/>
  <c r="D1338" i="4" s="1"/>
  <c r="G56" i="14"/>
  <c r="D56" i="4" s="1"/>
  <c r="D160" i="4" s="1"/>
  <c r="D264" i="4" s="1"/>
  <c r="D368" i="4" s="1"/>
  <c r="D472" i="4" s="1"/>
  <c r="D576" i="4" s="1"/>
  <c r="D680" i="4" s="1"/>
  <c r="D784" i="4" s="1"/>
  <c r="D888" i="4" s="1"/>
  <c r="D992" i="4" s="1"/>
  <c r="D1096" i="4" s="1"/>
  <c r="D1200" i="4" s="1"/>
  <c r="D1304" i="4" s="1"/>
  <c r="G78" i="14"/>
  <c r="D78" i="4" s="1"/>
  <c r="D182" i="4" s="1"/>
  <c r="D286" i="4" s="1"/>
  <c r="D390" i="4" s="1"/>
  <c r="D494" i="4" s="1"/>
  <c r="D598" i="4" s="1"/>
  <c r="D702" i="4" s="1"/>
  <c r="D806" i="4" s="1"/>
  <c r="D910" i="4" s="1"/>
  <c r="D1014" i="4" s="1"/>
  <c r="D1118" i="4" s="1"/>
  <c r="D1222" i="4" s="1"/>
  <c r="D1326" i="4" s="1"/>
  <c r="J78" i="14"/>
  <c r="N78" i="14" s="1"/>
  <c r="J92" i="14"/>
  <c r="G104" i="14"/>
  <c r="D104" i="4" s="1"/>
  <c r="D208" i="4" s="1"/>
  <c r="D312" i="4" s="1"/>
  <c r="D416" i="4" s="1"/>
  <c r="D520" i="4" s="1"/>
  <c r="D624" i="4" s="1"/>
  <c r="D728" i="4" s="1"/>
  <c r="D832" i="4" s="1"/>
  <c r="D936" i="4" s="1"/>
  <c r="D1040" i="4" s="1"/>
  <c r="D1144" i="4" s="1"/>
  <c r="D1248" i="4" s="1"/>
  <c r="D1352" i="4" s="1"/>
  <c r="AF19" i="8"/>
  <c r="AJ19" i="8"/>
  <c r="AN19" i="8"/>
  <c r="M13" i="15"/>
  <c r="M16" i="15"/>
  <c r="D57" i="20"/>
  <c r="O25" i="17"/>
  <c r="F125" i="23" s="1"/>
  <c r="J26" i="14"/>
  <c r="N26" i="14" s="1"/>
  <c r="G26" i="14"/>
  <c r="D26" i="4" s="1"/>
  <c r="D130" i="4" s="1"/>
  <c r="D234" i="4" s="1"/>
  <c r="D338" i="4" s="1"/>
  <c r="D442" i="4" s="1"/>
  <c r="D546" i="4" s="1"/>
  <c r="D650" i="4" s="1"/>
  <c r="D754" i="4" s="1"/>
  <c r="D858" i="4" s="1"/>
  <c r="D962" i="4" s="1"/>
  <c r="D1066" i="4" s="1"/>
  <c r="D1170" i="4" s="1"/>
  <c r="D1274" i="4" s="1"/>
  <c r="J8" i="14"/>
  <c r="G8" i="14"/>
  <c r="D8" i="4" s="1"/>
  <c r="D112" i="4" s="1"/>
  <c r="D216" i="4" s="1"/>
  <c r="D320" i="4" s="1"/>
  <c r="D424" i="4" s="1"/>
  <c r="D528" i="4" s="1"/>
  <c r="D632" i="4" s="1"/>
  <c r="D736" i="4" s="1"/>
  <c r="D840" i="4" s="1"/>
  <c r="D944" i="4" s="1"/>
  <c r="D1048" i="4" s="1"/>
  <c r="D1152" i="4" s="1"/>
  <c r="D1256" i="4" s="1"/>
  <c r="G44" i="14"/>
  <c r="D44" i="4" s="1"/>
  <c r="D148" i="4" s="1"/>
  <c r="D252" i="4" s="1"/>
  <c r="D356" i="4" s="1"/>
  <c r="D460" i="4" s="1"/>
  <c r="D564" i="4" s="1"/>
  <c r="D668" i="4" s="1"/>
  <c r="D772" i="4" s="1"/>
  <c r="D876" i="4" s="1"/>
  <c r="D980" i="4" s="1"/>
  <c r="D1084" i="4" s="1"/>
  <c r="D1188" i="4" s="1"/>
  <c r="D1292" i="4" s="1"/>
  <c r="J44" i="14"/>
  <c r="AJ44" i="14" s="1"/>
  <c r="AL44" i="14" s="1"/>
  <c r="N19" i="14"/>
  <c r="J62" i="14"/>
  <c r="N62" i="14" s="1"/>
  <c r="J70" i="14"/>
  <c r="N70" i="14" s="1"/>
  <c r="G70" i="14"/>
  <c r="D70" i="4" s="1"/>
  <c r="D174" i="4" s="1"/>
  <c r="D278" i="4" s="1"/>
  <c r="D382" i="4" s="1"/>
  <c r="D486" i="4" s="1"/>
  <c r="D590" i="4" s="1"/>
  <c r="D694" i="4" s="1"/>
  <c r="D798" i="4" s="1"/>
  <c r="D902" i="4" s="1"/>
  <c r="D1006" i="4" s="1"/>
  <c r="D1110" i="4" s="1"/>
  <c r="D1214" i="4" s="1"/>
  <c r="D1318" i="4" s="1"/>
  <c r="AO19" i="8"/>
  <c r="L19" i="8"/>
  <c r="AU19" i="8" s="1"/>
  <c r="V416" i="45"/>
  <c r="V412" i="45"/>
  <c r="V417" i="45"/>
  <c r="AH419" i="4"/>
  <c r="I4" i="12" s="1"/>
  <c r="H17" i="22"/>
  <c r="H5" i="23"/>
  <c r="H7" i="23"/>
  <c r="H9" i="23"/>
  <c r="H11" i="23"/>
  <c r="H13" i="23"/>
  <c r="H5" i="24"/>
  <c r="H7" i="24"/>
  <c r="H9" i="24"/>
  <c r="H11" i="24"/>
  <c r="H13" i="24"/>
  <c r="H15" i="24"/>
  <c r="H4" i="25"/>
  <c r="H6" i="25"/>
  <c r="H8" i="25"/>
  <c r="H10" i="25"/>
  <c r="H12" i="25"/>
  <c r="H4" i="26"/>
  <c r="H6" i="26"/>
  <c r="H8" i="26"/>
  <c r="H10" i="26"/>
  <c r="H12" i="26"/>
  <c r="F8" i="20"/>
  <c r="F11" i="20" s="1"/>
  <c r="M75" i="20"/>
  <c r="M79" i="20" s="1"/>
  <c r="AE9" i="8"/>
  <c r="AI9" i="8"/>
  <c r="AN13" i="8"/>
  <c r="AF14" i="8"/>
  <c r="AJ14" i="8"/>
  <c r="AN14" i="8"/>
  <c r="AF18" i="8"/>
  <c r="AJ18" i="8"/>
  <c r="AN18" i="8"/>
  <c r="AH19" i="8"/>
  <c r="AL19" i="8"/>
  <c r="AP19" i="8"/>
  <c r="AF21" i="8"/>
  <c r="AJ21" i="8"/>
  <c r="AN21" i="8"/>
  <c r="G21" i="15"/>
  <c r="K21" i="15"/>
  <c r="O21" i="15"/>
  <c r="AA122" i="16"/>
  <c r="BO42" i="5" s="1"/>
  <c r="AF28" i="5"/>
  <c r="AT28" i="5" s="1"/>
  <c r="BA50" i="5"/>
  <c r="BO50" i="5" s="1"/>
  <c r="CC50" i="5" s="1"/>
  <c r="AF53" i="5"/>
  <c r="AT53" i="5" s="1"/>
  <c r="AF60" i="5"/>
  <c r="AT60" i="5" s="1"/>
  <c r="AF19" i="62"/>
  <c r="V413" i="45"/>
  <c r="AH1345" i="4"/>
  <c r="C58" i="20"/>
  <c r="AE107" i="16"/>
  <c r="DS26" i="62" s="1"/>
  <c r="X14" i="17"/>
  <c r="C14" i="26" s="1"/>
  <c r="AM20" i="8"/>
  <c r="H16" i="15"/>
  <c r="L16" i="15"/>
  <c r="P16" i="15"/>
  <c r="AD122" i="16"/>
  <c r="DE42" i="5" s="1"/>
  <c r="AZ6" i="19"/>
  <c r="AZ9" i="19"/>
  <c r="AZ10" i="19"/>
  <c r="AZ13" i="19"/>
  <c r="AZ14" i="19"/>
  <c r="AZ15" i="19"/>
  <c r="AZ18" i="19"/>
  <c r="AZ19" i="19"/>
  <c r="AZ21" i="19"/>
  <c r="AZ22" i="19"/>
  <c r="AZ23" i="19"/>
  <c r="AZ27" i="19"/>
  <c r="AZ30" i="19"/>
  <c r="AZ31" i="19"/>
  <c r="AZ34" i="19"/>
  <c r="AZ35" i="19"/>
  <c r="AZ38" i="19"/>
  <c r="AZ39" i="19"/>
  <c r="AZ43" i="19"/>
  <c r="AZ46" i="19"/>
  <c r="AZ47" i="19"/>
  <c r="AZ50" i="19"/>
  <c r="AZ51" i="19"/>
  <c r="AZ54" i="19"/>
  <c r="AZ55" i="19"/>
  <c r="AZ59" i="19"/>
  <c r="AZ62" i="19"/>
  <c r="AZ63" i="19"/>
  <c r="AZ66" i="19"/>
  <c r="AZ67" i="19"/>
  <c r="AZ70" i="19"/>
  <c r="AZ71" i="19"/>
  <c r="AZ75" i="19"/>
  <c r="AZ78" i="19"/>
  <c r="AZ79" i="19"/>
  <c r="AZ82" i="19"/>
  <c r="AZ83" i="19"/>
  <c r="AZ86" i="19"/>
  <c r="AZ87" i="19"/>
  <c r="AZ92" i="19"/>
  <c r="AF13" i="5"/>
  <c r="AT13" i="5" s="1"/>
  <c r="V411" i="45"/>
  <c r="AF43" i="62"/>
  <c r="N2" i="68"/>
  <c r="L13" i="17"/>
  <c r="C13" i="22" s="1"/>
  <c r="V415" i="45"/>
  <c r="AH939" i="4"/>
  <c r="S4" i="12" s="1"/>
  <c r="AH1043" i="4"/>
  <c r="U4" i="12" s="1"/>
  <c r="AF1355" i="4"/>
  <c r="AH1347" i="4"/>
  <c r="H4" i="23"/>
  <c r="H6" i="23"/>
  <c r="H8" i="23"/>
  <c r="H10" i="23"/>
  <c r="H4" i="24"/>
  <c r="H6" i="24"/>
  <c r="H8" i="24"/>
  <c r="H10" i="24"/>
  <c r="H12" i="24"/>
  <c r="H14" i="24"/>
  <c r="C54" i="20"/>
  <c r="C56" i="20" s="1"/>
  <c r="N88" i="20"/>
  <c r="N84" i="14"/>
  <c r="G32" i="14"/>
  <c r="D32" i="4" s="1"/>
  <c r="D136" i="4" s="1"/>
  <c r="D240" i="4" s="1"/>
  <c r="D344" i="4" s="1"/>
  <c r="D448" i="4" s="1"/>
  <c r="D552" i="4" s="1"/>
  <c r="D656" i="4" s="1"/>
  <c r="D760" i="4" s="1"/>
  <c r="D864" i="4" s="1"/>
  <c r="D968" i="4" s="1"/>
  <c r="D1072" i="4" s="1"/>
  <c r="D1176" i="4" s="1"/>
  <c r="D1280" i="4" s="1"/>
  <c r="J32" i="14"/>
  <c r="AA37" i="14"/>
  <c r="U37" i="16" s="1"/>
  <c r="Z37" i="14"/>
  <c r="AJ56" i="14"/>
  <c r="AL56" i="14" s="1"/>
  <c r="N56" i="14"/>
  <c r="G64" i="14"/>
  <c r="D64" i="4" s="1"/>
  <c r="D168" i="4" s="1"/>
  <c r="D272" i="4" s="1"/>
  <c r="D376" i="4" s="1"/>
  <c r="D480" i="4" s="1"/>
  <c r="D584" i="4" s="1"/>
  <c r="D688" i="4" s="1"/>
  <c r="D792" i="4" s="1"/>
  <c r="D896" i="4" s="1"/>
  <c r="D1000" i="4" s="1"/>
  <c r="D1104" i="4" s="1"/>
  <c r="D1208" i="4" s="1"/>
  <c r="D1312" i="4" s="1"/>
  <c r="J64" i="14"/>
  <c r="Z69" i="14"/>
  <c r="AA69" i="14" s="1"/>
  <c r="G84" i="14"/>
  <c r="D84" i="4" s="1"/>
  <c r="D188" i="4" s="1"/>
  <c r="D292" i="4" s="1"/>
  <c r="D396" i="4" s="1"/>
  <c r="D500" i="4" s="1"/>
  <c r="D604" i="4" s="1"/>
  <c r="D708" i="4" s="1"/>
  <c r="D812" i="4" s="1"/>
  <c r="D916" i="4" s="1"/>
  <c r="D1020" i="4" s="1"/>
  <c r="D1124" i="4" s="1"/>
  <c r="D1228" i="4" s="1"/>
  <c r="D1332" i="4" s="1"/>
  <c r="AJ88" i="14"/>
  <c r="AL88" i="14" s="1"/>
  <c r="N88" i="14"/>
  <c r="Y22" i="8"/>
  <c r="C147" i="16"/>
  <c r="N22" i="15"/>
  <c r="AG117" i="16"/>
  <c r="EU37" i="5" s="1"/>
  <c r="AE117" i="16"/>
  <c r="DS37" i="5" s="1"/>
  <c r="W117" i="16"/>
  <c r="K37" i="5" s="1"/>
  <c r="AA117" i="16"/>
  <c r="BO37" i="5" s="1"/>
  <c r="AJ10" i="14"/>
  <c r="AL10" i="14" s="1"/>
  <c r="Z35" i="14"/>
  <c r="AA35" i="14" s="1"/>
  <c r="G50" i="14"/>
  <c r="J50" i="14"/>
  <c r="N50" i="14" s="1"/>
  <c r="N52" i="14"/>
  <c r="AA55" i="14"/>
  <c r="U55" i="16" s="1"/>
  <c r="Z99" i="14"/>
  <c r="AA99" i="14" s="1"/>
  <c r="AO15" i="8"/>
  <c r="L15" i="8"/>
  <c r="BE19" i="8"/>
  <c r="BC19" i="8"/>
  <c r="AY19" i="8"/>
  <c r="AG113" i="16"/>
  <c r="EU32" i="5" s="1"/>
  <c r="AA113" i="16"/>
  <c r="BO32" i="5" s="1"/>
  <c r="AE113" i="16"/>
  <c r="DS32" i="5" s="1"/>
  <c r="G6" i="14"/>
  <c r="AF107" i="14"/>
  <c r="AJ8" i="14"/>
  <c r="AL8" i="14" s="1"/>
  <c r="J11" i="14"/>
  <c r="AJ11" i="14" s="1"/>
  <c r="AL11" i="14" s="1"/>
  <c r="N13" i="14"/>
  <c r="G14" i="14"/>
  <c r="D14" i="4" s="1"/>
  <c r="D118" i="4" s="1"/>
  <c r="D222" i="4" s="1"/>
  <c r="D326" i="4" s="1"/>
  <c r="D430" i="4" s="1"/>
  <c r="D534" i="4" s="1"/>
  <c r="D638" i="4" s="1"/>
  <c r="D742" i="4" s="1"/>
  <c r="D846" i="4" s="1"/>
  <c r="D950" i="4" s="1"/>
  <c r="D1054" i="4" s="1"/>
  <c r="D1158" i="4" s="1"/>
  <c r="D1262" i="4" s="1"/>
  <c r="AJ17" i="14"/>
  <c r="AL17" i="14" s="1"/>
  <c r="AJ21" i="14"/>
  <c r="AL21" i="14" s="1"/>
  <c r="AJ24" i="14"/>
  <c r="AL24" i="14" s="1"/>
  <c r="N24" i="14"/>
  <c r="N44" i="14"/>
  <c r="G52" i="14"/>
  <c r="D52" i="4" s="1"/>
  <c r="D156" i="4" s="1"/>
  <c r="D260" i="4" s="1"/>
  <c r="D364" i="4" s="1"/>
  <c r="D468" i="4" s="1"/>
  <c r="D572" i="4" s="1"/>
  <c r="D676" i="4" s="1"/>
  <c r="D780" i="4" s="1"/>
  <c r="D884" i="4" s="1"/>
  <c r="D988" i="4" s="1"/>
  <c r="D1092" i="4" s="1"/>
  <c r="D1196" i="4" s="1"/>
  <c r="D1300" i="4" s="1"/>
  <c r="N76" i="14"/>
  <c r="G96" i="14"/>
  <c r="D96" i="4" s="1"/>
  <c r="D200" i="4" s="1"/>
  <c r="D304" i="4" s="1"/>
  <c r="D408" i="4" s="1"/>
  <c r="D512" i="4" s="1"/>
  <c r="D616" i="4" s="1"/>
  <c r="D720" i="4" s="1"/>
  <c r="D824" i="4" s="1"/>
  <c r="D928" i="4" s="1"/>
  <c r="D1032" i="4" s="1"/>
  <c r="D1136" i="4" s="1"/>
  <c r="D1240" i="4" s="1"/>
  <c r="D1344" i="4" s="1"/>
  <c r="J96" i="14"/>
  <c r="Z101" i="14"/>
  <c r="AA101" i="14" s="1"/>
  <c r="Q22" i="8"/>
  <c r="U22" i="8"/>
  <c r="P22" i="8"/>
  <c r="D181" i="16"/>
  <c r="D20" i="15"/>
  <c r="C10" i="20" s="1"/>
  <c r="AG112" i="16"/>
  <c r="EU31" i="5" s="1"/>
  <c r="EU30" i="5" s="1"/>
  <c r="AE112" i="16"/>
  <c r="DS31" i="5" s="1"/>
  <c r="AA112" i="16"/>
  <c r="BO31" i="5" s="1"/>
  <c r="H3" i="29"/>
  <c r="N17" i="14"/>
  <c r="G18" i="14"/>
  <c r="D18" i="4" s="1"/>
  <c r="D122" i="4" s="1"/>
  <c r="D226" i="4" s="1"/>
  <c r="D330" i="4" s="1"/>
  <c r="D434" i="4" s="1"/>
  <c r="D538" i="4" s="1"/>
  <c r="D642" i="4" s="1"/>
  <c r="D746" i="4" s="1"/>
  <c r="D850" i="4" s="1"/>
  <c r="D954" i="4" s="1"/>
  <c r="D1058" i="4" s="1"/>
  <c r="D1162" i="4" s="1"/>
  <c r="D1266" i="4" s="1"/>
  <c r="G22" i="14"/>
  <c r="D22" i="4" s="1"/>
  <c r="D126" i="4" s="1"/>
  <c r="D230" i="4" s="1"/>
  <c r="D334" i="4" s="1"/>
  <c r="D438" i="4" s="1"/>
  <c r="D542" i="4" s="1"/>
  <c r="D646" i="4" s="1"/>
  <c r="D750" i="4" s="1"/>
  <c r="D854" i="4" s="1"/>
  <c r="D958" i="4" s="1"/>
  <c r="D1062" i="4" s="1"/>
  <c r="D1166" i="4" s="1"/>
  <c r="D1270" i="4" s="1"/>
  <c r="G54" i="14"/>
  <c r="AJ60" i="14"/>
  <c r="AL60" i="14" s="1"/>
  <c r="G66" i="14"/>
  <c r="D66" i="4" s="1"/>
  <c r="D170" i="4" s="1"/>
  <c r="D274" i="4" s="1"/>
  <c r="D378" i="4" s="1"/>
  <c r="D482" i="4" s="1"/>
  <c r="D586" i="4" s="1"/>
  <c r="D690" i="4" s="1"/>
  <c r="D794" i="4" s="1"/>
  <c r="D898" i="4" s="1"/>
  <c r="D1002" i="4" s="1"/>
  <c r="D1106" i="4" s="1"/>
  <c r="D1210" i="4" s="1"/>
  <c r="D1314" i="4" s="1"/>
  <c r="J66" i="14"/>
  <c r="N66" i="14" s="1"/>
  <c r="N68" i="14"/>
  <c r="Z83" i="14"/>
  <c r="AA83" i="14" s="1"/>
  <c r="AH83" i="14" s="1"/>
  <c r="AI83" i="14" s="1"/>
  <c r="C83" i="19" s="1"/>
  <c r="G86" i="14"/>
  <c r="D86" i="4" s="1"/>
  <c r="D190" i="4" s="1"/>
  <c r="D294" i="4" s="1"/>
  <c r="D398" i="4" s="1"/>
  <c r="D502" i="4" s="1"/>
  <c r="D606" i="4" s="1"/>
  <c r="D710" i="4" s="1"/>
  <c r="D814" i="4" s="1"/>
  <c r="D918" i="4" s="1"/>
  <c r="D1022" i="4" s="1"/>
  <c r="D1126" i="4" s="1"/>
  <c r="D1230" i="4" s="1"/>
  <c r="D1334" i="4" s="1"/>
  <c r="AJ92" i="14"/>
  <c r="AL92" i="14" s="1"/>
  <c r="G98" i="14"/>
  <c r="D98" i="4" s="1"/>
  <c r="D202" i="4" s="1"/>
  <c r="D306" i="4" s="1"/>
  <c r="D410" i="4" s="1"/>
  <c r="D514" i="4" s="1"/>
  <c r="D618" i="4" s="1"/>
  <c r="D722" i="4" s="1"/>
  <c r="D826" i="4" s="1"/>
  <c r="D930" i="4" s="1"/>
  <c r="D1034" i="4" s="1"/>
  <c r="D1138" i="4" s="1"/>
  <c r="D1242" i="4" s="1"/>
  <c r="D1346" i="4" s="1"/>
  <c r="J98" i="14"/>
  <c r="N100" i="14"/>
  <c r="Z105" i="14"/>
  <c r="AA105" i="14" s="1"/>
  <c r="AJ15" i="8"/>
  <c r="AA23" i="14"/>
  <c r="Z67" i="14"/>
  <c r="AA67" i="14" s="1"/>
  <c r="G82" i="14"/>
  <c r="D82" i="4" s="1"/>
  <c r="D186" i="4" s="1"/>
  <c r="D290" i="4" s="1"/>
  <c r="D394" i="4" s="1"/>
  <c r="D498" i="4" s="1"/>
  <c r="D602" i="4" s="1"/>
  <c r="D706" i="4" s="1"/>
  <c r="D810" i="4" s="1"/>
  <c r="D914" i="4" s="1"/>
  <c r="D1018" i="4" s="1"/>
  <c r="D1122" i="4" s="1"/>
  <c r="D1226" i="4" s="1"/>
  <c r="D1330" i="4" s="1"/>
  <c r="J82" i="14"/>
  <c r="N82" i="14" s="1"/>
  <c r="AA87" i="14"/>
  <c r="J9" i="14"/>
  <c r="AJ9" i="14" s="1"/>
  <c r="AL9" i="14" s="1"/>
  <c r="N11" i="14"/>
  <c r="G12" i="14"/>
  <c r="D12" i="4" s="1"/>
  <c r="D116" i="4" s="1"/>
  <c r="D220" i="4" s="1"/>
  <c r="D324" i="4" s="1"/>
  <c r="D428" i="4" s="1"/>
  <c r="D532" i="4" s="1"/>
  <c r="D636" i="4" s="1"/>
  <c r="D740" i="4" s="1"/>
  <c r="D844" i="4" s="1"/>
  <c r="D948" i="4" s="1"/>
  <c r="D1052" i="4" s="1"/>
  <c r="D1156" i="4" s="1"/>
  <c r="D1260" i="4" s="1"/>
  <c r="N21" i="14"/>
  <c r="AJ28" i="14"/>
  <c r="AL28" i="14" s="1"/>
  <c r="G34" i="14"/>
  <c r="D34" i="4" s="1"/>
  <c r="D138" i="4" s="1"/>
  <c r="D242" i="4" s="1"/>
  <c r="D346" i="4" s="1"/>
  <c r="D450" i="4" s="1"/>
  <c r="D554" i="4" s="1"/>
  <c r="D658" i="4" s="1"/>
  <c r="D762" i="4" s="1"/>
  <c r="D866" i="4" s="1"/>
  <c r="D970" i="4" s="1"/>
  <c r="D1074" i="4" s="1"/>
  <c r="D1178" i="4" s="1"/>
  <c r="D1282" i="4" s="1"/>
  <c r="J34" i="14"/>
  <c r="N34" i="14" s="1"/>
  <c r="N36" i="14"/>
  <c r="Z41" i="14"/>
  <c r="AA41" i="14" s="1"/>
  <c r="Z51" i="14"/>
  <c r="AA51" i="14" s="1"/>
  <c r="Z73" i="14"/>
  <c r="AA73" i="14" s="1"/>
  <c r="C10" i="17"/>
  <c r="U119" i="16"/>
  <c r="AE119" i="16" s="1"/>
  <c r="DS39" i="5" s="1"/>
  <c r="X22" i="8"/>
  <c r="AM12" i="8"/>
  <c r="L12" i="8"/>
  <c r="BC12" i="8" s="1"/>
  <c r="AF15" i="8"/>
  <c r="AN15" i="8"/>
  <c r="AM16" i="8"/>
  <c r="L16" i="8"/>
  <c r="BC16" i="8" s="1"/>
  <c r="L20" i="8"/>
  <c r="BC20" i="8" s="1"/>
  <c r="AH20" i="8"/>
  <c r="AL20" i="8"/>
  <c r="AP20" i="8"/>
  <c r="F22" i="15"/>
  <c r="W112" i="16"/>
  <c r="K31" i="5" s="1"/>
  <c r="AA8" i="17"/>
  <c r="F8" i="17"/>
  <c r="C8" i="18" s="1"/>
  <c r="R8" i="17"/>
  <c r="C8" i="24" s="1"/>
  <c r="L8" i="17"/>
  <c r="C8" i="22" s="1"/>
  <c r="J7" i="14"/>
  <c r="AJ7" i="14" s="1"/>
  <c r="AL7" i="14" s="1"/>
  <c r="N9" i="14"/>
  <c r="J15" i="14"/>
  <c r="AJ16" i="14"/>
  <c r="AL16" i="14" s="1"/>
  <c r="AJ19" i="14"/>
  <c r="AL19" i="14" s="1"/>
  <c r="AJ20" i="14"/>
  <c r="AL20" i="14" s="1"/>
  <c r="AA25" i="14"/>
  <c r="N28" i="14"/>
  <c r="G36" i="14"/>
  <c r="D36" i="4" s="1"/>
  <c r="D140" i="4" s="1"/>
  <c r="D244" i="4" s="1"/>
  <c r="D348" i="4" s="1"/>
  <c r="D452" i="4" s="1"/>
  <c r="D556" i="4" s="1"/>
  <c r="D660" i="4" s="1"/>
  <c r="D764" i="4" s="1"/>
  <c r="D868" i="4" s="1"/>
  <c r="D972" i="4" s="1"/>
  <c r="D1076" i="4" s="1"/>
  <c r="D1180" i="4" s="1"/>
  <c r="D1284" i="4" s="1"/>
  <c r="Z39" i="14"/>
  <c r="AA39" i="14" s="1"/>
  <c r="AJ40" i="14"/>
  <c r="AL40" i="14" s="1"/>
  <c r="G40" i="19" s="1"/>
  <c r="N40" i="14"/>
  <c r="G48" i="14"/>
  <c r="D48" i="4" s="1"/>
  <c r="D152" i="4" s="1"/>
  <c r="D256" i="4" s="1"/>
  <c r="D360" i="4" s="1"/>
  <c r="D464" i="4" s="1"/>
  <c r="D568" i="4" s="1"/>
  <c r="D672" i="4" s="1"/>
  <c r="D776" i="4" s="1"/>
  <c r="D880" i="4" s="1"/>
  <c r="D984" i="4" s="1"/>
  <c r="D1088" i="4" s="1"/>
  <c r="D1192" i="4" s="1"/>
  <c r="D1296" i="4" s="1"/>
  <c r="J48" i="14"/>
  <c r="AA53" i="14"/>
  <c r="AH53" i="14" s="1"/>
  <c r="AI53" i="14" s="1"/>
  <c r="C53" i="19" s="1"/>
  <c r="Z53" i="14"/>
  <c r="AA57" i="14"/>
  <c r="N60" i="14"/>
  <c r="G68" i="14"/>
  <c r="D68" i="4" s="1"/>
  <c r="D172" i="4" s="1"/>
  <c r="D276" i="4" s="1"/>
  <c r="D380" i="4" s="1"/>
  <c r="D484" i="4" s="1"/>
  <c r="D588" i="4" s="1"/>
  <c r="D692" i="4" s="1"/>
  <c r="D796" i="4" s="1"/>
  <c r="D900" i="4" s="1"/>
  <c r="D1004" i="4" s="1"/>
  <c r="D1108" i="4" s="1"/>
  <c r="D1212" i="4" s="1"/>
  <c r="D1316" i="4" s="1"/>
  <c r="Z71" i="14"/>
  <c r="AA71" i="14" s="1"/>
  <c r="AJ72" i="14"/>
  <c r="AL72" i="14" s="1"/>
  <c r="N72" i="14"/>
  <c r="G80" i="14"/>
  <c r="D80" i="4" s="1"/>
  <c r="D184" i="4" s="1"/>
  <c r="D288" i="4" s="1"/>
  <c r="D392" i="4" s="1"/>
  <c r="D496" i="4" s="1"/>
  <c r="D600" i="4" s="1"/>
  <c r="D704" i="4" s="1"/>
  <c r="D808" i="4" s="1"/>
  <c r="D912" i="4" s="1"/>
  <c r="D1016" i="4" s="1"/>
  <c r="D1120" i="4" s="1"/>
  <c r="D1224" i="4" s="1"/>
  <c r="D1328" i="4" s="1"/>
  <c r="J80" i="14"/>
  <c r="Z85" i="14"/>
  <c r="AA85" i="14" s="1"/>
  <c r="AA89" i="14"/>
  <c r="N92" i="14"/>
  <c r="G100" i="14"/>
  <c r="D100" i="4" s="1"/>
  <c r="D204" i="4" s="1"/>
  <c r="D308" i="4" s="1"/>
  <c r="D412" i="4" s="1"/>
  <c r="D516" i="4" s="1"/>
  <c r="D620" i="4" s="1"/>
  <c r="D724" i="4" s="1"/>
  <c r="D828" i="4" s="1"/>
  <c r="D932" i="4" s="1"/>
  <c r="D1036" i="4" s="1"/>
  <c r="D1140" i="4" s="1"/>
  <c r="D1244" i="4" s="1"/>
  <c r="D1348" i="4" s="1"/>
  <c r="Z103" i="14"/>
  <c r="AA103" i="14" s="1"/>
  <c r="U103" i="16" s="1"/>
  <c r="AJ104" i="14"/>
  <c r="AL104" i="14" s="1"/>
  <c r="AO104" i="14" s="1"/>
  <c r="N104" i="14"/>
  <c r="C9" i="20"/>
  <c r="S7" i="15"/>
  <c r="J22" i="15"/>
  <c r="AZ100" i="19"/>
  <c r="AF116" i="16"/>
  <c r="EG36" i="5" s="1"/>
  <c r="M107" i="14"/>
  <c r="N8" i="14"/>
  <c r="N10" i="14"/>
  <c r="N12" i="14"/>
  <c r="N14" i="14"/>
  <c r="N16" i="14"/>
  <c r="N18" i="14"/>
  <c r="N20" i="14"/>
  <c r="N22" i="14"/>
  <c r="AA27" i="14"/>
  <c r="AA29" i="14"/>
  <c r="AA43" i="14"/>
  <c r="AA45" i="14"/>
  <c r="AA59" i="14"/>
  <c r="AA61" i="14"/>
  <c r="AA75" i="14"/>
  <c r="AA77" i="14"/>
  <c r="AA91" i="14"/>
  <c r="AA93" i="14"/>
  <c r="T22" i="8"/>
  <c r="AO13" i="8"/>
  <c r="L13" i="8"/>
  <c r="AF16" i="8"/>
  <c r="AJ16" i="8"/>
  <c r="AN16" i="8"/>
  <c r="L17" i="8"/>
  <c r="AH17" i="8"/>
  <c r="AL17" i="8"/>
  <c r="AP17" i="8"/>
  <c r="L18" i="8"/>
  <c r="AH18" i="8"/>
  <c r="AL18" i="8"/>
  <c r="AP18" i="8"/>
  <c r="K16" i="15"/>
  <c r="K13" i="15"/>
  <c r="X116" i="16"/>
  <c r="Y36" i="5" s="1"/>
  <c r="R107" i="19"/>
  <c r="AZ26" i="19"/>
  <c r="AZ42" i="19"/>
  <c r="AZ58" i="19"/>
  <c r="AZ74" i="19"/>
  <c r="AZ90" i="19"/>
  <c r="M5" i="68"/>
  <c r="FA10" i="5"/>
  <c r="DY10" i="5"/>
  <c r="CW10" i="5"/>
  <c r="BU10" i="5"/>
  <c r="AS10" i="5"/>
  <c r="Q10" i="5"/>
  <c r="FO10" i="5"/>
  <c r="EM10" i="5"/>
  <c r="DK10" i="5"/>
  <c r="CI10" i="5"/>
  <c r="BG10" i="5"/>
  <c r="AE10" i="5"/>
  <c r="AA31" i="14"/>
  <c r="AA33" i="14"/>
  <c r="AA47" i="14"/>
  <c r="U47" i="16" s="1"/>
  <c r="AA49" i="14"/>
  <c r="AA63" i="14"/>
  <c r="AA65" i="14"/>
  <c r="AA79" i="14"/>
  <c r="AA81" i="14"/>
  <c r="AA95" i="14"/>
  <c r="AA97" i="14"/>
  <c r="K22" i="8"/>
  <c r="K23" i="8" s="1"/>
  <c r="J23" i="8" s="1"/>
  <c r="S22" i="8"/>
  <c r="W22" i="8"/>
  <c r="AA22" i="8"/>
  <c r="R22" i="8"/>
  <c r="V22" i="8"/>
  <c r="Z22" i="8"/>
  <c r="AH12" i="8"/>
  <c r="AL12" i="8"/>
  <c r="AP12" i="8"/>
  <c r="AH15" i="8"/>
  <c r="AL15" i="8"/>
  <c r="AP15" i="8"/>
  <c r="AO21" i="8"/>
  <c r="L21" i="8"/>
  <c r="F16" i="15"/>
  <c r="J16" i="15"/>
  <c r="N16" i="15"/>
  <c r="G16" i="15"/>
  <c r="AE116" i="16"/>
  <c r="DS36" i="5" s="1"/>
  <c r="AB116" i="16"/>
  <c r="CC36" i="5" s="1"/>
  <c r="CE36" i="5" s="1"/>
  <c r="AG122" i="16"/>
  <c r="EU42" i="5" s="1"/>
  <c r="AE122" i="16"/>
  <c r="DS42" i="5" s="1"/>
  <c r="X122" i="16"/>
  <c r="Y42" i="5" s="1"/>
  <c r="U132" i="16"/>
  <c r="AT25" i="5"/>
  <c r="CH33" i="5"/>
  <c r="CC18" i="62"/>
  <c r="CE49" i="5"/>
  <c r="FA12" i="62"/>
  <c r="BU12" i="62"/>
  <c r="Q12" i="62"/>
  <c r="AM9" i="8"/>
  <c r="AF12" i="8"/>
  <c r="AJ12" i="8"/>
  <c r="AN12" i="8"/>
  <c r="AL13" i="8"/>
  <c r="AP13" i="8"/>
  <c r="AM14" i="8"/>
  <c r="AH16" i="8"/>
  <c r="AL16" i="8"/>
  <c r="AP16" i="8"/>
  <c r="AF17" i="8"/>
  <c r="AJ17" i="8"/>
  <c r="AN17" i="8"/>
  <c r="AF20" i="8"/>
  <c r="AJ20" i="8"/>
  <c r="AN20" i="8"/>
  <c r="AH21" i="8"/>
  <c r="AL21" i="8"/>
  <c r="AP21" i="8"/>
  <c r="E21" i="15"/>
  <c r="I21" i="15"/>
  <c r="M21" i="15"/>
  <c r="Q21" i="15"/>
  <c r="AZ25" i="19"/>
  <c r="AZ33" i="19"/>
  <c r="AZ41" i="19"/>
  <c r="AZ49" i="19"/>
  <c r="AZ57" i="19"/>
  <c r="AZ65" i="19"/>
  <c r="AZ73" i="19"/>
  <c r="AZ81" i="19"/>
  <c r="AZ89" i="19"/>
  <c r="AZ97" i="19"/>
  <c r="AF19" i="5"/>
  <c r="AF20" i="5"/>
  <c r="AT20" i="5" s="1"/>
  <c r="BH20" i="5" s="1"/>
  <c r="BV20" i="5" s="1"/>
  <c r="CJ20" i="5" s="1"/>
  <c r="CX20" i="5" s="1"/>
  <c r="DL20" i="5" s="1"/>
  <c r="DZ20" i="5" s="1"/>
  <c r="EN20" i="5" s="1"/>
  <c r="FB20" i="5" s="1"/>
  <c r="FP20" i="5" s="1"/>
  <c r="AF27" i="5"/>
  <c r="AF54" i="5"/>
  <c r="AT54" i="5" s="1"/>
  <c r="AF61" i="5"/>
  <c r="AF22" i="62"/>
  <c r="AT22" i="62" s="1"/>
  <c r="BH22" i="62" s="1"/>
  <c r="AF25" i="62"/>
  <c r="AF27" i="62"/>
  <c r="AF30" i="62"/>
  <c r="AF32" i="62"/>
  <c r="AZ17" i="19"/>
  <c r="AZ29" i="19"/>
  <c r="AZ37" i="19"/>
  <c r="AZ45" i="19"/>
  <c r="AZ53" i="19"/>
  <c r="AZ61" i="19"/>
  <c r="AZ69" i="19"/>
  <c r="AZ77" i="19"/>
  <c r="AZ85" i="19"/>
  <c r="AZ101" i="19"/>
  <c r="AF14" i="5"/>
  <c r="AT14" i="5" s="1"/>
  <c r="AF17" i="5"/>
  <c r="AF45" i="5"/>
  <c r="AF50" i="5"/>
  <c r="AT50" i="5" s="1"/>
  <c r="BH50" i="5" s="1"/>
  <c r="AF52" i="5"/>
  <c r="AF34" i="62"/>
  <c r="AT34" i="62" s="1"/>
  <c r="X13" i="17"/>
  <c r="C13" i="26" s="1"/>
  <c r="L45" i="20"/>
  <c r="L47" i="20"/>
  <c r="L48" i="20" s="1"/>
  <c r="X413" i="45"/>
  <c r="Z414" i="45"/>
  <c r="X417" i="45"/>
  <c r="Z436" i="45"/>
  <c r="Z438" i="45"/>
  <c r="Z440" i="45"/>
  <c r="W487" i="45"/>
  <c r="W491" i="45"/>
  <c r="AH1255" i="4"/>
  <c r="AH1257" i="4"/>
  <c r="AH1259" i="4"/>
  <c r="AH1261" i="4"/>
  <c r="AH1263" i="4"/>
  <c r="AH1265" i="4"/>
  <c r="AH1267" i="4"/>
  <c r="AH1269" i="4"/>
  <c r="AH1271" i="4"/>
  <c r="AH1273" i="4"/>
  <c r="AH1275" i="4"/>
  <c r="AH1277" i="4"/>
  <c r="AH1279" i="4"/>
  <c r="AH1281" i="4"/>
  <c r="AH1283" i="4"/>
  <c r="AH1285" i="4"/>
  <c r="AH1287" i="4"/>
  <c r="AH1289" i="4"/>
  <c r="AH1291" i="4"/>
  <c r="AH1293" i="4"/>
  <c r="AH1295" i="4"/>
  <c r="AH1297" i="4"/>
  <c r="AH1299" i="4"/>
  <c r="AH1301" i="4"/>
  <c r="AH1303" i="4"/>
  <c r="AH1305" i="4"/>
  <c r="AH1307" i="4"/>
  <c r="AH1325" i="4"/>
  <c r="AH1327" i="4"/>
  <c r="AH1329" i="4"/>
  <c r="AH1331" i="4"/>
  <c r="AH1333" i="4"/>
  <c r="AH1335" i="4"/>
  <c r="AH1337" i="4"/>
  <c r="AH1339" i="4"/>
  <c r="AH1341" i="4"/>
  <c r="AH1343" i="4"/>
  <c r="AH1353" i="4"/>
  <c r="H4" i="18"/>
  <c r="H6" i="18"/>
  <c r="H8" i="18"/>
  <c r="H10" i="18"/>
  <c r="H12" i="18"/>
  <c r="H14" i="18"/>
  <c r="H5" i="21"/>
  <c r="H7" i="21"/>
  <c r="H9" i="21"/>
  <c r="H11" i="21"/>
  <c r="H4" i="22"/>
  <c r="H6" i="22"/>
  <c r="H8" i="22"/>
  <c r="H10" i="22"/>
  <c r="H12" i="22"/>
  <c r="H14" i="22"/>
  <c r="D44" i="28"/>
  <c r="X412" i="45"/>
  <c r="Z413" i="45"/>
  <c r="X416" i="45"/>
  <c r="Z417" i="45"/>
  <c r="X437" i="45"/>
  <c r="X439" i="45"/>
  <c r="X441" i="45"/>
  <c r="V488" i="45"/>
  <c r="V492" i="45"/>
  <c r="Z412" i="45"/>
  <c r="V414" i="45"/>
  <c r="X415" i="45"/>
  <c r="Z416" i="45"/>
  <c r="X418" i="45"/>
  <c r="X435" i="45"/>
  <c r="Z437" i="45"/>
  <c r="Z439" i="45"/>
  <c r="Z441" i="45"/>
  <c r="W489" i="45"/>
  <c r="W493" i="45"/>
  <c r="X505" i="45"/>
  <c r="Y505" i="45" s="1"/>
  <c r="AH107" i="4"/>
  <c r="C4" i="12" s="1"/>
  <c r="AH315" i="4"/>
  <c r="G4" i="12" s="1"/>
  <c r="AH835" i="4"/>
  <c r="Q4" i="12" s="1"/>
  <c r="AH1256" i="4"/>
  <c r="AH1258" i="4"/>
  <c r="AH1260" i="4"/>
  <c r="AH1262" i="4"/>
  <c r="AH1264" i="4"/>
  <c r="AH1266" i="4"/>
  <c r="AH1268" i="4"/>
  <c r="AH1270" i="4"/>
  <c r="AH1272" i="4"/>
  <c r="AH1274" i="4"/>
  <c r="AH1276" i="4"/>
  <c r="AH1278" i="4"/>
  <c r="AH1280" i="4"/>
  <c r="AH1282" i="4"/>
  <c r="AH1284" i="4"/>
  <c r="AH1286" i="4"/>
  <c r="AH1288" i="4"/>
  <c r="AH1290" i="4"/>
  <c r="AH1292" i="4"/>
  <c r="AH1294" i="4"/>
  <c r="AH1296" i="4"/>
  <c r="AH1298" i="4"/>
  <c r="AH1300" i="4"/>
  <c r="AH1302" i="4"/>
  <c r="AH1304" i="4"/>
  <c r="AH1306" i="4"/>
  <c r="AH1324" i="4"/>
  <c r="AH1326" i="4"/>
  <c r="AH1328" i="4"/>
  <c r="AH1330" i="4"/>
  <c r="AH1332" i="4"/>
  <c r="AH1334" i="4"/>
  <c r="AH1336" i="4"/>
  <c r="AH1338" i="4"/>
  <c r="AH1340" i="4"/>
  <c r="AH1342" i="4"/>
  <c r="AH1344" i="4"/>
  <c r="AH1352" i="4"/>
  <c r="AH1354" i="4"/>
  <c r="H5" i="18"/>
  <c r="H7" i="18"/>
  <c r="H9" i="18"/>
  <c r="H11" i="18"/>
  <c r="H13" i="18"/>
  <c r="H15" i="18"/>
  <c r="H4" i="21"/>
  <c r="H6" i="21"/>
  <c r="H8" i="21"/>
  <c r="H10" i="21"/>
  <c r="H5" i="22"/>
  <c r="H7" i="22"/>
  <c r="H9" i="22"/>
  <c r="H11" i="22"/>
  <c r="H13" i="22"/>
  <c r="F13" i="22" s="1"/>
  <c r="H15" i="22"/>
  <c r="F24" i="20"/>
  <c r="F27" i="20" s="1"/>
  <c r="D54" i="20"/>
  <c r="C88" i="20"/>
  <c r="D88" i="20" s="1"/>
  <c r="F104" i="20"/>
  <c r="F107" i="20" s="1"/>
  <c r="B16" i="11"/>
  <c r="B24" i="11" s="1"/>
  <c r="X411" i="45"/>
  <c r="Z415" i="45"/>
  <c r="X436" i="45"/>
  <c r="X438" i="45"/>
  <c r="X440" i="45"/>
  <c r="V486" i="45"/>
  <c r="V490" i="45"/>
  <c r="V494" i="45"/>
  <c r="L95" i="20"/>
  <c r="L96" i="20" s="1"/>
  <c r="AF122" i="16"/>
  <c r="EG42" i="5" s="1"/>
  <c r="F13" i="17"/>
  <c r="R13" i="17"/>
  <c r="C13" i="24" s="1"/>
  <c r="W122" i="16"/>
  <c r="K42" i="5" s="1"/>
  <c r="R42" i="5" s="1"/>
  <c r="AB122" i="16"/>
  <c r="CC42" i="5" s="1"/>
  <c r="CE42" i="5" s="1"/>
  <c r="AH122" i="16"/>
  <c r="FI42" i="5" s="1"/>
  <c r="D38" i="20"/>
  <c r="C24" i="20"/>
  <c r="C27" i="20" s="1"/>
  <c r="C104" i="20"/>
  <c r="U115" i="16"/>
  <c r="AE115" i="16" s="1"/>
  <c r="DS35" i="5" s="1"/>
  <c r="AY107" i="19"/>
  <c r="W107" i="14"/>
  <c r="O107" i="14"/>
  <c r="Y24" i="14"/>
  <c r="W24" i="14" s="1"/>
  <c r="Y28" i="14"/>
  <c r="W28" i="14" s="1"/>
  <c r="Y32" i="14"/>
  <c r="W32" i="14" s="1"/>
  <c r="Y36" i="14"/>
  <c r="W36" i="14" s="1"/>
  <c r="Y40" i="14"/>
  <c r="W40" i="14" s="1"/>
  <c r="Y44" i="14"/>
  <c r="W44" i="14" s="1"/>
  <c r="Y48" i="14"/>
  <c r="W48" i="14" s="1"/>
  <c r="Y52" i="14"/>
  <c r="W52" i="14" s="1"/>
  <c r="Y56" i="14"/>
  <c r="W56" i="14" s="1"/>
  <c r="Y60" i="14"/>
  <c r="W60" i="14" s="1"/>
  <c r="Y64" i="14"/>
  <c r="W64" i="14" s="1"/>
  <c r="Y68" i="14"/>
  <c r="W68" i="14" s="1"/>
  <c r="Y72" i="14"/>
  <c r="W72" i="14" s="1"/>
  <c r="Y76" i="14"/>
  <c r="W76" i="14" s="1"/>
  <c r="Y80" i="14"/>
  <c r="W80" i="14" s="1"/>
  <c r="Y84" i="14"/>
  <c r="W84" i="14" s="1"/>
  <c r="Y88" i="14"/>
  <c r="W88" i="14" s="1"/>
  <c r="Y92" i="14"/>
  <c r="W92" i="14" s="1"/>
  <c r="Y96" i="14"/>
  <c r="W96" i="14" s="1"/>
  <c r="Y100" i="14"/>
  <c r="W100" i="14" s="1"/>
  <c r="Y104" i="14"/>
  <c r="W104" i="14" s="1"/>
  <c r="W496" i="45"/>
  <c r="G107" i="16"/>
  <c r="Y107" i="16"/>
  <c r="AM26" i="62" s="1"/>
  <c r="AO26" i="62" s="1"/>
  <c r="K107" i="16"/>
  <c r="AC107" i="16"/>
  <c r="CQ26" i="62" s="1"/>
  <c r="O107" i="16"/>
  <c r="AG107" i="16"/>
  <c r="EU26" i="62" s="1"/>
  <c r="U29" i="16"/>
  <c r="AH29" i="14"/>
  <c r="AI29" i="14" s="1"/>
  <c r="C29" i="19" s="1"/>
  <c r="U33" i="16"/>
  <c r="AH33" i="14"/>
  <c r="AI33" i="14" s="1"/>
  <c r="C33" i="19" s="1"/>
  <c r="AO40" i="14"/>
  <c r="G8" i="19"/>
  <c r="AO8" i="14"/>
  <c r="G16" i="19"/>
  <c r="AO16" i="14"/>
  <c r="AO20" i="14"/>
  <c r="G20" i="19"/>
  <c r="K31" i="14"/>
  <c r="N31" i="14"/>
  <c r="K25" i="14"/>
  <c r="N25" i="14"/>
  <c r="K29" i="14"/>
  <c r="N29" i="14"/>
  <c r="K33" i="14"/>
  <c r="N33" i="14"/>
  <c r="K37" i="14"/>
  <c r="N37" i="14"/>
  <c r="K41" i="14"/>
  <c r="N41" i="14"/>
  <c r="K45" i="14"/>
  <c r="N45" i="14"/>
  <c r="K49" i="14"/>
  <c r="N49" i="14"/>
  <c r="K53" i="14"/>
  <c r="N53" i="14"/>
  <c r="K57" i="14"/>
  <c r="N57" i="14"/>
  <c r="K61" i="14"/>
  <c r="N61" i="14"/>
  <c r="K65" i="14"/>
  <c r="N65" i="14"/>
  <c r="K69" i="14"/>
  <c r="N69" i="14"/>
  <c r="K73" i="14"/>
  <c r="N73" i="14"/>
  <c r="K77" i="14"/>
  <c r="N77" i="14"/>
  <c r="K81" i="14"/>
  <c r="N81" i="14"/>
  <c r="K85" i="14"/>
  <c r="N85" i="14"/>
  <c r="K89" i="14"/>
  <c r="N89" i="14"/>
  <c r="K93" i="14"/>
  <c r="N93" i="14"/>
  <c r="K97" i="14"/>
  <c r="N97" i="14"/>
  <c r="K101" i="14"/>
  <c r="N101" i="14"/>
  <c r="K105" i="14"/>
  <c r="N105" i="14"/>
  <c r="E181" i="16"/>
  <c r="U160" i="16"/>
  <c r="AB160" i="16" s="1"/>
  <c r="W9" i="20" s="1"/>
  <c r="E183" i="16"/>
  <c r="AF162" i="16"/>
  <c r="AB162" i="16"/>
  <c r="X162" i="16"/>
  <c r="AE162" i="16"/>
  <c r="AA162" i="16"/>
  <c r="W162" i="16"/>
  <c r="AH162" i="16"/>
  <c r="AD162" i="16"/>
  <c r="Z162" i="16"/>
  <c r="AG162" i="16"/>
  <c r="AC162" i="16"/>
  <c r="Y162" i="16"/>
  <c r="U162" i="16"/>
  <c r="E185" i="16"/>
  <c r="AF164" i="16"/>
  <c r="AB164" i="16"/>
  <c r="X164" i="16"/>
  <c r="AE164" i="16"/>
  <c r="AA164" i="16"/>
  <c r="W164" i="16"/>
  <c r="AH164" i="16"/>
  <c r="AD164" i="16"/>
  <c r="Z164" i="16"/>
  <c r="AG164" i="16"/>
  <c r="AC164" i="16"/>
  <c r="Y164" i="16"/>
  <c r="U164" i="16"/>
  <c r="E187" i="16"/>
  <c r="AF166" i="16"/>
  <c r="AB166" i="16"/>
  <c r="X166" i="16"/>
  <c r="AE166" i="16"/>
  <c r="AA166" i="16"/>
  <c r="W166" i="16"/>
  <c r="AH166" i="16"/>
  <c r="AD166" i="16"/>
  <c r="Z166" i="16"/>
  <c r="AG166" i="16"/>
  <c r="AC166" i="16"/>
  <c r="Y166" i="16"/>
  <c r="U166" i="16"/>
  <c r="E189" i="16"/>
  <c r="AF168" i="16"/>
  <c r="AB168" i="16"/>
  <c r="X168" i="16"/>
  <c r="AE168" i="16"/>
  <c r="AA168" i="16"/>
  <c r="W168" i="16"/>
  <c r="AH168" i="16"/>
  <c r="AD168" i="16"/>
  <c r="Z168" i="16"/>
  <c r="AG168" i="16"/>
  <c r="AC168" i="16"/>
  <c r="Y168" i="16"/>
  <c r="U168" i="16"/>
  <c r="E191" i="16"/>
  <c r="AF170" i="16"/>
  <c r="AB170" i="16"/>
  <c r="X170" i="16"/>
  <c r="AE170" i="16"/>
  <c r="AA170" i="16"/>
  <c r="W170" i="16"/>
  <c r="AH170" i="16"/>
  <c r="AD170" i="16"/>
  <c r="Z170" i="16"/>
  <c r="AG170" i="16"/>
  <c r="AC170" i="16"/>
  <c r="Y170" i="16"/>
  <c r="U170" i="16"/>
  <c r="E193" i="16"/>
  <c r="AF172" i="16"/>
  <c r="AB172" i="16"/>
  <c r="X172" i="16"/>
  <c r="AE172" i="16"/>
  <c r="AA172" i="16"/>
  <c r="W172" i="16"/>
  <c r="AH172" i="16"/>
  <c r="AD172" i="16"/>
  <c r="Z172" i="16"/>
  <c r="AG172" i="16"/>
  <c r="AC172" i="16"/>
  <c r="Y172" i="16"/>
  <c r="U172" i="16"/>
  <c r="AO7" i="14"/>
  <c r="G7" i="19"/>
  <c r="G9" i="19"/>
  <c r="AO9" i="14"/>
  <c r="AO11" i="14"/>
  <c r="G11" i="19"/>
  <c r="G13" i="19"/>
  <c r="AO13" i="14"/>
  <c r="G17" i="19"/>
  <c r="AO17" i="14"/>
  <c r="AO19" i="14"/>
  <c r="G19" i="19"/>
  <c r="G21" i="19"/>
  <c r="AO21" i="14"/>
  <c r="U23" i="16"/>
  <c r="AH23" i="14"/>
  <c r="AI23" i="14" s="1"/>
  <c r="C23" i="19" s="1"/>
  <c r="AH27" i="14"/>
  <c r="U31" i="16"/>
  <c r="AH31" i="14"/>
  <c r="AI31" i="14" s="1"/>
  <c r="C31" i="19" s="1"/>
  <c r="U43" i="16"/>
  <c r="AH43" i="14"/>
  <c r="AI43" i="14" s="1"/>
  <c r="C43" i="19" s="1"/>
  <c r="AH47" i="14"/>
  <c r="AI47" i="14" s="1"/>
  <c r="C47" i="19" s="1"/>
  <c r="U63" i="16"/>
  <c r="AH63" i="14"/>
  <c r="U71" i="16"/>
  <c r="U75" i="16"/>
  <c r="AH75" i="14"/>
  <c r="AI75" i="14" s="1"/>
  <c r="C75" i="19" s="1"/>
  <c r="U83" i="16"/>
  <c r="U91" i="16"/>
  <c r="U95" i="16"/>
  <c r="AH95" i="14"/>
  <c r="AH103" i="14"/>
  <c r="G44" i="19"/>
  <c r="AO44" i="14"/>
  <c r="U45" i="16"/>
  <c r="AH45" i="14"/>
  <c r="U49" i="16"/>
  <c r="AH49" i="14"/>
  <c r="AI49" i="14" s="1"/>
  <c r="C49" i="19" s="1"/>
  <c r="U53" i="16"/>
  <c r="G56" i="19"/>
  <c r="AO56" i="14"/>
  <c r="U57" i="16"/>
  <c r="AH57" i="14"/>
  <c r="AI57" i="14" s="1"/>
  <c r="C57" i="19" s="1"/>
  <c r="G60" i="19"/>
  <c r="AO60" i="14"/>
  <c r="U61" i="16"/>
  <c r="AI61" i="14"/>
  <c r="C61" i="19" s="1"/>
  <c r="AH61" i="14"/>
  <c r="U65" i="16"/>
  <c r="AH65" i="14"/>
  <c r="AI65" i="14" s="1"/>
  <c r="C65" i="19" s="1"/>
  <c r="G72" i="19"/>
  <c r="AO72" i="14"/>
  <c r="G76" i="19"/>
  <c r="AO76" i="14"/>
  <c r="U77" i="16"/>
  <c r="AH77" i="14"/>
  <c r="AI77" i="14" s="1"/>
  <c r="C77" i="19" s="1"/>
  <c r="U81" i="16"/>
  <c r="AH81" i="14"/>
  <c r="AI81" i="14" s="1"/>
  <c r="C81" i="19" s="1"/>
  <c r="G88" i="19"/>
  <c r="AO88" i="14"/>
  <c r="G92" i="19"/>
  <c r="AO92" i="14"/>
  <c r="U93" i="16"/>
  <c r="AH93" i="14"/>
  <c r="U97" i="16"/>
  <c r="AH97" i="14"/>
  <c r="AI97" i="14" s="1"/>
  <c r="C97" i="19" s="1"/>
  <c r="G104" i="19"/>
  <c r="AF109" i="14"/>
  <c r="G28" i="19"/>
  <c r="AO28" i="14"/>
  <c r="N43" i="14"/>
  <c r="K43" i="14"/>
  <c r="K47" i="14"/>
  <c r="N47" i="14"/>
  <c r="N51" i="14"/>
  <c r="K51" i="14"/>
  <c r="N71" i="14"/>
  <c r="K71" i="14"/>
  <c r="N83" i="14"/>
  <c r="K83" i="14"/>
  <c r="K87" i="14"/>
  <c r="N87" i="14"/>
  <c r="N91" i="14"/>
  <c r="K91" i="14"/>
  <c r="N95" i="14"/>
  <c r="K95" i="14"/>
  <c r="N99" i="14"/>
  <c r="K99" i="14"/>
  <c r="N103" i="14"/>
  <c r="K103" i="14"/>
  <c r="T22" i="14"/>
  <c r="AJ22" i="14"/>
  <c r="AL22" i="14" s="1"/>
  <c r="C1167" i="4"/>
  <c r="C1063" i="4"/>
  <c r="C959" i="4"/>
  <c r="C855" i="4"/>
  <c r="C751" i="4"/>
  <c r="C647" i="4"/>
  <c r="C543" i="4"/>
  <c r="C439" i="4"/>
  <c r="C335" i="4"/>
  <c r="C231" i="4"/>
  <c r="C127" i="4"/>
  <c r="C23" i="4"/>
  <c r="C1171" i="4"/>
  <c r="C1067" i="4"/>
  <c r="C963" i="4"/>
  <c r="C859" i="4"/>
  <c r="C755" i="4"/>
  <c r="C651" i="4"/>
  <c r="C547" i="4"/>
  <c r="C443" i="4"/>
  <c r="C339" i="4"/>
  <c r="C235" i="4"/>
  <c r="C131" i="4"/>
  <c r="C27" i="4"/>
  <c r="C1183" i="4"/>
  <c r="C1079" i="4"/>
  <c r="C975" i="4"/>
  <c r="C871" i="4"/>
  <c r="C767" i="4"/>
  <c r="C663" i="4"/>
  <c r="C559" i="4"/>
  <c r="C455" i="4"/>
  <c r="C351" i="4"/>
  <c r="C247" i="4"/>
  <c r="C143" i="4"/>
  <c r="C39" i="4"/>
  <c r="AA54" i="14"/>
  <c r="C1199" i="4"/>
  <c r="C1095" i="4"/>
  <c r="C991" i="4"/>
  <c r="C887" i="4"/>
  <c r="C783" i="4"/>
  <c r="C679" i="4"/>
  <c r="C575" i="4"/>
  <c r="C471" i="4"/>
  <c r="C367" i="4"/>
  <c r="C263" i="4"/>
  <c r="C159" i="4"/>
  <c r="C55" i="4"/>
  <c r="AA58" i="14"/>
  <c r="AJ58" i="14"/>
  <c r="AL58" i="14" s="1"/>
  <c r="AA62" i="14"/>
  <c r="AJ62" i="14"/>
  <c r="AL62" i="14" s="1"/>
  <c r="C1211" i="4"/>
  <c r="C1107" i="4"/>
  <c r="C1003" i="4"/>
  <c r="C899" i="4"/>
  <c r="C795" i="4"/>
  <c r="C691" i="4"/>
  <c r="C587" i="4"/>
  <c r="C483" i="4"/>
  <c r="C379" i="4"/>
  <c r="C275" i="4"/>
  <c r="C171" i="4"/>
  <c r="C67" i="4"/>
  <c r="AA70" i="14"/>
  <c r="AJ70" i="14"/>
  <c r="AL70" i="14" s="1"/>
  <c r="AA74" i="14"/>
  <c r="AJ74" i="14"/>
  <c r="AL74" i="14" s="1"/>
  <c r="C1223" i="4"/>
  <c r="C1119" i="4"/>
  <c r="C1015" i="4"/>
  <c r="C911" i="4"/>
  <c r="C807" i="4"/>
  <c r="C703" i="4"/>
  <c r="C599" i="4"/>
  <c r="C391" i="4"/>
  <c r="C287" i="4"/>
  <c r="C495" i="4"/>
  <c r="C183" i="4"/>
  <c r="C79" i="4"/>
  <c r="I2" i="29"/>
  <c r="G3" i="29"/>
  <c r="H4" i="29"/>
  <c r="B2" i="20"/>
  <c r="A601" i="45"/>
  <c r="A503" i="45"/>
  <c r="A405" i="45"/>
  <c r="A203" i="45"/>
  <c r="A1" i="45"/>
  <c r="A552" i="45"/>
  <c r="A354" i="45"/>
  <c r="A152" i="45"/>
  <c r="A305" i="45"/>
  <c r="A101" i="45"/>
  <c r="A650" i="45"/>
  <c r="A454" i="45"/>
  <c r="A254" i="45"/>
  <c r="A50" i="45"/>
  <c r="B2" i="64"/>
  <c r="D1" i="60"/>
  <c r="D1" i="58"/>
  <c r="D1" i="56"/>
  <c r="D1" i="54"/>
  <c r="D1" i="52"/>
  <c r="D1" i="50"/>
  <c r="D1" i="61"/>
  <c r="D1" i="59"/>
  <c r="D1" i="57"/>
  <c r="D1" i="55"/>
  <c r="D1" i="53"/>
  <c r="D1" i="51"/>
  <c r="A1" i="49"/>
  <c r="G2" i="63"/>
  <c r="C1150" i="4"/>
  <c r="C1046" i="4"/>
  <c r="C942" i="4"/>
  <c r="C838" i="4"/>
  <c r="C734" i="4"/>
  <c r="C630" i="4"/>
  <c r="C526" i="4"/>
  <c r="C422" i="4"/>
  <c r="C318" i="4"/>
  <c r="C214" i="4"/>
  <c r="C110" i="4"/>
  <c r="C6" i="4"/>
  <c r="K6" i="14"/>
  <c r="T6" i="14"/>
  <c r="C1151" i="4"/>
  <c r="C1047" i="4"/>
  <c r="C943" i="4"/>
  <c r="C839" i="4"/>
  <c r="C735" i="4"/>
  <c r="C631" i="4"/>
  <c r="C527" i="4"/>
  <c r="C423" i="4"/>
  <c r="C319" i="4"/>
  <c r="C215" i="4"/>
  <c r="C111" i="4"/>
  <c r="C7" i="4"/>
  <c r="K7" i="14"/>
  <c r="T7" i="14"/>
  <c r="C1152" i="4"/>
  <c r="C1048" i="4"/>
  <c r="C944" i="4"/>
  <c r="C840" i="4"/>
  <c r="C736" i="4"/>
  <c r="C632" i="4"/>
  <c r="C528" i="4"/>
  <c r="C424" i="4"/>
  <c r="C320" i="4"/>
  <c r="C216" i="4"/>
  <c r="C112" i="4"/>
  <c r="C8" i="4"/>
  <c r="K8" i="14"/>
  <c r="T8" i="14"/>
  <c r="C1153" i="4"/>
  <c r="C1049" i="4"/>
  <c r="C945" i="4"/>
  <c r="C841" i="4"/>
  <c r="C737" i="4"/>
  <c r="C633" i="4"/>
  <c r="C529" i="4"/>
  <c r="C425" i="4"/>
  <c r="C321" i="4"/>
  <c r="C217" i="4"/>
  <c r="C113" i="4"/>
  <c r="C9" i="4"/>
  <c r="K9" i="14"/>
  <c r="T9" i="14"/>
  <c r="C1154" i="4"/>
  <c r="C1050" i="4"/>
  <c r="C946" i="4"/>
  <c r="C842" i="4"/>
  <c r="C738" i="4"/>
  <c r="C634" i="4"/>
  <c r="C530" i="4"/>
  <c r="C426" i="4"/>
  <c r="C322" i="4"/>
  <c r="C218" i="4"/>
  <c r="C114" i="4"/>
  <c r="C10" i="4"/>
  <c r="K10" i="14"/>
  <c r="T10" i="14"/>
  <c r="C1155" i="4"/>
  <c r="C1051" i="4"/>
  <c r="C947" i="4"/>
  <c r="C843" i="4"/>
  <c r="C739" i="4"/>
  <c r="C635" i="4"/>
  <c r="C531" i="4"/>
  <c r="C427" i="4"/>
  <c r="C323" i="4"/>
  <c r="C219" i="4"/>
  <c r="C115" i="4"/>
  <c r="C11" i="4"/>
  <c r="K11" i="14"/>
  <c r="T11" i="14"/>
  <c r="C1156" i="4"/>
  <c r="C1052" i="4"/>
  <c r="C948" i="4"/>
  <c r="C844" i="4"/>
  <c r="C740" i="4"/>
  <c r="C636" i="4"/>
  <c r="C532" i="4"/>
  <c r="C428" i="4"/>
  <c r="C324" i="4"/>
  <c r="C220" i="4"/>
  <c r="C116" i="4"/>
  <c r="C12" i="4"/>
  <c r="K12" i="14"/>
  <c r="T12" i="14"/>
  <c r="C1157" i="4"/>
  <c r="C1053" i="4"/>
  <c r="C949" i="4"/>
  <c r="C845" i="4"/>
  <c r="C741" i="4"/>
  <c r="C637" i="4"/>
  <c r="C533" i="4"/>
  <c r="C429" i="4"/>
  <c r="C325" i="4"/>
  <c r="C221" i="4"/>
  <c r="C117" i="4"/>
  <c r="C13" i="4"/>
  <c r="K13" i="14"/>
  <c r="T13" i="14"/>
  <c r="C1158" i="4"/>
  <c r="C1054" i="4"/>
  <c r="C950" i="4"/>
  <c r="C846" i="4"/>
  <c r="C742" i="4"/>
  <c r="C638" i="4"/>
  <c r="C534" i="4"/>
  <c r="C430" i="4"/>
  <c r="C326" i="4"/>
  <c r="C222" i="4"/>
  <c r="C118" i="4"/>
  <c r="C14" i="4"/>
  <c r="K14" i="14"/>
  <c r="T14" i="14"/>
  <c r="C1159" i="4"/>
  <c r="C1055" i="4"/>
  <c r="C951" i="4"/>
  <c r="C847" i="4"/>
  <c r="C743" i="4"/>
  <c r="C639" i="4"/>
  <c r="C535" i="4"/>
  <c r="C431" i="4"/>
  <c r="C327" i="4"/>
  <c r="C223" i="4"/>
  <c r="C119" i="4"/>
  <c r="C15" i="4"/>
  <c r="T15" i="14"/>
  <c r="C1160" i="4"/>
  <c r="C1056" i="4"/>
  <c r="C952" i="4"/>
  <c r="C848" i="4"/>
  <c r="C744" i="4"/>
  <c r="C640" i="4"/>
  <c r="C536" i="4"/>
  <c r="C432" i="4"/>
  <c r="C328" i="4"/>
  <c r="C224" i="4"/>
  <c r="C120" i="4"/>
  <c r="C16" i="4"/>
  <c r="K16" i="14"/>
  <c r="T16" i="14"/>
  <c r="C1161" i="4"/>
  <c r="C1057" i="4"/>
  <c r="C953" i="4"/>
  <c r="C849" i="4"/>
  <c r="C745" i="4"/>
  <c r="C641" i="4"/>
  <c r="C537" i="4"/>
  <c r="C433" i="4"/>
  <c r="C329" i="4"/>
  <c r="C225" i="4"/>
  <c r="C121" i="4"/>
  <c r="C17" i="4"/>
  <c r="K17" i="14"/>
  <c r="T17" i="14"/>
  <c r="C1162" i="4"/>
  <c r="C1058" i="4"/>
  <c r="C954" i="4"/>
  <c r="C850" i="4"/>
  <c r="C746" i="4"/>
  <c r="C642" i="4"/>
  <c r="C538" i="4"/>
  <c r="C434" i="4"/>
  <c r="C330" i="4"/>
  <c r="C226" i="4"/>
  <c r="C122" i="4"/>
  <c r="C18" i="4"/>
  <c r="K18" i="14"/>
  <c r="T18" i="14"/>
  <c r="C1163" i="4"/>
  <c r="C1059" i="4"/>
  <c r="C955" i="4"/>
  <c r="C851" i="4"/>
  <c r="C747" i="4"/>
  <c r="C643" i="4"/>
  <c r="C539" i="4"/>
  <c r="C435" i="4"/>
  <c r="C331" i="4"/>
  <c r="C227" i="4"/>
  <c r="C123" i="4"/>
  <c r="C19" i="4"/>
  <c r="K19" i="14"/>
  <c r="T19" i="14"/>
  <c r="C1164" i="4"/>
  <c r="C1060" i="4"/>
  <c r="C956" i="4"/>
  <c r="C852" i="4"/>
  <c r="C748" i="4"/>
  <c r="C644" i="4"/>
  <c r="C540" i="4"/>
  <c r="C436" i="4"/>
  <c r="C332" i="4"/>
  <c r="C228" i="4"/>
  <c r="C124" i="4"/>
  <c r="C20" i="4"/>
  <c r="K20" i="14"/>
  <c r="T20" i="14"/>
  <c r="C1165" i="4"/>
  <c r="C1061" i="4"/>
  <c r="C957" i="4"/>
  <c r="C853" i="4"/>
  <c r="C749" i="4"/>
  <c r="C645" i="4"/>
  <c r="C541" i="4"/>
  <c r="C437" i="4"/>
  <c r="C333" i="4"/>
  <c r="C229" i="4"/>
  <c r="C125" i="4"/>
  <c r="C21" i="4"/>
  <c r="K21" i="14"/>
  <c r="T21" i="14"/>
  <c r="C1166" i="4"/>
  <c r="C1062" i="4"/>
  <c r="C958" i="4"/>
  <c r="C854" i="4"/>
  <c r="C750" i="4"/>
  <c r="C646" i="4"/>
  <c r="C542" i="4"/>
  <c r="C438" i="4"/>
  <c r="C334" i="4"/>
  <c r="C230" i="4"/>
  <c r="C126" i="4"/>
  <c r="C22" i="4"/>
  <c r="K22" i="14"/>
  <c r="J23" i="14"/>
  <c r="C1168" i="4"/>
  <c r="C1064" i="4"/>
  <c r="C960" i="4"/>
  <c r="C856" i="4"/>
  <c r="C752" i="4"/>
  <c r="C648" i="4"/>
  <c r="C544" i="4"/>
  <c r="C440" i="4"/>
  <c r="C336" i="4"/>
  <c r="C232" i="4"/>
  <c r="C128" i="4"/>
  <c r="C24" i="4"/>
  <c r="K24" i="14"/>
  <c r="G25" i="14"/>
  <c r="D25" i="4" s="1"/>
  <c r="D129" i="4" s="1"/>
  <c r="D233" i="4" s="1"/>
  <c r="D337" i="4" s="1"/>
  <c r="D441" i="4" s="1"/>
  <c r="D545" i="4" s="1"/>
  <c r="D649" i="4" s="1"/>
  <c r="D753" i="4" s="1"/>
  <c r="D857" i="4" s="1"/>
  <c r="D961" i="4" s="1"/>
  <c r="D1065" i="4" s="1"/>
  <c r="D1169" i="4" s="1"/>
  <c r="D1273" i="4" s="1"/>
  <c r="Y25" i="14"/>
  <c r="W25" i="14" s="1"/>
  <c r="Z26" i="14"/>
  <c r="AA26" i="14" s="1"/>
  <c r="J27" i="14"/>
  <c r="C1172" i="4"/>
  <c r="C1068" i="4"/>
  <c r="C964" i="4"/>
  <c r="C860" i="4"/>
  <c r="C756" i="4"/>
  <c r="C652" i="4"/>
  <c r="C548" i="4"/>
  <c r="C444" i="4"/>
  <c r="C340" i="4"/>
  <c r="C236" i="4"/>
  <c r="C132" i="4"/>
  <c r="C28" i="4"/>
  <c r="K28" i="14"/>
  <c r="G29" i="14"/>
  <c r="D29" i="4" s="1"/>
  <c r="D133" i="4" s="1"/>
  <c r="D237" i="4" s="1"/>
  <c r="D341" i="4" s="1"/>
  <c r="D445" i="4" s="1"/>
  <c r="D549" i="4" s="1"/>
  <c r="D653" i="4" s="1"/>
  <c r="D757" i="4" s="1"/>
  <c r="D861" i="4" s="1"/>
  <c r="D965" i="4" s="1"/>
  <c r="D1069" i="4" s="1"/>
  <c r="D1173" i="4" s="1"/>
  <c r="D1277" i="4" s="1"/>
  <c r="Y29" i="14"/>
  <c r="W29" i="14" s="1"/>
  <c r="Z30" i="14"/>
  <c r="AA30" i="14" s="1"/>
  <c r="C1176" i="4"/>
  <c r="C1072" i="4"/>
  <c r="C968" i="4"/>
  <c r="C864" i="4"/>
  <c r="C760" i="4"/>
  <c r="C656" i="4"/>
  <c r="C552" i="4"/>
  <c r="C448" i="4"/>
  <c r="C344" i="4"/>
  <c r="C240" i="4"/>
  <c r="C136" i="4"/>
  <c r="C32" i="4"/>
  <c r="K32" i="14"/>
  <c r="G33" i="14"/>
  <c r="D33" i="4" s="1"/>
  <c r="D137" i="4" s="1"/>
  <c r="D241" i="4" s="1"/>
  <c r="D345" i="4" s="1"/>
  <c r="D449" i="4" s="1"/>
  <c r="D553" i="4" s="1"/>
  <c r="D657" i="4" s="1"/>
  <c r="D761" i="4" s="1"/>
  <c r="D865" i="4" s="1"/>
  <c r="D969" i="4" s="1"/>
  <c r="D1073" i="4" s="1"/>
  <c r="D1177" i="4" s="1"/>
  <c r="D1281" i="4" s="1"/>
  <c r="Y33" i="14"/>
  <c r="W33" i="14" s="1"/>
  <c r="Z34" i="14"/>
  <c r="AA34" i="14" s="1"/>
  <c r="J35" i="14"/>
  <c r="C1180" i="4"/>
  <c r="C1076" i="4"/>
  <c r="C972" i="4"/>
  <c r="C868" i="4"/>
  <c r="C764" i="4"/>
  <c r="C660" i="4"/>
  <c r="C556" i="4"/>
  <c r="C452" i="4"/>
  <c r="C348" i="4"/>
  <c r="C244" i="4"/>
  <c r="C140" i="4"/>
  <c r="C36" i="4"/>
  <c r="K36" i="14"/>
  <c r="G37" i="14"/>
  <c r="D37" i="4" s="1"/>
  <c r="D141" i="4" s="1"/>
  <c r="D245" i="4" s="1"/>
  <c r="D349" i="4" s="1"/>
  <c r="D453" i="4" s="1"/>
  <c r="D557" i="4" s="1"/>
  <c r="D661" i="4" s="1"/>
  <c r="D765" i="4" s="1"/>
  <c r="D869" i="4" s="1"/>
  <c r="D973" i="4" s="1"/>
  <c r="D1077" i="4" s="1"/>
  <c r="D1181" i="4" s="1"/>
  <c r="D1285" i="4" s="1"/>
  <c r="Y37" i="14"/>
  <c r="W37" i="14" s="1"/>
  <c r="Z38" i="14"/>
  <c r="AA38" i="14" s="1"/>
  <c r="J39" i="14"/>
  <c r="C1184" i="4"/>
  <c r="C1080" i="4"/>
  <c r="C976" i="4"/>
  <c r="C872" i="4"/>
  <c r="C768" i="4"/>
  <c r="C664" i="4"/>
  <c r="C560" i="4"/>
  <c r="C456" i="4"/>
  <c r="C352" i="4"/>
  <c r="C248" i="4"/>
  <c r="C144" i="4"/>
  <c r="C40" i="4"/>
  <c r="K40" i="14"/>
  <c r="G41" i="14"/>
  <c r="D41" i="4" s="1"/>
  <c r="D145" i="4" s="1"/>
  <c r="D249" i="4" s="1"/>
  <c r="D353" i="4" s="1"/>
  <c r="D457" i="4" s="1"/>
  <c r="D561" i="4" s="1"/>
  <c r="D665" i="4" s="1"/>
  <c r="D769" i="4" s="1"/>
  <c r="D873" i="4" s="1"/>
  <c r="D977" i="4" s="1"/>
  <c r="D1081" i="4" s="1"/>
  <c r="D1185" i="4" s="1"/>
  <c r="D1289" i="4" s="1"/>
  <c r="Y41" i="14"/>
  <c r="W41" i="14" s="1"/>
  <c r="Z42" i="14"/>
  <c r="AA42" i="14" s="1"/>
  <c r="C1188" i="4"/>
  <c r="C1084" i="4"/>
  <c r="C980" i="4"/>
  <c r="C876" i="4"/>
  <c r="C772" i="4"/>
  <c r="C668" i="4"/>
  <c r="C564" i="4"/>
  <c r="C460" i="4"/>
  <c r="C356" i="4"/>
  <c r="C252" i="4"/>
  <c r="C148" i="4"/>
  <c r="C44" i="4"/>
  <c r="K44" i="14"/>
  <c r="G45" i="14"/>
  <c r="D45" i="4" s="1"/>
  <c r="D149" i="4" s="1"/>
  <c r="D253" i="4" s="1"/>
  <c r="D357" i="4" s="1"/>
  <c r="D461" i="4" s="1"/>
  <c r="D565" i="4" s="1"/>
  <c r="D669" i="4" s="1"/>
  <c r="D773" i="4" s="1"/>
  <c r="D877" i="4" s="1"/>
  <c r="D981" i="4" s="1"/>
  <c r="D1085" i="4" s="1"/>
  <c r="D1189" i="4" s="1"/>
  <c r="D1293" i="4" s="1"/>
  <c r="Y45" i="14"/>
  <c r="W45" i="14" s="1"/>
  <c r="Z46" i="14"/>
  <c r="AA46" i="14" s="1"/>
  <c r="C1192" i="4"/>
  <c r="C1088" i="4"/>
  <c r="C984" i="4"/>
  <c r="C880" i="4"/>
  <c r="C776" i="4"/>
  <c r="C672" i="4"/>
  <c r="C568" i="4"/>
  <c r="C464" i="4"/>
  <c r="C360" i="4"/>
  <c r="C256" i="4"/>
  <c r="C152" i="4"/>
  <c r="C48" i="4"/>
  <c r="K48" i="14"/>
  <c r="G49" i="14"/>
  <c r="D49" i="4" s="1"/>
  <c r="D153" i="4" s="1"/>
  <c r="D257" i="4" s="1"/>
  <c r="D361" i="4" s="1"/>
  <c r="D465" i="4" s="1"/>
  <c r="D569" i="4" s="1"/>
  <c r="D673" i="4" s="1"/>
  <c r="D777" i="4" s="1"/>
  <c r="D881" i="4" s="1"/>
  <c r="D985" i="4" s="1"/>
  <c r="D1089" i="4" s="1"/>
  <c r="D1193" i="4" s="1"/>
  <c r="D1297" i="4" s="1"/>
  <c r="Y49" i="14"/>
  <c r="W49" i="14" s="1"/>
  <c r="Z50" i="14"/>
  <c r="AA50" i="14" s="1"/>
  <c r="C1196" i="4"/>
  <c r="C1092" i="4"/>
  <c r="C988" i="4"/>
  <c r="C884" i="4"/>
  <c r="C780" i="4"/>
  <c r="C676" i="4"/>
  <c r="C572" i="4"/>
  <c r="C468" i="4"/>
  <c r="C364" i="4"/>
  <c r="C260" i="4"/>
  <c r="C156" i="4"/>
  <c r="C52" i="4"/>
  <c r="K52" i="14"/>
  <c r="G53" i="14"/>
  <c r="D53" i="4" s="1"/>
  <c r="D157" i="4" s="1"/>
  <c r="D261" i="4" s="1"/>
  <c r="D365" i="4" s="1"/>
  <c r="D469" i="4" s="1"/>
  <c r="D573" i="4" s="1"/>
  <c r="D677" i="4" s="1"/>
  <c r="D781" i="4" s="1"/>
  <c r="D885" i="4" s="1"/>
  <c r="D989" i="4" s="1"/>
  <c r="D1093" i="4" s="1"/>
  <c r="D1197" i="4" s="1"/>
  <c r="D1301" i="4" s="1"/>
  <c r="Y53" i="14"/>
  <c r="W53" i="14" s="1"/>
  <c r="J55" i="14"/>
  <c r="C1200" i="4"/>
  <c r="C1096" i="4"/>
  <c r="C992" i="4"/>
  <c r="C888" i="4"/>
  <c r="C784" i="4"/>
  <c r="C680" i="4"/>
  <c r="C576" i="4"/>
  <c r="C472" i="4"/>
  <c r="C368" i="4"/>
  <c r="C264" i="4"/>
  <c r="C160" i="4"/>
  <c r="C56" i="4"/>
  <c r="K56" i="14"/>
  <c r="G57" i="14"/>
  <c r="D57" i="4" s="1"/>
  <c r="D161" i="4" s="1"/>
  <c r="D265" i="4" s="1"/>
  <c r="D369" i="4" s="1"/>
  <c r="D473" i="4" s="1"/>
  <c r="D577" i="4" s="1"/>
  <c r="D681" i="4" s="1"/>
  <c r="D785" i="4" s="1"/>
  <c r="D889" i="4" s="1"/>
  <c r="D993" i="4" s="1"/>
  <c r="D1097" i="4" s="1"/>
  <c r="D1201" i="4" s="1"/>
  <c r="D1305" i="4" s="1"/>
  <c r="Y57" i="14"/>
  <c r="W57" i="14" s="1"/>
  <c r="J59" i="14"/>
  <c r="C1204" i="4"/>
  <c r="C1100" i="4"/>
  <c r="C996" i="4"/>
  <c r="C892" i="4"/>
  <c r="C788" i="4"/>
  <c r="C684" i="4"/>
  <c r="C580" i="4"/>
  <c r="C476" i="4"/>
  <c r="C372" i="4"/>
  <c r="C268" i="4"/>
  <c r="C164" i="4"/>
  <c r="C60" i="4"/>
  <c r="K60" i="14"/>
  <c r="G61" i="14"/>
  <c r="D61" i="4" s="1"/>
  <c r="D165" i="4" s="1"/>
  <c r="D269" i="4" s="1"/>
  <c r="D373" i="4" s="1"/>
  <c r="D477" i="4" s="1"/>
  <c r="D581" i="4" s="1"/>
  <c r="D685" i="4" s="1"/>
  <c r="D789" i="4" s="1"/>
  <c r="D893" i="4" s="1"/>
  <c r="D997" i="4" s="1"/>
  <c r="D1101" i="4" s="1"/>
  <c r="D1205" i="4" s="1"/>
  <c r="D1309" i="4" s="1"/>
  <c r="Y61" i="14"/>
  <c r="W61" i="14" s="1"/>
  <c r="J63" i="14"/>
  <c r="C1208" i="4"/>
  <c r="C1104" i="4"/>
  <c r="C1000" i="4"/>
  <c r="C896" i="4"/>
  <c r="C792" i="4"/>
  <c r="C688" i="4"/>
  <c r="C584" i="4"/>
  <c r="C480" i="4"/>
  <c r="C376" i="4"/>
  <c r="C272" i="4"/>
  <c r="C168" i="4"/>
  <c r="C64" i="4"/>
  <c r="K64" i="14"/>
  <c r="G65" i="14"/>
  <c r="D65" i="4" s="1"/>
  <c r="D169" i="4" s="1"/>
  <c r="D273" i="4" s="1"/>
  <c r="D377" i="4" s="1"/>
  <c r="D481" i="4" s="1"/>
  <c r="D585" i="4" s="1"/>
  <c r="D689" i="4" s="1"/>
  <c r="D793" i="4" s="1"/>
  <c r="D897" i="4" s="1"/>
  <c r="D1001" i="4" s="1"/>
  <c r="D1105" i="4" s="1"/>
  <c r="D1209" i="4" s="1"/>
  <c r="D1313" i="4" s="1"/>
  <c r="Y65" i="14"/>
  <c r="W65" i="14" s="1"/>
  <c r="Z66" i="14"/>
  <c r="AA66" i="14" s="1"/>
  <c r="J67" i="14"/>
  <c r="C1212" i="4"/>
  <c r="C1108" i="4"/>
  <c r="C1004" i="4"/>
  <c r="C900" i="4"/>
  <c r="C796" i="4"/>
  <c r="C692" i="4"/>
  <c r="C588" i="4"/>
  <c r="C484" i="4"/>
  <c r="C380" i="4"/>
  <c r="C276" i="4"/>
  <c r="C172" i="4"/>
  <c r="C68" i="4"/>
  <c r="K68" i="14"/>
  <c r="G69" i="14"/>
  <c r="D69" i="4" s="1"/>
  <c r="D173" i="4" s="1"/>
  <c r="D277" i="4" s="1"/>
  <c r="D381" i="4" s="1"/>
  <c r="D485" i="4" s="1"/>
  <c r="D589" i="4" s="1"/>
  <c r="D693" i="4" s="1"/>
  <c r="D797" i="4" s="1"/>
  <c r="D901" i="4" s="1"/>
  <c r="D1005" i="4" s="1"/>
  <c r="D1109" i="4" s="1"/>
  <c r="D1213" i="4" s="1"/>
  <c r="D1317" i="4" s="1"/>
  <c r="Y69" i="14"/>
  <c r="W69" i="14" s="1"/>
  <c r="C1216" i="4"/>
  <c r="C1112" i="4"/>
  <c r="C1008" i="4"/>
  <c r="C904" i="4"/>
  <c r="C800" i="4"/>
  <c r="C696" i="4"/>
  <c r="C592" i="4"/>
  <c r="C488" i="4"/>
  <c r="C384" i="4"/>
  <c r="C280" i="4"/>
  <c r="C176" i="4"/>
  <c r="C72" i="4"/>
  <c r="K72" i="14"/>
  <c r="G73" i="14"/>
  <c r="D73" i="4" s="1"/>
  <c r="D177" i="4" s="1"/>
  <c r="D281" i="4" s="1"/>
  <c r="D385" i="4" s="1"/>
  <c r="D489" i="4" s="1"/>
  <c r="D593" i="4" s="1"/>
  <c r="D697" i="4" s="1"/>
  <c r="D801" i="4" s="1"/>
  <c r="D905" i="4" s="1"/>
  <c r="D1009" i="4" s="1"/>
  <c r="D1113" i="4" s="1"/>
  <c r="D1217" i="4" s="1"/>
  <c r="D1321" i="4" s="1"/>
  <c r="Y73" i="14"/>
  <c r="W73" i="14" s="1"/>
  <c r="J75" i="14"/>
  <c r="C1220" i="4"/>
  <c r="C1116" i="4"/>
  <c r="C1012" i="4"/>
  <c r="C908" i="4"/>
  <c r="C804" i="4"/>
  <c r="C700" i="4"/>
  <c r="C596" i="4"/>
  <c r="C492" i="4"/>
  <c r="C388" i="4"/>
  <c r="C284" i="4"/>
  <c r="C180" i="4"/>
  <c r="C76" i="4"/>
  <c r="K76" i="14"/>
  <c r="G77" i="14"/>
  <c r="D77" i="4" s="1"/>
  <c r="D181" i="4" s="1"/>
  <c r="D285" i="4" s="1"/>
  <c r="D389" i="4" s="1"/>
  <c r="D493" i="4" s="1"/>
  <c r="D597" i="4" s="1"/>
  <c r="D701" i="4" s="1"/>
  <c r="D805" i="4" s="1"/>
  <c r="D909" i="4" s="1"/>
  <c r="D1013" i="4" s="1"/>
  <c r="D1117" i="4" s="1"/>
  <c r="D1221" i="4" s="1"/>
  <c r="D1325" i="4" s="1"/>
  <c r="Y77" i="14"/>
  <c r="W77" i="14" s="1"/>
  <c r="Z78" i="14"/>
  <c r="AA78" i="14" s="1"/>
  <c r="J79" i="14"/>
  <c r="C1224" i="4"/>
  <c r="C1120" i="4"/>
  <c r="C1016" i="4"/>
  <c r="C912" i="4"/>
  <c r="C808" i="4"/>
  <c r="C704" i="4"/>
  <c r="C600" i="4"/>
  <c r="C496" i="4"/>
  <c r="C392" i="4"/>
  <c r="C288" i="4"/>
  <c r="C184" i="4"/>
  <c r="C80" i="4"/>
  <c r="K80" i="14"/>
  <c r="G81" i="14"/>
  <c r="D81" i="4" s="1"/>
  <c r="D185" i="4" s="1"/>
  <c r="D289" i="4" s="1"/>
  <c r="D393" i="4" s="1"/>
  <c r="D497" i="4" s="1"/>
  <c r="D601" i="4" s="1"/>
  <c r="D705" i="4" s="1"/>
  <c r="D809" i="4" s="1"/>
  <c r="D913" i="4" s="1"/>
  <c r="D1017" i="4" s="1"/>
  <c r="D1121" i="4" s="1"/>
  <c r="D1225" i="4" s="1"/>
  <c r="D1329" i="4" s="1"/>
  <c r="Y81" i="14"/>
  <c r="W81" i="14" s="1"/>
  <c r="Z82" i="14"/>
  <c r="AA82" i="14" s="1"/>
  <c r="C1228" i="4"/>
  <c r="C1124" i="4"/>
  <c r="C1020" i="4"/>
  <c r="C916" i="4"/>
  <c r="C812" i="4"/>
  <c r="C708" i="4"/>
  <c r="C604" i="4"/>
  <c r="C500" i="4"/>
  <c r="C396" i="4"/>
  <c r="C292" i="4"/>
  <c r="C188" i="4"/>
  <c r="C84" i="4"/>
  <c r="K84" i="14"/>
  <c r="G85" i="14"/>
  <c r="D85" i="4" s="1"/>
  <c r="D189" i="4" s="1"/>
  <c r="D293" i="4" s="1"/>
  <c r="D397" i="4" s="1"/>
  <c r="D501" i="4" s="1"/>
  <c r="D605" i="4" s="1"/>
  <c r="D709" i="4" s="1"/>
  <c r="D813" i="4" s="1"/>
  <c r="D917" i="4" s="1"/>
  <c r="D1021" i="4" s="1"/>
  <c r="D1125" i="4" s="1"/>
  <c r="D1229" i="4" s="1"/>
  <c r="D1333" i="4" s="1"/>
  <c r="Y85" i="14"/>
  <c r="W85" i="14" s="1"/>
  <c r="Z86" i="14"/>
  <c r="AA86" i="14" s="1"/>
  <c r="C1232" i="4"/>
  <c r="C1128" i="4"/>
  <c r="C1024" i="4"/>
  <c r="C816" i="4"/>
  <c r="C920" i="4"/>
  <c r="C712" i="4"/>
  <c r="C608" i="4"/>
  <c r="C504" i="4"/>
  <c r="C400" i="4"/>
  <c r="C296" i="4"/>
  <c r="C192" i="4"/>
  <c r="C88" i="4"/>
  <c r="K88" i="14"/>
  <c r="G89" i="14"/>
  <c r="D89" i="4" s="1"/>
  <c r="D193" i="4" s="1"/>
  <c r="D297" i="4" s="1"/>
  <c r="D401" i="4" s="1"/>
  <c r="D505" i="4" s="1"/>
  <c r="D609" i="4" s="1"/>
  <c r="D713" i="4" s="1"/>
  <c r="D817" i="4" s="1"/>
  <c r="D921" i="4" s="1"/>
  <c r="D1025" i="4" s="1"/>
  <c r="D1129" i="4" s="1"/>
  <c r="D1233" i="4" s="1"/>
  <c r="D1337" i="4" s="1"/>
  <c r="Y89" i="14"/>
  <c r="W89" i="14" s="1"/>
  <c r="Z90" i="14"/>
  <c r="AA90" i="14" s="1"/>
  <c r="C1236" i="4"/>
  <c r="C1132" i="4"/>
  <c r="C1028" i="4"/>
  <c r="C924" i="4"/>
  <c r="C820" i="4"/>
  <c r="C716" i="4"/>
  <c r="C612" i="4"/>
  <c r="C508" i="4"/>
  <c r="C404" i="4"/>
  <c r="C300" i="4"/>
  <c r="C196" i="4"/>
  <c r="C92" i="4"/>
  <c r="K92" i="14"/>
  <c r="G93" i="14"/>
  <c r="D93" i="4" s="1"/>
  <c r="D197" i="4" s="1"/>
  <c r="D301" i="4" s="1"/>
  <c r="D405" i="4" s="1"/>
  <c r="D509" i="4" s="1"/>
  <c r="D613" i="4" s="1"/>
  <c r="D717" i="4" s="1"/>
  <c r="D821" i="4" s="1"/>
  <c r="D925" i="4" s="1"/>
  <c r="D1029" i="4" s="1"/>
  <c r="D1133" i="4" s="1"/>
  <c r="D1237" i="4" s="1"/>
  <c r="D1341" i="4" s="1"/>
  <c r="Y93" i="14"/>
  <c r="W93" i="14" s="1"/>
  <c r="Z94" i="14"/>
  <c r="AA94" i="14" s="1"/>
  <c r="C1240" i="4"/>
  <c r="C1136" i="4"/>
  <c r="C1032" i="4"/>
  <c r="C928" i="4"/>
  <c r="C824" i="4"/>
  <c r="C720" i="4"/>
  <c r="C616" i="4"/>
  <c r="C512" i="4"/>
  <c r="C408" i="4"/>
  <c r="C304" i="4"/>
  <c r="C200" i="4"/>
  <c r="C96" i="4"/>
  <c r="K96" i="14"/>
  <c r="G97" i="14"/>
  <c r="D97" i="4" s="1"/>
  <c r="D201" i="4" s="1"/>
  <c r="D305" i="4" s="1"/>
  <c r="D409" i="4" s="1"/>
  <c r="D513" i="4" s="1"/>
  <c r="D617" i="4" s="1"/>
  <c r="D721" i="4" s="1"/>
  <c r="D825" i="4" s="1"/>
  <c r="D929" i="4" s="1"/>
  <c r="D1033" i="4" s="1"/>
  <c r="D1137" i="4" s="1"/>
  <c r="D1241" i="4" s="1"/>
  <c r="D1345" i="4" s="1"/>
  <c r="Y97" i="14"/>
  <c r="W97" i="14" s="1"/>
  <c r="Z98" i="14"/>
  <c r="AA98" i="14" s="1"/>
  <c r="C1244" i="4"/>
  <c r="C1140" i="4"/>
  <c r="C1036" i="4"/>
  <c r="C932" i="4"/>
  <c r="C828" i="4"/>
  <c r="C724" i="4"/>
  <c r="C620" i="4"/>
  <c r="C516" i="4"/>
  <c r="C412" i="4"/>
  <c r="C308" i="4"/>
  <c r="C204" i="4"/>
  <c r="C100" i="4"/>
  <c r="K100" i="14"/>
  <c r="G101" i="14"/>
  <c r="D101" i="4" s="1"/>
  <c r="D205" i="4" s="1"/>
  <c r="D309" i="4" s="1"/>
  <c r="D413" i="4" s="1"/>
  <c r="D517" i="4" s="1"/>
  <c r="D621" i="4" s="1"/>
  <c r="D725" i="4" s="1"/>
  <c r="D829" i="4" s="1"/>
  <c r="D933" i="4" s="1"/>
  <c r="D1037" i="4" s="1"/>
  <c r="D1141" i="4" s="1"/>
  <c r="D1245" i="4" s="1"/>
  <c r="D1349" i="4" s="1"/>
  <c r="Y101" i="14"/>
  <c r="W101" i="14" s="1"/>
  <c r="Z102" i="14"/>
  <c r="AA102" i="14" s="1"/>
  <c r="C1248" i="4"/>
  <c r="C1144" i="4"/>
  <c r="C1040" i="4"/>
  <c r="C936" i="4"/>
  <c r="C832" i="4"/>
  <c r="C728" i="4"/>
  <c r="C624" i="4"/>
  <c r="C520" i="4"/>
  <c r="C416" i="4"/>
  <c r="C312" i="4"/>
  <c r="C208" i="4"/>
  <c r="C104" i="4"/>
  <c r="K104" i="14"/>
  <c r="G105" i="14"/>
  <c r="D105" i="4" s="1"/>
  <c r="D209" i="4" s="1"/>
  <c r="D313" i="4" s="1"/>
  <c r="D417" i="4" s="1"/>
  <c r="D521" i="4" s="1"/>
  <c r="D625" i="4" s="1"/>
  <c r="D729" i="4" s="1"/>
  <c r="D833" i="4" s="1"/>
  <c r="D937" i="4" s="1"/>
  <c r="D1041" i="4" s="1"/>
  <c r="D1145" i="4" s="1"/>
  <c r="D1249" i="4" s="1"/>
  <c r="D1353" i="4" s="1"/>
  <c r="Y105" i="14"/>
  <c r="W105" i="14" s="1"/>
  <c r="Z106" i="14"/>
  <c r="AA106" i="14" s="1"/>
  <c r="AA4" i="17"/>
  <c r="U4" i="17"/>
  <c r="O4" i="17"/>
  <c r="I4" i="17"/>
  <c r="X4" i="17"/>
  <c r="R4" i="17"/>
  <c r="L4" i="17"/>
  <c r="F4" i="17"/>
  <c r="X6" i="17"/>
  <c r="C6" i="26" s="1"/>
  <c r="R6" i="17"/>
  <c r="C6" i="24" s="1"/>
  <c r="L6" i="17"/>
  <c r="C6" i="22" s="1"/>
  <c r="F6" i="17"/>
  <c r="AA6" i="17"/>
  <c r="U6" i="17"/>
  <c r="C6" i="25" s="1"/>
  <c r="O6" i="17"/>
  <c r="C6" i="23" s="1"/>
  <c r="I6" i="17"/>
  <c r="C6" i="21" s="1"/>
  <c r="AA12" i="17"/>
  <c r="U12" i="17"/>
  <c r="C12" i="25" s="1"/>
  <c r="O12" i="17"/>
  <c r="C12" i="23" s="1"/>
  <c r="I12" i="17"/>
  <c r="C12" i="21" s="1"/>
  <c r="X12" i="17"/>
  <c r="C12" i="26" s="1"/>
  <c r="R12" i="17"/>
  <c r="C12" i="24" s="1"/>
  <c r="L12" i="17"/>
  <c r="C12" i="22" s="1"/>
  <c r="F12" i="17"/>
  <c r="AG8" i="8"/>
  <c r="AK8" i="8"/>
  <c r="AO8" i="8"/>
  <c r="AF9" i="8"/>
  <c r="AJ9" i="8"/>
  <c r="AN9" i="8"/>
  <c r="AE10" i="8"/>
  <c r="AI10" i="8"/>
  <c r="AM10" i="8"/>
  <c r="AG12" i="8"/>
  <c r="AK12" i="8"/>
  <c r="AO12" i="8"/>
  <c r="AV12" i="8"/>
  <c r="AZ12" i="8"/>
  <c r="BD12" i="8"/>
  <c r="AE13" i="8"/>
  <c r="AI13" i="8"/>
  <c r="AM13" i="8"/>
  <c r="AT13" i="8"/>
  <c r="AG14" i="8"/>
  <c r="AK14" i="8"/>
  <c r="AO14" i="8"/>
  <c r="AV14" i="8"/>
  <c r="AZ14" i="8"/>
  <c r="BD14" i="8"/>
  <c r="AE15" i="8"/>
  <c r="AI15" i="8"/>
  <c r="AM15" i="8"/>
  <c r="AT15" i="8"/>
  <c r="AG16" i="8"/>
  <c r="AK16" i="8"/>
  <c r="AO16" i="8"/>
  <c r="AV16" i="8"/>
  <c r="AZ16" i="8"/>
  <c r="BD16" i="8"/>
  <c r="AE17" i="8"/>
  <c r="AI17" i="8"/>
  <c r="AM17" i="8"/>
  <c r="AT17" i="8"/>
  <c r="AG18" i="8"/>
  <c r="AK18" i="8"/>
  <c r="AO18" i="8"/>
  <c r="BD18" i="8"/>
  <c r="AE19" i="8"/>
  <c r="AI19" i="8"/>
  <c r="AM19" i="8"/>
  <c r="AT19" i="8"/>
  <c r="AX19" i="8"/>
  <c r="BB19" i="8"/>
  <c r="AG20" i="8"/>
  <c r="AK20" i="8"/>
  <c r="AO20" i="8"/>
  <c r="AV20" i="8"/>
  <c r="AZ20" i="8"/>
  <c r="BD20" i="8"/>
  <c r="AE21" i="8"/>
  <c r="AI21" i="8"/>
  <c r="AM21" i="8"/>
  <c r="AT21" i="8"/>
  <c r="AX21" i="8"/>
  <c r="BB21" i="8"/>
  <c r="F13" i="15"/>
  <c r="J13" i="15"/>
  <c r="N13" i="15"/>
  <c r="E22" i="15"/>
  <c r="I22" i="15"/>
  <c r="M22" i="15"/>
  <c r="Q22" i="15"/>
  <c r="J107" i="16"/>
  <c r="N107" i="16"/>
  <c r="R107" i="16"/>
  <c r="X107" i="16"/>
  <c r="Y26" i="62" s="1"/>
  <c r="Y29" i="62" s="1"/>
  <c r="AB107" i="16"/>
  <c r="CC26" i="62" s="1"/>
  <c r="AF107" i="16"/>
  <c r="EG26" i="62" s="1"/>
  <c r="Z112" i="16"/>
  <c r="BA31" i="5" s="1"/>
  <c r="AD112" i="16"/>
  <c r="DE31" i="5" s="1"/>
  <c r="AH112" i="16"/>
  <c r="FI31" i="5" s="1"/>
  <c r="Z113" i="16"/>
  <c r="BA32" i="5" s="1"/>
  <c r="AD113" i="16"/>
  <c r="DE32" i="5" s="1"/>
  <c r="AH113" i="16"/>
  <c r="FI32" i="5" s="1"/>
  <c r="X115" i="16"/>
  <c r="Y35" i="5" s="1"/>
  <c r="AB115" i="16"/>
  <c r="CC35" i="5" s="1"/>
  <c r="CE35" i="5" s="1"/>
  <c r="AF115" i="16"/>
  <c r="EG35" i="5" s="1"/>
  <c r="Y116" i="16"/>
  <c r="AM36" i="5" s="1"/>
  <c r="AO36" i="5" s="1"/>
  <c r="AC116" i="16"/>
  <c r="CQ36" i="5" s="1"/>
  <c r="AG116" i="16"/>
  <c r="EU36" i="5" s="1"/>
  <c r="Z117" i="16"/>
  <c r="BA37" i="5" s="1"/>
  <c r="AD117" i="16"/>
  <c r="DE37" i="5" s="1"/>
  <c r="AH117" i="16"/>
  <c r="FI37" i="5" s="1"/>
  <c r="X119" i="16"/>
  <c r="Y39" i="5" s="1"/>
  <c r="AB119" i="16"/>
  <c r="CC39" i="5" s="1"/>
  <c r="CE39" i="5" s="1"/>
  <c r="AF119" i="16"/>
  <c r="EG39" i="5" s="1"/>
  <c r="U120" i="16"/>
  <c r="X123" i="16"/>
  <c r="Y43" i="5" s="1"/>
  <c r="AB123" i="16"/>
  <c r="CC43" i="5" s="1"/>
  <c r="CE43" i="5" s="1"/>
  <c r="AF123" i="16"/>
  <c r="EG43" i="5" s="1"/>
  <c r="X126" i="16"/>
  <c r="AB126" i="16"/>
  <c r="AF126" i="16"/>
  <c r="X127" i="16"/>
  <c r="AB127" i="16"/>
  <c r="AF127" i="16"/>
  <c r="X128" i="16"/>
  <c r="AB128" i="16"/>
  <c r="AF128" i="16"/>
  <c r="X129" i="16"/>
  <c r="AB129" i="16"/>
  <c r="AF129" i="16"/>
  <c r="X130" i="16"/>
  <c r="AB130" i="16"/>
  <c r="AF130" i="16"/>
  <c r="X131" i="16"/>
  <c r="AB131" i="16"/>
  <c r="AF131" i="16"/>
  <c r="Z139" i="16"/>
  <c r="AD139" i="16"/>
  <c r="AH139" i="16"/>
  <c r="Z140" i="16"/>
  <c r="AD140" i="16"/>
  <c r="AH140" i="16"/>
  <c r="Z141" i="16"/>
  <c r="AD141" i="16"/>
  <c r="AH141" i="16"/>
  <c r="Z142" i="16"/>
  <c r="AD142" i="16"/>
  <c r="AH142" i="16"/>
  <c r="Z143" i="16"/>
  <c r="AD143" i="16"/>
  <c r="AH143" i="16"/>
  <c r="Z144" i="16"/>
  <c r="AD144" i="16"/>
  <c r="AH144" i="16"/>
  <c r="Z145" i="16"/>
  <c r="AD145" i="16"/>
  <c r="AH145" i="16"/>
  <c r="Z146" i="16"/>
  <c r="AD146" i="16"/>
  <c r="AH146" i="16"/>
  <c r="Z147" i="16"/>
  <c r="AD147" i="16"/>
  <c r="AH147" i="16"/>
  <c r="Z148" i="16"/>
  <c r="AD148" i="16"/>
  <c r="AH148" i="16"/>
  <c r="Z149" i="16"/>
  <c r="AD149" i="16"/>
  <c r="AH149" i="16"/>
  <c r="Z150" i="16"/>
  <c r="AD150" i="16"/>
  <c r="AH150" i="16"/>
  <c r="U175" i="16"/>
  <c r="B22" i="26"/>
  <c r="B22" i="25"/>
  <c r="B22" i="24"/>
  <c r="B22" i="23"/>
  <c r="B22" i="22"/>
  <c r="B22" i="21"/>
  <c r="B22" i="18"/>
  <c r="S7" i="19"/>
  <c r="B26" i="26"/>
  <c r="B26" i="25"/>
  <c r="B26" i="24"/>
  <c r="B26" i="23"/>
  <c r="B26" i="22"/>
  <c r="B26" i="21"/>
  <c r="B26" i="18"/>
  <c r="B30" i="26"/>
  <c r="B30" i="25"/>
  <c r="B30" i="24"/>
  <c r="B30" i="23"/>
  <c r="B30" i="22"/>
  <c r="B30" i="21"/>
  <c r="B30" i="18"/>
  <c r="B34" i="26"/>
  <c r="B34" i="25"/>
  <c r="B34" i="24"/>
  <c r="B34" i="23"/>
  <c r="B34" i="22"/>
  <c r="B34" i="21"/>
  <c r="B34" i="18"/>
  <c r="B38" i="26"/>
  <c r="B38" i="25"/>
  <c r="B38" i="24"/>
  <c r="B38" i="23"/>
  <c r="B38" i="22"/>
  <c r="B38" i="21"/>
  <c r="B38" i="18"/>
  <c r="B42" i="26"/>
  <c r="B42" i="25"/>
  <c r="B42" i="24"/>
  <c r="B42" i="23"/>
  <c r="B42" i="22"/>
  <c r="B42" i="21"/>
  <c r="B42" i="18"/>
  <c r="B46" i="26"/>
  <c r="B46" i="25"/>
  <c r="B46" i="24"/>
  <c r="B46" i="23"/>
  <c r="B46" i="22"/>
  <c r="B46" i="21"/>
  <c r="B46" i="18"/>
  <c r="B50" i="26"/>
  <c r="B50" i="25"/>
  <c r="B50" i="24"/>
  <c r="B50" i="23"/>
  <c r="B50" i="22"/>
  <c r="B50" i="21"/>
  <c r="B50" i="18"/>
  <c r="B54" i="26"/>
  <c r="B54" i="25"/>
  <c r="B54" i="24"/>
  <c r="B54" i="23"/>
  <c r="B54" i="22"/>
  <c r="B54" i="21"/>
  <c r="B54" i="18"/>
  <c r="B58" i="26"/>
  <c r="B58" i="25"/>
  <c r="B58" i="24"/>
  <c r="B58" i="23"/>
  <c r="B58" i="22"/>
  <c r="B58" i="21"/>
  <c r="B58" i="18"/>
  <c r="B62" i="26"/>
  <c r="B62" i="25"/>
  <c r="B62" i="24"/>
  <c r="B62" i="23"/>
  <c r="B62" i="22"/>
  <c r="B62" i="21"/>
  <c r="B62" i="18"/>
  <c r="B66" i="26"/>
  <c r="B66" i="25"/>
  <c r="B66" i="24"/>
  <c r="B66" i="23"/>
  <c r="B66" i="22"/>
  <c r="B66" i="21"/>
  <c r="B66" i="18"/>
  <c r="B70" i="26"/>
  <c r="B70" i="25"/>
  <c r="B70" i="24"/>
  <c r="B70" i="23"/>
  <c r="B70" i="22"/>
  <c r="B70" i="21"/>
  <c r="B70" i="18"/>
  <c r="B74" i="26"/>
  <c r="B74" i="25"/>
  <c r="B74" i="24"/>
  <c r="B74" i="23"/>
  <c r="B74" i="22"/>
  <c r="B74" i="21"/>
  <c r="B74" i="18"/>
  <c r="B78" i="26"/>
  <c r="B78" i="25"/>
  <c r="B78" i="24"/>
  <c r="B78" i="23"/>
  <c r="B78" i="22"/>
  <c r="B78" i="21"/>
  <c r="B78" i="18"/>
  <c r="B82" i="26"/>
  <c r="B82" i="25"/>
  <c r="B82" i="24"/>
  <c r="B82" i="23"/>
  <c r="B82" i="22"/>
  <c r="B82" i="21"/>
  <c r="B82" i="18"/>
  <c r="B86" i="26"/>
  <c r="B86" i="25"/>
  <c r="B86" i="24"/>
  <c r="B86" i="23"/>
  <c r="B86" i="22"/>
  <c r="B86" i="21"/>
  <c r="B86" i="18"/>
  <c r="B90" i="26"/>
  <c r="B90" i="25"/>
  <c r="B90" i="24"/>
  <c r="B90" i="23"/>
  <c r="B90" i="22"/>
  <c r="B90" i="21"/>
  <c r="B90" i="18"/>
  <c r="B94" i="26"/>
  <c r="B94" i="25"/>
  <c r="B94" i="24"/>
  <c r="B94" i="23"/>
  <c r="B94" i="22"/>
  <c r="B94" i="21"/>
  <c r="B94" i="18"/>
  <c r="B98" i="26"/>
  <c r="B98" i="25"/>
  <c r="B98" i="24"/>
  <c r="B98" i="23"/>
  <c r="B98" i="22"/>
  <c r="B98" i="21"/>
  <c r="B98" i="18"/>
  <c r="B102" i="26"/>
  <c r="B102" i="25"/>
  <c r="B102" i="24"/>
  <c r="B102" i="23"/>
  <c r="B102" i="22"/>
  <c r="B102" i="21"/>
  <c r="B102" i="18"/>
  <c r="B107" i="26"/>
  <c r="B107" i="25"/>
  <c r="B107" i="24"/>
  <c r="B107" i="23"/>
  <c r="B107" i="22"/>
  <c r="B107" i="21"/>
  <c r="B107" i="18"/>
  <c r="S98" i="19"/>
  <c r="AZ98" i="19"/>
  <c r="B115" i="26"/>
  <c r="B115" i="25"/>
  <c r="B115" i="24"/>
  <c r="B115" i="23"/>
  <c r="B115" i="22"/>
  <c r="B115" i="21"/>
  <c r="B115" i="18"/>
  <c r="S106" i="19"/>
  <c r="AZ106" i="19"/>
  <c r="B7" i="63"/>
  <c r="B8" i="63" s="1"/>
  <c r="B9" i="63" s="1"/>
  <c r="B10" i="63" s="1"/>
  <c r="B11" i="63" s="1"/>
  <c r="B12" i="63" s="1"/>
  <c r="B13" i="63" s="1"/>
  <c r="B14" i="63" s="1"/>
  <c r="B15" i="63" s="1"/>
  <c r="B16" i="63" s="1"/>
  <c r="B17" i="63" s="1"/>
  <c r="B18" i="63" s="1"/>
  <c r="BA13" i="5"/>
  <c r="BO13" i="5" s="1"/>
  <c r="CC13" i="5" s="1"/>
  <c r="CE14" i="5"/>
  <c r="CQ14" i="5"/>
  <c r="DE14" i="5" s="1"/>
  <c r="DS14" i="5" s="1"/>
  <c r="EG14" i="5" s="1"/>
  <c r="EU14" i="5" s="1"/>
  <c r="FI14" i="5" s="1"/>
  <c r="AT19" i="5"/>
  <c r="AT27" i="5"/>
  <c r="BA28" i="5"/>
  <c r="BO28" i="5" s="1"/>
  <c r="CC28" i="5" s="1"/>
  <c r="CQ28" i="5" s="1"/>
  <c r="DE28" i="5" s="1"/>
  <c r="DS28" i="5" s="1"/>
  <c r="EG28" i="5" s="1"/>
  <c r="EU28" i="5" s="1"/>
  <c r="FI28" i="5" s="1"/>
  <c r="BA58" i="5"/>
  <c r="BO58" i="5" s="1"/>
  <c r="CC58" i="5" s="1"/>
  <c r="CQ58" i="5" s="1"/>
  <c r="DE58" i="5" s="1"/>
  <c r="DS58" i="5" s="1"/>
  <c r="EG58" i="5" s="1"/>
  <c r="EU58" i="5" s="1"/>
  <c r="FI58" i="5" s="1"/>
  <c r="AT61" i="5"/>
  <c r="AT25" i="62"/>
  <c r="AT30" i="62"/>
  <c r="AT32" i="62"/>
  <c r="BA33" i="62"/>
  <c r="BO33" i="62" s="1"/>
  <c r="CC33" i="62" s="1"/>
  <c r="CQ33" i="62" s="1"/>
  <c r="DE33" i="62" s="1"/>
  <c r="DS33" i="62" s="1"/>
  <c r="EG33" i="62" s="1"/>
  <c r="EU33" i="62" s="1"/>
  <c r="FI33" i="62" s="1"/>
  <c r="AJ66" i="14"/>
  <c r="AL66" i="14" s="1"/>
  <c r="C1215" i="4"/>
  <c r="C1111" i="4"/>
  <c r="C1007" i="4"/>
  <c r="C903" i="4"/>
  <c r="C799" i="4"/>
  <c r="C695" i="4"/>
  <c r="C591" i="4"/>
  <c r="C487" i="4"/>
  <c r="C383" i="4"/>
  <c r="C279" i="4"/>
  <c r="C175" i="4"/>
  <c r="C71" i="4"/>
  <c r="AJ82" i="14"/>
  <c r="AL82" i="14" s="1"/>
  <c r="C1227" i="4"/>
  <c r="C1123" i="4"/>
  <c r="C1019" i="4"/>
  <c r="C915" i="4"/>
  <c r="C811" i="4"/>
  <c r="C603" i="4"/>
  <c r="C707" i="4"/>
  <c r="C499" i="4"/>
  <c r="C395" i="4"/>
  <c r="C291" i="4"/>
  <c r="C187" i="4"/>
  <c r="C83" i="4"/>
  <c r="C1231" i="4"/>
  <c r="C1127" i="4"/>
  <c r="C1023" i="4"/>
  <c r="C919" i="4"/>
  <c r="C815" i="4"/>
  <c r="C607" i="4"/>
  <c r="C711" i="4"/>
  <c r="C399" i="4"/>
  <c r="C295" i="4"/>
  <c r="C503" i="4"/>
  <c r="C191" i="4"/>
  <c r="C87" i="4"/>
  <c r="AJ90" i="14"/>
  <c r="AL90" i="14" s="1"/>
  <c r="C1235" i="4"/>
  <c r="C1131" i="4"/>
  <c r="C1027" i="4"/>
  <c r="C923" i="4"/>
  <c r="C819" i="4"/>
  <c r="C715" i="4"/>
  <c r="C611" i="4"/>
  <c r="C403" i="4"/>
  <c r="C299" i="4"/>
  <c r="C507" i="4"/>
  <c r="C195" i="4"/>
  <c r="C91" i="4"/>
  <c r="C1243" i="4"/>
  <c r="C1139" i="4"/>
  <c r="C1035" i="4"/>
  <c r="C931" i="4"/>
  <c r="C827" i="4"/>
  <c r="C723" i="4"/>
  <c r="C619" i="4"/>
  <c r="C515" i="4"/>
  <c r="C411" i="4"/>
  <c r="C307" i="4"/>
  <c r="C203" i="4"/>
  <c r="C99" i="4"/>
  <c r="AJ106" i="14"/>
  <c r="AL106" i="14" s="1"/>
  <c r="AH8" i="8"/>
  <c r="AP8" i="8"/>
  <c r="AO9" i="8"/>
  <c r="BC13" i="8"/>
  <c r="BA14" i="8"/>
  <c r="BA16" i="8"/>
  <c r="BE18" i="8"/>
  <c r="BA20" i="8"/>
  <c r="D9" i="20"/>
  <c r="F25" i="17"/>
  <c r="H21" i="15"/>
  <c r="P21" i="15"/>
  <c r="F25" i="15"/>
  <c r="Z1153" i="4"/>
  <c r="K1153" i="4"/>
  <c r="T1153" i="4"/>
  <c r="E1153" i="4"/>
  <c r="X1153" i="4"/>
  <c r="Q1153" i="4"/>
  <c r="W1153" i="4"/>
  <c r="N1153" i="4"/>
  <c r="Z1049" i="4"/>
  <c r="K1049" i="4"/>
  <c r="T1049" i="4"/>
  <c r="E1049" i="4"/>
  <c r="X1049" i="4"/>
  <c r="Q1049" i="4"/>
  <c r="W1049" i="4"/>
  <c r="N1049" i="4"/>
  <c r="W945" i="4"/>
  <c r="N945" i="4"/>
  <c r="Z945" i="4"/>
  <c r="K945" i="4"/>
  <c r="T945" i="4"/>
  <c r="E945" i="4"/>
  <c r="X945" i="4"/>
  <c r="Q945" i="4"/>
  <c r="T841" i="4"/>
  <c r="E841" i="4"/>
  <c r="T737" i="4"/>
  <c r="E737" i="4"/>
  <c r="X841" i="4"/>
  <c r="Q841" i="4"/>
  <c r="X737" i="4"/>
  <c r="Q737" i="4"/>
  <c r="W841" i="4"/>
  <c r="N841" i="4"/>
  <c r="W737" i="4"/>
  <c r="N737" i="4"/>
  <c r="Z841" i="4"/>
  <c r="K841" i="4"/>
  <c r="V841" i="4" s="1"/>
  <c r="Z737" i="4"/>
  <c r="K737" i="4"/>
  <c r="W633" i="4"/>
  <c r="N633" i="4"/>
  <c r="W529" i="4"/>
  <c r="N529" i="4"/>
  <c r="Z633" i="4"/>
  <c r="K633" i="4"/>
  <c r="Z529" i="4"/>
  <c r="K529" i="4"/>
  <c r="T633" i="4"/>
  <c r="E633" i="4"/>
  <c r="T529" i="4"/>
  <c r="E529" i="4"/>
  <c r="X633" i="4"/>
  <c r="Q633" i="4"/>
  <c r="X529" i="4"/>
  <c r="Q529" i="4"/>
  <c r="X425" i="4"/>
  <c r="Q425" i="4"/>
  <c r="X321" i="4"/>
  <c r="Q321" i="4"/>
  <c r="W425" i="4"/>
  <c r="N425" i="4"/>
  <c r="W321" i="4"/>
  <c r="N321" i="4"/>
  <c r="Z425" i="4"/>
  <c r="K425" i="4"/>
  <c r="Z321" i="4"/>
  <c r="K321" i="4"/>
  <c r="T425" i="4"/>
  <c r="E425" i="4"/>
  <c r="T321" i="4"/>
  <c r="E321" i="4"/>
  <c r="Z217" i="4"/>
  <c r="K217" i="4"/>
  <c r="Z113" i="4"/>
  <c r="K113" i="4"/>
  <c r="T217" i="4"/>
  <c r="E217" i="4"/>
  <c r="T113" i="4"/>
  <c r="E113" i="4"/>
  <c r="X217" i="4"/>
  <c r="Q217" i="4"/>
  <c r="X113" i="4"/>
  <c r="Q113" i="4"/>
  <c r="W217" i="4"/>
  <c r="N217" i="4"/>
  <c r="W113" i="4"/>
  <c r="N113" i="4"/>
  <c r="Z9" i="4"/>
  <c r="K9" i="4"/>
  <c r="T9" i="4"/>
  <c r="E9" i="4"/>
  <c r="X9" i="4"/>
  <c r="Q9" i="4"/>
  <c r="W9" i="4"/>
  <c r="N9" i="4"/>
  <c r="Z1155" i="4"/>
  <c r="K1155" i="4"/>
  <c r="T1155" i="4"/>
  <c r="E1155" i="4"/>
  <c r="X1155" i="4"/>
  <c r="Q1155" i="4"/>
  <c r="W1155" i="4"/>
  <c r="N1155" i="4"/>
  <c r="Z1051" i="4"/>
  <c r="K1051" i="4"/>
  <c r="T1051" i="4"/>
  <c r="E1051" i="4"/>
  <c r="X1051" i="4"/>
  <c r="Q1051" i="4"/>
  <c r="W1051" i="4"/>
  <c r="N1051" i="4"/>
  <c r="W947" i="4"/>
  <c r="N947" i="4"/>
  <c r="Z947" i="4"/>
  <c r="K947" i="4"/>
  <c r="T947" i="4"/>
  <c r="E947" i="4"/>
  <c r="X947" i="4"/>
  <c r="Q947" i="4"/>
  <c r="T843" i="4"/>
  <c r="E843" i="4"/>
  <c r="T739" i="4"/>
  <c r="E739" i="4"/>
  <c r="X843" i="4"/>
  <c r="Q843" i="4"/>
  <c r="X739" i="4"/>
  <c r="Q739" i="4"/>
  <c r="W843" i="4"/>
  <c r="N843" i="4"/>
  <c r="W739" i="4"/>
  <c r="N739" i="4"/>
  <c r="Z843" i="4"/>
  <c r="K843" i="4"/>
  <c r="V843" i="4" s="1"/>
  <c r="Z739" i="4"/>
  <c r="K739" i="4"/>
  <c r="W635" i="4"/>
  <c r="N635" i="4"/>
  <c r="W531" i="4"/>
  <c r="N531" i="4"/>
  <c r="Z635" i="4"/>
  <c r="K635" i="4"/>
  <c r="Z531" i="4"/>
  <c r="K531" i="4"/>
  <c r="T635" i="4"/>
  <c r="E635" i="4"/>
  <c r="T531" i="4"/>
  <c r="E531" i="4"/>
  <c r="X635" i="4"/>
  <c r="Q635" i="4"/>
  <c r="X531" i="4"/>
  <c r="Q531" i="4"/>
  <c r="X427" i="4"/>
  <c r="Q427" i="4"/>
  <c r="X323" i="4"/>
  <c r="Q323" i="4"/>
  <c r="W427" i="4"/>
  <c r="N427" i="4"/>
  <c r="W323" i="4"/>
  <c r="N323" i="4"/>
  <c r="Z427" i="4"/>
  <c r="K427" i="4"/>
  <c r="Z323" i="4"/>
  <c r="K323" i="4"/>
  <c r="T427" i="4"/>
  <c r="E427" i="4"/>
  <c r="T323" i="4"/>
  <c r="E323" i="4"/>
  <c r="Z219" i="4"/>
  <c r="K219" i="4"/>
  <c r="Z115" i="4"/>
  <c r="K115" i="4"/>
  <c r="T219" i="4"/>
  <c r="E219" i="4"/>
  <c r="T115" i="4"/>
  <c r="E115" i="4"/>
  <c r="X219" i="4"/>
  <c r="Q219" i="4"/>
  <c r="X115" i="4"/>
  <c r="Q115" i="4"/>
  <c r="W219" i="4"/>
  <c r="N219" i="4"/>
  <c r="W115" i="4"/>
  <c r="N115" i="4"/>
  <c r="Z11" i="4"/>
  <c r="K11" i="4"/>
  <c r="T11" i="4"/>
  <c r="E11" i="4"/>
  <c r="X11" i="4"/>
  <c r="Q11" i="4"/>
  <c r="W11" i="4"/>
  <c r="N11" i="4"/>
  <c r="Z1157" i="4"/>
  <c r="K1157" i="4"/>
  <c r="T1157" i="4"/>
  <c r="E1157" i="4"/>
  <c r="X1157" i="4"/>
  <c r="Q1157" i="4"/>
  <c r="W1157" i="4"/>
  <c r="N1157" i="4"/>
  <c r="Z1053" i="4"/>
  <c r="K1053" i="4"/>
  <c r="T1053" i="4"/>
  <c r="E1053" i="4"/>
  <c r="X1053" i="4"/>
  <c r="Q1053" i="4"/>
  <c r="W1053" i="4"/>
  <c r="N1053" i="4"/>
  <c r="W949" i="4"/>
  <c r="N949" i="4"/>
  <c r="Z949" i="4"/>
  <c r="K949" i="4"/>
  <c r="T949" i="4"/>
  <c r="E949" i="4"/>
  <c r="X949" i="4"/>
  <c r="Q949" i="4"/>
  <c r="T845" i="4"/>
  <c r="E845" i="4"/>
  <c r="T741" i="4"/>
  <c r="E741" i="4"/>
  <c r="X845" i="4"/>
  <c r="Q845" i="4"/>
  <c r="X741" i="4"/>
  <c r="Q741" i="4"/>
  <c r="W845" i="4"/>
  <c r="N845" i="4"/>
  <c r="W741" i="4"/>
  <c r="N741" i="4"/>
  <c r="Z845" i="4"/>
  <c r="K845" i="4"/>
  <c r="V845" i="4" s="1"/>
  <c r="Z741" i="4"/>
  <c r="K741" i="4"/>
  <c r="W637" i="4"/>
  <c r="N637" i="4"/>
  <c r="W533" i="4"/>
  <c r="N533" i="4"/>
  <c r="Z637" i="4"/>
  <c r="K637" i="4"/>
  <c r="Z533" i="4"/>
  <c r="K533" i="4"/>
  <c r="T637" i="4"/>
  <c r="E637" i="4"/>
  <c r="T533" i="4"/>
  <c r="E533" i="4"/>
  <c r="X637" i="4"/>
  <c r="Q637" i="4"/>
  <c r="X533" i="4"/>
  <c r="Q533" i="4"/>
  <c r="X429" i="4"/>
  <c r="Q429" i="4"/>
  <c r="X325" i="4"/>
  <c r="Q325" i="4"/>
  <c r="W429" i="4"/>
  <c r="N429" i="4"/>
  <c r="W325" i="4"/>
  <c r="N325" i="4"/>
  <c r="Z429" i="4"/>
  <c r="K429" i="4"/>
  <c r="Z325" i="4"/>
  <c r="K325" i="4"/>
  <c r="T429" i="4"/>
  <c r="E429" i="4"/>
  <c r="T325" i="4"/>
  <c r="E325" i="4"/>
  <c r="Z221" i="4"/>
  <c r="K221" i="4"/>
  <c r="Z117" i="4"/>
  <c r="K117" i="4"/>
  <c r="T221" i="4"/>
  <c r="E221" i="4"/>
  <c r="T117" i="4"/>
  <c r="E117" i="4"/>
  <c r="X221" i="4"/>
  <c r="Q221" i="4"/>
  <c r="X117" i="4"/>
  <c r="Q117" i="4"/>
  <c r="W221" i="4"/>
  <c r="N221" i="4"/>
  <c r="W117" i="4"/>
  <c r="N117" i="4"/>
  <c r="Z13" i="4"/>
  <c r="K13" i="4"/>
  <c r="T13" i="4"/>
  <c r="E13" i="4"/>
  <c r="X13" i="4"/>
  <c r="Q13" i="4"/>
  <c r="W13" i="4"/>
  <c r="N13" i="4"/>
  <c r="Z1159" i="4"/>
  <c r="K1159" i="4"/>
  <c r="T1159" i="4"/>
  <c r="E1159" i="4"/>
  <c r="X1159" i="4"/>
  <c r="Q1159" i="4"/>
  <c r="W1159" i="4"/>
  <c r="N1159" i="4"/>
  <c r="Z1055" i="4"/>
  <c r="K1055" i="4"/>
  <c r="T1055" i="4"/>
  <c r="E1055" i="4"/>
  <c r="X1055" i="4"/>
  <c r="Q1055" i="4"/>
  <c r="W1055" i="4"/>
  <c r="N1055" i="4"/>
  <c r="W951" i="4"/>
  <c r="N951" i="4"/>
  <c r="Z951" i="4"/>
  <c r="K951" i="4"/>
  <c r="T951" i="4"/>
  <c r="E951" i="4"/>
  <c r="X951" i="4"/>
  <c r="Q951" i="4"/>
  <c r="T847" i="4"/>
  <c r="E847" i="4"/>
  <c r="T743" i="4"/>
  <c r="E743" i="4"/>
  <c r="X847" i="4"/>
  <c r="Q847" i="4"/>
  <c r="X743" i="4"/>
  <c r="Q743" i="4"/>
  <c r="W847" i="4"/>
  <c r="N847" i="4"/>
  <c r="W743" i="4"/>
  <c r="N743" i="4"/>
  <c r="Z847" i="4"/>
  <c r="K847" i="4"/>
  <c r="V847" i="4" s="1"/>
  <c r="Z743" i="4"/>
  <c r="K743" i="4"/>
  <c r="W639" i="4"/>
  <c r="N639" i="4"/>
  <c r="W535" i="4"/>
  <c r="N535" i="4"/>
  <c r="Z639" i="4"/>
  <c r="K639" i="4"/>
  <c r="Z535" i="4"/>
  <c r="K535" i="4"/>
  <c r="T639" i="4"/>
  <c r="E639" i="4"/>
  <c r="T535" i="4"/>
  <c r="E535" i="4"/>
  <c r="X639" i="4"/>
  <c r="Q639" i="4"/>
  <c r="X535" i="4"/>
  <c r="Q535" i="4"/>
  <c r="X431" i="4"/>
  <c r="Q431" i="4"/>
  <c r="X327" i="4"/>
  <c r="Q327" i="4"/>
  <c r="W431" i="4"/>
  <c r="N431" i="4"/>
  <c r="W327" i="4"/>
  <c r="N327" i="4"/>
  <c r="Z431" i="4"/>
  <c r="K431" i="4"/>
  <c r="Z327" i="4"/>
  <c r="K327" i="4"/>
  <c r="T431" i="4"/>
  <c r="E431" i="4"/>
  <c r="T327" i="4"/>
  <c r="E327" i="4"/>
  <c r="Z223" i="4"/>
  <c r="K223" i="4"/>
  <c r="Z119" i="4"/>
  <c r="K119" i="4"/>
  <c r="T223" i="4"/>
  <c r="E223" i="4"/>
  <c r="T119" i="4"/>
  <c r="E119" i="4"/>
  <c r="X223" i="4"/>
  <c r="Q223" i="4"/>
  <c r="X119" i="4"/>
  <c r="Q119" i="4"/>
  <c r="W223" i="4"/>
  <c r="N223" i="4"/>
  <c r="W119" i="4"/>
  <c r="N119" i="4"/>
  <c r="Z15" i="4"/>
  <c r="K15" i="4"/>
  <c r="T15" i="4"/>
  <c r="E15" i="4"/>
  <c r="X15" i="4"/>
  <c r="Q15" i="4"/>
  <c r="W15" i="4"/>
  <c r="N15" i="4"/>
  <c r="Z1161" i="4"/>
  <c r="K1161" i="4"/>
  <c r="T1161" i="4"/>
  <c r="E1161" i="4"/>
  <c r="X1161" i="4"/>
  <c r="Q1161" i="4"/>
  <c r="W1161" i="4"/>
  <c r="N1161" i="4"/>
  <c r="Z1057" i="4"/>
  <c r="K1057" i="4"/>
  <c r="T1057" i="4"/>
  <c r="E1057" i="4"/>
  <c r="X1057" i="4"/>
  <c r="Q1057" i="4"/>
  <c r="W1057" i="4"/>
  <c r="N1057" i="4"/>
  <c r="W953" i="4"/>
  <c r="N953" i="4"/>
  <c r="Z953" i="4"/>
  <c r="K953" i="4"/>
  <c r="T953" i="4"/>
  <c r="E953" i="4"/>
  <c r="X953" i="4"/>
  <c r="Q953" i="4"/>
  <c r="T849" i="4"/>
  <c r="E849" i="4"/>
  <c r="T745" i="4"/>
  <c r="E745" i="4"/>
  <c r="X849" i="4"/>
  <c r="Q849" i="4"/>
  <c r="X745" i="4"/>
  <c r="Q745" i="4"/>
  <c r="W849" i="4"/>
  <c r="N849" i="4"/>
  <c r="W745" i="4"/>
  <c r="N745" i="4"/>
  <c r="Z849" i="4"/>
  <c r="K849" i="4"/>
  <c r="V849" i="4" s="1"/>
  <c r="Z745" i="4"/>
  <c r="K745" i="4"/>
  <c r="W641" i="4"/>
  <c r="N641" i="4"/>
  <c r="W537" i="4"/>
  <c r="N537" i="4"/>
  <c r="Z641" i="4"/>
  <c r="K641" i="4"/>
  <c r="Z537" i="4"/>
  <c r="K537" i="4"/>
  <c r="T641" i="4"/>
  <c r="E641" i="4"/>
  <c r="T537" i="4"/>
  <c r="E537" i="4"/>
  <c r="X641" i="4"/>
  <c r="Q641" i="4"/>
  <c r="X537" i="4"/>
  <c r="Q537" i="4"/>
  <c r="X433" i="4"/>
  <c r="Q433" i="4"/>
  <c r="X329" i="4"/>
  <c r="Q329" i="4"/>
  <c r="W433" i="4"/>
  <c r="N433" i="4"/>
  <c r="W329" i="4"/>
  <c r="N329" i="4"/>
  <c r="Z433" i="4"/>
  <c r="K433" i="4"/>
  <c r="Z329" i="4"/>
  <c r="K329" i="4"/>
  <c r="T433" i="4"/>
  <c r="E433" i="4"/>
  <c r="T329" i="4"/>
  <c r="E329" i="4"/>
  <c r="Z225" i="4"/>
  <c r="K225" i="4"/>
  <c r="Z121" i="4"/>
  <c r="K121" i="4"/>
  <c r="T225" i="4"/>
  <c r="E225" i="4"/>
  <c r="T121" i="4"/>
  <c r="E121" i="4"/>
  <c r="X225" i="4"/>
  <c r="Q225" i="4"/>
  <c r="X121" i="4"/>
  <c r="Q121" i="4"/>
  <c r="W225" i="4"/>
  <c r="N225" i="4"/>
  <c r="W121" i="4"/>
  <c r="N121" i="4"/>
  <c r="Z17" i="4"/>
  <c r="K17" i="4"/>
  <c r="T17" i="4"/>
  <c r="E17" i="4"/>
  <c r="X17" i="4"/>
  <c r="Q17" i="4"/>
  <c r="W17" i="4"/>
  <c r="N17" i="4"/>
  <c r="Z1163" i="4"/>
  <c r="K1163" i="4"/>
  <c r="T1163" i="4"/>
  <c r="E1163" i="4"/>
  <c r="X1163" i="4"/>
  <c r="Q1163" i="4"/>
  <c r="W1163" i="4"/>
  <c r="N1163" i="4"/>
  <c r="Z1059" i="4"/>
  <c r="K1059" i="4"/>
  <c r="T1059" i="4"/>
  <c r="E1059" i="4"/>
  <c r="X1059" i="4"/>
  <c r="Q1059" i="4"/>
  <c r="W1059" i="4"/>
  <c r="N1059" i="4"/>
  <c r="W955" i="4"/>
  <c r="N955" i="4"/>
  <c r="Z955" i="4"/>
  <c r="K955" i="4"/>
  <c r="T955" i="4"/>
  <c r="E955" i="4"/>
  <c r="X955" i="4"/>
  <c r="Q955" i="4"/>
  <c r="T851" i="4"/>
  <c r="E851" i="4"/>
  <c r="T747" i="4"/>
  <c r="E747" i="4"/>
  <c r="X851" i="4"/>
  <c r="Q851" i="4"/>
  <c r="X747" i="4"/>
  <c r="Q747" i="4"/>
  <c r="W851" i="4"/>
  <c r="N851" i="4"/>
  <c r="W747" i="4"/>
  <c r="N747" i="4"/>
  <c r="Z851" i="4"/>
  <c r="K851" i="4"/>
  <c r="V851" i="4" s="1"/>
  <c r="Z747" i="4"/>
  <c r="K747" i="4"/>
  <c r="W643" i="4"/>
  <c r="N643" i="4"/>
  <c r="W539" i="4"/>
  <c r="N539" i="4"/>
  <c r="Z643" i="4"/>
  <c r="K643" i="4"/>
  <c r="Z539" i="4"/>
  <c r="K539" i="4"/>
  <c r="T643" i="4"/>
  <c r="E643" i="4"/>
  <c r="T539" i="4"/>
  <c r="E539" i="4"/>
  <c r="X643" i="4"/>
  <c r="Q643" i="4"/>
  <c r="X539" i="4"/>
  <c r="Q539" i="4"/>
  <c r="X435" i="4"/>
  <c r="Q435" i="4"/>
  <c r="X331" i="4"/>
  <c r="Q331" i="4"/>
  <c r="W435" i="4"/>
  <c r="N435" i="4"/>
  <c r="W331" i="4"/>
  <c r="N331" i="4"/>
  <c r="Z435" i="4"/>
  <c r="K435" i="4"/>
  <c r="Z331" i="4"/>
  <c r="K331" i="4"/>
  <c r="T435" i="4"/>
  <c r="E435" i="4"/>
  <c r="T331" i="4"/>
  <c r="E331" i="4"/>
  <c r="Z227" i="4"/>
  <c r="K227" i="4"/>
  <c r="Z123" i="4"/>
  <c r="K123" i="4"/>
  <c r="T227" i="4"/>
  <c r="E227" i="4"/>
  <c r="T123" i="4"/>
  <c r="E123" i="4"/>
  <c r="X227" i="4"/>
  <c r="Q227" i="4"/>
  <c r="X123" i="4"/>
  <c r="Q123" i="4"/>
  <c r="W227" i="4"/>
  <c r="N227" i="4"/>
  <c r="W123" i="4"/>
  <c r="N123" i="4"/>
  <c r="Z19" i="4"/>
  <c r="K19" i="4"/>
  <c r="T19" i="4"/>
  <c r="E19" i="4"/>
  <c r="X19" i="4"/>
  <c r="Q19" i="4"/>
  <c r="W19" i="4"/>
  <c r="N19" i="4"/>
  <c r="Z1165" i="4"/>
  <c r="K1165" i="4"/>
  <c r="T1165" i="4"/>
  <c r="E1165" i="4"/>
  <c r="X1165" i="4"/>
  <c r="Q1165" i="4"/>
  <c r="W1165" i="4"/>
  <c r="N1165" i="4"/>
  <c r="Z1061" i="4"/>
  <c r="K1061" i="4"/>
  <c r="T1061" i="4"/>
  <c r="E1061" i="4"/>
  <c r="X1061" i="4"/>
  <c r="Q1061" i="4"/>
  <c r="W1061" i="4"/>
  <c r="N1061" i="4"/>
  <c r="W957" i="4"/>
  <c r="N957" i="4"/>
  <c r="Z957" i="4"/>
  <c r="K957" i="4"/>
  <c r="T957" i="4"/>
  <c r="E957" i="4"/>
  <c r="X957" i="4"/>
  <c r="Q957" i="4"/>
  <c r="T853" i="4"/>
  <c r="E853" i="4"/>
  <c r="T749" i="4"/>
  <c r="E749" i="4"/>
  <c r="X853" i="4"/>
  <c r="Q853" i="4"/>
  <c r="X749" i="4"/>
  <c r="Q749" i="4"/>
  <c r="W853" i="4"/>
  <c r="N853" i="4"/>
  <c r="W749" i="4"/>
  <c r="N749" i="4"/>
  <c r="Z853" i="4"/>
  <c r="K853" i="4"/>
  <c r="V853" i="4" s="1"/>
  <c r="Z749" i="4"/>
  <c r="K749" i="4"/>
  <c r="W645" i="4"/>
  <c r="N645" i="4"/>
  <c r="W541" i="4"/>
  <c r="N541" i="4"/>
  <c r="Z645" i="4"/>
  <c r="K645" i="4"/>
  <c r="Z541" i="4"/>
  <c r="K541" i="4"/>
  <c r="T645" i="4"/>
  <c r="E645" i="4"/>
  <c r="T541" i="4"/>
  <c r="E541" i="4"/>
  <c r="X645" i="4"/>
  <c r="Q645" i="4"/>
  <c r="X541" i="4"/>
  <c r="Q541" i="4"/>
  <c r="X437" i="4"/>
  <c r="Q437" i="4"/>
  <c r="X333" i="4"/>
  <c r="Q333" i="4"/>
  <c r="W437" i="4"/>
  <c r="N437" i="4"/>
  <c r="W333" i="4"/>
  <c r="N333" i="4"/>
  <c r="Z437" i="4"/>
  <c r="K437" i="4"/>
  <c r="Z333" i="4"/>
  <c r="K333" i="4"/>
  <c r="T437" i="4"/>
  <c r="E437" i="4"/>
  <c r="T333" i="4"/>
  <c r="E333" i="4"/>
  <c r="Z229" i="4"/>
  <c r="K229" i="4"/>
  <c r="Z125" i="4"/>
  <c r="K125" i="4"/>
  <c r="T229" i="4"/>
  <c r="E229" i="4"/>
  <c r="T125" i="4"/>
  <c r="E125" i="4"/>
  <c r="X229" i="4"/>
  <c r="Q229" i="4"/>
  <c r="X125" i="4"/>
  <c r="Q125" i="4"/>
  <c r="W229" i="4"/>
  <c r="N229" i="4"/>
  <c r="W125" i="4"/>
  <c r="N125" i="4"/>
  <c r="Z21" i="4"/>
  <c r="K21" i="4"/>
  <c r="T21" i="4"/>
  <c r="E21" i="4"/>
  <c r="X21" i="4"/>
  <c r="Q21" i="4"/>
  <c r="W21" i="4"/>
  <c r="N21" i="4"/>
  <c r="Z1167" i="4"/>
  <c r="K1167" i="4"/>
  <c r="T1167" i="4"/>
  <c r="E1167" i="4"/>
  <c r="X1167" i="4"/>
  <c r="Q1167" i="4"/>
  <c r="W1167" i="4"/>
  <c r="N1167" i="4"/>
  <c r="Z1063" i="4"/>
  <c r="K1063" i="4"/>
  <c r="T1063" i="4"/>
  <c r="E1063" i="4"/>
  <c r="X1063" i="4"/>
  <c r="Q1063" i="4"/>
  <c r="W1063" i="4"/>
  <c r="N1063" i="4"/>
  <c r="W959" i="4"/>
  <c r="N959" i="4"/>
  <c r="Z959" i="4"/>
  <c r="K959" i="4"/>
  <c r="T959" i="4"/>
  <c r="E959" i="4"/>
  <c r="X959" i="4"/>
  <c r="Q959" i="4"/>
  <c r="T855" i="4"/>
  <c r="E855" i="4"/>
  <c r="T751" i="4"/>
  <c r="E751" i="4"/>
  <c r="X855" i="4"/>
  <c r="Q855" i="4"/>
  <c r="X751" i="4"/>
  <c r="Q751" i="4"/>
  <c r="W855" i="4"/>
  <c r="N855" i="4"/>
  <c r="W751" i="4"/>
  <c r="N751" i="4"/>
  <c r="Z855" i="4"/>
  <c r="K855" i="4"/>
  <c r="V855" i="4" s="1"/>
  <c r="Z751" i="4"/>
  <c r="K751" i="4"/>
  <c r="W647" i="4"/>
  <c r="N647" i="4"/>
  <c r="W543" i="4"/>
  <c r="N543" i="4"/>
  <c r="Z647" i="4"/>
  <c r="K647" i="4"/>
  <c r="Z543" i="4"/>
  <c r="K543" i="4"/>
  <c r="T647" i="4"/>
  <c r="E647" i="4"/>
  <c r="T543" i="4"/>
  <c r="E543" i="4"/>
  <c r="X647" i="4"/>
  <c r="Q647" i="4"/>
  <c r="X543" i="4"/>
  <c r="Q543" i="4"/>
  <c r="X439" i="4"/>
  <c r="Q439" i="4"/>
  <c r="X335" i="4"/>
  <c r="Q335" i="4"/>
  <c r="W439" i="4"/>
  <c r="N439" i="4"/>
  <c r="W335" i="4"/>
  <c r="N335" i="4"/>
  <c r="Z439" i="4"/>
  <c r="K439" i="4"/>
  <c r="Z335" i="4"/>
  <c r="K335" i="4"/>
  <c r="T439" i="4"/>
  <c r="E439" i="4"/>
  <c r="T335" i="4"/>
  <c r="E335" i="4"/>
  <c r="Z231" i="4"/>
  <c r="K231" i="4"/>
  <c r="Z127" i="4"/>
  <c r="K127" i="4"/>
  <c r="T231" i="4"/>
  <c r="E231" i="4"/>
  <c r="T127" i="4"/>
  <c r="E127" i="4"/>
  <c r="X231" i="4"/>
  <c r="Q231" i="4"/>
  <c r="X127" i="4"/>
  <c r="Q127" i="4"/>
  <c r="W231" i="4"/>
  <c r="N231" i="4"/>
  <c r="W127" i="4"/>
  <c r="N127" i="4"/>
  <c r="Z23" i="4"/>
  <c r="K23" i="4"/>
  <c r="T23" i="4"/>
  <c r="E23" i="4"/>
  <c r="X23" i="4"/>
  <c r="Q23" i="4"/>
  <c r="W23" i="4"/>
  <c r="N23" i="4"/>
  <c r="Z1169" i="4"/>
  <c r="K1169" i="4"/>
  <c r="T1169" i="4"/>
  <c r="E1169" i="4"/>
  <c r="X1169" i="4"/>
  <c r="Q1169" i="4"/>
  <c r="W1169" i="4"/>
  <c r="N1169" i="4"/>
  <c r="Z1065" i="4"/>
  <c r="K1065" i="4"/>
  <c r="T1065" i="4"/>
  <c r="E1065" i="4"/>
  <c r="X1065" i="4"/>
  <c r="Q1065" i="4"/>
  <c r="W1065" i="4"/>
  <c r="N1065" i="4"/>
  <c r="W961" i="4"/>
  <c r="N961" i="4"/>
  <c r="Z961" i="4"/>
  <c r="K961" i="4"/>
  <c r="T961" i="4"/>
  <c r="E961" i="4"/>
  <c r="X961" i="4"/>
  <c r="Q961" i="4"/>
  <c r="T857" i="4"/>
  <c r="E857" i="4"/>
  <c r="T753" i="4"/>
  <c r="E753" i="4"/>
  <c r="X857" i="4"/>
  <c r="Q857" i="4"/>
  <c r="X753" i="4"/>
  <c r="Q753" i="4"/>
  <c r="W857" i="4"/>
  <c r="N857" i="4"/>
  <c r="W753" i="4"/>
  <c r="N753" i="4"/>
  <c r="Z857" i="4"/>
  <c r="K857" i="4"/>
  <c r="V857" i="4" s="1"/>
  <c r="Z753" i="4"/>
  <c r="K753" i="4"/>
  <c r="V753" i="4" s="1"/>
  <c r="W649" i="4"/>
  <c r="N649" i="4"/>
  <c r="W545" i="4"/>
  <c r="N545" i="4"/>
  <c r="Z649" i="4"/>
  <c r="K649" i="4"/>
  <c r="Z545" i="4"/>
  <c r="K545" i="4"/>
  <c r="T649" i="4"/>
  <c r="E649" i="4"/>
  <c r="T545" i="4"/>
  <c r="E545" i="4"/>
  <c r="X649" i="4"/>
  <c r="Q649" i="4"/>
  <c r="X545" i="4"/>
  <c r="Q545" i="4"/>
  <c r="X441" i="4"/>
  <c r="Q441" i="4"/>
  <c r="X337" i="4"/>
  <c r="Q337" i="4"/>
  <c r="W441" i="4"/>
  <c r="N441" i="4"/>
  <c r="W337" i="4"/>
  <c r="N337" i="4"/>
  <c r="Z441" i="4"/>
  <c r="K441" i="4"/>
  <c r="Z337" i="4"/>
  <c r="K337" i="4"/>
  <c r="T441" i="4"/>
  <c r="E441" i="4"/>
  <c r="T337" i="4"/>
  <c r="E337" i="4"/>
  <c r="Z233" i="4"/>
  <c r="K233" i="4"/>
  <c r="Z129" i="4"/>
  <c r="K129" i="4"/>
  <c r="T233" i="4"/>
  <c r="E233" i="4"/>
  <c r="T129" i="4"/>
  <c r="E129" i="4"/>
  <c r="X233" i="4"/>
  <c r="Q233" i="4"/>
  <c r="X129" i="4"/>
  <c r="Q129" i="4"/>
  <c r="W233" i="4"/>
  <c r="N233" i="4"/>
  <c r="W129" i="4"/>
  <c r="N129" i="4"/>
  <c r="Z25" i="4"/>
  <c r="K25" i="4"/>
  <c r="T25" i="4"/>
  <c r="E25" i="4"/>
  <c r="X25" i="4"/>
  <c r="Q25" i="4"/>
  <c r="W25" i="4"/>
  <c r="N25" i="4"/>
  <c r="Z1171" i="4"/>
  <c r="K1171" i="4"/>
  <c r="T1171" i="4"/>
  <c r="E1171" i="4"/>
  <c r="X1171" i="4"/>
  <c r="Q1171" i="4"/>
  <c r="W1171" i="4"/>
  <c r="N1171" i="4"/>
  <c r="Z1067" i="4"/>
  <c r="K1067" i="4"/>
  <c r="T1067" i="4"/>
  <c r="E1067" i="4"/>
  <c r="X1067" i="4"/>
  <c r="Q1067" i="4"/>
  <c r="W1067" i="4"/>
  <c r="N1067" i="4"/>
  <c r="W963" i="4"/>
  <c r="N963" i="4"/>
  <c r="Z963" i="4"/>
  <c r="K963" i="4"/>
  <c r="T963" i="4"/>
  <c r="E963" i="4"/>
  <c r="X963" i="4"/>
  <c r="Q963" i="4"/>
  <c r="T859" i="4"/>
  <c r="E859" i="4"/>
  <c r="T755" i="4"/>
  <c r="E755" i="4"/>
  <c r="X859" i="4"/>
  <c r="Q859" i="4"/>
  <c r="X755" i="4"/>
  <c r="Q755" i="4"/>
  <c r="W859" i="4"/>
  <c r="N859" i="4"/>
  <c r="W755" i="4"/>
  <c r="N755" i="4"/>
  <c r="Z859" i="4"/>
  <c r="K859" i="4"/>
  <c r="V859" i="4" s="1"/>
  <c r="Z755" i="4"/>
  <c r="K755" i="4"/>
  <c r="V755" i="4" s="1"/>
  <c r="W651" i="4"/>
  <c r="N651" i="4"/>
  <c r="W547" i="4"/>
  <c r="N547" i="4"/>
  <c r="Z651" i="4"/>
  <c r="K651" i="4"/>
  <c r="Z547" i="4"/>
  <c r="K547" i="4"/>
  <c r="T651" i="4"/>
  <c r="E651" i="4"/>
  <c r="T547" i="4"/>
  <c r="E547" i="4"/>
  <c r="X651" i="4"/>
  <c r="Q651" i="4"/>
  <c r="X547" i="4"/>
  <c r="Q547" i="4"/>
  <c r="X443" i="4"/>
  <c r="Q443" i="4"/>
  <c r="X339" i="4"/>
  <c r="Q339" i="4"/>
  <c r="W443" i="4"/>
  <c r="N443" i="4"/>
  <c r="W339" i="4"/>
  <c r="N339" i="4"/>
  <c r="Z443" i="4"/>
  <c r="K443" i="4"/>
  <c r="Z339" i="4"/>
  <c r="K339" i="4"/>
  <c r="T443" i="4"/>
  <c r="E443" i="4"/>
  <c r="T339" i="4"/>
  <c r="E339" i="4"/>
  <c r="Z235" i="4"/>
  <c r="K235" i="4"/>
  <c r="Z131" i="4"/>
  <c r="K131" i="4"/>
  <c r="T235" i="4"/>
  <c r="E235" i="4"/>
  <c r="T131" i="4"/>
  <c r="E131" i="4"/>
  <c r="X235" i="4"/>
  <c r="Q235" i="4"/>
  <c r="X131" i="4"/>
  <c r="Q131" i="4"/>
  <c r="W235" i="4"/>
  <c r="N235" i="4"/>
  <c r="W131" i="4"/>
  <c r="N131" i="4"/>
  <c r="Z27" i="4"/>
  <c r="K27" i="4"/>
  <c r="T27" i="4"/>
  <c r="E27" i="4"/>
  <c r="X27" i="4"/>
  <c r="Q27" i="4"/>
  <c r="W27" i="4"/>
  <c r="N27" i="4"/>
  <c r="Z1173" i="4"/>
  <c r="K1173" i="4"/>
  <c r="T1173" i="4"/>
  <c r="E1173" i="4"/>
  <c r="X1173" i="4"/>
  <c r="Q1173" i="4"/>
  <c r="W1173" i="4"/>
  <c r="N1173" i="4"/>
  <c r="Z1069" i="4"/>
  <c r="K1069" i="4"/>
  <c r="T1069" i="4"/>
  <c r="E1069" i="4"/>
  <c r="X1069" i="4"/>
  <c r="Q1069" i="4"/>
  <c r="W1069" i="4"/>
  <c r="N1069" i="4"/>
  <c r="W965" i="4"/>
  <c r="N965" i="4"/>
  <c r="Z965" i="4"/>
  <c r="K965" i="4"/>
  <c r="T965" i="4"/>
  <c r="E965" i="4"/>
  <c r="X965" i="4"/>
  <c r="Q965" i="4"/>
  <c r="T861" i="4"/>
  <c r="E861" i="4"/>
  <c r="T757" i="4"/>
  <c r="E757" i="4"/>
  <c r="X861" i="4"/>
  <c r="Q861" i="4"/>
  <c r="X757" i="4"/>
  <c r="Q757" i="4"/>
  <c r="W861" i="4"/>
  <c r="N861" i="4"/>
  <c r="W757" i="4"/>
  <c r="N757" i="4"/>
  <c r="Z861" i="4"/>
  <c r="K861" i="4"/>
  <c r="V861" i="4" s="1"/>
  <c r="Z757" i="4"/>
  <c r="K757" i="4"/>
  <c r="V757" i="4" s="1"/>
  <c r="W653" i="4"/>
  <c r="N653" i="4"/>
  <c r="W549" i="4"/>
  <c r="N549" i="4"/>
  <c r="Z653" i="4"/>
  <c r="K653" i="4"/>
  <c r="Z549" i="4"/>
  <c r="K549" i="4"/>
  <c r="T653" i="4"/>
  <c r="E653" i="4"/>
  <c r="T549" i="4"/>
  <c r="E549" i="4"/>
  <c r="X653" i="4"/>
  <c r="Q653" i="4"/>
  <c r="X549" i="4"/>
  <c r="Q549" i="4"/>
  <c r="X445" i="4"/>
  <c r="Q445" i="4"/>
  <c r="X341" i="4"/>
  <c r="Q341" i="4"/>
  <c r="W445" i="4"/>
  <c r="N445" i="4"/>
  <c r="W341" i="4"/>
  <c r="N341" i="4"/>
  <c r="Z445" i="4"/>
  <c r="K445" i="4"/>
  <c r="Z341" i="4"/>
  <c r="K341" i="4"/>
  <c r="T445" i="4"/>
  <c r="E445" i="4"/>
  <c r="T341" i="4"/>
  <c r="E341" i="4"/>
  <c r="Z237" i="4"/>
  <c r="K237" i="4"/>
  <c r="Z133" i="4"/>
  <c r="K133" i="4"/>
  <c r="T237" i="4"/>
  <c r="E237" i="4"/>
  <c r="T133" i="4"/>
  <c r="E133" i="4"/>
  <c r="X237" i="4"/>
  <c r="Q237" i="4"/>
  <c r="X133" i="4"/>
  <c r="Q133" i="4"/>
  <c r="W237" i="4"/>
  <c r="N237" i="4"/>
  <c r="W133" i="4"/>
  <c r="N133" i="4"/>
  <c r="Z29" i="4"/>
  <c r="K29" i="4"/>
  <c r="T29" i="4"/>
  <c r="E29" i="4"/>
  <c r="X29" i="4"/>
  <c r="Q29" i="4"/>
  <c r="W29" i="4"/>
  <c r="N29" i="4"/>
  <c r="Z1175" i="4"/>
  <c r="K1175" i="4"/>
  <c r="T1175" i="4"/>
  <c r="E1175" i="4"/>
  <c r="X1175" i="4"/>
  <c r="Q1175" i="4"/>
  <c r="W1175" i="4"/>
  <c r="N1175" i="4"/>
  <c r="Z1071" i="4"/>
  <c r="K1071" i="4"/>
  <c r="T1071" i="4"/>
  <c r="E1071" i="4"/>
  <c r="X1071" i="4"/>
  <c r="Q1071" i="4"/>
  <c r="W1071" i="4"/>
  <c r="N1071" i="4"/>
  <c r="W967" i="4"/>
  <c r="N967" i="4"/>
  <c r="Z967" i="4"/>
  <c r="K967" i="4"/>
  <c r="T967" i="4"/>
  <c r="E967" i="4"/>
  <c r="X967" i="4"/>
  <c r="Q967" i="4"/>
  <c r="T863" i="4"/>
  <c r="E863" i="4"/>
  <c r="T759" i="4"/>
  <c r="E759" i="4"/>
  <c r="X863" i="4"/>
  <c r="Q863" i="4"/>
  <c r="X759" i="4"/>
  <c r="Q759" i="4"/>
  <c r="W863" i="4"/>
  <c r="N863" i="4"/>
  <c r="W759" i="4"/>
  <c r="N759" i="4"/>
  <c r="Z863" i="4"/>
  <c r="K863" i="4"/>
  <c r="Z759" i="4"/>
  <c r="K759" i="4"/>
  <c r="V759" i="4" s="1"/>
  <c r="W655" i="4"/>
  <c r="N655" i="4"/>
  <c r="W551" i="4"/>
  <c r="N551" i="4"/>
  <c r="Z655" i="4"/>
  <c r="K655" i="4"/>
  <c r="Z551" i="4"/>
  <c r="K551" i="4"/>
  <c r="T655" i="4"/>
  <c r="E655" i="4"/>
  <c r="T551" i="4"/>
  <c r="E551" i="4"/>
  <c r="X655" i="4"/>
  <c r="Q655" i="4"/>
  <c r="X551" i="4"/>
  <c r="Q551" i="4"/>
  <c r="X447" i="4"/>
  <c r="Q447" i="4"/>
  <c r="X343" i="4"/>
  <c r="Q343" i="4"/>
  <c r="W447" i="4"/>
  <c r="N447" i="4"/>
  <c r="W343" i="4"/>
  <c r="N343" i="4"/>
  <c r="Z447" i="4"/>
  <c r="K447" i="4"/>
  <c r="Z343" i="4"/>
  <c r="K343" i="4"/>
  <c r="T447" i="4"/>
  <c r="E447" i="4"/>
  <c r="T343" i="4"/>
  <c r="E343" i="4"/>
  <c r="Z239" i="4"/>
  <c r="K239" i="4"/>
  <c r="Z135" i="4"/>
  <c r="K135" i="4"/>
  <c r="T239" i="4"/>
  <c r="E239" i="4"/>
  <c r="T135" i="4"/>
  <c r="E135" i="4"/>
  <c r="X239" i="4"/>
  <c r="Q239" i="4"/>
  <c r="X135" i="4"/>
  <c r="Q135" i="4"/>
  <c r="W239" i="4"/>
  <c r="N239" i="4"/>
  <c r="W135" i="4"/>
  <c r="N135" i="4"/>
  <c r="Z31" i="4"/>
  <c r="K31" i="4"/>
  <c r="T31" i="4"/>
  <c r="E31" i="4"/>
  <c r="X31" i="4"/>
  <c r="Q31" i="4"/>
  <c r="W31" i="4"/>
  <c r="N31" i="4"/>
  <c r="Z1177" i="4"/>
  <c r="K1177" i="4"/>
  <c r="T1177" i="4"/>
  <c r="E1177" i="4"/>
  <c r="X1177" i="4"/>
  <c r="Q1177" i="4"/>
  <c r="W1177" i="4"/>
  <c r="N1177" i="4"/>
  <c r="Z1073" i="4"/>
  <c r="K1073" i="4"/>
  <c r="T1073" i="4"/>
  <c r="E1073" i="4"/>
  <c r="X1073" i="4"/>
  <c r="Q1073" i="4"/>
  <c r="W1073" i="4"/>
  <c r="N1073" i="4"/>
  <c r="W969" i="4"/>
  <c r="N969" i="4"/>
  <c r="Z969" i="4"/>
  <c r="K969" i="4"/>
  <c r="T969" i="4"/>
  <c r="E969" i="4"/>
  <c r="X969" i="4"/>
  <c r="Q969" i="4"/>
  <c r="T865" i="4"/>
  <c r="E865" i="4"/>
  <c r="T761" i="4"/>
  <c r="E761" i="4"/>
  <c r="X865" i="4"/>
  <c r="Q865" i="4"/>
  <c r="X761" i="4"/>
  <c r="Q761" i="4"/>
  <c r="W865" i="4"/>
  <c r="N865" i="4"/>
  <c r="W761" i="4"/>
  <c r="N761" i="4"/>
  <c r="Z865" i="4"/>
  <c r="K865" i="4"/>
  <c r="Z761" i="4"/>
  <c r="K761" i="4"/>
  <c r="V761" i="4" s="1"/>
  <c r="W657" i="4"/>
  <c r="N657" i="4"/>
  <c r="W553" i="4"/>
  <c r="N553" i="4"/>
  <c r="Z657" i="4"/>
  <c r="K657" i="4"/>
  <c r="Z553" i="4"/>
  <c r="K553" i="4"/>
  <c r="T657" i="4"/>
  <c r="E657" i="4"/>
  <c r="T553" i="4"/>
  <c r="E553" i="4"/>
  <c r="X657" i="4"/>
  <c r="Q657" i="4"/>
  <c r="X553" i="4"/>
  <c r="Q553" i="4"/>
  <c r="X449" i="4"/>
  <c r="Q449" i="4"/>
  <c r="X345" i="4"/>
  <c r="Q345" i="4"/>
  <c r="W449" i="4"/>
  <c r="N449" i="4"/>
  <c r="W345" i="4"/>
  <c r="N345" i="4"/>
  <c r="Z449" i="4"/>
  <c r="K449" i="4"/>
  <c r="Z345" i="4"/>
  <c r="K345" i="4"/>
  <c r="T449" i="4"/>
  <c r="E449" i="4"/>
  <c r="T345" i="4"/>
  <c r="E345" i="4"/>
  <c r="Z241" i="4"/>
  <c r="K241" i="4"/>
  <c r="Z137" i="4"/>
  <c r="K137" i="4"/>
  <c r="T241" i="4"/>
  <c r="E241" i="4"/>
  <c r="T137" i="4"/>
  <c r="E137" i="4"/>
  <c r="X241" i="4"/>
  <c r="Q241" i="4"/>
  <c r="X137" i="4"/>
  <c r="Q137" i="4"/>
  <c r="W241" i="4"/>
  <c r="N241" i="4"/>
  <c r="W137" i="4"/>
  <c r="N137" i="4"/>
  <c r="Z33" i="4"/>
  <c r="K33" i="4"/>
  <c r="T33" i="4"/>
  <c r="E33" i="4"/>
  <c r="X33" i="4"/>
  <c r="Q33" i="4"/>
  <c r="W33" i="4"/>
  <c r="N33" i="4"/>
  <c r="Z1179" i="4"/>
  <c r="K1179" i="4"/>
  <c r="T1179" i="4"/>
  <c r="E1179" i="4"/>
  <c r="X1179" i="4"/>
  <c r="Q1179" i="4"/>
  <c r="W1179" i="4"/>
  <c r="N1179" i="4"/>
  <c r="Z1075" i="4"/>
  <c r="K1075" i="4"/>
  <c r="T1075" i="4"/>
  <c r="E1075" i="4"/>
  <c r="X1075" i="4"/>
  <c r="Q1075" i="4"/>
  <c r="W1075" i="4"/>
  <c r="N1075" i="4"/>
  <c r="W971" i="4"/>
  <c r="N971" i="4"/>
  <c r="Z971" i="4"/>
  <c r="K971" i="4"/>
  <c r="T971" i="4"/>
  <c r="E971" i="4"/>
  <c r="X971" i="4"/>
  <c r="Q971" i="4"/>
  <c r="T867" i="4"/>
  <c r="E867" i="4"/>
  <c r="T763" i="4"/>
  <c r="E763" i="4"/>
  <c r="X867" i="4"/>
  <c r="Q867" i="4"/>
  <c r="X763" i="4"/>
  <c r="Q763" i="4"/>
  <c r="W867" i="4"/>
  <c r="N867" i="4"/>
  <c r="W763" i="4"/>
  <c r="N763" i="4"/>
  <c r="Z867" i="4"/>
  <c r="K867" i="4"/>
  <c r="Z763" i="4"/>
  <c r="K763" i="4"/>
  <c r="V763" i="4" s="1"/>
  <c r="W659" i="4"/>
  <c r="N659" i="4"/>
  <c r="W555" i="4"/>
  <c r="N555" i="4"/>
  <c r="Z659" i="4"/>
  <c r="K659" i="4"/>
  <c r="Z555" i="4"/>
  <c r="K555" i="4"/>
  <c r="T659" i="4"/>
  <c r="E659" i="4"/>
  <c r="T555" i="4"/>
  <c r="E555" i="4"/>
  <c r="X659" i="4"/>
  <c r="Q659" i="4"/>
  <c r="X555" i="4"/>
  <c r="Q555" i="4"/>
  <c r="X451" i="4"/>
  <c r="Q451" i="4"/>
  <c r="X347" i="4"/>
  <c r="Q347" i="4"/>
  <c r="W451" i="4"/>
  <c r="N451" i="4"/>
  <c r="W347" i="4"/>
  <c r="N347" i="4"/>
  <c r="Z451" i="4"/>
  <c r="K451" i="4"/>
  <c r="Z347" i="4"/>
  <c r="K347" i="4"/>
  <c r="T451" i="4"/>
  <c r="E451" i="4"/>
  <c r="T347" i="4"/>
  <c r="E347" i="4"/>
  <c r="Z243" i="4"/>
  <c r="K243" i="4"/>
  <c r="Z139" i="4"/>
  <c r="K139" i="4"/>
  <c r="T243" i="4"/>
  <c r="E243" i="4"/>
  <c r="T139" i="4"/>
  <c r="E139" i="4"/>
  <c r="X243" i="4"/>
  <c r="Q243" i="4"/>
  <c r="X139" i="4"/>
  <c r="Q139" i="4"/>
  <c r="W243" i="4"/>
  <c r="N243" i="4"/>
  <c r="W139" i="4"/>
  <c r="N139" i="4"/>
  <c r="Z35" i="4"/>
  <c r="K35" i="4"/>
  <c r="T35" i="4"/>
  <c r="E35" i="4"/>
  <c r="X35" i="4"/>
  <c r="Q35" i="4"/>
  <c r="W35" i="4"/>
  <c r="N35" i="4"/>
  <c r="Z1181" i="4"/>
  <c r="K1181" i="4"/>
  <c r="T1181" i="4"/>
  <c r="E1181" i="4"/>
  <c r="X1181" i="4"/>
  <c r="Q1181" i="4"/>
  <c r="W1181" i="4"/>
  <c r="N1181" i="4"/>
  <c r="Z1077" i="4"/>
  <c r="K1077" i="4"/>
  <c r="T1077" i="4"/>
  <c r="E1077" i="4"/>
  <c r="X1077" i="4"/>
  <c r="Q1077" i="4"/>
  <c r="W1077" i="4"/>
  <c r="N1077" i="4"/>
  <c r="W973" i="4"/>
  <c r="N973" i="4"/>
  <c r="Z973" i="4"/>
  <c r="K973" i="4"/>
  <c r="T973" i="4"/>
  <c r="E973" i="4"/>
  <c r="X973" i="4"/>
  <c r="Q973" i="4"/>
  <c r="T869" i="4"/>
  <c r="E869" i="4"/>
  <c r="T765" i="4"/>
  <c r="E765" i="4"/>
  <c r="X869" i="4"/>
  <c r="Q869" i="4"/>
  <c r="X765" i="4"/>
  <c r="Q765" i="4"/>
  <c r="W869" i="4"/>
  <c r="N869" i="4"/>
  <c r="W765" i="4"/>
  <c r="N765" i="4"/>
  <c r="Z869" i="4"/>
  <c r="K869" i="4"/>
  <c r="Z765" i="4"/>
  <c r="K765" i="4"/>
  <c r="V765" i="4" s="1"/>
  <c r="W661" i="4"/>
  <c r="N661" i="4"/>
  <c r="W557" i="4"/>
  <c r="N557" i="4"/>
  <c r="Z661" i="4"/>
  <c r="K661" i="4"/>
  <c r="Z557" i="4"/>
  <c r="K557" i="4"/>
  <c r="T661" i="4"/>
  <c r="E661" i="4"/>
  <c r="T557" i="4"/>
  <c r="E557" i="4"/>
  <c r="X661" i="4"/>
  <c r="Q661" i="4"/>
  <c r="X557" i="4"/>
  <c r="Q557" i="4"/>
  <c r="X453" i="4"/>
  <c r="Q453" i="4"/>
  <c r="X349" i="4"/>
  <c r="Q349" i="4"/>
  <c r="W453" i="4"/>
  <c r="N453" i="4"/>
  <c r="W349" i="4"/>
  <c r="N349" i="4"/>
  <c r="Z453" i="4"/>
  <c r="K453" i="4"/>
  <c r="Z349" i="4"/>
  <c r="K349" i="4"/>
  <c r="T453" i="4"/>
  <c r="E453" i="4"/>
  <c r="T349" i="4"/>
  <c r="E349" i="4"/>
  <c r="Z245" i="4"/>
  <c r="K245" i="4"/>
  <c r="Z141" i="4"/>
  <c r="K141" i="4"/>
  <c r="T245" i="4"/>
  <c r="E245" i="4"/>
  <c r="T141" i="4"/>
  <c r="E141" i="4"/>
  <c r="X245" i="4"/>
  <c r="Q245" i="4"/>
  <c r="X141" i="4"/>
  <c r="Q141" i="4"/>
  <c r="W245" i="4"/>
  <c r="N245" i="4"/>
  <c r="W141" i="4"/>
  <c r="N141" i="4"/>
  <c r="Z37" i="4"/>
  <c r="K37" i="4"/>
  <c r="T37" i="4"/>
  <c r="E37" i="4"/>
  <c r="X37" i="4"/>
  <c r="Q37" i="4"/>
  <c r="W37" i="4"/>
  <c r="N37" i="4"/>
  <c r="Z1183" i="4"/>
  <c r="K1183" i="4"/>
  <c r="T1183" i="4"/>
  <c r="E1183" i="4"/>
  <c r="X1183" i="4"/>
  <c r="Q1183" i="4"/>
  <c r="W1183" i="4"/>
  <c r="N1183" i="4"/>
  <c r="Z1079" i="4"/>
  <c r="K1079" i="4"/>
  <c r="T1079" i="4"/>
  <c r="E1079" i="4"/>
  <c r="X1079" i="4"/>
  <c r="Q1079" i="4"/>
  <c r="W1079" i="4"/>
  <c r="N1079" i="4"/>
  <c r="W975" i="4"/>
  <c r="N975" i="4"/>
  <c r="Z975" i="4"/>
  <c r="K975" i="4"/>
  <c r="T975" i="4"/>
  <c r="E975" i="4"/>
  <c r="X975" i="4"/>
  <c r="Q975" i="4"/>
  <c r="T871" i="4"/>
  <c r="E871" i="4"/>
  <c r="T767" i="4"/>
  <c r="E767" i="4"/>
  <c r="X871" i="4"/>
  <c r="Q871" i="4"/>
  <c r="X767" i="4"/>
  <c r="Q767" i="4"/>
  <c r="W871" i="4"/>
  <c r="N871" i="4"/>
  <c r="W767" i="4"/>
  <c r="N767" i="4"/>
  <c r="Z871" i="4"/>
  <c r="K871" i="4"/>
  <c r="V871" i="4" s="1"/>
  <c r="Z767" i="4"/>
  <c r="K767" i="4"/>
  <c r="W663" i="4"/>
  <c r="N663" i="4"/>
  <c r="W559" i="4"/>
  <c r="N559" i="4"/>
  <c r="Z663" i="4"/>
  <c r="K663" i="4"/>
  <c r="Z559" i="4"/>
  <c r="K559" i="4"/>
  <c r="T663" i="4"/>
  <c r="E663" i="4"/>
  <c r="T559" i="4"/>
  <c r="E559" i="4"/>
  <c r="X663" i="4"/>
  <c r="Q663" i="4"/>
  <c r="X559" i="4"/>
  <c r="Q559" i="4"/>
  <c r="X455" i="4"/>
  <c r="Q455" i="4"/>
  <c r="X351" i="4"/>
  <c r="Q351" i="4"/>
  <c r="W455" i="4"/>
  <c r="N455" i="4"/>
  <c r="W351" i="4"/>
  <c r="N351" i="4"/>
  <c r="Z455" i="4"/>
  <c r="K455" i="4"/>
  <c r="Z351" i="4"/>
  <c r="K351" i="4"/>
  <c r="T455" i="4"/>
  <c r="E455" i="4"/>
  <c r="T351" i="4"/>
  <c r="E351" i="4"/>
  <c r="Z247" i="4"/>
  <c r="K247" i="4"/>
  <c r="Z143" i="4"/>
  <c r="K143" i="4"/>
  <c r="T247" i="4"/>
  <c r="E247" i="4"/>
  <c r="T143" i="4"/>
  <c r="E143" i="4"/>
  <c r="X247" i="4"/>
  <c r="Q247" i="4"/>
  <c r="X143" i="4"/>
  <c r="Q143" i="4"/>
  <c r="W247" i="4"/>
  <c r="N247" i="4"/>
  <c r="W143" i="4"/>
  <c r="N143" i="4"/>
  <c r="Z39" i="4"/>
  <c r="K39" i="4"/>
  <c r="T39" i="4"/>
  <c r="E39" i="4"/>
  <c r="X39" i="4"/>
  <c r="Q39" i="4"/>
  <c r="W39" i="4"/>
  <c r="N39" i="4"/>
  <c r="Z1185" i="4"/>
  <c r="K1185" i="4"/>
  <c r="T1185" i="4"/>
  <c r="E1185" i="4"/>
  <c r="X1185" i="4"/>
  <c r="Q1185" i="4"/>
  <c r="W1185" i="4"/>
  <c r="N1185" i="4"/>
  <c r="Z1081" i="4"/>
  <c r="K1081" i="4"/>
  <c r="T1081" i="4"/>
  <c r="E1081" i="4"/>
  <c r="X1081" i="4"/>
  <c r="Q1081" i="4"/>
  <c r="W1081" i="4"/>
  <c r="N1081" i="4"/>
  <c r="W977" i="4"/>
  <c r="N977" i="4"/>
  <c r="Z977" i="4"/>
  <c r="K977" i="4"/>
  <c r="T977" i="4"/>
  <c r="E977" i="4"/>
  <c r="X977" i="4"/>
  <c r="Q977" i="4"/>
  <c r="T873" i="4"/>
  <c r="E873" i="4"/>
  <c r="T769" i="4"/>
  <c r="E769" i="4"/>
  <c r="X873" i="4"/>
  <c r="Q873" i="4"/>
  <c r="X769" i="4"/>
  <c r="Q769" i="4"/>
  <c r="W873" i="4"/>
  <c r="N873" i="4"/>
  <c r="W769" i="4"/>
  <c r="N769" i="4"/>
  <c r="Z873" i="4"/>
  <c r="K873" i="4"/>
  <c r="V873" i="4" s="1"/>
  <c r="Z769" i="4"/>
  <c r="K769" i="4"/>
  <c r="W665" i="4"/>
  <c r="N665" i="4"/>
  <c r="W561" i="4"/>
  <c r="N561" i="4"/>
  <c r="Z665" i="4"/>
  <c r="K665" i="4"/>
  <c r="Z561" i="4"/>
  <c r="K561" i="4"/>
  <c r="T665" i="4"/>
  <c r="E665" i="4"/>
  <c r="T561" i="4"/>
  <c r="E561" i="4"/>
  <c r="X665" i="4"/>
  <c r="Q665" i="4"/>
  <c r="X561" i="4"/>
  <c r="Q561" i="4"/>
  <c r="X457" i="4"/>
  <c r="Q457" i="4"/>
  <c r="X353" i="4"/>
  <c r="Q353" i="4"/>
  <c r="W457" i="4"/>
  <c r="N457" i="4"/>
  <c r="W353" i="4"/>
  <c r="N353" i="4"/>
  <c r="Z457" i="4"/>
  <c r="K457" i="4"/>
  <c r="V457" i="4" s="1"/>
  <c r="Z353" i="4"/>
  <c r="K353" i="4"/>
  <c r="T457" i="4"/>
  <c r="E457" i="4"/>
  <c r="T353" i="4"/>
  <c r="E353" i="4"/>
  <c r="Z249" i="4"/>
  <c r="K249" i="4"/>
  <c r="Z145" i="4"/>
  <c r="K145" i="4"/>
  <c r="T249" i="4"/>
  <c r="E249" i="4"/>
  <c r="T145" i="4"/>
  <c r="E145" i="4"/>
  <c r="X249" i="4"/>
  <c r="Q249" i="4"/>
  <c r="X145" i="4"/>
  <c r="Q145" i="4"/>
  <c r="W249" i="4"/>
  <c r="N249" i="4"/>
  <c r="W145" i="4"/>
  <c r="N145" i="4"/>
  <c r="Z41" i="4"/>
  <c r="K41" i="4"/>
  <c r="T41" i="4"/>
  <c r="E41" i="4"/>
  <c r="X41" i="4"/>
  <c r="Q41" i="4"/>
  <c r="W41" i="4"/>
  <c r="N41" i="4"/>
  <c r="Z1187" i="4"/>
  <c r="K1187" i="4"/>
  <c r="T1187" i="4"/>
  <c r="E1187" i="4"/>
  <c r="X1187" i="4"/>
  <c r="Q1187" i="4"/>
  <c r="W1187" i="4"/>
  <c r="N1187" i="4"/>
  <c r="Z1083" i="4"/>
  <c r="K1083" i="4"/>
  <c r="T1083" i="4"/>
  <c r="E1083" i="4"/>
  <c r="X1083" i="4"/>
  <c r="Q1083" i="4"/>
  <c r="W1083" i="4"/>
  <c r="N1083" i="4"/>
  <c r="W979" i="4"/>
  <c r="N979" i="4"/>
  <c r="Z979" i="4"/>
  <c r="K979" i="4"/>
  <c r="T979" i="4"/>
  <c r="E979" i="4"/>
  <c r="X979" i="4"/>
  <c r="Q979" i="4"/>
  <c r="T875" i="4"/>
  <c r="E875" i="4"/>
  <c r="T771" i="4"/>
  <c r="E771" i="4"/>
  <c r="X875" i="4"/>
  <c r="Q875" i="4"/>
  <c r="X771" i="4"/>
  <c r="Q771" i="4"/>
  <c r="W875" i="4"/>
  <c r="N875" i="4"/>
  <c r="W771" i="4"/>
  <c r="N771" i="4"/>
  <c r="Z875" i="4"/>
  <c r="K875" i="4"/>
  <c r="V875" i="4" s="1"/>
  <c r="Z771" i="4"/>
  <c r="K771" i="4"/>
  <c r="W667" i="4"/>
  <c r="N667" i="4"/>
  <c r="W563" i="4"/>
  <c r="N563" i="4"/>
  <c r="Z667" i="4"/>
  <c r="K667" i="4"/>
  <c r="Z563" i="4"/>
  <c r="K563" i="4"/>
  <c r="T667" i="4"/>
  <c r="E667" i="4"/>
  <c r="T563" i="4"/>
  <c r="E563" i="4"/>
  <c r="X667" i="4"/>
  <c r="Q667" i="4"/>
  <c r="X563" i="4"/>
  <c r="Q563" i="4"/>
  <c r="X459" i="4"/>
  <c r="Q459" i="4"/>
  <c r="X355" i="4"/>
  <c r="Q355" i="4"/>
  <c r="W459" i="4"/>
  <c r="N459" i="4"/>
  <c r="W355" i="4"/>
  <c r="N355" i="4"/>
  <c r="Z459" i="4"/>
  <c r="K459" i="4"/>
  <c r="Z355" i="4"/>
  <c r="K355" i="4"/>
  <c r="T459" i="4"/>
  <c r="E459" i="4"/>
  <c r="T355" i="4"/>
  <c r="E355" i="4"/>
  <c r="Z251" i="4"/>
  <c r="K251" i="4"/>
  <c r="Z147" i="4"/>
  <c r="K147" i="4"/>
  <c r="T251" i="4"/>
  <c r="E251" i="4"/>
  <c r="T147" i="4"/>
  <c r="E147" i="4"/>
  <c r="X251" i="4"/>
  <c r="Q251" i="4"/>
  <c r="X147" i="4"/>
  <c r="Q147" i="4"/>
  <c r="W251" i="4"/>
  <c r="N251" i="4"/>
  <c r="W147" i="4"/>
  <c r="N147" i="4"/>
  <c r="Z43" i="4"/>
  <c r="K43" i="4"/>
  <c r="T43" i="4"/>
  <c r="E43" i="4"/>
  <c r="X43" i="4"/>
  <c r="Q43" i="4"/>
  <c r="W43" i="4"/>
  <c r="N43" i="4"/>
  <c r="Z1189" i="4"/>
  <c r="K1189" i="4"/>
  <c r="T1189" i="4"/>
  <c r="E1189" i="4"/>
  <c r="X1189" i="4"/>
  <c r="Q1189" i="4"/>
  <c r="W1189" i="4"/>
  <c r="N1189" i="4"/>
  <c r="Z1085" i="4"/>
  <c r="K1085" i="4"/>
  <c r="T1085" i="4"/>
  <c r="E1085" i="4"/>
  <c r="X1085" i="4"/>
  <c r="Q1085" i="4"/>
  <c r="W1085" i="4"/>
  <c r="N1085" i="4"/>
  <c r="W981" i="4"/>
  <c r="N981" i="4"/>
  <c r="Z981" i="4"/>
  <c r="K981" i="4"/>
  <c r="T981" i="4"/>
  <c r="E981" i="4"/>
  <c r="X981" i="4"/>
  <c r="Q981" i="4"/>
  <c r="T877" i="4"/>
  <c r="E877" i="4"/>
  <c r="T773" i="4"/>
  <c r="E773" i="4"/>
  <c r="X877" i="4"/>
  <c r="Q877" i="4"/>
  <c r="X773" i="4"/>
  <c r="Q773" i="4"/>
  <c r="W877" i="4"/>
  <c r="N877" i="4"/>
  <c r="W773" i="4"/>
  <c r="N773" i="4"/>
  <c r="Z877" i="4"/>
  <c r="K877" i="4"/>
  <c r="V877" i="4" s="1"/>
  <c r="Z773" i="4"/>
  <c r="K773" i="4"/>
  <c r="W669" i="4"/>
  <c r="N669" i="4"/>
  <c r="W565" i="4"/>
  <c r="N565" i="4"/>
  <c r="Z669" i="4"/>
  <c r="K669" i="4"/>
  <c r="Z565" i="4"/>
  <c r="K565" i="4"/>
  <c r="T669" i="4"/>
  <c r="E669" i="4"/>
  <c r="T565" i="4"/>
  <c r="E565" i="4"/>
  <c r="X669" i="4"/>
  <c r="Q669" i="4"/>
  <c r="X565" i="4"/>
  <c r="Q565" i="4"/>
  <c r="X461" i="4"/>
  <c r="Q461" i="4"/>
  <c r="X357" i="4"/>
  <c r="Q357" i="4"/>
  <c r="W461" i="4"/>
  <c r="N461" i="4"/>
  <c r="W357" i="4"/>
  <c r="N357" i="4"/>
  <c r="Z461" i="4"/>
  <c r="K461" i="4"/>
  <c r="V461" i="4" s="1"/>
  <c r="Z357" i="4"/>
  <c r="K357" i="4"/>
  <c r="T461" i="4"/>
  <c r="E461" i="4"/>
  <c r="T357" i="4"/>
  <c r="E357" i="4"/>
  <c r="Z253" i="4"/>
  <c r="K253" i="4"/>
  <c r="Z149" i="4"/>
  <c r="K149" i="4"/>
  <c r="T253" i="4"/>
  <c r="E253" i="4"/>
  <c r="T149" i="4"/>
  <c r="E149" i="4"/>
  <c r="X253" i="4"/>
  <c r="Q253" i="4"/>
  <c r="X149" i="4"/>
  <c r="Q149" i="4"/>
  <c r="W253" i="4"/>
  <c r="N253" i="4"/>
  <c r="W149" i="4"/>
  <c r="N149" i="4"/>
  <c r="Z45" i="4"/>
  <c r="K45" i="4"/>
  <c r="T45" i="4"/>
  <c r="E45" i="4"/>
  <c r="X45" i="4"/>
  <c r="Q45" i="4"/>
  <c r="W45" i="4"/>
  <c r="N45" i="4"/>
  <c r="Z1191" i="4"/>
  <c r="K1191" i="4"/>
  <c r="T1191" i="4"/>
  <c r="E1191" i="4"/>
  <c r="X1191" i="4"/>
  <c r="Q1191" i="4"/>
  <c r="W1191" i="4"/>
  <c r="N1191" i="4"/>
  <c r="Z1087" i="4"/>
  <c r="K1087" i="4"/>
  <c r="T1087" i="4"/>
  <c r="E1087" i="4"/>
  <c r="X1087" i="4"/>
  <c r="Q1087" i="4"/>
  <c r="W1087" i="4"/>
  <c r="N1087" i="4"/>
  <c r="W983" i="4"/>
  <c r="N983" i="4"/>
  <c r="Z983" i="4"/>
  <c r="K983" i="4"/>
  <c r="T983" i="4"/>
  <c r="E983" i="4"/>
  <c r="X983" i="4"/>
  <c r="Q983" i="4"/>
  <c r="T879" i="4"/>
  <c r="E879" i="4"/>
  <c r="T775" i="4"/>
  <c r="E775" i="4"/>
  <c r="X879" i="4"/>
  <c r="Q879" i="4"/>
  <c r="X775" i="4"/>
  <c r="Q775" i="4"/>
  <c r="W879" i="4"/>
  <c r="N879" i="4"/>
  <c r="W775" i="4"/>
  <c r="N775" i="4"/>
  <c r="Z879" i="4"/>
  <c r="K879" i="4"/>
  <c r="V879" i="4" s="1"/>
  <c r="Z775" i="4"/>
  <c r="K775" i="4"/>
  <c r="W671" i="4"/>
  <c r="N671" i="4"/>
  <c r="W567" i="4"/>
  <c r="N567" i="4"/>
  <c r="Z671" i="4"/>
  <c r="K671" i="4"/>
  <c r="Z567" i="4"/>
  <c r="K567" i="4"/>
  <c r="T671" i="4"/>
  <c r="E671" i="4"/>
  <c r="T567" i="4"/>
  <c r="E567" i="4"/>
  <c r="X671" i="4"/>
  <c r="Q671" i="4"/>
  <c r="X567" i="4"/>
  <c r="Q567" i="4"/>
  <c r="X463" i="4"/>
  <c r="Q463" i="4"/>
  <c r="X359" i="4"/>
  <c r="Q359" i="4"/>
  <c r="W463" i="4"/>
  <c r="N463" i="4"/>
  <c r="W359" i="4"/>
  <c r="N359" i="4"/>
  <c r="Z463" i="4"/>
  <c r="K463" i="4"/>
  <c r="Z359" i="4"/>
  <c r="K359" i="4"/>
  <c r="T463" i="4"/>
  <c r="E463" i="4"/>
  <c r="T359" i="4"/>
  <c r="E359" i="4"/>
  <c r="Z255" i="4"/>
  <c r="K255" i="4"/>
  <c r="Z151" i="4"/>
  <c r="K151" i="4"/>
  <c r="T255" i="4"/>
  <c r="E255" i="4"/>
  <c r="T151" i="4"/>
  <c r="E151" i="4"/>
  <c r="X255" i="4"/>
  <c r="Q255" i="4"/>
  <c r="X151" i="4"/>
  <c r="Q151" i="4"/>
  <c r="W255" i="4"/>
  <c r="N255" i="4"/>
  <c r="W151" i="4"/>
  <c r="N151" i="4"/>
  <c r="Z47" i="4"/>
  <c r="K47" i="4"/>
  <c r="T47" i="4"/>
  <c r="E47" i="4"/>
  <c r="X47" i="4"/>
  <c r="Q47" i="4"/>
  <c r="W47" i="4"/>
  <c r="N47" i="4"/>
  <c r="Z1193" i="4"/>
  <c r="K1193" i="4"/>
  <c r="T1193" i="4"/>
  <c r="E1193" i="4"/>
  <c r="X1193" i="4"/>
  <c r="Q1193" i="4"/>
  <c r="W1193" i="4"/>
  <c r="N1193" i="4"/>
  <c r="Z1089" i="4"/>
  <c r="K1089" i="4"/>
  <c r="T1089" i="4"/>
  <c r="E1089" i="4"/>
  <c r="X1089" i="4"/>
  <c r="Q1089" i="4"/>
  <c r="W1089" i="4"/>
  <c r="N1089" i="4"/>
  <c r="W985" i="4"/>
  <c r="N985" i="4"/>
  <c r="Z985" i="4"/>
  <c r="K985" i="4"/>
  <c r="T985" i="4"/>
  <c r="E985" i="4"/>
  <c r="X985" i="4"/>
  <c r="Q985" i="4"/>
  <c r="T881" i="4"/>
  <c r="E881" i="4"/>
  <c r="T777" i="4"/>
  <c r="E777" i="4"/>
  <c r="X881" i="4"/>
  <c r="Q881" i="4"/>
  <c r="X777" i="4"/>
  <c r="Q777" i="4"/>
  <c r="W881" i="4"/>
  <c r="N881" i="4"/>
  <c r="W777" i="4"/>
  <c r="N777" i="4"/>
  <c r="Z881" i="4"/>
  <c r="K881" i="4"/>
  <c r="V881" i="4" s="1"/>
  <c r="Z777" i="4"/>
  <c r="K777" i="4"/>
  <c r="W673" i="4"/>
  <c r="N673" i="4"/>
  <c r="W569" i="4"/>
  <c r="N569" i="4"/>
  <c r="Z673" i="4"/>
  <c r="K673" i="4"/>
  <c r="Z569" i="4"/>
  <c r="K569" i="4"/>
  <c r="T673" i="4"/>
  <c r="E673" i="4"/>
  <c r="T569" i="4"/>
  <c r="E569" i="4"/>
  <c r="X673" i="4"/>
  <c r="Q673" i="4"/>
  <c r="X569" i="4"/>
  <c r="Q569" i="4"/>
  <c r="X465" i="4"/>
  <c r="Q465" i="4"/>
  <c r="X361" i="4"/>
  <c r="Q361" i="4"/>
  <c r="W465" i="4"/>
  <c r="N465" i="4"/>
  <c r="W361" i="4"/>
  <c r="N361" i="4"/>
  <c r="Z465" i="4"/>
  <c r="K465" i="4"/>
  <c r="Z361" i="4"/>
  <c r="K361" i="4"/>
  <c r="T465" i="4"/>
  <c r="E465" i="4"/>
  <c r="T361" i="4"/>
  <c r="E361" i="4"/>
  <c r="Z257" i="4"/>
  <c r="K257" i="4"/>
  <c r="Z153" i="4"/>
  <c r="K153" i="4"/>
  <c r="T257" i="4"/>
  <c r="E257" i="4"/>
  <c r="T153" i="4"/>
  <c r="E153" i="4"/>
  <c r="X257" i="4"/>
  <c r="Q257" i="4"/>
  <c r="X153" i="4"/>
  <c r="Q153" i="4"/>
  <c r="W257" i="4"/>
  <c r="N257" i="4"/>
  <c r="W153" i="4"/>
  <c r="N153" i="4"/>
  <c r="Z49" i="4"/>
  <c r="K49" i="4"/>
  <c r="T49" i="4"/>
  <c r="E49" i="4"/>
  <c r="X49" i="4"/>
  <c r="Q49" i="4"/>
  <c r="W49" i="4"/>
  <c r="N49" i="4"/>
  <c r="Z1195" i="4"/>
  <c r="K1195" i="4"/>
  <c r="T1195" i="4"/>
  <c r="E1195" i="4"/>
  <c r="X1195" i="4"/>
  <c r="Q1195" i="4"/>
  <c r="W1195" i="4"/>
  <c r="N1195" i="4"/>
  <c r="Z1091" i="4"/>
  <c r="K1091" i="4"/>
  <c r="T1091" i="4"/>
  <c r="E1091" i="4"/>
  <c r="X1091" i="4"/>
  <c r="Q1091" i="4"/>
  <c r="W1091" i="4"/>
  <c r="N1091" i="4"/>
  <c r="W987" i="4"/>
  <c r="N987" i="4"/>
  <c r="Z987" i="4"/>
  <c r="K987" i="4"/>
  <c r="T987" i="4"/>
  <c r="E987" i="4"/>
  <c r="X987" i="4"/>
  <c r="Q987" i="4"/>
  <c r="T883" i="4"/>
  <c r="E883" i="4"/>
  <c r="T779" i="4"/>
  <c r="E779" i="4"/>
  <c r="X883" i="4"/>
  <c r="Q883" i="4"/>
  <c r="X779" i="4"/>
  <c r="Q779" i="4"/>
  <c r="W883" i="4"/>
  <c r="N883" i="4"/>
  <c r="W779" i="4"/>
  <c r="N779" i="4"/>
  <c r="Z883" i="4"/>
  <c r="K883" i="4"/>
  <c r="V883" i="4" s="1"/>
  <c r="Z779" i="4"/>
  <c r="K779" i="4"/>
  <c r="W675" i="4"/>
  <c r="N675" i="4"/>
  <c r="W571" i="4"/>
  <c r="N571" i="4"/>
  <c r="Z675" i="4"/>
  <c r="K675" i="4"/>
  <c r="Z571" i="4"/>
  <c r="K571" i="4"/>
  <c r="T675" i="4"/>
  <c r="E675" i="4"/>
  <c r="T571" i="4"/>
  <c r="E571" i="4"/>
  <c r="X675" i="4"/>
  <c r="Q675" i="4"/>
  <c r="X571" i="4"/>
  <c r="Q571" i="4"/>
  <c r="X467" i="4"/>
  <c r="Q467" i="4"/>
  <c r="X363" i="4"/>
  <c r="Q363" i="4"/>
  <c r="W467" i="4"/>
  <c r="N467" i="4"/>
  <c r="W363" i="4"/>
  <c r="N363" i="4"/>
  <c r="Z467" i="4"/>
  <c r="K467" i="4"/>
  <c r="Z363" i="4"/>
  <c r="K363" i="4"/>
  <c r="T467" i="4"/>
  <c r="E467" i="4"/>
  <c r="T363" i="4"/>
  <c r="E363" i="4"/>
  <c r="Z259" i="4"/>
  <c r="K259" i="4"/>
  <c r="Z155" i="4"/>
  <c r="K155" i="4"/>
  <c r="T259" i="4"/>
  <c r="E259" i="4"/>
  <c r="T155" i="4"/>
  <c r="E155" i="4"/>
  <c r="X259" i="4"/>
  <c r="Q259" i="4"/>
  <c r="X155" i="4"/>
  <c r="Q155" i="4"/>
  <c r="W259" i="4"/>
  <c r="N259" i="4"/>
  <c r="W155" i="4"/>
  <c r="N155" i="4"/>
  <c r="Z51" i="4"/>
  <c r="K51" i="4"/>
  <c r="T51" i="4"/>
  <c r="E51" i="4"/>
  <c r="X51" i="4"/>
  <c r="Q51" i="4"/>
  <c r="W51" i="4"/>
  <c r="N51" i="4"/>
  <c r="Z1197" i="4"/>
  <c r="K1197" i="4"/>
  <c r="T1197" i="4"/>
  <c r="E1197" i="4"/>
  <c r="X1197" i="4"/>
  <c r="Q1197" i="4"/>
  <c r="W1197" i="4"/>
  <c r="N1197" i="4"/>
  <c r="Z1093" i="4"/>
  <c r="K1093" i="4"/>
  <c r="T1093" i="4"/>
  <c r="E1093" i="4"/>
  <c r="X1093" i="4"/>
  <c r="Q1093" i="4"/>
  <c r="W1093" i="4"/>
  <c r="N1093" i="4"/>
  <c r="W989" i="4"/>
  <c r="N989" i="4"/>
  <c r="Z989" i="4"/>
  <c r="K989" i="4"/>
  <c r="T989" i="4"/>
  <c r="E989" i="4"/>
  <c r="X989" i="4"/>
  <c r="Q989" i="4"/>
  <c r="T885" i="4"/>
  <c r="E885" i="4"/>
  <c r="T781" i="4"/>
  <c r="E781" i="4"/>
  <c r="X885" i="4"/>
  <c r="Q885" i="4"/>
  <c r="X781" i="4"/>
  <c r="Q781" i="4"/>
  <c r="W885" i="4"/>
  <c r="N885" i="4"/>
  <c r="W781" i="4"/>
  <c r="N781" i="4"/>
  <c r="Z885" i="4"/>
  <c r="K885" i="4"/>
  <c r="V885" i="4" s="1"/>
  <c r="Z781" i="4"/>
  <c r="K781" i="4"/>
  <c r="W677" i="4"/>
  <c r="N677" i="4"/>
  <c r="W573" i="4"/>
  <c r="N573" i="4"/>
  <c r="Z677" i="4"/>
  <c r="K677" i="4"/>
  <c r="Z573" i="4"/>
  <c r="K573" i="4"/>
  <c r="T677" i="4"/>
  <c r="E677" i="4"/>
  <c r="T573" i="4"/>
  <c r="E573" i="4"/>
  <c r="X677" i="4"/>
  <c r="Q677" i="4"/>
  <c r="X573" i="4"/>
  <c r="Q573" i="4"/>
  <c r="X469" i="4"/>
  <c r="Q469" i="4"/>
  <c r="X365" i="4"/>
  <c r="Q365" i="4"/>
  <c r="W469" i="4"/>
  <c r="N469" i="4"/>
  <c r="W365" i="4"/>
  <c r="N365" i="4"/>
  <c r="Z469" i="4"/>
  <c r="K469" i="4"/>
  <c r="Z365" i="4"/>
  <c r="K365" i="4"/>
  <c r="T469" i="4"/>
  <c r="E469" i="4"/>
  <c r="T365" i="4"/>
  <c r="E365" i="4"/>
  <c r="Z261" i="4"/>
  <c r="K261" i="4"/>
  <c r="Z157" i="4"/>
  <c r="K157" i="4"/>
  <c r="T261" i="4"/>
  <c r="E261" i="4"/>
  <c r="T157" i="4"/>
  <c r="E157" i="4"/>
  <c r="X261" i="4"/>
  <c r="Q261" i="4"/>
  <c r="X157" i="4"/>
  <c r="Q157" i="4"/>
  <c r="W261" i="4"/>
  <c r="N261" i="4"/>
  <c r="W157" i="4"/>
  <c r="N157" i="4"/>
  <c r="Z53" i="4"/>
  <c r="K53" i="4"/>
  <c r="T53" i="4"/>
  <c r="E53" i="4"/>
  <c r="X53" i="4"/>
  <c r="Q53" i="4"/>
  <c r="W53" i="4"/>
  <c r="N53" i="4"/>
  <c r="Z1199" i="4"/>
  <c r="K1199" i="4"/>
  <c r="T1199" i="4"/>
  <c r="E1199" i="4"/>
  <c r="X1199" i="4"/>
  <c r="Q1199" i="4"/>
  <c r="W1199" i="4"/>
  <c r="N1199" i="4"/>
  <c r="Z1095" i="4"/>
  <c r="K1095" i="4"/>
  <c r="T1095" i="4"/>
  <c r="E1095" i="4"/>
  <c r="X1095" i="4"/>
  <c r="Q1095" i="4"/>
  <c r="W1095" i="4"/>
  <c r="N1095" i="4"/>
  <c r="W991" i="4"/>
  <c r="N991" i="4"/>
  <c r="Z991" i="4"/>
  <c r="K991" i="4"/>
  <c r="T991" i="4"/>
  <c r="E991" i="4"/>
  <c r="X991" i="4"/>
  <c r="Q991" i="4"/>
  <c r="T887" i="4"/>
  <c r="E887" i="4"/>
  <c r="T783" i="4"/>
  <c r="E783" i="4"/>
  <c r="X887" i="4"/>
  <c r="Q887" i="4"/>
  <c r="X783" i="4"/>
  <c r="Q783" i="4"/>
  <c r="W887" i="4"/>
  <c r="N887" i="4"/>
  <c r="W783" i="4"/>
  <c r="N783" i="4"/>
  <c r="Z887" i="4"/>
  <c r="K887" i="4"/>
  <c r="V887" i="4" s="1"/>
  <c r="Z783" i="4"/>
  <c r="K783" i="4"/>
  <c r="W679" i="4"/>
  <c r="N679" i="4"/>
  <c r="W575" i="4"/>
  <c r="N575" i="4"/>
  <c r="Z679" i="4"/>
  <c r="K679" i="4"/>
  <c r="Z575" i="4"/>
  <c r="K575" i="4"/>
  <c r="T679" i="4"/>
  <c r="E679" i="4"/>
  <c r="T575" i="4"/>
  <c r="E575" i="4"/>
  <c r="X679" i="4"/>
  <c r="Q679" i="4"/>
  <c r="X575" i="4"/>
  <c r="Q575" i="4"/>
  <c r="X471" i="4"/>
  <c r="Q471" i="4"/>
  <c r="X367" i="4"/>
  <c r="Q367" i="4"/>
  <c r="W471" i="4"/>
  <c r="N471" i="4"/>
  <c r="W367" i="4"/>
  <c r="N367" i="4"/>
  <c r="Z471" i="4"/>
  <c r="K471" i="4"/>
  <c r="Z367" i="4"/>
  <c r="K367" i="4"/>
  <c r="T471" i="4"/>
  <c r="E471" i="4"/>
  <c r="T367" i="4"/>
  <c r="E367" i="4"/>
  <c r="Z263" i="4"/>
  <c r="K263" i="4"/>
  <c r="Z159" i="4"/>
  <c r="K159" i="4"/>
  <c r="T263" i="4"/>
  <c r="E263" i="4"/>
  <c r="T159" i="4"/>
  <c r="E159" i="4"/>
  <c r="T55" i="4"/>
  <c r="E55" i="4"/>
  <c r="X263" i="4"/>
  <c r="Q263" i="4"/>
  <c r="X159" i="4"/>
  <c r="Q159" i="4"/>
  <c r="W263" i="4"/>
  <c r="N263" i="4"/>
  <c r="W159" i="4"/>
  <c r="N159" i="4"/>
  <c r="W55" i="4"/>
  <c r="N55" i="4"/>
  <c r="X55" i="4"/>
  <c r="Q55" i="4"/>
  <c r="Z55" i="4"/>
  <c r="K55" i="4"/>
  <c r="Z1201" i="4"/>
  <c r="K1201" i="4"/>
  <c r="T1201" i="4"/>
  <c r="E1201" i="4"/>
  <c r="X1201" i="4"/>
  <c r="Q1201" i="4"/>
  <c r="W1201" i="4"/>
  <c r="N1201" i="4"/>
  <c r="Z1097" i="4"/>
  <c r="K1097" i="4"/>
  <c r="T1097" i="4"/>
  <c r="E1097" i="4"/>
  <c r="X1097" i="4"/>
  <c r="Q1097" i="4"/>
  <c r="W1097" i="4"/>
  <c r="N1097" i="4"/>
  <c r="W993" i="4"/>
  <c r="N993" i="4"/>
  <c r="Z993" i="4"/>
  <c r="K993" i="4"/>
  <c r="T993" i="4"/>
  <c r="E993" i="4"/>
  <c r="X993" i="4"/>
  <c r="Q993" i="4"/>
  <c r="T889" i="4"/>
  <c r="E889" i="4"/>
  <c r="T785" i="4"/>
  <c r="E785" i="4"/>
  <c r="X889" i="4"/>
  <c r="Q889" i="4"/>
  <c r="X785" i="4"/>
  <c r="Q785" i="4"/>
  <c r="W889" i="4"/>
  <c r="N889" i="4"/>
  <c r="W785" i="4"/>
  <c r="N785" i="4"/>
  <c r="Z889" i="4"/>
  <c r="K889" i="4"/>
  <c r="V889" i="4" s="1"/>
  <c r="Z785" i="4"/>
  <c r="K785" i="4"/>
  <c r="V785" i="4" s="1"/>
  <c r="W681" i="4"/>
  <c r="N681" i="4"/>
  <c r="W577" i="4"/>
  <c r="N577" i="4"/>
  <c r="Z681" i="4"/>
  <c r="K681" i="4"/>
  <c r="Z577" i="4"/>
  <c r="K577" i="4"/>
  <c r="T681" i="4"/>
  <c r="E681" i="4"/>
  <c r="T577" i="4"/>
  <c r="E577" i="4"/>
  <c r="X681" i="4"/>
  <c r="Q681" i="4"/>
  <c r="X577" i="4"/>
  <c r="Q577" i="4"/>
  <c r="X473" i="4"/>
  <c r="Q473" i="4"/>
  <c r="X369" i="4"/>
  <c r="Q369" i="4"/>
  <c r="W473" i="4"/>
  <c r="N473" i="4"/>
  <c r="W369" i="4"/>
  <c r="N369" i="4"/>
  <c r="Z473" i="4"/>
  <c r="K473" i="4"/>
  <c r="Z369" i="4"/>
  <c r="K369" i="4"/>
  <c r="T473" i="4"/>
  <c r="E473" i="4"/>
  <c r="T369" i="4"/>
  <c r="E369" i="4"/>
  <c r="Z265" i="4"/>
  <c r="K265" i="4"/>
  <c r="Z161" i="4"/>
  <c r="K161" i="4"/>
  <c r="T265" i="4"/>
  <c r="E265" i="4"/>
  <c r="T161" i="4"/>
  <c r="E161" i="4"/>
  <c r="T57" i="4"/>
  <c r="E57" i="4"/>
  <c r="X265" i="4"/>
  <c r="Q265" i="4"/>
  <c r="X161" i="4"/>
  <c r="Q161" i="4"/>
  <c r="W265" i="4"/>
  <c r="N265" i="4"/>
  <c r="W161" i="4"/>
  <c r="N161" i="4"/>
  <c r="W57" i="4"/>
  <c r="N57" i="4"/>
  <c r="Q57" i="4"/>
  <c r="Z57" i="4"/>
  <c r="K57" i="4"/>
  <c r="X57" i="4"/>
  <c r="Z1203" i="4"/>
  <c r="K1203" i="4"/>
  <c r="T1203" i="4"/>
  <c r="E1203" i="4"/>
  <c r="X1203" i="4"/>
  <c r="Q1203" i="4"/>
  <c r="W1203" i="4"/>
  <c r="N1203" i="4"/>
  <c r="Z1099" i="4"/>
  <c r="K1099" i="4"/>
  <c r="T1099" i="4"/>
  <c r="E1099" i="4"/>
  <c r="X1099" i="4"/>
  <c r="Q1099" i="4"/>
  <c r="W1099" i="4"/>
  <c r="N1099" i="4"/>
  <c r="W995" i="4"/>
  <c r="N995" i="4"/>
  <c r="Z995" i="4"/>
  <c r="K995" i="4"/>
  <c r="T995" i="4"/>
  <c r="E995" i="4"/>
  <c r="X995" i="4"/>
  <c r="Q995" i="4"/>
  <c r="T891" i="4"/>
  <c r="E891" i="4"/>
  <c r="T787" i="4"/>
  <c r="E787" i="4"/>
  <c r="X891" i="4"/>
  <c r="Q891" i="4"/>
  <c r="X787" i="4"/>
  <c r="Q787" i="4"/>
  <c r="W891" i="4"/>
  <c r="N891" i="4"/>
  <c r="W787" i="4"/>
  <c r="N787" i="4"/>
  <c r="Z891" i="4"/>
  <c r="K891" i="4"/>
  <c r="V891" i="4" s="1"/>
  <c r="Z787" i="4"/>
  <c r="K787" i="4"/>
  <c r="V787" i="4" s="1"/>
  <c r="W683" i="4"/>
  <c r="N683" i="4"/>
  <c r="W579" i="4"/>
  <c r="N579" i="4"/>
  <c r="Z683" i="4"/>
  <c r="K683" i="4"/>
  <c r="Z579" i="4"/>
  <c r="K579" i="4"/>
  <c r="T683" i="4"/>
  <c r="E683" i="4"/>
  <c r="T579" i="4"/>
  <c r="E579" i="4"/>
  <c r="X683" i="4"/>
  <c r="Q683" i="4"/>
  <c r="X579" i="4"/>
  <c r="Q579" i="4"/>
  <c r="X475" i="4"/>
  <c r="Q475" i="4"/>
  <c r="X371" i="4"/>
  <c r="Q371" i="4"/>
  <c r="W475" i="4"/>
  <c r="N475" i="4"/>
  <c r="W371" i="4"/>
  <c r="N371" i="4"/>
  <c r="Z475" i="4"/>
  <c r="K475" i="4"/>
  <c r="Z371" i="4"/>
  <c r="K371" i="4"/>
  <c r="T475" i="4"/>
  <c r="E475" i="4"/>
  <c r="T371" i="4"/>
  <c r="E371" i="4"/>
  <c r="Z267" i="4"/>
  <c r="K267" i="4"/>
  <c r="Z163" i="4"/>
  <c r="K163" i="4"/>
  <c r="T267" i="4"/>
  <c r="E267" i="4"/>
  <c r="T163" i="4"/>
  <c r="E163" i="4"/>
  <c r="T59" i="4"/>
  <c r="E59" i="4"/>
  <c r="X267" i="4"/>
  <c r="Q267" i="4"/>
  <c r="X163" i="4"/>
  <c r="Q163" i="4"/>
  <c r="X59" i="4"/>
  <c r="W267" i="4"/>
  <c r="N267" i="4"/>
  <c r="W163" i="4"/>
  <c r="N163" i="4"/>
  <c r="W59" i="4"/>
  <c r="N59" i="4"/>
  <c r="Z59" i="4"/>
  <c r="Q59" i="4"/>
  <c r="K59" i="4"/>
  <c r="V59" i="4" s="1"/>
  <c r="Z1205" i="4"/>
  <c r="K1205" i="4"/>
  <c r="T1205" i="4"/>
  <c r="E1205" i="4"/>
  <c r="X1205" i="4"/>
  <c r="Q1205" i="4"/>
  <c r="W1205" i="4"/>
  <c r="N1205" i="4"/>
  <c r="Z1101" i="4"/>
  <c r="K1101" i="4"/>
  <c r="T1101" i="4"/>
  <c r="E1101" i="4"/>
  <c r="X1101" i="4"/>
  <c r="Q1101" i="4"/>
  <c r="W1101" i="4"/>
  <c r="N1101" i="4"/>
  <c r="W997" i="4"/>
  <c r="N997" i="4"/>
  <c r="Z997" i="4"/>
  <c r="K997" i="4"/>
  <c r="T997" i="4"/>
  <c r="E997" i="4"/>
  <c r="X997" i="4"/>
  <c r="Q997" i="4"/>
  <c r="T893" i="4"/>
  <c r="E893" i="4"/>
  <c r="T789" i="4"/>
  <c r="E789" i="4"/>
  <c r="X893" i="4"/>
  <c r="Q893" i="4"/>
  <c r="X789" i="4"/>
  <c r="Q789" i="4"/>
  <c r="W893" i="4"/>
  <c r="N893" i="4"/>
  <c r="W789" i="4"/>
  <c r="N789" i="4"/>
  <c r="Z893" i="4"/>
  <c r="K893" i="4"/>
  <c r="V893" i="4" s="1"/>
  <c r="Z789" i="4"/>
  <c r="K789" i="4"/>
  <c r="V789" i="4" s="1"/>
  <c r="W685" i="4"/>
  <c r="N685" i="4"/>
  <c r="W581" i="4"/>
  <c r="N581" i="4"/>
  <c r="Z685" i="4"/>
  <c r="K685" i="4"/>
  <c r="Z581" i="4"/>
  <c r="K581" i="4"/>
  <c r="T685" i="4"/>
  <c r="E685" i="4"/>
  <c r="T581" i="4"/>
  <c r="E581" i="4"/>
  <c r="X685" i="4"/>
  <c r="Q685" i="4"/>
  <c r="X581" i="4"/>
  <c r="Q581" i="4"/>
  <c r="X477" i="4"/>
  <c r="Q477" i="4"/>
  <c r="X373" i="4"/>
  <c r="Q373" i="4"/>
  <c r="W477" i="4"/>
  <c r="N477" i="4"/>
  <c r="W373" i="4"/>
  <c r="N373" i="4"/>
  <c r="Z477" i="4"/>
  <c r="K477" i="4"/>
  <c r="Z373" i="4"/>
  <c r="K373" i="4"/>
  <c r="T477" i="4"/>
  <c r="E477" i="4"/>
  <c r="T373" i="4"/>
  <c r="E373" i="4"/>
  <c r="Z269" i="4"/>
  <c r="K269" i="4"/>
  <c r="Z165" i="4"/>
  <c r="K165" i="4"/>
  <c r="Z61" i="4"/>
  <c r="K61" i="4"/>
  <c r="T269" i="4"/>
  <c r="E269" i="4"/>
  <c r="T165" i="4"/>
  <c r="E165" i="4"/>
  <c r="T61" i="4"/>
  <c r="E61" i="4"/>
  <c r="X269" i="4"/>
  <c r="Q269" i="4"/>
  <c r="X165" i="4"/>
  <c r="Q165" i="4"/>
  <c r="X61" i="4"/>
  <c r="Q61" i="4"/>
  <c r="W269" i="4"/>
  <c r="N269" i="4"/>
  <c r="W165" i="4"/>
  <c r="N165" i="4"/>
  <c r="W61" i="4"/>
  <c r="N61" i="4"/>
  <c r="Z1207" i="4"/>
  <c r="K1207" i="4"/>
  <c r="T1207" i="4"/>
  <c r="E1207" i="4"/>
  <c r="X1207" i="4"/>
  <c r="Q1207" i="4"/>
  <c r="W1207" i="4"/>
  <c r="N1207" i="4"/>
  <c r="Z1103" i="4"/>
  <c r="K1103" i="4"/>
  <c r="T1103" i="4"/>
  <c r="E1103" i="4"/>
  <c r="X1103" i="4"/>
  <c r="Q1103" i="4"/>
  <c r="W1103" i="4"/>
  <c r="N1103" i="4"/>
  <c r="W999" i="4"/>
  <c r="N999" i="4"/>
  <c r="Z999" i="4"/>
  <c r="K999" i="4"/>
  <c r="T999" i="4"/>
  <c r="E999" i="4"/>
  <c r="X999" i="4"/>
  <c r="Q999" i="4"/>
  <c r="T895" i="4"/>
  <c r="E895" i="4"/>
  <c r="T791" i="4"/>
  <c r="E791" i="4"/>
  <c r="X895" i="4"/>
  <c r="Q895" i="4"/>
  <c r="X791" i="4"/>
  <c r="Q791" i="4"/>
  <c r="W895" i="4"/>
  <c r="N895" i="4"/>
  <c r="W791" i="4"/>
  <c r="N791" i="4"/>
  <c r="Z895" i="4"/>
  <c r="K895" i="4"/>
  <c r="V895" i="4" s="1"/>
  <c r="Z791" i="4"/>
  <c r="K791" i="4"/>
  <c r="W687" i="4"/>
  <c r="N687" i="4"/>
  <c r="W583" i="4"/>
  <c r="N583" i="4"/>
  <c r="Z687" i="4"/>
  <c r="K687" i="4"/>
  <c r="Z583" i="4"/>
  <c r="K583" i="4"/>
  <c r="T687" i="4"/>
  <c r="E687" i="4"/>
  <c r="T583" i="4"/>
  <c r="E583" i="4"/>
  <c r="X687" i="4"/>
  <c r="Q687" i="4"/>
  <c r="X583" i="4"/>
  <c r="Q583" i="4"/>
  <c r="X479" i="4"/>
  <c r="Q479" i="4"/>
  <c r="X375" i="4"/>
  <c r="Q375" i="4"/>
  <c r="W479" i="4"/>
  <c r="N479" i="4"/>
  <c r="W375" i="4"/>
  <c r="N375" i="4"/>
  <c r="Z479" i="4"/>
  <c r="K479" i="4"/>
  <c r="Z375" i="4"/>
  <c r="K375" i="4"/>
  <c r="T479" i="4"/>
  <c r="E479" i="4"/>
  <c r="T375" i="4"/>
  <c r="E375" i="4"/>
  <c r="Z271" i="4"/>
  <c r="K271" i="4"/>
  <c r="Z167" i="4"/>
  <c r="K167" i="4"/>
  <c r="Z63" i="4"/>
  <c r="K63" i="4"/>
  <c r="T271" i="4"/>
  <c r="E271" i="4"/>
  <c r="T167" i="4"/>
  <c r="E167" i="4"/>
  <c r="T63" i="4"/>
  <c r="E63" i="4"/>
  <c r="X271" i="4"/>
  <c r="Q271" i="4"/>
  <c r="X167" i="4"/>
  <c r="Q167" i="4"/>
  <c r="X63" i="4"/>
  <c r="Q63" i="4"/>
  <c r="W271" i="4"/>
  <c r="N271" i="4"/>
  <c r="W167" i="4"/>
  <c r="N167" i="4"/>
  <c r="W63" i="4"/>
  <c r="N63" i="4"/>
  <c r="Z1209" i="4"/>
  <c r="K1209" i="4"/>
  <c r="T1209" i="4"/>
  <c r="E1209" i="4"/>
  <c r="X1209" i="4"/>
  <c r="Q1209" i="4"/>
  <c r="W1209" i="4"/>
  <c r="N1209" i="4"/>
  <c r="Z1105" i="4"/>
  <c r="K1105" i="4"/>
  <c r="T1105" i="4"/>
  <c r="E1105" i="4"/>
  <c r="X1105" i="4"/>
  <c r="Q1105" i="4"/>
  <c r="W1105" i="4"/>
  <c r="N1105" i="4"/>
  <c r="W1001" i="4"/>
  <c r="N1001" i="4"/>
  <c r="Z1001" i="4"/>
  <c r="K1001" i="4"/>
  <c r="T1001" i="4"/>
  <c r="E1001" i="4"/>
  <c r="X1001" i="4"/>
  <c r="Q1001" i="4"/>
  <c r="T897" i="4"/>
  <c r="E897" i="4"/>
  <c r="T793" i="4"/>
  <c r="E793" i="4"/>
  <c r="X897" i="4"/>
  <c r="Q897" i="4"/>
  <c r="X793" i="4"/>
  <c r="Q793" i="4"/>
  <c r="W897" i="4"/>
  <c r="N897" i="4"/>
  <c r="W793" i="4"/>
  <c r="N793" i="4"/>
  <c r="Z897" i="4"/>
  <c r="K897" i="4"/>
  <c r="V897" i="4" s="1"/>
  <c r="Z793" i="4"/>
  <c r="K793" i="4"/>
  <c r="W689" i="4"/>
  <c r="N689" i="4"/>
  <c r="W585" i="4"/>
  <c r="N585" i="4"/>
  <c r="Z689" i="4"/>
  <c r="K689" i="4"/>
  <c r="Z585" i="4"/>
  <c r="K585" i="4"/>
  <c r="T689" i="4"/>
  <c r="E689" i="4"/>
  <c r="T585" i="4"/>
  <c r="E585" i="4"/>
  <c r="X689" i="4"/>
  <c r="Q689" i="4"/>
  <c r="X585" i="4"/>
  <c r="Q585" i="4"/>
  <c r="X481" i="4"/>
  <c r="Q481" i="4"/>
  <c r="X377" i="4"/>
  <c r="Q377" i="4"/>
  <c r="W481" i="4"/>
  <c r="N481" i="4"/>
  <c r="W377" i="4"/>
  <c r="N377" i="4"/>
  <c r="Z481" i="4"/>
  <c r="K481" i="4"/>
  <c r="Z377" i="4"/>
  <c r="K377" i="4"/>
  <c r="T481" i="4"/>
  <c r="E481" i="4"/>
  <c r="T377" i="4"/>
  <c r="E377" i="4"/>
  <c r="Z273" i="4"/>
  <c r="K273" i="4"/>
  <c r="Z169" i="4"/>
  <c r="K169" i="4"/>
  <c r="Z65" i="4"/>
  <c r="K65" i="4"/>
  <c r="T273" i="4"/>
  <c r="E273" i="4"/>
  <c r="T169" i="4"/>
  <c r="E169" i="4"/>
  <c r="T65" i="4"/>
  <c r="E65" i="4"/>
  <c r="X273" i="4"/>
  <c r="Q273" i="4"/>
  <c r="X169" i="4"/>
  <c r="Q169" i="4"/>
  <c r="X65" i="4"/>
  <c r="Q65" i="4"/>
  <c r="W273" i="4"/>
  <c r="N273" i="4"/>
  <c r="W169" i="4"/>
  <c r="N169" i="4"/>
  <c r="W65" i="4"/>
  <c r="N65" i="4"/>
  <c r="Z1211" i="4"/>
  <c r="K1211" i="4"/>
  <c r="T1211" i="4"/>
  <c r="E1211" i="4"/>
  <c r="X1211" i="4"/>
  <c r="Q1211" i="4"/>
  <c r="W1211" i="4"/>
  <c r="N1211" i="4"/>
  <c r="Z1107" i="4"/>
  <c r="K1107" i="4"/>
  <c r="T1107" i="4"/>
  <c r="E1107" i="4"/>
  <c r="X1107" i="4"/>
  <c r="Q1107" i="4"/>
  <c r="W1107" i="4"/>
  <c r="N1107" i="4"/>
  <c r="W1003" i="4"/>
  <c r="N1003" i="4"/>
  <c r="Z1003" i="4"/>
  <c r="K1003" i="4"/>
  <c r="T1003" i="4"/>
  <c r="E1003" i="4"/>
  <c r="X1003" i="4"/>
  <c r="Q1003" i="4"/>
  <c r="T899" i="4"/>
  <c r="E899" i="4"/>
  <c r="T795" i="4"/>
  <c r="E795" i="4"/>
  <c r="X899" i="4"/>
  <c r="Q899" i="4"/>
  <c r="X795" i="4"/>
  <c r="Q795" i="4"/>
  <c r="W899" i="4"/>
  <c r="N899" i="4"/>
  <c r="W795" i="4"/>
  <c r="N795" i="4"/>
  <c r="Z899" i="4"/>
  <c r="K899" i="4"/>
  <c r="V899" i="4" s="1"/>
  <c r="Z795" i="4"/>
  <c r="K795" i="4"/>
  <c r="W691" i="4"/>
  <c r="N691" i="4"/>
  <c r="W587" i="4"/>
  <c r="N587" i="4"/>
  <c r="Z691" i="4"/>
  <c r="K691" i="4"/>
  <c r="Z587" i="4"/>
  <c r="K587" i="4"/>
  <c r="T691" i="4"/>
  <c r="E691" i="4"/>
  <c r="T587" i="4"/>
  <c r="E587" i="4"/>
  <c r="X691" i="4"/>
  <c r="Q691" i="4"/>
  <c r="X587" i="4"/>
  <c r="Q587" i="4"/>
  <c r="X483" i="4"/>
  <c r="Q483" i="4"/>
  <c r="X379" i="4"/>
  <c r="Q379" i="4"/>
  <c r="W483" i="4"/>
  <c r="N483" i="4"/>
  <c r="W379" i="4"/>
  <c r="N379" i="4"/>
  <c r="Z483" i="4"/>
  <c r="K483" i="4"/>
  <c r="Z379" i="4"/>
  <c r="K379" i="4"/>
  <c r="T483" i="4"/>
  <c r="E483" i="4"/>
  <c r="T379" i="4"/>
  <c r="E379" i="4"/>
  <c r="Z275" i="4"/>
  <c r="K275" i="4"/>
  <c r="Z171" i="4"/>
  <c r="K171" i="4"/>
  <c r="Z67" i="4"/>
  <c r="K67" i="4"/>
  <c r="T275" i="4"/>
  <c r="E275" i="4"/>
  <c r="T171" i="4"/>
  <c r="E171" i="4"/>
  <c r="T67" i="4"/>
  <c r="E67" i="4"/>
  <c r="X275" i="4"/>
  <c r="Q275" i="4"/>
  <c r="X171" i="4"/>
  <c r="Q171" i="4"/>
  <c r="X67" i="4"/>
  <c r="Q67" i="4"/>
  <c r="W275" i="4"/>
  <c r="N275" i="4"/>
  <c r="W171" i="4"/>
  <c r="N171" i="4"/>
  <c r="W67" i="4"/>
  <c r="N67" i="4"/>
  <c r="Z1213" i="4"/>
  <c r="K1213" i="4"/>
  <c r="T1213" i="4"/>
  <c r="E1213" i="4"/>
  <c r="X1213" i="4"/>
  <c r="Q1213" i="4"/>
  <c r="W1213" i="4"/>
  <c r="N1213" i="4"/>
  <c r="Z1109" i="4"/>
  <c r="K1109" i="4"/>
  <c r="T1109" i="4"/>
  <c r="E1109" i="4"/>
  <c r="X1109" i="4"/>
  <c r="Q1109" i="4"/>
  <c r="W1109" i="4"/>
  <c r="N1109" i="4"/>
  <c r="W1005" i="4"/>
  <c r="N1005" i="4"/>
  <c r="Z1005" i="4"/>
  <c r="K1005" i="4"/>
  <c r="T1005" i="4"/>
  <c r="E1005" i="4"/>
  <c r="X1005" i="4"/>
  <c r="Q1005" i="4"/>
  <c r="T901" i="4"/>
  <c r="E901" i="4"/>
  <c r="T797" i="4"/>
  <c r="E797" i="4"/>
  <c r="X901" i="4"/>
  <c r="Q901" i="4"/>
  <c r="X797" i="4"/>
  <c r="Q797" i="4"/>
  <c r="W901" i="4"/>
  <c r="N901" i="4"/>
  <c r="W797" i="4"/>
  <c r="N797" i="4"/>
  <c r="Z901" i="4"/>
  <c r="K901" i="4"/>
  <c r="V901" i="4" s="1"/>
  <c r="Z797" i="4"/>
  <c r="K797" i="4"/>
  <c r="W693" i="4"/>
  <c r="N693" i="4"/>
  <c r="W589" i="4"/>
  <c r="N589" i="4"/>
  <c r="Z693" i="4"/>
  <c r="K693" i="4"/>
  <c r="Z589" i="4"/>
  <c r="K589" i="4"/>
  <c r="T693" i="4"/>
  <c r="E693" i="4"/>
  <c r="T589" i="4"/>
  <c r="E589" i="4"/>
  <c r="X693" i="4"/>
  <c r="Q693" i="4"/>
  <c r="X589" i="4"/>
  <c r="Q589" i="4"/>
  <c r="X485" i="4"/>
  <c r="Q485" i="4"/>
  <c r="X381" i="4"/>
  <c r="Q381" i="4"/>
  <c r="W485" i="4"/>
  <c r="N485" i="4"/>
  <c r="W381" i="4"/>
  <c r="N381" i="4"/>
  <c r="Z485" i="4"/>
  <c r="K485" i="4"/>
  <c r="Z381" i="4"/>
  <c r="K381" i="4"/>
  <c r="T485" i="4"/>
  <c r="E485" i="4"/>
  <c r="T381" i="4"/>
  <c r="E381" i="4"/>
  <c r="Z277" i="4"/>
  <c r="K277" i="4"/>
  <c r="Z173" i="4"/>
  <c r="K173" i="4"/>
  <c r="Z69" i="4"/>
  <c r="K69" i="4"/>
  <c r="T277" i="4"/>
  <c r="E277" i="4"/>
  <c r="T173" i="4"/>
  <c r="E173" i="4"/>
  <c r="T69" i="4"/>
  <c r="E69" i="4"/>
  <c r="X277" i="4"/>
  <c r="Q277" i="4"/>
  <c r="X173" i="4"/>
  <c r="Q173" i="4"/>
  <c r="X69" i="4"/>
  <c r="Q69" i="4"/>
  <c r="W277" i="4"/>
  <c r="N277" i="4"/>
  <c r="W173" i="4"/>
  <c r="N173" i="4"/>
  <c r="W69" i="4"/>
  <c r="N69" i="4"/>
  <c r="Z1215" i="4"/>
  <c r="K1215" i="4"/>
  <c r="T1215" i="4"/>
  <c r="E1215" i="4"/>
  <c r="X1215" i="4"/>
  <c r="Q1215" i="4"/>
  <c r="W1215" i="4"/>
  <c r="N1215" i="4"/>
  <c r="Z1111" i="4"/>
  <c r="K1111" i="4"/>
  <c r="T1111" i="4"/>
  <c r="E1111" i="4"/>
  <c r="X1111" i="4"/>
  <c r="Q1111" i="4"/>
  <c r="W1111" i="4"/>
  <c r="N1111" i="4"/>
  <c r="W1007" i="4"/>
  <c r="N1007" i="4"/>
  <c r="Z1007" i="4"/>
  <c r="K1007" i="4"/>
  <c r="T1007" i="4"/>
  <c r="E1007" i="4"/>
  <c r="X1007" i="4"/>
  <c r="Q1007" i="4"/>
  <c r="T903" i="4"/>
  <c r="E903" i="4"/>
  <c r="T799" i="4"/>
  <c r="E799" i="4"/>
  <c r="X903" i="4"/>
  <c r="Q903" i="4"/>
  <c r="X799" i="4"/>
  <c r="Q799" i="4"/>
  <c r="W903" i="4"/>
  <c r="N903" i="4"/>
  <c r="W799" i="4"/>
  <c r="N799" i="4"/>
  <c r="Z903" i="4"/>
  <c r="K903" i="4"/>
  <c r="V903" i="4" s="1"/>
  <c r="Z799" i="4"/>
  <c r="K799" i="4"/>
  <c r="V799" i="4" s="1"/>
  <c r="W695" i="4"/>
  <c r="N695" i="4"/>
  <c r="W591" i="4"/>
  <c r="N591" i="4"/>
  <c r="Z695" i="4"/>
  <c r="K695" i="4"/>
  <c r="Z591" i="4"/>
  <c r="K591" i="4"/>
  <c r="T695" i="4"/>
  <c r="E695" i="4"/>
  <c r="T591" i="4"/>
  <c r="E591" i="4"/>
  <c r="X695" i="4"/>
  <c r="Q695" i="4"/>
  <c r="X591" i="4"/>
  <c r="Q591" i="4"/>
  <c r="X487" i="4"/>
  <c r="Q487" i="4"/>
  <c r="X383" i="4"/>
  <c r="Q383" i="4"/>
  <c r="W487" i="4"/>
  <c r="N487" i="4"/>
  <c r="W383" i="4"/>
  <c r="N383" i="4"/>
  <c r="Z487" i="4"/>
  <c r="K487" i="4"/>
  <c r="Z383" i="4"/>
  <c r="K383" i="4"/>
  <c r="T487" i="4"/>
  <c r="E487" i="4"/>
  <c r="T383" i="4"/>
  <c r="E383" i="4"/>
  <c r="Z279" i="4"/>
  <c r="K279" i="4"/>
  <c r="Z175" i="4"/>
  <c r="K175" i="4"/>
  <c r="Z71" i="4"/>
  <c r="K71" i="4"/>
  <c r="T279" i="4"/>
  <c r="E279" i="4"/>
  <c r="T175" i="4"/>
  <c r="E175" i="4"/>
  <c r="T71" i="4"/>
  <c r="E71" i="4"/>
  <c r="X279" i="4"/>
  <c r="Q279" i="4"/>
  <c r="X175" i="4"/>
  <c r="Q175" i="4"/>
  <c r="X71" i="4"/>
  <c r="Q71" i="4"/>
  <c r="W279" i="4"/>
  <c r="N279" i="4"/>
  <c r="W175" i="4"/>
  <c r="N175" i="4"/>
  <c r="W71" i="4"/>
  <c r="N71" i="4"/>
  <c r="Z1217" i="4"/>
  <c r="K1217" i="4"/>
  <c r="T1217" i="4"/>
  <c r="E1217" i="4"/>
  <c r="X1217" i="4"/>
  <c r="Q1217" i="4"/>
  <c r="W1217" i="4"/>
  <c r="N1217" i="4"/>
  <c r="Z1113" i="4"/>
  <c r="K1113" i="4"/>
  <c r="T1113" i="4"/>
  <c r="E1113" i="4"/>
  <c r="X1113" i="4"/>
  <c r="Q1113" i="4"/>
  <c r="W1113" i="4"/>
  <c r="N1113" i="4"/>
  <c r="W1009" i="4"/>
  <c r="N1009" i="4"/>
  <c r="Z1009" i="4"/>
  <c r="K1009" i="4"/>
  <c r="T1009" i="4"/>
  <c r="E1009" i="4"/>
  <c r="X1009" i="4"/>
  <c r="Q1009" i="4"/>
  <c r="T905" i="4"/>
  <c r="E905" i="4"/>
  <c r="T801" i="4"/>
  <c r="E801" i="4"/>
  <c r="X905" i="4"/>
  <c r="Q905" i="4"/>
  <c r="X801" i="4"/>
  <c r="Q801" i="4"/>
  <c r="W905" i="4"/>
  <c r="N905" i="4"/>
  <c r="W801" i="4"/>
  <c r="N801" i="4"/>
  <c r="Z905" i="4"/>
  <c r="K905" i="4"/>
  <c r="V905" i="4" s="1"/>
  <c r="Z801" i="4"/>
  <c r="K801" i="4"/>
  <c r="V801" i="4" s="1"/>
  <c r="W697" i="4"/>
  <c r="N697" i="4"/>
  <c r="W593" i="4"/>
  <c r="N593" i="4"/>
  <c r="Z697" i="4"/>
  <c r="K697" i="4"/>
  <c r="Z593" i="4"/>
  <c r="K593" i="4"/>
  <c r="T697" i="4"/>
  <c r="E697" i="4"/>
  <c r="T593" i="4"/>
  <c r="E593" i="4"/>
  <c r="X697" i="4"/>
  <c r="Q697" i="4"/>
  <c r="X593" i="4"/>
  <c r="Q593" i="4"/>
  <c r="X489" i="4"/>
  <c r="Q489" i="4"/>
  <c r="X385" i="4"/>
  <c r="Q385" i="4"/>
  <c r="W489" i="4"/>
  <c r="N489" i="4"/>
  <c r="W385" i="4"/>
  <c r="N385" i="4"/>
  <c r="Z489" i="4"/>
  <c r="K489" i="4"/>
  <c r="Z385" i="4"/>
  <c r="K385" i="4"/>
  <c r="T489" i="4"/>
  <c r="E489" i="4"/>
  <c r="T385" i="4"/>
  <c r="E385" i="4"/>
  <c r="Z281" i="4"/>
  <c r="K281" i="4"/>
  <c r="Z177" i="4"/>
  <c r="K177" i="4"/>
  <c r="Z73" i="4"/>
  <c r="K73" i="4"/>
  <c r="T281" i="4"/>
  <c r="E281" i="4"/>
  <c r="T177" i="4"/>
  <c r="E177" i="4"/>
  <c r="T73" i="4"/>
  <c r="E73" i="4"/>
  <c r="X281" i="4"/>
  <c r="Q281" i="4"/>
  <c r="X177" i="4"/>
  <c r="Q177" i="4"/>
  <c r="X73" i="4"/>
  <c r="Q73" i="4"/>
  <c r="W281" i="4"/>
  <c r="N281" i="4"/>
  <c r="W177" i="4"/>
  <c r="N177" i="4"/>
  <c r="W73" i="4"/>
  <c r="N73" i="4"/>
  <c r="Z1219" i="4"/>
  <c r="K1219" i="4"/>
  <c r="T1219" i="4"/>
  <c r="E1219" i="4"/>
  <c r="X1219" i="4"/>
  <c r="Q1219" i="4"/>
  <c r="W1219" i="4"/>
  <c r="N1219" i="4"/>
  <c r="Z1115" i="4"/>
  <c r="K1115" i="4"/>
  <c r="T1115" i="4"/>
  <c r="E1115" i="4"/>
  <c r="X1115" i="4"/>
  <c r="Q1115" i="4"/>
  <c r="W1115" i="4"/>
  <c r="N1115" i="4"/>
  <c r="W1011" i="4"/>
  <c r="N1011" i="4"/>
  <c r="Z1011" i="4"/>
  <c r="K1011" i="4"/>
  <c r="T1011" i="4"/>
  <c r="E1011" i="4"/>
  <c r="X1011" i="4"/>
  <c r="Q1011" i="4"/>
  <c r="T907" i="4"/>
  <c r="E907" i="4"/>
  <c r="T803" i="4"/>
  <c r="E803" i="4"/>
  <c r="X907" i="4"/>
  <c r="Q907" i="4"/>
  <c r="X803" i="4"/>
  <c r="Q803" i="4"/>
  <c r="W907" i="4"/>
  <c r="N907" i="4"/>
  <c r="W803" i="4"/>
  <c r="N803" i="4"/>
  <c r="Z907" i="4"/>
  <c r="K907" i="4"/>
  <c r="V907" i="4" s="1"/>
  <c r="Z803" i="4"/>
  <c r="K803" i="4"/>
  <c r="V803" i="4" s="1"/>
  <c r="W699" i="4"/>
  <c r="N699" i="4"/>
  <c r="W595" i="4"/>
  <c r="N595" i="4"/>
  <c r="Z699" i="4"/>
  <c r="K699" i="4"/>
  <c r="Z595" i="4"/>
  <c r="K595" i="4"/>
  <c r="T699" i="4"/>
  <c r="E699" i="4"/>
  <c r="T595" i="4"/>
  <c r="E595" i="4"/>
  <c r="X699" i="4"/>
  <c r="Q699" i="4"/>
  <c r="X595" i="4"/>
  <c r="Q595" i="4"/>
  <c r="X491" i="4"/>
  <c r="Q491" i="4"/>
  <c r="X387" i="4"/>
  <c r="Q387" i="4"/>
  <c r="W491" i="4"/>
  <c r="N491" i="4"/>
  <c r="W387" i="4"/>
  <c r="N387" i="4"/>
  <c r="Z491" i="4"/>
  <c r="K491" i="4"/>
  <c r="Z387" i="4"/>
  <c r="K387" i="4"/>
  <c r="T491" i="4"/>
  <c r="E491" i="4"/>
  <c r="T387" i="4"/>
  <c r="E387" i="4"/>
  <c r="Z283" i="4"/>
  <c r="K283" i="4"/>
  <c r="Z179" i="4"/>
  <c r="K179" i="4"/>
  <c r="Z75" i="4"/>
  <c r="K75" i="4"/>
  <c r="T283" i="4"/>
  <c r="E283" i="4"/>
  <c r="T179" i="4"/>
  <c r="E179" i="4"/>
  <c r="T75" i="4"/>
  <c r="E75" i="4"/>
  <c r="X283" i="4"/>
  <c r="Q283" i="4"/>
  <c r="X179" i="4"/>
  <c r="Q179" i="4"/>
  <c r="X75" i="4"/>
  <c r="Q75" i="4"/>
  <c r="W283" i="4"/>
  <c r="N283" i="4"/>
  <c r="W179" i="4"/>
  <c r="N179" i="4"/>
  <c r="W75" i="4"/>
  <c r="N75" i="4"/>
  <c r="Z1221" i="4"/>
  <c r="K1221" i="4"/>
  <c r="T1221" i="4"/>
  <c r="E1221" i="4"/>
  <c r="X1221" i="4"/>
  <c r="Q1221" i="4"/>
  <c r="W1221" i="4"/>
  <c r="N1221" i="4"/>
  <c r="Z1117" i="4"/>
  <c r="K1117" i="4"/>
  <c r="T1117" i="4"/>
  <c r="E1117" i="4"/>
  <c r="X1117" i="4"/>
  <c r="Q1117" i="4"/>
  <c r="W1117" i="4"/>
  <c r="N1117" i="4"/>
  <c r="W1013" i="4"/>
  <c r="N1013" i="4"/>
  <c r="Z1013" i="4"/>
  <c r="K1013" i="4"/>
  <c r="T1013" i="4"/>
  <c r="E1013" i="4"/>
  <c r="X1013" i="4"/>
  <c r="Q1013" i="4"/>
  <c r="T909" i="4"/>
  <c r="E909" i="4"/>
  <c r="T805" i="4"/>
  <c r="E805" i="4"/>
  <c r="X909" i="4"/>
  <c r="Q909" i="4"/>
  <c r="X805" i="4"/>
  <c r="Q805" i="4"/>
  <c r="W909" i="4"/>
  <c r="N909" i="4"/>
  <c r="W805" i="4"/>
  <c r="N805" i="4"/>
  <c r="Z909" i="4"/>
  <c r="K909" i="4"/>
  <c r="V909" i="4" s="1"/>
  <c r="Z805" i="4"/>
  <c r="K805" i="4"/>
  <c r="V805" i="4" s="1"/>
  <c r="W701" i="4"/>
  <c r="N701" i="4"/>
  <c r="W597" i="4"/>
  <c r="N597" i="4"/>
  <c r="Z701" i="4"/>
  <c r="K701" i="4"/>
  <c r="Z597" i="4"/>
  <c r="K597" i="4"/>
  <c r="T701" i="4"/>
  <c r="E701" i="4"/>
  <c r="T597" i="4"/>
  <c r="E597" i="4"/>
  <c r="X701" i="4"/>
  <c r="Q701" i="4"/>
  <c r="X597" i="4"/>
  <c r="Q597" i="4"/>
  <c r="X493" i="4"/>
  <c r="Q493" i="4"/>
  <c r="X389" i="4"/>
  <c r="Q389" i="4"/>
  <c r="W493" i="4"/>
  <c r="N493" i="4"/>
  <c r="W389" i="4"/>
  <c r="N389" i="4"/>
  <c r="Z493" i="4"/>
  <c r="K493" i="4"/>
  <c r="Z389" i="4"/>
  <c r="K389" i="4"/>
  <c r="Z285" i="4"/>
  <c r="T493" i="4"/>
  <c r="E493" i="4"/>
  <c r="T389" i="4"/>
  <c r="E389" i="4"/>
  <c r="W285" i="4"/>
  <c r="K285" i="4"/>
  <c r="Z181" i="4"/>
  <c r="K181" i="4"/>
  <c r="Z77" i="4"/>
  <c r="K77" i="4"/>
  <c r="T285" i="4"/>
  <c r="E285" i="4"/>
  <c r="T181" i="4"/>
  <c r="E181" i="4"/>
  <c r="T77" i="4"/>
  <c r="E77" i="4"/>
  <c r="Q285" i="4"/>
  <c r="X181" i="4"/>
  <c r="Q181" i="4"/>
  <c r="X77" i="4"/>
  <c r="Q77" i="4"/>
  <c r="X285" i="4"/>
  <c r="N285" i="4"/>
  <c r="W181" i="4"/>
  <c r="N181" i="4"/>
  <c r="W77" i="4"/>
  <c r="N77" i="4"/>
  <c r="Z1223" i="4"/>
  <c r="K1223" i="4"/>
  <c r="T1223" i="4"/>
  <c r="E1223" i="4"/>
  <c r="X1223" i="4"/>
  <c r="Q1223" i="4"/>
  <c r="W1223" i="4"/>
  <c r="N1223" i="4"/>
  <c r="Z1119" i="4"/>
  <c r="K1119" i="4"/>
  <c r="T1119" i="4"/>
  <c r="E1119" i="4"/>
  <c r="X1119" i="4"/>
  <c r="Q1119" i="4"/>
  <c r="W1119" i="4"/>
  <c r="N1119" i="4"/>
  <c r="W1015" i="4"/>
  <c r="N1015" i="4"/>
  <c r="Z1015" i="4"/>
  <c r="K1015" i="4"/>
  <c r="T1015" i="4"/>
  <c r="E1015" i="4"/>
  <c r="X1015" i="4"/>
  <c r="Q1015" i="4"/>
  <c r="T911" i="4"/>
  <c r="E911" i="4"/>
  <c r="T807" i="4"/>
  <c r="E807" i="4"/>
  <c r="X911" i="4"/>
  <c r="Q911" i="4"/>
  <c r="X807" i="4"/>
  <c r="Q807" i="4"/>
  <c r="W911" i="4"/>
  <c r="N911" i="4"/>
  <c r="W807" i="4"/>
  <c r="N807" i="4"/>
  <c r="Z911" i="4"/>
  <c r="K911" i="4"/>
  <c r="V911" i="4" s="1"/>
  <c r="Z807" i="4"/>
  <c r="K807" i="4"/>
  <c r="V807" i="4" s="1"/>
  <c r="W703" i="4"/>
  <c r="N703" i="4"/>
  <c r="W599" i="4"/>
  <c r="N599" i="4"/>
  <c r="Z703" i="4"/>
  <c r="K703" i="4"/>
  <c r="Z599" i="4"/>
  <c r="K599" i="4"/>
  <c r="Z495" i="4"/>
  <c r="K495" i="4"/>
  <c r="T703" i="4"/>
  <c r="E703" i="4"/>
  <c r="T599" i="4"/>
  <c r="E599" i="4"/>
  <c r="X703" i="4"/>
  <c r="Q703" i="4"/>
  <c r="X599" i="4"/>
  <c r="Q599" i="4"/>
  <c r="X495" i="4"/>
  <c r="Q495" i="4"/>
  <c r="N495" i="4"/>
  <c r="E495" i="4"/>
  <c r="X391" i="4"/>
  <c r="Q391" i="4"/>
  <c r="X287" i="4"/>
  <c r="Q287" i="4"/>
  <c r="W391" i="4"/>
  <c r="N391" i="4"/>
  <c r="W287" i="4"/>
  <c r="N287" i="4"/>
  <c r="W495" i="4"/>
  <c r="Z391" i="4"/>
  <c r="K391" i="4"/>
  <c r="Z287" i="4"/>
  <c r="K287" i="4"/>
  <c r="T495" i="4"/>
  <c r="T391" i="4"/>
  <c r="E391" i="4"/>
  <c r="T287" i="4"/>
  <c r="E287" i="4"/>
  <c r="Z183" i="4"/>
  <c r="K183" i="4"/>
  <c r="Z79" i="4"/>
  <c r="K79" i="4"/>
  <c r="T183" i="4"/>
  <c r="E183" i="4"/>
  <c r="T79" i="4"/>
  <c r="E79" i="4"/>
  <c r="X183" i="4"/>
  <c r="Q183" i="4"/>
  <c r="X79" i="4"/>
  <c r="Q79" i="4"/>
  <c r="W183" i="4"/>
  <c r="N183" i="4"/>
  <c r="W79" i="4"/>
  <c r="N79" i="4"/>
  <c r="T1225" i="4"/>
  <c r="E1225" i="4"/>
  <c r="Z1225" i="4"/>
  <c r="K1225" i="4"/>
  <c r="W1225" i="4"/>
  <c r="Q1225" i="4"/>
  <c r="N1225" i="4"/>
  <c r="X1225" i="4"/>
  <c r="Z1121" i="4"/>
  <c r="K1121" i="4"/>
  <c r="T1121" i="4"/>
  <c r="E1121" i="4"/>
  <c r="X1121" i="4"/>
  <c r="Q1121" i="4"/>
  <c r="W1121" i="4"/>
  <c r="N1121" i="4"/>
  <c r="W1017" i="4"/>
  <c r="N1017" i="4"/>
  <c r="Z1017" i="4"/>
  <c r="K1017" i="4"/>
  <c r="T1017" i="4"/>
  <c r="E1017" i="4"/>
  <c r="X1017" i="4"/>
  <c r="Q1017" i="4"/>
  <c r="T913" i="4"/>
  <c r="E913" i="4"/>
  <c r="T809" i="4"/>
  <c r="E809" i="4"/>
  <c r="X913" i="4"/>
  <c r="Q913" i="4"/>
  <c r="X809" i="4"/>
  <c r="Q809" i="4"/>
  <c r="X705" i="4"/>
  <c r="Q705" i="4"/>
  <c r="W913" i="4"/>
  <c r="N913" i="4"/>
  <c r="W809" i="4"/>
  <c r="N809" i="4"/>
  <c r="Z913" i="4"/>
  <c r="K913" i="4"/>
  <c r="Z809" i="4"/>
  <c r="K809" i="4"/>
  <c r="Z705" i="4"/>
  <c r="K705" i="4"/>
  <c r="T705" i="4"/>
  <c r="W601" i="4"/>
  <c r="N601" i="4"/>
  <c r="N705" i="4"/>
  <c r="Z601" i="4"/>
  <c r="K601" i="4"/>
  <c r="Z497" i="4"/>
  <c r="K497" i="4"/>
  <c r="E705" i="4"/>
  <c r="T601" i="4"/>
  <c r="E601" i="4"/>
  <c r="W705" i="4"/>
  <c r="X601" i="4"/>
  <c r="Q601" i="4"/>
  <c r="X497" i="4"/>
  <c r="Q497" i="4"/>
  <c r="W497" i="4"/>
  <c r="X393" i="4"/>
  <c r="Q393" i="4"/>
  <c r="X289" i="4"/>
  <c r="Q289" i="4"/>
  <c r="T497" i="4"/>
  <c r="E497" i="4"/>
  <c r="W393" i="4"/>
  <c r="N393" i="4"/>
  <c r="W289" i="4"/>
  <c r="N289" i="4"/>
  <c r="N497" i="4"/>
  <c r="Z393" i="4"/>
  <c r="K393" i="4"/>
  <c r="Z289" i="4"/>
  <c r="K289" i="4"/>
  <c r="T393" i="4"/>
  <c r="E393" i="4"/>
  <c r="T289" i="4"/>
  <c r="E289" i="4"/>
  <c r="Z185" i="4"/>
  <c r="K185" i="4"/>
  <c r="Z81" i="4"/>
  <c r="K81" i="4"/>
  <c r="T185" i="4"/>
  <c r="E185" i="4"/>
  <c r="T81" i="4"/>
  <c r="E81" i="4"/>
  <c r="X185" i="4"/>
  <c r="Q185" i="4"/>
  <c r="X81" i="4"/>
  <c r="Q81" i="4"/>
  <c r="W185" i="4"/>
  <c r="N185" i="4"/>
  <c r="W81" i="4"/>
  <c r="N81" i="4"/>
  <c r="T1227" i="4"/>
  <c r="E1227" i="4"/>
  <c r="Z1227" i="4"/>
  <c r="K1227" i="4"/>
  <c r="X1227" i="4"/>
  <c r="W1227" i="4"/>
  <c r="Q1227" i="4"/>
  <c r="N1227" i="4"/>
  <c r="Z1123" i="4"/>
  <c r="K1123" i="4"/>
  <c r="T1123" i="4"/>
  <c r="E1123" i="4"/>
  <c r="X1123" i="4"/>
  <c r="Q1123" i="4"/>
  <c r="W1123" i="4"/>
  <c r="N1123" i="4"/>
  <c r="W1019" i="4"/>
  <c r="N1019" i="4"/>
  <c r="Z1019" i="4"/>
  <c r="K1019" i="4"/>
  <c r="T1019" i="4"/>
  <c r="E1019" i="4"/>
  <c r="X1019" i="4"/>
  <c r="Q1019" i="4"/>
  <c r="T915" i="4"/>
  <c r="E915" i="4"/>
  <c r="T811" i="4"/>
  <c r="E811" i="4"/>
  <c r="X915" i="4"/>
  <c r="Q915" i="4"/>
  <c r="X811" i="4"/>
  <c r="Q811" i="4"/>
  <c r="X707" i="4"/>
  <c r="Q707" i="4"/>
  <c r="W915" i="4"/>
  <c r="N915" i="4"/>
  <c r="W811" i="4"/>
  <c r="N811" i="4"/>
  <c r="Z915" i="4"/>
  <c r="K915" i="4"/>
  <c r="Z811" i="4"/>
  <c r="K811" i="4"/>
  <c r="Z707" i="4"/>
  <c r="K707" i="4"/>
  <c r="W603" i="4"/>
  <c r="N603" i="4"/>
  <c r="W707" i="4"/>
  <c r="Z603" i="4"/>
  <c r="K603" i="4"/>
  <c r="Z499" i="4"/>
  <c r="K499" i="4"/>
  <c r="T707" i="4"/>
  <c r="E707" i="4"/>
  <c r="T603" i="4"/>
  <c r="E603" i="4"/>
  <c r="N707" i="4"/>
  <c r="X603" i="4"/>
  <c r="Q603" i="4"/>
  <c r="X499" i="4"/>
  <c r="Q499" i="4"/>
  <c r="N499" i="4"/>
  <c r="X395" i="4"/>
  <c r="Q395" i="4"/>
  <c r="X291" i="4"/>
  <c r="Q291" i="4"/>
  <c r="W395" i="4"/>
  <c r="N395" i="4"/>
  <c r="W291" i="4"/>
  <c r="N291" i="4"/>
  <c r="W499" i="4"/>
  <c r="Z395" i="4"/>
  <c r="K395" i="4"/>
  <c r="Z291" i="4"/>
  <c r="K291" i="4"/>
  <c r="T499" i="4"/>
  <c r="E499" i="4"/>
  <c r="T395" i="4"/>
  <c r="E395" i="4"/>
  <c r="T291" i="4"/>
  <c r="E291" i="4"/>
  <c r="Z187" i="4"/>
  <c r="K187" i="4"/>
  <c r="Z83" i="4"/>
  <c r="K83" i="4"/>
  <c r="T187" i="4"/>
  <c r="E187" i="4"/>
  <c r="T83" i="4"/>
  <c r="E83" i="4"/>
  <c r="X187" i="4"/>
  <c r="Q187" i="4"/>
  <c r="X83" i="4"/>
  <c r="Q83" i="4"/>
  <c r="W187" i="4"/>
  <c r="N187" i="4"/>
  <c r="W83" i="4"/>
  <c r="N83" i="4"/>
  <c r="T1229" i="4"/>
  <c r="E1229" i="4"/>
  <c r="Z1229" i="4"/>
  <c r="K1229" i="4"/>
  <c r="N1229" i="4"/>
  <c r="X1229" i="4"/>
  <c r="W1229" i="4"/>
  <c r="Q1229" i="4"/>
  <c r="Z1125" i="4"/>
  <c r="K1125" i="4"/>
  <c r="T1125" i="4"/>
  <c r="E1125" i="4"/>
  <c r="X1125" i="4"/>
  <c r="Q1125" i="4"/>
  <c r="W1125" i="4"/>
  <c r="N1125" i="4"/>
  <c r="W1021" i="4"/>
  <c r="N1021" i="4"/>
  <c r="Z1021" i="4"/>
  <c r="K1021" i="4"/>
  <c r="T1021" i="4"/>
  <c r="E1021" i="4"/>
  <c r="X1021" i="4"/>
  <c r="Q1021" i="4"/>
  <c r="T917" i="4"/>
  <c r="E917" i="4"/>
  <c r="T813" i="4"/>
  <c r="E813" i="4"/>
  <c r="X917" i="4"/>
  <c r="Q917" i="4"/>
  <c r="X813" i="4"/>
  <c r="Q813" i="4"/>
  <c r="X709" i="4"/>
  <c r="Q709" i="4"/>
  <c r="W917" i="4"/>
  <c r="N917" i="4"/>
  <c r="W813" i="4"/>
  <c r="N813" i="4"/>
  <c r="Z917" i="4"/>
  <c r="K917" i="4"/>
  <c r="Z813" i="4"/>
  <c r="K813" i="4"/>
  <c r="Z709" i="4"/>
  <c r="K709" i="4"/>
  <c r="T709" i="4"/>
  <c r="E709" i="4"/>
  <c r="W605" i="4"/>
  <c r="N605" i="4"/>
  <c r="N709" i="4"/>
  <c r="Z605" i="4"/>
  <c r="K605" i="4"/>
  <c r="Z501" i="4"/>
  <c r="K501" i="4"/>
  <c r="T605" i="4"/>
  <c r="E605" i="4"/>
  <c r="T501" i="4"/>
  <c r="E501" i="4"/>
  <c r="W709" i="4"/>
  <c r="X605" i="4"/>
  <c r="Q605" i="4"/>
  <c r="X501" i="4"/>
  <c r="Q501" i="4"/>
  <c r="X397" i="4"/>
  <c r="Q397" i="4"/>
  <c r="X293" i="4"/>
  <c r="Q293" i="4"/>
  <c r="W501" i="4"/>
  <c r="W397" i="4"/>
  <c r="N397" i="4"/>
  <c r="W293" i="4"/>
  <c r="N293" i="4"/>
  <c r="N501" i="4"/>
  <c r="Z397" i="4"/>
  <c r="K397" i="4"/>
  <c r="Z293" i="4"/>
  <c r="K293" i="4"/>
  <c r="T397" i="4"/>
  <c r="E397" i="4"/>
  <c r="T293" i="4"/>
  <c r="E293" i="4"/>
  <c r="Z189" i="4"/>
  <c r="K189" i="4"/>
  <c r="Z85" i="4"/>
  <c r="K85" i="4"/>
  <c r="T189" i="4"/>
  <c r="E189" i="4"/>
  <c r="T85" i="4"/>
  <c r="E85" i="4"/>
  <c r="X189" i="4"/>
  <c r="Q189" i="4"/>
  <c r="X85" i="4"/>
  <c r="Q85" i="4"/>
  <c r="W189" i="4"/>
  <c r="N189" i="4"/>
  <c r="W85" i="4"/>
  <c r="N85" i="4"/>
  <c r="T1231" i="4"/>
  <c r="E1231" i="4"/>
  <c r="Z1231" i="4"/>
  <c r="K1231" i="4"/>
  <c r="Q1231" i="4"/>
  <c r="N1231" i="4"/>
  <c r="X1231" i="4"/>
  <c r="W1231" i="4"/>
  <c r="Z1127" i="4"/>
  <c r="K1127" i="4"/>
  <c r="T1127" i="4"/>
  <c r="E1127" i="4"/>
  <c r="X1127" i="4"/>
  <c r="Q1127" i="4"/>
  <c r="W1127" i="4"/>
  <c r="N1127" i="4"/>
  <c r="W1023" i="4"/>
  <c r="N1023" i="4"/>
  <c r="Z1023" i="4"/>
  <c r="K1023" i="4"/>
  <c r="Z919" i="4"/>
  <c r="K919" i="4"/>
  <c r="T1023" i="4"/>
  <c r="E1023" i="4"/>
  <c r="X1023" i="4"/>
  <c r="Q1023" i="4"/>
  <c r="X919" i="4"/>
  <c r="Q919" i="4"/>
  <c r="N919" i="4"/>
  <c r="T815" i="4"/>
  <c r="E815" i="4"/>
  <c r="X815" i="4"/>
  <c r="Q815" i="4"/>
  <c r="X711" i="4"/>
  <c r="Q711" i="4"/>
  <c r="W919" i="4"/>
  <c r="W815" i="4"/>
  <c r="N815" i="4"/>
  <c r="T919" i="4"/>
  <c r="E919" i="4"/>
  <c r="Z815" i="4"/>
  <c r="K815" i="4"/>
  <c r="V815" i="4" s="1"/>
  <c r="Z711" i="4"/>
  <c r="K711" i="4"/>
  <c r="W607" i="4"/>
  <c r="N607" i="4"/>
  <c r="W711" i="4"/>
  <c r="Z607" i="4"/>
  <c r="K607" i="4"/>
  <c r="Z503" i="4"/>
  <c r="K503" i="4"/>
  <c r="T711" i="4"/>
  <c r="E711" i="4"/>
  <c r="T607" i="4"/>
  <c r="E607" i="4"/>
  <c r="T503" i="4"/>
  <c r="E503" i="4"/>
  <c r="N711" i="4"/>
  <c r="X607" i="4"/>
  <c r="Q607" i="4"/>
  <c r="X503" i="4"/>
  <c r="Q503" i="4"/>
  <c r="N503" i="4"/>
  <c r="X399" i="4"/>
  <c r="Q399" i="4"/>
  <c r="X295" i="4"/>
  <c r="Q295" i="4"/>
  <c r="W399" i="4"/>
  <c r="N399" i="4"/>
  <c r="W295" i="4"/>
  <c r="N295" i="4"/>
  <c r="Z399" i="4"/>
  <c r="K399" i="4"/>
  <c r="Z295" i="4"/>
  <c r="K295" i="4"/>
  <c r="W503" i="4"/>
  <c r="T399" i="4"/>
  <c r="E399" i="4"/>
  <c r="T295" i="4"/>
  <c r="E295" i="4"/>
  <c r="Z191" i="4"/>
  <c r="K191" i="4"/>
  <c r="Z87" i="4"/>
  <c r="K87" i="4"/>
  <c r="T191" i="4"/>
  <c r="E191" i="4"/>
  <c r="T87" i="4"/>
  <c r="E87" i="4"/>
  <c r="X191" i="4"/>
  <c r="Q191" i="4"/>
  <c r="X87" i="4"/>
  <c r="Q87" i="4"/>
  <c r="W191" i="4"/>
  <c r="N191" i="4"/>
  <c r="W87" i="4"/>
  <c r="N87" i="4"/>
  <c r="T1233" i="4"/>
  <c r="E1233" i="4"/>
  <c r="Z1233" i="4"/>
  <c r="K1233" i="4"/>
  <c r="W1233" i="4"/>
  <c r="Q1233" i="4"/>
  <c r="N1233" i="4"/>
  <c r="X1233" i="4"/>
  <c r="Z1129" i="4"/>
  <c r="K1129" i="4"/>
  <c r="Z1025" i="4"/>
  <c r="K1025" i="4"/>
  <c r="T1129" i="4"/>
  <c r="E1129" i="4"/>
  <c r="T1025" i="4"/>
  <c r="E1025" i="4"/>
  <c r="X1129" i="4"/>
  <c r="Q1129" i="4"/>
  <c r="X1025" i="4"/>
  <c r="Q1025" i="4"/>
  <c r="W1129" i="4"/>
  <c r="N1129" i="4"/>
  <c r="W1025" i="4"/>
  <c r="N1025" i="4"/>
  <c r="W921" i="4"/>
  <c r="N921" i="4"/>
  <c r="Z921" i="4"/>
  <c r="K921" i="4"/>
  <c r="T921" i="4"/>
  <c r="X921" i="4"/>
  <c r="Q921" i="4"/>
  <c r="T817" i="4"/>
  <c r="E817" i="4"/>
  <c r="E921" i="4"/>
  <c r="X817" i="4"/>
  <c r="Q817" i="4"/>
  <c r="X713" i="4"/>
  <c r="Q713" i="4"/>
  <c r="W817" i="4"/>
  <c r="N817" i="4"/>
  <c r="Z817" i="4"/>
  <c r="K817" i="4"/>
  <c r="Z713" i="4"/>
  <c r="K713" i="4"/>
  <c r="T713" i="4"/>
  <c r="E713" i="4"/>
  <c r="W609" i="4"/>
  <c r="N609" i="4"/>
  <c r="N713" i="4"/>
  <c r="Z609" i="4"/>
  <c r="K609" i="4"/>
  <c r="Z505" i="4"/>
  <c r="K505" i="4"/>
  <c r="T609" i="4"/>
  <c r="E609" i="4"/>
  <c r="T505" i="4"/>
  <c r="E505" i="4"/>
  <c r="W713" i="4"/>
  <c r="X609" i="4"/>
  <c r="Q609" i="4"/>
  <c r="X505" i="4"/>
  <c r="Q505" i="4"/>
  <c r="X401" i="4"/>
  <c r="Q401" i="4"/>
  <c r="X297" i="4"/>
  <c r="Q297" i="4"/>
  <c r="W505" i="4"/>
  <c r="W401" i="4"/>
  <c r="N401" i="4"/>
  <c r="W297" i="4"/>
  <c r="N297" i="4"/>
  <c r="N505" i="4"/>
  <c r="Z401" i="4"/>
  <c r="K401" i="4"/>
  <c r="Z297" i="4"/>
  <c r="K297" i="4"/>
  <c r="T401" i="4"/>
  <c r="E401" i="4"/>
  <c r="T297" i="4"/>
  <c r="E297" i="4"/>
  <c r="Z193" i="4"/>
  <c r="K193" i="4"/>
  <c r="Z89" i="4"/>
  <c r="K89" i="4"/>
  <c r="T193" i="4"/>
  <c r="E193" i="4"/>
  <c r="T89" i="4"/>
  <c r="E89" i="4"/>
  <c r="X193" i="4"/>
  <c r="Q193" i="4"/>
  <c r="X89" i="4"/>
  <c r="Q89" i="4"/>
  <c r="W193" i="4"/>
  <c r="N193" i="4"/>
  <c r="W89" i="4"/>
  <c r="N89" i="4"/>
  <c r="T1235" i="4"/>
  <c r="E1235" i="4"/>
  <c r="Z1235" i="4"/>
  <c r="K1235" i="4"/>
  <c r="X1235" i="4"/>
  <c r="W1235" i="4"/>
  <c r="Q1235" i="4"/>
  <c r="N1235" i="4"/>
  <c r="Z1131" i="4"/>
  <c r="K1131" i="4"/>
  <c r="Z1027" i="4"/>
  <c r="K1027" i="4"/>
  <c r="T1131" i="4"/>
  <c r="E1131" i="4"/>
  <c r="T1027" i="4"/>
  <c r="E1027" i="4"/>
  <c r="X1131" i="4"/>
  <c r="Q1131" i="4"/>
  <c r="X1027" i="4"/>
  <c r="Q1027" i="4"/>
  <c r="W1131" i="4"/>
  <c r="N1131" i="4"/>
  <c r="W1027" i="4"/>
  <c r="N1027" i="4"/>
  <c r="W923" i="4"/>
  <c r="N923" i="4"/>
  <c r="Z923" i="4"/>
  <c r="K923" i="4"/>
  <c r="T923" i="4"/>
  <c r="E923" i="4"/>
  <c r="X923" i="4"/>
  <c r="Q923" i="4"/>
  <c r="T819" i="4"/>
  <c r="E819" i="4"/>
  <c r="T715" i="4"/>
  <c r="E715" i="4"/>
  <c r="X819" i="4"/>
  <c r="Q819" i="4"/>
  <c r="X715" i="4"/>
  <c r="Q715" i="4"/>
  <c r="W819" i="4"/>
  <c r="N819" i="4"/>
  <c r="W715" i="4"/>
  <c r="N715" i="4"/>
  <c r="Z819" i="4"/>
  <c r="K819" i="4"/>
  <c r="V819" i="4" s="1"/>
  <c r="Z715" i="4"/>
  <c r="K715" i="4"/>
  <c r="V715" i="4" s="1"/>
  <c r="W611" i="4"/>
  <c r="N611" i="4"/>
  <c r="Z611" i="4"/>
  <c r="K611" i="4"/>
  <c r="Z507" i="4"/>
  <c r="K507" i="4"/>
  <c r="T611" i="4"/>
  <c r="E611" i="4"/>
  <c r="T507" i="4"/>
  <c r="E507" i="4"/>
  <c r="X611" i="4"/>
  <c r="Q611" i="4"/>
  <c r="X507" i="4"/>
  <c r="Q507" i="4"/>
  <c r="N507" i="4"/>
  <c r="X403" i="4"/>
  <c r="Q403" i="4"/>
  <c r="X299" i="4"/>
  <c r="Q299" i="4"/>
  <c r="W403" i="4"/>
  <c r="N403" i="4"/>
  <c r="W299" i="4"/>
  <c r="N299" i="4"/>
  <c r="Z403" i="4"/>
  <c r="K403" i="4"/>
  <c r="Z299" i="4"/>
  <c r="K299" i="4"/>
  <c r="W507" i="4"/>
  <c r="T403" i="4"/>
  <c r="E403" i="4"/>
  <c r="T299" i="4"/>
  <c r="E299" i="4"/>
  <c r="Z195" i="4"/>
  <c r="K195" i="4"/>
  <c r="Z91" i="4"/>
  <c r="K91" i="4"/>
  <c r="T195" i="4"/>
  <c r="E195" i="4"/>
  <c r="T91" i="4"/>
  <c r="E91" i="4"/>
  <c r="X195" i="4"/>
  <c r="Q195" i="4"/>
  <c r="X91" i="4"/>
  <c r="Q91" i="4"/>
  <c r="W195" i="4"/>
  <c r="N195" i="4"/>
  <c r="W91" i="4"/>
  <c r="N91" i="4"/>
  <c r="T1237" i="4"/>
  <c r="E1237" i="4"/>
  <c r="Z1237" i="4"/>
  <c r="K1237" i="4"/>
  <c r="N1237" i="4"/>
  <c r="Z1133" i="4"/>
  <c r="K1133" i="4"/>
  <c r="X1237" i="4"/>
  <c r="T1133" i="4"/>
  <c r="E1133" i="4"/>
  <c r="W1237" i="4"/>
  <c r="X1133" i="4"/>
  <c r="Q1133" i="4"/>
  <c r="Q1237" i="4"/>
  <c r="W1133" i="4"/>
  <c r="N1133" i="4"/>
  <c r="Z1029" i="4"/>
  <c r="K1029" i="4"/>
  <c r="T1029" i="4"/>
  <c r="E1029" i="4"/>
  <c r="X1029" i="4"/>
  <c r="Q1029" i="4"/>
  <c r="W1029" i="4"/>
  <c r="N1029" i="4"/>
  <c r="W925" i="4"/>
  <c r="N925" i="4"/>
  <c r="Z925" i="4"/>
  <c r="K925" i="4"/>
  <c r="T925" i="4"/>
  <c r="E925" i="4"/>
  <c r="X925" i="4"/>
  <c r="Q925" i="4"/>
  <c r="T821" i="4"/>
  <c r="E821" i="4"/>
  <c r="T717" i="4"/>
  <c r="E717" i="4"/>
  <c r="X821" i="4"/>
  <c r="Q821" i="4"/>
  <c r="X717" i="4"/>
  <c r="Q717" i="4"/>
  <c r="W821" i="4"/>
  <c r="N821" i="4"/>
  <c r="W717" i="4"/>
  <c r="N717" i="4"/>
  <c r="Z821" i="4"/>
  <c r="K821" i="4"/>
  <c r="V821" i="4" s="1"/>
  <c r="Z717" i="4"/>
  <c r="K717" i="4"/>
  <c r="V717" i="4" s="1"/>
  <c r="W613" i="4"/>
  <c r="N613" i="4"/>
  <c r="W509" i="4"/>
  <c r="Z613" i="4"/>
  <c r="K613" i="4"/>
  <c r="Z509" i="4"/>
  <c r="K509" i="4"/>
  <c r="T613" i="4"/>
  <c r="E613" i="4"/>
  <c r="T509" i="4"/>
  <c r="E509" i="4"/>
  <c r="X613" i="4"/>
  <c r="Q613" i="4"/>
  <c r="X509" i="4"/>
  <c r="Q509" i="4"/>
  <c r="X405" i="4"/>
  <c r="Q405" i="4"/>
  <c r="X301" i="4"/>
  <c r="Q301" i="4"/>
  <c r="W405" i="4"/>
  <c r="N405" i="4"/>
  <c r="W301" i="4"/>
  <c r="N301" i="4"/>
  <c r="N509" i="4"/>
  <c r="Z405" i="4"/>
  <c r="K405" i="4"/>
  <c r="Z301" i="4"/>
  <c r="K301" i="4"/>
  <c r="T405" i="4"/>
  <c r="E405" i="4"/>
  <c r="T301" i="4"/>
  <c r="E301" i="4"/>
  <c r="Z197" i="4"/>
  <c r="K197" i="4"/>
  <c r="Z93" i="4"/>
  <c r="K93" i="4"/>
  <c r="T197" i="4"/>
  <c r="E197" i="4"/>
  <c r="T93" i="4"/>
  <c r="E93" i="4"/>
  <c r="X197" i="4"/>
  <c r="Q197" i="4"/>
  <c r="X93" i="4"/>
  <c r="Q93" i="4"/>
  <c r="W197" i="4"/>
  <c r="N197" i="4"/>
  <c r="W93" i="4"/>
  <c r="N93" i="4"/>
  <c r="T1239" i="4"/>
  <c r="E1239" i="4"/>
  <c r="Z1239" i="4"/>
  <c r="K1239" i="4"/>
  <c r="Q1239" i="4"/>
  <c r="Z1135" i="4"/>
  <c r="K1135" i="4"/>
  <c r="N1239" i="4"/>
  <c r="T1135" i="4"/>
  <c r="E1135" i="4"/>
  <c r="X1239" i="4"/>
  <c r="X1135" i="4"/>
  <c r="Q1135" i="4"/>
  <c r="W1239" i="4"/>
  <c r="W1135" i="4"/>
  <c r="N1135" i="4"/>
  <c r="Z1031" i="4"/>
  <c r="K1031" i="4"/>
  <c r="T1031" i="4"/>
  <c r="E1031" i="4"/>
  <c r="X1031" i="4"/>
  <c r="Q1031" i="4"/>
  <c r="W1031" i="4"/>
  <c r="N1031" i="4"/>
  <c r="W927" i="4"/>
  <c r="N927" i="4"/>
  <c r="Z927" i="4"/>
  <c r="K927" i="4"/>
  <c r="T927" i="4"/>
  <c r="E927" i="4"/>
  <c r="X927" i="4"/>
  <c r="Q927" i="4"/>
  <c r="T823" i="4"/>
  <c r="E823" i="4"/>
  <c r="T719" i="4"/>
  <c r="E719" i="4"/>
  <c r="X823" i="4"/>
  <c r="Q823" i="4"/>
  <c r="X719" i="4"/>
  <c r="Q719" i="4"/>
  <c r="W823" i="4"/>
  <c r="N823" i="4"/>
  <c r="W719" i="4"/>
  <c r="N719" i="4"/>
  <c r="Z823" i="4"/>
  <c r="K823" i="4"/>
  <c r="V823" i="4" s="1"/>
  <c r="Z719" i="4"/>
  <c r="K719" i="4"/>
  <c r="V719" i="4" s="1"/>
  <c r="W615" i="4"/>
  <c r="N615" i="4"/>
  <c r="W511" i="4"/>
  <c r="N511" i="4"/>
  <c r="Z615" i="4"/>
  <c r="K615" i="4"/>
  <c r="Z511" i="4"/>
  <c r="K511" i="4"/>
  <c r="T615" i="4"/>
  <c r="E615" i="4"/>
  <c r="T511" i="4"/>
  <c r="E511" i="4"/>
  <c r="X615" i="4"/>
  <c r="Q615" i="4"/>
  <c r="X511" i="4"/>
  <c r="Q511" i="4"/>
  <c r="X407" i="4"/>
  <c r="Q407" i="4"/>
  <c r="X303" i="4"/>
  <c r="Q303" i="4"/>
  <c r="W407" i="4"/>
  <c r="N407" i="4"/>
  <c r="W303" i="4"/>
  <c r="N303" i="4"/>
  <c r="Z407" i="4"/>
  <c r="K407" i="4"/>
  <c r="Z303" i="4"/>
  <c r="K303" i="4"/>
  <c r="T407" i="4"/>
  <c r="E407" i="4"/>
  <c r="T303" i="4"/>
  <c r="E303" i="4"/>
  <c r="Z199" i="4"/>
  <c r="K199" i="4"/>
  <c r="Z95" i="4"/>
  <c r="K95" i="4"/>
  <c r="T199" i="4"/>
  <c r="E199" i="4"/>
  <c r="T95" i="4"/>
  <c r="E95" i="4"/>
  <c r="X199" i="4"/>
  <c r="Q199" i="4"/>
  <c r="X95" i="4"/>
  <c r="Q95" i="4"/>
  <c r="W199" i="4"/>
  <c r="N199" i="4"/>
  <c r="W95" i="4"/>
  <c r="N95" i="4"/>
  <c r="T1241" i="4"/>
  <c r="E1241" i="4"/>
  <c r="Z1241" i="4"/>
  <c r="K1241" i="4"/>
  <c r="W1241" i="4"/>
  <c r="Z1137" i="4"/>
  <c r="K1137" i="4"/>
  <c r="Q1241" i="4"/>
  <c r="T1137" i="4"/>
  <c r="E1137" i="4"/>
  <c r="N1241" i="4"/>
  <c r="X1137" i="4"/>
  <c r="Q1137" i="4"/>
  <c r="X1241" i="4"/>
  <c r="W1137" i="4"/>
  <c r="N1137" i="4"/>
  <c r="Z1033" i="4"/>
  <c r="K1033" i="4"/>
  <c r="T1033" i="4"/>
  <c r="E1033" i="4"/>
  <c r="X1033" i="4"/>
  <c r="Q1033" i="4"/>
  <c r="W1033" i="4"/>
  <c r="N1033" i="4"/>
  <c r="W929" i="4"/>
  <c r="N929" i="4"/>
  <c r="Z929" i="4"/>
  <c r="K929" i="4"/>
  <c r="T929" i="4"/>
  <c r="E929" i="4"/>
  <c r="X929" i="4"/>
  <c r="Q929" i="4"/>
  <c r="T825" i="4"/>
  <c r="E825" i="4"/>
  <c r="T721" i="4"/>
  <c r="E721" i="4"/>
  <c r="X825" i="4"/>
  <c r="Q825" i="4"/>
  <c r="X721" i="4"/>
  <c r="Q721" i="4"/>
  <c r="W825" i="4"/>
  <c r="N825" i="4"/>
  <c r="W721" i="4"/>
  <c r="N721" i="4"/>
  <c r="Z825" i="4"/>
  <c r="K825" i="4"/>
  <c r="V825" i="4" s="1"/>
  <c r="Z721" i="4"/>
  <c r="K721" i="4"/>
  <c r="V721" i="4" s="1"/>
  <c r="W617" i="4"/>
  <c r="N617" i="4"/>
  <c r="W513" i="4"/>
  <c r="N513" i="4"/>
  <c r="Z617" i="4"/>
  <c r="K617" i="4"/>
  <c r="Z513" i="4"/>
  <c r="K513" i="4"/>
  <c r="T617" i="4"/>
  <c r="E617" i="4"/>
  <c r="T513" i="4"/>
  <c r="E513" i="4"/>
  <c r="X617" i="4"/>
  <c r="Q617" i="4"/>
  <c r="X513" i="4"/>
  <c r="Q513" i="4"/>
  <c r="X409" i="4"/>
  <c r="Q409" i="4"/>
  <c r="X305" i="4"/>
  <c r="Q305" i="4"/>
  <c r="W409" i="4"/>
  <c r="N409" i="4"/>
  <c r="W305" i="4"/>
  <c r="N305" i="4"/>
  <c r="Z409" i="4"/>
  <c r="K409" i="4"/>
  <c r="Z305" i="4"/>
  <c r="K305" i="4"/>
  <c r="T409" i="4"/>
  <c r="E409" i="4"/>
  <c r="T305" i="4"/>
  <c r="E305" i="4"/>
  <c r="Z201" i="4"/>
  <c r="K201" i="4"/>
  <c r="Z97" i="4"/>
  <c r="K97" i="4"/>
  <c r="T201" i="4"/>
  <c r="E201" i="4"/>
  <c r="T97" i="4"/>
  <c r="E97" i="4"/>
  <c r="X201" i="4"/>
  <c r="Q201" i="4"/>
  <c r="X97" i="4"/>
  <c r="Q97" i="4"/>
  <c r="W201" i="4"/>
  <c r="N201" i="4"/>
  <c r="W97" i="4"/>
  <c r="N97" i="4"/>
  <c r="T1243" i="4"/>
  <c r="E1243" i="4"/>
  <c r="Z1243" i="4"/>
  <c r="K1243" i="4"/>
  <c r="X1243" i="4"/>
  <c r="Z1139" i="4"/>
  <c r="K1139" i="4"/>
  <c r="W1243" i="4"/>
  <c r="T1139" i="4"/>
  <c r="E1139" i="4"/>
  <c r="Q1243" i="4"/>
  <c r="X1139" i="4"/>
  <c r="Q1139" i="4"/>
  <c r="N1243" i="4"/>
  <c r="W1139" i="4"/>
  <c r="N1139" i="4"/>
  <c r="Z1035" i="4"/>
  <c r="K1035" i="4"/>
  <c r="T1035" i="4"/>
  <c r="E1035" i="4"/>
  <c r="X1035" i="4"/>
  <c r="Q1035" i="4"/>
  <c r="W1035" i="4"/>
  <c r="N1035" i="4"/>
  <c r="W931" i="4"/>
  <c r="N931" i="4"/>
  <c r="Z931" i="4"/>
  <c r="K931" i="4"/>
  <c r="T931" i="4"/>
  <c r="E931" i="4"/>
  <c r="X931" i="4"/>
  <c r="Q931" i="4"/>
  <c r="T827" i="4"/>
  <c r="E827" i="4"/>
  <c r="T723" i="4"/>
  <c r="E723" i="4"/>
  <c r="X827" i="4"/>
  <c r="Q827" i="4"/>
  <c r="X723" i="4"/>
  <c r="Q723" i="4"/>
  <c r="W827" i="4"/>
  <c r="N827" i="4"/>
  <c r="W723" i="4"/>
  <c r="N723" i="4"/>
  <c r="Z827" i="4"/>
  <c r="K827" i="4"/>
  <c r="V827" i="4" s="1"/>
  <c r="Z723" i="4"/>
  <c r="K723" i="4"/>
  <c r="V723" i="4" s="1"/>
  <c r="W619" i="4"/>
  <c r="N619" i="4"/>
  <c r="W515" i="4"/>
  <c r="N515" i="4"/>
  <c r="Z619" i="4"/>
  <c r="K619" i="4"/>
  <c r="Z515" i="4"/>
  <c r="K515" i="4"/>
  <c r="T619" i="4"/>
  <c r="E619" i="4"/>
  <c r="T515" i="4"/>
  <c r="E515" i="4"/>
  <c r="X619" i="4"/>
  <c r="Q619" i="4"/>
  <c r="X515" i="4"/>
  <c r="Q515" i="4"/>
  <c r="X411" i="4"/>
  <c r="Q411" i="4"/>
  <c r="X307" i="4"/>
  <c r="Q307" i="4"/>
  <c r="W411" i="4"/>
  <c r="N411" i="4"/>
  <c r="W307" i="4"/>
  <c r="N307" i="4"/>
  <c r="Z411" i="4"/>
  <c r="K411" i="4"/>
  <c r="Z307" i="4"/>
  <c r="K307" i="4"/>
  <c r="T411" i="4"/>
  <c r="E411" i="4"/>
  <c r="T307" i="4"/>
  <c r="E307" i="4"/>
  <c r="Z203" i="4"/>
  <c r="K203" i="4"/>
  <c r="Z99" i="4"/>
  <c r="K99" i="4"/>
  <c r="T203" i="4"/>
  <c r="E203" i="4"/>
  <c r="T99" i="4"/>
  <c r="E99" i="4"/>
  <c r="X203" i="4"/>
  <c r="Q203" i="4"/>
  <c r="X99" i="4"/>
  <c r="Q99" i="4"/>
  <c r="W203" i="4"/>
  <c r="N203" i="4"/>
  <c r="W99" i="4"/>
  <c r="N99" i="4"/>
  <c r="T1245" i="4"/>
  <c r="E1245" i="4"/>
  <c r="Z1245" i="4"/>
  <c r="K1245" i="4"/>
  <c r="N1245" i="4"/>
  <c r="Z1141" i="4"/>
  <c r="K1141" i="4"/>
  <c r="X1245" i="4"/>
  <c r="T1141" i="4"/>
  <c r="E1141" i="4"/>
  <c r="W1245" i="4"/>
  <c r="X1141" i="4"/>
  <c r="Q1141" i="4"/>
  <c r="Q1245" i="4"/>
  <c r="W1141" i="4"/>
  <c r="N1141" i="4"/>
  <c r="Z1037" i="4"/>
  <c r="K1037" i="4"/>
  <c r="T1037" i="4"/>
  <c r="E1037" i="4"/>
  <c r="X1037" i="4"/>
  <c r="Q1037" i="4"/>
  <c r="W1037" i="4"/>
  <c r="N1037" i="4"/>
  <c r="W933" i="4"/>
  <c r="N933" i="4"/>
  <c r="Z933" i="4"/>
  <c r="K933" i="4"/>
  <c r="T933" i="4"/>
  <c r="E933" i="4"/>
  <c r="X933" i="4"/>
  <c r="Q933" i="4"/>
  <c r="T829" i="4"/>
  <c r="E829" i="4"/>
  <c r="T725" i="4"/>
  <c r="E725" i="4"/>
  <c r="X829" i="4"/>
  <c r="Q829" i="4"/>
  <c r="X725" i="4"/>
  <c r="Q725" i="4"/>
  <c r="W829" i="4"/>
  <c r="N829" i="4"/>
  <c r="W725" i="4"/>
  <c r="N725" i="4"/>
  <c r="Z829" i="4"/>
  <c r="K829" i="4"/>
  <c r="V829" i="4" s="1"/>
  <c r="Z725" i="4"/>
  <c r="K725" i="4"/>
  <c r="W621" i="4"/>
  <c r="N621" i="4"/>
  <c r="W517" i="4"/>
  <c r="N517" i="4"/>
  <c r="Z621" i="4"/>
  <c r="K621" i="4"/>
  <c r="Z517" i="4"/>
  <c r="K517" i="4"/>
  <c r="T621" i="4"/>
  <c r="E621" i="4"/>
  <c r="T517" i="4"/>
  <c r="E517" i="4"/>
  <c r="X621" i="4"/>
  <c r="Q621" i="4"/>
  <c r="X517" i="4"/>
  <c r="Q517" i="4"/>
  <c r="X413" i="4"/>
  <c r="Q413" i="4"/>
  <c r="X309" i="4"/>
  <c r="Q309" i="4"/>
  <c r="W413" i="4"/>
  <c r="N413" i="4"/>
  <c r="W309" i="4"/>
  <c r="N309" i="4"/>
  <c r="Z413" i="4"/>
  <c r="K413" i="4"/>
  <c r="Z309" i="4"/>
  <c r="K309" i="4"/>
  <c r="T413" i="4"/>
  <c r="E413" i="4"/>
  <c r="T309" i="4"/>
  <c r="E309" i="4"/>
  <c r="Z205" i="4"/>
  <c r="K205" i="4"/>
  <c r="Z101" i="4"/>
  <c r="K101" i="4"/>
  <c r="T205" i="4"/>
  <c r="E205" i="4"/>
  <c r="T101" i="4"/>
  <c r="E101" i="4"/>
  <c r="X205" i="4"/>
  <c r="Q205" i="4"/>
  <c r="X101" i="4"/>
  <c r="Q101" i="4"/>
  <c r="W205" i="4"/>
  <c r="N205" i="4"/>
  <c r="W101" i="4"/>
  <c r="N101" i="4"/>
  <c r="T1247" i="4"/>
  <c r="E1247" i="4"/>
  <c r="Z1247" i="4"/>
  <c r="K1247" i="4"/>
  <c r="Q1247" i="4"/>
  <c r="Z1143" i="4"/>
  <c r="K1143" i="4"/>
  <c r="N1247" i="4"/>
  <c r="T1143" i="4"/>
  <c r="E1143" i="4"/>
  <c r="X1247" i="4"/>
  <c r="X1143" i="4"/>
  <c r="Q1143" i="4"/>
  <c r="W1247" i="4"/>
  <c r="W1143" i="4"/>
  <c r="N1143" i="4"/>
  <c r="Z1039" i="4"/>
  <c r="K1039" i="4"/>
  <c r="T1039" i="4"/>
  <c r="E1039" i="4"/>
  <c r="X1039" i="4"/>
  <c r="Q1039" i="4"/>
  <c r="W1039" i="4"/>
  <c r="N1039" i="4"/>
  <c r="W935" i="4"/>
  <c r="N935" i="4"/>
  <c r="Z935" i="4"/>
  <c r="K935" i="4"/>
  <c r="T935" i="4"/>
  <c r="E935" i="4"/>
  <c r="X935" i="4"/>
  <c r="Q935" i="4"/>
  <c r="T831" i="4"/>
  <c r="E831" i="4"/>
  <c r="T727" i="4"/>
  <c r="E727" i="4"/>
  <c r="X831" i="4"/>
  <c r="Q831" i="4"/>
  <c r="X727" i="4"/>
  <c r="Q727" i="4"/>
  <c r="W831" i="4"/>
  <c r="N831" i="4"/>
  <c r="W727" i="4"/>
  <c r="N727" i="4"/>
  <c r="Z831" i="4"/>
  <c r="K831" i="4"/>
  <c r="V831" i="4" s="1"/>
  <c r="Z727" i="4"/>
  <c r="K727" i="4"/>
  <c r="W623" i="4"/>
  <c r="N623" i="4"/>
  <c r="W519" i="4"/>
  <c r="N519" i="4"/>
  <c r="Z623" i="4"/>
  <c r="K623" i="4"/>
  <c r="Z519" i="4"/>
  <c r="K519" i="4"/>
  <c r="T623" i="4"/>
  <c r="E623" i="4"/>
  <c r="T519" i="4"/>
  <c r="E519" i="4"/>
  <c r="X623" i="4"/>
  <c r="Q623" i="4"/>
  <c r="X519" i="4"/>
  <c r="Q519" i="4"/>
  <c r="X415" i="4"/>
  <c r="Q415" i="4"/>
  <c r="X311" i="4"/>
  <c r="Q311" i="4"/>
  <c r="W415" i="4"/>
  <c r="N415" i="4"/>
  <c r="W311" i="4"/>
  <c r="N311" i="4"/>
  <c r="Z415" i="4"/>
  <c r="K415" i="4"/>
  <c r="Z311" i="4"/>
  <c r="K311" i="4"/>
  <c r="T415" i="4"/>
  <c r="E415" i="4"/>
  <c r="T311" i="4"/>
  <c r="E311" i="4"/>
  <c r="Z207" i="4"/>
  <c r="K207" i="4"/>
  <c r="Z103" i="4"/>
  <c r="K103" i="4"/>
  <c r="T207" i="4"/>
  <c r="E207" i="4"/>
  <c r="T103" i="4"/>
  <c r="E103" i="4"/>
  <c r="X207" i="4"/>
  <c r="Q207" i="4"/>
  <c r="X103" i="4"/>
  <c r="Q103" i="4"/>
  <c r="W207" i="4"/>
  <c r="N207" i="4"/>
  <c r="W103" i="4"/>
  <c r="N103" i="4"/>
  <c r="T1249" i="4"/>
  <c r="E1249" i="4"/>
  <c r="Z1249" i="4"/>
  <c r="K1249" i="4"/>
  <c r="W1249" i="4"/>
  <c r="Z1145" i="4"/>
  <c r="K1145" i="4"/>
  <c r="Q1249" i="4"/>
  <c r="T1145" i="4"/>
  <c r="E1145" i="4"/>
  <c r="N1249" i="4"/>
  <c r="X1145" i="4"/>
  <c r="Q1145" i="4"/>
  <c r="X1249" i="4"/>
  <c r="W1145" i="4"/>
  <c r="N1145" i="4"/>
  <c r="Z1041" i="4"/>
  <c r="K1041" i="4"/>
  <c r="T1041" i="4"/>
  <c r="E1041" i="4"/>
  <c r="X1041" i="4"/>
  <c r="Q1041" i="4"/>
  <c r="W1041" i="4"/>
  <c r="N1041" i="4"/>
  <c r="W937" i="4"/>
  <c r="N937" i="4"/>
  <c r="Z937" i="4"/>
  <c r="K937" i="4"/>
  <c r="T937" i="4"/>
  <c r="E937" i="4"/>
  <c r="X937" i="4"/>
  <c r="Q937" i="4"/>
  <c r="T833" i="4"/>
  <c r="E833" i="4"/>
  <c r="T729" i="4"/>
  <c r="E729" i="4"/>
  <c r="X833" i="4"/>
  <c r="Q833" i="4"/>
  <c r="X729" i="4"/>
  <c r="Q729" i="4"/>
  <c r="W833" i="4"/>
  <c r="N833" i="4"/>
  <c r="W729" i="4"/>
  <c r="N729" i="4"/>
  <c r="Z833" i="4"/>
  <c r="K833" i="4"/>
  <c r="V833" i="4" s="1"/>
  <c r="Z729" i="4"/>
  <c r="K729" i="4"/>
  <c r="W625" i="4"/>
  <c r="N625" i="4"/>
  <c r="W521" i="4"/>
  <c r="N521" i="4"/>
  <c r="Z625" i="4"/>
  <c r="K625" i="4"/>
  <c r="Z521" i="4"/>
  <c r="K521" i="4"/>
  <c r="T625" i="4"/>
  <c r="E625" i="4"/>
  <c r="T521" i="4"/>
  <c r="E521" i="4"/>
  <c r="X625" i="4"/>
  <c r="Q625" i="4"/>
  <c r="X521" i="4"/>
  <c r="Q521" i="4"/>
  <c r="X417" i="4"/>
  <c r="Q417" i="4"/>
  <c r="X313" i="4"/>
  <c r="Q313" i="4"/>
  <c r="W417" i="4"/>
  <c r="N417" i="4"/>
  <c r="W313" i="4"/>
  <c r="N313" i="4"/>
  <c r="Z417" i="4"/>
  <c r="K417" i="4"/>
  <c r="Z313" i="4"/>
  <c r="K313" i="4"/>
  <c r="T417" i="4"/>
  <c r="E417" i="4"/>
  <c r="T313" i="4"/>
  <c r="E313" i="4"/>
  <c r="Z209" i="4"/>
  <c r="K209" i="4"/>
  <c r="Z105" i="4"/>
  <c r="K105" i="4"/>
  <c r="T209" i="4"/>
  <c r="E209" i="4"/>
  <c r="T105" i="4"/>
  <c r="E105" i="4"/>
  <c r="X209" i="4"/>
  <c r="Q209" i="4"/>
  <c r="X105" i="4"/>
  <c r="Q105" i="4"/>
  <c r="W209" i="4"/>
  <c r="N209" i="4"/>
  <c r="W105" i="4"/>
  <c r="N105" i="4"/>
  <c r="R31" i="5"/>
  <c r="K30" i="5"/>
  <c r="R32" i="5"/>
  <c r="Y115" i="16"/>
  <c r="AM35" i="5" s="1"/>
  <c r="AO35" i="5" s="1"/>
  <c r="AC115" i="16"/>
  <c r="CQ35" i="5" s="1"/>
  <c r="AG115" i="16"/>
  <c r="EU35" i="5" s="1"/>
  <c r="R37" i="5"/>
  <c r="Y119" i="16"/>
  <c r="AM39" i="5" s="1"/>
  <c r="AO39" i="5" s="1"/>
  <c r="AC119" i="16"/>
  <c r="CQ39" i="5" s="1"/>
  <c r="AG119" i="16"/>
  <c r="EU39" i="5" s="1"/>
  <c r="Y123" i="16"/>
  <c r="AM43" i="5" s="1"/>
  <c r="AO43" i="5" s="1"/>
  <c r="AC123" i="16"/>
  <c r="CQ43" i="5" s="1"/>
  <c r="AG123" i="16"/>
  <c r="EU43" i="5" s="1"/>
  <c r="Y126" i="16"/>
  <c r="AC126" i="16"/>
  <c r="AG126" i="16"/>
  <c r="Y127" i="16"/>
  <c r="AC127" i="16"/>
  <c r="AG127" i="16"/>
  <c r="Y128" i="16"/>
  <c r="AC128" i="16"/>
  <c r="AG128" i="16"/>
  <c r="Y129" i="16"/>
  <c r="AC129" i="16"/>
  <c r="AG129" i="16"/>
  <c r="Y130" i="16"/>
  <c r="AC130" i="16"/>
  <c r="AG130" i="16"/>
  <c r="Y131" i="16"/>
  <c r="AC131" i="16"/>
  <c r="AG131" i="16"/>
  <c r="W139" i="16"/>
  <c r="AA139" i="16"/>
  <c r="AE139" i="16"/>
  <c r="W140" i="16"/>
  <c r="AA140" i="16"/>
  <c r="AE140" i="16"/>
  <c r="W141" i="16"/>
  <c r="AA141" i="16"/>
  <c r="AE141" i="16"/>
  <c r="W142" i="16"/>
  <c r="AA142" i="16"/>
  <c r="AE142" i="16"/>
  <c r="W143" i="16"/>
  <c r="AA143" i="16"/>
  <c r="AE143" i="16"/>
  <c r="W144" i="16"/>
  <c r="AA144" i="16"/>
  <c r="AE144" i="16"/>
  <c r="W145" i="16"/>
  <c r="AA145" i="16"/>
  <c r="AE145" i="16"/>
  <c r="W146" i="16"/>
  <c r="AA146" i="16"/>
  <c r="AE146" i="16"/>
  <c r="W147" i="16"/>
  <c r="AA147" i="16"/>
  <c r="AE147" i="16"/>
  <c r="W148" i="16"/>
  <c r="AA148" i="16"/>
  <c r="AE148" i="16"/>
  <c r="W149" i="16"/>
  <c r="AA149" i="16"/>
  <c r="AE149" i="16"/>
  <c r="W150" i="16"/>
  <c r="AA150" i="16"/>
  <c r="AE150" i="16"/>
  <c r="E161" i="16"/>
  <c r="E163" i="16"/>
  <c r="E165" i="16"/>
  <c r="E167" i="16"/>
  <c r="E169" i="16"/>
  <c r="E171" i="16"/>
  <c r="E173" i="16"/>
  <c r="B23" i="26"/>
  <c r="B23" i="25"/>
  <c r="B23" i="24"/>
  <c r="B23" i="23"/>
  <c r="B23" i="22"/>
  <c r="B23" i="18"/>
  <c r="B23" i="21"/>
  <c r="S8" i="19"/>
  <c r="B27" i="26"/>
  <c r="B27" i="25"/>
  <c r="B27" i="24"/>
  <c r="B27" i="23"/>
  <c r="B27" i="22"/>
  <c r="B27" i="18"/>
  <c r="B27" i="21"/>
  <c r="S12" i="19"/>
  <c r="B31" i="26"/>
  <c r="B31" i="25"/>
  <c r="B31" i="24"/>
  <c r="B31" i="23"/>
  <c r="B31" i="22"/>
  <c r="B31" i="18"/>
  <c r="B31" i="21"/>
  <c r="S16" i="19"/>
  <c r="B35" i="26"/>
  <c r="B35" i="25"/>
  <c r="B35" i="24"/>
  <c r="B35" i="23"/>
  <c r="B35" i="22"/>
  <c r="B35" i="18"/>
  <c r="B35" i="21"/>
  <c r="S20" i="19"/>
  <c r="B39" i="26"/>
  <c r="B39" i="25"/>
  <c r="B39" i="24"/>
  <c r="B39" i="23"/>
  <c r="B39" i="22"/>
  <c r="B39" i="18"/>
  <c r="B39" i="21"/>
  <c r="S24" i="19"/>
  <c r="B43" i="26"/>
  <c r="B43" i="25"/>
  <c r="B43" i="24"/>
  <c r="B43" i="23"/>
  <c r="B43" i="22"/>
  <c r="B43" i="18"/>
  <c r="B43" i="21"/>
  <c r="S28" i="19"/>
  <c r="B47" i="26"/>
  <c r="B47" i="25"/>
  <c r="B47" i="24"/>
  <c r="B47" i="23"/>
  <c r="B47" i="22"/>
  <c r="B47" i="18"/>
  <c r="B47" i="21"/>
  <c r="S32" i="19"/>
  <c r="B51" i="26"/>
  <c r="B51" i="25"/>
  <c r="B51" i="24"/>
  <c r="B51" i="23"/>
  <c r="B51" i="22"/>
  <c r="B51" i="18"/>
  <c r="B51" i="21"/>
  <c r="S36" i="19"/>
  <c r="B55" i="26"/>
  <c r="B55" i="25"/>
  <c r="B55" i="24"/>
  <c r="B55" i="23"/>
  <c r="B55" i="22"/>
  <c r="B55" i="18"/>
  <c r="B55" i="21"/>
  <c r="S40" i="19"/>
  <c r="B59" i="26"/>
  <c r="B59" i="25"/>
  <c r="B59" i="24"/>
  <c r="B59" i="23"/>
  <c r="B59" i="22"/>
  <c r="B59" i="18"/>
  <c r="B59" i="21"/>
  <c r="S44" i="19"/>
  <c r="B63" i="26"/>
  <c r="B63" i="25"/>
  <c r="B63" i="24"/>
  <c r="B63" i="23"/>
  <c r="B63" i="22"/>
  <c r="B63" i="18"/>
  <c r="B63" i="21"/>
  <c r="S48" i="19"/>
  <c r="B67" i="26"/>
  <c r="B67" i="25"/>
  <c r="B67" i="24"/>
  <c r="B67" i="23"/>
  <c r="B67" i="22"/>
  <c r="B67" i="18"/>
  <c r="B67" i="21"/>
  <c r="S52" i="19"/>
  <c r="B71" i="26"/>
  <c r="B71" i="25"/>
  <c r="B71" i="24"/>
  <c r="B71" i="23"/>
  <c r="B71" i="22"/>
  <c r="B71" i="18"/>
  <c r="B71" i="21"/>
  <c r="S56" i="19"/>
  <c r="B75" i="26"/>
  <c r="B75" i="25"/>
  <c r="B75" i="24"/>
  <c r="B75" i="23"/>
  <c r="B75" i="22"/>
  <c r="B75" i="18"/>
  <c r="B75" i="21"/>
  <c r="S60" i="19"/>
  <c r="B79" i="26"/>
  <c r="B79" i="25"/>
  <c r="B79" i="24"/>
  <c r="B79" i="23"/>
  <c r="B79" i="22"/>
  <c r="B79" i="18"/>
  <c r="B79" i="21"/>
  <c r="S64" i="19"/>
  <c r="B83" i="26"/>
  <c r="B83" i="25"/>
  <c r="B83" i="24"/>
  <c r="B83" i="23"/>
  <c r="B83" i="22"/>
  <c r="B83" i="21"/>
  <c r="B83" i="18"/>
  <c r="S68" i="19"/>
  <c r="B87" i="26"/>
  <c r="B87" i="25"/>
  <c r="B87" i="24"/>
  <c r="B87" i="23"/>
  <c r="B87" i="22"/>
  <c r="B87" i="21"/>
  <c r="B87" i="18"/>
  <c r="S72" i="19"/>
  <c r="B91" i="26"/>
  <c r="B91" i="25"/>
  <c r="B91" i="24"/>
  <c r="B91" i="23"/>
  <c r="B91" i="22"/>
  <c r="B91" i="21"/>
  <c r="B91" i="18"/>
  <c r="S76" i="19"/>
  <c r="B95" i="26"/>
  <c r="B95" i="25"/>
  <c r="B95" i="24"/>
  <c r="B95" i="23"/>
  <c r="B95" i="22"/>
  <c r="B95" i="21"/>
  <c r="B95" i="18"/>
  <c r="S80" i="19"/>
  <c r="B99" i="26"/>
  <c r="B99" i="25"/>
  <c r="B99" i="24"/>
  <c r="B99" i="23"/>
  <c r="B99" i="22"/>
  <c r="B99" i="21"/>
  <c r="B99" i="18"/>
  <c r="S84" i="19"/>
  <c r="B103" i="26"/>
  <c r="B103" i="25"/>
  <c r="B103" i="24"/>
  <c r="B103" i="23"/>
  <c r="B103" i="22"/>
  <c r="B103" i="21"/>
  <c r="B103" i="18"/>
  <c r="S88" i="19"/>
  <c r="B109" i="26"/>
  <c r="B109" i="25"/>
  <c r="B109" i="24"/>
  <c r="B109" i="23"/>
  <c r="B109" i="22"/>
  <c r="B109" i="21"/>
  <c r="B109" i="18"/>
  <c r="B117" i="26"/>
  <c r="B117" i="25"/>
  <c r="B117" i="24"/>
  <c r="B117" i="23"/>
  <c r="B117" i="22"/>
  <c r="B117" i="21"/>
  <c r="B117" i="18"/>
  <c r="BA19" i="5"/>
  <c r="BO19" i="5" s="1"/>
  <c r="CC19" i="5" s="1"/>
  <c r="CQ19" i="5" s="1"/>
  <c r="DE19" i="5" s="1"/>
  <c r="DS19" i="5" s="1"/>
  <c r="EG19" i="5" s="1"/>
  <c r="EU19" i="5" s="1"/>
  <c r="FI19" i="5" s="1"/>
  <c r="BA27" i="5"/>
  <c r="BO27" i="5" s="1"/>
  <c r="CC27" i="5" s="1"/>
  <c r="CQ27" i="5" s="1"/>
  <c r="DE27" i="5" s="1"/>
  <c r="DS27" i="5" s="1"/>
  <c r="EG27" i="5" s="1"/>
  <c r="EU27" i="5" s="1"/>
  <c r="FI27" i="5" s="1"/>
  <c r="CC48" i="62"/>
  <c r="CE18" i="62"/>
  <c r="CE50" i="5"/>
  <c r="CQ50" i="5"/>
  <c r="DE50" i="5" s="1"/>
  <c r="DS50" i="5" s="1"/>
  <c r="EG50" i="5" s="1"/>
  <c r="EU50" i="5" s="1"/>
  <c r="FI50" i="5" s="1"/>
  <c r="BA54" i="5"/>
  <c r="BA61" i="5"/>
  <c r="BO61" i="5" s="1"/>
  <c r="CC61" i="5" s="1"/>
  <c r="CQ61" i="5" s="1"/>
  <c r="DE61" i="5" s="1"/>
  <c r="DS61" i="5" s="1"/>
  <c r="EG61" i="5" s="1"/>
  <c r="EU61" i="5" s="1"/>
  <c r="FI61" i="5" s="1"/>
  <c r="BA25" i="62"/>
  <c r="BA30" i="62"/>
  <c r="BO30" i="62" s="1"/>
  <c r="CC30" i="62" s="1"/>
  <c r="CQ30" i="62" s="1"/>
  <c r="DE30" i="62" s="1"/>
  <c r="DS30" i="62" s="1"/>
  <c r="EG30" i="62" s="1"/>
  <c r="EU30" i="62" s="1"/>
  <c r="FI30" i="62" s="1"/>
  <c r="BA32" i="62"/>
  <c r="BO32" i="62" s="1"/>
  <c r="CC32" i="62" s="1"/>
  <c r="CQ32" i="62" s="1"/>
  <c r="DE32" i="62" s="1"/>
  <c r="DS32" i="62" s="1"/>
  <c r="EG32" i="62" s="1"/>
  <c r="EU32" i="62" s="1"/>
  <c r="FI32" i="62" s="1"/>
  <c r="I13" i="22"/>
  <c r="F18" i="25"/>
  <c r="AJ26" i="14"/>
  <c r="AL26" i="14" s="1"/>
  <c r="C1175" i="4"/>
  <c r="C1071" i="4"/>
  <c r="F1071" i="4" s="1"/>
  <c r="C967" i="4"/>
  <c r="C863" i="4"/>
  <c r="F863" i="4" s="1"/>
  <c r="C759" i="4"/>
  <c r="F759" i="4" s="1"/>
  <c r="C655" i="4"/>
  <c r="C551" i="4"/>
  <c r="F551" i="4" s="1"/>
  <c r="C447" i="4"/>
  <c r="F447" i="4" s="1"/>
  <c r="C343" i="4"/>
  <c r="F343" i="4" s="1"/>
  <c r="C239" i="4"/>
  <c r="C135" i="4"/>
  <c r="F135" i="4" s="1"/>
  <c r="C31" i="4"/>
  <c r="F31" i="4" s="1"/>
  <c r="AJ34" i="14"/>
  <c r="AL34" i="14" s="1"/>
  <c r="AJ38" i="14"/>
  <c r="AL38" i="14" s="1"/>
  <c r="AJ42" i="14"/>
  <c r="AL42" i="14" s="1"/>
  <c r="C1187" i="4"/>
  <c r="C1083" i="4"/>
  <c r="F1083" i="4" s="1"/>
  <c r="C979" i="4"/>
  <c r="C875" i="4"/>
  <c r="C771" i="4"/>
  <c r="F771" i="4" s="1"/>
  <c r="C667" i="4"/>
  <c r="C563" i="4"/>
  <c r="F563" i="4" s="1"/>
  <c r="C459" i="4"/>
  <c r="C355" i="4"/>
  <c r="F355" i="4" s="1"/>
  <c r="C251" i="4"/>
  <c r="C147" i="4"/>
  <c r="F147" i="4" s="1"/>
  <c r="C43" i="4"/>
  <c r="F43" i="4" s="1"/>
  <c r="C1191" i="4"/>
  <c r="C1087" i="4"/>
  <c r="F1087" i="4" s="1"/>
  <c r="C983" i="4"/>
  <c r="C879" i="4"/>
  <c r="C775" i="4"/>
  <c r="F775" i="4" s="1"/>
  <c r="C671" i="4"/>
  <c r="C567" i="4"/>
  <c r="F567" i="4" s="1"/>
  <c r="C463" i="4"/>
  <c r="C359" i="4"/>
  <c r="F359" i="4" s="1"/>
  <c r="C255" i="4"/>
  <c r="C151" i="4"/>
  <c r="F151" i="4" s="1"/>
  <c r="C47" i="4"/>
  <c r="F47" i="4" s="1"/>
  <c r="C1195" i="4"/>
  <c r="C1091" i="4"/>
  <c r="F1091" i="4" s="1"/>
  <c r="C987" i="4"/>
  <c r="C883" i="4"/>
  <c r="C779" i="4"/>
  <c r="F779" i="4" s="1"/>
  <c r="C675" i="4"/>
  <c r="C571" i="4"/>
  <c r="F571" i="4" s="1"/>
  <c r="C467" i="4"/>
  <c r="C363" i="4"/>
  <c r="F363" i="4" s="1"/>
  <c r="C259" i="4"/>
  <c r="C155" i="4"/>
  <c r="F155" i="4" s="1"/>
  <c r="C51" i="4"/>
  <c r="F51" i="4" s="1"/>
  <c r="AJ78" i="14"/>
  <c r="AL78" i="14" s="1"/>
  <c r="AJ94" i="14"/>
  <c r="AL94" i="14" s="1"/>
  <c r="C1239" i="4"/>
  <c r="C1135" i="4"/>
  <c r="C1031" i="4"/>
  <c r="F1031" i="4" s="1"/>
  <c r="C927" i="4"/>
  <c r="C823" i="4"/>
  <c r="C719" i="4"/>
  <c r="F719" i="4" s="1"/>
  <c r="C615" i="4"/>
  <c r="F615" i="4" s="1"/>
  <c r="C511" i="4"/>
  <c r="F511" i="4" s="1"/>
  <c r="C407" i="4"/>
  <c r="C303" i="4"/>
  <c r="F303" i="4" s="1"/>
  <c r="C199" i="4"/>
  <c r="F199" i="4" s="1"/>
  <c r="C95" i="4"/>
  <c r="F95" i="4" s="1"/>
  <c r="AJ102" i="14"/>
  <c r="AL102" i="14" s="1"/>
  <c r="C1247" i="4"/>
  <c r="C1143" i="4"/>
  <c r="F1143" i="4" s="1"/>
  <c r="C1039" i="4"/>
  <c r="F1039" i="4" s="1"/>
  <c r="C935" i="4"/>
  <c r="C831" i="4"/>
  <c r="C727" i="4"/>
  <c r="F727" i="4" s="1"/>
  <c r="C623" i="4"/>
  <c r="C519" i="4"/>
  <c r="F519" i="4" s="1"/>
  <c r="C415" i="4"/>
  <c r="C311" i="4"/>
  <c r="F311" i="4" s="1"/>
  <c r="C207" i="4"/>
  <c r="C103" i="4"/>
  <c r="F103" i="4" s="1"/>
  <c r="F107" i="14"/>
  <c r="L107" i="14"/>
  <c r="X5" i="17"/>
  <c r="C5" i="26" s="1"/>
  <c r="R5" i="17"/>
  <c r="C5" i="24" s="1"/>
  <c r="L5" i="17"/>
  <c r="C5" i="22" s="1"/>
  <c r="F5" i="17"/>
  <c r="AA5" i="17"/>
  <c r="U5" i="17"/>
  <c r="C5" i="25" s="1"/>
  <c r="O5" i="17"/>
  <c r="C5" i="23" s="1"/>
  <c r="I5" i="17"/>
  <c r="C5" i="21" s="1"/>
  <c r="AA11" i="17"/>
  <c r="U11" i="17"/>
  <c r="C11" i="25" s="1"/>
  <c r="O11" i="17"/>
  <c r="C11" i="23" s="1"/>
  <c r="I11" i="17"/>
  <c r="C11" i="21" s="1"/>
  <c r="X11" i="17"/>
  <c r="C11" i="26" s="1"/>
  <c r="R11" i="17"/>
  <c r="C11" i="24" s="1"/>
  <c r="L11" i="17"/>
  <c r="C11" i="22" s="1"/>
  <c r="F11" i="17"/>
  <c r="AL8" i="8"/>
  <c r="AG9" i="8"/>
  <c r="AK9" i="8"/>
  <c r="AW12" i="8"/>
  <c r="BA12" i="8"/>
  <c r="BE12" i="8"/>
  <c r="AJ13" i="8"/>
  <c r="AW14" i="8"/>
  <c r="BE14" i="8"/>
  <c r="AW16" i="8"/>
  <c r="BE16" i="8"/>
  <c r="BA18" i="8"/>
  <c r="AW20" i="8"/>
  <c r="BE20" i="8"/>
  <c r="L21" i="15"/>
  <c r="D24" i="15"/>
  <c r="S9" i="15" s="1"/>
  <c r="Z1151" i="4"/>
  <c r="K1151" i="4"/>
  <c r="T1151" i="4"/>
  <c r="E1151" i="4"/>
  <c r="X1151" i="4"/>
  <c r="Q1151" i="4"/>
  <c r="W1151" i="4"/>
  <c r="N1151" i="4"/>
  <c r="Z1047" i="4"/>
  <c r="K1047" i="4"/>
  <c r="T1047" i="4"/>
  <c r="E1047" i="4"/>
  <c r="X1047" i="4"/>
  <c r="Q1047" i="4"/>
  <c r="W1047" i="4"/>
  <c r="N1047" i="4"/>
  <c r="W943" i="4"/>
  <c r="N943" i="4"/>
  <c r="Z943" i="4"/>
  <c r="K943" i="4"/>
  <c r="T943" i="4"/>
  <c r="E943" i="4"/>
  <c r="X943" i="4"/>
  <c r="Q943" i="4"/>
  <c r="T839" i="4"/>
  <c r="E839" i="4"/>
  <c r="T735" i="4"/>
  <c r="E735" i="4"/>
  <c r="X839" i="4"/>
  <c r="Q839" i="4"/>
  <c r="X735" i="4"/>
  <c r="Q735" i="4"/>
  <c r="W839" i="4"/>
  <c r="N839" i="4"/>
  <c r="W735" i="4"/>
  <c r="N735" i="4"/>
  <c r="Z839" i="4"/>
  <c r="K839" i="4"/>
  <c r="V839" i="4" s="1"/>
  <c r="Z735" i="4"/>
  <c r="K735" i="4"/>
  <c r="V735" i="4" s="1"/>
  <c r="W631" i="4"/>
  <c r="N631" i="4"/>
  <c r="W527" i="4"/>
  <c r="N527" i="4"/>
  <c r="Z631" i="4"/>
  <c r="K631" i="4"/>
  <c r="Z527" i="4"/>
  <c r="K527" i="4"/>
  <c r="T631" i="4"/>
  <c r="E631" i="4"/>
  <c r="T527" i="4"/>
  <c r="E527" i="4"/>
  <c r="X631" i="4"/>
  <c r="Q631" i="4"/>
  <c r="X527" i="4"/>
  <c r="Q527" i="4"/>
  <c r="X423" i="4"/>
  <c r="Q423" i="4"/>
  <c r="X319" i="4"/>
  <c r="Q319" i="4"/>
  <c r="W423" i="4"/>
  <c r="N423" i="4"/>
  <c r="W319" i="4"/>
  <c r="N319" i="4"/>
  <c r="Z423" i="4"/>
  <c r="K423" i="4"/>
  <c r="Z319" i="4"/>
  <c r="K319" i="4"/>
  <c r="T423" i="4"/>
  <c r="E423" i="4"/>
  <c r="T319" i="4"/>
  <c r="E319" i="4"/>
  <c r="Z215" i="4"/>
  <c r="K215" i="4"/>
  <c r="Z111" i="4"/>
  <c r="K111" i="4"/>
  <c r="T215" i="4"/>
  <c r="E215" i="4"/>
  <c r="T111" i="4"/>
  <c r="E111" i="4"/>
  <c r="X215" i="4"/>
  <c r="Q215" i="4"/>
  <c r="X111" i="4"/>
  <c r="Q111" i="4"/>
  <c r="W215" i="4"/>
  <c r="N215" i="4"/>
  <c r="W111" i="4"/>
  <c r="N111" i="4"/>
  <c r="Z7" i="4"/>
  <c r="K7" i="4"/>
  <c r="T7" i="4"/>
  <c r="E7" i="4"/>
  <c r="X7" i="4"/>
  <c r="Q7" i="4"/>
  <c r="W7" i="4"/>
  <c r="N7" i="4"/>
  <c r="I3" i="29"/>
  <c r="K3" i="29" s="1"/>
  <c r="D1" i="42"/>
  <c r="D1" i="40"/>
  <c r="D1" i="38"/>
  <c r="D1" i="36"/>
  <c r="D1" i="34"/>
  <c r="D1" i="32"/>
  <c r="D1" i="43"/>
  <c r="D1" i="41"/>
  <c r="D1" i="39"/>
  <c r="D1" i="37"/>
  <c r="D1" i="35"/>
  <c r="D1" i="33"/>
  <c r="A7" i="62"/>
  <c r="A7" i="5"/>
  <c r="A1" i="31"/>
  <c r="G2" i="7"/>
  <c r="A11" i="29"/>
  <c r="A12" i="29"/>
  <c r="A13" i="29"/>
  <c r="N6" i="14"/>
  <c r="Y6" i="14"/>
  <c r="W6" i="14" s="1"/>
  <c r="Y7" i="14"/>
  <c r="W7" i="14" s="1"/>
  <c r="Y8" i="14"/>
  <c r="W8" i="14" s="1"/>
  <c r="Y9" i="14"/>
  <c r="W9" i="14" s="1"/>
  <c r="Y10" i="14"/>
  <c r="W10" i="14" s="1"/>
  <c r="Y11" i="14"/>
  <c r="W11" i="14" s="1"/>
  <c r="Y12" i="14"/>
  <c r="W12" i="14" s="1"/>
  <c r="Y13" i="14"/>
  <c r="W13" i="14" s="1"/>
  <c r="Y14" i="14"/>
  <c r="W14" i="14" s="1"/>
  <c r="Y15" i="14"/>
  <c r="W15" i="14" s="1"/>
  <c r="Y16" i="14"/>
  <c r="W16" i="14" s="1"/>
  <c r="Y17" i="14"/>
  <c r="W17" i="14" s="1"/>
  <c r="Y18" i="14"/>
  <c r="W18" i="14" s="1"/>
  <c r="Y19" i="14"/>
  <c r="W19" i="14" s="1"/>
  <c r="Y20" i="14"/>
  <c r="W20" i="14" s="1"/>
  <c r="Y21" i="14"/>
  <c r="W21" i="14" s="1"/>
  <c r="G23" i="14"/>
  <c r="D23" i="4" s="1"/>
  <c r="D127" i="4" s="1"/>
  <c r="D231" i="4" s="1"/>
  <c r="D335" i="4" s="1"/>
  <c r="D439" i="4" s="1"/>
  <c r="D543" i="4" s="1"/>
  <c r="D647" i="4" s="1"/>
  <c r="D751" i="4" s="1"/>
  <c r="D855" i="4" s="1"/>
  <c r="D959" i="4" s="1"/>
  <c r="D1063" i="4" s="1"/>
  <c r="D1167" i="4" s="1"/>
  <c r="D1271" i="4" s="1"/>
  <c r="Y23" i="14"/>
  <c r="W23" i="14" s="1"/>
  <c r="Z24" i="14"/>
  <c r="AA24" i="14" s="1"/>
  <c r="C1170" i="4"/>
  <c r="C1066" i="4"/>
  <c r="C962" i="4"/>
  <c r="C858" i="4"/>
  <c r="C754" i="4"/>
  <c r="C650" i="4"/>
  <c r="C546" i="4"/>
  <c r="C442" i="4"/>
  <c r="C338" i="4"/>
  <c r="C234" i="4"/>
  <c r="C130" i="4"/>
  <c r="C26" i="4"/>
  <c r="K26" i="14"/>
  <c r="G27" i="14"/>
  <c r="D27" i="4" s="1"/>
  <c r="D131" i="4" s="1"/>
  <c r="D235" i="4" s="1"/>
  <c r="D339" i="4" s="1"/>
  <c r="D443" i="4" s="1"/>
  <c r="D547" i="4" s="1"/>
  <c r="D651" i="4" s="1"/>
  <c r="D755" i="4" s="1"/>
  <c r="D859" i="4" s="1"/>
  <c r="D963" i="4" s="1"/>
  <c r="D1067" i="4" s="1"/>
  <c r="D1171" i="4" s="1"/>
  <c r="D1275" i="4" s="1"/>
  <c r="Y27" i="14"/>
  <c r="W27" i="14" s="1"/>
  <c r="Z28" i="14"/>
  <c r="AA28" i="14" s="1"/>
  <c r="C1174" i="4"/>
  <c r="C1070" i="4"/>
  <c r="C966" i="4"/>
  <c r="C862" i="4"/>
  <c r="C758" i="4"/>
  <c r="C654" i="4"/>
  <c r="C550" i="4"/>
  <c r="C446" i="4"/>
  <c r="C342" i="4"/>
  <c r="C238" i="4"/>
  <c r="C134" i="4"/>
  <c r="C30" i="4"/>
  <c r="K30" i="14"/>
  <c r="G31" i="14"/>
  <c r="D31" i="4" s="1"/>
  <c r="D135" i="4" s="1"/>
  <c r="D239" i="4" s="1"/>
  <c r="D343" i="4" s="1"/>
  <c r="D447" i="4" s="1"/>
  <c r="D551" i="4" s="1"/>
  <c r="D655" i="4" s="1"/>
  <c r="D759" i="4" s="1"/>
  <c r="D863" i="4" s="1"/>
  <c r="D967" i="4" s="1"/>
  <c r="D1071" i="4" s="1"/>
  <c r="D1175" i="4" s="1"/>
  <c r="D1279" i="4" s="1"/>
  <c r="Y31" i="14"/>
  <c r="W31" i="14" s="1"/>
  <c r="Z32" i="14"/>
  <c r="AA32" i="14" s="1"/>
  <c r="C1178" i="4"/>
  <c r="C1074" i="4"/>
  <c r="C970" i="4"/>
  <c r="C866" i="4"/>
  <c r="C762" i="4"/>
  <c r="C658" i="4"/>
  <c r="C554" i="4"/>
  <c r="C450" i="4"/>
  <c r="C346" i="4"/>
  <c r="C242" i="4"/>
  <c r="C138" i="4"/>
  <c r="C34" i="4"/>
  <c r="K34" i="14"/>
  <c r="Y35" i="14"/>
  <c r="W35" i="14" s="1"/>
  <c r="Z36" i="14"/>
  <c r="AA36" i="14" s="1"/>
  <c r="C1182" i="4"/>
  <c r="C1078" i="4"/>
  <c r="C974" i="4"/>
  <c r="C870" i="4"/>
  <c r="C766" i="4"/>
  <c r="C662" i="4"/>
  <c r="C558" i="4"/>
  <c r="C454" i="4"/>
  <c r="C350" i="4"/>
  <c r="C246" i="4"/>
  <c r="C142" i="4"/>
  <c r="C38" i="4"/>
  <c r="K38" i="14"/>
  <c r="G39" i="14"/>
  <c r="D39" i="4" s="1"/>
  <c r="D143" i="4" s="1"/>
  <c r="D247" i="4" s="1"/>
  <c r="D351" i="4" s="1"/>
  <c r="D455" i="4" s="1"/>
  <c r="D559" i="4" s="1"/>
  <c r="D663" i="4" s="1"/>
  <c r="D767" i="4" s="1"/>
  <c r="D871" i="4" s="1"/>
  <c r="D975" i="4" s="1"/>
  <c r="D1079" i="4" s="1"/>
  <c r="D1183" i="4" s="1"/>
  <c r="D1287" i="4" s="1"/>
  <c r="Y39" i="14"/>
  <c r="W39" i="14" s="1"/>
  <c r="Z40" i="14"/>
  <c r="AA40" i="14" s="1"/>
  <c r="C1186" i="4"/>
  <c r="C1082" i="4"/>
  <c r="C978" i="4"/>
  <c r="C874" i="4"/>
  <c r="C770" i="4"/>
  <c r="C666" i="4"/>
  <c r="C562" i="4"/>
  <c r="C458" i="4"/>
  <c r="C354" i="4"/>
  <c r="C250" i="4"/>
  <c r="C146" i="4"/>
  <c r="C42" i="4"/>
  <c r="K42" i="14"/>
  <c r="G43" i="14"/>
  <c r="D43" i="4" s="1"/>
  <c r="D147" i="4" s="1"/>
  <c r="D251" i="4" s="1"/>
  <c r="D355" i="4" s="1"/>
  <c r="D459" i="4" s="1"/>
  <c r="D563" i="4" s="1"/>
  <c r="D667" i="4" s="1"/>
  <c r="D771" i="4" s="1"/>
  <c r="D875" i="4" s="1"/>
  <c r="D979" i="4" s="1"/>
  <c r="D1083" i="4" s="1"/>
  <c r="D1187" i="4" s="1"/>
  <c r="D1291" i="4" s="1"/>
  <c r="Y43" i="14"/>
  <c r="W43" i="14" s="1"/>
  <c r="Z44" i="14"/>
  <c r="AA44" i="14" s="1"/>
  <c r="C1190" i="4"/>
  <c r="C1086" i="4"/>
  <c r="C982" i="4"/>
  <c r="C878" i="4"/>
  <c r="C774" i="4"/>
  <c r="C670" i="4"/>
  <c r="C566" i="4"/>
  <c r="C462" i="4"/>
  <c r="C358" i="4"/>
  <c r="C254" i="4"/>
  <c r="C150" i="4"/>
  <c r="C46" i="4"/>
  <c r="K46" i="14"/>
  <c r="G47" i="14"/>
  <c r="D47" i="4" s="1"/>
  <c r="D151" i="4" s="1"/>
  <c r="D255" i="4" s="1"/>
  <c r="D359" i="4" s="1"/>
  <c r="D463" i="4" s="1"/>
  <c r="D567" i="4" s="1"/>
  <c r="D671" i="4" s="1"/>
  <c r="D775" i="4" s="1"/>
  <c r="D879" i="4" s="1"/>
  <c r="D983" i="4" s="1"/>
  <c r="D1087" i="4" s="1"/>
  <c r="D1191" i="4" s="1"/>
  <c r="D1295" i="4" s="1"/>
  <c r="Y47" i="14"/>
  <c r="W47" i="14" s="1"/>
  <c r="Z48" i="14"/>
  <c r="AA48" i="14" s="1"/>
  <c r="C1194" i="4"/>
  <c r="C1090" i="4"/>
  <c r="C986" i="4"/>
  <c r="C882" i="4"/>
  <c r="C778" i="4"/>
  <c r="C674" i="4"/>
  <c r="C570" i="4"/>
  <c r="C466" i="4"/>
  <c r="C362" i="4"/>
  <c r="C258" i="4"/>
  <c r="C154" i="4"/>
  <c r="C50" i="4"/>
  <c r="K50" i="14"/>
  <c r="G51" i="14"/>
  <c r="D51" i="4" s="1"/>
  <c r="D155" i="4" s="1"/>
  <c r="D259" i="4" s="1"/>
  <c r="D363" i="4" s="1"/>
  <c r="D467" i="4" s="1"/>
  <c r="D571" i="4" s="1"/>
  <c r="D675" i="4" s="1"/>
  <c r="D779" i="4" s="1"/>
  <c r="D883" i="4" s="1"/>
  <c r="D987" i="4" s="1"/>
  <c r="D1091" i="4" s="1"/>
  <c r="D1195" i="4" s="1"/>
  <c r="D1299" i="4" s="1"/>
  <c r="Y51" i="14"/>
  <c r="W51" i="14" s="1"/>
  <c r="Z52" i="14"/>
  <c r="AA52" i="14" s="1"/>
  <c r="C1198" i="4"/>
  <c r="C1094" i="4"/>
  <c r="C990" i="4"/>
  <c r="C886" i="4"/>
  <c r="C782" i="4"/>
  <c r="C678" i="4"/>
  <c r="C574" i="4"/>
  <c r="C470" i="4"/>
  <c r="C366" i="4"/>
  <c r="C262" i="4"/>
  <c r="C158" i="4"/>
  <c r="C54" i="4"/>
  <c r="K54" i="14"/>
  <c r="G55" i="14"/>
  <c r="D55" i="4" s="1"/>
  <c r="D159" i="4" s="1"/>
  <c r="D263" i="4" s="1"/>
  <c r="D367" i="4" s="1"/>
  <c r="D471" i="4" s="1"/>
  <c r="D575" i="4" s="1"/>
  <c r="D679" i="4" s="1"/>
  <c r="D783" i="4" s="1"/>
  <c r="D887" i="4" s="1"/>
  <c r="D991" i="4" s="1"/>
  <c r="D1095" i="4" s="1"/>
  <c r="D1199" i="4" s="1"/>
  <c r="D1303" i="4" s="1"/>
  <c r="Y55" i="14"/>
  <c r="W55" i="14" s="1"/>
  <c r="Z56" i="14"/>
  <c r="AA56" i="14" s="1"/>
  <c r="C1202" i="4"/>
  <c r="C1098" i="4"/>
  <c r="C994" i="4"/>
  <c r="C890" i="4"/>
  <c r="C786" i="4"/>
  <c r="C682" i="4"/>
  <c r="C578" i="4"/>
  <c r="C474" i="4"/>
  <c r="C370" i="4"/>
  <c r="C266" i="4"/>
  <c r="C162" i="4"/>
  <c r="C58" i="4"/>
  <c r="K58" i="14"/>
  <c r="Y59" i="14"/>
  <c r="W59" i="14" s="1"/>
  <c r="Z60" i="14"/>
  <c r="AA60" i="14" s="1"/>
  <c r="C1206" i="4"/>
  <c r="C1102" i="4"/>
  <c r="C998" i="4"/>
  <c r="C894" i="4"/>
  <c r="C790" i="4"/>
  <c r="C686" i="4"/>
  <c r="C582" i="4"/>
  <c r="C478" i="4"/>
  <c r="C374" i="4"/>
  <c r="C270" i="4"/>
  <c r="C166" i="4"/>
  <c r="C62" i="4"/>
  <c r="K62" i="14"/>
  <c r="Y63" i="14"/>
  <c r="W63" i="14" s="1"/>
  <c r="Z64" i="14"/>
  <c r="AA64" i="14" s="1"/>
  <c r="C1210" i="4"/>
  <c r="C1106" i="4"/>
  <c r="C1002" i="4"/>
  <c r="C898" i="4"/>
  <c r="C794" i="4"/>
  <c r="C690" i="4"/>
  <c r="C586" i="4"/>
  <c r="C482" i="4"/>
  <c r="C378" i="4"/>
  <c r="C274" i="4"/>
  <c r="C170" i="4"/>
  <c r="C66" i="4"/>
  <c r="K66" i="14"/>
  <c r="G67" i="14"/>
  <c r="D67" i="4" s="1"/>
  <c r="D171" i="4" s="1"/>
  <c r="D275" i="4" s="1"/>
  <c r="D379" i="4" s="1"/>
  <c r="D483" i="4" s="1"/>
  <c r="D587" i="4" s="1"/>
  <c r="D691" i="4" s="1"/>
  <c r="D795" i="4" s="1"/>
  <c r="D899" i="4" s="1"/>
  <c r="D1003" i="4" s="1"/>
  <c r="D1107" i="4" s="1"/>
  <c r="D1211" i="4" s="1"/>
  <c r="D1315" i="4" s="1"/>
  <c r="Y67" i="14"/>
  <c r="W67" i="14" s="1"/>
  <c r="Z68" i="14"/>
  <c r="AA68" i="14" s="1"/>
  <c r="C1214" i="4"/>
  <c r="C1110" i="4"/>
  <c r="C1006" i="4"/>
  <c r="C902" i="4"/>
  <c r="C798" i="4"/>
  <c r="C694" i="4"/>
  <c r="C590" i="4"/>
  <c r="C486" i="4"/>
  <c r="C382" i="4"/>
  <c r="C278" i="4"/>
  <c r="C174" i="4"/>
  <c r="C70" i="4"/>
  <c r="K70" i="14"/>
  <c r="G71" i="14"/>
  <c r="D71" i="4" s="1"/>
  <c r="D175" i="4" s="1"/>
  <c r="D279" i="4" s="1"/>
  <c r="D383" i="4" s="1"/>
  <c r="D487" i="4" s="1"/>
  <c r="D591" i="4" s="1"/>
  <c r="D695" i="4" s="1"/>
  <c r="D799" i="4" s="1"/>
  <c r="D903" i="4" s="1"/>
  <c r="D1007" i="4" s="1"/>
  <c r="D1111" i="4" s="1"/>
  <c r="D1215" i="4" s="1"/>
  <c r="D1319" i="4" s="1"/>
  <c r="Y71" i="14"/>
  <c r="W71" i="14" s="1"/>
  <c r="Z72" i="14"/>
  <c r="AA72" i="14" s="1"/>
  <c r="C1218" i="4"/>
  <c r="C1114" i="4"/>
  <c r="C1010" i="4"/>
  <c r="C906" i="4"/>
  <c r="C802" i="4"/>
  <c r="C698" i="4"/>
  <c r="C594" i="4"/>
  <c r="C490" i="4"/>
  <c r="C386" i="4"/>
  <c r="C282" i="4"/>
  <c r="C178" i="4"/>
  <c r="C74" i="4"/>
  <c r="K74" i="14"/>
  <c r="Y75" i="14"/>
  <c r="W75" i="14" s="1"/>
  <c r="Z76" i="14"/>
  <c r="AA76" i="14" s="1"/>
  <c r="C1222" i="4"/>
  <c r="C1118" i="4"/>
  <c r="C1014" i="4"/>
  <c r="C910" i="4"/>
  <c r="C806" i="4"/>
  <c r="C702" i="4"/>
  <c r="C598" i="4"/>
  <c r="C494" i="4"/>
  <c r="C390" i="4"/>
  <c r="C286" i="4"/>
  <c r="C182" i="4"/>
  <c r="C78" i="4"/>
  <c r="K78" i="14"/>
  <c r="G79" i="14"/>
  <c r="D79" i="4" s="1"/>
  <c r="D183" i="4" s="1"/>
  <c r="D287" i="4" s="1"/>
  <c r="D391" i="4" s="1"/>
  <c r="D495" i="4" s="1"/>
  <c r="D599" i="4" s="1"/>
  <c r="D703" i="4" s="1"/>
  <c r="D807" i="4" s="1"/>
  <c r="D911" i="4" s="1"/>
  <c r="D1015" i="4" s="1"/>
  <c r="D1119" i="4" s="1"/>
  <c r="D1223" i="4" s="1"/>
  <c r="D1327" i="4" s="1"/>
  <c r="Y79" i="14"/>
  <c r="W79" i="14" s="1"/>
  <c r="Z80" i="14"/>
  <c r="AA80" i="14" s="1"/>
  <c r="C1226" i="4"/>
  <c r="C1122" i="4"/>
  <c r="C1018" i="4"/>
  <c r="C914" i="4"/>
  <c r="C810" i="4"/>
  <c r="C706" i="4"/>
  <c r="C602" i="4"/>
  <c r="C498" i="4"/>
  <c r="C394" i="4"/>
  <c r="C290" i="4"/>
  <c r="C186" i="4"/>
  <c r="C82" i="4"/>
  <c r="K82" i="14"/>
  <c r="G83" i="14"/>
  <c r="D83" i="4" s="1"/>
  <c r="D187" i="4" s="1"/>
  <c r="D291" i="4" s="1"/>
  <c r="D395" i="4" s="1"/>
  <c r="D499" i="4" s="1"/>
  <c r="D603" i="4" s="1"/>
  <c r="D707" i="4" s="1"/>
  <c r="D811" i="4" s="1"/>
  <c r="D915" i="4" s="1"/>
  <c r="D1019" i="4" s="1"/>
  <c r="D1123" i="4" s="1"/>
  <c r="D1227" i="4" s="1"/>
  <c r="D1331" i="4" s="1"/>
  <c r="Y83" i="14"/>
  <c r="W83" i="14" s="1"/>
  <c r="Z84" i="14"/>
  <c r="AA84" i="14" s="1"/>
  <c r="C1230" i="4"/>
  <c r="C1126" i="4"/>
  <c r="C1022" i="4"/>
  <c r="C814" i="4"/>
  <c r="C918" i="4"/>
  <c r="C710" i="4"/>
  <c r="C606" i="4"/>
  <c r="C502" i="4"/>
  <c r="C398" i="4"/>
  <c r="C294" i="4"/>
  <c r="C190" i="4"/>
  <c r="C86" i="4"/>
  <c r="K86" i="14"/>
  <c r="G87" i="14"/>
  <c r="D87" i="4" s="1"/>
  <c r="D191" i="4" s="1"/>
  <c r="D295" i="4" s="1"/>
  <c r="D399" i="4" s="1"/>
  <c r="D503" i="4" s="1"/>
  <c r="D607" i="4" s="1"/>
  <c r="D711" i="4" s="1"/>
  <c r="D815" i="4" s="1"/>
  <c r="D919" i="4" s="1"/>
  <c r="D1023" i="4" s="1"/>
  <c r="D1127" i="4" s="1"/>
  <c r="D1231" i="4" s="1"/>
  <c r="D1335" i="4" s="1"/>
  <c r="Y87" i="14"/>
  <c r="W87" i="14" s="1"/>
  <c r="Z88" i="14"/>
  <c r="AA88" i="14" s="1"/>
  <c r="C1234" i="4"/>
  <c r="C1130" i="4"/>
  <c r="C1026" i="4"/>
  <c r="C922" i="4"/>
  <c r="C818" i="4"/>
  <c r="C714" i="4"/>
  <c r="C610" i="4"/>
  <c r="C506" i="4"/>
  <c r="C402" i="4"/>
  <c r="C298" i="4"/>
  <c r="C194" i="4"/>
  <c r="C90" i="4"/>
  <c r="K90" i="14"/>
  <c r="G91" i="14"/>
  <c r="D91" i="4" s="1"/>
  <c r="D195" i="4" s="1"/>
  <c r="D299" i="4" s="1"/>
  <c r="D403" i="4" s="1"/>
  <c r="D507" i="4" s="1"/>
  <c r="D611" i="4" s="1"/>
  <c r="D715" i="4" s="1"/>
  <c r="D819" i="4" s="1"/>
  <c r="D923" i="4" s="1"/>
  <c r="D1027" i="4" s="1"/>
  <c r="D1131" i="4" s="1"/>
  <c r="D1235" i="4" s="1"/>
  <c r="D1339" i="4" s="1"/>
  <c r="Y91" i="14"/>
  <c r="W91" i="14" s="1"/>
  <c r="Z92" i="14"/>
  <c r="AA92" i="14" s="1"/>
  <c r="C1238" i="4"/>
  <c r="C1134" i="4"/>
  <c r="C1030" i="4"/>
  <c r="C926" i="4"/>
  <c r="C822" i="4"/>
  <c r="C718" i="4"/>
  <c r="C614" i="4"/>
  <c r="C510" i="4"/>
  <c r="C406" i="4"/>
  <c r="C302" i="4"/>
  <c r="C198" i="4"/>
  <c r="C94" i="4"/>
  <c r="K94" i="14"/>
  <c r="G95" i="14"/>
  <c r="D95" i="4" s="1"/>
  <c r="D199" i="4" s="1"/>
  <c r="D303" i="4" s="1"/>
  <c r="D407" i="4" s="1"/>
  <c r="D511" i="4" s="1"/>
  <c r="D615" i="4" s="1"/>
  <c r="D719" i="4" s="1"/>
  <c r="D823" i="4" s="1"/>
  <c r="D927" i="4" s="1"/>
  <c r="D1031" i="4" s="1"/>
  <c r="D1135" i="4" s="1"/>
  <c r="D1239" i="4" s="1"/>
  <c r="D1343" i="4" s="1"/>
  <c r="Y95" i="14"/>
  <c r="W95" i="14" s="1"/>
  <c r="Z96" i="14"/>
  <c r="AA96" i="14" s="1"/>
  <c r="C1242" i="4"/>
  <c r="C1138" i="4"/>
  <c r="C1034" i="4"/>
  <c r="C930" i="4"/>
  <c r="C826" i="4"/>
  <c r="C722" i="4"/>
  <c r="C618" i="4"/>
  <c r="C514" i="4"/>
  <c r="C410" i="4"/>
  <c r="C306" i="4"/>
  <c r="C202" i="4"/>
  <c r="C98" i="4"/>
  <c r="G99" i="14"/>
  <c r="D99" i="4" s="1"/>
  <c r="D203" i="4" s="1"/>
  <c r="D307" i="4" s="1"/>
  <c r="D411" i="4" s="1"/>
  <c r="D515" i="4" s="1"/>
  <c r="D619" i="4" s="1"/>
  <c r="D723" i="4" s="1"/>
  <c r="D827" i="4" s="1"/>
  <c r="D931" i="4" s="1"/>
  <c r="D1035" i="4" s="1"/>
  <c r="D1139" i="4" s="1"/>
  <c r="D1243" i="4" s="1"/>
  <c r="D1347" i="4" s="1"/>
  <c r="Y99" i="14"/>
  <c r="W99" i="14" s="1"/>
  <c r="Z100" i="14"/>
  <c r="AA100" i="14" s="1"/>
  <c r="C1246" i="4"/>
  <c r="C1142" i="4"/>
  <c r="C1038" i="4"/>
  <c r="C934" i="4"/>
  <c r="C830" i="4"/>
  <c r="C726" i="4"/>
  <c r="C622" i="4"/>
  <c r="C518" i="4"/>
  <c r="C414" i="4"/>
  <c r="C310" i="4"/>
  <c r="C206" i="4"/>
  <c r="C102" i="4"/>
  <c r="K102" i="14"/>
  <c r="G103" i="14"/>
  <c r="D103" i="4" s="1"/>
  <c r="D207" i="4" s="1"/>
  <c r="D311" i="4" s="1"/>
  <c r="D415" i="4" s="1"/>
  <c r="D519" i="4" s="1"/>
  <c r="D623" i="4" s="1"/>
  <c r="D727" i="4" s="1"/>
  <c r="D831" i="4" s="1"/>
  <c r="D935" i="4" s="1"/>
  <c r="D1039" i="4" s="1"/>
  <c r="D1143" i="4" s="1"/>
  <c r="D1247" i="4" s="1"/>
  <c r="D1351" i="4" s="1"/>
  <c r="Y103" i="14"/>
  <c r="W103" i="14" s="1"/>
  <c r="Z104" i="14"/>
  <c r="AA104" i="14" s="1"/>
  <c r="C1250" i="4"/>
  <c r="C1146" i="4"/>
  <c r="C1042" i="4"/>
  <c r="C938" i="4"/>
  <c r="C834" i="4"/>
  <c r="C730" i="4"/>
  <c r="C626" i="4"/>
  <c r="C522" i="4"/>
  <c r="C418" i="4"/>
  <c r="C314" i="4"/>
  <c r="C210" i="4"/>
  <c r="C106" i="4"/>
  <c r="K106" i="14"/>
  <c r="D2" i="13"/>
  <c r="D6" i="13"/>
  <c r="D50" i="13" s="1"/>
  <c r="X10" i="17"/>
  <c r="C10" i="26" s="1"/>
  <c r="R10" i="17"/>
  <c r="C10" i="24" s="1"/>
  <c r="L10" i="17"/>
  <c r="C10" i="22" s="1"/>
  <c r="F10" i="17"/>
  <c r="AA10" i="17"/>
  <c r="U10" i="17"/>
  <c r="C10" i="25" s="1"/>
  <c r="O10" i="17"/>
  <c r="C10" i="23" s="1"/>
  <c r="I10" i="17"/>
  <c r="C10" i="21" s="1"/>
  <c r="AE8" i="8"/>
  <c r="AI8" i="8"/>
  <c r="AM8" i="8"/>
  <c r="AH9" i="8"/>
  <c r="AL9" i="8"/>
  <c r="AG10" i="8"/>
  <c r="AK10" i="8"/>
  <c r="AO10" i="8"/>
  <c r="AE12" i="8"/>
  <c r="AI12" i="8"/>
  <c r="AT12" i="8"/>
  <c r="AX12" i="8"/>
  <c r="BB12" i="8"/>
  <c r="AG13" i="8"/>
  <c r="AK13" i="8"/>
  <c r="AZ13" i="8"/>
  <c r="AE14" i="8"/>
  <c r="AI14" i="8"/>
  <c r="AT14" i="8"/>
  <c r="AX14" i="8"/>
  <c r="BB14" i="8"/>
  <c r="AG15" i="8"/>
  <c r="AK15" i="8"/>
  <c r="AE16" i="8"/>
  <c r="AI16" i="8"/>
  <c r="AT16" i="8"/>
  <c r="AX16" i="8"/>
  <c r="BB16" i="8"/>
  <c r="AG17" i="8"/>
  <c r="AK17" i="8"/>
  <c r="AZ17" i="8"/>
  <c r="AE18" i="8"/>
  <c r="AI18" i="8"/>
  <c r="AT18" i="8"/>
  <c r="AG19" i="8"/>
  <c r="AK19" i="8"/>
  <c r="AV19" i="8"/>
  <c r="AZ19" i="8"/>
  <c r="BD19" i="8"/>
  <c r="AE20" i="8"/>
  <c r="AI20" i="8"/>
  <c r="AT20" i="8"/>
  <c r="AX20" i="8"/>
  <c r="BB20" i="8"/>
  <c r="AG21" i="8"/>
  <c r="AK21" i="8"/>
  <c r="AV21" i="8"/>
  <c r="AZ21" i="8"/>
  <c r="BD21" i="8"/>
  <c r="H13" i="15"/>
  <c r="L13" i="15"/>
  <c r="P13" i="15"/>
  <c r="G22" i="15"/>
  <c r="K22" i="15"/>
  <c r="O22" i="15"/>
  <c r="F7" i="16"/>
  <c r="F9" i="16"/>
  <c r="F11" i="16"/>
  <c r="F13" i="16"/>
  <c r="F15" i="16"/>
  <c r="F17" i="16"/>
  <c r="F19" i="16"/>
  <c r="F21" i="16"/>
  <c r="F23" i="16"/>
  <c r="F25" i="16"/>
  <c r="F27" i="16"/>
  <c r="F29" i="16"/>
  <c r="F31" i="16"/>
  <c r="F33" i="16"/>
  <c r="F35" i="16"/>
  <c r="F37" i="16"/>
  <c r="F39" i="16"/>
  <c r="F41" i="16"/>
  <c r="F43" i="16"/>
  <c r="F45" i="16"/>
  <c r="F47" i="16"/>
  <c r="F49" i="16"/>
  <c r="F51" i="16"/>
  <c r="F53" i="16"/>
  <c r="F55" i="16"/>
  <c r="F57" i="16"/>
  <c r="F59" i="16"/>
  <c r="F61" i="16"/>
  <c r="F63" i="16"/>
  <c r="F65" i="16"/>
  <c r="F67" i="16"/>
  <c r="F69" i="16"/>
  <c r="F71" i="16"/>
  <c r="F73" i="16"/>
  <c r="F75" i="16"/>
  <c r="F77" i="16"/>
  <c r="F79" i="16"/>
  <c r="F81" i="16"/>
  <c r="F83" i="16"/>
  <c r="F85" i="16"/>
  <c r="F87" i="16"/>
  <c r="F89" i="16"/>
  <c r="F91" i="16"/>
  <c r="F93" i="16"/>
  <c r="F95" i="16"/>
  <c r="F97" i="16"/>
  <c r="F99" i="16"/>
  <c r="F101" i="16"/>
  <c r="F103" i="16"/>
  <c r="F105" i="16"/>
  <c r="H107" i="16"/>
  <c r="L107" i="16"/>
  <c r="P107" i="16"/>
  <c r="Z107" i="16"/>
  <c r="BA26" i="62" s="1"/>
  <c r="AD107" i="16"/>
  <c r="DE26" i="62" s="1"/>
  <c r="AH107" i="16"/>
  <c r="FI26" i="62" s="1"/>
  <c r="X112" i="16"/>
  <c r="Y31" i="5" s="1"/>
  <c r="AB112" i="16"/>
  <c r="CC31" i="5" s="1"/>
  <c r="AF112" i="16"/>
  <c r="EG31" i="5" s="1"/>
  <c r="EG30" i="5" s="1"/>
  <c r="X113" i="16"/>
  <c r="Y32" i="5" s="1"/>
  <c r="AB113" i="16"/>
  <c r="CC32" i="5" s="1"/>
  <c r="CE32" i="5" s="1"/>
  <c r="AF113" i="16"/>
  <c r="EG32" i="5" s="1"/>
  <c r="U114" i="16"/>
  <c r="Z115" i="16"/>
  <c r="BA35" i="5" s="1"/>
  <c r="AA609" i="45" s="1"/>
  <c r="AD115" i="16"/>
  <c r="DE35" i="5" s="1"/>
  <c r="AH115" i="16"/>
  <c r="FI35" i="5" s="1"/>
  <c r="W116" i="16"/>
  <c r="AA116" i="16"/>
  <c r="BO36" i="5" s="1"/>
  <c r="X117" i="16"/>
  <c r="Y37" i="5" s="1"/>
  <c r="AB117" i="16"/>
  <c r="CC37" i="5" s="1"/>
  <c r="CE37" i="5" s="1"/>
  <c r="AF117" i="16"/>
  <c r="EG37" i="5" s="1"/>
  <c r="U118" i="16"/>
  <c r="Z119" i="16"/>
  <c r="BA39" i="5" s="1"/>
  <c r="AD119" i="16"/>
  <c r="DE39" i="5" s="1"/>
  <c r="AH119" i="16"/>
  <c r="FI39" i="5" s="1"/>
  <c r="Y122" i="16"/>
  <c r="AM42" i="5" s="1"/>
  <c r="AO42" i="5" s="1"/>
  <c r="AC122" i="16"/>
  <c r="CQ42" i="5" s="1"/>
  <c r="Z123" i="16"/>
  <c r="BA43" i="5" s="1"/>
  <c r="AD123" i="16"/>
  <c r="DE43" i="5" s="1"/>
  <c r="AH123" i="16"/>
  <c r="FI43" i="5" s="1"/>
  <c r="Z126" i="16"/>
  <c r="AD126" i="16"/>
  <c r="AH126" i="16"/>
  <c r="Z127" i="16"/>
  <c r="AD127" i="16"/>
  <c r="AH127" i="16"/>
  <c r="Z128" i="16"/>
  <c r="AD128" i="16"/>
  <c r="AH128" i="16"/>
  <c r="Z129" i="16"/>
  <c r="AD129" i="16"/>
  <c r="AH129" i="16"/>
  <c r="Z130" i="16"/>
  <c r="AD130" i="16"/>
  <c r="AH130" i="16"/>
  <c r="Z131" i="16"/>
  <c r="AD131" i="16"/>
  <c r="AH131" i="16"/>
  <c r="F137" i="16"/>
  <c r="F138" i="16"/>
  <c r="F139" i="16"/>
  <c r="X139" i="16"/>
  <c r="AB139" i="16"/>
  <c r="AF139" i="16"/>
  <c r="F140" i="16"/>
  <c r="X140" i="16"/>
  <c r="AB140" i="16"/>
  <c r="AF140" i="16"/>
  <c r="F141" i="16"/>
  <c r="X141" i="16"/>
  <c r="AB141" i="16"/>
  <c r="AF141" i="16"/>
  <c r="F142" i="16"/>
  <c r="X142" i="16"/>
  <c r="AB142" i="16"/>
  <c r="AF142" i="16"/>
  <c r="F143" i="16"/>
  <c r="X143" i="16"/>
  <c r="AB143" i="16"/>
  <c r="AF143" i="16"/>
  <c r="F144" i="16"/>
  <c r="X144" i="16"/>
  <c r="AB144" i="16"/>
  <c r="AF144" i="16"/>
  <c r="F145" i="16"/>
  <c r="X145" i="16"/>
  <c r="AB145" i="16"/>
  <c r="AF145" i="16"/>
  <c r="F146" i="16"/>
  <c r="X146" i="16"/>
  <c r="AB146" i="16"/>
  <c r="AF146" i="16"/>
  <c r="F147" i="16"/>
  <c r="X147" i="16"/>
  <c r="AB147" i="16"/>
  <c r="AF147" i="16"/>
  <c r="F148" i="16"/>
  <c r="X148" i="16"/>
  <c r="AB148" i="16"/>
  <c r="AF148" i="16"/>
  <c r="F149" i="16"/>
  <c r="X149" i="16"/>
  <c r="AB149" i="16"/>
  <c r="AF149" i="16"/>
  <c r="F150" i="16"/>
  <c r="X150" i="16"/>
  <c r="AB150" i="16"/>
  <c r="AF150" i="16"/>
  <c r="AZ7" i="19"/>
  <c r="B24" i="26"/>
  <c r="B24" i="25"/>
  <c r="B24" i="24"/>
  <c r="B24" i="23"/>
  <c r="B24" i="22"/>
  <c r="B24" i="18"/>
  <c r="B24" i="21"/>
  <c r="AZ11" i="19"/>
  <c r="B28" i="26"/>
  <c r="B28" i="25"/>
  <c r="B28" i="24"/>
  <c r="B28" i="23"/>
  <c r="B28" i="22"/>
  <c r="B28" i="18"/>
  <c r="B28" i="21"/>
  <c r="B32" i="26"/>
  <c r="B32" i="25"/>
  <c r="B32" i="24"/>
  <c r="B32" i="23"/>
  <c r="B32" i="22"/>
  <c r="B32" i="18"/>
  <c r="B32" i="21"/>
  <c r="B36" i="26"/>
  <c r="B36" i="25"/>
  <c r="B36" i="24"/>
  <c r="B36" i="23"/>
  <c r="B36" i="22"/>
  <c r="B36" i="18"/>
  <c r="B36" i="21"/>
  <c r="B40" i="26"/>
  <c r="B40" i="25"/>
  <c r="B40" i="24"/>
  <c r="B40" i="23"/>
  <c r="B40" i="22"/>
  <c r="B40" i="18"/>
  <c r="B40" i="21"/>
  <c r="B44" i="26"/>
  <c r="B44" i="25"/>
  <c r="B44" i="24"/>
  <c r="B44" i="23"/>
  <c r="B44" i="22"/>
  <c r="B44" i="18"/>
  <c r="B44" i="21"/>
  <c r="B48" i="26"/>
  <c r="B48" i="25"/>
  <c r="B48" i="24"/>
  <c r="B48" i="23"/>
  <c r="B48" i="22"/>
  <c r="B48" i="18"/>
  <c r="B48" i="21"/>
  <c r="B52" i="26"/>
  <c r="B52" i="25"/>
  <c r="B52" i="24"/>
  <c r="B52" i="23"/>
  <c r="B52" i="22"/>
  <c r="B52" i="18"/>
  <c r="B52" i="21"/>
  <c r="B56" i="26"/>
  <c r="B56" i="25"/>
  <c r="B56" i="24"/>
  <c r="B56" i="23"/>
  <c r="B56" i="22"/>
  <c r="B56" i="18"/>
  <c r="B56" i="21"/>
  <c r="B60" i="26"/>
  <c r="B60" i="25"/>
  <c r="B60" i="24"/>
  <c r="B60" i="23"/>
  <c r="B60" i="22"/>
  <c r="B60" i="18"/>
  <c r="B60" i="21"/>
  <c r="B64" i="26"/>
  <c r="B64" i="25"/>
  <c r="B64" i="24"/>
  <c r="B64" i="23"/>
  <c r="B64" i="22"/>
  <c r="B64" i="18"/>
  <c r="B64" i="21"/>
  <c r="B68" i="26"/>
  <c r="B68" i="25"/>
  <c r="B68" i="24"/>
  <c r="B68" i="23"/>
  <c r="B68" i="22"/>
  <c r="B68" i="18"/>
  <c r="B68" i="21"/>
  <c r="B72" i="26"/>
  <c r="B72" i="25"/>
  <c r="B72" i="24"/>
  <c r="B72" i="23"/>
  <c r="B72" i="22"/>
  <c r="B72" i="18"/>
  <c r="B72" i="21"/>
  <c r="B76" i="26"/>
  <c r="B76" i="25"/>
  <c r="B76" i="24"/>
  <c r="B76" i="23"/>
  <c r="B76" i="22"/>
  <c r="B76" i="18"/>
  <c r="B76" i="21"/>
  <c r="B80" i="26"/>
  <c r="B80" i="25"/>
  <c r="B80" i="24"/>
  <c r="B80" i="23"/>
  <c r="B80" i="22"/>
  <c r="B80" i="18"/>
  <c r="B80" i="21"/>
  <c r="B84" i="26"/>
  <c r="B84" i="25"/>
  <c r="B84" i="24"/>
  <c r="B84" i="23"/>
  <c r="B84" i="22"/>
  <c r="B84" i="21"/>
  <c r="B84" i="18"/>
  <c r="B88" i="26"/>
  <c r="B88" i="25"/>
  <c r="B88" i="24"/>
  <c r="B88" i="23"/>
  <c r="B88" i="22"/>
  <c r="B88" i="21"/>
  <c r="B88" i="18"/>
  <c r="B92" i="26"/>
  <c r="B92" i="25"/>
  <c r="B92" i="24"/>
  <c r="B92" i="23"/>
  <c r="B92" i="22"/>
  <c r="B92" i="21"/>
  <c r="B92" i="18"/>
  <c r="B96" i="26"/>
  <c r="B96" i="25"/>
  <c r="B96" i="24"/>
  <c r="B96" i="23"/>
  <c r="B96" i="22"/>
  <c r="B96" i="21"/>
  <c r="B96" i="18"/>
  <c r="B100" i="26"/>
  <c r="B100" i="25"/>
  <c r="B100" i="24"/>
  <c r="B100" i="23"/>
  <c r="B100" i="22"/>
  <c r="B100" i="21"/>
  <c r="B100" i="18"/>
  <c r="B104" i="26"/>
  <c r="B104" i="25"/>
  <c r="B104" i="24"/>
  <c r="B104" i="23"/>
  <c r="B104" i="22"/>
  <c r="B104" i="21"/>
  <c r="B104" i="18"/>
  <c r="AZ94" i="19"/>
  <c r="B111" i="26"/>
  <c r="B111" i="25"/>
  <c r="B111" i="24"/>
  <c r="B111" i="23"/>
  <c r="B111" i="22"/>
  <c r="B111" i="21"/>
  <c r="B111" i="18"/>
  <c r="AZ102" i="19"/>
  <c r="B119" i="26"/>
  <c r="B119" i="25"/>
  <c r="B119" i="24"/>
  <c r="B119" i="23"/>
  <c r="B119" i="22"/>
  <c r="B119" i="21"/>
  <c r="B119" i="18"/>
  <c r="BH14" i="5"/>
  <c r="BV14" i="5" s="1"/>
  <c r="CJ14" i="5" s="1"/>
  <c r="CX14" i="5" s="1"/>
  <c r="DL14" i="5" s="1"/>
  <c r="DZ14" i="5" s="1"/>
  <c r="EN14" i="5" s="1"/>
  <c r="FB14" i="5" s="1"/>
  <c r="FP14" i="5" s="1"/>
  <c r="AT17" i="5"/>
  <c r="BA18" i="5"/>
  <c r="BO18" i="5" s="1"/>
  <c r="CC18" i="5" s="1"/>
  <c r="CQ18" i="5" s="1"/>
  <c r="DE18" i="5" s="1"/>
  <c r="DS18" i="5" s="1"/>
  <c r="EG18" i="5" s="1"/>
  <c r="EU18" i="5" s="1"/>
  <c r="FI18" i="5" s="1"/>
  <c r="BA26" i="5"/>
  <c r="BO26" i="5" s="1"/>
  <c r="CC26" i="5" s="1"/>
  <c r="CQ26" i="5" s="1"/>
  <c r="DE26" i="5" s="1"/>
  <c r="DS26" i="5" s="1"/>
  <c r="EG26" i="5" s="1"/>
  <c r="EU26" i="5" s="1"/>
  <c r="FI26" i="5" s="1"/>
  <c r="AT45" i="5"/>
  <c r="AM48" i="62"/>
  <c r="AO18" i="62"/>
  <c r="BV50" i="5"/>
  <c r="CJ50" i="5" s="1"/>
  <c r="CX50" i="5" s="1"/>
  <c r="DL50" i="5" s="1"/>
  <c r="DZ50" i="5" s="1"/>
  <c r="EN50" i="5" s="1"/>
  <c r="FB50" i="5" s="1"/>
  <c r="FP50" i="5" s="1"/>
  <c r="AT52" i="5"/>
  <c r="BH52" i="5" s="1"/>
  <c r="BV52" i="5" s="1"/>
  <c r="CJ52" i="5" s="1"/>
  <c r="CX52" i="5" s="1"/>
  <c r="DL52" i="5" s="1"/>
  <c r="DZ52" i="5" s="1"/>
  <c r="EN52" i="5" s="1"/>
  <c r="FB52" i="5" s="1"/>
  <c r="FP52" i="5" s="1"/>
  <c r="BA53" i="5"/>
  <c r="AM44" i="62"/>
  <c r="BA60" i="5"/>
  <c r="BO60" i="5" s="1"/>
  <c r="CC60" i="5" s="1"/>
  <c r="CQ60" i="5" s="1"/>
  <c r="DE60" i="5" s="1"/>
  <c r="DS60" i="5" s="1"/>
  <c r="EG60" i="5" s="1"/>
  <c r="EU60" i="5" s="1"/>
  <c r="FI60" i="5" s="1"/>
  <c r="BO22" i="62"/>
  <c r="CC22" i="62" s="1"/>
  <c r="CQ22" i="62" s="1"/>
  <c r="DE22" i="62" s="1"/>
  <c r="DS22" i="62" s="1"/>
  <c r="EG22" i="62" s="1"/>
  <c r="EU22" i="62" s="1"/>
  <c r="FI22" i="62" s="1"/>
  <c r="F13" i="26"/>
  <c r="F18" i="23"/>
  <c r="D18" i="6"/>
  <c r="AJ30" i="14"/>
  <c r="AL30" i="14" s="1"/>
  <c r="C1179" i="4"/>
  <c r="C1075" i="4"/>
  <c r="F1075" i="4" s="1"/>
  <c r="C971" i="4"/>
  <c r="C867" i="4"/>
  <c r="C763" i="4"/>
  <c r="F763" i="4" s="1"/>
  <c r="C659" i="4"/>
  <c r="C555" i="4"/>
  <c r="F555" i="4" s="1"/>
  <c r="C451" i="4"/>
  <c r="C347" i="4"/>
  <c r="F347" i="4" s="1"/>
  <c r="C243" i="4"/>
  <c r="C139" i="4"/>
  <c r="F139" i="4" s="1"/>
  <c r="C35" i="4"/>
  <c r="F35" i="4" s="1"/>
  <c r="AJ46" i="14"/>
  <c r="AL46" i="14" s="1"/>
  <c r="C1203" i="4"/>
  <c r="C1099" i="4"/>
  <c r="F1099" i="4" s="1"/>
  <c r="C995" i="4"/>
  <c r="C891" i="4"/>
  <c r="C787" i="4"/>
  <c r="F787" i="4" s="1"/>
  <c r="C683" i="4"/>
  <c r="C579" i="4"/>
  <c r="F579" i="4" s="1"/>
  <c r="C475" i="4"/>
  <c r="C371" i="4"/>
  <c r="F371" i="4" s="1"/>
  <c r="C267" i="4"/>
  <c r="C163" i="4"/>
  <c r="F163" i="4" s="1"/>
  <c r="C59" i="4"/>
  <c r="C1207" i="4"/>
  <c r="C1103" i="4"/>
  <c r="F1103" i="4" s="1"/>
  <c r="C999" i="4"/>
  <c r="C895" i="4"/>
  <c r="C791" i="4"/>
  <c r="F791" i="4" s="1"/>
  <c r="C687" i="4"/>
  <c r="C583" i="4"/>
  <c r="F583" i="4" s="1"/>
  <c r="C479" i="4"/>
  <c r="C375" i="4"/>
  <c r="F375" i="4" s="1"/>
  <c r="C271" i="4"/>
  <c r="F271" i="4" s="1"/>
  <c r="C167" i="4"/>
  <c r="C63" i="4"/>
  <c r="F63" i="4" s="1"/>
  <c r="C1219" i="4"/>
  <c r="C1115" i="4"/>
  <c r="F1115" i="4" s="1"/>
  <c r="C1011" i="4"/>
  <c r="C907" i="4"/>
  <c r="C803" i="4"/>
  <c r="F803" i="4" s="1"/>
  <c r="C699" i="4"/>
  <c r="C595" i="4"/>
  <c r="F595" i="4" s="1"/>
  <c r="C491" i="4"/>
  <c r="C387" i="4"/>
  <c r="F387" i="4" s="1"/>
  <c r="C283" i="4"/>
  <c r="F283" i="4" s="1"/>
  <c r="C179" i="4"/>
  <c r="C75" i="4"/>
  <c r="F75" i="4" s="1"/>
  <c r="AJ86" i="14"/>
  <c r="AL86" i="14" s="1"/>
  <c r="Y22" i="14"/>
  <c r="W22" i="14" s="1"/>
  <c r="C1169" i="4"/>
  <c r="C1065" i="4"/>
  <c r="F1065" i="4" s="1"/>
  <c r="C961" i="4"/>
  <c r="C857" i="4"/>
  <c r="C753" i="4"/>
  <c r="F753" i="4" s="1"/>
  <c r="C649" i="4"/>
  <c r="C545" i="4"/>
  <c r="F545" i="4" s="1"/>
  <c r="C441" i="4"/>
  <c r="C337" i="4"/>
  <c r="F337" i="4" s="1"/>
  <c r="C233" i="4"/>
  <c r="C129" i="4"/>
  <c r="F129" i="4" s="1"/>
  <c r="C25" i="4"/>
  <c r="F25" i="4" s="1"/>
  <c r="Y26" i="14"/>
  <c r="W26" i="14" s="1"/>
  <c r="C1173" i="4"/>
  <c r="C1069" i="4"/>
  <c r="F1069" i="4" s="1"/>
  <c r="C965" i="4"/>
  <c r="C861" i="4"/>
  <c r="C757" i="4"/>
  <c r="F757" i="4" s="1"/>
  <c r="C653" i="4"/>
  <c r="C549" i="4"/>
  <c r="F549" i="4" s="1"/>
  <c r="C445" i="4"/>
  <c r="C341" i="4"/>
  <c r="F341" i="4" s="1"/>
  <c r="C237" i="4"/>
  <c r="C133" i="4"/>
  <c r="F133" i="4" s="1"/>
  <c r="C29" i="4"/>
  <c r="F29" i="4" s="1"/>
  <c r="Y30" i="14"/>
  <c r="W30" i="14" s="1"/>
  <c r="C1177" i="4"/>
  <c r="C1073" i="4"/>
  <c r="F1073" i="4" s="1"/>
  <c r="C969" i="4"/>
  <c r="C865" i="4"/>
  <c r="C761" i="4"/>
  <c r="F761" i="4" s="1"/>
  <c r="C657" i="4"/>
  <c r="C553" i="4"/>
  <c r="F553" i="4" s="1"/>
  <c r="C449" i="4"/>
  <c r="C345" i="4"/>
  <c r="F345" i="4" s="1"/>
  <c r="C241" i="4"/>
  <c r="C137" i="4"/>
  <c r="F137" i="4" s="1"/>
  <c r="C33" i="4"/>
  <c r="F33" i="4" s="1"/>
  <c r="Y34" i="14"/>
  <c r="W34" i="14" s="1"/>
  <c r="C1181" i="4"/>
  <c r="C1077" i="4"/>
  <c r="F1077" i="4" s="1"/>
  <c r="C973" i="4"/>
  <c r="C869" i="4"/>
  <c r="C765" i="4"/>
  <c r="F765" i="4" s="1"/>
  <c r="C661" i="4"/>
  <c r="C557" i="4"/>
  <c r="F557" i="4" s="1"/>
  <c r="C453" i="4"/>
  <c r="C349" i="4"/>
  <c r="F349" i="4" s="1"/>
  <c r="C245" i="4"/>
  <c r="C141" i="4"/>
  <c r="F141" i="4" s="1"/>
  <c r="C37" i="4"/>
  <c r="F37" i="4" s="1"/>
  <c r="Y38" i="14"/>
  <c r="W38" i="14" s="1"/>
  <c r="C1185" i="4"/>
  <c r="C1081" i="4"/>
  <c r="F1081" i="4" s="1"/>
  <c r="C977" i="4"/>
  <c r="C873" i="4"/>
  <c r="C769" i="4"/>
  <c r="F769" i="4" s="1"/>
  <c r="C665" i="4"/>
  <c r="C561" i="4"/>
  <c r="F561" i="4" s="1"/>
  <c r="C457" i="4"/>
  <c r="C353" i="4"/>
  <c r="F353" i="4" s="1"/>
  <c r="C249" i="4"/>
  <c r="C145" i="4"/>
  <c r="F145" i="4" s="1"/>
  <c r="C41" i="4"/>
  <c r="F41" i="4" s="1"/>
  <c r="Y42" i="14"/>
  <c r="W42" i="14" s="1"/>
  <c r="C1189" i="4"/>
  <c r="C1085" i="4"/>
  <c r="F1085" i="4" s="1"/>
  <c r="C981" i="4"/>
  <c r="C877" i="4"/>
  <c r="C773" i="4"/>
  <c r="F773" i="4" s="1"/>
  <c r="C669" i="4"/>
  <c r="C565" i="4"/>
  <c r="F565" i="4" s="1"/>
  <c r="C461" i="4"/>
  <c r="C357" i="4"/>
  <c r="F357" i="4" s="1"/>
  <c r="C253" i="4"/>
  <c r="C149" i="4"/>
  <c r="F149" i="4" s="1"/>
  <c r="C45" i="4"/>
  <c r="F45" i="4" s="1"/>
  <c r="Y46" i="14"/>
  <c r="W46" i="14" s="1"/>
  <c r="C1193" i="4"/>
  <c r="C1089" i="4"/>
  <c r="F1089" i="4" s="1"/>
  <c r="C985" i="4"/>
  <c r="C881" i="4"/>
  <c r="C777" i="4"/>
  <c r="F777" i="4" s="1"/>
  <c r="C673" i="4"/>
  <c r="C569" i="4"/>
  <c r="F569" i="4" s="1"/>
  <c r="C465" i="4"/>
  <c r="C361" i="4"/>
  <c r="F361" i="4" s="1"/>
  <c r="C257" i="4"/>
  <c r="C153" i="4"/>
  <c r="F153" i="4" s="1"/>
  <c r="C49" i="4"/>
  <c r="F49" i="4" s="1"/>
  <c r="Y50" i="14"/>
  <c r="W50" i="14" s="1"/>
  <c r="C1197" i="4"/>
  <c r="C1093" i="4"/>
  <c r="F1093" i="4" s="1"/>
  <c r="C989" i="4"/>
  <c r="C885" i="4"/>
  <c r="C781" i="4"/>
  <c r="F781" i="4" s="1"/>
  <c r="C677" i="4"/>
  <c r="C573" i="4"/>
  <c r="F573" i="4" s="1"/>
  <c r="C469" i="4"/>
  <c r="C365" i="4"/>
  <c r="F365" i="4" s="1"/>
  <c r="C261" i="4"/>
  <c r="C157" i="4"/>
  <c r="F157" i="4" s="1"/>
  <c r="C53" i="4"/>
  <c r="F53" i="4" s="1"/>
  <c r="Y54" i="14"/>
  <c r="W54" i="14" s="1"/>
  <c r="C1201" i="4"/>
  <c r="C1097" i="4"/>
  <c r="F1097" i="4" s="1"/>
  <c r="C993" i="4"/>
  <c r="C889" i="4"/>
  <c r="C785" i="4"/>
  <c r="F785" i="4" s="1"/>
  <c r="C681" i="4"/>
  <c r="C577" i="4"/>
  <c r="F577" i="4" s="1"/>
  <c r="C473" i="4"/>
  <c r="C369" i="4"/>
  <c r="F369" i="4" s="1"/>
  <c r="C265" i="4"/>
  <c r="C161" i="4"/>
  <c r="F161" i="4" s="1"/>
  <c r="C57" i="4"/>
  <c r="Y58" i="14"/>
  <c r="W58" i="14" s="1"/>
  <c r="C1205" i="4"/>
  <c r="C1101" i="4"/>
  <c r="F1101" i="4" s="1"/>
  <c r="C997" i="4"/>
  <c r="C893" i="4"/>
  <c r="C789" i="4"/>
  <c r="F789" i="4" s="1"/>
  <c r="C685" i="4"/>
  <c r="C581" i="4"/>
  <c r="F581" i="4" s="1"/>
  <c r="C477" i="4"/>
  <c r="C373" i="4"/>
  <c r="F373" i="4" s="1"/>
  <c r="C269" i="4"/>
  <c r="F269" i="4" s="1"/>
  <c r="C165" i="4"/>
  <c r="C61" i="4"/>
  <c r="F61" i="4" s="1"/>
  <c r="Y62" i="14"/>
  <c r="W62" i="14" s="1"/>
  <c r="C1209" i="4"/>
  <c r="C1105" i="4"/>
  <c r="F1105" i="4" s="1"/>
  <c r="C1001" i="4"/>
  <c r="C897" i="4"/>
  <c r="C793" i="4"/>
  <c r="F793" i="4" s="1"/>
  <c r="C689" i="4"/>
  <c r="C585" i="4"/>
  <c r="F585" i="4" s="1"/>
  <c r="C481" i="4"/>
  <c r="C377" i="4"/>
  <c r="F377" i="4" s="1"/>
  <c r="C273" i="4"/>
  <c r="F273" i="4" s="1"/>
  <c r="C169" i="4"/>
  <c r="C65" i="4"/>
  <c r="F65" i="4" s="1"/>
  <c r="Y66" i="14"/>
  <c r="W66" i="14" s="1"/>
  <c r="C1213" i="4"/>
  <c r="C1109" i="4"/>
  <c r="F1109" i="4" s="1"/>
  <c r="C1005" i="4"/>
  <c r="C901" i="4"/>
  <c r="C797" i="4"/>
  <c r="F797" i="4" s="1"/>
  <c r="C693" i="4"/>
  <c r="C589" i="4"/>
  <c r="F589" i="4" s="1"/>
  <c r="C485" i="4"/>
  <c r="C381" i="4"/>
  <c r="F381" i="4" s="1"/>
  <c r="C277" i="4"/>
  <c r="F277" i="4" s="1"/>
  <c r="C173" i="4"/>
  <c r="C69" i="4"/>
  <c r="F69" i="4" s="1"/>
  <c r="Y70" i="14"/>
  <c r="W70" i="14" s="1"/>
  <c r="C1217" i="4"/>
  <c r="C1113" i="4"/>
  <c r="F1113" i="4" s="1"/>
  <c r="C1009" i="4"/>
  <c r="C905" i="4"/>
  <c r="C801" i="4"/>
  <c r="F801" i="4" s="1"/>
  <c r="C697" i="4"/>
  <c r="C593" i="4"/>
  <c r="F593" i="4" s="1"/>
  <c r="C489" i="4"/>
  <c r="C385" i="4"/>
  <c r="F385" i="4" s="1"/>
  <c r="C281" i="4"/>
  <c r="F281" i="4" s="1"/>
  <c r="C177" i="4"/>
  <c r="C73" i="4"/>
  <c r="F73" i="4" s="1"/>
  <c r="Y74" i="14"/>
  <c r="W74" i="14" s="1"/>
  <c r="C1221" i="4"/>
  <c r="C1117" i="4"/>
  <c r="F1117" i="4" s="1"/>
  <c r="C1013" i="4"/>
  <c r="C909" i="4"/>
  <c r="C805" i="4"/>
  <c r="F805" i="4" s="1"/>
  <c r="C701" i="4"/>
  <c r="C597" i="4"/>
  <c r="F597" i="4" s="1"/>
  <c r="C493" i="4"/>
  <c r="F493" i="4" s="1"/>
  <c r="C389" i="4"/>
  <c r="F389" i="4" s="1"/>
  <c r="C285" i="4"/>
  <c r="F285" i="4" s="1"/>
  <c r="C181" i="4"/>
  <c r="F181" i="4" s="1"/>
  <c r="C77" i="4"/>
  <c r="F77" i="4" s="1"/>
  <c r="Y78" i="14"/>
  <c r="W78" i="14" s="1"/>
  <c r="C1225" i="4"/>
  <c r="C1121" i="4"/>
  <c r="F1121" i="4" s="1"/>
  <c r="C1017" i="4"/>
  <c r="C913" i="4"/>
  <c r="C809" i="4"/>
  <c r="F809" i="4" s="1"/>
  <c r="C705" i="4"/>
  <c r="F705" i="4" s="1"/>
  <c r="C601" i="4"/>
  <c r="F601" i="4" s="1"/>
  <c r="C393" i="4"/>
  <c r="C289" i="4"/>
  <c r="F289" i="4" s="1"/>
  <c r="C497" i="4"/>
  <c r="F497" i="4" s="1"/>
  <c r="C185" i="4"/>
  <c r="C81" i="4"/>
  <c r="F81" i="4" s="1"/>
  <c r="Y82" i="14"/>
  <c r="W82" i="14" s="1"/>
  <c r="C1229" i="4"/>
  <c r="C1125" i="4"/>
  <c r="F1125" i="4" s="1"/>
  <c r="C1021" i="4"/>
  <c r="C917" i="4"/>
  <c r="C813" i="4"/>
  <c r="F813" i="4" s="1"/>
  <c r="C605" i="4"/>
  <c r="F605" i="4" s="1"/>
  <c r="C709" i="4"/>
  <c r="C501" i="4"/>
  <c r="F501" i="4" s="1"/>
  <c r="C397" i="4"/>
  <c r="C293" i="4"/>
  <c r="F293" i="4" s="1"/>
  <c r="C189" i="4"/>
  <c r="C85" i="4"/>
  <c r="F85" i="4" s="1"/>
  <c r="Y86" i="14"/>
  <c r="W86" i="14" s="1"/>
  <c r="C1233" i="4"/>
  <c r="C1129" i="4"/>
  <c r="C1025" i="4"/>
  <c r="F1025" i="4" s="1"/>
  <c r="C921" i="4"/>
  <c r="C817" i="4"/>
  <c r="F817" i="4" s="1"/>
  <c r="C609" i="4"/>
  <c r="F609" i="4" s="1"/>
  <c r="C713" i="4"/>
  <c r="C505" i="4"/>
  <c r="F505" i="4" s="1"/>
  <c r="C401" i="4"/>
  <c r="C297" i="4"/>
  <c r="F297" i="4" s="1"/>
  <c r="C193" i="4"/>
  <c r="C89" i="4"/>
  <c r="F89" i="4" s="1"/>
  <c r="Y90" i="14"/>
  <c r="W90" i="14" s="1"/>
  <c r="C1237" i="4"/>
  <c r="C1133" i="4"/>
  <c r="C1029" i="4"/>
  <c r="F1029" i="4" s="1"/>
  <c r="C925" i="4"/>
  <c r="C821" i="4"/>
  <c r="C717" i="4"/>
  <c r="F717" i="4" s="1"/>
  <c r="C613" i="4"/>
  <c r="F613" i="4" s="1"/>
  <c r="C509" i="4"/>
  <c r="F509" i="4" s="1"/>
  <c r="C405" i="4"/>
  <c r="C301" i="4"/>
  <c r="F301" i="4" s="1"/>
  <c r="C197" i="4"/>
  <c r="C93" i="4"/>
  <c r="F93" i="4" s="1"/>
  <c r="Y94" i="14"/>
  <c r="W94" i="14" s="1"/>
  <c r="C1241" i="4"/>
  <c r="C1137" i="4"/>
  <c r="F1137" i="4" s="1"/>
  <c r="C1033" i="4"/>
  <c r="F1033" i="4" s="1"/>
  <c r="C929" i="4"/>
  <c r="C825" i="4"/>
  <c r="C721" i="4"/>
  <c r="F721" i="4" s="1"/>
  <c r="C617" i="4"/>
  <c r="C513" i="4"/>
  <c r="F513" i="4" s="1"/>
  <c r="C409" i="4"/>
  <c r="C305" i="4"/>
  <c r="F305" i="4" s="1"/>
  <c r="C201" i="4"/>
  <c r="C97" i="4"/>
  <c r="F97" i="4" s="1"/>
  <c r="Y98" i="14"/>
  <c r="W98" i="14" s="1"/>
  <c r="C1245" i="4"/>
  <c r="C1141" i="4"/>
  <c r="C1037" i="4"/>
  <c r="F1037" i="4" s="1"/>
  <c r="C933" i="4"/>
  <c r="C829" i="4"/>
  <c r="F829" i="4" s="1"/>
  <c r="C725" i="4"/>
  <c r="F725" i="4" s="1"/>
  <c r="C621" i="4"/>
  <c r="C517" i="4"/>
  <c r="F517" i="4" s="1"/>
  <c r="C413" i="4"/>
  <c r="F413" i="4" s="1"/>
  <c r="C309" i="4"/>
  <c r="F309" i="4" s="1"/>
  <c r="C205" i="4"/>
  <c r="C101" i="4"/>
  <c r="F101" i="4" s="1"/>
  <c r="Y102" i="14"/>
  <c r="W102" i="14" s="1"/>
  <c r="C1249" i="4"/>
  <c r="C1145" i="4"/>
  <c r="C1041" i="4"/>
  <c r="F1041" i="4" s="1"/>
  <c r="C937" i="4"/>
  <c r="F937" i="4" s="1"/>
  <c r="C833" i="4"/>
  <c r="F833" i="4" s="1"/>
  <c r="C729" i="4"/>
  <c r="F729" i="4" s="1"/>
  <c r="C625" i="4"/>
  <c r="C521" i="4"/>
  <c r="F521" i="4" s="1"/>
  <c r="C417" i="4"/>
  <c r="F417" i="4" s="1"/>
  <c r="C313" i="4"/>
  <c r="F313" i="4" s="1"/>
  <c r="C209" i="4"/>
  <c r="C105" i="4"/>
  <c r="F105" i="4" s="1"/>
  <c r="Y106" i="14"/>
  <c r="W106" i="14" s="1"/>
  <c r="X9" i="17"/>
  <c r="C9" i="26" s="1"/>
  <c r="R9" i="17"/>
  <c r="C9" i="24" s="1"/>
  <c r="L9" i="17"/>
  <c r="C9" i="22" s="1"/>
  <c r="F9" i="17"/>
  <c r="AA9" i="17"/>
  <c r="U9" i="17"/>
  <c r="C9" i="25" s="1"/>
  <c r="O9" i="17"/>
  <c r="C9" i="23" s="1"/>
  <c r="I9" i="17"/>
  <c r="C9" i="21" s="1"/>
  <c r="AF8" i="8"/>
  <c r="AF22" i="8" s="1"/>
  <c r="Y46" i="5" s="1"/>
  <c r="AJ8" i="8"/>
  <c r="AJ22" i="8" s="1"/>
  <c r="CC46" i="5" s="1"/>
  <c r="CE46" i="5" s="1"/>
  <c r="AN8" i="8"/>
  <c r="AN22" i="8" s="1"/>
  <c r="EG46" i="5" s="1"/>
  <c r="AH10" i="8"/>
  <c r="AL10" i="8"/>
  <c r="AU12" i="8"/>
  <c r="AY12" i="8"/>
  <c r="AW13" i="8"/>
  <c r="BA13" i="8"/>
  <c r="AU14" i="8"/>
  <c r="AY14" i="8"/>
  <c r="AW15" i="8"/>
  <c r="BA15" i="8"/>
  <c r="AU16" i="8"/>
  <c r="AY16" i="8"/>
  <c r="AW17" i="8"/>
  <c r="BA17" i="8"/>
  <c r="AU18" i="8"/>
  <c r="AY18" i="8"/>
  <c r="AW19" i="8"/>
  <c r="BA19" i="8"/>
  <c r="AU20" i="8"/>
  <c r="AY20" i="8"/>
  <c r="AW21" i="8"/>
  <c r="BA21" i="8"/>
  <c r="D10" i="20"/>
  <c r="F27" i="17"/>
  <c r="H22" i="15"/>
  <c r="L22" i="15"/>
  <c r="P22" i="15"/>
  <c r="D25" i="15"/>
  <c r="X1150" i="4"/>
  <c r="Q1150" i="4"/>
  <c r="W1150" i="4"/>
  <c r="N1150" i="4"/>
  <c r="Z1150" i="4"/>
  <c r="K1150" i="4"/>
  <c r="T1150" i="4"/>
  <c r="E1150" i="4"/>
  <c r="X1046" i="4"/>
  <c r="Q1046" i="4"/>
  <c r="W1046" i="4"/>
  <c r="N1046" i="4"/>
  <c r="Z1046" i="4"/>
  <c r="K1046" i="4"/>
  <c r="T1046" i="4"/>
  <c r="E1046" i="4"/>
  <c r="T942" i="4"/>
  <c r="E942" i="4"/>
  <c r="X942" i="4"/>
  <c r="Q942" i="4"/>
  <c r="W942" i="4"/>
  <c r="N942" i="4"/>
  <c r="Z942" i="4"/>
  <c r="K942" i="4"/>
  <c r="W838" i="4"/>
  <c r="N838" i="4"/>
  <c r="W734" i="4"/>
  <c r="N734" i="4"/>
  <c r="Z838" i="4"/>
  <c r="K838" i="4"/>
  <c r="Z734" i="4"/>
  <c r="K734" i="4"/>
  <c r="T838" i="4"/>
  <c r="E838" i="4"/>
  <c r="T734" i="4"/>
  <c r="E734" i="4"/>
  <c r="X838" i="4"/>
  <c r="Q838" i="4"/>
  <c r="X734" i="4"/>
  <c r="Q734" i="4"/>
  <c r="T630" i="4"/>
  <c r="E630" i="4"/>
  <c r="T526" i="4"/>
  <c r="E526" i="4"/>
  <c r="X630" i="4"/>
  <c r="Q630" i="4"/>
  <c r="X526" i="4"/>
  <c r="Q526" i="4"/>
  <c r="W630" i="4"/>
  <c r="N630" i="4"/>
  <c r="W526" i="4"/>
  <c r="N526" i="4"/>
  <c r="Z630" i="4"/>
  <c r="K630" i="4"/>
  <c r="Z526" i="4"/>
  <c r="K526" i="4"/>
  <c r="Z422" i="4"/>
  <c r="K422" i="4"/>
  <c r="Z318" i="4"/>
  <c r="K318" i="4"/>
  <c r="T422" i="4"/>
  <c r="E422" i="4"/>
  <c r="T318" i="4"/>
  <c r="E318" i="4"/>
  <c r="X422" i="4"/>
  <c r="Q422" i="4"/>
  <c r="X318" i="4"/>
  <c r="Q318" i="4"/>
  <c r="W422" i="4"/>
  <c r="N422" i="4"/>
  <c r="W318" i="4"/>
  <c r="N318" i="4"/>
  <c r="X214" i="4"/>
  <c r="Q214" i="4"/>
  <c r="X110" i="4"/>
  <c r="Q110" i="4"/>
  <c r="W214" i="4"/>
  <c r="N214" i="4"/>
  <c r="W110" i="4"/>
  <c r="N110" i="4"/>
  <c r="Z214" i="4"/>
  <c r="K214" i="4"/>
  <c r="Z110" i="4"/>
  <c r="K110" i="4"/>
  <c r="T214" i="4"/>
  <c r="E214" i="4"/>
  <c r="T110" i="4"/>
  <c r="E110" i="4"/>
  <c r="X6" i="4"/>
  <c r="Q6" i="4"/>
  <c r="W6" i="4"/>
  <c r="N6" i="4"/>
  <c r="Z6" i="4"/>
  <c r="K6" i="4"/>
  <c r="T6" i="4"/>
  <c r="E6" i="4"/>
  <c r="X1152" i="4"/>
  <c r="Q1152" i="4"/>
  <c r="W1152" i="4"/>
  <c r="N1152" i="4"/>
  <c r="Z1152" i="4"/>
  <c r="K1152" i="4"/>
  <c r="T1152" i="4"/>
  <c r="E1152" i="4"/>
  <c r="X1048" i="4"/>
  <c r="Q1048" i="4"/>
  <c r="W1048" i="4"/>
  <c r="N1048" i="4"/>
  <c r="Z1048" i="4"/>
  <c r="K1048" i="4"/>
  <c r="T1048" i="4"/>
  <c r="E1048" i="4"/>
  <c r="T944" i="4"/>
  <c r="E944" i="4"/>
  <c r="X944" i="4"/>
  <c r="Q944" i="4"/>
  <c r="W944" i="4"/>
  <c r="N944" i="4"/>
  <c r="Z944" i="4"/>
  <c r="K944" i="4"/>
  <c r="W840" i="4"/>
  <c r="N840" i="4"/>
  <c r="W736" i="4"/>
  <c r="N736" i="4"/>
  <c r="Z840" i="4"/>
  <c r="K840" i="4"/>
  <c r="Z736" i="4"/>
  <c r="K736" i="4"/>
  <c r="T840" i="4"/>
  <c r="E840" i="4"/>
  <c r="T736" i="4"/>
  <c r="E736" i="4"/>
  <c r="X840" i="4"/>
  <c r="Q840" i="4"/>
  <c r="X736" i="4"/>
  <c r="Q736" i="4"/>
  <c r="T632" i="4"/>
  <c r="E632" i="4"/>
  <c r="T528" i="4"/>
  <c r="E528" i="4"/>
  <c r="X632" i="4"/>
  <c r="Q632" i="4"/>
  <c r="X528" i="4"/>
  <c r="Q528" i="4"/>
  <c r="W632" i="4"/>
  <c r="N632" i="4"/>
  <c r="W528" i="4"/>
  <c r="N528" i="4"/>
  <c r="Z632" i="4"/>
  <c r="K632" i="4"/>
  <c r="Z528" i="4"/>
  <c r="K528" i="4"/>
  <c r="Z424" i="4"/>
  <c r="K424" i="4"/>
  <c r="Z320" i="4"/>
  <c r="K320" i="4"/>
  <c r="T424" i="4"/>
  <c r="E424" i="4"/>
  <c r="T320" i="4"/>
  <c r="E320" i="4"/>
  <c r="X424" i="4"/>
  <c r="Q424" i="4"/>
  <c r="X320" i="4"/>
  <c r="Q320" i="4"/>
  <c r="W424" i="4"/>
  <c r="N424" i="4"/>
  <c r="W320" i="4"/>
  <c r="N320" i="4"/>
  <c r="X216" i="4"/>
  <c r="Q216" i="4"/>
  <c r="X112" i="4"/>
  <c r="Q112" i="4"/>
  <c r="W216" i="4"/>
  <c r="N216" i="4"/>
  <c r="W112" i="4"/>
  <c r="N112" i="4"/>
  <c r="Z216" i="4"/>
  <c r="K216" i="4"/>
  <c r="Z112" i="4"/>
  <c r="K112" i="4"/>
  <c r="T216" i="4"/>
  <c r="E216" i="4"/>
  <c r="T112" i="4"/>
  <c r="E112" i="4"/>
  <c r="X8" i="4"/>
  <c r="Q8" i="4"/>
  <c r="W8" i="4"/>
  <c r="N8" i="4"/>
  <c r="Z8" i="4"/>
  <c r="K8" i="4"/>
  <c r="T8" i="4"/>
  <c r="E8" i="4"/>
  <c r="X1154" i="4"/>
  <c r="Q1154" i="4"/>
  <c r="W1154" i="4"/>
  <c r="N1154" i="4"/>
  <c r="Z1154" i="4"/>
  <c r="K1154" i="4"/>
  <c r="T1154" i="4"/>
  <c r="E1154" i="4"/>
  <c r="X1050" i="4"/>
  <c r="Q1050" i="4"/>
  <c r="W1050" i="4"/>
  <c r="N1050" i="4"/>
  <c r="Z1050" i="4"/>
  <c r="K1050" i="4"/>
  <c r="T1050" i="4"/>
  <c r="E1050" i="4"/>
  <c r="T946" i="4"/>
  <c r="E946" i="4"/>
  <c r="X946" i="4"/>
  <c r="Q946" i="4"/>
  <c r="W946" i="4"/>
  <c r="N946" i="4"/>
  <c r="Z946" i="4"/>
  <c r="K946" i="4"/>
  <c r="W842" i="4"/>
  <c r="N842" i="4"/>
  <c r="W738" i="4"/>
  <c r="N738" i="4"/>
  <c r="Z842" i="4"/>
  <c r="K842" i="4"/>
  <c r="Z738" i="4"/>
  <c r="K738" i="4"/>
  <c r="T842" i="4"/>
  <c r="E842" i="4"/>
  <c r="T738" i="4"/>
  <c r="E738" i="4"/>
  <c r="X842" i="4"/>
  <c r="Q842" i="4"/>
  <c r="X738" i="4"/>
  <c r="Q738" i="4"/>
  <c r="T634" i="4"/>
  <c r="E634" i="4"/>
  <c r="T530" i="4"/>
  <c r="E530" i="4"/>
  <c r="X634" i="4"/>
  <c r="Q634" i="4"/>
  <c r="X530" i="4"/>
  <c r="Q530" i="4"/>
  <c r="W634" i="4"/>
  <c r="N634" i="4"/>
  <c r="W530" i="4"/>
  <c r="N530" i="4"/>
  <c r="Z634" i="4"/>
  <c r="K634" i="4"/>
  <c r="Z530" i="4"/>
  <c r="K530" i="4"/>
  <c r="V530" i="4" s="1"/>
  <c r="Z426" i="4"/>
  <c r="K426" i="4"/>
  <c r="Z322" i="4"/>
  <c r="K322" i="4"/>
  <c r="T426" i="4"/>
  <c r="E426" i="4"/>
  <c r="T322" i="4"/>
  <c r="E322" i="4"/>
  <c r="X426" i="4"/>
  <c r="Q426" i="4"/>
  <c r="X322" i="4"/>
  <c r="Q322" i="4"/>
  <c r="W426" i="4"/>
  <c r="N426" i="4"/>
  <c r="W322" i="4"/>
  <c r="N322" i="4"/>
  <c r="X218" i="4"/>
  <c r="Q218" i="4"/>
  <c r="X114" i="4"/>
  <c r="Q114" i="4"/>
  <c r="W218" i="4"/>
  <c r="N218" i="4"/>
  <c r="W114" i="4"/>
  <c r="N114" i="4"/>
  <c r="Z218" i="4"/>
  <c r="K218" i="4"/>
  <c r="Z114" i="4"/>
  <c r="K114" i="4"/>
  <c r="T218" i="4"/>
  <c r="E218" i="4"/>
  <c r="T114" i="4"/>
  <c r="E114" i="4"/>
  <c r="X10" i="4"/>
  <c r="Q10" i="4"/>
  <c r="W10" i="4"/>
  <c r="N10" i="4"/>
  <c r="Z10" i="4"/>
  <c r="K10" i="4"/>
  <c r="T10" i="4"/>
  <c r="E10" i="4"/>
  <c r="X1156" i="4"/>
  <c r="Q1156" i="4"/>
  <c r="W1156" i="4"/>
  <c r="N1156" i="4"/>
  <c r="Z1156" i="4"/>
  <c r="K1156" i="4"/>
  <c r="T1156" i="4"/>
  <c r="E1156" i="4"/>
  <c r="X1052" i="4"/>
  <c r="Q1052" i="4"/>
  <c r="W1052" i="4"/>
  <c r="N1052" i="4"/>
  <c r="Z1052" i="4"/>
  <c r="K1052" i="4"/>
  <c r="T1052" i="4"/>
  <c r="E1052" i="4"/>
  <c r="T948" i="4"/>
  <c r="E948" i="4"/>
  <c r="X948" i="4"/>
  <c r="Q948" i="4"/>
  <c r="W948" i="4"/>
  <c r="N948" i="4"/>
  <c r="Z948" i="4"/>
  <c r="K948" i="4"/>
  <c r="W844" i="4"/>
  <c r="N844" i="4"/>
  <c r="W740" i="4"/>
  <c r="N740" i="4"/>
  <c r="Z844" i="4"/>
  <c r="K844" i="4"/>
  <c r="Z740" i="4"/>
  <c r="K740" i="4"/>
  <c r="T844" i="4"/>
  <c r="E844" i="4"/>
  <c r="T740" i="4"/>
  <c r="E740" i="4"/>
  <c r="X844" i="4"/>
  <c r="Q844" i="4"/>
  <c r="X740" i="4"/>
  <c r="Q740" i="4"/>
  <c r="T636" i="4"/>
  <c r="E636" i="4"/>
  <c r="T532" i="4"/>
  <c r="E532" i="4"/>
  <c r="X636" i="4"/>
  <c r="Q636" i="4"/>
  <c r="X532" i="4"/>
  <c r="Q532" i="4"/>
  <c r="W636" i="4"/>
  <c r="N636" i="4"/>
  <c r="W532" i="4"/>
  <c r="N532" i="4"/>
  <c r="Z636" i="4"/>
  <c r="K636" i="4"/>
  <c r="Z532" i="4"/>
  <c r="K532" i="4"/>
  <c r="V532" i="4" s="1"/>
  <c r="Z428" i="4"/>
  <c r="K428" i="4"/>
  <c r="Z324" i="4"/>
  <c r="K324" i="4"/>
  <c r="T428" i="4"/>
  <c r="E428" i="4"/>
  <c r="T324" i="4"/>
  <c r="E324" i="4"/>
  <c r="X428" i="4"/>
  <c r="Q428" i="4"/>
  <c r="X324" i="4"/>
  <c r="Q324" i="4"/>
  <c r="W428" i="4"/>
  <c r="N428" i="4"/>
  <c r="W324" i="4"/>
  <c r="N324" i="4"/>
  <c r="X220" i="4"/>
  <c r="Q220" i="4"/>
  <c r="X116" i="4"/>
  <c r="Q116" i="4"/>
  <c r="W220" i="4"/>
  <c r="N220" i="4"/>
  <c r="W116" i="4"/>
  <c r="N116" i="4"/>
  <c r="Z220" i="4"/>
  <c r="K220" i="4"/>
  <c r="Z116" i="4"/>
  <c r="K116" i="4"/>
  <c r="T220" i="4"/>
  <c r="E220" i="4"/>
  <c r="T116" i="4"/>
  <c r="E116" i="4"/>
  <c r="X12" i="4"/>
  <c r="Q12" i="4"/>
  <c r="W12" i="4"/>
  <c r="N12" i="4"/>
  <c r="Z12" i="4"/>
  <c r="K12" i="4"/>
  <c r="T12" i="4"/>
  <c r="E12" i="4"/>
  <c r="X1158" i="4"/>
  <c r="Q1158" i="4"/>
  <c r="W1158" i="4"/>
  <c r="N1158" i="4"/>
  <c r="Z1158" i="4"/>
  <c r="K1158" i="4"/>
  <c r="T1158" i="4"/>
  <c r="E1158" i="4"/>
  <c r="X1054" i="4"/>
  <c r="Q1054" i="4"/>
  <c r="W1054" i="4"/>
  <c r="N1054" i="4"/>
  <c r="Z1054" i="4"/>
  <c r="K1054" i="4"/>
  <c r="T1054" i="4"/>
  <c r="E1054" i="4"/>
  <c r="T950" i="4"/>
  <c r="E950" i="4"/>
  <c r="X950" i="4"/>
  <c r="Q950" i="4"/>
  <c r="W950" i="4"/>
  <c r="N950" i="4"/>
  <c r="Z950" i="4"/>
  <c r="K950" i="4"/>
  <c r="W846" i="4"/>
  <c r="N846" i="4"/>
  <c r="W742" i="4"/>
  <c r="N742" i="4"/>
  <c r="Z846" i="4"/>
  <c r="K846" i="4"/>
  <c r="Z742" i="4"/>
  <c r="K742" i="4"/>
  <c r="T846" i="4"/>
  <c r="E846" i="4"/>
  <c r="T742" i="4"/>
  <c r="E742" i="4"/>
  <c r="X846" i="4"/>
  <c r="Q846" i="4"/>
  <c r="X742" i="4"/>
  <c r="Q742" i="4"/>
  <c r="T638" i="4"/>
  <c r="E638" i="4"/>
  <c r="T534" i="4"/>
  <c r="E534" i="4"/>
  <c r="X638" i="4"/>
  <c r="Q638" i="4"/>
  <c r="X534" i="4"/>
  <c r="Q534" i="4"/>
  <c r="W638" i="4"/>
  <c r="N638" i="4"/>
  <c r="W534" i="4"/>
  <c r="N534" i="4"/>
  <c r="Z638" i="4"/>
  <c r="K638" i="4"/>
  <c r="Z534" i="4"/>
  <c r="K534" i="4"/>
  <c r="V534" i="4" s="1"/>
  <c r="Z430" i="4"/>
  <c r="K430" i="4"/>
  <c r="Z326" i="4"/>
  <c r="K326" i="4"/>
  <c r="T430" i="4"/>
  <c r="E430" i="4"/>
  <c r="T326" i="4"/>
  <c r="E326" i="4"/>
  <c r="X430" i="4"/>
  <c r="Q430" i="4"/>
  <c r="X326" i="4"/>
  <c r="Q326" i="4"/>
  <c r="W430" i="4"/>
  <c r="N430" i="4"/>
  <c r="W326" i="4"/>
  <c r="N326" i="4"/>
  <c r="X222" i="4"/>
  <c r="Q222" i="4"/>
  <c r="X118" i="4"/>
  <c r="Q118" i="4"/>
  <c r="W222" i="4"/>
  <c r="N222" i="4"/>
  <c r="W118" i="4"/>
  <c r="N118" i="4"/>
  <c r="Z222" i="4"/>
  <c r="K222" i="4"/>
  <c r="Z118" i="4"/>
  <c r="K118" i="4"/>
  <c r="T222" i="4"/>
  <c r="E222" i="4"/>
  <c r="T118" i="4"/>
  <c r="E118" i="4"/>
  <c r="X14" i="4"/>
  <c r="Q14" i="4"/>
  <c r="W14" i="4"/>
  <c r="N14" i="4"/>
  <c r="Z14" i="4"/>
  <c r="K14" i="4"/>
  <c r="T14" i="4"/>
  <c r="E14" i="4"/>
  <c r="X1160" i="4"/>
  <c r="Q1160" i="4"/>
  <c r="W1160" i="4"/>
  <c r="N1160" i="4"/>
  <c r="Z1160" i="4"/>
  <c r="K1160" i="4"/>
  <c r="T1160" i="4"/>
  <c r="E1160" i="4"/>
  <c r="X1056" i="4"/>
  <c r="Q1056" i="4"/>
  <c r="W1056" i="4"/>
  <c r="N1056" i="4"/>
  <c r="Z1056" i="4"/>
  <c r="K1056" i="4"/>
  <c r="T1056" i="4"/>
  <c r="E1056" i="4"/>
  <c r="T952" i="4"/>
  <c r="E952" i="4"/>
  <c r="X952" i="4"/>
  <c r="Q952" i="4"/>
  <c r="W952" i="4"/>
  <c r="N952" i="4"/>
  <c r="Z952" i="4"/>
  <c r="K952" i="4"/>
  <c r="W848" i="4"/>
  <c r="N848" i="4"/>
  <c r="W744" i="4"/>
  <c r="N744" i="4"/>
  <c r="Z848" i="4"/>
  <c r="K848" i="4"/>
  <c r="Z744" i="4"/>
  <c r="K744" i="4"/>
  <c r="T848" i="4"/>
  <c r="E848" i="4"/>
  <c r="T744" i="4"/>
  <c r="E744" i="4"/>
  <c r="X848" i="4"/>
  <c r="Q848" i="4"/>
  <c r="X744" i="4"/>
  <c r="Q744" i="4"/>
  <c r="T640" i="4"/>
  <c r="E640" i="4"/>
  <c r="T536" i="4"/>
  <c r="E536" i="4"/>
  <c r="X640" i="4"/>
  <c r="Q640" i="4"/>
  <c r="X536" i="4"/>
  <c r="Q536" i="4"/>
  <c r="W640" i="4"/>
  <c r="N640" i="4"/>
  <c r="W536" i="4"/>
  <c r="N536" i="4"/>
  <c r="Z640" i="4"/>
  <c r="K640" i="4"/>
  <c r="Z536" i="4"/>
  <c r="K536" i="4"/>
  <c r="V536" i="4" s="1"/>
  <c r="Z432" i="4"/>
  <c r="K432" i="4"/>
  <c r="Z328" i="4"/>
  <c r="K328" i="4"/>
  <c r="T432" i="4"/>
  <c r="E432" i="4"/>
  <c r="T328" i="4"/>
  <c r="E328" i="4"/>
  <c r="X432" i="4"/>
  <c r="Q432" i="4"/>
  <c r="X328" i="4"/>
  <c r="Q328" i="4"/>
  <c r="W432" i="4"/>
  <c r="N432" i="4"/>
  <c r="W328" i="4"/>
  <c r="N328" i="4"/>
  <c r="X224" i="4"/>
  <c r="Q224" i="4"/>
  <c r="X120" i="4"/>
  <c r="Q120" i="4"/>
  <c r="W224" i="4"/>
  <c r="N224" i="4"/>
  <c r="W120" i="4"/>
  <c r="N120" i="4"/>
  <c r="Z224" i="4"/>
  <c r="K224" i="4"/>
  <c r="Z120" i="4"/>
  <c r="K120" i="4"/>
  <c r="T224" i="4"/>
  <c r="E224" i="4"/>
  <c r="T120" i="4"/>
  <c r="E120" i="4"/>
  <c r="X16" i="4"/>
  <c r="Q16" i="4"/>
  <c r="W16" i="4"/>
  <c r="N16" i="4"/>
  <c r="Z16" i="4"/>
  <c r="K16" i="4"/>
  <c r="T16" i="4"/>
  <c r="E16" i="4"/>
  <c r="X1162" i="4"/>
  <c r="Q1162" i="4"/>
  <c r="W1162" i="4"/>
  <c r="N1162" i="4"/>
  <c r="Z1162" i="4"/>
  <c r="K1162" i="4"/>
  <c r="T1162" i="4"/>
  <c r="E1162" i="4"/>
  <c r="X1058" i="4"/>
  <c r="Q1058" i="4"/>
  <c r="W1058" i="4"/>
  <c r="N1058" i="4"/>
  <c r="Z1058" i="4"/>
  <c r="K1058" i="4"/>
  <c r="T1058" i="4"/>
  <c r="E1058" i="4"/>
  <c r="T954" i="4"/>
  <c r="E954" i="4"/>
  <c r="X954" i="4"/>
  <c r="Q954" i="4"/>
  <c r="W954" i="4"/>
  <c r="N954" i="4"/>
  <c r="Z954" i="4"/>
  <c r="K954" i="4"/>
  <c r="W850" i="4"/>
  <c r="N850" i="4"/>
  <c r="W746" i="4"/>
  <c r="N746" i="4"/>
  <c r="Z850" i="4"/>
  <c r="K850" i="4"/>
  <c r="Z746" i="4"/>
  <c r="K746" i="4"/>
  <c r="T850" i="4"/>
  <c r="E850" i="4"/>
  <c r="T746" i="4"/>
  <c r="E746" i="4"/>
  <c r="X850" i="4"/>
  <c r="Q850" i="4"/>
  <c r="X746" i="4"/>
  <c r="Q746" i="4"/>
  <c r="T642" i="4"/>
  <c r="E642" i="4"/>
  <c r="T538" i="4"/>
  <c r="E538" i="4"/>
  <c r="X642" i="4"/>
  <c r="Q642" i="4"/>
  <c r="X538" i="4"/>
  <c r="Q538" i="4"/>
  <c r="W642" i="4"/>
  <c r="N642" i="4"/>
  <c r="W538" i="4"/>
  <c r="N538" i="4"/>
  <c r="Z642" i="4"/>
  <c r="K642" i="4"/>
  <c r="Z538" i="4"/>
  <c r="K538" i="4"/>
  <c r="V538" i="4" s="1"/>
  <c r="Z434" i="4"/>
  <c r="K434" i="4"/>
  <c r="Z330" i="4"/>
  <c r="K330" i="4"/>
  <c r="T434" i="4"/>
  <c r="E434" i="4"/>
  <c r="T330" i="4"/>
  <c r="E330" i="4"/>
  <c r="X434" i="4"/>
  <c r="Q434" i="4"/>
  <c r="X330" i="4"/>
  <c r="Q330" i="4"/>
  <c r="W434" i="4"/>
  <c r="N434" i="4"/>
  <c r="W330" i="4"/>
  <c r="N330" i="4"/>
  <c r="X226" i="4"/>
  <c r="Q226" i="4"/>
  <c r="X122" i="4"/>
  <c r="Q122" i="4"/>
  <c r="W226" i="4"/>
  <c r="N226" i="4"/>
  <c r="W122" i="4"/>
  <c r="N122" i="4"/>
  <c r="Z226" i="4"/>
  <c r="K226" i="4"/>
  <c r="Z122" i="4"/>
  <c r="K122" i="4"/>
  <c r="T226" i="4"/>
  <c r="E226" i="4"/>
  <c r="T122" i="4"/>
  <c r="E122" i="4"/>
  <c r="X18" i="4"/>
  <c r="Q18" i="4"/>
  <c r="W18" i="4"/>
  <c r="N18" i="4"/>
  <c r="Z18" i="4"/>
  <c r="K18" i="4"/>
  <c r="T18" i="4"/>
  <c r="E18" i="4"/>
  <c r="X1164" i="4"/>
  <c r="Q1164" i="4"/>
  <c r="W1164" i="4"/>
  <c r="N1164" i="4"/>
  <c r="Z1164" i="4"/>
  <c r="K1164" i="4"/>
  <c r="T1164" i="4"/>
  <c r="E1164" i="4"/>
  <c r="X1060" i="4"/>
  <c r="Q1060" i="4"/>
  <c r="W1060" i="4"/>
  <c r="N1060" i="4"/>
  <c r="Z1060" i="4"/>
  <c r="K1060" i="4"/>
  <c r="T1060" i="4"/>
  <c r="E1060" i="4"/>
  <c r="T956" i="4"/>
  <c r="E956" i="4"/>
  <c r="X956" i="4"/>
  <c r="Q956" i="4"/>
  <c r="W956" i="4"/>
  <c r="N956" i="4"/>
  <c r="Z956" i="4"/>
  <c r="K956" i="4"/>
  <c r="W852" i="4"/>
  <c r="N852" i="4"/>
  <c r="W748" i="4"/>
  <c r="N748" i="4"/>
  <c r="Z852" i="4"/>
  <c r="K852" i="4"/>
  <c r="Z748" i="4"/>
  <c r="K748" i="4"/>
  <c r="T852" i="4"/>
  <c r="E852" i="4"/>
  <c r="T748" i="4"/>
  <c r="E748" i="4"/>
  <c r="X852" i="4"/>
  <c r="Q852" i="4"/>
  <c r="X748" i="4"/>
  <c r="Q748" i="4"/>
  <c r="T644" i="4"/>
  <c r="E644" i="4"/>
  <c r="T540" i="4"/>
  <c r="E540" i="4"/>
  <c r="X644" i="4"/>
  <c r="Q644" i="4"/>
  <c r="X540" i="4"/>
  <c r="Q540" i="4"/>
  <c r="W644" i="4"/>
  <c r="N644" i="4"/>
  <c r="W540" i="4"/>
  <c r="N540" i="4"/>
  <c r="Z644" i="4"/>
  <c r="K644" i="4"/>
  <c r="Z540" i="4"/>
  <c r="K540" i="4"/>
  <c r="V540" i="4" s="1"/>
  <c r="Z436" i="4"/>
  <c r="K436" i="4"/>
  <c r="Z332" i="4"/>
  <c r="K332" i="4"/>
  <c r="T436" i="4"/>
  <c r="E436" i="4"/>
  <c r="T332" i="4"/>
  <c r="E332" i="4"/>
  <c r="X436" i="4"/>
  <c r="Q436" i="4"/>
  <c r="X332" i="4"/>
  <c r="Q332" i="4"/>
  <c r="W436" i="4"/>
  <c r="N436" i="4"/>
  <c r="W332" i="4"/>
  <c r="N332" i="4"/>
  <c r="X228" i="4"/>
  <c r="Q228" i="4"/>
  <c r="X124" i="4"/>
  <c r="Q124" i="4"/>
  <c r="W228" i="4"/>
  <c r="N228" i="4"/>
  <c r="W124" i="4"/>
  <c r="N124" i="4"/>
  <c r="Z228" i="4"/>
  <c r="K228" i="4"/>
  <c r="Z124" i="4"/>
  <c r="K124" i="4"/>
  <c r="T228" i="4"/>
  <c r="E228" i="4"/>
  <c r="T124" i="4"/>
  <c r="E124" i="4"/>
  <c r="X20" i="4"/>
  <c r="Q20" i="4"/>
  <c r="W20" i="4"/>
  <c r="N20" i="4"/>
  <c r="Z20" i="4"/>
  <c r="K20" i="4"/>
  <c r="T20" i="4"/>
  <c r="E20" i="4"/>
  <c r="X1166" i="4"/>
  <c r="Q1166" i="4"/>
  <c r="W1166" i="4"/>
  <c r="N1166" i="4"/>
  <c r="Z1166" i="4"/>
  <c r="K1166" i="4"/>
  <c r="T1166" i="4"/>
  <c r="E1166" i="4"/>
  <c r="X1062" i="4"/>
  <c r="Q1062" i="4"/>
  <c r="W1062" i="4"/>
  <c r="N1062" i="4"/>
  <c r="Z1062" i="4"/>
  <c r="K1062" i="4"/>
  <c r="T1062" i="4"/>
  <c r="E1062" i="4"/>
  <c r="T958" i="4"/>
  <c r="E958" i="4"/>
  <c r="X958" i="4"/>
  <c r="Q958" i="4"/>
  <c r="W958" i="4"/>
  <c r="N958" i="4"/>
  <c r="Z958" i="4"/>
  <c r="K958" i="4"/>
  <c r="W854" i="4"/>
  <c r="N854" i="4"/>
  <c r="W750" i="4"/>
  <c r="N750" i="4"/>
  <c r="Z854" i="4"/>
  <c r="K854" i="4"/>
  <c r="Z750" i="4"/>
  <c r="K750" i="4"/>
  <c r="T854" i="4"/>
  <c r="E854" i="4"/>
  <c r="T750" i="4"/>
  <c r="E750" i="4"/>
  <c r="X854" i="4"/>
  <c r="Q854" i="4"/>
  <c r="X750" i="4"/>
  <c r="Q750" i="4"/>
  <c r="T646" i="4"/>
  <c r="E646" i="4"/>
  <c r="T542" i="4"/>
  <c r="E542" i="4"/>
  <c r="X646" i="4"/>
  <c r="Q646" i="4"/>
  <c r="X542" i="4"/>
  <c r="Q542" i="4"/>
  <c r="W646" i="4"/>
  <c r="N646" i="4"/>
  <c r="W542" i="4"/>
  <c r="N542" i="4"/>
  <c r="Z646" i="4"/>
  <c r="K646" i="4"/>
  <c r="Z542" i="4"/>
  <c r="K542" i="4"/>
  <c r="V542" i="4" s="1"/>
  <c r="Z438" i="4"/>
  <c r="K438" i="4"/>
  <c r="Z334" i="4"/>
  <c r="K334" i="4"/>
  <c r="T438" i="4"/>
  <c r="E438" i="4"/>
  <c r="T334" i="4"/>
  <c r="E334" i="4"/>
  <c r="X438" i="4"/>
  <c r="Q438" i="4"/>
  <c r="X334" i="4"/>
  <c r="Q334" i="4"/>
  <c r="W438" i="4"/>
  <c r="N438" i="4"/>
  <c r="W334" i="4"/>
  <c r="N334" i="4"/>
  <c r="X230" i="4"/>
  <c r="Q230" i="4"/>
  <c r="X126" i="4"/>
  <c r="Q126" i="4"/>
  <c r="W230" i="4"/>
  <c r="N230" i="4"/>
  <c r="W126" i="4"/>
  <c r="N126" i="4"/>
  <c r="Z230" i="4"/>
  <c r="K230" i="4"/>
  <c r="Z126" i="4"/>
  <c r="K126" i="4"/>
  <c r="T230" i="4"/>
  <c r="E230" i="4"/>
  <c r="T126" i="4"/>
  <c r="E126" i="4"/>
  <c r="X22" i="4"/>
  <c r="Q22" i="4"/>
  <c r="W22" i="4"/>
  <c r="N22" i="4"/>
  <c r="Z22" i="4"/>
  <c r="K22" i="4"/>
  <c r="T22" i="4"/>
  <c r="E22" i="4"/>
  <c r="X1168" i="4"/>
  <c r="Q1168" i="4"/>
  <c r="W1168" i="4"/>
  <c r="N1168" i="4"/>
  <c r="Z1168" i="4"/>
  <c r="K1168" i="4"/>
  <c r="T1168" i="4"/>
  <c r="E1168" i="4"/>
  <c r="X1064" i="4"/>
  <c r="Q1064" i="4"/>
  <c r="W1064" i="4"/>
  <c r="N1064" i="4"/>
  <c r="Z1064" i="4"/>
  <c r="K1064" i="4"/>
  <c r="T1064" i="4"/>
  <c r="E1064" i="4"/>
  <c r="T960" i="4"/>
  <c r="E960" i="4"/>
  <c r="X960" i="4"/>
  <c r="Q960" i="4"/>
  <c r="W960" i="4"/>
  <c r="N960" i="4"/>
  <c r="Z960" i="4"/>
  <c r="K960" i="4"/>
  <c r="W856" i="4"/>
  <c r="N856" i="4"/>
  <c r="W752" i="4"/>
  <c r="N752" i="4"/>
  <c r="Z856" i="4"/>
  <c r="K856" i="4"/>
  <c r="Z752" i="4"/>
  <c r="K752" i="4"/>
  <c r="T856" i="4"/>
  <c r="E856" i="4"/>
  <c r="T752" i="4"/>
  <c r="E752" i="4"/>
  <c r="X856" i="4"/>
  <c r="Q856" i="4"/>
  <c r="X752" i="4"/>
  <c r="Q752" i="4"/>
  <c r="T648" i="4"/>
  <c r="E648" i="4"/>
  <c r="T544" i="4"/>
  <c r="E544" i="4"/>
  <c r="X648" i="4"/>
  <c r="Q648" i="4"/>
  <c r="X544" i="4"/>
  <c r="Q544" i="4"/>
  <c r="W648" i="4"/>
  <c r="N648" i="4"/>
  <c r="W544" i="4"/>
  <c r="N544" i="4"/>
  <c r="Z648" i="4"/>
  <c r="K648" i="4"/>
  <c r="Z544" i="4"/>
  <c r="K544" i="4"/>
  <c r="V544" i="4" s="1"/>
  <c r="Z440" i="4"/>
  <c r="K440" i="4"/>
  <c r="Z336" i="4"/>
  <c r="K336" i="4"/>
  <c r="T440" i="4"/>
  <c r="E440" i="4"/>
  <c r="T336" i="4"/>
  <c r="E336" i="4"/>
  <c r="X440" i="4"/>
  <c r="Q440" i="4"/>
  <c r="X336" i="4"/>
  <c r="Q336" i="4"/>
  <c r="W440" i="4"/>
  <c r="N440" i="4"/>
  <c r="W336" i="4"/>
  <c r="N336" i="4"/>
  <c r="X232" i="4"/>
  <c r="Q232" i="4"/>
  <c r="X128" i="4"/>
  <c r="Q128" i="4"/>
  <c r="W232" i="4"/>
  <c r="N232" i="4"/>
  <c r="W128" i="4"/>
  <c r="N128" i="4"/>
  <c r="Z232" i="4"/>
  <c r="K232" i="4"/>
  <c r="Z128" i="4"/>
  <c r="K128" i="4"/>
  <c r="T232" i="4"/>
  <c r="E232" i="4"/>
  <c r="T128" i="4"/>
  <c r="E128" i="4"/>
  <c r="X24" i="4"/>
  <c r="Q24" i="4"/>
  <c r="W24" i="4"/>
  <c r="N24" i="4"/>
  <c r="Z24" i="4"/>
  <c r="K24" i="4"/>
  <c r="T24" i="4"/>
  <c r="E24" i="4"/>
  <c r="X1170" i="4"/>
  <c r="Q1170" i="4"/>
  <c r="W1170" i="4"/>
  <c r="N1170" i="4"/>
  <c r="Z1170" i="4"/>
  <c r="K1170" i="4"/>
  <c r="T1170" i="4"/>
  <c r="E1170" i="4"/>
  <c r="X1066" i="4"/>
  <c r="Q1066" i="4"/>
  <c r="W1066" i="4"/>
  <c r="N1066" i="4"/>
  <c r="Z1066" i="4"/>
  <c r="K1066" i="4"/>
  <c r="T1066" i="4"/>
  <c r="E1066" i="4"/>
  <c r="T962" i="4"/>
  <c r="E962" i="4"/>
  <c r="X962" i="4"/>
  <c r="Q962" i="4"/>
  <c r="W962" i="4"/>
  <c r="N962" i="4"/>
  <c r="Z962" i="4"/>
  <c r="K962" i="4"/>
  <c r="W858" i="4"/>
  <c r="N858" i="4"/>
  <c r="W754" i="4"/>
  <c r="N754" i="4"/>
  <c r="Z858" i="4"/>
  <c r="K858" i="4"/>
  <c r="Z754" i="4"/>
  <c r="K754" i="4"/>
  <c r="T858" i="4"/>
  <c r="E858" i="4"/>
  <c r="T754" i="4"/>
  <c r="E754" i="4"/>
  <c r="X858" i="4"/>
  <c r="Q858" i="4"/>
  <c r="X754" i="4"/>
  <c r="Q754" i="4"/>
  <c r="T650" i="4"/>
  <c r="E650" i="4"/>
  <c r="T546" i="4"/>
  <c r="E546" i="4"/>
  <c r="X650" i="4"/>
  <c r="Q650" i="4"/>
  <c r="X546" i="4"/>
  <c r="Q546" i="4"/>
  <c r="W650" i="4"/>
  <c r="N650" i="4"/>
  <c r="W546" i="4"/>
  <c r="N546" i="4"/>
  <c r="Z650" i="4"/>
  <c r="K650" i="4"/>
  <c r="Z546" i="4"/>
  <c r="K546" i="4"/>
  <c r="Z442" i="4"/>
  <c r="K442" i="4"/>
  <c r="Z338" i="4"/>
  <c r="K338" i="4"/>
  <c r="T442" i="4"/>
  <c r="E442" i="4"/>
  <c r="T338" i="4"/>
  <c r="E338" i="4"/>
  <c r="X442" i="4"/>
  <c r="Q442" i="4"/>
  <c r="X338" i="4"/>
  <c r="Q338" i="4"/>
  <c r="W442" i="4"/>
  <c r="N442" i="4"/>
  <c r="W338" i="4"/>
  <c r="N338" i="4"/>
  <c r="X234" i="4"/>
  <c r="Q234" i="4"/>
  <c r="X130" i="4"/>
  <c r="Q130" i="4"/>
  <c r="W234" i="4"/>
  <c r="N234" i="4"/>
  <c r="W130" i="4"/>
  <c r="N130" i="4"/>
  <c r="Z234" i="4"/>
  <c r="K234" i="4"/>
  <c r="Z130" i="4"/>
  <c r="K130" i="4"/>
  <c r="T234" i="4"/>
  <c r="E234" i="4"/>
  <c r="T130" i="4"/>
  <c r="E130" i="4"/>
  <c r="X26" i="4"/>
  <c r="Q26" i="4"/>
  <c r="W26" i="4"/>
  <c r="N26" i="4"/>
  <c r="Z26" i="4"/>
  <c r="K26" i="4"/>
  <c r="T26" i="4"/>
  <c r="E26" i="4"/>
  <c r="X1172" i="4"/>
  <c r="Q1172" i="4"/>
  <c r="W1172" i="4"/>
  <c r="N1172" i="4"/>
  <c r="Z1172" i="4"/>
  <c r="K1172" i="4"/>
  <c r="T1172" i="4"/>
  <c r="E1172" i="4"/>
  <c r="X1068" i="4"/>
  <c r="Q1068" i="4"/>
  <c r="W1068" i="4"/>
  <c r="N1068" i="4"/>
  <c r="Z1068" i="4"/>
  <c r="K1068" i="4"/>
  <c r="T1068" i="4"/>
  <c r="E1068" i="4"/>
  <c r="T964" i="4"/>
  <c r="E964" i="4"/>
  <c r="X964" i="4"/>
  <c r="Q964" i="4"/>
  <c r="W964" i="4"/>
  <c r="N964" i="4"/>
  <c r="Z964" i="4"/>
  <c r="K964" i="4"/>
  <c r="W860" i="4"/>
  <c r="N860" i="4"/>
  <c r="W756" i="4"/>
  <c r="N756" i="4"/>
  <c r="Z860" i="4"/>
  <c r="K860" i="4"/>
  <c r="Z756" i="4"/>
  <c r="K756" i="4"/>
  <c r="T860" i="4"/>
  <c r="E860" i="4"/>
  <c r="T756" i="4"/>
  <c r="E756" i="4"/>
  <c r="X860" i="4"/>
  <c r="Q860" i="4"/>
  <c r="X756" i="4"/>
  <c r="Q756" i="4"/>
  <c r="T652" i="4"/>
  <c r="E652" i="4"/>
  <c r="T548" i="4"/>
  <c r="E548" i="4"/>
  <c r="X652" i="4"/>
  <c r="Q652" i="4"/>
  <c r="X548" i="4"/>
  <c r="Q548" i="4"/>
  <c r="W652" i="4"/>
  <c r="N652" i="4"/>
  <c r="W548" i="4"/>
  <c r="N548" i="4"/>
  <c r="Z652" i="4"/>
  <c r="K652" i="4"/>
  <c r="Z548" i="4"/>
  <c r="K548" i="4"/>
  <c r="V548" i="4" s="1"/>
  <c r="Z444" i="4"/>
  <c r="K444" i="4"/>
  <c r="Z340" i="4"/>
  <c r="K340" i="4"/>
  <c r="T444" i="4"/>
  <c r="E444" i="4"/>
  <c r="T340" i="4"/>
  <c r="E340" i="4"/>
  <c r="X444" i="4"/>
  <c r="Q444" i="4"/>
  <c r="X340" i="4"/>
  <c r="Q340" i="4"/>
  <c r="W444" i="4"/>
  <c r="N444" i="4"/>
  <c r="W340" i="4"/>
  <c r="N340" i="4"/>
  <c r="X236" i="4"/>
  <c r="Q236" i="4"/>
  <c r="X132" i="4"/>
  <c r="Q132" i="4"/>
  <c r="W236" i="4"/>
  <c r="N236" i="4"/>
  <c r="W132" i="4"/>
  <c r="N132" i="4"/>
  <c r="Z236" i="4"/>
  <c r="K236" i="4"/>
  <c r="Z132" i="4"/>
  <c r="K132" i="4"/>
  <c r="T236" i="4"/>
  <c r="E236" i="4"/>
  <c r="T132" i="4"/>
  <c r="E132" i="4"/>
  <c r="X28" i="4"/>
  <c r="Q28" i="4"/>
  <c r="W28" i="4"/>
  <c r="N28" i="4"/>
  <c r="Z28" i="4"/>
  <c r="K28" i="4"/>
  <c r="T28" i="4"/>
  <c r="E28" i="4"/>
  <c r="X1174" i="4"/>
  <c r="Q1174" i="4"/>
  <c r="W1174" i="4"/>
  <c r="N1174" i="4"/>
  <c r="Z1174" i="4"/>
  <c r="K1174" i="4"/>
  <c r="T1174" i="4"/>
  <c r="E1174" i="4"/>
  <c r="X1070" i="4"/>
  <c r="Q1070" i="4"/>
  <c r="W1070" i="4"/>
  <c r="N1070" i="4"/>
  <c r="Z1070" i="4"/>
  <c r="K1070" i="4"/>
  <c r="T1070" i="4"/>
  <c r="E1070" i="4"/>
  <c r="T966" i="4"/>
  <c r="E966" i="4"/>
  <c r="X966" i="4"/>
  <c r="Q966" i="4"/>
  <c r="W966" i="4"/>
  <c r="N966" i="4"/>
  <c r="Z966" i="4"/>
  <c r="K966" i="4"/>
  <c r="W862" i="4"/>
  <c r="N862" i="4"/>
  <c r="W758" i="4"/>
  <c r="N758" i="4"/>
  <c r="Z862" i="4"/>
  <c r="K862" i="4"/>
  <c r="Z758" i="4"/>
  <c r="K758" i="4"/>
  <c r="T862" i="4"/>
  <c r="E862" i="4"/>
  <c r="T758" i="4"/>
  <c r="E758" i="4"/>
  <c r="X862" i="4"/>
  <c r="Q862" i="4"/>
  <c r="X758" i="4"/>
  <c r="Q758" i="4"/>
  <c r="T654" i="4"/>
  <c r="E654" i="4"/>
  <c r="T550" i="4"/>
  <c r="E550" i="4"/>
  <c r="X654" i="4"/>
  <c r="Q654" i="4"/>
  <c r="X550" i="4"/>
  <c r="Q550" i="4"/>
  <c r="W654" i="4"/>
  <c r="N654" i="4"/>
  <c r="W550" i="4"/>
  <c r="N550" i="4"/>
  <c r="Z654" i="4"/>
  <c r="K654" i="4"/>
  <c r="Z550" i="4"/>
  <c r="K550" i="4"/>
  <c r="V550" i="4" s="1"/>
  <c r="Z446" i="4"/>
  <c r="K446" i="4"/>
  <c r="Z342" i="4"/>
  <c r="K342" i="4"/>
  <c r="T446" i="4"/>
  <c r="E446" i="4"/>
  <c r="T342" i="4"/>
  <c r="E342" i="4"/>
  <c r="X446" i="4"/>
  <c r="Q446" i="4"/>
  <c r="X342" i="4"/>
  <c r="Q342" i="4"/>
  <c r="W446" i="4"/>
  <c r="N446" i="4"/>
  <c r="W342" i="4"/>
  <c r="N342" i="4"/>
  <c r="X238" i="4"/>
  <c r="Q238" i="4"/>
  <c r="X134" i="4"/>
  <c r="Q134" i="4"/>
  <c r="W238" i="4"/>
  <c r="N238" i="4"/>
  <c r="W134" i="4"/>
  <c r="N134" i="4"/>
  <c r="Z238" i="4"/>
  <c r="K238" i="4"/>
  <c r="Z134" i="4"/>
  <c r="K134" i="4"/>
  <c r="T238" i="4"/>
  <c r="E238" i="4"/>
  <c r="T134" i="4"/>
  <c r="E134" i="4"/>
  <c r="X30" i="4"/>
  <c r="Q30" i="4"/>
  <c r="W30" i="4"/>
  <c r="N30" i="4"/>
  <c r="Z30" i="4"/>
  <c r="K30" i="4"/>
  <c r="T30" i="4"/>
  <c r="E30" i="4"/>
  <c r="X1176" i="4"/>
  <c r="Q1176" i="4"/>
  <c r="W1176" i="4"/>
  <c r="N1176" i="4"/>
  <c r="Z1176" i="4"/>
  <c r="K1176" i="4"/>
  <c r="T1176" i="4"/>
  <c r="E1176" i="4"/>
  <c r="X1072" i="4"/>
  <c r="Q1072" i="4"/>
  <c r="W1072" i="4"/>
  <c r="N1072" i="4"/>
  <c r="Z1072" i="4"/>
  <c r="K1072" i="4"/>
  <c r="T1072" i="4"/>
  <c r="E1072" i="4"/>
  <c r="T968" i="4"/>
  <c r="E968" i="4"/>
  <c r="X968" i="4"/>
  <c r="Q968" i="4"/>
  <c r="W968" i="4"/>
  <c r="N968" i="4"/>
  <c r="Z968" i="4"/>
  <c r="K968" i="4"/>
  <c r="W864" i="4"/>
  <c r="N864" i="4"/>
  <c r="W760" i="4"/>
  <c r="N760" i="4"/>
  <c r="Z864" i="4"/>
  <c r="K864" i="4"/>
  <c r="Z760" i="4"/>
  <c r="K760" i="4"/>
  <c r="T864" i="4"/>
  <c r="E864" i="4"/>
  <c r="T760" i="4"/>
  <c r="E760" i="4"/>
  <c r="X864" i="4"/>
  <c r="Q864" i="4"/>
  <c r="X760" i="4"/>
  <c r="Q760" i="4"/>
  <c r="T656" i="4"/>
  <c r="E656" i="4"/>
  <c r="T552" i="4"/>
  <c r="E552" i="4"/>
  <c r="X656" i="4"/>
  <c r="Q656" i="4"/>
  <c r="X552" i="4"/>
  <c r="Q552" i="4"/>
  <c r="W656" i="4"/>
  <c r="N656" i="4"/>
  <c r="W552" i="4"/>
  <c r="N552" i="4"/>
  <c r="Z656" i="4"/>
  <c r="K656" i="4"/>
  <c r="Z552" i="4"/>
  <c r="K552" i="4"/>
  <c r="V552" i="4" s="1"/>
  <c r="Z448" i="4"/>
  <c r="K448" i="4"/>
  <c r="Z344" i="4"/>
  <c r="K344" i="4"/>
  <c r="T448" i="4"/>
  <c r="E448" i="4"/>
  <c r="T344" i="4"/>
  <c r="E344" i="4"/>
  <c r="X448" i="4"/>
  <c r="Q448" i="4"/>
  <c r="X344" i="4"/>
  <c r="Q344" i="4"/>
  <c r="W448" i="4"/>
  <c r="N448" i="4"/>
  <c r="W344" i="4"/>
  <c r="N344" i="4"/>
  <c r="X240" i="4"/>
  <c r="Q240" i="4"/>
  <c r="X136" i="4"/>
  <c r="Q136" i="4"/>
  <c r="W240" i="4"/>
  <c r="N240" i="4"/>
  <c r="W136" i="4"/>
  <c r="N136" i="4"/>
  <c r="Z240" i="4"/>
  <c r="K240" i="4"/>
  <c r="Z136" i="4"/>
  <c r="K136" i="4"/>
  <c r="T240" i="4"/>
  <c r="E240" i="4"/>
  <c r="T136" i="4"/>
  <c r="E136" i="4"/>
  <c r="X32" i="4"/>
  <c r="Q32" i="4"/>
  <c r="W32" i="4"/>
  <c r="N32" i="4"/>
  <c r="Z32" i="4"/>
  <c r="K32" i="4"/>
  <c r="T32" i="4"/>
  <c r="E32" i="4"/>
  <c r="X1178" i="4"/>
  <c r="Q1178" i="4"/>
  <c r="W1178" i="4"/>
  <c r="N1178" i="4"/>
  <c r="Z1178" i="4"/>
  <c r="K1178" i="4"/>
  <c r="T1178" i="4"/>
  <c r="E1178" i="4"/>
  <c r="X1074" i="4"/>
  <c r="Q1074" i="4"/>
  <c r="W1074" i="4"/>
  <c r="N1074" i="4"/>
  <c r="Z1074" i="4"/>
  <c r="K1074" i="4"/>
  <c r="T1074" i="4"/>
  <c r="E1074" i="4"/>
  <c r="T970" i="4"/>
  <c r="E970" i="4"/>
  <c r="X970" i="4"/>
  <c r="Q970" i="4"/>
  <c r="W970" i="4"/>
  <c r="N970" i="4"/>
  <c r="Z970" i="4"/>
  <c r="K970" i="4"/>
  <c r="W866" i="4"/>
  <c r="N866" i="4"/>
  <c r="W762" i="4"/>
  <c r="N762" i="4"/>
  <c r="Z866" i="4"/>
  <c r="K866" i="4"/>
  <c r="Z762" i="4"/>
  <c r="K762" i="4"/>
  <c r="T866" i="4"/>
  <c r="E866" i="4"/>
  <c r="T762" i="4"/>
  <c r="E762" i="4"/>
  <c r="X866" i="4"/>
  <c r="Q866" i="4"/>
  <c r="X762" i="4"/>
  <c r="Q762" i="4"/>
  <c r="T658" i="4"/>
  <c r="E658" i="4"/>
  <c r="T554" i="4"/>
  <c r="E554" i="4"/>
  <c r="X658" i="4"/>
  <c r="Q658" i="4"/>
  <c r="X554" i="4"/>
  <c r="Q554" i="4"/>
  <c r="W658" i="4"/>
  <c r="N658" i="4"/>
  <c r="W554" i="4"/>
  <c r="N554" i="4"/>
  <c r="Z658" i="4"/>
  <c r="K658" i="4"/>
  <c r="Z554" i="4"/>
  <c r="K554" i="4"/>
  <c r="V554" i="4" s="1"/>
  <c r="Z450" i="4"/>
  <c r="K450" i="4"/>
  <c r="Z346" i="4"/>
  <c r="K346" i="4"/>
  <c r="T450" i="4"/>
  <c r="E450" i="4"/>
  <c r="T346" i="4"/>
  <c r="E346" i="4"/>
  <c r="X450" i="4"/>
  <c r="Q450" i="4"/>
  <c r="X346" i="4"/>
  <c r="Q346" i="4"/>
  <c r="W450" i="4"/>
  <c r="N450" i="4"/>
  <c r="W346" i="4"/>
  <c r="N346" i="4"/>
  <c r="X242" i="4"/>
  <c r="Q242" i="4"/>
  <c r="X138" i="4"/>
  <c r="Q138" i="4"/>
  <c r="W242" i="4"/>
  <c r="N242" i="4"/>
  <c r="W138" i="4"/>
  <c r="N138" i="4"/>
  <c r="Z242" i="4"/>
  <c r="K242" i="4"/>
  <c r="Z138" i="4"/>
  <c r="K138" i="4"/>
  <c r="T242" i="4"/>
  <c r="E242" i="4"/>
  <c r="T138" i="4"/>
  <c r="E138" i="4"/>
  <c r="X34" i="4"/>
  <c r="Q34" i="4"/>
  <c r="W34" i="4"/>
  <c r="N34" i="4"/>
  <c r="Z34" i="4"/>
  <c r="K34" i="4"/>
  <c r="T34" i="4"/>
  <c r="E34" i="4"/>
  <c r="X1180" i="4"/>
  <c r="Q1180" i="4"/>
  <c r="W1180" i="4"/>
  <c r="N1180" i="4"/>
  <c r="Z1180" i="4"/>
  <c r="K1180" i="4"/>
  <c r="T1180" i="4"/>
  <c r="E1180" i="4"/>
  <c r="X1076" i="4"/>
  <c r="Q1076" i="4"/>
  <c r="W1076" i="4"/>
  <c r="N1076" i="4"/>
  <c r="Z1076" i="4"/>
  <c r="K1076" i="4"/>
  <c r="T1076" i="4"/>
  <c r="E1076" i="4"/>
  <c r="T972" i="4"/>
  <c r="E972" i="4"/>
  <c r="X972" i="4"/>
  <c r="Q972" i="4"/>
  <c r="W972" i="4"/>
  <c r="N972" i="4"/>
  <c r="Z972" i="4"/>
  <c r="K972" i="4"/>
  <c r="W868" i="4"/>
  <c r="N868" i="4"/>
  <c r="W764" i="4"/>
  <c r="N764" i="4"/>
  <c r="Z868" i="4"/>
  <c r="K868" i="4"/>
  <c r="Z764" i="4"/>
  <c r="K764" i="4"/>
  <c r="T868" i="4"/>
  <c r="E868" i="4"/>
  <c r="T764" i="4"/>
  <c r="E764" i="4"/>
  <c r="X868" i="4"/>
  <c r="Q868" i="4"/>
  <c r="X764" i="4"/>
  <c r="Q764" i="4"/>
  <c r="T660" i="4"/>
  <c r="E660" i="4"/>
  <c r="T556" i="4"/>
  <c r="E556" i="4"/>
  <c r="X660" i="4"/>
  <c r="Q660" i="4"/>
  <c r="X556" i="4"/>
  <c r="Q556" i="4"/>
  <c r="W660" i="4"/>
  <c r="N660" i="4"/>
  <c r="W556" i="4"/>
  <c r="N556" i="4"/>
  <c r="Z660" i="4"/>
  <c r="K660" i="4"/>
  <c r="Z556" i="4"/>
  <c r="K556" i="4"/>
  <c r="V556" i="4" s="1"/>
  <c r="Z452" i="4"/>
  <c r="K452" i="4"/>
  <c r="Z348" i="4"/>
  <c r="K348" i="4"/>
  <c r="T452" i="4"/>
  <c r="E452" i="4"/>
  <c r="T348" i="4"/>
  <c r="E348" i="4"/>
  <c r="X452" i="4"/>
  <c r="Q452" i="4"/>
  <c r="X348" i="4"/>
  <c r="Q348" i="4"/>
  <c r="W452" i="4"/>
  <c r="N452" i="4"/>
  <c r="W348" i="4"/>
  <c r="N348" i="4"/>
  <c r="X244" i="4"/>
  <c r="Q244" i="4"/>
  <c r="X140" i="4"/>
  <c r="Q140" i="4"/>
  <c r="W244" i="4"/>
  <c r="N244" i="4"/>
  <c r="W140" i="4"/>
  <c r="N140" i="4"/>
  <c r="Z244" i="4"/>
  <c r="K244" i="4"/>
  <c r="Z140" i="4"/>
  <c r="K140" i="4"/>
  <c r="T244" i="4"/>
  <c r="E244" i="4"/>
  <c r="T140" i="4"/>
  <c r="E140" i="4"/>
  <c r="X36" i="4"/>
  <c r="Q36" i="4"/>
  <c r="W36" i="4"/>
  <c r="N36" i="4"/>
  <c r="Z36" i="4"/>
  <c r="K36" i="4"/>
  <c r="T36" i="4"/>
  <c r="E36" i="4"/>
  <c r="X1182" i="4"/>
  <c r="Q1182" i="4"/>
  <c r="W1182" i="4"/>
  <c r="N1182" i="4"/>
  <c r="Z1182" i="4"/>
  <c r="K1182" i="4"/>
  <c r="T1182" i="4"/>
  <c r="E1182" i="4"/>
  <c r="X1078" i="4"/>
  <c r="Q1078" i="4"/>
  <c r="W1078" i="4"/>
  <c r="N1078" i="4"/>
  <c r="Z1078" i="4"/>
  <c r="K1078" i="4"/>
  <c r="T1078" i="4"/>
  <c r="E1078" i="4"/>
  <c r="T974" i="4"/>
  <c r="E974" i="4"/>
  <c r="X974" i="4"/>
  <c r="Q974" i="4"/>
  <c r="W974" i="4"/>
  <c r="N974" i="4"/>
  <c r="Z974" i="4"/>
  <c r="K974" i="4"/>
  <c r="W870" i="4"/>
  <c r="N870" i="4"/>
  <c r="W766" i="4"/>
  <c r="N766" i="4"/>
  <c r="Z870" i="4"/>
  <c r="K870" i="4"/>
  <c r="Z766" i="4"/>
  <c r="K766" i="4"/>
  <c r="T870" i="4"/>
  <c r="E870" i="4"/>
  <c r="T766" i="4"/>
  <c r="E766" i="4"/>
  <c r="X870" i="4"/>
  <c r="Q870" i="4"/>
  <c r="X766" i="4"/>
  <c r="Q766" i="4"/>
  <c r="T662" i="4"/>
  <c r="E662" i="4"/>
  <c r="T558" i="4"/>
  <c r="E558" i="4"/>
  <c r="X662" i="4"/>
  <c r="Q662" i="4"/>
  <c r="X558" i="4"/>
  <c r="Q558" i="4"/>
  <c r="W662" i="4"/>
  <c r="N662" i="4"/>
  <c r="W558" i="4"/>
  <c r="N558" i="4"/>
  <c r="Z662" i="4"/>
  <c r="K662" i="4"/>
  <c r="Z558" i="4"/>
  <c r="K558" i="4"/>
  <c r="V558" i="4" s="1"/>
  <c r="Z454" i="4"/>
  <c r="K454" i="4"/>
  <c r="Z350" i="4"/>
  <c r="K350" i="4"/>
  <c r="T454" i="4"/>
  <c r="E454" i="4"/>
  <c r="T350" i="4"/>
  <c r="E350" i="4"/>
  <c r="X454" i="4"/>
  <c r="Q454" i="4"/>
  <c r="X350" i="4"/>
  <c r="Q350" i="4"/>
  <c r="W454" i="4"/>
  <c r="N454" i="4"/>
  <c r="W350" i="4"/>
  <c r="N350" i="4"/>
  <c r="X246" i="4"/>
  <c r="Q246" i="4"/>
  <c r="X142" i="4"/>
  <c r="Q142" i="4"/>
  <c r="W246" i="4"/>
  <c r="N246" i="4"/>
  <c r="W142" i="4"/>
  <c r="N142" i="4"/>
  <c r="Z246" i="4"/>
  <c r="K246" i="4"/>
  <c r="Z142" i="4"/>
  <c r="K142" i="4"/>
  <c r="T246" i="4"/>
  <c r="E246" i="4"/>
  <c r="T142" i="4"/>
  <c r="E142" i="4"/>
  <c r="X38" i="4"/>
  <c r="Q38" i="4"/>
  <c r="W38" i="4"/>
  <c r="N38" i="4"/>
  <c r="Z38" i="4"/>
  <c r="K38" i="4"/>
  <c r="T38" i="4"/>
  <c r="E38" i="4"/>
  <c r="X1184" i="4"/>
  <c r="Q1184" i="4"/>
  <c r="W1184" i="4"/>
  <c r="N1184" i="4"/>
  <c r="Z1184" i="4"/>
  <c r="K1184" i="4"/>
  <c r="T1184" i="4"/>
  <c r="E1184" i="4"/>
  <c r="X1080" i="4"/>
  <c r="Q1080" i="4"/>
  <c r="W1080" i="4"/>
  <c r="N1080" i="4"/>
  <c r="Z1080" i="4"/>
  <c r="K1080" i="4"/>
  <c r="T1080" i="4"/>
  <c r="E1080" i="4"/>
  <c r="T976" i="4"/>
  <c r="E976" i="4"/>
  <c r="X976" i="4"/>
  <c r="Q976" i="4"/>
  <c r="W976" i="4"/>
  <c r="N976" i="4"/>
  <c r="Z976" i="4"/>
  <c r="K976" i="4"/>
  <c r="W872" i="4"/>
  <c r="N872" i="4"/>
  <c r="W768" i="4"/>
  <c r="N768" i="4"/>
  <c r="Z872" i="4"/>
  <c r="K872" i="4"/>
  <c r="Z768" i="4"/>
  <c r="K768" i="4"/>
  <c r="T872" i="4"/>
  <c r="E872" i="4"/>
  <c r="T768" i="4"/>
  <c r="E768" i="4"/>
  <c r="X872" i="4"/>
  <c r="Q872" i="4"/>
  <c r="X768" i="4"/>
  <c r="Q768" i="4"/>
  <c r="T664" i="4"/>
  <c r="E664" i="4"/>
  <c r="T560" i="4"/>
  <c r="E560" i="4"/>
  <c r="X664" i="4"/>
  <c r="Q664" i="4"/>
  <c r="X560" i="4"/>
  <c r="Q560" i="4"/>
  <c r="W664" i="4"/>
  <c r="N664" i="4"/>
  <c r="W560" i="4"/>
  <c r="N560" i="4"/>
  <c r="Z664" i="4"/>
  <c r="K664" i="4"/>
  <c r="Z560" i="4"/>
  <c r="K560" i="4"/>
  <c r="V560" i="4" s="1"/>
  <c r="Z456" i="4"/>
  <c r="K456" i="4"/>
  <c r="Z352" i="4"/>
  <c r="K352" i="4"/>
  <c r="T456" i="4"/>
  <c r="E456" i="4"/>
  <c r="T352" i="4"/>
  <c r="E352" i="4"/>
  <c r="X456" i="4"/>
  <c r="Q456" i="4"/>
  <c r="X352" i="4"/>
  <c r="Q352" i="4"/>
  <c r="W456" i="4"/>
  <c r="N456" i="4"/>
  <c r="W352" i="4"/>
  <c r="N352" i="4"/>
  <c r="X248" i="4"/>
  <c r="Q248" i="4"/>
  <c r="X144" i="4"/>
  <c r="Q144" i="4"/>
  <c r="W248" i="4"/>
  <c r="N248" i="4"/>
  <c r="W144" i="4"/>
  <c r="N144" i="4"/>
  <c r="Z248" i="4"/>
  <c r="K248" i="4"/>
  <c r="Z144" i="4"/>
  <c r="K144" i="4"/>
  <c r="T248" i="4"/>
  <c r="E248" i="4"/>
  <c r="T144" i="4"/>
  <c r="E144" i="4"/>
  <c r="X40" i="4"/>
  <c r="Q40" i="4"/>
  <c r="W40" i="4"/>
  <c r="N40" i="4"/>
  <c r="Z40" i="4"/>
  <c r="K40" i="4"/>
  <c r="T40" i="4"/>
  <c r="E40" i="4"/>
  <c r="X1186" i="4"/>
  <c r="Q1186" i="4"/>
  <c r="W1186" i="4"/>
  <c r="N1186" i="4"/>
  <c r="Z1186" i="4"/>
  <c r="K1186" i="4"/>
  <c r="T1186" i="4"/>
  <c r="E1186" i="4"/>
  <c r="X1082" i="4"/>
  <c r="Q1082" i="4"/>
  <c r="W1082" i="4"/>
  <c r="N1082" i="4"/>
  <c r="Z1082" i="4"/>
  <c r="K1082" i="4"/>
  <c r="T1082" i="4"/>
  <c r="E1082" i="4"/>
  <c r="T978" i="4"/>
  <c r="E978" i="4"/>
  <c r="X978" i="4"/>
  <c r="Q978" i="4"/>
  <c r="W978" i="4"/>
  <c r="N978" i="4"/>
  <c r="Z978" i="4"/>
  <c r="K978" i="4"/>
  <c r="W874" i="4"/>
  <c r="N874" i="4"/>
  <c r="W770" i="4"/>
  <c r="N770" i="4"/>
  <c r="Z874" i="4"/>
  <c r="K874" i="4"/>
  <c r="Z770" i="4"/>
  <c r="K770" i="4"/>
  <c r="T874" i="4"/>
  <c r="E874" i="4"/>
  <c r="T770" i="4"/>
  <c r="E770" i="4"/>
  <c r="X874" i="4"/>
  <c r="Q874" i="4"/>
  <c r="X770" i="4"/>
  <c r="Q770" i="4"/>
  <c r="T666" i="4"/>
  <c r="E666" i="4"/>
  <c r="T562" i="4"/>
  <c r="E562" i="4"/>
  <c r="X666" i="4"/>
  <c r="Q666" i="4"/>
  <c r="X562" i="4"/>
  <c r="Q562" i="4"/>
  <c r="W666" i="4"/>
  <c r="N666" i="4"/>
  <c r="W562" i="4"/>
  <c r="N562" i="4"/>
  <c r="Z666" i="4"/>
  <c r="K666" i="4"/>
  <c r="Z562" i="4"/>
  <c r="K562" i="4"/>
  <c r="V562" i="4" s="1"/>
  <c r="Z458" i="4"/>
  <c r="K458" i="4"/>
  <c r="Z354" i="4"/>
  <c r="K354" i="4"/>
  <c r="T458" i="4"/>
  <c r="E458" i="4"/>
  <c r="T354" i="4"/>
  <c r="E354" i="4"/>
  <c r="X458" i="4"/>
  <c r="Q458" i="4"/>
  <c r="X354" i="4"/>
  <c r="Q354" i="4"/>
  <c r="W458" i="4"/>
  <c r="N458" i="4"/>
  <c r="W354" i="4"/>
  <c r="N354" i="4"/>
  <c r="X250" i="4"/>
  <c r="Q250" i="4"/>
  <c r="X146" i="4"/>
  <c r="Q146" i="4"/>
  <c r="W250" i="4"/>
  <c r="N250" i="4"/>
  <c r="W146" i="4"/>
  <c r="N146" i="4"/>
  <c r="Z250" i="4"/>
  <c r="K250" i="4"/>
  <c r="Z146" i="4"/>
  <c r="K146" i="4"/>
  <c r="T250" i="4"/>
  <c r="E250" i="4"/>
  <c r="T146" i="4"/>
  <c r="E146" i="4"/>
  <c r="X42" i="4"/>
  <c r="Q42" i="4"/>
  <c r="W42" i="4"/>
  <c r="N42" i="4"/>
  <c r="Z42" i="4"/>
  <c r="K42" i="4"/>
  <c r="T42" i="4"/>
  <c r="E42" i="4"/>
  <c r="X1188" i="4"/>
  <c r="Q1188" i="4"/>
  <c r="W1188" i="4"/>
  <c r="N1188" i="4"/>
  <c r="Z1188" i="4"/>
  <c r="K1188" i="4"/>
  <c r="T1188" i="4"/>
  <c r="E1188" i="4"/>
  <c r="X1084" i="4"/>
  <c r="Q1084" i="4"/>
  <c r="W1084" i="4"/>
  <c r="N1084" i="4"/>
  <c r="Z1084" i="4"/>
  <c r="K1084" i="4"/>
  <c r="T1084" i="4"/>
  <c r="E1084" i="4"/>
  <c r="T980" i="4"/>
  <c r="E980" i="4"/>
  <c r="X980" i="4"/>
  <c r="Q980" i="4"/>
  <c r="W980" i="4"/>
  <c r="N980" i="4"/>
  <c r="Z980" i="4"/>
  <c r="K980" i="4"/>
  <c r="W876" i="4"/>
  <c r="N876" i="4"/>
  <c r="W772" i="4"/>
  <c r="N772" i="4"/>
  <c r="Z876" i="4"/>
  <c r="K876" i="4"/>
  <c r="Z772" i="4"/>
  <c r="K772" i="4"/>
  <c r="T876" i="4"/>
  <c r="E876" i="4"/>
  <c r="T772" i="4"/>
  <c r="E772" i="4"/>
  <c r="X876" i="4"/>
  <c r="Q876" i="4"/>
  <c r="X772" i="4"/>
  <c r="Q772" i="4"/>
  <c r="T668" i="4"/>
  <c r="E668" i="4"/>
  <c r="T564" i="4"/>
  <c r="E564" i="4"/>
  <c r="X668" i="4"/>
  <c r="Q668" i="4"/>
  <c r="X564" i="4"/>
  <c r="Q564" i="4"/>
  <c r="W668" i="4"/>
  <c r="N668" i="4"/>
  <c r="W564" i="4"/>
  <c r="N564" i="4"/>
  <c r="Z668" i="4"/>
  <c r="K668" i="4"/>
  <c r="Z564" i="4"/>
  <c r="K564" i="4"/>
  <c r="V564" i="4" s="1"/>
  <c r="Z460" i="4"/>
  <c r="K460" i="4"/>
  <c r="Z356" i="4"/>
  <c r="K356" i="4"/>
  <c r="T460" i="4"/>
  <c r="E460" i="4"/>
  <c r="T356" i="4"/>
  <c r="E356" i="4"/>
  <c r="X460" i="4"/>
  <c r="Q460" i="4"/>
  <c r="X356" i="4"/>
  <c r="Q356" i="4"/>
  <c r="W460" i="4"/>
  <c r="N460" i="4"/>
  <c r="W356" i="4"/>
  <c r="N356" i="4"/>
  <c r="X252" i="4"/>
  <c r="Q252" i="4"/>
  <c r="X148" i="4"/>
  <c r="Q148" i="4"/>
  <c r="W252" i="4"/>
  <c r="N252" i="4"/>
  <c r="W148" i="4"/>
  <c r="N148" i="4"/>
  <c r="Z252" i="4"/>
  <c r="K252" i="4"/>
  <c r="Z148" i="4"/>
  <c r="K148" i="4"/>
  <c r="T252" i="4"/>
  <c r="E252" i="4"/>
  <c r="T148" i="4"/>
  <c r="E148" i="4"/>
  <c r="X44" i="4"/>
  <c r="Q44" i="4"/>
  <c r="W44" i="4"/>
  <c r="N44" i="4"/>
  <c r="Z44" i="4"/>
  <c r="K44" i="4"/>
  <c r="T44" i="4"/>
  <c r="E44" i="4"/>
  <c r="X1190" i="4"/>
  <c r="Q1190" i="4"/>
  <c r="W1190" i="4"/>
  <c r="N1190" i="4"/>
  <c r="Z1190" i="4"/>
  <c r="K1190" i="4"/>
  <c r="T1190" i="4"/>
  <c r="E1190" i="4"/>
  <c r="X1086" i="4"/>
  <c r="Q1086" i="4"/>
  <c r="W1086" i="4"/>
  <c r="N1086" i="4"/>
  <c r="Z1086" i="4"/>
  <c r="K1086" i="4"/>
  <c r="T1086" i="4"/>
  <c r="E1086" i="4"/>
  <c r="T982" i="4"/>
  <c r="E982" i="4"/>
  <c r="X982" i="4"/>
  <c r="Q982" i="4"/>
  <c r="W982" i="4"/>
  <c r="N982" i="4"/>
  <c r="Z982" i="4"/>
  <c r="K982" i="4"/>
  <c r="W878" i="4"/>
  <c r="N878" i="4"/>
  <c r="W774" i="4"/>
  <c r="N774" i="4"/>
  <c r="Z878" i="4"/>
  <c r="K878" i="4"/>
  <c r="Z774" i="4"/>
  <c r="K774" i="4"/>
  <c r="T878" i="4"/>
  <c r="E878" i="4"/>
  <c r="T774" i="4"/>
  <c r="E774" i="4"/>
  <c r="X878" i="4"/>
  <c r="Q878" i="4"/>
  <c r="X774" i="4"/>
  <c r="Q774" i="4"/>
  <c r="T670" i="4"/>
  <c r="E670" i="4"/>
  <c r="T566" i="4"/>
  <c r="E566" i="4"/>
  <c r="X670" i="4"/>
  <c r="Q670" i="4"/>
  <c r="X566" i="4"/>
  <c r="Q566" i="4"/>
  <c r="W670" i="4"/>
  <c r="N670" i="4"/>
  <c r="W566" i="4"/>
  <c r="N566" i="4"/>
  <c r="Z670" i="4"/>
  <c r="K670" i="4"/>
  <c r="Z566" i="4"/>
  <c r="K566" i="4"/>
  <c r="Z462" i="4"/>
  <c r="K462" i="4"/>
  <c r="Z358" i="4"/>
  <c r="K358" i="4"/>
  <c r="T462" i="4"/>
  <c r="E462" i="4"/>
  <c r="T358" i="4"/>
  <c r="E358" i="4"/>
  <c r="X462" i="4"/>
  <c r="Q462" i="4"/>
  <c r="X358" i="4"/>
  <c r="Q358" i="4"/>
  <c r="W462" i="4"/>
  <c r="N462" i="4"/>
  <c r="W358" i="4"/>
  <c r="N358" i="4"/>
  <c r="X254" i="4"/>
  <c r="Q254" i="4"/>
  <c r="X150" i="4"/>
  <c r="Q150" i="4"/>
  <c r="W254" i="4"/>
  <c r="N254" i="4"/>
  <c r="W150" i="4"/>
  <c r="N150" i="4"/>
  <c r="Z254" i="4"/>
  <c r="K254" i="4"/>
  <c r="Z150" i="4"/>
  <c r="K150" i="4"/>
  <c r="T254" i="4"/>
  <c r="E254" i="4"/>
  <c r="T150" i="4"/>
  <c r="E150" i="4"/>
  <c r="X46" i="4"/>
  <c r="Q46" i="4"/>
  <c r="W46" i="4"/>
  <c r="N46" i="4"/>
  <c r="Z46" i="4"/>
  <c r="K46" i="4"/>
  <c r="T46" i="4"/>
  <c r="E46" i="4"/>
  <c r="X1192" i="4"/>
  <c r="Q1192" i="4"/>
  <c r="W1192" i="4"/>
  <c r="N1192" i="4"/>
  <c r="Z1192" i="4"/>
  <c r="K1192" i="4"/>
  <c r="T1192" i="4"/>
  <c r="E1192" i="4"/>
  <c r="X1088" i="4"/>
  <c r="Q1088" i="4"/>
  <c r="W1088" i="4"/>
  <c r="N1088" i="4"/>
  <c r="Z1088" i="4"/>
  <c r="K1088" i="4"/>
  <c r="T1088" i="4"/>
  <c r="E1088" i="4"/>
  <c r="T984" i="4"/>
  <c r="E984" i="4"/>
  <c r="X984" i="4"/>
  <c r="Q984" i="4"/>
  <c r="W984" i="4"/>
  <c r="N984" i="4"/>
  <c r="Z984" i="4"/>
  <c r="K984" i="4"/>
  <c r="W880" i="4"/>
  <c r="N880" i="4"/>
  <c r="W776" i="4"/>
  <c r="N776" i="4"/>
  <c r="Z880" i="4"/>
  <c r="K880" i="4"/>
  <c r="Z776" i="4"/>
  <c r="K776" i="4"/>
  <c r="T880" i="4"/>
  <c r="E880" i="4"/>
  <c r="T776" i="4"/>
  <c r="E776" i="4"/>
  <c r="X880" i="4"/>
  <c r="Q880" i="4"/>
  <c r="X776" i="4"/>
  <c r="Q776" i="4"/>
  <c r="T672" i="4"/>
  <c r="E672" i="4"/>
  <c r="T568" i="4"/>
  <c r="E568" i="4"/>
  <c r="X672" i="4"/>
  <c r="Q672" i="4"/>
  <c r="X568" i="4"/>
  <c r="Q568" i="4"/>
  <c r="W672" i="4"/>
  <c r="N672" i="4"/>
  <c r="W568" i="4"/>
  <c r="N568" i="4"/>
  <c r="Z672" i="4"/>
  <c r="K672" i="4"/>
  <c r="Z568" i="4"/>
  <c r="K568" i="4"/>
  <c r="Z464" i="4"/>
  <c r="K464" i="4"/>
  <c r="Z360" i="4"/>
  <c r="K360" i="4"/>
  <c r="T464" i="4"/>
  <c r="E464" i="4"/>
  <c r="T360" i="4"/>
  <c r="E360" i="4"/>
  <c r="X464" i="4"/>
  <c r="Q464" i="4"/>
  <c r="X360" i="4"/>
  <c r="Q360" i="4"/>
  <c r="W464" i="4"/>
  <c r="N464" i="4"/>
  <c r="W360" i="4"/>
  <c r="N360" i="4"/>
  <c r="X256" i="4"/>
  <c r="Q256" i="4"/>
  <c r="X152" i="4"/>
  <c r="Q152" i="4"/>
  <c r="W256" i="4"/>
  <c r="N256" i="4"/>
  <c r="W152" i="4"/>
  <c r="N152" i="4"/>
  <c r="Z256" i="4"/>
  <c r="K256" i="4"/>
  <c r="Z152" i="4"/>
  <c r="K152" i="4"/>
  <c r="T256" i="4"/>
  <c r="E256" i="4"/>
  <c r="T152" i="4"/>
  <c r="E152" i="4"/>
  <c r="X48" i="4"/>
  <c r="Q48" i="4"/>
  <c r="W48" i="4"/>
  <c r="N48" i="4"/>
  <c r="Z48" i="4"/>
  <c r="K48" i="4"/>
  <c r="T48" i="4"/>
  <c r="E48" i="4"/>
  <c r="X1194" i="4"/>
  <c r="Q1194" i="4"/>
  <c r="W1194" i="4"/>
  <c r="N1194" i="4"/>
  <c r="Z1194" i="4"/>
  <c r="K1194" i="4"/>
  <c r="T1194" i="4"/>
  <c r="E1194" i="4"/>
  <c r="X1090" i="4"/>
  <c r="Q1090" i="4"/>
  <c r="W1090" i="4"/>
  <c r="N1090" i="4"/>
  <c r="Z1090" i="4"/>
  <c r="K1090" i="4"/>
  <c r="T1090" i="4"/>
  <c r="E1090" i="4"/>
  <c r="T986" i="4"/>
  <c r="E986" i="4"/>
  <c r="X986" i="4"/>
  <c r="Q986" i="4"/>
  <c r="W986" i="4"/>
  <c r="N986" i="4"/>
  <c r="Z986" i="4"/>
  <c r="K986" i="4"/>
  <c r="W882" i="4"/>
  <c r="N882" i="4"/>
  <c r="W778" i="4"/>
  <c r="N778" i="4"/>
  <c r="Z882" i="4"/>
  <c r="K882" i="4"/>
  <c r="Z778" i="4"/>
  <c r="K778" i="4"/>
  <c r="T882" i="4"/>
  <c r="E882" i="4"/>
  <c r="T778" i="4"/>
  <c r="E778" i="4"/>
  <c r="X882" i="4"/>
  <c r="Q882" i="4"/>
  <c r="X778" i="4"/>
  <c r="Q778" i="4"/>
  <c r="T674" i="4"/>
  <c r="E674" i="4"/>
  <c r="T570" i="4"/>
  <c r="E570" i="4"/>
  <c r="X674" i="4"/>
  <c r="Q674" i="4"/>
  <c r="X570" i="4"/>
  <c r="Q570" i="4"/>
  <c r="W674" i="4"/>
  <c r="N674" i="4"/>
  <c r="W570" i="4"/>
  <c r="N570" i="4"/>
  <c r="Z674" i="4"/>
  <c r="K674" i="4"/>
  <c r="Z570" i="4"/>
  <c r="K570" i="4"/>
  <c r="Z466" i="4"/>
  <c r="K466" i="4"/>
  <c r="Z362" i="4"/>
  <c r="K362" i="4"/>
  <c r="T466" i="4"/>
  <c r="E466" i="4"/>
  <c r="T362" i="4"/>
  <c r="E362" i="4"/>
  <c r="X466" i="4"/>
  <c r="Q466" i="4"/>
  <c r="X362" i="4"/>
  <c r="Q362" i="4"/>
  <c r="W466" i="4"/>
  <c r="N466" i="4"/>
  <c r="W362" i="4"/>
  <c r="N362" i="4"/>
  <c r="X258" i="4"/>
  <c r="Q258" i="4"/>
  <c r="X154" i="4"/>
  <c r="Q154" i="4"/>
  <c r="W258" i="4"/>
  <c r="N258" i="4"/>
  <c r="W154" i="4"/>
  <c r="N154" i="4"/>
  <c r="Z258" i="4"/>
  <c r="K258" i="4"/>
  <c r="Z154" i="4"/>
  <c r="K154" i="4"/>
  <c r="T258" i="4"/>
  <c r="E258" i="4"/>
  <c r="T154" i="4"/>
  <c r="E154" i="4"/>
  <c r="X50" i="4"/>
  <c r="Q50" i="4"/>
  <c r="W50" i="4"/>
  <c r="N50" i="4"/>
  <c r="Z50" i="4"/>
  <c r="K50" i="4"/>
  <c r="T50" i="4"/>
  <c r="E50" i="4"/>
  <c r="X1196" i="4"/>
  <c r="Q1196" i="4"/>
  <c r="W1196" i="4"/>
  <c r="N1196" i="4"/>
  <c r="Z1196" i="4"/>
  <c r="K1196" i="4"/>
  <c r="T1196" i="4"/>
  <c r="E1196" i="4"/>
  <c r="X1092" i="4"/>
  <c r="Q1092" i="4"/>
  <c r="W1092" i="4"/>
  <c r="N1092" i="4"/>
  <c r="Z1092" i="4"/>
  <c r="K1092" i="4"/>
  <c r="T1092" i="4"/>
  <c r="E1092" i="4"/>
  <c r="T988" i="4"/>
  <c r="E988" i="4"/>
  <c r="X988" i="4"/>
  <c r="Q988" i="4"/>
  <c r="W988" i="4"/>
  <c r="N988" i="4"/>
  <c r="Z988" i="4"/>
  <c r="K988" i="4"/>
  <c r="W884" i="4"/>
  <c r="N884" i="4"/>
  <c r="W780" i="4"/>
  <c r="N780" i="4"/>
  <c r="Z884" i="4"/>
  <c r="K884" i="4"/>
  <c r="Z780" i="4"/>
  <c r="K780" i="4"/>
  <c r="T884" i="4"/>
  <c r="E884" i="4"/>
  <c r="T780" i="4"/>
  <c r="E780" i="4"/>
  <c r="X884" i="4"/>
  <c r="Q884" i="4"/>
  <c r="X780" i="4"/>
  <c r="Q780" i="4"/>
  <c r="T676" i="4"/>
  <c r="E676" i="4"/>
  <c r="T572" i="4"/>
  <c r="E572" i="4"/>
  <c r="X676" i="4"/>
  <c r="Q676" i="4"/>
  <c r="X572" i="4"/>
  <c r="Q572" i="4"/>
  <c r="W676" i="4"/>
  <c r="N676" i="4"/>
  <c r="W572" i="4"/>
  <c r="N572" i="4"/>
  <c r="Z676" i="4"/>
  <c r="K676" i="4"/>
  <c r="Z572" i="4"/>
  <c r="K572" i="4"/>
  <c r="Z468" i="4"/>
  <c r="K468" i="4"/>
  <c r="Z364" i="4"/>
  <c r="K364" i="4"/>
  <c r="T468" i="4"/>
  <c r="E468" i="4"/>
  <c r="T364" i="4"/>
  <c r="E364" i="4"/>
  <c r="X468" i="4"/>
  <c r="Q468" i="4"/>
  <c r="X364" i="4"/>
  <c r="Q364" i="4"/>
  <c r="W468" i="4"/>
  <c r="N468" i="4"/>
  <c r="W364" i="4"/>
  <c r="N364" i="4"/>
  <c r="X260" i="4"/>
  <c r="Q260" i="4"/>
  <c r="X156" i="4"/>
  <c r="Q156" i="4"/>
  <c r="W260" i="4"/>
  <c r="N260" i="4"/>
  <c r="W156" i="4"/>
  <c r="N156" i="4"/>
  <c r="Z260" i="4"/>
  <c r="K260" i="4"/>
  <c r="Z156" i="4"/>
  <c r="K156" i="4"/>
  <c r="T260" i="4"/>
  <c r="E260" i="4"/>
  <c r="T156" i="4"/>
  <c r="E156" i="4"/>
  <c r="X52" i="4"/>
  <c r="Q52" i="4"/>
  <c r="W52" i="4"/>
  <c r="N52" i="4"/>
  <c r="Z52" i="4"/>
  <c r="K52" i="4"/>
  <c r="T52" i="4"/>
  <c r="E52" i="4"/>
  <c r="X1198" i="4"/>
  <c r="Q1198" i="4"/>
  <c r="W1198" i="4"/>
  <c r="N1198" i="4"/>
  <c r="Z1198" i="4"/>
  <c r="K1198" i="4"/>
  <c r="T1198" i="4"/>
  <c r="E1198" i="4"/>
  <c r="X1094" i="4"/>
  <c r="Q1094" i="4"/>
  <c r="W1094" i="4"/>
  <c r="N1094" i="4"/>
  <c r="Z1094" i="4"/>
  <c r="K1094" i="4"/>
  <c r="T1094" i="4"/>
  <c r="E1094" i="4"/>
  <c r="T990" i="4"/>
  <c r="E990" i="4"/>
  <c r="X990" i="4"/>
  <c r="Q990" i="4"/>
  <c r="W990" i="4"/>
  <c r="N990" i="4"/>
  <c r="Z990" i="4"/>
  <c r="K990" i="4"/>
  <c r="W886" i="4"/>
  <c r="N886" i="4"/>
  <c r="W782" i="4"/>
  <c r="N782" i="4"/>
  <c r="Z886" i="4"/>
  <c r="K886" i="4"/>
  <c r="Z782" i="4"/>
  <c r="K782" i="4"/>
  <c r="T886" i="4"/>
  <c r="E886" i="4"/>
  <c r="T782" i="4"/>
  <c r="E782" i="4"/>
  <c r="X886" i="4"/>
  <c r="Q886" i="4"/>
  <c r="X782" i="4"/>
  <c r="Q782" i="4"/>
  <c r="T678" i="4"/>
  <c r="E678" i="4"/>
  <c r="T574" i="4"/>
  <c r="E574" i="4"/>
  <c r="X678" i="4"/>
  <c r="Q678" i="4"/>
  <c r="X574" i="4"/>
  <c r="Q574" i="4"/>
  <c r="W678" i="4"/>
  <c r="N678" i="4"/>
  <c r="W574" i="4"/>
  <c r="N574" i="4"/>
  <c r="Z678" i="4"/>
  <c r="K678" i="4"/>
  <c r="Z574" i="4"/>
  <c r="K574" i="4"/>
  <c r="Z470" i="4"/>
  <c r="K470" i="4"/>
  <c r="Z366" i="4"/>
  <c r="K366" i="4"/>
  <c r="T470" i="4"/>
  <c r="E470" i="4"/>
  <c r="T366" i="4"/>
  <c r="E366" i="4"/>
  <c r="X470" i="4"/>
  <c r="Q470" i="4"/>
  <c r="X366" i="4"/>
  <c r="Q366" i="4"/>
  <c r="W470" i="4"/>
  <c r="N470" i="4"/>
  <c r="W366" i="4"/>
  <c r="N366" i="4"/>
  <c r="X262" i="4"/>
  <c r="Q262" i="4"/>
  <c r="X158" i="4"/>
  <c r="Q158" i="4"/>
  <c r="W262" i="4"/>
  <c r="N262" i="4"/>
  <c r="W158" i="4"/>
  <c r="N158" i="4"/>
  <c r="W54" i="4"/>
  <c r="N54" i="4"/>
  <c r="Z262" i="4"/>
  <c r="K262" i="4"/>
  <c r="Z158" i="4"/>
  <c r="K158" i="4"/>
  <c r="T262" i="4"/>
  <c r="E262" i="4"/>
  <c r="T158" i="4"/>
  <c r="E158" i="4"/>
  <c r="T54" i="4"/>
  <c r="Q54" i="4"/>
  <c r="Z54" i="4"/>
  <c r="K54" i="4"/>
  <c r="X54" i="4"/>
  <c r="E54" i="4"/>
  <c r="X1200" i="4"/>
  <c r="Q1200" i="4"/>
  <c r="W1200" i="4"/>
  <c r="N1200" i="4"/>
  <c r="Z1200" i="4"/>
  <c r="K1200" i="4"/>
  <c r="T1200" i="4"/>
  <c r="E1200" i="4"/>
  <c r="X1096" i="4"/>
  <c r="Q1096" i="4"/>
  <c r="W1096" i="4"/>
  <c r="N1096" i="4"/>
  <c r="Z1096" i="4"/>
  <c r="K1096" i="4"/>
  <c r="T1096" i="4"/>
  <c r="E1096" i="4"/>
  <c r="T992" i="4"/>
  <c r="E992" i="4"/>
  <c r="X992" i="4"/>
  <c r="Q992" i="4"/>
  <c r="W992" i="4"/>
  <c r="N992" i="4"/>
  <c r="Z992" i="4"/>
  <c r="K992" i="4"/>
  <c r="W888" i="4"/>
  <c r="N888" i="4"/>
  <c r="W784" i="4"/>
  <c r="N784" i="4"/>
  <c r="Z888" i="4"/>
  <c r="K888" i="4"/>
  <c r="Z784" i="4"/>
  <c r="K784" i="4"/>
  <c r="T888" i="4"/>
  <c r="E888" i="4"/>
  <c r="T784" i="4"/>
  <c r="E784" i="4"/>
  <c r="X888" i="4"/>
  <c r="Q888" i="4"/>
  <c r="X784" i="4"/>
  <c r="Q784" i="4"/>
  <c r="T680" i="4"/>
  <c r="E680" i="4"/>
  <c r="T576" i="4"/>
  <c r="E576" i="4"/>
  <c r="X680" i="4"/>
  <c r="Q680" i="4"/>
  <c r="X576" i="4"/>
  <c r="Q576" i="4"/>
  <c r="W680" i="4"/>
  <c r="N680" i="4"/>
  <c r="W576" i="4"/>
  <c r="N576" i="4"/>
  <c r="Z680" i="4"/>
  <c r="K680" i="4"/>
  <c r="Z576" i="4"/>
  <c r="K576" i="4"/>
  <c r="V576" i="4" s="1"/>
  <c r="Z472" i="4"/>
  <c r="K472" i="4"/>
  <c r="Z368" i="4"/>
  <c r="K368" i="4"/>
  <c r="T472" i="4"/>
  <c r="E472" i="4"/>
  <c r="T368" i="4"/>
  <c r="E368" i="4"/>
  <c r="X472" i="4"/>
  <c r="Q472" i="4"/>
  <c r="X368" i="4"/>
  <c r="Q368" i="4"/>
  <c r="W472" i="4"/>
  <c r="N472" i="4"/>
  <c r="W368" i="4"/>
  <c r="N368" i="4"/>
  <c r="X264" i="4"/>
  <c r="Q264" i="4"/>
  <c r="X160" i="4"/>
  <c r="Q160" i="4"/>
  <c r="W264" i="4"/>
  <c r="N264" i="4"/>
  <c r="W160" i="4"/>
  <c r="N160" i="4"/>
  <c r="W56" i="4"/>
  <c r="N56" i="4"/>
  <c r="Z264" i="4"/>
  <c r="K264" i="4"/>
  <c r="Z160" i="4"/>
  <c r="K160" i="4"/>
  <c r="T264" i="4"/>
  <c r="E264" i="4"/>
  <c r="T160" i="4"/>
  <c r="E160" i="4"/>
  <c r="T56" i="4"/>
  <c r="E56" i="4"/>
  <c r="Z56" i="4"/>
  <c r="K56" i="4"/>
  <c r="X56" i="4"/>
  <c r="Q56" i="4"/>
  <c r="X1202" i="4"/>
  <c r="Q1202" i="4"/>
  <c r="W1202" i="4"/>
  <c r="N1202" i="4"/>
  <c r="Z1202" i="4"/>
  <c r="K1202" i="4"/>
  <c r="T1202" i="4"/>
  <c r="E1202" i="4"/>
  <c r="X1098" i="4"/>
  <c r="Q1098" i="4"/>
  <c r="W1098" i="4"/>
  <c r="N1098" i="4"/>
  <c r="Z1098" i="4"/>
  <c r="K1098" i="4"/>
  <c r="T1098" i="4"/>
  <c r="E1098" i="4"/>
  <c r="T994" i="4"/>
  <c r="E994" i="4"/>
  <c r="X994" i="4"/>
  <c r="Q994" i="4"/>
  <c r="W994" i="4"/>
  <c r="N994" i="4"/>
  <c r="Z994" i="4"/>
  <c r="K994" i="4"/>
  <c r="W890" i="4"/>
  <c r="N890" i="4"/>
  <c r="W786" i="4"/>
  <c r="N786" i="4"/>
  <c r="Z890" i="4"/>
  <c r="K890" i="4"/>
  <c r="Z786" i="4"/>
  <c r="K786" i="4"/>
  <c r="T890" i="4"/>
  <c r="E890" i="4"/>
  <c r="T786" i="4"/>
  <c r="E786" i="4"/>
  <c r="X890" i="4"/>
  <c r="Q890" i="4"/>
  <c r="X786" i="4"/>
  <c r="Q786" i="4"/>
  <c r="T682" i="4"/>
  <c r="E682" i="4"/>
  <c r="T578" i="4"/>
  <c r="E578" i="4"/>
  <c r="X682" i="4"/>
  <c r="Q682" i="4"/>
  <c r="X578" i="4"/>
  <c r="Q578" i="4"/>
  <c r="W682" i="4"/>
  <c r="N682" i="4"/>
  <c r="W578" i="4"/>
  <c r="N578" i="4"/>
  <c r="Z682" i="4"/>
  <c r="K682" i="4"/>
  <c r="Z578" i="4"/>
  <c r="K578" i="4"/>
  <c r="V578" i="4" s="1"/>
  <c r="Z474" i="4"/>
  <c r="K474" i="4"/>
  <c r="Z370" i="4"/>
  <c r="K370" i="4"/>
  <c r="T474" i="4"/>
  <c r="E474" i="4"/>
  <c r="T370" i="4"/>
  <c r="E370" i="4"/>
  <c r="X474" i="4"/>
  <c r="Q474" i="4"/>
  <c r="X370" i="4"/>
  <c r="Q370" i="4"/>
  <c r="W474" i="4"/>
  <c r="N474" i="4"/>
  <c r="W370" i="4"/>
  <c r="N370" i="4"/>
  <c r="X266" i="4"/>
  <c r="Q266" i="4"/>
  <c r="X162" i="4"/>
  <c r="Q162" i="4"/>
  <c r="W266" i="4"/>
  <c r="N266" i="4"/>
  <c r="W162" i="4"/>
  <c r="N162" i="4"/>
  <c r="W58" i="4"/>
  <c r="N58" i="4"/>
  <c r="Z266" i="4"/>
  <c r="K266" i="4"/>
  <c r="Z162" i="4"/>
  <c r="K162" i="4"/>
  <c r="T266" i="4"/>
  <c r="E266" i="4"/>
  <c r="T162" i="4"/>
  <c r="E162" i="4"/>
  <c r="T58" i="4"/>
  <c r="E58" i="4"/>
  <c r="Q58" i="4"/>
  <c r="Z58" i="4"/>
  <c r="K58" i="4"/>
  <c r="X58" i="4"/>
  <c r="X1204" i="4"/>
  <c r="Q1204" i="4"/>
  <c r="W1204" i="4"/>
  <c r="N1204" i="4"/>
  <c r="Z1204" i="4"/>
  <c r="K1204" i="4"/>
  <c r="T1204" i="4"/>
  <c r="E1204" i="4"/>
  <c r="X1100" i="4"/>
  <c r="Q1100" i="4"/>
  <c r="W1100" i="4"/>
  <c r="N1100" i="4"/>
  <c r="Z1100" i="4"/>
  <c r="K1100" i="4"/>
  <c r="T1100" i="4"/>
  <c r="E1100" i="4"/>
  <c r="T996" i="4"/>
  <c r="E996" i="4"/>
  <c r="X996" i="4"/>
  <c r="Q996" i="4"/>
  <c r="W996" i="4"/>
  <c r="N996" i="4"/>
  <c r="Z996" i="4"/>
  <c r="K996" i="4"/>
  <c r="W892" i="4"/>
  <c r="N892" i="4"/>
  <c r="W788" i="4"/>
  <c r="N788" i="4"/>
  <c r="Z892" i="4"/>
  <c r="K892" i="4"/>
  <c r="Z788" i="4"/>
  <c r="K788" i="4"/>
  <c r="T892" i="4"/>
  <c r="E892" i="4"/>
  <c r="T788" i="4"/>
  <c r="E788" i="4"/>
  <c r="X892" i="4"/>
  <c r="Q892" i="4"/>
  <c r="X788" i="4"/>
  <c r="Q788" i="4"/>
  <c r="T684" i="4"/>
  <c r="E684" i="4"/>
  <c r="T580" i="4"/>
  <c r="E580" i="4"/>
  <c r="X684" i="4"/>
  <c r="Q684" i="4"/>
  <c r="X580" i="4"/>
  <c r="Q580" i="4"/>
  <c r="W684" i="4"/>
  <c r="N684" i="4"/>
  <c r="W580" i="4"/>
  <c r="N580" i="4"/>
  <c r="Z684" i="4"/>
  <c r="K684" i="4"/>
  <c r="Z580" i="4"/>
  <c r="K580" i="4"/>
  <c r="V580" i="4" s="1"/>
  <c r="Z476" i="4"/>
  <c r="K476" i="4"/>
  <c r="Z372" i="4"/>
  <c r="K372" i="4"/>
  <c r="T476" i="4"/>
  <c r="E476" i="4"/>
  <c r="T372" i="4"/>
  <c r="E372" i="4"/>
  <c r="X476" i="4"/>
  <c r="Q476" i="4"/>
  <c r="X372" i="4"/>
  <c r="Q372" i="4"/>
  <c r="W476" i="4"/>
  <c r="N476" i="4"/>
  <c r="W372" i="4"/>
  <c r="N372" i="4"/>
  <c r="X268" i="4"/>
  <c r="Q268" i="4"/>
  <c r="X164" i="4"/>
  <c r="Q164" i="4"/>
  <c r="X60" i="4"/>
  <c r="W268" i="4"/>
  <c r="N268" i="4"/>
  <c r="W164" i="4"/>
  <c r="N164" i="4"/>
  <c r="W60" i="4"/>
  <c r="N60" i="4"/>
  <c r="Z268" i="4"/>
  <c r="K268" i="4"/>
  <c r="Z164" i="4"/>
  <c r="K164" i="4"/>
  <c r="Z60" i="4"/>
  <c r="K60" i="4"/>
  <c r="T268" i="4"/>
  <c r="E268" i="4"/>
  <c r="T164" i="4"/>
  <c r="E164" i="4"/>
  <c r="T60" i="4"/>
  <c r="E60" i="4"/>
  <c r="Q60" i="4"/>
  <c r="X1206" i="4"/>
  <c r="Q1206" i="4"/>
  <c r="W1206" i="4"/>
  <c r="N1206" i="4"/>
  <c r="Z1206" i="4"/>
  <c r="K1206" i="4"/>
  <c r="T1206" i="4"/>
  <c r="E1206" i="4"/>
  <c r="X1102" i="4"/>
  <c r="Q1102" i="4"/>
  <c r="W1102" i="4"/>
  <c r="N1102" i="4"/>
  <c r="Z1102" i="4"/>
  <c r="K1102" i="4"/>
  <c r="T1102" i="4"/>
  <c r="E1102" i="4"/>
  <c r="T998" i="4"/>
  <c r="E998" i="4"/>
  <c r="X998" i="4"/>
  <c r="Q998" i="4"/>
  <c r="W998" i="4"/>
  <c r="N998" i="4"/>
  <c r="Z998" i="4"/>
  <c r="K998" i="4"/>
  <c r="W894" i="4"/>
  <c r="N894" i="4"/>
  <c r="W790" i="4"/>
  <c r="N790" i="4"/>
  <c r="Z894" i="4"/>
  <c r="K894" i="4"/>
  <c r="Z790" i="4"/>
  <c r="K790" i="4"/>
  <c r="T894" i="4"/>
  <c r="E894" i="4"/>
  <c r="T790" i="4"/>
  <c r="E790" i="4"/>
  <c r="X894" i="4"/>
  <c r="Q894" i="4"/>
  <c r="X790" i="4"/>
  <c r="Q790" i="4"/>
  <c r="T686" i="4"/>
  <c r="E686" i="4"/>
  <c r="T582" i="4"/>
  <c r="E582" i="4"/>
  <c r="X686" i="4"/>
  <c r="Q686" i="4"/>
  <c r="X582" i="4"/>
  <c r="Q582" i="4"/>
  <c r="W686" i="4"/>
  <c r="N686" i="4"/>
  <c r="W582" i="4"/>
  <c r="N582" i="4"/>
  <c r="Z686" i="4"/>
  <c r="K686" i="4"/>
  <c r="Z582" i="4"/>
  <c r="K582" i="4"/>
  <c r="V582" i="4" s="1"/>
  <c r="Z478" i="4"/>
  <c r="K478" i="4"/>
  <c r="Z374" i="4"/>
  <c r="K374" i="4"/>
  <c r="T478" i="4"/>
  <c r="E478" i="4"/>
  <c r="T374" i="4"/>
  <c r="E374" i="4"/>
  <c r="X478" i="4"/>
  <c r="Q478" i="4"/>
  <c r="X374" i="4"/>
  <c r="Q374" i="4"/>
  <c r="W478" i="4"/>
  <c r="N478" i="4"/>
  <c r="W374" i="4"/>
  <c r="N374" i="4"/>
  <c r="X270" i="4"/>
  <c r="Q270" i="4"/>
  <c r="X166" i="4"/>
  <c r="Q166" i="4"/>
  <c r="X62" i="4"/>
  <c r="Q62" i="4"/>
  <c r="W270" i="4"/>
  <c r="N270" i="4"/>
  <c r="W166" i="4"/>
  <c r="N166" i="4"/>
  <c r="W62" i="4"/>
  <c r="N62" i="4"/>
  <c r="Z270" i="4"/>
  <c r="K270" i="4"/>
  <c r="Z166" i="4"/>
  <c r="K166" i="4"/>
  <c r="Z62" i="4"/>
  <c r="K62" i="4"/>
  <c r="T270" i="4"/>
  <c r="E270" i="4"/>
  <c r="T166" i="4"/>
  <c r="E166" i="4"/>
  <c r="T62" i="4"/>
  <c r="E62" i="4"/>
  <c r="X1208" i="4"/>
  <c r="Q1208" i="4"/>
  <c r="W1208" i="4"/>
  <c r="N1208" i="4"/>
  <c r="Z1208" i="4"/>
  <c r="K1208" i="4"/>
  <c r="T1208" i="4"/>
  <c r="E1208" i="4"/>
  <c r="X1104" i="4"/>
  <c r="Q1104" i="4"/>
  <c r="W1104" i="4"/>
  <c r="N1104" i="4"/>
  <c r="Z1104" i="4"/>
  <c r="K1104" i="4"/>
  <c r="T1104" i="4"/>
  <c r="E1104" i="4"/>
  <c r="T1000" i="4"/>
  <c r="E1000" i="4"/>
  <c r="X1000" i="4"/>
  <c r="Q1000" i="4"/>
  <c r="W1000" i="4"/>
  <c r="N1000" i="4"/>
  <c r="Z1000" i="4"/>
  <c r="K1000" i="4"/>
  <c r="W896" i="4"/>
  <c r="N896" i="4"/>
  <c r="W792" i="4"/>
  <c r="N792" i="4"/>
  <c r="Z896" i="4"/>
  <c r="K896" i="4"/>
  <c r="Z792" i="4"/>
  <c r="K792" i="4"/>
  <c r="T896" i="4"/>
  <c r="E896" i="4"/>
  <c r="T792" i="4"/>
  <c r="E792" i="4"/>
  <c r="X896" i="4"/>
  <c r="Q896" i="4"/>
  <c r="X792" i="4"/>
  <c r="Q792" i="4"/>
  <c r="T688" i="4"/>
  <c r="E688" i="4"/>
  <c r="T584" i="4"/>
  <c r="E584" i="4"/>
  <c r="X688" i="4"/>
  <c r="Q688" i="4"/>
  <c r="X584" i="4"/>
  <c r="Q584" i="4"/>
  <c r="W688" i="4"/>
  <c r="N688" i="4"/>
  <c r="W584" i="4"/>
  <c r="N584" i="4"/>
  <c r="Z688" i="4"/>
  <c r="K688" i="4"/>
  <c r="Z584" i="4"/>
  <c r="K584" i="4"/>
  <c r="V584" i="4" s="1"/>
  <c r="Z480" i="4"/>
  <c r="K480" i="4"/>
  <c r="Z376" i="4"/>
  <c r="K376" i="4"/>
  <c r="T480" i="4"/>
  <c r="E480" i="4"/>
  <c r="T376" i="4"/>
  <c r="E376" i="4"/>
  <c r="X480" i="4"/>
  <c r="Q480" i="4"/>
  <c r="X376" i="4"/>
  <c r="Q376" i="4"/>
  <c r="W480" i="4"/>
  <c r="N480" i="4"/>
  <c r="W376" i="4"/>
  <c r="N376" i="4"/>
  <c r="X272" i="4"/>
  <c r="Q272" i="4"/>
  <c r="X168" i="4"/>
  <c r="Q168" i="4"/>
  <c r="X64" i="4"/>
  <c r="Q64" i="4"/>
  <c r="W272" i="4"/>
  <c r="N272" i="4"/>
  <c r="W168" i="4"/>
  <c r="N168" i="4"/>
  <c r="W64" i="4"/>
  <c r="N64" i="4"/>
  <c r="Z272" i="4"/>
  <c r="K272" i="4"/>
  <c r="Z168" i="4"/>
  <c r="K168" i="4"/>
  <c r="Z64" i="4"/>
  <c r="K64" i="4"/>
  <c r="T272" i="4"/>
  <c r="E272" i="4"/>
  <c r="T168" i="4"/>
  <c r="E168" i="4"/>
  <c r="T64" i="4"/>
  <c r="E64" i="4"/>
  <c r="X1210" i="4"/>
  <c r="Q1210" i="4"/>
  <c r="W1210" i="4"/>
  <c r="N1210" i="4"/>
  <c r="Z1210" i="4"/>
  <c r="K1210" i="4"/>
  <c r="T1210" i="4"/>
  <c r="E1210" i="4"/>
  <c r="X1106" i="4"/>
  <c r="Q1106" i="4"/>
  <c r="W1106" i="4"/>
  <c r="N1106" i="4"/>
  <c r="Z1106" i="4"/>
  <c r="K1106" i="4"/>
  <c r="T1106" i="4"/>
  <c r="E1106" i="4"/>
  <c r="T1002" i="4"/>
  <c r="E1002" i="4"/>
  <c r="X1002" i="4"/>
  <c r="Q1002" i="4"/>
  <c r="W1002" i="4"/>
  <c r="N1002" i="4"/>
  <c r="Z1002" i="4"/>
  <c r="K1002" i="4"/>
  <c r="W898" i="4"/>
  <c r="N898" i="4"/>
  <c r="W794" i="4"/>
  <c r="N794" i="4"/>
  <c r="Z898" i="4"/>
  <c r="K898" i="4"/>
  <c r="Z794" i="4"/>
  <c r="K794" i="4"/>
  <c r="T898" i="4"/>
  <c r="E898" i="4"/>
  <c r="T794" i="4"/>
  <c r="E794" i="4"/>
  <c r="X898" i="4"/>
  <c r="Q898" i="4"/>
  <c r="X794" i="4"/>
  <c r="Q794" i="4"/>
  <c r="T690" i="4"/>
  <c r="E690" i="4"/>
  <c r="T586" i="4"/>
  <c r="E586" i="4"/>
  <c r="X690" i="4"/>
  <c r="Q690" i="4"/>
  <c r="X586" i="4"/>
  <c r="Q586" i="4"/>
  <c r="W690" i="4"/>
  <c r="N690" i="4"/>
  <c r="W586" i="4"/>
  <c r="N586" i="4"/>
  <c r="Z690" i="4"/>
  <c r="K690" i="4"/>
  <c r="Z586" i="4"/>
  <c r="K586" i="4"/>
  <c r="V586" i="4" s="1"/>
  <c r="Z482" i="4"/>
  <c r="K482" i="4"/>
  <c r="Z378" i="4"/>
  <c r="K378" i="4"/>
  <c r="T482" i="4"/>
  <c r="E482" i="4"/>
  <c r="T378" i="4"/>
  <c r="E378" i="4"/>
  <c r="X482" i="4"/>
  <c r="Q482" i="4"/>
  <c r="X378" i="4"/>
  <c r="Q378" i="4"/>
  <c r="W482" i="4"/>
  <c r="N482" i="4"/>
  <c r="W378" i="4"/>
  <c r="N378" i="4"/>
  <c r="X274" i="4"/>
  <c r="Q274" i="4"/>
  <c r="X170" i="4"/>
  <c r="Q170" i="4"/>
  <c r="X66" i="4"/>
  <c r="Q66" i="4"/>
  <c r="W274" i="4"/>
  <c r="N274" i="4"/>
  <c r="W170" i="4"/>
  <c r="N170" i="4"/>
  <c r="W66" i="4"/>
  <c r="N66" i="4"/>
  <c r="Z274" i="4"/>
  <c r="K274" i="4"/>
  <c r="Z170" i="4"/>
  <c r="K170" i="4"/>
  <c r="Z66" i="4"/>
  <c r="K66" i="4"/>
  <c r="T274" i="4"/>
  <c r="E274" i="4"/>
  <c r="T170" i="4"/>
  <c r="E170" i="4"/>
  <c r="T66" i="4"/>
  <c r="E66" i="4"/>
  <c r="X1212" i="4"/>
  <c r="Q1212" i="4"/>
  <c r="W1212" i="4"/>
  <c r="N1212" i="4"/>
  <c r="Z1212" i="4"/>
  <c r="K1212" i="4"/>
  <c r="T1212" i="4"/>
  <c r="E1212" i="4"/>
  <c r="X1108" i="4"/>
  <c r="Q1108" i="4"/>
  <c r="W1108" i="4"/>
  <c r="N1108" i="4"/>
  <c r="Z1108" i="4"/>
  <c r="K1108" i="4"/>
  <c r="T1108" i="4"/>
  <c r="E1108" i="4"/>
  <c r="T1004" i="4"/>
  <c r="E1004" i="4"/>
  <c r="X1004" i="4"/>
  <c r="Q1004" i="4"/>
  <c r="W1004" i="4"/>
  <c r="N1004" i="4"/>
  <c r="Z1004" i="4"/>
  <c r="K1004" i="4"/>
  <c r="W900" i="4"/>
  <c r="N900" i="4"/>
  <c r="W796" i="4"/>
  <c r="N796" i="4"/>
  <c r="Z900" i="4"/>
  <c r="K900" i="4"/>
  <c r="Z796" i="4"/>
  <c r="K796" i="4"/>
  <c r="T900" i="4"/>
  <c r="E900" i="4"/>
  <c r="T796" i="4"/>
  <c r="E796" i="4"/>
  <c r="X900" i="4"/>
  <c r="Q900" i="4"/>
  <c r="X796" i="4"/>
  <c r="Q796" i="4"/>
  <c r="T692" i="4"/>
  <c r="E692" i="4"/>
  <c r="T588" i="4"/>
  <c r="E588" i="4"/>
  <c r="X692" i="4"/>
  <c r="Q692" i="4"/>
  <c r="X588" i="4"/>
  <c r="Q588" i="4"/>
  <c r="W692" i="4"/>
  <c r="N692" i="4"/>
  <c r="W588" i="4"/>
  <c r="N588" i="4"/>
  <c r="Z692" i="4"/>
  <c r="K692" i="4"/>
  <c r="Z588" i="4"/>
  <c r="K588" i="4"/>
  <c r="V588" i="4" s="1"/>
  <c r="Z484" i="4"/>
  <c r="K484" i="4"/>
  <c r="Z380" i="4"/>
  <c r="K380" i="4"/>
  <c r="T484" i="4"/>
  <c r="E484" i="4"/>
  <c r="T380" i="4"/>
  <c r="E380" i="4"/>
  <c r="X484" i="4"/>
  <c r="Q484" i="4"/>
  <c r="X380" i="4"/>
  <c r="Q380" i="4"/>
  <c r="W484" i="4"/>
  <c r="N484" i="4"/>
  <c r="W380" i="4"/>
  <c r="N380" i="4"/>
  <c r="X276" i="4"/>
  <c r="Q276" i="4"/>
  <c r="X172" i="4"/>
  <c r="Q172" i="4"/>
  <c r="X68" i="4"/>
  <c r="Q68" i="4"/>
  <c r="W276" i="4"/>
  <c r="N276" i="4"/>
  <c r="W172" i="4"/>
  <c r="N172" i="4"/>
  <c r="W68" i="4"/>
  <c r="N68" i="4"/>
  <c r="Z276" i="4"/>
  <c r="K276" i="4"/>
  <c r="Z172" i="4"/>
  <c r="K172" i="4"/>
  <c r="Z68" i="4"/>
  <c r="K68" i="4"/>
  <c r="T276" i="4"/>
  <c r="E276" i="4"/>
  <c r="T172" i="4"/>
  <c r="E172" i="4"/>
  <c r="T68" i="4"/>
  <c r="E68" i="4"/>
  <c r="X1214" i="4"/>
  <c r="Q1214" i="4"/>
  <c r="W1214" i="4"/>
  <c r="N1214" i="4"/>
  <c r="Z1214" i="4"/>
  <c r="K1214" i="4"/>
  <c r="T1214" i="4"/>
  <c r="E1214" i="4"/>
  <c r="X1110" i="4"/>
  <c r="Q1110" i="4"/>
  <c r="W1110" i="4"/>
  <c r="N1110" i="4"/>
  <c r="Z1110" i="4"/>
  <c r="K1110" i="4"/>
  <c r="T1110" i="4"/>
  <c r="E1110" i="4"/>
  <c r="T1006" i="4"/>
  <c r="E1006" i="4"/>
  <c r="X1006" i="4"/>
  <c r="Q1006" i="4"/>
  <c r="W1006" i="4"/>
  <c r="N1006" i="4"/>
  <c r="Z1006" i="4"/>
  <c r="K1006" i="4"/>
  <c r="W902" i="4"/>
  <c r="N902" i="4"/>
  <c r="W798" i="4"/>
  <c r="N798" i="4"/>
  <c r="Z902" i="4"/>
  <c r="K902" i="4"/>
  <c r="Z798" i="4"/>
  <c r="K798" i="4"/>
  <c r="T902" i="4"/>
  <c r="E902" i="4"/>
  <c r="T798" i="4"/>
  <c r="E798" i="4"/>
  <c r="X902" i="4"/>
  <c r="Q902" i="4"/>
  <c r="X798" i="4"/>
  <c r="Q798" i="4"/>
  <c r="T694" i="4"/>
  <c r="E694" i="4"/>
  <c r="T590" i="4"/>
  <c r="E590" i="4"/>
  <c r="X694" i="4"/>
  <c r="Q694" i="4"/>
  <c r="X590" i="4"/>
  <c r="Q590" i="4"/>
  <c r="W694" i="4"/>
  <c r="N694" i="4"/>
  <c r="W590" i="4"/>
  <c r="N590" i="4"/>
  <c r="Z694" i="4"/>
  <c r="K694" i="4"/>
  <c r="Z590" i="4"/>
  <c r="K590" i="4"/>
  <c r="V590" i="4" s="1"/>
  <c r="Z486" i="4"/>
  <c r="K486" i="4"/>
  <c r="Z382" i="4"/>
  <c r="K382" i="4"/>
  <c r="T486" i="4"/>
  <c r="E486" i="4"/>
  <c r="T382" i="4"/>
  <c r="E382" i="4"/>
  <c r="X486" i="4"/>
  <c r="Q486" i="4"/>
  <c r="X382" i="4"/>
  <c r="Q382" i="4"/>
  <c r="W486" i="4"/>
  <c r="N486" i="4"/>
  <c r="W382" i="4"/>
  <c r="N382" i="4"/>
  <c r="X278" i="4"/>
  <c r="Q278" i="4"/>
  <c r="X174" i="4"/>
  <c r="Q174" i="4"/>
  <c r="X70" i="4"/>
  <c r="Q70" i="4"/>
  <c r="W278" i="4"/>
  <c r="N278" i="4"/>
  <c r="W174" i="4"/>
  <c r="N174" i="4"/>
  <c r="W70" i="4"/>
  <c r="N70" i="4"/>
  <c r="Z278" i="4"/>
  <c r="K278" i="4"/>
  <c r="Z174" i="4"/>
  <c r="K174" i="4"/>
  <c r="Z70" i="4"/>
  <c r="K70" i="4"/>
  <c r="T278" i="4"/>
  <c r="E278" i="4"/>
  <c r="T174" i="4"/>
  <c r="E174" i="4"/>
  <c r="T70" i="4"/>
  <c r="E70" i="4"/>
  <c r="X1216" i="4"/>
  <c r="Q1216" i="4"/>
  <c r="W1216" i="4"/>
  <c r="N1216" i="4"/>
  <c r="Z1216" i="4"/>
  <c r="K1216" i="4"/>
  <c r="T1216" i="4"/>
  <c r="E1216" i="4"/>
  <c r="X1112" i="4"/>
  <c r="Q1112" i="4"/>
  <c r="W1112" i="4"/>
  <c r="N1112" i="4"/>
  <c r="Z1112" i="4"/>
  <c r="K1112" i="4"/>
  <c r="T1112" i="4"/>
  <c r="E1112" i="4"/>
  <c r="T1008" i="4"/>
  <c r="E1008" i="4"/>
  <c r="X1008" i="4"/>
  <c r="Q1008" i="4"/>
  <c r="W1008" i="4"/>
  <c r="N1008" i="4"/>
  <c r="Z1008" i="4"/>
  <c r="K1008" i="4"/>
  <c r="W904" i="4"/>
  <c r="N904" i="4"/>
  <c r="W800" i="4"/>
  <c r="N800" i="4"/>
  <c r="Z904" i="4"/>
  <c r="K904" i="4"/>
  <c r="Z800" i="4"/>
  <c r="K800" i="4"/>
  <c r="T904" i="4"/>
  <c r="E904" i="4"/>
  <c r="T800" i="4"/>
  <c r="E800" i="4"/>
  <c r="X904" i="4"/>
  <c r="Q904" i="4"/>
  <c r="X800" i="4"/>
  <c r="Q800" i="4"/>
  <c r="T696" i="4"/>
  <c r="E696" i="4"/>
  <c r="T592" i="4"/>
  <c r="E592" i="4"/>
  <c r="X696" i="4"/>
  <c r="Q696" i="4"/>
  <c r="X592" i="4"/>
  <c r="Q592" i="4"/>
  <c r="W696" i="4"/>
  <c r="N696" i="4"/>
  <c r="W592" i="4"/>
  <c r="N592" i="4"/>
  <c r="Z696" i="4"/>
  <c r="K696" i="4"/>
  <c r="Z592" i="4"/>
  <c r="K592" i="4"/>
  <c r="V592" i="4" s="1"/>
  <c r="Z488" i="4"/>
  <c r="K488" i="4"/>
  <c r="Z384" i="4"/>
  <c r="K384" i="4"/>
  <c r="T488" i="4"/>
  <c r="E488" i="4"/>
  <c r="T384" i="4"/>
  <c r="E384" i="4"/>
  <c r="X488" i="4"/>
  <c r="Q488" i="4"/>
  <c r="X384" i="4"/>
  <c r="Q384" i="4"/>
  <c r="W488" i="4"/>
  <c r="N488" i="4"/>
  <c r="W384" i="4"/>
  <c r="N384" i="4"/>
  <c r="X280" i="4"/>
  <c r="Q280" i="4"/>
  <c r="X176" i="4"/>
  <c r="Q176" i="4"/>
  <c r="X72" i="4"/>
  <c r="Q72" i="4"/>
  <c r="W280" i="4"/>
  <c r="N280" i="4"/>
  <c r="W176" i="4"/>
  <c r="N176" i="4"/>
  <c r="W72" i="4"/>
  <c r="N72" i="4"/>
  <c r="Z280" i="4"/>
  <c r="K280" i="4"/>
  <c r="Z176" i="4"/>
  <c r="K176" i="4"/>
  <c r="Z72" i="4"/>
  <c r="K72" i="4"/>
  <c r="T280" i="4"/>
  <c r="E280" i="4"/>
  <c r="T176" i="4"/>
  <c r="E176" i="4"/>
  <c r="T72" i="4"/>
  <c r="E72" i="4"/>
  <c r="X1218" i="4"/>
  <c r="Q1218" i="4"/>
  <c r="W1218" i="4"/>
  <c r="N1218" i="4"/>
  <c r="Z1218" i="4"/>
  <c r="K1218" i="4"/>
  <c r="T1218" i="4"/>
  <c r="E1218" i="4"/>
  <c r="X1114" i="4"/>
  <c r="Q1114" i="4"/>
  <c r="W1114" i="4"/>
  <c r="N1114" i="4"/>
  <c r="Z1114" i="4"/>
  <c r="K1114" i="4"/>
  <c r="T1114" i="4"/>
  <c r="E1114" i="4"/>
  <c r="T1010" i="4"/>
  <c r="E1010" i="4"/>
  <c r="X1010" i="4"/>
  <c r="Q1010" i="4"/>
  <c r="W1010" i="4"/>
  <c r="N1010" i="4"/>
  <c r="Z1010" i="4"/>
  <c r="K1010" i="4"/>
  <c r="W906" i="4"/>
  <c r="N906" i="4"/>
  <c r="W802" i="4"/>
  <c r="N802" i="4"/>
  <c r="Z906" i="4"/>
  <c r="K906" i="4"/>
  <c r="Z802" i="4"/>
  <c r="K802" i="4"/>
  <c r="T906" i="4"/>
  <c r="E906" i="4"/>
  <c r="T802" i="4"/>
  <c r="E802" i="4"/>
  <c r="X906" i="4"/>
  <c r="Q906" i="4"/>
  <c r="X802" i="4"/>
  <c r="Q802" i="4"/>
  <c r="T698" i="4"/>
  <c r="E698" i="4"/>
  <c r="T594" i="4"/>
  <c r="E594" i="4"/>
  <c r="X698" i="4"/>
  <c r="Q698" i="4"/>
  <c r="X594" i="4"/>
  <c r="Q594" i="4"/>
  <c r="W698" i="4"/>
  <c r="N698" i="4"/>
  <c r="W594" i="4"/>
  <c r="N594" i="4"/>
  <c r="Z698" i="4"/>
  <c r="K698" i="4"/>
  <c r="Z594" i="4"/>
  <c r="K594" i="4"/>
  <c r="V594" i="4" s="1"/>
  <c r="Z490" i="4"/>
  <c r="K490" i="4"/>
  <c r="Z386" i="4"/>
  <c r="K386" i="4"/>
  <c r="T490" i="4"/>
  <c r="E490" i="4"/>
  <c r="T386" i="4"/>
  <c r="E386" i="4"/>
  <c r="X490" i="4"/>
  <c r="Q490" i="4"/>
  <c r="X386" i="4"/>
  <c r="Q386" i="4"/>
  <c r="W490" i="4"/>
  <c r="N490" i="4"/>
  <c r="W386" i="4"/>
  <c r="N386" i="4"/>
  <c r="X282" i="4"/>
  <c r="Q282" i="4"/>
  <c r="X178" i="4"/>
  <c r="Q178" i="4"/>
  <c r="X74" i="4"/>
  <c r="Q74" i="4"/>
  <c r="W282" i="4"/>
  <c r="N282" i="4"/>
  <c r="W178" i="4"/>
  <c r="N178" i="4"/>
  <c r="W74" i="4"/>
  <c r="N74" i="4"/>
  <c r="Z282" i="4"/>
  <c r="K282" i="4"/>
  <c r="Z178" i="4"/>
  <c r="K178" i="4"/>
  <c r="Z74" i="4"/>
  <c r="K74" i="4"/>
  <c r="T282" i="4"/>
  <c r="E282" i="4"/>
  <c r="T178" i="4"/>
  <c r="E178" i="4"/>
  <c r="T74" i="4"/>
  <c r="E74" i="4"/>
  <c r="X1220" i="4"/>
  <c r="Q1220" i="4"/>
  <c r="W1220" i="4"/>
  <c r="N1220" i="4"/>
  <c r="Z1220" i="4"/>
  <c r="K1220" i="4"/>
  <c r="T1220" i="4"/>
  <c r="E1220" i="4"/>
  <c r="X1116" i="4"/>
  <c r="Q1116" i="4"/>
  <c r="W1116" i="4"/>
  <c r="N1116" i="4"/>
  <c r="Z1116" i="4"/>
  <c r="K1116" i="4"/>
  <c r="T1116" i="4"/>
  <c r="E1116" i="4"/>
  <c r="T1012" i="4"/>
  <c r="E1012" i="4"/>
  <c r="X1012" i="4"/>
  <c r="Q1012" i="4"/>
  <c r="W1012" i="4"/>
  <c r="N1012" i="4"/>
  <c r="Z1012" i="4"/>
  <c r="K1012" i="4"/>
  <c r="W908" i="4"/>
  <c r="N908" i="4"/>
  <c r="W804" i="4"/>
  <c r="N804" i="4"/>
  <c r="Z908" i="4"/>
  <c r="K908" i="4"/>
  <c r="Z804" i="4"/>
  <c r="K804" i="4"/>
  <c r="T908" i="4"/>
  <c r="E908" i="4"/>
  <c r="T804" i="4"/>
  <c r="E804" i="4"/>
  <c r="X908" i="4"/>
  <c r="Q908" i="4"/>
  <c r="X804" i="4"/>
  <c r="Q804" i="4"/>
  <c r="T700" i="4"/>
  <c r="E700" i="4"/>
  <c r="T596" i="4"/>
  <c r="E596" i="4"/>
  <c r="X700" i="4"/>
  <c r="Q700" i="4"/>
  <c r="X596" i="4"/>
  <c r="Q596" i="4"/>
  <c r="W700" i="4"/>
  <c r="N700" i="4"/>
  <c r="W596" i="4"/>
  <c r="N596" i="4"/>
  <c r="Z700" i="4"/>
  <c r="K700" i="4"/>
  <c r="Z596" i="4"/>
  <c r="K596" i="4"/>
  <c r="V596" i="4" s="1"/>
  <c r="Z492" i="4"/>
  <c r="K492" i="4"/>
  <c r="Z388" i="4"/>
  <c r="K388" i="4"/>
  <c r="T492" i="4"/>
  <c r="E492" i="4"/>
  <c r="T388" i="4"/>
  <c r="E388" i="4"/>
  <c r="X492" i="4"/>
  <c r="Q492" i="4"/>
  <c r="X388" i="4"/>
  <c r="Q388" i="4"/>
  <c r="W492" i="4"/>
  <c r="N492" i="4"/>
  <c r="W388" i="4"/>
  <c r="N388" i="4"/>
  <c r="X284" i="4"/>
  <c r="Q284" i="4"/>
  <c r="X180" i="4"/>
  <c r="Q180" i="4"/>
  <c r="X76" i="4"/>
  <c r="Q76" i="4"/>
  <c r="W284" i="4"/>
  <c r="N284" i="4"/>
  <c r="W180" i="4"/>
  <c r="N180" i="4"/>
  <c r="W76" i="4"/>
  <c r="N76" i="4"/>
  <c r="Z284" i="4"/>
  <c r="K284" i="4"/>
  <c r="Z180" i="4"/>
  <c r="K180" i="4"/>
  <c r="Z76" i="4"/>
  <c r="K76" i="4"/>
  <c r="T284" i="4"/>
  <c r="E284" i="4"/>
  <c r="T180" i="4"/>
  <c r="E180" i="4"/>
  <c r="T76" i="4"/>
  <c r="E76" i="4"/>
  <c r="X1222" i="4"/>
  <c r="Q1222" i="4"/>
  <c r="W1222" i="4"/>
  <c r="N1222" i="4"/>
  <c r="Z1222" i="4"/>
  <c r="K1222" i="4"/>
  <c r="T1222" i="4"/>
  <c r="E1222" i="4"/>
  <c r="X1118" i="4"/>
  <c r="Q1118" i="4"/>
  <c r="W1118" i="4"/>
  <c r="N1118" i="4"/>
  <c r="Z1118" i="4"/>
  <c r="K1118" i="4"/>
  <c r="T1118" i="4"/>
  <c r="E1118" i="4"/>
  <c r="T1014" i="4"/>
  <c r="E1014" i="4"/>
  <c r="X1014" i="4"/>
  <c r="Q1014" i="4"/>
  <c r="W1014" i="4"/>
  <c r="N1014" i="4"/>
  <c r="Z1014" i="4"/>
  <c r="K1014" i="4"/>
  <c r="W910" i="4"/>
  <c r="N910" i="4"/>
  <c r="W806" i="4"/>
  <c r="N806" i="4"/>
  <c r="Z910" i="4"/>
  <c r="K910" i="4"/>
  <c r="Z806" i="4"/>
  <c r="K806" i="4"/>
  <c r="T910" i="4"/>
  <c r="E910" i="4"/>
  <c r="T806" i="4"/>
  <c r="E806" i="4"/>
  <c r="X910" i="4"/>
  <c r="Q910" i="4"/>
  <c r="X806" i="4"/>
  <c r="Q806" i="4"/>
  <c r="T702" i="4"/>
  <c r="E702" i="4"/>
  <c r="T598" i="4"/>
  <c r="E598" i="4"/>
  <c r="X702" i="4"/>
  <c r="Q702" i="4"/>
  <c r="X598" i="4"/>
  <c r="Q598" i="4"/>
  <c r="W702" i="4"/>
  <c r="N702" i="4"/>
  <c r="W598" i="4"/>
  <c r="N598" i="4"/>
  <c r="Z702" i="4"/>
  <c r="K702" i="4"/>
  <c r="Z598" i="4"/>
  <c r="K598" i="4"/>
  <c r="V598" i="4" s="1"/>
  <c r="Z494" i="4"/>
  <c r="K494" i="4"/>
  <c r="Z390" i="4"/>
  <c r="K390" i="4"/>
  <c r="Z286" i="4"/>
  <c r="K286" i="4"/>
  <c r="T494" i="4"/>
  <c r="E494" i="4"/>
  <c r="T390" i="4"/>
  <c r="E390" i="4"/>
  <c r="T286" i="4"/>
  <c r="E286" i="4"/>
  <c r="X494" i="4"/>
  <c r="Q494" i="4"/>
  <c r="X390" i="4"/>
  <c r="Q390" i="4"/>
  <c r="X286" i="4"/>
  <c r="Q286" i="4"/>
  <c r="W494" i="4"/>
  <c r="N494" i="4"/>
  <c r="W390" i="4"/>
  <c r="N390" i="4"/>
  <c r="W286" i="4"/>
  <c r="N286" i="4"/>
  <c r="X182" i="4"/>
  <c r="Q182" i="4"/>
  <c r="X78" i="4"/>
  <c r="Q78" i="4"/>
  <c r="W182" i="4"/>
  <c r="N182" i="4"/>
  <c r="W78" i="4"/>
  <c r="N78" i="4"/>
  <c r="Z182" i="4"/>
  <c r="K182" i="4"/>
  <c r="Z78" i="4"/>
  <c r="K78" i="4"/>
  <c r="T182" i="4"/>
  <c r="E182" i="4"/>
  <c r="T78" i="4"/>
  <c r="E78" i="4"/>
  <c r="W1224" i="4"/>
  <c r="N1224" i="4"/>
  <c r="X1224" i="4"/>
  <c r="Q1224" i="4"/>
  <c r="T1224" i="4"/>
  <c r="Z1224" i="4"/>
  <c r="K1224" i="4"/>
  <c r="E1224" i="4"/>
  <c r="X1120" i="4"/>
  <c r="Q1120" i="4"/>
  <c r="W1120" i="4"/>
  <c r="N1120" i="4"/>
  <c r="Z1120" i="4"/>
  <c r="K1120" i="4"/>
  <c r="T1120" i="4"/>
  <c r="E1120" i="4"/>
  <c r="T1016" i="4"/>
  <c r="E1016" i="4"/>
  <c r="X1016" i="4"/>
  <c r="Q1016" i="4"/>
  <c r="W1016" i="4"/>
  <c r="N1016" i="4"/>
  <c r="Z1016" i="4"/>
  <c r="K1016" i="4"/>
  <c r="W912" i="4"/>
  <c r="N912" i="4"/>
  <c r="W808" i="4"/>
  <c r="N808" i="4"/>
  <c r="Z912" i="4"/>
  <c r="K912" i="4"/>
  <c r="Z808" i="4"/>
  <c r="K808" i="4"/>
  <c r="T912" i="4"/>
  <c r="E912" i="4"/>
  <c r="T808" i="4"/>
  <c r="E808" i="4"/>
  <c r="X912" i="4"/>
  <c r="Q912" i="4"/>
  <c r="X808" i="4"/>
  <c r="Q808" i="4"/>
  <c r="T704" i="4"/>
  <c r="E704" i="4"/>
  <c r="T600" i="4"/>
  <c r="E600" i="4"/>
  <c r="X704" i="4"/>
  <c r="Q704" i="4"/>
  <c r="X600" i="4"/>
  <c r="Q600" i="4"/>
  <c r="X496" i="4"/>
  <c r="Q496" i="4"/>
  <c r="W704" i="4"/>
  <c r="N704" i="4"/>
  <c r="W600" i="4"/>
  <c r="N600" i="4"/>
  <c r="Z704" i="4"/>
  <c r="K704" i="4"/>
  <c r="Z600" i="4"/>
  <c r="K600" i="4"/>
  <c r="Z496" i="4"/>
  <c r="K496" i="4"/>
  <c r="Z392" i="4"/>
  <c r="K392" i="4"/>
  <c r="Z288" i="4"/>
  <c r="K288" i="4"/>
  <c r="W496" i="4"/>
  <c r="T392" i="4"/>
  <c r="E392" i="4"/>
  <c r="T288" i="4"/>
  <c r="E288" i="4"/>
  <c r="T496" i="4"/>
  <c r="E496" i="4"/>
  <c r="X392" i="4"/>
  <c r="Q392" i="4"/>
  <c r="X288" i="4"/>
  <c r="Q288" i="4"/>
  <c r="N496" i="4"/>
  <c r="W392" i="4"/>
  <c r="N392" i="4"/>
  <c r="W288" i="4"/>
  <c r="N288" i="4"/>
  <c r="X184" i="4"/>
  <c r="Q184" i="4"/>
  <c r="X80" i="4"/>
  <c r="Q80" i="4"/>
  <c r="W184" i="4"/>
  <c r="N184" i="4"/>
  <c r="W80" i="4"/>
  <c r="N80" i="4"/>
  <c r="Z184" i="4"/>
  <c r="K184" i="4"/>
  <c r="Z80" i="4"/>
  <c r="K80" i="4"/>
  <c r="V80" i="4" s="1"/>
  <c r="T184" i="4"/>
  <c r="E184" i="4"/>
  <c r="T80" i="4"/>
  <c r="E80" i="4"/>
  <c r="W1226" i="4"/>
  <c r="N1226" i="4"/>
  <c r="X1226" i="4"/>
  <c r="Q1226" i="4"/>
  <c r="Z1226" i="4"/>
  <c r="K1226" i="4"/>
  <c r="T1226" i="4"/>
  <c r="E1226" i="4"/>
  <c r="X1122" i="4"/>
  <c r="Q1122" i="4"/>
  <c r="W1122" i="4"/>
  <c r="N1122" i="4"/>
  <c r="Z1122" i="4"/>
  <c r="K1122" i="4"/>
  <c r="T1122" i="4"/>
  <c r="E1122" i="4"/>
  <c r="T1018" i="4"/>
  <c r="E1018" i="4"/>
  <c r="X1018" i="4"/>
  <c r="Q1018" i="4"/>
  <c r="W1018" i="4"/>
  <c r="N1018" i="4"/>
  <c r="Z1018" i="4"/>
  <c r="K1018" i="4"/>
  <c r="W914" i="4"/>
  <c r="N914" i="4"/>
  <c r="W810" i="4"/>
  <c r="N810" i="4"/>
  <c r="Z914" i="4"/>
  <c r="K914" i="4"/>
  <c r="Z810" i="4"/>
  <c r="K810" i="4"/>
  <c r="Z706" i="4"/>
  <c r="K706" i="4"/>
  <c r="T914" i="4"/>
  <c r="E914" i="4"/>
  <c r="T810" i="4"/>
  <c r="E810" i="4"/>
  <c r="X914" i="4"/>
  <c r="Q914" i="4"/>
  <c r="X810" i="4"/>
  <c r="Q810" i="4"/>
  <c r="X706" i="4"/>
  <c r="Q706" i="4"/>
  <c r="N706" i="4"/>
  <c r="T602" i="4"/>
  <c r="E602" i="4"/>
  <c r="X602" i="4"/>
  <c r="Q602" i="4"/>
  <c r="X498" i="4"/>
  <c r="Q498" i="4"/>
  <c r="W706" i="4"/>
  <c r="W602" i="4"/>
  <c r="N602" i="4"/>
  <c r="T706" i="4"/>
  <c r="E706" i="4"/>
  <c r="Z602" i="4"/>
  <c r="K602" i="4"/>
  <c r="Z498" i="4"/>
  <c r="K498" i="4"/>
  <c r="T498" i="4"/>
  <c r="E498" i="4"/>
  <c r="Z394" i="4"/>
  <c r="K394" i="4"/>
  <c r="Z290" i="4"/>
  <c r="K290" i="4"/>
  <c r="N498" i="4"/>
  <c r="T394" i="4"/>
  <c r="E394" i="4"/>
  <c r="T290" i="4"/>
  <c r="E290" i="4"/>
  <c r="X394" i="4"/>
  <c r="Q394" i="4"/>
  <c r="X290" i="4"/>
  <c r="Q290" i="4"/>
  <c r="W498" i="4"/>
  <c r="W394" i="4"/>
  <c r="N394" i="4"/>
  <c r="W290" i="4"/>
  <c r="N290" i="4"/>
  <c r="X186" i="4"/>
  <c r="Q186" i="4"/>
  <c r="X82" i="4"/>
  <c r="Q82" i="4"/>
  <c r="W186" i="4"/>
  <c r="N186" i="4"/>
  <c r="W82" i="4"/>
  <c r="N82" i="4"/>
  <c r="Z186" i="4"/>
  <c r="K186" i="4"/>
  <c r="Z82" i="4"/>
  <c r="K82" i="4"/>
  <c r="T186" i="4"/>
  <c r="E186" i="4"/>
  <c r="T82" i="4"/>
  <c r="E82" i="4"/>
  <c r="W1228" i="4"/>
  <c r="N1228" i="4"/>
  <c r="X1228" i="4"/>
  <c r="Q1228" i="4"/>
  <c r="T1228" i="4"/>
  <c r="E1228" i="4"/>
  <c r="Z1228" i="4"/>
  <c r="K1228" i="4"/>
  <c r="X1124" i="4"/>
  <c r="Q1124" i="4"/>
  <c r="W1124" i="4"/>
  <c r="N1124" i="4"/>
  <c r="Z1124" i="4"/>
  <c r="K1124" i="4"/>
  <c r="T1124" i="4"/>
  <c r="E1124" i="4"/>
  <c r="T1020" i="4"/>
  <c r="E1020" i="4"/>
  <c r="X1020" i="4"/>
  <c r="Q1020" i="4"/>
  <c r="W1020" i="4"/>
  <c r="N1020" i="4"/>
  <c r="Z1020" i="4"/>
  <c r="K1020" i="4"/>
  <c r="W916" i="4"/>
  <c r="N916" i="4"/>
  <c r="W812" i="4"/>
  <c r="N812" i="4"/>
  <c r="Z916" i="4"/>
  <c r="K916" i="4"/>
  <c r="Z812" i="4"/>
  <c r="K812" i="4"/>
  <c r="Z708" i="4"/>
  <c r="K708" i="4"/>
  <c r="T916" i="4"/>
  <c r="E916" i="4"/>
  <c r="T812" i="4"/>
  <c r="E812" i="4"/>
  <c r="X916" i="4"/>
  <c r="Q916" i="4"/>
  <c r="X812" i="4"/>
  <c r="Q812" i="4"/>
  <c r="X708" i="4"/>
  <c r="Q708" i="4"/>
  <c r="W708" i="4"/>
  <c r="T604" i="4"/>
  <c r="E604" i="4"/>
  <c r="T708" i="4"/>
  <c r="E708" i="4"/>
  <c r="X604" i="4"/>
  <c r="Q604" i="4"/>
  <c r="X500" i="4"/>
  <c r="Q500" i="4"/>
  <c r="N708" i="4"/>
  <c r="W604" i="4"/>
  <c r="N604" i="4"/>
  <c r="W500" i="4"/>
  <c r="N500" i="4"/>
  <c r="Z604" i="4"/>
  <c r="K604" i="4"/>
  <c r="V604" i="4" s="1"/>
  <c r="Z500" i="4"/>
  <c r="K500" i="4"/>
  <c r="T500" i="4"/>
  <c r="Z396" i="4"/>
  <c r="K396" i="4"/>
  <c r="Z292" i="4"/>
  <c r="K292" i="4"/>
  <c r="T396" i="4"/>
  <c r="E396" i="4"/>
  <c r="T292" i="4"/>
  <c r="E292" i="4"/>
  <c r="E500" i="4"/>
  <c r="X396" i="4"/>
  <c r="Q396" i="4"/>
  <c r="X292" i="4"/>
  <c r="Q292" i="4"/>
  <c r="W396" i="4"/>
  <c r="N396" i="4"/>
  <c r="W292" i="4"/>
  <c r="N292" i="4"/>
  <c r="X188" i="4"/>
  <c r="Q188" i="4"/>
  <c r="X84" i="4"/>
  <c r="Q84" i="4"/>
  <c r="W188" i="4"/>
  <c r="N188" i="4"/>
  <c r="W84" i="4"/>
  <c r="N84" i="4"/>
  <c r="Z188" i="4"/>
  <c r="K188" i="4"/>
  <c r="Z84" i="4"/>
  <c r="K84" i="4"/>
  <c r="T188" i="4"/>
  <c r="E188" i="4"/>
  <c r="T84" i="4"/>
  <c r="E84" i="4"/>
  <c r="W1230" i="4"/>
  <c r="N1230" i="4"/>
  <c r="X1230" i="4"/>
  <c r="Q1230" i="4"/>
  <c r="T1230" i="4"/>
  <c r="E1230" i="4"/>
  <c r="Z1230" i="4"/>
  <c r="K1230" i="4"/>
  <c r="X1126" i="4"/>
  <c r="Q1126" i="4"/>
  <c r="W1126" i="4"/>
  <c r="N1126" i="4"/>
  <c r="Z1126" i="4"/>
  <c r="K1126" i="4"/>
  <c r="T1126" i="4"/>
  <c r="E1126" i="4"/>
  <c r="T1022" i="4"/>
  <c r="E1022" i="4"/>
  <c r="X1022" i="4"/>
  <c r="Q1022" i="4"/>
  <c r="X918" i="4"/>
  <c r="Q918" i="4"/>
  <c r="W1022" i="4"/>
  <c r="N1022" i="4"/>
  <c r="Z1022" i="4"/>
  <c r="K1022" i="4"/>
  <c r="Z918" i="4"/>
  <c r="K918" i="4"/>
  <c r="T918" i="4"/>
  <c r="E918" i="4"/>
  <c r="W814" i="4"/>
  <c r="N814" i="4"/>
  <c r="N918" i="4"/>
  <c r="Z814" i="4"/>
  <c r="K814" i="4"/>
  <c r="Z710" i="4"/>
  <c r="K710" i="4"/>
  <c r="T814" i="4"/>
  <c r="E814" i="4"/>
  <c r="W918" i="4"/>
  <c r="X814" i="4"/>
  <c r="Q814" i="4"/>
  <c r="X710" i="4"/>
  <c r="Q710" i="4"/>
  <c r="N710" i="4"/>
  <c r="T606" i="4"/>
  <c r="E606" i="4"/>
  <c r="X606" i="4"/>
  <c r="Q606" i="4"/>
  <c r="X502" i="4"/>
  <c r="Q502" i="4"/>
  <c r="W710" i="4"/>
  <c r="W606" i="4"/>
  <c r="N606" i="4"/>
  <c r="W502" i="4"/>
  <c r="N502" i="4"/>
  <c r="T710" i="4"/>
  <c r="E710" i="4"/>
  <c r="Z606" i="4"/>
  <c r="K606" i="4"/>
  <c r="Z502" i="4"/>
  <c r="K502" i="4"/>
  <c r="E502" i="4"/>
  <c r="Z398" i="4"/>
  <c r="K398" i="4"/>
  <c r="Z294" i="4"/>
  <c r="K294" i="4"/>
  <c r="T398" i="4"/>
  <c r="E398" i="4"/>
  <c r="T294" i="4"/>
  <c r="E294" i="4"/>
  <c r="T502" i="4"/>
  <c r="X398" i="4"/>
  <c r="Q398" i="4"/>
  <c r="X294" i="4"/>
  <c r="Q294" i="4"/>
  <c r="W398" i="4"/>
  <c r="N398" i="4"/>
  <c r="W294" i="4"/>
  <c r="N294" i="4"/>
  <c r="X190" i="4"/>
  <c r="Q190" i="4"/>
  <c r="X86" i="4"/>
  <c r="Q86" i="4"/>
  <c r="W190" i="4"/>
  <c r="N190" i="4"/>
  <c r="W86" i="4"/>
  <c r="N86" i="4"/>
  <c r="Z190" i="4"/>
  <c r="K190" i="4"/>
  <c r="Z86" i="4"/>
  <c r="K86" i="4"/>
  <c r="T190" i="4"/>
  <c r="E190" i="4"/>
  <c r="T86" i="4"/>
  <c r="E86" i="4"/>
  <c r="W1232" i="4"/>
  <c r="N1232" i="4"/>
  <c r="X1232" i="4"/>
  <c r="Q1232" i="4"/>
  <c r="T1232" i="4"/>
  <c r="E1232" i="4"/>
  <c r="Z1232" i="4"/>
  <c r="K1232" i="4"/>
  <c r="X1128" i="4"/>
  <c r="Q1128" i="4"/>
  <c r="W1128" i="4"/>
  <c r="N1128" i="4"/>
  <c r="Z1128" i="4"/>
  <c r="K1128" i="4"/>
  <c r="T1128" i="4"/>
  <c r="E1128" i="4"/>
  <c r="T1024" i="4"/>
  <c r="E1024" i="4"/>
  <c r="T920" i="4"/>
  <c r="X1024" i="4"/>
  <c r="Q1024" i="4"/>
  <c r="X920" i="4"/>
  <c r="Q920" i="4"/>
  <c r="W1024" i="4"/>
  <c r="N1024" i="4"/>
  <c r="Z1024" i="4"/>
  <c r="K1024" i="4"/>
  <c r="Z920" i="4"/>
  <c r="K920" i="4"/>
  <c r="W816" i="4"/>
  <c r="N816" i="4"/>
  <c r="Z816" i="4"/>
  <c r="K816" i="4"/>
  <c r="Z712" i="4"/>
  <c r="K712" i="4"/>
  <c r="W920" i="4"/>
  <c r="E920" i="4"/>
  <c r="T816" i="4"/>
  <c r="E816" i="4"/>
  <c r="N920" i="4"/>
  <c r="X816" i="4"/>
  <c r="Q816" i="4"/>
  <c r="X712" i="4"/>
  <c r="Q712" i="4"/>
  <c r="W712" i="4"/>
  <c r="T608" i="4"/>
  <c r="E608" i="4"/>
  <c r="T712" i="4"/>
  <c r="E712" i="4"/>
  <c r="X608" i="4"/>
  <c r="Q608" i="4"/>
  <c r="X504" i="4"/>
  <c r="Q504" i="4"/>
  <c r="N712" i="4"/>
  <c r="W608" i="4"/>
  <c r="N608" i="4"/>
  <c r="W504" i="4"/>
  <c r="N504" i="4"/>
  <c r="Z608" i="4"/>
  <c r="K608" i="4"/>
  <c r="V608" i="4" s="1"/>
  <c r="Z504" i="4"/>
  <c r="K504" i="4"/>
  <c r="T504" i="4"/>
  <c r="Z400" i="4"/>
  <c r="K400" i="4"/>
  <c r="Z296" i="4"/>
  <c r="K296" i="4"/>
  <c r="T400" i="4"/>
  <c r="E400" i="4"/>
  <c r="T296" i="4"/>
  <c r="E296" i="4"/>
  <c r="E504" i="4"/>
  <c r="X400" i="4"/>
  <c r="Q400" i="4"/>
  <c r="X296" i="4"/>
  <c r="Q296" i="4"/>
  <c r="W400" i="4"/>
  <c r="N400" i="4"/>
  <c r="W296" i="4"/>
  <c r="N296" i="4"/>
  <c r="X192" i="4"/>
  <c r="Q192" i="4"/>
  <c r="X88" i="4"/>
  <c r="Q88" i="4"/>
  <c r="W192" i="4"/>
  <c r="N192" i="4"/>
  <c r="W88" i="4"/>
  <c r="N88" i="4"/>
  <c r="Z192" i="4"/>
  <c r="K192" i="4"/>
  <c r="Z88" i="4"/>
  <c r="K88" i="4"/>
  <c r="T192" i="4"/>
  <c r="E192" i="4"/>
  <c r="T88" i="4"/>
  <c r="E88" i="4"/>
  <c r="W1234" i="4"/>
  <c r="N1234" i="4"/>
  <c r="X1234" i="4"/>
  <c r="Q1234" i="4"/>
  <c r="Z1234" i="4"/>
  <c r="K1234" i="4"/>
  <c r="T1234" i="4"/>
  <c r="E1234" i="4"/>
  <c r="X1130" i="4"/>
  <c r="Q1130" i="4"/>
  <c r="X1026" i="4"/>
  <c r="Q1026" i="4"/>
  <c r="W1130" i="4"/>
  <c r="N1130" i="4"/>
  <c r="W1026" i="4"/>
  <c r="N1026" i="4"/>
  <c r="Z1130" i="4"/>
  <c r="K1130" i="4"/>
  <c r="Z1026" i="4"/>
  <c r="K1026" i="4"/>
  <c r="T1130" i="4"/>
  <c r="E1130" i="4"/>
  <c r="T1026" i="4"/>
  <c r="E1026" i="4"/>
  <c r="T922" i="4"/>
  <c r="E922" i="4"/>
  <c r="X922" i="4"/>
  <c r="Q922" i="4"/>
  <c r="W922" i="4"/>
  <c r="N922" i="4"/>
  <c r="Z922" i="4"/>
  <c r="K922" i="4"/>
  <c r="W818" i="4"/>
  <c r="N818" i="4"/>
  <c r="W714" i="4"/>
  <c r="N714" i="4"/>
  <c r="Z818" i="4"/>
  <c r="K818" i="4"/>
  <c r="Z714" i="4"/>
  <c r="K714" i="4"/>
  <c r="T818" i="4"/>
  <c r="E818" i="4"/>
  <c r="T714" i="4"/>
  <c r="E714" i="4"/>
  <c r="X818" i="4"/>
  <c r="Q818" i="4"/>
  <c r="X714" i="4"/>
  <c r="Q714" i="4"/>
  <c r="T610" i="4"/>
  <c r="E610" i="4"/>
  <c r="X610" i="4"/>
  <c r="Q610" i="4"/>
  <c r="X506" i="4"/>
  <c r="Q506" i="4"/>
  <c r="W610" i="4"/>
  <c r="N610" i="4"/>
  <c r="W506" i="4"/>
  <c r="N506" i="4"/>
  <c r="Z610" i="4"/>
  <c r="K610" i="4"/>
  <c r="Z506" i="4"/>
  <c r="K506" i="4"/>
  <c r="E506" i="4"/>
  <c r="Z402" i="4"/>
  <c r="K402" i="4"/>
  <c r="Z298" i="4"/>
  <c r="K298" i="4"/>
  <c r="T402" i="4"/>
  <c r="E402" i="4"/>
  <c r="T298" i="4"/>
  <c r="E298" i="4"/>
  <c r="T506" i="4"/>
  <c r="X402" i="4"/>
  <c r="Q402" i="4"/>
  <c r="X298" i="4"/>
  <c r="Q298" i="4"/>
  <c r="W402" i="4"/>
  <c r="N402" i="4"/>
  <c r="W298" i="4"/>
  <c r="N298" i="4"/>
  <c r="X194" i="4"/>
  <c r="Q194" i="4"/>
  <c r="X90" i="4"/>
  <c r="Q90" i="4"/>
  <c r="W194" i="4"/>
  <c r="N194" i="4"/>
  <c r="W90" i="4"/>
  <c r="N90" i="4"/>
  <c r="Z194" i="4"/>
  <c r="K194" i="4"/>
  <c r="Z90" i="4"/>
  <c r="K90" i="4"/>
  <c r="T194" i="4"/>
  <c r="E194" i="4"/>
  <c r="T90" i="4"/>
  <c r="E90" i="4"/>
  <c r="W1236" i="4"/>
  <c r="N1236" i="4"/>
  <c r="X1236" i="4"/>
  <c r="Q1236" i="4"/>
  <c r="T1236" i="4"/>
  <c r="E1236" i="4"/>
  <c r="X1132" i="4"/>
  <c r="Q1132" i="4"/>
  <c r="Z1236" i="4"/>
  <c r="K1236" i="4"/>
  <c r="W1132" i="4"/>
  <c r="N1132" i="4"/>
  <c r="Z1132" i="4"/>
  <c r="K1132" i="4"/>
  <c r="T1132" i="4"/>
  <c r="X1028" i="4"/>
  <c r="Q1028" i="4"/>
  <c r="W1028" i="4"/>
  <c r="N1028" i="4"/>
  <c r="Z1028" i="4"/>
  <c r="K1028" i="4"/>
  <c r="V1028" i="4" s="1"/>
  <c r="E1132" i="4"/>
  <c r="T1028" i="4"/>
  <c r="E1028" i="4"/>
  <c r="T924" i="4"/>
  <c r="E924" i="4"/>
  <c r="X924" i="4"/>
  <c r="Q924" i="4"/>
  <c r="W924" i="4"/>
  <c r="N924" i="4"/>
  <c r="Z924" i="4"/>
  <c r="K924" i="4"/>
  <c r="W820" i="4"/>
  <c r="N820" i="4"/>
  <c r="W716" i="4"/>
  <c r="N716" i="4"/>
  <c r="Z820" i="4"/>
  <c r="K820" i="4"/>
  <c r="Z716" i="4"/>
  <c r="K716" i="4"/>
  <c r="T820" i="4"/>
  <c r="E820" i="4"/>
  <c r="T716" i="4"/>
  <c r="E716" i="4"/>
  <c r="X820" i="4"/>
  <c r="Q820" i="4"/>
  <c r="X716" i="4"/>
  <c r="Q716" i="4"/>
  <c r="T612" i="4"/>
  <c r="E612" i="4"/>
  <c r="X612" i="4"/>
  <c r="Q612" i="4"/>
  <c r="X508" i="4"/>
  <c r="Q508" i="4"/>
  <c r="W612" i="4"/>
  <c r="N612" i="4"/>
  <c r="W508" i="4"/>
  <c r="N508" i="4"/>
  <c r="Z612" i="4"/>
  <c r="K612" i="4"/>
  <c r="Z508" i="4"/>
  <c r="K508" i="4"/>
  <c r="V508" i="4" s="1"/>
  <c r="T508" i="4"/>
  <c r="Z404" i="4"/>
  <c r="K404" i="4"/>
  <c r="Z300" i="4"/>
  <c r="K300" i="4"/>
  <c r="T404" i="4"/>
  <c r="E404" i="4"/>
  <c r="T300" i="4"/>
  <c r="E300" i="4"/>
  <c r="E508" i="4"/>
  <c r="X404" i="4"/>
  <c r="Q404" i="4"/>
  <c r="X300" i="4"/>
  <c r="Q300" i="4"/>
  <c r="W404" i="4"/>
  <c r="N404" i="4"/>
  <c r="W300" i="4"/>
  <c r="N300" i="4"/>
  <c r="X196" i="4"/>
  <c r="Q196" i="4"/>
  <c r="X92" i="4"/>
  <c r="Q92" i="4"/>
  <c r="W196" i="4"/>
  <c r="N196" i="4"/>
  <c r="W92" i="4"/>
  <c r="N92" i="4"/>
  <c r="Z196" i="4"/>
  <c r="K196" i="4"/>
  <c r="Z92" i="4"/>
  <c r="K92" i="4"/>
  <c r="T196" i="4"/>
  <c r="E196" i="4"/>
  <c r="T92" i="4"/>
  <c r="E92" i="4"/>
  <c r="W1238" i="4"/>
  <c r="N1238" i="4"/>
  <c r="X1238" i="4"/>
  <c r="Q1238" i="4"/>
  <c r="X1134" i="4"/>
  <c r="Q1134" i="4"/>
  <c r="T1238" i="4"/>
  <c r="E1238" i="4"/>
  <c r="W1134" i="4"/>
  <c r="N1134" i="4"/>
  <c r="Z1238" i="4"/>
  <c r="K1238" i="4"/>
  <c r="Z1134" i="4"/>
  <c r="K1134" i="4"/>
  <c r="T1134" i="4"/>
  <c r="E1134" i="4"/>
  <c r="X1030" i="4"/>
  <c r="Q1030" i="4"/>
  <c r="W1030" i="4"/>
  <c r="N1030" i="4"/>
  <c r="Z1030" i="4"/>
  <c r="K1030" i="4"/>
  <c r="T1030" i="4"/>
  <c r="E1030" i="4"/>
  <c r="T926" i="4"/>
  <c r="E926" i="4"/>
  <c r="X926" i="4"/>
  <c r="Q926" i="4"/>
  <c r="W926" i="4"/>
  <c r="N926" i="4"/>
  <c r="Z926" i="4"/>
  <c r="K926" i="4"/>
  <c r="W822" i="4"/>
  <c r="N822" i="4"/>
  <c r="W718" i="4"/>
  <c r="N718" i="4"/>
  <c r="Z822" i="4"/>
  <c r="K822" i="4"/>
  <c r="Z718" i="4"/>
  <c r="K718" i="4"/>
  <c r="T822" i="4"/>
  <c r="E822" i="4"/>
  <c r="T718" i="4"/>
  <c r="E718" i="4"/>
  <c r="X822" i="4"/>
  <c r="Q822" i="4"/>
  <c r="X718" i="4"/>
  <c r="Q718" i="4"/>
  <c r="T614" i="4"/>
  <c r="E614" i="4"/>
  <c r="T510" i="4"/>
  <c r="E510" i="4"/>
  <c r="X614" i="4"/>
  <c r="Q614" i="4"/>
  <c r="X510" i="4"/>
  <c r="Q510" i="4"/>
  <c r="W614" i="4"/>
  <c r="N614" i="4"/>
  <c r="W510" i="4"/>
  <c r="N510" i="4"/>
  <c r="Z614" i="4"/>
  <c r="K614" i="4"/>
  <c r="Z510" i="4"/>
  <c r="K510" i="4"/>
  <c r="V510" i="4" s="1"/>
  <c r="Z406" i="4"/>
  <c r="K406" i="4"/>
  <c r="Z302" i="4"/>
  <c r="K302" i="4"/>
  <c r="T406" i="4"/>
  <c r="E406" i="4"/>
  <c r="T302" i="4"/>
  <c r="E302" i="4"/>
  <c r="X406" i="4"/>
  <c r="Q406" i="4"/>
  <c r="X302" i="4"/>
  <c r="Q302" i="4"/>
  <c r="W406" i="4"/>
  <c r="N406" i="4"/>
  <c r="W302" i="4"/>
  <c r="N302" i="4"/>
  <c r="X198" i="4"/>
  <c r="Q198" i="4"/>
  <c r="X94" i="4"/>
  <c r="Q94" i="4"/>
  <c r="W198" i="4"/>
  <c r="N198" i="4"/>
  <c r="W94" i="4"/>
  <c r="N94" i="4"/>
  <c r="Z198" i="4"/>
  <c r="K198" i="4"/>
  <c r="Z94" i="4"/>
  <c r="K94" i="4"/>
  <c r="T198" i="4"/>
  <c r="E198" i="4"/>
  <c r="T94" i="4"/>
  <c r="E94" i="4"/>
  <c r="W1240" i="4"/>
  <c r="N1240" i="4"/>
  <c r="X1240" i="4"/>
  <c r="Q1240" i="4"/>
  <c r="X1136" i="4"/>
  <c r="Q1136" i="4"/>
  <c r="W1136" i="4"/>
  <c r="N1136" i="4"/>
  <c r="T1240" i="4"/>
  <c r="E1240" i="4"/>
  <c r="Z1136" i="4"/>
  <c r="K1136" i="4"/>
  <c r="Z1240" i="4"/>
  <c r="K1240" i="4"/>
  <c r="T1136" i="4"/>
  <c r="E1136" i="4"/>
  <c r="X1032" i="4"/>
  <c r="Q1032" i="4"/>
  <c r="W1032" i="4"/>
  <c r="N1032" i="4"/>
  <c r="Z1032" i="4"/>
  <c r="K1032" i="4"/>
  <c r="T1032" i="4"/>
  <c r="E1032" i="4"/>
  <c r="T928" i="4"/>
  <c r="E928" i="4"/>
  <c r="X928" i="4"/>
  <c r="Q928" i="4"/>
  <c r="W928" i="4"/>
  <c r="N928" i="4"/>
  <c r="Z928" i="4"/>
  <c r="K928" i="4"/>
  <c r="W824" i="4"/>
  <c r="N824" i="4"/>
  <c r="W720" i="4"/>
  <c r="N720" i="4"/>
  <c r="Z824" i="4"/>
  <c r="K824" i="4"/>
  <c r="Z720" i="4"/>
  <c r="K720" i="4"/>
  <c r="T824" i="4"/>
  <c r="E824" i="4"/>
  <c r="T720" i="4"/>
  <c r="E720" i="4"/>
  <c r="X824" i="4"/>
  <c r="Q824" i="4"/>
  <c r="X720" i="4"/>
  <c r="Q720" i="4"/>
  <c r="T616" i="4"/>
  <c r="E616" i="4"/>
  <c r="T512" i="4"/>
  <c r="E512" i="4"/>
  <c r="X616" i="4"/>
  <c r="Q616" i="4"/>
  <c r="X512" i="4"/>
  <c r="Q512" i="4"/>
  <c r="W616" i="4"/>
  <c r="N616" i="4"/>
  <c r="W512" i="4"/>
  <c r="N512" i="4"/>
  <c r="Z616" i="4"/>
  <c r="K616" i="4"/>
  <c r="Z512" i="4"/>
  <c r="K512" i="4"/>
  <c r="V512" i="4" s="1"/>
  <c r="Z408" i="4"/>
  <c r="K408" i="4"/>
  <c r="Z304" i="4"/>
  <c r="K304" i="4"/>
  <c r="T408" i="4"/>
  <c r="E408" i="4"/>
  <c r="T304" i="4"/>
  <c r="E304" i="4"/>
  <c r="X408" i="4"/>
  <c r="Q408" i="4"/>
  <c r="X304" i="4"/>
  <c r="Q304" i="4"/>
  <c r="W408" i="4"/>
  <c r="N408" i="4"/>
  <c r="W304" i="4"/>
  <c r="N304" i="4"/>
  <c r="X200" i="4"/>
  <c r="Q200" i="4"/>
  <c r="X96" i="4"/>
  <c r="Q96" i="4"/>
  <c r="W200" i="4"/>
  <c r="N200" i="4"/>
  <c r="W96" i="4"/>
  <c r="N96" i="4"/>
  <c r="Z200" i="4"/>
  <c r="K200" i="4"/>
  <c r="Z96" i="4"/>
  <c r="K96" i="4"/>
  <c r="T200" i="4"/>
  <c r="E200" i="4"/>
  <c r="T96" i="4"/>
  <c r="E96" i="4"/>
  <c r="W1242" i="4"/>
  <c r="N1242" i="4"/>
  <c r="X1242" i="4"/>
  <c r="Q1242" i="4"/>
  <c r="Z1242" i="4"/>
  <c r="K1242" i="4"/>
  <c r="X1138" i="4"/>
  <c r="Q1138" i="4"/>
  <c r="W1138" i="4"/>
  <c r="N1138" i="4"/>
  <c r="Z1138" i="4"/>
  <c r="K1138" i="4"/>
  <c r="T1242" i="4"/>
  <c r="E1242" i="4"/>
  <c r="T1138" i="4"/>
  <c r="E1138" i="4"/>
  <c r="X1034" i="4"/>
  <c r="Q1034" i="4"/>
  <c r="W1034" i="4"/>
  <c r="N1034" i="4"/>
  <c r="Z1034" i="4"/>
  <c r="K1034" i="4"/>
  <c r="T1034" i="4"/>
  <c r="E1034" i="4"/>
  <c r="T930" i="4"/>
  <c r="E930" i="4"/>
  <c r="X930" i="4"/>
  <c r="Q930" i="4"/>
  <c r="W930" i="4"/>
  <c r="N930" i="4"/>
  <c r="Z930" i="4"/>
  <c r="K930" i="4"/>
  <c r="W826" i="4"/>
  <c r="N826" i="4"/>
  <c r="W722" i="4"/>
  <c r="N722" i="4"/>
  <c r="Z826" i="4"/>
  <c r="K826" i="4"/>
  <c r="Z722" i="4"/>
  <c r="K722" i="4"/>
  <c r="T826" i="4"/>
  <c r="E826" i="4"/>
  <c r="T722" i="4"/>
  <c r="E722" i="4"/>
  <c r="X826" i="4"/>
  <c r="Q826" i="4"/>
  <c r="X722" i="4"/>
  <c r="Q722" i="4"/>
  <c r="T618" i="4"/>
  <c r="E618" i="4"/>
  <c r="T514" i="4"/>
  <c r="E514" i="4"/>
  <c r="X618" i="4"/>
  <c r="Q618" i="4"/>
  <c r="X514" i="4"/>
  <c r="Q514" i="4"/>
  <c r="W618" i="4"/>
  <c r="N618" i="4"/>
  <c r="W514" i="4"/>
  <c r="N514" i="4"/>
  <c r="Z618" i="4"/>
  <c r="K618" i="4"/>
  <c r="Z514" i="4"/>
  <c r="K514" i="4"/>
  <c r="V514" i="4" s="1"/>
  <c r="Z410" i="4"/>
  <c r="K410" i="4"/>
  <c r="Z306" i="4"/>
  <c r="K306" i="4"/>
  <c r="T410" i="4"/>
  <c r="E410" i="4"/>
  <c r="T306" i="4"/>
  <c r="E306" i="4"/>
  <c r="X410" i="4"/>
  <c r="Q410" i="4"/>
  <c r="X306" i="4"/>
  <c r="Q306" i="4"/>
  <c r="W410" i="4"/>
  <c r="N410" i="4"/>
  <c r="W306" i="4"/>
  <c r="N306" i="4"/>
  <c r="X202" i="4"/>
  <c r="Q202" i="4"/>
  <c r="X98" i="4"/>
  <c r="Q98" i="4"/>
  <c r="W202" i="4"/>
  <c r="N202" i="4"/>
  <c r="W98" i="4"/>
  <c r="N98" i="4"/>
  <c r="Z202" i="4"/>
  <c r="K202" i="4"/>
  <c r="Z98" i="4"/>
  <c r="K98" i="4"/>
  <c r="T202" i="4"/>
  <c r="E202" i="4"/>
  <c r="T98" i="4"/>
  <c r="E98" i="4"/>
  <c r="W1244" i="4"/>
  <c r="N1244" i="4"/>
  <c r="X1244" i="4"/>
  <c r="Q1244" i="4"/>
  <c r="T1244" i="4"/>
  <c r="E1244" i="4"/>
  <c r="X1140" i="4"/>
  <c r="Q1140" i="4"/>
  <c r="Z1244" i="4"/>
  <c r="K1244" i="4"/>
  <c r="W1140" i="4"/>
  <c r="N1140" i="4"/>
  <c r="Z1140" i="4"/>
  <c r="K1140" i="4"/>
  <c r="T1140" i="4"/>
  <c r="E1140" i="4"/>
  <c r="X1036" i="4"/>
  <c r="Q1036" i="4"/>
  <c r="W1036" i="4"/>
  <c r="N1036" i="4"/>
  <c r="Z1036" i="4"/>
  <c r="K1036" i="4"/>
  <c r="T1036" i="4"/>
  <c r="E1036" i="4"/>
  <c r="T932" i="4"/>
  <c r="E932" i="4"/>
  <c r="X932" i="4"/>
  <c r="Q932" i="4"/>
  <c r="W932" i="4"/>
  <c r="N932" i="4"/>
  <c r="Z932" i="4"/>
  <c r="K932" i="4"/>
  <c r="W828" i="4"/>
  <c r="N828" i="4"/>
  <c r="W724" i="4"/>
  <c r="N724" i="4"/>
  <c r="Z828" i="4"/>
  <c r="K828" i="4"/>
  <c r="Z724" i="4"/>
  <c r="K724" i="4"/>
  <c r="T828" i="4"/>
  <c r="E828" i="4"/>
  <c r="T724" i="4"/>
  <c r="E724" i="4"/>
  <c r="X828" i="4"/>
  <c r="Q828" i="4"/>
  <c r="X724" i="4"/>
  <c r="Q724" i="4"/>
  <c r="T620" i="4"/>
  <c r="E620" i="4"/>
  <c r="T516" i="4"/>
  <c r="E516" i="4"/>
  <c r="X620" i="4"/>
  <c r="Q620" i="4"/>
  <c r="X516" i="4"/>
  <c r="Q516" i="4"/>
  <c r="W620" i="4"/>
  <c r="N620" i="4"/>
  <c r="W516" i="4"/>
  <c r="N516" i="4"/>
  <c r="Z620" i="4"/>
  <c r="K620" i="4"/>
  <c r="Z516" i="4"/>
  <c r="K516" i="4"/>
  <c r="V516" i="4" s="1"/>
  <c r="Z412" i="4"/>
  <c r="K412" i="4"/>
  <c r="Z308" i="4"/>
  <c r="K308" i="4"/>
  <c r="T412" i="4"/>
  <c r="E412" i="4"/>
  <c r="T308" i="4"/>
  <c r="E308" i="4"/>
  <c r="X412" i="4"/>
  <c r="Q412" i="4"/>
  <c r="X308" i="4"/>
  <c r="Q308" i="4"/>
  <c r="W412" i="4"/>
  <c r="N412" i="4"/>
  <c r="W308" i="4"/>
  <c r="N308" i="4"/>
  <c r="X204" i="4"/>
  <c r="Q204" i="4"/>
  <c r="X100" i="4"/>
  <c r="Q100" i="4"/>
  <c r="W204" i="4"/>
  <c r="N204" i="4"/>
  <c r="W100" i="4"/>
  <c r="N100" i="4"/>
  <c r="Z204" i="4"/>
  <c r="K204" i="4"/>
  <c r="Z100" i="4"/>
  <c r="K100" i="4"/>
  <c r="T204" i="4"/>
  <c r="E204" i="4"/>
  <c r="T100" i="4"/>
  <c r="E100" i="4"/>
  <c r="W1246" i="4"/>
  <c r="N1246" i="4"/>
  <c r="X1246" i="4"/>
  <c r="Q1246" i="4"/>
  <c r="X1142" i="4"/>
  <c r="Q1142" i="4"/>
  <c r="T1246" i="4"/>
  <c r="E1246" i="4"/>
  <c r="W1142" i="4"/>
  <c r="N1142" i="4"/>
  <c r="Z1246" i="4"/>
  <c r="K1246" i="4"/>
  <c r="Z1142" i="4"/>
  <c r="K1142" i="4"/>
  <c r="T1142" i="4"/>
  <c r="E1142" i="4"/>
  <c r="X1038" i="4"/>
  <c r="Q1038" i="4"/>
  <c r="W1038" i="4"/>
  <c r="N1038" i="4"/>
  <c r="Z1038" i="4"/>
  <c r="K1038" i="4"/>
  <c r="T1038" i="4"/>
  <c r="E1038" i="4"/>
  <c r="T934" i="4"/>
  <c r="E934" i="4"/>
  <c r="X934" i="4"/>
  <c r="Q934" i="4"/>
  <c r="W934" i="4"/>
  <c r="N934" i="4"/>
  <c r="Z934" i="4"/>
  <c r="K934" i="4"/>
  <c r="W830" i="4"/>
  <c r="N830" i="4"/>
  <c r="W726" i="4"/>
  <c r="N726" i="4"/>
  <c r="Z830" i="4"/>
  <c r="K830" i="4"/>
  <c r="Z726" i="4"/>
  <c r="K726" i="4"/>
  <c r="T830" i="4"/>
  <c r="E830" i="4"/>
  <c r="T726" i="4"/>
  <c r="E726" i="4"/>
  <c r="X830" i="4"/>
  <c r="Q830" i="4"/>
  <c r="X726" i="4"/>
  <c r="Q726" i="4"/>
  <c r="T622" i="4"/>
  <c r="E622" i="4"/>
  <c r="T518" i="4"/>
  <c r="E518" i="4"/>
  <c r="X622" i="4"/>
  <c r="Q622" i="4"/>
  <c r="X518" i="4"/>
  <c r="Q518" i="4"/>
  <c r="W622" i="4"/>
  <c r="N622" i="4"/>
  <c r="W518" i="4"/>
  <c r="N518" i="4"/>
  <c r="Z622" i="4"/>
  <c r="K622" i="4"/>
  <c r="Z518" i="4"/>
  <c r="K518" i="4"/>
  <c r="V518" i="4" s="1"/>
  <c r="Z414" i="4"/>
  <c r="K414" i="4"/>
  <c r="Z310" i="4"/>
  <c r="K310" i="4"/>
  <c r="T414" i="4"/>
  <c r="E414" i="4"/>
  <c r="T310" i="4"/>
  <c r="E310" i="4"/>
  <c r="X414" i="4"/>
  <c r="Q414" i="4"/>
  <c r="X310" i="4"/>
  <c r="Q310" i="4"/>
  <c r="W414" i="4"/>
  <c r="N414" i="4"/>
  <c r="W310" i="4"/>
  <c r="N310" i="4"/>
  <c r="X206" i="4"/>
  <c r="Q206" i="4"/>
  <c r="X102" i="4"/>
  <c r="Q102" i="4"/>
  <c r="W206" i="4"/>
  <c r="N206" i="4"/>
  <c r="W102" i="4"/>
  <c r="N102" i="4"/>
  <c r="Z206" i="4"/>
  <c r="K206" i="4"/>
  <c r="Z102" i="4"/>
  <c r="K102" i="4"/>
  <c r="T206" i="4"/>
  <c r="E206" i="4"/>
  <c r="T102" i="4"/>
  <c r="E102" i="4"/>
  <c r="W1248" i="4"/>
  <c r="N1248" i="4"/>
  <c r="X1248" i="4"/>
  <c r="Q1248" i="4"/>
  <c r="X1144" i="4"/>
  <c r="Q1144" i="4"/>
  <c r="W1144" i="4"/>
  <c r="N1144" i="4"/>
  <c r="T1248" i="4"/>
  <c r="E1248" i="4"/>
  <c r="Z1144" i="4"/>
  <c r="K1144" i="4"/>
  <c r="Z1248" i="4"/>
  <c r="K1248" i="4"/>
  <c r="T1144" i="4"/>
  <c r="E1144" i="4"/>
  <c r="X1040" i="4"/>
  <c r="Q1040" i="4"/>
  <c r="W1040" i="4"/>
  <c r="N1040" i="4"/>
  <c r="Z1040" i="4"/>
  <c r="K1040" i="4"/>
  <c r="T1040" i="4"/>
  <c r="E1040" i="4"/>
  <c r="T936" i="4"/>
  <c r="E936" i="4"/>
  <c r="X936" i="4"/>
  <c r="Q936" i="4"/>
  <c r="W936" i="4"/>
  <c r="N936" i="4"/>
  <c r="Z936" i="4"/>
  <c r="K936" i="4"/>
  <c r="W832" i="4"/>
  <c r="N832" i="4"/>
  <c r="W728" i="4"/>
  <c r="N728" i="4"/>
  <c r="Z832" i="4"/>
  <c r="K832" i="4"/>
  <c r="Z728" i="4"/>
  <c r="K728" i="4"/>
  <c r="T832" i="4"/>
  <c r="E832" i="4"/>
  <c r="T728" i="4"/>
  <c r="E728" i="4"/>
  <c r="X832" i="4"/>
  <c r="Q832" i="4"/>
  <c r="X728" i="4"/>
  <c r="Q728" i="4"/>
  <c r="T624" i="4"/>
  <c r="E624" i="4"/>
  <c r="T520" i="4"/>
  <c r="E520" i="4"/>
  <c r="X624" i="4"/>
  <c r="Q624" i="4"/>
  <c r="X520" i="4"/>
  <c r="Q520" i="4"/>
  <c r="W624" i="4"/>
  <c r="N624" i="4"/>
  <c r="W520" i="4"/>
  <c r="N520" i="4"/>
  <c r="Z624" i="4"/>
  <c r="K624" i="4"/>
  <c r="Z520" i="4"/>
  <c r="K520" i="4"/>
  <c r="V520" i="4" s="1"/>
  <c r="Z416" i="4"/>
  <c r="K416" i="4"/>
  <c r="Z312" i="4"/>
  <c r="K312" i="4"/>
  <c r="T416" i="4"/>
  <c r="E416" i="4"/>
  <c r="T312" i="4"/>
  <c r="E312" i="4"/>
  <c r="X416" i="4"/>
  <c r="Q416" i="4"/>
  <c r="X312" i="4"/>
  <c r="Q312" i="4"/>
  <c r="W416" i="4"/>
  <c r="N416" i="4"/>
  <c r="W312" i="4"/>
  <c r="N312" i="4"/>
  <c r="X208" i="4"/>
  <c r="Q208" i="4"/>
  <c r="X104" i="4"/>
  <c r="Q104" i="4"/>
  <c r="W208" i="4"/>
  <c r="N208" i="4"/>
  <c r="W104" i="4"/>
  <c r="N104" i="4"/>
  <c r="Z208" i="4"/>
  <c r="K208" i="4"/>
  <c r="Z104" i="4"/>
  <c r="K104" i="4"/>
  <c r="T208" i="4"/>
  <c r="E208" i="4"/>
  <c r="T104" i="4"/>
  <c r="E104" i="4"/>
  <c r="W1250" i="4"/>
  <c r="N1250" i="4"/>
  <c r="X1250" i="4"/>
  <c r="Q1250" i="4"/>
  <c r="Z1250" i="4"/>
  <c r="K1250" i="4"/>
  <c r="X1146" i="4"/>
  <c r="Q1146" i="4"/>
  <c r="W1146" i="4"/>
  <c r="N1146" i="4"/>
  <c r="Z1146" i="4"/>
  <c r="K1146" i="4"/>
  <c r="T1250" i="4"/>
  <c r="E1250" i="4"/>
  <c r="T1146" i="4"/>
  <c r="E1146" i="4"/>
  <c r="X1042" i="4"/>
  <c r="Q1042" i="4"/>
  <c r="W1042" i="4"/>
  <c r="N1042" i="4"/>
  <c r="Z1042" i="4"/>
  <c r="K1042" i="4"/>
  <c r="T1042" i="4"/>
  <c r="E1042" i="4"/>
  <c r="T938" i="4"/>
  <c r="E938" i="4"/>
  <c r="X938" i="4"/>
  <c r="Q938" i="4"/>
  <c r="W938" i="4"/>
  <c r="N938" i="4"/>
  <c r="Z938" i="4"/>
  <c r="K938" i="4"/>
  <c r="W834" i="4"/>
  <c r="N834" i="4"/>
  <c r="W730" i="4"/>
  <c r="N730" i="4"/>
  <c r="Z834" i="4"/>
  <c r="K834" i="4"/>
  <c r="Z730" i="4"/>
  <c r="K730" i="4"/>
  <c r="T834" i="4"/>
  <c r="E834" i="4"/>
  <c r="T730" i="4"/>
  <c r="E730" i="4"/>
  <c r="X834" i="4"/>
  <c r="Q834" i="4"/>
  <c r="X730" i="4"/>
  <c r="Q730" i="4"/>
  <c r="T626" i="4"/>
  <c r="E626" i="4"/>
  <c r="T522" i="4"/>
  <c r="E522" i="4"/>
  <c r="X626" i="4"/>
  <c r="Q626" i="4"/>
  <c r="X522" i="4"/>
  <c r="Q522" i="4"/>
  <c r="W626" i="4"/>
  <c r="N626" i="4"/>
  <c r="W522" i="4"/>
  <c r="N522" i="4"/>
  <c r="Z626" i="4"/>
  <c r="K626" i="4"/>
  <c r="Z522" i="4"/>
  <c r="K522" i="4"/>
  <c r="V522" i="4" s="1"/>
  <c r="Z418" i="4"/>
  <c r="K418" i="4"/>
  <c r="Z314" i="4"/>
  <c r="K314" i="4"/>
  <c r="T418" i="4"/>
  <c r="E418" i="4"/>
  <c r="T314" i="4"/>
  <c r="E314" i="4"/>
  <c r="X418" i="4"/>
  <c r="Q418" i="4"/>
  <c r="X314" i="4"/>
  <c r="Q314" i="4"/>
  <c r="W418" i="4"/>
  <c r="N418" i="4"/>
  <c r="W314" i="4"/>
  <c r="N314" i="4"/>
  <c r="X210" i="4"/>
  <c r="Q210" i="4"/>
  <c r="X106" i="4"/>
  <c r="Q106" i="4"/>
  <c r="W210" i="4"/>
  <c r="N210" i="4"/>
  <c r="W106" i="4"/>
  <c r="N106" i="4"/>
  <c r="Z210" i="4"/>
  <c r="K210" i="4"/>
  <c r="Z106" i="4"/>
  <c r="K106" i="4"/>
  <c r="T210" i="4"/>
  <c r="E210" i="4"/>
  <c r="T106" i="4"/>
  <c r="E106" i="4"/>
  <c r="E107" i="16"/>
  <c r="I107" i="16"/>
  <c r="M107" i="16"/>
  <c r="Q107" i="16"/>
  <c r="W107" i="16"/>
  <c r="K26" i="62" s="1"/>
  <c r="D70" i="68" s="1"/>
  <c r="AA107" i="16"/>
  <c r="BO26" i="62" s="1"/>
  <c r="Y112" i="16"/>
  <c r="AM31" i="5" s="1"/>
  <c r="AC112" i="16"/>
  <c r="CQ31" i="5" s="1"/>
  <c r="Y113" i="16"/>
  <c r="AM32" i="5" s="1"/>
  <c r="AO32" i="5" s="1"/>
  <c r="AC113" i="16"/>
  <c r="CQ32" i="5" s="1"/>
  <c r="W115" i="16"/>
  <c r="K35" i="5" s="1"/>
  <c r="AA115" i="16"/>
  <c r="BO35" i="5" s="1"/>
  <c r="AC609" i="45" s="1"/>
  <c r="Y117" i="16"/>
  <c r="AM37" i="5" s="1"/>
  <c r="AO37" i="5" s="1"/>
  <c r="AC117" i="16"/>
  <c r="CQ37" i="5" s="1"/>
  <c r="W119" i="16"/>
  <c r="K39" i="5" s="1"/>
  <c r="AA119" i="16"/>
  <c r="BO39" i="5" s="1"/>
  <c r="U121" i="16"/>
  <c r="W123" i="16"/>
  <c r="K43" i="5" s="1"/>
  <c r="U617" i="45" s="1"/>
  <c r="AA123" i="16"/>
  <c r="BO43" i="5" s="1"/>
  <c r="W126" i="16"/>
  <c r="AA126" i="16"/>
  <c r="AE126" i="16"/>
  <c r="AE132" i="16" s="1"/>
  <c r="DS21" i="62" s="1"/>
  <c r="W127" i="16"/>
  <c r="AA127" i="16"/>
  <c r="W128" i="16"/>
  <c r="AA128" i="16"/>
  <c r="W129" i="16"/>
  <c r="AA129" i="16"/>
  <c r="W130" i="16"/>
  <c r="AA130" i="16"/>
  <c r="W131" i="16"/>
  <c r="AA131" i="16"/>
  <c r="U138" i="16"/>
  <c r="U139" i="16"/>
  <c r="Y139" i="16"/>
  <c r="AC139" i="16"/>
  <c r="AG139" i="16"/>
  <c r="U140" i="16"/>
  <c r="Y140" i="16"/>
  <c r="AC140" i="16"/>
  <c r="U141" i="16"/>
  <c r="Y141" i="16"/>
  <c r="AC141" i="16"/>
  <c r="AG141" i="16"/>
  <c r="U142" i="16"/>
  <c r="Y142" i="16"/>
  <c r="AC142" i="16"/>
  <c r="U143" i="16"/>
  <c r="Y143" i="16"/>
  <c r="AC143" i="16"/>
  <c r="AG143" i="16"/>
  <c r="U144" i="16"/>
  <c r="Y144" i="16"/>
  <c r="AC144" i="16"/>
  <c r="U145" i="16"/>
  <c r="Y145" i="16"/>
  <c r="AC145" i="16"/>
  <c r="AG145" i="16"/>
  <c r="U146" i="16"/>
  <c r="Y146" i="16"/>
  <c r="AC146" i="16"/>
  <c r="U147" i="16"/>
  <c r="Y147" i="16"/>
  <c r="AC147" i="16"/>
  <c r="AG147" i="16"/>
  <c r="U148" i="16"/>
  <c r="Y148" i="16"/>
  <c r="AC148" i="16"/>
  <c r="U149" i="16"/>
  <c r="Y149" i="16"/>
  <c r="AC149" i="16"/>
  <c r="AG149" i="16"/>
  <c r="U150" i="16"/>
  <c r="Y150" i="16"/>
  <c r="AC150" i="16"/>
  <c r="B21" i="26"/>
  <c r="B21" i="25"/>
  <c r="B21" i="24"/>
  <c r="B21" i="23"/>
  <c r="B21" i="22"/>
  <c r="B21" i="18"/>
  <c r="B21" i="21"/>
  <c r="E107" i="19"/>
  <c r="S6" i="19"/>
  <c r="AZ8" i="19"/>
  <c r="B25" i="26"/>
  <c r="B25" i="25"/>
  <c r="B25" i="24"/>
  <c r="B25" i="23"/>
  <c r="B25" i="22"/>
  <c r="B25" i="18"/>
  <c r="B25" i="21"/>
  <c r="AZ12" i="19"/>
  <c r="B29" i="26"/>
  <c r="B29" i="25"/>
  <c r="B29" i="24"/>
  <c r="B29" i="23"/>
  <c r="B29" i="22"/>
  <c r="B29" i="18"/>
  <c r="B29" i="21"/>
  <c r="AZ16" i="19"/>
  <c r="B33" i="26"/>
  <c r="B33" i="25"/>
  <c r="B33" i="24"/>
  <c r="B33" i="23"/>
  <c r="B33" i="22"/>
  <c r="B33" i="18"/>
  <c r="B33" i="21"/>
  <c r="AZ20" i="19"/>
  <c r="B37" i="26"/>
  <c r="B37" i="25"/>
  <c r="B37" i="24"/>
  <c r="B37" i="23"/>
  <c r="B37" i="22"/>
  <c r="B37" i="18"/>
  <c r="B37" i="21"/>
  <c r="AZ24" i="19"/>
  <c r="B41" i="26"/>
  <c r="B41" i="25"/>
  <c r="B41" i="24"/>
  <c r="B41" i="23"/>
  <c r="B41" i="22"/>
  <c r="B41" i="18"/>
  <c r="B41" i="21"/>
  <c r="AZ28" i="19"/>
  <c r="B45" i="26"/>
  <c r="B45" i="25"/>
  <c r="B45" i="24"/>
  <c r="B45" i="23"/>
  <c r="B45" i="22"/>
  <c r="B45" i="18"/>
  <c r="B45" i="21"/>
  <c r="AZ32" i="19"/>
  <c r="B49" i="26"/>
  <c r="B49" i="25"/>
  <c r="B49" i="24"/>
  <c r="B49" i="23"/>
  <c r="B49" i="22"/>
  <c r="B49" i="18"/>
  <c r="B49" i="21"/>
  <c r="AZ36" i="19"/>
  <c r="B53" i="26"/>
  <c r="B53" i="25"/>
  <c r="B53" i="24"/>
  <c r="B53" i="23"/>
  <c r="B53" i="22"/>
  <c r="B53" i="18"/>
  <c r="B53" i="21"/>
  <c r="AZ40" i="19"/>
  <c r="B57" i="26"/>
  <c r="B57" i="25"/>
  <c r="B57" i="24"/>
  <c r="B57" i="23"/>
  <c r="B57" i="22"/>
  <c r="B57" i="18"/>
  <c r="B57" i="21"/>
  <c r="AZ44" i="19"/>
  <c r="B61" i="26"/>
  <c r="B61" i="25"/>
  <c r="B61" i="24"/>
  <c r="B61" i="23"/>
  <c r="B61" i="22"/>
  <c r="B61" i="18"/>
  <c r="B61" i="21"/>
  <c r="AZ48" i="19"/>
  <c r="B65" i="26"/>
  <c r="B65" i="25"/>
  <c r="B65" i="24"/>
  <c r="B65" i="23"/>
  <c r="B65" i="22"/>
  <c r="B65" i="18"/>
  <c r="B65" i="21"/>
  <c r="AZ52" i="19"/>
  <c r="B69" i="26"/>
  <c r="B69" i="25"/>
  <c r="B69" i="24"/>
  <c r="B69" i="23"/>
  <c r="B69" i="22"/>
  <c r="B69" i="18"/>
  <c r="B69" i="21"/>
  <c r="AZ56" i="19"/>
  <c r="B73" i="26"/>
  <c r="B73" i="25"/>
  <c r="B73" i="24"/>
  <c r="B73" i="23"/>
  <c r="B73" i="22"/>
  <c r="B73" i="18"/>
  <c r="B73" i="21"/>
  <c r="AZ60" i="19"/>
  <c r="B77" i="26"/>
  <c r="B77" i="25"/>
  <c r="B77" i="24"/>
  <c r="B77" i="23"/>
  <c r="B77" i="22"/>
  <c r="B77" i="18"/>
  <c r="B77" i="21"/>
  <c r="AZ64" i="19"/>
  <c r="B81" i="26"/>
  <c r="B81" i="25"/>
  <c r="B81" i="24"/>
  <c r="B81" i="23"/>
  <c r="B81" i="22"/>
  <c r="B81" i="18"/>
  <c r="B81" i="21"/>
  <c r="AZ68" i="19"/>
  <c r="B85" i="26"/>
  <c r="B85" i="25"/>
  <c r="B85" i="24"/>
  <c r="B85" i="23"/>
  <c r="B85" i="22"/>
  <c r="B85" i="21"/>
  <c r="B85" i="18"/>
  <c r="AZ72" i="19"/>
  <c r="B89" i="26"/>
  <c r="B89" i="25"/>
  <c r="B89" i="24"/>
  <c r="B89" i="23"/>
  <c r="B89" i="22"/>
  <c r="B89" i="21"/>
  <c r="B89" i="18"/>
  <c r="AZ76" i="19"/>
  <c r="B93" i="26"/>
  <c r="B93" i="25"/>
  <c r="B93" i="24"/>
  <c r="B93" i="23"/>
  <c r="B93" i="22"/>
  <c r="B93" i="21"/>
  <c r="B93" i="18"/>
  <c r="AZ80" i="19"/>
  <c r="B97" i="26"/>
  <c r="B97" i="25"/>
  <c r="B97" i="24"/>
  <c r="B97" i="23"/>
  <c r="B97" i="22"/>
  <c r="B97" i="21"/>
  <c r="B97" i="18"/>
  <c r="AZ84" i="19"/>
  <c r="B101" i="26"/>
  <c r="B101" i="25"/>
  <c r="B101" i="24"/>
  <c r="B101" i="23"/>
  <c r="B101" i="22"/>
  <c r="B101" i="21"/>
  <c r="B101" i="18"/>
  <c r="AZ88" i="19"/>
  <c r="B105" i="26"/>
  <c r="B105" i="25"/>
  <c r="B105" i="24"/>
  <c r="B105" i="23"/>
  <c r="B105" i="22"/>
  <c r="B105" i="21"/>
  <c r="B105" i="18"/>
  <c r="AZ96" i="19"/>
  <c r="B113" i="26"/>
  <c r="B113" i="25"/>
  <c r="B113" i="24"/>
  <c r="B113" i="23"/>
  <c r="B113" i="22"/>
  <c r="B113" i="21"/>
  <c r="B113" i="18"/>
  <c r="AZ104" i="19"/>
  <c r="B121" i="26"/>
  <c r="B121" i="25"/>
  <c r="B121" i="24"/>
  <c r="B121" i="23"/>
  <c r="B121" i="22"/>
  <c r="B121" i="21"/>
  <c r="B121" i="18"/>
  <c r="B7" i="7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24" i="7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H13" i="5"/>
  <c r="BV13" i="5" s="1"/>
  <c r="CJ13" i="5" s="1"/>
  <c r="BA17" i="5"/>
  <c r="BO17" i="5" s="1"/>
  <c r="CC17" i="5" s="1"/>
  <c r="CQ17" i="5" s="1"/>
  <c r="DE17" i="5" s="1"/>
  <c r="DS17" i="5" s="1"/>
  <c r="EG17" i="5" s="1"/>
  <c r="EU17" i="5" s="1"/>
  <c r="FI17" i="5" s="1"/>
  <c r="BH28" i="5"/>
  <c r="BV28" i="5" s="1"/>
  <c r="CJ28" i="5" s="1"/>
  <c r="CX28" i="5" s="1"/>
  <c r="DL28" i="5" s="1"/>
  <c r="DZ28" i="5" s="1"/>
  <c r="EN28" i="5" s="1"/>
  <c r="FB28" i="5" s="1"/>
  <c r="FP28" i="5" s="1"/>
  <c r="BA45" i="5"/>
  <c r="BH58" i="5"/>
  <c r="BV58" i="5" s="1"/>
  <c r="CJ58" i="5" s="1"/>
  <c r="CX58" i="5" s="1"/>
  <c r="DL58" i="5" s="1"/>
  <c r="DZ58" i="5" s="1"/>
  <c r="EN58" i="5" s="1"/>
  <c r="AT19" i="62"/>
  <c r="BH19" i="62" s="1"/>
  <c r="BV19" i="62" s="1"/>
  <c r="CJ19" i="62" s="1"/>
  <c r="CX19" i="62" s="1"/>
  <c r="DL19" i="62" s="1"/>
  <c r="DZ19" i="62" s="1"/>
  <c r="EN19" i="62" s="1"/>
  <c r="FB19" i="62" s="1"/>
  <c r="FP19" i="62" s="1"/>
  <c r="AT33" i="62"/>
  <c r="BH33" i="62" s="1"/>
  <c r="BV33" i="62" s="1"/>
  <c r="CJ33" i="62" s="1"/>
  <c r="CX33" i="62" s="1"/>
  <c r="DL33" i="62" s="1"/>
  <c r="DZ33" i="62" s="1"/>
  <c r="EN33" i="62" s="1"/>
  <c r="FB33" i="62" s="1"/>
  <c r="FP33" i="62" s="1"/>
  <c r="BA34" i="62"/>
  <c r="BO34" i="62" s="1"/>
  <c r="CC34" i="62" s="1"/>
  <c r="CQ34" i="62" s="1"/>
  <c r="DE34" i="62" s="1"/>
  <c r="DS34" i="62" s="1"/>
  <c r="EG34" i="62" s="1"/>
  <c r="EU34" i="62" s="1"/>
  <c r="FI34" i="62" s="1"/>
  <c r="C13" i="18"/>
  <c r="I13" i="24"/>
  <c r="F13" i="24"/>
  <c r="F14" i="26"/>
  <c r="I18" i="21"/>
  <c r="B106" i="26"/>
  <c r="B106" i="25"/>
  <c r="B106" i="24"/>
  <c r="B106" i="23"/>
  <c r="B106" i="22"/>
  <c r="B106" i="21"/>
  <c r="B106" i="18"/>
  <c r="B110" i="26"/>
  <c r="B110" i="25"/>
  <c r="B110" i="24"/>
  <c r="B110" i="23"/>
  <c r="B110" i="22"/>
  <c r="B110" i="21"/>
  <c r="B110" i="18"/>
  <c r="S95" i="19"/>
  <c r="B114" i="26"/>
  <c r="B114" i="25"/>
  <c r="B114" i="24"/>
  <c r="B114" i="23"/>
  <c r="B114" i="22"/>
  <c r="B114" i="21"/>
  <c r="B114" i="18"/>
  <c r="B118" i="26"/>
  <c r="B118" i="25"/>
  <c r="B118" i="24"/>
  <c r="B118" i="23"/>
  <c r="B118" i="22"/>
  <c r="B118" i="21"/>
  <c r="B118" i="18"/>
  <c r="S103" i="19"/>
  <c r="AO14" i="5"/>
  <c r="BA25" i="5"/>
  <c r="D52" i="5"/>
  <c r="D19" i="62"/>
  <c r="AO22" i="62"/>
  <c r="E4" i="68"/>
  <c r="D24" i="68"/>
  <c r="D35" i="68"/>
  <c r="D45" i="68"/>
  <c r="D51" i="68"/>
  <c r="D54" i="68"/>
  <c r="C60" i="68"/>
  <c r="D78" i="68"/>
  <c r="I8" i="18"/>
  <c r="F8" i="18"/>
  <c r="I8" i="22"/>
  <c r="F8" i="22"/>
  <c r="I8" i="24"/>
  <c r="F8" i="24"/>
  <c r="I8" i="26"/>
  <c r="F8" i="26"/>
  <c r="I14" i="17"/>
  <c r="C14" i="21" s="1"/>
  <c r="O14" i="17"/>
  <c r="C14" i="23" s="1"/>
  <c r="U14" i="17"/>
  <c r="C14" i="25" s="1"/>
  <c r="AA14" i="17"/>
  <c r="F18" i="18"/>
  <c r="F18" i="22"/>
  <c r="F18" i="24"/>
  <c r="F18" i="26"/>
  <c r="D14" i="5"/>
  <c r="Y47" i="5"/>
  <c r="D49" i="5"/>
  <c r="R49" i="5"/>
  <c r="AF49" i="5" s="1"/>
  <c r="AT49" i="5" s="1"/>
  <c r="BH49" i="5" s="1"/>
  <c r="BV49" i="5" s="1"/>
  <c r="CJ49" i="5" s="1"/>
  <c r="CX49" i="5" s="1"/>
  <c r="DL49" i="5" s="1"/>
  <c r="DZ49" i="5" s="1"/>
  <c r="EN49" i="5" s="1"/>
  <c r="FB49" i="5" s="1"/>
  <c r="FP49" i="5" s="1"/>
  <c r="AO49" i="5"/>
  <c r="AM51" i="5"/>
  <c r="AT51" i="5" s="1"/>
  <c r="Y55" i="5"/>
  <c r="AE12" i="62"/>
  <c r="BG12" i="62"/>
  <c r="CI12" i="62"/>
  <c r="DK12" i="62"/>
  <c r="EM12" i="62"/>
  <c r="FO12" i="62"/>
  <c r="AM28" i="62"/>
  <c r="Y44" i="62"/>
  <c r="D10" i="68"/>
  <c r="D12" i="68"/>
  <c r="D21" i="68"/>
  <c r="D30" i="68"/>
  <c r="D53" i="68"/>
  <c r="C59" i="68"/>
  <c r="D60" i="68"/>
  <c r="D74" i="68"/>
  <c r="D77" i="68"/>
  <c r="B4" i="26"/>
  <c r="B4" i="25"/>
  <c r="B4" i="24"/>
  <c r="B4" i="23"/>
  <c r="B4" i="22"/>
  <c r="B4" i="18"/>
  <c r="B4" i="21"/>
  <c r="F7" i="17"/>
  <c r="L7" i="17"/>
  <c r="C7" i="22" s="1"/>
  <c r="R7" i="17"/>
  <c r="C7" i="24" s="1"/>
  <c r="X7" i="17"/>
  <c r="C7" i="26" s="1"/>
  <c r="I13" i="17"/>
  <c r="C13" i="21" s="1"/>
  <c r="O13" i="17"/>
  <c r="C13" i="23" s="1"/>
  <c r="U13" i="17"/>
  <c r="C13" i="25" s="1"/>
  <c r="AA13" i="17"/>
  <c r="F15" i="17"/>
  <c r="L15" i="17"/>
  <c r="C15" i="22" s="1"/>
  <c r="R15" i="17"/>
  <c r="C15" i="24" s="1"/>
  <c r="X15" i="17"/>
  <c r="C15" i="26" s="1"/>
  <c r="H8" i="6"/>
  <c r="AZ91" i="19"/>
  <c r="B108" i="26"/>
  <c r="B108" i="25"/>
  <c r="B108" i="24"/>
  <c r="B108" i="23"/>
  <c r="B108" i="22"/>
  <c r="B108" i="21"/>
  <c r="B108" i="18"/>
  <c r="AZ95" i="19"/>
  <c r="B112" i="26"/>
  <c r="B112" i="25"/>
  <c r="B112" i="24"/>
  <c r="B112" i="23"/>
  <c r="B112" i="22"/>
  <c r="B112" i="21"/>
  <c r="B112" i="18"/>
  <c r="AZ99" i="19"/>
  <c r="B116" i="26"/>
  <c r="B116" i="25"/>
  <c r="B116" i="24"/>
  <c r="B116" i="23"/>
  <c r="B116" i="22"/>
  <c r="B116" i="21"/>
  <c r="B116" i="18"/>
  <c r="AZ103" i="19"/>
  <c r="B120" i="26"/>
  <c r="B120" i="25"/>
  <c r="B120" i="24"/>
  <c r="B120" i="23"/>
  <c r="B120" i="22"/>
  <c r="B120" i="21"/>
  <c r="B120" i="18"/>
  <c r="D50" i="5"/>
  <c r="R55" i="5"/>
  <c r="AM27" i="62"/>
  <c r="BA27" i="62" s="1"/>
  <c r="BO27" i="62" s="1"/>
  <c r="CC27" i="62" s="1"/>
  <c r="CQ27" i="62" s="1"/>
  <c r="DE27" i="62" s="1"/>
  <c r="DS27" i="62" s="1"/>
  <c r="EG27" i="62" s="1"/>
  <c r="EU27" i="62" s="1"/>
  <c r="FI27" i="62" s="1"/>
  <c r="C4" i="68"/>
  <c r="D20" i="68"/>
  <c r="D23" i="68"/>
  <c r="D43" i="68"/>
  <c r="E60" i="68"/>
  <c r="D76" i="68"/>
  <c r="I8" i="17"/>
  <c r="C8" i="21" s="1"/>
  <c r="O8" i="17"/>
  <c r="C8" i="23" s="1"/>
  <c r="U8" i="17"/>
  <c r="C8" i="25" s="1"/>
  <c r="F14" i="17"/>
  <c r="L14" i="17"/>
  <c r="C14" i="22" s="1"/>
  <c r="R14" i="17"/>
  <c r="C14" i="24" s="1"/>
  <c r="CW12" i="62"/>
  <c r="DY12" i="62"/>
  <c r="K18" i="62"/>
  <c r="C3" i="68"/>
  <c r="D4" i="68"/>
  <c r="D7" i="68"/>
  <c r="D11" i="68"/>
  <c r="D13" i="68"/>
  <c r="D19" i="68"/>
  <c r="D25" i="68"/>
  <c r="D28" i="68"/>
  <c r="D32" i="68"/>
  <c r="D36" i="68"/>
  <c r="D42" i="68"/>
  <c r="D63" i="68"/>
  <c r="D66" i="68"/>
  <c r="I7" i="17"/>
  <c r="C7" i="21" s="1"/>
  <c r="O7" i="17"/>
  <c r="C7" i="23" s="1"/>
  <c r="U7" i="17"/>
  <c r="C7" i="25" s="1"/>
  <c r="I15" i="17"/>
  <c r="C15" i="21" s="1"/>
  <c r="O15" i="17"/>
  <c r="C15" i="23" s="1"/>
  <c r="U15" i="17"/>
  <c r="C15" i="25" s="1"/>
  <c r="D18" i="17"/>
  <c r="U394" i="45"/>
  <c r="N33" i="44"/>
  <c r="M34" i="44"/>
  <c r="U618" i="45"/>
  <c r="AC618" i="45"/>
  <c r="AG618" i="45"/>
  <c r="AK618" i="45"/>
  <c r="AO618" i="45"/>
  <c r="U369" i="45"/>
  <c r="W472" i="45"/>
  <c r="V472" i="45"/>
  <c r="U472" i="45" s="1"/>
  <c r="Z505" i="45"/>
  <c r="Y507" i="45"/>
  <c r="Y506" i="45"/>
  <c r="W618" i="45"/>
  <c r="AA618" i="45"/>
  <c r="AI618" i="45"/>
  <c r="AM618" i="45"/>
  <c r="AQ618" i="45"/>
  <c r="X57" i="45"/>
  <c r="V81" i="45"/>
  <c r="W86" i="45"/>
  <c r="N92" i="45" s="1"/>
  <c r="V159" i="45"/>
  <c r="W164" i="45"/>
  <c r="N170" i="45" s="1"/>
  <c r="X183" i="45"/>
  <c r="X261" i="45"/>
  <c r="X285" i="45"/>
  <c r="W411" i="45"/>
  <c r="W412" i="45"/>
  <c r="AA412" i="45"/>
  <c r="W413" i="45"/>
  <c r="AA413" i="45"/>
  <c r="W414" i="45"/>
  <c r="AA414" i="45"/>
  <c r="W415" i="45"/>
  <c r="AA415" i="45"/>
  <c r="W416" i="45"/>
  <c r="AA416" i="45"/>
  <c r="V462" i="45"/>
  <c r="W463" i="45"/>
  <c r="V466" i="45"/>
  <c r="W467" i="45"/>
  <c r="V470" i="45"/>
  <c r="V487" i="45"/>
  <c r="W488" i="45"/>
  <c r="V491" i="45"/>
  <c r="W492" i="45"/>
  <c r="W506" i="45"/>
  <c r="X529" i="45"/>
  <c r="U607" i="45"/>
  <c r="Y607" i="45"/>
  <c r="AO607" i="45"/>
  <c r="Y608" i="45"/>
  <c r="U609" i="45"/>
  <c r="Y609" i="45"/>
  <c r="AG609" i="45"/>
  <c r="AK609" i="45"/>
  <c r="AO609" i="45"/>
  <c r="Y610" i="45"/>
  <c r="AC610" i="45"/>
  <c r="AG610" i="45"/>
  <c r="AK610" i="45"/>
  <c r="AO610" i="45"/>
  <c r="U611" i="45"/>
  <c r="Y611" i="45"/>
  <c r="AC611" i="45"/>
  <c r="AG611" i="45"/>
  <c r="AK611" i="45"/>
  <c r="AO611" i="45"/>
  <c r="Y612" i="45"/>
  <c r="U613" i="45"/>
  <c r="Y613" i="45"/>
  <c r="AC613" i="45"/>
  <c r="AG613" i="45"/>
  <c r="AK613" i="45"/>
  <c r="AO613" i="45"/>
  <c r="Y614" i="45"/>
  <c r="Y615" i="45"/>
  <c r="Y616" i="45"/>
  <c r="AC616" i="45"/>
  <c r="AG616" i="45"/>
  <c r="AK616" i="45"/>
  <c r="AO616" i="45"/>
  <c r="Y617" i="45"/>
  <c r="AC617" i="45"/>
  <c r="AG617" i="45"/>
  <c r="AK617" i="45"/>
  <c r="AO617" i="45"/>
  <c r="N32" i="44"/>
  <c r="I1249" i="4"/>
  <c r="I1247" i="4"/>
  <c r="I1245" i="4"/>
  <c r="I1243" i="4"/>
  <c r="I1241" i="4"/>
  <c r="I1239" i="4"/>
  <c r="I1237" i="4"/>
  <c r="I1235" i="4"/>
  <c r="I1233" i="4"/>
  <c r="I1231" i="4"/>
  <c r="I1229" i="4"/>
  <c r="I1227" i="4"/>
  <c r="I1225" i="4"/>
  <c r="I1248" i="4"/>
  <c r="I1240" i="4"/>
  <c r="I1232" i="4"/>
  <c r="I1224" i="4"/>
  <c r="I1250" i="4"/>
  <c r="I1242" i="4"/>
  <c r="I1234" i="4"/>
  <c r="I1226" i="4"/>
  <c r="I1223" i="4"/>
  <c r="I1221" i="4"/>
  <c r="I1219" i="4"/>
  <c r="I1217" i="4"/>
  <c r="I1215" i="4"/>
  <c r="I1213" i="4"/>
  <c r="I1211" i="4"/>
  <c r="I1209" i="4"/>
  <c r="I1207" i="4"/>
  <c r="I1205" i="4"/>
  <c r="I1203" i="4"/>
  <c r="I1201" i="4"/>
  <c r="I1199" i="4"/>
  <c r="I1197" i="4"/>
  <c r="I1195" i="4"/>
  <c r="I1193" i="4"/>
  <c r="I1191" i="4"/>
  <c r="I1189" i="4"/>
  <c r="I1187" i="4"/>
  <c r="I1185" i="4"/>
  <c r="I1183" i="4"/>
  <c r="I1181" i="4"/>
  <c r="I1179" i="4"/>
  <c r="I1177" i="4"/>
  <c r="I1175" i="4"/>
  <c r="I1173" i="4"/>
  <c r="I1171" i="4"/>
  <c r="I1169" i="4"/>
  <c r="I1167" i="4"/>
  <c r="I1165" i="4"/>
  <c r="I1163" i="4"/>
  <c r="I1161" i="4"/>
  <c r="I1159" i="4"/>
  <c r="I1157" i="4"/>
  <c r="I1155" i="4"/>
  <c r="I1153" i="4"/>
  <c r="I1151" i="4"/>
  <c r="I1145" i="4"/>
  <c r="I1143" i="4"/>
  <c r="I1141" i="4"/>
  <c r="I1139" i="4"/>
  <c r="I1137" i="4"/>
  <c r="I1135" i="4"/>
  <c r="I1133" i="4"/>
  <c r="I1244" i="4"/>
  <c r="I1236" i="4"/>
  <c r="I1228" i="4"/>
  <c r="I1246" i="4"/>
  <c r="I1238" i="4"/>
  <c r="I1230" i="4"/>
  <c r="I1222" i="4"/>
  <c r="I1220" i="4"/>
  <c r="I1218" i="4"/>
  <c r="I1216" i="4"/>
  <c r="I1214" i="4"/>
  <c r="I1212" i="4"/>
  <c r="I1210" i="4"/>
  <c r="I1208" i="4"/>
  <c r="I1206" i="4"/>
  <c r="I1204" i="4"/>
  <c r="I1202" i="4"/>
  <c r="I1200" i="4"/>
  <c r="I1198" i="4"/>
  <c r="I1196" i="4"/>
  <c r="I1194" i="4"/>
  <c r="I1192" i="4"/>
  <c r="I1190" i="4"/>
  <c r="I1188" i="4"/>
  <c r="I1186" i="4"/>
  <c r="I1184" i="4"/>
  <c r="I1182" i="4"/>
  <c r="I1180" i="4"/>
  <c r="I1178" i="4"/>
  <c r="I1176" i="4"/>
  <c r="I1174" i="4"/>
  <c r="I1172" i="4"/>
  <c r="I1170" i="4"/>
  <c r="I1168" i="4"/>
  <c r="I1166" i="4"/>
  <c r="I1164" i="4"/>
  <c r="I1162" i="4"/>
  <c r="I1160" i="4"/>
  <c r="I1158" i="4"/>
  <c r="I1156" i="4"/>
  <c r="I1154" i="4"/>
  <c r="I1152" i="4"/>
  <c r="I1150" i="4"/>
  <c r="I1146" i="4"/>
  <c r="I1144" i="4"/>
  <c r="I1142" i="4"/>
  <c r="I1140" i="4"/>
  <c r="I1138" i="4"/>
  <c r="I1136" i="4"/>
  <c r="I1134" i="4"/>
  <c r="I1132" i="4"/>
  <c r="I1131" i="4"/>
  <c r="I1129" i="4"/>
  <c r="I1127" i="4"/>
  <c r="I1125" i="4"/>
  <c r="I1123" i="4"/>
  <c r="I1121" i="4"/>
  <c r="I1119" i="4"/>
  <c r="I1117" i="4"/>
  <c r="I1115" i="4"/>
  <c r="I1113" i="4"/>
  <c r="I1111" i="4"/>
  <c r="I1109" i="4"/>
  <c r="I1107" i="4"/>
  <c r="I1105" i="4"/>
  <c r="I1103" i="4"/>
  <c r="I1101" i="4"/>
  <c r="I1099" i="4"/>
  <c r="I1097" i="4"/>
  <c r="I1095" i="4"/>
  <c r="I1093" i="4"/>
  <c r="I1091" i="4"/>
  <c r="I1089" i="4"/>
  <c r="I1087" i="4"/>
  <c r="I1085" i="4"/>
  <c r="I1083" i="4"/>
  <c r="I1081" i="4"/>
  <c r="I1079" i="4"/>
  <c r="I1077" i="4"/>
  <c r="I1075" i="4"/>
  <c r="I1073" i="4"/>
  <c r="I1071" i="4"/>
  <c r="I1069" i="4"/>
  <c r="I1067" i="4"/>
  <c r="I1065" i="4"/>
  <c r="I1063" i="4"/>
  <c r="I1061" i="4"/>
  <c r="I1059" i="4"/>
  <c r="I1057" i="4"/>
  <c r="I1055" i="4"/>
  <c r="I1053" i="4"/>
  <c r="I1051" i="4"/>
  <c r="I1049" i="4"/>
  <c r="I1047" i="4"/>
  <c r="I1041" i="4"/>
  <c r="I1039" i="4"/>
  <c r="I1037" i="4"/>
  <c r="I1035" i="4"/>
  <c r="I1033" i="4"/>
  <c r="I1031" i="4"/>
  <c r="I1029" i="4"/>
  <c r="I1027" i="4"/>
  <c r="I1025" i="4"/>
  <c r="I1130" i="4"/>
  <c r="I1128" i="4"/>
  <c r="I1126" i="4"/>
  <c r="I1124" i="4"/>
  <c r="I1122" i="4"/>
  <c r="I1120" i="4"/>
  <c r="I1118" i="4"/>
  <c r="I1116" i="4"/>
  <c r="I1114" i="4"/>
  <c r="I1112" i="4"/>
  <c r="I1110" i="4"/>
  <c r="I1108" i="4"/>
  <c r="I1106" i="4"/>
  <c r="I1104" i="4"/>
  <c r="I1102" i="4"/>
  <c r="I1100" i="4"/>
  <c r="I1098" i="4"/>
  <c r="I1096" i="4"/>
  <c r="I1094" i="4"/>
  <c r="I1092" i="4"/>
  <c r="I1090" i="4"/>
  <c r="I1088" i="4"/>
  <c r="I1086" i="4"/>
  <c r="I1084" i="4"/>
  <c r="I1082" i="4"/>
  <c r="I1080" i="4"/>
  <c r="I1078" i="4"/>
  <c r="I1076" i="4"/>
  <c r="I1074" i="4"/>
  <c r="I1072" i="4"/>
  <c r="I1070" i="4"/>
  <c r="I1068" i="4"/>
  <c r="I1066" i="4"/>
  <c r="I1064" i="4"/>
  <c r="I1062" i="4"/>
  <c r="I1060" i="4"/>
  <c r="I1058" i="4"/>
  <c r="I1056" i="4"/>
  <c r="I1054" i="4"/>
  <c r="I1052" i="4"/>
  <c r="I1050" i="4"/>
  <c r="I1048" i="4"/>
  <c r="I1046" i="4"/>
  <c r="I1042" i="4"/>
  <c r="I1040" i="4"/>
  <c r="I1038" i="4"/>
  <c r="I1036" i="4"/>
  <c r="I1034" i="4"/>
  <c r="I1032" i="4"/>
  <c r="I1030" i="4"/>
  <c r="I1028" i="4"/>
  <c r="I1026" i="4"/>
  <c r="I1024" i="4"/>
  <c r="I1022" i="4"/>
  <c r="I1020" i="4"/>
  <c r="I1018" i="4"/>
  <c r="I1016" i="4"/>
  <c r="I1014" i="4"/>
  <c r="I1012" i="4"/>
  <c r="I1010" i="4"/>
  <c r="I1008" i="4"/>
  <c r="I1006" i="4"/>
  <c r="I1004" i="4"/>
  <c r="I1002" i="4"/>
  <c r="I1000" i="4"/>
  <c r="I998" i="4"/>
  <c r="I996" i="4"/>
  <c r="I994" i="4"/>
  <c r="I992" i="4"/>
  <c r="I990" i="4"/>
  <c r="I988" i="4"/>
  <c r="I986" i="4"/>
  <c r="I984" i="4"/>
  <c r="I982" i="4"/>
  <c r="I980" i="4"/>
  <c r="I978" i="4"/>
  <c r="I976" i="4"/>
  <c r="I974" i="4"/>
  <c r="I972" i="4"/>
  <c r="I970" i="4"/>
  <c r="I968" i="4"/>
  <c r="I966" i="4"/>
  <c r="I964" i="4"/>
  <c r="I962" i="4"/>
  <c r="I960" i="4"/>
  <c r="I958" i="4"/>
  <c r="I956" i="4"/>
  <c r="I954" i="4"/>
  <c r="I952" i="4"/>
  <c r="I950" i="4"/>
  <c r="I948" i="4"/>
  <c r="I946" i="4"/>
  <c r="I944" i="4"/>
  <c r="I942" i="4"/>
  <c r="I938" i="4"/>
  <c r="I936" i="4"/>
  <c r="I934" i="4"/>
  <c r="I932" i="4"/>
  <c r="I930" i="4"/>
  <c r="I928" i="4"/>
  <c r="I926" i="4"/>
  <c r="I924" i="4"/>
  <c r="I922" i="4"/>
  <c r="I1023" i="4"/>
  <c r="I1021" i="4"/>
  <c r="I1019" i="4"/>
  <c r="I1017" i="4"/>
  <c r="I1015" i="4"/>
  <c r="I1013" i="4"/>
  <c r="I1011" i="4"/>
  <c r="I1009" i="4"/>
  <c r="I1007" i="4"/>
  <c r="I1005" i="4"/>
  <c r="I1003" i="4"/>
  <c r="I1001" i="4"/>
  <c r="I999" i="4"/>
  <c r="I997" i="4"/>
  <c r="I995" i="4"/>
  <c r="I993" i="4"/>
  <c r="I991" i="4"/>
  <c r="I989" i="4"/>
  <c r="I987" i="4"/>
  <c r="I985" i="4"/>
  <c r="I983" i="4"/>
  <c r="I981" i="4"/>
  <c r="I979" i="4"/>
  <c r="I977" i="4"/>
  <c r="I975" i="4"/>
  <c r="I973" i="4"/>
  <c r="I971" i="4"/>
  <c r="I969" i="4"/>
  <c r="I967" i="4"/>
  <c r="I965" i="4"/>
  <c r="I963" i="4"/>
  <c r="I961" i="4"/>
  <c r="I959" i="4"/>
  <c r="I957" i="4"/>
  <c r="I955" i="4"/>
  <c r="I953" i="4"/>
  <c r="I951" i="4"/>
  <c r="I949" i="4"/>
  <c r="I947" i="4"/>
  <c r="I945" i="4"/>
  <c r="I943" i="4"/>
  <c r="I937" i="4"/>
  <c r="I935" i="4"/>
  <c r="I933" i="4"/>
  <c r="I931" i="4"/>
  <c r="I929" i="4"/>
  <c r="I927" i="4"/>
  <c r="I925" i="4"/>
  <c r="I923" i="4"/>
  <c r="I921" i="4"/>
  <c r="I920" i="4"/>
  <c r="I917" i="4"/>
  <c r="I915" i="4"/>
  <c r="I913" i="4"/>
  <c r="I911" i="4"/>
  <c r="I909" i="4"/>
  <c r="I907" i="4"/>
  <c r="I905" i="4"/>
  <c r="I903" i="4"/>
  <c r="I901" i="4"/>
  <c r="I899" i="4"/>
  <c r="I897" i="4"/>
  <c r="I895" i="4"/>
  <c r="I893" i="4"/>
  <c r="I891" i="4"/>
  <c r="I889" i="4"/>
  <c r="I887" i="4"/>
  <c r="I885" i="4"/>
  <c r="I883" i="4"/>
  <c r="I881" i="4"/>
  <c r="I879" i="4"/>
  <c r="I877" i="4"/>
  <c r="I875" i="4"/>
  <c r="I873" i="4"/>
  <c r="I871" i="4"/>
  <c r="I869" i="4"/>
  <c r="I867" i="4"/>
  <c r="I865" i="4"/>
  <c r="I863" i="4"/>
  <c r="I861" i="4"/>
  <c r="I859" i="4"/>
  <c r="I857" i="4"/>
  <c r="I855" i="4"/>
  <c r="I853" i="4"/>
  <c r="I851" i="4"/>
  <c r="I849" i="4"/>
  <c r="I847" i="4"/>
  <c r="I845" i="4"/>
  <c r="I843" i="4"/>
  <c r="I841" i="4"/>
  <c r="I839" i="4"/>
  <c r="I833" i="4"/>
  <c r="I831" i="4"/>
  <c r="I829" i="4"/>
  <c r="I827" i="4"/>
  <c r="I825" i="4"/>
  <c r="I823" i="4"/>
  <c r="I821" i="4"/>
  <c r="I819" i="4"/>
  <c r="I817" i="4"/>
  <c r="I815" i="4"/>
  <c r="I813" i="4"/>
  <c r="I811" i="4"/>
  <c r="I809" i="4"/>
  <c r="I807" i="4"/>
  <c r="I805" i="4"/>
  <c r="I803" i="4"/>
  <c r="I801" i="4"/>
  <c r="I799" i="4"/>
  <c r="I797" i="4"/>
  <c r="I795" i="4"/>
  <c r="I793" i="4"/>
  <c r="I791" i="4"/>
  <c r="I789" i="4"/>
  <c r="I787" i="4"/>
  <c r="I785" i="4"/>
  <c r="I783" i="4"/>
  <c r="I781" i="4"/>
  <c r="I779" i="4"/>
  <c r="I777" i="4"/>
  <c r="I775" i="4"/>
  <c r="I773" i="4"/>
  <c r="I771" i="4"/>
  <c r="I769" i="4"/>
  <c r="I767" i="4"/>
  <c r="I765" i="4"/>
  <c r="I763" i="4"/>
  <c r="I761" i="4"/>
  <c r="I759" i="4"/>
  <c r="I757" i="4"/>
  <c r="I755" i="4"/>
  <c r="I753" i="4"/>
  <c r="I751" i="4"/>
  <c r="I749" i="4"/>
  <c r="I747" i="4"/>
  <c r="I745" i="4"/>
  <c r="I743" i="4"/>
  <c r="I741" i="4"/>
  <c r="I739" i="4"/>
  <c r="I737" i="4"/>
  <c r="I735" i="4"/>
  <c r="I729" i="4"/>
  <c r="I727" i="4"/>
  <c r="I725" i="4"/>
  <c r="I723" i="4"/>
  <c r="I721" i="4"/>
  <c r="I719" i="4"/>
  <c r="I717" i="4"/>
  <c r="I715" i="4"/>
  <c r="I919" i="4"/>
  <c r="I918" i="4"/>
  <c r="I916" i="4"/>
  <c r="I914" i="4"/>
  <c r="I912" i="4"/>
  <c r="I910" i="4"/>
  <c r="I908" i="4"/>
  <c r="I906" i="4"/>
  <c r="I904" i="4"/>
  <c r="I902" i="4"/>
  <c r="I900" i="4"/>
  <c r="I898" i="4"/>
  <c r="I896" i="4"/>
  <c r="I894" i="4"/>
  <c r="I892" i="4"/>
  <c r="I890" i="4"/>
  <c r="I888" i="4"/>
  <c r="I886" i="4"/>
  <c r="I884" i="4"/>
  <c r="I882" i="4"/>
  <c r="I880" i="4"/>
  <c r="I878" i="4"/>
  <c r="I876" i="4"/>
  <c r="I874" i="4"/>
  <c r="I872" i="4"/>
  <c r="I870" i="4"/>
  <c r="I868" i="4"/>
  <c r="I866" i="4"/>
  <c r="I864" i="4"/>
  <c r="I862" i="4"/>
  <c r="I860" i="4"/>
  <c r="I858" i="4"/>
  <c r="I856" i="4"/>
  <c r="I854" i="4"/>
  <c r="I852" i="4"/>
  <c r="I850" i="4"/>
  <c r="I848" i="4"/>
  <c r="I846" i="4"/>
  <c r="I844" i="4"/>
  <c r="I842" i="4"/>
  <c r="I840" i="4"/>
  <c r="I838" i="4"/>
  <c r="I834" i="4"/>
  <c r="I832" i="4"/>
  <c r="I830" i="4"/>
  <c r="I828" i="4"/>
  <c r="I826" i="4"/>
  <c r="I824" i="4"/>
  <c r="I822" i="4"/>
  <c r="I820" i="4"/>
  <c r="I818" i="4"/>
  <c r="I816" i="4"/>
  <c r="I814" i="4"/>
  <c r="I812" i="4"/>
  <c r="I810" i="4"/>
  <c r="I808" i="4"/>
  <c r="I806" i="4"/>
  <c r="I804" i="4"/>
  <c r="I802" i="4"/>
  <c r="I800" i="4"/>
  <c r="I798" i="4"/>
  <c r="I796" i="4"/>
  <c r="I794" i="4"/>
  <c r="I792" i="4"/>
  <c r="I790" i="4"/>
  <c r="I788" i="4"/>
  <c r="I786" i="4"/>
  <c r="I784" i="4"/>
  <c r="I782" i="4"/>
  <c r="I780" i="4"/>
  <c r="I778" i="4"/>
  <c r="I776" i="4"/>
  <c r="I774" i="4"/>
  <c r="I772" i="4"/>
  <c r="I770" i="4"/>
  <c r="I768" i="4"/>
  <c r="I766" i="4"/>
  <c r="I764" i="4"/>
  <c r="I762" i="4"/>
  <c r="I760" i="4"/>
  <c r="I758" i="4"/>
  <c r="I756" i="4"/>
  <c r="I754" i="4"/>
  <c r="I752" i="4"/>
  <c r="I750" i="4"/>
  <c r="I748" i="4"/>
  <c r="I746" i="4"/>
  <c r="I744" i="4"/>
  <c r="I742" i="4"/>
  <c r="I740" i="4"/>
  <c r="I738" i="4"/>
  <c r="I736" i="4"/>
  <c r="I734" i="4"/>
  <c r="I730" i="4"/>
  <c r="I728" i="4"/>
  <c r="I726" i="4"/>
  <c r="I724" i="4"/>
  <c r="I722" i="4"/>
  <c r="I720" i="4"/>
  <c r="I718" i="4"/>
  <c r="I716" i="4"/>
  <c r="I714" i="4"/>
  <c r="I711" i="4"/>
  <c r="I707" i="4"/>
  <c r="I704" i="4"/>
  <c r="I702" i="4"/>
  <c r="I700" i="4"/>
  <c r="I698" i="4"/>
  <c r="I696" i="4"/>
  <c r="I694" i="4"/>
  <c r="I692" i="4"/>
  <c r="I690" i="4"/>
  <c r="I688" i="4"/>
  <c r="I686" i="4"/>
  <c r="I684" i="4"/>
  <c r="I682" i="4"/>
  <c r="I680" i="4"/>
  <c r="I678" i="4"/>
  <c r="I676" i="4"/>
  <c r="I674" i="4"/>
  <c r="I672" i="4"/>
  <c r="I670" i="4"/>
  <c r="I668" i="4"/>
  <c r="I666" i="4"/>
  <c r="I664" i="4"/>
  <c r="I662" i="4"/>
  <c r="I660" i="4"/>
  <c r="I658" i="4"/>
  <c r="I656" i="4"/>
  <c r="I654" i="4"/>
  <c r="I652" i="4"/>
  <c r="I650" i="4"/>
  <c r="I648" i="4"/>
  <c r="I646" i="4"/>
  <c r="I644" i="4"/>
  <c r="I642" i="4"/>
  <c r="I640" i="4"/>
  <c r="I638" i="4"/>
  <c r="I636" i="4"/>
  <c r="I634" i="4"/>
  <c r="I632" i="4"/>
  <c r="I630" i="4"/>
  <c r="I626" i="4"/>
  <c r="I624" i="4"/>
  <c r="I622" i="4"/>
  <c r="I620" i="4"/>
  <c r="I618" i="4"/>
  <c r="I616" i="4"/>
  <c r="I614" i="4"/>
  <c r="I612" i="4"/>
  <c r="I610" i="4"/>
  <c r="I608" i="4"/>
  <c r="I606" i="4"/>
  <c r="I604" i="4"/>
  <c r="I602" i="4"/>
  <c r="I600" i="4"/>
  <c r="I598" i="4"/>
  <c r="I596" i="4"/>
  <c r="I594" i="4"/>
  <c r="I592" i="4"/>
  <c r="I590" i="4"/>
  <c r="I588" i="4"/>
  <c r="I586" i="4"/>
  <c r="I584" i="4"/>
  <c r="I582" i="4"/>
  <c r="I580" i="4"/>
  <c r="I578" i="4"/>
  <c r="I576" i="4"/>
  <c r="I574" i="4"/>
  <c r="I572" i="4"/>
  <c r="I570" i="4"/>
  <c r="I568" i="4"/>
  <c r="I566" i="4"/>
  <c r="I564" i="4"/>
  <c r="I562" i="4"/>
  <c r="I560" i="4"/>
  <c r="I558" i="4"/>
  <c r="I556" i="4"/>
  <c r="I554" i="4"/>
  <c r="I552" i="4"/>
  <c r="I550" i="4"/>
  <c r="I548" i="4"/>
  <c r="I546" i="4"/>
  <c r="I544" i="4"/>
  <c r="I542" i="4"/>
  <c r="I540" i="4"/>
  <c r="I538" i="4"/>
  <c r="I536" i="4"/>
  <c r="I534" i="4"/>
  <c r="I532" i="4"/>
  <c r="I530" i="4"/>
  <c r="I528" i="4"/>
  <c r="I526" i="4"/>
  <c r="I522" i="4"/>
  <c r="I520" i="4"/>
  <c r="I518" i="4"/>
  <c r="I516" i="4"/>
  <c r="I514" i="4"/>
  <c r="I512" i="4"/>
  <c r="I510" i="4"/>
  <c r="I710" i="4"/>
  <c r="I706" i="4"/>
  <c r="I713" i="4"/>
  <c r="I709" i="4"/>
  <c r="I705" i="4"/>
  <c r="I703" i="4"/>
  <c r="I701" i="4"/>
  <c r="I699" i="4"/>
  <c r="I697" i="4"/>
  <c r="I695" i="4"/>
  <c r="I693" i="4"/>
  <c r="I691" i="4"/>
  <c r="I689" i="4"/>
  <c r="I687" i="4"/>
  <c r="I685" i="4"/>
  <c r="I683" i="4"/>
  <c r="I681" i="4"/>
  <c r="I679" i="4"/>
  <c r="I677" i="4"/>
  <c r="I675" i="4"/>
  <c r="I673" i="4"/>
  <c r="I671" i="4"/>
  <c r="I669" i="4"/>
  <c r="I667" i="4"/>
  <c r="I665" i="4"/>
  <c r="I663" i="4"/>
  <c r="I661" i="4"/>
  <c r="I659" i="4"/>
  <c r="I657" i="4"/>
  <c r="I655" i="4"/>
  <c r="I653" i="4"/>
  <c r="I651" i="4"/>
  <c r="I649" i="4"/>
  <c r="I647" i="4"/>
  <c r="I645" i="4"/>
  <c r="I643" i="4"/>
  <c r="I641" i="4"/>
  <c r="I639" i="4"/>
  <c r="I637" i="4"/>
  <c r="I635" i="4"/>
  <c r="I633" i="4"/>
  <c r="I631" i="4"/>
  <c r="I625" i="4"/>
  <c r="I623" i="4"/>
  <c r="I621" i="4"/>
  <c r="I619" i="4"/>
  <c r="I617" i="4"/>
  <c r="I615" i="4"/>
  <c r="I613" i="4"/>
  <c r="I611" i="4"/>
  <c r="I609" i="4"/>
  <c r="I607" i="4"/>
  <c r="I605" i="4"/>
  <c r="I603" i="4"/>
  <c r="I601" i="4"/>
  <c r="I599" i="4"/>
  <c r="I597" i="4"/>
  <c r="I595" i="4"/>
  <c r="I593" i="4"/>
  <c r="I591" i="4"/>
  <c r="I589" i="4"/>
  <c r="I587" i="4"/>
  <c r="I585" i="4"/>
  <c r="I583" i="4"/>
  <c r="I581" i="4"/>
  <c r="I579" i="4"/>
  <c r="I577" i="4"/>
  <c r="I575" i="4"/>
  <c r="I573" i="4"/>
  <c r="I571" i="4"/>
  <c r="I569" i="4"/>
  <c r="I567" i="4"/>
  <c r="I565" i="4"/>
  <c r="I563" i="4"/>
  <c r="I561" i="4"/>
  <c r="I559" i="4"/>
  <c r="I557" i="4"/>
  <c r="I555" i="4"/>
  <c r="I553" i="4"/>
  <c r="I551" i="4"/>
  <c r="I549" i="4"/>
  <c r="I547" i="4"/>
  <c r="I545" i="4"/>
  <c r="I543" i="4"/>
  <c r="I541" i="4"/>
  <c r="I539" i="4"/>
  <c r="I537" i="4"/>
  <c r="I535" i="4"/>
  <c r="I533" i="4"/>
  <c r="I531" i="4"/>
  <c r="I529" i="4"/>
  <c r="I527" i="4"/>
  <c r="I521" i="4"/>
  <c r="I519" i="4"/>
  <c r="I517" i="4"/>
  <c r="I515" i="4"/>
  <c r="I513" i="4"/>
  <c r="I511" i="4"/>
  <c r="I509" i="4"/>
  <c r="I507" i="4"/>
  <c r="I505" i="4"/>
  <c r="I503" i="4"/>
  <c r="I501" i="4"/>
  <c r="I712" i="4"/>
  <c r="I708" i="4"/>
  <c r="I496" i="4"/>
  <c r="I508" i="4"/>
  <c r="I504" i="4"/>
  <c r="I500" i="4"/>
  <c r="I499" i="4"/>
  <c r="I495" i="4"/>
  <c r="I494" i="4"/>
  <c r="I492" i="4"/>
  <c r="I490" i="4"/>
  <c r="I488" i="4"/>
  <c r="I486" i="4"/>
  <c r="I484" i="4"/>
  <c r="I482" i="4"/>
  <c r="I480" i="4"/>
  <c r="I478" i="4"/>
  <c r="I476" i="4"/>
  <c r="I474" i="4"/>
  <c r="I472" i="4"/>
  <c r="I470" i="4"/>
  <c r="I468" i="4"/>
  <c r="I466" i="4"/>
  <c r="I464" i="4"/>
  <c r="I462" i="4"/>
  <c r="I460" i="4"/>
  <c r="I458" i="4"/>
  <c r="I456" i="4"/>
  <c r="I454" i="4"/>
  <c r="I452" i="4"/>
  <c r="I450" i="4"/>
  <c r="I448" i="4"/>
  <c r="I446" i="4"/>
  <c r="I444" i="4"/>
  <c r="I442" i="4"/>
  <c r="I440" i="4"/>
  <c r="I438" i="4"/>
  <c r="I436" i="4"/>
  <c r="I434" i="4"/>
  <c r="I432" i="4"/>
  <c r="I430" i="4"/>
  <c r="I428" i="4"/>
  <c r="I426" i="4"/>
  <c r="I424" i="4"/>
  <c r="I422" i="4"/>
  <c r="I418" i="4"/>
  <c r="I416" i="4"/>
  <c r="I414" i="4"/>
  <c r="I412" i="4"/>
  <c r="I410" i="4"/>
  <c r="I408" i="4"/>
  <c r="I406" i="4"/>
  <c r="I404" i="4"/>
  <c r="I402" i="4"/>
  <c r="I400" i="4"/>
  <c r="I398" i="4"/>
  <c r="I396" i="4"/>
  <c r="I394" i="4"/>
  <c r="I392" i="4"/>
  <c r="I390" i="4"/>
  <c r="I388" i="4"/>
  <c r="I386" i="4"/>
  <c r="I384" i="4"/>
  <c r="I382" i="4"/>
  <c r="I380" i="4"/>
  <c r="I378" i="4"/>
  <c r="I376" i="4"/>
  <c r="I374" i="4"/>
  <c r="I372" i="4"/>
  <c r="I370" i="4"/>
  <c r="I368" i="4"/>
  <c r="I366" i="4"/>
  <c r="I364" i="4"/>
  <c r="I362" i="4"/>
  <c r="I360" i="4"/>
  <c r="I358" i="4"/>
  <c r="I356" i="4"/>
  <c r="I354" i="4"/>
  <c r="I352" i="4"/>
  <c r="I350" i="4"/>
  <c r="I348" i="4"/>
  <c r="I346" i="4"/>
  <c r="I344" i="4"/>
  <c r="I342" i="4"/>
  <c r="I340" i="4"/>
  <c r="I338" i="4"/>
  <c r="I336" i="4"/>
  <c r="I334" i="4"/>
  <c r="I332" i="4"/>
  <c r="I330" i="4"/>
  <c r="I328" i="4"/>
  <c r="I326" i="4"/>
  <c r="I324" i="4"/>
  <c r="I322" i="4"/>
  <c r="I320" i="4"/>
  <c r="I318" i="4"/>
  <c r="I314" i="4"/>
  <c r="I312" i="4"/>
  <c r="I310" i="4"/>
  <c r="I308" i="4"/>
  <c r="I306" i="4"/>
  <c r="I304" i="4"/>
  <c r="I302" i="4"/>
  <c r="I300" i="4"/>
  <c r="I298" i="4"/>
  <c r="I296" i="4"/>
  <c r="I294" i="4"/>
  <c r="I292" i="4"/>
  <c r="I290" i="4"/>
  <c r="I288" i="4"/>
  <c r="I286" i="4"/>
  <c r="I498" i="4"/>
  <c r="I506" i="4"/>
  <c r="I502" i="4"/>
  <c r="I497" i="4"/>
  <c r="I493" i="4"/>
  <c r="I491" i="4"/>
  <c r="I489" i="4"/>
  <c r="I487" i="4"/>
  <c r="I485" i="4"/>
  <c r="I483" i="4"/>
  <c r="I481" i="4"/>
  <c r="I479" i="4"/>
  <c r="I477" i="4"/>
  <c r="I475" i="4"/>
  <c r="I473" i="4"/>
  <c r="I471" i="4"/>
  <c r="I469" i="4"/>
  <c r="I467" i="4"/>
  <c r="I465" i="4"/>
  <c r="I463" i="4"/>
  <c r="I461" i="4"/>
  <c r="I459" i="4"/>
  <c r="I457" i="4"/>
  <c r="I455" i="4"/>
  <c r="I453" i="4"/>
  <c r="I451" i="4"/>
  <c r="I449" i="4"/>
  <c r="I447" i="4"/>
  <c r="I445" i="4"/>
  <c r="I443" i="4"/>
  <c r="I441" i="4"/>
  <c r="I439" i="4"/>
  <c r="I437" i="4"/>
  <c r="I435" i="4"/>
  <c r="I433" i="4"/>
  <c r="I431" i="4"/>
  <c r="I429" i="4"/>
  <c r="I427" i="4"/>
  <c r="I425" i="4"/>
  <c r="I423" i="4"/>
  <c r="I417" i="4"/>
  <c r="I415" i="4"/>
  <c r="I413" i="4"/>
  <c r="I411" i="4"/>
  <c r="I409" i="4"/>
  <c r="I407" i="4"/>
  <c r="I405" i="4"/>
  <c r="I403" i="4"/>
  <c r="I401" i="4"/>
  <c r="I399" i="4"/>
  <c r="I397" i="4"/>
  <c r="I395" i="4"/>
  <c r="I393" i="4"/>
  <c r="I391" i="4"/>
  <c r="I389" i="4"/>
  <c r="I387" i="4"/>
  <c r="I385" i="4"/>
  <c r="I383" i="4"/>
  <c r="I381" i="4"/>
  <c r="I379" i="4"/>
  <c r="I377" i="4"/>
  <c r="I375" i="4"/>
  <c r="I373" i="4"/>
  <c r="I371" i="4"/>
  <c r="I369" i="4"/>
  <c r="I367" i="4"/>
  <c r="I365" i="4"/>
  <c r="I363" i="4"/>
  <c r="I361" i="4"/>
  <c r="I359" i="4"/>
  <c r="I357" i="4"/>
  <c r="I355" i="4"/>
  <c r="I353" i="4"/>
  <c r="I351" i="4"/>
  <c r="I349" i="4"/>
  <c r="I347" i="4"/>
  <c r="I345" i="4"/>
  <c r="I343" i="4"/>
  <c r="I341" i="4"/>
  <c r="I339" i="4"/>
  <c r="I337" i="4"/>
  <c r="I335" i="4"/>
  <c r="I333" i="4"/>
  <c r="I331" i="4"/>
  <c r="I329" i="4"/>
  <c r="I327" i="4"/>
  <c r="I325" i="4"/>
  <c r="I323" i="4"/>
  <c r="I321" i="4"/>
  <c r="I319" i="4"/>
  <c r="I313" i="4"/>
  <c r="I311" i="4"/>
  <c r="I309" i="4"/>
  <c r="I307" i="4"/>
  <c r="I305" i="4"/>
  <c r="I303" i="4"/>
  <c r="I301" i="4"/>
  <c r="I299" i="4"/>
  <c r="I297" i="4"/>
  <c r="I295" i="4"/>
  <c r="I293" i="4"/>
  <c r="I291" i="4"/>
  <c r="I289" i="4"/>
  <c r="I287" i="4"/>
  <c r="I285" i="4"/>
  <c r="I283" i="4"/>
  <c r="I281" i="4"/>
  <c r="I279" i="4"/>
  <c r="I277" i="4"/>
  <c r="I275" i="4"/>
  <c r="I273" i="4"/>
  <c r="I271" i="4"/>
  <c r="I269" i="4"/>
  <c r="I267" i="4"/>
  <c r="I265" i="4"/>
  <c r="I263" i="4"/>
  <c r="I261" i="4"/>
  <c r="I259" i="4"/>
  <c r="I257" i="4"/>
  <c r="I255" i="4"/>
  <c r="I253" i="4"/>
  <c r="I251" i="4"/>
  <c r="I249" i="4"/>
  <c r="I247" i="4"/>
  <c r="I245" i="4"/>
  <c r="I243" i="4"/>
  <c r="I241" i="4"/>
  <c r="I239" i="4"/>
  <c r="I237" i="4"/>
  <c r="I235" i="4"/>
  <c r="I233" i="4"/>
  <c r="I231" i="4"/>
  <c r="I229" i="4"/>
  <c r="I227" i="4"/>
  <c r="I225" i="4"/>
  <c r="I223" i="4"/>
  <c r="I221" i="4"/>
  <c r="I219" i="4"/>
  <c r="I217" i="4"/>
  <c r="I215" i="4"/>
  <c r="I284" i="4"/>
  <c r="I282" i="4"/>
  <c r="I280" i="4"/>
  <c r="I278" i="4"/>
  <c r="I276" i="4"/>
  <c r="I274" i="4"/>
  <c r="I272" i="4"/>
  <c r="I270" i="4"/>
  <c r="I268" i="4"/>
  <c r="I266" i="4"/>
  <c r="I264" i="4"/>
  <c r="I262" i="4"/>
  <c r="I260" i="4"/>
  <c r="I258" i="4"/>
  <c r="I256" i="4"/>
  <c r="I254" i="4"/>
  <c r="I252" i="4"/>
  <c r="I250" i="4"/>
  <c r="I248" i="4"/>
  <c r="I246" i="4"/>
  <c r="I244" i="4"/>
  <c r="I242" i="4"/>
  <c r="I240" i="4"/>
  <c r="I238" i="4"/>
  <c r="I236" i="4"/>
  <c r="I234" i="4"/>
  <c r="I232" i="4"/>
  <c r="I230" i="4"/>
  <c r="I228" i="4"/>
  <c r="I226" i="4"/>
  <c r="I224" i="4"/>
  <c r="I222" i="4"/>
  <c r="I220" i="4"/>
  <c r="I218" i="4"/>
  <c r="I216" i="4"/>
  <c r="I214" i="4"/>
  <c r="I110" i="4"/>
  <c r="AB160" i="4"/>
  <c r="V6" i="45"/>
  <c r="V30" i="45"/>
  <c r="V312" i="45"/>
  <c r="U358" i="45"/>
  <c r="U360" i="45"/>
  <c r="U362" i="45"/>
  <c r="U364" i="45"/>
  <c r="U368" i="45"/>
  <c r="AB411" i="45"/>
  <c r="AB412" i="45"/>
  <c r="AB413" i="45"/>
  <c r="AB414" i="45"/>
  <c r="AB415" i="45"/>
  <c r="AB416" i="45"/>
  <c r="AB417" i="45"/>
  <c r="V435" i="45"/>
  <c r="V436" i="45"/>
  <c r="V437" i="45"/>
  <c r="V438" i="45"/>
  <c r="V439" i="45"/>
  <c r="V440" i="45"/>
  <c r="V441" i="45"/>
  <c r="W462" i="45"/>
  <c r="V465" i="45"/>
  <c r="W466" i="45"/>
  <c r="V469" i="45"/>
  <c r="W470" i="45"/>
  <c r="V496" i="45"/>
  <c r="U496" i="45" s="1"/>
  <c r="X506" i="45"/>
  <c r="X507" i="45"/>
  <c r="Z608" i="45"/>
  <c r="Z609" i="45"/>
  <c r="Z610" i="45"/>
  <c r="Z611" i="45"/>
  <c r="Z612" i="45"/>
  <c r="Z613" i="45"/>
  <c r="Z614" i="45"/>
  <c r="Z615" i="45"/>
  <c r="Z616" i="45"/>
  <c r="Z617" i="45"/>
  <c r="AB159" i="4"/>
  <c r="V57" i="45"/>
  <c r="W62" i="45"/>
  <c r="N68" i="45" s="1"/>
  <c r="X81" i="45"/>
  <c r="X159" i="45"/>
  <c r="V183" i="45"/>
  <c r="W188" i="45"/>
  <c r="N194" i="45" s="1"/>
  <c r="W312" i="45"/>
  <c r="W435" i="45"/>
  <c r="W436" i="45"/>
  <c r="AA436" i="45"/>
  <c r="W437" i="45"/>
  <c r="AA437" i="45"/>
  <c r="W438" i="45"/>
  <c r="AA438" i="45"/>
  <c r="W439" i="45"/>
  <c r="AA439" i="45"/>
  <c r="W440" i="45"/>
  <c r="AA440" i="45"/>
  <c r="V464" i="45"/>
  <c r="W465" i="45"/>
  <c r="V468" i="45"/>
  <c r="W469" i="45"/>
  <c r="W486" i="45"/>
  <c r="V489" i="45"/>
  <c r="W490" i="45"/>
  <c r="V493" i="45"/>
  <c r="AE607" i="45"/>
  <c r="AM607" i="45"/>
  <c r="AE608" i="45"/>
  <c r="W609" i="45"/>
  <c r="AE609" i="45"/>
  <c r="AI609" i="45"/>
  <c r="AM609" i="45"/>
  <c r="AQ609" i="45"/>
  <c r="W610" i="45"/>
  <c r="AA610" i="45"/>
  <c r="AE610" i="45"/>
  <c r="AI610" i="45"/>
  <c r="AM610" i="45"/>
  <c r="AQ610" i="45"/>
  <c r="W611" i="45"/>
  <c r="AA611" i="45"/>
  <c r="AE611" i="45"/>
  <c r="AI611" i="45"/>
  <c r="AM611" i="45"/>
  <c r="AQ611" i="45"/>
  <c r="AE612" i="45"/>
  <c r="W613" i="45"/>
  <c r="AA613" i="45"/>
  <c r="AE613" i="45"/>
  <c r="AI613" i="45"/>
  <c r="AM613" i="45"/>
  <c r="AQ613" i="45"/>
  <c r="AE614" i="45"/>
  <c r="AE615" i="45"/>
  <c r="W616" i="45"/>
  <c r="AA616" i="45"/>
  <c r="AE616" i="45"/>
  <c r="AI616" i="45"/>
  <c r="AM616" i="45"/>
  <c r="AQ616" i="45"/>
  <c r="W617" i="45"/>
  <c r="AA617" i="45"/>
  <c r="AE617" i="45"/>
  <c r="AI617" i="45"/>
  <c r="AM617" i="45"/>
  <c r="AQ617" i="45"/>
  <c r="AB158" i="4"/>
  <c r="AB162" i="4"/>
  <c r="X6" i="45"/>
  <c r="X30" i="45"/>
  <c r="AB435" i="45"/>
  <c r="AB436" i="45"/>
  <c r="AB437" i="45"/>
  <c r="AB438" i="45"/>
  <c r="AB439" i="45"/>
  <c r="AB440" i="45"/>
  <c r="AB441" i="45"/>
  <c r="V463" i="45"/>
  <c r="W464" i="45"/>
  <c r="V467" i="45"/>
  <c r="W530" i="45"/>
  <c r="AF608" i="45"/>
  <c r="AF609" i="45"/>
  <c r="AF610" i="45"/>
  <c r="AF611" i="45"/>
  <c r="AF612" i="45"/>
  <c r="AF613" i="45"/>
  <c r="AF614" i="45"/>
  <c r="AF615" i="45"/>
  <c r="AF616" i="45"/>
  <c r="AF617" i="45"/>
  <c r="AB1250" i="4"/>
  <c r="AB1248" i="4"/>
  <c r="AB1246" i="4"/>
  <c r="AB1244" i="4"/>
  <c r="AB1242" i="4"/>
  <c r="AB1240" i="4"/>
  <c r="AB1238" i="4"/>
  <c r="AB1236" i="4"/>
  <c r="AB1234" i="4"/>
  <c r="AB1232" i="4"/>
  <c r="AB1230" i="4"/>
  <c r="AB1228" i="4"/>
  <c r="AB1226" i="4"/>
  <c r="AB1224" i="4"/>
  <c r="AB1247" i="4"/>
  <c r="AB1239" i="4"/>
  <c r="AB1231" i="4"/>
  <c r="AB1222" i="4"/>
  <c r="AB1220" i="4"/>
  <c r="AB1218" i="4"/>
  <c r="AB1216" i="4"/>
  <c r="AB1214" i="4"/>
  <c r="AB1212" i="4"/>
  <c r="AB1210" i="4"/>
  <c r="AB1208" i="4"/>
  <c r="AB1206" i="4"/>
  <c r="AB1204" i="4"/>
  <c r="AB1202" i="4"/>
  <c r="AB1200" i="4"/>
  <c r="AB1198" i="4"/>
  <c r="AB1196" i="4"/>
  <c r="AB1194" i="4"/>
  <c r="AB1192" i="4"/>
  <c r="AB1190" i="4"/>
  <c r="AB1188" i="4"/>
  <c r="AB1186" i="4"/>
  <c r="AB1184" i="4"/>
  <c r="AB1182" i="4"/>
  <c r="AB1180" i="4"/>
  <c r="AB1178" i="4"/>
  <c r="AB1176" i="4"/>
  <c r="AB1174" i="4"/>
  <c r="AB1172" i="4"/>
  <c r="AB1170" i="4"/>
  <c r="AB1168" i="4"/>
  <c r="AB1166" i="4"/>
  <c r="AB1164" i="4"/>
  <c r="AB1162" i="4"/>
  <c r="AB1160" i="4"/>
  <c r="AB1158" i="4"/>
  <c r="AB1156" i="4"/>
  <c r="AB1154" i="4"/>
  <c r="AB1152" i="4"/>
  <c r="AB1150" i="4"/>
  <c r="AB1146" i="4"/>
  <c r="AB1144" i="4"/>
  <c r="AB1142" i="4"/>
  <c r="AB1140" i="4"/>
  <c r="AB1138" i="4"/>
  <c r="AB1136" i="4"/>
  <c r="AB1134" i="4"/>
  <c r="AB1132" i="4"/>
  <c r="AB1249" i="4"/>
  <c r="AB1241" i="4"/>
  <c r="AB1233" i="4"/>
  <c r="AB1225" i="4"/>
  <c r="AB1243" i="4"/>
  <c r="AB1235" i="4"/>
  <c r="AB1227" i="4"/>
  <c r="AB1223" i="4"/>
  <c r="AB1221" i="4"/>
  <c r="AB1219" i="4"/>
  <c r="AB1217" i="4"/>
  <c r="AB1215" i="4"/>
  <c r="AB1213" i="4"/>
  <c r="AB1211" i="4"/>
  <c r="AB1209" i="4"/>
  <c r="AB1207" i="4"/>
  <c r="AB1205" i="4"/>
  <c r="AB1203" i="4"/>
  <c r="AB1201" i="4"/>
  <c r="AB1199" i="4"/>
  <c r="AB1197" i="4"/>
  <c r="AB1195" i="4"/>
  <c r="AB1193" i="4"/>
  <c r="AB1191" i="4"/>
  <c r="AB1189" i="4"/>
  <c r="AB1187" i="4"/>
  <c r="AB1185" i="4"/>
  <c r="AB1183" i="4"/>
  <c r="AB1181" i="4"/>
  <c r="AB1179" i="4"/>
  <c r="AB1177" i="4"/>
  <c r="AB1175" i="4"/>
  <c r="AB1173" i="4"/>
  <c r="AB1171" i="4"/>
  <c r="AB1169" i="4"/>
  <c r="AB1167" i="4"/>
  <c r="AB1165" i="4"/>
  <c r="AB1163" i="4"/>
  <c r="AB1161" i="4"/>
  <c r="AB1159" i="4"/>
  <c r="AB1157" i="4"/>
  <c r="AB1155" i="4"/>
  <c r="AB1153" i="4"/>
  <c r="AB1151" i="4"/>
  <c r="AB1145" i="4"/>
  <c r="AB1143" i="4"/>
  <c r="AB1141" i="4"/>
  <c r="AB1139" i="4"/>
  <c r="AB1137" i="4"/>
  <c r="AB1135" i="4"/>
  <c r="AB1133" i="4"/>
  <c r="AB1245" i="4"/>
  <c r="AB1237" i="4"/>
  <c r="AB1229" i="4"/>
  <c r="AB1130" i="4"/>
  <c r="AB1128" i="4"/>
  <c r="AB1126" i="4"/>
  <c r="AB1124" i="4"/>
  <c r="AB1122" i="4"/>
  <c r="AB1120" i="4"/>
  <c r="AB1118" i="4"/>
  <c r="AB1116" i="4"/>
  <c r="AB1114" i="4"/>
  <c r="AB1112" i="4"/>
  <c r="AB1110" i="4"/>
  <c r="AB1108" i="4"/>
  <c r="AB1106" i="4"/>
  <c r="AB1104" i="4"/>
  <c r="AB1102" i="4"/>
  <c r="AB1100" i="4"/>
  <c r="AB1098" i="4"/>
  <c r="AB1096" i="4"/>
  <c r="AB1094" i="4"/>
  <c r="AB1092" i="4"/>
  <c r="AB1090" i="4"/>
  <c r="AB1088" i="4"/>
  <c r="AB1086" i="4"/>
  <c r="AB1084" i="4"/>
  <c r="AB1082" i="4"/>
  <c r="AB1080" i="4"/>
  <c r="AB1078" i="4"/>
  <c r="AB1076" i="4"/>
  <c r="AB1074" i="4"/>
  <c r="AB1072" i="4"/>
  <c r="AB1070" i="4"/>
  <c r="AB1068" i="4"/>
  <c r="AB1066" i="4"/>
  <c r="AB1064" i="4"/>
  <c r="AB1062" i="4"/>
  <c r="AB1060" i="4"/>
  <c r="AB1058" i="4"/>
  <c r="AB1056" i="4"/>
  <c r="AB1054" i="4"/>
  <c r="AB1052" i="4"/>
  <c r="AB1050" i="4"/>
  <c r="AB1048" i="4"/>
  <c r="AB1046" i="4"/>
  <c r="AB1042" i="4"/>
  <c r="AB1040" i="4"/>
  <c r="AB1038" i="4"/>
  <c r="AB1036" i="4"/>
  <c r="AB1034" i="4"/>
  <c r="AB1032" i="4"/>
  <c r="AB1030" i="4"/>
  <c r="AB1028" i="4"/>
  <c r="AB1026" i="4"/>
  <c r="AB1131" i="4"/>
  <c r="AB1129" i="4"/>
  <c r="AB1127" i="4"/>
  <c r="AB1125" i="4"/>
  <c r="AB1123" i="4"/>
  <c r="AB1121" i="4"/>
  <c r="AB1119" i="4"/>
  <c r="AB1117" i="4"/>
  <c r="AB1115" i="4"/>
  <c r="AB1113" i="4"/>
  <c r="AB1111" i="4"/>
  <c r="AB1109" i="4"/>
  <c r="AB1107" i="4"/>
  <c r="AB1105" i="4"/>
  <c r="AB1103" i="4"/>
  <c r="AB1101" i="4"/>
  <c r="AB1099" i="4"/>
  <c r="AB1097" i="4"/>
  <c r="AB1095" i="4"/>
  <c r="AB1093" i="4"/>
  <c r="AB1091" i="4"/>
  <c r="AB1089" i="4"/>
  <c r="AB1087" i="4"/>
  <c r="AB1085" i="4"/>
  <c r="AB1083" i="4"/>
  <c r="AB1081" i="4"/>
  <c r="AB1079" i="4"/>
  <c r="AB1077" i="4"/>
  <c r="AB1075" i="4"/>
  <c r="AB1073" i="4"/>
  <c r="AB1071" i="4"/>
  <c r="AB1069" i="4"/>
  <c r="AB1067" i="4"/>
  <c r="AB1065" i="4"/>
  <c r="AB1063" i="4"/>
  <c r="AB1061" i="4"/>
  <c r="AB1059" i="4"/>
  <c r="AB1057" i="4"/>
  <c r="AB1055" i="4"/>
  <c r="AB1053" i="4"/>
  <c r="AB1051" i="4"/>
  <c r="AB1049" i="4"/>
  <c r="AB1047" i="4"/>
  <c r="AB1041" i="4"/>
  <c r="AB1039" i="4"/>
  <c r="AB1037" i="4"/>
  <c r="AB1035" i="4"/>
  <c r="AB1033" i="4"/>
  <c r="AB1031" i="4"/>
  <c r="AB1029" i="4"/>
  <c r="AB1027" i="4"/>
  <c r="AB1025" i="4"/>
  <c r="AB1024" i="4"/>
  <c r="AB1022" i="4"/>
  <c r="AB1020" i="4"/>
  <c r="AB1018" i="4"/>
  <c r="AB1016" i="4"/>
  <c r="AB1014" i="4"/>
  <c r="AB1012" i="4"/>
  <c r="AB1010" i="4"/>
  <c r="AB1008" i="4"/>
  <c r="AB1006" i="4"/>
  <c r="AB1004" i="4"/>
  <c r="AB1002" i="4"/>
  <c r="AB1000" i="4"/>
  <c r="AB998" i="4"/>
  <c r="AB996" i="4"/>
  <c r="AB994" i="4"/>
  <c r="AB992" i="4"/>
  <c r="AB990" i="4"/>
  <c r="AB988" i="4"/>
  <c r="AB986" i="4"/>
  <c r="AB984" i="4"/>
  <c r="AB982" i="4"/>
  <c r="AB980" i="4"/>
  <c r="AB978" i="4"/>
  <c r="AB976" i="4"/>
  <c r="AB974" i="4"/>
  <c r="AB972" i="4"/>
  <c r="AB970" i="4"/>
  <c r="AB968" i="4"/>
  <c r="AB966" i="4"/>
  <c r="AB964" i="4"/>
  <c r="AB962" i="4"/>
  <c r="AB960" i="4"/>
  <c r="AB958" i="4"/>
  <c r="AB956" i="4"/>
  <c r="AB954" i="4"/>
  <c r="AB952" i="4"/>
  <c r="AB950" i="4"/>
  <c r="AB948" i="4"/>
  <c r="AB946" i="4"/>
  <c r="AB944" i="4"/>
  <c r="AB942" i="4"/>
  <c r="AB938" i="4"/>
  <c r="AB936" i="4"/>
  <c r="AB934" i="4"/>
  <c r="AB932" i="4"/>
  <c r="AB930" i="4"/>
  <c r="AB928" i="4"/>
  <c r="AB926" i="4"/>
  <c r="AB924" i="4"/>
  <c r="AB922" i="4"/>
  <c r="AB920" i="4"/>
  <c r="AB918" i="4"/>
  <c r="AB1023" i="4"/>
  <c r="AB1021" i="4"/>
  <c r="AB1019" i="4"/>
  <c r="AB1017" i="4"/>
  <c r="AB1015" i="4"/>
  <c r="AB1013" i="4"/>
  <c r="AB1011" i="4"/>
  <c r="AB1009" i="4"/>
  <c r="AB1007" i="4"/>
  <c r="AB1005" i="4"/>
  <c r="AB1003" i="4"/>
  <c r="AB1001" i="4"/>
  <c r="AB999" i="4"/>
  <c r="AB997" i="4"/>
  <c r="AB995" i="4"/>
  <c r="AB993" i="4"/>
  <c r="AB991" i="4"/>
  <c r="AB989" i="4"/>
  <c r="AB987" i="4"/>
  <c r="AB985" i="4"/>
  <c r="AB983" i="4"/>
  <c r="AB981" i="4"/>
  <c r="AB979" i="4"/>
  <c r="AB977" i="4"/>
  <c r="AB975" i="4"/>
  <c r="AB973" i="4"/>
  <c r="AB971" i="4"/>
  <c r="AB969" i="4"/>
  <c r="AB967" i="4"/>
  <c r="AB965" i="4"/>
  <c r="AB963" i="4"/>
  <c r="AB961" i="4"/>
  <c r="AB959" i="4"/>
  <c r="AB957" i="4"/>
  <c r="AB955" i="4"/>
  <c r="AB953" i="4"/>
  <c r="AB951" i="4"/>
  <c r="AB949" i="4"/>
  <c r="AB947" i="4"/>
  <c r="AB945" i="4"/>
  <c r="AB943" i="4"/>
  <c r="AB937" i="4"/>
  <c r="AB935" i="4"/>
  <c r="AB933" i="4"/>
  <c r="AB931" i="4"/>
  <c r="AB929" i="4"/>
  <c r="AB927" i="4"/>
  <c r="AB925" i="4"/>
  <c r="AB923" i="4"/>
  <c r="AB921" i="4"/>
  <c r="AB919" i="4"/>
  <c r="AB917" i="4"/>
  <c r="AB915" i="4"/>
  <c r="AB913" i="4"/>
  <c r="AB911" i="4"/>
  <c r="AB909" i="4"/>
  <c r="AB907" i="4"/>
  <c r="AB905" i="4"/>
  <c r="AB903" i="4"/>
  <c r="AB901" i="4"/>
  <c r="AB899" i="4"/>
  <c r="AB897" i="4"/>
  <c r="AB895" i="4"/>
  <c r="AB893" i="4"/>
  <c r="AB891" i="4"/>
  <c r="AB889" i="4"/>
  <c r="AB887" i="4"/>
  <c r="AB885" i="4"/>
  <c r="AB883" i="4"/>
  <c r="AB881" i="4"/>
  <c r="AB879" i="4"/>
  <c r="AB877" i="4"/>
  <c r="AB875" i="4"/>
  <c r="AB873" i="4"/>
  <c r="AB871" i="4"/>
  <c r="AB869" i="4"/>
  <c r="AB867" i="4"/>
  <c r="AB865" i="4"/>
  <c r="AB863" i="4"/>
  <c r="AB861" i="4"/>
  <c r="AB859" i="4"/>
  <c r="AB857" i="4"/>
  <c r="AB855" i="4"/>
  <c r="AB853" i="4"/>
  <c r="AB851" i="4"/>
  <c r="AB849" i="4"/>
  <c r="AB847" i="4"/>
  <c r="AB845" i="4"/>
  <c r="AB843" i="4"/>
  <c r="AB841" i="4"/>
  <c r="AB839" i="4"/>
  <c r="AB833" i="4"/>
  <c r="AB831" i="4"/>
  <c r="AB829" i="4"/>
  <c r="AB827" i="4"/>
  <c r="AB825" i="4"/>
  <c r="AB823" i="4"/>
  <c r="AB821" i="4"/>
  <c r="AB819" i="4"/>
  <c r="AB817" i="4"/>
  <c r="AB815" i="4"/>
  <c r="AB813" i="4"/>
  <c r="AB811" i="4"/>
  <c r="AB809" i="4"/>
  <c r="AB807" i="4"/>
  <c r="AB805" i="4"/>
  <c r="AB803" i="4"/>
  <c r="AB801" i="4"/>
  <c r="AB799" i="4"/>
  <c r="AB797" i="4"/>
  <c r="AB795" i="4"/>
  <c r="AB793" i="4"/>
  <c r="AB791" i="4"/>
  <c r="AB789" i="4"/>
  <c r="AB787" i="4"/>
  <c r="AB785" i="4"/>
  <c r="AB783" i="4"/>
  <c r="AB781" i="4"/>
  <c r="AB779" i="4"/>
  <c r="AB777" i="4"/>
  <c r="AB775" i="4"/>
  <c r="AB773" i="4"/>
  <c r="AB771" i="4"/>
  <c r="AB769" i="4"/>
  <c r="AB767" i="4"/>
  <c r="AB765" i="4"/>
  <c r="AB763" i="4"/>
  <c r="AB761" i="4"/>
  <c r="AB759" i="4"/>
  <c r="AB757" i="4"/>
  <c r="AB755" i="4"/>
  <c r="AB753" i="4"/>
  <c r="AB751" i="4"/>
  <c r="AB749" i="4"/>
  <c r="AB747" i="4"/>
  <c r="AB745" i="4"/>
  <c r="AB743" i="4"/>
  <c r="AB741" i="4"/>
  <c r="AB739" i="4"/>
  <c r="AB737" i="4"/>
  <c r="AB735" i="4"/>
  <c r="AB729" i="4"/>
  <c r="AB727" i="4"/>
  <c r="AB725" i="4"/>
  <c r="AB723" i="4"/>
  <c r="AB721" i="4"/>
  <c r="AB719" i="4"/>
  <c r="AB717" i="4"/>
  <c r="AB715" i="4"/>
  <c r="AB713" i="4"/>
  <c r="AB711" i="4"/>
  <c r="AB709" i="4"/>
  <c r="AB707" i="4"/>
  <c r="AB705" i="4"/>
  <c r="AB916" i="4"/>
  <c r="AB914" i="4"/>
  <c r="AB912" i="4"/>
  <c r="AB910" i="4"/>
  <c r="AB908" i="4"/>
  <c r="AB906" i="4"/>
  <c r="AB904" i="4"/>
  <c r="AB902" i="4"/>
  <c r="AB900" i="4"/>
  <c r="AB898" i="4"/>
  <c r="AB896" i="4"/>
  <c r="AB894" i="4"/>
  <c r="AB892" i="4"/>
  <c r="AB890" i="4"/>
  <c r="AB888" i="4"/>
  <c r="AB886" i="4"/>
  <c r="AB884" i="4"/>
  <c r="AB882" i="4"/>
  <c r="AB880" i="4"/>
  <c r="AB878" i="4"/>
  <c r="AB876" i="4"/>
  <c r="AB874" i="4"/>
  <c r="AB872" i="4"/>
  <c r="AB870" i="4"/>
  <c r="AB868" i="4"/>
  <c r="AB866" i="4"/>
  <c r="AB864" i="4"/>
  <c r="AB862" i="4"/>
  <c r="AB860" i="4"/>
  <c r="AB858" i="4"/>
  <c r="AB856" i="4"/>
  <c r="AB854" i="4"/>
  <c r="AB852" i="4"/>
  <c r="AB850" i="4"/>
  <c r="AB848" i="4"/>
  <c r="AB846" i="4"/>
  <c r="AB844" i="4"/>
  <c r="AB842" i="4"/>
  <c r="AB840" i="4"/>
  <c r="AB838" i="4"/>
  <c r="AB834" i="4"/>
  <c r="AB832" i="4"/>
  <c r="AB830" i="4"/>
  <c r="AB828" i="4"/>
  <c r="AB826" i="4"/>
  <c r="AB824" i="4"/>
  <c r="AB822" i="4"/>
  <c r="AB820" i="4"/>
  <c r="AB818" i="4"/>
  <c r="AB816" i="4"/>
  <c r="AB814" i="4"/>
  <c r="AB812" i="4"/>
  <c r="AB810" i="4"/>
  <c r="AB808" i="4"/>
  <c r="AB806" i="4"/>
  <c r="AB804" i="4"/>
  <c r="AB802" i="4"/>
  <c r="AB800" i="4"/>
  <c r="AB798" i="4"/>
  <c r="AB796" i="4"/>
  <c r="AB794" i="4"/>
  <c r="AB792" i="4"/>
  <c r="AB790" i="4"/>
  <c r="AB788" i="4"/>
  <c r="AB786" i="4"/>
  <c r="AB784" i="4"/>
  <c r="AB782" i="4"/>
  <c r="AB780" i="4"/>
  <c r="AB778" i="4"/>
  <c r="AB776" i="4"/>
  <c r="AB774" i="4"/>
  <c r="AB772" i="4"/>
  <c r="AB770" i="4"/>
  <c r="AB768" i="4"/>
  <c r="AB766" i="4"/>
  <c r="AB764" i="4"/>
  <c r="AB762" i="4"/>
  <c r="AB760" i="4"/>
  <c r="AB758" i="4"/>
  <c r="AB756" i="4"/>
  <c r="AB754" i="4"/>
  <c r="AB752" i="4"/>
  <c r="AB750" i="4"/>
  <c r="AB748" i="4"/>
  <c r="AB746" i="4"/>
  <c r="AB744" i="4"/>
  <c r="AB742" i="4"/>
  <c r="AB740" i="4"/>
  <c r="AB738" i="4"/>
  <c r="AB736" i="4"/>
  <c r="AB734" i="4"/>
  <c r="AB730" i="4"/>
  <c r="AB728" i="4"/>
  <c r="AB726" i="4"/>
  <c r="AB724" i="4"/>
  <c r="AB722" i="4"/>
  <c r="AB720" i="4"/>
  <c r="AB718" i="4"/>
  <c r="AB716" i="4"/>
  <c r="AB714" i="4"/>
  <c r="AB712" i="4"/>
  <c r="AB710" i="4"/>
  <c r="AB708" i="4"/>
  <c r="AB706" i="4"/>
  <c r="AB704" i="4"/>
  <c r="AB702" i="4"/>
  <c r="AB700" i="4"/>
  <c r="AB698" i="4"/>
  <c r="AB696" i="4"/>
  <c r="AB694" i="4"/>
  <c r="AB692" i="4"/>
  <c r="AB690" i="4"/>
  <c r="AB688" i="4"/>
  <c r="AB686" i="4"/>
  <c r="AB684" i="4"/>
  <c r="AB682" i="4"/>
  <c r="AB680" i="4"/>
  <c r="AB678" i="4"/>
  <c r="AB676" i="4"/>
  <c r="AB674" i="4"/>
  <c r="AB672" i="4"/>
  <c r="AB670" i="4"/>
  <c r="AB668" i="4"/>
  <c r="AB666" i="4"/>
  <c r="AB664" i="4"/>
  <c r="AB662" i="4"/>
  <c r="AB660" i="4"/>
  <c r="AB658" i="4"/>
  <c r="AB656" i="4"/>
  <c r="AB654" i="4"/>
  <c r="AB652" i="4"/>
  <c r="AB650" i="4"/>
  <c r="AB648" i="4"/>
  <c r="AB646" i="4"/>
  <c r="AB644" i="4"/>
  <c r="AB642" i="4"/>
  <c r="AB640" i="4"/>
  <c r="AB638" i="4"/>
  <c r="AB636" i="4"/>
  <c r="AB634" i="4"/>
  <c r="AB632" i="4"/>
  <c r="AB630" i="4"/>
  <c r="AB626" i="4"/>
  <c r="AB624" i="4"/>
  <c r="AB622" i="4"/>
  <c r="AB620" i="4"/>
  <c r="AB618" i="4"/>
  <c r="AB616" i="4"/>
  <c r="AB614" i="4"/>
  <c r="AB612" i="4"/>
  <c r="AB610" i="4"/>
  <c r="AB608" i="4"/>
  <c r="AB606" i="4"/>
  <c r="AB604" i="4"/>
  <c r="AB602" i="4"/>
  <c r="AB600" i="4"/>
  <c r="AB598" i="4"/>
  <c r="AB596" i="4"/>
  <c r="AB594" i="4"/>
  <c r="AB592" i="4"/>
  <c r="AB590" i="4"/>
  <c r="AB588" i="4"/>
  <c r="AB586" i="4"/>
  <c r="AB584" i="4"/>
  <c r="AB582" i="4"/>
  <c r="AB580" i="4"/>
  <c r="AB578" i="4"/>
  <c r="AB576" i="4"/>
  <c r="AB574" i="4"/>
  <c r="AB572" i="4"/>
  <c r="AB570" i="4"/>
  <c r="AB568" i="4"/>
  <c r="AB566" i="4"/>
  <c r="AB564" i="4"/>
  <c r="AB562" i="4"/>
  <c r="AB560" i="4"/>
  <c r="AB558" i="4"/>
  <c r="AB556" i="4"/>
  <c r="AB554" i="4"/>
  <c r="AB552" i="4"/>
  <c r="AB550" i="4"/>
  <c r="AB548" i="4"/>
  <c r="AB546" i="4"/>
  <c r="AB544" i="4"/>
  <c r="AB542" i="4"/>
  <c r="AB540" i="4"/>
  <c r="AB538" i="4"/>
  <c r="AB536" i="4"/>
  <c r="AB534" i="4"/>
  <c r="AB532" i="4"/>
  <c r="AB530" i="4"/>
  <c r="AB528" i="4"/>
  <c r="AB526" i="4"/>
  <c r="AB522" i="4"/>
  <c r="AB520" i="4"/>
  <c r="AB518" i="4"/>
  <c r="AB516" i="4"/>
  <c r="AB514" i="4"/>
  <c r="AB512" i="4"/>
  <c r="AB510" i="4"/>
  <c r="AB508" i="4"/>
  <c r="AB506" i="4"/>
  <c r="AB504" i="4"/>
  <c r="AB502" i="4"/>
  <c r="AB500" i="4"/>
  <c r="AB498" i="4"/>
  <c r="AB496" i="4"/>
  <c r="AB703" i="4"/>
  <c r="AB701" i="4"/>
  <c r="AB699" i="4"/>
  <c r="AB697" i="4"/>
  <c r="AB695" i="4"/>
  <c r="AB693" i="4"/>
  <c r="AB691" i="4"/>
  <c r="AB689" i="4"/>
  <c r="AB687" i="4"/>
  <c r="AB685" i="4"/>
  <c r="AB683" i="4"/>
  <c r="AB681" i="4"/>
  <c r="AB679" i="4"/>
  <c r="AB677" i="4"/>
  <c r="AB675" i="4"/>
  <c r="AB673" i="4"/>
  <c r="AB671" i="4"/>
  <c r="AB669" i="4"/>
  <c r="AB667" i="4"/>
  <c r="AB665" i="4"/>
  <c r="AB663" i="4"/>
  <c r="AB661" i="4"/>
  <c r="AB659" i="4"/>
  <c r="AB657" i="4"/>
  <c r="AB655" i="4"/>
  <c r="AB653" i="4"/>
  <c r="AB651" i="4"/>
  <c r="AB649" i="4"/>
  <c r="AB647" i="4"/>
  <c r="AB645" i="4"/>
  <c r="AB643" i="4"/>
  <c r="AB641" i="4"/>
  <c r="AB639" i="4"/>
  <c r="AB637" i="4"/>
  <c r="AB635" i="4"/>
  <c r="AB633" i="4"/>
  <c r="AB631" i="4"/>
  <c r="AB625" i="4"/>
  <c r="AB623" i="4"/>
  <c r="AB621" i="4"/>
  <c r="AB619" i="4"/>
  <c r="AB617" i="4"/>
  <c r="AB615" i="4"/>
  <c r="AB613" i="4"/>
  <c r="AB611" i="4"/>
  <c r="AB609" i="4"/>
  <c r="AB607" i="4"/>
  <c r="AB605" i="4"/>
  <c r="AB603" i="4"/>
  <c r="AB601" i="4"/>
  <c r="AB599" i="4"/>
  <c r="AB597" i="4"/>
  <c r="AB595" i="4"/>
  <c r="AB593" i="4"/>
  <c r="AB591" i="4"/>
  <c r="AB589" i="4"/>
  <c r="AB587" i="4"/>
  <c r="AB585" i="4"/>
  <c r="AB583" i="4"/>
  <c r="AB581" i="4"/>
  <c r="AB579" i="4"/>
  <c r="AB577" i="4"/>
  <c r="AB575" i="4"/>
  <c r="AB573" i="4"/>
  <c r="AB571" i="4"/>
  <c r="AB569" i="4"/>
  <c r="AB567" i="4"/>
  <c r="AB565" i="4"/>
  <c r="AB563" i="4"/>
  <c r="AB561" i="4"/>
  <c r="AB559" i="4"/>
  <c r="AB557" i="4"/>
  <c r="AB555" i="4"/>
  <c r="AB553" i="4"/>
  <c r="AB551" i="4"/>
  <c r="AB549" i="4"/>
  <c r="AB547" i="4"/>
  <c r="AB545" i="4"/>
  <c r="AB543" i="4"/>
  <c r="AB541" i="4"/>
  <c r="AB539" i="4"/>
  <c r="AB537" i="4"/>
  <c r="AB535" i="4"/>
  <c r="AB533" i="4"/>
  <c r="AB531" i="4"/>
  <c r="AB529" i="4"/>
  <c r="AB527" i="4"/>
  <c r="AB521" i="4"/>
  <c r="AB519" i="4"/>
  <c r="AB517" i="4"/>
  <c r="AB515" i="4"/>
  <c r="AB513" i="4"/>
  <c r="AB511" i="4"/>
  <c r="AB509" i="4"/>
  <c r="AB507" i="4"/>
  <c r="AB505" i="4"/>
  <c r="AB503" i="4"/>
  <c r="AB501" i="4"/>
  <c r="AB499" i="4"/>
  <c r="AB497" i="4"/>
  <c r="AB495" i="4"/>
  <c r="AB493" i="4"/>
  <c r="AB491" i="4"/>
  <c r="AB489" i="4"/>
  <c r="AB487" i="4"/>
  <c r="AB485" i="4"/>
  <c r="AB483" i="4"/>
  <c r="AB481" i="4"/>
  <c r="AB479" i="4"/>
  <c r="AB477" i="4"/>
  <c r="AB475" i="4"/>
  <c r="AB473" i="4"/>
  <c r="AB471" i="4"/>
  <c r="AB469" i="4"/>
  <c r="AB467" i="4"/>
  <c r="AB465" i="4"/>
  <c r="AB463" i="4"/>
  <c r="AB461" i="4"/>
  <c r="AB459" i="4"/>
  <c r="AB457" i="4"/>
  <c r="AB455" i="4"/>
  <c r="AB453" i="4"/>
  <c r="AB451" i="4"/>
  <c r="AB449" i="4"/>
  <c r="AB447" i="4"/>
  <c r="AB445" i="4"/>
  <c r="AB443" i="4"/>
  <c r="AB441" i="4"/>
  <c r="AB439" i="4"/>
  <c r="AB437" i="4"/>
  <c r="AB435" i="4"/>
  <c r="AB433" i="4"/>
  <c r="AB431" i="4"/>
  <c r="AB429" i="4"/>
  <c r="AB427" i="4"/>
  <c r="AB425" i="4"/>
  <c r="AB423" i="4"/>
  <c r="AB417" i="4"/>
  <c r="AB415" i="4"/>
  <c r="AB413" i="4"/>
  <c r="AB411" i="4"/>
  <c r="AB409" i="4"/>
  <c r="AB407" i="4"/>
  <c r="AB405" i="4"/>
  <c r="AB403" i="4"/>
  <c r="AB401" i="4"/>
  <c r="AB399" i="4"/>
  <c r="AB397" i="4"/>
  <c r="AB395" i="4"/>
  <c r="AB393" i="4"/>
  <c r="AB391" i="4"/>
  <c r="AB389" i="4"/>
  <c r="AB387" i="4"/>
  <c r="AB385" i="4"/>
  <c r="AB383" i="4"/>
  <c r="AB381" i="4"/>
  <c r="AB379" i="4"/>
  <c r="AB377" i="4"/>
  <c r="AB375" i="4"/>
  <c r="AB373" i="4"/>
  <c r="AB371" i="4"/>
  <c r="AB369" i="4"/>
  <c r="AB367" i="4"/>
  <c r="AB365" i="4"/>
  <c r="AB363" i="4"/>
  <c r="AB361" i="4"/>
  <c r="AB359" i="4"/>
  <c r="AB357" i="4"/>
  <c r="AB355" i="4"/>
  <c r="AB353" i="4"/>
  <c r="AB351" i="4"/>
  <c r="AB349" i="4"/>
  <c r="AB347" i="4"/>
  <c r="AB345" i="4"/>
  <c r="AB343" i="4"/>
  <c r="AB341" i="4"/>
  <c r="AB339" i="4"/>
  <c r="AB337" i="4"/>
  <c r="AB335" i="4"/>
  <c r="AB333" i="4"/>
  <c r="AB331" i="4"/>
  <c r="AB329" i="4"/>
  <c r="AB327" i="4"/>
  <c r="AB325" i="4"/>
  <c r="AB323" i="4"/>
  <c r="AB321" i="4"/>
  <c r="AB319" i="4"/>
  <c r="AB313" i="4"/>
  <c r="AB311" i="4"/>
  <c r="AB309" i="4"/>
  <c r="AB307" i="4"/>
  <c r="AB305" i="4"/>
  <c r="AB303" i="4"/>
  <c r="AB301" i="4"/>
  <c r="AB299" i="4"/>
  <c r="AB297" i="4"/>
  <c r="AB295" i="4"/>
  <c r="AB293" i="4"/>
  <c r="AB291" i="4"/>
  <c r="AB289" i="4"/>
  <c r="AB287" i="4"/>
  <c r="AB494" i="4"/>
  <c r="AB492" i="4"/>
  <c r="AB490" i="4"/>
  <c r="AB488" i="4"/>
  <c r="AB486" i="4"/>
  <c r="AB484" i="4"/>
  <c r="AB482" i="4"/>
  <c r="AB480" i="4"/>
  <c r="AB478" i="4"/>
  <c r="AB476" i="4"/>
  <c r="AB474" i="4"/>
  <c r="AB472" i="4"/>
  <c r="AB470" i="4"/>
  <c r="AB468" i="4"/>
  <c r="AB466" i="4"/>
  <c r="AB464" i="4"/>
  <c r="AB462" i="4"/>
  <c r="AB460" i="4"/>
  <c r="AB458" i="4"/>
  <c r="AB456" i="4"/>
  <c r="AB454" i="4"/>
  <c r="AB452" i="4"/>
  <c r="AB450" i="4"/>
  <c r="AB448" i="4"/>
  <c r="AB446" i="4"/>
  <c r="AB444" i="4"/>
  <c r="AB442" i="4"/>
  <c r="AB440" i="4"/>
  <c r="AB438" i="4"/>
  <c r="AB436" i="4"/>
  <c r="AB434" i="4"/>
  <c r="AB432" i="4"/>
  <c r="AB430" i="4"/>
  <c r="AB428" i="4"/>
  <c r="AB426" i="4"/>
  <c r="AB424" i="4"/>
  <c r="AB422" i="4"/>
  <c r="AB418" i="4"/>
  <c r="AB416" i="4"/>
  <c r="AB414" i="4"/>
  <c r="AB412" i="4"/>
  <c r="AB410" i="4"/>
  <c r="AB408" i="4"/>
  <c r="AB406" i="4"/>
  <c r="AB404" i="4"/>
  <c r="AB402" i="4"/>
  <c r="AB400" i="4"/>
  <c r="AB398" i="4"/>
  <c r="AB396" i="4"/>
  <c r="AB394" i="4"/>
  <c r="AB392" i="4"/>
  <c r="AB390" i="4"/>
  <c r="AB388" i="4"/>
  <c r="AB386" i="4"/>
  <c r="AB384" i="4"/>
  <c r="AB382" i="4"/>
  <c r="AB380" i="4"/>
  <c r="AB378" i="4"/>
  <c r="AB376" i="4"/>
  <c r="AB374" i="4"/>
  <c r="AB372" i="4"/>
  <c r="AB370" i="4"/>
  <c r="AB368" i="4"/>
  <c r="AB366" i="4"/>
  <c r="AB364" i="4"/>
  <c r="AB362" i="4"/>
  <c r="AB360" i="4"/>
  <c r="AB358" i="4"/>
  <c r="AB356" i="4"/>
  <c r="AB354" i="4"/>
  <c r="AB352" i="4"/>
  <c r="AB350" i="4"/>
  <c r="AB348" i="4"/>
  <c r="AB346" i="4"/>
  <c r="AB344" i="4"/>
  <c r="AB342" i="4"/>
  <c r="AB340" i="4"/>
  <c r="AB338" i="4"/>
  <c r="AB336" i="4"/>
  <c r="AB334" i="4"/>
  <c r="AB332" i="4"/>
  <c r="AB330" i="4"/>
  <c r="AB328" i="4"/>
  <c r="AB326" i="4"/>
  <c r="AB324" i="4"/>
  <c r="AB322" i="4"/>
  <c r="AB320" i="4"/>
  <c r="AB318" i="4"/>
  <c r="AB314" i="4"/>
  <c r="AB312" i="4"/>
  <c r="AB310" i="4"/>
  <c r="AB308" i="4"/>
  <c r="AB306" i="4"/>
  <c r="AB304" i="4"/>
  <c r="AB302" i="4"/>
  <c r="AB300" i="4"/>
  <c r="AB298" i="4"/>
  <c r="AB296" i="4"/>
  <c r="AB294" i="4"/>
  <c r="AB292" i="4"/>
  <c r="AB290" i="4"/>
  <c r="AB288" i="4"/>
  <c r="AB286" i="4"/>
  <c r="AB285" i="4"/>
  <c r="AB284" i="4"/>
  <c r="AB282" i="4"/>
  <c r="AB280" i="4"/>
  <c r="AB278" i="4"/>
  <c r="AB276" i="4"/>
  <c r="AB274" i="4"/>
  <c r="AB272" i="4"/>
  <c r="AB270" i="4"/>
  <c r="AB268" i="4"/>
  <c r="AB266" i="4"/>
  <c r="AB264" i="4"/>
  <c r="AB262" i="4"/>
  <c r="AB260" i="4"/>
  <c r="AB258" i="4"/>
  <c r="AB256" i="4"/>
  <c r="AB254" i="4"/>
  <c r="AB252" i="4"/>
  <c r="AB250" i="4"/>
  <c r="AB248" i="4"/>
  <c r="AB246" i="4"/>
  <c r="AB244" i="4"/>
  <c r="AB242" i="4"/>
  <c r="AB240" i="4"/>
  <c r="AB238" i="4"/>
  <c r="AB236" i="4"/>
  <c r="AB234" i="4"/>
  <c r="AB232" i="4"/>
  <c r="AB230" i="4"/>
  <c r="AB228" i="4"/>
  <c r="AB226" i="4"/>
  <c r="AB224" i="4"/>
  <c r="AB222" i="4"/>
  <c r="AB220" i="4"/>
  <c r="AB218" i="4"/>
  <c r="AB216" i="4"/>
  <c r="AB214" i="4"/>
  <c r="AB110" i="4"/>
  <c r="AB283" i="4"/>
  <c r="AB281" i="4"/>
  <c r="AB279" i="4"/>
  <c r="AB277" i="4"/>
  <c r="AB275" i="4"/>
  <c r="AB273" i="4"/>
  <c r="AB271" i="4"/>
  <c r="AB269" i="4"/>
  <c r="AB267" i="4"/>
  <c r="AB265" i="4"/>
  <c r="AB263" i="4"/>
  <c r="AB261" i="4"/>
  <c r="AB259" i="4"/>
  <c r="AB257" i="4"/>
  <c r="AB255" i="4"/>
  <c r="AB253" i="4"/>
  <c r="AB251" i="4"/>
  <c r="AB249" i="4"/>
  <c r="AB247" i="4"/>
  <c r="AB245" i="4"/>
  <c r="AB243" i="4"/>
  <c r="AB241" i="4"/>
  <c r="AB239" i="4"/>
  <c r="AB237" i="4"/>
  <c r="AB235" i="4"/>
  <c r="AB233" i="4"/>
  <c r="AB231" i="4"/>
  <c r="AB229" i="4"/>
  <c r="AB227" i="4"/>
  <c r="AB225" i="4"/>
  <c r="AB223" i="4"/>
  <c r="AB221" i="4"/>
  <c r="AB219" i="4"/>
  <c r="AB217" i="4"/>
  <c r="AB215" i="4"/>
  <c r="AG1250" i="4"/>
  <c r="AG1248" i="4"/>
  <c r="AG1246" i="4"/>
  <c r="AG1244" i="4"/>
  <c r="AG1242" i="4"/>
  <c r="AG1240" i="4"/>
  <c r="AG1238" i="4"/>
  <c r="AG1236" i="4"/>
  <c r="AG1234" i="4"/>
  <c r="AG1232" i="4"/>
  <c r="AG1230" i="4"/>
  <c r="AG1228" i="4"/>
  <c r="AG1226" i="4"/>
  <c r="AG1224" i="4"/>
  <c r="AG1243" i="4"/>
  <c r="AG1235" i="4"/>
  <c r="AG1227" i="4"/>
  <c r="AG1222" i="4"/>
  <c r="AG1220" i="4"/>
  <c r="AG1218" i="4"/>
  <c r="AG1216" i="4"/>
  <c r="AG1214" i="4"/>
  <c r="AG1212" i="4"/>
  <c r="AG1210" i="4"/>
  <c r="AG1208" i="4"/>
  <c r="AG1206" i="4"/>
  <c r="AG1204" i="4"/>
  <c r="AG1202" i="4"/>
  <c r="AG1200" i="4"/>
  <c r="AG1198" i="4"/>
  <c r="AG1196" i="4"/>
  <c r="AG1194" i="4"/>
  <c r="AG1192" i="4"/>
  <c r="AG1190" i="4"/>
  <c r="AG1188" i="4"/>
  <c r="AG1186" i="4"/>
  <c r="AG1184" i="4"/>
  <c r="AG1182" i="4"/>
  <c r="AG1180" i="4"/>
  <c r="AG1178" i="4"/>
  <c r="AG1176" i="4"/>
  <c r="AG1174" i="4"/>
  <c r="AG1172" i="4"/>
  <c r="AG1170" i="4"/>
  <c r="AG1168" i="4"/>
  <c r="AG1166" i="4"/>
  <c r="AG1164" i="4"/>
  <c r="AG1162" i="4"/>
  <c r="AG1160" i="4"/>
  <c r="AG1158" i="4"/>
  <c r="AG1156" i="4"/>
  <c r="AG1154" i="4"/>
  <c r="AG1152" i="4"/>
  <c r="AG1150" i="4"/>
  <c r="AG1146" i="4"/>
  <c r="AG1144" i="4"/>
  <c r="AG1142" i="4"/>
  <c r="AG1140" i="4"/>
  <c r="AG1138" i="4"/>
  <c r="AG1136" i="4"/>
  <c r="AG1134" i="4"/>
  <c r="AG1132" i="4"/>
  <c r="AG1245" i="4"/>
  <c r="AG1237" i="4"/>
  <c r="AG1229" i="4"/>
  <c r="AG1247" i="4"/>
  <c r="AG1239" i="4"/>
  <c r="AG1231" i="4"/>
  <c r="AG1223" i="4"/>
  <c r="AG1221" i="4"/>
  <c r="AG1219" i="4"/>
  <c r="AG1217" i="4"/>
  <c r="AG1215" i="4"/>
  <c r="AG1213" i="4"/>
  <c r="AG1211" i="4"/>
  <c r="AG1209" i="4"/>
  <c r="AG1207" i="4"/>
  <c r="AG1205" i="4"/>
  <c r="AG1203" i="4"/>
  <c r="AG1201" i="4"/>
  <c r="AG1199" i="4"/>
  <c r="AG1197" i="4"/>
  <c r="AG1195" i="4"/>
  <c r="AG1193" i="4"/>
  <c r="AG1191" i="4"/>
  <c r="AG1189" i="4"/>
  <c r="AG1187" i="4"/>
  <c r="AG1185" i="4"/>
  <c r="AG1183" i="4"/>
  <c r="AG1181" i="4"/>
  <c r="AG1179" i="4"/>
  <c r="AG1177" i="4"/>
  <c r="AG1175" i="4"/>
  <c r="AG1173" i="4"/>
  <c r="AG1171" i="4"/>
  <c r="AG1169" i="4"/>
  <c r="AG1167" i="4"/>
  <c r="AG1165" i="4"/>
  <c r="AG1163" i="4"/>
  <c r="AG1161" i="4"/>
  <c r="AG1159" i="4"/>
  <c r="AG1157" i="4"/>
  <c r="AG1155" i="4"/>
  <c r="AG1153" i="4"/>
  <c r="AG1151" i="4"/>
  <c r="AG1145" i="4"/>
  <c r="AG1143" i="4"/>
  <c r="AG1141" i="4"/>
  <c r="AG1139" i="4"/>
  <c r="AG1137" i="4"/>
  <c r="AG1135" i="4"/>
  <c r="AG1133" i="4"/>
  <c r="AG1249" i="4"/>
  <c r="AG1241" i="4"/>
  <c r="AG1233" i="4"/>
  <c r="AG1225" i="4"/>
  <c r="AG1130" i="4"/>
  <c r="AG1128" i="4"/>
  <c r="AG1126" i="4"/>
  <c r="AG1124" i="4"/>
  <c r="AG1122" i="4"/>
  <c r="AG1120" i="4"/>
  <c r="AG1118" i="4"/>
  <c r="AG1116" i="4"/>
  <c r="AG1114" i="4"/>
  <c r="AG1112" i="4"/>
  <c r="AG1110" i="4"/>
  <c r="AG1108" i="4"/>
  <c r="AG1106" i="4"/>
  <c r="AG1104" i="4"/>
  <c r="AG1102" i="4"/>
  <c r="AG1100" i="4"/>
  <c r="AG1098" i="4"/>
  <c r="AG1096" i="4"/>
  <c r="AG1094" i="4"/>
  <c r="AG1092" i="4"/>
  <c r="AG1090" i="4"/>
  <c r="AG1088" i="4"/>
  <c r="AG1086" i="4"/>
  <c r="AG1084" i="4"/>
  <c r="AG1082" i="4"/>
  <c r="AG1080" i="4"/>
  <c r="AG1078" i="4"/>
  <c r="AG1076" i="4"/>
  <c r="AG1074" i="4"/>
  <c r="AG1072" i="4"/>
  <c r="AG1070" i="4"/>
  <c r="AG1068" i="4"/>
  <c r="AG1066" i="4"/>
  <c r="AG1064" i="4"/>
  <c r="AG1062" i="4"/>
  <c r="AG1060" i="4"/>
  <c r="AG1058" i="4"/>
  <c r="AG1056" i="4"/>
  <c r="AG1054" i="4"/>
  <c r="AG1052" i="4"/>
  <c r="AG1050" i="4"/>
  <c r="AG1048" i="4"/>
  <c r="AG1046" i="4"/>
  <c r="AG1042" i="4"/>
  <c r="AG1040" i="4"/>
  <c r="AG1038" i="4"/>
  <c r="AG1036" i="4"/>
  <c r="AG1034" i="4"/>
  <c r="AG1032" i="4"/>
  <c r="AG1030" i="4"/>
  <c r="AG1028" i="4"/>
  <c r="AG1026" i="4"/>
  <c r="AG1131" i="4"/>
  <c r="AG1129" i="4"/>
  <c r="AG1127" i="4"/>
  <c r="AG1125" i="4"/>
  <c r="AG1123" i="4"/>
  <c r="AG1121" i="4"/>
  <c r="AG1119" i="4"/>
  <c r="AG1117" i="4"/>
  <c r="AG1115" i="4"/>
  <c r="AG1113" i="4"/>
  <c r="AG1111" i="4"/>
  <c r="AG1109" i="4"/>
  <c r="AG1107" i="4"/>
  <c r="AG1105" i="4"/>
  <c r="AG1103" i="4"/>
  <c r="AG1101" i="4"/>
  <c r="AG1099" i="4"/>
  <c r="AG1097" i="4"/>
  <c r="AG1095" i="4"/>
  <c r="AG1093" i="4"/>
  <c r="AG1091" i="4"/>
  <c r="AG1089" i="4"/>
  <c r="AG1087" i="4"/>
  <c r="AG1085" i="4"/>
  <c r="AG1083" i="4"/>
  <c r="AG1081" i="4"/>
  <c r="AG1079" i="4"/>
  <c r="AG1077" i="4"/>
  <c r="AG1075" i="4"/>
  <c r="AG1073" i="4"/>
  <c r="AG1071" i="4"/>
  <c r="AG1069" i="4"/>
  <c r="AG1067" i="4"/>
  <c r="AG1065" i="4"/>
  <c r="AG1063" i="4"/>
  <c r="AG1061" i="4"/>
  <c r="AG1059" i="4"/>
  <c r="AG1057" i="4"/>
  <c r="AG1055" i="4"/>
  <c r="AG1053" i="4"/>
  <c r="AG1051" i="4"/>
  <c r="AG1049" i="4"/>
  <c r="AG1047" i="4"/>
  <c r="AG1041" i="4"/>
  <c r="AG1039" i="4"/>
  <c r="AG1037" i="4"/>
  <c r="AG1035" i="4"/>
  <c r="AG1033" i="4"/>
  <c r="AG1031" i="4"/>
  <c r="AG1029" i="4"/>
  <c r="AG1027" i="4"/>
  <c r="AG1025" i="4"/>
  <c r="AG1024" i="4"/>
  <c r="AG1022" i="4"/>
  <c r="AG1020" i="4"/>
  <c r="AG1018" i="4"/>
  <c r="AG1016" i="4"/>
  <c r="AG1014" i="4"/>
  <c r="AG1012" i="4"/>
  <c r="AG1010" i="4"/>
  <c r="AG1008" i="4"/>
  <c r="AG1006" i="4"/>
  <c r="AG1004" i="4"/>
  <c r="AG1002" i="4"/>
  <c r="AG1000" i="4"/>
  <c r="AG998" i="4"/>
  <c r="AG996" i="4"/>
  <c r="AG994" i="4"/>
  <c r="AG992" i="4"/>
  <c r="AG990" i="4"/>
  <c r="AG988" i="4"/>
  <c r="AG986" i="4"/>
  <c r="AG984" i="4"/>
  <c r="AG982" i="4"/>
  <c r="AG980" i="4"/>
  <c r="AG978" i="4"/>
  <c r="AG976" i="4"/>
  <c r="AG974" i="4"/>
  <c r="AG972" i="4"/>
  <c r="AG970" i="4"/>
  <c r="AG968" i="4"/>
  <c r="AG966" i="4"/>
  <c r="AG964" i="4"/>
  <c r="AG962" i="4"/>
  <c r="AG960" i="4"/>
  <c r="AG958" i="4"/>
  <c r="AG956" i="4"/>
  <c r="AG954" i="4"/>
  <c r="AG952" i="4"/>
  <c r="AG950" i="4"/>
  <c r="AG948" i="4"/>
  <c r="AG946" i="4"/>
  <c r="AG944" i="4"/>
  <c r="AG942" i="4"/>
  <c r="AG938" i="4"/>
  <c r="AG936" i="4"/>
  <c r="AG934" i="4"/>
  <c r="AG932" i="4"/>
  <c r="AG930" i="4"/>
  <c r="AG928" i="4"/>
  <c r="AG926" i="4"/>
  <c r="AG924" i="4"/>
  <c r="AG922" i="4"/>
  <c r="AG920" i="4"/>
  <c r="AG918" i="4"/>
  <c r="AG1023" i="4"/>
  <c r="AG1021" i="4"/>
  <c r="AG1019" i="4"/>
  <c r="AG1017" i="4"/>
  <c r="AG1015" i="4"/>
  <c r="AG1013" i="4"/>
  <c r="AG1011" i="4"/>
  <c r="AG1009" i="4"/>
  <c r="AG1007" i="4"/>
  <c r="AG1005" i="4"/>
  <c r="AG1003" i="4"/>
  <c r="AG1001" i="4"/>
  <c r="AG999" i="4"/>
  <c r="AG997" i="4"/>
  <c r="AG995" i="4"/>
  <c r="AG993" i="4"/>
  <c r="AG991" i="4"/>
  <c r="AG989" i="4"/>
  <c r="AG987" i="4"/>
  <c r="AG985" i="4"/>
  <c r="AG983" i="4"/>
  <c r="AG981" i="4"/>
  <c r="AG979" i="4"/>
  <c r="AG977" i="4"/>
  <c r="AG975" i="4"/>
  <c r="AG973" i="4"/>
  <c r="AG971" i="4"/>
  <c r="AG969" i="4"/>
  <c r="AG967" i="4"/>
  <c r="AG965" i="4"/>
  <c r="AG963" i="4"/>
  <c r="AG961" i="4"/>
  <c r="AG959" i="4"/>
  <c r="AG957" i="4"/>
  <c r="AG955" i="4"/>
  <c r="AG953" i="4"/>
  <c r="AG951" i="4"/>
  <c r="AG949" i="4"/>
  <c r="AG947" i="4"/>
  <c r="AG945" i="4"/>
  <c r="AG943" i="4"/>
  <c r="AG937" i="4"/>
  <c r="AG935" i="4"/>
  <c r="AG933" i="4"/>
  <c r="AG931" i="4"/>
  <c r="AG929" i="4"/>
  <c r="AG927" i="4"/>
  <c r="AG925" i="4"/>
  <c r="AG923" i="4"/>
  <c r="AG921" i="4"/>
  <c r="AG919" i="4"/>
  <c r="AG917" i="4"/>
  <c r="AG915" i="4"/>
  <c r="AG913" i="4"/>
  <c r="AG911" i="4"/>
  <c r="AG909" i="4"/>
  <c r="AG907" i="4"/>
  <c r="AG905" i="4"/>
  <c r="AG903" i="4"/>
  <c r="AG901" i="4"/>
  <c r="AG899" i="4"/>
  <c r="AG897" i="4"/>
  <c r="AG895" i="4"/>
  <c r="AG893" i="4"/>
  <c r="AG891" i="4"/>
  <c r="AG889" i="4"/>
  <c r="AG887" i="4"/>
  <c r="AG885" i="4"/>
  <c r="AG883" i="4"/>
  <c r="AG881" i="4"/>
  <c r="AG879" i="4"/>
  <c r="AG877" i="4"/>
  <c r="AG875" i="4"/>
  <c r="AG873" i="4"/>
  <c r="AG871" i="4"/>
  <c r="AG869" i="4"/>
  <c r="AG867" i="4"/>
  <c r="AG865" i="4"/>
  <c r="AG863" i="4"/>
  <c r="AG861" i="4"/>
  <c r="AG859" i="4"/>
  <c r="AG857" i="4"/>
  <c r="AG855" i="4"/>
  <c r="AG853" i="4"/>
  <c r="AG851" i="4"/>
  <c r="AG849" i="4"/>
  <c r="AG847" i="4"/>
  <c r="AG845" i="4"/>
  <c r="AG843" i="4"/>
  <c r="AG841" i="4"/>
  <c r="AG839" i="4"/>
  <c r="AG833" i="4"/>
  <c r="AG831" i="4"/>
  <c r="AG829" i="4"/>
  <c r="AG827" i="4"/>
  <c r="AG825" i="4"/>
  <c r="AG823" i="4"/>
  <c r="AG821" i="4"/>
  <c r="AG819" i="4"/>
  <c r="AG817" i="4"/>
  <c r="AG815" i="4"/>
  <c r="AG813" i="4"/>
  <c r="AG811" i="4"/>
  <c r="AG809" i="4"/>
  <c r="AG807" i="4"/>
  <c r="AG805" i="4"/>
  <c r="AG803" i="4"/>
  <c r="AG801" i="4"/>
  <c r="AG799" i="4"/>
  <c r="AG797" i="4"/>
  <c r="AG795" i="4"/>
  <c r="AG793" i="4"/>
  <c r="AG791" i="4"/>
  <c r="AG789" i="4"/>
  <c r="AG787" i="4"/>
  <c r="AG785" i="4"/>
  <c r="AG783" i="4"/>
  <c r="AG781" i="4"/>
  <c r="AG779" i="4"/>
  <c r="AG777" i="4"/>
  <c r="AG775" i="4"/>
  <c r="AG773" i="4"/>
  <c r="AG771" i="4"/>
  <c r="AG769" i="4"/>
  <c r="AG767" i="4"/>
  <c r="AG765" i="4"/>
  <c r="AG763" i="4"/>
  <c r="AG761" i="4"/>
  <c r="AG759" i="4"/>
  <c r="AG757" i="4"/>
  <c r="AG755" i="4"/>
  <c r="AG753" i="4"/>
  <c r="AG751" i="4"/>
  <c r="AG749" i="4"/>
  <c r="AG747" i="4"/>
  <c r="AG745" i="4"/>
  <c r="AG743" i="4"/>
  <c r="AG741" i="4"/>
  <c r="AG739" i="4"/>
  <c r="AG737" i="4"/>
  <c r="AG735" i="4"/>
  <c r="AG729" i="4"/>
  <c r="AG727" i="4"/>
  <c r="AG725" i="4"/>
  <c r="AG723" i="4"/>
  <c r="AG721" i="4"/>
  <c r="AG719" i="4"/>
  <c r="AG717" i="4"/>
  <c r="AG715" i="4"/>
  <c r="AG713" i="4"/>
  <c r="AG711" i="4"/>
  <c r="AG709" i="4"/>
  <c r="AG707" i="4"/>
  <c r="AG705" i="4"/>
  <c r="AG916" i="4"/>
  <c r="AG914" i="4"/>
  <c r="AG912" i="4"/>
  <c r="AG910" i="4"/>
  <c r="AG908" i="4"/>
  <c r="AG906" i="4"/>
  <c r="AG904" i="4"/>
  <c r="AG902" i="4"/>
  <c r="AG900" i="4"/>
  <c r="AG898" i="4"/>
  <c r="AG896" i="4"/>
  <c r="AG894" i="4"/>
  <c r="AG892" i="4"/>
  <c r="AG890" i="4"/>
  <c r="AG888" i="4"/>
  <c r="AG886" i="4"/>
  <c r="AG884" i="4"/>
  <c r="AG882" i="4"/>
  <c r="AG880" i="4"/>
  <c r="AG878" i="4"/>
  <c r="AG876" i="4"/>
  <c r="AG874" i="4"/>
  <c r="AG872" i="4"/>
  <c r="AG870" i="4"/>
  <c r="AG868" i="4"/>
  <c r="AG866" i="4"/>
  <c r="AG864" i="4"/>
  <c r="AG862" i="4"/>
  <c r="AG860" i="4"/>
  <c r="AG858" i="4"/>
  <c r="AG856" i="4"/>
  <c r="AG854" i="4"/>
  <c r="AG852" i="4"/>
  <c r="AG850" i="4"/>
  <c r="AG848" i="4"/>
  <c r="AG846" i="4"/>
  <c r="AG844" i="4"/>
  <c r="AG842" i="4"/>
  <c r="AG840" i="4"/>
  <c r="AG838" i="4"/>
  <c r="AG834" i="4"/>
  <c r="AG832" i="4"/>
  <c r="AG830" i="4"/>
  <c r="AG828" i="4"/>
  <c r="AG826" i="4"/>
  <c r="AG824" i="4"/>
  <c r="AG822" i="4"/>
  <c r="AG820" i="4"/>
  <c r="AG818" i="4"/>
  <c r="AG816" i="4"/>
  <c r="AG814" i="4"/>
  <c r="AG812" i="4"/>
  <c r="AG810" i="4"/>
  <c r="AG808" i="4"/>
  <c r="AG806" i="4"/>
  <c r="AG804" i="4"/>
  <c r="AG802" i="4"/>
  <c r="AG800" i="4"/>
  <c r="AG798" i="4"/>
  <c r="AG796" i="4"/>
  <c r="AG794" i="4"/>
  <c r="AG792" i="4"/>
  <c r="AG790" i="4"/>
  <c r="AG788" i="4"/>
  <c r="AG786" i="4"/>
  <c r="AG784" i="4"/>
  <c r="AG782" i="4"/>
  <c r="AG780" i="4"/>
  <c r="AG778" i="4"/>
  <c r="AG776" i="4"/>
  <c r="AG774" i="4"/>
  <c r="AG772" i="4"/>
  <c r="AG770" i="4"/>
  <c r="AG768" i="4"/>
  <c r="AG766" i="4"/>
  <c r="AG764" i="4"/>
  <c r="AG762" i="4"/>
  <c r="AG760" i="4"/>
  <c r="AG758" i="4"/>
  <c r="AG756" i="4"/>
  <c r="AG754" i="4"/>
  <c r="AG752" i="4"/>
  <c r="AG750" i="4"/>
  <c r="AG748" i="4"/>
  <c r="AG746" i="4"/>
  <c r="AG744" i="4"/>
  <c r="AG742" i="4"/>
  <c r="AG740" i="4"/>
  <c r="AG738" i="4"/>
  <c r="AG736" i="4"/>
  <c r="AG734" i="4"/>
  <c r="AG730" i="4"/>
  <c r="AG728" i="4"/>
  <c r="AG726" i="4"/>
  <c r="AG724" i="4"/>
  <c r="AG722" i="4"/>
  <c r="AG720" i="4"/>
  <c r="AG718" i="4"/>
  <c r="AG716" i="4"/>
  <c r="AG714" i="4"/>
  <c r="AG712" i="4"/>
  <c r="AG710" i="4"/>
  <c r="AG708" i="4"/>
  <c r="AG706" i="4"/>
  <c r="AG704" i="4"/>
  <c r="AG702" i="4"/>
  <c r="AG700" i="4"/>
  <c r="AG698" i="4"/>
  <c r="AG696" i="4"/>
  <c r="AG694" i="4"/>
  <c r="AG692" i="4"/>
  <c r="AG690" i="4"/>
  <c r="AG688" i="4"/>
  <c r="AG686" i="4"/>
  <c r="AG684" i="4"/>
  <c r="AG682" i="4"/>
  <c r="AG680" i="4"/>
  <c r="AG678" i="4"/>
  <c r="AG676" i="4"/>
  <c r="AG674" i="4"/>
  <c r="AG672" i="4"/>
  <c r="AG670" i="4"/>
  <c r="AG668" i="4"/>
  <c r="AG666" i="4"/>
  <c r="AG664" i="4"/>
  <c r="AG662" i="4"/>
  <c r="AG660" i="4"/>
  <c r="AG658" i="4"/>
  <c r="AG656" i="4"/>
  <c r="AG654" i="4"/>
  <c r="AG652" i="4"/>
  <c r="AG650" i="4"/>
  <c r="AG648" i="4"/>
  <c r="AG646" i="4"/>
  <c r="AG644" i="4"/>
  <c r="AG642" i="4"/>
  <c r="AG640" i="4"/>
  <c r="AG638" i="4"/>
  <c r="AG636" i="4"/>
  <c r="AG634" i="4"/>
  <c r="AG632" i="4"/>
  <c r="AG630" i="4"/>
  <c r="AG626" i="4"/>
  <c r="AG624" i="4"/>
  <c r="AG622" i="4"/>
  <c r="AG620" i="4"/>
  <c r="AG618" i="4"/>
  <c r="AG616" i="4"/>
  <c r="AG614" i="4"/>
  <c r="AG612" i="4"/>
  <c r="AG610" i="4"/>
  <c r="AG608" i="4"/>
  <c r="AG606" i="4"/>
  <c r="AG604" i="4"/>
  <c r="AG602" i="4"/>
  <c r="AG600" i="4"/>
  <c r="AG598" i="4"/>
  <c r="AG596" i="4"/>
  <c r="AG594" i="4"/>
  <c r="AG592" i="4"/>
  <c r="AG590" i="4"/>
  <c r="AG588" i="4"/>
  <c r="AG586" i="4"/>
  <c r="AG584" i="4"/>
  <c r="AG582" i="4"/>
  <c r="AG580" i="4"/>
  <c r="AG578" i="4"/>
  <c r="AG576" i="4"/>
  <c r="AG574" i="4"/>
  <c r="AG572" i="4"/>
  <c r="AG570" i="4"/>
  <c r="AG568" i="4"/>
  <c r="AG566" i="4"/>
  <c r="AG564" i="4"/>
  <c r="AG562" i="4"/>
  <c r="AG560" i="4"/>
  <c r="AG558" i="4"/>
  <c r="AG556" i="4"/>
  <c r="AG554" i="4"/>
  <c r="AG552" i="4"/>
  <c r="AG550" i="4"/>
  <c r="AG548" i="4"/>
  <c r="AG546" i="4"/>
  <c r="AG544" i="4"/>
  <c r="AG542" i="4"/>
  <c r="AG540" i="4"/>
  <c r="AG538" i="4"/>
  <c r="AG536" i="4"/>
  <c r="AG534" i="4"/>
  <c r="AG532" i="4"/>
  <c r="AG530" i="4"/>
  <c r="AG528" i="4"/>
  <c r="AG526" i="4"/>
  <c r="AG522" i="4"/>
  <c r="AG520" i="4"/>
  <c r="AG518" i="4"/>
  <c r="AG516" i="4"/>
  <c r="AG514" i="4"/>
  <c r="AG512" i="4"/>
  <c r="AG510" i="4"/>
  <c r="AG508" i="4"/>
  <c r="AG506" i="4"/>
  <c r="AG504" i="4"/>
  <c r="AG502" i="4"/>
  <c r="AG500" i="4"/>
  <c r="AG498" i="4"/>
  <c r="AG496" i="4"/>
  <c r="AG703" i="4"/>
  <c r="AG701" i="4"/>
  <c r="AG699" i="4"/>
  <c r="AG697" i="4"/>
  <c r="AG695" i="4"/>
  <c r="AG693" i="4"/>
  <c r="AG691" i="4"/>
  <c r="AG689" i="4"/>
  <c r="AG687" i="4"/>
  <c r="AG685" i="4"/>
  <c r="AG683" i="4"/>
  <c r="AG681" i="4"/>
  <c r="AG679" i="4"/>
  <c r="AG677" i="4"/>
  <c r="AG675" i="4"/>
  <c r="AG673" i="4"/>
  <c r="AG671" i="4"/>
  <c r="AG669" i="4"/>
  <c r="AG667" i="4"/>
  <c r="AG665" i="4"/>
  <c r="AG663" i="4"/>
  <c r="AG661" i="4"/>
  <c r="AG659" i="4"/>
  <c r="AG657" i="4"/>
  <c r="AG655" i="4"/>
  <c r="AG653" i="4"/>
  <c r="AG651" i="4"/>
  <c r="AG649" i="4"/>
  <c r="AG647" i="4"/>
  <c r="AG645" i="4"/>
  <c r="AG643" i="4"/>
  <c r="AG641" i="4"/>
  <c r="AG639" i="4"/>
  <c r="AG637" i="4"/>
  <c r="AG635" i="4"/>
  <c r="AG633" i="4"/>
  <c r="AG631" i="4"/>
  <c r="AG625" i="4"/>
  <c r="AG623" i="4"/>
  <c r="AG621" i="4"/>
  <c r="AG619" i="4"/>
  <c r="AG617" i="4"/>
  <c r="AG615" i="4"/>
  <c r="AG613" i="4"/>
  <c r="AG611" i="4"/>
  <c r="AG609" i="4"/>
  <c r="AG607" i="4"/>
  <c r="AG605" i="4"/>
  <c r="AG603" i="4"/>
  <c r="AG601" i="4"/>
  <c r="AG599" i="4"/>
  <c r="AG597" i="4"/>
  <c r="AG595" i="4"/>
  <c r="AG593" i="4"/>
  <c r="AG591" i="4"/>
  <c r="AG589" i="4"/>
  <c r="AG587" i="4"/>
  <c r="AG585" i="4"/>
  <c r="AG583" i="4"/>
  <c r="AG581" i="4"/>
  <c r="AG579" i="4"/>
  <c r="AG577" i="4"/>
  <c r="AG575" i="4"/>
  <c r="AG573" i="4"/>
  <c r="AG571" i="4"/>
  <c r="AG569" i="4"/>
  <c r="AG567" i="4"/>
  <c r="AG565" i="4"/>
  <c r="AG563" i="4"/>
  <c r="AG561" i="4"/>
  <c r="AG559" i="4"/>
  <c r="AG557" i="4"/>
  <c r="AG555" i="4"/>
  <c r="AG553" i="4"/>
  <c r="AG551" i="4"/>
  <c r="AG549" i="4"/>
  <c r="AG547" i="4"/>
  <c r="AG545" i="4"/>
  <c r="AG543" i="4"/>
  <c r="AG541" i="4"/>
  <c r="AG539" i="4"/>
  <c r="AG537" i="4"/>
  <c r="AG535" i="4"/>
  <c r="AG533" i="4"/>
  <c r="AG531" i="4"/>
  <c r="AG529" i="4"/>
  <c r="AG527" i="4"/>
  <c r="AG521" i="4"/>
  <c r="AG519" i="4"/>
  <c r="AG517" i="4"/>
  <c r="AG515" i="4"/>
  <c r="AG513" i="4"/>
  <c r="AG511" i="4"/>
  <c r="AG509" i="4"/>
  <c r="AG507" i="4"/>
  <c r="AG505" i="4"/>
  <c r="AG503" i="4"/>
  <c r="AG501" i="4"/>
  <c r="AG499" i="4"/>
  <c r="AG497" i="4"/>
  <c r="AG495" i="4"/>
  <c r="AG493" i="4"/>
  <c r="AG491" i="4"/>
  <c r="AG489" i="4"/>
  <c r="AG487" i="4"/>
  <c r="AG485" i="4"/>
  <c r="AG483" i="4"/>
  <c r="AG481" i="4"/>
  <c r="AG479" i="4"/>
  <c r="AG477" i="4"/>
  <c r="AG475" i="4"/>
  <c r="AG473" i="4"/>
  <c r="AG471" i="4"/>
  <c r="AG469" i="4"/>
  <c r="AG467" i="4"/>
  <c r="AG465" i="4"/>
  <c r="AG463" i="4"/>
  <c r="AG461" i="4"/>
  <c r="AG459" i="4"/>
  <c r="AG457" i="4"/>
  <c r="AG455" i="4"/>
  <c r="AG453" i="4"/>
  <c r="AG451" i="4"/>
  <c r="AG449" i="4"/>
  <c r="AG447" i="4"/>
  <c r="AG445" i="4"/>
  <c r="AG443" i="4"/>
  <c r="AG441" i="4"/>
  <c r="AG439" i="4"/>
  <c r="AG437" i="4"/>
  <c r="AG435" i="4"/>
  <c r="AG433" i="4"/>
  <c r="AG431" i="4"/>
  <c r="AG429" i="4"/>
  <c r="AG427" i="4"/>
  <c r="AG425" i="4"/>
  <c r="AG423" i="4"/>
  <c r="AG417" i="4"/>
  <c r="AG415" i="4"/>
  <c r="AG413" i="4"/>
  <c r="AG411" i="4"/>
  <c r="AG409" i="4"/>
  <c r="AG407" i="4"/>
  <c r="AG405" i="4"/>
  <c r="AG403" i="4"/>
  <c r="AG401" i="4"/>
  <c r="AG399" i="4"/>
  <c r="AG397" i="4"/>
  <c r="AG395" i="4"/>
  <c r="AG393" i="4"/>
  <c r="AG391" i="4"/>
  <c r="AG389" i="4"/>
  <c r="AG387" i="4"/>
  <c r="AG385" i="4"/>
  <c r="AG383" i="4"/>
  <c r="AG381" i="4"/>
  <c r="AG379" i="4"/>
  <c r="AG377" i="4"/>
  <c r="AG375" i="4"/>
  <c r="AG373" i="4"/>
  <c r="AG371" i="4"/>
  <c r="AG369" i="4"/>
  <c r="AG367" i="4"/>
  <c r="AG365" i="4"/>
  <c r="AG363" i="4"/>
  <c r="AG361" i="4"/>
  <c r="AG359" i="4"/>
  <c r="AG357" i="4"/>
  <c r="AG355" i="4"/>
  <c r="AG353" i="4"/>
  <c r="AG351" i="4"/>
  <c r="AG349" i="4"/>
  <c r="AG347" i="4"/>
  <c r="AG345" i="4"/>
  <c r="AG343" i="4"/>
  <c r="AG341" i="4"/>
  <c r="AG339" i="4"/>
  <c r="AG337" i="4"/>
  <c r="AG335" i="4"/>
  <c r="AG333" i="4"/>
  <c r="AG331" i="4"/>
  <c r="AG329" i="4"/>
  <c r="AG327" i="4"/>
  <c r="AG325" i="4"/>
  <c r="AG323" i="4"/>
  <c r="AG321" i="4"/>
  <c r="AG319" i="4"/>
  <c r="AG313" i="4"/>
  <c r="AG311" i="4"/>
  <c r="AG309" i="4"/>
  <c r="AG307" i="4"/>
  <c r="AG305" i="4"/>
  <c r="AG303" i="4"/>
  <c r="AG301" i="4"/>
  <c r="AG299" i="4"/>
  <c r="AG297" i="4"/>
  <c r="AG295" i="4"/>
  <c r="AG293" i="4"/>
  <c r="AG291" i="4"/>
  <c r="AG289" i="4"/>
  <c r="AG287" i="4"/>
  <c r="AG494" i="4"/>
  <c r="AG492" i="4"/>
  <c r="AG490" i="4"/>
  <c r="AG488" i="4"/>
  <c r="AG486" i="4"/>
  <c r="AG484" i="4"/>
  <c r="AG482" i="4"/>
  <c r="AG480" i="4"/>
  <c r="AG478" i="4"/>
  <c r="AG476" i="4"/>
  <c r="AG474" i="4"/>
  <c r="AG472" i="4"/>
  <c r="AG470" i="4"/>
  <c r="AG468" i="4"/>
  <c r="AG466" i="4"/>
  <c r="AG464" i="4"/>
  <c r="AG462" i="4"/>
  <c r="AG460" i="4"/>
  <c r="AG458" i="4"/>
  <c r="AG456" i="4"/>
  <c r="AG454" i="4"/>
  <c r="AG452" i="4"/>
  <c r="AG450" i="4"/>
  <c r="AG448" i="4"/>
  <c r="AG446" i="4"/>
  <c r="AG444" i="4"/>
  <c r="AG442" i="4"/>
  <c r="AG440" i="4"/>
  <c r="AG438" i="4"/>
  <c r="AG436" i="4"/>
  <c r="AG434" i="4"/>
  <c r="AG432" i="4"/>
  <c r="AG430" i="4"/>
  <c r="AG428" i="4"/>
  <c r="AG426" i="4"/>
  <c r="AG424" i="4"/>
  <c r="AG422" i="4"/>
  <c r="AG418" i="4"/>
  <c r="AG416" i="4"/>
  <c r="AG414" i="4"/>
  <c r="AG412" i="4"/>
  <c r="AG410" i="4"/>
  <c r="AG408" i="4"/>
  <c r="AG406" i="4"/>
  <c r="AG404" i="4"/>
  <c r="AG402" i="4"/>
  <c r="AG400" i="4"/>
  <c r="AG398" i="4"/>
  <c r="AG396" i="4"/>
  <c r="AG394" i="4"/>
  <c r="AG392" i="4"/>
  <c r="AG390" i="4"/>
  <c r="AG388" i="4"/>
  <c r="AG386" i="4"/>
  <c r="AG384" i="4"/>
  <c r="AG382" i="4"/>
  <c r="AG380" i="4"/>
  <c r="AG378" i="4"/>
  <c r="AG376" i="4"/>
  <c r="AG374" i="4"/>
  <c r="AG372" i="4"/>
  <c r="AG370" i="4"/>
  <c r="AG368" i="4"/>
  <c r="AG366" i="4"/>
  <c r="AG364" i="4"/>
  <c r="AG362" i="4"/>
  <c r="AG360" i="4"/>
  <c r="AG358" i="4"/>
  <c r="AG356" i="4"/>
  <c r="AG354" i="4"/>
  <c r="AG352" i="4"/>
  <c r="AG350" i="4"/>
  <c r="AG348" i="4"/>
  <c r="AG346" i="4"/>
  <c r="AG344" i="4"/>
  <c r="AG342" i="4"/>
  <c r="AG340" i="4"/>
  <c r="AG338" i="4"/>
  <c r="AG336" i="4"/>
  <c r="AG334" i="4"/>
  <c r="AG332" i="4"/>
  <c r="AG330" i="4"/>
  <c r="AG328" i="4"/>
  <c r="AG326" i="4"/>
  <c r="AG324" i="4"/>
  <c r="AG322" i="4"/>
  <c r="AG320" i="4"/>
  <c r="AG318" i="4"/>
  <c r="AG314" i="4"/>
  <c r="AG312" i="4"/>
  <c r="AG310" i="4"/>
  <c r="AG308" i="4"/>
  <c r="AG306" i="4"/>
  <c r="AG304" i="4"/>
  <c r="AG302" i="4"/>
  <c r="AG300" i="4"/>
  <c r="AG298" i="4"/>
  <c r="AG296" i="4"/>
  <c r="AG294" i="4"/>
  <c r="AG292" i="4"/>
  <c r="AG290" i="4"/>
  <c r="AG288" i="4"/>
  <c r="AG286" i="4"/>
  <c r="AG284" i="4"/>
  <c r="AG282" i="4"/>
  <c r="AG280" i="4"/>
  <c r="AG278" i="4"/>
  <c r="AG276" i="4"/>
  <c r="AG274" i="4"/>
  <c r="AG272" i="4"/>
  <c r="AG270" i="4"/>
  <c r="AG268" i="4"/>
  <c r="AG266" i="4"/>
  <c r="AG264" i="4"/>
  <c r="AG262" i="4"/>
  <c r="AG260" i="4"/>
  <c r="AG258" i="4"/>
  <c r="AG256" i="4"/>
  <c r="AG254" i="4"/>
  <c r="AG252" i="4"/>
  <c r="AG250" i="4"/>
  <c r="AG248" i="4"/>
  <c r="AG246" i="4"/>
  <c r="AG244" i="4"/>
  <c r="AG242" i="4"/>
  <c r="AG240" i="4"/>
  <c r="AG238" i="4"/>
  <c r="AG236" i="4"/>
  <c r="AG234" i="4"/>
  <c r="AG232" i="4"/>
  <c r="AG230" i="4"/>
  <c r="AG228" i="4"/>
  <c r="AG226" i="4"/>
  <c r="AG224" i="4"/>
  <c r="AG222" i="4"/>
  <c r="AG220" i="4"/>
  <c r="AG218" i="4"/>
  <c r="AG216" i="4"/>
  <c r="AG214" i="4"/>
  <c r="AG110" i="4"/>
  <c r="AG285" i="4"/>
  <c r="AG283" i="4"/>
  <c r="AG281" i="4"/>
  <c r="AG279" i="4"/>
  <c r="AG277" i="4"/>
  <c r="AG275" i="4"/>
  <c r="AG273" i="4"/>
  <c r="AG271" i="4"/>
  <c r="AG269" i="4"/>
  <c r="AG267" i="4"/>
  <c r="AG265" i="4"/>
  <c r="AG263" i="4"/>
  <c r="AG261" i="4"/>
  <c r="AG259" i="4"/>
  <c r="AG257" i="4"/>
  <c r="AG255" i="4"/>
  <c r="AG253" i="4"/>
  <c r="AG251" i="4"/>
  <c r="AG249" i="4"/>
  <c r="AG247" i="4"/>
  <c r="AG245" i="4"/>
  <c r="AG243" i="4"/>
  <c r="AG241" i="4"/>
  <c r="AG239" i="4"/>
  <c r="AG237" i="4"/>
  <c r="AG235" i="4"/>
  <c r="AG233" i="4"/>
  <c r="AG231" i="4"/>
  <c r="AG229" i="4"/>
  <c r="AG227" i="4"/>
  <c r="AG225" i="4"/>
  <c r="AG223" i="4"/>
  <c r="AG221" i="4"/>
  <c r="AG219" i="4"/>
  <c r="AG217" i="4"/>
  <c r="AG215" i="4"/>
  <c r="AB161" i="4"/>
  <c r="AB163" i="4"/>
  <c r="AB165" i="4"/>
  <c r="AB167" i="4"/>
  <c r="AB169" i="4"/>
  <c r="AB171" i="4"/>
  <c r="AB173" i="4"/>
  <c r="AB175" i="4"/>
  <c r="AB177" i="4"/>
  <c r="AB179" i="4"/>
  <c r="AB181" i="4"/>
  <c r="AB183" i="4"/>
  <c r="AB185" i="4"/>
  <c r="AB187" i="4"/>
  <c r="AB189" i="4"/>
  <c r="AB191" i="4"/>
  <c r="AB193" i="4"/>
  <c r="AB195" i="4"/>
  <c r="AB197" i="4"/>
  <c r="AB199" i="4"/>
  <c r="AB201" i="4"/>
  <c r="AB203" i="4"/>
  <c r="AB205" i="4"/>
  <c r="AB207" i="4"/>
  <c r="AB209" i="4"/>
  <c r="AF1253" i="4"/>
  <c r="AK1253" i="4"/>
  <c r="AH1147" i="4"/>
  <c r="W4" i="12" s="1"/>
  <c r="AK1355" i="4"/>
  <c r="AH1355" i="4" s="1"/>
  <c r="AA4" i="12" s="1"/>
  <c r="AH1254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49" i="4"/>
  <c r="AH1350" i="4"/>
  <c r="AH1351" i="4"/>
  <c r="K17" i="18"/>
  <c r="K18" i="18"/>
  <c r="I18" i="18" s="1"/>
  <c r="H12" i="21"/>
  <c r="H13" i="21"/>
  <c r="H14" i="21"/>
  <c r="H15" i="21"/>
  <c r="H17" i="21"/>
  <c r="H18" i="21"/>
  <c r="F18" i="21" s="1"/>
  <c r="D18" i="21" s="1"/>
  <c r="K18" i="22"/>
  <c r="I18" i="22" s="1"/>
  <c r="K14" i="23"/>
  <c r="K15" i="23"/>
  <c r="K17" i="23"/>
  <c r="K18" i="23"/>
  <c r="I18" i="23" s="1"/>
  <c r="K17" i="24"/>
  <c r="K18" i="24"/>
  <c r="I18" i="24" s="1"/>
  <c r="K14" i="25"/>
  <c r="K15" i="25"/>
  <c r="K17" i="25"/>
  <c r="K18" i="25"/>
  <c r="I18" i="25" s="1"/>
  <c r="F15" i="20"/>
  <c r="F16" i="20" s="1"/>
  <c r="F13" i="20"/>
  <c r="K13" i="26"/>
  <c r="I13" i="26" s="1"/>
  <c r="K14" i="26"/>
  <c r="I14" i="26" s="1"/>
  <c r="K15" i="26"/>
  <c r="K17" i="26"/>
  <c r="K18" i="26"/>
  <c r="I18" i="26" s="1"/>
  <c r="F101" i="20"/>
  <c r="F69" i="20"/>
  <c r="F53" i="20"/>
  <c r="F85" i="20"/>
  <c r="F37" i="20"/>
  <c r="F21" i="20"/>
  <c r="L13" i="20"/>
  <c r="L15" i="20"/>
  <c r="L16" i="20" s="1"/>
  <c r="D27" i="20"/>
  <c r="M13" i="20"/>
  <c r="N11" i="20"/>
  <c r="M15" i="20"/>
  <c r="L29" i="20"/>
  <c r="L31" i="20"/>
  <c r="L32" i="20" s="1"/>
  <c r="N8" i="20"/>
  <c r="M29" i="20"/>
  <c r="N27" i="20"/>
  <c r="M31" i="20"/>
  <c r="F5" i="20"/>
  <c r="F31" i="20"/>
  <c r="F32" i="20" s="1"/>
  <c r="N24" i="20"/>
  <c r="C43" i="20"/>
  <c r="D40" i="20"/>
  <c r="N43" i="20"/>
  <c r="D24" i="20"/>
  <c r="F40" i="20"/>
  <c r="F43" i="20" s="1"/>
  <c r="N47" i="20"/>
  <c r="M48" i="20"/>
  <c r="N48" i="20" s="1"/>
  <c r="M45" i="20"/>
  <c r="N45" i="20" s="1"/>
  <c r="F29" i="20"/>
  <c r="N40" i="20"/>
  <c r="M63" i="20"/>
  <c r="M61" i="20"/>
  <c r="F72" i="20"/>
  <c r="F75" i="20" s="1"/>
  <c r="M93" i="20"/>
  <c r="N93" i="20" s="1"/>
  <c r="N91" i="20"/>
  <c r="M95" i="20"/>
  <c r="F111" i="20"/>
  <c r="C59" i="20"/>
  <c r="D56" i="20"/>
  <c r="F59" i="20"/>
  <c r="N56" i="20"/>
  <c r="L61" i="20"/>
  <c r="L77" i="20"/>
  <c r="L79" i="20"/>
  <c r="L80" i="20" s="1"/>
  <c r="N59" i="20"/>
  <c r="N79" i="20"/>
  <c r="M80" i="20"/>
  <c r="N80" i="20" s="1"/>
  <c r="M77" i="20"/>
  <c r="N75" i="20"/>
  <c r="C72" i="20"/>
  <c r="C91" i="20"/>
  <c r="M107" i="20"/>
  <c r="N104" i="20"/>
  <c r="F61" i="20"/>
  <c r="F88" i="20"/>
  <c r="F91" i="20" s="1"/>
  <c r="G42" i="28"/>
  <c r="D42" i="28"/>
  <c r="C107" i="20"/>
  <c r="D104" i="20"/>
  <c r="L111" i="20"/>
  <c r="L112" i="20" s="1"/>
  <c r="L109" i="20"/>
  <c r="F112" i="20"/>
  <c r="F109" i="20"/>
  <c r="G16" i="28"/>
  <c r="F16" i="28"/>
  <c r="H16" i="28"/>
  <c r="D16" i="28"/>
  <c r="G44" i="28"/>
  <c r="F44" i="28"/>
  <c r="H50" i="28"/>
  <c r="E42" i="28"/>
  <c r="O48" i="28"/>
  <c r="F48" i="28" s="1"/>
  <c r="F42" i="28"/>
  <c r="E44" i="28"/>
  <c r="O46" i="28"/>
  <c r="E46" i="28" s="1"/>
  <c r="F13" i="28"/>
  <c r="C13" i="28" s="1"/>
  <c r="C62" i="28"/>
  <c r="F22" i="28"/>
  <c r="V170" i="16" l="1"/>
  <c r="V166" i="16"/>
  <c r="V162" i="16"/>
  <c r="AJ68" i="14"/>
  <c r="AL68" i="14" s="1"/>
  <c r="AO68" i="14" s="1"/>
  <c r="D42" i="20"/>
  <c r="L27" i="17"/>
  <c r="V487" i="4"/>
  <c r="V869" i="4"/>
  <c r="V867" i="4"/>
  <c r="V449" i="4"/>
  <c r="V865" i="4"/>
  <c r="V863" i="4"/>
  <c r="S10" i="15"/>
  <c r="U196" i="16" s="1"/>
  <c r="D105" i="20"/>
  <c r="X25" i="17"/>
  <c r="F125" i="26" s="1"/>
  <c r="F107" i="16"/>
  <c r="DS30" i="5"/>
  <c r="AK607" i="45" s="1"/>
  <c r="V574" i="4"/>
  <c r="V572" i="4"/>
  <c r="V570" i="4"/>
  <c r="V568" i="4"/>
  <c r="V566" i="4"/>
  <c r="S11" i="15"/>
  <c r="V797" i="4"/>
  <c r="V795" i="4"/>
  <c r="V793" i="4"/>
  <c r="V791" i="4"/>
  <c r="V369" i="4"/>
  <c r="V751" i="4"/>
  <c r="V749" i="4"/>
  <c r="V747" i="4"/>
  <c r="V745" i="4"/>
  <c r="V743" i="4"/>
  <c r="V741" i="4"/>
  <c r="V739" i="4"/>
  <c r="V737" i="4"/>
  <c r="AH35" i="14"/>
  <c r="U35" i="16"/>
  <c r="D34" i="62"/>
  <c r="D58" i="5"/>
  <c r="D58" i="20"/>
  <c r="O27" i="17"/>
  <c r="V729" i="4"/>
  <c r="V727" i="4"/>
  <c r="V725" i="4"/>
  <c r="V783" i="4"/>
  <c r="V777" i="4"/>
  <c r="V775" i="4"/>
  <c r="V773" i="4"/>
  <c r="V771" i="4"/>
  <c r="V769" i="4"/>
  <c r="V767" i="4"/>
  <c r="V321" i="4"/>
  <c r="AJ36" i="14"/>
  <c r="AL36" i="14" s="1"/>
  <c r="BO30" i="5"/>
  <c r="AC607" i="45" s="1"/>
  <c r="AJ52" i="14"/>
  <c r="AL52" i="14" s="1"/>
  <c r="V130" i="16"/>
  <c r="V128" i="16"/>
  <c r="D22" i="62"/>
  <c r="D30" i="62"/>
  <c r="D71" i="68"/>
  <c r="V528" i="4"/>
  <c r="V483" i="4"/>
  <c r="U85" i="16"/>
  <c r="AH85" i="14"/>
  <c r="U105" i="16"/>
  <c r="AH105" i="14"/>
  <c r="D50" i="4"/>
  <c r="D154" i="4" s="1"/>
  <c r="D258" i="4" s="1"/>
  <c r="D362" i="4" s="1"/>
  <c r="D466" i="4" s="1"/>
  <c r="D570" i="4" s="1"/>
  <c r="D674" i="4" s="1"/>
  <c r="D778" i="4" s="1"/>
  <c r="D882" i="4" s="1"/>
  <c r="D986" i="4" s="1"/>
  <c r="D1090" i="4" s="1"/>
  <c r="D1194" i="4" s="1"/>
  <c r="D1298" i="4" s="1"/>
  <c r="AJ50" i="14"/>
  <c r="AL50" i="14" s="1"/>
  <c r="D17" i="5"/>
  <c r="W132" i="16"/>
  <c r="K21" i="62" s="1"/>
  <c r="V936" i="4"/>
  <c r="V934" i="4"/>
  <c r="V930" i="4"/>
  <c r="V928" i="4"/>
  <c r="V926" i="4"/>
  <c r="V612" i="4"/>
  <c r="V924" i="4"/>
  <c r="V610" i="4"/>
  <c r="V922" i="4"/>
  <c r="V606" i="4"/>
  <c r="V1020" i="4"/>
  <c r="V1018" i="4"/>
  <c r="V704" i="4"/>
  <c r="V1016" i="4"/>
  <c r="V1014" i="4"/>
  <c r="V1012" i="4"/>
  <c r="V1010" i="4"/>
  <c r="V1008" i="4"/>
  <c r="V1006" i="4"/>
  <c r="V1004" i="4"/>
  <c r="V1002" i="4"/>
  <c r="V1000" i="4"/>
  <c r="V998" i="4"/>
  <c r="V996" i="4"/>
  <c r="V994" i="4"/>
  <c r="V992" i="4"/>
  <c r="V990" i="4"/>
  <c r="V986" i="4"/>
  <c r="V984" i="4"/>
  <c r="V982" i="4"/>
  <c r="V980" i="4"/>
  <c r="V978" i="4"/>
  <c r="V976" i="4"/>
  <c r="V974" i="4"/>
  <c r="V972" i="4"/>
  <c r="V970" i="4"/>
  <c r="V968" i="4"/>
  <c r="V966" i="4"/>
  <c r="V964" i="4"/>
  <c r="V962" i="4"/>
  <c r="V960" i="4"/>
  <c r="V958" i="4"/>
  <c r="V956" i="4"/>
  <c r="V954" i="4"/>
  <c r="AH71" i="14"/>
  <c r="AI71" i="14" s="1"/>
  <c r="C71" i="19" s="1"/>
  <c r="U73" i="16"/>
  <c r="AH73" i="14"/>
  <c r="U87" i="16"/>
  <c r="AH87" i="14"/>
  <c r="U67" i="16"/>
  <c r="AH67" i="14"/>
  <c r="AI67" i="14" s="1"/>
  <c r="C67" i="19" s="1"/>
  <c r="G24" i="19"/>
  <c r="AO24" i="14"/>
  <c r="D6" i="4"/>
  <c r="D110" i="4" s="1"/>
  <c r="D214" i="4" s="1"/>
  <c r="D318" i="4" s="1"/>
  <c r="D422" i="4" s="1"/>
  <c r="D526" i="4" s="1"/>
  <c r="D630" i="4" s="1"/>
  <c r="D734" i="4" s="1"/>
  <c r="D838" i="4" s="1"/>
  <c r="D942" i="4" s="1"/>
  <c r="D1046" i="4" s="1"/>
  <c r="D1150" i="4" s="1"/>
  <c r="D1254" i="4" s="1"/>
  <c r="AJ6" i="14"/>
  <c r="BE15" i="8"/>
  <c r="AU15" i="8"/>
  <c r="AY15" i="8"/>
  <c r="BC15" i="8"/>
  <c r="AX15" i="8"/>
  <c r="AV15" i="8"/>
  <c r="BB15" i="8"/>
  <c r="AZ15" i="8"/>
  <c r="BD15" i="8"/>
  <c r="AH37" i="14"/>
  <c r="AI37" i="14" s="1"/>
  <c r="C37" i="19" s="1"/>
  <c r="D8" i="17"/>
  <c r="V146" i="16"/>
  <c r="V131" i="16"/>
  <c r="V129" i="16"/>
  <c r="V127" i="16"/>
  <c r="V1024" i="4"/>
  <c r="V58" i="4"/>
  <c r="F209" i="4"/>
  <c r="F625" i="4"/>
  <c r="F933" i="4"/>
  <c r="F409" i="4"/>
  <c r="F825" i="4"/>
  <c r="F1133" i="4"/>
  <c r="F193" i="4"/>
  <c r="F713" i="4"/>
  <c r="F917" i="4"/>
  <c r="F701" i="4"/>
  <c r="F177" i="4"/>
  <c r="F1009" i="4"/>
  <c r="F485" i="4"/>
  <c r="F901" i="4"/>
  <c r="F685" i="4"/>
  <c r="F993" i="4"/>
  <c r="F469" i="4"/>
  <c r="F885" i="4"/>
  <c r="F253" i="4"/>
  <c r="F669" i="4"/>
  <c r="F977" i="4"/>
  <c r="F453" i="4"/>
  <c r="F869" i="4"/>
  <c r="F237" i="4"/>
  <c r="F653" i="4"/>
  <c r="F961" i="4"/>
  <c r="F243" i="4"/>
  <c r="F659" i="4"/>
  <c r="AZ107" i="19"/>
  <c r="D37" i="5"/>
  <c r="C69" i="28" s="1"/>
  <c r="BO25" i="62"/>
  <c r="CC25" i="62" s="1"/>
  <c r="CQ25" i="62" s="1"/>
  <c r="DE25" i="62" s="1"/>
  <c r="DS25" i="62" s="1"/>
  <c r="EG25" i="62" s="1"/>
  <c r="G68" i="19"/>
  <c r="U25" i="16"/>
  <c r="AH25" i="14"/>
  <c r="AJ15" i="14"/>
  <c r="AL15" i="14" s="1"/>
  <c r="N15" i="14"/>
  <c r="K15" i="14"/>
  <c r="U51" i="16"/>
  <c r="AH51" i="14"/>
  <c r="N98" i="14"/>
  <c r="K98" i="14"/>
  <c r="AJ98" i="14"/>
  <c r="AL98" i="14" s="1"/>
  <c r="U101" i="16"/>
  <c r="AH101" i="14"/>
  <c r="U69" i="16"/>
  <c r="AH69" i="14"/>
  <c r="AI69" i="14" s="1"/>
  <c r="C69" i="19" s="1"/>
  <c r="D54" i="4"/>
  <c r="D158" i="4" s="1"/>
  <c r="D262" i="4" s="1"/>
  <c r="D366" i="4" s="1"/>
  <c r="D470" i="4" s="1"/>
  <c r="D574" i="4" s="1"/>
  <c r="D678" i="4" s="1"/>
  <c r="D782" i="4" s="1"/>
  <c r="D886" i="4" s="1"/>
  <c r="D990" i="4" s="1"/>
  <c r="D1094" i="4" s="1"/>
  <c r="D1198" i="4" s="1"/>
  <c r="D1302" i="4" s="1"/>
  <c r="AJ54" i="14"/>
  <c r="AL54" i="14" s="1"/>
  <c r="N77" i="20"/>
  <c r="D8" i="24"/>
  <c r="V148" i="16"/>
  <c r="V147" i="16"/>
  <c r="V140" i="16"/>
  <c r="V139" i="16"/>
  <c r="V626" i="4"/>
  <c r="V1042" i="4"/>
  <c r="V624" i="4"/>
  <c r="V1040" i="4"/>
  <c r="V622" i="4"/>
  <c r="V620" i="4"/>
  <c r="V1036" i="4"/>
  <c r="V1140" i="4"/>
  <c r="V618" i="4"/>
  <c r="V1034" i="4"/>
  <c r="V616" i="4"/>
  <c r="V1032" i="4"/>
  <c r="V614" i="4"/>
  <c r="V1030" i="4"/>
  <c r="V1132" i="4"/>
  <c r="V504" i="4"/>
  <c r="V1128" i="4"/>
  <c r="V1022" i="4"/>
  <c r="V1126" i="4"/>
  <c r="V500" i="4"/>
  <c r="V1124" i="4"/>
  <c r="V602" i="4"/>
  <c r="V600" i="4"/>
  <c r="V1120" i="4"/>
  <c r="V702" i="4"/>
  <c r="V700" i="4"/>
  <c r="V1116" i="4"/>
  <c r="V698" i="4"/>
  <c r="V1114" i="4"/>
  <c r="V696" i="4"/>
  <c r="V694" i="4"/>
  <c r="V1110" i="4"/>
  <c r="V692" i="4"/>
  <c r="V1108" i="4"/>
  <c r="V690" i="4"/>
  <c r="V1106" i="4"/>
  <c r="V688" i="4"/>
  <c r="V686" i="4"/>
  <c r="V684" i="4"/>
  <c r="V682" i="4"/>
  <c r="V1098" i="4"/>
  <c r="V680" i="4"/>
  <c r="V1096" i="4"/>
  <c r="V54" i="4"/>
  <c r="V678" i="4"/>
  <c r="V52" i="4"/>
  <c r="V676" i="4"/>
  <c r="V1092" i="4"/>
  <c r="V50" i="4"/>
  <c r="V674" i="4"/>
  <c r="V1090" i="4"/>
  <c r="V48" i="4"/>
  <c r="V672" i="4"/>
  <c r="V670" i="4"/>
  <c r="V44" i="4"/>
  <c r="V668" i="4"/>
  <c r="V42" i="4"/>
  <c r="V666" i="4"/>
  <c r="V40" i="4"/>
  <c r="V664" i="4"/>
  <c r="V1080" i="4"/>
  <c r="V662" i="4"/>
  <c r="V660" i="4"/>
  <c r="V1076" i="4"/>
  <c r="V34" i="4"/>
  <c r="V658" i="4"/>
  <c r="V1074" i="4"/>
  <c r="V656" i="4"/>
  <c r="V30" i="4"/>
  <c r="V654" i="4"/>
  <c r="V652" i="4"/>
  <c r="V650" i="4"/>
  <c r="V1066" i="4"/>
  <c r="V24" i="4"/>
  <c r="V648" i="4"/>
  <c r="V22" i="4"/>
  <c r="V646" i="4"/>
  <c r="V20" i="4"/>
  <c r="V644" i="4"/>
  <c r="V18" i="4"/>
  <c r="V642" i="4"/>
  <c r="V1058" i="4"/>
  <c r="V16" i="4"/>
  <c r="V640" i="4"/>
  <c r="V14" i="4"/>
  <c r="V12" i="4"/>
  <c r="V1052" i="4"/>
  <c r="V10" i="4"/>
  <c r="AH55" i="14"/>
  <c r="U79" i="16"/>
  <c r="AH79" i="14"/>
  <c r="BC18" i="8"/>
  <c r="AX18" i="8"/>
  <c r="AV18" i="8"/>
  <c r="BB18" i="8"/>
  <c r="AZ18" i="8"/>
  <c r="AZ22" i="8" s="1"/>
  <c r="CQ24" i="62" s="1"/>
  <c r="AW18" i="8"/>
  <c r="AW22" i="8" s="1"/>
  <c r="BA24" i="62" s="1"/>
  <c r="BE17" i="8"/>
  <c r="AY17" i="8"/>
  <c r="BC17" i="8"/>
  <c r="AU17" i="8"/>
  <c r="AX17" i="8"/>
  <c r="BD17" i="8"/>
  <c r="BB17" i="8"/>
  <c r="AV17" i="8"/>
  <c r="BE13" i="8"/>
  <c r="AU13" i="8"/>
  <c r="AX13" i="8"/>
  <c r="BD13" i="8"/>
  <c r="BB13" i="8"/>
  <c r="L22" i="8"/>
  <c r="L23" i="8" s="1"/>
  <c r="AV13" i="8"/>
  <c r="AH91" i="14"/>
  <c r="AI91" i="14" s="1"/>
  <c r="C91" i="19" s="1"/>
  <c r="U59" i="16"/>
  <c r="AH59" i="14"/>
  <c r="U27" i="16"/>
  <c r="AI27" i="14"/>
  <c r="C27" i="19" s="1"/>
  <c r="U89" i="16"/>
  <c r="AH89" i="14"/>
  <c r="U39" i="16"/>
  <c r="AI39" i="14"/>
  <c r="C39" i="19" s="1"/>
  <c r="AH39" i="14"/>
  <c r="U41" i="16"/>
  <c r="AH41" i="14"/>
  <c r="AI41" i="14" s="1"/>
  <c r="C41" i="19" s="1"/>
  <c r="AY13" i="8"/>
  <c r="U99" i="16"/>
  <c r="AH99" i="14"/>
  <c r="AI99" i="14" s="1"/>
  <c r="C99" i="19" s="1"/>
  <c r="AO10" i="14"/>
  <c r="G10" i="19"/>
  <c r="F1145" i="4"/>
  <c r="F205" i="4"/>
  <c r="F621" i="4"/>
  <c r="F929" i="4"/>
  <c r="F405" i="4"/>
  <c r="F821" i="4"/>
  <c r="F1129" i="4"/>
  <c r="F189" i="4"/>
  <c r="F709" i="4"/>
  <c r="F1021" i="4"/>
  <c r="F393" i="4"/>
  <c r="F913" i="4"/>
  <c r="F697" i="4"/>
  <c r="F173" i="4"/>
  <c r="F1005" i="4"/>
  <c r="F481" i="4"/>
  <c r="F897" i="4"/>
  <c r="F265" i="4"/>
  <c r="F681" i="4"/>
  <c r="F989" i="4"/>
  <c r="F465" i="4"/>
  <c r="F881" i="4"/>
  <c r="F249" i="4"/>
  <c r="F665" i="4"/>
  <c r="F973" i="4"/>
  <c r="F449" i="4"/>
  <c r="F865" i="4"/>
  <c r="F233" i="4"/>
  <c r="F649" i="4"/>
  <c r="F491" i="4"/>
  <c r="F907" i="4"/>
  <c r="F479" i="4"/>
  <c r="F895" i="4"/>
  <c r="F59" i="4"/>
  <c r="F475" i="4"/>
  <c r="F891" i="4"/>
  <c r="D32" i="5"/>
  <c r="F415" i="4"/>
  <c r="F831" i="4"/>
  <c r="F1135" i="4"/>
  <c r="F467" i="4"/>
  <c r="F883" i="4"/>
  <c r="F463" i="4"/>
  <c r="F879" i="4"/>
  <c r="F459" i="4"/>
  <c r="F875" i="4"/>
  <c r="F967" i="4"/>
  <c r="AJ48" i="14"/>
  <c r="AL48" i="14" s="1"/>
  <c r="N48" i="14"/>
  <c r="AJ32" i="14"/>
  <c r="AL32" i="14" s="1"/>
  <c r="N32" i="14"/>
  <c r="AJ84" i="14"/>
  <c r="AL84" i="14" s="1"/>
  <c r="F1141" i="4"/>
  <c r="F201" i="4"/>
  <c r="F617" i="4"/>
  <c r="F925" i="4"/>
  <c r="F401" i="4"/>
  <c r="F185" i="4"/>
  <c r="F1017" i="4"/>
  <c r="F909" i="4"/>
  <c r="F693" i="4"/>
  <c r="F169" i="4"/>
  <c r="F1001" i="4"/>
  <c r="F477" i="4"/>
  <c r="F893" i="4"/>
  <c r="F261" i="4"/>
  <c r="F677" i="4"/>
  <c r="F985" i="4"/>
  <c r="F461" i="4"/>
  <c r="F877" i="4"/>
  <c r="F245" i="4"/>
  <c r="F661" i="4"/>
  <c r="F969" i="4"/>
  <c r="F445" i="4"/>
  <c r="F861" i="4"/>
  <c r="F179" i="4"/>
  <c r="F1011" i="4"/>
  <c r="F167" i="4"/>
  <c r="F999" i="4"/>
  <c r="F995" i="4"/>
  <c r="F451" i="4"/>
  <c r="F867" i="4"/>
  <c r="AM22" i="8"/>
  <c r="DS46" i="5" s="1"/>
  <c r="F935" i="4"/>
  <c r="F407" i="4"/>
  <c r="F823" i="4"/>
  <c r="F987" i="4"/>
  <c r="F983" i="4"/>
  <c r="F979" i="4"/>
  <c r="F239" i="4"/>
  <c r="F655" i="4"/>
  <c r="V309" i="4"/>
  <c r="V307" i="4"/>
  <c r="V305" i="4"/>
  <c r="V303" i="4"/>
  <c r="V301" i="4"/>
  <c r="V297" i="4"/>
  <c r="V713" i="4"/>
  <c r="V921" i="4"/>
  <c r="V1023" i="4"/>
  <c r="V293" i="4"/>
  <c r="V709" i="4"/>
  <c r="V917" i="4"/>
  <c r="V395" i="4"/>
  <c r="V915" i="4"/>
  <c r="V289" i="4"/>
  <c r="V913" i="4"/>
  <c r="V599" i="4"/>
  <c r="V387" i="4"/>
  <c r="V385" i="4"/>
  <c r="V383" i="4"/>
  <c r="V381" i="4"/>
  <c r="V379" i="4"/>
  <c r="V55" i="4"/>
  <c r="V781" i="4"/>
  <c r="V779" i="4"/>
  <c r="AP22" i="8"/>
  <c r="FI46" i="5" s="1"/>
  <c r="AV22" i="8"/>
  <c r="AM24" i="62" s="1"/>
  <c r="AO24" i="62" s="1"/>
  <c r="BE21" i="8"/>
  <c r="BE22" i="8" s="1"/>
  <c r="FI24" i="62" s="1"/>
  <c r="AU21" i="8"/>
  <c r="AY21" i="8"/>
  <c r="BC21" i="8"/>
  <c r="N7" i="14"/>
  <c r="AJ96" i="14"/>
  <c r="AL96" i="14" s="1"/>
  <c r="N96" i="14"/>
  <c r="AJ64" i="14"/>
  <c r="AL64" i="14" s="1"/>
  <c r="N64" i="14"/>
  <c r="AJ12" i="14"/>
  <c r="AL12" i="14" s="1"/>
  <c r="F197" i="4"/>
  <c r="F921" i="4"/>
  <c r="F397" i="4"/>
  <c r="F1013" i="4"/>
  <c r="F489" i="4"/>
  <c r="F905" i="4"/>
  <c r="F689" i="4"/>
  <c r="F165" i="4"/>
  <c r="F997" i="4"/>
  <c r="F57" i="4"/>
  <c r="F473" i="4"/>
  <c r="F889" i="4"/>
  <c r="F257" i="4"/>
  <c r="F673" i="4"/>
  <c r="F981" i="4"/>
  <c r="F457" i="4"/>
  <c r="F873" i="4"/>
  <c r="F241" i="4"/>
  <c r="F657" i="4"/>
  <c r="F965" i="4"/>
  <c r="F441" i="4"/>
  <c r="F857" i="4"/>
  <c r="F699" i="4"/>
  <c r="F687" i="4"/>
  <c r="F267" i="4"/>
  <c r="F683" i="4"/>
  <c r="F971" i="4"/>
  <c r="BA22" i="8"/>
  <c r="DE24" i="62" s="1"/>
  <c r="F207" i="4"/>
  <c r="F623" i="4"/>
  <c r="F927" i="4"/>
  <c r="F259" i="4"/>
  <c r="F675" i="4"/>
  <c r="F255" i="4"/>
  <c r="F671" i="4"/>
  <c r="F251" i="4"/>
  <c r="F667" i="4"/>
  <c r="V57" i="4"/>
  <c r="AJ80" i="14"/>
  <c r="AL80" i="14" s="1"/>
  <c r="N80" i="14"/>
  <c r="AJ100" i="14"/>
  <c r="AL100" i="14" s="1"/>
  <c r="AJ18" i="14"/>
  <c r="AL18" i="14" s="1"/>
  <c r="AJ14" i="14"/>
  <c r="AL14" i="14" s="1"/>
  <c r="AF42" i="5"/>
  <c r="U367" i="45"/>
  <c r="U616" i="45"/>
  <c r="D13" i="24"/>
  <c r="V122" i="16"/>
  <c r="H44" i="28"/>
  <c r="F47" i="20"/>
  <c r="F48" i="20" s="1"/>
  <c r="F46" i="28"/>
  <c r="F95" i="20"/>
  <c r="F96" i="20" s="1"/>
  <c r="F93" i="20"/>
  <c r="F63" i="20"/>
  <c r="F64" i="20" s="1"/>
  <c r="N63" i="20"/>
  <c r="M64" i="20"/>
  <c r="N64" i="20" s="1"/>
  <c r="N31" i="20"/>
  <c r="M32" i="20"/>
  <c r="N32" i="20" s="1"/>
  <c r="AH1253" i="4"/>
  <c r="U60" i="16"/>
  <c r="AH60" i="14"/>
  <c r="AH38" i="14"/>
  <c r="AI38" i="14" s="1"/>
  <c r="C38" i="19" s="1"/>
  <c r="U38" i="16"/>
  <c r="M111" i="20"/>
  <c r="N107" i="20"/>
  <c r="M109" i="20"/>
  <c r="N109" i="20" s="1"/>
  <c r="N95" i="20"/>
  <c r="M96" i="20"/>
  <c r="N96" i="20" s="1"/>
  <c r="AH72" i="14"/>
  <c r="AI72" i="14" s="1"/>
  <c r="C72" i="19" s="1"/>
  <c r="U72" i="16"/>
  <c r="U68" i="16"/>
  <c r="AH68" i="14"/>
  <c r="U64" i="16"/>
  <c r="AH64" i="14"/>
  <c r="AI64" i="14" s="1"/>
  <c r="C64" i="19" s="1"/>
  <c r="AH34" i="14"/>
  <c r="U34" i="16"/>
  <c r="AI34" i="14"/>
  <c r="C34" i="19" s="1"/>
  <c r="AH30" i="14"/>
  <c r="AI30" i="14" s="1"/>
  <c r="C30" i="19" s="1"/>
  <c r="U30" i="16"/>
  <c r="C75" i="20"/>
  <c r="D72" i="20"/>
  <c r="D107" i="20"/>
  <c r="D59" i="20"/>
  <c r="F45" i="20"/>
  <c r="D43" i="20"/>
  <c r="N29" i="20"/>
  <c r="K69" i="28"/>
  <c r="I69" i="28"/>
  <c r="G69" i="28"/>
  <c r="M69" i="28"/>
  <c r="E69" i="28"/>
  <c r="U104" i="16"/>
  <c r="AH104" i="14"/>
  <c r="AI104" i="14" s="1"/>
  <c r="C104" i="19" s="1"/>
  <c r="AH100" i="14"/>
  <c r="U100" i="16"/>
  <c r="AH96" i="14"/>
  <c r="U96" i="16"/>
  <c r="AH92" i="14"/>
  <c r="U92" i="16"/>
  <c r="U88" i="16"/>
  <c r="AH88" i="14"/>
  <c r="AI88" i="14" s="1"/>
  <c r="C88" i="19" s="1"/>
  <c r="AH84" i="14"/>
  <c r="AI84" i="14" s="1"/>
  <c r="C84" i="19" s="1"/>
  <c r="U84" i="16"/>
  <c r="U80" i="16"/>
  <c r="AH80" i="14"/>
  <c r="U76" i="16"/>
  <c r="AH76" i="14"/>
  <c r="AH32" i="14"/>
  <c r="AI32" i="14" s="1"/>
  <c r="C32" i="19" s="1"/>
  <c r="U32" i="16"/>
  <c r="AH28" i="14"/>
  <c r="U28" i="16"/>
  <c r="U24" i="16"/>
  <c r="AH24" i="14"/>
  <c r="AH106" i="14"/>
  <c r="AI106" i="14" s="1"/>
  <c r="C106" i="19" s="1"/>
  <c r="U106" i="16"/>
  <c r="AH102" i="14"/>
  <c r="U102" i="16"/>
  <c r="AH98" i="14"/>
  <c r="AI98" i="14" s="1"/>
  <c r="C98" i="19" s="1"/>
  <c r="U98" i="16"/>
  <c r="AH94" i="14"/>
  <c r="AI94" i="14" s="1"/>
  <c r="C94" i="19" s="1"/>
  <c r="U94" i="16"/>
  <c r="AH90" i="14"/>
  <c r="AI90" i="14" s="1"/>
  <c r="C90" i="19" s="1"/>
  <c r="U90" i="16"/>
  <c r="AH86" i="14"/>
  <c r="U86" i="16"/>
  <c r="AH82" i="14"/>
  <c r="AI82" i="14" s="1"/>
  <c r="C82" i="19" s="1"/>
  <c r="U82" i="16"/>
  <c r="AH26" i="14"/>
  <c r="AI26" i="14" s="1"/>
  <c r="C26" i="19" s="1"/>
  <c r="U26" i="16"/>
  <c r="F79" i="20"/>
  <c r="F80" i="20" s="1"/>
  <c r="F77" i="20"/>
  <c r="N15" i="20"/>
  <c r="M16" i="20"/>
  <c r="N16" i="20" s="1"/>
  <c r="D46" i="28"/>
  <c r="G46" i="28"/>
  <c r="D48" i="28"/>
  <c r="G48" i="28"/>
  <c r="E48" i="28"/>
  <c r="H42" i="28"/>
  <c r="D91" i="20"/>
  <c r="N61" i="20"/>
  <c r="N13" i="20"/>
  <c r="AH56" i="14"/>
  <c r="U56" i="16"/>
  <c r="U52" i="16"/>
  <c r="AH52" i="14"/>
  <c r="AI52" i="14" s="1"/>
  <c r="C52" i="19" s="1"/>
  <c r="U48" i="16"/>
  <c r="AH48" i="14"/>
  <c r="AH44" i="14"/>
  <c r="AI44" i="14" s="1"/>
  <c r="C44" i="19" s="1"/>
  <c r="U44" i="16"/>
  <c r="AH40" i="14"/>
  <c r="AI40" i="14" s="1"/>
  <c r="C40" i="19" s="1"/>
  <c r="U40" i="16"/>
  <c r="U36" i="16"/>
  <c r="AH36" i="14"/>
  <c r="AI36" i="14" s="1"/>
  <c r="C36" i="19" s="1"/>
  <c r="AH78" i="14"/>
  <c r="AI78" i="14" s="1"/>
  <c r="C78" i="19" s="1"/>
  <c r="U78" i="16"/>
  <c r="AH66" i="14"/>
  <c r="AI66" i="14" s="1"/>
  <c r="C66" i="19" s="1"/>
  <c r="U66" i="16"/>
  <c r="AH50" i="14"/>
  <c r="U50" i="16"/>
  <c r="AH46" i="14"/>
  <c r="U46" i="16"/>
  <c r="AH42" i="14"/>
  <c r="U42" i="16"/>
  <c r="AI42" i="14"/>
  <c r="C42" i="19" s="1"/>
  <c r="I15" i="21"/>
  <c r="F15" i="21"/>
  <c r="I7" i="21"/>
  <c r="F7" i="21"/>
  <c r="D7" i="21" s="1"/>
  <c r="R18" i="62"/>
  <c r="K48" i="62"/>
  <c r="I14" i="24"/>
  <c r="F14" i="24"/>
  <c r="I8" i="23"/>
  <c r="F8" i="23"/>
  <c r="J8" i="6"/>
  <c r="K8" i="6" s="1"/>
  <c r="H9" i="6" s="1"/>
  <c r="C15" i="18"/>
  <c r="D15" i="17"/>
  <c r="I13" i="21"/>
  <c r="F13" i="21"/>
  <c r="C7" i="18"/>
  <c r="D7" i="17"/>
  <c r="C19" i="28"/>
  <c r="D18" i="62"/>
  <c r="D48" i="62" s="1"/>
  <c r="D18" i="24"/>
  <c r="D18" i="18"/>
  <c r="I14" i="23"/>
  <c r="F14" i="23"/>
  <c r="D8" i="18"/>
  <c r="D62" i="68"/>
  <c r="BO25" i="5"/>
  <c r="CC25" i="5" s="1"/>
  <c r="AT28" i="62"/>
  <c r="V145" i="16"/>
  <c r="AA132" i="16"/>
  <c r="BO21" i="62" s="1"/>
  <c r="V210" i="4"/>
  <c r="V418" i="4"/>
  <c r="V834" i="4"/>
  <c r="E1354" i="4"/>
  <c r="K1354" i="4"/>
  <c r="L1354" i="4" s="1"/>
  <c r="V1250" i="4"/>
  <c r="N1354" i="4"/>
  <c r="O1354" i="4" s="1"/>
  <c r="V208" i="4"/>
  <c r="V416" i="4"/>
  <c r="V832" i="4"/>
  <c r="K1352" i="4"/>
  <c r="L1352" i="4" s="1"/>
  <c r="V1248" i="4"/>
  <c r="E1352" i="4"/>
  <c r="N1352" i="4"/>
  <c r="O1352" i="4" s="1"/>
  <c r="V206" i="4"/>
  <c r="V414" i="4"/>
  <c r="V830" i="4"/>
  <c r="V1038" i="4"/>
  <c r="V1142" i="4"/>
  <c r="N1350" i="4"/>
  <c r="O1350" i="4" s="1"/>
  <c r="V204" i="4"/>
  <c r="V412" i="4"/>
  <c r="V828" i="4"/>
  <c r="K1348" i="4"/>
  <c r="L1348" i="4" s="1"/>
  <c r="V1244" i="4"/>
  <c r="E1348" i="4"/>
  <c r="N1348" i="4"/>
  <c r="O1348" i="4" s="1"/>
  <c r="V202" i="4"/>
  <c r="V410" i="4"/>
  <c r="V826" i="4"/>
  <c r="E1346" i="4"/>
  <c r="K1346" i="4"/>
  <c r="L1346" i="4" s="1"/>
  <c r="V1242" i="4"/>
  <c r="N1346" i="4"/>
  <c r="O1346" i="4" s="1"/>
  <c r="V200" i="4"/>
  <c r="V408" i="4"/>
  <c r="V824" i="4"/>
  <c r="K1344" i="4"/>
  <c r="L1344" i="4" s="1"/>
  <c r="V1240" i="4"/>
  <c r="E1344" i="4"/>
  <c r="N1344" i="4"/>
  <c r="O1344" i="4" s="1"/>
  <c r="V198" i="4"/>
  <c r="V406" i="4"/>
  <c r="V822" i="4"/>
  <c r="V1134" i="4"/>
  <c r="N1342" i="4"/>
  <c r="O1342" i="4" s="1"/>
  <c r="V196" i="4"/>
  <c r="V820" i="4"/>
  <c r="K1340" i="4"/>
  <c r="L1340" i="4" s="1"/>
  <c r="V1236" i="4"/>
  <c r="E1340" i="4"/>
  <c r="N1340" i="4"/>
  <c r="O1340" i="4" s="1"/>
  <c r="V194" i="4"/>
  <c r="V506" i="4"/>
  <c r="V818" i="4"/>
  <c r="V1130" i="4"/>
  <c r="K1338" i="4"/>
  <c r="L1338" i="4" s="1"/>
  <c r="V1234" i="4"/>
  <c r="N1338" i="4"/>
  <c r="O1338" i="4" s="1"/>
  <c r="V192" i="4"/>
  <c r="E1336" i="4"/>
  <c r="N1336" i="4"/>
  <c r="O1336" i="4" s="1"/>
  <c r="V190" i="4"/>
  <c r="V502" i="4"/>
  <c r="E1334" i="4"/>
  <c r="N1334" i="4"/>
  <c r="O1334" i="4" s="1"/>
  <c r="V188" i="4"/>
  <c r="V708" i="4"/>
  <c r="V916" i="4"/>
  <c r="E1332" i="4"/>
  <c r="N1332" i="4"/>
  <c r="O1332" i="4" s="1"/>
  <c r="V186" i="4"/>
  <c r="V290" i="4"/>
  <c r="V706" i="4"/>
  <c r="V914" i="4"/>
  <c r="V1122" i="4"/>
  <c r="K1330" i="4"/>
  <c r="L1330" i="4" s="1"/>
  <c r="V1226" i="4"/>
  <c r="N1330" i="4"/>
  <c r="O1330" i="4" s="1"/>
  <c r="V184" i="4"/>
  <c r="V392" i="4"/>
  <c r="V912" i="4"/>
  <c r="Z1328" i="4"/>
  <c r="N1328" i="4"/>
  <c r="O1328" i="4" s="1"/>
  <c r="V182" i="4"/>
  <c r="V286" i="4"/>
  <c r="V494" i="4"/>
  <c r="V910" i="4"/>
  <c r="V1118" i="4"/>
  <c r="K1326" i="4"/>
  <c r="L1326" i="4" s="1"/>
  <c r="V1222" i="4"/>
  <c r="Q1326" i="4"/>
  <c r="R1326" i="4" s="1"/>
  <c r="V76" i="4"/>
  <c r="V284" i="4"/>
  <c r="V492" i="4"/>
  <c r="V908" i="4"/>
  <c r="K1324" i="4"/>
  <c r="L1324" i="4" s="1"/>
  <c r="V1220" i="4"/>
  <c r="Q1324" i="4"/>
  <c r="R1324" i="4" s="1"/>
  <c r="V74" i="4"/>
  <c r="V282" i="4"/>
  <c r="V490" i="4"/>
  <c r="V906" i="4"/>
  <c r="K1322" i="4"/>
  <c r="L1322" i="4" s="1"/>
  <c r="V1218" i="4"/>
  <c r="Q1322" i="4"/>
  <c r="R1322" i="4" s="1"/>
  <c r="V72" i="4"/>
  <c r="V280" i="4"/>
  <c r="V488" i="4"/>
  <c r="V904" i="4"/>
  <c r="V1112" i="4"/>
  <c r="K1320" i="4"/>
  <c r="L1320" i="4" s="1"/>
  <c r="V1216" i="4"/>
  <c r="Q1320" i="4"/>
  <c r="R1320" i="4" s="1"/>
  <c r="V70" i="4"/>
  <c r="V278" i="4"/>
  <c r="V486" i="4"/>
  <c r="V902" i="4"/>
  <c r="K1318" i="4"/>
  <c r="L1318" i="4" s="1"/>
  <c r="V1214" i="4"/>
  <c r="Q1318" i="4"/>
  <c r="R1318" i="4" s="1"/>
  <c r="V68" i="4"/>
  <c r="V276" i="4"/>
  <c r="V484" i="4"/>
  <c r="V900" i="4"/>
  <c r="K1316" i="4"/>
  <c r="L1316" i="4" s="1"/>
  <c r="V1212" i="4"/>
  <c r="Q1316" i="4"/>
  <c r="R1316" i="4" s="1"/>
  <c r="V66" i="4"/>
  <c r="V274" i="4"/>
  <c r="V482" i="4"/>
  <c r="V898" i="4"/>
  <c r="K1314" i="4"/>
  <c r="L1314" i="4" s="1"/>
  <c r="V1210" i="4"/>
  <c r="Q1314" i="4"/>
  <c r="R1314" i="4" s="1"/>
  <c r="V64" i="4"/>
  <c r="V272" i="4"/>
  <c r="V480" i="4"/>
  <c r="V896" i="4"/>
  <c r="V1104" i="4"/>
  <c r="K1312" i="4"/>
  <c r="L1312" i="4" s="1"/>
  <c r="V1208" i="4"/>
  <c r="Q1312" i="4"/>
  <c r="R1312" i="4" s="1"/>
  <c r="V62" i="4"/>
  <c r="V270" i="4"/>
  <c r="V478" i="4"/>
  <c r="V894" i="4"/>
  <c r="V1102" i="4"/>
  <c r="K1310" i="4"/>
  <c r="L1310" i="4" s="1"/>
  <c r="V1206" i="4"/>
  <c r="Q1310" i="4"/>
  <c r="R1310" i="4" s="1"/>
  <c r="V476" i="4"/>
  <c r="V892" i="4"/>
  <c r="V1100" i="4"/>
  <c r="K1308" i="4"/>
  <c r="L1308" i="4" s="1"/>
  <c r="V1204" i="4"/>
  <c r="Q1308" i="4"/>
  <c r="R1308" i="4" s="1"/>
  <c r="V162" i="4"/>
  <c r="V474" i="4"/>
  <c r="V890" i="4"/>
  <c r="K1306" i="4"/>
  <c r="L1306" i="4" s="1"/>
  <c r="V1202" i="4"/>
  <c r="Q1306" i="4"/>
  <c r="R1306" i="4" s="1"/>
  <c r="V56" i="4"/>
  <c r="V160" i="4"/>
  <c r="V472" i="4"/>
  <c r="V888" i="4"/>
  <c r="K1304" i="4"/>
  <c r="L1304" i="4" s="1"/>
  <c r="V1200" i="4"/>
  <c r="Q1304" i="4"/>
  <c r="R1304" i="4" s="1"/>
  <c r="V158" i="4"/>
  <c r="V470" i="4"/>
  <c r="V886" i="4"/>
  <c r="V1094" i="4"/>
  <c r="K1302" i="4"/>
  <c r="L1302" i="4" s="1"/>
  <c r="V1198" i="4"/>
  <c r="Q1302" i="4"/>
  <c r="R1302" i="4" s="1"/>
  <c r="V260" i="4"/>
  <c r="V468" i="4"/>
  <c r="V884" i="4"/>
  <c r="K1300" i="4"/>
  <c r="L1300" i="4" s="1"/>
  <c r="V1196" i="4"/>
  <c r="Q1300" i="4"/>
  <c r="R1300" i="4" s="1"/>
  <c r="V258" i="4"/>
  <c r="V466" i="4"/>
  <c r="V882" i="4"/>
  <c r="K1298" i="4"/>
  <c r="L1298" i="4" s="1"/>
  <c r="V1194" i="4"/>
  <c r="Q1298" i="4"/>
  <c r="R1298" i="4" s="1"/>
  <c r="V256" i="4"/>
  <c r="V464" i="4"/>
  <c r="V880" i="4"/>
  <c r="V1088" i="4"/>
  <c r="K1296" i="4"/>
  <c r="L1296" i="4" s="1"/>
  <c r="V1192" i="4"/>
  <c r="Q1296" i="4"/>
  <c r="R1296" i="4" s="1"/>
  <c r="V46" i="4"/>
  <c r="V254" i="4"/>
  <c r="V462" i="4"/>
  <c r="V878" i="4"/>
  <c r="V1086" i="4"/>
  <c r="K1294" i="4"/>
  <c r="L1294" i="4" s="1"/>
  <c r="V1190" i="4"/>
  <c r="Q1294" i="4"/>
  <c r="R1294" i="4" s="1"/>
  <c r="V252" i="4"/>
  <c r="V460" i="4"/>
  <c r="V876" i="4"/>
  <c r="V1084" i="4"/>
  <c r="K1292" i="4"/>
  <c r="L1292" i="4" s="1"/>
  <c r="V1188" i="4"/>
  <c r="Q1292" i="4"/>
  <c r="R1292" i="4" s="1"/>
  <c r="V250" i="4"/>
  <c r="V458" i="4"/>
  <c r="V874" i="4"/>
  <c r="V1082" i="4"/>
  <c r="K1290" i="4"/>
  <c r="L1290" i="4" s="1"/>
  <c r="V1186" i="4"/>
  <c r="Q1290" i="4"/>
  <c r="R1290" i="4" s="1"/>
  <c r="V248" i="4"/>
  <c r="V456" i="4"/>
  <c r="V872" i="4"/>
  <c r="K1288" i="4"/>
  <c r="L1288" i="4" s="1"/>
  <c r="V1184" i="4"/>
  <c r="Q1288" i="4"/>
  <c r="R1288" i="4" s="1"/>
  <c r="V38" i="4"/>
  <c r="V246" i="4"/>
  <c r="V454" i="4"/>
  <c r="V870" i="4"/>
  <c r="V1078" i="4"/>
  <c r="K1286" i="4"/>
  <c r="L1286" i="4" s="1"/>
  <c r="V1182" i="4"/>
  <c r="Q1286" i="4"/>
  <c r="R1286" i="4" s="1"/>
  <c r="V36" i="4"/>
  <c r="V244" i="4"/>
  <c r="V452" i="4"/>
  <c r="V868" i="4"/>
  <c r="K1284" i="4"/>
  <c r="L1284" i="4" s="1"/>
  <c r="V1180" i="4"/>
  <c r="Q1284" i="4"/>
  <c r="R1284" i="4" s="1"/>
  <c r="V242" i="4"/>
  <c r="V450" i="4"/>
  <c r="V866" i="4"/>
  <c r="K1282" i="4"/>
  <c r="L1282" i="4" s="1"/>
  <c r="V1178" i="4"/>
  <c r="Q1282" i="4"/>
  <c r="R1282" i="4" s="1"/>
  <c r="V32" i="4"/>
  <c r="V240" i="4"/>
  <c r="V448" i="4"/>
  <c r="V864" i="4"/>
  <c r="V1072" i="4"/>
  <c r="K1280" i="4"/>
  <c r="L1280" i="4" s="1"/>
  <c r="V1176" i="4"/>
  <c r="Q1280" i="4"/>
  <c r="R1280" i="4" s="1"/>
  <c r="V238" i="4"/>
  <c r="V446" i="4"/>
  <c r="V862" i="4"/>
  <c r="V1070" i="4"/>
  <c r="K1278" i="4"/>
  <c r="L1278" i="4" s="1"/>
  <c r="V1174" i="4"/>
  <c r="Q1278" i="4"/>
  <c r="R1278" i="4" s="1"/>
  <c r="V28" i="4"/>
  <c r="V236" i="4"/>
  <c r="V444" i="4"/>
  <c r="V860" i="4"/>
  <c r="V1068" i="4"/>
  <c r="K1276" i="4"/>
  <c r="L1276" i="4" s="1"/>
  <c r="V1172" i="4"/>
  <c r="Q1276" i="4"/>
  <c r="R1276" i="4" s="1"/>
  <c r="V26" i="4"/>
  <c r="V234" i="4"/>
  <c r="V442" i="4"/>
  <c r="V858" i="4"/>
  <c r="K1274" i="4"/>
  <c r="L1274" i="4" s="1"/>
  <c r="V1170" i="4"/>
  <c r="Q1274" i="4"/>
  <c r="R1274" i="4" s="1"/>
  <c r="V232" i="4"/>
  <c r="V440" i="4"/>
  <c r="V856" i="4"/>
  <c r="V1064" i="4"/>
  <c r="K1272" i="4"/>
  <c r="L1272" i="4" s="1"/>
  <c r="V1168" i="4"/>
  <c r="Q1272" i="4"/>
  <c r="R1272" i="4" s="1"/>
  <c r="V230" i="4"/>
  <c r="V438" i="4"/>
  <c r="V854" i="4"/>
  <c r="V1062" i="4"/>
  <c r="K1270" i="4"/>
  <c r="L1270" i="4" s="1"/>
  <c r="V1166" i="4"/>
  <c r="Q1270" i="4"/>
  <c r="R1270" i="4" s="1"/>
  <c r="V228" i="4"/>
  <c r="V436" i="4"/>
  <c r="V852" i="4"/>
  <c r="V1060" i="4"/>
  <c r="K1268" i="4"/>
  <c r="L1268" i="4" s="1"/>
  <c r="V1164" i="4"/>
  <c r="Q1268" i="4"/>
  <c r="R1268" i="4" s="1"/>
  <c r="V226" i="4"/>
  <c r="V434" i="4"/>
  <c r="V850" i="4"/>
  <c r="K1266" i="4"/>
  <c r="L1266" i="4" s="1"/>
  <c r="V1162" i="4"/>
  <c r="Q1266" i="4"/>
  <c r="R1266" i="4" s="1"/>
  <c r="V224" i="4"/>
  <c r="V432" i="4"/>
  <c r="V848" i="4"/>
  <c r="V1056" i="4"/>
  <c r="K1264" i="4"/>
  <c r="L1264" i="4" s="1"/>
  <c r="V1160" i="4"/>
  <c r="Q1264" i="4"/>
  <c r="R1264" i="4" s="1"/>
  <c r="V222" i="4"/>
  <c r="V430" i="4"/>
  <c r="V638" i="4"/>
  <c r="V846" i="4"/>
  <c r="V1054" i="4"/>
  <c r="K1262" i="4"/>
  <c r="L1262" i="4" s="1"/>
  <c r="V1158" i="4"/>
  <c r="Q1262" i="4"/>
  <c r="R1262" i="4" s="1"/>
  <c r="V220" i="4"/>
  <c r="V428" i="4"/>
  <c r="V636" i="4"/>
  <c r="V844" i="4"/>
  <c r="K1260" i="4"/>
  <c r="L1260" i="4" s="1"/>
  <c r="V1156" i="4"/>
  <c r="Q1260" i="4"/>
  <c r="R1260" i="4" s="1"/>
  <c r="V218" i="4"/>
  <c r="V426" i="4"/>
  <c r="V634" i="4"/>
  <c r="V842" i="4"/>
  <c r="V1050" i="4"/>
  <c r="K1258" i="4"/>
  <c r="L1258" i="4" s="1"/>
  <c r="V1154" i="4"/>
  <c r="Q1258" i="4"/>
  <c r="R1258" i="4" s="1"/>
  <c r="V8" i="4"/>
  <c r="V216" i="4"/>
  <c r="V424" i="4"/>
  <c r="V632" i="4"/>
  <c r="V840" i="4"/>
  <c r="V1048" i="4"/>
  <c r="K1256" i="4"/>
  <c r="L1256" i="4" s="1"/>
  <c r="V1152" i="4"/>
  <c r="Q1256" i="4"/>
  <c r="R1256" i="4" s="1"/>
  <c r="K107" i="4"/>
  <c r="V6" i="4"/>
  <c r="Q107" i="4"/>
  <c r="E315" i="4"/>
  <c r="K315" i="4"/>
  <c r="V214" i="4"/>
  <c r="N315" i="4"/>
  <c r="Q315" i="4"/>
  <c r="N523" i="4"/>
  <c r="Q523" i="4"/>
  <c r="E523" i="4"/>
  <c r="K523" i="4"/>
  <c r="V422" i="4"/>
  <c r="K731" i="4"/>
  <c r="V630" i="4"/>
  <c r="N731" i="4"/>
  <c r="Q731" i="4"/>
  <c r="E731" i="4"/>
  <c r="Q939" i="4"/>
  <c r="E939" i="4"/>
  <c r="K939" i="4"/>
  <c r="V838" i="4"/>
  <c r="N939" i="4"/>
  <c r="N1043" i="4"/>
  <c r="E1043" i="4"/>
  <c r="K1147" i="4"/>
  <c r="V1046" i="4"/>
  <c r="Q1147" i="4"/>
  <c r="K1254" i="4"/>
  <c r="K1251" i="4"/>
  <c r="V1150" i="4"/>
  <c r="Q1254" i="4"/>
  <c r="Q1251" i="4"/>
  <c r="I9" i="26"/>
  <c r="F9" i="26"/>
  <c r="AE829" i="4"/>
  <c r="AI829" i="4" s="1"/>
  <c r="C1349" i="4"/>
  <c r="F1245" i="4"/>
  <c r="AE305" i="4"/>
  <c r="AI305" i="4" s="1"/>
  <c r="AE721" i="4"/>
  <c r="AI721" i="4" s="1"/>
  <c r="AE921" i="4"/>
  <c r="AI921" i="4" s="1"/>
  <c r="C1333" i="4"/>
  <c r="F1229" i="4"/>
  <c r="AE905" i="4"/>
  <c r="AI905" i="4" s="1"/>
  <c r="AE381" i="4"/>
  <c r="AI381" i="4" s="1"/>
  <c r="AE797" i="4"/>
  <c r="AI797" i="4" s="1"/>
  <c r="C1317" i="4"/>
  <c r="F1213" i="4"/>
  <c r="AE57" i="4"/>
  <c r="AI57" i="4" s="1"/>
  <c r="AE889" i="4"/>
  <c r="AI889" i="4" s="1"/>
  <c r="AE781" i="4"/>
  <c r="AI781" i="4" s="1"/>
  <c r="C1301" i="4"/>
  <c r="F1197" i="4"/>
  <c r="AE457" i="4"/>
  <c r="AI457" i="4" s="1"/>
  <c r="AE873" i="4"/>
  <c r="AI873" i="4" s="1"/>
  <c r="AE765" i="4"/>
  <c r="AI765" i="4" s="1"/>
  <c r="C1285" i="4"/>
  <c r="F1181" i="4"/>
  <c r="AE857" i="4"/>
  <c r="AI857" i="4" s="1"/>
  <c r="AE867" i="4"/>
  <c r="AI867" i="4" s="1"/>
  <c r="G30" i="19"/>
  <c r="AO30" i="14"/>
  <c r="D13" i="26"/>
  <c r="BH34" i="62"/>
  <c r="BV34" i="62" s="1"/>
  <c r="CJ34" i="62" s="1"/>
  <c r="CX34" i="62" s="1"/>
  <c r="DL34" i="62" s="1"/>
  <c r="DZ34" i="62" s="1"/>
  <c r="EN34" i="62" s="1"/>
  <c r="FB34" i="62" s="1"/>
  <c r="FP34" i="62" s="1"/>
  <c r="BO53" i="5"/>
  <c r="BA44" i="62"/>
  <c r="D26" i="5"/>
  <c r="AB138" i="16"/>
  <c r="AD132" i="16"/>
  <c r="DE21" i="62" s="1"/>
  <c r="V119" i="16"/>
  <c r="CC30" i="5"/>
  <c r="AT22" i="8"/>
  <c r="K24" i="62" s="1"/>
  <c r="I10" i="23"/>
  <c r="F10" i="23"/>
  <c r="I10" i="22"/>
  <c r="F10" i="22"/>
  <c r="D10" i="22" s="1"/>
  <c r="F106" i="4"/>
  <c r="F522" i="4"/>
  <c r="F938" i="4"/>
  <c r="F102" i="4"/>
  <c r="F518" i="4"/>
  <c r="F934" i="4"/>
  <c r="F98" i="4"/>
  <c r="F514" i="4"/>
  <c r="F930" i="4"/>
  <c r="F94" i="4"/>
  <c r="F510" i="4"/>
  <c r="F926" i="4"/>
  <c r="F90" i="4"/>
  <c r="F506" i="4"/>
  <c r="F922" i="4"/>
  <c r="F86" i="4"/>
  <c r="F502" i="4"/>
  <c r="F814" i="4"/>
  <c r="F82" i="4"/>
  <c r="F498" i="4"/>
  <c r="F914" i="4"/>
  <c r="F78" i="4"/>
  <c r="F494" i="4"/>
  <c r="F910" i="4"/>
  <c r="F178" i="4"/>
  <c r="F594" i="4"/>
  <c r="F1010" i="4"/>
  <c r="F174" i="4"/>
  <c r="F590" i="4"/>
  <c r="F1006" i="4"/>
  <c r="F170" i="4"/>
  <c r="F586" i="4"/>
  <c r="F1002" i="4"/>
  <c r="F270" i="4"/>
  <c r="F686" i="4"/>
  <c r="F1102" i="4"/>
  <c r="G58" i="4"/>
  <c r="G162" i="4" s="1"/>
  <c r="I58" i="14"/>
  <c r="F370" i="4"/>
  <c r="F786" i="4"/>
  <c r="C1306" i="4"/>
  <c r="F1202" i="4"/>
  <c r="G54" i="4"/>
  <c r="G158" i="4" s="1"/>
  <c r="I54" i="14"/>
  <c r="F366" i="4"/>
  <c r="F782" i="4"/>
  <c r="C1302" i="4"/>
  <c r="F1198" i="4"/>
  <c r="G50" i="4"/>
  <c r="G154" i="4" s="1"/>
  <c r="I50" i="14"/>
  <c r="F362" i="4"/>
  <c r="F778" i="4"/>
  <c r="C1298" i="4"/>
  <c r="F1194" i="4"/>
  <c r="G46" i="4"/>
  <c r="G150" i="4" s="1"/>
  <c r="I46" i="14"/>
  <c r="F358" i="4"/>
  <c r="F774" i="4"/>
  <c r="C1294" i="4"/>
  <c r="F1190" i="4"/>
  <c r="G42" i="4"/>
  <c r="G146" i="4" s="1"/>
  <c r="I42" i="14"/>
  <c r="F354" i="4"/>
  <c r="F770" i="4"/>
  <c r="C1290" i="4"/>
  <c r="F1186" i="4"/>
  <c r="G38" i="4"/>
  <c r="G142" i="4" s="1"/>
  <c r="I38" i="14"/>
  <c r="F350" i="4"/>
  <c r="F766" i="4"/>
  <c r="C1286" i="4"/>
  <c r="F1182" i="4"/>
  <c r="F34" i="4"/>
  <c r="F450" i="4"/>
  <c r="F866" i="4"/>
  <c r="F30" i="4"/>
  <c r="F446" i="4"/>
  <c r="F862" i="4"/>
  <c r="F26" i="4"/>
  <c r="F442" i="4"/>
  <c r="F858" i="4"/>
  <c r="FJ25" i="62"/>
  <c r="EV25" i="62"/>
  <c r="EH25" i="62"/>
  <c r="EI25" i="62" s="1"/>
  <c r="DT25" i="62"/>
  <c r="DU25" i="62" s="1"/>
  <c r="DF25" i="62"/>
  <c r="DG25" i="62" s="1"/>
  <c r="CR25" i="62"/>
  <c r="CS25" i="62" s="1"/>
  <c r="CD25" i="62"/>
  <c r="CE25" i="62" s="1"/>
  <c r="BP25" i="62"/>
  <c r="BQ25" i="62" s="1"/>
  <c r="BB25" i="62"/>
  <c r="BC25" i="62" s="1"/>
  <c r="AN25" i="62"/>
  <c r="AO25" i="62" s="1"/>
  <c r="Z25" i="62"/>
  <c r="AA25" i="62" s="1"/>
  <c r="L25" i="62"/>
  <c r="V111" i="4"/>
  <c r="V319" i="4"/>
  <c r="V527" i="4"/>
  <c r="V943" i="4"/>
  <c r="N1255" i="4"/>
  <c r="O1255" i="4" s="1"/>
  <c r="E1255" i="4"/>
  <c r="C11" i="18"/>
  <c r="D11" i="17"/>
  <c r="I11" i="21"/>
  <c r="F11" i="21"/>
  <c r="I5" i="21"/>
  <c r="F5" i="21"/>
  <c r="D5" i="21" s="1"/>
  <c r="C5" i="18"/>
  <c r="D5" i="17"/>
  <c r="AE727" i="4"/>
  <c r="AI727" i="4" s="1"/>
  <c r="G78" i="19"/>
  <c r="AO78" i="14"/>
  <c r="AE779" i="4"/>
  <c r="AI779" i="4" s="1"/>
  <c r="C1299" i="4"/>
  <c r="F1195" i="4"/>
  <c r="AE775" i="4"/>
  <c r="AI775" i="4" s="1"/>
  <c r="C1295" i="4"/>
  <c r="F1191" i="4"/>
  <c r="AE771" i="4"/>
  <c r="AI771" i="4" s="1"/>
  <c r="C1291" i="4"/>
  <c r="F1187" i="4"/>
  <c r="AE863" i="4"/>
  <c r="AI863" i="4" s="1"/>
  <c r="G26" i="19"/>
  <c r="AO26" i="14"/>
  <c r="BH60" i="5"/>
  <c r="BV60" i="5" s="1"/>
  <c r="CJ60" i="5" s="1"/>
  <c r="CX60" i="5" s="1"/>
  <c r="DL60" i="5" s="1"/>
  <c r="DZ60" i="5" s="1"/>
  <c r="EN60" i="5" s="1"/>
  <c r="FB60" i="5" s="1"/>
  <c r="FP60" i="5" s="1"/>
  <c r="AH169" i="16"/>
  <c r="AD169" i="16"/>
  <c r="Z169" i="16"/>
  <c r="AG169" i="16"/>
  <c r="AC169" i="16"/>
  <c r="Y169" i="16"/>
  <c r="U169" i="16"/>
  <c r="E190" i="16"/>
  <c r="AF169" i="16"/>
  <c r="AB169" i="16"/>
  <c r="X169" i="16"/>
  <c r="AE169" i="16"/>
  <c r="AA169" i="16"/>
  <c r="W169" i="16"/>
  <c r="U161" i="16"/>
  <c r="AH161" i="16" s="1"/>
  <c r="E182" i="16"/>
  <c r="Y132" i="16"/>
  <c r="AM21" i="62" s="1"/>
  <c r="AF37" i="5"/>
  <c r="AT37" i="5" s="1"/>
  <c r="BH37" i="5" s="1"/>
  <c r="BV37" i="5" s="1"/>
  <c r="CJ37" i="5" s="1"/>
  <c r="CX37" i="5" s="1"/>
  <c r="DL37" i="5" s="1"/>
  <c r="DZ37" i="5" s="1"/>
  <c r="EN37" i="5" s="1"/>
  <c r="FB37" i="5" s="1"/>
  <c r="FP37" i="5" s="1"/>
  <c r="R30" i="5"/>
  <c r="N1353" i="4"/>
  <c r="O1353" i="4" s="1"/>
  <c r="V1145" i="4"/>
  <c r="Z1353" i="4"/>
  <c r="X1351" i="4"/>
  <c r="V1143" i="4"/>
  <c r="AE1143" i="4" s="1"/>
  <c r="AI1143" i="4" s="1"/>
  <c r="Z1351" i="4"/>
  <c r="W1349" i="4"/>
  <c r="V1141" i="4"/>
  <c r="Z1349" i="4"/>
  <c r="Q1347" i="4"/>
  <c r="R1347" i="4" s="1"/>
  <c r="V1139" i="4"/>
  <c r="Z1347" i="4"/>
  <c r="N1345" i="4"/>
  <c r="O1345" i="4" s="1"/>
  <c r="V1137" i="4"/>
  <c r="AE1137" i="4" s="1"/>
  <c r="AI1137" i="4" s="1"/>
  <c r="Z1345" i="4"/>
  <c r="X1343" i="4"/>
  <c r="V1135" i="4"/>
  <c r="Z1343" i="4"/>
  <c r="V509" i="4"/>
  <c r="W1341" i="4"/>
  <c r="V1133" i="4"/>
  <c r="Z1341" i="4"/>
  <c r="V299" i="4"/>
  <c r="Q1339" i="4"/>
  <c r="R1339" i="4" s="1"/>
  <c r="Z1339" i="4"/>
  <c r="V609" i="4"/>
  <c r="N1337" i="4"/>
  <c r="O1337" i="4" s="1"/>
  <c r="Z1337" i="4"/>
  <c r="V295" i="4"/>
  <c r="V503" i="4"/>
  <c r="X1335" i="4"/>
  <c r="Z1335" i="4"/>
  <c r="V605" i="4"/>
  <c r="W1333" i="4"/>
  <c r="Z1333" i="4"/>
  <c r="V499" i="4"/>
  <c r="Q1331" i="4"/>
  <c r="R1331" i="4" s="1"/>
  <c r="Z1331" i="4"/>
  <c r="N1329" i="4"/>
  <c r="O1329" i="4" s="1"/>
  <c r="Z1329" i="4"/>
  <c r="V287" i="4"/>
  <c r="W1327" i="4"/>
  <c r="T1327" i="4"/>
  <c r="V77" i="4"/>
  <c r="V285" i="4"/>
  <c r="W1325" i="4"/>
  <c r="T1325" i="4"/>
  <c r="W1323" i="4"/>
  <c r="T1323" i="4"/>
  <c r="W1321" i="4"/>
  <c r="T1321" i="4"/>
  <c r="W1319" i="4"/>
  <c r="T1319" i="4"/>
  <c r="W1317" i="4"/>
  <c r="T1317" i="4"/>
  <c r="W1315" i="4"/>
  <c r="T1315" i="4"/>
  <c r="W1313" i="4"/>
  <c r="T1313" i="4"/>
  <c r="W1311" i="4"/>
  <c r="T1311" i="4"/>
  <c r="W1309" i="4"/>
  <c r="T1309" i="4"/>
  <c r="W1307" i="4"/>
  <c r="T1307" i="4"/>
  <c r="W1305" i="4"/>
  <c r="T1305" i="4"/>
  <c r="W1303" i="4"/>
  <c r="T1303" i="4"/>
  <c r="W1301" i="4"/>
  <c r="T1301" i="4"/>
  <c r="W1299" i="4"/>
  <c r="T1299" i="4"/>
  <c r="W1297" i="4"/>
  <c r="T1297" i="4"/>
  <c r="W1295" i="4"/>
  <c r="T1295" i="4"/>
  <c r="W1293" i="4"/>
  <c r="T1293" i="4"/>
  <c r="W1291" i="4"/>
  <c r="T1291" i="4"/>
  <c r="W1289" i="4"/>
  <c r="T1289" i="4"/>
  <c r="W1287" i="4"/>
  <c r="T1287" i="4"/>
  <c r="W1285" i="4"/>
  <c r="T1285" i="4"/>
  <c r="W1283" i="4"/>
  <c r="T1283" i="4"/>
  <c r="W1281" i="4"/>
  <c r="T1281" i="4"/>
  <c r="W1279" i="4"/>
  <c r="T1279" i="4"/>
  <c r="W1277" i="4"/>
  <c r="T1277" i="4"/>
  <c r="W1275" i="4"/>
  <c r="T1275" i="4"/>
  <c r="W1273" i="4"/>
  <c r="T1273" i="4"/>
  <c r="W1271" i="4"/>
  <c r="T1271" i="4"/>
  <c r="W1269" i="4"/>
  <c r="T1269" i="4"/>
  <c r="W1267" i="4"/>
  <c r="T1267" i="4"/>
  <c r="W1265" i="4"/>
  <c r="T1265" i="4"/>
  <c r="W1263" i="4"/>
  <c r="T1263" i="4"/>
  <c r="W1261" i="4"/>
  <c r="T1261" i="4"/>
  <c r="W1259" i="4"/>
  <c r="T1259" i="4"/>
  <c r="W1257" i="4"/>
  <c r="T1257" i="4"/>
  <c r="AH22" i="8"/>
  <c r="BA46" i="5" s="1"/>
  <c r="F203" i="4"/>
  <c r="F619" i="4"/>
  <c r="F1035" i="4"/>
  <c r="F91" i="4"/>
  <c r="F403" i="4"/>
  <c r="F923" i="4"/>
  <c r="G90" i="19"/>
  <c r="AO90" i="14"/>
  <c r="F295" i="4"/>
  <c r="F815" i="4"/>
  <c r="C1335" i="4"/>
  <c r="F1231" i="4"/>
  <c r="F395" i="4"/>
  <c r="F811" i="4"/>
  <c r="C1331" i="4"/>
  <c r="F1227" i="4"/>
  <c r="F279" i="4"/>
  <c r="F695" i="4"/>
  <c r="F1111" i="4"/>
  <c r="D33" i="62"/>
  <c r="BH61" i="5"/>
  <c r="BV61" i="5" s="1"/>
  <c r="CJ61" i="5" s="1"/>
  <c r="CX61" i="5" s="1"/>
  <c r="DL61" i="5" s="1"/>
  <c r="DZ61" i="5" s="1"/>
  <c r="EN61" i="5" s="1"/>
  <c r="FB61" i="5" s="1"/>
  <c r="FP61" i="5" s="1"/>
  <c r="BH27" i="5"/>
  <c r="BV27" i="5" s="1"/>
  <c r="CJ27" i="5" s="1"/>
  <c r="CX27" i="5" s="1"/>
  <c r="DL27" i="5" s="1"/>
  <c r="DZ27" i="5" s="1"/>
  <c r="EN27" i="5" s="1"/>
  <c r="FB27" i="5" s="1"/>
  <c r="FP27" i="5" s="1"/>
  <c r="CE13" i="5"/>
  <c r="CQ13" i="5"/>
  <c r="DE13" i="5" s="1"/>
  <c r="DS13" i="5" s="1"/>
  <c r="EG13" i="5" s="1"/>
  <c r="AD138" i="16"/>
  <c r="AF132" i="16"/>
  <c r="EG21" i="62" s="1"/>
  <c r="AF120" i="16"/>
  <c r="EG40" i="5" s="1"/>
  <c r="AM614" i="45" s="1"/>
  <c r="AB120" i="16"/>
  <c r="CC40" i="5" s="1"/>
  <c r="CE40" i="5" s="1"/>
  <c r="X120" i="16"/>
  <c r="Y40" i="5" s="1"/>
  <c r="W614" i="45" s="1"/>
  <c r="AE120" i="16"/>
  <c r="DS40" i="5" s="1"/>
  <c r="AK614" i="45" s="1"/>
  <c r="AA120" i="16"/>
  <c r="BO40" i="5" s="1"/>
  <c r="AC614" i="45" s="1"/>
  <c r="W120" i="16"/>
  <c r="K40" i="5" s="1"/>
  <c r="AH120" i="16"/>
  <c r="FI40" i="5" s="1"/>
  <c r="AQ614" i="45" s="1"/>
  <c r="AD120" i="16"/>
  <c r="DE40" i="5" s="1"/>
  <c r="AI614" i="45" s="1"/>
  <c r="Z120" i="16"/>
  <c r="BA40" i="5" s="1"/>
  <c r="AA614" i="45" s="1"/>
  <c r="AG120" i="16"/>
  <c r="EU40" i="5" s="1"/>
  <c r="AO614" i="45" s="1"/>
  <c r="AC120" i="16"/>
  <c r="CQ40" i="5" s="1"/>
  <c r="AG614" i="45" s="1"/>
  <c r="Y120" i="16"/>
  <c r="AM40" i="5" s="1"/>
  <c r="AO40" i="5" s="1"/>
  <c r="BA30" i="5"/>
  <c r="AK22" i="8"/>
  <c r="CQ46" i="5" s="1"/>
  <c r="I12" i="24"/>
  <c r="F12" i="24"/>
  <c r="I12" i="25"/>
  <c r="F12" i="25"/>
  <c r="I6" i="25"/>
  <c r="F6" i="25"/>
  <c r="I6" i="24"/>
  <c r="F6" i="24"/>
  <c r="C4" i="24"/>
  <c r="C4" i="25"/>
  <c r="G104" i="4"/>
  <c r="G208" i="4" s="1"/>
  <c r="I104" i="14"/>
  <c r="F416" i="4"/>
  <c r="F832" i="4"/>
  <c r="C1352" i="4"/>
  <c r="F1248" i="4"/>
  <c r="G100" i="4"/>
  <c r="G204" i="4" s="1"/>
  <c r="I100" i="14"/>
  <c r="F412" i="4"/>
  <c r="F828" i="4"/>
  <c r="C1348" i="4"/>
  <c r="F1244" i="4"/>
  <c r="G96" i="4"/>
  <c r="G200" i="4" s="1"/>
  <c r="I96" i="14"/>
  <c r="F408" i="4"/>
  <c r="F824" i="4"/>
  <c r="C1344" i="4"/>
  <c r="F1240" i="4"/>
  <c r="G92" i="4"/>
  <c r="G196" i="4" s="1"/>
  <c r="I92" i="14"/>
  <c r="F404" i="4"/>
  <c r="F820" i="4"/>
  <c r="C1340" i="4"/>
  <c r="F1236" i="4"/>
  <c r="G88" i="4"/>
  <c r="G192" i="4" s="1"/>
  <c r="I88" i="14"/>
  <c r="F400" i="4"/>
  <c r="F920" i="4"/>
  <c r="C1336" i="4"/>
  <c r="F1232" i="4"/>
  <c r="G84" i="4"/>
  <c r="G188" i="4" s="1"/>
  <c r="I84" i="14"/>
  <c r="F396" i="4"/>
  <c r="F812" i="4"/>
  <c r="C1332" i="4"/>
  <c r="F1228" i="4"/>
  <c r="G80" i="4"/>
  <c r="G184" i="4" s="1"/>
  <c r="I80" i="14"/>
  <c r="F392" i="4"/>
  <c r="F808" i="4"/>
  <c r="C1328" i="4"/>
  <c r="F1224" i="4"/>
  <c r="F284" i="4"/>
  <c r="F700" i="4"/>
  <c r="F1116" i="4"/>
  <c r="F280" i="4"/>
  <c r="F696" i="4"/>
  <c r="F1112" i="4"/>
  <c r="G68" i="4"/>
  <c r="G172" i="4" s="1"/>
  <c r="I68" i="14"/>
  <c r="F380" i="4"/>
  <c r="F796" i="4"/>
  <c r="C1316" i="4"/>
  <c r="F1212" i="4"/>
  <c r="F272" i="4"/>
  <c r="F688" i="4"/>
  <c r="F1104" i="4"/>
  <c r="F268" i="4"/>
  <c r="F684" i="4"/>
  <c r="F1100" i="4"/>
  <c r="F264" i="4"/>
  <c r="F680" i="4"/>
  <c r="F1096" i="4"/>
  <c r="F260" i="4"/>
  <c r="F676" i="4"/>
  <c r="F1092" i="4"/>
  <c r="F256" i="4"/>
  <c r="F672" i="4"/>
  <c r="F1088" i="4"/>
  <c r="F252" i="4"/>
  <c r="F668" i="4"/>
  <c r="F1084" i="4"/>
  <c r="F248" i="4"/>
  <c r="F664" i="4"/>
  <c r="F1080" i="4"/>
  <c r="F140" i="4"/>
  <c r="F556" i="4"/>
  <c r="F972" i="4"/>
  <c r="F32" i="4"/>
  <c r="F448" i="4"/>
  <c r="F864" i="4"/>
  <c r="F28" i="4"/>
  <c r="F444" i="4"/>
  <c r="F860" i="4"/>
  <c r="N27" i="14"/>
  <c r="K27" i="14"/>
  <c r="AJ27" i="14"/>
  <c r="AL27" i="14" s="1"/>
  <c r="G24" i="4"/>
  <c r="G128" i="4" s="1"/>
  <c r="I24" i="14"/>
  <c r="F336" i="4"/>
  <c r="F752" i="4"/>
  <c r="C1272" i="4"/>
  <c r="F1168" i="4"/>
  <c r="F126" i="4"/>
  <c r="F542" i="4"/>
  <c r="F958" i="4"/>
  <c r="G21" i="4"/>
  <c r="G125" i="4" s="1"/>
  <c r="I21" i="14"/>
  <c r="F333" i="4"/>
  <c r="F749" i="4"/>
  <c r="C1269" i="4"/>
  <c r="F1165" i="4"/>
  <c r="F124" i="4"/>
  <c r="F540" i="4"/>
  <c r="F956" i="4"/>
  <c r="G19" i="4"/>
  <c r="G123" i="4" s="1"/>
  <c r="I19" i="14"/>
  <c r="F331" i="4"/>
  <c r="F747" i="4"/>
  <c r="C1267" i="4"/>
  <c r="F1163" i="4"/>
  <c r="F122" i="4"/>
  <c r="F538" i="4"/>
  <c r="F954" i="4"/>
  <c r="G17" i="4"/>
  <c r="G121" i="4" s="1"/>
  <c r="I17" i="14"/>
  <c r="F329" i="4"/>
  <c r="F745" i="4"/>
  <c r="C1265" i="4"/>
  <c r="F1161" i="4"/>
  <c r="F120" i="4"/>
  <c r="F536" i="4"/>
  <c r="F952" i="4"/>
  <c r="G15" i="4"/>
  <c r="G119" i="4" s="1"/>
  <c r="I15" i="14"/>
  <c r="F327" i="4"/>
  <c r="F743" i="4"/>
  <c r="C1263" i="4"/>
  <c r="F1159" i="4"/>
  <c r="F118" i="4"/>
  <c r="F534" i="4"/>
  <c r="F950" i="4"/>
  <c r="G13" i="4"/>
  <c r="G117" i="4" s="1"/>
  <c r="I13" i="14"/>
  <c r="F325" i="4"/>
  <c r="F741" i="4"/>
  <c r="C1261" i="4"/>
  <c r="F1157" i="4"/>
  <c r="F116" i="4"/>
  <c r="F532" i="4"/>
  <c r="F948" i="4"/>
  <c r="G11" i="4"/>
  <c r="G115" i="4" s="1"/>
  <c r="I11" i="14"/>
  <c r="F323" i="4"/>
  <c r="F739" i="4"/>
  <c r="C1259" i="4"/>
  <c r="F1155" i="4"/>
  <c r="F114" i="4"/>
  <c r="F530" i="4"/>
  <c r="F946" i="4"/>
  <c r="G9" i="4"/>
  <c r="G113" i="4" s="1"/>
  <c r="I9" i="14"/>
  <c r="F321" i="4"/>
  <c r="F737" i="4"/>
  <c r="C1257" i="4"/>
  <c r="F1153" i="4"/>
  <c r="F112" i="4"/>
  <c r="F528" i="4"/>
  <c r="F944" i="4"/>
  <c r="G7" i="4"/>
  <c r="G111" i="4" s="1"/>
  <c r="I7" i="14"/>
  <c r="F319" i="4"/>
  <c r="F735" i="4"/>
  <c r="C1255" i="4"/>
  <c r="F1151" i="4"/>
  <c r="C107" i="4"/>
  <c r="F6" i="4"/>
  <c r="C523" i="4"/>
  <c r="F422" i="4"/>
  <c r="C939" i="4"/>
  <c r="F838" i="4"/>
  <c r="F495" i="4"/>
  <c r="F703" i="4"/>
  <c r="F1119" i="4"/>
  <c r="G70" i="19"/>
  <c r="AO70" i="14"/>
  <c r="F275" i="4"/>
  <c r="F691" i="4"/>
  <c r="F1107" i="4"/>
  <c r="G58" i="19"/>
  <c r="AO58" i="14"/>
  <c r="F263" i="4"/>
  <c r="F679" i="4"/>
  <c r="F1095" i="4"/>
  <c r="F39" i="4"/>
  <c r="F455" i="4"/>
  <c r="F871" i="4"/>
  <c r="F27" i="4"/>
  <c r="F443" i="4"/>
  <c r="F859" i="4"/>
  <c r="F23" i="4"/>
  <c r="F439" i="4"/>
  <c r="F855" i="4"/>
  <c r="G22" i="19"/>
  <c r="AO22" i="14"/>
  <c r="G103" i="4"/>
  <c r="G207" i="4" s="1"/>
  <c r="I103" i="14"/>
  <c r="AJ91" i="14"/>
  <c r="AL91" i="14" s="1"/>
  <c r="AJ51" i="14"/>
  <c r="AL51" i="14" s="1"/>
  <c r="AG101" i="16"/>
  <c r="AC101" i="16"/>
  <c r="Y101" i="16"/>
  <c r="AF101" i="16"/>
  <c r="AB101" i="16"/>
  <c r="X101" i="16"/>
  <c r="AE101" i="16"/>
  <c r="AA101" i="16"/>
  <c r="W101" i="16"/>
  <c r="AH101" i="16"/>
  <c r="AD101" i="16"/>
  <c r="Z101" i="16"/>
  <c r="B93" i="19"/>
  <c r="AL92" i="19"/>
  <c r="AH92" i="19"/>
  <c r="AJ92" i="19"/>
  <c r="AF92" i="19"/>
  <c r="AG92" i="19"/>
  <c r="AM92" i="19"/>
  <c r="AK92" i="19"/>
  <c r="AI92" i="19"/>
  <c r="AG85" i="16"/>
  <c r="AC85" i="16"/>
  <c r="Y85" i="16"/>
  <c r="AF85" i="16"/>
  <c r="AB85" i="16"/>
  <c r="X85" i="16"/>
  <c r="AE85" i="16"/>
  <c r="AA85" i="16"/>
  <c r="W85" i="16"/>
  <c r="AH85" i="16"/>
  <c r="AD85" i="16"/>
  <c r="Z85" i="16"/>
  <c r="AM76" i="19"/>
  <c r="AI76" i="19"/>
  <c r="AL76" i="19"/>
  <c r="AH76" i="19"/>
  <c r="AK76" i="19"/>
  <c r="AG76" i="19"/>
  <c r="AJ76" i="19"/>
  <c r="AF76" i="19"/>
  <c r="AG69" i="16"/>
  <c r="AC69" i="16"/>
  <c r="Y69" i="16"/>
  <c r="AF69" i="16"/>
  <c r="AB69" i="16"/>
  <c r="X69" i="16"/>
  <c r="AE69" i="16"/>
  <c r="AA69" i="16"/>
  <c r="W69" i="16"/>
  <c r="AH69" i="16"/>
  <c r="AD69" i="16"/>
  <c r="Z69" i="16"/>
  <c r="B61" i="19"/>
  <c r="D61" i="19" s="1"/>
  <c r="AM60" i="19"/>
  <c r="AI60" i="19"/>
  <c r="AL60" i="19"/>
  <c r="AH60" i="19"/>
  <c r="AK60" i="19"/>
  <c r="AG60" i="19"/>
  <c r="AJ60" i="19"/>
  <c r="AF60" i="19"/>
  <c r="AG53" i="16"/>
  <c r="AC53" i="16"/>
  <c r="Y53" i="16"/>
  <c r="AF53" i="16"/>
  <c r="AB53" i="16"/>
  <c r="X53" i="16"/>
  <c r="AE53" i="16"/>
  <c r="AA53" i="16"/>
  <c r="W53" i="16"/>
  <c r="AH53" i="16"/>
  <c r="AD53" i="16"/>
  <c r="Z53" i="16"/>
  <c r="B45" i="19"/>
  <c r="AM44" i="19"/>
  <c r="AI44" i="19"/>
  <c r="AL44" i="19"/>
  <c r="AH44" i="19"/>
  <c r="AK44" i="19"/>
  <c r="AG44" i="19"/>
  <c r="AJ44" i="19"/>
  <c r="AF44" i="19"/>
  <c r="AG103" i="16"/>
  <c r="AC103" i="16"/>
  <c r="Y103" i="16"/>
  <c r="AF103" i="16"/>
  <c r="AB103" i="16"/>
  <c r="X103" i="16"/>
  <c r="AE103" i="16"/>
  <c r="AA103" i="16"/>
  <c r="W103" i="16"/>
  <c r="AH103" i="16"/>
  <c r="AD103" i="16"/>
  <c r="Z103" i="16"/>
  <c r="B95" i="19"/>
  <c r="AG87" i="16"/>
  <c r="AC87" i="16"/>
  <c r="Y87" i="16"/>
  <c r="AF87" i="16"/>
  <c r="AB87" i="16"/>
  <c r="X87" i="16"/>
  <c r="AE87" i="16"/>
  <c r="AA87" i="16"/>
  <c r="W87" i="16"/>
  <c r="AH87" i="16"/>
  <c r="AD87" i="16"/>
  <c r="Z87" i="16"/>
  <c r="B79" i="19"/>
  <c r="AG63" i="16"/>
  <c r="AC63" i="16"/>
  <c r="Y63" i="16"/>
  <c r="AF63" i="16"/>
  <c r="AB63" i="16"/>
  <c r="X63" i="16"/>
  <c r="AE63" i="16"/>
  <c r="AA63" i="16"/>
  <c r="W63" i="16"/>
  <c r="AH63" i="16"/>
  <c r="AD63" i="16"/>
  <c r="Z63" i="16"/>
  <c r="AG59" i="16"/>
  <c r="AC59" i="16"/>
  <c r="Y59" i="16"/>
  <c r="AF59" i="16"/>
  <c r="AB59" i="16"/>
  <c r="X59" i="16"/>
  <c r="AE59" i="16"/>
  <c r="AA59" i="16"/>
  <c r="W59" i="16"/>
  <c r="AH59" i="16"/>
  <c r="AD59" i="16"/>
  <c r="Z59" i="16"/>
  <c r="AG55" i="16"/>
  <c r="AC55" i="16"/>
  <c r="Y55" i="16"/>
  <c r="AF55" i="16"/>
  <c r="AB55" i="16"/>
  <c r="X55" i="16"/>
  <c r="AE55" i="16"/>
  <c r="AA55" i="16"/>
  <c r="W55" i="16"/>
  <c r="AH55" i="16"/>
  <c r="AD55" i="16"/>
  <c r="Z55" i="16"/>
  <c r="AG51" i="16"/>
  <c r="AC51" i="16"/>
  <c r="Y51" i="16"/>
  <c r="AF51" i="16"/>
  <c r="AB51" i="16"/>
  <c r="X51" i="16"/>
  <c r="AE51" i="16"/>
  <c r="AA51" i="16"/>
  <c r="W51" i="16"/>
  <c r="AH51" i="16"/>
  <c r="AD51" i="16"/>
  <c r="Z51" i="16"/>
  <c r="B43" i="19"/>
  <c r="D43" i="19" s="1"/>
  <c r="AG35" i="16"/>
  <c r="AC35" i="16"/>
  <c r="Y35" i="16"/>
  <c r="AF35" i="16"/>
  <c r="AB35" i="16"/>
  <c r="X35" i="16"/>
  <c r="AE35" i="16"/>
  <c r="AA35" i="16"/>
  <c r="W35" i="16"/>
  <c r="AH35" i="16"/>
  <c r="AD35" i="16"/>
  <c r="Z35" i="16"/>
  <c r="AM27" i="14"/>
  <c r="B27" i="19"/>
  <c r="D27" i="19" s="1"/>
  <c r="V172" i="16"/>
  <c r="V168" i="16"/>
  <c r="V164" i="16"/>
  <c r="AG138" i="16"/>
  <c r="AG160" i="16"/>
  <c r="AB9" i="20" s="1"/>
  <c r="W160" i="16"/>
  <c r="G105" i="4"/>
  <c r="G209" i="4" s="1"/>
  <c r="I105" i="14"/>
  <c r="AJ93" i="14"/>
  <c r="AL93" i="14" s="1"/>
  <c r="AM93" i="14" s="1"/>
  <c r="G89" i="4"/>
  <c r="G193" i="4" s="1"/>
  <c r="I89" i="14"/>
  <c r="AJ77" i="14"/>
  <c r="AL77" i="14" s="1"/>
  <c r="G73" i="4"/>
  <c r="G177" i="4" s="1"/>
  <c r="I73" i="14"/>
  <c r="AJ61" i="14"/>
  <c r="AL61" i="14" s="1"/>
  <c r="G57" i="4"/>
  <c r="G161" i="4" s="1"/>
  <c r="I57" i="14"/>
  <c r="AJ45" i="14"/>
  <c r="AL45" i="14" s="1"/>
  <c r="G41" i="4"/>
  <c r="G145" i="4" s="1"/>
  <c r="I41" i="14"/>
  <c r="AJ29" i="14"/>
  <c r="AL29" i="14" s="1"/>
  <c r="G25" i="4"/>
  <c r="G129" i="4" s="1"/>
  <c r="I25" i="14"/>
  <c r="G31" i="4"/>
  <c r="G135" i="4" s="1"/>
  <c r="I31" i="14"/>
  <c r="B37" i="19"/>
  <c r="AG29" i="16"/>
  <c r="AC29" i="16"/>
  <c r="Y29" i="16"/>
  <c r="AF29" i="16"/>
  <c r="AB29" i="16"/>
  <c r="X29" i="16"/>
  <c r="AE29" i="16"/>
  <c r="AA29" i="16"/>
  <c r="W29" i="16"/>
  <c r="AH29" i="16"/>
  <c r="AD29" i="16"/>
  <c r="Z29" i="16"/>
  <c r="J3" i="29"/>
  <c r="X519" i="45"/>
  <c r="X517" i="45"/>
  <c r="X513" i="45"/>
  <c r="X509" i="45"/>
  <c r="Y529" i="45"/>
  <c r="X531" i="45"/>
  <c r="X530" i="45"/>
  <c r="I14" i="22"/>
  <c r="F14" i="22"/>
  <c r="I8" i="21"/>
  <c r="F8" i="21"/>
  <c r="AF55" i="5"/>
  <c r="I15" i="26"/>
  <c r="F15" i="26"/>
  <c r="I7" i="26"/>
  <c r="F7" i="26"/>
  <c r="AO28" i="62"/>
  <c r="BA28" i="62"/>
  <c r="BO28" i="62" s="1"/>
  <c r="CC28" i="62" s="1"/>
  <c r="CQ28" i="62" s="1"/>
  <c r="AM43" i="62"/>
  <c r="BA51" i="5"/>
  <c r="I14" i="21"/>
  <c r="F14" i="21"/>
  <c r="BO45" i="5"/>
  <c r="BA47" i="5"/>
  <c r="CX13" i="5"/>
  <c r="DL13" i="5" s="1"/>
  <c r="DZ13" i="5" s="1"/>
  <c r="EN13" i="5" s="1"/>
  <c r="K47" i="62"/>
  <c r="K23" i="62"/>
  <c r="R21" i="62"/>
  <c r="AG121" i="16"/>
  <c r="EU41" i="5" s="1"/>
  <c r="AO615" i="45" s="1"/>
  <c r="AC121" i="16"/>
  <c r="CQ41" i="5" s="1"/>
  <c r="AG615" i="45" s="1"/>
  <c r="Y121" i="16"/>
  <c r="AM41" i="5" s="1"/>
  <c r="AO41" i="5" s="1"/>
  <c r="AF121" i="16"/>
  <c r="EG41" i="5" s="1"/>
  <c r="AM615" i="45" s="1"/>
  <c r="AB121" i="16"/>
  <c r="CC41" i="5" s="1"/>
  <c r="CE41" i="5" s="1"/>
  <c r="X121" i="16"/>
  <c r="Y41" i="5" s="1"/>
  <c r="W615" i="45" s="1"/>
  <c r="AE121" i="16"/>
  <c r="DS41" i="5" s="1"/>
  <c r="AK615" i="45" s="1"/>
  <c r="AA121" i="16"/>
  <c r="BO41" i="5" s="1"/>
  <c r="AC615" i="45" s="1"/>
  <c r="W121" i="16"/>
  <c r="K41" i="5" s="1"/>
  <c r="AH121" i="16"/>
  <c r="FI41" i="5" s="1"/>
  <c r="AQ615" i="45" s="1"/>
  <c r="AD121" i="16"/>
  <c r="DE41" i="5" s="1"/>
  <c r="AI615" i="45" s="1"/>
  <c r="Z121" i="16"/>
  <c r="BA41" i="5" s="1"/>
  <c r="AA615" i="45" s="1"/>
  <c r="K29" i="62"/>
  <c r="R26" i="62"/>
  <c r="AF26" i="62" s="1"/>
  <c r="AT26" i="62" s="1"/>
  <c r="BH26" i="62" s="1"/>
  <c r="BV26" i="62" s="1"/>
  <c r="CJ26" i="62" s="1"/>
  <c r="CX26" i="62" s="1"/>
  <c r="DL26" i="62" s="1"/>
  <c r="DZ26" i="62" s="1"/>
  <c r="EN26" i="62" s="1"/>
  <c r="FB26" i="62" s="1"/>
  <c r="FP26" i="62" s="1"/>
  <c r="D26" i="62"/>
  <c r="T1354" i="4"/>
  <c r="Z1354" i="4"/>
  <c r="W1354" i="4"/>
  <c r="Z1352" i="4"/>
  <c r="T1352" i="4"/>
  <c r="W1352" i="4"/>
  <c r="W1350" i="4"/>
  <c r="Z1348" i="4"/>
  <c r="T1348" i="4"/>
  <c r="W1348" i="4"/>
  <c r="T1346" i="4"/>
  <c r="Z1346" i="4"/>
  <c r="W1346" i="4"/>
  <c r="Z1344" i="4"/>
  <c r="T1344" i="4"/>
  <c r="W1344" i="4"/>
  <c r="W1342" i="4"/>
  <c r="V404" i="4"/>
  <c r="Z1340" i="4"/>
  <c r="T1340" i="4"/>
  <c r="W1340" i="4"/>
  <c r="V402" i="4"/>
  <c r="Z1338" i="4"/>
  <c r="W1338" i="4"/>
  <c r="V400" i="4"/>
  <c r="V816" i="4"/>
  <c r="V920" i="4"/>
  <c r="T1336" i="4"/>
  <c r="W1336" i="4"/>
  <c r="V398" i="4"/>
  <c r="V710" i="4"/>
  <c r="T1334" i="4"/>
  <c r="W1334" i="4"/>
  <c r="V396" i="4"/>
  <c r="T1332" i="4"/>
  <c r="W1332" i="4"/>
  <c r="Z1330" i="4"/>
  <c r="W1330" i="4"/>
  <c r="T1328" i="4"/>
  <c r="W1328" i="4"/>
  <c r="Z1326" i="4"/>
  <c r="X1326" i="4"/>
  <c r="Z1324" i="4"/>
  <c r="X1324" i="4"/>
  <c r="Z1322" i="4"/>
  <c r="X1322" i="4"/>
  <c r="Z1320" i="4"/>
  <c r="X1320" i="4"/>
  <c r="Z1318" i="4"/>
  <c r="X1318" i="4"/>
  <c r="Z1316" i="4"/>
  <c r="X1316" i="4"/>
  <c r="Z1314" i="4"/>
  <c r="X1314" i="4"/>
  <c r="Z1312" i="4"/>
  <c r="X1312" i="4"/>
  <c r="Z1310" i="4"/>
  <c r="X1310" i="4"/>
  <c r="V60" i="4"/>
  <c r="V268" i="4"/>
  <c r="Z1308" i="4"/>
  <c r="X1308" i="4"/>
  <c r="Z1306" i="4"/>
  <c r="X1306" i="4"/>
  <c r="Z1304" i="4"/>
  <c r="X1304" i="4"/>
  <c r="Z1302" i="4"/>
  <c r="X1302" i="4"/>
  <c r="Z1300" i="4"/>
  <c r="X1300" i="4"/>
  <c r="Z1298" i="4"/>
  <c r="X1298" i="4"/>
  <c r="Z1296" i="4"/>
  <c r="X1296" i="4"/>
  <c r="Z1294" i="4"/>
  <c r="X1294" i="4"/>
  <c r="Z1292" i="4"/>
  <c r="X1292" i="4"/>
  <c r="Z1290" i="4"/>
  <c r="X1290" i="4"/>
  <c r="Z1288" i="4"/>
  <c r="X1288" i="4"/>
  <c r="Z1286" i="4"/>
  <c r="X1286" i="4"/>
  <c r="Z1284" i="4"/>
  <c r="X1284" i="4"/>
  <c r="Z1282" i="4"/>
  <c r="X1282" i="4"/>
  <c r="Z1280" i="4"/>
  <c r="X1280" i="4"/>
  <c r="Z1278" i="4"/>
  <c r="X1278" i="4"/>
  <c r="Z1276" i="4"/>
  <c r="X1276" i="4"/>
  <c r="Z1274" i="4"/>
  <c r="X1274" i="4"/>
  <c r="Z1272" i="4"/>
  <c r="X1272" i="4"/>
  <c r="Z1270" i="4"/>
  <c r="X1270" i="4"/>
  <c r="Z1268" i="4"/>
  <c r="X1268" i="4"/>
  <c r="Z1266" i="4"/>
  <c r="X1266" i="4"/>
  <c r="Z1264" i="4"/>
  <c r="X1264" i="4"/>
  <c r="Z1262" i="4"/>
  <c r="X1262" i="4"/>
  <c r="Z1260" i="4"/>
  <c r="X1260" i="4"/>
  <c r="Z1258" i="4"/>
  <c r="X1258" i="4"/>
  <c r="Z1256" i="4"/>
  <c r="X1256" i="4"/>
  <c r="Z107" i="4"/>
  <c r="X107" i="4"/>
  <c r="T315" i="4"/>
  <c r="Z315" i="4"/>
  <c r="W315" i="4"/>
  <c r="X315" i="4"/>
  <c r="W523" i="4"/>
  <c r="X523" i="4"/>
  <c r="T523" i="4"/>
  <c r="Z523" i="4"/>
  <c r="Z731" i="4"/>
  <c r="W731" i="4"/>
  <c r="X731" i="4"/>
  <c r="T731" i="4"/>
  <c r="X939" i="4"/>
  <c r="T939" i="4"/>
  <c r="Z939" i="4"/>
  <c r="W939" i="4"/>
  <c r="W1043" i="4"/>
  <c r="T1043" i="4"/>
  <c r="Z1147" i="4"/>
  <c r="X1147" i="4"/>
  <c r="Z1254" i="4"/>
  <c r="Z1251" i="4"/>
  <c r="X1251" i="4"/>
  <c r="X1254" i="4"/>
  <c r="I9" i="21"/>
  <c r="F9" i="21"/>
  <c r="C9" i="18"/>
  <c r="D9" i="17"/>
  <c r="H209" i="4"/>
  <c r="AE825" i="4"/>
  <c r="AI825" i="4" s="1"/>
  <c r="C1345" i="4"/>
  <c r="F1241" i="4"/>
  <c r="AE301" i="4"/>
  <c r="AI301" i="4" s="1"/>
  <c r="AE717" i="4"/>
  <c r="AI717" i="4" s="1"/>
  <c r="AE1133" i="4"/>
  <c r="AI1133" i="4" s="1"/>
  <c r="H193" i="4"/>
  <c r="AE713" i="4"/>
  <c r="AI713" i="4" s="1"/>
  <c r="AE917" i="4"/>
  <c r="AI917" i="4" s="1"/>
  <c r="AE289" i="4"/>
  <c r="AI289" i="4" s="1"/>
  <c r="C1329" i="4"/>
  <c r="F1225" i="4"/>
  <c r="AE285" i="4"/>
  <c r="AI285" i="4" s="1"/>
  <c r="H177" i="4"/>
  <c r="AE901" i="4"/>
  <c r="AI901" i="4" s="1"/>
  <c r="AE793" i="4"/>
  <c r="AI793" i="4" s="1"/>
  <c r="C1313" i="4"/>
  <c r="F1209" i="4"/>
  <c r="H161" i="4"/>
  <c r="AE885" i="4"/>
  <c r="AI885" i="4" s="1"/>
  <c r="AE777" i="4"/>
  <c r="AI777" i="4" s="1"/>
  <c r="C1297" i="4"/>
  <c r="F1193" i="4"/>
  <c r="H145" i="4"/>
  <c r="AE869" i="4"/>
  <c r="AI869" i="4" s="1"/>
  <c r="AE761" i="4"/>
  <c r="AI761" i="4" s="1"/>
  <c r="C1281" i="4"/>
  <c r="F1177" i="4"/>
  <c r="H129" i="4"/>
  <c r="BH45" i="5"/>
  <c r="BV45" i="5" s="1"/>
  <c r="X138" i="16"/>
  <c r="Z132" i="16"/>
  <c r="BA21" i="62" s="1"/>
  <c r="AH118" i="16"/>
  <c r="FI38" i="5" s="1"/>
  <c r="AQ612" i="45" s="1"/>
  <c r="AD118" i="16"/>
  <c r="DE38" i="5" s="1"/>
  <c r="AI612" i="45" s="1"/>
  <c r="Z118" i="16"/>
  <c r="BA38" i="5" s="1"/>
  <c r="AA612" i="45" s="1"/>
  <c r="AG118" i="16"/>
  <c r="EU38" i="5" s="1"/>
  <c r="AO612" i="45" s="1"/>
  <c r="AC118" i="16"/>
  <c r="CQ38" i="5" s="1"/>
  <c r="AG612" i="45" s="1"/>
  <c r="Y118" i="16"/>
  <c r="AM38" i="5" s="1"/>
  <c r="AO38" i="5" s="1"/>
  <c r="AF118" i="16"/>
  <c r="EG38" i="5" s="1"/>
  <c r="AM612" i="45" s="1"/>
  <c r="AB118" i="16"/>
  <c r="CC38" i="5" s="1"/>
  <c r="CE38" i="5" s="1"/>
  <c r="X118" i="16"/>
  <c r="Y38" i="5" s="1"/>
  <c r="W612" i="45" s="1"/>
  <c r="AE118" i="16"/>
  <c r="DS38" i="5" s="1"/>
  <c r="AK612" i="45" s="1"/>
  <c r="AA118" i="16"/>
  <c r="BO38" i="5" s="1"/>
  <c r="AC612" i="45" s="1"/>
  <c r="W118" i="16"/>
  <c r="K38" i="5" s="1"/>
  <c r="Y30" i="5"/>
  <c r="AI22" i="8"/>
  <c r="BO46" i="5" s="1"/>
  <c r="I10" i="25"/>
  <c r="F10" i="25"/>
  <c r="I10" i="24"/>
  <c r="F10" i="24"/>
  <c r="F210" i="4"/>
  <c r="F626" i="4"/>
  <c r="F1042" i="4"/>
  <c r="F206" i="4"/>
  <c r="F622" i="4"/>
  <c r="F1038" i="4"/>
  <c r="F202" i="4"/>
  <c r="F618" i="4"/>
  <c r="F1034" i="4"/>
  <c r="F198" i="4"/>
  <c r="F614" i="4"/>
  <c r="F1030" i="4"/>
  <c r="F194" i="4"/>
  <c r="F610" i="4"/>
  <c r="F1026" i="4"/>
  <c r="F190" i="4"/>
  <c r="F606" i="4"/>
  <c r="F1022" i="4"/>
  <c r="F186" i="4"/>
  <c r="F602" i="4"/>
  <c r="F1018" i="4"/>
  <c r="F182" i="4"/>
  <c r="F598" i="4"/>
  <c r="F1014" i="4"/>
  <c r="F282" i="4"/>
  <c r="F698" i="4"/>
  <c r="F1114" i="4"/>
  <c r="F278" i="4"/>
  <c r="F694" i="4"/>
  <c r="F1110" i="4"/>
  <c r="F274" i="4"/>
  <c r="F690" i="4"/>
  <c r="F1106" i="4"/>
  <c r="G62" i="4"/>
  <c r="G166" i="4" s="1"/>
  <c r="I62" i="14"/>
  <c r="F374" i="4"/>
  <c r="F790" i="4"/>
  <c r="C1310" i="4"/>
  <c r="F1206" i="4"/>
  <c r="F58" i="4"/>
  <c r="F474" i="4"/>
  <c r="F890" i="4"/>
  <c r="F54" i="4"/>
  <c r="F470" i="4"/>
  <c r="F886" i="4"/>
  <c r="F50" i="4"/>
  <c r="F466" i="4"/>
  <c r="F882" i="4"/>
  <c r="F46" i="4"/>
  <c r="F462" i="4"/>
  <c r="F878" i="4"/>
  <c r="F42" i="4"/>
  <c r="F458" i="4"/>
  <c r="F874" i="4"/>
  <c r="F38" i="4"/>
  <c r="F454" i="4"/>
  <c r="F870" i="4"/>
  <c r="F138" i="4"/>
  <c r="F554" i="4"/>
  <c r="F970" i="4"/>
  <c r="F134" i="4"/>
  <c r="F550" i="4"/>
  <c r="F966" i="4"/>
  <c r="F130" i="4"/>
  <c r="F546" i="4"/>
  <c r="F962" i="4"/>
  <c r="W1255" i="4"/>
  <c r="T1255" i="4"/>
  <c r="I11" i="22"/>
  <c r="F11" i="22"/>
  <c r="I11" i="23"/>
  <c r="F11" i="23"/>
  <c r="I5" i="23"/>
  <c r="F5" i="23"/>
  <c r="I5" i="22"/>
  <c r="F5" i="22"/>
  <c r="AE831" i="4"/>
  <c r="AI831" i="4" s="1"/>
  <c r="C1351" i="4"/>
  <c r="F1247" i="4"/>
  <c r="AE303" i="4"/>
  <c r="AI303" i="4" s="1"/>
  <c r="AE719" i="4"/>
  <c r="AI719" i="4" s="1"/>
  <c r="AE1135" i="4"/>
  <c r="AI1135" i="4" s="1"/>
  <c r="AE883" i="4"/>
  <c r="AI883" i="4" s="1"/>
  <c r="AE879" i="4"/>
  <c r="AI879" i="4" s="1"/>
  <c r="AE875" i="4"/>
  <c r="AI875" i="4" s="1"/>
  <c r="G42" i="19"/>
  <c r="AO42" i="14"/>
  <c r="H135" i="4"/>
  <c r="D18" i="25"/>
  <c r="BO54" i="5"/>
  <c r="BA55" i="5"/>
  <c r="D27" i="5"/>
  <c r="D19" i="5"/>
  <c r="AH167" i="16"/>
  <c r="AD167" i="16"/>
  <c r="Z167" i="16"/>
  <c r="AG167" i="16"/>
  <c r="AC167" i="16"/>
  <c r="Y167" i="16"/>
  <c r="U167" i="16"/>
  <c r="E188" i="16"/>
  <c r="AF167" i="16"/>
  <c r="AB167" i="16"/>
  <c r="X167" i="16"/>
  <c r="AE167" i="16"/>
  <c r="AA167" i="16"/>
  <c r="W167" i="16"/>
  <c r="AE138" i="16"/>
  <c r="AF32" i="5"/>
  <c r="AT32" i="5" s="1"/>
  <c r="BH32" i="5" s="1"/>
  <c r="BV32" i="5" s="1"/>
  <c r="CJ32" i="5" s="1"/>
  <c r="CX32" i="5" s="1"/>
  <c r="DL32" i="5" s="1"/>
  <c r="DZ32" i="5" s="1"/>
  <c r="EN32" i="5" s="1"/>
  <c r="FB32" i="5" s="1"/>
  <c r="FP32" i="5" s="1"/>
  <c r="D31" i="5"/>
  <c r="D30" i="5" s="1"/>
  <c r="V209" i="4"/>
  <c r="AE209" i="4" s="1"/>
  <c r="AI209" i="4" s="1"/>
  <c r="V417" i="4"/>
  <c r="V625" i="4"/>
  <c r="AE625" i="4" s="1"/>
  <c r="AI625" i="4" s="1"/>
  <c r="V1041" i="4"/>
  <c r="AE1041" i="4" s="1"/>
  <c r="AI1041" i="4" s="1"/>
  <c r="X1353" i="4"/>
  <c r="E1353" i="4"/>
  <c r="V207" i="4"/>
  <c r="V415" i="4"/>
  <c r="AE415" i="4" s="1"/>
  <c r="AI415" i="4" s="1"/>
  <c r="V623" i="4"/>
  <c r="V1039" i="4"/>
  <c r="W1351" i="4"/>
  <c r="E1351" i="4"/>
  <c r="V205" i="4"/>
  <c r="V413" i="4"/>
  <c r="AE413" i="4" s="1"/>
  <c r="AI413" i="4" s="1"/>
  <c r="V621" i="4"/>
  <c r="V1037" i="4"/>
  <c r="Q1349" i="4"/>
  <c r="R1349" i="4" s="1"/>
  <c r="E1349" i="4"/>
  <c r="V203" i="4"/>
  <c r="V411" i="4"/>
  <c r="V619" i="4"/>
  <c r="V1035" i="4"/>
  <c r="N1347" i="4"/>
  <c r="O1347" i="4" s="1"/>
  <c r="E1347" i="4"/>
  <c r="V201" i="4"/>
  <c r="V409" i="4"/>
  <c r="AE409" i="4" s="1"/>
  <c r="AI409" i="4" s="1"/>
  <c r="V617" i="4"/>
  <c r="V1033" i="4"/>
  <c r="X1345" i="4"/>
  <c r="E1345" i="4"/>
  <c r="V199" i="4"/>
  <c r="AE199" i="4" s="1"/>
  <c r="AI199" i="4" s="1"/>
  <c r="V407" i="4"/>
  <c r="V615" i="4"/>
  <c r="AE615" i="4" s="1"/>
  <c r="AI615" i="4" s="1"/>
  <c r="V1031" i="4"/>
  <c r="AE1031" i="4" s="1"/>
  <c r="AI1031" i="4" s="1"/>
  <c r="W1343" i="4"/>
  <c r="E1343" i="4"/>
  <c r="V197" i="4"/>
  <c r="AE197" i="4" s="1"/>
  <c r="AI197" i="4" s="1"/>
  <c r="V405" i="4"/>
  <c r="V1029" i="4"/>
  <c r="AE1029" i="4" s="1"/>
  <c r="AI1029" i="4" s="1"/>
  <c r="Q1341" i="4"/>
  <c r="R1341" i="4" s="1"/>
  <c r="E1341" i="4"/>
  <c r="V195" i="4"/>
  <c r="V507" i="4"/>
  <c r="V1131" i="4"/>
  <c r="W1339" i="4"/>
  <c r="E1339" i="4"/>
  <c r="V193" i="4"/>
  <c r="AE193" i="4" s="1"/>
  <c r="AI193" i="4" s="1"/>
  <c r="V401" i="4"/>
  <c r="V817" i="4"/>
  <c r="V1129" i="4"/>
  <c r="Q1337" i="4"/>
  <c r="R1337" i="4" s="1"/>
  <c r="E1337" i="4"/>
  <c r="V191" i="4"/>
  <c r="V919" i="4"/>
  <c r="V1127" i="4"/>
  <c r="N1335" i="4"/>
  <c r="O1335" i="4" s="1"/>
  <c r="E1335" i="4"/>
  <c r="V189" i="4"/>
  <c r="V397" i="4"/>
  <c r="AE397" i="4" s="1"/>
  <c r="AI397" i="4" s="1"/>
  <c r="V813" i="4"/>
  <c r="AE813" i="4" s="1"/>
  <c r="AI813" i="4" s="1"/>
  <c r="V1125" i="4"/>
  <c r="X1333" i="4"/>
  <c r="E1333" i="4"/>
  <c r="V187" i="4"/>
  <c r="V291" i="4"/>
  <c r="V811" i="4"/>
  <c r="V1123" i="4"/>
  <c r="W1331" i="4"/>
  <c r="E1331" i="4"/>
  <c r="V185" i="4"/>
  <c r="V393" i="4"/>
  <c r="V601" i="4"/>
  <c r="V809" i="4"/>
  <c r="AE809" i="4" s="1"/>
  <c r="AI809" i="4" s="1"/>
  <c r="V1121" i="4"/>
  <c r="AE1121" i="4" s="1"/>
  <c r="AI1121" i="4" s="1"/>
  <c r="Q1329" i="4"/>
  <c r="R1329" i="4" s="1"/>
  <c r="E1329" i="4"/>
  <c r="V183" i="4"/>
  <c r="V495" i="4"/>
  <c r="V703" i="4"/>
  <c r="V1119" i="4"/>
  <c r="Q1327" i="4"/>
  <c r="R1327" i="4" s="1"/>
  <c r="K1327" i="4"/>
  <c r="L1327" i="4" s="1"/>
  <c r="V1223" i="4"/>
  <c r="V493" i="4"/>
  <c r="V701" i="4"/>
  <c r="AE701" i="4" s="1"/>
  <c r="AI701" i="4" s="1"/>
  <c r="V1117" i="4"/>
  <c r="AE1117" i="4" s="1"/>
  <c r="AI1117" i="4" s="1"/>
  <c r="Q1325" i="4"/>
  <c r="R1325" i="4" s="1"/>
  <c r="K1325" i="4"/>
  <c r="L1325" i="4" s="1"/>
  <c r="V1221" i="4"/>
  <c r="V75" i="4"/>
  <c r="V283" i="4"/>
  <c r="AE283" i="4" s="1"/>
  <c r="AI283" i="4" s="1"/>
  <c r="V491" i="4"/>
  <c r="V699" i="4"/>
  <c r="AE699" i="4" s="1"/>
  <c r="AI699" i="4" s="1"/>
  <c r="V1115" i="4"/>
  <c r="AE1115" i="4" s="1"/>
  <c r="AI1115" i="4" s="1"/>
  <c r="Q1323" i="4"/>
  <c r="R1323" i="4" s="1"/>
  <c r="K1323" i="4"/>
  <c r="L1323" i="4" s="1"/>
  <c r="V1219" i="4"/>
  <c r="V73" i="4"/>
  <c r="AE73" i="4" s="1"/>
  <c r="AI73" i="4" s="1"/>
  <c r="V281" i="4"/>
  <c r="V489" i="4"/>
  <c r="AE489" i="4" s="1"/>
  <c r="AI489" i="4" s="1"/>
  <c r="V697" i="4"/>
  <c r="V1113" i="4"/>
  <c r="Q1321" i="4"/>
  <c r="R1321" i="4" s="1"/>
  <c r="K1321" i="4"/>
  <c r="L1321" i="4" s="1"/>
  <c r="V1217" i="4"/>
  <c r="V71" i="4"/>
  <c r="V279" i="4"/>
  <c r="V695" i="4"/>
  <c r="V1111" i="4"/>
  <c r="Q1319" i="4"/>
  <c r="R1319" i="4" s="1"/>
  <c r="K1319" i="4"/>
  <c r="L1319" i="4" s="1"/>
  <c r="V1215" i="4"/>
  <c r="V69" i="4"/>
  <c r="AE69" i="4" s="1"/>
  <c r="AI69" i="4" s="1"/>
  <c r="V277" i="4"/>
  <c r="V485" i="4"/>
  <c r="AE485" i="4" s="1"/>
  <c r="AI485" i="4" s="1"/>
  <c r="V693" i="4"/>
  <c r="V1109" i="4"/>
  <c r="Q1317" i="4"/>
  <c r="R1317" i="4" s="1"/>
  <c r="K1317" i="4"/>
  <c r="L1317" i="4" s="1"/>
  <c r="V1213" i="4"/>
  <c r="V67" i="4"/>
  <c r="V275" i="4"/>
  <c r="V691" i="4"/>
  <c r="V1107" i="4"/>
  <c r="Q1315" i="4"/>
  <c r="R1315" i="4" s="1"/>
  <c r="K1315" i="4"/>
  <c r="L1315" i="4" s="1"/>
  <c r="V1211" i="4"/>
  <c r="V65" i="4"/>
  <c r="V273" i="4"/>
  <c r="AE273" i="4" s="1"/>
  <c r="AI273" i="4" s="1"/>
  <c r="V481" i="4"/>
  <c r="V689" i="4"/>
  <c r="AE689" i="4" s="1"/>
  <c r="AI689" i="4" s="1"/>
  <c r="V1105" i="4"/>
  <c r="AE1105" i="4" s="1"/>
  <c r="AI1105" i="4" s="1"/>
  <c r="Q1313" i="4"/>
  <c r="R1313" i="4" s="1"/>
  <c r="K1313" i="4"/>
  <c r="L1313" i="4" s="1"/>
  <c r="V1209" i="4"/>
  <c r="V63" i="4"/>
  <c r="V271" i="4"/>
  <c r="AE271" i="4" s="1"/>
  <c r="AI271" i="4" s="1"/>
  <c r="V479" i="4"/>
  <c r="V687" i="4"/>
  <c r="AE687" i="4" s="1"/>
  <c r="AI687" i="4" s="1"/>
  <c r="V1103" i="4"/>
  <c r="AE1103" i="4" s="1"/>
  <c r="AI1103" i="4" s="1"/>
  <c r="Q1311" i="4"/>
  <c r="R1311" i="4" s="1"/>
  <c r="K1311" i="4"/>
  <c r="L1311" i="4" s="1"/>
  <c r="V1207" i="4"/>
  <c r="V61" i="4"/>
  <c r="V269" i="4"/>
  <c r="AE269" i="4" s="1"/>
  <c r="AI269" i="4" s="1"/>
  <c r="V477" i="4"/>
  <c r="V685" i="4"/>
  <c r="AE685" i="4" s="1"/>
  <c r="AI685" i="4" s="1"/>
  <c r="V1101" i="4"/>
  <c r="AE1101" i="4" s="1"/>
  <c r="AI1101" i="4" s="1"/>
  <c r="Q1309" i="4"/>
  <c r="R1309" i="4" s="1"/>
  <c r="K1309" i="4"/>
  <c r="L1309" i="4" s="1"/>
  <c r="V1205" i="4"/>
  <c r="V267" i="4"/>
  <c r="AE267" i="4" s="1"/>
  <c r="AI267" i="4" s="1"/>
  <c r="V475" i="4"/>
  <c r="V683" i="4"/>
  <c r="AE683" i="4" s="1"/>
  <c r="AI683" i="4" s="1"/>
  <c r="V1099" i="4"/>
  <c r="AE1099" i="4" s="1"/>
  <c r="AI1099" i="4" s="1"/>
  <c r="Q1307" i="4"/>
  <c r="R1307" i="4" s="1"/>
  <c r="K1307" i="4"/>
  <c r="L1307" i="4" s="1"/>
  <c r="V1203" i="4"/>
  <c r="V265" i="4"/>
  <c r="V473" i="4"/>
  <c r="AE473" i="4" s="1"/>
  <c r="AI473" i="4" s="1"/>
  <c r="V681" i="4"/>
  <c r="V1097" i="4"/>
  <c r="Q1305" i="4"/>
  <c r="R1305" i="4" s="1"/>
  <c r="K1305" i="4"/>
  <c r="L1305" i="4" s="1"/>
  <c r="V1201" i="4"/>
  <c r="V263" i="4"/>
  <c r="V471" i="4"/>
  <c r="V679" i="4"/>
  <c r="V1095" i="4"/>
  <c r="Q1303" i="4"/>
  <c r="R1303" i="4" s="1"/>
  <c r="K1303" i="4"/>
  <c r="L1303" i="4" s="1"/>
  <c r="V1199" i="4"/>
  <c r="V53" i="4"/>
  <c r="AE53" i="4" s="1"/>
  <c r="AI53" i="4" s="1"/>
  <c r="V261" i="4"/>
  <c r="V469" i="4"/>
  <c r="AE469" i="4" s="1"/>
  <c r="AI469" i="4" s="1"/>
  <c r="V677" i="4"/>
  <c r="V1093" i="4"/>
  <c r="Q1301" i="4"/>
  <c r="R1301" i="4" s="1"/>
  <c r="K1301" i="4"/>
  <c r="L1301" i="4" s="1"/>
  <c r="V1197" i="4"/>
  <c r="V51" i="4"/>
  <c r="AE51" i="4" s="1"/>
  <c r="AI51" i="4" s="1"/>
  <c r="V259" i="4"/>
  <c r="V467" i="4"/>
  <c r="AE467" i="4" s="1"/>
  <c r="AI467" i="4" s="1"/>
  <c r="V675" i="4"/>
  <c r="V1091" i="4"/>
  <c r="Q1299" i="4"/>
  <c r="R1299" i="4" s="1"/>
  <c r="K1299" i="4"/>
  <c r="L1299" i="4" s="1"/>
  <c r="V1195" i="4"/>
  <c r="V49" i="4"/>
  <c r="V257" i="4"/>
  <c r="AE257" i="4" s="1"/>
  <c r="AI257" i="4" s="1"/>
  <c r="V465" i="4"/>
  <c r="V673" i="4"/>
  <c r="AE673" i="4" s="1"/>
  <c r="AI673" i="4" s="1"/>
  <c r="V1089" i="4"/>
  <c r="AE1089" i="4" s="1"/>
  <c r="AI1089" i="4" s="1"/>
  <c r="Q1297" i="4"/>
  <c r="R1297" i="4" s="1"/>
  <c r="K1297" i="4"/>
  <c r="L1297" i="4" s="1"/>
  <c r="V1193" i="4"/>
  <c r="V47" i="4"/>
  <c r="AE47" i="4" s="1"/>
  <c r="AI47" i="4" s="1"/>
  <c r="V255" i="4"/>
  <c r="V463" i="4"/>
  <c r="AE463" i="4" s="1"/>
  <c r="AI463" i="4" s="1"/>
  <c r="V671" i="4"/>
  <c r="V1087" i="4"/>
  <c r="Q1295" i="4"/>
  <c r="R1295" i="4" s="1"/>
  <c r="K1295" i="4"/>
  <c r="L1295" i="4" s="1"/>
  <c r="V1191" i="4"/>
  <c r="V45" i="4"/>
  <c r="V253" i="4"/>
  <c r="AE253" i="4" s="1"/>
  <c r="AI253" i="4" s="1"/>
  <c r="V669" i="4"/>
  <c r="AE669" i="4" s="1"/>
  <c r="AI669" i="4" s="1"/>
  <c r="V1085" i="4"/>
  <c r="AE1085" i="4" s="1"/>
  <c r="AI1085" i="4" s="1"/>
  <c r="Q1293" i="4"/>
  <c r="R1293" i="4" s="1"/>
  <c r="K1293" i="4"/>
  <c r="L1293" i="4" s="1"/>
  <c r="V1189" i="4"/>
  <c r="V43" i="4"/>
  <c r="AE43" i="4" s="1"/>
  <c r="AI43" i="4" s="1"/>
  <c r="V251" i="4"/>
  <c r="V459" i="4"/>
  <c r="AE459" i="4" s="1"/>
  <c r="AI459" i="4" s="1"/>
  <c r="V667" i="4"/>
  <c r="V1083" i="4"/>
  <c r="Q1291" i="4"/>
  <c r="R1291" i="4" s="1"/>
  <c r="K1291" i="4"/>
  <c r="L1291" i="4" s="1"/>
  <c r="V1187" i="4"/>
  <c r="V41" i="4"/>
  <c r="AE41" i="4" s="1"/>
  <c r="AI41" i="4" s="1"/>
  <c r="V249" i="4"/>
  <c r="V665" i="4"/>
  <c r="V1081" i="4"/>
  <c r="Q1289" i="4"/>
  <c r="R1289" i="4" s="1"/>
  <c r="K1289" i="4"/>
  <c r="L1289" i="4" s="1"/>
  <c r="V1185" i="4"/>
  <c r="V39" i="4"/>
  <c r="V247" i="4"/>
  <c r="V455" i="4"/>
  <c r="V663" i="4"/>
  <c r="V1079" i="4"/>
  <c r="Q1287" i="4"/>
  <c r="R1287" i="4" s="1"/>
  <c r="K1287" i="4"/>
  <c r="L1287" i="4" s="1"/>
  <c r="V1183" i="4"/>
  <c r="V37" i="4"/>
  <c r="AE37" i="4" s="1"/>
  <c r="AI37" i="4" s="1"/>
  <c r="V245" i="4"/>
  <c r="V453" i="4"/>
  <c r="AE453" i="4" s="1"/>
  <c r="AI453" i="4" s="1"/>
  <c r="V661" i="4"/>
  <c r="V1077" i="4"/>
  <c r="Q1285" i="4"/>
  <c r="R1285" i="4" s="1"/>
  <c r="K1285" i="4"/>
  <c r="L1285" i="4" s="1"/>
  <c r="V1181" i="4"/>
  <c r="V35" i="4"/>
  <c r="AE35" i="4" s="1"/>
  <c r="AI35" i="4" s="1"/>
  <c r="V243" i="4"/>
  <c r="V451" i="4"/>
  <c r="AE451" i="4" s="1"/>
  <c r="AI451" i="4" s="1"/>
  <c r="V659" i="4"/>
  <c r="V1075" i="4"/>
  <c r="Q1283" i="4"/>
  <c r="R1283" i="4" s="1"/>
  <c r="K1283" i="4"/>
  <c r="L1283" i="4" s="1"/>
  <c r="V1179" i="4"/>
  <c r="V33" i="4"/>
  <c r="V241" i="4"/>
  <c r="AE241" i="4" s="1"/>
  <c r="AI241" i="4" s="1"/>
  <c r="V657" i="4"/>
  <c r="AE657" i="4" s="1"/>
  <c r="AI657" i="4" s="1"/>
  <c r="V1073" i="4"/>
  <c r="AE1073" i="4" s="1"/>
  <c r="AI1073" i="4" s="1"/>
  <c r="Q1281" i="4"/>
  <c r="R1281" i="4" s="1"/>
  <c r="K1281" i="4"/>
  <c r="L1281" i="4" s="1"/>
  <c r="V1177" i="4"/>
  <c r="V31" i="4"/>
  <c r="AE31" i="4" s="1"/>
  <c r="AI31" i="4" s="1"/>
  <c r="V239" i="4"/>
  <c r="V447" i="4"/>
  <c r="AE447" i="4" s="1"/>
  <c r="AI447" i="4" s="1"/>
  <c r="V655" i="4"/>
  <c r="V1071" i="4"/>
  <c r="Q1279" i="4"/>
  <c r="R1279" i="4" s="1"/>
  <c r="K1279" i="4"/>
  <c r="L1279" i="4" s="1"/>
  <c r="V1175" i="4"/>
  <c r="V29" i="4"/>
  <c r="V237" i="4"/>
  <c r="AE237" i="4" s="1"/>
  <c r="AI237" i="4" s="1"/>
  <c r="V445" i="4"/>
  <c r="V653" i="4"/>
  <c r="AE653" i="4" s="1"/>
  <c r="AI653" i="4" s="1"/>
  <c r="V1069" i="4"/>
  <c r="AE1069" i="4" s="1"/>
  <c r="AI1069" i="4" s="1"/>
  <c r="Q1277" i="4"/>
  <c r="R1277" i="4" s="1"/>
  <c r="K1277" i="4"/>
  <c r="L1277" i="4" s="1"/>
  <c r="V1173" i="4"/>
  <c r="V27" i="4"/>
  <c r="V235" i="4"/>
  <c r="V443" i="4"/>
  <c r="V651" i="4"/>
  <c r="V1067" i="4"/>
  <c r="Q1275" i="4"/>
  <c r="R1275" i="4" s="1"/>
  <c r="K1275" i="4"/>
  <c r="L1275" i="4" s="1"/>
  <c r="V1171" i="4"/>
  <c r="V25" i="4"/>
  <c r="AE25" i="4" s="1"/>
  <c r="AI25" i="4" s="1"/>
  <c r="V233" i="4"/>
  <c r="V441" i="4"/>
  <c r="AE441" i="4" s="1"/>
  <c r="AI441" i="4" s="1"/>
  <c r="V649" i="4"/>
  <c r="V1065" i="4"/>
  <c r="Q1273" i="4"/>
  <c r="R1273" i="4" s="1"/>
  <c r="K1273" i="4"/>
  <c r="L1273" i="4" s="1"/>
  <c r="V1169" i="4"/>
  <c r="V23" i="4"/>
  <c r="V231" i="4"/>
  <c r="V439" i="4"/>
  <c r="V647" i="4"/>
  <c r="V1063" i="4"/>
  <c r="Q1271" i="4"/>
  <c r="R1271" i="4" s="1"/>
  <c r="K1271" i="4"/>
  <c r="L1271" i="4" s="1"/>
  <c r="V1167" i="4"/>
  <c r="V21" i="4"/>
  <c r="V229" i="4"/>
  <c r="V437" i="4"/>
  <c r="V645" i="4"/>
  <c r="V1061" i="4"/>
  <c r="Q1269" i="4"/>
  <c r="R1269" i="4" s="1"/>
  <c r="K1269" i="4"/>
  <c r="L1269" i="4" s="1"/>
  <c r="V1165" i="4"/>
  <c r="V19" i="4"/>
  <c r="V227" i="4"/>
  <c r="V435" i="4"/>
  <c r="V643" i="4"/>
  <c r="V1059" i="4"/>
  <c r="Q1267" i="4"/>
  <c r="R1267" i="4" s="1"/>
  <c r="K1267" i="4"/>
  <c r="L1267" i="4" s="1"/>
  <c r="V1163" i="4"/>
  <c r="V17" i="4"/>
  <c r="V225" i="4"/>
  <c r="V433" i="4"/>
  <c r="V641" i="4"/>
  <c r="V1057" i="4"/>
  <c r="Q1265" i="4"/>
  <c r="R1265" i="4" s="1"/>
  <c r="K1265" i="4"/>
  <c r="L1265" i="4" s="1"/>
  <c r="V1161" i="4"/>
  <c r="V15" i="4"/>
  <c r="V223" i="4"/>
  <c r="V431" i="4"/>
  <c r="V639" i="4"/>
  <c r="V1055" i="4"/>
  <c r="Q1263" i="4"/>
  <c r="R1263" i="4" s="1"/>
  <c r="K1263" i="4"/>
  <c r="L1263" i="4" s="1"/>
  <c r="V1159" i="4"/>
  <c r="V13" i="4"/>
  <c r="V221" i="4"/>
  <c r="V429" i="4"/>
  <c r="V637" i="4"/>
  <c r="V1053" i="4"/>
  <c r="Q1261" i="4"/>
  <c r="R1261" i="4" s="1"/>
  <c r="K1261" i="4"/>
  <c r="L1261" i="4" s="1"/>
  <c r="V1157" i="4"/>
  <c r="V11" i="4"/>
  <c r="V219" i="4"/>
  <c r="V427" i="4"/>
  <c r="V635" i="4"/>
  <c r="V1051" i="4"/>
  <c r="Q1259" i="4"/>
  <c r="R1259" i="4" s="1"/>
  <c r="K1259" i="4"/>
  <c r="L1259" i="4" s="1"/>
  <c r="V1155" i="4"/>
  <c r="V9" i="4"/>
  <c r="V217" i="4"/>
  <c r="V425" i="4"/>
  <c r="V633" i="4"/>
  <c r="V1049" i="4"/>
  <c r="Q1257" i="4"/>
  <c r="R1257" i="4" s="1"/>
  <c r="K1257" i="4"/>
  <c r="L1257" i="4" s="1"/>
  <c r="V1153" i="4"/>
  <c r="F307" i="4"/>
  <c r="F723" i="4"/>
  <c r="F1139" i="4"/>
  <c r="F195" i="4"/>
  <c r="F611" i="4"/>
  <c r="F1027" i="4"/>
  <c r="F87" i="4"/>
  <c r="F399" i="4"/>
  <c r="F919" i="4"/>
  <c r="F83" i="4"/>
  <c r="F499" i="4"/>
  <c r="F915" i="4"/>
  <c r="G82" i="19"/>
  <c r="AO82" i="14"/>
  <c r="F383" i="4"/>
  <c r="F799" i="4"/>
  <c r="C1319" i="4"/>
  <c r="F1215" i="4"/>
  <c r="AT27" i="62"/>
  <c r="BH27" i="62" s="1"/>
  <c r="BV27" i="62" s="1"/>
  <c r="CJ27" i="62" s="1"/>
  <c r="CX27" i="62" s="1"/>
  <c r="DL27" i="62" s="1"/>
  <c r="DZ27" i="62" s="1"/>
  <c r="EN27" i="62" s="1"/>
  <c r="FB27" i="62" s="1"/>
  <c r="FP27" i="62" s="1"/>
  <c r="BH19" i="5"/>
  <c r="BV19" i="5" s="1"/>
  <c r="CJ19" i="5" s="1"/>
  <c r="CX19" i="5" s="1"/>
  <c r="DL19" i="5" s="1"/>
  <c r="DZ19" i="5" s="1"/>
  <c r="EN19" i="5" s="1"/>
  <c r="FB19" i="5" s="1"/>
  <c r="FP19" i="5" s="1"/>
  <c r="Z138" i="16"/>
  <c r="AB132" i="16"/>
  <c r="CC21" i="62" s="1"/>
  <c r="V113" i="16"/>
  <c r="V112" i="16"/>
  <c r="AG22" i="8"/>
  <c r="AM46" i="5" s="1"/>
  <c r="I12" i="26"/>
  <c r="F12" i="26"/>
  <c r="I6" i="26"/>
  <c r="F6" i="26"/>
  <c r="D6" i="26" s="1"/>
  <c r="C4" i="26"/>
  <c r="F104" i="4"/>
  <c r="F520" i="4"/>
  <c r="F936" i="4"/>
  <c r="F100" i="4"/>
  <c r="F516" i="4"/>
  <c r="F932" i="4"/>
  <c r="F96" i="4"/>
  <c r="F512" i="4"/>
  <c r="F928" i="4"/>
  <c r="F92" i="4"/>
  <c r="F508" i="4"/>
  <c r="F924" i="4"/>
  <c r="F88" i="4"/>
  <c r="F504" i="4"/>
  <c r="F816" i="4"/>
  <c r="F84" i="4"/>
  <c r="F500" i="4"/>
  <c r="F916" i="4"/>
  <c r="F80" i="4"/>
  <c r="F496" i="4"/>
  <c r="F912" i="4"/>
  <c r="N79" i="14"/>
  <c r="K79" i="14"/>
  <c r="AJ79" i="14"/>
  <c r="AL79" i="14" s="1"/>
  <c r="G76" i="4"/>
  <c r="G180" i="4" s="1"/>
  <c r="I76" i="14"/>
  <c r="F388" i="4"/>
  <c r="F804" i="4"/>
  <c r="C1324" i="4"/>
  <c r="F1220" i="4"/>
  <c r="G72" i="4"/>
  <c r="G176" i="4" s="1"/>
  <c r="I72" i="14"/>
  <c r="F384" i="4"/>
  <c r="F800" i="4"/>
  <c r="C1320" i="4"/>
  <c r="F1216" i="4"/>
  <c r="F68" i="4"/>
  <c r="F484" i="4"/>
  <c r="F900" i="4"/>
  <c r="N67" i="14"/>
  <c r="K67" i="14"/>
  <c r="AJ67" i="14"/>
  <c r="AL67" i="14" s="1"/>
  <c r="G64" i="4"/>
  <c r="G168" i="4" s="1"/>
  <c r="I64" i="14"/>
  <c r="F376" i="4"/>
  <c r="F792" i="4"/>
  <c r="C1312" i="4"/>
  <c r="F1208" i="4"/>
  <c r="G60" i="4"/>
  <c r="G164" i="4" s="1"/>
  <c r="I60" i="14"/>
  <c r="F372" i="4"/>
  <c r="F788" i="4"/>
  <c r="C1308" i="4"/>
  <c r="F1204" i="4"/>
  <c r="G56" i="4"/>
  <c r="G160" i="4" s="1"/>
  <c r="I56" i="14"/>
  <c r="F368" i="4"/>
  <c r="F784" i="4"/>
  <c r="C1304" i="4"/>
  <c r="F1200" i="4"/>
  <c r="G52" i="4"/>
  <c r="G156" i="4" s="1"/>
  <c r="I52" i="14"/>
  <c r="F364" i="4"/>
  <c r="F780" i="4"/>
  <c r="C1300" i="4"/>
  <c r="F1196" i="4"/>
  <c r="G48" i="4"/>
  <c r="G152" i="4" s="1"/>
  <c r="I48" i="14"/>
  <c r="F360" i="4"/>
  <c r="F776" i="4"/>
  <c r="C1296" i="4"/>
  <c r="F1192" i="4"/>
  <c r="G44" i="4"/>
  <c r="G148" i="4" s="1"/>
  <c r="I44" i="14"/>
  <c r="F356" i="4"/>
  <c r="F772" i="4"/>
  <c r="C1292" i="4"/>
  <c r="F1188" i="4"/>
  <c r="G40" i="4"/>
  <c r="G144" i="4" s="1"/>
  <c r="I40" i="14"/>
  <c r="F352" i="4"/>
  <c r="F768" i="4"/>
  <c r="C1288" i="4"/>
  <c r="F1184" i="4"/>
  <c r="F244" i="4"/>
  <c r="F660" i="4"/>
  <c r="F1076" i="4"/>
  <c r="F136" i="4"/>
  <c r="F552" i="4"/>
  <c r="F968" i="4"/>
  <c r="F132" i="4"/>
  <c r="F548" i="4"/>
  <c r="F964" i="4"/>
  <c r="F24" i="4"/>
  <c r="F440" i="4"/>
  <c r="F856" i="4"/>
  <c r="N23" i="14"/>
  <c r="K23" i="14"/>
  <c r="AJ23" i="14"/>
  <c r="AL23" i="14" s="1"/>
  <c r="F230" i="4"/>
  <c r="F646" i="4"/>
  <c r="F1062" i="4"/>
  <c r="F21" i="4"/>
  <c r="F437" i="4"/>
  <c r="F853" i="4"/>
  <c r="Z20" i="14"/>
  <c r="AA20" i="14" s="1"/>
  <c r="F228" i="4"/>
  <c r="F644" i="4"/>
  <c r="F1060" i="4"/>
  <c r="F19" i="4"/>
  <c r="F435" i="4"/>
  <c r="F851" i="4"/>
  <c r="Z18" i="14"/>
  <c r="AA18" i="14" s="1"/>
  <c r="F226" i="4"/>
  <c r="F642" i="4"/>
  <c r="F1058" i="4"/>
  <c r="F17" i="4"/>
  <c r="F433" i="4"/>
  <c r="F849" i="4"/>
  <c r="Z16" i="14"/>
  <c r="AA16" i="14" s="1"/>
  <c r="F224" i="4"/>
  <c r="F640" i="4"/>
  <c r="F1056" i="4"/>
  <c r="F15" i="4"/>
  <c r="F431" i="4"/>
  <c r="F847" i="4"/>
  <c r="Z14" i="14"/>
  <c r="AA14" i="14" s="1"/>
  <c r="F222" i="4"/>
  <c r="F638" i="4"/>
  <c r="F1054" i="4"/>
  <c r="F13" i="4"/>
  <c r="F429" i="4"/>
  <c r="F845" i="4"/>
  <c r="Z12" i="14"/>
  <c r="AA12" i="14" s="1"/>
  <c r="F220" i="4"/>
  <c r="F636" i="4"/>
  <c r="F1052" i="4"/>
  <c r="F11" i="4"/>
  <c r="F427" i="4"/>
  <c r="F843" i="4"/>
  <c r="Z10" i="14"/>
  <c r="AA10" i="14" s="1"/>
  <c r="F218" i="4"/>
  <c r="F634" i="4"/>
  <c r="F1050" i="4"/>
  <c r="F9" i="4"/>
  <c r="F425" i="4"/>
  <c r="F841" i="4"/>
  <c r="Z8" i="14"/>
  <c r="AA8" i="14" s="1"/>
  <c r="F216" i="4"/>
  <c r="F632" i="4"/>
  <c r="F1048" i="4"/>
  <c r="F7" i="4"/>
  <c r="F423" i="4"/>
  <c r="F839" i="4"/>
  <c r="AL6" i="14"/>
  <c r="C211" i="4"/>
  <c r="F110" i="4"/>
  <c r="C627" i="4"/>
  <c r="F526" i="4"/>
  <c r="C1043" i="4"/>
  <c r="F942" i="4"/>
  <c r="J25" i="62"/>
  <c r="FH25" i="62"/>
  <c r="ET25" i="62"/>
  <c r="EF25" i="62"/>
  <c r="DR25" i="62"/>
  <c r="DD25" i="62"/>
  <c r="CP25" i="62"/>
  <c r="CB25" i="62"/>
  <c r="BN25" i="62"/>
  <c r="AZ25" i="62"/>
  <c r="AL25" i="62"/>
  <c r="X25" i="62"/>
  <c r="B41" i="13"/>
  <c r="B38" i="13"/>
  <c r="B23" i="13"/>
  <c r="B11" i="17" s="1"/>
  <c r="B15" i="13"/>
  <c r="B8" i="17" s="1"/>
  <c r="B7" i="13"/>
  <c r="B5" i="17" s="1"/>
  <c r="B5" i="13"/>
  <c r="A113" i="16" s="1"/>
  <c r="B27" i="13"/>
  <c r="B12" i="17" s="1"/>
  <c r="B9" i="13"/>
  <c r="B6" i="17" s="1"/>
  <c r="B39" i="13"/>
  <c r="B15" i="17" s="1"/>
  <c r="B16" i="13"/>
  <c r="B9" i="17" s="1"/>
  <c r="B4" i="13"/>
  <c r="A112" i="16" s="1"/>
  <c r="B37" i="13"/>
  <c r="B13" i="17" s="1"/>
  <c r="B14" i="13"/>
  <c r="B7" i="17" s="1"/>
  <c r="B20" i="13"/>
  <c r="B10" i="17" s="1"/>
  <c r="H103" i="20"/>
  <c r="J103" i="20" s="1"/>
  <c r="H87" i="20"/>
  <c r="J87" i="20" s="1"/>
  <c r="H55" i="20"/>
  <c r="J55" i="20" s="1"/>
  <c r="H39" i="20"/>
  <c r="J39" i="20" s="1"/>
  <c r="H71" i="20"/>
  <c r="J71" i="20" s="1"/>
  <c r="H23" i="20"/>
  <c r="J23" i="20" s="1"/>
  <c r="H7" i="20"/>
  <c r="J7" i="20" s="1"/>
  <c r="L2" i="29"/>
  <c r="K2" i="29"/>
  <c r="J2" i="29"/>
  <c r="F287" i="4"/>
  <c r="F807" i="4"/>
  <c r="C1327" i="4"/>
  <c r="F1223" i="4"/>
  <c r="AH70" i="14"/>
  <c r="AI70" i="14" s="1"/>
  <c r="C70" i="19" s="1"/>
  <c r="U70" i="16"/>
  <c r="F379" i="4"/>
  <c r="F795" i="4"/>
  <c r="C1315" i="4"/>
  <c r="F1211" i="4"/>
  <c r="AH58" i="14"/>
  <c r="AI58" i="14" s="1"/>
  <c r="C58" i="19" s="1"/>
  <c r="U58" i="16"/>
  <c r="F367" i="4"/>
  <c r="F783" i="4"/>
  <c r="C1303" i="4"/>
  <c r="F1199" i="4"/>
  <c r="F143" i="4"/>
  <c r="F559" i="4"/>
  <c r="F975" i="4"/>
  <c r="F131" i="4"/>
  <c r="F547" i="4"/>
  <c r="F963" i="4"/>
  <c r="F127" i="4"/>
  <c r="F543" i="4"/>
  <c r="F959" i="4"/>
  <c r="Z22" i="14"/>
  <c r="AA22" i="14" s="1"/>
  <c r="AF196" i="16"/>
  <c r="AB196" i="16"/>
  <c r="X196" i="16"/>
  <c r="AE196" i="16"/>
  <c r="AA196" i="16"/>
  <c r="W196" i="16"/>
  <c r="AH196" i="16"/>
  <c r="AD196" i="16"/>
  <c r="Z196" i="16"/>
  <c r="AG196" i="16"/>
  <c r="AC196" i="16"/>
  <c r="Y196" i="16"/>
  <c r="AJ95" i="14"/>
  <c r="AL95" i="14" s="1"/>
  <c r="AM95" i="14" s="1"/>
  <c r="G91" i="4"/>
  <c r="G195" i="4" s="1"/>
  <c r="I91" i="14"/>
  <c r="G87" i="4"/>
  <c r="G191" i="4" s="1"/>
  <c r="I87" i="14"/>
  <c r="G71" i="4"/>
  <c r="G175" i="4" s="1"/>
  <c r="I71" i="14"/>
  <c r="G51" i="4"/>
  <c r="G155" i="4" s="1"/>
  <c r="I51" i="14"/>
  <c r="G47" i="4"/>
  <c r="G151" i="4" s="1"/>
  <c r="I47" i="14"/>
  <c r="J107" i="14"/>
  <c r="K107" i="14" s="1"/>
  <c r="AM24" i="19"/>
  <c r="AI24" i="19"/>
  <c r="AL24" i="19"/>
  <c r="AH24" i="19"/>
  <c r="AK24" i="19"/>
  <c r="AG24" i="19"/>
  <c r="AJ24" i="19"/>
  <c r="AF24" i="19"/>
  <c r="B105" i="19"/>
  <c r="AL104" i="19"/>
  <c r="AH104" i="19"/>
  <c r="AJ104" i="19"/>
  <c r="AF104" i="19"/>
  <c r="AK104" i="19"/>
  <c r="AI104" i="19"/>
  <c r="AG104" i="19"/>
  <c r="AM104" i="19"/>
  <c r="AG97" i="16"/>
  <c r="AC97" i="16"/>
  <c r="Y97" i="16"/>
  <c r="AF97" i="16"/>
  <c r="AB97" i="16"/>
  <c r="X97" i="16"/>
  <c r="AE97" i="16"/>
  <c r="AA97" i="16"/>
  <c r="W97" i="16"/>
  <c r="AH97" i="16"/>
  <c r="AD97" i="16"/>
  <c r="Z97" i="16"/>
  <c r="AI93" i="14"/>
  <c r="C93" i="19" s="1"/>
  <c r="B89" i="19"/>
  <c r="AM88" i="19"/>
  <c r="AI88" i="19"/>
  <c r="AL88" i="19"/>
  <c r="AH88" i="19"/>
  <c r="AK88" i="19"/>
  <c r="AG88" i="19"/>
  <c r="AJ88" i="19"/>
  <c r="AF88" i="19"/>
  <c r="AG81" i="16"/>
  <c r="AC81" i="16"/>
  <c r="Y81" i="16"/>
  <c r="AF81" i="16"/>
  <c r="AB81" i="16"/>
  <c r="X81" i="16"/>
  <c r="AE81" i="16"/>
  <c r="AA81" i="16"/>
  <c r="W81" i="16"/>
  <c r="AH81" i="16"/>
  <c r="AD81" i="16"/>
  <c r="Z81" i="16"/>
  <c r="B77" i="19"/>
  <c r="D77" i="19" s="1"/>
  <c r="AM77" i="14"/>
  <c r="B73" i="19"/>
  <c r="AM72" i="19"/>
  <c r="AI72" i="19"/>
  <c r="AL72" i="19"/>
  <c r="AH72" i="19"/>
  <c r="AK72" i="19"/>
  <c r="AG72" i="19"/>
  <c r="AJ72" i="19"/>
  <c r="AF72" i="19"/>
  <c r="AG65" i="16"/>
  <c r="AC65" i="16"/>
  <c r="Y65" i="16"/>
  <c r="AF65" i="16"/>
  <c r="AB65" i="16"/>
  <c r="X65" i="16"/>
  <c r="AE65" i="16"/>
  <c r="AA65" i="16"/>
  <c r="W65" i="16"/>
  <c r="AH65" i="16"/>
  <c r="AD65" i="16"/>
  <c r="Z65" i="16"/>
  <c r="AM56" i="19"/>
  <c r="AI56" i="19"/>
  <c r="AL56" i="19"/>
  <c r="AH56" i="19"/>
  <c r="AK56" i="19"/>
  <c r="AG56" i="19"/>
  <c r="AJ56" i="19"/>
  <c r="AF56" i="19"/>
  <c r="AG49" i="16"/>
  <c r="AC49" i="16"/>
  <c r="Y49" i="16"/>
  <c r="AF49" i="16"/>
  <c r="AB49" i="16"/>
  <c r="X49" i="16"/>
  <c r="AE49" i="16"/>
  <c r="AA49" i="16"/>
  <c r="W49" i="16"/>
  <c r="AH49" i="16"/>
  <c r="AD49" i="16"/>
  <c r="Z49" i="16"/>
  <c r="AI45" i="14"/>
  <c r="C45" i="19" s="1"/>
  <c r="AG99" i="16"/>
  <c r="AC99" i="16"/>
  <c r="Y99" i="16"/>
  <c r="AF99" i="16"/>
  <c r="AB99" i="16"/>
  <c r="X99" i="16"/>
  <c r="AE99" i="16"/>
  <c r="AA99" i="16"/>
  <c r="W99" i="16"/>
  <c r="AH99" i="16"/>
  <c r="AD99" i="16"/>
  <c r="Z99" i="16"/>
  <c r="AI95" i="14"/>
  <c r="C95" i="19" s="1"/>
  <c r="B91" i="19"/>
  <c r="AM91" i="14"/>
  <c r="AG83" i="16"/>
  <c r="AC83" i="16"/>
  <c r="Y83" i="16"/>
  <c r="AF83" i="16"/>
  <c r="AB83" i="16"/>
  <c r="X83" i="16"/>
  <c r="AE83" i="16"/>
  <c r="AA83" i="16"/>
  <c r="W83" i="16"/>
  <c r="AH83" i="16"/>
  <c r="AD83" i="16"/>
  <c r="Z83" i="16"/>
  <c r="AI79" i="14"/>
  <c r="C79" i="19" s="1"/>
  <c r="B75" i="19"/>
  <c r="D75" i="19" s="1"/>
  <c r="B71" i="19"/>
  <c r="AM67" i="14"/>
  <c r="B67" i="19"/>
  <c r="AG47" i="16"/>
  <c r="AC47" i="16"/>
  <c r="Y47" i="16"/>
  <c r="AF47" i="16"/>
  <c r="AB47" i="16"/>
  <c r="X47" i="16"/>
  <c r="AE47" i="16"/>
  <c r="AA47" i="16"/>
  <c r="W47" i="16"/>
  <c r="AH47" i="16"/>
  <c r="AD47" i="16"/>
  <c r="Z47" i="16"/>
  <c r="B39" i="19"/>
  <c r="D39" i="19" s="1"/>
  <c r="AG31" i="16"/>
  <c r="AC31" i="16"/>
  <c r="Y31" i="16"/>
  <c r="AF31" i="16"/>
  <c r="AB31" i="16"/>
  <c r="X31" i="16"/>
  <c r="AE31" i="16"/>
  <c r="AA31" i="16"/>
  <c r="W31" i="16"/>
  <c r="AH31" i="16"/>
  <c r="AD31" i="16"/>
  <c r="Z31" i="16"/>
  <c r="AM23" i="14"/>
  <c r="B23" i="19"/>
  <c r="D23" i="19" s="1"/>
  <c r="AL21" i="19"/>
  <c r="AH21" i="19"/>
  <c r="AK21" i="19"/>
  <c r="AG21" i="19"/>
  <c r="AJ21" i="19"/>
  <c r="AF21" i="19"/>
  <c r="AM21" i="19"/>
  <c r="AI21" i="19"/>
  <c r="AL17" i="19"/>
  <c r="AH17" i="19"/>
  <c r="AK17" i="19"/>
  <c r="AG17" i="19"/>
  <c r="AJ17" i="19"/>
  <c r="AF17" i="19"/>
  <c r="AM17" i="19"/>
  <c r="AI17" i="19"/>
  <c r="AL13" i="19"/>
  <c r="AH13" i="19"/>
  <c r="AK13" i="19"/>
  <c r="AG13" i="19"/>
  <c r="AJ13" i="19"/>
  <c r="AF13" i="19"/>
  <c r="AM13" i="19"/>
  <c r="AI13" i="19"/>
  <c r="AL9" i="19"/>
  <c r="AH9" i="19"/>
  <c r="AK9" i="19"/>
  <c r="AG9" i="19"/>
  <c r="AJ9" i="19"/>
  <c r="AF9" i="19"/>
  <c r="AM9" i="19"/>
  <c r="AI9" i="19"/>
  <c r="AF193" i="16"/>
  <c r="AB193" i="16"/>
  <c r="X193" i="16"/>
  <c r="AE193" i="16"/>
  <c r="AA193" i="16"/>
  <c r="W193" i="16"/>
  <c r="AH193" i="16"/>
  <c r="AD193" i="16"/>
  <c r="Z193" i="16"/>
  <c r="AG193" i="16"/>
  <c r="AC193" i="16"/>
  <c r="Y193" i="16"/>
  <c r="U193" i="16"/>
  <c r="AF189" i="16"/>
  <c r="AB189" i="16"/>
  <c r="X189" i="16"/>
  <c r="AE189" i="16"/>
  <c r="AA189" i="16"/>
  <c r="W189" i="16"/>
  <c r="AH189" i="16"/>
  <c r="AD189" i="16"/>
  <c r="Z189" i="16"/>
  <c r="AG189" i="16"/>
  <c r="AC189" i="16"/>
  <c r="Y189" i="16"/>
  <c r="U189" i="16"/>
  <c r="AF185" i="16"/>
  <c r="AB185" i="16"/>
  <c r="X185" i="16"/>
  <c r="AE185" i="16"/>
  <c r="AA185" i="16"/>
  <c r="W185" i="16"/>
  <c r="AH185" i="16"/>
  <c r="AD185" i="16"/>
  <c r="Z185" i="16"/>
  <c r="AG185" i="16"/>
  <c r="AC185" i="16"/>
  <c r="Y185" i="16"/>
  <c r="U185" i="16"/>
  <c r="Z160" i="16"/>
  <c r="U9" i="20" s="1"/>
  <c r="AA160" i="16"/>
  <c r="V9" i="20" s="1"/>
  <c r="AF160" i="16"/>
  <c r="AA9" i="20" s="1"/>
  <c r="AJ97" i="14"/>
  <c r="AL97" i="14" s="1"/>
  <c r="G93" i="4"/>
  <c r="G197" i="4" s="1"/>
  <c r="I93" i="14"/>
  <c r="AJ81" i="14"/>
  <c r="AL81" i="14" s="1"/>
  <c r="G77" i="4"/>
  <c r="G181" i="4" s="1"/>
  <c r="H181" i="4" s="1"/>
  <c r="I77" i="14"/>
  <c r="AJ65" i="14"/>
  <c r="AL65" i="14" s="1"/>
  <c r="G61" i="4"/>
  <c r="G165" i="4" s="1"/>
  <c r="H165" i="4" s="1"/>
  <c r="I61" i="14"/>
  <c r="AJ49" i="14"/>
  <c r="AL49" i="14" s="1"/>
  <c r="G45" i="4"/>
  <c r="G149" i="4" s="1"/>
  <c r="I45" i="14"/>
  <c r="AJ33" i="14"/>
  <c r="AL33" i="14" s="1"/>
  <c r="G29" i="4"/>
  <c r="G133" i="4" s="1"/>
  <c r="I29" i="14"/>
  <c r="AM20" i="19"/>
  <c r="AI20" i="19"/>
  <c r="AL20" i="19"/>
  <c r="AH20" i="19"/>
  <c r="AK20" i="19"/>
  <c r="AG20" i="19"/>
  <c r="AJ20" i="19"/>
  <c r="AF20" i="19"/>
  <c r="AG41" i="16"/>
  <c r="AC41" i="16"/>
  <c r="Y41" i="16"/>
  <c r="AF41" i="16"/>
  <c r="AB41" i="16"/>
  <c r="X41" i="16"/>
  <c r="AE41" i="16"/>
  <c r="AA41" i="16"/>
  <c r="W41" i="16"/>
  <c r="AH41" i="16"/>
  <c r="AD41" i="16"/>
  <c r="Z41" i="16"/>
  <c r="AG33" i="16"/>
  <c r="AC33" i="16"/>
  <c r="Y33" i="16"/>
  <c r="AF33" i="16"/>
  <c r="AB33" i="16"/>
  <c r="X33" i="16"/>
  <c r="AE33" i="16"/>
  <c r="AA33" i="16"/>
  <c r="W33" i="16"/>
  <c r="AH33" i="16"/>
  <c r="AD33" i="16"/>
  <c r="Z33" i="16"/>
  <c r="B25" i="19"/>
  <c r="Z507" i="45"/>
  <c r="Z506" i="45"/>
  <c r="AA505" i="45"/>
  <c r="I15" i="25"/>
  <c r="F15" i="25"/>
  <c r="I7" i="25"/>
  <c r="F7" i="25"/>
  <c r="C14" i="18"/>
  <c r="D14" i="17"/>
  <c r="I15" i="24"/>
  <c r="F15" i="24"/>
  <c r="I13" i="25"/>
  <c r="F13" i="25"/>
  <c r="I7" i="24"/>
  <c r="F7" i="24"/>
  <c r="D18" i="26"/>
  <c r="D18" i="22"/>
  <c r="D8" i="26"/>
  <c r="D8" i="22"/>
  <c r="D14" i="26"/>
  <c r="D13" i="17"/>
  <c r="V150" i="16"/>
  <c r="V149" i="16"/>
  <c r="V142" i="16"/>
  <c r="V141" i="16"/>
  <c r="AC138" i="16"/>
  <c r="CQ30" i="5"/>
  <c r="V106" i="4"/>
  <c r="V314" i="4"/>
  <c r="V730" i="4"/>
  <c r="V938" i="4"/>
  <c r="V1146" i="4"/>
  <c r="Q1354" i="4"/>
  <c r="R1354" i="4" s="1"/>
  <c r="V104" i="4"/>
  <c r="V312" i="4"/>
  <c r="V728" i="4"/>
  <c r="V1144" i="4"/>
  <c r="Q1352" i="4"/>
  <c r="R1352" i="4" s="1"/>
  <c r="V102" i="4"/>
  <c r="V310" i="4"/>
  <c r="V726" i="4"/>
  <c r="K1350" i="4"/>
  <c r="L1350" i="4" s="1"/>
  <c r="V1246" i="4"/>
  <c r="E1350" i="4"/>
  <c r="Q1350" i="4"/>
  <c r="R1350" i="4" s="1"/>
  <c r="V100" i="4"/>
  <c r="V308" i="4"/>
  <c r="V724" i="4"/>
  <c r="V932" i="4"/>
  <c r="Q1348" i="4"/>
  <c r="R1348" i="4" s="1"/>
  <c r="V98" i="4"/>
  <c r="V306" i="4"/>
  <c r="V722" i="4"/>
  <c r="V1138" i="4"/>
  <c r="Q1346" i="4"/>
  <c r="R1346" i="4" s="1"/>
  <c r="V96" i="4"/>
  <c r="V304" i="4"/>
  <c r="V720" i="4"/>
  <c r="V1136" i="4"/>
  <c r="Q1344" i="4"/>
  <c r="R1344" i="4" s="1"/>
  <c r="V94" i="4"/>
  <c r="V302" i="4"/>
  <c r="V718" i="4"/>
  <c r="K1342" i="4"/>
  <c r="L1342" i="4" s="1"/>
  <c r="V1238" i="4"/>
  <c r="E1342" i="4"/>
  <c r="Q1342" i="4"/>
  <c r="R1342" i="4" s="1"/>
  <c r="V92" i="4"/>
  <c r="V716" i="4"/>
  <c r="Q1340" i="4"/>
  <c r="R1340" i="4" s="1"/>
  <c r="V90" i="4"/>
  <c r="V714" i="4"/>
  <c r="V1026" i="4"/>
  <c r="E1338" i="4"/>
  <c r="Q1338" i="4"/>
  <c r="R1338" i="4" s="1"/>
  <c r="V88" i="4"/>
  <c r="K1336" i="4"/>
  <c r="L1336" i="4" s="1"/>
  <c r="V1232" i="4"/>
  <c r="Q1336" i="4"/>
  <c r="R1336" i="4" s="1"/>
  <c r="V86" i="4"/>
  <c r="V918" i="4"/>
  <c r="K1334" i="4"/>
  <c r="L1334" i="4" s="1"/>
  <c r="V1230" i="4"/>
  <c r="Q1334" i="4"/>
  <c r="R1334" i="4" s="1"/>
  <c r="V84" i="4"/>
  <c r="V812" i="4"/>
  <c r="K1332" i="4"/>
  <c r="L1332" i="4" s="1"/>
  <c r="V1228" i="4"/>
  <c r="Q1332" i="4"/>
  <c r="R1332" i="4" s="1"/>
  <c r="V82" i="4"/>
  <c r="V394" i="4"/>
  <c r="V498" i="4"/>
  <c r="V810" i="4"/>
  <c r="E1330" i="4"/>
  <c r="Q1330" i="4"/>
  <c r="R1330" i="4" s="1"/>
  <c r="V288" i="4"/>
  <c r="V496" i="4"/>
  <c r="V808" i="4"/>
  <c r="E1328" i="4"/>
  <c r="Q1328" i="4"/>
  <c r="R1328" i="4" s="1"/>
  <c r="V78" i="4"/>
  <c r="V390" i="4"/>
  <c r="V806" i="4"/>
  <c r="E1326" i="4"/>
  <c r="N1326" i="4"/>
  <c r="O1326" i="4" s="1"/>
  <c r="V180" i="4"/>
  <c r="V388" i="4"/>
  <c r="V804" i="4"/>
  <c r="E1324" i="4"/>
  <c r="N1324" i="4"/>
  <c r="O1324" i="4" s="1"/>
  <c r="V178" i="4"/>
  <c r="V386" i="4"/>
  <c r="V802" i="4"/>
  <c r="E1322" i="4"/>
  <c r="N1322" i="4"/>
  <c r="O1322" i="4" s="1"/>
  <c r="V176" i="4"/>
  <c r="V384" i="4"/>
  <c r="V800" i="4"/>
  <c r="E1320" i="4"/>
  <c r="N1320" i="4"/>
  <c r="O1320" i="4" s="1"/>
  <c r="V174" i="4"/>
  <c r="V382" i="4"/>
  <c r="V798" i="4"/>
  <c r="E1318" i="4"/>
  <c r="N1318" i="4"/>
  <c r="O1318" i="4" s="1"/>
  <c r="V172" i="4"/>
  <c r="V380" i="4"/>
  <c r="V796" i="4"/>
  <c r="E1316" i="4"/>
  <c r="N1316" i="4"/>
  <c r="O1316" i="4" s="1"/>
  <c r="V170" i="4"/>
  <c r="V378" i="4"/>
  <c r="V794" i="4"/>
  <c r="E1314" i="4"/>
  <c r="N1314" i="4"/>
  <c r="O1314" i="4" s="1"/>
  <c r="V168" i="4"/>
  <c r="V376" i="4"/>
  <c r="V792" i="4"/>
  <c r="E1312" i="4"/>
  <c r="N1312" i="4"/>
  <c r="O1312" i="4" s="1"/>
  <c r="V166" i="4"/>
  <c r="V374" i="4"/>
  <c r="V790" i="4"/>
  <c r="E1310" i="4"/>
  <c r="N1310" i="4"/>
  <c r="O1310" i="4" s="1"/>
  <c r="V372" i="4"/>
  <c r="V788" i="4"/>
  <c r="E1308" i="4"/>
  <c r="N1308" i="4"/>
  <c r="O1308" i="4" s="1"/>
  <c r="V266" i="4"/>
  <c r="V370" i="4"/>
  <c r="V786" i="4"/>
  <c r="E1306" i="4"/>
  <c r="N1306" i="4"/>
  <c r="O1306" i="4" s="1"/>
  <c r="V264" i="4"/>
  <c r="V368" i="4"/>
  <c r="V784" i="4"/>
  <c r="E1304" i="4"/>
  <c r="N1304" i="4"/>
  <c r="O1304" i="4" s="1"/>
  <c r="V262" i="4"/>
  <c r="V366" i="4"/>
  <c r="V782" i="4"/>
  <c r="E1302" i="4"/>
  <c r="N1302" i="4"/>
  <c r="O1302" i="4" s="1"/>
  <c r="V156" i="4"/>
  <c r="V364" i="4"/>
  <c r="V780" i="4"/>
  <c r="V988" i="4"/>
  <c r="E1300" i="4"/>
  <c r="N1300" i="4"/>
  <c r="O1300" i="4" s="1"/>
  <c r="V154" i="4"/>
  <c r="V362" i="4"/>
  <c r="V778" i="4"/>
  <c r="E1298" i="4"/>
  <c r="N1298" i="4"/>
  <c r="O1298" i="4" s="1"/>
  <c r="V152" i="4"/>
  <c r="V360" i="4"/>
  <c r="V776" i="4"/>
  <c r="E1296" i="4"/>
  <c r="N1296" i="4"/>
  <c r="O1296" i="4" s="1"/>
  <c r="V150" i="4"/>
  <c r="V358" i="4"/>
  <c r="V774" i="4"/>
  <c r="E1294" i="4"/>
  <c r="N1294" i="4"/>
  <c r="O1294" i="4" s="1"/>
  <c r="V148" i="4"/>
  <c r="V356" i="4"/>
  <c r="V772" i="4"/>
  <c r="E1292" i="4"/>
  <c r="N1292" i="4"/>
  <c r="O1292" i="4" s="1"/>
  <c r="V146" i="4"/>
  <c r="V354" i="4"/>
  <c r="V770" i="4"/>
  <c r="E1290" i="4"/>
  <c r="N1290" i="4"/>
  <c r="O1290" i="4" s="1"/>
  <c r="V144" i="4"/>
  <c r="V352" i="4"/>
  <c r="V768" i="4"/>
  <c r="E1288" i="4"/>
  <c r="N1288" i="4"/>
  <c r="O1288" i="4" s="1"/>
  <c r="V142" i="4"/>
  <c r="V350" i="4"/>
  <c r="V766" i="4"/>
  <c r="E1286" i="4"/>
  <c r="N1286" i="4"/>
  <c r="O1286" i="4" s="1"/>
  <c r="V140" i="4"/>
  <c r="V348" i="4"/>
  <c r="V764" i="4"/>
  <c r="E1284" i="4"/>
  <c r="N1284" i="4"/>
  <c r="O1284" i="4" s="1"/>
  <c r="V138" i="4"/>
  <c r="V346" i="4"/>
  <c r="V762" i="4"/>
  <c r="E1282" i="4"/>
  <c r="N1282" i="4"/>
  <c r="O1282" i="4" s="1"/>
  <c r="V136" i="4"/>
  <c r="V344" i="4"/>
  <c r="V760" i="4"/>
  <c r="E1280" i="4"/>
  <c r="N1280" i="4"/>
  <c r="O1280" i="4" s="1"/>
  <c r="V134" i="4"/>
  <c r="V342" i="4"/>
  <c r="V758" i="4"/>
  <c r="E1278" i="4"/>
  <c r="N1278" i="4"/>
  <c r="O1278" i="4" s="1"/>
  <c r="V132" i="4"/>
  <c r="V340" i="4"/>
  <c r="V756" i="4"/>
  <c r="E1276" i="4"/>
  <c r="N1276" i="4"/>
  <c r="O1276" i="4" s="1"/>
  <c r="V130" i="4"/>
  <c r="V338" i="4"/>
  <c r="V546" i="4"/>
  <c r="V754" i="4"/>
  <c r="E1274" i="4"/>
  <c r="N1274" i="4"/>
  <c r="O1274" i="4" s="1"/>
  <c r="V128" i="4"/>
  <c r="V336" i="4"/>
  <c r="V752" i="4"/>
  <c r="E1272" i="4"/>
  <c r="N1272" i="4"/>
  <c r="O1272" i="4" s="1"/>
  <c r="V126" i="4"/>
  <c r="V334" i="4"/>
  <c r="V750" i="4"/>
  <c r="E1270" i="4"/>
  <c r="N1270" i="4"/>
  <c r="O1270" i="4" s="1"/>
  <c r="V124" i="4"/>
  <c r="V332" i="4"/>
  <c r="V748" i="4"/>
  <c r="E1268" i="4"/>
  <c r="N1268" i="4"/>
  <c r="O1268" i="4" s="1"/>
  <c r="V122" i="4"/>
  <c r="V330" i="4"/>
  <c r="V746" i="4"/>
  <c r="E1266" i="4"/>
  <c r="N1266" i="4"/>
  <c r="O1266" i="4" s="1"/>
  <c r="V120" i="4"/>
  <c r="V328" i="4"/>
  <c r="V744" i="4"/>
  <c r="V952" i="4"/>
  <c r="E1264" i="4"/>
  <c r="N1264" i="4"/>
  <c r="O1264" i="4" s="1"/>
  <c r="V118" i="4"/>
  <c r="V326" i="4"/>
  <c r="V742" i="4"/>
  <c r="V950" i="4"/>
  <c r="E1262" i="4"/>
  <c r="N1262" i="4"/>
  <c r="O1262" i="4" s="1"/>
  <c r="V116" i="4"/>
  <c r="V324" i="4"/>
  <c r="V740" i="4"/>
  <c r="V948" i="4"/>
  <c r="E1260" i="4"/>
  <c r="N1260" i="4"/>
  <c r="O1260" i="4" s="1"/>
  <c r="V114" i="4"/>
  <c r="V322" i="4"/>
  <c r="V738" i="4"/>
  <c r="V946" i="4"/>
  <c r="E1258" i="4"/>
  <c r="N1258" i="4"/>
  <c r="O1258" i="4" s="1"/>
  <c r="V112" i="4"/>
  <c r="V320" i="4"/>
  <c r="V736" i="4"/>
  <c r="V944" i="4"/>
  <c r="E1256" i="4"/>
  <c r="N1256" i="4"/>
  <c r="O1256" i="4" s="1"/>
  <c r="E107" i="4"/>
  <c r="N107" i="4"/>
  <c r="E211" i="4"/>
  <c r="V110" i="4"/>
  <c r="K211" i="4"/>
  <c r="N211" i="4"/>
  <c r="Q211" i="4"/>
  <c r="N419" i="4"/>
  <c r="Q419" i="4"/>
  <c r="E419" i="4"/>
  <c r="V318" i="4"/>
  <c r="K419" i="4"/>
  <c r="K627" i="4"/>
  <c r="V526" i="4"/>
  <c r="N627" i="4"/>
  <c r="Q627" i="4"/>
  <c r="E627" i="4"/>
  <c r="Q835" i="4"/>
  <c r="E835" i="4"/>
  <c r="V734" i="4"/>
  <c r="K835" i="4"/>
  <c r="N835" i="4"/>
  <c r="K1043" i="4"/>
  <c r="V942" i="4"/>
  <c r="Q1043" i="4"/>
  <c r="E1147" i="4"/>
  <c r="N1147" i="4"/>
  <c r="E1254" i="4"/>
  <c r="E1251" i="4"/>
  <c r="N1251" i="4"/>
  <c r="N1254" i="4"/>
  <c r="I9" i="23"/>
  <c r="F9" i="23"/>
  <c r="I9" i="22"/>
  <c r="F9" i="22"/>
  <c r="AE729" i="4"/>
  <c r="AI729" i="4" s="1"/>
  <c r="AE1145" i="4"/>
  <c r="AI1145" i="4" s="1"/>
  <c r="AE205" i="4"/>
  <c r="AI205" i="4" s="1"/>
  <c r="AE621" i="4"/>
  <c r="AI621" i="4" s="1"/>
  <c r="AE1037" i="4"/>
  <c r="AI1037" i="4" s="1"/>
  <c r="AE405" i="4"/>
  <c r="AI405" i="4" s="1"/>
  <c r="AE821" i="4"/>
  <c r="AI821" i="4" s="1"/>
  <c r="C1341" i="4"/>
  <c r="F1237" i="4"/>
  <c r="AE297" i="4"/>
  <c r="AI297" i="4" s="1"/>
  <c r="AE609" i="4"/>
  <c r="AI609" i="4" s="1"/>
  <c r="AE1129" i="4"/>
  <c r="AI1129" i="4" s="1"/>
  <c r="AE189" i="4"/>
  <c r="AI189" i="4" s="1"/>
  <c r="AE709" i="4"/>
  <c r="AI709" i="4" s="1"/>
  <c r="AE393" i="4"/>
  <c r="AI393" i="4" s="1"/>
  <c r="AE913" i="4"/>
  <c r="AI913" i="4" s="1"/>
  <c r="AE805" i="4"/>
  <c r="AI805" i="4" s="1"/>
  <c r="C1325" i="4"/>
  <c r="F1221" i="4"/>
  <c r="AE281" i="4"/>
  <c r="AI281" i="4" s="1"/>
  <c r="AE697" i="4"/>
  <c r="AI697" i="4" s="1"/>
  <c r="AE1113" i="4"/>
  <c r="AI1113" i="4" s="1"/>
  <c r="AE65" i="4"/>
  <c r="AI65" i="4" s="1"/>
  <c r="AE481" i="4"/>
  <c r="AI481" i="4" s="1"/>
  <c r="AE897" i="4"/>
  <c r="AI897" i="4" s="1"/>
  <c r="AE789" i="4"/>
  <c r="AI789" i="4" s="1"/>
  <c r="C1309" i="4"/>
  <c r="F1205" i="4"/>
  <c r="AE265" i="4"/>
  <c r="AI265" i="4" s="1"/>
  <c r="AE681" i="4"/>
  <c r="AI681" i="4" s="1"/>
  <c r="AE1097" i="4"/>
  <c r="AI1097" i="4" s="1"/>
  <c r="AE49" i="4"/>
  <c r="AI49" i="4" s="1"/>
  <c r="AE465" i="4"/>
  <c r="AI465" i="4" s="1"/>
  <c r="AE881" i="4"/>
  <c r="AI881" i="4" s="1"/>
  <c r="AE773" i="4"/>
  <c r="AI773" i="4" s="1"/>
  <c r="C1293" i="4"/>
  <c r="F1189" i="4"/>
  <c r="AE249" i="4"/>
  <c r="AI249" i="4" s="1"/>
  <c r="AE665" i="4"/>
  <c r="AI665" i="4" s="1"/>
  <c r="AE1081" i="4"/>
  <c r="AI1081" i="4" s="1"/>
  <c r="AE33" i="4"/>
  <c r="AI33" i="4" s="1"/>
  <c r="AE449" i="4"/>
  <c r="AI449" i="4" s="1"/>
  <c r="AE865" i="4"/>
  <c r="AI865" i="4" s="1"/>
  <c r="AE757" i="4"/>
  <c r="AI757" i="4" s="1"/>
  <c r="C1277" i="4"/>
  <c r="F1173" i="4"/>
  <c r="AE233" i="4"/>
  <c r="AI233" i="4" s="1"/>
  <c r="AE649" i="4"/>
  <c r="AI649" i="4" s="1"/>
  <c r="AE1065" i="4"/>
  <c r="AI1065" i="4" s="1"/>
  <c r="G86" i="19"/>
  <c r="AO86" i="14"/>
  <c r="AE387" i="4"/>
  <c r="AI387" i="4" s="1"/>
  <c r="AE803" i="4"/>
  <c r="AI803" i="4" s="1"/>
  <c r="C1323" i="4"/>
  <c r="F1219" i="4"/>
  <c r="AE791" i="4"/>
  <c r="AI791" i="4" s="1"/>
  <c r="C1311" i="4"/>
  <c r="F1207" i="4"/>
  <c r="AE787" i="4"/>
  <c r="AI787" i="4" s="1"/>
  <c r="C1307" i="4"/>
  <c r="F1203" i="4"/>
  <c r="AE243" i="4"/>
  <c r="AI243" i="4" s="1"/>
  <c r="AE659" i="4"/>
  <c r="AI659" i="4" s="1"/>
  <c r="AE1075" i="4"/>
  <c r="AI1075" i="4" s="1"/>
  <c r="D18" i="23"/>
  <c r="D60" i="5"/>
  <c r="D18" i="5"/>
  <c r="V126" i="16"/>
  <c r="V123" i="16"/>
  <c r="K36" i="5"/>
  <c r="V116" i="16"/>
  <c r="V115" i="16"/>
  <c r="BB22" i="8"/>
  <c r="DS24" i="62" s="1"/>
  <c r="AE22" i="8"/>
  <c r="K46" i="5" s="1"/>
  <c r="I10" i="26"/>
  <c r="F10" i="26"/>
  <c r="F314" i="4"/>
  <c r="F730" i="4"/>
  <c r="F1146" i="4"/>
  <c r="F310" i="4"/>
  <c r="F726" i="4"/>
  <c r="F1142" i="4"/>
  <c r="F306" i="4"/>
  <c r="F722" i="4"/>
  <c r="F1138" i="4"/>
  <c r="F302" i="4"/>
  <c r="F718" i="4"/>
  <c r="F1134" i="4"/>
  <c r="F298" i="4"/>
  <c r="F714" i="4"/>
  <c r="F1130" i="4"/>
  <c r="F294" i="4"/>
  <c r="F710" i="4"/>
  <c r="F1126" i="4"/>
  <c r="F290" i="4"/>
  <c r="F706" i="4"/>
  <c r="F1122" i="4"/>
  <c r="F286" i="4"/>
  <c r="F702" i="4"/>
  <c r="F1118" i="4"/>
  <c r="G74" i="4"/>
  <c r="G178" i="4" s="1"/>
  <c r="I74" i="14"/>
  <c r="F386" i="4"/>
  <c r="F802" i="4"/>
  <c r="C1322" i="4"/>
  <c r="F1218" i="4"/>
  <c r="G70" i="4"/>
  <c r="G174" i="4" s="1"/>
  <c r="I70" i="14"/>
  <c r="F382" i="4"/>
  <c r="F798" i="4"/>
  <c r="C1318" i="4"/>
  <c r="F1214" i="4"/>
  <c r="G66" i="4"/>
  <c r="G170" i="4" s="1"/>
  <c r="I66" i="14"/>
  <c r="F378" i="4"/>
  <c r="F794" i="4"/>
  <c r="C1314" i="4"/>
  <c r="F1210" i="4"/>
  <c r="F62" i="4"/>
  <c r="F478" i="4"/>
  <c r="F894" i="4"/>
  <c r="F162" i="4"/>
  <c r="F578" i="4"/>
  <c r="F994" i="4"/>
  <c r="F158" i="4"/>
  <c r="F574" i="4"/>
  <c r="F990" i="4"/>
  <c r="F154" i="4"/>
  <c r="F570" i="4"/>
  <c r="F986" i="4"/>
  <c r="F150" i="4"/>
  <c r="F566" i="4"/>
  <c r="F982" i="4"/>
  <c r="F146" i="4"/>
  <c r="F562" i="4"/>
  <c r="F978" i="4"/>
  <c r="F142" i="4"/>
  <c r="F558" i="4"/>
  <c r="F974" i="4"/>
  <c r="F242" i="4"/>
  <c r="F658" i="4"/>
  <c r="F1074" i="4"/>
  <c r="F238" i="4"/>
  <c r="F654" i="4"/>
  <c r="F1070" i="4"/>
  <c r="F234" i="4"/>
  <c r="F650" i="4"/>
  <c r="F1066" i="4"/>
  <c r="V7" i="4"/>
  <c r="V215" i="4"/>
  <c r="V423" i="4"/>
  <c r="V631" i="4"/>
  <c r="V1047" i="4"/>
  <c r="Q1255" i="4"/>
  <c r="R1255" i="4" s="1"/>
  <c r="K1255" i="4"/>
  <c r="L1255" i="4" s="1"/>
  <c r="V1151" i="4"/>
  <c r="I11" i="24"/>
  <c r="F11" i="24"/>
  <c r="I11" i="25"/>
  <c r="F11" i="25"/>
  <c r="I5" i="25"/>
  <c r="F5" i="25"/>
  <c r="D5" i="25" s="1"/>
  <c r="I5" i="24"/>
  <c r="F5" i="24"/>
  <c r="H103" i="4"/>
  <c r="G102" i="19"/>
  <c r="AO102" i="14"/>
  <c r="AE407" i="4"/>
  <c r="AI407" i="4" s="1"/>
  <c r="AE823" i="4"/>
  <c r="AI823" i="4" s="1"/>
  <c r="C1343" i="4"/>
  <c r="F1239" i="4"/>
  <c r="H155" i="4"/>
  <c r="H151" i="4"/>
  <c r="G38" i="19"/>
  <c r="AO38" i="14"/>
  <c r="AE239" i="4"/>
  <c r="AI239" i="4" s="1"/>
  <c r="AE655" i="4"/>
  <c r="AI655" i="4" s="1"/>
  <c r="AE1071" i="4"/>
  <c r="AI1071" i="4" s="1"/>
  <c r="D32" i="62"/>
  <c r="AM55" i="5"/>
  <c r="BH26" i="5"/>
  <c r="BV26" i="5" s="1"/>
  <c r="CJ26" i="5" s="1"/>
  <c r="CX26" i="5" s="1"/>
  <c r="DL26" i="5" s="1"/>
  <c r="DZ26" i="5" s="1"/>
  <c r="EN26" i="5" s="1"/>
  <c r="FB26" i="5" s="1"/>
  <c r="FP26" i="5" s="1"/>
  <c r="BH18" i="5"/>
  <c r="BV18" i="5" s="1"/>
  <c r="CJ18" i="5" s="1"/>
  <c r="CX18" i="5" s="1"/>
  <c r="DL18" i="5" s="1"/>
  <c r="DZ18" i="5" s="1"/>
  <c r="EN18" i="5" s="1"/>
  <c r="FB18" i="5" s="1"/>
  <c r="FP18" i="5" s="1"/>
  <c r="AH173" i="16"/>
  <c r="AD173" i="16"/>
  <c r="Z173" i="16"/>
  <c r="AG173" i="16"/>
  <c r="AC173" i="16"/>
  <c r="Y173" i="16"/>
  <c r="U173" i="16"/>
  <c r="E194" i="16"/>
  <c r="AF173" i="16"/>
  <c r="AB173" i="16"/>
  <c r="X173" i="16"/>
  <c r="AE173" i="16"/>
  <c r="AA173" i="16"/>
  <c r="W173" i="16"/>
  <c r="AH165" i="16"/>
  <c r="AD165" i="16"/>
  <c r="Z165" i="16"/>
  <c r="AG165" i="16"/>
  <c r="AC165" i="16"/>
  <c r="Y165" i="16"/>
  <c r="U165" i="16"/>
  <c r="E186" i="16"/>
  <c r="AF165" i="16"/>
  <c r="AB165" i="16"/>
  <c r="X165" i="16"/>
  <c r="AE165" i="16"/>
  <c r="AA165" i="16"/>
  <c r="W165" i="16"/>
  <c r="AA138" i="16"/>
  <c r="AG132" i="16"/>
  <c r="EU21" i="62" s="1"/>
  <c r="AF31" i="5"/>
  <c r="AT31" i="5" s="1"/>
  <c r="BH31" i="5" s="1"/>
  <c r="BV31" i="5" s="1"/>
  <c r="CJ31" i="5" s="1"/>
  <c r="CX31" i="5" s="1"/>
  <c r="DL31" i="5" s="1"/>
  <c r="DZ31" i="5" s="1"/>
  <c r="EN31" i="5" s="1"/>
  <c r="FB31" i="5" s="1"/>
  <c r="FP31" i="5" s="1"/>
  <c r="AM29" i="62"/>
  <c r="W1353" i="4"/>
  <c r="T1353" i="4"/>
  <c r="Q1351" i="4"/>
  <c r="R1351" i="4" s="1"/>
  <c r="T1351" i="4"/>
  <c r="N1349" i="4"/>
  <c r="O1349" i="4" s="1"/>
  <c r="T1349" i="4"/>
  <c r="X1347" i="4"/>
  <c r="T1347" i="4"/>
  <c r="W1345" i="4"/>
  <c r="T1345" i="4"/>
  <c r="Q1343" i="4"/>
  <c r="R1343" i="4" s="1"/>
  <c r="T1343" i="4"/>
  <c r="V613" i="4"/>
  <c r="AE613" i="4" s="1"/>
  <c r="AI613" i="4" s="1"/>
  <c r="N1341" i="4"/>
  <c r="O1341" i="4" s="1"/>
  <c r="T1341" i="4"/>
  <c r="V403" i="4"/>
  <c r="X1339" i="4"/>
  <c r="T1339" i="4"/>
  <c r="V505" i="4"/>
  <c r="AE505" i="4" s="1"/>
  <c r="AI505" i="4" s="1"/>
  <c r="W1337" i="4"/>
  <c r="T1337" i="4"/>
  <c r="V399" i="4"/>
  <c r="V607" i="4"/>
  <c r="Q1335" i="4"/>
  <c r="R1335" i="4" s="1"/>
  <c r="T1335" i="4"/>
  <c r="V501" i="4"/>
  <c r="AE501" i="4" s="1"/>
  <c r="AI501" i="4" s="1"/>
  <c r="N1333" i="4"/>
  <c r="O1333" i="4" s="1"/>
  <c r="T1333" i="4"/>
  <c r="V603" i="4"/>
  <c r="X1331" i="4"/>
  <c r="T1331" i="4"/>
  <c r="W1329" i="4"/>
  <c r="T1329" i="4"/>
  <c r="V391" i="4"/>
  <c r="X1327" i="4"/>
  <c r="Z1327" i="4"/>
  <c r="V181" i="4"/>
  <c r="AE181" i="4" s="1"/>
  <c r="AI181" i="4" s="1"/>
  <c r="X1325" i="4"/>
  <c r="Z1325" i="4"/>
  <c r="X1323" i="4"/>
  <c r="Z1323" i="4"/>
  <c r="X1321" i="4"/>
  <c r="Z1321" i="4"/>
  <c r="X1319" i="4"/>
  <c r="Z1319" i="4"/>
  <c r="X1317" i="4"/>
  <c r="Z1317" i="4"/>
  <c r="X1315" i="4"/>
  <c r="Z1315" i="4"/>
  <c r="X1313" i="4"/>
  <c r="Z1313" i="4"/>
  <c r="X1311" i="4"/>
  <c r="Z1311" i="4"/>
  <c r="X1309" i="4"/>
  <c r="Z1309" i="4"/>
  <c r="X1307" i="4"/>
  <c r="Z1307" i="4"/>
  <c r="X1305" i="4"/>
  <c r="Z1305" i="4"/>
  <c r="X1303" i="4"/>
  <c r="Z1303" i="4"/>
  <c r="X1301" i="4"/>
  <c r="Z1301" i="4"/>
  <c r="X1299" i="4"/>
  <c r="Z1299" i="4"/>
  <c r="X1297" i="4"/>
  <c r="Z1297" i="4"/>
  <c r="X1295" i="4"/>
  <c r="Z1295" i="4"/>
  <c r="X1293" i="4"/>
  <c r="Z1293" i="4"/>
  <c r="X1291" i="4"/>
  <c r="Z1291" i="4"/>
  <c r="X1289" i="4"/>
  <c r="Z1289" i="4"/>
  <c r="X1287" i="4"/>
  <c r="Z1287" i="4"/>
  <c r="X1285" i="4"/>
  <c r="Z1285" i="4"/>
  <c r="X1283" i="4"/>
  <c r="Z1283" i="4"/>
  <c r="X1281" i="4"/>
  <c r="Z1281" i="4"/>
  <c r="X1279" i="4"/>
  <c r="Z1279" i="4"/>
  <c r="X1277" i="4"/>
  <c r="Z1277" i="4"/>
  <c r="X1275" i="4"/>
  <c r="Z1275" i="4"/>
  <c r="X1273" i="4"/>
  <c r="Z1273" i="4"/>
  <c r="X1271" i="4"/>
  <c r="Z1271" i="4"/>
  <c r="X1269" i="4"/>
  <c r="Z1269" i="4"/>
  <c r="X1267" i="4"/>
  <c r="Z1267" i="4"/>
  <c r="X1265" i="4"/>
  <c r="Z1265" i="4"/>
  <c r="X1263" i="4"/>
  <c r="Z1263" i="4"/>
  <c r="X1261" i="4"/>
  <c r="Z1261" i="4"/>
  <c r="X1259" i="4"/>
  <c r="Z1259" i="4"/>
  <c r="X1257" i="4"/>
  <c r="Z1257" i="4"/>
  <c r="F125" i="18"/>
  <c r="G106" i="19"/>
  <c r="AO106" i="14"/>
  <c r="F411" i="4"/>
  <c r="F827" i="4"/>
  <c r="C1347" i="4"/>
  <c r="F1243" i="4"/>
  <c r="F507" i="4"/>
  <c r="F715" i="4"/>
  <c r="F1131" i="4"/>
  <c r="F191" i="4"/>
  <c r="F711" i="4"/>
  <c r="F1023" i="4"/>
  <c r="F187" i="4"/>
  <c r="F707" i="4"/>
  <c r="F1019" i="4"/>
  <c r="F71" i="4"/>
  <c r="F487" i="4"/>
  <c r="F903" i="4"/>
  <c r="G66" i="19"/>
  <c r="AO66" i="14"/>
  <c r="AF44" i="62"/>
  <c r="AT44" i="62" s="1"/>
  <c r="BH44" i="62" s="1"/>
  <c r="BH32" i="62"/>
  <c r="BV32" i="62" s="1"/>
  <c r="CJ32" i="62" s="1"/>
  <c r="CX32" i="62" s="1"/>
  <c r="DL32" i="62" s="1"/>
  <c r="DZ32" i="62" s="1"/>
  <c r="EN32" i="62" s="1"/>
  <c r="FB32" i="62" s="1"/>
  <c r="FP32" i="62" s="1"/>
  <c r="BH25" i="62"/>
  <c r="BV25" i="62" s="1"/>
  <c r="CJ25" i="62" s="1"/>
  <c r="CX25" i="62" s="1"/>
  <c r="DL25" i="62" s="1"/>
  <c r="DZ25" i="62" s="1"/>
  <c r="EN25" i="62" s="1"/>
  <c r="AF175" i="16"/>
  <c r="AB175" i="16"/>
  <c r="X175" i="16"/>
  <c r="AE175" i="16"/>
  <c r="AA175" i="16"/>
  <c r="W175" i="16"/>
  <c r="AH175" i="16"/>
  <c r="AD175" i="16"/>
  <c r="Z175" i="16"/>
  <c r="AG175" i="16"/>
  <c r="AC175" i="16"/>
  <c r="Y175" i="16"/>
  <c r="X132" i="16"/>
  <c r="Y21" i="62" s="1"/>
  <c r="D42" i="5"/>
  <c r="FI30" i="5"/>
  <c r="C12" i="18"/>
  <c r="D12" i="17"/>
  <c r="I12" i="21"/>
  <c r="F12" i="21"/>
  <c r="I6" i="21"/>
  <c r="F6" i="21"/>
  <c r="D6" i="21" s="1"/>
  <c r="C6" i="18"/>
  <c r="D6" i="17"/>
  <c r="C4" i="18"/>
  <c r="D4" i="17"/>
  <c r="C4" i="21"/>
  <c r="F208" i="4"/>
  <c r="F624" i="4"/>
  <c r="F1040" i="4"/>
  <c r="F204" i="4"/>
  <c r="F620" i="4"/>
  <c r="F1036" i="4"/>
  <c r="F200" i="4"/>
  <c r="F616" i="4"/>
  <c r="F1032" i="4"/>
  <c r="F196" i="4"/>
  <c r="F612" i="4"/>
  <c r="F1028" i="4"/>
  <c r="F192" i="4"/>
  <c r="F608" i="4"/>
  <c r="F1024" i="4"/>
  <c r="F188" i="4"/>
  <c r="F604" i="4"/>
  <c r="F1020" i="4"/>
  <c r="F184" i="4"/>
  <c r="F600" i="4"/>
  <c r="F1016" i="4"/>
  <c r="F76" i="4"/>
  <c r="F492" i="4"/>
  <c r="F908" i="4"/>
  <c r="N75" i="14"/>
  <c r="AJ75" i="14"/>
  <c r="AL75" i="14" s="1"/>
  <c r="K75" i="14"/>
  <c r="F72" i="4"/>
  <c r="F488" i="4"/>
  <c r="F904" i="4"/>
  <c r="F172" i="4"/>
  <c r="F588" i="4"/>
  <c r="F1004" i="4"/>
  <c r="F64" i="4"/>
  <c r="F480" i="4"/>
  <c r="F896" i="4"/>
  <c r="N63" i="14"/>
  <c r="AJ63" i="14"/>
  <c r="AL63" i="14" s="1"/>
  <c r="K63" i="14"/>
  <c r="F60" i="4"/>
  <c r="F476" i="4"/>
  <c r="F892" i="4"/>
  <c r="N59" i="14"/>
  <c r="AJ59" i="14"/>
  <c r="AL59" i="14" s="1"/>
  <c r="K59" i="14"/>
  <c r="F56" i="4"/>
  <c r="F472" i="4"/>
  <c r="F888" i="4"/>
  <c r="N55" i="14"/>
  <c r="AJ55" i="14"/>
  <c r="AL55" i="14" s="1"/>
  <c r="K55" i="14"/>
  <c r="F52" i="4"/>
  <c r="F468" i="4"/>
  <c r="F884" i="4"/>
  <c r="F48" i="4"/>
  <c r="F464" i="4"/>
  <c r="F880" i="4"/>
  <c r="F44" i="4"/>
  <c r="F460" i="4"/>
  <c r="F876" i="4"/>
  <c r="F40" i="4"/>
  <c r="F456" i="4"/>
  <c r="F872" i="4"/>
  <c r="N39" i="14"/>
  <c r="K39" i="14"/>
  <c r="AJ39" i="14"/>
  <c r="AL39" i="14" s="1"/>
  <c r="G36" i="4"/>
  <c r="G140" i="4" s="1"/>
  <c r="I36" i="14"/>
  <c r="F348" i="4"/>
  <c r="F764" i="4"/>
  <c r="C1284" i="4"/>
  <c r="F1180" i="4"/>
  <c r="F240" i="4"/>
  <c r="F656" i="4"/>
  <c r="F1072" i="4"/>
  <c r="F236" i="4"/>
  <c r="F652" i="4"/>
  <c r="F1068" i="4"/>
  <c r="F128" i="4"/>
  <c r="F544" i="4"/>
  <c r="F960" i="4"/>
  <c r="G22" i="4"/>
  <c r="G126" i="4" s="1"/>
  <c r="I22" i="14"/>
  <c r="F334" i="4"/>
  <c r="F750" i="4"/>
  <c r="C1270" i="4"/>
  <c r="F1166" i="4"/>
  <c r="F125" i="4"/>
  <c r="F541" i="4"/>
  <c r="F957" i="4"/>
  <c r="G20" i="4"/>
  <c r="G124" i="4" s="1"/>
  <c r="I20" i="14"/>
  <c r="F332" i="4"/>
  <c r="F748" i="4"/>
  <c r="C1268" i="4"/>
  <c r="F1164" i="4"/>
  <c r="F123" i="4"/>
  <c r="F539" i="4"/>
  <c r="F955" i="4"/>
  <c r="G18" i="4"/>
  <c r="G122" i="4" s="1"/>
  <c r="I18" i="14"/>
  <c r="F330" i="4"/>
  <c r="F746" i="4"/>
  <c r="C1266" i="4"/>
  <c r="F1162" i="4"/>
  <c r="F121" i="4"/>
  <c r="F537" i="4"/>
  <c r="F953" i="4"/>
  <c r="G16" i="4"/>
  <c r="G120" i="4" s="1"/>
  <c r="I16" i="14"/>
  <c r="F328" i="4"/>
  <c r="F744" i="4"/>
  <c r="C1264" i="4"/>
  <c r="F1160" i="4"/>
  <c r="F119" i="4"/>
  <c r="F535" i="4"/>
  <c r="F951" i="4"/>
  <c r="G14" i="4"/>
  <c r="G118" i="4" s="1"/>
  <c r="I14" i="14"/>
  <c r="F326" i="4"/>
  <c r="F742" i="4"/>
  <c r="C1262" i="4"/>
  <c r="F1158" i="4"/>
  <c r="F117" i="4"/>
  <c r="F533" i="4"/>
  <c r="F949" i="4"/>
  <c r="G12" i="4"/>
  <c r="G116" i="4" s="1"/>
  <c r="I12" i="14"/>
  <c r="F324" i="4"/>
  <c r="F740" i="4"/>
  <c r="C1260" i="4"/>
  <c r="F1156" i="4"/>
  <c r="F115" i="4"/>
  <c r="F531" i="4"/>
  <c r="F947" i="4"/>
  <c r="G10" i="4"/>
  <c r="G114" i="4" s="1"/>
  <c r="I10" i="14"/>
  <c r="F322" i="4"/>
  <c r="F738" i="4"/>
  <c r="C1258" i="4"/>
  <c r="F1154" i="4"/>
  <c r="F113" i="4"/>
  <c r="F529" i="4"/>
  <c r="F945" i="4"/>
  <c r="G8" i="4"/>
  <c r="G112" i="4" s="1"/>
  <c r="I8" i="14"/>
  <c r="F320" i="4"/>
  <c r="F736" i="4"/>
  <c r="C1256" i="4"/>
  <c r="F1152" i="4"/>
  <c r="F111" i="4"/>
  <c r="F527" i="4"/>
  <c r="F943" i="4"/>
  <c r="T107" i="14"/>
  <c r="T109" i="14" s="1"/>
  <c r="Z6" i="14"/>
  <c r="C315" i="4"/>
  <c r="F214" i="4"/>
  <c r="C731" i="4"/>
  <c r="F630" i="4"/>
  <c r="C1147" i="4"/>
  <c r="F1046" i="4"/>
  <c r="G4" i="29"/>
  <c r="I4" i="29"/>
  <c r="K4" i="29" s="1"/>
  <c r="H5" i="29"/>
  <c r="F79" i="4"/>
  <c r="F391" i="4"/>
  <c r="F911" i="4"/>
  <c r="G74" i="19"/>
  <c r="AO74" i="14"/>
  <c r="F67" i="4"/>
  <c r="F483" i="4"/>
  <c r="F899" i="4"/>
  <c r="G62" i="19"/>
  <c r="AO62" i="14"/>
  <c r="F55" i="4"/>
  <c r="F471" i="4"/>
  <c r="F887" i="4"/>
  <c r="G54" i="19"/>
  <c r="AO54" i="14"/>
  <c r="F247" i="4"/>
  <c r="F663" i="4"/>
  <c r="F1079" i="4"/>
  <c r="F235" i="4"/>
  <c r="F651" i="4"/>
  <c r="F1067" i="4"/>
  <c r="F231" i="4"/>
  <c r="F647" i="4"/>
  <c r="F1063" i="4"/>
  <c r="L3" i="29"/>
  <c r="AJ99" i="14"/>
  <c r="AL99" i="14" s="1"/>
  <c r="G95" i="4"/>
  <c r="G199" i="4" s="1"/>
  <c r="H199" i="4" s="1"/>
  <c r="I95" i="14"/>
  <c r="AJ83" i="14"/>
  <c r="AL83" i="14" s="1"/>
  <c r="AJ71" i="14"/>
  <c r="AL71" i="14" s="1"/>
  <c r="AJ43" i="14"/>
  <c r="AL43" i="14" s="1"/>
  <c r="AI105" i="14"/>
  <c r="C105" i="19" s="1"/>
  <c r="B101" i="19"/>
  <c r="AG93" i="16"/>
  <c r="AC93" i="16"/>
  <c r="Y93" i="16"/>
  <c r="AF93" i="16"/>
  <c r="AB93" i="16"/>
  <c r="X93" i="16"/>
  <c r="AE93" i="16"/>
  <c r="AA93" i="16"/>
  <c r="W93" i="16"/>
  <c r="AH93" i="16"/>
  <c r="AD93" i="16"/>
  <c r="Z93" i="16"/>
  <c r="AI89" i="14"/>
  <c r="C89" i="19" s="1"/>
  <c r="B85" i="19"/>
  <c r="AG77" i="16"/>
  <c r="AC77" i="16"/>
  <c r="Y77" i="16"/>
  <c r="AF77" i="16"/>
  <c r="AB77" i="16"/>
  <c r="X77" i="16"/>
  <c r="AE77" i="16"/>
  <c r="AA77" i="16"/>
  <c r="W77" i="16"/>
  <c r="AH77" i="16"/>
  <c r="AD77" i="16"/>
  <c r="Z77" i="16"/>
  <c r="AI73" i="14"/>
  <c r="C73" i="19" s="1"/>
  <c r="AM68" i="19"/>
  <c r="AI68" i="19"/>
  <c r="AL68" i="19"/>
  <c r="AH68" i="19"/>
  <c r="AK68" i="19"/>
  <c r="AG68" i="19"/>
  <c r="AJ68" i="19"/>
  <c r="AF68" i="19"/>
  <c r="AG61" i="16"/>
  <c r="AC61" i="16"/>
  <c r="Y61" i="16"/>
  <c r="AF61" i="16"/>
  <c r="AB61" i="16"/>
  <c r="X61" i="16"/>
  <c r="AE61" i="16"/>
  <c r="AA61" i="16"/>
  <c r="W61" i="16"/>
  <c r="AH61" i="16"/>
  <c r="AD61" i="16"/>
  <c r="Z61" i="16"/>
  <c r="B57" i="19"/>
  <c r="D57" i="19" s="1"/>
  <c r="AG45" i="16"/>
  <c r="AC45" i="16"/>
  <c r="Y45" i="16"/>
  <c r="AF45" i="16"/>
  <c r="AB45" i="16"/>
  <c r="X45" i="16"/>
  <c r="AE45" i="16"/>
  <c r="AA45" i="16"/>
  <c r="W45" i="16"/>
  <c r="AH45" i="16"/>
  <c r="AD45" i="16"/>
  <c r="Z45" i="16"/>
  <c r="B103" i="19"/>
  <c r="AG95" i="16"/>
  <c r="AC95" i="16"/>
  <c r="Y95" i="16"/>
  <c r="AF95" i="16"/>
  <c r="AB95" i="16"/>
  <c r="X95" i="16"/>
  <c r="AE95" i="16"/>
  <c r="AA95" i="16"/>
  <c r="W95" i="16"/>
  <c r="AH95" i="16"/>
  <c r="AD95" i="16"/>
  <c r="Z95" i="16"/>
  <c r="B87" i="19"/>
  <c r="AG79" i="16"/>
  <c r="AC79" i="16"/>
  <c r="Y79" i="16"/>
  <c r="AF79" i="16"/>
  <c r="AB79" i="16"/>
  <c r="X79" i="16"/>
  <c r="AE79" i="16"/>
  <c r="AA79" i="16"/>
  <c r="W79" i="16"/>
  <c r="AH79" i="16"/>
  <c r="AD79" i="16"/>
  <c r="Z79" i="16"/>
  <c r="AM63" i="14"/>
  <c r="B63" i="19"/>
  <c r="AM59" i="14"/>
  <c r="B59" i="19"/>
  <c r="AM55" i="14"/>
  <c r="B55" i="19"/>
  <c r="AM51" i="14"/>
  <c r="B51" i="19"/>
  <c r="AG43" i="16"/>
  <c r="AC43" i="16"/>
  <c r="Y43" i="16"/>
  <c r="AF43" i="16"/>
  <c r="AB43" i="16"/>
  <c r="X43" i="16"/>
  <c r="AE43" i="16"/>
  <c r="AA43" i="16"/>
  <c r="W43" i="16"/>
  <c r="AH43" i="16"/>
  <c r="AD43" i="16"/>
  <c r="Z43" i="16"/>
  <c r="B35" i="19"/>
  <c r="AG27" i="16"/>
  <c r="AC27" i="16"/>
  <c r="Y27" i="16"/>
  <c r="AF27" i="16"/>
  <c r="AB27" i="16"/>
  <c r="X27" i="16"/>
  <c r="AE27" i="16"/>
  <c r="AA27" i="16"/>
  <c r="W27" i="16"/>
  <c r="AH27" i="16"/>
  <c r="AD27" i="16"/>
  <c r="Z27" i="16"/>
  <c r="AJ19" i="19"/>
  <c r="AF19" i="19"/>
  <c r="AM19" i="19"/>
  <c r="AI19" i="19"/>
  <c r="AL19" i="19"/>
  <c r="AH19" i="19"/>
  <c r="AK19" i="19"/>
  <c r="AG19" i="19"/>
  <c r="AJ11" i="19"/>
  <c r="AF11" i="19"/>
  <c r="AM11" i="19"/>
  <c r="AI11" i="19"/>
  <c r="AL11" i="19"/>
  <c r="AH11" i="19"/>
  <c r="AK11" i="19"/>
  <c r="AG11" i="19"/>
  <c r="AJ7" i="19"/>
  <c r="AF7" i="19"/>
  <c r="AM7" i="19"/>
  <c r="AI7" i="19"/>
  <c r="AL7" i="19"/>
  <c r="AH7" i="19"/>
  <c r="AK7" i="19"/>
  <c r="AG7" i="19"/>
  <c r="Y160" i="16"/>
  <c r="T9" i="20" s="1"/>
  <c r="AD160" i="16"/>
  <c r="Y9" i="20" s="1"/>
  <c r="AE160" i="16"/>
  <c r="Z9" i="20" s="1"/>
  <c r="U181" i="16"/>
  <c r="AB181" i="16" s="1"/>
  <c r="W10" i="20" s="1"/>
  <c r="AJ101" i="14"/>
  <c r="AL101" i="14" s="1"/>
  <c r="AM101" i="14" s="1"/>
  <c r="G97" i="4"/>
  <c r="G201" i="4" s="1"/>
  <c r="I97" i="14"/>
  <c r="AJ85" i="14"/>
  <c r="AL85" i="14" s="1"/>
  <c r="G81" i="4"/>
  <c r="G185" i="4" s="1"/>
  <c r="I81" i="14"/>
  <c r="AJ69" i="14"/>
  <c r="AL69" i="14" s="1"/>
  <c r="G65" i="4"/>
  <c r="G169" i="4" s="1"/>
  <c r="I65" i="14"/>
  <c r="AJ53" i="14"/>
  <c r="AL53" i="14" s="1"/>
  <c r="G49" i="4"/>
  <c r="G153" i="4" s="1"/>
  <c r="I49" i="14"/>
  <c r="AJ37" i="14"/>
  <c r="AL37" i="14" s="1"/>
  <c r="AM37" i="14" s="1"/>
  <c r="G33" i="4"/>
  <c r="G137" i="4" s="1"/>
  <c r="I33" i="14"/>
  <c r="AJ31" i="14"/>
  <c r="AL31" i="14" s="1"/>
  <c r="AM31" i="14" s="1"/>
  <c r="AM16" i="19"/>
  <c r="AI16" i="19"/>
  <c r="AL16" i="19"/>
  <c r="AH16" i="19"/>
  <c r="AK16" i="19"/>
  <c r="AG16" i="19"/>
  <c r="AJ16" i="19"/>
  <c r="AF16" i="19"/>
  <c r="AM8" i="19"/>
  <c r="AI8" i="19"/>
  <c r="AL8" i="19"/>
  <c r="AH8" i="19"/>
  <c r="AK8" i="19"/>
  <c r="AG8" i="19"/>
  <c r="AJ8" i="19"/>
  <c r="AF8" i="19"/>
  <c r="AG37" i="16"/>
  <c r="AC37" i="16"/>
  <c r="Y37" i="16"/>
  <c r="AF37" i="16"/>
  <c r="AB37" i="16"/>
  <c r="X37" i="16"/>
  <c r="AE37" i="16"/>
  <c r="AA37" i="16"/>
  <c r="W37" i="16"/>
  <c r="AH37" i="16"/>
  <c r="AD37" i="16"/>
  <c r="Z37" i="16"/>
  <c r="B29" i="19"/>
  <c r="D29" i="19" s="1"/>
  <c r="AM29" i="14"/>
  <c r="AI25" i="14"/>
  <c r="C25" i="19" s="1"/>
  <c r="N34" i="44"/>
  <c r="M35" i="44"/>
  <c r="I15" i="23"/>
  <c r="F15" i="23"/>
  <c r="I7" i="23"/>
  <c r="F7" i="23"/>
  <c r="I8" i="25"/>
  <c r="F8" i="25"/>
  <c r="I15" i="22"/>
  <c r="F15" i="22"/>
  <c r="I13" i="23"/>
  <c r="F13" i="23"/>
  <c r="I7" i="22"/>
  <c r="F7" i="22"/>
  <c r="I14" i="25"/>
  <c r="F14" i="25"/>
  <c r="I13" i="18"/>
  <c r="F13" i="18"/>
  <c r="S107" i="19"/>
  <c r="V144" i="16"/>
  <c r="V143" i="16"/>
  <c r="Y138" i="16"/>
  <c r="DS47" i="62"/>
  <c r="DS23" i="62"/>
  <c r="R43" i="5"/>
  <c r="D43" i="5"/>
  <c r="C14" i="28" s="1"/>
  <c r="R39" i="5"/>
  <c r="D39" i="5"/>
  <c r="C71" i="28" s="1"/>
  <c r="R35" i="5"/>
  <c r="D35" i="5"/>
  <c r="C67" i="28" s="1"/>
  <c r="AM30" i="5"/>
  <c r="X1354" i="4"/>
  <c r="X1352" i="4"/>
  <c r="Z1350" i="4"/>
  <c r="T1350" i="4"/>
  <c r="X1350" i="4"/>
  <c r="X1348" i="4"/>
  <c r="X1346" i="4"/>
  <c r="X1344" i="4"/>
  <c r="Z1342" i="4"/>
  <c r="T1342" i="4"/>
  <c r="X1342" i="4"/>
  <c r="V300" i="4"/>
  <c r="X1340" i="4"/>
  <c r="V298" i="4"/>
  <c r="T1338" i="4"/>
  <c r="X1338" i="4"/>
  <c r="V296" i="4"/>
  <c r="V712" i="4"/>
  <c r="Z1336" i="4"/>
  <c r="X1336" i="4"/>
  <c r="V294" i="4"/>
  <c r="V814" i="4"/>
  <c r="Z1334" i="4"/>
  <c r="X1334" i="4"/>
  <c r="V292" i="4"/>
  <c r="Z1332" i="4"/>
  <c r="X1332" i="4"/>
  <c r="T1330" i="4"/>
  <c r="X1330" i="4"/>
  <c r="K1328" i="4"/>
  <c r="L1328" i="4" s="1"/>
  <c r="V1224" i="4"/>
  <c r="V1328" i="4" s="1"/>
  <c r="X1328" i="4"/>
  <c r="T1326" i="4"/>
  <c r="W1326" i="4"/>
  <c r="T1324" i="4"/>
  <c r="W1324" i="4"/>
  <c r="T1322" i="4"/>
  <c r="W1322" i="4"/>
  <c r="T1320" i="4"/>
  <c r="W1320" i="4"/>
  <c r="T1318" i="4"/>
  <c r="W1318" i="4"/>
  <c r="T1316" i="4"/>
  <c r="W1316" i="4"/>
  <c r="T1314" i="4"/>
  <c r="W1314" i="4"/>
  <c r="T1312" i="4"/>
  <c r="W1312" i="4"/>
  <c r="T1310" i="4"/>
  <c r="W1310" i="4"/>
  <c r="V164" i="4"/>
  <c r="T1308" i="4"/>
  <c r="W1308" i="4"/>
  <c r="T1306" i="4"/>
  <c r="W1306" i="4"/>
  <c r="T1304" i="4"/>
  <c r="W1304" i="4"/>
  <c r="T1302" i="4"/>
  <c r="W1302" i="4"/>
  <c r="T1300" i="4"/>
  <c r="W1300" i="4"/>
  <c r="T1298" i="4"/>
  <c r="W1298" i="4"/>
  <c r="T1296" i="4"/>
  <c r="W1296" i="4"/>
  <c r="T1294" i="4"/>
  <c r="W1294" i="4"/>
  <c r="T1292" i="4"/>
  <c r="W1292" i="4"/>
  <c r="T1290" i="4"/>
  <c r="W1290" i="4"/>
  <c r="T1288" i="4"/>
  <c r="W1288" i="4"/>
  <c r="T1286" i="4"/>
  <c r="W1286" i="4"/>
  <c r="T1284" i="4"/>
  <c r="W1284" i="4"/>
  <c r="T1282" i="4"/>
  <c r="W1282" i="4"/>
  <c r="T1280" i="4"/>
  <c r="W1280" i="4"/>
  <c r="T1278" i="4"/>
  <c r="W1278" i="4"/>
  <c r="T1276" i="4"/>
  <c r="W1276" i="4"/>
  <c r="T1274" i="4"/>
  <c r="W1274" i="4"/>
  <c r="T1272" i="4"/>
  <c r="W1272" i="4"/>
  <c r="T1270" i="4"/>
  <c r="W1270" i="4"/>
  <c r="T1268" i="4"/>
  <c r="W1268" i="4"/>
  <c r="T1266" i="4"/>
  <c r="W1266" i="4"/>
  <c r="T1264" i="4"/>
  <c r="W1264" i="4"/>
  <c r="T1262" i="4"/>
  <c r="W1262" i="4"/>
  <c r="T1260" i="4"/>
  <c r="W1260" i="4"/>
  <c r="T1258" i="4"/>
  <c r="W1258" i="4"/>
  <c r="T1256" i="4"/>
  <c r="W1256" i="4"/>
  <c r="T107" i="4"/>
  <c r="W107" i="4"/>
  <c r="T211" i="4"/>
  <c r="Z211" i="4"/>
  <c r="W211" i="4"/>
  <c r="X211" i="4"/>
  <c r="W419" i="4"/>
  <c r="X419" i="4"/>
  <c r="T419" i="4"/>
  <c r="Z419" i="4"/>
  <c r="Z627" i="4"/>
  <c r="W627" i="4"/>
  <c r="X627" i="4"/>
  <c r="T627" i="4"/>
  <c r="X835" i="4"/>
  <c r="T835" i="4"/>
  <c r="Z835" i="4"/>
  <c r="W835" i="4"/>
  <c r="Z1043" i="4"/>
  <c r="X1043" i="4"/>
  <c r="T1147" i="4"/>
  <c r="W1147" i="4"/>
  <c r="T1251" i="4"/>
  <c r="T1254" i="4"/>
  <c r="W1254" i="4"/>
  <c r="W1251" i="4"/>
  <c r="I9" i="25"/>
  <c r="F9" i="25"/>
  <c r="I9" i="24"/>
  <c r="F9" i="24"/>
  <c r="AE417" i="4"/>
  <c r="AI417" i="4" s="1"/>
  <c r="AE833" i="4"/>
  <c r="AI833" i="4" s="1"/>
  <c r="C1353" i="4"/>
  <c r="F1249" i="4"/>
  <c r="AE309" i="4"/>
  <c r="AI309" i="4" s="1"/>
  <c r="AE725" i="4"/>
  <c r="AI725" i="4" s="1"/>
  <c r="AE1141" i="4"/>
  <c r="AI1141" i="4" s="1"/>
  <c r="H201" i="4"/>
  <c r="AE201" i="4"/>
  <c r="AI201" i="4" s="1"/>
  <c r="AE617" i="4"/>
  <c r="AI617" i="4" s="1"/>
  <c r="AE1033" i="4"/>
  <c r="AI1033" i="4" s="1"/>
  <c r="H93" i="4"/>
  <c r="AE509" i="4"/>
  <c r="AI509" i="4" s="1"/>
  <c r="AE401" i="4"/>
  <c r="AI401" i="4" s="1"/>
  <c r="AE817" i="4"/>
  <c r="AI817" i="4" s="1"/>
  <c r="C1337" i="4"/>
  <c r="F1233" i="4"/>
  <c r="AE293" i="4"/>
  <c r="AI293" i="4" s="1"/>
  <c r="AE605" i="4"/>
  <c r="AI605" i="4" s="1"/>
  <c r="AE1125" i="4"/>
  <c r="AI1125" i="4" s="1"/>
  <c r="H185" i="4"/>
  <c r="AE185" i="4"/>
  <c r="AI185" i="4" s="1"/>
  <c r="AE601" i="4"/>
  <c r="AI601" i="4" s="1"/>
  <c r="H77" i="4"/>
  <c r="AE77" i="4"/>
  <c r="AI77" i="4" s="1"/>
  <c r="AE493" i="4"/>
  <c r="AI493" i="4" s="1"/>
  <c r="AE909" i="4"/>
  <c r="AI909" i="4" s="1"/>
  <c r="AE385" i="4"/>
  <c r="AI385" i="4" s="1"/>
  <c r="AE801" i="4"/>
  <c r="AI801" i="4" s="1"/>
  <c r="C1321" i="4"/>
  <c r="F1217" i="4"/>
  <c r="AE277" i="4"/>
  <c r="AI277" i="4" s="1"/>
  <c r="AE693" i="4"/>
  <c r="AI693" i="4" s="1"/>
  <c r="AE1109" i="4"/>
  <c r="AI1109" i="4" s="1"/>
  <c r="H169" i="4"/>
  <c r="H61" i="4"/>
  <c r="AE61" i="4"/>
  <c r="AI61" i="4" s="1"/>
  <c r="AE477" i="4"/>
  <c r="AI477" i="4" s="1"/>
  <c r="AE893" i="4"/>
  <c r="AI893" i="4" s="1"/>
  <c r="AE369" i="4"/>
  <c r="AI369" i="4" s="1"/>
  <c r="AE785" i="4"/>
  <c r="AI785" i="4" s="1"/>
  <c r="C1305" i="4"/>
  <c r="F1201" i="4"/>
  <c r="AE261" i="4"/>
  <c r="AI261" i="4" s="1"/>
  <c r="AE677" i="4"/>
  <c r="AI677" i="4" s="1"/>
  <c r="AE1093" i="4"/>
  <c r="AI1093" i="4" s="1"/>
  <c r="H153" i="4"/>
  <c r="H45" i="4"/>
  <c r="AE45" i="4"/>
  <c r="AI45" i="4" s="1"/>
  <c r="AE461" i="4"/>
  <c r="AI461" i="4" s="1"/>
  <c r="AE877" i="4"/>
  <c r="AI877" i="4" s="1"/>
  <c r="AE769" i="4"/>
  <c r="AI769" i="4" s="1"/>
  <c r="C1289" i="4"/>
  <c r="F1185" i="4"/>
  <c r="AE245" i="4"/>
  <c r="AI245" i="4" s="1"/>
  <c r="AE661" i="4"/>
  <c r="AI661" i="4" s="1"/>
  <c r="AE1077" i="4"/>
  <c r="AI1077" i="4" s="1"/>
  <c r="H137" i="4"/>
  <c r="H29" i="4"/>
  <c r="AE29" i="4"/>
  <c r="AI29" i="4" s="1"/>
  <c r="AE445" i="4"/>
  <c r="AI445" i="4" s="1"/>
  <c r="AE861" i="4"/>
  <c r="AI861" i="4" s="1"/>
  <c r="AE753" i="4"/>
  <c r="AI753" i="4" s="1"/>
  <c r="C1273" i="4"/>
  <c r="F1169" i="4"/>
  <c r="AE75" i="4"/>
  <c r="AI75" i="4" s="1"/>
  <c r="AE491" i="4"/>
  <c r="AI491" i="4" s="1"/>
  <c r="AE907" i="4"/>
  <c r="AI907" i="4" s="1"/>
  <c r="AE63" i="4"/>
  <c r="AI63" i="4" s="1"/>
  <c r="AE479" i="4"/>
  <c r="AI479" i="4" s="1"/>
  <c r="AE895" i="4"/>
  <c r="AI895" i="4" s="1"/>
  <c r="AE59" i="4"/>
  <c r="AI59" i="4" s="1"/>
  <c r="AE475" i="4"/>
  <c r="AI475" i="4" s="1"/>
  <c r="AE891" i="4"/>
  <c r="AI891" i="4" s="1"/>
  <c r="G46" i="19"/>
  <c r="AO46" i="14"/>
  <c r="AE763" i="4"/>
  <c r="AI763" i="4" s="1"/>
  <c r="C1283" i="4"/>
  <c r="F1179" i="4"/>
  <c r="BH17" i="5"/>
  <c r="BV17" i="5" s="1"/>
  <c r="CJ17" i="5" s="1"/>
  <c r="CX17" i="5" s="1"/>
  <c r="DL17" i="5" s="1"/>
  <c r="DZ17" i="5" s="1"/>
  <c r="EN17" i="5" s="1"/>
  <c r="FB17" i="5" s="1"/>
  <c r="FP17" i="5" s="1"/>
  <c r="AF138" i="16"/>
  <c r="AH132" i="16"/>
  <c r="FI21" i="62" s="1"/>
  <c r="AH114" i="16"/>
  <c r="FI34" i="5" s="1"/>
  <c r="AD114" i="16"/>
  <c r="DE34" i="5" s="1"/>
  <c r="Z114" i="16"/>
  <c r="BA34" i="5" s="1"/>
  <c r="AG114" i="16"/>
  <c r="EU34" i="5" s="1"/>
  <c r="AC114" i="16"/>
  <c r="CQ34" i="5" s="1"/>
  <c r="Y114" i="16"/>
  <c r="AM34" i="5" s="1"/>
  <c r="AF114" i="16"/>
  <c r="EG34" i="5" s="1"/>
  <c r="AB114" i="16"/>
  <c r="CC34" i="5" s="1"/>
  <c r="X114" i="16"/>
  <c r="Y34" i="5" s="1"/>
  <c r="AE114" i="16"/>
  <c r="DS34" i="5" s="1"/>
  <c r="AA114" i="16"/>
  <c r="BO34" i="5" s="1"/>
  <c r="W114" i="16"/>
  <c r="K34" i="5" s="1"/>
  <c r="AX22" i="8"/>
  <c r="BO24" i="62" s="1"/>
  <c r="I10" i="21"/>
  <c r="F10" i="21"/>
  <c r="C10" i="18"/>
  <c r="D10" i="17"/>
  <c r="G106" i="4"/>
  <c r="G210" i="4" s="1"/>
  <c r="I106" i="14"/>
  <c r="F418" i="4"/>
  <c r="F834" i="4"/>
  <c r="C1354" i="4"/>
  <c r="F1250" i="4"/>
  <c r="G102" i="4"/>
  <c r="G206" i="4" s="1"/>
  <c r="I102" i="14"/>
  <c r="F414" i="4"/>
  <c r="F830" i="4"/>
  <c r="C1350" i="4"/>
  <c r="F1246" i="4"/>
  <c r="G98" i="4"/>
  <c r="G202" i="4" s="1"/>
  <c r="I98" i="14"/>
  <c r="F410" i="4"/>
  <c r="F826" i="4"/>
  <c r="C1346" i="4"/>
  <c r="F1242" i="4"/>
  <c r="G94" i="4"/>
  <c r="G198" i="4" s="1"/>
  <c r="I94" i="14"/>
  <c r="F406" i="4"/>
  <c r="F822" i="4"/>
  <c r="C1342" i="4"/>
  <c r="F1238" i="4"/>
  <c r="G90" i="4"/>
  <c r="G194" i="4" s="1"/>
  <c r="I90" i="14"/>
  <c r="F402" i="4"/>
  <c r="F818" i="4"/>
  <c r="C1338" i="4"/>
  <c r="F1234" i="4"/>
  <c r="G86" i="4"/>
  <c r="G190" i="4" s="1"/>
  <c r="I86" i="14"/>
  <c r="F398" i="4"/>
  <c r="F918" i="4"/>
  <c r="C1334" i="4"/>
  <c r="F1230" i="4"/>
  <c r="G82" i="4"/>
  <c r="G186" i="4" s="1"/>
  <c r="I82" i="14"/>
  <c r="F394" i="4"/>
  <c r="F810" i="4"/>
  <c r="C1330" i="4"/>
  <c r="F1226" i="4"/>
  <c r="G78" i="4"/>
  <c r="G182" i="4" s="1"/>
  <c r="I78" i="14"/>
  <c r="F390" i="4"/>
  <c r="F806" i="4"/>
  <c r="C1326" i="4"/>
  <c r="F1222" i="4"/>
  <c r="F74" i="4"/>
  <c r="F490" i="4"/>
  <c r="F906" i="4"/>
  <c r="F70" i="4"/>
  <c r="F486" i="4"/>
  <c r="F902" i="4"/>
  <c r="F66" i="4"/>
  <c r="F482" i="4"/>
  <c r="F898" i="4"/>
  <c r="F166" i="4"/>
  <c r="F582" i="4"/>
  <c r="F998" i="4"/>
  <c r="F266" i="4"/>
  <c r="F682" i="4"/>
  <c r="F1098" i="4"/>
  <c r="F262" i="4"/>
  <c r="F678" i="4"/>
  <c r="F1094" i="4"/>
  <c r="F258" i="4"/>
  <c r="F674" i="4"/>
  <c r="F1090" i="4"/>
  <c r="F254" i="4"/>
  <c r="F670" i="4"/>
  <c r="F1086" i="4"/>
  <c r="F250" i="4"/>
  <c r="F666" i="4"/>
  <c r="F1082" i="4"/>
  <c r="F246" i="4"/>
  <c r="F662" i="4"/>
  <c r="F1078" i="4"/>
  <c r="G34" i="4"/>
  <c r="G138" i="4" s="1"/>
  <c r="I34" i="14"/>
  <c r="F346" i="4"/>
  <c r="F762" i="4"/>
  <c r="C1282" i="4"/>
  <c r="F1178" i="4"/>
  <c r="G30" i="4"/>
  <c r="G134" i="4" s="1"/>
  <c r="I30" i="14"/>
  <c r="F342" i="4"/>
  <c r="F758" i="4"/>
  <c r="C1278" i="4"/>
  <c r="F1174" i="4"/>
  <c r="G26" i="4"/>
  <c r="G130" i="4" s="1"/>
  <c r="I26" i="14"/>
  <c r="F338" i="4"/>
  <c r="F754" i="4"/>
  <c r="C1274" i="4"/>
  <c r="F1170" i="4"/>
  <c r="X1255" i="4"/>
  <c r="Z1255" i="4"/>
  <c r="AL22" i="8"/>
  <c r="DE46" i="5" s="1"/>
  <c r="I11" i="26"/>
  <c r="F11" i="26"/>
  <c r="I5" i="26"/>
  <c r="F5" i="26"/>
  <c r="D5" i="26" s="1"/>
  <c r="H207" i="4"/>
  <c r="AE207" i="4"/>
  <c r="AI207" i="4" s="1"/>
  <c r="AE623" i="4"/>
  <c r="AI623" i="4" s="1"/>
  <c r="AE1039" i="4"/>
  <c r="AI1039" i="4" s="1"/>
  <c r="H95" i="4"/>
  <c r="G94" i="19"/>
  <c r="AO94" i="14"/>
  <c r="AE259" i="4"/>
  <c r="AI259" i="4" s="1"/>
  <c r="AE675" i="4"/>
  <c r="AI675" i="4" s="1"/>
  <c r="AE1091" i="4"/>
  <c r="AI1091" i="4" s="1"/>
  <c r="AE255" i="4"/>
  <c r="AI255" i="4" s="1"/>
  <c r="AE671" i="4"/>
  <c r="AI671" i="4" s="1"/>
  <c r="AE1087" i="4"/>
  <c r="AI1087" i="4" s="1"/>
  <c r="AE251" i="4"/>
  <c r="AI251" i="4" s="1"/>
  <c r="AE667" i="4"/>
  <c r="AI667" i="4" s="1"/>
  <c r="AE1083" i="4"/>
  <c r="AI1083" i="4" s="1"/>
  <c r="G34" i="19"/>
  <c r="AO34" i="14"/>
  <c r="AE759" i="4"/>
  <c r="AI759" i="4" s="1"/>
  <c r="C1279" i="4"/>
  <c r="F1175" i="4"/>
  <c r="D13" i="22"/>
  <c r="D27" i="62"/>
  <c r="D61" i="5"/>
  <c r="BH53" i="5"/>
  <c r="BV53" i="5" s="1"/>
  <c r="BH25" i="5"/>
  <c r="BV25" i="5" s="1"/>
  <c r="CJ25" i="5" s="1"/>
  <c r="AH171" i="16"/>
  <c r="AD171" i="16"/>
  <c r="Z171" i="16"/>
  <c r="AG171" i="16"/>
  <c r="AC171" i="16"/>
  <c r="Y171" i="16"/>
  <c r="U171" i="16"/>
  <c r="E192" i="16"/>
  <c r="AF171" i="16"/>
  <c r="AB171" i="16"/>
  <c r="X171" i="16"/>
  <c r="AE171" i="16"/>
  <c r="AA171" i="16"/>
  <c r="W171" i="16"/>
  <c r="AH163" i="16"/>
  <c r="AD163" i="16"/>
  <c r="Z163" i="16"/>
  <c r="AG163" i="16"/>
  <c r="AC163" i="16"/>
  <c r="Y163" i="16"/>
  <c r="U163" i="16"/>
  <c r="E184" i="16"/>
  <c r="AF163" i="16"/>
  <c r="AB163" i="16"/>
  <c r="X163" i="16"/>
  <c r="AE163" i="16"/>
  <c r="AA163" i="16"/>
  <c r="W163" i="16"/>
  <c r="W138" i="16"/>
  <c r="AC132" i="16"/>
  <c r="CQ21" i="62" s="1"/>
  <c r="V105" i="4"/>
  <c r="AE105" i="4" s="1"/>
  <c r="AI105" i="4" s="1"/>
  <c r="V313" i="4"/>
  <c r="AE313" i="4" s="1"/>
  <c r="AI313" i="4" s="1"/>
  <c r="V521" i="4"/>
  <c r="AE521" i="4" s="1"/>
  <c r="AI521" i="4" s="1"/>
  <c r="V937" i="4"/>
  <c r="AE937" i="4" s="1"/>
  <c r="AI937" i="4" s="1"/>
  <c r="Q1353" i="4"/>
  <c r="R1353" i="4" s="1"/>
  <c r="K1353" i="4"/>
  <c r="L1353" i="4" s="1"/>
  <c r="V1249" i="4"/>
  <c r="V103" i="4"/>
  <c r="AE103" i="4" s="1"/>
  <c r="AI103" i="4" s="1"/>
  <c r="V311" i="4"/>
  <c r="AE311" i="4" s="1"/>
  <c r="AI311" i="4" s="1"/>
  <c r="V519" i="4"/>
  <c r="AE519" i="4" s="1"/>
  <c r="AI519" i="4" s="1"/>
  <c r="V935" i="4"/>
  <c r="AE935" i="4" s="1"/>
  <c r="AI935" i="4" s="1"/>
  <c r="N1351" i="4"/>
  <c r="O1351" i="4" s="1"/>
  <c r="K1351" i="4"/>
  <c r="L1351" i="4" s="1"/>
  <c r="V1247" i="4"/>
  <c r="V101" i="4"/>
  <c r="AE101" i="4" s="1"/>
  <c r="AI101" i="4" s="1"/>
  <c r="V517" i="4"/>
  <c r="AE517" i="4" s="1"/>
  <c r="AI517" i="4" s="1"/>
  <c r="V933" i="4"/>
  <c r="AE933" i="4" s="1"/>
  <c r="AI933" i="4" s="1"/>
  <c r="X1349" i="4"/>
  <c r="K1349" i="4"/>
  <c r="L1349" i="4" s="1"/>
  <c r="V1245" i="4"/>
  <c r="V99" i="4"/>
  <c r="V515" i="4"/>
  <c r="V931" i="4"/>
  <c r="W1347" i="4"/>
  <c r="K1347" i="4"/>
  <c r="L1347" i="4" s="1"/>
  <c r="V1243" i="4"/>
  <c r="V97" i="4"/>
  <c r="AE97" i="4" s="1"/>
  <c r="AI97" i="4" s="1"/>
  <c r="V513" i="4"/>
  <c r="AE513" i="4" s="1"/>
  <c r="AI513" i="4" s="1"/>
  <c r="V929" i="4"/>
  <c r="AE929" i="4" s="1"/>
  <c r="AI929" i="4" s="1"/>
  <c r="Q1345" i="4"/>
  <c r="R1345" i="4" s="1"/>
  <c r="K1345" i="4"/>
  <c r="L1345" i="4" s="1"/>
  <c r="V1241" i="4"/>
  <c r="V95" i="4"/>
  <c r="AE95" i="4" s="1"/>
  <c r="AI95" i="4" s="1"/>
  <c r="V511" i="4"/>
  <c r="AE511" i="4" s="1"/>
  <c r="AI511" i="4" s="1"/>
  <c r="V927" i="4"/>
  <c r="AE927" i="4" s="1"/>
  <c r="AI927" i="4" s="1"/>
  <c r="N1343" i="4"/>
  <c r="O1343" i="4" s="1"/>
  <c r="K1343" i="4"/>
  <c r="L1343" i="4" s="1"/>
  <c r="V1239" i="4"/>
  <c r="V93" i="4"/>
  <c r="AE93" i="4" s="1"/>
  <c r="AI93" i="4" s="1"/>
  <c r="V925" i="4"/>
  <c r="AE925" i="4" s="1"/>
  <c r="AI925" i="4" s="1"/>
  <c r="X1341" i="4"/>
  <c r="K1341" i="4"/>
  <c r="L1341" i="4" s="1"/>
  <c r="V1237" i="4"/>
  <c r="V91" i="4"/>
  <c r="V611" i="4"/>
  <c r="V923" i="4"/>
  <c r="V1027" i="4"/>
  <c r="N1339" i="4"/>
  <c r="O1339" i="4" s="1"/>
  <c r="K1339" i="4"/>
  <c r="L1339" i="4" s="1"/>
  <c r="V1235" i="4"/>
  <c r="V89" i="4"/>
  <c r="AE89" i="4" s="1"/>
  <c r="AI89" i="4" s="1"/>
  <c r="V1025" i="4"/>
  <c r="AE1025" i="4" s="1"/>
  <c r="AI1025" i="4" s="1"/>
  <c r="X1337" i="4"/>
  <c r="K1337" i="4"/>
  <c r="L1337" i="4" s="1"/>
  <c r="V1233" i="4"/>
  <c r="V87" i="4"/>
  <c r="V711" i="4"/>
  <c r="W1335" i="4"/>
  <c r="K1335" i="4"/>
  <c r="L1335" i="4" s="1"/>
  <c r="V1231" i="4"/>
  <c r="V85" i="4"/>
  <c r="AE85" i="4" s="1"/>
  <c r="AI85" i="4" s="1"/>
  <c r="V1021" i="4"/>
  <c r="AE1021" i="4" s="1"/>
  <c r="AI1021" i="4" s="1"/>
  <c r="Q1333" i="4"/>
  <c r="R1333" i="4" s="1"/>
  <c r="K1333" i="4"/>
  <c r="L1333" i="4" s="1"/>
  <c r="V1229" i="4"/>
  <c r="V83" i="4"/>
  <c r="V707" i="4"/>
  <c r="V1019" i="4"/>
  <c r="N1331" i="4"/>
  <c r="O1331" i="4" s="1"/>
  <c r="K1331" i="4"/>
  <c r="L1331" i="4" s="1"/>
  <c r="V1227" i="4"/>
  <c r="V81" i="4"/>
  <c r="AE81" i="4" s="1"/>
  <c r="AI81" i="4" s="1"/>
  <c r="V497" i="4"/>
  <c r="AE497" i="4" s="1"/>
  <c r="AI497" i="4" s="1"/>
  <c r="V705" i="4"/>
  <c r="AE705" i="4" s="1"/>
  <c r="AI705" i="4" s="1"/>
  <c r="V1017" i="4"/>
  <c r="AE1017" i="4" s="1"/>
  <c r="AI1017" i="4" s="1"/>
  <c r="X1329" i="4"/>
  <c r="K1329" i="4"/>
  <c r="L1329" i="4" s="1"/>
  <c r="V1225" i="4"/>
  <c r="V79" i="4"/>
  <c r="V1015" i="4"/>
  <c r="N1327" i="4"/>
  <c r="O1327" i="4" s="1"/>
  <c r="E1327" i="4"/>
  <c r="V389" i="4"/>
  <c r="AE389" i="4" s="1"/>
  <c r="AI389" i="4" s="1"/>
  <c r="V597" i="4"/>
  <c r="AE597" i="4" s="1"/>
  <c r="AI597" i="4" s="1"/>
  <c r="V1013" i="4"/>
  <c r="AE1013" i="4" s="1"/>
  <c r="AI1013" i="4" s="1"/>
  <c r="N1325" i="4"/>
  <c r="O1325" i="4" s="1"/>
  <c r="E1325" i="4"/>
  <c r="V179" i="4"/>
  <c r="AE179" i="4" s="1"/>
  <c r="AI179" i="4" s="1"/>
  <c r="V595" i="4"/>
  <c r="AE595" i="4" s="1"/>
  <c r="AI595" i="4" s="1"/>
  <c r="V1011" i="4"/>
  <c r="AE1011" i="4" s="1"/>
  <c r="AI1011" i="4" s="1"/>
  <c r="N1323" i="4"/>
  <c r="O1323" i="4" s="1"/>
  <c r="E1323" i="4"/>
  <c r="V177" i="4"/>
  <c r="AE177" i="4" s="1"/>
  <c r="AI177" i="4" s="1"/>
  <c r="V593" i="4"/>
  <c r="AE593" i="4" s="1"/>
  <c r="AI593" i="4" s="1"/>
  <c r="V1009" i="4"/>
  <c r="AE1009" i="4" s="1"/>
  <c r="AI1009" i="4" s="1"/>
  <c r="N1321" i="4"/>
  <c r="O1321" i="4" s="1"/>
  <c r="E1321" i="4"/>
  <c r="V175" i="4"/>
  <c r="V591" i="4"/>
  <c r="V1007" i="4"/>
  <c r="N1319" i="4"/>
  <c r="O1319" i="4" s="1"/>
  <c r="E1319" i="4"/>
  <c r="V173" i="4"/>
  <c r="AE173" i="4" s="1"/>
  <c r="AI173" i="4" s="1"/>
  <c r="V589" i="4"/>
  <c r="AE589" i="4" s="1"/>
  <c r="AI589" i="4" s="1"/>
  <c r="V1005" i="4"/>
  <c r="AE1005" i="4" s="1"/>
  <c r="AI1005" i="4" s="1"/>
  <c r="N1317" i="4"/>
  <c r="O1317" i="4" s="1"/>
  <c r="E1317" i="4"/>
  <c r="V171" i="4"/>
  <c r="V587" i="4"/>
  <c r="V1003" i="4"/>
  <c r="N1315" i="4"/>
  <c r="O1315" i="4" s="1"/>
  <c r="E1315" i="4"/>
  <c r="V169" i="4"/>
  <c r="AE169" i="4" s="1"/>
  <c r="AI169" i="4" s="1"/>
  <c r="V377" i="4"/>
  <c r="AE377" i="4" s="1"/>
  <c r="AI377" i="4" s="1"/>
  <c r="V585" i="4"/>
  <c r="AE585" i="4" s="1"/>
  <c r="AI585" i="4" s="1"/>
  <c r="V1001" i="4"/>
  <c r="AE1001" i="4" s="1"/>
  <c r="AI1001" i="4" s="1"/>
  <c r="N1313" i="4"/>
  <c r="O1313" i="4" s="1"/>
  <c r="E1313" i="4"/>
  <c r="V167" i="4"/>
  <c r="AE167" i="4" s="1"/>
  <c r="AI167" i="4" s="1"/>
  <c r="V375" i="4"/>
  <c r="AE375" i="4" s="1"/>
  <c r="AI375" i="4" s="1"/>
  <c r="V583" i="4"/>
  <c r="AE583" i="4" s="1"/>
  <c r="AI583" i="4" s="1"/>
  <c r="V999" i="4"/>
  <c r="AE999" i="4" s="1"/>
  <c r="AI999" i="4" s="1"/>
  <c r="N1311" i="4"/>
  <c r="O1311" i="4" s="1"/>
  <c r="E1311" i="4"/>
  <c r="V165" i="4"/>
  <c r="AE165" i="4" s="1"/>
  <c r="AI165" i="4" s="1"/>
  <c r="V373" i="4"/>
  <c r="AE373" i="4" s="1"/>
  <c r="AI373" i="4" s="1"/>
  <c r="V581" i="4"/>
  <c r="AE581" i="4" s="1"/>
  <c r="AI581" i="4" s="1"/>
  <c r="V997" i="4"/>
  <c r="AE997" i="4" s="1"/>
  <c r="AI997" i="4" s="1"/>
  <c r="N1309" i="4"/>
  <c r="O1309" i="4" s="1"/>
  <c r="E1309" i="4"/>
  <c r="V163" i="4"/>
  <c r="AE163" i="4" s="1"/>
  <c r="AI163" i="4" s="1"/>
  <c r="V371" i="4"/>
  <c r="AE371" i="4" s="1"/>
  <c r="AI371" i="4" s="1"/>
  <c r="V579" i="4"/>
  <c r="AE579" i="4" s="1"/>
  <c r="AI579" i="4" s="1"/>
  <c r="V995" i="4"/>
  <c r="AE995" i="4" s="1"/>
  <c r="AI995" i="4" s="1"/>
  <c r="N1307" i="4"/>
  <c r="O1307" i="4" s="1"/>
  <c r="E1307" i="4"/>
  <c r="V161" i="4"/>
  <c r="AE161" i="4" s="1"/>
  <c r="AI161" i="4" s="1"/>
  <c r="V577" i="4"/>
  <c r="AE577" i="4" s="1"/>
  <c r="AI577" i="4" s="1"/>
  <c r="V993" i="4"/>
  <c r="AE993" i="4" s="1"/>
  <c r="AI993" i="4" s="1"/>
  <c r="N1305" i="4"/>
  <c r="O1305" i="4" s="1"/>
  <c r="E1305" i="4"/>
  <c r="V159" i="4"/>
  <c r="V367" i="4"/>
  <c r="V575" i="4"/>
  <c r="V991" i="4"/>
  <c r="N1303" i="4"/>
  <c r="O1303" i="4" s="1"/>
  <c r="E1303" i="4"/>
  <c r="V157" i="4"/>
  <c r="AE157" i="4" s="1"/>
  <c r="AI157" i="4" s="1"/>
  <c r="V365" i="4"/>
  <c r="AE365" i="4" s="1"/>
  <c r="AI365" i="4" s="1"/>
  <c r="V573" i="4"/>
  <c r="AE573" i="4" s="1"/>
  <c r="AI573" i="4" s="1"/>
  <c r="V989" i="4"/>
  <c r="AE989" i="4" s="1"/>
  <c r="AI989" i="4" s="1"/>
  <c r="N1301" i="4"/>
  <c r="O1301" i="4" s="1"/>
  <c r="E1301" i="4"/>
  <c r="V155" i="4"/>
  <c r="AE155" i="4" s="1"/>
  <c r="AI155" i="4" s="1"/>
  <c r="V363" i="4"/>
  <c r="AE363" i="4" s="1"/>
  <c r="AI363" i="4" s="1"/>
  <c r="V571" i="4"/>
  <c r="AE571" i="4" s="1"/>
  <c r="AI571" i="4" s="1"/>
  <c r="V987" i="4"/>
  <c r="AE987" i="4" s="1"/>
  <c r="AI987" i="4" s="1"/>
  <c r="N1299" i="4"/>
  <c r="O1299" i="4" s="1"/>
  <c r="E1299" i="4"/>
  <c r="V153" i="4"/>
  <c r="AE153" i="4" s="1"/>
  <c r="AI153" i="4" s="1"/>
  <c r="V361" i="4"/>
  <c r="AE361" i="4" s="1"/>
  <c r="AI361" i="4" s="1"/>
  <c r="V569" i="4"/>
  <c r="AE569" i="4" s="1"/>
  <c r="AI569" i="4" s="1"/>
  <c r="V985" i="4"/>
  <c r="AE985" i="4" s="1"/>
  <c r="AI985" i="4" s="1"/>
  <c r="N1297" i="4"/>
  <c r="O1297" i="4" s="1"/>
  <c r="E1297" i="4"/>
  <c r="V151" i="4"/>
  <c r="AE151" i="4" s="1"/>
  <c r="AI151" i="4" s="1"/>
  <c r="V359" i="4"/>
  <c r="AE359" i="4" s="1"/>
  <c r="AI359" i="4" s="1"/>
  <c r="V567" i="4"/>
  <c r="AE567" i="4" s="1"/>
  <c r="AI567" i="4" s="1"/>
  <c r="V983" i="4"/>
  <c r="AE983" i="4" s="1"/>
  <c r="AI983" i="4" s="1"/>
  <c r="N1295" i="4"/>
  <c r="O1295" i="4" s="1"/>
  <c r="E1295" i="4"/>
  <c r="V149" i="4"/>
  <c r="AE149" i="4" s="1"/>
  <c r="AI149" i="4" s="1"/>
  <c r="V357" i="4"/>
  <c r="AE357" i="4" s="1"/>
  <c r="AI357" i="4" s="1"/>
  <c r="V565" i="4"/>
  <c r="AE565" i="4" s="1"/>
  <c r="AI565" i="4" s="1"/>
  <c r="V981" i="4"/>
  <c r="AE981" i="4" s="1"/>
  <c r="AI981" i="4" s="1"/>
  <c r="N1293" i="4"/>
  <c r="O1293" i="4" s="1"/>
  <c r="E1293" i="4"/>
  <c r="V147" i="4"/>
  <c r="AE147" i="4" s="1"/>
  <c r="AI147" i="4" s="1"/>
  <c r="V355" i="4"/>
  <c r="AE355" i="4" s="1"/>
  <c r="AI355" i="4" s="1"/>
  <c r="V563" i="4"/>
  <c r="AE563" i="4" s="1"/>
  <c r="AI563" i="4" s="1"/>
  <c r="V979" i="4"/>
  <c r="AE979" i="4" s="1"/>
  <c r="AI979" i="4" s="1"/>
  <c r="N1291" i="4"/>
  <c r="O1291" i="4" s="1"/>
  <c r="E1291" i="4"/>
  <c r="V145" i="4"/>
  <c r="AE145" i="4" s="1"/>
  <c r="AI145" i="4" s="1"/>
  <c r="V353" i="4"/>
  <c r="AE353" i="4" s="1"/>
  <c r="AI353" i="4" s="1"/>
  <c r="V561" i="4"/>
  <c r="AE561" i="4" s="1"/>
  <c r="AI561" i="4" s="1"/>
  <c r="V977" i="4"/>
  <c r="AE977" i="4" s="1"/>
  <c r="AI977" i="4" s="1"/>
  <c r="N1289" i="4"/>
  <c r="O1289" i="4" s="1"/>
  <c r="E1289" i="4"/>
  <c r="V143" i="4"/>
  <c r="V351" i="4"/>
  <c r="V559" i="4"/>
  <c r="V975" i="4"/>
  <c r="N1287" i="4"/>
  <c r="O1287" i="4" s="1"/>
  <c r="E1287" i="4"/>
  <c r="V141" i="4"/>
  <c r="AE141" i="4" s="1"/>
  <c r="AI141" i="4" s="1"/>
  <c r="V349" i="4"/>
  <c r="AE349" i="4" s="1"/>
  <c r="AI349" i="4" s="1"/>
  <c r="V557" i="4"/>
  <c r="AE557" i="4" s="1"/>
  <c r="AI557" i="4" s="1"/>
  <c r="V973" i="4"/>
  <c r="AE973" i="4" s="1"/>
  <c r="AI973" i="4" s="1"/>
  <c r="N1285" i="4"/>
  <c r="O1285" i="4" s="1"/>
  <c r="E1285" i="4"/>
  <c r="V139" i="4"/>
  <c r="AE139" i="4" s="1"/>
  <c r="AI139" i="4" s="1"/>
  <c r="V347" i="4"/>
  <c r="AE347" i="4" s="1"/>
  <c r="AI347" i="4" s="1"/>
  <c r="V555" i="4"/>
  <c r="AE555" i="4" s="1"/>
  <c r="AI555" i="4" s="1"/>
  <c r="V971" i="4"/>
  <c r="AE971" i="4" s="1"/>
  <c r="AI971" i="4" s="1"/>
  <c r="N1283" i="4"/>
  <c r="O1283" i="4" s="1"/>
  <c r="E1283" i="4"/>
  <c r="V137" i="4"/>
  <c r="AE137" i="4" s="1"/>
  <c r="AI137" i="4" s="1"/>
  <c r="V345" i="4"/>
  <c r="AE345" i="4" s="1"/>
  <c r="AI345" i="4" s="1"/>
  <c r="V553" i="4"/>
  <c r="AE553" i="4" s="1"/>
  <c r="AI553" i="4" s="1"/>
  <c r="V969" i="4"/>
  <c r="AE969" i="4" s="1"/>
  <c r="AI969" i="4" s="1"/>
  <c r="N1281" i="4"/>
  <c r="O1281" i="4" s="1"/>
  <c r="E1281" i="4"/>
  <c r="V135" i="4"/>
  <c r="AE135" i="4" s="1"/>
  <c r="AI135" i="4" s="1"/>
  <c r="V343" i="4"/>
  <c r="AE343" i="4" s="1"/>
  <c r="AI343" i="4" s="1"/>
  <c r="V551" i="4"/>
  <c r="AE551" i="4" s="1"/>
  <c r="AI551" i="4" s="1"/>
  <c r="V967" i="4"/>
  <c r="AE967" i="4" s="1"/>
  <c r="AI967" i="4" s="1"/>
  <c r="N1279" i="4"/>
  <c r="O1279" i="4" s="1"/>
  <c r="E1279" i="4"/>
  <c r="V133" i="4"/>
  <c r="AE133" i="4" s="1"/>
  <c r="AI133" i="4" s="1"/>
  <c r="V341" i="4"/>
  <c r="AE341" i="4" s="1"/>
  <c r="AI341" i="4" s="1"/>
  <c r="V549" i="4"/>
  <c r="AE549" i="4" s="1"/>
  <c r="AI549" i="4" s="1"/>
  <c r="V965" i="4"/>
  <c r="AE965" i="4" s="1"/>
  <c r="AI965" i="4" s="1"/>
  <c r="N1277" i="4"/>
  <c r="O1277" i="4" s="1"/>
  <c r="E1277" i="4"/>
  <c r="V131" i="4"/>
  <c r="V339" i="4"/>
  <c r="V547" i="4"/>
  <c r="V963" i="4"/>
  <c r="N1275" i="4"/>
  <c r="O1275" i="4" s="1"/>
  <c r="E1275" i="4"/>
  <c r="V129" i="4"/>
  <c r="AE129" i="4" s="1"/>
  <c r="AI129" i="4" s="1"/>
  <c r="V337" i="4"/>
  <c r="AE337" i="4" s="1"/>
  <c r="AI337" i="4" s="1"/>
  <c r="V545" i="4"/>
  <c r="AE545" i="4" s="1"/>
  <c r="AI545" i="4" s="1"/>
  <c r="V961" i="4"/>
  <c r="AE961" i="4" s="1"/>
  <c r="AI961" i="4" s="1"/>
  <c r="N1273" i="4"/>
  <c r="O1273" i="4" s="1"/>
  <c r="E1273" i="4"/>
  <c r="V127" i="4"/>
  <c r="V335" i="4"/>
  <c r="V543" i="4"/>
  <c r="V959" i="4"/>
  <c r="N1271" i="4"/>
  <c r="O1271" i="4" s="1"/>
  <c r="E1271" i="4"/>
  <c r="V125" i="4"/>
  <c r="V333" i="4"/>
  <c r="V541" i="4"/>
  <c r="V957" i="4"/>
  <c r="N1269" i="4"/>
  <c r="O1269" i="4" s="1"/>
  <c r="E1269" i="4"/>
  <c r="V123" i="4"/>
  <c r="V331" i="4"/>
  <c r="V539" i="4"/>
  <c r="V955" i="4"/>
  <c r="N1267" i="4"/>
  <c r="O1267" i="4" s="1"/>
  <c r="E1267" i="4"/>
  <c r="V121" i="4"/>
  <c r="V329" i="4"/>
  <c r="V537" i="4"/>
  <c r="V953" i="4"/>
  <c r="N1265" i="4"/>
  <c r="O1265" i="4" s="1"/>
  <c r="E1265" i="4"/>
  <c r="V119" i="4"/>
  <c r="V327" i="4"/>
  <c r="V535" i="4"/>
  <c r="V951" i="4"/>
  <c r="N1263" i="4"/>
  <c r="O1263" i="4" s="1"/>
  <c r="E1263" i="4"/>
  <c r="V117" i="4"/>
  <c r="V325" i="4"/>
  <c r="V533" i="4"/>
  <c r="V949" i="4"/>
  <c r="N1261" i="4"/>
  <c r="O1261" i="4" s="1"/>
  <c r="E1261" i="4"/>
  <c r="V115" i="4"/>
  <c r="V323" i="4"/>
  <c r="V531" i="4"/>
  <c r="V947" i="4"/>
  <c r="N1259" i="4"/>
  <c r="O1259" i="4" s="1"/>
  <c r="E1259" i="4"/>
  <c r="V113" i="4"/>
  <c r="V529" i="4"/>
  <c r="V945" i="4"/>
  <c r="N1257" i="4"/>
  <c r="O1257" i="4" s="1"/>
  <c r="E1257" i="4"/>
  <c r="F99" i="4"/>
  <c r="F515" i="4"/>
  <c r="F931" i="4"/>
  <c r="G98" i="19"/>
  <c r="AO98" i="14"/>
  <c r="F299" i="4"/>
  <c r="F819" i="4"/>
  <c r="C1339" i="4"/>
  <c r="F1235" i="4"/>
  <c r="F503" i="4"/>
  <c r="F607" i="4"/>
  <c r="F1127" i="4"/>
  <c r="F291" i="4"/>
  <c r="F603" i="4"/>
  <c r="F1123" i="4"/>
  <c r="F175" i="4"/>
  <c r="F591" i="4"/>
  <c r="F1007" i="4"/>
  <c r="G50" i="19"/>
  <c r="AO50" i="14"/>
  <c r="BH30" i="62"/>
  <c r="BV30" i="62" s="1"/>
  <c r="CJ30" i="62" s="1"/>
  <c r="CX30" i="62" s="1"/>
  <c r="DL30" i="62" s="1"/>
  <c r="DZ30" i="62" s="1"/>
  <c r="EN30" i="62" s="1"/>
  <c r="FB30" i="62" s="1"/>
  <c r="FP30" i="62" s="1"/>
  <c r="BV22" i="62"/>
  <c r="CJ22" i="62" s="1"/>
  <c r="CX22" i="62" s="1"/>
  <c r="DL22" i="62" s="1"/>
  <c r="DZ22" i="62" s="1"/>
  <c r="EN22" i="62" s="1"/>
  <c r="FB22" i="62" s="1"/>
  <c r="FP22" i="62" s="1"/>
  <c r="BH54" i="5"/>
  <c r="BV54" i="5" s="1"/>
  <c r="D28" i="5"/>
  <c r="AH138" i="16"/>
  <c r="AT42" i="5"/>
  <c r="BH42" i="5" s="1"/>
  <c r="BV42" i="5" s="1"/>
  <c r="CJ42" i="5" s="1"/>
  <c r="CX42" i="5" s="1"/>
  <c r="DL42" i="5" s="1"/>
  <c r="DZ42" i="5" s="1"/>
  <c r="EN42" i="5" s="1"/>
  <c r="FB42" i="5" s="1"/>
  <c r="FP42" i="5" s="1"/>
  <c r="V117" i="16"/>
  <c r="DE30" i="5"/>
  <c r="CC29" i="62"/>
  <c r="AO22" i="8"/>
  <c r="EU46" i="5" s="1"/>
  <c r="I12" i="22"/>
  <c r="F12" i="22"/>
  <c r="I12" i="23"/>
  <c r="F12" i="23"/>
  <c r="I6" i="23"/>
  <c r="F6" i="23"/>
  <c r="I6" i="22"/>
  <c r="F6" i="22"/>
  <c r="C4" i="22"/>
  <c r="C4" i="23"/>
  <c r="F312" i="4"/>
  <c r="F728" i="4"/>
  <c r="F1144" i="4"/>
  <c r="F308" i="4"/>
  <c r="F724" i="4"/>
  <c r="F1140" i="4"/>
  <c r="F304" i="4"/>
  <c r="F720" i="4"/>
  <c r="F1136" i="4"/>
  <c r="F300" i="4"/>
  <c r="F716" i="4"/>
  <c r="F1132" i="4"/>
  <c r="F296" i="4"/>
  <c r="F712" i="4"/>
  <c r="F1128" i="4"/>
  <c r="F292" i="4"/>
  <c r="F708" i="4"/>
  <c r="F1124" i="4"/>
  <c r="F288" i="4"/>
  <c r="F704" i="4"/>
  <c r="F1120" i="4"/>
  <c r="F180" i="4"/>
  <c r="F596" i="4"/>
  <c r="F1012" i="4"/>
  <c r="F176" i="4"/>
  <c r="F592" i="4"/>
  <c r="F1008" i="4"/>
  <c r="F276" i="4"/>
  <c r="F692" i="4"/>
  <c r="F1108" i="4"/>
  <c r="F168" i="4"/>
  <c r="F584" i="4"/>
  <c r="F1000" i="4"/>
  <c r="F164" i="4"/>
  <c r="F580" i="4"/>
  <c r="F996" i="4"/>
  <c r="F160" i="4"/>
  <c r="F576" i="4"/>
  <c r="F992" i="4"/>
  <c r="F156" i="4"/>
  <c r="F572" i="4"/>
  <c r="F988" i="4"/>
  <c r="F152" i="4"/>
  <c r="F568" i="4"/>
  <c r="F984" i="4"/>
  <c r="F148" i="4"/>
  <c r="F564" i="4"/>
  <c r="F980" i="4"/>
  <c r="F144" i="4"/>
  <c r="F560" i="4"/>
  <c r="F976" i="4"/>
  <c r="F36" i="4"/>
  <c r="F452" i="4"/>
  <c r="F868" i="4"/>
  <c r="N35" i="14"/>
  <c r="K35" i="14"/>
  <c r="AJ35" i="14"/>
  <c r="AL35" i="14" s="1"/>
  <c r="G32" i="4"/>
  <c r="G136" i="4" s="1"/>
  <c r="I32" i="14"/>
  <c r="F344" i="4"/>
  <c r="F760" i="4"/>
  <c r="C1280" i="4"/>
  <c r="F1176" i="4"/>
  <c r="G28" i="4"/>
  <c r="G132" i="4" s="1"/>
  <c r="I28" i="14"/>
  <c r="F340" i="4"/>
  <c r="F756" i="4"/>
  <c r="C1276" i="4"/>
  <c r="F1172" i="4"/>
  <c r="F232" i="4"/>
  <c r="F648" i="4"/>
  <c r="F1064" i="4"/>
  <c r="F22" i="4"/>
  <c r="F438" i="4"/>
  <c r="F854" i="4"/>
  <c r="Z21" i="14"/>
  <c r="AA21" i="14" s="1"/>
  <c r="F229" i="4"/>
  <c r="F645" i="4"/>
  <c r="F1061" i="4"/>
  <c r="F20" i="4"/>
  <c r="F436" i="4"/>
  <c r="F852" i="4"/>
  <c r="Z19" i="14"/>
  <c r="AA19" i="14" s="1"/>
  <c r="F227" i="4"/>
  <c r="F643" i="4"/>
  <c r="F1059" i="4"/>
  <c r="F18" i="4"/>
  <c r="F434" i="4"/>
  <c r="F850" i="4"/>
  <c r="Z17" i="14"/>
  <c r="AA17" i="14" s="1"/>
  <c r="F225" i="4"/>
  <c r="F641" i="4"/>
  <c r="F1057" i="4"/>
  <c r="F16" i="4"/>
  <c r="F432" i="4"/>
  <c r="F848" i="4"/>
  <c r="Z15" i="14"/>
  <c r="AA15" i="14" s="1"/>
  <c r="F223" i="4"/>
  <c r="F639" i="4"/>
  <c r="F1055" i="4"/>
  <c r="F14" i="4"/>
  <c r="F430" i="4"/>
  <c r="F846" i="4"/>
  <c r="Z13" i="14"/>
  <c r="AA13" i="14" s="1"/>
  <c r="F221" i="4"/>
  <c r="F637" i="4"/>
  <c r="F1053" i="4"/>
  <c r="F12" i="4"/>
  <c r="F428" i="4"/>
  <c r="F844" i="4"/>
  <c r="Z11" i="14"/>
  <c r="AA11" i="14" s="1"/>
  <c r="F219" i="4"/>
  <c r="F635" i="4"/>
  <c r="F1051" i="4"/>
  <c r="F10" i="4"/>
  <c r="F426" i="4"/>
  <c r="F842" i="4"/>
  <c r="Z9" i="14"/>
  <c r="AA9" i="14" s="1"/>
  <c r="F217" i="4"/>
  <c r="F633" i="4"/>
  <c r="F1049" i="4"/>
  <c r="F8" i="4"/>
  <c r="F424" i="4"/>
  <c r="F840" i="4"/>
  <c r="Z7" i="14"/>
  <c r="AA7" i="14" s="1"/>
  <c r="F215" i="4"/>
  <c r="F631" i="4"/>
  <c r="F1047" i="4"/>
  <c r="G6" i="4"/>
  <c r="I6" i="14"/>
  <c r="F318" i="4"/>
  <c r="C419" i="4"/>
  <c r="F734" i="4"/>
  <c r="C835" i="4"/>
  <c r="C1254" i="4"/>
  <c r="C1251" i="4"/>
  <c r="F1150" i="4"/>
  <c r="F183" i="4"/>
  <c r="F599" i="4"/>
  <c r="F1015" i="4"/>
  <c r="AH74" i="14"/>
  <c r="U74" i="16"/>
  <c r="AI74" i="14"/>
  <c r="C74" i="19" s="1"/>
  <c r="F171" i="4"/>
  <c r="F587" i="4"/>
  <c r="F1003" i="4"/>
  <c r="AH62" i="14"/>
  <c r="AI62" i="14" s="1"/>
  <c r="C62" i="19" s="1"/>
  <c r="U62" i="16"/>
  <c r="F159" i="4"/>
  <c r="F575" i="4"/>
  <c r="F991" i="4"/>
  <c r="AH54" i="14"/>
  <c r="AI54" i="14" s="1"/>
  <c r="C54" i="19" s="1"/>
  <c r="U54" i="16"/>
  <c r="F351" i="4"/>
  <c r="F767" i="4"/>
  <c r="C1287" i="4"/>
  <c r="F1183" i="4"/>
  <c r="F339" i="4"/>
  <c r="F755" i="4"/>
  <c r="C1275" i="4"/>
  <c r="F1171" i="4"/>
  <c r="F335" i="4"/>
  <c r="F751" i="4"/>
  <c r="C1271" i="4"/>
  <c r="F1167" i="4"/>
  <c r="AJ103" i="14"/>
  <c r="AL103" i="14" s="1"/>
  <c r="AM103" i="14" s="1"/>
  <c r="G99" i="4"/>
  <c r="G203" i="4" s="1"/>
  <c r="I99" i="14"/>
  <c r="AJ87" i="14"/>
  <c r="AL87" i="14" s="1"/>
  <c r="AM87" i="14" s="1"/>
  <c r="G83" i="4"/>
  <c r="G187" i="4" s="1"/>
  <c r="I83" i="14"/>
  <c r="AJ47" i="14"/>
  <c r="AL47" i="14" s="1"/>
  <c r="G43" i="4"/>
  <c r="G147" i="4" s="1"/>
  <c r="H147" i="4" s="1"/>
  <c r="I43" i="14"/>
  <c r="AM28" i="19"/>
  <c r="AI28" i="19"/>
  <c r="AL28" i="19"/>
  <c r="AH28" i="19"/>
  <c r="AK28" i="19"/>
  <c r="AG28" i="19"/>
  <c r="AJ28" i="19"/>
  <c r="AF28" i="19"/>
  <c r="AG105" i="16"/>
  <c r="AC105" i="16"/>
  <c r="Y105" i="16"/>
  <c r="AF105" i="16"/>
  <c r="AB105" i="16"/>
  <c r="X105" i="16"/>
  <c r="AE105" i="16"/>
  <c r="AA105" i="16"/>
  <c r="W105" i="16"/>
  <c r="AH105" i="16"/>
  <c r="AD105" i="16"/>
  <c r="Z105" i="16"/>
  <c r="AI101" i="14"/>
  <c r="C101" i="19" s="1"/>
  <c r="B97" i="19"/>
  <c r="D97" i="19" s="1"/>
  <c r="AM97" i="14"/>
  <c r="AG89" i="16"/>
  <c r="AC89" i="16"/>
  <c r="Y89" i="16"/>
  <c r="AF89" i="16"/>
  <c r="AB89" i="16"/>
  <c r="X89" i="16"/>
  <c r="AE89" i="16"/>
  <c r="AA89" i="16"/>
  <c r="W89" i="16"/>
  <c r="AH89" i="16"/>
  <c r="AD89" i="16"/>
  <c r="Z89" i="16"/>
  <c r="AI85" i="14"/>
  <c r="C85" i="19" s="1"/>
  <c r="B81" i="19"/>
  <c r="D81" i="19" s="1"/>
  <c r="AM81" i="14"/>
  <c r="AG73" i="16"/>
  <c r="AC73" i="16"/>
  <c r="Y73" i="16"/>
  <c r="AF73" i="16"/>
  <c r="AB73" i="16"/>
  <c r="X73" i="16"/>
  <c r="AE73" i="16"/>
  <c r="AA73" i="16"/>
  <c r="W73" i="16"/>
  <c r="AH73" i="16"/>
  <c r="AD73" i="16"/>
  <c r="Z73" i="16"/>
  <c r="B69" i="19"/>
  <c r="D69" i="19" s="1"/>
  <c r="AM69" i="14"/>
  <c r="B65" i="19"/>
  <c r="D65" i="19" s="1"/>
  <c r="AM65" i="14"/>
  <c r="AG57" i="16"/>
  <c r="AC57" i="16"/>
  <c r="Y57" i="16"/>
  <c r="AF57" i="16"/>
  <c r="AB57" i="16"/>
  <c r="X57" i="16"/>
  <c r="AE57" i="16"/>
  <c r="AA57" i="16"/>
  <c r="W57" i="16"/>
  <c r="AH57" i="16"/>
  <c r="AD57" i="16"/>
  <c r="Z57" i="16"/>
  <c r="B53" i="19"/>
  <c r="D53" i="19" s="1"/>
  <c r="AM53" i="14"/>
  <c r="B49" i="19"/>
  <c r="D49" i="19" s="1"/>
  <c r="AM49" i="14"/>
  <c r="AI103" i="14"/>
  <c r="C103" i="19" s="1"/>
  <c r="B99" i="19"/>
  <c r="D99" i="19" s="1"/>
  <c r="AM99" i="14"/>
  <c r="AG91" i="16"/>
  <c r="AC91" i="16"/>
  <c r="Y91" i="16"/>
  <c r="AF91" i="16"/>
  <c r="AB91" i="16"/>
  <c r="X91" i="16"/>
  <c r="AE91" i="16"/>
  <c r="AA91" i="16"/>
  <c r="W91" i="16"/>
  <c r="AH91" i="16"/>
  <c r="AD91" i="16"/>
  <c r="Z91" i="16"/>
  <c r="AI87" i="14"/>
  <c r="C87" i="19" s="1"/>
  <c r="AM83" i="14"/>
  <c r="B83" i="19"/>
  <c r="D83" i="19" s="1"/>
  <c r="AG75" i="16"/>
  <c r="AC75" i="16"/>
  <c r="Y75" i="16"/>
  <c r="AF75" i="16"/>
  <c r="AB75" i="16"/>
  <c r="X75" i="16"/>
  <c r="AE75" i="16"/>
  <c r="AA75" i="16"/>
  <c r="W75" i="16"/>
  <c r="AH75" i="16"/>
  <c r="AD75" i="16"/>
  <c r="Z75" i="16"/>
  <c r="AG71" i="16"/>
  <c r="AC71" i="16"/>
  <c r="Y71" i="16"/>
  <c r="AF71" i="16"/>
  <c r="AB71" i="16"/>
  <c r="X71" i="16"/>
  <c r="AE71" i="16"/>
  <c r="AA71" i="16"/>
  <c r="W71" i="16"/>
  <c r="AH71" i="16"/>
  <c r="AD71" i="16"/>
  <c r="Z71" i="16"/>
  <c r="AG67" i="16"/>
  <c r="AC67" i="16"/>
  <c r="Y67" i="16"/>
  <c r="AF67" i="16"/>
  <c r="AB67" i="16"/>
  <c r="X67" i="16"/>
  <c r="AE67" i="16"/>
  <c r="AA67" i="16"/>
  <c r="W67" i="16"/>
  <c r="AH67" i="16"/>
  <c r="AD67" i="16"/>
  <c r="Z67" i="16"/>
  <c r="AI63" i="14"/>
  <c r="C63" i="19" s="1"/>
  <c r="AI59" i="14"/>
  <c r="C59" i="19" s="1"/>
  <c r="AI55" i="14"/>
  <c r="C55" i="19" s="1"/>
  <c r="AI51" i="14"/>
  <c r="C51" i="19" s="1"/>
  <c r="AM47" i="14"/>
  <c r="B47" i="19"/>
  <c r="D47" i="19" s="1"/>
  <c r="AG39" i="16"/>
  <c r="AC39" i="16"/>
  <c r="Y39" i="16"/>
  <c r="AF39" i="16"/>
  <c r="AB39" i="16"/>
  <c r="X39" i="16"/>
  <c r="AE39" i="16"/>
  <c r="AA39" i="16"/>
  <c r="W39" i="16"/>
  <c r="AH39" i="16"/>
  <c r="AD39" i="16"/>
  <c r="Z39" i="16"/>
  <c r="AI35" i="14"/>
  <c r="C35" i="19" s="1"/>
  <c r="B31" i="19"/>
  <c r="D31" i="19" s="1"/>
  <c r="AG23" i="16"/>
  <c r="AC23" i="16"/>
  <c r="Y23" i="16"/>
  <c r="AF23" i="16"/>
  <c r="AB23" i="16"/>
  <c r="X23" i="16"/>
  <c r="AE23" i="16"/>
  <c r="AA23" i="16"/>
  <c r="W23" i="16"/>
  <c r="AH23" i="16"/>
  <c r="AD23" i="16"/>
  <c r="Z23" i="16"/>
  <c r="V23" i="16" s="1"/>
  <c r="AF191" i="16"/>
  <c r="AB191" i="16"/>
  <c r="X191" i="16"/>
  <c r="AE191" i="16"/>
  <c r="AA191" i="16"/>
  <c r="W191" i="16"/>
  <c r="AH191" i="16"/>
  <c r="AD191" i="16"/>
  <c r="Z191" i="16"/>
  <c r="AG191" i="16"/>
  <c r="AC191" i="16"/>
  <c r="Y191" i="16"/>
  <c r="U191" i="16"/>
  <c r="AF187" i="16"/>
  <c r="AB187" i="16"/>
  <c r="X187" i="16"/>
  <c r="AE187" i="16"/>
  <c r="AA187" i="16"/>
  <c r="W187" i="16"/>
  <c r="AH187" i="16"/>
  <c r="AD187" i="16"/>
  <c r="Z187" i="16"/>
  <c r="AG187" i="16"/>
  <c r="AC187" i="16"/>
  <c r="Y187" i="16"/>
  <c r="U187" i="16"/>
  <c r="AF183" i="16"/>
  <c r="AB183" i="16"/>
  <c r="X183" i="16"/>
  <c r="AE183" i="16"/>
  <c r="AA183" i="16"/>
  <c r="W183" i="16"/>
  <c r="AH183" i="16"/>
  <c r="AD183" i="16"/>
  <c r="Z183" i="16"/>
  <c r="AG183" i="16"/>
  <c r="AC183" i="16"/>
  <c r="Y183" i="16"/>
  <c r="U183" i="16"/>
  <c r="AC160" i="16"/>
  <c r="X9" i="20" s="1"/>
  <c r="AH160" i="16"/>
  <c r="AC9" i="20" s="1"/>
  <c r="X160" i="16"/>
  <c r="S9" i="20" s="1"/>
  <c r="V107" i="16"/>
  <c r="AJ105" i="14"/>
  <c r="AL105" i="14" s="1"/>
  <c r="AM105" i="14" s="1"/>
  <c r="G101" i="4"/>
  <c r="G205" i="4" s="1"/>
  <c r="H205" i="4" s="1"/>
  <c r="I101" i="14"/>
  <c r="AJ89" i="14"/>
  <c r="AL89" i="14" s="1"/>
  <c r="AM89" i="14" s="1"/>
  <c r="G85" i="4"/>
  <c r="G189" i="4" s="1"/>
  <c r="I85" i="14"/>
  <c r="AJ73" i="14"/>
  <c r="AL73" i="14" s="1"/>
  <c r="G69" i="4"/>
  <c r="G173" i="4" s="1"/>
  <c r="I69" i="14"/>
  <c r="AJ57" i="14"/>
  <c r="AL57" i="14" s="1"/>
  <c r="G53" i="4"/>
  <c r="G157" i="4" s="1"/>
  <c r="H157" i="4" s="1"/>
  <c r="I53" i="14"/>
  <c r="AJ41" i="14"/>
  <c r="AL41" i="14" s="1"/>
  <c r="AM41" i="14" s="1"/>
  <c r="G37" i="4"/>
  <c r="G141" i="4" s="1"/>
  <c r="H141" i="4" s="1"/>
  <c r="I37" i="14"/>
  <c r="AJ25" i="14"/>
  <c r="AL25" i="14" s="1"/>
  <c r="AK10" i="19"/>
  <c r="AG10" i="19"/>
  <c r="AJ10" i="19"/>
  <c r="AF10" i="19"/>
  <c r="AM10" i="19"/>
  <c r="AI10" i="19"/>
  <c r="AL10" i="19"/>
  <c r="AH10" i="19"/>
  <c r="B41" i="19"/>
  <c r="D41" i="19" s="1"/>
  <c r="AM40" i="19"/>
  <c r="AI40" i="19"/>
  <c r="AL40" i="19"/>
  <c r="AH40" i="19"/>
  <c r="AK40" i="19"/>
  <c r="AG40" i="19"/>
  <c r="AJ40" i="19"/>
  <c r="AF40" i="19"/>
  <c r="B33" i="19"/>
  <c r="D33" i="19" s="1"/>
  <c r="AM33" i="14"/>
  <c r="AG25" i="16"/>
  <c r="AC25" i="16"/>
  <c r="Y25" i="16"/>
  <c r="AF25" i="16"/>
  <c r="AB25" i="16"/>
  <c r="X25" i="16"/>
  <c r="AE25" i="16"/>
  <c r="AA25" i="16"/>
  <c r="W25" i="16"/>
  <c r="AH25" i="16"/>
  <c r="AD25" i="16"/>
  <c r="Z25" i="16"/>
  <c r="D71" i="19" l="1"/>
  <c r="D10" i="23"/>
  <c r="V59" i="16"/>
  <c r="U387" i="45"/>
  <c r="V41" i="16"/>
  <c r="AN20" i="19"/>
  <c r="AO20" i="19" s="1"/>
  <c r="V193" i="16"/>
  <c r="V47" i="16"/>
  <c r="V89" i="16"/>
  <c r="V61" i="16"/>
  <c r="V81" i="16"/>
  <c r="BC22" i="8"/>
  <c r="EG24" i="62" s="1"/>
  <c r="D65" i="68"/>
  <c r="V183" i="16"/>
  <c r="V39" i="16"/>
  <c r="V71" i="16"/>
  <c r="D6" i="22"/>
  <c r="V1343" i="4"/>
  <c r="V1347" i="4"/>
  <c r="D11" i="26"/>
  <c r="D10" i="26"/>
  <c r="V99" i="16"/>
  <c r="V63" i="16"/>
  <c r="V87" i="16"/>
  <c r="U392" i="45"/>
  <c r="AU22" i="8"/>
  <c r="Y24" i="62" s="1"/>
  <c r="G36" i="19"/>
  <c r="AO36" i="14"/>
  <c r="V83" i="16"/>
  <c r="V196" i="16"/>
  <c r="V69" i="16"/>
  <c r="EU13" i="5"/>
  <c r="D6" i="68"/>
  <c r="X161" i="16"/>
  <c r="D8" i="23"/>
  <c r="V1335" i="4"/>
  <c r="V1345" i="4"/>
  <c r="V1349" i="4"/>
  <c r="V97" i="16"/>
  <c r="D37" i="19"/>
  <c r="V101" i="16"/>
  <c r="AY22" i="8"/>
  <c r="CC24" i="62" s="1"/>
  <c r="BD22" i="8"/>
  <c r="EU24" i="62" s="1"/>
  <c r="EU25" i="62"/>
  <c r="FI25" i="62" s="1"/>
  <c r="FK25" i="62" s="1"/>
  <c r="D69" i="68"/>
  <c r="G52" i="19"/>
  <c r="AO52" i="14"/>
  <c r="V1353" i="4"/>
  <c r="V37" i="16"/>
  <c r="AC181" i="16"/>
  <c r="X10" i="20" s="1"/>
  <c r="W181" i="16"/>
  <c r="V79" i="16"/>
  <c r="V45" i="16"/>
  <c r="V93" i="16"/>
  <c r="AN9" i="19"/>
  <c r="AO9" i="19" s="1"/>
  <c r="AN13" i="19"/>
  <c r="AO13" i="19" s="1"/>
  <c r="AN17" i="19"/>
  <c r="AO17" i="19" s="1"/>
  <c r="AN21" i="19"/>
  <c r="AO21" i="19" s="1"/>
  <c r="V31" i="16"/>
  <c r="D91" i="19"/>
  <c r="V65" i="16"/>
  <c r="AN72" i="19"/>
  <c r="AO72" i="19" s="1"/>
  <c r="AN24" i="19"/>
  <c r="AO24" i="19" s="1"/>
  <c r="V51" i="16"/>
  <c r="V55" i="16"/>
  <c r="V53" i="16"/>
  <c r="AA161" i="16"/>
  <c r="AF161" i="16"/>
  <c r="AC161" i="16"/>
  <c r="D14" i="23"/>
  <c r="AO100" i="14"/>
  <c r="G100" i="19"/>
  <c r="G32" i="19"/>
  <c r="AO32" i="14"/>
  <c r="G15" i="19"/>
  <c r="AO15" i="14"/>
  <c r="V75" i="16"/>
  <c r="V73" i="16"/>
  <c r="V105" i="16"/>
  <c r="V1329" i="4"/>
  <c r="V1339" i="4"/>
  <c r="V1351" i="4"/>
  <c r="AG181" i="16"/>
  <c r="AB10" i="20" s="1"/>
  <c r="AE181" i="16"/>
  <c r="Z10" i="20" s="1"/>
  <c r="V43" i="16"/>
  <c r="D67" i="19"/>
  <c r="H67" i="19" s="1"/>
  <c r="V49" i="16"/>
  <c r="D15" i="26"/>
  <c r="AE161" i="16"/>
  <c r="AG161" i="16"/>
  <c r="AB57" i="20" s="1"/>
  <c r="G12" i="19"/>
  <c r="AO12" i="14"/>
  <c r="AO96" i="14"/>
  <c r="G96" i="19"/>
  <c r="V91" i="16"/>
  <c r="V25" i="16"/>
  <c r="AN40" i="19"/>
  <c r="AO40" i="19" s="1"/>
  <c r="V191" i="16"/>
  <c r="V67" i="16"/>
  <c r="V57" i="16"/>
  <c r="AD181" i="16"/>
  <c r="Y10" i="20" s="1"/>
  <c r="X181" i="16"/>
  <c r="S10" i="20" s="1"/>
  <c r="V95" i="16"/>
  <c r="V77" i="16"/>
  <c r="V85" i="16"/>
  <c r="AD161" i="16"/>
  <c r="D11" i="21"/>
  <c r="G14" i="19"/>
  <c r="AO14" i="14"/>
  <c r="AO80" i="14"/>
  <c r="G80" i="19"/>
  <c r="AO84" i="14"/>
  <c r="G84" i="19"/>
  <c r="G48" i="19"/>
  <c r="AO48" i="14"/>
  <c r="AN28" i="19"/>
  <c r="AO28" i="19" s="1"/>
  <c r="D13" i="23"/>
  <c r="D8" i="25"/>
  <c r="Y181" i="16"/>
  <c r="T10" i="20" s="1"/>
  <c r="AH181" i="16"/>
  <c r="AC10" i="20" s="1"/>
  <c r="V27" i="16"/>
  <c r="D12" i="21"/>
  <c r="V175" i="16"/>
  <c r="V1342" i="4"/>
  <c r="D13" i="25"/>
  <c r="V33" i="16"/>
  <c r="V185" i="16"/>
  <c r="D5" i="23"/>
  <c r="D11" i="22"/>
  <c r="D10" i="25"/>
  <c r="D7" i="26"/>
  <c r="V29" i="16"/>
  <c r="V35" i="16"/>
  <c r="V103" i="16"/>
  <c r="W161" i="16"/>
  <c r="AB161" i="16"/>
  <c r="Y161" i="16"/>
  <c r="G18" i="19"/>
  <c r="AO18" i="14"/>
  <c r="AO64" i="14"/>
  <c r="G64" i="19"/>
  <c r="D12" i="23"/>
  <c r="D12" i="25"/>
  <c r="D14" i="25"/>
  <c r="D14" i="22"/>
  <c r="D14" i="24"/>
  <c r="D15" i="23"/>
  <c r="D9" i="21"/>
  <c r="D9" i="25"/>
  <c r="D6" i="24"/>
  <c r="X515" i="45"/>
  <c r="D52" i="28"/>
  <c r="D12" i="28" s="1"/>
  <c r="G52" i="28"/>
  <c r="G12" i="28" s="1"/>
  <c r="E52" i="28"/>
  <c r="E12" i="28" s="1"/>
  <c r="F52" i="28"/>
  <c r="F12" i="28" s="1"/>
  <c r="AH16" i="14"/>
  <c r="AI16" i="14" s="1"/>
  <c r="C16" i="19" s="1"/>
  <c r="U16" i="16"/>
  <c r="U21" i="16"/>
  <c r="AH21" i="14"/>
  <c r="AI21" i="14" s="1"/>
  <c r="C21" i="19" s="1"/>
  <c r="U19" i="16"/>
  <c r="AH19" i="14"/>
  <c r="AI19" i="14" s="1"/>
  <c r="C19" i="19" s="1"/>
  <c r="AH14" i="14"/>
  <c r="AI14" i="14" s="1"/>
  <c r="C14" i="19" s="1"/>
  <c r="U14" i="16"/>
  <c r="AH12" i="14"/>
  <c r="AI12" i="14" s="1"/>
  <c r="C12" i="19" s="1"/>
  <c r="U12" i="16"/>
  <c r="AH8" i="14"/>
  <c r="AI8" i="14" s="1"/>
  <c r="C8" i="19" s="1"/>
  <c r="U8" i="16"/>
  <c r="AH18" i="14"/>
  <c r="U18" i="16"/>
  <c r="J9" i="6"/>
  <c r="K9" i="6" s="1"/>
  <c r="H10" i="6" s="1"/>
  <c r="H33" i="19"/>
  <c r="BD33" i="19" s="1"/>
  <c r="C48" i="22" s="1"/>
  <c r="G73" i="19"/>
  <c r="AO73" i="14"/>
  <c r="V187" i="16"/>
  <c r="H83" i="19"/>
  <c r="BB83" i="19" s="1"/>
  <c r="H69" i="19"/>
  <c r="BD69" i="19" s="1"/>
  <c r="C84" i="22" s="1"/>
  <c r="AO47" i="14"/>
  <c r="G47" i="19"/>
  <c r="AE54" i="16"/>
  <c r="AA54" i="16"/>
  <c r="W54" i="16"/>
  <c r="AH54" i="16"/>
  <c r="AD54" i="16"/>
  <c r="Z54" i="16"/>
  <c r="AG54" i="16"/>
  <c r="AC54" i="16"/>
  <c r="Y54" i="16"/>
  <c r="AF54" i="16"/>
  <c r="AB54" i="16"/>
  <c r="X54" i="16"/>
  <c r="AE159" i="4"/>
  <c r="AI159" i="4" s="1"/>
  <c r="AE1003" i="4"/>
  <c r="AI1003" i="4" s="1"/>
  <c r="AE74" i="16"/>
  <c r="AA74" i="16"/>
  <c r="W74" i="16"/>
  <c r="AH74" i="16"/>
  <c r="AD74" i="16"/>
  <c r="Z74" i="16"/>
  <c r="AG74" i="16"/>
  <c r="AC74" i="16"/>
  <c r="Y74" i="16"/>
  <c r="AF74" i="16"/>
  <c r="AB74" i="16"/>
  <c r="X74" i="16"/>
  <c r="AE183" i="4"/>
  <c r="AI183" i="4" s="1"/>
  <c r="AE215" i="4"/>
  <c r="AI215" i="4" s="1"/>
  <c r="AE424" i="4"/>
  <c r="AI424" i="4" s="1"/>
  <c r="AE217" i="4"/>
  <c r="AI217" i="4" s="1"/>
  <c r="AE426" i="4"/>
  <c r="AI426" i="4" s="1"/>
  <c r="AE219" i="4"/>
  <c r="AI219" i="4" s="1"/>
  <c r="AE428" i="4"/>
  <c r="AI428" i="4" s="1"/>
  <c r="AE221" i="4"/>
  <c r="AI221" i="4" s="1"/>
  <c r="AE430" i="4"/>
  <c r="AI430" i="4" s="1"/>
  <c r="AE223" i="4"/>
  <c r="AI223" i="4" s="1"/>
  <c r="AE432" i="4"/>
  <c r="AI432" i="4" s="1"/>
  <c r="AE225" i="4"/>
  <c r="AI225" i="4" s="1"/>
  <c r="AE434" i="4"/>
  <c r="AI434" i="4" s="1"/>
  <c r="AE227" i="4"/>
  <c r="AI227" i="4" s="1"/>
  <c r="AE436" i="4"/>
  <c r="AI436" i="4" s="1"/>
  <c r="AE229" i="4"/>
  <c r="AI229" i="4" s="1"/>
  <c r="AE438" i="4"/>
  <c r="AI438" i="4" s="1"/>
  <c r="AE232" i="4"/>
  <c r="AI232" i="4" s="1"/>
  <c r="AE340" i="4"/>
  <c r="AI340" i="4" s="1"/>
  <c r="AE868" i="4"/>
  <c r="AI868" i="4" s="1"/>
  <c r="AE560" i="4"/>
  <c r="AI560" i="4" s="1"/>
  <c r="H148" i="4"/>
  <c r="AE148" i="4"/>
  <c r="AI148" i="4" s="1"/>
  <c r="AE988" i="4"/>
  <c r="AI988" i="4" s="1"/>
  <c r="AE576" i="4"/>
  <c r="AI576" i="4" s="1"/>
  <c r="H164" i="4"/>
  <c r="AE164" i="4"/>
  <c r="AI164" i="4" s="1"/>
  <c r="AE1108" i="4"/>
  <c r="AI1108" i="4" s="1"/>
  <c r="AE592" i="4"/>
  <c r="AI592" i="4" s="1"/>
  <c r="H180" i="4"/>
  <c r="AE180" i="4"/>
  <c r="AI180" i="4" s="1"/>
  <c r="AE1124" i="4"/>
  <c r="AI1124" i="4" s="1"/>
  <c r="AE712" i="4"/>
  <c r="AI712" i="4" s="1"/>
  <c r="AE300" i="4"/>
  <c r="AI300" i="4" s="1"/>
  <c r="AE1140" i="4"/>
  <c r="AI1140" i="4" s="1"/>
  <c r="AE728" i="4"/>
  <c r="AI728" i="4" s="1"/>
  <c r="D6" i="23"/>
  <c r="D12" i="22"/>
  <c r="AI607" i="45"/>
  <c r="H175" i="4"/>
  <c r="AE175" i="4"/>
  <c r="AI175" i="4" s="1"/>
  <c r="AE1127" i="4"/>
  <c r="AI1127" i="4" s="1"/>
  <c r="AJ98" i="19"/>
  <c r="AF98" i="19"/>
  <c r="AL98" i="19"/>
  <c r="AH98" i="19"/>
  <c r="AI98" i="19"/>
  <c r="AG98" i="19"/>
  <c r="AM98" i="19"/>
  <c r="AK98" i="19"/>
  <c r="CQ47" i="62"/>
  <c r="CQ23" i="62"/>
  <c r="AH184" i="16"/>
  <c r="AD184" i="16"/>
  <c r="Z184" i="16"/>
  <c r="AG184" i="16"/>
  <c r="AC184" i="16"/>
  <c r="Y184" i="16"/>
  <c r="U184" i="16"/>
  <c r="AF184" i="16"/>
  <c r="AB184" i="16"/>
  <c r="X184" i="16"/>
  <c r="AE184" i="16"/>
  <c r="AA184" i="16"/>
  <c r="W184" i="16"/>
  <c r="AK34" i="19"/>
  <c r="AG34" i="19"/>
  <c r="AJ34" i="19"/>
  <c r="AF34" i="19"/>
  <c r="AM34" i="19"/>
  <c r="AI34" i="19"/>
  <c r="AL34" i="19"/>
  <c r="AH34" i="19"/>
  <c r="AE342" i="4"/>
  <c r="AI342" i="4" s="1"/>
  <c r="AE1082" i="4"/>
  <c r="AI1082" i="4" s="1"/>
  <c r="AE670" i="4"/>
  <c r="AI670" i="4" s="1"/>
  <c r="AE258" i="4"/>
  <c r="AI258" i="4" s="1"/>
  <c r="AE1098" i="4"/>
  <c r="AI1098" i="4" s="1"/>
  <c r="AE582" i="4"/>
  <c r="AI582" i="4" s="1"/>
  <c r="H66" i="4"/>
  <c r="AE66" i="4"/>
  <c r="AI66" i="4" s="1"/>
  <c r="AE906" i="4"/>
  <c r="AI906" i="4" s="1"/>
  <c r="AE394" i="4"/>
  <c r="AI394" i="4" s="1"/>
  <c r="AE402" i="4"/>
  <c r="AI402" i="4" s="1"/>
  <c r="AE410" i="4"/>
  <c r="AI410" i="4" s="1"/>
  <c r="AE418" i="4"/>
  <c r="AI418" i="4" s="1"/>
  <c r="BO33" i="5"/>
  <c r="AC608" i="45"/>
  <c r="EG33" i="5"/>
  <c r="AM608" i="45"/>
  <c r="V114" i="16"/>
  <c r="FI23" i="62"/>
  <c r="FI47" i="62"/>
  <c r="AK46" i="19"/>
  <c r="AG46" i="19"/>
  <c r="AJ46" i="19"/>
  <c r="AF46" i="19"/>
  <c r="AM46" i="19"/>
  <c r="AI46" i="19"/>
  <c r="AL46" i="19"/>
  <c r="AH46" i="19"/>
  <c r="F1273" i="4"/>
  <c r="AE1169" i="4"/>
  <c r="F1337" i="4"/>
  <c r="AE1233" i="4"/>
  <c r="W1355" i="4"/>
  <c r="W1356" i="4" s="1"/>
  <c r="U1258" i="4"/>
  <c r="Y1154" i="4"/>
  <c r="Y1050" i="4"/>
  <c r="Y946" i="4"/>
  <c r="Y842" i="4"/>
  <c r="Y738" i="4"/>
  <c r="Y634" i="4"/>
  <c r="Y530" i="4"/>
  <c r="Y426" i="4"/>
  <c r="Y322" i="4"/>
  <c r="Y218" i="4"/>
  <c r="Y114" i="4"/>
  <c r="Y10" i="4"/>
  <c r="U1262" i="4"/>
  <c r="Y1158" i="4"/>
  <c r="Y1054" i="4"/>
  <c r="Y950" i="4"/>
  <c r="Y846" i="4"/>
  <c r="Y742" i="4"/>
  <c r="Y638" i="4"/>
  <c r="Y534" i="4"/>
  <c r="Y430" i="4"/>
  <c r="Y326" i="4"/>
  <c r="Y222" i="4"/>
  <c r="Y118" i="4"/>
  <c r="Y14" i="4"/>
  <c r="U1266" i="4"/>
  <c r="Y1162" i="4"/>
  <c r="Y1058" i="4"/>
  <c r="Y954" i="4"/>
  <c r="Y850" i="4"/>
  <c r="Y746" i="4"/>
  <c r="Y642" i="4"/>
  <c r="Y538" i="4"/>
  <c r="Y434" i="4"/>
  <c r="Y330" i="4"/>
  <c r="Y226" i="4"/>
  <c r="Y122" i="4"/>
  <c r="Y18" i="4"/>
  <c r="U1270" i="4"/>
  <c r="Y1166" i="4"/>
  <c r="Y1062" i="4"/>
  <c r="Y958" i="4"/>
  <c r="Y854" i="4"/>
  <c r="Y750" i="4"/>
  <c r="Y646" i="4"/>
  <c r="Y542" i="4"/>
  <c r="Y438" i="4"/>
  <c r="Y334" i="4"/>
  <c r="Y230" i="4"/>
  <c r="Y126" i="4"/>
  <c r="Y22" i="4"/>
  <c r="AA22" i="4" s="1"/>
  <c r="U1274" i="4"/>
  <c r="Y1170" i="4"/>
  <c r="Y1066" i="4"/>
  <c r="Y962" i="4"/>
  <c r="Y858" i="4"/>
  <c r="Y754" i="4"/>
  <c r="Y650" i="4"/>
  <c r="Y546" i="4"/>
  <c r="Y442" i="4"/>
  <c r="Y338" i="4"/>
  <c r="Y234" i="4"/>
  <c r="Y130" i="4"/>
  <c r="AA130" i="4" s="1"/>
  <c r="Y26" i="4"/>
  <c r="U1278" i="4"/>
  <c r="Y1174" i="4"/>
  <c r="Y1070" i="4"/>
  <c r="Y966" i="4"/>
  <c r="Y862" i="4"/>
  <c r="Y758" i="4"/>
  <c r="Y654" i="4"/>
  <c r="Y550" i="4"/>
  <c r="Y446" i="4"/>
  <c r="Y342" i="4"/>
  <c r="Y238" i="4"/>
  <c r="Y134" i="4"/>
  <c r="Y30" i="4"/>
  <c r="U1282" i="4"/>
  <c r="Y1178" i="4"/>
  <c r="Y1074" i="4"/>
  <c r="Y970" i="4"/>
  <c r="Y866" i="4"/>
  <c r="Y762" i="4"/>
  <c r="Y658" i="4"/>
  <c r="Y554" i="4"/>
  <c r="Y450" i="4"/>
  <c r="Y346" i="4"/>
  <c r="Y242" i="4"/>
  <c r="Y138" i="4"/>
  <c r="Y34" i="4"/>
  <c r="U1286" i="4"/>
  <c r="Y1182" i="4"/>
  <c r="Y1078" i="4"/>
  <c r="Y974" i="4"/>
  <c r="Y870" i="4"/>
  <c r="Y766" i="4"/>
  <c r="Y662" i="4"/>
  <c r="Y558" i="4"/>
  <c r="Y454" i="4"/>
  <c r="Y350" i="4"/>
  <c r="Y246" i="4"/>
  <c r="Y142" i="4"/>
  <c r="Y38" i="4"/>
  <c r="AA38" i="4" s="1"/>
  <c r="U1290" i="4"/>
  <c r="Y1186" i="4"/>
  <c r="Y1082" i="4"/>
  <c r="Y978" i="4"/>
  <c r="Y874" i="4"/>
  <c r="Y770" i="4"/>
  <c r="Y666" i="4"/>
  <c r="Y562" i="4"/>
  <c r="Y458" i="4"/>
  <c r="Y354" i="4"/>
  <c r="Y250" i="4"/>
  <c r="Y146" i="4"/>
  <c r="Y42" i="4"/>
  <c r="U1294" i="4"/>
  <c r="Y1190" i="4"/>
  <c r="Y1086" i="4"/>
  <c r="Y982" i="4"/>
  <c r="Y878" i="4"/>
  <c r="Y774" i="4"/>
  <c r="Y670" i="4"/>
  <c r="Y566" i="4"/>
  <c r="Y462" i="4"/>
  <c r="Y358" i="4"/>
  <c r="Y254" i="4"/>
  <c r="Y150" i="4"/>
  <c r="Y46" i="4"/>
  <c r="U1298" i="4"/>
  <c r="Y1194" i="4"/>
  <c r="Y1090" i="4"/>
  <c r="Y986" i="4"/>
  <c r="Y882" i="4"/>
  <c r="Y778" i="4"/>
  <c r="Y674" i="4"/>
  <c r="Y570" i="4"/>
  <c r="Y466" i="4"/>
  <c r="Y362" i="4"/>
  <c r="Y258" i="4"/>
  <c r="Y154" i="4"/>
  <c r="Y50" i="4"/>
  <c r="U1302" i="4"/>
  <c r="Y1198" i="4"/>
  <c r="Y1094" i="4"/>
  <c r="Y990" i="4"/>
  <c r="Y886" i="4"/>
  <c r="Y782" i="4"/>
  <c r="Y678" i="4"/>
  <c r="Y574" i="4"/>
  <c r="Y470" i="4"/>
  <c r="Y366" i="4"/>
  <c r="Y262" i="4"/>
  <c r="Y158" i="4"/>
  <c r="Y54" i="4"/>
  <c r="AA54" i="4" s="1"/>
  <c r="U1306" i="4"/>
  <c r="Y1202" i="4"/>
  <c r="Y1098" i="4"/>
  <c r="Y994" i="4"/>
  <c r="Y890" i="4"/>
  <c r="Y786" i="4"/>
  <c r="Y682" i="4"/>
  <c r="Y578" i="4"/>
  <c r="Y474" i="4"/>
  <c r="Y370" i="4"/>
  <c r="Y266" i="4"/>
  <c r="Y162" i="4"/>
  <c r="Y58" i="4"/>
  <c r="U1342" i="4"/>
  <c r="Y1238" i="4"/>
  <c r="Y1134" i="4"/>
  <c r="Y1030" i="4"/>
  <c r="Y926" i="4"/>
  <c r="Y822" i="4"/>
  <c r="Y718" i="4"/>
  <c r="Y614" i="4"/>
  <c r="Y510" i="4"/>
  <c r="Y406" i="4"/>
  <c r="Y302" i="4"/>
  <c r="Y198" i="4"/>
  <c r="Y94" i="4"/>
  <c r="AF35" i="5"/>
  <c r="AT35" i="5" s="1"/>
  <c r="BH35" i="5" s="1"/>
  <c r="BV35" i="5" s="1"/>
  <c r="CJ35" i="5" s="1"/>
  <c r="CX35" i="5" s="1"/>
  <c r="DL35" i="5" s="1"/>
  <c r="DZ35" i="5" s="1"/>
  <c r="EN35" i="5" s="1"/>
  <c r="FB35" i="5" s="1"/>
  <c r="FP35" i="5" s="1"/>
  <c r="AF43" i="5"/>
  <c r="AT43" i="5" s="1"/>
  <c r="BH43" i="5" s="1"/>
  <c r="BV43" i="5" s="1"/>
  <c r="CJ43" i="5" s="1"/>
  <c r="CX43" i="5" s="1"/>
  <c r="DL43" i="5" s="1"/>
  <c r="DZ43" i="5" s="1"/>
  <c r="EN43" i="5" s="1"/>
  <c r="FB43" i="5" s="1"/>
  <c r="FP43" i="5" s="1"/>
  <c r="AN8" i="19"/>
  <c r="AO8" i="19" s="1"/>
  <c r="AN16" i="19"/>
  <c r="AO16" i="19" s="1"/>
  <c r="AO31" i="14"/>
  <c r="G31" i="19"/>
  <c r="G85" i="19"/>
  <c r="AO85" i="14"/>
  <c r="Z181" i="16"/>
  <c r="U10" i="20" s="1"/>
  <c r="AA181" i="16"/>
  <c r="V10" i="20" s="1"/>
  <c r="AF181" i="16"/>
  <c r="AA10" i="20" s="1"/>
  <c r="D51" i="19"/>
  <c r="D59" i="19"/>
  <c r="D103" i="19"/>
  <c r="H57" i="19"/>
  <c r="BD57" i="19" s="1"/>
  <c r="C72" i="22" s="1"/>
  <c r="AM85" i="14"/>
  <c r="AO71" i="14"/>
  <c r="G71" i="19"/>
  <c r="AO99" i="14"/>
  <c r="G99" i="19"/>
  <c r="AE231" i="4"/>
  <c r="AI231" i="4" s="1"/>
  <c r="AE1079" i="4"/>
  <c r="AI1079" i="4" s="1"/>
  <c r="AK54" i="19"/>
  <c r="AG54" i="19"/>
  <c r="AJ54" i="19"/>
  <c r="AF54" i="19"/>
  <c r="AM54" i="19"/>
  <c r="AI54" i="19"/>
  <c r="AL54" i="19"/>
  <c r="AH54" i="19"/>
  <c r="AE67" i="4"/>
  <c r="AI67" i="4" s="1"/>
  <c r="AE391" i="4"/>
  <c r="AI391" i="4" s="1"/>
  <c r="J4" i="29"/>
  <c r="F1147" i="4"/>
  <c r="AE1046" i="4"/>
  <c r="F315" i="4"/>
  <c r="AE214" i="4"/>
  <c r="F1256" i="4"/>
  <c r="AE1152" i="4"/>
  <c r="H113" i="4"/>
  <c r="AE113" i="4"/>
  <c r="AI113" i="4" s="1"/>
  <c r="AE322" i="4"/>
  <c r="AI322" i="4" s="1"/>
  <c r="AE531" i="4"/>
  <c r="AI531" i="4" s="1"/>
  <c r="AE740" i="4"/>
  <c r="AI740" i="4" s="1"/>
  <c r="AE949" i="4"/>
  <c r="AI949" i="4" s="1"/>
  <c r="F1264" i="4"/>
  <c r="AE1160" i="4"/>
  <c r="H121" i="4"/>
  <c r="AE121" i="4"/>
  <c r="AI121" i="4" s="1"/>
  <c r="AE330" i="4"/>
  <c r="AI330" i="4" s="1"/>
  <c r="AE539" i="4"/>
  <c r="AI539" i="4" s="1"/>
  <c r="AE748" i="4"/>
  <c r="AI748" i="4" s="1"/>
  <c r="AE957" i="4"/>
  <c r="AI957" i="4" s="1"/>
  <c r="AE1068" i="4"/>
  <c r="AI1068" i="4" s="1"/>
  <c r="AE656" i="4"/>
  <c r="AI656" i="4" s="1"/>
  <c r="AE764" i="4"/>
  <c r="AI764" i="4" s="1"/>
  <c r="AO39" i="14"/>
  <c r="G39" i="19"/>
  <c r="AE456" i="4"/>
  <c r="AI456" i="4" s="1"/>
  <c r="H44" i="4"/>
  <c r="AE44" i="4"/>
  <c r="AI44" i="4" s="1"/>
  <c r="AE884" i="4"/>
  <c r="AI884" i="4" s="1"/>
  <c r="AO55" i="14"/>
  <c r="G55" i="19"/>
  <c r="AE56" i="4"/>
  <c r="AI56" i="4" s="1"/>
  <c r="H56" i="4"/>
  <c r="AE892" i="4"/>
  <c r="AI892" i="4" s="1"/>
  <c r="AO63" i="14"/>
  <c r="G63" i="19"/>
  <c r="H64" i="4"/>
  <c r="AE64" i="4"/>
  <c r="AI64" i="4" s="1"/>
  <c r="AE904" i="4"/>
  <c r="AI904" i="4" s="1"/>
  <c r="AO75" i="14"/>
  <c r="G75" i="19"/>
  <c r="H76" i="4"/>
  <c r="AE76" i="4"/>
  <c r="AI76" i="4" s="1"/>
  <c r="AE1020" i="4"/>
  <c r="AI1020" i="4" s="1"/>
  <c r="AE608" i="4"/>
  <c r="AI608" i="4" s="1"/>
  <c r="H196" i="4"/>
  <c r="AE196" i="4"/>
  <c r="AI196" i="4" s="1"/>
  <c r="AE1036" i="4"/>
  <c r="AI1036" i="4" s="1"/>
  <c r="AE624" i="4"/>
  <c r="AI624" i="4" s="1"/>
  <c r="I6" i="18"/>
  <c r="F6" i="18"/>
  <c r="AQ607" i="45"/>
  <c r="AK66" i="19"/>
  <c r="AG66" i="19"/>
  <c r="AJ66" i="19"/>
  <c r="AF66" i="19"/>
  <c r="AM66" i="19"/>
  <c r="AI66" i="19"/>
  <c r="AL66" i="19"/>
  <c r="AH66" i="19"/>
  <c r="AE1019" i="4"/>
  <c r="AI1019" i="4" s="1"/>
  <c r="AE711" i="4"/>
  <c r="AI711" i="4" s="1"/>
  <c r="AE507" i="4"/>
  <c r="AI507" i="4" s="1"/>
  <c r="AE411" i="4"/>
  <c r="AI411" i="4" s="1"/>
  <c r="U1333" i="4"/>
  <c r="Y1229" i="4"/>
  <c r="Y1125" i="4"/>
  <c r="Y1021" i="4"/>
  <c r="Y917" i="4"/>
  <c r="Y813" i="4"/>
  <c r="Y709" i="4"/>
  <c r="Y605" i="4"/>
  <c r="Y501" i="4"/>
  <c r="Y397" i="4"/>
  <c r="Y293" i="4"/>
  <c r="Y189" i="4"/>
  <c r="AA189" i="4" s="1"/>
  <c r="Y85" i="4"/>
  <c r="U1343" i="4"/>
  <c r="Y1239" i="4"/>
  <c r="Y1135" i="4"/>
  <c r="Y1031" i="4"/>
  <c r="Y927" i="4"/>
  <c r="Y823" i="4"/>
  <c r="Y719" i="4"/>
  <c r="Y615" i="4"/>
  <c r="Y511" i="4"/>
  <c r="Y407" i="4"/>
  <c r="Y303" i="4"/>
  <c r="Y199" i="4"/>
  <c r="Y95" i="4"/>
  <c r="AA95" i="4" s="1"/>
  <c r="U1347" i="4"/>
  <c r="Y1243" i="4"/>
  <c r="Y1139" i="4"/>
  <c r="Y1035" i="4"/>
  <c r="Y931" i="4"/>
  <c r="Y827" i="4"/>
  <c r="Y723" i="4"/>
  <c r="Y619" i="4"/>
  <c r="Y515" i="4"/>
  <c r="Y411" i="4"/>
  <c r="Y307" i="4"/>
  <c r="Y203" i="4"/>
  <c r="Y99" i="4"/>
  <c r="U1351" i="4"/>
  <c r="Y1247" i="4"/>
  <c r="Y1143" i="4"/>
  <c r="Y1039" i="4"/>
  <c r="Y935" i="4"/>
  <c r="Y831" i="4"/>
  <c r="Y727" i="4"/>
  <c r="Y623" i="4"/>
  <c r="Y519" i="4"/>
  <c r="Y415" i="4"/>
  <c r="Y311" i="4"/>
  <c r="Y207" i="4"/>
  <c r="AA207" i="4" s="1"/>
  <c r="Y103" i="4"/>
  <c r="AA103" i="4" s="1"/>
  <c r="AO29" i="62"/>
  <c r="AH194" i="16"/>
  <c r="AD194" i="16"/>
  <c r="Z194" i="16"/>
  <c r="AG194" i="16"/>
  <c r="AC194" i="16"/>
  <c r="Y194" i="16"/>
  <c r="U194" i="16"/>
  <c r="AF194" i="16"/>
  <c r="AB194" i="16"/>
  <c r="X194" i="16"/>
  <c r="AE194" i="16"/>
  <c r="AA194" i="16"/>
  <c r="W194" i="16"/>
  <c r="AE1070" i="4"/>
  <c r="AI1070" i="4" s="1"/>
  <c r="AE658" i="4"/>
  <c r="AI658" i="4" s="1"/>
  <c r="H142" i="4"/>
  <c r="AE142" i="4"/>
  <c r="AI142" i="4" s="1"/>
  <c r="AA142" i="4"/>
  <c r="AE982" i="4"/>
  <c r="AI982" i="4" s="1"/>
  <c r="AE570" i="4"/>
  <c r="AI570" i="4" s="1"/>
  <c r="H158" i="4"/>
  <c r="AE158" i="4"/>
  <c r="AI158" i="4" s="1"/>
  <c r="AA158" i="4"/>
  <c r="AE894" i="4"/>
  <c r="AI894" i="4" s="1"/>
  <c r="AE382" i="4"/>
  <c r="AI382" i="4" s="1"/>
  <c r="AE1122" i="4"/>
  <c r="AI1122" i="4" s="1"/>
  <c r="AE710" i="4"/>
  <c r="AI710" i="4" s="1"/>
  <c r="AE298" i="4"/>
  <c r="AI298" i="4" s="1"/>
  <c r="AE1138" i="4"/>
  <c r="AI1138" i="4" s="1"/>
  <c r="AE726" i="4"/>
  <c r="AI726" i="4" s="1"/>
  <c r="AE314" i="4"/>
  <c r="AI314" i="4" s="1"/>
  <c r="R36" i="5"/>
  <c r="D36" i="5"/>
  <c r="C68" i="28" s="1"/>
  <c r="U361" i="45"/>
  <c r="U610" i="45"/>
  <c r="D29" i="68"/>
  <c r="AK86" i="19"/>
  <c r="AG86" i="19"/>
  <c r="AJ86" i="19"/>
  <c r="AF86" i="19"/>
  <c r="AM86" i="19"/>
  <c r="AI86" i="19"/>
  <c r="AL86" i="19"/>
  <c r="AH86" i="19"/>
  <c r="F1309" i="4"/>
  <c r="AE1205" i="4"/>
  <c r="H65" i="4"/>
  <c r="H189" i="4"/>
  <c r="V1334" i="4"/>
  <c r="V1350" i="4"/>
  <c r="AG607" i="45"/>
  <c r="D7" i="24"/>
  <c r="D15" i="24"/>
  <c r="D7" i="25"/>
  <c r="AB505" i="45"/>
  <c r="AA507" i="45"/>
  <c r="AA506" i="45"/>
  <c r="D25" i="19"/>
  <c r="G49" i="19"/>
  <c r="AO49" i="14"/>
  <c r="V189" i="16"/>
  <c r="H75" i="19"/>
  <c r="BB75" i="19" s="1"/>
  <c r="D73" i="19"/>
  <c r="AN88" i="19"/>
  <c r="AO88" i="19" s="1"/>
  <c r="AN104" i="19"/>
  <c r="AO104" i="19" s="1"/>
  <c r="AH22" i="14"/>
  <c r="AI22" i="14" s="1"/>
  <c r="C22" i="19" s="1"/>
  <c r="U22" i="16"/>
  <c r="AE127" i="4"/>
  <c r="AI127" i="4" s="1"/>
  <c r="AE975" i="4"/>
  <c r="AI975" i="4" s="1"/>
  <c r="AE58" i="16"/>
  <c r="AA58" i="16"/>
  <c r="W58" i="16"/>
  <c r="AH58" i="16"/>
  <c r="AD58" i="16"/>
  <c r="Z58" i="16"/>
  <c r="AG58" i="16"/>
  <c r="AC58" i="16"/>
  <c r="Y58" i="16"/>
  <c r="AF58" i="16"/>
  <c r="AB58" i="16"/>
  <c r="X58" i="16"/>
  <c r="AE795" i="4"/>
  <c r="AI795" i="4" s="1"/>
  <c r="AM70" i="14"/>
  <c r="B70" i="19"/>
  <c r="D70" i="19" s="1"/>
  <c r="AE287" i="4"/>
  <c r="AI287" i="4" s="1"/>
  <c r="B6" i="25"/>
  <c r="B6" i="24"/>
  <c r="B6" i="26"/>
  <c r="B6" i="23"/>
  <c r="B6" i="22"/>
  <c r="B6" i="18"/>
  <c r="B6" i="21"/>
  <c r="B14" i="17"/>
  <c r="C35" i="15"/>
  <c r="C25" i="62"/>
  <c r="Q25" i="62"/>
  <c r="AE25" i="62" s="1"/>
  <c r="AS25" i="62" s="1"/>
  <c r="BG25" i="62" s="1"/>
  <c r="BU25" i="62" s="1"/>
  <c r="CI25" i="62" s="1"/>
  <c r="CW25" i="62" s="1"/>
  <c r="DK25" i="62" s="1"/>
  <c r="DY25" i="62" s="1"/>
  <c r="EM25" i="62" s="1"/>
  <c r="FA25" i="62" s="1"/>
  <c r="FO25" i="62" s="1"/>
  <c r="C69" i="68"/>
  <c r="F1043" i="4"/>
  <c r="AE942" i="4"/>
  <c r="AE110" i="4"/>
  <c r="F211" i="4"/>
  <c r="AE839" i="4"/>
  <c r="AI839" i="4" s="1"/>
  <c r="AE632" i="4"/>
  <c r="AI632" i="4" s="1"/>
  <c r="AE841" i="4"/>
  <c r="AI841" i="4" s="1"/>
  <c r="AE634" i="4"/>
  <c r="AI634" i="4" s="1"/>
  <c r="AE843" i="4"/>
  <c r="AI843" i="4" s="1"/>
  <c r="AE636" i="4"/>
  <c r="AI636" i="4" s="1"/>
  <c r="AE845" i="4"/>
  <c r="AI845" i="4" s="1"/>
  <c r="AE638" i="4"/>
  <c r="AI638" i="4" s="1"/>
  <c r="AE847" i="4"/>
  <c r="AI847" i="4" s="1"/>
  <c r="AE640" i="4"/>
  <c r="AI640" i="4" s="1"/>
  <c r="AE849" i="4"/>
  <c r="AI849" i="4" s="1"/>
  <c r="AE642" i="4"/>
  <c r="AI642" i="4" s="1"/>
  <c r="AE851" i="4"/>
  <c r="AI851" i="4" s="1"/>
  <c r="AE644" i="4"/>
  <c r="AI644" i="4" s="1"/>
  <c r="AE853" i="4"/>
  <c r="AI853" i="4" s="1"/>
  <c r="AE646" i="4"/>
  <c r="AI646" i="4" s="1"/>
  <c r="AE964" i="4"/>
  <c r="AI964" i="4" s="1"/>
  <c r="AE552" i="4"/>
  <c r="AI552" i="4" s="1"/>
  <c r="AE244" i="4"/>
  <c r="AI244" i="4" s="1"/>
  <c r="AE352" i="4"/>
  <c r="AI352" i="4" s="1"/>
  <c r="AE360" i="4"/>
  <c r="AI360" i="4" s="1"/>
  <c r="AE368" i="4"/>
  <c r="AI368" i="4" s="1"/>
  <c r="AE376" i="4"/>
  <c r="AI376" i="4" s="1"/>
  <c r="G67" i="4"/>
  <c r="G171" i="4" s="1"/>
  <c r="H171" i="4" s="1"/>
  <c r="I67" i="14"/>
  <c r="H68" i="4"/>
  <c r="AE68" i="4"/>
  <c r="AI68" i="4" s="1"/>
  <c r="AE384" i="4"/>
  <c r="AI384" i="4" s="1"/>
  <c r="AE912" i="4"/>
  <c r="AI912" i="4" s="1"/>
  <c r="AE500" i="4"/>
  <c r="AI500" i="4" s="1"/>
  <c r="H88" i="4"/>
  <c r="AE88" i="4"/>
  <c r="AI88" i="4" s="1"/>
  <c r="AE928" i="4"/>
  <c r="AI928" i="4" s="1"/>
  <c r="AE516" i="4"/>
  <c r="AI516" i="4" s="1"/>
  <c r="H104" i="4"/>
  <c r="AE104" i="4"/>
  <c r="AI104" i="4" s="1"/>
  <c r="AK82" i="19"/>
  <c r="AG82" i="19"/>
  <c r="AJ82" i="19"/>
  <c r="AF82" i="19"/>
  <c r="AM82" i="19"/>
  <c r="AI82" i="19"/>
  <c r="AL82" i="19"/>
  <c r="AH82" i="19"/>
  <c r="AE919" i="4"/>
  <c r="AI919" i="4" s="1"/>
  <c r="AE611" i="4"/>
  <c r="AI611" i="4" s="1"/>
  <c r="AE307" i="4"/>
  <c r="AI307" i="4" s="1"/>
  <c r="V1283" i="4"/>
  <c r="V1285" i="4"/>
  <c r="V1287" i="4"/>
  <c r="V1289" i="4"/>
  <c r="V1307" i="4"/>
  <c r="Z102" i="20"/>
  <c r="Z104" i="20" s="1"/>
  <c r="Z70" i="20"/>
  <c r="Z72" i="20" s="1"/>
  <c r="Z86" i="20"/>
  <c r="Z88" i="20" s="1"/>
  <c r="Z38" i="20"/>
  <c r="Z40" i="20" s="1"/>
  <c r="Z54" i="20"/>
  <c r="Z56" i="20" s="1"/>
  <c r="Z22" i="20"/>
  <c r="Z24" i="20" s="1"/>
  <c r="V167" i="16"/>
  <c r="H47" i="4"/>
  <c r="D5" i="22"/>
  <c r="D11" i="23"/>
  <c r="U1255" i="4"/>
  <c r="Y1151" i="4"/>
  <c r="Y1047" i="4"/>
  <c r="Y943" i="4"/>
  <c r="Y839" i="4"/>
  <c r="Y735" i="4"/>
  <c r="Y631" i="4"/>
  <c r="Y527" i="4"/>
  <c r="Y423" i="4"/>
  <c r="Y319" i="4"/>
  <c r="Y215" i="4"/>
  <c r="Y111" i="4"/>
  <c r="Y7" i="4"/>
  <c r="H130" i="4"/>
  <c r="AE130" i="4"/>
  <c r="AI130" i="4" s="1"/>
  <c r="AE970" i="4"/>
  <c r="AI970" i="4" s="1"/>
  <c r="AE454" i="4"/>
  <c r="AI454" i="4" s="1"/>
  <c r="H42" i="4"/>
  <c r="AE42" i="4"/>
  <c r="AI42" i="4" s="1"/>
  <c r="AA42" i="4"/>
  <c r="AE882" i="4"/>
  <c r="AI882" i="4" s="1"/>
  <c r="AE470" i="4"/>
  <c r="AI470" i="4" s="1"/>
  <c r="AE58" i="4"/>
  <c r="AI58" i="4" s="1"/>
  <c r="AA58" i="4"/>
  <c r="H58" i="4"/>
  <c r="AE374" i="4"/>
  <c r="AI374" i="4" s="1"/>
  <c r="AE690" i="4"/>
  <c r="AI690" i="4" s="1"/>
  <c r="AE278" i="4"/>
  <c r="AI278" i="4" s="1"/>
  <c r="AE1014" i="4"/>
  <c r="AI1014" i="4" s="1"/>
  <c r="AE602" i="4"/>
  <c r="AI602" i="4" s="1"/>
  <c r="H190" i="4"/>
  <c r="AE190" i="4"/>
  <c r="AI190" i="4" s="1"/>
  <c r="AE1030" i="4"/>
  <c r="AI1030" i="4" s="1"/>
  <c r="AE618" i="4"/>
  <c r="AI618" i="4" s="1"/>
  <c r="H206" i="4"/>
  <c r="AE206" i="4"/>
  <c r="AI206" i="4" s="1"/>
  <c r="D10" i="24"/>
  <c r="S86" i="20"/>
  <c r="S88" i="20" s="1"/>
  <c r="S70" i="20"/>
  <c r="S72" i="20" s="1"/>
  <c r="S22" i="20"/>
  <c r="S24" i="20" s="1"/>
  <c r="S38" i="20"/>
  <c r="S40" i="20" s="1"/>
  <c r="S102" i="20"/>
  <c r="S104" i="20" s="1"/>
  <c r="S54" i="20"/>
  <c r="S56" i="20" s="1"/>
  <c r="F1281" i="4"/>
  <c r="AE1177" i="4"/>
  <c r="H37" i="4"/>
  <c r="F1345" i="4"/>
  <c r="AE1241" i="4"/>
  <c r="H101" i="4"/>
  <c r="R29" i="62"/>
  <c r="R23" i="62"/>
  <c r="BO47" i="5"/>
  <c r="CC45" i="5"/>
  <c r="BA43" i="62"/>
  <c r="BO51" i="5"/>
  <c r="BO55" i="5" s="1"/>
  <c r="Z529" i="45"/>
  <c r="Y531" i="45"/>
  <c r="Y530" i="45"/>
  <c r="G61" i="19"/>
  <c r="AO61" i="14"/>
  <c r="D79" i="19"/>
  <c r="AN76" i="19"/>
  <c r="AO76" i="19" s="1"/>
  <c r="AO51" i="14"/>
  <c r="G51" i="19"/>
  <c r="AE23" i="4"/>
  <c r="AI23" i="4" s="1"/>
  <c r="AE871" i="4"/>
  <c r="AI871" i="4" s="1"/>
  <c r="AE679" i="4"/>
  <c r="AI679" i="4" s="1"/>
  <c r="AE1107" i="4"/>
  <c r="AI1107" i="4" s="1"/>
  <c r="AK70" i="19"/>
  <c r="AG70" i="19"/>
  <c r="AJ70" i="19"/>
  <c r="AF70" i="19"/>
  <c r="AM70" i="19"/>
  <c r="AI70" i="19"/>
  <c r="AL70" i="19"/>
  <c r="AH70" i="19"/>
  <c r="F939" i="4"/>
  <c r="AE838" i="4"/>
  <c r="F107" i="4"/>
  <c r="H6" i="4"/>
  <c r="AE6" i="4"/>
  <c r="AE735" i="4"/>
  <c r="AI735" i="4" s="1"/>
  <c r="AE944" i="4"/>
  <c r="AI944" i="4" s="1"/>
  <c r="F1259" i="4"/>
  <c r="AE1155" i="4"/>
  <c r="H116" i="4"/>
  <c r="AE116" i="4"/>
  <c r="AI116" i="4" s="1"/>
  <c r="AE325" i="4"/>
  <c r="AI325" i="4" s="1"/>
  <c r="AE534" i="4"/>
  <c r="AI534" i="4" s="1"/>
  <c r="AE743" i="4"/>
  <c r="AI743" i="4" s="1"/>
  <c r="AE952" i="4"/>
  <c r="AI952" i="4" s="1"/>
  <c r="F1267" i="4"/>
  <c r="AE1163" i="4"/>
  <c r="H124" i="4"/>
  <c r="AE124" i="4"/>
  <c r="AI124" i="4" s="1"/>
  <c r="AE333" i="4"/>
  <c r="AI333" i="4" s="1"/>
  <c r="AE542" i="4"/>
  <c r="AI542" i="4" s="1"/>
  <c r="AE752" i="4"/>
  <c r="AI752" i="4" s="1"/>
  <c r="AO27" i="14"/>
  <c r="G27" i="19"/>
  <c r="AE444" i="4"/>
  <c r="AI444" i="4" s="1"/>
  <c r="H32" i="4"/>
  <c r="AE32" i="4"/>
  <c r="AI32" i="4" s="1"/>
  <c r="AE1080" i="4"/>
  <c r="AI1080" i="4" s="1"/>
  <c r="AE668" i="4"/>
  <c r="AI668" i="4" s="1"/>
  <c r="AE256" i="4"/>
  <c r="AI256" i="4" s="1"/>
  <c r="AE1096" i="4"/>
  <c r="AI1096" i="4" s="1"/>
  <c r="AE684" i="4"/>
  <c r="AI684" i="4" s="1"/>
  <c r="AE272" i="4"/>
  <c r="AI272" i="4" s="1"/>
  <c r="AE380" i="4"/>
  <c r="AI380" i="4" s="1"/>
  <c r="AE696" i="4"/>
  <c r="AI696" i="4" s="1"/>
  <c r="AE284" i="4"/>
  <c r="AI284" i="4" s="1"/>
  <c r="AE392" i="4"/>
  <c r="AI392" i="4" s="1"/>
  <c r="AE400" i="4"/>
  <c r="AI400" i="4" s="1"/>
  <c r="AE408" i="4"/>
  <c r="AI408" i="4" s="1"/>
  <c r="AE416" i="4"/>
  <c r="AI416" i="4" s="1"/>
  <c r="I4" i="25"/>
  <c r="F4" i="25"/>
  <c r="Y102" i="20"/>
  <c r="Y104" i="20" s="1"/>
  <c r="Y22" i="20"/>
  <c r="Y24" i="20" s="1"/>
  <c r="Y86" i="20"/>
  <c r="Y88" i="20" s="1"/>
  <c r="Y70" i="20"/>
  <c r="Y72" i="20" s="1"/>
  <c r="Y54" i="20"/>
  <c r="Y56" i="20" s="1"/>
  <c r="Y38" i="20"/>
  <c r="Y40" i="20" s="1"/>
  <c r="AE279" i="4"/>
  <c r="AI279" i="4" s="1"/>
  <c r="AE395" i="4"/>
  <c r="AI395" i="4" s="1"/>
  <c r="AE295" i="4"/>
  <c r="AI295" i="4" s="1"/>
  <c r="AE403" i="4"/>
  <c r="AI403" i="4" s="1"/>
  <c r="H203" i="4"/>
  <c r="AE203" i="4"/>
  <c r="AI203" i="4" s="1"/>
  <c r="AA203" i="4"/>
  <c r="U1259" i="4"/>
  <c r="Y1155" i="4"/>
  <c r="Y1051" i="4"/>
  <c r="Y947" i="4"/>
  <c r="Y843" i="4"/>
  <c r="Y739" i="4"/>
  <c r="Y635" i="4"/>
  <c r="Y531" i="4"/>
  <c r="Y427" i="4"/>
  <c r="Y323" i="4"/>
  <c r="Y219" i="4"/>
  <c r="Y115" i="4"/>
  <c r="AA115" i="4" s="1"/>
  <c r="Y11" i="4"/>
  <c r="U1263" i="4"/>
  <c r="Y1159" i="4"/>
  <c r="Y1055" i="4"/>
  <c r="Y951" i="4"/>
  <c r="Y847" i="4"/>
  <c r="Y743" i="4"/>
  <c r="Y639" i="4"/>
  <c r="Y535" i="4"/>
  <c r="Y431" i="4"/>
  <c r="Y327" i="4"/>
  <c r="Y223" i="4"/>
  <c r="Y119" i="4"/>
  <c r="Y15" i="4"/>
  <c r="U1267" i="4"/>
  <c r="Y1163" i="4"/>
  <c r="Y1059" i="4"/>
  <c r="Y955" i="4"/>
  <c r="Y851" i="4"/>
  <c r="Y747" i="4"/>
  <c r="Y643" i="4"/>
  <c r="Y539" i="4"/>
  <c r="Y435" i="4"/>
  <c r="Y331" i="4"/>
  <c r="Y227" i="4"/>
  <c r="Y123" i="4"/>
  <c r="Y19" i="4"/>
  <c r="U1271" i="4"/>
  <c r="Y1167" i="4"/>
  <c r="Y1063" i="4"/>
  <c r="Y959" i="4"/>
  <c r="Y855" i="4"/>
  <c r="Y751" i="4"/>
  <c r="Y647" i="4"/>
  <c r="Y543" i="4"/>
  <c r="Y439" i="4"/>
  <c r="Y335" i="4"/>
  <c r="Y231" i="4"/>
  <c r="Y127" i="4"/>
  <c r="Y23" i="4"/>
  <c r="U1275" i="4"/>
  <c r="Y1171" i="4"/>
  <c r="Y1067" i="4"/>
  <c r="Y963" i="4"/>
  <c r="Y859" i="4"/>
  <c r="Y755" i="4"/>
  <c r="Y651" i="4"/>
  <c r="Y547" i="4"/>
  <c r="Y443" i="4"/>
  <c r="Y339" i="4"/>
  <c r="Y235" i="4"/>
  <c r="Y131" i="4"/>
  <c r="Y27" i="4"/>
  <c r="U1279" i="4"/>
  <c r="Y1175" i="4"/>
  <c r="Y1071" i="4"/>
  <c r="Y967" i="4"/>
  <c r="Y863" i="4"/>
  <c r="Y759" i="4"/>
  <c r="Y655" i="4"/>
  <c r="Y551" i="4"/>
  <c r="Y447" i="4"/>
  <c r="Y343" i="4"/>
  <c r="Y239" i="4"/>
  <c r="Y135" i="4"/>
  <c r="AA135" i="4" s="1"/>
  <c r="Y31" i="4"/>
  <c r="U1283" i="4"/>
  <c r="Y1179" i="4"/>
  <c r="Y1075" i="4"/>
  <c r="Y971" i="4"/>
  <c r="Y867" i="4"/>
  <c r="Y763" i="4"/>
  <c r="Y659" i="4"/>
  <c r="Y555" i="4"/>
  <c r="Y451" i="4"/>
  <c r="Y347" i="4"/>
  <c r="Y243" i="4"/>
  <c r="Y139" i="4"/>
  <c r="Y35" i="4"/>
  <c r="U1287" i="4"/>
  <c r="Y1183" i="4"/>
  <c r="Y1079" i="4"/>
  <c r="Y975" i="4"/>
  <c r="Y871" i="4"/>
  <c r="Y767" i="4"/>
  <c r="Y663" i="4"/>
  <c r="Y559" i="4"/>
  <c r="Y455" i="4"/>
  <c r="Y351" i="4"/>
  <c r="Y247" i="4"/>
  <c r="Y143" i="4"/>
  <c r="Y39" i="4"/>
  <c r="U1291" i="4"/>
  <c r="Y1187" i="4"/>
  <c r="Y1083" i="4"/>
  <c r="Y979" i="4"/>
  <c r="Y875" i="4"/>
  <c r="Y771" i="4"/>
  <c r="Y667" i="4"/>
  <c r="Y563" i="4"/>
  <c r="Y459" i="4"/>
  <c r="Y355" i="4"/>
  <c r="Y251" i="4"/>
  <c r="Y147" i="4"/>
  <c r="Y43" i="4"/>
  <c r="U1295" i="4"/>
  <c r="Y1191" i="4"/>
  <c r="Y1087" i="4"/>
  <c r="Y983" i="4"/>
  <c r="Y879" i="4"/>
  <c r="Y775" i="4"/>
  <c r="Y671" i="4"/>
  <c r="Y567" i="4"/>
  <c r="Y463" i="4"/>
  <c r="Y359" i="4"/>
  <c r="Y255" i="4"/>
  <c r="Y151" i="4"/>
  <c r="AA151" i="4" s="1"/>
  <c r="Y47" i="4"/>
  <c r="U1299" i="4"/>
  <c r="Y1195" i="4"/>
  <c r="Y1091" i="4"/>
  <c r="Y987" i="4"/>
  <c r="Y883" i="4"/>
  <c r="Y779" i="4"/>
  <c r="Y675" i="4"/>
  <c r="Y571" i="4"/>
  <c r="Y467" i="4"/>
  <c r="Y363" i="4"/>
  <c r="Y259" i="4"/>
  <c r="Y155" i="4"/>
  <c r="AA155" i="4" s="1"/>
  <c r="Y51" i="4"/>
  <c r="U1303" i="4"/>
  <c r="Y1199" i="4"/>
  <c r="Y1095" i="4"/>
  <c r="Y991" i="4"/>
  <c r="Y887" i="4"/>
  <c r="Y783" i="4"/>
  <c r="Y679" i="4"/>
  <c r="Y575" i="4"/>
  <c r="Y471" i="4"/>
  <c r="Y367" i="4"/>
  <c r="Y263" i="4"/>
  <c r="Y159" i="4"/>
  <c r="Y55" i="4"/>
  <c r="U1307" i="4"/>
  <c r="Y1203" i="4"/>
  <c r="Y1099" i="4"/>
  <c r="Y995" i="4"/>
  <c r="Y891" i="4"/>
  <c r="Y787" i="4"/>
  <c r="Y683" i="4"/>
  <c r="Y579" i="4"/>
  <c r="Y475" i="4"/>
  <c r="Y371" i="4"/>
  <c r="Y267" i="4"/>
  <c r="Y163" i="4"/>
  <c r="Y59" i="4"/>
  <c r="U1311" i="4"/>
  <c r="Y1207" i="4"/>
  <c r="Y1103" i="4"/>
  <c r="Y999" i="4"/>
  <c r="Y895" i="4"/>
  <c r="Y791" i="4"/>
  <c r="Y687" i="4"/>
  <c r="Y583" i="4"/>
  <c r="Y479" i="4"/>
  <c r="Y375" i="4"/>
  <c r="Y271" i="4"/>
  <c r="Y167" i="4"/>
  <c r="Y63" i="4"/>
  <c r="U1315" i="4"/>
  <c r="Y1211" i="4"/>
  <c r="Y1107" i="4"/>
  <c r="Y1003" i="4"/>
  <c r="Y899" i="4"/>
  <c r="Y795" i="4"/>
  <c r="Y691" i="4"/>
  <c r="Y587" i="4"/>
  <c r="Y483" i="4"/>
  <c r="Y379" i="4"/>
  <c r="Y275" i="4"/>
  <c r="Y171" i="4"/>
  <c r="Y67" i="4"/>
  <c r="U1319" i="4"/>
  <c r="Y1215" i="4"/>
  <c r="Y1111" i="4"/>
  <c r="Y1007" i="4"/>
  <c r="Y903" i="4"/>
  <c r="Y799" i="4"/>
  <c r="Y695" i="4"/>
  <c r="Y591" i="4"/>
  <c r="Y487" i="4"/>
  <c r="Y383" i="4"/>
  <c r="Y279" i="4"/>
  <c r="Y175" i="4"/>
  <c r="AA175" i="4" s="1"/>
  <c r="Y71" i="4"/>
  <c r="U1323" i="4"/>
  <c r="Y1219" i="4"/>
  <c r="Y1115" i="4"/>
  <c r="Y1011" i="4"/>
  <c r="Y907" i="4"/>
  <c r="Y803" i="4"/>
  <c r="Y699" i="4"/>
  <c r="Y595" i="4"/>
  <c r="Y491" i="4"/>
  <c r="Y387" i="4"/>
  <c r="Y283" i="4"/>
  <c r="Y179" i="4"/>
  <c r="Y75" i="4"/>
  <c r="Z105" i="20"/>
  <c r="Z25" i="20"/>
  <c r="Z41" i="20"/>
  <c r="Z89" i="20"/>
  <c r="Z73" i="20"/>
  <c r="Z57" i="20"/>
  <c r="U182" i="16"/>
  <c r="AF182" i="16" s="1"/>
  <c r="AB73" i="20"/>
  <c r="H31" i="4"/>
  <c r="H26" i="4"/>
  <c r="AE26" i="4"/>
  <c r="AI26" i="4" s="1"/>
  <c r="AA26" i="4"/>
  <c r="AE866" i="4"/>
  <c r="AI866" i="4" s="1"/>
  <c r="AE354" i="4"/>
  <c r="AI354" i="4" s="1"/>
  <c r="AE362" i="4"/>
  <c r="AI362" i="4" s="1"/>
  <c r="AE370" i="4"/>
  <c r="AI370" i="4" s="1"/>
  <c r="AE686" i="4"/>
  <c r="AI686" i="4" s="1"/>
  <c r="H170" i="4"/>
  <c r="AE170" i="4"/>
  <c r="AI170" i="4" s="1"/>
  <c r="AE1010" i="4"/>
  <c r="AI1010" i="4" s="1"/>
  <c r="AE494" i="4"/>
  <c r="AI494" i="4" s="1"/>
  <c r="H82" i="4"/>
  <c r="AE82" i="4"/>
  <c r="AI82" i="4" s="1"/>
  <c r="AE922" i="4"/>
  <c r="AI922" i="4" s="1"/>
  <c r="AE510" i="4"/>
  <c r="AI510" i="4" s="1"/>
  <c r="H98" i="4"/>
  <c r="AE98" i="4"/>
  <c r="AI98" i="4" s="1"/>
  <c r="AE938" i="4"/>
  <c r="AI938" i="4" s="1"/>
  <c r="BA29" i="62"/>
  <c r="W54" i="20"/>
  <c r="W56" i="20" s="1"/>
  <c r="W86" i="20"/>
  <c r="W88" i="20" s="1"/>
  <c r="W70" i="20"/>
  <c r="W72" i="20" s="1"/>
  <c r="W102" i="20"/>
  <c r="W104" i="20" s="1"/>
  <c r="W38" i="20"/>
  <c r="W40" i="20" s="1"/>
  <c r="W22" i="20"/>
  <c r="W24" i="20" s="1"/>
  <c r="H25" i="4"/>
  <c r="H149" i="4"/>
  <c r="H57" i="4"/>
  <c r="F1333" i="4"/>
  <c r="AE1229" i="4"/>
  <c r="H89" i="4"/>
  <c r="D9" i="26"/>
  <c r="V1254" i="4"/>
  <c r="V1251" i="4"/>
  <c r="V1147" i="4"/>
  <c r="V731" i="4"/>
  <c r="V1256" i="4"/>
  <c r="V1262" i="4"/>
  <c r="V1264" i="4"/>
  <c r="V1270" i="4"/>
  <c r="V1280" i="4"/>
  <c r="V1282" i="4"/>
  <c r="V1298" i="4"/>
  <c r="V1302" i="4"/>
  <c r="V1308" i="4"/>
  <c r="V1318" i="4"/>
  <c r="V1352" i="4"/>
  <c r="BO29" i="62"/>
  <c r="BH28" i="62"/>
  <c r="BV28" i="62" s="1"/>
  <c r="CJ28" i="62" s="1"/>
  <c r="CX28" i="62" s="1"/>
  <c r="AE46" i="16"/>
  <c r="AA46" i="16"/>
  <c r="W46" i="16"/>
  <c r="AH46" i="16"/>
  <c r="AD46" i="16"/>
  <c r="Z46" i="16"/>
  <c r="AG46" i="16"/>
  <c r="AC46" i="16"/>
  <c r="Y46" i="16"/>
  <c r="AF46" i="16"/>
  <c r="AB46" i="16"/>
  <c r="X46" i="16"/>
  <c r="AM50" i="14"/>
  <c r="B50" i="19"/>
  <c r="AE36" i="16"/>
  <c r="AA36" i="16"/>
  <c r="W36" i="16"/>
  <c r="AH36" i="16"/>
  <c r="AD36" i="16"/>
  <c r="Z36" i="16"/>
  <c r="AG36" i="16"/>
  <c r="AC36" i="16"/>
  <c r="Y36" i="16"/>
  <c r="AF36" i="16"/>
  <c r="AB36" i="16"/>
  <c r="X36" i="16"/>
  <c r="B48" i="19"/>
  <c r="AM48" i="14"/>
  <c r="AE52" i="16"/>
  <c r="AA52" i="16"/>
  <c r="W52" i="16"/>
  <c r="AH52" i="16"/>
  <c r="AD52" i="16"/>
  <c r="Z52" i="16"/>
  <c r="AG52" i="16"/>
  <c r="AC52" i="16"/>
  <c r="Y52" i="16"/>
  <c r="AF52" i="16"/>
  <c r="AB52" i="16"/>
  <c r="X52" i="16"/>
  <c r="B56" i="19"/>
  <c r="AM56" i="14"/>
  <c r="H48" i="28"/>
  <c r="AE82" i="16"/>
  <c r="AA82" i="16"/>
  <c r="W82" i="16"/>
  <c r="AH82" i="16"/>
  <c r="AD82" i="16"/>
  <c r="Z82" i="16"/>
  <c r="AG82" i="16"/>
  <c r="AC82" i="16"/>
  <c r="Y82" i="16"/>
  <c r="AF82" i="16"/>
  <c r="AB82" i="16"/>
  <c r="X82" i="16"/>
  <c r="AM86" i="14"/>
  <c r="B86" i="19"/>
  <c r="AE98" i="16"/>
  <c r="AA98" i="16"/>
  <c r="W98" i="16"/>
  <c r="AH98" i="16"/>
  <c r="AD98" i="16"/>
  <c r="Z98" i="16"/>
  <c r="AG98" i="16"/>
  <c r="AC98" i="16"/>
  <c r="Y98" i="16"/>
  <c r="AF98" i="16"/>
  <c r="AB98" i="16"/>
  <c r="X98" i="16"/>
  <c r="B102" i="19"/>
  <c r="AM102" i="14"/>
  <c r="B24" i="19"/>
  <c r="AM24" i="14"/>
  <c r="B28" i="19"/>
  <c r="AM28" i="14"/>
  <c r="B80" i="19"/>
  <c r="AM80" i="14"/>
  <c r="AE96" i="16"/>
  <c r="AA96" i="16"/>
  <c r="W96" i="16"/>
  <c r="AH96" i="16"/>
  <c r="AD96" i="16"/>
  <c r="Z96" i="16"/>
  <c r="AG96" i="16"/>
  <c r="AC96" i="16"/>
  <c r="Y96" i="16"/>
  <c r="AF96" i="16"/>
  <c r="AB96" i="16"/>
  <c r="X96" i="16"/>
  <c r="B100" i="19"/>
  <c r="AM100" i="14"/>
  <c r="AE34" i="16"/>
  <c r="AA34" i="16"/>
  <c r="W34" i="16"/>
  <c r="AH34" i="16"/>
  <c r="AD34" i="16"/>
  <c r="Z34" i="16"/>
  <c r="AG34" i="16"/>
  <c r="AC34" i="16"/>
  <c r="Y34" i="16"/>
  <c r="AF34" i="16"/>
  <c r="AB34" i="16"/>
  <c r="X34" i="16"/>
  <c r="AE72" i="16"/>
  <c r="AA72" i="16"/>
  <c r="W72" i="16"/>
  <c r="AH72" i="16"/>
  <c r="AD72" i="16"/>
  <c r="Z72" i="16"/>
  <c r="AG72" i="16"/>
  <c r="AC72" i="16"/>
  <c r="Y72" i="16"/>
  <c r="AF72" i="16"/>
  <c r="AB72" i="16"/>
  <c r="X72" i="16"/>
  <c r="N111" i="20"/>
  <c r="M112" i="20"/>
  <c r="N112" i="20" s="1"/>
  <c r="AM60" i="14"/>
  <c r="B60" i="19"/>
  <c r="G57" i="19"/>
  <c r="AO57" i="14"/>
  <c r="H99" i="19"/>
  <c r="BI99" i="19" s="1"/>
  <c r="BH99" i="19"/>
  <c r="C114" i="26" s="1"/>
  <c r="H49" i="19"/>
  <c r="BC49" i="19" s="1"/>
  <c r="C64" i="21" s="1"/>
  <c r="AE751" i="4"/>
  <c r="AI751" i="4" s="1"/>
  <c r="AE755" i="4"/>
  <c r="AI755" i="4" s="1"/>
  <c r="AE767" i="4"/>
  <c r="AI767" i="4" s="1"/>
  <c r="AM54" i="14"/>
  <c r="B54" i="19"/>
  <c r="D54" i="19" s="1"/>
  <c r="AE587" i="4"/>
  <c r="AI587" i="4" s="1"/>
  <c r="AM74" i="14"/>
  <c r="B74" i="19"/>
  <c r="D74" i="19" s="1"/>
  <c r="F1254" i="4"/>
  <c r="AE1150" i="4"/>
  <c r="F1251" i="4"/>
  <c r="AE734" i="4"/>
  <c r="F835" i="4"/>
  <c r="G1250" i="4"/>
  <c r="G1248" i="4"/>
  <c r="G1246" i="4"/>
  <c r="G1244" i="4"/>
  <c r="G1242" i="4"/>
  <c r="G1240" i="4"/>
  <c r="H1240" i="4" s="1"/>
  <c r="G1238" i="4"/>
  <c r="G1236" i="4"/>
  <c r="G1234" i="4"/>
  <c r="G1232" i="4"/>
  <c r="H1232" i="4" s="1"/>
  <c r="G1230" i="4"/>
  <c r="G1228" i="4"/>
  <c r="G1226" i="4"/>
  <c r="G1249" i="4"/>
  <c r="G1241" i="4"/>
  <c r="G1233" i="4"/>
  <c r="G1225" i="4"/>
  <c r="G1243" i="4"/>
  <c r="H1243" i="4" s="1"/>
  <c r="G1235" i="4"/>
  <c r="G1227" i="4"/>
  <c r="G1224" i="4"/>
  <c r="G1222" i="4"/>
  <c r="G1220" i="4"/>
  <c r="G1218" i="4"/>
  <c r="G1216" i="4"/>
  <c r="G1214" i="4"/>
  <c r="AA1214" i="4" s="1"/>
  <c r="G1212" i="4"/>
  <c r="G1210" i="4"/>
  <c r="G1208" i="4"/>
  <c r="G1206" i="4"/>
  <c r="G1204" i="4"/>
  <c r="G1202" i="4"/>
  <c r="G1200" i="4"/>
  <c r="G1198" i="4"/>
  <c r="G1196" i="4"/>
  <c r="G1194" i="4"/>
  <c r="G1192" i="4"/>
  <c r="G1190" i="4"/>
  <c r="G1188" i="4"/>
  <c r="G1186" i="4"/>
  <c r="G1184" i="4"/>
  <c r="G1182" i="4"/>
  <c r="G1180" i="4"/>
  <c r="G1178" i="4"/>
  <c r="G1176" i="4"/>
  <c r="G1174" i="4"/>
  <c r="G1172" i="4"/>
  <c r="G1170" i="4"/>
  <c r="G1168" i="4"/>
  <c r="G1166" i="4"/>
  <c r="G1164" i="4"/>
  <c r="G1162" i="4"/>
  <c r="G1160" i="4"/>
  <c r="G1158" i="4"/>
  <c r="G1156" i="4"/>
  <c r="G1154" i="4"/>
  <c r="G1152" i="4"/>
  <c r="H1152" i="4" s="1"/>
  <c r="G1150" i="4"/>
  <c r="H1150" i="4" s="1"/>
  <c r="G1146" i="4"/>
  <c r="G1144" i="4"/>
  <c r="G1142" i="4"/>
  <c r="G1140" i="4"/>
  <c r="G1138" i="4"/>
  <c r="H1138" i="4" s="1"/>
  <c r="G1136" i="4"/>
  <c r="G1134" i="4"/>
  <c r="G1132" i="4"/>
  <c r="H1132" i="4" s="1"/>
  <c r="G1245" i="4"/>
  <c r="G1237" i="4"/>
  <c r="G1229" i="4"/>
  <c r="H1229" i="4" s="1"/>
  <c r="G1247" i="4"/>
  <c r="G1239" i="4"/>
  <c r="G1231" i="4"/>
  <c r="G1223" i="4"/>
  <c r="G1221" i="4"/>
  <c r="G1219" i="4"/>
  <c r="G1217" i="4"/>
  <c r="G1215" i="4"/>
  <c r="G1213" i="4"/>
  <c r="H1213" i="4" s="1"/>
  <c r="G1211" i="4"/>
  <c r="G1209" i="4"/>
  <c r="G1207" i="4"/>
  <c r="G1205" i="4"/>
  <c r="G1203" i="4"/>
  <c r="G1201" i="4"/>
  <c r="G1199" i="4"/>
  <c r="G1197" i="4"/>
  <c r="G1195" i="4"/>
  <c r="G1193" i="4"/>
  <c r="G1191" i="4"/>
  <c r="G1189" i="4"/>
  <c r="H1189" i="4" s="1"/>
  <c r="G1187" i="4"/>
  <c r="G1185" i="4"/>
  <c r="G1183" i="4"/>
  <c r="G1181" i="4"/>
  <c r="G1179" i="4"/>
  <c r="G1177" i="4"/>
  <c r="G1175" i="4"/>
  <c r="G1173" i="4"/>
  <c r="H1173" i="4" s="1"/>
  <c r="G1171" i="4"/>
  <c r="G1169" i="4"/>
  <c r="H1169" i="4" s="1"/>
  <c r="G1167" i="4"/>
  <c r="G1165" i="4"/>
  <c r="H1165" i="4" s="1"/>
  <c r="G1163" i="4"/>
  <c r="H1163" i="4" s="1"/>
  <c r="G1161" i="4"/>
  <c r="G1159" i="4"/>
  <c r="G1157" i="4"/>
  <c r="H1157" i="4" s="1"/>
  <c r="G1155" i="4"/>
  <c r="AA1155" i="4" s="1"/>
  <c r="G1153" i="4"/>
  <c r="G1151" i="4"/>
  <c r="G1145" i="4"/>
  <c r="G1143" i="4"/>
  <c r="G1141" i="4"/>
  <c r="G1139" i="4"/>
  <c r="G1137" i="4"/>
  <c r="G1135" i="4"/>
  <c r="G1133" i="4"/>
  <c r="G1130" i="4"/>
  <c r="G1128" i="4"/>
  <c r="G1126" i="4"/>
  <c r="G1124" i="4"/>
  <c r="H1124" i="4" s="1"/>
  <c r="G1122" i="4"/>
  <c r="H1122" i="4" s="1"/>
  <c r="G1120" i="4"/>
  <c r="H1120" i="4" s="1"/>
  <c r="G1118" i="4"/>
  <c r="G1116" i="4"/>
  <c r="G1114" i="4"/>
  <c r="G1112" i="4"/>
  <c r="G1110" i="4"/>
  <c r="G1108" i="4"/>
  <c r="H1108" i="4" s="1"/>
  <c r="G1106" i="4"/>
  <c r="G1104" i="4"/>
  <c r="H1104" i="4" s="1"/>
  <c r="G1102" i="4"/>
  <c r="G1100" i="4"/>
  <c r="G1098" i="4"/>
  <c r="H1098" i="4" s="1"/>
  <c r="G1096" i="4"/>
  <c r="H1096" i="4" s="1"/>
  <c r="G1094" i="4"/>
  <c r="G1092" i="4"/>
  <c r="G1090" i="4"/>
  <c r="G1088" i="4"/>
  <c r="G1086" i="4"/>
  <c r="G1084" i="4"/>
  <c r="G1082" i="4"/>
  <c r="H1082" i="4" s="1"/>
  <c r="G1080" i="4"/>
  <c r="H1080" i="4" s="1"/>
  <c r="G1078" i="4"/>
  <c r="G1076" i="4"/>
  <c r="G1074" i="4"/>
  <c r="G1072" i="4"/>
  <c r="G1070" i="4"/>
  <c r="H1070" i="4" s="1"/>
  <c r="G1068" i="4"/>
  <c r="H1068" i="4" s="1"/>
  <c r="G1066" i="4"/>
  <c r="G1064" i="4"/>
  <c r="H1064" i="4" s="1"/>
  <c r="G1062" i="4"/>
  <c r="G1060" i="4"/>
  <c r="G1058" i="4"/>
  <c r="G1056" i="4"/>
  <c r="G1054" i="4"/>
  <c r="G1052" i="4"/>
  <c r="G1050" i="4"/>
  <c r="G1048" i="4"/>
  <c r="G1046" i="4"/>
  <c r="H1046" i="4" s="1"/>
  <c r="G1042" i="4"/>
  <c r="G1040" i="4"/>
  <c r="G1038" i="4"/>
  <c r="H1038" i="4" s="1"/>
  <c r="G1036" i="4"/>
  <c r="G1034" i="4"/>
  <c r="G1032" i="4"/>
  <c r="G1030" i="4"/>
  <c r="AA1030" i="4" s="1"/>
  <c r="G1028" i="4"/>
  <c r="G1026" i="4"/>
  <c r="G1131" i="4"/>
  <c r="G1129" i="4"/>
  <c r="G1127" i="4"/>
  <c r="G1125" i="4"/>
  <c r="G1123" i="4"/>
  <c r="G1121" i="4"/>
  <c r="G1119" i="4"/>
  <c r="G1117" i="4"/>
  <c r="G1115" i="4"/>
  <c r="G1113" i="4"/>
  <c r="G1111" i="4"/>
  <c r="G1109" i="4"/>
  <c r="G1107" i="4"/>
  <c r="H1107" i="4" s="1"/>
  <c r="G1105" i="4"/>
  <c r="G1103" i="4"/>
  <c r="G1101" i="4"/>
  <c r="G1099" i="4"/>
  <c r="G1097" i="4"/>
  <c r="G1095" i="4"/>
  <c r="G1093" i="4"/>
  <c r="G1091" i="4"/>
  <c r="G1089" i="4"/>
  <c r="G1087" i="4"/>
  <c r="G1085" i="4"/>
  <c r="G1083" i="4"/>
  <c r="G1081" i="4"/>
  <c r="G1079" i="4"/>
  <c r="H1079" i="4" s="1"/>
  <c r="G1077" i="4"/>
  <c r="G1075" i="4"/>
  <c r="G1073" i="4"/>
  <c r="G1071" i="4"/>
  <c r="G1069" i="4"/>
  <c r="G1067" i="4"/>
  <c r="G1065" i="4"/>
  <c r="G1063" i="4"/>
  <c r="G1061" i="4"/>
  <c r="G1059" i="4"/>
  <c r="G1057" i="4"/>
  <c r="H1057" i="4" s="1"/>
  <c r="G1055" i="4"/>
  <c r="G1053" i="4"/>
  <c r="G1051" i="4"/>
  <c r="G1049" i="4"/>
  <c r="H1049" i="4" s="1"/>
  <c r="G1047" i="4"/>
  <c r="G1041" i="4"/>
  <c r="G1039" i="4"/>
  <c r="G1037" i="4"/>
  <c r="G1035" i="4"/>
  <c r="G1033" i="4"/>
  <c r="G1031" i="4"/>
  <c r="G1029" i="4"/>
  <c r="G1027" i="4"/>
  <c r="G1025" i="4"/>
  <c r="G1023" i="4"/>
  <c r="G1021" i="4"/>
  <c r="G1019" i="4"/>
  <c r="G1017" i="4"/>
  <c r="G1015" i="4"/>
  <c r="G1013" i="4"/>
  <c r="G1011" i="4"/>
  <c r="G1009" i="4"/>
  <c r="G1007" i="4"/>
  <c r="G1005" i="4"/>
  <c r="G1003" i="4"/>
  <c r="AA1003" i="4" s="1"/>
  <c r="G1001" i="4"/>
  <c r="G999" i="4"/>
  <c r="G997" i="4"/>
  <c r="G995" i="4"/>
  <c r="G993" i="4"/>
  <c r="G991" i="4"/>
  <c r="G989" i="4"/>
  <c r="G987" i="4"/>
  <c r="G985" i="4"/>
  <c r="G983" i="4"/>
  <c r="G981" i="4"/>
  <c r="G979" i="4"/>
  <c r="G977" i="4"/>
  <c r="G975" i="4"/>
  <c r="AA975" i="4" s="1"/>
  <c r="G973" i="4"/>
  <c r="G971" i="4"/>
  <c r="G969" i="4"/>
  <c r="G967" i="4"/>
  <c r="G965" i="4"/>
  <c r="G963" i="4"/>
  <c r="G961" i="4"/>
  <c r="G959" i="4"/>
  <c r="G957" i="4"/>
  <c r="H957" i="4" s="1"/>
  <c r="G955" i="4"/>
  <c r="G953" i="4"/>
  <c r="G951" i="4"/>
  <c r="G949" i="4"/>
  <c r="G947" i="4"/>
  <c r="G945" i="4"/>
  <c r="G943" i="4"/>
  <c r="G937" i="4"/>
  <c r="G935" i="4"/>
  <c r="G933" i="4"/>
  <c r="G931" i="4"/>
  <c r="G929" i="4"/>
  <c r="G927" i="4"/>
  <c r="G925" i="4"/>
  <c r="G923" i="4"/>
  <c r="G921" i="4"/>
  <c r="G1024" i="4"/>
  <c r="G1022" i="4"/>
  <c r="G1020" i="4"/>
  <c r="G1018" i="4"/>
  <c r="G1016" i="4"/>
  <c r="G1014" i="4"/>
  <c r="H1014" i="4" s="1"/>
  <c r="G1012" i="4"/>
  <c r="G1010" i="4"/>
  <c r="G1008" i="4"/>
  <c r="G1006" i="4"/>
  <c r="G1004" i="4"/>
  <c r="G1002" i="4"/>
  <c r="G1000" i="4"/>
  <c r="G998" i="4"/>
  <c r="G996" i="4"/>
  <c r="G994" i="4"/>
  <c r="H994" i="4" s="1"/>
  <c r="G992" i="4"/>
  <c r="G990" i="4"/>
  <c r="G988" i="4"/>
  <c r="G986" i="4"/>
  <c r="G984" i="4"/>
  <c r="G982" i="4"/>
  <c r="H982" i="4" s="1"/>
  <c r="G980" i="4"/>
  <c r="G978" i="4"/>
  <c r="G976" i="4"/>
  <c r="G974" i="4"/>
  <c r="G972" i="4"/>
  <c r="G970" i="4"/>
  <c r="AA970" i="4" s="1"/>
  <c r="G968" i="4"/>
  <c r="G966" i="4"/>
  <c r="G964" i="4"/>
  <c r="G962" i="4"/>
  <c r="H962" i="4" s="1"/>
  <c r="G960" i="4"/>
  <c r="G958" i="4"/>
  <c r="G956" i="4"/>
  <c r="G954" i="4"/>
  <c r="G952" i="4"/>
  <c r="H952" i="4" s="1"/>
  <c r="G950" i="4"/>
  <c r="G948" i="4"/>
  <c r="G946" i="4"/>
  <c r="G944" i="4"/>
  <c r="G942" i="4"/>
  <c r="H942" i="4" s="1"/>
  <c r="G938" i="4"/>
  <c r="H938" i="4" s="1"/>
  <c r="G936" i="4"/>
  <c r="G934" i="4"/>
  <c r="G932" i="4"/>
  <c r="G930" i="4"/>
  <c r="G928" i="4"/>
  <c r="H928" i="4" s="1"/>
  <c r="G926" i="4"/>
  <c r="G924" i="4"/>
  <c r="G922" i="4"/>
  <c r="G916" i="4"/>
  <c r="G914" i="4"/>
  <c r="G912" i="4"/>
  <c r="G910" i="4"/>
  <c r="G908" i="4"/>
  <c r="H908" i="4" s="1"/>
  <c r="G906" i="4"/>
  <c r="H906" i="4" s="1"/>
  <c r="G904" i="4"/>
  <c r="H904" i="4" s="1"/>
  <c r="G902" i="4"/>
  <c r="G900" i="4"/>
  <c r="G898" i="4"/>
  <c r="G896" i="4"/>
  <c r="G894" i="4"/>
  <c r="H894" i="4" s="1"/>
  <c r="G892" i="4"/>
  <c r="H892" i="4" s="1"/>
  <c r="G890" i="4"/>
  <c r="G888" i="4"/>
  <c r="G886" i="4"/>
  <c r="G884" i="4"/>
  <c r="H884" i="4" s="1"/>
  <c r="G882" i="4"/>
  <c r="AA882" i="4" s="1"/>
  <c r="G880" i="4"/>
  <c r="G878" i="4"/>
  <c r="G876" i="4"/>
  <c r="G874" i="4"/>
  <c r="G872" i="4"/>
  <c r="G870" i="4"/>
  <c r="G868" i="4"/>
  <c r="H868" i="4" s="1"/>
  <c r="G866" i="4"/>
  <c r="AA866" i="4" s="1"/>
  <c r="G864" i="4"/>
  <c r="G862" i="4"/>
  <c r="G860" i="4"/>
  <c r="G858" i="4"/>
  <c r="G856" i="4"/>
  <c r="G854" i="4"/>
  <c r="G852" i="4"/>
  <c r="G850" i="4"/>
  <c r="G848" i="4"/>
  <c r="G846" i="4"/>
  <c r="G844" i="4"/>
  <c r="G842" i="4"/>
  <c r="G840" i="4"/>
  <c r="G838" i="4"/>
  <c r="G834" i="4"/>
  <c r="G832" i="4"/>
  <c r="G830" i="4"/>
  <c r="G828" i="4"/>
  <c r="G826" i="4"/>
  <c r="G824" i="4"/>
  <c r="G822" i="4"/>
  <c r="G820" i="4"/>
  <c r="G818" i="4"/>
  <c r="G816" i="4"/>
  <c r="G814" i="4"/>
  <c r="G812" i="4"/>
  <c r="G810" i="4"/>
  <c r="G808" i="4"/>
  <c r="G806" i="4"/>
  <c r="G804" i="4"/>
  <c r="G802" i="4"/>
  <c r="H802" i="4" s="1"/>
  <c r="G800" i="4"/>
  <c r="G798" i="4"/>
  <c r="G796" i="4"/>
  <c r="G794" i="4"/>
  <c r="G792" i="4"/>
  <c r="G790" i="4"/>
  <c r="G788" i="4"/>
  <c r="G786" i="4"/>
  <c r="G784" i="4"/>
  <c r="G782" i="4"/>
  <c r="G780" i="4"/>
  <c r="G778" i="4"/>
  <c r="G776" i="4"/>
  <c r="G774" i="4"/>
  <c r="G772" i="4"/>
  <c r="G770" i="4"/>
  <c r="G768" i="4"/>
  <c r="G766" i="4"/>
  <c r="G764" i="4"/>
  <c r="G762" i="4"/>
  <c r="G760" i="4"/>
  <c r="H760" i="4" s="1"/>
  <c r="G758" i="4"/>
  <c r="G756" i="4"/>
  <c r="G754" i="4"/>
  <c r="G752" i="4"/>
  <c r="G750" i="4"/>
  <c r="G748" i="4"/>
  <c r="G746" i="4"/>
  <c r="G744" i="4"/>
  <c r="G742" i="4"/>
  <c r="G740" i="4"/>
  <c r="G738" i="4"/>
  <c r="G736" i="4"/>
  <c r="G734" i="4"/>
  <c r="H734" i="4" s="1"/>
  <c r="G730" i="4"/>
  <c r="G728" i="4"/>
  <c r="G726" i="4"/>
  <c r="G724" i="4"/>
  <c r="G722" i="4"/>
  <c r="G720" i="4"/>
  <c r="G718" i="4"/>
  <c r="G716" i="4"/>
  <c r="G714" i="4"/>
  <c r="G920" i="4"/>
  <c r="G919" i="4"/>
  <c r="H919" i="4" s="1"/>
  <c r="G917" i="4"/>
  <c r="G915" i="4"/>
  <c r="G913" i="4"/>
  <c r="G911" i="4"/>
  <c r="G909" i="4"/>
  <c r="G907" i="4"/>
  <c r="G905" i="4"/>
  <c r="G903" i="4"/>
  <c r="G901" i="4"/>
  <c r="G899" i="4"/>
  <c r="G897" i="4"/>
  <c r="G895" i="4"/>
  <c r="G893" i="4"/>
  <c r="G891" i="4"/>
  <c r="G889" i="4"/>
  <c r="G887" i="4"/>
  <c r="G885" i="4"/>
  <c r="G883" i="4"/>
  <c r="G881" i="4"/>
  <c r="G879" i="4"/>
  <c r="G877" i="4"/>
  <c r="G875" i="4"/>
  <c r="G873" i="4"/>
  <c r="G871" i="4"/>
  <c r="G869" i="4"/>
  <c r="G867" i="4"/>
  <c r="G865" i="4"/>
  <c r="G863" i="4"/>
  <c r="G861" i="4"/>
  <c r="G859" i="4"/>
  <c r="G857" i="4"/>
  <c r="G855" i="4"/>
  <c r="G853" i="4"/>
  <c r="H853" i="4" s="1"/>
  <c r="G851" i="4"/>
  <c r="AA851" i="4" s="1"/>
  <c r="G849" i="4"/>
  <c r="H849" i="4" s="1"/>
  <c r="G847" i="4"/>
  <c r="AA847" i="4" s="1"/>
  <c r="G845" i="4"/>
  <c r="H845" i="4" s="1"/>
  <c r="G843" i="4"/>
  <c r="AA843" i="4" s="1"/>
  <c r="G841" i="4"/>
  <c r="H841" i="4" s="1"/>
  <c r="G839" i="4"/>
  <c r="AA839" i="4" s="1"/>
  <c r="G833" i="4"/>
  <c r="G831" i="4"/>
  <c r="G829" i="4"/>
  <c r="G827" i="4"/>
  <c r="G825" i="4"/>
  <c r="G823" i="4"/>
  <c r="G821" i="4"/>
  <c r="G819" i="4"/>
  <c r="H819" i="4" s="1"/>
  <c r="G817" i="4"/>
  <c r="G815" i="4"/>
  <c r="G813" i="4"/>
  <c r="G811" i="4"/>
  <c r="G809" i="4"/>
  <c r="G807" i="4"/>
  <c r="G805" i="4"/>
  <c r="G803" i="4"/>
  <c r="G801" i="4"/>
  <c r="G799" i="4"/>
  <c r="G797" i="4"/>
  <c r="G795" i="4"/>
  <c r="H795" i="4" s="1"/>
  <c r="G793" i="4"/>
  <c r="G791" i="4"/>
  <c r="G789" i="4"/>
  <c r="G787" i="4"/>
  <c r="G785" i="4"/>
  <c r="G783" i="4"/>
  <c r="G781" i="4"/>
  <c r="G779" i="4"/>
  <c r="G777" i="4"/>
  <c r="G775" i="4"/>
  <c r="G773" i="4"/>
  <c r="G771" i="4"/>
  <c r="G769" i="4"/>
  <c r="G767" i="4"/>
  <c r="AA767" i="4" s="1"/>
  <c r="G765" i="4"/>
  <c r="G763" i="4"/>
  <c r="G761" i="4"/>
  <c r="G759" i="4"/>
  <c r="G757" i="4"/>
  <c r="G755" i="4"/>
  <c r="H755" i="4" s="1"/>
  <c r="G753" i="4"/>
  <c r="G751" i="4"/>
  <c r="H751" i="4" s="1"/>
  <c r="G749" i="4"/>
  <c r="G747" i="4"/>
  <c r="G745" i="4"/>
  <c r="G743" i="4"/>
  <c r="AA743" i="4" s="1"/>
  <c r="G741" i="4"/>
  <c r="G739" i="4"/>
  <c r="G737" i="4"/>
  <c r="G735" i="4"/>
  <c r="G729" i="4"/>
  <c r="G727" i="4"/>
  <c r="G725" i="4"/>
  <c r="G723" i="4"/>
  <c r="G721" i="4"/>
  <c r="G719" i="4"/>
  <c r="G717" i="4"/>
  <c r="G715" i="4"/>
  <c r="G918" i="4"/>
  <c r="H918" i="4" s="1"/>
  <c r="G712" i="4"/>
  <c r="H712" i="4" s="1"/>
  <c r="G708" i="4"/>
  <c r="G705" i="4"/>
  <c r="G703" i="4"/>
  <c r="H703" i="4" s="1"/>
  <c r="G701" i="4"/>
  <c r="G699" i="4"/>
  <c r="G697" i="4"/>
  <c r="G695" i="4"/>
  <c r="G693" i="4"/>
  <c r="G691" i="4"/>
  <c r="G689" i="4"/>
  <c r="G687" i="4"/>
  <c r="G685" i="4"/>
  <c r="G683" i="4"/>
  <c r="G681" i="4"/>
  <c r="G679" i="4"/>
  <c r="AA679" i="4" s="1"/>
  <c r="G677" i="4"/>
  <c r="G675" i="4"/>
  <c r="G673" i="4"/>
  <c r="G671" i="4"/>
  <c r="G669" i="4"/>
  <c r="G667" i="4"/>
  <c r="G665" i="4"/>
  <c r="G663" i="4"/>
  <c r="G661" i="4"/>
  <c r="G659" i="4"/>
  <c r="G657" i="4"/>
  <c r="G655" i="4"/>
  <c r="G653" i="4"/>
  <c r="G651" i="4"/>
  <c r="G649" i="4"/>
  <c r="G647" i="4"/>
  <c r="G645" i="4"/>
  <c r="G643" i="4"/>
  <c r="G641" i="4"/>
  <c r="G639" i="4"/>
  <c r="H639" i="4" s="1"/>
  <c r="G637" i="4"/>
  <c r="G635" i="4"/>
  <c r="G633" i="4"/>
  <c r="G631" i="4"/>
  <c r="H631" i="4" s="1"/>
  <c r="G625" i="4"/>
  <c r="G623" i="4"/>
  <c r="G621" i="4"/>
  <c r="G619" i="4"/>
  <c r="G617" i="4"/>
  <c r="G615" i="4"/>
  <c r="G613" i="4"/>
  <c r="G611" i="4"/>
  <c r="G609" i="4"/>
  <c r="G607" i="4"/>
  <c r="G605" i="4"/>
  <c r="G603" i="4"/>
  <c r="H603" i="4" s="1"/>
  <c r="G601" i="4"/>
  <c r="G599" i="4"/>
  <c r="G597" i="4"/>
  <c r="G595" i="4"/>
  <c r="G593" i="4"/>
  <c r="G591" i="4"/>
  <c r="G589" i="4"/>
  <c r="G587" i="4"/>
  <c r="AA587" i="4" s="1"/>
  <c r="G585" i="4"/>
  <c r="G583" i="4"/>
  <c r="G581" i="4"/>
  <c r="G579" i="4"/>
  <c r="G577" i="4"/>
  <c r="G575" i="4"/>
  <c r="G573" i="4"/>
  <c r="G571" i="4"/>
  <c r="G569" i="4"/>
  <c r="G567" i="4"/>
  <c r="G565" i="4"/>
  <c r="G563" i="4"/>
  <c r="G561" i="4"/>
  <c r="G559" i="4"/>
  <c r="G557" i="4"/>
  <c r="G555" i="4"/>
  <c r="G553" i="4"/>
  <c r="G551" i="4"/>
  <c r="G549" i="4"/>
  <c r="G547" i="4"/>
  <c r="H547" i="4" s="1"/>
  <c r="G545" i="4"/>
  <c r="G543" i="4"/>
  <c r="G541" i="4"/>
  <c r="G539" i="4"/>
  <c r="AA539" i="4" s="1"/>
  <c r="G537" i="4"/>
  <c r="G535" i="4"/>
  <c r="G533" i="4"/>
  <c r="G531" i="4"/>
  <c r="AA531" i="4" s="1"/>
  <c r="G529" i="4"/>
  <c r="G527" i="4"/>
  <c r="G521" i="4"/>
  <c r="G519" i="4"/>
  <c r="G517" i="4"/>
  <c r="G515" i="4"/>
  <c r="G513" i="4"/>
  <c r="G511" i="4"/>
  <c r="G711" i="4"/>
  <c r="H711" i="4" s="1"/>
  <c r="G707" i="4"/>
  <c r="G710" i="4"/>
  <c r="G706" i="4"/>
  <c r="H706" i="4" s="1"/>
  <c r="G704" i="4"/>
  <c r="G702" i="4"/>
  <c r="G700" i="4"/>
  <c r="G698" i="4"/>
  <c r="H698" i="4" s="1"/>
  <c r="G696" i="4"/>
  <c r="H696" i="4" s="1"/>
  <c r="G694" i="4"/>
  <c r="G692" i="4"/>
  <c r="G690" i="4"/>
  <c r="G688" i="4"/>
  <c r="G686" i="4"/>
  <c r="H686" i="4" s="1"/>
  <c r="G684" i="4"/>
  <c r="H684" i="4" s="1"/>
  <c r="G682" i="4"/>
  <c r="G680" i="4"/>
  <c r="G678" i="4"/>
  <c r="G676" i="4"/>
  <c r="G674" i="4"/>
  <c r="AA674" i="4" s="1"/>
  <c r="G672" i="4"/>
  <c r="G670" i="4"/>
  <c r="G668" i="4"/>
  <c r="G666" i="4"/>
  <c r="H666" i="4" s="1"/>
  <c r="G664" i="4"/>
  <c r="G662" i="4"/>
  <c r="G660" i="4"/>
  <c r="G658" i="4"/>
  <c r="AA658" i="4" s="1"/>
  <c r="G656" i="4"/>
  <c r="H656" i="4" s="1"/>
  <c r="G654" i="4"/>
  <c r="G652" i="4"/>
  <c r="G650" i="4"/>
  <c r="G648" i="4"/>
  <c r="G646" i="4"/>
  <c r="H646" i="4" s="1"/>
  <c r="G644" i="4"/>
  <c r="G642" i="4"/>
  <c r="H642" i="4" s="1"/>
  <c r="G640" i="4"/>
  <c r="G638" i="4"/>
  <c r="H638" i="4" s="1"/>
  <c r="G636" i="4"/>
  <c r="G634" i="4"/>
  <c r="H634" i="4" s="1"/>
  <c r="G632" i="4"/>
  <c r="G630" i="4"/>
  <c r="G626" i="4"/>
  <c r="G624" i="4"/>
  <c r="G622" i="4"/>
  <c r="G620" i="4"/>
  <c r="G618" i="4"/>
  <c r="H618" i="4" s="1"/>
  <c r="G616" i="4"/>
  <c r="H616" i="4" s="1"/>
  <c r="G614" i="4"/>
  <c r="G612" i="4"/>
  <c r="G610" i="4"/>
  <c r="G608" i="4"/>
  <c r="H608" i="4" s="1"/>
  <c r="G606" i="4"/>
  <c r="G604" i="4"/>
  <c r="G602" i="4"/>
  <c r="H602" i="4" s="1"/>
  <c r="G600" i="4"/>
  <c r="H600" i="4" s="1"/>
  <c r="G598" i="4"/>
  <c r="G596" i="4"/>
  <c r="G594" i="4"/>
  <c r="G592" i="4"/>
  <c r="G590" i="4"/>
  <c r="G588" i="4"/>
  <c r="G586" i="4"/>
  <c r="G584" i="4"/>
  <c r="H584" i="4" s="1"/>
  <c r="G582" i="4"/>
  <c r="H582" i="4" s="1"/>
  <c r="G580" i="4"/>
  <c r="G578" i="4"/>
  <c r="G576" i="4"/>
  <c r="G574" i="4"/>
  <c r="G572" i="4"/>
  <c r="H572" i="4" s="1"/>
  <c r="G570" i="4"/>
  <c r="H570" i="4" s="1"/>
  <c r="G568" i="4"/>
  <c r="H568" i="4" s="1"/>
  <c r="G566" i="4"/>
  <c r="G564" i="4"/>
  <c r="G562" i="4"/>
  <c r="G560" i="4"/>
  <c r="H560" i="4" s="1"/>
  <c r="G558" i="4"/>
  <c r="G556" i="4"/>
  <c r="G554" i="4"/>
  <c r="G552" i="4"/>
  <c r="G550" i="4"/>
  <c r="G548" i="4"/>
  <c r="G546" i="4"/>
  <c r="G544" i="4"/>
  <c r="G542" i="4"/>
  <c r="AA542" i="4" s="1"/>
  <c r="G540" i="4"/>
  <c r="G538" i="4"/>
  <c r="G536" i="4"/>
  <c r="H536" i="4" s="1"/>
  <c r="G534" i="4"/>
  <c r="AA534" i="4" s="1"/>
  <c r="G532" i="4"/>
  <c r="G530" i="4"/>
  <c r="G528" i="4"/>
  <c r="H528" i="4" s="1"/>
  <c r="G526" i="4"/>
  <c r="G522" i="4"/>
  <c r="G520" i="4"/>
  <c r="G518" i="4"/>
  <c r="G516" i="4"/>
  <c r="H516" i="4" s="1"/>
  <c r="G514" i="4"/>
  <c r="G512" i="4"/>
  <c r="G510" i="4"/>
  <c r="AA510" i="4" s="1"/>
  <c r="G508" i="4"/>
  <c r="G506" i="4"/>
  <c r="G504" i="4"/>
  <c r="G502" i="4"/>
  <c r="G500" i="4"/>
  <c r="G713" i="4"/>
  <c r="G709" i="4"/>
  <c r="G497" i="4"/>
  <c r="G507" i="4"/>
  <c r="G503" i="4"/>
  <c r="G496" i="4"/>
  <c r="G493" i="4"/>
  <c r="G491" i="4"/>
  <c r="G489" i="4"/>
  <c r="G487" i="4"/>
  <c r="G485" i="4"/>
  <c r="G483" i="4"/>
  <c r="G481" i="4"/>
  <c r="G479" i="4"/>
  <c r="G477" i="4"/>
  <c r="G475" i="4"/>
  <c r="G473" i="4"/>
  <c r="G471" i="4"/>
  <c r="G469" i="4"/>
  <c r="G467" i="4"/>
  <c r="G465" i="4"/>
  <c r="G463" i="4"/>
  <c r="G461" i="4"/>
  <c r="G459" i="4"/>
  <c r="G457" i="4"/>
  <c r="G455" i="4"/>
  <c r="G453" i="4"/>
  <c r="G451" i="4"/>
  <c r="G449" i="4"/>
  <c r="G447" i="4"/>
  <c r="G445" i="4"/>
  <c r="G443" i="4"/>
  <c r="G441" i="4"/>
  <c r="G439" i="4"/>
  <c r="G437" i="4"/>
  <c r="H437" i="4" s="1"/>
  <c r="G435" i="4"/>
  <c r="G433" i="4"/>
  <c r="G431" i="4"/>
  <c r="G429" i="4"/>
  <c r="H429" i="4" s="1"/>
  <c r="G427" i="4"/>
  <c r="G425" i="4"/>
  <c r="G423" i="4"/>
  <c r="G417" i="4"/>
  <c r="G415" i="4"/>
  <c r="G413" i="4"/>
  <c r="G411" i="4"/>
  <c r="AA411" i="4" s="1"/>
  <c r="G409" i="4"/>
  <c r="G407" i="4"/>
  <c r="G405" i="4"/>
  <c r="G403" i="4"/>
  <c r="H403" i="4" s="1"/>
  <c r="G401" i="4"/>
  <c r="G399" i="4"/>
  <c r="G397" i="4"/>
  <c r="G395" i="4"/>
  <c r="G393" i="4"/>
  <c r="G391" i="4"/>
  <c r="G389" i="4"/>
  <c r="G387" i="4"/>
  <c r="G385" i="4"/>
  <c r="G383" i="4"/>
  <c r="G381" i="4"/>
  <c r="G379" i="4"/>
  <c r="G377" i="4"/>
  <c r="G375" i="4"/>
  <c r="G373" i="4"/>
  <c r="G371" i="4"/>
  <c r="G369" i="4"/>
  <c r="G367" i="4"/>
  <c r="G365" i="4"/>
  <c r="G363" i="4"/>
  <c r="G361" i="4"/>
  <c r="G359" i="4"/>
  <c r="G357" i="4"/>
  <c r="G355" i="4"/>
  <c r="G353" i="4"/>
  <c r="G351" i="4"/>
  <c r="G349" i="4"/>
  <c r="G347" i="4"/>
  <c r="G345" i="4"/>
  <c r="G343" i="4"/>
  <c r="G341" i="4"/>
  <c r="G339" i="4"/>
  <c r="G337" i="4"/>
  <c r="G335" i="4"/>
  <c r="G333" i="4"/>
  <c r="G331" i="4"/>
  <c r="G329" i="4"/>
  <c r="G327" i="4"/>
  <c r="G325" i="4"/>
  <c r="H325" i="4" s="1"/>
  <c r="G323" i="4"/>
  <c r="G321" i="4"/>
  <c r="H321" i="4" s="1"/>
  <c r="G319" i="4"/>
  <c r="G313" i="4"/>
  <c r="G311" i="4"/>
  <c r="G309" i="4"/>
  <c r="G307" i="4"/>
  <c r="H307" i="4" s="1"/>
  <c r="G305" i="4"/>
  <c r="G303" i="4"/>
  <c r="G301" i="4"/>
  <c r="G299" i="4"/>
  <c r="G297" i="4"/>
  <c r="G295" i="4"/>
  <c r="H295" i="4" s="1"/>
  <c r="G293" i="4"/>
  <c r="G291" i="4"/>
  <c r="G289" i="4"/>
  <c r="G287" i="4"/>
  <c r="G499" i="4"/>
  <c r="H499" i="4" s="1"/>
  <c r="G509" i="4"/>
  <c r="G505" i="4"/>
  <c r="G501" i="4"/>
  <c r="G498" i="4"/>
  <c r="G495" i="4"/>
  <c r="G494" i="4"/>
  <c r="H494" i="4" s="1"/>
  <c r="G492" i="4"/>
  <c r="G490" i="4"/>
  <c r="H490" i="4" s="1"/>
  <c r="G488" i="4"/>
  <c r="G486" i="4"/>
  <c r="G484" i="4"/>
  <c r="G482" i="4"/>
  <c r="G480" i="4"/>
  <c r="G478" i="4"/>
  <c r="G476" i="4"/>
  <c r="G474" i="4"/>
  <c r="G472" i="4"/>
  <c r="G470" i="4"/>
  <c r="G468" i="4"/>
  <c r="G466" i="4"/>
  <c r="H466" i="4" s="1"/>
  <c r="G464" i="4"/>
  <c r="G462" i="4"/>
  <c r="G460" i="4"/>
  <c r="G458" i="4"/>
  <c r="G456" i="4"/>
  <c r="H456" i="4" s="1"/>
  <c r="G454" i="4"/>
  <c r="H454" i="4" s="1"/>
  <c r="G452" i="4"/>
  <c r="G450" i="4"/>
  <c r="AA450" i="4" s="1"/>
  <c r="G448" i="4"/>
  <c r="G446" i="4"/>
  <c r="G444" i="4"/>
  <c r="G442" i="4"/>
  <c r="G440" i="4"/>
  <c r="G438" i="4"/>
  <c r="H438" i="4" s="1"/>
  <c r="G436" i="4"/>
  <c r="G434" i="4"/>
  <c r="H434" i="4" s="1"/>
  <c r="G432" i="4"/>
  <c r="G430" i="4"/>
  <c r="H430" i="4" s="1"/>
  <c r="G428" i="4"/>
  <c r="G426" i="4"/>
  <c r="H426" i="4" s="1"/>
  <c r="G424" i="4"/>
  <c r="G422" i="4"/>
  <c r="G418" i="4"/>
  <c r="G416" i="4"/>
  <c r="H416" i="4" s="1"/>
  <c r="G414" i="4"/>
  <c r="G412" i="4"/>
  <c r="G410" i="4"/>
  <c r="G408" i="4"/>
  <c r="H408" i="4" s="1"/>
  <c r="G406" i="4"/>
  <c r="G404" i="4"/>
  <c r="G402" i="4"/>
  <c r="H402" i="4" s="1"/>
  <c r="G400" i="4"/>
  <c r="G398" i="4"/>
  <c r="G396" i="4"/>
  <c r="G394" i="4"/>
  <c r="H394" i="4" s="1"/>
  <c r="G392" i="4"/>
  <c r="G390" i="4"/>
  <c r="G388" i="4"/>
  <c r="G386" i="4"/>
  <c r="G384" i="4"/>
  <c r="H384" i="4" s="1"/>
  <c r="G382" i="4"/>
  <c r="H382" i="4" s="1"/>
  <c r="G380" i="4"/>
  <c r="G378" i="4"/>
  <c r="G376" i="4"/>
  <c r="H376" i="4" s="1"/>
  <c r="G374" i="4"/>
  <c r="H374" i="4" s="1"/>
  <c r="G372" i="4"/>
  <c r="G370" i="4"/>
  <c r="H370" i="4" s="1"/>
  <c r="G368" i="4"/>
  <c r="G366" i="4"/>
  <c r="G364" i="4"/>
  <c r="G362" i="4"/>
  <c r="G360" i="4"/>
  <c r="G358" i="4"/>
  <c r="G356" i="4"/>
  <c r="G354" i="4"/>
  <c r="AA354" i="4" s="1"/>
  <c r="G352" i="4"/>
  <c r="H352" i="4" s="1"/>
  <c r="G350" i="4"/>
  <c r="G348" i="4"/>
  <c r="G346" i="4"/>
  <c r="G344" i="4"/>
  <c r="H344" i="4" s="1"/>
  <c r="G342" i="4"/>
  <c r="H342" i="4" s="1"/>
  <c r="G340" i="4"/>
  <c r="G338" i="4"/>
  <c r="G336" i="4"/>
  <c r="G334" i="4"/>
  <c r="G332" i="4"/>
  <c r="G330" i="4"/>
  <c r="H330" i="4" s="1"/>
  <c r="G328" i="4"/>
  <c r="G326" i="4"/>
  <c r="G324" i="4"/>
  <c r="G322" i="4"/>
  <c r="AA322" i="4" s="1"/>
  <c r="G320" i="4"/>
  <c r="G318" i="4"/>
  <c r="G314" i="4"/>
  <c r="G312" i="4"/>
  <c r="G310" i="4"/>
  <c r="H310" i="4" s="1"/>
  <c r="G308" i="4"/>
  <c r="G306" i="4"/>
  <c r="G304" i="4"/>
  <c r="G302" i="4"/>
  <c r="G300" i="4"/>
  <c r="G298" i="4"/>
  <c r="G296" i="4"/>
  <c r="H296" i="4" s="1"/>
  <c r="G294" i="4"/>
  <c r="H294" i="4" s="1"/>
  <c r="G292" i="4"/>
  <c r="G290" i="4"/>
  <c r="G288" i="4"/>
  <c r="G286" i="4"/>
  <c r="G284" i="4"/>
  <c r="H284" i="4" s="1"/>
  <c r="G282" i="4"/>
  <c r="G280" i="4"/>
  <c r="G278" i="4"/>
  <c r="G276" i="4"/>
  <c r="G274" i="4"/>
  <c r="G272" i="4"/>
  <c r="G270" i="4"/>
  <c r="G268" i="4"/>
  <c r="G266" i="4"/>
  <c r="G264" i="4"/>
  <c r="G262" i="4"/>
  <c r="H262" i="4" s="1"/>
  <c r="G260" i="4"/>
  <c r="G258" i="4"/>
  <c r="AA258" i="4" s="1"/>
  <c r="G256" i="4"/>
  <c r="G254" i="4"/>
  <c r="G252" i="4"/>
  <c r="G250" i="4"/>
  <c r="G248" i="4"/>
  <c r="G246" i="4"/>
  <c r="H246" i="4" s="1"/>
  <c r="G244" i="4"/>
  <c r="H244" i="4" s="1"/>
  <c r="G242" i="4"/>
  <c r="G240" i="4"/>
  <c r="G238" i="4"/>
  <c r="H238" i="4" s="1"/>
  <c r="G236" i="4"/>
  <c r="G234" i="4"/>
  <c r="G232" i="4"/>
  <c r="H232" i="4" s="1"/>
  <c r="G230" i="4"/>
  <c r="AA230" i="4" s="1"/>
  <c r="G228" i="4"/>
  <c r="G226" i="4"/>
  <c r="G224" i="4"/>
  <c r="G222" i="4"/>
  <c r="AA222" i="4" s="1"/>
  <c r="G220" i="4"/>
  <c r="G218" i="4"/>
  <c r="G216" i="4"/>
  <c r="G214" i="4"/>
  <c r="H214" i="4" s="1"/>
  <c r="G110" i="4"/>
  <c r="G285" i="4"/>
  <c r="G283" i="4"/>
  <c r="G281" i="4"/>
  <c r="G279" i="4"/>
  <c r="AA279" i="4" s="1"/>
  <c r="G277" i="4"/>
  <c r="G275" i="4"/>
  <c r="G273" i="4"/>
  <c r="G271" i="4"/>
  <c r="G269" i="4"/>
  <c r="G267" i="4"/>
  <c r="G265" i="4"/>
  <c r="G263" i="4"/>
  <c r="G261" i="4"/>
  <c r="G259" i="4"/>
  <c r="G257" i="4"/>
  <c r="G255" i="4"/>
  <c r="G253" i="4"/>
  <c r="G251" i="4"/>
  <c r="G249" i="4"/>
  <c r="G247" i="4"/>
  <c r="G245" i="4"/>
  <c r="G243" i="4"/>
  <c r="G241" i="4"/>
  <c r="G239" i="4"/>
  <c r="G237" i="4"/>
  <c r="G235" i="4"/>
  <c r="G233" i="4"/>
  <c r="G231" i="4"/>
  <c r="AA231" i="4" s="1"/>
  <c r="G229" i="4"/>
  <c r="G227" i="4"/>
  <c r="H227" i="4" s="1"/>
  <c r="G225" i="4"/>
  <c r="G223" i="4"/>
  <c r="H223" i="4" s="1"/>
  <c r="G221" i="4"/>
  <c r="G219" i="4"/>
  <c r="H219" i="4" s="1"/>
  <c r="G217" i="4"/>
  <c r="G215" i="4"/>
  <c r="H215" i="4" s="1"/>
  <c r="H8" i="4"/>
  <c r="AE8" i="4"/>
  <c r="AI8" i="4" s="1"/>
  <c r="H10" i="4"/>
  <c r="AE10" i="4"/>
  <c r="AI10" i="4" s="1"/>
  <c r="AA10" i="4"/>
  <c r="H12" i="4"/>
  <c r="AE12" i="4"/>
  <c r="AI12" i="4" s="1"/>
  <c r="H14" i="4"/>
  <c r="AE14" i="4"/>
  <c r="AI14" i="4" s="1"/>
  <c r="AA14" i="4"/>
  <c r="H16" i="4"/>
  <c r="AE16" i="4"/>
  <c r="AI16" i="4" s="1"/>
  <c r="H18" i="4"/>
  <c r="AE18" i="4"/>
  <c r="AI18" i="4" s="1"/>
  <c r="AA18" i="4"/>
  <c r="H20" i="4"/>
  <c r="AE20" i="4"/>
  <c r="AI20" i="4" s="1"/>
  <c r="H22" i="4"/>
  <c r="AE22" i="4"/>
  <c r="AI22" i="4" s="1"/>
  <c r="F1276" i="4"/>
  <c r="H1172" i="4"/>
  <c r="AE1172" i="4"/>
  <c r="AE760" i="4"/>
  <c r="AI760" i="4" s="1"/>
  <c r="AO35" i="14"/>
  <c r="G35" i="19"/>
  <c r="H452" i="4"/>
  <c r="AE452" i="4"/>
  <c r="AI452" i="4" s="1"/>
  <c r="H144" i="4"/>
  <c r="AE144" i="4"/>
  <c r="AI144" i="4" s="1"/>
  <c r="H984" i="4"/>
  <c r="AE984" i="4"/>
  <c r="AI984" i="4" s="1"/>
  <c r="AE572" i="4"/>
  <c r="AI572" i="4" s="1"/>
  <c r="H160" i="4"/>
  <c r="AE160" i="4"/>
  <c r="AI160" i="4" s="1"/>
  <c r="H1000" i="4"/>
  <c r="AE1000" i="4"/>
  <c r="AI1000" i="4" s="1"/>
  <c r="H692" i="4"/>
  <c r="AE692" i="4"/>
  <c r="AI692" i="4" s="1"/>
  <c r="H176" i="4"/>
  <c r="AE176" i="4"/>
  <c r="AI176" i="4" s="1"/>
  <c r="AE1120" i="4"/>
  <c r="AI1120" i="4" s="1"/>
  <c r="H708" i="4"/>
  <c r="AE708" i="4"/>
  <c r="AI708" i="4" s="1"/>
  <c r="AE296" i="4"/>
  <c r="AI296" i="4" s="1"/>
  <c r="H1136" i="4"/>
  <c r="AE1136" i="4"/>
  <c r="AI1136" i="4" s="1"/>
  <c r="AE724" i="4"/>
  <c r="AI724" i="4" s="1"/>
  <c r="H724" i="4"/>
  <c r="H312" i="4"/>
  <c r="AE312" i="4"/>
  <c r="AI312" i="4" s="1"/>
  <c r="I4" i="22"/>
  <c r="F4" i="22"/>
  <c r="AK50" i="19"/>
  <c r="AG50" i="19"/>
  <c r="AJ50" i="19"/>
  <c r="AF50" i="19"/>
  <c r="AM50" i="19"/>
  <c r="AI50" i="19"/>
  <c r="AL50" i="19"/>
  <c r="AH50" i="19"/>
  <c r="H1123" i="4"/>
  <c r="AE1123" i="4"/>
  <c r="AI1123" i="4" s="1"/>
  <c r="AE607" i="4"/>
  <c r="AI607" i="4" s="1"/>
  <c r="H607" i="4"/>
  <c r="AE819" i="4"/>
  <c r="AI819" i="4" s="1"/>
  <c r="AE931" i="4"/>
  <c r="AI931" i="4" s="1"/>
  <c r="H931" i="4"/>
  <c r="V1331" i="4"/>
  <c r="V1337" i="4"/>
  <c r="V1341" i="4"/>
  <c r="R54" i="20"/>
  <c r="R38" i="20"/>
  <c r="R102" i="20"/>
  <c r="R70" i="20"/>
  <c r="R22" i="20"/>
  <c r="R86" i="20"/>
  <c r="V163" i="16"/>
  <c r="AJ94" i="19"/>
  <c r="AF94" i="19"/>
  <c r="AL94" i="19"/>
  <c r="AH94" i="19"/>
  <c r="AM94" i="19"/>
  <c r="AK94" i="19"/>
  <c r="AI94" i="19"/>
  <c r="AG94" i="19"/>
  <c r="AE754" i="4"/>
  <c r="AI754" i="4" s="1"/>
  <c r="F1278" i="4"/>
  <c r="AE1174" i="4"/>
  <c r="AE762" i="4"/>
  <c r="AI762" i="4" s="1"/>
  <c r="H1078" i="4"/>
  <c r="AE1078" i="4"/>
  <c r="AI1078" i="4" s="1"/>
  <c r="AA1078" i="4"/>
  <c r="AE666" i="4"/>
  <c r="AI666" i="4" s="1"/>
  <c r="AA666" i="4"/>
  <c r="AE254" i="4"/>
  <c r="AI254" i="4" s="1"/>
  <c r="H1094" i="4"/>
  <c r="AE1094" i="4"/>
  <c r="AI1094" i="4" s="1"/>
  <c r="AA1094" i="4"/>
  <c r="AE682" i="4"/>
  <c r="AI682" i="4" s="1"/>
  <c r="H166" i="4"/>
  <c r="AE166" i="4"/>
  <c r="AI166" i="4" s="1"/>
  <c r="AE902" i="4"/>
  <c r="AI902" i="4" s="1"/>
  <c r="H902" i="4"/>
  <c r="AE490" i="4"/>
  <c r="AI490" i="4" s="1"/>
  <c r="AE806" i="4"/>
  <c r="AI806" i="4" s="1"/>
  <c r="H806" i="4"/>
  <c r="F1330" i="4"/>
  <c r="AE1226" i="4"/>
  <c r="H1226" i="4"/>
  <c r="AE918" i="4"/>
  <c r="AI918" i="4" s="1"/>
  <c r="F1338" i="4"/>
  <c r="AE1234" i="4"/>
  <c r="H1234" i="4"/>
  <c r="AE822" i="4"/>
  <c r="AI822" i="4" s="1"/>
  <c r="AA822" i="4"/>
  <c r="H822" i="4"/>
  <c r="F1346" i="4"/>
  <c r="AE1242" i="4"/>
  <c r="H1242" i="4"/>
  <c r="AE830" i="4"/>
  <c r="AI830" i="4" s="1"/>
  <c r="H830" i="4"/>
  <c r="F1354" i="4"/>
  <c r="AE1250" i="4"/>
  <c r="H1250" i="4"/>
  <c r="I10" i="18"/>
  <c r="F10" i="18"/>
  <c r="DS33" i="5"/>
  <c r="AK608" i="45"/>
  <c r="AO34" i="5"/>
  <c r="AM33" i="5"/>
  <c r="BA33" i="5"/>
  <c r="AA608" i="45"/>
  <c r="AA54" i="20"/>
  <c r="AA56" i="20" s="1"/>
  <c r="AA102" i="20"/>
  <c r="AA104" i="20" s="1"/>
  <c r="AA70" i="20"/>
  <c r="AA72" i="20" s="1"/>
  <c r="AA38" i="20"/>
  <c r="AA40" i="20" s="1"/>
  <c r="AA22" i="20"/>
  <c r="AA24" i="20" s="1"/>
  <c r="AA86" i="20"/>
  <c r="AA88" i="20" s="1"/>
  <c r="F1321" i="4"/>
  <c r="H1217" i="4"/>
  <c r="AE1217" i="4"/>
  <c r="T1355" i="4"/>
  <c r="T1356" i="4" s="1"/>
  <c r="U1254" i="4"/>
  <c r="Y1150" i="4"/>
  <c r="Y1046" i="4"/>
  <c r="Y942" i="4"/>
  <c r="Y838" i="4"/>
  <c r="Y734" i="4"/>
  <c r="Y630" i="4"/>
  <c r="Y526" i="4"/>
  <c r="Y422" i="4"/>
  <c r="Y318" i="4"/>
  <c r="AA318" i="4" s="1"/>
  <c r="Y214" i="4"/>
  <c r="Y110" i="4"/>
  <c r="Y6" i="4"/>
  <c r="U1310" i="4"/>
  <c r="Y1206" i="4"/>
  <c r="Y1102" i="4"/>
  <c r="Y998" i="4"/>
  <c r="Y894" i="4"/>
  <c r="Y790" i="4"/>
  <c r="Y686" i="4"/>
  <c r="Y582" i="4"/>
  <c r="Y478" i="4"/>
  <c r="AA478" i="4" s="1"/>
  <c r="Y374" i="4"/>
  <c r="Y270" i="4"/>
  <c r="Y166" i="4"/>
  <c r="AA166" i="4" s="1"/>
  <c r="Y62" i="4"/>
  <c r="AA62" i="4" s="1"/>
  <c r="U1314" i="4"/>
  <c r="Y1210" i="4"/>
  <c r="Y1106" i="4"/>
  <c r="Y1002" i="4"/>
  <c r="Y898" i="4"/>
  <c r="Y794" i="4"/>
  <c r="Y690" i="4"/>
  <c r="Y586" i="4"/>
  <c r="Y482" i="4"/>
  <c r="Y378" i="4"/>
  <c r="Y274" i="4"/>
  <c r="Y170" i="4"/>
  <c r="AA170" i="4" s="1"/>
  <c r="Y66" i="4"/>
  <c r="AA66" i="4" s="1"/>
  <c r="U1318" i="4"/>
  <c r="Y1214" i="4"/>
  <c r="Y1110" i="4"/>
  <c r="Y1006" i="4"/>
  <c r="Y902" i="4"/>
  <c r="AA902" i="4" s="1"/>
  <c r="Y798" i="4"/>
  <c r="Y694" i="4"/>
  <c r="Y590" i="4"/>
  <c r="Y486" i="4"/>
  <c r="Y382" i="4"/>
  <c r="Y278" i="4"/>
  <c r="Y174" i="4"/>
  <c r="Y70" i="4"/>
  <c r="U1322" i="4"/>
  <c r="Y1218" i="4"/>
  <c r="Y1114" i="4"/>
  <c r="Y1010" i="4"/>
  <c r="Y906" i="4"/>
  <c r="Y802" i="4"/>
  <c r="Y698" i="4"/>
  <c r="Y594" i="4"/>
  <c r="AA594" i="4" s="1"/>
  <c r="Y490" i="4"/>
  <c r="Y386" i="4"/>
  <c r="Y282" i="4"/>
  <c r="Y178" i="4"/>
  <c r="Y74" i="4"/>
  <c r="U1326" i="4"/>
  <c r="Y1222" i="4"/>
  <c r="Y1118" i="4"/>
  <c r="AA1118" i="4" s="1"/>
  <c r="Y1014" i="4"/>
  <c r="Y910" i="4"/>
  <c r="Y806" i="4"/>
  <c r="AA806" i="4" s="1"/>
  <c r="Y702" i="4"/>
  <c r="Y598" i="4"/>
  <c r="Y494" i="4"/>
  <c r="Y390" i="4"/>
  <c r="Y286" i="4"/>
  <c r="Y182" i="4"/>
  <c r="Y78" i="4"/>
  <c r="AA78" i="4" s="1"/>
  <c r="K71" i="28"/>
  <c r="I71" i="28"/>
  <c r="G71" i="28"/>
  <c r="E71" i="28"/>
  <c r="M71" i="28"/>
  <c r="G69" i="19"/>
  <c r="AO69" i="14"/>
  <c r="D35" i="19"/>
  <c r="D87" i="19"/>
  <c r="D85" i="19"/>
  <c r="D101" i="19"/>
  <c r="AO83" i="14"/>
  <c r="G83" i="19"/>
  <c r="H1067" i="4"/>
  <c r="AE1067" i="4"/>
  <c r="AI1067" i="4" s="1"/>
  <c r="AA1067" i="4"/>
  <c r="AE663" i="4"/>
  <c r="AI663" i="4" s="1"/>
  <c r="H887" i="4"/>
  <c r="AE887" i="4"/>
  <c r="AI887" i="4" s="1"/>
  <c r="AK62" i="19"/>
  <c r="AG62" i="19"/>
  <c r="AJ62" i="19"/>
  <c r="AF62" i="19"/>
  <c r="AM62" i="19"/>
  <c r="AI62" i="19"/>
  <c r="AL62" i="19"/>
  <c r="AH62" i="19"/>
  <c r="AE79" i="4"/>
  <c r="AI79" i="4" s="1"/>
  <c r="AE943" i="4"/>
  <c r="AI943" i="4" s="1"/>
  <c r="AA943" i="4"/>
  <c r="H943" i="4"/>
  <c r="F1258" i="4"/>
  <c r="H1154" i="4"/>
  <c r="AE1154" i="4"/>
  <c r="AA1154" i="4"/>
  <c r="H115" i="4"/>
  <c r="AE115" i="4"/>
  <c r="AI115" i="4" s="1"/>
  <c r="H324" i="4"/>
  <c r="AE324" i="4"/>
  <c r="AI324" i="4" s="1"/>
  <c r="AE533" i="4"/>
  <c r="AI533" i="4" s="1"/>
  <c r="H533" i="4"/>
  <c r="AE742" i="4"/>
  <c r="AI742" i="4" s="1"/>
  <c r="AA742" i="4"/>
  <c r="H742" i="4"/>
  <c r="AE951" i="4"/>
  <c r="AI951" i="4" s="1"/>
  <c r="AA951" i="4"/>
  <c r="H951" i="4"/>
  <c r="F1266" i="4"/>
  <c r="H1162" i="4"/>
  <c r="AE1162" i="4"/>
  <c r="H123" i="4"/>
  <c r="AE123" i="4"/>
  <c r="AI123" i="4" s="1"/>
  <c r="AA123" i="4"/>
  <c r="H332" i="4"/>
  <c r="AE332" i="4"/>
  <c r="AI332" i="4" s="1"/>
  <c r="AE541" i="4"/>
  <c r="AI541" i="4" s="1"/>
  <c r="H541" i="4"/>
  <c r="AE750" i="4"/>
  <c r="AI750" i="4" s="1"/>
  <c r="AA750" i="4"/>
  <c r="H750" i="4"/>
  <c r="H960" i="4"/>
  <c r="AE960" i="4"/>
  <c r="AI960" i="4" s="1"/>
  <c r="H652" i="4"/>
  <c r="AE652" i="4"/>
  <c r="AI652" i="4" s="1"/>
  <c r="H240" i="4"/>
  <c r="AE240" i="4"/>
  <c r="AI240" i="4" s="1"/>
  <c r="H348" i="4"/>
  <c r="AE348" i="4"/>
  <c r="AI348" i="4" s="1"/>
  <c r="G39" i="4"/>
  <c r="G143" i="4" s="1"/>
  <c r="I39" i="14"/>
  <c r="H40" i="4"/>
  <c r="AE40" i="4"/>
  <c r="AI40" i="4" s="1"/>
  <c r="AE880" i="4"/>
  <c r="AI880" i="4" s="1"/>
  <c r="H880" i="4"/>
  <c r="H468" i="4"/>
  <c r="AE468" i="4"/>
  <c r="AI468" i="4" s="1"/>
  <c r="G59" i="4"/>
  <c r="I59" i="14"/>
  <c r="H476" i="4"/>
  <c r="AE476" i="4"/>
  <c r="AI476" i="4" s="1"/>
  <c r="H1004" i="4"/>
  <c r="AE1004" i="4"/>
  <c r="AI1004" i="4" s="1"/>
  <c r="H488" i="4"/>
  <c r="AE488" i="4"/>
  <c r="AI488" i="4" s="1"/>
  <c r="H1016" i="4"/>
  <c r="AE1016" i="4"/>
  <c r="AI1016" i="4" s="1"/>
  <c r="H604" i="4"/>
  <c r="AE604" i="4"/>
  <c r="AI604" i="4" s="1"/>
  <c r="H192" i="4"/>
  <c r="AE192" i="4"/>
  <c r="AI192" i="4" s="1"/>
  <c r="H1032" i="4"/>
  <c r="AE1032" i="4"/>
  <c r="AI1032" i="4" s="1"/>
  <c r="H620" i="4"/>
  <c r="AE620" i="4"/>
  <c r="AI620" i="4" s="1"/>
  <c r="H208" i="4"/>
  <c r="AE208" i="4"/>
  <c r="AI208" i="4" s="1"/>
  <c r="H903" i="4"/>
  <c r="AE903" i="4"/>
  <c r="AI903" i="4" s="1"/>
  <c r="AA903" i="4"/>
  <c r="H707" i="4"/>
  <c r="AE707" i="4"/>
  <c r="AI707" i="4" s="1"/>
  <c r="H191" i="4"/>
  <c r="AE191" i="4"/>
  <c r="AI191" i="4" s="1"/>
  <c r="F1347" i="4"/>
  <c r="AE1243" i="4"/>
  <c r="AA1243" i="4"/>
  <c r="U1331" i="4"/>
  <c r="Y1227" i="4"/>
  <c r="Y1123" i="4"/>
  <c r="AA1123" i="4" s="1"/>
  <c r="Y1019" i="4"/>
  <c r="Y915" i="4"/>
  <c r="Y811" i="4"/>
  <c r="Y707" i="4"/>
  <c r="AA707" i="4" s="1"/>
  <c r="Y603" i="4"/>
  <c r="Y499" i="4"/>
  <c r="Y395" i="4"/>
  <c r="Y291" i="4"/>
  <c r="Y187" i="4"/>
  <c r="AA187" i="4" s="1"/>
  <c r="Y83" i="4"/>
  <c r="U1341" i="4"/>
  <c r="Y1237" i="4"/>
  <c r="Y1133" i="4"/>
  <c r="Y1029" i="4"/>
  <c r="Y925" i="4"/>
  <c r="Y821" i="4"/>
  <c r="Y717" i="4"/>
  <c r="Y613" i="4"/>
  <c r="Y509" i="4"/>
  <c r="Y405" i="4"/>
  <c r="Y301" i="4"/>
  <c r="Y197" i="4"/>
  <c r="AA197" i="4" s="1"/>
  <c r="Y93" i="4"/>
  <c r="AA93" i="4" s="1"/>
  <c r="V173" i="16"/>
  <c r="AA147" i="4"/>
  <c r="D5" i="24"/>
  <c r="D11" i="25"/>
  <c r="V1255" i="4"/>
  <c r="H1066" i="4"/>
  <c r="AE1066" i="4"/>
  <c r="AI1066" i="4" s="1"/>
  <c r="AA1066" i="4"/>
  <c r="H654" i="4"/>
  <c r="AE654" i="4"/>
  <c r="AI654" i="4" s="1"/>
  <c r="H242" i="4"/>
  <c r="AE242" i="4"/>
  <c r="AI242" i="4" s="1"/>
  <c r="AA242" i="4"/>
  <c r="AE978" i="4"/>
  <c r="AI978" i="4" s="1"/>
  <c r="H566" i="4"/>
  <c r="AE566" i="4"/>
  <c r="AI566" i="4" s="1"/>
  <c r="AA566" i="4"/>
  <c r="H154" i="4"/>
  <c r="AE154" i="4"/>
  <c r="AI154" i="4" s="1"/>
  <c r="AA154" i="4"/>
  <c r="AE994" i="4"/>
  <c r="AI994" i="4" s="1"/>
  <c r="AA994" i="4"/>
  <c r="H478" i="4"/>
  <c r="AE478" i="4"/>
  <c r="AI478" i="4" s="1"/>
  <c r="AE794" i="4"/>
  <c r="AI794" i="4" s="1"/>
  <c r="F1318" i="4"/>
  <c r="AE1214" i="4"/>
  <c r="AE802" i="4"/>
  <c r="AI802" i="4" s="1"/>
  <c r="AA802" i="4"/>
  <c r="H1118" i="4"/>
  <c r="AE1118" i="4"/>
  <c r="AI1118" i="4" s="1"/>
  <c r="AE706" i="4"/>
  <c r="AI706" i="4" s="1"/>
  <c r="AE294" i="4"/>
  <c r="AI294" i="4" s="1"/>
  <c r="H1134" i="4"/>
  <c r="AE1134" i="4"/>
  <c r="AI1134" i="4" s="1"/>
  <c r="AE722" i="4"/>
  <c r="AI722" i="4" s="1"/>
  <c r="H722" i="4"/>
  <c r="AE310" i="4"/>
  <c r="AI310" i="4" s="1"/>
  <c r="F1293" i="4"/>
  <c r="AE1189" i="4"/>
  <c r="H49" i="4"/>
  <c r="H173" i="4"/>
  <c r="D9" i="22"/>
  <c r="E1355" i="4"/>
  <c r="E1356" i="4" s="1"/>
  <c r="V1043" i="4"/>
  <c r="V835" i="4"/>
  <c r="V211" i="4"/>
  <c r="V1336" i="4"/>
  <c r="X86" i="20"/>
  <c r="X88" i="20" s="1"/>
  <c r="X102" i="20"/>
  <c r="X104" i="20" s="1"/>
  <c r="X54" i="20"/>
  <c r="X56" i="20" s="1"/>
  <c r="X38" i="20"/>
  <c r="X40" i="20" s="1"/>
  <c r="X22" i="20"/>
  <c r="X24" i="20" s="1"/>
  <c r="X70" i="20"/>
  <c r="X72" i="20" s="1"/>
  <c r="G33" i="19"/>
  <c r="AO33" i="14"/>
  <c r="G97" i="19"/>
  <c r="AO97" i="14"/>
  <c r="V160" i="16"/>
  <c r="BI39" i="19"/>
  <c r="H39" i="19"/>
  <c r="BH39" i="19" s="1"/>
  <c r="C54" i="26" s="1"/>
  <c r="BG39" i="19"/>
  <c r="C54" i="25" s="1"/>
  <c r="AM75" i="14"/>
  <c r="BI91" i="19"/>
  <c r="BE91" i="19"/>
  <c r="C106" i="23" s="1"/>
  <c r="H91" i="19"/>
  <c r="BG91" i="19" s="1"/>
  <c r="C106" i="25" s="1"/>
  <c r="BC91" i="19"/>
  <c r="C106" i="21" s="1"/>
  <c r="BB91" i="19"/>
  <c r="BH91" i="19"/>
  <c r="C106" i="26" s="1"/>
  <c r="BD91" i="19"/>
  <c r="C106" i="22" s="1"/>
  <c r="D89" i="19"/>
  <c r="D105" i="19"/>
  <c r="AE963" i="4"/>
  <c r="AI963" i="4" s="1"/>
  <c r="H963" i="4"/>
  <c r="AE559" i="4"/>
  <c r="AI559" i="4" s="1"/>
  <c r="AA559" i="4"/>
  <c r="H559" i="4"/>
  <c r="H783" i="4"/>
  <c r="AE783" i="4"/>
  <c r="AI783" i="4" s="1"/>
  <c r="AA783" i="4"/>
  <c r="AM58" i="14"/>
  <c r="B58" i="19"/>
  <c r="D58" i="19" s="1"/>
  <c r="H379" i="4"/>
  <c r="AE379" i="4"/>
  <c r="AI379" i="4" s="1"/>
  <c r="F1327" i="4"/>
  <c r="H1223" i="4"/>
  <c r="AE1223" i="4"/>
  <c r="B10" i="26"/>
  <c r="B10" i="25"/>
  <c r="B10" i="24"/>
  <c r="B10" i="23"/>
  <c r="B10" i="22"/>
  <c r="B10" i="18"/>
  <c r="B10" i="21"/>
  <c r="B7" i="25"/>
  <c r="B7" i="24"/>
  <c r="B7" i="26"/>
  <c r="B7" i="23"/>
  <c r="B7" i="22"/>
  <c r="B7" i="18"/>
  <c r="B7" i="21"/>
  <c r="B9" i="26"/>
  <c r="B9" i="25"/>
  <c r="B9" i="24"/>
  <c r="B9" i="23"/>
  <c r="B9" i="22"/>
  <c r="B9" i="18"/>
  <c r="B9" i="21"/>
  <c r="B8" i="25"/>
  <c r="B8" i="24"/>
  <c r="B8" i="26"/>
  <c r="B8" i="23"/>
  <c r="B8" i="22"/>
  <c r="B8" i="18"/>
  <c r="B8" i="21"/>
  <c r="H423" i="4"/>
  <c r="AE423" i="4"/>
  <c r="AI423" i="4" s="1"/>
  <c r="AA423" i="4"/>
  <c r="H216" i="4"/>
  <c r="AE216" i="4"/>
  <c r="AI216" i="4" s="1"/>
  <c r="H425" i="4"/>
  <c r="AE425" i="4"/>
  <c r="AI425" i="4" s="1"/>
  <c r="H218" i="4"/>
  <c r="AE218" i="4"/>
  <c r="AI218" i="4" s="1"/>
  <c r="AA218" i="4"/>
  <c r="H427" i="4"/>
  <c r="AE427" i="4"/>
  <c r="AI427" i="4" s="1"/>
  <c r="AA427" i="4"/>
  <c r="H220" i="4"/>
  <c r="AE220" i="4"/>
  <c r="AI220" i="4" s="1"/>
  <c r="AE429" i="4"/>
  <c r="AI429" i="4" s="1"/>
  <c r="AE222" i="4"/>
  <c r="AI222" i="4" s="1"/>
  <c r="H431" i="4"/>
  <c r="AE431" i="4"/>
  <c r="AI431" i="4" s="1"/>
  <c r="AA431" i="4"/>
  <c r="H224" i="4"/>
  <c r="AE224" i="4"/>
  <c r="AI224" i="4" s="1"/>
  <c r="H433" i="4"/>
  <c r="AE433" i="4"/>
  <c r="AI433" i="4" s="1"/>
  <c r="H226" i="4"/>
  <c r="AE226" i="4"/>
  <c r="AI226" i="4" s="1"/>
  <c r="AA226" i="4"/>
  <c r="H435" i="4"/>
  <c r="AE435" i="4"/>
  <c r="AI435" i="4" s="1"/>
  <c r="AA435" i="4"/>
  <c r="H228" i="4"/>
  <c r="AE228" i="4"/>
  <c r="AI228" i="4" s="1"/>
  <c r="AE437" i="4"/>
  <c r="AI437" i="4" s="1"/>
  <c r="AE230" i="4"/>
  <c r="AI230" i="4" s="1"/>
  <c r="AE856" i="4"/>
  <c r="AI856" i="4" s="1"/>
  <c r="H856" i="4"/>
  <c r="H548" i="4"/>
  <c r="AE548" i="4"/>
  <c r="AI548" i="4" s="1"/>
  <c r="H136" i="4"/>
  <c r="AE136" i="4"/>
  <c r="AI136" i="4" s="1"/>
  <c r="F1288" i="4"/>
  <c r="H1184" i="4"/>
  <c r="AE1184" i="4"/>
  <c r="AE772" i="4"/>
  <c r="AI772" i="4" s="1"/>
  <c r="H772" i="4"/>
  <c r="F1296" i="4"/>
  <c r="H1192" i="4"/>
  <c r="AE1192" i="4"/>
  <c r="AE780" i="4"/>
  <c r="AI780" i="4" s="1"/>
  <c r="H780" i="4"/>
  <c r="F1304" i="4"/>
  <c r="H1200" i="4"/>
  <c r="AE1200" i="4"/>
  <c r="AE788" i="4"/>
  <c r="AI788" i="4" s="1"/>
  <c r="H788" i="4"/>
  <c r="F1312" i="4"/>
  <c r="H1208" i="4"/>
  <c r="AE1208" i="4"/>
  <c r="F1320" i="4"/>
  <c r="H1216" i="4"/>
  <c r="AE1216" i="4"/>
  <c r="AE804" i="4"/>
  <c r="AI804" i="4" s="1"/>
  <c r="H804" i="4"/>
  <c r="AO79" i="14"/>
  <c r="G79" i="19"/>
  <c r="H496" i="4"/>
  <c r="AE496" i="4"/>
  <c r="AI496" i="4" s="1"/>
  <c r="H84" i="4"/>
  <c r="AE84" i="4"/>
  <c r="AI84" i="4" s="1"/>
  <c r="H924" i="4"/>
  <c r="AE924" i="4"/>
  <c r="AI924" i="4" s="1"/>
  <c r="H512" i="4"/>
  <c r="AE512" i="4"/>
  <c r="AI512" i="4" s="1"/>
  <c r="H100" i="4"/>
  <c r="AE100" i="4"/>
  <c r="AI100" i="4" s="1"/>
  <c r="D12" i="26"/>
  <c r="H799" i="4"/>
  <c r="AE799" i="4"/>
  <c r="AI799" i="4" s="1"/>
  <c r="AA799" i="4"/>
  <c r="H915" i="4"/>
  <c r="AE915" i="4"/>
  <c r="AI915" i="4" s="1"/>
  <c r="AA915" i="4"/>
  <c r="H399" i="4"/>
  <c r="AE399" i="4"/>
  <c r="AI399" i="4" s="1"/>
  <c r="H195" i="4"/>
  <c r="AE195" i="4"/>
  <c r="AI195" i="4" s="1"/>
  <c r="V1257" i="4"/>
  <c r="V1259" i="4"/>
  <c r="V1261" i="4"/>
  <c r="V1263" i="4"/>
  <c r="V1265" i="4"/>
  <c r="V1267" i="4"/>
  <c r="V1269" i="4"/>
  <c r="V1271" i="4"/>
  <c r="V1273" i="4"/>
  <c r="V1275" i="4"/>
  <c r="V1277" i="4"/>
  <c r="V1279" i="4"/>
  <c r="V1281" i="4"/>
  <c r="V1305" i="4"/>
  <c r="V1321" i="4"/>
  <c r="V1323" i="4"/>
  <c r="V1325" i="4"/>
  <c r="AA43" i="4"/>
  <c r="H51" i="4"/>
  <c r="H966" i="4"/>
  <c r="AE966" i="4"/>
  <c r="AI966" i="4" s="1"/>
  <c r="AA966" i="4"/>
  <c r="H554" i="4"/>
  <c r="AE554" i="4"/>
  <c r="AI554" i="4" s="1"/>
  <c r="AA554" i="4"/>
  <c r="H38" i="4"/>
  <c r="AE38" i="4"/>
  <c r="AI38" i="4" s="1"/>
  <c r="AE878" i="4"/>
  <c r="AI878" i="4" s="1"/>
  <c r="AA878" i="4"/>
  <c r="H878" i="4"/>
  <c r="AE466" i="4"/>
  <c r="AI466" i="4" s="1"/>
  <c r="AA466" i="4"/>
  <c r="AE54" i="4"/>
  <c r="AI54" i="4" s="1"/>
  <c r="H54" i="4"/>
  <c r="F1310" i="4"/>
  <c r="AE1206" i="4"/>
  <c r="H274" i="4"/>
  <c r="AE274" i="4"/>
  <c r="AI274" i="4" s="1"/>
  <c r="AA274" i="4"/>
  <c r="H1114" i="4"/>
  <c r="AE1114" i="4"/>
  <c r="AI1114" i="4" s="1"/>
  <c r="AA1114" i="4"/>
  <c r="H598" i="4"/>
  <c r="AE598" i="4"/>
  <c r="AI598" i="4" s="1"/>
  <c r="AA598" i="4"/>
  <c r="H186" i="4"/>
  <c r="AE186" i="4"/>
  <c r="AI186" i="4" s="1"/>
  <c r="H1026" i="4"/>
  <c r="AE1026" i="4"/>
  <c r="AI1026" i="4" s="1"/>
  <c r="H614" i="4"/>
  <c r="AE614" i="4"/>
  <c r="AI614" i="4" s="1"/>
  <c r="AA614" i="4"/>
  <c r="H202" i="4"/>
  <c r="AE202" i="4"/>
  <c r="AI202" i="4" s="1"/>
  <c r="H1042" i="4"/>
  <c r="AE1042" i="4"/>
  <c r="AI1042" i="4" s="1"/>
  <c r="W607" i="45"/>
  <c r="CJ45" i="5"/>
  <c r="F1329" i="4"/>
  <c r="AE1225" i="4"/>
  <c r="H1225" i="4"/>
  <c r="H85" i="4"/>
  <c r="Z1355" i="4"/>
  <c r="Z1356" i="4" s="1"/>
  <c r="U1348" i="4"/>
  <c r="Y1244" i="4"/>
  <c r="Y1140" i="4"/>
  <c r="Y1036" i="4"/>
  <c r="Y932" i="4"/>
  <c r="Y828" i="4"/>
  <c r="AA828" i="4" s="1"/>
  <c r="Y724" i="4"/>
  <c r="AA724" i="4" s="1"/>
  <c r="Y620" i="4"/>
  <c r="AA620" i="4" s="1"/>
  <c r="Y516" i="4"/>
  <c r="Y412" i="4"/>
  <c r="Y308" i="4"/>
  <c r="Y204" i="4"/>
  <c r="Y100" i="4"/>
  <c r="AA100" i="4" s="1"/>
  <c r="U1352" i="4"/>
  <c r="Y1248" i="4"/>
  <c r="Y1144" i="4"/>
  <c r="Y1040" i="4"/>
  <c r="Y936" i="4"/>
  <c r="Y832" i="4"/>
  <c r="Y728" i="4"/>
  <c r="Y624" i="4"/>
  <c r="Y520" i="4"/>
  <c r="Y416" i="4"/>
  <c r="Y312" i="4"/>
  <c r="AA312" i="4" s="1"/>
  <c r="Y208" i="4"/>
  <c r="AA208" i="4" s="1"/>
  <c r="Y104" i="4"/>
  <c r="AA104" i="4" s="1"/>
  <c r="U1354" i="4"/>
  <c r="Y1250" i="4"/>
  <c r="Y1146" i="4"/>
  <c r="Y1042" i="4"/>
  <c r="AA1042" i="4" s="1"/>
  <c r="Y938" i="4"/>
  <c r="Y834" i="4"/>
  <c r="Y730" i="4"/>
  <c r="Y626" i="4"/>
  <c r="Y522" i="4"/>
  <c r="Y418" i="4"/>
  <c r="Y314" i="4"/>
  <c r="Y210" i="4"/>
  <c r="Y106" i="4"/>
  <c r="V121" i="16"/>
  <c r="R41" i="5"/>
  <c r="D41" i="5"/>
  <c r="C73" i="28" s="1"/>
  <c r="D34" i="68"/>
  <c r="U366" i="45"/>
  <c r="U615" i="45"/>
  <c r="D14" i="21"/>
  <c r="AT43" i="62"/>
  <c r="BH43" i="62" s="1"/>
  <c r="D8" i="21"/>
  <c r="X511" i="45"/>
  <c r="H37" i="19"/>
  <c r="BB37" i="19" s="1"/>
  <c r="G45" i="19"/>
  <c r="AO45" i="14"/>
  <c r="R9" i="20"/>
  <c r="AM79" i="14"/>
  <c r="AN60" i="19"/>
  <c r="AO60" i="19" s="1"/>
  <c r="AM61" i="14"/>
  <c r="AN92" i="19"/>
  <c r="AO92" i="19" s="1"/>
  <c r="AO91" i="14"/>
  <c r="G91" i="19"/>
  <c r="AK22" i="19"/>
  <c r="AG22" i="19"/>
  <c r="AJ22" i="19"/>
  <c r="AF22" i="19"/>
  <c r="AM22" i="19"/>
  <c r="AI22" i="19"/>
  <c r="AL22" i="19"/>
  <c r="AH22" i="19"/>
  <c r="H859" i="4"/>
  <c r="AE859" i="4"/>
  <c r="AI859" i="4" s="1"/>
  <c r="AA859" i="4"/>
  <c r="H455" i="4"/>
  <c r="AE455" i="4"/>
  <c r="AI455" i="4" s="1"/>
  <c r="H263" i="4"/>
  <c r="AE263" i="4"/>
  <c r="AI263" i="4" s="1"/>
  <c r="AA263" i="4"/>
  <c r="AE691" i="4"/>
  <c r="AI691" i="4" s="1"/>
  <c r="AA691" i="4"/>
  <c r="H691" i="4"/>
  <c r="H1119" i="4"/>
  <c r="AE1119" i="4"/>
  <c r="AI1119" i="4" s="1"/>
  <c r="H319" i="4"/>
  <c r="AE319" i="4"/>
  <c r="AI319" i="4" s="1"/>
  <c r="AE528" i="4"/>
  <c r="AI528" i="4" s="1"/>
  <c r="H737" i="4"/>
  <c r="AE737" i="4"/>
  <c r="AI737" i="4" s="1"/>
  <c r="AE946" i="4"/>
  <c r="AI946" i="4" s="1"/>
  <c r="F1261" i="4"/>
  <c r="AE1157" i="4"/>
  <c r="H118" i="4"/>
  <c r="AE118" i="4"/>
  <c r="AI118" i="4" s="1"/>
  <c r="AA118" i="4"/>
  <c r="H327" i="4"/>
  <c r="AE327" i="4"/>
  <c r="AI327" i="4" s="1"/>
  <c r="AA327" i="4"/>
  <c r="AE536" i="4"/>
  <c r="AI536" i="4" s="1"/>
  <c r="H745" i="4"/>
  <c r="AE745" i="4"/>
  <c r="AI745" i="4" s="1"/>
  <c r="AE954" i="4"/>
  <c r="AI954" i="4" s="1"/>
  <c r="F1269" i="4"/>
  <c r="AE1165" i="4"/>
  <c r="H126" i="4"/>
  <c r="AE126" i="4"/>
  <c r="AI126" i="4" s="1"/>
  <c r="AA126" i="4"/>
  <c r="H336" i="4"/>
  <c r="AE336" i="4"/>
  <c r="AI336" i="4" s="1"/>
  <c r="G27" i="4"/>
  <c r="G131" i="4" s="1"/>
  <c r="I27" i="14"/>
  <c r="H28" i="4"/>
  <c r="AE28" i="4"/>
  <c r="AI28" i="4" s="1"/>
  <c r="H972" i="4"/>
  <c r="AE972" i="4"/>
  <c r="AI972" i="4" s="1"/>
  <c r="H664" i="4"/>
  <c r="AE664" i="4"/>
  <c r="AI664" i="4" s="1"/>
  <c r="H252" i="4"/>
  <c r="AE252" i="4"/>
  <c r="AI252" i="4" s="1"/>
  <c r="H1092" i="4"/>
  <c r="AE1092" i="4"/>
  <c r="AI1092" i="4" s="1"/>
  <c r="H680" i="4"/>
  <c r="AE680" i="4"/>
  <c r="AI680" i="4" s="1"/>
  <c r="H268" i="4"/>
  <c r="AE268" i="4"/>
  <c r="AI268" i="4" s="1"/>
  <c r="F1316" i="4"/>
  <c r="H1212" i="4"/>
  <c r="AE1212" i="4"/>
  <c r="H280" i="4"/>
  <c r="AE280" i="4"/>
  <c r="AI280" i="4" s="1"/>
  <c r="F1328" i="4"/>
  <c r="AE1224" i="4"/>
  <c r="H1224" i="4"/>
  <c r="AE812" i="4"/>
  <c r="AI812" i="4" s="1"/>
  <c r="H812" i="4"/>
  <c r="F1336" i="4"/>
  <c r="AE1232" i="4"/>
  <c r="AE820" i="4"/>
  <c r="AI820" i="4" s="1"/>
  <c r="H820" i="4"/>
  <c r="F1344" i="4"/>
  <c r="AE1240" i="4"/>
  <c r="AE828" i="4"/>
  <c r="AI828" i="4" s="1"/>
  <c r="H828" i="4"/>
  <c r="F1352" i="4"/>
  <c r="AE1248" i="4"/>
  <c r="D6" i="25"/>
  <c r="D12" i="24"/>
  <c r="AA607" i="45"/>
  <c r="V120" i="16"/>
  <c r="R40" i="5"/>
  <c r="D40" i="5"/>
  <c r="C72" i="28" s="1"/>
  <c r="U614" i="45"/>
  <c r="D33" i="68"/>
  <c r="U365" i="45"/>
  <c r="F1331" i="4"/>
  <c r="H1227" i="4"/>
  <c r="AE1227" i="4"/>
  <c r="AA1227" i="4"/>
  <c r="F1335" i="4"/>
  <c r="H1231" i="4"/>
  <c r="AE1231" i="4"/>
  <c r="H91" i="4"/>
  <c r="AE91" i="4"/>
  <c r="AI91" i="4" s="1"/>
  <c r="AF30" i="5"/>
  <c r="AM47" i="62"/>
  <c r="AM23" i="62"/>
  <c r="S105" i="20"/>
  <c r="S73" i="20"/>
  <c r="S57" i="20"/>
  <c r="S41" i="20"/>
  <c r="S25" i="20"/>
  <c r="S89" i="20"/>
  <c r="Z161" i="16"/>
  <c r="F1291" i="4"/>
  <c r="H1187" i="4"/>
  <c r="AE1187" i="4"/>
  <c r="AA1187" i="4"/>
  <c r="F1295" i="4"/>
  <c r="H1191" i="4"/>
  <c r="AE1191" i="4"/>
  <c r="AA1191" i="4"/>
  <c r="F1299" i="4"/>
  <c r="H1195" i="4"/>
  <c r="AE1195" i="4"/>
  <c r="AA199" i="4"/>
  <c r="I11" i="18"/>
  <c r="F11" i="18"/>
  <c r="D11" i="18" s="1"/>
  <c r="AE862" i="4"/>
  <c r="AI862" i="4" s="1"/>
  <c r="AA862" i="4"/>
  <c r="H862" i="4"/>
  <c r="H450" i="4"/>
  <c r="AE450" i="4"/>
  <c r="AI450" i="4" s="1"/>
  <c r="AE766" i="4"/>
  <c r="AI766" i="4" s="1"/>
  <c r="AA766" i="4"/>
  <c r="H766" i="4"/>
  <c r="F1290" i="4"/>
  <c r="H1186" i="4"/>
  <c r="AE1186" i="4"/>
  <c r="AA1186" i="4"/>
  <c r="AE774" i="4"/>
  <c r="AI774" i="4" s="1"/>
  <c r="AA774" i="4"/>
  <c r="H774" i="4"/>
  <c r="F1298" i="4"/>
  <c r="H1194" i="4"/>
  <c r="AE1194" i="4"/>
  <c r="AA1194" i="4"/>
  <c r="AE782" i="4"/>
  <c r="AI782" i="4" s="1"/>
  <c r="AA782" i="4"/>
  <c r="H782" i="4"/>
  <c r="F1306" i="4"/>
  <c r="H1202" i="4"/>
  <c r="AE1202" i="4"/>
  <c r="AA1202" i="4"/>
  <c r="H270" i="4"/>
  <c r="AE270" i="4"/>
  <c r="AI270" i="4" s="1"/>
  <c r="H1006" i="4"/>
  <c r="AE1006" i="4"/>
  <c r="AI1006" i="4" s="1"/>
  <c r="AA1006" i="4"/>
  <c r="H594" i="4"/>
  <c r="AE594" i="4"/>
  <c r="AI594" i="4" s="1"/>
  <c r="H78" i="4"/>
  <c r="AE78" i="4"/>
  <c r="AI78" i="4" s="1"/>
  <c r="AE814" i="4"/>
  <c r="AI814" i="4" s="1"/>
  <c r="H814" i="4"/>
  <c r="H506" i="4"/>
  <c r="AE506" i="4"/>
  <c r="AI506" i="4" s="1"/>
  <c r="H94" i="4"/>
  <c r="AE94" i="4"/>
  <c r="AI94" i="4" s="1"/>
  <c r="AA94" i="4"/>
  <c r="H934" i="4"/>
  <c r="AE934" i="4"/>
  <c r="AI934" i="4" s="1"/>
  <c r="H522" i="4"/>
  <c r="AE522" i="4"/>
  <c r="AI522" i="4" s="1"/>
  <c r="AA522" i="4"/>
  <c r="H133" i="4"/>
  <c r="F1317" i="4"/>
  <c r="AE1213" i="4"/>
  <c r="H73" i="4"/>
  <c r="H197" i="4"/>
  <c r="V939" i="4"/>
  <c r="V315" i="4"/>
  <c r="V107" i="4"/>
  <c r="V1258" i="4"/>
  <c r="V1260" i="4"/>
  <c r="V1268" i="4"/>
  <c r="V1276" i="4"/>
  <c r="V1278" i="4"/>
  <c r="V1286" i="4"/>
  <c r="V1288" i="4"/>
  <c r="V1294" i="4"/>
  <c r="V1296" i="4"/>
  <c r="V1316" i="4"/>
  <c r="V1326" i="4"/>
  <c r="V1344" i="4"/>
  <c r="BO47" i="62"/>
  <c r="BO23" i="62"/>
  <c r="CQ25" i="5"/>
  <c r="DE25" i="5" s="1"/>
  <c r="DS25" i="5" s="1"/>
  <c r="EG25" i="5" s="1"/>
  <c r="CE25" i="5"/>
  <c r="AE42" i="16"/>
  <c r="AA42" i="16"/>
  <c r="W42" i="16"/>
  <c r="AH42" i="16"/>
  <c r="AD42" i="16"/>
  <c r="Z42" i="16"/>
  <c r="AG42" i="16"/>
  <c r="AC42" i="16"/>
  <c r="Y42" i="16"/>
  <c r="AF42" i="16"/>
  <c r="AB42" i="16"/>
  <c r="X42" i="16"/>
  <c r="AM46" i="14"/>
  <c r="B46" i="19"/>
  <c r="AE78" i="16"/>
  <c r="AA78" i="16"/>
  <c r="W78" i="16"/>
  <c r="AH78" i="16"/>
  <c r="AD78" i="16"/>
  <c r="Z78" i="16"/>
  <c r="AG78" i="16"/>
  <c r="AC78" i="16"/>
  <c r="Y78" i="16"/>
  <c r="AF78" i="16"/>
  <c r="AB78" i="16"/>
  <c r="X78" i="16"/>
  <c r="AE44" i="16"/>
  <c r="AA44" i="16"/>
  <c r="W44" i="16"/>
  <c r="AH44" i="16"/>
  <c r="AD44" i="16"/>
  <c r="Z44" i="16"/>
  <c r="AG44" i="16"/>
  <c r="AC44" i="16"/>
  <c r="Y44" i="16"/>
  <c r="AF44" i="16"/>
  <c r="AB44" i="16"/>
  <c r="X44" i="16"/>
  <c r="AE48" i="16"/>
  <c r="AA48" i="16"/>
  <c r="W48" i="16"/>
  <c r="AH48" i="16"/>
  <c r="AD48" i="16"/>
  <c r="Z48" i="16"/>
  <c r="AG48" i="16"/>
  <c r="AC48" i="16"/>
  <c r="Y48" i="16"/>
  <c r="AF48" i="16"/>
  <c r="AB48" i="16"/>
  <c r="X48" i="16"/>
  <c r="AE26" i="16"/>
  <c r="AA26" i="16"/>
  <c r="W26" i="16"/>
  <c r="AH26" i="16"/>
  <c r="AD26" i="16"/>
  <c r="Z26" i="16"/>
  <c r="AG26" i="16"/>
  <c r="AC26" i="16"/>
  <c r="Y26" i="16"/>
  <c r="AF26" i="16"/>
  <c r="AB26" i="16"/>
  <c r="X26" i="16"/>
  <c r="AM82" i="14"/>
  <c r="B82" i="19"/>
  <c r="D82" i="19" s="1"/>
  <c r="AE94" i="16"/>
  <c r="AA94" i="16"/>
  <c r="W94" i="16"/>
  <c r="AH94" i="16"/>
  <c r="AD94" i="16"/>
  <c r="Z94" i="16"/>
  <c r="AG94" i="16"/>
  <c r="AC94" i="16"/>
  <c r="Y94" i="16"/>
  <c r="AF94" i="16"/>
  <c r="AB94" i="16"/>
  <c r="X94" i="16"/>
  <c r="B98" i="19"/>
  <c r="D98" i="19" s="1"/>
  <c r="AM98" i="14"/>
  <c r="AE24" i="16"/>
  <c r="AA24" i="16"/>
  <c r="W24" i="16"/>
  <c r="AH24" i="16"/>
  <c r="AD24" i="16"/>
  <c r="Z24" i="16"/>
  <c r="AG24" i="16"/>
  <c r="AC24" i="16"/>
  <c r="Y24" i="16"/>
  <c r="AF24" i="16"/>
  <c r="AB24" i="16"/>
  <c r="X24" i="16"/>
  <c r="AI28" i="14"/>
  <c r="C28" i="19" s="1"/>
  <c r="B76" i="19"/>
  <c r="AM76" i="14"/>
  <c r="AE80" i="16"/>
  <c r="AA80" i="16"/>
  <c r="W80" i="16"/>
  <c r="AH80" i="16"/>
  <c r="AD80" i="16"/>
  <c r="Z80" i="16"/>
  <c r="AG80" i="16"/>
  <c r="AC80" i="16"/>
  <c r="Y80" i="16"/>
  <c r="AF80" i="16"/>
  <c r="AB80" i="16"/>
  <c r="X80" i="16"/>
  <c r="B84" i="19"/>
  <c r="D84" i="19" s="1"/>
  <c r="AM84" i="14"/>
  <c r="AE92" i="16"/>
  <c r="AA92" i="16"/>
  <c r="W92" i="16"/>
  <c r="AH92" i="16"/>
  <c r="AD92" i="16"/>
  <c r="Z92" i="16"/>
  <c r="AG92" i="16"/>
  <c r="AC92" i="16"/>
  <c r="Y92" i="16"/>
  <c r="AF92" i="16"/>
  <c r="AB92" i="16"/>
  <c r="X92" i="16"/>
  <c r="B96" i="19"/>
  <c r="AM96" i="14"/>
  <c r="AI100" i="14"/>
  <c r="C100" i="19" s="1"/>
  <c r="AE30" i="16"/>
  <c r="AA30" i="16"/>
  <c r="W30" i="16"/>
  <c r="AH30" i="16"/>
  <c r="AD30" i="16"/>
  <c r="Z30" i="16"/>
  <c r="AG30" i="16"/>
  <c r="AC30" i="16"/>
  <c r="Y30" i="16"/>
  <c r="AF30" i="16"/>
  <c r="AB30" i="16"/>
  <c r="X30" i="16"/>
  <c r="AM34" i="14"/>
  <c r="B34" i="19"/>
  <c r="D34" i="19" s="1"/>
  <c r="B68" i="19"/>
  <c r="AM68" i="14"/>
  <c r="AE60" i="16"/>
  <c r="AA60" i="16"/>
  <c r="W60" i="16"/>
  <c r="AH60" i="16"/>
  <c r="AD60" i="16"/>
  <c r="Z60" i="16"/>
  <c r="AG60" i="16"/>
  <c r="AC60" i="16"/>
  <c r="Y60" i="16"/>
  <c r="AF60" i="16"/>
  <c r="AB60" i="16"/>
  <c r="X60" i="16"/>
  <c r="BE41" i="19"/>
  <c r="C56" i="23" s="1"/>
  <c r="H41" i="19"/>
  <c r="BG41" i="19" s="1"/>
  <c r="C56" i="25" s="1"/>
  <c r="G41" i="19"/>
  <c r="AO41" i="14"/>
  <c r="G105" i="19"/>
  <c r="AO105" i="14"/>
  <c r="H65" i="19"/>
  <c r="BD65" i="19" s="1"/>
  <c r="C80" i="22" s="1"/>
  <c r="AO103" i="14"/>
  <c r="G103" i="19"/>
  <c r="H335" i="4"/>
  <c r="AE335" i="4"/>
  <c r="AI335" i="4" s="1"/>
  <c r="AA335" i="4"/>
  <c r="H339" i="4"/>
  <c r="AE339" i="4"/>
  <c r="AI339" i="4" s="1"/>
  <c r="AA339" i="4"/>
  <c r="H351" i="4"/>
  <c r="AE351" i="4"/>
  <c r="AI351" i="4" s="1"/>
  <c r="AA351" i="4"/>
  <c r="AE991" i="4"/>
  <c r="AI991" i="4" s="1"/>
  <c r="AA991" i="4"/>
  <c r="H991" i="4"/>
  <c r="AE62" i="16"/>
  <c r="AA62" i="16"/>
  <c r="W62" i="16"/>
  <c r="AH62" i="16"/>
  <c r="AD62" i="16"/>
  <c r="Z62" i="16"/>
  <c r="AG62" i="16"/>
  <c r="AC62" i="16"/>
  <c r="Y62" i="16"/>
  <c r="AF62" i="16"/>
  <c r="AB62" i="16"/>
  <c r="X62" i="16"/>
  <c r="AE171" i="4"/>
  <c r="AI171" i="4" s="1"/>
  <c r="AE1015" i="4"/>
  <c r="AI1015" i="4" s="1"/>
  <c r="H1015" i="4"/>
  <c r="H1047" i="4"/>
  <c r="AE1047" i="4"/>
  <c r="AI1047" i="4" s="1"/>
  <c r="AA1047" i="4"/>
  <c r="U7" i="16"/>
  <c r="AH7" i="14"/>
  <c r="AI7" i="14" s="1"/>
  <c r="C7" i="19" s="1"/>
  <c r="AE1049" i="4"/>
  <c r="AI1049" i="4" s="1"/>
  <c r="U9" i="16"/>
  <c r="AH9" i="14"/>
  <c r="H1051" i="4"/>
  <c r="AE1051" i="4"/>
  <c r="AI1051" i="4" s="1"/>
  <c r="AA1051" i="4"/>
  <c r="U11" i="16"/>
  <c r="AH11" i="14"/>
  <c r="AI11" i="14" s="1"/>
  <c r="C11" i="19" s="1"/>
  <c r="H1053" i="4"/>
  <c r="AE1053" i="4"/>
  <c r="AI1053" i="4" s="1"/>
  <c r="U13" i="16"/>
  <c r="AH13" i="14"/>
  <c r="H1055" i="4"/>
  <c r="AE1055" i="4"/>
  <c r="AI1055" i="4" s="1"/>
  <c r="U15" i="16"/>
  <c r="AH15" i="14"/>
  <c r="AE1057" i="4"/>
  <c r="AI1057" i="4" s="1"/>
  <c r="U17" i="16"/>
  <c r="AH17" i="14"/>
  <c r="AI17" i="14" s="1"/>
  <c r="C17" i="19" s="1"/>
  <c r="H1059" i="4"/>
  <c r="AE1059" i="4"/>
  <c r="AI1059" i="4" s="1"/>
  <c r="AA1059" i="4"/>
  <c r="H1061" i="4"/>
  <c r="AE1061" i="4"/>
  <c r="AI1061" i="4" s="1"/>
  <c r="AE1064" i="4"/>
  <c r="AI1064" i="4" s="1"/>
  <c r="AE344" i="4"/>
  <c r="AI344" i="4" s="1"/>
  <c r="G35" i="4"/>
  <c r="I35" i="14"/>
  <c r="H36" i="4"/>
  <c r="AE36" i="4"/>
  <c r="AI36" i="4" s="1"/>
  <c r="H980" i="4"/>
  <c r="AE980" i="4"/>
  <c r="AI980" i="4" s="1"/>
  <c r="AE568" i="4"/>
  <c r="AI568" i="4" s="1"/>
  <c r="H156" i="4"/>
  <c r="AE156" i="4"/>
  <c r="AI156" i="4" s="1"/>
  <c r="H996" i="4"/>
  <c r="AE996" i="4"/>
  <c r="AI996" i="4" s="1"/>
  <c r="AE584" i="4"/>
  <c r="AI584" i="4" s="1"/>
  <c r="H276" i="4"/>
  <c r="AE276" i="4"/>
  <c r="AI276" i="4" s="1"/>
  <c r="H1012" i="4"/>
  <c r="AE1012" i="4"/>
  <c r="AI1012" i="4" s="1"/>
  <c r="H704" i="4"/>
  <c r="AE704" i="4"/>
  <c r="AI704" i="4" s="1"/>
  <c r="H292" i="4"/>
  <c r="AE292" i="4"/>
  <c r="AI292" i="4" s="1"/>
  <c r="AE1132" i="4"/>
  <c r="AI1132" i="4" s="1"/>
  <c r="AE720" i="4"/>
  <c r="AI720" i="4" s="1"/>
  <c r="H720" i="4"/>
  <c r="H308" i="4"/>
  <c r="AE308" i="4"/>
  <c r="AI308" i="4" s="1"/>
  <c r="AA308" i="4"/>
  <c r="AE1007" i="4"/>
  <c r="AI1007" i="4" s="1"/>
  <c r="AA1007" i="4"/>
  <c r="H1007" i="4"/>
  <c r="AE603" i="4"/>
  <c r="AI603" i="4" s="1"/>
  <c r="AA603" i="4"/>
  <c r="H503" i="4"/>
  <c r="AE503" i="4"/>
  <c r="AI503" i="4" s="1"/>
  <c r="H299" i="4"/>
  <c r="AE299" i="4"/>
  <c r="AI299" i="4" s="1"/>
  <c r="AE515" i="4"/>
  <c r="AI515" i="4" s="1"/>
  <c r="H515" i="4"/>
  <c r="AH192" i="16"/>
  <c r="AD192" i="16"/>
  <c r="Z192" i="16"/>
  <c r="AG192" i="16"/>
  <c r="AC192" i="16"/>
  <c r="Y192" i="16"/>
  <c r="U192" i="16"/>
  <c r="AF192" i="16"/>
  <c r="AB192" i="16"/>
  <c r="X192" i="16"/>
  <c r="AE192" i="16"/>
  <c r="AA192" i="16"/>
  <c r="W192" i="16"/>
  <c r="CX25" i="5"/>
  <c r="DL25" i="5" s="1"/>
  <c r="DZ25" i="5" s="1"/>
  <c r="EN25" i="5" s="1"/>
  <c r="H338" i="4"/>
  <c r="AE338" i="4"/>
  <c r="AI338" i="4" s="1"/>
  <c r="AA338" i="4"/>
  <c r="H346" i="4"/>
  <c r="AE346" i="4"/>
  <c r="AI346" i="4" s="1"/>
  <c r="AA346" i="4"/>
  <c r="H662" i="4"/>
  <c r="AE662" i="4"/>
  <c r="AI662" i="4" s="1"/>
  <c r="AA662" i="4"/>
  <c r="H250" i="4"/>
  <c r="AE250" i="4"/>
  <c r="AI250" i="4" s="1"/>
  <c r="AA250" i="4"/>
  <c r="H1090" i="4"/>
  <c r="AE1090" i="4"/>
  <c r="AI1090" i="4" s="1"/>
  <c r="AA1090" i="4"/>
  <c r="H678" i="4"/>
  <c r="AE678" i="4"/>
  <c r="AI678" i="4" s="1"/>
  <c r="AA678" i="4"/>
  <c r="H266" i="4"/>
  <c r="AE266" i="4"/>
  <c r="AI266" i="4" s="1"/>
  <c r="AA266" i="4"/>
  <c r="AE898" i="4"/>
  <c r="AI898" i="4" s="1"/>
  <c r="AA898" i="4"/>
  <c r="H898" i="4"/>
  <c r="H486" i="4"/>
  <c r="AE486" i="4"/>
  <c r="AI486" i="4" s="1"/>
  <c r="AA486" i="4"/>
  <c r="H74" i="4"/>
  <c r="AE74" i="4"/>
  <c r="AI74" i="4" s="1"/>
  <c r="AA74" i="4"/>
  <c r="H390" i="4"/>
  <c r="AE390" i="4"/>
  <c r="AI390" i="4" s="1"/>
  <c r="AA390" i="4"/>
  <c r="H398" i="4"/>
  <c r="AE398" i="4"/>
  <c r="AI398" i="4" s="1"/>
  <c r="H406" i="4"/>
  <c r="AE406" i="4"/>
  <c r="AI406" i="4" s="1"/>
  <c r="AA406" i="4"/>
  <c r="H414" i="4"/>
  <c r="AE414" i="4"/>
  <c r="AI414" i="4" s="1"/>
  <c r="D10" i="21"/>
  <c r="Y33" i="5"/>
  <c r="W608" i="45"/>
  <c r="CQ33" i="5"/>
  <c r="AG608" i="45"/>
  <c r="DE33" i="5"/>
  <c r="AI608" i="45"/>
  <c r="F1305" i="4"/>
  <c r="H1201" i="4"/>
  <c r="AE1201" i="4"/>
  <c r="U1256" i="4"/>
  <c r="Y1152" i="4"/>
  <c r="Y1048" i="4"/>
  <c r="Y944" i="4"/>
  <c r="Y840" i="4"/>
  <c r="Y736" i="4"/>
  <c r="Y632" i="4"/>
  <c r="Y528" i="4"/>
  <c r="AA528" i="4" s="1"/>
  <c r="Y424" i="4"/>
  <c r="Y320" i="4"/>
  <c r="Y216" i="4"/>
  <c r="AA216" i="4" s="1"/>
  <c r="Y112" i="4"/>
  <c r="AA112" i="4" s="1"/>
  <c r="Y8" i="4"/>
  <c r="AA8" i="4" s="1"/>
  <c r="U1260" i="4"/>
  <c r="Y1156" i="4"/>
  <c r="Y1052" i="4"/>
  <c r="Y948" i="4"/>
  <c r="Y844" i="4"/>
  <c r="Y740" i="4"/>
  <c r="Y636" i="4"/>
  <c r="Y532" i="4"/>
  <c r="Y428" i="4"/>
  <c r="Y324" i="4"/>
  <c r="AA324" i="4" s="1"/>
  <c r="Y220" i="4"/>
  <c r="AA220" i="4" s="1"/>
  <c r="Y116" i="4"/>
  <c r="AA116" i="4" s="1"/>
  <c r="Y12" i="4"/>
  <c r="AA12" i="4" s="1"/>
  <c r="U1264" i="4"/>
  <c r="Y1160" i="4"/>
  <c r="Y1056" i="4"/>
  <c r="Y952" i="4"/>
  <c r="Y848" i="4"/>
  <c r="Y744" i="4"/>
  <c r="AA744" i="4" s="1"/>
  <c r="Y640" i="4"/>
  <c r="Y536" i="4"/>
  <c r="Y432" i="4"/>
  <c r="Y328" i="4"/>
  <c r="Y224" i="4"/>
  <c r="AA224" i="4" s="1"/>
  <c r="Y120" i="4"/>
  <c r="Y16" i="4"/>
  <c r="AA16" i="4" s="1"/>
  <c r="U1268" i="4"/>
  <c r="Y1164" i="4"/>
  <c r="Y1060" i="4"/>
  <c r="Y956" i="4"/>
  <c r="Y852" i="4"/>
  <c r="Y748" i="4"/>
  <c r="Y644" i="4"/>
  <c r="Y540" i="4"/>
  <c r="Y436" i="4"/>
  <c r="Y332" i="4"/>
  <c r="AA332" i="4" s="1"/>
  <c r="Y228" i="4"/>
  <c r="AA228" i="4" s="1"/>
  <c r="Y124" i="4"/>
  <c r="AA124" i="4" s="1"/>
  <c r="Y20" i="4"/>
  <c r="AA20" i="4" s="1"/>
  <c r="U1272" i="4"/>
  <c r="Y1168" i="4"/>
  <c r="Y1064" i="4"/>
  <c r="Y960" i="4"/>
  <c r="AA960" i="4" s="1"/>
  <c r="Y856" i="4"/>
  <c r="AA856" i="4" s="1"/>
  <c r="Y752" i="4"/>
  <c r="Y648" i="4"/>
  <c r="Y544" i="4"/>
  <c r="Y440" i="4"/>
  <c r="AA440" i="4" s="1"/>
  <c r="Y336" i="4"/>
  <c r="Y232" i="4"/>
  <c r="Y128" i="4"/>
  <c r="Y24" i="4"/>
  <c r="U1276" i="4"/>
  <c r="Y1172" i="4"/>
  <c r="Y1068" i="4"/>
  <c r="Y964" i="4"/>
  <c r="Y860" i="4"/>
  <c r="Y756" i="4"/>
  <c r="Y652" i="4"/>
  <c r="AA652" i="4" s="1"/>
  <c r="Y548" i="4"/>
  <c r="AA548" i="4" s="1"/>
  <c r="Y444" i="4"/>
  <c r="Y340" i="4"/>
  <c r="Y236" i="4"/>
  <c r="AA236" i="4" s="1"/>
  <c r="Y132" i="4"/>
  <c r="AA132" i="4" s="1"/>
  <c r="Y28" i="4"/>
  <c r="AA28" i="4" s="1"/>
  <c r="U1280" i="4"/>
  <c r="Y1176" i="4"/>
  <c r="Y1072" i="4"/>
  <c r="Y968" i="4"/>
  <c r="Y864" i="4"/>
  <c r="Y760" i="4"/>
  <c r="AA760" i="4" s="1"/>
  <c r="Y656" i="4"/>
  <c r="Y552" i="4"/>
  <c r="Y448" i="4"/>
  <c r="Y344" i="4"/>
  <c r="AA344" i="4" s="1"/>
  <c r="Y240" i="4"/>
  <c r="AA240" i="4" s="1"/>
  <c r="Y136" i="4"/>
  <c r="AA136" i="4" s="1"/>
  <c r="Y32" i="4"/>
  <c r="AA32" i="4" s="1"/>
  <c r="U1284" i="4"/>
  <c r="Y1180" i="4"/>
  <c r="AA1180" i="4" s="1"/>
  <c r="Y1076" i="4"/>
  <c r="Y972" i="4"/>
  <c r="AA972" i="4" s="1"/>
  <c r="Y868" i="4"/>
  <c r="Y764" i="4"/>
  <c r="Y660" i="4"/>
  <c r="Y556" i="4"/>
  <c r="Y452" i="4"/>
  <c r="AA452" i="4" s="1"/>
  <c r="Y348" i="4"/>
  <c r="AA348" i="4" s="1"/>
  <c r="Y244" i="4"/>
  <c r="Y140" i="4"/>
  <c r="Y36" i="4"/>
  <c r="AA36" i="4" s="1"/>
  <c r="U1288" i="4"/>
  <c r="Y1184" i="4"/>
  <c r="AA1184" i="4" s="1"/>
  <c r="Y1080" i="4"/>
  <c r="Y976" i="4"/>
  <c r="Y872" i="4"/>
  <c r="Y768" i="4"/>
  <c r="Y664" i="4"/>
  <c r="AA664" i="4" s="1"/>
  <c r="Y560" i="4"/>
  <c r="Y456" i="4"/>
  <c r="Y352" i="4"/>
  <c r="Y248" i="4"/>
  <c r="Y144" i="4"/>
  <c r="AA144" i="4" s="1"/>
  <c r="Y40" i="4"/>
  <c r="AA40" i="4" s="1"/>
  <c r="U1292" i="4"/>
  <c r="Y1188" i="4"/>
  <c r="Y1084" i="4"/>
  <c r="Y980" i="4"/>
  <c r="AA980" i="4" s="1"/>
  <c r="Y876" i="4"/>
  <c r="Y772" i="4"/>
  <c r="AA772" i="4" s="1"/>
  <c r="Y668" i="4"/>
  <c r="Y564" i="4"/>
  <c r="AA564" i="4" s="1"/>
  <c r="Y460" i="4"/>
  <c r="Y356" i="4"/>
  <c r="Y252" i="4"/>
  <c r="AA252" i="4" s="1"/>
  <c r="Y148" i="4"/>
  <c r="AA148" i="4" s="1"/>
  <c r="Y44" i="4"/>
  <c r="AA44" i="4" s="1"/>
  <c r="U1296" i="4"/>
  <c r="Y1192" i="4"/>
  <c r="Y1088" i="4"/>
  <c r="Y984" i="4"/>
  <c r="AA984" i="4" s="1"/>
  <c r="Y880" i="4"/>
  <c r="AA880" i="4" s="1"/>
  <c r="Y776" i="4"/>
  <c r="Y672" i="4"/>
  <c r="Y568" i="4"/>
  <c r="Y464" i="4"/>
  <c r="Y360" i="4"/>
  <c r="Y256" i="4"/>
  <c r="Y152" i="4"/>
  <c r="Y48" i="4"/>
  <c r="U1300" i="4"/>
  <c r="Y1196" i="4"/>
  <c r="Y1092" i="4"/>
  <c r="AA1092" i="4" s="1"/>
  <c r="Y988" i="4"/>
  <c r="Y884" i="4"/>
  <c r="Y780" i="4"/>
  <c r="AA780" i="4" s="1"/>
  <c r="Y676" i="4"/>
  <c r="Y572" i="4"/>
  <c r="AA572" i="4" s="1"/>
  <c r="Y468" i="4"/>
  <c r="AA468" i="4" s="1"/>
  <c r="Y364" i="4"/>
  <c r="AA364" i="4" s="1"/>
  <c r="Y260" i="4"/>
  <c r="Y156" i="4"/>
  <c r="AA156" i="4" s="1"/>
  <c r="Y52" i="4"/>
  <c r="AA52" i="4" s="1"/>
  <c r="U1304" i="4"/>
  <c r="Y1200" i="4"/>
  <c r="AA1200" i="4" s="1"/>
  <c r="Y1096" i="4"/>
  <c r="Y992" i="4"/>
  <c r="Y888" i="4"/>
  <c r="AA888" i="4" s="1"/>
  <c r="Y784" i="4"/>
  <c r="Y680" i="4"/>
  <c r="AA680" i="4" s="1"/>
  <c r="Y576" i="4"/>
  <c r="Y472" i="4"/>
  <c r="Y368" i="4"/>
  <c r="Y264" i="4"/>
  <c r="Y160" i="4"/>
  <c r="AA160" i="4" s="1"/>
  <c r="Y56" i="4"/>
  <c r="AA56" i="4" s="1"/>
  <c r="U1308" i="4"/>
  <c r="Y1204" i="4"/>
  <c r="Y1100" i="4"/>
  <c r="Y996" i="4"/>
  <c r="AA996" i="4" s="1"/>
  <c r="Y892" i="4"/>
  <c r="Y788" i="4"/>
  <c r="AA788" i="4" s="1"/>
  <c r="Y684" i="4"/>
  <c r="Y580" i="4"/>
  <c r="Y476" i="4"/>
  <c r="AA476" i="4" s="1"/>
  <c r="Y372" i="4"/>
  <c r="Y268" i="4"/>
  <c r="AA268" i="4" s="1"/>
  <c r="Y164" i="4"/>
  <c r="AA164" i="4" s="1"/>
  <c r="Y60" i="4"/>
  <c r="U1330" i="4"/>
  <c r="Y1226" i="4"/>
  <c r="Y1122" i="4"/>
  <c r="Y1018" i="4"/>
  <c r="Y914" i="4"/>
  <c r="Y810" i="4"/>
  <c r="Y602" i="4"/>
  <c r="Y706" i="4"/>
  <c r="Y394" i="4"/>
  <c r="Y290" i="4"/>
  <c r="AA290" i="4" s="1"/>
  <c r="Y498" i="4"/>
  <c r="Y186" i="4"/>
  <c r="AA186" i="4" s="1"/>
  <c r="Y82" i="4"/>
  <c r="AA82" i="4" s="1"/>
  <c r="U1350" i="4"/>
  <c r="Y1246" i="4"/>
  <c r="Y1142" i="4"/>
  <c r="Y1038" i="4"/>
  <c r="Y934" i="4"/>
  <c r="AA934" i="4" s="1"/>
  <c r="Y830" i="4"/>
  <c r="AA830" i="4" s="1"/>
  <c r="Y726" i="4"/>
  <c r="Y622" i="4"/>
  <c r="Y518" i="4"/>
  <c r="Y414" i="4"/>
  <c r="AA414" i="4" s="1"/>
  <c r="Y310" i="4"/>
  <c r="Y206" i="4"/>
  <c r="AA206" i="4" s="1"/>
  <c r="Y102" i="4"/>
  <c r="U389" i="45"/>
  <c r="AF39" i="5"/>
  <c r="AT39" i="5" s="1"/>
  <c r="BH39" i="5" s="1"/>
  <c r="BV39" i="5" s="1"/>
  <c r="CJ39" i="5" s="1"/>
  <c r="CX39" i="5" s="1"/>
  <c r="DL39" i="5" s="1"/>
  <c r="DZ39" i="5" s="1"/>
  <c r="EN39" i="5" s="1"/>
  <c r="FB39" i="5" s="1"/>
  <c r="FP39" i="5" s="1"/>
  <c r="H29" i="19"/>
  <c r="BD29" i="19" s="1"/>
  <c r="C44" i="22" s="1"/>
  <c r="G53" i="19"/>
  <c r="AO53" i="14"/>
  <c r="AN7" i="19"/>
  <c r="AO7" i="19" s="1"/>
  <c r="AN11" i="19"/>
  <c r="AO11" i="19" s="1"/>
  <c r="AN19" i="19"/>
  <c r="AO19" i="19" s="1"/>
  <c r="AM35" i="14"/>
  <c r="D55" i="19"/>
  <c r="D63" i="19"/>
  <c r="AN68" i="19"/>
  <c r="AO68" i="19" s="1"/>
  <c r="H1063" i="4"/>
  <c r="AE1063" i="4"/>
  <c r="AI1063" i="4" s="1"/>
  <c r="AA1063" i="4"/>
  <c r="AE651" i="4"/>
  <c r="AI651" i="4" s="1"/>
  <c r="AA651" i="4"/>
  <c r="H651" i="4"/>
  <c r="H247" i="4"/>
  <c r="AE247" i="4"/>
  <c r="AI247" i="4" s="1"/>
  <c r="AA247" i="4"/>
  <c r="H471" i="4"/>
  <c r="AE471" i="4"/>
  <c r="AI471" i="4" s="1"/>
  <c r="AA471" i="4"/>
  <c r="H899" i="4"/>
  <c r="AE899" i="4"/>
  <c r="AI899" i="4" s="1"/>
  <c r="AA899" i="4"/>
  <c r="AK74" i="19"/>
  <c r="AG74" i="19"/>
  <c r="AJ74" i="19"/>
  <c r="AF74" i="19"/>
  <c r="AM74" i="19"/>
  <c r="AI74" i="19"/>
  <c r="AL74" i="19"/>
  <c r="AH74" i="19"/>
  <c r="L4" i="29"/>
  <c r="F731" i="4"/>
  <c r="H630" i="4"/>
  <c r="AE630" i="4"/>
  <c r="AA630" i="4"/>
  <c r="Z107" i="14"/>
  <c r="AE527" i="4"/>
  <c r="AI527" i="4" s="1"/>
  <c r="AA527" i="4"/>
  <c r="H527" i="4"/>
  <c r="AE736" i="4"/>
  <c r="AI736" i="4" s="1"/>
  <c r="AA736" i="4"/>
  <c r="H736" i="4"/>
  <c r="AE945" i="4"/>
  <c r="AI945" i="4" s="1"/>
  <c r="H945" i="4"/>
  <c r="F1260" i="4"/>
  <c r="H1156" i="4"/>
  <c r="AE1156" i="4"/>
  <c r="AA1156" i="4"/>
  <c r="H117" i="4"/>
  <c r="AE117" i="4"/>
  <c r="AI117" i="4" s="1"/>
  <c r="H326" i="4"/>
  <c r="AE326" i="4"/>
  <c r="AI326" i="4" s="1"/>
  <c r="AA326" i="4"/>
  <c r="AE535" i="4"/>
  <c r="AI535" i="4" s="1"/>
  <c r="AA535" i="4"/>
  <c r="H535" i="4"/>
  <c r="AE744" i="4"/>
  <c r="AI744" i="4" s="1"/>
  <c r="H744" i="4"/>
  <c r="AE953" i="4"/>
  <c r="AI953" i="4" s="1"/>
  <c r="H953" i="4"/>
  <c r="F1268" i="4"/>
  <c r="H1164" i="4"/>
  <c r="AE1164" i="4"/>
  <c r="AA1164" i="4"/>
  <c r="H125" i="4"/>
  <c r="AE125" i="4"/>
  <c r="AI125" i="4" s="1"/>
  <c r="H334" i="4"/>
  <c r="AE334" i="4"/>
  <c r="AI334" i="4" s="1"/>
  <c r="AA334" i="4"/>
  <c r="H544" i="4"/>
  <c r="AE544" i="4"/>
  <c r="AI544" i="4" s="1"/>
  <c r="H236" i="4"/>
  <c r="AE236" i="4"/>
  <c r="AI236" i="4" s="1"/>
  <c r="F1284" i="4"/>
  <c r="H1180" i="4"/>
  <c r="AE1180" i="4"/>
  <c r="AE876" i="4"/>
  <c r="AI876" i="4" s="1"/>
  <c r="H876" i="4"/>
  <c r="H464" i="4"/>
  <c r="AE464" i="4"/>
  <c r="AI464" i="4" s="1"/>
  <c r="AA464" i="4"/>
  <c r="H52" i="4"/>
  <c r="AE52" i="4"/>
  <c r="AI52" i="4" s="1"/>
  <c r="AE888" i="4"/>
  <c r="AI888" i="4" s="1"/>
  <c r="H888" i="4"/>
  <c r="AO59" i="14"/>
  <c r="G59" i="19"/>
  <c r="AE60" i="4"/>
  <c r="AI60" i="4" s="1"/>
  <c r="AA60" i="4"/>
  <c r="H60" i="4"/>
  <c r="AE896" i="4"/>
  <c r="AI896" i="4" s="1"/>
  <c r="H896" i="4"/>
  <c r="H588" i="4"/>
  <c r="AE588" i="4"/>
  <c r="AI588" i="4" s="1"/>
  <c r="H72" i="4"/>
  <c r="AE72" i="4"/>
  <c r="AI72" i="4" s="1"/>
  <c r="AE908" i="4"/>
  <c r="AI908" i="4" s="1"/>
  <c r="AE600" i="4"/>
  <c r="AI600" i="4" s="1"/>
  <c r="H188" i="4"/>
  <c r="AE188" i="4"/>
  <c r="AI188" i="4" s="1"/>
  <c r="H1028" i="4"/>
  <c r="AE1028" i="4"/>
  <c r="AI1028" i="4" s="1"/>
  <c r="AE616" i="4"/>
  <c r="AI616" i="4" s="1"/>
  <c r="H204" i="4"/>
  <c r="AE204" i="4"/>
  <c r="AI204" i="4" s="1"/>
  <c r="AA204" i="4"/>
  <c r="I4" i="18"/>
  <c r="F4" i="18"/>
  <c r="I12" i="18"/>
  <c r="F12" i="18"/>
  <c r="Y23" i="62"/>
  <c r="Y47" i="62"/>
  <c r="H487" i="4"/>
  <c r="AE487" i="4"/>
  <c r="AI487" i="4" s="1"/>
  <c r="H187" i="4"/>
  <c r="AE187" i="4"/>
  <c r="AI187" i="4" s="1"/>
  <c r="H1131" i="4"/>
  <c r="AE1131" i="4"/>
  <c r="AI1131" i="4" s="1"/>
  <c r="AJ106" i="19"/>
  <c r="AF106" i="19"/>
  <c r="AL106" i="19"/>
  <c r="AH106" i="19"/>
  <c r="AI106" i="19"/>
  <c r="AG106" i="19"/>
  <c r="AM106" i="19"/>
  <c r="AK106" i="19"/>
  <c r="U1339" i="4"/>
  <c r="Y1235" i="4"/>
  <c r="Y1131" i="4"/>
  <c r="AA1131" i="4" s="1"/>
  <c r="Y1027" i="4"/>
  <c r="AA1027" i="4" s="1"/>
  <c r="Y923" i="4"/>
  <c r="Y819" i="4"/>
  <c r="AA819" i="4" s="1"/>
  <c r="Y715" i="4"/>
  <c r="Y611" i="4"/>
  <c r="Y507" i="4"/>
  <c r="Y403" i="4"/>
  <c r="Y299" i="4"/>
  <c r="AA299" i="4" s="1"/>
  <c r="Y195" i="4"/>
  <c r="AA195" i="4" s="1"/>
  <c r="Y91" i="4"/>
  <c r="AA91" i="4" s="1"/>
  <c r="U1345" i="4"/>
  <c r="Y1241" i="4"/>
  <c r="Y1137" i="4"/>
  <c r="Y1033" i="4"/>
  <c r="Y929" i="4"/>
  <c r="Y825" i="4"/>
  <c r="Y721" i="4"/>
  <c r="Y617" i="4"/>
  <c r="Y513" i="4"/>
  <c r="Y409" i="4"/>
  <c r="Y305" i="4"/>
  <c r="Y201" i="4"/>
  <c r="AA201" i="4" s="1"/>
  <c r="Y97" i="4"/>
  <c r="AA97" i="4" s="1"/>
  <c r="U1349" i="4"/>
  <c r="Y1245" i="4"/>
  <c r="Y1141" i="4"/>
  <c r="Y1037" i="4"/>
  <c r="Y933" i="4"/>
  <c r="Y829" i="4"/>
  <c r="Y725" i="4"/>
  <c r="Y621" i="4"/>
  <c r="Y517" i="4"/>
  <c r="Y413" i="4"/>
  <c r="Y309" i="4"/>
  <c r="Y205" i="4"/>
  <c r="AA205" i="4" s="1"/>
  <c r="Y101" i="4"/>
  <c r="U1353" i="4"/>
  <c r="Y1249" i="4"/>
  <c r="Y1145" i="4"/>
  <c r="Y1041" i="4"/>
  <c r="Y937" i="4"/>
  <c r="Y833" i="4"/>
  <c r="Y729" i="4"/>
  <c r="Y625" i="4"/>
  <c r="Y521" i="4"/>
  <c r="Y417" i="4"/>
  <c r="Y313" i="4"/>
  <c r="Y209" i="4"/>
  <c r="AA209" i="4" s="1"/>
  <c r="Y105" i="4"/>
  <c r="AA105" i="4" s="1"/>
  <c r="EU47" i="62"/>
  <c r="EU23" i="62"/>
  <c r="AH186" i="16"/>
  <c r="AD186" i="16"/>
  <c r="Z186" i="16"/>
  <c r="AG186" i="16"/>
  <c r="AC186" i="16"/>
  <c r="Y186" i="16"/>
  <c r="U186" i="16"/>
  <c r="AF186" i="16"/>
  <c r="AB186" i="16"/>
  <c r="X186" i="16"/>
  <c r="AE186" i="16"/>
  <c r="AA186" i="16"/>
  <c r="W186" i="16"/>
  <c r="AK38" i="19"/>
  <c r="AG38" i="19"/>
  <c r="AJ38" i="19"/>
  <c r="AF38" i="19"/>
  <c r="AM38" i="19"/>
  <c r="AI38" i="19"/>
  <c r="AL38" i="19"/>
  <c r="AH38" i="19"/>
  <c r="F1343" i="4"/>
  <c r="AA1239" i="4"/>
  <c r="H1239" i="4"/>
  <c r="AE1239" i="4"/>
  <c r="AE650" i="4"/>
  <c r="AI650" i="4" s="1"/>
  <c r="AE238" i="4"/>
  <c r="AI238" i="4" s="1"/>
  <c r="AA238" i="4"/>
  <c r="H974" i="4"/>
  <c r="AE974" i="4"/>
  <c r="AI974" i="4" s="1"/>
  <c r="AA974" i="4"/>
  <c r="H562" i="4"/>
  <c r="AE562" i="4"/>
  <c r="AI562" i="4" s="1"/>
  <c r="H150" i="4"/>
  <c r="AE150" i="4"/>
  <c r="AI150" i="4" s="1"/>
  <c r="AA150" i="4"/>
  <c r="H990" i="4"/>
  <c r="AE990" i="4"/>
  <c r="AI990" i="4" s="1"/>
  <c r="AA990" i="4"/>
  <c r="H578" i="4"/>
  <c r="AE578" i="4"/>
  <c r="AI578" i="4" s="1"/>
  <c r="H62" i="4"/>
  <c r="AE62" i="4"/>
  <c r="AI62" i="4" s="1"/>
  <c r="H378" i="4"/>
  <c r="AE378" i="4"/>
  <c r="AI378" i="4" s="1"/>
  <c r="AA378" i="4"/>
  <c r="H386" i="4"/>
  <c r="AE386" i="4"/>
  <c r="AI386" i="4" s="1"/>
  <c r="AA386" i="4"/>
  <c r="H702" i="4"/>
  <c r="AE702" i="4"/>
  <c r="AI702" i="4" s="1"/>
  <c r="AA702" i="4"/>
  <c r="H290" i="4"/>
  <c r="AE290" i="4"/>
  <c r="AI290" i="4" s="1"/>
  <c r="H1130" i="4"/>
  <c r="AE1130" i="4"/>
  <c r="AI1130" i="4" s="1"/>
  <c r="AE718" i="4"/>
  <c r="AI718" i="4" s="1"/>
  <c r="H718" i="4"/>
  <c r="H306" i="4"/>
  <c r="AE306" i="4"/>
  <c r="AI306" i="4" s="1"/>
  <c r="H1146" i="4"/>
  <c r="AE1146" i="4"/>
  <c r="AI1146" i="4" s="1"/>
  <c r="AA1146" i="4"/>
  <c r="F1277" i="4"/>
  <c r="AE1173" i="4"/>
  <c r="H33" i="4"/>
  <c r="F1341" i="4"/>
  <c r="AA1237" i="4"/>
  <c r="H1237" i="4"/>
  <c r="AE1237" i="4"/>
  <c r="H97" i="4"/>
  <c r="N1355" i="4"/>
  <c r="N1356" i="4" s="1"/>
  <c r="O1254" i="4"/>
  <c r="O1355" i="4" s="1"/>
  <c r="V419" i="4"/>
  <c r="D15" i="25"/>
  <c r="G81" i="19"/>
  <c r="AO81" i="14"/>
  <c r="U176" i="16"/>
  <c r="H23" i="19"/>
  <c r="AM39" i="14"/>
  <c r="H71" i="19"/>
  <c r="BB71" i="19" s="1"/>
  <c r="AN56" i="19"/>
  <c r="AO56" i="19" s="1"/>
  <c r="H77" i="19"/>
  <c r="V132" i="16"/>
  <c r="AO95" i="14"/>
  <c r="G95" i="19"/>
  <c r="AE959" i="4"/>
  <c r="AI959" i="4" s="1"/>
  <c r="AA959" i="4"/>
  <c r="H959" i="4"/>
  <c r="AE547" i="4"/>
  <c r="AI547" i="4" s="1"/>
  <c r="AA547" i="4"/>
  <c r="H143" i="4"/>
  <c r="AE143" i="4"/>
  <c r="AI143" i="4" s="1"/>
  <c r="AA143" i="4"/>
  <c r="H367" i="4"/>
  <c r="AE367" i="4"/>
  <c r="AI367" i="4" s="1"/>
  <c r="AA367" i="4"/>
  <c r="F1315" i="4"/>
  <c r="H1211" i="4"/>
  <c r="AE1211" i="4"/>
  <c r="AA1211" i="4"/>
  <c r="B15" i="26"/>
  <c r="B15" i="25"/>
  <c r="B15" i="24"/>
  <c r="B15" i="23"/>
  <c r="B15" i="22"/>
  <c r="B15" i="18"/>
  <c r="B15" i="21"/>
  <c r="B11" i="26"/>
  <c r="B11" i="25"/>
  <c r="B11" i="24"/>
  <c r="B11" i="23"/>
  <c r="B11" i="22"/>
  <c r="B11" i="18"/>
  <c r="B11" i="21"/>
  <c r="H526" i="4"/>
  <c r="AE526" i="4"/>
  <c r="AA526" i="4"/>
  <c r="F627" i="4"/>
  <c r="AO6" i="14"/>
  <c r="AL107" i="14"/>
  <c r="G6" i="19"/>
  <c r="H7" i="4"/>
  <c r="AE7" i="4"/>
  <c r="AI7" i="4" s="1"/>
  <c r="AA7" i="4"/>
  <c r="H9" i="4"/>
  <c r="AE9" i="4"/>
  <c r="AI9" i="4" s="1"/>
  <c r="AH10" i="14"/>
  <c r="AI10" i="14" s="1"/>
  <c r="C10" i="19" s="1"/>
  <c r="U10" i="16"/>
  <c r="H11" i="4"/>
  <c r="AE11" i="4"/>
  <c r="AI11" i="4" s="1"/>
  <c r="AA11" i="4"/>
  <c r="H13" i="4"/>
  <c r="AE13" i="4"/>
  <c r="AI13" i="4" s="1"/>
  <c r="H15" i="4"/>
  <c r="AE15" i="4"/>
  <c r="AI15" i="4" s="1"/>
  <c r="AA15" i="4"/>
  <c r="H17" i="4"/>
  <c r="AE17" i="4"/>
  <c r="AI17" i="4" s="1"/>
  <c r="H19" i="4"/>
  <c r="AE19" i="4"/>
  <c r="AI19" i="4" s="1"/>
  <c r="AA19" i="4"/>
  <c r="AH20" i="14"/>
  <c r="AI20" i="14" s="1"/>
  <c r="C20" i="19" s="1"/>
  <c r="U20" i="16"/>
  <c r="H21" i="4"/>
  <c r="AE21" i="4"/>
  <c r="AI21" i="4" s="1"/>
  <c r="AO23" i="14"/>
  <c r="G23" i="19"/>
  <c r="H440" i="4"/>
  <c r="AE440" i="4"/>
  <c r="AI440" i="4" s="1"/>
  <c r="H132" i="4"/>
  <c r="AE132" i="4"/>
  <c r="AI132" i="4" s="1"/>
  <c r="H1076" i="4"/>
  <c r="AE1076" i="4"/>
  <c r="AI1076" i="4" s="1"/>
  <c r="AA1076" i="4"/>
  <c r="H356" i="4"/>
  <c r="AE356" i="4"/>
  <c r="AI356" i="4" s="1"/>
  <c r="AA356" i="4"/>
  <c r="H364" i="4"/>
  <c r="AE364" i="4"/>
  <c r="AI364" i="4" s="1"/>
  <c r="H372" i="4"/>
  <c r="AE372" i="4"/>
  <c r="AI372" i="4" s="1"/>
  <c r="AA372" i="4"/>
  <c r="AE900" i="4"/>
  <c r="AI900" i="4" s="1"/>
  <c r="H900" i="4"/>
  <c r="H388" i="4"/>
  <c r="AE388" i="4"/>
  <c r="AI388" i="4" s="1"/>
  <c r="G79" i="4"/>
  <c r="G183" i="4" s="1"/>
  <c r="H183" i="4" s="1"/>
  <c r="I79" i="14"/>
  <c r="H80" i="4"/>
  <c r="AE80" i="4"/>
  <c r="AI80" i="4" s="1"/>
  <c r="AE816" i="4"/>
  <c r="AI816" i="4" s="1"/>
  <c r="H816" i="4"/>
  <c r="H508" i="4"/>
  <c r="AE508" i="4"/>
  <c r="AI508" i="4" s="1"/>
  <c r="H96" i="4"/>
  <c r="AE96" i="4"/>
  <c r="AI96" i="4" s="1"/>
  <c r="H936" i="4"/>
  <c r="AE936" i="4"/>
  <c r="AI936" i="4" s="1"/>
  <c r="I4" i="26"/>
  <c r="F4" i="26"/>
  <c r="CC23" i="62"/>
  <c r="CC47" i="62"/>
  <c r="H383" i="4"/>
  <c r="AE383" i="4"/>
  <c r="AI383" i="4" s="1"/>
  <c r="AA383" i="4"/>
  <c r="AA499" i="4"/>
  <c r="AE499" i="4"/>
  <c r="AI499" i="4" s="1"/>
  <c r="H87" i="4"/>
  <c r="AE87" i="4"/>
  <c r="AI87" i="4" s="1"/>
  <c r="H1139" i="4"/>
  <c r="AE1139" i="4"/>
  <c r="AI1139" i="4" s="1"/>
  <c r="AA1139" i="4"/>
  <c r="V1295" i="4"/>
  <c r="V1297" i="4"/>
  <c r="V1299" i="4"/>
  <c r="V1301" i="4"/>
  <c r="V1303" i="4"/>
  <c r="V1317" i="4"/>
  <c r="V1319" i="4"/>
  <c r="C15" i="28"/>
  <c r="CC54" i="5"/>
  <c r="CJ54" i="5" s="1"/>
  <c r="AK42" i="19"/>
  <c r="AG42" i="19"/>
  <c r="AJ42" i="19"/>
  <c r="AF42" i="19"/>
  <c r="AM42" i="19"/>
  <c r="AI42" i="19"/>
  <c r="AL42" i="19"/>
  <c r="AH42" i="19"/>
  <c r="AA47" i="4"/>
  <c r="AE962" i="4"/>
  <c r="AI962" i="4" s="1"/>
  <c r="AA962" i="4"/>
  <c r="H550" i="4"/>
  <c r="AE550" i="4"/>
  <c r="AI550" i="4" s="1"/>
  <c r="AA550" i="4"/>
  <c r="H138" i="4"/>
  <c r="AE138" i="4"/>
  <c r="AI138" i="4" s="1"/>
  <c r="AA138" i="4"/>
  <c r="AE874" i="4"/>
  <c r="AI874" i="4" s="1"/>
  <c r="AA874" i="4"/>
  <c r="H874" i="4"/>
  <c r="H462" i="4"/>
  <c r="AE462" i="4"/>
  <c r="AI462" i="4" s="1"/>
  <c r="AA462" i="4"/>
  <c r="H50" i="4"/>
  <c r="AE50" i="4"/>
  <c r="AI50" i="4" s="1"/>
  <c r="AA50" i="4"/>
  <c r="AE890" i="4"/>
  <c r="AI890" i="4" s="1"/>
  <c r="AA890" i="4"/>
  <c r="H890" i="4"/>
  <c r="H1110" i="4"/>
  <c r="AE1110" i="4"/>
  <c r="AI1110" i="4" s="1"/>
  <c r="AA1110" i="4"/>
  <c r="AE698" i="4"/>
  <c r="AI698" i="4" s="1"/>
  <c r="AA698" i="4"/>
  <c r="H182" i="4"/>
  <c r="AE182" i="4"/>
  <c r="AI182" i="4" s="1"/>
  <c r="AA182" i="4"/>
  <c r="H1022" i="4"/>
  <c r="AE1022" i="4"/>
  <c r="AI1022" i="4" s="1"/>
  <c r="H610" i="4"/>
  <c r="AE610" i="4"/>
  <c r="AI610" i="4" s="1"/>
  <c r="H198" i="4"/>
  <c r="AE198" i="4"/>
  <c r="AI198" i="4" s="1"/>
  <c r="AA198" i="4"/>
  <c r="AE1038" i="4"/>
  <c r="AI1038" i="4" s="1"/>
  <c r="AA1038" i="4"/>
  <c r="H626" i="4"/>
  <c r="AE626" i="4"/>
  <c r="AI626" i="4" s="1"/>
  <c r="AA626" i="4"/>
  <c r="R38" i="5"/>
  <c r="D38" i="5"/>
  <c r="C70" i="28" s="1"/>
  <c r="U612" i="45"/>
  <c r="U363" i="45"/>
  <c r="D31" i="68"/>
  <c r="F1313" i="4"/>
  <c r="H1209" i="4"/>
  <c r="AE1209" i="4"/>
  <c r="H69" i="4"/>
  <c r="AA101" i="4"/>
  <c r="X1355" i="4"/>
  <c r="X1356" i="4" s="1"/>
  <c r="U1334" i="4"/>
  <c r="Y1230" i="4"/>
  <c r="Y1126" i="4"/>
  <c r="Y1022" i="4"/>
  <c r="AA1022" i="4" s="1"/>
  <c r="Y918" i="4"/>
  <c r="AA918" i="4" s="1"/>
  <c r="Y814" i="4"/>
  <c r="AA814" i="4" s="1"/>
  <c r="Y606" i="4"/>
  <c r="Y710" i="4"/>
  <c r="Y502" i="4"/>
  <c r="Y398" i="4"/>
  <c r="AA398" i="4" s="1"/>
  <c r="Y294" i="4"/>
  <c r="Y190" i="4"/>
  <c r="AA190" i="4" s="1"/>
  <c r="Y86" i="4"/>
  <c r="U1336" i="4"/>
  <c r="Y1232" i="4"/>
  <c r="Y1128" i="4"/>
  <c r="Y1024" i="4"/>
  <c r="Y920" i="4"/>
  <c r="Y816" i="4"/>
  <c r="AA816" i="4" s="1"/>
  <c r="Y608" i="4"/>
  <c r="Y712" i="4"/>
  <c r="Y400" i="4"/>
  <c r="Y296" i="4"/>
  <c r="AA296" i="4" s="1"/>
  <c r="Y504" i="4"/>
  <c r="AA504" i="4" s="1"/>
  <c r="Y192" i="4"/>
  <c r="AA192" i="4" s="1"/>
  <c r="Y88" i="4"/>
  <c r="AA88" i="4" s="1"/>
  <c r="U1340" i="4"/>
  <c r="Y1236" i="4"/>
  <c r="Y1132" i="4"/>
  <c r="AA1132" i="4" s="1"/>
  <c r="Y1028" i="4"/>
  <c r="AA1028" i="4" s="1"/>
  <c r="Y924" i="4"/>
  <c r="AA924" i="4" s="1"/>
  <c r="Y820" i="4"/>
  <c r="AA820" i="4" s="1"/>
  <c r="Y716" i="4"/>
  <c r="Y612" i="4"/>
  <c r="Y404" i="4"/>
  <c r="Y300" i="4"/>
  <c r="Y508" i="4"/>
  <c r="AA508" i="4" s="1"/>
  <c r="Y196" i="4"/>
  <c r="AA196" i="4" s="1"/>
  <c r="Y92" i="4"/>
  <c r="D21" i="62"/>
  <c r="D47" i="62" s="1"/>
  <c r="AT55" i="5"/>
  <c r="G29" i="19"/>
  <c r="AO29" i="14"/>
  <c r="G93" i="19"/>
  <c r="AO93" i="14"/>
  <c r="BI43" i="19"/>
  <c r="H43" i="19"/>
  <c r="BB43" i="19" s="1"/>
  <c r="BD43" i="19"/>
  <c r="C58" i="22" s="1"/>
  <c r="BC43" i="19"/>
  <c r="C58" i="21" s="1"/>
  <c r="AN44" i="19"/>
  <c r="AO44" i="19" s="1"/>
  <c r="AM45" i="14"/>
  <c r="H61" i="19"/>
  <c r="BD61" i="19" s="1"/>
  <c r="C76" i="22" s="1"/>
  <c r="D93" i="19"/>
  <c r="H855" i="4"/>
  <c r="AE855" i="4"/>
  <c r="AI855" i="4" s="1"/>
  <c r="AA855" i="4"/>
  <c r="H443" i="4"/>
  <c r="AE443" i="4"/>
  <c r="AI443" i="4" s="1"/>
  <c r="AA443" i="4"/>
  <c r="H39" i="4"/>
  <c r="AE39" i="4"/>
  <c r="AI39" i="4" s="1"/>
  <c r="H275" i="4"/>
  <c r="AE275" i="4"/>
  <c r="AI275" i="4" s="1"/>
  <c r="AA275" i="4"/>
  <c r="AE703" i="4"/>
  <c r="AI703" i="4" s="1"/>
  <c r="F523" i="4"/>
  <c r="H422" i="4"/>
  <c r="AE422" i="4"/>
  <c r="AA422" i="4"/>
  <c r="F1255" i="4"/>
  <c r="H1151" i="4"/>
  <c r="AE1151" i="4"/>
  <c r="H112" i="4"/>
  <c r="AE112" i="4"/>
  <c r="AI112" i="4" s="1"/>
  <c r="AE321" i="4"/>
  <c r="AI321" i="4" s="1"/>
  <c r="H530" i="4"/>
  <c r="AE530" i="4"/>
  <c r="AI530" i="4" s="1"/>
  <c r="AA530" i="4"/>
  <c r="H739" i="4"/>
  <c r="AE739" i="4"/>
  <c r="AI739" i="4" s="1"/>
  <c r="AA739" i="4"/>
  <c r="H948" i="4"/>
  <c r="AE948" i="4"/>
  <c r="AI948" i="4" s="1"/>
  <c r="AA948" i="4"/>
  <c r="F1263" i="4"/>
  <c r="H1159" i="4"/>
  <c r="AE1159" i="4"/>
  <c r="AA1159" i="4"/>
  <c r="H120" i="4"/>
  <c r="AE120" i="4"/>
  <c r="AI120" i="4" s="1"/>
  <c r="AA120" i="4"/>
  <c r="H329" i="4"/>
  <c r="AE329" i="4"/>
  <c r="AI329" i="4" s="1"/>
  <c r="H538" i="4"/>
  <c r="AE538" i="4"/>
  <c r="AI538" i="4" s="1"/>
  <c r="AA538" i="4"/>
  <c r="H747" i="4"/>
  <c r="AE747" i="4"/>
  <c r="AI747" i="4" s="1"/>
  <c r="AA747" i="4"/>
  <c r="H956" i="4"/>
  <c r="AE956" i="4"/>
  <c r="AI956" i="4" s="1"/>
  <c r="AA956" i="4"/>
  <c r="F1272" i="4"/>
  <c r="H1168" i="4"/>
  <c r="AE1168" i="4"/>
  <c r="AA1168" i="4"/>
  <c r="AE864" i="4"/>
  <c r="AI864" i="4" s="1"/>
  <c r="AA864" i="4"/>
  <c r="H864" i="4"/>
  <c r="H556" i="4"/>
  <c r="AE556" i="4"/>
  <c r="AI556" i="4" s="1"/>
  <c r="AA556" i="4"/>
  <c r="H248" i="4"/>
  <c r="AE248" i="4"/>
  <c r="AI248" i="4" s="1"/>
  <c r="AA248" i="4"/>
  <c r="H1088" i="4"/>
  <c r="AE1088" i="4"/>
  <c r="AI1088" i="4" s="1"/>
  <c r="H676" i="4"/>
  <c r="AE676" i="4"/>
  <c r="AI676" i="4" s="1"/>
  <c r="AA676" i="4"/>
  <c r="H264" i="4"/>
  <c r="AE264" i="4"/>
  <c r="AI264" i="4" s="1"/>
  <c r="AA264" i="4"/>
  <c r="AE1104" i="4"/>
  <c r="AI1104" i="4" s="1"/>
  <c r="H1116" i="4"/>
  <c r="AE1116" i="4"/>
  <c r="AI1116" i="4" s="1"/>
  <c r="H396" i="4"/>
  <c r="AE396" i="4"/>
  <c r="AI396" i="4" s="1"/>
  <c r="H404" i="4"/>
  <c r="AE404" i="4"/>
  <c r="AI404" i="4" s="1"/>
  <c r="AA404" i="4"/>
  <c r="H412" i="4"/>
  <c r="AE412" i="4"/>
  <c r="AI412" i="4" s="1"/>
  <c r="AA412" i="4"/>
  <c r="I4" i="24"/>
  <c r="F4" i="24"/>
  <c r="H1111" i="4"/>
  <c r="AE1111" i="4"/>
  <c r="AI1111" i="4" s="1"/>
  <c r="AA1111" i="4"/>
  <c r="AK90" i="19"/>
  <c r="AG90" i="19"/>
  <c r="AJ90" i="19"/>
  <c r="AF90" i="19"/>
  <c r="AM90" i="19"/>
  <c r="AI90" i="19"/>
  <c r="AL90" i="19"/>
  <c r="AH90" i="19"/>
  <c r="H1035" i="4"/>
  <c r="AE1035" i="4"/>
  <c r="AI1035" i="4" s="1"/>
  <c r="AA1035" i="4"/>
  <c r="U1257" i="4"/>
  <c r="Y1153" i="4"/>
  <c r="Y1049" i="4"/>
  <c r="AA1049" i="4" s="1"/>
  <c r="Y945" i="4"/>
  <c r="AA945" i="4" s="1"/>
  <c r="Y841" i="4"/>
  <c r="Y737" i="4"/>
  <c r="AA737" i="4" s="1"/>
  <c r="Y633" i="4"/>
  <c r="AA633" i="4" s="1"/>
  <c r="Y529" i="4"/>
  <c r="Y425" i="4"/>
  <c r="AA425" i="4" s="1"/>
  <c r="Y321" i="4"/>
  <c r="Y217" i="4"/>
  <c r="Y113" i="4"/>
  <c r="AA113" i="4" s="1"/>
  <c r="Y9" i="4"/>
  <c r="AA9" i="4" s="1"/>
  <c r="U1261" i="4"/>
  <c r="Y1157" i="4"/>
  <c r="Y1053" i="4"/>
  <c r="AA1053" i="4" s="1"/>
  <c r="Y949" i="4"/>
  <c r="Y845" i="4"/>
  <c r="Y741" i="4"/>
  <c r="Y637" i="4"/>
  <c r="AA637" i="4" s="1"/>
  <c r="Y533" i="4"/>
  <c r="AA533" i="4" s="1"/>
  <c r="Y429" i="4"/>
  <c r="Y325" i="4"/>
  <c r="Y221" i="4"/>
  <c r="Y117" i="4"/>
  <c r="AA117" i="4" s="1"/>
  <c r="Y13" i="4"/>
  <c r="AA13" i="4" s="1"/>
  <c r="U1265" i="4"/>
  <c r="Y1161" i="4"/>
  <c r="Y1057" i="4"/>
  <c r="Y953" i="4"/>
  <c r="AA953" i="4" s="1"/>
  <c r="Y849" i="4"/>
  <c r="Y745" i="4"/>
  <c r="AA745" i="4" s="1"/>
  <c r="Y641" i="4"/>
  <c r="Y537" i="4"/>
  <c r="AA537" i="4" s="1"/>
  <c r="Y433" i="4"/>
  <c r="AA433" i="4" s="1"/>
  <c r="Y329" i="4"/>
  <c r="AA329" i="4" s="1"/>
  <c r="Y225" i="4"/>
  <c r="Y121" i="4"/>
  <c r="AA121" i="4" s="1"/>
  <c r="Y17" i="4"/>
  <c r="AA17" i="4" s="1"/>
  <c r="U1269" i="4"/>
  <c r="Y1165" i="4"/>
  <c r="Y1061" i="4"/>
  <c r="AA1061" i="4" s="1"/>
  <c r="Y957" i="4"/>
  <c r="Y853" i="4"/>
  <c r="Y749" i="4"/>
  <c r="Y645" i="4"/>
  <c r="AA645" i="4" s="1"/>
  <c r="Y541" i="4"/>
  <c r="AA541" i="4" s="1"/>
  <c r="Y437" i="4"/>
  <c r="AA437" i="4" s="1"/>
  <c r="Y333" i="4"/>
  <c r="Y229" i="4"/>
  <c r="Y125" i="4"/>
  <c r="AA125" i="4" s="1"/>
  <c r="Y21" i="4"/>
  <c r="AA21" i="4" s="1"/>
  <c r="U1273" i="4"/>
  <c r="Y1169" i="4"/>
  <c r="Y1065" i="4"/>
  <c r="Y961" i="4"/>
  <c r="Y857" i="4"/>
  <c r="Y753" i="4"/>
  <c r="Y649" i="4"/>
  <c r="Y545" i="4"/>
  <c r="Y441" i="4"/>
  <c r="Y337" i="4"/>
  <c r="Y233" i="4"/>
  <c r="Y129" i="4"/>
  <c r="AA129" i="4" s="1"/>
  <c r="Y25" i="4"/>
  <c r="U1277" i="4"/>
  <c r="Y1173" i="4"/>
  <c r="Y1069" i="4"/>
  <c r="Y965" i="4"/>
  <c r="Y861" i="4"/>
  <c r="Y757" i="4"/>
  <c r="Y653" i="4"/>
  <c r="Y549" i="4"/>
  <c r="Y445" i="4"/>
  <c r="Y341" i="4"/>
  <c r="Y237" i="4"/>
  <c r="Y133" i="4"/>
  <c r="AA133" i="4" s="1"/>
  <c r="Y29" i="4"/>
  <c r="AA29" i="4" s="1"/>
  <c r="U1281" i="4"/>
  <c r="Y1177" i="4"/>
  <c r="Y1073" i="4"/>
  <c r="Y969" i="4"/>
  <c r="Y865" i="4"/>
  <c r="Y761" i="4"/>
  <c r="Y657" i="4"/>
  <c r="Y553" i="4"/>
  <c r="Y449" i="4"/>
  <c r="Y345" i="4"/>
  <c r="Y241" i="4"/>
  <c r="Y137" i="4"/>
  <c r="AA137" i="4" s="1"/>
  <c r="Y33" i="4"/>
  <c r="AA33" i="4" s="1"/>
  <c r="U1285" i="4"/>
  <c r="Y1181" i="4"/>
  <c r="Y1077" i="4"/>
  <c r="Y973" i="4"/>
  <c r="Y869" i="4"/>
  <c r="Y765" i="4"/>
  <c r="Y661" i="4"/>
  <c r="Y557" i="4"/>
  <c r="Y453" i="4"/>
  <c r="Y349" i="4"/>
  <c r="Y245" i="4"/>
  <c r="Y141" i="4"/>
  <c r="AA141" i="4" s="1"/>
  <c r="Y37" i="4"/>
  <c r="AA37" i="4" s="1"/>
  <c r="U1289" i="4"/>
  <c r="Y1185" i="4"/>
  <c r="Y1081" i="4"/>
  <c r="Y977" i="4"/>
  <c r="Y873" i="4"/>
  <c r="Y769" i="4"/>
  <c r="Y665" i="4"/>
  <c r="Y561" i="4"/>
  <c r="Y457" i="4"/>
  <c r="Y353" i="4"/>
  <c r="Y249" i="4"/>
  <c r="Y145" i="4"/>
  <c r="AA145" i="4" s="1"/>
  <c r="Y41" i="4"/>
  <c r="AA41" i="4" s="1"/>
  <c r="U1293" i="4"/>
  <c r="Y1189" i="4"/>
  <c r="Y1085" i="4"/>
  <c r="Y981" i="4"/>
  <c r="Y877" i="4"/>
  <c r="Y773" i="4"/>
  <c r="Y669" i="4"/>
  <c r="Y565" i="4"/>
  <c r="Y461" i="4"/>
  <c r="Y357" i="4"/>
  <c r="Y253" i="4"/>
  <c r="Y149" i="4"/>
  <c r="AA149" i="4" s="1"/>
  <c r="Y45" i="4"/>
  <c r="AA45" i="4" s="1"/>
  <c r="U1297" i="4"/>
  <c r="Y1193" i="4"/>
  <c r="Y1089" i="4"/>
  <c r="Y985" i="4"/>
  <c r="Y881" i="4"/>
  <c r="Y777" i="4"/>
  <c r="Y673" i="4"/>
  <c r="Y569" i="4"/>
  <c r="Y465" i="4"/>
  <c r="Y361" i="4"/>
  <c r="Y257" i="4"/>
  <c r="Y153" i="4"/>
  <c r="AA153" i="4" s="1"/>
  <c r="Y49" i="4"/>
  <c r="U1301" i="4"/>
  <c r="Y1197" i="4"/>
  <c r="Y1093" i="4"/>
  <c r="Y989" i="4"/>
  <c r="Y885" i="4"/>
  <c r="Y781" i="4"/>
  <c r="Y677" i="4"/>
  <c r="Y573" i="4"/>
  <c r="Y469" i="4"/>
  <c r="Y365" i="4"/>
  <c r="Y261" i="4"/>
  <c r="Y157" i="4"/>
  <c r="AA157" i="4" s="1"/>
  <c r="Y53" i="4"/>
  <c r="AA53" i="4" s="1"/>
  <c r="U1305" i="4"/>
  <c r="Y1201" i="4"/>
  <c r="Y1097" i="4"/>
  <c r="Y993" i="4"/>
  <c r="Y889" i="4"/>
  <c r="Y785" i="4"/>
  <c r="Y681" i="4"/>
  <c r="Y577" i="4"/>
  <c r="Y473" i="4"/>
  <c r="Y369" i="4"/>
  <c r="Y265" i="4"/>
  <c r="Y161" i="4"/>
  <c r="AA161" i="4" s="1"/>
  <c r="Y57" i="4"/>
  <c r="AA57" i="4" s="1"/>
  <c r="U1309" i="4"/>
  <c r="Y1205" i="4"/>
  <c r="Y1101" i="4"/>
  <c r="Y997" i="4"/>
  <c r="Y893" i="4"/>
  <c r="Y789" i="4"/>
  <c r="Y685" i="4"/>
  <c r="Y581" i="4"/>
  <c r="Y477" i="4"/>
  <c r="Y373" i="4"/>
  <c r="Y269" i="4"/>
  <c r="Y165" i="4"/>
  <c r="AA165" i="4" s="1"/>
  <c r="Y61" i="4"/>
  <c r="AA61" i="4" s="1"/>
  <c r="U1313" i="4"/>
  <c r="Y1209" i="4"/>
  <c r="AA1209" i="4" s="1"/>
  <c r="Y1105" i="4"/>
  <c r="Y1001" i="4"/>
  <c r="Y897" i="4"/>
  <c r="Y793" i="4"/>
  <c r="Y689" i="4"/>
  <c r="Y585" i="4"/>
  <c r="Y481" i="4"/>
  <c r="Y377" i="4"/>
  <c r="Y273" i="4"/>
  <c r="Y169" i="4"/>
  <c r="AA169" i="4" s="1"/>
  <c r="Y65" i="4"/>
  <c r="AA65" i="4" s="1"/>
  <c r="U1317" i="4"/>
  <c r="Y1213" i="4"/>
  <c r="Y1109" i="4"/>
  <c r="Y1005" i="4"/>
  <c r="Y901" i="4"/>
  <c r="Y797" i="4"/>
  <c r="Y693" i="4"/>
  <c r="Y589" i="4"/>
  <c r="Y485" i="4"/>
  <c r="Y381" i="4"/>
  <c r="Y277" i="4"/>
  <c r="Y173" i="4"/>
  <c r="AA173" i="4" s="1"/>
  <c r="Y69" i="4"/>
  <c r="AA69" i="4" s="1"/>
  <c r="U1321" i="4"/>
  <c r="Y1217" i="4"/>
  <c r="Y1113" i="4"/>
  <c r="Y1009" i="4"/>
  <c r="Y905" i="4"/>
  <c r="Y801" i="4"/>
  <c r="Y697" i="4"/>
  <c r="Y593" i="4"/>
  <c r="Y489" i="4"/>
  <c r="Y385" i="4"/>
  <c r="Y281" i="4"/>
  <c r="Y177" i="4"/>
  <c r="AA177" i="4" s="1"/>
  <c r="Y73" i="4"/>
  <c r="U1325" i="4"/>
  <c r="Y1221" i="4"/>
  <c r="Y1117" i="4"/>
  <c r="Y1013" i="4"/>
  <c r="Y909" i="4"/>
  <c r="Y805" i="4"/>
  <c r="Y701" i="4"/>
  <c r="Y597" i="4"/>
  <c r="Y493" i="4"/>
  <c r="Y389" i="4"/>
  <c r="Y181" i="4"/>
  <c r="AA181" i="4" s="1"/>
  <c r="Y77" i="4"/>
  <c r="AA77" i="4" s="1"/>
  <c r="Y285" i="4"/>
  <c r="U1327" i="4"/>
  <c r="Y1223" i="4"/>
  <c r="AA1223" i="4" s="1"/>
  <c r="Y1119" i="4"/>
  <c r="AA1119" i="4" s="1"/>
  <c r="Y1015" i="4"/>
  <c r="AA1015" i="4" s="1"/>
  <c r="Y911" i="4"/>
  <c r="Y807" i="4"/>
  <c r="Y703" i="4"/>
  <c r="Y599" i="4"/>
  <c r="AA599" i="4" s="1"/>
  <c r="Y495" i="4"/>
  <c r="Y391" i="4"/>
  <c r="Y287" i="4"/>
  <c r="Y183" i="4"/>
  <c r="Y79" i="4"/>
  <c r="R89" i="20"/>
  <c r="R73" i="20"/>
  <c r="R57" i="20"/>
  <c r="R41" i="20"/>
  <c r="R105" i="20"/>
  <c r="R25" i="20"/>
  <c r="W105" i="20"/>
  <c r="W41" i="20"/>
  <c r="W89" i="20"/>
  <c r="W57" i="20"/>
  <c r="W73" i="20"/>
  <c r="W25" i="20"/>
  <c r="T105" i="20"/>
  <c r="T89" i="20"/>
  <c r="T41" i="20"/>
  <c r="T25" i="20"/>
  <c r="T73" i="20"/>
  <c r="T57" i="20"/>
  <c r="Y105" i="20"/>
  <c r="Y89" i="20"/>
  <c r="Y73" i="20"/>
  <c r="Y57" i="20"/>
  <c r="Y41" i="20"/>
  <c r="Y25" i="20"/>
  <c r="AH190" i="16"/>
  <c r="AD190" i="16"/>
  <c r="Z190" i="16"/>
  <c r="AG190" i="16"/>
  <c r="AC190" i="16"/>
  <c r="Y190" i="16"/>
  <c r="U190" i="16"/>
  <c r="AF190" i="16"/>
  <c r="AB190" i="16"/>
  <c r="X190" i="16"/>
  <c r="AE190" i="16"/>
  <c r="AA190" i="16"/>
  <c r="W190" i="16"/>
  <c r="AA31" i="4"/>
  <c r="AK78" i="19"/>
  <c r="AG78" i="19"/>
  <c r="AJ78" i="19"/>
  <c r="AF78" i="19"/>
  <c r="AM78" i="19"/>
  <c r="AI78" i="19"/>
  <c r="AL78" i="19"/>
  <c r="AH78" i="19"/>
  <c r="M25" i="62"/>
  <c r="E25" i="62"/>
  <c r="S25" i="62"/>
  <c r="E69" i="68"/>
  <c r="AE858" i="4"/>
  <c r="AI858" i="4" s="1"/>
  <c r="AA858" i="4"/>
  <c r="H858" i="4"/>
  <c r="H446" i="4"/>
  <c r="AE446" i="4"/>
  <c r="AI446" i="4" s="1"/>
  <c r="AA446" i="4"/>
  <c r="H34" i="4"/>
  <c r="AE34" i="4"/>
  <c r="AI34" i="4" s="1"/>
  <c r="AA34" i="4"/>
  <c r="H350" i="4"/>
  <c r="AE350" i="4"/>
  <c r="AI350" i="4" s="1"/>
  <c r="AA350" i="4"/>
  <c r="H358" i="4"/>
  <c r="AE358" i="4"/>
  <c r="AI358" i="4" s="1"/>
  <c r="AA358" i="4"/>
  <c r="H366" i="4"/>
  <c r="AE366" i="4"/>
  <c r="AI366" i="4" s="1"/>
  <c r="AA366" i="4"/>
  <c r="H1002" i="4"/>
  <c r="AE1002" i="4"/>
  <c r="AI1002" i="4" s="1"/>
  <c r="H590" i="4"/>
  <c r="AE590" i="4"/>
  <c r="AI590" i="4" s="1"/>
  <c r="AA590" i="4"/>
  <c r="H178" i="4"/>
  <c r="AE178" i="4"/>
  <c r="AI178" i="4" s="1"/>
  <c r="AA178" i="4"/>
  <c r="AE914" i="4"/>
  <c r="AI914" i="4" s="1"/>
  <c r="AA914" i="4"/>
  <c r="H914" i="4"/>
  <c r="H502" i="4"/>
  <c r="AE502" i="4"/>
  <c r="AI502" i="4" s="1"/>
  <c r="H90" i="4"/>
  <c r="AE90" i="4"/>
  <c r="AI90" i="4" s="1"/>
  <c r="H930" i="4"/>
  <c r="AE930" i="4"/>
  <c r="AI930" i="4" s="1"/>
  <c r="H518" i="4"/>
  <c r="AE518" i="4"/>
  <c r="AI518" i="4" s="1"/>
  <c r="H106" i="4"/>
  <c r="AE106" i="4"/>
  <c r="AI106" i="4" s="1"/>
  <c r="AA106" i="4"/>
  <c r="AA25" i="4"/>
  <c r="F1301" i="4"/>
  <c r="H1197" i="4"/>
  <c r="AE1197" i="4"/>
  <c r="K1355" i="4"/>
  <c r="K1356" i="4" s="1"/>
  <c r="L1254" i="4"/>
  <c r="L1355" i="4" s="1"/>
  <c r="V523" i="4"/>
  <c r="V1274" i="4"/>
  <c r="V1284" i="4"/>
  <c r="V1292" i="4"/>
  <c r="V1300" i="4"/>
  <c r="V1306" i="4"/>
  <c r="V1310" i="4"/>
  <c r="V1312" i="4"/>
  <c r="V1314" i="4"/>
  <c r="V1324" i="4"/>
  <c r="V1330" i="4"/>
  <c r="V1338" i="4"/>
  <c r="V1340" i="4"/>
  <c r="V1354" i="4"/>
  <c r="V138" i="16"/>
  <c r="E19" i="28"/>
  <c r="H19" i="28"/>
  <c r="D19" i="28"/>
  <c r="G19" i="28"/>
  <c r="F19" i="28"/>
  <c r="I7" i="18"/>
  <c r="F7" i="18"/>
  <c r="I15" i="18"/>
  <c r="F15" i="18"/>
  <c r="D15" i="21"/>
  <c r="AM42" i="14"/>
  <c r="B42" i="19"/>
  <c r="D42" i="19" s="1"/>
  <c r="AI50" i="14"/>
  <c r="C50" i="19" s="1"/>
  <c r="AE66" i="16"/>
  <c r="AA66" i="16"/>
  <c r="W66" i="16"/>
  <c r="AH66" i="16"/>
  <c r="AD66" i="16"/>
  <c r="Z66" i="16"/>
  <c r="AG66" i="16"/>
  <c r="AC66" i="16"/>
  <c r="Y66" i="16"/>
  <c r="AF66" i="16"/>
  <c r="AB66" i="16"/>
  <c r="X66" i="16"/>
  <c r="AM78" i="14"/>
  <c r="B78" i="19"/>
  <c r="D78" i="19" s="1"/>
  <c r="AE40" i="16"/>
  <c r="AA40" i="16"/>
  <c r="W40" i="16"/>
  <c r="AH40" i="16"/>
  <c r="AD40" i="16"/>
  <c r="Z40" i="16"/>
  <c r="AG40" i="16"/>
  <c r="AC40" i="16"/>
  <c r="Y40" i="16"/>
  <c r="V40" i="16" s="1"/>
  <c r="AF40" i="16"/>
  <c r="AB40" i="16"/>
  <c r="X40" i="16"/>
  <c r="AI48" i="14"/>
  <c r="C48" i="19" s="1"/>
  <c r="AE56" i="16"/>
  <c r="AA56" i="16"/>
  <c r="W56" i="16"/>
  <c r="AH56" i="16"/>
  <c r="AD56" i="16"/>
  <c r="Z56" i="16"/>
  <c r="AG56" i="16"/>
  <c r="AC56" i="16"/>
  <c r="Y56" i="16"/>
  <c r="AF56" i="16"/>
  <c r="AB56" i="16"/>
  <c r="X56" i="16"/>
  <c r="V56" i="16" s="1"/>
  <c r="H46" i="28"/>
  <c r="H52" i="28" s="1"/>
  <c r="H12" i="28" s="1"/>
  <c r="AM26" i="14"/>
  <c r="B26" i="19"/>
  <c r="D26" i="19" s="1"/>
  <c r="AI86" i="14"/>
  <c r="C86" i="19" s="1"/>
  <c r="AE90" i="16"/>
  <c r="AA90" i="16"/>
  <c r="W90" i="16"/>
  <c r="AH90" i="16"/>
  <c r="AD90" i="16"/>
  <c r="Z90" i="16"/>
  <c r="AG90" i="16"/>
  <c r="AC90" i="16"/>
  <c r="Y90" i="16"/>
  <c r="AF90" i="16"/>
  <c r="AB90" i="16"/>
  <c r="X90" i="16"/>
  <c r="V90" i="16" s="1"/>
  <c r="B94" i="19"/>
  <c r="D94" i="19" s="1"/>
  <c r="AM94" i="14"/>
  <c r="AI102" i="14"/>
  <c r="C102" i="19" s="1"/>
  <c r="AE106" i="16"/>
  <c r="AA106" i="16"/>
  <c r="W106" i="16"/>
  <c r="AH106" i="16"/>
  <c r="AD106" i="16"/>
  <c r="Z106" i="16"/>
  <c r="AG106" i="16"/>
  <c r="AC106" i="16"/>
  <c r="Y106" i="16"/>
  <c r="AF106" i="16"/>
  <c r="AB106" i="16"/>
  <c r="X106" i="16"/>
  <c r="AI24" i="14"/>
  <c r="C24" i="19" s="1"/>
  <c r="AE32" i="16"/>
  <c r="AA32" i="16"/>
  <c r="W32" i="16"/>
  <c r="AH32" i="16"/>
  <c r="AD32" i="16"/>
  <c r="Z32" i="16"/>
  <c r="AG32" i="16"/>
  <c r="AC32" i="16"/>
  <c r="Y32" i="16"/>
  <c r="AF32" i="16"/>
  <c r="AB32" i="16"/>
  <c r="X32" i="16"/>
  <c r="AE76" i="16"/>
  <c r="AA76" i="16"/>
  <c r="W76" i="16"/>
  <c r="AH76" i="16"/>
  <c r="AD76" i="16"/>
  <c r="Z76" i="16"/>
  <c r="AG76" i="16"/>
  <c r="AC76" i="16"/>
  <c r="Y76" i="16"/>
  <c r="AF76" i="16"/>
  <c r="AB76" i="16"/>
  <c r="X76" i="16"/>
  <c r="V76" i="16" s="1"/>
  <c r="AI80" i="14"/>
  <c r="C80" i="19" s="1"/>
  <c r="B88" i="19"/>
  <c r="D88" i="19" s="1"/>
  <c r="AM88" i="14"/>
  <c r="B92" i="19"/>
  <c r="AM92" i="14"/>
  <c r="AI96" i="14"/>
  <c r="C96" i="19" s="1"/>
  <c r="B104" i="19"/>
  <c r="D104" i="19" s="1"/>
  <c r="AM104" i="14"/>
  <c r="BH51" i="5"/>
  <c r="BV51" i="5" s="1"/>
  <c r="D75" i="20"/>
  <c r="AM30" i="14"/>
  <c r="B30" i="19"/>
  <c r="D30" i="19" s="1"/>
  <c r="B64" i="19"/>
  <c r="D64" i="19" s="1"/>
  <c r="AM64" i="14"/>
  <c r="AE68" i="16"/>
  <c r="AA68" i="16"/>
  <c r="W68" i="16"/>
  <c r="AH68" i="16"/>
  <c r="AD68" i="16"/>
  <c r="Z68" i="16"/>
  <c r="AG68" i="16"/>
  <c r="AC68" i="16"/>
  <c r="Y68" i="16"/>
  <c r="AF68" i="16"/>
  <c r="AB68" i="16"/>
  <c r="X68" i="16"/>
  <c r="B72" i="19"/>
  <c r="D72" i="19" s="1"/>
  <c r="AM72" i="14"/>
  <c r="AE38" i="16"/>
  <c r="AA38" i="16"/>
  <c r="W38" i="16"/>
  <c r="AH38" i="16"/>
  <c r="AD38" i="16"/>
  <c r="Z38" i="16"/>
  <c r="AG38" i="16"/>
  <c r="AC38" i="16"/>
  <c r="Y38" i="16"/>
  <c r="AF38" i="16"/>
  <c r="AB38" i="16"/>
  <c r="X38" i="16"/>
  <c r="V38" i="16" s="1"/>
  <c r="AI60" i="14"/>
  <c r="C60" i="19" s="1"/>
  <c r="AN10" i="19"/>
  <c r="AO10" i="19" s="1"/>
  <c r="G25" i="19"/>
  <c r="AO25" i="14"/>
  <c r="G89" i="19"/>
  <c r="AO89" i="14"/>
  <c r="H31" i="19"/>
  <c r="BB31" i="19" s="1"/>
  <c r="BC31" i="19"/>
  <c r="C46" i="21" s="1"/>
  <c r="H47" i="19"/>
  <c r="BC47" i="19" s="1"/>
  <c r="C62" i="21" s="1"/>
  <c r="BI53" i="19"/>
  <c r="H53" i="19"/>
  <c r="BD53" i="19" s="1"/>
  <c r="C68" i="22" s="1"/>
  <c r="H81" i="19"/>
  <c r="BG81" i="19" s="1"/>
  <c r="C96" i="25" s="1"/>
  <c r="H97" i="19"/>
  <c r="BC97" i="19" s="1"/>
  <c r="C112" i="21" s="1"/>
  <c r="AO87" i="14"/>
  <c r="G87" i="19"/>
  <c r="F1271" i="4"/>
  <c r="H1167" i="4"/>
  <c r="AE1167" i="4"/>
  <c r="AA1167" i="4"/>
  <c r="F1275" i="4"/>
  <c r="H1171" i="4"/>
  <c r="AE1171" i="4"/>
  <c r="AA1171" i="4"/>
  <c r="F1287" i="4"/>
  <c r="H1183" i="4"/>
  <c r="AE1183" i="4"/>
  <c r="AA1183" i="4"/>
  <c r="AE575" i="4"/>
  <c r="AI575" i="4" s="1"/>
  <c r="AA575" i="4"/>
  <c r="H575" i="4"/>
  <c r="AM62" i="14"/>
  <c r="B62" i="19"/>
  <c r="D62" i="19" s="1"/>
  <c r="AE599" i="4"/>
  <c r="AI599" i="4" s="1"/>
  <c r="H599" i="4"/>
  <c r="C1355" i="4"/>
  <c r="C1356" i="4" s="1"/>
  <c r="F419" i="4"/>
  <c r="H318" i="4"/>
  <c r="AE318" i="4"/>
  <c r="AE631" i="4"/>
  <c r="AI631" i="4" s="1"/>
  <c r="AA631" i="4"/>
  <c r="AE840" i="4"/>
  <c r="AI840" i="4" s="1"/>
  <c r="AA840" i="4"/>
  <c r="H840" i="4"/>
  <c r="AE633" i="4"/>
  <c r="AI633" i="4" s="1"/>
  <c r="H633" i="4"/>
  <c r="AE842" i="4"/>
  <c r="AI842" i="4" s="1"/>
  <c r="AA842" i="4"/>
  <c r="H842" i="4"/>
  <c r="AE635" i="4"/>
  <c r="AI635" i="4" s="1"/>
  <c r="AA635" i="4"/>
  <c r="H635" i="4"/>
  <c r="AE844" i="4"/>
  <c r="AI844" i="4" s="1"/>
  <c r="AA844" i="4"/>
  <c r="H844" i="4"/>
  <c r="AE637" i="4"/>
  <c r="AI637" i="4" s="1"/>
  <c r="H637" i="4"/>
  <c r="AE846" i="4"/>
  <c r="AI846" i="4" s="1"/>
  <c r="AA846" i="4"/>
  <c r="H846" i="4"/>
  <c r="AE639" i="4"/>
  <c r="AI639" i="4" s="1"/>
  <c r="AA639" i="4"/>
  <c r="AE848" i="4"/>
  <c r="AI848" i="4" s="1"/>
  <c r="AA848" i="4"/>
  <c r="H848" i="4"/>
  <c r="AE641" i="4"/>
  <c r="AI641" i="4" s="1"/>
  <c r="AA641" i="4"/>
  <c r="H641" i="4"/>
  <c r="AE850" i="4"/>
  <c r="AI850" i="4" s="1"/>
  <c r="AA850" i="4"/>
  <c r="H850" i="4"/>
  <c r="AE643" i="4"/>
  <c r="AI643" i="4" s="1"/>
  <c r="AA643" i="4"/>
  <c r="H643" i="4"/>
  <c r="AE852" i="4"/>
  <c r="AI852" i="4" s="1"/>
  <c r="AA852" i="4"/>
  <c r="H852" i="4"/>
  <c r="AE645" i="4"/>
  <c r="AI645" i="4" s="1"/>
  <c r="H645" i="4"/>
  <c r="AE854" i="4"/>
  <c r="AI854" i="4" s="1"/>
  <c r="AA854" i="4"/>
  <c r="H854" i="4"/>
  <c r="H648" i="4"/>
  <c r="AE648" i="4"/>
  <c r="AI648" i="4" s="1"/>
  <c r="AA648" i="4"/>
  <c r="AE756" i="4"/>
  <c r="AI756" i="4" s="1"/>
  <c r="AA756" i="4"/>
  <c r="H756" i="4"/>
  <c r="F1280" i="4"/>
  <c r="H1176" i="4"/>
  <c r="AE1176" i="4"/>
  <c r="AA1176" i="4"/>
  <c r="H976" i="4"/>
  <c r="AE976" i="4"/>
  <c r="AI976" i="4" s="1"/>
  <c r="AA976" i="4"/>
  <c r="H564" i="4"/>
  <c r="AE564" i="4"/>
  <c r="AI564" i="4" s="1"/>
  <c r="H152" i="4"/>
  <c r="AE152" i="4"/>
  <c r="AI152" i="4" s="1"/>
  <c r="AA152" i="4"/>
  <c r="H992" i="4"/>
  <c r="AE992" i="4"/>
  <c r="AI992" i="4" s="1"/>
  <c r="AA992" i="4"/>
  <c r="H580" i="4"/>
  <c r="AE580" i="4"/>
  <c r="AI580" i="4" s="1"/>
  <c r="AA580" i="4"/>
  <c r="H168" i="4"/>
  <c r="AE168" i="4"/>
  <c r="AI168" i="4" s="1"/>
  <c r="H1008" i="4"/>
  <c r="AE1008" i="4"/>
  <c r="AI1008" i="4" s="1"/>
  <c r="H596" i="4"/>
  <c r="AE596" i="4"/>
  <c r="AI596" i="4" s="1"/>
  <c r="H288" i="4"/>
  <c r="AE288" i="4"/>
  <c r="AI288" i="4" s="1"/>
  <c r="H1128" i="4"/>
  <c r="AE1128" i="4"/>
  <c r="AI1128" i="4" s="1"/>
  <c r="AE716" i="4"/>
  <c r="AI716" i="4" s="1"/>
  <c r="AA716" i="4"/>
  <c r="H716" i="4"/>
  <c r="H304" i="4"/>
  <c r="AE304" i="4"/>
  <c r="AI304" i="4" s="1"/>
  <c r="H1144" i="4"/>
  <c r="AE1144" i="4"/>
  <c r="AI1144" i="4" s="1"/>
  <c r="AA1144" i="4"/>
  <c r="I4" i="23"/>
  <c r="F4" i="23"/>
  <c r="AC54" i="20"/>
  <c r="AC56" i="20" s="1"/>
  <c r="AC86" i="20"/>
  <c r="AC88" i="20" s="1"/>
  <c r="AC70" i="20"/>
  <c r="AC72" i="20" s="1"/>
  <c r="AC38" i="20"/>
  <c r="AC40" i="20" s="1"/>
  <c r="AC102" i="20"/>
  <c r="AC104" i="20" s="1"/>
  <c r="AC22" i="20"/>
  <c r="AC24" i="20" s="1"/>
  <c r="AE591" i="4"/>
  <c r="AI591" i="4" s="1"/>
  <c r="AA591" i="4"/>
  <c r="H591" i="4"/>
  <c r="H291" i="4"/>
  <c r="AE291" i="4"/>
  <c r="AI291" i="4" s="1"/>
  <c r="AA291" i="4"/>
  <c r="F1339" i="4"/>
  <c r="H1235" i="4"/>
  <c r="AE1235" i="4"/>
  <c r="AA1235" i="4"/>
  <c r="H99" i="4"/>
  <c r="AE99" i="4"/>
  <c r="AI99" i="4" s="1"/>
  <c r="AA99" i="4"/>
  <c r="V1333" i="4"/>
  <c r="V171" i="16"/>
  <c r="F1279" i="4"/>
  <c r="H1175" i="4"/>
  <c r="AE1175" i="4"/>
  <c r="AA1175" i="4"/>
  <c r="F1274" i="4"/>
  <c r="H1170" i="4"/>
  <c r="AE1170" i="4"/>
  <c r="AA1170" i="4"/>
  <c r="AE758" i="4"/>
  <c r="AI758" i="4" s="1"/>
  <c r="AA758" i="4"/>
  <c r="H758" i="4"/>
  <c r="F1282" i="4"/>
  <c r="H1178" i="4"/>
  <c r="AE1178" i="4"/>
  <c r="AA1178" i="4"/>
  <c r="AE246" i="4"/>
  <c r="AI246" i="4" s="1"/>
  <c r="AA246" i="4"/>
  <c r="H1086" i="4"/>
  <c r="AE1086" i="4"/>
  <c r="AI1086" i="4" s="1"/>
  <c r="AA1086" i="4"/>
  <c r="H674" i="4"/>
  <c r="AE674" i="4"/>
  <c r="AI674" i="4" s="1"/>
  <c r="AE262" i="4"/>
  <c r="AI262" i="4" s="1"/>
  <c r="AA262" i="4"/>
  <c r="H998" i="4"/>
  <c r="AE998" i="4"/>
  <c r="AI998" i="4" s="1"/>
  <c r="AA998" i="4"/>
  <c r="H482" i="4"/>
  <c r="AE482" i="4"/>
  <c r="AI482" i="4" s="1"/>
  <c r="AA482" i="4"/>
  <c r="H70" i="4"/>
  <c r="AE70" i="4"/>
  <c r="AI70" i="4" s="1"/>
  <c r="AA70" i="4"/>
  <c r="F1326" i="4"/>
  <c r="H1222" i="4"/>
  <c r="AE1222" i="4"/>
  <c r="AA1222" i="4"/>
  <c r="AE810" i="4"/>
  <c r="AI810" i="4" s="1"/>
  <c r="AA810" i="4"/>
  <c r="H810" i="4"/>
  <c r="F1334" i="4"/>
  <c r="AE1230" i="4"/>
  <c r="AA1230" i="4"/>
  <c r="H1230" i="4"/>
  <c r="AE818" i="4"/>
  <c r="AI818" i="4" s="1"/>
  <c r="H818" i="4"/>
  <c r="F1342" i="4"/>
  <c r="AE1238" i="4"/>
  <c r="AA1238" i="4"/>
  <c r="H1238" i="4"/>
  <c r="AE826" i="4"/>
  <c r="AI826" i="4" s="1"/>
  <c r="H826" i="4"/>
  <c r="F1350" i="4"/>
  <c r="AE1246" i="4"/>
  <c r="AA1246" i="4"/>
  <c r="H1246" i="4"/>
  <c r="AE834" i="4"/>
  <c r="AI834" i="4" s="1"/>
  <c r="AA834" i="4"/>
  <c r="H834" i="4"/>
  <c r="R34" i="5"/>
  <c r="D34" i="5"/>
  <c r="K33" i="5"/>
  <c r="U608" i="45"/>
  <c r="D27" i="68"/>
  <c r="U359" i="45"/>
  <c r="CE34" i="5"/>
  <c r="CC33" i="5"/>
  <c r="EU33" i="5"/>
  <c r="AO608" i="45"/>
  <c r="FI33" i="5"/>
  <c r="AQ608" i="45"/>
  <c r="F1283" i="4"/>
  <c r="H1179" i="4"/>
  <c r="AE1179" i="4"/>
  <c r="AA1179" i="4"/>
  <c r="F1289" i="4"/>
  <c r="H1185" i="4"/>
  <c r="AE1185" i="4"/>
  <c r="AA1185" i="4"/>
  <c r="F1353" i="4"/>
  <c r="AE1249" i="4"/>
  <c r="AA1249" i="4"/>
  <c r="H1249" i="4"/>
  <c r="D9" i="24"/>
  <c r="U1312" i="4"/>
  <c r="Y1208" i="4"/>
  <c r="AA1208" i="4" s="1"/>
  <c r="Y1104" i="4"/>
  <c r="AA1104" i="4" s="1"/>
  <c r="Y1000" i="4"/>
  <c r="AA1000" i="4" s="1"/>
  <c r="Y896" i="4"/>
  <c r="AA896" i="4" s="1"/>
  <c r="Y792" i="4"/>
  <c r="Y688" i="4"/>
  <c r="AA688" i="4" s="1"/>
  <c r="Y584" i="4"/>
  <c r="AA584" i="4" s="1"/>
  <c r="Y480" i="4"/>
  <c r="Y376" i="4"/>
  <c r="Y272" i="4"/>
  <c r="Y168" i="4"/>
  <c r="AA168" i="4" s="1"/>
  <c r="Y64" i="4"/>
  <c r="AA64" i="4" s="1"/>
  <c r="U1316" i="4"/>
  <c r="Y1212" i="4"/>
  <c r="AA1212" i="4" s="1"/>
  <c r="Y1108" i="4"/>
  <c r="Y1004" i="4"/>
  <c r="AA1004" i="4" s="1"/>
  <c r="Y900" i="4"/>
  <c r="AA900" i="4" s="1"/>
  <c r="Y796" i="4"/>
  <c r="Y692" i="4"/>
  <c r="AA692" i="4" s="1"/>
  <c r="Y588" i="4"/>
  <c r="AA588" i="4" s="1"/>
  <c r="Y484" i="4"/>
  <c r="Y380" i="4"/>
  <c r="Y276" i="4"/>
  <c r="AA276" i="4" s="1"/>
  <c r="Y172" i="4"/>
  <c r="Y68" i="4"/>
  <c r="AA68" i="4" s="1"/>
  <c r="U1320" i="4"/>
  <c r="Y1216" i="4"/>
  <c r="Y1112" i="4"/>
  <c r="Y1008" i="4"/>
  <c r="AA1008" i="4" s="1"/>
  <c r="Y904" i="4"/>
  <c r="Y800" i="4"/>
  <c r="Y696" i="4"/>
  <c r="Y592" i="4"/>
  <c r="Y488" i="4"/>
  <c r="AA488" i="4" s="1"/>
  <c r="Y384" i="4"/>
  <c r="Y280" i="4"/>
  <c r="AA280" i="4" s="1"/>
  <c r="Y176" i="4"/>
  <c r="AA176" i="4" s="1"/>
  <c r="Y72" i="4"/>
  <c r="AA72" i="4" s="1"/>
  <c r="U1324" i="4"/>
  <c r="Y1220" i="4"/>
  <c r="Y1116" i="4"/>
  <c r="AA1116" i="4" s="1"/>
  <c r="Y1012" i="4"/>
  <c r="AA1012" i="4" s="1"/>
  <c r="Y908" i="4"/>
  <c r="AA908" i="4" s="1"/>
  <c r="Y804" i="4"/>
  <c r="AA804" i="4" s="1"/>
  <c r="Y700" i="4"/>
  <c r="Y596" i="4"/>
  <c r="AA596" i="4" s="1"/>
  <c r="Y492" i="4"/>
  <c r="Y388" i="4"/>
  <c r="AA388" i="4" s="1"/>
  <c r="Y284" i="4"/>
  <c r="Y180" i="4"/>
  <c r="AA180" i="4" s="1"/>
  <c r="Y76" i="4"/>
  <c r="AA76" i="4" s="1"/>
  <c r="U1338" i="4"/>
  <c r="Y1234" i="4"/>
  <c r="AA1234" i="4" s="1"/>
  <c r="Y1130" i="4"/>
  <c r="AA1130" i="4" s="1"/>
  <c r="Y1026" i="4"/>
  <c r="AA1026" i="4" s="1"/>
  <c r="Y922" i="4"/>
  <c r="Y818" i="4"/>
  <c r="AA818" i="4" s="1"/>
  <c r="Y714" i="4"/>
  <c r="AA714" i="4" s="1"/>
  <c r="Y610" i="4"/>
  <c r="AA610" i="4" s="1"/>
  <c r="Y506" i="4"/>
  <c r="AA506" i="4" s="1"/>
  <c r="Y402" i="4"/>
  <c r="Y298" i="4"/>
  <c r="Y194" i="4"/>
  <c r="Y90" i="4"/>
  <c r="AA90" i="4" s="1"/>
  <c r="K67" i="28"/>
  <c r="I67" i="28"/>
  <c r="G67" i="28"/>
  <c r="M67" i="28"/>
  <c r="E67" i="28"/>
  <c r="F14" i="28"/>
  <c r="E14" i="28"/>
  <c r="D14" i="28"/>
  <c r="G14" i="28"/>
  <c r="H14" i="28"/>
  <c r="T70" i="20"/>
  <c r="T72" i="20" s="1"/>
  <c r="T86" i="20"/>
  <c r="T88" i="20" s="1"/>
  <c r="T102" i="20"/>
  <c r="T104" i="20" s="1"/>
  <c r="T54" i="20"/>
  <c r="T56" i="20" s="1"/>
  <c r="T38" i="20"/>
  <c r="T40" i="20" s="1"/>
  <c r="T22" i="20"/>
  <c r="T24" i="20" s="1"/>
  <c r="D13" i="18"/>
  <c r="D7" i="22"/>
  <c r="D15" i="22"/>
  <c r="D7" i="23"/>
  <c r="N35" i="44"/>
  <c r="M36" i="44"/>
  <c r="G37" i="19"/>
  <c r="AO37" i="14"/>
  <c r="G101" i="19"/>
  <c r="AO101" i="14"/>
  <c r="R10" i="20"/>
  <c r="AM57" i="14"/>
  <c r="AO43" i="14"/>
  <c r="G43" i="19"/>
  <c r="AE647" i="4"/>
  <c r="AI647" i="4" s="1"/>
  <c r="AA647" i="4"/>
  <c r="H647" i="4"/>
  <c r="H235" i="4"/>
  <c r="AE235" i="4"/>
  <c r="AI235" i="4" s="1"/>
  <c r="AA235" i="4"/>
  <c r="AE55" i="4"/>
  <c r="AI55" i="4" s="1"/>
  <c r="H483" i="4"/>
  <c r="AE483" i="4"/>
  <c r="AI483" i="4" s="1"/>
  <c r="AA483" i="4"/>
  <c r="H911" i="4"/>
  <c r="AE911" i="4"/>
  <c r="AI911" i="4" s="1"/>
  <c r="AA911" i="4"/>
  <c r="G5" i="29"/>
  <c r="H6" i="29"/>
  <c r="I5" i="29"/>
  <c r="K5" i="29" s="1"/>
  <c r="AA6" i="14"/>
  <c r="H111" i="4"/>
  <c r="AE111" i="4"/>
  <c r="AI111" i="4" s="1"/>
  <c r="AA111" i="4"/>
  <c r="H320" i="4"/>
  <c r="AE320" i="4"/>
  <c r="AI320" i="4" s="1"/>
  <c r="AA320" i="4"/>
  <c r="AE529" i="4"/>
  <c r="AI529" i="4" s="1"/>
  <c r="AA529" i="4"/>
  <c r="H529" i="4"/>
  <c r="AE738" i="4"/>
  <c r="AI738" i="4" s="1"/>
  <c r="AA738" i="4"/>
  <c r="H738" i="4"/>
  <c r="AE947" i="4"/>
  <c r="AI947" i="4" s="1"/>
  <c r="AA947" i="4"/>
  <c r="H947" i="4"/>
  <c r="F1262" i="4"/>
  <c r="H1158" i="4"/>
  <c r="AE1158" i="4"/>
  <c r="AA1158" i="4"/>
  <c r="H119" i="4"/>
  <c r="AE119" i="4"/>
  <c r="AI119" i="4" s="1"/>
  <c r="AA119" i="4"/>
  <c r="H328" i="4"/>
  <c r="AE328" i="4"/>
  <c r="AI328" i="4" s="1"/>
  <c r="AA328" i="4"/>
  <c r="AE537" i="4"/>
  <c r="AI537" i="4" s="1"/>
  <c r="H537" i="4"/>
  <c r="AE746" i="4"/>
  <c r="AI746" i="4" s="1"/>
  <c r="AA746" i="4"/>
  <c r="H746" i="4"/>
  <c r="AE955" i="4"/>
  <c r="AI955" i="4" s="1"/>
  <c r="AA955" i="4"/>
  <c r="H955" i="4"/>
  <c r="F1270" i="4"/>
  <c r="H1166" i="4"/>
  <c r="AE1166" i="4"/>
  <c r="AA1166" i="4"/>
  <c r="H128" i="4"/>
  <c r="AE128" i="4"/>
  <c r="AI128" i="4" s="1"/>
  <c r="AA128" i="4"/>
  <c r="H1072" i="4"/>
  <c r="AE1072" i="4"/>
  <c r="AI1072" i="4" s="1"/>
  <c r="AA1072" i="4"/>
  <c r="AE872" i="4"/>
  <c r="AI872" i="4" s="1"/>
  <c r="AA872" i="4"/>
  <c r="H872" i="4"/>
  <c r="H460" i="4"/>
  <c r="AE460" i="4"/>
  <c r="AI460" i="4" s="1"/>
  <c r="AA460" i="4"/>
  <c r="H48" i="4"/>
  <c r="AE48" i="4"/>
  <c r="AI48" i="4" s="1"/>
  <c r="AA48" i="4"/>
  <c r="G55" i="4"/>
  <c r="G159" i="4" s="1"/>
  <c r="H159" i="4" s="1"/>
  <c r="I55" i="14"/>
  <c r="H472" i="4"/>
  <c r="AE472" i="4"/>
  <c r="AI472" i="4" s="1"/>
  <c r="AA472" i="4"/>
  <c r="G63" i="4"/>
  <c r="I63" i="14"/>
  <c r="H480" i="4"/>
  <c r="AE480" i="4"/>
  <c r="AI480" i="4" s="1"/>
  <c r="AA480" i="4"/>
  <c r="H172" i="4"/>
  <c r="AE172" i="4"/>
  <c r="AI172" i="4" s="1"/>
  <c r="AA172" i="4"/>
  <c r="G75" i="4"/>
  <c r="I75" i="14"/>
  <c r="H492" i="4"/>
  <c r="AE492" i="4"/>
  <c r="AI492" i="4" s="1"/>
  <c r="AA492" i="4"/>
  <c r="H184" i="4"/>
  <c r="AE184" i="4"/>
  <c r="AI184" i="4" s="1"/>
  <c r="H1024" i="4"/>
  <c r="AE1024" i="4"/>
  <c r="AI1024" i="4" s="1"/>
  <c r="AA1024" i="4"/>
  <c r="H612" i="4"/>
  <c r="AE612" i="4"/>
  <c r="AI612" i="4" s="1"/>
  <c r="AA612" i="4"/>
  <c r="H200" i="4"/>
  <c r="AE200" i="4"/>
  <c r="AI200" i="4" s="1"/>
  <c r="H1040" i="4"/>
  <c r="AE1040" i="4"/>
  <c r="AI1040" i="4" s="1"/>
  <c r="AA1040" i="4"/>
  <c r="I4" i="21"/>
  <c r="F4" i="21"/>
  <c r="H71" i="4"/>
  <c r="AE71" i="4"/>
  <c r="AI71" i="4" s="1"/>
  <c r="AA71" i="4"/>
  <c r="AE1023" i="4"/>
  <c r="AI1023" i="4" s="1"/>
  <c r="H1023" i="4"/>
  <c r="H715" i="4"/>
  <c r="AE715" i="4"/>
  <c r="AI715" i="4" s="1"/>
  <c r="AA715" i="4"/>
  <c r="H827" i="4"/>
  <c r="AE827" i="4"/>
  <c r="AI827" i="4" s="1"/>
  <c r="AA827" i="4"/>
  <c r="U1329" i="4"/>
  <c r="Y1225" i="4"/>
  <c r="Y1121" i="4"/>
  <c r="Y1017" i="4"/>
  <c r="Y913" i="4"/>
  <c r="Y809" i="4"/>
  <c r="Y705" i="4"/>
  <c r="Y601" i="4"/>
  <c r="Y497" i="4"/>
  <c r="Y393" i="4"/>
  <c r="Y289" i="4"/>
  <c r="Y185" i="4"/>
  <c r="AA185" i="4" s="1"/>
  <c r="Y81" i="4"/>
  <c r="AA81" i="4" s="1"/>
  <c r="U1335" i="4"/>
  <c r="Y1231" i="4"/>
  <c r="AA1231" i="4" s="1"/>
  <c r="Y1127" i="4"/>
  <c r="Y1023" i="4"/>
  <c r="AA1023" i="4" s="1"/>
  <c r="Y815" i="4"/>
  <c r="Y919" i="4"/>
  <c r="Y711" i="4"/>
  <c r="Y607" i="4"/>
  <c r="AA607" i="4" s="1"/>
  <c r="Y503" i="4"/>
  <c r="AA503" i="4" s="1"/>
  <c r="Y399" i="4"/>
  <c r="AA399" i="4" s="1"/>
  <c r="Y295" i="4"/>
  <c r="Y191" i="4"/>
  <c r="AA191" i="4" s="1"/>
  <c r="Y87" i="4"/>
  <c r="AA87" i="4" s="1"/>
  <c r="U1337" i="4"/>
  <c r="Y1233" i="4"/>
  <c r="Y1129" i="4"/>
  <c r="Y1025" i="4"/>
  <c r="Y921" i="4"/>
  <c r="Y817" i="4"/>
  <c r="Y713" i="4"/>
  <c r="Y609" i="4"/>
  <c r="Y505" i="4"/>
  <c r="Y401" i="4"/>
  <c r="Y297" i="4"/>
  <c r="Y193" i="4"/>
  <c r="AA193" i="4" s="1"/>
  <c r="Y89" i="4"/>
  <c r="AA89" i="4" s="1"/>
  <c r="V102" i="20"/>
  <c r="V104" i="20" s="1"/>
  <c r="V86" i="20"/>
  <c r="V88" i="20" s="1"/>
  <c r="V22" i="20"/>
  <c r="V24" i="20" s="1"/>
  <c r="V54" i="20"/>
  <c r="V56" i="20" s="1"/>
  <c r="V70" i="20"/>
  <c r="V72" i="20" s="1"/>
  <c r="V38" i="20"/>
  <c r="V40" i="20" s="1"/>
  <c r="V165" i="16"/>
  <c r="AJ102" i="19"/>
  <c r="AF102" i="19"/>
  <c r="AL102" i="19"/>
  <c r="AH102" i="19"/>
  <c r="AM102" i="19"/>
  <c r="AK102" i="19"/>
  <c r="AI102" i="19"/>
  <c r="AG102" i="19"/>
  <c r="D11" i="24"/>
  <c r="H234" i="4"/>
  <c r="AE234" i="4"/>
  <c r="AI234" i="4" s="1"/>
  <c r="AA234" i="4"/>
  <c r="H1074" i="4"/>
  <c r="AE1074" i="4"/>
  <c r="AI1074" i="4" s="1"/>
  <c r="AA1074" i="4"/>
  <c r="H558" i="4"/>
  <c r="AE558" i="4"/>
  <c r="AI558" i="4" s="1"/>
  <c r="AA558" i="4"/>
  <c r="H146" i="4"/>
  <c r="AE146" i="4"/>
  <c r="AI146" i="4" s="1"/>
  <c r="AA146" i="4"/>
  <c r="H986" i="4"/>
  <c r="AE986" i="4"/>
  <c r="AI986" i="4" s="1"/>
  <c r="AA986" i="4"/>
  <c r="H574" i="4"/>
  <c r="AE574" i="4"/>
  <c r="AI574" i="4" s="1"/>
  <c r="AA574" i="4"/>
  <c r="H162" i="4"/>
  <c r="AE162" i="4"/>
  <c r="AI162" i="4" s="1"/>
  <c r="AA162" i="4"/>
  <c r="F1314" i="4"/>
  <c r="H1210" i="4"/>
  <c r="AE1210" i="4"/>
  <c r="AA1210" i="4"/>
  <c r="AE798" i="4"/>
  <c r="AI798" i="4" s="1"/>
  <c r="AA798" i="4"/>
  <c r="H798" i="4"/>
  <c r="F1322" i="4"/>
  <c r="H1218" i="4"/>
  <c r="AE1218" i="4"/>
  <c r="AA1218" i="4"/>
  <c r="H286" i="4"/>
  <c r="AE286" i="4"/>
  <c r="AI286" i="4" s="1"/>
  <c r="AA286" i="4"/>
  <c r="H1126" i="4"/>
  <c r="AE1126" i="4"/>
  <c r="AI1126" i="4" s="1"/>
  <c r="AA1126" i="4"/>
  <c r="AE714" i="4"/>
  <c r="AI714" i="4" s="1"/>
  <c r="H714" i="4"/>
  <c r="H302" i="4"/>
  <c r="AE302" i="4"/>
  <c r="AI302" i="4" s="1"/>
  <c r="AA302" i="4"/>
  <c r="H1142" i="4"/>
  <c r="AE1142" i="4"/>
  <c r="AI1142" i="4" s="1"/>
  <c r="AA1142" i="4"/>
  <c r="AE730" i="4"/>
  <c r="AI730" i="4" s="1"/>
  <c r="AA730" i="4"/>
  <c r="H730" i="4"/>
  <c r="K47" i="5"/>
  <c r="R46" i="5"/>
  <c r="AF46" i="5" s="1"/>
  <c r="AT46" i="5" s="1"/>
  <c r="BH46" i="5" s="1"/>
  <c r="BV46" i="5" s="1"/>
  <c r="CJ46" i="5" s="1"/>
  <c r="CX46" i="5" s="1"/>
  <c r="DL46" i="5" s="1"/>
  <c r="DZ46" i="5" s="1"/>
  <c r="EN46" i="5" s="1"/>
  <c r="FB46" i="5" s="1"/>
  <c r="FP46" i="5" s="1"/>
  <c r="D46" i="5"/>
  <c r="D39" i="68"/>
  <c r="F1307" i="4"/>
  <c r="H1203" i="4"/>
  <c r="AE1203" i="4"/>
  <c r="AA1203" i="4"/>
  <c r="F1311" i="4"/>
  <c r="H1207" i="4"/>
  <c r="AE1207" i="4"/>
  <c r="AA1207" i="4"/>
  <c r="F1323" i="4"/>
  <c r="H1219" i="4"/>
  <c r="AE1219" i="4"/>
  <c r="AA1219" i="4"/>
  <c r="AA49" i="4"/>
  <c r="F1325" i="4"/>
  <c r="H1221" i="4"/>
  <c r="AE1221" i="4"/>
  <c r="AA1221" i="4"/>
  <c r="H81" i="4"/>
  <c r="D9" i="23"/>
  <c r="V627" i="4"/>
  <c r="V1332" i="4"/>
  <c r="I14" i="18"/>
  <c r="F14" i="18"/>
  <c r="AM25" i="14"/>
  <c r="G65" i="19"/>
  <c r="AO65" i="14"/>
  <c r="AM71" i="14"/>
  <c r="AM73" i="14"/>
  <c r="AE543" i="4"/>
  <c r="AI543" i="4" s="1"/>
  <c r="AA543" i="4"/>
  <c r="H543" i="4"/>
  <c r="H131" i="4"/>
  <c r="AE131" i="4"/>
  <c r="AI131" i="4" s="1"/>
  <c r="AA131" i="4"/>
  <c r="F1303" i="4"/>
  <c r="H1199" i="4"/>
  <c r="AE1199" i="4"/>
  <c r="AA1199" i="4"/>
  <c r="AE70" i="16"/>
  <c r="AA70" i="16"/>
  <c r="W70" i="16"/>
  <c r="AH70" i="16"/>
  <c r="AD70" i="16"/>
  <c r="Z70" i="16"/>
  <c r="AG70" i="16"/>
  <c r="AC70" i="16"/>
  <c r="Y70" i="16"/>
  <c r="AF70" i="16"/>
  <c r="AB70" i="16"/>
  <c r="X70" i="16"/>
  <c r="H807" i="4"/>
  <c r="AE807" i="4"/>
  <c r="AI807" i="4" s="1"/>
  <c r="AA807" i="4"/>
  <c r="B13" i="26"/>
  <c r="B13" i="25"/>
  <c r="B13" i="24"/>
  <c r="B13" i="23"/>
  <c r="B13" i="22"/>
  <c r="B13" i="18"/>
  <c r="B13" i="21"/>
  <c r="B12" i="26"/>
  <c r="B12" i="25"/>
  <c r="B12" i="24"/>
  <c r="B12" i="23"/>
  <c r="B12" i="22"/>
  <c r="B12" i="18"/>
  <c r="B12" i="21"/>
  <c r="B5" i="26"/>
  <c r="B5" i="25"/>
  <c r="B5" i="24"/>
  <c r="B5" i="23"/>
  <c r="B5" i="22"/>
  <c r="B5" i="18"/>
  <c r="B5" i="21"/>
  <c r="AJ107" i="14"/>
  <c r="H1048" i="4"/>
  <c r="AE1048" i="4"/>
  <c r="AI1048" i="4" s="1"/>
  <c r="AA1048" i="4"/>
  <c r="H1050" i="4"/>
  <c r="AE1050" i="4"/>
  <c r="AI1050" i="4" s="1"/>
  <c r="AA1050" i="4"/>
  <c r="H1052" i="4"/>
  <c r="AE1052" i="4"/>
  <c r="AI1052" i="4" s="1"/>
  <c r="AA1052" i="4"/>
  <c r="H1054" i="4"/>
  <c r="AE1054" i="4"/>
  <c r="AI1054" i="4" s="1"/>
  <c r="AA1054" i="4"/>
  <c r="H1056" i="4"/>
  <c r="AE1056" i="4"/>
  <c r="AI1056" i="4" s="1"/>
  <c r="AA1056" i="4"/>
  <c r="H1058" i="4"/>
  <c r="AE1058" i="4"/>
  <c r="AI1058" i="4" s="1"/>
  <c r="AA1058" i="4"/>
  <c r="H1060" i="4"/>
  <c r="AE1060" i="4"/>
  <c r="AI1060" i="4" s="1"/>
  <c r="AA1060" i="4"/>
  <c r="H1062" i="4"/>
  <c r="AE1062" i="4"/>
  <c r="AI1062" i="4" s="1"/>
  <c r="AA1062" i="4"/>
  <c r="G23" i="4"/>
  <c r="G127" i="4" s="1"/>
  <c r="AA127" i="4" s="1"/>
  <c r="I23" i="14"/>
  <c r="I107" i="14" s="1"/>
  <c r="H24" i="4"/>
  <c r="AE24" i="4"/>
  <c r="AI24" i="4" s="1"/>
  <c r="AA24" i="4"/>
  <c r="H968" i="4"/>
  <c r="AE968" i="4"/>
  <c r="AI968" i="4" s="1"/>
  <c r="AA968" i="4"/>
  <c r="H660" i="4"/>
  <c r="AE660" i="4"/>
  <c r="AI660" i="4" s="1"/>
  <c r="AA660" i="4"/>
  <c r="AE768" i="4"/>
  <c r="AI768" i="4" s="1"/>
  <c r="AA768" i="4"/>
  <c r="H768" i="4"/>
  <c r="F1292" i="4"/>
  <c r="H1188" i="4"/>
  <c r="AE1188" i="4"/>
  <c r="AA1188" i="4"/>
  <c r="AE776" i="4"/>
  <c r="AI776" i="4" s="1"/>
  <c r="AA776" i="4"/>
  <c r="H776" i="4"/>
  <c r="F1300" i="4"/>
  <c r="H1196" i="4"/>
  <c r="AE1196" i="4"/>
  <c r="AA1196" i="4"/>
  <c r="AE784" i="4"/>
  <c r="AI784" i="4" s="1"/>
  <c r="AA784" i="4"/>
  <c r="H784" i="4"/>
  <c r="F1308" i="4"/>
  <c r="H1204" i="4"/>
  <c r="AE1204" i="4"/>
  <c r="AA1204" i="4"/>
  <c r="AE792" i="4"/>
  <c r="AI792" i="4" s="1"/>
  <c r="AA792" i="4"/>
  <c r="H792" i="4"/>
  <c r="AO67" i="14"/>
  <c r="G67" i="19"/>
  <c r="H484" i="4"/>
  <c r="AE484" i="4"/>
  <c r="AI484" i="4" s="1"/>
  <c r="AA484" i="4"/>
  <c r="AE800" i="4"/>
  <c r="AI800" i="4" s="1"/>
  <c r="AA800" i="4"/>
  <c r="H800" i="4"/>
  <c r="F1324" i="4"/>
  <c r="H1220" i="4"/>
  <c r="AE1220" i="4"/>
  <c r="AA1220" i="4"/>
  <c r="AE916" i="4"/>
  <c r="AI916" i="4" s="1"/>
  <c r="H916" i="4"/>
  <c r="H504" i="4"/>
  <c r="AE504" i="4"/>
  <c r="AI504" i="4" s="1"/>
  <c r="H92" i="4"/>
  <c r="AE92" i="4"/>
  <c r="AI92" i="4" s="1"/>
  <c r="AA92" i="4"/>
  <c r="H932" i="4"/>
  <c r="AE932" i="4"/>
  <c r="AI932" i="4" s="1"/>
  <c r="AA932" i="4"/>
  <c r="H520" i="4"/>
  <c r="AE520" i="4"/>
  <c r="AI520" i="4" s="1"/>
  <c r="AA520" i="4"/>
  <c r="AO46" i="5"/>
  <c r="AM47" i="5"/>
  <c r="U102" i="20"/>
  <c r="U104" i="20" s="1"/>
  <c r="U54" i="20"/>
  <c r="U56" i="20" s="1"/>
  <c r="U22" i="20"/>
  <c r="U24" i="20" s="1"/>
  <c r="U86" i="20"/>
  <c r="U88" i="20" s="1"/>
  <c r="U70" i="20"/>
  <c r="U72" i="20" s="1"/>
  <c r="U38" i="20"/>
  <c r="U40" i="20" s="1"/>
  <c r="F1319" i="4"/>
  <c r="H1215" i="4"/>
  <c r="AE1215" i="4"/>
  <c r="AA1215" i="4"/>
  <c r="H83" i="4"/>
  <c r="AE83" i="4"/>
  <c r="AI83" i="4" s="1"/>
  <c r="AA83" i="4"/>
  <c r="H1027" i="4"/>
  <c r="AE1027" i="4"/>
  <c r="AI1027" i="4" s="1"/>
  <c r="H723" i="4"/>
  <c r="AE723" i="4"/>
  <c r="AI723" i="4" s="1"/>
  <c r="AA723" i="4"/>
  <c r="V1291" i="4"/>
  <c r="V1293" i="4"/>
  <c r="V1309" i="4"/>
  <c r="V1311" i="4"/>
  <c r="V1313" i="4"/>
  <c r="V1315" i="4"/>
  <c r="V1327" i="4"/>
  <c r="AH188" i="16"/>
  <c r="AD188" i="16"/>
  <c r="Z188" i="16"/>
  <c r="AG188" i="16"/>
  <c r="AC188" i="16"/>
  <c r="Y188" i="16"/>
  <c r="U188" i="16"/>
  <c r="AF188" i="16"/>
  <c r="AB188" i="16"/>
  <c r="X188" i="16"/>
  <c r="AE188" i="16"/>
  <c r="AA188" i="16"/>
  <c r="W188" i="16"/>
  <c r="H43" i="4"/>
  <c r="AA51" i="4"/>
  <c r="F1351" i="4"/>
  <c r="AA1247" i="4"/>
  <c r="H1247" i="4"/>
  <c r="AE1247" i="4"/>
  <c r="H546" i="4"/>
  <c r="AE546" i="4"/>
  <c r="AI546" i="4" s="1"/>
  <c r="AA546" i="4"/>
  <c r="H134" i="4"/>
  <c r="AE134" i="4"/>
  <c r="AI134" i="4" s="1"/>
  <c r="AA134" i="4"/>
  <c r="AE870" i="4"/>
  <c r="AI870" i="4" s="1"/>
  <c r="AA870" i="4"/>
  <c r="H870" i="4"/>
  <c r="H458" i="4"/>
  <c r="AE458" i="4"/>
  <c r="AI458" i="4" s="1"/>
  <c r="AA458" i="4"/>
  <c r="H46" i="4"/>
  <c r="AE46" i="4"/>
  <c r="AI46" i="4" s="1"/>
  <c r="AA46" i="4"/>
  <c r="AE886" i="4"/>
  <c r="AI886" i="4" s="1"/>
  <c r="AA886" i="4"/>
  <c r="H886" i="4"/>
  <c r="H474" i="4"/>
  <c r="AE474" i="4"/>
  <c r="AI474" i="4" s="1"/>
  <c r="AA474" i="4"/>
  <c r="AE790" i="4"/>
  <c r="AI790" i="4" s="1"/>
  <c r="AA790" i="4"/>
  <c r="H790" i="4"/>
  <c r="H1106" i="4"/>
  <c r="AE1106" i="4"/>
  <c r="AI1106" i="4" s="1"/>
  <c r="AA1106" i="4"/>
  <c r="H694" i="4"/>
  <c r="AE694" i="4"/>
  <c r="AI694" i="4" s="1"/>
  <c r="AA694" i="4"/>
  <c r="H282" i="4"/>
  <c r="AE282" i="4"/>
  <c r="AI282" i="4" s="1"/>
  <c r="AA282" i="4"/>
  <c r="H1018" i="4"/>
  <c r="AE1018" i="4"/>
  <c r="AI1018" i="4" s="1"/>
  <c r="AA1018" i="4"/>
  <c r="H606" i="4"/>
  <c r="AE606" i="4"/>
  <c r="AI606" i="4" s="1"/>
  <c r="AA606" i="4"/>
  <c r="H194" i="4"/>
  <c r="AE194" i="4"/>
  <c r="AI194" i="4" s="1"/>
  <c r="AA194" i="4"/>
  <c r="H1034" i="4"/>
  <c r="AE1034" i="4"/>
  <c r="AI1034" i="4" s="1"/>
  <c r="H622" i="4"/>
  <c r="AE622" i="4"/>
  <c r="AI622" i="4" s="1"/>
  <c r="AA622" i="4"/>
  <c r="H210" i="4"/>
  <c r="AE210" i="4"/>
  <c r="AI210" i="4" s="1"/>
  <c r="AA210" i="4"/>
  <c r="V118" i="16"/>
  <c r="BA23" i="62"/>
  <c r="BA47" i="62"/>
  <c r="F1297" i="4"/>
  <c r="H1193" i="4"/>
  <c r="AE1193" i="4"/>
  <c r="AA1193" i="4"/>
  <c r="H53" i="4"/>
  <c r="AA85" i="4"/>
  <c r="I9" i="18"/>
  <c r="F9" i="18"/>
  <c r="U1328" i="4"/>
  <c r="Y1224" i="4"/>
  <c r="Y1120" i="4"/>
  <c r="AA1120" i="4" s="1"/>
  <c r="Y1016" i="4"/>
  <c r="AA1016" i="4" s="1"/>
  <c r="Y912" i="4"/>
  <c r="Y808" i="4"/>
  <c r="Y704" i="4"/>
  <c r="AA704" i="4" s="1"/>
  <c r="Y600" i="4"/>
  <c r="AA600" i="4" s="1"/>
  <c r="Y496" i="4"/>
  <c r="AA496" i="4" s="1"/>
  <c r="Y392" i="4"/>
  <c r="Y288" i="4"/>
  <c r="AA288" i="4" s="1"/>
  <c r="Y184" i="4"/>
  <c r="AA184" i="4" s="1"/>
  <c r="Y80" i="4"/>
  <c r="AA80" i="4" s="1"/>
  <c r="U1332" i="4"/>
  <c r="Y1228" i="4"/>
  <c r="Y1124" i="4"/>
  <c r="Y1020" i="4"/>
  <c r="Y916" i="4"/>
  <c r="AA916" i="4" s="1"/>
  <c r="Y812" i="4"/>
  <c r="AA812" i="4" s="1"/>
  <c r="Y604" i="4"/>
  <c r="AA604" i="4" s="1"/>
  <c r="Y708" i="4"/>
  <c r="AA708" i="4" s="1"/>
  <c r="Y396" i="4"/>
  <c r="AA396" i="4" s="1"/>
  <c r="Y292" i="4"/>
  <c r="AA292" i="4" s="1"/>
  <c r="Y500" i="4"/>
  <c r="Y188" i="4"/>
  <c r="AA188" i="4" s="1"/>
  <c r="Y84" i="4"/>
  <c r="AA84" i="4" s="1"/>
  <c r="U1344" i="4"/>
  <c r="Y1240" i="4"/>
  <c r="Y1136" i="4"/>
  <c r="AA1136" i="4" s="1"/>
  <c r="Y1032" i="4"/>
  <c r="AA1032" i="4" s="1"/>
  <c r="Y928" i="4"/>
  <c r="Y824" i="4"/>
  <c r="AA824" i="4" s="1"/>
  <c r="Y720" i="4"/>
  <c r="AA720" i="4" s="1"/>
  <c r="Y616" i="4"/>
  <c r="AA616" i="4" s="1"/>
  <c r="Y512" i="4"/>
  <c r="AA512" i="4" s="1"/>
  <c r="Y408" i="4"/>
  <c r="Y304" i="4"/>
  <c r="AA304" i="4" s="1"/>
  <c r="Y200" i="4"/>
  <c r="AA200" i="4" s="1"/>
  <c r="Y96" i="4"/>
  <c r="AA96" i="4" s="1"/>
  <c r="U1346" i="4"/>
  <c r="Y1242" i="4"/>
  <c r="Y1138" i="4"/>
  <c r="Y1034" i="4"/>
  <c r="AA1034" i="4" s="1"/>
  <c r="Y930" i="4"/>
  <c r="AA930" i="4" s="1"/>
  <c r="Y826" i="4"/>
  <c r="AA826" i="4" s="1"/>
  <c r="Y722" i="4"/>
  <c r="AA722" i="4" s="1"/>
  <c r="Y618" i="4"/>
  <c r="Y514" i="4"/>
  <c r="AA514" i="4" s="1"/>
  <c r="Y410" i="4"/>
  <c r="Y306" i="4"/>
  <c r="AA306" i="4" s="1"/>
  <c r="Y202" i="4"/>
  <c r="AA202" i="4" s="1"/>
  <c r="Y98" i="4"/>
  <c r="AA98" i="4" s="1"/>
  <c r="R47" i="62"/>
  <c r="AF21" i="62"/>
  <c r="DE28" i="62"/>
  <c r="CQ29" i="62"/>
  <c r="G77" i="19"/>
  <c r="AO77" i="14"/>
  <c r="AB86" i="20"/>
  <c r="AB88" i="20" s="1"/>
  <c r="AB70" i="20"/>
  <c r="AB72" i="20" s="1"/>
  <c r="AB102" i="20"/>
  <c r="AB104" i="20" s="1"/>
  <c r="AB54" i="20"/>
  <c r="AB56" i="20" s="1"/>
  <c r="AB38" i="20"/>
  <c r="AB40" i="20" s="1"/>
  <c r="AB22" i="20"/>
  <c r="AB24" i="20" s="1"/>
  <c r="BI27" i="19"/>
  <c r="H27" i="19"/>
  <c r="BE27" i="19" s="1"/>
  <c r="C42" i="23" s="1"/>
  <c r="BD27" i="19"/>
  <c r="C42" i="22" s="1"/>
  <c r="AM43" i="14"/>
  <c r="D95" i="19"/>
  <c r="D45" i="19"/>
  <c r="H439" i="4"/>
  <c r="AE439" i="4"/>
  <c r="AI439" i="4" s="1"/>
  <c r="AA439" i="4"/>
  <c r="H27" i="4"/>
  <c r="AE27" i="4"/>
  <c r="AI27" i="4" s="1"/>
  <c r="AA27" i="4"/>
  <c r="H1095" i="4"/>
  <c r="AE1095" i="4"/>
  <c r="AI1095" i="4" s="1"/>
  <c r="AA1095" i="4"/>
  <c r="AK58" i="19"/>
  <c r="AG58" i="19"/>
  <c r="AJ58" i="19"/>
  <c r="AF58" i="19"/>
  <c r="AM58" i="19"/>
  <c r="AI58" i="19"/>
  <c r="AL58" i="19"/>
  <c r="AH58" i="19"/>
  <c r="AA495" i="4"/>
  <c r="AE495" i="4"/>
  <c r="AI495" i="4" s="1"/>
  <c r="H495" i="4"/>
  <c r="F1257" i="4"/>
  <c r="H1153" i="4"/>
  <c r="AE1153" i="4"/>
  <c r="AA1153" i="4"/>
  <c r="H114" i="4"/>
  <c r="AE114" i="4"/>
  <c r="AI114" i="4" s="1"/>
  <c r="AA114" i="4"/>
  <c r="H323" i="4"/>
  <c r="AE323" i="4"/>
  <c r="AI323" i="4" s="1"/>
  <c r="AA323" i="4"/>
  <c r="H532" i="4"/>
  <c r="AE532" i="4"/>
  <c r="AI532" i="4" s="1"/>
  <c r="AA532" i="4"/>
  <c r="H741" i="4"/>
  <c r="AE741" i="4"/>
  <c r="AI741" i="4" s="1"/>
  <c r="AA741" i="4"/>
  <c r="H950" i="4"/>
  <c r="AE950" i="4"/>
  <c r="AI950" i="4" s="1"/>
  <c r="AA950" i="4"/>
  <c r="F1265" i="4"/>
  <c r="H1161" i="4"/>
  <c r="AE1161" i="4"/>
  <c r="AA1161" i="4"/>
  <c r="H122" i="4"/>
  <c r="AE122" i="4"/>
  <c r="AI122" i="4" s="1"/>
  <c r="AA122" i="4"/>
  <c r="H331" i="4"/>
  <c r="AE331" i="4"/>
  <c r="AI331" i="4" s="1"/>
  <c r="AA331" i="4"/>
  <c r="H540" i="4"/>
  <c r="AE540" i="4"/>
  <c r="AI540" i="4" s="1"/>
  <c r="AA540" i="4"/>
  <c r="H749" i="4"/>
  <c r="AE749" i="4"/>
  <c r="AI749" i="4" s="1"/>
  <c r="AA749" i="4"/>
  <c r="H958" i="4"/>
  <c r="AE958" i="4"/>
  <c r="AI958" i="4" s="1"/>
  <c r="AA958" i="4"/>
  <c r="AE860" i="4"/>
  <c r="AI860" i="4" s="1"/>
  <c r="AA860" i="4"/>
  <c r="H860" i="4"/>
  <c r="H448" i="4"/>
  <c r="AE448" i="4"/>
  <c r="AI448" i="4" s="1"/>
  <c r="AA448" i="4"/>
  <c r="H140" i="4"/>
  <c r="AE140" i="4"/>
  <c r="AI140" i="4" s="1"/>
  <c r="AA140" i="4"/>
  <c r="H1084" i="4"/>
  <c r="AE1084" i="4"/>
  <c r="AI1084" i="4" s="1"/>
  <c r="AA1084" i="4"/>
  <c r="H672" i="4"/>
  <c r="AE672" i="4"/>
  <c r="AI672" i="4" s="1"/>
  <c r="AA672" i="4"/>
  <c r="H260" i="4"/>
  <c r="AE260" i="4"/>
  <c r="AI260" i="4" s="1"/>
  <c r="AA260" i="4"/>
  <c r="H1100" i="4"/>
  <c r="AE1100" i="4"/>
  <c r="AI1100" i="4" s="1"/>
  <c r="AA1100" i="4"/>
  <c r="H688" i="4"/>
  <c r="AE688" i="4"/>
  <c r="AI688" i="4" s="1"/>
  <c r="AE796" i="4"/>
  <c r="AI796" i="4" s="1"/>
  <c r="AA796" i="4"/>
  <c r="H796" i="4"/>
  <c r="H1112" i="4"/>
  <c r="AE1112" i="4"/>
  <c r="AI1112" i="4" s="1"/>
  <c r="AA1112" i="4"/>
  <c r="H700" i="4"/>
  <c r="AE700" i="4"/>
  <c r="AI700" i="4" s="1"/>
  <c r="AA700" i="4"/>
  <c r="AE808" i="4"/>
  <c r="AI808" i="4" s="1"/>
  <c r="AA808" i="4"/>
  <c r="H808" i="4"/>
  <c r="F1332" i="4"/>
  <c r="AE1228" i="4"/>
  <c r="AA1228" i="4"/>
  <c r="H1228" i="4"/>
  <c r="H920" i="4"/>
  <c r="AE920" i="4"/>
  <c r="AI920" i="4" s="1"/>
  <c r="AA920" i="4"/>
  <c r="F1340" i="4"/>
  <c r="AE1236" i="4"/>
  <c r="AA1236" i="4"/>
  <c r="H1236" i="4"/>
  <c r="AE824" i="4"/>
  <c r="AI824" i="4" s="1"/>
  <c r="H824" i="4"/>
  <c r="F1348" i="4"/>
  <c r="AE1244" i="4"/>
  <c r="AA1244" i="4"/>
  <c r="H1244" i="4"/>
  <c r="AE832" i="4"/>
  <c r="AI832" i="4" s="1"/>
  <c r="AA832" i="4"/>
  <c r="H832" i="4"/>
  <c r="EG23" i="62"/>
  <c r="D67" i="68" s="1"/>
  <c r="EG47" i="62"/>
  <c r="AE695" i="4"/>
  <c r="AI695" i="4" s="1"/>
  <c r="AA695" i="4"/>
  <c r="H695" i="4"/>
  <c r="H811" i="4"/>
  <c r="AE811" i="4"/>
  <c r="AI811" i="4" s="1"/>
  <c r="AA811" i="4"/>
  <c r="H815" i="4"/>
  <c r="AE815" i="4"/>
  <c r="AI815" i="4" s="1"/>
  <c r="AA815" i="4"/>
  <c r="AE923" i="4"/>
  <c r="AI923" i="4" s="1"/>
  <c r="AA923" i="4"/>
  <c r="H923" i="4"/>
  <c r="AE619" i="4"/>
  <c r="AI619" i="4" s="1"/>
  <c r="AA619" i="4"/>
  <c r="H619" i="4"/>
  <c r="V41" i="20"/>
  <c r="V25" i="20"/>
  <c r="V105" i="20"/>
  <c r="V57" i="20"/>
  <c r="V89" i="20"/>
  <c r="V73" i="20"/>
  <c r="AA57" i="20"/>
  <c r="AA89" i="20"/>
  <c r="AA25" i="20"/>
  <c r="AA105" i="20"/>
  <c r="AA73" i="20"/>
  <c r="AA41" i="20"/>
  <c r="X25" i="20"/>
  <c r="X73" i="20"/>
  <c r="X41" i="20"/>
  <c r="X89" i="20"/>
  <c r="X57" i="20"/>
  <c r="X105" i="20"/>
  <c r="AC105" i="20"/>
  <c r="AC73" i="20"/>
  <c r="AC89" i="20"/>
  <c r="AC57" i="20"/>
  <c r="AC41" i="20"/>
  <c r="AC25" i="20"/>
  <c r="V169" i="16"/>
  <c r="AK26" i="19"/>
  <c r="AG26" i="19"/>
  <c r="AJ26" i="19"/>
  <c r="AF26" i="19"/>
  <c r="AM26" i="19"/>
  <c r="AI26" i="19"/>
  <c r="AL26" i="19"/>
  <c r="AH26" i="19"/>
  <c r="I5" i="18"/>
  <c r="F5" i="18"/>
  <c r="H442" i="4"/>
  <c r="AE442" i="4"/>
  <c r="AI442" i="4" s="1"/>
  <c r="AA442" i="4"/>
  <c r="H30" i="4"/>
  <c r="AE30" i="4"/>
  <c r="AI30" i="4" s="1"/>
  <c r="AA30" i="4"/>
  <c r="F1286" i="4"/>
  <c r="H1182" i="4"/>
  <c r="AE1182" i="4"/>
  <c r="AA1182" i="4"/>
  <c r="AE770" i="4"/>
  <c r="AI770" i="4" s="1"/>
  <c r="AA770" i="4"/>
  <c r="H770" i="4"/>
  <c r="F1294" i="4"/>
  <c r="H1190" i="4"/>
  <c r="AE1190" i="4"/>
  <c r="AA1190" i="4"/>
  <c r="AE778" i="4"/>
  <c r="AI778" i="4" s="1"/>
  <c r="AA778" i="4"/>
  <c r="H778" i="4"/>
  <c r="F1302" i="4"/>
  <c r="H1198" i="4"/>
  <c r="AE1198" i="4"/>
  <c r="AA1198" i="4"/>
  <c r="AE786" i="4"/>
  <c r="AI786" i="4" s="1"/>
  <c r="AA786" i="4"/>
  <c r="H786" i="4"/>
  <c r="H1102" i="4"/>
  <c r="AE1102" i="4"/>
  <c r="AI1102" i="4" s="1"/>
  <c r="AA1102" i="4"/>
  <c r="H586" i="4"/>
  <c r="AE586" i="4"/>
  <c r="AI586" i="4" s="1"/>
  <c r="AA586" i="4"/>
  <c r="H174" i="4"/>
  <c r="AE174" i="4"/>
  <c r="AI174" i="4" s="1"/>
  <c r="AA174" i="4"/>
  <c r="AE910" i="4"/>
  <c r="AI910" i="4" s="1"/>
  <c r="AA910" i="4"/>
  <c r="H910" i="4"/>
  <c r="H498" i="4"/>
  <c r="AA498" i="4"/>
  <c r="AE498" i="4"/>
  <c r="AI498" i="4" s="1"/>
  <c r="H86" i="4"/>
  <c r="AE86" i="4"/>
  <c r="AI86" i="4" s="1"/>
  <c r="AA86" i="4"/>
  <c r="H926" i="4"/>
  <c r="AE926" i="4"/>
  <c r="AI926" i="4" s="1"/>
  <c r="AA926" i="4"/>
  <c r="H514" i="4"/>
  <c r="AE514" i="4"/>
  <c r="AI514" i="4" s="1"/>
  <c r="H102" i="4"/>
  <c r="AE102" i="4"/>
  <c r="AI102" i="4" s="1"/>
  <c r="AA102" i="4"/>
  <c r="R24" i="62"/>
  <c r="AF24" i="62" s="1"/>
  <c r="AT24" i="62" s="1"/>
  <c r="BH24" i="62" s="1"/>
  <c r="BV24" i="62" s="1"/>
  <c r="CJ24" i="62" s="1"/>
  <c r="CX24" i="62" s="1"/>
  <c r="DL24" i="62" s="1"/>
  <c r="DZ24" i="62" s="1"/>
  <c r="EN24" i="62" s="1"/>
  <c r="FB24" i="62" s="1"/>
  <c r="FP24" i="62" s="1"/>
  <c r="D24" i="62"/>
  <c r="D68" i="68"/>
  <c r="DE23" i="62"/>
  <c r="DE47" i="62"/>
  <c r="CC53" i="5"/>
  <c r="BO44" i="62"/>
  <c r="AK30" i="19"/>
  <c r="AG30" i="19"/>
  <c r="AJ30" i="19"/>
  <c r="AF30" i="19"/>
  <c r="AM30" i="19"/>
  <c r="AI30" i="19"/>
  <c r="AL30" i="19"/>
  <c r="AH30" i="19"/>
  <c r="F1285" i="4"/>
  <c r="H1181" i="4"/>
  <c r="AE1181" i="4"/>
  <c r="AA1181" i="4"/>
  <c r="H41" i="4"/>
  <c r="AA73" i="4"/>
  <c r="F1349" i="4"/>
  <c r="AA1245" i="4"/>
  <c r="H1245" i="4"/>
  <c r="AE1245" i="4"/>
  <c r="H105" i="4"/>
  <c r="Q1355" i="4"/>
  <c r="Q1356" i="4" s="1"/>
  <c r="R1254" i="4"/>
  <c r="R1355" i="4" s="1"/>
  <c r="V1266" i="4"/>
  <c r="V1272" i="4"/>
  <c r="V1290" i="4"/>
  <c r="V1304" i="4"/>
  <c r="V1320" i="4"/>
  <c r="V1322" i="4"/>
  <c r="V1346" i="4"/>
  <c r="V1348" i="4"/>
  <c r="D13" i="21"/>
  <c r="AF18" i="62"/>
  <c r="R48" i="62"/>
  <c r="AI46" i="14"/>
  <c r="C46" i="19" s="1"/>
  <c r="AE50" i="16"/>
  <c r="AA50" i="16"/>
  <c r="W50" i="16"/>
  <c r="AH50" i="16"/>
  <c r="AD50" i="16"/>
  <c r="Z50" i="16"/>
  <c r="AG50" i="16"/>
  <c r="AC50" i="16"/>
  <c r="Y50" i="16"/>
  <c r="AF50" i="16"/>
  <c r="AB50" i="16"/>
  <c r="X50" i="16"/>
  <c r="AM66" i="14"/>
  <c r="B66" i="19"/>
  <c r="D66" i="19" s="1"/>
  <c r="B36" i="19"/>
  <c r="D36" i="19" s="1"/>
  <c r="AM36" i="14"/>
  <c r="B40" i="19"/>
  <c r="D40" i="19" s="1"/>
  <c r="AM40" i="14"/>
  <c r="B44" i="19"/>
  <c r="D44" i="19" s="1"/>
  <c r="AM44" i="14"/>
  <c r="B52" i="19"/>
  <c r="D52" i="19" s="1"/>
  <c r="AM52" i="14"/>
  <c r="AI56" i="14"/>
  <c r="C56" i="19" s="1"/>
  <c r="AE86" i="16"/>
  <c r="AA86" i="16"/>
  <c r="W86" i="16"/>
  <c r="AH86" i="16"/>
  <c r="AD86" i="16"/>
  <c r="Z86" i="16"/>
  <c r="AG86" i="16"/>
  <c r="AC86" i="16"/>
  <c r="Y86" i="16"/>
  <c r="AF86" i="16"/>
  <c r="AB86" i="16"/>
  <c r="X86" i="16"/>
  <c r="AM90" i="14"/>
  <c r="B90" i="19"/>
  <c r="D90" i="19" s="1"/>
  <c r="AE102" i="16"/>
  <c r="AA102" i="16"/>
  <c r="W102" i="16"/>
  <c r="AH102" i="16"/>
  <c r="AD102" i="16"/>
  <c r="Z102" i="16"/>
  <c r="AG102" i="16"/>
  <c r="AC102" i="16"/>
  <c r="Y102" i="16"/>
  <c r="AF102" i="16"/>
  <c r="AB102" i="16"/>
  <c r="X102" i="16"/>
  <c r="B106" i="19"/>
  <c r="D106" i="19" s="1"/>
  <c r="AM106" i="14"/>
  <c r="AE28" i="16"/>
  <c r="AA28" i="16"/>
  <c r="W28" i="16"/>
  <c r="AH28" i="16"/>
  <c r="AD28" i="16"/>
  <c r="Z28" i="16"/>
  <c r="AG28" i="16"/>
  <c r="AC28" i="16"/>
  <c r="Y28" i="16"/>
  <c r="AF28" i="16"/>
  <c r="AB28" i="16"/>
  <c r="X28" i="16"/>
  <c r="AM32" i="14"/>
  <c r="B32" i="19"/>
  <c r="D32" i="19" s="1"/>
  <c r="AI76" i="14"/>
  <c r="C76" i="19" s="1"/>
  <c r="AE84" i="16"/>
  <c r="AA84" i="16"/>
  <c r="W84" i="16"/>
  <c r="AH84" i="16"/>
  <c r="AD84" i="16"/>
  <c r="Z84" i="16"/>
  <c r="AG84" i="16"/>
  <c r="AC84" i="16"/>
  <c r="Y84" i="16"/>
  <c r="AF84" i="16"/>
  <c r="AB84" i="16"/>
  <c r="X84" i="16"/>
  <c r="AE88" i="16"/>
  <c r="AA88" i="16"/>
  <c r="W88" i="16"/>
  <c r="AH88" i="16"/>
  <c r="AD88" i="16"/>
  <c r="Z88" i="16"/>
  <c r="AG88" i="16"/>
  <c r="AC88" i="16"/>
  <c r="Y88" i="16"/>
  <c r="AF88" i="16"/>
  <c r="AB88" i="16"/>
  <c r="X88" i="16"/>
  <c r="AI92" i="14"/>
  <c r="C92" i="19" s="1"/>
  <c r="AE100" i="16"/>
  <c r="AA100" i="16"/>
  <c r="W100" i="16"/>
  <c r="AH100" i="16"/>
  <c r="AD100" i="16"/>
  <c r="Z100" i="16"/>
  <c r="AG100" i="16"/>
  <c r="AC100" i="16"/>
  <c r="Y100" i="16"/>
  <c r="AF100" i="16"/>
  <c r="AB100" i="16"/>
  <c r="X100" i="16"/>
  <c r="AE104" i="16"/>
  <c r="AA104" i="16"/>
  <c r="W104" i="16"/>
  <c r="AH104" i="16"/>
  <c r="AD104" i="16"/>
  <c r="Z104" i="16"/>
  <c r="AG104" i="16"/>
  <c r="AC104" i="16"/>
  <c r="Y104" i="16"/>
  <c r="AF104" i="16"/>
  <c r="AB104" i="16"/>
  <c r="X104" i="16"/>
  <c r="AE64" i="16"/>
  <c r="AA64" i="16"/>
  <c r="W64" i="16"/>
  <c r="AH64" i="16"/>
  <c r="AD64" i="16"/>
  <c r="Z64" i="16"/>
  <c r="AG64" i="16"/>
  <c r="AC64" i="16"/>
  <c r="Y64" i="16"/>
  <c r="AF64" i="16"/>
  <c r="AB64" i="16"/>
  <c r="X64" i="16"/>
  <c r="AI68" i="14"/>
  <c r="C68" i="19" s="1"/>
  <c r="AM38" i="14"/>
  <c r="B38" i="19"/>
  <c r="D38" i="19" s="1"/>
  <c r="BB41" i="19" l="1"/>
  <c r="H222" i="4"/>
  <c r="BD39" i="19"/>
  <c r="C54" i="22" s="1"/>
  <c r="U393" i="45"/>
  <c r="AA718" i="4"/>
  <c r="AA1134" i="4"/>
  <c r="AA578" i="4"/>
  <c r="AA562" i="4"/>
  <c r="AA654" i="4"/>
  <c r="AA1162" i="4"/>
  <c r="V74" i="16"/>
  <c r="V54" i="16"/>
  <c r="FB25" i="62"/>
  <c r="FP25" i="62" s="1"/>
  <c r="BC27" i="19"/>
  <c r="C42" i="21" s="1"/>
  <c r="BB27" i="19"/>
  <c r="L5" i="29"/>
  <c r="H230" i="4"/>
  <c r="BC39" i="19"/>
  <c r="C54" i="21" s="1"/>
  <c r="BE39" i="19"/>
  <c r="C54" i="23" s="1"/>
  <c r="H1214" i="4"/>
  <c r="AA487" i="4"/>
  <c r="AA379" i="4"/>
  <c r="AA887" i="4"/>
  <c r="AA1195" i="4"/>
  <c r="AA39" i="4"/>
  <c r="AA455" i="4"/>
  <c r="AA963" i="4"/>
  <c r="AA1055" i="4"/>
  <c r="AA515" i="4"/>
  <c r="AA931" i="4"/>
  <c r="AA270" i="4"/>
  <c r="AA876" i="4"/>
  <c r="AA1088" i="4"/>
  <c r="AA1128" i="4"/>
  <c r="AA1197" i="4"/>
  <c r="AA319" i="4"/>
  <c r="AA1151" i="4"/>
  <c r="BB23" i="19"/>
  <c r="BH23" i="19"/>
  <c r="C38" i="26" s="1"/>
  <c r="BI23" i="19"/>
  <c r="BD23" i="19"/>
  <c r="C38" i="22" s="1"/>
  <c r="BE23" i="19"/>
  <c r="C38" i="23" s="1"/>
  <c r="BG23" i="19"/>
  <c r="C38" i="25" s="1"/>
  <c r="BH27" i="19"/>
  <c r="C42" i="26" s="1"/>
  <c r="BB67" i="19"/>
  <c r="BE67" i="19"/>
  <c r="C82" i="23" s="1"/>
  <c r="V64" i="16"/>
  <c r="V102" i="16"/>
  <c r="BB77" i="19"/>
  <c r="BG77" i="19"/>
  <c r="C92" i="25" s="1"/>
  <c r="BI77" i="19"/>
  <c r="BE77" i="19"/>
  <c r="C92" i="23" s="1"/>
  <c r="BI47" i="19"/>
  <c r="BH47" i="19"/>
  <c r="C62" i="26" s="1"/>
  <c r="BG47" i="19"/>
  <c r="C62" i="25" s="1"/>
  <c r="BD77" i="19"/>
  <c r="C92" i="22" s="1"/>
  <c r="BC23" i="19"/>
  <c r="C38" i="21" s="1"/>
  <c r="H254" i="4"/>
  <c r="AA254" i="4"/>
  <c r="AA502" i="4"/>
  <c r="AA518" i="4"/>
  <c r="AA544" i="4"/>
  <c r="AA650" i="4"/>
  <c r="H650" i="4"/>
  <c r="AA682" i="4"/>
  <c r="H682" i="4"/>
  <c r="AA663" i="4"/>
  <c r="H663" i="4"/>
  <c r="AA754" i="4"/>
  <c r="H754" i="4"/>
  <c r="AA762" i="4"/>
  <c r="H762" i="4"/>
  <c r="AA794" i="4"/>
  <c r="H794" i="4"/>
  <c r="AA936" i="4"/>
  <c r="AA946" i="4"/>
  <c r="H946" i="4"/>
  <c r="AA954" i="4"/>
  <c r="H954" i="4"/>
  <c r="H978" i="4"/>
  <c r="AA978" i="4"/>
  <c r="AA1002" i="4"/>
  <c r="H1174" i="4"/>
  <c r="AA1174" i="4"/>
  <c r="H1206" i="4"/>
  <c r="AA1206" i="4"/>
  <c r="AA1248" i="4"/>
  <c r="H1248" i="4"/>
  <c r="FI13" i="5"/>
  <c r="D13" i="5"/>
  <c r="AA1064" i="4"/>
  <c r="AA171" i="4"/>
  <c r="EU25" i="5"/>
  <c r="D18" i="68"/>
  <c r="AA490" i="4"/>
  <c r="AA362" i="4"/>
  <c r="AA735" i="4"/>
  <c r="AB89" i="20"/>
  <c r="BC67" i="19"/>
  <c r="C82" i="21" s="1"/>
  <c r="U385" i="45"/>
  <c r="AI52" i="19"/>
  <c r="AG52" i="19"/>
  <c r="AL52" i="19"/>
  <c r="AJ52" i="19"/>
  <c r="AH52" i="19"/>
  <c r="AF52" i="19"/>
  <c r="AM52" i="19"/>
  <c r="AK52" i="19"/>
  <c r="AH36" i="19"/>
  <c r="AF36" i="19"/>
  <c r="AI36" i="19"/>
  <c r="AG36" i="19"/>
  <c r="AK36" i="19"/>
  <c r="AL36" i="19"/>
  <c r="AJ36" i="19"/>
  <c r="AM36" i="19"/>
  <c r="AA429" i="4"/>
  <c r="AA321" i="4"/>
  <c r="BH43" i="19"/>
  <c r="C58" i="26" s="1"/>
  <c r="AA310" i="4"/>
  <c r="AA706" i="4"/>
  <c r="AA568" i="4"/>
  <c r="AA336" i="4"/>
  <c r="AA536" i="4"/>
  <c r="FB25" i="5"/>
  <c r="BF91" i="19"/>
  <c r="C106" i="24" s="1"/>
  <c r="D10" i="18"/>
  <c r="AA470" i="4"/>
  <c r="AA670" i="4"/>
  <c r="AB25" i="20"/>
  <c r="AB105" i="20"/>
  <c r="BD67" i="19"/>
  <c r="C82" i="22" s="1"/>
  <c r="D25" i="62"/>
  <c r="F25" i="62" s="1"/>
  <c r="EW25" i="62"/>
  <c r="FB13" i="5"/>
  <c r="FP13" i="5" s="1"/>
  <c r="AA703" i="4"/>
  <c r="AA1213" i="4"/>
  <c r="AA1057" i="4"/>
  <c r="AA294" i="4"/>
  <c r="V80" i="16"/>
  <c r="Z176" i="16"/>
  <c r="BA16" i="5" s="1"/>
  <c r="AA871" i="4"/>
  <c r="V82" i="16"/>
  <c r="V46" i="16"/>
  <c r="AB41" i="20"/>
  <c r="BC75" i="19"/>
  <c r="C90" i="21" s="1"/>
  <c r="BC83" i="19"/>
  <c r="C98" i="21" s="1"/>
  <c r="V100" i="16"/>
  <c r="BF97" i="19"/>
  <c r="C112" i="24" s="1"/>
  <c r="BI81" i="19"/>
  <c r="BD81" i="19"/>
  <c r="C96" i="22" s="1"/>
  <c r="BE47" i="19"/>
  <c r="C62" i="23" s="1"/>
  <c r="V68" i="16"/>
  <c r="V32" i="16"/>
  <c r="BC61" i="19"/>
  <c r="C76" i="21" s="1"/>
  <c r="BG43" i="19"/>
  <c r="C58" i="25" s="1"/>
  <c r="BE43" i="19"/>
  <c r="C58" i="23" s="1"/>
  <c r="BC77" i="19"/>
  <c r="C92" i="21" s="1"/>
  <c r="BC71" i="19"/>
  <c r="C86" i="21" s="1"/>
  <c r="V60" i="16"/>
  <c r="V30" i="16"/>
  <c r="V24" i="16"/>
  <c r="V94" i="16"/>
  <c r="V26" i="16"/>
  <c r="V48" i="16"/>
  <c r="V44" i="16"/>
  <c r="V78" i="16"/>
  <c r="BD37" i="19"/>
  <c r="C52" i="22" s="1"/>
  <c r="AA221" i="4"/>
  <c r="AA229" i="4"/>
  <c r="AA298" i="4"/>
  <c r="AA314" i="4"/>
  <c r="AA340" i="4"/>
  <c r="AA380" i="4"/>
  <c r="AA333" i="4"/>
  <c r="AA912" i="4"/>
  <c r="AA1177" i="4"/>
  <c r="AA1233" i="4"/>
  <c r="BE49" i="19"/>
  <c r="C64" i="23" s="1"/>
  <c r="BG49" i="19"/>
  <c r="C64" i="25" s="1"/>
  <c r="BG99" i="19"/>
  <c r="C114" i="25" s="1"/>
  <c r="V72" i="16"/>
  <c r="V98" i="16"/>
  <c r="AA182" i="16"/>
  <c r="AG182" i="16"/>
  <c r="V58" i="16"/>
  <c r="BG75" i="19"/>
  <c r="C90" i="25" s="1"/>
  <c r="BE75" i="19"/>
  <c r="C90" i="23" s="1"/>
  <c r="BG67" i="19"/>
  <c r="C82" i="25" s="1"/>
  <c r="BI67" i="19"/>
  <c r="BE57" i="19"/>
  <c r="C72" i="23" s="1"/>
  <c r="BG83" i="19"/>
  <c r="C98" i="25" s="1"/>
  <c r="BE83" i="19"/>
  <c r="C98" i="23" s="1"/>
  <c r="BE33" i="19"/>
  <c r="C48" i="23" s="1"/>
  <c r="AI64" i="19"/>
  <c r="AG64" i="19"/>
  <c r="AM64" i="19"/>
  <c r="AL64" i="19"/>
  <c r="AJ64" i="19"/>
  <c r="AH64" i="19"/>
  <c r="AF64" i="19"/>
  <c r="AK64" i="19"/>
  <c r="AI48" i="19"/>
  <c r="AG48" i="19"/>
  <c r="AM48" i="19"/>
  <c r="AK48" i="19"/>
  <c r="AL48" i="19"/>
  <c r="AJ48" i="19"/>
  <c r="AH48" i="19"/>
  <c r="AF48" i="19"/>
  <c r="AL96" i="19"/>
  <c r="AK96" i="19"/>
  <c r="AH96" i="19"/>
  <c r="AI96" i="19"/>
  <c r="AJ96" i="19"/>
  <c r="AG96" i="19"/>
  <c r="AF96" i="19"/>
  <c r="AM96" i="19"/>
  <c r="AI15" i="19"/>
  <c r="AG15" i="19"/>
  <c r="AM15" i="19"/>
  <c r="AJ15" i="19"/>
  <c r="AL15" i="19"/>
  <c r="AK15" i="19"/>
  <c r="AF15" i="19"/>
  <c r="AH15" i="19"/>
  <c r="V104" i="16"/>
  <c r="V28" i="16"/>
  <c r="V50" i="16"/>
  <c r="AN30" i="19"/>
  <c r="AO30" i="19" s="1"/>
  <c r="BG27" i="19"/>
  <c r="C42" i="25" s="1"/>
  <c r="V70" i="16"/>
  <c r="BB81" i="19"/>
  <c r="BB47" i="19"/>
  <c r="AA110" i="4"/>
  <c r="AA300" i="4"/>
  <c r="AA424" i="4"/>
  <c r="AA432" i="4"/>
  <c r="AA391" i="4"/>
  <c r="AA507" i="4"/>
  <c r="AA500" i="4"/>
  <c r="AA632" i="4"/>
  <c r="AA640" i="4"/>
  <c r="AA726" i="4"/>
  <c r="AA752" i="4"/>
  <c r="AA944" i="4"/>
  <c r="AA1019" i="4"/>
  <c r="AA1127" i="4"/>
  <c r="AA1036" i="4"/>
  <c r="AA1241" i="4"/>
  <c r="BI49" i="19"/>
  <c r="BD49" i="19"/>
  <c r="C64" i="22" s="1"/>
  <c r="V96" i="16"/>
  <c r="V36" i="16"/>
  <c r="AE182" i="16"/>
  <c r="BD75" i="19"/>
  <c r="C90" i="22" s="1"/>
  <c r="BI75" i="19"/>
  <c r="BI57" i="19"/>
  <c r="BD83" i="19"/>
  <c r="C98" i="22" s="1"/>
  <c r="BI83" i="19"/>
  <c r="BI33" i="19"/>
  <c r="AI84" i="19"/>
  <c r="AG84" i="19"/>
  <c r="AL84" i="19"/>
  <c r="AJ84" i="19"/>
  <c r="AH84" i="19"/>
  <c r="AF84" i="19"/>
  <c r="AM84" i="19"/>
  <c r="AK84" i="19"/>
  <c r="V88" i="16"/>
  <c r="V84" i="16"/>
  <c r="V86" i="16"/>
  <c r="D5" i="18"/>
  <c r="BC81" i="19"/>
  <c r="C96" i="21" s="1"/>
  <c r="BE29" i="19"/>
  <c r="C44" i="23" s="1"/>
  <c r="BC41" i="19"/>
  <c r="C56" i="21" s="1"/>
  <c r="V42" i="16"/>
  <c r="AA217" i="4"/>
  <c r="AA225" i="4"/>
  <c r="AA278" i="4"/>
  <c r="AA360" i="4"/>
  <c r="AA368" i="4"/>
  <c r="AA392" i="4"/>
  <c r="AA400" i="4"/>
  <c r="AA552" i="4"/>
  <c r="AA576" i="4"/>
  <c r="AA592" i="4"/>
  <c r="AA624" i="4"/>
  <c r="AA690" i="4"/>
  <c r="AA611" i="4"/>
  <c r="AA728" i="4"/>
  <c r="AA1010" i="4"/>
  <c r="AA949" i="4"/>
  <c r="AA1205" i="4"/>
  <c r="AA1140" i="4"/>
  <c r="BB49" i="19"/>
  <c r="BF99" i="19"/>
  <c r="C114" i="24" s="1"/>
  <c r="V34" i="16"/>
  <c r="V52" i="16"/>
  <c r="BH75" i="19"/>
  <c r="C90" i="26" s="1"/>
  <c r="BC57" i="19"/>
  <c r="C72" i="21" s="1"/>
  <c r="BH83" i="19"/>
  <c r="C98" i="26" s="1"/>
  <c r="BC33" i="19"/>
  <c r="C48" i="21" s="1"/>
  <c r="AJ14" i="19"/>
  <c r="AL14" i="19"/>
  <c r="AF14" i="19"/>
  <c r="AH14" i="19"/>
  <c r="AK14" i="19"/>
  <c r="AM14" i="19"/>
  <c r="AG14" i="19"/>
  <c r="AI14" i="19"/>
  <c r="AM32" i="19"/>
  <c r="AK32" i="19"/>
  <c r="AI32" i="19"/>
  <c r="AG32" i="19"/>
  <c r="AL32" i="19"/>
  <c r="AJ32" i="19"/>
  <c r="AH32" i="19"/>
  <c r="AF32" i="19"/>
  <c r="J5" i="29"/>
  <c r="H55" i="4"/>
  <c r="BE81" i="19"/>
  <c r="C96" i="23" s="1"/>
  <c r="BG53" i="19"/>
  <c r="C68" i="25" s="1"/>
  <c r="V106" i="16"/>
  <c r="V66" i="16"/>
  <c r="BE61" i="19"/>
  <c r="C76" i="23" s="1"/>
  <c r="BC29" i="19"/>
  <c r="C44" i="21" s="1"/>
  <c r="V62" i="16"/>
  <c r="BD41" i="19"/>
  <c r="C56" i="22" s="1"/>
  <c r="V92" i="16"/>
  <c r="AA256" i="4"/>
  <c r="AA272" i="4"/>
  <c r="AA410" i="4"/>
  <c r="AA418" i="4"/>
  <c r="AA428" i="4"/>
  <c r="AA436" i="4"/>
  <c r="AA444" i="4"/>
  <c r="AA287" i="4"/>
  <c r="AA395" i="4"/>
  <c r="AA636" i="4"/>
  <c r="AA644" i="4"/>
  <c r="AA668" i="4"/>
  <c r="AA710" i="4"/>
  <c r="AA740" i="4"/>
  <c r="AA748" i="4"/>
  <c r="AA764" i="4"/>
  <c r="AA838" i="4"/>
  <c r="AA922" i="4"/>
  <c r="AA964" i="4"/>
  <c r="AA988" i="4"/>
  <c r="AA1020" i="4"/>
  <c r="AA1160" i="4"/>
  <c r="BG57" i="19"/>
  <c r="C72" i="25" s="1"/>
  <c r="BG33" i="19"/>
  <c r="C48" i="25" s="1"/>
  <c r="AJ18" i="19"/>
  <c r="AL18" i="19"/>
  <c r="AF18" i="19"/>
  <c r="AH18" i="19"/>
  <c r="AK18" i="19"/>
  <c r="AM18" i="19"/>
  <c r="AG18" i="19"/>
  <c r="AI18" i="19"/>
  <c r="AI80" i="19"/>
  <c r="AG80" i="19"/>
  <c r="AK80" i="19"/>
  <c r="AL80" i="19"/>
  <c r="AJ80" i="19"/>
  <c r="AH80" i="19"/>
  <c r="AF80" i="19"/>
  <c r="AM80" i="19"/>
  <c r="AL12" i="19"/>
  <c r="AJ12" i="19"/>
  <c r="AH12" i="19"/>
  <c r="AF12" i="19"/>
  <c r="AM12" i="19"/>
  <c r="AK12" i="19"/>
  <c r="AI12" i="19"/>
  <c r="AG12" i="19"/>
  <c r="AF100" i="19"/>
  <c r="AI100" i="19"/>
  <c r="AL100" i="19"/>
  <c r="AG100" i="19"/>
  <c r="AH100" i="19"/>
  <c r="AM100" i="19"/>
  <c r="AJ100" i="19"/>
  <c r="AK100" i="19"/>
  <c r="D12" i="18"/>
  <c r="D9" i="18"/>
  <c r="C12" i="28"/>
  <c r="AC98" i="4"/>
  <c r="AJ98" i="4" s="1"/>
  <c r="AC930" i="4"/>
  <c r="AJ930" i="4" s="1"/>
  <c r="AC604" i="4"/>
  <c r="AJ604" i="4" s="1"/>
  <c r="AC184" i="4"/>
  <c r="AJ184" i="4" s="1"/>
  <c r="AC600" i="4"/>
  <c r="AJ600" i="4" s="1"/>
  <c r="AC1016" i="4"/>
  <c r="AJ1016" i="4" s="1"/>
  <c r="AC191" i="4"/>
  <c r="AJ191" i="4" s="1"/>
  <c r="AC607" i="4"/>
  <c r="AJ607" i="4" s="1"/>
  <c r="AC1023" i="4"/>
  <c r="AJ1023" i="4" s="1"/>
  <c r="AC81" i="4"/>
  <c r="AJ81" i="4" s="1"/>
  <c r="AC818" i="4"/>
  <c r="AJ818" i="4" s="1"/>
  <c r="AC1234" i="4"/>
  <c r="AC1116" i="4"/>
  <c r="AJ1116" i="4" s="1"/>
  <c r="AC176" i="4"/>
  <c r="AJ176" i="4" s="1"/>
  <c r="AC1008" i="4"/>
  <c r="AJ1008" i="4" s="1"/>
  <c r="AC68" i="4"/>
  <c r="AJ68" i="4" s="1"/>
  <c r="AC900" i="4"/>
  <c r="AJ900" i="4" s="1"/>
  <c r="AC1208" i="4"/>
  <c r="AD1208" i="4" s="1"/>
  <c r="I112" i="21"/>
  <c r="F112" i="21"/>
  <c r="I68" i="22"/>
  <c r="F68" i="22"/>
  <c r="AC1223" i="4"/>
  <c r="AD1223" i="4" s="1"/>
  <c r="AC181" i="4"/>
  <c r="AJ181" i="4" s="1"/>
  <c r="AC69" i="4"/>
  <c r="AJ69" i="4" s="1"/>
  <c r="AC1209" i="4"/>
  <c r="AD1209" i="4" s="1"/>
  <c r="AC53" i="4"/>
  <c r="AJ53" i="4" s="1"/>
  <c r="AC37" i="4"/>
  <c r="AJ37" i="4" s="1"/>
  <c r="AC21" i="4"/>
  <c r="AJ21" i="4" s="1"/>
  <c r="AC437" i="4"/>
  <c r="AJ437" i="4" s="1"/>
  <c r="AC329" i="4"/>
  <c r="AJ329" i="4" s="1"/>
  <c r="AC745" i="4"/>
  <c r="AJ745" i="4" s="1"/>
  <c r="AC1053" i="4"/>
  <c r="AJ1053" i="4" s="1"/>
  <c r="AC113" i="4"/>
  <c r="AJ113" i="4" s="1"/>
  <c r="AC945" i="4"/>
  <c r="AJ945" i="4" s="1"/>
  <c r="AC820" i="4"/>
  <c r="AJ820" i="4" s="1"/>
  <c r="AC190" i="4"/>
  <c r="AJ190" i="4" s="1"/>
  <c r="AC1022" i="4"/>
  <c r="AJ1022" i="4" s="1"/>
  <c r="AC205" i="4"/>
  <c r="AJ205" i="4" s="1"/>
  <c r="AC97" i="4"/>
  <c r="AJ97" i="4" s="1"/>
  <c r="AC819" i="4"/>
  <c r="AJ819" i="4" s="1"/>
  <c r="AC934" i="4"/>
  <c r="AJ934" i="4" s="1"/>
  <c r="AC268" i="4"/>
  <c r="AJ268" i="4" s="1"/>
  <c r="AC160" i="4"/>
  <c r="AJ160" i="4" s="1"/>
  <c r="AC468" i="4"/>
  <c r="AJ468" i="4" s="1"/>
  <c r="AC252" i="4"/>
  <c r="AJ252" i="4" s="1"/>
  <c r="AC144" i="4"/>
  <c r="AJ144" i="4" s="1"/>
  <c r="AC36" i="4"/>
  <c r="AJ36" i="4" s="1"/>
  <c r="AC452" i="4"/>
  <c r="AJ452" i="4" s="1"/>
  <c r="AC344" i="4"/>
  <c r="AJ344" i="4" s="1"/>
  <c r="AC760" i="4"/>
  <c r="AJ760" i="4" s="1"/>
  <c r="AC652" i="4"/>
  <c r="AJ652" i="4" s="1"/>
  <c r="AC960" i="4"/>
  <c r="AJ960" i="4" s="1"/>
  <c r="AC20" i="4"/>
  <c r="AJ20" i="4" s="1"/>
  <c r="AC220" i="4"/>
  <c r="AJ220" i="4" s="1"/>
  <c r="AC528" i="4"/>
  <c r="AJ528" i="4" s="1"/>
  <c r="AC724" i="4"/>
  <c r="AJ724" i="4" s="1"/>
  <c r="AC197" i="4"/>
  <c r="AJ197" i="4" s="1"/>
  <c r="AC902" i="4"/>
  <c r="AJ902" i="4" s="1"/>
  <c r="AC256" i="4"/>
  <c r="AJ256" i="4" s="1"/>
  <c r="AC272" i="4"/>
  <c r="AJ272" i="4" s="1"/>
  <c r="AC322" i="4"/>
  <c r="AJ322" i="4" s="1"/>
  <c r="AC354" i="4"/>
  <c r="AJ354" i="4" s="1"/>
  <c r="AC362" i="4"/>
  <c r="AJ362" i="4" s="1"/>
  <c r="AC410" i="4"/>
  <c r="AJ410" i="4" s="1"/>
  <c r="AC418" i="4"/>
  <c r="AJ418" i="4" s="1"/>
  <c r="AC428" i="4"/>
  <c r="AJ428" i="4" s="1"/>
  <c r="AC436" i="4"/>
  <c r="AJ436" i="4" s="1"/>
  <c r="AC444" i="4"/>
  <c r="AJ444" i="4" s="1"/>
  <c r="AC287" i="4"/>
  <c r="AJ287" i="4" s="1"/>
  <c r="AC395" i="4"/>
  <c r="AJ395" i="4" s="1"/>
  <c r="AC411" i="4"/>
  <c r="AJ411" i="4" s="1"/>
  <c r="AC636" i="4"/>
  <c r="AJ636" i="4" s="1"/>
  <c r="AC644" i="4"/>
  <c r="AJ644" i="4" s="1"/>
  <c r="AC668" i="4"/>
  <c r="AJ668" i="4" s="1"/>
  <c r="AC710" i="4"/>
  <c r="AJ710" i="4" s="1"/>
  <c r="AC735" i="4"/>
  <c r="AJ735" i="4" s="1"/>
  <c r="AC743" i="4"/>
  <c r="AJ743" i="4" s="1"/>
  <c r="AC767" i="4"/>
  <c r="AJ767" i="4" s="1"/>
  <c r="AC843" i="4"/>
  <c r="AJ843" i="4" s="1"/>
  <c r="AC851" i="4"/>
  <c r="AJ851" i="4" s="1"/>
  <c r="AC740" i="4"/>
  <c r="AJ740" i="4" s="1"/>
  <c r="AC748" i="4"/>
  <c r="AJ748" i="4" s="1"/>
  <c r="AC764" i="4"/>
  <c r="AJ764" i="4" s="1"/>
  <c r="AC838" i="4"/>
  <c r="AD838" i="4" s="1"/>
  <c r="AC922" i="4"/>
  <c r="AJ922" i="4" s="1"/>
  <c r="AC964" i="4"/>
  <c r="AJ964" i="4" s="1"/>
  <c r="AD988" i="4"/>
  <c r="AC988" i="4"/>
  <c r="AJ988" i="4" s="1"/>
  <c r="AC1020" i="4"/>
  <c r="AJ1020" i="4" s="1"/>
  <c r="AC975" i="4"/>
  <c r="AJ975" i="4" s="1"/>
  <c r="AC1160" i="4"/>
  <c r="AD1160" i="4" s="1"/>
  <c r="I84" i="22"/>
  <c r="F84" i="22"/>
  <c r="D84" i="22" s="1"/>
  <c r="AC202" i="4"/>
  <c r="AJ202" i="4" s="1"/>
  <c r="AC1034" i="4"/>
  <c r="AJ1034" i="4" s="1"/>
  <c r="AC96" i="4"/>
  <c r="AJ96" i="4" s="1"/>
  <c r="AC512" i="4"/>
  <c r="AJ512" i="4" s="1"/>
  <c r="AC292" i="4"/>
  <c r="AJ292" i="4" s="1"/>
  <c r="AC812" i="4"/>
  <c r="AJ812" i="4" s="1"/>
  <c r="AC288" i="4"/>
  <c r="AJ288" i="4" s="1"/>
  <c r="AC704" i="4"/>
  <c r="AJ704" i="4" s="1"/>
  <c r="AC1120" i="4"/>
  <c r="AJ1120" i="4" s="1"/>
  <c r="AC90" i="4"/>
  <c r="AJ90" i="4" s="1"/>
  <c r="AC506" i="4"/>
  <c r="AJ506" i="4" s="1"/>
  <c r="AC388" i="4"/>
  <c r="AJ388" i="4" s="1"/>
  <c r="AC804" i="4"/>
  <c r="AJ804" i="4" s="1"/>
  <c r="AC280" i="4"/>
  <c r="AJ280" i="4" s="1"/>
  <c r="AC588" i="4"/>
  <c r="AJ588" i="4" s="1"/>
  <c r="AC1004" i="4"/>
  <c r="AJ1004" i="4" s="1"/>
  <c r="AC64" i="4"/>
  <c r="AJ64" i="4" s="1"/>
  <c r="AC896" i="4"/>
  <c r="AJ896" i="4" s="1"/>
  <c r="AC173" i="4"/>
  <c r="AJ173" i="4" s="1"/>
  <c r="AC65" i="4"/>
  <c r="AJ65" i="4" s="1"/>
  <c r="AC157" i="4"/>
  <c r="AJ157" i="4" s="1"/>
  <c r="AC141" i="4"/>
  <c r="AJ141" i="4" s="1"/>
  <c r="AC33" i="4"/>
  <c r="AJ33" i="4" s="1"/>
  <c r="AC125" i="4"/>
  <c r="AJ125" i="4" s="1"/>
  <c r="AC541" i="4"/>
  <c r="AJ541" i="4" s="1"/>
  <c r="AC17" i="4"/>
  <c r="AJ17" i="4" s="1"/>
  <c r="AC433" i="4"/>
  <c r="AJ433" i="4" s="1"/>
  <c r="AC1049" i="4"/>
  <c r="AJ1049" i="4" s="1"/>
  <c r="I76" i="22"/>
  <c r="F76" i="22"/>
  <c r="AC924" i="4"/>
  <c r="AJ924" i="4" s="1"/>
  <c r="AC296" i="4"/>
  <c r="AJ296" i="4" s="1"/>
  <c r="AC816" i="4"/>
  <c r="AJ816" i="4" s="1"/>
  <c r="AC294" i="4"/>
  <c r="AJ294" i="4" s="1"/>
  <c r="AC91" i="4"/>
  <c r="AJ91" i="4" s="1"/>
  <c r="AC206" i="4"/>
  <c r="AJ206" i="4" s="1"/>
  <c r="AC82" i="4"/>
  <c r="AJ82" i="4" s="1"/>
  <c r="AC788" i="4"/>
  <c r="AJ788" i="4" s="1"/>
  <c r="AC680" i="4"/>
  <c r="AJ680" i="4" s="1"/>
  <c r="AC156" i="4"/>
  <c r="AJ156" i="4" s="1"/>
  <c r="AC572" i="4"/>
  <c r="AJ572" i="4" s="1"/>
  <c r="AC880" i="4"/>
  <c r="AJ880" i="4" s="1"/>
  <c r="AC772" i="4"/>
  <c r="AJ772" i="4" s="1"/>
  <c r="AC664" i="4"/>
  <c r="AJ664" i="4" s="1"/>
  <c r="AC972" i="4"/>
  <c r="AJ972" i="4" s="1"/>
  <c r="AC32" i="4"/>
  <c r="AJ32" i="4" s="1"/>
  <c r="AC1064" i="4"/>
  <c r="AJ1064" i="4" s="1"/>
  <c r="AC124" i="4"/>
  <c r="AJ124" i="4" s="1"/>
  <c r="AC16" i="4"/>
  <c r="AJ16" i="4" s="1"/>
  <c r="AC324" i="4"/>
  <c r="AJ324" i="4" s="1"/>
  <c r="AC216" i="4"/>
  <c r="AJ216" i="4" s="1"/>
  <c r="I80" i="22"/>
  <c r="F80" i="22"/>
  <c r="AC1042" i="4"/>
  <c r="AJ1042" i="4" s="1"/>
  <c r="AC104" i="4"/>
  <c r="AJ104" i="4" s="1"/>
  <c r="AC806" i="4"/>
  <c r="AJ806" i="4" s="1"/>
  <c r="AC66" i="4"/>
  <c r="AJ66" i="4" s="1"/>
  <c r="AC221" i="4"/>
  <c r="AJ221" i="4" s="1"/>
  <c r="AC229" i="4"/>
  <c r="AJ229" i="4" s="1"/>
  <c r="AC258" i="4"/>
  <c r="AJ258" i="4" s="1"/>
  <c r="AC298" i="4"/>
  <c r="AJ298" i="4" s="1"/>
  <c r="AC314" i="4"/>
  <c r="AJ314" i="4" s="1"/>
  <c r="AC340" i="4"/>
  <c r="AJ340" i="4" s="1"/>
  <c r="AC380" i="4"/>
  <c r="AJ380" i="4" s="1"/>
  <c r="AC470" i="4"/>
  <c r="AJ470" i="4" s="1"/>
  <c r="AC333" i="4"/>
  <c r="AJ333" i="4" s="1"/>
  <c r="AC670" i="4"/>
  <c r="AJ670" i="4" s="1"/>
  <c r="AC912" i="4"/>
  <c r="AJ912" i="4" s="1"/>
  <c r="AC1177" i="4"/>
  <c r="AD1177" i="4" s="1"/>
  <c r="AC1233" i="4"/>
  <c r="AD1233" i="4" s="1"/>
  <c r="C82" i="18"/>
  <c r="AC306" i="4"/>
  <c r="AJ306" i="4" s="1"/>
  <c r="AC722" i="4"/>
  <c r="AJ722" i="4" s="1"/>
  <c r="AC200" i="4"/>
  <c r="AJ200" i="4" s="1"/>
  <c r="AC616" i="4"/>
  <c r="AJ616" i="4" s="1"/>
  <c r="AC1032" i="4"/>
  <c r="AJ1032" i="4" s="1"/>
  <c r="AC84" i="4"/>
  <c r="AJ84" i="4" s="1"/>
  <c r="AC396" i="4"/>
  <c r="AJ396" i="4" s="1"/>
  <c r="AC916" i="4"/>
  <c r="AJ916" i="4" s="1"/>
  <c r="AC127" i="4"/>
  <c r="AJ127" i="4" s="1"/>
  <c r="AC89" i="4"/>
  <c r="AJ89" i="4" s="1"/>
  <c r="AC399" i="4"/>
  <c r="AJ399" i="4" s="1"/>
  <c r="AC1231" i="4"/>
  <c r="AD1231" i="4" s="1"/>
  <c r="AC610" i="4"/>
  <c r="AJ610" i="4" s="1"/>
  <c r="AC1026" i="4"/>
  <c r="AJ1026" i="4" s="1"/>
  <c r="AC76" i="4"/>
  <c r="AJ76" i="4" s="1"/>
  <c r="AC908" i="4"/>
  <c r="AJ908" i="4" s="1"/>
  <c r="AC276" i="4"/>
  <c r="AJ276" i="4" s="1"/>
  <c r="AC692" i="4"/>
  <c r="AJ692" i="4" s="1"/>
  <c r="AC168" i="4"/>
  <c r="AJ168" i="4" s="1"/>
  <c r="AC584" i="4"/>
  <c r="AJ584" i="4" s="1"/>
  <c r="AC1000" i="4"/>
  <c r="AJ1000" i="4" s="1"/>
  <c r="C46" i="18"/>
  <c r="AC1015" i="4"/>
  <c r="AJ1015" i="4" s="1"/>
  <c r="AC1061" i="4"/>
  <c r="AJ1061" i="4" s="1"/>
  <c r="AC121" i="4"/>
  <c r="AJ121" i="4" s="1"/>
  <c r="AC953" i="4"/>
  <c r="AJ953" i="4" s="1"/>
  <c r="AD13" i="4"/>
  <c r="AC13" i="4"/>
  <c r="AJ13" i="4" s="1"/>
  <c r="AC429" i="4"/>
  <c r="AJ429" i="4" s="1"/>
  <c r="AC321" i="4"/>
  <c r="AJ321" i="4" s="1"/>
  <c r="AC737" i="4"/>
  <c r="AJ737" i="4" s="1"/>
  <c r="C58" i="18"/>
  <c r="AC196" i="4"/>
  <c r="AJ196" i="4" s="1"/>
  <c r="AC1028" i="4"/>
  <c r="AJ1028" i="4" s="1"/>
  <c r="AC88" i="4"/>
  <c r="AJ88" i="4" s="1"/>
  <c r="AC398" i="4"/>
  <c r="AJ398" i="4" s="1"/>
  <c r="AC814" i="4"/>
  <c r="AJ814" i="4" s="1"/>
  <c r="AC105" i="4"/>
  <c r="AJ105" i="4" s="1"/>
  <c r="AC195" i="4"/>
  <c r="AJ195" i="4" s="1"/>
  <c r="AC310" i="4"/>
  <c r="AJ310" i="4" s="1"/>
  <c r="AC186" i="4"/>
  <c r="AJ186" i="4" s="1"/>
  <c r="AC706" i="4"/>
  <c r="AJ706" i="4" s="1"/>
  <c r="AC476" i="4"/>
  <c r="AJ476" i="4" s="1"/>
  <c r="AC1200" i="4"/>
  <c r="AD1200" i="4" s="1"/>
  <c r="AC1092" i="4"/>
  <c r="AJ1092" i="4" s="1"/>
  <c r="AC568" i="4"/>
  <c r="AJ568" i="4" s="1"/>
  <c r="AC984" i="4"/>
  <c r="AJ984" i="4" s="1"/>
  <c r="AC44" i="4"/>
  <c r="AJ44" i="4" s="1"/>
  <c r="AC1184" i="4"/>
  <c r="AD1184" i="4" s="1"/>
  <c r="AC136" i="4"/>
  <c r="AJ136" i="4" s="1"/>
  <c r="AC28" i="4"/>
  <c r="AJ28" i="4" s="1"/>
  <c r="AC336" i="4"/>
  <c r="AJ336" i="4" s="1"/>
  <c r="AC228" i="4"/>
  <c r="AJ228" i="4" s="1"/>
  <c r="AC536" i="4"/>
  <c r="AJ536" i="4" s="1"/>
  <c r="AD12" i="4"/>
  <c r="AC12" i="4"/>
  <c r="AJ12" i="4" s="1"/>
  <c r="I56" i="25"/>
  <c r="F56" i="25"/>
  <c r="D56" i="25" s="1"/>
  <c r="AD208" i="4"/>
  <c r="AC208" i="4"/>
  <c r="AJ208" i="4" s="1"/>
  <c r="AC100" i="4"/>
  <c r="AJ100" i="4" s="1"/>
  <c r="AC1123" i="4"/>
  <c r="AJ1123" i="4" s="1"/>
  <c r="AC170" i="4"/>
  <c r="AJ170" i="4" s="1"/>
  <c r="AC231" i="4"/>
  <c r="AJ231" i="4" s="1"/>
  <c r="AC279" i="4"/>
  <c r="AJ279" i="4" s="1"/>
  <c r="AA211" i="4"/>
  <c r="AC110" i="4"/>
  <c r="AD110" i="4" s="1"/>
  <c r="AC300" i="4"/>
  <c r="AJ300" i="4" s="1"/>
  <c r="AC424" i="4"/>
  <c r="AJ424" i="4" s="1"/>
  <c r="AC432" i="4"/>
  <c r="AJ432" i="4" s="1"/>
  <c r="AC391" i="4"/>
  <c r="AJ391" i="4" s="1"/>
  <c r="AC507" i="4"/>
  <c r="AJ507" i="4" s="1"/>
  <c r="AC500" i="4"/>
  <c r="AJ500" i="4" s="1"/>
  <c r="AC534" i="4"/>
  <c r="AJ534" i="4" s="1"/>
  <c r="AC542" i="4"/>
  <c r="AJ542" i="4" s="1"/>
  <c r="AC632" i="4"/>
  <c r="AJ632" i="4" s="1"/>
  <c r="AC640" i="4"/>
  <c r="AJ640" i="4" s="1"/>
  <c r="AC839" i="4"/>
  <c r="AJ839" i="4" s="1"/>
  <c r="AC847" i="4"/>
  <c r="AJ847" i="4" s="1"/>
  <c r="AC871" i="4"/>
  <c r="AJ871" i="4" s="1"/>
  <c r="AC726" i="4"/>
  <c r="AJ726" i="4" s="1"/>
  <c r="AC752" i="4"/>
  <c r="AJ752" i="4" s="1"/>
  <c r="AC866" i="4"/>
  <c r="AJ866" i="4" s="1"/>
  <c r="AC882" i="4"/>
  <c r="AJ882" i="4" s="1"/>
  <c r="AC944" i="4"/>
  <c r="AJ944" i="4" s="1"/>
  <c r="AC1003" i="4"/>
  <c r="AJ1003" i="4" s="1"/>
  <c r="AC1019" i="4"/>
  <c r="AJ1019" i="4" s="1"/>
  <c r="AC1127" i="4"/>
  <c r="AJ1127" i="4" s="1"/>
  <c r="AC1036" i="4"/>
  <c r="AJ1036" i="4" s="1"/>
  <c r="AC1155" i="4"/>
  <c r="AD1155" i="4" s="1"/>
  <c r="AC1241" i="4"/>
  <c r="AD1241" i="4" s="1"/>
  <c r="AC189" i="4"/>
  <c r="AJ189" i="4" s="1"/>
  <c r="I72" i="22"/>
  <c r="F72" i="22"/>
  <c r="D72" i="22" s="1"/>
  <c r="I48" i="22"/>
  <c r="F48" i="22"/>
  <c r="AC826" i="4"/>
  <c r="AJ826" i="4" s="1"/>
  <c r="AC304" i="4"/>
  <c r="AJ304" i="4" s="1"/>
  <c r="AC720" i="4"/>
  <c r="AJ720" i="4" s="1"/>
  <c r="AC1136" i="4"/>
  <c r="AJ1136" i="4" s="1"/>
  <c r="AC188" i="4"/>
  <c r="AJ188" i="4" s="1"/>
  <c r="AC708" i="4"/>
  <c r="AJ708" i="4" s="1"/>
  <c r="AC80" i="4"/>
  <c r="AJ80" i="4" s="1"/>
  <c r="AD496" i="4"/>
  <c r="AC496" i="4"/>
  <c r="AJ496" i="4" s="1"/>
  <c r="AC87" i="4"/>
  <c r="AJ87" i="4" s="1"/>
  <c r="AC503" i="4"/>
  <c r="AJ503" i="4" s="1"/>
  <c r="AC1130" i="4"/>
  <c r="AJ1130" i="4" s="1"/>
  <c r="AC180" i="4"/>
  <c r="AJ180" i="4" s="1"/>
  <c r="AC596" i="4"/>
  <c r="AJ596" i="4" s="1"/>
  <c r="AC1012" i="4"/>
  <c r="AJ1012" i="4" s="1"/>
  <c r="AC72" i="4"/>
  <c r="AJ72" i="4" s="1"/>
  <c r="AC488" i="4"/>
  <c r="AJ488" i="4" s="1"/>
  <c r="AC1212" i="4"/>
  <c r="AC1104" i="4"/>
  <c r="AJ1104" i="4" s="1"/>
  <c r="AC703" i="4"/>
  <c r="AJ703" i="4" s="1"/>
  <c r="AC1119" i="4"/>
  <c r="AJ1119" i="4" s="1"/>
  <c r="AC1213" i="4"/>
  <c r="AC165" i="4"/>
  <c r="AJ165" i="4" s="1"/>
  <c r="AC57" i="4"/>
  <c r="AJ57" i="4" s="1"/>
  <c r="AC149" i="4"/>
  <c r="AJ149" i="4" s="1"/>
  <c r="AC41" i="4"/>
  <c r="AJ41" i="4" s="1"/>
  <c r="AC133" i="4"/>
  <c r="AJ133" i="4" s="1"/>
  <c r="AC1057" i="4"/>
  <c r="AJ1057" i="4" s="1"/>
  <c r="AC117" i="4"/>
  <c r="AJ117" i="4" s="1"/>
  <c r="AC533" i="4"/>
  <c r="AJ533" i="4" s="1"/>
  <c r="AC9" i="4"/>
  <c r="AJ9" i="4" s="1"/>
  <c r="AC425" i="4"/>
  <c r="AJ425" i="4" s="1"/>
  <c r="AC508" i="4"/>
  <c r="AJ508" i="4" s="1"/>
  <c r="AC1132" i="4"/>
  <c r="AJ1132" i="4" s="1"/>
  <c r="AC192" i="4"/>
  <c r="AJ192" i="4" s="1"/>
  <c r="AC918" i="4"/>
  <c r="AJ918" i="4" s="1"/>
  <c r="C86" i="18"/>
  <c r="AC299" i="4"/>
  <c r="AJ299" i="4" s="1"/>
  <c r="I44" i="22"/>
  <c r="F44" i="22"/>
  <c r="AC414" i="4"/>
  <c r="AJ414" i="4" s="1"/>
  <c r="AC830" i="4"/>
  <c r="AJ830" i="4" s="1"/>
  <c r="AC164" i="4"/>
  <c r="AJ164" i="4" s="1"/>
  <c r="AC996" i="4"/>
  <c r="AJ996" i="4" s="1"/>
  <c r="AC56" i="4"/>
  <c r="AJ56" i="4" s="1"/>
  <c r="AC780" i="4"/>
  <c r="AJ780" i="4" s="1"/>
  <c r="AC148" i="4"/>
  <c r="AJ148" i="4" s="1"/>
  <c r="AC980" i="4"/>
  <c r="AJ980" i="4" s="1"/>
  <c r="AC40" i="4"/>
  <c r="AJ40" i="4" s="1"/>
  <c r="AC348" i="4"/>
  <c r="AJ348" i="4" s="1"/>
  <c r="AC240" i="4"/>
  <c r="AJ240" i="4" s="1"/>
  <c r="AC548" i="4"/>
  <c r="AJ548" i="4" s="1"/>
  <c r="AC856" i="4"/>
  <c r="AJ856" i="4" s="1"/>
  <c r="AC332" i="4"/>
  <c r="AJ332" i="4" s="1"/>
  <c r="AC224" i="4"/>
  <c r="AJ224" i="4" s="1"/>
  <c r="AC116" i="4"/>
  <c r="AJ116" i="4" s="1"/>
  <c r="AC8" i="4"/>
  <c r="AJ8" i="4" s="1"/>
  <c r="AC312" i="4"/>
  <c r="AJ312" i="4" s="1"/>
  <c r="AC620" i="4"/>
  <c r="AJ620" i="4" s="1"/>
  <c r="AC490" i="4"/>
  <c r="AJ490" i="4" s="1"/>
  <c r="AC166" i="4"/>
  <c r="AJ166" i="4" s="1"/>
  <c r="AC217" i="4"/>
  <c r="AJ217" i="4" s="1"/>
  <c r="AC225" i="4"/>
  <c r="AJ225" i="4" s="1"/>
  <c r="AC278" i="4"/>
  <c r="AJ278" i="4" s="1"/>
  <c r="AC360" i="4"/>
  <c r="AJ360" i="4" s="1"/>
  <c r="AC368" i="4"/>
  <c r="AJ368" i="4" s="1"/>
  <c r="AC392" i="4"/>
  <c r="AJ392" i="4" s="1"/>
  <c r="AC400" i="4"/>
  <c r="AJ400" i="4" s="1"/>
  <c r="AC510" i="4"/>
  <c r="AJ510" i="4" s="1"/>
  <c r="AC552" i="4"/>
  <c r="AJ552" i="4" s="1"/>
  <c r="AC576" i="4"/>
  <c r="AJ576" i="4" s="1"/>
  <c r="AC592" i="4"/>
  <c r="AJ592" i="4" s="1"/>
  <c r="AC624" i="4"/>
  <c r="AJ624" i="4" s="1"/>
  <c r="AC658" i="4"/>
  <c r="AJ658" i="4" s="1"/>
  <c r="AC690" i="4"/>
  <c r="AJ690" i="4" s="1"/>
  <c r="AC531" i="4"/>
  <c r="AJ531" i="4" s="1"/>
  <c r="AC539" i="4"/>
  <c r="AJ539" i="4" s="1"/>
  <c r="AC587" i="4"/>
  <c r="AJ587" i="4" s="1"/>
  <c r="AC611" i="4"/>
  <c r="AJ611" i="4" s="1"/>
  <c r="AC679" i="4"/>
  <c r="AJ679" i="4" s="1"/>
  <c r="AC728" i="4"/>
  <c r="AJ728" i="4" s="1"/>
  <c r="AC970" i="4"/>
  <c r="AJ970" i="4" s="1"/>
  <c r="AC1010" i="4"/>
  <c r="AJ1010" i="4" s="1"/>
  <c r="AC949" i="4"/>
  <c r="AJ949" i="4" s="1"/>
  <c r="AC1030" i="4"/>
  <c r="AJ1030" i="4" s="1"/>
  <c r="AC1205" i="4"/>
  <c r="AC1140" i="4"/>
  <c r="AJ1140" i="4" s="1"/>
  <c r="AC175" i="4"/>
  <c r="AJ175" i="4" s="1"/>
  <c r="J10" i="6"/>
  <c r="K10" i="6" s="1"/>
  <c r="H11" i="6" s="1"/>
  <c r="AC1245" i="4"/>
  <c r="AC1181" i="4"/>
  <c r="AD1181" i="4" s="1"/>
  <c r="AC102" i="4"/>
  <c r="AJ102" i="4" s="1"/>
  <c r="AC786" i="4"/>
  <c r="AJ786" i="4" s="1"/>
  <c r="BE52" i="19"/>
  <c r="C67" i="23" s="1"/>
  <c r="H52" i="19"/>
  <c r="BH52" i="19" s="1"/>
  <c r="C67" i="26" s="1"/>
  <c r="H40" i="19"/>
  <c r="BD40" i="19" s="1"/>
  <c r="C55" i="22" s="1"/>
  <c r="AT18" i="62"/>
  <c r="AF48" i="62"/>
  <c r="AE1285" i="4"/>
  <c r="AI1181" i="4"/>
  <c r="AI1285" i="4" s="1"/>
  <c r="AC86" i="4"/>
  <c r="AJ86" i="4" s="1"/>
  <c r="AC498" i="4"/>
  <c r="AJ498" i="4" s="1"/>
  <c r="AC586" i="4"/>
  <c r="AJ586" i="4" s="1"/>
  <c r="AC1190" i="4"/>
  <c r="AE1286" i="4"/>
  <c r="AI1182" i="4"/>
  <c r="AI1286" i="4" s="1"/>
  <c r="AC619" i="4"/>
  <c r="AJ619" i="4" s="1"/>
  <c r="AC811" i="4"/>
  <c r="AJ811" i="4" s="1"/>
  <c r="AC695" i="4"/>
  <c r="AJ695" i="4" s="1"/>
  <c r="AC1244" i="4"/>
  <c r="AC824" i="4"/>
  <c r="AJ824" i="4" s="1"/>
  <c r="AE1340" i="4"/>
  <c r="AI1236" i="4"/>
  <c r="AI1340" i="4" s="1"/>
  <c r="AG1340" i="4" s="1"/>
  <c r="AC700" i="4"/>
  <c r="AJ700" i="4" s="1"/>
  <c r="AC1100" i="4"/>
  <c r="AJ1100" i="4" s="1"/>
  <c r="AC140" i="4"/>
  <c r="AJ140" i="4" s="1"/>
  <c r="AC749" i="4"/>
  <c r="AJ749" i="4" s="1"/>
  <c r="AC1161" i="4"/>
  <c r="AD1161" i="4" s="1"/>
  <c r="AC950" i="4"/>
  <c r="AJ950" i="4" s="1"/>
  <c r="AC114" i="4"/>
  <c r="AJ114" i="4" s="1"/>
  <c r="AE1257" i="4"/>
  <c r="AI1153" i="4"/>
  <c r="AI1257" i="4" s="1"/>
  <c r="AC439" i="4"/>
  <c r="AJ439" i="4" s="1"/>
  <c r="H95" i="19"/>
  <c r="BE95" i="19" s="1"/>
  <c r="C110" i="23" s="1"/>
  <c r="F42" i="22"/>
  <c r="I42" i="22"/>
  <c r="Y1346" i="4"/>
  <c r="AC210" i="4"/>
  <c r="AJ210" i="4" s="1"/>
  <c r="AC606" i="4"/>
  <c r="AJ606" i="4" s="1"/>
  <c r="AC1106" i="4"/>
  <c r="AJ1106" i="4" s="1"/>
  <c r="AC790" i="4"/>
  <c r="AJ790" i="4" s="1"/>
  <c r="AC46" i="4"/>
  <c r="AJ46" i="4" s="1"/>
  <c r="AC546" i="4"/>
  <c r="AJ546" i="4" s="1"/>
  <c r="AA1319" i="4"/>
  <c r="AC1215" i="4"/>
  <c r="AD1215" i="4" s="1"/>
  <c r="AC520" i="4"/>
  <c r="AJ520" i="4" s="1"/>
  <c r="AE1324" i="4"/>
  <c r="AI1220" i="4"/>
  <c r="AI1324" i="4" s="1"/>
  <c r="AG1324" i="4" s="1"/>
  <c r="AC800" i="4"/>
  <c r="AJ800" i="4" s="1"/>
  <c r="AC792" i="4"/>
  <c r="AJ792" i="4" s="1"/>
  <c r="H1308" i="4"/>
  <c r="G1308" i="4" s="1"/>
  <c r="AA1292" i="4"/>
  <c r="AC1188" i="4"/>
  <c r="AC1058" i="4"/>
  <c r="AJ1058" i="4" s="1"/>
  <c r="AC1050" i="4"/>
  <c r="AJ1050" i="4" s="1"/>
  <c r="AL65" i="19"/>
  <c r="AH65" i="19"/>
  <c r="AK65" i="19"/>
  <c r="AG65" i="19"/>
  <c r="AJ65" i="19"/>
  <c r="AF65" i="19"/>
  <c r="AM65" i="19"/>
  <c r="AI65" i="19"/>
  <c r="AC1221" i="4"/>
  <c r="AD1221" i="4" s="1"/>
  <c r="AC49" i="4"/>
  <c r="AJ49" i="4" s="1"/>
  <c r="R47" i="5"/>
  <c r="AC1142" i="4"/>
  <c r="AJ1142" i="4" s="1"/>
  <c r="AC286" i="4"/>
  <c r="AJ286" i="4" s="1"/>
  <c r="AE1322" i="4"/>
  <c r="AI1218" i="4"/>
  <c r="AI1322" i="4" s="1"/>
  <c r="AC798" i="4"/>
  <c r="AJ798" i="4" s="1"/>
  <c r="AC986" i="4"/>
  <c r="AJ986" i="4" s="1"/>
  <c r="AC234" i="4"/>
  <c r="AJ234" i="4" s="1"/>
  <c r="AC193" i="4"/>
  <c r="AJ193" i="4" s="1"/>
  <c r="Y1329" i="4"/>
  <c r="AC1040" i="4"/>
  <c r="AJ1040" i="4" s="1"/>
  <c r="AC172" i="4"/>
  <c r="AJ172" i="4" s="1"/>
  <c r="AC472" i="4"/>
  <c r="AJ472" i="4" s="1"/>
  <c r="AC460" i="4"/>
  <c r="AJ460" i="4" s="1"/>
  <c r="AC872" i="4"/>
  <c r="AJ872" i="4" s="1"/>
  <c r="AC1166" i="4"/>
  <c r="AD1166" i="4" s="1"/>
  <c r="AC746" i="4"/>
  <c r="AJ746" i="4" s="1"/>
  <c r="AC119" i="4"/>
  <c r="AJ119" i="4" s="1"/>
  <c r="AE1262" i="4"/>
  <c r="AI1158" i="4"/>
  <c r="AI1262" i="4" s="1"/>
  <c r="AC947" i="4"/>
  <c r="AJ947" i="4" s="1"/>
  <c r="AC320" i="4"/>
  <c r="AJ320" i="4" s="1"/>
  <c r="AC483" i="4"/>
  <c r="AJ483" i="4" s="1"/>
  <c r="AA55" i="4"/>
  <c r="AJ43" i="19"/>
  <c r="AF43" i="19"/>
  <c r="AM43" i="19"/>
  <c r="AI43" i="19"/>
  <c r="AL43" i="19"/>
  <c r="AH43" i="19"/>
  <c r="AK43" i="19"/>
  <c r="AG43" i="19"/>
  <c r="AP10" i="20"/>
  <c r="AL10" i="20"/>
  <c r="AH10" i="20"/>
  <c r="AO10" i="20"/>
  <c r="AK10" i="20"/>
  <c r="AG10" i="20"/>
  <c r="AN10" i="20"/>
  <c r="AJ10" i="20"/>
  <c r="AF10" i="20"/>
  <c r="AM10" i="20"/>
  <c r="AI10" i="20"/>
  <c r="AE10" i="20"/>
  <c r="AL37" i="19"/>
  <c r="AH37" i="19"/>
  <c r="AK37" i="19"/>
  <c r="AG37" i="19"/>
  <c r="AJ37" i="19"/>
  <c r="AF37" i="19"/>
  <c r="AM37" i="19"/>
  <c r="AI37" i="19"/>
  <c r="Y1324" i="4"/>
  <c r="AE1353" i="4"/>
  <c r="AI1249" i="4"/>
  <c r="AI1353" i="4" s="1"/>
  <c r="C17" i="28"/>
  <c r="D33" i="5"/>
  <c r="AA1334" i="4"/>
  <c r="AC1230" i="4"/>
  <c r="AD1230" i="4" s="1"/>
  <c r="AC810" i="4"/>
  <c r="AJ810" i="4" s="1"/>
  <c r="H1326" i="4"/>
  <c r="G1326" i="4" s="1"/>
  <c r="AC998" i="4"/>
  <c r="AJ998" i="4" s="1"/>
  <c r="AC246" i="4"/>
  <c r="AJ246" i="4" s="1"/>
  <c r="AE1282" i="4"/>
  <c r="AI1178" i="4"/>
  <c r="AI1282" i="4" s="1"/>
  <c r="AC758" i="4"/>
  <c r="AJ758" i="4" s="1"/>
  <c r="H1274" i="4"/>
  <c r="G1274" i="4" s="1"/>
  <c r="AC1235" i="4"/>
  <c r="AD1235" i="4" s="1"/>
  <c r="AC291" i="4"/>
  <c r="AJ291" i="4" s="1"/>
  <c r="AC591" i="4"/>
  <c r="AJ591" i="4" s="1"/>
  <c r="AC1128" i="4"/>
  <c r="AJ1128" i="4" s="1"/>
  <c r="AC564" i="4"/>
  <c r="AJ564" i="4" s="1"/>
  <c r="AC645" i="4"/>
  <c r="AJ645" i="4" s="1"/>
  <c r="AC641" i="4"/>
  <c r="AJ641" i="4" s="1"/>
  <c r="AC637" i="4"/>
  <c r="AJ637" i="4" s="1"/>
  <c r="AC633" i="4"/>
  <c r="AJ633" i="4" s="1"/>
  <c r="AC318" i="4"/>
  <c r="AD318" i="4" s="1"/>
  <c r="BE62" i="19"/>
  <c r="C77" i="23" s="1"/>
  <c r="H62" i="19"/>
  <c r="BB62" i="19" s="1"/>
  <c r="BH97" i="19"/>
  <c r="C112" i="26" s="1"/>
  <c r="BE97" i="19"/>
  <c r="C112" i="23" s="1"/>
  <c r="Y81" i="19"/>
  <c r="U81" i="19"/>
  <c r="AB81" i="19"/>
  <c r="X81" i="19"/>
  <c r="AA81" i="19"/>
  <c r="W81" i="19"/>
  <c r="Z81" i="19"/>
  <c r="V81" i="19"/>
  <c r="BF81" i="19"/>
  <c r="C96" i="24" s="1"/>
  <c r="BH81" i="19"/>
  <c r="C96" i="26" s="1"/>
  <c r="BB53" i="19"/>
  <c r="BD47" i="19"/>
  <c r="C62" i="22" s="1"/>
  <c r="BG31" i="19"/>
  <c r="C46" i="25" s="1"/>
  <c r="BE31" i="19"/>
  <c r="C46" i="23" s="1"/>
  <c r="D92" i="19"/>
  <c r="D7" i="18"/>
  <c r="AC590" i="4"/>
  <c r="AJ590" i="4" s="1"/>
  <c r="AC350" i="4"/>
  <c r="AJ350" i="4" s="1"/>
  <c r="AG41" i="20"/>
  <c r="AF41" i="20"/>
  <c r="AE41" i="20"/>
  <c r="Y1325" i="4"/>
  <c r="Y1309" i="4"/>
  <c r="Y1293" i="4"/>
  <c r="Y1277" i="4"/>
  <c r="Y1261" i="4"/>
  <c r="AC1088" i="4"/>
  <c r="AJ1088" i="4" s="1"/>
  <c r="AC1168" i="4"/>
  <c r="AC956" i="4"/>
  <c r="AJ956" i="4" s="1"/>
  <c r="AC120" i="4"/>
  <c r="AJ120" i="4" s="1"/>
  <c r="AE1263" i="4"/>
  <c r="AI1159" i="4"/>
  <c r="AI1263" i="4" s="1"/>
  <c r="AD39" i="4"/>
  <c r="AC39" i="4"/>
  <c r="AJ39" i="4" s="1"/>
  <c r="BI61" i="19"/>
  <c r="BG61" i="19"/>
  <c r="C76" i="25" s="1"/>
  <c r="F58" i="26"/>
  <c r="D58" i="26" s="1"/>
  <c r="I58" i="26"/>
  <c r="Y1336" i="4"/>
  <c r="AC101" i="4"/>
  <c r="AJ101" i="4" s="1"/>
  <c r="AC626" i="4"/>
  <c r="AJ626" i="4" s="1"/>
  <c r="AC138" i="4"/>
  <c r="AJ138" i="4" s="1"/>
  <c r="D4" i="26"/>
  <c r="AC364" i="4"/>
  <c r="AJ364" i="4" s="1"/>
  <c r="AC440" i="4"/>
  <c r="AJ440" i="4" s="1"/>
  <c r="AE20" i="16"/>
  <c r="AA20" i="16"/>
  <c r="W20" i="16"/>
  <c r="AH20" i="16"/>
  <c r="AD20" i="16"/>
  <c r="Z20" i="16"/>
  <c r="AG20" i="16"/>
  <c r="AC20" i="16"/>
  <c r="Y20" i="16"/>
  <c r="AF20" i="16"/>
  <c r="AB20" i="16"/>
  <c r="X20" i="16"/>
  <c r="AM10" i="14"/>
  <c r="B10" i="19"/>
  <c r="D10" i="19" s="1"/>
  <c r="AC7" i="4"/>
  <c r="AJ7" i="4" s="1"/>
  <c r="C94" i="28"/>
  <c r="C93" i="28"/>
  <c r="T15" i="15"/>
  <c r="AK107" i="14"/>
  <c r="AE627" i="4"/>
  <c r="AI526" i="4"/>
  <c r="AI627" i="4" s="1"/>
  <c r="AC143" i="4"/>
  <c r="AJ143" i="4" s="1"/>
  <c r="AC547" i="4"/>
  <c r="AJ547" i="4" s="1"/>
  <c r="Y77" i="19"/>
  <c r="U77" i="19"/>
  <c r="AB77" i="19"/>
  <c r="X77" i="19"/>
  <c r="AA77" i="19"/>
  <c r="W77" i="19"/>
  <c r="Z77" i="19"/>
  <c r="V77" i="19"/>
  <c r="BF77" i="19"/>
  <c r="C92" i="24" s="1"/>
  <c r="BH77" i="19"/>
  <c r="C92" i="26" s="1"/>
  <c r="BD71" i="19"/>
  <c r="C86" i="22" s="1"/>
  <c r="BI71" i="19"/>
  <c r="F38" i="21"/>
  <c r="I38" i="21"/>
  <c r="AA23" i="19"/>
  <c r="W23" i="19"/>
  <c r="Z23" i="19"/>
  <c r="V23" i="19"/>
  <c r="Y23" i="19"/>
  <c r="U23" i="19"/>
  <c r="AB23" i="19"/>
  <c r="X23" i="19"/>
  <c r="BF23" i="19"/>
  <c r="C38" i="24" s="1"/>
  <c r="AE1277" i="4"/>
  <c r="AI1173" i="4"/>
  <c r="AI1277" i="4" s="1"/>
  <c r="AC378" i="4"/>
  <c r="AJ378" i="4" s="1"/>
  <c r="AC150" i="4"/>
  <c r="AJ150" i="4" s="1"/>
  <c r="AC650" i="4"/>
  <c r="AJ650" i="4" s="1"/>
  <c r="AC209" i="4"/>
  <c r="AJ209" i="4" s="1"/>
  <c r="Y1345" i="4"/>
  <c r="BV44" i="62"/>
  <c r="AC888" i="4"/>
  <c r="AJ888" i="4" s="1"/>
  <c r="AE1284" i="4"/>
  <c r="AI1180" i="4"/>
  <c r="AI1284" i="4" s="1"/>
  <c r="AG1284" i="4" s="1"/>
  <c r="AE1268" i="4"/>
  <c r="AI1164" i="4"/>
  <c r="AI1268" i="4" s="1"/>
  <c r="AC326" i="4"/>
  <c r="AJ326" i="4" s="1"/>
  <c r="AC630" i="4"/>
  <c r="AC471" i="4"/>
  <c r="AJ471" i="4" s="1"/>
  <c r="AL53" i="19"/>
  <c r="AH53" i="19"/>
  <c r="AK53" i="19"/>
  <c r="AG53" i="19"/>
  <c r="AJ53" i="19"/>
  <c r="AF53" i="19"/>
  <c r="AM53" i="19"/>
  <c r="AI53" i="19"/>
  <c r="BB29" i="19"/>
  <c r="Y1350" i="4"/>
  <c r="Y1300" i="4"/>
  <c r="Y1284" i="4"/>
  <c r="Y1268" i="4"/>
  <c r="AC74" i="4"/>
  <c r="AJ74" i="4" s="1"/>
  <c r="AC678" i="4"/>
  <c r="AJ678" i="4" s="1"/>
  <c r="AC346" i="4"/>
  <c r="AJ346" i="4" s="1"/>
  <c r="AG15" i="16"/>
  <c r="AC15" i="16"/>
  <c r="Y15" i="16"/>
  <c r="AF15" i="16"/>
  <c r="AB15" i="16"/>
  <c r="X15" i="16"/>
  <c r="AE15" i="16"/>
  <c r="AA15" i="16"/>
  <c r="W15" i="16"/>
  <c r="AH15" i="16"/>
  <c r="AD15" i="16"/>
  <c r="Z15" i="16"/>
  <c r="B13" i="19"/>
  <c r="AM13" i="14"/>
  <c r="AG11" i="16"/>
  <c r="AC11" i="16"/>
  <c r="Y11" i="16"/>
  <c r="AF11" i="16"/>
  <c r="AB11" i="16"/>
  <c r="X11" i="16"/>
  <c r="AE11" i="16"/>
  <c r="AA11" i="16"/>
  <c r="W11" i="16"/>
  <c r="AH11" i="16"/>
  <c r="AD11" i="16"/>
  <c r="Z11" i="16"/>
  <c r="B9" i="19"/>
  <c r="AM9" i="14"/>
  <c r="AG7" i="16"/>
  <c r="AC7" i="16"/>
  <c r="Y7" i="16"/>
  <c r="AF7" i="16"/>
  <c r="AB7" i="16"/>
  <c r="X7" i="16"/>
  <c r="AA7" i="16"/>
  <c r="AE7" i="16"/>
  <c r="W7" i="16"/>
  <c r="AH7" i="16"/>
  <c r="AD7" i="16"/>
  <c r="Z7" i="16"/>
  <c r="AC991" i="4"/>
  <c r="AJ991" i="4" s="1"/>
  <c r="AC335" i="4"/>
  <c r="AJ335" i="4" s="1"/>
  <c r="BI65" i="19"/>
  <c r="BG65" i="19"/>
  <c r="C80" i="25" s="1"/>
  <c r="AK105" i="19"/>
  <c r="AG105" i="19"/>
  <c r="AM105" i="19"/>
  <c r="AI105" i="19"/>
  <c r="AL105" i="19"/>
  <c r="AJ105" i="19"/>
  <c r="AH105" i="19"/>
  <c r="AF105" i="19"/>
  <c r="I56" i="23"/>
  <c r="F56" i="23"/>
  <c r="I56" i="21"/>
  <c r="F56" i="21"/>
  <c r="H34" i="19"/>
  <c r="BB34" i="19" s="1"/>
  <c r="BF84" i="19"/>
  <c r="C99" i="24" s="1"/>
  <c r="H84" i="19"/>
  <c r="BB84" i="19" s="1"/>
  <c r="D46" i="19"/>
  <c r="AC94" i="4"/>
  <c r="AJ94" i="4" s="1"/>
  <c r="AC594" i="4"/>
  <c r="AJ594" i="4" s="1"/>
  <c r="AD1194" i="4"/>
  <c r="AC1194" i="4"/>
  <c r="AE1290" i="4"/>
  <c r="AI1186" i="4"/>
  <c r="AI1290" i="4" s="1"/>
  <c r="AD766" i="4"/>
  <c r="AC766" i="4"/>
  <c r="AJ766" i="4" s="1"/>
  <c r="AC199" i="4"/>
  <c r="AJ199" i="4" s="1"/>
  <c r="AE1331" i="4"/>
  <c r="AI1227" i="4"/>
  <c r="AI1331" i="4" s="1"/>
  <c r="H1344" i="4"/>
  <c r="G1344" i="4" s="1"/>
  <c r="AA1232" i="4"/>
  <c r="AE1328" i="4"/>
  <c r="AI1224" i="4"/>
  <c r="AI1328" i="4" s="1"/>
  <c r="AN22" i="19"/>
  <c r="AO22" i="19" s="1"/>
  <c r="AM91" i="19"/>
  <c r="AI91" i="19"/>
  <c r="AK91" i="19"/>
  <c r="AG91" i="19"/>
  <c r="AJ91" i="19"/>
  <c r="AH91" i="19"/>
  <c r="AF91" i="19"/>
  <c r="AL91" i="19"/>
  <c r="AA176" i="16"/>
  <c r="BO16" i="5" s="1"/>
  <c r="AF176" i="16"/>
  <c r="EG16" i="5" s="1"/>
  <c r="AL45" i="19"/>
  <c r="AH45" i="19"/>
  <c r="AK45" i="19"/>
  <c r="AG45" i="19"/>
  <c r="AJ45" i="19"/>
  <c r="AF45" i="19"/>
  <c r="AM45" i="19"/>
  <c r="AI45" i="19"/>
  <c r="C52" i="18"/>
  <c r="I52" i="22"/>
  <c r="F52" i="22"/>
  <c r="D52" i="22" s="1"/>
  <c r="Y1354" i="4"/>
  <c r="AE1329" i="4"/>
  <c r="AI1225" i="4"/>
  <c r="AI1329" i="4" s="1"/>
  <c r="AD614" i="4"/>
  <c r="AC614" i="4"/>
  <c r="AJ614" i="4" s="1"/>
  <c r="AC1114" i="4"/>
  <c r="AJ1114" i="4" s="1"/>
  <c r="H1310" i="4"/>
  <c r="G1310" i="4" s="1"/>
  <c r="AJ79" i="19"/>
  <c r="AF79" i="19"/>
  <c r="AM79" i="19"/>
  <c r="AI79" i="19"/>
  <c r="AL79" i="19"/>
  <c r="AH79" i="19"/>
  <c r="AK79" i="19"/>
  <c r="AG79" i="19"/>
  <c r="AE1296" i="4"/>
  <c r="AI1192" i="4"/>
  <c r="AI1296" i="4" s="1"/>
  <c r="H1288" i="4"/>
  <c r="G1288" i="4" s="1"/>
  <c r="AC435" i="4"/>
  <c r="AJ435" i="4" s="1"/>
  <c r="AC431" i="4"/>
  <c r="AJ431" i="4" s="1"/>
  <c r="AC427" i="4"/>
  <c r="AJ427" i="4" s="1"/>
  <c r="AC423" i="4"/>
  <c r="AJ423" i="4" s="1"/>
  <c r="H105" i="19"/>
  <c r="BC105" i="19" s="1"/>
  <c r="C120" i="21" s="1"/>
  <c r="F106" i="26"/>
  <c r="I106" i="26"/>
  <c r="Z91" i="19"/>
  <c r="V91" i="19"/>
  <c r="AB91" i="19"/>
  <c r="X91" i="19"/>
  <c r="AA91" i="19"/>
  <c r="Y91" i="19"/>
  <c r="W91" i="19"/>
  <c r="U91" i="19"/>
  <c r="F54" i="21"/>
  <c r="I54" i="21"/>
  <c r="AA39" i="19"/>
  <c r="W39" i="19"/>
  <c r="Z39" i="19"/>
  <c r="V39" i="19"/>
  <c r="Y39" i="19"/>
  <c r="U39" i="19"/>
  <c r="AB39" i="19"/>
  <c r="X39" i="19"/>
  <c r="BF39" i="19"/>
  <c r="C54" i="24" s="1"/>
  <c r="AE1293" i="4"/>
  <c r="AI1189" i="4"/>
  <c r="AI1293" i="4" s="1"/>
  <c r="AC478" i="4"/>
  <c r="AJ478" i="4" s="1"/>
  <c r="AC978" i="4"/>
  <c r="AJ978" i="4" s="1"/>
  <c r="Y1341" i="4"/>
  <c r="AE1347" i="4"/>
  <c r="AI1243" i="4"/>
  <c r="AI1347" i="4" s="1"/>
  <c r="G163" i="4"/>
  <c r="H59" i="4"/>
  <c r="AA59" i="4"/>
  <c r="AC1162" i="4"/>
  <c r="AD1162" i="4" s="1"/>
  <c r="AC742" i="4"/>
  <c r="AJ742" i="4" s="1"/>
  <c r="AC115" i="4"/>
  <c r="AJ115" i="4" s="1"/>
  <c r="AE1258" i="4"/>
  <c r="AI1154" i="4"/>
  <c r="AI1258" i="4" s="1"/>
  <c r="AC943" i="4"/>
  <c r="AJ943" i="4" s="1"/>
  <c r="H79" i="4"/>
  <c r="H101" i="19"/>
  <c r="BC101" i="19" s="1"/>
  <c r="C116" i="21" s="1"/>
  <c r="Y1322" i="4"/>
  <c r="Y419" i="4"/>
  <c r="Y835" i="4"/>
  <c r="Y1251" i="4"/>
  <c r="Y1254" i="4"/>
  <c r="AE1321" i="4"/>
  <c r="AI1217" i="4"/>
  <c r="AI1321" i="4" s="1"/>
  <c r="AE1330" i="4"/>
  <c r="AI1226" i="4"/>
  <c r="AI1330" i="4" s="1"/>
  <c r="AC254" i="4"/>
  <c r="AJ254" i="4" s="1"/>
  <c r="AC1174" i="4"/>
  <c r="AD1174" i="4" s="1"/>
  <c r="AP86" i="20"/>
  <c r="AP88" i="20" s="1"/>
  <c r="AL86" i="20"/>
  <c r="AL88" i="20" s="1"/>
  <c r="AH86" i="20"/>
  <c r="AH88" i="20" s="1"/>
  <c r="AO86" i="20"/>
  <c r="AO88" i="20" s="1"/>
  <c r="AK86" i="20"/>
  <c r="AK88" i="20" s="1"/>
  <c r="AG86" i="20"/>
  <c r="AG88" i="20" s="1"/>
  <c r="R88" i="20"/>
  <c r="AJ86" i="20"/>
  <c r="AJ88" i="20" s="1"/>
  <c r="AI86" i="20"/>
  <c r="AI88" i="20" s="1"/>
  <c r="AN86" i="20"/>
  <c r="AN88" i="20" s="1"/>
  <c r="AF86" i="20"/>
  <c r="AF88" i="20" s="1"/>
  <c r="AE86" i="20"/>
  <c r="AM86" i="20"/>
  <c r="AM88" i="20" s="1"/>
  <c r="AO38" i="20"/>
  <c r="AO40" i="20" s="1"/>
  <c r="AK38" i="20"/>
  <c r="AK40" i="20" s="1"/>
  <c r="AG38" i="20"/>
  <c r="AG40" i="20" s="1"/>
  <c r="AN38" i="20"/>
  <c r="AN40" i="20" s="1"/>
  <c r="AI38" i="20"/>
  <c r="AI40" i="20" s="1"/>
  <c r="AM38" i="20"/>
  <c r="AM40" i="20" s="1"/>
  <c r="AH38" i="20"/>
  <c r="AH40" i="20" s="1"/>
  <c r="AL38" i="20"/>
  <c r="AL40" i="20" s="1"/>
  <c r="AF38" i="20"/>
  <c r="AF40" i="20" s="1"/>
  <c r="R40" i="20"/>
  <c r="AP38" i="20"/>
  <c r="AP40" i="20" s="1"/>
  <c r="AJ38" i="20"/>
  <c r="AJ40" i="20" s="1"/>
  <c r="AE38" i="20"/>
  <c r="AE1276" i="4"/>
  <c r="AI1172" i="4"/>
  <c r="AI1276" i="4" s="1"/>
  <c r="AA233" i="4"/>
  <c r="H233" i="4"/>
  <c r="H241" i="4"/>
  <c r="AA241" i="4"/>
  <c r="AA249" i="4"/>
  <c r="H249" i="4"/>
  <c r="AA257" i="4"/>
  <c r="H257" i="4"/>
  <c r="H265" i="4"/>
  <c r="AA265" i="4"/>
  <c r="AA273" i="4"/>
  <c r="H273" i="4"/>
  <c r="H281" i="4"/>
  <c r="AA281" i="4"/>
  <c r="H293" i="4"/>
  <c r="AA293" i="4"/>
  <c r="H301" i="4"/>
  <c r="AA301" i="4"/>
  <c r="H309" i="4"/>
  <c r="AA309" i="4"/>
  <c r="H337" i="4"/>
  <c r="AA337" i="4"/>
  <c r="H345" i="4"/>
  <c r="AA345" i="4"/>
  <c r="H353" i="4"/>
  <c r="AA353" i="4"/>
  <c r="H361" i="4"/>
  <c r="AA361" i="4"/>
  <c r="AA369" i="4"/>
  <c r="H369" i="4"/>
  <c r="AA377" i="4"/>
  <c r="H377" i="4"/>
  <c r="AA385" i="4"/>
  <c r="H385" i="4"/>
  <c r="AA393" i="4"/>
  <c r="H393" i="4"/>
  <c r="H401" i="4"/>
  <c r="AA401" i="4"/>
  <c r="H409" i="4"/>
  <c r="AA409" i="4"/>
  <c r="H417" i="4"/>
  <c r="AA417" i="4"/>
  <c r="AA445" i="4"/>
  <c r="H445" i="4"/>
  <c r="AA453" i="4"/>
  <c r="H453" i="4"/>
  <c r="AA461" i="4"/>
  <c r="H461" i="4"/>
  <c r="AA469" i="4"/>
  <c r="H469" i="4"/>
  <c r="H477" i="4"/>
  <c r="AA477" i="4"/>
  <c r="H485" i="4"/>
  <c r="AA485" i="4"/>
  <c r="H493" i="4"/>
  <c r="AA493" i="4"/>
  <c r="H497" i="4"/>
  <c r="AA497" i="4"/>
  <c r="AA511" i="4"/>
  <c r="H511" i="4"/>
  <c r="H519" i="4"/>
  <c r="AA519" i="4"/>
  <c r="AA555" i="4"/>
  <c r="H555" i="4"/>
  <c r="AA563" i="4"/>
  <c r="H563" i="4"/>
  <c r="AA571" i="4"/>
  <c r="H571" i="4"/>
  <c r="AA579" i="4"/>
  <c r="H579" i="4"/>
  <c r="AA595" i="4"/>
  <c r="H595" i="4"/>
  <c r="H655" i="4"/>
  <c r="AA655" i="4"/>
  <c r="AA671" i="4"/>
  <c r="H671" i="4"/>
  <c r="H687" i="4"/>
  <c r="AA687" i="4"/>
  <c r="H721" i="4"/>
  <c r="AA721" i="4"/>
  <c r="AA729" i="4"/>
  <c r="H729" i="4"/>
  <c r="H757" i="4"/>
  <c r="AA757" i="4"/>
  <c r="H765" i="4"/>
  <c r="AA765" i="4"/>
  <c r="AA773" i="4"/>
  <c r="H773" i="4"/>
  <c r="H781" i="4"/>
  <c r="AA781" i="4"/>
  <c r="AA789" i="4"/>
  <c r="H789" i="4"/>
  <c r="AA797" i="4"/>
  <c r="H797" i="4"/>
  <c r="H805" i="4"/>
  <c r="AA805" i="4"/>
  <c r="AA813" i="4"/>
  <c r="H813" i="4"/>
  <c r="H821" i="4"/>
  <c r="AA821" i="4"/>
  <c r="H829" i="4"/>
  <c r="AA829" i="4"/>
  <c r="H857" i="4"/>
  <c r="AA857" i="4"/>
  <c r="AA865" i="4"/>
  <c r="H865" i="4"/>
  <c r="AA873" i="4"/>
  <c r="H873" i="4"/>
  <c r="H881" i="4"/>
  <c r="AA881" i="4"/>
  <c r="AA889" i="4"/>
  <c r="H889" i="4"/>
  <c r="H897" i="4"/>
  <c r="AA897" i="4"/>
  <c r="H905" i="4"/>
  <c r="AA905" i="4"/>
  <c r="AA913" i="4"/>
  <c r="H913" i="4"/>
  <c r="AA921" i="4"/>
  <c r="H921" i="4"/>
  <c r="AA929" i="4"/>
  <c r="H929" i="4"/>
  <c r="H937" i="4"/>
  <c r="AA937" i="4"/>
  <c r="AA965" i="4"/>
  <c r="H965" i="4"/>
  <c r="H973" i="4"/>
  <c r="AA973" i="4"/>
  <c r="AA981" i="4"/>
  <c r="H981" i="4"/>
  <c r="AA989" i="4"/>
  <c r="H989" i="4"/>
  <c r="H997" i="4"/>
  <c r="AA997" i="4"/>
  <c r="AA1005" i="4"/>
  <c r="H1005" i="4"/>
  <c r="AA1013" i="4"/>
  <c r="H1013" i="4"/>
  <c r="AA1021" i="4"/>
  <c r="H1021" i="4"/>
  <c r="H1029" i="4"/>
  <c r="AA1029" i="4"/>
  <c r="AA1037" i="4"/>
  <c r="H1037" i="4"/>
  <c r="H1065" i="4"/>
  <c r="AA1065" i="4"/>
  <c r="AA1073" i="4"/>
  <c r="H1073" i="4"/>
  <c r="H1081" i="4"/>
  <c r="AA1081" i="4"/>
  <c r="H1089" i="4"/>
  <c r="AA1089" i="4"/>
  <c r="AA1097" i="4"/>
  <c r="H1097" i="4"/>
  <c r="H1105" i="4"/>
  <c r="AA1105" i="4"/>
  <c r="AA1113" i="4"/>
  <c r="H1113" i="4"/>
  <c r="AA1121" i="4"/>
  <c r="H1121" i="4"/>
  <c r="H1129" i="4"/>
  <c r="AA1129" i="4"/>
  <c r="AA1137" i="4"/>
  <c r="H1137" i="4"/>
  <c r="H1145" i="4"/>
  <c r="AA1145" i="4"/>
  <c r="AA734" i="4"/>
  <c r="AE1254" i="4"/>
  <c r="AE1251" i="4"/>
  <c r="AI1150" i="4"/>
  <c r="BG54" i="19"/>
  <c r="C69" i="25" s="1"/>
  <c r="H54" i="19"/>
  <c r="BC54" i="19" s="1"/>
  <c r="C69" i="21" s="1"/>
  <c r="H767" i="4"/>
  <c r="AA751" i="4"/>
  <c r="Y49" i="19"/>
  <c r="U49" i="19"/>
  <c r="AB49" i="19"/>
  <c r="X49" i="19"/>
  <c r="AA49" i="19"/>
  <c r="W49" i="19"/>
  <c r="Z49" i="19"/>
  <c r="V49" i="19"/>
  <c r="BF49" i="19"/>
  <c r="C64" i="24" s="1"/>
  <c r="BH49" i="19"/>
  <c r="C64" i="26" s="1"/>
  <c r="BB99" i="19"/>
  <c r="BE99" i="19"/>
  <c r="C114" i="23" s="1"/>
  <c r="D60" i="19"/>
  <c r="D28" i="19"/>
  <c r="D102" i="19"/>
  <c r="D50" i="19"/>
  <c r="AA1229" i="4"/>
  <c r="H922" i="4"/>
  <c r="AA494" i="4"/>
  <c r="AA370" i="4"/>
  <c r="H354" i="4"/>
  <c r="AC26" i="4"/>
  <c r="AJ26" i="4" s="1"/>
  <c r="Z74" i="20"/>
  <c r="Z26" i="20"/>
  <c r="Z42" i="20"/>
  <c r="Z43" i="20" s="1"/>
  <c r="Z58" i="20"/>
  <c r="Z90" i="20"/>
  <c r="Z106" i="20"/>
  <c r="Z182" i="16"/>
  <c r="Y1323" i="4"/>
  <c r="Y1307" i="4"/>
  <c r="AC155" i="4"/>
  <c r="AJ155" i="4" s="1"/>
  <c r="Y1291" i="4"/>
  <c r="Y1275" i="4"/>
  <c r="Y1259" i="4"/>
  <c r="AA295" i="4"/>
  <c r="H279" i="4"/>
  <c r="AA408" i="4"/>
  <c r="H392" i="4"/>
  <c r="AA696" i="4"/>
  <c r="H272" i="4"/>
  <c r="AA1096" i="4"/>
  <c r="AA1304" i="4" s="1"/>
  <c r="H668" i="4"/>
  <c r="H752" i="4"/>
  <c r="H333" i="4"/>
  <c r="AA1163" i="4"/>
  <c r="AA952" i="4"/>
  <c r="AA1264" i="4" s="1"/>
  <c r="H534" i="4"/>
  <c r="H1262" i="4" s="1"/>
  <c r="G1262" i="4" s="1"/>
  <c r="AE1259" i="4"/>
  <c r="AI1155" i="4"/>
  <c r="AI1259" i="4" s="1"/>
  <c r="H735" i="4"/>
  <c r="H679" i="4"/>
  <c r="H1303" i="4" s="1"/>
  <c r="G1303" i="4" s="1"/>
  <c r="H23" i="4"/>
  <c r="H79" i="19"/>
  <c r="BE79" i="19" s="1"/>
  <c r="C94" i="23" s="1"/>
  <c r="AF23" i="62"/>
  <c r="H1241" i="4"/>
  <c r="H1177" i="4"/>
  <c r="AA618" i="4"/>
  <c r="AA1014" i="4"/>
  <c r="H690" i="4"/>
  <c r="H1314" i="4" s="1"/>
  <c r="G1314" i="4" s="1"/>
  <c r="AA454" i="4"/>
  <c r="Y1255" i="4"/>
  <c r="H611" i="4"/>
  <c r="AA919" i="4"/>
  <c r="AA928" i="4"/>
  <c r="H500" i="4"/>
  <c r="AA384" i="4"/>
  <c r="AA376" i="4"/>
  <c r="H360" i="4"/>
  <c r="AA244" i="4"/>
  <c r="H964" i="4"/>
  <c r="AA853" i="4"/>
  <c r="H851" i="4"/>
  <c r="AA849" i="4"/>
  <c r="AA1265" i="4" s="1"/>
  <c r="H847" i="4"/>
  <c r="AA845" i="4"/>
  <c r="H843" i="4"/>
  <c r="AA841" i="4"/>
  <c r="H839" i="4"/>
  <c r="H1255" i="4" s="1"/>
  <c r="G1255" i="4" s="1"/>
  <c r="H110" i="4"/>
  <c r="AA795" i="4"/>
  <c r="H975" i="4"/>
  <c r="AM22" i="14"/>
  <c r="B22" i="19"/>
  <c r="D22" i="19" s="1"/>
  <c r="F90" i="21"/>
  <c r="I90" i="21"/>
  <c r="AA75" i="19"/>
  <c r="W75" i="19"/>
  <c r="Z75" i="19"/>
  <c r="V75" i="19"/>
  <c r="Y75" i="19"/>
  <c r="U75" i="19"/>
  <c r="AB75" i="19"/>
  <c r="X75" i="19"/>
  <c r="BF75" i="19"/>
  <c r="C90" i="24" s="1"/>
  <c r="BH67" i="19"/>
  <c r="C82" i="26" s="1"/>
  <c r="AL49" i="19"/>
  <c r="AH49" i="19"/>
  <c r="AK49" i="19"/>
  <c r="AG49" i="19"/>
  <c r="AJ49" i="19"/>
  <c r="AF49" i="19"/>
  <c r="AM49" i="19"/>
  <c r="AI49" i="19"/>
  <c r="AC505" i="45"/>
  <c r="AB507" i="45"/>
  <c r="AB506" i="45"/>
  <c r="AE1309" i="4"/>
  <c r="AI1205" i="4"/>
  <c r="AI1309" i="4" s="1"/>
  <c r="G68" i="28"/>
  <c r="M68" i="28"/>
  <c r="E68" i="28"/>
  <c r="K68" i="28"/>
  <c r="I68" i="28"/>
  <c r="H314" i="4"/>
  <c r="AA1138" i="4"/>
  <c r="H710" i="4"/>
  <c r="AA382" i="4"/>
  <c r="AA894" i="4"/>
  <c r="AA982" i="4"/>
  <c r="AA1294" i="4" s="1"/>
  <c r="H658" i="4"/>
  <c r="AC207" i="4"/>
  <c r="AJ207" i="4" s="1"/>
  <c r="Y1343" i="4"/>
  <c r="H507" i="4"/>
  <c r="H1019" i="4"/>
  <c r="H1036" i="4"/>
  <c r="AA608" i="4"/>
  <c r="AA904" i="4"/>
  <c r="AA892" i="4"/>
  <c r="AA884" i="4"/>
  <c r="AA1300" i="4" s="1"/>
  <c r="AJ39" i="19"/>
  <c r="AF39" i="19"/>
  <c r="AM39" i="19"/>
  <c r="AI39" i="19"/>
  <c r="AL39" i="19"/>
  <c r="AH39" i="19"/>
  <c r="AK39" i="19"/>
  <c r="AG39" i="19"/>
  <c r="AA1068" i="4"/>
  <c r="AA957" i="4"/>
  <c r="AA330" i="4"/>
  <c r="H1160" i="4"/>
  <c r="H531" i="4"/>
  <c r="H391" i="4"/>
  <c r="AN54" i="19"/>
  <c r="AO54" i="19" s="1"/>
  <c r="AA1079" i="4"/>
  <c r="AJ71" i="19"/>
  <c r="AF71" i="19"/>
  <c r="AM71" i="19"/>
  <c r="AI71" i="19"/>
  <c r="AL71" i="19"/>
  <c r="AH71" i="19"/>
  <c r="AK71" i="19"/>
  <c r="AG71" i="19"/>
  <c r="BB57" i="19"/>
  <c r="BE51" i="19"/>
  <c r="C66" i="23" s="1"/>
  <c r="H51" i="19"/>
  <c r="BI51" i="19" s="1"/>
  <c r="BC51" i="19"/>
  <c r="C66" i="21" s="1"/>
  <c r="V181" i="16"/>
  <c r="AJ31" i="19"/>
  <c r="AF31" i="19"/>
  <c r="AM31" i="19"/>
  <c r="AI31" i="19"/>
  <c r="AL31" i="19"/>
  <c r="AH31" i="19"/>
  <c r="AK31" i="19"/>
  <c r="AG31" i="19"/>
  <c r="Y1342" i="4"/>
  <c r="Y1294" i="4"/>
  <c r="Y1278" i="4"/>
  <c r="Y1262" i="4"/>
  <c r="H1233" i="4"/>
  <c r="AA1169" i="4"/>
  <c r="AN46" i="19"/>
  <c r="AO46" i="19" s="1"/>
  <c r="H410" i="4"/>
  <c r="H1346" i="4" s="1"/>
  <c r="G1346" i="4" s="1"/>
  <c r="AA394" i="4"/>
  <c r="AA906" i="4"/>
  <c r="AA1098" i="4"/>
  <c r="H670" i="4"/>
  <c r="AA342" i="4"/>
  <c r="AN98" i="19"/>
  <c r="AO98" i="19" s="1"/>
  <c r="H1127" i="4"/>
  <c r="H1335" i="4" s="1"/>
  <c r="G1335" i="4" s="1"/>
  <c r="H728" i="4"/>
  <c r="H300" i="4"/>
  <c r="AA1124" i="4"/>
  <c r="H592" i="4"/>
  <c r="H988" i="4"/>
  <c r="AA560" i="4"/>
  <c r="AA868" i="4"/>
  <c r="H340" i="4"/>
  <c r="AA438" i="4"/>
  <c r="H436" i="4"/>
  <c r="AA434" i="4"/>
  <c r="H432" i="4"/>
  <c r="AA430" i="4"/>
  <c r="H428" i="4"/>
  <c r="AA426" i="4"/>
  <c r="H424" i="4"/>
  <c r="AA159" i="4"/>
  <c r="AJ47" i="19"/>
  <c r="AF47" i="19"/>
  <c r="AM47" i="19"/>
  <c r="AI47" i="19"/>
  <c r="AL47" i="19"/>
  <c r="AH47" i="19"/>
  <c r="AK47" i="19"/>
  <c r="AG47" i="19"/>
  <c r="BI69" i="19"/>
  <c r="BG69" i="19"/>
  <c r="C84" i="25" s="1"/>
  <c r="F98" i="21"/>
  <c r="I98" i="21"/>
  <c r="AA83" i="19"/>
  <c r="W83" i="19"/>
  <c r="Z83" i="19"/>
  <c r="V83" i="19"/>
  <c r="Y83" i="19"/>
  <c r="U83" i="19"/>
  <c r="AB83" i="19"/>
  <c r="X83" i="19"/>
  <c r="BF83" i="19"/>
  <c r="C98" i="24" s="1"/>
  <c r="AL73" i="19"/>
  <c r="AH73" i="19"/>
  <c r="AK73" i="19"/>
  <c r="AG73" i="19"/>
  <c r="AJ73" i="19"/>
  <c r="AF73" i="19"/>
  <c r="AM73" i="19"/>
  <c r="AI73" i="19"/>
  <c r="BB33" i="19"/>
  <c r="AE8" i="16"/>
  <c r="AA8" i="16"/>
  <c r="W8" i="16"/>
  <c r="AH8" i="16"/>
  <c r="AD8" i="16"/>
  <c r="Z8" i="16"/>
  <c r="AG8" i="16"/>
  <c r="AC8" i="16"/>
  <c r="Y8" i="16"/>
  <c r="AF8" i="16"/>
  <c r="AB8" i="16"/>
  <c r="X8" i="16"/>
  <c r="AE12" i="16"/>
  <c r="AA12" i="16"/>
  <c r="W12" i="16"/>
  <c r="AH12" i="16"/>
  <c r="AD12" i="16"/>
  <c r="Z12" i="16"/>
  <c r="AG12" i="16"/>
  <c r="AC12" i="16"/>
  <c r="Y12" i="16"/>
  <c r="AF12" i="16"/>
  <c r="AB12" i="16"/>
  <c r="X12" i="16"/>
  <c r="AG19" i="16"/>
  <c r="AC19" i="16"/>
  <c r="Y19" i="16"/>
  <c r="AF19" i="16"/>
  <c r="AB19" i="16"/>
  <c r="X19" i="16"/>
  <c r="AE19" i="16"/>
  <c r="AA19" i="16"/>
  <c r="W19" i="16"/>
  <c r="AH19" i="16"/>
  <c r="AD19" i="16"/>
  <c r="Z19" i="16"/>
  <c r="AE16" i="16"/>
  <c r="AA16" i="16"/>
  <c r="W16" i="16"/>
  <c r="AH16" i="16"/>
  <c r="AD16" i="16"/>
  <c r="Z16" i="16"/>
  <c r="AG16" i="16"/>
  <c r="AC16" i="16"/>
  <c r="Y16" i="16"/>
  <c r="AF16" i="16"/>
  <c r="AB16" i="16"/>
  <c r="X16" i="16"/>
  <c r="BC32" i="19"/>
  <c r="C47" i="21" s="1"/>
  <c r="H32" i="19"/>
  <c r="BE32" i="19" s="1"/>
  <c r="C47" i="23" s="1"/>
  <c r="H106" i="19"/>
  <c r="BB106" i="19" s="1"/>
  <c r="AE1349" i="4"/>
  <c r="AI1245" i="4"/>
  <c r="AI1349" i="4" s="1"/>
  <c r="AC73" i="4"/>
  <c r="AJ73" i="4" s="1"/>
  <c r="CQ53" i="5"/>
  <c r="CC44" i="62"/>
  <c r="AD926" i="4"/>
  <c r="AC926" i="4"/>
  <c r="AJ926" i="4" s="1"/>
  <c r="AC174" i="4"/>
  <c r="AJ174" i="4" s="1"/>
  <c r="AA1302" i="4"/>
  <c r="AC1198" i="4"/>
  <c r="AE1294" i="4"/>
  <c r="AI1190" i="4"/>
  <c r="AI1294" i="4" s="1"/>
  <c r="AC770" i="4"/>
  <c r="AJ770" i="4" s="1"/>
  <c r="H1286" i="4"/>
  <c r="G1286" i="4" s="1"/>
  <c r="AN26" i="19"/>
  <c r="AO26" i="19" s="1"/>
  <c r="AC815" i="4"/>
  <c r="AJ815" i="4" s="1"/>
  <c r="AC832" i="4"/>
  <c r="AJ832" i="4" s="1"/>
  <c r="AE1348" i="4"/>
  <c r="AI1244" i="4"/>
  <c r="AI1348" i="4" s="1"/>
  <c r="AC688" i="4"/>
  <c r="AJ688" i="4" s="1"/>
  <c r="AC1084" i="4"/>
  <c r="AJ1084" i="4" s="1"/>
  <c r="AC958" i="4"/>
  <c r="AJ958" i="4" s="1"/>
  <c r="AC122" i="4"/>
  <c r="AJ122" i="4" s="1"/>
  <c r="AE1265" i="4"/>
  <c r="AI1161" i="4"/>
  <c r="AI1265" i="4" s="1"/>
  <c r="AC323" i="4"/>
  <c r="AJ323" i="4" s="1"/>
  <c r="AC495" i="4"/>
  <c r="AJ495" i="4" s="1"/>
  <c r="AC27" i="4"/>
  <c r="AJ27" i="4" s="1"/>
  <c r="F42" i="26"/>
  <c r="I42" i="26"/>
  <c r="C42" i="18"/>
  <c r="DS28" i="62"/>
  <c r="DE29" i="62"/>
  <c r="Y1344" i="4"/>
  <c r="AC1193" i="4"/>
  <c r="AC194" i="4"/>
  <c r="AJ194" i="4" s="1"/>
  <c r="AC694" i="4"/>
  <c r="AJ694" i="4" s="1"/>
  <c r="AC134" i="4"/>
  <c r="AJ134" i="4" s="1"/>
  <c r="AC1247" i="4"/>
  <c r="AD1247" i="4" s="1"/>
  <c r="V188" i="16"/>
  <c r="AC83" i="4"/>
  <c r="AJ83" i="4" s="1"/>
  <c r="AE1319" i="4"/>
  <c r="AI1215" i="4"/>
  <c r="AI1319" i="4" s="1"/>
  <c r="AC504" i="4"/>
  <c r="AJ504" i="4" s="1"/>
  <c r="H1324" i="4"/>
  <c r="G1324" i="4" s="1"/>
  <c r="AJ67" i="19"/>
  <c r="AF67" i="19"/>
  <c r="AM67" i="19"/>
  <c r="AI67" i="19"/>
  <c r="AL67" i="19"/>
  <c r="AH67" i="19"/>
  <c r="AK67" i="19"/>
  <c r="AG67" i="19"/>
  <c r="AC1196" i="4"/>
  <c r="AD1196" i="4" s="1"/>
  <c r="AE1292" i="4"/>
  <c r="AI1188" i="4"/>
  <c r="AI1292" i="4" s="1"/>
  <c r="AC768" i="4"/>
  <c r="AJ768" i="4" s="1"/>
  <c r="AC24" i="4"/>
  <c r="AJ24" i="4" s="1"/>
  <c r="AC1060" i="4"/>
  <c r="AJ1060" i="4" s="1"/>
  <c r="AC1052" i="4"/>
  <c r="AJ1052" i="4" s="1"/>
  <c r="AE1325" i="4"/>
  <c r="AI1221" i="4"/>
  <c r="AI1325" i="4" s="1"/>
  <c r="AC1219" i="4"/>
  <c r="AD1219" i="4" s="1"/>
  <c r="AC1207" i="4"/>
  <c r="AD1207" i="4" s="1"/>
  <c r="AD1203" i="4"/>
  <c r="AC1203" i="4"/>
  <c r="AC1126" i="4"/>
  <c r="AJ1126" i="4" s="1"/>
  <c r="AC574" i="4"/>
  <c r="AJ574" i="4" s="1"/>
  <c r="AC1074" i="4"/>
  <c r="AJ1074" i="4" s="1"/>
  <c r="AC715" i="4"/>
  <c r="AJ715" i="4" s="1"/>
  <c r="AC1024" i="4"/>
  <c r="AJ1024" i="4" s="1"/>
  <c r="AC48" i="4"/>
  <c r="AJ48" i="4" s="1"/>
  <c r="AD128" i="4"/>
  <c r="AC128" i="4"/>
  <c r="AJ128" i="4" s="1"/>
  <c r="AE1270" i="4"/>
  <c r="AI1166" i="4"/>
  <c r="AI1270" i="4" s="1"/>
  <c r="AG1270" i="4" s="1"/>
  <c r="AC955" i="4"/>
  <c r="AJ955" i="4" s="1"/>
  <c r="AC328" i="4"/>
  <c r="AJ328" i="4" s="1"/>
  <c r="H7" i="29"/>
  <c r="I6" i="29"/>
  <c r="L6" i="29" s="1"/>
  <c r="G6" i="29"/>
  <c r="AC911" i="4"/>
  <c r="AJ911" i="4" s="1"/>
  <c r="M37" i="44"/>
  <c r="N36" i="44"/>
  <c r="Y1320" i="4"/>
  <c r="AF34" i="5"/>
  <c r="AT34" i="5" s="1"/>
  <c r="BH34" i="5" s="1"/>
  <c r="BV34" i="5" s="1"/>
  <c r="CJ34" i="5" s="1"/>
  <c r="CX34" i="5" s="1"/>
  <c r="DL34" i="5" s="1"/>
  <c r="DZ34" i="5" s="1"/>
  <c r="EN34" i="5" s="1"/>
  <c r="FB34" i="5" s="1"/>
  <c r="FP34" i="5" s="1"/>
  <c r="U384" i="45"/>
  <c r="AA1342" i="4"/>
  <c r="AC1238" i="4"/>
  <c r="AE1334" i="4"/>
  <c r="AI1230" i="4"/>
  <c r="AI1334" i="4" s="1"/>
  <c r="AC482" i="4"/>
  <c r="AJ482" i="4" s="1"/>
  <c r="AC1086" i="4"/>
  <c r="AJ1086" i="4" s="1"/>
  <c r="AC99" i="4"/>
  <c r="AJ99" i="4" s="1"/>
  <c r="AE1339" i="4"/>
  <c r="AI1235" i="4"/>
  <c r="AI1339" i="4" s="1"/>
  <c r="D4" i="23"/>
  <c r="AC152" i="4"/>
  <c r="AJ152" i="4" s="1"/>
  <c r="AC648" i="4"/>
  <c r="AJ648" i="4" s="1"/>
  <c r="AC854" i="4"/>
  <c r="AJ854" i="4" s="1"/>
  <c r="AC850" i="4"/>
  <c r="AJ850" i="4" s="1"/>
  <c r="AC846" i="4"/>
  <c r="AJ846" i="4" s="1"/>
  <c r="AC842" i="4"/>
  <c r="AJ842" i="4" s="1"/>
  <c r="AE419" i="4"/>
  <c r="AI318" i="4"/>
  <c r="AI419" i="4" s="1"/>
  <c r="AA1287" i="4"/>
  <c r="AC1183" i="4"/>
  <c r="AD1183" i="4" s="1"/>
  <c r="AC1171" i="4"/>
  <c r="AD1171" i="4" s="1"/>
  <c r="AC1167" i="4"/>
  <c r="AD1167" i="4" s="1"/>
  <c r="AJ87" i="19"/>
  <c r="AF87" i="19"/>
  <c r="AM87" i="19"/>
  <c r="AI87" i="19"/>
  <c r="AL87" i="19"/>
  <c r="AH87" i="19"/>
  <c r="AK87" i="19"/>
  <c r="AG87" i="19"/>
  <c r="BB97" i="19"/>
  <c r="BI97" i="19"/>
  <c r="I96" i="23"/>
  <c r="F96" i="23"/>
  <c r="I96" i="21"/>
  <c r="F96" i="21"/>
  <c r="Y53" i="19"/>
  <c r="U53" i="19"/>
  <c r="AB53" i="19"/>
  <c r="X53" i="19"/>
  <c r="AA53" i="19"/>
  <c r="W53" i="19"/>
  <c r="Z53" i="19"/>
  <c r="V53" i="19"/>
  <c r="BF53" i="19"/>
  <c r="C68" i="24" s="1"/>
  <c r="BH53" i="19"/>
  <c r="C68" i="26" s="1"/>
  <c r="F62" i="26"/>
  <c r="I62" i="26"/>
  <c r="C62" i="18"/>
  <c r="BD31" i="19"/>
  <c r="C46" i="22" s="1"/>
  <c r="BI31" i="19"/>
  <c r="AL89" i="19"/>
  <c r="AH89" i="19"/>
  <c r="AK89" i="19"/>
  <c r="AG89" i="19"/>
  <c r="AJ89" i="19"/>
  <c r="AF89" i="19"/>
  <c r="AM89" i="19"/>
  <c r="AI89" i="19"/>
  <c r="H64" i="19"/>
  <c r="BE64" i="19" s="1"/>
  <c r="C79" i="23" s="1"/>
  <c r="H104" i="19"/>
  <c r="BH104" i="19" s="1"/>
  <c r="C119" i="26" s="1"/>
  <c r="H26" i="19"/>
  <c r="BB26" i="19" s="1"/>
  <c r="AC178" i="4"/>
  <c r="AJ178" i="4" s="1"/>
  <c r="AD358" i="4"/>
  <c r="AC358" i="4"/>
  <c r="AJ358" i="4" s="1"/>
  <c r="V190" i="16"/>
  <c r="AG57" i="20"/>
  <c r="AF57" i="20"/>
  <c r="AE57" i="20"/>
  <c r="Y1321" i="4"/>
  <c r="AC169" i="4"/>
  <c r="AJ169" i="4" s="1"/>
  <c r="AC61" i="4"/>
  <c r="AJ61" i="4" s="1"/>
  <c r="Y1305" i="4"/>
  <c r="AD153" i="4"/>
  <c r="AC153" i="4"/>
  <c r="AJ153" i="4" s="1"/>
  <c r="AC45" i="4"/>
  <c r="AJ45" i="4" s="1"/>
  <c r="Y1289" i="4"/>
  <c r="AD137" i="4"/>
  <c r="AC137" i="4"/>
  <c r="AJ137" i="4" s="1"/>
  <c r="AC29" i="4"/>
  <c r="AJ29" i="4" s="1"/>
  <c r="Y1273" i="4"/>
  <c r="Y1257" i="4"/>
  <c r="D4" i="24"/>
  <c r="AC676" i="4"/>
  <c r="AJ676" i="4" s="1"/>
  <c r="AE1272" i="4"/>
  <c r="AI1168" i="4"/>
  <c r="AI1272" i="4" s="1"/>
  <c r="AC530" i="4"/>
  <c r="AJ530" i="4" s="1"/>
  <c r="AC275" i="4"/>
  <c r="AJ275" i="4" s="1"/>
  <c r="H93" i="19"/>
  <c r="BE93" i="19" s="1"/>
  <c r="C108" i="23" s="1"/>
  <c r="BB61" i="19"/>
  <c r="F58" i="21"/>
  <c r="I58" i="21"/>
  <c r="AA43" i="19"/>
  <c r="W43" i="19"/>
  <c r="Z43" i="19"/>
  <c r="V43" i="19"/>
  <c r="Y43" i="19"/>
  <c r="U43" i="19"/>
  <c r="AB43" i="19"/>
  <c r="X43" i="19"/>
  <c r="BF43" i="19"/>
  <c r="C58" i="24" s="1"/>
  <c r="AL29" i="19"/>
  <c r="AH29" i="19"/>
  <c r="AK29" i="19"/>
  <c r="AG29" i="19"/>
  <c r="AJ29" i="19"/>
  <c r="AF29" i="19"/>
  <c r="AM29" i="19"/>
  <c r="AI29" i="19"/>
  <c r="BH55" i="5"/>
  <c r="Y1334" i="4"/>
  <c r="AC1110" i="4"/>
  <c r="AJ1110" i="4" s="1"/>
  <c r="AC890" i="4"/>
  <c r="AJ890" i="4" s="1"/>
  <c r="AC47" i="4"/>
  <c r="AJ47" i="4" s="1"/>
  <c r="AC499" i="4"/>
  <c r="AJ499" i="4" s="1"/>
  <c r="AC372" i="4"/>
  <c r="AJ372" i="4" s="1"/>
  <c r="AC132" i="4"/>
  <c r="AJ132" i="4" s="1"/>
  <c r="B20" i="19"/>
  <c r="D20" i="19" s="1"/>
  <c r="AM20" i="14"/>
  <c r="AC15" i="4"/>
  <c r="AJ15" i="4" s="1"/>
  <c r="AO107" i="14"/>
  <c r="AC1211" i="4"/>
  <c r="AD1211" i="4" s="1"/>
  <c r="AC367" i="4"/>
  <c r="AJ367" i="4" s="1"/>
  <c r="AM95" i="19"/>
  <c r="AI95" i="19"/>
  <c r="AK95" i="19"/>
  <c r="AG95" i="19"/>
  <c r="AF95" i="19"/>
  <c r="AL95" i="19"/>
  <c r="AJ95" i="19"/>
  <c r="AH95" i="19"/>
  <c r="I92" i="23"/>
  <c r="F92" i="23"/>
  <c r="I92" i="21"/>
  <c r="F92" i="21"/>
  <c r="BH71" i="19"/>
  <c r="C86" i="26" s="1"/>
  <c r="F38" i="25"/>
  <c r="I38" i="25"/>
  <c r="F38" i="23"/>
  <c r="I38" i="23"/>
  <c r="AE1341" i="4"/>
  <c r="AI1237" i="4"/>
  <c r="AI1341" i="4" s="1"/>
  <c r="AC386" i="4"/>
  <c r="AJ386" i="4" s="1"/>
  <c r="AC990" i="4"/>
  <c r="AJ990" i="4" s="1"/>
  <c r="AD238" i="4"/>
  <c r="AC238" i="4"/>
  <c r="AJ238" i="4" s="1"/>
  <c r="AC1239" i="4"/>
  <c r="AD1239" i="4" s="1"/>
  <c r="Y1339" i="4"/>
  <c r="AN106" i="19"/>
  <c r="AO106" i="19" s="1"/>
  <c r="AC487" i="4"/>
  <c r="AJ487" i="4" s="1"/>
  <c r="D4" i="18"/>
  <c r="AJ59" i="19"/>
  <c r="AF59" i="19"/>
  <c r="AM59" i="19"/>
  <c r="AI59" i="19"/>
  <c r="AL59" i="19"/>
  <c r="AH59" i="19"/>
  <c r="AK59" i="19"/>
  <c r="AG59" i="19"/>
  <c r="AC464" i="4"/>
  <c r="AJ464" i="4" s="1"/>
  <c r="AC876" i="4"/>
  <c r="AJ876" i="4" s="1"/>
  <c r="AC334" i="4"/>
  <c r="AJ334" i="4" s="1"/>
  <c r="AD527" i="4"/>
  <c r="AC527" i="4"/>
  <c r="AJ527" i="4" s="1"/>
  <c r="AE731" i="4"/>
  <c r="AI630" i="4"/>
  <c r="AI731" i="4" s="1"/>
  <c r="AN74" i="19"/>
  <c r="AO74" i="19" s="1"/>
  <c r="AC899" i="4"/>
  <c r="AJ899" i="4" s="1"/>
  <c r="AC1063" i="4"/>
  <c r="AJ1063" i="4" s="1"/>
  <c r="BI63" i="19"/>
  <c r="H63" i="19"/>
  <c r="BE63" i="19" s="1"/>
  <c r="C78" i="23" s="1"/>
  <c r="BC63" i="19"/>
  <c r="C78" i="21" s="1"/>
  <c r="Y29" i="19"/>
  <c r="U29" i="19"/>
  <c r="AB29" i="19"/>
  <c r="X29" i="19"/>
  <c r="AA29" i="19"/>
  <c r="W29" i="19"/>
  <c r="Z29" i="19"/>
  <c r="V29" i="19"/>
  <c r="BF29" i="19"/>
  <c r="C44" i="24" s="1"/>
  <c r="BH29" i="19"/>
  <c r="C44" i="26" s="1"/>
  <c r="Y1330" i="4"/>
  <c r="Y1296" i="4"/>
  <c r="Y1280" i="4"/>
  <c r="Y1264" i="4"/>
  <c r="AA1201" i="4"/>
  <c r="AC390" i="4"/>
  <c r="AJ390" i="4" s="1"/>
  <c r="AC266" i="4"/>
  <c r="AJ266" i="4" s="1"/>
  <c r="AC662" i="4"/>
  <c r="AJ662" i="4" s="1"/>
  <c r="V192" i="16"/>
  <c r="AC515" i="4"/>
  <c r="AJ515" i="4" s="1"/>
  <c r="AC1007" i="4"/>
  <c r="AJ1007" i="4" s="1"/>
  <c r="AC1059" i="4"/>
  <c r="AJ1059" i="4" s="1"/>
  <c r="B17" i="19"/>
  <c r="D17" i="19" s="1"/>
  <c r="AM17" i="14"/>
  <c r="AC1055" i="4"/>
  <c r="AJ1055" i="4" s="1"/>
  <c r="AI13" i="14"/>
  <c r="C13" i="19" s="1"/>
  <c r="AC1051" i="4"/>
  <c r="AJ1051" i="4" s="1"/>
  <c r="AI9" i="14"/>
  <c r="C9" i="19" s="1"/>
  <c r="AD1047" i="4"/>
  <c r="AC1047" i="4"/>
  <c r="AJ1047" i="4" s="1"/>
  <c r="AC339" i="4"/>
  <c r="AJ339" i="4" s="1"/>
  <c r="BB65" i="19"/>
  <c r="BI41" i="19"/>
  <c r="D96" i="19"/>
  <c r="H82" i="19"/>
  <c r="BB82" i="19" s="1"/>
  <c r="AC78" i="4"/>
  <c r="AJ78" i="4" s="1"/>
  <c r="AA1306" i="4"/>
  <c r="AC1202" i="4"/>
  <c r="AE1298" i="4"/>
  <c r="AI1194" i="4"/>
  <c r="AI1298" i="4" s="1"/>
  <c r="AC774" i="4"/>
  <c r="AJ774" i="4" s="1"/>
  <c r="H1290" i="4"/>
  <c r="G1290" i="4" s="1"/>
  <c r="AC1195" i="4"/>
  <c r="AD1195" i="4" s="1"/>
  <c r="AC1191" i="4"/>
  <c r="AC1187" i="4"/>
  <c r="AD1187" i="4" s="1"/>
  <c r="U73" i="20"/>
  <c r="U57" i="20"/>
  <c r="AP57" i="20" s="1"/>
  <c r="U41" i="20"/>
  <c r="U25" i="20"/>
  <c r="U105" i="20"/>
  <c r="U89" i="20"/>
  <c r="AT30" i="5"/>
  <c r="AA1240" i="4"/>
  <c r="AE1336" i="4"/>
  <c r="AI1232" i="4"/>
  <c r="AI1336" i="4" s="1"/>
  <c r="AA1157" i="4"/>
  <c r="AC946" i="4"/>
  <c r="AJ946" i="4" s="1"/>
  <c r="AC691" i="4"/>
  <c r="AJ691" i="4" s="1"/>
  <c r="AC859" i="4"/>
  <c r="AJ859" i="4" s="1"/>
  <c r="AE176" i="16"/>
  <c r="DS16" i="5" s="1"/>
  <c r="Y176" i="16"/>
  <c r="AM16" i="5" s="1"/>
  <c r="AO16" i="5" s="1"/>
  <c r="AD176" i="16"/>
  <c r="DE16" i="5" s="1"/>
  <c r="Y37" i="19"/>
  <c r="U37" i="19"/>
  <c r="AB37" i="19"/>
  <c r="X37" i="19"/>
  <c r="AA37" i="19"/>
  <c r="W37" i="19"/>
  <c r="Z37" i="19"/>
  <c r="V37" i="19"/>
  <c r="BF37" i="19"/>
  <c r="C52" i="24" s="1"/>
  <c r="BH37" i="19"/>
  <c r="C52" i="26" s="1"/>
  <c r="Y1352" i="4"/>
  <c r="AD598" i="4"/>
  <c r="AC598" i="4"/>
  <c r="AJ598" i="4" s="1"/>
  <c r="AC466" i="4"/>
  <c r="AJ466" i="4" s="1"/>
  <c r="AC878" i="4"/>
  <c r="AJ878" i="4" s="1"/>
  <c r="AC966" i="4"/>
  <c r="AJ966" i="4" s="1"/>
  <c r="AC43" i="4"/>
  <c r="AJ43" i="4" s="1"/>
  <c r="AC799" i="4"/>
  <c r="AJ799" i="4" s="1"/>
  <c r="AA1216" i="4"/>
  <c r="AE1304" i="4"/>
  <c r="AI1200" i="4"/>
  <c r="AI1304" i="4" s="1"/>
  <c r="H58" i="19"/>
  <c r="BC58" i="19" s="1"/>
  <c r="C73" i="21" s="1"/>
  <c r="H89" i="19"/>
  <c r="BC89" i="19" s="1"/>
  <c r="C104" i="21" s="1"/>
  <c r="C106" i="18"/>
  <c r="BJ91" i="19"/>
  <c r="BK91" i="19" s="1"/>
  <c r="F106" i="23"/>
  <c r="I106" i="23"/>
  <c r="F54" i="25"/>
  <c r="I54" i="25"/>
  <c r="F54" i="23"/>
  <c r="I54" i="23"/>
  <c r="AL33" i="19"/>
  <c r="AH33" i="19"/>
  <c r="AK33" i="19"/>
  <c r="AG33" i="19"/>
  <c r="AJ33" i="19"/>
  <c r="AF33" i="19"/>
  <c r="AM33" i="19"/>
  <c r="AI33" i="19"/>
  <c r="AA1318" i="4"/>
  <c r="AC1214" i="4"/>
  <c r="AD1214" i="4" s="1"/>
  <c r="AC566" i="4"/>
  <c r="AJ566" i="4" s="1"/>
  <c r="AC1066" i="4"/>
  <c r="AJ1066" i="4" s="1"/>
  <c r="AC93" i="4"/>
  <c r="AJ93" i="4" s="1"/>
  <c r="Y1331" i="4"/>
  <c r="AC903" i="4"/>
  <c r="AJ903" i="4" s="1"/>
  <c r="AC750" i="4"/>
  <c r="AJ750" i="4" s="1"/>
  <c r="AC123" i="4"/>
  <c r="AJ123" i="4" s="1"/>
  <c r="AE1266" i="4"/>
  <c r="AI1162" i="4"/>
  <c r="AI1266" i="4" s="1"/>
  <c r="AD951" i="4"/>
  <c r="AC951" i="4"/>
  <c r="AJ951" i="4" s="1"/>
  <c r="AN62" i="19"/>
  <c r="AO62" i="19" s="1"/>
  <c r="AC887" i="4"/>
  <c r="AJ887" i="4" s="1"/>
  <c r="AC663" i="4"/>
  <c r="AJ663" i="4" s="1"/>
  <c r="H85" i="19"/>
  <c r="BD85" i="19" s="1"/>
  <c r="C100" i="22" s="1"/>
  <c r="AL69" i="19"/>
  <c r="AH69" i="19"/>
  <c r="AK69" i="19"/>
  <c r="AG69" i="19"/>
  <c r="AJ69" i="19"/>
  <c r="AF69" i="19"/>
  <c r="AM69" i="19"/>
  <c r="AI69" i="19"/>
  <c r="Y1318" i="4"/>
  <c r="Y107" i="4"/>
  <c r="Y523" i="4"/>
  <c r="Y939" i="4"/>
  <c r="U1355" i="4"/>
  <c r="AA1242" i="4"/>
  <c r="AC822" i="4"/>
  <c r="AJ822" i="4" s="1"/>
  <c r="AE1338" i="4"/>
  <c r="AI1234" i="4"/>
  <c r="AI1338" i="4" s="1"/>
  <c r="AC1094" i="4"/>
  <c r="AJ1094" i="4" s="1"/>
  <c r="AE1278" i="4"/>
  <c r="AI1174" i="4"/>
  <c r="AI1278" i="4" s="1"/>
  <c r="AC754" i="4"/>
  <c r="AJ754" i="4" s="1"/>
  <c r="AN94" i="19"/>
  <c r="AO94" i="19" s="1"/>
  <c r="AP22" i="20"/>
  <c r="AP24" i="20" s="1"/>
  <c r="AL22" i="20"/>
  <c r="AL24" i="20" s="1"/>
  <c r="AH22" i="20"/>
  <c r="AH24" i="20" s="1"/>
  <c r="AO22" i="20"/>
  <c r="AO24" i="20" s="1"/>
  <c r="AK22" i="20"/>
  <c r="AK24" i="20" s="1"/>
  <c r="AG22" i="20"/>
  <c r="AG24" i="20" s="1"/>
  <c r="R24" i="20"/>
  <c r="AN22" i="20"/>
  <c r="AN24" i="20" s="1"/>
  <c r="AJ22" i="20"/>
  <c r="AJ24" i="20" s="1"/>
  <c r="AF22" i="20"/>
  <c r="AF24" i="20" s="1"/>
  <c r="AM22" i="20"/>
  <c r="AM24" i="20" s="1"/>
  <c r="AI22" i="20"/>
  <c r="AI24" i="20" s="1"/>
  <c r="AE22" i="20"/>
  <c r="AO54" i="20"/>
  <c r="AO56" i="20" s="1"/>
  <c r="AK54" i="20"/>
  <c r="AK56" i="20" s="1"/>
  <c r="AG54" i="20"/>
  <c r="AG56" i="20" s="1"/>
  <c r="R56" i="20"/>
  <c r="AN54" i="20"/>
  <c r="AN56" i="20" s="1"/>
  <c r="AJ54" i="20"/>
  <c r="AJ56" i="20" s="1"/>
  <c r="AF54" i="20"/>
  <c r="AF56" i="20" s="1"/>
  <c r="AL54" i="20"/>
  <c r="AL56" i="20" s="1"/>
  <c r="AI54" i="20"/>
  <c r="AI56" i="20" s="1"/>
  <c r="AP54" i="20"/>
  <c r="AP56" i="20" s="1"/>
  <c r="AH54" i="20"/>
  <c r="AH56" i="20" s="1"/>
  <c r="AM54" i="20"/>
  <c r="AM56" i="20" s="1"/>
  <c r="AE54" i="20"/>
  <c r="AN50" i="19"/>
  <c r="AO50" i="19" s="1"/>
  <c r="AD18" i="4"/>
  <c r="AC18" i="4"/>
  <c r="AJ18" i="4" s="1"/>
  <c r="AC10" i="4"/>
  <c r="AJ10" i="4" s="1"/>
  <c r="H243" i="4"/>
  <c r="AA243" i="4"/>
  <c r="AA251" i="4"/>
  <c r="H251" i="4"/>
  <c r="H259" i="4"/>
  <c r="AA259" i="4"/>
  <c r="H267" i="4"/>
  <c r="AA267" i="4"/>
  <c r="AA283" i="4"/>
  <c r="H283" i="4"/>
  <c r="H501" i="4"/>
  <c r="AA501" i="4"/>
  <c r="H303" i="4"/>
  <c r="AA303" i="4"/>
  <c r="AA311" i="4"/>
  <c r="H311" i="4"/>
  <c r="H347" i="4"/>
  <c r="AA347" i="4"/>
  <c r="AA355" i="4"/>
  <c r="H355" i="4"/>
  <c r="AA363" i="4"/>
  <c r="H363" i="4"/>
  <c r="H371" i="4"/>
  <c r="AA371" i="4"/>
  <c r="H387" i="4"/>
  <c r="AA387" i="4"/>
  <c r="AA447" i="4"/>
  <c r="H447" i="4"/>
  <c r="AA463" i="4"/>
  <c r="H463" i="4"/>
  <c r="H479" i="4"/>
  <c r="AA479" i="4"/>
  <c r="H709" i="4"/>
  <c r="AA709" i="4"/>
  <c r="AA513" i="4"/>
  <c r="H513" i="4"/>
  <c r="AA521" i="4"/>
  <c r="H521" i="4"/>
  <c r="AA549" i="4"/>
  <c r="H549" i="4"/>
  <c r="AA557" i="4"/>
  <c r="H557" i="4"/>
  <c r="H565" i="4"/>
  <c r="AA565" i="4"/>
  <c r="AA573" i="4"/>
  <c r="H573" i="4"/>
  <c r="AA581" i="4"/>
  <c r="H581" i="4"/>
  <c r="AA589" i="4"/>
  <c r="H589" i="4"/>
  <c r="AA597" i="4"/>
  <c r="H597" i="4"/>
  <c r="AA605" i="4"/>
  <c r="H605" i="4"/>
  <c r="AA613" i="4"/>
  <c r="H613" i="4"/>
  <c r="AA621" i="4"/>
  <c r="H621" i="4"/>
  <c r="AA649" i="4"/>
  <c r="H649" i="4"/>
  <c r="AA657" i="4"/>
  <c r="H657" i="4"/>
  <c r="H665" i="4"/>
  <c r="AA665" i="4"/>
  <c r="AA673" i="4"/>
  <c r="H673" i="4"/>
  <c r="AA681" i="4"/>
  <c r="H681" i="4"/>
  <c r="H689" i="4"/>
  <c r="AA689" i="4"/>
  <c r="AA697" i="4"/>
  <c r="H697" i="4"/>
  <c r="H705" i="4"/>
  <c r="AA705" i="4"/>
  <c r="H759" i="4"/>
  <c r="AA759" i="4"/>
  <c r="AA775" i="4"/>
  <c r="H775" i="4"/>
  <c r="H791" i="4"/>
  <c r="AA791" i="4"/>
  <c r="H823" i="4"/>
  <c r="AA823" i="4"/>
  <c r="H831" i="4"/>
  <c r="AA831" i="4"/>
  <c r="H867" i="4"/>
  <c r="AA867" i="4"/>
  <c r="AA875" i="4"/>
  <c r="H875" i="4"/>
  <c r="H883" i="4"/>
  <c r="AA883" i="4"/>
  <c r="H891" i="4"/>
  <c r="AA891" i="4"/>
  <c r="AA907" i="4"/>
  <c r="H907" i="4"/>
  <c r="AA967" i="4"/>
  <c r="H967" i="4"/>
  <c r="AA983" i="4"/>
  <c r="H983" i="4"/>
  <c r="AA999" i="4"/>
  <c r="H999" i="4"/>
  <c r="AA1031" i="4"/>
  <c r="H1031" i="4"/>
  <c r="AA1039" i="4"/>
  <c r="H1039" i="4"/>
  <c r="AA1075" i="4"/>
  <c r="H1075" i="4"/>
  <c r="H1083" i="4"/>
  <c r="AA1083" i="4"/>
  <c r="AA1091" i="4"/>
  <c r="H1091" i="4"/>
  <c r="AA1099" i="4"/>
  <c r="H1099" i="4"/>
  <c r="H1115" i="4"/>
  <c r="AA1115" i="4"/>
  <c r="AE835" i="4"/>
  <c r="AI734" i="4"/>
  <c r="AI835" i="4" s="1"/>
  <c r="H587" i="4"/>
  <c r="AA755" i="4"/>
  <c r="I64" i="23"/>
  <c r="F64" i="23"/>
  <c r="I64" i="21"/>
  <c r="F64" i="21"/>
  <c r="D64" i="21" s="1"/>
  <c r="BD99" i="19"/>
  <c r="C114" i="22" s="1"/>
  <c r="BC99" i="19"/>
  <c r="C114" i="21" s="1"/>
  <c r="AA938" i="4"/>
  <c r="H510" i="4"/>
  <c r="H1010" i="4"/>
  <c r="H1322" i="4" s="1"/>
  <c r="G1322" i="4" s="1"/>
  <c r="AA686" i="4"/>
  <c r="H362" i="4"/>
  <c r="H866" i="4"/>
  <c r="X182" i="16"/>
  <c r="Y182" i="16"/>
  <c r="AD182" i="16"/>
  <c r="Y1319" i="4"/>
  <c r="Y1303" i="4"/>
  <c r="AD151" i="4"/>
  <c r="AC151" i="4"/>
  <c r="AJ151" i="4" s="1"/>
  <c r="Y1287" i="4"/>
  <c r="AC135" i="4"/>
  <c r="AJ135" i="4" s="1"/>
  <c r="Y1271" i="4"/>
  <c r="AA403" i="4"/>
  <c r="H395" i="4"/>
  <c r="H1331" i="4" s="1"/>
  <c r="G1331" i="4" s="1"/>
  <c r="AA416" i="4"/>
  <c r="H400" i="4"/>
  <c r="AA284" i="4"/>
  <c r="H380" i="4"/>
  <c r="AA684" i="4"/>
  <c r="H256" i="4"/>
  <c r="H1296" i="4" s="1"/>
  <c r="G1296" i="4" s="1"/>
  <c r="AA1080" i="4"/>
  <c r="H444" i="4"/>
  <c r="H1276" i="4" s="1"/>
  <c r="G1276" i="4" s="1"/>
  <c r="H542" i="4"/>
  <c r="AE1267" i="4"/>
  <c r="AI1163" i="4"/>
  <c r="AI1267" i="4" s="1"/>
  <c r="H743" i="4"/>
  <c r="H1263" i="4" s="1"/>
  <c r="G1263" i="4" s="1"/>
  <c r="AA325" i="4"/>
  <c r="H1155" i="4"/>
  <c r="H1259" i="4" s="1"/>
  <c r="G1259" i="4" s="1"/>
  <c r="H944" i="4"/>
  <c r="AA6" i="4"/>
  <c r="H838" i="4"/>
  <c r="AN70" i="19"/>
  <c r="AO70" i="19" s="1"/>
  <c r="AA1107" i="4"/>
  <c r="H871" i="4"/>
  <c r="H1287" i="4" s="1"/>
  <c r="G1287" i="4" s="1"/>
  <c r="AJ51" i="19"/>
  <c r="AF51" i="19"/>
  <c r="AM51" i="19"/>
  <c r="AI51" i="19"/>
  <c r="AL51" i="19"/>
  <c r="AH51" i="19"/>
  <c r="AK51" i="19"/>
  <c r="AG51" i="19"/>
  <c r="AA529" i="45"/>
  <c r="Z531" i="45"/>
  <c r="Z530" i="45"/>
  <c r="CQ45" i="5"/>
  <c r="CC47" i="5"/>
  <c r="AF29" i="62"/>
  <c r="H1030" i="4"/>
  <c r="AA602" i="4"/>
  <c r="H278" i="4"/>
  <c r="AA374" i="4"/>
  <c r="AC58" i="4"/>
  <c r="AJ58" i="4" s="1"/>
  <c r="H470" i="4"/>
  <c r="AD42" i="4"/>
  <c r="AC42" i="4"/>
  <c r="AJ42" i="4" s="1"/>
  <c r="H970" i="4"/>
  <c r="H1282" i="4" s="1"/>
  <c r="G1282" i="4" s="1"/>
  <c r="Z91" i="20"/>
  <c r="AA307" i="4"/>
  <c r="AA516" i="4"/>
  <c r="H912" i="4"/>
  <c r="H1328" i="4" s="1"/>
  <c r="G1328" i="4" s="1"/>
  <c r="H368" i="4"/>
  <c r="AA352" i="4"/>
  <c r="H552" i="4"/>
  <c r="H1280" i="4" s="1"/>
  <c r="G1280" i="4" s="1"/>
  <c r="AA646" i="4"/>
  <c r="AA1270" i="4" s="1"/>
  <c r="H644" i="4"/>
  <c r="AA642" i="4"/>
  <c r="H640" i="4"/>
  <c r="AA638" i="4"/>
  <c r="AA1262" i="4" s="1"/>
  <c r="I1262" i="4" s="1"/>
  <c r="H636" i="4"/>
  <c r="AA634" i="4"/>
  <c r="H632" i="4"/>
  <c r="AA942" i="4"/>
  <c r="H287" i="4"/>
  <c r="H127" i="4"/>
  <c r="F90" i="25"/>
  <c r="I90" i="25"/>
  <c r="F90" i="23"/>
  <c r="I90" i="23"/>
  <c r="F82" i="21"/>
  <c r="I82" i="21"/>
  <c r="AA67" i="19"/>
  <c r="W67" i="19"/>
  <c r="Z67" i="19"/>
  <c r="V67" i="19"/>
  <c r="Y67" i="19"/>
  <c r="U67" i="19"/>
  <c r="AB67" i="19"/>
  <c r="X67" i="19"/>
  <c r="BF67" i="19"/>
  <c r="C82" i="24" s="1"/>
  <c r="H25" i="19"/>
  <c r="BC25" i="19" s="1"/>
  <c r="C40" i="21" s="1"/>
  <c r="H1205" i="4"/>
  <c r="H1251" i="4" s="1"/>
  <c r="G1251" i="4" s="1"/>
  <c r="AN86" i="19"/>
  <c r="AO86" i="19" s="1"/>
  <c r="AF36" i="5"/>
  <c r="AT36" i="5" s="1"/>
  <c r="BH36" i="5" s="1"/>
  <c r="BV36" i="5" s="1"/>
  <c r="CJ36" i="5" s="1"/>
  <c r="CX36" i="5" s="1"/>
  <c r="DL36" i="5" s="1"/>
  <c r="DZ36" i="5" s="1"/>
  <c r="EN36" i="5" s="1"/>
  <c r="FB36" i="5" s="1"/>
  <c r="FP36" i="5" s="1"/>
  <c r="U386" i="45"/>
  <c r="H726" i="4"/>
  <c r="H1350" i="4" s="1"/>
  <c r="G1350" i="4" s="1"/>
  <c r="H298" i="4"/>
  <c r="AA1122" i="4"/>
  <c r="AA570" i="4"/>
  <c r="AA1298" i="4" s="1"/>
  <c r="AA1070" i="4"/>
  <c r="AC95" i="4"/>
  <c r="AJ95" i="4" s="1"/>
  <c r="Y1333" i="4"/>
  <c r="H411" i="4"/>
  <c r="H1347" i="4" s="1"/>
  <c r="G1347" i="4" s="1"/>
  <c r="AA711" i="4"/>
  <c r="D6" i="18"/>
  <c r="H624" i="4"/>
  <c r="H1352" i="4" s="1"/>
  <c r="G1352" i="4" s="1"/>
  <c r="H1020" i="4"/>
  <c r="H1332" i="4" s="1"/>
  <c r="G1332" i="4" s="1"/>
  <c r="AJ75" i="19"/>
  <c r="AF75" i="19"/>
  <c r="AM75" i="19"/>
  <c r="AI75" i="19"/>
  <c r="AL75" i="19"/>
  <c r="AH75" i="19"/>
  <c r="AK75" i="19"/>
  <c r="AG75" i="19"/>
  <c r="AJ63" i="19"/>
  <c r="AF63" i="19"/>
  <c r="AM63" i="19"/>
  <c r="AI63" i="19"/>
  <c r="AL63" i="19"/>
  <c r="AH63" i="19"/>
  <c r="AK63" i="19"/>
  <c r="AG63" i="19"/>
  <c r="AJ55" i="19"/>
  <c r="AF55" i="19"/>
  <c r="AM55" i="19"/>
  <c r="AI55" i="19"/>
  <c r="AL55" i="19"/>
  <c r="AH55" i="19"/>
  <c r="AK55" i="19"/>
  <c r="AG55" i="19"/>
  <c r="AA456" i="4"/>
  <c r="AA656" i="4"/>
  <c r="AA1280" i="4" s="1"/>
  <c r="H539" i="4"/>
  <c r="H740" i="4"/>
  <c r="H1260" i="4" s="1"/>
  <c r="G1260" i="4" s="1"/>
  <c r="H322" i="4"/>
  <c r="H1258" i="4" s="1"/>
  <c r="G1258" i="4" s="1"/>
  <c r="AA1152" i="4"/>
  <c r="AA214" i="4"/>
  <c r="AA1046" i="4"/>
  <c r="AA67" i="4"/>
  <c r="H231" i="4"/>
  <c r="H1271" i="4" s="1"/>
  <c r="G1271" i="4" s="1"/>
  <c r="Y57" i="19"/>
  <c r="U57" i="19"/>
  <c r="AB57" i="19"/>
  <c r="X57" i="19"/>
  <c r="AA57" i="19"/>
  <c r="W57" i="19"/>
  <c r="Z57" i="19"/>
  <c r="V57" i="19"/>
  <c r="BF57" i="19"/>
  <c r="C72" i="24" s="1"/>
  <c r="BH57" i="19"/>
  <c r="C72" i="26" s="1"/>
  <c r="U197" i="16"/>
  <c r="Y1306" i="4"/>
  <c r="Y1290" i="4"/>
  <c r="Y1274" i="4"/>
  <c r="Y1258" i="4"/>
  <c r="AE1273" i="4"/>
  <c r="AI1169" i="4"/>
  <c r="AI1273" i="4" s="1"/>
  <c r="H418" i="4"/>
  <c r="H1354" i="4" s="1"/>
  <c r="G1354" i="4" s="1"/>
  <c r="AA402" i="4"/>
  <c r="AA582" i="4"/>
  <c r="AA1310" i="4" s="1"/>
  <c r="I1310" i="4" s="1"/>
  <c r="H258" i="4"/>
  <c r="AA1082" i="4"/>
  <c r="V184" i="16"/>
  <c r="H1140" i="4"/>
  <c r="H1348" i="4" s="1"/>
  <c r="G1348" i="4" s="1"/>
  <c r="AA712" i="4"/>
  <c r="AA1108" i="4"/>
  <c r="H576" i="4"/>
  <c r="AA232" i="4"/>
  <c r="AA1272" i="4" s="1"/>
  <c r="H229" i="4"/>
  <c r="AA227" i="4"/>
  <c r="H225" i="4"/>
  <c r="AA223" i="4"/>
  <c r="AA1263" i="4" s="1"/>
  <c r="H221" i="4"/>
  <c r="AA219" i="4"/>
  <c r="H217" i="4"/>
  <c r="H1257" i="4" s="1"/>
  <c r="G1257" i="4" s="1"/>
  <c r="AA215" i="4"/>
  <c r="AA1255" i="4" s="1"/>
  <c r="AA183" i="4"/>
  <c r="H1003" i="4"/>
  <c r="BB69" i="19"/>
  <c r="F98" i="25"/>
  <c r="I98" i="25"/>
  <c r="F98" i="23"/>
  <c r="D98" i="23" s="1"/>
  <c r="I98" i="23"/>
  <c r="Y33" i="19"/>
  <c r="U33" i="19"/>
  <c r="AB33" i="19"/>
  <c r="X33" i="19"/>
  <c r="AA33" i="19"/>
  <c r="W33" i="19"/>
  <c r="Z33" i="19"/>
  <c r="V33" i="19"/>
  <c r="BF33" i="19"/>
  <c r="C48" i="24" s="1"/>
  <c r="BH33" i="19"/>
  <c r="C48" i="26" s="1"/>
  <c r="AE18" i="16"/>
  <c r="AA18" i="16"/>
  <c r="W18" i="16"/>
  <c r="AH18" i="16"/>
  <c r="AD18" i="16"/>
  <c r="Z18" i="16"/>
  <c r="AG18" i="16"/>
  <c r="AC18" i="16"/>
  <c r="Y18" i="16"/>
  <c r="AF18" i="16"/>
  <c r="AB18" i="16"/>
  <c r="X18" i="16"/>
  <c r="B8" i="19"/>
  <c r="D8" i="19" s="1"/>
  <c r="AM8" i="14"/>
  <c r="B12" i="19"/>
  <c r="D12" i="19" s="1"/>
  <c r="AM12" i="14"/>
  <c r="B21" i="19"/>
  <c r="D21" i="19" s="1"/>
  <c r="AM21" i="14"/>
  <c r="B16" i="19"/>
  <c r="D16" i="19" s="1"/>
  <c r="AM16" i="14"/>
  <c r="H38" i="19"/>
  <c r="BB38" i="19" s="1"/>
  <c r="H44" i="19"/>
  <c r="BD44" i="19" s="1"/>
  <c r="C59" i="22" s="1"/>
  <c r="H36" i="19"/>
  <c r="BE36" i="19" s="1"/>
  <c r="C51" i="23" s="1"/>
  <c r="AC514" i="4"/>
  <c r="AJ514" i="4" s="1"/>
  <c r="AE1302" i="4"/>
  <c r="AI1198" i="4"/>
  <c r="AI1302" i="4" s="1"/>
  <c r="AC778" i="4"/>
  <c r="AJ778" i="4" s="1"/>
  <c r="H1294" i="4"/>
  <c r="G1294" i="4" s="1"/>
  <c r="AC442" i="4"/>
  <c r="AJ442" i="4" s="1"/>
  <c r="H1340" i="4"/>
  <c r="G1340" i="4" s="1"/>
  <c r="AC920" i="4"/>
  <c r="AJ920" i="4" s="1"/>
  <c r="AA1332" i="4"/>
  <c r="AC1228" i="4"/>
  <c r="AD1228" i="4" s="1"/>
  <c r="AC808" i="4"/>
  <c r="AJ808" i="4" s="1"/>
  <c r="AC672" i="4"/>
  <c r="AJ672" i="4" s="1"/>
  <c r="AC331" i="4"/>
  <c r="AJ331" i="4" s="1"/>
  <c r="H1265" i="4"/>
  <c r="G1265" i="4" s="1"/>
  <c r="AC532" i="4"/>
  <c r="AJ532" i="4" s="1"/>
  <c r="AN58" i="19"/>
  <c r="AO58" i="19" s="1"/>
  <c r="AC1095" i="4"/>
  <c r="AJ1095" i="4" s="1"/>
  <c r="F42" i="21"/>
  <c r="I42" i="21"/>
  <c r="AA27" i="19"/>
  <c r="W27" i="19"/>
  <c r="Z27" i="19"/>
  <c r="V27" i="19"/>
  <c r="Y27" i="19"/>
  <c r="U27" i="19"/>
  <c r="AB27" i="19"/>
  <c r="X27" i="19"/>
  <c r="BF27" i="19"/>
  <c r="C42" i="24" s="1"/>
  <c r="AL77" i="19"/>
  <c r="AH77" i="19"/>
  <c r="AK77" i="19"/>
  <c r="AG77" i="19"/>
  <c r="AJ77" i="19"/>
  <c r="AF77" i="19"/>
  <c r="AM77" i="19"/>
  <c r="AI77" i="19"/>
  <c r="Y1332" i="4"/>
  <c r="AE1297" i="4"/>
  <c r="AI1193" i="4"/>
  <c r="AI1297" i="4" s="1"/>
  <c r="AC282" i="4"/>
  <c r="AJ282" i="4" s="1"/>
  <c r="AC474" i="4"/>
  <c r="AJ474" i="4" s="1"/>
  <c r="AC886" i="4"/>
  <c r="AJ886" i="4" s="1"/>
  <c r="AC1027" i="4"/>
  <c r="AJ1027" i="4" s="1"/>
  <c r="H1319" i="4"/>
  <c r="G1319" i="4" s="1"/>
  <c r="AC92" i="4"/>
  <c r="AJ92" i="4" s="1"/>
  <c r="AC484" i="4"/>
  <c r="AJ484" i="4" s="1"/>
  <c r="AA1308" i="4"/>
  <c r="I1308" i="4" s="1"/>
  <c r="AC1204" i="4"/>
  <c r="AD1204" i="4" s="1"/>
  <c r="AE1300" i="4"/>
  <c r="AI1196" i="4"/>
  <c r="AI1300" i="4" s="1"/>
  <c r="AC776" i="4"/>
  <c r="AJ776" i="4" s="1"/>
  <c r="H1292" i="4"/>
  <c r="G1292" i="4" s="1"/>
  <c r="AC968" i="4"/>
  <c r="AJ968" i="4" s="1"/>
  <c r="AC1062" i="4"/>
  <c r="AJ1062" i="4" s="1"/>
  <c r="AC1054" i="4"/>
  <c r="AJ1054" i="4" s="1"/>
  <c r="AK113" i="14"/>
  <c r="AC807" i="4"/>
  <c r="AJ807" i="4" s="1"/>
  <c r="AA1303" i="4"/>
  <c r="AC1199" i="4"/>
  <c r="AD1199" i="4" s="1"/>
  <c r="AC131" i="4"/>
  <c r="AJ131" i="4" s="1"/>
  <c r="AC543" i="4"/>
  <c r="AJ543" i="4" s="1"/>
  <c r="D14" i="18"/>
  <c r="AE1323" i="4"/>
  <c r="AI1219" i="4"/>
  <c r="AI1323" i="4" s="1"/>
  <c r="AE1311" i="4"/>
  <c r="AI1207" i="4"/>
  <c r="AI1311" i="4" s="1"/>
  <c r="AE1307" i="4"/>
  <c r="AI1203" i="4"/>
  <c r="AI1307" i="4" s="1"/>
  <c r="C17" i="17"/>
  <c r="AC730" i="4"/>
  <c r="AJ730" i="4" s="1"/>
  <c r="AA1314" i="4"/>
  <c r="AD1210" i="4"/>
  <c r="AC1210" i="4"/>
  <c r="AC162" i="4"/>
  <c r="AJ162" i="4" s="1"/>
  <c r="AC558" i="4"/>
  <c r="AJ558" i="4" s="1"/>
  <c r="AN102" i="19"/>
  <c r="AO102" i="19" s="1"/>
  <c r="Y1337" i="4"/>
  <c r="AC185" i="4"/>
  <c r="AJ185" i="4" s="1"/>
  <c r="AC827" i="4"/>
  <c r="AJ827" i="4" s="1"/>
  <c r="D4" i="21"/>
  <c r="AD612" i="4"/>
  <c r="AC612" i="4"/>
  <c r="AJ612" i="4" s="1"/>
  <c r="AC1072" i="4"/>
  <c r="AJ1072" i="4" s="1"/>
  <c r="H1270" i="4"/>
  <c r="G1270" i="4" s="1"/>
  <c r="AC529" i="4"/>
  <c r="AJ529" i="4" s="1"/>
  <c r="AA107" i="14"/>
  <c r="AH6" i="14"/>
  <c r="U6" i="16"/>
  <c r="AC235" i="4"/>
  <c r="AJ235" i="4" s="1"/>
  <c r="AC647" i="4"/>
  <c r="AJ647" i="4" s="1"/>
  <c r="AK101" i="19"/>
  <c r="AG101" i="19"/>
  <c r="AM101" i="19"/>
  <c r="AI101" i="19"/>
  <c r="AH101" i="19"/>
  <c r="AF101" i="19"/>
  <c r="AL101" i="19"/>
  <c r="AJ101" i="19"/>
  <c r="Y1316" i="4"/>
  <c r="AC1185" i="4"/>
  <c r="AD1185" i="4" s="1"/>
  <c r="AC1179" i="4"/>
  <c r="CE33" i="5"/>
  <c r="AA1350" i="4"/>
  <c r="AC1246" i="4"/>
  <c r="AD1246" i="4" s="1"/>
  <c r="AE1342" i="4"/>
  <c r="AI1238" i="4"/>
  <c r="AI1342" i="4" s="1"/>
  <c r="AA1326" i="4"/>
  <c r="I1326" i="4" s="1"/>
  <c r="AC1222" i="4"/>
  <c r="AD1222" i="4" s="1"/>
  <c r="AC70" i="4"/>
  <c r="AJ70" i="4" s="1"/>
  <c r="AC674" i="4"/>
  <c r="AJ674" i="4" s="1"/>
  <c r="AA1274" i="4"/>
  <c r="I1274" i="4" s="1"/>
  <c r="AC1170" i="4"/>
  <c r="AD1170" i="4" s="1"/>
  <c r="AC1175" i="4"/>
  <c r="CJ53" i="5"/>
  <c r="CX53" i="5" s="1"/>
  <c r="H1339" i="4"/>
  <c r="G1339" i="4" s="1"/>
  <c r="AC716" i="4"/>
  <c r="AJ716" i="4" s="1"/>
  <c r="AC992" i="4"/>
  <c r="AJ992" i="4" s="1"/>
  <c r="AC1176" i="4"/>
  <c r="AC643" i="4"/>
  <c r="AJ643" i="4" s="1"/>
  <c r="AC639" i="4"/>
  <c r="AJ639" i="4" s="1"/>
  <c r="AC635" i="4"/>
  <c r="AJ635" i="4" s="1"/>
  <c r="AC631" i="4"/>
  <c r="AJ631" i="4" s="1"/>
  <c r="AD599" i="4"/>
  <c r="AC599" i="4"/>
  <c r="AJ599" i="4" s="1"/>
  <c r="AE1287" i="4"/>
  <c r="AI1183" i="4"/>
  <c r="AI1287" i="4" s="1"/>
  <c r="AE1275" i="4"/>
  <c r="AI1171" i="4"/>
  <c r="AI1275" i="4" s="1"/>
  <c r="AE1271" i="4"/>
  <c r="AI1167" i="4"/>
  <c r="AI1271" i="4" s="1"/>
  <c r="BD97" i="19"/>
  <c r="C112" i="22" s="1"/>
  <c r="I96" i="25"/>
  <c r="F96" i="25"/>
  <c r="D96" i="25" s="1"/>
  <c r="BE53" i="19"/>
  <c r="C68" i="23" s="1"/>
  <c r="BC53" i="19"/>
  <c r="C68" i="21" s="1"/>
  <c r="F62" i="21"/>
  <c r="I62" i="21"/>
  <c r="AA47" i="19"/>
  <c r="W47" i="19"/>
  <c r="Z47" i="19"/>
  <c r="V47" i="19"/>
  <c r="Y47" i="19"/>
  <c r="U47" i="19"/>
  <c r="AB47" i="19"/>
  <c r="X47" i="19"/>
  <c r="BF47" i="19"/>
  <c r="C62" i="24" s="1"/>
  <c r="BH31" i="19"/>
  <c r="C46" i="26" s="1"/>
  <c r="H72" i="19"/>
  <c r="BF72" i="19" s="1"/>
  <c r="C87" i="24" s="1"/>
  <c r="BC30" i="19"/>
  <c r="C45" i="21" s="1"/>
  <c r="H30" i="19"/>
  <c r="BB30" i="19" s="1"/>
  <c r="H88" i="19"/>
  <c r="BE88" i="19" s="1"/>
  <c r="C103" i="23" s="1"/>
  <c r="H94" i="19"/>
  <c r="BB94" i="19" s="1"/>
  <c r="D15" i="18"/>
  <c r="AC1197" i="4"/>
  <c r="AD1197" i="4" s="1"/>
  <c r="AC25" i="4"/>
  <c r="AJ25" i="4" s="1"/>
  <c r="AC518" i="4"/>
  <c r="AJ518" i="4" s="1"/>
  <c r="AC366" i="4"/>
  <c r="AJ366" i="4" s="1"/>
  <c r="AC446" i="4"/>
  <c r="AJ446" i="4" s="1"/>
  <c r="AC858" i="4"/>
  <c r="AJ858" i="4" s="1"/>
  <c r="G69" i="68"/>
  <c r="F69" i="68"/>
  <c r="AN78" i="19"/>
  <c r="AO78" i="19" s="1"/>
  <c r="AC31" i="4"/>
  <c r="AJ31" i="4" s="1"/>
  <c r="AM25" i="20"/>
  <c r="AI25" i="20"/>
  <c r="AE25" i="20"/>
  <c r="AP25" i="20"/>
  <c r="AL25" i="20"/>
  <c r="AH25" i="20"/>
  <c r="AO25" i="20"/>
  <c r="AK25" i="20"/>
  <c r="AG25" i="20"/>
  <c r="AN25" i="20"/>
  <c r="AJ25" i="20"/>
  <c r="AF25" i="20"/>
  <c r="AM73" i="20"/>
  <c r="AI73" i="20"/>
  <c r="AE73" i="20"/>
  <c r="AL73" i="20"/>
  <c r="AG73" i="20"/>
  <c r="AP73" i="20"/>
  <c r="AK73" i="20"/>
  <c r="AF73" i="20"/>
  <c r="AO73" i="20"/>
  <c r="AJ73" i="20"/>
  <c r="AN73" i="20"/>
  <c r="AH73" i="20"/>
  <c r="AC77" i="4"/>
  <c r="AJ77" i="4" s="1"/>
  <c r="Y1317" i="4"/>
  <c r="Y1301" i="4"/>
  <c r="Y1285" i="4"/>
  <c r="Y1269" i="4"/>
  <c r="AN90" i="19"/>
  <c r="AO90" i="19" s="1"/>
  <c r="AC1111" i="4"/>
  <c r="AJ1111" i="4" s="1"/>
  <c r="AC404" i="4"/>
  <c r="AJ404" i="4" s="1"/>
  <c r="AC264" i="4"/>
  <c r="AJ264" i="4" s="1"/>
  <c r="AC556" i="4"/>
  <c r="AJ556" i="4" s="1"/>
  <c r="AC864" i="4"/>
  <c r="AJ864" i="4" s="1"/>
  <c r="H1272" i="4"/>
  <c r="G1272" i="4" s="1"/>
  <c r="AC538" i="4"/>
  <c r="AJ538" i="4" s="1"/>
  <c r="AC739" i="4"/>
  <c r="AJ739" i="4" s="1"/>
  <c r="AC1151" i="4"/>
  <c r="AC422" i="4"/>
  <c r="AD422" i="4" s="1"/>
  <c r="AC855" i="4"/>
  <c r="AJ855" i="4" s="1"/>
  <c r="Y61" i="19"/>
  <c r="U61" i="19"/>
  <c r="AB61" i="19"/>
  <c r="X61" i="19"/>
  <c r="AA61" i="19"/>
  <c r="W61" i="19"/>
  <c r="Z61" i="19"/>
  <c r="V61" i="19"/>
  <c r="BF61" i="19"/>
  <c r="C76" i="24" s="1"/>
  <c r="BH61" i="19"/>
  <c r="C76" i="26" s="1"/>
  <c r="F58" i="25"/>
  <c r="I58" i="25"/>
  <c r="F58" i="23"/>
  <c r="I58" i="23"/>
  <c r="G70" i="28"/>
  <c r="M70" i="28"/>
  <c r="E70" i="28"/>
  <c r="K70" i="28"/>
  <c r="I70" i="28"/>
  <c r="AC198" i="4"/>
  <c r="AJ198" i="4" s="1"/>
  <c r="AC698" i="4"/>
  <c r="AJ698" i="4" s="1"/>
  <c r="AC462" i="4"/>
  <c r="AJ462" i="4" s="1"/>
  <c r="AC874" i="4"/>
  <c r="AJ874" i="4" s="1"/>
  <c r="AC962" i="4"/>
  <c r="AJ962" i="4" s="1"/>
  <c r="AN42" i="19"/>
  <c r="AO42" i="19" s="1"/>
  <c r="H15" i="28"/>
  <c r="D15" i="28"/>
  <c r="G15" i="28"/>
  <c r="F15" i="28"/>
  <c r="E15" i="28"/>
  <c r="AC1139" i="4"/>
  <c r="AJ1139" i="4" s="1"/>
  <c r="AC936" i="4"/>
  <c r="AJ936" i="4" s="1"/>
  <c r="AC1076" i="4"/>
  <c r="AJ1076" i="4" s="1"/>
  <c r="AE1315" i="4"/>
  <c r="AI1211" i="4"/>
  <c r="AI1315" i="4" s="1"/>
  <c r="I92" i="25"/>
  <c r="F92" i="25"/>
  <c r="F86" i="21"/>
  <c r="I86" i="21"/>
  <c r="AA71" i="19"/>
  <c r="W71" i="19"/>
  <c r="Z71" i="19"/>
  <c r="V71" i="19"/>
  <c r="Y71" i="19"/>
  <c r="U71" i="19"/>
  <c r="AB71" i="19"/>
  <c r="X71" i="19"/>
  <c r="BF71" i="19"/>
  <c r="C86" i="24" s="1"/>
  <c r="F38" i="22"/>
  <c r="I38" i="22"/>
  <c r="AC718" i="4"/>
  <c r="AJ718" i="4" s="1"/>
  <c r="AC702" i="4"/>
  <c r="AJ702" i="4" s="1"/>
  <c r="AC578" i="4"/>
  <c r="AJ578" i="4" s="1"/>
  <c r="AC974" i="4"/>
  <c r="AJ974" i="4" s="1"/>
  <c r="V186" i="16"/>
  <c r="Y1353" i="4"/>
  <c r="AC201" i="4"/>
  <c r="AJ201" i="4" s="1"/>
  <c r="AC187" i="4"/>
  <c r="AJ187" i="4" s="1"/>
  <c r="AC52" i="4"/>
  <c r="AJ52" i="4" s="1"/>
  <c r="AC544" i="4"/>
  <c r="AJ544" i="4" s="1"/>
  <c r="AC535" i="4"/>
  <c r="AJ535" i="4" s="1"/>
  <c r="AA1260" i="4"/>
  <c r="AC1156" i="4"/>
  <c r="AD1156" i="4" s="1"/>
  <c r="AC736" i="4"/>
  <c r="AJ736" i="4" s="1"/>
  <c r="H55" i="19"/>
  <c r="BB55" i="19" s="1"/>
  <c r="I44" i="23"/>
  <c r="F44" i="23"/>
  <c r="I44" i="21"/>
  <c r="F44" i="21"/>
  <c r="Y1308" i="4"/>
  <c r="Y1292" i="4"/>
  <c r="Y1276" i="4"/>
  <c r="Y1260" i="4"/>
  <c r="AE1305" i="4"/>
  <c r="AI1201" i="4"/>
  <c r="AI1305" i="4" s="1"/>
  <c r="AC250" i="4"/>
  <c r="AJ250" i="4" s="1"/>
  <c r="AC603" i="4"/>
  <c r="AJ603" i="4" s="1"/>
  <c r="AG17" i="16"/>
  <c r="AC17" i="16"/>
  <c r="Y17" i="16"/>
  <c r="AF17" i="16"/>
  <c r="AB17" i="16"/>
  <c r="X17" i="16"/>
  <c r="AE17" i="16"/>
  <c r="AA17" i="16"/>
  <c r="W17" i="16"/>
  <c r="AH17" i="16"/>
  <c r="AD17" i="16"/>
  <c r="Z17" i="16"/>
  <c r="AM15" i="14"/>
  <c r="B15" i="19"/>
  <c r="AG13" i="16"/>
  <c r="AC13" i="16"/>
  <c r="Y13" i="16"/>
  <c r="AF13" i="16"/>
  <c r="AB13" i="16"/>
  <c r="X13" i="16"/>
  <c r="AE13" i="16"/>
  <c r="AA13" i="16"/>
  <c r="W13" i="16"/>
  <c r="AH13" i="16"/>
  <c r="AD13" i="16"/>
  <c r="Z13" i="16"/>
  <c r="AG9" i="16"/>
  <c r="AC9" i="16"/>
  <c r="Y9" i="16"/>
  <c r="AF9" i="16"/>
  <c r="AB9" i="16"/>
  <c r="X9" i="16"/>
  <c r="AE9" i="16"/>
  <c r="AA9" i="16"/>
  <c r="W9" i="16"/>
  <c r="AH9" i="16"/>
  <c r="AD9" i="16"/>
  <c r="Z9" i="16"/>
  <c r="AC351" i="4"/>
  <c r="AJ351" i="4" s="1"/>
  <c r="Y65" i="19"/>
  <c r="U65" i="19"/>
  <c r="AB65" i="19"/>
  <c r="X65" i="19"/>
  <c r="AA65" i="19"/>
  <c r="W65" i="19"/>
  <c r="Z65" i="19"/>
  <c r="V65" i="19"/>
  <c r="BF65" i="19"/>
  <c r="C80" i="24" s="1"/>
  <c r="BH65" i="19"/>
  <c r="C80" i="26" s="1"/>
  <c r="AL41" i="19"/>
  <c r="AH41" i="19"/>
  <c r="AK41" i="19"/>
  <c r="AG41" i="19"/>
  <c r="AJ41" i="19"/>
  <c r="AF41" i="19"/>
  <c r="AM41" i="19"/>
  <c r="AI41" i="19"/>
  <c r="C56" i="18"/>
  <c r="I56" i="22"/>
  <c r="F56" i="22"/>
  <c r="AE1317" i="4"/>
  <c r="AI1213" i="4"/>
  <c r="AI1317" i="4" s="1"/>
  <c r="AC522" i="4"/>
  <c r="AJ522" i="4" s="1"/>
  <c r="AC270" i="4"/>
  <c r="AJ270" i="4" s="1"/>
  <c r="AE1306" i="4"/>
  <c r="AI1202" i="4"/>
  <c r="AI1306" i="4" s="1"/>
  <c r="AC782" i="4"/>
  <c r="AJ782" i="4" s="1"/>
  <c r="AC450" i="4"/>
  <c r="AJ450" i="4" s="1"/>
  <c r="AC862" i="4"/>
  <c r="AJ862" i="4" s="1"/>
  <c r="AE1299" i="4"/>
  <c r="AI1195" i="4"/>
  <c r="AI1299" i="4" s="1"/>
  <c r="AE1295" i="4"/>
  <c r="AI1191" i="4"/>
  <c r="AI1295" i="4" s="1"/>
  <c r="AE1291" i="4"/>
  <c r="AI1187" i="4"/>
  <c r="AI1291" i="4" s="1"/>
  <c r="V161" i="16"/>
  <c r="G72" i="28"/>
  <c r="M72" i="28"/>
  <c r="E72" i="28"/>
  <c r="K72" i="28"/>
  <c r="I72" i="28"/>
  <c r="AA1352" i="4"/>
  <c r="AC1248" i="4"/>
  <c r="AC828" i="4"/>
  <c r="AJ828" i="4" s="1"/>
  <c r="AE1344" i="4"/>
  <c r="AI1240" i="4"/>
  <c r="AI1344" i="4" s="1"/>
  <c r="AE1316" i="4"/>
  <c r="AI1212" i="4"/>
  <c r="AI1316" i="4" s="1"/>
  <c r="AA1165" i="4"/>
  <c r="AC954" i="4"/>
  <c r="AJ954" i="4" s="1"/>
  <c r="AC118" i="4"/>
  <c r="AJ118" i="4" s="1"/>
  <c r="AE1261" i="4"/>
  <c r="AI1157" i="4"/>
  <c r="AI1261" i="4" s="1"/>
  <c r="AC319" i="4"/>
  <c r="AJ319" i="4" s="1"/>
  <c r="AC455" i="4"/>
  <c r="AJ455" i="4" s="1"/>
  <c r="AN9" i="20"/>
  <c r="AP9" i="20"/>
  <c r="AL9" i="20"/>
  <c r="AH9" i="20"/>
  <c r="AO9" i="20"/>
  <c r="AK9" i="20"/>
  <c r="AG9" i="20"/>
  <c r="AM9" i="20"/>
  <c r="AF9" i="20"/>
  <c r="AJ9" i="20"/>
  <c r="AE9" i="20"/>
  <c r="AI9" i="20"/>
  <c r="X176" i="16"/>
  <c r="Y16" i="5" s="1"/>
  <c r="AC176" i="16"/>
  <c r="CQ16" i="5" s="1"/>
  <c r="AH176" i="16"/>
  <c r="FI16" i="5" s="1"/>
  <c r="BE37" i="19"/>
  <c r="C52" i="23" s="1"/>
  <c r="BC37" i="19"/>
  <c r="C52" i="21" s="1"/>
  <c r="K73" i="28"/>
  <c r="I73" i="28"/>
  <c r="G73" i="28"/>
  <c r="M73" i="28"/>
  <c r="E73" i="28"/>
  <c r="Y1348" i="4"/>
  <c r="AC1206" i="4"/>
  <c r="AD1206" i="4" s="1"/>
  <c r="AC554" i="4"/>
  <c r="AJ554" i="4" s="1"/>
  <c r="AC915" i="4"/>
  <c r="AJ915" i="4" s="1"/>
  <c r="AE1320" i="4"/>
  <c r="AI1216" i="4"/>
  <c r="AI1320" i="4" s="1"/>
  <c r="AE1312" i="4"/>
  <c r="AI1208" i="4"/>
  <c r="AI1312" i="4" s="1"/>
  <c r="H1304" i="4"/>
  <c r="G1304" i="4" s="1"/>
  <c r="AC379" i="4"/>
  <c r="AJ379" i="4" s="1"/>
  <c r="AC963" i="4"/>
  <c r="AJ963" i="4" s="1"/>
  <c r="F106" i="22"/>
  <c r="I106" i="22"/>
  <c r="F106" i="21"/>
  <c r="I106" i="21"/>
  <c r="F54" i="22"/>
  <c r="I54" i="22"/>
  <c r="AC1134" i="4"/>
  <c r="AJ1134" i="4" s="1"/>
  <c r="AE1318" i="4"/>
  <c r="AI1214" i="4"/>
  <c r="AI1318" i="4" s="1"/>
  <c r="AC794" i="4"/>
  <c r="AJ794" i="4" s="1"/>
  <c r="AC154" i="4"/>
  <c r="AJ154" i="4" s="1"/>
  <c r="AC654" i="4"/>
  <c r="AJ654" i="4" s="1"/>
  <c r="AC707" i="4"/>
  <c r="AJ707" i="4" s="1"/>
  <c r="H1266" i="4"/>
  <c r="G1266" i="4" s="1"/>
  <c r="AA79" i="4"/>
  <c r="AJ83" i="19"/>
  <c r="AF83" i="19"/>
  <c r="AM83" i="19"/>
  <c r="AI83" i="19"/>
  <c r="AL83" i="19"/>
  <c r="AH83" i="19"/>
  <c r="AK83" i="19"/>
  <c r="AG83" i="19"/>
  <c r="H87" i="19"/>
  <c r="BB87" i="19" s="1"/>
  <c r="Y1314" i="4"/>
  <c r="Y211" i="4"/>
  <c r="Y627" i="4"/>
  <c r="Y1043" i="4"/>
  <c r="AA1250" i="4"/>
  <c r="AE1346" i="4"/>
  <c r="AI1242" i="4"/>
  <c r="AI1346" i="4" s="1"/>
  <c r="H1330" i="4"/>
  <c r="G1330" i="4" s="1"/>
  <c r="AC682" i="4"/>
  <c r="AJ682" i="4" s="1"/>
  <c r="AC1078" i="4"/>
  <c r="AJ1078" i="4" s="1"/>
  <c r="AC762" i="4"/>
  <c r="AJ762" i="4" s="1"/>
  <c r="H1278" i="4"/>
  <c r="G1278" i="4" s="1"/>
  <c r="AP70" i="20"/>
  <c r="AP72" i="20" s="1"/>
  <c r="AL70" i="20"/>
  <c r="AL72" i="20" s="1"/>
  <c r="AH70" i="20"/>
  <c r="AH72" i="20" s="1"/>
  <c r="AM70" i="20"/>
  <c r="AM72" i="20" s="1"/>
  <c r="AG70" i="20"/>
  <c r="AG72" i="20" s="1"/>
  <c r="AK70" i="20"/>
  <c r="AK72" i="20" s="1"/>
  <c r="AF70" i="20"/>
  <c r="AF72" i="20" s="1"/>
  <c r="R72" i="20"/>
  <c r="AO70" i="20"/>
  <c r="AO72" i="20" s="1"/>
  <c r="AJ70" i="20"/>
  <c r="AJ72" i="20" s="1"/>
  <c r="AE70" i="20"/>
  <c r="AN70" i="20"/>
  <c r="AN72" i="20" s="1"/>
  <c r="AI70" i="20"/>
  <c r="AI72" i="20" s="1"/>
  <c r="AC931" i="4"/>
  <c r="AJ931" i="4" s="1"/>
  <c r="D4" i="22"/>
  <c r="AJ35" i="19"/>
  <c r="AF35" i="19"/>
  <c r="AM35" i="19"/>
  <c r="AI35" i="19"/>
  <c r="AL35" i="19"/>
  <c r="AH35" i="19"/>
  <c r="AK35" i="19"/>
  <c r="AG35" i="19"/>
  <c r="H237" i="4"/>
  <c r="AA237" i="4"/>
  <c r="H245" i="4"/>
  <c r="AA245" i="4"/>
  <c r="H253" i="4"/>
  <c r="AA253" i="4"/>
  <c r="AA261" i="4"/>
  <c r="H261" i="4"/>
  <c r="AA269" i="4"/>
  <c r="H269" i="4"/>
  <c r="AA277" i="4"/>
  <c r="H277" i="4"/>
  <c r="H285" i="4"/>
  <c r="AA285" i="4"/>
  <c r="H505" i="4"/>
  <c r="AA505" i="4"/>
  <c r="AA289" i="4"/>
  <c r="H289" i="4"/>
  <c r="AA297" i="4"/>
  <c r="H297" i="4"/>
  <c r="H305" i="4"/>
  <c r="AA305" i="4"/>
  <c r="AA313" i="4"/>
  <c r="H313" i="4"/>
  <c r="AA341" i="4"/>
  <c r="H341" i="4"/>
  <c r="H349" i="4"/>
  <c r="AA349" i="4"/>
  <c r="AA357" i="4"/>
  <c r="H357" i="4"/>
  <c r="AA365" i="4"/>
  <c r="H365" i="4"/>
  <c r="H373" i="4"/>
  <c r="AA373" i="4"/>
  <c r="AA381" i="4"/>
  <c r="H381" i="4"/>
  <c r="H389" i="4"/>
  <c r="AA389" i="4"/>
  <c r="H397" i="4"/>
  <c r="AA397" i="4"/>
  <c r="AA405" i="4"/>
  <c r="H405" i="4"/>
  <c r="H413" i="4"/>
  <c r="AA413" i="4"/>
  <c r="AA441" i="4"/>
  <c r="H441" i="4"/>
  <c r="H449" i="4"/>
  <c r="AA449" i="4"/>
  <c r="AA457" i="4"/>
  <c r="H457" i="4"/>
  <c r="H465" i="4"/>
  <c r="AA465" i="4"/>
  <c r="H473" i="4"/>
  <c r="AA473" i="4"/>
  <c r="AA481" i="4"/>
  <c r="H481" i="4"/>
  <c r="H489" i="4"/>
  <c r="AA489" i="4"/>
  <c r="H713" i="4"/>
  <c r="AA713" i="4"/>
  <c r="H551" i="4"/>
  <c r="AA551" i="4"/>
  <c r="H567" i="4"/>
  <c r="AA567" i="4"/>
  <c r="AA583" i="4"/>
  <c r="H583" i="4"/>
  <c r="AA615" i="4"/>
  <c r="H615" i="4"/>
  <c r="AA623" i="4"/>
  <c r="H623" i="4"/>
  <c r="AA659" i="4"/>
  <c r="H659" i="4"/>
  <c r="AA667" i="4"/>
  <c r="H667" i="4"/>
  <c r="AA675" i="4"/>
  <c r="H675" i="4"/>
  <c r="AA683" i="4"/>
  <c r="H683" i="4"/>
  <c r="AA699" i="4"/>
  <c r="H699" i="4"/>
  <c r="AA717" i="4"/>
  <c r="H717" i="4"/>
  <c r="H725" i="4"/>
  <c r="AA725" i="4"/>
  <c r="AA753" i="4"/>
  <c r="H753" i="4"/>
  <c r="AA761" i="4"/>
  <c r="H761" i="4"/>
  <c r="H769" i="4"/>
  <c r="AA769" i="4"/>
  <c r="H777" i="4"/>
  <c r="AA777" i="4"/>
  <c r="H785" i="4"/>
  <c r="AA785" i="4"/>
  <c r="H793" i="4"/>
  <c r="AA793" i="4"/>
  <c r="AA801" i="4"/>
  <c r="H801" i="4"/>
  <c r="AA809" i="4"/>
  <c r="H809" i="4"/>
  <c r="AA817" i="4"/>
  <c r="H817" i="4"/>
  <c r="AA825" i="4"/>
  <c r="H825" i="4"/>
  <c r="H833" i="4"/>
  <c r="AA833" i="4"/>
  <c r="H861" i="4"/>
  <c r="AA861" i="4"/>
  <c r="H869" i="4"/>
  <c r="AA869" i="4"/>
  <c r="AA877" i="4"/>
  <c r="H877" i="4"/>
  <c r="AA885" i="4"/>
  <c r="H885" i="4"/>
  <c r="AA893" i="4"/>
  <c r="H893" i="4"/>
  <c r="AA901" i="4"/>
  <c r="H901" i="4"/>
  <c r="H909" i="4"/>
  <c r="AA909" i="4"/>
  <c r="H917" i="4"/>
  <c r="AA917" i="4"/>
  <c r="AA925" i="4"/>
  <c r="H925" i="4"/>
  <c r="AA933" i="4"/>
  <c r="H933" i="4"/>
  <c r="AA961" i="4"/>
  <c r="H961" i="4"/>
  <c r="AA969" i="4"/>
  <c r="H969" i="4"/>
  <c r="AA977" i="4"/>
  <c r="H977" i="4"/>
  <c r="AA985" i="4"/>
  <c r="H985" i="4"/>
  <c r="AA993" i="4"/>
  <c r="H993" i="4"/>
  <c r="H1001" i="4"/>
  <c r="AA1001" i="4"/>
  <c r="H1009" i="4"/>
  <c r="AA1009" i="4"/>
  <c r="AA1017" i="4"/>
  <c r="H1017" i="4"/>
  <c r="AA1025" i="4"/>
  <c r="H1025" i="4"/>
  <c r="H1033" i="4"/>
  <c r="AA1033" i="4"/>
  <c r="H1041" i="4"/>
  <c r="AA1041" i="4"/>
  <c r="AA1069" i="4"/>
  <c r="H1069" i="4"/>
  <c r="AA1077" i="4"/>
  <c r="H1077" i="4"/>
  <c r="AA1085" i="4"/>
  <c r="H1085" i="4"/>
  <c r="H1093" i="4"/>
  <c r="AA1093" i="4"/>
  <c r="H1101" i="4"/>
  <c r="AA1101" i="4"/>
  <c r="H1109" i="4"/>
  <c r="AA1109" i="4"/>
  <c r="H1117" i="4"/>
  <c r="AA1117" i="4"/>
  <c r="AA1125" i="4"/>
  <c r="H1125" i="4"/>
  <c r="AA1133" i="4"/>
  <c r="H1133" i="4"/>
  <c r="AA1141" i="4"/>
  <c r="H1141" i="4"/>
  <c r="F1355" i="4"/>
  <c r="F1356" i="4" s="1"/>
  <c r="I64" i="25"/>
  <c r="F64" i="25"/>
  <c r="F114" i="24"/>
  <c r="I114" i="24"/>
  <c r="F114" i="25"/>
  <c r="I114" i="25"/>
  <c r="D80" i="19"/>
  <c r="D24" i="19"/>
  <c r="D86" i="19"/>
  <c r="D48" i="19"/>
  <c r="AE1333" i="4"/>
  <c r="AI1229" i="4"/>
  <c r="AI1333" i="4" s="1"/>
  <c r="W182" i="16"/>
  <c r="AB182" i="16"/>
  <c r="AC182" i="16"/>
  <c r="AH182" i="16"/>
  <c r="Y1315" i="4"/>
  <c r="Y1299" i="4"/>
  <c r="Y1283" i="4"/>
  <c r="Y1267" i="4"/>
  <c r="AC203" i="4"/>
  <c r="AJ203" i="4" s="1"/>
  <c r="AJ27" i="19"/>
  <c r="AF27" i="19"/>
  <c r="AM27" i="19"/>
  <c r="AI27" i="19"/>
  <c r="AL27" i="19"/>
  <c r="AH27" i="19"/>
  <c r="AK27" i="19"/>
  <c r="AG27" i="19"/>
  <c r="AE107" i="4"/>
  <c r="AI6" i="4"/>
  <c r="AI107" i="4" s="1"/>
  <c r="AA23" i="4"/>
  <c r="AL61" i="19"/>
  <c r="AH61" i="19"/>
  <c r="AK61" i="19"/>
  <c r="AG61" i="19"/>
  <c r="AJ61" i="19"/>
  <c r="AF61" i="19"/>
  <c r="AM61" i="19"/>
  <c r="AI61" i="19"/>
  <c r="BO43" i="62"/>
  <c r="BV43" i="62" s="1"/>
  <c r="CC51" i="5"/>
  <c r="D23" i="62"/>
  <c r="AE1345" i="4"/>
  <c r="AI1241" i="4"/>
  <c r="AI1345" i="4" s="1"/>
  <c r="H882" i="4"/>
  <c r="H1298" i="4" s="1"/>
  <c r="G1298" i="4" s="1"/>
  <c r="AC130" i="4"/>
  <c r="AJ130" i="4" s="1"/>
  <c r="Z27" i="20"/>
  <c r="Z75" i="20"/>
  <c r="AN82" i="19"/>
  <c r="AO82" i="19" s="1"/>
  <c r="AE1043" i="4"/>
  <c r="AI942" i="4"/>
  <c r="AI1043" i="4" s="1"/>
  <c r="H70" i="19"/>
  <c r="BB70" i="19" s="1"/>
  <c r="F90" i="22"/>
  <c r="I90" i="22"/>
  <c r="F82" i="25"/>
  <c r="D82" i="25" s="1"/>
  <c r="I82" i="25"/>
  <c r="F82" i="23"/>
  <c r="I82" i="23"/>
  <c r="AA510" i="45"/>
  <c r="AC158" i="4"/>
  <c r="AJ158" i="4" s="1"/>
  <c r="V194" i="16"/>
  <c r="Y1351" i="4"/>
  <c r="H764" i="4"/>
  <c r="H1284" i="4" s="1"/>
  <c r="G1284" i="4" s="1"/>
  <c r="H748" i="4"/>
  <c r="H1268" i="4" s="1"/>
  <c r="G1268" i="4" s="1"/>
  <c r="H949" i="4"/>
  <c r="AE1256" i="4"/>
  <c r="AI1152" i="4"/>
  <c r="AI1256" i="4" s="1"/>
  <c r="AE315" i="4"/>
  <c r="AI214" i="4"/>
  <c r="AI315" i="4" s="1"/>
  <c r="AE1147" i="4"/>
  <c r="AI1046" i="4"/>
  <c r="AI1147" i="4" s="1"/>
  <c r="AM99" i="19"/>
  <c r="AI99" i="19"/>
  <c r="AK99" i="19"/>
  <c r="AG99" i="19"/>
  <c r="AJ99" i="19"/>
  <c r="AH99" i="19"/>
  <c r="AF99" i="19"/>
  <c r="AL99" i="19"/>
  <c r="I72" i="23"/>
  <c r="F72" i="23"/>
  <c r="I72" i="21"/>
  <c r="F72" i="21"/>
  <c r="BB103" i="19"/>
  <c r="BH103" i="19"/>
  <c r="C118" i="26" s="1"/>
  <c r="H103" i="19"/>
  <c r="BC103" i="19" s="1"/>
  <c r="C118" i="21" s="1"/>
  <c r="Y1302" i="4"/>
  <c r="Y1286" i="4"/>
  <c r="Y1270" i="4"/>
  <c r="AE1337" i="4"/>
  <c r="AI1233" i="4"/>
  <c r="AI1337" i="4" s="1"/>
  <c r="AG1337" i="4" s="1"/>
  <c r="Y69" i="19"/>
  <c r="U69" i="19"/>
  <c r="AB69" i="19"/>
  <c r="X69" i="19"/>
  <c r="AA69" i="19"/>
  <c r="W69" i="19"/>
  <c r="Z69" i="19"/>
  <c r="V69" i="19"/>
  <c r="BF69" i="19"/>
  <c r="C84" i="24" s="1"/>
  <c r="BH69" i="19"/>
  <c r="C84" i="26" s="1"/>
  <c r="F98" i="22"/>
  <c r="I98" i="22"/>
  <c r="I48" i="23"/>
  <c r="F48" i="23"/>
  <c r="I48" i="21"/>
  <c r="F48" i="21"/>
  <c r="D48" i="21" s="1"/>
  <c r="AM18" i="14"/>
  <c r="B18" i="19"/>
  <c r="AE14" i="16"/>
  <c r="AA14" i="16"/>
  <c r="W14" i="16"/>
  <c r="AH14" i="16"/>
  <c r="AD14" i="16"/>
  <c r="Z14" i="16"/>
  <c r="AG14" i="16"/>
  <c r="AC14" i="16"/>
  <c r="Y14" i="16"/>
  <c r="AF14" i="16"/>
  <c r="AB14" i="16"/>
  <c r="X14" i="16"/>
  <c r="H90" i="19"/>
  <c r="BF90" i="19" s="1"/>
  <c r="C105" i="24" s="1"/>
  <c r="H66" i="19"/>
  <c r="BB66" i="19" s="1"/>
  <c r="AC910" i="4"/>
  <c r="AJ910" i="4" s="1"/>
  <c r="AC1102" i="4"/>
  <c r="AJ1102" i="4" s="1"/>
  <c r="H1302" i="4"/>
  <c r="G1302" i="4" s="1"/>
  <c r="AA1286" i="4"/>
  <c r="I1286" i="4" s="1"/>
  <c r="AC1182" i="4"/>
  <c r="AD1182" i="4" s="1"/>
  <c r="AC30" i="4"/>
  <c r="AJ30" i="4" s="1"/>
  <c r="AC923" i="4"/>
  <c r="AJ923" i="4" s="1"/>
  <c r="AA1340" i="4"/>
  <c r="I1340" i="4" s="1"/>
  <c r="AC1236" i="4"/>
  <c r="AD1236" i="4" s="1"/>
  <c r="AE1332" i="4"/>
  <c r="AI1228" i="4"/>
  <c r="AI1332" i="4" s="1"/>
  <c r="AG1332" i="4" s="1"/>
  <c r="AC1112" i="4"/>
  <c r="AJ1112" i="4" s="1"/>
  <c r="AC796" i="4"/>
  <c r="AJ796" i="4" s="1"/>
  <c r="AC260" i="4"/>
  <c r="AJ260" i="4" s="1"/>
  <c r="AC448" i="4"/>
  <c r="AJ448" i="4" s="1"/>
  <c r="AC860" i="4"/>
  <c r="AJ860" i="4" s="1"/>
  <c r="AC540" i="4"/>
  <c r="AJ540" i="4" s="1"/>
  <c r="AC741" i="4"/>
  <c r="AJ741" i="4" s="1"/>
  <c r="AA1257" i="4"/>
  <c r="AC1153" i="4"/>
  <c r="H45" i="19"/>
  <c r="BE45" i="19" s="1"/>
  <c r="C60" i="23" s="1"/>
  <c r="F42" i="25"/>
  <c r="I42" i="25"/>
  <c r="F42" i="23"/>
  <c r="I42" i="23"/>
  <c r="AF47" i="62"/>
  <c r="AT21" i="62"/>
  <c r="Y1328" i="4"/>
  <c r="AC85" i="4"/>
  <c r="AJ85" i="4" s="1"/>
  <c r="AC622" i="4"/>
  <c r="AJ622" i="4" s="1"/>
  <c r="AC1018" i="4"/>
  <c r="AJ1018" i="4" s="1"/>
  <c r="AC458" i="4"/>
  <c r="AJ458" i="4" s="1"/>
  <c r="AD870" i="4"/>
  <c r="AC870" i="4"/>
  <c r="AJ870" i="4" s="1"/>
  <c r="AE1351" i="4"/>
  <c r="AI1247" i="4"/>
  <c r="AI1351" i="4" s="1"/>
  <c r="AC51" i="4"/>
  <c r="AJ51" i="4" s="1"/>
  <c r="AC723" i="4"/>
  <c r="AJ723" i="4" s="1"/>
  <c r="AC932" i="4"/>
  <c r="AJ932" i="4" s="1"/>
  <c r="AA1324" i="4"/>
  <c r="I1324" i="4" s="1"/>
  <c r="AC1220" i="4"/>
  <c r="AD1220" i="4" s="1"/>
  <c r="AE1308" i="4"/>
  <c r="AI1204" i="4"/>
  <c r="AI1308" i="4" s="1"/>
  <c r="AC784" i="4"/>
  <c r="AJ784" i="4" s="1"/>
  <c r="H1300" i="4"/>
  <c r="G1300" i="4" s="1"/>
  <c r="AC660" i="4"/>
  <c r="AJ660" i="4" s="1"/>
  <c r="AC1056" i="4"/>
  <c r="AJ1056" i="4" s="1"/>
  <c r="AC1048" i="4"/>
  <c r="AJ1048" i="4" s="1"/>
  <c r="AE1303" i="4"/>
  <c r="AI1199" i="4"/>
  <c r="AI1303" i="4" s="1"/>
  <c r="AC302" i="4"/>
  <c r="AJ302" i="4" s="1"/>
  <c r="AC714" i="4"/>
  <c r="AJ714" i="4" s="1"/>
  <c r="AA1322" i="4"/>
  <c r="AC1218" i="4"/>
  <c r="AE1314" i="4"/>
  <c r="AI1210" i="4"/>
  <c r="AI1314" i="4" s="1"/>
  <c r="AC146" i="4"/>
  <c r="AJ146" i="4" s="1"/>
  <c r="Y1335" i="4"/>
  <c r="AC71" i="4"/>
  <c r="AJ71" i="4" s="1"/>
  <c r="AC492" i="4"/>
  <c r="AJ492" i="4" s="1"/>
  <c r="G179" i="4"/>
  <c r="H75" i="4"/>
  <c r="AA75" i="4"/>
  <c r="AC480" i="4"/>
  <c r="AJ480" i="4" s="1"/>
  <c r="G167" i="4"/>
  <c r="H63" i="4"/>
  <c r="AA63" i="4"/>
  <c r="AC537" i="4"/>
  <c r="AJ537" i="4" s="1"/>
  <c r="AC1158" i="4"/>
  <c r="AC738" i="4"/>
  <c r="AJ738" i="4" s="1"/>
  <c r="AC111" i="4"/>
  <c r="AJ111" i="4" s="1"/>
  <c r="Y1338" i="4"/>
  <c r="Y1312" i="4"/>
  <c r="AC1249" i="4"/>
  <c r="AD1249" i="4" s="1"/>
  <c r="AE1289" i="4"/>
  <c r="AI1185" i="4"/>
  <c r="AI1289" i="4" s="1"/>
  <c r="AE1283" i="4"/>
  <c r="AI1179" i="4"/>
  <c r="AI1283" i="4" s="1"/>
  <c r="R33" i="5"/>
  <c r="D26" i="68"/>
  <c r="W313" i="45"/>
  <c r="V313" i="45"/>
  <c r="AC834" i="4"/>
  <c r="AJ834" i="4" s="1"/>
  <c r="AE1350" i="4"/>
  <c r="AI1246" i="4"/>
  <c r="AI1350" i="4" s="1"/>
  <c r="H1334" i="4"/>
  <c r="G1334" i="4" s="1"/>
  <c r="AE1326" i="4"/>
  <c r="AI1222" i="4"/>
  <c r="AI1326" i="4" s="1"/>
  <c r="AC262" i="4"/>
  <c r="AJ262" i="4" s="1"/>
  <c r="AA1282" i="4"/>
  <c r="AC1178" i="4"/>
  <c r="AD1178" i="4" s="1"/>
  <c r="AE1274" i="4"/>
  <c r="AI1170" i="4"/>
  <c r="AI1274" i="4" s="1"/>
  <c r="AE1279" i="4"/>
  <c r="AI1175" i="4"/>
  <c r="AI1279" i="4" s="1"/>
  <c r="AC1144" i="4"/>
  <c r="AJ1144" i="4" s="1"/>
  <c r="AC580" i="4"/>
  <c r="AJ580" i="4" s="1"/>
  <c r="AC976" i="4"/>
  <c r="AJ976" i="4" s="1"/>
  <c r="AE1280" i="4"/>
  <c r="AI1176" i="4"/>
  <c r="AI1280" i="4" s="1"/>
  <c r="AC756" i="4"/>
  <c r="AJ756" i="4" s="1"/>
  <c r="AC852" i="4"/>
  <c r="AJ852" i="4" s="1"/>
  <c r="AC848" i="4"/>
  <c r="AJ848" i="4" s="1"/>
  <c r="AC844" i="4"/>
  <c r="AJ844" i="4" s="1"/>
  <c r="AC840" i="4"/>
  <c r="AJ840" i="4" s="1"/>
  <c r="AC575" i="4"/>
  <c r="AJ575" i="4" s="1"/>
  <c r="H1275" i="4"/>
  <c r="G1275" i="4" s="1"/>
  <c r="I112" i="24"/>
  <c r="F112" i="24"/>
  <c r="AB97" i="19"/>
  <c r="X97" i="19"/>
  <c r="Z97" i="19"/>
  <c r="V97" i="19"/>
  <c r="U97" i="19"/>
  <c r="AA97" i="19"/>
  <c r="Y97" i="19"/>
  <c r="W97" i="19"/>
  <c r="BG97" i="19"/>
  <c r="C112" i="25" s="1"/>
  <c r="C96" i="18"/>
  <c r="BJ81" i="19"/>
  <c r="BK81" i="19" s="1"/>
  <c r="I96" i="22"/>
  <c r="F96" i="22"/>
  <c r="I68" i="25"/>
  <c r="F68" i="25"/>
  <c r="D68" i="25" s="1"/>
  <c r="F62" i="25"/>
  <c r="I62" i="25"/>
  <c r="F62" i="23"/>
  <c r="I62" i="23"/>
  <c r="F46" i="21"/>
  <c r="I46" i="21"/>
  <c r="AA31" i="19"/>
  <c r="W31" i="19"/>
  <c r="Z31" i="19"/>
  <c r="V31" i="19"/>
  <c r="Y31" i="19"/>
  <c r="U31" i="19"/>
  <c r="AB31" i="19"/>
  <c r="X31" i="19"/>
  <c r="BF31" i="19"/>
  <c r="C46" i="24" s="1"/>
  <c r="AL25" i="19"/>
  <c r="AH25" i="19"/>
  <c r="AK25" i="19"/>
  <c r="AG25" i="19"/>
  <c r="AJ25" i="19"/>
  <c r="AF25" i="19"/>
  <c r="AM25" i="19"/>
  <c r="AI25" i="19"/>
  <c r="CJ51" i="5"/>
  <c r="BC78" i="19"/>
  <c r="C93" i="21" s="1"/>
  <c r="H78" i="19"/>
  <c r="BB78" i="19" s="1"/>
  <c r="BD78" i="19"/>
  <c r="C93" i="22" s="1"/>
  <c r="BI42" i="19"/>
  <c r="H42" i="19"/>
  <c r="BG42" i="19" s="1"/>
  <c r="C57" i="25" s="1"/>
  <c r="AE1301" i="4"/>
  <c r="AI1197" i="4"/>
  <c r="AI1301" i="4" s="1"/>
  <c r="AC106" i="4"/>
  <c r="AJ106" i="4" s="1"/>
  <c r="AC502" i="4"/>
  <c r="AJ502" i="4" s="1"/>
  <c r="AC914" i="4"/>
  <c r="AJ914" i="4" s="1"/>
  <c r="AC1002" i="4"/>
  <c r="AJ1002" i="4" s="1"/>
  <c r="AC34" i="4"/>
  <c r="AJ34" i="4" s="1"/>
  <c r="T25" i="62"/>
  <c r="AG25" i="62"/>
  <c r="AP105" i="20"/>
  <c r="AL105" i="20"/>
  <c r="AH105" i="20"/>
  <c r="AO105" i="20"/>
  <c r="AK105" i="20"/>
  <c r="AG105" i="20"/>
  <c r="AN105" i="20"/>
  <c r="AF105" i="20"/>
  <c r="AM105" i="20"/>
  <c r="AE105" i="20"/>
  <c r="AJ105" i="20"/>
  <c r="AI105" i="20"/>
  <c r="AM89" i="20"/>
  <c r="AI89" i="20"/>
  <c r="AE89" i="20"/>
  <c r="AP89" i="20"/>
  <c r="AL89" i="20"/>
  <c r="AH89" i="20"/>
  <c r="AO89" i="20"/>
  <c r="AG89" i="20"/>
  <c r="AN89" i="20"/>
  <c r="AF89" i="20"/>
  <c r="AK89" i="20"/>
  <c r="AJ89" i="20"/>
  <c r="Y1327" i="4"/>
  <c r="AC177" i="4"/>
  <c r="AJ177" i="4" s="1"/>
  <c r="Y1313" i="4"/>
  <c r="AC161" i="4"/>
  <c r="AJ161" i="4" s="1"/>
  <c r="Y1297" i="4"/>
  <c r="AC145" i="4"/>
  <c r="AJ145" i="4" s="1"/>
  <c r="Y1281" i="4"/>
  <c r="AC129" i="4"/>
  <c r="AJ129" i="4" s="1"/>
  <c r="Y1265" i="4"/>
  <c r="AC1035" i="4"/>
  <c r="AJ1035" i="4" s="1"/>
  <c r="AC412" i="4"/>
  <c r="AJ412" i="4" s="1"/>
  <c r="AC248" i="4"/>
  <c r="AJ248" i="4" s="1"/>
  <c r="AC747" i="4"/>
  <c r="AJ747" i="4" s="1"/>
  <c r="AC1159" i="4"/>
  <c r="AD1159" i="4" s="1"/>
  <c r="AC948" i="4"/>
  <c r="AJ948" i="4" s="1"/>
  <c r="AC112" i="4"/>
  <c r="AJ112" i="4" s="1"/>
  <c r="AE1255" i="4"/>
  <c r="AI1151" i="4"/>
  <c r="AI1255" i="4" s="1"/>
  <c r="AE523" i="4"/>
  <c r="AI422" i="4"/>
  <c r="AI523" i="4" s="1"/>
  <c r="AC443" i="4"/>
  <c r="AJ443" i="4" s="1"/>
  <c r="I76" i="23"/>
  <c r="F76" i="23"/>
  <c r="I76" i="21"/>
  <c r="F76" i="21"/>
  <c r="D76" i="21" s="1"/>
  <c r="F58" i="22"/>
  <c r="I58" i="22"/>
  <c r="AK93" i="19"/>
  <c r="AG93" i="19"/>
  <c r="AM93" i="19"/>
  <c r="AI93" i="19"/>
  <c r="AH93" i="19"/>
  <c r="AF93" i="19"/>
  <c r="AL93" i="19"/>
  <c r="AJ93" i="19"/>
  <c r="Y1340" i="4"/>
  <c r="AE1313" i="4"/>
  <c r="AI1209" i="4"/>
  <c r="AI1313" i="4" s="1"/>
  <c r="AF38" i="5"/>
  <c r="AT38" i="5" s="1"/>
  <c r="BH38" i="5" s="1"/>
  <c r="BV38" i="5" s="1"/>
  <c r="CJ38" i="5" s="1"/>
  <c r="CX38" i="5" s="1"/>
  <c r="DL38" i="5" s="1"/>
  <c r="DZ38" i="5" s="1"/>
  <c r="EN38" i="5" s="1"/>
  <c r="FB38" i="5" s="1"/>
  <c r="FP38" i="5" s="1"/>
  <c r="AC1038" i="4"/>
  <c r="AJ1038" i="4" s="1"/>
  <c r="AC182" i="4"/>
  <c r="AJ182" i="4" s="1"/>
  <c r="AC50" i="4"/>
  <c r="AJ50" i="4" s="1"/>
  <c r="AC550" i="4"/>
  <c r="AJ550" i="4" s="1"/>
  <c r="CQ54" i="5"/>
  <c r="CC55" i="5"/>
  <c r="AC383" i="4"/>
  <c r="AJ383" i="4" s="1"/>
  <c r="AC356" i="4"/>
  <c r="AJ356" i="4" s="1"/>
  <c r="AJ23" i="19"/>
  <c r="AF23" i="19"/>
  <c r="AM23" i="19"/>
  <c r="AI23" i="19"/>
  <c r="AL23" i="19"/>
  <c r="AH23" i="19"/>
  <c r="AK23" i="19"/>
  <c r="AG23" i="19"/>
  <c r="AC19" i="4"/>
  <c r="AJ19" i="4" s="1"/>
  <c r="AC11" i="4"/>
  <c r="AJ11" i="4" s="1"/>
  <c r="AE10" i="16"/>
  <c r="AA10" i="16"/>
  <c r="W10" i="16"/>
  <c r="AH10" i="16"/>
  <c r="AD10" i="16"/>
  <c r="Z10" i="16"/>
  <c r="AG10" i="16"/>
  <c r="AC10" i="16"/>
  <c r="Y10" i="16"/>
  <c r="AF10" i="16"/>
  <c r="AB10" i="16"/>
  <c r="X10" i="16"/>
  <c r="AK6" i="19"/>
  <c r="AG6" i="19"/>
  <c r="AJ6" i="19"/>
  <c r="AF6" i="19"/>
  <c r="G107" i="19"/>
  <c r="G108" i="19" s="1"/>
  <c r="AM6" i="19"/>
  <c r="AI6" i="19"/>
  <c r="AL6" i="19"/>
  <c r="AH6" i="19"/>
  <c r="AC526" i="4"/>
  <c r="AD526" i="4" s="1"/>
  <c r="AC959" i="4"/>
  <c r="AJ959" i="4" s="1"/>
  <c r="C92" i="18"/>
  <c r="BJ77" i="19"/>
  <c r="BK77" i="19" s="1"/>
  <c r="I92" i="22"/>
  <c r="F92" i="22"/>
  <c r="BG71" i="19"/>
  <c r="C86" i="25" s="1"/>
  <c r="BE71" i="19"/>
  <c r="C86" i="23" s="1"/>
  <c r="F38" i="26"/>
  <c r="I38" i="26"/>
  <c r="C38" i="18"/>
  <c r="BJ23" i="19"/>
  <c r="BK23" i="19" s="1"/>
  <c r="AL81" i="19"/>
  <c r="AH81" i="19"/>
  <c r="AK81" i="19"/>
  <c r="AG81" i="19"/>
  <c r="AJ81" i="19"/>
  <c r="AF81" i="19"/>
  <c r="AM81" i="19"/>
  <c r="AI81" i="19"/>
  <c r="AC1237" i="4"/>
  <c r="AD1237" i="4" s="1"/>
  <c r="AA1173" i="4"/>
  <c r="AC1146" i="4"/>
  <c r="AJ1146" i="4" s="1"/>
  <c r="AC290" i="4"/>
  <c r="AJ290" i="4" s="1"/>
  <c r="AC62" i="4"/>
  <c r="AJ62" i="4" s="1"/>
  <c r="AC562" i="4"/>
  <c r="AJ562" i="4" s="1"/>
  <c r="AE1343" i="4"/>
  <c r="AI1239" i="4"/>
  <c r="AI1343" i="4" s="1"/>
  <c r="AN38" i="19"/>
  <c r="AO38" i="19" s="1"/>
  <c r="Y1349" i="4"/>
  <c r="AC1131" i="4"/>
  <c r="AJ1131" i="4" s="1"/>
  <c r="AC204" i="4"/>
  <c r="AJ204" i="4" s="1"/>
  <c r="AC60" i="4"/>
  <c r="AJ60" i="4" s="1"/>
  <c r="AA1284" i="4"/>
  <c r="AC1180" i="4"/>
  <c r="AD1180" i="4" s="1"/>
  <c r="AC236" i="4"/>
  <c r="AJ236" i="4" s="1"/>
  <c r="AA1268" i="4"/>
  <c r="AC1164" i="4"/>
  <c r="AD1164" i="4" s="1"/>
  <c r="AC744" i="4"/>
  <c r="AJ744" i="4" s="1"/>
  <c r="AE1260" i="4"/>
  <c r="AI1156" i="4"/>
  <c r="AI1260" i="4" s="1"/>
  <c r="AC247" i="4"/>
  <c r="AJ247" i="4" s="1"/>
  <c r="AC651" i="4"/>
  <c r="AJ651" i="4" s="1"/>
  <c r="BI29" i="19"/>
  <c r="BG29" i="19"/>
  <c r="C44" i="25" s="1"/>
  <c r="Y1304" i="4"/>
  <c r="Y1288" i="4"/>
  <c r="Y1272" i="4"/>
  <c r="Y1256" i="4"/>
  <c r="AC406" i="4"/>
  <c r="AJ406" i="4" s="1"/>
  <c r="AC486" i="4"/>
  <c r="AJ486" i="4" s="1"/>
  <c r="AC898" i="4"/>
  <c r="AJ898" i="4" s="1"/>
  <c r="AC1090" i="4"/>
  <c r="AC338" i="4"/>
  <c r="AJ338" i="4" s="1"/>
  <c r="AC308" i="4"/>
  <c r="AJ308" i="4" s="1"/>
  <c r="G139" i="4"/>
  <c r="AA35" i="4"/>
  <c r="H35" i="4"/>
  <c r="AI15" i="14"/>
  <c r="C15" i="19" s="1"/>
  <c r="AM11" i="14"/>
  <c r="B11" i="19"/>
  <c r="D11" i="19" s="1"/>
  <c r="AM7" i="14"/>
  <c r="B7" i="19"/>
  <c r="D7" i="19" s="1"/>
  <c r="AC171" i="4"/>
  <c r="AJ171" i="4" s="1"/>
  <c r="AM103" i="19"/>
  <c r="AI103" i="19"/>
  <c r="AK103" i="19"/>
  <c r="AG103" i="19"/>
  <c r="AF103" i="19"/>
  <c r="AL103" i="19"/>
  <c r="AJ103" i="19"/>
  <c r="AH103" i="19"/>
  <c r="BE65" i="19"/>
  <c r="C80" i="23" s="1"/>
  <c r="BC65" i="19"/>
  <c r="C80" i="21" s="1"/>
  <c r="Y41" i="19"/>
  <c r="U41" i="19"/>
  <c r="AB41" i="19"/>
  <c r="X41" i="19"/>
  <c r="AA41" i="19"/>
  <c r="W41" i="19"/>
  <c r="Z41" i="19"/>
  <c r="V41" i="19"/>
  <c r="BF41" i="19"/>
  <c r="C56" i="24" s="1"/>
  <c r="BH41" i="19"/>
  <c r="C56" i="26" s="1"/>
  <c r="D68" i="19"/>
  <c r="D76" i="19"/>
  <c r="H98" i="19"/>
  <c r="BD98" i="19" s="1"/>
  <c r="C113" i="22" s="1"/>
  <c r="AC1006" i="4"/>
  <c r="AJ1006" i="4" s="1"/>
  <c r="H1306" i="4"/>
  <c r="G1306" i="4" s="1"/>
  <c r="AA1290" i="4"/>
  <c r="I1290" i="4" s="1"/>
  <c r="AC1186" i="4"/>
  <c r="AE1335" i="4"/>
  <c r="AI1231" i="4"/>
  <c r="AI1335" i="4" s="1"/>
  <c r="AA1331" i="4"/>
  <c r="AC1227" i="4"/>
  <c r="AF40" i="5"/>
  <c r="AT40" i="5" s="1"/>
  <c r="BH40" i="5" s="1"/>
  <c r="BV40" i="5" s="1"/>
  <c r="CJ40" i="5" s="1"/>
  <c r="CX40" i="5" s="1"/>
  <c r="DL40" i="5" s="1"/>
  <c r="DZ40" i="5" s="1"/>
  <c r="EN40" i="5" s="1"/>
  <c r="FB40" i="5" s="1"/>
  <c r="FP40" i="5" s="1"/>
  <c r="AE1352" i="4"/>
  <c r="AI1248" i="4"/>
  <c r="AI1352" i="4" s="1"/>
  <c r="H1336" i="4"/>
  <c r="G1336" i="4" s="1"/>
  <c r="AA1224" i="4"/>
  <c r="H1316" i="4"/>
  <c r="G1316" i="4" s="1"/>
  <c r="AC126" i="4"/>
  <c r="AJ126" i="4" s="1"/>
  <c r="AE1269" i="4"/>
  <c r="AI1165" i="4"/>
  <c r="AI1269" i="4" s="1"/>
  <c r="AC327" i="4"/>
  <c r="AJ327" i="4" s="1"/>
  <c r="H1261" i="4"/>
  <c r="G1261" i="4" s="1"/>
  <c r="AC263" i="4"/>
  <c r="AJ263" i="4" s="1"/>
  <c r="W176" i="16"/>
  <c r="K16" i="5" s="1"/>
  <c r="AB176" i="16"/>
  <c r="CC16" i="5" s="1"/>
  <c r="CE16" i="5" s="1"/>
  <c r="AG176" i="16"/>
  <c r="EU16" i="5" s="1"/>
  <c r="BI37" i="19"/>
  <c r="BG37" i="19"/>
  <c r="C52" i="25" s="1"/>
  <c r="AF41" i="5"/>
  <c r="AT41" i="5" s="1"/>
  <c r="BH41" i="5" s="1"/>
  <c r="BV41" i="5" s="1"/>
  <c r="CJ41" i="5" s="1"/>
  <c r="CX41" i="5" s="1"/>
  <c r="DL41" i="5" s="1"/>
  <c r="DZ41" i="5" s="1"/>
  <c r="EN41" i="5" s="1"/>
  <c r="FB41" i="5" s="1"/>
  <c r="FP41" i="5" s="1"/>
  <c r="AA1225" i="4"/>
  <c r="CX45" i="5"/>
  <c r="AC274" i="4"/>
  <c r="AJ274" i="4" s="1"/>
  <c r="AE1310" i="4"/>
  <c r="AI1206" i="4"/>
  <c r="AI1310" i="4" s="1"/>
  <c r="AC54" i="4"/>
  <c r="AJ54" i="4" s="1"/>
  <c r="AC38" i="4"/>
  <c r="AJ38" i="4" s="1"/>
  <c r="H1320" i="4"/>
  <c r="G1320" i="4" s="1"/>
  <c r="H1312" i="4"/>
  <c r="G1312" i="4" s="1"/>
  <c r="AA1192" i="4"/>
  <c r="AE1288" i="4"/>
  <c r="AI1184" i="4"/>
  <c r="AI1288" i="4" s="1"/>
  <c r="AC230" i="4"/>
  <c r="AJ230" i="4" s="1"/>
  <c r="AC226" i="4"/>
  <c r="AJ226" i="4" s="1"/>
  <c r="AC222" i="4"/>
  <c r="AJ222" i="4" s="1"/>
  <c r="AC218" i="4"/>
  <c r="AJ218" i="4" s="1"/>
  <c r="AE1327" i="4"/>
  <c r="AI1223" i="4"/>
  <c r="AI1327" i="4" s="1"/>
  <c r="AC783" i="4"/>
  <c r="AJ783" i="4" s="1"/>
  <c r="AC559" i="4"/>
  <c r="AJ559" i="4" s="1"/>
  <c r="F106" i="24"/>
  <c r="I106" i="24"/>
  <c r="F106" i="25"/>
  <c r="I106" i="25"/>
  <c r="F54" i="26"/>
  <c r="I54" i="26"/>
  <c r="BB39" i="19"/>
  <c r="AK97" i="19"/>
  <c r="AG97" i="19"/>
  <c r="AM97" i="19"/>
  <c r="AI97" i="19"/>
  <c r="AL97" i="19"/>
  <c r="AJ97" i="19"/>
  <c r="AH97" i="19"/>
  <c r="AF97" i="19"/>
  <c r="AA1189" i="4"/>
  <c r="AC1118" i="4"/>
  <c r="AJ1118" i="4" s="1"/>
  <c r="AC802" i="4"/>
  <c r="AJ802" i="4" s="1"/>
  <c r="H1318" i="4"/>
  <c r="G1318" i="4" s="1"/>
  <c r="AC994" i="4"/>
  <c r="AJ994" i="4" s="1"/>
  <c r="AC242" i="4"/>
  <c r="AJ242" i="4" s="1"/>
  <c r="AC147" i="4"/>
  <c r="AJ147" i="4" s="1"/>
  <c r="AA1347" i="4"/>
  <c r="AC1243" i="4"/>
  <c r="AD1243" i="4" s="1"/>
  <c r="AA1258" i="4"/>
  <c r="AC1154" i="4"/>
  <c r="AD1154" i="4" s="1"/>
  <c r="AC1067" i="4"/>
  <c r="AJ1067" i="4" s="1"/>
  <c r="H35" i="19"/>
  <c r="BC35" i="19"/>
  <c r="C50" i="21" s="1"/>
  <c r="Y1326" i="4"/>
  <c r="Y1310" i="4"/>
  <c r="Y315" i="4"/>
  <c r="Y731" i="4"/>
  <c r="Y1147" i="4"/>
  <c r="AA1217" i="4"/>
  <c r="AO33" i="5"/>
  <c r="AE1354" i="4"/>
  <c r="AI1250" i="4"/>
  <c r="AI1354" i="4" s="1"/>
  <c r="H1338" i="4"/>
  <c r="G1338" i="4" s="1"/>
  <c r="AA1226" i="4"/>
  <c r="AC666" i="4"/>
  <c r="AJ666" i="4" s="1"/>
  <c r="R104" i="20"/>
  <c r="AP102" i="20"/>
  <c r="AP104" i="20" s="1"/>
  <c r="AL102" i="20"/>
  <c r="AL104" i="20" s="1"/>
  <c r="AH102" i="20"/>
  <c r="AH104" i="20" s="1"/>
  <c r="AO102" i="20"/>
  <c r="AO104" i="20" s="1"/>
  <c r="AK102" i="20"/>
  <c r="AK104" i="20" s="1"/>
  <c r="AG102" i="20"/>
  <c r="AG104" i="20" s="1"/>
  <c r="AJ102" i="20"/>
  <c r="AJ104" i="20" s="1"/>
  <c r="AI102" i="20"/>
  <c r="AI104" i="20" s="1"/>
  <c r="AM102" i="20"/>
  <c r="AM104" i="20" s="1"/>
  <c r="AF102" i="20"/>
  <c r="AF104" i="20" s="1"/>
  <c r="AE102" i="20"/>
  <c r="AN102" i="20"/>
  <c r="AN104" i="20" s="1"/>
  <c r="AA1172" i="4"/>
  <c r="AC22" i="4"/>
  <c r="AJ22" i="4" s="1"/>
  <c r="AC14" i="4"/>
  <c r="AJ14" i="4" s="1"/>
  <c r="AA239" i="4"/>
  <c r="H239" i="4"/>
  <c r="H255" i="4"/>
  <c r="AA255" i="4"/>
  <c r="AA271" i="4"/>
  <c r="H271" i="4"/>
  <c r="H509" i="4"/>
  <c r="AA509" i="4"/>
  <c r="AA1341" i="4" s="1"/>
  <c r="H343" i="4"/>
  <c r="AA343" i="4"/>
  <c r="AA359" i="4"/>
  <c r="H359" i="4"/>
  <c r="H375" i="4"/>
  <c r="AA375" i="4"/>
  <c r="AA407" i="4"/>
  <c r="H407" i="4"/>
  <c r="H415" i="4"/>
  <c r="AA415" i="4"/>
  <c r="AA451" i="4"/>
  <c r="H451" i="4"/>
  <c r="AA459" i="4"/>
  <c r="H459" i="4"/>
  <c r="H467" i="4"/>
  <c r="AA467" i="4"/>
  <c r="H475" i="4"/>
  <c r="AA475" i="4"/>
  <c r="AA491" i="4"/>
  <c r="H491" i="4"/>
  <c r="H517" i="4"/>
  <c r="AA517" i="4"/>
  <c r="AA545" i="4"/>
  <c r="H545" i="4"/>
  <c r="AA553" i="4"/>
  <c r="H553" i="4"/>
  <c r="AA561" i="4"/>
  <c r="H561" i="4"/>
  <c r="H569" i="4"/>
  <c r="H1297" i="4" s="1"/>
  <c r="G1297" i="4" s="1"/>
  <c r="AA569" i="4"/>
  <c r="H577" i="4"/>
  <c r="AA577" i="4"/>
  <c r="AA585" i="4"/>
  <c r="H585" i="4"/>
  <c r="AA593" i="4"/>
  <c r="H593" i="4"/>
  <c r="AA601" i="4"/>
  <c r="H601" i="4"/>
  <c r="AA609" i="4"/>
  <c r="H609" i="4"/>
  <c r="AA617" i="4"/>
  <c r="H617" i="4"/>
  <c r="AA625" i="4"/>
  <c r="H625" i="4"/>
  <c r="AA653" i="4"/>
  <c r="H653" i="4"/>
  <c r="AA661" i="4"/>
  <c r="H661" i="4"/>
  <c r="AA669" i="4"/>
  <c r="H669" i="4"/>
  <c r="AA677" i="4"/>
  <c r="H677" i="4"/>
  <c r="AA685" i="4"/>
  <c r="H685" i="4"/>
  <c r="H693" i="4"/>
  <c r="AA693" i="4"/>
  <c r="H701" i="4"/>
  <c r="AA701" i="4"/>
  <c r="H719" i="4"/>
  <c r="AA719" i="4"/>
  <c r="AA727" i="4"/>
  <c r="H727" i="4"/>
  <c r="H763" i="4"/>
  <c r="AA763" i="4"/>
  <c r="AA771" i="4"/>
  <c r="H771" i="4"/>
  <c r="AA779" i="4"/>
  <c r="H779" i="4"/>
  <c r="H787" i="4"/>
  <c r="AA787" i="4"/>
  <c r="H803" i="4"/>
  <c r="AA803" i="4"/>
  <c r="H863" i="4"/>
  <c r="AA863" i="4"/>
  <c r="H879" i="4"/>
  <c r="AA879" i="4"/>
  <c r="AA895" i="4"/>
  <c r="H895" i="4"/>
  <c r="AA927" i="4"/>
  <c r="H927" i="4"/>
  <c r="AA935" i="4"/>
  <c r="H935" i="4"/>
  <c r="AA971" i="4"/>
  <c r="H971" i="4"/>
  <c r="H979" i="4"/>
  <c r="AA979" i="4"/>
  <c r="AA987" i="4"/>
  <c r="H987" i="4"/>
  <c r="AA995" i="4"/>
  <c r="H995" i="4"/>
  <c r="H1011" i="4"/>
  <c r="AA1011" i="4"/>
  <c r="H1071" i="4"/>
  <c r="H1279" i="4" s="1"/>
  <c r="G1279" i="4" s="1"/>
  <c r="AA1071" i="4"/>
  <c r="AA1087" i="4"/>
  <c r="H1087" i="4"/>
  <c r="H1295" i="4" s="1"/>
  <c r="G1295" i="4" s="1"/>
  <c r="H1103" i="4"/>
  <c r="AA1103" i="4"/>
  <c r="AA1135" i="4"/>
  <c r="H1135" i="4"/>
  <c r="H1143" i="4"/>
  <c r="AA1143" i="4"/>
  <c r="AA1150" i="4"/>
  <c r="H74" i="19"/>
  <c r="BB74" i="19" s="1"/>
  <c r="C64" i="18"/>
  <c r="BJ49" i="19"/>
  <c r="BK49" i="19" s="1"/>
  <c r="I64" i="22"/>
  <c r="F64" i="22"/>
  <c r="D64" i="22" s="1"/>
  <c r="F114" i="26"/>
  <c r="I114" i="26"/>
  <c r="Z99" i="19"/>
  <c r="V99" i="19"/>
  <c r="AB99" i="19"/>
  <c r="X99" i="19"/>
  <c r="AA99" i="19"/>
  <c r="Y99" i="19"/>
  <c r="W99" i="19"/>
  <c r="U99" i="19"/>
  <c r="AL57" i="19"/>
  <c r="AH57" i="19"/>
  <c r="AK57" i="19"/>
  <c r="AG57" i="19"/>
  <c r="AJ57" i="19"/>
  <c r="AF57" i="19"/>
  <c r="AM57" i="19"/>
  <c r="AI57" i="19"/>
  <c r="D100" i="19"/>
  <c r="D56" i="19"/>
  <c r="DL28" i="62"/>
  <c r="DZ28" i="62" s="1"/>
  <c r="V1355" i="4"/>
  <c r="V1356" i="4" s="1"/>
  <c r="V106" i="20"/>
  <c r="V107" i="20" s="1"/>
  <c r="V90" i="20"/>
  <c r="V91" i="20" s="1"/>
  <c r="V42" i="20"/>
  <c r="V43" i="20" s="1"/>
  <c r="V26" i="20"/>
  <c r="V27" i="20" s="1"/>
  <c r="V74" i="20"/>
  <c r="V75" i="20" s="1"/>
  <c r="V58" i="20"/>
  <c r="V59" i="20" s="1"/>
  <c r="AA106" i="20"/>
  <c r="AA107" i="20" s="1"/>
  <c r="AA74" i="20"/>
  <c r="AA75" i="20" s="1"/>
  <c r="AA90" i="20"/>
  <c r="AA91" i="20" s="1"/>
  <c r="AA58" i="20"/>
  <c r="AA59" i="20" s="1"/>
  <c r="AA42" i="20"/>
  <c r="AA43" i="20" s="1"/>
  <c r="AA26" i="20"/>
  <c r="AA27" i="20" s="1"/>
  <c r="AB106" i="20"/>
  <c r="AB107" i="20" s="1"/>
  <c r="AB58" i="20"/>
  <c r="AB59" i="20" s="1"/>
  <c r="AB42" i="20"/>
  <c r="AB43" i="20" s="1"/>
  <c r="AB26" i="20"/>
  <c r="AB27" i="20" s="1"/>
  <c r="AB90" i="20"/>
  <c r="AB91" i="20" s="1"/>
  <c r="AB74" i="20"/>
  <c r="AB75" i="20" s="1"/>
  <c r="Y1311" i="4"/>
  <c r="Y1295" i="4"/>
  <c r="Y1279" i="4"/>
  <c r="Y1263" i="4"/>
  <c r="D4" i="25"/>
  <c r="H107" i="4"/>
  <c r="G107" i="4" s="1"/>
  <c r="AE939" i="4"/>
  <c r="AI838" i="4"/>
  <c r="AI939" i="4" s="1"/>
  <c r="AE1281" i="4"/>
  <c r="AI1177" i="4"/>
  <c r="AI1281" i="4" s="1"/>
  <c r="AG1281" i="4" s="1"/>
  <c r="Z59" i="20"/>
  <c r="Z107" i="20"/>
  <c r="AE211" i="4"/>
  <c r="AI110" i="4"/>
  <c r="AI211" i="4" s="1"/>
  <c r="B14" i="26"/>
  <c r="B14" i="25"/>
  <c r="B14" i="24"/>
  <c r="B14" i="23"/>
  <c r="B14" i="22"/>
  <c r="B14" i="18"/>
  <c r="B14" i="21"/>
  <c r="AE22" i="16"/>
  <c r="AA22" i="16"/>
  <c r="W22" i="16"/>
  <c r="AH22" i="16"/>
  <c r="AD22" i="16"/>
  <c r="Z22" i="16"/>
  <c r="AG22" i="16"/>
  <c r="AC22" i="16"/>
  <c r="Y22" i="16"/>
  <c r="AF22" i="16"/>
  <c r="AB22" i="16"/>
  <c r="X22" i="16"/>
  <c r="H73" i="19"/>
  <c r="BB73" i="19" s="1"/>
  <c r="F90" i="26"/>
  <c r="I90" i="26"/>
  <c r="C90" i="18"/>
  <c r="BJ75" i="19"/>
  <c r="BK75" i="19" s="1"/>
  <c r="F82" i="22"/>
  <c r="I82" i="22"/>
  <c r="AA519" i="45"/>
  <c r="AA517" i="45"/>
  <c r="AA513" i="45"/>
  <c r="AA509" i="45"/>
  <c r="AC142" i="4"/>
  <c r="AJ142" i="4" s="1"/>
  <c r="AC103" i="4"/>
  <c r="AJ103" i="4" s="1"/>
  <c r="Y1347" i="4"/>
  <c r="AN66" i="19"/>
  <c r="AO66" i="19" s="1"/>
  <c r="AE1264" i="4"/>
  <c r="AI1160" i="4"/>
  <c r="AI1264" i="4" s="1"/>
  <c r="H67" i="4"/>
  <c r="H1315" i="4" s="1"/>
  <c r="G1315" i="4" s="1"/>
  <c r="I72" i="25"/>
  <c r="F72" i="25"/>
  <c r="D72" i="25" s="1"/>
  <c r="H59" i="19"/>
  <c r="BB59" i="19" s="1"/>
  <c r="AL85" i="19"/>
  <c r="AH85" i="19"/>
  <c r="AK85" i="19"/>
  <c r="AG85" i="19"/>
  <c r="AJ85" i="19"/>
  <c r="AF85" i="19"/>
  <c r="AM85" i="19"/>
  <c r="AI85" i="19"/>
  <c r="Y1298" i="4"/>
  <c r="Y1282" i="4"/>
  <c r="Y1266" i="4"/>
  <c r="AN34" i="19"/>
  <c r="AO34" i="19" s="1"/>
  <c r="BE69" i="19"/>
  <c r="C84" i="23" s="1"/>
  <c r="BC69" i="19"/>
  <c r="C84" i="21" s="1"/>
  <c r="F98" i="26"/>
  <c r="I98" i="26"/>
  <c r="C98" i="18"/>
  <c r="BJ83" i="19"/>
  <c r="BK83" i="19" s="1"/>
  <c r="I48" i="25"/>
  <c r="F48" i="25"/>
  <c r="AI18" i="14"/>
  <c r="C18" i="19" s="1"/>
  <c r="AM14" i="14"/>
  <c r="B14" i="19"/>
  <c r="D14" i="19" s="1"/>
  <c r="AM19" i="14"/>
  <c r="B19" i="19"/>
  <c r="D19" i="19" s="1"/>
  <c r="AG21" i="16"/>
  <c r="AC21" i="16"/>
  <c r="Y21" i="16"/>
  <c r="AF21" i="16"/>
  <c r="AB21" i="16"/>
  <c r="X21" i="16"/>
  <c r="AE21" i="16"/>
  <c r="AA21" i="16"/>
  <c r="W21" i="16"/>
  <c r="AH21" i="16"/>
  <c r="AD21" i="16"/>
  <c r="Z21" i="16"/>
  <c r="AB169" i="49"/>
  <c r="AD43" i="31"/>
  <c r="AD132" i="49"/>
  <c r="AD146" i="49"/>
  <c r="W662" i="45"/>
  <c r="AD131" i="31"/>
  <c r="AB92" i="31"/>
  <c r="AD202" i="49"/>
  <c r="V205" i="49"/>
  <c r="AB99" i="49"/>
  <c r="AD37" i="31"/>
  <c r="AD187" i="49"/>
  <c r="AB39" i="49"/>
  <c r="AB49" i="49"/>
  <c r="AB79" i="49"/>
  <c r="AB214" i="31"/>
  <c r="AD213" i="31"/>
  <c r="AB654" i="45"/>
  <c r="H254" i="31"/>
  <c r="AF654" i="45"/>
  <c r="AD63" i="31"/>
  <c r="AB162" i="31"/>
  <c r="R253" i="49"/>
  <c r="AD662" i="45"/>
  <c r="AD82" i="49"/>
  <c r="R247" i="49"/>
  <c r="AD66" i="49"/>
  <c r="AD179" i="31"/>
  <c r="AB111" i="49"/>
  <c r="AB57" i="49"/>
  <c r="AB130" i="31"/>
  <c r="AD162" i="49"/>
  <c r="AB155" i="49"/>
  <c r="AD215" i="49"/>
  <c r="AD205" i="49"/>
  <c r="R233" i="49"/>
  <c r="AD185" i="31"/>
  <c r="AD195" i="31"/>
  <c r="AB33" i="49"/>
  <c r="AD183" i="31"/>
  <c r="AB166" i="31"/>
  <c r="AB160" i="31"/>
  <c r="AC204" i="49"/>
  <c r="AD125" i="31"/>
  <c r="AF662" i="45"/>
  <c r="AD30" i="49"/>
  <c r="AB73" i="49"/>
  <c r="G254" i="31"/>
  <c r="AD40" i="49"/>
  <c r="AA237" i="31"/>
  <c r="AD130" i="49"/>
  <c r="AD38" i="49"/>
  <c r="AC236" i="31"/>
  <c r="AB143" i="49"/>
  <c r="AC232" i="31"/>
  <c r="AD23" i="31"/>
  <c r="AB105" i="49"/>
  <c r="AB66" i="31"/>
  <c r="AB14" i="31"/>
  <c r="AD191" i="31"/>
  <c r="AD205" i="31"/>
  <c r="AD229" i="31"/>
  <c r="AB102" i="31"/>
  <c r="AB12" i="31"/>
  <c r="P254" i="31"/>
  <c r="AD61" i="31"/>
  <c r="AD15" i="31"/>
  <c r="AD203" i="31"/>
  <c r="AC252" i="31"/>
  <c r="AB60" i="31"/>
  <c r="R229" i="49"/>
  <c r="AD170" i="49"/>
  <c r="AB67" i="49"/>
  <c r="AD14" i="49"/>
  <c r="AB151" i="49"/>
  <c r="AB65" i="49"/>
  <c r="AA247" i="31"/>
  <c r="AB254" i="31"/>
  <c r="AD13" i="31"/>
  <c r="AD195" i="49"/>
  <c r="AD175" i="31"/>
  <c r="AC230" i="31"/>
  <c r="U202" i="49"/>
  <c r="R223" i="49"/>
  <c r="R225" i="49"/>
  <c r="AB138" i="31"/>
  <c r="AB139" i="49"/>
  <c r="I206" i="49"/>
  <c r="AD18" i="49"/>
  <c r="AB184" i="31"/>
  <c r="AB115" i="49"/>
  <c r="AB50" i="31"/>
  <c r="AD27" i="31"/>
  <c r="AB61" i="49"/>
  <c r="AD215" i="31"/>
  <c r="AB82" i="31"/>
  <c r="AB70" i="31"/>
  <c r="T254" i="31"/>
  <c r="AB142" i="31"/>
  <c r="U663" i="45"/>
  <c r="AB182" i="31"/>
  <c r="AD41" i="31"/>
  <c r="R271" i="49"/>
  <c r="AB128" i="31"/>
  <c r="AD221" i="31"/>
  <c r="AB23" i="49"/>
  <c r="AD227" i="31"/>
  <c r="AB34" i="31"/>
  <c r="R243" i="49"/>
  <c r="AD67" i="31"/>
  <c r="R227" i="49"/>
  <c r="AB53" i="49"/>
  <c r="AC200" i="49"/>
  <c r="AB134" i="31"/>
  <c r="AB37" i="49"/>
  <c r="AD161" i="31"/>
  <c r="AD173" i="31"/>
  <c r="Z663" i="45"/>
  <c r="P264" i="49"/>
  <c r="AB93" i="49"/>
  <c r="AB114" i="31"/>
  <c r="O254" i="31"/>
  <c r="AD60" i="49"/>
  <c r="AC244" i="31"/>
  <c r="AB10" i="31"/>
  <c r="AB154" i="31"/>
  <c r="H266" i="49"/>
  <c r="R273" i="49"/>
  <c r="AD181" i="31"/>
  <c r="AD124" i="49"/>
  <c r="AD167" i="31"/>
  <c r="AA253" i="31"/>
  <c r="AD191" i="49"/>
  <c r="AB118" i="31"/>
  <c r="AD75" i="31"/>
  <c r="AB25" i="49"/>
  <c r="R241" i="49"/>
  <c r="AD150" i="49"/>
  <c r="AA243" i="31"/>
  <c r="AB51" i="49"/>
  <c r="AD120" i="49"/>
  <c r="AB121" i="49"/>
  <c r="AB181" i="49"/>
  <c r="AB106" i="31"/>
  <c r="AA663" i="45"/>
  <c r="Y206" i="49"/>
  <c r="W654" i="45"/>
  <c r="AD182" i="49"/>
  <c r="AB204" i="31"/>
  <c r="AD203" i="49"/>
  <c r="R259" i="49"/>
  <c r="AB165" i="49"/>
  <c r="AB52" i="31"/>
  <c r="AC242" i="31"/>
  <c r="AD147" i="31"/>
  <c r="AB137" i="49"/>
  <c r="AB94" i="31"/>
  <c r="AB91" i="49"/>
  <c r="R237" i="49"/>
  <c r="AD211" i="31"/>
  <c r="AB101" i="49"/>
  <c r="AD31" i="31"/>
  <c r="X655" i="45"/>
  <c r="AD180" i="49"/>
  <c r="AB129" i="49"/>
  <c r="AA235" i="31"/>
  <c r="AB226" i="31"/>
  <c r="AB81" i="49"/>
  <c r="AD58" i="49"/>
  <c r="AB40" i="31"/>
  <c r="AC250" i="31"/>
  <c r="AD69" i="31"/>
  <c r="Y655" i="45"/>
  <c r="AD115" i="31"/>
  <c r="AD187" i="31"/>
  <c r="L274" i="49"/>
  <c r="R251" i="49"/>
  <c r="AB171" i="49"/>
  <c r="AB120" i="31"/>
  <c r="AD166" i="49"/>
  <c r="AD48" i="49"/>
  <c r="AD92" i="49"/>
  <c r="R221" i="49"/>
  <c r="AB112" i="31"/>
  <c r="AD36" i="49"/>
  <c r="AA255" i="31"/>
  <c r="AB135" i="49"/>
  <c r="AD193" i="49"/>
  <c r="AD95" i="31"/>
  <c r="AD16" i="49"/>
  <c r="AB132" i="31"/>
  <c r="AB113" i="49"/>
  <c r="AC663" i="45"/>
  <c r="AD201" i="31"/>
  <c r="AD73" i="31"/>
  <c r="Z655" i="45"/>
  <c r="AB150" i="31"/>
  <c r="AD56" i="49"/>
  <c r="AD155" i="31"/>
  <c r="AD169" i="31"/>
  <c r="AD25" i="31"/>
  <c r="U655" i="45"/>
  <c r="AD138" i="49"/>
  <c r="AD159" i="31"/>
  <c r="AD163" i="31"/>
  <c r="AB180" i="31"/>
  <c r="X654" i="45"/>
  <c r="AB167" i="49"/>
  <c r="AB192" i="31"/>
  <c r="W663" i="45"/>
  <c r="AD50" i="49"/>
  <c r="AD99" i="31"/>
  <c r="AB75" i="49"/>
  <c r="X663" i="45"/>
  <c r="AB88" i="31"/>
  <c r="AD34" i="49"/>
  <c r="L254" i="31"/>
  <c r="AB131" i="49"/>
  <c r="AD663" i="45"/>
  <c r="V655" i="45"/>
  <c r="AB31" i="49"/>
  <c r="AD143" i="31"/>
  <c r="AA231" i="31"/>
  <c r="AD101" i="31"/>
  <c r="V654" i="45"/>
  <c r="AB76" i="31"/>
  <c r="AB202" i="31"/>
  <c r="AD201" i="49"/>
  <c r="AB152" i="31"/>
  <c r="AD103" i="31"/>
  <c r="AB29" i="49"/>
  <c r="AB133" i="49"/>
  <c r="W254" i="31"/>
  <c r="AB183" i="49"/>
  <c r="R255" i="49"/>
  <c r="AB97" i="49"/>
  <c r="AB96" i="31"/>
  <c r="AD225" i="31"/>
  <c r="AD86" i="49"/>
  <c r="AD140" i="49"/>
  <c r="R263" i="49"/>
  <c r="AB16" i="31"/>
  <c r="AD81" i="31"/>
  <c r="AB110" i="31"/>
  <c r="AD74" i="49"/>
  <c r="AA251" i="31"/>
  <c r="AC254" i="31"/>
  <c r="AB11" i="49"/>
  <c r="AD118" i="49"/>
  <c r="AD78" i="49"/>
  <c r="AD29" i="31"/>
  <c r="AB36" i="31"/>
  <c r="Z265" i="49"/>
  <c r="V662" i="45"/>
  <c r="AD79" i="31"/>
  <c r="AD145" i="31"/>
  <c r="AD32" i="49"/>
  <c r="AB189" i="49"/>
  <c r="AD122" i="49"/>
  <c r="AD19" i="31"/>
  <c r="AB32" i="31"/>
  <c r="J265" i="49"/>
  <c r="R269" i="49"/>
  <c r="W655" i="45"/>
  <c r="AD87" i="31"/>
  <c r="AC655" i="45"/>
  <c r="AB200" i="31"/>
  <c r="AB206" i="31"/>
  <c r="AB210" i="31"/>
  <c r="AE655" i="45"/>
  <c r="AB176" i="31"/>
  <c r="AB145" i="49"/>
  <c r="AB170" i="31"/>
  <c r="AB141" i="49"/>
  <c r="AB64" i="31"/>
  <c r="AB68" i="31"/>
  <c r="AD165" i="31"/>
  <c r="AB185" i="49"/>
  <c r="AD24" i="49"/>
  <c r="Z654" i="45"/>
  <c r="Y663" i="45"/>
  <c r="AD53" i="31"/>
  <c r="AD110" i="49"/>
  <c r="AD93" i="31"/>
  <c r="AD96" i="49"/>
  <c r="AD189" i="31"/>
  <c r="AB123" i="49"/>
  <c r="AB86" i="31"/>
  <c r="U662" i="45"/>
  <c r="AD655" i="45"/>
  <c r="AA207" i="49"/>
  <c r="AD142" i="49"/>
  <c r="AB159" i="49"/>
  <c r="AB43" i="49"/>
  <c r="AC662" i="45"/>
  <c r="AD186" i="49"/>
  <c r="AB663" i="45"/>
  <c r="AD55" i="31"/>
  <c r="AD45" i="31"/>
  <c r="AB174" i="31"/>
  <c r="AB95" i="49"/>
  <c r="AD90" i="49"/>
  <c r="AB69" i="49"/>
  <c r="AD184" i="49"/>
  <c r="AB83" i="49"/>
  <c r="AD39" i="31"/>
  <c r="AD91" i="31"/>
  <c r="AD68" i="49"/>
  <c r="AD117" i="31"/>
  <c r="AB220" i="31"/>
  <c r="AD100" i="49"/>
  <c r="AB13" i="49"/>
  <c r="AD33" i="31"/>
  <c r="R249" i="49"/>
  <c r="AC234" i="31"/>
  <c r="AB72" i="31"/>
  <c r="Q206" i="49"/>
  <c r="AD22" i="49"/>
  <c r="AB194" i="31"/>
  <c r="AD94" i="49"/>
  <c r="AA655" i="45"/>
  <c r="AD209" i="31"/>
  <c r="AB104" i="31"/>
  <c r="AB27" i="49"/>
  <c r="AB212" i="31"/>
  <c r="V663" i="45"/>
  <c r="AB216" i="31"/>
  <c r="AB42" i="31"/>
  <c r="AD154" i="49"/>
  <c r="AD72" i="49"/>
  <c r="AD123" i="31"/>
  <c r="M205" i="49"/>
  <c r="AC654" i="45"/>
  <c r="AD76" i="49"/>
  <c r="AD141" i="31"/>
  <c r="X662" i="45"/>
  <c r="AB21" i="49"/>
  <c r="AD211" i="49"/>
  <c r="AE662" i="45"/>
  <c r="K289" i="31"/>
  <c r="AD97" i="31"/>
  <c r="AB54" i="31"/>
  <c r="AB119" i="49"/>
  <c r="Z662" i="45"/>
  <c r="AD28" i="49"/>
  <c r="AB84" i="31"/>
  <c r="AA245" i="31"/>
  <c r="AD112" i="49"/>
  <c r="AB63" i="49"/>
  <c r="AD193" i="31"/>
  <c r="AD190" i="49"/>
  <c r="AF655" i="45"/>
  <c r="AB224" i="31"/>
  <c r="R245" i="49"/>
  <c r="AD217" i="31"/>
  <c r="AA241" i="31"/>
  <c r="AB655" i="45"/>
  <c r="AB190" i="31"/>
  <c r="AE654" i="45"/>
  <c r="AD111" i="31"/>
  <c r="AD105" i="31"/>
  <c r="AD121" i="31"/>
  <c r="T272" i="49"/>
  <c r="AB222" i="31"/>
  <c r="AD52" i="49"/>
  <c r="AD151" i="31"/>
  <c r="AD57" i="31"/>
  <c r="AD172" i="49"/>
  <c r="AD85" i="31"/>
  <c r="AB87" i="49"/>
  <c r="AD44" i="49"/>
  <c r="AB45" i="49"/>
  <c r="AD17" i="31"/>
  <c r="AD83" i="31"/>
  <c r="AB74" i="31"/>
  <c r="AD65" i="31"/>
  <c r="AA239" i="31"/>
  <c r="Y654" i="45"/>
  <c r="AB17" i="49"/>
  <c r="AD64" i="49"/>
  <c r="AD654" i="45"/>
  <c r="AD197" i="49"/>
  <c r="AB148" i="31"/>
  <c r="AD198" i="49"/>
  <c r="AD128" i="49"/>
  <c r="AD223" i="31"/>
  <c r="AB163" i="49"/>
  <c r="AD106" i="49"/>
  <c r="AD77" i="31"/>
  <c r="AB15" i="49"/>
  <c r="AC246" i="31"/>
  <c r="AB85" i="49"/>
  <c r="AB149" i="49"/>
  <c r="AD42" i="49"/>
  <c r="AD139" i="31"/>
  <c r="AD21" i="31"/>
  <c r="AD70" i="49"/>
  <c r="AD200" i="49"/>
  <c r="AD196" i="49"/>
  <c r="AD119" i="31"/>
  <c r="AD176" i="49"/>
  <c r="AB103" i="49"/>
  <c r="AD229" i="49"/>
  <c r="AD20" i="49"/>
  <c r="AA289" i="31"/>
  <c r="AD135" i="31"/>
  <c r="AE663" i="45"/>
  <c r="AB18" i="31"/>
  <c r="AB77" i="49"/>
  <c r="AD194" i="49"/>
  <c r="AB56" i="31"/>
  <c r="AF663" i="45"/>
  <c r="AB90" i="31"/>
  <c r="AA249" i="31"/>
  <c r="AB274" i="49"/>
  <c r="U654" i="45"/>
  <c r="AD129" i="31"/>
  <c r="AB196" i="31"/>
  <c r="AD49" i="31"/>
  <c r="AB662" i="45"/>
  <c r="AB146" i="31"/>
  <c r="AB179" i="49"/>
  <c r="AD51" i="31"/>
  <c r="AD207" i="31"/>
  <c r="AD104" i="49"/>
  <c r="AB58" i="31"/>
  <c r="AD174" i="49"/>
  <c r="AD114" i="49"/>
  <c r="AB173" i="49"/>
  <c r="AD152" i="49"/>
  <c r="AD11" i="31"/>
  <c r="AB30" i="31"/>
  <c r="AB117" i="49"/>
  <c r="AD54" i="49"/>
  <c r="S291" i="31"/>
  <c r="AD134" i="49"/>
  <c r="AB140" i="31"/>
  <c r="AD149" i="31"/>
  <c r="AA233" i="31"/>
  <c r="AB41" i="49"/>
  <c r="N241" i="49"/>
  <c r="AD84" i="49"/>
  <c r="AB172" i="31"/>
  <c r="X266" i="49"/>
  <c r="AD88" i="49"/>
  <c r="AD164" i="49"/>
  <c r="AA654" i="45"/>
  <c r="AD10" i="49"/>
  <c r="AB125" i="49"/>
  <c r="AB116" i="31"/>
  <c r="AB38" i="31"/>
  <c r="AD199" i="49"/>
  <c r="AB164" i="31"/>
  <c r="AB24" i="31"/>
  <c r="AD126" i="49"/>
  <c r="AD160" i="49"/>
  <c r="AB161" i="49"/>
  <c r="AB22" i="31"/>
  <c r="AB19" i="49"/>
  <c r="AB20" i="31"/>
  <c r="AD12" i="49"/>
  <c r="AB78" i="31"/>
  <c r="AB59" i="49"/>
  <c r="AD192" i="49"/>
  <c r="AB48" i="31"/>
  <c r="AD171" i="31"/>
  <c r="AA662" i="45"/>
  <c r="AB218" i="31"/>
  <c r="X254" i="31"/>
  <c r="AB186" i="31"/>
  <c r="AD137" i="31"/>
  <c r="AB124" i="31"/>
  <c r="AB175" i="49"/>
  <c r="AD133" i="31"/>
  <c r="R239" i="49"/>
  <c r="AD116" i="49"/>
  <c r="AB147" i="49"/>
  <c r="AD199" i="31"/>
  <c r="AB28" i="31"/>
  <c r="AC248" i="31"/>
  <c r="AD59" i="31"/>
  <c r="AD197" i="31"/>
  <c r="AC240" i="31"/>
  <c r="AB126" i="31"/>
  <c r="AB55" i="49"/>
  <c r="AA209" i="49"/>
  <c r="AD148" i="49"/>
  <c r="AB44" i="31"/>
  <c r="AB198" i="31"/>
  <c r="Y662" i="45"/>
  <c r="AD102" i="49"/>
  <c r="AB100" i="31"/>
  <c r="AD113" i="31"/>
  <c r="AB122" i="31"/>
  <c r="BC74" i="19" l="1"/>
  <c r="C89" i="21" s="1"/>
  <c r="H1343" i="4"/>
  <c r="G1343" i="4" s="1"/>
  <c r="H1299" i="4"/>
  <c r="G1299" i="4" s="1"/>
  <c r="AN93" i="19"/>
  <c r="AO93" i="19" s="1"/>
  <c r="AD248" i="4"/>
  <c r="BD103" i="19"/>
  <c r="C118" i="22" s="1"/>
  <c r="BG55" i="19"/>
  <c r="C70" i="25" s="1"/>
  <c r="BC44" i="19"/>
  <c r="C59" i="21" s="1"/>
  <c r="D82" i="21"/>
  <c r="D90" i="25"/>
  <c r="AD58" i="4"/>
  <c r="H1342" i="4"/>
  <c r="G1342" i="4" s="1"/>
  <c r="BD63" i="19"/>
  <c r="C78" i="22" s="1"/>
  <c r="BB63" i="19"/>
  <c r="AG1341" i="4"/>
  <c r="D58" i="21"/>
  <c r="BH32" i="19"/>
  <c r="C47" i="26" s="1"/>
  <c r="BF40" i="19"/>
  <c r="C55" i="24" s="1"/>
  <c r="BD74" i="19"/>
  <c r="C89" i="22" s="1"/>
  <c r="H1317" i="4"/>
  <c r="G1317" i="4" s="1"/>
  <c r="AA1353" i="4"/>
  <c r="H1305" i="4"/>
  <c r="G1305" i="4" s="1"/>
  <c r="U388" i="45"/>
  <c r="BD42" i="19"/>
  <c r="C57" i="22" s="1"/>
  <c r="BE103" i="19"/>
  <c r="C118" i="23" s="1"/>
  <c r="H9" i="20"/>
  <c r="J9" i="20" s="1"/>
  <c r="BH63" i="19"/>
  <c r="C78" i="26" s="1"/>
  <c r="AD47" i="4"/>
  <c r="AD194" i="4"/>
  <c r="AG1259" i="4"/>
  <c r="BD54" i="19"/>
  <c r="C69" i="22" s="1"/>
  <c r="D42" i="22"/>
  <c r="BH40" i="19"/>
  <c r="C55" i="26" s="1"/>
  <c r="AD117" i="4"/>
  <c r="D48" i="25"/>
  <c r="BC59" i="19"/>
  <c r="C74" i="21" s="1"/>
  <c r="BH74" i="19"/>
  <c r="C89" i="26" s="1"/>
  <c r="AA1279" i="4"/>
  <c r="I1279" i="4" s="1"/>
  <c r="BE55" i="19"/>
  <c r="C70" i="23" s="1"/>
  <c r="H25" i="20"/>
  <c r="J25" i="20" s="1"/>
  <c r="AD25" i="4"/>
  <c r="BD94" i="19"/>
  <c r="C109" i="22" s="1"/>
  <c r="AD674" i="4"/>
  <c r="AD558" i="4"/>
  <c r="AD131" i="4"/>
  <c r="AG1325" i="4"/>
  <c r="AD172" i="4"/>
  <c r="AD193" i="4"/>
  <c r="AG1322" i="4"/>
  <c r="AD86" i="4"/>
  <c r="AD54" i="4"/>
  <c r="AD274" i="4"/>
  <c r="U391" i="45"/>
  <c r="BI98" i="19"/>
  <c r="H89" i="20"/>
  <c r="J89" i="20" s="1"/>
  <c r="AG1344" i="4"/>
  <c r="AD52" i="4"/>
  <c r="D38" i="22"/>
  <c r="AD518" i="4"/>
  <c r="BB72" i="19"/>
  <c r="AD920" i="4"/>
  <c r="BE25" i="19"/>
  <c r="C40" i="23" s="1"/>
  <c r="AD266" i="4"/>
  <c r="D38" i="25"/>
  <c r="BB93" i="19"/>
  <c r="BC93" i="19"/>
  <c r="C108" i="21" s="1"/>
  <c r="AD99" i="4"/>
  <c r="AD574" i="4"/>
  <c r="BI54" i="19"/>
  <c r="AD427" i="4"/>
  <c r="AG1290" i="4"/>
  <c r="AD101" i="4"/>
  <c r="H10" i="20"/>
  <c r="J10" i="20" s="1"/>
  <c r="D44" i="22"/>
  <c r="AD133" i="4"/>
  <c r="D48" i="22"/>
  <c r="AD121" i="4"/>
  <c r="AD1015" i="4"/>
  <c r="AD584" i="4"/>
  <c r="AD16" i="4"/>
  <c r="AD32" i="4"/>
  <c r="AD922" i="4"/>
  <c r="AD22" i="4"/>
  <c r="AG1288" i="4"/>
  <c r="AG1310" i="4"/>
  <c r="U390" i="45"/>
  <c r="AG1335" i="4"/>
  <c r="AD177" i="4"/>
  <c r="H105" i="20"/>
  <c r="J105" i="20" s="1"/>
  <c r="BE78" i="19"/>
  <c r="C93" i="23" s="1"/>
  <c r="AD756" i="4"/>
  <c r="AD976" i="4"/>
  <c r="BG103" i="19"/>
  <c r="C118" i="25" s="1"/>
  <c r="D72" i="23"/>
  <c r="AD130" i="4"/>
  <c r="H73" i="20"/>
  <c r="J73" i="20" s="1"/>
  <c r="BD72" i="19"/>
  <c r="C87" i="22" s="1"/>
  <c r="BI25" i="19"/>
  <c r="BE58" i="19"/>
  <c r="C73" i="23" s="1"/>
  <c r="BD93" i="19"/>
  <c r="C108" i="22" s="1"/>
  <c r="AD768" i="4"/>
  <c r="AD174" i="4"/>
  <c r="AD690" i="4"/>
  <c r="BI74" i="19"/>
  <c r="AD51" i="4"/>
  <c r="AD1102" i="4"/>
  <c r="BC55" i="19"/>
  <c r="C70" i="21" s="1"/>
  <c r="AD187" i="4"/>
  <c r="AD718" i="4"/>
  <c r="AG1315" i="4"/>
  <c r="AD198" i="4"/>
  <c r="AD827" i="4"/>
  <c r="BG25" i="19"/>
  <c r="C40" i="25" s="1"/>
  <c r="AD903" i="4"/>
  <c r="BD58" i="19"/>
  <c r="C73" i="22" s="1"/>
  <c r="BB58" i="19"/>
  <c r="AD386" i="4"/>
  <c r="D38" i="23"/>
  <c r="D92" i="21"/>
  <c r="AC43" i="19"/>
  <c r="AD43" i="19" s="1"/>
  <c r="BF93" i="19"/>
  <c r="C108" i="24" s="1"/>
  <c r="AD61" i="4"/>
  <c r="V12" i="16"/>
  <c r="V8" i="16"/>
  <c r="BG51" i="19"/>
  <c r="C66" i="25" s="1"/>
  <c r="BB51" i="19"/>
  <c r="BH54" i="19"/>
  <c r="C69" i="26" s="1"/>
  <c r="AD943" i="4"/>
  <c r="AD115" i="4"/>
  <c r="AG1329" i="4"/>
  <c r="AD94" i="4"/>
  <c r="BD84" i="19"/>
  <c r="C99" i="22" s="1"/>
  <c r="D38" i="21"/>
  <c r="AD645" i="4"/>
  <c r="AD790" i="4"/>
  <c r="AD140" i="4"/>
  <c r="AD192" i="4"/>
  <c r="AD398" i="4"/>
  <c r="AD196" i="4"/>
  <c r="AD321" i="4"/>
  <c r="AD1061" i="4"/>
  <c r="AD975" i="4"/>
  <c r="AD818" i="4"/>
  <c r="AN48" i="19"/>
  <c r="AO48" i="19" s="1"/>
  <c r="AN36" i="19"/>
  <c r="AO36" i="19" s="1"/>
  <c r="AN52" i="19"/>
  <c r="AO52" i="19" s="1"/>
  <c r="AG1354" i="4"/>
  <c r="AD356" i="4"/>
  <c r="AD262" i="4"/>
  <c r="AG1308" i="4"/>
  <c r="BC45" i="19"/>
  <c r="C60" i="21" s="1"/>
  <c r="AD741" i="4"/>
  <c r="AD158" i="4"/>
  <c r="BD25" i="19"/>
  <c r="C40" i="22" s="1"/>
  <c r="BH58" i="19"/>
  <c r="C73" i="26" s="1"/>
  <c r="BG58" i="19"/>
  <c r="C73" i="25" s="1"/>
  <c r="AD878" i="4"/>
  <c r="BI93" i="19"/>
  <c r="AG1349" i="4"/>
  <c r="BB32" i="19"/>
  <c r="BH51" i="19"/>
  <c r="C66" i="26" s="1"/>
  <c r="AC23" i="19"/>
  <c r="AD23" i="19" s="1"/>
  <c r="AG1285" i="4"/>
  <c r="BF52" i="19"/>
  <c r="C67" i="24" s="1"/>
  <c r="AD102" i="4"/>
  <c r="AD488" i="4"/>
  <c r="AD105" i="4"/>
  <c r="AD66" i="4"/>
  <c r="AD181" i="4"/>
  <c r="FI25" i="5"/>
  <c r="FP25" i="5" s="1"/>
  <c r="BC73" i="19"/>
  <c r="C88" i="21" s="1"/>
  <c r="H731" i="4"/>
  <c r="G731" i="4" s="1"/>
  <c r="H1325" i="4"/>
  <c r="G1325" i="4" s="1"/>
  <c r="AD776" i="4"/>
  <c r="AD92" i="4"/>
  <c r="AN77" i="19"/>
  <c r="AO77" i="19" s="1"/>
  <c r="AD532" i="4"/>
  <c r="AD672" i="4"/>
  <c r="AD442" i="4"/>
  <c r="BB44" i="19"/>
  <c r="BH44" i="19"/>
  <c r="C59" i="26" s="1"/>
  <c r="I1272" i="4"/>
  <c r="H1256" i="4"/>
  <c r="G1256" i="4" s="1"/>
  <c r="AG1267" i="4"/>
  <c r="BG89" i="19"/>
  <c r="C104" i="25" s="1"/>
  <c r="AD1055" i="4"/>
  <c r="AD1059" i="4"/>
  <c r="AD515" i="4"/>
  <c r="I1265" i="4"/>
  <c r="H1313" i="4"/>
  <c r="G1313" i="4" s="1"/>
  <c r="BC34" i="19"/>
  <c r="C49" i="21" s="1"/>
  <c r="AN100" i="19"/>
  <c r="AO100" i="19" s="1"/>
  <c r="AN32" i="19"/>
  <c r="AO32" i="19" s="1"/>
  <c r="AN84" i="19"/>
  <c r="AO84" i="19" s="1"/>
  <c r="BH59" i="19"/>
  <c r="C74" i="26" s="1"/>
  <c r="AD142" i="4"/>
  <c r="BE73" i="19"/>
  <c r="C88" i="23" s="1"/>
  <c r="BG73" i="19"/>
  <c r="C88" i="25" s="1"/>
  <c r="H1351" i="4"/>
  <c r="G1351" i="4" s="1"/>
  <c r="H1291" i="4"/>
  <c r="G1291" i="4" s="1"/>
  <c r="AD171" i="4"/>
  <c r="AD406" i="4"/>
  <c r="AD60" i="4"/>
  <c r="AD11" i="4"/>
  <c r="AD129" i="4"/>
  <c r="AD34" i="4"/>
  <c r="AD914" i="4"/>
  <c r="AD106" i="4"/>
  <c r="BH42" i="19"/>
  <c r="C57" i="26" s="1"/>
  <c r="BB42" i="19"/>
  <c r="BG78" i="19"/>
  <c r="C93" i="25" s="1"/>
  <c r="AN25" i="19"/>
  <c r="AO25" i="19" s="1"/>
  <c r="D46" i="21"/>
  <c r="D62" i="25"/>
  <c r="D112" i="24"/>
  <c r="AG1280" i="4"/>
  <c r="AG1274" i="4"/>
  <c r="AD260" i="4"/>
  <c r="H1349" i="4"/>
  <c r="G1349" i="4" s="1"/>
  <c r="H1333" i="4"/>
  <c r="G1333" i="4" s="1"/>
  <c r="H1285" i="4"/>
  <c r="G1285" i="4" s="1"/>
  <c r="BE87" i="19"/>
  <c r="C102" i="23" s="1"/>
  <c r="D54" i="22"/>
  <c r="D106" i="22"/>
  <c r="AD379" i="4"/>
  <c r="AG1317" i="4"/>
  <c r="V17" i="16"/>
  <c r="AD1139" i="4"/>
  <c r="AD962" i="4"/>
  <c r="D58" i="23"/>
  <c r="AD404" i="4"/>
  <c r="AD446" i="4"/>
  <c r="BH72" i="19"/>
  <c r="C87" i="26" s="1"/>
  <c r="AD647" i="4"/>
  <c r="AD474" i="4"/>
  <c r="BF44" i="19"/>
  <c r="C59" i="24" s="1"/>
  <c r="BE44" i="19"/>
  <c r="C59" i="23" s="1"/>
  <c r="AD95" i="4"/>
  <c r="AD754" i="4"/>
  <c r="AD1094" i="4"/>
  <c r="AD822" i="4"/>
  <c r="D54" i="23"/>
  <c r="D106" i="23"/>
  <c r="BE89" i="19"/>
  <c r="C104" i="23" s="1"/>
  <c r="BI58" i="19"/>
  <c r="AD799" i="4"/>
  <c r="AD966" i="4"/>
  <c r="AD466" i="4"/>
  <c r="AD339" i="4"/>
  <c r="AD676" i="4"/>
  <c r="AD169" i="4"/>
  <c r="D62" i="26"/>
  <c r="AD842" i="4"/>
  <c r="AD1126" i="4"/>
  <c r="AD504" i="4"/>
  <c r="AD134" i="4"/>
  <c r="AD27" i="4"/>
  <c r="AD958" i="4"/>
  <c r="BD32" i="19"/>
  <c r="C47" i="22" s="1"/>
  <c r="BD51" i="19"/>
  <c r="C66" i="22" s="1"/>
  <c r="H1267" i="4"/>
  <c r="G1267" i="4" s="1"/>
  <c r="BC79" i="19"/>
  <c r="C94" i="21" s="1"/>
  <c r="BI79" i="19"/>
  <c r="H835" i="4"/>
  <c r="G835" i="4" s="1"/>
  <c r="BE101" i="19"/>
  <c r="C116" i="23" s="1"/>
  <c r="AD199" i="4"/>
  <c r="AD594" i="4"/>
  <c r="BH84" i="19"/>
  <c r="C99" i="26" s="1"/>
  <c r="BE34" i="19"/>
  <c r="C49" i="23" s="1"/>
  <c r="BG34" i="19"/>
  <c r="C49" i="25" s="1"/>
  <c r="AD74" i="4"/>
  <c r="AN53" i="19"/>
  <c r="AO53" i="19" s="1"/>
  <c r="AD150" i="4"/>
  <c r="AD138" i="4"/>
  <c r="BC62" i="19"/>
  <c r="C77" i="21" s="1"/>
  <c r="AD1058" i="4"/>
  <c r="AD700" i="4"/>
  <c r="AD824" i="4"/>
  <c r="BE40" i="19"/>
  <c r="C55" i="23" s="1"/>
  <c r="BC52" i="19"/>
  <c r="C67" i="21" s="1"/>
  <c r="AD576" i="4"/>
  <c r="AD165" i="4"/>
  <c r="AD180" i="4"/>
  <c r="AD720" i="4"/>
  <c r="AD826" i="4"/>
  <c r="AD28" i="4"/>
  <c r="AD310" i="4"/>
  <c r="AD908" i="4"/>
  <c r="AD104" i="4"/>
  <c r="AD206" i="4"/>
  <c r="AD33" i="4"/>
  <c r="AD157" i="4"/>
  <c r="AD173" i="4"/>
  <c r="AN12" i="19"/>
  <c r="AO12" i="19" s="1"/>
  <c r="AN14" i="19"/>
  <c r="AO14" i="19" s="1"/>
  <c r="BI73" i="19"/>
  <c r="BD73" i="19"/>
  <c r="C88" i="22" s="1"/>
  <c r="BG74" i="19"/>
  <c r="C89" i="25" s="1"/>
  <c r="AD898" i="4"/>
  <c r="AD651" i="4"/>
  <c r="AD62" i="4"/>
  <c r="D38" i="26"/>
  <c r="AD50" i="4"/>
  <c r="BC42" i="19"/>
  <c r="C57" i="21" s="1"/>
  <c r="H1301" i="4"/>
  <c r="G1301" i="4" s="1"/>
  <c r="H1353" i="4"/>
  <c r="G1353" i="4" s="1"/>
  <c r="H1321" i="4"/>
  <c r="G1321" i="4" s="1"/>
  <c r="BC87" i="19"/>
  <c r="C102" i="21" s="1"/>
  <c r="I102" i="21" s="1"/>
  <c r="BB25" i="19"/>
  <c r="D90" i="23"/>
  <c r="AD750" i="4"/>
  <c r="AN33" i="19"/>
  <c r="AO33" i="19" s="1"/>
  <c r="BI89" i="19"/>
  <c r="AD1007" i="4"/>
  <c r="BG63" i="19"/>
  <c r="C78" i="25" s="1"/>
  <c r="AD1063" i="4"/>
  <c r="AD487" i="4"/>
  <c r="AD990" i="4"/>
  <c r="AD29" i="4"/>
  <c r="AD648" i="4"/>
  <c r="AD1086" i="4"/>
  <c r="AD911" i="4"/>
  <c r="H1327" i="4"/>
  <c r="G1327" i="4" s="1"/>
  <c r="I1294" i="4"/>
  <c r="BD79" i="19"/>
  <c r="C94" i="22" s="1"/>
  <c r="BB79" i="19"/>
  <c r="I1304" i="4"/>
  <c r="H1289" i="4"/>
  <c r="G1289" i="4" s="1"/>
  <c r="H1147" i="4"/>
  <c r="G1147" i="4" s="1"/>
  <c r="BB101" i="19"/>
  <c r="D106" i="26"/>
  <c r="AG1328" i="4"/>
  <c r="AG1331" i="4"/>
  <c r="BD34" i="19"/>
  <c r="C49" i="22" s="1"/>
  <c r="BI34" i="19"/>
  <c r="AD209" i="4"/>
  <c r="AD143" i="4"/>
  <c r="AD7" i="4"/>
  <c r="AD1088" i="4"/>
  <c r="AD564" i="4"/>
  <c r="AD234" i="4"/>
  <c r="BD52" i="19"/>
  <c r="C67" i="22" s="1"/>
  <c r="AD1010" i="4"/>
  <c r="AD392" i="4"/>
  <c r="AD149" i="4"/>
  <c r="AD737" i="4"/>
  <c r="AD429" i="4"/>
  <c r="AD953" i="4"/>
  <c r="AD1020" i="4"/>
  <c r="AD964" i="4"/>
  <c r="AD930" i="4"/>
  <c r="AN80" i="19"/>
  <c r="AO80" i="19" s="1"/>
  <c r="AN18" i="19"/>
  <c r="AO18" i="19" s="1"/>
  <c r="AN15" i="19"/>
  <c r="AO15" i="19" s="1"/>
  <c r="AN96" i="19"/>
  <c r="AO96" i="19" s="1"/>
  <c r="AN64" i="19"/>
  <c r="AO64" i="19" s="1"/>
  <c r="AG1264" i="4"/>
  <c r="D114" i="26"/>
  <c r="BE74" i="19"/>
  <c r="C89" i="23" s="1"/>
  <c r="I1353" i="4"/>
  <c r="AG1352" i="4"/>
  <c r="D58" i="22"/>
  <c r="AG1255" i="4"/>
  <c r="AD1002" i="4"/>
  <c r="AD502" i="4"/>
  <c r="BE42" i="19"/>
  <c r="C57" i="23" s="1"/>
  <c r="BI78" i="19"/>
  <c r="AG1326" i="4"/>
  <c r="AD932" i="4"/>
  <c r="AG1351" i="4"/>
  <c r="D42" i="23"/>
  <c r="AN99" i="19"/>
  <c r="AO99" i="19" s="1"/>
  <c r="AD203" i="4"/>
  <c r="D114" i="25"/>
  <c r="H1341" i="4"/>
  <c r="G1341" i="4" s="1"/>
  <c r="H1293" i="4"/>
  <c r="G1293" i="4" s="1"/>
  <c r="H1277" i="4"/>
  <c r="G1277" i="4" s="1"/>
  <c r="H1329" i="4"/>
  <c r="G1329" i="4" s="1"/>
  <c r="H419" i="4"/>
  <c r="G419" i="4" s="1"/>
  <c r="AD931" i="4"/>
  <c r="AD762" i="4"/>
  <c r="BG87" i="19"/>
  <c r="C102" i="25" s="1"/>
  <c r="AD154" i="4"/>
  <c r="D106" i="21"/>
  <c r="AD963" i="4"/>
  <c r="AD450" i="4"/>
  <c r="D56" i="22"/>
  <c r="D58" i="25"/>
  <c r="AD1111" i="4"/>
  <c r="AD31" i="4"/>
  <c r="BE94" i="19"/>
  <c r="C109" i="23" s="1"/>
  <c r="BE30" i="19"/>
  <c r="C45" i="23" s="1"/>
  <c r="I45" i="23" s="1"/>
  <c r="AD716" i="4"/>
  <c r="AA1327" i="4"/>
  <c r="I1327" i="4" s="1"/>
  <c r="H627" i="4"/>
  <c r="G627" i="4" s="1"/>
  <c r="I1270" i="4"/>
  <c r="AD93" i="4"/>
  <c r="AD43" i="4"/>
  <c r="AD78" i="4"/>
  <c r="AD1024" i="4"/>
  <c r="AG1292" i="4"/>
  <c r="D42" i="26"/>
  <c r="AD495" i="4"/>
  <c r="AG1294" i="4"/>
  <c r="BF32" i="19"/>
  <c r="C47" i="24" s="1"/>
  <c r="AN73" i="19"/>
  <c r="AO73" i="19" s="1"/>
  <c r="D98" i="21"/>
  <c r="H523" i="4"/>
  <c r="G523" i="4" s="1"/>
  <c r="BH79" i="19"/>
  <c r="C94" i="26" s="1"/>
  <c r="H1269" i="4"/>
  <c r="G1269" i="4" s="1"/>
  <c r="AD26" i="4"/>
  <c r="BB54" i="19"/>
  <c r="C69" i="18" s="1"/>
  <c r="AG1321" i="4"/>
  <c r="BD101" i="19"/>
  <c r="C116" i="22" s="1"/>
  <c r="BF105" i="19"/>
  <c r="C120" i="24" s="1"/>
  <c r="BH34" i="19"/>
  <c r="C49" i="26" s="1"/>
  <c r="I49" i="26" s="1"/>
  <c r="C96" i="28"/>
  <c r="AD800" i="4"/>
  <c r="AD520" i="4"/>
  <c r="AG1257" i="4"/>
  <c r="BC40" i="19"/>
  <c r="C55" i="21" s="1"/>
  <c r="BB52" i="19"/>
  <c r="AD611" i="4"/>
  <c r="AD164" i="4"/>
  <c r="AD508" i="4"/>
  <c r="AD1136" i="4"/>
  <c r="AD304" i="4"/>
  <c r="AD231" i="4"/>
  <c r="AD670" i="4"/>
  <c r="AD156" i="4"/>
  <c r="AD82" i="4"/>
  <c r="AD91" i="4"/>
  <c r="AD125" i="4"/>
  <c r="AD141" i="4"/>
  <c r="AD65" i="4"/>
  <c r="AD69" i="4"/>
  <c r="Y665" i="45"/>
  <c r="AD657" i="45"/>
  <c r="AB665" i="45"/>
  <c r="Y657" i="45"/>
  <c r="U657" i="45"/>
  <c r="AA657" i="45"/>
  <c r="AA665" i="45"/>
  <c r="AE657" i="45"/>
  <c r="V665" i="45"/>
  <c r="Z665" i="45"/>
  <c r="AE665" i="45"/>
  <c r="X665" i="45"/>
  <c r="AC657" i="45"/>
  <c r="W657" i="45"/>
  <c r="V657" i="45"/>
  <c r="AE254" i="31"/>
  <c r="AF254" i="31" s="1"/>
  <c r="AF665" i="45"/>
  <c r="X657" i="45"/>
  <c r="AC665" i="45"/>
  <c r="U665" i="45"/>
  <c r="AD665" i="45"/>
  <c r="AF657" i="45"/>
  <c r="AB657" i="45"/>
  <c r="Z657" i="45"/>
  <c r="W665" i="45"/>
  <c r="V22" i="16"/>
  <c r="AD124" i="4"/>
  <c r="V20" i="16"/>
  <c r="AA511" i="45"/>
  <c r="AD123" i="4"/>
  <c r="V19" i="16"/>
  <c r="V16" i="16"/>
  <c r="V11" i="16"/>
  <c r="V13" i="16"/>
  <c r="V18" i="16"/>
  <c r="V15" i="16"/>
  <c r="AD17" i="4"/>
  <c r="V10" i="16"/>
  <c r="V9" i="16"/>
  <c r="AD9" i="4"/>
  <c r="AD112" i="4"/>
  <c r="V7" i="16"/>
  <c r="AD222" i="4"/>
  <c r="AJ1090" i="4"/>
  <c r="AD1090" i="4"/>
  <c r="AA1295" i="4"/>
  <c r="AD242" i="4"/>
  <c r="AD230" i="4"/>
  <c r="AD959" i="4"/>
  <c r="AD840" i="4"/>
  <c r="AD738" i="4"/>
  <c r="AD537" i="4"/>
  <c r="AD1112" i="4"/>
  <c r="AD858" i="4"/>
  <c r="AD366" i="4"/>
  <c r="AD643" i="4"/>
  <c r="AD992" i="4"/>
  <c r="AD235" i="4"/>
  <c r="AA939" i="4"/>
  <c r="AD308" i="4"/>
  <c r="AD338" i="4"/>
  <c r="AD1146" i="4"/>
  <c r="AD1144" i="4"/>
  <c r="AD834" i="4"/>
  <c r="AD492" i="4"/>
  <c r="AA1297" i="4"/>
  <c r="AD915" i="4"/>
  <c r="AD554" i="4"/>
  <c r="AD455" i="4"/>
  <c r="AD862" i="4"/>
  <c r="AD522" i="4"/>
  <c r="AD603" i="4"/>
  <c r="AD250" i="4"/>
  <c r="AD736" i="4"/>
  <c r="AD578" i="4"/>
  <c r="AD462" i="4"/>
  <c r="AD855" i="4"/>
  <c r="AD538" i="4"/>
  <c r="AD556" i="4"/>
  <c r="AD635" i="4"/>
  <c r="AD529" i="4"/>
  <c r="AD543" i="4"/>
  <c r="AD1027" i="4"/>
  <c r="AD887" i="4"/>
  <c r="AD1066" i="4"/>
  <c r="AD691" i="4"/>
  <c r="AD1051" i="4"/>
  <c r="AD464" i="4"/>
  <c r="AD372" i="4"/>
  <c r="AD1110" i="4"/>
  <c r="AD275" i="4"/>
  <c r="AD850" i="4"/>
  <c r="AD688" i="4"/>
  <c r="AD832" i="4"/>
  <c r="AA1281" i="4"/>
  <c r="AD978" i="4"/>
  <c r="AD991" i="4"/>
  <c r="AD471" i="4"/>
  <c r="AD888" i="4"/>
  <c r="AD364" i="4"/>
  <c r="AD590" i="4"/>
  <c r="AD998" i="4"/>
  <c r="AD746" i="4"/>
  <c r="AD460" i="4"/>
  <c r="AD798" i="4"/>
  <c r="AD286" i="4"/>
  <c r="AD606" i="4"/>
  <c r="AD586" i="4"/>
  <c r="AD1030" i="4"/>
  <c r="AD539" i="4"/>
  <c r="AD510" i="4"/>
  <c r="AD414" i="4"/>
  <c r="AD299" i="4"/>
  <c r="AD1012" i="4"/>
  <c r="AD708" i="4"/>
  <c r="AD228" i="4"/>
  <c r="AD1026" i="4"/>
  <c r="AD380" i="4"/>
  <c r="AD314" i="4"/>
  <c r="AD258" i="4"/>
  <c r="AD221" i="4"/>
  <c r="AD806" i="4"/>
  <c r="AD1042" i="4"/>
  <c r="AD216" i="4"/>
  <c r="AD1064" i="4"/>
  <c r="AD972" i="4"/>
  <c r="AD772" i="4"/>
  <c r="AD572" i="4"/>
  <c r="AD680" i="4"/>
  <c r="AD816" i="4"/>
  <c r="AD924" i="4"/>
  <c r="AD1049" i="4"/>
  <c r="AD714" i="4"/>
  <c r="AD1056" i="4"/>
  <c r="AD784" i="4"/>
  <c r="AD860" i="4"/>
  <c r="AA1317" i="4"/>
  <c r="AD535" i="4"/>
  <c r="AA1291" i="4"/>
  <c r="AA1337" i="4"/>
  <c r="AD486" i="4"/>
  <c r="AD236" i="4"/>
  <c r="AD1131" i="4"/>
  <c r="AD1038" i="4"/>
  <c r="AD1035" i="4"/>
  <c r="AD848" i="4"/>
  <c r="AD1018" i="4"/>
  <c r="AA1349" i="4"/>
  <c r="I1349" i="4" s="1"/>
  <c r="AA1285" i="4"/>
  <c r="I1285" i="4" s="1"/>
  <c r="AD682" i="4"/>
  <c r="AD707" i="4"/>
  <c r="AD954" i="4"/>
  <c r="AD828" i="4"/>
  <c r="AD351" i="4"/>
  <c r="AD1076" i="4"/>
  <c r="AD739" i="4"/>
  <c r="AD730" i="4"/>
  <c r="AD968" i="4"/>
  <c r="AD1095" i="4"/>
  <c r="AD778" i="4"/>
  <c r="AD514" i="4"/>
  <c r="AD663" i="4"/>
  <c r="AD566" i="4"/>
  <c r="AD876" i="4"/>
  <c r="AD499" i="4"/>
  <c r="AD890" i="4"/>
  <c r="AD955" i="4"/>
  <c r="AD1060" i="4"/>
  <c r="AD815" i="4"/>
  <c r="AD435" i="4"/>
  <c r="AD335" i="4"/>
  <c r="AD346" i="4"/>
  <c r="AD650" i="4"/>
  <c r="AD378" i="4"/>
  <c r="AD440" i="4"/>
  <c r="AD956" i="4"/>
  <c r="AD637" i="4"/>
  <c r="AD591" i="4"/>
  <c r="AD320" i="4"/>
  <c r="AD546" i="4"/>
  <c r="AD1274" i="4" s="1"/>
  <c r="AD728" i="4"/>
  <c r="AD624" i="4"/>
  <c r="AD360" i="4"/>
  <c r="AD503" i="4"/>
  <c r="AD1123" i="4"/>
  <c r="AD706" i="4"/>
  <c r="AD1028" i="4"/>
  <c r="AD692" i="4"/>
  <c r="AD470" i="4"/>
  <c r="AD340" i="4"/>
  <c r="AD298" i="4"/>
  <c r="AD229" i="4"/>
  <c r="AD324" i="4"/>
  <c r="AD664" i="4"/>
  <c r="AD880" i="4"/>
  <c r="AD788" i="4"/>
  <c r="AD294" i="4"/>
  <c r="AD296" i="4"/>
  <c r="AD433" i="4"/>
  <c r="AD541" i="4"/>
  <c r="AD742" i="4"/>
  <c r="V21" i="16"/>
  <c r="AA731" i="4"/>
  <c r="AD950" i="4"/>
  <c r="AD333" i="4"/>
  <c r="V14" i="16"/>
  <c r="AA515" i="45"/>
  <c r="AD1054" i="4"/>
  <c r="C93" i="18"/>
  <c r="I105" i="24"/>
  <c r="F105" i="24"/>
  <c r="C109" i="18"/>
  <c r="C45" i="18"/>
  <c r="F119" i="26"/>
  <c r="I119" i="26"/>
  <c r="F69" i="21"/>
  <c r="I69" i="21"/>
  <c r="I116" i="21"/>
  <c r="F116" i="21"/>
  <c r="I1295" i="4"/>
  <c r="C85" i="18"/>
  <c r="I1297" i="4"/>
  <c r="F51" i="23"/>
  <c r="I51" i="23"/>
  <c r="C53" i="18"/>
  <c r="I1298" i="4"/>
  <c r="I100" i="22"/>
  <c r="F100" i="22"/>
  <c r="F79" i="23"/>
  <c r="I79" i="23"/>
  <c r="F94" i="23"/>
  <c r="I94" i="23"/>
  <c r="F110" i="23"/>
  <c r="I110" i="23"/>
  <c r="I1317" i="4"/>
  <c r="C102" i="18"/>
  <c r="I1291" i="4"/>
  <c r="C97" i="18"/>
  <c r="C121" i="18"/>
  <c r="C77" i="18"/>
  <c r="C89" i="18"/>
  <c r="C81" i="18"/>
  <c r="C70" i="18"/>
  <c r="F103" i="23"/>
  <c r="I103" i="23"/>
  <c r="C41" i="18"/>
  <c r="I120" i="21"/>
  <c r="F120" i="21"/>
  <c r="D120" i="21" s="1"/>
  <c r="F55" i="22"/>
  <c r="I55" i="22"/>
  <c r="F98" i="18"/>
  <c r="I98" i="18"/>
  <c r="F90" i="18"/>
  <c r="I90" i="18"/>
  <c r="I64" i="18"/>
  <c r="F64" i="18"/>
  <c r="D64" i="18" s="1"/>
  <c r="AC771" i="4"/>
  <c r="AJ771" i="4" s="1"/>
  <c r="AC685" i="4"/>
  <c r="AJ685" i="4" s="1"/>
  <c r="AC653" i="4"/>
  <c r="AJ653" i="4" s="1"/>
  <c r="AC601" i="4"/>
  <c r="AJ601" i="4" s="1"/>
  <c r="AC585" i="4"/>
  <c r="AJ585" i="4" s="1"/>
  <c r="AC553" i="4"/>
  <c r="AJ553" i="4" s="1"/>
  <c r="AC459" i="4"/>
  <c r="AJ459" i="4" s="1"/>
  <c r="AC271" i="4"/>
  <c r="AJ271" i="4" s="1"/>
  <c r="AC239" i="4"/>
  <c r="AJ239" i="4" s="1"/>
  <c r="AE104" i="20"/>
  <c r="H102" i="20"/>
  <c r="F50" i="21"/>
  <c r="I50" i="21"/>
  <c r="AA35" i="19"/>
  <c r="W35" i="19"/>
  <c r="Z35" i="19"/>
  <c r="V35" i="19"/>
  <c r="Y35" i="19"/>
  <c r="U35" i="19"/>
  <c r="AB35" i="19"/>
  <c r="X35" i="19"/>
  <c r="BF35" i="19"/>
  <c r="C50" i="24" s="1"/>
  <c r="I1347" i="4"/>
  <c r="AA1293" i="4"/>
  <c r="I1293" i="4" s="1"/>
  <c r="AC1189" i="4"/>
  <c r="AD1189" i="4" s="1"/>
  <c r="I52" i="25"/>
  <c r="F52" i="25"/>
  <c r="R16" i="5"/>
  <c r="D16" i="5"/>
  <c r="D9" i="68"/>
  <c r="AA98" i="19"/>
  <c r="W98" i="19"/>
  <c r="Y98" i="19"/>
  <c r="U98" i="19"/>
  <c r="Z98" i="19"/>
  <c r="X98" i="19"/>
  <c r="V98" i="19"/>
  <c r="AB98" i="19"/>
  <c r="BG98" i="19"/>
  <c r="C113" i="25" s="1"/>
  <c r="BF98" i="19"/>
  <c r="C113" i="24" s="1"/>
  <c r="I56" i="26"/>
  <c r="F56" i="26"/>
  <c r="D56" i="26" s="1"/>
  <c r="AC41" i="19"/>
  <c r="AD41" i="19" s="1"/>
  <c r="H11" i="19"/>
  <c r="BB11" i="19" s="1"/>
  <c r="AC35" i="4"/>
  <c r="AJ35" i="4" s="1"/>
  <c r="AJ1180" i="4"/>
  <c r="AA627" i="4"/>
  <c r="AM107" i="19"/>
  <c r="AG107" i="19"/>
  <c r="AG1313" i="4"/>
  <c r="I57" i="22"/>
  <c r="F57" i="22"/>
  <c r="D57" i="22" s="1"/>
  <c r="I57" i="25"/>
  <c r="F57" i="25"/>
  <c r="I93" i="23"/>
  <c r="F93" i="23"/>
  <c r="D93" i="23" s="1"/>
  <c r="I93" i="21"/>
  <c r="F93" i="21"/>
  <c r="D96" i="22"/>
  <c r="I112" i="25"/>
  <c r="F112" i="25"/>
  <c r="AC97" i="19"/>
  <c r="AD97" i="19" s="1"/>
  <c r="AG1279" i="4"/>
  <c r="AC1282" i="4"/>
  <c r="AJ1178" i="4"/>
  <c r="AG1350" i="4"/>
  <c r="AF33" i="5"/>
  <c r="AG1289" i="4"/>
  <c r="H167" i="4"/>
  <c r="H1311" i="4" s="1"/>
  <c r="G1311" i="4" s="1"/>
  <c r="AA167" i="4"/>
  <c r="AJ1220" i="4"/>
  <c r="AT47" i="62"/>
  <c r="BH21" i="62"/>
  <c r="Y45" i="19"/>
  <c r="U45" i="19"/>
  <c r="AB45" i="19"/>
  <c r="X45" i="19"/>
  <c r="AA45" i="19"/>
  <c r="W45" i="19"/>
  <c r="Z45" i="19"/>
  <c r="V45" i="19"/>
  <c r="BF45" i="19"/>
  <c r="C60" i="24" s="1"/>
  <c r="BH45" i="19"/>
  <c r="C60" i="26" s="1"/>
  <c r="AC1340" i="4"/>
  <c r="AJ1236" i="4"/>
  <c r="BH66" i="19"/>
  <c r="C81" i="26" s="1"/>
  <c r="BI90" i="19"/>
  <c r="BG90" i="19"/>
  <c r="C105" i="25" s="1"/>
  <c r="I84" i="24"/>
  <c r="F84" i="24"/>
  <c r="F118" i="26"/>
  <c r="I118" i="26"/>
  <c r="F118" i="21"/>
  <c r="D118" i="21" s="1"/>
  <c r="I118" i="21"/>
  <c r="D72" i="21"/>
  <c r="AG1147" i="4"/>
  <c r="V4" i="12" s="1"/>
  <c r="Q155" i="16"/>
  <c r="AG1256" i="4"/>
  <c r="BH70" i="19"/>
  <c r="C85" i="26" s="1"/>
  <c r="AG1345" i="4"/>
  <c r="CQ51" i="5"/>
  <c r="CC43" i="62"/>
  <c r="CE43" i="62" s="1"/>
  <c r="CE51" i="5"/>
  <c r="AN61" i="19"/>
  <c r="AO61" i="19" s="1"/>
  <c r="R58" i="20"/>
  <c r="R74" i="20"/>
  <c r="R42" i="20"/>
  <c r="R106" i="20"/>
  <c r="R107" i="20" s="1"/>
  <c r="R90" i="20"/>
  <c r="R26" i="20"/>
  <c r="AD197" i="16"/>
  <c r="DE21" i="5" s="1"/>
  <c r="Y197" i="16"/>
  <c r="AM21" i="5" s="1"/>
  <c r="AO21" i="5" s="1"/>
  <c r="AE197" i="16"/>
  <c r="DS21" i="5" s="1"/>
  <c r="Z197" i="16"/>
  <c r="BA21" i="5" s="1"/>
  <c r="AF197" i="16"/>
  <c r="EG21" i="5" s="1"/>
  <c r="AA197" i="16"/>
  <c r="BO21" i="5" s="1"/>
  <c r="AG197" i="16"/>
  <c r="EU21" i="5" s="1"/>
  <c r="AB197" i="16"/>
  <c r="CC21" i="5" s="1"/>
  <c r="CE21" i="5" s="1"/>
  <c r="W197" i="16"/>
  <c r="K21" i="5" s="1"/>
  <c r="AH197" i="16"/>
  <c r="FI21" i="5" s="1"/>
  <c r="AC197" i="16"/>
  <c r="CQ21" i="5" s="1"/>
  <c r="X197" i="16"/>
  <c r="Y21" i="5" s="1"/>
  <c r="H80" i="19"/>
  <c r="BE80" i="19" s="1"/>
  <c r="C95" i="23" s="1"/>
  <c r="AC1117" i="4"/>
  <c r="AJ1117" i="4" s="1"/>
  <c r="AC1101" i="4"/>
  <c r="AJ1101" i="4" s="1"/>
  <c r="AC1033" i="4"/>
  <c r="AJ1033" i="4" s="1"/>
  <c r="AC1001" i="4"/>
  <c r="AJ1001" i="4" s="1"/>
  <c r="AC917" i="4"/>
  <c r="AJ917" i="4" s="1"/>
  <c r="AC869" i="4"/>
  <c r="AJ869" i="4" s="1"/>
  <c r="AC833" i="4"/>
  <c r="AJ833" i="4" s="1"/>
  <c r="AC785" i="4"/>
  <c r="AJ785" i="4" s="1"/>
  <c r="AC769" i="4"/>
  <c r="AJ769" i="4" s="1"/>
  <c r="AC551" i="4"/>
  <c r="AJ551" i="4" s="1"/>
  <c r="AC489" i="4"/>
  <c r="AJ489" i="4" s="1"/>
  <c r="AC473" i="4"/>
  <c r="AJ473" i="4" s="1"/>
  <c r="AC389" i="4"/>
  <c r="AJ389" i="4" s="1"/>
  <c r="AC373" i="4"/>
  <c r="AJ373" i="4" s="1"/>
  <c r="AC305" i="4"/>
  <c r="AJ305" i="4" s="1"/>
  <c r="AC285" i="4"/>
  <c r="AJ285" i="4" s="1"/>
  <c r="AC253" i="4"/>
  <c r="AJ253" i="4" s="1"/>
  <c r="AC237" i="4"/>
  <c r="AJ237" i="4" s="1"/>
  <c r="AN35" i="19"/>
  <c r="AO35" i="19" s="1"/>
  <c r="AE72" i="20"/>
  <c r="H70" i="20"/>
  <c r="BH87" i="19"/>
  <c r="C102" i="26" s="1"/>
  <c r="AN83" i="19"/>
  <c r="AO83" i="19" s="1"/>
  <c r="AG1318" i="4"/>
  <c r="I52" i="23"/>
  <c r="F52" i="23"/>
  <c r="AG1261" i="4"/>
  <c r="I1352" i="4"/>
  <c r="AG1306" i="4"/>
  <c r="BJ41" i="19"/>
  <c r="BK41" i="19" s="1"/>
  <c r="AN41" i="19"/>
  <c r="AO41" i="19" s="1"/>
  <c r="D15" i="19"/>
  <c r="BH55" i="19"/>
  <c r="C70" i="26" s="1"/>
  <c r="AC71" i="19"/>
  <c r="AD71" i="19" s="1"/>
  <c r="D92" i="25"/>
  <c r="I76" i="24"/>
  <c r="F76" i="24"/>
  <c r="I1255" i="4"/>
  <c r="BI94" i="19"/>
  <c r="BF88" i="19"/>
  <c r="C103" i="24" s="1"/>
  <c r="BH88" i="19"/>
  <c r="C103" i="26" s="1"/>
  <c r="BH30" i="19"/>
  <c r="C45" i="26" s="1"/>
  <c r="Z72" i="19"/>
  <c r="V72" i="19"/>
  <c r="Y72" i="19"/>
  <c r="U72" i="19"/>
  <c r="AB72" i="19"/>
  <c r="X72" i="19"/>
  <c r="AA72" i="19"/>
  <c r="W72" i="19"/>
  <c r="BG72" i="19"/>
  <c r="C87" i="25" s="1"/>
  <c r="BI72" i="19"/>
  <c r="F46" i="26"/>
  <c r="I46" i="26"/>
  <c r="AC47" i="19"/>
  <c r="AD47" i="19" s="1"/>
  <c r="I68" i="21"/>
  <c r="F68" i="21"/>
  <c r="D68" i="21" s="1"/>
  <c r="I112" i="22"/>
  <c r="F112" i="22"/>
  <c r="I1280" i="4"/>
  <c r="AJ1222" i="4"/>
  <c r="U108" i="16"/>
  <c r="AE6" i="16"/>
  <c r="AE108" i="16" s="1"/>
  <c r="AA6" i="16"/>
  <c r="AA108" i="16" s="1"/>
  <c r="BO24" i="5" s="1"/>
  <c r="W6" i="16"/>
  <c r="W108" i="16" s="1"/>
  <c r="K24" i="5" s="1"/>
  <c r="AH6" i="16"/>
  <c r="AH108" i="16" s="1"/>
  <c r="AD6" i="16"/>
  <c r="AD108" i="16" s="1"/>
  <c r="DE24" i="5" s="1"/>
  <c r="Z6" i="16"/>
  <c r="Z108" i="16" s="1"/>
  <c r="BA24" i="5" s="1"/>
  <c r="AG6" i="16"/>
  <c r="AG108" i="16" s="1"/>
  <c r="AC6" i="16"/>
  <c r="AC108" i="16" s="1"/>
  <c r="CQ24" i="5" s="1"/>
  <c r="Y6" i="16"/>
  <c r="Y108" i="16" s="1"/>
  <c r="AM24" i="5" s="1"/>
  <c r="AF6" i="16"/>
  <c r="AF108" i="16" s="1"/>
  <c r="AB6" i="16"/>
  <c r="AB108" i="16" s="1"/>
  <c r="CC24" i="5" s="1"/>
  <c r="X6" i="16"/>
  <c r="X108" i="16" s="1"/>
  <c r="Y24" i="5" s="1"/>
  <c r="AC1314" i="4"/>
  <c r="AJ1210" i="4"/>
  <c r="AC27" i="19"/>
  <c r="AD27" i="19" s="1"/>
  <c r="AJ1228" i="4"/>
  <c r="BF36" i="19"/>
  <c r="C51" i="24" s="1"/>
  <c r="BH36" i="19"/>
  <c r="C51" i="26" s="1"/>
  <c r="C59" i="18"/>
  <c r="F59" i="22"/>
  <c r="I59" i="22"/>
  <c r="BD38" i="19"/>
  <c r="C53" i="22" s="1"/>
  <c r="BI38" i="19"/>
  <c r="BG38" i="19"/>
  <c r="C53" i="25" s="1"/>
  <c r="H16" i="19"/>
  <c r="BE16" i="19" s="1"/>
  <c r="C31" i="23" s="1"/>
  <c r="H21" i="19"/>
  <c r="BD21" i="19" s="1"/>
  <c r="C36" i="22" s="1"/>
  <c r="C84" i="18"/>
  <c r="BJ69" i="19"/>
  <c r="BK69" i="19" s="1"/>
  <c r="AC402" i="4"/>
  <c r="AJ402" i="4" s="1"/>
  <c r="AA1256" i="4"/>
  <c r="I1256" i="4" s="1"/>
  <c r="AC1152" i="4"/>
  <c r="AD1152" i="4" s="1"/>
  <c r="AC656" i="4"/>
  <c r="AJ656" i="4" s="1"/>
  <c r="AN55" i="19"/>
  <c r="AO55" i="19" s="1"/>
  <c r="AN63" i="19"/>
  <c r="AO63" i="19" s="1"/>
  <c r="AN75" i="19"/>
  <c r="AO75" i="19" s="1"/>
  <c r="AC1122" i="4"/>
  <c r="AJ1122" i="4" s="1"/>
  <c r="I40" i="23"/>
  <c r="F40" i="23"/>
  <c r="I40" i="21"/>
  <c r="F40" i="21"/>
  <c r="F82" i="24"/>
  <c r="D82" i="24" s="1"/>
  <c r="I82" i="24"/>
  <c r="AC516" i="4"/>
  <c r="AJ516" i="4" s="1"/>
  <c r="AA531" i="45"/>
  <c r="AA530" i="45"/>
  <c r="AB529" i="45"/>
  <c r="H939" i="4"/>
  <c r="G939" i="4" s="1"/>
  <c r="AC325" i="4"/>
  <c r="AJ325" i="4" s="1"/>
  <c r="AC684" i="4"/>
  <c r="AJ684" i="4" s="1"/>
  <c r="AC416" i="4"/>
  <c r="AJ416" i="4" s="1"/>
  <c r="AC403" i="4"/>
  <c r="AJ403" i="4" s="1"/>
  <c r="AC686" i="4"/>
  <c r="AJ686" i="4" s="1"/>
  <c r="F114" i="21"/>
  <c r="D114" i="21" s="1"/>
  <c r="I114" i="21"/>
  <c r="D64" i="23"/>
  <c r="H1254" i="4"/>
  <c r="AC1115" i="4"/>
  <c r="AJ1115" i="4" s="1"/>
  <c r="AC883" i="4"/>
  <c r="AJ883" i="4" s="1"/>
  <c r="AC867" i="4"/>
  <c r="AJ867" i="4" s="1"/>
  <c r="AC823" i="4"/>
  <c r="AJ823" i="4" s="1"/>
  <c r="AC705" i="4"/>
  <c r="AJ705" i="4" s="1"/>
  <c r="AC689" i="4"/>
  <c r="AJ689" i="4" s="1"/>
  <c r="AC709" i="4"/>
  <c r="AJ709" i="4" s="1"/>
  <c r="AC387" i="4"/>
  <c r="AJ387" i="4" s="1"/>
  <c r="AC347" i="4"/>
  <c r="AJ347" i="4" s="1"/>
  <c r="AC303" i="4"/>
  <c r="AJ303" i="4" s="1"/>
  <c r="AC259" i="4"/>
  <c r="AJ259" i="4" s="1"/>
  <c r="AC243" i="4"/>
  <c r="AJ243" i="4" s="1"/>
  <c r="AE56" i="20"/>
  <c r="H54" i="20"/>
  <c r="AN69" i="19"/>
  <c r="AO69" i="19" s="1"/>
  <c r="BI85" i="19"/>
  <c r="BG85" i="19"/>
  <c r="C100" i="25" s="1"/>
  <c r="Y89" i="19"/>
  <c r="U89" i="19"/>
  <c r="AB89" i="19"/>
  <c r="X89" i="19"/>
  <c r="AA89" i="19"/>
  <c r="W89" i="19"/>
  <c r="Z89" i="19"/>
  <c r="V89" i="19"/>
  <c r="BF89" i="19"/>
  <c r="C104" i="24" s="1"/>
  <c r="BH89" i="19"/>
  <c r="C104" i="26" s="1"/>
  <c r="I73" i="23"/>
  <c r="F73" i="23"/>
  <c r="F73" i="21"/>
  <c r="I73" i="21"/>
  <c r="AG1304" i="4"/>
  <c r="AA1261" i="4"/>
  <c r="I1261" i="4" s="1"/>
  <c r="AC1157" i="4"/>
  <c r="AD1157" i="4" s="1"/>
  <c r="AG1298" i="4"/>
  <c r="I1306" i="4"/>
  <c r="BD82" i="19"/>
  <c r="C97" i="22" s="1"/>
  <c r="BI82" i="19"/>
  <c r="BG82" i="19"/>
  <c r="C97" i="25" s="1"/>
  <c r="AA1305" i="4"/>
  <c r="I1305" i="4" s="1"/>
  <c r="AC1201" i="4"/>
  <c r="AD1201" i="4" s="1"/>
  <c r="F78" i="25"/>
  <c r="I78" i="25"/>
  <c r="F78" i="23"/>
  <c r="I78" i="23"/>
  <c r="AJ1239" i="4"/>
  <c r="V176" i="16"/>
  <c r="D92" i="23"/>
  <c r="AJ1211" i="4"/>
  <c r="BV55" i="5"/>
  <c r="C108" i="18"/>
  <c r="I108" i="23"/>
  <c r="F108" i="23"/>
  <c r="AJ57" i="20"/>
  <c r="AO57" i="20"/>
  <c r="BD26" i="19"/>
  <c r="C41" i="22" s="1"/>
  <c r="BI26" i="19"/>
  <c r="BG26" i="19"/>
  <c r="C41" i="25" s="1"/>
  <c r="BG104" i="19"/>
  <c r="C119" i="25" s="1"/>
  <c r="BD104" i="19"/>
  <c r="C119" i="22" s="1"/>
  <c r="BF64" i="19"/>
  <c r="C79" i="24" s="1"/>
  <c r="BH64" i="19"/>
  <c r="C79" i="26" s="1"/>
  <c r="F46" i="22"/>
  <c r="I46" i="22"/>
  <c r="C112" i="18"/>
  <c r="BJ97" i="19"/>
  <c r="BK97" i="19" s="1"/>
  <c r="AJ1171" i="4"/>
  <c r="AG1334" i="4"/>
  <c r="I1342" i="4"/>
  <c r="M38" i="44"/>
  <c r="N37" i="44"/>
  <c r="K6" i="29"/>
  <c r="J6" i="29"/>
  <c r="AJ1207" i="4"/>
  <c r="AJ1196" i="4"/>
  <c r="AG1319" i="4"/>
  <c r="AG1265" i="4"/>
  <c r="AC1302" i="4"/>
  <c r="AJ1198" i="4"/>
  <c r="DE53" i="5"/>
  <c r="CQ44" i="62"/>
  <c r="BC106" i="19"/>
  <c r="C121" i="21" s="1"/>
  <c r="BH106" i="19"/>
  <c r="C121" i="26" s="1"/>
  <c r="C47" i="18"/>
  <c r="F47" i="22"/>
  <c r="I47" i="22"/>
  <c r="F98" i="24"/>
  <c r="D98" i="24" s="1"/>
  <c r="I98" i="24"/>
  <c r="AC560" i="4"/>
  <c r="AJ560" i="4" s="1"/>
  <c r="AC906" i="4"/>
  <c r="AJ906" i="4" s="1"/>
  <c r="F66" i="21"/>
  <c r="I66" i="21"/>
  <c r="AA51" i="19"/>
  <c r="W51" i="19"/>
  <c r="Z51" i="19"/>
  <c r="V51" i="19"/>
  <c r="Y51" i="19"/>
  <c r="U51" i="19"/>
  <c r="AB51" i="19"/>
  <c r="X51" i="19"/>
  <c r="BF51" i="19"/>
  <c r="C66" i="24" s="1"/>
  <c r="AN71" i="19"/>
  <c r="AO71" i="19" s="1"/>
  <c r="AC957" i="4"/>
  <c r="AJ957" i="4" s="1"/>
  <c r="AN39" i="19"/>
  <c r="AO39" i="19" s="1"/>
  <c r="AC904" i="4"/>
  <c r="AJ904" i="4" s="1"/>
  <c r="AG1309" i="4"/>
  <c r="AD505" i="45"/>
  <c r="AC507" i="45"/>
  <c r="AC506" i="45"/>
  <c r="D90" i="21"/>
  <c r="AC795" i="4"/>
  <c r="AJ795" i="4" s="1"/>
  <c r="AC928" i="4"/>
  <c r="AJ928" i="4" s="1"/>
  <c r="AC618" i="4"/>
  <c r="AJ618" i="4" s="1"/>
  <c r="BG79" i="19"/>
  <c r="C94" i="25" s="1"/>
  <c r="AD155" i="4"/>
  <c r="V182" i="16"/>
  <c r="AC494" i="4"/>
  <c r="AJ494" i="4" s="1"/>
  <c r="AA1333" i="4"/>
  <c r="I1333" i="4" s="1"/>
  <c r="AC1229" i="4"/>
  <c r="AD1229" i="4" s="1"/>
  <c r="H28" i="19"/>
  <c r="BE28" i="19" s="1"/>
  <c r="C43" i="23" s="1"/>
  <c r="C114" i="18"/>
  <c r="BJ99" i="19"/>
  <c r="BK99" i="19" s="1"/>
  <c r="BE54" i="19"/>
  <c r="C69" i="23" s="1"/>
  <c r="AE1355" i="4"/>
  <c r="AE1356" i="4" s="1"/>
  <c r="AC1105" i="4"/>
  <c r="AJ1105" i="4" s="1"/>
  <c r="AC1089" i="4"/>
  <c r="AJ1089" i="4" s="1"/>
  <c r="AC973" i="4"/>
  <c r="AJ973" i="4" s="1"/>
  <c r="AC937" i="4"/>
  <c r="AJ937" i="4" s="1"/>
  <c r="AC905" i="4"/>
  <c r="AJ905" i="4" s="1"/>
  <c r="AC857" i="4"/>
  <c r="AJ857" i="4" s="1"/>
  <c r="AC821" i="4"/>
  <c r="AJ821" i="4" s="1"/>
  <c r="AC805" i="4"/>
  <c r="AJ805" i="4" s="1"/>
  <c r="AC757" i="4"/>
  <c r="AJ757" i="4" s="1"/>
  <c r="AC721" i="4"/>
  <c r="AJ721" i="4" s="1"/>
  <c r="AC493" i="4"/>
  <c r="AJ493" i="4" s="1"/>
  <c r="AC477" i="4"/>
  <c r="AJ477" i="4" s="1"/>
  <c r="AC409" i="4"/>
  <c r="AJ409" i="4" s="1"/>
  <c r="AC361" i="4"/>
  <c r="AJ361" i="4" s="1"/>
  <c r="AC345" i="4"/>
  <c r="AJ345" i="4" s="1"/>
  <c r="AC309" i="4"/>
  <c r="AJ309" i="4" s="1"/>
  <c r="AC293" i="4"/>
  <c r="AJ293" i="4" s="1"/>
  <c r="AC241" i="4"/>
  <c r="AJ241" i="4" s="1"/>
  <c r="AG1276" i="4"/>
  <c r="AE88" i="20"/>
  <c r="H86" i="20"/>
  <c r="AJ1174" i="4"/>
  <c r="AD254" i="4"/>
  <c r="Y1355" i="4"/>
  <c r="Y1356" i="4" s="1"/>
  <c r="BH101" i="19"/>
  <c r="C116" i="26" s="1"/>
  <c r="AA163" i="4"/>
  <c r="H163" i="4"/>
  <c r="H1307" i="4" s="1"/>
  <c r="G1307" i="4" s="1"/>
  <c r="AG1293" i="4"/>
  <c r="AC39" i="19"/>
  <c r="AD39" i="19" s="1"/>
  <c r="AC91" i="19"/>
  <c r="AD91" i="19" s="1"/>
  <c r="BB105" i="19"/>
  <c r="BI105" i="19"/>
  <c r="AD423" i="4"/>
  <c r="AD431" i="4"/>
  <c r="AG1296" i="4"/>
  <c r="AN79" i="19"/>
  <c r="AO79" i="19" s="1"/>
  <c r="AD1114" i="4"/>
  <c r="BJ37" i="19"/>
  <c r="BK37" i="19" s="1"/>
  <c r="AN45" i="19"/>
  <c r="AO45" i="19" s="1"/>
  <c r="AA1336" i="4"/>
  <c r="I1336" i="4" s="1"/>
  <c r="AC1232" i="4"/>
  <c r="AD1232" i="4" s="1"/>
  <c r="AJ1194" i="4"/>
  <c r="Z84" i="19"/>
  <c r="V84" i="19"/>
  <c r="Y84" i="19"/>
  <c r="U84" i="19"/>
  <c r="AB84" i="19"/>
  <c r="X84" i="19"/>
  <c r="AA84" i="19"/>
  <c r="W84" i="19"/>
  <c r="BG84" i="19"/>
  <c r="C99" i="25" s="1"/>
  <c r="BI84" i="19"/>
  <c r="I49" i="23"/>
  <c r="F49" i="23"/>
  <c r="F49" i="21"/>
  <c r="I49" i="21"/>
  <c r="AG1268" i="4"/>
  <c r="I92" i="26"/>
  <c r="F92" i="26"/>
  <c r="AC77" i="19"/>
  <c r="AD77" i="19" s="1"/>
  <c r="AG1263" i="4"/>
  <c r="AK41" i="20"/>
  <c r="AN41" i="20"/>
  <c r="H41" i="20" s="1"/>
  <c r="J41" i="20" s="1"/>
  <c r="AD350" i="4"/>
  <c r="F46" i="25"/>
  <c r="I46" i="25"/>
  <c r="I96" i="24"/>
  <c r="F96" i="24"/>
  <c r="BH62" i="19"/>
  <c r="C77" i="26" s="1"/>
  <c r="AJ318" i="4"/>
  <c r="AD633" i="4"/>
  <c r="AD641" i="4"/>
  <c r="AD291" i="4"/>
  <c r="AG1282" i="4"/>
  <c r="AD810" i="4"/>
  <c r="AN37" i="19"/>
  <c r="AO37" i="19" s="1"/>
  <c r="AN43" i="19"/>
  <c r="AO43" i="19" s="1"/>
  <c r="AD483" i="4"/>
  <c r="AD947" i="4"/>
  <c r="AD119" i="4"/>
  <c r="AD1142" i="4"/>
  <c r="AF47" i="5"/>
  <c r="AJ1221" i="4"/>
  <c r="I1292" i="4"/>
  <c r="AC1319" i="4"/>
  <c r="AJ1215" i="4"/>
  <c r="BB95" i="19"/>
  <c r="BG95" i="19"/>
  <c r="C110" i="25" s="1"/>
  <c r="AD439" i="4"/>
  <c r="AD114" i="4"/>
  <c r="AA1348" i="4"/>
  <c r="I1348" i="4" s="1"/>
  <c r="AD811" i="4"/>
  <c r="AG1286" i="4"/>
  <c r="AD498" i="4"/>
  <c r="BB40" i="19"/>
  <c r="Z52" i="19"/>
  <c r="V52" i="19"/>
  <c r="Y52" i="19"/>
  <c r="U52" i="19"/>
  <c r="AB52" i="19"/>
  <c r="X52" i="19"/>
  <c r="AA52" i="19"/>
  <c r="W52" i="19"/>
  <c r="BG52" i="19"/>
  <c r="C67" i="25" s="1"/>
  <c r="BI52" i="19"/>
  <c r="AD1140" i="4"/>
  <c r="H315" i="4"/>
  <c r="G315" i="4" s="1"/>
  <c r="AD217" i="4"/>
  <c r="AD490" i="4"/>
  <c r="AD312" i="4"/>
  <c r="AD116" i="4"/>
  <c r="AD332" i="4"/>
  <c r="AD548" i="4"/>
  <c r="AD348" i="4"/>
  <c r="AD980" i="4"/>
  <c r="AD780" i="4"/>
  <c r="AD996" i="4"/>
  <c r="AD830" i="4"/>
  <c r="F86" i="18"/>
  <c r="I86" i="18"/>
  <c r="AD703" i="4"/>
  <c r="AD1104" i="4"/>
  <c r="AD1036" i="4"/>
  <c r="AD1019" i="4"/>
  <c r="AD944" i="4"/>
  <c r="AD866" i="4"/>
  <c r="AD726" i="4"/>
  <c r="AD847" i="4"/>
  <c r="AD640" i="4"/>
  <c r="AD542" i="4"/>
  <c r="AD500" i="4"/>
  <c r="AD391" i="4"/>
  <c r="AD424" i="4"/>
  <c r="AJ1184" i="4"/>
  <c r="AD44" i="4"/>
  <c r="AD568" i="4"/>
  <c r="BJ43" i="19"/>
  <c r="BK43" i="19" s="1"/>
  <c r="BJ31" i="19"/>
  <c r="BK31" i="19" s="1"/>
  <c r="AJ1231" i="4"/>
  <c r="AD399" i="4"/>
  <c r="AD127" i="4"/>
  <c r="AD396" i="4"/>
  <c r="AD1032" i="4"/>
  <c r="AD200" i="4"/>
  <c r="AD306" i="4"/>
  <c r="AD912" i="4"/>
  <c r="AD64" i="4"/>
  <c r="AD588" i="4"/>
  <c r="AD804" i="4"/>
  <c r="AD506" i="4"/>
  <c r="AD1120" i="4"/>
  <c r="AD288" i="4"/>
  <c r="AD292" i="4"/>
  <c r="AD96" i="4"/>
  <c r="AD202" i="4"/>
  <c r="AD748" i="4"/>
  <c r="AD851" i="4"/>
  <c r="AD767" i="4"/>
  <c r="AD735" i="4"/>
  <c r="AD668" i="4"/>
  <c r="AD636" i="4"/>
  <c r="AD395" i="4"/>
  <c r="AD444" i="4"/>
  <c r="AD428" i="4"/>
  <c r="AD410" i="4"/>
  <c r="AD354" i="4"/>
  <c r="AD272" i="4"/>
  <c r="AD902" i="4"/>
  <c r="AD724" i="4"/>
  <c r="AD528" i="4"/>
  <c r="AD20" i="4"/>
  <c r="AD652" i="4"/>
  <c r="AD344" i="4"/>
  <c r="AD36" i="4"/>
  <c r="AD252" i="4"/>
  <c r="AD160" i="4"/>
  <c r="AD934" i="4"/>
  <c r="AD97" i="4"/>
  <c r="AD1022" i="4"/>
  <c r="AD820" i="4"/>
  <c r="AD113" i="4"/>
  <c r="AD745" i="4"/>
  <c r="AD437" i="4"/>
  <c r="AD37" i="4"/>
  <c r="D68" i="22"/>
  <c r="AJ1208" i="4"/>
  <c r="AD900" i="4"/>
  <c r="AD1008" i="4"/>
  <c r="AD1116" i="4"/>
  <c r="AD81" i="4"/>
  <c r="AD607" i="4"/>
  <c r="AD1016" i="4"/>
  <c r="AD184" i="4"/>
  <c r="H14" i="19"/>
  <c r="BB14" i="19" s="1"/>
  <c r="I84" i="23"/>
  <c r="F84" i="23"/>
  <c r="F74" i="26"/>
  <c r="I74" i="26"/>
  <c r="I89" i="21"/>
  <c r="F89" i="21"/>
  <c r="AC935" i="4"/>
  <c r="AJ935" i="4" s="1"/>
  <c r="AC727" i="4"/>
  <c r="AJ727" i="4" s="1"/>
  <c r="AC617" i="4"/>
  <c r="AJ617" i="4" s="1"/>
  <c r="H56" i="19"/>
  <c r="BE56" i="19" s="1"/>
  <c r="C71" i="23" s="1"/>
  <c r="I89" i="22"/>
  <c r="F89" i="22"/>
  <c r="AC719" i="4"/>
  <c r="AJ719" i="4" s="1"/>
  <c r="BG35" i="19"/>
  <c r="C50" i="25" s="1"/>
  <c r="D106" i="24"/>
  <c r="AD783" i="4"/>
  <c r="AD38" i="4"/>
  <c r="AA1329" i="4"/>
  <c r="I1329" i="4" s="1"/>
  <c r="AC1225" i="4"/>
  <c r="AD1225" i="4" s="1"/>
  <c r="AD327" i="4"/>
  <c r="AD126" i="4"/>
  <c r="AC1331" i="4"/>
  <c r="AJ1227" i="4"/>
  <c r="I113" i="22"/>
  <c r="F113" i="22"/>
  <c r="H139" i="4"/>
  <c r="H1283" i="4" s="1"/>
  <c r="G1283" i="4" s="1"/>
  <c r="AA139" i="4"/>
  <c r="I44" i="25"/>
  <c r="F44" i="25"/>
  <c r="I1268" i="4"/>
  <c r="AA1277" i="4"/>
  <c r="I1277" i="4" s="1"/>
  <c r="AC1173" i="4"/>
  <c r="AD1173" i="4" s="1"/>
  <c r="F86" i="23"/>
  <c r="I86" i="23"/>
  <c r="AK107" i="19"/>
  <c r="AN23" i="19"/>
  <c r="AO23" i="19" s="1"/>
  <c r="CQ55" i="5"/>
  <c r="DE54" i="5"/>
  <c r="I1263" i="4"/>
  <c r="I57" i="26"/>
  <c r="F57" i="26"/>
  <c r="C57" i="18"/>
  <c r="I93" i="22"/>
  <c r="F93" i="22"/>
  <c r="I93" i="25"/>
  <c r="F93" i="25"/>
  <c r="AJ1158" i="4"/>
  <c r="H179" i="4"/>
  <c r="H1323" i="4" s="1"/>
  <c r="G1323" i="4" s="1"/>
  <c r="AA179" i="4"/>
  <c r="AC1322" i="4"/>
  <c r="AJ1218" i="4"/>
  <c r="I60" i="23"/>
  <c r="F60" i="23"/>
  <c r="I60" i="21"/>
  <c r="F60" i="21"/>
  <c r="AJ1153" i="4"/>
  <c r="AB66" i="19"/>
  <c r="X66" i="19"/>
  <c r="AA66" i="19"/>
  <c r="W66" i="19"/>
  <c r="Z66" i="19"/>
  <c r="V66" i="19"/>
  <c r="Y66" i="19"/>
  <c r="U66" i="19"/>
  <c r="BF66" i="19"/>
  <c r="C81" i="24" s="1"/>
  <c r="AB90" i="19"/>
  <c r="X90" i="19"/>
  <c r="AA90" i="19"/>
  <c r="W90" i="19"/>
  <c r="Z90" i="19"/>
  <c r="V90" i="19"/>
  <c r="Y90" i="19"/>
  <c r="U90" i="19"/>
  <c r="BD90" i="19"/>
  <c r="C105" i="22" s="1"/>
  <c r="C118" i="18"/>
  <c r="F118" i="25"/>
  <c r="I118" i="25"/>
  <c r="AB70" i="19"/>
  <c r="X70" i="19"/>
  <c r="AA70" i="19"/>
  <c r="W70" i="19"/>
  <c r="Z70" i="19"/>
  <c r="V70" i="19"/>
  <c r="Y70" i="19"/>
  <c r="U70" i="19"/>
  <c r="BF70" i="19"/>
  <c r="C85" i="24" s="1"/>
  <c r="AC106" i="20"/>
  <c r="AC107" i="20" s="1"/>
  <c r="AC90" i="20"/>
  <c r="AC91" i="20" s="1"/>
  <c r="AC58" i="20"/>
  <c r="AC59" i="20" s="1"/>
  <c r="AC74" i="20"/>
  <c r="AC75" i="20" s="1"/>
  <c r="AC26" i="20"/>
  <c r="AC27" i="20" s="1"/>
  <c r="AC42" i="20"/>
  <c r="AC43" i="20" s="1"/>
  <c r="H48" i="19"/>
  <c r="BD48" i="19" s="1"/>
  <c r="C63" i="22" s="1"/>
  <c r="AC1133" i="4"/>
  <c r="AJ1133" i="4" s="1"/>
  <c r="AC1085" i="4"/>
  <c r="AJ1085" i="4" s="1"/>
  <c r="AC1069" i="4"/>
  <c r="AJ1069" i="4" s="1"/>
  <c r="AC1017" i="4"/>
  <c r="AJ1017" i="4" s="1"/>
  <c r="AC985" i="4"/>
  <c r="AJ985" i="4" s="1"/>
  <c r="AC969" i="4"/>
  <c r="AJ969" i="4" s="1"/>
  <c r="AC933" i="4"/>
  <c r="AJ933" i="4" s="1"/>
  <c r="AC901" i="4"/>
  <c r="AJ901" i="4" s="1"/>
  <c r="AC885" i="4"/>
  <c r="AJ885" i="4" s="1"/>
  <c r="AC817" i="4"/>
  <c r="AJ817" i="4" s="1"/>
  <c r="AC801" i="4"/>
  <c r="AJ801" i="4" s="1"/>
  <c r="AC753" i="4"/>
  <c r="AJ753" i="4" s="1"/>
  <c r="AC717" i="4"/>
  <c r="AJ717" i="4" s="1"/>
  <c r="AC683" i="4"/>
  <c r="AJ683" i="4" s="1"/>
  <c r="AC667" i="4"/>
  <c r="AJ667" i="4" s="1"/>
  <c r="AC623" i="4"/>
  <c r="AJ623" i="4" s="1"/>
  <c r="AC583" i="4"/>
  <c r="AJ583" i="4" s="1"/>
  <c r="AC457" i="4"/>
  <c r="AJ457" i="4" s="1"/>
  <c r="AC441" i="4"/>
  <c r="AJ441" i="4" s="1"/>
  <c r="AC405" i="4"/>
  <c r="AJ405" i="4" s="1"/>
  <c r="AC357" i="4"/>
  <c r="AJ357" i="4" s="1"/>
  <c r="AD341" i="4"/>
  <c r="AC341" i="4"/>
  <c r="AJ341" i="4" s="1"/>
  <c r="AC289" i="4"/>
  <c r="AJ289" i="4" s="1"/>
  <c r="AC269" i="4"/>
  <c r="AJ269" i="4" s="1"/>
  <c r="AA1354" i="4"/>
  <c r="I1354" i="4" s="1"/>
  <c r="AC1250" i="4"/>
  <c r="F102" i="21"/>
  <c r="AA87" i="19"/>
  <c r="W87" i="19"/>
  <c r="Z87" i="19"/>
  <c r="V87" i="19"/>
  <c r="Y87" i="19"/>
  <c r="U87" i="19"/>
  <c r="AB87" i="19"/>
  <c r="X87" i="19"/>
  <c r="BF87" i="19"/>
  <c r="C102" i="24" s="1"/>
  <c r="AG1320" i="4"/>
  <c r="AJ1206" i="4"/>
  <c r="AG1295" i="4"/>
  <c r="I56" i="18"/>
  <c r="F56" i="18"/>
  <c r="D44" i="21"/>
  <c r="F70" i="21"/>
  <c r="I70" i="21"/>
  <c r="AA55" i="19"/>
  <c r="W55" i="19"/>
  <c r="Z55" i="19"/>
  <c r="V55" i="19"/>
  <c r="Y55" i="19"/>
  <c r="U55" i="19"/>
  <c r="AB55" i="19"/>
  <c r="X55" i="19"/>
  <c r="BF55" i="19"/>
  <c r="C70" i="24" s="1"/>
  <c r="AC1260" i="4"/>
  <c r="AJ1156" i="4"/>
  <c r="F86" i="24"/>
  <c r="I86" i="24"/>
  <c r="AA523" i="4"/>
  <c r="AJ1197" i="4"/>
  <c r="AA94" i="19"/>
  <c r="W94" i="19"/>
  <c r="Y94" i="19"/>
  <c r="U94" i="19"/>
  <c r="V94" i="19"/>
  <c r="AB94" i="19"/>
  <c r="Z94" i="19"/>
  <c r="X94" i="19"/>
  <c r="BC94" i="19"/>
  <c r="C109" i="21" s="1"/>
  <c r="BF94" i="19"/>
  <c r="C109" i="24" s="1"/>
  <c r="BC88" i="19"/>
  <c r="C103" i="21" s="1"/>
  <c r="AB30" i="19"/>
  <c r="X30" i="19"/>
  <c r="AA30" i="19"/>
  <c r="W30" i="19"/>
  <c r="Z30" i="19"/>
  <c r="V30" i="19"/>
  <c r="Y30" i="19"/>
  <c r="U30" i="19"/>
  <c r="BF30" i="19"/>
  <c r="C45" i="24" s="1"/>
  <c r="C87" i="18"/>
  <c r="F87" i="22"/>
  <c r="I87" i="22"/>
  <c r="F62" i="24"/>
  <c r="I62" i="24"/>
  <c r="I68" i="23"/>
  <c r="F68" i="23"/>
  <c r="AG1271" i="4"/>
  <c r="AG1287" i="4"/>
  <c r="DL53" i="5"/>
  <c r="AC1274" i="4"/>
  <c r="AJ1170" i="4"/>
  <c r="AC1350" i="4"/>
  <c r="AJ1246" i="4"/>
  <c r="AJ1185" i="4"/>
  <c r="AN101" i="19"/>
  <c r="AO101" i="19" s="1"/>
  <c r="AM6" i="14"/>
  <c r="AH107" i="14"/>
  <c r="B6" i="19"/>
  <c r="X17" i="17"/>
  <c r="R17" i="17"/>
  <c r="L17" i="17"/>
  <c r="F17" i="17"/>
  <c r="AA17" i="17"/>
  <c r="U17" i="17"/>
  <c r="O17" i="17"/>
  <c r="I17" i="17"/>
  <c r="AG1311" i="4"/>
  <c r="I1303" i="4"/>
  <c r="AG1300" i="4"/>
  <c r="AG1297" i="4"/>
  <c r="F42" i="24"/>
  <c r="I42" i="24"/>
  <c r="AG1302" i="4"/>
  <c r="BC36" i="19"/>
  <c r="C51" i="21" s="1"/>
  <c r="F59" i="24"/>
  <c r="I59" i="24"/>
  <c r="F59" i="26"/>
  <c r="I59" i="26"/>
  <c r="BH38" i="19"/>
  <c r="C53" i="26" s="1"/>
  <c r="AC219" i="4"/>
  <c r="AJ219" i="4" s="1"/>
  <c r="AC227" i="4"/>
  <c r="AJ227" i="4" s="1"/>
  <c r="AC1108" i="4"/>
  <c r="AJ1108" i="4" s="1"/>
  <c r="AC1082" i="4"/>
  <c r="AJ1082" i="4" s="1"/>
  <c r="AC67" i="4"/>
  <c r="AJ67" i="4" s="1"/>
  <c r="AC456" i="4"/>
  <c r="AJ456" i="4" s="1"/>
  <c r="AC711" i="4"/>
  <c r="AJ711" i="4" s="1"/>
  <c r="I40" i="25"/>
  <c r="F40" i="25"/>
  <c r="AC634" i="4"/>
  <c r="AJ634" i="4" s="1"/>
  <c r="AC642" i="4"/>
  <c r="AJ642" i="4" s="1"/>
  <c r="AC352" i="4"/>
  <c r="AJ352" i="4" s="1"/>
  <c r="AC307" i="4"/>
  <c r="AJ307" i="4" s="1"/>
  <c r="AC374" i="4"/>
  <c r="AJ374" i="4" s="1"/>
  <c r="CQ47" i="5"/>
  <c r="DE45" i="5"/>
  <c r="AA107" i="4"/>
  <c r="AC6" i="4"/>
  <c r="AD6" i="4" s="1"/>
  <c r="Y90" i="20"/>
  <c r="Y91" i="20" s="1"/>
  <c r="Y106" i="20"/>
  <c r="Y107" i="20" s="1"/>
  <c r="Y74" i="20"/>
  <c r="Y75" i="20" s="1"/>
  <c r="Y58" i="20"/>
  <c r="Y59" i="20" s="1"/>
  <c r="Y26" i="20"/>
  <c r="Y27" i="20" s="1"/>
  <c r="Y42" i="20"/>
  <c r="Y43" i="20" s="1"/>
  <c r="F114" i="22"/>
  <c r="I114" i="22"/>
  <c r="AC1091" i="4"/>
  <c r="AJ1091" i="4" s="1"/>
  <c r="AC1075" i="4"/>
  <c r="AJ1075" i="4" s="1"/>
  <c r="AC1031" i="4"/>
  <c r="AJ1031" i="4" s="1"/>
  <c r="AC983" i="4"/>
  <c r="AJ983" i="4" s="1"/>
  <c r="AC907" i="4"/>
  <c r="AJ907" i="4" s="1"/>
  <c r="AC775" i="4"/>
  <c r="AJ775" i="4" s="1"/>
  <c r="AC673" i="4"/>
  <c r="AJ673" i="4" s="1"/>
  <c r="AC657" i="4"/>
  <c r="AJ657" i="4" s="1"/>
  <c r="AC621" i="4"/>
  <c r="AJ621" i="4" s="1"/>
  <c r="AC605" i="4"/>
  <c r="AJ605" i="4" s="1"/>
  <c r="AC589" i="4"/>
  <c r="AJ589" i="4" s="1"/>
  <c r="AC573" i="4"/>
  <c r="AJ573" i="4" s="1"/>
  <c r="AC557" i="4"/>
  <c r="AJ557" i="4" s="1"/>
  <c r="AC521" i="4"/>
  <c r="AJ521" i="4" s="1"/>
  <c r="AC463" i="4"/>
  <c r="AJ463" i="4" s="1"/>
  <c r="AC363" i="4"/>
  <c r="AJ363" i="4" s="1"/>
  <c r="AC283" i="4"/>
  <c r="AJ283" i="4" s="1"/>
  <c r="R59" i="20"/>
  <c r="AE24" i="20"/>
  <c r="H22" i="20"/>
  <c r="AG1278" i="4"/>
  <c r="AG1338" i="4"/>
  <c r="AA1346" i="4"/>
  <c r="I1346" i="4" s="1"/>
  <c r="AC1242" i="4"/>
  <c r="AD1242" i="4" s="1"/>
  <c r="BB85" i="19"/>
  <c r="I1318" i="4"/>
  <c r="I104" i="23"/>
  <c r="F104" i="23"/>
  <c r="I104" i="21"/>
  <c r="F104" i="21"/>
  <c r="D104" i="21" s="1"/>
  <c r="I73" i="22"/>
  <c r="F73" i="22"/>
  <c r="I73" i="25"/>
  <c r="F73" i="25"/>
  <c r="D73" i="25" s="1"/>
  <c r="I52" i="26"/>
  <c r="F52" i="26"/>
  <c r="AC37" i="19"/>
  <c r="AD37" i="19" s="1"/>
  <c r="AG1336" i="4"/>
  <c r="AJ1195" i="4"/>
  <c r="BH82" i="19"/>
  <c r="C97" i="26" s="1"/>
  <c r="BE96" i="19"/>
  <c r="C111" i="23" s="1"/>
  <c r="H96" i="19"/>
  <c r="BF96" i="19" s="1"/>
  <c r="C111" i="24" s="1"/>
  <c r="I44" i="26"/>
  <c r="F44" i="26"/>
  <c r="AC29" i="19"/>
  <c r="AD29" i="19" s="1"/>
  <c r="F78" i="22"/>
  <c r="I78" i="22"/>
  <c r="AG731" i="4"/>
  <c r="N4" i="12" s="1"/>
  <c r="M155" i="16"/>
  <c r="F86" i="26"/>
  <c r="I86" i="26"/>
  <c r="AN95" i="19"/>
  <c r="AO95" i="19" s="1"/>
  <c r="AN107" i="14"/>
  <c r="D28" i="15"/>
  <c r="D39" i="15" s="1"/>
  <c r="D6" i="15" s="1"/>
  <c r="H20" i="19"/>
  <c r="BE20" i="19" s="1"/>
  <c r="C35" i="23" s="1"/>
  <c r="AN29" i="19"/>
  <c r="AO29" i="19" s="1"/>
  <c r="I108" i="22"/>
  <c r="F108" i="22"/>
  <c r="AG1272" i="4"/>
  <c r="AI57" i="20"/>
  <c r="AN57" i="20"/>
  <c r="H57" i="20" s="1"/>
  <c r="J57" i="20" s="1"/>
  <c r="AH57" i="20"/>
  <c r="BH26" i="19"/>
  <c r="C41" i="26" s="1"/>
  <c r="BC104" i="19"/>
  <c r="C119" i="21" s="1"/>
  <c r="BI104" i="19"/>
  <c r="BC64" i="19"/>
  <c r="C79" i="21" s="1"/>
  <c r="AN89" i="19"/>
  <c r="AO89" i="19" s="1"/>
  <c r="BJ47" i="19"/>
  <c r="BK47" i="19" s="1"/>
  <c r="I68" i="26"/>
  <c r="F68" i="26"/>
  <c r="AC53" i="19"/>
  <c r="AD53" i="19" s="1"/>
  <c r="D96" i="23"/>
  <c r="AJ1167" i="4"/>
  <c r="I1287" i="4"/>
  <c r="AJ1203" i="4"/>
  <c r="AA1323" i="4"/>
  <c r="AN67" i="19"/>
  <c r="AO67" i="19" s="1"/>
  <c r="AJ1247" i="4"/>
  <c r="BJ27" i="19"/>
  <c r="BK27" i="19" s="1"/>
  <c r="AD770" i="4"/>
  <c r="AD1198" i="4"/>
  <c r="BE106" i="19"/>
  <c r="C121" i="23" s="1"/>
  <c r="F47" i="24"/>
  <c r="I47" i="24"/>
  <c r="F47" i="26"/>
  <c r="I47" i="26"/>
  <c r="AC159" i="4"/>
  <c r="AJ159" i="4" s="1"/>
  <c r="AC430" i="4"/>
  <c r="AJ430" i="4" s="1"/>
  <c r="AC438" i="4"/>
  <c r="AJ438" i="4" s="1"/>
  <c r="AC342" i="4"/>
  <c r="AJ342" i="4" s="1"/>
  <c r="AC394" i="4"/>
  <c r="AJ394" i="4" s="1"/>
  <c r="AA1273" i="4"/>
  <c r="AC1169" i="4"/>
  <c r="AD1169" i="4" s="1"/>
  <c r="AN31" i="19"/>
  <c r="AO31" i="19" s="1"/>
  <c r="F66" i="25"/>
  <c r="I66" i="25"/>
  <c r="F66" i="23"/>
  <c r="I66" i="23"/>
  <c r="C72" i="18"/>
  <c r="BJ57" i="19"/>
  <c r="BK57" i="19" s="1"/>
  <c r="AC1068" i="4"/>
  <c r="AJ1068" i="4" s="1"/>
  <c r="AC608" i="4"/>
  <c r="AJ608" i="4" s="1"/>
  <c r="AC982" i="4"/>
  <c r="AJ982" i="4" s="1"/>
  <c r="AD1138" i="4"/>
  <c r="AC1138" i="4"/>
  <c r="AJ1138" i="4" s="1"/>
  <c r="F82" i="26"/>
  <c r="I82" i="26"/>
  <c r="AC75" i="19"/>
  <c r="AD75" i="19" s="1"/>
  <c r="H22" i="19"/>
  <c r="BB22" i="19" s="1"/>
  <c r="H211" i="4"/>
  <c r="G211" i="4" s="1"/>
  <c r="AC845" i="4"/>
  <c r="AJ845" i="4" s="1"/>
  <c r="AC853" i="4"/>
  <c r="AJ853" i="4" s="1"/>
  <c r="AC376" i="4"/>
  <c r="AJ376" i="4" s="1"/>
  <c r="AC919" i="4"/>
  <c r="AJ919" i="4" s="1"/>
  <c r="AC454" i="4"/>
  <c r="AJ454" i="4" s="1"/>
  <c r="F94" i="22"/>
  <c r="D94" i="22" s="1"/>
  <c r="I94" i="22"/>
  <c r="AC696" i="4"/>
  <c r="AJ696" i="4" s="1"/>
  <c r="BC60" i="19"/>
  <c r="C75" i="21" s="1"/>
  <c r="H60" i="19"/>
  <c r="BH60" i="19" s="1"/>
  <c r="C75" i="26" s="1"/>
  <c r="I64" i="26"/>
  <c r="F64" i="26"/>
  <c r="AC49" i="19"/>
  <c r="AD49" i="19" s="1"/>
  <c r="I69" i="22"/>
  <c r="F69" i="22"/>
  <c r="I69" i="25"/>
  <c r="F69" i="25"/>
  <c r="AA835" i="4"/>
  <c r="AC734" i="4"/>
  <c r="AD734" i="4" s="1"/>
  <c r="AC1137" i="4"/>
  <c r="AJ1137" i="4" s="1"/>
  <c r="AC1121" i="4"/>
  <c r="AJ1121" i="4" s="1"/>
  <c r="AC1073" i="4"/>
  <c r="AJ1073" i="4" s="1"/>
  <c r="AC1037" i="4"/>
  <c r="AJ1037" i="4" s="1"/>
  <c r="AC1021" i="4"/>
  <c r="AJ1021" i="4" s="1"/>
  <c r="AC1005" i="4"/>
  <c r="AJ1005" i="4" s="1"/>
  <c r="AC989" i="4"/>
  <c r="AJ989" i="4" s="1"/>
  <c r="AC921" i="4"/>
  <c r="AJ921" i="4" s="1"/>
  <c r="AC889" i="4"/>
  <c r="AJ889" i="4" s="1"/>
  <c r="AC873" i="4"/>
  <c r="AJ873" i="4" s="1"/>
  <c r="AC789" i="4"/>
  <c r="AJ789" i="4" s="1"/>
  <c r="AC773" i="4"/>
  <c r="AJ773" i="4" s="1"/>
  <c r="AC671" i="4"/>
  <c r="AJ671" i="4" s="1"/>
  <c r="AC595" i="4"/>
  <c r="AJ595" i="4" s="1"/>
  <c r="AC571" i="4"/>
  <c r="AJ571" i="4" s="1"/>
  <c r="AC555" i="4"/>
  <c r="AJ555" i="4" s="1"/>
  <c r="AC511" i="4"/>
  <c r="AJ511" i="4" s="1"/>
  <c r="AC461" i="4"/>
  <c r="AJ461" i="4" s="1"/>
  <c r="AC445" i="4"/>
  <c r="AJ445" i="4" s="1"/>
  <c r="AC393" i="4"/>
  <c r="AJ393" i="4" s="1"/>
  <c r="AC377" i="4"/>
  <c r="AJ377" i="4" s="1"/>
  <c r="AC273" i="4"/>
  <c r="AJ273" i="4" s="1"/>
  <c r="AC257" i="4"/>
  <c r="AJ257" i="4" s="1"/>
  <c r="R43" i="20"/>
  <c r="R91" i="20"/>
  <c r="AG1330" i="4"/>
  <c r="C116" i="18"/>
  <c r="AB101" i="19"/>
  <c r="X101" i="19"/>
  <c r="Z101" i="19"/>
  <c r="V101" i="19"/>
  <c r="Y101" i="19"/>
  <c r="W101" i="19"/>
  <c r="U101" i="19"/>
  <c r="AA101" i="19"/>
  <c r="BG101" i="19"/>
  <c r="C116" i="25" s="1"/>
  <c r="AG1258" i="4"/>
  <c r="AA1266" i="4"/>
  <c r="I1266" i="4" s="1"/>
  <c r="AG1347" i="4"/>
  <c r="F54" i="24"/>
  <c r="D54" i="24" s="1"/>
  <c r="I54" i="24"/>
  <c r="BD105" i="19"/>
  <c r="C120" i="22" s="1"/>
  <c r="I52" i="18"/>
  <c r="F52" i="18"/>
  <c r="AN91" i="19"/>
  <c r="AO91" i="19" s="1"/>
  <c r="C99" i="18"/>
  <c r="F99" i="22"/>
  <c r="I99" i="22"/>
  <c r="I49" i="22"/>
  <c r="F49" i="22"/>
  <c r="I49" i="25"/>
  <c r="F49" i="25"/>
  <c r="D49" i="25" s="1"/>
  <c r="D56" i="23"/>
  <c r="AG1277" i="4"/>
  <c r="I92" i="24"/>
  <c r="F92" i="24"/>
  <c r="AG627" i="4"/>
  <c r="L4" i="12" s="1"/>
  <c r="L155" i="16"/>
  <c r="AJ41" i="20"/>
  <c r="AH41" i="20"/>
  <c r="H92" i="19"/>
  <c r="BD92" i="19" s="1"/>
  <c r="C107" i="22" s="1"/>
  <c r="F62" i="22"/>
  <c r="D62" i="22" s="1"/>
  <c r="I62" i="22"/>
  <c r="I112" i="23"/>
  <c r="F112" i="23"/>
  <c r="AB62" i="19"/>
  <c r="X62" i="19"/>
  <c r="AA62" i="19"/>
  <c r="W62" i="19"/>
  <c r="Z62" i="19"/>
  <c r="V62" i="19"/>
  <c r="Y62" i="19"/>
  <c r="U62" i="19"/>
  <c r="BF62" i="19"/>
  <c r="C77" i="24" s="1"/>
  <c r="AC1339" i="4"/>
  <c r="AJ1235" i="4"/>
  <c r="AC1334" i="4"/>
  <c r="AJ1230" i="4"/>
  <c r="AG1353" i="4"/>
  <c r="AG1262" i="4"/>
  <c r="AN65" i="19"/>
  <c r="AO65" i="19" s="1"/>
  <c r="BD95" i="19"/>
  <c r="C110" i="22" s="1"/>
  <c r="F55" i="24"/>
  <c r="I55" i="24"/>
  <c r="F55" i="26"/>
  <c r="I55" i="26"/>
  <c r="C67" i="18"/>
  <c r="BJ52" i="19"/>
  <c r="BK52" i="19" s="1"/>
  <c r="F67" i="22"/>
  <c r="I67" i="22"/>
  <c r="AJ1205" i="4"/>
  <c r="CX54" i="5"/>
  <c r="DL54" i="5" s="1"/>
  <c r="AJ1212" i="4"/>
  <c r="AA1345" i="4"/>
  <c r="AA1259" i="4"/>
  <c r="I1259" i="4" s="1"/>
  <c r="F58" i="18"/>
  <c r="I58" i="18"/>
  <c r="F46" i="18"/>
  <c r="I46" i="18"/>
  <c r="BJ67" i="19"/>
  <c r="BK67" i="19" s="1"/>
  <c r="H1273" i="4"/>
  <c r="G1273" i="4" s="1"/>
  <c r="AA1313" i="4"/>
  <c r="I1313" i="4" s="1"/>
  <c r="AC1338" i="4"/>
  <c r="AJ1234" i="4"/>
  <c r="C74" i="18"/>
  <c r="I88" i="23"/>
  <c r="F88" i="23"/>
  <c r="AG211" i="4"/>
  <c r="D4" i="12" s="1"/>
  <c r="H155" i="16"/>
  <c r="I89" i="23"/>
  <c r="F89" i="23"/>
  <c r="AC995" i="4"/>
  <c r="AJ995" i="4" s="1"/>
  <c r="AC895" i="4"/>
  <c r="AJ895" i="4" s="1"/>
  <c r="AC669" i="4"/>
  <c r="AJ669" i="4" s="1"/>
  <c r="F74" i="21"/>
  <c r="I74" i="21"/>
  <c r="AA59" i="19"/>
  <c r="W59" i="19"/>
  <c r="Z59" i="19"/>
  <c r="V59" i="19"/>
  <c r="Y59" i="19"/>
  <c r="U59" i="19"/>
  <c r="AB59" i="19"/>
  <c r="X59" i="19"/>
  <c r="BF59" i="19"/>
  <c r="C74" i="24" s="1"/>
  <c r="AN57" i="19"/>
  <c r="AO57" i="19" s="1"/>
  <c r="AC1011" i="4"/>
  <c r="AJ1011" i="4" s="1"/>
  <c r="AC803" i="4"/>
  <c r="AJ803" i="4" s="1"/>
  <c r="AC763" i="4"/>
  <c r="AJ763" i="4" s="1"/>
  <c r="AC255" i="4"/>
  <c r="AJ255" i="4" s="1"/>
  <c r="I1258" i="4"/>
  <c r="AC1290" i="4"/>
  <c r="AJ1186" i="4"/>
  <c r="H76" i="19"/>
  <c r="BE76" i="19" s="1"/>
  <c r="C91" i="23" s="1"/>
  <c r="I56" i="24"/>
  <c r="F56" i="24"/>
  <c r="AH107" i="19"/>
  <c r="H19" i="19"/>
  <c r="BI19" i="19" s="1"/>
  <c r="D98" i="26"/>
  <c r="BG59" i="19"/>
  <c r="C74" i="25" s="1"/>
  <c r="BE59" i="19"/>
  <c r="C74" i="23" s="1"/>
  <c r="AD103" i="4"/>
  <c r="D82" i="22"/>
  <c r="D90" i="26"/>
  <c r="C88" i="18"/>
  <c r="I88" i="22"/>
  <c r="F88" i="22"/>
  <c r="AG939" i="4"/>
  <c r="R4" i="12" s="1"/>
  <c r="O155" i="16"/>
  <c r="H100" i="19"/>
  <c r="BD100" i="19" s="1"/>
  <c r="C115" i="22" s="1"/>
  <c r="I89" i="26"/>
  <c r="F89" i="26"/>
  <c r="AA1254" i="4"/>
  <c r="AA1251" i="4"/>
  <c r="AD1150" i="4"/>
  <c r="AC1150" i="4"/>
  <c r="AC1135" i="4"/>
  <c r="AJ1135" i="4" s="1"/>
  <c r="AC1087" i="4"/>
  <c r="AJ1087" i="4" s="1"/>
  <c r="AC987" i="4"/>
  <c r="AJ987" i="4" s="1"/>
  <c r="AC971" i="4"/>
  <c r="AJ971" i="4" s="1"/>
  <c r="AC927" i="4"/>
  <c r="AJ927" i="4" s="1"/>
  <c r="AC779" i="4"/>
  <c r="AJ779" i="4" s="1"/>
  <c r="AC677" i="4"/>
  <c r="AJ677" i="4" s="1"/>
  <c r="AC661" i="4"/>
  <c r="AJ661" i="4" s="1"/>
  <c r="AC625" i="4"/>
  <c r="AJ625" i="4" s="1"/>
  <c r="AC609" i="4"/>
  <c r="AJ609" i="4" s="1"/>
  <c r="AC593" i="4"/>
  <c r="AJ593" i="4" s="1"/>
  <c r="AC561" i="4"/>
  <c r="AJ561" i="4" s="1"/>
  <c r="AC545" i="4"/>
  <c r="AJ545" i="4" s="1"/>
  <c r="AC491" i="4"/>
  <c r="AJ491" i="4" s="1"/>
  <c r="AC451" i="4"/>
  <c r="AJ451" i="4" s="1"/>
  <c r="AC407" i="4"/>
  <c r="AJ407" i="4" s="1"/>
  <c r="AC359" i="4"/>
  <c r="AJ359" i="4" s="1"/>
  <c r="AD14" i="4"/>
  <c r="AA1330" i="4"/>
  <c r="I1330" i="4" s="1"/>
  <c r="AC1226" i="4"/>
  <c r="AD1226" i="4" s="1"/>
  <c r="AA1321" i="4"/>
  <c r="I1321" i="4" s="1"/>
  <c r="AC1217" i="4"/>
  <c r="AD1217" i="4" s="1"/>
  <c r="BD35" i="19"/>
  <c r="C50" i="22" s="1"/>
  <c r="BI35" i="19"/>
  <c r="AD1067" i="4"/>
  <c r="AC1347" i="4"/>
  <c r="AJ1243" i="4"/>
  <c r="AD147" i="4"/>
  <c r="AD994" i="4"/>
  <c r="AG1327" i="4"/>
  <c r="AD218" i="4"/>
  <c r="AD226" i="4"/>
  <c r="AD263" i="4"/>
  <c r="AG1269" i="4"/>
  <c r="AD1227" i="4"/>
  <c r="AD1186" i="4"/>
  <c r="AD1006" i="4"/>
  <c r="BC98" i="19"/>
  <c r="C113" i="21" s="1"/>
  <c r="BH98" i="19"/>
  <c r="C113" i="26" s="1"/>
  <c r="BH68" i="19"/>
  <c r="C83" i="26" s="1"/>
  <c r="H68" i="19"/>
  <c r="BE68" i="19" s="1"/>
  <c r="C83" i="23" s="1"/>
  <c r="I80" i="21"/>
  <c r="F80" i="21"/>
  <c r="H7" i="19"/>
  <c r="BB7" i="19" s="1"/>
  <c r="AD247" i="4"/>
  <c r="AD744" i="4"/>
  <c r="I1284" i="4"/>
  <c r="AD204" i="4"/>
  <c r="AD562" i="4"/>
  <c r="AD290" i="4"/>
  <c r="AJ1237" i="4"/>
  <c r="F38" i="18"/>
  <c r="I38" i="18"/>
  <c r="F86" i="25"/>
  <c r="I86" i="25"/>
  <c r="I92" i="18"/>
  <c r="F92" i="18"/>
  <c r="AJ526" i="4"/>
  <c r="AL107" i="19"/>
  <c r="AN6" i="19"/>
  <c r="AF107" i="19"/>
  <c r="AD19" i="4"/>
  <c r="AD443" i="4"/>
  <c r="AD948" i="4"/>
  <c r="AD161" i="4"/>
  <c r="AH25" i="62"/>
  <c r="AU25" i="62"/>
  <c r="AG1301" i="4"/>
  <c r="AB42" i="19"/>
  <c r="X42" i="19"/>
  <c r="AA42" i="19"/>
  <c r="W42" i="19"/>
  <c r="Z42" i="19"/>
  <c r="V42" i="19"/>
  <c r="Y42" i="19"/>
  <c r="U42" i="19"/>
  <c r="BF42" i="19"/>
  <c r="C57" i="24" s="1"/>
  <c r="BH78" i="19"/>
  <c r="C93" i="26" s="1"/>
  <c r="CX51" i="5"/>
  <c r="AC31" i="19"/>
  <c r="AD31" i="19" s="1"/>
  <c r="I1282" i="4"/>
  <c r="AG1283" i="4"/>
  <c r="AJ1249" i="4"/>
  <c r="AD111" i="4"/>
  <c r="AD1158" i="4"/>
  <c r="AC63" i="4"/>
  <c r="AJ63" i="4" s="1"/>
  <c r="AD480" i="4"/>
  <c r="AD71" i="4"/>
  <c r="AD146" i="4"/>
  <c r="AD1218" i="4"/>
  <c r="AD1048" i="4"/>
  <c r="AD660" i="4"/>
  <c r="AD85" i="4"/>
  <c r="BI45" i="19"/>
  <c r="BG45" i="19"/>
  <c r="C60" i="25" s="1"/>
  <c r="AD1153" i="4"/>
  <c r="AD923" i="4"/>
  <c r="AD30" i="4"/>
  <c r="AD910" i="4"/>
  <c r="BE66" i="19"/>
  <c r="C81" i="23" s="1"/>
  <c r="BC66" i="19"/>
  <c r="C81" i="21" s="1"/>
  <c r="BC90" i="19"/>
  <c r="C105" i="21" s="1"/>
  <c r="BH90" i="19"/>
  <c r="C105" i="26" s="1"/>
  <c r="D98" i="22"/>
  <c r="F118" i="22"/>
  <c r="I118" i="22"/>
  <c r="F118" i="23"/>
  <c r="I118" i="23"/>
  <c r="AG315" i="4"/>
  <c r="F4" i="12" s="1"/>
  <c r="I155" i="16"/>
  <c r="D82" i="23"/>
  <c r="D90" i="22"/>
  <c r="BE70" i="19"/>
  <c r="C85" i="23" s="1"/>
  <c r="BC70" i="19"/>
  <c r="C85" i="21" s="1"/>
  <c r="AG1043" i="4"/>
  <c r="T4" i="12" s="1"/>
  <c r="P155" i="16"/>
  <c r="AC23" i="4"/>
  <c r="AJ23" i="4" s="1"/>
  <c r="X90" i="20"/>
  <c r="X91" i="20" s="1"/>
  <c r="X74" i="20"/>
  <c r="X75" i="20" s="1"/>
  <c r="X106" i="20"/>
  <c r="X107" i="20" s="1"/>
  <c r="X26" i="20"/>
  <c r="X27" i="20" s="1"/>
  <c r="X58" i="20"/>
  <c r="X59" i="20" s="1"/>
  <c r="X42" i="20"/>
  <c r="X43" i="20" s="1"/>
  <c r="H86" i="19"/>
  <c r="BB86" i="19" s="1"/>
  <c r="D114" i="24"/>
  <c r="AC1109" i="4"/>
  <c r="AJ1109" i="4" s="1"/>
  <c r="AC1093" i="4"/>
  <c r="AJ1093" i="4" s="1"/>
  <c r="AC1041" i="4"/>
  <c r="AJ1041" i="4" s="1"/>
  <c r="AC1009" i="4"/>
  <c r="AJ1009" i="4" s="1"/>
  <c r="AC909" i="4"/>
  <c r="AJ909" i="4" s="1"/>
  <c r="AC861" i="4"/>
  <c r="AJ861" i="4" s="1"/>
  <c r="AC793" i="4"/>
  <c r="AJ793" i="4" s="1"/>
  <c r="AC777" i="4"/>
  <c r="AJ777" i="4" s="1"/>
  <c r="AC725" i="4"/>
  <c r="AJ725" i="4" s="1"/>
  <c r="AC567" i="4"/>
  <c r="AJ567" i="4" s="1"/>
  <c r="AC713" i="4"/>
  <c r="AJ713" i="4" s="1"/>
  <c r="AC465" i="4"/>
  <c r="AJ465" i="4" s="1"/>
  <c r="AC449" i="4"/>
  <c r="AJ449" i="4" s="1"/>
  <c r="AC413" i="4"/>
  <c r="AJ413" i="4" s="1"/>
  <c r="AC397" i="4"/>
  <c r="AJ397" i="4" s="1"/>
  <c r="AC349" i="4"/>
  <c r="AJ349" i="4" s="1"/>
  <c r="AC505" i="4"/>
  <c r="AJ505" i="4" s="1"/>
  <c r="AC245" i="4"/>
  <c r="AJ245" i="4" s="1"/>
  <c r="F102" i="25"/>
  <c r="I102" i="25"/>
  <c r="F102" i="23"/>
  <c r="I102" i="23"/>
  <c r="AC79" i="4"/>
  <c r="AJ79" i="4" s="1"/>
  <c r="AA1269" i="4"/>
  <c r="I1269" i="4" s="1"/>
  <c r="AC1165" i="4"/>
  <c r="AD1165" i="4" s="1"/>
  <c r="AC1352" i="4"/>
  <c r="AJ1248" i="4"/>
  <c r="I80" i="26"/>
  <c r="F80" i="26"/>
  <c r="AC65" i="19"/>
  <c r="AD65" i="19" s="1"/>
  <c r="F70" i="25"/>
  <c r="D70" i="25" s="1"/>
  <c r="I70" i="25"/>
  <c r="F70" i="23"/>
  <c r="I70" i="23"/>
  <c r="AJ1151" i="4"/>
  <c r="I109" i="23"/>
  <c r="F109" i="23"/>
  <c r="I109" i="22"/>
  <c r="F109" i="22"/>
  <c r="Z88" i="19"/>
  <c r="V88" i="19"/>
  <c r="Y88" i="19"/>
  <c r="U88" i="19"/>
  <c r="AB88" i="19"/>
  <c r="X88" i="19"/>
  <c r="AA88" i="19"/>
  <c r="W88" i="19"/>
  <c r="BG88" i="19"/>
  <c r="C103" i="25" s="1"/>
  <c r="BI88" i="19"/>
  <c r="F45" i="23"/>
  <c r="F45" i="21"/>
  <c r="I45" i="21"/>
  <c r="F87" i="24"/>
  <c r="I87" i="24"/>
  <c r="F87" i="26"/>
  <c r="I87" i="26"/>
  <c r="AC1280" i="4"/>
  <c r="AJ1176" i="4"/>
  <c r="AJ1175" i="4"/>
  <c r="AJ1179" i="4"/>
  <c r="AA109" i="14"/>
  <c r="V107" i="14"/>
  <c r="T12" i="15"/>
  <c r="T16" i="15" s="1"/>
  <c r="I1314" i="4"/>
  <c r="AN113" i="14"/>
  <c r="I1332" i="4"/>
  <c r="Z36" i="19"/>
  <c r="V36" i="19"/>
  <c r="Y36" i="19"/>
  <c r="U36" i="19"/>
  <c r="AB36" i="19"/>
  <c r="X36" i="19"/>
  <c r="AA36" i="19"/>
  <c r="W36" i="19"/>
  <c r="BG36" i="19"/>
  <c r="C51" i="25" s="1"/>
  <c r="BI36" i="19"/>
  <c r="I59" i="21"/>
  <c r="F59" i="21"/>
  <c r="F59" i="23"/>
  <c r="I59" i="23"/>
  <c r="AB38" i="19"/>
  <c r="X38" i="19"/>
  <c r="AA38" i="19"/>
  <c r="W38" i="19"/>
  <c r="Z38" i="19"/>
  <c r="V38" i="19"/>
  <c r="Y38" i="19"/>
  <c r="U38" i="19"/>
  <c r="BF38" i="19"/>
  <c r="C53" i="24" s="1"/>
  <c r="H12" i="19"/>
  <c r="BE12" i="19" s="1"/>
  <c r="C27" i="23" s="1"/>
  <c r="H8" i="19"/>
  <c r="BE8" i="19" s="1"/>
  <c r="C23" i="23" s="1"/>
  <c r="I48" i="26"/>
  <c r="F48" i="26"/>
  <c r="AC33" i="19"/>
  <c r="AD33" i="19" s="1"/>
  <c r="AC183" i="4"/>
  <c r="AJ183" i="4" s="1"/>
  <c r="AC712" i="4"/>
  <c r="AJ712" i="4" s="1"/>
  <c r="I72" i="26"/>
  <c r="F72" i="26"/>
  <c r="AC57" i="19"/>
  <c r="AD57" i="19" s="1"/>
  <c r="AA1147" i="4"/>
  <c r="AC1046" i="4"/>
  <c r="AD1046" i="4" s="1"/>
  <c r="AC1070" i="4"/>
  <c r="AJ1070" i="4" s="1"/>
  <c r="H1309" i="4"/>
  <c r="G1309" i="4" s="1"/>
  <c r="C40" i="18"/>
  <c r="I40" i="22"/>
  <c r="F40" i="22"/>
  <c r="AT29" i="62"/>
  <c r="AC1107" i="4"/>
  <c r="AJ1107" i="4" s="1"/>
  <c r="AC1080" i="4"/>
  <c r="AJ1080" i="4" s="1"/>
  <c r="AC284" i="4"/>
  <c r="AJ284" i="4" s="1"/>
  <c r="T90" i="20"/>
  <c r="T91" i="20" s="1"/>
  <c r="T74" i="20"/>
  <c r="T75" i="20" s="1"/>
  <c r="T58" i="20"/>
  <c r="T59" i="20" s="1"/>
  <c r="T42" i="20"/>
  <c r="T43" i="20" s="1"/>
  <c r="T106" i="20"/>
  <c r="T107" i="20" s="1"/>
  <c r="T26" i="20"/>
  <c r="T27" i="20" s="1"/>
  <c r="AC755" i="4"/>
  <c r="AJ755" i="4" s="1"/>
  <c r="AG835" i="4"/>
  <c r="P4" i="12" s="1"/>
  <c r="N155" i="16"/>
  <c r="AC1083" i="4"/>
  <c r="AJ1083" i="4" s="1"/>
  <c r="AC891" i="4"/>
  <c r="AJ891" i="4" s="1"/>
  <c r="AC831" i="4"/>
  <c r="AJ831" i="4" s="1"/>
  <c r="AC791" i="4"/>
  <c r="AJ791" i="4" s="1"/>
  <c r="AC759" i="4"/>
  <c r="AJ759" i="4" s="1"/>
  <c r="AC665" i="4"/>
  <c r="AJ665" i="4" s="1"/>
  <c r="AC565" i="4"/>
  <c r="AJ565" i="4" s="1"/>
  <c r="AC479" i="4"/>
  <c r="AJ479" i="4" s="1"/>
  <c r="AC371" i="4"/>
  <c r="AJ371" i="4" s="1"/>
  <c r="AC501" i="4"/>
  <c r="AJ501" i="4" s="1"/>
  <c r="AC267" i="4"/>
  <c r="AJ267" i="4" s="1"/>
  <c r="Y85" i="19"/>
  <c r="U85" i="19"/>
  <c r="AB85" i="19"/>
  <c r="X85" i="19"/>
  <c r="AA85" i="19"/>
  <c r="W85" i="19"/>
  <c r="Z85" i="19"/>
  <c r="V85" i="19"/>
  <c r="BF85" i="19"/>
  <c r="C100" i="24" s="1"/>
  <c r="BH85" i="19"/>
  <c r="C100" i="26" s="1"/>
  <c r="I104" i="25"/>
  <c r="F104" i="25"/>
  <c r="I73" i="26"/>
  <c r="F73" i="26"/>
  <c r="C73" i="18"/>
  <c r="AA1320" i="4"/>
  <c r="I1320" i="4" s="1"/>
  <c r="AC1216" i="4"/>
  <c r="AD1216" i="4" s="1"/>
  <c r="I52" i="24"/>
  <c r="F52" i="24"/>
  <c r="BH30" i="5"/>
  <c r="AJ1191" i="4"/>
  <c r="AJ1202" i="4"/>
  <c r="AB82" i="19"/>
  <c r="X82" i="19"/>
  <c r="AA82" i="19"/>
  <c r="W82" i="19"/>
  <c r="Z82" i="19"/>
  <c r="V82" i="19"/>
  <c r="Y82" i="19"/>
  <c r="U82" i="19"/>
  <c r="BF82" i="19"/>
  <c r="C97" i="24" s="1"/>
  <c r="C80" i="18"/>
  <c r="BJ65" i="19"/>
  <c r="BK65" i="19" s="1"/>
  <c r="H17" i="19"/>
  <c r="BD17" i="19" s="1"/>
  <c r="C32" i="22" s="1"/>
  <c r="I44" i="24"/>
  <c r="F44" i="24"/>
  <c r="F78" i="26"/>
  <c r="I78" i="26"/>
  <c r="C78" i="18"/>
  <c r="AA1343" i="4"/>
  <c r="I1343" i="4" s="1"/>
  <c r="AA1315" i="4"/>
  <c r="I1315" i="4" s="1"/>
  <c r="C76" i="18"/>
  <c r="BJ61" i="19"/>
  <c r="BK61" i="19" s="1"/>
  <c r="I108" i="24"/>
  <c r="F108" i="24"/>
  <c r="I108" i="21"/>
  <c r="F108" i="21"/>
  <c r="AM57" i="20"/>
  <c r="AL57" i="20"/>
  <c r="AB26" i="19"/>
  <c r="X26" i="19"/>
  <c r="AA26" i="19"/>
  <c r="W26" i="19"/>
  <c r="Z26" i="19"/>
  <c r="V26" i="19"/>
  <c r="Y26" i="19"/>
  <c r="U26" i="19"/>
  <c r="BF26" i="19"/>
  <c r="C41" i="24" s="1"/>
  <c r="Y104" i="19"/>
  <c r="U104" i="19"/>
  <c r="AA104" i="19"/>
  <c r="W104" i="19"/>
  <c r="AB104" i="19"/>
  <c r="Z104" i="19"/>
  <c r="X104" i="19"/>
  <c r="V104" i="19"/>
  <c r="BB104" i="19"/>
  <c r="Z64" i="19"/>
  <c r="V64" i="19"/>
  <c r="Y64" i="19"/>
  <c r="U64" i="19"/>
  <c r="AB64" i="19"/>
  <c r="X64" i="19"/>
  <c r="AA64" i="19"/>
  <c r="W64" i="19"/>
  <c r="BG64" i="19"/>
  <c r="C79" i="25" s="1"/>
  <c r="BI64" i="19"/>
  <c r="F62" i="18"/>
  <c r="D62" i="18" s="1"/>
  <c r="I62" i="18"/>
  <c r="I68" i="24"/>
  <c r="F68" i="24"/>
  <c r="AA1275" i="4"/>
  <c r="I1275" i="4" s="1"/>
  <c r="AG419" i="4"/>
  <c r="H4" i="12" s="1"/>
  <c r="J155" i="16"/>
  <c r="AC1342" i="4"/>
  <c r="AJ1238" i="4"/>
  <c r="I7" i="29"/>
  <c r="K7" i="29" s="1"/>
  <c r="H8" i="29"/>
  <c r="G7" i="29"/>
  <c r="J7" i="29"/>
  <c r="I1300" i="4"/>
  <c r="AJ1193" i="4"/>
  <c r="F42" i="18"/>
  <c r="I42" i="18"/>
  <c r="I1302" i="4"/>
  <c r="AA106" i="19"/>
  <c r="W106" i="19"/>
  <c r="Y106" i="19"/>
  <c r="U106" i="19"/>
  <c r="Z106" i="19"/>
  <c r="X106" i="19"/>
  <c r="V106" i="19"/>
  <c r="AB106" i="19"/>
  <c r="BG106" i="19"/>
  <c r="C121" i="25" s="1"/>
  <c r="BF106" i="19"/>
  <c r="C121" i="24" s="1"/>
  <c r="I47" i="21"/>
  <c r="F47" i="21"/>
  <c r="F47" i="23"/>
  <c r="I47" i="23"/>
  <c r="H1337" i="4"/>
  <c r="G1337" i="4" s="1"/>
  <c r="F66" i="22"/>
  <c r="I66" i="22"/>
  <c r="AC1079" i="4"/>
  <c r="AJ1079" i="4" s="1"/>
  <c r="H1264" i="4"/>
  <c r="G1264" i="4" s="1"/>
  <c r="AC884" i="4"/>
  <c r="AJ884" i="4" s="1"/>
  <c r="AC894" i="4"/>
  <c r="AJ894" i="4" s="1"/>
  <c r="F90" i="24"/>
  <c r="I90" i="24"/>
  <c r="AC384" i="4"/>
  <c r="AJ384" i="4" s="1"/>
  <c r="H1281" i="4"/>
  <c r="G1281" i="4" s="1"/>
  <c r="AT23" i="62"/>
  <c r="F94" i="26"/>
  <c r="I94" i="26"/>
  <c r="C94" i="18"/>
  <c r="AC952" i="4"/>
  <c r="AJ952" i="4" s="1"/>
  <c r="BC50" i="19"/>
  <c r="C65" i="21" s="1"/>
  <c r="H50" i="19"/>
  <c r="BB50" i="19" s="1"/>
  <c r="I64" i="24"/>
  <c r="F64" i="24"/>
  <c r="I69" i="26"/>
  <c r="F69" i="26"/>
  <c r="AI1254" i="4"/>
  <c r="AI1251" i="4"/>
  <c r="AC1145" i="4"/>
  <c r="AJ1145" i="4" s="1"/>
  <c r="AC1129" i="4"/>
  <c r="AJ1129" i="4" s="1"/>
  <c r="AC1081" i="4"/>
  <c r="AJ1081" i="4" s="1"/>
  <c r="AD1065" i="4"/>
  <c r="AC1065" i="4"/>
  <c r="AJ1065" i="4" s="1"/>
  <c r="AC1029" i="4"/>
  <c r="AJ1029" i="4" s="1"/>
  <c r="AC997" i="4"/>
  <c r="AJ997" i="4" s="1"/>
  <c r="AC897" i="4"/>
  <c r="AJ897" i="4" s="1"/>
  <c r="AC881" i="4"/>
  <c r="AJ881" i="4" s="1"/>
  <c r="AC829" i="4"/>
  <c r="AJ829" i="4" s="1"/>
  <c r="AC781" i="4"/>
  <c r="AJ781" i="4" s="1"/>
  <c r="AC765" i="4"/>
  <c r="AJ765" i="4" s="1"/>
  <c r="AC687" i="4"/>
  <c r="AJ687" i="4" s="1"/>
  <c r="AC655" i="4"/>
  <c r="AJ655" i="4" s="1"/>
  <c r="AC519" i="4"/>
  <c r="AJ519" i="4" s="1"/>
  <c r="AC497" i="4"/>
  <c r="AJ497" i="4" s="1"/>
  <c r="AC485" i="4"/>
  <c r="AJ485" i="4" s="1"/>
  <c r="AC417" i="4"/>
  <c r="AJ417" i="4" s="1"/>
  <c r="AC401" i="4"/>
  <c r="AJ401" i="4" s="1"/>
  <c r="AC353" i="4"/>
  <c r="AJ353" i="4" s="1"/>
  <c r="AC337" i="4"/>
  <c r="AJ337" i="4" s="1"/>
  <c r="AC301" i="4"/>
  <c r="AJ301" i="4" s="1"/>
  <c r="AC281" i="4"/>
  <c r="AJ281" i="4" s="1"/>
  <c r="AC265" i="4"/>
  <c r="AJ265" i="4" s="1"/>
  <c r="AE40" i="20"/>
  <c r="H38" i="20"/>
  <c r="AA1278" i="4"/>
  <c r="I1278" i="4" s="1"/>
  <c r="I116" i="22"/>
  <c r="F116" i="22"/>
  <c r="I116" i="23"/>
  <c r="F116" i="23"/>
  <c r="AC59" i="4"/>
  <c r="AJ59" i="4" s="1"/>
  <c r="I120" i="24"/>
  <c r="F120" i="24"/>
  <c r="AB105" i="19"/>
  <c r="X105" i="19"/>
  <c r="Z105" i="19"/>
  <c r="V105" i="19"/>
  <c r="U105" i="19"/>
  <c r="AA105" i="19"/>
  <c r="Y105" i="19"/>
  <c r="W105" i="19"/>
  <c r="BG105" i="19"/>
  <c r="C120" i="25" s="1"/>
  <c r="F99" i="24"/>
  <c r="I99" i="24"/>
  <c r="F99" i="26"/>
  <c r="I99" i="26"/>
  <c r="C49" i="18"/>
  <c r="D13" i="19"/>
  <c r="AJ630" i="4"/>
  <c r="CJ44" i="62"/>
  <c r="G17" i="27"/>
  <c r="G18" i="27" s="1"/>
  <c r="C99" i="28"/>
  <c r="E24" i="28"/>
  <c r="H10" i="19"/>
  <c r="I76" i="25"/>
  <c r="F76" i="25"/>
  <c r="AJ1168" i="4"/>
  <c r="AO41" i="20"/>
  <c r="AM41" i="20"/>
  <c r="AL41" i="20"/>
  <c r="C68" i="18"/>
  <c r="BJ53" i="19"/>
  <c r="BK53" i="19" s="1"/>
  <c r="I112" i="26"/>
  <c r="F112" i="26"/>
  <c r="I77" i="23"/>
  <c r="F77" i="23"/>
  <c r="D77" i="23" s="1"/>
  <c r="F77" i="21"/>
  <c r="I77" i="21"/>
  <c r="AA419" i="4"/>
  <c r="E17" i="28"/>
  <c r="H17" i="28"/>
  <c r="D17" i="28"/>
  <c r="F17" i="28"/>
  <c r="G17" i="28"/>
  <c r="AC55" i="4"/>
  <c r="AJ55" i="4" s="1"/>
  <c r="AA1325" i="4"/>
  <c r="I1325" i="4" s="1"/>
  <c r="AC1292" i="4"/>
  <c r="AJ1188" i="4"/>
  <c r="I1319" i="4"/>
  <c r="Z95" i="19"/>
  <c r="V95" i="19"/>
  <c r="AB95" i="19"/>
  <c r="X95" i="19"/>
  <c r="W95" i="19"/>
  <c r="U95" i="19"/>
  <c r="AA95" i="19"/>
  <c r="Y95" i="19"/>
  <c r="BF95" i="19"/>
  <c r="C110" i="24" s="1"/>
  <c r="BI95" i="19"/>
  <c r="AC1348" i="4"/>
  <c r="AJ1244" i="4"/>
  <c r="AD695" i="4"/>
  <c r="AD619" i="4"/>
  <c r="AC1294" i="4"/>
  <c r="AJ1190" i="4"/>
  <c r="BH18" i="62"/>
  <c r="AT48" i="62"/>
  <c r="I55" i="21"/>
  <c r="F55" i="21"/>
  <c r="F55" i="23"/>
  <c r="I55" i="23"/>
  <c r="F67" i="24"/>
  <c r="D67" i="24" s="1"/>
  <c r="I67" i="24"/>
  <c r="F67" i="26"/>
  <c r="I67" i="26"/>
  <c r="AJ1245" i="4"/>
  <c r="AD175" i="4"/>
  <c r="AD1205" i="4"/>
  <c r="AD225" i="4"/>
  <c r="AD166" i="4"/>
  <c r="AD620" i="4"/>
  <c r="AD8" i="4"/>
  <c r="AD224" i="4"/>
  <c r="AD856" i="4"/>
  <c r="AD240" i="4"/>
  <c r="AD40" i="4"/>
  <c r="AD148" i="4"/>
  <c r="AD56" i="4"/>
  <c r="AJ1213" i="4"/>
  <c r="AD1119" i="4"/>
  <c r="AD1212" i="4"/>
  <c r="AD189" i="4"/>
  <c r="AD1127" i="4"/>
  <c r="AD1003" i="4"/>
  <c r="AD882" i="4"/>
  <c r="AD752" i="4"/>
  <c r="AD871" i="4"/>
  <c r="AD839" i="4"/>
  <c r="AD632" i="4"/>
  <c r="AD534" i="4"/>
  <c r="AD507" i="4"/>
  <c r="AD432" i="4"/>
  <c r="AD300" i="4"/>
  <c r="AA1288" i="4"/>
  <c r="I1288" i="4" s="1"/>
  <c r="AD984" i="4"/>
  <c r="AD1092" i="4"/>
  <c r="AA1335" i="4"/>
  <c r="I1335" i="4" s="1"/>
  <c r="AD89" i="4"/>
  <c r="AD916" i="4"/>
  <c r="AD84" i="4"/>
  <c r="AD616" i="4"/>
  <c r="AD722" i="4"/>
  <c r="F82" i="18"/>
  <c r="I82" i="18"/>
  <c r="AJ1177" i="4"/>
  <c r="H1043" i="4"/>
  <c r="G1043" i="4" s="1"/>
  <c r="D80" i="22"/>
  <c r="D76" i="22"/>
  <c r="AD896" i="4"/>
  <c r="AD1004" i="4"/>
  <c r="AD280" i="4"/>
  <c r="AD388" i="4"/>
  <c r="AD90" i="4"/>
  <c r="AD704" i="4"/>
  <c r="AD812" i="4"/>
  <c r="AD512" i="4"/>
  <c r="AD1034" i="4"/>
  <c r="AJ838" i="4"/>
  <c r="AD764" i="4"/>
  <c r="AD740" i="4"/>
  <c r="AD843" i="4"/>
  <c r="AD743" i="4"/>
  <c r="AD710" i="4"/>
  <c r="AD644" i="4"/>
  <c r="AD411" i="4"/>
  <c r="AD287" i="4"/>
  <c r="AD436" i="4"/>
  <c r="AD418" i="4"/>
  <c r="AD362" i="4"/>
  <c r="AD322" i="4"/>
  <c r="AD256" i="4"/>
  <c r="AD197" i="4"/>
  <c r="AD220" i="4"/>
  <c r="AD960" i="4"/>
  <c r="AD760" i="4"/>
  <c r="AD452" i="4"/>
  <c r="AD144" i="4"/>
  <c r="AD468" i="4"/>
  <c r="AD268" i="4"/>
  <c r="AD819" i="4"/>
  <c r="AD205" i="4"/>
  <c r="AD190" i="4"/>
  <c r="AD945" i="4"/>
  <c r="AD1053" i="4"/>
  <c r="AD329" i="4"/>
  <c r="AD21" i="4"/>
  <c r="AD53" i="4"/>
  <c r="AC1327" i="4"/>
  <c r="AJ1223" i="4"/>
  <c r="D112" i="21"/>
  <c r="AA1312" i="4"/>
  <c r="I1312" i="4" s="1"/>
  <c r="AD68" i="4"/>
  <c r="AD176" i="4"/>
  <c r="AD1234" i="4"/>
  <c r="AD1023" i="4"/>
  <c r="AD191" i="4"/>
  <c r="AD600" i="4"/>
  <c r="AD604" i="4"/>
  <c r="AD98" i="4"/>
  <c r="I88" i="21"/>
  <c r="F88" i="21"/>
  <c r="I88" i="25"/>
  <c r="F88" i="25"/>
  <c r="I89" i="25"/>
  <c r="F89" i="25"/>
  <c r="AC879" i="4"/>
  <c r="AJ879" i="4" s="1"/>
  <c r="AC693" i="4"/>
  <c r="AJ693" i="4" s="1"/>
  <c r="AC577" i="4"/>
  <c r="AJ577" i="4" s="1"/>
  <c r="AC467" i="4"/>
  <c r="AJ467" i="4" s="1"/>
  <c r="AD509" i="4"/>
  <c r="AC509" i="4"/>
  <c r="AJ509" i="4" s="1"/>
  <c r="AA1276" i="4"/>
  <c r="I1276" i="4" s="1"/>
  <c r="AC1172" i="4"/>
  <c r="AD1172" i="4" s="1"/>
  <c r="AD666" i="4"/>
  <c r="BE35" i="19"/>
  <c r="C50" i="23" s="1"/>
  <c r="AD802" i="4"/>
  <c r="D54" i="26"/>
  <c r="I84" i="21"/>
  <c r="F84" i="21"/>
  <c r="AN85" i="19"/>
  <c r="AO85" i="19" s="1"/>
  <c r="BD59" i="19"/>
  <c r="C74" i="22" s="1"/>
  <c r="BI59" i="19"/>
  <c r="Y73" i="19"/>
  <c r="U73" i="19"/>
  <c r="AB73" i="19"/>
  <c r="X73" i="19"/>
  <c r="AA73" i="19"/>
  <c r="W73" i="19"/>
  <c r="Z73" i="19"/>
  <c r="V73" i="19"/>
  <c r="BF73" i="19"/>
  <c r="C88" i="24" s="1"/>
  <c r="BH73" i="19"/>
  <c r="C88" i="26" s="1"/>
  <c r="AC99" i="19"/>
  <c r="AD99" i="19" s="1"/>
  <c r="AB74" i="19"/>
  <c r="X74" i="19"/>
  <c r="AA74" i="19"/>
  <c r="W74" i="19"/>
  <c r="Z74" i="19"/>
  <c r="V74" i="19"/>
  <c r="Y74" i="19"/>
  <c r="U74" i="19"/>
  <c r="BF74" i="19"/>
  <c r="C89" i="24" s="1"/>
  <c r="AC1143" i="4"/>
  <c r="AJ1143" i="4" s="1"/>
  <c r="AC1103" i="4"/>
  <c r="AJ1103" i="4" s="1"/>
  <c r="AC1071" i="4"/>
  <c r="AJ1071" i="4" s="1"/>
  <c r="AC979" i="4"/>
  <c r="AJ979" i="4" s="1"/>
  <c r="AC863" i="4"/>
  <c r="AJ863" i="4" s="1"/>
  <c r="AC787" i="4"/>
  <c r="AJ787" i="4" s="1"/>
  <c r="AC701" i="4"/>
  <c r="AJ701" i="4" s="1"/>
  <c r="AC569" i="4"/>
  <c r="AJ569" i="4" s="1"/>
  <c r="AC517" i="4"/>
  <c r="AJ517" i="4" s="1"/>
  <c r="AC475" i="4"/>
  <c r="AJ475" i="4" s="1"/>
  <c r="AC415" i="4"/>
  <c r="AJ415" i="4" s="1"/>
  <c r="AC375" i="4"/>
  <c r="AJ375" i="4" s="1"/>
  <c r="AC343" i="4"/>
  <c r="AJ343" i="4" s="1"/>
  <c r="BH35" i="19"/>
  <c r="C50" i="26" s="1"/>
  <c r="BB35" i="19"/>
  <c r="AJ1154" i="4"/>
  <c r="AD1118" i="4"/>
  <c r="AN97" i="19"/>
  <c r="AO97" i="19" s="1"/>
  <c r="C54" i="18"/>
  <c r="BJ39" i="19"/>
  <c r="BK39" i="19" s="1"/>
  <c r="D106" i="25"/>
  <c r="AD559" i="4"/>
  <c r="AA1296" i="4"/>
  <c r="I1296" i="4" s="1"/>
  <c r="AC1192" i="4"/>
  <c r="AD1192" i="4" s="1"/>
  <c r="AA1328" i="4"/>
  <c r="I1328" i="4" s="1"/>
  <c r="AC1224" i="4"/>
  <c r="AD1224" i="4" s="1"/>
  <c r="I1331" i="4"/>
  <c r="BE98" i="19"/>
  <c r="C113" i="23" s="1"/>
  <c r="BB98" i="19"/>
  <c r="I80" i="23"/>
  <c r="F80" i="23"/>
  <c r="AN103" i="19"/>
  <c r="AO103" i="19" s="1"/>
  <c r="AG1260" i="4"/>
  <c r="AC1268" i="4"/>
  <c r="AJ1164" i="4"/>
  <c r="AG1343" i="4"/>
  <c r="AN81" i="19"/>
  <c r="AO81" i="19" s="1"/>
  <c r="D92" i="22"/>
  <c r="AI107" i="19"/>
  <c r="AJ107" i="19"/>
  <c r="AD383" i="4"/>
  <c r="AD550" i="4"/>
  <c r="AD182" i="4"/>
  <c r="D76" i="23"/>
  <c r="AG523" i="4"/>
  <c r="J4" i="12" s="1"/>
  <c r="K155" i="16"/>
  <c r="AJ1159" i="4"/>
  <c r="AD747" i="4"/>
  <c r="AD412" i="4"/>
  <c r="AD145" i="4"/>
  <c r="I57" i="23"/>
  <c r="F57" i="23"/>
  <c r="F57" i="21"/>
  <c r="I57" i="21"/>
  <c r="AB78" i="19"/>
  <c r="X78" i="19"/>
  <c r="AA78" i="19"/>
  <c r="W78" i="19"/>
  <c r="Z78" i="19"/>
  <c r="V78" i="19"/>
  <c r="Y78" i="19"/>
  <c r="U78" i="19"/>
  <c r="BF78" i="19"/>
  <c r="C93" i="24" s="1"/>
  <c r="F46" i="24"/>
  <c r="I46" i="24"/>
  <c r="D62" i="23"/>
  <c r="I96" i="18"/>
  <c r="F96" i="18"/>
  <c r="AD575" i="4"/>
  <c r="AD844" i="4"/>
  <c r="AD852" i="4"/>
  <c r="AD580" i="4"/>
  <c r="AC75" i="4"/>
  <c r="AJ75" i="4" s="1"/>
  <c r="AG1314" i="4"/>
  <c r="I1322" i="4"/>
  <c r="AD302" i="4"/>
  <c r="AG1303" i="4"/>
  <c r="AD723" i="4"/>
  <c r="AD458" i="4"/>
  <c r="AD622" i="4"/>
  <c r="AD1350" i="4" s="1"/>
  <c r="D42" i="25"/>
  <c r="BB45" i="19"/>
  <c r="BD45" i="19"/>
  <c r="C60" i="22" s="1"/>
  <c r="I1257" i="4"/>
  <c r="AD540" i="4"/>
  <c r="AD448" i="4"/>
  <c r="AD796" i="4"/>
  <c r="AC1286" i="4"/>
  <c r="AJ1182" i="4"/>
  <c r="BD66" i="19"/>
  <c r="C81" i="22" s="1"/>
  <c r="BI66" i="19"/>
  <c r="BG66" i="19"/>
  <c r="C81" i="25" s="1"/>
  <c r="BE90" i="19"/>
  <c r="C105" i="23" s="1"/>
  <c r="BB90" i="19"/>
  <c r="D18" i="19"/>
  <c r="D48" i="23"/>
  <c r="I84" i="26"/>
  <c r="F84" i="26"/>
  <c r="AC69" i="19"/>
  <c r="AD69" i="19" s="1"/>
  <c r="Z103" i="19"/>
  <c r="V103" i="19"/>
  <c r="AB103" i="19"/>
  <c r="X103" i="19"/>
  <c r="W103" i="19"/>
  <c r="U103" i="19"/>
  <c r="AA103" i="19"/>
  <c r="Y103" i="19"/>
  <c r="BF103" i="19"/>
  <c r="C118" i="24" s="1"/>
  <c r="BI103" i="19"/>
  <c r="BD70" i="19"/>
  <c r="C85" i="22" s="1"/>
  <c r="BI70" i="19"/>
  <c r="BG70" i="19"/>
  <c r="C85" i="25" s="1"/>
  <c r="AG107" i="4"/>
  <c r="B4" i="12" s="1"/>
  <c r="G155" i="16"/>
  <c r="AN27" i="19"/>
  <c r="AO27" i="19" s="1"/>
  <c r="W58" i="20"/>
  <c r="W59" i="20" s="1"/>
  <c r="W42" i="20"/>
  <c r="W43" i="20" s="1"/>
  <c r="W26" i="20"/>
  <c r="W27" i="20" s="1"/>
  <c r="W106" i="20"/>
  <c r="W107" i="20" s="1"/>
  <c r="W74" i="20"/>
  <c r="W75" i="20" s="1"/>
  <c r="W90" i="20"/>
  <c r="W91" i="20" s="1"/>
  <c r="AG1333" i="4"/>
  <c r="H24" i="19"/>
  <c r="BH24" i="19" s="1"/>
  <c r="C39" i="26" s="1"/>
  <c r="D64" i="25"/>
  <c r="AC1141" i="4"/>
  <c r="AJ1141" i="4" s="1"/>
  <c r="AC1125" i="4"/>
  <c r="AJ1125" i="4" s="1"/>
  <c r="AC1077" i="4"/>
  <c r="AJ1077" i="4" s="1"/>
  <c r="AC1025" i="4"/>
  <c r="AJ1025" i="4" s="1"/>
  <c r="AC993" i="4"/>
  <c r="AJ993" i="4" s="1"/>
  <c r="AC977" i="4"/>
  <c r="AJ977" i="4" s="1"/>
  <c r="AC961" i="4"/>
  <c r="AJ961" i="4" s="1"/>
  <c r="AC925" i="4"/>
  <c r="AJ925" i="4" s="1"/>
  <c r="AC893" i="4"/>
  <c r="AJ893" i="4" s="1"/>
  <c r="AC877" i="4"/>
  <c r="AJ877" i="4" s="1"/>
  <c r="AC825" i="4"/>
  <c r="AJ825" i="4" s="1"/>
  <c r="AC809" i="4"/>
  <c r="AJ809" i="4" s="1"/>
  <c r="AC761" i="4"/>
  <c r="AJ761" i="4" s="1"/>
  <c r="AC699" i="4"/>
  <c r="AJ699" i="4" s="1"/>
  <c r="AC675" i="4"/>
  <c r="AJ675" i="4" s="1"/>
  <c r="AC659" i="4"/>
  <c r="AJ659" i="4" s="1"/>
  <c r="AC615" i="4"/>
  <c r="AJ615" i="4" s="1"/>
  <c r="AC481" i="4"/>
  <c r="AJ481" i="4" s="1"/>
  <c r="AC381" i="4"/>
  <c r="AJ381" i="4" s="1"/>
  <c r="AC365" i="4"/>
  <c r="AJ365" i="4" s="1"/>
  <c r="AC313" i="4"/>
  <c r="AJ313" i="4" s="1"/>
  <c r="AC297" i="4"/>
  <c r="AJ297" i="4" s="1"/>
  <c r="AC277" i="4"/>
  <c r="AJ277" i="4" s="1"/>
  <c r="AC261" i="4"/>
  <c r="AJ261" i="4" s="1"/>
  <c r="R75" i="20"/>
  <c r="AD1078" i="4"/>
  <c r="AG1346" i="4"/>
  <c r="BD87" i="19"/>
  <c r="C102" i="22" s="1"/>
  <c r="BI87" i="19"/>
  <c r="AD654" i="4"/>
  <c r="AD794" i="4"/>
  <c r="AD1134" i="4"/>
  <c r="AG1312" i="4"/>
  <c r="I52" i="21"/>
  <c r="F52" i="21"/>
  <c r="AD319" i="4"/>
  <c r="AD118" i="4"/>
  <c r="AG1316" i="4"/>
  <c r="AD1248" i="4"/>
  <c r="AG1291" i="4"/>
  <c r="AG1299" i="4"/>
  <c r="AD782" i="4"/>
  <c r="AD270" i="4"/>
  <c r="I80" i="24"/>
  <c r="F80" i="24"/>
  <c r="D80" i="24" s="1"/>
  <c r="AG1305" i="4"/>
  <c r="D44" i="23"/>
  <c r="BD55" i="19"/>
  <c r="C70" i="22" s="1"/>
  <c r="BI55" i="19"/>
  <c r="I1260" i="4"/>
  <c r="AD544" i="4"/>
  <c r="AD201" i="4"/>
  <c r="AD974" i="4"/>
  <c r="AD702" i="4"/>
  <c r="D86" i="21"/>
  <c r="AD936" i="4"/>
  <c r="AD874" i="4"/>
  <c r="AD698" i="4"/>
  <c r="I76" i="26"/>
  <c r="F76" i="26"/>
  <c r="AC61" i="19"/>
  <c r="AD61" i="19" s="1"/>
  <c r="AJ422" i="4"/>
  <c r="AD1151" i="4"/>
  <c r="AD864" i="4"/>
  <c r="AD264" i="4"/>
  <c r="AD77" i="4"/>
  <c r="AA1301" i="4"/>
  <c r="I1301" i="4" s="1"/>
  <c r="BG94" i="19"/>
  <c r="C109" i="25" s="1"/>
  <c r="BH94" i="19"/>
  <c r="C109" i="26" s="1"/>
  <c r="BB88" i="19"/>
  <c r="BD88" i="19"/>
  <c r="C103" i="22" s="1"/>
  <c r="BD30" i="19"/>
  <c r="C45" i="22" s="1"/>
  <c r="BI30" i="19"/>
  <c r="BG30" i="19"/>
  <c r="C45" i="25" s="1"/>
  <c r="BC72" i="19"/>
  <c r="C87" i="21" s="1"/>
  <c r="BE72" i="19"/>
  <c r="C87" i="23" s="1"/>
  <c r="D62" i="21"/>
  <c r="AG1275" i="4"/>
  <c r="AD631" i="4"/>
  <c r="AD639" i="4"/>
  <c r="AD1176" i="4"/>
  <c r="AD1175" i="4"/>
  <c r="AD70" i="4"/>
  <c r="AG1342" i="4"/>
  <c r="I1350" i="4"/>
  <c r="AD1179" i="4"/>
  <c r="AA1289" i="4"/>
  <c r="I1289" i="4" s="1"/>
  <c r="AI6" i="14"/>
  <c r="AD1072" i="4"/>
  <c r="AD185" i="4"/>
  <c r="AD162" i="4"/>
  <c r="AG1307" i="4"/>
  <c r="AG1323" i="4"/>
  <c r="AJ1199" i="4"/>
  <c r="AD807" i="4"/>
  <c r="AD1062" i="4"/>
  <c r="AJ1204" i="4"/>
  <c r="AD484" i="4"/>
  <c r="AD886" i="4"/>
  <c r="AD282" i="4"/>
  <c r="D42" i="21"/>
  <c r="AD331" i="4"/>
  <c r="AD808" i="4"/>
  <c r="BB36" i="19"/>
  <c r="BD36" i="19"/>
  <c r="C51" i="22" s="1"/>
  <c r="Z44" i="19"/>
  <c r="V44" i="19"/>
  <c r="Y44" i="19"/>
  <c r="U44" i="19"/>
  <c r="AB44" i="19"/>
  <c r="X44" i="19"/>
  <c r="AA44" i="19"/>
  <c r="W44" i="19"/>
  <c r="BG44" i="19"/>
  <c r="C59" i="25" s="1"/>
  <c r="BI44" i="19"/>
  <c r="BE38" i="19"/>
  <c r="C53" i="23" s="1"/>
  <c r="BC38" i="19"/>
  <c r="C53" i="21" s="1"/>
  <c r="I48" i="24"/>
  <c r="F48" i="24"/>
  <c r="D98" i="25"/>
  <c r="AC215" i="4"/>
  <c r="AJ215" i="4" s="1"/>
  <c r="AD223" i="4"/>
  <c r="AC223" i="4"/>
  <c r="AJ223" i="4" s="1"/>
  <c r="AC232" i="4"/>
  <c r="AJ232" i="4" s="1"/>
  <c r="AC582" i="4"/>
  <c r="AJ582" i="4" s="1"/>
  <c r="AG1273" i="4"/>
  <c r="I72" i="24"/>
  <c r="F72" i="24"/>
  <c r="AA315" i="4"/>
  <c r="AC214" i="4"/>
  <c r="AC570" i="4"/>
  <c r="AJ570" i="4" s="1"/>
  <c r="Y25" i="19"/>
  <c r="U25" i="19"/>
  <c r="AB25" i="19"/>
  <c r="X25" i="19"/>
  <c r="AA25" i="19"/>
  <c r="W25" i="19"/>
  <c r="Z25" i="19"/>
  <c r="V25" i="19"/>
  <c r="BF25" i="19"/>
  <c r="C40" i="24" s="1"/>
  <c r="BH25" i="19"/>
  <c r="C40" i="26" s="1"/>
  <c r="AC67" i="19"/>
  <c r="AD67" i="19" s="1"/>
  <c r="AA1043" i="4"/>
  <c r="AC942" i="4"/>
  <c r="AD942" i="4" s="1"/>
  <c r="AC638" i="4"/>
  <c r="AJ638" i="4" s="1"/>
  <c r="AC646" i="4"/>
  <c r="AJ646" i="4" s="1"/>
  <c r="AC602" i="4"/>
  <c r="AJ602" i="4" s="1"/>
  <c r="AN51" i="19"/>
  <c r="AO51" i="19" s="1"/>
  <c r="AD135" i="4"/>
  <c r="S90" i="20"/>
  <c r="S91" i="20" s="1"/>
  <c r="S58" i="20"/>
  <c r="S59" i="20" s="1"/>
  <c r="S42" i="20"/>
  <c r="S43" i="20" s="1"/>
  <c r="S26" i="20"/>
  <c r="S27" i="20" s="1"/>
  <c r="S106" i="20"/>
  <c r="S107" i="20" s="1"/>
  <c r="S74" i="20"/>
  <c r="S75" i="20" s="1"/>
  <c r="AC938" i="4"/>
  <c r="AJ938" i="4" s="1"/>
  <c r="AC1099" i="4"/>
  <c r="AJ1099" i="4" s="1"/>
  <c r="AC1039" i="4"/>
  <c r="AJ1039" i="4" s="1"/>
  <c r="AC999" i="4"/>
  <c r="AJ999" i="4" s="1"/>
  <c r="AC967" i="4"/>
  <c r="AJ967" i="4" s="1"/>
  <c r="AC875" i="4"/>
  <c r="AJ875" i="4" s="1"/>
  <c r="AC697" i="4"/>
  <c r="AJ697" i="4" s="1"/>
  <c r="AC681" i="4"/>
  <c r="AJ681" i="4" s="1"/>
  <c r="AC649" i="4"/>
  <c r="AJ649" i="4" s="1"/>
  <c r="AC613" i="4"/>
  <c r="AJ613" i="4" s="1"/>
  <c r="AC597" i="4"/>
  <c r="AJ597" i="4" s="1"/>
  <c r="AC581" i="4"/>
  <c r="AJ581" i="4" s="1"/>
  <c r="AC549" i="4"/>
  <c r="AJ549" i="4" s="1"/>
  <c r="AC513" i="4"/>
  <c r="AJ513" i="4" s="1"/>
  <c r="AC447" i="4"/>
  <c r="AJ447" i="4" s="1"/>
  <c r="AC355" i="4"/>
  <c r="AJ355" i="4" s="1"/>
  <c r="AC311" i="4"/>
  <c r="AJ311" i="4" s="1"/>
  <c r="AC251" i="4"/>
  <c r="AJ251" i="4" s="1"/>
  <c r="AD10" i="4"/>
  <c r="R27" i="20"/>
  <c r="BE85" i="19"/>
  <c r="C100" i="23" s="1"/>
  <c r="BC85" i="19"/>
  <c r="C100" i="21" s="1"/>
  <c r="AG1266" i="4"/>
  <c r="AJ1214" i="4"/>
  <c r="D54" i="25"/>
  <c r="F106" i="18"/>
  <c r="I106" i="18"/>
  <c r="BB89" i="19"/>
  <c r="BD89" i="19"/>
  <c r="C104" i="22" s="1"/>
  <c r="AB58" i="19"/>
  <c r="X58" i="19"/>
  <c r="AA58" i="19"/>
  <c r="W58" i="19"/>
  <c r="Z58" i="19"/>
  <c r="V58" i="19"/>
  <c r="Y58" i="19"/>
  <c r="U58" i="19"/>
  <c r="BF58" i="19"/>
  <c r="C73" i="24" s="1"/>
  <c r="AD859" i="4"/>
  <c r="AD946" i="4"/>
  <c r="AA1344" i="4"/>
  <c r="I1344" i="4" s="1"/>
  <c r="AC1240" i="4"/>
  <c r="AD1240" i="4" s="1"/>
  <c r="AJ1187" i="4"/>
  <c r="AD1191" i="4"/>
  <c r="AA1299" i="4"/>
  <c r="I1299" i="4" s="1"/>
  <c r="AD774" i="4"/>
  <c r="AD1202" i="4"/>
  <c r="BE82" i="19"/>
  <c r="C97" i="23" s="1"/>
  <c r="BC82" i="19"/>
  <c r="C97" i="21" s="1"/>
  <c r="AD662" i="4"/>
  <c r="AD390" i="4"/>
  <c r="F78" i="21"/>
  <c r="I78" i="21"/>
  <c r="AA63" i="19"/>
  <c r="W63" i="19"/>
  <c r="Z63" i="19"/>
  <c r="V63" i="19"/>
  <c r="Y63" i="19"/>
  <c r="U63" i="19"/>
  <c r="AB63" i="19"/>
  <c r="X63" i="19"/>
  <c r="BF63" i="19"/>
  <c r="C78" i="24" s="1"/>
  <c r="AD899" i="4"/>
  <c r="AD334" i="4"/>
  <c r="AN59" i="19"/>
  <c r="AO59" i="19" s="1"/>
  <c r="AD367" i="4"/>
  <c r="AD15" i="4"/>
  <c r="AD132" i="4"/>
  <c r="F58" i="24"/>
  <c r="I58" i="24"/>
  <c r="AB93" i="19"/>
  <c r="X93" i="19"/>
  <c r="Z93" i="19"/>
  <c r="V93" i="19"/>
  <c r="Y93" i="19"/>
  <c r="W93" i="19"/>
  <c r="U93" i="19"/>
  <c r="AA93" i="19"/>
  <c r="BH93" i="19"/>
  <c r="C108" i="26" s="1"/>
  <c r="BG93" i="19"/>
  <c r="C108" i="25" s="1"/>
  <c r="AD530" i="4"/>
  <c r="AD45" i="4"/>
  <c r="AK57" i="20"/>
  <c r="AD178" i="4"/>
  <c r="BE26" i="19"/>
  <c r="C41" i="23" s="1"/>
  <c r="BC26" i="19"/>
  <c r="C41" i="21" s="1"/>
  <c r="BE104" i="19"/>
  <c r="C119" i="23" s="1"/>
  <c r="BF104" i="19"/>
  <c r="C119" i="24" s="1"/>
  <c r="BB64" i="19"/>
  <c r="BD64" i="19"/>
  <c r="C79" i="22" s="1"/>
  <c r="D96" i="21"/>
  <c r="AN87" i="19"/>
  <c r="AO87" i="19" s="1"/>
  <c r="AA1271" i="4"/>
  <c r="I1271" i="4" s="1"/>
  <c r="AC1287" i="4"/>
  <c r="AJ1183" i="4"/>
  <c r="AD846" i="4"/>
  <c r="AD854" i="4"/>
  <c r="AD152" i="4"/>
  <c r="AG1339" i="4"/>
  <c r="AD482" i="4"/>
  <c r="AD1238" i="4"/>
  <c r="AD328" i="4"/>
  <c r="AD48" i="4"/>
  <c r="AD715" i="4"/>
  <c r="AD1074" i="4"/>
  <c r="AA1307" i="4"/>
  <c r="AJ1219" i="4"/>
  <c r="AD1052" i="4"/>
  <c r="AD24" i="4"/>
  <c r="AD83" i="4"/>
  <c r="AA1351" i="4"/>
  <c r="I1351" i="4" s="1"/>
  <c r="AD694" i="4"/>
  <c r="AD1193" i="4"/>
  <c r="EG28" i="62"/>
  <c r="D72" i="68" s="1"/>
  <c r="DS29" i="62"/>
  <c r="AD323" i="4"/>
  <c r="AD122" i="4"/>
  <c r="AD1084" i="4"/>
  <c r="AG1348" i="4"/>
  <c r="AD73" i="4"/>
  <c r="BI106" i="19"/>
  <c r="BD106" i="19"/>
  <c r="C121" i="22" s="1"/>
  <c r="Z32" i="19"/>
  <c r="V32" i="19"/>
  <c r="Y32" i="19"/>
  <c r="U32" i="19"/>
  <c r="AB32" i="19"/>
  <c r="X32" i="19"/>
  <c r="AA32" i="19"/>
  <c r="W32" i="19"/>
  <c r="BG32" i="19"/>
  <c r="C47" i="25" s="1"/>
  <c r="BI32" i="19"/>
  <c r="C48" i="18"/>
  <c r="BJ33" i="19"/>
  <c r="BK33" i="19" s="1"/>
  <c r="AC83" i="19"/>
  <c r="AD83" i="19" s="1"/>
  <c r="I84" i="25"/>
  <c r="F84" i="25"/>
  <c r="AN47" i="19"/>
  <c r="AO47" i="19" s="1"/>
  <c r="AC426" i="4"/>
  <c r="AJ426" i="4" s="1"/>
  <c r="AC434" i="4"/>
  <c r="AJ434" i="4" s="1"/>
  <c r="AC868" i="4"/>
  <c r="AJ868" i="4" s="1"/>
  <c r="AC1124" i="4"/>
  <c r="AJ1124" i="4" s="1"/>
  <c r="AC1098" i="4"/>
  <c r="AJ1098" i="4" s="1"/>
  <c r="F66" i="26"/>
  <c r="I66" i="26"/>
  <c r="C66" i="18"/>
  <c r="BJ51" i="19"/>
  <c r="BK51" i="19" s="1"/>
  <c r="AC330" i="4"/>
  <c r="AJ330" i="4" s="1"/>
  <c r="AC892" i="4"/>
  <c r="AJ892" i="4" s="1"/>
  <c r="AD207" i="4"/>
  <c r="AC382" i="4"/>
  <c r="AJ382" i="4" s="1"/>
  <c r="AN49" i="19"/>
  <c r="AO49" i="19" s="1"/>
  <c r="AC841" i="4"/>
  <c r="AJ841" i="4" s="1"/>
  <c r="AC849" i="4"/>
  <c r="AJ849" i="4" s="1"/>
  <c r="AC244" i="4"/>
  <c r="AJ244" i="4" s="1"/>
  <c r="AC1014" i="4"/>
  <c r="AJ1014" i="4" s="1"/>
  <c r="H1345" i="4"/>
  <c r="G1345" i="4" s="1"/>
  <c r="F94" i="21"/>
  <c r="I94" i="21"/>
  <c r="AA79" i="19"/>
  <c r="W79" i="19"/>
  <c r="Z79" i="19"/>
  <c r="V79" i="19"/>
  <c r="Y79" i="19"/>
  <c r="U79" i="19"/>
  <c r="AB79" i="19"/>
  <c r="X79" i="19"/>
  <c r="BF79" i="19"/>
  <c r="C94" i="24" s="1"/>
  <c r="AA1267" i="4"/>
  <c r="I1267" i="4" s="1"/>
  <c r="AC1163" i="4"/>
  <c r="AC1096" i="4"/>
  <c r="AJ1096" i="4" s="1"/>
  <c r="AC408" i="4"/>
  <c r="AJ408" i="4" s="1"/>
  <c r="AC295" i="4"/>
  <c r="AJ295" i="4" s="1"/>
  <c r="U106" i="20"/>
  <c r="U107" i="20" s="1"/>
  <c r="U74" i="20"/>
  <c r="U75" i="20" s="1"/>
  <c r="U90" i="20"/>
  <c r="U91" i="20" s="1"/>
  <c r="U42" i="20"/>
  <c r="U43" i="20" s="1"/>
  <c r="U58" i="20"/>
  <c r="U59" i="20" s="1"/>
  <c r="U26" i="20"/>
  <c r="U27" i="20" s="1"/>
  <c r="AC370" i="4"/>
  <c r="AJ370" i="4" s="1"/>
  <c r="H102" i="19"/>
  <c r="BD102" i="19" s="1"/>
  <c r="C117" i="22" s="1"/>
  <c r="F114" i="23"/>
  <c r="I114" i="23"/>
  <c r="AC751" i="4"/>
  <c r="AJ751" i="4" s="1"/>
  <c r="AB54" i="19"/>
  <c r="X54" i="19"/>
  <c r="AA54" i="19"/>
  <c r="W54" i="19"/>
  <c r="Z54" i="19"/>
  <c r="V54" i="19"/>
  <c r="Y54" i="19"/>
  <c r="U54" i="19"/>
  <c r="BF54" i="19"/>
  <c r="C69" i="24" s="1"/>
  <c r="AE1253" i="4"/>
  <c r="AC1113" i="4"/>
  <c r="AJ1113" i="4" s="1"/>
  <c r="AC1097" i="4"/>
  <c r="AJ1097" i="4" s="1"/>
  <c r="AC1013" i="4"/>
  <c r="AJ1013" i="4" s="1"/>
  <c r="AC981" i="4"/>
  <c r="AJ981" i="4" s="1"/>
  <c r="AC965" i="4"/>
  <c r="AJ965" i="4" s="1"/>
  <c r="AC929" i="4"/>
  <c r="AJ929" i="4" s="1"/>
  <c r="AC913" i="4"/>
  <c r="AJ913" i="4" s="1"/>
  <c r="AC865" i="4"/>
  <c r="AJ865" i="4" s="1"/>
  <c r="AC813" i="4"/>
  <c r="AJ813" i="4" s="1"/>
  <c r="AC797" i="4"/>
  <c r="AJ797" i="4" s="1"/>
  <c r="AC729" i="4"/>
  <c r="AJ729" i="4" s="1"/>
  <c r="AC579" i="4"/>
  <c r="AJ579" i="4" s="1"/>
  <c r="AC563" i="4"/>
  <c r="AJ563" i="4" s="1"/>
  <c r="AC469" i="4"/>
  <c r="AJ469" i="4" s="1"/>
  <c r="AC453" i="4"/>
  <c r="AJ453" i="4" s="1"/>
  <c r="AC385" i="4"/>
  <c r="AJ385" i="4" s="1"/>
  <c r="AC369" i="4"/>
  <c r="AJ369" i="4" s="1"/>
  <c r="AC249" i="4"/>
  <c r="AJ249" i="4" s="1"/>
  <c r="AC233" i="4"/>
  <c r="AJ233" i="4" s="1"/>
  <c r="BF101" i="19"/>
  <c r="C116" i="24" s="1"/>
  <c r="BI101" i="19"/>
  <c r="AC1266" i="4"/>
  <c r="AJ1162" i="4"/>
  <c r="AD478" i="4"/>
  <c r="D54" i="21"/>
  <c r="BH105" i="19"/>
  <c r="C120" i="26" s="1"/>
  <c r="BE105" i="19"/>
  <c r="C120" i="23" s="1"/>
  <c r="H46" i="19"/>
  <c r="BB46" i="19" s="1"/>
  <c r="BC84" i="19"/>
  <c r="C99" i="21" s="1"/>
  <c r="BE84" i="19"/>
  <c r="C99" i="23" s="1"/>
  <c r="AB34" i="19"/>
  <c r="X34" i="19"/>
  <c r="AA34" i="19"/>
  <c r="W34" i="19"/>
  <c r="Z34" i="19"/>
  <c r="V34" i="19"/>
  <c r="Y34" i="19"/>
  <c r="U34" i="19"/>
  <c r="BF34" i="19"/>
  <c r="C49" i="24" s="1"/>
  <c r="D56" i="21"/>
  <c r="AN105" i="19"/>
  <c r="AO105" i="19" s="1"/>
  <c r="I80" i="25"/>
  <c r="F80" i="25"/>
  <c r="D9" i="19"/>
  <c r="AD678" i="4"/>
  <c r="C44" i="18"/>
  <c r="BJ29" i="19"/>
  <c r="BK29" i="19" s="1"/>
  <c r="AD630" i="4"/>
  <c r="AD326" i="4"/>
  <c r="F38" i="24"/>
  <c r="I38" i="24"/>
  <c r="F86" i="22"/>
  <c r="I86" i="22"/>
  <c r="AD547" i="4"/>
  <c r="B17" i="27"/>
  <c r="B18" i="27" s="1"/>
  <c r="C98" i="28"/>
  <c r="F24" i="28"/>
  <c r="AD626" i="4"/>
  <c r="AD120" i="4"/>
  <c r="AD1168" i="4"/>
  <c r="AI41" i="20"/>
  <c r="AP41" i="20"/>
  <c r="F46" i="23"/>
  <c r="I46" i="23"/>
  <c r="I96" i="26"/>
  <c r="F96" i="26"/>
  <c r="AC81" i="19"/>
  <c r="AD81" i="19" s="1"/>
  <c r="BD62" i="19"/>
  <c r="C77" i="22" s="1"/>
  <c r="BI62" i="19"/>
  <c r="BG62" i="19"/>
  <c r="C77" i="25" s="1"/>
  <c r="AD1128" i="4"/>
  <c r="AA1339" i="4"/>
  <c r="I1339" i="4" s="1"/>
  <c r="AD758" i="4"/>
  <c r="AD246" i="4"/>
  <c r="I1334" i="4"/>
  <c r="AJ1166" i="4"/>
  <c r="AD872" i="4"/>
  <c r="AD472" i="4"/>
  <c r="AD1040" i="4"/>
  <c r="AD986" i="4"/>
  <c r="AD49" i="4"/>
  <c r="AD1050" i="4"/>
  <c r="AD1188" i="4"/>
  <c r="AD1292" i="4" s="1"/>
  <c r="AD792" i="4"/>
  <c r="AD46" i="4"/>
  <c r="AD1106" i="4"/>
  <c r="AD210" i="4"/>
  <c r="BH95" i="19"/>
  <c r="C110" i="26" s="1"/>
  <c r="BC95" i="19"/>
  <c r="C110" i="21" s="1"/>
  <c r="AC1265" i="4"/>
  <c r="AJ1161" i="4"/>
  <c r="AD749" i="4"/>
  <c r="AD1100" i="4"/>
  <c r="AD1244" i="4"/>
  <c r="AD1190" i="4"/>
  <c r="Z40" i="19"/>
  <c r="V40" i="19"/>
  <c r="Y40" i="19"/>
  <c r="U40" i="19"/>
  <c r="AB40" i="19"/>
  <c r="X40" i="19"/>
  <c r="AA40" i="19"/>
  <c r="W40" i="19"/>
  <c r="BG40" i="19"/>
  <c r="C55" i="25" s="1"/>
  <c r="BI40" i="19"/>
  <c r="I67" i="21"/>
  <c r="F67" i="21"/>
  <c r="F67" i="23"/>
  <c r="D67" i="23" s="1"/>
  <c r="I67" i="23"/>
  <c r="AD786" i="4"/>
  <c r="AJ1181" i="4"/>
  <c r="AD1245" i="4"/>
  <c r="J11" i="6"/>
  <c r="K11" i="6" s="1"/>
  <c r="H12" i="6" s="1"/>
  <c r="AA1309" i="4"/>
  <c r="I1309" i="4" s="1"/>
  <c r="AD949" i="4"/>
  <c r="AD970" i="4"/>
  <c r="AD679" i="4"/>
  <c r="AD587" i="4"/>
  <c r="AD531" i="4"/>
  <c r="AD658" i="4"/>
  <c r="AD592" i="4"/>
  <c r="AD552" i="4"/>
  <c r="AD400" i="4"/>
  <c r="AD368" i="4"/>
  <c r="AD278" i="4"/>
  <c r="BJ71" i="19"/>
  <c r="BK71" i="19" s="1"/>
  <c r="AD918" i="4"/>
  <c r="AD1132" i="4"/>
  <c r="AD1340" i="4" s="1"/>
  <c r="AD425" i="4"/>
  <c r="AD533" i="4"/>
  <c r="AD1057" i="4"/>
  <c r="AD41" i="4"/>
  <c r="AD57" i="4"/>
  <c r="AD1213" i="4"/>
  <c r="AA1316" i="4"/>
  <c r="I1316" i="4" s="1"/>
  <c r="AD72" i="4"/>
  <c r="AD596" i="4"/>
  <c r="AD1130" i="4"/>
  <c r="AD87" i="4"/>
  <c r="AD80" i="4"/>
  <c r="AD188" i="4"/>
  <c r="AJ1241" i="4"/>
  <c r="AC1259" i="4"/>
  <c r="AJ1155" i="4"/>
  <c r="AC211" i="4"/>
  <c r="AJ110" i="4"/>
  <c r="AD279" i="4"/>
  <c r="AD170" i="4"/>
  <c r="AD100" i="4"/>
  <c r="AD536" i="4"/>
  <c r="AD336" i="4"/>
  <c r="AD136" i="4"/>
  <c r="AJ1200" i="4"/>
  <c r="AD476" i="4"/>
  <c r="AD186" i="4"/>
  <c r="AD195" i="4"/>
  <c r="AD814" i="4"/>
  <c r="AD88" i="4"/>
  <c r="AD1000" i="4"/>
  <c r="AD168" i="4"/>
  <c r="AD276" i="4"/>
  <c r="AD76" i="4"/>
  <c r="AD610" i="4"/>
  <c r="AJ1233" i="4"/>
  <c r="AC1264" i="4"/>
  <c r="AJ1160" i="4"/>
  <c r="AJ1209" i="4"/>
  <c r="AA1338" i="4"/>
  <c r="I1338" i="4" s="1"/>
  <c r="AC1270" i="4" l="1"/>
  <c r="D86" i="22"/>
  <c r="AC1303" i="4"/>
  <c r="D82" i="18"/>
  <c r="D77" i="21"/>
  <c r="AD519" i="4"/>
  <c r="D64" i="24"/>
  <c r="AD359" i="4"/>
  <c r="AD1087" i="4"/>
  <c r="D114" i="22"/>
  <c r="BB48" i="19"/>
  <c r="D78" i="23"/>
  <c r="D59" i="22"/>
  <c r="D51" i="23"/>
  <c r="D102" i="21"/>
  <c r="AD1342" i="4"/>
  <c r="AD699" i="4"/>
  <c r="CX44" i="62"/>
  <c r="F49" i="26"/>
  <c r="AD479" i="4"/>
  <c r="V197" i="16"/>
  <c r="BF48" i="19"/>
  <c r="C63" i="24" s="1"/>
  <c r="AD373" i="4"/>
  <c r="D119" i="26"/>
  <c r="AC1313" i="4"/>
  <c r="AC1337" i="4"/>
  <c r="D96" i="26"/>
  <c r="AD1260" i="4"/>
  <c r="AD1071" i="4"/>
  <c r="D89" i="25"/>
  <c r="D52" i="24"/>
  <c r="D58" i="18"/>
  <c r="AC1316" i="4"/>
  <c r="D67" i="22"/>
  <c r="D55" i="26"/>
  <c r="AC62" i="19"/>
  <c r="AD62" i="19" s="1"/>
  <c r="D112" i="23"/>
  <c r="BE60" i="19"/>
  <c r="C75" i="23" s="1"/>
  <c r="D66" i="25"/>
  <c r="AD430" i="4"/>
  <c r="BG96" i="19"/>
  <c r="C111" i="25" s="1"/>
  <c r="AD1101" i="4"/>
  <c r="D112" i="25"/>
  <c r="AD877" i="4"/>
  <c r="D46" i="24"/>
  <c r="AD337" i="4"/>
  <c r="D78" i="26"/>
  <c r="BE17" i="19"/>
  <c r="C32" i="23" s="1"/>
  <c r="AD793" i="4"/>
  <c r="D38" i="18"/>
  <c r="BG19" i="19"/>
  <c r="C34" i="25" s="1"/>
  <c r="AC59" i="19"/>
  <c r="AD59" i="19" s="1"/>
  <c r="D55" i="24"/>
  <c r="BD96" i="19"/>
  <c r="C111" i="22" s="1"/>
  <c r="AD634" i="4"/>
  <c r="AD711" i="4"/>
  <c r="AD721" i="4"/>
  <c r="D25" i="5"/>
  <c r="AC54" i="19"/>
  <c r="AD54" i="19" s="1"/>
  <c r="AD297" i="4"/>
  <c r="AD977" i="4"/>
  <c r="BD50" i="19"/>
  <c r="C65" i="22" s="1"/>
  <c r="BB17" i="19"/>
  <c r="BE7" i="19"/>
  <c r="C22" i="23" s="1"/>
  <c r="BB68" i="19"/>
  <c r="BD19" i="19"/>
  <c r="C34" i="22" s="1"/>
  <c r="BF60" i="19"/>
  <c r="C75" i="24" s="1"/>
  <c r="D68" i="26"/>
  <c r="BH96" i="19"/>
  <c r="C111" i="26" s="1"/>
  <c r="D40" i="25"/>
  <c r="BH48" i="19"/>
  <c r="C63" i="26" s="1"/>
  <c r="D93" i="25"/>
  <c r="D74" i="26"/>
  <c r="D92" i="26"/>
  <c r="D49" i="21"/>
  <c r="D76" i="24"/>
  <c r="AD237" i="4"/>
  <c r="AD785" i="4"/>
  <c r="AD370" i="4"/>
  <c r="D78" i="21"/>
  <c r="AD481" i="4"/>
  <c r="AD1125" i="4"/>
  <c r="AD665" i="4"/>
  <c r="D48" i="26"/>
  <c r="BB12" i="19"/>
  <c r="D80" i="21"/>
  <c r="BE48" i="19"/>
  <c r="C63" i="23" s="1"/>
  <c r="AC90" i="19"/>
  <c r="AD90" i="19" s="1"/>
  <c r="AD906" i="4"/>
  <c r="BC19" i="19"/>
  <c r="C34" i="21" s="1"/>
  <c r="BB19" i="19"/>
  <c r="AD1011" i="4"/>
  <c r="D74" i="21"/>
  <c r="AD374" i="4"/>
  <c r="AD67" i="4"/>
  <c r="D59" i="26"/>
  <c r="D46" i="25"/>
  <c r="AD241" i="4"/>
  <c r="BD28" i="19"/>
  <c r="C43" i="22" s="1"/>
  <c r="D103" i="23"/>
  <c r="AD1314" i="4"/>
  <c r="AC79" i="19"/>
  <c r="AD79" i="19" s="1"/>
  <c r="D106" i="18"/>
  <c r="D52" i="21"/>
  <c r="AD261" i="4"/>
  <c r="AD659" i="4"/>
  <c r="AD925" i="4"/>
  <c r="AD1296" i="4"/>
  <c r="AD701" i="4"/>
  <c r="D88" i="25"/>
  <c r="BJ34" i="19"/>
  <c r="BK34" i="19" s="1"/>
  <c r="AD59" i="4"/>
  <c r="BI50" i="19"/>
  <c r="L7" i="29"/>
  <c r="D108" i="24"/>
  <c r="D109" i="23"/>
  <c r="D70" i="23"/>
  <c r="D80" i="26"/>
  <c r="AD397" i="4"/>
  <c r="AD909" i="4"/>
  <c r="BC86" i="19"/>
  <c r="C101" i="21" s="1"/>
  <c r="BC68" i="19"/>
  <c r="C83" i="21" s="1"/>
  <c r="BB100" i="19"/>
  <c r="D89" i="23"/>
  <c r="AD219" i="4"/>
  <c r="D86" i="23"/>
  <c r="BH56" i="19"/>
  <c r="C71" i="26" s="1"/>
  <c r="D49" i="23"/>
  <c r="AD309" i="4"/>
  <c r="AD928" i="4"/>
  <c r="D47" i="22"/>
  <c r="D108" i="23"/>
  <c r="D73" i="21"/>
  <c r="AD869" i="4"/>
  <c r="BB80" i="19"/>
  <c r="D38" i="24"/>
  <c r="BI46" i="19"/>
  <c r="BD68" i="19"/>
  <c r="C83" i="22" s="1"/>
  <c r="AD491" i="4"/>
  <c r="AD561" i="4"/>
  <c r="AD609" i="4"/>
  <c r="AD661" i="4"/>
  <c r="AD779" i="4"/>
  <c r="AD971" i="4"/>
  <c r="AD669" i="4"/>
  <c r="D46" i="18"/>
  <c r="BD60" i="19"/>
  <c r="C75" i="22" s="1"/>
  <c r="D86" i="26"/>
  <c r="BC96" i="19"/>
  <c r="C111" i="21" s="1"/>
  <c r="BI96" i="19"/>
  <c r="D52" i="26"/>
  <c r="D42" i="24"/>
  <c r="D62" i="24"/>
  <c r="BC48" i="19"/>
  <c r="C63" i="21" s="1"/>
  <c r="D118" i="25"/>
  <c r="BB56" i="19"/>
  <c r="D66" i="21"/>
  <c r="BD80" i="19"/>
  <c r="C95" i="22" s="1"/>
  <c r="AD585" i="4"/>
  <c r="D90" i="18"/>
  <c r="D55" i="22"/>
  <c r="D110" i="23"/>
  <c r="BG46" i="19"/>
  <c r="C61" i="25" s="1"/>
  <c r="D114" i="23"/>
  <c r="AD365" i="4"/>
  <c r="AD809" i="4"/>
  <c r="AD1025" i="4"/>
  <c r="D57" i="21"/>
  <c r="AC95" i="19"/>
  <c r="AD95" i="19" s="1"/>
  <c r="AD281" i="4"/>
  <c r="AD997" i="4"/>
  <c r="BG50" i="19"/>
  <c r="C65" i="25" s="1"/>
  <c r="BG17" i="19"/>
  <c r="C32" i="25" s="1"/>
  <c r="AD501" i="4"/>
  <c r="AD891" i="4"/>
  <c r="BB76" i="19"/>
  <c r="D69" i="25"/>
  <c r="BB60" i="19"/>
  <c r="D47" i="26"/>
  <c r="D68" i="23"/>
  <c r="D60" i="21"/>
  <c r="BF56" i="19"/>
  <c r="C71" i="24" s="1"/>
  <c r="D96" i="24"/>
  <c r="BB28" i="19"/>
  <c r="D46" i="22"/>
  <c r="D40" i="21"/>
  <c r="D52" i="23"/>
  <c r="AD285" i="4"/>
  <c r="AD551" i="4"/>
  <c r="AD459" i="4"/>
  <c r="D100" i="22"/>
  <c r="D69" i="21"/>
  <c r="BD46" i="19"/>
  <c r="C61" i="22" s="1"/>
  <c r="AD415" i="4"/>
  <c r="D76" i="25"/>
  <c r="D99" i="24"/>
  <c r="AD687" i="4"/>
  <c r="BJ54" i="19"/>
  <c r="BK54" i="19" s="1"/>
  <c r="BE50" i="19"/>
  <c r="C65" i="23" s="1"/>
  <c r="D90" i="24"/>
  <c r="D42" i="18"/>
  <c r="AD791" i="4"/>
  <c r="AD1080" i="4"/>
  <c r="AD183" i="4"/>
  <c r="AC38" i="19"/>
  <c r="AD38" i="19" s="1"/>
  <c r="D87" i="24"/>
  <c r="AD79" i="4"/>
  <c r="D102" i="25"/>
  <c r="BE86" i="19"/>
  <c r="C101" i="23" s="1"/>
  <c r="D118" i="22"/>
  <c r="AD63" i="4"/>
  <c r="D86" i="25"/>
  <c r="BF68" i="19"/>
  <c r="C83" i="24" s="1"/>
  <c r="AD451" i="4"/>
  <c r="AD545" i="4"/>
  <c r="AD593" i="4"/>
  <c r="AD625" i="4"/>
  <c r="AD677" i="4"/>
  <c r="AD927" i="4"/>
  <c r="AD987" i="4"/>
  <c r="AD1135" i="4"/>
  <c r="BG100" i="19"/>
  <c r="C115" i="25" s="1"/>
  <c r="BH19" i="19"/>
  <c r="C34" i="26" s="1"/>
  <c r="BD76" i="19"/>
  <c r="C91" i="22" s="1"/>
  <c r="D56" i="18"/>
  <c r="BD56" i="19"/>
  <c r="C71" i="22" s="1"/>
  <c r="BE11" i="19"/>
  <c r="C26" i="23" s="1"/>
  <c r="D116" i="21"/>
  <c r="D105" i="24"/>
  <c r="I1341" i="4"/>
  <c r="BE19" i="19"/>
  <c r="C34" i="23" s="1"/>
  <c r="BC17" i="19"/>
  <c r="C32" i="21" s="1"/>
  <c r="BD12" i="19"/>
  <c r="C27" i="22" s="1"/>
  <c r="BG11" i="19"/>
  <c r="C26" i="25" s="1"/>
  <c r="BI17" i="19"/>
  <c r="BC11" i="19"/>
  <c r="C26" i="21" s="1"/>
  <c r="BH8" i="19"/>
  <c r="C23" i="26" s="1"/>
  <c r="BC7" i="19"/>
  <c r="C22" i="21" s="1"/>
  <c r="BB8" i="19"/>
  <c r="BF8" i="19"/>
  <c r="C23" i="24" s="1"/>
  <c r="BD8" i="19"/>
  <c r="C23" i="22" s="1"/>
  <c r="AD1334" i="4"/>
  <c r="AD277" i="4"/>
  <c r="AD313" i="4"/>
  <c r="AD381" i="4"/>
  <c r="AD615" i="4"/>
  <c r="AD675" i="4"/>
  <c r="AD761" i="4"/>
  <c r="AD825" i="4"/>
  <c r="AD893" i="4"/>
  <c r="AD961" i="4"/>
  <c r="AD993" i="4"/>
  <c r="AD1077" i="4"/>
  <c r="AD1141" i="4"/>
  <c r="AD879" i="4"/>
  <c r="AC1281" i="4"/>
  <c r="AD401" i="4"/>
  <c r="AD781" i="4"/>
  <c r="AD1129" i="4"/>
  <c r="AD1079" i="4"/>
  <c r="AD1287" i="4" s="1"/>
  <c r="AD713" i="4"/>
  <c r="AD1041" i="4"/>
  <c r="AD407" i="4"/>
  <c r="AD1263" i="4"/>
  <c r="AD477" i="4"/>
  <c r="AD937" i="4"/>
  <c r="AD1089" i="4"/>
  <c r="AD259" i="4"/>
  <c r="AD347" i="4"/>
  <c r="AD709" i="4"/>
  <c r="AD705" i="4"/>
  <c r="AD867" i="4"/>
  <c r="AD1115" i="4"/>
  <c r="AD686" i="4"/>
  <c r="AD325" i="4"/>
  <c r="AD1282" i="4"/>
  <c r="AD602" i="4"/>
  <c r="AD343" i="4"/>
  <c r="AD863" i="4"/>
  <c r="AD577" i="4"/>
  <c r="AD884" i="4"/>
  <c r="AD1300" i="4" s="1"/>
  <c r="AD449" i="4"/>
  <c r="AD763" i="4"/>
  <c r="AD995" i="4"/>
  <c r="AD257" i="4"/>
  <c r="AD377" i="4"/>
  <c r="AD445" i="4"/>
  <c r="AD511" i="4"/>
  <c r="AD571" i="4"/>
  <c r="AD671" i="4"/>
  <c r="AD789" i="4"/>
  <c r="AD889" i="4"/>
  <c r="AD989" i="4"/>
  <c r="AD1021" i="4"/>
  <c r="AD1073" i="4"/>
  <c r="AD1137" i="4"/>
  <c r="AD342" i="4"/>
  <c r="AD363" i="4"/>
  <c r="AD521" i="4"/>
  <c r="AD573" i="4"/>
  <c r="AD605" i="4"/>
  <c r="AD657" i="4"/>
  <c r="AD775" i="4"/>
  <c r="AD983" i="4"/>
  <c r="AD1075" i="4"/>
  <c r="AD352" i="4"/>
  <c r="AD1108" i="4"/>
  <c r="AD1316" i="4" s="1"/>
  <c r="AD269" i="4"/>
  <c r="AD441" i="4"/>
  <c r="AD583" i="4"/>
  <c r="AD667" i="4"/>
  <c r="AD717" i="4"/>
  <c r="AD801" i="4"/>
  <c r="AD885" i="4"/>
  <c r="AD933" i="4"/>
  <c r="AD985" i="4"/>
  <c r="AD1069" i="4"/>
  <c r="AD1133" i="4"/>
  <c r="AD617" i="4"/>
  <c r="AD935" i="4"/>
  <c r="AD361" i="4"/>
  <c r="AD857" i="4"/>
  <c r="AD494" i="4"/>
  <c r="AD560" i="4"/>
  <c r="AD416" i="4"/>
  <c r="AD1352" i="4" s="1"/>
  <c r="AD656" i="4"/>
  <c r="AD402" i="4"/>
  <c r="AD239" i="4"/>
  <c r="AD771" i="4"/>
  <c r="AD1014" i="4"/>
  <c r="AD382" i="4"/>
  <c r="AD1318" i="4" s="1"/>
  <c r="AC1263" i="4"/>
  <c r="AB1263" i="4" s="1"/>
  <c r="AD1319" i="4"/>
  <c r="AD805" i="4"/>
  <c r="AD973" i="4"/>
  <c r="AD1105" i="4"/>
  <c r="AD243" i="4"/>
  <c r="AD303" i="4"/>
  <c r="AD387" i="4"/>
  <c r="AD689" i="4"/>
  <c r="AD823" i="4"/>
  <c r="AD883" i="4"/>
  <c r="AD1256" i="4"/>
  <c r="AD473" i="4"/>
  <c r="AD1001" i="4"/>
  <c r="AD653" i="4"/>
  <c r="AD646" i="4"/>
  <c r="AD582" i="4"/>
  <c r="AD1268" i="4"/>
  <c r="AD517" i="4"/>
  <c r="AD1143" i="4"/>
  <c r="AD485" i="4"/>
  <c r="AD881" i="4"/>
  <c r="AD384" i="4"/>
  <c r="AD894" i="4"/>
  <c r="AD267" i="4"/>
  <c r="AD371" i="4"/>
  <c r="AD565" i="4"/>
  <c r="AD759" i="4"/>
  <c r="AD831" i="4"/>
  <c r="AD1083" i="4"/>
  <c r="AD755" i="4"/>
  <c r="AD284" i="4"/>
  <c r="AD1324" i="4" s="1"/>
  <c r="AD1107" i="4"/>
  <c r="AD1070" i="4"/>
  <c r="AD712" i="4"/>
  <c r="AD505" i="4"/>
  <c r="AD725" i="4"/>
  <c r="AD1109" i="4"/>
  <c r="AD1275" i="4"/>
  <c r="AD273" i="4"/>
  <c r="AD393" i="4"/>
  <c r="AD461" i="4"/>
  <c r="AD555" i="4"/>
  <c r="AD595" i="4"/>
  <c r="AD773" i="4"/>
  <c r="AD873" i="4"/>
  <c r="AD921" i="4"/>
  <c r="AD1005" i="4"/>
  <c r="AD1037" i="4"/>
  <c r="AD1121" i="4"/>
  <c r="AD919" i="4"/>
  <c r="AD608" i="4"/>
  <c r="AD283" i="4"/>
  <c r="AD463" i="4"/>
  <c r="AD557" i="4"/>
  <c r="AD589" i="4"/>
  <c r="AD621" i="4"/>
  <c r="AD673" i="4"/>
  <c r="AD907" i="4"/>
  <c r="AD1031" i="4"/>
  <c r="AD1091" i="4"/>
  <c r="AD405" i="4"/>
  <c r="AD457" i="4"/>
  <c r="AD623" i="4"/>
  <c r="AD683" i="4"/>
  <c r="AD753" i="4"/>
  <c r="AD817" i="4"/>
  <c r="AD901" i="4"/>
  <c r="AD969" i="4"/>
  <c r="AD1017" i="4"/>
  <c r="AD1085" i="4"/>
  <c r="AD727" i="4"/>
  <c r="AD1259" i="4"/>
  <c r="AD638" i="4"/>
  <c r="AD211" i="4"/>
  <c r="BE14" i="19"/>
  <c r="C29" i="23" s="1"/>
  <c r="BC14" i="19"/>
  <c r="C29" i="21" s="1"/>
  <c r="AD957" i="4"/>
  <c r="BE21" i="19"/>
  <c r="C36" i="23" s="1"/>
  <c r="AD853" i="4"/>
  <c r="BC21" i="19"/>
  <c r="C36" i="21" s="1"/>
  <c r="I117" i="22"/>
  <c r="F117" i="22"/>
  <c r="D117" i="22" s="1"/>
  <c r="C61" i="18"/>
  <c r="C65" i="18"/>
  <c r="F27" i="23"/>
  <c r="I27" i="23"/>
  <c r="C101" i="18"/>
  <c r="C22" i="18"/>
  <c r="F115" i="22"/>
  <c r="I115" i="22"/>
  <c r="C37" i="18"/>
  <c r="I36" i="22"/>
  <c r="F36" i="22"/>
  <c r="C29" i="18"/>
  <c r="F95" i="23"/>
  <c r="I95" i="23"/>
  <c r="F39" i="26"/>
  <c r="I39" i="26"/>
  <c r="F91" i="23"/>
  <c r="I91" i="23"/>
  <c r="F107" i="22"/>
  <c r="I107" i="22"/>
  <c r="F35" i="23"/>
  <c r="I35" i="23"/>
  <c r="F71" i="23"/>
  <c r="I71" i="23"/>
  <c r="F43" i="23"/>
  <c r="I43" i="23"/>
  <c r="F23" i="23"/>
  <c r="I23" i="23"/>
  <c r="F31" i="23"/>
  <c r="I31" i="23"/>
  <c r="C26" i="18"/>
  <c r="J12" i="6"/>
  <c r="K12" i="6" s="1"/>
  <c r="H13" i="6" s="1"/>
  <c r="F55" i="25"/>
  <c r="I55" i="25"/>
  <c r="F110" i="21"/>
  <c r="I110" i="21"/>
  <c r="C18" i="27"/>
  <c r="E29" i="27"/>
  <c r="B14" i="27"/>
  <c r="I61" i="25"/>
  <c r="F61" i="25"/>
  <c r="EU28" i="62"/>
  <c r="EG29" i="62"/>
  <c r="D73" i="68" s="1"/>
  <c r="F119" i="24"/>
  <c r="I119" i="24"/>
  <c r="AC1291" i="4"/>
  <c r="I40" i="26"/>
  <c r="F40" i="26"/>
  <c r="AC315" i="4"/>
  <c r="AJ214" i="4"/>
  <c r="I109" i="26"/>
  <c r="F109" i="26"/>
  <c r="I93" i="24"/>
  <c r="F93" i="24"/>
  <c r="C113" i="18"/>
  <c r="BJ98" i="19"/>
  <c r="BK98" i="19" s="1"/>
  <c r="AC73" i="19"/>
  <c r="AD73" i="19" s="1"/>
  <c r="AC939" i="4"/>
  <c r="AJ1281" i="4"/>
  <c r="AB1281" i="4"/>
  <c r="AB10" i="19"/>
  <c r="X10" i="19"/>
  <c r="AA10" i="19"/>
  <c r="W10" i="19"/>
  <c r="Z10" i="19"/>
  <c r="V10" i="19"/>
  <c r="Y10" i="19"/>
  <c r="U10" i="19"/>
  <c r="BF10" i="19"/>
  <c r="C25" i="24" s="1"/>
  <c r="H13" i="19"/>
  <c r="BG13" i="19" s="1"/>
  <c r="C28" i="25" s="1"/>
  <c r="I121" i="24"/>
  <c r="F121" i="24"/>
  <c r="AJ1342" i="4"/>
  <c r="AB1342" i="4"/>
  <c r="AJ1259" i="4"/>
  <c r="AB1259" i="4"/>
  <c r="D67" i="21"/>
  <c r="AC40" i="19"/>
  <c r="AD40" i="19" s="1"/>
  <c r="F110" i="26"/>
  <c r="I110" i="26"/>
  <c r="D80" i="25"/>
  <c r="I49" i="24"/>
  <c r="F49" i="24"/>
  <c r="BH46" i="19"/>
  <c r="C61" i="26" s="1"/>
  <c r="I120" i="23"/>
  <c r="F120" i="23"/>
  <c r="AD233" i="4"/>
  <c r="AD369" i="4"/>
  <c r="AD453" i="4"/>
  <c r="AD563" i="4"/>
  <c r="AD729" i="4"/>
  <c r="AD813" i="4"/>
  <c r="AD913" i="4"/>
  <c r="AD965" i="4"/>
  <c r="AD1013" i="4"/>
  <c r="AD1113" i="4"/>
  <c r="AD751" i="4"/>
  <c r="BE102" i="19"/>
  <c r="C117" i="23" s="1"/>
  <c r="AD295" i="4"/>
  <c r="AD1335" i="4" s="1"/>
  <c r="AD1096" i="4"/>
  <c r="AD1304" i="4" s="1"/>
  <c r="F94" i="24"/>
  <c r="I94" i="24"/>
  <c r="AD244" i="4"/>
  <c r="AD841" i="4"/>
  <c r="AD892" i="4"/>
  <c r="F66" i="18"/>
  <c r="I66" i="18"/>
  <c r="AD1098" i="4"/>
  <c r="AD1306" i="4" s="1"/>
  <c r="AD868" i="4"/>
  <c r="AD426" i="4"/>
  <c r="AD1258" i="4" s="1"/>
  <c r="F47" i="25"/>
  <c r="I47" i="25"/>
  <c r="I1307" i="4"/>
  <c r="AJ1287" i="4"/>
  <c r="AB1287" i="4"/>
  <c r="F119" i="23"/>
  <c r="D119" i="23" s="1"/>
  <c r="I119" i="23"/>
  <c r="AC93" i="19"/>
  <c r="AD93" i="19" s="1"/>
  <c r="D58" i="24"/>
  <c r="AC1344" i="4"/>
  <c r="AJ1240" i="4"/>
  <c r="AC1318" i="4"/>
  <c r="AD251" i="4"/>
  <c r="AD355" i="4"/>
  <c r="AD513" i="4"/>
  <c r="AD581" i="4"/>
  <c r="AD613" i="4"/>
  <c r="AD681" i="4"/>
  <c r="AD875" i="4"/>
  <c r="AD999" i="4"/>
  <c r="AD1099" i="4"/>
  <c r="I40" i="24"/>
  <c r="F40" i="24"/>
  <c r="AD214" i="4"/>
  <c r="AD232" i="4"/>
  <c r="AD215" i="4"/>
  <c r="AD1255" i="4" s="1"/>
  <c r="F59" i="25"/>
  <c r="I59" i="25"/>
  <c r="AD1280" i="4"/>
  <c r="F87" i="23"/>
  <c r="I87" i="23"/>
  <c r="I45" i="22"/>
  <c r="F45" i="22"/>
  <c r="I109" i="25"/>
  <c r="F109" i="25"/>
  <c r="D76" i="26"/>
  <c r="F70" i="22"/>
  <c r="I70" i="22"/>
  <c r="BB24" i="19"/>
  <c r="BD24" i="19"/>
  <c r="C39" i="22" s="1"/>
  <c r="I85" i="22"/>
  <c r="F85" i="22"/>
  <c r="D84" i="26"/>
  <c r="C105" i="18"/>
  <c r="BJ90" i="19"/>
  <c r="BK90" i="19" s="1"/>
  <c r="I81" i="22"/>
  <c r="F81" i="22"/>
  <c r="AD75" i="4"/>
  <c r="AC78" i="19"/>
  <c r="AD78" i="19" s="1"/>
  <c r="I113" i="23"/>
  <c r="F113" i="23"/>
  <c r="AC1328" i="4"/>
  <c r="AJ1224" i="4"/>
  <c r="F50" i="26"/>
  <c r="I50" i="26"/>
  <c r="AD375" i="4"/>
  <c r="AD475" i="4"/>
  <c r="AD569" i="4"/>
  <c r="AD787" i="4"/>
  <c r="AD979" i="4"/>
  <c r="AD1103" i="4"/>
  <c r="AC74" i="19"/>
  <c r="AD74" i="19" s="1"/>
  <c r="I88" i="24"/>
  <c r="F88" i="24"/>
  <c r="D84" i="21"/>
  <c r="AD467" i="4"/>
  <c r="AD1299" i="4" s="1"/>
  <c r="AD693" i="4"/>
  <c r="AD1338" i="4"/>
  <c r="AJ1327" i="4"/>
  <c r="AB1327" i="4"/>
  <c r="AC1349" i="4"/>
  <c r="D67" i="26"/>
  <c r="D55" i="23"/>
  <c r="BV18" i="62"/>
  <c r="BH48" i="62"/>
  <c r="F110" i="24"/>
  <c r="I110" i="24"/>
  <c r="AJ1292" i="4"/>
  <c r="AB1292" i="4"/>
  <c r="AD55" i="4"/>
  <c r="I68" i="18"/>
  <c r="F68" i="18"/>
  <c r="BE10" i="19"/>
  <c r="C25" i="23" s="1"/>
  <c r="BC10" i="19"/>
  <c r="C25" i="21" s="1"/>
  <c r="H18" i="27"/>
  <c r="E32" i="27"/>
  <c r="G14" i="27"/>
  <c r="I49" i="18"/>
  <c r="F49" i="18"/>
  <c r="D99" i="26"/>
  <c r="D116" i="22"/>
  <c r="AD265" i="4"/>
  <c r="AD301" i="4"/>
  <c r="AD353" i="4"/>
  <c r="AD417" i="4"/>
  <c r="AD497" i="4"/>
  <c r="AD655" i="4"/>
  <c r="AD765" i="4"/>
  <c r="AD829" i="4"/>
  <c r="AD897" i="4"/>
  <c r="AD1313" i="4" s="1"/>
  <c r="AD1029" i="4"/>
  <c r="AD1081" i="4"/>
  <c r="AD1145" i="4"/>
  <c r="I69" i="18"/>
  <c r="F69" i="18"/>
  <c r="BH50" i="19"/>
  <c r="C65" i="26" s="1"/>
  <c r="AD952" i="4"/>
  <c r="AD1264" i="4" s="1"/>
  <c r="D94" i="26"/>
  <c r="D66" i="22"/>
  <c r="D47" i="23"/>
  <c r="I121" i="25"/>
  <c r="F121" i="25"/>
  <c r="AC1297" i="4"/>
  <c r="H9" i="29"/>
  <c r="G8" i="29"/>
  <c r="I8" i="29"/>
  <c r="K8" i="29" s="1"/>
  <c r="D68" i="24"/>
  <c r="AC26" i="19"/>
  <c r="AD26" i="19" s="1"/>
  <c r="Y17" i="19"/>
  <c r="U17" i="19"/>
  <c r="AB17" i="19"/>
  <c r="X17" i="19"/>
  <c r="AA17" i="19"/>
  <c r="W17" i="19"/>
  <c r="Z17" i="19"/>
  <c r="V17" i="19"/>
  <c r="BF17" i="19"/>
  <c r="C32" i="24" s="1"/>
  <c r="BH17" i="19"/>
  <c r="C32" i="26" s="1"/>
  <c r="AC82" i="19"/>
  <c r="AD82" i="19" s="1"/>
  <c r="AC1295" i="4"/>
  <c r="D73" i="26"/>
  <c r="I100" i="26"/>
  <c r="F100" i="26"/>
  <c r="AC85" i="19"/>
  <c r="AD85" i="19" s="1"/>
  <c r="I40" i="18"/>
  <c r="F40" i="18"/>
  <c r="AC1147" i="4"/>
  <c r="AJ1046" i="4"/>
  <c r="D72" i="26"/>
  <c r="BC8" i="19"/>
  <c r="C23" i="21" s="1"/>
  <c r="BF12" i="19"/>
  <c r="C27" i="24" s="1"/>
  <c r="BH12" i="19"/>
  <c r="C27" i="26" s="1"/>
  <c r="D59" i="23"/>
  <c r="F51" i="25"/>
  <c r="I51" i="25"/>
  <c r="AJ1280" i="4"/>
  <c r="AB1280" i="4"/>
  <c r="D87" i="26"/>
  <c r="D45" i="21"/>
  <c r="F103" i="25"/>
  <c r="I103" i="25"/>
  <c r="D102" i="23"/>
  <c r="AD245" i="4"/>
  <c r="AD349" i="4"/>
  <c r="AD413" i="4"/>
  <c r="AD465" i="4"/>
  <c r="AD567" i="4"/>
  <c r="AD777" i="4"/>
  <c r="AD861" i="4"/>
  <c r="AD1009" i="4"/>
  <c r="AD1093" i="4"/>
  <c r="BD86" i="19"/>
  <c r="C101" i="22" s="1"/>
  <c r="BI86" i="19"/>
  <c r="BG86" i="19"/>
  <c r="C101" i="25" s="1"/>
  <c r="AD23" i="4"/>
  <c r="AD107" i="4" s="1"/>
  <c r="D118" i="23"/>
  <c r="I105" i="26"/>
  <c r="F105" i="26"/>
  <c r="I60" i="25"/>
  <c r="F60" i="25"/>
  <c r="AC42" i="19"/>
  <c r="AD42" i="19" s="1"/>
  <c r="AO6" i="19"/>
  <c r="AO107" i="19" s="1"/>
  <c r="AN107" i="19"/>
  <c r="D92" i="18"/>
  <c r="BG7" i="19"/>
  <c r="C22" i="25" s="1"/>
  <c r="BI7" i="19"/>
  <c r="Z68" i="19"/>
  <c r="V68" i="19"/>
  <c r="Y68" i="19"/>
  <c r="U68" i="19"/>
  <c r="AB68" i="19"/>
  <c r="X68" i="19"/>
  <c r="AA68" i="19"/>
  <c r="W68" i="19"/>
  <c r="BG68" i="19"/>
  <c r="C83" i="25" s="1"/>
  <c r="BI68" i="19"/>
  <c r="AA1253" i="4"/>
  <c r="BI100" i="19"/>
  <c r="BF100" i="19"/>
  <c r="C115" i="24" s="1"/>
  <c r="D88" i="22"/>
  <c r="F74" i="25"/>
  <c r="I74" i="25"/>
  <c r="F34" i="21"/>
  <c r="I34" i="21"/>
  <c r="AA19" i="19"/>
  <c r="W19" i="19"/>
  <c r="Z19" i="19"/>
  <c r="V19" i="19"/>
  <c r="Y19" i="19"/>
  <c r="U19" i="19"/>
  <c r="AB19" i="19"/>
  <c r="X19" i="19"/>
  <c r="BF19" i="19"/>
  <c r="C34" i="24" s="1"/>
  <c r="BF76" i="19"/>
  <c r="C91" i="24" s="1"/>
  <c r="BH76" i="19"/>
  <c r="C91" i="26" s="1"/>
  <c r="AJ1290" i="4"/>
  <c r="AB1290" i="4"/>
  <c r="AD255" i="4"/>
  <c r="AD803" i="4"/>
  <c r="F74" i="24"/>
  <c r="I74" i="24"/>
  <c r="AD895" i="4"/>
  <c r="F74" i="18"/>
  <c r="I74" i="18"/>
  <c r="AJ1338" i="4"/>
  <c r="AB1338" i="4"/>
  <c r="I1345" i="4"/>
  <c r="AJ1339" i="4"/>
  <c r="AB1339" i="4"/>
  <c r="BG92" i="19"/>
  <c r="C107" i="25" s="1"/>
  <c r="BB92" i="19"/>
  <c r="D99" i="22"/>
  <c r="BJ101" i="19"/>
  <c r="BK101" i="19" s="1"/>
  <c r="AJ734" i="4"/>
  <c r="AC835" i="4"/>
  <c r="D64" i="26"/>
  <c r="Z60" i="19"/>
  <c r="V60" i="19"/>
  <c r="Y60" i="19"/>
  <c r="U60" i="19"/>
  <c r="AB60" i="19"/>
  <c r="X60" i="19"/>
  <c r="AA60" i="19"/>
  <c r="W60" i="19"/>
  <c r="BG60" i="19"/>
  <c r="C75" i="25" s="1"/>
  <c r="BI60" i="19"/>
  <c r="AD696" i="4"/>
  <c r="AD454" i="4"/>
  <c r="AD1286" i="4" s="1"/>
  <c r="AD376" i="4"/>
  <c r="AD1312" i="4" s="1"/>
  <c r="AD845" i="4"/>
  <c r="BE22" i="19"/>
  <c r="C37" i="23" s="1"/>
  <c r="BC22" i="19"/>
  <c r="C37" i="21" s="1"/>
  <c r="D82" i="26"/>
  <c r="AD982" i="4"/>
  <c r="AD1294" i="4" s="1"/>
  <c r="AD1068" i="4"/>
  <c r="AD1276" i="4" s="1"/>
  <c r="D66" i="23"/>
  <c r="AC1273" i="4"/>
  <c r="AJ1169" i="4"/>
  <c r="AD394" i="4"/>
  <c r="AD438" i="4"/>
  <c r="AD1270" i="4" s="1"/>
  <c r="AD159" i="4"/>
  <c r="AD1303" i="4" s="1"/>
  <c r="D47" i="24"/>
  <c r="AC1271" i="4"/>
  <c r="I41" i="26"/>
  <c r="F41" i="26"/>
  <c r="D108" i="22"/>
  <c r="BB20" i="19"/>
  <c r="BD20" i="19"/>
  <c r="C35" i="22" s="1"/>
  <c r="D18" i="15"/>
  <c r="D12" i="15"/>
  <c r="D137" i="16"/>
  <c r="U137" i="16" s="1"/>
  <c r="D8" i="15"/>
  <c r="D78" i="22"/>
  <c r="Y96" i="19"/>
  <c r="U96" i="19"/>
  <c r="AA96" i="19"/>
  <c r="W96" i="19"/>
  <c r="AB96" i="19"/>
  <c r="Z96" i="19"/>
  <c r="X96" i="19"/>
  <c r="V96" i="19"/>
  <c r="BB96" i="19"/>
  <c r="I97" i="26"/>
  <c r="F97" i="26"/>
  <c r="AC1299" i="4"/>
  <c r="C100" i="18"/>
  <c r="BJ85" i="19"/>
  <c r="BK85" i="19" s="1"/>
  <c r="DS45" i="5"/>
  <c r="DE47" i="5"/>
  <c r="AD456" i="4"/>
  <c r="AD1288" i="4" s="1"/>
  <c r="I53" i="26"/>
  <c r="F53" i="26"/>
  <c r="D59" i="24"/>
  <c r="C17" i="26"/>
  <c r="AJ1274" i="4"/>
  <c r="AB1274" i="4"/>
  <c r="D87" i="22"/>
  <c r="AC30" i="19"/>
  <c r="AD30" i="19" s="1"/>
  <c r="F103" i="21"/>
  <c r="I103" i="21"/>
  <c r="AC1301" i="4"/>
  <c r="D86" i="24"/>
  <c r="AC87" i="19"/>
  <c r="AD87" i="19" s="1"/>
  <c r="AC1354" i="4"/>
  <c r="AJ1250" i="4"/>
  <c r="Z48" i="19"/>
  <c r="V48" i="19"/>
  <c r="Y48" i="19"/>
  <c r="U48" i="19"/>
  <c r="AB48" i="19"/>
  <c r="X48" i="19"/>
  <c r="AA48" i="19"/>
  <c r="W48" i="19"/>
  <c r="BG48" i="19"/>
  <c r="C63" i="25" s="1"/>
  <c r="BI48" i="19"/>
  <c r="AC70" i="19"/>
  <c r="AD70" i="19" s="1"/>
  <c r="AC66" i="19"/>
  <c r="AD66" i="19" s="1"/>
  <c r="AJ1322" i="4"/>
  <c r="AB1322" i="4"/>
  <c r="AC1262" i="4"/>
  <c r="I57" i="18"/>
  <c r="F57" i="18"/>
  <c r="AA92" i="20"/>
  <c r="W92" i="20"/>
  <c r="S92" i="20"/>
  <c r="Z92" i="20"/>
  <c r="V92" i="20"/>
  <c r="R92" i="20"/>
  <c r="X92" i="20"/>
  <c r="AC92" i="20"/>
  <c r="U92" i="20"/>
  <c r="T92" i="20"/>
  <c r="AB92" i="20"/>
  <c r="Y92" i="20"/>
  <c r="I127" i="25"/>
  <c r="U45" i="17"/>
  <c r="D44" i="25"/>
  <c r="AC1329" i="4"/>
  <c r="AJ1225" i="4"/>
  <c r="AD719" i="4"/>
  <c r="AD1343" i="4" s="1"/>
  <c r="BC56" i="19"/>
  <c r="C71" i="21" s="1"/>
  <c r="D89" i="21"/>
  <c r="BD14" i="19"/>
  <c r="C29" i="22" s="1"/>
  <c r="BI14" i="19"/>
  <c r="BG14" i="19"/>
  <c r="C29" i="25" s="1"/>
  <c r="D86" i="18"/>
  <c r="F110" i="25"/>
  <c r="I110" i="25"/>
  <c r="AC1298" i="4"/>
  <c r="H88" i="20"/>
  <c r="J86" i="20"/>
  <c r="J88" i="20" s="1"/>
  <c r="BF28" i="19"/>
  <c r="C43" i="24" s="1"/>
  <c r="BH28" i="19"/>
  <c r="C43" i="26" s="1"/>
  <c r="AD618" i="4"/>
  <c r="AD904" i="4"/>
  <c r="AC51" i="19"/>
  <c r="AD51" i="19" s="1"/>
  <c r="I121" i="26"/>
  <c r="F121" i="26"/>
  <c r="F79" i="26"/>
  <c r="I79" i="26"/>
  <c r="I41" i="25"/>
  <c r="F41" i="25"/>
  <c r="CJ55" i="5"/>
  <c r="AC1315" i="4"/>
  <c r="AC1343" i="4"/>
  <c r="D78" i="25"/>
  <c r="I97" i="22"/>
  <c r="F97" i="22"/>
  <c r="AC1261" i="4"/>
  <c r="AJ1157" i="4"/>
  <c r="I104" i="26"/>
  <c r="F104" i="26"/>
  <c r="AC89" i="19"/>
  <c r="AD89" i="19" s="1"/>
  <c r="H56" i="20"/>
  <c r="J54" i="20"/>
  <c r="J56" i="20" s="1"/>
  <c r="AD403" i="4"/>
  <c r="AD1339" i="4" s="1"/>
  <c r="AD684" i="4"/>
  <c r="AC529" i="45"/>
  <c r="AB531" i="45"/>
  <c r="AB530" i="45"/>
  <c r="BI21" i="19"/>
  <c r="BG21" i="19"/>
  <c r="C36" i="25" s="1"/>
  <c r="BB16" i="19"/>
  <c r="BD16" i="19"/>
  <c r="C31" i="22" s="1"/>
  <c r="I53" i="22"/>
  <c r="F53" i="22"/>
  <c r="F59" i="18"/>
  <c r="I59" i="18"/>
  <c r="AJ1314" i="4"/>
  <c r="AB1314" i="4"/>
  <c r="AO24" i="5"/>
  <c r="AM23" i="5"/>
  <c r="BA23" i="5"/>
  <c r="BO23" i="5"/>
  <c r="AC1326" i="4"/>
  <c r="D46" i="26"/>
  <c r="F87" i="25"/>
  <c r="I87" i="25"/>
  <c r="H15" i="19"/>
  <c r="BB15" i="19" s="1"/>
  <c r="F102" i="26"/>
  <c r="I102" i="26"/>
  <c r="BF80" i="19"/>
  <c r="C95" i="24" s="1"/>
  <c r="BH80" i="19"/>
  <c r="C95" i="26" s="1"/>
  <c r="R21" i="5"/>
  <c r="D21" i="5"/>
  <c r="D14" i="68"/>
  <c r="AN42" i="20"/>
  <c r="AN43" i="20" s="1"/>
  <c r="AJ42" i="20"/>
  <c r="AJ43" i="20" s="1"/>
  <c r="AF42" i="20"/>
  <c r="AF43" i="20" s="1"/>
  <c r="AO42" i="20"/>
  <c r="AO43" i="20" s="1"/>
  <c r="AI42" i="20"/>
  <c r="AI43" i="20" s="1"/>
  <c r="AK42" i="20"/>
  <c r="AK43" i="20" s="1"/>
  <c r="AP42" i="20"/>
  <c r="AP43" i="20" s="1"/>
  <c r="AH42" i="20"/>
  <c r="AH43" i="20" s="1"/>
  <c r="AM42" i="20"/>
  <c r="AM43" i="20" s="1"/>
  <c r="AG42" i="20"/>
  <c r="AG43" i="20" s="1"/>
  <c r="AL42" i="20"/>
  <c r="AL43" i="20" s="1"/>
  <c r="AE42" i="20"/>
  <c r="H42" i="20" s="1"/>
  <c r="J42" i="20" s="1"/>
  <c r="I105" i="25"/>
  <c r="F105" i="25"/>
  <c r="BH47" i="62"/>
  <c r="BV21" i="62"/>
  <c r="AC167" i="4"/>
  <c r="AJ167" i="4" s="1"/>
  <c r="AT33" i="5"/>
  <c r="BD11" i="19"/>
  <c r="C26" i="22" s="1"/>
  <c r="BI11" i="19"/>
  <c r="AC98" i="19"/>
  <c r="AD98" i="19" s="1"/>
  <c r="D22" i="28"/>
  <c r="C25" i="17"/>
  <c r="D25" i="17" s="1"/>
  <c r="DL45" i="5"/>
  <c r="DZ45" i="5" s="1"/>
  <c r="D50" i="21"/>
  <c r="H104" i="20"/>
  <c r="J102" i="20"/>
  <c r="J104" i="20" s="1"/>
  <c r="EN28" i="62"/>
  <c r="FB28" i="62" s="1"/>
  <c r="D98" i="18"/>
  <c r="I41" i="18"/>
  <c r="F41" i="18"/>
  <c r="BJ55" i="19"/>
  <c r="BK55" i="19" s="1"/>
  <c r="BJ74" i="19"/>
  <c r="BK74" i="19" s="1"/>
  <c r="BJ62" i="19"/>
  <c r="BK62" i="19" s="1"/>
  <c r="I121" i="18"/>
  <c r="F121" i="18"/>
  <c r="BJ87" i="19"/>
  <c r="BK87" i="19" s="1"/>
  <c r="I53" i="18"/>
  <c r="F53" i="18"/>
  <c r="BJ70" i="19"/>
  <c r="BK70" i="19" s="1"/>
  <c r="I45" i="18"/>
  <c r="F45" i="18"/>
  <c r="AA102" i="19"/>
  <c r="W102" i="19"/>
  <c r="Y102" i="19"/>
  <c r="U102" i="19"/>
  <c r="V102" i="19"/>
  <c r="AB102" i="19"/>
  <c r="Z102" i="19"/>
  <c r="X102" i="19"/>
  <c r="BF102" i="19"/>
  <c r="C117" i="24" s="1"/>
  <c r="I97" i="23"/>
  <c r="F97" i="23"/>
  <c r="C104" i="18"/>
  <c r="BJ89" i="19"/>
  <c r="BK89" i="19" s="1"/>
  <c r="AC25" i="19"/>
  <c r="AD25" i="19" s="1"/>
  <c r="H18" i="19"/>
  <c r="BE18" i="19" s="1"/>
  <c r="C33" i="23" s="1"/>
  <c r="I89" i="24"/>
  <c r="F89" i="24"/>
  <c r="AJ1270" i="4"/>
  <c r="AB1270" i="4"/>
  <c r="I77" i="22"/>
  <c r="F77" i="22"/>
  <c r="I44" i="18"/>
  <c r="F44" i="18"/>
  <c r="AC34" i="19"/>
  <c r="AD34" i="19" s="1"/>
  <c r="F99" i="23"/>
  <c r="I99" i="23"/>
  <c r="AB46" i="19"/>
  <c r="X46" i="19"/>
  <c r="AA46" i="19"/>
  <c r="W46" i="19"/>
  <c r="Z46" i="19"/>
  <c r="V46" i="19"/>
  <c r="Y46" i="19"/>
  <c r="U46" i="19"/>
  <c r="BF46" i="19"/>
  <c r="C61" i="24" s="1"/>
  <c r="I120" i="26"/>
  <c r="F120" i="26"/>
  <c r="AJ1266" i="4"/>
  <c r="AB1266" i="4"/>
  <c r="BG102" i="19"/>
  <c r="C117" i="25" s="1"/>
  <c r="BH102" i="19"/>
  <c r="C117" i="26" s="1"/>
  <c r="AC1267" i="4"/>
  <c r="AJ1163" i="4"/>
  <c r="AC32" i="19"/>
  <c r="AD32" i="19" s="1"/>
  <c r="I121" i="22"/>
  <c r="F121" i="22"/>
  <c r="F79" i="22"/>
  <c r="I79" i="22"/>
  <c r="F41" i="21"/>
  <c r="I41" i="21"/>
  <c r="I108" i="25"/>
  <c r="F108" i="25"/>
  <c r="D108" i="25" s="1"/>
  <c r="AD1295" i="4"/>
  <c r="I73" i="24"/>
  <c r="F73" i="24"/>
  <c r="F53" i="21"/>
  <c r="I53" i="21"/>
  <c r="AC44" i="19"/>
  <c r="AD44" i="19" s="1"/>
  <c r="F51" i="22"/>
  <c r="I51" i="22"/>
  <c r="AI107" i="14"/>
  <c r="C6" i="19"/>
  <c r="C107" i="19" s="1"/>
  <c r="C21" i="17" s="1"/>
  <c r="F87" i="21"/>
  <c r="I87" i="21"/>
  <c r="F103" i="22"/>
  <c r="I103" i="22"/>
  <c r="BF24" i="19"/>
  <c r="C39" i="24" s="1"/>
  <c r="AC103" i="19"/>
  <c r="AD103" i="19" s="1"/>
  <c r="I105" i="23"/>
  <c r="F105" i="23"/>
  <c r="I60" i="22"/>
  <c r="F60" i="22"/>
  <c r="D60" i="22" s="1"/>
  <c r="D80" i="23"/>
  <c r="AD1328" i="4"/>
  <c r="F54" i="18"/>
  <c r="I54" i="18"/>
  <c r="D88" i="21"/>
  <c r="D55" i="21"/>
  <c r="D112" i="26"/>
  <c r="BD10" i="19"/>
  <c r="C25" i="22" s="1"/>
  <c r="BI10" i="19"/>
  <c r="BG10" i="19"/>
  <c r="C25" i="25" s="1"/>
  <c r="D49" i="26"/>
  <c r="I120" i="25"/>
  <c r="F120" i="25"/>
  <c r="AC105" i="19"/>
  <c r="AD105" i="19" s="1"/>
  <c r="H40" i="20"/>
  <c r="H43" i="20" s="1"/>
  <c r="J38" i="20"/>
  <c r="J40" i="20" s="1"/>
  <c r="J43" i="20" s="1"/>
  <c r="AG1251" i="4"/>
  <c r="X4" i="12" s="1"/>
  <c r="AI1253" i="4"/>
  <c r="AG1253" i="4" s="1"/>
  <c r="R155" i="16"/>
  <c r="D69" i="26"/>
  <c r="AB50" i="19"/>
  <c r="X50" i="19"/>
  <c r="AA50" i="19"/>
  <c r="W50" i="19"/>
  <c r="Z50" i="19"/>
  <c r="V50" i="19"/>
  <c r="Y50" i="19"/>
  <c r="U50" i="19"/>
  <c r="BF50" i="19"/>
  <c r="C65" i="24" s="1"/>
  <c r="BJ79" i="19"/>
  <c r="BK79" i="19" s="1"/>
  <c r="BH23" i="62"/>
  <c r="D47" i="21"/>
  <c r="AC106" i="19"/>
  <c r="AD106" i="19" s="1"/>
  <c r="F79" i="25"/>
  <c r="I79" i="25"/>
  <c r="AC104" i="19"/>
  <c r="AD104" i="19" s="1"/>
  <c r="D108" i="21"/>
  <c r="I32" i="23"/>
  <c r="F32" i="23"/>
  <c r="I32" i="21"/>
  <c r="F32" i="21"/>
  <c r="AC1306" i="4"/>
  <c r="AC1320" i="4"/>
  <c r="AJ1216" i="4"/>
  <c r="I100" i="24"/>
  <c r="F100" i="24"/>
  <c r="BH29" i="62"/>
  <c r="D40" i="22"/>
  <c r="Z8" i="19"/>
  <c r="V8" i="19"/>
  <c r="Y8" i="19"/>
  <c r="U8" i="19"/>
  <c r="AB8" i="19"/>
  <c r="X8" i="19"/>
  <c r="AA8" i="19"/>
  <c r="W8" i="19"/>
  <c r="BG8" i="19"/>
  <c r="C23" i="25" s="1"/>
  <c r="BI8" i="19"/>
  <c r="BC12" i="19"/>
  <c r="C27" i="21" s="1"/>
  <c r="D59" i="21"/>
  <c r="AC36" i="19"/>
  <c r="AD36" i="19" s="1"/>
  <c r="D45" i="23"/>
  <c r="AC88" i="19"/>
  <c r="AD88" i="19" s="1"/>
  <c r="D109" i="22"/>
  <c r="BH86" i="19"/>
  <c r="C101" i="26" s="1"/>
  <c r="I85" i="21"/>
  <c r="F85" i="21"/>
  <c r="I105" i="21"/>
  <c r="F105" i="21"/>
  <c r="AD1322" i="4"/>
  <c r="AV25" i="62"/>
  <c r="BI25" i="62"/>
  <c r="AC108" i="20"/>
  <c r="Y108" i="20"/>
  <c r="U108" i="20"/>
  <c r="AB108" i="20"/>
  <c r="X108" i="20"/>
  <c r="T108" i="20"/>
  <c r="Z108" i="20"/>
  <c r="V108" i="20"/>
  <c r="R108" i="20"/>
  <c r="W108" i="20"/>
  <c r="S108" i="20"/>
  <c r="AA108" i="20"/>
  <c r="I127" i="26"/>
  <c r="X45" i="17"/>
  <c r="BD7" i="19"/>
  <c r="C22" i="22" s="1"/>
  <c r="C83" i="18"/>
  <c r="BJ68" i="19"/>
  <c r="BK68" i="19" s="1"/>
  <c r="F83" i="22"/>
  <c r="I83" i="22"/>
  <c r="I113" i="26"/>
  <c r="F113" i="26"/>
  <c r="AD1331" i="4"/>
  <c r="F50" i="22"/>
  <c r="I50" i="22"/>
  <c r="AC1330" i="4"/>
  <c r="AJ1226" i="4"/>
  <c r="AA1355" i="4"/>
  <c r="I1254" i="4"/>
  <c r="BC100" i="19"/>
  <c r="C115" i="21" s="1"/>
  <c r="F34" i="25"/>
  <c r="I34" i="25"/>
  <c r="F34" i="23"/>
  <c r="I34" i="23"/>
  <c r="AC44" i="20"/>
  <c r="Y44" i="20"/>
  <c r="U44" i="20"/>
  <c r="Z44" i="20"/>
  <c r="T44" i="20"/>
  <c r="AB44" i="20"/>
  <c r="W44" i="20"/>
  <c r="R44" i="20"/>
  <c r="V44" i="20"/>
  <c r="S44" i="20"/>
  <c r="AA44" i="20"/>
  <c r="X44" i="20"/>
  <c r="I127" i="22"/>
  <c r="L45" i="17"/>
  <c r="BC76" i="19"/>
  <c r="C91" i="21" s="1"/>
  <c r="D88" i="23"/>
  <c r="AC1309" i="4"/>
  <c r="F67" i="18"/>
  <c r="I67" i="18"/>
  <c r="F110" i="22"/>
  <c r="I110" i="22"/>
  <c r="BI92" i="19"/>
  <c r="BF92" i="19"/>
  <c r="C107" i="24" s="1"/>
  <c r="D92" i="24"/>
  <c r="D49" i="22"/>
  <c r="BJ84" i="19"/>
  <c r="BK84" i="19" s="1"/>
  <c r="D52" i="18"/>
  <c r="I120" i="22"/>
  <c r="F120" i="22"/>
  <c r="D120" i="22" s="1"/>
  <c r="AC101" i="19"/>
  <c r="AD101" i="19" s="1"/>
  <c r="I116" i="18"/>
  <c r="F116" i="18"/>
  <c r="D69" i="22"/>
  <c r="C75" i="18"/>
  <c r="BJ60" i="19"/>
  <c r="BK60" i="19" s="1"/>
  <c r="F75" i="22"/>
  <c r="I75" i="22"/>
  <c r="BD22" i="19"/>
  <c r="C37" i="22" s="1"/>
  <c r="BI22" i="19"/>
  <c r="BG22" i="19"/>
  <c r="C37" i="25" s="1"/>
  <c r="I121" i="23"/>
  <c r="F121" i="23"/>
  <c r="I1323" i="4"/>
  <c r="I79" i="21"/>
  <c r="F79" i="21"/>
  <c r="D79" i="21" s="1"/>
  <c r="BF20" i="19"/>
  <c r="C35" i="24" s="1"/>
  <c r="BH20" i="19"/>
  <c r="C35" i="26" s="1"/>
  <c r="AM107" i="4"/>
  <c r="T14" i="15"/>
  <c r="D14" i="15"/>
  <c r="D15" i="15" s="1"/>
  <c r="F111" i="23"/>
  <c r="I111" i="23"/>
  <c r="F111" i="24"/>
  <c r="I111" i="24"/>
  <c r="D73" i="22"/>
  <c r="D104" i="23"/>
  <c r="AC1346" i="4"/>
  <c r="AJ1242" i="4"/>
  <c r="J22" i="20"/>
  <c r="J24" i="20" s="1"/>
  <c r="H24" i="20"/>
  <c r="AD307" i="4"/>
  <c r="AD1347" i="4" s="1"/>
  <c r="AD642" i="4"/>
  <c r="AD1082" i="4"/>
  <c r="AD227" i="4"/>
  <c r="I51" i="21"/>
  <c r="F51" i="21"/>
  <c r="C17" i="21"/>
  <c r="C17" i="18"/>
  <c r="D17" i="17"/>
  <c r="AJ1350" i="4"/>
  <c r="AB1350" i="4"/>
  <c r="BJ72" i="19"/>
  <c r="BK72" i="19" s="1"/>
  <c r="I109" i="24"/>
  <c r="F109" i="24"/>
  <c r="D70" i="21"/>
  <c r="F102" i="24"/>
  <c r="I102" i="24"/>
  <c r="AD1250" i="4"/>
  <c r="AD289" i="4"/>
  <c r="AD357" i="4"/>
  <c r="C63" i="18"/>
  <c r="BJ48" i="19"/>
  <c r="BK48" i="19" s="1"/>
  <c r="F63" i="22"/>
  <c r="I63" i="22"/>
  <c r="D60" i="23"/>
  <c r="AC179" i="4"/>
  <c r="AD179" i="4" s="1"/>
  <c r="D93" i="22"/>
  <c r="D57" i="26"/>
  <c r="DS54" i="5"/>
  <c r="AJ1331" i="4"/>
  <c r="AB1331" i="4"/>
  <c r="D89" i="22"/>
  <c r="Z56" i="19"/>
  <c r="V56" i="19"/>
  <c r="Y56" i="19"/>
  <c r="U56" i="19"/>
  <c r="AB56" i="19"/>
  <c r="X56" i="19"/>
  <c r="AA56" i="19"/>
  <c r="W56" i="19"/>
  <c r="BG56" i="19"/>
  <c r="C71" i="25" s="1"/>
  <c r="BI56" i="19"/>
  <c r="BH14" i="19"/>
  <c r="C29" i="26" s="1"/>
  <c r="AC1312" i="4"/>
  <c r="AC1288" i="4"/>
  <c r="F67" i="25"/>
  <c r="I67" i="25"/>
  <c r="C110" i="18"/>
  <c r="BJ95" i="19"/>
  <c r="BK95" i="19" s="1"/>
  <c r="AC1325" i="4"/>
  <c r="AC1336" i="4"/>
  <c r="AJ1232" i="4"/>
  <c r="I116" i="26"/>
  <c r="F116" i="26"/>
  <c r="AC1278" i="4"/>
  <c r="AD293" i="4"/>
  <c r="AD345" i="4"/>
  <c r="AD409" i="4"/>
  <c r="AD493" i="4"/>
  <c r="AD757" i="4"/>
  <c r="AD821" i="4"/>
  <c r="AD905" i="4"/>
  <c r="F114" i="18"/>
  <c r="D114" i="18" s="1"/>
  <c r="I114" i="18"/>
  <c r="BC28" i="19"/>
  <c r="C43" i="21" s="1"/>
  <c r="AD795" i="4"/>
  <c r="AD1315" i="4" s="1"/>
  <c r="AD507" i="45"/>
  <c r="AD506" i="45"/>
  <c r="AE505" i="45"/>
  <c r="F66" i="24"/>
  <c r="I66" i="24"/>
  <c r="I121" i="21"/>
  <c r="F121" i="21"/>
  <c r="DS53" i="5"/>
  <c r="DE44" i="62"/>
  <c r="I112" i="18"/>
  <c r="F112" i="18"/>
  <c r="F79" i="24"/>
  <c r="I79" i="24"/>
  <c r="BJ93" i="19"/>
  <c r="BK93" i="19" s="1"/>
  <c r="AC1305" i="4"/>
  <c r="AJ1201" i="4"/>
  <c r="AD1261" i="4"/>
  <c r="I104" i="24"/>
  <c r="F104" i="24"/>
  <c r="AD516" i="4"/>
  <c r="AD1122" i="4"/>
  <c r="I84" i="18"/>
  <c r="F84" i="18"/>
  <c r="BB21" i="19"/>
  <c r="BF16" i="19"/>
  <c r="C31" i="24" s="1"/>
  <c r="BH16" i="19"/>
  <c r="C31" i="26" s="1"/>
  <c r="F51" i="26"/>
  <c r="I51" i="26"/>
  <c r="Y23" i="5"/>
  <c r="CQ23" i="5"/>
  <c r="DE23" i="5"/>
  <c r="DS24" i="5"/>
  <c r="AC72" i="19"/>
  <c r="AD72" i="19" s="1"/>
  <c r="I45" i="26"/>
  <c r="F45" i="26"/>
  <c r="AD253" i="4"/>
  <c r="AD305" i="4"/>
  <c r="AD389" i="4"/>
  <c r="AD489" i="4"/>
  <c r="AD769" i="4"/>
  <c r="AD833" i="4"/>
  <c r="AD917" i="4"/>
  <c r="AD1333" i="4" s="1"/>
  <c r="AD1033" i="4"/>
  <c r="AD1117" i="4"/>
  <c r="BC80" i="19"/>
  <c r="C95" i="21" s="1"/>
  <c r="AO26" i="20"/>
  <c r="AO27" i="20" s="1"/>
  <c r="AK26" i="20"/>
  <c r="AK27" i="20" s="1"/>
  <c r="AG26" i="20"/>
  <c r="AG27" i="20" s="1"/>
  <c r="AN26" i="20"/>
  <c r="AN27" i="20" s="1"/>
  <c r="AJ26" i="20"/>
  <c r="AJ27" i="20" s="1"/>
  <c r="AF26" i="20"/>
  <c r="AF27" i="20" s="1"/>
  <c r="AM26" i="20"/>
  <c r="AM27" i="20" s="1"/>
  <c r="AI26" i="20"/>
  <c r="AI27" i="20" s="1"/>
  <c r="AE26" i="20"/>
  <c r="H26" i="20" s="1"/>
  <c r="J26" i="20" s="1"/>
  <c r="AP26" i="20"/>
  <c r="AP27" i="20" s="1"/>
  <c r="AL26" i="20"/>
  <c r="AL27" i="20" s="1"/>
  <c r="AH26" i="20"/>
  <c r="AH27" i="20" s="1"/>
  <c r="AO74" i="20"/>
  <c r="AO75" i="20" s="1"/>
  <c r="AK74" i="20"/>
  <c r="AK75" i="20" s="1"/>
  <c r="AG74" i="20"/>
  <c r="AG75" i="20" s="1"/>
  <c r="AM74" i="20"/>
  <c r="AM75" i="20" s="1"/>
  <c r="AH74" i="20"/>
  <c r="AH75" i="20" s="1"/>
  <c r="AL74" i="20"/>
  <c r="AL75" i="20" s="1"/>
  <c r="AF74" i="20"/>
  <c r="AF75" i="20" s="1"/>
  <c r="AP74" i="20"/>
  <c r="AP75" i="20" s="1"/>
  <c r="AJ74" i="20"/>
  <c r="AJ75" i="20" s="1"/>
  <c r="AE74" i="20"/>
  <c r="H74" i="20" s="1"/>
  <c r="J74" i="20" s="1"/>
  <c r="AI74" i="20"/>
  <c r="AI75" i="20" s="1"/>
  <c r="AN74" i="20"/>
  <c r="AN75" i="20" s="1"/>
  <c r="I85" i="26"/>
  <c r="F85" i="26"/>
  <c r="D118" i="26"/>
  <c r="AJ1340" i="4"/>
  <c r="AB1340" i="4"/>
  <c r="AJ1282" i="4"/>
  <c r="AB1282" i="4"/>
  <c r="D93" i="21"/>
  <c r="D57" i="25"/>
  <c r="AD35" i="4"/>
  <c r="BH11" i="19"/>
  <c r="C26" i="26" s="1"/>
  <c r="C9" i="12"/>
  <c r="C8" i="12"/>
  <c r="AF16" i="5"/>
  <c r="AC1293" i="4"/>
  <c r="AJ1189" i="4"/>
  <c r="AC35" i="19"/>
  <c r="AD35" i="19" s="1"/>
  <c r="AD271" i="4"/>
  <c r="AD553" i="4"/>
  <c r="AD601" i="4"/>
  <c r="AD1329" i="4" s="1"/>
  <c r="AD685" i="4"/>
  <c r="AD1309" i="4" s="1"/>
  <c r="I1281" i="4"/>
  <c r="F70" i="18"/>
  <c r="I70" i="18"/>
  <c r="I89" i="18"/>
  <c r="F89" i="18"/>
  <c r="I77" i="18"/>
  <c r="F77" i="18"/>
  <c r="D77" i="18" s="1"/>
  <c r="BJ82" i="19"/>
  <c r="BK82" i="19" s="1"/>
  <c r="F102" i="18"/>
  <c r="D102" i="18" s="1"/>
  <c r="I102" i="18"/>
  <c r="D94" i="23"/>
  <c r="D79" i="23"/>
  <c r="I85" i="18"/>
  <c r="F85" i="18"/>
  <c r="I1337" i="4"/>
  <c r="BJ94" i="19"/>
  <c r="BK94" i="19" s="1"/>
  <c r="BJ78" i="19"/>
  <c r="BK78" i="19" s="1"/>
  <c r="H9" i="19"/>
  <c r="BB9" i="19" s="1"/>
  <c r="I61" i="22"/>
  <c r="F61" i="22"/>
  <c r="I116" i="24"/>
  <c r="F116" i="24"/>
  <c r="BC102" i="19"/>
  <c r="C117" i="21" s="1"/>
  <c r="F78" i="24"/>
  <c r="I78" i="24"/>
  <c r="I100" i="23"/>
  <c r="F100" i="23"/>
  <c r="D100" i="23" s="1"/>
  <c r="AJ1303" i="4"/>
  <c r="AB1303" i="4"/>
  <c r="Z24" i="19"/>
  <c r="V24" i="19"/>
  <c r="Y24" i="19"/>
  <c r="U24" i="19"/>
  <c r="AB24" i="19"/>
  <c r="X24" i="19"/>
  <c r="AA24" i="19"/>
  <c r="W24" i="19"/>
  <c r="BG24" i="19"/>
  <c r="C39" i="25" s="1"/>
  <c r="BI24" i="19"/>
  <c r="AC60" i="20"/>
  <c r="Y60" i="20"/>
  <c r="U60" i="20"/>
  <c r="AB60" i="20"/>
  <c r="X60" i="20"/>
  <c r="T60" i="20"/>
  <c r="AA60" i="20"/>
  <c r="W60" i="20"/>
  <c r="S60" i="20"/>
  <c r="V60" i="20"/>
  <c r="R60" i="20"/>
  <c r="Z60" i="20"/>
  <c r="I127" i="23"/>
  <c r="O45" i="17"/>
  <c r="C50" i="18"/>
  <c r="BJ35" i="19"/>
  <c r="BK35" i="19" s="1"/>
  <c r="I88" i="26"/>
  <c r="F88" i="26"/>
  <c r="AJ1264" i="4"/>
  <c r="AB1264" i="4"/>
  <c r="AJ1313" i="4"/>
  <c r="AB1313" i="4"/>
  <c r="AJ1337" i="4"/>
  <c r="AB1337" i="4"/>
  <c r="AC1304" i="4"/>
  <c r="AJ211" i="4"/>
  <c r="AB211" i="4"/>
  <c r="AC1345" i="4"/>
  <c r="AC1285" i="4"/>
  <c r="AD1348" i="4"/>
  <c r="AJ1265" i="4"/>
  <c r="AB1265" i="4"/>
  <c r="D46" i="23"/>
  <c r="AD1272" i="4"/>
  <c r="F99" i="21"/>
  <c r="I99" i="21"/>
  <c r="BE46" i="19"/>
  <c r="C61" i="23" s="1"/>
  <c r="BC46" i="19"/>
  <c r="C61" i="21" s="1"/>
  <c r="AD249" i="4"/>
  <c r="AD385" i="4"/>
  <c r="AD469" i="4"/>
  <c r="AD579" i="4"/>
  <c r="AD797" i="4"/>
  <c r="AD1317" i="4" s="1"/>
  <c r="AD865" i="4"/>
  <c r="AD1281" i="4" s="1"/>
  <c r="AD929" i="4"/>
  <c r="AD981" i="4"/>
  <c r="AD1097" i="4"/>
  <c r="I69" i="24"/>
  <c r="F69" i="24"/>
  <c r="BI102" i="19"/>
  <c r="BB102" i="19"/>
  <c r="AD408" i="4"/>
  <c r="AD1344" i="4" s="1"/>
  <c r="AD1163" i="4"/>
  <c r="AD1267" i="4" s="1"/>
  <c r="D94" i="21"/>
  <c r="AD849" i="4"/>
  <c r="AD1265" i="4" s="1"/>
  <c r="AD330" i="4"/>
  <c r="AD419" i="4" s="1"/>
  <c r="D66" i="26"/>
  <c r="AD1124" i="4"/>
  <c r="AD1332" i="4" s="1"/>
  <c r="AD434" i="4"/>
  <c r="D84" i="25"/>
  <c r="I48" i="18"/>
  <c r="F48" i="18"/>
  <c r="C79" i="18"/>
  <c r="BJ64" i="19"/>
  <c r="BK64" i="19" s="1"/>
  <c r="I41" i="23"/>
  <c r="F41" i="23"/>
  <c r="I108" i="26"/>
  <c r="F108" i="26"/>
  <c r="AC63" i="19"/>
  <c r="AD63" i="19" s="1"/>
  <c r="I97" i="21"/>
  <c r="F97" i="21"/>
  <c r="AC58" i="19"/>
  <c r="AD58" i="19" s="1"/>
  <c r="I104" i="22"/>
  <c r="F104" i="22"/>
  <c r="I100" i="21"/>
  <c r="F100" i="21"/>
  <c r="AD311" i="4"/>
  <c r="AD447" i="4"/>
  <c r="AD549" i="4"/>
  <c r="AD597" i="4"/>
  <c r="AD649" i="4"/>
  <c r="AD1273" i="4" s="1"/>
  <c r="AD697" i="4"/>
  <c r="AD967" i="4"/>
  <c r="AD1039" i="4"/>
  <c r="AD938" i="4"/>
  <c r="AC1043" i="4"/>
  <c r="AJ942" i="4"/>
  <c r="AD570" i="4"/>
  <c r="AD1298" i="4" s="1"/>
  <c r="D72" i="24"/>
  <c r="D48" i="24"/>
  <c r="I53" i="23"/>
  <c r="F53" i="23"/>
  <c r="C51" i="18"/>
  <c r="BJ36" i="19"/>
  <c r="BK36" i="19" s="1"/>
  <c r="AC1308" i="4"/>
  <c r="I45" i="25"/>
  <c r="F45" i="25"/>
  <c r="C103" i="18"/>
  <c r="BJ88" i="19"/>
  <c r="BK88" i="19" s="1"/>
  <c r="AC523" i="4"/>
  <c r="F102" i="22"/>
  <c r="I102" i="22"/>
  <c r="BC24" i="19"/>
  <c r="C39" i="21" s="1"/>
  <c r="BE24" i="19"/>
  <c r="C39" i="23" s="1"/>
  <c r="I85" i="25"/>
  <c r="F85" i="25"/>
  <c r="F118" i="24"/>
  <c r="I118" i="24"/>
  <c r="I81" i="25"/>
  <c r="F81" i="25"/>
  <c r="AJ1286" i="4"/>
  <c r="AB1286" i="4"/>
  <c r="C60" i="18"/>
  <c r="BJ45" i="19"/>
  <c r="BK45" i="19" s="1"/>
  <c r="D96" i="18"/>
  <c r="D57" i="23"/>
  <c r="AA76" i="20"/>
  <c r="W76" i="20"/>
  <c r="S76" i="20"/>
  <c r="Z76" i="20"/>
  <c r="V76" i="20"/>
  <c r="R76" i="20"/>
  <c r="Y76" i="20"/>
  <c r="X76" i="20"/>
  <c r="AC76" i="20"/>
  <c r="U76" i="20"/>
  <c r="AB76" i="20"/>
  <c r="T76" i="20"/>
  <c r="I127" i="24"/>
  <c r="R45" i="17"/>
  <c r="AJ1268" i="4"/>
  <c r="AB1268" i="4"/>
  <c r="AC1258" i="4"/>
  <c r="F74" i="22"/>
  <c r="I74" i="22"/>
  <c r="F50" i="23"/>
  <c r="I50" i="23"/>
  <c r="AC1276" i="4"/>
  <c r="AJ1172" i="4"/>
  <c r="AC1317" i="4"/>
  <c r="AJ1294" i="4"/>
  <c r="AB1294" i="4"/>
  <c r="AJ1348" i="4"/>
  <c r="AB1348" i="4"/>
  <c r="AC1272" i="4"/>
  <c r="BH10" i="19"/>
  <c r="C25" i="26" s="1"/>
  <c r="BB10" i="19"/>
  <c r="AC731" i="4"/>
  <c r="D120" i="24"/>
  <c r="D116" i="23"/>
  <c r="AE43" i="20"/>
  <c r="AI1355" i="4"/>
  <c r="AG1254" i="4"/>
  <c r="I65" i="23"/>
  <c r="F65" i="23"/>
  <c r="F65" i="21"/>
  <c r="I65" i="21"/>
  <c r="F94" i="18"/>
  <c r="D94" i="18" s="1"/>
  <c r="I94" i="18"/>
  <c r="AC64" i="19"/>
  <c r="AD64" i="19" s="1"/>
  <c r="C119" i="18"/>
  <c r="BJ104" i="19"/>
  <c r="BK104" i="19" s="1"/>
  <c r="I76" i="18"/>
  <c r="F76" i="18"/>
  <c r="BJ63" i="19"/>
  <c r="BK63" i="19" s="1"/>
  <c r="D44" i="24"/>
  <c r="I32" i="25"/>
  <c r="F32" i="25"/>
  <c r="I80" i="18"/>
  <c r="F80" i="18"/>
  <c r="BV30" i="5"/>
  <c r="AD1320" i="4"/>
  <c r="BJ58" i="19"/>
  <c r="BK58" i="19" s="1"/>
  <c r="D104" i="25"/>
  <c r="C23" i="18"/>
  <c r="BJ8" i="19"/>
  <c r="BK8" i="19" s="1"/>
  <c r="F23" i="22"/>
  <c r="I23" i="22"/>
  <c r="Z12" i="19"/>
  <c r="V12" i="19"/>
  <c r="Y12" i="19"/>
  <c r="U12" i="19"/>
  <c r="AB12" i="19"/>
  <c r="X12" i="19"/>
  <c r="AA12" i="19"/>
  <c r="W12" i="19"/>
  <c r="BG12" i="19"/>
  <c r="C27" i="25" s="1"/>
  <c r="BI12" i="19"/>
  <c r="I53" i="24"/>
  <c r="F53" i="24"/>
  <c r="AC1279" i="4"/>
  <c r="AC1255" i="4"/>
  <c r="AJ1352" i="4"/>
  <c r="AB1352" i="4"/>
  <c r="AB86" i="19"/>
  <c r="X86" i="19"/>
  <c r="AA86" i="19"/>
  <c r="W86" i="19"/>
  <c r="Z86" i="19"/>
  <c r="V86" i="19"/>
  <c r="Y86" i="19"/>
  <c r="U86" i="19"/>
  <c r="BF86" i="19"/>
  <c r="C101" i="24" s="1"/>
  <c r="I85" i="23"/>
  <c r="F85" i="23"/>
  <c r="I81" i="21"/>
  <c r="F81" i="21"/>
  <c r="D81" i="21" s="1"/>
  <c r="AC1353" i="4"/>
  <c r="I93" i="26"/>
  <c r="F93" i="26"/>
  <c r="AA7" i="19"/>
  <c r="W7" i="19"/>
  <c r="Z7" i="19"/>
  <c r="V7" i="19"/>
  <c r="Y7" i="19"/>
  <c r="U7" i="19"/>
  <c r="AB7" i="19"/>
  <c r="X7" i="19"/>
  <c r="BH7" i="19"/>
  <c r="C22" i="26" s="1"/>
  <c r="BF7" i="19"/>
  <c r="C22" i="24" s="1"/>
  <c r="F83" i="24"/>
  <c r="D83" i="24" s="1"/>
  <c r="I83" i="24"/>
  <c r="F83" i="26"/>
  <c r="I83" i="26"/>
  <c r="I113" i="21"/>
  <c r="F113" i="21"/>
  <c r="AJ1347" i="4"/>
  <c r="AB1347" i="4"/>
  <c r="AC1321" i="4"/>
  <c r="AJ1217" i="4"/>
  <c r="AD1330" i="4"/>
  <c r="AC1251" i="4"/>
  <c r="AC1254" i="4"/>
  <c r="AJ1150" i="4"/>
  <c r="D89" i="26"/>
  <c r="Y100" i="19"/>
  <c r="U100" i="19"/>
  <c r="AA100" i="19"/>
  <c r="W100" i="19"/>
  <c r="X100" i="19"/>
  <c r="V100" i="19"/>
  <c r="AB100" i="19"/>
  <c r="Z100" i="19"/>
  <c r="BE100" i="19"/>
  <c r="C115" i="23" s="1"/>
  <c r="BH100" i="19"/>
  <c r="C115" i="26" s="1"/>
  <c r="BJ73" i="19"/>
  <c r="BK73" i="19" s="1"/>
  <c r="F34" i="22"/>
  <c r="I34" i="22"/>
  <c r="D56" i="24"/>
  <c r="Z76" i="19"/>
  <c r="V76" i="19"/>
  <c r="Y76" i="19"/>
  <c r="U76" i="19"/>
  <c r="AB76" i="19"/>
  <c r="X76" i="19"/>
  <c r="AA76" i="19"/>
  <c r="W76" i="19"/>
  <c r="BG76" i="19"/>
  <c r="C91" i="25" s="1"/>
  <c r="BI76" i="19"/>
  <c r="AJ1316" i="4"/>
  <c r="AB1316" i="4"/>
  <c r="AJ1334" i="4"/>
  <c r="AB1334" i="4"/>
  <c r="I77" i="24"/>
  <c r="F77" i="24"/>
  <c r="BC92" i="19"/>
  <c r="C107" i="21" s="1"/>
  <c r="F99" i="18"/>
  <c r="I99" i="18"/>
  <c r="F75" i="24"/>
  <c r="I75" i="24"/>
  <c r="F75" i="26"/>
  <c r="I75" i="26"/>
  <c r="BH22" i="19"/>
  <c r="C37" i="26" s="1"/>
  <c r="I72" i="18"/>
  <c r="F72" i="18"/>
  <c r="D72" i="18" s="1"/>
  <c r="I1273" i="4"/>
  <c r="AD1302" i="4"/>
  <c r="AC1351" i="4"/>
  <c r="BC20" i="19"/>
  <c r="C35" i="21" s="1"/>
  <c r="D44" i="26"/>
  <c r="F111" i="25"/>
  <c r="D111" i="25" s="1"/>
  <c r="I111" i="25"/>
  <c r="F111" i="22"/>
  <c r="I111" i="22"/>
  <c r="AD1346" i="4"/>
  <c r="AE27" i="20"/>
  <c r="C17" i="23"/>
  <c r="C17" i="22"/>
  <c r="B107" i="19"/>
  <c r="D6" i="19"/>
  <c r="F87" i="18"/>
  <c r="I87" i="18"/>
  <c r="I109" i="21"/>
  <c r="F109" i="21"/>
  <c r="AJ1260" i="4"/>
  <c r="AB1260" i="4"/>
  <c r="AC55" i="19"/>
  <c r="AD55" i="19" s="1"/>
  <c r="F63" i="24"/>
  <c r="I63" i="24"/>
  <c r="F63" i="26"/>
  <c r="I63" i="26"/>
  <c r="BJ103" i="19"/>
  <c r="BK103" i="19" s="1"/>
  <c r="I105" i="22"/>
  <c r="F105" i="22"/>
  <c r="AC1257" i="4"/>
  <c r="AC139" i="4"/>
  <c r="AJ139" i="4" s="1"/>
  <c r="D113" i="22"/>
  <c r="F50" i="25"/>
  <c r="I50" i="25"/>
  <c r="C71" i="18"/>
  <c r="BJ56" i="19"/>
  <c r="BK56" i="19" s="1"/>
  <c r="F71" i="22"/>
  <c r="I71" i="22"/>
  <c r="D84" i="23"/>
  <c r="AB14" i="19"/>
  <c r="X14" i="19"/>
  <c r="AA14" i="19"/>
  <c r="W14" i="19"/>
  <c r="Z14" i="19"/>
  <c r="V14" i="19"/>
  <c r="Y14" i="19"/>
  <c r="U14" i="19"/>
  <c r="BF14" i="19"/>
  <c r="C29" i="24" s="1"/>
  <c r="AC52" i="19"/>
  <c r="AD52" i="19" s="1"/>
  <c r="C55" i="18"/>
  <c r="BJ40" i="19"/>
  <c r="BK40" i="19" s="1"/>
  <c r="AC419" i="4"/>
  <c r="F99" i="25"/>
  <c r="I99" i="25"/>
  <c r="AD1336" i="4"/>
  <c r="C120" i="18"/>
  <c r="BJ105" i="19"/>
  <c r="BK105" i="19" s="1"/>
  <c r="Z28" i="19"/>
  <c r="V28" i="19"/>
  <c r="Y28" i="19"/>
  <c r="U28" i="19"/>
  <c r="AB28" i="19"/>
  <c r="X28" i="19"/>
  <c r="AA28" i="19"/>
  <c r="W28" i="19"/>
  <c r="BG28" i="19"/>
  <c r="C43" i="25" s="1"/>
  <c r="BI28" i="19"/>
  <c r="F94" i="25"/>
  <c r="I94" i="25"/>
  <c r="BJ32" i="19"/>
  <c r="BK32" i="19" s="1"/>
  <c r="AC1311" i="4"/>
  <c r="N38" i="44"/>
  <c r="M39" i="44"/>
  <c r="F119" i="22"/>
  <c r="I119" i="22"/>
  <c r="I41" i="22"/>
  <c r="F41" i="22"/>
  <c r="I108" i="18"/>
  <c r="F108" i="18"/>
  <c r="AD1305" i="4"/>
  <c r="I97" i="25"/>
  <c r="F97" i="25"/>
  <c r="D73" i="23"/>
  <c r="H1355" i="4"/>
  <c r="G1254" i="4"/>
  <c r="AA543" i="45"/>
  <c r="AA541" i="45"/>
  <c r="AA537" i="45"/>
  <c r="AA533" i="45"/>
  <c r="D40" i="23"/>
  <c r="Y21" i="19"/>
  <c r="U21" i="19"/>
  <c r="AB21" i="19"/>
  <c r="X21" i="19"/>
  <c r="AA21" i="19"/>
  <c r="W21" i="19"/>
  <c r="Z21" i="19"/>
  <c r="V21" i="19"/>
  <c r="BF21" i="19"/>
  <c r="C36" i="24" s="1"/>
  <c r="BH21" i="19"/>
  <c r="C36" i="26" s="1"/>
  <c r="BC16" i="19"/>
  <c r="C31" i="21" s="1"/>
  <c r="I53" i="25"/>
  <c r="F53" i="25"/>
  <c r="F51" i="24"/>
  <c r="I51" i="24"/>
  <c r="AC1332" i="4"/>
  <c r="CC23" i="5"/>
  <c r="CE24" i="5"/>
  <c r="V108" i="16"/>
  <c r="D112" i="22"/>
  <c r="F103" i="26"/>
  <c r="I103" i="26"/>
  <c r="Z80" i="19"/>
  <c r="V80" i="19"/>
  <c r="Y80" i="19"/>
  <c r="U80" i="19"/>
  <c r="AB80" i="19"/>
  <c r="X80" i="19"/>
  <c r="AA80" i="19"/>
  <c r="W80" i="19"/>
  <c r="BG80" i="19"/>
  <c r="C95" i="25" s="1"/>
  <c r="BI80" i="19"/>
  <c r="AP90" i="20"/>
  <c r="AP91" i="20" s="1"/>
  <c r="AL90" i="20"/>
  <c r="AL91" i="20" s="1"/>
  <c r="AH90" i="20"/>
  <c r="AH91" i="20" s="1"/>
  <c r="AO90" i="20"/>
  <c r="AO91" i="20" s="1"/>
  <c r="AK90" i="20"/>
  <c r="AK91" i="20" s="1"/>
  <c r="AN90" i="20"/>
  <c r="AN91" i="20" s="1"/>
  <c r="AG90" i="20"/>
  <c r="AG91" i="20" s="1"/>
  <c r="AM90" i="20"/>
  <c r="AM91" i="20" s="1"/>
  <c r="AF90" i="20"/>
  <c r="AF91" i="20" s="1"/>
  <c r="AI90" i="20"/>
  <c r="AI91" i="20" s="1"/>
  <c r="AE90" i="20"/>
  <c r="H90" i="20" s="1"/>
  <c r="J90" i="20" s="1"/>
  <c r="AJ90" i="20"/>
  <c r="AJ91" i="20" s="1"/>
  <c r="AN58" i="20"/>
  <c r="AN59" i="20" s="1"/>
  <c r="AJ58" i="20"/>
  <c r="AJ59" i="20" s="1"/>
  <c r="AF58" i="20"/>
  <c r="AF59" i="20" s="1"/>
  <c r="AM58" i="20"/>
  <c r="AM59" i="20" s="1"/>
  <c r="AI58" i="20"/>
  <c r="AI59" i="20" s="1"/>
  <c r="AE58" i="20"/>
  <c r="AP58" i="20"/>
  <c r="AP59" i="20" s="1"/>
  <c r="AL58" i="20"/>
  <c r="AL59" i="20" s="1"/>
  <c r="AH58" i="20"/>
  <c r="AH59" i="20" s="1"/>
  <c r="AK58" i="20"/>
  <c r="AK59" i="20" s="1"/>
  <c r="AG58" i="20"/>
  <c r="AG59" i="20" s="1"/>
  <c r="AO58" i="20"/>
  <c r="AO59" i="20" s="1"/>
  <c r="D84" i="24"/>
  <c r="I81" i="26"/>
  <c r="F81" i="26"/>
  <c r="I60" i="26"/>
  <c r="F60" i="26"/>
  <c r="AC45" i="19"/>
  <c r="AD45" i="19" s="1"/>
  <c r="Z28" i="20"/>
  <c r="V28" i="20"/>
  <c r="R28" i="20"/>
  <c r="AC28" i="20"/>
  <c r="X28" i="20"/>
  <c r="S28" i="20"/>
  <c r="AB28" i="20"/>
  <c r="W28" i="20"/>
  <c r="AA28" i="20"/>
  <c r="U28" i="20"/>
  <c r="Y28" i="20"/>
  <c r="T28" i="20"/>
  <c r="I127" i="21"/>
  <c r="I45" i="17"/>
  <c r="AC1284" i="4"/>
  <c r="F26" i="21"/>
  <c r="I26" i="21"/>
  <c r="AA11" i="19"/>
  <c r="W11" i="19"/>
  <c r="Z11" i="19"/>
  <c r="V11" i="19"/>
  <c r="Y11" i="19"/>
  <c r="U11" i="19"/>
  <c r="AB11" i="19"/>
  <c r="X11" i="19"/>
  <c r="BF11" i="19"/>
  <c r="C26" i="24" s="1"/>
  <c r="I113" i="24"/>
  <c r="F113" i="24"/>
  <c r="D52" i="25"/>
  <c r="AD1293" i="4"/>
  <c r="F50" i="24"/>
  <c r="I50" i="24"/>
  <c r="BJ66" i="19"/>
  <c r="BK66" i="19" s="1"/>
  <c r="I1264" i="4"/>
  <c r="I97" i="18"/>
  <c r="F97" i="18"/>
  <c r="AA1311" i="4"/>
  <c r="I1311" i="4" s="1"/>
  <c r="AA1283" i="4"/>
  <c r="I1283" i="4" s="1"/>
  <c r="I109" i="18"/>
  <c r="F109" i="18"/>
  <c r="I93" i="18"/>
  <c r="F93" i="18"/>
  <c r="I77" i="25"/>
  <c r="F77" i="25"/>
  <c r="AC1296" i="4"/>
  <c r="AJ1192" i="4"/>
  <c r="I65" i="22"/>
  <c r="F65" i="22"/>
  <c r="I65" i="25"/>
  <c r="F65" i="25"/>
  <c r="I41" i="24"/>
  <c r="F41" i="24"/>
  <c r="F78" i="18"/>
  <c r="I78" i="18"/>
  <c r="C32" i="18"/>
  <c r="BJ17" i="19"/>
  <c r="BK17" i="19" s="1"/>
  <c r="I32" i="22"/>
  <c r="F32" i="22"/>
  <c r="I97" i="24"/>
  <c r="F97" i="24"/>
  <c r="I73" i="18"/>
  <c r="F73" i="18"/>
  <c r="BJ25" i="19"/>
  <c r="BK25" i="19" s="1"/>
  <c r="F23" i="24"/>
  <c r="I23" i="24"/>
  <c r="F23" i="26"/>
  <c r="I23" i="26"/>
  <c r="C27" i="18"/>
  <c r="BJ12" i="19"/>
  <c r="BK12" i="19" s="1"/>
  <c r="F27" i="22"/>
  <c r="I27" i="22"/>
  <c r="AC1269" i="4"/>
  <c r="AJ1165" i="4"/>
  <c r="I101" i="23"/>
  <c r="F101" i="23"/>
  <c r="I101" i="21"/>
  <c r="F101" i="21"/>
  <c r="I81" i="23"/>
  <c r="F81" i="23"/>
  <c r="AD1257" i="4"/>
  <c r="AD1262" i="4"/>
  <c r="I57" i="24"/>
  <c r="F57" i="24"/>
  <c r="I127" i="18"/>
  <c r="F45" i="17"/>
  <c r="AC627" i="4"/>
  <c r="AC1341" i="4"/>
  <c r="F22" i="21"/>
  <c r="I22" i="21"/>
  <c r="F22" i="23"/>
  <c r="I22" i="23"/>
  <c r="F83" i="21"/>
  <c r="I83" i="21"/>
  <c r="F83" i="23"/>
  <c r="I83" i="23"/>
  <c r="AD1321" i="4"/>
  <c r="AD1254" i="4"/>
  <c r="AD1251" i="4"/>
  <c r="F115" i="25"/>
  <c r="I115" i="25"/>
  <c r="C115" i="18"/>
  <c r="BJ100" i="19"/>
  <c r="BK100" i="19" s="1"/>
  <c r="I88" i="18"/>
  <c r="F88" i="18"/>
  <c r="F74" i="23"/>
  <c r="I74" i="23"/>
  <c r="F34" i="26"/>
  <c r="I34" i="26"/>
  <c r="C34" i="18"/>
  <c r="BJ19" i="19"/>
  <c r="BK19" i="19" s="1"/>
  <c r="C91" i="18"/>
  <c r="BJ76" i="19"/>
  <c r="BK76" i="19" s="1"/>
  <c r="F91" i="22"/>
  <c r="I91" i="22"/>
  <c r="BJ59" i="19"/>
  <c r="BK59" i="19" s="1"/>
  <c r="DZ54" i="5"/>
  <c r="Y92" i="19"/>
  <c r="U92" i="19"/>
  <c r="AA92" i="19"/>
  <c r="W92" i="19"/>
  <c r="X92" i="19"/>
  <c r="V92" i="19"/>
  <c r="AB92" i="19"/>
  <c r="Z92" i="19"/>
  <c r="BE92" i="19"/>
  <c r="C107" i="23" s="1"/>
  <c r="BH92" i="19"/>
  <c r="C107" i="26" s="1"/>
  <c r="I116" i="25"/>
  <c r="F116" i="25"/>
  <c r="I75" i="21"/>
  <c r="F75" i="21"/>
  <c r="F75" i="23"/>
  <c r="I75" i="23"/>
  <c r="AB22" i="19"/>
  <c r="X22" i="19"/>
  <c r="AA22" i="19"/>
  <c r="W22" i="19"/>
  <c r="Z22" i="19"/>
  <c r="V22" i="19"/>
  <c r="Y22" i="19"/>
  <c r="U22" i="19"/>
  <c r="BF22" i="19"/>
  <c r="C37" i="24" s="1"/>
  <c r="F119" i="21"/>
  <c r="I119" i="21"/>
  <c r="Z20" i="19"/>
  <c r="V20" i="19"/>
  <c r="Y20" i="19"/>
  <c r="U20" i="19"/>
  <c r="AB20" i="19"/>
  <c r="X20" i="19"/>
  <c r="AA20" i="19"/>
  <c r="W20" i="19"/>
  <c r="BG20" i="19"/>
  <c r="C35" i="25" s="1"/>
  <c r="BI20" i="19"/>
  <c r="F111" i="21"/>
  <c r="I111" i="21"/>
  <c r="F111" i="26"/>
  <c r="I111" i="26"/>
  <c r="AC107" i="4"/>
  <c r="AJ6" i="4"/>
  <c r="C17" i="25"/>
  <c r="C17" i="24"/>
  <c r="AM107" i="14"/>
  <c r="AI109" i="14"/>
  <c r="AG107" i="14"/>
  <c r="AC1289" i="4"/>
  <c r="I45" i="24"/>
  <c r="F45" i="24"/>
  <c r="AC94" i="19"/>
  <c r="AD94" i="19" s="1"/>
  <c r="F70" i="24"/>
  <c r="I70" i="24"/>
  <c r="AC1310" i="4"/>
  <c r="I63" i="21"/>
  <c r="F63" i="21"/>
  <c r="F63" i="23"/>
  <c r="I63" i="23"/>
  <c r="I85" i="24"/>
  <c r="F85" i="24"/>
  <c r="F118" i="18"/>
  <c r="I118" i="18"/>
  <c r="I81" i="24"/>
  <c r="F81" i="24"/>
  <c r="BJ42" i="19"/>
  <c r="BK42" i="19" s="1"/>
  <c r="AC1277" i="4"/>
  <c r="AJ1173" i="4"/>
  <c r="F71" i="24"/>
  <c r="I71" i="24"/>
  <c r="F71" i="26"/>
  <c r="I71" i="26"/>
  <c r="I29" i="23"/>
  <c r="F29" i="23"/>
  <c r="D29" i="23" s="1"/>
  <c r="F29" i="21"/>
  <c r="I29" i="21"/>
  <c r="AC1335" i="4"/>
  <c r="AJ1319" i="4"/>
  <c r="AB1319" i="4"/>
  <c r="AT47" i="5"/>
  <c r="I77" i="26"/>
  <c r="F77" i="26"/>
  <c r="AC84" i="19"/>
  <c r="AD84" i="19" s="1"/>
  <c r="AC163" i="4"/>
  <c r="AJ163" i="4" s="1"/>
  <c r="I69" i="23"/>
  <c r="F69" i="23"/>
  <c r="C43" i="18"/>
  <c r="BJ28" i="19"/>
  <c r="BK28" i="19" s="1"/>
  <c r="F43" i="22"/>
  <c r="I43" i="22"/>
  <c r="AC1333" i="4"/>
  <c r="AJ1229" i="4"/>
  <c r="F47" i="18"/>
  <c r="I47" i="18"/>
  <c r="AJ1302" i="4"/>
  <c r="AB1302" i="4"/>
  <c r="AC1300" i="4"/>
  <c r="AC1275" i="4"/>
  <c r="F119" i="25"/>
  <c r="D119" i="25" s="1"/>
  <c r="I119" i="25"/>
  <c r="I100" i="25"/>
  <c r="F100" i="25"/>
  <c r="AC1256" i="4"/>
  <c r="AJ1152" i="4"/>
  <c r="I36" i="23"/>
  <c r="F36" i="23"/>
  <c r="I36" i="21"/>
  <c r="F36" i="21"/>
  <c r="Z16" i="19"/>
  <c r="V16" i="19"/>
  <c r="Y16" i="19"/>
  <c r="U16" i="19"/>
  <c r="AB16" i="19"/>
  <c r="X16" i="19"/>
  <c r="AA16" i="19"/>
  <c r="W16" i="19"/>
  <c r="BG16" i="19"/>
  <c r="C31" i="25" s="1"/>
  <c r="BI16" i="19"/>
  <c r="BJ44" i="19"/>
  <c r="BK44" i="19" s="1"/>
  <c r="EG24" i="5"/>
  <c r="V6" i="16"/>
  <c r="R24" i="5"/>
  <c r="K23" i="5"/>
  <c r="D17" i="68"/>
  <c r="F103" i="24"/>
  <c r="I103" i="24"/>
  <c r="F70" i="26"/>
  <c r="I70" i="26"/>
  <c r="H72" i="20"/>
  <c r="H75" i="20" s="1"/>
  <c r="J70" i="20"/>
  <c r="J72" i="20" s="1"/>
  <c r="J75" i="20" s="1"/>
  <c r="C95" i="18"/>
  <c r="BJ80" i="19"/>
  <c r="BK80" i="19" s="1"/>
  <c r="F95" i="22"/>
  <c r="I95" i="22"/>
  <c r="AN106" i="20"/>
  <c r="AN107" i="20" s="1"/>
  <c r="AJ106" i="20"/>
  <c r="AJ107" i="20" s="1"/>
  <c r="AF106" i="20"/>
  <c r="AF107" i="20" s="1"/>
  <c r="AM106" i="20"/>
  <c r="AM107" i="20" s="1"/>
  <c r="AI106" i="20"/>
  <c r="AI107" i="20" s="1"/>
  <c r="AE106" i="20"/>
  <c r="AO106" i="20"/>
  <c r="AO107" i="20" s="1"/>
  <c r="AK106" i="20"/>
  <c r="AK107" i="20" s="1"/>
  <c r="AG106" i="20"/>
  <c r="AG107" i="20" s="1"/>
  <c r="AH106" i="20"/>
  <c r="AH107" i="20" s="1"/>
  <c r="AP106" i="20"/>
  <c r="AP107" i="20" s="1"/>
  <c r="AL106" i="20"/>
  <c r="AL107" i="20" s="1"/>
  <c r="DE51" i="5"/>
  <c r="CQ43" i="62"/>
  <c r="I60" i="24"/>
  <c r="F60" i="24"/>
  <c r="D60" i="24" s="1"/>
  <c r="AC1324" i="4"/>
  <c r="F26" i="25"/>
  <c r="I26" i="25"/>
  <c r="F26" i="23"/>
  <c r="I26" i="23"/>
  <c r="I113" i="25"/>
  <c r="F113" i="25"/>
  <c r="BJ26" i="19"/>
  <c r="BK26" i="19" s="1"/>
  <c r="I81" i="18"/>
  <c r="F81" i="18"/>
  <c r="BJ106" i="19"/>
  <c r="BK106" i="19" s="1"/>
  <c r="CJ43" i="62"/>
  <c r="CX43" i="62" s="1"/>
  <c r="BJ38" i="19"/>
  <c r="BK38" i="19" s="1"/>
  <c r="BJ30" i="19"/>
  <c r="BK30" i="19" s="1"/>
  <c r="D81" i="25" l="1"/>
  <c r="D85" i="25"/>
  <c r="D41" i="23"/>
  <c r="D45" i="26"/>
  <c r="D104" i="24"/>
  <c r="D112" i="18"/>
  <c r="D73" i="18"/>
  <c r="D93" i="18"/>
  <c r="D113" i="23"/>
  <c r="D65" i="21"/>
  <c r="D50" i="23"/>
  <c r="AD1351" i="4"/>
  <c r="D81" i="18"/>
  <c r="H106" i="20"/>
  <c r="J106" i="20" s="1"/>
  <c r="D26" i="21"/>
  <c r="H58" i="20"/>
  <c r="J58" i="20" s="1"/>
  <c r="D83" i="21"/>
  <c r="D22" i="21"/>
  <c r="D23" i="24"/>
  <c r="D87" i="18"/>
  <c r="D111" i="22"/>
  <c r="D75" i="26"/>
  <c r="D99" i="18"/>
  <c r="D83" i="26"/>
  <c r="AD1279" i="4"/>
  <c r="D116" i="26"/>
  <c r="D85" i="21"/>
  <c r="D120" i="25"/>
  <c r="D120" i="26"/>
  <c r="D77" i="22"/>
  <c r="D89" i="24"/>
  <c r="AJ1263" i="4"/>
  <c r="D110" i="21"/>
  <c r="D75" i="23"/>
  <c r="D57" i="24"/>
  <c r="D81" i="23"/>
  <c r="D101" i="23"/>
  <c r="D103" i="26"/>
  <c r="D53" i="25"/>
  <c r="D75" i="24"/>
  <c r="D85" i="23"/>
  <c r="D23" i="22"/>
  <c r="D87" i="21"/>
  <c r="D102" i="26"/>
  <c r="D74" i="24"/>
  <c r="AD1291" i="4"/>
  <c r="D110" i="26"/>
  <c r="D91" i="23"/>
  <c r="AD1310" i="4"/>
  <c r="AC46" i="19"/>
  <c r="AD46" i="19" s="1"/>
  <c r="BI18" i="19"/>
  <c r="D59" i="18"/>
  <c r="D66" i="18"/>
  <c r="D47" i="18"/>
  <c r="D43" i="22"/>
  <c r="D118" i="18"/>
  <c r="D63" i="23"/>
  <c r="D83" i="23"/>
  <c r="D22" i="23"/>
  <c r="D27" i="22"/>
  <c r="D23" i="26"/>
  <c r="D32" i="22"/>
  <c r="D65" i="25"/>
  <c r="D97" i="25"/>
  <c r="D119" i="22"/>
  <c r="AD139" i="4"/>
  <c r="AD1283" i="4" s="1"/>
  <c r="AC1283" i="4"/>
  <c r="D97" i="21"/>
  <c r="D99" i="21"/>
  <c r="D79" i="24"/>
  <c r="D66" i="24"/>
  <c r="D67" i="25"/>
  <c r="D109" i="24"/>
  <c r="D51" i="21"/>
  <c r="D67" i="18"/>
  <c r="D50" i="22"/>
  <c r="D41" i="21"/>
  <c r="D53" i="22"/>
  <c r="D121" i="26"/>
  <c r="D100" i="26"/>
  <c r="D85" i="22"/>
  <c r="D109" i="25"/>
  <c r="D59" i="25"/>
  <c r="D40" i="24"/>
  <c r="BE13" i="19"/>
  <c r="C28" i="23" s="1"/>
  <c r="D93" i="24"/>
  <c r="D71" i="23"/>
  <c r="D39" i="26"/>
  <c r="D27" i="23"/>
  <c r="AD1269" i="4"/>
  <c r="AD1326" i="4"/>
  <c r="AD1327" i="4"/>
  <c r="D74" i="23"/>
  <c r="D101" i="21"/>
  <c r="AA535" i="45"/>
  <c r="D74" i="22"/>
  <c r="D88" i="26"/>
  <c r="D89" i="18"/>
  <c r="D85" i="26"/>
  <c r="D121" i="21"/>
  <c r="D83" i="22"/>
  <c r="D53" i="21"/>
  <c r="D53" i="18"/>
  <c r="D121" i="25"/>
  <c r="D69" i="18"/>
  <c r="D49" i="18"/>
  <c r="BI13" i="19"/>
  <c r="AD163" i="4"/>
  <c r="D97" i="24"/>
  <c r="D41" i="24"/>
  <c r="D65" i="22"/>
  <c r="D77" i="25"/>
  <c r="D109" i="18"/>
  <c r="D113" i="24"/>
  <c r="D94" i="25"/>
  <c r="D105" i="22"/>
  <c r="D102" i="22"/>
  <c r="D45" i="25"/>
  <c r="D69" i="24"/>
  <c r="D61" i="22"/>
  <c r="D102" i="24"/>
  <c r="D75" i="22"/>
  <c r="D113" i="26"/>
  <c r="D105" i="21"/>
  <c r="D73" i="24"/>
  <c r="D105" i="25"/>
  <c r="D53" i="26"/>
  <c r="D60" i="25"/>
  <c r="D47" i="25"/>
  <c r="BC13" i="19"/>
  <c r="C28" i="21" s="1"/>
  <c r="D119" i="24"/>
  <c r="D35" i="23"/>
  <c r="D32" i="23"/>
  <c r="BD18" i="19"/>
  <c r="C33" i="22" s="1"/>
  <c r="BC18" i="19"/>
  <c r="C33" i="21" s="1"/>
  <c r="BC15" i="19"/>
  <c r="C30" i="21" s="1"/>
  <c r="D26" i="25"/>
  <c r="BG18" i="19"/>
  <c r="C33" i="25" s="1"/>
  <c r="D26" i="23"/>
  <c r="BC9" i="19"/>
  <c r="C24" i="21" s="1"/>
  <c r="BE9" i="19"/>
  <c r="C24" i="23" s="1"/>
  <c r="BG9" i="19"/>
  <c r="C24" i="25" s="1"/>
  <c r="BI9" i="19"/>
  <c r="BD9" i="19"/>
  <c r="C24" i="22" s="1"/>
  <c r="AD1345" i="4"/>
  <c r="AD1297" i="4"/>
  <c r="AD1147" i="4"/>
  <c r="AD1349" i="4"/>
  <c r="AD1284" i="4"/>
  <c r="AD1308" i="4"/>
  <c r="AD1337" i="4"/>
  <c r="AD1285" i="4"/>
  <c r="AD1277" i="4"/>
  <c r="AD1278" i="4"/>
  <c r="AD627" i="4"/>
  <c r="H27" i="20"/>
  <c r="C137" i="16"/>
  <c r="D22" i="15"/>
  <c r="AD1323" i="4"/>
  <c r="C30" i="18"/>
  <c r="F31" i="25"/>
  <c r="I31" i="25"/>
  <c r="R23" i="5"/>
  <c r="V311" i="45"/>
  <c r="W311" i="45"/>
  <c r="D16" i="68"/>
  <c r="EG23" i="5"/>
  <c r="AJ1256" i="4"/>
  <c r="AB1256" i="4"/>
  <c r="AJ1324" i="4"/>
  <c r="AB1324" i="4"/>
  <c r="D95" i="22"/>
  <c r="D70" i="26"/>
  <c r="D103" i="24"/>
  <c r="D36" i="23"/>
  <c r="AJ1275" i="4"/>
  <c r="AB1275" i="4"/>
  <c r="AJ1335" i="4"/>
  <c r="AB1335" i="4"/>
  <c r="D71" i="24"/>
  <c r="AJ1277" i="4"/>
  <c r="AB1277" i="4"/>
  <c r="D81" i="24"/>
  <c r="D85" i="24"/>
  <c r="AJ1310" i="4"/>
  <c r="AB1310" i="4"/>
  <c r="D45" i="24"/>
  <c r="I17" i="24"/>
  <c r="F17" i="24"/>
  <c r="D111" i="21"/>
  <c r="D116" i="25"/>
  <c r="F107" i="26"/>
  <c r="I107" i="26"/>
  <c r="AC92" i="19"/>
  <c r="AD92" i="19" s="1"/>
  <c r="F91" i="18"/>
  <c r="I91" i="18"/>
  <c r="D34" i="26"/>
  <c r="D88" i="18"/>
  <c r="F115" i="18"/>
  <c r="I115" i="18"/>
  <c r="B12" i="20"/>
  <c r="AJ1269" i="4"/>
  <c r="AB1269" i="4"/>
  <c r="I32" i="18"/>
  <c r="F32" i="18"/>
  <c r="D97" i="18"/>
  <c r="D50" i="24"/>
  <c r="AA32" i="20"/>
  <c r="AA29" i="20"/>
  <c r="X32" i="20"/>
  <c r="X29" i="20"/>
  <c r="Z29" i="20"/>
  <c r="Z32" i="20"/>
  <c r="D81" i="26"/>
  <c r="AC80" i="19"/>
  <c r="AD80" i="19" s="1"/>
  <c r="I36" i="26"/>
  <c r="F36" i="26"/>
  <c r="AC21" i="19"/>
  <c r="AD21" i="19" s="1"/>
  <c r="AA539" i="45"/>
  <c r="D41" i="22"/>
  <c r="N39" i="44"/>
  <c r="M40" i="44"/>
  <c r="D71" i="22"/>
  <c r="D50" i="25"/>
  <c r="AJ1257" i="4"/>
  <c r="AB1257" i="4"/>
  <c r="D63" i="26"/>
  <c r="D109" i="21"/>
  <c r="H6" i="19"/>
  <c r="D107" i="19"/>
  <c r="D108" i="19" s="1"/>
  <c r="I35" i="21"/>
  <c r="F35" i="21"/>
  <c r="AC76" i="19"/>
  <c r="AD76" i="19" s="1"/>
  <c r="F115" i="23"/>
  <c r="I115" i="23"/>
  <c r="AC1253" i="4"/>
  <c r="AJ1251" i="4"/>
  <c r="AB1251" i="4"/>
  <c r="F22" i="24"/>
  <c r="I22" i="24"/>
  <c r="AC7" i="19"/>
  <c r="AD7" i="19" s="1"/>
  <c r="AJ1353" i="4"/>
  <c r="AB1353" i="4"/>
  <c r="AJ1279" i="4"/>
  <c r="AB1279" i="4"/>
  <c r="AC12" i="19"/>
  <c r="AD12" i="19" s="1"/>
  <c r="CJ30" i="5"/>
  <c r="D32" i="25"/>
  <c r="D76" i="18"/>
  <c r="D65" i="23"/>
  <c r="AJ1258" i="4"/>
  <c r="AB1258" i="4"/>
  <c r="AB80" i="20"/>
  <c r="AB77" i="20"/>
  <c r="Y80" i="20"/>
  <c r="Y77" i="20"/>
  <c r="S77" i="20"/>
  <c r="S80" i="20"/>
  <c r="I39" i="21"/>
  <c r="F39" i="21"/>
  <c r="AJ523" i="4"/>
  <c r="AB523" i="4"/>
  <c r="F103" i="18"/>
  <c r="I103" i="18"/>
  <c r="D53" i="23"/>
  <c r="AJ1043" i="4"/>
  <c r="AB1043" i="4"/>
  <c r="D100" i="21"/>
  <c r="D108" i="26"/>
  <c r="F79" i="18"/>
  <c r="I79" i="18"/>
  <c r="AJ1304" i="4"/>
  <c r="AB1304" i="4"/>
  <c r="S61" i="20"/>
  <c r="S64" i="20"/>
  <c r="X61" i="20"/>
  <c r="X64" i="20"/>
  <c r="AC64" i="20"/>
  <c r="AC61" i="20"/>
  <c r="F39" i="25"/>
  <c r="I39" i="25"/>
  <c r="AD1043" i="4"/>
  <c r="D116" i="24"/>
  <c r="Y9" i="19"/>
  <c r="U9" i="19"/>
  <c r="AB9" i="19"/>
  <c r="X9" i="19"/>
  <c r="AA9" i="19"/>
  <c r="W9" i="19"/>
  <c r="Z9" i="19"/>
  <c r="V9" i="19"/>
  <c r="BF9" i="19"/>
  <c r="C24" i="24" s="1"/>
  <c r="BH9" i="19"/>
  <c r="C24" i="26" s="1"/>
  <c r="D85" i="18"/>
  <c r="D70" i="18"/>
  <c r="AE107" i="20"/>
  <c r="AD1325" i="4"/>
  <c r="DS23" i="5"/>
  <c r="F31" i="26"/>
  <c r="I31" i="26"/>
  <c r="AE59" i="20"/>
  <c r="AE91" i="20"/>
  <c r="EG54" i="5"/>
  <c r="D47" i="68" s="1"/>
  <c r="F63" i="18"/>
  <c r="I63" i="18"/>
  <c r="AJ1346" i="4"/>
  <c r="AB1346" i="4"/>
  <c r="D111" i="24"/>
  <c r="F35" i="24"/>
  <c r="I35" i="24"/>
  <c r="D121" i="23"/>
  <c r="D116" i="18"/>
  <c r="D110" i="22"/>
  <c r="F91" i="21"/>
  <c r="I91" i="21"/>
  <c r="AA48" i="20"/>
  <c r="AA45" i="20"/>
  <c r="W48" i="20"/>
  <c r="W45" i="20"/>
  <c r="U45" i="20"/>
  <c r="U48" i="20"/>
  <c r="D34" i="23"/>
  <c r="AA112" i="20"/>
  <c r="AA109" i="20"/>
  <c r="V109" i="20"/>
  <c r="V112" i="20"/>
  <c r="AB112" i="20"/>
  <c r="AB109" i="20"/>
  <c r="DL51" i="5"/>
  <c r="BV29" i="62"/>
  <c r="D100" i="24"/>
  <c r="D32" i="21"/>
  <c r="BV23" i="62"/>
  <c r="I25" i="25"/>
  <c r="F25" i="25"/>
  <c r="I61" i="24"/>
  <c r="F61" i="24"/>
  <c r="D44" i="18"/>
  <c r="AB18" i="19"/>
  <c r="X18" i="19"/>
  <c r="AA18" i="19"/>
  <c r="W18" i="19"/>
  <c r="Z18" i="19"/>
  <c r="V18" i="19"/>
  <c r="Y18" i="19"/>
  <c r="U18" i="19"/>
  <c r="BF18" i="19"/>
  <c r="C33" i="24" s="1"/>
  <c r="D41" i="18"/>
  <c r="J107" i="20"/>
  <c r="BV47" i="62"/>
  <c r="CJ21" i="62"/>
  <c r="C27" i="17"/>
  <c r="D27" i="17" s="1"/>
  <c r="F95" i="26"/>
  <c r="I95" i="26"/>
  <c r="BH15" i="19"/>
  <c r="C30" i="26" s="1"/>
  <c r="I36" i="25"/>
  <c r="F36" i="25"/>
  <c r="AD529" i="45"/>
  <c r="AC531" i="45"/>
  <c r="AC530" i="45"/>
  <c r="J59" i="20"/>
  <c r="AJ1343" i="4"/>
  <c r="AB1343" i="4"/>
  <c r="D41" i="25"/>
  <c r="J91" i="20"/>
  <c r="AJ1329" i="4"/>
  <c r="AB1329" i="4"/>
  <c r="Y96" i="20"/>
  <c r="Y93" i="20"/>
  <c r="AC96" i="20"/>
  <c r="AC93" i="20"/>
  <c r="Z93" i="20"/>
  <c r="Z96" i="20"/>
  <c r="D57" i="18"/>
  <c r="F63" i="25"/>
  <c r="I63" i="25"/>
  <c r="D97" i="26"/>
  <c r="C6" i="20"/>
  <c r="S6" i="15"/>
  <c r="D21" i="15"/>
  <c r="D41" i="26"/>
  <c r="F91" i="26"/>
  <c r="D91" i="26" s="1"/>
  <c r="I91" i="26"/>
  <c r="F34" i="24"/>
  <c r="I34" i="24"/>
  <c r="F115" i="24"/>
  <c r="D115" i="24" s="1"/>
  <c r="I115" i="24"/>
  <c r="AC68" i="19"/>
  <c r="AD68" i="19" s="1"/>
  <c r="I101" i="25"/>
  <c r="F101" i="25"/>
  <c r="I23" i="21"/>
  <c r="F23" i="21"/>
  <c r="D40" i="18"/>
  <c r="I32" i="24"/>
  <c r="F32" i="24"/>
  <c r="AJ1297" i="4"/>
  <c r="AB1297" i="4"/>
  <c r="AD1353" i="4"/>
  <c r="DL44" i="62"/>
  <c r="F25" i="21"/>
  <c r="I25" i="21"/>
  <c r="D68" i="18"/>
  <c r="CJ18" i="62"/>
  <c r="BV48" i="62"/>
  <c r="D88" i="24"/>
  <c r="AJ1328" i="4"/>
  <c r="AB1328" i="4"/>
  <c r="F39" i="22"/>
  <c r="I39" i="22"/>
  <c r="AD315" i="4"/>
  <c r="I117" i="23"/>
  <c r="F117" i="23"/>
  <c r="D117" i="23" s="1"/>
  <c r="D120" i="23"/>
  <c r="D121" i="24"/>
  <c r="Y13" i="19"/>
  <c r="U13" i="19"/>
  <c r="AB13" i="19"/>
  <c r="X13" i="19"/>
  <c r="AA13" i="19"/>
  <c r="W13" i="19"/>
  <c r="Z13" i="19"/>
  <c r="V13" i="19"/>
  <c r="BF13" i="19"/>
  <c r="C28" i="24" s="1"/>
  <c r="BH13" i="19"/>
  <c r="C28" i="26" s="1"/>
  <c r="AC10" i="19"/>
  <c r="AD10" i="19" s="1"/>
  <c r="AJ939" i="4"/>
  <c r="AB939" i="4"/>
  <c r="D40" i="26"/>
  <c r="FI28" i="62"/>
  <c r="EU29" i="62"/>
  <c r="F26" i="18"/>
  <c r="I26" i="18"/>
  <c r="D95" i="23"/>
  <c r="AD523" i="4"/>
  <c r="D36" i="22"/>
  <c r="BJ22" i="19"/>
  <c r="BK22" i="19" s="1"/>
  <c r="BJ7" i="19"/>
  <c r="BK7" i="19" s="1"/>
  <c r="I65" i="18"/>
  <c r="F65" i="18"/>
  <c r="I61" i="18"/>
  <c r="F61" i="18"/>
  <c r="AJ107" i="4"/>
  <c r="AB107" i="4"/>
  <c r="I37" i="24"/>
  <c r="F37" i="24"/>
  <c r="F107" i="23"/>
  <c r="D107" i="23" s="1"/>
  <c r="I107" i="23"/>
  <c r="F27" i="18"/>
  <c r="I27" i="18"/>
  <c r="T32" i="20"/>
  <c r="T29" i="20"/>
  <c r="W32" i="20"/>
  <c r="W29" i="20"/>
  <c r="AC32" i="20"/>
  <c r="AC29" i="20"/>
  <c r="AJ1332" i="4"/>
  <c r="AB1332" i="4"/>
  <c r="I36" i="24"/>
  <c r="F36" i="24"/>
  <c r="G1355" i="4"/>
  <c r="G1356" i="4" s="1"/>
  <c r="H1356" i="4"/>
  <c r="F43" i="25"/>
  <c r="I43" i="25"/>
  <c r="F55" i="18"/>
  <c r="I55" i="18"/>
  <c r="I29" i="24"/>
  <c r="F29" i="24"/>
  <c r="I17" i="23"/>
  <c r="F17" i="23"/>
  <c r="F107" i="21"/>
  <c r="I107" i="21"/>
  <c r="F22" i="26"/>
  <c r="I22" i="26"/>
  <c r="I101" i="24"/>
  <c r="F101" i="24"/>
  <c r="AJ1283" i="4"/>
  <c r="AB1283" i="4"/>
  <c r="C25" i="18"/>
  <c r="BJ10" i="19"/>
  <c r="BK10" i="19" s="1"/>
  <c r="C76" i="20"/>
  <c r="B76" i="20"/>
  <c r="U80" i="20"/>
  <c r="U77" i="20"/>
  <c r="AN76" i="20"/>
  <c r="AJ76" i="20"/>
  <c r="AF76" i="20"/>
  <c r="R77" i="20"/>
  <c r="AM76" i="20"/>
  <c r="AI76" i="20"/>
  <c r="AE76" i="20"/>
  <c r="R80" i="20"/>
  <c r="AP76" i="20"/>
  <c r="AH76" i="20"/>
  <c r="AO76" i="20"/>
  <c r="AG76" i="20"/>
  <c r="AL76" i="20"/>
  <c r="AK76" i="20"/>
  <c r="W77" i="20"/>
  <c r="W80" i="20"/>
  <c r="C117" i="18"/>
  <c r="BJ102" i="19"/>
  <c r="BK102" i="19" s="1"/>
  <c r="AJ1345" i="4"/>
  <c r="AB1345" i="4"/>
  <c r="Z64" i="20"/>
  <c r="Z61" i="20"/>
  <c r="W64" i="20"/>
  <c r="W61" i="20"/>
  <c r="AB64" i="20"/>
  <c r="AB61" i="20"/>
  <c r="AC24" i="19"/>
  <c r="AD24" i="19" s="1"/>
  <c r="I117" i="21"/>
  <c r="F117" i="21"/>
  <c r="D117" i="21" s="1"/>
  <c r="I24" i="23"/>
  <c r="F24" i="23"/>
  <c r="I24" i="21"/>
  <c r="F24" i="21"/>
  <c r="D24" i="21" s="1"/>
  <c r="E9" i="12"/>
  <c r="E8" i="12"/>
  <c r="AT16" i="5"/>
  <c r="F31" i="24"/>
  <c r="I31" i="24"/>
  <c r="AJ1305" i="4"/>
  <c r="AB1305" i="4"/>
  <c r="EG53" i="5"/>
  <c r="D46" i="68" s="1"/>
  <c r="DS44" i="62"/>
  <c r="AJ1278" i="4"/>
  <c r="AB1278" i="4"/>
  <c r="AJ1336" i="4"/>
  <c r="AB1336" i="4"/>
  <c r="AJ1325" i="4"/>
  <c r="AB1325" i="4"/>
  <c r="F71" i="25"/>
  <c r="I71" i="25"/>
  <c r="I17" i="21"/>
  <c r="F17" i="21"/>
  <c r="I37" i="22"/>
  <c r="F37" i="22"/>
  <c r="AD835" i="4"/>
  <c r="C44" i="20"/>
  <c r="B44" i="20"/>
  <c r="S48" i="20"/>
  <c r="S45" i="20"/>
  <c r="AB48" i="20"/>
  <c r="AB45" i="20"/>
  <c r="Y45" i="20"/>
  <c r="Y48" i="20"/>
  <c r="I1355" i="4"/>
  <c r="AA1356" i="4"/>
  <c r="F22" i="22"/>
  <c r="I22" i="22"/>
  <c r="S112" i="20"/>
  <c r="S109" i="20"/>
  <c r="Z112" i="20"/>
  <c r="Z109" i="20"/>
  <c r="U112" i="20"/>
  <c r="U109" i="20"/>
  <c r="I101" i="26"/>
  <c r="F101" i="26"/>
  <c r="F23" i="25"/>
  <c r="I23" i="25"/>
  <c r="AJ1267" i="4"/>
  <c r="AB1267" i="4"/>
  <c r="I33" i="23"/>
  <c r="F33" i="23"/>
  <c r="D33" i="23" s="1"/>
  <c r="F33" i="21"/>
  <c r="I33" i="21"/>
  <c r="H107" i="20"/>
  <c r="BH33" i="5"/>
  <c r="AF21" i="5"/>
  <c r="F95" i="24"/>
  <c r="I95" i="24"/>
  <c r="F30" i="21"/>
  <c r="I30" i="21"/>
  <c r="AA15" i="19"/>
  <c r="W15" i="19"/>
  <c r="Z15" i="19"/>
  <c r="V15" i="19"/>
  <c r="Y15" i="19"/>
  <c r="U15" i="19"/>
  <c r="AB15" i="19"/>
  <c r="X15" i="19"/>
  <c r="BF15" i="19"/>
  <c r="C30" i="24" s="1"/>
  <c r="AJ1326" i="4"/>
  <c r="AB1326" i="4"/>
  <c r="H59" i="20"/>
  <c r="AJ1315" i="4"/>
  <c r="AB1315" i="4"/>
  <c r="H91" i="20"/>
  <c r="AJ1298" i="4"/>
  <c r="AB1298" i="4"/>
  <c r="I29" i="25"/>
  <c r="F29" i="25"/>
  <c r="I71" i="21"/>
  <c r="F71" i="21"/>
  <c r="AB96" i="20"/>
  <c r="AB93" i="20"/>
  <c r="X96" i="20"/>
  <c r="X93" i="20"/>
  <c r="S93" i="20"/>
  <c r="S96" i="20"/>
  <c r="AC48" i="19"/>
  <c r="AD48" i="19" s="1"/>
  <c r="AJ1301" i="4"/>
  <c r="AB1301" i="4"/>
  <c r="I17" i="26"/>
  <c r="F17" i="26"/>
  <c r="AC96" i="19"/>
  <c r="AD96" i="19" s="1"/>
  <c r="U153" i="16"/>
  <c r="AD137" i="16"/>
  <c r="Y6" i="20" s="1"/>
  <c r="AF137" i="16"/>
  <c r="AA6" i="20" s="1"/>
  <c r="Y137" i="16"/>
  <c r="T6" i="20" s="1"/>
  <c r="AH137" i="16"/>
  <c r="AC6" i="20" s="1"/>
  <c r="W137" i="16"/>
  <c r="AC137" i="16"/>
  <c r="X6" i="20" s="1"/>
  <c r="AA137" i="16"/>
  <c r="V6" i="20" s="1"/>
  <c r="X137" i="16"/>
  <c r="S6" i="20" s="1"/>
  <c r="AG137" i="16"/>
  <c r="AB6" i="20" s="1"/>
  <c r="Z137" i="16"/>
  <c r="U6" i="20" s="1"/>
  <c r="AE137" i="16"/>
  <c r="Z6" i="20" s="1"/>
  <c r="AB137" i="16"/>
  <c r="W6" i="20" s="1"/>
  <c r="F35" i="22"/>
  <c r="I35" i="22"/>
  <c r="AJ1273" i="4"/>
  <c r="AB1273" i="4"/>
  <c r="F75" i="25"/>
  <c r="I75" i="25"/>
  <c r="F91" i="24"/>
  <c r="I91" i="24"/>
  <c r="AD1290" i="4"/>
  <c r="F22" i="25"/>
  <c r="I22" i="25"/>
  <c r="AD1301" i="4"/>
  <c r="AJ1295" i="4"/>
  <c r="AB1295" i="4"/>
  <c r="I9" i="29"/>
  <c r="K9" i="29" s="1"/>
  <c r="H10" i="29"/>
  <c r="G9" i="29"/>
  <c r="I65" i="26"/>
  <c r="F65" i="26"/>
  <c r="AD1289" i="4"/>
  <c r="I25" i="23"/>
  <c r="F25" i="23"/>
  <c r="C39" i="18"/>
  <c r="BJ24" i="19"/>
  <c r="BK24" i="19" s="1"/>
  <c r="AJ1344" i="4"/>
  <c r="AB1344" i="4"/>
  <c r="AD1271" i="4"/>
  <c r="I28" i="23"/>
  <c r="F28" i="23"/>
  <c r="I28" i="21"/>
  <c r="F28" i="21"/>
  <c r="J13" i="6"/>
  <c r="K13" i="6" s="1"/>
  <c r="H14" i="6" s="1"/>
  <c r="BJ14" i="19"/>
  <c r="BK14" i="19" s="1"/>
  <c r="I37" i="18"/>
  <c r="F37" i="18"/>
  <c r="F22" i="18"/>
  <c r="I22" i="18"/>
  <c r="AJ1333" i="4"/>
  <c r="AB1333" i="4"/>
  <c r="F43" i="18"/>
  <c r="I43" i="18"/>
  <c r="BH47" i="5"/>
  <c r="D113" i="25"/>
  <c r="DS51" i="5"/>
  <c r="DE43" i="62"/>
  <c r="F95" i="18"/>
  <c r="I95" i="18"/>
  <c r="AC16" i="19"/>
  <c r="AD16" i="19" s="1"/>
  <c r="D36" i="21"/>
  <c r="D100" i="25"/>
  <c r="D69" i="23"/>
  <c r="D77" i="26"/>
  <c r="D29" i="21"/>
  <c r="D71" i="26"/>
  <c r="D63" i="21"/>
  <c r="D70" i="24"/>
  <c r="AJ1289" i="4"/>
  <c r="AB1289" i="4"/>
  <c r="I17" i="25"/>
  <c r="F17" i="25"/>
  <c r="D111" i="26"/>
  <c r="F35" i="25"/>
  <c r="I35" i="25"/>
  <c r="D119" i="21"/>
  <c r="AC22" i="19"/>
  <c r="AD22" i="19" s="1"/>
  <c r="D75" i="21"/>
  <c r="D91" i="22"/>
  <c r="F34" i="18"/>
  <c r="I34" i="18"/>
  <c r="D115" i="25"/>
  <c r="AJ1341" i="4"/>
  <c r="AB1341" i="4"/>
  <c r="D78" i="18"/>
  <c r="AJ1296" i="4"/>
  <c r="AB1296" i="4"/>
  <c r="AC11" i="19"/>
  <c r="AD11" i="19" s="1"/>
  <c r="AJ1284" i="4"/>
  <c r="AB1284" i="4"/>
  <c r="Y32" i="20"/>
  <c r="Y29" i="20"/>
  <c r="AB32" i="20"/>
  <c r="AB29" i="20"/>
  <c r="R29" i="20"/>
  <c r="AM28" i="20"/>
  <c r="AI28" i="20"/>
  <c r="AE28" i="20"/>
  <c r="AO28" i="20"/>
  <c r="AJ28" i="20"/>
  <c r="R32" i="20"/>
  <c r="AN28" i="20"/>
  <c r="AH28" i="20"/>
  <c r="AL28" i="20"/>
  <c r="AG28" i="20"/>
  <c r="AP28" i="20"/>
  <c r="AK28" i="20"/>
  <c r="AF28" i="20"/>
  <c r="D60" i="26"/>
  <c r="D51" i="24"/>
  <c r="D108" i="18"/>
  <c r="AJ1311" i="4"/>
  <c r="AB1311" i="4"/>
  <c r="AC28" i="19"/>
  <c r="AD28" i="19" s="1"/>
  <c r="D99" i="25"/>
  <c r="AC14" i="19"/>
  <c r="AD14" i="19" s="1"/>
  <c r="F71" i="18"/>
  <c r="I71" i="18"/>
  <c r="D63" i="24"/>
  <c r="AJ1351" i="4"/>
  <c r="AB1351" i="4"/>
  <c r="D77" i="24"/>
  <c r="D34" i="22"/>
  <c r="D113" i="21"/>
  <c r="D93" i="26"/>
  <c r="AC86" i="19"/>
  <c r="AD86" i="19" s="1"/>
  <c r="AJ1255" i="4"/>
  <c r="AB1255" i="4"/>
  <c r="D53" i="24"/>
  <c r="D80" i="18"/>
  <c r="F119" i="18"/>
  <c r="I119" i="18"/>
  <c r="I25" i="26"/>
  <c r="F25" i="26"/>
  <c r="AC80" i="20"/>
  <c r="AC77" i="20"/>
  <c r="V77" i="20"/>
  <c r="V80" i="20"/>
  <c r="AA77" i="20"/>
  <c r="AA80" i="20"/>
  <c r="I60" i="18"/>
  <c r="F60" i="18"/>
  <c r="D118" i="24"/>
  <c r="D104" i="22"/>
  <c r="D48" i="18"/>
  <c r="F61" i="21"/>
  <c r="I61" i="21"/>
  <c r="AJ1285" i="4"/>
  <c r="AB1285" i="4"/>
  <c r="F50" i="18"/>
  <c r="I50" i="18"/>
  <c r="R64" i="20"/>
  <c r="AP60" i="20"/>
  <c r="AL60" i="20"/>
  <c r="AH60" i="20"/>
  <c r="AO60" i="20"/>
  <c r="AK60" i="20"/>
  <c r="AG60" i="20"/>
  <c r="AN60" i="20"/>
  <c r="AJ60" i="20"/>
  <c r="AF60" i="20"/>
  <c r="R61" i="20"/>
  <c r="AM60" i="20"/>
  <c r="AI60" i="20"/>
  <c r="AE60" i="20"/>
  <c r="AA64" i="20"/>
  <c r="AA61" i="20"/>
  <c r="U64" i="20"/>
  <c r="U61" i="20"/>
  <c r="D78" i="24"/>
  <c r="I24" i="25"/>
  <c r="F24" i="25"/>
  <c r="C36" i="18"/>
  <c r="BJ21" i="19"/>
  <c r="BK21" i="19" s="1"/>
  <c r="AF505" i="45"/>
  <c r="AE507" i="45"/>
  <c r="AE506" i="45"/>
  <c r="I43" i="21"/>
  <c r="F43" i="21"/>
  <c r="D43" i="21" s="1"/>
  <c r="AJ1288" i="4"/>
  <c r="AB1288" i="4"/>
  <c r="AJ1312" i="4"/>
  <c r="AB1312" i="4"/>
  <c r="AC56" i="19"/>
  <c r="AD56" i="19" s="1"/>
  <c r="D63" i="22"/>
  <c r="DZ53" i="5"/>
  <c r="EN53" i="5" s="1"/>
  <c r="J27" i="20"/>
  <c r="D111" i="23"/>
  <c r="AM1355" i="4"/>
  <c r="AA5" i="12" s="1"/>
  <c r="C5" i="12"/>
  <c r="AM1251" i="4"/>
  <c r="Y5" i="12" s="1"/>
  <c r="AM1147" i="4"/>
  <c r="W5" i="12" s="1"/>
  <c r="AM1043" i="4"/>
  <c r="U5" i="12" s="1"/>
  <c r="AM939" i="4"/>
  <c r="S5" i="12" s="1"/>
  <c r="AM835" i="4"/>
  <c r="Q5" i="12" s="1"/>
  <c r="AM731" i="4"/>
  <c r="O5" i="12" s="1"/>
  <c r="AM627" i="4"/>
  <c r="M5" i="12" s="1"/>
  <c r="AM523" i="4"/>
  <c r="K5" i="12" s="1"/>
  <c r="AM419" i="4"/>
  <c r="I5" i="12" s="1"/>
  <c r="AM315" i="4"/>
  <c r="G5" i="12" s="1"/>
  <c r="AM211" i="4"/>
  <c r="E5" i="12" s="1"/>
  <c r="AJ1309" i="4"/>
  <c r="AB1309" i="4"/>
  <c r="V45" i="20"/>
  <c r="V48" i="20"/>
  <c r="T48" i="20"/>
  <c r="T45" i="20"/>
  <c r="AC45" i="20"/>
  <c r="AC48" i="20"/>
  <c r="D34" i="25"/>
  <c r="C108" i="20"/>
  <c r="B108" i="20"/>
  <c r="W112" i="20"/>
  <c r="W109" i="20"/>
  <c r="T112" i="20"/>
  <c r="T109" i="20"/>
  <c r="Y112" i="20"/>
  <c r="Y109" i="20"/>
  <c r="BJ25" i="62"/>
  <c r="BW25" i="62"/>
  <c r="AC8" i="19"/>
  <c r="AD8" i="19" s="1"/>
  <c r="AJ1320" i="4"/>
  <c r="AB1320" i="4"/>
  <c r="I65" i="24"/>
  <c r="F65" i="24"/>
  <c r="I25" i="22"/>
  <c r="F25" i="22"/>
  <c r="D25" i="22" s="1"/>
  <c r="D54" i="18"/>
  <c r="F39" i="24"/>
  <c r="I39" i="24"/>
  <c r="D103" i="22"/>
  <c r="D51" i="22"/>
  <c r="D79" i="22"/>
  <c r="I117" i="26"/>
  <c r="F117" i="26"/>
  <c r="D99" i="23"/>
  <c r="I33" i="22"/>
  <c r="F33" i="22"/>
  <c r="I33" i="25"/>
  <c r="F33" i="25"/>
  <c r="I104" i="18"/>
  <c r="F104" i="18"/>
  <c r="I117" i="24"/>
  <c r="F117" i="24"/>
  <c r="G10" i="27"/>
  <c r="E25" i="27"/>
  <c r="B10" i="27"/>
  <c r="AE75" i="20"/>
  <c r="BG15" i="19"/>
  <c r="C30" i="25" s="1"/>
  <c r="BE15" i="19"/>
  <c r="C30" i="23" s="1"/>
  <c r="F31" i="22"/>
  <c r="I31" i="22"/>
  <c r="AJ1261" i="4"/>
  <c r="AB1261" i="4"/>
  <c r="CX55" i="5"/>
  <c r="F43" i="26"/>
  <c r="I43" i="26"/>
  <c r="C92" i="20"/>
  <c r="B92" i="20"/>
  <c r="T96" i="20"/>
  <c r="T93" i="20"/>
  <c r="AN92" i="20"/>
  <c r="AJ92" i="20"/>
  <c r="AF92" i="20"/>
  <c r="R93" i="20"/>
  <c r="AM92" i="20"/>
  <c r="AI92" i="20"/>
  <c r="AE92" i="20"/>
  <c r="AO92" i="20"/>
  <c r="AG92" i="20"/>
  <c r="AL92" i="20"/>
  <c r="R96" i="20"/>
  <c r="AK92" i="20"/>
  <c r="AH92" i="20"/>
  <c r="AP92" i="20"/>
  <c r="W93" i="20"/>
  <c r="W96" i="20"/>
  <c r="AJ1262" i="4"/>
  <c r="AB1262" i="4"/>
  <c r="AJ1354" i="4"/>
  <c r="AB1354" i="4"/>
  <c r="DS47" i="5"/>
  <c r="EG45" i="5"/>
  <c r="D38" i="68" s="1"/>
  <c r="I100" i="18"/>
  <c r="F100" i="18"/>
  <c r="C111" i="18"/>
  <c r="BJ96" i="19"/>
  <c r="BK96" i="19" s="1"/>
  <c r="D16" i="15"/>
  <c r="D13" i="15"/>
  <c r="C35" i="18"/>
  <c r="BJ20" i="19"/>
  <c r="BK20" i="19" s="1"/>
  <c r="AJ1271" i="4"/>
  <c r="AB1271" i="4"/>
  <c r="F37" i="21"/>
  <c r="I37" i="21"/>
  <c r="AC60" i="19"/>
  <c r="AD60" i="19" s="1"/>
  <c r="C107" i="18"/>
  <c r="BJ92" i="19"/>
  <c r="BK92" i="19" s="1"/>
  <c r="D74" i="18"/>
  <c r="D34" i="21"/>
  <c r="D74" i="25"/>
  <c r="I101" i="22"/>
  <c r="F101" i="22"/>
  <c r="D51" i="25"/>
  <c r="F27" i="26"/>
  <c r="I27" i="26"/>
  <c r="L8" i="29"/>
  <c r="AD1341" i="4"/>
  <c r="D110" i="24"/>
  <c r="D50" i="26"/>
  <c r="I105" i="18"/>
  <c r="F105" i="18"/>
  <c r="D87" i="23"/>
  <c r="AD1307" i="4"/>
  <c r="D94" i="24"/>
  <c r="I61" i="26"/>
  <c r="F61" i="26"/>
  <c r="I28" i="25"/>
  <c r="F28" i="25"/>
  <c r="I113" i="18"/>
  <c r="F113" i="18"/>
  <c r="D31" i="23"/>
  <c r="D23" i="23"/>
  <c r="I29" i="18"/>
  <c r="F29" i="18"/>
  <c r="BJ86" i="19"/>
  <c r="BK86" i="19" s="1"/>
  <c r="AF24" i="5"/>
  <c r="AJ1300" i="4"/>
  <c r="AB1300" i="4"/>
  <c r="AC20" i="19"/>
  <c r="AD20" i="19" s="1"/>
  <c r="AJ627" i="4"/>
  <c r="AB627" i="4"/>
  <c r="F26" i="24"/>
  <c r="I26" i="24"/>
  <c r="C28" i="20"/>
  <c r="B28" i="20"/>
  <c r="U32" i="20"/>
  <c r="U29" i="20"/>
  <c r="S32" i="20"/>
  <c r="S29" i="20"/>
  <c r="V29" i="20"/>
  <c r="V32" i="20"/>
  <c r="F95" i="25"/>
  <c r="I95" i="25"/>
  <c r="I31" i="21"/>
  <c r="F31" i="21"/>
  <c r="I120" i="18"/>
  <c r="F120" i="18"/>
  <c r="AJ419" i="4"/>
  <c r="AB419" i="4"/>
  <c r="I17" i="22"/>
  <c r="F17" i="22"/>
  <c r="I37" i="26"/>
  <c r="F37" i="26"/>
  <c r="F91" i="25"/>
  <c r="I91" i="25"/>
  <c r="F115" i="26"/>
  <c r="D115" i="26" s="1"/>
  <c r="I115" i="26"/>
  <c r="AC100" i="19"/>
  <c r="AD100" i="19" s="1"/>
  <c r="AC1355" i="4"/>
  <c r="AJ1254" i="4"/>
  <c r="AB1254" i="4"/>
  <c r="AJ1321" i="4"/>
  <c r="AB1321" i="4"/>
  <c r="F27" i="25"/>
  <c r="I27" i="25"/>
  <c r="F23" i="18"/>
  <c r="I23" i="18"/>
  <c r="AG1355" i="4"/>
  <c r="E155" i="16"/>
  <c r="F155" i="16" s="1"/>
  <c r="AI1356" i="4"/>
  <c r="AJ731" i="4"/>
  <c r="AB731" i="4"/>
  <c r="AJ1272" i="4"/>
  <c r="AB1272" i="4"/>
  <c r="AJ1317" i="4"/>
  <c r="AB1317" i="4"/>
  <c r="AJ1276" i="4"/>
  <c r="AB1276" i="4"/>
  <c r="T80" i="20"/>
  <c r="T77" i="20"/>
  <c r="X80" i="20"/>
  <c r="X77" i="20"/>
  <c r="Z77" i="20"/>
  <c r="Z80" i="20"/>
  <c r="F39" i="23"/>
  <c r="I39" i="23"/>
  <c r="AJ1308" i="4"/>
  <c r="AB1308" i="4"/>
  <c r="F51" i="18"/>
  <c r="I51" i="18"/>
  <c r="I61" i="23"/>
  <c r="F61" i="23"/>
  <c r="C60" i="20"/>
  <c r="B60" i="20"/>
  <c r="V64" i="20"/>
  <c r="V61" i="20"/>
  <c r="T61" i="20"/>
  <c r="T64" i="20"/>
  <c r="Y64" i="20"/>
  <c r="Y61" i="20"/>
  <c r="C24" i="18"/>
  <c r="BJ9" i="19"/>
  <c r="BK9" i="19" s="1"/>
  <c r="I24" i="22"/>
  <c r="F24" i="22"/>
  <c r="AJ1293" i="4"/>
  <c r="AB1293" i="4"/>
  <c r="F26" i="26"/>
  <c r="I26" i="26"/>
  <c r="F95" i="21"/>
  <c r="I95" i="21"/>
  <c r="D51" i="26"/>
  <c r="D84" i="18"/>
  <c r="F110" i="18"/>
  <c r="I110" i="18"/>
  <c r="I29" i="26"/>
  <c r="F29" i="26"/>
  <c r="DE55" i="5"/>
  <c r="AJ179" i="4"/>
  <c r="AC1323" i="4"/>
  <c r="AD1354" i="4"/>
  <c r="I17" i="18"/>
  <c r="F17" i="18"/>
  <c r="AD1266" i="4"/>
  <c r="AD1355" i="4" s="1"/>
  <c r="AD1356" i="4" s="1"/>
  <c r="F35" i="26"/>
  <c r="I35" i="26"/>
  <c r="I37" i="25"/>
  <c r="F37" i="25"/>
  <c r="F75" i="18"/>
  <c r="I75" i="18"/>
  <c r="F107" i="24"/>
  <c r="I107" i="24"/>
  <c r="X48" i="20"/>
  <c r="X45" i="20"/>
  <c r="AP44" i="20"/>
  <c r="AL44" i="20"/>
  <c r="AH44" i="20"/>
  <c r="AK44" i="20"/>
  <c r="AF44" i="20"/>
  <c r="AN44" i="20"/>
  <c r="AI44" i="20"/>
  <c r="R45" i="20"/>
  <c r="AG44" i="20"/>
  <c r="AO44" i="20"/>
  <c r="AE44" i="20"/>
  <c r="AM44" i="20"/>
  <c r="R48" i="20"/>
  <c r="AJ44" i="20"/>
  <c r="Z48" i="20"/>
  <c r="Z45" i="20"/>
  <c r="F115" i="21"/>
  <c r="I115" i="21"/>
  <c r="AJ1330" i="4"/>
  <c r="AB1330" i="4"/>
  <c r="F83" i="18"/>
  <c r="I83" i="18"/>
  <c r="R112" i="20"/>
  <c r="AP108" i="20"/>
  <c r="AL108" i="20"/>
  <c r="AH108" i="20"/>
  <c r="AO108" i="20"/>
  <c r="AK108" i="20"/>
  <c r="AG108" i="20"/>
  <c r="R109" i="20"/>
  <c r="AM108" i="20"/>
  <c r="AI108" i="20"/>
  <c r="AE108" i="20"/>
  <c r="AN108" i="20"/>
  <c r="AJ108" i="20"/>
  <c r="AF108" i="20"/>
  <c r="X112" i="20"/>
  <c r="X109" i="20"/>
  <c r="AC112" i="20"/>
  <c r="AC109" i="20"/>
  <c r="I27" i="21"/>
  <c r="F27" i="21"/>
  <c r="AJ1306" i="4"/>
  <c r="AB1306" i="4"/>
  <c r="D79" i="25"/>
  <c r="AC50" i="19"/>
  <c r="AD50" i="19" s="1"/>
  <c r="D105" i="23"/>
  <c r="C52" i="28"/>
  <c r="AI113" i="14"/>
  <c r="D121" i="22"/>
  <c r="I117" i="25"/>
  <c r="F117" i="25"/>
  <c r="BH18" i="19"/>
  <c r="C33" i="26" s="1"/>
  <c r="BB18" i="19"/>
  <c r="D97" i="23"/>
  <c r="AC102" i="19"/>
  <c r="AD102" i="19" s="1"/>
  <c r="AD731" i="4"/>
  <c r="D45" i="18"/>
  <c r="D121" i="18"/>
  <c r="FP28" i="62"/>
  <c r="EN45" i="5"/>
  <c r="F26" i="22"/>
  <c r="I26" i="22"/>
  <c r="AD167" i="4"/>
  <c r="AD1311" i="4" s="1"/>
  <c r="BD15" i="19"/>
  <c r="C30" i="22" s="1"/>
  <c r="BI15" i="19"/>
  <c r="D87" i="25"/>
  <c r="C31" i="18"/>
  <c r="BJ16" i="19"/>
  <c r="BK16" i="19" s="1"/>
  <c r="D104" i="26"/>
  <c r="D97" i="22"/>
  <c r="D79" i="26"/>
  <c r="F43" i="24"/>
  <c r="I43" i="24"/>
  <c r="D110" i="25"/>
  <c r="I29" i="22"/>
  <c r="F29" i="22"/>
  <c r="U96" i="20"/>
  <c r="U93" i="20"/>
  <c r="V93" i="20"/>
  <c r="V96" i="20"/>
  <c r="AA93" i="20"/>
  <c r="AA96" i="20"/>
  <c r="D103" i="21"/>
  <c r="AJ1299" i="4"/>
  <c r="AB1299" i="4"/>
  <c r="AC1307" i="4"/>
  <c r="I37" i="23"/>
  <c r="F37" i="23"/>
  <c r="AJ835" i="4"/>
  <c r="AB835" i="4"/>
  <c r="F107" i="25"/>
  <c r="I107" i="25"/>
  <c r="AC19" i="19"/>
  <c r="AD19" i="19" s="1"/>
  <c r="F83" i="25"/>
  <c r="I83" i="25"/>
  <c r="C45" i="17"/>
  <c r="E16" i="64" s="1"/>
  <c r="AN108" i="19"/>
  <c r="D105" i="26"/>
  <c r="D103" i="25"/>
  <c r="F27" i="24"/>
  <c r="I27" i="24"/>
  <c r="AJ1147" i="4"/>
  <c r="AB1147" i="4"/>
  <c r="I32" i="26"/>
  <c r="F32" i="26"/>
  <c r="AC17" i="19"/>
  <c r="AD17" i="19" s="1"/>
  <c r="J8" i="29"/>
  <c r="I14" i="27"/>
  <c r="E31" i="27"/>
  <c r="AJ1349" i="4"/>
  <c r="AB1349" i="4"/>
  <c r="D81" i="22"/>
  <c r="D70" i="22"/>
  <c r="D45" i="22"/>
  <c r="AJ1318" i="4"/>
  <c r="AB1318" i="4"/>
  <c r="AD939" i="4"/>
  <c r="D49" i="24"/>
  <c r="BB13" i="19"/>
  <c r="BD13" i="19"/>
  <c r="C28" i="22" s="1"/>
  <c r="I25" i="24"/>
  <c r="F25" i="24"/>
  <c r="D109" i="26"/>
  <c r="AJ315" i="4"/>
  <c r="AB315" i="4"/>
  <c r="AJ1291" i="4"/>
  <c r="AB1291" i="4"/>
  <c r="D61" i="25"/>
  <c r="E28" i="27"/>
  <c r="D14" i="27"/>
  <c r="D55" i="25"/>
  <c r="BJ11" i="19"/>
  <c r="BK11" i="19" s="1"/>
  <c r="D43" i="23"/>
  <c r="D107" i="22"/>
  <c r="D115" i="22"/>
  <c r="I101" i="18"/>
  <c r="F101" i="18"/>
  <c r="BJ50" i="19"/>
  <c r="BK50" i="19" s="1"/>
  <c r="BJ46" i="19"/>
  <c r="BK46" i="19" s="1"/>
  <c r="D43" i="26" l="1"/>
  <c r="D34" i="18"/>
  <c r="D43" i="18"/>
  <c r="D103" i="18"/>
  <c r="D115" i="18"/>
  <c r="D91" i="18"/>
  <c r="D117" i="25"/>
  <c r="D60" i="18"/>
  <c r="D101" i="25"/>
  <c r="L9" i="29"/>
  <c r="D110" i="18"/>
  <c r="D91" i="25"/>
  <c r="J9" i="29"/>
  <c r="D79" i="18"/>
  <c r="D101" i="18"/>
  <c r="AD1253" i="4"/>
  <c r="D37" i="25"/>
  <c r="D37" i="26"/>
  <c r="D35" i="24"/>
  <c r="D29" i="26"/>
  <c r="D30" i="21"/>
  <c r="D33" i="21"/>
  <c r="D31" i="24"/>
  <c r="D32" i="18"/>
  <c r="D31" i="25"/>
  <c r="AC13" i="19"/>
  <c r="AD13" i="19" s="1"/>
  <c r="D26" i="26"/>
  <c r="D31" i="21"/>
  <c r="D33" i="25"/>
  <c r="D31" i="26"/>
  <c r="D23" i="25"/>
  <c r="D23" i="21"/>
  <c r="AK48" i="20"/>
  <c r="AK45" i="20"/>
  <c r="AJ1323" i="4"/>
  <c r="AB1323" i="4"/>
  <c r="AK96" i="20"/>
  <c r="AK93" i="20"/>
  <c r="AK61" i="20"/>
  <c r="AK64" i="20"/>
  <c r="AK32" i="20"/>
  <c r="AK29" i="20"/>
  <c r="S8" i="20"/>
  <c r="S11" i="20" s="1"/>
  <c r="AK80" i="20"/>
  <c r="AK77" i="20"/>
  <c r="AJ77" i="20"/>
  <c r="AJ80" i="20"/>
  <c r="I28" i="26"/>
  <c r="F28" i="26"/>
  <c r="D27" i="24"/>
  <c r="D83" i="25"/>
  <c r="D107" i="25"/>
  <c r="AK112" i="20"/>
  <c r="AK109" i="20"/>
  <c r="AE48" i="20"/>
  <c r="AE45" i="20"/>
  <c r="H44" i="20"/>
  <c r="AH45" i="20"/>
  <c r="AH48" i="20"/>
  <c r="D107" i="24"/>
  <c r="D60" i="20"/>
  <c r="C61" i="20"/>
  <c r="D61" i="20" s="1"/>
  <c r="AJ1355" i="4"/>
  <c r="AJ1356" i="4" s="1"/>
  <c r="AB1355" i="4"/>
  <c r="AB1356" i="4" s="1"/>
  <c r="AC1356" i="4"/>
  <c r="AI64" i="20"/>
  <c r="AI61" i="20"/>
  <c r="AJ61" i="20"/>
  <c r="AJ64" i="20"/>
  <c r="AO61" i="20"/>
  <c r="AO64" i="20"/>
  <c r="AP32" i="20"/>
  <c r="AP29" i="20"/>
  <c r="AN32" i="20"/>
  <c r="AN29" i="20"/>
  <c r="AE29" i="20"/>
  <c r="AE32" i="20"/>
  <c r="H28" i="20"/>
  <c r="D17" i="25"/>
  <c r="EG51" i="5"/>
  <c r="D44" i="68" s="1"/>
  <c r="DS43" i="62"/>
  <c r="BV47" i="5"/>
  <c r="D91" i="24"/>
  <c r="Z8" i="20"/>
  <c r="Z11" i="20" s="1"/>
  <c r="V8" i="20"/>
  <c r="V11" i="20" s="1"/>
  <c r="T8" i="20"/>
  <c r="T11" i="20" s="1"/>
  <c r="D17" i="26"/>
  <c r="AC15" i="19"/>
  <c r="AD15" i="19" s="1"/>
  <c r="D17" i="21"/>
  <c r="AL80" i="20"/>
  <c r="AL77" i="20"/>
  <c r="AP80" i="20"/>
  <c r="AP77" i="20"/>
  <c r="AM77" i="20"/>
  <c r="AM80" i="20"/>
  <c r="AN77" i="20"/>
  <c r="AN80" i="20"/>
  <c r="D76" i="20"/>
  <c r="C77" i="20"/>
  <c r="D77" i="20" s="1"/>
  <c r="I28" i="24"/>
  <c r="F28" i="24"/>
  <c r="S12" i="15"/>
  <c r="U152" i="16"/>
  <c r="S8" i="15"/>
  <c r="CJ23" i="62"/>
  <c r="EU54" i="5"/>
  <c r="EG55" i="5"/>
  <c r="H107" i="19"/>
  <c r="H108" i="19" s="1"/>
  <c r="AB6" i="19"/>
  <c r="AB107" i="19" s="1"/>
  <c r="AA23" i="17" s="1"/>
  <c r="X6" i="19"/>
  <c r="X107" i="19" s="1"/>
  <c r="AA6" i="19"/>
  <c r="AA107" i="19" s="1"/>
  <c r="W6" i="19"/>
  <c r="W107" i="19" s="1"/>
  <c r="Z6" i="19"/>
  <c r="Z107" i="19" s="1"/>
  <c r="V6" i="19"/>
  <c r="V107" i="19" s="1"/>
  <c r="Y6" i="19"/>
  <c r="Y107" i="19" s="1"/>
  <c r="U6" i="19"/>
  <c r="BF6" i="19"/>
  <c r="N40" i="44"/>
  <c r="M41" i="44"/>
  <c r="D45" i="17"/>
  <c r="D17" i="24"/>
  <c r="AF23" i="5"/>
  <c r="BJ15" i="19"/>
  <c r="BK15" i="19" s="1"/>
  <c r="I33" i="26"/>
  <c r="F33" i="26"/>
  <c r="AE109" i="20"/>
  <c r="AE112" i="20"/>
  <c r="H108" i="20"/>
  <c r="AL112" i="20"/>
  <c r="AL109" i="20"/>
  <c r="F30" i="23"/>
  <c r="I30" i="23"/>
  <c r="AG505" i="45"/>
  <c r="AF507" i="45"/>
  <c r="AF506" i="45"/>
  <c r="AF64" i="20"/>
  <c r="AF61" i="20"/>
  <c r="AO32" i="20"/>
  <c r="AO29" i="20"/>
  <c r="I10" i="29"/>
  <c r="K10" i="29" s="1"/>
  <c r="H11" i="29"/>
  <c r="G10" i="29"/>
  <c r="AC8" i="20"/>
  <c r="AC11" i="20" s="1"/>
  <c r="AT21" i="5"/>
  <c r="AH80" i="20"/>
  <c r="AH77" i="20"/>
  <c r="B77" i="20"/>
  <c r="P76" i="20"/>
  <c r="B80" i="20"/>
  <c r="AF112" i="20"/>
  <c r="AF109" i="20"/>
  <c r="AI112" i="20"/>
  <c r="AI109" i="20"/>
  <c r="AP112" i="20"/>
  <c r="AP109" i="20"/>
  <c r="AI48" i="20"/>
  <c r="AI45" i="20"/>
  <c r="D17" i="18"/>
  <c r="Z4" i="12"/>
  <c r="AG1356" i="4"/>
  <c r="D37" i="21"/>
  <c r="F111" i="18"/>
  <c r="D111" i="18" s="1"/>
  <c r="I111" i="18"/>
  <c r="AF93" i="20"/>
  <c r="AF96" i="20"/>
  <c r="DL55" i="5"/>
  <c r="D31" i="22"/>
  <c r="D39" i="24"/>
  <c r="BX25" i="62"/>
  <c r="CK25" i="62"/>
  <c r="P108" i="20"/>
  <c r="B109" i="20"/>
  <c r="B112" i="20"/>
  <c r="D61" i="21"/>
  <c r="C28" i="18"/>
  <c r="BJ13" i="19"/>
  <c r="BK13" i="19" s="1"/>
  <c r="F31" i="18"/>
  <c r="I31" i="18"/>
  <c r="D26" i="22"/>
  <c r="C53" i="28"/>
  <c r="H80" i="28"/>
  <c r="C80" i="28" s="1"/>
  <c r="E80" i="28" s="1"/>
  <c r="G80" i="28" s="1"/>
  <c r="AJ112" i="20"/>
  <c r="AJ109" i="20"/>
  <c r="AM109" i="20"/>
  <c r="AM112" i="20"/>
  <c r="AO112" i="20"/>
  <c r="AO109" i="20"/>
  <c r="AJ48" i="20"/>
  <c r="AJ45" i="20"/>
  <c r="AO48" i="20"/>
  <c r="AO45" i="20"/>
  <c r="AN48" i="20"/>
  <c r="AN45" i="20"/>
  <c r="AL45" i="20"/>
  <c r="AL48" i="20"/>
  <c r="I24" i="18"/>
  <c r="F24" i="18"/>
  <c r="D95" i="25"/>
  <c r="B29" i="20"/>
  <c r="P28" i="20"/>
  <c r="B32" i="20"/>
  <c r="AT24" i="5"/>
  <c r="F107" i="18"/>
  <c r="I107" i="18"/>
  <c r="D100" i="18"/>
  <c r="EU45" i="5"/>
  <c r="FB45" i="5" s="1"/>
  <c r="EG47" i="5"/>
  <c r="AP96" i="20"/>
  <c r="AP93" i="20"/>
  <c r="AL96" i="20"/>
  <c r="AL93" i="20"/>
  <c r="AI93" i="20"/>
  <c r="AI96" i="20"/>
  <c r="AJ93" i="20"/>
  <c r="AJ96" i="20"/>
  <c r="B93" i="20"/>
  <c r="B96" i="20"/>
  <c r="P92" i="20"/>
  <c r="D104" i="18"/>
  <c r="D33" i="22"/>
  <c r="D108" i="20"/>
  <c r="C109" i="20"/>
  <c r="D109" i="20" s="1"/>
  <c r="I36" i="18"/>
  <c r="F36" i="18"/>
  <c r="AM64" i="20"/>
  <c r="AM61" i="20"/>
  <c r="AN64" i="20"/>
  <c r="AN61" i="20"/>
  <c r="AH64" i="20"/>
  <c r="AH61" i="20"/>
  <c r="D119" i="18"/>
  <c r="AG32" i="20"/>
  <c r="AG29" i="20"/>
  <c r="AI29" i="20"/>
  <c r="AI32" i="20"/>
  <c r="D22" i="18"/>
  <c r="D25" i="23"/>
  <c r="D65" i="26"/>
  <c r="D22" i="25"/>
  <c r="U8" i="20"/>
  <c r="U11" i="20" s="1"/>
  <c r="X8" i="20"/>
  <c r="X11" i="20" s="1"/>
  <c r="AA8" i="20"/>
  <c r="AA11" i="20" s="1"/>
  <c r="D29" i="25"/>
  <c r="F30" i="24"/>
  <c r="I30" i="24"/>
  <c r="D95" i="24"/>
  <c r="D22" i="22"/>
  <c r="D37" i="22"/>
  <c r="D71" i="25"/>
  <c r="G9" i="12"/>
  <c r="G8" i="12"/>
  <c r="BH16" i="5"/>
  <c r="AG80" i="20"/>
  <c r="AG77" i="20"/>
  <c r="D22" i="26"/>
  <c r="D107" i="21"/>
  <c r="D55" i="18"/>
  <c r="D43" i="25"/>
  <c r="D27" i="18"/>
  <c r="D65" i="18"/>
  <c r="D26" i="18"/>
  <c r="EU24" i="5"/>
  <c r="D25" i="21"/>
  <c r="D34" i="24"/>
  <c r="C8" i="20"/>
  <c r="D6" i="20"/>
  <c r="D63" i="25"/>
  <c r="D95" i="26"/>
  <c r="CJ47" i="62"/>
  <c r="CX21" i="62"/>
  <c r="I33" i="24"/>
  <c r="F33" i="24"/>
  <c r="CJ29" i="62"/>
  <c r="D63" i="18"/>
  <c r="DS55" i="5"/>
  <c r="I24" i="26"/>
  <c r="F24" i="26"/>
  <c r="AC9" i="19"/>
  <c r="AD9" i="19" s="1"/>
  <c r="D115" i="23"/>
  <c r="BD6" i="19"/>
  <c r="BE6" i="19"/>
  <c r="BC6" i="19"/>
  <c r="D36" i="26"/>
  <c r="P12" i="20"/>
  <c r="F30" i="18"/>
  <c r="I30" i="18"/>
  <c r="P60" i="20"/>
  <c r="B64" i="20"/>
  <c r="B61" i="20"/>
  <c r="AE61" i="20"/>
  <c r="AE64" i="20"/>
  <c r="H60" i="20"/>
  <c r="AP64" i="20"/>
  <c r="AP61" i="20"/>
  <c r="AH32" i="20"/>
  <c r="AH29" i="20"/>
  <c r="W8" i="20"/>
  <c r="W11" i="20" s="1"/>
  <c r="V137" i="16"/>
  <c r="D44" i="20"/>
  <c r="C45" i="20"/>
  <c r="D45" i="20" s="1"/>
  <c r="AI77" i="20"/>
  <c r="AI80" i="20"/>
  <c r="D17" i="23"/>
  <c r="I28" i="22"/>
  <c r="F28" i="22"/>
  <c r="AJ1307" i="4"/>
  <c r="AB1307" i="4"/>
  <c r="F30" i="22"/>
  <c r="I30" i="22"/>
  <c r="D27" i="25"/>
  <c r="D26" i="24"/>
  <c r="D27" i="26"/>
  <c r="F35" i="18"/>
  <c r="I35" i="18"/>
  <c r="AE93" i="20"/>
  <c r="AE96" i="20"/>
  <c r="H92" i="20"/>
  <c r="F30" i="25"/>
  <c r="I30" i="25"/>
  <c r="D25" i="24"/>
  <c r="D37" i="23"/>
  <c r="D29" i="22"/>
  <c r="D43" i="24"/>
  <c r="C33" i="18"/>
  <c r="BJ18" i="19"/>
  <c r="BK18" i="19" s="1"/>
  <c r="D27" i="21"/>
  <c r="AN112" i="20"/>
  <c r="AN109" i="20"/>
  <c r="AH112" i="20"/>
  <c r="AH109" i="20"/>
  <c r="D115" i="21"/>
  <c r="AG48" i="20"/>
  <c r="AG45" i="20"/>
  <c r="AF48" i="20"/>
  <c r="AF45" i="20"/>
  <c r="AP45" i="20"/>
  <c r="AP48" i="20"/>
  <c r="D75" i="18"/>
  <c r="D35" i="26"/>
  <c r="D95" i="21"/>
  <c r="D24" i="22"/>
  <c r="D23" i="18"/>
  <c r="D17" i="22"/>
  <c r="D28" i="20"/>
  <c r="C29" i="20"/>
  <c r="D29" i="20" s="1"/>
  <c r="D28" i="25"/>
  <c r="D61" i="26"/>
  <c r="D101" i="22"/>
  <c r="AH96" i="20"/>
  <c r="AH93" i="20"/>
  <c r="AG96" i="20"/>
  <c r="AG93" i="20"/>
  <c r="AM93" i="20"/>
  <c r="AM96" i="20"/>
  <c r="AN93" i="20"/>
  <c r="AN96" i="20"/>
  <c r="D92" i="20"/>
  <c r="C93" i="20"/>
  <c r="D93" i="20" s="1"/>
  <c r="D117" i="26"/>
  <c r="AG64" i="20"/>
  <c r="AG61" i="20"/>
  <c r="AL64" i="20"/>
  <c r="AL61" i="20"/>
  <c r="D25" i="26"/>
  <c r="AF29" i="20"/>
  <c r="AF32" i="20"/>
  <c r="AL32" i="20"/>
  <c r="AL29" i="20"/>
  <c r="AJ32" i="20"/>
  <c r="AJ29" i="20"/>
  <c r="AM29" i="20"/>
  <c r="AM32" i="20"/>
  <c r="D37" i="18"/>
  <c r="J14" i="6"/>
  <c r="K14" i="6" s="1"/>
  <c r="H15" i="6" s="1"/>
  <c r="D28" i="21"/>
  <c r="F39" i="18"/>
  <c r="I39" i="18"/>
  <c r="AB8" i="20"/>
  <c r="AB11" i="20" s="1"/>
  <c r="R6" i="20"/>
  <c r="Y8" i="20"/>
  <c r="Y11" i="20" s="1"/>
  <c r="BV33" i="5"/>
  <c r="P44" i="20"/>
  <c r="B45" i="20"/>
  <c r="B48" i="20"/>
  <c r="EU53" i="5"/>
  <c r="FB53" i="5" s="1"/>
  <c r="EG44" i="62"/>
  <c r="D24" i="23"/>
  <c r="I117" i="18"/>
  <c r="F117" i="18"/>
  <c r="AO80" i="20"/>
  <c r="AO77" i="20"/>
  <c r="AE77" i="20"/>
  <c r="AE80" i="20"/>
  <c r="H76" i="20"/>
  <c r="AF77" i="20"/>
  <c r="AF80" i="20"/>
  <c r="I25" i="18"/>
  <c r="F25" i="18"/>
  <c r="D29" i="24"/>
  <c r="FI29" i="62"/>
  <c r="D29" i="62" s="1"/>
  <c r="D28" i="62"/>
  <c r="D39" i="22"/>
  <c r="CX18" i="62"/>
  <c r="CJ48" i="62"/>
  <c r="DZ44" i="62"/>
  <c r="D32" i="24"/>
  <c r="AE529" i="45"/>
  <c r="AD531" i="45"/>
  <c r="AD530" i="45"/>
  <c r="AC18" i="19"/>
  <c r="AD18" i="19" s="1"/>
  <c r="D25" i="25"/>
  <c r="I24" i="24"/>
  <c r="F24" i="24"/>
  <c r="D39" i="21"/>
  <c r="CX30" i="5"/>
  <c r="D35" i="21"/>
  <c r="BH6" i="19"/>
  <c r="BI6" i="19"/>
  <c r="BI107" i="19" s="1"/>
  <c r="AA21" i="17" s="1"/>
  <c r="C39" i="17" s="1"/>
  <c r="BG6" i="19"/>
  <c r="C12" i="20"/>
  <c r="S15" i="15"/>
  <c r="U15" i="15" s="1"/>
  <c r="AG112" i="20"/>
  <c r="AG109" i="20"/>
  <c r="AM48" i="20"/>
  <c r="AM45" i="20"/>
  <c r="AO96" i="20"/>
  <c r="AO93" i="20"/>
  <c r="D36" i="25"/>
  <c r="F30" i="26"/>
  <c r="I30" i="26"/>
  <c r="D61" i="24"/>
  <c r="DZ51" i="5"/>
  <c r="EN51" i="5" s="1"/>
  <c r="BB6" i="19"/>
  <c r="EN54" i="5"/>
  <c r="FB54" i="5" s="1"/>
  <c r="DL43" i="62"/>
  <c r="DZ43" i="62" s="1"/>
  <c r="R154" i="16"/>
  <c r="R156" i="16" s="1"/>
  <c r="N154" i="16"/>
  <c r="N156" i="16" s="1"/>
  <c r="J154" i="16"/>
  <c r="J156" i="16" s="1"/>
  <c r="Q154" i="16"/>
  <c r="Q156" i="16" s="1"/>
  <c r="M154" i="16"/>
  <c r="M156" i="16" s="1"/>
  <c r="I154" i="16"/>
  <c r="I156" i="16" s="1"/>
  <c r="P154" i="16"/>
  <c r="P156" i="16" s="1"/>
  <c r="L154" i="16"/>
  <c r="L156" i="16" s="1"/>
  <c r="H154" i="16"/>
  <c r="H156" i="16" s="1"/>
  <c r="O154" i="16"/>
  <c r="O156" i="16" s="1"/>
  <c r="K154" i="16"/>
  <c r="K156" i="16" s="1"/>
  <c r="G154" i="16"/>
  <c r="AA102" i="31"/>
  <c r="V66" i="31"/>
  <c r="Q607" i="31"/>
  <c r="T79" i="31"/>
  <c r="V68" i="31"/>
  <c r="I592" i="31"/>
  <c r="L243" i="31"/>
  <c r="V240" i="31"/>
  <c r="AD58" i="31"/>
  <c r="V84" i="31"/>
  <c r="M551" i="31"/>
  <c r="V196" i="31"/>
  <c r="N50" i="31"/>
  <c r="M117" i="31"/>
  <c r="G266" i="31"/>
  <c r="W260" i="31"/>
  <c r="N78" i="31"/>
  <c r="S116" i="31"/>
  <c r="Q596" i="31"/>
  <c r="AD214" i="31"/>
  <c r="N72" i="31"/>
  <c r="U135" i="31"/>
  <c r="G258" i="31"/>
  <c r="O357" i="31"/>
  <c r="N92" i="31"/>
  <c r="K150" i="31"/>
  <c r="I308" i="31"/>
  <c r="AD365" i="31"/>
  <c r="V32" i="31"/>
  <c r="K617" i="31"/>
  <c r="S122" i="31"/>
  <c r="S357" i="31"/>
  <c r="AB81" i="31"/>
  <c r="AA130" i="31"/>
  <c r="Q518" i="31"/>
  <c r="N230" i="31"/>
  <c r="V86" i="31"/>
  <c r="AA150" i="31"/>
  <c r="AD327" i="31"/>
  <c r="S470" i="31"/>
  <c r="AD76" i="31"/>
  <c r="AA134" i="31"/>
  <c r="Q396" i="31"/>
  <c r="L225" i="31"/>
  <c r="AD78" i="31"/>
  <c r="AA146" i="31"/>
  <c r="M21" i="31"/>
  <c r="S592" i="31"/>
  <c r="N96" i="31"/>
  <c r="K146" i="31"/>
  <c r="I534" i="31"/>
  <c r="V244" i="31"/>
  <c r="T11" i="31"/>
  <c r="Q558" i="31"/>
  <c r="U83" i="31"/>
  <c r="S491" i="31"/>
  <c r="AD44" i="31"/>
  <c r="T185" i="31"/>
  <c r="M543" i="31"/>
  <c r="L38" i="31"/>
  <c r="T51" i="31"/>
  <c r="K535" i="31"/>
  <c r="J97" i="31"/>
  <c r="L512" i="31"/>
  <c r="Y326" i="31"/>
  <c r="M15" i="31"/>
  <c r="V148" i="31"/>
  <c r="M612" i="31"/>
  <c r="M91" i="31"/>
  <c r="N54" i="31"/>
  <c r="AB491" i="31"/>
  <c r="J139" i="31"/>
  <c r="AD138" i="31"/>
  <c r="I488" i="31"/>
  <c r="G581" i="31"/>
  <c r="K152" i="31"/>
  <c r="M95" i="31"/>
  <c r="AD234" i="31"/>
  <c r="U27" i="31"/>
  <c r="N151" i="31"/>
  <c r="AC91" i="31"/>
  <c r="T231" i="31"/>
  <c r="K294" i="31"/>
  <c r="S174" i="31"/>
  <c r="U105" i="31"/>
  <c r="L245" i="31"/>
  <c r="S22" i="31"/>
  <c r="H160" i="31"/>
  <c r="I514" i="31"/>
  <c r="S10" i="31"/>
  <c r="Q563" i="31"/>
  <c r="K532" i="31"/>
  <c r="L159" i="31"/>
  <c r="K524" i="31"/>
  <c r="N176" i="31"/>
  <c r="AB161" i="31"/>
  <c r="T139" i="31"/>
  <c r="AC510" i="31"/>
  <c r="AD92" i="31"/>
  <c r="T115" i="31"/>
  <c r="H164" i="31"/>
  <c r="K316" i="31"/>
  <c r="AC338" i="31"/>
  <c r="AD518" i="31"/>
  <c r="U159" i="31"/>
  <c r="G618" i="31"/>
  <c r="M229" i="31"/>
  <c r="R23" i="31"/>
  <c r="T235" i="31"/>
  <c r="L186" i="31"/>
  <c r="M187" i="31"/>
  <c r="P132" i="31"/>
  <c r="S186" i="31"/>
  <c r="S394" i="31"/>
  <c r="K200" i="31"/>
  <c r="R358" i="31"/>
  <c r="T491" i="31"/>
  <c r="K187" i="31"/>
  <c r="L227" i="31"/>
  <c r="K23" i="31"/>
  <c r="AC171" i="31"/>
  <c r="V222" i="31"/>
  <c r="AA88" i="31"/>
  <c r="G456" i="31"/>
  <c r="W510" i="31"/>
  <c r="U81" i="31"/>
  <c r="AC23" i="31"/>
  <c r="I433" i="31"/>
  <c r="S319" i="31"/>
  <c r="U276" i="31"/>
  <c r="Q381" i="31"/>
  <c r="AC11" i="31"/>
  <c r="H148" i="31"/>
  <c r="L205" i="31"/>
  <c r="U225" i="31"/>
  <c r="K246" i="31"/>
  <c r="V194" i="31"/>
  <c r="T174" i="31"/>
  <c r="W492" i="31"/>
  <c r="L182" i="31"/>
  <c r="W579" i="31"/>
  <c r="W617" i="31"/>
  <c r="V201" i="31"/>
  <c r="N163" i="31"/>
  <c r="V85" i="31"/>
  <c r="W334" i="31"/>
  <c r="U370" i="31"/>
  <c r="AD309" i="31"/>
  <c r="S379" i="31"/>
  <c r="G280" i="31"/>
  <c r="V235" i="31"/>
  <c r="G505" i="31"/>
  <c r="G513" i="31"/>
  <c r="K612" i="31"/>
  <c r="AA271" i="31"/>
  <c r="K383" i="31"/>
  <c r="AC37" i="31"/>
  <c r="I379" i="31"/>
  <c r="M57" i="31"/>
  <c r="M495" i="31"/>
  <c r="T59" i="31"/>
  <c r="U582" i="31"/>
  <c r="AC613" i="31"/>
  <c r="K480" i="31"/>
  <c r="U207" i="31"/>
  <c r="K240" i="31"/>
  <c r="AA162" i="31"/>
  <c r="AD281" i="31"/>
  <c r="AC564" i="31"/>
  <c r="Q577" i="31"/>
  <c r="P381" i="31"/>
  <c r="I583" i="31"/>
  <c r="Q378" i="31"/>
  <c r="S195" i="31"/>
  <c r="AC231" i="31"/>
  <c r="Z143" i="31"/>
  <c r="AD56" i="31"/>
  <c r="U523" i="31"/>
  <c r="Z117" i="31"/>
  <c r="U491" i="31"/>
  <c r="Q599" i="31"/>
  <c r="M332" i="31"/>
  <c r="S38" i="31"/>
  <c r="O545" i="31"/>
  <c r="K244" i="31"/>
  <c r="K495" i="31"/>
  <c r="U218" i="31"/>
  <c r="I270" i="31"/>
  <c r="R51" i="31"/>
  <c r="U470" i="31"/>
  <c r="N129" i="31"/>
  <c r="Q568" i="31"/>
  <c r="S499" i="31"/>
  <c r="AC155" i="31"/>
  <c r="AA75" i="31"/>
  <c r="Y336" i="31"/>
  <c r="M17" i="31"/>
  <c r="H577" i="31"/>
  <c r="AC34" i="31"/>
  <c r="Q311" i="31"/>
  <c r="Q312" i="31"/>
  <c r="Q290" i="31"/>
  <c r="R11" i="31"/>
  <c r="AC501" i="31"/>
  <c r="W560" i="31"/>
  <c r="AB251" i="31"/>
  <c r="S76" i="31"/>
  <c r="G298" i="31"/>
  <c r="AC95" i="31"/>
  <c r="G537" i="31"/>
  <c r="R45" i="31"/>
  <c r="AD52" i="31"/>
  <c r="T184" i="31"/>
  <c r="W322" i="31"/>
  <c r="W284" i="31"/>
  <c r="AB383" i="31"/>
  <c r="G477" i="31"/>
  <c r="AC339" i="31"/>
  <c r="M402" i="31"/>
  <c r="Q581" i="31"/>
  <c r="N170" i="31"/>
  <c r="Y579" i="31"/>
  <c r="U318" i="31"/>
  <c r="AC295" i="31"/>
  <c r="AB63" i="31"/>
  <c r="Y575" i="31"/>
  <c r="L69" i="31"/>
  <c r="AA164" i="31"/>
  <c r="P128" i="31"/>
  <c r="AB599" i="31"/>
  <c r="AC25" i="31"/>
  <c r="K196" i="31"/>
  <c r="S232" i="31"/>
  <c r="T187" i="31"/>
  <c r="L112" i="31"/>
  <c r="AB205" i="31"/>
  <c r="K70" i="31"/>
  <c r="Y272" i="31"/>
  <c r="AC233" i="31"/>
  <c r="U87" i="31"/>
  <c r="L83" i="31"/>
  <c r="N142" i="31"/>
  <c r="Q532" i="31"/>
  <c r="AC602" i="31"/>
  <c r="T73" i="31"/>
  <c r="Y318" i="31"/>
  <c r="T141" i="31"/>
  <c r="N186" i="31"/>
  <c r="V102" i="31"/>
  <c r="Y555" i="31"/>
  <c r="Q552" i="31"/>
  <c r="AC320" i="31"/>
  <c r="T95" i="31"/>
  <c r="AC603" i="31"/>
  <c r="L145" i="31"/>
  <c r="AD275" i="31"/>
  <c r="AB85" i="31"/>
  <c r="AC285" i="31"/>
  <c r="Q500" i="31"/>
  <c r="AD10" i="31"/>
  <c r="AB87" i="31"/>
  <c r="AC545" i="31"/>
  <c r="V162" i="31"/>
  <c r="AB197" i="31"/>
  <c r="AB135" i="31"/>
  <c r="G289" i="31"/>
  <c r="Y560" i="31"/>
  <c r="K30" i="31"/>
  <c r="AC570" i="31"/>
  <c r="S24" i="31"/>
  <c r="AC533" i="31"/>
  <c r="N133" i="31"/>
  <c r="L101" i="31"/>
  <c r="T15" i="31"/>
  <c r="U599" i="31"/>
  <c r="T39" i="31"/>
  <c r="L103" i="31"/>
  <c r="Y522" i="31"/>
  <c r="AD186" i="31"/>
  <c r="H102" i="31"/>
  <c r="T121" i="31"/>
  <c r="AB29" i="31"/>
  <c r="U516" i="31"/>
  <c r="Y612" i="31"/>
  <c r="N126" i="31"/>
  <c r="M274" i="31"/>
  <c r="AC143" i="31"/>
  <c r="L116" i="31"/>
  <c r="T117" i="31"/>
  <c r="AC612" i="31"/>
  <c r="Y497" i="31"/>
  <c r="AC15" i="31"/>
  <c r="Y550" i="31"/>
  <c r="M11" i="31"/>
  <c r="K162" i="31"/>
  <c r="J121" i="31"/>
  <c r="M113" i="31"/>
  <c r="AB249" i="31"/>
  <c r="AB191" i="31"/>
  <c r="S170" i="31"/>
  <c r="S112" i="31"/>
  <c r="L249" i="31"/>
  <c r="AC41" i="31"/>
  <c r="Y308" i="31"/>
  <c r="V70" i="31"/>
  <c r="L193" i="31"/>
  <c r="M486" i="31"/>
  <c r="Y583" i="31"/>
  <c r="AD60" i="31"/>
  <c r="I566" i="31"/>
  <c r="U199" i="31"/>
  <c r="AC325" i="31"/>
  <c r="AD90" i="31"/>
  <c r="T173" i="31"/>
  <c r="Q291" i="31"/>
  <c r="AC574" i="31"/>
  <c r="AB83" i="31"/>
  <c r="M289" i="31"/>
  <c r="U203" i="31"/>
  <c r="AC595" i="31"/>
  <c r="N74" i="31"/>
  <c r="AB195" i="31"/>
  <c r="Q495" i="31"/>
  <c r="AC592" i="31"/>
  <c r="N76" i="31"/>
  <c r="Q526" i="31"/>
  <c r="T154" i="31"/>
  <c r="AB27" i="31"/>
  <c r="AC500" i="31"/>
  <c r="M580" i="31"/>
  <c r="Y513" i="31"/>
  <c r="M475" i="31"/>
  <c r="Y296" i="31"/>
  <c r="M322" i="31"/>
  <c r="U588" i="31"/>
  <c r="Q618" i="31"/>
  <c r="U277" i="31"/>
  <c r="U479" i="31"/>
  <c r="Y595" i="31"/>
  <c r="AA84" i="31"/>
  <c r="L359" i="31"/>
  <c r="K209" i="31"/>
  <c r="AB131" i="31"/>
  <c r="W491" i="31"/>
  <c r="T137" i="31"/>
  <c r="M309" i="31"/>
  <c r="Z79" i="31"/>
  <c r="M273" i="31"/>
  <c r="U145" i="31"/>
  <c r="S558" i="31"/>
  <c r="AC582" i="31"/>
  <c r="N282" i="31"/>
  <c r="AA202" i="31"/>
  <c r="M503" i="31"/>
  <c r="K132" i="31"/>
  <c r="M494" i="31"/>
  <c r="AD124" i="31"/>
  <c r="AB147" i="31"/>
  <c r="AB33" i="31"/>
  <c r="V165" i="31"/>
  <c r="L67" i="31"/>
  <c r="Y591" i="31"/>
  <c r="S324" i="31"/>
  <c r="N191" i="31"/>
  <c r="R15" i="31"/>
  <c r="Q503" i="31"/>
  <c r="AA160" i="31"/>
  <c r="U361" i="31"/>
  <c r="K164" i="31"/>
  <c r="N122" i="31"/>
  <c r="W371" i="31"/>
  <c r="AC93" i="31"/>
  <c r="K211" i="31"/>
  <c r="R37" i="31"/>
  <c r="AD212" i="31"/>
  <c r="K269" i="31"/>
  <c r="N236" i="31"/>
  <c r="R55" i="31"/>
  <c r="H618" i="31"/>
  <c r="AC141" i="31"/>
  <c r="Z503" i="31"/>
  <c r="K276" i="31"/>
  <c r="K295" i="31"/>
  <c r="K566" i="31"/>
  <c r="K571" i="31"/>
  <c r="AD337" i="31"/>
  <c r="O473" i="31"/>
  <c r="K206" i="31"/>
  <c r="K198" i="31"/>
  <c r="AB418" i="31"/>
  <c r="S105" i="31"/>
  <c r="R378" i="31"/>
  <c r="J318" i="31"/>
  <c r="L474" i="31"/>
  <c r="U118" i="31"/>
  <c r="AA190" i="31"/>
  <c r="O346" i="31"/>
  <c r="AC185" i="31"/>
  <c r="W350" i="31"/>
  <c r="M613" i="31"/>
  <c r="AD14" i="31"/>
  <c r="N24" i="31"/>
  <c r="AC310" i="31"/>
  <c r="S56" i="31"/>
  <c r="W471" i="31"/>
  <c r="T58" i="31"/>
  <c r="R155" i="31"/>
  <c r="J374" i="31"/>
  <c r="AD172" i="31"/>
  <c r="AC169" i="31"/>
  <c r="G548" i="31"/>
  <c r="AC173" i="31"/>
  <c r="M64" i="31"/>
  <c r="W599" i="31"/>
  <c r="U101" i="31"/>
  <c r="S234" i="31"/>
  <c r="T214" i="31"/>
  <c r="U201" i="31"/>
  <c r="P150" i="31"/>
  <c r="AC215" i="31"/>
  <c r="K64" i="31"/>
  <c r="M363" i="31"/>
  <c r="L92" i="31"/>
  <c r="K242" i="31"/>
  <c r="L375" i="31"/>
  <c r="O490" i="31"/>
  <c r="S254" i="31"/>
  <c r="H222" i="31"/>
  <c r="H66" i="31"/>
  <c r="AA196" i="31"/>
  <c r="S365" i="31"/>
  <c r="U326" i="31"/>
  <c r="AB496" i="31"/>
  <c r="I603" i="31"/>
  <c r="Y441" i="31"/>
  <c r="AC217" i="31"/>
  <c r="M115" i="31"/>
  <c r="L498" i="31"/>
  <c r="Q248" i="31"/>
  <c r="O344" i="31"/>
  <c r="AD258" i="31"/>
  <c r="N505" i="31"/>
  <c r="AC408" i="31"/>
  <c r="AC229" i="31"/>
  <c r="J187" i="31"/>
  <c r="W348" i="31"/>
  <c r="Q252" i="31"/>
  <c r="K21" i="31"/>
  <c r="N262" i="31"/>
  <c r="AA240" i="31"/>
  <c r="M412" i="31"/>
  <c r="AC284" i="31"/>
  <c r="AA560" i="31"/>
  <c r="AB225" i="31"/>
  <c r="AD510" i="31"/>
  <c r="S114" i="31"/>
  <c r="Z125" i="31"/>
  <c r="X88" i="31"/>
  <c r="AC394" i="31"/>
  <c r="AC305" i="31"/>
  <c r="T13" i="31"/>
  <c r="N18" i="31"/>
  <c r="AC298" i="31"/>
  <c r="N22" i="31"/>
  <c r="T57" i="31"/>
  <c r="AC526" i="31"/>
  <c r="M556" i="31"/>
  <c r="AA342" i="31"/>
  <c r="AA59" i="31"/>
  <c r="S508" i="31"/>
  <c r="Q283" i="31"/>
  <c r="U172" i="31"/>
  <c r="AB101" i="31"/>
  <c r="S182" i="31"/>
  <c r="U151" i="31"/>
  <c r="I496" i="31"/>
  <c r="U554" i="31"/>
  <c r="AD20" i="31"/>
  <c r="N118" i="31"/>
  <c r="L161" i="31"/>
  <c r="AC19" i="31"/>
  <c r="N12" i="31"/>
  <c r="V106" i="31"/>
  <c r="I595" i="31"/>
  <c r="Q544" i="31"/>
  <c r="AC492" i="31"/>
  <c r="AD96" i="31"/>
  <c r="I491" i="31"/>
  <c r="M39" i="31"/>
  <c r="V30" i="31"/>
  <c r="AD126" i="31"/>
  <c r="I579" i="31"/>
  <c r="U379" i="31"/>
  <c r="T23" i="31"/>
  <c r="AD120" i="31"/>
  <c r="M592" i="31"/>
  <c r="K34" i="31"/>
  <c r="T43" i="31"/>
  <c r="AD140" i="31"/>
  <c r="AD170" i="31"/>
  <c r="Q371" i="31"/>
  <c r="AC483" i="31"/>
  <c r="L81" i="31"/>
  <c r="Q548" i="31"/>
  <c r="AA220" i="31"/>
  <c r="L33" i="31"/>
  <c r="V130" i="31"/>
  <c r="M532" i="31"/>
  <c r="U296" i="31"/>
  <c r="AD38" i="31"/>
  <c r="L135" i="31"/>
  <c r="M237" i="31"/>
  <c r="S50" i="31"/>
  <c r="L29" i="31"/>
  <c r="T125" i="31"/>
  <c r="I326" i="31"/>
  <c r="U498" i="31"/>
  <c r="L31" i="31"/>
  <c r="V128" i="31"/>
  <c r="AC518" i="31"/>
  <c r="AA68" i="31"/>
  <c r="T49" i="31"/>
  <c r="AB145" i="31"/>
  <c r="M327" i="31"/>
  <c r="M520" i="31"/>
  <c r="Y504" i="31"/>
  <c r="N58" i="31"/>
  <c r="Q536" i="31"/>
  <c r="AD480" i="31"/>
  <c r="AC277" i="31"/>
  <c r="T93" i="31"/>
  <c r="I602" i="31"/>
  <c r="Q332" i="31"/>
  <c r="AC472" i="31"/>
  <c r="L99" i="31"/>
  <c r="U559" i="31"/>
  <c r="AB167" i="31"/>
  <c r="AB159" i="31"/>
  <c r="N234" i="31"/>
  <c r="N52" i="31"/>
  <c r="AD12" i="31"/>
  <c r="S42" i="31"/>
  <c r="L27" i="31"/>
  <c r="S44" i="31"/>
  <c r="O480" i="31"/>
  <c r="T41" i="31"/>
  <c r="N10" i="31"/>
  <c r="AC237" i="31"/>
  <c r="AD184" i="31"/>
  <c r="S48" i="31"/>
  <c r="U103" i="31"/>
  <c r="T179" i="31"/>
  <c r="O284" i="31"/>
  <c r="M43" i="31"/>
  <c r="AB471" i="31"/>
  <c r="Q258" i="31"/>
  <c r="L203" i="31"/>
  <c r="AC57" i="31"/>
  <c r="AC123" i="31"/>
  <c r="AC578" i="31"/>
  <c r="G448" i="31"/>
  <c r="AD36" i="31"/>
  <c r="S138" i="31"/>
  <c r="M572" i="31"/>
  <c r="AD50" i="31"/>
  <c r="Z39" i="31"/>
  <c r="N180" i="31"/>
  <c r="N182" i="31"/>
  <c r="I613" i="31"/>
  <c r="N120" i="31"/>
  <c r="K192" i="31"/>
  <c r="N138" i="31"/>
  <c r="V160" i="31"/>
  <c r="AA252" i="31"/>
  <c r="U99" i="31"/>
  <c r="AA586" i="31"/>
  <c r="Q342" i="31"/>
  <c r="L236" i="31"/>
  <c r="K220" i="31"/>
  <c r="T229" i="31"/>
  <c r="V152" i="31"/>
  <c r="U578" i="31"/>
  <c r="W383" i="31"/>
  <c r="T94" i="31"/>
  <c r="N140" i="31"/>
  <c r="K155" i="31"/>
  <c r="AA204" i="31"/>
  <c r="M602" i="31"/>
  <c r="AA480" i="31"/>
  <c r="M375" i="31"/>
  <c r="S67" i="31"/>
  <c r="V519" i="31"/>
  <c r="G573" i="31"/>
  <c r="I546" i="31"/>
  <c r="J57" i="31"/>
  <c r="AD444" i="31"/>
  <c r="S307" i="31"/>
  <c r="Q240" i="31"/>
  <c r="H373" i="31"/>
  <c r="Q511" i="31"/>
  <c r="O517" i="31"/>
  <c r="AA166" i="31"/>
  <c r="J117" i="31"/>
  <c r="AD357" i="31"/>
  <c r="AD243" i="31"/>
  <c r="M37" i="31"/>
  <c r="V131" i="31"/>
  <c r="X404" i="31"/>
  <c r="AA121" i="31"/>
  <c r="T478" i="31"/>
  <c r="O259" i="31"/>
  <c r="AB434" i="31"/>
  <c r="Z217" i="31"/>
  <c r="AC235" i="31"/>
  <c r="X164" i="31"/>
  <c r="AD483" i="31"/>
  <c r="X66" i="31"/>
  <c r="Q317" i="31"/>
  <c r="S507" i="31"/>
  <c r="V491" i="31"/>
  <c r="U184" i="31"/>
  <c r="M59" i="31"/>
  <c r="W452" i="31"/>
  <c r="AD526" i="31"/>
  <c r="J17" i="31"/>
  <c r="M567" i="31"/>
  <c r="T18" i="31"/>
  <c r="G544" i="31"/>
  <c r="K106" i="31"/>
  <c r="AC121" i="31"/>
  <c r="S126" i="31"/>
  <c r="I591" i="31"/>
  <c r="T215" i="31"/>
  <c r="M534" i="31"/>
  <c r="N112" i="31"/>
  <c r="L63" i="31"/>
  <c r="T143" i="31"/>
  <c r="H196" i="31"/>
  <c r="X30" i="31"/>
  <c r="Q302" i="31"/>
  <c r="U163" i="31"/>
  <c r="V192" i="31"/>
  <c r="O365" i="31"/>
  <c r="AB149" i="31"/>
  <c r="AA534" i="31"/>
  <c r="V223" i="31"/>
  <c r="U124" i="31"/>
  <c r="AC525" i="31"/>
  <c r="S479" i="31"/>
  <c r="Y279" i="31"/>
  <c r="J169" i="31"/>
  <c r="S12" i="31"/>
  <c r="U564" i="31"/>
  <c r="J125" i="31"/>
  <c r="G322" i="31"/>
  <c r="G563" i="31"/>
  <c r="I307" i="31"/>
  <c r="AD122" i="31"/>
  <c r="AA248" i="31"/>
  <c r="AC537" i="31"/>
  <c r="O235" i="31"/>
  <c r="W472" i="31"/>
  <c r="N239" i="31"/>
  <c r="K222" i="31"/>
  <c r="M173" i="31"/>
  <c r="U221" i="31"/>
  <c r="Y613" i="31"/>
  <c r="AB243" i="31"/>
  <c r="Y533" i="31"/>
  <c r="J75" i="31"/>
  <c r="T170" i="31"/>
  <c r="T114" i="31"/>
  <c r="O372" i="31"/>
  <c r="R425" i="31"/>
  <c r="V489" i="31"/>
  <c r="L251" i="31"/>
  <c r="G446" i="31"/>
  <c r="L462" i="31"/>
  <c r="H204" i="31"/>
  <c r="Q275" i="31"/>
  <c r="R77" i="31"/>
  <c r="S176" i="31"/>
  <c r="AC150" i="31"/>
  <c r="S471" i="31"/>
  <c r="AC278" i="31"/>
  <c r="Z169" i="31"/>
  <c r="R175" i="31"/>
  <c r="T122" i="31"/>
  <c r="L176" i="31"/>
  <c r="K49" i="31"/>
  <c r="P194" i="31"/>
  <c r="AB426" i="31"/>
  <c r="V88" i="31"/>
  <c r="T91" i="31"/>
  <c r="AD110" i="31"/>
  <c r="AC473" i="31"/>
  <c r="AC509" i="31"/>
  <c r="U394" i="31"/>
  <c r="U308" i="31"/>
  <c r="T45" i="31"/>
  <c r="Q484" i="31"/>
  <c r="L230" i="31"/>
  <c r="K121" i="31"/>
  <c r="Q472" i="31"/>
  <c r="X134" i="31"/>
  <c r="Y602" i="31"/>
  <c r="X148" i="31"/>
  <c r="T19" i="31"/>
  <c r="AD400" i="31"/>
  <c r="M175" i="31"/>
  <c r="AB294" i="31"/>
  <c r="O605" i="31"/>
  <c r="V146" i="31"/>
  <c r="AA100" i="31"/>
  <c r="V34" i="31"/>
  <c r="U305" i="31"/>
  <c r="I571" i="31"/>
  <c r="U574" i="31"/>
  <c r="AD24" i="31"/>
  <c r="U285" i="31"/>
  <c r="Q519" i="31"/>
  <c r="AA66" i="31"/>
  <c r="AD54" i="31"/>
  <c r="U618" i="31"/>
  <c r="M562" i="31"/>
  <c r="Y521" i="31"/>
  <c r="AD48" i="31"/>
  <c r="Y287" i="31"/>
  <c r="Y496" i="31"/>
  <c r="S96" i="31"/>
  <c r="N38" i="31"/>
  <c r="U346" i="31"/>
  <c r="M511" i="31"/>
  <c r="Y489" i="31"/>
  <c r="N40" i="31"/>
  <c r="Y514" i="31"/>
  <c r="U545" i="31"/>
  <c r="AA250" i="31"/>
  <c r="L87" i="31"/>
  <c r="AD218" i="31"/>
  <c r="L149" i="31"/>
  <c r="T237" i="31"/>
  <c r="N174" i="31"/>
  <c r="V252" i="31"/>
  <c r="V224" i="31"/>
  <c r="O582" i="31"/>
  <c r="T53" i="31"/>
  <c r="Y307" i="31"/>
  <c r="M299" i="31"/>
  <c r="AC517" i="31"/>
  <c r="T55" i="31"/>
  <c r="AC549" i="31"/>
  <c r="Y297" i="31"/>
  <c r="K555" i="31"/>
  <c r="AD72" i="31"/>
  <c r="Y346" i="31"/>
  <c r="Q475" i="31"/>
  <c r="V164" i="31"/>
  <c r="T77" i="31"/>
  <c r="AD180" i="31"/>
  <c r="O578" i="31"/>
  <c r="K503" i="31"/>
  <c r="AB67" i="31"/>
  <c r="L147" i="31"/>
  <c r="L131" i="31"/>
  <c r="L223" i="31"/>
  <c r="N154" i="31"/>
  <c r="L239" i="31"/>
  <c r="L201" i="31"/>
  <c r="O610" i="31"/>
  <c r="U63" i="31"/>
  <c r="AA106" i="31"/>
  <c r="K252" i="31"/>
  <c r="L199" i="31"/>
  <c r="AC61" i="31"/>
  <c r="AC119" i="31"/>
  <c r="Y488" i="31"/>
  <c r="Q451" i="31"/>
  <c r="AD22" i="31"/>
  <c r="T113" i="31"/>
  <c r="I331" i="31"/>
  <c r="M25" i="31"/>
  <c r="N14" i="31"/>
  <c r="U29" i="31"/>
  <c r="AA148" i="31"/>
  <c r="W575" i="31"/>
  <c r="N42" i="31"/>
  <c r="K579" i="31"/>
  <c r="M595" i="31"/>
  <c r="K100" i="31"/>
  <c r="N36" i="31"/>
  <c r="G504" i="31"/>
  <c r="AA152" i="31"/>
  <c r="W546" i="31"/>
  <c r="T25" i="31"/>
  <c r="K508" i="31"/>
  <c r="I550" i="31"/>
  <c r="K104" i="31"/>
  <c r="V28" i="31"/>
  <c r="V200" i="31"/>
  <c r="R95" i="31"/>
  <c r="AB508" i="31"/>
  <c r="T75" i="31"/>
  <c r="I515" i="31"/>
  <c r="Q573" i="31"/>
  <c r="AD40" i="31"/>
  <c r="AD42" i="31"/>
  <c r="N60" i="31"/>
  <c r="AB65" i="31"/>
  <c r="N56" i="31"/>
  <c r="AB69" i="31"/>
  <c r="L105" i="31"/>
  <c r="N44" i="31"/>
  <c r="Y477" i="31"/>
  <c r="M231" i="31"/>
  <c r="AA525" i="31"/>
  <c r="T17" i="31"/>
  <c r="P503" i="31"/>
  <c r="Q485" i="31"/>
  <c r="R417" i="31"/>
  <c r="AC554" i="31"/>
  <c r="S36" i="31"/>
  <c r="N207" i="31"/>
  <c r="P32" i="31"/>
  <c r="AC493" i="31"/>
  <c r="S184" i="31"/>
  <c r="AD230" i="31"/>
  <c r="Z113" i="31"/>
  <c r="V190" i="31"/>
  <c r="Y263" i="31"/>
  <c r="V227" i="31"/>
  <c r="AC128" i="31"/>
  <c r="Y603" i="31"/>
  <c r="N167" i="31"/>
  <c r="L189" i="31"/>
  <c r="AA23" i="31"/>
  <c r="S216" i="31"/>
  <c r="AC175" i="31"/>
  <c r="P363" i="31"/>
  <c r="M220" i="31"/>
  <c r="T169" i="31"/>
  <c r="AA550" i="31"/>
  <c r="M155" i="31"/>
  <c r="M512" i="31"/>
  <c r="J411" i="31"/>
  <c r="M474" i="31"/>
  <c r="K86" i="31"/>
  <c r="M93" i="31"/>
  <c r="AA483" i="31"/>
  <c r="T211" i="31"/>
  <c r="AA337" i="31"/>
  <c r="H192" i="31"/>
  <c r="X327" i="31"/>
  <c r="K79" i="31"/>
  <c r="AA246" i="31"/>
  <c r="W555" i="31"/>
  <c r="T40" i="31"/>
  <c r="W507" i="31"/>
  <c r="J320" i="31"/>
  <c r="Z278" i="31"/>
  <c r="AA132" i="31"/>
  <c r="V145" i="31"/>
  <c r="S480" i="31"/>
  <c r="U85" i="31"/>
  <c r="AD264" i="31"/>
  <c r="AA104" i="31"/>
  <c r="K61" i="31"/>
  <c r="M97" i="31"/>
  <c r="J276" i="31"/>
  <c r="AB245" i="31"/>
  <c r="G262" i="31"/>
  <c r="O272" i="31"/>
  <c r="G271" i="31"/>
  <c r="O263" i="31"/>
  <c r="I336" i="31"/>
  <c r="I287" i="31"/>
  <c r="AD112" i="31"/>
  <c r="AD176" i="31"/>
  <c r="S18" i="31"/>
  <c r="AA32" i="31"/>
  <c r="K166" i="31"/>
  <c r="O297" i="31"/>
  <c r="AB255" i="31"/>
  <c r="S290" i="31"/>
  <c r="K224" i="31"/>
  <c r="Q425" i="31"/>
  <c r="M152" i="31"/>
  <c r="U12" i="31"/>
  <c r="AC97" i="31"/>
  <c r="L500" i="31"/>
  <c r="AB227" i="31"/>
  <c r="AA217" i="31"/>
  <c r="AD182" i="31"/>
  <c r="AC164" i="31"/>
  <c r="J512" i="31"/>
  <c r="S201" i="31"/>
  <c r="U480" i="31"/>
  <c r="R171" i="31"/>
  <c r="AB103" i="31"/>
  <c r="M585" i="31"/>
  <c r="K550" i="31"/>
  <c r="T155" i="31"/>
  <c r="AA498" i="31"/>
  <c r="K194" i="31"/>
  <c r="U69" i="31"/>
  <c r="R413" i="31"/>
  <c r="AA70" i="31"/>
  <c r="V246" i="31"/>
  <c r="S599" i="31"/>
  <c r="M171" i="31"/>
  <c r="S31" i="31"/>
  <c r="W325" i="31"/>
  <c r="AB488" i="31"/>
  <c r="N199" i="31"/>
  <c r="Y323" i="31"/>
  <c r="AA308" i="31"/>
  <c r="AA11" i="31"/>
  <c r="U264" i="31"/>
  <c r="T183" i="31"/>
  <c r="R211" i="31"/>
  <c r="L492" i="31"/>
  <c r="L212" i="31"/>
  <c r="M337" i="31"/>
  <c r="S413" i="31"/>
  <c r="K15" i="31"/>
  <c r="N232" i="31"/>
  <c r="L207" i="31"/>
  <c r="I411" i="31"/>
  <c r="H273" i="31"/>
  <c r="N334" i="31"/>
  <c r="O508" i="31"/>
  <c r="W418" i="31"/>
  <c r="T414" i="31"/>
  <c r="N210" i="31"/>
  <c r="G587" i="31"/>
  <c r="I589" i="31"/>
  <c r="I479" i="31"/>
  <c r="I478" i="31"/>
  <c r="U508" i="31"/>
  <c r="M587" i="31"/>
  <c r="N94" i="31"/>
  <c r="AC379" i="31"/>
  <c r="S548" i="31"/>
  <c r="AB509" i="31"/>
  <c r="U570" i="31"/>
  <c r="AC206" i="31"/>
  <c r="M111" i="31"/>
  <c r="AA19" i="31"/>
  <c r="I523" i="31"/>
  <c r="Z397" i="31"/>
  <c r="H291" i="31"/>
  <c r="M198" i="31"/>
  <c r="Y537" i="31"/>
  <c r="S20" i="31"/>
  <c r="S280" i="31"/>
  <c r="O598" i="31"/>
  <c r="J93" i="31"/>
  <c r="U149" i="31"/>
  <c r="T97" i="31"/>
  <c r="J179" i="31"/>
  <c r="Z13" i="31"/>
  <c r="M485" i="31"/>
  <c r="L133" i="31"/>
  <c r="Q303" i="31"/>
  <c r="U161" i="31"/>
  <c r="N124" i="31"/>
  <c r="P190" i="31"/>
  <c r="H434" i="31"/>
  <c r="S191" i="31"/>
  <c r="L247" i="31"/>
  <c r="V226" i="31"/>
  <c r="O294" i="31"/>
  <c r="S16" i="31"/>
  <c r="K82" i="31"/>
  <c r="AC51" i="31"/>
  <c r="G568" i="31"/>
  <c r="G422" i="31"/>
  <c r="V205" i="31"/>
  <c r="U268" i="31"/>
  <c r="W612" i="31"/>
  <c r="P273" i="31"/>
  <c r="R123" i="31"/>
  <c r="K423" i="31"/>
  <c r="K204" i="31"/>
  <c r="N350" i="31"/>
  <c r="P104" i="31"/>
  <c r="I274" i="31"/>
  <c r="W343" i="31"/>
  <c r="Z276" i="31"/>
  <c r="AD262" i="31"/>
  <c r="N225" i="31"/>
  <c r="Z93" i="31"/>
  <c r="W428" i="31"/>
  <c r="S310" i="31"/>
  <c r="Z364" i="31"/>
  <c r="S523" i="31"/>
  <c r="U295" i="31"/>
  <c r="AB522" i="31"/>
  <c r="M139" i="31"/>
  <c r="S154" i="31"/>
  <c r="AC183" i="31"/>
  <c r="N214" i="31"/>
  <c r="J183" i="31"/>
  <c r="M281" i="31"/>
  <c r="R41" i="31"/>
  <c r="U197" i="31"/>
  <c r="AA82" i="31"/>
  <c r="U490" i="31"/>
  <c r="U167" i="31"/>
  <c r="AA45" i="31"/>
  <c r="J113" i="31"/>
  <c r="U54" i="31"/>
  <c r="AA324" i="31"/>
  <c r="I359" i="31"/>
  <c r="N159" i="31"/>
  <c r="X130" i="31"/>
  <c r="AA86" i="31"/>
  <c r="V272" i="31"/>
  <c r="K102" i="31"/>
  <c r="AC68" i="31"/>
  <c r="K250" i="31"/>
  <c r="M125" i="31"/>
  <c r="W518" i="31"/>
  <c r="S65" i="31"/>
  <c r="S411" i="31"/>
  <c r="S465" i="49"/>
  <c r="K213" i="49"/>
  <c r="G533" i="31"/>
  <c r="W285" i="31"/>
  <c r="P339" i="31"/>
  <c r="W462" i="49"/>
  <c r="U235" i="49"/>
  <c r="X226" i="31"/>
  <c r="U515" i="31"/>
  <c r="H176" i="49"/>
  <c r="N502" i="31"/>
  <c r="AB384" i="31"/>
  <c r="AA169" i="31"/>
  <c r="AB207" i="31"/>
  <c r="X456" i="31"/>
  <c r="I443" i="49"/>
  <c r="W456" i="31"/>
  <c r="AA595" i="31"/>
  <c r="T50" i="31"/>
  <c r="L197" i="31"/>
  <c r="U65" i="31"/>
  <c r="T351" i="31"/>
  <c r="L309" i="31"/>
  <c r="Y319" i="31"/>
  <c r="AB193" i="31"/>
  <c r="K249" i="31"/>
  <c r="AB468" i="31"/>
  <c r="AB408" i="31"/>
  <c r="U38" i="31"/>
  <c r="R563" i="31"/>
  <c r="AC406" i="31"/>
  <c r="I421" i="49"/>
  <c r="V521" i="31"/>
  <c r="H60" i="49"/>
  <c r="AD396" i="31"/>
  <c r="L16" i="31"/>
  <c r="T10" i="31"/>
  <c r="AC484" i="31"/>
  <c r="M342" i="31"/>
  <c r="AC194" i="31"/>
  <c r="M215" i="31"/>
  <c r="U212" i="31"/>
  <c r="Q510" i="31"/>
  <c r="P86" i="31"/>
  <c r="U607" i="31"/>
  <c r="V166" i="31"/>
  <c r="Y505" i="31"/>
  <c r="AB332" i="31"/>
  <c r="G290" i="31"/>
  <c r="AA396" i="31"/>
  <c r="R19" i="31"/>
  <c r="O430" i="31"/>
  <c r="S110" i="31"/>
  <c r="O304" i="31"/>
  <c r="Q255" i="31"/>
  <c r="X337" i="31"/>
  <c r="P371" i="31"/>
  <c r="AB449" i="31"/>
  <c r="T458" i="31"/>
  <c r="U471" i="31"/>
  <c r="AA194" i="31"/>
  <c r="O414" i="31"/>
  <c r="O385" i="31"/>
  <c r="O330" i="31"/>
  <c r="AC82" i="31"/>
  <c r="R447" i="31"/>
  <c r="R455" i="31"/>
  <c r="J330" i="31"/>
  <c r="AC466" i="31"/>
  <c r="AC337" i="31"/>
  <c r="H327" i="31"/>
  <c r="L292" i="49"/>
  <c r="O408" i="31"/>
  <c r="U116" i="31"/>
  <c r="N336" i="31"/>
  <c r="H308" i="31"/>
  <c r="AD312" i="31"/>
  <c r="M200" i="31"/>
  <c r="T280" i="49"/>
  <c r="W453" i="49"/>
  <c r="J278" i="31"/>
  <c r="L490" i="31"/>
  <c r="V501" i="31"/>
  <c r="K55" i="31"/>
  <c r="Z374" i="31"/>
  <c r="AA446" i="49"/>
  <c r="AB265" i="49"/>
  <c r="P330" i="49"/>
  <c r="L454" i="31"/>
  <c r="P196" i="49"/>
  <c r="AB545" i="31"/>
  <c r="H334" i="31"/>
  <c r="AA453" i="31"/>
  <c r="Y407" i="31"/>
  <c r="AA443" i="31"/>
  <c r="AA454" i="49"/>
  <c r="N420" i="31"/>
  <c r="AA441" i="49"/>
  <c r="T252" i="31"/>
  <c r="AA73" i="31"/>
  <c r="R421" i="31"/>
  <c r="N116" i="31"/>
  <c r="U131" i="31"/>
  <c r="AC213" i="31"/>
  <c r="X152" i="31"/>
  <c r="L195" i="31"/>
  <c r="Y327" i="31"/>
  <c r="U191" i="31"/>
  <c r="R115" i="31"/>
  <c r="I612" i="31"/>
  <c r="K226" i="31"/>
  <c r="K91" i="31"/>
  <c r="M102" i="31"/>
  <c r="AA97" i="31"/>
  <c r="AA111" i="31"/>
  <c r="S285" i="31"/>
  <c r="S415" i="31"/>
  <c r="U247" i="31"/>
  <c r="S145" i="31"/>
  <c r="W269" i="31"/>
  <c r="U262" i="31"/>
  <c r="U129" i="31"/>
  <c r="AB269" i="31"/>
  <c r="X222" i="31"/>
  <c r="AA419" i="31"/>
  <c r="AC73" i="31"/>
  <c r="AA61" i="31"/>
  <c r="R401" i="31"/>
  <c r="AA403" i="49"/>
  <c r="AD373" i="49"/>
  <c r="X106" i="31"/>
  <c r="K175" i="31"/>
  <c r="AA41" i="31"/>
  <c r="AB353" i="31"/>
  <c r="H404" i="49"/>
  <c r="U180" i="31"/>
  <c r="AB524" i="31"/>
  <c r="U142" i="31"/>
  <c r="AD594" i="31"/>
  <c r="S92" i="31"/>
  <c r="V444" i="31"/>
  <c r="P465" i="49"/>
  <c r="T573" i="31"/>
  <c r="O574" i="31"/>
  <c r="R13" i="49"/>
  <c r="P322" i="31"/>
  <c r="AA242" i="31"/>
  <c r="M45" i="31"/>
  <c r="AD408" i="31"/>
  <c r="H343" i="31"/>
  <c r="H551" i="49"/>
  <c r="U227" i="31"/>
  <c r="T287" i="31"/>
  <c r="V486" i="31"/>
  <c r="O283" i="31"/>
  <c r="AA55" i="31"/>
  <c r="R431" i="31"/>
  <c r="K511" i="31"/>
  <c r="V489" i="49"/>
  <c r="Q362" i="31"/>
  <c r="K179" i="31"/>
  <c r="V135" i="31"/>
  <c r="AA57" i="31"/>
  <c r="AC404" i="31"/>
  <c r="S58" i="31"/>
  <c r="U214" i="31"/>
  <c r="AA501" i="31"/>
  <c r="AA493" i="31"/>
  <c r="V82" i="31"/>
  <c r="AD331" i="31"/>
  <c r="K28" i="31"/>
  <c r="H22" i="49"/>
  <c r="AB316" i="31"/>
  <c r="AD282" i="31"/>
  <c r="J403" i="31"/>
  <c r="AC162" i="31"/>
  <c r="S439" i="49"/>
  <c r="Z167" i="49"/>
  <c r="L463" i="31"/>
  <c r="J29" i="49"/>
  <c r="X369" i="31"/>
  <c r="G420" i="31"/>
  <c r="H547" i="49"/>
  <c r="S498" i="31"/>
  <c r="AB241" i="31"/>
  <c r="Q588" i="31"/>
  <c r="I346" i="31"/>
  <c r="T37" i="31"/>
  <c r="Z183" i="31"/>
  <c r="O231" i="31"/>
  <c r="H468" i="31"/>
  <c r="K190" i="31"/>
  <c r="AB201" i="31"/>
  <c r="M302" i="31"/>
  <c r="O319" i="31"/>
  <c r="AC53" i="31"/>
  <c r="G488" i="31"/>
  <c r="I575" i="31"/>
  <c r="I499" i="31"/>
  <c r="AD74" i="31"/>
  <c r="V189" i="31"/>
  <c r="S214" i="31"/>
  <c r="Q492" i="31"/>
  <c r="N147" i="31"/>
  <c r="U507" i="31"/>
  <c r="P432" i="31"/>
  <c r="S552" i="31"/>
  <c r="U617" i="31"/>
  <c r="R73" i="31"/>
  <c r="S14" i="31"/>
  <c r="G489" i="31"/>
  <c r="Z209" i="31"/>
  <c r="K59" i="31"/>
  <c r="K171" i="31"/>
  <c r="G558" i="31"/>
  <c r="J25" i="31"/>
  <c r="R111" i="31"/>
  <c r="O535" i="31"/>
  <c r="J457" i="31"/>
  <c r="AC148" i="31"/>
  <c r="I507" i="31"/>
  <c r="U205" i="31"/>
  <c r="U259" i="31"/>
  <c r="V495" i="31"/>
  <c r="AD266" i="31"/>
  <c r="U341" i="31"/>
  <c r="U270" i="31"/>
  <c r="U18" i="31"/>
  <c r="M123" i="31"/>
  <c r="S120" i="31"/>
  <c r="M213" i="31"/>
  <c r="V132" i="31"/>
  <c r="K475" i="31"/>
  <c r="S52" i="31"/>
  <c r="O525" i="31"/>
  <c r="H152" i="31"/>
  <c r="AB463" i="31"/>
  <c r="L65" i="31"/>
  <c r="I471" i="31"/>
  <c r="M75" i="31"/>
  <c r="I279" i="31"/>
  <c r="N90" i="31"/>
  <c r="L255" i="31"/>
  <c r="K84" i="31"/>
  <c r="AA200" i="31"/>
  <c r="K13" i="31"/>
  <c r="G297" i="31"/>
  <c r="W275" i="31"/>
  <c r="V31" i="31"/>
  <c r="K264" i="31"/>
  <c r="K284" i="31"/>
  <c r="K560" i="31"/>
  <c r="N247" i="31"/>
  <c r="K599" i="31"/>
  <c r="G590" i="31"/>
  <c r="W466" i="49"/>
  <c r="AD233" i="49"/>
  <c r="O570" i="31"/>
  <c r="AD294" i="31"/>
  <c r="M438" i="31"/>
  <c r="W216" i="49"/>
  <c r="G257" i="49"/>
  <c r="AA437" i="49"/>
  <c r="K349" i="31"/>
  <c r="AD189" i="49"/>
  <c r="J518" i="31"/>
  <c r="AA415" i="49"/>
  <c r="K447" i="31"/>
  <c r="AA192" i="31"/>
  <c r="X200" i="49"/>
  <c r="Q351" i="31"/>
  <c r="T401" i="31"/>
  <c r="H365" i="31"/>
  <c r="AB618" i="31"/>
  <c r="M235" i="31"/>
  <c r="K66" i="31"/>
  <c r="U138" i="31"/>
  <c r="AA49" i="31"/>
  <c r="L282" i="49"/>
  <c r="S124" i="31"/>
  <c r="J445" i="31"/>
  <c r="U114" i="31"/>
  <c r="H312" i="31"/>
  <c r="M86" i="31"/>
  <c r="Z587" i="31"/>
  <c r="U426" i="31"/>
  <c r="W449" i="49"/>
  <c r="N294" i="31"/>
  <c r="P84" i="49"/>
  <c r="G352" i="31"/>
  <c r="U58" i="31"/>
  <c r="J386" i="31"/>
  <c r="M185" i="31"/>
  <c r="N114" i="31"/>
  <c r="L96" i="31"/>
  <c r="AC115" i="31"/>
  <c r="AD154" i="31"/>
  <c r="O470" i="31"/>
  <c r="K202" i="31"/>
  <c r="M169" i="31"/>
  <c r="Z97" i="31"/>
  <c r="M211" i="31"/>
  <c r="AC111" i="31"/>
  <c r="P220" i="31"/>
  <c r="U549" i="31"/>
  <c r="AD249" i="31"/>
  <c r="K277" i="31"/>
  <c r="AC86" i="31"/>
  <c r="M19" i="31"/>
  <c r="K380" i="31"/>
  <c r="K11" i="31"/>
  <c r="V255" i="31"/>
  <c r="AB494" i="31"/>
  <c r="AB589" i="31"/>
  <c r="AA17" i="31"/>
  <c r="S405" i="31"/>
  <c r="S336" i="31"/>
  <c r="T259" i="31"/>
  <c r="AA608" i="31"/>
  <c r="AB568" i="49"/>
  <c r="L433" i="31"/>
  <c r="M53" i="31"/>
  <c r="U120" i="31"/>
  <c r="Z139" i="31"/>
  <c r="AA566" i="31"/>
  <c r="T480" i="31"/>
  <c r="H544" i="31"/>
  <c r="O549" i="31"/>
  <c r="O375" i="31"/>
  <c r="AC410" i="31"/>
  <c r="AC117" i="31"/>
  <c r="V332" i="31"/>
  <c r="O358" i="31"/>
  <c r="R552" i="31"/>
  <c r="J53" i="31"/>
  <c r="AA123" i="31"/>
  <c r="AC28" i="31"/>
  <c r="T363" i="31"/>
  <c r="AC179" i="31"/>
  <c r="U50" i="31"/>
  <c r="R372" i="31"/>
  <c r="H457" i="49"/>
  <c r="S172" i="31"/>
  <c r="T257" i="31"/>
  <c r="M150" i="31"/>
  <c r="H260" i="31"/>
  <c r="T240" i="31"/>
  <c r="P449" i="31"/>
  <c r="P548" i="49"/>
  <c r="R574" i="31"/>
  <c r="S159" i="31"/>
  <c r="R17" i="49"/>
  <c r="P326" i="31"/>
  <c r="J61" i="31"/>
  <c r="X192" i="31"/>
  <c r="T217" i="31"/>
  <c r="AD232" i="31"/>
  <c r="S612" i="31"/>
  <c r="S395" i="31"/>
  <c r="U325" i="31"/>
  <c r="X345" i="31"/>
  <c r="J39" i="31"/>
  <c r="Q449" i="31"/>
  <c r="J143" i="31"/>
  <c r="N20" i="31"/>
  <c r="M179" i="31"/>
  <c r="N203" i="31"/>
  <c r="Y571" i="31"/>
  <c r="G496" i="31"/>
  <c r="AB499" i="31"/>
  <c r="N251" i="31"/>
  <c r="R91" i="31"/>
  <c r="Z403" i="31"/>
  <c r="J407" i="31"/>
  <c r="W304" i="31"/>
  <c r="K169" i="31"/>
  <c r="W515" i="31"/>
  <c r="W602" i="31"/>
  <c r="N216" i="31"/>
  <c r="W335" i="31"/>
  <c r="W566" i="31"/>
  <c r="W607" i="31"/>
  <c r="U260" i="31"/>
  <c r="AD334" i="31"/>
  <c r="H346" i="49"/>
  <c r="AC198" i="31"/>
  <c r="N304" i="31"/>
  <c r="AA77" i="31"/>
  <c r="R439" i="31"/>
  <c r="H296" i="49"/>
  <c r="AA449" i="31"/>
  <c r="R284" i="31"/>
  <c r="U182" i="31"/>
  <c r="T270" i="31"/>
  <c r="AA226" i="31"/>
  <c r="AD533" i="31"/>
  <c r="P290" i="49"/>
  <c r="K212" i="49"/>
  <c r="L24" i="31"/>
  <c r="X36" i="49"/>
  <c r="Z274" i="31"/>
  <c r="U216" i="31"/>
  <c r="R326" i="31"/>
  <c r="I358" i="31"/>
  <c r="Z360" i="31"/>
  <c r="H593" i="49"/>
  <c r="AB278" i="31"/>
  <c r="T299" i="31"/>
  <c r="J504" i="31"/>
  <c r="AC45" i="31"/>
  <c r="M192" i="31"/>
  <c r="Z545" i="31"/>
  <c r="O493" i="31"/>
  <c r="I455" i="49"/>
  <c r="Y433" i="31"/>
  <c r="R43" i="49"/>
  <c r="T14" i="31"/>
  <c r="G595" i="31"/>
  <c r="R215" i="31"/>
  <c r="AD18" i="31"/>
  <c r="AC166" i="31"/>
  <c r="W500" i="31"/>
  <c r="S94" i="31"/>
  <c r="S329" i="31"/>
  <c r="AB129" i="31"/>
  <c r="AD142" i="31"/>
  <c r="M406" i="31"/>
  <c r="R338" i="31"/>
  <c r="AB457" i="31"/>
  <c r="P552" i="49"/>
  <c r="L191" i="31"/>
  <c r="G217" i="49"/>
  <c r="U18" i="49"/>
  <c r="T381" i="31"/>
  <c r="O468" i="31"/>
  <c r="U10" i="31"/>
  <c r="Y431" i="31"/>
  <c r="H589" i="49"/>
  <c r="AD253" i="31"/>
  <c r="AD236" i="31"/>
  <c r="U499" i="31"/>
  <c r="I394" i="31"/>
  <c r="Z43" i="31"/>
  <c r="I323" i="31"/>
  <c r="P414" i="31"/>
  <c r="AA215" i="31"/>
  <c r="AB151" i="31"/>
  <c r="AA490" i="31"/>
  <c r="M385" i="31"/>
  <c r="U251" i="31"/>
  <c r="M160" i="31"/>
  <c r="I257" i="31"/>
  <c r="AC70" i="31"/>
  <c r="I296" i="31"/>
  <c r="L56" i="31"/>
  <c r="N184" i="31"/>
  <c r="H493" i="31"/>
  <c r="S78" i="31"/>
  <c r="U16" i="31"/>
  <c r="U596" i="31"/>
  <c r="I265" i="31"/>
  <c r="K421" i="31"/>
  <c r="P502" i="31"/>
  <c r="Y278" i="31"/>
  <c r="Q349" i="31"/>
  <c r="U165" i="31"/>
  <c r="K25" i="31"/>
  <c r="Q608" i="31"/>
  <c r="M79" i="31"/>
  <c r="K148" i="31"/>
  <c r="AD505" i="31"/>
  <c r="M143" i="31"/>
  <c r="W352" i="31"/>
  <c r="Y259" i="31"/>
  <c r="S29" i="31"/>
  <c r="Y383" i="31"/>
  <c r="J173" i="31"/>
  <c r="G307" i="31"/>
  <c r="P28" i="31"/>
  <c r="G332" i="31"/>
  <c r="N33" i="31"/>
  <c r="AA262" i="31"/>
  <c r="R346" i="31"/>
  <c r="K134" i="31"/>
  <c r="V64" i="31"/>
  <c r="AD216" i="31"/>
  <c r="M41" i="31"/>
  <c r="I522" i="31"/>
  <c r="K248" i="31"/>
  <c r="W264" i="31"/>
  <c r="S339" i="31"/>
  <c r="U243" i="31"/>
  <c r="AC361" i="31"/>
  <c r="V525" i="31"/>
  <c r="T261" i="31"/>
  <c r="N258" i="31"/>
  <c r="L269" i="31"/>
  <c r="L510" i="31"/>
  <c r="N16" i="31"/>
  <c r="M217" i="31"/>
  <c r="M181" i="31"/>
  <c r="J449" i="31"/>
  <c r="K115" i="31"/>
  <c r="X448" i="31"/>
  <c r="X325" i="31"/>
  <c r="Z463" i="31"/>
  <c r="S212" i="31"/>
  <c r="AB470" i="31"/>
  <c r="R322" i="31"/>
  <c r="K260" i="31"/>
  <c r="W224" i="49"/>
  <c r="W257" i="49"/>
  <c r="AB203" i="31"/>
  <c r="AB253" i="31"/>
  <c r="Z437" i="31"/>
  <c r="R25" i="49"/>
  <c r="O360" i="31"/>
  <c r="G418" i="31"/>
  <c r="T123" i="31"/>
  <c r="L231" i="49"/>
  <c r="S225" i="31"/>
  <c r="AD504" i="31"/>
  <c r="K13" i="49"/>
  <c r="X160" i="31"/>
  <c r="Z548" i="31"/>
  <c r="J610" i="31"/>
  <c r="N454" i="31"/>
  <c r="T180" i="31"/>
  <c r="X34" i="31"/>
  <c r="M61" i="31"/>
  <c r="P202" i="31"/>
  <c r="AB474" i="31"/>
  <c r="J427" i="31"/>
  <c r="AC113" i="31"/>
  <c r="M100" i="31"/>
  <c r="S409" i="31"/>
  <c r="T450" i="31"/>
  <c r="T110" i="31"/>
  <c r="T349" i="31"/>
  <c r="S362" i="31"/>
  <c r="N554" i="31"/>
  <c r="AA171" i="31"/>
  <c r="K139" i="31"/>
  <c r="M32" i="31"/>
  <c r="O291" i="31"/>
  <c r="S516" i="31"/>
  <c r="G592" i="31"/>
  <c r="AB31" i="31"/>
  <c r="S54" i="31"/>
  <c r="Q262" i="31"/>
  <c r="H200" i="31"/>
  <c r="P206" i="31"/>
  <c r="AB133" i="31"/>
  <c r="S83" i="31"/>
  <c r="AC211" i="31"/>
  <c r="L163" i="31"/>
  <c r="V242" i="31"/>
  <c r="AA517" i="31"/>
  <c r="M183" i="31"/>
  <c r="AB232" i="31"/>
  <c r="AB165" i="31"/>
  <c r="V100" i="31"/>
  <c r="U223" i="31"/>
  <c r="Z57" i="31"/>
  <c r="AB479" i="31"/>
  <c r="X70" i="31"/>
  <c r="AC181" i="31"/>
  <c r="T76" i="31"/>
  <c r="V104" i="31"/>
  <c r="O466" i="31"/>
  <c r="S135" i="31"/>
  <c r="Z53" i="31"/>
  <c r="T90" i="31"/>
  <c r="M34" i="31"/>
  <c r="H345" i="31"/>
  <c r="R443" i="31"/>
  <c r="K73" i="31"/>
  <c r="K419" i="31"/>
  <c r="K373" i="31"/>
  <c r="P166" i="31"/>
  <c r="L494" i="31"/>
  <c r="U272" i="31"/>
  <c r="AA278" i="31"/>
  <c r="AA546" i="31"/>
  <c r="V233" i="31"/>
  <c r="N212" i="31"/>
  <c r="Z423" i="31"/>
  <c r="U373" i="31"/>
  <c r="G454" i="49"/>
  <c r="K575" i="31"/>
  <c r="U174" i="31"/>
  <c r="U40" i="31"/>
  <c r="M202" i="31"/>
  <c r="V308" i="31"/>
  <c r="S85" i="31"/>
  <c r="J453" i="31"/>
  <c r="H288" i="49"/>
  <c r="T250" i="31"/>
  <c r="V292" i="31"/>
  <c r="M190" i="31"/>
  <c r="T274" i="31"/>
  <c r="AB365" i="31"/>
  <c r="AD537" i="31"/>
  <c r="P590" i="49"/>
  <c r="K467" i="49"/>
  <c r="U258" i="31"/>
  <c r="X40" i="49"/>
  <c r="L241" i="31"/>
  <c r="AC220" i="31"/>
  <c r="Z330" i="31"/>
  <c r="W454" i="31"/>
  <c r="S142" i="31"/>
  <c r="AC209" i="31"/>
  <c r="U33" i="31"/>
  <c r="Z213" i="31"/>
  <c r="AB421" i="31"/>
  <c r="AA516" i="31"/>
  <c r="S74" i="31"/>
  <c r="G329" i="31"/>
  <c r="M547" i="31"/>
  <c r="AD297" i="31"/>
  <c r="N298" i="31"/>
  <c r="AB285" i="31"/>
  <c r="AB307" i="31"/>
  <c r="K143" i="31"/>
  <c r="N280" i="31"/>
  <c r="I297" i="31"/>
  <c r="I284" i="31"/>
  <c r="L271" i="31"/>
  <c r="AB498" i="31"/>
  <c r="AA417" i="31"/>
  <c r="I345" i="31"/>
  <c r="AD118" i="31"/>
  <c r="AA21" i="31"/>
  <c r="S118" i="31"/>
  <c r="AA209" i="31"/>
  <c r="Z318" i="31"/>
  <c r="AB517" i="31"/>
  <c r="J348" i="31"/>
  <c r="R342" i="31"/>
  <c r="V515" i="31"/>
  <c r="I463" i="31"/>
  <c r="U90" i="31"/>
  <c r="J463" i="31"/>
  <c r="L422" i="49"/>
  <c r="M226" i="31"/>
  <c r="T297" i="31"/>
  <c r="M194" i="31"/>
  <c r="R283" i="31"/>
  <c r="S433" i="31"/>
  <c r="AC43" i="31"/>
  <c r="T465" i="49"/>
  <c r="M452" i="49"/>
  <c r="X378" i="31"/>
  <c r="P146" i="31"/>
  <c r="K345" i="31"/>
  <c r="K88" i="31"/>
  <c r="U241" i="31"/>
  <c r="I380" i="31"/>
  <c r="R395" i="31"/>
  <c r="L596" i="49"/>
  <c r="O559" i="31"/>
  <c r="V316" i="31"/>
  <c r="Z518" i="31"/>
  <c r="T140" i="31"/>
  <c r="U74" i="31"/>
  <c r="H576" i="31"/>
  <c r="AB331" i="31"/>
  <c r="J546" i="49"/>
  <c r="AD280" i="31"/>
  <c r="X72" i="49"/>
  <c r="H84" i="31"/>
  <c r="T311" i="31"/>
  <c r="U452" i="31"/>
  <c r="Q617" i="31"/>
  <c r="W550" i="31"/>
  <c r="I369" i="31"/>
  <c r="H34" i="31"/>
  <c r="O438" i="31"/>
  <c r="X283" i="31"/>
  <c r="K77" i="31"/>
  <c r="L526" i="31"/>
  <c r="H568" i="49"/>
  <c r="N259" i="31"/>
  <c r="Q489" i="49"/>
  <c r="K51" i="31"/>
  <c r="AA423" i="31"/>
  <c r="AD289" i="31"/>
  <c r="X56" i="49"/>
  <c r="G478" i="31"/>
  <c r="AC32" i="31"/>
  <c r="Q445" i="31"/>
  <c r="L592" i="49"/>
  <c r="L12" i="31"/>
  <c r="I555" i="31"/>
  <c r="M233" i="31"/>
  <c r="N218" i="31"/>
  <c r="W571" i="31"/>
  <c r="T233" i="31"/>
  <c r="W526" i="31"/>
  <c r="R324" i="31"/>
  <c r="AB378" i="31"/>
  <c r="AA139" i="31"/>
  <c r="S218" i="31"/>
  <c r="Y589" i="31"/>
  <c r="Q271" i="31"/>
  <c r="L232" i="31"/>
  <c r="M132" i="31"/>
  <c r="AB247" i="31"/>
  <c r="Z173" i="31"/>
  <c r="N48" i="31"/>
  <c r="AC222" i="31"/>
  <c r="S236" i="31"/>
  <c r="T126" i="31"/>
  <c r="V134" i="31"/>
  <c r="AA587" i="31"/>
  <c r="K583" i="31"/>
  <c r="J360" i="31"/>
  <c r="AD420" i="31"/>
  <c r="AA30" i="31"/>
  <c r="G426" i="31"/>
  <c r="L42" i="31"/>
  <c r="N172" i="31"/>
  <c r="J209" i="31"/>
  <c r="H408" i="31"/>
  <c r="O509" i="31"/>
  <c r="W422" i="31"/>
  <c r="Z187" i="31"/>
  <c r="AD369" i="31"/>
  <c r="AB460" i="31"/>
  <c r="AC49" i="31"/>
  <c r="R59" i="31"/>
  <c r="U24" i="31"/>
  <c r="U257" i="31"/>
  <c r="AC330" i="31"/>
  <c r="T265" i="31"/>
  <c r="U253" i="31"/>
  <c r="M119" i="31"/>
  <c r="U133" i="31"/>
  <c r="AD452" i="31"/>
  <c r="M28" i="31"/>
  <c r="V149" i="31"/>
  <c r="AB415" i="31"/>
  <c r="O483" i="31"/>
  <c r="S568" i="31"/>
  <c r="S147" i="31"/>
  <c r="S524" i="31"/>
  <c r="AB199" i="31"/>
  <c r="M519" i="31"/>
  <c r="U67" i="31"/>
  <c r="AC55" i="31"/>
  <c r="V202" i="31"/>
  <c r="G608" i="31"/>
  <c r="K117" i="31"/>
  <c r="M312" i="31"/>
  <c r="Z419" i="31"/>
  <c r="G497" i="31"/>
  <c r="U110" i="31"/>
  <c r="K592" i="31"/>
  <c r="AA113" i="31"/>
  <c r="Z17" i="31"/>
  <c r="AA588" i="31"/>
  <c r="Q266" i="31"/>
  <c r="T36" i="31"/>
  <c r="N101" i="31"/>
  <c r="AA579" i="31"/>
  <c r="M404" i="31"/>
  <c r="U42" i="31"/>
  <c r="Y371" i="31"/>
  <c r="S461" i="49"/>
  <c r="X214" i="49"/>
  <c r="K417" i="31"/>
  <c r="U234" i="31"/>
  <c r="P164" i="49"/>
  <c r="X485" i="31"/>
  <c r="U269" i="31"/>
  <c r="K119" i="31"/>
  <c r="P457" i="31"/>
  <c r="T612" i="31"/>
  <c r="Q455" i="31"/>
  <c r="I409" i="31"/>
  <c r="H24" i="49"/>
  <c r="Y461" i="31"/>
  <c r="S563" i="31"/>
  <c r="AD349" i="31"/>
  <c r="L420" i="31"/>
  <c r="T295" i="31"/>
  <c r="R451" i="31"/>
  <c r="O268" i="31"/>
  <c r="S199" i="31"/>
  <c r="L385" i="31"/>
  <c r="X430" i="31"/>
  <c r="O329" i="31"/>
  <c r="Z453" i="31"/>
  <c r="AA380" i="31"/>
  <c r="G450" i="49"/>
  <c r="W458" i="31"/>
  <c r="AC190" i="31"/>
  <c r="AA43" i="31"/>
  <c r="S205" i="31"/>
  <c r="N312" i="31"/>
  <c r="M55" i="31"/>
  <c r="M502" i="31"/>
  <c r="H383" i="31"/>
  <c r="Y566" i="31"/>
  <c r="P458" i="31"/>
  <c r="L167" i="31"/>
  <c r="J217" i="31"/>
  <c r="AC21" i="31"/>
  <c r="K68" i="31"/>
  <c r="S163" i="31"/>
  <c r="S298" i="31"/>
  <c r="G351" i="31"/>
  <c r="H134" i="31"/>
  <c r="S72" i="31"/>
  <c r="AA555" i="31"/>
  <c r="L78" i="31"/>
  <c r="AA508" i="31"/>
  <c r="Y357" i="31"/>
  <c r="V193" i="31"/>
  <c r="T484" i="31"/>
  <c r="W400" i="31"/>
  <c r="O318" i="31"/>
  <c r="T210" i="31"/>
  <c r="AB373" i="31"/>
  <c r="L216" i="31"/>
  <c r="R465" i="31"/>
  <c r="G363" i="31"/>
  <c r="M70" i="31"/>
  <c r="J423" i="31"/>
  <c r="K591" i="31"/>
  <c r="U282" i="31"/>
  <c r="Y403" i="31"/>
  <c r="W303" i="31"/>
  <c r="O276" i="31"/>
  <c r="AB516" i="31"/>
  <c r="I407" i="31"/>
  <c r="P162" i="31"/>
  <c r="AA295" i="31"/>
  <c r="N245" i="31"/>
  <c r="N479" i="31"/>
  <c r="AA175" i="31"/>
  <c r="S403" i="31"/>
  <c r="I425" i="49"/>
  <c r="L508" i="31"/>
  <c r="Y463" i="31"/>
  <c r="AA198" i="31"/>
  <c r="G281" i="31"/>
  <c r="S180" i="31"/>
  <c r="K97" i="31"/>
  <c r="O320" i="31"/>
  <c r="L465" i="49"/>
  <c r="V248" i="31"/>
  <c r="L307" i="31"/>
  <c r="AC200" i="31"/>
  <c r="P288" i="31"/>
  <c r="U428" i="31"/>
  <c r="AC412" i="31"/>
  <c r="T591" i="49"/>
  <c r="M448" i="49"/>
  <c r="T384" i="31"/>
  <c r="U263" i="31"/>
  <c r="H426" i="31"/>
  <c r="S602" i="31"/>
  <c r="O316" i="31"/>
  <c r="T213" i="31"/>
  <c r="AD210" i="31"/>
  <c r="AA224" i="31"/>
  <c r="Y478" i="31"/>
  <c r="T22" i="31"/>
  <c r="M121" i="31"/>
  <c r="Z433" i="31"/>
  <c r="Q322" i="31"/>
  <c r="V198" i="31"/>
  <c r="M23" i="31"/>
  <c r="H30" i="31"/>
  <c r="S573" i="31"/>
  <c r="S607" i="31"/>
  <c r="O353" i="31"/>
  <c r="AA187" i="31"/>
  <c r="AD174" i="31"/>
  <c r="T119" i="31"/>
  <c r="W499" i="31"/>
  <c r="G339" i="31"/>
  <c r="P64" i="31"/>
  <c r="K602" i="31"/>
  <c r="N69" i="31"/>
  <c r="K485" i="31"/>
  <c r="AA281" i="31"/>
  <c r="T244" i="31"/>
  <c r="L52" i="31"/>
  <c r="T44" i="31"/>
  <c r="Y364" i="31"/>
  <c r="Z370" i="31"/>
  <c r="U14" i="31"/>
  <c r="AA51" i="31"/>
  <c r="R368" i="31"/>
  <c r="AA467" i="49"/>
  <c r="P261" i="49"/>
  <c r="P338" i="49"/>
  <c r="N508" i="31"/>
  <c r="X192" i="49"/>
  <c r="L521" i="31"/>
  <c r="J329" i="31"/>
  <c r="AA457" i="31"/>
  <c r="M84" i="31"/>
  <c r="S439" i="31"/>
  <c r="AA458" i="49"/>
  <c r="R414" i="31"/>
  <c r="K113" i="31"/>
  <c r="W484" i="31"/>
  <c r="S69" i="31"/>
  <c r="J415" i="31"/>
  <c r="R15" i="49"/>
  <c r="T118" i="31"/>
  <c r="AC13" i="31"/>
  <c r="P406" i="31"/>
  <c r="T213" i="49"/>
  <c r="S230" i="31"/>
  <c r="AC59" i="31"/>
  <c r="U456" i="31"/>
  <c r="G437" i="49"/>
  <c r="R546" i="31"/>
  <c r="V606" i="31"/>
  <c r="P423" i="31"/>
  <c r="X118" i="49"/>
  <c r="G396" i="31"/>
  <c r="AA473" i="31"/>
  <c r="W535" i="31"/>
  <c r="Z61" i="31"/>
  <c r="O339" i="31"/>
  <c r="M51" i="31"/>
  <c r="U52" i="31"/>
  <c r="AB163" i="31"/>
  <c r="Y363" i="31"/>
  <c r="Z427" i="31"/>
  <c r="U36" i="31"/>
  <c r="AA39" i="31"/>
  <c r="U239" i="31"/>
  <c r="V67" i="31"/>
  <c r="AA386" i="31"/>
  <c r="S243" i="31"/>
  <c r="AA125" i="31"/>
  <c r="Y415" i="31"/>
  <c r="S297" i="31"/>
  <c r="AA407" i="49"/>
  <c r="AD353" i="49"/>
  <c r="P280" i="49"/>
  <c r="L402" i="31"/>
  <c r="Y254" i="31"/>
  <c r="Z467" i="31"/>
  <c r="X264" i="31"/>
  <c r="S401" i="31"/>
  <c r="X447" i="31"/>
  <c r="P348" i="49"/>
  <c r="L575" i="31"/>
  <c r="S247" i="31"/>
  <c r="H16" i="49"/>
  <c r="Z319" i="31"/>
  <c r="X479" i="31"/>
  <c r="P440" i="31"/>
  <c r="G454" i="31"/>
  <c r="X116" i="49"/>
  <c r="Y367" i="31"/>
  <c r="AD602" i="31"/>
  <c r="K241" i="31"/>
  <c r="P370" i="49"/>
  <c r="N29" i="31"/>
  <c r="I437" i="31"/>
  <c r="R121" i="49"/>
  <c r="X334" i="31"/>
  <c r="M440" i="31"/>
  <c r="N494" i="31"/>
  <c r="H578" i="31"/>
  <c r="P514" i="49"/>
  <c r="L253" i="31"/>
  <c r="N302" i="31"/>
  <c r="V335" i="31"/>
  <c r="P134" i="49"/>
  <c r="N253" i="31"/>
  <c r="N537" i="31"/>
  <c r="G403" i="49"/>
  <c r="T455" i="49"/>
  <c r="L85" i="31"/>
  <c r="L353" i="31"/>
  <c r="X124" i="49"/>
  <c r="M130" i="49"/>
  <c r="AB588" i="49"/>
  <c r="K39" i="49"/>
  <c r="J562" i="31"/>
  <c r="H521" i="49"/>
  <c r="L517" i="31"/>
  <c r="M434" i="31"/>
  <c r="V150" i="31"/>
  <c r="M576" i="31"/>
  <c r="L151" i="31"/>
  <c r="U249" i="31"/>
  <c r="AB239" i="31"/>
  <c r="K39" i="31"/>
  <c r="AB492" i="31"/>
  <c r="N195" i="31"/>
  <c r="V352" i="31"/>
  <c r="H418" i="31"/>
  <c r="P594" i="49"/>
  <c r="G577" i="31"/>
  <c r="AD237" i="49"/>
  <c r="M30" i="49"/>
  <c r="X361" i="31"/>
  <c r="AD488" i="31"/>
  <c r="S413" i="49"/>
  <c r="U231" i="49"/>
  <c r="AA367" i="31"/>
  <c r="U290" i="31"/>
  <c r="H172" i="49"/>
  <c r="R492" i="31"/>
  <c r="S591" i="31"/>
  <c r="S151" i="31"/>
  <c r="H556" i="31"/>
  <c r="K253" i="31"/>
  <c r="I451" i="49"/>
  <c r="Q443" i="31"/>
  <c r="X54" i="49"/>
  <c r="X394" i="31"/>
  <c r="Q244" i="31"/>
  <c r="I430" i="49"/>
  <c r="J359" i="31"/>
  <c r="H129" i="49"/>
  <c r="AC432" i="31"/>
  <c r="U420" i="31"/>
  <c r="K407" i="49"/>
  <c r="S64" i="49"/>
  <c r="Z383" i="31"/>
  <c r="AB525" i="31"/>
  <c r="Z135" i="49"/>
  <c r="S159" i="49"/>
  <c r="U12" i="49"/>
  <c r="K59" i="49"/>
  <c r="P593" i="31"/>
  <c r="L384" i="49"/>
  <c r="N307" i="31"/>
  <c r="S418" i="49"/>
  <c r="H325" i="31"/>
  <c r="S270" i="31"/>
  <c r="R362" i="31"/>
  <c r="R583" i="31"/>
  <c r="P329" i="31"/>
  <c r="AC292" i="31"/>
  <c r="U92" i="31"/>
  <c r="H76" i="49"/>
  <c r="H200" i="49"/>
  <c r="G348" i="31"/>
  <c r="K17" i="31"/>
  <c r="AA211" i="31"/>
  <c r="T504" i="31"/>
  <c r="H106" i="31"/>
  <c r="W316" i="31"/>
  <c r="W294" i="31"/>
  <c r="AA128" i="31"/>
  <c r="Z49" i="31"/>
  <c r="R384" i="31"/>
  <c r="I364" i="31"/>
  <c r="I261" i="31"/>
  <c r="AB407" i="31"/>
  <c r="T335" i="31"/>
  <c r="AD350" i="31"/>
  <c r="L615" i="49"/>
  <c r="V287" i="31"/>
  <c r="J544" i="49"/>
  <c r="T303" i="31"/>
  <c r="AA420" i="49"/>
  <c r="V291" i="31"/>
  <c r="L568" i="49"/>
  <c r="X102" i="31"/>
  <c r="W396" i="49"/>
  <c r="P257" i="49"/>
  <c r="L500" i="49"/>
  <c r="I374" i="31"/>
  <c r="R187" i="49"/>
  <c r="Z512" i="31"/>
  <c r="X296" i="31"/>
  <c r="X500" i="49"/>
  <c r="AC440" i="31"/>
  <c r="T380" i="49"/>
  <c r="S444" i="49"/>
  <c r="Z404" i="31"/>
  <c r="I352" i="31"/>
  <c r="J370" i="31"/>
  <c r="AB236" i="31"/>
  <c r="M88" i="31"/>
  <c r="V30" i="49"/>
  <c r="X87" i="49"/>
  <c r="AC460" i="31"/>
  <c r="G433" i="49"/>
  <c r="Z567" i="49"/>
  <c r="M31" i="49"/>
  <c r="J438" i="31"/>
  <c r="H126" i="49"/>
  <c r="U74" i="49"/>
  <c r="K123" i="49"/>
  <c r="X596" i="49"/>
  <c r="Q241" i="49"/>
  <c r="Z582" i="31"/>
  <c r="AB322" i="31"/>
  <c r="AC187" i="31"/>
  <c r="K363" i="31"/>
  <c r="V34" i="49"/>
  <c r="Z92" i="49"/>
  <c r="P100" i="31"/>
  <c r="Y437" i="31"/>
  <c r="J570" i="49"/>
  <c r="S34" i="49"/>
  <c r="AA95" i="31"/>
  <c r="V509" i="31"/>
  <c r="K75" i="49"/>
  <c r="AA38" i="49"/>
  <c r="AC85" i="49"/>
  <c r="X241" i="49"/>
  <c r="T583" i="31"/>
  <c r="P277" i="31"/>
  <c r="S149" i="31"/>
  <c r="O440" i="31"/>
  <c r="L522" i="31"/>
  <c r="Z407" i="31"/>
  <c r="K130" i="31"/>
  <c r="S27" i="31"/>
  <c r="V511" i="31"/>
  <c r="Z380" i="31"/>
  <c r="K57" i="31"/>
  <c r="N87" i="31"/>
  <c r="X464" i="31"/>
  <c r="M204" i="31"/>
  <c r="X562" i="31"/>
  <c r="H357" i="31"/>
  <c r="G420" i="49"/>
  <c r="H122" i="49"/>
  <c r="J585" i="31"/>
  <c r="J87" i="49"/>
  <c r="AC104" i="31"/>
  <c r="AA115" i="31"/>
  <c r="K141" i="31"/>
  <c r="P396" i="31"/>
  <c r="W448" i="31"/>
  <c r="O412" i="31"/>
  <c r="X24" i="49"/>
  <c r="I465" i="31"/>
  <c r="R53" i="49"/>
  <c r="S265" i="49"/>
  <c r="Z526" i="31"/>
  <c r="J559" i="31"/>
  <c r="Y217" i="49"/>
  <c r="N337" i="31"/>
  <c r="G248" i="49"/>
  <c r="Z129" i="49"/>
  <c r="J589" i="31"/>
  <c r="H372" i="31"/>
  <c r="Z438" i="31"/>
  <c r="H56" i="49"/>
  <c r="L195" i="49"/>
  <c r="O417" i="49"/>
  <c r="AA397" i="49"/>
  <c r="Z544" i="49"/>
  <c r="AB195" i="49"/>
  <c r="P152" i="49"/>
  <c r="Q204" i="49"/>
  <c r="AD578" i="31"/>
  <c r="V196" i="49"/>
  <c r="M209" i="31"/>
  <c r="O524" i="31"/>
  <c r="X438" i="31"/>
  <c r="T563" i="31"/>
  <c r="H378" i="31"/>
  <c r="X443" i="31"/>
  <c r="R59" i="49"/>
  <c r="J198" i="49"/>
  <c r="O394" i="49"/>
  <c r="X12" i="49"/>
  <c r="H418" i="49"/>
  <c r="Z198" i="49"/>
  <c r="Z159" i="49"/>
  <c r="W207" i="49"/>
  <c r="V261" i="31"/>
  <c r="T199" i="49"/>
  <c r="V473" i="31"/>
  <c r="X412" i="31"/>
  <c r="T486" i="31"/>
  <c r="X567" i="31"/>
  <c r="L386" i="31"/>
  <c r="H451" i="31"/>
  <c r="P66" i="49"/>
  <c r="U215" i="49"/>
  <c r="S452" i="49"/>
  <c r="X18" i="49"/>
  <c r="H378" i="49"/>
  <c r="AB215" i="49"/>
  <c r="Z165" i="49"/>
  <c r="I217" i="49"/>
  <c r="J263" i="31"/>
  <c r="L215" i="49"/>
  <c r="Z412" i="31"/>
  <c r="X69" i="49"/>
  <c r="AA16" i="49"/>
  <c r="S103" i="49"/>
  <c r="AA138" i="49"/>
  <c r="W349" i="49"/>
  <c r="S202" i="49"/>
  <c r="AB431" i="31"/>
  <c r="M339" i="31"/>
  <c r="T278" i="31"/>
  <c r="T246" i="31"/>
  <c r="T536" i="31"/>
  <c r="P494" i="49"/>
  <c r="K446" i="49"/>
  <c r="K369" i="31"/>
  <c r="R39" i="49"/>
  <c r="L446" i="31"/>
  <c r="M206" i="31"/>
  <c r="G233" i="31"/>
  <c r="U56" i="31"/>
  <c r="J112" i="49"/>
  <c r="K45" i="31"/>
  <c r="H564" i="31"/>
  <c r="I254" i="31"/>
  <c r="K50" i="49"/>
  <c r="AB452" i="31"/>
  <c r="P68" i="49"/>
  <c r="J133" i="49"/>
  <c r="K141" i="49"/>
  <c r="AB472" i="49"/>
  <c r="AA43" i="49"/>
  <c r="J576" i="31"/>
  <c r="N249" i="31"/>
  <c r="AC372" i="31"/>
  <c r="I412" i="49"/>
  <c r="P350" i="31"/>
  <c r="X129" i="49"/>
  <c r="AA427" i="31"/>
  <c r="L234" i="31"/>
  <c r="K437" i="49"/>
  <c r="X422" i="49"/>
  <c r="AA317" i="31"/>
  <c r="L472" i="31"/>
  <c r="R137" i="49"/>
  <c r="AA278" i="49"/>
  <c r="U117" i="49"/>
  <c r="S164" i="49"/>
  <c r="V493" i="49"/>
  <c r="P447" i="49"/>
  <c r="N327" i="31"/>
  <c r="W402" i="49"/>
  <c r="L129" i="31"/>
  <c r="J213" i="31"/>
  <c r="T111" i="31"/>
  <c r="U147" i="31"/>
  <c r="T171" i="31"/>
  <c r="Y546" i="31"/>
  <c r="J79" i="31"/>
  <c r="K213" i="31"/>
  <c r="H597" i="49"/>
  <c r="Z273" i="31"/>
  <c r="I460" i="49"/>
  <c r="M141" i="31"/>
  <c r="AB234" i="31"/>
  <c r="U348" i="31"/>
  <c r="I438" i="49"/>
  <c r="K317" i="31"/>
  <c r="W414" i="49"/>
  <c r="Z251" i="49"/>
  <c r="AA119" i="31"/>
  <c r="X204" i="31"/>
  <c r="X184" i="49"/>
  <c r="T509" i="31"/>
  <c r="U126" i="31"/>
  <c r="AC88" i="31"/>
  <c r="H580" i="31"/>
  <c r="Z320" i="31"/>
  <c r="AA91" i="31"/>
  <c r="AD296" i="31"/>
  <c r="X76" i="49"/>
  <c r="AB374" i="31"/>
  <c r="M162" i="31"/>
  <c r="G450" i="31"/>
  <c r="L407" i="31"/>
  <c r="AB194" i="49"/>
  <c r="K457" i="31"/>
  <c r="H10" i="49"/>
  <c r="W457" i="49"/>
  <c r="AC462" i="31"/>
  <c r="P419" i="31"/>
  <c r="R95" i="49"/>
  <c r="P266" i="31"/>
  <c r="H574" i="31"/>
  <c r="J69" i="49"/>
  <c r="H326" i="49"/>
  <c r="N605" i="31"/>
  <c r="Y397" i="31"/>
  <c r="AA445" i="31"/>
  <c r="K337" i="31"/>
  <c r="P31" i="49"/>
  <c r="V88" i="49"/>
  <c r="S467" i="31"/>
  <c r="G240" i="49"/>
  <c r="J612" i="49"/>
  <c r="AC31" i="49"/>
  <c r="H447" i="31"/>
  <c r="K519" i="31"/>
  <c r="U72" i="49"/>
  <c r="K121" i="49"/>
  <c r="M83" i="49"/>
  <c r="AA234" i="49"/>
  <c r="N580" i="31"/>
  <c r="L518" i="31"/>
  <c r="K125" i="31"/>
  <c r="I415" i="31"/>
  <c r="Z75" i="31"/>
  <c r="H130" i="31"/>
  <c r="AC17" i="31"/>
  <c r="L165" i="31"/>
  <c r="V513" i="31"/>
  <c r="AA28" i="31"/>
  <c r="S409" i="49"/>
  <c r="AC132" i="31"/>
  <c r="K137" i="31"/>
  <c r="AD298" i="31"/>
  <c r="N266" i="31"/>
  <c r="N243" i="31"/>
  <c r="AC360" i="31"/>
  <c r="K443" i="31"/>
  <c r="R406" i="31"/>
  <c r="X84" i="31"/>
  <c r="G319" i="31"/>
  <c r="K386" i="31"/>
  <c r="O432" i="31"/>
  <c r="N83" i="31"/>
  <c r="AA596" i="31"/>
  <c r="Y242" i="31"/>
  <c r="H337" i="31"/>
  <c r="W276" i="31"/>
  <c r="G428" i="31"/>
  <c r="V550" i="31"/>
  <c r="T611" i="31"/>
  <c r="P82" i="31"/>
  <c r="H400" i="31"/>
  <c r="R185" i="49"/>
  <c r="X578" i="31"/>
  <c r="R75" i="49"/>
  <c r="P295" i="49"/>
  <c r="S99" i="31"/>
  <c r="Z445" i="31"/>
  <c r="J13" i="31"/>
  <c r="W611" i="49"/>
  <c r="I386" i="31"/>
  <c r="Q423" i="31"/>
  <c r="W450" i="31"/>
  <c r="AC224" i="31"/>
  <c r="Q353" i="31"/>
  <c r="S221" i="31"/>
  <c r="AC369" i="31"/>
  <c r="H184" i="49"/>
  <c r="N110" i="31"/>
  <c r="S193" i="31"/>
  <c r="N264" i="31"/>
  <c r="Z103" i="49"/>
  <c r="G522" i="31"/>
  <c r="R462" i="31"/>
  <c r="R498" i="31"/>
  <c r="L608" i="49"/>
  <c r="AB221" i="31"/>
  <c r="K245" i="31"/>
  <c r="L520" i="31"/>
  <c r="H324" i="31"/>
  <c r="T546" i="49"/>
  <c r="U10" i="49"/>
  <c r="X570" i="31"/>
  <c r="L203" i="49"/>
  <c r="AA173" i="31"/>
  <c r="P298" i="49"/>
  <c r="AC125" i="31"/>
  <c r="Z386" i="31"/>
  <c r="P450" i="31"/>
  <c r="G596" i="31"/>
  <c r="AD336" i="31"/>
  <c r="M128" i="31"/>
  <c r="O368" i="31"/>
  <c r="T316" i="31"/>
  <c r="H52" i="49"/>
  <c r="X52" i="49"/>
  <c r="X312" i="31"/>
  <c r="N200" i="49"/>
  <c r="H120" i="49"/>
  <c r="P320" i="49"/>
  <c r="J343" i="31"/>
  <c r="X515" i="49"/>
  <c r="Y465" i="31"/>
  <c r="R110" i="49"/>
  <c r="S165" i="31"/>
  <c r="K490" i="31"/>
  <c r="T371" i="31"/>
  <c r="AA48" i="49"/>
  <c r="I461" i="31"/>
  <c r="V471" i="31"/>
  <c r="AD477" i="31"/>
  <c r="S133" i="49"/>
  <c r="AB615" i="49"/>
  <c r="K37" i="49"/>
  <c r="H567" i="31"/>
  <c r="L533" i="49"/>
  <c r="P130" i="49"/>
  <c r="P490" i="49"/>
  <c r="X348" i="31"/>
  <c r="P518" i="49"/>
  <c r="AA185" i="49"/>
  <c r="O249" i="49"/>
  <c r="R50" i="49"/>
  <c r="Z360" i="49"/>
  <c r="Q250" i="49"/>
  <c r="AC439" i="49"/>
  <c r="R616" i="49"/>
  <c r="M311" i="49"/>
  <c r="X167" i="49"/>
  <c r="AB229" i="49"/>
  <c r="AC88" i="49"/>
  <c r="V273" i="49"/>
  <c r="X101" i="49"/>
  <c r="K42" i="49"/>
  <c r="S131" i="49"/>
  <c r="X523" i="49"/>
  <c r="M190" i="49"/>
  <c r="H253" i="49"/>
  <c r="R54" i="49"/>
  <c r="P361" i="49"/>
  <c r="U467" i="49"/>
  <c r="AC413" i="49"/>
  <c r="Z579" i="49"/>
  <c r="AC311" i="49"/>
  <c r="Z172" i="49"/>
  <c r="U233" i="49"/>
  <c r="AC86" i="49"/>
  <c r="R365" i="49"/>
  <c r="H105" i="49"/>
  <c r="AA44" i="49"/>
  <c r="M134" i="49"/>
  <c r="L535" i="49"/>
  <c r="K187" i="49"/>
  <c r="P252" i="49"/>
  <c r="J52" i="49"/>
  <c r="AC515" i="31"/>
  <c r="Q232" i="49"/>
  <c r="AC426" i="49"/>
  <c r="R505" i="49"/>
  <c r="H179" i="31"/>
  <c r="R170" i="49"/>
  <c r="S229" i="49"/>
  <c r="S87" i="49"/>
  <c r="W591" i="31"/>
  <c r="G502" i="31"/>
  <c r="V11" i="31"/>
  <c r="I327" i="49"/>
  <c r="R373" i="49"/>
  <c r="X58" i="31"/>
  <c r="H118" i="31"/>
  <c r="Y358" i="31"/>
  <c r="M369" i="31"/>
  <c r="T292" i="31"/>
  <c r="X364" i="49"/>
  <c r="K427" i="31"/>
  <c r="T495" i="49"/>
  <c r="M444" i="49"/>
  <c r="J383" i="31"/>
  <c r="AB358" i="31"/>
  <c r="N485" i="31"/>
  <c r="U112" i="31"/>
  <c r="Q401" i="31"/>
  <c r="N381" i="31"/>
  <c r="H180" i="49"/>
  <c r="AA93" i="31"/>
  <c r="P588" i="31"/>
  <c r="S216" i="49"/>
  <c r="U448" i="31"/>
  <c r="K37" i="31"/>
  <c r="X92" i="49"/>
  <c r="R169" i="49"/>
  <c r="X417" i="31"/>
  <c r="L511" i="31"/>
  <c r="J285" i="31"/>
  <c r="K441" i="49"/>
  <c r="K607" i="31"/>
  <c r="AA575" i="31"/>
  <c r="T209" i="31"/>
  <c r="N257" i="31"/>
  <c r="P566" i="31"/>
  <c r="K453" i="31"/>
  <c r="AD597" i="31"/>
  <c r="V265" i="31"/>
  <c r="R573" i="31"/>
  <c r="AC130" i="31"/>
  <c r="J103" i="49"/>
  <c r="AC68" i="49"/>
  <c r="U118" i="49"/>
  <c r="X592" i="49"/>
  <c r="P227" i="49"/>
  <c r="Z576" i="31"/>
  <c r="AD247" i="31"/>
  <c r="T248" i="31"/>
  <c r="AC100" i="31"/>
  <c r="M603" i="31"/>
  <c r="U524" i="31"/>
  <c r="U536" i="31"/>
  <c r="AD241" i="31"/>
  <c r="AB518" i="31"/>
  <c r="AB535" i="31"/>
  <c r="O212" i="49"/>
  <c r="H323" i="31"/>
  <c r="M464" i="31"/>
  <c r="M13" i="31"/>
  <c r="X200" i="31"/>
  <c r="AD305" i="31"/>
  <c r="M137" i="31"/>
  <c r="U176" i="31"/>
  <c r="O464" i="31"/>
  <c r="K546" i="31"/>
  <c r="R21" i="49"/>
  <c r="Z179" i="31"/>
  <c r="L20" i="31"/>
  <c r="P351" i="31"/>
  <c r="AD220" i="49"/>
  <c r="R185" i="31"/>
  <c r="S490" i="31"/>
  <c r="AB384" i="49"/>
  <c r="G411" i="49"/>
  <c r="L547" i="31"/>
  <c r="P607" i="31"/>
  <c r="L437" i="31"/>
  <c r="X122" i="49"/>
  <c r="X172" i="49"/>
  <c r="V81" i="31"/>
  <c r="G371" i="31"/>
  <c r="J56" i="49"/>
  <c r="S378" i="31"/>
  <c r="P453" i="31"/>
  <c r="G441" i="49"/>
  <c r="Z571" i="49"/>
  <c r="S255" i="31"/>
  <c r="X16" i="49"/>
  <c r="R113" i="49"/>
  <c r="K95" i="49"/>
  <c r="U53" i="49"/>
  <c r="AB350" i="49"/>
  <c r="Y271" i="49"/>
  <c r="N608" i="31"/>
  <c r="N189" i="49"/>
  <c r="U444" i="31"/>
  <c r="U154" i="31"/>
  <c r="U210" i="31"/>
  <c r="M106" i="31"/>
  <c r="AC84" i="31"/>
  <c r="P616" i="31"/>
  <c r="K217" i="31"/>
  <c r="Y405" i="31"/>
  <c r="I431" i="31"/>
  <c r="Q457" i="31"/>
  <c r="G452" i="31"/>
  <c r="R405" i="31"/>
  <c r="P466" i="31"/>
  <c r="S167" i="31"/>
  <c r="N199" i="49"/>
  <c r="AC134" i="31"/>
  <c r="P424" i="49"/>
  <c r="AC77" i="31"/>
  <c r="AA509" i="31"/>
  <c r="AC204" i="31"/>
  <c r="S161" i="31"/>
  <c r="AC559" i="31"/>
  <c r="Y268" i="31"/>
  <c r="AA64" i="31"/>
  <c r="AB231" i="49"/>
  <c r="M372" i="31"/>
  <c r="AB309" i="31"/>
  <c r="S189" i="31"/>
  <c r="V475" i="31"/>
  <c r="AA463" i="49"/>
  <c r="R193" i="49"/>
  <c r="U424" i="31"/>
  <c r="K291" i="31"/>
  <c r="S206" i="49"/>
  <c r="AA213" i="49"/>
  <c r="AB230" i="31"/>
  <c r="S251" i="31"/>
  <c r="J163" i="49"/>
  <c r="H479" i="31"/>
  <c r="AB439" i="31"/>
  <c r="G613" i="31"/>
  <c r="T461" i="31"/>
  <c r="X422" i="31"/>
  <c r="N607" i="31"/>
  <c r="L221" i="31"/>
  <c r="Z27" i="49"/>
  <c r="N477" i="31"/>
  <c r="T513" i="31"/>
  <c r="Z197" i="49"/>
  <c r="X196" i="31"/>
  <c r="V102" i="49"/>
  <c r="M148" i="31"/>
  <c r="J549" i="31"/>
  <c r="Z25" i="31"/>
  <c r="AA42" i="49"/>
  <c r="W446" i="31"/>
  <c r="R55" i="49"/>
  <c r="O462" i="31"/>
  <c r="AC134" i="49"/>
  <c r="AB592" i="49"/>
  <c r="U38" i="49"/>
  <c r="V568" i="31"/>
  <c r="H525" i="49"/>
  <c r="Y250" i="31"/>
  <c r="J556" i="31"/>
  <c r="AB490" i="31"/>
  <c r="V106" i="49"/>
  <c r="S257" i="31"/>
  <c r="AC400" i="31"/>
  <c r="T515" i="31"/>
  <c r="K48" i="49"/>
  <c r="S590" i="31"/>
  <c r="O460" i="31"/>
  <c r="AB617" i="31"/>
  <c r="S135" i="49"/>
  <c r="U97" i="49"/>
  <c r="M147" i="49"/>
  <c r="R570" i="31"/>
  <c r="J467" i="31"/>
  <c r="Z269" i="31"/>
  <c r="G407" i="49"/>
  <c r="AC139" i="31"/>
  <c r="U94" i="31"/>
  <c r="S265" i="31"/>
  <c r="P493" i="31"/>
  <c r="J437" i="31"/>
  <c r="T406" i="31"/>
  <c r="L555" i="31"/>
  <c r="L222" i="49"/>
  <c r="AA34" i="31"/>
  <c r="G521" i="31"/>
  <c r="T607" i="49"/>
  <c r="AD116" i="31"/>
  <c r="V27" i="31"/>
  <c r="AA143" i="31"/>
  <c r="X284" i="49"/>
  <c r="U186" i="31"/>
  <c r="R201" i="49"/>
  <c r="AB532" i="31"/>
  <c r="N241" i="31"/>
  <c r="R579" i="31"/>
  <c r="Y205" i="49"/>
  <c r="U343" i="31"/>
  <c r="R402" i="31"/>
  <c r="AD304" i="31"/>
  <c r="X140" i="49"/>
  <c r="L312" i="49"/>
  <c r="T304" i="31"/>
  <c r="V603" i="31"/>
  <c r="P104" i="49"/>
  <c r="H460" i="31"/>
  <c r="L60" i="31"/>
  <c r="Y352" i="31"/>
  <c r="K451" i="31"/>
  <c r="Z269" i="49"/>
  <c r="V452" i="31"/>
  <c r="H572" i="31"/>
  <c r="R117" i="49"/>
  <c r="T263" i="49"/>
  <c r="H20" i="49"/>
  <c r="Z67" i="49"/>
  <c r="P360" i="49"/>
  <c r="AA263" i="49"/>
  <c r="W217" i="49"/>
  <c r="H358" i="49"/>
  <c r="T330" i="31"/>
  <c r="L509" i="31"/>
  <c r="G552" i="31"/>
  <c r="I439" i="31"/>
  <c r="AB420" i="49"/>
  <c r="H543" i="49"/>
  <c r="V456" i="31"/>
  <c r="R575" i="31"/>
  <c r="X120" i="49"/>
  <c r="L268" i="49"/>
  <c r="R23" i="49"/>
  <c r="H72" i="49"/>
  <c r="P310" i="49"/>
  <c r="J271" i="49"/>
  <c r="N229" i="49"/>
  <c r="H308" i="49"/>
  <c r="X338" i="31"/>
  <c r="M49" i="31"/>
  <c r="K173" i="31"/>
  <c r="S279" i="31"/>
  <c r="AB596" i="49"/>
  <c r="X264" i="49"/>
  <c r="Z464" i="31"/>
  <c r="R581" i="31"/>
  <c r="X126" i="49"/>
  <c r="J559" i="49"/>
  <c r="P30" i="49"/>
  <c r="H78" i="49"/>
  <c r="P558" i="49"/>
  <c r="J503" i="49"/>
  <c r="L235" i="49"/>
  <c r="H505" i="49"/>
  <c r="V339" i="31"/>
  <c r="R179" i="49"/>
  <c r="Q202" i="49"/>
  <c r="U278" i="49"/>
  <c r="J190" i="49"/>
  <c r="AA304" i="49"/>
  <c r="S190" i="49"/>
  <c r="AD474" i="49"/>
  <c r="AB202" i="49"/>
  <c r="AB549" i="31"/>
  <c r="H338" i="31"/>
  <c r="AB496" i="49"/>
  <c r="P594" i="31"/>
  <c r="AD574" i="31"/>
  <c r="H562" i="31"/>
  <c r="V418" i="31"/>
  <c r="H92" i="49"/>
  <c r="J161" i="49"/>
  <c r="AA137" i="31"/>
  <c r="W426" i="31"/>
  <c r="J38" i="49"/>
  <c r="Z441" i="31"/>
  <c r="J364" i="31"/>
  <c r="AC226" i="31"/>
  <c r="J484" i="49"/>
  <c r="S515" i="31"/>
  <c r="Y411" i="31"/>
  <c r="X110" i="49"/>
  <c r="AA79" i="49"/>
  <c r="K38" i="49"/>
  <c r="X488" i="49"/>
  <c r="H245" i="49"/>
  <c r="N590" i="31"/>
  <c r="R175" i="49"/>
  <c r="S407" i="31"/>
  <c r="M130" i="31"/>
  <c r="Z56" i="49"/>
  <c r="M408" i="31"/>
  <c r="V448" i="31"/>
  <c r="V617" i="31"/>
  <c r="Z554" i="49"/>
  <c r="K283" i="31"/>
  <c r="M196" i="31"/>
  <c r="H114" i="49"/>
  <c r="S200" i="49"/>
  <c r="AA56" i="49"/>
  <c r="AC103" i="49"/>
  <c r="Y362" i="49"/>
  <c r="U498" i="49"/>
  <c r="AC464" i="31"/>
  <c r="P590" i="31"/>
  <c r="M73" i="31"/>
  <c r="L172" i="31"/>
  <c r="L410" i="31"/>
  <c r="I504" i="31"/>
  <c r="U195" i="31"/>
  <c r="AB105" i="31"/>
  <c r="S90" i="31"/>
  <c r="AC213" i="49"/>
  <c r="U350" i="31"/>
  <c r="N296" i="31"/>
  <c r="AA117" i="31"/>
  <c r="N428" i="31"/>
  <c r="W440" i="49"/>
  <c r="R181" i="49"/>
  <c r="I357" i="31"/>
  <c r="M222" i="31"/>
  <c r="O220" i="49"/>
  <c r="H210" i="49"/>
  <c r="O501" i="31"/>
  <c r="J43" i="31"/>
  <c r="P160" i="49"/>
  <c r="V474" i="31"/>
  <c r="H444" i="31"/>
  <c r="AC102" i="31"/>
  <c r="R461" i="31"/>
  <c r="AC202" i="31"/>
  <c r="O434" i="31"/>
  <c r="Y374" i="31"/>
  <c r="S81" i="31"/>
  <c r="Q447" i="31"/>
  <c r="V496" i="31"/>
  <c r="T424" i="31"/>
  <c r="L342" i="31"/>
  <c r="J131" i="49"/>
  <c r="AD239" i="31"/>
  <c r="P546" i="31"/>
  <c r="K220" i="49"/>
  <c r="P474" i="49"/>
  <c r="Q384" i="31"/>
  <c r="H40" i="49"/>
  <c r="H124" i="49"/>
  <c r="X352" i="31"/>
  <c r="U454" i="31"/>
  <c r="R514" i="31"/>
  <c r="P592" i="31"/>
  <c r="X519" i="49"/>
  <c r="AC39" i="31"/>
  <c r="T290" i="49"/>
  <c r="G458" i="31"/>
  <c r="P103" i="49"/>
  <c r="AA155" i="31"/>
  <c r="X556" i="31"/>
  <c r="T466" i="31"/>
  <c r="U43" i="49"/>
  <c r="Q453" i="31"/>
  <c r="AA524" i="31"/>
  <c r="L470" i="31"/>
  <c r="AC132" i="49"/>
  <c r="AA94" i="49"/>
  <c r="U143" i="49"/>
  <c r="N566" i="31"/>
  <c r="P526" i="49"/>
  <c r="AD582" i="31"/>
  <c r="N560" i="31"/>
  <c r="T61" i="31"/>
  <c r="K128" i="31"/>
  <c r="T175" i="31"/>
  <c r="AA470" i="31"/>
  <c r="O307" i="31"/>
  <c r="G364" i="31"/>
  <c r="M224" i="31"/>
  <c r="K326" i="31"/>
  <c r="J380" i="31"/>
  <c r="L428" i="31"/>
  <c r="T595" i="49"/>
  <c r="N221" i="31"/>
  <c r="W261" i="49"/>
  <c r="AA41" i="49"/>
  <c r="T499" i="49"/>
  <c r="L488" i="31"/>
  <c r="S395" i="49"/>
  <c r="V231" i="49"/>
  <c r="T242" i="31"/>
  <c r="G603" i="31"/>
  <c r="X174" i="49"/>
  <c r="X495" i="31"/>
  <c r="M360" i="31"/>
  <c r="K32" i="31"/>
  <c r="AA374" i="31"/>
  <c r="AB400" i="31"/>
  <c r="I434" i="49"/>
  <c r="K470" i="31"/>
  <c r="W237" i="31"/>
  <c r="I397" i="31"/>
  <c r="O404" i="31"/>
  <c r="H452" i="31"/>
  <c r="H341" i="31"/>
  <c r="Z362" i="49"/>
  <c r="M82" i="31"/>
  <c r="X576" i="31"/>
  <c r="Z348" i="31"/>
  <c r="S66" i="49"/>
  <c r="AA13" i="31"/>
  <c r="J81" i="49"/>
  <c r="J197" i="49"/>
  <c r="AD496" i="31"/>
  <c r="I413" i="31"/>
  <c r="N478" i="31"/>
  <c r="G424" i="31"/>
  <c r="I441" i="31"/>
  <c r="P483" i="31"/>
  <c r="V616" i="31"/>
  <c r="P370" i="31"/>
  <c r="J167" i="49"/>
  <c r="S441" i="31"/>
  <c r="AD245" i="31"/>
  <c r="O425" i="49"/>
  <c r="S437" i="31"/>
  <c r="J21" i="31"/>
  <c r="AD485" i="31"/>
  <c r="Z151" i="49"/>
  <c r="J408" i="31"/>
  <c r="K21" i="49"/>
  <c r="L276" i="31"/>
  <c r="G220" i="49"/>
  <c r="Z449" i="31"/>
  <c r="V63" i="31"/>
  <c r="N65" i="31"/>
  <c r="G514" i="31"/>
  <c r="W410" i="49"/>
  <c r="O273" i="31"/>
  <c r="J460" i="31"/>
  <c r="H70" i="31"/>
  <c r="V250" i="31"/>
  <c r="V254" i="31"/>
  <c r="W523" i="31"/>
  <c r="L467" i="31"/>
  <c r="P28" i="49"/>
  <c r="H473" i="31"/>
  <c r="N288" i="31"/>
  <c r="U96" i="31"/>
  <c r="W444" i="31"/>
  <c r="AA23" i="49"/>
  <c r="T424" i="49"/>
  <c r="R36" i="49"/>
  <c r="T93" i="49"/>
  <c r="P477" i="31"/>
  <c r="N105" i="31"/>
  <c r="J537" i="49"/>
  <c r="K36" i="49"/>
  <c r="H455" i="31"/>
  <c r="S103" i="31"/>
  <c r="K73" i="49"/>
  <c r="AA121" i="49"/>
  <c r="X276" i="49"/>
  <c r="L236" i="49"/>
  <c r="L581" i="31"/>
  <c r="P598" i="49"/>
  <c r="T534" i="31"/>
  <c r="H44" i="49"/>
  <c r="R510" i="31"/>
  <c r="I246" i="49"/>
  <c r="K173" i="49"/>
  <c r="Y394" i="49"/>
  <c r="N64" i="49"/>
  <c r="R122" i="49"/>
  <c r="Q449" i="49"/>
  <c r="U211" i="49"/>
  <c r="K12" i="49"/>
  <c r="AA58" i="49"/>
  <c r="H151" i="49"/>
  <c r="S29" i="49"/>
  <c r="S101" i="49"/>
  <c r="T599" i="49"/>
  <c r="T439" i="31"/>
  <c r="X48" i="49"/>
  <c r="M34" i="49"/>
  <c r="I236" i="49"/>
  <c r="U176" i="49"/>
  <c r="Y246" i="49"/>
  <c r="N68" i="49"/>
  <c r="R126" i="49"/>
  <c r="Q423" i="49"/>
  <c r="AD213" i="49"/>
  <c r="U15" i="49"/>
  <c r="M63" i="49"/>
  <c r="H159" i="49"/>
  <c r="S134" i="49"/>
  <c r="S99" i="49"/>
  <c r="R271" i="31"/>
  <c r="Z21" i="31"/>
  <c r="AA229" i="31"/>
  <c r="AA37" i="49"/>
  <c r="AA123" i="49"/>
  <c r="U174" i="49"/>
  <c r="Y272" i="49"/>
  <c r="X65" i="49"/>
  <c r="L613" i="31"/>
  <c r="Q440" i="49"/>
  <c r="L211" i="49"/>
  <c r="U13" i="49"/>
  <c r="R94" i="49"/>
  <c r="V152" i="49"/>
  <c r="M28" i="49"/>
  <c r="M100" i="49"/>
  <c r="K445" i="31"/>
  <c r="AD345" i="49"/>
  <c r="T13" i="49"/>
  <c r="M259" i="49"/>
  <c r="Z124" i="49"/>
  <c r="J186" i="49"/>
  <c r="U56" i="49"/>
  <c r="W52" i="31"/>
  <c r="H155" i="31"/>
  <c r="T438" i="31"/>
  <c r="W124" i="31"/>
  <c r="G225" i="31"/>
  <c r="O488" i="31"/>
  <c r="H229" i="31"/>
  <c r="AB423" i="31"/>
  <c r="V460" i="49"/>
  <c r="Z323" i="49"/>
  <c r="Z86" i="31"/>
  <c r="I329" i="31"/>
  <c r="Q57" i="31"/>
  <c r="H61" i="31"/>
  <c r="P507" i="31"/>
  <c r="N533" i="31"/>
  <c r="R57" i="49"/>
  <c r="U287" i="49"/>
  <c r="V75" i="49"/>
  <c r="P250" i="49"/>
  <c r="P12" i="31"/>
  <c r="AC504" i="49"/>
  <c r="U437" i="49"/>
  <c r="T244" i="49"/>
  <c r="J262" i="49"/>
  <c r="V204" i="31"/>
  <c r="O430" i="49"/>
  <c r="R118" i="49"/>
  <c r="U55" i="49"/>
  <c r="G110" i="31"/>
  <c r="H41" i="31"/>
  <c r="Z88" i="31"/>
  <c r="N279" i="49"/>
  <c r="AC259" i="31"/>
  <c r="Q562" i="31"/>
  <c r="M513" i="49"/>
  <c r="H143" i="31"/>
  <c r="Q605" i="31"/>
  <c r="AA422" i="31"/>
  <c r="AC551" i="49"/>
  <c r="Y258" i="31"/>
  <c r="I87" i="31"/>
  <c r="V137" i="31"/>
  <c r="K302" i="31"/>
  <c r="Q331" i="31"/>
  <c r="V220" i="31"/>
  <c r="P206" i="49"/>
  <c r="AB189" i="31"/>
  <c r="R409" i="31"/>
  <c r="M166" i="31"/>
  <c r="K397" i="31"/>
  <c r="R331" i="31"/>
  <c r="X105" i="49"/>
  <c r="U45" i="49"/>
  <c r="U138" i="49"/>
  <c r="V237" i="31"/>
  <c r="Z112" i="49"/>
  <c r="AA50" i="49"/>
  <c r="AC150" i="49"/>
  <c r="S338" i="31"/>
  <c r="L367" i="31"/>
  <c r="T113" i="49"/>
  <c r="AA345" i="31"/>
  <c r="S133" i="31"/>
  <c r="M232" i="31"/>
  <c r="U51" i="49"/>
  <c r="AB514" i="31"/>
  <c r="I467" i="31"/>
  <c r="N260" i="31"/>
  <c r="K137" i="49"/>
  <c r="AB560" i="49"/>
  <c r="AA39" i="49"/>
  <c r="L571" i="31"/>
  <c r="H493" i="49"/>
  <c r="N128" i="49"/>
  <c r="AC63" i="49"/>
  <c r="M152" i="49"/>
  <c r="R449" i="49"/>
  <c r="S189" i="49"/>
  <c r="X253" i="49"/>
  <c r="T53" i="49"/>
  <c r="AC471" i="31"/>
  <c r="Q214" i="49"/>
  <c r="AC418" i="49"/>
  <c r="Z583" i="49"/>
  <c r="R182" i="31"/>
  <c r="J172" i="49"/>
  <c r="AD231" i="49"/>
  <c r="U92" i="49"/>
  <c r="L496" i="49"/>
  <c r="J362" i="49"/>
  <c r="AC65" i="49"/>
  <c r="R119" i="31"/>
  <c r="G551" i="31"/>
  <c r="AC192" i="49"/>
  <c r="AA260" i="49"/>
  <c r="T57" i="49"/>
  <c r="AA325" i="31"/>
  <c r="U450" i="49"/>
  <c r="AC395" i="49"/>
  <c r="Z534" i="49"/>
  <c r="Q323" i="49"/>
  <c r="J176" i="49"/>
  <c r="V233" i="49"/>
  <c r="M102" i="49"/>
  <c r="K160" i="31"/>
  <c r="L372" i="49"/>
  <c r="L362" i="49"/>
  <c r="Z394" i="31"/>
  <c r="R453" i="49"/>
  <c r="W201" i="49"/>
  <c r="AA330" i="49"/>
  <c r="H69" i="49"/>
  <c r="AC563" i="31"/>
  <c r="U288" i="49"/>
  <c r="Z12" i="49"/>
  <c r="K16" i="49"/>
  <c r="X185" i="31"/>
  <c r="L189" i="49"/>
  <c r="AC259" i="49"/>
  <c r="AC102" i="49"/>
  <c r="AC414" i="31"/>
  <c r="J550" i="49"/>
  <c r="P365" i="49"/>
  <c r="M69" i="49"/>
  <c r="N477" i="49"/>
  <c r="Z67" i="31"/>
  <c r="H126" i="31"/>
  <c r="Q59" i="31"/>
  <c r="Z164" i="31"/>
  <c r="S296" i="31"/>
  <c r="O132" i="31"/>
  <c r="Z193" i="31"/>
  <c r="L383" i="31"/>
  <c r="X235" i="31"/>
  <c r="W12" i="31"/>
  <c r="R395" i="49"/>
  <c r="Z341" i="49"/>
  <c r="R94" i="31"/>
  <c r="I494" i="31"/>
  <c r="I65" i="31"/>
  <c r="Z68" i="31"/>
  <c r="S65" i="49"/>
  <c r="V536" i="31"/>
  <c r="R40" i="49"/>
  <c r="T224" i="31"/>
  <c r="V79" i="49"/>
  <c r="G92" i="31"/>
  <c r="P48" i="31"/>
  <c r="T448" i="49"/>
  <c r="U420" i="49"/>
  <c r="AB254" i="49"/>
  <c r="Z266" i="49"/>
  <c r="AA618" i="31"/>
  <c r="Z259" i="49"/>
  <c r="X511" i="49"/>
  <c r="H349" i="49"/>
  <c r="V235" i="49"/>
  <c r="X368" i="31"/>
  <c r="X372" i="31"/>
  <c r="H48" i="49"/>
  <c r="AB402" i="49"/>
  <c r="X270" i="31"/>
  <c r="O247" i="49"/>
  <c r="G406" i="49"/>
  <c r="Y503" i="49"/>
  <c r="R520" i="31"/>
  <c r="P548" i="31"/>
  <c r="Z65" i="49"/>
  <c r="Y289" i="49"/>
  <c r="O185" i="31"/>
  <c r="H251" i="49"/>
  <c r="L74" i="31"/>
  <c r="AA349" i="31"/>
  <c r="T545" i="31"/>
  <c r="X549" i="31"/>
  <c r="M335" i="31"/>
  <c r="AB351" i="31"/>
  <c r="I417" i="49"/>
  <c r="X473" i="31"/>
  <c r="U446" i="31"/>
  <c r="T405" i="31"/>
  <c r="N490" i="31"/>
  <c r="K516" i="31"/>
  <c r="J397" i="31"/>
  <c r="M104" i="31"/>
  <c r="U36" i="49"/>
  <c r="P224" i="31"/>
  <c r="L397" i="31"/>
  <c r="X186" i="49"/>
  <c r="AD251" i="31"/>
  <c r="J591" i="31"/>
  <c r="S426" i="49"/>
  <c r="AB451" i="49"/>
  <c r="L415" i="31"/>
  <c r="U44" i="31"/>
  <c r="R173" i="49"/>
  <c r="X425" i="31"/>
  <c r="T519" i="31"/>
  <c r="N295" i="31"/>
  <c r="K397" i="49"/>
  <c r="AA266" i="31"/>
  <c r="U450" i="31"/>
  <c r="N424" i="31"/>
  <c r="T523" i="31"/>
  <c r="J552" i="49"/>
  <c r="J551" i="31"/>
  <c r="H426" i="49"/>
  <c r="R97" i="49"/>
  <c r="J147" i="49"/>
  <c r="X58" i="49"/>
  <c r="H608" i="49"/>
  <c r="L350" i="49"/>
  <c r="T348" i="49"/>
  <c r="J63" i="49"/>
  <c r="H336" i="49"/>
  <c r="R305" i="31"/>
  <c r="M432" i="31"/>
  <c r="S465" i="31"/>
  <c r="P427" i="31"/>
  <c r="X304" i="49"/>
  <c r="L555" i="49"/>
  <c r="Z69" i="49"/>
  <c r="H278" i="49"/>
  <c r="Z101" i="49"/>
  <c r="P150" i="49"/>
  <c r="H74" i="49"/>
  <c r="AB235" i="49"/>
  <c r="L302" i="49"/>
  <c r="T298" i="49"/>
  <c r="R77" i="49"/>
  <c r="S27" i="49"/>
  <c r="K93" i="49"/>
  <c r="U608" i="31"/>
  <c r="R488" i="31"/>
  <c r="J464" i="31"/>
  <c r="X615" i="49"/>
  <c r="O451" i="49"/>
  <c r="K169" i="49"/>
  <c r="Y421" i="49"/>
  <c r="R58" i="49"/>
  <c r="T117" i="49"/>
  <c r="M220" i="49"/>
  <c r="AB203" i="49"/>
  <c r="Z485" i="49"/>
  <c r="AA54" i="49"/>
  <c r="N146" i="49"/>
  <c r="AA21" i="49"/>
  <c r="AA93" i="49"/>
  <c r="S203" i="31"/>
  <c r="S191" i="49"/>
  <c r="U458" i="49"/>
  <c r="R174" i="49"/>
  <c r="K143" i="49"/>
  <c r="T179" i="49"/>
  <c r="K51" i="49"/>
  <c r="K575" i="49"/>
  <c r="H211" i="31"/>
  <c r="I225" i="49"/>
  <c r="W182" i="31"/>
  <c r="I559" i="49"/>
  <c r="S295" i="31"/>
  <c r="AB312" i="49"/>
  <c r="I271" i="49"/>
  <c r="U173" i="49"/>
  <c r="S513" i="49"/>
  <c r="W497" i="49"/>
  <c r="M298" i="31"/>
  <c r="H371" i="49"/>
  <c r="AC152" i="49"/>
  <c r="AA203" i="49"/>
  <c r="T25" i="49"/>
  <c r="H417" i="49"/>
  <c r="M611" i="31"/>
  <c r="Y536" i="31"/>
  <c r="Z82" i="31"/>
  <c r="P197" i="31"/>
  <c r="V590" i="49"/>
  <c r="Z220" i="49"/>
  <c r="AA612" i="49"/>
  <c r="H325" i="49"/>
  <c r="J533" i="49"/>
  <c r="H246" i="49"/>
  <c r="AC461" i="49"/>
  <c r="AD217" i="49"/>
  <c r="M150" i="49"/>
  <c r="T183" i="49"/>
  <c r="AA51" i="49"/>
  <c r="AC577" i="49"/>
  <c r="AC405" i="31"/>
  <c r="H612" i="49"/>
  <c r="V603" i="49"/>
  <c r="N463" i="49"/>
  <c r="M456" i="49"/>
  <c r="K112" i="49"/>
  <c r="AD277" i="49"/>
  <c r="Q13" i="31"/>
  <c r="G142" i="31"/>
  <c r="Y253" i="31"/>
  <c r="G310" i="31"/>
  <c r="J319" i="31"/>
  <c r="K304" i="31"/>
  <c r="Q419" i="31"/>
  <c r="X580" i="31"/>
  <c r="P586" i="49"/>
  <c r="K119" i="49"/>
  <c r="R137" i="31"/>
  <c r="I280" i="49"/>
  <c r="L119" i="49"/>
  <c r="K56" i="49"/>
  <c r="AC430" i="31"/>
  <c r="I272" i="49"/>
  <c r="L123" i="49"/>
  <c r="U59" i="49"/>
  <c r="AD605" i="31"/>
  <c r="I264" i="49"/>
  <c r="Z120" i="49"/>
  <c r="U57" i="49"/>
  <c r="O400" i="49"/>
  <c r="AC146" i="49"/>
  <c r="X217" i="31"/>
  <c r="Y18" i="31"/>
  <c r="N515" i="49"/>
  <c r="K171" i="49"/>
  <c r="Z474" i="31"/>
  <c r="AD591" i="49"/>
  <c r="AA183" i="31"/>
  <c r="T125" i="49"/>
  <c r="W374" i="49"/>
  <c r="M65" i="49"/>
  <c r="Y149" i="31"/>
  <c r="AC607" i="49"/>
  <c r="R87" i="31"/>
  <c r="Q522" i="49"/>
  <c r="J412" i="49"/>
  <c r="W367" i="31"/>
  <c r="G606" i="31"/>
  <c r="V552" i="49"/>
  <c r="N49" i="31"/>
  <c r="J403" i="49"/>
  <c r="I242" i="31"/>
  <c r="AA411" i="49"/>
  <c r="AD235" i="49"/>
  <c r="P605" i="49"/>
  <c r="I218" i="49"/>
  <c r="T121" i="49"/>
  <c r="K58" i="49"/>
  <c r="S479" i="49"/>
  <c r="G133" i="31"/>
  <c r="Y184" i="31"/>
  <c r="Y63" i="31"/>
  <c r="H169" i="31"/>
  <c r="S576" i="31"/>
  <c r="Y135" i="31"/>
  <c r="Z197" i="31"/>
  <c r="O479" i="31"/>
  <c r="J240" i="31"/>
  <c r="G16" i="31"/>
  <c r="L524" i="31"/>
  <c r="P148" i="49"/>
  <c r="X97" i="31"/>
  <c r="R143" i="49"/>
  <c r="O68" i="31"/>
  <c r="J165" i="49"/>
  <c r="S83" i="49"/>
  <c r="R564" i="31"/>
  <c r="X309" i="49"/>
  <c r="I601" i="31"/>
  <c r="AD83" i="49"/>
  <c r="X49" i="31"/>
  <c r="T438" i="49"/>
  <c r="I210" i="49"/>
  <c r="U411" i="49"/>
  <c r="Z249" i="49"/>
  <c r="S308" i="31"/>
  <c r="W532" i="31"/>
  <c r="J142" i="49"/>
  <c r="O380" i="49"/>
  <c r="X344" i="49"/>
  <c r="G154" i="31"/>
  <c r="K15" i="49"/>
  <c r="Y296" i="49"/>
  <c r="N593" i="49"/>
  <c r="Y334" i="31"/>
  <c r="AD457" i="31"/>
  <c r="V343" i="49"/>
  <c r="L338" i="31"/>
  <c r="G594" i="31"/>
  <c r="J198" i="31"/>
  <c r="X154" i="49"/>
  <c r="Y167" i="31"/>
  <c r="U515" i="49"/>
  <c r="W67" i="31"/>
  <c r="I564" i="31"/>
  <c r="O117" i="31"/>
  <c r="Y118" i="31"/>
  <c r="J514" i="49"/>
  <c r="U248" i="31"/>
  <c r="Y554" i="49"/>
  <c r="S211" i="49"/>
  <c r="G444" i="31"/>
  <c r="N427" i="31"/>
  <c r="W419" i="49"/>
  <c r="T456" i="31"/>
  <c r="Z296" i="49"/>
  <c r="K292" i="31"/>
  <c r="Z130" i="31"/>
  <c r="I302" i="49"/>
  <c r="K40" i="49"/>
  <c r="O588" i="49"/>
  <c r="M132" i="49"/>
  <c r="AA601" i="31"/>
  <c r="J593" i="31"/>
  <c r="S448" i="49"/>
  <c r="P560" i="31"/>
  <c r="P254" i="49"/>
  <c r="AB524" i="49"/>
  <c r="V335" i="49"/>
  <c r="H54" i="49"/>
  <c r="Q148" i="31"/>
  <c r="AA352" i="49"/>
  <c r="I122" i="31"/>
  <c r="H210" i="31"/>
  <c r="S460" i="31"/>
  <c r="M30" i="31"/>
  <c r="AD454" i="49"/>
  <c r="M550" i="31"/>
  <c r="AC137" i="31"/>
  <c r="V310" i="31"/>
  <c r="H242" i="49"/>
  <c r="O253" i="49"/>
  <c r="O589" i="31"/>
  <c r="U170" i="31"/>
  <c r="AC101" i="49"/>
  <c r="G463" i="49"/>
  <c r="L124" i="31"/>
  <c r="K95" i="31"/>
  <c r="AA213" i="31"/>
  <c r="AA206" i="31"/>
  <c r="K229" i="31"/>
  <c r="G237" i="31"/>
  <c r="AA397" i="31"/>
  <c r="T432" i="31"/>
  <c r="P424" i="31"/>
  <c r="J522" i="31"/>
  <c r="Z522" i="31"/>
  <c r="P82" i="49"/>
  <c r="J207" i="49"/>
  <c r="AA22" i="49"/>
  <c r="L218" i="49"/>
  <c r="AC29" i="49"/>
  <c r="Q368" i="49"/>
  <c r="H381" i="49"/>
  <c r="Q490" i="31"/>
  <c r="H309" i="49"/>
  <c r="V556" i="49"/>
  <c r="O283" i="49"/>
  <c r="S152" i="49"/>
  <c r="L570" i="49"/>
  <c r="U180" i="49"/>
  <c r="J145" i="31"/>
  <c r="M196" i="49"/>
  <c r="AC240" i="49"/>
  <c r="I386" i="49"/>
  <c r="K324" i="31"/>
  <c r="J320" i="49"/>
  <c r="Z103" i="31"/>
  <c r="U75" i="49"/>
  <c r="X472" i="49"/>
  <c r="X421" i="31"/>
  <c r="R11" i="49"/>
  <c r="M236" i="31"/>
  <c r="AB559" i="31"/>
  <c r="L525" i="31"/>
  <c r="J526" i="31"/>
  <c r="S145" i="49"/>
  <c r="R184" i="49"/>
  <c r="AA49" i="49"/>
  <c r="O576" i="49"/>
  <c r="R214" i="31"/>
  <c r="W225" i="49"/>
  <c r="G186" i="31"/>
  <c r="V559" i="49"/>
  <c r="W597" i="31"/>
  <c r="AB332" i="49"/>
  <c r="W271" i="49"/>
  <c r="AA174" i="49"/>
  <c r="W514" i="49"/>
  <c r="Q497" i="49"/>
  <c r="Q606" i="31"/>
  <c r="R372" i="49"/>
  <c r="M166" i="49"/>
  <c r="N225" i="49"/>
  <c r="N28" i="49"/>
  <c r="V420" i="49"/>
  <c r="M590" i="31"/>
  <c r="Y305" i="31"/>
  <c r="J86" i="31"/>
  <c r="Z200" i="31"/>
  <c r="AA591" i="49"/>
  <c r="R224" i="49"/>
  <c r="U612" i="49"/>
  <c r="R326" i="49"/>
  <c r="P128" i="49"/>
  <c r="J564" i="49"/>
  <c r="W285" i="49"/>
  <c r="AA154" i="49"/>
  <c r="L574" i="49"/>
  <c r="G373" i="49"/>
  <c r="Z386" i="49"/>
  <c r="AB508" i="49"/>
  <c r="AD218" i="49"/>
  <c r="Z196" i="31"/>
  <c r="Q82" i="49"/>
  <c r="O166" i="31"/>
  <c r="I454" i="49"/>
  <c r="S562" i="31"/>
  <c r="AA116" i="49"/>
  <c r="S166" i="49"/>
  <c r="AD494" i="49"/>
  <c r="N507" i="49"/>
  <c r="R357" i="31"/>
  <c r="M373" i="31"/>
  <c r="P380" i="31"/>
  <c r="Z100" i="31"/>
  <c r="M198" i="49"/>
  <c r="AC248" i="49"/>
  <c r="O385" i="49"/>
  <c r="I512" i="31"/>
  <c r="P319" i="49"/>
  <c r="P67" i="31"/>
  <c r="AA74" i="49"/>
  <c r="M414" i="31"/>
  <c r="U418" i="31"/>
  <c r="AA212" i="49"/>
  <c r="X90" i="49"/>
  <c r="X341" i="31"/>
  <c r="AA169" i="49"/>
  <c r="M212" i="49"/>
  <c r="H147" i="49"/>
  <c r="V369" i="31"/>
  <c r="T198" i="49"/>
  <c r="U44" i="49"/>
  <c r="V574" i="49"/>
  <c r="I370" i="31"/>
  <c r="G221" i="49"/>
  <c r="U562" i="49"/>
  <c r="U558" i="49"/>
  <c r="U513" i="31"/>
  <c r="AB302" i="49"/>
  <c r="L266" i="49"/>
  <c r="U171" i="49"/>
  <c r="W126" i="31"/>
  <c r="M496" i="49"/>
  <c r="O326" i="31"/>
  <c r="Y592" i="31"/>
  <c r="S60" i="31"/>
  <c r="AB610" i="31"/>
  <c r="Y413" i="31"/>
  <c r="Z457" i="31"/>
  <c r="X379" i="31"/>
  <c r="G428" i="49"/>
  <c r="AC106" i="31"/>
  <c r="U245" i="31"/>
  <c r="AA613" i="31"/>
  <c r="AB500" i="49"/>
  <c r="O351" i="31"/>
  <c r="X343" i="31"/>
  <c r="AA79" i="31"/>
  <c r="M101" i="49"/>
  <c r="T282" i="31"/>
  <c r="N371" i="31"/>
  <c r="R171" i="49"/>
  <c r="R181" i="31"/>
  <c r="AC160" i="31"/>
  <c r="O421" i="49"/>
  <c r="X324" i="49"/>
  <c r="L285" i="31"/>
  <c r="V493" i="31"/>
  <c r="J159" i="49"/>
  <c r="Z408" i="31"/>
  <c r="T499" i="31"/>
  <c r="J277" i="31"/>
  <c r="G212" i="49"/>
  <c r="J273" i="31"/>
  <c r="K425" i="31"/>
  <c r="T395" i="31"/>
  <c r="AB547" i="49"/>
  <c r="AA374" i="49"/>
  <c r="AB603" i="31"/>
  <c r="P586" i="31"/>
  <c r="Z131" i="49"/>
  <c r="P363" i="49"/>
  <c r="P34" i="49"/>
  <c r="J83" i="49"/>
  <c r="P470" i="49"/>
  <c r="M67" i="49"/>
  <c r="T246" i="49"/>
  <c r="L438" i="49"/>
  <c r="V349" i="31"/>
  <c r="Z285" i="31"/>
  <c r="AC66" i="31"/>
  <c r="AD288" i="31"/>
  <c r="AA244" i="31"/>
  <c r="R537" i="49"/>
  <c r="AD535" i="31"/>
  <c r="Z589" i="31"/>
  <c r="J135" i="49"/>
  <c r="J364" i="49"/>
  <c r="X38" i="49"/>
  <c r="P86" i="49"/>
  <c r="T618" i="49"/>
  <c r="AC317" i="49"/>
  <c r="I257" i="49"/>
  <c r="L447" i="49"/>
  <c r="Z359" i="31"/>
  <c r="G381" i="31"/>
  <c r="AC438" i="31"/>
  <c r="R410" i="31"/>
  <c r="H485" i="31"/>
  <c r="J548" i="49"/>
  <c r="J547" i="31"/>
  <c r="Z595" i="31"/>
  <c r="H142" i="49"/>
  <c r="Z364" i="49"/>
  <c r="X44" i="49"/>
  <c r="R93" i="49"/>
  <c r="T491" i="49"/>
  <c r="S68" i="49"/>
  <c r="G261" i="49"/>
  <c r="L492" i="49"/>
  <c r="T360" i="31"/>
  <c r="U78" i="31"/>
  <c r="Z547" i="31"/>
  <c r="R45" i="49"/>
  <c r="N263" i="49"/>
  <c r="AB479" i="49"/>
  <c r="R511" i="49"/>
  <c r="T532" i="31"/>
  <c r="Q574" i="49"/>
  <c r="P203" i="31"/>
  <c r="W221" i="49"/>
  <c r="G174" i="31"/>
  <c r="K558" i="49"/>
  <c r="AB424" i="31"/>
  <c r="M466" i="31"/>
  <c r="L262" i="49"/>
  <c r="AA170" i="49"/>
  <c r="W510" i="49"/>
  <c r="AC496" i="49"/>
  <c r="M500" i="31"/>
  <c r="R368" i="49"/>
  <c r="R110" i="31"/>
  <c r="G201" i="49"/>
  <c r="AC212" i="49"/>
  <c r="L409" i="49"/>
  <c r="I559" i="31"/>
  <c r="Y610" i="31"/>
  <c r="H75" i="31"/>
  <c r="Z190" i="31"/>
  <c r="K120" i="49"/>
  <c r="Z213" i="49"/>
  <c r="Y451" i="49"/>
  <c r="T79" i="49"/>
  <c r="S223" i="31"/>
  <c r="W309" i="49"/>
  <c r="Q590" i="49"/>
  <c r="Z478" i="49"/>
  <c r="S147" i="49"/>
  <c r="R180" i="49"/>
  <c r="K49" i="49"/>
  <c r="AD575" i="49"/>
  <c r="Q359" i="49"/>
  <c r="P225" i="49"/>
  <c r="Q601" i="49"/>
  <c r="O559" i="49"/>
  <c r="U563" i="31"/>
  <c r="S106" i="49"/>
  <c r="P271" i="49"/>
  <c r="K174" i="49"/>
  <c r="O134" i="31"/>
  <c r="G497" i="49"/>
  <c r="O499" i="31"/>
  <c r="AB99" i="31"/>
  <c r="P68" i="31"/>
  <c r="S210" i="31"/>
  <c r="AD114" i="31"/>
  <c r="K327" i="31"/>
  <c r="AA53" i="31"/>
  <c r="AD260" i="31"/>
  <c r="R612" i="31"/>
  <c r="V231" i="31"/>
  <c r="Q368" i="31"/>
  <c r="J269" i="31"/>
  <c r="Q395" i="31"/>
  <c r="J595" i="31"/>
  <c r="Z87" i="49"/>
  <c r="P294" i="31"/>
  <c r="U76" i="31"/>
  <c r="Z42" i="49"/>
  <c r="K43" i="31"/>
  <c r="S129" i="31"/>
  <c r="V613" i="31"/>
  <c r="R582" i="49"/>
  <c r="H226" i="31"/>
  <c r="H14" i="49"/>
  <c r="X114" i="49"/>
  <c r="K91" i="49"/>
  <c r="K52" i="49"/>
  <c r="AB492" i="49"/>
  <c r="H254" i="49"/>
  <c r="R602" i="31"/>
  <c r="I405" i="31"/>
  <c r="M134" i="31"/>
  <c r="AA424" i="49"/>
  <c r="R299" i="31"/>
  <c r="U140" i="49"/>
  <c r="M192" i="49"/>
  <c r="AC401" i="49"/>
  <c r="P85" i="49"/>
  <c r="I400" i="49"/>
  <c r="U454" i="49"/>
  <c r="S233" i="49"/>
  <c r="M29" i="49"/>
  <c r="J116" i="49"/>
  <c r="L175" i="49"/>
  <c r="U48" i="49"/>
  <c r="U120" i="49"/>
  <c r="U193" i="31"/>
  <c r="AD615" i="31"/>
  <c r="R119" i="49"/>
  <c r="G227" i="49"/>
  <c r="AA143" i="49"/>
  <c r="S195" i="49"/>
  <c r="AC258" i="49"/>
  <c r="R90" i="49"/>
  <c r="I254" i="49"/>
  <c r="U433" i="49"/>
  <c r="L237" i="49"/>
  <c r="S32" i="49"/>
  <c r="J120" i="49"/>
  <c r="L181" i="49"/>
  <c r="AC149" i="49"/>
  <c r="L230" i="49"/>
  <c r="K400" i="31"/>
  <c r="AC402" i="31"/>
  <c r="H503" i="31"/>
  <c r="P240" i="49"/>
  <c r="R257" i="49"/>
  <c r="G309" i="49"/>
  <c r="N218" i="49"/>
  <c r="H323" i="49"/>
  <c r="P510" i="49"/>
  <c r="G590" i="49"/>
  <c r="G556" i="49"/>
  <c r="S270" i="49"/>
  <c r="R348" i="49"/>
  <c r="R477" i="49"/>
  <c r="S150" i="49"/>
  <c r="T232" i="49"/>
  <c r="J85" i="49"/>
  <c r="AC405" i="49"/>
  <c r="L233" i="49"/>
  <c r="K43" i="49"/>
  <c r="R374" i="49"/>
  <c r="W532" i="49"/>
  <c r="W445" i="49"/>
  <c r="O443" i="49"/>
  <c r="AB16" i="49"/>
  <c r="H497" i="49"/>
  <c r="S275" i="31"/>
  <c r="H290" i="31"/>
  <c r="T320" i="49"/>
  <c r="T409" i="31"/>
  <c r="AA428" i="49"/>
  <c r="X94" i="49"/>
  <c r="V338" i="31"/>
  <c r="L342" i="49"/>
  <c r="J261" i="31"/>
  <c r="N311" i="31"/>
  <c r="G311" i="49"/>
  <c r="Y364" i="49"/>
  <c r="P297" i="49"/>
  <c r="O499" i="49"/>
  <c r="O516" i="49"/>
  <c r="R378" i="49"/>
  <c r="G283" i="31"/>
  <c r="AC129" i="49"/>
  <c r="I294" i="31"/>
  <c r="Q329" i="31"/>
  <c r="N183" i="31"/>
  <c r="AA514" i="31"/>
  <c r="U76" i="49"/>
  <c r="R44" i="49"/>
  <c r="R574" i="49"/>
  <c r="AC82" i="49"/>
  <c r="AA13" i="49"/>
  <c r="AD216" i="49"/>
  <c r="Y447" i="49"/>
  <c r="P81" i="49"/>
  <c r="I298" i="49"/>
  <c r="U25" i="49"/>
  <c r="AA587" i="49"/>
  <c r="U126" i="49"/>
  <c r="K17" i="49"/>
  <c r="P223" i="49"/>
  <c r="AC452" i="49"/>
  <c r="N100" i="49"/>
  <c r="O303" i="49"/>
  <c r="K44" i="49"/>
  <c r="X605" i="31"/>
  <c r="W423" i="49"/>
  <c r="X504" i="49"/>
  <c r="S88" i="49"/>
  <c r="K123" i="31"/>
  <c r="AC468" i="31"/>
  <c r="X316" i="49"/>
  <c r="P445" i="31"/>
  <c r="U170" i="49"/>
  <c r="Q466" i="49"/>
  <c r="X147" i="49"/>
  <c r="Z415" i="31"/>
  <c r="AA173" i="49"/>
  <c r="Q445" i="49"/>
  <c r="X151" i="49"/>
  <c r="N458" i="31"/>
  <c r="AA171" i="49"/>
  <c r="Q457" i="49"/>
  <c r="P149" i="49"/>
  <c r="Z468" i="31"/>
  <c r="Z182" i="49"/>
  <c r="N227" i="49"/>
  <c r="AB608" i="49"/>
  <c r="T467" i="49"/>
  <c r="J231" i="49"/>
  <c r="Y520" i="31"/>
  <c r="J230" i="49"/>
  <c r="G375" i="49"/>
  <c r="Z186" i="49"/>
  <c r="J289" i="49"/>
  <c r="AA114" i="49"/>
  <c r="Y266" i="31"/>
  <c r="AD532" i="31"/>
  <c r="G512" i="31"/>
  <c r="S193" i="49"/>
  <c r="AC274" i="49"/>
  <c r="O383" i="49"/>
  <c r="K589" i="31"/>
  <c r="P317" i="49"/>
  <c r="X94" i="31"/>
  <c r="AA72" i="49"/>
  <c r="Q462" i="49"/>
  <c r="Y408" i="49"/>
  <c r="M577" i="49"/>
  <c r="J441" i="31"/>
  <c r="U172" i="49"/>
  <c r="Q453" i="49"/>
  <c r="N150" i="49"/>
  <c r="AA141" i="49"/>
  <c r="L202" i="49"/>
  <c r="K45" i="49"/>
  <c r="U575" i="49"/>
  <c r="Z206" i="31"/>
  <c r="N223" i="49"/>
  <c r="Q179" i="31"/>
  <c r="N558" i="49"/>
  <c r="S345" i="31"/>
  <c r="AB372" i="49"/>
  <c r="N269" i="49"/>
  <c r="K172" i="49"/>
  <c r="N511" i="49"/>
  <c r="S496" i="49"/>
  <c r="M533" i="31"/>
  <c r="X369" i="49"/>
  <c r="AC148" i="49"/>
  <c r="S199" i="49"/>
  <c r="L11" i="49"/>
  <c r="Z412" i="49"/>
  <c r="I334" i="31"/>
  <c r="Y511" i="31"/>
  <c r="R78" i="31"/>
  <c r="J194" i="31"/>
  <c r="U125" i="49"/>
  <c r="P244" i="49"/>
  <c r="I616" i="49"/>
  <c r="X335" i="49"/>
  <c r="H582" i="31"/>
  <c r="H201" i="49"/>
  <c r="J299" i="49"/>
  <c r="AA19" i="49"/>
  <c r="R65" i="31"/>
  <c r="N221" i="49"/>
  <c r="K24" i="49"/>
  <c r="Z240" i="49"/>
  <c r="I116" i="31"/>
  <c r="W268" i="49"/>
  <c r="Q544" i="49"/>
  <c r="Y478" i="49"/>
  <c r="AD444" i="49"/>
  <c r="M597" i="49"/>
  <c r="Y570" i="31"/>
  <c r="X73" i="31"/>
  <c r="W31" i="31"/>
  <c r="O279" i="31"/>
  <c r="O79" i="31"/>
  <c r="AB395" i="49"/>
  <c r="G33" i="31"/>
  <c r="W145" i="31"/>
  <c r="AB433" i="31"/>
  <c r="W334" i="49"/>
  <c r="AC28" i="49"/>
  <c r="Z149" i="31"/>
  <c r="U265" i="31"/>
  <c r="R79" i="49"/>
  <c r="X290" i="31"/>
  <c r="AD498" i="49"/>
  <c r="Z471" i="49"/>
  <c r="O460" i="49"/>
  <c r="Y197" i="31"/>
  <c r="P201" i="31"/>
  <c r="W480" i="31"/>
  <c r="G172" i="31"/>
  <c r="AC263" i="31"/>
  <c r="Z278" i="49"/>
  <c r="P166" i="49"/>
  <c r="T17" i="49"/>
  <c r="G402" i="49"/>
  <c r="Z24" i="49"/>
  <c r="Z523" i="31"/>
  <c r="G381" i="49"/>
  <c r="W320" i="49"/>
  <c r="Z262" i="49"/>
  <c r="W601" i="49"/>
  <c r="S84" i="49"/>
  <c r="U558" i="31"/>
  <c r="I344" i="49"/>
  <c r="H54" i="31"/>
  <c r="J274" i="49"/>
  <c r="T54" i="31"/>
  <c r="H443" i="31"/>
  <c r="R141" i="31"/>
  <c r="Z63" i="49"/>
  <c r="G467" i="49"/>
  <c r="O554" i="31"/>
  <c r="O363" i="49"/>
  <c r="H118" i="49"/>
  <c r="K342" i="31"/>
  <c r="G350" i="31"/>
  <c r="Y359" i="31"/>
  <c r="L612" i="31"/>
  <c r="S384" i="31"/>
  <c r="K111" i="31"/>
  <c r="M164" i="31"/>
  <c r="AB472" i="31"/>
  <c r="Z549" i="31"/>
  <c r="P550" i="31"/>
  <c r="X554" i="31"/>
  <c r="H473" i="49"/>
  <c r="Y464" i="49"/>
  <c r="K92" i="49"/>
  <c r="Y425" i="49"/>
  <c r="K587" i="49"/>
  <c r="J302" i="49"/>
  <c r="G230" i="31"/>
  <c r="S231" i="31"/>
  <c r="W242" i="49"/>
  <c r="M203" i="49"/>
  <c r="K574" i="31"/>
  <c r="AD490" i="49"/>
  <c r="O327" i="31"/>
  <c r="P24" i="31"/>
  <c r="S463" i="31"/>
  <c r="T431" i="31"/>
  <c r="U252" i="49"/>
  <c r="R115" i="49"/>
  <c r="V507" i="31"/>
  <c r="AA18" i="49"/>
  <c r="T432" i="49"/>
  <c r="M106" i="49"/>
  <c r="M593" i="49"/>
  <c r="R236" i="49"/>
  <c r="K232" i="49"/>
  <c r="AB526" i="31"/>
  <c r="P552" i="31"/>
  <c r="H554" i="31"/>
  <c r="AD554" i="31"/>
  <c r="AA455" i="31"/>
  <c r="V422" i="31"/>
  <c r="X14" i="49"/>
  <c r="Z105" i="49"/>
  <c r="L20" i="49"/>
  <c r="P455" i="49"/>
  <c r="G616" i="31"/>
  <c r="AC104" i="49"/>
  <c r="P475" i="31"/>
  <c r="N446" i="31"/>
  <c r="Y460" i="49"/>
  <c r="Z74" i="49"/>
  <c r="M430" i="31"/>
  <c r="U23" i="49"/>
  <c r="S70" i="49"/>
  <c r="K111" i="49"/>
  <c r="Q312" i="49"/>
  <c r="G367" i="49"/>
  <c r="Z298" i="49"/>
  <c r="I499" i="49"/>
  <c r="J254" i="31"/>
  <c r="X379" i="49"/>
  <c r="Y225" i="31"/>
  <c r="M131" i="49"/>
  <c r="M598" i="31"/>
  <c r="Q273" i="31"/>
  <c r="N187" i="31"/>
  <c r="AA334" i="31"/>
  <c r="P502" i="49"/>
  <c r="U204" i="49"/>
  <c r="H111" i="31"/>
  <c r="Y491" i="49"/>
  <c r="X574" i="49"/>
  <c r="X307" i="49"/>
  <c r="N450" i="49"/>
  <c r="J20" i="49"/>
  <c r="X93" i="31"/>
  <c r="P225" i="31"/>
  <c r="O64" i="31"/>
  <c r="I197" i="31"/>
  <c r="G495" i="31"/>
  <c r="U61" i="49"/>
  <c r="AB543" i="49"/>
  <c r="P537" i="31"/>
  <c r="Q552" i="49"/>
  <c r="W518" i="49"/>
  <c r="L402" i="49"/>
  <c r="Q309" i="31"/>
  <c r="AC490" i="31"/>
  <c r="K449" i="31"/>
  <c r="T413" i="31"/>
  <c r="X10" i="49"/>
  <c r="J99" i="49"/>
  <c r="Z480" i="31"/>
  <c r="L551" i="49"/>
  <c r="AB570" i="31"/>
  <c r="L318" i="31"/>
  <c r="AC593" i="49"/>
  <c r="Z234" i="49"/>
  <c r="O230" i="49"/>
  <c r="P331" i="49"/>
  <c r="AC146" i="31"/>
  <c r="Y417" i="49"/>
  <c r="R204" i="49"/>
  <c r="U22" i="49"/>
  <c r="T143" i="49"/>
  <c r="R202" i="49"/>
  <c r="K176" i="49"/>
  <c r="Q196" i="31"/>
  <c r="K420" i="31"/>
  <c r="J309" i="49"/>
  <c r="V425" i="31"/>
  <c r="I477" i="31"/>
  <c r="U79" i="49"/>
  <c r="M129" i="49"/>
  <c r="K470" i="49"/>
  <c r="Y27" i="31"/>
  <c r="W213" i="49"/>
  <c r="S287" i="31"/>
  <c r="P369" i="31"/>
  <c r="I318" i="31"/>
  <c r="T254" i="49"/>
  <c r="P106" i="49"/>
  <c r="AD428" i="31"/>
  <c r="T218" i="31"/>
  <c r="AC75" i="31"/>
  <c r="AC79" i="31"/>
  <c r="T551" i="31"/>
  <c r="I367" i="31"/>
  <c r="Y246" i="31"/>
  <c r="K41" i="49"/>
  <c r="V611" i="31"/>
  <c r="X572" i="31"/>
  <c r="P64" i="49"/>
  <c r="U54" i="49"/>
  <c r="I394" i="49"/>
  <c r="T39" i="49"/>
  <c r="Z96" i="49"/>
  <c r="V197" i="31"/>
  <c r="AC196" i="31"/>
  <c r="J597" i="49"/>
  <c r="H88" i="31"/>
  <c r="S131" i="31"/>
  <c r="AB512" i="31"/>
  <c r="AA75" i="49"/>
  <c r="AA36" i="49"/>
  <c r="X588" i="49"/>
  <c r="H241" i="49"/>
  <c r="P585" i="31"/>
  <c r="K424" i="49"/>
  <c r="L138" i="31"/>
  <c r="Q276" i="31"/>
  <c r="AA55" i="49"/>
  <c r="K125" i="49"/>
  <c r="AA175" i="49"/>
  <c r="Y254" i="49"/>
  <c r="P67" i="49"/>
  <c r="X615" i="31"/>
  <c r="Q427" i="49"/>
  <c r="V211" i="49"/>
  <c r="AA14" i="49"/>
  <c r="J96" i="49"/>
  <c r="L155" i="49"/>
  <c r="M32" i="49"/>
  <c r="M104" i="49"/>
  <c r="M418" i="49"/>
  <c r="AC192" i="31"/>
  <c r="R73" i="49"/>
  <c r="AB223" i="31"/>
  <c r="S129" i="49"/>
  <c r="K181" i="49"/>
  <c r="Y210" i="49"/>
  <c r="R72" i="49"/>
  <c r="I464" i="49"/>
  <c r="Q406" i="49"/>
  <c r="S215" i="49"/>
  <c r="K18" i="49"/>
  <c r="H101" i="49"/>
  <c r="N162" i="49"/>
  <c r="K138" i="49"/>
  <c r="AA115" i="49"/>
  <c r="R577" i="31"/>
  <c r="P198" i="31"/>
  <c r="AD464" i="31"/>
  <c r="Z263" i="31"/>
  <c r="K139" i="49"/>
  <c r="AC190" i="49"/>
  <c r="AC409" i="49"/>
  <c r="X83" i="49"/>
  <c r="I408" i="49"/>
  <c r="U463" i="49"/>
  <c r="AB233" i="49"/>
  <c r="AC27" i="49"/>
  <c r="R114" i="49"/>
  <c r="T173" i="49"/>
  <c r="U42" i="49"/>
  <c r="U116" i="49"/>
  <c r="AD302" i="31"/>
  <c r="T596" i="31"/>
  <c r="H94" i="49"/>
  <c r="L488" i="49"/>
  <c r="Z142" i="49"/>
  <c r="X201" i="49"/>
  <c r="AC70" i="49"/>
  <c r="P101" i="31"/>
  <c r="H233" i="31"/>
  <c r="G72" i="31"/>
  <c r="G601" i="31"/>
  <c r="H244" i="31"/>
  <c r="X294" i="49"/>
  <c r="K23" i="49"/>
  <c r="AA470" i="49"/>
  <c r="M567" i="49"/>
  <c r="R334" i="31"/>
  <c r="X410" i="49"/>
  <c r="AD596" i="31"/>
  <c r="R10" i="31"/>
  <c r="AA17" i="49"/>
  <c r="W223" i="49"/>
  <c r="Y236" i="49"/>
  <c r="N86" i="49"/>
  <c r="O299" i="49"/>
  <c r="U39" i="49"/>
  <c r="AD587" i="49"/>
  <c r="AC128" i="49"/>
  <c r="W594" i="49"/>
  <c r="R242" i="49"/>
  <c r="S236" i="49"/>
  <c r="H335" i="49"/>
  <c r="L516" i="31"/>
  <c r="J220" i="49"/>
  <c r="Q556" i="49"/>
  <c r="U189" i="31"/>
  <c r="T360" i="49"/>
  <c r="T310" i="49"/>
  <c r="AA450" i="49"/>
  <c r="R91" i="49"/>
  <c r="M415" i="31"/>
  <c r="L472" i="49"/>
  <c r="N437" i="31"/>
  <c r="P310" i="31"/>
  <c r="M460" i="31"/>
  <c r="V426" i="31"/>
  <c r="H18" i="49"/>
  <c r="H112" i="49"/>
  <c r="S217" i="49"/>
  <c r="P544" i="49"/>
  <c r="AD16" i="31"/>
  <c r="U72" i="31"/>
  <c r="W479" i="31"/>
  <c r="S370" i="31"/>
  <c r="K75" i="31"/>
  <c r="T281" i="31"/>
  <c r="P568" i="31"/>
  <c r="J65" i="49"/>
  <c r="L362" i="31"/>
  <c r="O464" i="49"/>
  <c r="J151" i="49"/>
  <c r="G424" i="49"/>
  <c r="R396" i="31"/>
  <c r="S431" i="49"/>
  <c r="H170" i="49"/>
  <c r="K403" i="49"/>
  <c r="L332" i="31"/>
  <c r="R123" i="49"/>
  <c r="U140" i="31"/>
  <c r="AC152" i="31"/>
  <c r="G415" i="49"/>
  <c r="P617" i="49"/>
  <c r="S581" i="31"/>
  <c r="R37" i="49"/>
  <c r="R125" i="49"/>
  <c r="Z343" i="31"/>
  <c r="AA447" i="31"/>
  <c r="Z504" i="31"/>
  <c r="Z585" i="31"/>
  <c r="H517" i="49"/>
  <c r="L403" i="31"/>
  <c r="S405" i="49"/>
  <c r="X176" i="49"/>
  <c r="AD599" i="31"/>
  <c r="H417" i="31"/>
  <c r="N535" i="31"/>
  <c r="Z85" i="49"/>
  <c r="R352" i="49"/>
  <c r="W406" i="49"/>
  <c r="H38" i="49"/>
  <c r="L455" i="49"/>
  <c r="O304" i="49"/>
  <c r="H186" i="49"/>
  <c r="Y257" i="49"/>
  <c r="N289" i="31"/>
  <c r="L269" i="49"/>
  <c r="X29" i="49"/>
  <c r="Z545" i="49"/>
  <c r="M70" i="49"/>
  <c r="V578" i="31"/>
  <c r="H421" i="31"/>
  <c r="V543" i="31"/>
  <c r="H90" i="49"/>
  <c r="H353" i="49"/>
  <c r="W206" i="49"/>
  <c r="R41" i="49"/>
  <c r="L588" i="49"/>
  <c r="M305" i="49"/>
  <c r="T190" i="49"/>
  <c r="N259" i="49"/>
  <c r="S81" i="49"/>
  <c r="S269" i="49"/>
  <c r="H33" i="49"/>
  <c r="J578" i="49"/>
  <c r="AA73" i="49"/>
  <c r="J582" i="31"/>
  <c r="AA181" i="49"/>
  <c r="O245" i="49"/>
  <c r="T43" i="49"/>
  <c r="X353" i="49"/>
  <c r="Q402" i="49"/>
  <c r="AC465" i="49"/>
  <c r="R578" i="49"/>
  <c r="AC305" i="49"/>
  <c r="H163" i="49"/>
  <c r="V215" i="49"/>
  <c r="M82" i="49"/>
  <c r="V269" i="49"/>
  <c r="J281" i="31"/>
  <c r="V84" i="49"/>
  <c r="S28" i="49"/>
  <c r="K117" i="49"/>
  <c r="K484" i="49"/>
  <c r="U571" i="49"/>
  <c r="N207" i="49"/>
  <c r="G280" i="49"/>
  <c r="L311" i="31"/>
  <c r="G291" i="49"/>
  <c r="Y210" i="31"/>
  <c r="U615" i="49"/>
  <c r="U111" i="49"/>
  <c r="M161" i="49"/>
  <c r="N492" i="49"/>
  <c r="H243" i="49"/>
  <c r="R72" i="31"/>
  <c r="AC585" i="49"/>
  <c r="G42" i="31"/>
  <c r="AC535" i="49"/>
  <c r="I149" i="31"/>
  <c r="Y199" i="31"/>
  <c r="U316" i="31"/>
  <c r="J417" i="49"/>
  <c r="W10" i="31"/>
  <c r="R14" i="31"/>
  <c r="I251" i="31"/>
  <c r="Z254" i="31"/>
  <c r="U595" i="49"/>
  <c r="J248" i="49"/>
  <c r="W246" i="49"/>
  <c r="V23" i="31"/>
  <c r="N586" i="31"/>
  <c r="P357" i="49"/>
  <c r="U307" i="49"/>
  <c r="AD271" i="49"/>
  <c r="AC486" i="49"/>
  <c r="Y572" i="49"/>
  <c r="U605" i="49"/>
  <c r="Y283" i="49"/>
  <c r="Q394" i="31"/>
  <c r="I508" i="49"/>
  <c r="Z128" i="31"/>
  <c r="M325" i="31"/>
  <c r="O370" i="49"/>
  <c r="K545" i="49"/>
  <c r="I243" i="31"/>
  <c r="W72" i="31"/>
  <c r="V119" i="31"/>
  <c r="G317" i="31"/>
  <c r="Z610" i="31"/>
  <c r="N472" i="31"/>
  <c r="S40" i="31"/>
  <c r="J567" i="31"/>
  <c r="T606" i="31"/>
  <c r="X112" i="49"/>
  <c r="W227" i="49"/>
  <c r="X20" i="49"/>
  <c r="Y412" i="49"/>
  <c r="T204" i="49"/>
  <c r="AA25" i="49"/>
  <c r="AA185" i="31"/>
  <c r="Y280" i="49"/>
  <c r="AB211" i="49"/>
  <c r="AC131" i="49"/>
  <c r="P32" i="49"/>
  <c r="Y404" i="49"/>
  <c r="AB206" i="49"/>
  <c r="U24" i="49"/>
  <c r="Z33" i="49"/>
  <c r="AA53" i="49"/>
  <c r="O224" i="31"/>
  <c r="N273" i="49"/>
  <c r="Q509" i="31"/>
  <c r="R268" i="49"/>
  <c r="AB564" i="31"/>
  <c r="Y613" i="49"/>
  <c r="R246" i="49"/>
  <c r="M66" i="49"/>
  <c r="V402" i="49"/>
  <c r="L543" i="31"/>
  <c r="O552" i="31"/>
  <c r="P16" i="31"/>
  <c r="W277" i="49"/>
  <c r="Q336" i="49"/>
  <c r="J270" i="49"/>
  <c r="O222" i="31"/>
  <c r="O285" i="31"/>
  <c r="AA522" i="31"/>
  <c r="Y172" i="31"/>
  <c r="W311" i="31"/>
  <c r="O592" i="49"/>
  <c r="Z230" i="49"/>
  <c r="I613" i="49"/>
  <c r="S197" i="31"/>
  <c r="Y400" i="49"/>
  <c r="S209" i="49"/>
  <c r="K25" i="49"/>
  <c r="V148" i="49"/>
  <c r="S205" i="49"/>
  <c r="AA176" i="49"/>
  <c r="Z104" i="31"/>
  <c r="L16" i="49"/>
  <c r="Q75" i="31"/>
  <c r="O250" i="31"/>
  <c r="K598" i="31"/>
  <c r="U77" i="49"/>
  <c r="K126" i="49"/>
  <c r="K41" i="31"/>
  <c r="AA15" i="31"/>
  <c r="H335" i="31"/>
  <c r="I246" i="31"/>
  <c r="AD616" i="31"/>
  <c r="O434" i="49"/>
  <c r="AC34" i="49"/>
  <c r="Q249" i="49"/>
  <c r="J296" i="49"/>
  <c r="K498" i="49"/>
  <c r="W307" i="49"/>
  <c r="H375" i="49"/>
  <c r="W590" i="49"/>
  <c r="S128" i="49"/>
  <c r="I344" i="31"/>
  <c r="Q473" i="31"/>
  <c r="N179" i="31"/>
  <c r="AA593" i="31"/>
  <c r="X78" i="49"/>
  <c r="S67" i="49"/>
  <c r="AB405" i="49"/>
  <c r="J548" i="31"/>
  <c r="T404" i="31"/>
  <c r="Y455" i="49"/>
  <c r="V586" i="49"/>
  <c r="W234" i="49"/>
  <c r="O297" i="49"/>
  <c r="AA24" i="49"/>
  <c r="U587" i="49"/>
  <c r="AA117" i="49"/>
  <c r="S358" i="31"/>
  <c r="U271" i="31"/>
  <c r="T380" i="31"/>
  <c r="AC470" i="31"/>
  <c r="O43" i="31"/>
  <c r="X51" i="31"/>
  <c r="I92" i="31"/>
  <c r="Q21" i="31"/>
  <c r="J331" i="49"/>
  <c r="U579" i="49"/>
  <c r="I285" i="31"/>
  <c r="X60" i="49"/>
  <c r="X373" i="49"/>
  <c r="AC411" i="31"/>
  <c r="K78" i="49"/>
  <c r="G213" i="49"/>
  <c r="Q310" i="49"/>
  <c r="AD513" i="49"/>
  <c r="K545" i="31"/>
  <c r="R155" i="49"/>
  <c r="K312" i="31"/>
  <c r="V363" i="49"/>
  <c r="I44" i="31"/>
  <c r="X184" i="31"/>
  <c r="AC358" i="31"/>
  <c r="K53" i="31"/>
  <c r="H449" i="49"/>
  <c r="AC291" i="49"/>
  <c r="Q505" i="49"/>
  <c r="S296" i="49"/>
  <c r="AB483" i="31"/>
  <c r="X246" i="31"/>
  <c r="M248" i="49"/>
  <c r="J332" i="49"/>
  <c r="X417" i="49"/>
  <c r="V499" i="31"/>
  <c r="Y396" i="31"/>
  <c r="P132" i="49"/>
  <c r="H187" i="31"/>
  <c r="S577" i="31"/>
  <c r="W583" i="31"/>
  <c r="Q421" i="31"/>
  <c r="AB612" i="31"/>
  <c r="Z60" i="49"/>
  <c r="K10" i="49"/>
  <c r="M201" i="49"/>
  <c r="AA498" i="49"/>
  <c r="J257" i="49"/>
  <c r="T370" i="49"/>
  <c r="T330" i="49"/>
  <c r="X180" i="49"/>
  <c r="AA305" i="31"/>
  <c r="N191" i="49"/>
  <c r="H192" i="49"/>
  <c r="V195" i="49"/>
  <c r="P558" i="31"/>
  <c r="T205" i="49"/>
  <c r="K205" i="49"/>
  <c r="M213" i="49"/>
  <c r="L284" i="31"/>
  <c r="L77" i="49"/>
  <c r="K113" i="49"/>
  <c r="N82" i="49"/>
  <c r="M128" i="49"/>
  <c r="M500" i="49"/>
  <c r="S132" i="49"/>
  <c r="I60" i="31"/>
  <c r="AA296" i="31"/>
  <c r="I275" i="49"/>
  <c r="AD599" i="49"/>
  <c r="AB239" i="49"/>
  <c r="Q568" i="49"/>
  <c r="U533" i="49"/>
  <c r="I320" i="49"/>
  <c r="W371" i="49"/>
  <c r="P305" i="49"/>
  <c r="Q501" i="49"/>
  <c r="V544" i="49"/>
  <c r="P385" i="49"/>
  <c r="T445" i="49"/>
  <c r="AC135" i="49"/>
  <c r="AC32" i="49"/>
  <c r="P544" i="31"/>
  <c r="H58" i="49"/>
  <c r="X574" i="31"/>
  <c r="N192" i="49"/>
  <c r="H193" i="49"/>
  <c r="X193" i="49"/>
  <c r="O485" i="49"/>
  <c r="K571" i="49"/>
  <c r="I209" i="49"/>
  <c r="U281" i="49"/>
  <c r="O373" i="31"/>
  <c r="Q292" i="49"/>
  <c r="X170" i="31"/>
  <c r="K615" i="49"/>
  <c r="AA112" i="49"/>
  <c r="S162" i="49"/>
  <c r="G493" i="49"/>
  <c r="H244" i="49"/>
  <c r="X75" i="31"/>
  <c r="S585" i="49"/>
  <c r="Q45" i="31"/>
  <c r="S535" i="49"/>
  <c r="O152" i="31"/>
  <c r="I203" i="31"/>
  <c r="Y593" i="31"/>
  <c r="J425" i="49"/>
  <c r="G14" i="31"/>
  <c r="X17" i="31"/>
  <c r="K274" i="49"/>
  <c r="O512" i="49"/>
  <c r="W281" i="49"/>
  <c r="K478" i="31"/>
  <c r="K599" i="49"/>
  <c r="M103" i="49"/>
  <c r="AC151" i="49"/>
  <c r="K490" i="49"/>
  <c r="U239" i="49"/>
  <c r="W140" i="31"/>
  <c r="J567" i="49"/>
  <c r="I545" i="31"/>
  <c r="V532" i="49"/>
  <c r="O319" i="49"/>
  <c r="G371" i="49"/>
  <c r="Z304" i="49"/>
  <c r="G501" i="49"/>
  <c r="AC274" i="31"/>
  <c r="Z384" i="49"/>
  <c r="W236" i="31"/>
  <c r="M135" i="49"/>
  <c r="AC64" i="31"/>
  <c r="M68" i="31"/>
  <c r="X42" i="49"/>
  <c r="V160" i="49"/>
  <c r="X560" i="49"/>
  <c r="L59" i="49"/>
  <c r="Z617" i="49"/>
  <c r="U94" i="49"/>
  <c r="V483" i="49"/>
  <c r="G570" i="49"/>
  <c r="AC207" i="49"/>
  <c r="AC277" i="49"/>
  <c r="M338" i="31"/>
  <c r="G289" i="49"/>
  <c r="R114" i="31"/>
  <c r="J608" i="49"/>
  <c r="Y363" i="49"/>
  <c r="M159" i="49"/>
  <c r="AC492" i="49"/>
  <c r="P242" i="49"/>
  <c r="T100" i="31"/>
  <c r="L578" i="49"/>
  <c r="T21" i="31"/>
  <c r="S140" i="31"/>
  <c r="H12" i="49"/>
  <c r="Z29" i="49"/>
  <c r="S63" i="31"/>
  <c r="V270" i="31"/>
  <c r="AC335" i="31"/>
  <c r="K93" i="31"/>
  <c r="N483" i="31"/>
  <c r="AB444" i="31"/>
  <c r="S227" i="31"/>
  <c r="Z572" i="31"/>
  <c r="L346" i="31"/>
  <c r="K454" i="49"/>
  <c r="Z133" i="49"/>
  <c r="X587" i="31"/>
  <c r="R317" i="31"/>
  <c r="H110" i="49"/>
  <c r="AD94" i="31"/>
  <c r="S535" i="31"/>
  <c r="S207" i="31"/>
  <c r="P432" i="49"/>
  <c r="O516" i="31"/>
  <c r="K183" i="31"/>
  <c r="V523" i="31"/>
  <c r="X324" i="31"/>
  <c r="S431" i="31"/>
  <c r="N484" i="31"/>
  <c r="R571" i="31"/>
  <c r="L224" i="49"/>
  <c r="H352" i="31"/>
  <c r="K428" i="49"/>
  <c r="R141" i="49"/>
  <c r="P589" i="31"/>
  <c r="J400" i="31"/>
  <c r="X455" i="31"/>
  <c r="P70" i="49"/>
  <c r="X349" i="49"/>
  <c r="S422" i="49"/>
  <c r="X22" i="49"/>
  <c r="H318" i="49"/>
  <c r="U299" i="49"/>
  <c r="X170" i="49"/>
  <c r="J225" i="49"/>
  <c r="L272" i="31"/>
  <c r="L264" i="49"/>
  <c r="O498" i="31"/>
  <c r="Y439" i="31"/>
  <c r="Y380" i="31"/>
  <c r="I319" i="31"/>
  <c r="J404" i="31"/>
  <c r="Z460" i="31"/>
  <c r="X74" i="49"/>
  <c r="R350" i="49"/>
  <c r="S401" i="49"/>
  <c r="J27" i="49"/>
  <c r="H616" i="49"/>
  <c r="K302" i="49"/>
  <c r="H174" i="49"/>
  <c r="S231" i="49"/>
  <c r="R279" i="31"/>
  <c r="T266" i="49"/>
  <c r="L358" i="31"/>
  <c r="K411" i="49"/>
  <c r="J145" i="49"/>
  <c r="G446" i="49"/>
  <c r="L411" i="31"/>
  <c r="J468" i="31"/>
  <c r="Z81" i="49"/>
  <c r="H351" i="49"/>
  <c r="W432" i="49"/>
  <c r="J33" i="49"/>
  <c r="H489" i="49"/>
  <c r="I303" i="49"/>
  <c r="H182" i="49"/>
  <c r="AB240" i="49"/>
  <c r="L280" i="31"/>
  <c r="U269" i="49"/>
  <c r="T505" i="31"/>
  <c r="X142" i="49"/>
  <c r="T475" i="49"/>
  <c r="T364" i="31"/>
  <c r="Q483" i="49"/>
  <c r="W570" i="49"/>
  <c r="AD206" i="49"/>
  <c r="M277" i="49"/>
  <c r="O312" i="31"/>
  <c r="O287" i="49"/>
  <c r="X154" i="31"/>
  <c r="J606" i="49"/>
  <c r="AC105" i="49"/>
  <c r="U155" i="49"/>
  <c r="I491" i="49"/>
  <c r="V239" i="49"/>
  <c r="Z64" i="31"/>
  <c r="L576" i="49"/>
  <c r="O34" i="31"/>
  <c r="AD533" i="49"/>
  <c r="G323" i="49"/>
  <c r="W373" i="49"/>
  <c r="U514" i="31"/>
  <c r="R407" i="49"/>
  <c r="AD351" i="31"/>
  <c r="AC326" i="31"/>
  <c r="O244" i="31"/>
  <c r="J248" i="31"/>
  <c r="AA59" i="49"/>
  <c r="AB571" i="49"/>
  <c r="L23" i="49"/>
  <c r="P165" i="31"/>
  <c r="O241" i="49"/>
  <c r="X323" i="49"/>
  <c r="O272" i="49"/>
  <c r="K19" i="31"/>
  <c r="AD484" i="49"/>
  <c r="AA571" i="49"/>
  <c r="Y209" i="49"/>
  <c r="W280" i="49"/>
  <c r="Q594" i="31"/>
  <c r="W291" i="49"/>
  <c r="H121" i="31"/>
  <c r="AA615" i="49"/>
  <c r="U367" i="49"/>
  <c r="AC161" i="49"/>
  <c r="W493" i="49"/>
  <c r="O243" i="49"/>
  <c r="V111" i="31"/>
  <c r="M585" i="49"/>
  <c r="U336" i="31"/>
  <c r="N290" i="31"/>
  <c r="V99" i="31"/>
  <c r="W233" i="31"/>
  <c r="J433" i="31"/>
  <c r="AA179" i="31"/>
  <c r="M410" i="31"/>
  <c r="O410" i="31"/>
  <c r="L332" i="49"/>
  <c r="L322" i="49"/>
  <c r="Z400" i="31"/>
  <c r="U261" i="31"/>
  <c r="R183" i="49"/>
  <c r="AA451" i="31"/>
  <c r="H425" i="31"/>
  <c r="O402" i="31"/>
  <c r="H348" i="31"/>
  <c r="Z116" i="49"/>
  <c r="R229" i="31"/>
  <c r="Z567" i="31"/>
  <c r="K450" i="49"/>
  <c r="K54" i="49"/>
  <c r="V379" i="31"/>
  <c r="AD290" i="31"/>
  <c r="H138" i="49"/>
  <c r="S151" i="49"/>
  <c r="AB551" i="49"/>
  <c r="K55" i="49"/>
  <c r="V588" i="31"/>
  <c r="S261" i="31"/>
  <c r="L194" i="49"/>
  <c r="U458" i="31"/>
  <c r="Z430" i="31"/>
  <c r="R457" i="49"/>
  <c r="K203" i="49"/>
  <c r="AD363" i="49"/>
  <c r="V70" i="49"/>
  <c r="AC385" i="31"/>
  <c r="U270" i="49"/>
  <c r="R14" i="49"/>
  <c r="U17" i="49"/>
  <c r="J190" i="31"/>
  <c r="Z190" i="49"/>
  <c r="T259" i="49"/>
  <c r="AC106" i="49"/>
  <c r="L48" i="31"/>
  <c r="H87" i="49"/>
  <c r="S30" i="49"/>
  <c r="AA119" i="49"/>
  <c r="G330" i="31"/>
  <c r="R211" i="49"/>
  <c r="AB536" i="49"/>
  <c r="T75" i="49"/>
  <c r="Q84" i="31"/>
  <c r="U224" i="49"/>
  <c r="R18" i="49"/>
  <c r="AA20" i="49"/>
  <c r="AB511" i="31"/>
  <c r="R194" i="49"/>
  <c r="M263" i="49"/>
  <c r="J211" i="49"/>
  <c r="L331" i="31"/>
  <c r="L91" i="49"/>
  <c r="M33" i="49"/>
  <c r="U122" i="49"/>
  <c r="P462" i="49"/>
  <c r="W323" i="49"/>
  <c r="Q374" i="49"/>
  <c r="R308" i="49"/>
  <c r="AC283" i="31"/>
  <c r="Q594" i="49"/>
  <c r="Z244" i="49"/>
  <c r="S240" i="49"/>
  <c r="P193" i="31"/>
  <c r="S486" i="49"/>
  <c r="AC573" i="49"/>
  <c r="R213" i="49"/>
  <c r="U266" i="31"/>
  <c r="AA139" i="49"/>
  <c r="I404" i="49"/>
  <c r="L115" i="49"/>
  <c r="J503" i="31"/>
  <c r="X76" i="31"/>
  <c r="J135" i="31"/>
  <c r="Z31" i="49"/>
  <c r="N132" i="49"/>
  <c r="X367" i="31"/>
  <c r="L137" i="49"/>
  <c r="M242" i="31"/>
  <c r="P145" i="49"/>
  <c r="R500" i="31"/>
  <c r="R466" i="31"/>
  <c r="R51" i="49"/>
  <c r="AC285" i="49"/>
  <c r="V577" i="31"/>
  <c r="H248" i="49"/>
  <c r="L124" i="49"/>
  <c r="I503" i="49"/>
  <c r="W325" i="49"/>
  <c r="Q378" i="49"/>
  <c r="H311" i="49"/>
  <c r="I587" i="31"/>
  <c r="P374" i="31"/>
  <c r="H53" i="31"/>
  <c r="AA155" i="49"/>
  <c r="M461" i="49"/>
  <c r="U403" i="49"/>
  <c r="AA259" i="49"/>
  <c r="S580" i="31"/>
  <c r="L37" i="49"/>
  <c r="U182" i="49"/>
  <c r="Q396" i="49"/>
  <c r="X163" i="49"/>
  <c r="K263" i="49"/>
  <c r="U60" i="49"/>
  <c r="AB579" i="49"/>
  <c r="J24" i="49"/>
  <c r="T220" i="31"/>
  <c r="V275" i="31"/>
  <c r="Y87" i="31"/>
  <c r="G210" i="49"/>
  <c r="T444" i="49"/>
  <c r="AC64" i="49"/>
  <c r="X535" i="31"/>
  <c r="J48" i="49"/>
  <c r="R176" i="31"/>
  <c r="G193" i="31"/>
  <c r="V206" i="31"/>
  <c r="L543" i="49"/>
  <c r="T497" i="31"/>
  <c r="U60" i="31"/>
  <c r="R275" i="31"/>
  <c r="H585" i="49"/>
  <c r="S69" i="49"/>
  <c r="X577" i="31"/>
  <c r="AB488" i="49"/>
  <c r="J60" i="49"/>
  <c r="Z560" i="49"/>
  <c r="AA97" i="49"/>
  <c r="U31" i="31"/>
  <c r="H65" i="49"/>
  <c r="AA12" i="49"/>
  <c r="AA95" i="49"/>
  <c r="M468" i="31"/>
  <c r="T61" i="49"/>
  <c r="AA10" i="49"/>
  <c r="U96" i="49"/>
  <c r="Z243" i="49"/>
  <c r="I576" i="49"/>
  <c r="AC560" i="49"/>
  <c r="AD549" i="49"/>
  <c r="AC375" i="31"/>
  <c r="N424" i="49"/>
  <c r="J204" i="31"/>
  <c r="X327" i="49"/>
  <c r="M573" i="49"/>
  <c r="Z135" i="31"/>
  <c r="I593" i="31"/>
  <c r="G20" i="31"/>
  <c r="I588" i="49"/>
  <c r="X247" i="49"/>
  <c r="O317" i="49"/>
  <c r="G369" i="49"/>
  <c r="Z302" i="49"/>
  <c r="S500" i="49"/>
  <c r="H534" i="49"/>
  <c r="X381" i="49"/>
  <c r="X437" i="49"/>
  <c r="M133" i="49"/>
  <c r="H616" i="31"/>
  <c r="T361" i="31"/>
  <c r="X141" i="31"/>
  <c r="P489" i="31"/>
  <c r="P63" i="49"/>
  <c r="U11" i="49"/>
  <c r="K97" i="49"/>
  <c r="U484" i="49"/>
  <c r="Q570" i="49"/>
  <c r="M207" i="49"/>
  <c r="S278" i="49"/>
  <c r="O534" i="31"/>
  <c r="W289" i="49"/>
  <c r="Z161" i="31"/>
  <c r="L611" i="49"/>
  <c r="K110" i="49"/>
  <c r="AC159" i="49"/>
  <c r="M492" i="49"/>
  <c r="Q243" i="49"/>
  <c r="J68" i="31"/>
  <c r="L580" i="49"/>
  <c r="W38" i="31"/>
  <c r="Y534" i="49"/>
  <c r="Y145" i="31"/>
  <c r="O196" i="31"/>
  <c r="U589" i="31"/>
  <c r="V411" i="49"/>
  <c r="AD454" i="31"/>
  <c r="H11" i="31"/>
  <c r="AA496" i="31"/>
  <c r="P251" i="31"/>
  <c r="AA77" i="49"/>
  <c r="Z556" i="31"/>
  <c r="Z282" i="49"/>
  <c r="X181" i="31"/>
  <c r="H501" i="49"/>
  <c r="X140" i="31"/>
  <c r="I521" i="31"/>
  <c r="Q23" i="31"/>
  <c r="I96" i="31"/>
  <c r="H83" i="49"/>
  <c r="U114" i="49"/>
  <c r="U606" i="31"/>
  <c r="AB397" i="49"/>
  <c r="K342" i="49"/>
  <c r="U496" i="31"/>
  <c r="AC525" i="49"/>
  <c r="P167" i="31"/>
  <c r="J278" i="49"/>
  <c r="I135" i="31"/>
  <c r="W40" i="31"/>
  <c r="I56" i="31"/>
  <c r="Q235" i="31"/>
  <c r="W103" i="31"/>
  <c r="U303" i="31"/>
  <c r="M479" i="49"/>
  <c r="G207" i="31"/>
  <c r="M571" i="31"/>
  <c r="Y264" i="49"/>
  <c r="J526" i="49"/>
  <c r="U22" i="31"/>
  <c r="AA571" i="31"/>
  <c r="L430" i="49"/>
  <c r="I364" i="49"/>
  <c r="X375" i="49"/>
  <c r="S610" i="31"/>
  <c r="P27" i="31"/>
  <c r="H139" i="31"/>
  <c r="AB284" i="31"/>
  <c r="W110" i="31"/>
  <c r="Q19" i="31"/>
  <c r="S597" i="49"/>
  <c r="J394" i="31"/>
  <c r="AD570" i="31"/>
  <c r="V271" i="31"/>
  <c r="U58" i="49"/>
  <c r="W189" i="31"/>
  <c r="W327" i="49"/>
  <c r="J316" i="49"/>
  <c r="Y434" i="49"/>
  <c r="V37" i="31"/>
  <c r="G260" i="49"/>
  <c r="L518" i="49"/>
  <c r="AB554" i="49"/>
  <c r="AB431" i="49"/>
  <c r="R365" i="31"/>
  <c r="M66" i="31"/>
  <c r="S101" i="31"/>
  <c r="L491" i="31"/>
  <c r="R111" i="49"/>
  <c r="U422" i="31"/>
  <c r="W361" i="31"/>
  <c r="G298" i="49"/>
  <c r="P319" i="31"/>
  <c r="AA381" i="31"/>
  <c r="S332" i="31"/>
  <c r="Y345" i="31"/>
  <c r="AA141" i="31"/>
  <c r="W364" i="31"/>
  <c r="K374" i="31"/>
  <c r="Y467" i="31"/>
  <c r="P102" i="49"/>
  <c r="Z411" i="31"/>
  <c r="J419" i="31"/>
  <c r="L265" i="49"/>
  <c r="P162" i="49"/>
  <c r="K11" i="49"/>
  <c r="X334" i="49"/>
  <c r="U14" i="49"/>
  <c r="Y298" i="49"/>
  <c r="Y316" i="49"/>
  <c r="W259" i="31"/>
  <c r="M501" i="31"/>
  <c r="U37" i="49"/>
  <c r="J480" i="49"/>
  <c r="K515" i="49"/>
  <c r="W360" i="49"/>
  <c r="O148" i="31"/>
  <c r="P613" i="49"/>
  <c r="P96" i="31"/>
  <c r="R524" i="31"/>
  <c r="Z551" i="31"/>
  <c r="J16" i="49"/>
  <c r="O290" i="49"/>
  <c r="P472" i="31"/>
  <c r="O251" i="49"/>
  <c r="Y373" i="31"/>
  <c r="W505" i="49"/>
  <c r="U415" i="49"/>
  <c r="S237" i="49"/>
  <c r="T320" i="31"/>
  <c r="AD323" i="49"/>
  <c r="Z552" i="49"/>
  <c r="J273" i="49"/>
  <c r="U265" i="49"/>
  <c r="R516" i="31"/>
  <c r="J545" i="31"/>
  <c r="R61" i="49"/>
  <c r="I289" i="49"/>
  <c r="X618" i="31"/>
  <c r="X251" i="49"/>
  <c r="Q232" i="31"/>
  <c r="S504" i="49"/>
  <c r="AB607" i="31"/>
  <c r="X564" i="31"/>
  <c r="T21" i="49"/>
  <c r="S292" i="49"/>
  <c r="L578" i="31"/>
  <c r="Q255" i="49"/>
  <c r="AB124" i="49"/>
  <c r="V505" i="49"/>
  <c r="G327" i="49"/>
  <c r="X50" i="49"/>
  <c r="Q380" i="49"/>
  <c r="I489" i="31"/>
  <c r="R312" i="49"/>
  <c r="R56" i="31"/>
  <c r="AC69" i="49"/>
  <c r="M258" i="49"/>
  <c r="Y438" i="49"/>
  <c r="AD337" i="49"/>
  <c r="S556" i="31"/>
  <c r="AB504" i="49"/>
  <c r="G483" i="49"/>
  <c r="M492" i="31"/>
  <c r="M105" i="49"/>
  <c r="V95" i="31"/>
  <c r="Q322" i="49"/>
  <c r="O546" i="49"/>
  <c r="K57" i="49"/>
  <c r="H173" i="31"/>
  <c r="AA254" i="31"/>
  <c r="W250" i="49"/>
  <c r="P603" i="49"/>
  <c r="J493" i="49"/>
  <c r="V406" i="49"/>
  <c r="S350" i="49"/>
  <c r="U294" i="31"/>
  <c r="Y563" i="49"/>
  <c r="H175" i="31"/>
  <c r="Z280" i="49"/>
  <c r="W142" i="31"/>
  <c r="W497" i="31"/>
  <c r="Q146" i="49"/>
  <c r="R191" i="31"/>
  <c r="G197" i="49"/>
  <c r="I63" i="31"/>
  <c r="P291" i="31"/>
  <c r="AB396" i="49"/>
  <c r="V492" i="31"/>
  <c r="V66" i="49"/>
  <c r="V570" i="49"/>
  <c r="Q290" i="49"/>
  <c r="S160" i="49"/>
  <c r="L582" i="49"/>
  <c r="AB401" i="49"/>
  <c r="L34" i="31"/>
  <c r="K474" i="49"/>
  <c r="J34" i="31"/>
  <c r="Z146" i="31"/>
  <c r="AD446" i="31"/>
  <c r="Q117" i="31"/>
  <c r="Z587" i="49"/>
  <c r="Q598" i="49"/>
  <c r="X451" i="31"/>
  <c r="J182" i="49"/>
  <c r="G225" i="49"/>
  <c r="AA222" i="31"/>
  <c r="M462" i="31"/>
  <c r="J574" i="49"/>
  <c r="J616" i="49"/>
  <c r="X138" i="49"/>
  <c r="T587" i="49"/>
  <c r="AC130" i="49"/>
  <c r="P522" i="49"/>
  <c r="L603" i="31"/>
  <c r="J358" i="49"/>
  <c r="K308" i="49"/>
  <c r="U273" i="49"/>
  <c r="P317" i="31"/>
  <c r="Z358" i="49"/>
  <c r="I309" i="49"/>
  <c r="AB273" i="49"/>
  <c r="P197" i="49"/>
  <c r="P359" i="49"/>
  <c r="Y309" i="49"/>
  <c r="L273" i="49"/>
  <c r="AB269" i="49"/>
  <c r="I283" i="49"/>
  <c r="O616" i="49"/>
  <c r="Z299" i="49"/>
  <c r="R54" i="31"/>
  <c r="V437" i="49"/>
  <c r="W268" i="31"/>
  <c r="T279" i="31"/>
  <c r="O100" i="31"/>
  <c r="X210" i="31"/>
  <c r="M484" i="31"/>
  <c r="Q79" i="31"/>
  <c r="P581" i="49"/>
  <c r="O534" i="49"/>
  <c r="V516" i="49"/>
  <c r="V396" i="49"/>
  <c r="W498" i="31"/>
  <c r="AA277" i="31"/>
  <c r="S547" i="49"/>
  <c r="L30" i="31"/>
  <c r="V456" i="49"/>
  <c r="Z499" i="49"/>
  <c r="S63" i="49"/>
  <c r="N534" i="31"/>
  <c r="L41" i="49"/>
  <c r="H513" i="49"/>
  <c r="J360" i="49"/>
  <c r="O310" i="49"/>
  <c r="S273" i="49"/>
  <c r="M486" i="49"/>
  <c r="I572" i="49"/>
  <c r="Q49" i="31"/>
  <c r="Z150" i="31"/>
  <c r="S615" i="31"/>
  <c r="Q121" i="31"/>
  <c r="X180" i="31"/>
  <c r="O544" i="31"/>
  <c r="Z224" i="31"/>
  <c r="AD311" i="31"/>
  <c r="N454" i="49"/>
  <c r="Z309" i="49"/>
  <c r="P83" i="31"/>
  <c r="I537" i="31"/>
  <c r="G54" i="31"/>
  <c r="X57" i="31"/>
  <c r="I163" i="31"/>
  <c r="W210" i="31"/>
  <c r="J363" i="31"/>
  <c r="H140" i="49"/>
  <c r="W20" i="31"/>
  <c r="Z161" i="49"/>
  <c r="V51" i="31"/>
  <c r="J138" i="49"/>
  <c r="U446" i="49"/>
  <c r="U237" i="49"/>
  <c r="Z258" i="49"/>
  <c r="P258" i="31"/>
  <c r="Y103" i="31"/>
  <c r="X214" i="31"/>
  <c r="M330" i="31"/>
  <c r="Y83" i="31"/>
  <c r="Q160" i="31"/>
  <c r="Q297" i="49"/>
  <c r="R439" i="49"/>
  <c r="P329" i="49"/>
  <c r="P413" i="49"/>
  <c r="U395" i="31"/>
  <c r="Y503" i="31"/>
  <c r="G601" i="49"/>
  <c r="X183" i="31"/>
  <c r="U594" i="31"/>
  <c r="O150" i="31"/>
  <c r="AA554" i="31"/>
  <c r="Q70" i="31"/>
  <c r="R225" i="31"/>
  <c r="I120" i="31"/>
  <c r="W92" i="31"/>
  <c r="R296" i="31"/>
  <c r="AA582" i="31"/>
  <c r="X497" i="31"/>
  <c r="H615" i="31"/>
  <c r="H93" i="31"/>
  <c r="J129" i="49"/>
  <c r="O597" i="31"/>
  <c r="R140" i="49"/>
  <c r="W375" i="49"/>
  <c r="Z81" i="31"/>
  <c r="T252" i="49"/>
  <c r="R446" i="31"/>
  <c r="R154" i="31"/>
  <c r="AD63" i="49"/>
  <c r="G124" i="31"/>
  <c r="Y243" i="31"/>
  <c r="O603" i="31"/>
  <c r="J67" i="49"/>
  <c r="L441" i="31"/>
  <c r="K20" i="49"/>
  <c r="R209" i="49"/>
  <c r="M27" i="49"/>
  <c r="W367" i="49"/>
  <c r="R380" i="49"/>
  <c r="S504" i="31"/>
  <c r="V55" i="31"/>
  <c r="J193" i="31"/>
  <c r="AD545" i="49"/>
  <c r="AC479" i="49"/>
  <c r="I27" i="31"/>
  <c r="N597" i="49"/>
  <c r="AC33" i="49"/>
  <c r="AD295" i="49"/>
  <c r="H368" i="31"/>
  <c r="I261" i="49"/>
  <c r="H434" i="49"/>
  <c r="Z425" i="49"/>
  <c r="M240" i="49"/>
  <c r="Q310" i="31"/>
  <c r="U519" i="49"/>
  <c r="O550" i="49"/>
  <c r="AA595" i="49"/>
  <c r="K259" i="49"/>
  <c r="H122" i="31"/>
  <c r="I129" i="31"/>
  <c r="AD501" i="31"/>
  <c r="I277" i="31"/>
  <c r="H570" i="31"/>
  <c r="X255" i="49"/>
  <c r="V237" i="49"/>
  <c r="O344" i="49"/>
  <c r="K268" i="31"/>
  <c r="H247" i="49"/>
  <c r="U577" i="31"/>
  <c r="V465" i="49"/>
  <c r="L200" i="31"/>
  <c r="V563" i="49"/>
  <c r="X118" i="31"/>
  <c r="AD67" i="49"/>
  <c r="W536" i="49"/>
  <c r="Q493" i="49"/>
  <c r="Y36" i="31"/>
  <c r="G250" i="49"/>
  <c r="AC81" i="49"/>
  <c r="O341" i="49"/>
  <c r="P617" i="31"/>
  <c r="J224" i="31"/>
  <c r="P478" i="49"/>
  <c r="G407" i="31"/>
  <c r="X479" i="49"/>
  <c r="V514" i="31"/>
  <c r="S488" i="49"/>
  <c r="J379" i="49"/>
  <c r="T146" i="31"/>
  <c r="M601" i="31"/>
  <c r="Q253" i="49"/>
  <c r="L185" i="49"/>
  <c r="J281" i="49"/>
  <c r="AB282" i="49"/>
  <c r="I260" i="31"/>
  <c r="S33" i="31"/>
  <c r="L560" i="49"/>
  <c r="J234" i="49"/>
  <c r="H23" i="31"/>
  <c r="G268" i="49"/>
  <c r="W272" i="31"/>
  <c r="G277" i="49"/>
  <c r="S363" i="31"/>
  <c r="AC597" i="49"/>
  <c r="AA488" i="31"/>
  <c r="J66" i="31"/>
  <c r="J27" i="31"/>
  <c r="W292" i="31"/>
  <c r="Q281" i="31"/>
  <c r="P105" i="31"/>
  <c r="H556" i="49"/>
  <c r="K419" i="49"/>
  <c r="L419" i="49"/>
  <c r="AA226" i="49"/>
  <c r="S543" i="31"/>
  <c r="AD438" i="31"/>
  <c r="K184" i="49"/>
  <c r="P42" i="31"/>
  <c r="Y29" i="31"/>
  <c r="X259" i="31"/>
  <c r="O590" i="31"/>
  <c r="P309" i="31"/>
  <c r="U477" i="31"/>
  <c r="Y344" i="31"/>
  <c r="W473" i="49"/>
  <c r="H215" i="31"/>
  <c r="R586" i="49"/>
  <c r="R101" i="31"/>
  <c r="AB439" i="49"/>
  <c r="X250" i="31"/>
  <c r="P577" i="49"/>
  <c r="G511" i="31"/>
  <c r="J310" i="31"/>
  <c r="Y38" i="31"/>
  <c r="V357" i="31"/>
  <c r="Z422" i="31"/>
  <c r="W90" i="31"/>
  <c r="K582" i="31"/>
  <c r="N593" i="31"/>
  <c r="Y348" i="31"/>
  <c r="AA210" i="49"/>
  <c r="AA424" i="31"/>
  <c r="P430" i="31"/>
  <c r="Q350" i="49"/>
  <c r="N307" i="49"/>
  <c r="Q536" i="49"/>
  <c r="L425" i="31"/>
  <c r="K140" i="49"/>
  <c r="T560" i="31"/>
  <c r="W351" i="49"/>
  <c r="T196" i="49"/>
  <c r="O329" i="49"/>
  <c r="N79" i="31"/>
  <c r="AD537" i="49"/>
  <c r="S360" i="31"/>
  <c r="L508" i="49"/>
  <c r="I428" i="31"/>
  <c r="I358" i="49"/>
  <c r="N386" i="31"/>
  <c r="O57" i="31"/>
  <c r="Z291" i="31"/>
  <c r="Y125" i="49"/>
  <c r="H237" i="49"/>
  <c r="AA322" i="31"/>
  <c r="J517" i="31"/>
  <c r="G405" i="31"/>
  <c r="L352" i="31"/>
  <c r="R420" i="31"/>
  <c r="Q111" i="31"/>
  <c r="O618" i="31"/>
  <c r="G457" i="49"/>
  <c r="X536" i="49"/>
  <c r="S447" i="49"/>
  <c r="I189" i="31"/>
  <c r="U41" i="49"/>
  <c r="S617" i="31"/>
  <c r="V103" i="31"/>
  <c r="U122" i="31"/>
  <c r="J412" i="31"/>
  <c r="V581" i="31"/>
  <c r="Q324" i="49"/>
  <c r="S163" i="49"/>
  <c r="G379" i="49"/>
  <c r="Z85" i="31"/>
  <c r="AA322" i="49"/>
  <c r="Z303" i="31"/>
  <c r="I221" i="49"/>
  <c r="M164" i="49"/>
  <c r="W379" i="49"/>
  <c r="H367" i="49"/>
  <c r="Y386" i="49"/>
  <c r="K76" i="49"/>
  <c r="L73" i="49"/>
  <c r="AA118" i="49"/>
  <c r="X204" i="49"/>
  <c r="AB580" i="49"/>
  <c r="U537" i="49"/>
  <c r="G353" i="49"/>
  <c r="U325" i="49"/>
  <c r="AA172" i="49"/>
  <c r="Q567" i="31"/>
  <c r="I346" i="49"/>
  <c r="P209" i="49"/>
  <c r="V497" i="49"/>
  <c r="O49" i="31"/>
  <c r="V45" i="31"/>
  <c r="M543" i="49"/>
  <c r="V440" i="49"/>
  <c r="U552" i="31"/>
  <c r="O164" i="31"/>
  <c r="Q510" i="49"/>
  <c r="Q64" i="31"/>
  <c r="I385" i="31"/>
  <c r="I114" i="31"/>
  <c r="Q102" i="31"/>
  <c r="AA183" i="49"/>
  <c r="L204" i="31"/>
  <c r="AC617" i="49"/>
  <c r="Z613" i="49"/>
  <c r="AC201" i="49"/>
  <c r="S589" i="49"/>
  <c r="AA490" i="49"/>
  <c r="I486" i="31"/>
  <c r="J304" i="49"/>
  <c r="L441" i="49"/>
  <c r="N367" i="31"/>
  <c r="Q308" i="49"/>
  <c r="AA78" i="49"/>
  <c r="I585" i="31"/>
  <c r="Q338" i="49"/>
  <c r="AA570" i="31"/>
  <c r="H591" i="31"/>
  <c r="J149" i="49"/>
  <c r="J31" i="31"/>
  <c r="V331" i="31"/>
  <c r="X401" i="31"/>
  <c r="P318" i="31"/>
  <c r="S464" i="49"/>
  <c r="M191" i="49"/>
  <c r="O397" i="49"/>
  <c r="AC191" i="49"/>
  <c r="L12" i="49"/>
  <c r="M195" i="49"/>
  <c r="J233" i="31"/>
  <c r="X339" i="49"/>
  <c r="W133" i="31"/>
  <c r="L603" i="49"/>
  <c r="N278" i="31"/>
  <c r="W48" i="31"/>
  <c r="Z332" i="31"/>
  <c r="M610" i="31"/>
  <c r="P403" i="31"/>
  <c r="J344" i="49"/>
  <c r="T28" i="49"/>
  <c r="R470" i="49"/>
  <c r="X606" i="49"/>
  <c r="AD521" i="49"/>
  <c r="I14" i="49"/>
  <c r="H235" i="49"/>
  <c r="Y495" i="31"/>
  <c r="X446" i="31"/>
  <c r="U91" i="49"/>
  <c r="M145" i="49"/>
  <c r="Y358" i="49"/>
  <c r="R50" i="31"/>
  <c r="X187" i="31"/>
  <c r="S235" i="31"/>
  <c r="J242" i="31"/>
  <c r="I350" i="31"/>
  <c r="K597" i="31"/>
  <c r="Q220" i="31"/>
  <c r="L142" i="31"/>
  <c r="X279" i="31"/>
  <c r="K507" i="49"/>
  <c r="T128" i="49"/>
  <c r="I524" i="49"/>
  <c r="L180" i="49"/>
  <c r="Q330" i="31"/>
  <c r="L114" i="49"/>
  <c r="J587" i="31"/>
  <c r="J205" i="31"/>
  <c r="G361" i="31"/>
  <c r="W395" i="31"/>
  <c r="O563" i="31"/>
  <c r="Y446" i="31"/>
  <c r="P142" i="31"/>
  <c r="Y20" i="31"/>
  <c r="P182" i="31"/>
  <c r="AA444" i="31"/>
  <c r="P185" i="49"/>
  <c r="Y252" i="49"/>
  <c r="P11" i="49"/>
  <c r="N562" i="31"/>
  <c r="Y520" i="49"/>
  <c r="I124" i="31"/>
  <c r="N547" i="49"/>
  <c r="H595" i="31"/>
  <c r="S346" i="49"/>
  <c r="K445" i="49"/>
  <c r="T289" i="31"/>
  <c r="S239" i="31"/>
  <c r="AA369" i="31"/>
  <c r="AD287" i="31"/>
  <c r="W427" i="49"/>
  <c r="V353" i="49"/>
  <c r="V594" i="49"/>
  <c r="V371" i="49"/>
  <c r="P27" i="49"/>
  <c r="X122" i="31"/>
  <c r="K612" i="49"/>
  <c r="AB602" i="31"/>
  <c r="H97" i="31"/>
  <c r="G379" i="31"/>
  <c r="T564" i="49"/>
  <c r="AC336" i="31"/>
  <c r="Z78" i="49"/>
  <c r="AA111" i="49"/>
  <c r="Z332" i="49"/>
  <c r="R555" i="31"/>
  <c r="Y468" i="49"/>
  <c r="L302" i="31"/>
  <c r="AC303" i="31"/>
  <c r="W14" i="31"/>
  <c r="K181" i="31"/>
  <c r="I131" i="31"/>
  <c r="Y512" i="31"/>
  <c r="M504" i="49"/>
  <c r="K282" i="49"/>
  <c r="N585" i="49"/>
  <c r="Y110" i="31"/>
  <c r="T64" i="31"/>
  <c r="Q548" i="49"/>
  <c r="R594" i="49"/>
  <c r="R338" i="49"/>
  <c r="H232" i="49"/>
  <c r="M199" i="49"/>
  <c r="I72" i="31"/>
  <c r="AC199" i="49"/>
  <c r="Y120" i="31"/>
  <c r="Z591" i="49"/>
  <c r="Z516" i="49"/>
  <c r="N213" i="31"/>
  <c r="L102" i="31"/>
  <c r="S318" i="49"/>
  <c r="Y606" i="49"/>
  <c r="J132" i="31"/>
  <c r="O246" i="31"/>
  <c r="G608" i="49"/>
  <c r="H42" i="49"/>
  <c r="S372" i="31"/>
  <c r="Z252" i="49"/>
  <c r="G180" i="31"/>
  <c r="S82" i="49"/>
  <c r="S337" i="31"/>
  <c r="I342" i="49"/>
  <c r="AB440" i="49"/>
  <c r="AA502" i="49"/>
  <c r="AA96" i="49"/>
  <c r="G105" i="31"/>
  <c r="M467" i="31"/>
  <c r="X263" i="31"/>
  <c r="AB462" i="49"/>
  <c r="AC357" i="49"/>
  <c r="Z495" i="49"/>
  <c r="S434" i="49"/>
  <c r="AD525" i="49"/>
  <c r="V21" i="49"/>
  <c r="O514" i="31"/>
  <c r="X240" i="31"/>
  <c r="G261" i="31"/>
  <c r="T28" i="31"/>
  <c r="S239" i="49"/>
  <c r="T97" i="49"/>
  <c r="V455" i="31"/>
  <c r="R490" i="49"/>
  <c r="R341" i="31"/>
  <c r="AB419" i="49"/>
  <c r="S394" i="49"/>
  <c r="Z344" i="49"/>
  <c r="P234" i="49"/>
  <c r="P239" i="31"/>
  <c r="G161" i="49"/>
  <c r="O162" i="31"/>
  <c r="T216" i="49"/>
  <c r="T562" i="49"/>
  <c r="R519" i="49"/>
  <c r="N217" i="31"/>
  <c r="N121" i="31"/>
  <c r="K14" i="49"/>
  <c r="T207" i="49"/>
  <c r="X117" i="31"/>
  <c r="S492" i="49"/>
  <c r="J589" i="49"/>
  <c r="W312" i="31"/>
  <c r="AD462" i="49"/>
  <c r="W244" i="49"/>
  <c r="I145" i="31"/>
  <c r="M81" i="49"/>
  <c r="I304" i="31"/>
  <c r="W339" i="49"/>
  <c r="K90" i="49"/>
  <c r="P597" i="31"/>
  <c r="R19" i="49"/>
  <c r="U50" i="49"/>
  <c r="U602" i="49"/>
  <c r="K498" i="31"/>
  <c r="Z591" i="31"/>
  <c r="K77" i="49"/>
  <c r="U90" i="49"/>
  <c r="M288" i="31"/>
  <c r="Z121" i="31"/>
  <c r="AB428" i="49"/>
  <c r="L55" i="49"/>
  <c r="K183" i="49"/>
  <c r="Q284" i="49"/>
  <c r="V164" i="49"/>
  <c r="Z294" i="49"/>
  <c r="U186" i="49"/>
  <c r="Q242" i="49"/>
  <c r="T169" i="49"/>
  <c r="R49" i="49"/>
  <c r="U184" i="49"/>
  <c r="Q268" i="49"/>
  <c r="N166" i="49"/>
  <c r="K463" i="49"/>
  <c r="I485" i="49"/>
  <c r="O317" i="31"/>
  <c r="K114" i="49"/>
  <c r="H79" i="31"/>
  <c r="Y159" i="31"/>
  <c r="Q17" i="31"/>
  <c r="AA433" i="49"/>
  <c r="P232" i="31"/>
  <c r="P33" i="31"/>
  <c r="Q516" i="31"/>
  <c r="Y379" i="49"/>
  <c r="T128" i="31"/>
  <c r="Z289" i="49"/>
  <c r="R105" i="31"/>
  <c r="M68" i="49"/>
  <c r="Z544" i="31"/>
  <c r="J282" i="49"/>
  <c r="S281" i="31"/>
  <c r="H480" i="31"/>
  <c r="Y99" i="31"/>
  <c r="O397" i="31"/>
  <c r="G552" i="49"/>
  <c r="U397" i="49"/>
  <c r="AB246" i="49"/>
  <c r="H116" i="49"/>
  <c r="K185" i="49"/>
  <c r="Q260" i="49"/>
  <c r="H167" i="49"/>
  <c r="AA274" i="49"/>
  <c r="M64" i="49"/>
  <c r="H535" i="31"/>
  <c r="J42" i="49"/>
  <c r="V229" i="31"/>
  <c r="X375" i="31"/>
  <c r="Q95" i="31"/>
  <c r="O241" i="31"/>
  <c r="T452" i="49"/>
  <c r="K79" i="49"/>
  <c r="P559" i="31"/>
  <c r="AA494" i="49"/>
  <c r="W480" i="49"/>
  <c r="AD585" i="31"/>
  <c r="M555" i="31"/>
  <c r="T132" i="49"/>
  <c r="R96" i="31"/>
  <c r="M194" i="49"/>
  <c r="AC266" i="49"/>
  <c r="I384" i="49"/>
  <c r="I295" i="31"/>
  <c r="J318" i="49"/>
  <c r="J64" i="31"/>
  <c r="U73" i="49"/>
  <c r="M560" i="49"/>
  <c r="V598" i="49"/>
  <c r="S577" i="49"/>
  <c r="S402" i="31"/>
  <c r="AA292" i="49"/>
  <c r="X37" i="31"/>
  <c r="Q470" i="31"/>
  <c r="K384" i="49"/>
  <c r="T132" i="31"/>
  <c r="AA61" i="49"/>
  <c r="Z475" i="31"/>
  <c r="U424" i="49"/>
  <c r="W99" i="31"/>
  <c r="O254" i="49"/>
  <c r="M439" i="31"/>
  <c r="AB517" i="49"/>
  <c r="L427" i="49"/>
  <c r="W422" i="49"/>
  <c r="Y475" i="31"/>
  <c r="AA250" i="49"/>
  <c r="W281" i="31"/>
  <c r="G83" i="31"/>
  <c r="G236" i="31"/>
  <c r="W131" i="31"/>
  <c r="R120" i="31"/>
  <c r="Z524" i="49"/>
  <c r="AC268" i="31"/>
  <c r="M317" i="49"/>
  <c r="L95" i="49"/>
  <c r="L496" i="31"/>
  <c r="P147" i="31"/>
  <c r="H36" i="49"/>
  <c r="Z519" i="31"/>
  <c r="R310" i="49"/>
  <c r="V161" i="31"/>
  <c r="R260" i="49"/>
  <c r="Q183" i="31"/>
  <c r="AC83" i="49"/>
  <c r="W610" i="31"/>
  <c r="O343" i="49"/>
  <c r="H44" i="31"/>
  <c r="R272" i="49"/>
  <c r="H368" i="49"/>
  <c r="U234" i="49"/>
  <c r="X550" i="49"/>
  <c r="Y443" i="49"/>
  <c r="Q586" i="49"/>
  <c r="P299" i="49"/>
  <c r="V432" i="49"/>
  <c r="R138" i="31"/>
  <c r="Y304" i="49"/>
  <c r="M285" i="49"/>
  <c r="M589" i="49"/>
  <c r="W337" i="49"/>
  <c r="W362" i="31"/>
  <c r="T608" i="31"/>
  <c r="U48" i="31"/>
  <c r="AB291" i="31"/>
  <c r="T305" i="31"/>
  <c r="V203" i="49"/>
  <c r="N375" i="31"/>
  <c r="X169" i="31"/>
  <c r="T72" i="31"/>
  <c r="G120" i="31"/>
  <c r="L405" i="49"/>
  <c r="N39" i="31"/>
  <c r="Z248" i="49"/>
  <c r="X260" i="49"/>
  <c r="G56" i="31"/>
  <c r="Z189" i="31"/>
  <c r="AD466" i="49"/>
  <c r="W60" i="31"/>
  <c r="L19" i="49"/>
  <c r="R29" i="31"/>
  <c r="R264" i="49"/>
  <c r="U616" i="31"/>
  <c r="AA15" i="49"/>
  <c r="P332" i="31"/>
  <c r="I161" i="31"/>
  <c r="O45" i="49"/>
  <c r="AB271" i="31"/>
  <c r="G271" i="49"/>
  <c r="G611" i="49"/>
  <c r="N323" i="31"/>
  <c r="AD571" i="49"/>
  <c r="V115" i="31"/>
  <c r="S551" i="49"/>
  <c r="AC346" i="31"/>
  <c r="J497" i="49"/>
  <c r="T423" i="49"/>
  <c r="U497" i="31"/>
  <c r="W154" i="31"/>
  <c r="J602" i="49"/>
  <c r="Y418" i="31"/>
  <c r="R603" i="49"/>
  <c r="Y532" i="31"/>
  <c r="X115" i="31"/>
  <c r="X299" i="31"/>
  <c r="AA335" i="31"/>
  <c r="N504" i="31"/>
  <c r="AC422" i="49"/>
  <c r="K53" i="49"/>
  <c r="L397" i="49"/>
  <c r="AB478" i="49"/>
  <c r="S598" i="31"/>
  <c r="AA220" i="49"/>
  <c r="I176" i="31"/>
  <c r="V613" i="49"/>
  <c r="X374" i="49"/>
  <c r="K22" i="49"/>
  <c r="AA76" i="49"/>
  <c r="K115" i="49"/>
  <c r="W521" i="31"/>
  <c r="O496" i="31"/>
  <c r="O73" i="31"/>
  <c r="Y90" i="31"/>
  <c r="U455" i="31"/>
  <c r="P516" i="31"/>
  <c r="U504" i="31"/>
  <c r="X179" i="31"/>
  <c r="Q119" i="31"/>
  <c r="O424" i="49"/>
  <c r="G345" i="31"/>
  <c r="AA406" i="49"/>
  <c r="AC308" i="31"/>
  <c r="G485" i="31"/>
  <c r="Q39" i="31"/>
  <c r="P78" i="31"/>
  <c r="U511" i="49"/>
  <c r="P271" i="31"/>
  <c r="I305" i="31"/>
  <c r="V324" i="31"/>
  <c r="X40" i="31"/>
  <c r="AC480" i="31"/>
  <c r="R139" i="49"/>
  <c r="Z244" i="31"/>
  <c r="G138" i="31"/>
  <c r="T162" i="31"/>
  <c r="K282" i="31"/>
  <c r="AA270" i="31"/>
  <c r="O17" i="31"/>
  <c r="Y611" i="31"/>
  <c r="L325" i="31"/>
  <c r="Q66" i="31"/>
  <c r="N394" i="31"/>
  <c r="Z452" i="31"/>
  <c r="Z520" i="49"/>
  <c r="R172" i="31"/>
  <c r="H606" i="31"/>
  <c r="R234" i="31"/>
  <c r="AA396" i="49"/>
  <c r="I205" i="31"/>
  <c r="H184" i="31"/>
  <c r="Z491" i="49"/>
  <c r="N385" i="49"/>
  <c r="O478" i="49"/>
  <c r="P441" i="31"/>
  <c r="M521" i="49"/>
  <c r="L574" i="31"/>
  <c r="Q580" i="31"/>
  <c r="W56" i="31"/>
  <c r="Q171" i="31"/>
  <c r="L226" i="31"/>
  <c r="G519" i="31"/>
  <c r="W378" i="31"/>
  <c r="O608" i="31"/>
  <c r="W441" i="31"/>
  <c r="R133" i="31"/>
  <c r="AD415" i="31"/>
  <c r="AB409" i="31"/>
  <c r="J309" i="31"/>
  <c r="Y155" i="49"/>
  <c r="J556" i="49"/>
  <c r="AC210" i="49"/>
  <c r="P555" i="31"/>
  <c r="R216" i="31"/>
  <c r="O262" i="31"/>
  <c r="AA602" i="49"/>
  <c r="X53" i="31"/>
  <c r="J192" i="31"/>
  <c r="G218" i="49"/>
  <c r="K428" i="31"/>
  <c r="W452" i="49"/>
  <c r="AA603" i="31"/>
  <c r="L120" i="31"/>
  <c r="AA327" i="31"/>
  <c r="W420" i="31"/>
  <c r="U20" i="31"/>
  <c r="AA57" i="49"/>
  <c r="Z434" i="31"/>
  <c r="R507" i="49"/>
  <c r="P520" i="31"/>
  <c r="X311" i="49"/>
  <c r="U139" i="49"/>
  <c r="O615" i="31"/>
  <c r="AA346" i="49"/>
  <c r="J200" i="31"/>
  <c r="S521" i="31"/>
  <c r="S509" i="49"/>
  <c r="J104" i="31"/>
  <c r="I582" i="31"/>
  <c r="AB342" i="49"/>
  <c r="T465" i="31"/>
  <c r="I495" i="49"/>
  <c r="V41" i="31"/>
  <c r="H437" i="49"/>
  <c r="P318" i="49"/>
  <c r="W490" i="31"/>
  <c r="R154" i="49"/>
  <c r="R370" i="49"/>
  <c r="I191" i="31"/>
  <c r="H214" i="31"/>
  <c r="R124" i="31"/>
  <c r="H373" i="49"/>
  <c r="M364" i="31"/>
  <c r="R394" i="49"/>
  <c r="U283" i="31"/>
  <c r="J164" i="31"/>
  <c r="Y486" i="31"/>
  <c r="M555" i="49"/>
  <c r="Q28" i="31"/>
  <c r="AC147" i="49"/>
  <c r="I76" i="31"/>
  <c r="O361" i="49"/>
  <c r="W302" i="31"/>
  <c r="T82" i="31"/>
  <c r="G324" i="49"/>
  <c r="G330" i="49"/>
  <c r="M88" i="49"/>
  <c r="R336" i="49"/>
  <c r="AA599" i="49"/>
  <c r="J237" i="49"/>
  <c r="Q532" i="49"/>
  <c r="W501" i="49"/>
  <c r="X486" i="49"/>
  <c r="R76" i="49"/>
  <c r="AD317" i="31"/>
  <c r="Z204" i="31"/>
  <c r="Q30" i="31"/>
  <c r="Q175" i="31"/>
  <c r="J227" i="31"/>
  <c r="J280" i="49"/>
  <c r="Y516" i="49"/>
  <c r="U478" i="31"/>
  <c r="N363" i="31"/>
  <c r="R428" i="31"/>
  <c r="G118" i="31"/>
  <c r="H406" i="31"/>
  <c r="G432" i="49"/>
  <c r="O364" i="49"/>
  <c r="S425" i="49"/>
  <c r="Y603" i="49"/>
  <c r="O30" i="31"/>
  <c r="U123" i="49"/>
  <c r="Y85" i="31"/>
  <c r="Q91" i="31"/>
  <c r="J519" i="31"/>
  <c r="G140" i="31"/>
  <c r="R290" i="31"/>
  <c r="O363" i="31"/>
  <c r="J161" i="31"/>
  <c r="G335" i="49"/>
  <c r="N441" i="49"/>
  <c r="Z447" i="49"/>
  <c r="P278" i="49"/>
  <c r="I549" i="31"/>
  <c r="X599" i="49"/>
  <c r="R76" i="31"/>
  <c r="U261" i="49"/>
  <c r="P103" i="31"/>
  <c r="AB414" i="31"/>
  <c r="H36" i="31"/>
  <c r="Q213" i="31"/>
  <c r="Q320" i="31"/>
  <c r="X111" i="31"/>
  <c r="W568" i="49"/>
  <c r="O249" i="31"/>
  <c r="R426" i="49"/>
  <c r="Y370" i="31"/>
  <c r="AB381" i="31"/>
  <c r="N433" i="49"/>
  <c r="AA184" i="49"/>
  <c r="R20" i="31"/>
  <c r="Q37" i="31"/>
  <c r="L140" i="49"/>
  <c r="G232" i="31"/>
  <c r="L192" i="49"/>
  <c r="U544" i="31"/>
  <c r="W63" i="31"/>
  <c r="G473" i="49"/>
  <c r="M403" i="31"/>
  <c r="J497" i="31"/>
  <c r="W409" i="31"/>
  <c r="I343" i="31"/>
  <c r="O457" i="31"/>
  <c r="O558" i="31"/>
  <c r="AD453" i="31"/>
  <c r="M380" i="31"/>
  <c r="Z335" i="31"/>
  <c r="AD419" i="31"/>
  <c r="AB611" i="31"/>
  <c r="P510" i="31"/>
  <c r="G401" i="31"/>
  <c r="AA304" i="31"/>
  <c r="P216" i="31"/>
  <c r="I85" i="31"/>
  <c r="P345" i="49"/>
  <c r="U324" i="31"/>
  <c r="H495" i="31"/>
  <c r="M146" i="31"/>
  <c r="O564" i="31"/>
  <c r="H262" i="31"/>
  <c r="K215" i="31"/>
  <c r="AB516" i="49"/>
  <c r="AC282" i="49"/>
  <c r="S573" i="49"/>
  <c r="X371" i="49"/>
  <c r="W214" i="31"/>
  <c r="U341" i="49"/>
  <c r="U230" i="31"/>
  <c r="V130" i="49"/>
  <c r="X229" i="31"/>
  <c r="X352" i="49"/>
  <c r="N519" i="49"/>
  <c r="V480" i="31"/>
  <c r="X567" i="49"/>
  <c r="S593" i="49"/>
  <c r="J31" i="49"/>
  <c r="H470" i="31"/>
  <c r="O125" i="31"/>
  <c r="N462" i="49"/>
  <c r="T470" i="49"/>
  <c r="X21" i="31"/>
  <c r="U142" i="49"/>
  <c r="S149" i="49"/>
  <c r="G318" i="31"/>
  <c r="G334" i="49"/>
  <c r="AD615" i="49"/>
  <c r="N535" i="49"/>
  <c r="P535" i="49"/>
  <c r="AB409" i="49"/>
  <c r="Y598" i="31"/>
  <c r="R180" i="31"/>
  <c r="Y545" i="31"/>
  <c r="AC611" i="31"/>
  <c r="I36" i="31"/>
  <c r="R24" i="31"/>
  <c r="W83" i="31"/>
  <c r="G277" i="31"/>
  <c r="Y24" i="31"/>
  <c r="V91" i="31"/>
  <c r="AA283" i="31"/>
  <c r="M352" i="31"/>
  <c r="G96" i="31"/>
  <c r="Z205" i="31"/>
  <c r="M526" i="31"/>
  <c r="G76" i="31"/>
  <c r="P92" i="31"/>
  <c r="T139" i="49"/>
  <c r="AD502" i="49"/>
  <c r="H327" i="49"/>
  <c r="Y207" i="31"/>
  <c r="R212" i="31"/>
  <c r="W590" i="31"/>
  <c r="I201" i="31"/>
  <c r="G320" i="49"/>
  <c r="S505" i="31"/>
  <c r="G518" i="49"/>
  <c r="X159" i="49"/>
  <c r="X504" i="31"/>
  <c r="X287" i="31"/>
  <c r="L184" i="49"/>
  <c r="W33" i="49"/>
  <c r="K218" i="49"/>
  <c r="S372" i="49"/>
  <c r="W439" i="49"/>
  <c r="V400" i="49"/>
  <c r="X123" i="31"/>
  <c r="R236" i="31"/>
  <c r="Q93" i="31"/>
  <c r="I99" i="31"/>
  <c r="Z525" i="31"/>
  <c r="Y147" i="31"/>
  <c r="R298" i="31"/>
  <c r="T503" i="31"/>
  <c r="AA605" i="49"/>
  <c r="W522" i="49"/>
  <c r="L450" i="49"/>
  <c r="Z455" i="49"/>
  <c r="H58" i="31"/>
  <c r="M593" i="31"/>
  <c r="X242" i="31"/>
  <c r="J84" i="31"/>
  <c r="O198" i="31"/>
  <c r="X287" i="49"/>
  <c r="Y12" i="31"/>
  <c r="W323" i="31"/>
  <c r="R199" i="31"/>
  <c r="Y69" i="31"/>
  <c r="H339" i="49"/>
  <c r="H291" i="49"/>
  <c r="AC258" i="31"/>
  <c r="X291" i="49"/>
  <c r="K595" i="49"/>
  <c r="T344" i="31"/>
  <c r="K533" i="49"/>
  <c r="V59" i="31"/>
  <c r="J197" i="31"/>
  <c r="M547" i="49"/>
  <c r="G480" i="49"/>
  <c r="H580" i="49"/>
  <c r="G598" i="49"/>
  <c r="Y304" i="31"/>
  <c r="AC590" i="31"/>
  <c r="I122" i="49"/>
  <c r="Z28" i="31"/>
  <c r="Y172" i="49"/>
  <c r="W289" i="31"/>
  <c r="G29" i="31"/>
  <c r="Z593" i="31"/>
  <c r="AB318" i="31"/>
  <c r="I343" i="49"/>
  <c r="AC100" i="49"/>
  <c r="Q279" i="49"/>
  <c r="L613" i="49"/>
  <c r="X243" i="49"/>
  <c r="I534" i="49"/>
  <c r="AD291" i="31"/>
  <c r="L512" i="49"/>
  <c r="R324" i="49"/>
  <c r="O204" i="31"/>
  <c r="H209" i="31"/>
  <c r="W513" i="31"/>
  <c r="W180" i="31"/>
  <c r="O316" i="49"/>
  <c r="P281" i="49"/>
  <c r="P217" i="49"/>
  <c r="Y576" i="49"/>
  <c r="S560" i="49"/>
  <c r="W424" i="31"/>
  <c r="P88" i="49"/>
  <c r="H587" i="31"/>
  <c r="T601" i="31"/>
  <c r="R344" i="31"/>
  <c r="R432" i="31"/>
  <c r="S33" i="49"/>
  <c r="Z575" i="49"/>
  <c r="P248" i="49"/>
  <c r="AC456" i="49"/>
  <c r="AD222" i="49"/>
  <c r="Q611" i="49"/>
  <c r="H250" i="49"/>
  <c r="AC431" i="49"/>
  <c r="L229" i="49"/>
  <c r="H50" i="49"/>
  <c r="X249" i="49"/>
  <c r="AC448" i="49"/>
  <c r="J227" i="49"/>
  <c r="X351" i="49"/>
  <c r="O572" i="49"/>
  <c r="Y294" i="49"/>
  <c r="AC163" i="49"/>
  <c r="I513" i="31"/>
  <c r="G486" i="31"/>
  <c r="H21" i="31"/>
  <c r="AA336" i="49"/>
  <c r="V19" i="31"/>
  <c r="J82" i="31"/>
  <c r="AA511" i="49"/>
  <c r="G548" i="49"/>
  <c r="K534" i="31"/>
  <c r="H369" i="49"/>
  <c r="M148" i="49"/>
  <c r="AC198" i="49"/>
  <c r="R10" i="49"/>
  <c r="I207" i="31"/>
  <c r="K564" i="31"/>
  <c r="W477" i="31"/>
  <c r="X114" i="31"/>
  <c r="K332" i="49"/>
  <c r="AA122" i="49"/>
  <c r="Y223" i="49"/>
  <c r="Y226" i="49"/>
  <c r="P380" i="49"/>
  <c r="H249" i="49"/>
  <c r="AC444" i="49"/>
  <c r="U229" i="49"/>
  <c r="I226" i="49"/>
  <c r="T187" i="49"/>
  <c r="U52" i="49"/>
  <c r="R90" i="31"/>
  <c r="J222" i="31"/>
  <c r="G60" i="31"/>
  <c r="Y193" i="31"/>
  <c r="G536" i="31"/>
  <c r="K60" i="49"/>
  <c r="AB292" i="49"/>
  <c r="AD285" i="49"/>
  <c r="M551" i="49"/>
  <c r="S517" i="49"/>
  <c r="L396" i="49"/>
  <c r="Q535" i="31"/>
  <c r="AC275" i="31"/>
  <c r="O279" i="49"/>
  <c r="G337" i="49"/>
  <c r="AA421" i="31"/>
  <c r="T396" i="31"/>
  <c r="T475" i="31"/>
  <c r="O455" i="49"/>
  <c r="T566" i="31"/>
  <c r="Z277" i="31"/>
  <c r="Y592" i="49"/>
  <c r="R232" i="49"/>
  <c r="O613" i="49"/>
  <c r="J330" i="49"/>
  <c r="S581" i="49"/>
  <c r="P85" i="31"/>
  <c r="I512" i="49"/>
  <c r="K549" i="49"/>
  <c r="Z255" i="31"/>
  <c r="P533" i="31"/>
  <c r="O84" i="31"/>
  <c r="Z241" i="49"/>
  <c r="Q130" i="31"/>
  <c r="O245" i="31"/>
  <c r="AA458" i="31"/>
  <c r="AC509" i="49"/>
  <c r="Z448" i="49"/>
  <c r="M575" i="31"/>
  <c r="AC507" i="31"/>
  <c r="AC573" i="31"/>
  <c r="I48" i="31"/>
  <c r="R36" i="31"/>
  <c r="Y94" i="31"/>
  <c r="AB473" i="31"/>
  <c r="AB406" i="49"/>
  <c r="N598" i="31"/>
  <c r="M345" i="49"/>
  <c r="P579" i="31"/>
  <c r="Q113" i="31"/>
  <c r="Z223" i="31"/>
  <c r="Z147" i="49"/>
  <c r="P135" i="49"/>
  <c r="P165" i="49"/>
  <c r="G394" i="31"/>
  <c r="M465" i="49"/>
  <c r="Z330" i="49"/>
  <c r="G212" i="31"/>
  <c r="X215" i="31"/>
  <c r="W341" i="31"/>
  <c r="Q187" i="31"/>
  <c r="AB360" i="31"/>
  <c r="S385" i="31"/>
  <c r="L268" i="31"/>
  <c r="J74" i="49"/>
  <c r="U110" i="49"/>
  <c r="J78" i="49"/>
  <c r="AA113" i="49"/>
  <c r="AC500" i="49"/>
  <c r="T478" i="49"/>
  <c r="J105" i="49"/>
  <c r="L403" i="49"/>
  <c r="AC345" i="49"/>
  <c r="U344" i="31"/>
  <c r="G526" i="49"/>
  <c r="X171" i="31"/>
  <c r="J49" i="31"/>
  <c r="X133" i="49"/>
  <c r="P466" i="49"/>
  <c r="G503" i="31"/>
  <c r="X501" i="31"/>
  <c r="AC263" i="49"/>
  <c r="G580" i="31"/>
  <c r="AD329" i="49"/>
  <c r="R596" i="49"/>
  <c r="W534" i="31"/>
  <c r="N468" i="49"/>
  <c r="AB352" i="31"/>
  <c r="R383" i="49"/>
  <c r="P161" i="31"/>
  <c r="O302" i="31"/>
  <c r="Z331" i="49"/>
  <c r="P65" i="31"/>
  <c r="O294" i="49"/>
  <c r="X507" i="49"/>
  <c r="AC30" i="31"/>
  <c r="Q123" i="31"/>
  <c r="Y295" i="31"/>
  <c r="O503" i="49"/>
  <c r="V478" i="49"/>
  <c r="G87" i="31"/>
  <c r="Q432" i="49"/>
  <c r="O274" i="31"/>
  <c r="L451" i="31"/>
  <c r="AA549" i="31"/>
  <c r="I294" i="49"/>
  <c r="K605" i="49"/>
  <c r="J397" i="49"/>
  <c r="N562" i="49"/>
  <c r="U505" i="31"/>
  <c r="AD419" i="49"/>
  <c r="Y325" i="31"/>
  <c r="U154" i="49"/>
  <c r="Q335" i="31"/>
  <c r="Q86" i="31"/>
  <c r="Y454" i="31"/>
  <c r="G135" i="31"/>
  <c r="W545" i="31"/>
  <c r="V73" i="31"/>
  <c r="S312" i="49"/>
  <c r="AA291" i="31"/>
  <c r="V229" i="49"/>
  <c r="Z131" i="31"/>
  <c r="N467" i="49"/>
  <c r="W16" i="31"/>
  <c r="P20" i="31"/>
  <c r="Z83" i="49"/>
  <c r="H296" i="31"/>
  <c r="Q298" i="31"/>
  <c r="O194" i="31"/>
  <c r="AC87" i="49"/>
  <c r="W524" i="31"/>
  <c r="Q348" i="49"/>
  <c r="H218" i="31"/>
  <c r="P277" i="49"/>
  <c r="AC513" i="49"/>
  <c r="I33" i="31"/>
  <c r="Z493" i="31"/>
  <c r="T275" i="31"/>
  <c r="Y101" i="31"/>
  <c r="AD379" i="31"/>
  <c r="G462" i="49"/>
  <c r="AC145" i="49"/>
  <c r="S451" i="49"/>
  <c r="O359" i="49"/>
  <c r="AB217" i="49"/>
  <c r="AA120" i="49"/>
  <c r="G78" i="31"/>
  <c r="N555" i="49"/>
  <c r="P512" i="31"/>
  <c r="M149" i="49"/>
  <c r="R282" i="31"/>
  <c r="M564" i="49"/>
  <c r="J480" i="31"/>
  <c r="O331" i="49"/>
  <c r="R421" i="49"/>
  <c r="L106" i="31"/>
  <c r="AA276" i="31"/>
  <c r="W544" i="49"/>
  <c r="X218" i="31"/>
  <c r="O192" i="31"/>
  <c r="O53" i="31"/>
  <c r="H477" i="49"/>
  <c r="N380" i="31"/>
  <c r="AA479" i="31"/>
  <c r="N93" i="31"/>
  <c r="X570" i="49"/>
  <c r="Y580" i="49"/>
  <c r="AC488" i="49"/>
  <c r="K410" i="49"/>
  <c r="M488" i="49"/>
  <c r="V43" i="49"/>
  <c r="J434" i="49"/>
  <c r="N415" i="49"/>
  <c r="K182" i="49"/>
  <c r="X13" i="31"/>
  <c r="AB493" i="31"/>
  <c r="L455" i="31"/>
  <c r="O202" i="31"/>
  <c r="X596" i="31"/>
  <c r="Q498" i="31"/>
  <c r="AA478" i="31"/>
  <c r="M472" i="49"/>
  <c r="U353" i="49"/>
  <c r="W552" i="49"/>
  <c r="W405" i="31"/>
  <c r="Z414" i="49"/>
  <c r="O453" i="31"/>
  <c r="R317" i="49"/>
  <c r="N441" i="31"/>
  <c r="Z66" i="31"/>
  <c r="Z325" i="31"/>
  <c r="O138" i="49"/>
  <c r="G190" i="49"/>
  <c r="R505" i="31"/>
  <c r="Y170" i="49"/>
  <c r="Y96" i="31"/>
  <c r="Y227" i="31"/>
  <c r="U568" i="31"/>
  <c r="H115" i="31"/>
  <c r="X578" i="49"/>
  <c r="K414" i="49"/>
  <c r="Z434" i="49"/>
  <c r="AA218" i="49"/>
  <c r="X463" i="49"/>
  <c r="J274" i="31"/>
  <c r="Y386" i="31"/>
  <c r="Q427" i="31"/>
  <c r="V297" i="31"/>
  <c r="X428" i="31"/>
  <c r="Z316" i="49"/>
  <c r="Z149" i="49"/>
  <c r="N504" i="49"/>
  <c r="G337" i="31"/>
  <c r="M439" i="49"/>
  <c r="V309" i="31"/>
  <c r="Z508" i="49"/>
  <c r="AC160" i="49"/>
  <c r="K118" i="49"/>
  <c r="Y495" i="49"/>
  <c r="AC196" i="49"/>
  <c r="Z320" i="49"/>
  <c r="R440" i="31"/>
  <c r="J510" i="49"/>
  <c r="S197" i="49"/>
  <c r="S262" i="49"/>
  <c r="O596" i="49"/>
  <c r="U141" i="49"/>
  <c r="V77" i="31"/>
  <c r="AA575" i="49"/>
  <c r="Q211" i="31"/>
  <c r="S86" i="49"/>
  <c r="J276" i="49"/>
  <c r="AB322" i="49"/>
  <c r="Y227" i="49"/>
  <c r="N226" i="49"/>
  <c r="K266" i="49"/>
  <c r="O275" i="49"/>
  <c r="I596" i="49"/>
  <c r="Z379" i="31"/>
  <c r="AC516" i="31"/>
  <c r="I40" i="31"/>
  <c r="R48" i="31"/>
  <c r="W87" i="31"/>
  <c r="G18" i="31"/>
  <c r="J323" i="49"/>
  <c r="Q578" i="49"/>
  <c r="I365" i="31"/>
  <c r="AA137" i="49"/>
  <c r="AC30" i="49"/>
  <c r="O305" i="49"/>
  <c r="S102" i="49"/>
  <c r="I133" i="31"/>
  <c r="Y318" i="49"/>
  <c r="S543" i="49"/>
  <c r="O613" i="31"/>
  <c r="M295" i="49"/>
  <c r="H472" i="49"/>
  <c r="P243" i="31"/>
  <c r="G131" i="49"/>
  <c r="G214" i="31"/>
  <c r="AB519" i="31"/>
  <c r="J342" i="49"/>
  <c r="N348" i="31"/>
  <c r="G514" i="49"/>
  <c r="N53" i="31"/>
  <c r="U545" i="49"/>
  <c r="O412" i="49"/>
  <c r="Z198" i="31"/>
  <c r="K466" i="49"/>
  <c r="R494" i="49"/>
  <c r="W426" i="49"/>
  <c r="J422" i="49"/>
  <c r="G453" i="49"/>
  <c r="N615" i="31"/>
  <c r="N167" i="49"/>
  <c r="G122" i="31"/>
  <c r="AB593" i="31"/>
  <c r="W172" i="31"/>
  <c r="R304" i="31"/>
  <c r="S497" i="31"/>
  <c r="T550" i="49"/>
  <c r="V596" i="31"/>
  <c r="X430" i="49"/>
  <c r="I533" i="31"/>
  <c r="T453" i="49"/>
  <c r="M518" i="31"/>
  <c r="AB599" i="49"/>
  <c r="J106" i="31"/>
  <c r="Q215" i="31"/>
  <c r="O348" i="49"/>
  <c r="Y16" i="31"/>
  <c r="X320" i="31"/>
  <c r="H384" i="31"/>
  <c r="U535" i="31"/>
  <c r="H183" i="31"/>
  <c r="G126" i="31"/>
  <c r="AC264" i="31"/>
  <c r="R249" i="31"/>
  <c r="AC403" i="31"/>
  <c r="X15" i="31"/>
  <c r="I610" i="31"/>
  <c r="Z145" i="49"/>
  <c r="H51" i="31"/>
  <c r="Q514" i="49"/>
  <c r="AD151" i="49"/>
  <c r="I474" i="31"/>
  <c r="Z203" i="49"/>
  <c r="X50" i="31"/>
  <c r="O93" i="31"/>
  <c r="Z138" i="49"/>
  <c r="AC431" i="31"/>
  <c r="S87" i="31"/>
  <c r="O421" i="31"/>
  <c r="K242" i="49"/>
  <c r="J470" i="31"/>
  <c r="T412" i="31"/>
  <c r="W505" i="31"/>
  <c r="AC407" i="31"/>
  <c r="V170" i="49"/>
  <c r="Y446" i="49"/>
  <c r="AC417" i="49"/>
  <c r="X545" i="31"/>
  <c r="X53" i="49"/>
  <c r="V341" i="31"/>
  <c r="X409" i="31"/>
  <c r="X453" i="49"/>
  <c r="X386" i="49"/>
  <c r="U383" i="49"/>
  <c r="T440" i="31"/>
  <c r="AD479" i="31"/>
  <c r="S461" i="31"/>
  <c r="K455" i="31"/>
  <c r="T598" i="31"/>
  <c r="O255" i="49"/>
  <c r="X59" i="31"/>
  <c r="V524" i="49"/>
  <c r="S165" i="49"/>
  <c r="K483" i="31"/>
  <c r="U591" i="49"/>
  <c r="AD607" i="31"/>
  <c r="T191" i="49"/>
  <c r="Y67" i="31"/>
  <c r="K19" i="49"/>
  <c r="T406" i="49"/>
  <c r="N450" i="31"/>
  <c r="U21" i="49"/>
  <c r="J240" i="49"/>
  <c r="W574" i="49"/>
  <c r="J12" i="49"/>
  <c r="L504" i="49"/>
  <c r="M361" i="31"/>
  <c r="H43" i="31"/>
  <c r="W578" i="49"/>
  <c r="W352" i="49"/>
  <c r="K525" i="31"/>
  <c r="Q251" i="49"/>
  <c r="O13" i="31"/>
  <c r="M163" i="49"/>
  <c r="V408" i="49"/>
  <c r="V265" i="49"/>
  <c r="J201" i="31"/>
  <c r="Y508" i="49"/>
  <c r="M493" i="31"/>
  <c r="V385" i="31"/>
  <c r="AC318" i="31"/>
  <c r="Y48" i="31"/>
  <c r="H55" i="31"/>
  <c r="O95" i="31"/>
  <c r="W24" i="31"/>
  <c r="J341" i="49"/>
  <c r="K579" i="49"/>
  <c r="I502" i="31"/>
  <c r="L537" i="49"/>
  <c r="J30" i="31"/>
  <c r="Q299" i="31"/>
  <c r="G374" i="49"/>
  <c r="O179" i="31"/>
  <c r="AB510" i="31"/>
  <c r="Z471" i="31"/>
  <c r="U441" i="49"/>
  <c r="AC296" i="31"/>
  <c r="S252" i="49"/>
  <c r="J250" i="31"/>
  <c r="AB509" i="49"/>
  <c r="O587" i="31"/>
  <c r="M358" i="31"/>
  <c r="AC479" i="31"/>
  <c r="AD360" i="31"/>
  <c r="V346" i="31"/>
  <c r="L70" i="31"/>
  <c r="Y550" i="49"/>
  <c r="N577" i="49"/>
  <c r="Q351" i="49"/>
  <c r="K402" i="49"/>
  <c r="L514" i="49"/>
  <c r="AA462" i="49"/>
  <c r="R430" i="49"/>
  <c r="AD427" i="49"/>
  <c r="I468" i="49"/>
  <c r="U95" i="49"/>
  <c r="Y129" i="31"/>
  <c r="R262" i="31"/>
  <c r="O190" i="31"/>
  <c r="R312" i="31"/>
  <c r="Y10" i="31"/>
  <c r="AD453" i="49"/>
  <c r="AD470" i="49"/>
  <c r="AC99" i="49"/>
  <c r="Y450" i="31"/>
  <c r="N117" i="31"/>
  <c r="X509" i="31"/>
  <c r="R253" i="31"/>
  <c r="N589" i="31"/>
  <c r="I245" i="31"/>
  <c r="S198" i="49"/>
  <c r="O23" i="31"/>
  <c r="Z339" i="31"/>
  <c r="H409" i="31"/>
  <c r="R323" i="31"/>
  <c r="S443" i="49"/>
  <c r="J585" i="49"/>
  <c r="K279" i="31"/>
  <c r="G40" i="31"/>
  <c r="R250" i="49"/>
  <c r="O276" i="49"/>
  <c r="U502" i="49"/>
  <c r="Q137" i="31"/>
  <c r="U331" i="49"/>
  <c r="I570" i="31"/>
  <c r="G339" i="49"/>
  <c r="X438" i="49"/>
  <c r="N594" i="31"/>
  <c r="X607" i="49"/>
  <c r="X11" i="31"/>
  <c r="W133" i="49"/>
  <c r="R58" i="31"/>
  <c r="O185" i="49"/>
  <c r="I29" i="31"/>
  <c r="J351" i="49"/>
  <c r="O580" i="49"/>
  <c r="I578" i="31"/>
  <c r="U40" i="49"/>
  <c r="AA484" i="49"/>
  <c r="Q615" i="31"/>
  <c r="AA110" i="49"/>
  <c r="G163" i="31"/>
  <c r="Q518" i="49"/>
  <c r="V548" i="49"/>
  <c r="AC189" i="49"/>
  <c r="AC498" i="31"/>
  <c r="K155" i="49"/>
  <c r="Z246" i="31"/>
  <c r="S161" i="49"/>
  <c r="Q217" i="31"/>
  <c r="Y350" i="31"/>
  <c r="I250" i="31"/>
  <c r="M146" i="49"/>
  <c r="I363" i="49"/>
  <c r="T181" i="31"/>
  <c r="V470" i="31"/>
  <c r="X33" i="49"/>
  <c r="Z38" i="49"/>
  <c r="P336" i="31"/>
  <c r="G397" i="49"/>
  <c r="AA288" i="31"/>
  <c r="Z562" i="31"/>
  <c r="AA91" i="49"/>
  <c r="L45" i="49"/>
  <c r="R570" i="49"/>
  <c r="M86" i="49"/>
  <c r="K305" i="31"/>
  <c r="L51" i="49"/>
  <c r="R597" i="49"/>
  <c r="M84" i="49"/>
  <c r="X308" i="31"/>
  <c r="Z48" i="49"/>
  <c r="R533" i="49"/>
  <c r="AC84" i="49"/>
  <c r="Y303" i="49"/>
  <c r="V209" i="49"/>
  <c r="X174" i="31"/>
  <c r="J448" i="49"/>
  <c r="W50" i="31"/>
  <c r="Y519" i="31"/>
  <c r="Q261" i="31"/>
  <c r="R254" i="49"/>
  <c r="K336" i="49"/>
  <c r="N607" i="49"/>
  <c r="P135" i="31"/>
  <c r="Y249" i="31"/>
  <c r="S586" i="31"/>
  <c r="R33" i="31"/>
  <c r="U20" i="49"/>
  <c r="I227" i="49"/>
  <c r="Y616" i="49"/>
  <c r="N104" i="49"/>
  <c r="I304" i="49"/>
  <c r="O284" i="49"/>
  <c r="AC589" i="49"/>
  <c r="AA126" i="49"/>
  <c r="G594" i="49"/>
  <c r="J244" i="49"/>
  <c r="R126" i="31"/>
  <c r="Z329" i="31"/>
  <c r="T49" i="49"/>
  <c r="R484" i="49"/>
  <c r="S85" i="49"/>
  <c r="U16" i="49"/>
  <c r="I223" i="49"/>
  <c r="Y218" i="49"/>
  <c r="P99" i="49"/>
  <c r="Y302" i="49"/>
  <c r="AA40" i="49"/>
  <c r="Y588" i="49"/>
  <c r="Q247" i="49"/>
  <c r="S31" i="49"/>
  <c r="X245" i="49"/>
  <c r="U490" i="49"/>
  <c r="AB234" i="49"/>
  <c r="G307" i="49"/>
  <c r="H563" i="49"/>
  <c r="N589" i="49"/>
  <c r="G532" i="49"/>
  <c r="I318" i="49"/>
  <c r="W369" i="49"/>
  <c r="P303" i="49"/>
  <c r="N500" i="49"/>
  <c r="O266" i="31"/>
  <c r="P383" i="49"/>
  <c r="S572" i="31"/>
  <c r="AC133" i="49"/>
  <c r="M579" i="31"/>
  <c r="Q572" i="31"/>
  <c r="L196" i="31"/>
  <c r="AA564" i="31"/>
  <c r="N581" i="49"/>
  <c r="X610" i="49"/>
  <c r="X139" i="31"/>
  <c r="AA303" i="31"/>
  <c r="Z281" i="49"/>
  <c r="R22" i="49"/>
  <c r="G384" i="31"/>
  <c r="J258" i="49"/>
  <c r="S564" i="49"/>
  <c r="U335" i="49"/>
  <c r="U581" i="31"/>
  <c r="Y342" i="49"/>
  <c r="AD457" i="49"/>
  <c r="Z270" i="49"/>
  <c r="S100" i="49"/>
  <c r="P415" i="31"/>
  <c r="Y58" i="31"/>
  <c r="R535" i="31"/>
  <c r="Q106" i="31"/>
  <c r="N87" i="49"/>
  <c r="J369" i="49"/>
  <c r="M581" i="49"/>
  <c r="I324" i="31"/>
  <c r="U124" i="49"/>
  <c r="R44" i="31"/>
  <c r="Q338" i="31"/>
  <c r="M77" i="31"/>
  <c r="W193" i="31"/>
  <c r="G325" i="49"/>
  <c r="P474" i="31"/>
  <c r="U407" i="49"/>
  <c r="H13" i="31"/>
  <c r="K258" i="49"/>
  <c r="P253" i="31"/>
  <c r="AB525" i="49"/>
  <c r="I225" i="31"/>
  <c r="Q401" i="49"/>
  <c r="T263" i="31"/>
  <c r="P471" i="31"/>
  <c r="T471" i="49"/>
  <c r="AA11" i="49"/>
  <c r="AB461" i="49"/>
  <c r="I316" i="49"/>
  <c r="L520" i="49"/>
  <c r="K371" i="31"/>
  <c r="K288" i="49"/>
  <c r="N467" i="31"/>
  <c r="T480" i="49"/>
  <c r="N343" i="31"/>
  <c r="P415" i="49"/>
  <c r="S400" i="49"/>
  <c r="J434" i="31"/>
  <c r="AC67" i="49"/>
  <c r="Z363" i="31"/>
  <c r="Y261" i="49"/>
  <c r="Z608" i="49"/>
  <c r="AC295" i="49"/>
  <c r="I375" i="31"/>
  <c r="AC339" i="49"/>
  <c r="M535" i="49"/>
  <c r="AD383" i="31"/>
  <c r="L522" i="49"/>
  <c r="AB248" i="49"/>
  <c r="Z63" i="31"/>
  <c r="S488" i="31"/>
  <c r="R232" i="31"/>
  <c r="H91" i="31"/>
  <c r="X260" i="31"/>
  <c r="L76" i="49"/>
  <c r="U428" i="49"/>
  <c r="AA364" i="49"/>
  <c r="G199" i="31"/>
  <c r="AD449" i="31"/>
  <c r="P191" i="31"/>
  <c r="X302" i="49"/>
  <c r="H295" i="31"/>
  <c r="AA45" i="49"/>
  <c r="L15" i="49"/>
  <c r="L547" i="49"/>
  <c r="H363" i="31"/>
  <c r="U113" i="49"/>
  <c r="V520" i="49"/>
  <c r="AD595" i="49"/>
  <c r="I296" i="49"/>
  <c r="G574" i="49"/>
  <c r="W448" i="49"/>
  <c r="AC581" i="31"/>
  <c r="AC548" i="31"/>
  <c r="K348" i="31"/>
  <c r="X39" i="31"/>
  <c r="Q466" i="31"/>
  <c r="Q11" i="31"/>
  <c r="AD445" i="49"/>
  <c r="K502" i="49"/>
  <c r="G352" i="49"/>
  <c r="U49" i="49"/>
  <c r="J124" i="49"/>
  <c r="M371" i="49"/>
  <c r="AA60" i="49"/>
  <c r="O146" i="31"/>
  <c r="AA25" i="31"/>
  <c r="AD339" i="31"/>
  <c r="I592" i="49"/>
  <c r="Y559" i="31"/>
  <c r="G327" i="31"/>
  <c r="H255" i="49"/>
  <c r="Y40" i="31"/>
  <c r="H509" i="49"/>
  <c r="Y337" i="49"/>
  <c r="W582" i="31"/>
  <c r="Y524" i="49"/>
  <c r="Y76" i="31"/>
  <c r="H405" i="31"/>
  <c r="V462" i="31"/>
  <c r="H45" i="31"/>
  <c r="R184" i="31"/>
  <c r="G226" i="49"/>
  <c r="Z475" i="49"/>
  <c r="W456" i="49"/>
  <c r="J414" i="49"/>
  <c r="R615" i="31"/>
  <c r="Z250" i="31"/>
  <c r="N163" i="49"/>
  <c r="Q115" i="31"/>
  <c r="J523" i="31"/>
  <c r="I165" i="31"/>
  <c r="X295" i="31"/>
  <c r="X410" i="31"/>
  <c r="Z509" i="31"/>
  <c r="AA37" i="31"/>
  <c r="I426" i="31"/>
  <c r="I598" i="31"/>
  <c r="N43" i="31"/>
  <c r="M400" i="31"/>
  <c r="H240" i="31"/>
  <c r="P99" i="31"/>
  <c r="G65" i="31"/>
  <c r="AD583" i="49"/>
  <c r="AD411" i="31"/>
  <c r="J246" i="31"/>
  <c r="G170" i="31"/>
  <c r="G568" i="49"/>
  <c r="Z166" i="31"/>
  <c r="M610" i="49"/>
  <c r="O415" i="49"/>
  <c r="AD610" i="49"/>
  <c r="L56" i="49"/>
  <c r="R122" i="31"/>
  <c r="H464" i="49"/>
  <c r="H576" i="49"/>
  <c r="R42" i="31"/>
  <c r="U477" i="49"/>
  <c r="AD547" i="31"/>
  <c r="V461" i="49"/>
  <c r="P610" i="31"/>
  <c r="X14" i="31"/>
  <c r="N17" i="31"/>
  <c r="S534" i="31"/>
  <c r="R474" i="49"/>
  <c r="G116" i="31"/>
  <c r="O417" i="31"/>
  <c r="G586" i="31"/>
  <c r="G465" i="31"/>
  <c r="V358" i="31"/>
  <c r="W27" i="31"/>
  <c r="H278" i="31"/>
  <c r="I143" i="49"/>
  <c r="G263" i="49"/>
  <c r="Z578" i="49"/>
  <c r="J536" i="31"/>
  <c r="N52" i="49"/>
  <c r="T322" i="31"/>
  <c r="X384" i="31"/>
  <c r="U304" i="31"/>
  <c r="R186" i="31"/>
  <c r="Y133" i="31"/>
  <c r="O420" i="49"/>
  <c r="K334" i="31"/>
  <c r="AA402" i="49"/>
  <c r="AA125" i="49"/>
  <c r="U115" i="49"/>
  <c r="O406" i="31"/>
  <c r="AA258" i="31"/>
  <c r="T298" i="31"/>
  <c r="K61" i="49"/>
  <c r="Y430" i="49"/>
  <c r="Q373" i="49"/>
  <c r="Q326" i="49"/>
  <c r="AA179" i="49"/>
  <c r="U262" i="49"/>
  <c r="J303" i="31"/>
  <c r="N573" i="49"/>
  <c r="W170" i="31"/>
  <c r="AC167" i="49"/>
  <c r="M287" i="31"/>
  <c r="AC230" i="49"/>
  <c r="Z70" i="31"/>
  <c r="U244" i="49"/>
  <c r="J252" i="49"/>
  <c r="R322" i="49"/>
  <c r="X532" i="49"/>
  <c r="Y585" i="31"/>
  <c r="AB370" i="49"/>
  <c r="Q319" i="49"/>
  <c r="Y559" i="49"/>
  <c r="I337" i="49"/>
  <c r="W564" i="31"/>
  <c r="G536" i="49"/>
  <c r="U175" i="49"/>
  <c r="K473" i="31"/>
  <c r="Q543" i="31"/>
  <c r="M87" i="49"/>
  <c r="Y346" i="49"/>
  <c r="Z276" i="49"/>
  <c r="Y131" i="31"/>
  <c r="Q25" i="31"/>
  <c r="Y52" i="31"/>
  <c r="I221" i="31"/>
  <c r="Q100" i="31"/>
  <c r="U521" i="31"/>
  <c r="I478" i="49"/>
  <c r="V155" i="31"/>
  <c r="M483" i="31"/>
  <c r="Z52" i="49"/>
  <c r="Q245" i="49"/>
  <c r="G281" i="49"/>
  <c r="M151" i="49"/>
  <c r="P564" i="49"/>
  <c r="Q370" i="49"/>
  <c r="J384" i="49"/>
  <c r="S588" i="31"/>
  <c r="Z30" i="31"/>
  <c r="R142" i="31"/>
  <c r="AB334" i="31"/>
  <c r="G114" i="31"/>
  <c r="P573" i="49"/>
  <c r="W598" i="49"/>
  <c r="AA574" i="31"/>
  <c r="AA523" i="31"/>
  <c r="AD99" i="49"/>
  <c r="W330" i="31"/>
  <c r="Q55" i="31"/>
  <c r="P131" i="49"/>
  <c r="O408" i="49"/>
  <c r="O467" i="49"/>
  <c r="M431" i="49"/>
  <c r="AA453" i="49"/>
  <c r="P283" i="49"/>
  <c r="G593" i="31"/>
  <c r="AA186" i="49"/>
  <c r="P52" i="31"/>
  <c r="U573" i="31"/>
  <c r="R266" i="31"/>
  <c r="W615" i="31"/>
  <c r="T319" i="31"/>
  <c r="U522" i="31"/>
  <c r="AC598" i="31"/>
  <c r="U474" i="49"/>
  <c r="Z222" i="31"/>
  <c r="Y601" i="31"/>
  <c r="T346" i="49"/>
  <c r="X137" i="31"/>
  <c r="AB330" i="49"/>
  <c r="Z316" i="31"/>
  <c r="J212" i="49"/>
  <c r="T464" i="31"/>
  <c r="H396" i="31"/>
  <c r="R351" i="31"/>
  <c r="T419" i="31"/>
  <c r="I105" i="31"/>
  <c r="K343" i="31"/>
  <c r="G223" i="31"/>
  <c r="S148" i="49"/>
  <c r="AD299" i="31"/>
  <c r="I362" i="49"/>
  <c r="AB337" i="31"/>
  <c r="U121" i="49"/>
  <c r="N329" i="49"/>
  <c r="P69" i="31"/>
  <c r="AB116" i="49"/>
  <c r="G270" i="31"/>
  <c r="T166" i="49"/>
  <c r="I603" i="49"/>
  <c r="AB443" i="31"/>
  <c r="I332" i="49"/>
  <c r="AD430" i="31"/>
  <c r="I172" i="31"/>
  <c r="AC367" i="31"/>
  <c r="I546" i="49"/>
  <c r="G433" i="31"/>
  <c r="I199" i="31"/>
  <c r="I10" i="31"/>
  <c r="I239" i="31"/>
  <c r="U419" i="31"/>
  <c r="N512" i="31"/>
  <c r="N445" i="31"/>
  <c r="I341" i="31"/>
  <c r="J521" i="31"/>
  <c r="W411" i="31"/>
  <c r="L372" i="31"/>
  <c r="X439" i="31"/>
  <c r="V175" i="49"/>
  <c r="H458" i="31"/>
  <c r="G410" i="49"/>
  <c r="Z163" i="49"/>
  <c r="M165" i="49"/>
  <c r="M280" i="31"/>
  <c r="K185" i="31"/>
  <c r="N599" i="31"/>
  <c r="AB611" i="49"/>
  <c r="J582" i="49"/>
  <c r="M167" i="49"/>
  <c r="G223" i="49"/>
  <c r="W299" i="31"/>
  <c r="V222" i="49"/>
  <c r="L602" i="31"/>
  <c r="AC66" i="49"/>
  <c r="O200" i="31"/>
  <c r="J544" i="31"/>
  <c r="Q524" i="31"/>
  <c r="U216" i="49"/>
  <c r="K74" i="49"/>
  <c r="G234" i="49"/>
  <c r="Q526" i="49"/>
  <c r="W165" i="31"/>
  <c r="AC463" i="31"/>
  <c r="AC558" i="31"/>
  <c r="O11" i="49"/>
  <c r="M365" i="49"/>
  <c r="U591" i="31"/>
  <c r="AA140" i="49"/>
  <c r="O37" i="31"/>
  <c r="AA262" i="49"/>
  <c r="P246" i="49"/>
  <c r="V123" i="31"/>
  <c r="X325" i="49"/>
  <c r="M357" i="49"/>
  <c r="AC564" i="49"/>
  <c r="P279" i="49"/>
  <c r="Q139" i="31"/>
  <c r="R288" i="49"/>
  <c r="O59" i="31"/>
  <c r="H289" i="49"/>
  <c r="I110" i="31"/>
  <c r="R292" i="49"/>
  <c r="AA507" i="49"/>
  <c r="T166" i="31"/>
  <c r="M546" i="31"/>
  <c r="AA394" i="31"/>
  <c r="X77" i="31"/>
  <c r="M509" i="49"/>
  <c r="AC547" i="49"/>
  <c r="K615" i="31"/>
  <c r="V517" i="31"/>
  <c r="P161" i="49"/>
  <c r="AB237" i="49"/>
  <c r="R38" i="31"/>
  <c r="J150" i="31"/>
  <c r="G10" i="31"/>
  <c r="W120" i="31"/>
  <c r="O240" i="31"/>
  <c r="K303" i="31"/>
  <c r="AA499" i="31"/>
  <c r="O75" i="31"/>
  <c r="V381" i="49"/>
  <c r="T456" i="49"/>
  <c r="X10" i="31"/>
  <c r="J146" i="31"/>
  <c r="Y361" i="31"/>
  <c r="O407" i="49"/>
  <c r="Z148" i="31"/>
  <c r="AB10" i="49"/>
  <c r="R305" i="49"/>
  <c r="G543" i="31"/>
  <c r="G24" i="31"/>
  <c r="P60" i="31"/>
  <c r="Y54" i="31"/>
  <c r="N274" i="31"/>
  <c r="W251" i="31"/>
  <c r="L327" i="31"/>
  <c r="Y81" i="31"/>
  <c r="AC577" i="31"/>
  <c r="H425" i="49"/>
  <c r="R230" i="31"/>
  <c r="Y316" i="31"/>
  <c r="P176" i="31"/>
  <c r="R170" i="31"/>
  <c r="U278" i="31"/>
  <c r="Z225" i="49"/>
  <c r="U331" i="31"/>
  <c r="T369" i="31"/>
  <c r="L468" i="31"/>
  <c r="R371" i="31"/>
  <c r="H439" i="31"/>
  <c r="AB174" i="49"/>
  <c r="H298" i="31"/>
  <c r="Y230" i="31"/>
  <c r="J220" i="31"/>
  <c r="AD484" i="31"/>
  <c r="AC523" i="31"/>
  <c r="G182" i="31"/>
  <c r="R401" i="49"/>
  <c r="O603" i="49"/>
  <c r="AB466" i="31"/>
  <c r="L610" i="31"/>
  <c r="U362" i="31"/>
  <c r="O220" i="31"/>
  <c r="T559" i="49"/>
  <c r="V592" i="31"/>
  <c r="AA425" i="31"/>
  <c r="AD509" i="49"/>
  <c r="N135" i="49"/>
  <c r="AA562" i="49"/>
  <c r="AB186" i="49"/>
  <c r="U586" i="31"/>
  <c r="X496" i="49"/>
  <c r="X599" i="31"/>
  <c r="AA90" i="49"/>
  <c r="K605" i="31"/>
  <c r="Q408" i="31"/>
  <c r="O478" i="31"/>
  <c r="I456" i="31"/>
  <c r="R151" i="31"/>
  <c r="N411" i="31"/>
  <c r="S358" i="49"/>
  <c r="X304" i="31"/>
  <c r="H187" i="49"/>
  <c r="AC464" i="49"/>
  <c r="J558" i="49"/>
  <c r="J70" i="49"/>
  <c r="R350" i="31"/>
  <c r="O139" i="31"/>
  <c r="X554" i="49"/>
  <c r="AA52" i="49"/>
  <c r="N129" i="49"/>
  <c r="AB427" i="49"/>
  <c r="H602" i="49"/>
  <c r="U137" i="49"/>
  <c r="O345" i="49"/>
  <c r="N496" i="49"/>
  <c r="P456" i="31"/>
  <c r="AC357" i="31"/>
  <c r="Y78" i="31"/>
  <c r="J522" i="49"/>
  <c r="Z215" i="49"/>
  <c r="Y384" i="49"/>
  <c r="M85" i="49"/>
  <c r="Z274" i="49"/>
  <c r="V414" i="31"/>
  <c r="S408" i="49"/>
  <c r="M162" i="49"/>
  <c r="R294" i="31"/>
  <c r="U169" i="49"/>
  <c r="R498" i="49"/>
  <c r="Y578" i="31"/>
  <c r="N551" i="49"/>
  <c r="P255" i="31"/>
  <c r="U179" i="49"/>
  <c r="N370" i="31"/>
  <c r="O471" i="49"/>
  <c r="H351" i="31"/>
  <c r="H37" i="31"/>
  <c r="R611" i="49"/>
  <c r="R485" i="31"/>
  <c r="Y549" i="31"/>
  <c r="O386" i="49"/>
  <c r="AA427" i="49"/>
  <c r="AC544" i="31"/>
  <c r="G532" i="31"/>
  <c r="G36" i="31"/>
  <c r="P74" i="31"/>
  <c r="Q480" i="49"/>
  <c r="Z499" i="31"/>
  <c r="I611" i="31"/>
  <c r="X281" i="31"/>
  <c r="X22" i="31"/>
  <c r="AC524" i="31"/>
  <c r="R438" i="49"/>
  <c r="P241" i="31"/>
  <c r="W122" i="31"/>
  <c r="V141" i="31"/>
  <c r="G295" i="31"/>
  <c r="K263" i="31"/>
  <c r="L244" i="49"/>
  <c r="U334" i="31"/>
  <c r="AB616" i="31"/>
  <c r="Y38" i="49"/>
  <c r="S192" i="49"/>
  <c r="X173" i="31"/>
  <c r="V568" i="49"/>
  <c r="G582" i="49"/>
  <c r="O226" i="31"/>
  <c r="Y218" i="31"/>
  <c r="N277" i="31"/>
  <c r="Y441" i="49"/>
  <c r="L338" i="49"/>
  <c r="P589" i="49"/>
  <c r="V19" i="49"/>
  <c r="O345" i="31"/>
  <c r="Y180" i="31"/>
  <c r="G147" i="31"/>
  <c r="T448" i="31"/>
  <c r="O91" i="49"/>
  <c r="P608" i="49"/>
  <c r="I140" i="49"/>
  <c r="G129" i="31"/>
  <c r="Q483" i="31"/>
  <c r="S466" i="31"/>
  <c r="AC437" i="31"/>
  <c r="Y176" i="31"/>
  <c r="V574" i="31"/>
  <c r="I112" i="49"/>
  <c r="I403" i="49"/>
  <c r="AA428" i="31"/>
  <c r="W331" i="31"/>
  <c r="AD463" i="31"/>
  <c r="Q229" i="49"/>
  <c r="H21" i="49"/>
  <c r="V54" i="49"/>
  <c r="U291" i="31"/>
  <c r="J235" i="31"/>
  <c r="X582" i="49"/>
  <c r="I497" i="31"/>
  <c r="G234" i="31"/>
  <c r="K514" i="31"/>
  <c r="AD320" i="31"/>
  <c r="V597" i="49"/>
  <c r="L330" i="49"/>
  <c r="Q400" i="31"/>
  <c r="J486" i="31"/>
  <c r="S597" i="31"/>
  <c r="V573" i="31"/>
  <c r="X536" i="31"/>
  <c r="Z261" i="31"/>
  <c r="G194" i="49"/>
  <c r="O22" i="49"/>
  <c r="M251" i="49"/>
  <c r="R454" i="31"/>
  <c r="R590" i="49"/>
  <c r="T70" i="49"/>
  <c r="AB40" i="49"/>
  <c r="V571" i="31"/>
  <c r="X478" i="49"/>
  <c r="S221" i="49"/>
  <c r="N359" i="31"/>
  <c r="Q226" i="31"/>
  <c r="W22" i="31"/>
  <c r="L120" i="49"/>
  <c r="H154" i="31"/>
  <c r="AC371" i="31"/>
  <c r="L337" i="31"/>
  <c r="Y54" i="49"/>
  <c r="L499" i="49"/>
  <c r="J511" i="31"/>
  <c r="J66" i="49"/>
  <c r="P448" i="31"/>
  <c r="N413" i="49"/>
  <c r="I214" i="31"/>
  <c r="S271" i="49"/>
  <c r="Y74" i="49"/>
  <c r="Q102" i="49"/>
  <c r="N278" i="49"/>
  <c r="G151" i="49"/>
  <c r="Q166" i="31"/>
  <c r="H94" i="31"/>
  <c r="N503" i="31"/>
  <c r="AC236" i="49"/>
  <c r="L66" i="31"/>
  <c r="I437" i="49"/>
  <c r="AB410" i="49"/>
  <c r="L142" i="49"/>
  <c r="AD432" i="49"/>
  <c r="G409" i="31"/>
  <c r="V417" i="31"/>
  <c r="X191" i="49"/>
  <c r="L503" i="49"/>
  <c r="V125" i="49"/>
  <c r="AD304" i="49"/>
  <c r="AD410" i="31"/>
  <c r="H185" i="31"/>
  <c r="U351" i="31"/>
  <c r="I111" i="49"/>
  <c r="O211" i="49"/>
  <c r="J253" i="49"/>
  <c r="H43" i="49"/>
  <c r="I15" i="49"/>
  <c r="V395" i="31"/>
  <c r="K326" i="49"/>
  <c r="V396" i="31"/>
  <c r="AC318" i="49"/>
  <c r="G134" i="49"/>
  <c r="G162" i="49"/>
  <c r="R581" i="49"/>
  <c r="U209" i="49"/>
  <c r="AB58" i="49"/>
  <c r="AC195" i="49"/>
  <c r="W470" i="31"/>
  <c r="AD594" i="49"/>
  <c r="V242" i="49"/>
  <c r="J588" i="31"/>
  <c r="AB38" i="49"/>
  <c r="L453" i="49"/>
  <c r="V216" i="49"/>
  <c r="J611" i="31"/>
  <c r="L126" i="49"/>
  <c r="G149" i="49"/>
  <c r="V185" i="49"/>
  <c r="V17" i="49"/>
  <c r="Y555" i="49"/>
  <c r="I325" i="49"/>
  <c r="S294" i="49"/>
  <c r="AD548" i="49"/>
  <c r="W350" i="49"/>
  <c r="M464" i="49"/>
  <c r="R245" i="31"/>
  <c r="N215" i="49"/>
  <c r="G562" i="49"/>
  <c r="X467" i="49"/>
  <c r="H445" i="49"/>
  <c r="I383" i="31"/>
  <c r="N510" i="49"/>
  <c r="N276" i="31"/>
  <c r="O97" i="31"/>
  <c r="AB368" i="31"/>
  <c r="U519" i="31"/>
  <c r="Y302" i="31"/>
  <c r="Y492" i="31"/>
  <c r="L23" i="31"/>
  <c r="I363" i="31"/>
  <c r="N173" i="31"/>
  <c r="W222" i="49"/>
  <c r="I54" i="49"/>
  <c r="AC443" i="49"/>
  <c r="W336" i="31"/>
  <c r="AC400" i="49"/>
  <c r="Y216" i="31"/>
  <c r="J532" i="31"/>
  <c r="T374" i="31"/>
  <c r="P307" i="31"/>
  <c r="AC415" i="31"/>
  <c r="AC29" i="31"/>
  <c r="K90" i="31"/>
  <c r="U77" i="31"/>
  <c r="AA138" i="31"/>
  <c r="T207" i="31"/>
  <c r="O218" i="49"/>
  <c r="I452" i="31"/>
  <c r="T339" i="31"/>
  <c r="S224" i="31"/>
  <c r="G599" i="31"/>
  <c r="AD319" i="31"/>
  <c r="K590" i="31"/>
  <c r="S128" i="31"/>
  <c r="T160" i="49"/>
  <c r="J418" i="31"/>
  <c r="T483" i="31"/>
  <c r="S361" i="31"/>
  <c r="AA548" i="31"/>
  <c r="AA494" i="31"/>
  <c r="Z51" i="31"/>
  <c r="K537" i="31"/>
  <c r="O423" i="31"/>
  <c r="S373" i="31"/>
  <c r="G545" i="49"/>
  <c r="V45" i="49"/>
  <c r="O295" i="31"/>
  <c r="V61" i="49"/>
  <c r="Z611" i="31"/>
  <c r="N133" i="49"/>
  <c r="W69" i="31"/>
  <c r="H190" i="49"/>
  <c r="AB20" i="49"/>
  <c r="M568" i="49"/>
  <c r="N351" i="49"/>
  <c r="R319" i="49"/>
  <c r="N514" i="49"/>
  <c r="U351" i="49"/>
  <c r="Y274" i="31"/>
  <c r="X248" i="31"/>
  <c r="V217" i="49"/>
  <c r="P427" i="49"/>
  <c r="N443" i="49"/>
  <c r="R415" i="49"/>
  <c r="J430" i="31"/>
  <c r="H96" i="49"/>
  <c r="S105" i="49"/>
  <c r="W483" i="49"/>
  <c r="Y320" i="49"/>
  <c r="X367" i="49"/>
  <c r="AA477" i="49"/>
  <c r="Y596" i="49"/>
  <c r="V451" i="31"/>
  <c r="AC491" i="31"/>
  <c r="AD371" i="31"/>
  <c r="L111" i="49"/>
  <c r="W116" i="31"/>
  <c r="R334" i="49"/>
  <c r="L141" i="49"/>
  <c r="AA294" i="31"/>
  <c r="N113" i="31"/>
  <c r="L407" i="49"/>
  <c r="Y105" i="31"/>
  <c r="S478" i="31"/>
  <c r="X464" i="49"/>
  <c r="X91" i="31"/>
  <c r="U507" i="49"/>
  <c r="Y494" i="31"/>
  <c r="R327" i="49"/>
  <c r="AA578" i="31"/>
  <c r="O88" i="31"/>
  <c r="H364" i="31"/>
  <c r="AB345" i="31"/>
  <c r="P263" i="49"/>
  <c r="W263" i="31"/>
  <c r="H171" i="31"/>
  <c r="O403" i="49"/>
  <c r="I458" i="31"/>
  <c r="R418" i="49"/>
  <c r="J617" i="31"/>
  <c r="X582" i="31"/>
  <c r="AD163" i="49"/>
  <c r="W118" i="31"/>
  <c r="P526" i="31"/>
  <c r="Q169" i="31"/>
  <c r="H299" i="31"/>
  <c r="S547" i="31"/>
  <c r="J513" i="31"/>
  <c r="V601" i="31"/>
  <c r="Q430" i="31"/>
  <c r="I505" i="31"/>
  <c r="N61" i="31"/>
  <c r="M307" i="31"/>
  <c r="R243" i="31"/>
  <c r="Z102" i="31"/>
  <c r="S421" i="49"/>
  <c r="W330" i="49"/>
  <c r="P438" i="49"/>
  <c r="P342" i="31"/>
  <c r="K448" i="31"/>
  <c r="L373" i="31"/>
  <c r="O548" i="31"/>
  <c r="P490" i="31"/>
  <c r="Q104" i="31"/>
  <c r="V384" i="31"/>
  <c r="O51" i="49"/>
  <c r="S320" i="31"/>
  <c r="AD294" i="49"/>
  <c r="I59" i="49"/>
  <c r="I50" i="49"/>
  <c r="T394" i="49"/>
  <c r="P581" i="31"/>
  <c r="AD357" i="49"/>
  <c r="I74" i="49"/>
  <c r="G99" i="49"/>
  <c r="P501" i="49"/>
  <c r="W147" i="49"/>
  <c r="L271" i="49"/>
  <c r="H22" i="31"/>
  <c r="T502" i="31"/>
  <c r="AC246" i="49"/>
  <c r="Z550" i="31"/>
  <c r="H583" i="31"/>
  <c r="Y126" i="49"/>
  <c r="I216" i="49"/>
  <c r="T152" i="49"/>
  <c r="P172" i="31"/>
  <c r="G81" i="31"/>
  <c r="N257" i="49"/>
  <c r="K241" i="49"/>
  <c r="W403" i="31"/>
  <c r="Q194" i="49"/>
  <c r="Z308" i="31"/>
  <c r="L116" i="49"/>
  <c r="AB324" i="31"/>
  <c r="G362" i="31"/>
  <c r="V401" i="31"/>
  <c r="Q159" i="49"/>
  <c r="O504" i="31"/>
  <c r="L112" i="49"/>
  <c r="T278" i="49"/>
  <c r="AD550" i="31"/>
  <c r="X404" i="49"/>
  <c r="R607" i="31"/>
  <c r="AA367" i="49"/>
  <c r="I183" i="49"/>
  <c r="Y207" i="49"/>
  <c r="P37" i="49"/>
  <c r="O269" i="49"/>
  <c r="T558" i="31"/>
  <c r="Y271" i="31"/>
  <c r="N105" i="49"/>
  <c r="N230" i="49"/>
  <c r="I472" i="49"/>
  <c r="N491" i="49"/>
  <c r="J532" i="49"/>
  <c r="H57" i="31"/>
  <c r="S353" i="31"/>
  <c r="L283" i="31"/>
  <c r="V183" i="49"/>
  <c r="J223" i="31"/>
  <c r="I450" i="31"/>
  <c r="H304" i="31"/>
  <c r="H550" i="49"/>
  <c r="H496" i="49"/>
  <c r="O48" i="49"/>
  <c r="J501" i="31"/>
  <c r="H137" i="31"/>
  <c r="P437" i="31"/>
  <c r="K253" i="49"/>
  <c r="J517" i="49"/>
  <c r="N554" i="49"/>
  <c r="AD262" i="49"/>
  <c r="L559" i="49"/>
  <c r="V305" i="31"/>
  <c r="G58" i="31"/>
  <c r="W204" i="49"/>
  <c r="AC412" i="49"/>
  <c r="O17" i="49"/>
  <c r="AA515" i="31"/>
  <c r="U423" i="49"/>
  <c r="P31" i="31"/>
  <c r="P205" i="49"/>
  <c r="U375" i="49"/>
  <c r="Q468" i="31"/>
  <c r="P511" i="31"/>
  <c r="V461" i="31"/>
  <c r="AD101" i="49"/>
  <c r="L291" i="49"/>
  <c r="Z496" i="31"/>
  <c r="G239" i="31"/>
  <c r="AB580" i="31"/>
  <c r="Y97" i="49"/>
  <c r="P203" i="49"/>
  <c r="I175" i="49"/>
  <c r="Z570" i="49"/>
  <c r="V225" i="49"/>
  <c r="N464" i="31"/>
  <c r="V291" i="49"/>
  <c r="AB78" i="49"/>
  <c r="S305" i="49"/>
  <c r="O126" i="49"/>
  <c r="AC386" i="49"/>
  <c r="G200" i="49"/>
  <c r="M497" i="49"/>
  <c r="AB44" i="49"/>
  <c r="Z417" i="49"/>
  <c r="O292" i="31"/>
  <c r="Z523" i="49"/>
  <c r="R218" i="49"/>
  <c r="AD85" i="49"/>
  <c r="K449" i="49"/>
  <c r="N125" i="31"/>
  <c r="AD259" i="49"/>
  <c r="AB96" i="49"/>
  <c r="G396" i="49"/>
  <c r="T146" i="49"/>
  <c r="W85" i="31"/>
  <c r="U205" i="49"/>
  <c r="X603" i="49"/>
  <c r="Q358" i="49"/>
  <c r="U492" i="49"/>
  <c r="L486" i="49"/>
  <c r="H523" i="49"/>
  <c r="W255" i="49"/>
  <c r="I348" i="31"/>
  <c r="AB550" i="49"/>
  <c r="Q533" i="49"/>
  <c r="J206" i="49"/>
  <c r="H303" i="49"/>
  <c r="P289" i="49"/>
  <c r="X357" i="49"/>
  <c r="P508" i="49"/>
  <c r="Z292" i="31"/>
  <c r="Y202" i="49"/>
  <c r="O25" i="49"/>
  <c r="G554" i="49"/>
  <c r="H146" i="31"/>
  <c r="N131" i="31"/>
  <c r="N205" i="31"/>
  <c r="R346" i="49"/>
  <c r="J237" i="31"/>
  <c r="AA592" i="49"/>
  <c r="W247" i="31"/>
  <c r="O187" i="31"/>
  <c r="N397" i="31"/>
  <c r="P498" i="31"/>
  <c r="K237" i="31"/>
  <c r="P269" i="31"/>
  <c r="N404" i="31"/>
  <c r="N182" i="49"/>
  <c r="Y288" i="49"/>
  <c r="K147" i="31"/>
  <c r="S209" i="31"/>
  <c r="AA197" i="31"/>
  <c r="O141" i="31"/>
  <c r="AB341" i="31"/>
  <c r="L36" i="49"/>
  <c r="AD498" i="31"/>
  <c r="AC517" i="49"/>
  <c r="J202" i="31"/>
  <c r="AC386" i="31"/>
  <c r="U548" i="31"/>
  <c r="J447" i="49"/>
  <c r="U187" i="49"/>
  <c r="J28" i="31"/>
  <c r="W274" i="31"/>
  <c r="AD147" i="49"/>
  <c r="P186" i="31"/>
  <c r="R199" i="49"/>
  <c r="W58" i="31"/>
  <c r="AA491" i="31"/>
  <c r="AA474" i="49"/>
  <c r="AC371" i="49"/>
  <c r="Y485" i="31"/>
  <c r="I420" i="31"/>
  <c r="P145" i="31"/>
  <c r="W467" i="31"/>
  <c r="T449" i="31"/>
  <c r="M320" i="31"/>
  <c r="L260" i="31"/>
  <c r="X505" i="31"/>
  <c r="AD427" i="31"/>
  <c r="G336" i="31"/>
  <c r="V76" i="49"/>
  <c r="W407" i="31"/>
  <c r="V512" i="49"/>
  <c r="I520" i="31"/>
  <c r="X44" i="31"/>
  <c r="W298" i="49"/>
  <c r="N486" i="49"/>
  <c r="J134" i="31"/>
  <c r="L239" i="49"/>
  <c r="M291" i="49"/>
  <c r="G12" i="31"/>
  <c r="X19" i="31"/>
  <c r="I182" i="31"/>
  <c r="AC601" i="31"/>
  <c r="W176" i="31"/>
  <c r="L222" i="31"/>
  <c r="K462" i="49"/>
  <c r="W324" i="49"/>
  <c r="I16" i="31"/>
  <c r="G510" i="49"/>
  <c r="O86" i="31"/>
  <c r="W395" i="49"/>
  <c r="O70" i="31"/>
  <c r="R251" i="31"/>
  <c r="H410" i="49"/>
  <c r="AB120" i="49"/>
  <c r="AB371" i="31"/>
  <c r="G578" i="49"/>
  <c r="AC374" i="31"/>
  <c r="M99" i="49"/>
  <c r="J195" i="49"/>
  <c r="U361" i="49"/>
  <c r="M437" i="31"/>
  <c r="X316" i="31"/>
  <c r="X75" i="49"/>
  <c r="Z512" i="49"/>
  <c r="K210" i="49"/>
  <c r="P133" i="31"/>
  <c r="L22" i="49"/>
  <c r="G427" i="49"/>
  <c r="U119" i="49"/>
  <c r="W74" i="31"/>
  <c r="K537" i="49"/>
  <c r="AA450" i="31"/>
  <c r="AA142" i="49"/>
  <c r="Z511" i="31"/>
  <c r="O357" i="49"/>
  <c r="L479" i="31"/>
  <c r="I330" i="49"/>
  <c r="P414" i="49"/>
  <c r="AC555" i="49"/>
  <c r="AA616" i="31"/>
  <c r="L516" i="49"/>
  <c r="Z201" i="31"/>
  <c r="Y360" i="49"/>
  <c r="Y195" i="31"/>
  <c r="L348" i="31"/>
  <c r="I12" i="31"/>
  <c r="I24" i="49"/>
  <c r="J160" i="31"/>
  <c r="AC409" i="31"/>
  <c r="H39" i="31"/>
  <c r="P501" i="31"/>
  <c r="Y385" i="49"/>
  <c r="O215" i="31"/>
  <c r="O142" i="49"/>
  <c r="H500" i="49"/>
  <c r="AB110" i="49"/>
  <c r="X57" i="49"/>
  <c r="H424" i="31"/>
  <c r="J148" i="31"/>
  <c r="Q192" i="31"/>
  <c r="AB380" i="49"/>
  <c r="R526" i="49"/>
  <c r="W67" i="49"/>
  <c r="L491" i="49"/>
  <c r="O117" i="49"/>
  <c r="Y140" i="31"/>
  <c r="I69" i="31"/>
  <c r="R479" i="31"/>
  <c r="W193" i="49"/>
  <c r="M385" i="49"/>
  <c r="N544" i="31"/>
  <c r="Y92" i="49"/>
  <c r="P603" i="31"/>
  <c r="U443" i="31"/>
  <c r="X110" i="31"/>
  <c r="Q337" i="31"/>
  <c r="V202" i="49"/>
  <c r="AC254" i="49"/>
  <c r="P488" i="31"/>
  <c r="R174" i="31"/>
  <c r="J592" i="31"/>
  <c r="X45" i="31"/>
  <c r="J203" i="49"/>
  <c r="P485" i="49"/>
  <c r="W465" i="31"/>
  <c r="I38" i="49"/>
  <c r="H276" i="49"/>
  <c r="J507" i="31"/>
  <c r="T295" i="49"/>
  <c r="R502" i="31"/>
  <c r="T202" i="31"/>
  <c r="N585" i="31"/>
  <c r="G102" i="49"/>
  <c r="W148" i="49"/>
  <c r="Y175" i="49"/>
  <c r="Z537" i="49"/>
  <c r="AD227" i="49"/>
  <c r="N468" i="31"/>
  <c r="V303" i="49"/>
  <c r="N83" i="49"/>
  <c r="AA309" i="49"/>
  <c r="S361" i="49"/>
  <c r="Q470" i="49"/>
  <c r="W200" i="49"/>
  <c r="R424" i="31"/>
  <c r="AA545" i="49"/>
  <c r="M381" i="49"/>
  <c r="AA515" i="49"/>
  <c r="Q334" i="49"/>
  <c r="K578" i="31"/>
  <c r="X95" i="31"/>
  <c r="Y284" i="31"/>
  <c r="U317" i="31"/>
  <c r="M473" i="49"/>
  <c r="S607" i="49"/>
  <c r="T430" i="31"/>
  <c r="G151" i="31"/>
  <c r="W225" i="31"/>
  <c r="AA245" i="49"/>
  <c r="I60" i="49"/>
  <c r="L310" i="49"/>
  <c r="P563" i="49"/>
  <c r="R277" i="49"/>
  <c r="I180" i="31"/>
  <c r="P63" i="31"/>
  <c r="J515" i="31"/>
  <c r="AC468" i="49"/>
  <c r="U549" i="49"/>
  <c r="J252" i="31"/>
  <c r="H599" i="31"/>
  <c r="I563" i="49"/>
  <c r="I447" i="49"/>
  <c r="L426" i="31"/>
  <c r="S224" i="49"/>
  <c r="H607" i="49"/>
  <c r="S322" i="31"/>
  <c r="Z70" i="49"/>
  <c r="M297" i="31"/>
  <c r="N273" i="31"/>
  <c r="N419" i="31"/>
  <c r="G246" i="49"/>
  <c r="AB571" i="31"/>
  <c r="N281" i="31"/>
  <c r="M359" i="31"/>
  <c r="X344" i="31"/>
  <c r="L460" i="31"/>
  <c r="V579" i="31"/>
  <c r="R327" i="31"/>
  <c r="AD29" i="49"/>
  <c r="L562" i="31"/>
  <c r="N587" i="31"/>
  <c r="N319" i="31"/>
  <c r="K453" i="49"/>
  <c r="AB22" i="49"/>
  <c r="AB441" i="49"/>
  <c r="G520" i="31"/>
  <c r="V257" i="49"/>
  <c r="T68" i="49"/>
  <c r="L287" i="49"/>
  <c r="H588" i="49"/>
  <c r="N63" i="49"/>
  <c r="P453" i="49"/>
  <c r="N244" i="49"/>
  <c r="I173" i="49"/>
  <c r="Y488" i="49"/>
  <c r="P543" i="49"/>
  <c r="M505" i="49"/>
  <c r="S279" i="49"/>
  <c r="AD364" i="49"/>
  <c r="I16" i="49"/>
  <c r="X545" i="49"/>
  <c r="U223" i="49"/>
  <c r="U121" i="31"/>
  <c r="Y114" i="49"/>
  <c r="AD344" i="49"/>
  <c r="H562" i="49"/>
  <c r="N138" i="49"/>
  <c r="Q63" i="49"/>
  <c r="I39" i="49"/>
  <c r="W162" i="49"/>
  <c r="G311" i="31"/>
  <c r="L599" i="31"/>
  <c r="T474" i="49"/>
  <c r="V374" i="49"/>
  <c r="M346" i="49"/>
  <c r="T533" i="49"/>
  <c r="M501" i="49"/>
  <c r="AD240" i="49"/>
  <c r="P30" i="31"/>
  <c r="AD318" i="49"/>
  <c r="L260" i="49"/>
  <c r="H488" i="49"/>
  <c r="M465" i="31"/>
  <c r="AA364" i="31"/>
  <c r="V14" i="49"/>
  <c r="W65" i="49"/>
  <c r="N572" i="31"/>
  <c r="I25" i="49"/>
  <c r="I278" i="49"/>
  <c r="V477" i="49"/>
  <c r="U524" i="49"/>
  <c r="R458" i="49"/>
  <c r="T433" i="49"/>
  <c r="I608" i="31"/>
  <c r="K508" i="49"/>
  <c r="AB225" i="49"/>
  <c r="H117" i="49"/>
  <c r="X173" i="49"/>
  <c r="Q296" i="31"/>
  <c r="Y558" i="31"/>
  <c r="Y303" i="31"/>
  <c r="AB17" i="31"/>
  <c r="I503" i="31"/>
  <c r="V496" i="49"/>
  <c r="O54" i="49"/>
  <c r="G100" i="49"/>
  <c r="T101" i="31"/>
  <c r="AD164" i="31"/>
  <c r="N150" i="31"/>
  <c r="V212" i="31"/>
  <c r="AC316" i="31"/>
  <c r="R82" i="49"/>
  <c r="J335" i="49"/>
  <c r="W103" i="49"/>
  <c r="AD69" i="49"/>
  <c r="AA471" i="31"/>
  <c r="V77" i="49"/>
  <c r="Y173" i="49"/>
  <c r="I488" i="49"/>
  <c r="P378" i="49"/>
  <c r="H512" i="49"/>
  <c r="V589" i="49"/>
  <c r="K218" i="31"/>
  <c r="AB467" i="31"/>
  <c r="I276" i="31"/>
  <c r="K486" i="31"/>
  <c r="K122" i="31"/>
  <c r="O115" i="49"/>
  <c r="L349" i="49"/>
  <c r="AB458" i="49"/>
  <c r="S511" i="31"/>
  <c r="AA274" i="31"/>
  <c r="AA599" i="31"/>
  <c r="K433" i="49"/>
  <c r="Z20" i="49"/>
  <c r="Y499" i="49"/>
  <c r="AD517" i="49"/>
  <c r="O287" i="31"/>
  <c r="N602" i="49"/>
  <c r="Z176" i="49"/>
  <c r="U385" i="31"/>
  <c r="L334" i="31"/>
  <c r="Y42" i="31"/>
  <c r="P146" i="49"/>
  <c r="R612" i="49"/>
  <c r="H140" i="31"/>
  <c r="K274" i="31"/>
  <c r="Q329" i="49"/>
  <c r="J379" i="31"/>
  <c r="Z601" i="31"/>
  <c r="P131" i="31"/>
  <c r="W589" i="31"/>
  <c r="W608" i="49"/>
  <c r="L72" i="49"/>
  <c r="I227" i="31"/>
  <c r="I590" i="31"/>
  <c r="AC269" i="31"/>
  <c r="J455" i="49"/>
  <c r="V155" i="49"/>
  <c r="I78" i="31"/>
  <c r="AC260" i="31"/>
  <c r="W559" i="31"/>
  <c r="R483" i="49"/>
  <c r="Q185" i="31"/>
  <c r="X175" i="31"/>
  <c r="W461" i="49"/>
  <c r="W405" i="49"/>
  <c r="W605" i="31"/>
  <c r="P138" i="31"/>
  <c r="U185" i="49"/>
  <c r="O113" i="31"/>
  <c r="G44" i="31"/>
  <c r="H263" i="31"/>
  <c r="W570" i="31"/>
  <c r="J316" i="31"/>
  <c r="X298" i="31"/>
  <c r="Y294" i="31"/>
  <c r="Q473" i="49"/>
  <c r="R218" i="31"/>
  <c r="Z284" i="49"/>
  <c r="P120" i="31"/>
  <c r="P285" i="49"/>
  <c r="J255" i="31"/>
  <c r="O507" i="31"/>
  <c r="S617" i="49"/>
  <c r="H432" i="49"/>
  <c r="Q28" i="49"/>
  <c r="V410" i="31"/>
  <c r="AD466" i="31"/>
  <c r="L514" i="31"/>
  <c r="V173" i="49"/>
  <c r="AC164" i="49"/>
  <c r="G441" i="31"/>
  <c r="AA504" i="31"/>
  <c r="V421" i="31"/>
  <c r="H344" i="49"/>
  <c r="AC473" i="49"/>
  <c r="V452" i="49"/>
  <c r="Y60" i="49"/>
  <c r="W135" i="31"/>
  <c r="L595" i="31"/>
  <c r="T245" i="49"/>
  <c r="Y56" i="49"/>
  <c r="S278" i="31"/>
  <c r="T555" i="49"/>
  <c r="S334" i="31"/>
  <c r="AB581" i="49"/>
  <c r="H49" i="31"/>
  <c r="P514" i="31"/>
  <c r="Y216" i="49"/>
  <c r="AB480" i="49"/>
  <c r="O15" i="31"/>
  <c r="T365" i="49"/>
  <c r="M560" i="31"/>
  <c r="Z473" i="31"/>
  <c r="Q32" i="31"/>
  <c r="G378" i="31"/>
  <c r="K456" i="31"/>
  <c r="R483" i="31"/>
  <c r="V510" i="31"/>
  <c r="K142" i="49"/>
  <c r="K378" i="49"/>
  <c r="S146" i="49"/>
  <c r="Y330" i="49"/>
  <c r="L524" i="49"/>
  <c r="I50" i="31"/>
  <c r="I253" i="31"/>
  <c r="H294" i="49"/>
  <c r="N556" i="31"/>
  <c r="S305" i="31"/>
  <c r="N263" i="31"/>
  <c r="J85" i="31"/>
  <c r="G445" i="49"/>
  <c r="U348" i="49"/>
  <c r="W164" i="49"/>
  <c r="M345" i="31"/>
  <c r="H452" i="49"/>
  <c r="W574" i="31"/>
  <c r="L572" i="31"/>
  <c r="X55" i="31"/>
  <c r="AB118" i="49"/>
  <c r="K616" i="49"/>
  <c r="U374" i="49"/>
  <c r="N303" i="31"/>
  <c r="Y512" i="49"/>
  <c r="P195" i="31"/>
  <c r="G216" i="31"/>
  <c r="O508" i="49"/>
  <c r="U605" i="31"/>
  <c r="G305" i="31"/>
  <c r="R147" i="31"/>
  <c r="T507" i="31"/>
  <c r="N616" i="49"/>
  <c r="L83" i="49"/>
  <c r="H114" i="31"/>
  <c r="R260" i="31"/>
  <c r="L485" i="49"/>
  <c r="T544" i="31"/>
  <c r="W147" i="31"/>
  <c r="Q64" i="49"/>
  <c r="O11" i="31"/>
  <c r="V15" i="31"/>
  <c r="I58" i="31"/>
  <c r="J353" i="31"/>
  <c r="N488" i="49"/>
  <c r="W186" i="31"/>
  <c r="S438" i="31"/>
  <c r="H154" i="49"/>
  <c r="Y587" i="31"/>
  <c r="R285" i="49"/>
  <c r="AA594" i="31"/>
  <c r="G74" i="31"/>
  <c r="Y574" i="31"/>
  <c r="V342" i="31"/>
  <c r="V524" i="31"/>
  <c r="H465" i="49"/>
  <c r="G470" i="49"/>
  <c r="T606" i="49"/>
  <c r="X513" i="31"/>
  <c r="L160" i="31"/>
  <c r="T592" i="31"/>
  <c r="N549" i="31"/>
  <c r="P272" i="31"/>
  <c r="R307" i="31"/>
  <c r="Q33" i="49"/>
  <c r="T370" i="31"/>
  <c r="Z543" i="31"/>
  <c r="R116" i="31"/>
  <c r="V91" i="49"/>
  <c r="L50" i="49"/>
  <c r="AB578" i="31"/>
  <c r="X606" i="31"/>
  <c r="H239" i="49"/>
  <c r="O411" i="49"/>
  <c r="V57" i="49"/>
  <c r="N409" i="49"/>
  <c r="S317" i="31"/>
  <c r="AA268" i="49"/>
  <c r="N276" i="49"/>
  <c r="AB573" i="49"/>
  <c r="M537" i="31"/>
  <c r="AA449" i="49"/>
  <c r="L60" i="49"/>
  <c r="AA371" i="49"/>
  <c r="W190" i="49"/>
  <c r="V492" i="49"/>
  <c r="P473" i="49"/>
  <c r="N386" i="49"/>
  <c r="AC594" i="49"/>
  <c r="Y372" i="49"/>
  <c r="Y497" i="49"/>
  <c r="O493" i="49"/>
  <c r="AA560" i="49"/>
  <c r="AA318" i="49"/>
  <c r="Q130" i="49"/>
  <c r="X475" i="49"/>
  <c r="Y486" i="49"/>
  <c r="J242" i="49"/>
  <c r="R320" i="49"/>
  <c r="X305" i="49"/>
  <c r="J372" i="49"/>
  <c r="J549" i="49"/>
  <c r="I458" i="49"/>
  <c r="Y180" i="49"/>
  <c r="I10" i="49"/>
  <c r="W572" i="49"/>
  <c r="H166" i="31"/>
  <c r="N149" i="31"/>
  <c r="N223" i="31"/>
  <c r="X363" i="49"/>
  <c r="V336" i="49"/>
  <c r="Q194" i="31"/>
  <c r="H523" i="31"/>
  <c r="V409" i="31"/>
  <c r="AA456" i="31"/>
  <c r="AB510" i="49"/>
  <c r="K566" i="49"/>
  <c r="L591" i="31"/>
  <c r="Y41" i="49"/>
  <c r="Z160" i="49"/>
  <c r="U260" i="49"/>
  <c r="U164" i="31"/>
  <c r="AA223" i="31"/>
  <c r="M212" i="31"/>
  <c r="AB320" i="31"/>
  <c r="U68" i="31"/>
  <c r="T247" i="49"/>
  <c r="G88" i="49"/>
  <c r="H191" i="49"/>
  <c r="I453" i="31"/>
  <c r="AD513" i="31"/>
  <c r="H502" i="31"/>
  <c r="J284" i="31"/>
  <c r="AB272" i="31"/>
  <c r="G502" i="49"/>
  <c r="AC294" i="49"/>
  <c r="I115" i="49"/>
  <c r="Z413" i="31"/>
  <c r="Y365" i="31"/>
  <c r="Y349" i="31"/>
  <c r="AA431" i="31"/>
  <c r="G257" i="31"/>
  <c r="M310" i="31"/>
  <c r="G544" i="49"/>
  <c r="J247" i="49"/>
  <c r="N57" i="31"/>
  <c r="U244" i="31"/>
  <c r="S410" i="31"/>
  <c r="O606" i="49"/>
  <c r="W439" i="31"/>
  <c r="P343" i="49"/>
  <c r="H461" i="31"/>
  <c r="H235" i="31"/>
  <c r="T162" i="49"/>
  <c r="I159" i="31"/>
  <c r="P213" i="49"/>
  <c r="M583" i="31"/>
  <c r="Q88" i="31"/>
  <c r="Z346" i="49"/>
  <c r="AA426" i="31"/>
  <c r="J489" i="49"/>
  <c r="W431" i="31"/>
  <c r="O524" i="49"/>
  <c r="R484" i="31"/>
  <c r="J352" i="31"/>
  <c r="I42" i="31"/>
  <c r="X274" i="31"/>
  <c r="N172" i="49"/>
  <c r="Y420" i="49"/>
  <c r="AA324" i="49"/>
  <c r="N56" i="49"/>
  <c r="G28" i="49"/>
  <c r="R337" i="31"/>
  <c r="V406" i="31"/>
  <c r="I560" i="31"/>
  <c r="AD291" i="49"/>
  <c r="V268" i="31"/>
  <c r="V325" i="31"/>
  <c r="AA533" i="49"/>
  <c r="K170" i="49"/>
  <c r="Q576" i="31"/>
  <c r="W232" i="31"/>
  <c r="P498" i="49"/>
  <c r="H236" i="49"/>
  <c r="Q128" i="31"/>
  <c r="Z227" i="31"/>
  <c r="K494" i="49"/>
  <c r="J266" i="49"/>
  <c r="Y344" i="49"/>
  <c r="AD446" i="49"/>
  <c r="AA261" i="31"/>
  <c r="V25" i="49"/>
  <c r="AC162" i="49"/>
  <c r="X349" i="31"/>
  <c r="V536" i="49"/>
  <c r="Q352" i="49"/>
  <c r="Z352" i="31"/>
  <c r="X209" i="31"/>
  <c r="O383" i="31"/>
  <c r="H305" i="31"/>
  <c r="V283" i="31"/>
  <c r="X244" i="31"/>
  <c r="G197" i="31"/>
  <c r="I137" i="49"/>
  <c r="H10" i="31"/>
  <c r="Z152" i="31"/>
  <c r="O446" i="49"/>
  <c r="K602" i="49"/>
  <c r="V410" i="49"/>
  <c r="Z134" i="31"/>
  <c r="P247" i="31"/>
  <c r="O104" i="31"/>
  <c r="G112" i="31"/>
  <c r="S462" i="31"/>
  <c r="Y161" i="31"/>
  <c r="H259" i="31"/>
  <c r="S288" i="31"/>
  <c r="J509" i="31"/>
  <c r="W526" i="49"/>
  <c r="O425" i="31"/>
  <c r="X468" i="49"/>
  <c r="N25" i="31"/>
  <c r="M566" i="31"/>
  <c r="Z235" i="31"/>
  <c r="H95" i="31"/>
  <c r="O242" i="31"/>
  <c r="G611" i="31"/>
  <c r="Y22" i="31"/>
  <c r="M422" i="49"/>
  <c r="AC593" i="31"/>
  <c r="J268" i="31"/>
  <c r="W582" i="49"/>
  <c r="K583" i="49"/>
  <c r="X125" i="31"/>
  <c r="AB357" i="31"/>
  <c r="P464" i="31"/>
  <c r="H592" i="49"/>
  <c r="P55" i="49"/>
  <c r="Y57" i="49"/>
  <c r="L444" i="31"/>
  <c r="N169" i="31"/>
  <c r="G203" i="31"/>
  <c r="W161" i="31"/>
  <c r="X420" i="31"/>
  <c r="G103" i="49"/>
  <c r="P616" i="49"/>
  <c r="W151" i="49"/>
  <c r="Q152" i="31"/>
  <c r="H123" i="31"/>
  <c r="J493" i="31"/>
  <c r="U449" i="31"/>
  <c r="Q190" i="31"/>
  <c r="Z588" i="31"/>
  <c r="Y122" i="49"/>
  <c r="M447" i="49"/>
  <c r="K454" i="31"/>
  <c r="V419" i="49"/>
  <c r="K350" i="31"/>
  <c r="AA240" i="49"/>
  <c r="Z34" i="49"/>
  <c r="AC319" i="31"/>
  <c r="W112" i="31"/>
  <c r="AC508" i="31"/>
  <c r="V508" i="49"/>
  <c r="Z31" i="31"/>
  <c r="O130" i="31"/>
  <c r="AD364" i="31"/>
  <c r="O55" i="49"/>
  <c r="AD467" i="31"/>
  <c r="V292" i="49"/>
  <c r="T336" i="49"/>
  <c r="N518" i="31"/>
  <c r="K420" i="49"/>
  <c r="AD595" i="31"/>
  <c r="T552" i="31"/>
  <c r="P276" i="31"/>
  <c r="AA204" i="49"/>
  <c r="G34" i="49"/>
  <c r="X269" i="49"/>
  <c r="N547" i="31"/>
  <c r="M395" i="49"/>
  <c r="AB94" i="49"/>
  <c r="V53" i="49"/>
  <c r="L582" i="31"/>
  <c r="K491" i="49"/>
  <c r="O239" i="49"/>
  <c r="W114" i="31"/>
  <c r="AD402" i="31"/>
  <c r="N339" i="49"/>
  <c r="AB170" i="49"/>
  <c r="AD520" i="31"/>
  <c r="Q438" i="31"/>
  <c r="Z287" i="31"/>
  <c r="O233" i="49"/>
  <c r="V236" i="49"/>
  <c r="T498" i="49"/>
  <c r="H432" i="31"/>
  <c r="P129" i="31"/>
  <c r="W191" i="31"/>
  <c r="K249" i="49"/>
  <c r="G63" i="49"/>
  <c r="Y90" i="49"/>
  <c r="V260" i="49"/>
  <c r="O139" i="49"/>
  <c r="I140" i="31"/>
  <c r="Q51" i="31"/>
  <c r="X478" i="31"/>
  <c r="AC438" i="49"/>
  <c r="T533" i="31"/>
  <c r="N618" i="31"/>
  <c r="Q266" i="49"/>
  <c r="AA92" i="49"/>
  <c r="P194" i="49"/>
  <c r="K96" i="49"/>
  <c r="Y456" i="31"/>
  <c r="Z309" i="31"/>
  <c r="G576" i="31"/>
  <c r="J502" i="49"/>
  <c r="T502" i="49"/>
  <c r="M254" i="31"/>
  <c r="T190" i="31"/>
  <c r="V443" i="31"/>
  <c r="O96" i="49"/>
  <c r="H199" i="49"/>
  <c r="P232" i="49"/>
  <c r="L29" i="49"/>
  <c r="Z582" i="49"/>
  <c r="T329" i="31"/>
  <c r="V275" i="49"/>
  <c r="H360" i="31"/>
  <c r="M304" i="49"/>
  <c r="O122" i="49"/>
  <c r="Q147" i="49"/>
  <c r="AD379" i="49"/>
  <c r="G198" i="49"/>
  <c r="T34" i="49"/>
  <c r="P408" i="49"/>
  <c r="K509" i="31"/>
  <c r="M590" i="49"/>
  <c r="Z214" i="49"/>
  <c r="AD266" i="49"/>
  <c r="Q201" i="49"/>
  <c r="P412" i="49"/>
  <c r="R522" i="49"/>
  <c r="V268" i="49"/>
  <c r="G423" i="49"/>
  <c r="AB138" i="49"/>
  <c r="W163" i="49"/>
  <c r="H198" i="49"/>
  <c r="N29" i="49"/>
  <c r="S152" i="31"/>
  <c r="AA214" i="31"/>
  <c r="M203" i="31"/>
  <c r="I268" i="31"/>
  <c r="G251" i="49"/>
  <c r="M394" i="49"/>
  <c r="K259" i="31"/>
  <c r="Q235" i="49"/>
  <c r="K367" i="31"/>
  <c r="S555" i="31"/>
  <c r="S502" i="31"/>
  <c r="W297" i="31"/>
  <c r="AD504" i="49"/>
  <c r="R288" i="31"/>
  <c r="I112" i="31"/>
  <c r="H450" i="31"/>
  <c r="H68" i="31"/>
  <c r="J141" i="31"/>
  <c r="L126" i="31"/>
  <c r="N201" i="31"/>
  <c r="H343" i="49"/>
  <c r="P230" i="31"/>
  <c r="AA414" i="49"/>
  <c r="X577" i="49"/>
  <c r="AB296" i="31"/>
  <c r="AB201" i="49"/>
  <c r="R32" i="49"/>
  <c r="O229" i="31"/>
  <c r="R264" i="31"/>
  <c r="P397" i="31"/>
  <c r="V322" i="31"/>
  <c r="U427" i="31"/>
  <c r="AC142" i="31"/>
  <c r="K205" i="31"/>
  <c r="U194" i="31"/>
  <c r="AD257" i="31"/>
  <c r="AC50" i="31"/>
  <c r="S417" i="49"/>
  <c r="W463" i="31"/>
  <c r="P353" i="31"/>
  <c r="Q433" i="31"/>
  <c r="AD495" i="31"/>
  <c r="L484" i="31"/>
  <c r="AB265" i="31"/>
  <c r="K247" i="31"/>
  <c r="L172" i="49"/>
  <c r="X431" i="31"/>
  <c r="V498" i="31"/>
  <c r="J368" i="31"/>
  <c r="S342" i="31"/>
  <c r="W318" i="31"/>
  <c r="K413" i="31"/>
  <c r="V258" i="31"/>
  <c r="G437" i="31"/>
  <c r="M405" i="31"/>
  <c r="AD497" i="49"/>
  <c r="G403" i="31"/>
  <c r="J525" i="49"/>
  <c r="L90" i="49"/>
  <c r="G419" i="49"/>
  <c r="AD145" i="49"/>
  <c r="Q82" i="31"/>
  <c r="V201" i="49"/>
  <c r="T32" i="49"/>
  <c r="AB534" i="31"/>
  <c r="V599" i="31"/>
  <c r="X588" i="31"/>
  <c r="O445" i="49"/>
  <c r="V351" i="31"/>
  <c r="AB441" i="31"/>
  <c r="AA265" i="31"/>
  <c r="J239" i="49"/>
  <c r="J39" i="49"/>
  <c r="R99" i="49"/>
  <c r="X86" i="49"/>
  <c r="I403" i="31"/>
  <c r="W381" i="49"/>
  <c r="S130" i="49"/>
  <c r="S104" i="49"/>
  <c r="AD564" i="31"/>
  <c r="Z160" i="31"/>
  <c r="M200" i="49"/>
  <c r="AC166" i="49"/>
  <c r="Z194" i="31"/>
  <c r="J32" i="31"/>
  <c r="X591" i="31"/>
  <c r="S322" i="49"/>
  <c r="K504" i="31"/>
  <c r="H133" i="49"/>
  <c r="S327" i="31"/>
  <c r="T445" i="31"/>
  <c r="AC381" i="49"/>
  <c r="J244" i="31"/>
  <c r="Q155" i="31"/>
  <c r="S525" i="49"/>
  <c r="M473" i="31"/>
  <c r="Q282" i="31"/>
  <c r="Z27" i="31"/>
  <c r="P159" i="31"/>
  <c r="S567" i="49"/>
  <c r="R221" i="31"/>
  <c r="I223" i="31"/>
  <c r="O441" i="49"/>
  <c r="H270" i="31"/>
  <c r="N78" i="49"/>
  <c r="H117" i="31"/>
  <c r="I103" i="31"/>
  <c r="R501" i="49"/>
  <c r="V11" i="49"/>
  <c r="R22" i="31"/>
  <c r="R241" i="31"/>
  <c r="V134" i="49"/>
  <c r="I142" i="31"/>
  <c r="N320" i="31"/>
  <c r="AD274" i="31"/>
  <c r="Q462" i="31"/>
  <c r="AB327" i="31"/>
  <c r="O468" i="49"/>
  <c r="V402" i="31"/>
  <c r="X337" i="49"/>
  <c r="AD27" i="49"/>
  <c r="S196" i="49"/>
  <c r="V181" i="31"/>
  <c r="M197" i="49"/>
  <c r="AC280" i="31"/>
  <c r="O463" i="49"/>
  <c r="Y590" i="31"/>
  <c r="H324" i="49"/>
  <c r="AD441" i="49"/>
  <c r="I83" i="31"/>
  <c r="AD403" i="31"/>
  <c r="N297" i="49"/>
  <c r="H248" i="31"/>
  <c r="K273" i="31"/>
  <c r="W167" i="31"/>
  <c r="J291" i="31"/>
  <c r="L261" i="49"/>
  <c r="AD234" i="49"/>
  <c r="Q404" i="31"/>
  <c r="Y24" i="49"/>
  <c r="H125" i="31"/>
  <c r="J550" i="31"/>
  <c r="X254" i="49"/>
  <c r="O61" i="49"/>
  <c r="Q86" i="49"/>
  <c r="P368" i="49"/>
  <c r="G135" i="49"/>
  <c r="AB236" i="49"/>
  <c r="G48" i="31"/>
  <c r="H478" i="31"/>
  <c r="AC408" i="49"/>
  <c r="AB613" i="49"/>
  <c r="Z568" i="31"/>
  <c r="I116" i="49"/>
  <c r="I428" i="49"/>
  <c r="AD103" i="49"/>
  <c r="Y251" i="31"/>
  <c r="Y56" i="31"/>
  <c r="Q233" i="49"/>
  <c r="L223" i="49"/>
  <c r="AA253" i="49"/>
  <c r="Q97" i="31"/>
  <c r="AB518" i="49"/>
  <c r="N319" i="49"/>
  <c r="AD165" i="49"/>
  <c r="AD341" i="31"/>
  <c r="Y428" i="31"/>
  <c r="AD370" i="31"/>
  <c r="S261" i="49"/>
  <c r="V10" i="49"/>
  <c r="X90" i="31"/>
  <c r="X499" i="31"/>
  <c r="V175" i="31"/>
  <c r="AB582" i="31"/>
  <c r="K353" i="49"/>
  <c r="O170" i="49"/>
  <c r="Q195" i="49"/>
  <c r="V22" i="49"/>
  <c r="AA251" i="49"/>
  <c r="V466" i="31"/>
  <c r="AD605" i="49"/>
  <c r="AD81" i="49"/>
  <c r="S618" i="49"/>
  <c r="K381" i="49"/>
  <c r="T483" i="49"/>
  <c r="AB268" i="49"/>
  <c r="AB380" i="31"/>
  <c r="U240" i="31"/>
  <c r="W223" i="31"/>
  <c r="AD131" i="49"/>
  <c r="V117" i="49"/>
  <c r="Q402" i="31"/>
  <c r="AD374" i="31"/>
  <c r="K485" i="49"/>
  <c r="R615" i="49"/>
  <c r="L122" i="49"/>
  <c r="T67" i="49"/>
  <c r="J272" i="31"/>
  <c r="AC610" i="49"/>
  <c r="L556" i="31"/>
  <c r="AA332" i="49"/>
  <c r="K534" i="49"/>
  <c r="AA338" i="49"/>
  <c r="T279" i="49"/>
  <c r="L290" i="49"/>
  <c r="Z369" i="31"/>
  <c r="R163" i="31"/>
  <c r="Q233" i="31"/>
  <c r="N12" i="49"/>
  <c r="K415" i="49"/>
  <c r="I234" i="49"/>
  <c r="J451" i="49"/>
  <c r="AB154" i="49"/>
  <c r="AA365" i="31"/>
  <c r="Y420" i="31"/>
  <c r="Q365" i="31"/>
  <c r="Q32" i="49"/>
  <c r="N212" i="49"/>
  <c r="N92" i="49"/>
  <c r="P493" i="49"/>
  <c r="H532" i="31"/>
  <c r="X213" i="31"/>
  <c r="R605" i="31"/>
  <c r="O112" i="49"/>
  <c r="O215" i="49"/>
  <c r="Y187" i="49"/>
  <c r="I17" i="49"/>
  <c r="X244" i="49"/>
  <c r="V555" i="31"/>
  <c r="K362" i="49"/>
  <c r="N103" i="49"/>
  <c r="M320" i="49"/>
  <c r="I139" i="49"/>
  <c r="Q474" i="49"/>
  <c r="AD209" i="49"/>
  <c r="P275" i="31"/>
  <c r="N69" i="49"/>
  <c r="H90" i="31"/>
  <c r="AA316" i="31"/>
  <c r="O535" i="49"/>
  <c r="AD244" i="49"/>
  <c r="Q100" i="49"/>
  <c r="T294" i="31"/>
  <c r="V23" i="49"/>
  <c r="AB72" i="49"/>
  <c r="Z617" i="31"/>
  <c r="AD133" i="49"/>
  <c r="I74" i="31"/>
  <c r="V193" i="49"/>
  <c r="K596" i="49"/>
  <c r="AD568" i="49"/>
  <c r="J353" i="49"/>
  <c r="N323" i="49"/>
  <c r="W515" i="49"/>
  <c r="P123" i="49"/>
  <c r="K287" i="31"/>
  <c r="AB491" i="49"/>
  <c r="Z511" i="49"/>
  <c r="J428" i="49"/>
  <c r="H444" i="49"/>
  <c r="N417" i="49"/>
  <c r="I573" i="31"/>
  <c r="S343" i="49"/>
  <c r="R280" i="31"/>
  <c r="W191" i="49"/>
  <c r="Y14" i="49"/>
  <c r="U503" i="31"/>
  <c r="AC607" i="31"/>
  <c r="Y472" i="31"/>
  <c r="V24" i="31"/>
  <c r="AA534" i="49"/>
  <c r="N209" i="31"/>
  <c r="G587" i="49"/>
  <c r="O25" i="31"/>
  <c r="M430" i="49"/>
  <c r="AC323" i="31"/>
  <c r="S468" i="31"/>
  <c r="Q224" i="31"/>
  <c r="X257" i="31"/>
  <c r="R381" i="31"/>
  <c r="R166" i="49"/>
  <c r="Y463" i="49"/>
  <c r="M31" i="31"/>
  <c r="U91" i="31"/>
  <c r="AA78" i="31"/>
  <c r="K140" i="31"/>
  <c r="Q336" i="31"/>
  <c r="S460" i="49"/>
  <c r="Y93" i="49"/>
  <c r="J196" i="49"/>
  <c r="AC225" i="31"/>
  <c r="G583" i="31"/>
  <c r="AD361" i="31"/>
  <c r="K577" i="31"/>
  <c r="AB97" i="31"/>
  <c r="T164" i="49"/>
  <c r="S299" i="49"/>
  <c r="Y119" i="49"/>
  <c r="S335" i="31"/>
  <c r="AA521" i="31"/>
  <c r="AA474" i="31"/>
  <c r="R53" i="31"/>
  <c r="P285" i="31"/>
  <c r="P411" i="31"/>
  <c r="J231" i="31"/>
  <c r="Y285" i="31"/>
  <c r="Y546" i="49"/>
  <c r="Z248" i="31"/>
  <c r="Y191" i="31"/>
  <c r="Y33" i="31"/>
  <c r="K124" i="49"/>
  <c r="N349" i="49"/>
  <c r="Z361" i="49"/>
  <c r="V123" i="49"/>
  <c r="I516" i="49"/>
  <c r="L174" i="49"/>
  <c r="Q493" i="31"/>
  <c r="J165" i="31"/>
  <c r="W335" i="49"/>
  <c r="L152" i="31"/>
  <c r="G562" i="31"/>
  <c r="O386" i="31"/>
  <c r="K554" i="31"/>
  <c r="O445" i="31"/>
  <c r="P116" i="31"/>
  <c r="V378" i="31"/>
  <c r="H113" i="31"/>
  <c r="T288" i="31"/>
  <c r="V520" i="31"/>
  <c r="N453" i="31"/>
  <c r="AA348" i="31"/>
  <c r="P91" i="49"/>
  <c r="W309" i="31"/>
  <c r="J369" i="31"/>
  <c r="N434" i="31"/>
  <c r="N351" i="31"/>
  <c r="X182" i="49"/>
  <c r="J298" i="49"/>
  <c r="Y275" i="49"/>
  <c r="V501" i="49"/>
  <c r="Q480" i="31"/>
  <c r="K175" i="49"/>
  <c r="Q501" i="31"/>
  <c r="T338" i="49"/>
  <c r="Z252" i="31"/>
  <c r="X113" i="31"/>
  <c r="L171" i="49"/>
  <c r="P522" i="31"/>
  <c r="W212" i="31"/>
  <c r="J63" i="31"/>
  <c r="P346" i="31"/>
  <c r="AD589" i="31"/>
  <c r="AB406" i="31"/>
  <c r="O491" i="31"/>
  <c r="G227" i="31"/>
  <c r="V59" i="49"/>
  <c r="Q181" i="31"/>
  <c r="N75" i="31"/>
  <c r="U252" i="31"/>
  <c r="AD449" i="49"/>
  <c r="AB142" i="49"/>
  <c r="R18" i="31"/>
  <c r="W207" i="31"/>
  <c r="AD423" i="31"/>
  <c r="I259" i="49"/>
  <c r="Y154" i="31"/>
  <c r="AA537" i="49"/>
  <c r="S430" i="49"/>
  <c r="Z470" i="31"/>
  <c r="S514" i="31"/>
  <c r="AD359" i="31"/>
  <c r="AA182" i="49"/>
  <c r="P38" i="31"/>
  <c r="Q15" i="31"/>
  <c r="J489" i="31"/>
  <c r="G475" i="31"/>
  <c r="Z270" i="31"/>
  <c r="Q551" i="31"/>
  <c r="Y564" i="31"/>
  <c r="S472" i="49"/>
  <c r="X211" i="31"/>
  <c r="I566" i="49"/>
  <c r="R83" i="31"/>
  <c r="Z422" i="49"/>
  <c r="R247" i="31"/>
  <c r="S610" i="49"/>
  <c r="G556" i="31"/>
  <c r="R74" i="31"/>
  <c r="Q34" i="31"/>
  <c r="M405" i="49"/>
  <c r="AD277" i="31"/>
  <c r="H460" i="49"/>
  <c r="Z145" i="31"/>
  <c r="N13" i="31"/>
  <c r="I154" i="31"/>
  <c r="W516" i="31"/>
  <c r="G210" i="31"/>
  <c r="AC394" i="49"/>
  <c r="AB327" i="49"/>
  <c r="O40" i="49"/>
  <c r="P438" i="31"/>
  <c r="P221" i="31"/>
  <c r="Y214" i="31"/>
  <c r="Y10" i="49"/>
  <c r="S536" i="49"/>
  <c r="O79" i="49"/>
  <c r="L550" i="49"/>
  <c r="G129" i="49"/>
  <c r="G167" i="31"/>
  <c r="S408" i="31"/>
  <c r="H504" i="31"/>
  <c r="G205" i="49"/>
  <c r="R493" i="49"/>
  <c r="T559" i="31"/>
  <c r="Q104" i="49"/>
  <c r="R295" i="49"/>
  <c r="AC465" i="31"/>
  <c r="J99" i="31"/>
  <c r="M367" i="31"/>
  <c r="H215" i="49"/>
  <c r="V18" i="49"/>
  <c r="O451" i="31"/>
  <c r="AB266" i="49"/>
  <c r="H468" i="49"/>
  <c r="N151" i="49"/>
  <c r="N21" i="31"/>
  <c r="I418" i="31"/>
  <c r="W282" i="31"/>
  <c r="AD407" i="31"/>
  <c r="N220" i="49"/>
  <c r="T329" i="49"/>
  <c r="P489" i="49"/>
  <c r="AD560" i="31"/>
  <c r="Q410" i="49"/>
  <c r="X608" i="31"/>
  <c r="Y115" i="49"/>
  <c r="Q163" i="49"/>
  <c r="Q189" i="49"/>
  <c r="Y17" i="49"/>
  <c r="AC247" i="49"/>
  <c r="AD559" i="31"/>
  <c r="M193" i="49"/>
  <c r="T106" i="49"/>
  <c r="U324" i="49"/>
  <c r="K373" i="49"/>
  <c r="W474" i="49"/>
  <c r="Z211" i="49"/>
  <c r="O595" i="31"/>
  <c r="Y247" i="31"/>
  <c r="Z351" i="49"/>
  <c r="Q586" i="31"/>
  <c r="G585" i="31"/>
  <c r="P112" i="31"/>
  <c r="N176" i="49"/>
  <c r="T613" i="49"/>
  <c r="V312" i="49"/>
  <c r="W401" i="31"/>
  <c r="L452" i="31"/>
  <c r="J162" i="31"/>
  <c r="Q202" i="31"/>
  <c r="AB227" i="49"/>
  <c r="O49" i="49"/>
  <c r="AB432" i="31"/>
  <c r="P547" i="49"/>
  <c r="O51" i="31"/>
  <c r="W151" i="31"/>
  <c r="I81" i="31"/>
  <c r="P492" i="31"/>
  <c r="Y424" i="49"/>
  <c r="G522" i="49"/>
  <c r="P205" i="31"/>
  <c r="Y223" i="31"/>
  <c r="K511" i="49"/>
  <c r="U489" i="31"/>
  <c r="H252" i="31"/>
  <c r="Q204" i="31"/>
  <c r="H285" i="31"/>
  <c r="Y259" i="49"/>
  <c r="M384" i="49"/>
  <c r="J131" i="31"/>
  <c r="AC271" i="31"/>
  <c r="Y245" i="31"/>
  <c r="W338" i="31"/>
  <c r="R537" i="31"/>
  <c r="T266" i="31"/>
  <c r="L296" i="31"/>
  <c r="O374" i="31"/>
  <c r="V361" i="31"/>
  <c r="L343" i="31"/>
  <c r="Z84" i="31"/>
  <c r="Z373" i="31"/>
  <c r="V41" i="49"/>
  <c r="AB574" i="31"/>
  <c r="H598" i="31"/>
  <c r="J335" i="31"/>
  <c r="O454" i="49"/>
  <c r="L48" i="49"/>
  <c r="J284" i="49"/>
  <c r="S605" i="31"/>
  <c r="Y221" i="31"/>
  <c r="N81" i="49"/>
  <c r="X551" i="31"/>
  <c r="AD214" i="49"/>
  <c r="H72" i="31"/>
  <c r="I535" i="49"/>
  <c r="U370" i="49"/>
  <c r="Y185" i="49"/>
  <c r="I492" i="49"/>
  <c r="P585" i="49"/>
  <c r="X526" i="49"/>
  <c r="M296" i="49"/>
  <c r="AA170" i="31"/>
  <c r="K230" i="31"/>
  <c r="U217" i="31"/>
  <c r="AD440" i="31"/>
  <c r="AA273" i="49"/>
  <c r="O125" i="49"/>
  <c r="T359" i="49"/>
  <c r="AC586" i="49"/>
  <c r="O551" i="31"/>
  <c r="W608" i="31"/>
  <c r="S519" i="31"/>
  <c r="AA282" i="31"/>
  <c r="L534" i="49"/>
  <c r="J616" i="31"/>
  <c r="T545" i="49"/>
  <c r="AD403" i="49"/>
  <c r="H86" i="31"/>
  <c r="H162" i="31"/>
  <c r="N145" i="31"/>
  <c r="L218" i="31"/>
  <c r="R360" i="49"/>
  <c r="T331" i="49"/>
  <c r="G29" i="49"/>
  <c r="S567" i="31"/>
  <c r="J81" i="31"/>
  <c r="X215" i="49"/>
  <c r="AA294" i="49"/>
  <c r="O77" i="49"/>
  <c r="R586" i="31"/>
  <c r="Y37" i="49"/>
  <c r="M434" i="49"/>
  <c r="U508" i="49"/>
  <c r="K161" i="31"/>
  <c r="U220" i="31"/>
  <c r="AA207" i="31"/>
  <c r="Q284" i="31"/>
  <c r="K65" i="31"/>
  <c r="T243" i="49"/>
  <c r="Z130" i="49"/>
  <c r="P189" i="49"/>
  <c r="Y449" i="31"/>
  <c r="T510" i="31"/>
  <c r="T498" i="31"/>
  <c r="V280" i="31"/>
  <c r="AB266" i="31"/>
  <c r="S501" i="49"/>
  <c r="G66" i="49"/>
  <c r="Y113" i="49"/>
  <c r="R407" i="31"/>
  <c r="G360" i="31"/>
  <c r="Q345" i="31"/>
  <c r="S427" i="31"/>
  <c r="AD272" i="31"/>
  <c r="N96" i="49"/>
  <c r="G33" i="49"/>
  <c r="O404" i="49"/>
  <c r="H110" i="31"/>
  <c r="AB50" i="49"/>
  <c r="K371" i="49"/>
  <c r="O186" i="49"/>
  <c r="O492" i="49"/>
  <c r="P505" i="49"/>
  <c r="R546" i="49"/>
  <c r="S594" i="49"/>
  <c r="P554" i="31"/>
  <c r="G465" i="49"/>
  <c r="N603" i="31"/>
  <c r="S450" i="49"/>
  <c r="V371" i="31"/>
  <c r="I126" i="49"/>
  <c r="AD362" i="49"/>
  <c r="N485" i="49"/>
  <c r="P54" i="49"/>
  <c r="Z115" i="49"/>
  <c r="H102" i="49"/>
  <c r="AA181" i="31"/>
  <c r="Y221" i="49"/>
  <c r="AC434" i="31"/>
  <c r="R60" i="31"/>
  <c r="S235" i="49"/>
  <c r="X428" i="49"/>
  <c r="O264" i="49"/>
  <c r="K591" i="49"/>
  <c r="AC610" i="31"/>
  <c r="O91" i="31"/>
  <c r="T503" i="49"/>
  <c r="Q547" i="31"/>
  <c r="AD560" i="49"/>
  <c r="Y44" i="31"/>
  <c r="AC521" i="49"/>
  <c r="J518" i="49"/>
  <c r="AA419" i="49"/>
  <c r="I101" i="31"/>
  <c r="K272" i="31"/>
  <c r="L458" i="49"/>
  <c r="N145" i="49"/>
  <c r="O19" i="31"/>
  <c r="P149" i="31"/>
  <c r="S406" i="31"/>
  <c r="Z34" i="31"/>
  <c r="Q205" i="49"/>
  <c r="U417" i="31"/>
  <c r="AA448" i="31"/>
  <c r="X515" i="31"/>
  <c r="Y45" i="49"/>
  <c r="R523" i="49"/>
  <c r="Q410" i="31"/>
  <c r="J166" i="31"/>
  <c r="G351" i="49"/>
  <c r="L217" i="49"/>
  <c r="K122" i="49"/>
  <c r="O82" i="31"/>
  <c r="H77" i="31"/>
  <c r="Z515" i="31"/>
  <c r="AB292" i="31"/>
  <c r="H287" i="31"/>
  <c r="L401" i="49"/>
  <c r="AC567" i="49"/>
  <c r="Y332" i="49"/>
  <c r="R431" i="49"/>
  <c r="Z443" i="49"/>
  <c r="AA343" i="31"/>
  <c r="I574" i="31"/>
  <c r="Z231" i="31"/>
  <c r="H73" i="31"/>
  <c r="O226" i="49"/>
  <c r="J88" i="31"/>
  <c r="L471" i="49"/>
  <c r="I40" i="49"/>
  <c r="K496" i="31"/>
  <c r="U421" i="31"/>
  <c r="V353" i="31"/>
  <c r="H231" i="49"/>
  <c r="K179" i="49"/>
  <c r="L495" i="31"/>
  <c r="P171" i="49"/>
  <c r="H504" i="49"/>
  <c r="Z513" i="31"/>
  <c r="P336" i="49"/>
  <c r="O37" i="49"/>
  <c r="X155" i="31"/>
  <c r="L567" i="31"/>
  <c r="U227" i="49"/>
  <c r="I44" i="49"/>
  <c r="Y72" i="49"/>
  <c r="W381" i="31"/>
  <c r="O121" i="49"/>
  <c r="AA249" i="49"/>
  <c r="W76" i="31"/>
  <c r="Z491" i="31"/>
  <c r="Y428" i="49"/>
  <c r="T260" i="49"/>
  <c r="L549" i="31"/>
  <c r="G27" i="31"/>
  <c r="N610" i="31"/>
  <c r="AB140" i="49"/>
  <c r="Q231" i="31"/>
  <c r="Q68" i="31"/>
  <c r="N374" i="31"/>
  <c r="AC467" i="31"/>
  <c r="J495" i="31"/>
  <c r="K517" i="31"/>
  <c r="W353" i="49"/>
  <c r="I554" i="49"/>
  <c r="I360" i="49"/>
  <c r="W556" i="49"/>
  <c r="W184" i="31"/>
  <c r="AB446" i="49"/>
  <c r="J596" i="49"/>
  <c r="L118" i="49"/>
  <c r="P288" i="49"/>
  <c r="V516" i="31"/>
  <c r="V211" i="31"/>
  <c r="T594" i="31"/>
  <c r="AA335" i="49"/>
  <c r="G150" i="49"/>
  <c r="H282" i="31"/>
  <c r="AC359" i="31"/>
  <c r="V345" i="31"/>
  <c r="AD545" i="31"/>
  <c r="V325" i="49"/>
  <c r="V93" i="49"/>
  <c r="M598" i="49"/>
  <c r="AC362" i="49"/>
  <c r="AD587" i="31"/>
  <c r="H320" i="31"/>
  <c r="N543" i="49"/>
  <c r="P245" i="31"/>
  <c r="N597" i="31"/>
  <c r="M525" i="49"/>
  <c r="G458" i="49"/>
  <c r="O522" i="31"/>
  <c r="M339" i="49"/>
  <c r="W263" i="49"/>
  <c r="O337" i="31"/>
  <c r="AB307" i="49"/>
  <c r="K381" i="31"/>
  <c r="X462" i="31"/>
  <c r="L421" i="31"/>
  <c r="I234" i="31"/>
  <c r="Y52" i="49"/>
  <c r="X359" i="31"/>
  <c r="W489" i="31"/>
  <c r="O45" i="31"/>
  <c r="H491" i="31"/>
  <c r="Y186" i="31"/>
  <c r="AB192" i="49"/>
  <c r="Z521" i="31"/>
  <c r="AD279" i="49"/>
  <c r="Q414" i="49"/>
  <c r="H141" i="31"/>
  <c r="O566" i="49"/>
  <c r="R203" i="31"/>
  <c r="W218" i="31"/>
  <c r="Z162" i="31"/>
  <c r="J265" i="31"/>
  <c r="O597" i="49"/>
  <c r="I11" i="49"/>
  <c r="K281" i="49"/>
  <c r="AB18" i="49"/>
  <c r="O515" i="31"/>
  <c r="L570" i="31"/>
  <c r="R533" i="31"/>
  <c r="R257" i="31"/>
  <c r="L290" i="31"/>
  <c r="Y21" i="49"/>
  <c r="Z353" i="31"/>
  <c r="Y124" i="31"/>
  <c r="Q597" i="31"/>
  <c r="N67" i="49"/>
  <c r="V37" i="49"/>
  <c r="N567" i="31"/>
  <c r="AD593" i="31"/>
  <c r="L221" i="49"/>
  <c r="K406" i="49"/>
  <c r="N33" i="49"/>
  <c r="AD450" i="49"/>
  <c r="K522" i="31"/>
  <c r="W537" i="49"/>
  <c r="V254" i="49"/>
  <c r="V288" i="49"/>
  <c r="R146" i="49"/>
  <c r="M617" i="49"/>
  <c r="X235" i="49"/>
  <c r="N85" i="49"/>
  <c r="I179" i="49"/>
  <c r="O488" i="49"/>
  <c r="P326" i="49"/>
  <c r="V372" i="49"/>
  <c r="S590" i="49"/>
  <c r="AA218" i="31"/>
  <c r="AB485" i="31"/>
  <c r="Q278" i="31"/>
  <c r="K474" i="31"/>
  <c r="AB375" i="49"/>
  <c r="Y118" i="49"/>
  <c r="X332" i="49"/>
  <c r="AD463" i="49"/>
  <c r="S503" i="31"/>
  <c r="AA581" i="31"/>
  <c r="AA591" i="31"/>
  <c r="L44" i="31"/>
  <c r="J148" i="49"/>
  <c r="J606" i="31"/>
  <c r="G167" i="49"/>
  <c r="AB471" i="49"/>
  <c r="V581" i="49"/>
  <c r="I299" i="49"/>
  <c r="Q285" i="49"/>
  <c r="U359" i="49"/>
  <c r="V378" i="49"/>
  <c r="AB323" i="49"/>
  <c r="Y560" i="49"/>
  <c r="L375" i="49"/>
  <c r="G618" i="49"/>
  <c r="V362" i="31"/>
  <c r="X486" i="31"/>
  <c r="AA550" i="49"/>
  <c r="L577" i="31"/>
  <c r="G30" i="49"/>
  <c r="H143" i="49"/>
  <c r="U453" i="49"/>
  <c r="N422" i="49"/>
  <c r="V431" i="49"/>
  <c r="R409" i="49"/>
  <c r="I518" i="31"/>
  <c r="M358" i="49"/>
  <c r="J233" i="49"/>
  <c r="O76" i="49"/>
  <c r="P175" i="49"/>
  <c r="U603" i="31"/>
  <c r="Y548" i="31"/>
  <c r="Y283" i="31"/>
  <c r="L19" i="31"/>
  <c r="K554" i="49"/>
  <c r="W498" i="49"/>
  <c r="K277" i="49"/>
  <c r="Q101" i="49"/>
  <c r="AD102" i="31"/>
  <c r="N166" i="31"/>
  <c r="T151" i="31"/>
  <c r="AB213" i="31"/>
  <c r="AB262" i="31"/>
  <c r="P210" i="49"/>
  <c r="N270" i="31"/>
  <c r="Q131" i="49"/>
  <c r="S417" i="31"/>
  <c r="R276" i="31"/>
  <c r="G64" i="49"/>
  <c r="G201" i="31"/>
  <c r="S414" i="31"/>
  <c r="AB465" i="31"/>
  <c r="N65" i="49"/>
  <c r="K375" i="49"/>
  <c r="AC493" i="49"/>
  <c r="Q494" i="49"/>
  <c r="AC283" i="49"/>
  <c r="AD386" i="49"/>
  <c r="M594" i="49"/>
  <c r="X558" i="31"/>
  <c r="G444" i="49"/>
  <c r="V607" i="31"/>
  <c r="S428" i="49"/>
  <c r="R104" i="49"/>
  <c r="N299" i="49"/>
  <c r="X471" i="49"/>
  <c r="I486" i="49"/>
  <c r="Z57" i="49"/>
  <c r="J119" i="49"/>
  <c r="R105" i="49"/>
  <c r="Z169" i="49"/>
  <c r="G130" i="49"/>
  <c r="R128" i="49"/>
  <c r="O181" i="49"/>
  <c r="O13" i="49"/>
  <c r="Y409" i="31"/>
  <c r="K72" i="49"/>
  <c r="K493" i="31"/>
  <c r="K154" i="49"/>
  <c r="Z559" i="31"/>
  <c r="P275" i="49"/>
  <c r="W359" i="31"/>
  <c r="N32" i="49"/>
  <c r="M279" i="31"/>
  <c r="X61" i="31"/>
  <c r="I580" i="49"/>
  <c r="V279" i="31"/>
  <c r="Z318" i="49"/>
  <c r="O258" i="31"/>
  <c r="AA611" i="31"/>
  <c r="N567" i="49"/>
  <c r="K458" i="49"/>
  <c r="U181" i="49"/>
  <c r="G489" i="49"/>
  <c r="AC472" i="49"/>
  <c r="AB407" i="49"/>
  <c r="H59" i="31"/>
  <c r="P29" i="31"/>
  <c r="O563" i="49"/>
  <c r="N287" i="49"/>
  <c r="Y189" i="31"/>
  <c r="Q265" i="31"/>
  <c r="AC364" i="31"/>
  <c r="X282" i="31"/>
  <c r="H61" i="49"/>
  <c r="W78" i="31"/>
  <c r="AC543" i="49"/>
  <c r="U445" i="31"/>
  <c r="H519" i="31"/>
  <c r="K325" i="31"/>
  <c r="P236" i="31"/>
  <c r="J346" i="49"/>
  <c r="I138" i="31"/>
  <c r="Z242" i="31"/>
  <c r="V284" i="31"/>
  <c r="Y165" i="31"/>
  <c r="L341" i="31"/>
  <c r="M383" i="31"/>
  <c r="P407" i="31"/>
  <c r="AA559" i="31"/>
  <c r="AD31" i="49"/>
  <c r="Z504" i="49"/>
  <c r="V215" i="31"/>
  <c r="K562" i="49"/>
  <c r="AD422" i="31"/>
  <c r="O235" i="49"/>
  <c r="Y381" i="31"/>
  <c r="X385" i="31"/>
  <c r="AB450" i="49"/>
  <c r="R515" i="49"/>
  <c r="AA361" i="31"/>
  <c r="N375" i="49"/>
  <c r="S264" i="31"/>
  <c r="G494" i="31"/>
  <c r="O181" i="31"/>
  <c r="L308" i="31"/>
  <c r="Q257" i="31"/>
  <c r="P15" i="49"/>
  <c r="T617" i="49"/>
  <c r="H381" i="31"/>
  <c r="Z132" i="31"/>
  <c r="G195" i="31"/>
  <c r="X250" i="49"/>
  <c r="Q66" i="49"/>
  <c r="U554" i="49"/>
  <c r="N262" i="49"/>
  <c r="L587" i="49"/>
  <c r="O143" i="31"/>
  <c r="W54" i="31"/>
  <c r="H484" i="31"/>
  <c r="AC434" i="49"/>
  <c r="T537" i="31"/>
  <c r="Y40" i="49"/>
  <c r="H386" i="49"/>
  <c r="Q88" i="49"/>
  <c r="K426" i="31"/>
  <c r="X36" i="31"/>
  <c r="N457" i="31"/>
  <c r="Q212" i="49"/>
  <c r="L227" i="49"/>
  <c r="X25" i="49"/>
  <c r="X41" i="31"/>
  <c r="V546" i="31"/>
  <c r="AD278" i="31"/>
  <c r="V179" i="49"/>
  <c r="J189" i="31"/>
  <c r="O443" i="31"/>
  <c r="V405" i="31"/>
  <c r="V431" i="31"/>
  <c r="V246" i="49"/>
  <c r="T598" i="49"/>
  <c r="Z497" i="31"/>
  <c r="V185" i="31"/>
  <c r="H431" i="31"/>
  <c r="S357" i="49"/>
  <c r="N198" i="49"/>
  <c r="H230" i="49"/>
  <c r="N24" i="49"/>
  <c r="Z612" i="49"/>
  <c r="V299" i="31"/>
  <c r="Q608" i="49"/>
  <c r="AB200" i="49"/>
  <c r="M618" i="49"/>
  <c r="Y121" i="49"/>
  <c r="W146" i="49"/>
  <c r="T274" i="49"/>
  <c r="S496" i="31"/>
  <c r="O253" i="31"/>
  <c r="J443" i="49"/>
  <c r="V143" i="49"/>
  <c r="AA545" i="31"/>
  <c r="G413" i="31"/>
  <c r="Q618" i="49"/>
  <c r="Y137" i="49"/>
  <c r="R210" i="49"/>
  <c r="L327" i="49"/>
  <c r="Y39" i="49"/>
  <c r="P612" i="31"/>
  <c r="J206" i="31"/>
  <c r="O211" i="31"/>
  <c r="AB607" i="49"/>
  <c r="N534" i="49"/>
  <c r="N572" i="49"/>
  <c r="L567" i="49"/>
  <c r="W236" i="49"/>
  <c r="W163" i="31"/>
  <c r="M374" i="31"/>
  <c r="P500" i="31"/>
  <c r="K201" i="49"/>
  <c r="G463" i="31"/>
  <c r="M412" i="49"/>
  <c r="I444" i="31"/>
  <c r="V169" i="49"/>
  <c r="Y92" i="31"/>
  <c r="Q432" i="31"/>
  <c r="AB500" i="31"/>
  <c r="AA558" i="49"/>
  <c r="I147" i="31"/>
  <c r="T567" i="49"/>
  <c r="AB52" i="49"/>
  <c r="V171" i="49"/>
  <c r="Z379" i="49"/>
  <c r="AD546" i="31"/>
  <c r="O520" i="49"/>
  <c r="W96" i="31"/>
  <c r="X303" i="31"/>
  <c r="L454" i="49"/>
  <c r="S404" i="31"/>
  <c r="Y96" i="49"/>
  <c r="M401" i="49"/>
  <c r="X519" i="31"/>
  <c r="P230" i="49"/>
  <c r="T394" i="31"/>
  <c r="I94" i="49"/>
  <c r="Y182" i="31"/>
  <c r="U447" i="31"/>
  <c r="L33" i="49"/>
  <c r="G22" i="31"/>
  <c r="L418" i="31"/>
  <c r="H513" i="31"/>
  <c r="P268" i="31"/>
  <c r="J543" i="31"/>
  <c r="V575" i="31"/>
  <c r="AB274" i="31"/>
  <c r="K519" i="49"/>
  <c r="X54" i="31"/>
  <c r="Q150" i="31"/>
  <c r="Q134" i="49"/>
  <c r="M441" i="31"/>
  <c r="N359" i="49"/>
  <c r="J601" i="31"/>
  <c r="O596" i="31"/>
  <c r="R337" i="49"/>
  <c r="J103" i="31"/>
  <c r="P521" i="31"/>
  <c r="K352" i="31"/>
  <c r="R357" i="49"/>
  <c r="J70" i="31"/>
  <c r="AD549" i="31"/>
  <c r="R311" i="31"/>
  <c r="L92" i="49"/>
  <c r="I269" i="31"/>
  <c r="AB60" i="49"/>
  <c r="I114" i="49"/>
  <c r="AB48" i="49"/>
  <c r="Y496" i="49"/>
  <c r="Q162" i="49"/>
  <c r="AB574" i="49"/>
  <c r="O555" i="49"/>
  <c r="Y610" i="49"/>
  <c r="M404" i="49"/>
  <c r="AA559" i="49"/>
  <c r="T520" i="49"/>
  <c r="H575" i="49"/>
  <c r="P137" i="49"/>
  <c r="V370" i="49"/>
  <c r="AD563" i="49"/>
  <c r="J432" i="49"/>
  <c r="X350" i="49"/>
  <c r="I38" i="31"/>
  <c r="AC345" i="31"/>
  <c r="X601" i="31"/>
  <c r="AB519" i="49"/>
  <c r="G165" i="49"/>
  <c r="N64" i="31"/>
  <c r="AB113" i="31"/>
  <c r="Q558" i="49"/>
  <c r="M272" i="49"/>
  <c r="W258" i="31"/>
  <c r="AC33" i="31"/>
  <c r="V368" i="49"/>
  <c r="V140" i="49"/>
  <c r="AA182" i="31"/>
  <c r="U229" i="31"/>
  <c r="X79" i="49"/>
  <c r="Q128" i="49"/>
  <c r="W598" i="31"/>
  <c r="O172" i="49"/>
  <c r="W165" i="49"/>
  <c r="AB582" i="49"/>
  <c r="V555" i="49"/>
  <c r="I610" i="49"/>
  <c r="M264" i="49"/>
  <c r="K559" i="49"/>
  <c r="T522" i="49"/>
  <c r="X573" i="49"/>
  <c r="K444" i="49"/>
  <c r="Z616" i="31"/>
  <c r="AB369" i="49"/>
  <c r="K608" i="31"/>
  <c r="O489" i="31"/>
  <c r="O502" i="31"/>
  <c r="W587" i="31"/>
  <c r="M223" i="31"/>
  <c r="T358" i="49"/>
  <c r="W214" i="49"/>
  <c r="I90" i="49"/>
  <c r="Q270" i="31"/>
  <c r="U449" i="49"/>
  <c r="T27" i="49"/>
  <c r="R598" i="31"/>
  <c r="R258" i="31"/>
  <c r="N383" i="31"/>
  <c r="N318" i="31"/>
  <c r="K424" i="31"/>
  <c r="S348" i="49"/>
  <c r="I543" i="49"/>
  <c r="Z505" i="49"/>
  <c r="J588" i="49"/>
  <c r="K135" i="49"/>
  <c r="S455" i="49"/>
  <c r="Q460" i="31"/>
  <c r="AD348" i="31"/>
  <c r="AC510" i="49"/>
  <c r="G602" i="49"/>
  <c r="W562" i="49"/>
  <c r="Z440" i="49"/>
  <c r="I423" i="49"/>
  <c r="N165" i="49"/>
  <c r="Z426" i="31"/>
  <c r="R494" i="31"/>
  <c r="I400" i="31"/>
  <c r="Q612" i="31"/>
  <c r="M516" i="31"/>
  <c r="U543" i="31"/>
  <c r="Z110" i="49"/>
  <c r="Q434" i="31"/>
  <c r="AC397" i="31"/>
  <c r="X461" i="31"/>
  <c r="AB11" i="31"/>
  <c r="N70" i="31"/>
  <c r="V58" i="31"/>
  <c r="W271" i="31"/>
  <c r="M49" i="49"/>
  <c r="Z184" i="49"/>
  <c r="AC95" i="49"/>
  <c r="K160" i="49"/>
  <c r="P369" i="49"/>
  <c r="W534" i="49"/>
  <c r="O431" i="49"/>
  <c r="S618" i="31"/>
  <c r="W485" i="31"/>
  <c r="Z396" i="31"/>
  <c r="U132" i="49"/>
  <c r="W240" i="49"/>
  <c r="U329" i="49"/>
  <c r="S587" i="31"/>
  <c r="W357" i="31"/>
  <c r="R83" i="49"/>
  <c r="AC262" i="49"/>
  <c r="K258" i="31"/>
  <c r="S97" i="31"/>
  <c r="AA161" i="31"/>
  <c r="M428" i="31"/>
  <c r="N496" i="31"/>
  <c r="Y273" i="31"/>
  <c r="AB77" i="31"/>
  <c r="L139" i="31"/>
  <c r="Q460" i="49"/>
  <c r="V503" i="49"/>
  <c r="U49" i="31"/>
  <c r="AA110" i="31"/>
  <c r="AB119" i="31"/>
  <c r="S88" i="31"/>
  <c r="R555" i="49"/>
  <c r="R563" i="49"/>
  <c r="T433" i="31"/>
  <c r="AA224" i="49"/>
  <c r="J55" i="49"/>
  <c r="AA165" i="49"/>
  <c r="Y245" i="49"/>
  <c r="Z207" i="31"/>
  <c r="K546" i="49"/>
  <c r="J275" i="49"/>
  <c r="P379" i="49"/>
  <c r="AB595" i="31"/>
  <c r="R450" i="49"/>
  <c r="L464" i="49"/>
  <c r="AC216" i="31"/>
  <c r="AD468" i="31"/>
  <c r="Q566" i="49"/>
  <c r="O264" i="31"/>
  <c r="U282" i="49"/>
  <c r="J174" i="49"/>
  <c r="U259" i="49"/>
  <c r="K560" i="49"/>
  <c r="W616" i="49"/>
  <c r="R369" i="31"/>
  <c r="M197" i="31"/>
  <c r="I255" i="31"/>
  <c r="K439" i="31"/>
  <c r="T589" i="49"/>
  <c r="AC241" i="49"/>
  <c r="H349" i="31"/>
  <c r="AC14" i="31"/>
  <c r="AB438" i="31"/>
  <c r="S61" i="31"/>
  <c r="P196" i="31"/>
  <c r="V485" i="49"/>
  <c r="L248" i="31"/>
  <c r="P491" i="31"/>
  <c r="Z284" i="31"/>
  <c r="J358" i="31"/>
  <c r="X414" i="49"/>
  <c r="Q385" i="31"/>
  <c r="Y588" i="31"/>
  <c r="AC174" i="49"/>
  <c r="N253" i="49"/>
  <c r="AD128" i="31"/>
  <c r="N192" i="31"/>
  <c r="AC23" i="49"/>
  <c r="K84" i="49"/>
  <c r="R499" i="31"/>
  <c r="AB64" i="49"/>
  <c r="U468" i="31"/>
  <c r="X423" i="31"/>
  <c r="R559" i="31"/>
  <c r="X298" i="49"/>
  <c r="AA33" i="49"/>
  <c r="AA492" i="31"/>
  <c r="O75" i="49"/>
  <c r="P613" i="31"/>
  <c r="L581" i="49"/>
  <c r="I248" i="31"/>
  <c r="G196" i="49"/>
  <c r="AC330" i="49"/>
  <c r="S25" i="31"/>
  <c r="AA85" i="31"/>
  <c r="AD581" i="49"/>
  <c r="X67" i="31"/>
  <c r="Z207" i="49"/>
  <c r="U444" i="49"/>
  <c r="L17" i="49"/>
  <c r="G283" i="49"/>
  <c r="O351" i="49"/>
  <c r="W421" i="31"/>
  <c r="AC489" i="31"/>
  <c r="AB43" i="31"/>
  <c r="L295" i="31"/>
  <c r="P140" i="49"/>
  <c r="AD226" i="31"/>
  <c r="U15" i="31"/>
  <c r="G461" i="49"/>
  <c r="W451" i="49"/>
  <c r="Y25" i="31"/>
  <c r="T468" i="31"/>
  <c r="S595" i="49"/>
  <c r="Z480" i="49"/>
  <c r="K573" i="49"/>
  <c r="AD460" i="31"/>
  <c r="W432" i="31"/>
  <c r="J101" i="49"/>
  <c r="Y327" i="49"/>
  <c r="AA537" i="31"/>
  <c r="L447" i="31"/>
  <c r="Q582" i="49"/>
  <c r="AA242" i="49"/>
  <c r="N131" i="49"/>
  <c r="J577" i="49"/>
  <c r="W431" i="49"/>
  <c r="H213" i="31"/>
  <c r="AD318" i="31"/>
  <c r="Y369" i="49"/>
  <c r="S440" i="31"/>
  <c r="O111" i="49"/>
  <c r="T86" i="31"/>
  <c r="O486" i="49"/>
  <c r="AD263" i="49"/>
  <c r="U534" i="49"/>
  <c r="W105" i="49"/>
  <c r="W29" i="49"/>
  <c r="K458" i="31"/>
  <c r="X13" i="49"/>
  <c r="V139" i="49"/>
  <c r="W31" i="49"/>
  <c r="N526" i="31"/>
  <c r="H212" i="49"/>
  <c r="AB554" i="31"/>
  <c r="W134" i="49"/>
  <c r="M407" i="31"/>
  <c r="J474" i="31"/>
  <c r="P346" i="49"/>
  <c r="G358" i="49"/>
  <c r="I118" i="49"/>
  <c r="AA512" i="49"/>
  <c r="Z369" i="49"/>
  <c r="X278" i="31"/>
  <c r="L280" i="49"/>
  <c r="X491" i="31"/>
  <c r="AB576" i="31"/>
  <c r="Y169" i="49"/>
  <c r="I23" i="49"/>
  <c r="R458" i="31"/>
  <c r="AB74" i="49"/>
  <c r="U380" i="49"/>
  <c r="V221" i="49"/>
  <c r="T100" i="49"/>
  <c r="Y114" i="31"/>
  <c r="S331" i="49"/>
  <c r="K427" i="49"/>
  <c r="AB261" i="49"/>
  <c r="AC489" i="49"/>
  <c r="Y140" i="49"/>
  <c r="AB14" i="49"/>
  <c r="Y407" i="49"/>
  <c r="Y204" i="49"/>
  <c r="I397" i="49"/>
  <c r="I213" i="49"/>
  <c r="H601" i="49"/>
  <c r="M532" i="49"/>
  <c r="P115" i="49"/>
  <c r="G291" i="31"/>
  <c r="Y270" i="49"/>
  <c r="X211" i="49"/>
  <c r="T490" i="49"/>
  <c r="G251" i="31"/>
  <c r="Z227" i="49"/>
  <c r="N576" i="31"/>
  <c r="K255" i="49"/>
  <c r="M413" i="31"/>
  <c r="L369" i="49"/>
  <c r="AD574" i="49"/>
  <c r="P509" i="49"/>
  <c r="R336" i="31"/>
  <c r="N379" i="49"/>
  <c r="Q602" i="49"/>
  <c r="AD346" i="49"/>
  <c r="R478" i="31"/>
  <c r="Q613" i="31"/>
  <c r="U556" i="31"/>
  <c r="Y53" i="49"/>
  <c r="Y504" i="49"/>
  <c r="G537" i="49"/>
  <c r="M489" i="49"/>
  <c r="M54" i="31"/>
  <c r="W438" i="31"/>
  <c r="K251" i="31"/>
  <c r="R374" i="31"/>
  <c r="AA20" i="31"/>
  <c r="G431" i="31"/>
  <c r="Q258" i="49"/>
  <c r="Y116" i="49"/>
  <c r="AB42" i="49"/>
  <c r="O523" i="31"/>
  <c r="AB76" i="49"/>
  <c r="G449" i="49"/>
  <c r="L138" i="49"/>
  <c r="O77" i="31"/>
  <c r="AD424" i="49"/>
  <c r="U596" i="49"/>
  <c r="H571" i="49"/>
  <c r="Z353" i="49"/>
  <c r="J325" i="49"/>
  <c r="G515" i="49"/>
  <c r="S550" i="31"/>
  <c r="AB342" i="31"/>
  <c r="AB595" i="49"/>
  <c r="J513" i="49"/>
  <c r="Z428" i="49"/>
  <c r="X444" i="49"/>
  <c r="J419" i="49"/>
  <c r="I568" i="31"/>
  <c r="U580" i="49"/>
  <c r="AB283" i="31"/>
  <c r="I186" i="49"/>
  <c r="O15" i="49"/>
  <c r="U495" i="31"/>
  <c r="V497" i="31"/>
  <c r="R361" i="31"/>
  <c r="Z99" i="49"/>
  <c r="L572" i="49"/>
  <c r="P221" i="49"/>
  <c r="Y205" i="31"/>
  <c r="G265" i="31"/>
  <c r="N612" i="49"/>
  <c r="K94" i="49"/>
  <c r="G103" i="31"/>
  <c r="I554" i="31"/>
  <c r="K116" i="49"/>
  <c r="U599" i="49"/>
  <c r="AB572" i="49"/>
  <c r="O295" i="49"/>
  <c r="AD579" i="49"/>
  <c r="L40" i="49"/>
  <c r="P227" i="31"/>
  <c r="AB451" i="31"/>
  <c r="P207" i="31"/>
  <c r="AD159" i="49"/>
  <c r="G31" i="31"/>
  <c r="M411" i="31"/>
  <c r="K418" i="31"/>
  <c r="AD586" i="31"/>
  <c r="AB222" i="49"/>
  <c r="AC460" i="49"/>
  <c r="R490" i="31"/>
  <c r="O124" i="49"/>
  <c r="Q29" i="49"/>
  <c r="V578" i="49"/>
  <c r="K396" i="49"/>
  <c r="G588" i="31"/>
  <c r="L395" i="49"/>
  <c r="G38" i="31"/>
  <c r="AA124" i="49"/>
  <c r="G90" i="31"/>
  <c r="W94" i="31"/>
  <c r="J525" i="31"/>
  <c r="Q143" i="31"/>
  <c r="X297" i="31"/>
  <c r="O305" i="31"/>
  <c r="O213" i="31"/>
  <c r="S521" i="49"/>
  <c r="L446" i="49"/>
  <c r="Z451" i="49"/>
  <c r="H40" i="31"/>
  <c r="I316" i="31"/>
  <c r="R239" i="31"/>
  <c r="X79" i="31"/>
  <c r="G184" i="31"/>
  <c r="X119" i="31"/>
  <c r="AB363" i="31"/>
  <c r="I52" i="31"/>
  <c r="S555" i="49"/>
  <c r="Y201" i="31"/>
  <c r="K477" i="49"/>
  <c r="Q508" i="31"/>
  <c r="G296" i="31"/>
  <c r="R129" i="31"/>
  <c r="I125" i="49"/>
  <c r="Y244" i="49"/>
  <c r="N316" i="49"/>
  <c r="T590" i="49"/>
  <c r="L408" i="31"/>
  <c r="K440" i="49"/>
  <c r="W205" i="31"/>
  <c r="T234" i="49"/>
  <c r="P331" i="31"/>
  <c r="W87" i="49"/>
  <c r="AA507" i="31"/>
  <c r="O137" i="49"/>
  <c r="G159" i="31"/>
  <c r="AD135" i="49"/>
  <c r="Z495" i="31"/>
  <c r="Y403" i="49"/>
  <c r="I174" i="31"/>
  <c r="P571" i="31"/>
  <c r="W33" i="31"/>
  <c r="I420" i="49"/>
  <c r="AC439" i="31"/>
  <c r="W201" i="31"/>
  <c r="W332" i="31"/>
  <c r="AD397" i="31"/>
  <c r="J473" i="31"/>
  <c r="W81" i="31"/>
  <c r="H181" i="31"/>
  <c r="Q209" i="31"/>
  <c r="AD479" i="49"/>
  <c r="Q556" i="31"/>
  <c r="Z237" i="31"/>
  <c r="G191" i="31"/>
  <c r="Y20" i="49"/>
  <c r="W615" i="49"/>
  <c r="AD316" i="49"/>
  <c r="G411" i="31"/>
  <c r="H257" i="31"/>
  <c r="M246" i="31"/>
  <c r="H536" i="31"/>
  <c r="H534" i="31"/>
  <c r="T258" i="31"/>
  <c r="R295" i="31"/>
  <c r="G370" i="31"/>
  <c r="X360" i="31"/>
  <c r="J349" i="31"/>
  <c r="S456" i="49"/>
  <c r="S257" i="49"/>
  <c r="L38" i="49"/>
  <c r="AD567" i="31"/>
  <c r="R597" i="31"/>
  <c r="H330" i="31"/>
  <c r="M413" i="49"/>
  <c r="N444" i="49"/>
  <c r="K186" i="49"/>
  <c r="W586" i="49"/>
  <c r="V473" i="49"/>
  <c r="W554" i="31"/>
  <c r="R259" i="31"/>
  <c r="I597" i="49"/>
  <c r="L607" i="49"/>
  <c r="J371" i="49"/>
  <c r="AD566" i="31"/>
  <c r="Z212" i="49"/>
  <c r="O175" i="31"/>
  <c r="Y142" i="31"/>
  <c r="P361" i="31"/>
  <c r="AB396" i="31"/>
  <c r="P358" i="49"/>
  <c r="I54" i="31"/>
  <c r="I58" i="49"/>
  <c r="V214" i="49"/>
  <c r="M463" i="31"/>
  <c r="S432" i="31"/>
  <c r="O173" i="31"/>
  <c r="AD423" i="49"/>
  <c r="K523" i="49"/>
  <c r="Y324" i="31"/>
  <c r="Q173" i="31"/>
  <c r="Y72" i="31"/>
  <c r="AD564" i="49"/>
  <c r="O495" i="49"/>
  <c r="I22" i="49"/>
  <c r="Y116" i="31"/>
  <c r="Z281" i="31"/>
  <c r="R69" i="31"/>
  <c r="Y554" i="31"/>
  <c r="Q289" i="31"/>
  <c r="AA379" i="31"/>
  <c r="AB403" i="49"/>
  <c r="O102" i="31"/>
  <c r="S522" i="31"/>
  <c r="X460" i="49"/>
  <c r="P87" i="31"/>
  <c r="O554" i="49"/>
  <c r="I475" i="49"/>
  <c r="Z546" i="49"/>
  <c r="L130" i="31"/>
  <c r="Y14" i="31"/>
  <c r="R92" i="31"/>
  <c r="O209" i="31"/>
  <c r="W578" i="31"/>
  <c r="H18" i="31"/>
  <c r="U597" i="31"/>
  <c r="Z566" i="49"/>
  <c r="N139" i="31"/>
  <c r="P302" i="31"/>
  <c r="J100" i="31"/>
  <c r="P602" i="31"/>
  <c r="H337" i="49"/>
  <c r="H274" i="31"/>
  <c r="H555" i="31"/>
  <c r="G67" i="49"/>
  <c r="Q132" i="31"/>
  <c r="P543" i="31"/>
  <c r="L182" i="49"/>
  <c r="Z477" i="49"/>
  <c r="P77" i="49"/>
  <c r="P517" i="31"/>
  <c r="N595" i="31"/>
  <c r="AB579" i="31"/>
  <c r="Q369" i="31"/>
  <c r="T546" i="31"/>
  <c r="L94" i="49"/>
  <c r="V563" i="31"/>
  <c r="N329" i="31"/>
  <c r="L42" i="49"/>
  <c r="O568" i="31"/>
  <c r="V73" i="49"/>
  <c r="P521" i="49"/>
  <c r="Y593" i="49"/>
  <c r="I500" i="49"/>
  <c r="I174" i="49"/>
  <c r="K291" i="49"/>
  <c r="N494" i="49"/>
  <c r="J551" i="49"/>
  <c r="Q448" i="49"/>
  <c r="T582" i="49"/>
  <c r="Z310" i="49"/>
  <c r="R364" i="49"/>
  <c r="L151" i="49"/>
  <c r="N384" i="49"/>
  <c r="J155" i="31"/>
  <c r="L214" i="31"/>
  <c r="X495" i="49"/>
  <c r="M451" i="49"/>
  <c r="U402" i="49"/>
  <c r="T617" i="31"/>
  <c r="K289" i="49"/>
  <c r="Y176" i="49"/>
  <c r="M216" i="31"/>
  <c r="AD273" i="31"/>
  <c r="T576" i="49"/>
  <c r="Q426" i="49"/>
  <c r="N507" i="31"/>
  <c r="H277" i="31"/>
  <c r="L381" i="49"/>
  <c r="P155" i="49"/>
  <c r="Y353" i="31"/>
  <c r="M424" i="31"/>
  <c r="V94" i="49"/>
  <c r="V207" i="49"/>
  <c r="O593" i="49"/>
  <c r="I185" i="49"/>
  <c r="O179" i="49"/>
  <c r="AA291" i="49"/>
  <c r="N613" i="31"/>
  <c r="S212" i="49"/>
  <c r="Q422" i="49"/>
  <c r="Y585" i="49"/>
  <c r="P112" i="49"/>
  <c r="AA234" i="31"/>
  <c r="O402" i="49"/>
  <c r="G191" i="49"/>
  <c r="H258" i="31"/>
  <c r="AC265" i="49"/>
  <c r="L545" i="49"/>
  <c r="L474" i="49"/>
  <c r="X426" i="49"/>
  <c r="R147" i="49"/>
  <c r="X591" i="49"/>
  <c r="Z558" i="31"/>
  <c r="W101" i="49"/>
  <c r="AA423" i="49"/>
  <c r="U250" i="49"/>
  <c r="R68" i="49"/>
  <c r="Y76" i="49"/>
  <c r="V126" i="49"/>
  <c r="I37" i="49"/>
  <c r="M455" i="49"/>
  <c r="I182" i="49"/>
  <c r="O271" i="49"/>
  <c r="N596" i="31"/>
  <c r="R582" i="31"/>
  <c r="M403" i="49"/>
  <c r="U150" i="49"/>
  <c r="M243" i="49"/>
  <c r="X125" i="49"/>
  <c r="Q405" i="49"/>
  <c r="AC224" i="49"/>
  <c r="R78" i="49"/>
  <c r="V64" i="49"/>
  <c r="T137" i="49"/>
  <c r="M450" i="49"/>
  <c r="V500" i="49"/>
  <c r="Y61" i="49"/>
  <c r="R162" i="49"/>
  <c r="AB242" i="49"/>
  <c r="M23" i="49"/>
  <c r="S12" i="49"/>
  <c r="AA70" i="49"/>
  <c r="Z126" i="49"/>
  <c r="P95" i="49"/>
  <c r="X273" i="49"/>
  <c r="O90" i="49"/>
  <c r="U159" i="49"/>
  <c r="T131" i="31"/>
  <c r="AD82" i="31"/>
  <c r="U53" i="31"/>
  <c r="U63" i="49"/>
  <c r="V200" i="49"/>
  <c r="M113" i="49"/>
  <c r="S174" i="49"/>
  <c r="X385" i="49"/>
  <c r="AA555" i="49"/>
  <c r="O413" i="49"/>
  <c r="Z15" i="49"/>
  <c r="J75" i="49"/>
  <c r="O122" i="31"/>
  <c r="G75" i="31"/>
  <c r="H606" i="49"/>
  <c r="P596" i="49"/>
  <c r="P615" i="49"/>
  <c r="AB594" i="49"/>
  <c r="S299" i="31"/>
  <c r="X470" i="31"/>
  <c r="AB326" i="31"/>
  <c r="AC114" i="31"/>
  <c r="M176" i="31"/>
  <c r="S445" i="31"/>
  <c r="Z516" i="31"/>
  <c r="Y498" i="31"/>
  <c r="X197" i="49"/>
  <c r="J535" i="49"/>
  <c r="AC401" i="31"/>
  <c r="S457" i="49"/>
  <c r="AC171" i="49"/>
  <c r="Y243" i="49"/>
  <c r="L183" i="31"/>
  <c r="S106" i="31"/>
  <c r="U357" i="31"/>
  <c r="I570" i="49"/>
  <c r="H453" i="31"/>
  <c r="J11" i="49"/>
  <c r="R69" i="49"/>
  <c r="M182" i="49"/>
  <c r="AA264" i="49"/>
  <c r="H212" i="31"/>
  <c r="G287" i="31"/>
  <c r="X460" i="31"/>
  <c r="N201" i="49"/>
  <c r="Y543" i="31"/>
  <c r="S173" i="31"/>
  <c r="O233" i="31"/>
  <c r="U232" i="31"/>
  <c r="Y368" i="31"/>
  <c r="K567" i="49"/>
  <c r="W270" i="31"/>
  <c r="Y414" i="49"/>
  <c r="V192" i="49"/>
  <c r="Z549" i="49"/>
  <c r="I586" i="49"/>
  <c r="N222" i="49"/>
  <c r="T372" i="31"/>
  <c r="X449" i="31"/>
  <c r="P580" i="31"/>
  <c r="H203" i="31"/>
  <c r="Q413" i="49"/>
  <c r="I204" i="49"/>
  <c r="P262" i="31"/>
  <c r="K29" i="31"/>
  <c r="S17" i="31"/>
  <c r="AC76" i="31"/>
  <c r="R213" i="31"/>
  <c r="O44" i="49"/>
  <c r="K271" i="31"/>
  <c r="AC298" i="49"/>
  <c r="V302" i="31"/>
  <c r="R397" i="31"/>
  <c r="J563" i="31"/>
  <c r="Y432" i="49"/>
  <c r="Z40" i="49"/>
  <c r="W113" i="31"/>
  <c r="N385" i="31"/>
  <c r="AA326" i="49"/>
  <c r="AC39" i="49"/>
  <c r="M39" i="49"/>
  <c r="U99" i="49"/>
  <c r="L502" i="31"/>
  <c r="V67" i="49"/>
  <c r="R307" i="49"/>
  <c r="J581" i="49"/>
  <c r="I485" i="31"/>
  <c r="R226" i="49"/>
  <c r="J97" i="49"/>
  <c r="R20" i="49"/>
  <c r="Z522" i="49"/>
  <c r="R121" i="31"/>
  <c r="AA412" i="49"/>
  <c r="V441" i="49"/>
  <c r="T446" i="31"/>
  <c r="S41" i="31"/>
  <c r="AC40" i="31"/>
  <c r="K101" i="31"/>
  <c r="AC583" i="49"/>
  <c r="R70" i="31"/>
  <c r="P513" i="49"/>
  <c r="Y551" i="49"/>
  <c r="J479" i="49"/>
  <c r="G259" i="49"/>
  <c r="AC11" i="49"/>
  <c r="H100" i="31"/>
  <c r="P485" i="31"/>
  <c r="L278" i="31"/>
  <c r="Z12" i="31"/>
  <c r="AA547" i="31"/>
  <c r="J573" i="31"/>
  <c r="K206" i="49"/>
  <c r="K216" i="49"/>
  <c r="AA461" i="49"/>
  <c r="Q29" i="31"/>
  <c r="T434" i="31"/>
  <c r="R510" i="49"/>
  <c r="K475" i="49"/>
  <c r="N296" i="49"/>
  <c r="Y58" i="49"/>
  <c r="S13" i="31"/>
  <c r="O365" i="49"/>
  <c r="M525" i="31"/>
  <c r="Q77" i="31"/>
  <c r="I247" i="31"/>
  <c r="H119" i="31"/>
  <c r="L368" i="31"/>
  <c r="G50" i="31"/>
  <c r="H395" i="31"/>
  <c r="M319" i="31"/>
  <c r="V187" i="49"/>
  <c r="AB450" i="31"/>
  <c r="O475" i="49"/>
  <c r="L483" i="49"/>
  <c r="L84" i="31"/>
  <c r="Z32" i="31"/>
  <c r="V206" i="49"/>
  <c r="Z192" i="31"/>
  <c r="H440" i="49"/>
  <c r="O349" i="31"/>
  <c r="O57" i="49"/>
  <c r="G52" i="31"/>
  <c r="Q146" i="31"/>
  <c r="AA284" i="31"/>
  <c r="AC421" i="49"/>
  <c r="P199" i="31"/>
  <c r="W259" i="49"/>
  <c r="Y343" i="49"/>
  <c r="Q165" i="49"/>
  <c r="N460" i="31"/>
  <c r="Y143" i="49"/>
  <c r="H371" i="31"/>
  <c r="O43" i="49"/>
  <c r="G145" i="31"/>
  <c r="Z257" i="49"/>
  <c r="Q379" i="31"/>
  <c r="Y50" i="49"/>
  <c r="H57" i="49"/>
  <c r="N522" i="31"/>
  <c r="R599" i="31"/>
  <c r="O182" i="49"/>
  <c r="W34" i="49"/>
  <c r="T550" i="31"/>
  <c r="N99" i="49"/>
  <c r="Y472" i="49"/>
  <c r="H240" i="49"/>
  <c r="N149" i="49"/>
  <c r="Q164" i="31"/>
  <c r="M344" i="49"/>
  <c r="N27" i="49"/>
  <c r="AD252" i="49"/>
  <c r="M493" i="49"/>
  <c r="Q152" i="49"/>
  <c r="I169" i="49"/>
  <c r="AD397" i="49"/>
  <c r="J134" i="49"/>
  <c r="M443" i="49"/>
  <c r="AA379" i="49"/>
  <c r="T165" i="49"/>
  <c r="AB221" i="49"/>
  <c r="L129" i="49"/>
  <c r="N252" i="49"/>
  <c r="Y141" i="49"/>
  <c r="AB311" i="49"/>
  <c r="T549" i="49"/>
  <c r="Y397" i="49"/>
  <c r="N20" i="49"/>
  <c r="R590" i="31"/>
  <c r="H274" i="49"/>
  <c r="N546" i="49"/>
  <c r="V617" i="49"/>
  <c r="L87" i="49"/>
  <c r="T537" i="49"/>
  <c r="Z400" i="49"/>
  <c r="Q537" i="49"/>
  <c r="R235" i="49"/>
  <c r="T361" i="49"/>
  <c r="J30" i="49"/>
  <c r="Z498" i="49"/>
  <c r="V324" i="49"/>
  <c r="Q65" i="49"/>
  <c r="AD33" i="49"/>
  <c r="N258" i="49"/>
  <c r="AD493" i="49"/>
  <c r="W465" i="49"/>
  <c r="N499" i="31"/>
  <c r="L176" i="49"/>
  <c r="G346" i="31"/>
  <c r="O525" i="49"/>
  <c r="O52" i="49"/>
  <c r="M236" i="49"/>
  <c r="K457" i="49"/>
  <c r="O471" i="31"/>
  <c r="J255" i="49"/>
  <c r="AB92" i="49"/>
  <c r="S489" i="49"/>
  <c r="AD489" i="49"/>
  <c r="G270" i="49"/>
  <c r="L373" i="49"/>
  <c r="AC590" i="49"/>
  <c r="S220" i="31"/>
  <c r="AD514" i="31"/>
  <c r="Y280" i="31"/>
  <c r="K332" i="31"/>
  <c r="N104" i="31"/>
  <c r="P612" i="49"/>
  <c r="X322" i="49"/>
  <c r="AD467" i="49"/>
  <c r="S495" i="31"/>
  <c r="AA577" i="31"/>
  <c r="AA583" i="31"/>
  <c r="J45" i="31"/>
  <c r="M27" i="31"/>
  <c r="V114" i="49"/>
  <c r="W167" i="49"/>
  <c r="AB338" i="49"/>
  <c r="J92" i="49"/>
  <c r="X96" i="49"/>
  <c r="W311" i="49"/>
  <c r="Z562" i="49"/>
  <c r="Q372" i="49"/>
  <c r="U470" i="49"/>
  <c r="T150" i="31"/>
  <c r="J572" i="31"/>
  <c r="U19" i="49"/>
  <c r="H15" i="31"/>
  <c r="O32" i="31"/>
  <c r="AA187" i="49"/>
  <c r="H563" i="31"/>
  <c r="R16" i="31"/>
  <c r="Q229" i="31"/>
  <c r="P81" i="31"/>
  <c r="AB520" i="31"/>
  <c r="M230" i="49"/>
  <c r="W489" i="49"/>
  <c r="T443" i="49"/>
  <c r="AA549" i="49"/>
  <c r="X289" i="49"/>
  <c r="T336" i="31"/>
  <c r="AC441" i="31"/>
  <c r="O282" i="31"/>
  <c r="O271" i="31"/>
  <c r="Q517" i="31"/>
  <c r="O111" i="31"/>
  <c r="V368" i="31"/>
  <c r="H233" i="49"/>
  <c r="P358" i="31"/>
  <c r="K588" i="31"/>
  <c r="W433" i="31"/>
  <c r="S404" i="49"/>
  <c r="X425" i="49"/>
  <c r="X546" i="49"/>
  <c r="X595" i="31"/>
  <c r="X492" i="49"/>
  <c r="Q125" i="31"/>
  <c r="X261" i="31"/>
  <c r="G176" i="31"/>
  <c r="X311" i="31"/>
  <c r="S375" i="31"/>
  <c r="AB414" i="49"/>
  <c r="H605" i="31"/>
  <c r="U93" i="49"/>
  <c r="I317" i="31"/>
  <c r="N97" i="31"/>
  <c r="M472" i="31"/>
  <c r="H250" i="31"/>
  <c r="R112" i="31"/>
  <c r="W230" i="31"/>
  <c r="AC365" i="49"/>
  <c r="I20" i="31"/>
  <c r="J373" i="31"/>
  <c r="W243" i="31"/>
  <c r="H180" i="31"/>
  <c r="S513" i="31"/>
  <c r="Q53" i="31"/>
  <c r="I118" i="31"/>
  <c r="N415" i="31"/>
  <c r="N186" i="49"/>
  <c r="L618" i="49"/>
  <c r="V121" i="49"/>
  <c r="Z66" i="49"/>
  <c r="P404" i="31"/>
  <c r="R445" i="49"/>
  <c r="O217" i="31"/>
  <c r="V271" i="49"/>
  <c r="I78" i="49"/>
  <c r="AD325" i="49"/>
  <c r="AD278" i="49"/>
  <c r="L298" i="49"/>
  <c r="Y170" i="31"/>
  <c r="H170" i="31"/>
  <c r="Z507" i="31"/>
  <c r="AC226" i="49"/>
  <c r="J558" i="31"/>
  <c r="O53" i="49"/>
  <c r="H560" i="49"/>
  <c r="G101" i="49"/>
  <c r="U451" i="31"/>
  <c r="R210" i="31"/>
  <c r="S346" i="31"/>
  <c r="U396" i="49"/>
  <c r="K245" i="49"/>
  <c r="H401" i="31"/>
  <c r="R207" i="49"/>
  <c r="W227" i="31"/>
  <c r="AB126" i="49"/>
  <c r="V113" i="49"/>
  <c r="O380" i="31"/>
  <c r="N423" i="31"/>
  <c r="AA485" i="49"/>
  <c r="L599" i="49"/>
  <c r="Z517" i="31"/>
  <c r="N304" i="49"/>
  <c r="Z268" i="31"/>
  <c r="M426" i="49"/>
  <c r="AD551" i="31"/>
  <c r="K369" i="49"/>
  <c r="H211" i="49"/>
  <c r="L250" i="49"/>
  <c r="H39" i="49"/>
  <c r="O14" i="49"/>
  <c r="X364" i="31"/>
  <c r="G586" i="49"/>
  <c r="G218" i="31"/>
  <c r="V232" i="49"/>
  <c r="Q133" i="49"/>
  <c r="Q161" i="49"/>
  <c r="J615" i="49"/>
  <c r="R118" i="31"/>
  <c r="U378" i="31"/>
  <c r="X23" i="31"/>
  <c r="Z195" i="49"/>
  <c r="K368" i="49"/>
  <c r="W461" i="31"/>
  <c r="H505" i="31"/>
  <c r="K610" i="31"/>
  <c r="J499" i="31"/>
  <c r="V290" i="49"/>
  <c r="H466" i="31"/>
  <c r="X143" i="31"/>
  <c r="G189" i="31"/>
  <c r="AB499" i="49"/>
  <c r="Z519" i="49"/>
  <c r="S556" i="49"/>
  <c r="L495" i="49"/>
  <c r="AC611" i="49"/>
  <c r="O137" i="31"/>
  <c r="Y65" i="31"/>
  <c r="J475" i="31"/>
  <c r="Q190" i="49"/>
  <c r="O21" i="49"/>
  <c r="M349" i="49"/>
  <c r="Y467" i="49"/>
  <c r="H465" i="31"/>
  <c r="T220" i="49"/>
  <c r="M431" i="31"/>
  <c r="L485" i="31"/>
  <c r="P100" i="49"/>
  <c r="AB610" i="49"/>
  <c r="T493" i="31"/>
  <c r="H14" i="31"/>
  <c r="L434" i="31"/>
  <c r="M160" i="49"/>
  <c r="G474" i="31"/>
  <c r="AC581" i="49"/>
  <c r="J128" i="31"/>
  <c r="AD536" i="31"/>
  <c r="I606" i="49"/>
  <c r="I212" i="31"/>
  <c r="O265" i="49"/>
  <c r="W401" i="49"/>
  <c r="L439" i="49"/>
  <c r="AC384" i="49"/>
  <c r="O155" i="49"/>
  <c r="T32" i="31"/>
  <c r="Y415" i="49"/>
  <c r="O41" i="31"/>
  <c r="O342" i="31"/>
  <c r="I550" i="49"/>
  <c r="H572" i="49"/>
  <c r="Z536" i="31"/>
  <c r="AD591" i="31"/>
  <c r="W384" i="31"/>
  <c r="AB90" i="49"/>
  <c r="J339" i="31"/>
  <c r="S194" i="49"/>
  <c r="Q599" i="49"/>
  <c r="X121" i="31"/>
  <c r="W85" i="49"/>
  <c r="W42" i="31"/>
  <c r="AB180" i="49"/>
  <c r="G572" i="31"/>
  <c r="AD437" i="31"/>
  <c r="AA475" i="49"/>
  <c r="L264" i="31"/>
  <c r="G440" i="49"/>
  <c r="Q84" i="49"/>
  <c r="M210" i="49"/>
  <c r="AB572" i="31"/>
  <c r="V119" i="49"/>
  <c r="I21" i="49"/>
  <c r="L147" i="49"/>
  <c r="N210" i="49"/>
  <c r="L252" i="49"/>
  <c r="T88" i="49"/>
  <c r="T310" i="31"/>
  <c r="AC344" i="49"/>
  <c r="T341" i="49"/>
  <c r="S505" i="49"/>
  <c r="N27" i="31"/>
  <c r="P84" i="31"/>
  <c r="AA358" i="49"/>
  <c r="T343" i="49"/>
  <c r="I341" i="49"/>
  <c r="Z490" i="49"/>
  <c r="G163" i="49"/>
  <c r="T586" i="49"/>
  <c r="Q507" i="49"/>
  <c r="K524" i="49"/>
  <c r="Q135" i="49"/>
  <c r="AC255" i="49"/>
  <c r="M218" i="49"/>
  <c r="X242" i="49"/>
  <c r="Z106" i="49"/>
  <c r="I415" i="49"/>
  <c r="AC535" i="31"/>
  <c r="V52" i="31"/>
  <c r="J488" i="49"/>
  <c r="N112" i="49"/>
  <c r="T199" i="31"/>
  <c r="N246" i="31"/>
  <c r="N455" i="49"/>
  <c r="O50" i="49"/>
  <c r="U119" i="31"/>
  <c r="K170" i="31"/>
  <c r="AC334" i="31"/>
  <c r="Y138" i="49"/>
  <c r="V55" i="49"/>
  <c r="AA349" i="49"/>
  <c r="N342" i="49"/>
  <c r="AC505" i="49"/>
  <c r="H28" i="31"/>
  <c r="N85" i="31"/>
  <c r="AA120" i="31"/>
  <c r="N344" i="49"/>
  <c r="Y341" i="49"/>
  <c r="J492" i="49"/>
  <c r="R165" i="49"/>
  <c r="T135" i="49"/>
  <c r="W105" i="31"/>
  <c r="AB546" i="49"/>
  <c r="U499" i="49"/>
  <c r="Q151" i="49"/>
  <c r="T570" i="49"/>
  <c r="AA281" i="49"/>
  <c r="K351" i="49"/>
  <c r="X451" i="49"/>
  <c r="N582" i="31"/>
  <c r="S430" i="31"/>
  <c r="V465" i="31"/>
  <c r="AD520" i="49"/>
  <c r="T585" i="31"/>
  <c r="X292" i="49"/>
  <c r="R367" i="31"/>
  <c r="H303" i="31"/>
  <c r="S412" i="31"/>
  <c r="Z164" i="49"/>
  <c r="I141" i="49"/>
  <c r="O92" i="49"/>
  <c r="AA351" i="49"/>
  <c r="AD206" i="31"/>
  <c r="O428" i="49"/>
  <c r="Y448" i="31"/>
  <c r="X335" i="31"/>
  <c r="AD415" i="49"/>
  <c r="O39" i="49"/>
  <c r="AB587" i="49"/>
  <c r="AC253" i="49"/>
  <c r="AA126" i="31"/>
  <c r="T150" i="49"/>
  <c r="H413" i="31"/>
  <c r="T477" i="31"/>
  <c r="X169" i="49"/>
  <c r="I75" i="49"/>
  <c r="Y51" i="49"/>
  <c r="O174" i="49"/>
  <c r="K587" i="31"/>
  <c r="Y422" i="31"/>
  <c r="U368" i="31"/>
  <c r="J448" i="31"/>
  <c r="AC360" i="49"/>
  <c r="AD559" i="49"/>
  <c r="AD505" i="49"/>
  <c r="V264" i="49"/>
  <c r="Z37" i="31"/>
  <c r="O371" i="31"/>
  <c r="J95" i="31"/>
  <c r="K613" i="49"/>
  <c r="M608" i="31"/>
  <c r="Q546" i="31"/>
  <c r="M494" i="49"/>
  <c r="AC180" i="31"/>
  <c r="H30" i="49"/>
  <c r="P90" i="49"/>
  <c r="I125" i="31"/>
  <c r="W77" i="31"/>
  <c r="H559" i="49"/>
  <c r="X514" i="49"/>
  <c r="W595" i="49"/>
  <c r="Z53" i="49"/>
  <c r="Y445" i="49"/>
  <c r="L73" i="31"/>
  <c r="N254" i="31"/>
  <c r="AA42" i="31"/>
  <c r="N67" i="31"/>
  <c r="AA580" i="49"/>
  <c r="AB504" i="31"/>
  <c r="J73" i="49"/>
  <c r="AC215" i="49"/>
  <c r="Z577" i="49"/>
  <c r="U405" i="31"/>
  <c r="S440" i="49"/>
  <c r="M187" i="49"/>
  <c r="O589" i="49"/>
  <c r="N320" i="49"/>
  <c r="Z253" i="49"/>
  <c r="Z45" i="31"/>
  <c r="AC544" i="49"/>
  <c r="U563" i="49"/>
  <c r="R444" i="49"/>
  <c r="V232" i="31"/>
  <c r="K20" i="31"/>
  <c r="P461" i="49"/>
  <c r="J576" i="49"/>
  <c r="H464" i="31"/>
  <c r="AB404" i="31"/>
  <c r="L204" i="49"/>
  <c r="Y310" i="31"/>
  <c r="AA189" i="31"/>
  <c r="AC101" i="31"/>
  <c r="M165" i="31"/>
  <c r="L291" i="31"/>
  <c r="X483" i="31"/>
  <c r="AB348" i="49"/>
  <c r="O56" i="49"/>
  <c r="AA311" i="49"/>
  <c r="V472" i="49"/>
  <c r="N592" i="49"/>
  <c r="H221" i="49"/>
  <c r="T359" i="31"/>
  <c r="Z466" i="31"/>
  <c r="X594" i="31"/>
  <c r="X205" i="31"/>
  <c r="AB218" i="49"/>
  <c r="L111" i="31"/>
  <c r="V172" i="31"/>
  <c r="AD160" i="31"/>
  <c r="N220" i="31"/>
  <c r="W523" i="49"/>
  <c r="Q305" i="49"/>
  <c r="V430" i="49"/>
  <c r="I617" i="31"/>
  <c r="K44" i="31"/>
  <c r="S104" i="31"/>
  <c r="M218" i="31"/>
  <c r="P578" i="31"/>
  <c r="AC458" i="49"/>
  <c r="Z58" i="49"/>
  <c r="Q116" i="31"/>
  <c r="P395" i="31"/>
  <c r="R576" i="49"/>
  <c r="L10" i="31"/>
  <c r="N81" i="31"/>
  <c r="T15" i="49"/>
  <c r="M599" i="49"/>
  <c r="AB403" i="31"/>
  <c r="AA612" i="31"/>
  <c r="L40" i="31"/>
  <c r="X445" i="49"/>
  <c r="L460" i="49"/>
  <c r="P114" i="49"/>
  <c r="R38" i="49"/>
  <c r="Y536" i="49"/>
  <c r="R139" i="31"/>
  <c r="AA394" i="49"/>
  <c r="N498" i="49"/>
  <c r="X373" i="31"/>
  <c r="L185" i="31"/>
  <c r="T243" i="31"/>
  <c r="U573" i="49"/>
  <c r="P343" i="31"/>
  <c r="Y573" i="31"/>
  <c r="N148" i="31"/>
  <c r="V210" i="31"/>
  <c r="W544" i="31"/>
  <c r="R13" i="31"/>
  <c r="M25" i="49"/>
  <c r="J119" i="31"/>
  <c r="Y36" i="49"/>
  <c r="AA129" i="31"/>
  <c r="Z111" i="49"/>
  <c r="J173" i="49"/>
  <c r="I57" i="49"/>
  <c r="V383" i="49"/>
  <c r="V523" i="49"/>
  <c r="AD572" i="31"/>
  <c r="M24" i="49"/>
  <c r="G296" i="49"/>
  <c r="V295" i="49"/>
  <c r="V511" i="49"/>
  <c r="V124" i="31"/>
  <c r="AB187" i="31"/>
  <c r="AA27" i="31"/>
  <c r="AC203" i="49"/>
  <c r="Y485" i="49"/>
  <c r="Q222" i="49"/>
  <c r="X231" i="31"/>
  <c r="J130" i="31"/>
  <c r="W239" i="31"/>
  <c r="G161" i="31"/>
  <c r="K559" i="31"/>
  <c r="AB466" i="49"/>
  <c r="X265" i="31"/>
  <c r="H25" i="31"/>
  <c r="M250" i="31"/>
  <c r="H455" i="49"/>
  <c r="AC257" i="31"/>
  <c r="W129" i="31"/>
  <c r="P524" i="31"/>
  <c r="I170" i="49"/>
  <c r="AD282" i="49"/>
  <c r="AC280" i="49"/>
  <c r="I581" i="49"/>
  <c r="M357" i="31"/>
  <c r="S227" i="49"/>
  <c r="Q406" i="31"/>
  <c r="AD129" i="49"/>
  <c r="Z603" i="31"/>
  <c r="O16" i="49"/>
  <c r="T102" i="49"/>
  <c r="L209" i="49"/>
  <c r="X206" i="49"/>
  <c r="J573" i="49"/>
  <c r="P151" i="31"/>
  <c r="Q68" i="49"/>
  <c r="Q73" i="31"/>
  <c r="H414" i="31"/>
  <c r="T198" i="31"/>
  <c r="X233" i="49"/>
  <c r="X72" i="31"/>
  <c r="V171" i="31"/>
  <c r="N545" i="31"/>
  <c r="W194" i="49"/>
  <c r="T251" i="49"/>
  <c r="L601" i="49"/>
  <c r="L44" i="49"/>
  <c r="H480" i="49"/>
  <c r="I504" i="49"/>
  <c r="V464" i="49"/>
  <c r="AA554" i="49"/>
  <c r="S359" i="49"/>
  <c r="N446" i="49"/>
  <c r="AB287" i="49"/>
  <c r="AD320" i="49"/>
  <c r="AB373" i="49"/>
  <c r="O171" i="49"/>
  <c r="Q465" i="49"/>
  <c r="AD104" i="31"/>
  <c r="X618" i="49"/>
  <c r="S283" i="49"/>
  <c r="R567" i="49"/>
  <c r="AC27" i="31"/>
  <c r="I172" i="49"/>
  <c r="Y174" i="49"/>
  <c r="Q444" i="49"/>
  <c r="S222" i="31"/>
  <c r="W409" i="49"/>
  <c r="Y241" i="31"/>
  <c r="V50" i="49"/>
  <c r="Z84" i="49"/>
  <c r="Z148" i="49"/>
  <c r="AD618" i="49"/>
  <c r="AD342" i="49"/>
  <c r="AD582" i="49"/>
  <c r="O449" i="31"/>
  <c r="T508" i="49"/>
  <c r="V317" i="49"/>
  <c r="V567" i="49"/>
  <c r="X413" i="31"/>
  <c r="P458" i="49"/>
  <c r="M331" i="31"/>
  <c r="L425" i="49"/>
  <c r="O369" i="31"/>
  <c r="N458" i="49"/>
  <c r="Q105" i="49"/>
  <c r="T488" i="31"/>
  <c r="M316" i="49"/>
  <c r="AC331" i="31"/>
  <c r="AB261" i="31"/>
  <c r="Y444" i="31"/>
  <c r="U419" i="49"/>
  <c r="O458" i="49"/>
  <c r="L164" i="31"/>
  <c r="O206" i="31"/>
  <c r="N101" i="49"/>
  <c r="K226" i="49"/>
  <c r="AD149" i="49"/>
  <c r="I90" i="31"/>
  <c r="M483" i="49"/>
  <c r="R606" i="49"/>
  <c r="N543" i="31"/>
  <c r="AD603" i="31"/>
  <c r="H592" i="31"/>
  <c r="O419" i="49"/>
  <c r="T358" i="31"/>
  <c r="S351" i="31"/>
  <c r="AB320" i="49"/>
  <c r="W533" i="49"/>
  <c r="P42" i="49"/>
  <c r="X102" i="49"/>
  <c r="J91" i="49"/>
  <c r="R151" i="49"/>
  <c r="K395" i="49"/>
  <c r="H297" i="31"/>
  <c r="W197" i="49"/>
  <c r="G27" i="49"/>
  <c r="X323" i="31"/>
  <c r="Q236" i="31"/>
  <c r="L510" i="49"/>
  <c r="G285" i="49"/>
  <c r="J386" i="49"/>
  <c r="O338" i="49"/>
  <c r="Y225" i="49"/>
  <c r="AD303" i="49"/>
  <c r="U112" i="49"/>
  <c r="O55" i="31"/>
  <c r="J361" i="49"/>
  <c r="U78" i="49"/>
  <c r="AC194" i="49"/>
  <c r="W260" i="49"/>
  <c r="S167" i="49"/>
  <c r="L88" i="31"/>
  <c r="K432" i="49"/>
  <c r="O121" i="31"/>
  <c r="T104" i="31"/>
  <c r="Y474" i="31"/>
  <c r="V95" i="49"/>
  <c r="AB401" i="31"/>
  <c r="X405" i="31"/>
  <c r="AB386" i="31"/>
  <c r="O447" i="31"/>
  <c r="L170" i="49"/>
  <c r="Y182" i="49"/>
  <c r="W437" i="31"/>
  <c r="AA585" i="31"/>
  <c r="AA368" i="49"/>
  <c r="T423" i="31"/>
  <c r="AC380" i="31"/>
  <c r="I369" i="49"/>
  <c r="AA457" i="49"/>
  <c r="V608" i="49"/>
  <c r="G567" i="31"/>
  <c r="M189" i="49"/>
  <c r="P56" i="31"/>
  <c r="O39" i="31"/>
  <c r="T273" i="31"/>
  <c r="Y234" i="31"/>
  <c r="V326" i="31"/>
  <c r="O66" i="31"/>
  <c r="AC499" i="31"/>
  <c r="P421" i="49"/>
  <c r="J226" i="31"/>
  <c r="Y277" i="31"/>
  <c r="R159" i="31"/>
  <c r="J152" i="31"/>
  <c r="S269" i="31"/>
  <c r="R450" i="31"/>
  <c r="Q525" i="31"/>
  <c r="T422" i="31"/>
  <c r="H331" i="31"/>
  <c r="V440" i="31"/>
  <c r="H231" i="31"/>
  <c r="H484" i="49"/>
  <c r="I520" i="49"/>
  <c r="I167" i="31"/>
  <c r="K335" i="31"/>
  <c r="I264" i="31"/>
  <c r="H364" i="49"/>
  <c r="L591" i="49"/>
  <c r="L69" i="49"/>
  <c r="AC568" i="31"/>
  <c r="T379" i="31"/>
  <c r="O169" i="31"/>
  <c r="I230" i="31"/>
  <c r="L357" i="31"/>
  <c r="I76" i="49"/>
  <c r="W549" i="31"/>
  <c r="Y124" i="49"/>
  <c r="AC291" i="31"/>
  <c r="O183" i="31"/>
  <c r="N551" i="31"/>
  <c r="P518" i="31"/>
  <c r="Q162" i="31"/>
  <c r="R554" i="31"/>
  <c r="I22" i="31"/>
  <c r="L615" i="31"/>
  <c r="Z606" i="31"/>
  <c r="R216" i="49"/>
  <c r="AD433" i="31"/>
  <c r="N364" i="31"/>
  <c r="M461" i="31"/>
  <c r="J491" i="31"/>
  <c r="T457" i="31"/>
  <c r="X237" i="31"/>
  <c r="S434" i="31"/>
  <c r="AA523" i="49"/>
  <c r="W174" i="31"/>
  <c r="H440" i="31"/>
  <c r="X126" i="31"/>
  <c r="H447" i="49"/>
  <c r="Q339" i="31"/>
  <c r="L307" i="49"/>
  <c r="H19" i="31"/>
  <c r="N269" i="31"/>
  <c r="L417" i="31"/>
  <c r="G414" i="49"/>
  <c r="P525" i="31"/>
  <c r="P280" i="31"/>
  <c r="AA352" i="31"/>
  <c r="H344" i="31"/>
  <c r="X25" i="31"/>
  <c r="L576" i="31"/>
  <c r="R189" i="49"/>
  <c r="AB122" i="49"/>
  <c r="L554" i="31"/>
  <c r="T586" i="31"/>
  <c r="L312" i="31"/>
  <c r="W18" i="31"/>
  <c r="J593" i="49"/>
  <c r="O21" i="31"/>
  <c r="Q419" i="49"/>
  <c r="H287" i="49"/>
  <c r="U311" i="31"/>
  <c r="P284" i="31"/>
  <c r="L365" i="31"/>
  <c r="P259" i="49"/>
  <c r="S385" i="49"/>
  <c r="O419" i="31"/>
  <c r="L262" i="31"/>
  <c r="L148" i="31"/>
  <c r="W199" i="31"/>
  <c r="O155" i="31"/>
  <c r="X532" i="31"/>
  <c r="I18" i="31"/>
  <c r="P497" i="49"/>
  <c r="W65" i="31"/>
  <c r="G149" i="31"/>
  <c r="Z106" i="31"/>
  <c r="Z489" i="31"/>
  <c r="K446" i="31"/>
  <c r="Y343" i="31"/>
  <c r="U425" i="31"/>
  <c r="O581" i="31"/>
  <c r="P249" i="31"/>
  <c r="M510" i="31"/>
  <c r="L526" i="49"/>
  <c r="N360" i="31"/>
  <c r="I31" i="31"/>
  <c r="Y582" i="31"/>
  <c r="AC165" i="49"/>
  <c r="P163" i="31"/>
  <c r="H237" i="31"/>
  <c r="Y262" i="31"/>
  <c r="P124" i="31"/>
  <c r="I422" i="31"/>
  <c r="Z240" i="31"/>
  <c r="I151" i="31"/>
  <c r="N523" i="49"/>
  <c r="M517" i="31"/>
  <c r="O252" i="31"/>
  <c r="K361" i="31"/>
  <c r="S489" i="31"/>
  <c r="G415" i="31"/>
  <c r="M253" i="49"/>
  <c r="O61" i="31"/>
  <c r="AC425" i="49"/>
  <c r="AC261" i="31"/>
  <c r="V413" i="31"/>
  <c r="X454" i="31"/>
  <c r="R12" i="31"/>
  <c r="J149" i="31"/>
  <c r="T548" i="31"/>
  <c r="V365" i="31"/>
  <c r="V49" i="49"/>
  <c r="V317" i="31"/>
  <c r="P341" i="49"/>
  <c r="O12" i="49"/>
  <c r="I184" i="31"/>
  <c r="P568" i="49"/>
  <c r="J471" i="31"/>
  <c r="Q456" i="49"/>
  <c r="I446" i="31"/>
  <c r="Q615" i="49"/>
  <c r="H76" i="31"/>
  <c r="G255" i="31"/>
  <c r="U336" i="49"/>
  <c r="J287" i="31"/>
  <c r="T350" i="31"/>
  <c r="AD606" i="31"/>
  <c r="AD598" i="49"/>
  <c r="N591" i="31"/>
  <c r="K423" i="49"/>
  <c r="N143" i="31"/>
  <c r="I193" i="31"/>
  <c r="AB271" i="49"/>
  <c r="P189" i="31"/>
  <c r="T299" i="49"/>
  <c r="L353" i="49"/>
  <c r="H524" i="49"/>
  <c r="G365" i="49"/>
  <c r="S490" i="49"/>
  <c r="AD448" i="31"/>
  <c r="N358" i="49"/>
  <c r="J224" i="49"/>
  <c r="H297" i="49"/>
  <c r="AA273" i="31"/>
  <c r="T296" i="49"/>
  <c r="J562" i="49"/>
  <c r="L140" i="31"/>
  <c r="AA607" i="31"/>
  <c r="L535" i="31"/>
  <c r="J196" i="31"/>
  <c r="R64" i="49"/>
  <c r="V122" i="49"/>
  <c r="M460" i="49"/>
  <c r="AC154" i="31"/>
  <c r="U204" i="31"/>
  <c r="AC60" i="31"/>
  <c r="H125" i="49"/>
  <c r="O446" i="31"/>
  <c r="N495" i="31"/>
  <c r="AD261" i="31"/>
  <c r="I61" i="49"/>
  <c r="J401" i="31"/>
  <c r="AC341" i="31"/>
  <c r="T269" i="31"/>
  <c r="I186" i="31"/>
  <c r="H217" i="31"/>
  <c r="N302" i="49"/>
  <c r="AB353" i="49"/>
  <c r="P525" i="49"/>
  <c r="H550" i="31"/>
  <c r="AB598" i="31"/>
  <c r="V367" i="31"/>
  <c r="AD358" i="49"/>
  <c r="J51" i="49"/>
  <c r="Z97" i="49"/>
  <c r="Y581" i="49"/>
  <c r="H281" i="31"/>
  <c r="G312" i="49"/>
  <c r="G507" i="49"/>
  <c r="K563" i="49"/>
  <c r="AA524" i="49"/>
  <c r="P431" i="49"/>
  <c r="AA566" i="49"/>
  <c r="X549" i="49"/>
  <c r="X252" i="49"/>
  <c r="O123" i="49"/>
  <c r="AA454" i="31"/>
  <c r="AA350" i="31"/>
  <c r="H13" i="49"/>
  <c r="G65" i="49"/>
  <c r="X113" i="49"/>
  <c r="O24" i="49"/>
  <c r="I411" i="49"/>
  <c r="O169" i="49"/>
  <c r="AC344" i="31"/>
  <c r="AD64" i="31"/>
  <c r="L53" i="31"/>
  <c r="V114" i="31"/>
  <c r="AA508" i="49"/>
  <c r="U225" i="49"/>
  <c r="H113" i="49"/>
  <c r="M226" i="49"/>
  <c r="N200" i="31"/>
  <c r="G260" i="31"/>
  <c r="AD246" i="31"/>
  <c r="S34" i="31"/>
  <c r="I511" i="31"/>
  <c r="O496" i="49"/>
  <c r="I51" i="49"/>
  <c r="T145" i="49"/>
  <c r="N364" i="49"/>
  <c r="Y12" i="49"/>
  <c r="X461" i="49"/>
  <c r="AD212" i="49"/>
  <c r="AC324" i="31"/>
  <c r="T81" i="49"/>
  <c r="I142" i="49"/>
  <c r="Y77" i="49"/>
  <c r="L133" i="49"/>
  <c r="Y117" i="49"/>
  <c r="G68" i="49"/>
  <c r="U326" i="49"/>
  <c r="T201" i="31"/>
  <c r="N66" i="31"/>
  <c r="N248" i="31"/>
  <c r="AA36" i="31"/>
  <c r="J59" i="31"/>
  <c r="O577" i="49"/>
  <c r="Q499" i="49"/>
  <c r="J404" i="49"/>
  <c r="V401" i="49"/>
  <c r="X370" i="31"/>
  <c r="M118" i="49"/>
  <c r="U332" i="31"/>
  <c r="AC504" i="31"/>
  <c r="P395" i="49"/>
  <c r="H467" i="49"/>
  <c r="H68" i="49"/>
  <c r="AC467" i="49"/>
  <c r="H533" i="49"/>
  <c r="I525" i="49"/>
  <c r="L437" i="49"/>
  <c r="T225" i="31"/>
  <c r="K14" i="31"/>
  <c r="N519" i="31"/>
  <c r="S520" i="31"/>
  <c r="W319" i="31"/>
  <c r="M433" i="49"/>
  <c r="S498" i="49"/>
  <c r="K260" i="49"/>
  <c r="M337" i="49"/>
  <c r="Q167" i="49"/>
  <c r="AA495" i="49"/>
  <c r="AA370" i="49"/>
  <c r="X64" i="31"/>
  <c r="U185" i="31"/>
  <c r="O520" i="31"/>
  <c r="W603" i="31"/>
  <c r="Y517" i="49"/>
  <c r="Z410" i="49"/>
  <c r="P592" i="49"/>
  <c r="AD84" i="31"/>
  <c r="N146" i="31"/>
  <c r="H363" i="49"/>
  <c r="T516" i="31"/>
  <c r="U55" i="31"/>
  <c r="AA116" i="31"/>
  <c r="L404" i="49"/>
  <c r="M599" i="31"/>
  <c r="T420" i="31"/>
  <c r="R504" i="31"/>
  <c r="M296" i="31"/>
  <c r="AB55" i="31"/>
  <c r="L117" i="31"/>
  <c r="J611" i="49"/>
  <c r="Q239" i="49"/>
  <c r="I243" i="49"/>
  <c r="M548" i="49"/>
  <c r="N289" i="49"/>
  <c r="AC422" i="31"/>
  <c r="P284" i="49"/>
  <c r="G193" i="49"/>
  <c r="N566" i="49"/>
  <c r="V337" i="49"/>
  <c r="Z303" i="49"/>
  <c r="AD512" i="49"/>
  <c r="J152" i="49"/>
  <c r="W27" i="49"/>
  <c r="I49" i="49"/>
  <c r="Y171" i="49"/>
  <c r="J406" i="49"/>
  <c r="R441" i="49"/>
  <c r="M234" i="31"/>
  <c r="Y48" i="49"/>
  <c r="T579" i="31"/>
  <c r="U160" i="49"/>
  <c r="AA239" i="49"/>
  <c r="S365" i="49"/>
  <c r="T297" i="49"/>
  <c r="L179" i="31"/>
  <c r="V236" i="31"/>
  <c r="V32" i="49"/>
  <c r="AD617" i="49"/>
  <c r="Y342" i="31"/>
  <c r="AD152" i="31"/>
  <c r="L215" i="31"/>
  <c r="W592" i="31"/>
  <c r="J19" i="31"/>
  <c r="X128" i="49"/>
  <c r="Y335" i="49"/>
  <c r="R589" i="49"/>
  <c r="S558" i="49"/>
  <c r="G231" i="31"/>
  <c r="I311" i="31"/>
  <c r="Q522" i="31"/>
  <c r="R367" i="49"/>
  <c r="Y521" i="49"/>
  <c r="L114" i="31"/>
  <c r="Z368" i="31"/>
  <c r="M303" i="49"/>
  <c r="N309" i="49"/>
  <c r="I513" i="49"/>
  <c r="N130" i="31"/>
  <c r="T193" i="31"/>
  <c r="S40" i="49"/>
  <c r="G575" i="31"/>
  <c r="K359" i="31"/>
  <c r="L279" i="31"/>
  <c r="J125" i="49"/>
  <c r="J55" i="31"/>
  <c r="K576" i="49"/>
  <c r="G546" i="31"/>
  <c r="O616" i="31"/>
  <c r="J271" i="31"/>
  <c r="S39" i="49"/>
  <c r="M87" i="31"/>
  <c r="I288" i="31"/>
  <c r="K298" i="31"/>
  <c r="N606" i="49"/>
  <c r="Y479" i="49"/>
  <c r="S544" i="31"/>
  <c r="H307" i="49"/>
  <c r="H252" i="49"/>
  <c r="O577" i="31"/>
  <c r="M409" i="49"/>
  <c r="O106" i="31"/>
  <c r="H174" i="31"/>
  <c r="N403" i="31"/>
  <c r="S214" i="49"/>
  <c r="K180" i="49"/>
  <c r="L257" i="49"/>
  <c r="Y471" i="49"/>
  <c r="Y475" i="49"/>
  <c r="X43" i="31"/>
  <c r="H50" i="31"/>
  <c r="V439" i="31"/>
  <c r="V72" i="49"/>
  <c r="AB280" i="49"/>
  <c r="L546" i="49"/>
  <c r="Q200" i="49"/>
  <c r="G105" i="49"/>
  <c r="Q215" i="49"/>
  <c r="N423" i="49"/>
  <c r="V447" i="31"/>
  <c r="L309" i="49"/>
  <c r="Y111" i="49"/>
  <c r="O18" i="49"/>
  <c r="S319" i="49"/>
  <c r="S468" i="49"/>
  <c r="U423" i="31"/>
  <c r="V111" i="49"/>
  <c r="W195" i="31"/>
  <c r="L360" i="49"/>
  <c r="X484" i="31"/>
  <c r="I195" i="31"/>
  <c r="Y174" i="31"/>
  <c r="K311" i="31"/>
  <c r="T326" i="49"/>
  <c r="AD458" i="49"/>
  <c r="AB556" i="31"/>
  <c r="M206" i="49"/>
  <c r="H269" i="49"/>
  <c r="I249" i="31"/>
  <c r="AB56" i="49"/>
  <c r="U491" i="49"/>
  <c r="H520" i="49"/>
  <c r="V582" i="49"/>
  <c r="AD367" i="49"/>
  <c r="X573" i="31"/>
  <c r="H284" i="49"/>
  <c r="AD280" i="49"/>
  <c r="V334" i="49"/>
  <c r="AA432" i="49"/>
  <c r="I378" i="49"/>
  <c r="S494" i="49"/>
  <c r="H216" i="49"/>
  <c r="X198" i="49"/>
  <c r="R248" i="49"/>
  <c r="J310" i="49"/>
  <c r="Y139" i="49"/>
  <c r="S260" i="31"/>
  <c r="AA573" i="49"/>
  <c r="L154" i="31"/>
  <c r="U350" i="49"/>
  <c r="O41" i="49"/>
  <c r="N463" i="31"/>
  <c r="P41" i="49"/>
  <c r="T99" i="49"/>
  <c r="U401" i="31"/>
  <c r="AA167" i="31"/>
  <c r="S215" i="31"/>
  <c r="AC536" i="49"/>
  <c r="L323" i="31"/>
  <c r="O456" i="31"/>
  <c r="V505" i="31"/>
  <c r="Q34" i="49"/>
  <c r="Q464" i="31"/>
  <c r="M247" i="49"/>
  <c r="W502" i="49"/>
  <c r="AC249" i="49"/>
  <c r="T524" i="49"/>
  <c r="K549" i="31"/>
  <c r="T281" i="49"/>
  <c r="AC358" i="49"/>
  <c r="I154" i="49"/>
  <c r="Y179" i="49"/>
  <c r="M285" i="31"/>
  <c r="J88" i="49"/>
  <c r="M438" i="49"/>
  <c r="AA471" i="49"/>
  <c r="P236" i="49"/>
  <c r="H148" i="49"/>
  <c r="O140" i="49"/>
  <c r="T558" i="49"/>
  <c r="G31" i="49"/>
  <c r="T268" i="49"/>
  <c r="P607" i="49"/>
  <c r="L346" i="49"/>
  <c r="X552" i="49"/>
  <c r="X150" i="49"/>
  <c r="AD330" i="49"/>
  <c r="AD365" i="49"/>
  <c r="AC536" i="31"/>
  <c r="L200" i="49"/>
  <c r="K450" i="31"/>
  <c r="AD305" i="49"/>
  <c r="W81" i="49"/>
  <c r="L587" i="31"/>
  <c r="O38" i="49"/>
  <c r="J160" i="49"/>
  <c r="U268" i="49"/>
  <c r="AD317" i="49"/>
  <c r="L601" i="31"/>
  <c r="P587" i="31"/>
  <c r="M262" i="49"/>
  <c r="AC154" i="49"/>
  <c r="AA243" i="49"/>
  <c r="Q87" i="49"/>
  <c r="N190" i="49"/>
  <c r="R12" i="49"/>
  <c r="P83" i="49"/>
  <c r="V68" i="49"/>
  <c r="T141" i="49"/>
  <c r="M428" i="49"/>
  <c r="AC501" i="49"/>
  <c r="M294" i="49"/>
  <c r="O114" i="49"/>
  <c r="AD257" i="49"/>
  <c r="U27" i="49"/>
  <c r="AC15" i="49"/>
  <c r="M75" i="49"/>
  <c r="X131" i="49"/>
  <c r="L101" i="49"/>
  <c r="O585" i="49"/>
  <c r="K323" i="49"/>
  <c r="AA162" i="49"/>
  <c r="O225" i="49"/>
  <c r="X209" i="49"/>
  <c r="G275" i="49"/>
  <c r="AA66" i="49"/>
  <c r="Z204" i="49"/>
  <c r="S116" i="49"/>
  <c r="AC179" i="49"/>
  <c r="AB408" i="49"/>
  <c r="I556" i="49"/>
  <c r="O409" i="49"/>
  <c r="J19" i="49"/>
  <c r="P78" i="49"/>
  <c r="I123" i="31"/>
  <c r="W75" i="31"/>
  <c r="H372" i="49"/>
  <c r="P500" i="49"/>
  <c r="P504" i="49"/>
  <c r="AB498" i="49"/>
  <c r="S381" i="31"/>
  <c r="AA464" i="31"/>
  <c r="AC251" i="49"/>
  <c r="M118" i="31"/>
  <c r="W587" i="49"/>
  <c r="V535" i="49"/>
  <c r="AB445" i="31"/>
  <c r="J61" i="49"/>
  <c r="P201" i="49"/>
  <c r="J505" i="49"/>
  <c r="U403" i="31"/>
  <c r="S453" i="49"/>
  <c r="M175" i="49"/>
  <c r="N245" i="49"/>
  <c r="G243" i="49"/>
  <c r="O307" i="49"/>
  <c r="AC349" i="31"/>
  <c r="H348" i="49"/>
  <c r="J411" i="49"/>
  <c r="Y181" i="49"/>
  <c r="H179" i="49"/>
  <c r="J563" i="49"/>
  <c r="L358" i="49"/>
  <c r="S263" i="49"/>
  <c r="AB348" i="31"/>
  <c r="X418" i="31"/>
  <c r="H202" i="49"/>
  <c r="Y298" i="31"/>
  <c r="AC176" i="31"/>
  <c r="O237" i="31"/>
  <c r="U236" i="31"/>
  <c r="W373" i="31"/>
  <c r="AD567" i="49"/>
  <c r="G272" i="31"/>
  <c r="AB349" i="49"/>
  <c r="T411" i="49"/>
  <c r="AB360" i="49"/>
  <c r="G166" i="49"/>
  <c r="U206" i="49"/>
  <c r="P375" i="31"/>
  <c r="X453" i="31"/>
  <c r="Z583" i="31"/>
  <c r="R206" i="31"/>
  <c r="Y112" i="31"/>
  <c r="V573" i="49"/>
  <c r="P428" i="31"/>
  <c r="U352" i="49"/>
  <c r="AC20" i="31"/>
  <c r="K606" i="49"/>
  <c r="Y617" i="49"/>
  <c r="I517" i="49"/>
  <c r="T283" i="49"/>
  <c r="G195" i="49"/>
  <c r="AB526" i="49"/>
  <c r="K207" i="31"/>
  <c r="R567" i="31"/>
  <c r="Y410" i="49"/>
  <c r="Z44" i="49"/>
  <c r="G117" i="31"/>
  <c r="N396" i="31"/>
  <c r="Z607" i="49"/>
  <c r="M43" i="49"/>
  <c r="S42" i="49"/>
  <c r="AA102" i="49"/>
  <c r="AB502" i="31"/>
  <c r="L68" i="49"/>
  <c r="N204" i="49"/>
  <c r="R573" i="49"/>
  <c r="Q591" i="49"/>
  <c r="AB337" i="49"/>
  <c r="R101" i="49"/>
  <c r="R24" i="49"/>
  <c r="Y532" i="49"/>
  <c r="R125" i="31"/>
  <c r="T10" i="49"/>
  <c r="T446" i="49"/>
  <c r="T385" i="31"/>
  <c r="AC44" i="31"/>
  <c r="M44" i="31"/>
  <c r="U104" i="31"/>
  <c r="G468" i="31"/>
  <c r="J447" i="31"/>
  <c r="Q587" i="49"/>
  <c r="AD536" i="49"/>
  <c r="AB291" i="49"/>
  <c r="J521" i="49"/>
  <c r="M15" i="49"/>
  <c r="H104" i="31"/>
  <c r="V490" i="31"/>
  <c r="L282" i="31"/>
  <c r="J16" i="31"/>
  <c r="AA495" i="31"/>
  <c r="P576" i="31"/>
  <c r="K448" i="49"/>
  <c r="W104" i="49"/>
  <c r="Z520" i="31"/>
  <c r="M14" i="49"/>
  <c r="R385" i="49"/>
  <c r="M508" i="31"/>
  <c r="U383" i="31"/>
  <c r="S150" i="31"/>
  <c r="AA212" i="31"/>
  <c r="H379" i="49"/>
  <c r="AB362" i="49"/>
  <c r="J292" i="31"/>
  <c r="O573" i="31"/>
  <c r="Z165" i="31"/>
  <c r="P433" i="31"/>
  <c r="Y163" i="31"/>
  <c r="T453" i="31"/>
  <c r="R345" i="49"/>
  <c r="G69" i="31"/>
  <c r="T148" i="49"/>
  <c r="U583" i="49"/>
  <c r="O231" i="49"/>
  <c r="Y566" i="49"/>
  <c r="I471" i="49"/>
  <c r="S344" i="31"/>
  <c r="O119" i="49"/>
  <c r="AA533" i="31"/>
  <c r="U445" i="49"/>
  <c r="W29" i="31"/>
  <c r="N449" i="31"/>
  <c r="O447" i="49"/>
  <c r="N472" i="49"/>
  <c r="S477" i="31"/>
  <c r="T568" i="31"/>
  <c r="K364" i="31"/>
  <c r="T66" i="49"/>
  <c r="L324" i="31"/>
  <c r="AC193" i="49"/>
  <c r="I155" i="49"/>
  <c r="L400" i="31"/>
  <c r="Y78" i="49"/>
  <c r="W159" i="31"/>
  <c r="Q414" i="31"/>
  <c r="W44" i="31"/>
  <c r="G484" i="49"/>
  <c r="V115" i="49"/>
  <c r="AB555" i="31"/>
  <c r="H608" i="31"/>
  <c r="Y183" i="49"/>
  <c r="N38" i="49"/>
  <c r="N559" i="31"/>
  <c r="AD105" i="49"/>
  <c r="O472" i="49"/>
  <c r="J483" i="49"/>
  <c r="AB54" i="49"/>
  <c r="S551" i="31"/>
  <c r="S345" i="49"/>
  <c r="Z265" i="31"/>
  <c r="M332" i="49"/>
  <c r="W68" i="49"/>
  <c r="AB176" i="49"/>
  <c r="N48" i="49"/>
  <c r="O118" i="49"/>
  <c r="J214" i="49"/>
  <c r="X559" i="49"/>
  <c r="K495" i="49"/>
  <c r="AA596" i="49"/>
  <c r="T516" i="49"/>
  <c r="O175" i="49"/>
  <c r="O248" i="49"/>
  <c r="U373" i="49"/>
  <c r="T462" i="49"/>
  <c r="W418" i="49"/>
  <c r="I270" i="49"/>
  <c r="S223" i="49"/>
  <c r="G318" i="49"/>
  <c r="R302" i="31"/>
  <c r="W30" i="49"/>
  <c r="G128" i="49"/>
  <c r="N206" i="31"/>
  <c r="I448" i="31"/>
  <c r="G498" i="49"/>
  <c r="W599" i="49"/>
  <c r="K126" i="31"/>
  <c r="N412" i="31"/>
  <c r="P308" i="49"/>
  <c r="Y22" i="49"/>
  <c r="K595" i="31"/>
  <c r="Q360" i="31"/>
  <c r="N31" i="49"/>
  <c r="K337" i="49"/>
  <c r="O78" i="49"/>
  <c r="AB184" i="49"/>
  <c r="Z605" i="49"/>
  <c r="Q31" i="49"/>
  <c r="G350" i="49"/>
  <c r="H242" i="31"/>
  <c r="O180" i="49"/>
  <c r="Z237" i="49"/>
  <c r="Z155" i="49"/>
  <c r="J270" i="31"/>
  <c r="U297" i="49"/>
  <c r="T383" i="49"/>
  <c r="AD349" i="49"/>
  <c r="P374" i="49"/>
  <c r="L296" i="49"/>
  <c r="X360" i="49"/>
  <c r="J155" i="49"/>
  <c r="N332" i="49"/>
  <c r="J568" i="31"/>
  <c r="AA418" i="31"/>
  <c r="AD441" i="31"/>
  <c r="S464" i="31"/>
  <c r="V40" i="49"/>
  <c r="T589" i="31"/>
  <c r="X97" i="49"/>
  <c r="O273" i="49"/>
  <c r="T161" i="49"/>
  <c r="U214" i="49"/>
  <c r="AB512" i="49"/>
  <c r="N606" i="31"/>
  <c r="P591" i="31"/>
  <c r="M216" i="49"/>
  <c r="AD532" i="49"/>
  <c r="T535" i="49"/>
  <c r="W88" i="49"/>
  <c r="V194" i="49"/>
  <c r="R16" i="49"/>
  <c r="P87" i="49"/>
  <c r="T73" i="49"/>
  <c r="V146" i="49"/>
  <c r="J472" i="49"/>
  <c r="AD360" i="49"/>
  <c r="G461" i="31"/>
  <c r="L463" i="49"/>
  <c r="V259" i="49"/>
  <c r="AA30" i="49"/>
  <c r="M19" i="49"/>
  <c r="S78" i="49"/>
  <c r="AC522" i="49"/>
  <c r="W64" i="49"/>
  <c r="T427" i="31"/>
  <c r="I263" i="49"/>
  <c r="K166" i="49"/>
  <c r="AA236" i="49"/>
  <c r="AB216" i="49"/>
  <c r="O281" i="49"/>
  <c r="M582" i="31"/>
  <c r="T378" i="49"/>
  <c r="X43" i="49"/>
  <c r="AB618" i="49"/>
  <c r="AA375" i="49"/>
  <c r="Q491" i="49"/>
  <c r="M172" i="31"/>
  <c r="P22" i="49"/>
  <c r="X82" i="49"/>
  <c r="O126" i="31"/>
  <c r="G79" i="31"/>
  <c r="H322" i="49"/>
  <c r="T428" i="49"/>
  <c r="P472" i="49"/>
  <c r="AB378" i="49"/>
  <c r="S367" i="31"/>
  <c r="U465" i="31"/>
  <c r="AD204" i="49"/>
  <c r="L428" i="49"/>
  <c r="U440" i="49"/>
  <c r="H17" i="49"/>
  <c r="AD497" i="31"/>
  <c r="R65" i="49"/>
  <c r="J204" i="49"/>
  <c r="R572" i="49"/>
  <c r="AA406" i="31"/>
  <c r="S427" i="49"/>
  <c r="S180" i="49"/>
  <c r="G247" i="49"/>
  <c r="W247" i="49"/>
  <c r="Y310" i="49"/>
  <c r="S350" i="31"/>
  <c r="H338" i="49"/>
  <c r="W128" i="49"/>
  <c r="G192" i="49"/>
  <c r="V564" i="31"/>
  <c r="T103" i="49"/>
  <c r="L308" i="49"/>
  <c r="AA288" i="49"/>
  <c r="AB453" i="31"/>
  <c r="X365" i="31"/>
  <c r="X205" i="49"/>
  <c r="AC606" i="31"/>
  <c r="M182" i="31"/>
  <c r="Q242" i="31"/>
  <c r="S241" i="31"/>
  <c r="I384" i="31"/>
  <c r="V472" i="31"/>
  <c r="T268" i="31"/>
  <c r="Q240" i="49"/>
  <c r="H229" i="49"/>
  <c r="P572" i="49"/>
  <c r="V519" i="49"/>
  <c r="V94" i="31"/>
  <c r="T462" i="31"/>
  <c r="X457" i="31"/>
  <c r="H588" i="31"/>
  <c r="Z210" i="31"/>
  <c r="O119" i="31"/>
  <c r="Z452" i="49"/>
  <c r="L337" i="49"/>
  <c r="I312" i="31"/>
  <c r="AD407" i="49"/>
  <c r="V12" i="31"/>
  <c r="Q602" i="31"/>
  <c r="L59" i="31"/>
  <c r="V120" i="31"/>
  <c r="K471" i="31"/>
  <c r="S571" i="31"/>
  <c r="S211" i="31"/>
  <c r="Z571" i="31"/>
  <c r="Y276" i="49"/>
  <c r="Z50" i="49"/>
  <c r="Q120" i="31"/>
  <c r="K269" i="49"/>
  <c r="J555" i="49"/>
  <c r="S48" i="49"/>
  <c r="I500" i="31"/>
  <c r="AC234" i="49"/>
  <c r="Q596" i="49"/>
  <c r="AD570" i="49"/>
  <c r="T510" i="49"/>
  <c r="Z590" i="49"/>
  <c r="V36" i="31"/>
  <c r="AB95" i="31"/>
  <c r="X104" i="49"/>
  <c r="P29" i="49"/>
  <c r="R57" i="31"/>
  <c r="P130" i="31"/>
  <c r="G588" i="49"/>
  <c r="Z439" i="49"/>
  <c r="X468" i="31"/>
  <c r="X423" i="49"/>
  <c r="V486" i="49"/>
  <c r="Y570" i="49"/>
  <c r="L335" i="31"/>
  <c r="O275" i="31"/>
  <c r="U179" i="31"/>
  <c r="AA236" i="31"/>
  <c r="AC379" i="49"/>
  <c r="M552" i="49"/>
  <c r="S18" i="49"/>
  <c r="J111" i="31"/>
  <c r="P495" i="31"/>
  <c r="N287" i="31"/>
  <c r="P11" i="31"/>
  <c r="AA556" i="31"/>
  <c r="Z579" i="31"/>
  <c r="Y55" i="49"/>
  <c r="I117" i="49"/>
  <c r="Z524" i="31"/>
  <c r="S17" i="49"/>
  <c r="U603" i="49"/>
  <c r="M490" i="31"/>
  <c r="U329" i="31"/>
  <c r="AC151" i="31"/>
  <c r="K214" i="31"/>
  <c r="M20" i="31"/>
  <c r="AA311" i="31"/>
  <c r="G94" i="31"/>
  <c r="Q200" i="31"/>
  <c r="H492" i="49"/>
  <c r="Y577" i="49"/>
  <c r="V97" i="49"/>
  <c r="Q199" i="49"/>
  <c r="I56" i="49"/>
  <c r="Y239" i="31"/>
  <c r="G164" i="49"/>
  <c r="AA373" i="49"/>
  <c r="T84" i="49"/>
  <c r="AD428" i="49"/>
  <c r="AB591" i="49"/>
  <c r="Y186" i="49"/>
  <c r="K588" i="49"/>
  <c r="H169" i="49"/>
  <c r="I95" i="49"/>
  <c r="AC302" i="49"/>
  <c r="U466" i="49"/>
  <c r="AD433" i="49"/>
  <c r="AB495" i="49"/>
  <c r="AD276" i="31"/>
  <c r="P324" i="49"/>
  <c r="T566" i="49"/>
  <c r="H25" i="49"/>
  <c r="AA280" i="49"/>
  <c r="J222" i="49"/>
  <c r="R544" i="49"/>
  <c r="Q265" i="49"/>
  <c r="N362" i="49"/>
  <c r="I48" i="49"/>
  <c r="Q439" i="49"/>
  <c r="M417" i="49"/>
  <c r="T255" i="49"/>
  <c r="M221" i="31"/>
  <c r="W130" i="31"/>
  <c r="G591" i="49"/>
  <c r="AD252" i="31"/>
  <c r="N501" i="31"/>
  <c r="K410" i="31"/>
  <c r="R192" i="49"/>
  <c r="Q562" i="49"/>
  <c r="L566" i="49"/>
  <c r="AD434" i="49"/>
  <c r="I12" i="49"/>
  <c r="O324" i="31"/>
  <c r="T214" i="49"/>
  <c r="H205" i="31"/>
  <c r="T159" i="31"/>
  <c r="V60" i="31"/>
  <c r="AC214" i="31"/>
  <c r="W115" i="31"/>
  <c r="S225" i="49"/>
  <c r="T514" i="49"/>
  <c r="J111" i="49"/>
  <c r="AA400" i="49"/>
  <c r="N242" i="31"/>
  <c r="T368" i="49"/>
  <c r="AC21" i="49"/>
  <c r="J12" i="31"/>
  <c r="G523" i="49"/>
  <c r="G278" i="49"/>
  <c r="G438" i="31"/>
  <c r="T262" i="31"/>
  <c r="Y241" i="49"/>
  <c r="N568" i="31"/>
  <c r="W279" i="31"/>
  <c r="J444" i="31"/>
  <c r="T607" i="31"/>
  <c r="Z102" i="49"/>
  <c r="Y411" i="49"/>
  <c r="J164" i="49"/>
  <c r="J37" i="31"/>
  <c r="O381" i="31"/>
  <c r="L94" i="31"/>
  <c r="AA613" i="49"/>
  <c r="M618" i="31"/>
  <c r="Q550" i="31"/>
  <c r="AB606" i="31"/>
  <c r="L545" i="31"/>
  <c r="K552" i="31"/>
  <c r="S330" i="31"/>
  <c r="G303" i="49"/>
  <c r="J345" i="49"/>
  <c r="T116" i="31"/>
  <c r="P477" i="49"/>
  <c r="Q595" i="49"/>
  <c r="J232" i="49"/>
  <c r="G412" i="31"/>
  <c r="V72" i="31"/>
  <c r="T253" i="31"/>
  <c r="K42" i="31"/>
  <c r="P66" i="31"/>
  <c r="G579" i="49"/>
  <c r="Z72" i="49"/>
  <c r="R270" i="49"/>
  <c r="L349" i="31"/>
  <c r="Q323" i="31"/>
  <c r="I535" i="31"/>
  <c r="G615" i="31"/>
  <c r="R273" i="31"/>
  <c r="V118" i="49"/>
  <c r="L193" i="49"/>
  <c r="Z405" i="31"/>
  <c r="P216" i="49"/>
  <c r="S544" i="49"/>
  <c r="V562" i="49"/>
  <c r="X443" i="49"/>
  <c r="AB231" i="31"/>
  <c r="U19" i="31"/>
  <c r="P152" i="31"/>
  <c r="R445" i="31"/>
  <c r="AA29" i="49"/>
  <c r="M90" i="49"/>
  <c r="T34" i="31"/>
  <c r="N284" i="31"/>
  <c r="R556" i="31"/>
  <c r="W192" i="49"/>
  <c r="U503" i="49"/>
  <c r="S53" i="49"/>
  <c r="M123" i="49"/>
  <c r="AC191" i="31"/>
  <c r="O310" i="31"/>
  <c r="W558" i="31"/>
  <c r="Q519" i="49"/>
  <c r="L417" i="49"/>
  <c r="V311" i="31"/>
  <c r="AC72" i="49"/>
  <c r="Q346" i="49"/>
  <c r="AD488" i="49"/>
  <c r="I468" i="31"/>
  <c r="AD225" i="49"/>
  <c r="V110" i="31"/>
  <c r="AB171" i="31"/>
  <c r="N160" i="31"/>
  <c r="V218" i="31"/>
  <c r="V14" i="31"/>
  <c r="Q523" i="31"/>
  <c r="L61" i="31"/>
  <c r="V122" i="31"/>
  <c r="X237" i="49"/>
  <c r="Q203" i="49"/>
  <c r="V594" i="31"/>
  <c r="U472" i="49"/>
  <c r="Y427" i="31"/>
  <c r="N491" i="31"/>
  <c r="Y510" i="49"/>
  <c r="W88" i="31"/>
  <c r="R463" i="31"/>
  <c r="AA299" i="31"/>
  <c r="R79" i="31"/>
  <c r="O452" i="31"/>
  <c r="J21" i="49"/>
  <c r="AB298" i="49"/>
  <c r="O36" i="49"/>
  <c r="G160" i="49"/>
  <c r="J396" i="49"/>
  <c r="Z419" i="49"/>
  <c r="Z312" i="49"/>
  <c r="AD471" i="31"/>
  <c r="T242" i="49"/>
  <c r="L490" i="49"/>
  <c r="K601" i="31"/>
  <c r="AB364" i="31"/>
  <c r="AA81" i="49"/>
  <c r="V184" i="31"/>
  <c r="AD242" i="31"/>
  <c r="Z568" i="49"/>
  <c r="T203" i="49"/>
  <c r="Y577" i="31"/>
  <c r="T147" i="31"/>
  <c r="AB209" i="31"/>
  <c r="W548" i="31"/>
  <c r="T12" i="31"/>
  <c r="W358" i="31"/>
  <c r="H591" i="49"/>
  <c r="AC139" i="49"/>
  <c r="K202" i="49"/>
  <c r="AD326" i="31"/>
  <c r="V167" i="49"/>
  <c r="G475" i="49"/>
  <c r="Z381" i="49"/>
  <c r="Q523" i="49"/>
  <c r="U165" i="49"/>
  <c r="AD424" i="31"/>
  <c r="Q295" i="49"/>
  <c r="Z291" i="49"/>
  <c r="Q511" i="49"/>
  <c r="AB123" i="31"/>
  <c r="L187" i="31"/>
  <c r="M114" i="49"/>
  <c r="AC185" i="49"/>
  <c r="S141" i="31"/>
  <c r="AA203" i="31"/>
  <c r="I353" i="31"/>
  <c r="T277" i="49"/>
  <c r="W484" i="49"/>
  <c r="AA385" i="31"/>
  <c r="Z73" i="31"/>
  <c r="V471" i="49"/>
  <c r="S143" i="31"/>
  <c r="W443" i="49"/>
  <c r="I51" i="31"/>
  <c r="O112" i="31"/>
  <c r="P467" i="49"/>
  <c r="R42" i="49"/>
  <c r="G524" i="31"/>
  <c r="O602" i="31"/>
  <c r="Y68" i="49"/>
  <c r="AC426" i="31"/>
  <c r="X225" i="31"/>
  <c r="O14" i="31"/>
  <c r="Q23" i="49"/>
  <c r="R193" i="31"/>
  <c r="V585" i="31"/>
  <c r="H575" i="31"/>
  <c r="M440" i="49"/>
  <c r="AC184" i="31"/>
  <c r="S245" i="31"/>
  <c r="Q478" i="49"/>
  <c r="G220" i="31"/>
  <c r="T520" i="31"/>
  <c r="AB305" i="31"/>
  <c r="M489" i="31"/>
  <c r="AA589" i="31"/>
  <c r="I514" i="49"/>
  <c r="AD519" i="49"/>
  <c r="J418" i="49"/>
  <c r="Y526" i="49"/>
  <c r="Z212" i="31"/>
  <c r="X236" i="31"/>
  <c r="L499" i="31"/>
  <c r="Y173" i="31"/>
  <c r="J77" i="49"/>
  <c r="P138" i="49"/>
  <c r="G534" i="31"/>
  <c r="X498" i="31"/>
  <c r="P560" i="49"/>
  <c r="AB502" i="49"/>
  <c r="H74" i="31"/>
  <c r="G417" i="31"/>
  <c r="T341" i="31"/>
  <c r="Z37" i="49"/>
  <c r="G204" i="31"/>
  <c r="V375" i="31"/>
  <c r="AD15" i="49"/>
  <c r="G279" i="49"/>
  <c r="O349" i="49"/>
  <c r="K161" i="49"/>
  <c r="J599" i="49"/>
  <c r="M51" i="49"/>
  <c r="X307" i="31"/>
  <c r="N583" i="49"/>
  <c r="AD194" i="31"/>
  <c r="O491" i="49"/>
  <c r="P433" i="49"/>
  <c r="AB426" i="49"/>
  <c r="Y502" i="31"/>
  <c r="AB503" i="49"/>
  <c r="L201" i="49"/>
  <c r="I97" i="49"/>
  <c r="G85" i="31"/>
  <c r="Q43" i="31"/>
  <c r="W28" i="49"/>
  <c r="AB230" i="49"/>
  <c r="Q498" i="49"/>
  <c r="N466" i="49"/>
  <c r="W361" i="49"/>
  <c r="J216" i="49"/>
  <c r="K555" i="49"/>
  <c r="T400" i="49"/>
  <c r="U150" i="31"/>
  <c r="I443" i="31"/>
  <c r="Z384" i="31"/>
  <c r="P440" i="49"/>
  <c r="X546" i="31"/>
  <c r="Z45" i="49"/>
  <c r="T288" i="49"/>
  <c r="L25" i="31"/>
  <c r="I96" i="49"/>
  <c r="Z596" i="31"/>
  <c r="Q164" i="49"/>
  <c r="L113" i="31"/>
  <c r="M280" i="49"/>
  <c r="M33" i="31"/>
  <c r="X139" i="49"/>
  <c r="AC227" i="31"/>
  <c r="Y73" i="49"/>
  <c r="S303" i="31"/>
  <c r="AB193" i="49"/>
  <c r="G152" i="49"/>
  <c r="W490" i="49"/>
  <c r="X64" i="49"/>
  <c r="Y564" i="49"/>
  <c r="P51" i="49"/>
  <c r="V488" i="49"/>
  <c r="L272" i="49"/>
  <c r="W596" i="31"/>
  <c r="T83" i="31"/>
  <c r="K54" i="31"/>
  <c r="T501" i="31"/>
  <c r="AB115" i="31"/>
  <c r="S548" i="49"/>
  <c r="AC327" i="49"/>
  <c r="M544" i="49"/>
  <c r="P580" i="49"/>
  <c r="AC201" i="31"/>
  <c r="W280" i="31"/>
  <c r="V28" i="49"/>
  <c r="K232" i="31"/>
  <c r="Q279" i="31"/>
  <c r="T133" i="31"/>
  <c r="L110" i="31"/>
  <c r="U562" i="31"/>
  <c r="G575" i="49"/>
  <c r="S608" i="49"/>
  <c r="H266" i="31"/>
  <c r="T241" i="49"/>
  <c r="U34" i="31"/>
  <c r="AB475" i="31"/>
  <c r="S66" i="31"/>
  <c r="T544" i="49"/>
  <c r="K30" i="49"/>
  <c r="AA307" i="49"/>
  <c r="U23" i="31"/>
  <c r="AC83" i="31"/>
  <c r="K72" i="31"/>
  <c r="S132" i="31"/>
  <c r="N202" i="31"/>
  <c r="AD66" i="31"/>
  <c r="AD248" i="31"/>
  <c r="U37" i="31"/>
  <c r="Z59" i="31"/>
  <c r="V577" i="49"/>
  <c r="G405" i="49"/>
  <c r="Z404" i="49"/>
  <c r="P402" i="49"/>
  <c r="AD299" i="49"/>
  <c r="AA31" i="31"/>
  <c r="U322" i="31"/>
  <c r="AC496" i="31"/>
  <c r="I585" i="49"/>
  <c r="T305" i="49"/>
  <c r="O396" i="31"/>
  <c r="W430" i="31"/>
  <c r="P534" i="49"/>
  <c r="AC526" i="49"/>
  <c r="AB437" i="49"/>
  <c r="N226" i="31"/>
  <c r="AA14" i="31"/>
  <c r="Z94" i="49"/>
  <c r="S512" i="31"/>
  <c r="W307" i="31"/>
  <c r="AD271" i="31"/>
  <c r="G422" i="49"/>
  <c r="G262" i="49"/>
  <c r="AC337" i="49"/>
  <c r="U95" i="31"/>
  <c r="AC159" i="31"/>
  <c r="Z443" i="31"/>
  <c r="T250" i="49"/>
  <c r="O23" i="49"/>
  <c r="Y79" i="49"/>
  <c r="K339" i="49"/>
  <c r="T485" i="49"/>
  <c r="Y597" i="49"/>
  <c r="R179" i="31"/>
  <c r="T85" i="31"/>
  <c r="AD146" i="31"/>
  <c r="X160" i="49"/>
  <c r="T91" i="49"/>
  <c r="K56" i="31"/>
  <c r="AD296" i="49"/>
  <c r="V449" i="49"/>
  <c r="M491" i="31"/>
  <c r="M72" i="49"/>
  <c r="AC141" i="49"/>
  <c r="G322" i="49"/>
  <c r="P441" i="49"/>
  <c r="I519" i="31"/>
  <c r="U51" i="31"/>
  <c r="AA112" i="31"/>
  <c r="V337" i="31"/>
  <c r="G84" i="49"/>
  <c r="I207" i="49"/>
  <c r="U69" i="49"/>
  <c r="L174" i="31"/>
  <c r="Q196" i="49"/>
  <c r="Y567" i="49"/>
  <c r="R339" i="49"/>
  <c r="V305" i="49"/>
  <c r="O513" i="49"/>
  <c r="S475" i="31"/>
  <c r="G612" i="31"/>
  <c r="AA532" i="31"/>
  <c r="T48" i="31"/>
  <c r="R454" i="49"/>
  <c r="T466" i="49"/>
  <c r="V618" i="31"/>
  <c r="AB173" i="31"/>
  <c r="L233" i="31"/>
  <c r="M72" i="31"/>
  <c r="P334" i="31"/>
  <c r="U141" i="31"/>
  <c r="AC203" i="31"/>
  <c r="AB179" i="31"/>
  <c r="L237" i="31"/>
  <c r="N471" i="31"/>
  <c r="Z39" i="49"/>
  <c r="Y332" i="31"/>
  <c r="V154" i="31"/>
  <c r="AB215" i="31"/>
  <c r="W326" i="31"/>
  <c r="Z19" i="31"/>
  <c r="P335" i="49"/>
  <c r="R359" i="49"/>
  <c r="U520" i="49"/>
  <c r="S458" i="49"/>
  <c r="P615" i="31"/>
  <c r="I558" i="31"/>
  <c r="Q514" i="31"/>
  <c r="N369" i="49"/>
  <c r="I521" i="49"/>
  <c r="H595" i="49"/>
  <c r="K229" i="49"/>
  <c r="AC303" i="49"/>
  <c r="J311" i="49"/>
  <c r="AC514" i="49"/>
  <c r="AD130" i="31"/>
  <c r="N194" i="31"/>
  <c r="AA395" i="31"/>
  <c r="G571" i="31"/>
  <c r="K341" i="31"/>
  <c r="J140" i="49"/>
  <c r="X331" i="49"/>
  <c r="Z55" i="31"/>
  <c r="U576" i="49"/>
  <c r="T31" i="49"/>
  <c r="G32" i="49"/>
  <c r="M185" i="49"/>
  <c r="H317" i="31"/>
  <c r="AC87" i="31"/>
  <c r="I292" i="31"/>
  <c r="K290" i="31"/>
  <c r="Y607" i="49"/>
  <c r="I479" i="49"/>
  <c r="AA131" i="49"/>
  <c r="AC596" i="31"/>
  <c r="AB39" i="31"/>
  <c r="V221" i="31"/>
  <c r="U406" i="31"/>
  <c r="S148" i="31"/>
  <c r="AA210" i="31"/>
  <c r="J322" i="49"/>
  <c r="R386" i="49"/>
  <c r="J605" i="31"/>
  <c r="M602" i="49"/>
  <c r="AD418" i="31"/>
  <c r="J345" i="31"/>
  <c r="Z186" i="31"/>
  <c r="W11" i="31"/>
  <c r="X514" i="31"/>
  <c r="W412" i="49"/>
  <c r="O154" i="31"/>
  <c r="M257" i="31"/>
  <c r="H56" i="31"/>
  <c r="J230" i="31"/>
  <c r="Y17" i="31"/>
  <c r="AB257" i="31"/>
  <c r="K408" i="31"/>
  <c r="R292" i="31"/>
  <c r="N372" i="31"/>
  <c r="AA439" i="49"/>
  <c r="U202" i="31"/>
  <c r="AB270" i="31"/>
  <c r="AD511" i="49"/>
  <c r="L183" i="49"/>
  <c r="L263" i="31"/>
  <c r="H329" i="31"/>
  <c r="M344" i="31"/>
  <c r="AA485" i="31"/>
  <c r="AA99" i="31"/>
  <c r="K163" i="31"/>
  <c r="AA567" i="49"/>
  <c r="N279" i="31"/>
  <c r="Y83" i="49"/>
  <c r="O350" i="49"/>
  <c r="AA544" i="49"/>
  <c r="U401" i="49"/>
  <c r="Z95" i="49"/>
  <c r="H160" i="49"/>
  <c r="K500" i="31"/>
  <c r="H32" i="31"/>
  <c r="T352" i="49"/>
  <c r="AC12" i="49"/>
  <c r="L100" i="31"/>
  <c r="O439" i="31"/>
  <c r="AA206" i="49"/>
  <c r="P56" i="49"/>
  <c r="W222" i="31"/>
  <c r="U547" i="49"/>
  <c r="K480" i="49"/>
  <c r="H55" i="49"/>
  <c r="J128" i="49"/>
  <c r="AC595" i="49"/>
  <c r="S10" i="49"/>
  <c r="AA68" i="49"/>
  <c r="J334" i="31"/>
  <c r="X329" i="31"/>
  <c r="M269" i="49"/>
  <c r="Z16" i="49"/>
  <c r="G288" i="31"/>
  <c r="I67" i="31"/>
  <c r="G85" i="49"/>
  <c r="R518" i="49"/>
  <c r="AC404" i="49"/>
  <c r="X199" i="49"/>
  <c r="Y424" i="31"/>
  <c r="P508" i="31"/>
  <c r="N147" i="49"/>
  <c r="Q412" i="31"/>
  <c r="M274" i="49"/>
  <c r="L348" i="49"/>
  <c r="H270" i="49"/>
  <c r="T357" i="49"/>
  <c r="R349" i="49"/>
  <c r="U349" i="31"/>
  <c r="AB61" i="31"/>
  <c r="T255" i="31"/>
  <c r="U181" i="31"/>
  <c r="W508" i="31"/>
  <c r="I555" i="49"/>
  <c r="T518" i="49"/>
  <c r="O19" i="49"/>
  <c r="K360" i="49"/>
  <c r="I433" i="49"/>
  <c r="R580" i="31"/>
  <c r="Y450" i="49"/>
  <c r="R585" i="49"/>
  <c r="AB343" i="31"/>
  <c r="P439" i="49"/>
  <c r="V488" i="31"/>
  <c r="U551" i="31"/>
  <c r="J456" i="31"/>
  <c r="V118" i="31"/>
  <c r="V22" i="31"/>
  <c r="Q311" i="49"/>
  <c r="AA516" i="49"/>
  <c r="J79" i="49"/>
  <c r="S155" i="31"/>
  <c r="AD248" i="49"/>
  <c r="Y263" i="49"/>
  <c r="J501" i="49"/>
  <c r="Z51" i="49"/>
  <c r="T385" i="49"/>
  <c r="P403" i="49"/>
  <c r="X408" i="31"/>
  <c r="Z245" i="49"/>
  <c r="AC195" i="31"/>
  <c r="Y138" i="31"/>
  <c r="M58" i="31"/>
  <c r="L371" i="31"/>
  <c r="Q471" i="31"/>
  <c r="V126" i="31"/>
  <c r="T45" i="49"/>
  <c r="J555" i="31"/>
  <c r="I573" i="49"/>
  <c r="G605" i="49"/>
  <c r="K581" i="49"/>
  <c r="L13" i="49"/>
  <c r="AB336" i="31"/>
  <c r="AC243" i="31"/>
  <c r="I25" i="31"/>
  <c r="G572" i="49"/>
  <c r="AC38" i="31"/>
  <c r="AD503" i="31"/>
  <c r="AC67" i="31"/>
  <c r="X449" i="49"/>
  <c r="U33" i="49"/>
  <c r="K309" i="49"/>
  <c r="AA24" i="31"/>
  <c r="M85" i="31"/>
  <c r="U73" i="31"/>
  <c r="AC133" i="31"/>
  <c r="U612" i="31"/>
  <c r="J464" i="49"/>
  <c r="Y526" i="31"/>
  <c r="V20" i="31"/>
  <c r="M245" i="31"/>
  <c r="V322" i="49"/>
  <c r="L186" i="49"/>
  <c r="T203" i="31"/>
  <c r="N250" i="31"/>
  <c r="T105" i="31"/>
  <c r="H246" i="31"/>
  <c r="U123" i="31"/>
  <c r="K174" i="31"/>
  <c r="I79" i="49"/>
  <c r="P141" i="49"/>
  <c r="O115" i="31"/>
  <c r="AD270" i="49"/>
  <c r="K503" i="49"/>
  <c r="AA499" i="49"/>
  <c r="AD586" i="49"/>
  <c r="I373" i="31"/>
  <c r="T308" i="49"/>
  <c r="W413" i="49"/>
  <c r="R560" i="31"/>
  <c r="AA446" i="31"/>
  <c r="I14" i="31"/>
  <c r="AC461" i="31"/>
  <c r="G221" i="31"/>
  <c r="AC532" i="31"/>
  <c r="R375" i="31"/>
  <c r="Z310" i="31"/>
  <c r="Y433" i="49"/>
  <c r="S30" i="31"/>
  <c r="AA90" i="31"/>
  <c r="K78" i="31"/>
  <c r="U139" i="31"/>
  <c r="L209" i="31"/>
  <c r="O210" i="49"/>
  <c r="O455" i="31"/>
  <c r="P195" i="49"/>
  <c r="M225" i="31"/>
  <c r="G591" i="31"/>
  <c r="AD343" i="31"/>
  <c r="K581" i="31"/>
  <c r="V350" i="49"/>
  <c r="N161" i="49"/>
  <c r="J422" i="31"/>
  <c r="I119" i="49"/>
  <c r="S343" i="31"/>
  <c r="AA544" i="31"/>
  <c r="AA486" i="31"/>
  <c r="T52" i="31"/>
  <c r="P119" i="49"/>
  <c r="Y426" i="31"/>
  <c r="U462" i="49"/>
  <c r="AA327" i="49"/>
  <c r="J601" i="49"/>
  <c r="Y307" i="49"/>
  <c r="G292" i="49"/>
  <c r="Q365" i="49"/>
  <c r="L351" i="49"/>
  <c r="G104" i="49"/>
  <c r="T318" i="49"/>
  <c r="G199" i="49"/>
  <c r="Q579" i="49"/>
  <c r="AC363" i="49"/>
  <c r="Q495" i="49"/>
  <c r="M184" i="31"/>
  <c r="R33" i="49"/>
  <c r="Z93" i="49"/>
  <c r="Y125" i="31"/>
  <c r="Q78" i="31"/>
  <c r="H475" i="49"/>
  <c r="AC572" i="31"/>
  <c r="L49" i="31"/>
  <c r="J57" i="49"/>
  <c r="Y419" i="49"/>
  <c r="N448" i="49"/>
  <c r="Y394" i="31"/>
  <c r="L15" i="31"/>
  <c r="AC239" i="31"/>
  <c r="G316" i="31"/>
  <c r="N509" i="31"/>
  <c r="P76" i="49"/>
  <c r="X216" i="49"/>
  <c r="Z483" i="49"/>
  <c r="K406" i="31"/>
  <c r="S432" i="49"/>
  <c r="U191" i="49"/>
  <c r="U323" i="49"/>
  <c r="P484" i="49"/>
  <c r="S259" i="49"/>
  <c r="Z526" i="49"/>
  <c r="AA312" i="31"/>
  <c r="Y281" i="49"/>
  <c r="I353" i="49"/>
  <c r="U289" i="31"/>
  <c r="AC551" i="31"/>
  <c r="P546" i="49"/>
  <c r="J618" i="49"/>
  <c r="H422" i="31"/>
  <c r="M10" i="31"/>
  <c r="T402" i="31"/>
  <c r="K227" i="31"/>
  <c r="K193" i="31"/>
  <c r="M103" i="31"/>
  <c r="S166" i="31"/>
  <c r="P446" i="31"/>
  <c r="Z488" i="31"/>
  <c r="AD162" i="31"/>
  <c r="M69" i="31"/>
  <c r="S130" i="31"/>
  <c r="K234" i="49"/>
  <c r="O326" i="49"/>
  <c r="X225" i="49"/>
  <c r="X444" i="31"/>
  <c r="O10" i="49"/>
  <c r="AA411" i="31"/>
  <c r="P451" i="49"/>
  <c r="V223" i="49"/>
  <c r="X448" i="49"/>
  <c r="M470" i="31"/>
  <c r="M564" i="31"/>
  <c r="U485" i="31"/>
  <c r="P419" i="49"/>
  <c r="R329" i="49"/>
  <c r="Z405" i="49"/>
  <c r="I291" i="31"/>
  <c r="U45" i="31"/>
  <c r="AC105" i="31"/>
  <c r="U222" i="31"/>
  <c r="Z581" i="31"/>
  <c r="H583" i="49"/>
  <c r="U146" i="49"/>
  <c r="O221" i="49"/>
  <c r="W287" i="49"/>
  <c r="J437" i="49"/>
  <c r="V224" i="49"/>
  <c r="L320" i="49"/>
  <c r="T19" i="49"/>
  <c r="J605" i="49"/>
  <c r="AD432" i="31"/>
  <c r="AA617" i="31"/>
  <c r="Z41" i="31"/>
  <c r="T447" i="49"/>
  <c r="Z461" i="49"/>
  <c r="Z117" i="49"/>
  <c r="R536" i="49"/>
  <c r="W494" i="49"/>
  <c r="P520" i="49"/>
  <c r="AC218" i="31"/>
  <c r="I567" i="49"/>
  <c r="T363" i="49"/>
  <c r="Q515" i="31"/>
  <c r="U302" i="31"/>
  <c r="N99" i="31"/>
  <c r="Z346" i="31"/>
  <c r="Y563" i="31"/>
  <c r="T149" i="31"/>
  <c r="AB211" i="31"/>
  <c r="K379" i="49"/>
  <c r="L311" i="49"/>
  <c r="U29" i="49"/>
  <c r="AC272" i="49"/>
  <c r="N74" i="49"/>
  <c r="AD268" i="31"/>
  <c r="J115" i="49"/>
  <c r="Z616" i="49"/>
  <c r="Q67" i="49"/>
  <c r="AA572" i="49"/>
  <c r="S264" i="49"/>
  <c r="AD618" i="31"/>
  <c r="U28" i="49"/>
  <c r="Y454" i="49"/>
  <c r="K243" i="49"/>
  <c r="U372" i="49"/>
  <c r="I275" i="31"/>
  <c r="Q488" i="31"/>
  <c r="K501" i="31"/>
  <c r="W138" i="31"/>
  <c r="V558" i="31"/>
  <c r="Y151" i="31"/>
  <c r="AC311" i="31"/>
  <c r="Z226" i="31"/>
  <c r="K396" i="31"/>
  <c r="W548" i="49"/>
  <c r="P212" i="31"/>
  <c r="T277" i="31"/>
  <c r="AC552" i="31"/>
  <c r="AC265" i="31"/>
  <c r="U275" i="31"/>
  <c r="V39" i="49"/>
  <c r="W234" i="31"/>
  <c r="V308" i="49"/>
  <c r="AA241" i="49"/>
  <c r="Y50" i="31"/>
  <c r="Y262" i="49"/>
  <c r="G247" i="31"/>
  <c r="AD380" i="31"/>
  <c r="P411" i="49"/>
  <c r="L431" i="49"/>
  <c r="AA384" i="49"/>
  <c r="AD610" i="31"/>
  <c r="Z349" i="31"/>
  <c r="AB36" i="49"/>
  <c r="T326" i="31"/>
  <c r="AC197" i="49"/>
  <c r="K570" i="31"/>
  <c r="R290" i="49"/>
  <c r="O97" i="49"/>
  <c r="J294" i="49"/>
  <c r="H611" i="31"/>
  <c r="G395" i="31"/>
  <c r="H265" i="49"/>
  <c r="I45" i="49"/>
  <c r="Q222" i="31"/>
  <c r="AA353" i="49"/>
  <c r="O229" i="49"/>
  <c r="R504" i="49"/>
  <c r="M607" i="49"/>
  <c r="AC618" i="49"/>
  <c r="G146" i="49"/>
  <c r="W196" i="49"/>
  <c r="Z397" i="49"/>
  <c r="Y589" i="49"/>
  <c r="S363" i="49"/>
  <c r="AD468" i="49"/>
  <c r="M360" i="49"/>
  <c r="L323" i="49"/>
  <c r="X190" i="49"/>
  <c r="N204" i="31"/>
  <c r="AD250" i="31"/>
  <c r="L217" i="31"/>
  <c r="AB559" i="49"/>
  <c r="K124" i="31"/>
  <c r="AA174" i="31"/>
  <c r="AC249" i="31"/>
  <c r="G189" i="49"/>
  <c r="K596" i="31"/>
  <c r="O494" i="31"/>
  <c r="W533" i="31"/>
  <c r="AA445" i="49"/>
  <c r="U255" i="31"/>
  <c r="AB262" i="49"/>
  <c r="V90" i="49"/>
  <c r="T317" i="31"/>
  <c r="W346" i="49"/>
  <c r="Z501" i="49"/>
  <c r="S45" i="31"/>
  <c r="Y458" i="31"/>
  <c r="I509" i="49"/>
  <c r="N526" i="49"/>
  <c r="K243" i="31"/>
  <c r="J426" i="31"/>
  <c r="I536" i="31"/>
  <c r="M524" i="31"/>
  <c r="AB537" i="31"/>
  <c r="U384" i="31"/>
  <c r="Z403" i="49"/>
  <c r="N266" i="49"/>
  <c r="T134" i="49"/>
  <c r="N197" i="49"/>
  <c r="AD204" i="31"/>
  <c r="T251" i="31"/>
  <c r="T346" i="31"/>
  <c r="X252" i="31"/>
  <c r="AA124" i="31"/>
  <c r="U175" i="31"/>
  <c r="S510" i="49"/>
  <c r="H601" i="31"/>
  <c r="AA201" i="49"/>
  <c r="K471" i="49"/>
  <c r="AC617" i="31"/>
  <c r="Y484" i="31"/>
  <c r="AB23" i="31"/>
  <c r="I327" i="31"/>
  <c r="L192" i="31"/>
  <c r="AA466" i="49"/>
  <c r="Y112" i="49"/>
  <c r="K444" i="31"/>
  <c r="G338" i="31"/>
  <c r="R477" i="31"/>
  <c r="V602" i="31"/>
  <c r="H261" i="31"/>
  <c r="P386" i="31"/>
  <c r="L167" i="49"/>
  <c r="Y458" i="49"/>
  <c r="AC31" i="31"/>
  <c r="K92" i="31"/>
  <c r="U79" i="31"/>
  <c r="R480" i="49"/>
  <c r="Q326" i="31"/>
  <c r="S438" i="49"/>
  <c r="O94" i="49"/>
  <c r="Z196" i="49"/>
  <c r="G145" i="49"/>
  <c r="U432" i="49"/>
  <c r="I252" i="49"/>
  <c r="V180" i="49"/>
  <c r="T99" i="31"/>
  <c r="AD167" i="49"/>
  <c r="M302" i="49"/>
  <c r="O120" i="49"/>
  <c r="P268" i="49"/>
  <c r="W591" i="49"/>
  <c r="H516" i="49"/>
  <c r="S483" i="49"/>
  <c r="U21" i="31"/>
  <c r="Q69" i="49"/>
  <c r="Q248" i="49"/>
  <c r="M330" i="49"/>
  <c r="Q148" i="49"/>
  <c r="U410" i="49"/>
  <c r="M468" i="49"/>
  <c r="V184" i="49"/>
  <c r="K216" i="31"/>
  <c r="AC81" i="31"/>
  <c r="Y270" i="31"/>
  <c r="K512" i="31"/>
  <c r="T601" i="49"/>
  <c r="G477" i="49"/>
  <c r="AD496" i="49"/>
  <c r="S187" i="31"/>
  <c r="G204" i="49"/>
  <c r="Z361" i="31"/>
  <c r="S111" i="49"/>
  <c r="AC172" i="49"/>
  <c r="P517" i="49"/>
  <c r="AC562" i="31"/>
  <c r="V50" i="31"/>
  <c r="P60" i="49"/>
  <c r="Y396" i="49"/>
  <c r="R423" i="49"/>
  <c r="Y331" i="31"/>
  <c r="V16" i="31"/>
  <c r="M241" i="31"/>
  <c r="G294" i="31"/>
  <c r="T512" i="31"/>
  <c r="Z79" i="49"/>
  <c r="V438" i="49"/>
  <c r="I222" i="49"/>
  <c r="V495" i="49"/>
  <c r="L575" i="49"/>
  <c r="T131" i="49"/>
  <c r="AC218" i="49"/>
  <c r="I13" i="49"/>
  <c r="L263" i="49"/>
  <c r="M533" i="49"/>
  <c r="AA292" i="31"/>
  <c r="M283" i="49"/>
  <c r="Q357" i="49"/>
  <c r="U273" i="31"/>
  <c r="AC543" i="31"/>
  <c r="P344" i="49"/>
  <c r="AC582" i="49"/>
  <c r="AB309" i="49"/>
  <c r="P353" i="49"/>
  <c r="AD509" i="31"/>
  <c r="G202" i="49"/>
  <c r="X420" i="49"/>
  <c r="V74" i="31"/>
  <c r="AD134" i="31"/>
  <c r="P385" i="31"/>
  <c r="X493" i="31"/>
  <c r="N164" i="31"/>
  <c r="S70" i="31"/>
  <c r="Z507" i="49"/>
  <c r="R534" i="31"/>
  <c r="H79" i="49"/>
  <c r="AB155" i="31"/>
  <c r="Q237" i="49"/>
  <c r="Y19" i="49"/>
  <c r="K415" i="31"/>
  <c r="P386" i="49"/>
  <c r="X362" i="49"/>
  <c r="I588" i="31"/>
  <c r="M346" i="31"/>
  <c r="M381" i="31"/>
  <c r="U587" i="31"/>
  <c r="G615" i="49"/>
  <c r="H273" i="49"/>
  <c r="AD332" i="49"/>
  <c r="G571" i="49"/>
  <c r="T29" i="31"/>
  <c r="AD88" i="31"/>
  <c r="AA225" i="31"/>
  <c r="AD284" i="49"/>
  <c r="T594" i="49"/>
  <c r="AA149" i="49"/>
  <c r="L143" i="31"/>
  <c r="R560" i="49"/>
  <c r="Y123" i="49"/>
  <c r="AC193" i="31"/>
  <c r="M251" i="31"/>
  <c r="T23" i="49"/>
  <c r="M615" i="49"/>
  <c r="O261" i="31"/>
  <c r="U171" i="31"/>
  <c r="AA230" i="31"/>
  <c r="Q371" i="49"/>
  <c r="K550" i="49"/>
  <c r="J121" i="49"/>
  <c r="Q297" i="31"/>
  <c r="Y493" i="31"/>
  <c r="AD283" i="31"/>
  <c r="K223" i="31"/>
  <c r="N132" i="31"/>
  <c r="T195" i="31"/>
  <c r="Q499" i="31"/>
  <c r="Y607" i="31"/>
  <c r="N103" i="31"/>
  <c r="N352" i="31"/>
  <c r="I564" i="49"/>
  <c r="M323" i="31"/>
  <c r="U572" i="31"/>
  <c r="AC145" i="31"/>
  <c r="M207" i="31"/>
  <c r="AA32" i="49"/>
  <c r="Q575" i="49"/>
  <c r="W278" i="49"/>
  <c r="N272" i="31"/>
  <c r="P118" i="49"/>
  <c r="O607" i="49"/>
  <c r="M480" i="49"/>
  <c r="U572" i="49"/>
  <c r="K268" i="49"/>
  <c r="N261" i="31"/>
  <c r="AA31" i="49"/>
  <c r="O513" i="31"/>
  <c r="V87" i="31"/>
  <c r="S611" i="49"/>
  <c r="I332" i="31"/>
  <c r="Q583" i="31"/>
  <c r="S589" i="31"/>
  <c r="R167" i="31"/>
  <c r="O400" i="31"/>
  <c r="AB257" i="49"/>
  <c r="Y142" i="49"/>
  <c r="S318" i="31"/>
  <c r="L580" i="31"/>
  <c r="N159" i="49"/>
  <c r="O171" i="31"/>
  <c r="S473" i="49"/>
  <c r="G474" i="49"/>
  <c r="R566" i="31"/>
  <c r="V51" i="49"/>
  <c r="W132" i="49"/>
  <c r="T611" i="49"/>
  <c r="L479" i="49"/>
  <c r="U453" i="31"/>
  <c r="AC478" i="31"/>
  <c r="N198" i="31"/>
  <c r="K118" i="31"/>
  <c r="L58" i="49"/>
  <c r="R25" i="31"/>
  <c r="Q339" i="49"/>
  <c r="G99" i="31"/>
  <c r="L549" i="49"/>
  <c r="H545" i="31"/>
  <c r="N42" i="49"/>
  <c r="U406" i="49"/>
  <c r="Y331" i="49"/>
  <c r="N330" i="31"/>
  <c r="AD478" i="49"/>
  <c r="T471" i="31"/>
  <c r="Z465" i="49"/>
  <c r="L443" i="31"/>
  <c r="L163" i="49"/>
  <c r="M386" i="49"/>
  <c r="S175" i="31"/>
  <c r="O83" i="31"/>
  <c r="P50" i="49"/>
  <c r="U41" i="31"/>
  <c r="X68" i="49"/>
  <c r="X521" i="49"/>
  <c r="T240" i="49"/>
  <c r="H443" i="49"/>
  <c r="AD381" i="49"/>
  <c r="Y320" i="31"/>
  <c r="L396" i="31"/>
  <c r="W563" i="31"/>
  <c r="T410" i="31"/>
  <c r="I126" i="31"/>
  <c r="AB217" i="31"/>
  <c r="AB121" i="31"/>
  <c r="J575" i="31"/>
  <c r="V394" i="31"/>
  <c r="T11" i="49"/>
  <c r="R593" i="49"/>
  <c r="P33" i="49"/>
  <c r="X440" i="49"/>
  <c r="L90" i="31"/>
  <c r="W195" i="49"/>
  <c r="J115" i="31"/>
  <c r="AA551" i="31"/>
  <c r="AB547" i="31"/>
  <c r="O543" i="49"/>
  <c r="K31" i="31"/>
  <c r="P45" i="49"/>
  <c r="Y43" i="49"/>
  <c r="T284" i="49"/>
  <c r="AC25" i="49"/>
  <c r="O74" i="49"/>
  <c r="G343" i="31"/>
  <c r="O537" i="31"/>
  <c r="O556" i="31"/>
  <c r="W618" i="31"/>
  <c r="AD200" i="31"/>
  <c r="T65" i="31"/>
  <c r="T247" i="31"/>
  <c r="K36" i="31"/>
  <c r="L58" i="31"/>
  <c r="I577" i="49"/>
  <c r="G426" i="49"/>
  <c r="G511" i="49"/>
  <c r="V426" i="49"/>
  <c r="U17" i="31"/>
  <c r="U28" i="31"/>
  <c r="U342" i="31"/>
  <c r="AC514" i="31"/>
  <c r="V394" i="49"/>
  <c r="R466" i="49"/>
  <c r="R262" i="49"/>
  <c r="O426" i="31"/>
  <c r="T526" i="49"/>
  <c r="Y525" i="49"/>
  <c r="N434" i="49"/>
  <c r="AD224" i="31"/>
  <c r="U13" i="31"/>
  <c r="Z90" i="49"/>
  <c r="S533" i="31"/>
  <c r="W329" i="31"/>
  <c r="AD265" i="31"/>
  <c r="G448" i="49"/>
  <c r="O258" i="49"/>
  <c r="O336" i="49"/>
  <c r="O311" i="31"/>
  <c r="W503" i="31"/>
  <c r="R437" i="31"/>
  <c r="X236" i="49"/>
  <c r="AA184" i="31"/>
  <c r="O543" i="31"/>
  <c r="W613" i="31"/>
  <c r="O517" i="49"/>
  <c r="J410" i="49"/>
  <c r="R173" i="31"/>
  <c r="N84" i="31"/>
  <c r="T145" i="31"/>
  <c r="P154" i="49"/>
  <c r="V86" i="49"/>
  <c r="AA54" i="31"/>
  <c r="K116" i="31"/>
  <c r="V76" i="31"/>
  <c r="AB137" i="31"/>
  <c r="AA67" i="49"/>
  <c r="S138" i="49"/>
  <c r="M308" i="31"/>
  <c r="L55" i="31"/>
  <c r="V116" i="31"/>
  <c r="K523" i="31"/>
  <c r="S294" i="31"/>
  <c r="T332" i="31"/>
  <c r="AC548" i="49"/>
  <c r="R287" i="49"/>
  <c r="K66" i="49"/>
  <c r="L170" i="31"/>
  <c r="Q192" i="49"/>
  <c r="U566" i="49"/>
  <c r="Z335" i="49"/>
  <c r="J303" i="49"/>
  <c r="K512" i="49"/>
  <c r="S344" i="49"/>
  <c r="AD556" i="49"/>
  <c r="R497" i="49"/>
  <c r="X581" i="49"/>
  <c r="T31" i="31"/>
  <c r="AB91" i="31"/>
  <c r="T613" i="31"/>
  <c r="S202" i="31"/>
  <c r="Y265" i="31"/>
  <c r="AA67" i="31"/>
  <c r="R329" i="31"/>
  <c r="W537" i="31"/>
  <c r="Z23" i="31"/>
  <c r="V176" i="31"/>
  <c r="AB235" i="31"/>
  <c r="W466" i="31"/>
  <c r="P36" i="49"/>
  <c r="O265" i="31"/>
  <c r="X282" i="49"/>
  <c r="Z231" i="49"/>
  <c r="J536" i="49"/>
  <c r="I121" i="49"/>
  <c r="H331" i="49"/>
  <c r="Q591" i="31"/>
  <c r="Y535" i="31"/>
  <c r="O206" i="49"/>
  <c r="R610" i="31"/>
  <c r="N134" i="31"/>
  <c r="T197" i="31"/>
  <c r="V365" i="49"/>
  <c r="O521" i="49"/>
  <c r="H302" i="49"/>
  <c r="AD226" i="49"/>
  <c r="V558" i="49"/>
  <c r="S290" i="49"/>
  <c r="V547" i="49"/>
  <c r="T129" i="31"/>
  <c r="AD192" i="31"/>
  <c r="S380" i="31"/>
  <c r="I52" i="49"/>
  <c r="X583" i="31"/>
  <c r="H135" i="49"/>
  <c r="P327" i="49"/>
  <c r="O184" i="49"/>
  <c r="M318" i="49"/>
  <c r="G550" i="31"/>
  <c r="K299" i="31"/>
  <c r="AC181" i="49"/>
  <c r="H394" i="31"/>
  <c r="S86" i="31"/>
  <c r="K285" i="31"/>
  <c r="K310" i="31"/>
  <c r="U606" i="49"/>
  <c r="O479" i="49"/>
  <c r="U128" i="49"/>
  <c r="AC618" i="31"/>
  <c r="V38" i="31"/>
  <c r="T216" i="31"/>
  <c r="AC373" i="31"/>
  <c r="U471" i="49"/>
  <c r="AB325" i="49"/>
  <c r="X317" i="49"/>
  <c r="H383" i="49"/>
  <c r="R603" i="31"/>
  <c r="I601" i="49"/>
  <c r="AD502" i="31"/>
  <c r="Y53" i="31"/>
  <c r="I115" i="31"/>
  <c r="W342" i="49"/>
  <c r="X518" i="31"/>
  <c r="G490" i="31"/>
  <c r="O591" i="31"/>
  <c r="Q525" i="49"/>
  <c r="H48" i="31"/>
  <c r="P229" i="31"/>
  <c r="I17" i="31"/>
  <c r="Q454" i="49"/>
  <c r="AC384" i="31"/>
  <c r="Z288" i="31"/>
  <c r="AD362" i="31"/>
  <c r="J572" i="49"/>
  <c r="K199" i="31"/>
  <c r="AB264" i="31"/>
  <c r="U509" i="49"/>
  <c r="O234" i="31"/>
  <c r="AB259" i="31"/>
  <c r="Z324" i="31"/>
  <c r="M275" i="31"/>
  <c r="AA562" i="31"/>
  <c r="S95" i="31"/>
  <c r="AA159" i="31"/>
  <c r="W566" i="49"/>
  <c r="K164" i="49"/>
  <c r="Z184" i="31"/>
  <c r="J251" i="31"/>
  <c r="P434" i="31"/>
  <c r="X616" i="31"/>
  <c r="P92" i="49"/>
  <c r="X152" i="49"/>
  <c r="K594" i="31"/>
  <c r="M50" i="31"/>
  <c r="T489" i="49"/>
  <c r="AB545" i="49"/>
  <c r="H92" i="31"/>
  <c r="O431" i="31"/>
  <c r="W394" i="49"/>
  <c r="J53" i="49"/>
  <c r="O218" i="31"/>
  <c r="W546" i="49"/>
  <c r="Q92" i="31"/>
  <c r="L419" i="31"/>
  <c r="AB552" i="31"/>
  <c r="V195" i="31"/>
  <c r="Z536" i="49"/>
  <c r="U65" i="49"/>
  <c r="T325" i="31"/>
  <c r="Z357" i="31"/>
  <c r="N252" i="31"/>
  <c r="AD470" i="31"/>
  <c r="AC352" i="31"/>
  <c r="X289" i="31"/>
  <c r="M386" i="31"/>
  <c r="L475" i="49"/>
  <c r="J578" i="31"/>
  <c r="Z533" i="49"/>
  <c r="H352" i="49"/>
  <c r="P223" i="31"/>
  <c r="T206" i="31"/>
  <c r="V311" i="49"/>
  <c r="Q276" i="49"/>
  <c r="T104" i="49"/>
  <c r="O489" i="49"/>
  <c r="Z292" i="49"/>
  <c r="N135" i="31"/>
  <c r="X61" i="49"/>
  <c r="K201" i="31"/>
  <c r="AD491" i="31"/>
  <c r="U337" i="31"/>
  <c r="AD298" i="49"/>
  <c r="R595" i="31"/>
  <c r="P94" i="49"/>
  <c r="U511" i="31"/>
  <c r="P556" i="49"/>
  <c r="U457" i="31"/>
  <c r="J106" i="49"/>
  <c r="AC591" i="31"/>
  <c r="Q308" i="31"/>
  <c r="AD198" i="31"/>
  <c r="AD100" i="31"/>
  <c r="AA118" i="31"/>
  <c r="AA22" i="31"/>
  <c r="G359" i="31"/>
  <c r="W159" i="49"/>
  <c r="I187" i="49"/>
  <c r="T218" i="49"/>
  <c r="R550" i="49"/>
  <c r="Y250" i="49"/>
  <c r="N224" i="31"/>
  <c r="Q27" i="49"/>
  <c r="S598" i="49"/>
  <c r="Q534" i="49"/>
  <c r="AD516" i="49"/>
  <c r="AB143" i="31"/>
  <c r="U115" i="31"/>
  <c r="J498" i="31"/>
  <c r="K544" i="31"/>
  <c r="V285" i="49"/>
  <c r="Y535" i="49"/>
  <c r="AC343" i="49"/>
  <c r="AD30" i="31"/>
  <c r="Q264" i="31"/>
  <c r="J23" i="31"/>
  <c r="K479" i="31"/>
  <c r="W372" i="49"/>
  <c r="Y473" i="31"/>
  <c r="AD196" i="31"/>
  <c r="R360" i="31"/>
  <c r="H304" i="49"/>
  <c r="K280" i="49"/>
  <c r="N480" i="49"/>
  <c r="M36" i="49"/>
  <c r="W583" i="49"/>
  <c r="Z305" i="49"/>
  <c r="Z396" i="49"/>
  <c r="R468" i="49"/>
  <c r="X280" i="49"/>
  <c r="S44" i="49"/>
  <c r="X465" i="31"/>
  <c r="V508" i="31"/>
  <c r="L298" i="31"/>
  <c r="J283" i="31"/>
  <c r="R363" i="31"/>
  <c r="AA405" i="31"/>
  <c r="P323" i="31"/>
  <c r="S453" i="31"/>
  <c r="R526" i="31"/>
  <c r="H166" i="49"/>
  <c r="AA235" i="49"/>
  <c r="S283" i="31"/>
  <c r="S608" i="31"/>
  <c r="W475" i="31"/>
  <c r="O285" i="49"/>
  <c r="M48" i="31"/>
  <c r="K244" i="49"/>
  <c r="K330" i="49"/>
  <c r="Z155" i="31"/>
  <c r="Z229" i="31"/>
  <c r="H285" i="49"/>
  <c r="M304" i="31"/>
  <c r="AB566" i="49"/>
  <c r="K191" i="49"/>
  <c r="AD341" i="49"/>
  <c r="AC75" i="49"/>
  <c r="M137" i="49"/>
  <c r="H271" i="31"/>
  <c r="V78" i="31"/>
  <c r="AB139" i="31"/>
  <c r="AD486" i="31"/>
  <c r="K439" i="49"/>
  <c r="K50" i="31"/>
  <c r="U111" i="31"/>
  <c r="J317" i="31"/>
  <c r="J402" i="31"/>
  <c r="H103" i="31"/>
  <c r="R103" i="31"/>
  <c r="Y322" i="49"/>
  <c r="AD589" i="49"/>
  <c r="Z242" i="49"/>
  <c r="S77" i="31"/>
  <c r="AC138" i="31"/>
  <c r="G290" i="49"/>
  <c r="U546" i="49"/>
  <c r="Z275" i="49"/>
  <c r="J175" i="49"/>
  <c r="T111" i="49"/>
  <c r="J452" i="49"/>
  <c r="J465" i="49"/>
  <c r="H597" i="31"/>
  <c r="Q443" i="49"/>
  <c r="W15" i="31"/>
  <c r="Z259" i="31"/>
  <c r="G406" i="31"/>
  <c r="AB311" i="31"/>
  <c r="R415" i="31"/>
  <c r="S424" i="49"/>
  <c r="H34" i="49"/>
  <c r="Y77" i="31"/>
  <c r="I72" i="49"/>
  <c r="R608" i="31"/>
  <c r="AA84" i="49"/>
  <c r="N193" i="31"/>
  <c r="M241" i="49"/>
  <c r="M42" i="49"/>
  <c r="U102" i="49"/>
  <c r="AC90" i="49"/>
  <c r="K151" i="49"/>
  <c r="T374" i="49"/>
  <c r="W205" i="49"/>
  <c r="AB368" i="49"/>
  <c r="M58" i="49"/>
  <c r="P147" i="49"/>
  <c r="L220" i="49"/>
  <c r="M270" i="31"/>
  <c r="Q349" i="49"/>
  <c r="I607" i="49"/>
  <c r="U86" i="31"/>
  <c r="P352" i="31"/>
  <c r="I581" i="31"/>
  <c r="Q575" i="31"/>
  <c r="W360" i="31"/>
  <c r="AA441" i="31"/>
  <c r="U593" i="31"/>
  <c r="O495" i="31"/>
  <c r="M117" i="49"/>
  <c r="O311" i="49"/>
  <c r="Y378" i="49"/>
  <c r="J229" i="31"/>
  <c r="H412" i="31"/>
  <c r="T154" i="49"/>
  <c r="G518" i="31"/>
  <c r="O594" i="31"/>
  <c r="W447" i="49"/>
  <c r="I396" i="49"/>
  <c r="R61" i="31"/>
  <c r="AC578" i="49"/>
  <c r="M116" i="49"/>
  <c r="S179" i="49"/>
  <c r="T148" i="31"/>
  <c r="V433" i="31"/>
  <c r="AC118" i="31"/>
  <c r="Y384" i="31"/>
  <c r="I457" i="31"/>
  <c r="L401" i="31"/>
  <c r="L534" i="31"/>
  <c r="H163" i="31"/>
  <c r="AC477" i="31"/>
  <c r="V44" i="31"/>
  <c r="H161" i="49"/>
  <c r="J348" i="49"/>
  <c r="T227" i="31"/>
  <c r="K16" i="31"/>
  <c r="I497" i="49"/>
  <c r="K585" i="49"/>
  <c r="N305" i="31"/>
  <c r="AA543" i="49"/>
  <c r="J15" i="49"/>
  <c r="AB198" i="49"/>
  <c r="H411" i="49"/>
  <c r="Q447" i="49"/>
  <c r="AC433" i="49"/>
  <c r="Y70" i="31"/>
  <c r="U319" i="49"/>
  <c r="Z474" i="49"/>
  <c r="N237" i="31"/>
  <c r="Q309" i="49"/>
  <c r="Z272" i="49"/>
  <c r="J338" i="49"/>
  <c r="P337" i="49"/>
  <c r="R479" i="49"/>
  <c r="Z607" i="31"/>
  <c r="G603" i="49"/>
  <c r="T284" i="31"/>
  <c r="J365" i="31"/>
  <c r="H201" i="31"/>
  <c r="G25" i="31"/>
  <c r="K431" i="49"/>
  <c r="AA418" i="49"/>
  <c r="Y171" i="31"/>
  <c r="AD285" i="31"/>
  <c r="M448" i="31"/>
  <c r="J520" i="31"/>
  <c r="P97" i="31"/>
  <c r="S43" i="49"/>
  <c r="AA339" i="31"/>
  <c r="X309" i="31"/>
  <c r="V411" i="31"/>
  <c r="M407" i="49"/>
  <c r="V450" i="49"/>
  <c r="P464" i="49"/>
  <c r="Z217" i="49"/>
  <c r="J368" i="49"/>
  <c r="AC503" i="31"/>
  <c r="Z42" i="31"/>
  <c r="P21" i="49"/>
  <c r="H253" i="31"/>
  <c r="M116" i="31"/>
  <c r="S179" i="31"/>
  <c r="Z589" i="49"/>
  <c r="V359" i="31"/>
  <c r="AC445" i="49"/>
  <c r="V230" i="49"/>
  <c r="AD312" i="49"/>
  <c r="AD522" i="31"/>
  <c r="W486" i="31"/>
  <c r="V17" i="31"/>
  <c r="AD596" i="49"/>
  <c r="P283" i="31"/>
  <c r="X234" i="31"/>
  <c r="H279" i="31"/>
  <c r="I575" i="49"/>
  <c r="P400" i="31"/>
  <c r="P12" i="49"/>
  <c r="X70" i="49"/>
  <c r="I237" i="31"/>
  <c r="R281" i="49"/>
  <c r="V537" i="49"/>
  <c r="O151" i="49"/>
  <c r="X224" i="49"/>
  <c r="AD404" i="31"/>
  <c r="G380" i="31"/>
  <c r="W453" i="31"/>
  <c r="G115" i="49"/>
  <c r="P172" i="49"/>
  <c r="N406" i="31"/>
  <c r="U615" i="31"/>
  <c r="N367" i="49"/>
  <c r="Y203" i="31"/>
  <c r="Z220" i="31"/>
  <c r="W69" i="49"/>
  <c r="H17" i="31"/>
  <c r="P463" i="31"/>
  <c r="H97" i="49"/>
  <c r="I385" i="49"/>
  <c r="J67" i="31"/>
  <c r="R40" i="31"/>
  <c r="G101" i="31"/>
  <c r="U495" i="49"/>
  <c r="AA369" i="49"/>
  <c r="M570" i="49"/>
  <c r="AA563" i="49"/>
  <c r="J596" i="31"/>
  <c r="V112" i="31"/>
  <c r="S32" i="31"/>
  <c r="M227" i="31"/>
  <c r="N495" i="49"/>
  <c r="O610" i="49"/>
  <c r="I577" i="31"/>
  <c r="S582" i="49"/>
  <c r="AC221" i="31"/>
  <c r="O248" i="31"/>
  <c r="T85" i="49"/>
  <c r="G346" i="49"/>
  <c r="Q583" i="49"/>
  <c r="Y509" i="49"/>
  <c r="S568" i="49"/>
  <c r="I475" i="31"/>
  <c r="AB425" i="49"/>
  <c r="V10" i="31"/>
  <c r="U532" i="31"/>
  <c r="AA330" i="31"/>
  <c r="O384" i="49"/>
  <c r="J408" i="49"/>
  <c r="AC403" i="49"/>
  <c r="AC424" i="31"/>
  <c r="P422" i="49"/>
  <c r="U221" i="49"/>
  <c r="AD555" i="49"/>
  <c r="U162" i="49"/>
  <c r="S230" i="49"/>
  <c r="J427" i="49"/>
  <c r="R518" i="31"/>
  <c r="AD558" i="49"/>
  <c r="M253" i="31"/>
  <c r="H404" i="31"/>
  <c r="P192" i="31"/>
  <c r="L281" i="31"/>
  <c r="L335" i="49"/>
  <c r="AA410" i="49"/>
  <c r="W32" i="49"/>
  <c r="Q81" i="49"/>
  <c r="P218" i="49"/>
  <c r="P202" i="49"/>
  <c r="X239" i="49"/>
  <c r="K285" i="49"/>
  <c r="G325" i="31"/>
  <c r="H289" i="31"/>
  <c r="AB290" i="49"/>
  <c r="V507" i="49"/>
  <c r="O564" i="49"/>
  <c r="AD524" i="49"/>
  <c r="Z432" i="49"/>
  <c r="V29" i="31"/>
  <c r="N318" i="49"/>
  <c r="M255" i="49"/>
  <c r="Y110" i="49"/>
  <c r="P470" i="31"/>
  <c r="W370" i="31"/>
  <c r="X480" i="31"/>
  <c r="G69" i="49"/>
  <c r="H573" i="31"/>
  <c r="Y25" i="49"/>
  <c r="N142" i="49"/>
  <c r="U457" i="49"/>
  <c r="T421" i="49"/>
  <c r="Z427" i="49"/>
  <c r="T408" i="49"/>
  <c r="I526" i="31"/>
  <c r="AD508" i="49"/>
  <c r="L225" i="49"/>
  <c r="Y75" i="49"/>
  <c r="V174" i="49"/>
  <c r="U613" i="31"/>
  <c r="Y552" i="31"/>
  <c r="Y291" i="31"/>
  <c r="V18" i="31"/>
  <c r="I495" i="31"/>
  <c r="S497" i="49"/>
  <c r="S275" i="49"/>
  <c r="W100" i="49"/>
  <c r="N102" i="31"/>
  <c r="T165" i="31"/>
  <c r="AD150" i="31"/>
  <c r="L213" i="31"/>
  <c r="AC304" i="31"/>
  <c r="R86" i="49"/>
  <c r="M246" i="49"/>
  <c r="U308" i="49"/>
  <c r="K24" i="31"/>
  <c r="S84" i="31"/>
  <c r="AA72" i="31"/>
  <c r="M133" i="31"/>
  <c r="AD202" i="31"/>
  <c r="T67" i="31"/>
  <c r="T249" i="31"/>
  <c r="K38" i="31"/>
  <c r="H596" i="49"/>
  <c r="I124" i="49"/>
  <c r="AD500" i="49"/>
  <c r="P405" i="49"/>
  <c r="N403" i="49"/>
  <c r="X374" i="31"/>
  <c r="S121" i="49"/>
  <c r="U312" i="31"/>
  <c r="AC488" i="31"/>
  <c r="W312" i="49"/>
  <c r="AC385" i="49"/>
  <c r="P72" i="49"/>
  <c r="AC446" i="49"/>
  <c r="O72" i="49"/>
  <c r="V504" i="49"/>
  <c r="AD258" i="49"/>
  <c r="U486" i="31"/>
  <c r="AC289" i="31"/>
  <c r="T522" i="31"/>
  <c r="W152" i="49"/>
  <c r="G490" i="49"/>
  <c r="M411" i="49"/>
  <c r="V499" i="49"/>
  <c r="AD273" i="49"/>
  <c r="L65" i="49"/>
  <c r="K96" i="31"/>
  <c r="S160" i="31"/>
  <c r="J580" i="49"/>
  <c r="M537" i="49"/>
  <c r="T167" i="31"/>
  <c r="AA74" i="31"/>
  <c r="M135" i="31"/>
  <c r="K250" i="49"/>
  <c r="O332" i="49"/>
  <c r="P496" i="49"/>
  <c r="X400" i="49"/>
  <c r="I544" i="31"/>
  <c r="P367" i="49"/>
  <c r="AD519" i="31"/>
  <c r="AB25" i="31"/>
  <c r="N86" i="31"/>
  <c r="P450" i="49"/>
  <c r="M479" i="31"/>
  <c r="T367" i="31"/>
  <c r="J510" i="31"/>
  <c r="J343" i="49"/>
  <c r="Z411" i="49"/>
  <c r="I492" i="31"/>
  <c r="K52" i="31"/>
  <c r="U113" i="31"/>
  <c r="Y247" i="49"/>
  <c r="AA505" i="31"/>
  <c r="X68" i="31"/>
  <c r="M426" i="31"/>
  <c r="P588" i="49"/>
  <c r="O123" i="31"/>
  <c r="Q145" i="49"/>
  <c r="AB533" i="49"/>
  <c r="K251" i="49"/>
  <c r="S383" i="49"/>
  <c r="S400" i="31"/>
  <c r="G602" i="31"/>
  <c r="AA520" i="31"/>
  <c r="R49" i="31"/>
  <c r="J456" i="49"/>
  <c r="R467" i="49"/>
  <c r="K239" i="31"/>
  <c r="V174" i="31"/>
  <c r="AB233" i="31"/>
  <c r="AA163" i="49"/>
  <c r="P243" i="49"/>
  <c r="K142" i="31"/>
  <c r="S204" i="31"/>
  <c r="V180" i="31"/>
  <c r="AB237" i="31"/>
  <c r="T37" i="49"/>
  <c r="Z206" i="49"/>
  <c r="Y322" i="31"/>
  <c r="L155" i="31"/>
  <c r="V216" i="31"/>
  <c r="W310" i="31"/>
  <c r="T20" i="31"/>
  <c r="H132" i="49"/>
  <c r="N361" i="49"/>
  <c r="AA520" i="49"/>
  <c r="W559" i="49"/>
  <c r="G235" i="31"/>
  <c r="I552" i="31"/>
  <c r="Q504" i="31"/>
  <c r="S303" i="49"/>
  <c r="I496" i="49"/>
  <c r="L118" i="31"/>
  <c r="J378" i="31"/>
  <c r="S304" i="49"/>
  <c r="Z311" i="49"/>
  <c r="M514" i="49"/>
  <c r="AA40" i="31"/>
  <c r="AA140" i="31"/>
  <c r="AC43" i="49"/>
  <c r="G566" i="31"/>
  <c r="K331" i="31"/>
  <c r="V282" i="31"/>
  <c r="R129" i="49"/>
  <c r="T56" i="31"/>
  <c r="N576" i="49"/>
  <c r="AD373" i="31"/>
  <c r="M63" i="31"/>
  <c r="J275" i="31"/>
  <c r="AC42" i="49"/>
  <c r="G375" i="31"/>
  <c r="Z11" i="31"/>
  <c r="X82" i="31"/>
  <c r="K275" i="31"/>
  <c r="U494" i="49"/>
  <c r="I241" i="31"/>
  <c r="G505" i="49"/>
  <c r="AC220" i="49"/>
  <c r="O437" i="49"/>
  <c r="L110" i="49"/>
  <c r="J473" i="49"/>
  <c r="I24" i="31"/>
  <c r="AC413" i="31"/>
  <c r="O28" i="31"/>
  <c r="AC272" i="31"/>
  <c r="V428" i="49"/>
  <c r="AA583" i="49"/>
  <c r="O73" i="49"/>
  <c r="AA180" i="49"/>
  <c r="R52" i="31"/>
  <c r="Q616" i="31"/>
  <c r="P412" i="31"/>
  <c r="P422" i="31"/>
  <c r="I170" i="31"/>
  <c r="K422" i="31"/>
  <c r="P19" i="49"/>
  <c r="U183" i="49"/>
  <c r="X305" i="31"/>
  <c r="AD87" i="49"/>
  <c r="AB575" i="31"/>
  <c r="R289" i="31"/>
  <c r="AB562" i="31"/>
  <c r="Q141" i="31"/>
  <c r="I379" i="49"/>
  <c r="N294" i="49"/>
  <c r="Q206" i="31"/>
  <c r="P597" i="49"/>
  <c r="P496" i="31"/>
  <c r="Q41" i="31"/>
  <c r="AD386" i="31"/>
  <c r="R532" i="49"/>
  <c r="T303" i="49"/>
  <c r="V427" i="49"/>
  <c r="U368" i="49"/>
  <c r="AA248" i="49"/>
  <c r="Y13" i="49"/>
  <c r="AD512" i="31"/>
  <c r="AD230" i="49"/>
  <c r="W160" i="49"/>
  <c r="P207" i="49"/>
  <c r="Z202" i="31"/>
  <c r="I593" i="49"/>
  <c r="Q198" i="31"/>
  <c r="AB12" i="49"/>
  <c r="X598" i="31"/>
  <c r="Q605" i="49"/>
  <c r="V13" i="49"/>
  <c r="O42" i="49"/>
  <c r="I91" i="49"/>
  <c r="AD501" i="49"/>
  <c r="X210" i="49"/>
  <c r="AA247" i="49"/>
  <c r="AC296" i="49"/>
  <c r="I467" i="49"/>
  <c r="M276" i="31"/>
  <c r="AA503" i="49"/>
  <c r="M586" i="49"/>
  <c r="L134" i="31"/>
  <c r="G205" i="31"/>
  <c r="N433" i="31"/>
  <c r="I210" i="31"/>
  <c r="I463" i="49"/>
  <c r="M409" i="31"/>
  <c r="T430" i="49"/>
  <c r="AB418" i="49"/>
  <c r="P362" i="31"/>
  <c r="AD330" i="31"/>
  <c r="W131" i="49"/>
  <c r="O183" i="49"/>
  <c r="O450" i="49"/>
  <c r="R472" i="31"/>
  <c r="I450" i="49"/>
  <c r="Q395" i="49"/>
  <c r="W415" i="31"/>
  <c r="Y212" i="31"/>
  <c r="K488" i="31"/>
  <c r="J603" i="31"/>
  <c r="G63" i="31"/>
  <c r="L14" i="49"/>
  <c r="I43" i="49"/>
  <c r="Y91" i="49"/>
  <c r="AC262" i="31"/>
  <c r="Y213" i="49"/>
  <c r="K247" i="49"/>
  <c r="S297" i="49"/>
  <c r="G303" i="31"/>
  <c r="R150" i="49"/>
  <c r="AC288" i="31"/>
  <c r="O581" i="49"/>
  <c r="K298" i="49"/>
  <c r="S284" i="49"/>
  <c r="W358" i="49"/>
  <c r="N31" i="31"/>
  <c r="T319" i="49"/>
  <c r="O560" i="49"/>
  <c r="G243" i="31"/>
  <c r="P379" i="31"/>
  <c r="V372" i="31"/>
  <c r="H49" i="49"/>
  <c r="P575" i="31"/>
  <c r="J84" i="49"/>
  <c r="AA255" i="49"/>
  <c r="X143" i="49"/>
  <c r="U427" i="49"/>
  <c r="H423" i="49"/>
  <c r="R433" i="49"/>
  <c r="L410" i="49"/>
  <c r="I510" i="31"/>
  <c r="M582" i="49"/>
  <c r="H508" i="49"/>
  <c r="I77" i="49"/>
  <c r="P181" i="49"/>
  <c r="U595" i="31"/>
  <c r="Y544" i="31"/>
  <c r="Y275" i="31"/>
  <c r="AB19" i="31"/>
  <c r="O567" i="49"/>
  <c r="N346" i="49"/>
  <c r="AA277" i="49"/>
  <c r="L473" i="31"/>
  <c r="T103" i="31"/>
  <c r="AD166" i="31"/>
  <c r="N152" i="31"/>
  <c r="V214" i="31"/>
  <c r="R424" i="49"/>
  <c r="I53" i="49"/>
  <c r="Q461" i="49"/>
  <c r="Z444" i="31"/>
  <c r="U25" i="31"/>
  <c r="AC85" i="31"/>
  <c r="K74" i="31"/>
  <c r="AC532" i="49"/>
  <c r="U602" i="31"/>
  <c r="Z437" i="49"/>
  <c r="Y518" i="31"/>
  <c r="L21" i="31"/>
  <c r="AC245" i="31"/>
  <c r="G501" i="31"/>
  <c r="M502" i="49"/>
  <c r="AC309" i="49"/>
  <c r="I383" i="49"/>
  <c r="X380" i="31"/>
  <c r="AC124" i="49"/>
  <c r="V515" i="49"/>
  <c r="Z406" i="49"/>
  <c r="Q317" i="49"/>
  <c r="Z470" i="49"/>
  <c r="Z75" i="49"/>
  <c r="AC424" i="49"/>
  <c r="AA563" i="31"/>
  <c r="M289" i="49"/>
  <c r="O362" i="49"/>
  <c r="U585" i="31"/>
  <c r="AC273" i="31"/>
  <c r="AD525" i="31"/>
  <c r="U93" i="31"/>
  <c r="AA154" i="31"/>
  <c r="M278" i="49"/>
  <c r="O501" i="49"/>
  <c r="K563" i="31"/>
  <c r="S486" i="31"/>
  <c r="V272" i="49"/>
  <c r="P296" i="49"/>
  <c r="J486" i="49"/>
  <c r="Q554" i="49"/>
  <c r="AB169" i="31"/>
  <c r="K76" i="31"/>
  <c r="U137" i="31"/>
  <c r="W252" i="49"/>
  <c r="I335" i="49"/>
  <c r="T420" i="49"/>
  <c r="N447" i="49"/>
  <c r="M515" i="31"/>
  <c r="Z370" i="49"/>
  <c r="N523" i="31"/>
  <c r="N28" i="31"/>
  <c r="T87" i="31"/>
  <c r="AD437" i="49"/>
  <c r="S254" i="49"/>
  <c r="X452" i="31"/>
  <c r="J514" i="31"/>
  <c r="V345" i="49"/>
  <c r="R413" i="49"/>
  <c r="I472" i="31"/>
  <c r="AD385" i="31"/>
  <c r="K573" i="31"/>
  <c r="N249" i="49"/>
  <c r="AA489" i="31"/>
  <c r="P70" i="31"/>
  <c r="U430" i="31"/>
  <c r="P492" i="49"/>
  <c r="G131" i="31"/>
  <c r="V33" i="31"/>
  <c r="S570" i="49"/>
  <c r="Z91" i="31"/>
  <c r="Q612" i="49"/>
  <c r="R187" i="31"/>
  <c r="T24" i="31"/>
  <c r="V241" i="31"/>
  <c r="L424" i="31"/>
  <c r="X277" i="31"/>
  <c r="P345" i="31"/>
  <c r="V409" i="49"/>
  <c r="AB175" i="31"/>
  <c r="L235" i="31"/>
  <c r="K167" i="49"/>
  <c r="T205" i="31"/>
  <c r="H414" i="49"/>
  <c r="I110" i="49"/>
  <c r="Q363" i="31"/>
  <c r="Y517" i="31"/>
  <c r="T41" i="49"/>
  <c r="Z216" i="49"/>
  <c r="AA461" i="31"/>
  <c r="Z414" i="31"/>
  <c r="X550" i="31"/>
  <c r="X548" i="49"/>
  <c r="K27" i="49"/>
  <c r="AA592" i="31"/>
  <c r="U292" i="49"/>
  <c r="S493" i="49"/>
  <c r="G607" i="31"/>
  <c r="I240" i="31"/>
  <c r="K580" i="49"/>
  <c r="Y367" i="49"/>
  <c r="AC574" i="49"/>
  <c r="S276" i="49"/>
  <c r="L122" i="31"/>
  <c r="R386" i="31"/>
  <c r="U198" i="49"/>
  <c r="Q246" i="49"/>
  <c r="AC216" i="49"/>
  <c r="AB535" i="49"/>
  <c r="W343" i="49"/>
  <c r="W417" i="31"/>
  <c r="U292" i="31"/>
  <c r="U59" i="31"/>
  <c r="L287" i="31"/>
  <c r="X132" i="49"/>
  <c r="S242" i="31"/>
  <c r="G276" i="31"/>
  <c r="AB425" i="31"/>
  <c r="S64" i="31"/>
  <c r="J279" i="31"/>
  <c r="M48" i="49"/>
  <c r="V592" i="49"/>
  <c r="AD438" i="49"/>
  <c r="AC571" i="49"/>
  <c r="AA287" i="31"/>
  <c r="I425" i="31"/>
  <c r="G349" i="49"/>
  <c r="R385" i="31"/>
  <c r="L52" i="49"/>
  <c r="AA579" i="49"/>
  <c r="N270" i="49"/>
  <c r="J102" i="31"/>
  <c r="Z574" i="49"/>
  <c r="AD307" i="49"/>
  <c r="X523" i="31"/>
  <c r="AB583" i="31"/>
  <c r="L564" i="31"/>
  <c r="L74" i="49"/>
  <c r="T275" i="49"/>
  <c r="AC243" i="49"/>
  <c r="N330" i="49"/>
  <c r="Z283" i="49"/>
  <c r="J34" i="49"/>
  <c r="L51" i="31"/>
  <c r="AD244" i="31"/>
  <c r="AC167" i="31"/>
  <c r="AD276" i="49"/>
  <c r="V83" i="31"/>
  <c r="R489" i="49"/>
  <c r="AD384" i="49"/>
  <c r="X310" i="49"/>
  <c r="M433" i="31"/>
  <c r="R594" i="31"/>
  <c r="Q70" i="49"/>
  <c r="I184" i="49"/>
  <c r="P547" i="31"/>
  <c r="M298" i="49"/>
  <c r="Z30" i="49"/>
  <c r="O187" i="49"/>
  <c r="Q160" i="49"/>
  <c r="G148" i="49"/>
  <c r="I563" i="31"/>
  <c r="Z25" i="49"/>
  <c r="H618" i="49"/>
  <c r="Y466" i="49"/>
  <c r="V65" i="31"/>
  <c r="M211" i="49"/>
  <c r="AC183" i="49"/>
  <c r="R513" i="49"/>
  <c r="L231" i="31"/>
  <c r="H612" i="31"/>
  <c r="S185" i="31"/>
  <c r="X477" i="31"/>
  <c r="G519" i="49"/>
  <c r="Z462" i="31"/>
  <c r="AD106" i="31"/>
  <c r="AB13" i="31"/>
  <c r="K379" i="31"/>
  <c r="Y232" i="49"/>
  <c r="J595" i="49"/>
  <c r="K322" i="31"/>
  <c r="AB37" i="31"/>
  <c r="U535" i="49"/>
  <c r="X426" i="31"/>
  <c r="Z338" i="31"/>
  <c r="J245" i="49"/>
  <c r="J500" i="31"/>
  <c r="J583" i="31"/>
  <c r="AC20" i="49"/>
  <c r="L123" i="31"/>
  <c r="J305" i="49"/>
  <c r="AC588" i="31"/>
  <c r="V40" i="31"/>
  <c r="X330" i="49"/>
  <c r="M41" i="49"/>
  <c r="Z456" i="31"/>
  <c r="L11" i="31"/>
  <c r="T69" i="31"/>
  <c r="AB57" i="31"/>
  <c r="L119" i="31"/>
  <c r="U402" i="31"/>
  <c r="H319" i="31"/>
  <c r="M450" i="31"/>
  <c r="R522" i="31"/>
  <c r="X162" i="49"/>
  <c r="K231" i="49"/>
  <c r="K281" i="31"/>
  <c r="X21" i="49"/>
  <c r="Y15" i="49"/>
  <c r="AA76" i="31"/>
  <c r="AC42" i="31"/>
  <c r="AD473" i="49"/>
  <c r="V593" i="49"/>
  <c r="S595" i="31"/>
  <c r="W365" i="31"/>
  <c r="X281" i="49"/>
  <c r="Y443" i="31"/>
  <c r="AB308" i="49"/>
  <c r="AC186" i="49"/>
  <c r="H272" i="49"/>
  <c r="S72" i="49"/>
  <c r="AA132" i="49"/>
  <c r="R270" i="31"/>
  <c r="L77" i="31"/>
  <c r="V138" i="31"/>
  <c r="AB395" i="31"/>
  <c r="K461" i="49"/>
  <c r="AA48" i="31"/>
  <c r="K110" i="31"/>
  <c r="N82" i="31"/>
  <c r="V142" i="31"/>
  <c r="Z465" i="31"/>
  <c r="M265" i="49"/>
  <c r="Q318" i="49"/>
  <c r="Q588" i="49"/>
  <c r="R234" i="49"/>
  <c r="M74" i="31"/>
  <c r="U134" i="31"/>
  <c r="U285" i="49"/>
  <c r="AA546" i="49"/>
  <c r="X613" i="49"/>
  <c r="Z171" i="49"/>
  <c r="V104" i="49"/>
  <c r="AD448" i="49"/>
  <c r="R463" i="49"/>
  <c r="O547" i="49"/>
  <c r="J283" i="49"/>
  <c r="K83" i="49"/>
  <c r="AA152" i="49"/>
  <c r="Y401" i="31"/>
  <c r="N308" i="31"/>
  <c r="J409" i="31"/>
  <c r="S446" i="49"/>
  <c r="X30" i="49"/>
  <c r="O74" i="31"/>
  <c r="S196" i="31"/>
  <c r="AC253" i="31"/>
  <c r="U81" i="49"/>
  <c r="N189" i="31"/>
  <c r="M245" i="49"/>
  <c r="AC38" i="49"/>
  <c r="K99" i="49"/>
  <c r="U86" i="49"/>
  <c r="AA147" i="49"/>
  <c r="T497" i="49"/>
  <c r="N203" i="49"/>
  <c r="AB494" i="49"/>
  <c r="AC54" i="49"/>
  <c r="R142" i="49"/>
  <c r="M215" i="49"/>
  <c r="M264" i="31"/>
  <c r="Q534" i="31"/>
  <c r="Y596" i="31"/>
  <c r="K83" i="31"/>
  <c r="P348" i="31"/>
  <c r="N128" i="31"/>
  <c r="T191" i="31"/>
  <c r="Q357" i="31"/>
  <c r="U438" i="31"/>
  <c r="U601" i="31"/>
  <c r="O503" i="31"/>
  <c r="AC113" i="49"/>
  <c r="I308" i="49"/>
  <c r="O373" i="49"/>
  <c r="H224" i="31"/>
  <c r="H456" i="31"/>
  <c r="L150" i="49"/>
  <c r="O573" i="49"/>
  <c r="O274" i="49"/>
  <c r="W468" i="49"/>
  <c r="I419" i="49"/>
  <c r="AA606" i="49"/>
  <c r="K478" i="49"/>
  <c r="AC112" i="49"/>
  <c r="M174" i="49"/>
  <c r="Z147" i="31"/>
  <c r="AD431" i="31"/>
  <c r="S115" i="31"/>
  <c r="Q374" i="31"/>
  <c r="Y453" i="31"/>
  <c r="L395" i="31"/>
  <c r="T467" i="31"/>
  <c r="X159" i="31"/>
  <c r="AD353" i="31"/>
  <c r="U61" i="31"/>
  <c r="J154" i="49"/>
  <c r="X343" i="49"/>
  <c r="N548" i="31"/>
  <c r="Z88" i="49"/>
  <c r="AA496" i="49"/>
  <c r="L579" i="49"/>
  <c r="P304" i="31"/>
  <c r="P533" i="49"/>
  <c r="Z11" i="49"/>
  <c r="N195" i="49"/>
  <c r="H430" i="49"/>
  <c r="Q468" i="49"/>
  <c r="AC454" i="49"/>
  <c r="O67" i="31"/>
  <c r="U588" i="49"/>
  <c r="T317" i="49"/>
  <c r="AD233" i="31"/>
  <c r="W304" i="49"/>
  <c r="R266" i="49"/>
  <c r="Z334" i="49"/>
  <c r="J334" i="49"/>
  <c r="AD455" i="49"/>
  <c r="J607" i="31"/>
  <c r="AC602" i="49"/>
  <c r="T280" i="31"/>
  <c r="J361" i="31"/>
  <c r="X197" i="31"/>
  <c r="W21" i="31"/>
  <c r="K456" i="49"/>
  <c r="AA444" i="49"/>
  <c r="Q167" i="31"/>
  <c r="S273" i="31"/>
  <c r="AC444" i="31"/>
  <c r="J516" i="31"/>
  <c r="Z96" i="31"/>
  <c r="K29" i="49"/>
  <c r="AA475" i="31"/>
  <c r="P305" i="31"/>
  <c r="N405" i="31"/>
  <c r="O334" i="31"/>
  <c r="S213" i="31"/>
  <c r="AB362" i="31"/>
  <c r="V514" i="49"/>
  <c r="N417" i="31"/>
  <c r="R274" i="31"/>
  <c r="J342" i="31"/>
  <c r="Q590" i="31"/>
  <c r="L497" i="31"/>
  <c r="AC112" i="31"/>
  <c r="M174" i="31"/>
  <c r="H582" i="49"/>
  <c r="J229" i="49"/>
  <c r="Q535" i="49"/>
  <c r="G141" i="49"/>
  <c r="W203" i="49"/>
  <c r="AC457" i="31"/>
  <c r="X106" i="49"/>
  <c r="J171" i="49"/>
  <c r="K580" i="31"/>
  <c r="W554" i="49"/>
  <c r="X418" i="49"/>
  <c r="AC22" i="49"/>
  <c r="H112" i="31"/>
  <c r="U34" i="49"/>
  <c r="AA401" i="49"/>
  <c r="R67" i="49"/>
  <c r="Y233" i="31"/>
  <c r="N275" i="49"/>
  <c r="I465" i="49"/>
  <c r="X512" i="49"/>
  <c r="Y595" i="49"/>
  <c r="AD55" i="49"/>
  <c r="S20" i="49"/>
  <c r="AC79" i="49"/>
  <c r="AD342" i="31"/>
  <c r="Z58" i="31"/>
  <c r="AA360" i="49"/>
  <c r="U523" i="49"/>
  <c r="M397" i="31"/>
  <c r="R345" i="31"/>
  <c r="W203" i="31"/>
  <c r="W189" i="49"/>
  <c r="I454" i="31"/>
  <c r="AC304" i="49"/>
  <c r="W36" i="31"/>
  <c r="AB308" i="31"/>
  <c r="K335" i="49"/>
  <c r="AC598" i="49"/>
  <c r="U257" i="49"/>
  <c r="L154" i="49"/>
  <c r="R265" i="49"/>
  <c r="H515" i="49"/>
  <c r="Z350" i="49"/>
  <c r="H121" i="49"/>
  <c r="S57" i="31"/>
  <c r="K255" i="31"/>
  <c r="L265" i="31"/>
  <c r="V352" i="49"/>
  <c r="T362" i="31"/>
  <c r="W511" i="49"/>
  <c r="AC599" i="31"/>
  <c r="X342" i="49"/>
  <c r="Y60" i="31"/>
  <c r="AB511" i="49"/>
  <c r="T63" i="31"/>
  <c r="G558" i="49"/>
  <c r="O257" i="31"/>
  <c r="AB367" i="49"/>
  <c r="K182" i="31"/>
  <c r="W70" i="49"/>
  <c r="O280" i="31"/>
  <c r="M83" i="31"/>
  <c r="AC320" i="49"/>
  <c r="Z365" i="31"/>
  <c r="AD603" i="49"/>
  <c r="N360" i="49"/>
  <c r="AA12" i="31"/>
  <c r="M454" i="49"/>
  <c r="O325" i="31"/>
  <c r="K184" i="31"/>
  <c r="P409" i="49"/>
  <c r="AA536" i="31"/>
  <c r="AB75" i="31"/>
  <c r="M318" i="31"/>
  <c r="S304" i="31"/>
  <c r="S419" i="31"/>
  <c r="M309" i="49"/>
  <c r="M556" i="49"/>
  <c r="L91" i="31"/>
  <c r="M154" i="49"/>
  <c r="O59" i="49"/>
  <c r="G264" i="31"/>
  <c r="N550" i="49"/>
  <c r="J547" i="49"/>
  <c r="S338" i="49"/>
  <c r="M601" i="49"/>
  <c r="Y120" i="49"/>
  <c r="X275" i="31"/>
  <c r="G555" i="31"/>
  <c r="Q129" i="49"/>
  <c r="O378" i="49"/>
  <c r="J317" i="49"/>
  <c r="P222" i="49"/>
  <c r="J552" i="31"/>
  <c r="K261" i="31"/>
  <c r="AD297" i="49"/>
  <c r="U322" i="49"/>
  <c r="T525" i="31"/>
  <c r="L320" i="31"/>
  <c r="R303" i="31"/>
  <c r="R383" i="31"/>
  <c r="M420" i="31"/>
  <c r="X339" i="31"/>
  <c r="AA467" i="31"/>
  <c r="R263" i="31"/>
  <c r="P182" i="49"/>
  <c r="H262" i="49"/>
  <c r="AD303" i="31"/>
  <c r="U597" i="49"/>
  <c r="X277" i="49"/>
  <c r="X433" i="31"/>
  <c r="V339" i="49"/>
  <c r="V101" i="31"/>
  <c r="T176" i="31"/>
  <c r="Z175" i="31"/>
  <c r="L244" i="31"/>
  <c r="Z288" i="49"/>
  <c r="Q593" i="31"/>
  <c r="S21" i="49"/>
  <c r="R205" i="49"/>
  <c r="J546" i="31"/>
  <c r="M91" i="49"/>
  <c r="U151" i="49"/>
  <c r="AB273" i="31"/>
  <c r="V336" i="31"/>
  <c r="Z455" i="31"/>
  <c r="I493" i="31"/>
  <c r="AD524" i="31"/>
  <c r="V259" i="31"/>
  <c r="X336" i="31"/>
  <c r="H336" i="31"/>
  <c r="H419" i="31"/>
  <c r="X105" i="31"/>
  <c r="T106" i="31"/>
  <c r="S295" i="49"/>
  <c r="M595" i="49"/>
  <c r="Q274" i="49"/>
  <c r="AC92" i="31"/>
  <c r="M154" i="31"/>
  <c r="J421" i="31"/>
  <c r="AC18" i="49"/>
  <c r="M78" i="49"/>
  <c r="L32" i="31"/>
  <c r="J282" i="31"/>
  <c r="X537" i="31"/>
  <c r="X617" i="31"/>
  <c r="H617" i="31"/>
  <c r="Q210" i="49"/>
  <c r="Q18" i="31"/>
  <c r="V263" i="31"/>
  <c r="L339" i="49"/>
  <c r="R330" i="31"/>
  <c r="Q345" i="49"/>
  <c r="O154" i="49"/>
  <c r="P296" i="31"/>
  <c r="AC60" i="49"/>
  <c r="O335" i="49"/>
  <c r="M474" i="49"/>
  <c r="I466" i="31"/>
  <c r="Q409" i="49"/>
  <c r="L214" i="49"/>
  <c r="S57" i="49"/>
  <c r="AC118" i="49"/>
  <c r="K105" i="49"/>
  <c r="S169" i="49"/>
  <c r="P602" i="49"/>
  <c r="I55" i="49"/>
  <c r="AD274" i="49"/>
  <c r="U310" i="49"/>
  <c r="S601" i="49"/>
  <c r="T581" i="31"/>
  <c r="O381" i="49"/>
  <c r="Y417" i="31"/>
  <c r="L478" i="31"/>
  <c r="I510" i="49"/>
  <c r="O90" i="31"/>
  <c r="R441" i="31"/>
  <c r="K395" i="31"/>
  <c r="S386" i="31"/>
  <c r="M456" i="31"/>
  <c r="U525" i="31"/>
  <c r="O394" i="31"/>
  <c r="N282" i="49"/>
  <c r="R577" i="49"/>
  <c r="T285" i="49"/>
  <c r="N248" i="49"/>
  <c r="X299" i="49"/>
  <c r="W460" i="31"/>
  <c r="AD224" i="49"/>
  <c r="H471" i="49"/>
  <c r="K593" i="31"/>
  <c r="AB397" i="31"/>
  <c r="AA69" i="49"/>
  <c r="K131" i="49"/>
  <c r="U130" i="49"/>
  <c r="AA193" i="49"/>
  <c r="Z151" i="31"/>
  <c r="V441" i="31"/>
  <c r="AA337" i="49"/>
  <c r="G83" i="49"/>
  <c r="X179" i="49"/>
  <c r="N261" i="49"/>
  <c r="W344" i="31"/>
  <c r="H545" i="49"/>
  <c r="AA128" i="49"/>
  <c r="K192" i="49"/>
  <c r="T327" i="31"/>
  <c r="N169" i="49"/>
  <c r="G471" i="49"/>
  <c r="G503" i="49"/>
  <c r="W503" i="49"/>
  <c r="AC591" i="49"/>
  <c r="R309" i="31"/>
  <c r="Y544" i="49"/>
  <c r="U338" i="49"/>
  <c r="U475" i="49"/>
  <c r="N475" i="49"/>
  <c r="V338" i="49"/>
  <c r="K101" i="49"/>
  <c r="AC173" i="49"/>
  <c r="U130" i="31"/>
  <c r="AA193" i="31"/>
  <c r="O352" i="49"/>
  <c r="AD231" i="31"/>
  <c r="AA316" i="49"/>
  <c r="AB381" i="49"/>
  <c r="U613" i="49"/>
  <c r="Y380" i="49"/>
  <c r="U132" i="31"/>
  <c r="G430" i="31"/>
  <c r="J305" i="31"/>
  <c r="J385" i="31"/>
  <c r="P215" i="31"/>
  <c r="Z247" i="49"/>
  <c r="O414" i="49"/>
  <c r="Z19" i="49"/>
  <c r="I187" i="31"/>
  <c r="W291" i="31"/>
  <c r="U462" i="31"/>
  <c r="AD598" i="31"/>
  <c r="Z114" i="31"/>
  <c r="AA103" i="49"/>
  <c r="W610" i="49"/>
  <c r="T42" i="49"/>
  <c r="AB102" i="49"/>
  <c r="I508" i="31"/>
  <c r="N456" i="49"/>
  <c r="V467" i="49"/>
  <c r="R465" i="49"/>
  <c r="O38" i="31"/>
  <c r="AC585" i="31"/>
  <c r="P45" i="31"/>
  <c r="G121" i="49"/>
  <c r="U102" i="31"/>
  <c r="Q520" i="49"/>
  <c r="Z418" i="49"/>
  <c r="W74" i="49"/>
  <c r="T217" i="49"/>
  <c r="N229" i="31"/>
  <c r="H410" i="31"/>
  <c r="R148" i="49"/>
  <c r="R480" i="31"/>
  <c r="W308" i="31"/>
  <c r="X20" i="31"/>
  <c r="W182" i="49"/>
  <c r="N115" i="49"/>
  <c r="R237" i="31"/>
  <c r="L464" i="31"/>
  <c r="AD499" i="49"/>
  <c r="Z180" i="49"/>
  <c r="K339" i="31"/>
  <c r="S545" i="31"/>
  <c r="Y477" i="49"/>
  <c r="N277" i="49"/>
  <c r="X397" i="31"/>
  <c r="AB601" i="31"/>
  <c r="W332" i="49"/>
  <c r="K586" i="31"/>
  <c r="W386" i="31"/>
  <c r="Q456" i="31"/>
  <c r="V414" i="49"/>
  <c r="O31" i="31"/>
  <c r="P409" i="31"/>
  <c r="Z99" i="31"/>
  <c r="Z297" i="31"/>
  <c r="V405" i="49"/>
  <c r="J325" i="31"/>
  <c r="I18" i="49"/>
  <c r="X330" i="31"/>
  <c r="I123" i="49"/>
  <c r="I218" i="31"/>
  <c r="AA606" i="31"/>
  <c r="AC346" i="49"/>
  <c r="AA616" i="49"/>
  <c r="L54" i="49"/>
  <c r="Q166" i="49"/>
  <c r="M254" i="49"/>
  <c r="Z134" i="49"/>
  <c r="X566" i="49"/>
  <c r="AB484" i="49"/>
  <c r="W558" i="49"/>
  <c r="L367" i="49"/>
  <c r="G70" i="49"/>
  <c r="W161" i="49"/>
  <c r="M408" i="49"/>
  <c r="S28" i="31"/>
  <c r="Y299" i="49"/>
  <c r="T494" i="49"/>
  <c r="X229" i="49"/>
  <c r="AA258" i="49"/>
  <c r="H537" i="49"/>
  <c r="X510" i="49"/>
  <c r="N601" i="49"/>
  <c r="V348" i="49"/>
  <c r="Q603" i="31"/>
  <c r="I424" i="31"/>
  <c r="AD68" i="31"/>
  <c r="T440" i="49"/>
  <c r="L54" i="31"/>
  <c r="Z385" i="31"/>
  <c r="S603" i="31"/>
  <c r="L252" i="31"/>
  <c r="J492" i="31"/>
  <c r="M234" i="49"/>
  <c r="T81" i="31"/>
  <c r="V428" i="31"/>
  <c r="I241" i="49"/>
  <c r="AA552" i="31"/>
  <c r="I547" i="49"/>
  <c r="U413" i="49"/>
  <c r="L612" i="49"/>
  <c r="AA433" i="31"/>
  <c r="S11" i="31"/>
  <c r="S484" i="49"/>
  <c r="AB349" i="31"/>
  <c r="S171" i="49"/>
  <c r="Q307" i="31"/>
  <c r="K465" i="31"/>
  <c r="U30" i="49"/>
  <c r="L571" i="49"/>
  <c r="M22" i="31"/>
  <c r="I202" i="49"/>
  <c r="I348" i="49"/>
  <c r="V290" i="31"/>
  <c r="AD613" i="31"/>
  <c r="O594" i="49"/>
  <c r="Y421" i="31"/>
  <c r="AD576" i="31"/>
  <c r="H224" i="49"/>
  <c r="N558" i="31"/>
  <c r="S262" i="31"/>
  <c r="V585" i="49"/>
  <c r="AA323" i="49"/>
  <c r="AB551" i="31"/>
  <c r="N325" i="31"/>
  <c r="P308" i="31"/>
  <c r="R394" i="31"/>
  <c r="AB335" i="49"/>
  <c r="Y287" i="49"/>
  <c r="T463" i="49"/>
  <c r="O509" i="49"/>
  <c r="K367" i="49"/>
  <c r="L598" i="31"/>
  <c r="AB583" i="49"/>
  <c r="Y598" i="49"/>
  <c r="H281" i="49"/>
  <c r="O141" i="49"/>
  <c r="L18" i="49"/>
  <c r="W266" i="31"/>
  <c r="AA38" i="31"/>
  <c r="I288" i="49"/>
  <c r="U217" i="49"/>
  <c r="AA186" i="31"/>
  <c r="P576" i="49"/>
  <c r="K418" i="49"/>
  <c r="J130" i="49"/>
  <c r="L371" i="49"/>
  <c r="K613" i="31"/>
  <c r="O592" i="31"/>
  <c r="O486" i="31"/>
  <c r="W577" i="31"/>
  <c r="R135" i="49"/>
  <c r="X384" i="49"/>
  <c r="AA440" i="49"/>
  <c r="L605" i="31"/>
  <c r="T68" i="31"/>
  <c r="AA205" i="49"/>
  <c r="P494" i="31"/>
  <c r="K233" i="31"/>
  <c r="H265" i="31"/>
  <c r="N400" i="31"/>
  <c r="AB325" i="31"/>
  <c r="Y224" i="49"/>
  <c r="N251" i="49"/>
  <c r="L583" i="31"/>
  <c r="J570" i="31"/>
  <c r="M467" i="49"/>
  <c r="S139" i="49"/>
  <c r="S412" i="49"/>
  <c r="G467" i="31"/>
  <c r="K207" i="49"/>
  <c r="AC428" i="49"/>
  <c r="P65" i="49"/>
  <c r="T51" i="49"/>
  <c r="T123" i="49"/>
  <c r="I402" i="49"/>
  <c r="AB172" i="49"/>
  <c r="N438" i="31"/>
  <c r="W130" i="49"/>
  <c r="AA229" i="49"/>
  <c r="M13" i="49"/>
  <c r="R559" i="49"/>
  <c r="AC59" i="49"/>
  <c r="Z114" i="49"/>
  <c r="Q440" i="31"/>
  <c r="U276" i="49"/>
  <c r="S341" i="49"/>
  <c r="U145" i="49"/>
  <c r="AB207" i="49"/>
  <c r="K196" i="49"/>
  <c r="X270" i="49"/>
  <c r="S52" i="49"/>
  <c r="T189" i="49"/>
  <c r="K100" i="49"/>
  <c r="U163" i="49"/>
  <c r="Z372" i="49"/>
  <c r="AA535" i="49"/>
  <c r="O426" i="49"/>
  <c r="S596" i="31"/>
  <c r="W586" i="31"/>
  <c r="Z402" i="31"/>
  <c r="AA135" i="49"/>
  <c r="K246" i="49"/>
  <c r="I331" i="49"/>
  <c r="P567" i="49"/>
  <c r="X590" i="49"/>
  <c r="S493" i="31"/>
  <c r="K462" i="31"/>
  <c r="AA264" i="31"/>
  <c r="AA101" i="31"/>
  <c r="K165" i="31"/>
  <c r="U432" i="31"/>
  <c r="Z500" i="31"/>
  <c r="Y490" i="31"/>
  <c r="L79" i="31"/>
  <c r="V140" i="31"/>
  <c r="Q438" i="49"/>
  <c r="O505" i="49"/>
  <c r="AA50" i="31"/>
  <c r="L325" i="49"/>
  <c r="P224" i="49"/>
  <c r="I290" i="49"/>
  <c r="K346" i="31"/>
  <c r="H544" i="49"/>
  <c r="J440" i="31"/>
  <c r="AA456" i="49"/>
  <c r="P58" i="49"/>
  <c r="M170" i="49"/>
  <c r="N247" i="49"/>
  <c r="X212" i="31"/>
  <c r="Y95" i="49"/>
  <c r="AD223" i="49"/>
  <c r="X383" i="49"/>
  <c r="L259" i="31"/>
  <c r="L289" i="49"/>
  <c r="Z515" i="49"/>
  <c r="K221" i="31"/>
  <c r="AC348" i="31"/>
  <c r="V566" i="49"/>
  <c r="W265" i="31"/>
  <c r="U240" i="49"/>
  <c r="J180" i="49"/>
  <c r="AD261" i="49"/>
  <c r="J566" i="49"/>
  <c r="AA617" i="49"/>
  <c r="R373" i="31"/>
  <c r="L181" i="31"/>
  <c r="T239" i="31"/>
  <c r="S443" i="31"/>
  <c r="T493" i="49"/>
  <c r="AC245" i="49"/>
  <c r="L501" i="31"/>
  <c r="M18" i="31"/>
  <c r="AB394" i="31"/>
  <c r="AA65" i="31"/>
  <c r="P200" i="31"/>
  <c r="J508" i="49"/>
  <c r="V251" i="31"/>
  <c r="P420" i="31"/>
  <c r="L289" i="31"/>
  <c r="R364" i="31"/>
  <c r="Z421" i="49"/>
  <c r="Z371" i="49"/>
  <c r="M522" i="49"/>
  <c r="M180" i="49"/>
  <c r="G255" i="49"/>
  <c r="I302" i="31"/>
  <c r="Q571" i="31"/>
  <c r="K28" i="49"/>
  <c r="U87" i="49"/>
  <c r="H500" i="31"/>
  <c r="V65" i="49"/>
  <c r="P473" i="31"/>
  <c r="X427" i="31"/>
  <c r="Z563" i="31"/>
  <c r="X594" i="49"/>
  <c r="M38" i="49"/>
  <c r="AA298" i="31"/>
  <c r="G510" i="31"/>
  <c r="O611" i="31"/>
  <c r="AD585" i="49"/>
  <c r="I252" i="31"/>
  <c r="N63" i="31"/>
  <c r="M578" i="49"/>
  <c r="AA29" i="31"/>
  <c r="M90" i="31"/>
  <c r="M583" i="49"/>
  <c r="J72" i="31"/>
  <c r="H220" i="49"/>
  <c r="U418" i="49"/>
  <c r="L21" i="49"/>
  <c r="AA94" i="31"/>
  <c r="M159" i="31"/>
  <c r="G425" i="31"/>
  <c r="AC589" i="31"/>
  <c r="L45" i="31"/>
  <c r="V298" i="31"/>
  <c r="Z143" i="49"/>
  <c r="L229" i="31"/>
  <c r="AA16" i="31"/>
  <c r="G439" i="49"/>
  <c r="W430" i="49"/>
  <c r="G30" i="31"/>
  <c r="T426" i="31"/>
  <c r="K494" i="31"/>
  <c r="X28" i="31"/>
  <c r="X100" i="31"/>
  <c r="M348" i="31"/>
  <c r="H29" i="49"/>
  <c r="U375" i="31"/>
  <c r="G67" i="31"/>
  <c r="O438" i="49"/>
  <c r="G308" i="31"/>
  <c r="U488" i="31"/>
  <c r="AA519" i="49"/>
  <c r="Y11" i="49"/>
  <c r="Z486" i="31"/>
  <c r="Y126" i="31"/>
  <c r="J332" i="31"/>
  <c r="X233" i="31"/>
  <c r="K452" i="31"/>
  <c r="Y42" i="49"/>
  <c r="M266" i="49"/>
  <c r="H374" i="49"/>
  <c r="N617" i="49"/>
  <c r="AB440" i="31"/>
  <c r="W618" i="49"/>
  <c r="W197" i="31"/>
  <c r="Q237" i="31"/>
  <c r="X49" i="49"/>
  <c r="W216" i="31"/>
  <c r="AA308" i="49"/>
  <c r="V618" i="49"/>
  <c r="N285" i="31"/>
  <c r="R206" i="49"/>
  <c r="T590" i="31"/>
  <c r="N430" i="31"/>
  <c r="AB323" i="31"/>
  <c r="O58" i="49"/>
  <c r="G165" i="31"/>
  <c r="G147" i="49"/>
  <c r="AA452" i="31"/>
  <c r="T130" i="49"/>
  <c r="X292" i="31"/>
  <c r="N240" i="49"/>
  <c r="V500" i="31"/>
  <c r="V583" i="31"/>
  <c r="I171" i="49"/>
  <c r="P23" i="49"/>
  <c r="P467" i="31"/>
  <c r="T82" i="49"/>
  <c r="AA381" i="49"/>
  <c r="Z271" i="49"/>
  <c r="T30" i="49"/>
  <c r="G369" i="31"/>
  <c r="AC332" i="49"/>
  <c r="O504" i="49"/>
  <c r="N588" i="49"/>
  <c r="J613" i="31"/>
  <c r="W145" i="49"/>
  <c r="L24" i="49"/>
  <c r="G269" i="31"/>
  <c r="U39" i="31"/>
  <c r="I244" i="49"/>
  <c r="Q231" i="49"/>
  <c r="U187" i="31"/>
  <c r="K234" i="31"/>
  <c r="N120" i="49"/>
  <c r="AD490" i="31"/>
  <c r="O477" i="31"/>
  <c r="W581" i="31"/>
  <c r="R195" i="31"/>
  <c r="I407" i="49"/>
  <c r="Q220" i="49"/>
  <c r="W221" i="31"/>
  <c r="L378" i="31"/>
  <c r="AA420" i="31"/>
  <c r="Y543" i="49"/>
  <c r="Z586" i="49"/>
  <c r="S222" i="49"/>
  <c r="V344" i="31"/>
  <c r="W602" i="49"/>
  <c r="J440" i="49"/>
  <c r="AD161" i="49"/>
  <c r="T489" i="31"/>
  <c r="Q595" i="31"/>
  <c r="U547" i="31"/>
  <c r="O427" i="31"/>
  <c r="Q197" i="49"/>
  <c r="I589" i="49"/>
  <c r="G466" i="49"/>
  <c r="Y74" i="31"/>
  <c r="AB24" i="49"/>
  <c r="O270" i="31"/>
  <c r="K40" i="31"/>
  <c r="S289" i="31"/>
  <c r="X231" i="49"/>
  <c r="M189" i="31"/>
  <c r="R43" i="31"/>
  <c r="O449" i="49"/>
  <c r="I94" i="31"/>
  <c r="AB475" i="49"/>
  <c r="X257" i="49"/>
  <c r="L336" i="49"/>
  <c r="L617" i="49"/>
  <c r="T316" i="49"/>
  <c r="Z139" i="49"/>
  <c r="Z233" i="31"/>
  <c r="L10" i="49"/>
  <c r="W255" i="31"/>
  <c r="I216" i="31"/>
  <c r="N407" i="31"/>
  <c r="Z501" i="31"/>
  <c r="R618" i="31"/>
  <c r="Z272" i="31"/>
  <c r="N408" i="31"/>
  <c r="H183" i="49"/>
  <c r="Y278" i="49"/>
  <c r="G253" i="49"/>
  <c r="N588" i="31"/>
  <c r="J574" i="31"/>
  <c r="M446" i="49"/>
  <c r="AC142" i="49"/>
  <c r="W444" i="49"/>
  <c r="G106" i="49"/>
  <c r="Q211" i="49"/>
  <c r="AC407" i="49"/>
  <c r="P69" i="49"/>
  <c r="T55" i="49"/>
  <c r="V128" i="49"/>
  <c r="I260" i="49"/>
  <c r="V181" i="49"/>
  <c r="AC316" i="49"/>
  <c r="G132" i="49"/>
  <c r="T233" i="49"/>
  <c r="S16" i="49"/>
  <c r="Z573" i="49"/>
  <c r="K64" i="49"/>
  <c r="Z118" i="49"/>
  <c r="G82" i="49"/>
  <c r="U414" i="49"/>
  <c r="AC342" i="49"/>
  <c r="AA148" i="49"/>
  <c r="H209" i="49"/>
  <c r="U199" i="49"/>
  <c r="K273" i="49"/>
  <c r="AC55" i="49"/>
  <c r="P193" i="49"/>
  <c r="U103" i="49"/>
  <c r="AA166" i="49"/>
  <c r="J378" i="49"/>
  <c r="I536" i="49"/>
  <c r="O405" i="49"/>
  <c r="M99" i="31"/>
  <c r="S162" i="31"/>
  <c r="Z406" i="31"/>
  <c r="M140" i="49"/>
  <c r="K507" i="31"/>
  <c r="S276" i="31"/>
  <c r="P364" i="49"/>
  <c r="X494" i="49"/>
  <c r="S483" i="31"/>
  <c r="AA462" i="31"/>
  <c r="S272" i="31"/>
  <c r="K105" i="31"/>
  <c r="S169" i="31"/>
  <c r="AA437" i="31"/>
  <c r="X507" i="31"/>
  <c r="Y572" i="31"/>
  <c r="X452" i="49"/>
  <c r="M578" i="31"/>
  <c r="Q417" i="49"/>
  <c r="X509" i="49"/>
  <c r="AD32" i="31"/>
  <c r="L93" i="31"/>
  <c r="H226" i="49"/>
  <c r="Q294" i="49"/>
  <c r="AA346" i="31"/>
  <c r="H380" i="49"/>
  <c r="H445" i="31"/>
  <c r="AA431" i="49"/>
  <c r="Z61" i="49"/>
  <c r="S173" i="49"/>
  <c r="G249" i="49"/>
  <c r="X216" i="31"/>
  <c r="AA331" i="31"/>
  <c r="J77" i="31"/>
  <c r="AB394" i="49"/>
  <c r="V262" i="31"/>
  <c r="I375" i="49"/>
  <c r="O551" i="49"/>
  <c r="U224" i="31"/>
  <c r="Q352" i="31"/>
  <c r="O568" i="49"/>
  <c r="W273" i="31"/>
  <c r="Y462" i="49"/>
  <c r="J184" i="49"/>
  <c r="V263" i="49"/>
  <c r="G560" i="31"/>
  <c r="K323" i="31"/>
  <c r="W251" i="49"/>
  <c r="V182" i="31"/>
  <c r="AD240" i="31"/>
  <c r="AC446" i="31"/>
  <c r="W149" i="49"/>
  <c r="X499" i="49"/>
  <c r="L432" i="31"/>
  <c r="S21" i="31"/>
  <c r="AC10" i="31"/>
  <c r="K69" i="31"/>
  <c r="P204" i="31"/>
  <c r="T42" i="31"/>
  <c r="AD255" i="31"/>
  <c r="P367" i="31"/>
  <c r="AD292" i="31"/>
  <c r="Z372" i="31"/>
  <c r="X412" i="49"/>
  <c r="R375" i="49"/>
  <c r="N522" i="49"/>
  <c r="S183" i="49"/>
  <c r="AC269" i="49"/>
  <c r="M607" i="31"/>
  <c r="Q560" i="31"/>
  <c r="U31" i="49"/>
  <c r="AC91" i="49"/>
  <c r="V503" i="31"/>
  <c r="AB68" i="49"/>
  <c r="V478" i="31"/>
  <c r="Z432" i="31"/>
  <c r="H568" i="31"/>
  <c r="X498" i="49"/>
  <c r="S41" i="49"/>
  <c r="AA510" i="31"/>
  <c r="R39" i="31"/>
  <c r="R113" i="31"/>
  <c r="M587" i="49"/>
  <c r="Z431" i="49"/>
  <c r="P410" i="31"/>
  <c r="AA33" i="31"/>
  <c r="K33" i="31"/>
  <c r="S93" i="31"/>
  <c r="AA610" i="49"/>
  <c r="P75" i="31"/>
  <c r="O223" i="49"/>
  <c r="U395" i="49"/>
  <c r="L25" i="49"/>
  <c r="Y292" i="49"/>
  <c r="G361" i="49"/>
  <c r="Q420" i="31"/>
  <c r="N474" i="31"/>
  <c r="L270" i="31"/>
  <c r="AC312" i="31"/>
  <c r="AA576" i="31"/>
  <c r="P564" i="31"/>
  <c r="G409" i="49"/>
  <c r="G413" i="49"/>
  <c r="W408" i="49"/>
  <c r="Q33" i="31"/>
  <c r="T373" i="31"/>
  <c r="O598" i="49"/>
  <c r="Q485" i="49"/>
  <c r="X104" i="31"/>
  <c r="W351" i="31"/>
  <c r="Q441" i="31"/>
  <c r="Z342" i="49"/>
  <c r="G547" i="31"/>
  <c r="H486" i="31"/>
  <c r="AC349" i="49"/>
  <c r="U242" i="49"/>
  <c r="G360" i="49"/>
  <c r="L78" i="49"/>
  <c r="P394" i="31"/>
  <c r="O160" i="31"/>
  <c r="Z613" i="31"/>
  <c r="AB112" i="49"/>
  <c r="X18" i="31"/>
  <c r="V141" i="49"/>
  <c r="S546" i="31"/>
  <c r="N580" i="49"/>
  <c r="L563" i="49"/>
  <c r="L105" i="49"/>
  <c r="Q318" i="31"/>
  <c r="N100" i="31"/>
  <c r="K22" i="31"/>
  <c r="AB339" i="49"/>
  <c r="S532" i="31"/>
  <c r="H162" i="49"/>
  <c r="H438" i="49"/>
  <c r="AA339" i="49"/>
  <c r="AA257" i="31"/>
  <c r="R100" i="49"/>
  <c r="M275" i="49"/>
  <c r="AC451" i="49"/>
  <c r="V277" i="49"/>
  <c r="O617" i="49"/>
  <c r="V395" i="49"/>
  <c r="Q502" i="49"/>
  <c r="J102" i="49"/>
  <c r="AC430" i="49"/>
  <c r="Q555" i="31"/>
  <c r="H86" i="49"/>
  <c r="T597" i="49"/>
  <c r="AD70" i="31"/>
  <c r="W579" i="49"/>
  <c r="R599" i="49"/>
  <c r="AB229" i="31"/>
  <c r="V543" i="49"/>
  <c r="AA18" i="31"/>
  <c r="AB448" i="31"/>
  <c r="Q490" i="49"/>
  <c r="M191" i="31"/>
  <c r="T415" i="49"/>
  <c r="R591" i="31"/>
  <c r="L171" i="31"/>
  <c r="Q589" i="31"/>
  <c r="S560" i="31"/>
  <c r="Z54" i="49"/>
  <c r="Q99" i="49"/>
  <c r="W571" i="49"/>
  <c r="L97" i="31"/>
  <c r="P134" i="31"/>
  <c r="AB183" i="31"/>
  <c r="AB280" i="31"/>
  <c r="O110" i="49"/>
  <c r="N291" i="31"/>
  <c r="J381" i="49"/>
  <c r="X522" i="49"/>
  <c r="V186" i="31"/>
  <c r="N311" i="49"/>
  <c r="K320" i="49"/>
  <c r="L477" i="49"/>
  <c r="AB465" i="49"/>
  <c r="Q273" i="49"/>
  <c r="G86" i="49"/>
  <c r="T521" i="31"/>
  <c r="L316" i="31"/>
  <c r="N297" i="31"/>
  <c r="P378" i="31"/>
  <c r="AA415" i="31"/>
  <c r="AB335" i="31"/>
  <c r="U464" i="31"/>
  <c r="X258" i="31"/>
  <c r="J179" i="49"/>
  <c r="P260" i="49"/>
  <c r="Y292" i="31"/>
  <c r="K533" i="31"/>
  <c r="O343" i="31"/>
  <c r="Q298" i="49"/>
  <c r="Z337" i="49"/>
  <c r="T96" i="31"/>
  <c r="T172" i="31"/>
  <c r="Z171" i="31"/>
  <c r="AB240" i="31"/>
  <c r="AB104" i="49"/>
  <c r="Q505" i="31"/>
  <c r="M18" i="49"/>
  <c r="O201" i="49"/>
  <c r="H537" i="31"/>
  <c r="AA86" i="49"/>
  <c r="K148" i="49"/>
  <c r="L273" i="31"/>
  <c r="N332" i="31"/>
  <c r="R449" i="31"/>
  <c r="I501" i="31"/>
  <c r="AD516" i="31"/>
  <c r="AB587" i="31"/>
  <c r="Z331" i="31"/>
  <c r="J331" i="31"/>
  <c r="J414" i="31"/>
  <c r="P113" i="31"/>
  <c r="N115" i="31"/>
  <c r="Y334" i="49"/>
  <c r="AD593" i="49"/>
  <c r="Z264" i="49"/>
  <c r="U88" i="31"/>
  <c r="AA149" i="31"/>
  <c r="Q289" i="49"/>
  <c r="S15" i="49"/>
  <c r="AC74" i="49"/>
  <c r="R31" i="31"/>
  <c r="P281" i="31"/>
  <c r="X533" i="31"/>
  <c r="Z612" i="31"/>
  <c r="J612" i="31"/>
  <c r="Q254" i="49"/>
  <c r="G23" i="31"/>
  <c r="P270" i="31"/>
  <c r="I417" i="31"/>
  <c r="J326" i="31"/>
  <c r="Z439" i="31"/>
  <c r="W434" i="49"/>
  <c r="J45" i="49"/>
  <c r="I77" i="31"/>
  <c r="G331" i="49"/>
  <c r="AD472" i="49"/>
  <c r="O465" i="31"/>
  <c r="Z363" i="49"/>
  <c r="O203" i="49"/>
  <c r="M54" i="49"/>
  <c r="S115" i="49"/>
  <c r="AA101" i="49"/>
  <c r="K165" i="49"/>
  <c r="X434" i="49"/>
  <c r="J221" i="49"/>
  <c r="AC10" i="49"/>
  <c r="K69" i="49"/>
  <c r="P163" i="49"/>
  <c r="AC237" i="49"/>
  <c r="M269" i="31"/>
  <c r="Q413" i="31"/>
  <c r="AD473" i="31"/>
  <c r="AA509" i="49"/>
  <c r="G86" i="31"/>
  <c r="Z431" i="31"/>
  <c r="AA378" i="31"/>
  <c r="K378" i="31"/>
  <c r="AC452" i="31"/>
  <c r="U590" i="31"/>
  <c r="O588" i="31"/>
  <c r="K128" i="49"/>
  <c r="O325" i="49"/>
  <c r="S586" i="49"/>
  <c r="L240" i="31"/>
  <c r="L440" i="31"/>
  <c r="Z111" i="31"/>
  <c r="X217" i="49"/>
  <c r="H503" i="49"/>
  <c r="K616" i="31"/>
  <c r="AD295" i="31"/>
  <c r="U66" i="49"/>
  <c r="AC126" i="49"/>
  <c r="M126" i="49"/>
  <c r="U190" i="49"/>
  <c r="J151" i="31"/>
  <c r="AD439" i="31"/>
  <c r="N503" i="49"/>
  <c r="W408" i="31"/>
  <c r="AD420" i="49"/>
  <c r="AB224" i="49"/>
  <c r="M341" i="31"/>
  <c r="H453" i="49"/>
  <c r="S124" i="49"/>
  <c r="AC187" i="49"/>
  <c r="N324" i="31"/>
  <c r="AB164" i="49"/>
  <c r="AC470" i="49"/>
  <c r="AC502" i="49"/>
  <c r="I501" i="49"/>
  <c r="K589" i="49"/>
  <c r="T308" i="31"/>
  <c r="U543" i="49"/>
  <c r="X117" i="49"/>
  <c r="N471" i="49"/>
  <c r="W102" i="49"/>
  <c r="X535" i="49"/>
  <c r="AC96" i="49"/>
  <c r="S170" i="49"/>
  <c r="M126" i="31"/>
  <c r="U190" i="31"/>
  <c r="W348" i="49"/>
  <c r="S308" i="49"/>
  <c r="X283" i="49"/>
  <c r="X456" i="49"/>
  <c r="M554" i="31"/>
  <c r="O375" i="49"/>
  <c r="K129" i="31"/>
  <c r="W414" i="31"/>
  <c r="J299" i="31"/>
  <c r="H380" i="31"/>
  <c r="J212" i="31"/>
  <c r="O217" i="49"/>
  <c r="O440" i="49"/>
  <c r="P16" i="49"/>
  <c r="Y183" i="31"/>
  <c r="N255" i="31"/>
  <c r="M458" i="31"/>
  <c r="AB567" i="31"/>
  <c r="J114" i="31"/>
  <c r="U88" i="49"/>
  <c r="Q403" i="49"/>
  <c r="Y591" i="49"/>
  <c r="V248" i="49"/>
  <c r="I378" i="31"/>
  <c r="AD464" i="49"/>
  <c r="I594" i="31"/>
  <c r="G174" i="49"/>
  <c r="H294" i="31"/>
  <c r="AC550" i="31"/>
  <c r="J52" i="31"/>
  <c r="K497" i="49"/>
  <c r="AC94" i="31"/>
  <c r="V518" i="49"/>
  <c r="R414" i="49"/>
  <c r="L241" i="49"/>
  <c r="Y430" i="31"/>
  <c r="J221" i="31"/>
  <c r="H264" i="31"/>
  <c r="O33" i="49"/>
  <c r="K104" i="49"/>
  <c r="W509" i="31"/>
  <c r="R27" i="31"/>
  <c r="X407" i="49"/>
  <c r="X297" i="49"/>
  <c r="J243" i="31"/>
  <c r="L404" i="31"/>
  <c r="Q20" i="49"/>
  <c r="Z170" i="49"/>
  <c r="K402" i="31"/>
  <c r="S570" i="31"/>
  <c r="I615" i="49"/>
  <c r="X568" i="49"/>
  <c r="T273" i="49"/>
  <c r="I334" i="49"/>
  <c r="S351" i="49"/>
  <c r="K330" i="31"/>
  <c r="Y402" i="31"/>
  <c r="I462" i="31"/>
  <c r="G78" i="49"/>
  <c r="O27" i="31"/>
  <c r="AB521" i="49"/>
  <c r="M509" i="31"/>
  <c r="S368" i="31"/>
  <c r="P234" i="31"/>
  <c r="AB289" i="49"/>
  <c r="O93" i="49"/>
  <c r="H53" i="49"/>
  <c r="X395" i="31"/>
  <c r="G81" i="49"/>
  <c r="H615" i="49"/>
  <c r="O176" i="49"/>
  <c r="W470" i="49"/>
  <c r="L96" i="49"/>
  <c r="AD483" i="49"/>
  <c r="AB310" i="49"/>
  <c r="Q198" i="49"/>
  <c r="U592" i="49"/>
  <c r="X183" i="49"/>
  <c r="W106" i="49"/>
  <c r="S317" i="49"/>
  <c r="U284" i="49"/>
  <c r="Q484" i="49"/>
  <c r="AB567" i="49"/>
  <c r="N116" i="49"/>
  <c r="Y581" i="31"/>
  <c r="AA588" i="49"/>
  <c r="X39" i="49"/>
  <c r="H173" i="49"/>
  <c r="AB51" i="31"/>
  <c r="P111" i="49"/>
  <c r="T245" i="31"/>
  <c r="Y49" i="49"/>
  <c r="U169" i="31"/>
  <c r="I138" i="49"/>
  <c r="O562" i="31"/>
  <c r="M421" i="49"/>
  <c r="U235" i="31"/>
  <c r="AC114" i="49"/>
  <c r="Z464" i="49"/>
  <c r="J291" i="49"/>
  <c r="AD515" i="31"/>
  <c r="AA232" i="31"/>
  <c r="W511" i="31"/>
  <c r="O547" i="31"/>
  <c r="P294" i="49"/>
  <c r="N513" i="31"/>
  <c r="L137" i="31"/>
  <c r="V54" i="31"/>
  <c r="T239" i="49"/>
  <c r="P334" i="49"/>
  <c r="I281" i="49"/>
  <c r="J496" i="49"/>
  <c r="M230" i="31"/>
  <c r="Z233" i="49"/>
  <c r="T593" i="31"/>
  <c r="AA172" i="31"/>
  <c r="P124" i="49"/>
  <c r="U226" i="31"/>
  <c r="Z594" i="49"/>
  <c r="M295" i="31"/>
  <c r="M37" i="49"/>
  <c r="Z121" i="49"/>
  <c r="K309" i="31"/>
  <c r="X587" i="49"/>
  <c r="Y445" i="31"/>
  <c r="X266" i="31"/>
  <c r="N243" i="49"/>
  <c r="L573" i="31"/>
  <c r="S266" i="31"/>
  <c r="J452" i="31"/>
  <c r="G583" i="49"/>
  <c r="I307" i="49"/>
  <c r="Q291" i="49"/>
  <c r="S364" i="49"/>
  <c r="T38" i="31"/>
  <c r="O361" i="31"/>
  <c r="Z95" i="31"/>
  <c r="AD613" i="49"/>
  <c r="M596" i="31"/>
  <c r="Q346" i="31"/>
  <c r="N611" i="31"/>
  <c r="P549" i="31"/>
  <c r="N615" i="49"/>
  <c r="J292" i="49"/>
  <c r="V438" i="31"/>
  <c r="Z345" i="49"/>
  <c r="T120" i="31"/>
  <c r="AC576" i="31"/>
  <c r="V48" i="31"/>
  <c r="O512" i="31"/>
  <c r="Q415" i="31"/>
  <c r="AB73" i="31"/>
  <c r="AD254" i="31"/>
  <c r="U43" i="31"/>
  <c r="Z273" i="49"/>
  <c r="W99" i="49"/>
  <c r="Z76" i="49"/>
  <c r="X275" i="49"/>
  <c r="T353" i="31"/>
  <c r="AA336" i="31"/>
  <c r="I396" i="31"/>
  <c r="G605" i="31"/>
  <c r="R277" i="31"/>
  <c r="W322" i="49"/>
  <c r="H483" i="49"/>
  <c r="J413" i="31"/>
  <c r="H218" i="49"/>
  <c r="Y59" i="49"/>
  <c r="O500" i="49"/>
  <c r="N234" i="49"/>
  <c r="U299" i="31"/>
  <c r="AC556" i="31"/>
  <c r="P160" i="31"/>
  <c r="Z451" i="31"/>
  <c r="K33" i="49"/>
  <c r="S93" i="49"/>
  <c r="P36" i="31"/>
  <c r="AD284" i="31"/>
  <c r="R562" i="31"/>
  <c r="S102" i="31"/>
  <c r="AC165" i="31"/>
  <c r="AC56" i="49"/>
  <c r="S126" i="49"/>
  <c r="N162" i="31"/>
  <c r="S68" i="31"/>
  <c r="AC129" i="31"/>
  <c r="O232" i="49"/>
  <c r="Y325" i="49"/>
  <c r="T318" i="31"/>
  <c r="M76" i="49"/>
  <c r="Y350" i="49"/>
  <c r="M490" i="49"/>
  <c r="Y468" i="31"/>
  <c r="AD221" i="49"/>
  <c r="AB111" i="31"/>
  <c r="L173" i="31"/>
  <c r="T161" i="31"/>
  <c r="AD220" i="31"/>
  <c r="V418" i="49"/>
  <c r="V327" i="49"/>
  <c r="J405" i="49"/>
  <c r="I303" i="31"/>
  <c r="AA44" i="31"/>
  <c r="M105" i="31"/>
  <c r="V598" i="31"/>
  <c r="Y473" i="49"/>
  <c r="G432" i="31"/>
  <c r="T494" i="31"/>
  <c r="P312" i="31"/>
  <c r="R400" i="31"/>
  <c r="K349" i="49"/>
  <c r="J11" i="31"/>
  <c r="H82" i="31"/>
  <c r="Y455" i="31"/>
  <c r="P24" i="49"/>
  <c r="AB411" i="31"/>
  <c r="AA602" i="31"/>
  <c r="J41" i="31"/>
  <c r="R446" i="49"/>
  <c r="J461" i="49"/>
  <c r="H319" i="49"/>
  <c r="N475" i="31"/>
  <c r="AA491" i="49"/>
  <c r="O453" i="49"/>
  <c r="P595" i="31"/>
  <c r="Q451" i="49"/>
  <c r="AB351" i="49"/>
  <c r="AB185" i="31"/>
  <c r="N244" i="31"/>
  <c r="H463" i="49"/>
  <c r="S207" i="49"/>
  <c r="Y568" i="31"/>
  <c r="AD148" i="31"/>
  <c r="L211" i="31"/>
  <c r="W522" i="31"/>
  <c r="L14" i="31"/>
  <c r="AA362" i="31"/>
  <c r="H495" i="49"/>
  <c r="P73" i="49"/>
  <c r="J122" i="49"/>
  <c r="R316" i="49"/>
  <c r="Z380" i="49"/>
  <c r="W66" i="49"/>
  <c r="AA289" i="49"/>
  <c r="Y492" i="49"/>
  <c r="AC169" i="49"/>
  <c r="AD500" i="31"/>
  <c r="W296" i="49"/>
  <c r="R297" i="49"/>
  <c r="U512" i="49"/>
  <c r="L125" i="31"/>
  <c r="T189" i="31"/>
  <c r="S117" i="49"/>
  <c r="Z484" i="49"/>
  <c r="P430" i="49"/>
  <c r="V203" i="31"/>
  <c r="Q359" i="31"/>
  <c r="M369" i="49"/>
  <c r="W549" i="49"/>
  <c r="N274" i="49"/>
  <c r="P593" i="49"/>
  <c r="O473" i="49"/>
  <c r="AA147" i="31"/>
  <c r="AB586" i="49"/>
  <c r="O54" i="31"/>
  <c r="Y115" i="31"/>
  <c r="L243" i="49"/>
  <c r="R52" i="49"/>
  <c r="G480" i="31"/>
  <c r="O583" i="31"/>
  <c r="T583" i="49"/>
  <c r="M444" i="31"/>
  <c r="R226" i="31"/>
  <c r="I15" i="31"/>
  <c r="N520" i="49"/>
  <c r="P210" i="31"/>
  <c r="L277" i="31"/>
  <c r="AD344" i="31"/>
  <c r="R475" i="49"/>
  <c r="K189" i="31"/>
  <c r="S249" i="31"/>
  <c r="O480" i="49"/>
  <c r="G226" i="31"/>
  <c r="AD523" i="31"/>
  <c r="N310" i="31"/>
  <c r="M552" i="31"/>
  <c r="AA472" i="31"/>
  <c r="U84" i="31"/>
  <c r="AA145" i="31"/>
  <c r="W550" i="49"/>
  <c r="L502" i="49"/>
  <c r="Z597" i="49"/>
  <c r="Z243" i="31"/>
  <c r="L394" i="31"/>
  <c r="Z574" i="31"/>
  <c r="R81" i="49"/>
  <c r="Z141" i="49"/>
  <c r="G383" i="31"/>
  <c r="J505" i="31"/>
  <c r="P488" i="49"/>
  <c r="AB470" i="49"/>
  <c r="L82" i="31"/>
  <c r="G423" i="31"/>
  <c r="W460" i="49"/>
  <c r="J41" i="49"/>
  <c r="Q207" i="31"/>
  <c r="O611" i="49"/>
  <c r="H116" i="31"/>
  <c r="X415" i="31"/>
  <c r="AB550" i="31"/>
  <c r="J438" i="49"/>
  <c r="R580" i="49"/>
  <c r="S54" i="49"/>
  <c r="L317" i="31"/>
  <c r="R601" i="49"/>
  <c r="P247" i="49"/>
  <c r="Q417" i="31"/>
  <c r="M282" i="49"/>
  <c r="V404" i="49"/>
  <c r="Q372" i="31"/>
  <c r="G209" i="49"/>
  <c r="AC433" i="31"/>
  <c r="J496" i="31"/>
  <c r="AC270" i="31"/>
  <c r="P463" i="49"/>
  <c r="AD339" i="49"/>
  <c r="Y341" i="31"/>
  <c r="J297" i="31"/>
  <c r="H546" i="49"/>
  <c r="N596" i="49"/>
  <c r="R514" i="49"/>
  <c r="Y18" i="49"/>
  <c r="H334" i="49"/>
  <c r="Y437" i="49"/>
  <c r="R200" i="49"/>
  <c r="H139" i="49"/>
  <c r="I92" i="49"/>
  <c r="AB556" i="49"/>
  <c r="U559" i="49"/>
  <c r="L159" i="49"/>
  <c r="I287" i="49"/>
  <c r="I560" i="49"/>
  <c r="T253" i="49"/>
  <c r="J308" i="31"/>
  <c r="J500" i="49"/>
  <c r="Y452" i="31"/>
  <c r="S526" i="49"/>
  <c r="Z418" i="31"/>
  <c r="M277" i="31"/>
  <c r="Q230" i="49"/>
  <c r="L57" i="31"/>
  <c r="Y500" i="31"/>
  <c r="Q503" i="49"/>
  <c r="K129" i="49"/>
  <c r="W379" i="31"/>
  <c r="M94" i="31"/>
  <c r="Y281" i="31"/>
  <c r="M247" i="31"/>
  <c r="AB141" i="31"/>
  <c r="W404" i="49"/>
  <c r="J207" i="31"/>
  <c r="T526" i="31"/>
  <c r="N281" i="49"/>
  <c r="J170" i="49"/>
  <c r="T368" i="31"/>
  <c r="T461" i="49"/>
  <c r="X357" i="31"/>
  <c r="AB244" i="31"/>
  <c r="P410" i="49"/>
  <c r="Y251" i="49"/>
  <c r="Y501" i="31"/>
  <c r="X419" i="31"/>
  <c r="AA535" i="31"/>
  <c r="I244" i="31"/>
  <c r="U82" i="31"/>
  <c r="U465" i="49"/>
  <c r="Q418" i="31"/>
  <c r="J137" i="49"/>
  <c r="S397" i="49"/>
  <c r="AB460" i="49"/>
  <c r="AC16" i="31"/>
  <c r="Z271" i="31"/>
  <c r="G245" i="49"/>
  <c r="P577" i="31"/>
  <c r="AA268" i="31"/>
  <c r="S329" i="49"/>
  <c r="R602" i="49"/>
  <c r="O308" i="49"/>
  <c r="W292" i="49"/>
  <c r="I367" i="49"/>
  <c r="U215" i="31"/>
  <c r="M81" i="31"/>
  <c r="Q269" i="31"/>
  <c r="K520" i="31"/>
  <c r="Z596" i="49"/>
  <c r="W477" i="49"/>
  <c r="N617" i="31"/>
  <c r="V554" i="31"/>
  <c r="U617" i="49"/>
  <c r="R296" i="49"/>
  <c r="Y608" i="31"/>
  <c r="S272" i="49"/>
  <c r="AA60" i="31"/>
  <c r="Z317" i="49"/>
  <c r="AC49" i="49"/>
  <c r="H288" i="31"/>
  <c r="AC456" i="31"/>
  <c r="AB244" i="49"/>
  <c r="I181" i="49"/>
  <c r="Y290" i="49"/>
  <c r="S51" i="31"/>
  <c r="V552" i="31"/>
  <c r="X93" i="49"/>
  <c r="X162" i="31"/>
  <c r="N233" i="31"/>
  <c r="AB100" i="49"/>
  <c r="M294" i="31"/>
  <c r="S11" i="49"/>
  <c r="U194" i="49"/>
  <c r="AB520" i="49"/>
  <c r="M79" i="49"/>
  <c r="S140" i="49"/>
  <c r="V274" i="31"/>
  <c r="V407" i="49"/>
  <c r="M588" i="31"/>
  <c r="S349" i="31"/>
  <c r="K413" i="49"/>
  <c r="N32" i="31"/>
  <c r="V92" i="31"/>
  <c r="H322" i="31"/>
  <c r="J406" i="31"/>
  <c r="X103" i="31"/>
  <c r="L104" i="31"/>
  <c r="I326" i="49"/>
  <c r="M591" i="49"/>
  <c r="J250" i="49"/>
  <c r="AA81" i="31"/>
  <c r="M142" i="31"/>
  <c r="W294" i="49"/>
  <c r="AA341" i="31"/>
  <c r="L76" i="31"/>
  <c r="P180" i="49"/>
  <c r="T115" i="49"/>
  <c r="K374" i="49"/>
  <c r="I551" i="49"/>
  <c r="J602" i="31"/>
  <c r="Q421" i="49"/>
  <c r="Q16" i="31"/>
  <c r="T260" i="31"/>
  <c r="Q409" i="31"/>
  <c r="R318" i="31"/>
  <c r="Z421" i="31"/>
  <c r="S403" i="49"/>
  <c r="P38" i="49"/>
  <c r="G82" i="31"/>
  <c r="AB181" i="31"/>
  <c r="N240" i="31"/>
  <c r="K88" i="49"/>
  <c r="N197" i="31"/>
  <c r="X503" i="49"/>
  <c r="S45" i="49"/>
  <c r="AA105" i="49"/>
  <c r="M94" i="49"/>
  <c r="S155" i="49"/>
  <c r="T324" i="49"/>
  <c r="AB213" i="49"/>
  <c r="AB318" i="49"/>
  <c r="S61" i="49"/>
  <c r="P151" i="49"/>
  <c r="T229" i="49"/>
  <c r="I278" i="31"/>
  <c r="V373" i="49"/>
  <c r="S522" i="49"/>
  <c r="AC90" i="31"/>
  <c r="R359" i="31"/>
  <c r="M617" i="31"/>
  <c r="Q566" i="31"/>
  <c r="Q367" i="31"/>
  <c r="M446" i="31"/>
  <c r="U517" i="31"/>
  <c r="O379" i="31"/>
  <c r="S120" i="49"/>
  <c r="K120" i="31"/>
  <c r="U183" i="31"/>
  <c r="T232" i="31"/>
  <c r="H361" i="31"/>
  <c r="R342" i="49"/>
  <c r="G500" i="31"/>
  <c r="O601" i="31"/>
  <c r="W425" i="49"/>
  <c r="I250" i="49"/>
  <c r="H64" i="31"/>
  <c r="AD578" i="49"/>
  <c r="S119" i="49"/>
  <c r="AC182" i="49"/>
  <c r="T152" i="31"/>
  <c r="N443" i="31"/>
  <c r="M122" i="31"/>
  <c r="I401" i="31"/>
  <c r="Q461" i="31"/>
  <c r="L405" i="31"/>
  <c r="V537" i="31"/>
  <c r="P155" i="31"/>
  <c r="AC580" i="31"/>
  <c r="AB45" i="31"/>
  <c r="H165" i="49"/>
  <c r="P351" i="49"/>
  <c r="AA180" i="31"/>
  <c r="M239" i="31"/>
  <c r="W499" i="49"/>
  <c r="AC587" i="49"/>
  <c r="L310" i="31"/>
  <c r="I544" i="49"/>
  <c r="P18" i="49"/>
  <c r="T202" i="49"/>
  <c r="H384" i="49"/>
  <c r="Q425" i="49"/>
  <c r="AC411" i="49"/>
  <c r="I66" i="31"/>
  <c r="S119" i="31"/>
  <c r="AC182" i="31"/>
  <c r="Q343" i="49"/>
  <c r="Q303" i="49"/>
  <c r="O303" i="31"/>
  <c r="W495" i="31"/>
  <c r="K325" i="49"/>
  <c r="Y368" i="49"/>
  <c r="S121" i="31"/>
  <c r="R276" i="49"/>
  <c r="V289" i="31"/>
  <c r="H370" i="31"/>
  <c r="R204" i="31"/>
  <c r="O29" i="31"/>
  <c r="K409" i="49"/>
  <c r="AA395" i="49"/>
  <c r="I175" i="31"/>
  <c r="AD329" i="31"/>
  <c r="S451" i="31"/>
  <c r="J524" i="31"/>
  <c r="X101" i="31"/>
  <c r="AC58" i="49"/>
  <c r="P10" i="31"/>
  <c r="R316" i="31"/>
  <c r="AD417" i="31"/>
  <c r="Q434" i="49"/>
  <c r="N452" i="49"/>
  <c r="N465" i="49"/>
  <c r="V320" i="49"/>
  <c r="R384" i="49"/>
  <c r="AC495" i="31"/>
  <c r="P43" i="31"/>
  <c r="W326" i="49"/>
  <c r="X605" i="49"/>
  <c r="K517" i="49"/>
  <c r="N410" i="49"/>
  <c r="W111" i="49"/>
  <c r="I402" i="31"/>
  <c r="AC297" i="49"/>
  <c r="AD93" i="49"/>
  <c r="N155" i="49"/>
  <c r="AA88" i="49"/>
  <c r="W474" i="31"/>
  <c r="P18" i="31"/>
  <c r="T227" i="49"/>
  <c r="S537" i="31"/>
  <c r="R235" i="31"/>
  <c r="L616" i="31"/>
  <c r="R30" i="49"/>
  <c r="S74" i="49"/>
  <c r="K521" i="31"/>
  <c r="S292" i="31"/>
  <c r="Q496" i="49"/>
  <c r="I279" i="49"/>
  <c r="H490" i="49"/>
  <c r="Z535" i="49"/>
  <c r="Q41" i="49"/>
  <c r="W421" i="49"/>
  <c r="W380" i="31"/>
  <c r="Q454" i="31"/>
  <c r="O599" i="49"/>
  <c r="AA83" i="49"/>
  <c r="H407" i="31"/>
  <c r="X246" i="49"/>
  <c r="H234" i="49"/>
  <c r="X534" i="31"/>
  <c r="P307" i="49"/>
  <c r="X502" i="31"/>
  <c r="H106" i="49"/>
  <c r="V612" i="31"/>
  <c r="V132" i="49"/>
  <c r="AA342" i="49"/>
  <c r="S359" i="31"/>
  <c r="M351" i="31"/>
  <c r="X572" i="49"/>
  <c r="S73" i="31"/>
  <c r="H508" i="31"/>
  <c r="I582" i="49"/>
  <c r="W28" i="31"/>
  <c r="L39" i="31"/>
  <c r="AC294" i="31"/>
  <c r="U592" i="31"/>
  <c r="S246" i="31"/>
  <c r="Y383" i="49"/>
  <c r="P407" i="49"/>
  <c r="Q439" i="31"/>
  <c r="U534" i="31"/>
  <c r="U155" i="31"/>
  <c r="S474" i="31"/>
  <c r="X261" i="49"/>
  <c r="AA69" i="31"/>
  <c r="M507" i="31"/>
  <c r="N88" i="31"/>
  <c r="U149" i="49"/>
  <c r="S467" i="49"/>
  <c r="P551" i="49"/>
  <c r="P34" i="31"/>
  <c r="T593" i="49"/>
  <c r="R138" i="49"/>
  <c r="Y618" i="31"/>
  <c r="N190" i="31"/>
  <c r="P48" i="49"/>
  <c r="H220" i="31"/>
  <c r="W270" i="49"/>
  <c r="U478" i="49"/>
  <c r="T237" i="49"/>
  <c r="L384" i="31"/>
  <c r="K60" i="31"/>
  <c r="G535" i="31"/>
  <c r="H532" i="49"/>
  <c r="M252" i="49"/>
  <c r="H394" i="49"/>
  <c r="R330" i="49"/>
  <c r="S602" i="49"/>
  <c r="G21" i="31"/>
  <c r="M272" i="31"/>
  <c r="I611" i="49"/>
  <c r="R31" i="49"/>
  <c r="T215" i="49"/>
  <c r="X475" i="31"/>
  <c r="AD207" i="49"/>
  <c r="AC450" i="49"/>
  <c r="AC537" i="49"/>
  <c r="M20" i="49"/>
  <c r="S19" i="31"/>
  <c r="N53" i="49"/>
  <c r="J56" i="31"/>
  <c r="Z537" i="31"/>
  <c r="M260" i="49"/>
  <c r="AD552" i="31"/>
  <c r="J194" i="49"/>
  <c r="Z174" i="31"/>
  <c r="W468" i="31"/>
  <c r="AB533" i="31"/>
  <c r="N532" i="31"/>
  <c r="X317" i="31"/>
  <c r="N444" i="31"/>
  <c r="Z575" i="31"/>
  <c r="AA87" i="49"/>
  <c r="K149" i="49"/>
  <c r="S258" i="31"/>
  <c r="V319" i="31"/>
  <c r="I414" i="49"/>
  <c r="U405" i="49"/>
  <c r="O161" i="31"/>
  <c r="S466" i="49"/>
  <c r="AB617" i="49"/>
  <c r="S49" i="49"/>
  <c r="N141" i="31"/>
  <c r="AC48" i="49"/>
  <c r="J296" i="31"/>
  <c r="J191" i="49"/>
  <c r="AD351" i="49"/>
  <c r="M270" i="49"/>
  <c r="G244" i="31"/>
  <c r="G523" i="31"/>
  <c r="U330" i="49"/>
  <c r="AA573" i="31"/>
  <c r="AA371" i="31"/>
  <c r="X74" i="31"/>
  <c r="V258" i="49"/>
  <c r="W257" i="31"/>
  <c r="Z440" i="31"/>
  <c r="Z573" i="31"/>
  <c r="O42" i="31"/>
  <c r="X240" i="49"/>
  <c r="K618" i="49"/>
  <c r="T568" i="49"/>
  <c r="G19" i="49"/>
  <c r="P562" i="49"/>
  <c r="H522" i="31"/>
  <c r="R308" i="31"/>
  <c r="P372" i="49"/>
  <c r="AB287" i="31"/>
  <c r="G443" i="31"/>
  <c r="P513" i="31"/>
  <c r="Y164" i="49"/>
  <c r="P460" i="31"/>
  <c r="U230" i="49"/>
  <c r="X31" i="49"/>
  <c r="Y226" i="31"/>
  <c r="N283" i="49"/>
  <c r="W139" i="49"/>
  <c r="AA276" i="49"/>
  <c r="M336" i="49"/>
  <c r="AB513" i="31"/>
  <c r="O244" i="49"/>
  <c r="O330" i="49"/>
  <c r="K225" i="49"/>
  <c r="Z175" i="49"/>
  <c r="R369" i="49"/>
  <c r="N521" i="49"/>
  <c r="W560" i="49"/>
  <c r="AD558" i="31"/>
  <c r="R509" i="49"/>
  <c r="J225" i="31"/>
  <c r="Z77" i="49"/>
  <c r="AB264" i="49"/>
  <c r="AA325" i="49"/>
  <c r="X552" i="31"/>
  <c r="H223" i="49"/>
  <c r="U408" i="31"/>
  <c r="AA200" i="49"/>
  <c r="M29" i="31"/>
  <c r="O467" i="31"/>
  <c r="M142" i="49"/>
  <c r="Y261" i="31"/>
  <c r="K603" i="31"/>
  <c r="G363" i="49"/>
  <c r="R447" i="49"/>
  <c r="M97" i="49"/>
  <c r="U161" i="49"/>
  <c r="AA344" i="31"/>
  <c r="X450" i="31"/>
  <c r="N175" i="49"/>
  <c r="P169" i="49"/>
  <c r="AA244" i="49"/>
  <c r="W353" i="31"/>
  <c r="K235" i="31"/>
  <c r="Q370" i="31"/>
  <c r="O128" i="49"/>
  <c r="Z279" i="31"/>
  <c r="P295" i="31"/>
  <c r="N378" i="31"/>
  <c r="S471" i="49"/>
  <c r="X320" i="49"/>
  <c r="O135" i="31"/>
  <c r="Y198" i="31"/>
  <c r="G607" i="49"/>
  <c r="O411" i="31"/>
  <c r="V42" i="49"/>
  <c r="L295" i="49"/>
  <c r="K272" i="49"/>
  <c r="M93" i="49"/>
  <c r="AD125" i="49"/>
  <c r="P190" i="49"/>
  <c r="U522" i="49"/>
  <c r="X285" i="49"/>
  <c r="O320" i="49"/>
  <c r="T477" i="49"/>
  <c r="X585" i="49"/>
  <c r="K82" i="49"/>
  <c r="AB28" i="49"/>
  <c r="L88" i="49"/>
  <c r="Z200" i="49"/>
  <c r="Q283" i="49"/>
  <c r="Q81" i="31"/>
  <c r="Y141" i="31"/>
  <c r="Y405" i="49"/>
  <c r="W400" i="49"/>
  <c r="R132" i="31"/>
  <c r="X195" i="31"/>
  <c r="G38" i="49"/>
  <c r="K87" i="49"/>
  <c r="G102" i="31"/>
  <c r="Q165" i="31"/>
  <c r="S291" i="49"/>
  <c r="T234" i="31"/>
  <c r="X31" i="31"/>
  <c r="Y432" i="31"/>
  <c r="J44" i="49"/>
  <c r="G472" i="31"/>
  <c r="O580" i="31"/>
  <c r="AB483" i="49"/>
  <c r="O337" i="49"/>
  <c r="Q411" i="31"/>
  <c r="M12" i="31"/>
  <c r="U70" i="31"/>
  <c r="AC353" i="49"/>
  <c r="V213" i="49"/>
  <c r="AB258" i="31"/>
  <c r="W410" i="31"/>
  <c r="K564" i="49"/>
  <c r="Q254" i="31"/>
  <c r="V249" i="31"/>
  <c r="P454" i="31"/>
  <c r="K610" i="49"/>
  <c r="K85" i="49"/>
  <c r="L564" i="49"/>
  <c r="U447" i="49"/>
  <c r="V16" i="49"/>
  <c r="U461" i="49"/>
  <c r="K214" i="49"/>
  <c r="AA460" i="49"/>
  <c r="Y64" i="49"/>
  <c r="K200" i="49"/>
  <c r="AD181" i="49"/>
  <c r="K261" i="49"/>
  <c r="Z598" i="31"/>
  <c r="M184" i="49"/>
  <c r="X463" i="31"/>
  <c r="L592" i="31"/>
  <c r="W274" i="49"/>
  <c r="Q426" i="31"/>
  <c r="X165" i="31"/>
  <c r="H225" i="31"/>
  <c r="L331" i="49"/>
  <c r="S457" i="31"/>
  <c r="Y615" i="31"/>
  <c r="AC587" i="31"/>
  <c r="AA385" i="49"/>
  <c r="J95" i="49"/>
  <c r="P187" i="31"/>
  <c r="X245" i="31"/>
  <c r="AB319" i="49"/>
  <c r="V304" i="31"/>
  <c r="M597" i="31"/>
  <c r="Q554" i="31"/>
  <c r="Y258" i="49"/>
  <c r="U305" i="49"/>
  <c r="Q74" i="31"/>
  <c r="Y134" i="31"/>
  <c r="V245" i="49"/>
  <c r="S591" i="49"/>
  <c r="L190" i="31"/>
  <c r="Z253" i="31"/>
  <c r="X326" i="49"/>
  <c r="P579" i="49"/>
  <c r="G95" i="31"/>
  <c r="O159" i="31"/>
  <c r="M227" i="49"/>
  <c r="Q304" i="49"/>
  <c r="Z65" i="31"/>
  <c r="AC579" i="49"/>
  <c r="H396" i="49"/>
  <c r="X167" i="31"/>
  <c r="AD508" i="31"/>
  <c r="K543" i="31"/>
  <c r="R291" i="49"/>
  <c r="V287" i="49"/>
  <c r="P491" i="49"/>
  <c r="G54" i="49"/>
  <c r="Q115" i="49"/>
  <c r="I266" i="31"/>
  <c r="Q180" i="49"/>
  <c r="S309" i="49"/>
  <c r="O502" i="49"/>
  <c r="J264" i="31"/>
  <c r="Y212" i="49"/>
  <c r="Z218" i="49"/>
  <c r="W577" i="49"/>
  <c r="Q375" i="49"/>
  <c r="N370" i="49"/>
  <c r="AA331" i="49"/>
  <c r="T270" i="49"/>
  <c r="Z124" i="31"/>
  <c r="K434" i="31"/>
  <c r="X496" i="31"/>
  <c r="Z116" i="31"/>
  <c r="W194" i="31"/>
  <c r="U319" i="31"/>
  <c r="I414" i="31"/>
  <c r="G464" i="49"/>
  <c r="X56" i="31"/>
  <c r="T348" i="31"/>
  <c r="V430" i="31"/>
  <c r="O490" i="49"/>
  <c r="P563" i="31"/>
  <c r="T426" i="49"/>
  <c r="L597" i="49"/>
  <c r="M324" i="31"/>
  <c r="R63" i="31"/>
  <c r="R135" i="31"/>
  <c r="O163" i="31"/>
  <c r="W132" i="31"/>
  <c r="X432" i="31"/>
  <c r="W53" i="31"/>
  <c r="V559" i="31"/>
  <c r="Z101" i="31"/>
  <c r="Y236" i="31"/>
  <c r="Y372" i="31"/>
  <c r="Y583" i="49"/>
  <c r="J210" i="49"/>
  <c r="I197" i="49"/>
  <c r="X111" i="49"/>
  <c r="S491" i="49"/>
  <c r="Z257" i="31"/>
  <c r="P499" i="31"/>
  <c r="T290" i="31"/>
  <c r="AB513" i="49"/>
  <c r="H213" i="49"/>
  <c r="S470" i="49"/>
  <c r="S502" i="49"/>
  <c r="M76" i="31"/>
  <c r="V601" i="49"/>
  <c r="P323" i="49"/>
  <c r="AB400" i="49"/>
  <c r="P95" i="31"/>
  <c r="G211" i="49"/>
  <c r="J172" i="31"/>
  <c r="Q288" i="31"/>
  <c r="S424" i="31"/>
  <c r="AC457" i="49"/>
  <c r="R289" i="49"/>
  <c r="AB152" i="49"/>
  <c r="Y351" i="49"/>
  <c r="S478" i="49"/>
  <c r="Q268" i="31"/>
  <c r="M591" i="31"/>
  <c r="U297" i="31"/>
  <c r="P292" i="49"/>
  <c r="Z264" i="31"/>
  <c r="Z112" i="31"/>
  <c r="J174" i="31"/>
  <c r="G171" i="49"/>
  <c r="L597" i="31"/>
  <c r="O69" i="49"/>
  <c r="AC520" i="49"/>
  <c r="V575" i="49"/>
  <c r="Y132" i="31"/>
  <c r="AD37" i="49"/>
  <c r="N97" i="49"/>
  <c r="Z120" i="31"/>
  <c r="R519" i="31"/>
  <c r="Q576" i="49"/>
  <c r="S282" i="49"/>
  <c r="G438" i="49"/>
  <c r="N271" i="31"/>
  <c r="H610" i="49"/>
  <c r="AD507" i="49"/>
  <c r="X439" i="49"/>
  <c r="AD475" i="49"/>
  <c r="G44" i="49"/>
  <c r="M308" i="49"/>
  <c r="AA460" i="31"/>
  <c r="H353" i="31"/>
  <c r="O336" i="31"/>
  <c r="I166" i="31"/>
  <c r="T447" i="31"/>
  <c r="X276" i="31"/>
  <c r="I247" i="49"/>
  <c r="AC72" i="31"/>
  <c r="H552" i="49"/>
  <c r="M498" i="49"/>
  <c r="O586" i="49"/>
  <c r="G187" i="49"/>
  <c r="T384" i="49"/>
  <c r="X571" i="49"/>
  <c r="AB343" i="49"/>
  <c r="X185" i="49"/>
  <c r="O269" i="31"/>
  <c r="M383" i="49"/>
  <c r="X556" i="49"/>
  <c r="O291" i="49"/>
  <c r="V49" i="31"/>
  <c r="T407" i="49"/>
  <c r="L406" i="49"/>
  <c r="S200" i="31"/>
  <c r="Q176" i="31"/>
  <c r="Y605" i="31"/>
  <c r="AC534" i="31"/>
  <c r="X142" i="31"/>
  <c r="R461" i="49"/>
  <c r="Y401" i="49"/>
  <c r="S419" i="49"/>
  <c r="L34" i="49"/>
  <c r="Q479" i="49"/>
  <c r="R341" i="49"/>
  <c r="Q133" i="31"/>
  <c r="W196" i="31"/>
  <c r="K338" i="49"/>
  <c r="G610" i="31"/>
  <c r="O511" i="31"/>
  <c r="W494" i="31"/>
  <c r="M524" i="49"/>
  <c r="Z282" i="31"/>
  <c r="Z163" i="31"/>
  <c r="H234" i="31"/>
  <c r="AB430" i="49"/>
  <c r="S226" i="49"/>
  <c r="J511" i="49"/>
  <c r="S379" i="49"/>
  <c r="Y175" i="31"/>
  <c r="AD25" i="49"/>
  <c r="M581" i="31"/>
  <c r="U610" i="31"/>
  <c r="AC441" i="49"/>
  <c r="H598" i="49"/>
  <c r="Z92" i="31"/>
  <c r="J154" i="31"/>
  <c r="S537" i="49"/>
  <c r="W606" i="49"/>
  <c r="Q63" i="31"/>
  <c r="Y123" i="31"/>
  <c r="AA505" i="49"/>
  <c r="Y199" i="49"/>
  <c r="H115" i="49"/>
  <c r="N357" i="49"/>
  <c r="R471" i="31"/>
  <c r="AC257" i="49"/>
  <c r="V580" i="49"/>
  <c r="K368" i="31"/>
  <c r="L493" i="31"/>
  <c r="S549" i="49"/>
  <c r="V297" i="49"/>
  <c r="W240" i="31"/>
  <c r="G412" i="49"/>
  <c r="L467" i="49"/>
  <c r="I525" i="31"/>
  <c r="P534" i="31"/>
  <c r="L285" i="49"/>
  <c r="AD249" i="49"/>
  <c r="L165" i="49"/>
  <c r="X608" i="49"/>
  <c r="Q369" i="49"/>
  <c r="P235" i="31"/>
  <c r="I23" i="31"/>
  <c r="J120" i="31"/>
  <c r="T395" i="49"/>
  <c r="G206" i="31"/>
  <c r="Q274" i="31"/>
  <c r="G443" i="49"/>
  <c r="U526" i="31"/>
  <c r="W493" i="31"/>
  <c r="J29" i="31"/>
  <c r="I337" i="31"/>
  <c r="U480" i="49"/>
  <c r="AA259" i="31"/>
  <c r="J449" i="49"/>
  <c r="M497" i="31"/>
  <c r="G342" i="49"/>
  <c r="Q123" i="49"/>
  <c r="I130" i="31"/>
  <c r="O193" i="31"/>
  <c r="Y129" i="49"/>
  <c r="S520" i="49"/>
  <c r="U467" i="31"/>
  <c r="V532" i="31"/>
  <c r="M471" i="49"/>
  <c r="O30" i="49"/>
  <c r="Y369" i="31"/>
  <c r="Q448" i="31"/>
  <c r="N326" i="49"/>
  <c r="O575" i="49"/>
  <c r="U598" i="49"/>
  <c r="Q175" i="49"/>
  <c r="Z555" i="31"/>
  <c r="M616" i="31"/>
  <c r="O579" i="31"/>
  <c r="S341" i="31"/>
  <c r="J14" i="49"/>
  <c r="R84" i="31"/>
  <c r="V139" i="31"/>
  <c r="V213" i="31"/>
  <c r="Q572" i="49"/>
  <c r="I55" i="31"/>
  <c r="Q56" i="31"/>
  <c r="W117" i="31"/>
  <c r="W269" i="49"/>
  <c r="AA611" i="49"/>
  <c r="S349" i="49"/>
  <c r="AA167" i="49"/>
  <c r="W231" i="49"/>
  <c r="J44" i="31"/>
  <c r="R104" i="31"/>
  <c r="O618" i="49"/>
  <c r="Q546" i="49"/>
  <c r="Y15" i="31"/>
  <c r="I75" i="31"/>
  <c r="R370" i="31"/>
  <c r="AD452" i="49"/>
  <c r="I258" i="31"/>
  <c r="K606" i="31"/>
  <c r="L343" i="49"/>
  <c r="K489" i="49"/>
  <c r="W52" i="49"/>
  <c r="U464" i="49"/>
  <c r="N440" i="49"/>
  <c r="H227" i="31"/>
  <c r="L515" i="31"/>
  <c r="G17" i="31"/>
  <c r="G440" i="31"/>
  <c r="W198" i="31"/>
  <c r="I200" i="31"/>
  <c r="M265" i="31"/>
  <c r="L503" i="31"/>
  <c r="I41" i="49"/>
  <c r="W149" i="31"/>
  <c r="L210" i="31"/>
  <c r="AC420" i="31"/>
  <c r="Q261" i="49"/>
  <c r="H268" i="49"/>
  <c r="M237" i="49"/>
  <c r="AA477" i="31"/>
  <c r="K441" i="31"/>
  <c r="AC176" i="49"/>
  <c r="AA585" i="49"/>
  <c r="L297" i="31"/>
  <c r="AB432" i="49"/>
  <c r="G297" i="49"/>
  <c r="AA359" i="31"/>
  <c r="X490" i="49"/>
  <c r="N309" i="31"/>
  <c r="T331" i="31"/>
  <c r="Q257" i="49"/>
  <c r="G295" i="49"/>
  <c r="X166" i="31"/>
  <c r="AC14" i="49"/>
  <c r="AC143" i="49"/>
  <c r="G353" i="31"/>
  <c r="H326" i="31"/>
  <c r="AC131" i="31"/>
  <c r="U146" i="31"/>
  <c r="Z183" i="49"/>
  <c r="H607" i="31"/>
  <c r="W412" i="31"/>
  <c r="Z41" i="49"/>
  <c r="S92" i="49"/>
  <c r="M112" i="49"/>
  <c r="Q217" i="49"/>
  <c r="M233" i="49"/>
  <c r="G508" i="49"/>
  <c r="AA370" i="31"/>
  <c r="AC123" i="49"/>
  <c r="L258" i="31"/>
  <c r="G299" i="31"/>
  <c r="AC122" i="49"/>
  <c r="S125" i="31"/>
  <c r="H546" i="31"/>
  <c r="T323" i="31"/>
  <c r="AC241" i="31"/>
  <c r="Z21" i="49"/>
  <c r="AC278" i="49"/>
  <c r="G344" i="49"/>
  <c r="M499" i="31"/>
  <c r="X294" i="31"/>
  <c r="O462" i="49"/>
  <c r="AC454" i="31"/>
  <c r="T381" i="49"/>
  <c r="V458" i="49"/>
  <c r="AC575" i="31"/>
  <c r="U517" i="49"/>
  <c r="H216" i="31"/>
  <c r="W288" i="31"/>
  <c r="Z239" i="31"/>
  <c r="K513" i="31"/>
  <c r="T378" i="31"/>
  <c r="G397" i="31"/>
  <c r="H411" i="31"/>
  <c r="L546" i="31"/>
  <c r="L145" i="49"/>
  <c r="I139" i="31"/>
  <c r="X353" i="31"/>
  <c r="AC247" i="31"/>
  <c r="G473" i="31"/>
  <c r="AB288" i="31"/>
  <c r="K58" i="31"/>
  <c r="AC174" i="31"/>
  <c r="L465" i="31"/>
  <c r="M522" i="31"/>
  <c r="U106" i="49"/>
  <c r="AC170" i="49"/>
  <c r="AB447" i="31"/>
  <c r="X92" i="31"/>
  <c r="M420" i="49"/>
  <c r="Y406" i="49"/>
  <c r="G181" i="31"/>
  <c r="J495" i="49"/>
  <c r="AB549" i="49"/>
  <c r="K67" i="49"/>
  <c r="L166" i="31"/>
  <c r="W51" i="31"/>
  <c r="G42" i="49"/>
  <c r="Q299" i="49"/>
  <c r="O372" i="49"/>
  <c r="AC421" i="31"/>
  <c r="Q247" i="31"/>
  <c r="G479" i="31"/>
  <c r="S508" i="49"/>
  <c r="U207" i="49"/>
  <c r="AA307" i="31"/>
  <c r="X78" i="31"/>
  <c r="H397" i="31"/>
  <c r="Q124" i="31"/>
  <c r="Q149" i="31"/>
  <c r="Y211" i="31"/>
  <c r="J150" i="49"/>
  <c r="O461" i="31"/>
  <c r="O437" i="31"/>
  <c r="L507" i="31"/>
  <c r="Q420" i="49"/>
  <c r="Z216" i="31"/>
  <c r="R525" i="31"/>
  <c r="J312" i="31"/>
  <c r="G117" i="49"/>
  <c r="W576" i="31"/>
  <c r="Q446" i="31"/>
  <c r="X517" i="31"/>
  <c r="M232" i="49"/>
  <c r="P23" i="31"/>
  <c r="AC427" i="31"/>
  <c r="R491" i="31"/>
  <c r="Q335" i="49"/>
  <c r="G309" i="31"/>
  <c r="J365" i="49"/>
  <c r="AA521" i="49"/>
  <c r="V386" i="49"/>
  <c r="AD19" i="49"/>
  <c r="K262" i="49"/>
  <c r="G338" i="49"/>
  <c r="H99" i="31"/>
  <c r="J587" i="49"/>
  <c r="V385" i="49"/>
  <c r="Q524" i="49"/>
  <c r="W68" i="31"/>
  <c r="J454" i="31"/>
  <c r="G235" i="49"/>
  <c r="R462" i="49"/>
  <c r="I618" i="31"/>
  <c r="AA402" i="31"/>
  <c r="J73" i="31"/>
  <c r="P574" i="31"/>
  <c r="I249" i="49"/>
  <c r="S411" i="49"/>
  <c r="J337" i="31"/>
  <c r="J420" i="31"/>
  <c r="T599" i="31"/>
  <c r="X149" i="49"/>
  <c r="W458" i="49"/>
  <c r="T40" i="49"/>
  <c r="X141" i="49"/>
  <c r="Z502" i="49"/>
  <c r="AC117" i="49"/>
  <c r="M181" i="49"/>
  <c r="AA368" i="31"/>
  <c r="G55" i="31"/>
  <c r="X115" i="49"/>
  <c r="AB361" i="49"/>
  <c r="Z525" i="49"/>
  <c r="Z324" i="49"/>
  <c r="I432" i="49"/>
  <c r="Q94" i="31"/>
  <c r="P598" i="31"/>
  <c r="L330" i="31"/>
  <c r="P167" i="49"/>
  <c r="AA432" i="31"/>
  <c r="V145" i="49"/>
  <c r="Y514" i="49"/>
  <c r="W139" i="31"/>
  <c r="I202" i="31"/>
  <c r="S117" i="31"/>
  <c r="P209" i="31"/>
  <c r="K318" i="49"/>
  <c r="R472" i="49"/>
  <c r="P443" i="31"/>
  <c r="U131" i="49"/>
  <c r="X341" i="49"/>
  <c r="W415" i="49"/>
  <c r="U611" i="31"/>
  <c r="H329" i="49"/>
  <c r="V243" i="31"/>
  <c r="J251" i="49"/>
  <c r="H151" i="31"/>
  <c r="AB339" i="31"/>
  <c r="L32" i="49"/>
  <c r="T92" i="49"/>
  <c r="K135" i="31"/>
  <c r="T12" i="49"/>
  <c r="G100" i="31"/>
  <c r="Q163" i="31"/>
  <c r="R464" i="31"/>
  <c r="R453" i="31"/>
  <c r="U404" i="31"/>
  <c r="AC327" i="31"/>
  <c r="J147" i="31"/>
  <c r="N335" i="31"/>
  <c r="N418" i="31"/>
  <c r="Z236" i="31"/>
  <c r="W61" i="31"/>
  <c r="O138" i="31"/>
  <c r="V288" i="31"/>
  <c r="N222" i="31"/>
  <c r="AA10" i="31"/>
  <c r="AC497" i="31"/>
  <c r="L43" i="31"/>
  <c r="Z552" i="31"/>
  <c r="G359" i="49"/>
  <c r="L242" i="31"/>
  <c r="U607" i="49"/>
  <c r="Y480" i="49"/>
  <c r="Q124" i="49"/>
  <c r="AB484" i="31"/>
  <c r="R455" i="49"/>
  <c r="M563" i="31"/>
  <c r="Q433" i="49"/>
  <c r="AA439" i="31"/>
  <c r="K372" i="49"/>
  <c r="Q550" i="49"/>
  <c r="AC334" i="49"/>
  <c r="R205" i="31"/>
  <c r="AA310" i="31"/>
  <c r="N55" i="31"/>
  <c r="O130" i="49"/>
  <c r="AC197" i="31"/>
  <c r="Y255" i="31"/>
  <c r="I292" i="49"/>
  <c r="N428" i="49"/>
  <c r="W478" i="31"/>
  <c r="L18" i="31"/>
  <c r="S615" i="49"/>
  <c r="Y470" i="31"/>
  <c r="N239" i="49"/>
  <c r="G357" i="49"/>
  <c r="P282" i="31"/>
  <c r="L426" i="49"/>
  <c r="N439" i="31"/>
  <c r="H189" i="31"/>
  <c r="R246" i="31"/>
  <c r="Z564" i="31"/>
  <c r="AD475" i="31"/>
  <c r="V260" i="31"/>
  <c r="I597" i="31"/>
  <c r="S331" i="31"/>
  <c r="AA384" i="31"/>
  <c r="S455" i="31"/>
  <c r="J50" i="31"/>
  <c r="P214" i="31"/>
  <c r="AB521" i="31"/>
  <c r="Q437" i="31"/>
  <c r="T409" i="49"/>
  <c r="J137" i="31"/>
  <c r="I551" i="31"/>
  <c r="W95" i="31"/>
  <c r="I160" i="31"/>
  <c r="AA201" i="31"/>
  <c r="H491" i="49"/>
  <c r="T473" i="49"/>
  <c r="H24" i="31"/>
  <c r="S352" i="31"/>
  <c r="AA129" i="49"/>
  <c r="K193" i="49"/>
  <c r="L430" i="31"/>
  <c r="J375" i="31"/>
  <c r="P176" i="49"/>
  <c r="H258" i="49"/>
  <c r="L84" i="49"/>
  <c r="L598" i="49"/>
  <c r="I594" i="49"/>
  <c r="G292" i="31"/>
  <c r="O555" i="31"/>
  <c r="Z570" i="31"/>
  <c r="T58" i="49"/>
  <c r="P461" i="31"/>
  <c r="L590" i="31"/>
  <c r="U200" i="49"/>
  <c r="S511" i="49"/>
  <c r="N75" i="49"/>
  <c r="V135" i="49"/>
  <c r="Y324" i="49"/>
  <c r="P61" i="31"/>
  <c r="S248" i="49"/>
  <c r="AC331" i="49"/>
  <c r="U343" i="49"/>
  <c r="T339" i="49"/>
  <c r="K299" i="49"/>
  <c r="T226" i="49"/>
  <c r="X590" i="31"/>
  <c r="S245" i="49"/>
  <c r="U364" i="49"/>
  <c r="O494" i="49"/>
  <c r="J54" i="49"/>
  <c r="N44" i="49"/>
  <c r="V296" i="49"/>
  <c r="AB363" i="49"/>
  <c r="V133" i="31"/>
  <c r="W42" i="49"/>
  <c r="G302" i="49"/>
  <c r="M373" i="49"/>
  <c r="Z132" i="49"/>
  <c r="L146" i="49"/>
  <c r="Z428" i="31"/>
  <c r="I192" i="31"/>
  <c r="I211" i="49"/>
  <c r="AC554" i="49"/>
  <c r="S613" i="49"/>
  <c r="V81" i="49"/>
  <c r="G184" i="49"/>
  <c r="N568" i="49"/>
  <c r="R353" i="49"/>
  <c r="H87" i="31"/>
  <c r="W500" i="49"/>
  <c r="V417" i="49"/>
  <c r="L284" i="49"/>
  <c r="I269" i="49"/>
  <c r="G14" i="49"/>
  <c r="M466" i="49"/>
  <c r="AB304" i="49"/>
  <c r="G383" i="49"/>
  <c r="X483" i="49"/>
  <c r="I409" i="49"/>
  <c r="U400" i="49"/>
  <c r="Q325" i="31"/>
  <c r="AB415" i="49"/>
  <c r="P173" i="49"/>
  <c r="P258" i="49"/>
  <c r="P122" i="31"/>
  <c r="O29" i="49"/>
  <c r="O148" i="49"/>
  <c r="T209" i="49"/>
  <c r="Q474" i="31"/>
  <c r="L470" i="49"/>
  <c r="J76" i="31"/>
  <c r="AC362" i="31"/>
  <c r="AC447" i="31"/>
  <c r="AD190" i="31"/>
  <c r="AA478" i="49"/>
  <c r="G525" i="31"/>
  <c r="J400" i="49"/>
  <c r="M342" i="49"/>
  <c r="P368" i="31"/>
  <c r="AD556" i="31"/>
  <c r="G216" i="49"/>
  <c r="AD302" i="49"/>
  <c r="V434" i="31"/>
  <c r="V349" i="49"/>
  <c r="V105" i="31"/>
  <c r="T182" i="31"/>
  <c r="Z181" i="31"/>
  <c r="V247" i="31"/>
  <c r="V103" i="49"/>
  <c r="Q610" i="31"/>
  <c r="T262" i="49"/>
  <c r="S578" i="49"/>
  <c r="AD590" i="49"/>
  <c r="N16" i="49"/>
  <c r="X63" i="49"/>
  <c r="Z254" i="49"/>
  <c r="P341" i="31"/>
  <c r="J465" i="31"/>
  <c r="I381" i="31"/>
  <c r="G597" i="31"/>
  <c r="P264" i="31"/>
  <c r="Z341" i="31"/>
  <c r="J341" i="31"/>
  <c r="H423" i="31"/>
  <c r="R106" i="31"/>
  <c r="P110" i="31"/>
  <c r="K327" i="49"/>
  <c r="Q191" i="49"/>
  <c r="V58" i="49"/>
  <c r="H424" i="49"/>
  <c r="R143" i="31"/>
  <c r="R427" i="31"/>
  <c r="M22" i="49"/>
  <c r="U82" i="49"/>
  <c r="N37" i="31"/>
  <c r="X285" i="31"/>
  <c r="Z546" i="31"/>
  <c r="I453" i="49"/>
  <c r="I457" i="49"/>
  <c r="U448" i="49"/>
  <c r="G19" i="31"/>
  <c r="T264" i="31"/>
  <c r="S532" i="49"/>
  <c r="X563" i="31"/>
  <c r="Q103" i="49"/>
  <c r="W166" i="49"/>
  <c r="T302" i="31"/>
  <c r="K65" i="49"/>
  <c r="Y338" i="49"/>
  <c r="Q475" i="49"/>
  <c r="R470" i="31"/>
  <c r="W199" i="49"/>
  <c r="H316" i="49"/>
  <c r="V326" i="49"/>
  <c r="M364" i="49"/>
  <c r="L379" i="49"/>
  <c r="X564" i="49"/>
  <c r="I617" i="49"/>
  <c r="G599" i="49"/>
  <c r="M536" i="49"/>
  <c r="V570" i="31"/>
  <c r="V110" i="49"/>
  <c r="V586" i="31"/>
  <c r="K186" i="31"/>
  <c r="I421" i="31"/>
  <c r="V483" i="31"/>
  <c r="M511" i="49"/>
  <c r="Y93" i="31"/>
  <c r="Z447" i="31"/>
  <c r="AA401" i="31"/>
  <c r="U616" i="49"/>
  <c r="O532" i="49"/>
  <c r="P14" i="49"/>
  <c r="AB612" i="49"/>
  <c r="T345" i="49"/>
  <c r="AA576" i="49"/>
  <c r="AD34" i="31"/>
  <c r="L95" i="31"/>
  <c r="S485" i="31"/>
  <c r="G464" i="31"/>
  <c r="AA231" i="49"/>
  <c r="L451" i="49"/>
  <c r="K510" i="31"/>
  <c r="AB477" i="31"/>
  <c r="M74" i="49"/>
  <c r="U134" i="49"/>
  <c r="AC483" i="49"/>
  <c r="K265" i="49"/>
  <c r="N196" i="49"/>
  <c r="G273" i="31"/>
  <c r="AA176" i="31"/>
  <c r="K236" i="31"/>
  <c r="M379" i="49"/>
  <c r="AC552" i="49"/>
  <c r="I349" i="31"/>
  <c r="H342" i="49"/>
  <c r="K132" i="49"/>
  <c r="U195" i="49"/>
  <c r="R332" i="31"/>
  <c r="H357" i="49"/>
  <c r="M195" i="31"/>
  <c r="S252" i="31"/>
  <c r="O116" i="49"/>
  <c r="AC155" i="49"/>
  <c r="O281" i="31"/>
  <c r="V602" i="49"/>
  <c r="M498" i="31"/>
  <c r="U365" i="31"/>
  <c r="M151" i="31"/>
  <c r="U213" i="31"/>
  <c r="U104" i="49"/>
  <c r="M179" i="49"/>
  <c r="AA133" i="31"/>
  <c r="K197" i="31"/>
  <c r="K346" i="49"/>
  <c r="Z408" i="49"/>
  <c r="V445" i="49"/>
  <c r="Q545" i="49"/>
  <c r="AD608" i="49"/>
  <c r="G385" i="49"/>
  <c r="AA135" i="31"/>
  <c r="M535" i="31"/>
  <c r="H310" i="31"/>
  <c r="J396" i="31"/>
  <c r="Z218" i="31"/>
  <c r="R99" i="31"/>
  <c r="O224" i="49"/>
  <c r="J23" i="49"/>
  <c r="Q191" i="31"/>
  <c r="H448" i="31"/>
  <c r="AA465" i="31"/>
  <c r="P260" i="31"/>
  <c r="J118" i="31"/>
  <c r="M120" i="49"/>
  <c r="P475" i="49"/>
  <c r="W54" i="49"/>
  <c r="G116" i="49"/>
  <c r="I556" i="31"/>
  <c r="AD456" i="49"/>
  <c r="P468" i="49"/>
  <c r="K295" i="49"/>
  <c r="I45" i="31"/>
  <c r="AC579" i="31"/>
  <c r="J48" i="31"/>
  <c r="AC616" i="49"/>
  <c r="K513" i="49"/>
  <c r="I518" i="49"/>
  <c r="H413" i="49"/>
  <c r="L411" i="49"/>
  <c r="R198" i="31"/>
  <c r="H230" i="31"/>
  <c r="H402" i="31"/>
  <c r="N552" i="49"/>
  <c r="N492" i="31"/>
  <c r="W296" i="31"/>
  <c r="V21" i="31"/>
  <c r="Z327" i="31"/>
  <c r="R302" i="49"/>
  <c r="J239" i="31"/>
  <c r="L456" i="31"/>
  <c r="S423" i="49"/>
  <c r="T337" i="31"/>
  <c r="K489" i="31"/>
  <c r="S578" i="31"/>
  <c r="O82" i="49"/>
  <c r="AA443" i="49"/>
  <c r="V400" i="31"/>
  <c r="J533" i="31"/>
  <c r="R160" i="49"/>
  <c r="K288" i="31"/>
  <c r="O395" i="31"/>
  <c r="G457" i="31"/>
  <c r="H603" i="31"/>
  <c r="I30" i="31"/>
  <c r="N410" i="31"/>
  <c r="I20" i="49"/>
  <c r="W396" i="31"/>
  <c r="V137" i="49"/>
  <c r="H150" i="31"/>
  <c r="O350" i="31"/>
  <c r="Y16" i="49"/>
  <c r="I176" i="49"/>
  <c r="V154" i="49"/>
  <c r="M171" i="49"/>
  <c r="AC172" i="31"/>
  <c r="H66" i="49"/>
  <c r="AA310" i="49"/>
  <c r="T454" i="31"/>
  <c r="P572" i="31"/>
  <c r="N30" i="49"/>
  <c r="I93" i="49"/>
  <c r="X380" i="49"/>
  <c r="N68" i="31"/>
  <c r="V439" i="49"/>
  <c r="G493" i="31"/>
  <c r="AB576" i="49"/>
  <c r="V36" i="49"/>
  <c r="AA558" i="31"/>
  <c r="AC522" i="31"/>
  <c r="Q292" i="31"/>
  <c r="AB79" i="31"/>
  <c r="U117" i="31"/>
  <c r="K131" i="31"/>
  <c r="R167" i="49"/>
  <c r="Y547" i="49"/>
  <c r="Q386" i="31"/>
  <c r="R27" i="49"/>
  <c r="M77" i="49"/>
  <c r="AC570" i="49"/>
  <c r="V199" i="49"/>
  <c r="T211" i="49"/>
  <c r="AC78" i="31"/>
  <c r="Q327" i="31"/>
  <c r="S110" i="49"/>
  <c r="H292" i="31"/>
  <c r="S415" i="49"/>
  <c r="M574" i="49"/>
  <c r="M112" i="31"/>
  <c r="T463" i="31"/>
  <c r="H149" i="49"/>
  <c r="S226" i="31"/>
  <c r="AA405" i="49"/>
  <c r="Y222" i="49"/>
  <c r="T230" i="31"/>
  <c r="W514" i="31"/>
  <c r="T276" i="31"/>
  <c r="K224" i="49"/>
  <c r="U440" i="31"/>
  <c r="Y45" i="31"/>
  <c r="M210" i="31"/>
  <c r="AD270" i="31"/>
  <c r="U106" i="31"/>
  <c r="Y197" i="49"/>
  <c r="R103" i="49"/>
  <c r="T552" i="49"/>
  <c r="AA422" i="49"/>
  <c r="X431" i="49"/>
  <c r="M17" i="49"/>
  <c r="X274" i="49"/>
  <c r="V545" i="31"/>
  <c r="Y30" i="49"/>
  <c r="G134" i="31"/>
  <c r="N368" i="31"/>
  <c r="Y94" i="49"/>
  <c r="G159" i="49"/>
  <c r="M282" i="31"/>
  <c r="AA56" i="31"/>
  <c r="S171" i="31"/>
  <c r="L461" i="31"/>
  <c r="M303" i="31"/>
  <c r="K103" i="49"/>
  <c r="U166" i="49"/>
  <c r="AD335" i="31"/>
  <c r="T88" i="31"/>
  <c r="M441" i="49"/>
  <c r="Y427" i="49"/>
  <c r="W175" i="31"/>
  <c r="AD381" i="31"/>
  <c r="AB296" i="49"/>
  <c r="AA63" i="49"/>
  <c r="L162" i="31"/>
  <c r="M110" i="49"/>
  <c r="AB30" i="49"/>
  <c r="AC414" i="49"/>
  <c r="J68" i="49"/>
  <c r="K414" i="31"/>
  <c r="W246" i="31"/>
  <c r="G491" i="31"/>
  <c r="J575" i="49"/>
  <c r="J323" i="31"/>
  <c r="AA319" i="31"/>
  <c r="H78" i="31"/>
  <c r="W239" i="49"/>
  <c r="K195" i="49"/>
  <c r="I155" i="31"/>
  <c r="O216" i="31"/>
  <c r="G326" i="49"/>
  <c r="L234" i="49"/>
  <c r="Y434" i="31"/>
  <c r="P505" i="31"/>
  <c r="AD378" i="49"/>
  <c r="J218" i="31"/>
  <c r="X524" i="31"/>
  <c r="P311" i="31"/>
  <c r="AA552" i="49"/>
  <c r="W567" i="31"/>
  <c r="W445" i="31"/>
  <c r="H517" i="31"/>
  <c r="N401" i="49"/>
  <c r="P19" i="31"/>
  <c r="U433" i="31"/>
  <c r="H496" i="31"/>
  <c r="T29" i="49"/>
  <c r="W40" i="49"/>
  <c r="J357" i="49"/>
  <c r="M519" i="49"/>
  <c r="P551" i="31"/>
  <c r="N21" i="49"/>
  <c r="K252" i="49"/>
  <c r="O334" i="49"/>
  <c r="L161" i="49"/>
  <c r="R595" i="49"/>
  <c r="V375" i="49"/>
  <c r="V522" i="49"/>
  <c r="G138" i="49"/>
  <c r="L449" i="31"/>
  <c r="Z514" i="49"/>
  <c r="J460" i="49"/>
  <c r="I607" i="31"/>
  <c r="W545" i="49"/>
  <c r="H611" i="49"/>
  <c r="J571" i="31"/>
  <c r="P245" i="49"/>
  <c r="M514" i="31"/>
  <c r="Q221" i="49"/>
  <c r="W283" i="49"/>
  <c r="N488" i="31"/>
  <c r="V93" i="31"/>
  <c r="L554" i="49"/>
  <c r="P601" i="49"/>
  <c r="V567" i="31"/>
  <c r="R496" i="49"/>
  <c r="S114" i="49"/>
  <c r="AC175" i="49"/>
  <c r="AC363" i="31"/>
  <c r="Q52" i="31"/>
  <c r="Y285" i="49"/>
  <c r="M271" i="49"/>
  <c r="J594" i="31"/>
  <c r="I480" i="31"/>
  <c r="O239" i="31"/>
  <c r="U374" i="31"/>
  <c r="P342" i="49"/>
  <c r="O40" i="31"/>
  <c r="J298" i="31"/>
  <c r="AD384" i="31"/>
  <c r="Y166" i="49"/>
  <c r="O514" i="49"/>
  <c r="G139" i="31"/>
  <c r="O201" i="31"/>
  <c r="N380" i="49"/>
  <c r="X201" i="31"/>
  <c r="U311" i="49"/>
  <c r="S384" i="49"/>
  <c r="G585" i="49"/>
  <c r="Z484" i="31"/>
  <c r="V129" i="49"/>
  <c r="N193" i="49"/>
  <c r="Q334" i="31"/>
  <c r="N117" i="49"/>
  <c r="O324" i="49"/>
  <c r="H486" i="49"/>
  <c r="X147" i="31"/>
  <c r="N342" i="31"/>
  <c r="V31" i="49"/>
  <c r="AD91" i="49"/>
  <c r="R558" i="31"/>
  <c r="AA589" i="49"/>
  <c r="Y95" i="31"/>
  <c r="G160" i="31"/>
  <c r="Y84" i="49"/>
  <c r="K278" i="31"/>
  <c r="K401" i="31"/>
  <c r="AC555" i="31"/>
  <c r="H142" i="31"/>
  <c r="Y30" i="31"/>
  <c r="L413" i="31"/>
  <c r="P233" i="31"/>
  <c r="Q58" i="31"/>
  <c r="O142" i="31"/>
  <c r="R34" i="31"/>
  <c r="U271" i="49"/>
  <c r="N60" i="49"/>
  <c r="AC513" i="31"/>
  <c r="AB41" i="31"/>
  <c r="R548" i="31"/>
  <c r="Y352" i="49"/>
  <c r="W464" i="49"/>
  <c r="N605" i="49"/>
  <c r="G478" i="49"/>
  <c r="U497" i="49"/>
  <c r="Z154" i="49"/>
  <c r="R451" i="49"/>
  <c r="M589" i="31"/>
  <c r="N372" i="49"/>
  <c r="S423" i="31"/>
  <c r="U371" i="49"/>
  <c r="G550" i="49"/>
  <c r="P606" i="49"/>
  <c r="R189" i="31"/>
  <c r="N348" i="49"/>
  <c r="P596" i="31"/>
  <c r="O401" i="49"/>
  <c r="Y284" i="49"/>
  <c r="AA504" i="49"/>
  <c r="N414" i="31"/>
  <c r="X421" i="49"/>
  <c r="K239" i="49"/>
  <c r="AD430" i="49"/>
  <c r="T36" i="49"/>
  <c r="Y289" i="31"/>
  <c r="Q126" i="31"/>
  <c r="H467" i="31"/>
  <c r="AB594" i="31"/>
  <c r="AA131" i="31"/>
  <c r="Z472" i="31"/>
  <c r="J182" i="31"/>
  <c r="R240" i="31"/>
  <c r="R460" i="31"/>
  <c r="T472" i="31"/>
  <c r="L257" i="31"/>
  <c r="V463" i="49"/>
  <c r="S501" i="31"/>
  <c r="S374" i="31"/>
  <c r="M452" i="31"/>
  <c r="J42" i="31"/>
  <c r="L206" i="31"/>
  <c r="Z22" i="31"/>
  <c r="P375" i="49"/>
  <c r="L515" i="49"/>
  <c r="AC562" i="49"/>
  <c r="K484" i="31"/>
  <c r="Y88" i="31"/>
  <c r="I150" i="31"/>
  <c r="I179" i="31"/>
  <c r="H587" i="49"/>
  <c r="T505" i="49"/>
  <c r="X16" i="31"/>
  <c r="U345" i="31"/>
  <c r="S125" i="49"/>
  <c r="AA189" i="49"/>
  <c r="H311" i="31"/>
  <c r="I255" i="49"/>
  <c r="L453" i="31"/>
  <c r="Z255" i="49"/>
  <c r="W580" i="49"/>
  <c r="S139" i="31"/>
  <c r="U357" i="49"/>
  <c r="G508" i="31"/>
  <c r="O607" i="31"/>
  <c r="R468" i="31"/>
  <c r="N49" i="49"/>
  <c r="R456" i="31"/>
  <c r="AB586" i="31"/>
  <c r="I215" i="49"/>
  <c r="W508" i="49"/>
  <c r="AB70" i="49"/>
  <c r="L132" i="49"/>
  <c r="I189" i="49"/>
  <c r="Z54" i="31"/>
  <c r="K236" i="49"/>
  <c r="Q327" i="49"/>
  <c r="Y502" i="49"/>
  <c r="V276" i="49"/>
  <c r="R607" i="49"/>
  <c r="Z235" i="49"/>
  <c r="W204" i="31"/>
  <c r="T610" i="49"/>
  <c r="T504" i="49"/>
  <c r="AB276" i="49"/>
  <c r="P484" i="31"/>
  <c r="O579" i="49"/>
  <c r="I190" i="49"/>
  <c r="AA298" i="49"/>
  <c r="O574" i="49"/>
  <c r="Z287" i="49"/>
  <c r="AC410" i="49"/>
  <c r="Z68" i="49"/>
  <c r="K304" i="49"/>
  <c r="AB303" i="49"/>
  <c r="Y273" i="49"/>
  <c r="AD359" i="49"/>
  <c r="Z36" i="31"/>
  <c r="R81" i="31"/>
  <c r="P154" i="31"/>
  <c r="R244" i="49"/>
  <c r="AB489" i="31"/>
  <c r="AB359" i="31"/>
  <c r="I68" i="31"/>
  <c r="J417" i="31"/>
  <c r="W248" i="31"/>
  <c r="W253" i="31"/>
  <c r="U407" i="31"/>
  <c r="X520" i="49"/>
  <c r="X579" i="49"/>
  <c r="AD308" i="49"/>
  <c r="W138" i="49"/>
  <c r="O379" i="49"/>
  <c r="H420" i="31"/>
  <c r="P519" i="31"/>
  <c r="J311" i="31"/>
  <c r="Q533" i="31"/>
  <c r="Y192" i="31"/>
  <c r="AB590" i="31"/>
  <c r="O439" i="49"/>
  <c r="N119" i="31"/>
  <c r="X526" i="31"/>
  <c r="N137" i="49"/>
  <c r="T200" i="49"/>
  <c r="Q520" i="31"/>
  <c r="G563" i="49"/>
  <c r="W287" i="31"/>
  <c r="K351" i="31"/>
  <c r="AA440" i="31"/>
  <c r="O182" i="31"/>
  <c r="O526" i="31"/>
  <c r="G516" i="49"/>
  <c r="AD408" i="49"/>
  <c r="G535" i="49"/>
  <c r="Q112" i="31"/>
  <c r="Q477" i="31"/>
  <c r="Y616" i="31"/>
  <c r="S566" i="49"/>
  <c r="V407" i="31"/>
  <c r="J126" i="31"/>
  <c r="R190" i="31"/>
  <c r="L408" i="49"/>
  <c r="O190" i="49"/>
  <c r="U618" i="49"/>
  <c r="T509" i="49"/>
  <c r="G200" i="31"/>
  <c r="P503" i="49"/>
  <c r="G52" i="49"/>
  <c r="Q113" i="49"/>
  <c r="Z477" i="31"/>
  <c r="Q176" i="49"/>
  <c r="S307" i="49"/>
  <c r="AC372" i="49"/>
  <c r="Y574" i="49"/>
  <c r="Y240" i="49"/>
  <c r="R214" i="49"/>
  <c r="AB305" i="49"/>
  <c r="X272" i="49"/>
  <c r="G11" i="49"/>
  <c r="J359" i="49"/>
  <c r="AB532" i="49"/>
  <c r="T66" i="31"/>
  <c r="N395" i="31"/>
  <c r="AC351" i="31"/>
  <c r="Z250" i="49"/>
  <c r="X396" i="31"/>
  <c r="J295" i="31"/>
  <c r="Z367" i="31"/>
  <c r="Z78" i="31"/>
  <c r="G241" i="31"/>
  <c r="K434" i="49"/>
  <c r="AA421" i="49"/>
  <c r="V443" i="49"/>
  <c r="U434" i="49"/>
  <c r="Q48" i="49"/>
  <c r="W513" i="49"/>
  <c r="AD579" i="31"/>
  <c r="V504" i="31"/>
  <c r="W37" i="49"/>
  <c r="G97" i="49"/>
  <c r="Q383" i="31"/>
  <c r="N579" i="31"/>
  <c r="T567" i="31"/>
  <c r="I220" i="49"/>
  <c r="H120" i="31"/>
  <c r="T124" i="49"/>
  <c r="N110" i="49"/>
  <c r="N184" i="49"/>
  <c r="S302" i="31"/>
  <c r="R165" i="31"/>
  <c r="Q36" i="31"/>
  <c r="W407" i="49"/>
  <c r="T50" i="49"/>
  <c r="Y222" i="31"/>
  <c r="N59" i="49"/>
  <c r="W148" i="31"/>
  <c r="I211" i="31"/>
  <c r="Y249" i="49"/>
  <c r="W512" i="49"/>
  <c r="S593" i="31"/>
  <c r="W363" i="31"/>
  <c r="T554" i="31"/>
  <c r="X65" i="31"/>
  <c r="X182" i="31"/>
  <c r="P248" i="31"/>
  <c r="H478" i="49"/>
  <c r="O146" i="49"/>
  <c r="V52" i="49"/>
  <c r="O135" i="49"/>
  <c r="V597" i="31"/>
  <c r="AA526" i="49"/>
  <c r="P125" i="49"/>
  <c r="P199" i="49"/>
  <c r="H63" i="49"/>
  <c r="AB585" i="49"/>
  <c r="G112" i="49"/>
  <c r="Q173" i="49"/>
  <c r="T142" i="31"/>
  <c r="U253" i="49"/>
  <c r="S371" i="49"/>
  <c r="AA497" i="49"/>
  <c r="J599" i="31"/>
  <c r="T351" i="49"/>
  <c r="M312" i="49"/>
  <c r="Y190" i="31"/>
  <c r="W125" i="49"/>
  <c r="L255" i="49"/>
  <c r="M322" i="49"/>
  <c r="N79" i="49"/>
  <c r="Q424" i="49"/>
  <c r="G589" i="49"/>
  <c r="N242" i="49"/>
  <c r="H83" i="31"/>
  <c r="Y215" i="49"/>
  <c r="G555" i="49"/>
  <c r="S234" i="49"/>
  <c r="N10" i="49"/>
  <c r="Z205" i="49"/>
  <c r="H446" i="49"/>
  <c r="Q367" i="49"/>
  <c r="N583" i="31"/>
  <c r="N501" i="49"/>
  <c r="V425" i="49"/>
  <c r="L544" i="49"/>
  <c r="N227" i="31"/>
  <c r="AB385" i="49"/>
  <c r="G93" i="49"/>
  <c r="Q154" i="49"/>
  <c r="L461" i="49"/>
  <c r="R491" i="49"/>
  <c r="I274" i="49"/>
  <c r="U254" i="49"/>
  <c r="H494" i="31"/>
  <c r="L505" i="31"/>
  <c r="S396" i="49"/>
  <c r="H466" i="49"/>
  <c r="M283" i="31"/>
  <c r="AD612" i="31"/>
  <c r="Q497" i="31"/>
  <c r="O145" i="31"/>
  <c r="Y206" i="31"/>
  <c r="Z558" i="49"/>
  <c r="H223" i="31"/>
  <c r="J485" i="31"/>
  <c r="Z266" i="31"/>
  <c r="O232" i="31"/>
  <c r="Q241" i="31"/>
  <c r="O403" i="31"/>
  <c r="Y462" i="31"/>
  <c r="I203" i="49"/>
  <c r="Y82" i="49"/>
  <c r="V133" i="49"/>
  <c r="H415" i="31"/>
  <c r="G456" i="49"/>
  <c r="N473" i="49"/>
  <c r="R432" i="49"/>
  <c r="V447" i="49"/>
  <c r="H85" i="49"/>
  <c r="V332" i="49"/>
  <c r="W43" i="49"/>
  <c r="I104" i="49"/>
  <c r="V167" i="31"/>
  <c r="Y339" i="49"/>
  <c r="X575" i="31"/>
  <c r="M432" i="49"/>
  <c r="V484" i="49"/>
  <c r="T536" i="49"/>
  <c r="G114" i="49"/>
  <c r="V580" i="31"/>
  <c r="T588" i="49"/>
  <c r="Q61" i="49"/>
  <c r="W122" i="49"/>
  <c r="H299" i="49"/>
  <c r="W187" i="49"/>
  <c r="AA319" i="49"/>
  <c r="K385" i="49"/>
  <c r="AC343" i="31"/>
  <c r="AC419" i="49"/>
  <c r="AD236" i="49"/>
  <c r="L319" i="49"/>
  <c r="T96" i="49"/>
  <c r="U303" i="49"/>
  <c r="O591" i="49"/>
  <c r="G154" i="49"/>
  <c r="K492" i="49"/>
  <c r="U255" i="49"/>
  <c r="Z359" i="49"/>
  <c r="M520" i="49"/>
  <c r="T500" i="31"/>
  <c r="Q589" i="49"/>
  <c r="N357" i="31"/>
  <c r="R207" i="31"/>
  <c r="Q61" i="31"/>
  <c r="M517" i="49"/>
  <c r="N499" i="49"/>
  <c r="X611" i="31"/>
  <c r="Y500" i="49"/>
  <c r="J143" i="49"/>
  <c r="K147" i="49"/>
  <c r="Z122" i="49"/>
  <c r="AC163" i="31"/>
  <c r="M570" i="31"/>
  <c r="T375" i="31"/>
  <c r="J577" i="31"/>
  <c r="Z36" i="49"/>
  <c r="R117" i="31"/>
  <c r="L274" i="31"/>
  <c r="Z327" i="49"/>
  <c r="M53" i="49"/>
  <c r="L292" i="31"/>
  <c r="K461" i="31"/>
  <c r="AB413" i="31"/>
  <c r="AC54" i="31"/>
  <c r="T236" i="31"/>
  <c r="AA197" i="49"/>
  <c r="AB277" i="31"/>
  <c r="O466" i="49"/>
  <c r="J410" i="31"/>
  <c r="G335" i="31"/>
  <c r="S288" i="49"/>
  <c r="T119" i="49"/>
  <c r="Q400" i="49"/>
  <c r="Z322" i="31"/>
  <c r="O76" i="31"/>
  <c r="Q150" i="49"/>
  <c r="S97" i="49"/>
  <c r="AB606" i="49"/>
  <c r="M268" i="31"/>
  <c r="Q85" i="31"/>
  <c r="S449" i="31"/>
  <c r="I322" i="49"/>
  <c r="L152" i="49"/>
  <c r="Y290" i="31"/>
  <c r="M186" i="49"/>
  <c r="Q405" i="31"/>
  <c r="H159" i="31"/>
  <c r="L164" i="49"/>
  <c r="G284" i="31"/>
  <c r="L205" i="49"/>
  <c r="Y66" i="31"/>
  <c r="G304" i="49"/>
  <c r="U173" i="31"/>
  <c r="H374" i="31"/>
  <c r="J13" i="49"/>
  <c r="AB543" i="31"/>
  <c r="Y88" i="49"/>
  <c r="I615" i="31"/>
  <c r="Z48" i="31"/>
  <c r="AD410" i="49"/>
  <c r="AD494" i="31"/>
  <c r="P22" i="31"/>
  <c r="L448" i="31"/>
  <c r="S282" i="31"/>
  <c r="L457" i="31"/>
  <c r="W457" i="31"/>
  <c r="Q316" i="49"/>
  <c r="H521" i="31"/>
  <c r="N335" i="49"/>
  <c r="V162" i="49"/>
  <c r="X234" i="49"/>
  <c r="U520" i="31"/>
  <c r="AC383" i="31"/>
  <c r="J402" i="49"/>
  <c r="N397" i="49"/>
  <c r="K191" i="31"/>
  <c r="R547" i="31"/>
  <c r="I359" i="49"/>
  <c r="Q48" i="31"/>
  <c r="Y106" i="31"/>
  <c r="O167" i="49"/>
  <c r="U566" i="31"/>
  <c r="M362" i="31"/>
  <c r="M447" i="31"/>
  <c r="Y422" i="49"/>
  <c r="AD443" i="49"/>
  <c r="H428" i="31"/>
  <c r="AB367" i="31"/>
  <c r="Z488" i="49"/>
  <c r="M323" i="49"/>
  <c r="X359" i="49"/>
  <c r="J520" i="49"/>
  <c r="Y537" i="49"/>
  <c r="X586" i="31"/>
  <c r="O457" i="49"/>
  <c r="Y117" i="31"/>
  <c r="Q216" i="31"/>
  <c r="R133" i="49"/>
  <c r="R197" i="49"/>
  <c r="O571" i="31"/>
  <c r="V276" i="31"/>
  <c r="R408" i="31"/>
  <c r="R545" i="31"/>
  <c r="Y19" i="31"/>
  <c r="AA134" i="49"/>
  <c r="X232" i="31"/>
  <c r="W451" i="31"/>
  <c r="N524" i="31"/>
  <c r="M147" i="31"/>
  <c r="L49" i="49"/>
  <c r="L121" i="49"/>
  <c r="M384" i="31"/>
  <c r="AB106" i="49"/>
  <c r="M45" i="49"/>
  <c r="U105" i="49"/>
  <c r="V397" i="31"/>
  <c r="I297" i="49"/>
  <c r="Q408" i="49"/>
  <c r="AC288" i="49"/>
  <c r="I204" i="31"/>
  <c r="H430" i="31"/>
  <c r="X403" i="31"/>
  <c r="AA479" i="49"/>
  <c r="I526" i="49"/>
  <c r="AC140" i="31"/>
  <c r="X128" i="31"/>
  <c r="X202" i="31"/>
  <c r="L196" i="49"/>
  <c r="P115" i="31"/>
  <c r="AC48" i="31"/>
  <c r="M110" i="31"/>
  <c r="R492" i="49"/>
  <c r="G84" i="31"/>
  <c r="AB404" i="49"/>
  <c r="Y556" i="49"/>
  <c r="W488" i="31"/>
  <c r="R17" i="31"/>
  <c r="J113" i="49"/>
  <c r="P174" i="49"/>
  <c r="W220" i="31"/>
  <c r="Q174" i="31"/>
  <c r="AD426" i="31"/>
  <c r="N341" i="31"/>
  <c r="L423" i="31"/>
  <c r="X493" i="49"/>
  <c r="R515" i="31"/>
  <c r="W441" i="49"/>
  <c r="N43" i="49"/>
  <c r="U245" i="49"/>
  <c r="N45" i="31"/>
  <c r="Z508" i="31"/>
  <c r="P298" i="31"/>
  <c r="Q179" i="49"/>
  <c r="AB421" i="49"/>
  <c r="AC597" i="31"/>
  <c r="J38" i="31"/>
  <c r="J534" i="49"/>
  <c r="T571" i="31"/>
  <c r="M458" i="49"/>
  <c r="W111" i="31"/>
  <c r="R617" i="31"/>
  <c r="R112" i="49"/>
  <c r="R186" i="49"/>
  <c r="M449" i="31"/>
  <c r="AB162" i="49"/>
  <c r="AC184" i="49"/>
  <c r="X271" i="49"/>
  <c r="G11" i="31"/>
  <c r="S154" i="49"/>
  <c r="Q444" i="31"/>
  <c r="AC335" i="49"/>
  <c r="L509" i="49"/>
  <c r="S73" i="49"/>
  <c r="Z290" i="49"/>
  <c r="H359" i="49"/>
  <c r="AA425" i="49"/>
  <c r="U550" i="31"/>
  <c r="H194" i="31"/>
  <c r="AA260" i="31"/>
  <c r="AA272" i="49"/>
  <c r="P169" i="31"/>
  <c r="N587" i="49"/>
  <c r="R230" i="49"/>
  <c r="Z597" i="31"/>
  <c r="L363" i="31"/>
  <c r="N381" i="49"/>
  <c r="O116" i="31"/>
  <c r="Y179" i="31"/>
  <c r="AA472" i="49"/>
  <c r="U335" i="31"/>
  <c r="AC418" i="31"/>
  <c r="Z10" i="31"/>
  <c r="J167" i="31"/>
  <c r="N353" i="31"/>
  <c r="T437" i="31"/>
  <c r="H251" i="31"/>
  <c r="G77" i="31"/>
  <c r="L305" i="31"/>
  <c r="K403" i="31"/>
  <c r="AC518" i="49"/>
  <c r="N412" i="49"/>
  <c r="N84" i="49"/>
  <c r="N160" i="49"/>
  <c r="G211" i="31"/>
  <c r="AB568" i="31"/>
  <c r="S362" i="49"/>
  <c r="O608" i="49"/>
  <c r="S507" i="49"/>
  <c r="I21" i="31"/>
  <c r="U396" i="31"/>
  <c r="X563" i="49"/>
  <c r="Z550" i="49"/>
  <c r="Y269" i="31"/>
  <c r="X218" i="49"/>
  <c r="M375" i="49"/>
  <c r="K551" i="49"/>
  <c r="R613" i="49"/>
  <c r="I361" i="31"/>
  <c r="AA400" i="31"/>
  <c r="N73" i="31"/>
  <c r="T386" i="49"/>
  <c r="K212" i="31"/>
  <c r="AB298" i="31"/>
  <c r="O309" i="49"/>
  <c r="J263" i="49"/>
  <c r="W339" i="31"/>
  <c r="L36" i="31"/>
  <c r="V218" i="49"/>
  <c r="AC594" i="31"/>
  <c r="G305" i="49"/>
  <c r="O371" i="49"/>
  <c r="X302" i="31"/>
  <c r="N275" i="31"/>
  <c r="X597" i="49"/>
  <c r="Q95" i="49"/>
  <c r="Y159" i="49"/>
  <c r="U422" i="49"/>
  <c r="N493" i="31"/>
  <c r="H275" i="31"/>
  <c r="I289" i="31"/>
  <c r="AC484" i="49"/>
  <c r="U410" i="31"/>
  <c r="H471" i="31"/>
  <c r="R64" i="31"/>
  <c r="H232" i="31"/>
  <c r="AC370" i="31"/>
  <c r="Y451" i="31"/>
  <c r="V424" i="49"/>
  <c r="AC549" i="49"/>
  <c r="S289" i="49"/>
  <c r="AD510" i="49"/>
  <c r="M603" i="49"/>
  <c r="K618" i="31"/>
  <c r="L378" i="49"/>
  <c r="X457" i="49"/>
  <c r="H42" i="31"/>
  <c r="P325" i="31"/>
  <c r="K145" i="49"/>
  <c r="T212" i="49"/>
  <c r="P383" i="31"/>
  <c r="H403" i="31"/>
  <c r="J193" i="49"/>
  <c r="S571" i="49"/>
  <c r="V99" i="49"/>
  <c r="AD458" i="31"/>
  <c r="Q446" i="49"/>
  <c r="AC588" i="49"/>
  <c r="AD232" i="49"/>
  <c r="I253" i="49"/>
  <c r="W137" i="31"/>
  <c r="L544" i="31"/>
  <c r="Z605" i="31"/>
  <c r="J49" i="49"/>
  <c r="R475" i="31"/>
  <c r="T90" i="49"/>
  <c r="AB150" i="49"/>
  <c r="AA237" i="49"/>
  <c r="O384" i="31"/>
  <c r="K278" i="49"/>
  <c r="U349" i="49"/>
  <c r="N216" i="49"/>
  <c r="K317" i="49"/>
  <c r="J241" i="49"/>
  <c r="Z580" i="31"/>
  <c r="O60" i="31"/>
  <c r="V343" i="31"/>
  <c r="Q140" i="49"/>
  <c r="G203" i="49"/>
  <c r="O247" i="31"/>
  <c r="W428" i="49"/>
  <c r="U455" i="49"/>
  <c r="H15" i="49"/>
  <c r="R332" i="49"/>
  <c r="J243" i="49"/>
  <c r="G233" i="49"/>
  <c r="H203" i="49"/>
  <c r="S327" i="49"/>
  <c r="Q73" i="49"/>
  <c r="Y456" i="49"/>
  <c r="G253" i="31"/>
  <c r="J566" i="31"/>
  <c r="AC491" i="49"/>
  <c r="O558" i="49"/>
  <c r="AD141" i="49"/>
  <c r="T105" i="49"/>
  <c r="AD352" i="49"/>
  <c r="Z513" i="49"/>
  <c r="R148" i="31"/>
  <c r="G94" i="49"/>
  <c r="U363" i="49"/>
  <c r="G547" i="49"/>
  <c r="R196" i="49"/>
  <c r="AC374" i="49"/>
  <c r="Z319" i="49"/>
  <c r="R381" i="49"/>
  <c r="AA500" i="49"/>
  <c r="T287" i="49"/>
  <c r="AB552" i="49"/>
  <c r="Y66" i="49"/>
  <c r="Y507" i="31"/>
  <c r="K290" i="49"/>
  <c r="AD343" i="49"/>
  <c r="N602" i="31"/>
  <c r="R197" i="31"/>
  <c r="AA510" i="49"/>
  <c r="R70" i="49"/>
  <c r="R411" i="31"/>
  <c r="U598" i="31"/>
  <c r="I11" i="31"/>
  <c r="T577" i="49"/>
  <c r="Z224" i="49"/>
  <c r="H67" i="31"/>
  <c r="T616" i="31"/>
  <c r="X394" i="49"/>
  <c r="L513" i="31"/>
  <c r="K409" i="31"/>
  <c r="P170" i="49"/>
  <c r="AB330" i="31"/>
  <c r="K499" i="49"/>
  <c r="P439" i="31"/>
  <c r="Z357" i="49"/>
  <c r="T124" i="31"/>
  <c r="AC567" i="31"/>
  <c r="AB49" i="31"/>
  <c r="Z246" i="49"/>
  <c r="Y419" i="31"/>
  <c r="V421" i="49"/>
  <c r="Y379" i="31"/>
  <c r="AB15" i="31"/>
  <c r="S240" i="31"/>
  <c r="G304" i="31"/>
  <c r="X81" i="49"/>
  <c r="H279" i="49"/>
  <c r="Z362" i="31"/>
  <c r="I338" i="49"/>
  <c r="AD611" i="31"/>
  <c r="S407" i="49"/>
  <c r="T249" i="49"/>
  <c r="K324" i="49"/>
  <c r="X485" i="49"/>
  <c r="R419" i="31"/>
  <c r="M231" i="49"/>
  <c r="AA302" i="31"/>
  <c r="O282" i="49"/>
  <c r="Y353" i="49"/>
  <c r="U281" i="31"/>
  <c r="AC547" i="31"/>
  <c r="P164" i="31"/>
  <c r="J461" i="31"/>
  <c r="N298" i="49"/>
  <c r="X146" i="49"/>
  <c r="T77" i="49"/>
  <c r="V150" i="49"/>
  <c r="O302" i="49"/>
  <c r="Z222" i="49"/>
  <c r="L370" i="49"/>
  <c r="M60" i="49"/>
  <c r="AA130" i="49"/>
  <c r="T163" i="31"/>
  <c r="AC69" i="31"/>
  <c r="M131" i="31"/>
  <c r="G236" i="49"/>
  <c r="M327" i="49"/>
  <c r="V323" i="31"/>
  <c r="S79" i="49"/>
  <c r="I19" i="49"/>
  <c r="S58" i="49"/>
  <c r="N161" i="31"/>
  <c r="X372" i="49"/>
  <c r="I596" i="31"/>
  <c r="M536" i="31"/>
  <c r="M396" i="31"/>
  <c r="U475" i="31"/>
  <c r="J420" i="49"/>
  <c r="N331" i="49"/>
  <c r="X406" i="49"/>
  <c r="I283" i="31"/>
  <c r="K48" i="31"/>
  <c r="V310" i="49"/>
  <c r="T603" i="31"/>
  <c r="L380" i="49"/>
  <c r="Q106" i="49"/>
  <c r="M60" i="31"/>
  <c r="R319" i="31"/>
  <c r="Z578" i="31"/>
  <c r="M425" i="49"/>
  <c r="M193" i="31"/>
  <c r="S250" i="31"/>
  <c r="G460" i="31"/>
  <c r="X28" i="49"/>
  <c r="U222" i="49"/>
  <c r="R552" i="49"/>
  <c r="J509" i="49"/>
  <c r="N280" i="49"/>
  <c r="U485" i="49"/>
  <c r="W573" i="31"/>
  <c r="AC364" i="49"/>
  <c r="G494" i="49"/>
  <c r="O427" i="49"/>
  <c r="P599" i="31"/>
  <c r="L420" i="49"/>
  <c r="Q132" i="49"/>
  <c r="Q507" i="31"/>
  <c r="Y617" i="31"/>
  <c r="H549" i="49"/>
  <c r="K211" i="49"/>
  <c r="V357" i="49"/>
  <c r="M545" i="31"/>
  <c r="U576" i="31"/>
  <c r="M145" i="31"/>
  <c r="S206" i="31"/>
  <c r="W368" i="31"/>
  <c r="K307" i="49"/>
  <c r="AC497" i="49"/>
  <c r="J126" i="49"/>
  <c r="W595" i="31"/>
  <c r="Z603" i="49"/>
  <c r="Q381" i="49"/>
  <c r="K572" i="49"/>
  <c r="O266" i="49"/>
  <c r="M173" i="49"/>
  <c r="H499" i="31"/>
  <c r="O521" i="31"/>
  <c r="X86" i="31"/>
  <c r="M611" i="49"/>
  <c r="I342" i="31"/>
  <c r="Q478" i="31"/>
  <c r="AC120" i="49"/>
  <c r="AD456" i="31"/>
  <c r="AC65" i="31"/>
  <c r="V207" i="31"/>
  <c r="O364" i="31"/>
  <c r="N265" i="49"/>
  <c r="I113" i="49"/>
  <c r="M199" i="31"/>
  <c r="I259" i="31"/>
  <c r="S474" i="49"/>
  <c r="K151" i="31"/>
  <c r="AB358" i="49"/>
  <c r="Y57" i="31"/>
  <c r="I119" i="31"/>
  <c r="AC576" i="49"/>
  <c r="R60" i="49"/>
  <c r="G302" i="31"/>
  <c r="O560" i="31"/>
  <c r="N608" i="49"/>
  <c r="Z187" i="49"/>
  <c r="Z230" i="31"/>
  <c r="O18" i="31"/>
  <c r="O134" i="49"/>
  <c r="R227" i="31"/>
  <c r="Z280" i="31"/>
  <c r="P349" i="31"/>
  <c r="AB220" i="49"/>
  <c r="U192" i="31"/>
  <c r="S253" i="31"/>
  <c r="V480" i="49"/>
  <c r="W226" i="31"/>
  <c r="Z532" i="31"/>
  <c r="AD316" i="31"/>
  <c r="M548" i="31"/>
  <c r="AA326" i="31"/>
  <c r="AA87" i="31"/>
  <c r="K149" i="31"/>
  <c r="Y552" i="49"/>
  <c r="P276" i="49"/>
  <c r="J176" i="31"/>
  <c r="P244" i="31"/>
  <c r="L379" i="31"/>
  <c r="L611" i="31"/>
  <c r="X84" i="49"/>
  <c r="H146" i="49"/>
  <c r="G373" i="31"/>
  <c r="Z505" i="31"/>
  <c r="T451" i="49"/>
  <c r="AB336" i="49"/>
  <c r="J83" i="31"/>
  <c r="W423" i="31"/>
  <c r="W438" i="49"/>
  <c r="P44" i="49"/>
  <c r="O214" i="31"/>
  <c r="H489" i="31"/>
  <c r="Y84" i="31"/>
  <c r="T417" i="31"/>
  <c r="V551" i="31"/>
  <c r="S137" i="31"/>
  <c r="R486" i="49"/>
  <c r="AC57" i="49"/>
  <c r="AB317" i="31"/>
  <c r="N610" i="49"/>
  <c r="I251" i="49"/>
  <c r="O128" i="31"/>
  <c r="V261" i="49"/>
  <c r="K516" i="49"/>
  <c r="AD375" i="49"/>
  <c r="O237" i="49"/>
  <c r="L270" i="49"/>
  <c r="T605" i="49"/>
  <c r="M424" i="49"/>
  <c r="U67" i="49"/>
  <c r="S100" i="31"/>
  <c r="P454" i="49"/>
  <c r="U274" i="31"/>
  <c r="X445" i="31"/>
  <c r="Y457" i="49"/>
  <c r="J516" i="49"/>
  <c r="P479" i="31"/>
  <c r="M42" i="31"/>
  <c r="AC37" i="49"/>
  <c r="V56" i="31"/>
  <c r="Y510" i="31"/>
  <c r="K465" i="49"/>
  <c r="S39" i="31"/>
  <c r="Y23" i="49"/>
  <c r="AC289" i="49"/>
  <c r="X103" i="49"/>
  <c r="G206" i="49"/>
  <c r="L141" i="31"/>
  <c r="G326" i="31"/>
  <c r="W284" i="49"/>
  <c r="V100" i="49"/>
  <c r="R279" i="49"/>
  <c r="AB303" i="31"/>
  <c r="Y73" i="31"/>
  <c r="L184" i="31"/>
  <c r="T92" i="31"/>
  <c r="AB590" i="49"/>
  <c r="M263" i="31"/>
  <c r="R343" i="31"/>
  <c r="Y509" i="31"/>
  <c r="W303" i="49"/>
  <c r="V149" i="49"/>
  <c r="I445" i="49"/>
  <c r="Q277" i="49"/>
  <c r="S369" i="31"/>
  <c r="R152" i="31"/>
  <c r="P339" i="49"/>
  <c r="G579" i="31"/>
  <c r="V191" i="49"/>
  <c r="I64" i="31"/>
  <c r="M299" i="49"/>
  <c r="J15" i="31"/>
  <c r="J357" i="31"/>
  <c r="AA465" i="49"/>
  <c r="T511" i="31"/>
  <c r="Z304" i="31"/>
  <c r="I290" i="31"/>
  <c r="P337" i="31"/>
  <c r="AC170" i="31"/>
  <c r="Z595" i="49"/>
  <c r="X166" i="49"/>
  <c r="S19" i="49"/>
  <c r="H64" i="49"/>
  <c r="Q40" i="49"/>
  <c r="S76" i="49"/>
  <c r="I310" i="49"/>
  <c r="N520" i="31"/>
  <c r="N325" i="49"/>
  <c r="T155" i="49"/>
  <c r="AC233" i="49"/>
  <c r="AD222" i="31"/>
  <c r="U11" i="31"/>
  <c r="M510" i="49"/>
  <c r="Z420" i="49"/>
  <c r="AC186" i="31"/>
  <c r="AD543" i="31"/>
  <c r="V245" i="31"/>
  <c r="G43" i="31"/>
  <c r="O103" i="31"/>
  <c r="N295" i="49"/>
  <c r="N489" i="31"/>
  <c r="K353" i="31"/>
  <c r="AC443" i="31"/>
  <c r="T324" i="31"/>
  <c r="AA309" i="31"/>
  <c r="H497" i="31"/>
  <c r="AB420" i="31"/>
  <c r="T87" i="49"/>
  <c r="V217" i="31"/>
  <c r="L160" i="49"/>
  <c r="Y231" i="49"/>
  <c r="H613" i="31"/>
  <c r="P582" i="31"/>
  <c r="K405" i="49"/>
  <c r="I117" i="31"/>
  <c r="W215" i="31"/>
  <c r="H130" i="49"/>
  <c r="Z193" i="49"/>
  <c r="O575" i="31"/>
  <c r="AB275" i="31"/>
  <c r="R404" i="31"/>
  <c r="AB536" i="31"/>
  <c r="Y13" i="31"/>
  <c r="T164" i="31"/>
  <c r="K556" i="31"/>
  <c r="G451" i="31"/>
  <c r="P523" i="31"/>
  <c r="I222" i="31"/>
  <c r="L43" i="49"/>
  <c r="L117" i="49"/>
  <c r="U380" i="31"/>
  <c r="L106" i="49"/>
  <c r="AC41" i="49"/>
  <c r="K102" i="49"/>
  <c r="AD395" i="31"/>
  <c r="K292" i="49"/>
  <c r="Q430" i="49"/>
  <c r="AC415" i="49"/>
  <c r="I198" i="31"/>
  <c r="W230" i="49"/>
  <c r="X332" i="31"/>
  <c r="M477" i="49"/>
  <c r="AA525" i="49"/>
  <c r="AB445" i="49"/>
  <c r="Z123" i="31"/>
  <c r="X198" i="31"/>
  <c r="R195" i="49"/>
  <c r="J112" i="31"/>
  <c r="S43" i="31"/>
  <c r="AA103" i="31"/>
  <c r="X484" i="49"/>
  <c r="Y79" i="31"/>
  <c r="AA363" i="31"/>
  <c r="R75" i="31"/>
  <c r="W504" i="31"/>
  <c r="Z15" i="31"/>
  <c r="AC199" i="31"/>
  <c r="Q260" i="31"/>
  <c r="R585" i="31"/>
  <c r="P270" i="49"/>
  <c r="M292" i="31"/>
  <c r="H222" i="49"/>
  <c r="O289" i="49"/>
  <c r="AA279" i="49"/>
  <c r="R511" i="31"/>
  <c r="M558" i="49"/>
  <c r="L610" i="49"/>
  <c r="I599" i="49"/>
  <c r="P192" i="49"/>
  <c r="Z502" i="31"/>
  <c r="L294" i="31"/>
  <c r="L166" i="49"/>
  <c r="Z146" i="49"/>
  <c r="AC605" i="31"/>
  <c r="P37" i="31"/>
  <c r="S406" i="49"/>
  <c r="V566" i="31"/>
  <c r="I232" i="49"/>
  <c r="O105" i="31"/>
  <c r="R611" i="31"/>
  <c r="P105" i="49"/>
  <c r="R182" i="49"/>
  <c r="AC445" i="31"/>
  <c r="V159" i="49"/>
  <c r="S181" i="49"/>
  <c r="J261" i="49"/>
  <c r="Q10" i="31"/>
  <c r="M139" i="49"/>
  <c r="I440" i="31"/>
  <c r="M331" i="49"/>
  <c r="Z497" i="49"/>
  <c r="I350" i="49"/>
  <c r="P287" i="49"/>
  <c r="Z352" i="49"/>
  <c r="AA447" i="49"/>
  <c r="U575" i="31"/>
  <c r="H190" i="31"/>
  <c r="V253" i="31"/>
  <c r="I265" i="49"/>
  <c r="H165" i="31"/>
  <c r="Y586" i="49"/>
  <c r="R220" i="49"/>
  <c r="J597" i="31"/>
  <c r="H379" i="31"/>
  <c r="N371" i="49"/>
  <c r="I113" i="31"/>
  <c r="O174" i="31"/>
  <c r="K145" i="31"/>
  <c r="G320" i="31"/>
  <c r="U414" i="31"/>
  <c r="AC332" i="31"/>
  <c r="J163" i="31"/>
  <c r="N349" i="31"/>
  <c r="L431" i="31"/>
  <c r="X247" i="31"/>
  <c r="W73" i="31"/>
  <c r="AB299" i="31"/>
  <c r="Z395" i="31"/>
  <c r="U494" i="31"/>
  <c r="AC299" i="31"/>
  <c r="L79" i="49"/>
  <c r="N152" i="49"/>
  <c r="Q210" i="31"/>
  <c r="L568" i="31"/>
  <c r="AC367" i="49"/>
  <c r="V606" i="49"/>
  <c r="N479" i="49"/>
  <c r="O88" i="49"/>
  <c r="U287" i="31"/>
  <c r="T454" i="49"/>
  <c r="M568" i="31"/>
  <c r="AC348" i="49"/>
  <c r="H214" i="49"/>
  <c r="O374" i="49"/>
  <c r="AA551" i="49"/>
  <c r="M550" i="49"/>
  <c r="I606" i="31"/>
  <c r="AA511" i="31"/>
  <c r="L68" i="31"/>
  <c r="H282" i="49"/>
  <c r="AA488" i="49"/>
  <c r="X525" i="49"/>
  <c r="N432" i="31"/>
  <c r="T439" i="49"/>
  <c r="R344" i="49"/>
  <c r="W485" i="49"/>
  <c r="AD51" i="49"/>
  <c r="Y330" i="31"/>
  <c r="W299" i="49"/>
  <c r="I368" i="49"/>
  <c r="T296" i="31"/>
  <c r="AA160" i="49"/>
  <c r="K322" i="49"/>
  <c r="R196" i="31"/>
  <c r="X253" i="31"/>
  <c r="M183" i="49"/>
  <c r="AD489" i="31"/>
  <c r="T271" i="31"/>
  <c r="I473" i="31"/>
  <c r="W580" i="31"/>
  <c r="K407" i="31"/>
  <c r="U466" i="31"/>
  <c r="P57" i="31"/>
  <c r="L224" i="31"/>
  <c r="Q364" i="31"/>
  <c r="O448" i="31"/>
  <c r="H421" i="49"/>
  <c r="P462" i="31"/>
  <c r="W102" i="31"/>
  <c r="I104" i="31"/>
  <c r="O167" i="31"/>
  <c r="V191" i="31"/>
  <c r="L498" i="49"/>
  <c r="T548" i="49"/>
  <c r="Z33" i="31"/>
  <c r="X350" i="31"/>
  <c r="AC140" i="49"/>
  <c r="S203" i="49"/>
  <c r="P468" i="31"/>
  <c r="AA282" i="49"/>
  <c r="V189" i="49"/>
  <c r="O570" i="49"/>
  <c r="N95" i="49"/>
  <c r="L532" i="31"/>
  <c r="L456" i="49"/>
  <c r="G400" i="31"/>
  <c r="O322" i="31"/>
  <c r="N50" i="49"/>
  <c r="O133" i="31"/>
  <c r="Z535" i="31"/>
  <c r="R601" i="31"/>
  <c r="X32" i="49"/>
  <c r="H472" i="31"/>
  <c r="L86" i="49"/>
  <c r="V147" i="49"/>
  <c r="K215" i="49"/>
  <c r="G374" i="31"/>
  <c r="S274" i="49"/>
  <c r="W344" i="49"/>
  <c r="Y134" i="49"/>
  <c r="L501" i="49"/>
  <c r="T513" i="49"/>
  <c r="T289" i="49"/>
  <c r="I271" i="31"/>
  <c r="O194" i="49"/>
  <c r="Z588" i="49"/>
  <c r="V379" i="49"/>
  <c r="J266" i="31"/>
  <c r="Q504" i="49"/>
  <c r="Z441" i="49"/>
  <c r="P350" i="49"/>
  <c r="G276" i="49"/>
  <c r="AD426" i="49"/>
  <c r="Y102" i="49"/>
  <c r="I166" i="49"/>
  <c r="M596" i="49"/>
  <c r="Z367" i="49"/>
  <c r="AD401" i="49"/>
  <c r="Z602" i="31"/>
  <c r="AB279" i="49"/>
  <c r="AB473" i="49"/>
  <c r="Q56" i="49"/>
  <c r="Z322" i="49"/>
  <c r="G282" i="49"/>
  <c r="AB258" i="49"/>
  <c r="J590" i="31"/>
  <c r="G368" i="31"/>
  <c r="I507" i="49"/>
  <c r="N58" i="49"/>
  <c r="L131" i="49"/>
  <c r="Y365" i="49"/>
  <c r="L361" i="49"/>
  <c r="AC322" i="49"/>
  <c r="Q259" i="49"/>
  <c r="G499" i="49"/>
  <c r="G181" i="49"/>
  <c r="M310" i="49"/>
  <c r="S375" i="49"/>
  <c r="Y594" i="31"/>
  <c r="AC466" i="49"/>
  <c r="V220" i="49"/>
  <c r="T309" i="49"/>
  <c r="L194" i="31"/>
  <c r="R579" i="49"/>
  <c r="K611" i="49"/>
  <c r="J405" i="31"/>
  <c r="Q294" i="31"/>
  <c r="AD562" i="31"/>
  <c r="G470" i="31"/>
  <c r="AC378" i="31"/>
  <c r="M455" i="31"/>
  <c r="I173" i="31"/>
  <c r="V460" i="31"/>
  <c r="Y522" i="49"/>
  <c r="AB423" i="49"/>
  <c r="J37" i="49"/>
  <c r="T74" i="49"/>
  <c r="Q574" i="31"/>
  <c r="Y524" i="31"/>
  <c r="AC229" i="49"/>
  <c r="O246" i="49"/>
  <c r="P141" i="31"/>
  <c r="X203" i="31"/>
  <c r="V251" i="49"/>
  <c r="Z572" i="49"/>
  <c r="I405" i="49"/>
  <c r="AB497" i="49"/>
  <c r="Y260" i="31"/>
  <c r="K568" i="49"/>
  <c r="U280" i="49"/>
  <c r="J28" i="49"/>
  <c r="P261" i="31"/>
  <c r="J415" i="49"/>
  <c r="X259" i="49"/>
  <c r="I29" i="49"/>
  <c r="W276" i="49"/>
  <c r="G91" i="49"/>
  <c r="T210" i="49"/>
  <c r="S277" i="49"/>
  <c r="AB341" i="49"/>
  <c r="H19" i="49"/>
  <c r="Y106" i="49"/>
  <c r="X607" i="31"/>
  <c r="X473" i="49"/>
  <c r="O102" i="49"/>
  <c r="Y165" i="49"/>
  <c r="J326" i="49"/>
  <c r="L245" i="49"/>
  <c r="AA363" i="49"/>
  <c r="I494" i="49"/>
  <c r="J140" i="31"/>
  <c r="P43" i="49"/>
  <c r="AB295" i="49"/>
  <c r="L363" i="49"/>
  <c r="T587" i="31"/>
  <c r="Q60" i="49"/>
  <c r="N516" i="49"/>
  <c r="M572" i="49"/>
  <c r="K430" i="49"/>
  <c r="U296" i="49"/>
  <c r="G513" i="49"/>
  <c r="R400" i="49"/>
  <c r="Y586" i="31"/>
  <c r="AD616" i="49"/>
  <c r="T350" i="49"/>
  <c r="G13" i="49"/>
  <c r="J195" i="31"/>
  <c r="AA582" i="49"/>
  <c r="I196" i="49"/>
  <c r="Z548" i="49"/>
  <c r="S396" i="31"/>
  <c r="AB427" i="31"/>
  <c r="H502" i="49"/>
  <c r="Z576" i="49"/>
  <c r="Y63" i="49"/>
  <c r="U162" i="31"/>
  <c r="S519" i="49"/>
  <c r="G166" i="31"/>
  <c r="Q225" i="31"/>
  <c r="Z55" i="49"/>
  <c r="Q285" i="31"/>
  <c r="S564" i="31"/>
  <c r="AA484" i="31"/>
  <c r="AB259" i="49"/>
  <c r="H133" i="31"/>
  <c r="Z199" i="31"/>
  <c r="S271" i="31"/>
  <c r="W58" i="49"/>
  <c r="M616" i="49"/>
  <c r="Q77" i="49"/>
  <c r="P443" i="49"/>
  <c r="G68" i="31"/>
  <c r="I309" i="31"/>
  <c r="Q513" i="31"/>
  <c r="T464" i="49"/>
  <c r="O255" i="31"/>
  <c r="H63" i="31"/>
  <c r="P123" i="31"/>
  <c r="Q120" i="49"/>
  <c r="AD143" i="49"/>
  <c r="W32" i="31"/>
  <c r="I93" i="31"/>
  <c r="Q458" i="49"/>
  <c r="L81" i="49"/>
  <c r="N546" i="31"/>
  <c r="P312" i="49"/>
  <c r="O251" i="31"/>
  <c r="H427" i="49"/>
  <c r="V190" i="49"/>
  <c r="AA350" i="49"/>
  <c r="T140" i="49"/>
  <c r="Q42" i="49"/>
  <c r="O164" i="49"/>
  <c r="Z229" i="49"/>
  <c r="P143" i="31"/>
  <c r="N574" i="31"/>
  <c r="N493" i="49"/>
  <c r="Q560" i="49"/>
  <c r="Y29" i="49"/>
  <c r="X263" i="49"/>
  <c r="L593" i="31"/>
  <c r="X465" i="49"/>
  <c r="K408" i="49"/>
  <c r="I101" i="49"/>
  <c r="I371" i="49"/>
  <c r="S550" i="49"/>
  <c r="W563" i="49"/>
  <c r="U362" i="49"/>
  <c r="H397" i="49"/>
  <c r="Z468" i="49"/>
  <c r="W517" i="31"/>
  <c r="V294" i="49"/>
  <c r="V547" i="31"/>
  <c r="AB263" i="49"/>
  <c r="X508" i="31"/>
  <c r="V295" i="31"/>
  <c r="G509" i="49"/>
  <c r="L67" i="49"/>
  <c r="N140" i="49"/>
  <c r="AD406" i="49"/>
  <c r="K343" i="49"/>
  <c r="AC563" i="49"/>
  <c r="J444" i="49"/>
  <c r="S484" i="31"/>
  <c r="L277" i="49"/>
  <c r="AB501" i="49"/>
  <c r="W53" i="49"/>
  <c r="AA318" i="31"/>
  <c r="M279" i="49"/>
  <c r="L253" i="49"/>
  <c r="Z586" i="31"/>
  <c r="N352" i="49"/>
  <c r="W492" i="49"/>
  <c r="W60" i="49"/>
  <c r="U412" i="49"/>
  <c r="W86" i="31"/>
  <c r="K472" i="31"/>
  <c r="S606" i="31"/>
  <c r="O507" i="49"/>
  <c r="AB304" i="31"/>
  <c r="T102" i="31"/>
  <c r="V179" i="31"/>
  <c r="T434" i="49"/>
  <c r="V165" i="49"/>
  <c r="W25" i="31"/>
  <c r="I86" i="31"/>
  <c r="Q182" i="49"/>
  <c r="AB160" i="49"/>
  <c r="S374" i="49"/>
  <c r="AD250" i="49"/>
  <c r="W57" i="31"/>
  <c r="P15" i="31"/>
  <c r="Z74" i="31"/>
  <c r="Y70" i="49"/>
  <c r="O465" i="49"/>
  <c r="X255" i="31"/>
  <c r="O44" i="31"/>
  <c r="J608" i="31"/>
  <c r="Y299" i="31"/>
  <c r="Q227" i="31"/>
  <c r="G574" i="31"/>
  <c r="L149" i="49"/>
  <c r="W24" i="49"/>
  <c r="L31" i="49"/>
  <c r="G119" i="49"/>
  <c r="R406" i="49"/>
  <c r="J367" i="31"/>
  <c r="O277" i="31"/>
  <c r="T383" i="31"/>
  <c r="AD471" i="49"/>
  <c r="H412" i="49"/>
  <c r="Q170" i="31"/>
  <c r="W229" i="31"/>
  <c r="AB182" i="49"/>
  <c r="R191" i="49"/>
  <c r="T588" i="31"/>
  <c r="L536" i="49"/>
  <c r="AB268" i="31"/>
  <c r="O396" i="49"/>
  <c r="W413" i="31"/>
  <c r="AC270" i="49"/>
  <c r="K152" i="49"/>
  <c r="S579" i="31"/>
  <c r="V170" i="31"/>
  <c r="S229" i="31"/>
  <c r="L381" i="31"/>
  <c r="S36" i="49"/>
  <c r="M38" i="31"/>
  <c r="G224" i="49"/>
  <c r="W318" i="49"/>
  <c r="W84" i="49"/>
  <c r="P372" i="31"/>
  <c r="AD580" i="31"/>
  <c r="AC99" i="31"/>
  <c r="K499" i="31"/>
  <c r="V101" i="49"/>
  <c r="H533" i="31"/>
  <c r="V453" i="49"/>
  <c r="T33" i="31"/>
  <c r="J110" i="31"/>
  <c r="O533" i="31"/>
  <c r="AA323" i="31"/>
  <c r="Y375" i="49"/>
  <c r="W19" i="31"/>
  <c r="J431" i="31"/>
  <c r="M129" i="31"/>
  <c r="AB434" i="49"/>
  <c r="AA161" i="49"/>
  <c r="AA65" i="49"/>
  <c r="G410" i="31"/>
  <c r="R423" i="31"/>
  <c r="U473" i="31"/>
  <c r="Q386" i="49"/>
  <c r="L213" i="49"/>
  <c r="K63" i="49"/>
  <c r="T160" i="31"/>
  <c r="W464" i="31"/>
  <c r="M121" i="49"/>
  <c r="W383" i="49"/>
  <c r="N317" i="31"/>
  <c r="H332" i="49"/>
  <c r="AC122" i="31"/>
  <c r="R280" i="49"/>
  <c r="AC124" i="31"/>
  <c r="P211" i="31"/>
  <c r="I183" i="31"/>
  <c r="H105" i="31"/>
  <c r="I150" i="49"/>
  <c r="X613" i="31"/>
  <c r="H155" i="49"/>
  <c r="K598" i="49"/>
  <c r="K341" i="49"/>
  <c r="AB331" i="49"/>
  <c r="I339" i="49"/>
  <c r="Q118" i="49"/>
  <c r="P591" i="49"/>
  <c r="AB66" i="49"/>
  <c r="W331" i="49"/>
  <c r="J257" i="31"/>
  <c r="AC115" i="49"/>
  <c r="T181" i="49"/>
  <c r="R166" i="31"/>
  <c r="Y457" i="31"/>
  <c r="T518" i="31"/>
  <c r="AD517" i="31"/>
  <c r="L303" i="31"/>
  <c r="T431" i="49"/>
  <c r="G194" i="31"/>
  <c r="AC76" i="49"/>
  <c r="M138" i="49"/>
  <c r="Z245" i="31"/>
  <c r="V303" i="31"/>
  <c r="N616" i="31"/>
  <c r="Q218" i="49"/>
  <c r="O147" i="31"/>
  <c r="I505" i="49"/>
  <c r="K217" i="49"/>
  <c r="S37" i="49"/>
  <c r="L128" i="31"/>
  <c r="T386" i="31"/>
  <c r="I490" i="31"/>
  <c r="J374" i="49"/>
  <c r="AD535" i="49"/>
  <c r="P20" i="49"/>
  <c r="N601" i="31"/>
  <c r="S463" i="49"/>
  <c r="G132" i="31"/>
  <c r="Z202" i="49"/>
  <c r="X148" i="49"/>
  <c r="S213" i="49"/>
  <c r="O532" i="31"/>
  <c r="AA463" i="31"/>
  <c r="P425" i="31"/>
  <c r="X560" i="31"/>
  <c r="G34" i="31"/>
  <c r="K198" i="49"/>
  <c r="T163" i="49"/>
  <c r="AA483" i="49"/>
  <c r="G573" i="49"/>
  <c r="Y402" i="49"/>
  <c r="N66" i="49"/>
  <c r="L139" i="49"/>
  <c r="U411" i="31"/>
  <c r="AC533" i="49"/>
  <c r="S60" i="49"/>
  <c r="AC121" i="49"/>
  <c r="AD425" i="31"/>
  <c r="M10" i="49"/>
  <c r="U431" i="49"/>
  <c r="Z18" i="49"/>
  <c r="Q218" i="31"/>
  <c r="AB361" i="31"/>
  <c r="I345" i="49"/>
  <c r="L585" i="31"/>
  <c r="M276" i="49"/>
  <c r="AC615" i="49"/>
  <c r="X146" i="31"/>
  <c r="X220" i="31"/>
  <c r="X213" i="49"/>
  <c r="V350" i="31"/>
  <c r="K63" i="31"/>
  <c r="S123" i="31"/>
  <c r="X534" i="49"/>
  <c r="M119" i="49"/>
  <c r="Y483" i="49"/>
  <c r="T222" i="31"/>
  <c r="X66" i="49"/>
  <c r="H128" i="49"/>
  <c r="P126" i="49"/>
  <c r="AB190" i="49"/>
  <c r="Q223" i="31"/>
  <c r="G179" i="31"/>
  <c r="AA190" i="49"/>
  <c r="AB260" i="49"/>
  <c r="I460" i="31"/>
  <c r="H570" i="49"/>
  <c r="N502" i="49"/>
  <c r="I590" i="49"/>
  <c r="L548" i="31"/>
  <c r="N419" i="49"/>
  <c r="K86" i="49"/>
  <c r="U147" i="49"/>
  <c r="U323" i="31"/>
  <c r="AC612" i="49"/>
  <c r="N173" i="49"/>
  <c r="AC396" i="31"/>
  <c r="P53" i="31"/>
  <c r="O518" i="31"/>
  <c r="H589" i="31"/>
  <c r="M244" i="49"/>
  <c r="G125" i="31"/>
  <c r="N409" i="31"/>
  <c r="P129" i="49"/>
  <c r="J202" i="49"/>
  <c r="U463" i="31"/>
  <c r="J488" i="31"/>
  <c r="K199" i="49"/>
  <c r="V534" i="31"/>
  <c r="Q24" i="31"/>
  <c r="X221" i="49"/>
  <c r="W235" i="49"/>
  <c r="Y233" i="49"/>
  <c r="Q15" i="49"/>
  <c r="M451" i="31"/>
  <c r="J308" i="49"/>
  <c r="P373" i="49"/>
  <c r="T18" i="49"/>
  <c r="AA334" i="49"/>
  <c r="J211" i="31"/>
  <c r="AB370" i="31"/>
  <c r="H370" i="49"/>
  <c r="AA27" i="49"/>
  <c r="U593" i="49"/>
  <c r="Z260" i="49"/>
  <c r="Z615" i="31"/>
  <c r="K27" i="31"/>
  <c r="I135" i="49"/>
  <c r="T519" i="49"/>
  <c r="Z598" i="49"/>
  <c r="N57" i="49"/>
  <c r="I351" i="31"/>
  <c r="K433" i="31"/>
  <c r="J24" i="31"/>
  <c r="X63" i="31"/>
  <c r="N373" i="31"/>
  <c r="V454" i="31"/>
  <c r="AB276" i="31"/>
  <c r="AC137" i="49"/>
  <c r="J324" i="31"/>
  <c r="O433" i="31"/>
  <c r="H31" i="49"/>
  <c r="H103" i="49"/>
  <c r="N102" i="49"/>
  <c r="L179" i="49"/>
  <c r="W213" i="31"/>
  <c r="T572" i="31"/>
  <c r="AB464" i="31"/>
  <c r="S59" i="31"/>
  <c r="AC341" i="49"/>
  <c r="O36" i="31"/>
  <c r="Y244" i="31"/>
  <c r="Y395" i="31"/>
  <c r="K525" i="49"/>
  <c r="AD478" i="31"/>
  <c r="V239" i="31"/>
  <c r="L450" i="31"/>
  <c r="N579" i="49"/>
  <c r="M40" i="49"/>
  <c r="AC485" i="31"/>
  <c r="N19" i="31"/>
  <c r="N91" i="31"/>
  <c r="O472" i="31"/>
  <c r="W495" i="49"/>
  <c r="J568" i="49"/>
  <c r="R448" i="31"/>
  <c r="V415" i="31"/>
  <c r="H365" i="49"/>
  <c r="I532" i="49"/>
  <c r="L64" i="49"/>
  <c r="X249" i="31"/>
  <c r="O323" i="49"/>
  <c r="M470" i="49"/>
  <c r="Z323" i="31"/>
  <c r="T352" i="31"/>
  <c r="J307" i="49"/>
  <c r="AC242" i="49"/>
  <c r="H77" i="49"/>
  <c r="AC558" i="49"/>
  <c r="U500" i="31"/>
  <c r="AC307" i="31"/>
  <c r="Y465" i="49"/>
  <c r="AB279" i="31"/>
  <c r="J180" i="31"/>
  <c r="P237" i="31"/>
  <c r="H264" i="49"/>
  <c r="P444" i="31"/>
  <c r="W406" i="31"/>
  <c r="G466" i="31"/>
  <c r="L443" i="49"/>
  <c r="J295" i="49"/>
  <c r="Y229" i="49"/>
  <c r="U570" i="49"/>
  <c r="K254" i="49"/>
  <c r="AB302" i="31"/>
  <c r="P180" i="31"/>
  <c r="P246" i="31"/>
  <c r="R516" i="49"/>
  <c r="J169" i="49"/>
  <c r="Y86" i="31"/>
  <c r="I148" i="31"/>
  <c r="K548" i="49"/>
  <c r="AB591" i="31"/>
  <c r="G207" i="49"/>
  <c r="P106" i="31"/>
  <c r="AD115" i="49"/>
  <c r="G66" i="31"/>
  <c r="Q36" i="49"/>
  <c r="Q155" i="49"/>
  <c r="AA221" i="49"/>
  <c r="M214" i="31"/>
  <c r="J423" i="49"/>
  <c r="I88" i="49"/>
  <c r="O149" i="49"/>
  <c r="P110" i="49"/>
  <c r="G214" i="49"/>
  <c r="I413" i="49"/>
  <c r="U404" i="49"/>
  <c r="M21" i="49"/>
  <c r="AD179" i="49"/>
  <c r="V172" i="49"/>
  <c r="L254" i="49"/>
  <c r="J586" i="49"/>
  <c r="I571" i="49"/>
  <c r="Q492" i="49"/>
  <c r="G60" i="49"/>
  <c r="L412" i="31"/>
  <c r="S420" i="31"/>
  <c r="J483" i="31"/>
  <c r="I30" i="49"/>
  <c r="V318" i="31"/>
  <c r="N447" i="31"/>
  <c r="O401" i="31"/>
  <c r="V556" i="31"/>
  <c r="V549" i="31"/>
  <c r="P330" i="31"/>
  <c r="P413" i="31"/>
  <c r="L99" i="49"/>
  <c r="J571" i="49"/>
  <c r="X611" i="49"/>
  <c r="W115" i="49"/>
  <c r="H419" i="49"/>
  <c r="V53" i="31"/>
  <c r="V125" i="31"/>
  <c r="Y409" i="49"/>
  <c r="T223" i="49"/>
  <c r="T408" i="31"/>
  <c r="Q44" i="31"/>
  <c r="J583" i="49"/>
  <c r="AA598" i="49"/>
  <c r="O227" i="31"/>
  <c r="U358" i="31"/>
  <c r="I239" i="49"/>
  <c r="AA383" i="49"/>
  <c r="W124" i="49"/>
  <c r="L27" i="49"/>
  <c r="R84" i="49"/>
  <c r="O498" i="49"/>
  <c r="L489" i="31"/>
  <c r="X280" i="31"/>
  <c r="Y533" i="49"/>
  <c r="W23" i="49"/>
  <c r="T574" i="31"/>
  <c r="K464" i="49"/>
  <c r="W551" i="49"/>
  <c r="AA341" i="49"/>
  <c r="AD119" i="49"/>
  <c r="N183" i="49"/>
  <c r="J443" i="31"/>
  <c r="U363" i="31"/>
  <c r="X348" i="49"/>
  <c r="W275" i="49"/>
  <c r="AB344" i="31"/>
  <c r="X586" i="49"/>
  <c r="L304" i="31"/>
  <c r="Z326" i="31"/>
  <c r="G509" i="31"/>
  <c r="T578" i="49"/>
  <c r="AB486" i="49"/>
  <c r="M36" i="31"/>
  <c r="S552" i="49"/>
  <c r="S514" i="49"/>
  <c r="S316" i="49"/>
  <c r="S386" i="49"/>
  <c r="H275" i="49"/>
  <c r="G434" i="31"/>
  <c r="AA568" i="31"/>
  <c r="O288" i="49"/>
  <c r="Y361" i="49"/>
  <c r="U474" i="31"/>
  <c r="AC281" i="31"/>
  <c r="X99" i="49"/>
  <c r="AA92" i="31"/>
  <c r="K154" i="31"/>
  <c r="AA279" i="31"/>
  <c r="G401" i="49"/>
  <c r="K568" i="31"/>
  <c r="S494" i="31"/>
  <c r="AA96" i="31"/>
  <c r="M161" i="31"/>
  <c r="J451" i="31"/>
  <c r="H257" i="49"/>
  <c r="L169" i="31"/>
  <c r="U75" i="31"/>
  <c r="AC135" i="31"/>
  <c r="G252" i="49"/>
  <c r="K334" i="49"/>
  <c r="R183" i="31"/>
  <c r="P446" i="49"/>
  <c r="M523" i="31"/>
  <c r="H164" i="49"/>
  <c r="T95" i="49"/>
  <c r="T27" i="31"/>
  <c r="AD86" i="31"/>
  <c r="N451" i="49"/>
  <c r="M471" i="31"/>
  <c r="S75" i="49"/>
  <c r="K146" i="49"/>
  <c r="Z343" i="49"/>
  <c r="T412" i="49"/>
  <c r="I484" i="31"/>
  <c r="AA52" i="31"/>
  <c r="K114" i="31"/>
  <c r="T342" i="31"/>
  <c r="AA497" i="31"/>
  <c r="V69" i="31"/>
  <c r="AC73" i="49"/>
  <c r="L180" i="31"/>
  <c r="AB223" i="49"/>
  <c r="X32" i="31"/>
  <c r="R564" i="49"/>
  <c r="J91" i="31"/>
  <c r="G612" i="49"/>
  <c r="S383" i="31"/>
  <c r="G617" i="31"/>
  <c r="AA512" i="31"/>
  <c r="L50" i="31"/>
  <c r="Z456" i="49"/>
  <c r="L468" i="49"/>
  <c r="I449" i="49"/>
  <c r="L175" i="31"/>
  <c r="V234" i="31"/>
  <c r="S75" i="31"/>
  <c r="P338" i="31"/>
  <c r="AA142" i="31"/>
  <c r="M205" i="31"/>
  <c r="Q375" i="31"/>
  <c r="Y525" i="31"/>
  <c r="T474" i="31"/>
  <c r="J43" i="49"/>
  <c r="Y312" i="31"/>
  <c r="AC103" i="31"/>
  <c r="M167" i="31"/>
  <c r="J215" i="31"/>
  <c r="AD472" i="31"/>
  <c r="Z338" i="49"/>
  <c r="J363" i="49"/>
  <c r="K520" i="49"/>
  <c r="S437" i="49"/>
  <c r="I466" i="49"/>
  <c r="I548" i="31"/>
  <c r="Q496" i="31"/>
  <c r="S574" i="49"/>
  <c r="AC275" i="49"/>
  <c r="H499" i="49"/>
  <c r="AA233" i="49"/>
  <c r="AA105" i="31"/>
  <c r="I362" i="31"/>
  <c r="I447" i="31"/>
  <c r="N379" i="31"/>
  <c r="V458" i="31"/>
  <c r="X151" i="31"/>
  <c r="X17" i="49"/>
  <c r="O20" i="49"/>
  <c r="H145" i="49"/>
  <c r="W298" i="31"/>
  <c r="H567" i="49"/>
  <c r="O113" i="49"/>
  <c r="AB417" i="31"/>
  <c r="AC63" i="31"/>
  <c r="U189" i="49"/>
  <c r="L466" i="31"/>
  <c r="AA426" i="49"/>
  <c r="J187" i="49"/>
  <c r="AB270" i="49"/>
  <c r="M397" i="49"/>
  <c r="Y268" i="49"/>
  <c r="O63" i="31"/>
  <c r="W507" i="49"/>
  <c r="AB417" i="49"/>
  <c r="V225" i="31"/>
  <c r="O298" i="49"/>
  <c r="O298" i="31"/>
  <c r="W552" i="31"/>
  <c r="P325" i="49"/>
  <c r="AB412" i="49"/>
  <c r="P608" i="31"/>
  <c r="J394" i="49"/>
  <c r="T272" i="31"/>
  <c r="H350" i="31"/>
  <c r="H191" i="31"/>
  <c r="G15" i="31"/>
  <c r="G395" i="49"/>
  <c r="W220" i="49"/>
  <c r="W160" i="31"/>
  <c r="M262" i="31"/>
  <c r="N51" i="31"/>
  <c r="H507" i="31"/>
  <c r="R86" i="31"/>
  <c r="V526" i="49"/>
  <c r="K412" i="31"/>
  <c r="Z296" i="31"/>
  <c r="V380" i="31"/>
  <c r="J17" i="49"/>
  <c r="AA205" i="31"/>
  <c r="S277" i="31"/>
  <c r="Q512" i="49"/>
  <c r="L199" i="49"/>
  <c r="V266" i="31"/>
  <c r="AD332" i="31"/>
  <c r="M334" i="31"/>
  <c r="U460" i="31"/>
  <c r="K103" i="31"/>
  <c r="U166" i="31"/>
  <c r="H574" i="49"/>
  <c r="AA194" i="49"/>
  <c r="R420" i="49"/>
  <c r="P179" i="49"/>
  <c r="H260" i="49"/>
  <c r="Y423" i="49"/>
  <c r="H100" i="49"/>
  <c r="R163" i="49"/>
  <c r="K492" i="31"/>
  <c r="J51" i="31"/>
  <c r="T304" i="49"/>
  <c r="M16" i="49"/>
  <c r="J101" i="31"/>
  <c r="AB278" i="49"/>
  <c r="AA448" i="49"/>
  <c r="Z59" i="49"/>
  <c r="Y229" i="31"/>
  <c r="AB412" i="31"/>
  <c r="Q91" i="49"/>
  <c r="S360" i="49"/>
  <c r="M546" i="49"/>
  <c r="X602" i="49"/>
  <c r="AC13" i="49"/>
  <c r="M73" i="49"/>
  <c r="Z334" i="31"/>
  <c r="J346" i="31"/>
  <c r="AC273" i="49"/>
  <c r="X402" i="31"/>
  <c r="R28" i="49"/>
  <c r="R508" i="31"/>
  <c r="Y493" i="49"/>
  <c r="AC212" i="31"/>
  <c r="L608" i="31"/>
  <c r="I224" i="49"/>
  <c r="Q431" i="49"/>
  <c r="Q85" i="49"/>
  <c r="K491" i="31"/>
  <c r="N34" i="31"/>
  <c r="M170" i="31"/>
  <c r="O342" i="49"/>
  <c r="AD265" i="49"/>
  <c r="P359" i="31"/>
  <c r="X568" i="31"/>
  <c r="AC608" i="31"/>
  <c r="Z448" i="31"/>
  <c r="AB117" i="31"/>
  <c r="AB21" i="31"/>
  <c r="S310" i="49"/>
  <c r="U516" i="49"/>
  <c r="R278" i="49"/>
  <c r="M363" i="49"/>
  <c r="K94" i="31"/>
  <c r="K558" i="31"/>
  <c r="R457" i="31"/>
  <c r="O572" i="31"/>
  <c r="H448" i="49"/>
  <c r="AD28" i="31"/>
  <c r="AC78" i="49"/>
  <c r="Z401" i="31"/>
  <c r="V250" i="49"/>
  <c r="Q134" i="31"/>
  <c r="V612" i="49"/>
  <c r="S51" i="49"/>
  <c r="Q479" i="31"/>
  <c r="AB125" i="31"/>
  <c r="AB478" i="31"/>
  <c r="I370" i="49"/>
  <c r="Y573" i="49"/>
  <c r="W605" i="49"/>
  <c r="L434" i="49"/>
  <c r="O450" i="31"/>
  <c r="AD323" i="31"/>
  <c r="M243" i="31"/>
  <c r="AA192" i="49"/>
  <c r="AD369" i="49"/>
  <c r="P397" i="49"/>
  <c r="J260" i="49"/>
  <c r="L484" i="49"/>
  <c r="H197" i="31"/>
  <c r="W166" i="31"/>
  <c r="Z90" i="31"/>
  <c r="V403" i="31"/>
  <c r="U513" i="49"/>
  <c r="Q611" i="31"/>
  <c r="P575" i="49"/>
  <c r="O477" i="49"/>
  <c r="K308" i="31"/>
  <c r="J105" i="31"/>
  <c r="O230" i="31"/>
  <c r="Y100" i="49"/>
  <c r="N338" i="31"/>
  <c r="O327" i="49"/>
  <c r="AB605" i="31"/>
  <c r="H507" i="49"/>
  <c r="T175" i="49"/>
  <c r="AA409" i="31"/>
  <c r="M518" i="49"/>
  <c r="AD412" i="49"/>
  <c r="T514" i="31"/>
  <c r="AB297" i="31"/>
  <c r="Z426" i="49"/>
  <c r="W190" i="31"/>
  <c r="M367" i="49"/>
  <c r="AA133" i="49"/>
  <c r="P242" i="31"/>
  <c r="R297" i="31"/>
  <c r="U32" i="31"/>
  <c r="Q264" i="49"/>
  <c r="G143" i="31"/>
  <c r="O461" i="49"/>
  <c r="M484" i="49"/>
  <c r="H446" i="31"/>
  <c r="AB375" i="31"/>
  <c r="M114" i="31"/>
  <c r="I325" i="31"/>
  <c r="T174" i="49"/>
  <c r="T257" i="49"/>
  <c r="AA413" i="49"/>
  <c r="AB596" i="31"/>
  <c r="O216" i="49"/>
  <c r="Q131" i="31"/>
  <c r="L187" i="49"/>
  <c r="R145" i="49"/>
  <c r="O209" i="49"/>
  <c r="O536" i="31"/>
  <c r="Z290" i="31"/>
  <c r="P421" i="31"/>
  <c r="P556" i="31"/>
  <c r="G28" i="31"/>
  <c r="N283" i="31"/>
  <c r="W336" i="49"/>
  <c r="V572" i="31"/>
  <c r="M453" i="49"/>
  <c r="U258" i="49"/>
  <c r="L61" i="49"/>
  <c r="N134" i="49"/>
  <c r="AA410" i="31"/>
  <c r="K486" i="49"/>
  <c r="M57" i="49"/>
  <c r="S118" i="49"/>
  <c r="N425" i="31"/>
  <c r="I406" i="49"/>
  <c r="U456" i="49"/>
  <c r="Z14" i="49"/>
  <c r="Q212" i="31"/>
  <c r="AA547" i="49"/>
  <c r="N40" i="49"/>
  <c r="N292" i="49"/>
  <c r="V360" i="49"/>
  <c r="G596" i="49"/>
  <c r="Z141" i="31"/>
  <c r="Z215" i="31"/>
  <c r="Q213" i="49"/>
  <c r="V334" i="31"/>
  <c r="AC58" i="31"/>
  <c r="M120" i="31"/>
  <c r="L521" i="49"/>
  <c r="X513" i="49"/>
  <c r="R21" i="31"/>
  <c r="Z221" i="31"/>
  <c r="R63" i="49"/>
  <c r="Z123" i="49"/>
  <c r="J123" i="49"/>
  <c r="P186" i="49"/>
  <c r="I229" i="31"/>
  <c r="W183" i="31"/>
  <c r="S186" i="49"/>
  <c r="T241" i="31"/>
  <c r="G453" i="31"/>
  <c r="I568" i="49"/>
  <c r="S244" i="31"/>
  <c r="G517" i="31"/>
  <c r="W345" i="49"/>
  <c r="R417" i="49"/>
  <c r="T231" i="49"/>
  <c r="M143" i="49"/>
  <c r="AC317" i="31"/>
  <c r="J123" i="31"/>
  <c r="U415" i="31"/>
  <c r="AC546" i="31"/>
  <c r="Z52" i="31"/>
  <c r="Z23" i="49"/>
  <c r="H585" i="31"/>
  <c r="M288" i="49"/>
  <c r="W121" i="31"/>
  <c r="L206" i="49"/>
  <c r="R124" i="49"/>
  <c r="R198" i="49"/>
  <c r="K460" i="31"/>
  <c r="K467" i="31"/>
  <c r="AA195" i="49"/>
  <c r="AB562" i="49"/>
  <c r="W23" i="31"/>
  <c r="U201" i="49"/>
  <c r="AD409" i="49"/>
  <c r="I100" i="49"/>
  <c r="O163" i="49"/>
  <c r="Y260" i="49"/>
  <c r="X303" i="49"/>
  <c r="J370" i="49"/>
  <c r="N15" i="49"/>
  <c r="G534" i="49"/>
  <c r="H206" i="31"/>
  <c r="O289" i="31"/>
  <c r="H605" i="49"/>
  <c r="S13" i="49"/>
  <c r="N591" i="49"/>
  <c r="R252" i="49"/>
  <c r="J615" i="31"/>
  <c r="AC12" i="31"/>
  <c r="H571" i="31"/>
  <c r="G492" i="49"/>
  <c r="S559" i="49"/>
  <c r="G616" i="49"/>
  <c r="W346" i="31"/>
  <c r="AC428" i="31"/>
  <c r="Z20" i="31"/>
  <c r="Z358" i="31"/>
  <c r="N369" i="31"/>
  <c r="V450" i="31"/>
  <c r="G268" i="31"/>
  <c r="S122" i="49"/>
  <c r="X319" i="31"/>
  <c r="I430" i="31"/>
  <c r="H27" i="49"/>
  <c r="H99" i="49"/>
  <c r="L97" i="49"/>
  <c r="L173" i="49"/>
  <c r="G213" i="31"/>
  <c r="AD571" i="31"/>
  <c r="X383" i="31"/>
  <c r="M56" i="31"/>
  <c r="Q337" i="49"/>
  <c r="G32" i="31"/>
  <c r="Y240" i="31"/>
  <c r="Q380" i="31"/>
  <c r="AD523" i="49"/>
  <c r="AD394" i="31"/>
  <c r="N235" i="31"/>
  <c r="L618" i="31"/>
  <c r="S579" i="49"/>
  <c r="G230" i="49"/>
  <c r="AC586" i="31"/>
  <c r="N15" i="31"/>
  <c r="L86" i="31"/>
  <c r="O510" i="31"/>
  <c r="I493" i="49"/>
  <c r="U560" i="49"/>
  <c r="Z450" i="31"/>
  <c r="AD409" i="31"/>
  <c r="X361" i="49"/>
  <c r="J524" i="49"/>
  <c r="L66" i="49"/>
  <c r="Z492" i="31"/>
  <c r="G319" i="49"/>
  <c r="Q384" i="49"/>
  <c r="X318" i="31"/>
  <c r="Q225" i="49"/>
  <c r="N213" i="49"/>
  <c r="W555" i="49"/>
  <c r="W232" i="49"/>
  <c r="S454" i="31"/>
  <c r="R503" i="31"/>
  <c r="T285" i="31"/>
  <c r="I576" i="31"/>
  <c r="Z606" i="49"/>
  <c r="S421" i="31"/>
  <c r="N486" i="31"/>
  <c r="Z72" i="31"/>
  <c r="K31" i="49"/>
  <c r="Q403" i="31"/>
  <c r="W462" i="31"/>
  <c r="Z438" i="49"/>
  <c r="U30" i="31"/>
  <c r="J490" i="49"/>
  <c r="I282" i="49"/>
  <c r="U264" i="49"/>
  <c r="I618" i="49"/>
  <c r="P428" i="49"/>
  <c r="X290" i="49"/>
  <c r="X52" i="31"/>
  <c r="J58" i="31"/>
  <c r="K159" i="49"/>
  <c r="AA230" i="49"/>
  <c r="T418" i="31"/>
  <c r="M141" i="49"/>
  <c r="H204" i="49"/>
  <c r="P102" i="31"/>
  <c r="T112" i="49"/>
  <c r="X322" i="31"/>
  <c r="AA345" i="49"/>
  <c r="W564" i="49"/>
  <c r="Z446" i="49"/>
  <c r="AA199" i="31"/>
  <c r="G140" i="49"/>
  <c r="H535" i="49"/>
  <c r="S606" i="49"/>
  <c r="J93" i="49"/>
  <c r="AC475" i="49"/>
  <c r="H439" i="49"/>
  <c r="P452" i="49"/>
  <c r="Z532" i="49"/>
  <c r="T337" i="49"/>
  <c r="Q52" i="49"/>
  <c r="W113" i="49"/>
  <c r="R551" i="49"/>
  <c r="I258" i="49"/>
  <c r="AB364" i="49"/>
  <c r="AD49" i="49"/>
  <c r="Q383" i="49"/>
  <c r="AC419" i="31"/>
  <c r="P480" i="31"/>
  <c r="S339" i="49"/>
  <c r="Z86" i="49"/>
  <c r="V445" i="31"/>
  <c r="Y400" i="31"/>
  <c r="V274" i="49"/>
  <c r="G274" i="49"/>
  <c r="V329" i="31"/>
  <c r="V412" i="31"/>
  <c r="K276" i="49"/>
  <c r="U548" i="49"/>
  <c r="R524" i="49"/>
  <c r="Y470" i="49"/>
  <c r="Q76" i="31"/>
  <c r="P44" i="31"/>
  <c r="P118" i="31"/>
  <c r="L432" i="49"/>
  <c r="S449" i="49"/>
  <c r="P357" i="31"/>
  <c r="Q38" i="31"/>
  <c r="Y130" i="49"/>
  <c r="AC615" i="31"/>
  <c r="O221" i="31"/>
  <c r="Q348" i="31"/>
  <c r="Q397" i="49"/>
  <c r="X424" i="49"/>
  <c r="AA518" i="49"/>
  <c r="K574" i="49"/>
  <c r="S495" i="49"/>
  <c r="V383" i="31"/>
  <c r="Z478" i="31"/>
  <c r="V273" i="31"/>
  <c r="O192" i="49"/>
  <c r="M402" i="49"/>
  <c r="I372" i="49"/>
  <c r="O497" i="49"/>
  <c r="AC503" i="49"/>
  <c r="AD368" i="49"/>
  <c r="H305" i="49"/>
  <c r="P371" i="49"/>
  <c r="R433" i="31"/>
  <c r="U555" i="31"/>
  <c r="X326" i="31"/>
  <c r="N524" i="49"/>
  <c r="P117" i="49"/>
  <c r="J192" i="49"/>
  <c r="K203" i="31"/>
  <c r="J498" i="49"/>
  <c r="M462" i="49"/>
  <c r="Y452" i="49"/>
  <c r="P96" i="49"/>
  <c r="J424" i="49"/>
  <c r="V186" i="49"/>
  <c r="AB272" i="49"/>
  <c r="M11" i="49"/>
  <c r="W39" i="49"/>
  <c r="Y161" i="49"/>
  <c r="T225" i="49"/>
  <c r="N453" i="49"/>
  <c r="X516" i="49"/>
  <c r="O104" i="49"/>
  <c r="AC260" i="49"/>
  <c r="K209" i="49"/>
  <c r="T22" i="49"/>
  <c r="AB82" i="49"/>
  <c r="K522" i="49"/>
  <c r="L478" i="49"/>
  <c r="H310" i="49"/>
  <c r="O260" i="49"/>
  <c r="X593" i="49"/>
  <c r="J100" i="49"/>
  <c r="R592" i="49"/>
  <c r="Z383" i="49"/>
  <c r="U241" i="49"/>
  <c r="M250" i="49"/>
  <c r="W121" i="49"/>
  <c r="H409" i="49"/>
  <c r="W79" i="31"/>
  <c r="J336" i="31"/>
  <c r="N455" i="31"/>
  <c r="R571" i="49"/>
  <c r="S462" i="49"/>
  <c r="J259" i="31"/>
  <c r="H225" i="49"/>
  <c r="V247" i="49"/>
  <c r="X137" i="49"/>
  <c r="AD492" i="49"/>
  <c r="G559" i="49"/>
  <c r="Y587" i="49"/>
  <c r="O68" i="49"/>
  <c r="P79" i="49"/>
  <c r="I162" i="49"/>
  <c r="R456" i="49"/>
  <c r="P25" i="49"/>
  <c r="W364" i="49"/>
  <c r="O548" i="49"/>
  <c r="W567" i="49"/>
  <c r="M576" i="49"/>
  <c r="Q603" i="49"/>
  <c r="AD460" i="49"/>
  <c r="L412" i="49"/>
  <c r="M214" i="49"/>
  <c r="U327" i="31"/>
  <c r="AC566" i="31"/>
  <c r="H312" i="49"/>
  <c r="W562" i="31"/>
  <c r="W64" i="31"/>
  <c r="T507" i="49"/>
  <c r="M445" i="49"/>
  <c r="Y431" i="49"/>
  <c r="AA221" i="31"/>
  <c r="W186" i="49"/>
  <c r="P574" i="49"/>
  <c r="V361" i="49"/>
  <c r="J117" i="49"/>
  <c r="U501" i="49"/>
  <c r="Z423" i="49"/>
  <c r="L548" i="49"/>
  <c r="AA28" i="49"/>
  <c r="L385" i="49"/>
  <c r="Q92" i="49"/>
  <c r="Y152" i="49"/>
  <c r="AD592" i="49"/>
  <c r="G273" i="49"/>
  <c r="X189" i="49"/>
  <c r="AD319" i="49"/>
  <c r="L361" i="31"/>
  <c r="I543" i="31"/>
  <c r="Q486" i="31"/>
  <c r="Z492" i="49"/>
  <c r="AD322" i="31"/>
  <c r="P77" i="31"/>
  <c r="Z138" i="31"/>
  <c r="L421" i="49"/>
  <c r="Q360" i="49"/>
  <c r="I49" i="31"/>
  <c r="O110" i="31"/>
  <c r="G37" i="49"/>
  <c r="R545" i="49"/>
  <c r="AA372" i="49"/>
  <c r="L415" i="49"/>
  <c r="O533" i="49"/>
  <c r="T224" i="49"/>
  <c r="S575" i="49"/>
  <c r="P595" i="49"/>
  <c r="J618" i="31"/>
  <c r="O544" i="49"/>
  <c r="AD607" i="49"/>
  <c r="W173" i="49"/>
  <c r="T335" i="49"/>
  <c r="V444" i="49"/>
  <c r="Z457" i="49"/>
  <c r="Y274" i="49"/>
  <c r="V142" i="49"/>
  <c r="V610" i="31"/>
  <c r="X616" i="49"/>
  <c r="P426" i="49"/>
  <c r="V69" i="49"/>
  <c r="H221" i="31"/>
  <c r="AB505" i="31"/>
  <c r="U243" i="49"/>
  <c r="AC227" i="49"/>
  <c r="W192" i="31"/>
  <c r="G250" i="31"/>
  <c r="T579" i="49"/>
  <c r="Z602" i="49"/>
  <c r="W551" i="31"/>
  <c r="H12" i="31"/>
  <c r="O332" i="31"/>
  <c r="W17" i="49"/>
  <c r="H147" i="31"/>
  <c r="J421" i="49"/>
  <c r="I562" i="31"/>
  <c r="P394" i="49"/>
  <c r="N405" i="49"/>
  <c r="R485" i="49"/>
  <c r="AC613" i="49"/>
  <c r="S320" i="49"/>
  <c r="AA598" i="31"/>
  <c r="AB251" i="49"/>
  <c r="Z349" i="49"/>
  <c r="AD518" i="49"/>
  <c r="O413" i="31"/>
  <c r="V587" i="49"/>
  <c r="L605" i="49"/>
  <c r="X346" i="49"/>
  <c r="AA329" i="49"/>
  <c r="K316" i="49"/>
  <c r="I498" i="49"/>
  <c r="Z415" i="49"/>
  <c r="L523" i="49"/>
  <c r="K497" i="31"/>
  <c r="S582" i="31"/>
  <c r="Y162" i="31"/>
  <c r="J18" i="31"/>
  <c r="V121" i="31"/>
  <c r="T196" i="31"/>
  <c r="N555" i="31"/>
  <c r="O184" i="31"/>
  <c r="G41" i="31"/>
  <c r="O101" i="31"/>
  <c r="AB285" i="49"/>
  <c r="K359" i="49"/>
  <c r="R502" i="49"/>
  <c r="I422" i="49"/>
  <c r="AC449" i="31"/>
  <c r="X29" i="31"/>
  <c r="J90" i="31"/>
  <c r="G525" i="49"/>
  <c r="W305" i="49"/>
  <c r="AD307" i="31"/>
  <c r="Y59" i="31"/>
  <c r="AB616" i="49"/>
  <c r="U555" i="49"/>
  <c r="W242" i="31"/>
  <c r="G274" i="31"/>
  <c r="L249" i="49"/>
  <c r="AA532" i="49"/>
  <c r="AA284" i="49"/>
  <c r="S554" i="49"/>
  <c r="I587" i="49"/>
  <c r="R254" i="31"/>
  <c r="H596" i="31"/>
  <c r="AB454" i="31"/>
  <c r="G48" i="49"/>
  <c r="X38" i="31"/>
  <c r="W185" i="31"/>
  <c r="U246" i="31"/>
  <c r="L345" i="31"/>
  <c r="V283" i="49"/>
  <c r="T86" i="49"/>
  <c r="H361" i="49"/>
  <c r="X273" i="31"/>
  <c r="U233" i="31"/>
  <c r="X121" i="49"/>
  <c r="I214" i="49"/>
  <c r="M59" i="49"/>
  <c r="K466" i="31"/>
  <c r="H330" i="49"/>
  <c r="G285" i="31"/>
  <c r="R209" i="31"/>
  <c r="Z232" i="49"/>
  <c r="X69" i="31"/>
  <c r="T444" i="31"/>
  <c r="R473" i="49"/>
  <c r="T517" i="31"/>
  <c r="U412" i="31"/>
  <c r="Z173" i="49"/>
  <c r="M163" i="31"/>
  <c r="S583" i="31"/>
  <c r="Q598" i="31"/>
  <c r="U83" i="49"/>
  <c r="M574" i="31"/>
  <c r="AB93" i="31"/>
  <c r="N111" i="31"/>
  <c r="K85" i="31"/>
  <c r="Z77" i="31"/>
  <c r="V551" i="49"/>
  <c r="R265" i="31"/>
  <c r="W455" i="49"/>
  <c r="S192" i="31"/>
  <c r="AC50" i="49"/>
  <c r="T276" i="49"/>
  <c r="P159" i="49"/>
  <c r="T470" i="31"/>
  <c r="G372" i="31"/>
  <c r="O323" i="31"/>
  <c r="AD235" i="31"/>
  <c r="H599" i="49"/>
  <c r="S123" i="49"/>
  <c r="V449" i="31"/>
  <c r="L409" i="31"/>
  <c r="S184" i="49"/>
  <c r="K500" i="49"/>
  <c r="P537" i="49"/>
  <c r="Q404" i="49"/>
  <c r="M186" i="31"/>
  <c r="T414" i="49"/>
  <c r="Q397" i="31"/>
  <c r="Z201" i="49"/>
  <c r="AB507" i="31"/>
  <c r="X351" i="31"/>
  <c r="Y362" i="31"/>
  <c r="Z283" i="31"/>
  <c r="X558" i="49"/>
  <c r="O415" i="31"/>
  <c r="S96" i="49"/>
  <c r="J290" i="49"/>
  <c r="X161" i="49"/>
  <c r="U295" i="49"/>
  <c r="AA216" i="49"/>
  <c r="S91" i="49"/>
  <c r="R543" i="31"/>
  <c r="AA578" i="49"/>
  <c r="P226" i="31"/>
  <c r="J350" i="31"/>
  <c r="J170" i="31"/>
  <c r="N473" i="31"/>
  <c r="O143" i="49"/>
  <c r="Z209" i="49"/>
  <c r="U160" i="31"/>
  <c r="N448" i="31"/>
  <c r="K405" i="31"/>
  <c r="M92" i="49"/>
  <c r="U152" i="49"/>
  <c r="K265" i="31"/>
  <c r="AC138" i="49"/>
  <c r="I284" i="49"/>
  <c r="U266" i="49"/>
  <c r="Y164" i="31"/>
  <c r="J545" i="49"/>
  <c r="AB558" i="49"/>
  <c r="AC52" i="49"/>
  <c r="L146" i="31"/>
  <c r="X458" i="31"/>
  <c r="P299" i="31"/>
  <c r="J189" i="49"/>
  <c r="AD289" i="49"/>
  <c r="Q412" i="49"/>
  <c r="W244" i="31"/>
  <c r="G515" i="31"/>
  <c r="G21" i="49"/>
  <c r="K190" i="49"/>
  <c r="AA357" i="31"/>
  <c r="V75" i="31"/>
  <c r="P545" i="31"/>
  <c r="X370" i="49"/>
  <c r="W146" i="31"/>
  <c r="I209" i="31"/>
  <c r="X222" i="49"/>
  <c r="O405" i="31"/>
  <c r="L82" i="49"/>
  <c r="P57" i="49"/>
  <c r="R130" i="49"/>
  <c r="S447" i="31"/>
  <c r="X522" i="31"/>
  <c r="H309" i="31"/>
  <c r="M338" i="49"/>
  <c r="H84" i="49"/>
  <c r="W443" i="31"/>
  <c r="N514" i="31"/>
  <c r="N272" i="49"/>
  <c r="AC77" i="49"/>
  <c r="M425" i="31"/>
  <c r="X488" i="31"/>
  <c r="J462" i="49"/>
  <c r="Y279" i="49"/>
  <c r="R583" i="49"/>
  <c r="AC205" i="49"/>
  <c r="R275" i="49"/>
  <c r="S587" i="49"/>
  <c r="G254" i="49"/>
  <c r="M335" i="49"/>
  <c r="P587" i="49"/>
  <c r="AB503" i="31"/>
  <c r="R379" i="49"/>
  <c r="S523" i="49"/>
  <c r="G175" i="49"/>
  <c r="N231" i="31"/>
  <c r="Y235" i="49"/>
  <c r="Z225" i="31"/>
  <c r="H82" i="49"/>
  <c r="H456" i="49"/>
  <c r="M559" i="31"/>
  <c r="H558" i="31"/>
  <c r="X227" i="49"/>
  <c r="G408" i="31"/>
  <c r="K204" i="49"/>
  <c r="AA386" i="49"/>
  <c r="L475" i="31"/>
  <c r="N211" i="49"/>
  <c r="X517" i="49"/>
  <c r="W596" i="49"/>
  <c r="T564" i="31"/>
  <c r="Q250" i="31"/>
  <c r="U101" i="49"/>
  <c r="AA164" i="49"/>
  <c r="M349" i="31"/>
  <c r="X414" i="31"/>
  <c r="Q187" i="49"/>
  <c r="X575" i="49"/>
  <c r="R363" i="49"/>
  <c r="M370" i="31"/>
  <c r="M240" i="31"/>
  <c r="M378" i="31"/>
  <c r="R405" i="49"/>
  <c r="X288" i="31"/>
  <c r="Z298" i="31"/>
  <c r="V386" i="31"/>
  <c r="G451" i="49"/>
  <c r="S91" i="31"/>
  <c r="G137" i="31"/>
  <c r="O199" i="31"/>
  <c r="I31" i="49"/>
  <c r="W425" i="31"/>
  <c r="Y297" i="49"/>
  <c r="W370" i="49"/>
  <c r="H95" i="49"/>
  <c r="AA100" i="49"/>
  <c r="L130" i="49"/>
  <c r="H194" i="49"/>
  <c r="T535" i="31"/>
  <c r="R294" i="49"/>
  <c r="M325" i="49"/>
  <c r="R488" i="49"/>
  <c r="Z82" i="49"/>
  <c r="X165" i="49"/>
  <c r="V29" i="49"/>
  <c r="AB88" i="49"/>
  <c r="J279" i="49"/>
  <c r="AC299" i="49"/>
  <c r="W84" i="31"/>
  <c r="G146" i="31"/>
  <c r="S280" i="49"/>
  <c r="AA452" i="49"/>
  <c r="X135" i="31"/>
  <c r="H199" i="31"/>
  <c r="N264" i="49"/>
  <c r="AC94" i="49"/>
  <c r="Q105" i="31"/>
  <c r="Y169" i="31"/>
  <c r="G266" i="49"/>
  <c r="T415" i="31"/>
  <c r="J36" i="31"/>
  <c r="AA82" i="49"/>
  <c r="N341" i="49"/>
  <c r="AC264" i="49"/>
  <c r="Z559" i="49"/>
  <c r="AB575" i="49"/>
  <c r="W341" i="49"/>
  <c r="Y425" i="31"/>
  <c r="S15" i="31"/>
  <c r="AC74" i="31"/>
  <c r="O360" i="49"/>
  <c r="K235" i="49"/>
  <c r="AD263" i="31"/>
  <c r="G414" i="31"/>
  <c r="O601" i="49"/>
  <c r="G279" i="31"/>
  <c r="AB252" i="31"/>
  <c r="P402" i="31"/>
  <c r="U610" i="49"/>
  <c r="U100" i="49"/>
  <c r="Z610" i="49"/>
  <c r="G232" i="49"/>
  <c r="Q325" i="49"/>
  <c r="U413" i="31"/>
  <c r="U496" i="49"/>
  <c r="L577" i="49"/>
  <c r="X562" i="49"/>
  <c r="L322" i="31"/>
  <c r="Z368" i="49"/>
  <c r="N533" i="49"/>
  <c r="K532" i="49"/>
  <c r="AA191" i="49"/>
  <c r="X467" i="31"/>
  <c r="V595" i="31"/>
  <c r="X378" i="49"/>
  <c r="T375" i="49"/>
  <c r="Z172" i="31"/>
  <c r="J232" i="31"/>
  <c r="T172" i="49"/>
  <c r="Z214" i="31"/>
  <c r="U537" i="31"/>
  <c r="AC583" i="31"/>
  <c r="Q72" i="49"/>
  <c r="W593" i="31"/>
  <c r="Z182" i="31"/>
  <c r="H241" i="31"/>
  <c r="Z608" i="31"/>
  <c r="V312" i="31"/>
  <c r="M521" i="31"/>
  <c r="Q324" i="31"/>
  <c r="AB603" i="49"/>
  <c r="J200" i="49"/>
  <c r="O81" i="31"/>
  <c r="W141" i="31"/>
  <c r="I81" i="49"/>
  <c r="AD17" i="49"/>
  <c r="V183" i="31"/>
  <c r="J249" i="31"/>
  <c r="Q472" i="49"/>
  <c r="R588" i="49"/>
  <c r="Q90" i="31"/>
  <c r="Y150" i="31"/>
  <c r="T327" i="49"/>
  <c r="I312" i="49"/>
  <c r="Z69" i="31"/>
  <c r="G580" i="49"/>
  <c r="M268" i="49"/>
  <c r="G186" i="49"/>
  <c r="G582" i="31"/>
  <c r="K375" i="31"/>
  <c r="Q170" i="49"/>
  <c r="V329" i="49"/>
  <c r="R444" i="31"/>
  <c r="AD575" i="31"/>
  <c r="X589" i="49"/>
  <c r="AD434" i="31"/>
  <c r="AD59" i="49"/>
  <c r="N121" i="49"/>
  <c r="AB241" i="49"/>
  <c r="V278" i="31"/>
  <c r="Y611" i="49"/>
  <c r="K312" i="49"/>
  <c r="X37" i="49"/>
  <c r="O204" i="49"/>
  <c r="P212" i="49"/>
  <c r="AD563" i="31"/>
  <c r="G179" i="49"/>
  <c r="K551" i="31"/>
  <c r="AA434" i="31"/>
  <c r="R497" i="31"/>
  <c r="Y242" i="49"/>
  <c r="X116" i="31"/>
  <c r="K320" i="31"/>
  <c r="Y414" i="31"/>
  <c r="T60" i="31"/>
  <c r="G37" i="31"/>
  <c r="R349" i="31"/>
  <c r="P431" i="31"/>
  <c r="Z500" i="49"/>
  <c r="AB444" i="49"/>
  <c r="U358" i="49"/>
  <c r="O105" i="49"/>
  <c r="S232" i="49"/>
  <c r="T70" i="31"/>
  <c r="V143" i="31"/>
  <c r="Z556" i="49"/>
  <c r="Z394" i="49"/>
  <c r="AB501" i="31"/>
  <c r="W59" i="31"/>
  <c r="L596" i="31"/>
  <c r="R28" i="31"/>
  <c r="G245" i="31"/>
  <c r="M395" i="31"/>
  <c r="X59" i="49"/>
  <c r="AB84" i="49"/>
  <c r="X346" i="31"/>
  <c r="P536" i="49"/>
  <c r="O147" i="49"/>
  <c r="O309" i="31"/>
  <c r="N510" i="31"/>
  <c r="N299" i="31"/>
  <c r="P117" i="31"/>
  <c r="H581" i="31"/>
  <c r="AB588" i="31"/>
  <c r="O452" i="49"/>
  <c r="G460" i="49"/>
  <c r="K231" i="31"/>
  <c r="L134" i="49"/>
  <c r="P198" i="49"/>
  <c r="X99" i="31"/>
  <c r="N559" i="49"/>
  <c r="Z521" i="49"/>
  <c r="AD414" i="31"/>
  <c r="U431" i="31"/>
  <c r="AA283" i="49"/>
  <c r="Q69" i="31"/>
  <c r="T282" i="49"/>
  <c r="S217" i="31"/>
  <c r="Q76" i="49"/>
  <c r="O198" i="49"/>
  <c r="P273" i="49"/>
  <c r="Z113" i="49"/>
  <c r="T615" i="31"/>
  <c r="N505" i="49"/>
  <c r="G593" i="49"/>
  <c r="S24" i="49"/>
  <c r="X155" i="49"/>
  <c r="AB456" i="49"/>
  <c r="S572" i="49"/>
  <c r="U417" i="49"/>
  <c r="Y150" i="49"/>
  <c r="Z444" i="49"/>
  <c r="G308" i="49"/>
  <c r="Z493" i="49"/>
  <c r="N23" i="49"/>
  <c r="V83" i="49"/>
  <c r="Q137" i="49"/>
  <c r="AC322" i="31"/>
  <c r="H298" i="49"/>
  <c r="O268" i="49"/>
  <c r="I474" i="49"/>
  <c r="O172" i="31"/>
  <c r="AC605" i="49"/>
  <c r="AD477" i="49"/>
  <c r="AD334" i="49"/>
  <c r="I579" i="49"/>
  <c r="L480" i="49"/>
  <c r="Y395" i="49"/>
  <c r="X603" i="31"/>
  <c r="T343" i="31"/>
  <c r="AD592" i="31"/>
  <c r="X601" i="49"/>
  <c r="N324" i="49"/>
  <c r="H268" i="31"/>
  <c r="P344" i="31"/>
  <c r="U578" i="49"/>
  <c r="AB232" i="49"/>
  <c r="G430" i="49"/>
  <c r="W424" i="49"/>
  <c r="V281" i="49"/>
  <c r="X405" i="49"/>
  <c r="W384" i="49"/>
  <c r="V266" i="49"/>
  <c r="Y131" i="49"/>
  <c r="I128" i="49"/>
  <c r="U365" i="49"/>
  <c r="Y548" i="49"/>
  <c r="G123" i="49"/>
  <c r="I502" i="49"/>
  <c r="W603" i="49"/>
  <c r="V462" i="49"/>
  <c r="Q441" i="49"/>
  <c r="R303" i="49"/>
  <c r="U307" i="31"/>
  <c r="AC560" i="31"/>
  <c r="J133" i="31"/>
  <c r="L317" i="49"/>
  <c r="R146" i="31"/>
  <c r="G79" i="49"/>
  <c r="I201" i="49"/>
  <c r="M324" i="49"/>
  <c r="J401" i="49"/>
  <c r="L457" i="49"/>
  <c r="Q11" i="49"/>
  <c r="Y69" i="49"/>
  <c r="W327" i="31"/>
  <c r="Y132" i="49"/>
  <c r="P269" i="49"/>
  <c r="K329" i="49"/>
  <c r="I410" i="31"/>
  <c r="Q270" i="49"/>
  <c r="S592" i="49"/>
  <c r="N254" i="49"/>
  <c r="R215" i="49"/>
  <c r="I291" i="49"/>
  <c r="W607" i="49"/>
  <c r="N368" i="49"/>
  <c r="P418" i="31"/>
  <c r="I298" i="31"/>
  <c r="Q570" i="31"/>
  <c r="L232" i="49"/>
  <c r="V330" i="31"/>
  <c r="X81" i="31"/>
  <c r="J142" i="31"/>
  <c r="Q344" i="49"/>
  <c r="T562" i="31"/>
  <c r="O52" i="31"/>
  <c r="Y113" i="31"/>
  <c r="V48" i="49"/>
  <c r="AD251" i="49"/>
  <c r="L593" i="49"/>
  <c r="Z503" i="49"/>
  <c r="M311" i="31"/>
  <c r="AB226" i="49"/>
  <c r="V576" i="49"/>
  <c r="M348" i="49"/>
  <c r="Y121" i="31"/>
  <c r="S545" i="49"/>
  <c r="P611" i="49"/>
  <c r="L281" i="49"/>
  <c r="Z87" i="31"/>
  <c r="R448" i="49"/>
  <c r="X462" i="49"/>
  <c r="U283" i="49"/>
  <c r="S588" i="49"/>
  <c r="K552" i="49"/>
  <c r="U342" i="49"/>
  <c r="K505" i="49"/>
  <c r="X525" i="31"/>
  <c r="R224" i="31"/>
  <c r="I13" i="31"/>
  <c r="T449" i="49"/>
  <c r="AD451" i="49"/>
  <c r="G196" i="31"/>
  <c r="Q253" i="31"/>
  <c r="G185" i="49"/>
  <c r="AD562" i="49"/>
  <c r="W502" i="31"/>
  <c r="H16" i="31"/>
  <c r="I335" i="31"/>
  <c r="V498" i="49"/>
  <c r="R164" i="31"/>
  <c r="J431" i="49"/>
  <c r="I338" i="31"/>
  <c r="AB243" i="49"/>
  <c r="X612" i="49"/>
  <c r="N512" i="49"/>
  <c r="T492" i="49"/>
  <c r="AB548" i="49"/>
  <c r="K254" i="31"/>
  <c r="X411" i="31"/>
  <c r="I192" i="49"/>
  <c r="AD361" i="49"/>
  <c r="J258" i="31"/>
  <c r="V33" i="49"/>
  <c r="AC396" i="49"/>
  <c r="N72" i="49"/>
  <c r="W118" i="49"/>
  <c r="P139" i="49"/>
  <c r="AC223" i="49"/>
  <c r="X454" i="49"/>
  <c r="J246" i="49"/>
  <c r="K329" i="31"/>
  <c r="S525" i="31"/>
  <c r="AA332" i="31"/>
  <c r="S368" i="49"/>
  <c r="Z129" i="31"/>
  <c r="Z203" i="31"/>
  <c r="Y489" i="49"/>
  <c r="V446" i="49"/>
  <c r="G49" i="31"/>
  <c r="Q110" i="31"/>
  <c r="T577" i="31"/>
  <c r="L588" i="31"/>
  <c r="V513" i="49"/>
  <c r="Q288" i="49"/>
  <c r="S456" i="31"/>
  <c r="H33" i="31"/>
  <c r="P93" i="31"/>
  <c r="P241" i="49"/>
  <c r="T443" i="31"/>
  <c r="AB419" i="31"/>
  <c r="G64" i="31"/>
  <c r="Y348" i="49"/>
  <c r="H406" i="49"/>
  <c r="G246" i="31"/>
  <c r="G499" i="31"/>
  <c r="R534" i="49"/>
  <c r="AC423" i="49"/>
  <c r="Y86" i="49"/>
  <c r="O562" i="49"/>
  <c r="M359" i="49"/>
  <c r="W261" i="31"/>
  <c r="H462" i="31"/>
  <c r="AB402" i="31"/>
  <c r="Y166" i="31"/>
  <c r="V43" i="31"/>
  <c r="I190" i="31"/>
  <c r="AD445" i="31"/>
  <c r="S370" i="49"/>
  <c r="AD65" i="49"/>
  <c r="X595" i="49"/>
  <c r="W82" i="49"/>
  <c r="L288" i="49"/>
  <c r="N592" i="31"/>
  <c r="AC19" i="49"/>
  <c r="L72" i="31"/>
  <c r="R512" i="31"/>
  <c r="W253" i="49"/>
  <c r="N214" i="49"/>
  <c r="J384" i="31"/>
  <c r="AC44" i="49"/>
  <c r="Q364" i="49"/>
  <c r="O428" i="31"/>
  <c r="K270" i="31"/>
  <c r="M526" i="49"/>
  <c r="V227" i="49"/>
  <c r="T602" i="31"/>
  <c r="N440" i="31"/>
  <c r="Z185" i="31"/>
  <c r="Q282" i="49"/>
  <c r="X67" i="49"/>
  <c r="I299" i="31"/>
  <c r="AC447" i="49"/>
  <c r="Z325" i="49"/>
  <c r="P148" i="31"/>
  <c r="N41" i="31"/>
  <c r="I361" i="49"/>
  <c r="O586" i="31"/>
  <c r="V307" i="31"/>
  <c r="R474" i="31"/>
  <c r="AB457" i="49"/>
  <c r="AB59" i="31"/>
  <c r="V590" i="31"/>
  <c r="N509" i="49"/>
  <c r="U232" i="49"/>
  <c r="T512" i="49"/>
  <c r="P309" i="49"/>
  <c r="K611" i="31"/>
  <c r="I446" i="49"/>
  <c r="K180" i="31"/>
  <c r="O352" i="31"/>
  <c r="N326" i="31"/>
  <c r="AC608" i="49"/>
  <c r="M480" i="31"/>
  <c r="AC110" i="49"/>
  <c r="G348" i="49"/>
  <c r="AB209" i="49"/>
  <c r="O50" i="31"/>
  <c r="G545" i="31"/>
  <c r="N470" i="31"/>
  <c r="S353" i="49"/>
  <c r="N464" i="49"/>
  <c r="AD412" i="31"/>
  <c r="O518" i="49"/>
  <c r="R233" i="31"/>
  <c r="H134" i="49"/>
  <c r="AB598" i="49"/>
  <c r="K477" i="31"/>
  <c r="V404" i="31"/>
  <c r="AC45" i="49"/>
  <c r="Q302" i="49"/>
  <c r="J508" i="31"/>
  <c r="N303" i="49"/>
  <c r="Y137" i="31"/>
  <c r="N358" i="31"/>
  <c r="M249" i="31"/>
  <c r="G385" i="31"/>
  <c r="AC521" i="31"/>
  <c r="L41" i="31"/>
  <c r="M180" i="31"/>
  <c r="AD590" i="31"/>
  <c r="S433" i="49"/>
  <c r="G39" i="31"/>
  <c r="O99" i="31"/>
  <c r="U379" i="49"/>
  <c r="X145" i="49"/>
  <c r="G349" i="31"/>
  <c r="AA438" i="31"/>
  <c r="H405" i="49"/>
  <c r="R500" i="49"/>
  <c r="M12" i="49"/>
  <c r="U70" i="49"/>
  <c r="N171" i="31"/>
  <c r="Q54" i="31"/>
  <c r="Y562" i="49"/>
  <c r="T129" i="49"/>
  <c r="N202" i="49"/>
  <c r="AC417" i="31"/>
  <c r="K452" i="49"/>
  <c r="W104" i="31"/>
  <c r="O205" i="31"/>
  <c r="L326" i="31"/>
  <c r="Z185" i="49"/>
  <c r="K357" i="31"/>
  <c r="P265" i="31"/>
  <c r="I132" i="31"/>
  <c r="G150" i="31"/>
  <c r="O212" i="31"/>
  <c r="L261" i="31"/>
  <c r="J472" i="31"/>
  <c r="Y440" i="31"/>
  <c r="X511" i="31"/>
  <c r="P142" i="49"/>
  <c r="X489" i="31"/>
  <c r="N106" i="49"/>
  <c r="Y360" i="31"/>
  <c r="AD95" i="49"/>
  <c r="P122" i="49"/>
  <c r="S94" i="49"/>
  <c r="V364" i="31"/>
  <c r="G284" i="49"/>
  <c r="J22" i="31"/>
  <c r="S428" i="31"/>
  <c r="H492" i="31"/>
  <c r="AC120" i="31"/>
  <c r="K526" i="31"/>
  <c r="J373" i="49"/>
  <c r="I522" i="49"/>
  <c r="P447" i="31"/>
  <c r="J607" i="49"/>
  <c r="X190" i="31"/>
  <c r="T184" i="49"/>
  <c r="R102" i="31"/>
  <c r="AC36" i="31"/>
  <c r="M96" i="31"/>
  <c r="Q385" i="49"/>
  <c r="I73" i="31"/>
  <c r="R452" i="31"/>
  <c r="N237" i="49"/>
  <c r="O368" i="49"/>
  <c r="Q549" i="49"/>
  <c r="AA375" i="31"/>
  <c r="T74" i="31"/>
  <c r="Z577" i="31"/>
  <c r="Y253" i="49"/>
  <c r="AB455" i="49"/>
  <c r="Z337" i="31"/>
  <c r="Z420" i="31"/>
  <c r="U532" i="49"/>
  <c r="R48" i="49"/>
  <c r="W454" i="49"/>
  <c r="N41" i="49"/>
  <c r="AD550" i="49"/>
  <c r="U434" i="31"/>
  <c r="R496" i="31"/>
  <c r="L288" i="31"/>
  <c r="AA223" i="49"/>
  <c r="R201" i="31"/>
  <c r="Y576" i="31"/>
  <c r="H27" i="31"/>
  <c r="G23" i="49"/>
  <c r="T555" i="31"/>
  <c r="I410" i="49"/>
  <c r="W97" i="31"/>
  <c r="K488" i="49"/>
  <c r="R96" i="49"/>
  <c r="R172" i="49"/>
  <c r="K438" i="31"/>
  <c r="H345" i="49"/>
  <c r="M515" i="49"/>
  <c r="W249" i="49"/>
  <c r="X363" i="31"/>
  <c r="T397" i="31"/>
  <c r="J216" i="31"/>
  <c r="AC325" i="49"/>
  <c r="Z489" i="49"/>
  <c r="M172" i="49"/>
  <c r="S613" i="31"/>
  <c r="W394" i="31"/>
  <c r="U585" i="49"/>
  <c r="U501" i="31"/>
  <c r="J181" i="31"/>
  <c r="AB246" i="31"/>
  <c r="V534" i="49"/>
  <c r="H161" i="31"/>
  <c r="AC211" i="49"/>
  <c r="Y618" i="49"/>
  <c r="V587" i="31"/>
  <c r="H128" i="31"/>
  <c r="L212" i="49"/>
  <c r="G106" i="31"/>
  <c r="O170" i="31"/>
  <c r="K195" i="31"/>
  <c r="Z461" i="31"/>
  <c r="AA407" i="31"/>
  <c r="AC494" i="31"/>
  <c r="N155" i="31"/>
  <c r="N339" i="31"/>
  <c r="N422" i="31"/>
  <c r="X243" i="31"/>
  <c r="Y68" i="31"/>
  <c r="N292" i="31"/>
  <c r="J372" i="31"/>
  <c r="T223" i="31"/>
  <c r="K12" i="31"/>
  <c r="P401" i="49"/>
  <c r="P396" i="49"/>
  <c r="H559" i="31"/>
  <c r="Q362" i="49"/>
  <c r="AB248" i="31"/>
  <c r="Y608" i="49"/>
  <c r="AC507" i="49"/>
  <c r="AA290" i="49"/>
  <c r="T492" i="31"/>
  <c r="P460" i="49"/>
  <c r="M394" i="31"/>
  <c r="AA225" i="49"/>
  <c r="AD421" i="49"/>
  <c r="AC375" i="49"/>
  <c r="AD551" i="49"/>
  <c r="I28" i="49"/>
  <c r="R223" i="31"/>
  <c r="AA580" i="31"/>
  <c r="N59" i="31"/>
  <c r="T404" i="49"/>
  <c r="W475" i="49"/>
  <c r="P512" i="49"/>
  <c r="R426" i="31"/>
  <c r="J430" i="49"/>
  <c r="Z336" i="49"/>
  <c r="J478" i="49"/>
  <c r="AD45" i="49"/>
  <c r="Y580" i="31"/>
  <c r="U97" i="31"/>
  <c r="AC161" i="31"/>
  <c r="R287" i="31"/>
  <c r="Z167" i="31"/>
  <c r="W310" i="49"/>
  <c r="X189" i="31"/>
  <c r="H247" i="31"/>
  <c r="Y224" i="31"/>
  <c r="L480" i="31"/>
  <c r="AB263" i="31"/>
  <c r="I616" i="31"/>
  <c r="S323" i="31"/>
  <c r="U400" i="31"/>
  <c r="AC458" i="31"/>
  <c r="Z50" i="31"/>
  <c r="N215" i="31"/>
  <c r="AC350" i="31"/>
  <c r="W440" i="31"/>
  <c r="X415" i="49"/>
  <c r="J175" i="31"/>
  <c r="I95" i="31"/>
  <c r="Q96" i="31"/>
  <c r="Y160" i="31"/>
  <c r="K133" i="31"/>
  <c r="L418" i="49"/>
  <c r="T344" i="49"/>
  <c r="X24" i="31"/>
  <c r="M353" i="31"/>
  <c r="K133" i="49"/>
  <c r="U196" i="49"/>
  <c r="L422" i="31"/>
  <c r="Z375" i="31"/>
  <c r="Z181" i="49"/>
  <c r="O261" i="49"/>
  <c r="X279" i="49"/>
  <c r="V169" i="31"/>
  <c r="L448" i="49"/>
  <c r="G282" i="31"/>
  <c r="O550" i="31"/>
  <c r="O225" i="31"/>
  <c r="V63" i="49"/>
  <c r="Y336" i="49"/>
  <c r="N474" i="49"/>
  <c r="M65" i="31"/>
  <c r="N513" i="49"/>
  <c r="Z268" i="49"/>
  <c r="J336" i="49"/>
  <c r="S79" i="31"/>
  <c r="H69" i="31"/>
  <c r="W264" i="49"/>
  <c r="U339" i="49"/>
  <c r="H171" i="49"/>
  <c r="I266" i="49"/>
  <c r="AB374" i="49"/>
  <c r="N327" i="49"/>
  <c r="L606" i="31"/>
  <c r="V344" i="49"/>
  <c r="V593" i="31"/>
  <c r="O418" i="49"/>
  <c r="J72" i="49"/>
  <c r="S352" i="49"/>
  <c r="AD139" i="49"/>
  <c r="R203" i="49"/>
  <c r="V151" i="31"/>
  <c r="N563" i="49"/>
  <c r="AB505" i="49"/>
  <c r="G53" i="49"/>
  <c r="V490" i="49"/>
  <c r="O160" i="49"/>
  <c r="T65" i="49"/>
  <c r="P567" i="31"/>
  <c r="Z297" i="49"/>
  <c r="AC276" i="49"/>
  <c r="X73" i="49"/>
  <c r="J288" i="49"/>
  <c r="H470" i="49"/>
  <c r="Z618" i="49"/>
  <c r="I67" i="49"/>
  <c r="W320" i="31"/>
  <c r="I130" i="49"/>
  <c r="Z263" i="49"/>
  <c r="S325" i="49"/>
  <c r="X432" i="49"/>
  <c r="U518" i="49"/>
  <c r="AA574" i="49"/>
  <c r="V494" i="49"/>
  <c r="U209" i="31"/>
  <c r="N217" i="49"/>
  <c r="R562" i="49"/>
  <c r="S246" i="49"/>
  <c r="T490" i="31"/>
  <c r="Y191" i="49"/>
  <c r="P582" i="49"/>
  <c r="R371" i="49"/>
  <c r="L494" i="49"/>
  <c r="S503" i="49"/>
  <c r="R437" i="49"/>
  <c r="P545" i="49"/>
  <c r="Q545" i="31"/>
  <c r="V494" i="31"/>
  <c r="G559" i="31"/>
  <c r="U364" i="31"/>
  <c r="S448" i="31"/>
  <c r="J462" i="31"/>
  <c r="O475" i="31"/>
  <c r="W520" i="49"/>
  <c r="T419" i="49"/>
  <c r="R610" i="49"/>
  <c r="W125" i="31"/>
  <c r="Q502" i="31"/>
  <c r="Y329" i="31"/>
  <c r="H586" i="31"/>
  <c r="AD338" i="31"/>
  <c r="P137" i="31"/>
  <c r="X199" i="31"/>
  <c r="AB448" i="49"/>
  <c r="P515" i="49"/>
  <c r="Y103" i="49"/>
  <c r="AC268" i="49"/>
  <c r="T610" i="31"/>
  <c r="AD581" i="31"/>
  <c r="X571" i="31"/>
  <c r="M457" i="49"/>
  <c r="J76" i="49"/>
  <c r="L128" i="49"/>
  <c r="P113" i="49"/>
  <c r="P187" i="49"/>
  <c r="V159" i="31"/>
  <c r="X505" i="49"/>
  <c r="I99" i="49"/>
  <c r="O162" i="49"/>
  <c r="R440" i="49"/>
  <c r="K544" i="49"/>
  <c r="L303" i="49"/>
  <c r="R572" i="31"/>
  <c r="AC462" i="49"/>
  <c r="R222" i="49"/>
  <c r="N310" i="49"/>
  <c r="S284" i="31"/>
  <c r="R575" i="49"/>
  <c r="AD611" i="49"/>
  <c r="Y317" i="49"/>
  <c r="K336" i="31"/>
  <c r="S247" i="49"/>
  <c r="V341" i="49"/>
  <c r="V517" i="49"/>
  <c r="Y67" i="49"/>
  <c r="T372" i="49"/>
  <c r="AA438" i="49"/>
  <c r="Z454" i="49"/>
  <c r="AC490" i="49"/>
  <c r="N536" i="49"/>
  <c r="Y148" i="49"/>
  <c r="M223" i="49"/>
  <c r="AD493" i="31"/>
  <c r="Q567" i="49"/>
  <c r="U408" i="49"/>
  <c r="X23" i="49"/>
  <c r="L368" i="49"/>
  <c r="R411" i="49"/>
  <c r="AA252" i="49"/>
  <c r="Q25" i="49"/>
  <c r="S554" i="31"/>
  <c r="L519" i="31"/>
  <c r="Q350" i="31"/>
  <c r="AA222" i="49"/>
  <c r="T54" i="49"/>
  <c r="H548" i="31"/>
  <c r="W516" i="49"/>
  <c r="Q159" i="31"/>
  <c r="Y217" i="31"/>
  <c r="U367" i="31"/>
  <c r="Q489" i="31"/>
  <c r="S326" i="31"/>
  <c r="AA605" i="31"/>
  <c r="G418" i="49"/>
  <c r="P125" i="31"/>
  <c r="Z191" i="31"/>
  <c r="K257" i="31"/>
  <c r="Z223" i="49"/>
  <c r="Q244" i="49"/>
  <c r="Q38" i="49"/>
  <c r="V509" i="49"/>
  <c r="AC255" i="31"/>
  <c r="AD405" i="49"/>
  <c r="W95" i="49"/>
  <c r="I160" i="49"/>
  <c r="P259" i="31"/>
  <c r="Z496" i="49"/>
  <c r="I240" i="49"/>
  <c r="U218" i="49"/>
  <c r="U277" i="49"/>
  <c r="P423" i="49"/>
  <c r="V182" i="49"/>
  <c r="H263" i="49"/>
  <c r="Y605" i="49"/>
  <c r="Y575" i="49"/>
  <c r="AD495" i="49"/>
  <c r="X593" i="31"/>
  <c r="T78" i="49"/>
  <c r="N54" i="49"/>
  <c r="N126" i="49"/>
  <c r="J312" i="49"/>
  <c r="P559" i="49"/>
  <c r="Q51" i="49"/>
  <c r="W112" i="49"/>
  <c r="G358" i="31"/>
  <c r="W175" i="49"/>
  <c r="AA305" i="49"/>
  <c r="M372" i="49"/>
  <c r="AB316" i="49"/>
  <c r="S603" i="49"/>
  <c r="N613" i="49"/>
  <c r="P523" i="49"/>
  <c r="K496" i="49"/>
  <c r="J598" i="49"/>
  <c r="G610" i="49"/>
  <c r="K310" i="49"/>
  <c r="AD511" i="31"/>
  <c r="S243" i="49"/>
  <c r="Z329" i="49"/>
  <c r="M516" i="49"/>
  <c r="P352" i="49"/>
  <c r="Q585" i="49"/>
  <c r="L489" i="49"/>
  <c r="AB250" i="49"/>
  <c r="H498" i="31"/>
  <c r="AD367" i="31"/>
  <c r="W463" i="49"/>
  <c r="Q252" i="49"/>
  <c r="AC222" i="49"/>
  <c r="L445" i="49"/>
  <c r="G148" i="31"/>
  <c r="O149" i="31"/>
  <c r="W211" i="31"/>
  <c r="Z43" i="49"/>
  <c r="S601" i="31"/>
  <c r="H490" i="31"/>
  <c r="X271" i="31"/>
  <c r="K233" i="49"/>
  <c r="H182" i="31"/>
  <c r="O407" i="31"/>
  <c r="Y466" i="31"/>
  <c r="AC406" i="49"/>
  <c r="Y196" i="49"/>
  <c r="R427" i="49"/>
  <c r="Y357" i="49"/>
  <c r="I57" i="31"/>
  <c r="K590" i="49"/>
  <c r="P360" i="31"/>
  <c r="H441" i="31"/>
  <c r="O243" i="31"/>
  <c r="K556" i="49"/>
  <c r="AA455" i="49"/>
  <c r="AD57" i="49"/>
  <c r="AB132" i="49"/>
  <c r="P578" i="49"/>
  <c r="X262" i="49"/>
  <c r="L552" i="49"/>
  <c r="AB210" i="49"/>
  <c r="X547" i="49"/>
  <c r="AD606" i="49"/>
  <c r="G249" i="31"/>
  <c r="K344" i="49"/>
  <c r="J580" i="31"/>
  <c r="M410" i="49"/>
  <c r="T138" i="49"/>
  <c r="U526" i="49"/>
  <c r="P121" i="49"/>
  <c r="X195" i="49"/>
  <c r="H145" i="31"/>
  <c r="AB453" i="49"/>
  <c r="Y105" i="49"/>
  <c r="G170" i="49"/>
  <c r="V448" i="49"/>
  <c r="AA548" i="49"/>
  <c r="V316" i="49"/>
  <c r="AB515" i="49"/>
  <c r="K404" i="49"/>
  <c r="P49" i="49"/>
  <c r="L299" i="49"/>
  <c r="T367" i="49"/>
  <c r="Y375" i="31"/>
  <c r="Q45" i="49"/>
  <c r="I305" i="49"/>
  <c r="AB458" i="31"/>
  <c r="AC266" i="31"/>
  <c r="Z615" i="49"/>
  <c r="Z371" i="31"/>
  <c r="S23" i="31"/>
  <c r="G452" i="49"/>
  <c r="X85" i="49"/>
  <c r="R169" i="31"/>
  <c r="V327" i="31"/>
  <c r="V608" i="31"/>
  <c r="Z326" i="49"/>
  <c r="W372" i="31"/>
  <c r="M124" i="49"/>
  <c r="G498" i="31"/>
  <c r="R320" i="31"/>
  <c r="AB288" i="49"/>
  <c r="K112" i="31"/>
  <c r="M229" i="49"/>
  <c r="V42" i="31"/>
  <c r="W39" i="31"/>
  <c r="W349" i="31"/>
  <c r="H509" i="31"/>
  <c r="L559" i="31"/>
  <c r="K426" i="49"/>
  <c r="L190" i="49"/>
  <c r="V533" i="31"/>
  <c r="G445" i="31"/>
  <c r="L113" i="49"/>
  <c r="AC97" i="49"/>
  <c r="AC437" i="49"/>
  <c r="AC477" i="49"/>
  <c r="X194" i="31"/>
  <c r="U100" i="31"/>
  <c r="N537" i="49"/>
  <c r="Y257" i="31"/>
  <c r="X342" i="31"/>
  <c r="W433" i="49"/>
  <c r="P497" i="31"/>
  <c r="Y551" i="31"/>
  <c r="I276" i="49"/>
  <c r="R176" i="49"/>
  <c r="P253" i="49"/>
  <c r="S326" i="49"/>
  <c r="P349" i="49"/>
  <c r="L250" i="31"/>
  <c r="O606" i="31"/>
  <c r="W106" i="31"/>
  <c r="K411" i="31"/>
  <c r="N426" i="31"/>
  <c r="R380" i="31"/>
  <c r="H400" i="49"/>
  <c r="Q606" i="49"/>
  <c r="Z453" i="49"/>
  <c r="U381" i="49"/>
  <c r="AA519" i="31"/>
  <c r="H519" i="49"/>
  <c r="I483" i="49"/>
  <c r="W363" i="49"/>
  <c r="H193" i="31"/>
  <c r="N268" i="31"/>
  <c r="K463" i="31"/>
  <c r="I445" i="31"/>
  <c r="Y100" i="31"/>
  <c r="T294" i="49"/>
  <c r="AA199" i="49"/>
  <c r="AA265" i="49"/>
  <c r="G507" i="31"/>
  <c r="J535" i="31"/>
  <c r="V85" i="49"/>
  <c r="S266" i="49"/>
  <c r="J104" i="49"/>
  <c r="V176" i="49"/>
  <c r="I151" i="49"/>
  <c r="Y490" i="49"/>
  <c r="K370" i="49"/>
  <c r="Y381" i="49"/>
  <c r="H407" i="49"/>
  <c r="T556" i="31"/>
  <c r="X537" i="49"/>
  <c r="T292" i="49"/>
  <c r="I200" i="49"/>
  <c r="X11" i="49"/>
  <c r="I372" i="31"/>
  <c r="G520" i="49"/>
  <c r="Q494" i="31"/>
  <c r="J138" i="31"/>
  <c r="AD338" i="49"/>
  <c r="Z479" i="49"/>
  <c r="X533" i="49"/>
  <c r="N438" i="49"/>
  <c r="Z594" i="31"/>
  <c r="V151" i="49"/>
  <c r="AB284" i="49"/>
  <c r="AD283" i="49"/>
  <c r="I212" i="49"/>
  <c r="I63" i="49"/>
  <c r="U320" i="49"/>
  <c r="AD309" i="49"/>
  <c r="W226" i="49"/>
  <c r="W162" i="31"/>
  <c r="S274" i="31"/>
  <c r="Z195" i="31"/>
  <c r="X508" i="49"/>
  <c r="U594" i="49"/>
  <c r="AD572" i="49"/>
  <c r="I605" i="49"/>
  <c r="T221" i="49"/>
  <c r="AC546" i="49"/>
  <c r="R452" i="49"/>
  <c r="W59" i="49"/>
  <c r="Y160" i="49"/>
  <c r="L135" i="49"/>
  <c r="Q119" i="49"/>
  <c r="L259" i="49"/>
  <c r="Q610" i="49"/>
  <c r="Y152" i="31"/>
  <c r="R493" i="31"/>
  <c r="Y410" i="31"/>
  <c r="J339" i="49"/>
  <c r="O331" i="31"/>
  <c r="V173" i="31"/>
  <c r="Y82" i="31"/>
  <c r="Y31" i="49"/>
  <c r="Q577" i="49"/>
  <c r="H613" i="49"/>
  <c r="Z463" i="49"/>
  <c r="I69" i="49"/>
  <c r="H205" i="49"/>
  <c r="U242" i="31"/>
  <c r="M235" i="49"/>
  <c r="W512" i="31"/>
  <c r="AB615" i="31"/>
  <c r="V320" i="31"/>
  <c r="N37" i="49"/>
  <c r="N582" i="49"/>
  <c r="M503" i="49"/>
  <c r="W92" i="49"/>
  <c r="AB365" i="49"/>
  <c r="Q142" i="49"/>
  <c r="X397" i="49"/>
  <c r="O571" i="49"/>
  <c r="O595" i="49"/>
  <c r="I167" i="49"/>
  <c r="V74" i="49"/>
  <c r="R554" i="49"/>
  <c r="AB299" i="49"/>
  <c r="G155" i="49"/>
  <c r="V363" i="31"/>
  <c r="AD546" i="49"/>
  <c r="AD310" i="49"/>
  <c r="N552" i="31"/>
  <c r="AC232" i="49"/>
  <c r="O583" i="49"/>
  <c r="AC449" i="49"/>
  <c r="P566" i="49"/>
  <c r="V397" i="49"/>
  <c r="AA106" i="49"/>
  <c r="AA269" i="49"/>
  <c r="AC61" i="49"/>
  <c r="O505" i="31"/>
  <c r="P181" i="31"/>
  <c r="K437" i="31"/>
  <c r="AC231" i="49"/>
  <c r="X543" i="49"/>
  <c r="W427" i="31"/>
  <c r="W126" i="49"/>
  <c r="Z373" i="49"/>
  <c r="X566" i="31"/>
  <c r="S113" i="49"/>
  <c r="N285" i="49"/>
  <c r="Y319" i="49"/>
  <c r="K562" i="31"/>
  <c r="AA58" i="31"/>
  <c r="T428" i="31"/>
  <c r="N181" i="49"/>
  <c r="K81" i="31"/>
  <c r="I195" i="49"/>
  <c r="I578" i="49"/>
  <c r="V131" i="49"/>
  <c r="S444" i="31"/>
  <c r="R32" i="31"/>
  <c r="AA590" i="49"/>
  <c r="X202" i="49"/>
  <c r="AD573" i="31"/>
  <c r="H474" i="31"/>
  <c r="V61" i="31"/>
  <c r="T271" i="49"/>
  <c r="Y479" i="31"/>
  <c r="V510" i="49"/>
  <c r="O296" i="49"/>
  <c r="Q117" i="49"/>
  <c r="I431" i="49"/>
  <c r="R550" i="31"/>
  <c r="P174" i="31"/>
  <c r="G171" i="31"/>
  <c r="N426" i="49"/>
  <c r="Q97" i="49"/>
  <c r="V331" i="49"/>
  <c r="M326" i="49"/>
  <c r="Q181" i="49"/>
  <c r="K514" i="49"/>
  <c r="S260" i="49"/>
  <c r="P143" i="49"/>
  <c r="R343" i="49"/>
  <c r="T596" i="49"/>
  <c r="H207" i="49"/>
  <c r="AD245" i="49"/>
  <c r="I280" i="31"/>
  <c r="U290" i="49"/>
  <c r="S143" i="49"/>
  <c r="P384" i="31"/>
  <c r="I73" i="49"/>
  <c r="Q193" i="49"/>
  <c r="P59" i="49"/>
  <c r="R556" i="49"/>
  <c r="X312" i="49"/>
  <c r="W290" i="31"/>
  <c r="AD132" i="31"/>
  <c r="V607" i="49"/>
  <c r="W496" i="31"/>
  <c r="W142" i="49"/>
  <c r="Q607" i="49"/>
  <c r="R331" i="49"/>
  <c r="G512" i="49"/>
  <c r="AD396" i="49"/>
  <c r="I85" i="49"/>
  <c r="AB461" i="31"/>
  <c r="M316" i="31"/>
  <c r="U510" i="31"/>
  <c r="U344" i="49"/>
  <c r="P279" i="31"/>
  <c r="J116" i="31"/>
  <c r="P179" i="31"/>
  <c r="V278" i="49"/>
  <c r="N532" i="49"/>
  <c r="N194" i="49"/>
  <c r="AB522" i="49"/>
  <c r="J139" i="49"/>
  <c r="M423" i="31"/>
  <c r="T38" i="49"/>
  <c r="AD97" i="49"/>
  <c r="AC463" i="49"/>
  <c r="AD451" i="31"/>
  <c r="AD577" i="49"/>
  <c r="M287" i="49"/>
  <c r="O536" i="49"/>
  <c r="T334" i="31"/>
  <c r="Z277" i="49"/>
  <c r="K509" i="49"/>
  <c r="I426" i="49"/>
  <c r="Q90" i="49"/>
  <c r="M563" i="49"/>
  <c r="P237" i="49"/>
  <c r="I143" i="31"/>
  <c r="AD368" i="31"/>
  <c r="Q343" i="31"/>
  <c r="AA360" i="31"/>
  <c r="W520" i="31"/>
  <c r="H284" i="31"/>
  <c r="P364" i="31"/>
  <c r="I233" i="31"/>
  <c r="T365" i="31"/>
  <c r="K447" i="49"/>
  <c r="AA434" i="49"/>
  <c r="L297" i="49"/>
  <c r="X45" i="49"/>
  <c r="O131" i="49"/>
  <c r="N185" i="49"/>
  <c r="P13" i="49"/>
  <c r="AA372" i="31"/>
  <c r="AC383" i="49"/>
  <c r="T563" i="49"/>
  <c r="J124" i="31"/>
  <c r="N577" i="31"/>
  <c r="N408" i="49"/>
  <c r="J407" i="49"/>
  <c r="V491" i="49"/>
  <c r="T122" i="49"/>
  <c r="Y597" i="31"/>
  <c r="AC342" i="31"/>
  <c r="N137" i="31"/>
  <c r="K287" i="49"/>
  <c r="S342" i="49"/>
  <c r="S414" i="49"/>
  <c r="AB34" i="49"/>
  <c r="Y87" i="49"/>
  <c r="J554" i="31"/>
  <c r="O140" i="31"/>
  <c r="W202" i="31"/>
  <c r="Q22" i="49"/>
  <c r="L279" i="49"/>
  <c r="O359" i="31"/>
  <c r="W536" i="31"/>
  <c r="H547" i="31"/>
  <c r="N19" i="49"/>
  <c r="H172" i="31"/>
  <c r="J241" i="31"/>
  <c r="N90" i="49"/>
  <c r="P266" i="49"/>
  <c r="Y439" i="49"/>
  <c r="I66" i="49"/>
  <c r="R551" i="31"/>
  <c r="L30" i="49"/>
  <c r="M558" i="31"/>
  <c r="U509" i="31"/>
  <c r="J10" i="49"/>
  <c r="AC575" i="49"/>
  <c r="J96" i="31"/>
  <c r="R160" i="31"/>
  <c r="M571" i="49"/>
  <c r="AA607" i="49"/>
  <c r="W66" i="31"/>
  <c r="G128" i="31"/>
  <c r="I146" i="49"/>
  <c r="AD431" i="49"/>
  <c r="G543" i="49"/>
  <c r="R438" i="31"/>
  <c r="AD346" i="31"/>
  <c r="M257" i="49"/>
  <c r="O582" i="49"/>
  <c r="V616" i="49"/>
  <c r="H272" i="31"/>
  <c r="V550" i="49"/>
  <c r="V307" i="49"/>
  <c r="J362" i="31"/>
  <c r="G408" i="49"/>
  <c r="Z395" i="49"/>
  <c r="I483" i="31"/>
  <c r="H111" i="49"/>
  <c r="P573" i="31"/>
  <c r="T500" i="49"/>
  <c r="P570" i="49"/>
  <c r="AA191" i="31"/>
  <c r="I373" i="49"/>
  <c r="X239" i="31"/>
  <c r="Q27" i="31"/>
  <c r="W434" i="31"/>
  <c r="AD400" i="49"/>
  <c r="O210" i="31"/>
  <c r="AA285" i="31"/>
  <c r="O257" i="49"/>
  <c r="U484" i="31"/>
  <c r="W375" i="31"/>
  <c r="J33" i="31"/>
  <c r="Y337" i="31"/>
  <c r="M124" i="31"/>
  <c r="G275" i="31"/>
  <c r="J453" i="49"/>
  <c r="M577" i="31"/>
  <c r="P451" i="31"/>
  <c r="O566" i="31"/>
  <c r="Y130" i="31"/>
  <c r="I194" i="31"/>
  <c r="V403" i="49"/>
  <c r="I106" i="31"/>
  <c r="K468" i="31"/>
  <c r="R532" i="31"/>
  <c r="W77" i="49"/>
  <c r="N401" i="31"/>
  <c r="O370" i="31"/>
  <c r="G449" i="31"/>
  <c r="L617" i="31"/>
  <c r="R34" i="49"/>
  <c r="N497" i="49"/>
  <c r="N288" i="49"/>
  <c r="Q201" i="31"/>
  <c r="Y282" i="49"/>
  <c r="N618" i="49"/>
  <c r="V302" i="49"/>
  <c r="J479" i="31"/>
  <c r="J554" i="49"/>
  <c r="V583" i="49"/>
  <c r="Q307" i="49"/>
  <c r="W576" i="49"/>
  <c r="AD241" i="49"/>
  <c r="V323" i="49"/>
  <c r="O515" i="49"/>
  <c r="Q57" i="49"/>
  <c r="R66" i="49"/>
  <c r="I148" i="49"/>
  <c r="P274" i="49"/>
  <c r="P235" i="49"/>
  <c r="P49" i="31"/>
  <c r="Z110" i="31"/>
  <c r="J236" i="49"/>
  <c r="AD547" i="49"/>
  <c r="I19" i="31"/>
  <c r="O78" i="31"/>
  <c r="Z409" i="31"/>
  <c r="N460" i="49"/>
  <c r="Y264" i="31"/>
  <c r="K585" i="31"/>
  <c r="I230" i="49"/>
  <c r="G18" i="49"/>
  <c r="AC603" i="49"/>
  <c r="M613" i="49"/>
  <c r="I374" i="49"/>
  <c r="P231" i="31"/>
  <c r="L438" i="31"/>
  <c r="Q20" i="31"/>
  <c r="O454" i="31"/>
  <c r="G202" i="31"/>
  <c r="T64" i="49"/>
  <c r="Y44" i="49"/>
  <c r="I42" i="49"/>
  <c r="I180" i="49"/>
  <c r="AA285" i="49"/>
  <c r="O173" i="49"/>
  <c r="X491" i="49"/>
  <c r="T574" i="49"/>
  <c r="Q83" i="49"/>
  <c r="Z410" i="31"/>
  <c r="Q394" i="49"/>
  <c r="AD417" i="49"/>
  <c r="R202" i="31"/>
  <c r="G113" i="31"/>
  <c r="AA417" i="49"/>
  <c r="AC302" i="31"/>
  <c r="V257" i="31"/>
  <c r="V432" i="31"/>
  <c r="I441" i="49"/>
  <c r="V44" i="49"/>
  <c r="N536" i="31"/>
  <c r="V359" i="49"/>
  <c r="AB250" i="31"/>
  <c r="T222" i="49"/>
  <c r="O497" i="31"/>
  <c r="G570" i="31"/>
  <c r="J344" i="31"/>
  <c r="K603" i="49"/>
  <c r="J439" i="31"/>
  <c r="J290" i="31"/>
  <c r="M50" i="49"/>
  <c r="W568" i="31"/>
  <c r="U68" i="49"/>
  <c r="Y122" i="31"/>
  <c r="M249" i="49"/>
  <c r="L121" i="31"/>
  <c r="N470" i="49"/>
  <c r="G88" i="31"/>
  <c r="I449" i="31"/>
  <c r="J592" i="49"/>
  <c r="Q467" i="31"/>
  <c r="AB346" i="31"/>
  <c r="AD327" i="49"/>
  <c r="U237" i="31"/>
  <c r="H292" i="49"/>
  <c r="AB166" i="49"/>
  <c r="K162" i="49"/>
  <c r="U309" i="31"/>
  <c r="S182" i="49"/>
  <c r="Z460" i="49"/>
  <c r="AC189" i="31"/>
  <c r="Y111" i="31"/>
  <c r="O612" i="31"/>
  <c r="N265" i="31"/>
  <c r="I602" i="49"/>
  <c r="T56" i="49"/>
  <c r="M586" i="31"/>
  <c r="X413" i="49"/>
  <c r="H339" i="31"/>
  <c r="G312" i="31"/>
  <c r="J69" i="31"/>
  <c r="S574" i="31"/>
  <c r="P536" i="31"/>
  <c r="P303" i="31"/>
  <c r="W319" i="49"/>
  <c r="H525" i="31"/>
  <c r="N343" i="49"/>
  <c r="V166" i="49"/>
  <c r="K237" i="49"/>
  <c r="U502" i="31"/>
  <c r="AC309" i="31"/>
  <c r="AD507" i="31"/>
  <c r="AB289" i="31"/>
  <c r="R422" i="49"/>
  <c r="Y185" i="31"/>
  <c r="Q363" i="49"/>
  <c r="W41" i="31"/>
  <c r="I102" i="31"/>
  <c r="AB275" i="49"/>
  <c r="U381" i="31"/>
  <c r="AA351" i="31"/>
  <c r="U441" i="31"/>
  <c r="Y277" i="49"/>
  <c r="O483" i="49"/>
  <c r="H375" i="31"/>
  <c r="Q12" i="31"/>
  <c r="I68" i="49"/>
  <c r="R605" i="49"/>
  <c r="T170" i="49"/>
  <c r="AA246" i="49"/>
  <c r="Z467" i="49"/>
  <c r="H590" i="31"/>
  <c r="O432" i="49"/>
  <c r="I121" i="31"/>
  <c r="Y220" i="31"/>
  <c r="Z137" i="49"/>
  <c r="J201" i="49"/>
  <c r="O546" i="31"/>
  <c r="J280" i="31"/>
  <c r="R412" i="31"/>
  <c r="X548" i="31"/>
  <c r="O20" i="31"/>
  <c r="K150" i="49"/>
  <c r="H236" i="31"/>
  <c r="G455" i="31"/>
  <c r="AD544" i="31"/>
  <c r="S164" i="31"/>
  <c r="L53" i="49"/>
  <c r="L125" i="49"/>
  <c r="U397" i="31"/>
  <c r="N113" i="49"/>
  <c r="S50" i="49"/>
  <c r="AC111" i="49"/>
  <c r="AD405" i="31"/>
  <c r="S302" i="49"/>
  <c r="Q272" i="49"/>
  <c r="AC244" i="49"/>
  <c r="Y204" i="31"/>
  <c r="L414" i="31"/>
  <c r="X407" i="31"/>
  <c r="I480" i="49"/>
  <c r="M562" i="49"/>
  <c r="N550" i="31"/>
  <c r="X132" i="31"/>
  <c r="X206" i="31"/>
  <c r="Z199" i="49"/>
  <c r="Z118" i="31"/>
  <c r="M52" i="31"/>
  <c r="S113" i="31"/>
  <c r="J499" i="49"/>
  <c r="Q87" i="31"/>
  <c r="AD425" i="49"/>
  <c r="S397" i="31"/>
  <c r="AC147" i="31"/>
  <c r="K210" i="31"/>
  <c r="P116" i="49"/>
  <c r="Z179" i="49"/>
  <c r="Q221" i="31"/>
  <c r="G175" i="31"/>
  <c r="AB372" i="31"/>
  <c r="H342" i="31"/>
  <c r="J424" i="31"/>
  <c r="J86" i="49"/>
  <c r="H514" i="31"/>
  <c r="W437" i="49"/>
  <c r="AD43" i="49"/>
  <c r="Z430" i="49"/>
  <c r="H52" i="31"/>
  <c r="N500" i="31"/>
  <c r="R291" i="31"/>
  <c r="H494" i="49"/>
  <c r="M401" i="31"/>
  <c r="AC519" i="31"/>
  <c r="P41" i="31"/>
  <c r="T501" i="49"/>
  <c r="T575" i="31"/>
  <c r="M437" i="49"/>
  <c r="G115" i="31"/>
  <c r="P255" i="49"/>
  <c r="R116" i="49"/>
  <c r="L191" i="49"/>
  <c r="S452" i="31"/>
  <c r="R362" i="49"/>
  <c r="K189" i="49"/>
  <c r="AD281" i="49"/>
  <c r="Q14" i="31"/>
  <c r="P274" i="31"/>
  <c r="W447" i="31"/>
  <c r="AB597" i="49"/>
  <c r="Q50" i="49"/>
  <c r="M55" i="49"/>
  <c r="S575" i="31"/>
  <c r="AA502" i="31"/>
  <c r="Y590" i="49"/>
  <c r="AC56" i="31"/>
  <c r="H198" i="31"/>
  <c r="S268" i="31"/>
  <c r="O556" i="49"/>
  <c r="P175" i="31"/>
  <c r="U589" i="49"/>
  <c r="Z236" i="49"/>
  <c r="H602" i="31"/>
  <c r="K547" i="49"/>
  <c r="G173" i="49"/>
  <c r="K303" i="49"/>
  <c r="S369" i="49"/>
  <c r="G592" i="49"/>
  <c r="AA338" i="31"/>
  <c r="M422" i="31"/>
  <c r="Z16" i="31"/>
  <c r="J322" i="31"/>
  <c r="L360" i="31"/>
  <c r="T441" i="31"/>
  <c r="G259" i="31"/>
  <c r="I84" i="31"/>
  <c r="T309" i="31"/>
  <c r="S56" i="49"/>
  <c r="S518" i="49"/>
  <c r="T413" i="49"/>
  <c r="N88" i="49"/>
  <c r="N164" i="49"/>
  <c r="Q214" i="31"/>
  <c r="N573" i="31"/>
  <c r="H551" i="31"/>
  <c r="S49" i="31"/>
  <c r="I329" i="49"/>
  <c r="O24" i="31"/>
  <c r="W231" i="31"/>
  <c r="I368" i="31"/>
  <c r="K521" i="49"/>
  <c r="AD279" i="31"/>
  <c r="AA217" i="49"/>
  <c r="W380" i="49"/>
  <c r="H554" i="49"/>
  <c r="N525" i="49"/>
  <c r="I273" i="31"/>
  <c r="AA329" i="31"/>
  <c r="N77" i="31"/>
  <c r="Z13" i="49"/>
  <c r="W491" i="49"/>
  <c r="L556" i="49"/>
  <c r="J446" i="31"/>
  <c r="T195" i="49"/>
  <c r="J352" i="49"/>
  <c r="Z510" i="49"/>
  <c r="N61" i="49"/>
  <c r="K401" i="49"/>
  <c r="AA114" i="31"/>
  <c r="K176" i="31"/>
  <c r="Z307" i="31"/>
  <c r="P278" i="31"/>
  <c r="Y474" i="49"/>
  <c r="L433" i="49"/>
  <c r="P448" i="49"/>
  <c r="Y449" i="49"/>
  <c r="T496" i="31"/>
  <c r="R278" i="31"/>
  <c r="I281" i="31"/>
  <c r="Z518" i="49"/>
  <c r="AA413" i="31"/>
  <c r="H475" i="31"/>
  <c r="H65" i="31"/>
  <c r="AB326" i="49"/>
  <c r="Y378" i="31"/>
  <c r="I455" i="31"/>
  <c r="N432" i="49"/>
  <c r="AB456" i="31"/>
  <c r="AB438" i="49"/>
  <c r="I103" i="49"/>
  <c r="O166" i="49"/>
  <c r="K280" i="31"/>
  <c r="L326" i="49"/>
  <c r="X544" i="49"/>
  <c r="X42" i="31"/>
  <c r="Z342" i="31"/>
  <c r="U148" i="49"/>
  <c r="Q223" i="49"/>
  <c r="P373" i="31"/>
  <c r="S112" i="49"/>
  <c r="X196" i="49"/>
  <c r="R93" i="31"/>
  <c r="H295" i="49"/>
  <c r="R281" i="31"/>
  <c r="AD580" i="49"/>
  <c r="O193" i="49"/>
  <c r="AB485" i="49"/>
  <c r="T397" i="49"/>
  <c r="G141" i="31"/>
  <c r="J537" i="31"/>
  <c r="X602" i="31"/>
  <c r="S594" i="31"/>
  <c r="Z479" i="31"/>
  <c r="V87" i="49"/>
  <c r="AB148" i="49"/>
  <c r="AD455" i="31"/>
  <c r="W397" i="31"/>
  <c r="T615" i="49"/>
  <c r="AB324" i="49"/>
  <c r="AB212" i="49"/>
  <c r="I105" i="49"/>
  <c r="AC250" i="49"/>
  <c r="G95" i="49"/>
  <c r="Y75" i="31"/>
  <c r="U409" i="31"/>
  <c r="AA468" i="31"/>
  <c r="N578" i="49"/>
  <c r="M266" i="31"/>
  <c r="AD421" i="31"/>
  <c r="U371" i="31"/>
  <c r="R283" i="49"/>
  <c r="Z348" i="49"/>
  <c r="P316" i="31"/>
  <c r="P401" i="31"/>
  <c r="T468" i="49"/>
  <c r="W21" i="49"/>
  <c r="V412" i="49"/>
  <c r="U275" i="49"/>
  <c r="W45" i="31"/>
  <c r="J477" i="49"/>
  <c r="K400" i="49"/>
  <c r="N11" i="49"/>
  <c r="K455" i="49"/>
  <c r="T525" i="49"/>
  <c r="X194" i="49"/>
  <c r="H428" i="49"/>
  <c r="Y606" i="31"/>
  <c r="V434" i="49"/>
  <c r="G43" i="49"/>
  <c r="O103" i="49"/>
  <c r="U226" i="49"/>
  <c r="Y162" i="49"/>
  <c r="J458" i="49"/>
  <c r="AC319" i="49"/>
  <c r="W243" i="49"/>
  <c r="AB130" i="49"/>
  <c r="V116" i="49"/>
  <c r="P191" i="49"/>
  <c r="T402" i="49"/>
  <c r="X489" i="49"/>
  <c r="Y101" i="49"/>
  <c r="W176" i="49"/>
  <c r="W305" i="31"/>
  <c r="AB245" i="49"/>
  <c r="K363" i="49"/>
  <c r="Z417" i="31"/>
  <c r="U583" i="31"/>
  <c r="R285" i="31"/>
  <c r="W181" i="49"/>
  <c r="AC310" i="49"/>
  <c r="M378" i="49"/>
  <c r="N400" i="49"/>
  <c r="N462" i="31"/>
  <c r="S249" i="49"/>
  <c r="X581" i="31"/>
  <c r="S611" i="31"/>
  <c r="AD75" i="49"/>
  <c r="H51" i="49"/>
  <c r="H123" i="49"/>
  <c r="V457" i="31"/>
  <c r="P599" i="49"/>
  <c r="W48" i="49"/>
  <c r="G110" i="49"/>
  <c r="U601" i="49"/>
  <c r="W362" i="49"/>
  <c r="Z226" i="49"/>
  <c r="P204" i="49"/>
  <c r="W82" i="31"/>
  <c r="N13" i="49"/>
  <c r="T72" i="49"/>
  <c r="Q174" i="49"/>
  <c r="Q280" i="31"/>
  <c r="H461" i="49"/>
  <c r="K240" i="49"/>
  <c r="Y266" i="49"/>
  <c r="V161" i="49"/>
  <c r="H578" i="49"/>
  <c r="Z365" i="49"/>
  <c r="J485" i="49"/>
  <c r="I129" i="49"/>
  <c r="W11" i="49"/>
  <c r="T60" i="49"/>
  <c r="G51" i="31"/>
  <c r="K468" i="49"/>
  <c r="I395" i="49"/>
  <c r="U272" i="49"/>
  <c r="Y501" i="49"/>
  <c r="T182" i="49"/>
  <c r="X175" i="49"/>
  <c r="H259" i="49"/>
  <c r="Y471" i="31"/>
  <c r="O31" i="49"/>
  <c r="O150" i="49"/>
  <c r="AB247" i="49"/>
  <c r="S596" i="49"/>
  <c r="AB570" i="49"/>
  <c r="V198" i="49"/>
  <c r="J534" i="31"/>
  <c r="N361" i="31"/>
  <c r="Z100" i="49"/>
  <c r="AD348" i="49"/>
  <c r="AC329" i="49"/>
  <c r="R403" i="49"/>
  <c r="G294" i="49"/>
  <c r="AC511" i="49"/>
  <c r="Q521" i="49"/>
  <c r="W295" i="31"/>
  <c r="U483" i="31"/>
  <c r="AC616" i="31"/>
  <c r="H566" i="49"/>
  <c r="W606" i="31"/>
  <c r="X310" i="31"/>
  <c r="P465" i="31"/>
  <c r="AB253" i="49"/>
  <c r="J586" i="31"/>
  <c r="N406" i="49"/>
  <c r="N334" i="49"/>
  <c r="Q44" i="49"/>
  <c r="Y104" i="49"/>
  <c r="R85" i="49"/>
  <c r="Q341" i="49"/>
  <c r="V576" i="31"/>
  <c r="M427" i="49"/>
  <c r="R618" i="49"/>
  <c r="W525" i="49"/>
  <c r="N118" i="49"/>
  <c r="Z192" i="49"/>
  <c r="U544" i="49"/>
  <c r="Z509" i="49"/>
  <c r="AC378" i="49"/>
  <c r="G20" i="49"/>
  <c r="X318" i="49"/>
  <c r="I572" i="31"/>
  <c r="Q277" i="31"/>
  <c r="J458" i="31"/>
  <c r="S281" i="49"/>
  <c r="P73" i="31"/>
  <c r="X133" i="31"/>
  <c r="N73" i="49"/>
  <c r="L466" i="49"/>
  <c r="I43" i="31"/>
  <c r="Q103" i="31"/>
  <c r="P302" i="49"/>
  <c r="W61" i="49"/>
  <c r="Z462" i="49"/>
  <c r="AC323" i="49"/>
  <c r="Q72" i="31"/>
  <c r="W209" i="49"/>
  <c r="H290" i="49"/>
  <c r="Q437" i="49"/>
  <c r="S218" i="49"/>
  <c r="L525" i="49"/>
  <c r="M605" i="49"/>
  <c r="W211" i="49"/>
  <c r="Y562" i="31"/>
  <c r="R434" i="49"/>
  <c r="Z449" i="49"/>
  <c r="Q185" i="49"/>
  <c r="AC338" i="49"/>
  <c r="J209" i="49"/>
  <c r="H451" i="49"/>
  <c r="R613" i="31"/>
  <c r="J381" i="31"/>
  <c r="P213" i="31"/>
  <c r="AD325" i="31"/>
  <c r="AB383" i="49"/>
  <c r="N437" i="49"/>
  <c r="I185" i="31"/>
  <c r="Q243" i="31"/>
  <c r="P486" i="49"/>
  <c r="AA567" i="31"/>
  <c r="W611" i="31"/>
  <c r="AA383" i="31"/>
  <c r="AA348" i="49"/>
  <c r="X512" i="31"/>
  <c r="Y61" i="31"/>
  <c r="AD336" i="49"/>
  <c r="G49" i="49"/>
  <c r="Q110" i="49"/>
  <c r="AC210" i="31"/>
  <c r="U505" i="49"/>
  <c r="X446" i="49"/>
  <c r="J371" i="31"/>
  <c r="H104" i="49"/>
  <c r="AB452" i="49"/>
  <c r="K417" i="49"/>
  <c r="AA404" i="49"/>
  <c r="AC17" i="49"/>
  <c r="T517" i="49"/>
  <c r="Z191" i="49"/>
  <c r="AD371" i="49"/>
  <c r="Y203" i="49"/>
  <c r="L246" i="49"/>
  <c r="V582" i="31"/>
  <c r="T322" i="49"/>
  <c r="Z28" i="49"/>
  <c r="K572" i="31"/>
  <c r="S500" i="31"/>
  <c r="V330" i="49"/>
  <c r="AC474" i="31"/>
  <c r="V113" i="31"/>
  <c r="V187" i="31"/>
  <c r="U337" i="49"/>
  <c r="I169" i="31"/>
  <c r="O33" i="31"/>
  <c r="W93" i="31"/>
  <c r="AC524" i="49"/>
  <c r="J463" i="49"/>
  <c r="J287" i="49"/>
  <c r="AD380" i="49"/>
  <c r="W78" i="49"/>
  <c r="Z24" i="31"/>
  <c r="H85" i="31"/>
  <c r="T24" i="49"/>
  <c r="W479" i="49"/>
  <c r="M278" i="31"/>
  <c r="Y55" i="31"/>
  <c r="H280" i="49"/>
  <c r="J617" i="49"/>
  <c r="Y237" i="31"/>
  <c r="G334" i="31"/>
  <c r="W119" i="49"/>
  <c r="L533" i="31"/>
  <c r="Q18" i="49"/>
  <c r="J385" i="49"/>
  <c r="Z517" i="49"/>
  <c r="G17" i="49"/>
  <c r="AB455" i="31"/>
  <c r="X381" i="31"/>
  <c r="N205" i="49"/>
  <c r="M334" i="49"/>
  <c r="W181" i="31"/>
  <c r="W241" i="31"/>
  <c r="R140" i="31"/>
  <c r="X518" i="49"/>
  <c r="K504" i="49"/>
  <c r="V413" i="49"/>
  <c r="S22" i="49"/>
  <c r="M24" i="31"/>
  <c r="AD617" i="31"/>
  <c r="V82" i="49"/>
  <c r="N165" i="31"/>
  <c r="P324" i="31"/>
  <c r="P605" i="31"/>
  <c r="J324" i="49"/>
  <c r="U369" i="31"/>
  <c r="J234" i="31"/>
  <c r="U152" i="31"/>
  <c r="Z49" i="49"/>
  <c r="V512" i="31"/>
  <c r="T221" i="31"/>
  <c r="S183" i="31"/>
  <c r="I100" i="31"/>
  <c r="U439" i="31"/>
  <c r="AB428" i="31"/>
  <c r="N489" i="49"/>
  <c r="I111" i="31"/>
  <c r="K297" i="31"/>
  <c r="O10" i="31"/>
  <c r="N516" i="31"/>
  <c r="AC368" i="31"/>
  <c r="AD372" i="31"/>
  <c r="Y194" i="31"/>
  <c r="G524" i="49"/>
  <c r="H385" i="49"/>
  <c r="P483" i="49"/>
  <c r="AC369" i="49"/>
  <c r="J581" i="31"/>
  <c r="Z424" i="31"/>
  <c r="T44" i="49"/>
  <c r="J289" i="31"/>
  <c r="R30" i="31"/>
  <c r="Y104" i="31"/>
  <c r="M445" i="31"/>
  <c r="AB446" i="31"/>
  <c r="J491" i="49"/>
  <c r="AA451" i="49"/>
  <c r="Y265" i="49"/>
  <c r="I473" i="49"/>
  <c r="I171" i="31"/>
  <c r="AC486" i="31"/>
  <c r="R244" i="31"/>
  <c r="U512" i="31"/>
  <c r="J564" i="31"/>
  <c r="U479" i="49"/>
  <c r="M573" i="31"/>
  <c r="P555" i="49"/>
  <c r="R67" i="31"/>
  <c r="L427" i="31"/>
  <c r="T48" i="49"/>
  <c r="Z295" i="31"/>
  <c r="R250" i="31"/>
  <c r="I517" i="31"/>
  <c r="J54" i="31"/>
  <c r="P417" i="49"/>
  <c r="I164" i="31"/>
  <c r="Z29" i="31"/>
  <c r="L369" i="31"/>
  <c r="T94" i="49"/>
  <c r="O500" i="31"/>
  <c r="Z599" i="31"/>
  <c r="AB146" i="49"/>
  <c r="M341" i="49"/>
  <c r="G183" i="49"/>
  <c r="O259" i="49"/>
  <c r="J215" i="49"/>
  <c r="R547" i="49"/>
  <c r="X585" i="31"/>
  <c r="R304" i="49"/>
  <c r="O348" i="31"/>
  <c r="V60" i="49"/>
  <c r="AC223" i="31"/>
  <c r="L504" i="31"/>
  <c r="P420" i="49"/>
  <c r="Q344" i="31"/>
  <c r="AC451" i="31"/>
  <c r="N420" i="49"/>
  <c r="Y309" i="31"/>
  <c r="R200" i="31"/>
  <c r="U298" i="49"/>
  <c r="W573" i="49"/>
  <c r="V605" i="49"/>
  <c r="V451" i="49"/>
  <c r="X589" i="31"/>
  <c r="S371" i="31"/>
  <c r="Y351" i="31"/>
  <c r="AB297" i="49"/>
  <c r="G495" i="49"/>
  <c r="T508" i="31"/>
  <c r="P550" i="49"/>
  <c r="S509" i="31"/>
  <c r="T52" i="49"/>
  <c r="G222" i="31"/>
  <c r="AA526" i="31"/>
  <c r="AA263" i="31"/>
  <c r="O100" i="49"/>
  <c r="N268" i="49"/>
  <c r="O270" i="49"/>
  <c r="M478" i="49"/>
  <c r="M248" i="31"/>
  <c r="AD137" i="49"/>
  <c r="Z140" i="31"/>
  <c r="U493" i="49"/>
  <c r="K425" i="49"/>
  <c r="Y491" i="31"/>
  <c r="J199" i="31"/>
  <c r="R501" i="31"/>
  <c r="I311" i="49"/>
  <c r="G215" i="31"/>
  <c r="L275" i="31"/>
  <c r="L471" i="31"/>
  <c r="N374" i="49"/>
  <c r="J579" i="49"/>
  <c r="P239" i="49"/>
  <c r="T571" i="49"/>
  <c r="M252" i="31"/>
  <c r="N141" i="49"/>
  <c r="U298" i="31"/>
  <c r="O605" i="49"/>
  <c r="H346" i="31"/>
  <c r="V468" i="49"/>
  <c r="AA320" i="49"/>
  <c r="L590" i="49"/>
  <c r="I461" i="49"/>
  <c r="H514" i="49"/>
  <c r="I595" i="49"/>
  <c r="J249" i="49"/>
  <c r="U246" i="49"/>
  <c r="W57" i="49"/>
  <c r="I515" i="49"/>
  <c r="AB477" i="49"/>
  <c r="AD13" i="49"/>
  <c r="H610" i="31"/>
  <c r="Z450" i="49"/>
  <c r="W547" i="49"/>
  <c r="N312" i="49"/>
  <c r="X308" i="49"/>
  <c r="W521" i="49"/>
  <c r="L589" i="31"/>
  <c r="H195" i="49"/>
  <c r="M284" i="49"/>
  <c r="W15" i="49"/>
  <c r="Z375" i="49"/>
  <c r="V362" i="49"/>
  <c r="S268" i="49"/>
  <c r="T592" i="49"/>
  <c r="R164" i="49"/>
  <c r="K594" i="49"/>
  <c r="G24" i="49"/>
  <c r="AB187" i="49"/>
  <c r="H75" i="49"/>
  <c r="V90" i="31"/>
  <c r="S325" i="31"/>
  <c r="W417" i="49"/>
  <c r="O576" i="31"/>
  <c r="Y453" i="49"/>
  <c r="G357" i="31"/>
  <c r="J214" i="31"/>
  <c r="X492" i="31"/>
  <c r="V521" i="49"/>
  <c r="AD210" i="49"/>
  <c r="L305" i="49"/>
  <c r="I206" i="31"/>
  <c r="Z336" i="31"/>
  <c r="AD395" i="49"/>
  <c r="S220" i="49"/>
  <c r="M368" i="49"/>
  <c r="Y128" i="31"/>
  <c r="AC448" i="31"/>
  <c r="X12" i="31"/>
  <c r="G554" i="31"/>
  <c r="G613" i="49"/>
  <c r="X124" i="31"/>
  <c r="AD375" i="31"/>
  <c r="P515" i="31"/>
  <c r="AA272" i="31"/>
  <c r="I133" i="49"/>
  <c r="T332" i="49"/>
  <c r="X440" i="31"/>
  <c r="N498" i="31"/>
  <c r="V381" i="31"/>
  <c r="Q262" i="49"/>
  <c r="AC292" i="49"/>
  <c r="V360" i="31"/>
  <c r="V591" i="49"/>
  <c r="H522" i="49"/>
  <c r="H462" i="49"/>
  <c r="Z260" i="31"/>
  <c r="N290" i="49"/>
  <c r="V147" i="31"/>
  <c r="AD79" i="49"/>
  <c r="P480" i="49"/>
  <c r="J203" i="31"/>
  <c r="O101" i="49"/>
  <c r="W22" i="49"/>
  <c r="V358" i="49"/>
  <c r="K223" i="49"/>
  <c r="G15" i="49"/>
  <c r="V124" i="49"/>
  <c r="Q93" i="49"/>
  <c r="AB114" i="49"/>
  <c r="K592" i="49"/>
  <c r="P516" i="49"/>
  <c r="V433" i="49"/>
  <c r="S311" i="31"/>
  <c r="J254" i="49"/>
  <c r="Z425" i="31"/>
  <c r="U64" i="49"/>
  <c r="U580" i="31"/>
  <c r="Q463" i="31"/>
  <c r="H350" i="49"/>
  <c r="S176" i="49"/>
  <c r="V475" i="49"/>
  <c r="N362" i="31"/>
  <c r="P509" i="31"/>
  <c r="AD555" i="31"/>
  <c r="R361" i="49"/>
  <c r="N518" i="49"/>
  <c r="O186" i="31"/>
  <c r="N119" i="49"/>
  <c r="X336" i="49"/>
  <c r="T573" i="49"/>
  <c r="Z115" i="31"/>
  <c r="I224" i="31"/>
  <c r="T283" i="31"/>
  <c r="U167" i="49"/>
  <c r="AC51" i="49"/>
  <c r="S53" i="31"/>
  <c r="G310" i="49"/>
  <c r="G546" i="49"/>
  <c r="V199" i="31"/>
  <c r="O420" i="31"/>
  <c r="O94" i="31"/>
  <c r="U211" i="31"/>
  <c r="Q180" i="31"/>
  <c r="G566" i="49"/>
  <c r="X408" i="49"/>
  <c r="U128" i="31"/>
  <c r="P10" i="49"/>
  <c r="AB191" i="49"/>
  <c r="K422" i="49"/>
  <c r="V277" i="31"/>
  <c r="U212" i="49"/>
  <c r="J512" i="49"/>
  <c r="I268" i="49"/>
  <c r="I548" i="49"/>
  <c r="K597" i="49"/>
  <c r="J338" i="31"/>
  <c r="K106" i="49"/>
  <c r="J94" i="49"/>
  <c r="O369" i="49"/>
  <c r="Q31" i="31"/>
  <c r="AD363" i="31"/>
  <c r="H132" i="31"/>
  <c r="H28" i="49"/>
  <c r="AA211" i="49"/>
  <c r="X471" i="31"/>
  <c r="J205" i="49"/>
  <c r="Y214" i="49"/>
  <c r="K535" i="49"/>
  <c r="AC16" i="49"/>
  <c r="M16" i="31"/>
  <c r="K617" i="49"/>
  <c r="P55" i="31"/>
  <c r="AC125" i="49"/>
  <c r="Z299" i="31"/>
  <c r="N402" i="49"/>
  <c r="S585" i="31"/>
  <c r="V463" i="31"/>
  <c r="W51" i="49"/>
  <c r="I91" i="31"/>
  <c r="AD406" i="31"/>
  <c r="V163" i="49"/>
  <c r="T133" i="49"/>
  <c r="P40" i="31"/>
  <c r="P408" i="31"/>
  <c r="G217" i="31"/>
  <c r="AD272" i="49"/>
  <c r="T473" i="31"/>
  <c r="N563" i="31"/>
  <c r="T110" i="49"/>
  <c r="Z305" i="31"/>
  <c r="AD402" i="49"/>
  <c r="S536" i="31"/>
  <c r="N465" i="31"/>
  <c r="I161" i="49"/>
  <c r="AB523" i="49"/>
  <c r="N457" i="49"/>
  <c r="W174" i="49"/>
  <c r="L365" i="49"/>
  <c r="X331" i="31"/>
  <c r="AB581" i="31"/>
  <c r="X612" i="31"/>
  <c r="L445" i="31"/>
  <c r="K358" i="49"/>
  <c r="N564" i="49"/>
  <c r="U571" i="31"/>
  <c r="I61" i="31"/>
  <c r="U206" i="31"/>
  <c r="L505" i="49"/>
  <c r="H579" i="31"/>
  <c r="O296" i="31"/>
  <c r="Y518" i="49"/>
  <c r="R412" i="49"/>
  <c r="Q227" i="49"/>
  <c r="G119" i="31"/>
  <c r="Q361" i="31"/>
  <c r="Y515" i="31"/>
  <c r="G341" i="49"/>
  <c r="N421" i="31"/>
  <c r="R130" i="31"/>
  <c r="X193" i="31"/>
  <c r="N564" i="31"/>
  <c r="G39" i="49"/>
  <c r="U510" i="49"/>
  <c r="O537" i="49"/>
  <c r="H594" i="31"/>
  <c r="AC350" i="49"/>
  <c r="K601" i="49"/>
  <c r="J454" i="49"/>
  <c r="J58" i="49"/>
  <c r="AB283" i="49"/>
  <c r="AB294" i="49"/>
  <c r="I64" i="49"/>
  <c r="T138" i="31"/>
  <c r="Q287" i="49"/>
  <c r="AD275" i="49"/>
  <c r="J598" i="31"/>
  <c r="V364" i="49"/>
  <c r="X119" i="49"/>
  <c r="Y194" i="49"/>
  <c r="O195" i="31"/>
  <c r="S534" i="49"/>
  <c r="Q138" i="49"/>
  <c r="Y200" i="49"/>
  <c r="R258" i="49"/>
  <c r="U552" i="49"/>
  <c r="U468" i="49"/>
  <c r="V12" i="49"/>
  <c r="R82" i="31"/>
  <c r="X402" i="49"/>
  <c r="I233" i="49"/>
  <c r="G16" i="49"/>
  <c r="J349" i="49"/>
  <c r="K230" i="49"/>
  <c r="X524" i="49"/>
  <c r="Q111" i="49"/>
  <c r="T582" i="31"/>
  <c r="R616" i="31"/>
  <c r="P507" i="49"/>
  <c r="AA594" i="49"/>
  <c r="Q305" i="31"/>
  <c r="T159" i="49"/>
  <c r="AD461" i="49"/>
  <c r="AC572" i="49"/>
  <c r="N123" i="31"/>
  <c r="Y135" i="49"/>
  <c r="T521" i="49"/>
  <c r="T602" i="49"/>
  <c r="S559" i="31"/>
  <c r="Z498" i="31"/>
  <c r="AB515" i="31"/>
  <c r="W403" i="49"/>
  <c r="N51" i="49"/>
  <c r="J466" i="31"/>
  <c r="I324" i="49"/>
  <c r="Y155" i="31"/>
  <c r="I217" i="31"/>
  <c r="R503" i="49"/>
  <c r="Z308" i="49"/>
  <c r="S472" i="31"/>
  <c r="AA615" i="31"/>
  <c r="X592" i="31"/>
  <c r="AC545" i="49"/>
  <c r="J191" i="31"/>
  <c r="R255" i="31"/>
  <c r="W93" i="49"/>
  <c r="N439" i="49"/>
  <c r="Q361" i="49"/>
  <c r="N224" i="49"/>
  <c r="V615" i="31"/>
  <c r="Z554" i="31"/>
  <c r="G488" i="49"/>
  <c r="T532" i="49"/>
  <c r="H81" i="49"/>
  <c r="V96" i="49"/>
  <c r="L345" i="49"/>
  <c r="M485" i="49"/>
  <c r="V163" i="31"/>
  <c r="O86" i="49"/>
  <c r="Q353" i="49"/>
  <c r="Y545" i="49"/>
  <c r="H185" i="49"/>
  <c r="M449" i="49"/>
  <c r="AB605" i="49"/>
  <c r="R576" i="31"/>
  <c r="Q617" i="49"/>
  <c r="T302" i="49"/>
  <c r="Q16" i="49"/>
  <c r="X295" i="49"/>
  <c r="K582" i="49"/>
  <c r="O199" i="49"/>
  <c r="Z534" i="31"/>
  <c r="U339" i="31"/>
  <c r="Z307" i="49"/>
  <c r="H11" i="49"/>
  <c r="J82" i="49"/>
  <c r="O318" i="49"/>
  <c r="W56" i="49"/>
  <c r="U438" i="49"/>
  <c r="W45" i="49"/>
  <c r="G491" i="49"/>
  <c r="G137" i="49"/>
  <c r="I273" i="49"/>
  <c r="U332" i="49"/>
  <c r="N497" i="31"/>
  <c r="Q224" i="49"/>
  <c r="W593" i="49"/>
  <c r="V262" i="49"/>
  <c r="L318" i="49"/>
  <c r="N231" i="49"/>
  <c r="V571" i="49"/>
  <c r="K264" i="49"/>
  <c r="X494" i="31"/>
  <c r="L523" i="31"/>
  <c r="W450" i="49"/>
  <c r="I605" i="31"/>
  <c r="M496" i="31"/>
  <c r="V579" i="49"/>
  <c r="Y143" i="31"/>
  <c r="I146" i="31"/>
  <c r="O207" i="31"/>
  <c r="R29" i="49"/>
  <c r="O299" i="31"/>
  <c r="Z485" i="31"/>
  <c r="R268" i="31"/>
  <c r="X212" i="49"/>
  <c r="H176" i="31"/>
  <c r="I404" i="31"/>
  <c r="O463" i="31"/>
  <c r="I537" i="49"/>
  <c r="M588" i="49"/>
  <c r="Y145" i="49"/>
  <c r="X51" i="49"/>
  <c r="Q263" i="31"/>
  <c r="I84" i="49"/>
  <c r="O205" i="49"/>
  <c r="AB507" i="49"/>
  <c r="Z262" i="31"/>
  <c r="I444" i="49"/>
  <c r="P519" i="49"/>
  <c r="AC596" i="49"/>
  <c r="M281" i="49"/>
  <c r="Z166" i="49"/>
  <c r="Y484" i="49"/>
  <c r="N574" i="49"/>
  <c r="U210" i="49"/>
  <c r="G90" i="49"/>
  <c r="R460" i="49"/>
  <c r="X597" i="31"/>
  <c r="P39" i="49"/>
  <c r="T291" i="49"/>
  <c r="AB359" i="49"/>
  <c r="R318" i="49"/>
  <c r="W38" i="49"/>
  <c r="Y295" i="49"/>
  <c r="W368" i="49"/>
  <c r="K362" i="31"/>
  <c r="M292" i="49"/>
  <c r="AC512" i="49"/>
  <c r="AD394" i="49"/>
  <c r="W110" i="49"/>
  <c r="Z128" i="49"/>
  <c r="S201" i="49"/>
  <c r="N445" i="49"/>
  <c r="AC498" i="49"/>
  <c r="M580" i="49"/>
  <c r="Y192" i="49"/>
  <c r="AD385" i="49"/>
  <c r="N515" i="31"/>
  <c r="J297" i="49"/>
  <c r="H93" i="49"/>
  <c r="G278" i="31"/>
  <c r="Q149" i="49"/>
  <c r="Q418" i="49"/>
  <c r="T572" i="49"/>
  <c r="Q452" i="49"/>
  <c r="L242" i="49"/>
  <c r="R74" i="49"/>
  <c r="P220" i="49"/>
  <c r="P316" i="49"/>
  <c r="AC239" i="49"/>
  <c r="AA227" i="31"/>
  <c r="AC24" i="31"/>
  <c r="AA34" i="49"/>
  <c r="S37" i="31"/>
  <c r="G244" i="49"/>
  <c r="O227" i="49"/>
  <c r="Z547" i="49"/>
  <c r="I120" i="49"/>
  <c r="K311" i="49"/>
  <c r="N599" i="49"/>
  <c r="T112" i="31"/>
  <c r="J272" i="49"/>
  <c r="W198" i="49"/>
  <c r="Z344" i="31"/>
  <c r="R269" i="31"/>
  <c r="U213" i="49"/>
  <c r="V230" i="31"/>
  <c r="S25" i="49"/>
  <c r="L551" i="31"/>
  <c r="AC119" i="49"/>
  <c r="W519" i="49"/>
  <c r="U143" i="31"/>
  <c r="AD411" i="49"/>
  <c r="L13" i="31"/>
  <c r="K394" i="31"/>
  <c r="O424" i="31"/>
  <c r="J455" i="31"/>
  <c r="Z17" i="49"/>
  <c r="L37" i="31"/>
  <c r="T235" i="49"/>
  <c r="S77" i="49"/>
  <c r="AB199" i="49"/>
  <c r="S380" i="49"/>
  <c r="U135" i="49"/>
  <c r="AC474" i="49"/>
  <c r="AB310" i="31"/>
  <c r="X265" i="49"/>
  <c r="M138" i="31"/>
  <c r="I599" i="31"/>
  <c r="M140" i="31"/>
  <c r="W120" i="49"/>
  <c r="K383" i="49"/>
  <c r="P121" i="31"/>
  <c r="Z458" i="49"/>
  <c r="Y215" i="31"/>
  <c r="AA610" i="31"/>
  <c r="Y189" i="49"/>
  <c r="R617" i="49"/>
  <c r="R495" i="31"/>
  <c r="Y412" i="31"/>
  <c r="V264" i="31"/>
  <c r="H427" i="31"/>
  <c r="AA581" i="49"/>
  <c r="I336" i="49"/>
  <c r="R261" i="31"/>
  <c r="K130" i="49"/>
  <c r="T185" i="49"/>
  <c r="H167" i="31"/>
  <c r="G462" i="31"/>
  <c r="AD521" i="31"/>
  <c r="N521" i="31"/>
  <c r="T307" i="31"/>
  <c r="P425" i="49"/>
  <c r="Q189" i="31"/>
  <c r="K81" i="49"/>
  <c r="S141" i="49"/>
  <c r="Z251" i="31"/>
  <c r="Z311" i="31"/>
  <c r="I462" i="49"/>
  <c r="U452" i="49"/>
  <c r="Q154" i="31"/>
  <c r="O395" i="49"/>
  <c r="X502" i="49"/>
  <c r="AC40" i="49"/>
  <c r="L132" i="31"/>
  <c r="AD612" i="49"/>
  <c r="S422" i="31"/>
  <c r="AD185" i="49"/>
  <c r="G265" i="49"/>
  <c r="X34" i="49"/>
  <c r="V605" i="31"/>
  <c r="S441" i="49"/>
  <c r="Q135" i="31"/>
  <c r="J223" i="49"/>
  <c r="H152" i="49"/>
  <c r="H217" i="49"/>
  <c r="O485" i="31"/>
  <c r="H483" i="31"/>
  <c r="R430" i="31"/>
  <c r="H566" i="31"/>
  <c r="W34" i="31"/>
  <c r="N106" i="31"/>
  <c r="H573" i="49"/>
  <c r="M261" i="49"/>
  <c r="L294" i="49"/>
  <c r="S450" i="31"/>
  <c r="N70" i="49"/>
  <c r="L143" i="49"/>
  <c r="AA414" i="31"/>
  <c r="AD311" i="49"/>
  <c r="AA64" i="49"/>
  <c r="M125" i="49"/>
  <c r="V437" i="31"/>
  <c r="S23" i="49"/>
  <c r="U409" i="49"/>
  <c r="Z22" i="49"/>
  <c r="I220" i="31"/>
  <c r="AC22" i="31"/>
  <c r="Y28" i="49"/>
  <c r="Y147" i="49"/>
  <c r="M209" i="49"/>
  <c r="AD53" i="49"/>
  <c r="X150" i="31"/>
  <c r="X224" i="31"/>
  <c r="M217" i="49"/>
  <c r="P59" i="31"/>
  <c r="U66" i="31"/>
  <c r="AC126" i="31"/>
  <c r="K543" i="49"/>
  <c r="U133" i="49"/>
  <c r="N484" i="49"/>
  <c r="T226" i="31"/>
  <c r="H70" i="49"/>
  <c r="R131" i="49"/>
  <c r="X130" i="49"/>
  <c r="T194" i="49"/>
  <c r="G224" i="31"/>
  <c r="W179" i="31"/>
  <c r="K194" i="49"/>
  <c r="T269" i="49"/>
  <c r="Y460" i="31"/>
  <c r="X576" i="49"/>
  <c r="U504" i="49"/>
  <c r="W592" i="49"/>
  <c r="AB548" i="31"/>
  <c r="N427" i="49"/>
  <c r="S90" i="49"/>
  <c r="AA150" i="49"/>
  <c r="Y339" i="31"/>
  <c r="AC36" i="49"/>
  <c r="AD173" i="49"/>
  <c r="AC287" i="31"/>
  <c r="Z56" i="31"/>
  <c r="O484" i="31"/>
  <c r="H593" i="31"/>
  <c r="Q464" i="49"/>
  <c r="O129" i="31"/>
  <c r="AD413" i="31"/>
  <c r="P133" i="49"/>
  <c r="I205" i="49"/>
  <c r="AA466" i="31"/>
  <c r="H249" i="31"/>
  <c r="AC202" i="49"/>
  <c r="T543" i="31"/>
  <c r="Y28" i="31"/>
  <c r="Z351" i="31"/>
  <c r="L247" i="49"/>
  <c r="Z339" i="49"/>
  <c r="Q517" i="49"/>
  <c r="AC453" i="31"/>
  <c r="P311" i="49"/>
  <c r="Z378" i="49"/>
  <c r="T16" i="49"/>
  <c r="S181" i="31"/>
  <c r="G316" i="49"/>
  <c r="G386" i="49"/>
  <c r="H548" i="49"/>
  <c r="P618" i="31"/>
  <c r="Y594" i="49"/>
  <c r="J268" i="49"/>
  <c r="G455" i="49"/>
  <c r="J285" i="49"/>
  <c r="T410" i="49"/>
  <c r="G237" i="49"/>
  <c r="G22" i="49"/>
  <c r="I282" i="31"/>
  <c r="R128" i="31"/>
  <c r="X191" i="31"/>
  <c r="L197" i="49"/>
  <c r="X164" i="49"/>
  <c r="I97" i="31"/>
  <c r="Q161" i="31"/>
  <c r="Q171" i="49"/>
  <c r="AB563" i="31"/>
  <c r="P327" i="31"/>
  <c r="Y438" i="31"/>
  <c r="J36" i="49"/>
  <c r="J110" i="49"/>
  <c r="Y513" i="49"/>
  <c r="H271" i="49"/>
  <c r="W329" i="49"/>
  <c r="N34" i="49"/>
  <c r="AB422" i="31"/>
  <c r="AA63" i="31"/>
  <c r="U345" i="49"/>
  <c r="Y39" i="31"/>
  <c r="Y248" i="31"/>
  <c r="G404" i="31"/>
  <c r="O526" i="49"/>
  <c r="G598" i="31"/>
  <c r="AB242" i="31"/>
  <c r="L406" i="31"/>
  <c r="U581" i="49"/>
  <c r="S55" i="49"/>
  <c r="AC571" i="31"/>
  <c r="N23" i="31"/>
  <c r="N95" i="31"/>
  <c r="Q455" i="49"/>
  <c r="G394" i="49"/>
  <c r="W218" i="49"/>
  <c r="T83" i="49"/>
  <c r="J380" i="49"/>
  <c r="AD175" i="49"/>
  <c r="K257" i="49"/>
  <c r="Q75" i="49"/>
  <c r="R252" i="31"/>
  <c r="Y326" i="49"/>
  <c r="Q471" i="49"/>
  <c r="P320" i="31"/>
  <c r="X358" i="31"/>
  <c r="Q53" i="49"/>
  <c r="O312" i="49"/>
  <c r="U385" i="49"/>
  <c r="L583" i="49"/>
  <c r="U492" i="31"/>
  <c r="AC297" i="31"/>
  <c r="W266" i="49"/>
  <c r="AB295" i="31"/>
  <c r="Z180" i="31"/>
  <c r="H239" i="31"/>
  <c r="I477" i="49"/>
  <c r="K70" i="49"/>
  <c r="I330" i="31"/>
  <c r="Q582" i="31"/>
  <c r="T595" i="31"/>
  <c r="K270" i="49"/>
  <c r="N337" i="49"/>
  <c r="L493" i="49"/>
  <c r="T551" i="49"/>
  <c r="G492" i="31"/>
  <c r="N181" i="31"/>
  <c r="J247" i="31"/>
  <c r="Y418" i="49"/>
  <c r="X400" i="31"/>
  <c r="O87" i="31"/>
  <c r="Y148" i="31"/>
  <c r="Z551" i="49"/>
  <c r="P222" i="31"/>
  <c r="H60" i="31"/>
  <c r="AA577" i="49"/>
  <c r="AD113" i="49"/>
  <c r="H135" i="31"/>
  <c r="H510" i="49"/>
  <c r="H450" i="49"/>
  <c r="L374" i="31"/>
  <c r="L394" i="49"/>
  <c r="Q407" i="49"/>
  <c r="N590" i="49"/>
  <c r="AD246" i="49"/>
  <c r="W402" i="31"/>
  <c r="G215" i="49"/>
  <c r="N556" i="49"/>
  <c r="S244" i="49"/>
  <c r="I406" i="31"/>
  <c r="I191" i="49"/>
  <c r="H581" i="49"/>
  <c r="V369" i="49"/>
  <c r="W16" i="49"/>
  <c r="V20" i="49"/>
  <c r="G111" i="49"/>
  <c r="R396" i="49"/>
  <c r="P426" i="31"/>
  <c r="AC423" i="31"/>
  <c r="P486" i="31"/>
  <c r="J114" i="49"/>
  <c r="AB329" i="31"/>
  <c r="V453" i="31"/>
  <c r="Y404" i="31"/>
  <c r="J350" i="49"/>
  <c r="AB560" i="31"/>
  <c r="R335" i="31"/>
  <c r="R418" i="31"/>
  <c r="G126" i="49"/>
  <c r="W44" i="49"/>
  <c r="Q278" i="49"/>
  <c r="Y34" i="49"/>
  <c r="M544" i="31"/>
  <c r="P54" i="31"/>
  <c r="P126" i="31"/>
  <c r="AC279" i="49"/>
  <c r="O118" i="31"/>
  <c r="T400" i="31"/>
  <c r="G45" i="31"/>
  <c r="AD480" i="49"/>
  <c r="Z83" i="31"/>
  <c r="G229" i="31"/>
  <c r="I360" i="31"/>
  <c r="P499" i="49"/>
  <c r="G73" i="49"/>
  <c r="H402" i="49"/>
  <c r="G336" i="49"/>
  <c r="X220" i="49"/>
  <c r="X521" i="31"/>
  <c r="J490" i="31"/>
  <c r="V281" i="31"/>
  <c r="Y230" i="49"/>
  <c r="AB196" i="49"/>
  <c r="N575" i="31"/>
  <c r="K460" i="49"/>
  <c r="J504" i="49"/>
  <c r="U525" i="49"/>
  <c r="T120" i="49"/>
  <c r="AD183" i="49"/>
  <c r="P91" i="31"/>
  <c r="V78" i="49"/>
  <c r="P139" i="31"/>
  <c r="N431" i="49"/>
  <c r="W91" i="49"/>
  <c r="I152" i="49"/>
  <c r="J395" i="49"/>
  <c r="U586" i="49"/>
  <c r="L352" i="49"/>
  <c r="X455" i="49"/>
  <c r="W385" i="31"/>
  <c r="U536" i="49"/>
  <c r="O145" i="49"/>
  <c r="J213" i="49"/>
  <c r="Y406" i="31"/>
  <c r="AD566" i="49"/>
  <c r="U430" i="49"/>
  <c r="X19" i="49"/>
  <c r="O236" i="49"/>
  <c r="AD254" i="49"/>
  <c r="K221" i="49"/>
  <c r="H137" i="49"/>
  <c r="L513" i="49"/>
  <c r="V27" i="49"/>
  <c r="AB86" i="49"/>
  <c r="M204" i="49"/>
  <c r="Z14" i="31"/>
  <c r="H594" i="49"/>
  <c r="Q275" i="49"/>
  <c r="G329" i="49"/>
  <c r="I181" i="31"/>
  <c r="G606" i="49"/>
  <c r="K479" i="49"/>
  <c r="N508" i="49"/>
  <c r="U289" i="49"/>
  <c r="O587" i="49"/>
  <c r="G142" i="49"/>
  <c r="S446" i="31"/>
  <c r="N344" i="31"/>
  <c r="M317" i="31"/>
  <c r="AD243" i="49"/>
  <c r="J428" i="31"/>
  <c r="X268" i="31"/>
  <c r="N345" i="31"/>
  <c r="H41" i="49"/>
  <c r="P265" i="49"/>
  <c r="G425" i="49"/>
  <c r="W420" i="49"/>
  <c r="G40" i="49"/>
  <c r="Q183" i="49"/>
  <c r="Q24" i="49"/>
  <c r="X226" i="49"/>
  <c r="I519" i="49"/>
  <c r="R248" i="31"/>
  <c r="G370" i="49"/>
  <c r="N549" i="49"/>
  <c r="S616" i="49"/>
  <c r="T30" i="31"/>
  <c r="N396" i="49"/>
  <c r="AB467" i="49"/>
  <c r="Q581" i="49"/>
  <c r="I162" i="31"/>
  <c r="U518" i="31"/>
  <c r="AC381" i="31"/>
  <c r="Z133" i="31"/>
  <c r="T605" i="31"/>
  <c r="X163" i="31"/>
  <c r="O214" i="49"/>
  <c r="AD23" i="49"/>
  <c r="W123" i="49"/>
  <c r="P404" i="49"/>
  <c r="AC308" i="49"/>
  <c r="W517" i="49"/>
  <c r="X409" i="49"/>
  <c r="W250" i="31"/>
  <c r="J218" i="49"/>
  <c r="T425" i="31"/>
  <c r="L560" i="31"/>
  <c r="AD534" i="31"/>
  <c r="U611" i="49"/>
  <c r="N45" i="49"/>
  <c r="V105" i="49"/>
  <c r="Q12" i="49"/>
  <c r="H403" i="49"/>
  <c r="O252" i="49"/>
  <c r="T556" i="49"/>
  <c r="T452" i="31"/>
  <c r="M513" i="31"/>
  <c r="Q316" i="31"/>
  <c r="R467" i="31"/>
  <c r="R513" i="31"/>
  <c r="X87" i="31"/>
  <c r="H149" i="31"/>
  <c r="X477" i="49"/>
  <c r="X262" i="31"/>
  <c r="O58" i="31"/>
  <c r="Y119" i="31"/>
  <c r="AC351" i="49"/>
  <c r="AD350" i="49"/>
  <c r="S311" i="49"/>
  <c r="W411" i="49"/>
  <c r="M478" i="31"/>
  <c r="G231" i="49"/>
  <c r="O578" i="49"/>
  <c r="AB214" i="49"/>
  <c r="Q129" i="31"/>
  <c r="V546" i="49"/>
  <c r="V279" i="49"/>
  <c r="Q332" i="49"/>
  <c r="X96" i="31"/>
  <c r="V454" i="49"/>
  <c r="X466" i="49"/>
  <c r="L414" i="49"/>
  <c r="N317" i="49"/>
  <c r="AD422" i="49"/>
  <c r="AC352" i="49"/>
  <c r="J64" i="49"/>
  <c r="AB577" i="31"/>
  <c r="X227" i="31"/>
  <c r="O16" i="31"/>
  <c r="I245" i="49"/>
  <c r="O207" i="49"/>
  <c r="Q199" i="31"/>
  <c r="Q259" i="31"/>
  <c r="I352" i="49"/>
  <c r="U564" i="49"/>
  <c r="W324" i="31"/>
  <c r="H20" i="31"/>
  <c r="O338" i="31"/>
  <c r="S445" i="49"/>
  <c r="R408" i="49"/>
  <c r="L444" i="49"/>
  <c r="M606" i="31"/>
  <c r="N402" i="31"/>
  <c r="R309" i="49"/>
  <c r="W119" i="31"/>
  <c r="G183" i="31"/>
  <c r="L275" i="49"/>
  <c r="Y288" i="31"/>
  <c r="M457" i="31"/>
  <c r="H518" i="31"/>
  <c r="I277" i="49"/>
  <c r="R272" i="31"/>
  <c r="AC353" i="31"/>
  <c r="I438" i="31"/>
  <c r="V479" i="49"/>
  <c r="R464" i="49"/>
  <c r="Q551" i="49"/>
  <c r="T325" i="49"/>
  <c r="K283" i="49"/>
  <c r="I547" i="31"/>
  <c r="K319" i="31"/>
  <c r="S517" i="31"/>
  <c r="K370" i="31"/>
  <c r="Z76" i="31"/>
  <c r="T130" i="31"/>
  <c r="T204" i="31"/>
  <c r="U500" i="49"/>
  <c r="O48" i="31"/>
  <c r="W49" i="31"/>
  <c r="G111" i="31"/>
  <c r="Q141" i="49"/>
  <c r="N170" i="49"/>
  <c r="V249" i="49"/>
  <c r="H441" i="49"/>
  <c r="K464" i="31"/>
  <c r="J40" i="31"/>
  <c r="R100" i="31"/>
  <c r="R535" i="49"/>
  <c r="J484" i="31"/>
  <c r="Y11" i="31"/>
  <c r="G70" i="31"/>
  <c r="R589" i="31"/>
  <c r="AC494" i="49"/>
  <c r="G252" i="31"/>
  <c r="G341" i="31"/>
  <c r="Y511" i="49"/>
  <c r="W302" i="49"/>
  <c r="I591" i="49"/>
  <c r="O152" i="49"/>
  <c r="W265" i="49"/>
  <c r="Q516" i="49"/>
  <c r="H367" i="31"/>
  <c r="G13" i="31"/>
  <c r="K338" i="31"/>
  <c r="U279" i="31"/>
  <c r="I196" i="31"/>
  <c r="M259" i="31"/>
  <c r="W129" i="49"/>
  <c r="L558" i="49"/>
  <c r="Y508" i="31"/>
  <c r="AA500" i="31"/>
  <c r="O567" i="31"/>
  <c r="N414" i="49"/>
  <c r="W519" i="31"/>
  <c r="T135" i="31"/>
  <c r="M371" i="31"/>
  <c r="AC251" i="31"/>
  <c r="Y599" i="31"/>
  <c r="T597" i="31"/>
  <c r="AA513" i="31"/>
  <c r="J288" i="31"/>
  <c r="Z247" i="31"/>
  <c r="T421" i="31"/>
  <c r="R323" i="49"/>
  <c r="K10" i="31"/>
  <c r="V535" i="31"/>
  <c r="V204" i="49"/>
  <c r="G180" i="49"/>
  <c r="W258" i="49"/>
  <c r="AD268" i="49"/>
  <c r="W209" i="31"/>
  <c r="X269" i="31"/>
  <c r="S562" i="49"/>
  <c r="O176" i="31"/>
  <c r="P291" i="49"/>
  <c r="U291" i="49"/>
  <c r="T403" i="31"/>
  <c r="S175" i="49"/>
  <c r="P111" i="31"/>
  <c r="I79" i="31"/>
  <c r="G549" i="49"/>
  <c r="N255" i="49"/>
  <c r="H360" i="49"/>
  <c r="Q114" i="49"/>
  <c r="AD324" i="49"/>
  <c r="AA501" i="49"/>
  <c r="X610" i="31"/>
  <c r="AD155" i="49"/>
  <c r="P170" i="31"/>
  <c r="I226" i="31"/>
  <c r="U493" i="31"/>
  <c r="X161" i="31"/>
  <c r="M612" i="49"/>
  <c r="AD440" i="49"/>
  <c r="J159" i="31"/>
  <c r="O69" i="31"/>
  <c r="AC329" i="31"/>
  <c r="W365" i="49"/>
  <c r="N478" i="49"/>
  <c r="P282" i="49"/>
  <c r="H141" i="49"/>
  <c r="Q463" i="49"/>
  <c r="X433" i="49"/>
  <c r="Y556" i="31"/>
  <c r="S142" i="49"/>
  <c r="O353" i="49"/>
  <c r="W594" i="31"/>
  <c r="L220" i="31"/>
  <c r="H283" i="31"/>
  <c r="U148" i="31"/>
  <c r="U359" i="31"/>
  <c r="Z381" i="31"/>
  <c r="Z510" i="31"/>
  <c r="L536" i="31"/>
  <c r="O362" i="31"/>
  <c r="O236" i="31"/>
  <c r="X583" i="49"/>
  <c r="G431" i="49"/>
  <c r="J90" i="49"/>
  <c r="G272" i="49"/>
  <c r="I102" i="49"/>
  <c r="W50" i="49"/>
  <c r="K305" i="49"/>
  <c r="Z210" i="49"/>
  <c r="K271" i="49"/>
  <c r="J329" i="49"/>
  <c r="R339" i="31"/>
  <c r="W446" i="49"/>
  <c r="Z514" i="31"/>
  <c r="X544" i="31"/>
  <c r="K372" i="31"/>
  <c r="I235" i="31"/>
  <c r="AA254" i="49"/>
  <c r="M255" i="31"/>
  <c r="Z258" i="31"/>
  <c r="W272" i="49"/>
  <c r="N209" i="49"/>
  <c r="I295" i="49"/>
  <c r="I511" i="49"/>
  <c r="V408" i="31"/>
  <c r="M370" i="49"/>
  <c r="H558" i="49"/>
  <c r="G125" i="49"/>
  <c r="Q428" i="49"/>
  <c r="AB338" i="31"/>
  <c r="U198" i="31"/>
  <c r="P40" i="49"/>
  <c r="X230" i="49"/>
  <c r="R325" i="49"/>
  <c r="I262" i="31"/>
  <c r="J262" i="31"/>
  <c r="O280" i="49"/>
  <c r="S242" i="49"/>
  <c r="W90" i="49"/>
  <c r="M350" i="49"/>
  <c r="L283" i="49"/>
  <c r="W170" i="49"/>
  <c r="W509" i="49"/>
  <c r="T457" i="49"/>
  <c r="Q184" i="49"/>
  <c r="AD450" i="31"/>
  <c r="AA165" i="31"/>
  <c r="J59" i="49"/>
  <c r="U263" i="49"/>
  <c r="Y305" i="49"/>
  <c r="O72" i="31"/>
  <c r="M261" i="31"/>
  <c r="L148" i="49"/>
  <c r="V318" i="49"/>
  <c r="H175" i="49"/>
  <c r="Y149" i="49"/>
  <c r="U489" i="49"/>
  <c r="U574" i="49"/>
  <c r="O358" i="49"/>
  <c r="V564" i="49"/>
  <c r="W55" i="49"/>
  <c r="W473" i="31"/>
  <c r="V468" i="31"/>
  <c r="AD255" i="49"/>
  <c r="T373" i="49"/>
  <c r="AA295" i="49"/>
  <c r="Q169" i="49"/>
  <c r="N76" i="49"/>
  <c r="O159" i="49"/>
  <c r="AD242" i="49"/>
  <c r="P449" i="49"/>
  <c r="AC534" i="49"/>
  <c r="U327" i="49"/>
  <c r="L329" i="49"/>
  <c r="AA287" i="49"/>
  <c r="Q597" i="49"/>
  <c r="X207" i="49"/>
  <c r="Q126" i="49"/>
  <c r="T549" i="31"/>
  <c r="P601" i="31"/>
  <c r="AA480" i="49"/>
  <c r="K331" i="49"/>
  <c r="W378" i="49"/>
  <c r="Q573" i="49"/>
  <c r="S485" i="49"/>
  <c r="AA568" i="49"/>
  <c r="Y494" i="49"/>
  <c r="Q96" i="49"/>
  <c r="U248" i="49"/>
  <c r="G595" i="49"/>
  <c r="U550" i="49"/>
  <c r="H196" i="49"/>
  <c r="Y255" i="49"/>
  <c r="I419" i="31"/>
  <c r="AB346" i="49"/>
  <c r="T84" i="31"/>
  <c r="L319" i="31"/>
  <c r="AC519" i="49"/>
  <c r="W202" i="49"/>
  <c r="I598" i="49"/>
  <c r="AA373" i="31"/>
  <c r="AC307" i="49"/>
  <c r="V270" i="49"/>
  <c r="W164" i="31"/>
  <c r="Q14" i="49"/>
  <c r="K222" i="49"/>
  <c r="Q78" i="49"/>
  <c r="X27" i="31"/>
  <c r="S185" i="49"/>
  <c r="N395" i="49"/>
  <c r="O165" i="49"/>
  <c r="J351" i="31"/>
  <c r="Z378" i="31"/>
  <c r="O189" i="31"/>
  <c r="T405" i="49"/>
  <c r="Q450" i="49"/>
  <c r="I134" i="49"/>
  <c r="L370" i="31"/>
  <c r="Y447" i="31"/>
  <c r="Q616" i="49"/>
  <c r="J245" i="31"/>
  <c r="N575" i="49"/>
  <c r="T76" i="49"/>
  <c r="P61" i="49"/>
  <c r="P93" i="49"/>
  <c r="Q230" i="31"/>
  <c r="L558" i="31"/>
  <c r="AD601" i="31"/>
  <c r="J466" i="49"/>
  <c r="T543" i="49"/>
  <c r="Q19" i="49"/>
  <c r="AB329" i="49"/>
  <c r="AD588" i="49"/>
  <c r="M406" i="49"/>
  <c r="AC380" i="49"/>
  <c r="G258" i="49"/>
  <c r="Z599" i="49"/>
  <c r="AD601" i="49"/>
  <c r="J467" i="49"/>
  <c r="R608" i="49"/>
  <c r="N124" i="49"/>
  <c r="Y547" i="31"/>
  <c r="AA572" i="31"/>
  <c r="K502" i="31"/>
  <c r="L17" i="31"/>
  <c r="T197" i="49"/>
  <c r="L115" i="31"/>
  <c r="H579" i="49"/>
  <c r="U231" i="31"/>
  <c r="U567" i="31"/>
  <c r="N611" i="49"/>
  <c r="O114" i="31"/>
  <c r="Q508" i="49"/>
  <c r="G323" i="31"/>
  <c r="N322" i="31"/>
  <c r="T171" i="49"/>
  <c r="N511" i="31"/>
  <c r="AC361" i="49"/>
  <c r="U546" i="31"/>
  <c r="AC217" i="49"/>
  <c r="I509" i="31"/>
  <c r="R593" i="31"/>
  <c r="J141" i="49"/>
  <c r="P417" i="31"/>
  <c r="P240" i="31"/>
  <c r="L57" i="49"/>
  <c r="AC53" i="49"/>
  <c r="Q226" i="49"/>
  <c r="P405" i="31"/>
  <c r="Z137" i="31"/>
  <c r="S55" i="31"/>
  <c r="AD447" i="49"/>
  <c r="Z119" i="49"/>
  <c r="AC24" i="49"/>
  <c r="R92" i="49"/>
  <c r="P50" i="31"/>
  <c r="AA408" i="31"/>
  <c r="X579" i="31"/>
  <c r="R120" i="49"/>
  <c r="U192" i="49"/>
  <c r="X555" i="31"/>
  <c r="R298" i="49"/>
  <c r="H202" i="31"/>
  <c r="G483" i="31"/>
  <c r="V280" i="49"/>
  <c r="M343" i="31"/>
  <c r="L364" i="31"/>
  <c r="N316" i="31"/>
  <c r="L93" i="49"/>
  <c r="X434" i="31"/>
  <c r="W235" i="31"/>
  <c r="S533" i="49"/>
  <c r="V572" i="49"/>
  <c r="AA492" i="49"/>
  <c r="R358" i="49"/>
  <c r="Y312" i="49"/>
  <c r="O87" i="49"/>
  <c r="AD499" i="31"/>
  <c r="M418" i="31"/>
  <c r="I395" i="31"/>
  <c r="W488" i="49"/>
  <c r="L278" i="49"/>
  <c r="AA151" i="49"/>
  <c r="P200" i="49"/>
  <c r="P53" i="49"/>
  <c r="I523" i="49"/>
  <c r="X501" i="49"/>
  <c r="V241" i="49"/>
  <c r="P445" i="49"/>
  <c r="AA412" i="31"/>
  <c r="N431" i="31"/>
  <c r="Q209" i="49"/>
  <c r="R596" i="31"/>
  <c r="P114" i="31"/>
  <c r="I34" i="31"/>
  <c r="AD462" i="31"/>
  <c r="Y239" i="49"/>
  <c r="V269" i="31"/>
  <c r="G421" i="49"/>
  <c r="AD171" i="49"/>
  <c r="AD290" i="49"/>
  <c r="P97" i="49"/>
  <c r="I87" i="49"/>
  <c r="U346" i="49"/>
  <c r="T193" i="49"/>
  <c r="K593" i="49"/>
  <c r="N571" i="49"/>
  <c r="J591" i="49"/>
  <c r="W496" i="49"/>
  <c r="AD447" i="31"/>
  <c r="N331" i="31"/>
  <c r="S410" i="49"/>
  <c r="Z279" i="49"/>
  <c r="N545" i="49"/>
  <c r="AB449" i="49"/>
  <c r="AC511" i="31"/>
  <c r="T101" i="49"/>
  <c r="I418" i="49"/>
  <c r="X171" i="49"/>
  <c r="I147" i="49"/>
  <c r="L440" i="49"/>
  <c r="I567" i="31"/>
  <c r="J74" i="31"/>
  <c r="Y43" i="31"/>
  <c r="G239" i="49"/>
  <c r="M575" i="49"/>
  <c r="K607" i="49"/>
  <c r="J457" i="49"/>
  <c r="AB537" i="49"/>
  <c r="AB497" i="31"/>
  <c r="Q249" i="31"/>
  <c r="N11" i="31"/>
  <c r="I401" i="49"/>
  <c r="L562" i="49"/>
  <c r="P406" i="49"/>
  <c r="W79" i="49"/>
  <c r="N365" i="49"/>
  <c r="K547" i="31"/>
  <c r="V117" i="31"/>
  <c r="W37" i="31"/>
  <c r="M566" i="49"/>
  <c r="X85" i="31"/>
  <c r="W543" i="49"/>
  <c r="K159" i="31"/>
  <c r="V464" i="31"/>
  <c r="AC523" i="49"/>
  <c r="T427" i="49"/>
  <c r="P52" i="49"/>
  <c r="AD77" i="49"/>
  <c r="Q549" i="31"/>
  <c r="Y480" i="31"/>
  <c r="T248" i="49"/>
  <c r="W254" i="49"/>
  <c r="X145" i="31"/>
  <c r="H207" i="31"/>
  <c r="T342" i="49"/>
  <c r="AD514" i="49"/>
  <c r="N570" i="49"/>
  <c r="M491" i="49"/>
  <c r="Q67" i="31"/>
  <c r="Y128" i="49"/>
  <c r="J259" i="49"/>
  <c r="O470" i="49"/>
  <c r="U254" i="31"/>
  <c r="Q411" i="49"/>
  <c r="U590" i="49"/>
  <c r="G486" i="49"/>
  <c r="N143" i="49"/>
  <c r="W215" i="49"/>
  <c r="U556" i="49"/>
  <c r="AC550" i="49"/>
  <c r="K518" i="49"/>
  <c r="S324" i="49"/>
  <c r="W597" i="49"/>
  <c r="M258" i="31"/>
  <c r="P479" i="49"/>
  <c r="X441" i="49"/>
  <c r="V455" i="49"/>
  <c r="X329" i="49"/>
  <c r="L341" i="49"/>
  <c r="G55" i="49"/>
  <c r="Q116" i="49"/>
  <c r="Z142" i="31"/>
  <c r="I349" i="49"/>
  <c r="R588" i="31"/>
  <c r="M242" i="49"/>
  <c r="J515" i="49"/>
  <c r="X450" i="49"/>
  <c r="Y371" i="49"/>
  <c r="K586" i="49"/>
  <c r="K412" i="49"/>
  <c r="AB493" i="49"/>
  <c r="W114" i="49"/>
  <c r="G176" i="49"/>
  <c r="Y499" i="31"/>
  <c r="V253" i="49"/>
  <c r="M374" i="49"/>
  <c r="Y498" i="49"/>
  <c r="L198" i="31"/>
  <c r="V56" i="49"/>
  <c r="N308" i="49"/>
  <c r="H408" i="49"/>
  <c r="W616" i="31"/>
  <c r="P290" i="31"/>
  <c r="K297" i="49"/>
  <c r="Q513" i="49"/>
  <c r="H401" i="49"/>
  <c r="T403" i="49"/>
  <c r="AD239" i="49"/>
  <c r="AA357" i="49"/>
  <c r="AD491" i="49"/>
  <c r="S526" i="31"/>
  <c r="N36" i="49"/>
  <c r="AD288" i="49"/>
  <c r="L357" i="49"/>
  <c r="AD465" i="31"/>
  <c r="G36" i="49"/>
  <c r="Y291" i="49"/>
  <c r="I365" i="49"/>
  <c r="V120" i="49"/>
  <c r="P583" i="31"/>
  <c r="T312" i="49"/>
  <c r="R587" i="49"/>
  <c r="Q83" i="31"/>
  <c r="I524" i="31"/>
  <c r="Q537" i="31"/>
  <c r="AC290" i="49"/>
  <c r="Y282" i="31"/>
  <c r="R66" i="31"/>
  <c r="Z126" i="31"/>
  <c r="Y615" i="49"/>
  <c r="L162" i="49"/>
  <c r="I37" i="31"/>
  <c r="O96" i="31"/>
  <c r="S580" i="49"/>
  <c r="Z472" i="49"/>
  <c r="G118" i="49"/>
  <c r="N18" i="49"/>
  <c r="G57" i="31"/>
  <c r="Z618" i="31"/>
  <c r="P511" i="49"/>
  <c r="N336" i="49"/>
  <c r="K394" i="49"/>
  <c r="J162" i="49"/>
  <c r="R478" i="49"/>
  <c r="K386" i="49"/>
  <c r="Y534" i="31"/>
  <c r="J327" i="49"/>
  <c r="Z445" i="49"/>
  <c r="R410" i="49"/>
  <c r="P549" i="49"/>
  <c r="Z385" i="49"/>
  <c r="J519" i="49"/>
  <c r="U384" i="49"/>
  <c r="H362" i="31"/>
  <c r="J210" i="31"/>
  <c r="AC282" i="31"/>
  <c r="X547" i="31"/>
  <c r="Z407" i="49"/>
  <c r="Y181" i="31"/>
  <c r="G240" i="31"/>
  <c r="H91" i="49"/>
  <c r="AA597" i="31"/>
  <c r="S309" i="31"/>
  <c r="AA503" i="31"/>
  <c r="AA270" i="49"/>
  <c r="R509" i="31"/>
  <c r="Z317" i="31"/>
  <c r="S241" i="49"/>
  <c r="U360" i="49"/>
  <c r="AA493" i="49"/>
  <c r="U196" i="31"/>
  <c r="Y32" i="49"/>
  <c r="Y151" i="49"/>
  <c r="R217" i="49"/>
  <c r="X88" i="49"/>
  <c r="Z560" i="31"/>
  <c r="I490" i="49"/>
  <c r="R549" i="49"/>
  <c r="Z581" i="49"/>
  <c r="R102" i="49"/>
  <c r="N350" i="49"/>
  <c r="R508" i="49"/>
  <c r="M423" i="49"/>
  <c r="O456" i="49"/>
  <c r="X401" i="49"/>
  <c r="W248" i="49"/>
  <c r="U473" i="49"/>
  <c r="K576" i="31"/>
  <c r="S510" i="31"/>
  <c r="K227" i="49"/>
  <c r="T451" i="31"/>
  <c r="X112" i="31"/>
  <c r="X186" i="31"/>
  <c r="J32" i="49"/>
  <c r="Y448" i="49"/>
  <c r="Y32" i="31"/>
  <c r="G93" i="31"/>
  <c r="O32" i="49"/>
  <c r="G172" i="49"/>
  <c r="T201" i="49"/>
  <c r="L537" i="31"/>
  <c r="G73" i="31"/>
  <c r="Z18" i="31"/>
  <c r="J78" i="31"/>
  <c r="T581" i="49"/>
  <c r="S210" i="49"/>
  <c r="G263" i="31"/>
  <c r="Y49" i="31"/>
  <c r="M534" i="49"/>
  <c r="Y338" i="31"/>
  <c r="Y231" i="31"/>
  <c r="G549" i="31"/>
  <c r="P554" i="49"/>
  <c r="AA522" i="49"/>
  <c r="AC326" i="49"/>
  <c r="Q263" i="49"/>
  <c r="R592" i="31"/>
  <c r="H386" i="31"/>
  <c r="AB290" i="31"/>
  <c r="X466" i="31"/>
  <c r="I82" i="49"/>
  <c r="R443" i="49"/>
  <c r="W173" i="31"/>
  <c r="V373" i="31"/>
  <c r="W150" i="49"/>
  <c r="M362" i="49"/>
  <c r="T149" i="49"/>
  <c r="AB379" i="49"/>
  <c r="O423" i="49"/>
  <c r="S287" i="49"/>
  <c r="V380" i="49"/>
  <c r="H197" i="49"/>
  <c r="W283" i="31"/>
  <c r="H449" i="31"/>
  <c r="Y440" i="49"/>
  <c r="R521" i="49"/>
  <c r="V484" i="31"/>
  <c r="H227" i="49"/>
  <c r="Y184" i="49"/>
  <c r="L563" i="31"/>
  <c r="G133" i="49"/>
  <c r="AC455" i="49"/>
  <c r="U378" i="49"/>
  <c r="R284" i="49"/>
  <c r="T186" i="31"/>
  <c r="J171" i="31"/>
  <c r="U334" i="49"/>
  <c r="Y317" i="31"/>
  <c r="Z345" i="31"/>
  <c r="AB371" i="49"/>
  <c r="K18" i="31"/>
  <c r="AA85" i="49"/>
  <c r="I427" i="49"/>
  <c r="S190" i="31"/>
  <c r="AD414" i="49"/>
  <c r="AC205" i="31"/>
  <c r="I36" i="49"/>
  <c r="Q592" i="31"/>
  <c r="S566" i="31"/>
  <c r="AB486" i="31"/>
  <c r="I262" i="49"/>
  <c r="Q571" i="49"/>
  <c r="V96" i="31"/>
  <c r="L586" i="49"/>
  <c r="W83" i="49"/>
  <c r="W277" i="31"/>
  <c r="AD552" i="49"/>
  <c r="AA198" i="49"/>
  <c r="K352" i="49"/>
  <c r="AA603" i="49"/>
  <c r="O95" i="49"/>
  <c r="U200" i="31"/>
  <c r="W86" i="49"/>
  <c r="S454" i="49"/>
  <c r="Z140" i="49"/>
  <c r="L517" i="49"/>
  <c r="G59" i="31"/>
  <c r="I470" i="31"/>
  <c r="I41" i="31"/>
  <c r="AD515" i="49"/>
  <c r="X207" i="31"/>
  <c r="T485" i="31"/>
  <c r="AD117" i="49"/>
  <c r="T345" i="31"/>
  <c r="AD11" i="49"/>
  <c r="J25" i="49"/>
  <c r="M122" i="49"/>
  <c r="AB546" i="31"/>
  <c r="P384" i="49"/>
  <c r="T411" i="31"/>
  <c r="Z350" i="31"/>
  <c r="Z170" i="31"/>
  <c r="V477" i="31"/>
  <c r="G484" i="31"/>
  <c r="O585" i="31"/>
  <c r="AA163" i="31"/>
  <c r="N452" i="31"/>
  <c r="W404" i="31"/>
  <c r="S95" i="49"/>
  <c r="AA159" i="49"/>
  <c r="AB282" i="31"/>
  <c r="AB205" i="49"/>
  <c r="I242" i="49"/>
  <c r="U220" i="49"/>
  <c r="W171" i="31"/>
  <c r="Q246" i="31"/>
  <c r="AB474" i="49"/>
  <c r="M56" i="49"/>
  <c r="L150" i="31"/>
  <c r="X424" i="31"/>
  <c r="G77" i="49"/>
  <c r="I199" i="49"/>
  <c r="W273" i="49"/>
  <c r="Q236" i="49"/>
  <c r="G248" i="31"/>
  <c r="G471" i="31"/>
  <c r="K501" i="49"/>
  <c r="AA196" i="49"/>
  <c r="AA297" i="31"/>
  <c r="V79" i="31"/>
  <c r="V384" i="49"/>
  <c r="X474" i="49"/>
  <c r="Q147" i="31"/>
  <c r="Y209" i="31"/>
  <c r="P322" i="49"/>
  <c r="W419" i="31"/>
  <c r="Q424" i="31"/>
  <c r="Z490" i="31"/>
  <c r="AD522" i="49"/>
  <c r="M454" i="31"/>
  <c r="H526" i="31"/>
  <c r="Z312" i="31"/>
  <c r="N571" i="31"/>
  <c r="Z91" i="49"/>
  <c r="G447" i="31"/>
  <c r="V518" i="31"/>
  <c r="T116" i="49"/>
  <c r="L299" i="31"/>
  <c r="AC425" i="31"/>
  <c r="R489" i="31"/>
  <c r="T236" i="49"/>
  <c r="K296" i="49"/>
  <c r="J337" i="49"/>
  <c r="AA517" i="49"/>
  <c r="Q37" i="49"/>
  <c r="O590" i="49"/>
  <c r="G264" i="49"/>
  <c r="W338" i="49"/>
  <c r="V24" i="49"/>
  <c r="AB379" i="31"/>
  <c r="S477" i="49"/>
  <c r="W524" i="49"/>
  <c r="I27" i="49"/>
  <c r="G299" i="49"/>
  <c r="I235" i="49"/>
  <c r="X598" i="49"/>
  <c r="Q269" i="49"/>
  <c r="V457" i="49"/>
  <c r="M549" i="31"/>
  <c r="P562" i="31"/>
  <c r="J235" i="49"/>
  <c r="O422" i="31"/>
  <c r="L207" i="49"/>
  <c r="AB563" i="49"/>
  <c r="L477" i="31"/>
  <c r="X232" i="49"/>
  <c r="P524" i="49"/>
  <c r="AA597" i="49"/>
  <c r="L566" i="31"/>
  <c r="AA269" i="31"/>
  <c r="AA104" i="49"/>
  <c r="M169" i="49"/>
  <c r="K358" i="31"/>
  <c r="M96" i="49"/>
  <c r="L589" i="49"/>
  <c r="W14" i="49"/>
  <c r="G74" i="49"/>
  <c r="I516" i="31"/>
  <c r="M244" i="31"/>
  <c r="U386" i="31"/>
  <c r="M222" i="49"/>
  <c r="Y37" i="31"/>
  <c r="J304" i="31"/>
  <c r="AD401" i="31"/>
  <c r="X203" i="49"/>
  <c r="K99" i="31"/>
  <c r="Q140" i="31"/>
  <c r="Y202" i="31"/>
  <c r="S524" i="49"/>
  <c r="R536" i="31"/>
  <c r="M307" i="49"/>
  <c r="Q379" i="49"/>
  <c r="R499" i="49"/>
  <c r="T479" i="31"/>
  <c r="H317" i="49"/>
  <c r="P381" i="49"/>
  <c r="AD374" i="49"/>
  <c r="T114" i="49"/>
  <c r="I319" i="49"/>
  <c r="Z473" i="49"/>
  <c r="J470" i="49"/>
  <c r="Z174" i="49"/>
  <c r="AB32" i="49"/>
  <c r="N93" i="49"/>
  <c r="I164" i="49"/>
  <c r="W75" i="49"/>
  <c r="Y91" i="31"/>
  <c r="G152" i="31"/>
  <c r="X296" i="49"/>
  <c r="K318" i="31"/>
  <c r="H131" i="31"/>
  <c r="R194" i="31"/>
  <c r="V548" i="31"/>
  <c r="I28" i="31"/>
  <c r="W100" i="31"/>
  <c r="G164" i="31"/>
  <c r="X91" i="49"/>
  <c r="V424" i="31"/>
  <c r="P39" i="31"/>
  <c r="L595" i="49"/>
  <c r="W135" i="49"/>
  <c r="U284" i="31"/>
  <c r="U57" i="31"/>
  <c r="P535" i="31"/>
  <c r="G345" i="49"/>
  <c r="M504" i="31"/>
  <c r="AC18" i="31"/>
  <c r="M78" i="31"/>
  <c r="G364" i="49"/>
  <c r="P94" i="31"/>
  <c r="AD269" i="31"/>
  <c r="O418" i="31"/>
  <c r="AD602" i="49"/>
  <c r="H515" i="31"/>
  <c r="S259" i="31"/>
  <c r="T618" i="31"/>
  <c r="V611" i="49"/>
  <c r="AC116" i="49"/>
  <c r="O615" i="49"/>
  <c r="T488" i="49"/>
  <c r="AB544" i="49"/>
  <c r="S418" i="31"/>
  <c r="K248" i="49"/>
  <c r="AA468" i="49"/>
  <c r="W179" i="49"/>
  <c r="J327" i="31"/>
  <c r="T180" i="49"/>
  <c r="T261" i="49"/>
  <c r="Y220" i="49"/>
  <c r="W123" i="31"/>
  <c r="Q330" i="49"/>
  <c r="K472" i="49"/>
  <c r="V470" i="49"/>
  <c r="AD21" i="49"/>
  <c r="P173" i="31"/>
  <c r="Z232" i="31"/>
  <c r="W184" i="49"/>
  <c r="R222" i="31"/>
  <c r="U533" i="31"/>
  <c r="AC520" i="31"/>
  <c r="AA586" i="49"/>
  <c r="W543" i="31"/>
  <c r="P183" i="31"/>
  <c r="X241" i="31"/>
  <c r="AA536" i="49"/>
  <c r="J20" i="31"/>
  <c r="M615" i="31"/>
  <c r="Q564" i="31"/>
  <c r="X278" i="49"/>
  <c r="G365" i="31"/>
  <c r="I82" i="31"/>
  <c r="Q142" i="31"/>
  <c r="T417" i="49"/>
  <c r="Q592" i="49"/>
  <c r="P184" i="31"/>
  <c r="Z249" i="31"/>
  <c r="G434" i="49"/>
  <c r="Z585" i="49"/>
  <c r="G91" i="31"/>
  <c r="O151" i="31"/>
  <c r="AD169" i="49"/>
  <c r="J450" i="31"/>
  <c r="L64" i="31"/>
  <c r="Y578" i="49"/>
  <c r="G577" i="49"/>
  <c r="Y426" i="49"/>
  <c r="G578" i="31"/>
  <c r="K365" i="31"/>
  <c r="AB277" i="49"/>
  <c r="O161" i="49"/>
  <c r="Q320" i="49"/>
  <c r="W385" i="49"/>
  <c r="M475" i="49"/>
  <c r="I558" i="49"/>
  <c r="R240" i="49"/>
  <c r="X319" i="49"/>
  <c r="N338" i="49"/>
  <c r="O65" i="49"/>
  <c r="W613" i="49"/>
  <c r="I323" i="49"/>
  <c r="Y345" i="49"/>
  <c r="T554" i="49"/>
  <c r="AC225" i="49"/>
  <c r="V138" i="49"/>
  <c r="G241" i="49"/>
  <c r="K505" i="31"/>
  <c r="K440" i="31"/>
  <c r="X500" i="31"/>
  <c r="AC397" i="49"/>
  <c r="X120" i="31"/>
  <c r="Y335" i="31"/>
  <c r="G419" i="31"/>
  <c r="T78" i="31"/>
  <c r="Q40" i="31"/>
  <c r="R353" i="31"/>
  <c r="H437" i="31"/>
  <c r="P233" i="49"/>
  <c r="U425" i="49"/>
  <c r="W49" i="49"/>
  <c r="R134" i="49"/>
  <c r="H29" i="31"/>
  <c r="P72" i="31"/>
  <c r="R145" i="31"/>
  <c r="K34" i="49"/>
  <c r="AC290" i="31"/>
  <c r="AB462" i="31"/>
  <c r="Q60" i="31"/>
  <c r="R348" i="31"/>
  <c r="G242" i="31"/>
  <c r="W245" i="31"/>
  <c r="AC395" i="31"/>
  <c r="M352" i="49"/>
  <c r="G96" i="49"/>
  <c r="AC427" i="49"/>
  <c r="I86" i="49"/>
  <c r="M508" i="49"/>
  <c r="H549" i="31"/>
  <c r="H511" i="31"/>
  <c r="H302" i="31"/>
  <c r="I427" i="31"/>
  <c r="G185" i="31"/>
  <c r="V589" i="31"/>
  <c r="O448" i="49"/>
  <c r="Z239" i="49"/>
  <c r="H520" i="31"/>
  <c r="AB134" i="49"/>
  <c r="J199" i="49"/>
  <c r="J94" i="31"/>
  <c r="W171" i="49"/>
  <c r="J253" i="31"/>
  <c r="AB437" i="31"/>
  <c r="K432" i="31"/>
  <c r="X497" i="49"/>
  <c r="AD264" i="49"/>
  <c r="S515" i="49"/>
  <c r="AD404" i="49"/>
  <c r="Z424" i="49"/>
  <c r="G169" i="49"/>
  <c r="Q585" i="31"/>
  <c r="U320" i="31"/>
  <c r="T576" i="31"/>
  <c r="H564" i="49"/>
  <c r="J122" i="31"/>
  <c r="P185" i="31"/>
  <c r="AD121" i="49"/>
  <c r="H454" i="49"/>
  <c r="AA608" i="49"/>
  <c r="T369" i="49"/>
  <c r="L258" i="49"/>
  <c r="S426" i="31"/>
  <c r="AD41" i="49"/>
  <c r="L102" i="49"/>
  <c r="AC252" i="49"/>
  <c r="N461" i="31"/>
  <c r="M579" i="49"/>
  <c r="W290" i="49"/>
  <c r="Z564" i="49"/>
  <c r="T338" i="31"/>
  <c r="Z285" i="49"/>
  <c r="O510" i="49"/>
  <c r="AA556" i="49"/>
  <c r="AC592" i="49"/>
  <c r="I159" i="49"/>
  <c r="U294" i="49"/>
  <c r="V57" i="31"/>
  <c r="V370" i="31"/>
  <c r="K344" i="31"/>
  <c r="K515" i="31"/>
  <c r="T357" i="31"/>
  <c r="X284" i="31"/>
  <c r="N365" i="31"/>
  <c r="AD352" i="31"/>
  <c r="I232" i="31"/>
  <c r="K443" i="49"/>
  <c r="AA430" i="49"/>
  <c r="AD526" i="49"/>
  <c r="M351" i="49"/>
  <c r="N206" i="49"/>
  <c r="O196" i="49"/>
  <c r="P455" i="31"/>
  <c r="J494" i="31"/>
  <c r="J471" i="49"/>
  <c r="U567" i="49"/>
  <c r="Q431" i="31"/>
  <c r="AD577" i="31"/>
  <c r="X411" i="49"/>
  <c r="N411" i="49"/>
  <c r="AB252" i="49"/>
  <c r="N123" i="49"/>
  <c r="Y523" i="31"/>
  <c r="J10" i="31"/>
  <c r="H138" i="31"/>
  <c r="AC110" i="31"/>
  <c r="I351" i="49"/>
  <c r="W467" i="49"/>
  <c r="N39" i="49"/>
  <c r="J432" i="31"/>
  <c r="O67" i="49"/>
  <c r="I141" i="31"/>
  <c r="Q203" i="31"/>
  <c r="G500" i="49"/>
  <c r="L104" i="49"/>
  <c r="O341" i="31"/>
  <c r="W525" i="31"/>
  <c r="L383" i="49"/>
  <c r="P51" i="31"/>
  <c r="X172" i="31"/>
  <c r="Z241" i="31"/>
  <c r="H485" i="49"/>
  <c r="AC478" i="49"/>
  <c r="O278" i="49"/>
  <c r="T575" i="49"/>
  <c r="G198" i="31"/>
  <c r="L28" i="49"/>
  <c r="AC432" i="49"/>
  <c r="Z64" i="49"/>
  <c r="X474" i="31"/>
  <c r="H590" i="49"/>
  <c r="R598" i="49"/>
  <c r="Q59" i="49"/>
  <c r="I574" i="49"/>
  <c r="Q122" i="49"/>
  <c r="S251" i="49"/>
  <c r="AA317" i="49"/>
  <c r="T362" i="49"/>
  <c r="AA514" i="49"/>
  <c r="K570" i="49"/>
  <c r="Q271" i="49"/>
  <c r="R352" i="31"/>
  <c r="AC261" i="49"/>
  <c r="S583" i="49"/>
  <c r="V226" i="49"/>
  <c r="H276" i="31"/>
  <c r="O552" i="49"/>
  <c r="V319" i="49"/>
  <c r="R403" i="31"/>
  <c r="G222" i="49"/>
  <c r="Z401" i="49"/>
  <c r="I371" i="31"/>
  <c r="T523" i="49"/>
  <c r="I484" i="49"/>
  <c r="AC368" i="49"/>
  <c r="G12" i="49"/>
  <c r="Y370" i="49"/>
  <c r="S378" i="49"/>
  <c r="H243" i="31"/>
  <c r="W30" i="31"/>
  <c r="I451" i="31"/>
  <c r="N404" i="49"/>
  <c r="Y213" i="31"/>
  <c r="AD345" i="31"/>
  <c r="AA378" i="49"/>
  <c r="U330" i="31"/>
  <c r="W317" i="31"/>
  <c r="H38" i="31"/>
  <c r="Z483" i="31"/>
  <c r="T407" i="31"/>
  <c r="AB350" i="31"/>
  <c r="N461" i="49"/>
  <c r="M379" i="31"/>
  <c r="AC180" i="49"/>
  <c r="O308" i="31"/>
  <c r="I134" i="31"/>
  <c r="O197" i="31"/>
  <c r="L251" i="49"/>
  <c r="Q118" i="31"/>
  <c r="X472" i="31"/>
  <c r="P257" i="31"/>
  <c r="X345" i="49"/>
  <c r="V419" i="31"/>
  <c r="W374" i="31"/>
  <c r="Q452" i="31"/>
  <c r="Y349" i="49"/>
  <c r="Z104" i="49"/>
  <c r="W183" i="49"/>
  <c r="Z409" i="49"/>
  <c r="R587" i="31"/>
  <c r="W282" i="49"/>
  <c r="Z261" i="49"/>
  <c r="Z590" i="31"/>
  <c r="J50" i="49"/>
  <c r="AC508" i="49"/>
  <c r="H59" i="49"/>
  <c r="J132" i="49"/>
  <c r="V129" i="31"/>
  <c r="P471" i="49"/>
  <c r="Q55" i="49"/>
  <c r="W116" i="49"/>
  <c r="N603" i="49"/>
  <c r="AC373" i="49"/>
  <c r="N250" i="49"/>
  <c r="W187" i="31"/>
  <c r="N233" i="49"/>
  <c r="P229" i="49"/>
  <c r="W12" i="49"/>
  <c r="N77" i="49"/>
  <c r="W73" i="49"/>
  <c r="Y195" i="49"/>
  <c r="G269" i="49"/>
  <c r="X83" i="31"/>
  <c r="P611" i="31"/>
  <c r="G504" i="49"/>
  <c r="M592" i="49"/>
  <c r="W143" i="49"/>
  <c r="L316" i="49"/>
  <c r="Q543" i="49"/>
  <c r="V298" i="49"/>
  <c r="AD583" i="31"/>
  <c r="O132" i="49"/>
  <c r="T511" i="49"/>
  <c r="R591" i="49"/>
  <c r="Q512" i="31"/>
  <c r="G472" i="49"/>
  <c r="R428" i="49"/>
  <c r="P444" i="49"/>
  <c r="O433" i="49"/>
  <c r="N578" i="31"/>
  <c r="N211" i="31"/>
  <c r="G421" i="31"/>
  <c r="I272" i="31"/>
  <c r="Y311" i="31"/>
  <c r="M400" i="49"/>
  <c r="AB53" i="31"/>
  <c r="Z494" i="49"/>
  <c r="K172" i="31"/>
  <c r="M305" i="31"/>
  <c r="P88" i="31"/>
  <c r="I53" i="31"/>
  <c r="AD259" i="31"/>
  <c r="R149" i="49"/>
  <c r="M61" i="49"/>
  <c r="H457" i="31"/>
  <c r="AC505" i="31"/>
  <c r="AD237" i="31"/>
  <c r="V479" i="31"/>
  <c r="K431" i="31"/>
  <c r="T200" i="31"/>
  <c r="J579" i="31"/>
  <c r="Z125" i="49"/>
  <c r="I128" i="31"/>
  <c r="J478" i="31"/>
  <c r="L39" i="49"/>
  <c r="S38" i="49"/>
  <c r="N517" i="31"/>
  <c r="K296" i="31"/>
  <c r="Z119" i="31"/>
  <c r="M40" i="31"/>
  <c r="Q342" i="49"/>
  <c r="S198" i="31"/>
  <c r="AB490" i="49"/>
  <c r="R56" i="49"/>
  <c r="P184" i="49"/>
  <c r="P218" i="31"/>
  <c r="V560" i="31"/>
  <c r="P101" i="49"/>
  <c r="M176" i="49"/>
  <c r="N451" i="31"/>
  <c r="H283" i="49"/>
  <c r="J185" i="31"/>
  <c r="G526" i="31"/>
  <c r="N363" i="49"/>
  <c r="AD588" i="31"/>
  <c r="L344" i="31"/>
  <c r="V296" i="31"/>
  <c r="Z402" i="49"/>
  <c r="Y359" i="49"/>
  <c r="U560" i="31"/>
  <c r="AB464" i="49"/>
  <c r="X555" i="49"/>
  <c r="H479" i="49"/>
  <c r="H341" i="49"/>
  <c r="Q296" i="49"/>
  <c r="U317" i="49"/>
  <c r="V485" i="31"/>
  <c r="AA403" i="31"/>
  <c r="Q358" i="31"/>
  <c r="Q99" i="31"/>
  <c r="L594" i="49"/>
  <c r="S137" i="49"/>
  <c r="J185" i="49"/>
  <c r="L452" i="49"/>
  <c r="N175" i="31"/>
  <c r="Q184" i="31"/>
  <c r="N346" i="31"/>
  <c r="I193" i="49"/>
  <c r="X419" i="49"/>
  <c r="I32" i="49"/>
  <c r="J560" i="31"/>
  <c r="N449" i="49"/>
  <c r="U309" i="49"/>
  <c r="AC516" i="49"/>
  <c r="R422" i="31"/>
  <c r="L324" i="49"/>
  <c r="L585" i="49"/>
  <c r="W137" i="49"/>
  <c r="Q216" i="49"/>
  <c r="G516" i="31"/>
  <c r="Z458" i="31"/>
  <c r="AD73" i="49"/>
  <c r="O234" i="49"/>
  <c r="G567" i="49"/>
  <c r="Z162" i="49"/>
  <c r="Q139" i="49"/>
  <c r="S475" i="49"/>
  <c r="O263" i="49"/>
  <c r="N91" i="49"/>
  <c r="T560" i="49"/>
  <c r="O189" i="49"/>
  <c r="Q13" i="49"/>
  <c r="Z580" i="49"/>
  <c r="AB255" i="49"/>
  <c r="W589" i="49"/>
  <c r="AA353" i="31"/>
  <c r="N517" i="49"/>
  <c r="Q373" i="31"/>
  <c r="X129" i="31"/>
  <c r="V610" i="49"/>
  <c r="U460" i="49"/>
  <c r="W233" i="49"/>
  <c r="O200" i="49"/>
  <c r="V252" i="49"/>
  <c r="AC359" i="49"/>
  <c r="AA601" i="49"/>
  <c r="AB344" i="49"/>
  <c r="X77" i="49"/>
  <c r="L63" i="49"/>
  <c r="G58" i="49"/>
  <c r="U316" i="49"/>
  <c r="J560" i="49"/>
  <c r="Q151" i="31"/>
  <c r="S518" i="31"/>
  <c r="H186" i="31"/>
  <c r="AB352" i="49"/>
  <c r="K518" i="31"/>
  <c r="V97" i="31"/>
  <c r="Q22" i="31"/>
  <c r="AC471" i="49"/>
  <c r="W486" i="49"/>
  <c r="V545" i="49"/>
  <c r="J450" i="49"/>
  <c r="AC495" i="49"/>
  <c r="T142" i="49"/>
  <c r="O202" i="49"/>
  <c r="H498" i="49"/>
  <c r="W155" i="31"/>
  <c r="R517" i="31"/>
  <c r="Z302" i="31"/>
  <c r="P211" i="49"/>
  <c r="G76" i="49"/>
  <c r="V92" i="49"/>
  <c r="Q172" i="49"/>
  <c r="G479" i="49"/>
  <c r="AA361" i="49"/>
  <c r="L364" i="49"/>
  <c r="AC453" i="49"/>
  <c r="Q186" i="49"/>
  <c r="J413" i="49"/>
  <c r="O346" i="49"/>
  <c r="J441" i="49"/>
  <c r="K319" i="49"/>
  <c r="G617" i="49"/>
  <c r="AA303" i="49"/>
  <c r="W229" i="49"/>
  <c r="R568" i="31"/>
  <c r="M221" i="49"/>
  <c r="J594" i="49"/>
  <c r="R379" i="31"/>
  <c r="V234" i="49"/>
  <c r="T437" i="49"/>
  <c r="AC606" i="49"/>
  <c r="Q30" i="49"/>
  <c r="O290" i="31"/>
  <c r="L75" i="31"/>
  <c r="AC207" i="31"/>
  <c r="AD608" i="31"/>
  <c r="S337" i="49"/>
  <c r="AA99" i="49"/>
  <c r="AC92" i="49"/>
  <c r="W150" i="31"/>
  <c r="W601" i="31"/>
  <c r="S332" i="49"/>
  <c r="AD544" i="49"/>
  <c r="M111" i="49"/>
  <c r="Y41" i="31"/>
  <c r="AB128" i="49"/>
  <c r="W152" i="31"/>
  <c r="S248" i="31"/>
  <c r="M477" i="31"/>
  <c r="AA464" i="49"/>
  <c r="J236" i="31"/>
  <c r="K536" i="31"/>
  <c r="X362" i="31"/>
  <c r="J474" i="49"/>
  <c r="H560" i="31"/>
  <c r="O195" i="49"/>
  <c r="W41" i="49"/>
  <c r="T265" i="49"/>
  <c r="Q521" i="31"/>
  <c r="AA430" i="31"/>
  <c r="AC312" i="49"/>
  <c r="AA408" i="49"/>
  <c r="V415" i="49"/>
  <c r="Q145" i="31"/>
  <c r="G581" i="49"/>
  <c r="T472" i="49"/>
  <c r="Y146" i="49"/>
  <c r="I145" i="49"/>
  <c r="O484" i="49"/>
  <c r="Q138" i="31"/>
  <c r="G386" i="31"/>
  <c r="R520" i="49"/>
  <c r="U514" i="49"/>
  <c r="W141" i="49"/>
  <c r="O203" i="31"/>
  <c r="X516" i="31"/>
  <c r="AA266" i="49"/>
  <c r="I106" i="49"/>
  <c r="I248" i="49"/>
  <c r="I612" i="49"/>
  <c r="N260" i="49"/>
  <c r="O28" i="49"/>
  <c r="Y31" i="31"/>
  <c r="Y234" i="49"/>
  <c r="P272" i="49"/>
  <c r="Y154" i="49"/>
  <c r="Z275" i="31"/>
  <c r="X559" i="31"/>
  <c r="AD269" i="49"/>
  <c r="N284" i="49"/>
  <c r="AB454" i="49"/>
  <c r="M201" i="31"/>
  <c r="Q287" i="31"/>
  <c r="W575" i="49"/>
  <c r="AB495" i="31"/>
  <c r="O599" i="31"/>
  <c r="M329" i="31"/>
  <c r="J87" i="31"/>
  <c r="U125" i="31"/>
  <c r="K384" i="31"/>
  <c r="V294" i="31"/>
  <c r="Q42" i="31"/>
  <c r="U352" i="31"/>
  <c r="H454" i="31"/>
  <c r="N171" i="49"/>
  <c r="O410" i="49"/>
  <c r="AB204" i="49"/>
  <c r="H552" i="31"/>
  <c r="Q458" i="31"/>
  <c r="N130" i="49"/>
  <c r="M115" i="49"/>
  <c r="Z10" i="49"/>
  <c r="W185" i="49"/>
  <c r="Z211" i="31"/>
  <c r="AC116" i="31"/>
  <c r="T364" i="49"/>
  <c r="J183" i="49"/>
  <c r="P251" i="49"/>
  <c r="W588" i="49"/>
  <c r="J502" i="31"/>
  <c r="AC475" i="31"/>
  <c r="M415" i="49"/>
  <c r="Z194" i="49"/>
  <c r="AD383" i="49"/>
  <c r="AA489" i="49"/>
  <c r="X365" i="49"/>
  <c r="AC276" i="31"/>
  <c r="O474" i="31"/>
  <c r="AB386" i="49"/>
  <c r="S425" i="31"/>
  <c r="V446" i="31"/>
  <c r="Q428" i="31"/>
  <c r="L169" i="49"/>
  <c r="AC52" i="31"/>
  <c r="U372" i="31"/>
  <c r="H369" i="31"/>
  <c r="P14" i="31"/>
  <c r="Q559" i="49"/>
  <c r="R517" i="49"/>
  <c r="I380" i="49"/>
  <c r="AC209" i="49"/>
  <c r="AB281" i="31"/>
  <c r="N480" i="31"/>
  <c r="O458" i="31"/>
  <c r="J446" i="49"/>
  <c r="X338" i="49"/>
  <c r="P226" i="49"/>
  <c r="R97" i="31"/>
  <c r="V304" i="49"/>
  <c r="N114" i="49"/>
  <c r="Y99" i="49"/>
  <c r="K361" i="49"/>
  <c r="W308" i="49"/>
  <c r="R473" i="31"/>
  <c r="O378" i="31"/>
  <c r="AB601" i="49"/>
  <c r="X551" i="49"/>
  <c r="G182" i="49"/>
  <c r="M499" i="49"/>
  <c r="T379" i="49"/>
  <c r="T147" i="49"/>
  <c r="AB413" i="49"/>
  <c r="O27" i="49"/>
  <c r="J425" i="31"/>
  <c r="AB544" i="31"/>
  <c r="AB345" i="49"/>
  <c r="I357" i="49"/>
  <c r="G564" i="49"/>
  <c r="AB514" i="49"/>
  <c r="J264" i="49"/>
  <c r="S258" i="49"/>
  <c r="J383" i="49"/>
  <c r="W72" i="49"/>
  <c r="G551" i="49"/>
  <c r="P400" i="49"/>
  <c r="G75" i="49"/>
  <c r="N378" i="49"/>
  <c r="N154" i="49"/>
  <c r="Y133" i="49"/>
  <c r="H362" i="49"/>
  <c r="T349" i="49"/>
  <c r="H526" i="49"/>
  <c r="AC485" i="49"/>
  <c r="N544" i="49"/>
  <c r="G362" i="49"/>
  <c r="Q587" i="31"/>
  <c r="R134" i="31"/>
  <c r="G104" i="31"/>
  <c r="Z150" i="49"/>
  <c r="U582" i="49"/>
  <c r="V309" i="49"/>
  <c r="H332" i="31"/>
  <c r="AB197" i="49"/>
  <c r="I231" i="49"/>
  <c r="I70" i="49"/>
  <c r="J610" i="49"/>
  <c r="R543" i="49"/>
  <c r="U451" i="49"/>
  <c r="N235" i="49"/>
  <c r="Y201" i="49"/>
  <c r="Q486" i="49"/>
  <c r="S312" i="31"/>
  <c r="T192" i="31"/>
  <c r="G97" i="31"/>
  <c r="V282" i="49"/>
  <c r="Y21" i="31"/>
  <c r="AC568" i="49"/>
  <c r="AB385" i="31"/>
  <c r="Y23" i="31"/>
  <c r="G209" i="31"/>
  <c r="M149" i="31"/>
  <c r="P292" i="31"/>
  <c r="W17" i="31"/>
  <c r="I489" i="49"/>
  <c r="J22" i="49"/>
  <c r="U577" i="49"/>
  <c r="H318" i="31"/>
  <c r="H433" i="49"/>
  <c r="AD111" i="49"/>
  <c r="K493" i="49"/>
  <c r="AA297" i="49"/>
  <c r="O262" i="49"/>
  <c r="U579" i="31"/>
  <c r="AB447" i="49"/>
  <c r="Q509" i="49"/>
  <c r="AA227" i="49"/>
  <c r="W585" i="31"/>
  <c r="S576" i="49"/>
  <c r="J226" i="49"/>
  <c r="O84" i="49"/>
  <c r="N383" i="49"/>
  <c r="O549" i="49"/>
  <c r="Q331" i="49"/>
  <c r="AC580" i="49"/>
  <c r="N598" i="49"/>
  <c r="W18" i="49"/>
  <c r="S373" i="49"/>
  <c r="T167" i="49"/>
  <c r="J409" i="49"/>
  <c r="U280" i="31"/>
  <c r="Q239" i="31"/>
  <c r="Q500" i="49"/>
  <c r="AD474" i="31"/>
  <c r="Q182" i="31"/>
  <c r="AD326" i="49"/>
  <c r="AA518" i="31"/>
  <c r="R507" i="31"/>
  <c r="P289" i="31"/>
  <c r="X288" i="49"/>
  <c r="G113" i="49"/>
  <c r="X458" i="49"/>
  <c r="I381" i="49"/>
  <c r="AD260" i="49"/>
  <c r="M606" i="49"/>
  <c r="G122" i="49"/>
  <c r="AC440" i="49"/>
  <c r="R495" i="49"/>
  <c r="Y599" i="49"/>
  <c r="Y65" i="49"/>
  <c r="N594" i="49"/>
  <c r="X396" i="49"/>
  <c r="W504" i="49"/>
  <c r="I448" i="49"/>
  <c r="AB463" i="49"/>
  <c r="N305" i="49"/>
  <c r="S512" i="49"/>
  <c r="AA362" i="49"/>
  <c r="Y523" i="49"/>
  <c r="Y167" i="49"/>
  <c r="O66" i="49"/>
  <c r="S298" i="49"/>
  <c r="AD503" i="49"/>
  <c r="S111" i="31"/>
  <c r="N425" i="49"/>
  <c r="M336" i="31"/>
  <c r="H131" i="49"/>
  <c r="H88" i="49"/>
  <c r="G344" i="31"/>
  <c r="K262" i="31"/>
  <c r="I549" i="49"/>
  <c r="W140" i="49"/>
  <c r="X386" i="31"/>
  <c r="O522" i="49"/>
  <c r="L483" i="31"/>
  <c r="V212" i="49"/>
  <c r="V544" i="31"/>
  <c r="J475" i="49"/>
  <c r="Y34" i="31"/>
  <c r="AC149" i="31"/>
  <c r="K266" i="31"/>
  <c r="AA261" i="49"/>
  <c r="T458" i="49"/>
  <c r="O85" i="31"/>
  <c r="J65" i="31"/>
  <c r="I131" i="49"/>
  <c r="K385" i="31"/>
  <c r="H433" i="31"/>
  <c r="Y64" i="31"/>
  <c r="O444" i="31"/>
  <c r="U437" i="31"/>
  <c r="U310" i="31"/>
  <c r="L100" i="49"/>
  <c r="W237" i="49"/>
  <c r="K421" i="49"/>
  <c r="H415" i="49"/>
  <c r="R212" i="49"/>
  <c r="V525" i="49"/>
  <c r="Q10" i="49"/>
  <c r="G400" i="49"/>
  <c r="T484" i="49"/>
  <c r="S402" i="49"/>
  <c r="Q122" i="31"/>
  <c r="AD253" i="49"/>
  <c r="Y549" i="49"/>
  <c r="S516" i="49"/>
  <c r="T591" i="31"/>
  <c r="N490" i="49"/>
  <c r="J302" i="31"/>
  <c r="N180" i="49"/>
  <c r="Z601" i="49"/>
  <c r="N22" i="49"/>
  <c r="Q467" i="49"/>
  <c r="G120" i="49"/>
  <c r="P456" i="49"/>
  <c r="V15" i="49"/>
  <c r="P214" i="49"/>
  <c r="AA202" i="49"/>
  <c r="M14" i="31"/>
  <c r="W612" i="49"/>
  <c r="L216" i="49"/>
  <c r="Z592" i="31"/>
  <c r="T422" i="49"/>
  <c r="W262" i="49"/>
  <c r="I263" i="31"/>
  <c r="Y483" i="31"/>
  <c r="U279" i="49"/>
  <c r="M67" i="31"/>
  <c r="Y33" i="49"/>
  <c r="AA590" i="31"/>
  <c r="G427" i="31"/>
  <c r="O339" i="49"/>
  <c r="P171" i="31"/>
  <c r="AD310" i="31"/>
  <c r="AA145" i="49"/>
  <c r="U426" i="49"/>
  <c r="M44" i="49"/>
  <c r="T186" i="49"/>
  <c r="S420" i="49"/>
  <c r="L226" i="49"/>
  <c r="P570" i="31"/>
  <c r="R261" i="49"/>
  <c r="N148" i="49"/>
  <c r="U129" i="49"/>
  <c r="X27" i="49"/>
  <c r="Z433" i="49"/>
  <c r="Y329" i="49"/>
  <c r="U521" i="49"/>
  <c r="R231" i="31"/>
  <c r="R549" i="31"/>
  <c r="M273" i="49"/>
  <c r="AA593" i="49"/>
  <c r="M155" i="49"/>
  <c r="AC502" i="31"/>
  <c r="W369" i="31"/>
  <c r="V374" i="31"/>
  <c r="T547" i="31"/>
  <c r="I65" i="49"/>
  <c r="Z189" i="49"/>
  <c r="W386" i="49"/>
  <c r="R274" i="49"/>
  <c r="J367" i="49"/>
  <c r="R192" i="31"/>
  <c r="G162" i="31"/>
  <c r="I432" i="31"/>
  <c r="AA296" i="49"/>
  <c r="K67" i="31"/>
  <c r="Q407" i="31"/>
  <c r="L351" i="31"/>
  <c r="AD439" i="49"/>
  <c r="W210" i="49"/>
  <c r="X258" i="49"/>
  <c r="V591" i="31"/>
  <c r="X221" i="31"/>
  <c r="AC512" i="31"/>
  <c r="R242" i="31"/>
  <c r="Q578" i="31"/>
  <c r="O131" i="31"/>
  <c r="P250" i="31"/>
  <c r="I152" i="31"/>
  <c r="K577" i="49"/>
  <c r="K567" i="31"/>
  <c r="M202" i="49"/>
  <c r="N14" i="49"/>
  <c r="Q17" i="49"/>
  <c r="P418" i="49"/>
  <c r="X490" i="31"/>
  <c r="I408" i="31"/>
  <c r="W295" i="49"/>
  <c r="N421" i="49"/>
  <c r="R106" i="49"/>
  <c r="W94" i="49"/>
  <c r="K357" i="49"/>
  <c r="R558" i="49"/>
  <c r="K197" i="49"/>
  <c r="AA122" i="31"/>
  <c r="J92" i="31"/>
  <c r="M421" i="31"/>
  <c r="S323" i="49"/>
  <c r="V244" i="49"/>
  <c r="O240" i="49"/>
  <c r="Q21" i="49"/>
  <c r="R282" i="49"/>
  <c r="AC281" i="49"/>
  <c r="M507" i="49"/>
  <c r="Z563" i="49"/>
  <c r="J118" i="49"/>
  <c r="G317" i="49"/>
  <c r="V474" i="49"/>
  <c r="Y190" i="49"/>
  <c r="X223" i="49"/>
  <c r="K138" i="31"/>
  <c r="X138" i="31"/>
  <c r="AD597" i="49"/>
  <c r="Q193" i="31"/>
  <c r="W547" i="31"/>
  <c r="X230" i="31"/>
  <c r="R88" i="49"/>
  <c r="Q304" i="31"/>
  <c r="X149" i="31"/>
  <c r="O120" i="31"/>
  <c r="U568" i="49"/>
  <c r="G287" i="49"/>
  <c r="K87" i="31"/>
  <c r="U304" i="49"/>
  <c r="AC221" i="49"/>
  <c r="Q319" i="31"/>
  <c r="U488" i="49"/>
  <c r="W342" i="31"/>
  <c r="M594" i="31"/>
  <c r="Q186" i="31"/>
  <c r="R521" i="31"/>
  <c r="O441" i="31"/>
  <c r="R402" i="49"/>
  <c r="S473" i="31"/>
  <c r="V209" i="31"/>
  <c r="Q114" i="31"/>
  <c r="O70" i="49"/>
  <c r="AC365" i="31"/>
  <c r="Y235" i="31"/>
  <c r="AD247" i="49"/>
  <c r="AA232" i="49"/>
  <c r="Y423" i="31"/>
  <c r="M260" i="31"/>
  <c r="H422" i="49"/>
  <c r="W278" i="31"/>
  <c r="P263" i="31"/>
  <c r="L329" i="31"/>
  <c r="Q564" i="49"/>
  <c r="K364" i="49"/>
  <c r="N232" i="49"/>
  <c r="AC206" i="49"/>
  <c r="Y461" i="49"/>
  <c r="G143" i="49"/>
  <c r="T547" i="49"/>
  <c r="G229" i="49"/>
  <c r="J590" i="49"/>
  <c r="AD554" i="49"/>
  <c r="X427" i="49"/>
  <c r="Z152" i="49"/>
  <c r="L439" i="31"/>
  <c r="AB260" i="31"/>
  <c r="S194" i="31"/>
  <c r="T212" i="31"/>
  <c r="T585" i="49"/>
  <c r="K167" i="31"/>
  <c r="L304" i="49"/>
  <c r="I213" i="31"/>
  <c r="Q450" i="31"/>
  <c r="O250" i="49"/>
  <c r="W241" i="49"/>
  <c r="AA358" i="31"/>
  <c r="N384" i="31"/>
  <c r="T192" i="49"/>
  <c r="W19" i="49"/>
  <c r="W134" i="31"/>
  <c r="X135" i="49"/>
  <c r="M495" i="49"/>
  <c r="Z176" i="31"/>
  <c r="M605" i="31"/>
  <c r="G342" i="31"/>
  <c r="L586" i="31"/>
  <c r="V549" i="49"/>
  <c r="V351" i="49"/>
  <c r="Q245" i="31"/>
  <c r="J307" i="31"/>
  <c r="AB523" i="31"/>
  <c r="J186" i="31"/>
  <c r="L336" i="31"/>
  <c r="O593" i="31"/>
  <c r="T479" i="49"/>
  <c r="M361" i="49"/>
  <c r="Z60" i="31"/>
  <c r="U369" i="49"/>
  <c r="G187" i="31"/>
  <c r="U421" i="49"/>
  <c r="J477" i="31"/>
  <c r="V243" i="49"/>
  <c r="P262" i="49"/>
  <c r="G378" i="49"/>
  <c r="AB319" i="31"/>
  <c r="S381" i="49"/>
  <c r="X358" i="49"/>
  <c r="O99" i="49"/>
  <c r="W472" i="49"/>
  <c r="L424" i="49"/>
  <c r="O322" i="49"/>
  <c r="I552" i="49"/>
  <c r="L423" i="49"/>
  <c r="L248" i="49"/>
  <c r="AD568" i="31"/>
  <c r="AA271" i="49"/>
  <c r="W224" i="31"/>
  <c r="Z44" i="31"/>
  <c r="T534" i="49"/>
  <c r="G57" i="49"/>
  <c r="W217" i="31"/>
  <c r="R85" i="31"/>
  <c r="AB578" i="49"/>
  <c r="T460" i="49"/>
  <c r="AD370" i="49"/>
  <c r="Q593" i="49"/>
  <c r="G61" i="31"/>
  <c r="T258" i="49"/>
  <c r="P606" i="31"/>
  <c r="P434" i="49"/>
  <c r="O65" i="31"/>
  <c r="L380" i="31"/>
  <c r="J507" i="49"/>
  <c r="S14" i="49"/>
  <c r="K284" i="49"/>
  <c r="H320" i="49"/>
  <c r="G485" i="49"/>
  <c r="AB443" i="49"/>
  <c r="R220" i="31"/>
  <c r="W556" i="31"/>
  <c r="K225" i="31"/>
  <c r="K32" i="49"/>
  <c r="L511" i="49"/>
  <c r="O180" i="31"/>
  <c r="P25" i="31"/>
  <c r="O56" i="31"/>
  <c r="G324" i="31"/>
  <c r="I83" i="49"/>
  <c r="X371" i="31"/>
  <c r="AC284" i="49"/>
  <c r="U302" i="49"/>
  <c r="G169" i="31"/>
  <c r="X520" i="31"/>
  <c r="H307" i="31"/>
  <c r="V299" i="49"/>
  <c r="K510" i="49"/>
  <c r="I562" i="49"/>
  <c r="V533" i="49"/>
  <c r="I237" i="49"/>
  <c r="Y612" i="49"/>
  <c r="O545" i="49"/>
  <c r="O292" i="49"/>
  <c r="AD292" i="49"/>
  <c r="S255" i="49"/>
  <c r="N174" i="49"/>
  <c r="T69" i="49"/>
  <c r="X123" i="49"/>
  <c r="S253" i="49"/>
  <c r="AB334" i="49"/>
  <c r="R335" i="49"/>
  <c r="AD465" i="49"/>
  <c r="J468" i="49"/>
  <c r="AB577" i="49"/>
  <c r="U318" i="49"/>
  <c r="Q54" i="49"/>
  <c r="T353" i="49"/>
  <c r="G50" i="49"/>
  <c r="G517" i="49"/>
  <c r="S263" i="31"/>
  <c r="O335" i="31"/>
  <c r="U64" i="31"/>
  <c r="Q579" i="31"/>
  <c r="I88" i="31"/>
  <c r="N456" i="31"/>
  <c r="R161" i="31"/>
  <c r="V13" i="31"/>
  <c r="J146" i="49"/>
  <c r="N353" i="49"/>
  <c r="L240" i="49"/>
  <c r="J543" i="49"/>
  <c r="S237" i="31"/>
  <c r="G380" i="49"/>
  <c r="V596" i="49"/>
  <c r="J494" i="49"/>
  <c r="W478" i="49"/>
  <c r="AB249" i="49"/>
  <c r="N466" i="31"/>
  <c r="W572" i="31"/>
  <c r="T20" i="49"/>
  <c r="X41" i="49"/>
  <c r="L413" i="49"/>
  <c r="P504" i="31"/>
  <c r="J433" i="49"/>
  <c r="W249" i="31"/>
  <c r="O422" i="49"/>
  <c r="X480" i="49"/>
  <c r="Z122" i="31"/>
  <c r="L616" i="49"/>
  <c r="S348" i="31"/>
  <c r="P183" i="49"/>
  <c r="T126" i="49"/>
  <c r="O133" i="49"/>
  <c r="Q39" i="49"/>
  <c r="P17" i="49"/>
  <c r="K536" i="49"/>
  <c r="H124" i="31"/>
  <c r="M365" i="31"/>
  <c r="V427" i="31"/>
  <c r="V112" i="49"/>
  <c r="N394" i="49"/>
  <c r="L473" i="49"/>
  <c r="Y237" i="49"/>
  <c r="P332" i="49"/>
  <c r="AB564" i="49"/>
  <c r="AC559" i="49"/>
  <c r="G59" i="49"/>
  <c r="R404" i="49"/>
  <c r="M559" i="49"/>
  <c r="T323" i="49"/>
  <c r="I317" i="49"/>
  <c r="T194" i="31"/>
  <c r="T580" i="49"/>
  <c r="AB424" i="49"/>
  <c r="M95" i="49"/>
  <c r="G367" i="31"/>
  <c r="R548" i="49"/>
  <c r="R132" i="49"/>
  <c r="X248" i="49"/>
  <c r="I532" i="31"/>
  <c r="L22" i="31"/>
  <c r="N196" i="31"/>
  <c r="S480" i="49"/>
  <c r="T16" i="31"/>
  <c r="T371" i="49"/>
  <c r="AA146" i="49"/>
  <c r="L458" i="31"/>
  <c r="L266" i="31"/>
  <c r="Q465" i="31"/>
  <c r="J426" i="49"/>
  <c r="P252" i="31"/>
  <c r="G155" i="31"/>
  <c r="P140" i="31"/>
  <c r="J269" i="49"/>
  <c r="Y139" i="31"/>
  <c r="O367" i="31"/>
  <c r="I39" i="31"/>
  <c r="AC324" i="49"/>
  <c r="M419" i="31"/>
  <c r="AD443" i="31"/>
  <c r="O223" i="31"/>
  <c r="P457" i="49"/>
  <c r="O213" i="49"/>
  <c r="G61" i="49"/>
  <c r="P74" i="49"/>
  <c r="J217" i="49"/>
  <c r="I464" i="31"/>
  <c r="L552" i="31"/>
  <c r="Q341" i="31"/>
  <c r="J60" i="31"/>
  <c r="Y519" i="49"/>
  <c r="X368" i="49"/>
  <c r="I32" i="31"/>
  <c r="Q125" i="49"/>
  <c r="Y27" i="49"/>
  <c r="K275" i="49"/>
  <c r="G468" i="49"/>
  <c r="G521" i="49"/>
  <c r="P610" i="49"/>
  <c r="L462" i="49"/>
  <c r="J40" i="49"/>
  <c r="S134" i="31"/>
  <c r="M353" i="49"/>
  <c r="AA564" i="49"/>
  <c r="Y582" i="49"/>
  <c r="Y571" i="49"/>
  <c r="R471" i="49"/>
  <c r="AB411" i="49"/>
  <c r="Y444" i="49"/>
  <c r="T230" i="49"/>
  <c r="X95" i="49"/>
  <c r="Y85" i="49"/>
  <c r="J523" i="49"/>
  <c r="H603" i="49"/>
  <c r="Q281" i="49"/>
  <c r="Y507" i="49"/>
  <c r="G124" i="49"/>
  <c r="T206" i="49"/>
  <c r="H543" i="31"/>
  <c r="L85" i="49"/>
  <c r="W76" i="49"/>
  <c r="S546" i="49"/>
  <c r="O165" i="31"/>
  <c r="AB558" i="31"/>
  <c r="AB589" i="49"/>
  <c r="M488" i="31"/>
  <c r="W128" i="31"/>
  <c r="H96" i="31"/>
  <c r="I132" i="49"/>
  <c r="AB573" i="31"/>
  <c r="H206" i="49"/>
  <c r="Q563" i="49"/>
  <c r="G384" i="49"/>
  <c r="I533" i="49"/>
  <c r="I470" i="49"/>
  <c r="AD322" i="49"/>
  <c r="M329" i="49"/>
  <c r="M414" i="49"/>
  <c r="W279" i="49"/>
  <c r="AA83" i="31"/>
  <c r="W96" i="49"/>
  <c r="AC455" i="31"/>
  <c r="X441" i="31"/>
  <c r="H420" i="49"/>
  <c r="U251" i="49"/>
  <c r="H255" i="31"/>
  <c r="V39" i="31"/>
  <c r="W169" i="31"/>
  <c r="AD534" i="49"/>
  <c r="W617" i="49"/>
  <c r="Z32" i="49"/>
  <c r="I33" i="49"/>
  <c r="S285" i="49"/>
  <c r="W169" i="49"/>
  <c r="P119" i="31"/>
  <c r="G447" i="49"/>
  <c r="I34" i="49"/>
  <c r="Q601" i="31"/>
  <c r="I137" i="31"/>
  <c r="Z105" i="31"/>
  <c r="G56" i="49"/>
  <c r="S364" i="31"/>
  <c r="Y374" i="49"/>
  <c r="AA486" i="49"/>
  <c r="Z543" i="49"/>
  <c r="H37" i="49"/>
  <c r="V562" i="31"/>
  <c r="L103" i="49"/>
  <c r="G92" i="49"/>
  <c r="P437" i="49"/>
  <c r="AC420" i="49"/>
  <c r="V554" i="49"/>
  <c r="R419" i="49"/>
  <c r="P231" i="49"/>
  <c r="M545" i="49"/>
  <c r="X447" i="49"/>
  <c r="AB593" i="49"/>
  <c r="X223" i="31"/>
  <c r="Q195" i="31"/>
  <c r="H73" i="49"/>
  <c r="P304" i="49"/>
  <c r="H474" i="49"/>
  <c r="Z486" i="49"/>
  <c r="V240" i="49"/>
  <c r="I198" i="49"/>
  <c r="T608" i="49"/>
  <c r="Z592" i="49"/>
  <c r="AB357" i="49"/>
  <c r="S250" i="49"/>
  <c r="I452" i="49"/>
  <c r="N418" i="49"/>
  <c r="K279" i="49"/>
  <c r="Y413" i="49"/>
  <c r="Q488" i="49"/>
  <c r="AA570" i="49"/>
  <c r="W101" i="31"/>
  <c r="AD486" i="49"/>
  <c r="Q515" i="49"/>
  <c r="O406" i="49"/>
  <c r="AB312" i="31"/>
  <c r="Z611" i="49"/>
  <c r="M284" i="31"/>
  <c r="Q251" i="31"/>
  <c r="I434" i="31"/>
  <c r="K430" i="31"/>
  <c r="X580" i="49"/>
  <c r="O277" i="49"/>
  <c r="Y248" i="49"/>
  <c r="W143" i="31"/>
  <c r="T118" i="49"/>
  <c r="AA473" i="49"/>
  <c r="G402" i="31"/>
  <c r="L507" i="49"/>
  <c r="R325" i="31"/>
  <c r="P217" i="31"/>
  <c r="O474" i="49"/>
  <c r="W317" i="49"/>
  <c r="L70" i="49"/>
  <c r="J18" i="49"/>
  <c r="T441" i="49"/>
  <c r="K404" i="31"/>
  <c r="AB592" i="31"/>
  <c r="U247" i="49"/>
  <c r="O34" i="49"/>
  <c r="V560" i="49"/>
  <c r="I236" i="31"/>
  <c r="N581" i="31"/>
  <c r="U164" i="49"/>
  <c r="I229" i="49"/>
  <c r="M512" i="49"/>
  <c r="L334" i="49"/>
  <c r="W154" i="49"/>
  <c r="L359" i="49"/>
  <c r="W585" i="49"/>
  <c r="N407" i="49"/>
  <c r="J129" i="31"/>
  <c r="G417" i="49"/>
  <c r="S367" i="49"/>
  <c r="K294" i="49"/>
  <c r="K483" i="49"/>
  <c r="AC271" i="49"/>
  <c r="S335" i="49"/>
  <c r="AA344" i="49"/>
  <c r="I215" i="31"/>
  <c r="Y102" i="31"/>
  <c r="O124" i="31"/>
  <c r="AA404" i="31"/>
  <c r="AB468" i="49"/>
  <c r="W449" i="31"/>
  <c r="G121" i="31"/>
  <c r="T14" i="49"/>
  <c r="P17" i="31"/>
  <c r="S336" i="49"/>
  <c r="Z446" i="31"/>
  <c r="I498" i="31"/>
  <c r="X48" i="31"/>
  <c r="H189" i="49"/>
  <c r="H45" i="49"/>
  <c r="O444" i="49"/>
  <c r="V423" i="49"/>
  <c r="AD485" i="49"/>
  <c r="V284" i="49"/>
  <c r="H511" i="49"/>
  <c r="R425" i="49"/>
  <c r="G597" i="49"/>
  <c r="U608" i="49"/>
  <c r="N94" i="49"/>
  <c r="AA343" i="49"/>
  <c r="AA312" i="49"/>
  <c r="M319" i="49"/>
  <c r="V38" i="49"/>
  <c r="H516" i="31"/>
  <c r="X15" i="49"/>
  <c r="AA302" i="49"/>
  <c r="I439" i="49"/>
  <c r="Q143" i="49"/>
  <c r="W36" i="49"/>
  <c r="M290" i="49"/>
  <c r="T612" i="49"/>
  <c r="W20" i="49"/>
  <c r="V289" i="49"/>
  <c r="U250" i="31"/>
  <c r="H261" i="49"/>
  <c r="W588" i="31"/>
  <c r="J260" i="31"/>
  <c r="AD324" i="31"/>
  <c r="Q49" i="49"/>
  <c r="X55" i="49"/>
  <c r="G139" i="49"/>
  <c r="N430" i="49"/>
  <c r="O63" i="49"/>
  <c r="O106" i="49"/>
  <c r="N548" i="49"/>
  <c r="L374" i="49"/>
  <c r="N345" i="49"/>
  <c r="U483" i="49"/>
  <c r="AA365" i="49"/>
  <c r="X181" i="49"/>
  <c r="P362" i="49"/>
  <c r="G10" i="49"/>
  <c r="AC214" i="49"/>
  <c r="W97" i="49"/>
  <c r="O602" i="49"/>
  <c r="AD413" i="49"/>
  <c r="V197" i="49"/>
  <c r="V595" i="49"/>
  <c r="Q234" i="49"/>
  <c r="W155" i="49"/>
  <c r="Y163" i="49"/>
  <c r="G439" i="31"/>
  <c r="T334" i="49"/>
  <c r="H150" i="49"/>
  <c r="W262" i="31"/>
  <c r="H512" i="31"/>
  <c r="G343" i="49"/>
  <c r="K163" i="49"/>
  <c r="N586" i="49"/>
  <c r="S187" i="49"/>
  <c r="V522" i="31"/>
  <c r="N17" i="49"/>
  <c r="M608" i="49"/>
  <c r="T570" i="31"/>
  <c r="P297" i="31"/>
  <c r="R486" i="31"/>
  <c r="O92" i="31"/>
  <c r="X33" i="31"/>
  <c r="T450" i="49"/>
  <c r="M417" i="31"/>
  <c r="Y464" i="31"/>
  <c r="L202" i="31"/>
  <c r="Z593" i="49"/>
  <c r="K307" i="31"/>
  <c r="Y323" i="49"/>
  <c r="I339" i="31"/>
  <c r="P76" i="31"/>
  <c r="M297" i="49"/>
  <c r="N139" i="49"/>
  <c r="AC515" i="49"/>
  <c r="AA275" i="49"/>
  <c r="H586" i="49"/>
  <c r="Z289" i="31"/>
  <c r="O367" i="49"/>
  <c r="S492" i="31"/>
  <c r="W483" i="31"/>
  <c r="P478" i="31"/>
  <c r="AA257" i="49"/>
  <c r="G25" i="49"/>
  <c r="V342" i="49"/>
  <c r="O519" i="31"/>
  <c r="W455" i="31"/>
  <c r="H67" i="49"/>
  <c r="G51" i="49"/>
  <c r="W535" i="49"/>
  <c r="O81" i="49"/>
  <c r="AA299" i="49"/>
  <c r="T307" i="49"/>
  <c r="W10" i="49"/>
  <c r="N322" i="49"/>
  <c r="Y602" i="49"/>
  <c r="T486" i="49"/>
  <c r="K451" i="49"/>
  <c r="O511" i="49"/>
  <c r="U353" i="31"/>
  <c r="T63" i="49"/>
  <c r="W297" i="49"/>
  <c r="AC96" i="31"/>
  <c r="AA216" i="31"/>
  <c r="I423" i="31"/>
  <c r="AC235" i="49"/>
  <c r="K134" i="49"/>
  <c r="M343" i="49"/>
  <c r="H32" i="49"/>
  <c r="AA215" i="49"/>
  <c r="H438" i="31"/>
  <c r="Y601" i="49"/>
  <c r="R568" i="49"/>
  <c r="W359" i="49"/>
  <c r="AA151" i="31"/>
  <c r="V526" i="31"/>
  <c r="N525" i="31"/>
  <c r="G190" i="31"/>
  <c r="T312" i="31"/>
  <c r="O222" i="49"/>
  <c r="U32" i="49"/>
  <c r="O278" i="31"/>
  <c r="V423" i="31"/>
  <c r="V502" i="31"/>
  <c r="M239" i="49"/>
  <c r="M453" i="31"/>
  <c r="AA380" i="49"/>
  <c r="L339" i="31"/>
  <c r="J277" i="49"/>
  <c r="W471" i="49"/>
  <c r="R161" i="49"/>
  <c r="P532" i="31"/>
  <c r="X134" i="49"/>
  <c r="Z73" i="49"/>
  <c r="P583" i="49"/>
  <c r="J439" i="49"/>
  <c r="M52" i="49"/>
  <c r="M224" i="49"/>
  <c r="Z374" i="49"/>
  <c r="X251" i="31"/>
  <c r="H358" i="31"/>
  <c r="L573" i="49"/>
  <c r="T291" i="31"/>
  <c r="P452" i="31"/>
  <c r="N291" i="49"/>
  <c r="M350" i="31"/>
  <c r="J181" i="49"/>
  <c r="R217" i="31"/>
  <c r="G87" i="49"/>
  <c r="S599" i="49"/>
  <c r="L198" i="49"/>
  <c r="G564" i="31"/>
  <c r="X406" i="31"/>
  <c r="Q280" i="49"/>
  <c r="U193" i="49"/>
  <c r="X617" i="49"/>
  <c r="I412" i="31"/>
  <c r="AC450" i="31"/>
  <c r="R87" i="49"/>
  <c r="U85" i="49"/>
  <c r="AC287" i="49"/>
  <c r="V588" i="49"/>
  <c r="AB430" i="31"/>
  <c r="M101" i="31"/>
  <c r="R150" i="31"/>
  <c r="R397" i="49"/>
  <c r="W345" i="31"/>
  <c r="Y408" i="31"/>
  <c r="O519" i="49"/>
  <c r="P365" i="31"/>
  <c r="P335" i="31"/>
  <c r="AB566" i="31"/>
  <c r="S563" i="49"/>
  <c r="P58" i="31"/>
  <c r="X503" i="31"/>
  <c r="Y232" i="31"/>
  <c r="V422" i="49"/>
  <c r="Z494" i="31"/>
  <c r="T578" i="31"/>
  <c r="AD123" i="49"/>
  <c r="Z154" i="31"/>
  <c r="L400" i="49"/>
  <c r="W337" i="31"/>
  <c r="O409" i="31"/>
  <c r="N246" i="49"/>
  <c r="H536" i="49"/>
  <c r="P21" i="31"/>
  <c r="Y187" i="31"/>
  <c r="H119" i="49"/>
  <c r="V348" i="31"/>
  <c r="X272" i="31"/>
  <c r="G404" i="49"/>
  <c r="J166" i="49"/>
  <c r="Y373" i="49"/>
  <c r="T401" i="49"/>
  <c r="U472" i="31"/>
  <c r="G72" i="49"/>
  <c r="R299" i="49"/>
  <c r="Y276" i="31"/>
  <c r="H269" i="31"/>
  <c r="G496" i="49"/>
  <c r="N25" i="49"/>
  <c r="H617" i="49"/>
  <c r="L602" i="49"/>
  <c r="T425" i="49"/>
  <c r="R525" i="49"/>
  <c r="M549" i="49"/>
  <c r="V466" i="49"/>
  <c r="U443" i="49"/>
  <c r="Z234" i="31"/>
  <c r="Q205" i="31"/>
  <c r="W501" i="31"/>
  <c r="W581" i="49"/>
  <c r="R351" i="49"/>
  <c r="G589" i="31"/>
  <c r="P287" i="31"/>
  <c r="M419" i="49"/>
  <c r="I310" i="31"/>
  <c r="H81" i="31"/>
  <c r="Y51" i="31"/>
  <c r="H577" i="49"/>
  <c r="Z40" i="31"/>
  <c r="O12" i="31"/>
  <c r="W252" i="31"/>
  <c r="R311" i="49"/>
  <c r="H359" i="31"/>
  <c r="Y196" i="31"/>
  <c r="I456" i="49"/>
  <c r="AA543" i="31"/>
  <c r="X510" i="31"/>
  <c r="J294" i="31"/>
  <c r="K473" i="49"/>
  <c r="V599" i="49"/>
  <c r="U236" i="49"/>
  <c r="Q58" i="49"/>
  <c r="N111" i="49"/>
  <c r="R566" i="49"/>
  <c r="AD576" i="49"/>
  <c r="Y193" i="49"/>
  <c r="O64" i="49"/>
  <c r="H23" i="49"/>
  <c r="Q547" i="49"/>
  <c r="H501" i="31"/>
  <c r="O60" i="49"/>
  <c r="S82" i="31"/>
  <c r="M326" i="31"/>
  <c r="AC601" i="49"/>
  <c r="W117" i="49"/>
  <c r="V420" i="31"/>
  <c r="Q172" i="31"/>
  <c r="U203" i="49"/>
  <c r="T495" i="31"/>
  <c r="U386" i="49"/>
  <c r="Y308" i="49"/>
  <c r="P90" i="31"/>
  <c r="I580" i="31"/>
  <c r="P495" i="49"/>
  <c r="P215" i="49"/>
  <c r="H195" i="31"/>
  <c r="R544" i="31"/>
  <c r="Q613" i="49"/>
  <c r="Y385" i="31"/>
  <c r="S549" i="31"/>
  <c r="Y146" i="31"/>
  <c r="K350" i="49"/>
  <c r="O523" i="49"/>
  <c r="Q422" i="31"/>
  <c r="R149" i="31"/>
  <c r="AB433" i="49"/>
  <c r="R523" i="31"/>
  <c r="AC566" i="49"/>
  <c r="AD39" i="49"/>
  <c r="W245" i="49"/>
  <c r="I149" i="49"/>
  <c r="AD287" i="49"/>
  <c r="W206" i="31"/>
  <c r="AC336" i="49"/>
  <c r="V615" i="49"/>
  <c r="H280" i="31"/>
  <c r="T580" i="31"/>
  <c r="AA359" i="49"/>
  <c r="AB613" i="31"/>
  <c r="L486" i="31"/>
  <c r="U288" i="31"/>
  <c r="P532" i="49"/>
  <c r="T264" i="49"/>
  <c r="L607" i="31"/>
  <c r="H458" i="49"/>
  <c r="X403" i="49"/>
  <c r="I165" i="49"/>
  <c r="M396" i="49"/>
  <c r="AD548" i="31"/>
  <c r="M443" i="31"/>
  <c r="O492" i="31"/>
  <c r="N413" i="31"/>
  <c r="L519" i="49"/>
  <c r="Z533" i="31"/>
  <c r="S458" i="31"/>
  <c r="H395" i="49"/>
  <c r="O260" i="31"/>
  <c r="M523" i="49"/>
  <c r="AD61" i="49"/>
  <c r="R68" i="31"/>
  <c r="T460" i="31"/>
  <c r="I163" i="49"/>
  <c r="Q43" i="49"/>
  <c r="Y516" i="31"/>
  <c r="AA290" i="31"/>
  <c r="I545" i="49"/>
  <c r="G288" i="49"/>
  <c r="Y567" i="31"/>
  <c r="AA280" i="31"/>
  <c r="X100" i="49"/>
  <c r="Q94" i="49"/>
  <c r="Z454" i="31"/>
  <c r="G560" i="49"/>
  <c r="AD543" i="49"/>
  <c r="AB317" i="49"/>
  <c r="G192" i="31"/>
  <c r="Q65" i="31"/>
  <c r="P120" i="49"/>
  <c r="L276" i="49"/>
  <c r="J14" i="31"/>
  <c r="T418" i="49"/>
  <c r="Z221" i="49"/>
  <c r="X543" i="31"/>
  <c r="AD372" i="49"/>
  <c r="H245" i="31"/>
  <c r="V25" i="31"/>
  <c r="X437" i="31"/>
  <c r="L606" i="49"/>
  <c r="Q555" i="49"/>
  <c r="AA214" i="49"/>
  <c r="N55" i="49"/>
  <c r="N373" i="49"/>
  <c r="Y269" i="49"/>
  <c r="H181" i="49"/>
  <c r="X268" i="49"/>
  <c r="P75" i="49"/>
  <c r="Y211" i="49"/>
  <c r="Y81" i="49"/>
  <c r="M225" i="49"/>
  <c r="J613" i="49"/>
  <c r="R606" i="31"/>
  <c r="K380" i="49"/>
  <c r="H431" i="49"/>
  <c r="S334" i="49"/>
  <c r="K608" i="49"/>
  <c r="K578" i="49"/>
  <c r="S499" i="49"/>
  <c r="Q79" i="49"/>
  <c r="O612" i="49"/>
  <c r="AB422" i="49"/>
  <c r="U394" i="49"/>
  <c r="M554" i="49"/>
  <c r="Y311" i="49"/>
  <c r="W172" i="49"/>
  <c r="X187" i="49"/>
  <c r="Q477" i="49"/>
  <c r="S316" i="31"/>
  <c r="Q491" i="31"/>
  <c r="AA195" i="31"/>
  <c r="AD358" i="31"/>
  <c r="M463" i="49"/>
  <c r="U439" i="49"/>
  <c r="K345" i="49"/>
  <c r="AD308" i="31"/>
  <c r="S330" i="49"/>
  <c r="M291" i="31"/>
  <c r="S172" i="49"/>
  <c r="AA513" i="49"/>
  <c r="Q415" i="49"/>
  <c r="X131" i="31"/>
  <c r="M290" i="31"/>
  <c r="AB602" i="49"/>
  <c r="P571" i="49"/>
  <c r="L449" i="49"/>
  <c r="Q559" i="31"/>
  <c r="H385" i="31"/>
  <c r="T455" i="31"/>
  <c r="P618" i="49"/>
  <c r="AD573" i="49"/>
  <c r="V210" i="49"/>
  <c r="H477" i="31"/>
  <c r="AB281" i="49"/>
  <c r="N612" i="31"/>
  <c r="Q197" i="31"/>
  <c r="O197" i="49"/>
  <c r="J395" i="31"/>
  <c r="Y568" i="49"/>
  <c r="N560" i="49"/>
  <c r="X176" i="31"/>
  <c r="X395" i="49"/>
  <c r="O85" i="49"/>
  <c r="Q295" i="31"/>
  <c r="H488" i="31"/>
  <c r="Y200" i="31"/>
  <c r="T515" i="49"/>
  <c r="G368" i="49"/>
  <c r="O191" i="31"/>
  <c r="N236" i="49"/>
  <c r="M271" i="31"/>
  <c r="G41" i="49"/>
  <c r="N483" i="49"/>
  <c r="N271" i="49"/>
  <c r="L386" i="49"/>
  <c r="K365" i="49"/>
  <c r="AC499" i="49"/>
  <c r="AD335" i="49"/>
  <c r="L550" i="31"/>
  <c r="G533" i="49"/>
  <c r="T59" i="49"/>
  <c r="U360" i="31"/>
  <c r="W212" i="49"/>
  <c r="T603" i="49"/>
  <c r="AB555" i="49"/>
  <c r="H555" i="49"/>
  <c r="K548" i="31"/>
  <c r="N30" i="31"/>
  <c r="G372" i="49"/>
  <c r="S146" i="31"/>
  <c r="I322" i="31"/>
  <c r="T33" i="49"/>
  <c r="I231" i="31"/>
  <c r="H510" i="31"/>
  <c r="S612" i="49"/>
  <c r="R190" i="49"/>
  <c r="T524" i="31"/>
  <c r="U84" i="49"/>
  <c r="I440" i="49"/>
  <c r="X470" i="49"/>
  <c r="X291" i="31"/>
  <c r="AB608" i="31"/>
  <c r="R159" i="49"/>
  <c r="R434" i="31"/>
  <c r="O129" i="49"/>
  <c r="L75" i="49"/>
  <c r="K68" i="49"/>
  <c r="U274" i="49"/>
  <c r="V502" i="49"/>
  <c r="O242" i="49"/>
  <c r="V367" i="49"/>
  <c r="U486" i="49"/>
  <c r="U312" i="49"/>
  <c r="U197" i="49"/>
  <c r="Y505" i="49"/>
  <c r="AC93" i="49"/>
  <c r="N179" i="49"/>
  <c r="Q234" i="31"/>
  <c r="Z294" i="31"/>
  <c r="L210" i="49"/>
  <c r="T496" i="49"/>
  <c r="N125" i="49"/>
  <c r="W316" i="49"/>
  <c r="N595" i="49"/>
  <c r="V255" i="49"/>
  <c r="H129" i="31"/>
  <c r="Y97" i="31"/>
  <c r="H31" i="31"/>
  <c r="I424" i="49"/>
  <c r="AB369" i="31"/>
  <c r="Y252" i="31"/>
  <c r="L246" i="31"/>
  <c r="T151" i="49"/>
  <c r="G242" i="49"/>
  <c r="T176" i="49"/>
  <c r="H463" i="31"/>
  <c r="R162" i="31"/>
  <c r="U338" i="31"/>
  <c r="J184" i="31"/>
  <c r="I320" i="31"/>
  <c r="I70" i="31"/>
  <c r="N185" i="31"/>
  <c r="W91" i="31"/>
  <c r="X60" i="31"/>
  <c r="AB405" i="31"/>
  <c r="I583" i="49"/>
  <c r="J319" i="49"/>
  <c r="L497" i="49"/>
  <c r="AB534" i="49"/>
  <c r="M427" i="31"/>
  <c r="AD461" i="31"/>
  <c r="R231" i="49"/>
  <c r="J603" i="49"/>
  <c r="R131" i="31"/>
  <c r="Q50" i="31"/>
  <c r="M368" i="31"/>
  <c r="I285" i="49"/>
  <c r="V285" i="31"/>
  <c r="K438" i="49"/>
  <c r="N187" i="49"/>
  <c r="AA275" i="31"/>
  <c r="O191" i="49"/>
  <c r="AC402" i="49"/>
  <c r="Z555" i="49"/>
  <c r="M380" i="49"/>
  <c r="AC599" i="49"/>
  <c r="G576" i="49"/>
  <c r="I608" i="49"/>
  <c r="I194" i="49"/>
  <c r="AA320" i="31"/>
  <c r="L350" i="31"/>
  <c r="W397" i="49"/>
  <c r="U249" i="49"/>
  <c r="U551" i="49"/>
  <c r="T396" i="49"/>
  <c r="AC279" i="31"/>
  <c r="L532" i="49"/>
  <c r="G130" i="31"/>
  <c r="O288" i="31"/>
  <c r="Z159" i="31"/>
  <c r="W180" i="49"/>
  <c r="M505" i="31"/>
  <c r="R88" i="31"/>
  <c r="I59" i="31"/>
  <c r="W288" i="49"/>
  <c r="Q580" i="49"/>
  <c r="Z295" i="49"/>
  <c r="I586" i="31"/>
  <c r="G45" i="49"/>
  <c r="O22" i="31"/>
  <c r="Q272" i="31"/>
  <c r="L28" i="31"/>
  <c r="J445" i="49"/>
  <c r="G123" i="31"/>
  <c r="U461" i="31"/>
  <c r="K360" i="31"/>
  <c r="Q112" i="49"/>
  <c r="O617" i="31"/>
  <c r="T134" i="31"/>
  <c r="G53" i="31"/>
  <c r="V346" i="49"/>
  <c r="H101" i="31"/>
  <c r="W70" i="31"/>
  <c r="G331" i="31"/>
  <c r="AD418" i="49"/>
  <c r="W13" i="31"/>
  <c r="AB489" i="49"/>
  <c r="W357" i="49"/>
  <c r="G173" i="31"/>
  <c r="H524" i="31"/>
  <c r="R310" i="31"/>
  <c r="O83" i="49"/>
  <c r="Z413" i="49"/>
  <c r="K348" i="49"/>
  <c r="AA618" i="49"/>
  <c r="L579" i="31"/>
  <c r="R512" i="49"/>
  <c r="G332" i="49"/>
  <c r="N122" i="49"/>
  <c r="N570" i="31"/>
  <c r="Y515" i="49"/>
  <c r="T311" i="49"/>
  <c r="H316" i="31"/>
  <c r="AA409" i="49"/>
  <c r="AC480" i="49"/>
  <c r="AC556" i="49"/>
  <c r="W63" i="49"/>
  <c r="M92" i="31"/>
  <c r="AB480" i="31"/>
  <c r="S59" i="49"/>
  <c r="Z466" i="49"/>
  <c r="AB585" i="31"/>
  <c r="K526" i="49"/>
  <c r="AD331" i="49"/>
  <c r="AD492" i="31"/>
  <c r="Y579" i="49"/>
  <c r="Q74" i="49"/>
  <c r="H277" i="49"/>
  <c r="Q101" i="31"/>
  <c r="S605" i="49"/>
  <c r="W55" i="31"/>
  <c r="L594" i="31"/>
  <c r="Z38" i="31"/>
  <c r="T616" i="49"/>
  <c r="Z566" i="31"/>
  <c r="W25" i="49"/>
  <c r="W43" i="31"/>
  <c r="AB410" i="31"/>
  <c r="P249" i="49"/>
  <c r="Z94" i="31"/>
  <c r="R152" i="49"/>
  <c r="V467" i="31"/>
  <c r="AD378" i="31"/>
  <c r="L344" i="49"/>
  <c r="P13" i="31"/>
  <c r="S616" i="31"/>
  <c r="W200" i="31"/>
  <c r="AC370" i="49"/>
  <c r="P79" i="31"/>
  <c r="Q207" i="49"/>
  <c r="R578" i="31"/>
  <c r="S204" i="49"/>
  <c r="S233" i="31"/>
  <c r="AB597" i="31"/>
  <c r="J375" i="49"/>
  <c r="Q121" i="49"/>
  <c r="W13" i="49"/>
  <c r="Y558" i="49"/>
  <c r="H518" i="49"/>
  <c r="Y198" i="49"/>
  <c r="V314" i="45" l="1"/>
  <c r="D40" i="68"/>
  <c r="W314" i="45"/>
  <c r="EN44" i="62"/>
  <c r="D117" i="18"/>
  <c r="D28" i="22"/>
  <c r="D24" i="26"/>
  <c r="D48" i="68"/>
  <c r="W315" i="45"/>
  <c r="V315" i="45"/>
  <c r="Y557" i="49"/>
  <c r="AD377" i="31"/>
  <c r="Z565" i="31"/>
  <c r="S604" i="49"/>
  <c r="AB584" i="31"/>
  <c r="W62" i="49"/>
  <c r="H315" i="31"/>
  <c r="N569" i="31"/>
  <c r="AE332" i="49"/>
  <c r="K347" i="49"/>
  <c r="BN54" i="5" s="1"/>
  <c r="AE173" i="31"/>
  <c r="AF173" i="31" s="1"/>
  <c r="AG173" i="31" s="1"/>
  <c r="AH173" i="31" s="1"/>
  <c r="W356" i="49"/>
  <c r="AE331" i="31"/>
  <c r="AF331" i="31" s="1"/>
  <c r="AG331" i="31" s="1"/>
  <c r="AH331" i="31" s="1"/>
  <c r="AI331" i="31" s="1"/>
  <c r="AJ331" i="31" s="1"/>
  <c r="AK331" i="31" s="1"/>
  <c r="AL331" i="31" s="1"/>
  <c r="AM331" i="31" s="1"/>
  <c r="AN331" i="31" s="1"/>
  <c r="AO331" i="31" s="1"/>
  <c r="AP331" i="31" s="1"/>
  <c r="AE53" i="31"/>
  <c r="AE123" i="31"/>
  <c r="AF123" i="31" s="1"/>
  <c r="AG123" i="31" s="1"/>
  <c r="AH123" i="31" s="1"/>
  <c r="AI123" i="31" s="1"/>
  <c r="AJ123" i="31" s="1"/>
  <c r="AK123" i="31" s="1"/>
  <c r="AL123" i="31" s="1"/>
  <c r="AM123" i="31" s="1"/>
  <c r="AN123" i="31" s="1"/>
  <c r="AO123" i="31" s="1"/>
  <c r="AP123" i="31" s="1"/>
  <c r="AE45" i="49"/>
  <c r="AF45" i="49" s="1"/>
  <c r="Z158" i="31"/>
  <c r="AE130" i="31"/>
  <c r="AF130" i="31" s="1"/>
  <c r="AG130" i="31" s="1"/>
  <c r="AH130" i="31" s="1"/>
  <c r="AI130" i="31" s="1"/>
  <c r="AJ130" i="31" s="1"/>
  <c r="AK130" i="31" s="1"/>
  <c r="AL130" i="31" s="1"/>
  <c r="AM130" i="31" s="1"/>
  <c r="AN130" i="31" s="1"/>
  <c r="AO130" i="31" s="1"/>
  <c r="AP130" i="31" s="1"/>
  <c r="L531" i="49"/>
  <c r="AE576" i="49"/>
  <c r="AF576" i="49" s="1"/>
  <c r="AG576" i="49" s="1"/>
  <c r="AH576" i="49" s="1"/>
  <c r="AI576" i="49" s="1"/>
  <c r="AJ576" i="49" s="1"/>
  <c r="AK576" i="49" s="1"/>
  <c r="AL576" i="49" s="1"/>
  <c r="AM576" i="49" s="1"/>
  <c r="AN576" i="49" s="1"/>
  <c r="AO576" i="49" s="1"/>
  <c r="AP576" i="49" s="1"/>
  <c r="AE242" i="49"/>
  <c r="AF242" i="49" s="1"/>
  <c r="W315" i="49"/>
  <c r="Z293" i="31"/>
  <c r="N178" i="49"/>
  <c r="V366" i="49"/>
  <c r="R158" i="49"/>
  <c r="X469" i="49"/>
  <c r="I321" i="31"/>
  <c r="AE372" i="49"/>
  <c r="AF372" i="49" s="1"/>
  <c r="AG372" i="49" s="1"/>
  <c r="AH372" i="49" s="1"/>
  <c r="AI372" i="49" s="1"/>
  <c r="AJ372" i="49" s="1"/>
  <c r="AK372" i="49" s="1"/>
  <c r="AL372" i="49" s="1"/>
  <c r="AM372" i="49" s="1"/>
  <c r="AN372" i="49" s="1"/>
  <c r="AO372" i="49" s="1"/>
  <c r="AP372" i="49" s="1"/>
  <c r="AE533" i="49"/>
  <c r="AF533" i="49" s="1"/>
  <c r="AG533" i="49" s="1"/>
  <c r="AH533" i="49" s="1"/>
  <c r="AI533" i="49" s="1"/>
  <c r="AJ533" i="49" s="1"/>
  <c r="AK533" i="49" s="1"/>
  <c r="AL533" i="49" s="1"/>
  <c r="AM533" i="49" s="1"/>
  <c r="AN533" i="49" s="1"/>
  <c r="AO533" i="49" s="1"/>
  <c r="AP533" i="49" s="1"/>
  <c r="N482" i="49"/>
  <c r="DD32" i="62" s="1"/>
  <c r="AE41" i="49"/>
  <c r="AF41" i="49" s="1"/>
  <c r="AG41" i="49" s="1"/>
  <c r="AH41" i="49" s="1"/>
  <c r="AI41" i="49" s="1"/>
  <c r="AJ41" i="49" s="1"/>
  <c r="AK41" i="49" s="1"/>
  <c r="AL41" i="49" s="1"/>
  <c r="AM41" i="49" s="1"/>
  <c r="AN41" i="49" s="1"/>
  <c r="AO41" i="49" s="1"/>
  <c r="AP41" i="49" s="1"/>
  <c r="AE368" i="49"/>
  <c r="AF368" i="49" s="1"/>
  <c r="AG368" i="49" s="1"/>
  <c r="AH368" i="49" s="1"/>
  <c r="AI368" i="49" s="1"/>
  <c r="AJ368" i="49" s="1"/>
  <c r="AK368" i="49" s="1"/>
  <c r="AL368" i="49" s="1"/>
  <c r="AM368" i="49" s="1"/>
  <c r="AN368" i="49" s="1"/>
  <c r="AO368" i="49" s="1"/>
  <c r="AP368" i="49" s="1"/>
  <c r="H487" i="31"/>
  <c r="Z33" i="62" s="1"/>
  <c r="AA33" i="62" s="1"/>
  <c r="H476" i="31"/>
  <c r="Z30" i="62" s="1"/>
  <c r="AA30" i="62" s="1"/>
  <c r="S315" i="31"/>
  <c r="Q476" i="49"/>
  <c r="ET30" i="62" s="1"/>
  <c r="M553" i="49"/>
  <c r="U393" i="49"/>
  <c r="S333" i="49"/>
  <c r="Y80" i="49"/>
  <c r="X267" i="49"/>
  <c r="X542" i="31"/>
  <c r="AE192" i="31"/>
  <c r="AF192" i="31" s="1"/>
  <c r="AG192" i="31" s="1"/>
  <c r="AH192" i="31" s="1"/>
  <c r="AI192" i="31" s="1"/>
  <c r="AJ192" i="31" s="1"/>
  <c r="AK192" i="31" s="1"/>
  <c r="AL192" i="31" s="1"/>
  <c r="AM192" i="31" s="1"/>
  <c r="AN192" i="31" s="1"/>
  <c r="AO192" i="31" s="1"/>
  <c r="AP192" i="31" s="1"/>
  <c r="AD542" i="49"/>
  <c r="AE560" i="49"/>
  <c r="AF560" i="49" s="1"/>
  <c r="AG560" i="49" s="1"/>
  <c r="AH560" i="49" s="1"/>
  <c r="AI560" i="49" s="1"/>
  <c r="AJ560" i="49" s="1"/>
  <c r="AK560" i="49" s="1"/>
  <c r="AL560" i="49" s="1"/>
  <c r="AM560" i="49" s="1"/>
  <c r="AN560" i="49" s="1"/>
  <c r="AO560" i="49" s="1"/>
  <c r="AP560" i="49" s="1"/>
  <c r="AE288" i="49"/>
  <c r="AF288" i="49" s="1"/>
  <c r="AG288" i="49" s="1"/>
  <c r="AH288" i="49" s="1"/>
  <c r="AI288" i="49" s="1"/>
  <c r="AJ288" i="49" s="1"/>
  <c r="AK288" i="49" s="1"/>
  <c r="AL288" i="49" s="1"/>
  <c r="AM288" i="49" s="1"/>
  <c r="AN288" i="49" s="1"/>
  <c r="AO288" i="49" s="1"/>
  <c r="AP288" i="49" s="1"/>
  <c r="T459" i="31"/>
  <c r="M442" i="31"/>
  <c r="CR26" i="62" s="1"/>
  <c r="P531" i="49"/>
  <c r="V614" i="49"/>
  <c r="AD286" i="49"/>
  <c r="AC565" i="49"/>
  <c r="P89" i="31"/>
  <c r="EH20" i="5" s="1"/>
  <c r="EI20" i="5" s="1"/>
  <c r="AC600" i="49"/>
  <c r="R565" i="49"/>
  <c r="J293" i="31"/>
  <c r="BB43" i="5" s="1"/>
  <c r="AA542" i="31"/>
  <c r="H80" i="31"/>
  <c r="Z19" i="5" s="1"/>
  <c r="AA19" i="5" s="1"/>
  <c r="P286" i="31"/>
  <c r="EH42" i="5" s="1"/>
  <c r="AE589" i="31"/>
  <c r="AF589" i="31" s="1"/>
  <c r="AG589" i="31" s="1"/>
  <c r="AH589" i="31" s="1"/>
  <c r="AI589" i="31" s="1"/>
  <c r="AJ589" i="31" s="1"/>
  <c r="AK589" i="31" s="1"/>
  <c r="AL589" i="31" s="1"/>
  <c r="AM589" i="31" s="1"/>
  <c r="AN589" i="31" s="1"/>
  <c r="AO589" i="31" s="1"/>
  <c r="AP589" i="31" s="1"/>
  <c r="U442" i="49"/>
  <c r="AE496" i="49"/>
  <c r="AF496" i="49" s="1"/>
  <c r="AG496" i="49" s="1"/>
  <c r="AH496" i="49" s="1"/>
  <c r="AI496" i="49" s="1"/>
  <c r="AJ496" i="49" s="1"/>
  <c r="AK496" i="49" s="1"/>
  <c r="AL496" i="49" s="1"/>
  <c r="AM496" i="49" s="1"/>
  <c r="AN496" i="49" s="1"/>
  <c r="AO496" i="49" s="1"/>
  <c r="AP496" i="49" s="1"/>
  <c r="G71" i="49"/>
  <c r="AE72" i="49"/>
  <c r="AF72" i="49" s="1"/>
  <c r="AG72" i="49" s="1"/>
  <c r="AE404" i="49"/>
  <c r="AF404" i="49" s="1"/>
  <c r="AG404" i="49" s="1"/>
  <c r="AH404" i="49" s="1"/>
  <c r="AI404" i="49" s="1"/>
  <c r="AJ404" i="49" s="1"/>
  <c r="AK404" i="49" s="1"/>
  <c r="AL404" i="49" s="1"/>
  <c r="AM404" i="49" s="1"/>
  <c r="AN404" i="49" s="1"/>
  <c r="AO404" i="49" s="1"/>
  <c r="AP404" i="49" s="1"/>
  <c r="V347" i="31"/>
  <c r="Z153" i="31"/>
  <c r="AB565" i="31"/>
  <c r="AC286" i="49"/>
  <c r="AE564" i="31"/>
  <c r="AF564" i="31" s="1"/>
  <c r="AG564" i="31" s="1"/>
  <c r="AH564" i="31" s="1"/>
  <c r="AI564" i="31" s="1"/>
  <c r="AJ564" i="31" s="1"/>
  <c r="AK564" i="31" s="1"/>
  <c r="AL564" i="31" s="1"/>
  <c r="AM564" i="31" s="1"/>
  <c r="AN564" i="31" s="1"/>
  <c r="AO564" i="31" s="1"/>
  <c r="AP564" i="31" s="1"/>
  <c r="AE87" i="49"/>
  <c r="AF87" i="49" s="1"/>
  <c r="AG87" i="49" s="1"/>
  <c r="AH87" i="49" s="1"/>
  <c r="AI87" i="49" s="1"/>
  <c r="AJ87" i="49" s="1"/>
  <c r="AK87" i="49" s="1"/>
  <c r="AL87" i="49" s="1"/>
  <c r="AM87" i="49" s="1"/>
  <c r="AN87" i="49" s="1"/>
  <c r="AO87" i="49" s="1"/>
  <c r="AP87" i="49" s="1"/>
  <c r="P531" i="31"/>
  <c r="M238" i="49"/>
  <c r="CP39" i="5" s="1"/>
  <c r="AE190" i="31"/>
  <c r="AF190" i="31" s="1"/>
  <c r="AG190" i="31" s="1"/>
  <c r="AH190" i="31" s="1"/>
  <c r="Y600" i="49"/>
  <c r="T62" i="49"/>
  <c r="N321" i="49"/>
  <c r="DD50" i="5" s="1"/>
  <c r="W9" i="49"/>
  <c r="T306" i="49"/>
  <c r="O80" i="49"/>
  <c r="DR19" i="5" s="1"/>
  <c r="AE51" i="49"/>
  <c r="AF51" i="49" s="1"/>
  <c r="AE25" i="49"/>
  <c r="AF25" i="49" s="1"/>
  <c r="AG25" i="49" s="1"/>
  <c r="AH25" i="49" s="1"/>
  <c r="AI25" i="49" s="1"/>
  <c r="AJ25" i="49" s="1"/>
  <c r="AK25" i="49" s="1"/>
  <c r="AL25" i="49" s="1"/>
  <c r="AM25" i="49" s="1"/>
  <c r="AN25" i="49" s="1"/>
  <c r="AO25" i="49" s="1"/>
  <c r="AP25" i="49" s="1"/>
  <c r="AA256" i="49"/>
  <c r="W482" i="31"/>
  <c r="O366" i="49"/>
  <c r="DR58" i="5" s="1"/>
  <c r="K306" i="31"/>
  <c r="BP46" i="5" s="1"/>
  <c r="BQ46" i="5" s="1"/>
  <c r="T569" i="31"/>
  <c r="AE343" i="49"/>
  <c r="AF343" i="49" s="1"/>
  <c r="AG343" i="49" s="1"/>
  <c r="AH343" i="49" s="1"/>
  <c r="AI343" i="49" s="1"/>
  <c r="AJ343" i="49" s="1"/>
  <c r="AK343" i="49" s="1"/>
  <c r="AL343" i="49" s="1"/>
  <c r="AM343" i="49" s="1"/>
  <c r="AN343" i="49" s="1"/>
  <c r="AO343" i="49" s="1"/>
  <c r="AP343" i="49" s="1"/>
  <c r="T333" i="49"/>
  <c r="AE439" i="31"/>
  <c r="AF439" i="31" s="1"/>
  <c r="AG439" i="31" s="1"/>
  <c r="AH439" i="31" s="1"/>
  <c r="AI439" i="31" s="1"/>
  <c r="AJ439" i="31" s="1"/>
  <c r="AK439" i="31" s="1"/>
  <c r="AL439" i="31" s="1"/>
  <c r="AM439" i="31" s="1"/>
  <c r="AN439" i="31" s="1"/>
  <c r="AO439" i="31" s="1"/>
  <c r="AP439" i="31" s="1"/>
  <c r="G9" i="49"/>
  <c r="AE10" i="49"/>
  <c r="U482" i="49"/>
  <c r="O62" i="49"/>
  <c r="DR17" i="5" s="1"/>
  <c r="AE139" i="49"/>
  <c r="AF139" i="49" s="1"/>
  <c r="AG139" i="49" s="1"/>
  <c r="AH139" i="49" s="1"/>
  <c r="AI139" i="49" s="1"/>
  <c r="AJ139" i="49" s="1"/>
  <c r="AK139" i="49" s="1"/>
  <c r="AL139" i="49" s="1"/>
  <c r="AM139" i="49" s="1"/>
  <c r="AN139" i="49" s="1"/>
  <c r="AO139" i="49" s="1"/>
  <c r="AP139" i="49" s="1"/>
  <c r="W35" i="49"/>
  <c r="AA301" i="49"/>
  <c r="AE597" i="49"/>
  <c r="AF597" i="49" s="1"/>
  <c r="AG597" i="49" s="1"/>
  <c r="AH597" i="49" s="1"/>
  <c r="AI597" i="49" s="1"/>
  <c r="AJ597" i="49" s="1"/>
  <c r="AK597" i="49" s="1"/>
  <c r="AL597" i="49" s="1"/>
  <c r="AM597" i="49" s="1"/>
  <c r="AN597" i="49" s="1"/>
  <c r="AO597" i="49" s="1"/>
  <c r="AP597" i="49" s="1"/>
  <c r="H188" i="49"/>
  <c r="X35" i="5" s="1"/>
  <c r="X47" i="31"/>
  <c r="AE121" i="31"/>
  <c r="AF121" i="31" s="1"/>
  <c r="AG121" i="31" s="1"/>
  <c r="AH121" i="31" s="1"/>
  <c r="AI121" i="31" s="1"/>
  <c r="AJ121" i="31" s="1"/>
  <c r="AK121" i="31" s="1"/>
  <c r="AL121" i="31" s="1"/>
  <c r="AM121" i="31" s="1"/>
  <c r="AN121" i="31" s="1"/>
  <c r="AO121" i="31" s="1"/>
  <c r="AP121" i="31" s="1"/>
  <c r="K482" i="49"/>
  <c r="BN32" i="62" s="1"/>
  <c r="K293" i="49"/>
  <c r="BN43" i="5" s="1"/>
  <c r="S366" i="49"/>
  <c r="AE417" i="49"/>
  <c r="W584" i="49"/>
  <c r="W153" i="49"/>
  <c r="L333" i="49"/>
  <c r="CB52" i="5" s="1"/>
  <c r="I228" i="49"/>
  <c r="L506" i="49"/>
  <c r="CB34" i="62" s="1"/>
  <c r="AE402" i="31"/>
  <c r="AF402" i="31" s="1"/>
  <c r="AG402" i="31" s="1"/>
  <c r="AH402" i="31" s="1"/>
  <c r="AI402" i="31" s="1"/>
  <c r="AJ402" i="31" s="1"/>
  <c r="AK402" i="31" s="1"/>
  <c r="AL402" i="31" s="1"/>
  <c r="AM402" i="31" s="1"/>
  <c r="AN402" i="31" s="1"/>
  <c r="AO402" i="31" s="1"/>
  <c r="AP402" i="31" s="1"/>
  <c r="AA569" i="49"/>
  <c r="Q487" i="49"/>
  <c r="ET33" i="62" s="1"/>
  <c r="AB356" i="49"/>
  <c r="V553" i="49"/>
  <c r="AE92" i="49"/>
  <c r="AF92" i="49" s="1"/>
  <c r="AG92" i="49" s="1"/>
  <c r="AH92" i="49" s="1"/>
  <c r="AI92" i="49" s="1"/>
  <c r="AJ92" i="49" s="1"/>
  <c r="AK92" i="49" s="1"/>
  <c r="AL92" i="49" s="1"/>
  <c r="AM92" i="49" s="1"/>
  <c r="AN92" i="49" s="1"/>
  <c r="AO92" i="49" s="1"/>
  <c r="AP92" i="49" s="1"/>
  <c r="V561" i="31"/>
  <c r="Z542" i="49"/>
  <c r="AE56" i="49"/>
  <c r="I136" i="31"/>
  <c r="AN26" i="5" s="1"/>
  <c r="Q600" i="31"/>
  <c r="AE447" i="49"/>
  <c r="W168" i="49"/>
  <c r="W168" i="31"/>
  <c r="M328" i="49"/>
  <c r="CP51" i="5" s="1"/>
  <c r="CP43" i="62" s="1"/>
  <c r="AD321" i="49"/>
  <c r="I469" i="49"/>
  <c r="AE384" i="49"/>
  <c r="AF384" i="49" s="1"/>
  <c r="AG384" i="49" s="1"/>
  <c r="AH384" i="49" s="1"/>
  <c r="AI384" i="49" s="1"/>
  <c r="AJ384" i="49" s="1"/>
  <c r="AK384" i="49" s="1"/>
  <c r="AL384" i="49" s="1"/>
  <c r="AM384" i="49" s="1"/>
  <c r="AN384" i="49" s="1"/>
  <c r="AO384" i="49" s="1"/>
  <c r="AP384" i="49" s="1"/>
  <c r="W127" i="31"/>
  <c r="M487" i="31"/>
  <c r="CR33" i="62" s="1"/>
  <c r="CS33" i="62" s="1"/>
  <c r="AB557" i="31"/>
  <c r="H542" i="31"/>
  <c r="AE124" i="49"/>
  <c r="AF124" i="49" s="1"/>
  <c r="AG124" i="49" s="1"/>
  <c r="AH124" i="49" s="1"/>
  <c r="AI124" i="49" s="1"/>
  <c r="AJ124" i="49" s="1"/>
  <c r="AK124" i="49" s="1"/>
  <c r="AL124" i="49" s="1"/>
  <c r="AM124" i="49" s="1"/>
  <c r="AN124" i="49" s="1"/>
  <c r="AO124" i="49" s="1"/>
  <c r="AP124" i="49" s="1"/>
  <c r="Y506" i="49"/>
  <c r="P609" i="49"/>
  <c r="AE521" i="49"/>
  <c r="AF521" i="49" s="1"/>
  <c r="AG521" i="49" s="1"/>
  <c r="AH521" i="49" s="1"/>
  <c r="AI521" i="49" s="1"/>
  <c r="AJ521" i="49" s="1"/>
  <c r="AK521" i="49" s="1"/>
  <c r="AL521" i="49" s="1"/>
  <c r="AM521" i="49" s="1"/>
  <c r="AN521" i="49" s="1"/>
  <c r="AO521" i="49" s="1"/>
  <c r="AP521" i="49" s="1"/>
  <c r="AE468" i="49"/>
  <c r="Y26" i="49"/>
  <c r="Q340" i="31"/>
  <c r="EV53" i="5" s="1"/>
  <c r="EV44" i="62" s="1"/>
  <c r="AE61" i="49"/>
  <c r="AF61" i="49" s="1"/>
  <c r="AG61" i="49" s="1"/>
  <c r="AH61" i="49" s="1"/>
  <c r="AI61" i="49" s="1"/>
  <c r="AJ61" i="49" s="1"/>
  <c r="AK61" i="49" s="1"/>
  <c r="AL61" i="49" s="1"/>
  <c r="AM61" i="49" s="1"/>
  <c r="AN61" i="49" s="1"/>
  <c r="AO61" i="49" s="1"/>
  <c r="AP61" i="49" s="1"/>
  <c r="AD442" i="31"/>
  <c r="O366" i="31"/>
  <c r="DT58" i="5" s="1"/>
  <c r="DU58" i="5" s="1"/>
  <c r="AE155" i="31"/>
  <c r="AF155" i="31" s="1"/>
  <c r="AG155" i="31" s="1"/>
  <c r="AH155" i="31" s="1"/>
  <c r="AI155" i="31" s="1"/>
  <c r="AJ155" i="31" s="1"/>
  <c r="AK155" i="31" s="1"/>
  <c r="AL155" i="31" s="1"/>
  <c r="AM155" i="31" s="1"/>
  <c r="AN155" i="31" s="1"/>
  <c r="AO155" i="31" s="1"/>
  <c r="AP155" i="31" s="1"/>
  <c r="I531" i="31"/>
  <c r="AE367" i="31"/>
  <c r="G366" i="31"/>
  <c r="AE59" i="49"/>
  <c r="AF59" i="49" s="1"/>
  <c r="AG59" i="49" s="1"/>
  <c r="AH59" i="49" s="1"/>
  <c r="AI59" i="49" s="1"/>
  <c r="AJ59" i="49" s="1"/>
  <c r="AK59" i="49" s="1"/>
  <c r="AL59" i="49" s="1"/>
  <c r="AM59" i="49" s="1"/>
  <c r="AN59" i="49" s="1"/>
  <c r="AO59" i="49" s="1"/>
  <c r="AP59" i="49" s="1"/>
  <c r="N393" i="49"/>
  <c r="DD19" i="62" s="1"/>
  <c r="S347" i="31"/>
  <c r="AE380" i="49"/>
  <c r="AF380" i="49" s="1"/>
  <c r="AG380" i="49" s="1"/>
  <c r="AH380" i="49" s="1"/>
  <c r="AI380" i="49" s="1"/>
  <c r="AJ380" i="49" s="1"/>
  <c r="AK380" i="49" s="1"/>
  <c r="AL380" i="49" s="1"/>
  <c r="AM380" i="49" s="1"/>
  <c r="AN380" i="49" s="1"/>
  <c r="AO380" i="49" s="1"/>
  <c r="AP380" i="49" s="1"/>
  <c r="J542" i="49"/>
  <c r="AE517" i="49"/>
  <c r="AE50" i="49"/>
  <c r="AF50" i="49" s="1"/>
  <c r="AG50" i="49" s="1"/>
  <c r="AH50" i="49" s="1"/>
  <c r="AI50" i="49" s="1"/>
  <c r="AJ50" i="49" s="1"/>
  <c r="AK50" i="49" s="1"/>
  <c r="AL50" i="49" s="1"/>
  <c r="AM50" i="49" s="1"/>
  <c r="AN50" i="49" s="1"/>
  <c r="AO50" i="49" s="1"/>
  <c r="AP50" i="49" s="1"/>
  <c r="AB333" i="49"/>
  <c r="I561" i="49"/>
  <c r="H306" i="31"/>
  <c r="Z46" i="5" s="1"/>
  <c r="AA46" i="5" s="1"/>
  <c r="G168" i="31"/>
  <c r="AE169" i="31"/>
  <c r="U301" i="49"/>
  <c r="AE324" i="31"/>
  <c r="AF324" i="31" s="1"/>
  <c r="AG324" i="31" s="1"/>
  <c r="AH324" i="31" s="1"/>
  <c r="AI324" i="31" s="1"/>
  <c r="AJ324" i="31" s="1"/>
  <c r="AK324" i="31" s="1"/>
  <c r="AL324" i="31" s="1"/>
  <c r="AM324" i="31" s="1"/>
  <c r="AN324" i="31" s="1"/>
  <c r="AO324" i="31" s="1"/>
  <c r="AP324" i="31" s="1"/>
  <c r="R219" i="31"/>
  <c r="FJ37" i="5" s="1"/>
  <c r="AB442" i="49"/>
  <c r="AE485" i="49"/>
  <c r="AF485" i="49" s="1"/>
  <c r="AG485" i="49" s="1"/>
  <c r="AH485" i="49" s="1"/>
  <c r="AI485" i="49" s="1"/>
  <c r="AJ485" i="49" s="1"/>
  <c r="AK485" i="49" s="1"/>
  <c r="AL485" i="49" s="1"/>
  <c r="AM485" i="49" s="1"/>
  <c r="AN485" i="49" s="1"/>
  <c r="AO485" i="49" s="1"/>
  <c r="AP485" i="49" s="1"/>
  <c r="J506" i="49"/>
  <c r="AZ34" i="62" s="1"/>
  <c r="AE61" i="31"/>
  <c r="AF61" i="31" s="1"/>
  <c r="AG61" i="31" s="1"/>
  <c r="AH61" i="31" s="1"/>
  <c r="AI61" i="31" s="1"/>
  <c r="T459" i="49"/>
  <c r="AE57" i="49"/>
  <c r="O321" i="49"/>
  <c r="DR50" i="5" s="1"/>
  <c r="O98" i="49"/>
  <c r="DR21" i="5" s="1"/>
  <c r="G377" i="49"/>
  <c r="AE378" i="49"/>
  <c r="J476" i="31"/>
  <c r="BB30" i="62" s="1"/>
  <c r="BC30" i="62" s="1"/>
  <c r="U416" i="49"/>
  <c r="AE187" i="31"/>
  <c r="AF187" i="31" s="1"/>
  <c r="AG187" i="31" s="1"/>
  <c r="AH187" i="31" s="1"/>
  <c r="AI187" i="31" s="1"/>
  <c r="AJ187" i="31" s="1"/>
  <c r="AK187" i="31" s="1"/>
  <c r="AL187" i="31" s="1"/>
  <c r="AM187" i="31" s="1"/>
  <c r="AN187" i="31" s="1"/>
  <c r="AO187" i="31" s="1"/>
  <c r="AP187" i="31" s="1"/>
  <c r="J306" i="31"/>
  <c r="BB46" i="5" s="1"/>
  <c r="BC46" i="5" s="1"/>
  <c r="AE342" i="31"/>
  <c r="AF342" i="31" s="1"/>
  <c r="AG342" i="31" s="1"/>
  <c r="AH342" i="31" s="1"/>
  <c r="AI342" i="31" s="1"/>
  <c r="AJ342" i="31" s="1"/>
  <c r="AK342" i="31" s="1"/>
  <c r="AL342" i="31" s="1"/>
  <c r="AM342" i="31" s="1"/>
  <c r="AN342" i="31" s="1"/>
  <c r="AO342" i="31" s="1"/>
  <c r="AP342" i="31" s="1"/>
  <c r="M604" i="31"/>
  <c r="T584" i="49"/>
  <c r="AD553" i="49"/>
  <c r="AE229" i="49"/>
  <c r="G228" i="49"/>
  <c r="AE143" i="49"/>
  <c r="L328" i="31"/>
  <c r="V208" i="31"/>
  <c r="U487" i="49"/>
  <c r="AE287" i="49"/>
  <c r="G286" i="49"/>
  <c r="AE317" i="49"/>
  <c r="AF317" i="49" s="1"/>
  <c r="AG317" i="49" s="1"/>
  <c r="AH317" i="49" s="1"/>
  <c r="AI317" i="49" s="1"/>
  <c r="AJ317" i="49" s="1"/>
  <c r="AK317" i="49" s="1"/>
  <c r="AL317" i="49" s="1"/>
  <c r="AM317" i="49" s="1"/>
  <c r="AN317" i="49" s="1"/>
  <c r="AO317" i="49" s="1"/>
  <c r="AP317" i="49" s="1"/>
  <c r="M506" i="49"/>
  <c r="CP34" i="62" s="1"/>
  <c r="M416" i="31"/>
  <c r="CR22" i="62" s="1"/>
  <c r="CS22" i="62" s="1"/>
  <c r="R557" i="49"/>
  <c r="K356" i="49"/>
  <c r="BN57" i="5" s="1"/>
  <c r="BN42" i="62" s="1"/>
  <c r="N416" i="49"/>
  <c r="DD22" i="62" s="1"/>
  <c r="AE162" i="31"/>
  <c r="AF162" i="31" s="1"/>
  <c r="AG162" i="31" s="1"/>
  <c r="AH162" i="31" s="1"/>
  <c r="AI162" i="31" s="1"/>
  <c r="AJ162" i="31" s="1"/>
  <c r="AK162" i="31" s="1"/>
  <c r="AL162" i="31" s="1"/>
  <c r="AM162" i="31" s="1"/>
  <c r="AN162" i="31" s="1"/>
  <c r="AO162" i="31" s="1"/>
  <c r="AP162" i="31" s="1"/>
  <c r="J366" i="49"/>
  <c r="AZ58" i="5" s="1"/>
  <c r="Z188" i="49"/>
  <c r="Y328" i="49"/>
  <c r="X26" i="49"/>
  <c r="P569" i="31"/>
  <c r="AA144" i="49"/>
  <c r="AE427" i="31"/>
  <c r="AF427" i="31" s="1"/>
  <c r="AG427" i="31" s="1"/>
  <c r="AH427" i="31" s="1"/>
  <c r="AI427" i="31" s="1"/>
  <c r="AJ427" i="31" s="1"/>
  <c r="AK427" i="31" s="1"/>
  <c r="AL427" i="31" s="1"/>
  <c r="AM427" i="31" s="1"/>
  <c r="AN427" i="31" s="1"/>
  <c r="AO427" i="31" s="1"/>
  <c r="AP427" i="31" s="1"/>
  <c r="Y482" i="31"/>
  <c r="AE120" i="49"/>
  <c r="AF120" i="49" s="1"/>
  <c r="AG120" i="49" s="1"/>
  <c r="AH120" i="49" s="1"/>
  <c r="AI120" i="49" s="1"/>
  <c r="AJ120" i="49" s="1"/>
  <c r="AK120" i="49" s="1"/>
  <c r="AL120" i="49" s="1"/>
  <c r="AM120" i="49" s="1"/>
  <c r="AN120" i="49" s="1"/>
  <c r="AO120" i="49" s="1"/>
  <c r="AP120" i="49" s="1"/>
  <c r="Z600" i="49"/>
  <c r="J301" i="31"/>
  <c r="AE400" i="49"/>
  <c r="AF400" i="49" s="1"/>
  <c r="AG400" i="49" s="1"/>
  <c r="AH400" i="49" s="1"/>
  <c r="AI400" i="49" s="1"/>
  <c r="AJ400" i="49" s="1"/>
  <c r="AK400" i="49" s="1"/>
  <c r="AL400" i="49" s="1"/>
  <c r="AM400" i="49" s="1"/>
  <c r="AN400" i="49" s="1"/>
  <c r="AO400" i="49" s="1"/>
  <c r="AP400" i="49" s="1"/>
  <c r="Q9" i="49"/>
  <c r="K416" i="49"/>
  <c r="BN22" i="62" s="1"/>
  <c r="L482" i="31"/>
  <c r="CD32" i="62" s="1"/>
  <c r="CE32" i="62" s="1"/>
  <c r="AE344" i="31"/>
  <c r="AF344" i="31" s="1"/>
  <c r="AG344" i="31" s="1"/>
  <c r="AH344" i="31" s="1"/>
  <c r="AI344" i="31" s="1"/>
  <c r="AJ344" i="31" s="1"/>
  <c r="AK344" i="31" s="1"/>
  <c r="AL344" i="31" s="1"/>
  <c r="AM344" i="31" s="1"/>
  <c r="AN344" i="31" s="1"/>
  <c r="AO344" i="31" s="1"/>
  <c r="AP344" i="31" s="1"/>
  <c r="AE122" i="49"/>
  <c r="AF122" i="49" s="1"/>
  <c r="AG122" i="49" s="1"/>
  <c r="AH122" i="49" s="1"/>
  <c r="AI122" i="49" s="1"/>
  <c r="AJ122" i="49" s="1"/>
  <c r="AK122" i="49" s="1"/>
  <c r="AL122" i="49" s="1"/>
  <c r="AM122" i="49" s="1"/>
  <c r="AN122" i="49" s="1"/>
  <c r="AO122" i="49" s="1"/>
  <c r="AP122" i="49" s="1"/>
  <c r="AE113" i="49"/>
  <c r="R506" i="31"/>
  <c r="FJ34" i="62" s="1"/>
  <c r="FK34" i="62" s="1"/>
  <c r="Q238" i="31"/>
  <c r="EV39" i="5" s="1"/>
  <c r="N382" i="49"/>
  <c r="DD61" i="5" s="1"/>
  <c r="W584" i="31"/>
  <c r="AD109" i="49"/>
  <c r="AE209" i="31"/>
  <c r="G208" i="31"/>
  <c r="AE97" i="31"/>
  <c r="R542" i="49"/>
  <c r="J609" i="49"/>
  <c r="AE104" i="31"/>
  <c r="AF104" i="31" s="1"/>
  <c r="AG104" i="31" s="1"/>
  <c r="AH104" i="31" s="1"/>
  <c r="AI104" i="31" s="1"/>
  <c r="AJ104" i="31" s="1"/>
  <c r="AK104" i="31" s="1"/>
  <c r="AL104" i="31" s="1"/>
  <c r="AM104" i="31" s="1"/>
  <c r="AN104" i="31" s="1"/>
  <c r="AO104" i="31" s="1"/>
  <c r="AP104" i="31" s="1"/>
  <c r="AE362" i="49"/>
  <c r="AF362" i="49" s="1"/>
  <c r="AG362" i="49" s="1"/>
  <c r="AH362" i="49" s="1"/>
  <c r="AI362" i="49" s="1"/>
  <c r="AJ362" i="49" s="1"/>
  <c r="AK362" i="49" s="1"/>
  <c r="AL362" i="49" s="1"/>
  <c r="AM362" i="49" s="1"/>
  <c r="AN362" i="49" s="1"/>
  <c r="AO362" i="49" s="1"/>
  <c r="AP362" i="49" s="1"/>
  <c r="N153" i="49"/>
  <c r="DD28" i="5" s="1"/>
  <c r="N377" i="49"/>
  <c r="DD60" i="5" s="1"/>
  <c r="AE75" i="49"/>
  <c r="AF75" i="49" s="1"/>
  <c r="AG75" i="49" s="1"/>
  <c r="AH75" i="49" s="1"/>
  <c r="AI75" i="49" s="1"/>
  <c r="AJ75" i="49" s="1"/>
  <c r="AK75" i="49" s="1"/>
  <c r="AL75" i="49" s="1"/>
  <c r="AM75" i="49" s="1"/>
  <c r="AN75" i="49" s="1"/>
  <c r="AO75" i="49" s="1"/>
  <c r="AP75" i="49" s="1"/>
  <c r="AE551" i="49"/>
  <c r="W71" i="49"/>
  <c r="J382" i="49"/>
  <c r="AZ61" i="5" s="1"/>
  <c r="AE564" i="49"/>
  <c r="AF564" i="49" s="1"/>
  <c r="I356" i="49"/>
  <c r="O26" i="49"/>
  <c r="DR13" i="5" s="1"/>
  <c r="AE182" i="49"/>
  <c r="AB600" i="49"/>
  <c r="O377" i="31"/>
  <c r="DT60" i="5" s="1"/>
  <c r="DU60" i="5" s="1"/>
  <c r="Y98" i="49"/>
  <c r="AC208" i="49"/>
  <c r="L168" i="49"/>
  <c r="AD382" i="49"/>
  <c r="Z9" i="49"/>
  <c r="V293" i="31"/>
  <c r="M328" i="31"/>
  <c r="CR51" i="5" s="1"/>
  <c r="Q286" i="31"/>
  <c r="EV42" i="5" s="1"/>
  <c r="Y153" i="49"/>
  <c r="AE386" i="31"/>
  <c r="AF386" i="31" s="1"/>
  <c r="AG386" i="31" s="1"/>
  <c r="AH386" i="31" s="1"/>
  <c r="AI386" i="31" s="1"/>
  <c r="AJ386" i="31" s="1"/>
  <c r="AK386" i="31" s="1"/>
  <c r="AL386" i="31" s="1"/>
  <c r="AM386" i="31" s="1"/>
  <c r="AN386" i="31" s="1"/>
  <c r="AO386" i="31" s="1"/>
  <c r="AP386" i="31" s="1"/>
  <c r="I144" i="49"/>
  <c r="AL27" i="5" s="1"/>
  <c r="AE581" i="49"/>
  <c r="AF581" i="49" s="1"/>
  <c r="AG581" i="49" s="1"/>
  <c r="AH581" i="49" s="1"/>
  <c r="AI581" i="49" s="1"/>
  <c r="AJ581" i="49" s="1"/>
  <c r="AK581" i="49" s="1"/>
  <c r="AL581" i="49" s="1"/>
  <c r="AM581" i="49" s="1"/>
  <c r="AN581" i="49" s="1"/>
  <c r="AO581" i="49" s="1"/>
  <c r="AP581" i="49" s="1"/>
  <c r="Q144" i="31"/>
  <c r="EV27" i="5" s="1"/>
  <c r="EW27" i="5" s="1"/>
  <c r="M476" i="31"/>
  <c r="CR30" i="62" s="1"/>
  <c r="CS30" i="62" s="1"/>
  <c r="AB127" i="49"/>
  <c r="W600" i="31"/>
  <c r="AA98" i="49"/>
  <c r="W228" i="49"/>
  <c r="AE617" i="49"/>
  <c r="AF617" i="49" s="1"/>
  <c r="AG617" i="49" s="1"/>
  <c r="AH617" i="49" s="1"/>
  <c r="AI617" i="49" s="1"/>
  <c r="AJ617" i="49" s="1"/>
  <c r="AK617" i="49" s="1"/>
  <c r="AL617" i="49" s="1"/>
  <c r="AM617" i="49" s="1"/>
  <c r="AN617" i="49" s="1"/>
  <c r="AO617" i="49" s="1"/>
  <c r="AP617" i="49" s="1"/>
  <c r="AE479" i="49"/>
  <c r="AF479" i="49" s="1"/>
  <c r="AG479" i="49" s="1"/>
  <c r="AH479" i="49" s="1"/>
  <c r="AI479" i="49" s="1"/>
  <c r="AJ479" i="49" s="1"/>
  <c r="AK479" i="49" s="1"/>
  <c r="AL479" i="49" s="1"/>
  <c r="AM479" i="49" s="1"/>
  <c r="AN479" i="49" s="1"/>
  <c r="AO479" i="49" s="1"/>
  <c r="AP479" i="49" s="1"/>
  <c r="AE76" i="49"/>
  <c r="Z301" i="31"/>
  <c r="U315" i="49"/>
  <c r="AE58" i="49"/>
  <c r="L62" i="49"/>
  <c r="CB17" i="5" s="1"/>
  <c r="AA600" i="49"/>
  <c r="U459" i="49"/>
  <c r="V609" i="49"/>
  <c r="O188" i="49"/>
  <c r="DR35" i="5" s="1"/>
  <c r="AE567" i="49"/>
  <c r="AF567" i="49" s="1"/>
  <c r="AG567" i="49" s="1"/>
  <c r="AH567" i="49" s="1"/>
  <c r="AI567" i="49" s="1"/>
  <c r="AJ567" i="49" s="1"/>
  <c r="AK567" i="49" s="1"/>
  <c r="AL567" i="49" s="1"/>
  <c r="AM567" i="49" s="1"/>
  <c r="AN567" i="49" s="1"/>
  <c r="AO567" i="49" s="1"/>
  <c r="AP567" i="49" s="1"/>
  <c r="AD71" i="49"/>
  <c r="AE516" i="31"/>
  <c r="AF516" i="31" s="1"/>
  <c r="AG516" i="31" s="1"/>
  <c r="AH516" i="31" s="1"/>
  <c r="AI516" i="31" s="1"/>
  <c r="AJ516" i="31" s="1"/>
  <c r="AK516" i="31" s="1"/>
  <c r="AL516" i="31" s="1"/>
  <c r="AM516" i="31" s="1"/>
  <c r="AN516" i="31" s="1"/>
  <c r="AO516" i="31" s="1"/>
  <c r="AP516" i="31" s="1"/>
  <c r="W136" i="49"/>
  <c r="L584" i="49"/>
  <c r="S136" i="49"/>
  <c r="Q98" i="31"/>
  <c r="EV21" i="5" s="1"/>
  <c r="EW21" i="5" s="1"/>
  <c r="H340" i="49"/>
  <c r="X53" i="5" s="1"/>
  <c r="X44" i="62" s="1"/>
  <c r="AE526" i="31"/>
  <c r="AF526" i="31" s="1"/>
  <c r="AG526" i="31" s="1"/>
  <c r="AH526" i="31" s="1"/>
  <c r="AI526" i="31" s="1"/>
  <c r="AJ526" i="31" s="1"/>
  <c r="AK526" i="31" s="1"/>
  <c r="AL526" i="31" s="1"/>
  <c r="AM526" i="31" s="1"/>
  <c r="AN526" i="31" s="1"/>
  <c r="AO526" i="31" s="1"/>
  <c r="AP526" i="31" s="1"/>
  <c r="I127" i="31"/>
  <c r="G416" i="31"/>
  <c r="AE421" i="31"/>
  <c r="AE472" i="49"/>
  <c r="AF472" i="49" s="1"/>
  <c r="AG472" i="49" s="1"/>
  <c r="AH472" i="49" s="1"/>
  <c r="AI472" i="49" s="1"/>
  <c r="AJ472" i="49" s="1"/>
  <c r="AK472" i="49" s="1"/>
  <c r="AL472" i="49" s="1"/>
  <c r="AM472" i="49" s="1"/>
  <c r="AN472" i="49" s="1"/>
  <c r="AO472" i="49" s="1"/>
  <c r="AP472" i="49" s="1"/>
  <c r="Q542" i="49"/>
  <c r="L315" i="49"/>
  <c r="AE504" i="49"/>
  <c r="AF504" i="49" s="1"/>
  <c r="AE269" i="49"/>
  <c r="P228" i="49"/>
  <c r="EF38" i="5" s="1"/>
  <c r="P256" i="31"/>
  <c r="EH40" i="5" s="1"/>
  <c r="Z482" i="31"/>
  <c r="AA377" i="49"/>
  <c r="S377" i="49"/>
  <c r="AE12" i="49"/>
  <c r="AF12" i="49" s="1"/>
  <c r="AG12" i="49" s="1"/>
  <c r="AH12" i="49" s="1"/>
  <c r="AI12" i="49" s="1"/>
  <c r="AJ12" i="49" s="1"/>
  <c r="AK12" i="49" s="1"/>
  <c r="AL12" i="49" s="1"/>
  <c r="AM12" i="49" s="1"/>
  <c r="AN12" i="49" s="1"/>
  <c r="AO12" i="49" s="1"/>
  <c r="AP12" i="49" s="1"/>
  <c r="AE222" i="49"/>
  <c r="AF222" i="49" s="1"/>
  <c r="AG222" i="49" s="1"/>
  <c r="AH222" i="49" s="1"/>
  <c r="AI222" i="49" s="1"/>
  <c r="AJ222" i="49" s="1"/>
  <c r="AK222" i="49" s="1"/>
  <c r="AL222" i="49" s="1"/>
  <c r="AM222" i="49" s="1"/>
  <c r="AN222" i="49" s="1"/>
  <c r="AO222" i="49" s="1"/>
  <c r="AP222" i="49" s="1"/>
  <c r="K569" i="49"/>
  <c r="AE198" i="31"/>
  <c r="AF198" i="31" s="1"/>
  <c r="AG198" i="31" s="1"/>
  <c r="AH198" i="31" s="1"/>
  <c r="AI198" i="31" s="1"/>
  <c r="AJ198" i="31" s="1"/>
  <c r="AK198" i="31" s="1"/>
  <c r="AL198" i="31" s="1"/>
  <c r="AM198" i="31" s="1"/>
  <c r="AN198" i="31" s="1"/>
  <c r="AO198" i="31" s="1"/>
  <c r="AP198" i="31" s="1"/>
  <c r="L382" i="49"/>
  <c r="CB61" i="5" s="1"/>
  <c r="O340" i="31"/>
  <c r="DT53" i="5" s="1"/>
  <c r="AE500" i="49"/>
  <c r="AC109" i="31"/>
  <c r="J9" i="31"/>
  <c r="K442" i="49"/>
  <c r="BN26" i="62" s="1"/>
  <c r="T356" i="31"/>
  <c r="U293" i="49"/>
  <c r="I158" i="49"/>
  <c r="Q584" i="31"/>
  <c r="G168" i="49"/>
  <c r="AE169" i="49"/>
  <c r="Z238" i="49"/>
  <c r="AE185" i="31"/>
  <c r="AF185" i="31" s="1"/>
  <c r="AG185" i="31" s="1"/>
  <c r="AH185" i="31" s="1"/>
  <c r="AI185" i="31" s="1"/>
  <c r="AJ185" i="31" s="1"/>
  <c r="AK185" i="31" s="1"/>
  <c r="AL185" i="31" s="1"/>
  <c r="AM185" i="31" s="1"/>
  <c r="AN185" i="31" s="1"/>
  <c r="AO185" i="31" s="1"/>
  <c r="AP185" i="31" s="1"/>
  <c r="H301" i="31"/>
  <c r="AE96" i="49"/>
  <c r="AF96" i="49" s="1"/>
  <c r="AG96" i="49" s="1"/>
  <c r="AH96" i="49" s="1"/>
  <c r="AI96" i="49" s="1"/>
  <c r="AJ96" i="49" s="1"/>
  <c r="AK96" i="49" s="1"/>
  <c r="AL96" i="49" s="1"/>
  <c r="AM96" i="49" s="1"/>
  <c r="AN96" i="49" s="1"/>
  <c r="AO96" i="49" s="1"/>
  <c r="AP96" i="49" s="1"/>
  <c r="AE242" i="31"/>
  <c r="AF242" i="31" s="1"/>
  <c r="AG242" i="31" s="1"/>
  <c r="AH242" i="31" s="1"/>
  <c r="AI242" i="31" s="1"/>
  <c r="AJ242" i="31" s="1"/>
  <c r="AK242" i="31" s="1"/>
  <c r="AL242" i="31" s="1"/>
  <c r="AM242" i="31" s="1"/>
  <c r="AN242" i="31" s="1"/>
  <c r="AO242" i="31" s="1"/>
  <c r="AP242" i="31" s="1"/>
  <c r="R347" i="31"/>
  <c r="FJ54" i="5" s="1"/>
  <c r="R144" i="31"/>
  <c r="FJ27" i="5" s="1"/>
  <c r="FK27" i="5" s="1"/>
  <c r="P71" i="31"/>
  <c r="EH18" i="5" s="1"/>
  <c r="EI18" i="5" s="1"/>
  <c r="AE419" i="31"/>
  <c r="AF419" i="31" s="1"/>
  <c r="AE241" i="49"/>
  <c r="T553" i="49"/>
  <c r="R238" i="49"/>
  <c r="FH39" i="5" s="1"/>
  <c r="I557" i="49"/>
  <c r="AE578" i="31"/>
  <c r="AF578" i="31" s="1"/>
  <c r="AG578" i="31" s="1"/>
  <c r="AH578" i="31" s="1"/>
  <c r="AI578" i="31" s="1"/>
  <c r="AJ578" i="31" s="1"/>
  <c r="AK578" i="31" s="1"/>
  <c r="AL578" i="31" s="1"/>
  <c r="AM578" i="31" s="1"/>
  <c r="AN578" i="31" s="1"/>
  <c r="AO578" i="31" s="1"/>
  <c r="AP578" i="31" s="1"/>
  <c r="AE577" i="49"/>
  <c r="AF577" i="49" s="1"/>
  <c r="AG577" i="49" s="1"/>
  <c r="AH577" i="49" s="1"/>
  <c r="AI577" i="49" s="1"/>
  <c r="AJ577" i="49" s="1"/>
  <c r="AK577" i="49" s="1"/>
  <c r="AL577" i="49" s="1"/>
  <c r="AM577" i="49" s="1"/>
  <c r="AN577" i="49" s="1"/>
  <c r="AO577" i="49" s="1"/>
  <c r="AP577" i="49" s="1"/>
  <c r="AD168" i="49"/>
  <c r="AE91" i="31"/>
  <c r="AF91" i="31" s="1"/>
  <c r="AG91" i="31" s="1"/>
  <c r="AH91" i="31" s="1"/>
  <c r="AI91" i="31" s="1"/>
  <c r="AJ91" i="31" s="1"/>
  <c r="AK91" i="31" s="1"/>
  <c r="AL91" i="31" s="1"/>
  <c r="AM91" i="31" s="1"/>
  <c r="AN91" i="31" s="1"/>
  <c r="AO91" i="31" s="1"/>
  <c r="AP91" i="31" s="1"/>
  <c r="Z584" i="49"/>
  <c r="AE434" i="49"/>
  <c r="AF434" i="49" s="1"/>
  <c r="AG434" i="49" s="1"/>
  <c r="AH434" i="49" s="1"/>
  <c r="AI434" i="49" s="1"/>
  <c r="AJ434" i="49" s="1"/>
  <c r="AK434" i="49" s="1"/>
  <c r="AL434" i="49" s="1"/>
  <c r="AM434" i="49" s="1"/>
  <c r="AN434" i="49" s="1"/>
  <c r="AO434" i="49" s="1"/>
  <c r="AP434" i="49" s="1"/>
  <c r="AE365" i="31"/>
  <c r="AF365" i="31" s="1"/>
  <c r="AG365" i="31" s="1"/>
  <c r="AH365" i="31" s="1"/>
  <c r="AI365" i="31" s="1"/>
  <c r="AJ365" i="31" s="1"/>
  <c r="AK365" i="31" s="1"/>
  <c r="AL365" i="31" s="1"/>
  <c r="AM365" i="31" s="1"/>
  <c r="AN365" i="31" s="1"/>
  <c r="AO365" i="31" s="1"/>
  <c r="AP365" i="31" s="1"/>
  <c r="M614" i="31"/>
  <c r="W542" i="31"/>
  <c r="V469" i="49"/>
  <c r="Y219" i="49"/>
  <c r="W178" i="49"/>
  <c r="T487" i="49"/>
  <c r="O614" i="49"/>
  <c r="AE364" i="49"/>
  <c r="AF364" i="49" s="1"/>
  <c r="AG364" i="49" s="1"/>
  <c r="AH364" i="49" s="1"/>
  <c r="AI364" i="49" s="1"/>
  <c r="AJ364" i="49" s="1"/>
  <c r="AK364" i="49" s="1"/>
  <c r="AL364" i="49" s="1"/>
  <c r="AM364" i="49" s="1"/>
  <c r="AN364" i="49" s="1"/>
  <c r="AO364" i="49" s="1"/>
  <c r="AP364" i="49" s="1"/>
  <c r="AE345" i="49"/>
  <c r="AF345" i="49" s="1"/>
  <c r="AG345" i="49" s="1"/>
  <c r="AH345" i="49" s="1"/>
  <c r="AI345" i="49" s="1"/>
  <c r="AJ345" i="49" s="1"/>
  <c r="AK345" i="49" s="1"/>
  <c r="AL345" i="49" s="1"/>
  <c r="AM345" i="49" s="1"/>
  <c r="AN345" i="49" s="1"/>
  <c r="AO345" i="49" s="1"/>
  <c r="AP345" i="49" s="1"/>
  <c r="AE164" i="31"/>
  <c r="AF164" i="31" s="1"/>
  <c r="AG164" i="31" s="1"/>
  <c r="AH164" i="31" s="1"/>
  <c r="AI164" i="31" s="1"/>
  <c r="AJ164" i="31" s="1"/>
  <c r="AK164" i="31" s="1"/>
  <c r="AL164" i="31" s="1"/>
  <c r="AM164" i="31" s="1"/>
  <c r="AN164" i="31" s="1"/>
  <c r="AO164" i="31" s="1"/>
  <c r="AP164" i="31" s="1"/>
  <c r="AE152" i="31"/>
  <c r="J469" i="49"/>
  <c r="AZ28" i="62" s="1"/>
  <c r="M306" i="49"/>
  <c r="CP46" i="5" s="1"/>
  <c r="K98" i="31"/>
  <c r="BP21" i="5" s="1"/>
  <c r="BQ21" i="5" s="1"/>
  <c r="AE74" i="49"/>
  <c r="AF74" i="49" s="1"/>
  <c r="AG74" i="49" s="1"/>
  <c r="AH74" i="49" s="1"/>
  <c r="AI74" i="49" s="1"/>
  <c r="AJ74" i="49" s="1"/>
  <c r="AK74" i="49" s="1"/>
  <c r="AL74" i="49" s="1"/>
  <c r="AM74" i="49" s="1"/>
  <c r="AN74" i="49" s="1"/>
  <c r="AO74" i="49" s="1"/>
  <c r="AP74" i="49" s="1"/>
  <c r="M168" i="49"/>
  <c r="CP32" i="5" s="1"/>
  <c r="L565" i="31"/>
  <c r="L476" i="31"/>
  <c r="CD30" i="62" s="1"/>
  <c r="CE30" i="62" s="1"/>
  <c r="P561" i="31"/>
  <c r="AE299" i="49"/>
  <c r="AF299" i="49" s="1"/>
  <c r="AG299" i="49" s="1"/>
  <c r="AH299" i="49" s="1"/>
  <c r="AI299" i="49" s="1"/>
  <c r="AJ299" i="49" s="1"/>
  <c r="AK299" i="49" s="1"/>
  <c r="AL299" i="49" s="1"/>
  <c r="AM299" i="49" s="1"/>
  <c r="AN299" i="49" s="1"/>
  <c r="AO299" i="49" s="1"/>
  <c r="AP299" i="49" s="1"/>
  <c r="I26" i="49"/>
  <c r="AL13" i="5" s="1"/>
  <c r="AL15" i="5" s="1"/>
  <c r="S476" i="49"/>
  <c r="AE264" i="49"/>
  <c r="AF264" i="49" s="1"/>
  <c r="AG264" i="49" s="1"/>
  <c r="AH264" i="49" s="1"/>
  <c r="AI264" i="49" s="1"/>
  <c r="AJ264" i="49" s="1"/>
  <c r="AK264" i="49" s="1"/>
  <c r="AL264" i="49" s="1"/>
  <c r="AM264" i="49" s="1"/>
  <c r="AN264" i="49" s="1"/>
  <c r="AO264" i="49" s="1"/>
  <c r="AP264" i="49" s="1"/>
  <c r="AE447" i="31"/>
  <c r="AF447" i="31" s="1"/>
  <c r="AG447" i="31" s="1"/>
  <c r="AH447" i="31" s="1"/>
  <c r="AI447" i="31" s="1"/>
  <c r="AJ447" i="31" s="1"/>
  <c r="AK447" i="31" s="1"/>
  <c r="AL447" i="31" s="1"/>
  <c r="AM447" i="31" s="1"/>
  <c r="AN447" i="31" s="1"/>
  <c r="AO447" i="31" s="1"/>
  <c r="AP447" i="31" s="1"/>
  <c r="P321" i="49"/>
  <c r="EF50" i="5" s="1"/>
  <c r="Y208" i="31"/>
  <c r="AE471" i="31"/>
  <c r="AF471" i="31" s="1"/>
  <c r="AG471" i="31" s="1"/>
  <c r="AH471" i="31" s="1"/>
  <c r="AI471" i="31" s="1"/>
  <c r="AJ471" i="31" s="1"/>
  <c r="AK471" i="31" s="1"/>
  <c r="AL471" i="31" s="1"/>
  <c r="AM471" i="31" s="1"/>
  <c r="AN471" i="31" s="1"/>
  <c r="AO471" i="31" s="1"/>
  <c r="AP471" i="31" s="1"/>
  <c r="AE248" i="31"/>
  <c r="AF248" i="31" s="1"/>
  <c r="AG248" i="31" s="1"/>
  <c r="AH248" i="31" s="1"/>
  <c r="AI248" i="31" s="1"/>
  <c r="AJ248" i="31" s="1"/>
  <c r="AK248" i="31" s="1"/>
  <c r="AL248" i="31" s="1"/>
  <c r="AM248" i="31" s="1"/>
  <c r="AN248" i="31" s="1"/>
  <c r="AO248" i="31" s="1"/>
  <c r="AP248" i="31" s="1"/>
  <c r="AE77" i="49"/>
  <c r="AF77" i="49" s="1"/>
  <c r="AG77" i="49" s="1"/>
  <c r="AH77" i="49" s="1"/>
  <c r="AI77" i="49" s="1"/>
  <c r="AJ77" i="49" s="1"/>
  <c r="AK77" i="49" s="1"/>
  <c r="AL77" i="49" s="1"/>
  <c r="AM77" i="49" s="1"/>
  <c r="AN77" i="49" s="1"/>
  <c r="AO77" i="49" s="1"/>
  <c r="AP77" i="49" s="1"/>
  <c r="U219" i="49"/>
  <c r="AG242" i="49"/>
  <c r="AH242" i="49" s="1"/>
  <c r="AI242" i="49" s="1"/>
  <c r="AJ242" i="49" s="1"/>
  <c r="AK242" i="49" s="1"/>
  <c r="AL242" i="49" s="1"/>
  <c r="AM242" i="49" s="1"/>
  <c r="AN242" i="49" s="1"/>
  <c r="AO242" i="49" s="1"/>
  <c r="AP242" i="49" s="1"/>
  <c r="AA158" i="49"/>
  <c r="O584" i="31"/>
  <c r="AE484" i="31"/>
  <c r="AF484" i="31" s="1"/>
  <c r="AG484" i="31" s="1"/>
  <c r="AH484" i="31" s="1"/>
  <c r="AI484" i="31" s="1"/>
  <c r="AJ484" i="31" s="1"/>
  <c r="AK484" i="31" s="1"/>
  <c r="AL484" i="31" s="1"/>
  <c r="AM484" i="31" s="1"/>
  <c r="AN484" i="31" s="1"/>
  <c r="AO484" i="31" s="1"/>
  <c r="AP484" i="31" s="1"/>
  <c r="V476" i="31"/>
  <c r="AD9" i="49"/>
  <c r="I469" i="31"/>
  <c r="AE59" i="31"/>
  <c r="AF59" i="31" s="1"/>
  <c r="AG59" i="31" s="1"/>
  <c r="AH59" i="31" s="1"/>
  <c r="AI59" i="31" s="1"/>
  <c r="AJ59" i="31" s="1"/>
  <c r="AK59" i="31" s="1"/>
  <c r="AL59" i="31" s="1"/>
  <c r="AM59" i="31" s="1"/>
  <c r="AN59" i="31" s="1"/>
  <c r="AO59" i="31" s="1"/>
  <c r="AP59" i="31" s="1"/>
  <c r="S565" i="31"/>
  <c r="I35" i="49"/>
  <c r="U333" i="49"/>
  <c r="U377" i="49"/>
  <c r="AE133" i="49"/>
  <c r="AF133" i="49" s="1"/>
  <c r="AG133" i="49" s="1"/>
  <c r="AH133" i="49" s="1"/>
  <c r="AI133" i="49" s="1"/>
  <c r="AJ133" i="49" s="1"/>
  <c r="AK133" i="49" s="1"/>
  <c r="AL133" i="49" s="1"/>
  <c r="AM133" i="49" s="1"/>
  <c r="AN133" i="49" s="1"/>
  <c r="AO133" i="49" s="1"/>
  <c r="AP133" i="49" s="1"/>
  <c r="S286" i="49"/>
  <c r="R442" i="49"/>
  <c r="FH26" i="62" s="1"/>
  <c r="P553" i="49"/>
  <c r="AE549" i="31"/>
  <c r="AF549" i="31" s="1"/>
  <c r="AG549" i="31" s="1"/>
  <c r="AH549" i="31" s="1"/>
  <c r="AI549" i="31" s="1"/>
  <c r="AJ549" i="31" s="1"/>
  <c r="AK549" i="31" s="1"/>
  <c r="AL549" i="31" s="1"/>
  <c r="AM549" i="31" s="1"/>
  <c r="AN549" i="31" s="1"/>
  <c r="AO549" i="31" s="1"/>
  <c r="AP549" i="31" s="1"/>
  <c r="AE263" i="31"/>
  <c r="AF263" i="31" s="1"/>
  <c r="AG263" i="31" s="1"/>
  <c r="AH263" i="31" s="1"/>
  <c r="AI263" i="31" s="1"/>
  <c r="AJ263" i="31" s="1"/>
  <c r="AK263" i="31" s="1"/>
  <c r="AL263" i="31" s="1"/>
  <c r="AM263" i="31" s="1"/>
  <c r="AN263" i="31" s="1"/>
  <c r="AO263" i="31" s="1"/>
  <c r="AP263" i="31" s="1"/>
  <c r="AE73" i="31"/>
  <c r="AE172" i="49"/>
  <c r="AE93" i="31"/>
  <c r="AF93" i="31" s="1"/>
  <c r="AG93" i="31" s="1"/>
  <c r="AH93" i="31" s="1"/>
  <c r="AI93" i="31" s="1"/>
  <c r="AJ93" i="31" s="1"/>
  <c r="AK93" i="31" s="1"/>
  <c r="AL93" i="31" s="1"/>
  <c r="AM93" i="31" s="1"/>
  <c r="AN93" i="31" s="1"/>
  <c r="AO93" i="31" s="1"/>
  <c r="AP93" i="31" s="1"/>
  <c r="AE240" i="31"/>
  <c r="AF240" i="31" s="1"/>
  <c r="AG240" i="31" s="1"/>
  <c r="AH240" i="31" s="1"/>
  <c r="AI240" i="31" s="1"/>
  <c r="AJ240" i="31" s="1"/>
  <c r="AK240" i="31" s="1"/>
  <c r="AL240" i="31" s="1"/>
  <c r="AM240" i="31" s="1"/>
  <c r="AN240" i="31" s="1"/>
  <c r="AO240" i="31" s="1"/>
  <c r="AP240" i="31" s="1"/>
  <c r="K393" i="49"/>
  <c r="BN19" i="62" s="1"/>
  <c r="AE57" i="31"/>
  <c r="AF57" i="31" s="1"/>
  <c r="AG57" i="31" s="1"/>
  <c r="AH57" i="31" s="1"/>
  <c r="AI57" i="31" s="1"/>
  <c r="AJ57" i="31" s="1"/>
  <c r="AK57" i="31" s="1"/>
  <c r="AL57" i="31" s="1"/>
  <c r="AM57" i="31" s="1"/>
  <c r="AN57" i="31" s="1"/>
  <c r="AO57" i="31" s="1"/>
  <c r="AP57" i="31" s="1"/>
  <c r="AE118" i="49"/>
  <c r="Y614" i="49"/>
  <c r="G35" i="49"/>
  <c r="AE36" i="49"/>
  <c r="L356" i="49"/>
  <c r="N35" i="49"/>
  <c r="DD14" i="5" s="1"/>
  <c r="AA356" i="49"/>
  <c r="AD238" i="49"/>
  <c r="AE176" i="49"/>
  <c r="AF176" i="49" s="1"/>
  <c r="AG176" i="49" s="1"/>
  <c r="AH176" i="49" s="1"/>
  <c r="AI176" i="49" s="1"/>
  <c r="AJ176" i="49" s="1"/>
  <c r="AK176" i="49" s="1"/>
  <c r="AL176" i="49" s="1"/>
  <c r="AM176" i="49" s="1"/>
  <c r="AN176" i="49" s="1"/>
  <c r="AO176" i="49" s="1"/>
  <c r="AP176" i="49" s="1"/>
  <c r="AE55" i="49"/>
  <c r="AF55" i="49" s="1"/>
  <c r="AG55" i="49" s="1"/>
  <c r="AH55" i="49" s="1"/>
  <c r="AI55" i="49" s="1"/>
  <c r="AJ55" i="49" s="1"/>
  <c r="AK55" i="49" s="1"/>
  <c r="AL55" i="49" s="1"/>
  <c r="AM55" i="49" s="1"/>
  <c r="AN55" i="49" s="1"/>
  <c r="AO55" i="49" s="1"/>
  <c r="AP55" i="49" s="1"/>
  <c r="L340" i="49"/>
  <c r="CB53" i="5" s="1"/>
  <c r="CB44" i="62" s="1"/>
  <c r="X328" i="49"/>
  <c r="AE486" i="49"/>
  <c r="AF486" i="49" s="1"/>
  <c r="AG486" i="49" s="1"/>
  <c r="AH486" i="49" s="1"/>
  <c r="AI486" i="49" s="1"/>
  <c r="AJ486" i="49" s="1"/>
  <c r="AK486" i="49" s="1"/>
  <c r="AL486" i="49" s="1"/>
  <c r="AM486" i="49" s="1"/>
  <c r="AN486" i="49" s="1"/>
  <c r="AO486" i="49" s="1"/>
  <c r="AP486" i="49" s="1"/>
  <c r="O469" i="49"/>
  <c r="DR28" i="62" s="1"/>
  <c r="Y127" i="49"/>
  <c r="N569" i="49"/>
  <c r="X144" i="31"/>
  <c r="K158" i="31"/>
  <c r="W542" i="49"/>
  <c r="M565" i="49"/>
  <c r="L561" i="49"/>
  <c r="AE239" i="49"/>
  <c r="G238" i="49"/>
  <c r="G416" i="49"/>
  <c r="AE421" i="49"/>
  <c r="Y238" i="49"/>
  <c r="Q208" i="49"/>
  <c r="ET36" i="5" s="1"/>
  <c r="W487" i="49"/>
  <c r="N315" i="31"/>
  <c r="AE483" i="31"/>
  <c r="G482" i="31"/>
  <c r="Z136" i="31"/>
  <c r="N321" i="31"/>
  <c r="DF50" i="5" s="1"/>
  <c r="DG50" i="5" s="1"/>
  <c r="AE323" i="31"/>
  <c r="AF323" i="31" s="1"/>
  <c r="AG323" i="31" s="1"/>
  <c r="AH323" i="31" s="1"/>
  <c r="AI323" i="31" s="1"/>
  <c r="AJ323" i="31" s="1"/>
  <c r="AK323" i="31" s="1"/>
  <c r="AL323" i="31" s="1"/>
  <c r="AM323" i="31" s="1"/>
  <c r="AN323" i="31" s="1"/>
  <c r="AO323" i="31" s="1"/>
  <c r="AP323" i="31" s="1"/>
  <c r="AD600" i="49"/>
  <c r="AE258" i="49"/>
  <c r="AF258" i="49" s="1"/>
  <c r="AG258" i="49" s="1"/>
  <c r="AH258" i="49" s="1"/>
  <c r="AI258" i="49" s="1"/>
  <c r="AJ258" i="49" s="1"/>
  <c r="AK258" i="49" s="1"/>
  <c r="AL258" i="49" s="1"/>
  <c r="AM258" i="49" s="1"/>
  <c r="AN258" i="49" s="1"/>
  <c r="AO258" i="49" s="1"/>
  <c r="AP258" i="49" s="1"/>
  <c r="AB328" i="49"/>
  <c r="T542" i="49"/>
  <c r="AD600" i="31"/>
  <c r="L557" i="31"/>
  <c r="O188" i="31"/>
  <c r="DT35" i="5" s="1"/>
  <c r="Z377" i="31"/>
  <c r="X26" i="31"/>
  <c r="AC306" i="49"/>
  <c r="AG419" i="31"/>
  <c r="AH419" i="31" s="1"/>
  <c r="AI419" i="31" s="1"/>
  <c r="AJ419" i="31" s="1"/>
  <c r="AK419" i="31" s="1"/>
  <c r="AL419" i="31" s="1"/>
  <c r="AM419" i="31" s="1"/>
  <c r="AN419" i="31" s="1"/>
  <c r="AO419" i="31" s="1"/>
  <c r="AP419" i="31" s="1"/>
  <c r="AE595" i="49"/>
  <c r="AF595" i="49" s="1"/>
  <c r="AG595" i="49" s="1"/>
  <c r="AH595" i="49" s="1"/>
  <c r="AI595" i="49" s="1"/>
  <c r="AJ595" i="49" s="1"/>
  <c r="AK595" i="49" s="1"/>
  <c r="AL595" i="49" s="1"/>
  <c r="AM595" i="49" s="1"/>
  <c r="AN595" i="49" s="1"/>
  <c r="AO595" i="49" s="1"/>
  <c r="AP595" i="49" s="1"/>
  <c r="W377" i="49"/>
  <c r="P600" i="31"/>
  <c r="AA286" i="49"/>
  <c r="L328" i="49"/>
  <c r="O158" i="49"/>
  <c r="Q168" i="49"/>
  <c r="ET32" i="5" s="1"/>
  <c r="O71" i="31"/>
  <c r="DT18" i="5" s="1"/>
  <c r="DU18" i="5" s="1"/>
  <c r="W89" i="49"/>
  <c r="AE125" i="49"/>
  <c r="AF125" i="49" s="1"/>
  <c r="AG125" i="49" s="1"/>
  <c r="AH125" i="49" s="1"/>
  <c r="AI125" i="49" s="1"/>
  <c r="AJ125" i="49" s="1"/>
  <c r="AK125" i="49" s="1"/>
  <c r="AL125" i="49" s="1"/>
  <c r="AM125" i="49" s="1"/>
  <c r="AN125" i="49" s="1"/>
  <c r="AO125" i="49" s="1"/>
  <c r="AP125" i="49" s="1"/>
  <c r="H557" i="49"/>
  <c r="N208" i="49"/>
  <c r="DD36" i="5" s="1"/>
  <c r="J328" i="49"/>
  <c r="AZ51" i="5" s="1"/>
  <c r="AZ43" i="62" s="1"/>
  <c r="AE272" i="49"/>
  <c r="AF272" i="49" s="1"/>
  <c r="AG272" i="49" s="1"/>
  <c r="AH272" i="49" s="1"/>
  <c r="AI272" i="49" s="1"/>
  <c r="AJ272" i="49" s="1"/>
  <c r="AK272" i="49" s="1"/>
  <c r="AL272" i="49" s="1"/>
  <c r="AM272" i="49" s="1"/>
  <c r="AN272" i="49" s="1"/>
  <c r="AO272" i="49" s="1"/>
  <c r="AP272" i="49" s="1"/>
  <c r="J89" i="49"/>
  <c r="AZ20" i="5" s="1"/>
  <c r="AE431" i="49"/>
  <c r="AF431" i="49" s="1"/>
  <c r="AG431" i="49" s="1"/>
  <c r="AH431" i="49" s="1"/>
  <c r="AI431" i="49" s="1"/>
  <c r="AJ431" i="49" s="1"/>
  <c r="AK431" i="49" s="1"/>
  <c r="AL431" i="49" s="1"/>
  <c r="AM431" i="49" s="1"/>
  <c r="AN431" i="49" s="1"/>
  <c r="AO431" i="49" s="1"/>
  <c r="AP431" i="49" s="1"/>
  <c r="L219" i="31"/>
  <c r="AC328" i="31"/>
  <c r="J158" i="31"/>
  <c r="AD153" i="49"/>
  <c r="X609" i="31"/>
  <c r="AE549" i="49"/>
  <c r="AF549" i="49" s="1"/>
  <c r="AG549" i="49" s="1"/>
  <c r="AH549" i="49" s="1"/>
  <c r="AI549" i="49" s="1"/>
  <c r="S561" i="49"/>
  <c r="W208" i="31"/>
  <c r="AD267" i="49"/>
  <c r="AE180" i="49"/>
  <c r="AF180" i="49" s="1"/>
  <c r="K9" i="31"/>
  <c r="T416" i="31"/>
  <c r="L557" i="49"/>
  <c r="AE13" i="31"/>
  <c r="AF13" i="31" s="1"/>
  <c r="AG13" i="31" s="1"/>
  <c r="AH13" i="31" s="1"/>
  <c r="AI13" i="31" s="1"/>
  <c r="AJ13" i="31" s="1"/>
  <c r="AK13" i="31" s="1"/>
  <c r="AL13" i="31" s="1"/>
  <c r="AM13" i="31" s="1"/>
  <c r="AN13" i="31" s="1"/>
  <c r="AO13" i="31" s="1"/>
  <c r="AP13" i="31" s="1"/>
  <c r="H366" i="31"/>
  <c r="Z58" i="5" s="1"/>
  <c r="AA58" i="5" s="1"/>
  <c r="W301" i="49"/>
  <c r="G340" i="31"/>
  <c r="AE341" i="31"/>
  <c r="AE252" i="31"/>
  <c r="AF252" i="31" s="1"/>
  <c r="AG252" i="31" s="1"/>
  <c r="AH252" i="31" s="1"/>
  <c r="AI252" i="31" s="1"/>
  <c r="AJ252" i="31" s="1"/>
  <c r="AK252" i="31" s="1"/>
  <c r="AL252" i="31" s="1"/>
  <c r="AM252" i="31" s="1"/>
  <c r="AN252" i="31" s="1"/>
  <c r="AO252" i="31" s="1"/>
  <c r="AP252" i="31" s="1"/>
  <c r="AE70" i="31"/>
  <c r="AE111" i="31"/>
  <c r="AF111" i="31" s="1"/>
  <c r="AG111" i="31" s="1"/>
  <c r="AH111" i="31" s="1"/>
  <c r="AI111" i="31" s="1"/>
  <c r="AJ111" i="31" s="1"/>
  <c r="AK111" i="31" s="1"/>
  <c r="AL111" i="31" s="1"/>
  <c r="AM111" i="31" s="1"/>
  <c r="AN111" i="31" s="1"/>
  <c r="AO111" i="31" s="1"/>
  <c r="AP111" i="31" s="1"/>
  <c r="O47" i="31"/>
  <c r="DT16" i="5" s="1"/>
  <c r="DU16" i="5" s="1"/>
  <c r="AE183" i="31"/>
  <c r="AF183" i="31" s="1"/>
  <c r="AG183" i="31" s="1"/>
  <c r="AH183" i="31" s="1"/>
  <c r="AI183" i="31" s="1"/>
  <c r="AJ183" i="31" s="1"/>
  <c r="AK183" i="31" s="1"/>
  <c r="AL183" i="31" s="1"/>
  <c r="AM183" i="31" s="1"/>
  <c r="AN183" i="31" s="1"/>
  <c r="AO183" i="31" s="1"/>
  <c r="AP183" i="31" s="1"/>
  <c r="AE231" i="49"/>
  <c r="X476" i="49"/>
  <c r="Q315" i="31"/>
  <c r="T604" i="31"/>
  <c r="AE370" i="49"/>
  <c r="AF370" i="49" s="1"/>
  <c r="AG370" i="49" s="1"/>
  <c r="AH370" i="49" s="1"/>
  <c r="AI370" i="49" s="1"/>
  <c r="AJ370" i="49" s="1"/>
  <c r="AK370" i="49" s="1"/>
  <c r="AL370" i="49" s="1"/>
  <c r="AM370" i="49" s="1"/>
  <c r="AN370" i="49" s="1"/>
  <c r="AO370" i="49" s="1"/>
  <c r="AP370" i="49" s="1"/>
  <c r="AE40" i="49"/>
  <c r="AE425" i="49"/>
  <c r="AF425" i="49" s="1"/>
  <c r="AG425" i="49" s="1"/>
  <c r="AH425" i="49" s="1"/>
  <c r="AI425" i="49" s="1"/>
  <c r="AJ425" i="49" s="1"/>
  <c r="AK425" i="49" s="1"/>
  <c r="AL425" i="49" s="1"/>
  <c r="AM425" i="49" s="1"/>
  <c r="AN425" i="49" s="1"/>
  <c r="AO425" i="49" s="1"/>
  <c r="AP425" i="49" s="1"/>
  <c r="X267" i="31"/>
  <c r="AE142" i="49"/>
  <c r="AE606" i="49"/>
  <c r="AF606" i="49" s="1"/>
  <c r="AG606" i="49" s="1"/>
  <c r="AH606" i="49" s="1"/>
  <c r="AI606" i="49" s="1"/>
  <c r="AJ606" i="49" s="1"/>
  <c r="AK606" i="49" s="1"/>
  <c r="AL606" i="49" s="1"/>
  <c r="AM606" i="49" s="1"/>
  <c r="AN606" i="49" s="1"/>
  <c r="AO606" i="49" s="1"/>
  <c r="AP606" i="49" s="1"/>
  <c r="G328" i="49"/>
  <c r="AE329" i="49"/>
  <c r="V26" i="49"/>
  <c r="H136" i="49"/>
  <c r="X26" i="5" s="1"/>
  <c r="AD565" i="49"/>
  <c r="O144" i="49"/>
  <c r="DR27" i="5" s="1"/>
  <c r="K459" i="49"/>
  <c r="BN27" i="62" s="1"/>
  <c r="X219" i="49"/>
  <c r="AE336" i="49"/>
  <c r="AE73" i="49"/>
  <c r="AF73" i="49" s="1"/>
  <c r="AG73" i="49" s="1"/>
  <c r="AH73" i="49" s="1"/>
  <c r="AI73" i="49" s="1"/>
  <c r="AJ73" i="49" s="1"/>
  <c r="AK73" i="49" s="1"/>
  <c r="AL73" i="49" s="1"/>
  <c r="AM73" i="49" s="1"/>
  <c r="AN73" i="49" s="1"/>
  <c r="AO73" i="49" s="1"/>
  <c r="AP73" i="49" s="1"/>
  <c r="G228" i="31"/>
  <c r="AE229" i="31"/>
  <c r="AE45" i="31"/>
  <c r="AF45" i="31" s="1"/>
  <c r="AG45" i="31" s="1"/>
  <c r="AH45" i="31" s="1"/>
  <c r="AI45" i="31" s="1"/>
  <c r="AJ45" i="31" s="1"/>
  <c r="AK45" i="31" s="1"/>
  <c r="AL45" i="31" s="1"/>
  <c r="AM45" i="31" s="1"/>
  <c r="AN45" i="31" s="1"/>
  <c r="AO45" i="31" s="1"/>
  <c r="AP45" i="31" s="1"/>
  <c r="AE126" i="49"/>
  <c r="AB328" i="31"/>
  <c r="AE111" i="49"/>
  <c r="AF111" i="49" s="1"/>
  <c r="AG111" i="49" s="1"/>
  <c r="AH111" i="49" s="1"/>
  <c r="AI111" i="49" s="1"/>
  <c r="AJ111" i="49" s="1"/>
  <c r="AK111" i="49" s="1"/>
  <c r="AL111" i="49" s="1"/>
  <c r="AM111" i="49" s="1"/>
  <c r="AN111" i="49" s="1"/>
  <c r="AO111" i="49" s="1"/>
  <c r="AP111" i="49" s="1"/>
  <c r="AE215" i="49"/>
  <c r="L393" i="49"/>
  <c r="CB19" i="62" s="1"/>
  <c r="AE492" i="31"/>
  <c r="AF492" i="31" s="1"/>
  <c r="AG492" i="31" s="1"/>
  <c r="AH492" i="31" s="1"/>
  <c r="AI492" i="31" s="1"/>
  <c r="AJ492" i="31" s="1"/>
  <c r="AK492" i="31" s="1"/>
  <c r="AL492" i="31" s="1"/>
  <c r="AM492" i="31" s="1"/>
  <c r="AN492" i="31" s="1"/>
  <c r="AO492" i="31" s="1"/>
  <c r="AP492" i="31" s="1"/>
  <c r="I476" i="49"/>
  <c r="AL30" i="62" s="1"/>
  <c r="H238" i="31"/>
  <c r="Z39" i="5" s="1"/>
  <c r="K256" i="49"/>
  <c r="BN40" i="5" s="1"/>
  <c r="G393" i="49"/>
  <c r="AE394" i="49"/>
  <c r="AE598" i="31"/>
  <c r="AF598" i="31" s="1"/>
  <c r="AG598" i="31" s="1"/>
  <c r="AH598" i="31" s="1"/>
  <c r="AI598" i="31" s="1"/>
  <c r="AJ598" i="31" s="1"/>
  <c r="AK598" i="31" s="1"/>
  <c r="AL598" i="31" s="1"/>
  <c r="AM598" i="31" s="1"/>
  <c r="AN598" i="31" s="1"/>
  <c r="AO598" i="31" s="1"/>
  <c r="AP598" i="31" s="1"/>
  <c r="AE404" i="31"/>
  <c r="AF404" i="31" s="1"/>
  <c r="AG404" i="31" s="1"/>
  <c r="AH404" i="31" s="1"/>
  <c r="AI404" i="31" s="1"/>
  <c r="AJ404" i="31" s="1"/>
  <c r="AK404" i="31" s="1"/>
  <c r="AL404" i="31" s="1"/>
  <c r="AM404" i="31" s="1"/>
  <c r="AN404" i="31" s="1"/>
  <c r="AO404" i="31" s="1"/>
  <c r="AP404" i="31" s="1"/>
  <c r="AA62" i="31"/>
  <c r="W328" i="49"/>
  <c r="J109" i="49"/>
  <c r="J35" i="49"/>
  <c r="AZ14" i="5" s="1"/>
  <c r="R127" i="31"/>
  <c r="FJ25" i="5" s="1"/>
  <c r="FK25" i="5" s="1"/>
  <c r="AE22" i="49"/>
  <c r="AF22" i="49" s="1"/>
  <c r="AG22" i="49" s="1"/>
  <c r="AH22" i="49" s="1"/>
  <c r="AI22" i="49" s="1"/>
  <c r="AJ22" i="49" s="1"/>
  <c r="AK22" i="49" s="1"/>
  <c r="AL22" i="49" s="1"/>
  <c r="AM22" i="49" s="1"/>
  <c r="AN22" i="49" s="1"/>
  <c r="AO22" i="49" s="1"/>
  <c r="AP22" i="49" s="1"/>
  <c r="AE237" i="49"/>
  <c r="AF237" i="49" s="1"/>
  <c r="AE455" i="49"/>
  <c r="J267" i="49"/>
  <c r="AZ41" i="5" s="1"/>
  <c r="AE386" i="49"/>
  <c r="AF386" i="49" s="1"/>
  <c r="AG386" i="49" s="1"/>
  <c r="AH386" i="49" s="1"/>
  <c r="AI386" i="49" s="1"/>
  <c r="AJ386" i="49" s="1"/>
  <c r="AK386" i="49" s="1"/>
  <c r="AL386" i="49" s="1"/>
  <c r="AM386" i="49" s="1"/>
  <c r="AN386" i="49" s="1"/>
  <c r="AO386" i="49" s="1"/>
  <c r="AP386" i="49" s="1"/>
  <c r="G315" i="49"/>
  <c r="AE316" i="49"/>
  <c r="Z377" i="49"/>
  <c r="T542" i="31"/>
  <c r="AC286" i="31"/>
  <c r="AC35" i="49"/>
  <c r="S89" i="49"/>
  <c r="Y459" i="31"/>
  <c r="W178" i="31"/>
  <c r="AE224" i="31"/>
  <c r="K542" i="49"/>
  <c r="M208" i="49"/>
  <c r="CP36" i="5" s="1"/>
  <c r="I219" i="31"/>
  <c r="L293" i="49"/>
  <c r="H565" i="31"/>
  <c r="H482" i="31"/>
  <c r="Z32" i="62" s="1"/>
  <c r="AA32" i="62" s="1"/>
  <c r="V604" i="31"/>
  <c r="AE265" i="49"/>
  <c r="AF265" i="49" s="1"/>
  <c r="AG265" i="49" s="1"/>
  <c r="AH265" i="49" s="1"/>
  <c r="AI265" i="49" s="1"/>
  <c r="AJ265" i="49" s="1"/>
  <c r="AK265" i="49" s="1"/>
  <c r="AL265" i="49" s="1"/>
  <c r="AM265" i="49" s="1"/>
  <c r="AN265" i="49" s="1"/>
  <c r="AO265" i="49" s="1"/>
  <c r="AP265" i="49" s="1"/>
  <c r="Q153" i="31"/>
  <c r="EV28" i="5" s="1"/>
  <c r="EW28" i="5" s="1"/>
  <c r="K80" i="49"/>
  <c r="BN19" i="5" s="1"/>
  <c r="Q188" i="31"/>
  <c r="EV35" i="5" s="1"/>
  <c r="T306" i="31"/>
  <c r="AE462" i="31"/>
  <c r="AF462" i="31" s="1"/>
  <c r="AG462" i="31" s="1"/>
  <c r="AH462" i="31" s="1"/>
  <c r="AI462" i="31" s="1"/>
  <c r="AJ462" i="31" s="1"/>
  <c r="AK462" i="31" s="1"/>
  <c r="AL462" i="31" s="1"/>
  <c r="AM462" i="31" s="1"/>
  <c r="AN462" i="31" s="1"/>
  <c r="AO462" i="31" s="1"/>
  <c r="AP462" i="31" s="1"/>
  <c r="Y188" i="49"/>
  <c r="AA609" i="31"/>
  <c r="K382" i="49"/>
  <c r="BN61" i="5" s="1"/>
  <c r="K393" i="31"/>
  <c r="BP19" i="62" s="1"/>
  <c r="BQ19" i="62" s="1"/>
  <c r="AE244" i="49"/>
  <c r="AF244" i="49" s="1"/>
  <c r="AG244" i="49" s="1"/>
  <c r="AH244" i="49" s="1"/>
  <c r="AI244" i="49" s="1"/>
  <c r="AJ244" i="49" s="1"/>
  <c r="AK244" i="49" s="1"/>
  <c r="AL244" i="49" s="1"/>
  <c r="AM244" i="49" s="1"/>
  <c r="AN244" i="49" s="1"/>
  <c r="AO244" i="49" s="1"/>
  <c r="AP244" i="49" s="1"/>
  <c r="AC238" i="49"/>
  <c r="P315" i="49"/>
  <c r="P219" i="49"/>
  <c r="EF37" i="5" s="1"/>
  <c r="AE278" i="31"/>
  <c r="AF278" i="31" s="1"/>
  <c r="AG278" i="31" s="1"/>
  <c r="AH278" i="31" s="1"/>
  <c r="AI278" i="31" s="1"/>
  <c r="AJ278" i="31" s="1"/>
  <c r="AK278" i="31" s="1"/>
  <c r="AL278" i="31" s="1"/>
  <c r="AM278" i="31" s="1"/>
  <c r="AN278" i="31" s="1"/>
  <c r="AO278" i="31" s="1"/>
  <c r="AP278" i="31" s="1"/>
  <c r="Z127" i="49"/>
  <c r="W109" i="49"/>
  <c r="AD393" i="49"/>
  <c r="R459" i="49"/>
  <c r="FH27" i="62" s="1"/>
  <c r="AE90" i="49"/>
  <c r="G89" i="49"/>
  <c r="AB506" i="49"/>
  <c r="Y144" i="49"/>
  <c r="R267" i="31"/>
  <c r="FJ41" i="5" s="1"/>
  <c r="I604" i="31"/>
  <c r="G136" i="49"/>
  <c r="AE137" i="49"/>
  <c r="AF137" i="49" s="1"/>
  <c r="AE491" i="49"/>
  <c r="AF491" i="49" s="1"/>
  <c r="AG491" i="49" s="1"/>
  <c r="AH491" i="49" s="1"/>
  <c r="AI491" i="49" s="1"/>
  <c r="AJ491" i="49" s="1"/>
  <c r="AK491" i="49" s="1"/>
  <c r="AL491" i="49" s="1"/>
  <c r="AM491" i="49" s="1"/>
  <c r="AN491" i="49" s="1"/>
  <c r="AO491" i="49" s="1"/>
  <c r="AP491" i="49" s="1"/>
  <c r="Z306" i="49"/>
  <c r="T301" i="49"/>
  <c r="AB604" i="49"/>
  <c r="H80" i="49"/>
  <c r="X19" i="5" s="1"/>
  <c r="T531" i="49"/>
  <c r="G487" i="49"/>
  <c r="AE488" i="49"/>
  <c r="Z553" i="31"/>
  <c r="V614" i="31"/>
  <c r="AA614" i="31"/>
  <c r="T158" i="49"/>
  <c r="P506" i="49"/>
  <c r="EF34" i="62" s="1"/>
  <c r="AE16" i="49"/>
  <c r="AF16" i="49" s="1"/>
  <c r="AG16" i="49" s="1"/>
  <c r="AH16" i="49" s="1"/>
  <c r="AI16" i="49" s="1"/>
  <c r="AJ16" i="49" s="1"/>
  <c r="AK16" i="49" s="1"/>
  <c r="AL16" i="49" s="1"/>
  <c r="AM16" i="49" s="1"/>
  <c r="AN16" i="49" s="1"/>
  <c r="AO16" i="49" s="1"/>
  <c r="AP16" i="49" s="1"/>
  <c r="Q286" i="49"/>
  <c r="ET42" i="5" s="1"/>
  <c r="AB293" i="49"/>
  <c r="K600" i="49"/>
  <c r="AE39" i="49"/>
  <c r="N416" i="31"/>
  <c r="DF22" i="62" s="1"/>
  <c r="DG22" i="62" s="1"/>
  <c r="AE341" i="49"/>
  <c r="G340" i="49"/>
  <c r="AE119" i="31"/>
  <c r="AF119" i="31" s="1"/>
  <c r="AG119" i="31" s="1"/>
  <c r="AH119" i="31" s="1"/>
  <c r="AI119" i="31" s="1"/>
  <c r="AJ119" i="31" s="1"/>
  <c r="AK119" i="31" s="1"/>
  <c r="AL119" i="31" s="1"/>
  <c r="AM119" i="31" s="1"/>
  <c r="AN119" i="31" s="1"/>
  <c r="AO119" i="31" s="1"/>
  <c r="AP119" i="31" s="1"/>
  <c r="T109" i="49"/>
  <c r="AE217" i="31"/>
  <c r="S584" i="31"/>
  <c r="I267" i="49"/>
  <c r="P9" i="49"/>
  <c r="U127" i="31"/>
  <c r="AE566" i="49"/>
  <c r="G565" i="49"/>
  <c r="AE546" i="49"/>
  <c r="AF546" i="49" s="1"/>
  <c r="AG546" i="49" s="1"/>
  <c r="AH546" i="49" s="1"/>
  <c r="AI546" i="49" s="1"/>
  <c r="AJ546" i="49" s="1"/>
  <c r="AK546" i="49" s="1"/>
  <c r="AL546" i="49" s="1"/>
  <c r="AM546" i="49" s="1"/>
  <c r="AN546" i="49" s="1"/>
  <c r="AO546" i="49" s="1"/>
  <c r="AP546" i="49" s="1"/>
  <c r="AE310" i="49"/>
  <c r="AF310" i="49" s="1"/>
  <c r="AG310" i="49" s="1"/>
  <c r="AH310" i="49" s="1"/>
  <c r="AI310" i="49" s="1"/>
  <c r="AJ310" i="49" s="1"/>
  <c r="AK310" i="49" s="1"/>
  <c r="AL310" i="49" s="1"/>
  <c r="AM310" i="49" s="1"/>
  <c r="AN310" i="49" s="1"/>
  <c r="AO310" i="49" s="1"/>
  <c r="AP310" i="49" s="1"/>
  <c r="AE15" i="49"/>
  <c r="AF15" i="49" s="1"/>
  <c r="AG15" i="49" s="1"/>
  <c r="AH15" i="49" s="1"/>
  <c r="AI15" i="49" s="1"/>
  <c r="AJ15" i="49" s="1"/>
  <c r="AK15" i="49" s="1"/>
  <c r="AL15" i="49" s="1"/>
  <c r="AM15" i="49" s="1"/>
  <c r="AN15" i="49" s="1"/>
  <c r="AO15" i="49" s="1"/>
  <c r="AP15" i="49" s="1"/>
  <c r="AE613" i="49"/>
  <c r="AF613" i="49" s="1"/>
  <c r="AG613" i="49" s="1"/>
  <c r="AH613" i="49" s="1"/>
  <c r="AI613" i="49" s="1"/>
  <c r="AJ613" i="49" s="1"/>
  <c r="AK613" i="49" s="1"/>
  <c r="AL613" i="49" s="1"/>
  <c r="AM613" i="49" s="1"/>
  <c r="AN613" i="49" s="1"/>
  <c r="AO613" i="49" s="1"/>
  <c r="AP613" i="49" s="1"/>
  <c r="G553" i="31"/>
  <c r="AE554" i="31"/>
  <c r="AF554" i="31" s="1"/>
  <c r="AG554" i="31" s="1"/>
  <c r="AH554" i="31" s="1"/>
  <c r="AI554" i="31" s="1"/>
  <c r="Y127" i="31"/>
  <c r="S219" i="49"/>
  <c r="AE357" i="31"/>
  <c r="G356" i="31"/>
  <c r="V89" i="31"/>
  <c r="AE24" i="49"/>
  <c r="AF24" i="49" s="1"/>
  <c r="AG24" i="49" s="1"/>
  <c r="AH24" i="49" s="1"/>
  <c r="AI24" i="49" s="1"/>
  <c r="AJ24" i="49" s="1"/>
  <c r="AK24" i="49" s="1"/>
  <c r="AL24" i="49" s="1"/>
  <c r="AM24" i="49" s="1"/>
  <c r="AN24" i="49" s="1"/>
  <c r="AO24" i="49" s="1"/>
  <c r="AP24" i="49" s="1"/>
  <c r="S267" i="49"/>
  <c r="H609" i="31"/>
  <c r="AB476" i="49"/>
  <c r="O604" i="49"/>
  <c r="P238" i="49"/>
  <c r="EF39" i="5" s="1"/>
  <c r="AE215" i="31"/>
  <c r="AD136" i="49"/>
  <c r="N267" i="49"/>
  <c r="DD41" i="5" s="1"/>
  <c r="AE222" i="31"/>
  <c r="AE495" i="49"/>
  <c r="AF495" i="49" s="1"/>
  <c r="AG495" i="49" s="1"/>
  <c r="AH495" i="49" s="1"/>
  <c r="AI495" i="49" s="1"/>
  <c r="AJ495" i="49" s="1"/>
  <c r="AK495" i="49" s="1"/>
  <c r="AL495" i="49" s="1"/>
  <c r="AM495" i="49" s="1"/>
  <c r="AN495" i="49" s="1"/>
  <c r="AO495" i="49" s="1"/>
  <c r="AP495" i="49" s="1"/>
  <c r="V604" i="49"/>
  <c r="O347" i="31"/>
  <c r="DT54" i="5" s="1"/>
  <c r="DU54" i="5" s="1"/>
  <c r="X584" i="31"/>
  <c r="AE183" i="49"/>
  <c r="AF183" i="49" s="1"/>
  <c r="AG183" i="49" s="1"/>
  <c r="AH183" i="49" s="1"/>
  <c r="AI183" i="49" s="1"/>
  <c r="AJ183" i="49" s="1"/>
  <c r="AK183" i="49" s="1"/>
  <c r="AL183" i="49" s="1"/>
  <c r="AM183" i="49" s="1"/>
  <c r="AN183" i="49" s="1"/>
  <c r="AO183" i="49" s="1"/>
  <c r="AP183" i="49" s="1"/>
  <c r="M340" i="49"/>
  <c r="CP53" i="5" s="1"/>
  <c r="CP44" i="62" s="1"/>
  <c r="AB144" i="49"/>
  <c r="T47" i="49"/>
  <c r="P482" i="49"/>
  <c r="EF32" i="62" s="1"/>
  <c r="AE524" i="49"/>
  <c r="AF524" i="49" s="1"/>
  <c r="AG524" i="49" s="1"/>
  <c r="AH524" i="49" s="1"/>
  <c r="AI524" i="49" s="1"/>
  <c r="AJ524" i="49" s="1"/>
  <c r="AK524" i="49" s="1"/>
  <c r="AL524" i="49" s="1"/>
  <c r="AM524" i="49" s="1"/>
  <c r="AN524" i="49" s="1"/>
  <c r="AO524" i="49" s="1"/>
  <c r="AP524" i="49" s="1"/>
  <c r="O9" i="31"/>
  <c r="P604" i="31"/>
  <c r="M333" i="49"/>
  <c r="CP52" i="5" s="1"/>
  <c r="AE17" i="49"/>
  <c r="AF17" i="49" s="1"/>
  <c r="AG17" i="49" s="1"/>
  <c r="AH17" i="49" s="1"/>
  <c r="AI17" i="49" s="1"/>
  <c r="AJ17" i="49" s="1"/>
  <c r="AK17" i="49" s="1"/>
  <c r="AL17" i="49" s="1"/>
  <c r="AM17" i="49" s="1"/>
  <c r="AN17" i="49" s="1"/>
  <c r="AO17" i="49" s="1"/>
  <c r="AP17" i="49" s="1"/>
  <c r="G333" i="31"/>
  <c r="AE334" i="31"/>
  <c r="J286" i="49"/>
  <c r="AZ42" i="5" s="1"/>
  <c r="I168" i="31"/>
  <c r="T321" i="49"/>
  <c r="Q109" i="49"/>
  <c r="AE49" i="49"/>
  <c r="AA347" i="49"/>
  <c r="AA382" i="31"/>
  <c r="AB382" i="49"/>
  <c r="J208" i="49"/>
  <c r="AZ36" i="5" s="1"/>
  <c r="Y561" i="31"/>
  <c r="M604" i="49"/>
  <c r="W208" i="49"/>
  <c r="Q71" i="31"/>
  <c r="EV18" i="5" s="1"/>
  <c r="EW18" i="5" s="1"/>
  <c r="P301" i="49"/>
  <c r="AE20" i="49"/>
  <c r="AF20" i="49" s="1"/>
  <c r="AG20" i="49" s="1"/>
  <c r="AH20" i="49" s="1"/>
  <c r="AI20" i="49" s="1"/>
  <c r="AJ20" i="49" s="1"/>
  <c r="AK20" i="49" s="1"/>
  <c r="AL20" i="49" s="1"/>
  <c r="AM20" i="49" s="1"/>
  <c r="AN20" i="49" s="1"/>
  <c r="AO20" i="49" s="1"/>
  <c r="AP20" i="49" s="1"/>
  <c r="AC377" i="49"/>
  <c r="Q340" i="49"/>
  <c r="ET53" i="5" s="1"/>
  <c r="ET44" i="62" s="1"/>
  <c r="N333" i="49"/>
  <c r="DD52" i="5" s="1"/>
  <c r="H565" i="49"/>
  <c r="U482" i="31"/>
  <c r="AE294" i="49"/>
  <c r="G293" i="49"/>
  <c r="AC328" i="49"/>
  <c r="AD347" i="49"/>
  <c r="AB569" i="49"/>
  <c r="AE51" i="31"/>
  <c r="AF51" i="31" s="1"/>
  <c r="AG51" i="31" s="1"/>
  <c r="AH51" i="31" s="1"/>
  <c r="AI51" i="31" s="1"/>
  <c r="AJ51" i="31" s="1"/>
  <c r="AK51" i="31" s="1"/>
  <c r="AL51" i="31" s="1"/>
  <c r="AM51" i="31" s="1"/>
  <c r="AN51" i="31" s="1"/>
  <c r="AO51" i="31" s="1"/>
  <c r="AP51" i="31" s="1"/>
  <c r="T71" i="49"/>
  <c r="U600" i="49"/>
  <c r="G109" i="49"/>
  <c r="AE110" i="49"/>
  <c r="W47" i="49"/>
  <c r="M377" i="49"/>
  <c r="CP60" i="5" s="1"/>
  <c r="AE43" i="49"/>
  <c r="J476" i="49"/>
  <c r="AZ30" i="62" s="1"/>
  <c r="P315" i="31"/>
  <c r="Z347" i="49"/>
  <c r="AD416" i="31"/>
  <c r="AE95" i="49"/>
  <c r="AF95" i="49" s="1"/>
  <c r="AG95" i="49" s="1"/>
  <c r="AH95" i="49" s="1"/>
  <c r="AI95" i="49" s="1"/>
  <c r="AJ95" i="49" s="1"/>
  <c r="AK95" i="49" s="1"/>
  <c r="AL95" i="49" s="1"/>
  <c r="AM95" i="49" s="1"/>
  <c r="AN95" i="49" s="1"/>
  <c r="AO95" i="49" s="1"/>
  <c r="AP95" i="49" s="1"/>
  <c r="T614" i="49"/>
  <c r="AE141" i="31"/>
  <c r="AF141" i="31" s="1"/>
  <c r="AG141" i="31" s="1"/>
  <c r="AH141" i="31" s="1"/>
  <c r="AI141" i="31" s="1"/>
  <c r="AJ141" i="31" s="1"/>
  <c r="AK141" i="31" s="1"/>
  <c r="AL141" i="31" s="1"/>
  <c r="AM141" i="31" s="1"/>
  <c r="AN141" i="31" s="1"/>
  <c r="AO141" i="31" s="1"/>
  <c r="AP141" i="31" s="1"/>
  <c r="Y377" i="31"/>
  <c r="Z306" i="31"/>
  <c r="Z313" i="31" s="1"/>
  <c r="AA328" i="31"/>
  <c r="H553" i="49"/>
  <c r="I328" i="49"/>
  <c r="AL51" i="5" s="1"/>
  <c r="AL43" i="62" s="1"/>
  <c r="AE259" i="31"/>
  <c r="AF259" i="31" s="1"/>
  <c r="AG259" i="31" s="1"/>
  <c r="AH259" i="31" s="1"/>
  <c r="AI259" i="31" s="1"/>
  <c r="AJ259" i="31" s="1"/>
  <c r="AK259" i="31" s="1"/>
  <c r="AL259" i="31" s="1"/>
  <c r="AM259" i="31" s="1"/>
  <c r="AN259" i="31" s="1"/>
  <c r="AO259" i="31" s="1"/>
  <c r="AP259" i="31" s="1"/>
  <c r="J321" i="31"/>
  <c r="BB50" i="5" s="1"/>
  <c r="BC50" i="5" s="1"/>
  <c r="AE592" i="49"/>
  <c r="AF592" i="49" s="1"/>
  <c r="AG592" i="49" s="1"/>
  <c r="AH592" i="49" s="1"/>
  <c r="AI592" i="49" s="1"/>
  <c r="AJ592" i="49" s="1"/>
  <c r="AK592" i="49" s="1"/>
  <c r="AL592" i="49" s="1"/>
  <c r="AM592" i="49" s="1"/>
  <c r="AN592" i="49" s="1"/>
  <c r="AO592" i="49" s="1"/>
  <c r="AP592" i="49" s="1"/>
  <c r="AE173" i="49"/>
  <c r="AF173" i="49" s="1"/>
  <c r="AG173" i="49" s="1"/>
  <c r="AH173" i="49" s="1"/>
  <c r="AI173" i="49" s="1"/>
  <c r="AJ173" i="49" s="1"/>
  <c r="AK173" i="49" s="1"/>
  <c r="AL173" i="49" s="1"/>
  <c r="AM173" i="49" s="1"/>
  <c r="AN173" i="49" s="1"/>
  <c r="AO173" i="49" s="1"/>
  <c r="AP173" i="49" s="1"/>
  <c r="S267" i="31"/>
  <c r="K188" i="49"/>
  <c r="BN35" i="5" s="1"/>
  <c r="AE115" i="31"/>
  <c r="AF115" i="31" s="1"/>
  <c r="AG115" i="31" s="1"/>
  <c r="AH115" i="31" s="1"/>
  <c r="AI115" i="31" s="1"/>
  <c r="AJ115" i="31" s="1"/>
  <c r="AK115" i="31" s="1"/>
  <c r="AL115" i="31" s="1"/>
  <c r="AM115" i="31" s="1"/>
  <c r="AN115" i="31" s="1"/>
  <c r="AO115" i="31" s="1"/>
  <c r="AP115" i="31" s="1"/>
  <c r="AE175" i="31"/>
  <c r="Z178" i="49"/>
  <c r="M561" i="49"/>
  <c r="S301" i="49"/>
  <c r="AE455" i="31"/>
  <c r="AF455" i="31" s="1"/>
  <c r="AG455" i="31" s="1"/>
  <c r="AH455" i="31" s="1"/>
  <c r="AI455" i="31" s="1"/>
  <c r="AJ455" i="31" s="1"/>
  <c r="AK455" i="31" s="1"/>
  <c r="AL455" i="31" s="1"/>
  <c r="AM455" i="31" s="1"/>
  <c r="AN455" i="31" s="1"/>
  <c r="AO455" i="31" s="1"/>
  <c r="AP455" i="31" s="1"/>
  <c r="Z136" i="49"/>
  <c r="Y219" i="31"/>
  <c r="R604" i="49"/>
  <c r="O482" i="49"/>
  <c r="DR32" i="62" s="1"/>
  <c r="AD506" i="31"/>
  <c r="AE312" i="31"/>
  <c r="AC188" i="31"/>
  <c r="Z459" i="49"/>
  <c r="AE88" i="31"/>
  <c r="AF88" i="31" s="1"/>
  <c r="AG88" i="31" s="1"/>
  <c r="AH88" i="31" s="1"/>
  <c r="AI88" i="31" s="1"/>
  <c r="AJ88" i="31" s="1"/>
  <c r="AK88" i="31" s="1"/>
  <c r="AL88" i="31" s="1"/>
  <c r="AM88" i="31" s="1"/>
  <c r="AN88" i="31" s="1"/>
  <c r="AO88" i="31" s="1"/>
  <c r="AP88" i="31" s="1"/>
  <c r="N469" i="49"/>
  <c r="DD28" i="62" s="1"/>
  <c r="AE570" i="31"/>
  <c r="AF570" i="31" s="1"/>
  <c r="G569" i="31"/>
  <c r="V256" i="31"/>
  <c r="AC301" i="31"/>
  <c r="AE113" i="31"/>
  <c r="AF113" i="31" s="1"/>
  <c r="AG113" i="31" s="1"/>
  <c r="AH113" i="31" s="1"/>
  <c r="AI113" i="31" s="1"/>
  <c r="AJ113" i="31" s="1"/>
  <c r="AK113" i="31" s="1"/>
  <c r="AL113" i="31" s="1"/>
  <c r="AM113" i="31" s="1"/>
  <c r="AN113" i="31" s="1"/>
  <c r="AO113" i="31" s="1"/>
  <c r="AP113" i="31" s="1"/>
  <c r="Q393" i="49"/>
  <c r="AG180" i="49"/>
  <c r="AH180" i="49" s="1"/>
  <c r="AI180" i="49" s="1"/>
  <c r="AE202" i="31"/>
  <c r="AF202" i="31" s="1"/>
  <c r="AG202" i="31" s="1"/>
  <c r="AH202" i="31" s="1"/>
  <c r="AI202" i="31" s="1"/>
  <c r="AJ202" i="31" s="1"/>
  <c r="AK202" i="31" s="1"/>
  <c r="AL202" i="31" s="1"/>
  <c r="AM202" i="31" s="1"/>
  <c r="AN202" i="31" s="1"/>
  <c r="AO202" i="31" s="1"/>
  <c r="AP202" i="31" s="1"/>
  <c r="AE18" i="49"/>
  <c r="K584" i="31"/>
  <c r="N459" i="49"/>
  <c r="DD27" i="62" s="1"/>
  <c r="Z109" i="31"/>
  <c r="Q306" i="49"/>
  <c r="ET46" i="5" s="1"/>
  <c r="J553" i="49"/>
  <c r="V301" i="49"/>
  <c r="AE449" i="31"/>
  <c r="AF449" i="31" s="1"/>
  <c r="AG449" i="31" s="1"/>
  <c r="AH449" i="31" s="1"/>
  <c r="AI449" i="31" s="1"/>
  <c r="AJ449" i="31" s="1"/>
  <c r="AK449" i="31" s="1"/>
  <c r="AL449" i="31" s="1"/>
  <c r="AM449" i="31" s="1"/>
  <c r="AN449" i="31" s="1"/>
  <c r="AO449" i="31" s="1"/>
  <c r="AP449" i="31" s="1"/>
  <c r="R531" i="31"/>
  <c r="O565" i="31"/>
  <c r="AE275" i="31"/>
  <c r="AF275" i="31" s="1"/>
  <c r="AG275" i="31" s="1"/>
  <c r="AH275" i="31" s="1"/>
  <c r="AI275" i="31" s="1"/>
  <c r="AJ275" i="31" s="1"/>
  <c r="AK275" i="31" s="1"/>
  <c r="AL275" i="31" s="1"/>
  <c r="AM275" i="31" s="1"/>
  <c r="AN275" i="31" s="1"/>
  <c r="AO275" i="31" s="1"/>
  <c r="AP275" i="31" s="1"/>
  <c r="O256" i="49"/>
  <c r="DR40" i="5" s="1"/>
  <c r="Q26" i="31"/>
  <c r="EV13" i="5" s="1"/>
  <c r="EW13" i="5" s="1"/>
  <c r="X238" i="31"/>
  <c r="P569" i="49"/>
  <c r="I482" i="31"/>
  <c r="AN32" i="62" s="1"/>
  <c r="AO32" i="62" s="1"/>
  <c r="AE408" i="49"/>
  <c r="AF408" i="49" s="1"/>
  <c r="AG408" i="49" s="1"/>
  <c r="AH408" i="49" s="1"/>
  <c r="AI408" i="49" s="1"/>
  <c r="AJ408" i="49" s="1"/>
  <c r="AK408" i="49" s="1"/>
  <c r="AL408" i="49" s="1"/>
  <c r="AM408" i="49" s="1"/>
  <c r="AN408" i="49" s="1"/>
  <c r="AO408" i="49" s="1"/>
  <c r="AP408" i="49" s="1"/>
  <c r="V306" i="49"/>
  <c r="M256" i="49"/>
  <c r="CP40" i="5" s="1"/>
  <c r="AE543" i="49"/>
  <c r="G542" i="49"/>
  <c r="AE128" i="31"/>
  <c r="G127" i="31"/>
  <c r="J9" i="49"/>
  <c r="M557" i="31"/>
  <c r="N89" i="49"/>
  <c r="DD20" i="5" s="1"/>
  <c r="J553" i="31"/>
  <c r="K286" i="49"/>
  <c r="BN42" i="5" s="1"/>
  <c r="N136" i="31"/>
  <c r="DF26" i="5" s="1"/>
  <c r="DG26" i="5" s="1"/>
  <c r="AC382" i="49"/>
  <c r="Q89" i="49"/>
  <c r="ET20" i="5" s="1"/>
  <c r="T333" i="31"/>
  <c r="M286" i="49"/>
  <c r="CP42" i="5" s="1"/>
  <c r="N531" i="49"/>
  <c r="P178" i="31"/>
  <c r="M315" i="31"/>
  <c r="AE512" i="49"/>
  <c r="AF512" i="49" s="1"/>
  <c r="AG512" i="49" s="1"/>
  <c r="AH512" i="49" s="1"/>
  <c r="AI512" i="49" s="1"/>
  <c r="AJ512" i="49" s="1"/>
  <c r="AK512" i="49" s="1"/>
  <c r="AL512" i="49" s="1"/>
  <c r="AM512" i="49" s="1"/>
  <c r="AN512" i="49" s="1"/>
  <c r="AO512" i="49" s="1"/>
  <c r="AP512" i="49" s="1"/>
  <c r="AE171" i="31"/>
  <c r="K80" i="31"/>
  <c r="BP19" i="5" s="1"/>
  <c r="BQ19" i="5" s="1"/>
  <c r="K561" i="31"/>
  <c r="X565" i="31"/>
  <c r="X542" i="49"/>
  <c r="P565" i="49"/>
  <c r="AE155" i="49"/>
  <c r="AF155" i="49" s="1"/>
  <c r="AG155" i="49" s="1"/>
  <c r="AH155" i="49" s="1"/>
  <c r="AI155" i="49" s="1"/>
  <c r="AJ155" i="49" s="1"/>
  <c r="AK155" i="49" s="1"/>
  <c r="AL155" i="49" s="1"/>
  <c r="AM155" i="49" s="1"/>
  <c r="AN155" i="49" s="1"/>
  <c r="AO155" i="49" s="1"/>
  <c r="AP155" i="49" s="1"/>
  <c r="R553" i="49"/>
  <c r="AB614" i="31"/>
  <c r="Q609" i="49"/>
  <c r="I604" i="49"/>
  <c r="I62" i="49"/>
  <c r="AE520" i="49"/>
  <c r="G506" i="31"/>
  <c r="AE507" i="31"/>
  <c r="T293" i="49"/>
  <c r="N267" i="31"/>
  <c r="DF41" i="5" s="1"/>
  <c r="I482" i="49"/>
  <c r="AL32" i="62" s="1"/>
  <c r="Y256" i="31"/>
  <c r="AC476" i="49"/>
  <c r="AE445" i="31"/>
  <c r="M228" i="49"/>
  <c r="CP38" i="5" s="1"/>
  <c r="AE498" i="31"/>
  <c r="AF498" i="31" s="1"/>
  <c r="AG498" i="31" s="1"/>
  <c r="AH498" i="31" s="1"/>
  <c r="AI498" i="31" s="1"/>
  <c r="AJ498" i="31" s="1"/>
  <c r="AK498" i="31" s="1"/>
  <c r="AL498" i="31" s="1"/>
  <c r="AM498" i="31" s="1"/>
  <c r="AN498" i="31" s="1"/>
  <c r="AO498" i="31" s="1"/>
  <c r="AP498" i="31" s="1"/>
  <c r="R168" i="31"/>
  <c r="FJ32" i="5" s="1"/>
  <c r="FK32" i="5" s="1"/>
  <c r="AE452" i="49"/>
  <c r="AF452" i="49" s="1"/>
  <c r="AG452" i="49" s="1"/>
  <c r="AH452" i="49" s="1"/>
  <c r="AI452" i="49" s="1"/>
  <c r="AJ452" i="49" s="1"/>
  <c r="AK452" i="49" s="1"/>
  <c r="AL452" i="49" s="1"/>
  <c r="AM452" i="49" s="1"/>
  <c r="AN452" i="49" s="1"/>
  <c r="AO452" i="49" s="1"/>
  <c r="AP452" i="49" s="1"/>
  <c r="Z614" i="49"/>
  <c r="T366" i="49"/>
  <c r="V315" i="49"/>
  <c r="AE170" i="49"/>
  <c r="AF170" i="49" s="1"/>
  <c r="AG170" i="49" s="1"/>
  <c r="AH170" i="49" s="1"/>
  <c r="AI170" i="49" s="1"/>
  <c r="AJ170" i="49" s="1"/>
  <c r="AK170" i="49" s="1"/>
  <c r="AL170" i="49" s="1"/>
  <c r="AM170" i="49" s="1"/>
  <c r="AN170" i="49" s="1"/>
  <c r="AO170" i="49" s="1"/>
  <c r="AP170" i="49" s="1"/>
  <c r="H144" i="31"/>
  <c r="Z27" i="5" s="1"/>
  <c r="AA27" i="5" s="1"/>
  <c r="AE249" i="31"/>
  <c r="AF249" i="31" s="1"/>
  <c r="AG249" i="31" s="1"/>
  <c r="AH249" i="31" s="1"/>
  <c r="AI249" i="31" s="1"/>
  <c r="AJ249" i="31" s="1"/>
  <c r="AK249" i="31" s="1"/>
  <c r="AL249" i="31" s="1"/>
  <c r="AM249" i="31" s="1"/>
  <c r="AN249" i="31" s="1"/>
  <c r="AO249" i="31" s="1"/>
  <c r="AP249" i="31" s="1"/>
  <c r="Y356" i="49"/>
  <c r="S600" i="31"/>
  <c r="AE148" i="31"/>
  <c r="AD366" i="31"/>
  <c r="Q584" i="49"/>
  <c r="Z328" i="49"/>
  <c r="AE610" i="49"/>
  <c r="G609" i="49"/>
  <c r="AB315" i="49"/>
  <c r="AE358" i="31"/>
  <c r="AF358" i="31" s="1"/>
  <c r="AG358" i="31" s="1"/>
  <c r="AH358" i="31" s="1"/>
  <c r="AI358" i="31" s="1"/>
  <c r="AJ358" i="31" s="1"/>
  <c r="AK358" i="31" s="1"/>
  <c r="AL358" i="31" s="1"/>
  <c r="AM358" i="31" s="1"/>
  <c r="AN358" i="31" s="1"/>
  <c r="AO358" i="31" s="1"/>
  <c r="AP358" i="31" s="1"/>
  <c r="Y604" i="49"/>
  <c r="K256" i="31"/>
  <c r="BP40" i="5" s="1"/>
  <c r="AE418" i="49"/>
  <c r="AF418" i="49" s="1"/>
  <c r="AG418" i="49" s="1"/>
  <c r="AH418" i="49" s="1"/>
  <c r="AI418" i="49" s="1"/>
  <c r="AJ418" i="49" s="1"/>
  <c r="AK418" i="49" s="1"/>
  <c r="AL418" i="49" s="1"/>
  <c r="AM418" i="49" s="1"/>
  <c r="AN418" i="49" s="1"/>
  <c r="AO418" i="49" s="1"/>
  <c r="AP418" i="49" s="1"/>
  <c r="AA604" i="31"/>
  <c r="U366" i="31"/>
  <c r="Q158" i="31"/>
  <c r="S553" i="31"/>
  <c r="V340" i="49"/>
  <c r="I98" i="49"/>
  <c r="V158" i="31"/>
  <c r="L127" i="49"/>
  <c r="T609" i="31"/>
  <c r="AC267" i="49"/>
  <c r="P136" i="31"/>
  <c r="EH26" i="5" s="1"/>
  <c r="EI26" i="5" s="1"/>
  <c r="Y328" i="31"/>
  <c r="R609" i="49"/>
  <c r="AE559" i="31"/>
  <c r="AF559" i="31" s="1"/>
  <c r="AG559" i="31" s="1"/>
  <c r="AH559" i="31" s="1"/>
  <c r="AI559" i="31" s="1"/>
  <c r="AJ559" i="31" s="1"/>
  <c r="AK559" i="31" s="1"/>
  <c r="AL559" i="31" s="1"/>
  <c r="AM559" i="31" s="1"/>
  <c r="AN559" i="31" s="1"/>
  <c r="AO559" i="31" s="1"/>
  <c r="AP559" i="31" s="1"/>
  <c r="R561" i="49"/>
  <c r="U208" i="31"/>
  <c r="H469" i="49"/>
  <c r="X28" i="62" s="1"/>
  <c r="AE53" i="49"/>
  <c r="AF53" i="49" s="1"/>
  <c r="AG53" i="49" s="1"/>
  <c r="AH53" i="49" s="1"/>
  <c r="AI53" i="49" s="1"/>
  <c r="AJ53" i="49" s="1"/>
  <c r="AK53" i="49" s="1"/>
  <c r="AL53" i="49" s="1"/>
  <c r="AM53" i="49" s="1"/>
  <c r="AN53" i="49" s="1"/>
  <c r="AO53" i="49" s="1"/>
  <c r="AP53" i="49" s="1"/>
  <c r="J71" i="49"/>
  <c r="AZ18" i="5" s="1"/>
  <c r="Z267" i="49"/>
  <c r="V62" i="49"/>
  <c r="AE282" i="31"/>
  <c r="AF282" i="31" s="1"/>
  <c r="AG282" i="31" s="1"/>
  <c r="AH282" i="31" s="1"/>
  <c r="AI282" i="31" s="1"/>
  <c r="AJ282" i="31" s="1"/>
  <c r="AK282" i="31" s="1"/>
  <c r="AL282" i="31" s="1"/>
  <c r="AM282" i="31" s="1"/>
  <c r="AN282" i="31" s="1"/>
  <c r="AO282" i="31" s="1"/>
  <c r="AP282" i="31" s="1"/>
  <c r="V168" i="31"/>
  <c r="V157" i="31" s="1"/>
  <c r="X188" i="31"/>
  <c r="R286" i="31"/>
  <c r="FJ42" i="5" s="1"/>
  <c r="AD416" i="49"/>
  <c r="M393" i="31"/>
  <c r="CR19" i="62" s="1"/>
  <c r="CS19" i="62" s="1"/>
  <c r="P459" i="49"/>
  <c r="EF27" i="62" s="1"/>
  <c r="AC506" i="49"/>
  <c r="AE106" i="31"/>
  <c r="AF106" i="31" s="1"/>
  <c r="AG106" i="31" s="1"/>
  <c r="AH106" i="31" s="1"/>
  <c r="AI106" i="31" s="1"/>
  <c r="AJ106" i="31" s="1"/>
  <c r="AK106" i="31" s="1"/>
  <c r="AL106" i="31" s="1"/>
  <c r="AM106" i="31" s="1"/>
  <c r="AN106" i="31" s="1"/>
  <c r="AO106" i="31" s="1"/>
  <c r="AP106" i="31" s="1"/>
  <c r="H127" i="31"/>
  <c r="Z25" i="5" s="1"/>
  <c r="AA25" i="5" s="1"/>
  <c r="AF128" i="31"/>
  <c r="AG128" i="31" s="1"/>
  <c r="AH128" i="31" s="1"/>
  <c r="AI128" i="31" s="1"/>
  <c r="U584" i="49"/>
  <c r="W393" i="31"/>
  <c r="K487" i="49"/>
  <c r="BN33" i="62" s="1"/>
  <c r="AE23" i="49"/>
  <c r="AF23" i="49" s="1"/>
  <c r="AG23" i="49" s="1"/>
  <c r="AH23" i="49" s="1"/>
  <c r="AI23" i="49" s="1"/>
  <c r="AJ23" i="49" s="1"/>
  <c r="AK23" i="49" s="1"/>
  <c r="AL23" i="49" s="1"/>
  <c r="AM23" i="49" s="1"/>
  <c r="AN23" i="49" s="1"/>
  <c r="AO23" i="49" s="1"/>
  <c r="AP23" i="49" s="1"/>
  <c r="H26" i="31"/>
  <c r="Z13" i="5" s="1"/>
  <c r="AA13" i="5" s="1"/>
  <c r="R47" i="49"/>
  <c r="FH16" i="5" s="1"/>
  <c r="U531" i="49"/>
  <c r="AC35" i="31"/>
  <c r="AE284" i="49"/>
  <c r="AF284" i="49" s="1"/>
  <c r="AG284" i="49" s="1"/>
  <c r="AH284" i="49" s="1"/>
  <c r="AI284" i="49" s="1"/>
  <c r="AJ284" i="49" s="1"/>
  <c r="AK284" i="49" s="1"/>
  <c r="AL284" i="49" s="1"/>
  <c r="AM284" i="49" s="1"/>
  <c r="AN284" i="49" s="1"/>
  <c r="AO284" i="49" s="1"/>
  <c r="AP284" i="49" s="1"/>
  <c r="AE150" i="31"/>
  <c r="AF150" i="31" s="1"/>
  <c r="AG150" i="31" s="1"/>
  <c r="AH150" i="31" s="1"/>
  <c r="AI150" i="31" s="1"/>
  <c r="AJ150" i="31" s="1"/>
  <c r="AK150" i="31" s="1"/>
  <c r="AL150" i="31" s="1"/>
  <c r="AM150" i="31" s="1"/>
  <c r="AN150" i="31" s="1"/>
  <c r="AO150" i="31" s="1"/>
  <c r="AP150" i="31" s="1"/>
  <c r="K356" i="31"/>
  <c r="BP57" i="5" s="1"/>
  <c r="BP42" i="62" s="1"/>
  <c r="Y561" i="49"/>
  <c r="AE349" i="31"/>
  <c r="AF349" i="31" s="1"/>
  <c r="AG349" i="31" s="1"/>
  <c r="AH349" i="31" s="1"/>
  <c r="AI349" i="31" s="1"/>
  <c r="AJ349" i="31" s="1"/>
  <c r="AK349" i="31" s="1"/>
  <c r="AL349" i="31" s="1"/>
  <c r="AM349" i="31" s="1"/>
  <c r="AN349" i="31" s="1"/>
  <c r="AO349" i="31" s="1"/>
  <c r="AP349" i="31" s="1"/>
  <c r="X144" i="49"/>
  <c r="O98" i="31"/>
  <c r="DT21" i="5" s="1"/>
  <c r="DU21" i="5" s="1"/>
  <c r="AE39" i="31"/>
  <c r="AF39" i="31" s="1"/>
  <c r="AG39" i="31" s="1"/>
  <c r="AH39" i="31" s="1"/>
  <c r="AI39" i="31" s="1"/>
  <c r="AJ39" i="31" s="1"/>
  <c r="AK39" i="31" s="1"/>
  <c r="AL39" i="31" s="1"/>
  <c r="AM39" i="31" s="1"/>
  <c r="AN39" i="31" s="1"/>
  <c r="AO39" i="31" s="1"/>
  <c r="AP39" i="31" s="1"/>
  <c r="AE385" i="31"/>
  <c r="AF385" i="31" s="1"/>
  <c r="AG385" i="31" s="1"/>
  <c r="AH385" i="31" s="1"/>
  <c r="AI385" i="31" s="1"/>
  <c r="AJ385" i="31" s="1"/>
  <c r="AK385" i="31" s="1"/>
  <c r="AL385" i="31" s="1"/>
  <c r="AM385" i="31" s="1"/>
  <c r="AN385" i="31" s="1"/>
  <c r="AO385" i="31" s="1"/>
  <c r="AP385" i="31" s="1"/>
  <c r="Y136" i="31"/>
  <c r="Q301" i="49"/>
  <c r="K476" i="31"/>
  <c r="BP30" i="62" s="1"/>
  <c r="BQ30" i="62" s="1"/>
  <c r="N469" i="31"/>
  <c r="DF28" i="62" s="1"/>
  <c r="DG28" i="62" s="1"/>
  <c r="AE545" i="31"/>
  <c r="AF545" i="31" s="1"/>
  <c r="AG545" i="31" s="1"/>
  <c r="AH545" i="31" s="1"/>
  <c r="AI545" i="31" s="1"/>
  <c r="AJ545" i="31" s="1"/>
  <c r="AK545" i="31" s="1"/>
  <c r="AL545" i="31" s="1"/>
  <c r="AM545" i="31" s="1"/>
  <c r="AN545" i="31" s="1"/>
  <c r="AO545" i="31" s="1"/>
  <c r="AP545" i="31" s="1"/>
  <c r="AB208" i="49"/>
  <c r="AE348" i="49"/>
  <c r="G347" i="49"/>
  <c r="AC109" i="49"/>
  <c r="V306" i="31"/>
  <c r="L71" i="31"/>
  <c r="CD18" i="5" s="1"/>
  <c r="CE18" i="5" s="1"/>
  <c r="O561" i="49"/>
  <c r="AE499" i="31"/>
  <c r="AF499" i="31" s="1"/>
  <c r="AG499" i="31" s="1"/>
  <c r="AH499" i="31" s="1"/>
  <c r="AI499" i="31" s="1"/>
  <c r="AJ499" i="31" s="1"/>
  <c r="AK499" i="31" s="1"/>
  <c r="AL499" i="31" s="1"/>
  <c r="AM499" i="31" s="1"/>
  <c r="AN499" i="31" s="1"/>
  <c r="AO499" i="31" s="1"/>
  <c r="AP499" i="31" s="1"/>
  <c r="AE246" i="31"/>
  <c r="AF246" i="31" s="1"/>
  <c r="AG246" i="31" s="1"/>
  <c r="AH246" i="31" s="1"/>
  <c r="AI246" i="31" s="1"/>
  <c r="AJ246" i="31" s="1"/>
  <c r="AK246" i="31" s="1"/>
  <c r="AL246" i="31" s="1"/>
  <c r="AM246" i="31" s="1"/>
  <c r="AN246" i="31" s="1"/>
  <c r="AO246" i="31" s="1"/>
  <c r="AP246" i="31" s="1"/>
  <c r="Y347" i="49"/>
  <c r="AE64" i="31"/>
  <c r="AF64" i="31" s="1"/>
  <c r="T442" i="31"/>
  <c r="Q109" i="31"/>
  <c r="AE49" i="31"/>
  <c r="AF49" i="31" s="1"/>
  <c r="AG49" i="31" s="1"/>
  <c r="AH49" i="31" s="1"/>
  <c r="AI49" i="31" s="1"/>
  <c r="AJ49" i="31" s="1"/>
  <c r="AK49" i="31" s="1"/>
  <c r="AL49" i="31" s="1"/>
  <c r="AM49" i="31" s="1"/>
  <c r="AN49" i="31" s="1"/>
  <c r="AO49" i="31" s="1"/>
  <c r="AP49" i="31" s="1"/>
  <c r="K328" i="31"/>
  <c r="BP51" i="5" s="1"/>
  <c r="N71" i="49"/>
  <c r="DD18" i="5" s="1"/>
  <c r="AD561" i="49"/>
  <c r="AE185" i="49"/>
  <c r="AF185" i="49" s="1"/>
  <c r="AG185" i="49" s="1"/>
  <c r="AH185" i="49" s="1"/>
  <c r="AI185" i="49" s="1"/>
  <c r="AJ185" i="49" s="1"/>
  <c r="AK185" i="49" s="1"/>
  <c r="AL185" i="49" s="1"/>
  <c r="AM185" i="49" s="1"/>
  <c r="AN185" i="49" s="1"/>
  <c r="AO185" i="49" s="1"/>
  <c r="AP185" i="49" s="1"/>
  <c r="AE196" i="31"/>
  <c r="AF196" i="31" s="1"/>
  <c r="AG196" i="31" s="1"/>
  <c r="AH196" i="31" s="1"/>
  <c r="AI196" i="31" s="1"/>
  <c r="AJ196" i="31" s="1"/>
  <c r="AK196" i="31" s="1"/>
  <c r="AL196" i="31" s="1"/>
  <c r="AM196" i="31" s="1"/>
  <c r="AN196" i="31" s="1"/>
  <c r="AO196" i="31" s="1"/>
  <c r="AP196" i="31" s="1"/>
  <c r="M347" i="49"/>
  <c r="CP54" i="5" s="1"/>
  <c r="V47" i="49"/>
  <c r="T561" i="31"/>
  <c r="X80" i="31"/>
  <c r="Q569" i="31"/>
  <c r="K328" i="49"/>
  <c r="BN51" i="5" s="1"/>
  <c r="BN43" i="62" s="1"/>
  <c r="AE79" i="49"/>
  <c r="AF79" i="49" s="1"/>
  <c r="AG79" i="49" s="1"/>
  <c r="AH79" i="49" s="1"/>
  <c r="AI79" i="49" s="1"/>
  <c r="AJ79" i="49" s="1"/>
  <c r="AK79" i="49" s="1"/>
  <c r="AL79" i="49" s="1"/>
  <c r="AM79" i="49" s="1"/>
  <c r="AN79" i="49" s="1"/>
  <c r="AO79" i="49" s="1"/>
  <c r="AP79" i="49" s="1"/>
  <c r="U306" i="31"/>
  <c r="AE123" i="49"/>
  <c r="AF123" i="49" s="1"/>
  <c r="AG123" i="49" s="1"/>
  <c r="AH123" i="49" s="1"/>
  <c r="AI123" i="49" s="1"/>
  <c r="AJ123" i="49" s="1"/>
  <c r="AK123" i="49" s="1"/>
  <c r="AL123" i="49" s="1"/>
  <c r="AM123" i="49" s="1"/>
  <c r="AN123" i="49" s="1"/>
  <c r="AO123" i="49" s="1"/>
  <c r="AP123" i="49" s="1"/>
  <c r="I127" i="49"/>
  <c r="AE430" i="49"/>
  <c r="AF430" i="49" s="1"/>
  <c r="AG430" i="49" s="1"/>
  <c r="AH430" i="49" s="1"/>
  <c r="AI430" i="49" s="1"/>
  <c r="AJ430" i="49" s="1"/>
  <c r="H267" i="31"/>
  <c r="Z41" i="5" s="1"/>
  <c r="X600" i="49"/>
  <c r="AD333" i="49"/>
  <c r="AD476" i="49"/>
  <c r="AC604" i="49"/>
  <c r="O267" i="49"/>
  <c r="DR41" i="5" s="1"/>
  <c r="AC321" i="31"/>
  <c r="Q136" i="49"/>
  <c r="ET26" i="5" s="1"/>
  <c r="AE308" i="49"/>
  <c r="AE593" i="49"/>
  <c r="AF593" i="49" s="1"/>
  <c r="AG593" i="49" s="1"/>
  <c r="AH593" i="49" s="1"/>
  <c r="AI593" i="49" s="1"/>
  <c r="AJ593" i="49" s="1"/>
  <c r="AK593" i="49" s="1"/>
  <c r="AL593" i="49" s="1"/>
  <c r="AM593" i="49" s="1"/>
  <c r="AN593" i="49" s="1"/>
  <c r="AO593" i="49" s="1"/>
  <c r="AP593" i="49" s="1"/>
  <c r="T614" i="31"/>
  <c r="X98" i="31"/>
  <c r="G459" i="49"/>
  <c r="AE460" i="49"/>
  <c r="AE245" i="31"/>
  <c r="AF245" i="31" s="1"/>
  <c r="AG245" i="31" s="1"/>
  <c r="AH245" i="31" s="1"/>
  <c r="AI245" i="31" s="1"/>
  <c r="AJ245" i="31" s="1"/>
  <c r="AK245" i="31" s="1"/>
  <c r="AL245" i="31" s="1"/>
  <c r="AM245" i="31" s="1"/>
  <c r="AN245" i="31" s="1"/>
  <c r="AO245" i="31" s="1"/>
  <c r="AP245" i="31" s="1"/>
  <c r="Z393" i="49"/>
  <c r="AE37" i="31"/>
  <c r="AF37" i="31" s="1"/>
  <c r="AG37" i="31" s="1"/>
  <c r="AH37" i="31" s="1"/>
  <c r="AI37" i="31" s="1"/>
  <c r="AJ37" i="31" s="1"/>
  <c r="AK37" i="31" s="1"/>
  <c r="AL37" i="31" s="1"/>
  <c r="AM37" i="31" s="1"/>
  <c r="AN37" i="31" s="1"/>
  <c r="AO37" i="31" s="1"/>
  <c r="AP37" i="31" s="1"/>
  <c r="AE179" i="49"/>
  <c r="G178" i="49"/>
  <c r="V328" i="49"/>
  <c r="AE582" i="31"/>
  <c r="AF582" i="31" s="1"/>
  <c r="AG582" i="31" s="1"/>
  <c r="AH582" i="31" s="1"/>
  <c r="AI582" i="31" s="1"/>
  <c r="AJ582" i="31" s="1"/>
  <c r="AK582" i="31" s="1"/>
  <c r="AL582" i="31" s="1"/>
  <c r="AM582" i="31" s="1"/>
  <c r="AN582" i="31" s="1"/>
  <c r="AO582" i="31" s="1"/>
  <c r="AP582" i="31" s="1"/>
  <c r="AE186" i="49"/>
  <c r="AF186" i="49" s="1"/>
  <c r="AG186" i="49" s="1"/>
  <c r="AH186" i="49" s="1"/>
  <c r="AI186" i="49" s="1"/>
  <c r="AJ186" i="49" s="1"/>
  <c r="AK186" i="49" s="1"/>
  <c r="AL186" i="49" s="1"/>
  <c r="AM186" i="49" s="1"/>
  <c r="AN186" i="49" s="1"/>
  <c r="AO186" i="49" s="1"/>
  <c r="AP186" i="49" s="1"/>
  <c r="M267" i="49"/>
  <c r="CP41" i="5" s="1"/>
  <c r="AE580" i="49"/>
  <c r="Q89" i="31"/>
  <c r="EV20" i="5" s="1"/>
  <c r="EW20" i="5" s="1"/>
  <c r="I80" i="49"/>
  <c r="AL19" i="5" s="1"/>
  <c r="O80" i="31"/>
  <c r="DT19" i="5" s="1"/>
  <c r="DU19" i="5" s="1"/>
  <c r="Q71" i="49"/>
  <c r="ET18" i="5" s="1"/>
  <c r="X377" i="49"/>
  <c r="K531" i="49"/>
  <c r="L321" i="31"/>
  <c r="X561" i="49"/>
  <c r="AE232" i="49"/>
  <c r="AF232" i="49" s="1"/>
  <c r="AG232" i="49" s="1"/>
  <c r="AH232" i="49" s="1"/>
  <c r="AI232" i="49" s="1"/>
  <c r="AJ232" i="49" s="1"/>
  <c r="AK232" i="49" s="1"/>
  <c r="AL232" i="49" s="1"/>
  <c r="AM232" i="49" s="1"/>
  <c r="AN232" i="49" s="1"/>
  <c r="AO232" i="49" s="1"/>
  <c r="AP232" i="49" s="1"/>
  <c r="Z609" i="49"/>
  <c r="U609" i="49"/>
  <c r="AE279" i="31"/>
  <c r="AF279" i="31" s="1"/>
  <c r="AG279" i="31" s="1"/>
  <c r="AH279" i="31" s="1"/>
  <c r="AI279" i="31" s="1"/>
  <c r="AJ279" i="31" s="1"/>
  <c r="AK279" i="31" s="1"/>
  <c r="AL279" i="31" s="1"/>
  <c r="AM279" i="31" s="1"/>
  <c r="AN279" i="31" s="1"/>
  <c r="AO279" i="31" s="1"/>
  <c r="AP279" i="31" s="1"/>
  <c r="O600" i="49"/>
  <c r="AE414" i="31"/>
  <c r="AF414" i="31" s="1"/>
  <c r="AG414" i="31" s="1"/>
  <c r="AH414" i="31" s="1"/>
  <c r="AI414" i="31" s="1"/>
  <c r="AJ414" i="31" s="1"/>
  <c r="AK414" i="31" s="1"/>
  <c r="AL414" i="31" s="1"/>
  <c r="AM414" i="31" s="1"/>
  <c r="AN414" i="31" s="1"/>
  <c r="AO414" i="31" s="1"/>
  <c r="AP414" i="31" s="1"/>
  <c r="W340" i="49"/>
  <c r="N340" i="49"/>
  <c r="DD53" i="5" s="1"/>
  <c r="DD44" i="62" s="1"/>
  <c r="J35" i="31"/>
  <c r="BB14" i="5" s="1"/>
  <c r="BC14" i="5" s="1"/>
  <c r="AE266" i="49"/>
  <c r="AF266" i="49" s="1"/>
  <c r="AG266" i="49" s="1"/>
  <c r="AH266" i="49" s="1"/>
  <c r="AI266" i="49" s="1"/>
  <c r="AJ266" i="49" s="1"/>
  <c r="AK266" i="49" s="1"/>
  <c r="AL266" i="49" s="1"/>
  <c r="AM266" i="49" s="1"/>
  <c r="AN266" i="49" s="1"/>
  <c r="AO266" i="49" s="1"/>
  <c r="AP266" i="49" s="1"/>
  <c r="Y168" i="31"/>
  <c r="AE146" i="31"/>
  <c r="AF146" i="31" s="1"/>
  <c r="AG146" i="31" s="1"/>
  <c r="AH146" i="31" s="1"/>
  <c r="AI146" i="31" s="1"/>
  <c r="AJ146" i="31" s="1"/>
  <c r="AK146" i="31" s="1"/>
  <c r="AL146" i="31" s="1"/>
  <c r="AM146" i="31" s="1"/>
  <c r="AN146" i="31" s="1"/>
  <c r="AO146" i="31" s="1"/>
  <c r="AP146" i="31" s="1"/>
  <c r="R487" i="49"/>
  <c r="FH33" i="62" s="1"/>
  <c r="R293" i="49"/>
  <c r="FH43" i="5" s="1"/>
  <c r="AE137" i="31"/>
  <c r="G136" i="31"/>
  <c r="AE451" i="49"/>
  <c r="AF451" i="49" s="1"/>
  <c r="AG451" i="49" s="1"/>
  <c r="AH451" i="49" s="1"/>
  <c r="AI451" i="49" s="1"/>
  <c r="AJ451" i="49" s="1"/>
  <c r="AK451" i="49" s="1"/>
  <c r="AL451" i="49" s="1"/>
  <c r="AM451" i="49" s="1"/>
  <c r="AN451" i="49" s="1"/>
  <c r="AO451" i="49" s="1"/>
  <c r="AP451" i="49" s="1"/>
  <c r="M377" i="31"/>
  <c r="CR60" i="5" s="1"/>
  <c r="CS60" i="5" s="1"/>
  <c r="AE408" i="31"/>
  <c r="AF408" i="31" s="1"/>
  <c r="AG408" i="31" s="1"/>
  <c r="AH408" i="31" s="1"/>
  <c r="AI408" i="31" s="1"/>
  <c r="AJ408" i="31" s="1"/>
  <c r="AK408" i="31" s="1"/>
  <c r="AL408" i="31" s="1"/>
  <c r="AM408" i="31" s="1"/>
  <c r="AN408" i="31" s="1"/>
  <c r="AO408" i="31" s="1"/>
  <c r="AP408" i="31" s="1"/>
  <c r="H557" i="31"/>
  <c r="AE175" i="49"/>
  <c r="AF175" i="49" s="1"/>
  <c r="AG175" i="49" s="1"/>
  <c r="AH175" i="49" s="1"/>
  <c r="AI175" i="49" s="1"/>
  <c r="AJ175" i="49" s="1"/>
  <c r="AK175" i="49" s="1"/>
  <c r="AL175" i="49" s="1"/>
  <c r="AM175" i="49" s="1"/>
  <c r="AN175" i="49" s="1"/>
  <c r="AO175" i="49" s="1"/>
  <c r="AP175" i="49" s="1"/>
  <c r="AE254" i="49"/>
  <c r="AF254" i="49" s="1"/>
  <c r="AG254" i="49" s="1"/>
  <c r="AH254" i="49" s="1"/>
  <c r="AI254" i="49" s="1"/>
  <c r="AJ254" i="49" s="1"/>
  <c r="AK254" i="49" s="1"/>
  <c r="AL254" i="49" s="1"/>
  <c r="AM254" i="49" s="1"/>
  <c r="AN254" i="49" s="1"/>
  <c r="AO254" i="49" s="1"/>
  <c r="AP254" i="49" s="1"/>
  <c r="X487" i="31"/>
  <c r="W442" i="31"/>
  <c r="I208" i="31"/>
  <c r="AA356" i="31"/>
  <c r="AE21" i="49"/>
  <c r="AF21" i="49" s="1"/>
  <c r="AG21" i="49" s="1"/>
  <c r="AH21" i="49" s="1"/>
  <c r="AI21" i="49" s="1"/>
  <c r="AJ21" i="49" s="1"/>
  <c r="AK21" i="49" s="1"/>
  <c r="AL21" i="49" s="1"/>
  <c r="AM21" i="49" s="1"/>
  <c r="AN21" i="49" s="1"/>
  <c r="AO21" i="49" s="1"/>
  <c r="AP21" i="49" s="1"/>
  <c r="AE515" i="31"/>
  <c r="AF515" i="31" s="1"/>
  <c r="AG515" i="31" s="1"/>
  <c r="AH515" i="31" s="1"/>
  <c r="AI515" i="31" s="1"/>
  <c r="AJ515" i="31" s="1"/>
  <c r="AK515" i="31" s="1"/>
  <c r="AL515" i="31" s="1"/>
  <c r="AM515" i="31" s="1"/>
  <c r="AN515" i="31" s="1"/>
  <c r="AO515" i="31" s="1"/>
  <c r="AP515" i="31" s="1"/>
  <c r="J188" i="49"/>
  <c r="AZ35" i="5" s="1"/>
  <c r="AB557" i="49"/>
  <c r="Z208" i="49"/>
  <c r="R542" i="31"/>
  <c r="X557" i="49"/>
  <c r="AB506" i="31"/>
  <c r="AE372" i="31"/>
  <c r="AF372" i="31" s="1"/>
  <c r="AG372" i="31" s="1"/>
  <c r="AH372" i="31" s="1"/>
  <c r="AI372" i="31" s="1"/>
  <c r="AJ372" i="31" s="1"/>
  <c r="AK372" i="31" s="1"/>
  <c r="AL372" i="31" s="1"/>
  <c r="AM372" i="31" s="1"/>
  <c r="AN372" i="31" s="1"/>
  <c r="AO372" i="31" s="1"/>
  <c r="AP372" i="31" s="1"/>
  <c r="T469" i="31"/>
  <c r="P158" i="49"/>
  <c r="R208" i="31"/>
  <c r="FJ36" i="5" s="1"/>
  <c r="AE285" i="31"/>
  <c r="AF285" i="31" s="1"/>
  <c r="AG285" i="31" s="1"/>
  <c r="AH285" i="31" s="1"/>
  <c r="AI285" i="31" s="1"/>
  <c r="AJ285" i="31" s="1"/>
  <c r="AK285" i="31" s="1"/>
  <c r="AL285" i="31" s="1"/>
  <c r="AM285" i="31" s="1"/>
  <c r="AN285" i="31" s="1"/>
  <c r="AO285" i="31" s="1"/>
  <c r="AP285" i="31" s="1"/>
  <c r="AE48" i="49"/>
  <c r="G47" i="49"/>
  <c r="S553" i="49"/>
  <c r="AA531" i="49"/>
  <c r="AE274" i="31"/>
  <c r="AF274" i="31" s="1"/>
  <c r="AG274" i="31" s="1"/>
  <c r="AH274" i="31" s="1"/>
  <c r="AI274" i="31" s="1"/>
  <c r="AJ274" i="31" s="1"/>
  <c r="AK274" i="31" s="1"/>
  <c r="AL274" i="31" s="1"/>
  <c r="AM274" i="31" s="1"/>
  <c r="AN274" i="31" s="1"/>
  <c r="AO274" i="31" s="1"/>
  <c r="AP274" i="31" s="1"/>
  <c r="AD306" i="31"/>
  <c r="AE525" i="49"/>
  <c r="J89" i="31"/>
  <c r="BB20" i="5" s="1"/>
  <c r="BC20" i="5" s="1"/>
  <c r="AE41" i="31"/>
  <c r="AF41" i="31" s="1"/>
  <c r="AG41" i="31" s="1"/>
  <c r="AH41" i="31" s="1"/>
  <c r="AI41" i="31" s="1"/>
  <c r="AJ41" i="31" s="1"/>
  <c r="AK41" i="31" s="1"/>
  <c r="AL41" i="31" s="1"/>
  <c r="AM41" i="31" s="1"/>
  <c r="AN41" i="31" s="1"/>
  <c r="AO41" i="31" s="1"/>
  <c r="AP41" i="31" s="1"/>
  <c r="K315" i="49"/>
  <c r="AA328" i="49"/>
  <c r="L604" i="49"/>
  <c r="P393" i="49"/>
  <c r="EF19" i="62" s="1"/>
  <c r="I561" i="31"/>
  <c r="J416" i="49"/>
  <c r="AZ22" i="62" s="1"/>
  <c r="AE250" i="31"/>
  <c r="AF250" i="31" s="1"/>
  <c r="AG250" i="31" s="1"/>
  <c r="AH250" i="31" s="1"/>
  <c r="AI250" i="31" s="1"/>
  <c r="AJ250" i="31" s="1"/>
  <c r="AK250" i="31" s="1"/>
  <c r="AL250" i="31" s="1"/>
  <c r="AM250" i="31" s="1"/>
  <c r="AN250" i="31" s="1"/>
  <c r="AO250" i="31" s="1"/>
  <c r="AP250" i="31" s="1"/>
  <c r="V609" i="31"/>
  <c r="AE37" i="49"/>
  <c r="AF37" i="49" s="1"/>
  <c r="AG37" i="49" s="1"/>
  <c r="AH37" i="49" s="1"/>
  <c r="AI37" i="49" s="1"/>
  <c r="AJ37" i="49" s="1"/>
  <c r="AK37" i="49" s="1"/>
  <c r="AL37" i="49" s="1"/>
  <c r="AM37" i="49" s="1"/>
  <c r="AN37" i="49" s="1"/>
  <c r="AO37" i="49" s="1"/>
  <c r="AP37" i="49" s="1"/>
  <c r="O109" i="31"/>
  <c r="L416" i="49"/>
  <c r="CB22" i="62" s="1"/>
  <c r="AD321" i="31"/>
  <c r="I542" i="31"/>
  <c r="X188" i="49"/>
  <c r="AE273" i="49"/>
  <c r="T506" i="49"/>
  <c r="W561" i="31"/>
  <c r="AC565" i="31"/>
  <c r="AD459" i="49"/>
  <c r="AE559" i="49"/>
  <c r="AF559" i="49" s="1"/>
  <c r="AG559" i="49" s="1"/>
  <c r="AH559" i="49" s="1"/>
  <c r="AI559" i="49" s="1"/>
  <c r="AJ559" i="49" s="1"/>
  <c r="AK559" i="49" s="1"/>
  <c r="AL559" i="49" s="1"/>
  <c r="AM559" i="49" s="1"/>
  <c r="AN559" i="49" s="1"/>
  <c r="AO559" i="49" s="1"/>
  <c r="AP559" i="49" s="1"/>
  <c r="X136" i="49"/>
  <c r="Z382" i="49"/>
  <c r="AB80" i="49"/>
  <c r="K208" i="49"/>
  <c r="BN36" i="5" s="1"/>
  <c r="V382" i="31"/>
  <c r="Q347" i="31"/>
  <c r="EV54" i="5" s="1"/>
  <c r="AC614" i="31"/>
  <c r="P356" i="31"/>
  <c r="EH57" i="5" s="1"/>
  <c r="EH42" i="62" s="1"/>
  <c r="Y469" i="49"/>
  <c r="V328" i="31"/>
  <c r="AE274" i="49"/>
  <c r="AF274" i="49" s="1"/>
  <c r="AG274" i="49" s="1"/>
  <c r="AH274" i="49" s="1"/>
  <c r="AI274" i="49" s="1"/>
  <c r="AJ274" i="49" s="1"/>
  <c r="AK274" i="49" s="1"/>
  <c r="AL274" i="49" s="1"/>
  <c r="AM274" i="49" s="1"/>
  <c r="AN274" i="49" s="1"/>
  <c r="AO274" i="49" s="1"/>
  <c r="AP274" i="49" s="1"/>
  <c r="Q382" i="49"/>
  <c r="ET61" i="5" s="1"/>
  <c r="AD47" i="49"/>
  <c r="Z531" i="49"/>
  <c r="AE140" i="49"/>
  <c r="X321" i="31"/>
  <c r="K158" i="49"/>
  <c r="Z71" i="31"/>
  <c r="S416" i="31"/>
  <c r="AE319" i="49"/>
  <c r="AF319" i="49" s="1"/>
  <c r="AG319" i="49" s="1"/>
  <c r="AH319" i="49" s="1"/>
  <c r="AI319" i="49" s="1"/>
  <c r="AJ319" i="49" s="1"/>
  <c r="AK319" i="49" s="1"/>
  <c r="AL319" i="49" s="1"/>
  <c r="AM319" i="49" s="1"/>
  <c r="AN319" i="49" s="1"/>
  <c r="AO319" i="49" s="1"/>
  <c r="AP319" i="49" s="1"/>
  <c r="AE230" i="49"/>
  <c r="AF230" i="49" s="1"/>
  <c r="AG230" i="49" s="1"/>
  <c r="AH230" i="49" s="1"/>
  <c r="AI230" i="49" s="1"/>
  <c r="AJ230" i="49" s="1"/>
  <c r="AK230" i="49" s="1"/>
  <c r="AL230" i="49" s="1"/>
  <c r="AM230" i="49" s="1"/>
  <c r="AN230" i="49" s="1"/>
  <c r="AO230" i="49" s="1"/>
  <c r="AP230" i="49" s="1"/>
  <c r="AD393" i="31"/>
  <c r="AE32" i="31"/>
  <c r="AF32" i="31" s="1"/>
  <c r="AG32" i="31" s="1"/>
  <c r="AH32" i="31" s="1"/>
  <c r="AI32" i="31" s="1"/>
  <c r="AJ32" i="31" s="1"/>
  <c r="AK32" i="31" s="1"/>
  <c r="AL32" i="31" s="1"/>
  <c r="AM32" i="31" s="1"/>
  <c r="AN32" i="31" s="1"/>
  <c r="AO32" i="31" s="1"/>
  <c r="AP32" i="31" s="1"/>
  <c r="X382" i="31"/>
  <c r="AE213" i="31"/>
  <c r="AF213" i="31" s="1"/>
  <c r="AG213" i="31" s="1"/>
  <c r="AH213" i="31" s="1"/>
  <c r="AI213" i="31" s="1"/>
  <c r="AJ213" i="31" s="1"/>
  <c r="AK213" i="31" s="1"/>
  <c r="AL213" i="31" s="1"/>
  <c r="AM213" i="31" s="1"/>
  <c r="AN213" i="31" s="1"/>
  <c r="AO213" i="31" s="1"/>
  <c r="AP213" i="31" s="1"/>
  <c r="H98" i="49"/>
  <c r="X21" i="5" s="1"/>
  <c r="H26" i="49"/>
  <c r="X13" i="5" s="1"/>
  <c r="G267" i="31"/>
  <c r="AE268" i="31"/>
  <c r="AE616" i="49"/>
  <c r="AF616" i="49" s="1"/>
  <c r="AG616" i="49" s="1"/>
  <c r="AH616" i="49" s="1"/>
  <c r="AI616" i="49" s="1"/>
  <c r="AJ616" i="49" s="1"/>
  <c r="AK616" i="49" s="1"/>
  <c r="AL616" i="49" s="1"/>
  <c r="AM616" i="49" s="1"/>
  <c r="AN616" i="49" s="1"/>
  <c r="AO616" i="49" s="1"/>
  <c r="AP616" i="49" s="1"/>
  <c r="AE492" i="49"/>
  <c r="AF492" i="49" s="1"/>
  <c r="AG492" i="49" s="1"/>
  <c r="AH492" i="49" s="1"/>
  <c r="AI492" i="49" s="1"/>
  <c r="AJ492" i="49" s="1"/>
  <c r="AK492" i="49" s="1"/>
  <c r="AL492" i="49" s="1"/>
  <c r="AM492" i="49" s="1"/>
  <c r="AN492" i="49" s="1"/>
  <c r="AO492" i="49" s="1"/>
  <c r="AP492" i="49" s="1"/>
  <c r="J614" i="31"/>
  <c r="H604" i="49"/>
  <c r="AE534" i="49"/>
  <c r="AF534" i="49" s="1"/>
  <c r="AG534" i="49" s="1"/>
  <c r="AH534" i="49" s="1"/>
  <c r="AI534" i="49" s="1"/>
  <c r="AJ534" i="49" s="1"/>
  <c r="AK534" i="49" s="1"/>
  <c r="AL534" i="49" s="1"/>
  <c r="AM534" i="49" s="1"/>
  <c r="AN534" i="49" s="1"/>
  <c r="AO534" i="49" s="1"/>
  <c r="AP534" i="49" s="1"/>
  <c r="AB561" i="49"/>
  <c r="K459" i="31"/>
  <c r="BP27" i="62" s="1"/>
  <c r="BQ27" i="62" s="1"/>
  <c r="H584" i="31"/>
  <c r="AE517" i="31"/>
  <c r="AF517" i="31" s="1"/>
  <c r="AG517" i="31" s="1"/>
  <c r="AH517" i="31" s="1"/>
  <c r="AI517" i="31" s="1"/>
  <c r="AJ517" i="31" s="1"/>
  <c r="AK517" i="31" s="1"/>
  <c r="AL517" i="31" s="1"/>
  <c r="AM517" i="31" s="1"/>
  <c r="AN517" i="31" s="1"/>
  <c r="AO517" i="31" s="1"/>
  <c r="AP517" i="31" s="1"/>
  <c r="AE453" i="31"/>
  <c r="AF453" i="31" s="1"/>
  <c r="AG453" i="31" s="1"/>
  <c r="AH453" i="31" s="1"/>
  <c r="AI453" i="31" s="1"/>
  <c r="AJ453" i="31" s="1"/>
  <c r="AK453" i="31" s="1"/>
  <c r="AL453" i="31" s="1"/>
  <c r="AM453" i="31" s="1"/>
  <c r="AN453" i="31" s="1"/>
  <c r="AO453" i="31" s="1"/>
  <c r="AP453" i="31" s="1"/>
  <c r="I228" i="31"/>
  <c r="R62" i="49"/>
  <c r="FH17" i="5" s="1"/>
  <c r="V333" i="31"/>
  <c r="AE596" i="49"/>
  <c r="AF596" i="49" s="1"/>
  <c r="AG596" i="49" s="1"/>
  <c r="AH596" i="49" s="1"/>
  <c r="AI596" i="49" s="1"/>
  <c r="AJ596" i="49" s="1"/>
  <c r="AK596" i="49" s="1"/>
  <c r="AL596" i="49" s="1"/>
  <c r="AM596" i="49" s="1"/>
  <c r="AN596" i="49" s="1"/>
  <c r="AO596" i="49" s="1"/>
  <c r="AP596" i="49" s="1"/>
  <c r="AE28" i="31"/>
  <c r="AF28" i="31" s="1"/>
  <c r="AG28" i="31" s="1"/>
  <c r="AH28" i="31" s="1"/>
  <c r="AI28" i="31" s="1"/>
  <c r="AJ28" i="31" s="1"/>
  <c r="AK28" i="31" s="1"/>
  <c r="AL28" i="31" s="1"/>
  <c r="AM28" i="31" s="1"/>
  <c r="AN28" i="31" s="1"/>
  <c r="AO28" i="31" s="1"/>
  <c r="AP28" i="31" s="1"/>
  <c r="P416" i="31"/>
  <c r="EH22" i="62" s="1"/>
  <c r="EI22" i="62" s="1"/>
  <c r="O208" i="49"/>
  <c r="DR36" i="5" s="1"/>
  <c r="R144" i="49"/>
  <c r="FH27" i="5" s="1"/>
  <c r="T256" i="49"/>
  <c r="AE143" i="31"/>
  <c r="M366" i="49"/>
  <c r="CP58" i="5" s="1"/>
  <c r="H506" i="49"/>
  <c r="X34" i="62" s="1"/>
  <c r="AB604" i="31"/>
  <c r="O476" i="49"/>
  <c r="DR30" i="62" s="1"/>
  <c r="Z89" i="31"/>
  <c r="W604" i="49"/>
  <c r="AD26" i="31"/>
  <c r="K557" i="31"/>
  <c r="Z333" i="31"/>
  <c r="Y228" i="31"/>
  <c r="P178" i="49"/>
  <c r="U459" i="31"/>
  <c r="M333" i="31"/>
  <c r="CR52" i="5" s="1"/>
  <c r="CS52" i="5" s="1"/>
  <c r="H506" i="31"/>
  <c r="Z34" i="62" s="1"/>
  <c r="AA34" i="62" s="1"/>
  <c r="W219" i="49"/>
  <c r="AE395" i="49"/>
  <c r="AF395" i="49" s="1"/>
  <c r="AG395" i="49" s="1"/>
  <c r="AH395" i="49" s="1"/>
  <c r="AI395" i="49" s="1"/>
  <c r="AJ395" i="49" s="1"/>
  <c r="AK395" i="49" s="1"/>
  <c r="AL395" i="49" s="1"/>
  <c r="AM395" i="49" s="1"/>
  <c r="AN395" i="49" s="1"/>
  <c r="AO395" i="49" s="1"/>
  <c r="AP395" i="49" s="1"/>
  <c r="AE15" i="31"/>
  <c r="AF15" i="31" s="1"/>
  <c r="AG15" i="31" s="1"/>
  <c r="AH15" i="31" s="1"/>
  <c r="AI15" i="31" s="1"/>
  <c r="AJ15" i="31" s="1"/>
  <c r="AK15" i="31" s="1"/>
  <c r="AL15" i="31" s="1"/>
  <c r="AM15" i="31" s="1"/>
  <c r="AN15" i="31" s="1"/>
  <c r="AO15" i="31" s="1"/>
  <c r="AP15" i="31" s="1"/>
  <c r="J393" i="49"/>
  <c r="AZ19" i="62" s="1"/>
  <c r="W506" i="49"/>
  <c r="O62" i="31"/>
  <c r="DT17" i="5" s="1"/>
  <c r="DU17" i="5" s="1"/>
  <c r="Y267" i="49"/>
  <c r="U188" i="49"/>
  <c r="AC62" i="31"/>
  <c r="H144" i="49"/>
  <c r="X27" i="5" s="1"/>
  <c r="AE617" i="31"/>
  <c r="AF617" i="31" s="1"/>
  <c r="AG617" i="31" s="1"/>
  <c r="AH617" i="31" s="1"/>
  <c r="AI617" i="31" s="1"/>
  <c r="AJ617" i="31" s="1"/>
  <c r="AK617" i="31" s="1"/>
  <c r="AL617" i="31" s="1"/>
  <c r="AM617" i="31" s="1"/>
  <c r="AN617" i="31" s="1"/>
  <c r="AO617" i="31" s="1"/>
  <c r="AP617" i="31" s="1"/>
  <c r="S382" i="31"/>
  <c r="AE612" i="49"/>
  <c r="AF612" i="49" s="1"/>
  <c r="AG612" i="49" s="1"/>
  <c r="AH612" i="49" s="1"/>
  <c r="AI612" i="49" s="1"/>
  <c r="AJ612" i="49" s="1"/>
  <c r="AK612" i="49" s="1"/>
  <c r="AL612" i="49" s="1"/>
  <c r="AM612" i="49" s="1"/>
  <c r="AN612" i="49" s="1"/>
  <c r="AO612" i="49" s="1"/>
  <c r="AP612" i="49" s="1"/>
  <c r="T26" i="31"/>
  <c r="K333" i="49"/>
  <c r="BN52" i="5" s="1"/>
  <c r="AE252" i="49"/>
  <c r="AF252" i="49" s="1"/>
  <c r="AG252" i="49" s="1"/>
  <c r="AH252" i="49" s="1"/>
  <c r="AI252" i="49" s="1"/>
  <c r="AJ252" i="49" s="1"/>
  <c r="AK252" i="49" s="1"/>
  <c r="AL252" i="49" s="1"/>
  <c r="AM252" i="49" s="1"/>
  <c r="AN252" i="49" s="1"/>
  <c r="AO252" i="49" s="1"/>
  <c r="AP252" i="49" s="1"/>
  <c r="L168" i="31"/>
  <c r="H256" i="49"/>
  <c r="X40" i="5" s="1"/>
  <c r="AE401" i="49"/>
  <c r="AF401" i="49" s="1"/>
  <c r="AG401" i="49" s="1"/>
  <c r="AH401" i="49" s="1"/>
  <c r="AI401" i="49" s="1"/>
  <c r="AJ401" i="49" s="1"/>
  <c r="AK401" i="49" s="1"/>
  <c r="AL401" i="49" s="1"/>
  <c r="AM401" i="49" s="1"/>
  <c r="AN401" i="49" s="1"/>
  <c r="AO401" i="49" s="1"/>
  <c r="AP401" i="49" s="1"/>
  <c r="K153" i="31"/>
  <c r="BP28" i="5" s="1"/>
  <c r="BQ28" i="5" s="1"/>
  <c r="X98" i="49"/>
  <c r="AE434" i="31"/>
  <c r="AF434" i="31" s="1"/>
  <c r="AG434" i="31" s="1"/>
  <c r="AH434" i="31" s="1"/>
  <c r="AI434" i="31" s="1"/>
  <c r="AJ434" i="31" s="1"/>
  <c r="AK434" i="31" s="1"/>
  <c r="AL434" i="31" s="1"/>
  <c r="AM434" i="31" s="1"/>
  <c r="AN434" i="31" s="1"/>
  <c r="AO434" i="31" s="1"/>
  <c r="AP434" i="31" s="1"/>
  <c r="S315" i="49"/>
  <c r="M35" i="31"/>
  <c r="CR14" i="5" s="1"/>
  <c r="CS14" i="5" s="1"/>
  <c r="AE509" i="31"/>
  <c r="AF509" i="31" s="1"/>
  <c r="AG509" i="31" s="1"/>
  <c r="AH509" i="31" s="1"/>
  <c r="AI509" i="31" s="1"/>
  <c r="AJ509" i="31" s="1"/>
  <c r="AK509" i="31" s="1"/>
  <c r="AL509" i="31" s="1"/>
  <c r="AM509" i="31" s="1"/>
  <c r="AN509" i="31" s="1"/>
  <c r="AO509" i="31" s="1"/>
  <c r="AP509" i="31" s="1"/>
  <c r="X347" i="49"/>
  <c r="J442" i="31"/>
  <c r="BB26" i="62" s="1"/>
  <c r="AA340" i="49"/>
  <c r="L26" i="49"/>
  <c r="AA382" i="49"/>
  <c r="I238" i="49"/>
  <c r="L98" i="49"/>
  <c r="J482" i="31"/>
  <c r="BB32" i="62" s="1"/>
  <c r="BC32" i="62" s="1"/>
  <c r="AE60" i="49"/>
  <c r="AD178" i="49"/>
  <c r="AE214" i="49"/>
  <c r="AF214" i="49" s="1"/>
  <c r="AG214" i="49" s="1"/>
  <c r="AH214" i="49" s="1"/>
  <c r="AI214" i="49" s="1"/>
  <c r="AJ214" i="49" s="1"/>
  <c r="AK214" i="49" s="1"/>
  <c r="AL214" i="49" s="1"/>
  <c r="AM214" i="49" s="1"/>
  <c r="AN214" i="49" s="1"/>
  <c r="AO214" i="49" s="1"/>
  <c r="AP214" i="49" s="1"/>
  <c r="P109" i="49"/>
  <c r="Q35" i="49"/>
  <c r="ET14" i="5" s="1"/>
  <c r="AE66" i="31"/>
  <c r="AF66" i="31" s="1"/>
  <c r="AG66" i="31" s="1"/>
  <c r="AH66" i="31" s="1"/>
  <c r="AI66" i="31" s="1"/>
  <c r="AJ66" i="31" s="1"/>
  <c r="AK66" i="31" s="1"/>
  <c r="AL66" i="31" s="1"/>
  <c r="AM66" i="31" s="1"/>
  <c r="AN66" i="31" s="1"/>
  <c r="AO66" i="31" s="1"/>
  <c r="AP66" i="31" s="1"/>
  <c r="AE207" i="49"/>
  <c r="AF207" i="49" s="1"/>
  <c r="AG207" i="49" s="1"/>
  <c r="AH207" i="49" s="1"/>
  <c r="AI207" i="49" s="1"/>
  <c r="AJ207" i="49" s="1"/>
  <c r="AK207" i="49" s="1"/>
  <c r="AL207" i="49" s="1"/>
  <c r="AM207" i="49" s="1"/>
  <c r="AN207" i="49" s="1"/>
  <c r="AO207" i="49" s="1"/>
  <c r="AP207" i="49" s="1"/>
  <c r="J168" i="49"/>
  <c r="AZ32" i="5" s="1"/>
  <c r="AB301" i="31"/>
  <c r="U569" i="49"/>
  <c r="Y228" i="49"/>
  <c r="L442" i="49"/>
  <c r="CB26" i="62" s="1"/>
  <c r="AE466" i="31"/>
  <c r="AF466" i="31" s="1"/>
  <c r="AG466" i="31" s="1"/>
  <c r="AH466" i="31" s="1"/>
  <c r="AI466" i="31" s="1"/>
  <c r="AJ466" i="31" s="1"/>
  <c r="AK466" i="31" s="1"/>
  <c r="AL466" i="31" s="1"/>
  <c r="AM466" i="31" s="1"/>
  <c r="AN466" i="31" s="1"/>
  <c r="AO466" i="31" s="1"/>
  <c r="AP466" i="31" s="1"/>
  <c r="AC306" i="31"/>
  <c r="AC557" i="49"/>
  <c r="J306" i="49"/>
  <c r="AZ46" i="5" s="1"/>
  <c r="M469" i="49"/>
  <c r="CP28" i="62" s="1"/>
  <c r="I531" i="49"/>
  <c r="V238" i="31"/>
  <c r="O35" i="31"/>
  <c r="DT14" i="5" s="1"/>
  <c r="DU14" i="5" s="1"/>
  <c r="AC340" i="49"/>
  <c r="L178" i="49"/>
  <c r="AC136" i="49"/>
  <c r="X62" i="31"/>
  <c r="K26" i="31"/>
  <c r="BP13" i="5" s="1"/>
  <c r="BQ13" i="5" s="1"/>
  <c r="Z614" i="31"/>
  <c r="AA26" i="49"/>
  <c r="AA333" i="49"/>
  <c r="J487" i="31"/>
  <c r="BB33" i="62" s="1"/>
  <c r="BC33" i="62" s="1"/>
  <c r="AE125" i="31"/>
  <c r="AF125" i="31" s="1"/>
  <c r="AG125" i="31" s="1"/>
  <c r="AH125" i="31" s="1"/>
  <c r="AI125" i="31" s="1"/>
  <c r="AJ125" i="31" s="1"/>
  <c r="AK125" i="31" s="1"/>
  <c r="AL125" i="31" s="1"/>
  <c r="AM125" i="31" s="1"/>
  <c r="AN125" i="31" s="1"/>
  <c r="AO125" i="31" s="1"/>
  <c r="AP125" i="31" s="1"/>
  <c r="H569" i="49"/>
  <c r="I459" i="31"/>
  <c r="AN27" i="62" s="1"/>
  <c r="AO27" i="62" s="1"/>
  <c r="G178" i="31"/>
  <c r="AE179" i="31"/>
  <c r="AB188" i="49"/>
  <c r="H127" i="49"/>
  <c r="X25" i="5" s="1"/>
  <c r="Y482" i="49"/>
  <c r="K62" i="31"/>
  <c r="BP17" i="5" s="1"/>
  <c r="BQ17" i="5" s="1"/>
  <c r="X219" i="31"/>
  <c r="AC614" i="49"/>
  <c r="L584" i="31"/>
  <c r="M9" i="49"/>
  <c r="AE573" i="49"/>
  <c r="AF573" i="49" s="1"/>
  <c r="AG573" i="49" s="1"/>
  <c r="AH573" i="49" s="1"/>
  <c r="AI573" i="49" s="1"/>
  <c r="AJ573" i="49" s="1"/>
  <c r="AK573" i="49" s="1"/>
  <c r="AL573" i="49" s="1"/>
  <c r="AM573" i="49" s="1"/>
  <c r="AN573" i="49" s="1"/>
  <c r="AO573" i="49" s="1"/>
  <c r="AP573" i="49" s="1"/>
  <c r="AA482" i="49"/>
  <c r="AE34" i="31"/>
  <c r="AF34" i="31" s="1"/>
  <c r="AG34" i="31" s="1"/>
  <c r="AH34" i="31" s="1"/>
  <c r="AI34" i="31" s="1"/>
  <c r="AJ34" i="31" s="1"/>
  <c r="AK34" i="31" s="1"/>
  <c r="AL34" i="31" s="1"/>
  <c r="AM34" i="31" s="1"/>
  <c r="AN34" i="31" s="1"/>
  <c r="AO34" i="31" s="1"/>
  <c r="AP34" i="31" s="1"/>
  <c r="O531" i="31"/>
  <c r="AE132" i="31"/>
  <c r="AF132" i="31" s="1"/>
  <c r="AG132" i="31" s="1"/>
  <c r="AH132" i="31" s="1"/>
  <c r="AI132" i="31" s="1"/>
  <c r="AJ132" i="31" s="1"/>
  <c r="AK132" i="31" s="1"/>
  <c r="AL132" i="31" s="1"/>
  <c r="AM132" i="31" s="1"/>
  <c r="AN132" i="31" s="1"/>
  <c r="AO132" i="31" s="1"/>
  <c r="AP132" i="31" s="1"/>
  <c r="N600" i="31"/>
  <c r="L127" i="31"/>
  <c r="AE194" i="31"/>
  <c r="AF194" i="31" s="1"/>
  <c r="AG194" i="31" s="1"/>
  <c r="AH194" i="31" s="1"/>
  <c r="AI194" i="31" s="1"/>
  <c r="AJ194" i="31" s="1"/>
  <c r="AK194" i="31" s="1"/>
  <c r="AL194" i="31" s="1"/>
  <c r="AM194" i="31" s="1"/>
  <c r="AN194" i="31" s="1"/>
  <c r="AO194" i="31" s="1"/>
  <c r="AP194" i="31" s="1"/>
  <c r="J256" i="31"/>
  <c r="BB40" i="5" s="1"/>
  <c r="K340" i="49"/>
  <c r="BN53" i="5" s="1"/>
  <c r="BN44" i="62" s="1"/>
  <c r="AF332" i="49"/>
  <c r="AG332" i="49" s="1"/>
  <c r="AH332" i="49" s="1"/>
  <c r="AI332" i="49" s="1"/>
  <c r="AJ332" i="49" s="1"/>
  <c r="AK332" i="49" s="1"/>
  <c r="AL332" i="49" s="1"/>
  <c r="AM332" i="49" s="1"/>
  <c r="AN332" i="49" s="1"/>
  <c r="AO332" i="49" s="1"/>
  <c r="AP332" i="49" s="1"/>
  <c r="W382" i="49"/>
  <c r="K62" i="49"/>
  <c r="BN17" i="5" s="1"/>
  <c r="AE410" i="31"/>
  <c r="AF410" i="31" s="1"/>
  <c r="AG410" i="31" s="1"/>
  <c r="AH410" i="31" s="1"/>
  <c r="AI410" i="31" s="1"/>
  <c r="AJ410" i="31" s="1"/>
  <c r="AK410" i="31" s="1"/>
  <c r="AL410" i="31" s="1"/>
  <c r="AM410" i="31" s="1"/>
  <c r="AN410" i="31" s="1"/>
  <c r="AO410" i="31" s="1"/>
  <c r="AP410" i="31" s="1"/>
  <c r="J109" i="31"/>
  <c r="AC98" i="31"/>
  <c r="AE224" i="49"/>
  <c r="AF224" i="49" s="1"/>
  <c r="AG224" i="49" s="1"/>
  <c r="AH224" i="49" s="1"/>
  <c r="AI224" i="49" s="1"/>
  <c r="AJ224" i="49" s="1"/>
  <c r="AK224" i="49" s="1"/>
  <c r="AL224" i="49" s="1"/>
  <c r="AM224" i="49" s="1"/>
  <c r="AN224" i="49" s="1"/>
  <c r="AO224" i="49" s="1"/>
  <c r="AP224" i="49" s="1"/>
  <c r="S35" i="49"/>
  <c r="S228" i="31"/>
  <c r="AB267" i="31"/>
  <c r="W228" i="31"/>
  <c r="T382" i="31"/>
  <c r="J366" i="31"/>
  <c r="BB58" i="5" s="1"/>
  <c r="BC58" i="5" s="1"/>
  <c r="AE119" i="49"/>
  <c r="AF119" i="49" s="1"/>
  <c r="AG119" i="49" s="1"/>
  <c r="AH119" i="49" s="1"/>
  <c r="AI119" i="49" s="1"/>
  <c r="AJ119" i="49" s="1"/>
  <c r="AK119" i="49" s="1"/>
  <c r="AL119" i="49" s="1"/>
  <c r="AM119" i="49" s="1"/>
  <c r="AN119" i="49" s="1"/>
  <c r="AO119" i="49" s="1"/>
  <c r="AP119" i="49" s="1"/>
  <c r="AE574" i="31"/>
  <c r="AF574" i="31" s="1"/>
  <c r="AG574" i="31" s="1"/>
  <c r="AH574" i="31" s="1"/>
  <c r="AI574" i="31" s="1"/>
  <c r="AJ574" i="31" s="1"/>
  <c r="AK574" i="31" s="1"/>
  <c r="AL574" i="31" s="1"/>
  <c r="AM574" i="31" s="1"/>
  <c r="AN574" i="31" s="1"/>
  <c r="AO574" i="31" s="1"/>
  <c r="AP574" i="31" s="1"/>
  <c r="AB158" i="49"/>
  <c r="V178" i="31"/>
  <c r="O506" i="49"/>
  <c r="DR34" i="62" s="1"/>
  <c r="AE509" i="49"/>
  <c r="V293" i="49"/>
  <c r="Z228" i="49"/>
  <c r="L80" i="49"/>
  <c r="CB19" i="5" s="1"/>
  <c r="H62" i="31"/>
  <c r="AE68" i="31"/>
  <c r="AF68" i="31" s="1"/>
  <c r="AG68" i="31" s="1"/>
  <c r="AH68" i="31" s="1"/>
  <c r="AI68" i="31" s="1"/>
  <c r="AJ68" i="31" s="1"/>
  <c r="AK68" i="31" s="1"/>
  <c r="AL68" i="31" s="1"/>
  <c r="AM68" i="31" s="1"/>
  <c r="AN68" i="31" s="1"/>
  <c r="AO68" i="31" s="1"/>
  <c r="AP68" i="31" s="1"/>
  <c r="P442" i="49"/>
  <c r="EF26" i="62" s="1"/>
  <c r="AE166" i="31"/>
  <c r="AF166" i="31" s="1"/>
  <c r="AG166" i="31" s="1"/>
  <c r="Y62" i="49"/>
  <c r="AE13" i="49"/>
  <c r="AF13" i="49" s="1"/>
  <c r="AG13" i="49" s="1"/>
  <c r="AH13" i="49" s="1"/>
  <c r="AI13" i="49" s="1"/>
  <c r="AJ13" i="49" s="1"/>
  <c r="AK13" i="49" s="1"/>
  <c r="AL13" i="49" s="1"/>
  <c r="AM13" i="49" s="1"/>
  <c r="AN13" i="49" s="1"/>
  <c r="AO13" i="49" s="1"/>
  <c r="AP13" i="49" s="1"/>
  <c r="AE513" i="49"/>
  <c r="AF513" i="49" s="1"/>
  <c r="AG513" i="49" s="1"/>
  <c r="AH513" i="49" s="1"/>
  <c r="AI513" i="49" s="1"/>
  <c r="AJ513" i="49" s="1"/>
  <c r="AK513" i="49" s="1"/>
  <c r="AL513" i="49" s="1"/>
  <c r="AM513" i="49" s="1"/>
  <c r="AN513" i="49" s="1"/>
  <c r="AO513" i="49" s="1"/>
  <c r="AP513" i="49" s="1"/>
  <c r="AB340" i="49"/>
  <c r="AE91" i="49"/>
  <c r="AF91" i="49" s="1"/>
  <c r="AG91" i="49" s="1"/>
  <c r="AH91" i="49" s="1"/>
  <c r="AI91" i="49" s="1"/>
  <c r="AJ91" i="49" s="1"/>
  <c r="AK91" i="49" s="1"/>
  <c r="AL91" i="49" s="1"/>
  <c r="AM91" i="49" s="1"/>
  <c r="AN91" i="49" s="1"/>
  <c r="AO91" i="49" s="1"/>
  <c r="AP91" i="49" s="1"/>
  <c r="AC228" i="49"/>
  <c r="V459" i="31"/>
  <c r="AC377" i="31"/>
  <c r="AE470" i="31"/>
  <c r="G469" i="31"/>
  <c r="L28" i="62" s="1"/>
  <c r="AD561" i="31"/>
  <c r="Q293" i="31"/>
  <c r="EV43" i="5" s="1"/>
  <c r="V219" i="49"/>
  <c r="AE181" i="49"/>
  <c r="AF181" i="49" s="1"/>
  <c r="AG181" i="49" s="1"/>
  <c r="AH181" i="49" s="1"/>
  <c r="AI181" i="49" s="1"/>
  <c r="AJ181" i="49" s="1"/>
  <c r="AK181" i="49" s="1"/>
  <c r="AL181" i="49" s="1"/>
  <c r="AM181" i="49" s="1"/>
  <c r="AN181" i="49" s="1"/>
  <c r="AO181" i="49" s="1"/>
  <c r="AP181" i="49" s="1"/>
  <c r="AE499" i="49"/>
  <c r="AF499" i="49" s="1"/>
  <c r="AG499" i="49" s="1"/>
  <c r="AH499" i="49" s="1"/>
  <c r="AI499" i="49" s="1"/>
  <c r="AJ499" i="49" s="1"/>
  <c r="AK499" i="49" s="1"/>
  <c r="AL499" i="49" s="1"/>
  <c r="AM499" i="49" s="1"/>
  <c r="AN499" i="49" s="1"/>
  <c r="AO499" i="49" s="1"/>
  <c r="AP499" i="49" s="1"/>
  <c r="AC321" i="49"/>
  <c r="I506" i="49"/>
  <c r="AL34" i="62" s="1"/>
  <c r="AE368" i="31"/>
  <c r="AF368" i="31" s="1"/>
  <c r="AG368" i="31" s="1"/>
  <c r="AH368" i="31" s="1"/>
  <c r="AI368" i="31" s="1"/>
  <c r="AJ368" i="31" s="1"/>
  <c r="AK368" i="31" s="1"/>
  <c r="AL368" i="31" s="1"/>
  <c r="AM368" i="31" s="1"/>
  <c r="AN368" i="31" s="1"/>
  <c r="AO368" i="31" s="1"/>
  <c r="AP368" i="31" s="1"/>
  <c r="AE282" i="49"/>
  <c r="AF282" i="49" s="1"/>
  <c r="AG282" i="49" s="1"/>
  <c r="AH282" i="49" s="1"/>
  <c r="AI282" i="49" s="1"/>
  <c r="AJ282" i="49" s="1"/>
  <c r="AK282" i="49" s="1"/>
  <c r="AL282" i="49" s="1"/>
  <c r="AM282" i="49" s="1"/>
  <c r="AN282" i="49" s="1"/>
  <c r="AO282" i="49" s="1"/>
  <c r="AP282" i="49" s="1"/>
  <c r="Z321" i="49"/>
  <c r="Z366" i="49"/>
  <c r="AE276" i="49"/>
  <c r="AF276" i="49" s="1"/>
  <c r="AG276" i="49" s="1"/>
  <c r="AH276" i="49" s="1"/>
  <c r="AI276" i="49" s="1"/>
  <c r="AJ276" i="49" s="1"/>
  <c r="AK276" i="49" s="1"/>
  <c r="AL276" i="49" s="1"/>
  <c r="AM276" i="49" s="1"/>
  <c r="AN276" i="49" s="1"/>
  <c r="AO276" i="49" s="1"/>
  <c r="AP276" i="49" s="1"/>
  <c r="AE374" i="31"/>
  <c r="R600" i="31"/>
  <c r="O321" i="31"/>
  <c r="DT50" i="5" s="1"/>
  <c r="DU50" i="5" s="1"/>
  <c r="AE400" i="31"/>
  <c r="L531" i="31"/>
  <c r="O569" i="49"/>
  <c r="V188" i="49"/>
  <c r="H416" i="49"/>
  <c r="X22" i="62" s="1"/>
  <c r="K321" i="49"/>
  <c r="BN50" i="5" s="1"/>
  <c r="AA487" i="49"/>
  <c r="AC347" i="49"/>
  <c r="U286" i="31"/>
  <c r="AC366" i="49"/>
  <c r="AE320" i="31"/>
  <c r="AF320" i="31" s="1"/>
  <c r="AG320" i="31" s="1"/>
  <c r="AH320" i="31" s="1"/>
  <c r="AI320" i="31" s="1"/>
  <c r="AJ320" i="31" s="1"/>
  <c r="AK320" i="31" s="1"/>
  <c r="AL320" i="31" s="1"/>
  <c r="AM320" i="31" s="1"/>
  <c r="AN320" i="31" s="1"/>
  <c r="AO320" i="31" s="1"/>
  <c r="AP320" i="31" s="1"/>
  <c r="K144" i="31"/>
  <c r="BP27" i="5" s="1"/>
  <c r="BQ27" i="5" s="1"/>
  <c r="R219" i="49"/>
  <c r="FH37" i="5" s="1"/>
  <c r="P286" i="49"/>
  <c r="EF42" i="5" s="1"/>
  <c r="Q9" i="31"/>
  <c r="V158" i="49"/>
  <c r="V565" i="31"/>
  <c r="AC604" i="31"/>
  <c r="L293" i="31"/>
  <c r="L609" i="49"/>
  <c r="M557" i="49"/>
  <c r="R584" i="31"/>
  <c r="M476" i="49"/>
  <c r="CP30" i="62" s="1"/>
  <c r="AE451" i="31"/>
  <c r="AF451" i="31" s="1"/>
  <c r="AG451" i="31" s="1"/>
  <c r="AH451" i="31" s="1"/>
  <c r="AI451" i="31" s="1"/>
  <c r="AJ451" i="31" s="1"/>
  <c r="AK451" i="31" s="1"/>
  <c r="AL451" i="31" s="1"/>
  <c r="AM451" i="31" s="1"/>
  <c r="AN451" i="31" s="1"/>
  <c r="AO451" i="31" s="1"/>
  <c r="AP451" i="31" s="1"/>
  <c r="AC442" i="31"/>
  <c r="AE43" i="31"/>
  <c r="AF43" i="31" s="1"/>
  <c r="AG43" i="31" s="1"/>
  <c r="AH43" i="31" s="1"/>
  <c r="AI43" i="31" s="1"/>
  <c r="AJ43" i="31" s="1"/>
  <c r="AK43" i="31" s="1"/>
  <c r="AL43" i="31" s="1"/>
  <c r="AM43" i="31" s="1"/>
  <c r="AN43" i="31" s="1"/>
  <c r="AO43" i="31" s="1"/>
  <c r="AP43" i="31" s="1"/>
  <c r="AD542" i="31"/>
  <c r="J356" i="31"/>
  <c r="BB57" i="5" s="1"/>
  <c r="BB42" i="62" s="1"/>
  <c r="AG64" i="31"/>
  <c r="AH64" i="31" s="1"/>
  <c r="AI64" i="31" s="1"/>
  <c r="AE579" i="31"/>
  <c r="AF579" i="31" s="1"/>
  <c r="AG579" i="31" s="1"/>
  <c r="AH579" i="31" s="1"/>
  <c r="AI579" i="31" s="1"/>
  <c r="AJ579" i="31" s="1"/>
  <c r="AK579" i="31" s="1"/>
  <c r="AL579" i="31" s="1"/>
  <c r="AM579" i="31" s="1"/>
  <c r="AN579" i="31" s="1"/>
  <c r="AO579" i="31" s="1"/>
  <c r="AP579" i="31" s="1"/>
  <c r="AE326" i="31"/>
  <c r="AF326" i="31" s="1"/>
  <c r="AG326" i="31" s="1"/>
  <c r="AH326" i="31" s="1"/>
  <c r="AI326" i="31" s="1"/>
  <c r="AJ326" i="31" s="1"/>
  <c r="AK326" i="31" s="1"/>
  <c r="AL326" i="31" s="1"/>
  <c r="AM326" i="31" s="1"/>
  <c r="AN326" i="31" s="1"/>
  <c r="AO326" i="31" s="1"/>
  <c r="AP326" i="31" s="1"/>
  <c r="AE206" i="49"/>
  <c r="AF206" i="49" s="1"/>
  <c r="AG206" i="49" s="1"/>
  <c r="AH206" i="49" s="1"/>
  <c r="AI206" i="49" s="1"/>
  <c r="AJ206" i="49" s="1"/>
  <c r="AK206" i="49" s="1"/>
  <c r="AL206" i="49" s="1"/>
  <c r="AM206" i="49" s="1"/>
  <c r="AN206" i="49" s="1"/>
  <c r="AO206" i="49" s="1"/>
  <c r="AP206" i="49" s="1"/>
  <c r="T604" i="49"/>
  <c r="O127" i="31"/>
  <c r="DT25" i="5" s="1"/>
  <c r="DU25" i="5" s="1"/>
  <c r="N609" i="49"/>
  <c r="S136" i="31"/>
  <c r="AE373" i="31"/>
  <c r="AF373" i="31" s="1"/>
  <c r="AG373" i="31" s="1"/>
  <c r="AH373" i="31" s="1"/>
  <c r="AI373" i="31" s="1"/>
  <c r="AJ373" i="31" s="1"/>
  <c r="AK373" i="31" s="1"/>
  <c r="AL373" i="31" s="1"/>
  <c r="AM373" i="31" s="1"/>
  <c r="AN373" i="31" s="1"/>
  <c r="AO373" i="31" s="1"/>
  <c r="AP373" i="31" s="1"/>
  <c r="AD315" i="31"/>
  <c r="Z531" i="31"/>
  <c r="AB219" i="49"/>
  <c r="G301" i="31"/>
  <c r="AE302" i="31"/>
  <c r="AF302" i="31" s="1"/>
  <c r="K306" i="49"/>
  <c r="BN46" i="5" s="1"/>
  <c r="M144" i="31"/>
  <c r="CR27" i="5" s="1"/>
  <c r="CS27" i="5" s="1"/>
  <c r="V356" i="49"/>
  <c r="Q506" i="31"/>
  <c r="EV34" i="62" s="1"/>
  <c r="EW34" i="62" s="1"/>
  <c r="AE494" i="49"/>
  <c r="AF494" i="49" s="1"/>
  <c r="AG494" i="49" s="1"/>
  <c r="AH494" i="49" s="1"/>
  <c r="AI494" i="49" s="1"/>
  <c r="AJ494" i="49" s="1"/>
  <c r="AK494" i="49" s="1"/>
  <c r="AL494" i="49" s="1"/>
  <c r="AM494" i="49" s="1"/>
  <c r="AN494" i="49" s="1"/>
  <c r="AO494" i="49" s="1"/>
  <c r="AP494" i="49" s="1"/>
  <c r="G459" i="31"/>
  <c r="AE460" i="31"/>
  <c r="K47" i="31"/>
  <c r="BP16" i="5" s="1"/>
  <c r="BQ16" i="5" s="1"/>
  <c r="AE236" i="49"/>
  <c r="AF236" i="49" s="1"/>
  <c r="AG236" i="49" s="1"/>
  <c r="AH236" i="49" s="1"/>
  <c r="AI236" i="49" s="1"/>
  <c r="AJ236" i="49" s="1"/>
  <c r="AK236" i="49" s="1"/>
  <c r="AL236" i="49" s="1"/>
  <c r="AM236" i="49" s="1"/>
  <c r="AN236" i="49" s="1"/>
  <c r="AO236" i="49" s="1"/>
  <c r="AP236" i="49" s="1"/>
  <c r="O301" i="49"/>
  <c r="DR45" i="5" s="1"/>
  <c r="AA301" i="31"/>
  <c r="X80" i="49"/>
  <c r="AE304" i="31"/>
  <c r="AF304" i="31" s="1"/>
  <c r="AG304" i="31" s="1"/>
  <c r="AH304" i="31" s="1"/>
  <c r="AI304" i="31" s="1"/>
  <c r="AJ304" i="31" s="1"/>
  <c r="AK304" i="31" s="1"/>
  <c r="AL304" i="31" s="1"/>
  <c r="AM304" i="31" s="1"/>
  <c r="AN304" i="31" s="1"/>
  <c r="AO304" i="31" s="1"/>
  <c r="AP304" i="31" s="1"/>
  <c r="V416" i="49"/>
  <c r="AB47" i="31"/>
  <c r="Z356" i="49"/>
  <c r="X393" i="49"/>
  <c r="Y506" i="31"/>
  <c r="T286" i="49"/>
  <c r="AE547" i="49"/>
  <c r="AF547" i="49" s="1"/>
  <c r="AG547" i="49" s="1"/>
  <c r="AH547" i="49" s="1"/>
  <c r="AI547" i="49" s="1"/>
  <c r="AJ547" i="49" s="1"/>
  <c r="AK547" i="49" s="1"/>
  <c r="AL547" i="49" s="1"/>
  <c r="AM547" i="49" s="1"/>
  <c r="AN547" i="49" s="1"/>
  <c r="AO547" i="49" s="1"/>
  <c r="AP547" i="49" s="1"/>
  <c r="AE94" i="49"/>
  <c r="AF94" i="49" s="1"/>
  <c r="AG94" i="49" s="1"/>
  <c r="AH94" i="49" s="1"/>
  <c r="AI94" i="49" s="1"/>
  <c r="AJ94" i="49" s="1"/>
  <c r="AK94" i="49" s="1"/>
  <c r="AL94" i="49" s="1"/>
  <c r="AM94" i="49" s="1"/>
  <c r="AN94" i="49" s="1"/>
  <c r="AO94" i="49" s="1"/>
  <c r="AP94" i="49" s="1"/>
  <c r="O557" i="49"/>
  <c r="J565" i="31"/>
  <c r="AE253" i="31"/>
  <c r="AF253" i="31" s="1"/>
  <c r="AG253" i="31" s="1"/>
  <c r="AH253" i="31" s="1"/>
  <c r="AI253" i="31" s="1"/>
  <c r="AJ253" i="31" s="1"/>
  <c r="AK253" i="31" s="1"/>
  <c r="AL253" i="31" s="1"/>
  <c r="AM253" i="31" s="1"/>
  <c r="AN253" i="31" s="1"/>
  <c r="AO253" i="31" s="1"/>
  <c r="AP253" i="31" s="1"/>
  <c r="AE233" i="49"/>
  <c r="AF233" i="49" s="1"/>
  <c r="AG233" i="49" s="1"/>
  <c r="AH233" i="49" s="1"/>
  <c r="AI233" i="49" s="1"/>
  <c r="AJ233" i="49" s="1"/>
  <c r="AK233" i="49" s="1"/>
  <c r="AL233" i="49" s="1"/>
  <c r="AM233" i="49" s="1"/>
  <c r="AN233" i="49" s="1"/>
  <c r="AO233" i="49" s="1"/>
  <c r="AP233" i="49" s="1"/>
  <c r="AE203" i="49"/>
  <c r="AF203" i="49" s="1"/>
  <c r="AG203" i="49" s="1"/>
  <c r="AH203" i="49" s="1"/>
  <c r="AI203" i="49" s="1"/>
  <c r="AJ203" i="49" s="1"/>
  <c r="AK203" i="49" s="1"/>
  <c r="AL203" i="49" s="1"/>
  <c r="AM203" i="49" s="1"/>
  <c r="AN203" i="49" s="1"/>
  <c r="AO203" i="49" s="1"/>
  <c r="AP203" i="49" s="1"/>
  <c r="T89" i="49"/>
  <c r="Z604" i="31"/>
  <c r="W136" i="31"/>
  <c r="V98" i="49"/>
  <c r="P382" i="31"/>
  <c r="EH61" i="5" s="1"/>
  <c r="EI61" i="5" s="1"/>
  <c r="K144" i="49"/>
  <c r="BN27" i="5" s="1"/>
  <c r="L377" i="49"/>
  <c r="CB60" i="5" s="1"/>
  <c r="Y158" i="49"/>
  <c r="X301" i="31"/>
  <c r="AE305" i="49"/>
  <c r="AF305" i="49" s="1"/>
  <c r="AG305" i="49" s="1"/>
  <c r="AH305" i="49" s="1"/>
  <c r="AI305" i="49" s="1"/>
  <c r="AJ305" i="49" s="1"/>
  <c r="AK305" i="49" s="1"/>
  <c r="AL305" i="49" s="1"/>
  <c r="AM305" i="49" s="1"/>
  <c r="AN305" i="49" s="1"/>
  <c r="AO305" i="49" s="1"/>
  <c r="AP305" i="49" s="1"/>
  <c r="L35" i="31"/>
  <c r="S506" i="49"/>
  <c r="AE211" i="31"/>
  <c r="AE77" i="31"/>
  <c r="AF77" i="31" s="1"/>
  <c r="AG77" i="31" s="1"/>
  <c r="AH77" i="31" s="1"/>
  <c r="AI77" i="31" s="1"/>
  <c r="AJ77" i="31" s="1"/>
  <c r="AK77" i="31" s="1"/>
  <c r="AL77" i="31" s="1"/>
  <c r="AM77" i="31" s="1"/>
  <c r="AN77" i="31" s="1"/>
  <c r="AO77" i="31" s="1"/>
  <c r="AP77" i="31" s="1"/>
  <c r="Z9" i="31"/>
  <c r="Y178" i="31"/>
  <c r="R228" i="49"/>
  <c r="FH38" i="5" s="1"/>
  <c r="P168" i="31"/>
  <c r="EH32" i="5" s="1"/>
  <c r="EI32" i="5" s="1"/>
  <c r="S153" i="49"/>
  <c r="AE11" i="31"/>
  <c r="AB416" i="49"/>
  <c r="Q178" i="49"/>
  <c r="N340" i="31"/>
  <c r="DF53" i="5" s="1"/>
  <c r="W219" i="31"/>
  <c r="W487" i="31"/>
  <c r="AE84" i="31"/>
  <c r="AF84" i="31" s="1"/>
  <c r="AG84" i="31" s="1"/>
  <c r="AH84" i="31" s="1"/>
  <c r="AI84" i="31" s="1"/>
  <c r="AJ84" i="31" s="1"/>
  <c r="AK84" i="31" s="1"/>
  <c r="AL84" i="31" s="1"/>
  <c r="AM84" i="31" s="1"/>
  <c r="AN84" i="31" s="1"/>
  <c r="AO84" i="31" s="1"/>
  <c r="AP84" i="31" s="1"/>
  <c r="M109" i="31"/>
  <c r="AC47" i="31"/>
  <c r="X127" i="31"/>
  <c r="Z487" i="49"/>
  <c r="AB366" i="31"/>
  <c r="AD442" i="49"/>
  <c r="U565" i="31"/>
  <c r="Q47" i="31"/>
  <c r="EV16" i="5" s="1"/>
  <c r="EW16" i="5" s="1"/>
  <c r="AC382" i="31"/>
  <c r="Q315" i="49"/>
  <c r="Z47" i="31"/>
  <c r="I614" i="31"/>
  <c r="AB542" i="31"/>
  <c r="AF374" i="31"/>
  <c r="AG374" i="31" s="1"/>
  <c r="AH374" i="31" s="1"/>
  <c r="AI374" i="31" s="1"/>
  <c r="AJ374" i="31" s="1"/>
  <c r="AK374" i="31" s="1"/>
  <c r="AL374" i="31" s="1"/>
  <c r="AM374" i="31" s="1"/>
  <c r="AN374" i="31" s="1"/>
  <c r="AO374" i="31" s="1"/>
  <c r="AP374" i="31" s="1"/>
  <c r="AE304" i="49"/>
  <c r="AF304" i="49" s="1"/>
  <c r="AG304" i="49" s="1"/>
  <c r="AE284" i="31"/>
  <c r="AF284" i="31" s="1"/>
  <c r="AG284" i="31" s="1"/>
  <c r="AH284" i="31" s="1"/>
  <c r="AI284" i="31" s="1"/>
  <c r="AJ284" i="31" s="1"/>
  <c r="AK284" i="31" s="1"/>
  <c r="AL284" i="31" s="1"/>
  <c r="AM284" i="31" s="1"/>
  <c r="AN284" i="31" s="1"/>
  <c r="AO284" i="31" s="1"/>
  <c r="AP284" i="31" s="1"/>
  <c r="H158" i="31"/>
  <c r="I321" i="49"/>
  <c r="M267" i="31"/>
  <c r="CR41" i="5" s="1"/>
  <c r="Z321" i="31"/>
  <c r="AE335" i="31"/>
  <c r="AF335" i="31" s="1"/>
  <c r="AG335" i="31" s="1"/>
  <c r="AH335" i="31" s="1"/>
  <c r="AI335" i="31" s="1"/>
  <c r="AJ335" i="31" s="1"/>
  <c r="AK335" i="31" s="1"/>
  <c r="AL335" i="31" s="1"/>
  <c r="AM335" i="31" s="1"/>
  <c r="AN335" i="31" s="1"/>
  <c r="AO335" i="31" s="1"/>
  <c r="AP335" i="31" s="1"/>
  <c r="Z35" i="49"/>
  <c r="M569" i="31"/>
  <c r="N356" i="31"/>
  <c r="DF57" i="5" s="1"/>
  <c r="DF42" i="62" s="1"/>
  <c r="G153" i="49"/>
  <c r="AE154" i="49"/>
  <c r="AE114" i="49"/>
  <c r="AF114" i="49" s="1"/>
  <c r="AG114" i="49" s="1"/>
  <c r="AH114" i="49" s="1"/>
  <c r="AI114" i="49" s="1"/>
  <c r="AJ114" i="49" s="1"/>
  <c r="AK114" i="49" s="1"/>
  <c r="AL114" i="49" s="1"/>
  <c r="AM114" i="49" s="1"/>
  <c r="AN114" i="49" s="1"/>
  <c r="AO114" i="49" s="1"/>
  <c r="AP114" i="49" s="1"/>
  <c r="AE456" i="49"/>
  <c r="AF456" i="49" s="1"/>
  <c r="AG456" i="49" s="1"/>
  <c r="AH456" i="49" s="1"/>
  <c r="AI456" i="49" s="1"/>
  <c r="AJ456" i="49" s="1"/>
  <c r="AK456" i="49" s="1"/>
  <c r="AL456" i="49" s="1"/>
  <c r="AM456" i="49" s="1"/>
  <c r="AN456" i="49" s="1"/>
  <c r="AO456" i="49" s="1"/>
  <c r="AP456" i="49" s="1"/>
  <c r="Z557" i="49"/>
  <c r="O144" i="31"/>
  <c r="DT27" i="5" s="1"/>
  <c r="DU27" i="5" s="1"/>
  <c r="Q153" i="49"/>
  <c r="ET28" i="5" s="1"/>
  <c r="AE93" i="49"/>
  <c r="AF93" i="49" s="1"/>
  <c r="AG93" i="49" s="1"/>
  <c r="AH93" i="49" s="1"/>
  <c r="AI93" i="49" s="1"/>
  <c r="AJ93" i="49" s="1"/>
  <c r="AK93" i="49" s="1"/>
  <c r="AL93" i="49" s="1"/>
  <c r="AM93" i="49" s="1"/>
  <c r="AN93" i="49" s="1"/>
  <c r="AO93" i="49" s="1"/>
  <c r="AP93" i="49" s="1"/>
  <c r="Q366" i="49"/>
  <c r="ET58" i="5" s="1"/>
  <c r="N9" i="49"/>
  <c r="AE555" i="49"/>
  <c r="AF555" i="49" s="1"/>
  <c r="AG555" i="49" s="1"/>
  <c r="AH555" i="49" s="1"/>
  <c r="AI555" i="49" s="1"/>
  <c r="AJ555" i="49" s="1"/>
  <c r="AK555" i="49" s="1"/>
  <c r="AL555" i="49" s="1"/>
  <c r="AM555" i="49" s="1"/>
  <c r="AN555" i="49" s="1"/>
  <c r="AO555" i="49" s="1"/>
  <c r="AP555" i="49" s="1"/>
  <c r="AE589" i="49"/>
  <c r="M321" i="49"/>
  <c r="CP50" i="5" s="1"/>
  <c r="AE112" i="49"/>
  <c r="AF112" i="49" s="1"/>
  <c r="AG112" i="49" s="1"/>
  <c r="AH112" i="49" s="1"/>
  <c r="AI112" i="49" s="1"/>
  <c r="AJ112" i="49" s="1"/>
  <c r="AK112" i="49" s="1"/>
  <c r="AL112" i="49" s="1"/>
  <c r="AM112" i="49" s="1"/>
  <c r="AN112" i="49" s="1"/>
  <c r="AO112" i="49" s="1"/>
  <c r="AP112" i="49" s="1"/>
  <c r="AB584" i="49"/>
  <c r="H62" i="49"/>
  <c r="T553" i="31"/>
  <c r="Q35" i="31"/>
  <c r="EV14" i="5" s="1"/>
  <c r="EW14" i="5" s="1"/>
  <c r="S301" i="31"/>
  <c r="N109" i="49"/>
  <c r="I219" i="49"/>
  <c r="Q382" i="31"/>
  <c r="EV61" i="5" s="1"/>
  <c r="EW61" i="5" s="1"/>
  <c r="AE97" i="49"/>
  <c r="AF97" i="49" s="1"/>
  <c r="AG97" i="49" s="1"/>
  <c r="AH97" i="49" s="1"/>
  <c r="AI97" i="49" s="1"/>
  <c r="AJ97" i="49" s="1"/>
  <c r="AK97" i="49" s="1"/>
  <c r="AL97" i="49" s="1"/>
  <c r="AM97" i="49" s="1"/>
  <c r="AN97" i="49" s="1"/>
  <c r="AO97" i="49" s="1"/>
  <c r="AP97" i="49" s="1"/>
  <c r="Q47" i="49"/>
  <c r="ET16" i="5" s="1"/>
  <c r="V442" i="49"/>
  <c r="AA416" i="49"/>
  <c r="AE241" i="31"/>
  <c r="AF241" i="31" s="1"/>
  <c r="AG241" i="31" s="1"/>
  <c r="AH241" i="31" s="1"/>
  <c r="AI241" i="31" s="1"/>
  <c r="AJ241" i="31" s="1"/>
  <c r="AK241" i="31" s="1"/>
  <c r="AL241" i="31" s="1"/>
  <c r="AM241" i="31" s="1"/>
  <c r="AN241" i="31" s="1"/>
  <c r="AO241" i="31" s="1"/>
  <c r="AP241" i="31" s="1"/>
  <c r="Z366" i="31"/>
  <c r="AB531" i="49"/>
  <c r="AE11" i="49"/>
  <c r="AF11" i="49" s="1"/>
  <c r="AG11" i="49" s="1"/>
  <c r="AH11" i="49" s="1"/>
  <c r="AI11" i="49" s="1"/>
  <c r="AJ11" i="49" s="1"/>
  <c r="AK11" i="49" s="1"/>
  <c r="AL11" i="49" s="1"/>
  <c r="AM11" i="49" s="1"/>
  <c r="AN11" i="49" s="1"/>
  <c r="AO11" i="49" s="1"/>
  <c r="AP11" i="49" s="1"/>
  <c r="S306" i="49"/>
  <c r="Z476" i="31"/>
  <c r="AE52" i="49"/>
  <c r="AE200" i="31"/>
  <c r="AF200" i="31" s="1"/>
  <c r="AG200" i="31" s="1"/>
  <c r="AH200" i="31" s="1"/>
  <c r="AI200" i="31" s="1"/>
  <c r="AJ200" i="31" s="1"/>
  <c r="AK200" i="31" s="1"/>
  <c r="AL200" i="31" s="1"/>
  <c r="AM200" i="31" s="1"/>
  <c r="AN200" i="31" s="1"/>
  <c r="AO200" i="31" s="1"/>
  <c r="AP200" i="31" s="1"/>
  <c r="S565" i="49"/>
  <c r="Q476" i="31"/>
  <c r="EV30" i="62" s="1"/>
  <c r="EW30" i="62" s="1"/>
  <c r="AE535" i="49"/>
  <c r="AF535" i="49" s="1"/>
  <c r="AG535" i="49" s="1"/>
  <c r="AH535" i="49" s="1"/>
  <c r="AI535" i="49" s="1"/>
  <c r="AJ535" i="49" s="1"/>
  <c r="AK535" i="49" s="1"/>
  <c r="AL535" i="49" s="1"/>
  <c r="AM535" i="49" s="1"/>
  <c r="AN535" i="49" s="1"/>
  <c r="AO535" i="49" s="1"/>
  <c r="AP535" i="49" s="1"/>
  <c r="AE516" i="49"/>
  <c r="AF516" i="49" s="1"/>
  <c r="AG516" i="49" s="1"/>
  <c r="AH516" i="49" s="1"/>
  <c r="AI516" i="49" s="1"/>
  <c r="AJ516" i="49" s="1"/>
  <c r="AK516" i="49" s="1"/>
  <c r="AL516" i="49" s="1"/>
  <c r="AM516" i="49" s="1"/>
  <c r="AN516" i="49" s="1"/>
  <c r="AO516" i="49" s="1"/>
  <c r="AP516" i="49" s="1"/>
  <c r="W286" i="31"/>
  <c r="AE563" i="49"/>
  <c r="AF563" i="49" s="1"/>
  <c r="N136" i="49"/>
  <c r="DD26" i="5" s="1"/>
  <c r="P153" i="31"/>
  <c r="EH28" i="5" s="1"/>
  <c r="EI28" i="5" s="1"/>
  <c r="R80" i="31"/>
  <c r="FJ19" i="5" s="1"/>
  <c r="FK19" i="5" s="1"/>
  <c r="Z35" i="31"/>
  <c r="Z286" i="49"/>
  <c r="T609" i="49"/>
  <c r="I188" i="49"/>
  <c r="AE508" i="31"/>
  <c r="AF508" i="31" s="1"/>
  <c r="AG508" i="31" s="1"/>
  <c r="AH508" i="31" s="1"/>
  <c r="AI508" i="31" s="1"/>
  <c r="AJ508" i="31" s="1"/>
  <c r="AK508" i="31" s="1"/>
  <c r="AL508" i="31" s="1"/>
  <c r="AM508" i="31" s="1"/>
  <c r="AN508" i="31" s="1"/>
  <c r="AO508" i="31" s="1"/>
  <c r="AP508" i="31" s="1"/>
  <c r="U356" i="49"/>
  <c r="AA188" i="49"/>
  <c r="I178" i="31"/>
  <c r="AC561" i="49"/>
  <c r="L256" i="31"/>
  <c r="R459" i="31"/>
  <c r="FJ27" i="62" s="1"/>
  <c r="FK27" i="62" s="1"/>
  <c r="T35" i="49"/>
  <c r="K238" i="49"/>
  <c r="BN39" i="5" s="1"/>
  <c r="X416" i="49"/>
  <c r="N347" i="49"/>
  <c r="DD54" i="5" s="1"/>
  <c r="R188" i="31"/>
  <c r="FJ35" i="5" s="1"/>
  <c r="AE550" i="49"/>
  <c r="AF550" i="49" s="1"/>
  <c r="AG550" i="49" s="1"/>
  <c r="AH550" i="49" s="1"/>
  <c r="AI550" i="49" s="1"/>
  <c r="AJ550" i="49" s="1"/>
  <c r="AK550" i="49" s="1"/>
  <c r="AL550" i="49" s="1"/>
  <c r="AM550" i="49" s="1"/>
  <c r="AN550" i="49" s="1"/>
  <c r="AO550" i="49" s="1"/>
  <c r="AP550" i="49" s="1"/>
  <c r="Z153" i="49"/>
  <c r="AE478" i="49"/>
  <c r="AF478" i="49" s="1"/>
  <c r="AG478" i="49" s="1"/>
  <c r="AH478" i="49" s="1"/>
  <c r="AI478" i="49" s="1"/>
  <c r="AJ478" i="49" s="1"/>
  <c r="AK478" i="49" s="1"/>
  <c r="AL478" i="49" s="1"/>
  <c r="AM478" i="49" s="1"/>
  <c r="AN478" i="49" s="1"/>
  <c r="AO478" i="49" s="1"/>
  <c r="AP478" i="49" s="1"/>
  <c r="N604" i="49"/>
  <c r="AE160" i="31"/>
  <c r="AF160" i="31" s="1"/>
  <c r="AG160" i="31" s="1"/>
  <c r="AH160" i="31" s="1"/>
  <c r="AI160" i="31" s="1"/>
  <c r="AJ160" i="31" s="1"/>
  <c r="AK160" i="31" s="1"/>
  <c r="AL160" i="31" s="1"/>
  <c r="AM160" i="31" s="1"/>
  <c r="AN160" i="31" s="1"/>
  <c r="AO160" i="31" s="1"/>
  <c r="AP160" i="31" s="1"/>
  <c r="R557" i="31"/>
  <c r="AD89" i="49"/>
  <c r="Q333" i="31"/>
  <c r="EV52" i="5" s="1"/>
  <c r="EW52" i="5" s="1"/>
  <c r="AE585" i="49"/>
  <c r="G584" i="49"/>
  <c r="AE139" i="31"/>
  <c r="O238" i="31"/>
  <c r="DT39" i="5" s="1"/>
  <c r="P600" i="49"/>
  <c r="L553" i="49"/>
  <c r="N487" i="31"/>
  <c r="DF33" i="62" s="1"/>
  <c r="DG33" i="62" s="1"/>
  <c r="J459" i="49"/>
  <c r="AZ27" i="62" s="1"/>
  <c r="AE138" i="49"/>
  <c r="AF138" i="49" s="1"/>
  <c r="AG138" i="49" s="1"/>
  <c r="AH138" i="49" s="1"/>
  <c r="AI138" i="49" s="1"/>
  <c r="AJ138" i="49" s="1"/>
  <c r="AK138" i="49" s="1"/>
  <c r="AL138" i="49" s="1"/>
  <c r="AM138" i="49" s="1"/>
  <c r="AN138" i="49" s="1"/>
  <c r="AO138" i="49" s="1"/>
  <c r="AP138" i="49" s="1"/>
  <c r="O333" i="49"/>
  <c r="DR52" i="5" s="1"/>
  <c r="J356" i="49"/>
  <c r="AZ57" i="5" s="1"/>
  <c r="AZ42" i="62" s="1"/>
  <c r="AD377" i="49"/>
  <c r="AE326" i="49"/>
  <c r="AF326" i="49" s="1"/>
  <c r="AG326" i="49" s="1"/>
  <c r="AH326" i="49" s="1"/>
  <c r="AI326" i="49" s="1"/>
  <c r="AJ326" i="49" s="1"/>
  <c r="AK326" i="49" s="1"/>
  <c r="AL326" i="49" s="1"/>
  <c r="AM326" i="49" s="1"/>
  <c r="AN326" i="49" s="1"/>
  <c r="AO326" i="49" s="1"/>
  <c r="AP326" i="49" s="1"/>
  <c r="W238" i="49"/>
  <c r="AE491" i="31"/>
  <c r="AF491" i="31" s="1"/>
  <c r="AG491" i="31" s="1"/>
  <c r="AH491" i="31" s="1"/>
  <c r="AI491" i="31" s="1"/>
  <c r="AJ491" i="31" s="1"/>
  <c r="AK491" i="31" s="1"/>
  <c r="AL491" i="31" s="1"/>
  <c r="AM491" i="31" s="1"/>
  <c r="AN491" i="31" s="1"/>
  <c r="AO491" i="31" s="1"/>
  <c r="AP491" i="31" s="1"/>
  <c r="M109" i="49"/>
  <c r="AA62" i="49"/>
  <c r="G158" i="49"/>
  <c r="AE159" i="49"/>
  <c r="AF159" i="49" s="1"/>
  <c r="AE134" i="31"/>
  <c r="AF134" i="31" s="1"/>
  <c r="AG134" i="31" s="1"/>
  <c r="AH134" i="31" s="1"/>
  <c r="AI134" i="31" s="1"/>
  <c r="AJ134" i="31" s="1"/>
  <c r="AK134" i="31" s="1"/>
  <c r="AL134" i="31" s="1"/>
  <c r="AM134" i="31" s="1"/>
  <c r="AN134" i="31" s="1"/>
  <c r="AO134" i="31" s="1"/>
  <c r="AP134" i="31" s="1"/>
  <c r="S109" i="49"/>
  <c r="AC569" i="49"/>
  <c r="R26" i="49"/>
  <c r="FH13" i="5" s="1"/>
  <c r="AA557" i="31"/>
  <c r="V35" i="49"/>
  <c r="AE493" i="31"/>
  <c r="AF493" i="31" s="1"/>
  <c r="AG493" i="31" s="1"/>
  <c r="AH493" i="31" s="1"/>
  <c r="AI493" i="31" s="1"/>
  <c r="AJ493" i="31" s="1"/>
  <c r="AK493" i="31" s="1"/>
  <c r="AL493" i="31" s="1"/>
  <c r="AM493" i="31" s="1"/>
  <c r="AN493" i="31" s="1"/>
  <c r="AO493" i="31" s="1"/>
  <c r="AP493" i="31" s="1"/>
  <c r="V153" i="49"/>
  <c r="V136" i="49"/>
  <c r="AE457" i="31"/>
  <c r="AF457" i="31" s="1"/>
  <c r="AG457" i="31" s="1"/>
  <c r="AH457" i="31" s="1"/>
  <c r="AI457" i="31" s="1"/>
  <c r="AJ457" i="31" s="1"/>
  <c r="AK457" i="31" s="1"/>
  <c r="AL457" i="31" s="1"/>
  <c r="AM457" i="31" s="1"/>
  <c r="AN457" i="31" s="1"/>
  <c r="AO457" i="31" s="1"/>
  <c r="AP457" i="31" s="1"/>
  <c r="AA442" i="49"/>
  <c r="J238" i="31"/>
  <c r="BB39" i="5" s="1"/>
  <c r="BC39" i="5" s="1"/>
  <c r="R301" i="49"/>
  <c r="J47" i="31"/>
  <c r="BB16" i="5" s="1"/>
  <c r="BC16" i="5" s="1"/>
  <c r="AE116" i="49"/>
  <c r="AF116" i="49" s="1"/>
  <c r="AG116" i="49" s="1"/>
  <c r="AH116" i="49" s="1"/>
  <c r="AI116" i="49" s="1"/>
  <c r="AJ116" i="49" s="1"/>
  <c r="AK116" i="49" s="1"/>
  <c r="AL116" i="49" s="1"/>
  <c r="AM116" i="49" s="1"/>
  <c r="AN116" i="49" s="1"/>
  <c r="AO116" i="49" s="1"/>
  <c r="AP116" i="49" s="1"/>
  <c r="R98" i="31"/>
  <c r="FJ21" i="5" s="1"/>
  <c r="FK21" i="5" s="1"/>
  <c r="AE385" i="49"/>
  <c r="AF385" i="49" s="1"/>
  <c r="M178" i="49"/>
  <c r="H356" i="49"/>
  <c r="X57" i="5" s="1"/>
  <c r="X42" i="62" s="1"/>
  <c r="AE273" i="31"/>
  <c r="AF273" i="31" s="1"/>
  <c r="AG273" i="31" s="1"/>
  <c r="AH273" i="31" s="1"/>
  <c r="AI273" i="31" s="1"/>
  <c r="AJ273" i="31" s="1"/>
  <c r="AK273" i="31" s="1"/>
  <c r="AL273" i="31" s="1"/>
  <c r="AM273" i="31" s="1"/>
  <c r="AN273" i="31" s="1"/>
  <c r="AO273" i="31" s="1"/>
  <c r="AP273" i="31" s="1"/>
  <c r="AC482" i="49"/>
  <c r="AB476" i="31"/>
  <c r="AE464" i="31"/>
  <c r="AF464" i="31" s="1"/>
  <c r="AG464" i="31" s="1"/>
  <c r="AH464" i="31" s="1"/>
  <c r="AI464" i="31" s="1"/>
  <c r="AJ464" i="31" s="1"/>
  <c r="AK464" i="31" s="1"/>
  <c r="AL464" i="31" s="1"/>
  <c r="AM464" i="31" s="1"/>
  <c r="AN464" i="31" s="1"/>
  <c r="AO464" i="31" s="1"/>
  <c r="AP464" i="31" s="1"/>
  <c r="O531" i="49"/>
  <c r="V482" i="31"/>
  <c r="I416" i="31"/>
  <c r="V109" i="49"/>
  <c r="V569" i="31"/>
  <c r="AE599" i="49"/>
  <c r="AF599" i="49" s="1"/>
  <c r="AG599" i="49" s="1"/>
  <c r="AH599" i="49" s="1"/>
  <c r="AI599" i="49" s="1"/>
  <c r="AJ599" i="49" s="1"/>
  <c r="AK599" i="49" s="1"/>
  <c r="AL599" i="49" s="1"/>
  <c r="AM599" i="49" s="1"/>
  <c r="AN599" i="49" s="1"/>
  <c r="AO599" i="49" s="1"/>
  <c r="AP599" i="49" s="1"/>
  <c r="H315" i="49"/>
  <c r="R469" i="31"/>
  <c r="FJ28" i="62" s="1"/>
  <c r="FK28" i="62" s="1"/>
  <c r="T301" i="31"/>
  <c r="T313" i="31" s="1"/>
  <c r="S531" i="49"/>
  <c r="AE19" i="31"/>
  <c r="AF19" i="31" s="1"/>
  <c r="AG19" i="31" s="1"/>
  <c r="AH19" i="31" s="1"/>
  <c r="AI19" i="31" s="1"/>
  <c r="AJ19" i="31" s="1"/>
  <c r="AK19" i="31" s="1"/>
  <c r="AL19" i="31" s="1"/>
  <c r="AM19" i="31" s="1"/>
  <c r="AN19" i="31" s="1"/>
  <c r="AO19" i="31" s="1"/>
  <c r="AP19" i="31" s="1"/>
  <c r="P109" i="31"/>
  <c r="J340" i="31"/>
  <c r="BB53" i="5" s="1"/>
  <c r="Z340" i="31"/>
  <c r="AE597" i="31"/>
  <c r="AF597" i="31" s="1"/>
  <c r="AG597" i="31" s="1"/>
  <c r="AH597" i="31" s="1"/>
  <c r="AI597" i="31" s="1"/>
  <c r="AJ597" i="31" s="1"/>
  <c r="AK597" i="31" s="1"/>
  <c r="AL597" i="31" s="1"/>
  <c r="AM597" i="31" s="1"/>
  <c r="AN597" i="31" s="1"/>
  <c r="AO597" i="31" s="1"/>
  <c r="AP597" i="31" s="1"/>
  <c r="P340" i="31"/>
  <c r="EH53" i="5" s="1"/>
  <c r="EH44" i="62" s="1"/>
  <c r="X62" i="49"/>
  <c r="Q609" i="31"/>
  <c r="AD301" i="49"/>
  <c r="AE216" i="49"/>
  <c r="AF216" i="49" s="1"/>
  <c r="AG216" i="49" s="1"/>
  <c r="AH216" i="49" s="1"/>
  <c r="AI216" i="49" s="1"/>
  <c r="AJ216" i="49" s="1"/>
  <c r="AK216" i="49" s="1"/>
  <c r="AL216" i="49" s="1"/>
  <c r="AM216" i="49" s="1"/>
  <c r="AN216" i="49" s="1"/>
  <c r="AO216" i="49" s="1"/>
  <c r="AP216" i="49" s="1"/>
  <c r="AE525" i="31"/>
  <c r="AF525" i="31" s="1"/>
  <c r="AG525" i="31" s="1"/>
  <c r="AH525" i="31" s="1"/>
  <c r="AI525" i="31" s="1"/>
  <c r="AJ525" i="31" s="1"/>
  <c r="AK525" i="31" s="1"/>
  <c r="AL525" i="31" s="1"/>
  <c r="AM525" i="31" s="1"/>
  <c r="AN525" i="31" s="1"/>
  <c r="AO525" i="31" s="1"/>
  <c r="AP525" i="31" s="1"/>
  <c r="AD188" i="31"/>
  <c r="L469" i="49"/>
  <c r="CB28" i="62" s="1"/>
  <c r="T208" i="49"/>
  <c r="X482" i="49"/>
  <c r="G382" i="49"/>
  <c r="AE383" i="49"/>
  <c r="AE14" i="49"/>
  <c r="AE184" i="49"/>
  <c r="AF184" i="49" s="1"/>
  <c r="AG184" i="49" s="1"/>
  <c r="AH184" i="49" s="1"/>
  <c r="AI184" i="49" s="1"/>
  <c r="AJ184" i="49" s="1"/>
  <c r="AK184" i="49" s="1"/>
  <c r="AL184" i="49" s="1"/>
  <c r="AM184" i="49" s="1"/>
  <c r="AN184" i="49" s="1"/>
  <c r="AO184" i="49" s="1"/>
  <c r="AP184" i="49" s="1"/>
  <c r="V80" i="49"/>
  <c r="AC553" i="49"/>
  <c r="AE302" i="49"/>
  <c r="G301" i="49"/>
  <c r="Z569" i="31"/>
  <c r="AE292" i="31"/>
  <c r="AF292" i="31" s="1"/>
  <c r="AG292" i="31" s="1"/>
  <c r="AH292" i="31" s="1"/>
  <c r="AI292" i="31" s="1"/>
  <c r="AJ292" i="31" s="1"/>
  <c r="AK292" i="31" s="1"/>
  <c r="AL292" i="31" s="1"/>
  <c r="AM292" i="31" s="1"/>
  <c r="AN292" i="31" s="1"/>
  <c r="AO292" i="31" s="1"/>
  <c r="AP292" i="31" s="1"/>
  <c r="J136" i="31"/>
  <c r="BB26" i="5" s="1"/>
  <c r="BC26" i="5" s="1"/>
  <c r="H188" i="31"/>
  <c r="Z35" i="5" s="1"/>
  <c r="AE357" i="49"/>
  <c r="AF357" i="49" s="1"/>
  <c r="G356" i="49"/>
  <c r="N238" i="49"/>
  <c r="DD39" i="5" s="1"/>
  <c r="Y469" i="31"/>
  <c r="S614" i="49"/>
  <c r="AC333" i="49"/>
  <c r="AE359" i="49"/>
  <c r="AF359" i="49" s="1"/>
  <c r="AG359" i="49" s="1"/>
  <c r="AH359" i="49" s="1"/>
  <c r="AI359" i="49" s="1"/>
  <c r="AJ359" i="49" s="1"/>
  <c r="AK359" i="49" s="1"/>
  <c r="AL359" i="49" s="1"/>
  <c r="AM359" i="49" s="1"/>
  <c r="AN359" i="49" s="1"/>
  <c r="AO359" i="49" s="1"/>
  <c r="AP359" i="49" s="1"/>
  <c r="AA9" i="31"/>
  <c r="AE100" i="31"/>
  <c r="H328" i="49"/>
  <c r="X51" i="5" s="1"/>
  <c r="X43" i="62" s="1"/>
  <c r="X340" i="49"/>
  <c r="P442" i="31"/>
  <c r="EH26" i="62" s="1"/>
  <c r="P208" i="31"/>
  <c r="EH36" i="5" s="1"/>
  <c r="V144" i="49"/>
  <c r="AE55" i="31"/>
  <c r="AF55" i="31" s="1"/>
  <c r="AG55" i="31" s="1"/>
  <c r="AH55" i="31" s="1"/>
  <c r="AI55" i="31" s="1"/>
  <c r="AJ55" i="31" s="1"/>
  <c r="AK55" i="31" s="1"/>
  <c r="AL55" i="31" s="1"/>
  <c r="AM55" i="31" s="1"/>
  <c r="AN55" i="31" s="1"/>
  <c r="AO55" i="31" s="1"/>
  <c r="AP55" i="31" s="1"/>
  <c r="AE235" i="49"/>
  <c r="AF235" i="49" s="1"/>
  <c r="AG235" i="49" s="1"/>
  <c r="AH235" i="49" s="1"/>
  <c r="AI235" i="49" s="1"/>
  <c r="AJ235" i="49" s="1"/>
  <c r="AK235" i="49" s="1"/>
  <c r="AL235" i="49" s="1"/>
  <c r="AM235" i="49" s="1"/>
  <c r="AN235" i="49" s="1"/>
  <c r="AO235" i="49" s="1"/>
  <c r="AP235" i="49" s="1"/>
  <c r="H98" i="31"/>
  <c r="Z21" i="5" s="1"/>
  <c r="AA21" i="5" s="1"/>
  <c r="AE338" i="49"/>
  <c r="AF338" i="49" s="1"/>
  <c r="AG338" i="49" s="1"/>
  <c r="AH338" i="49" s="1"/>
  <c r="AI338" i="49" s="1"/>
  <c r="AJ338" i="49" s="1"/>
  <c r="AK338" i="49" s="1"/>
  <c r="AL338" i="49" s="1"/>
  <c r="AM338" i="49" s="1"/>
  <c r="AN338" i="49" s="1"/>
  <c r="AO338" i="49" s="1"/>
  <c r="AP338" i="49" s="1"/>
  <c r="AE309" i="31"/>
  <c r="AF309" i="31" s="1"/>
  <c r="AG309" i="31" s="1"/>
  <c r="AH309" i="31" s="1"/>
  <c r="AI309" i="31" s="1"/>
  <c r="AJ309" i="31" s="1"/>
  <c r="AK309" i="31" s="1"/>
  <c r="AL309" i="31" s="1"/>
  <c r="AM309" i="31" s="1"/>
  <c r="AN309" i="31" s="1"/>
  <c r="AO309" i="31" s="1"/>
  <c r="AP309" i="31" s="1"/>
  <c r="AE117" i="49"/>
  <c r="AF117" i="49" s="1"/>
  <c r="AG117" i="49" s="1"/>
  <c r="AH117" i="49" s="1"/>
  <c r="AI117" i="49" s="1"/>
  <c r="AJ117" i="49" s="1"/>
  <c r="AK117" i="49" s="1"/>
  <c r="AL117" i="49" s="1"/>
  <c r="AM117" i="49" s="1"/>
  <c r="AN117" i="49" s="1"/>
  <c r="AO117" i="49" s="1"/>
  <c r="AP117" i="49" s="1"/>
  <c r="L506" i="31"/>
  <c r="CD34" i="62" s="1"/>
  <c r="CE34" i="62" s="1"/>
  <c r="AA306" i="31"/>
  <c r="AE479" i="31"/>
  <c r="AF479" i="31" s="1"/>
  <c r="AG479" i="31" s="1"/>
  <c r="AH479" i="31" s="1"/>
  <c r="AI479" i="31" s="1"/>
  <c r="AJ479" i="31" s="1"/>
  <c r="AK479" i="31" s="1"/>
  <c r="AL479" i="31" s="1"/>
  <c r="AM479" i="31" s="1"/>
  <c r="AN479" i="31" s="1"/>
  <c r="AO479" i="31" s="1"/>
  <c r="AP479" i="31" s="1"/>
  <c r="AC416" i="31"/>
  <c r="AE42" i="49"/>
  <c r="AF42" i="49" s="1"/>
  <c r="AG42" i="49" s="1"/>
  <c r="AH42" i="49" s="1"/>
  <c r="AI42" i="49" s="1"/>
  <c r="AJ42" i="49" s="1"/>
  <c r="AK42" i="49" s="1"/>
  <c r="AL42" i="49" s="1"/>
  <c r="AM42" i="49" s="1"/>
  <c r="AN42" i="49" s="1"/>
  <c r="AO42" i="49" s="1"/>
  <c r="AP42" i="49" s="1"/>
  <c r="AE181" i="31"/>
  <c r="AF181" i="31" s="1"/>
  <c r="AG181" i="31" s="1"/>
  <c r="AH181" i="31" s="1"/>
  <c r="AI181" i="31" s="1"/>
  <c r="AJ181" i="31" s="1"/>
  <c r="AK181" i="31" s="1"/>
  <c r="AL181" i="31" s="1"/>
  <c r="AM181" i="31" s="1"/>
  <c r="AN181" i="31" s="1"/>
  <c r="AO181" i="31" s="1"/>
  <c r="AP181" i="31" s="1"/>
  <c r="AE473" i="31"/>
  <c r="L144" i="49"/>
  <c r="CB27" i="5" s="1"/>
  <c r="AE397" i="31"/>
  <c r="AF397" i="31" s="1"/>
  <c r="AG397" i="31" s="1"/>
  <c r="AH397" i="31" s="1"/>
  <c r="AI397" i="31" s="1"/>
  <c r="AJ397" i="31" s="1"/>
  <c r="AK397" i="31" s="1"/>
  <c r="AL397" i="31" s="1"/>
  <c r="AM397" i="31" s="1"/>
  <c r="AN397" i="31" s="1"/>
  <c r="AO397" i="31" s="1"/>
  <c r="AP397" i="31" s="1"/>
  <c r="T377" i="31"/>
  <c r="Z238" i="31"/>
  <c r="X293" i="31"/>
  <c r="AE344" i="49"/>
  <c r="AF344" i="49" s="1"/>
  <c r="AG344" i="49" s="1"/>
  <c r="AH344" i="49" s="1"/>
  <c r="AI344" i="49" s="1"/>
  <c r="AJ344" i="49" s="1"/>
  <c r="AK344" i="49" s="1"/>
  <c r="AL344" i="49" s="1"/>
  <c r="AM344" i="49" s="1"/>
  <c r="AN344" i="49" s="1"/>
  <c r="AO344" i="49" s="1"/>
  <c r="AP344" i="49" s="1"/>
  <c r="AE299" i="31"/>
  <c r="AF299" i="31" s="1"/>
  <c r="AG299" i="31" s="1"/>
  <c r="AH299" i="31" s="1"/>
  <c r="AI299" i="31" s="1"/>
  <c r="AJ299" i="31" s="1"/>
  <c r="AK299" i="31" s="1"/>
  <c r="AL299" i="31" s="1"/>
  <c r="AM299" i="31" s="1"/>
  <c r="AN299" i="31" s="1"/>
  <c r="AO299" i="31" s="1"/>
  <c r="AP299" i="31" s="1"/>
  <c r="AE508" i="49"/>
  <c r="AF508" i="49" s="1"/>
  <c r="AG508" i="49" s="1"/>
  <c r="AH508" i="49" s="1"/>
  <c r="AI508" i="49" s="1"/>
  <c r="AJ508" i="49" s="1"/>
  <c r="AK508" i="49" s="1"/>
  <c r="AL508" i="49" s="1"/>
  <c r="AM508" i="49" s="1"/>
  <c r="AN508" i="49" s="1"/>
  <c r="AO508" i="49" s="1"/>
  <c r="AP508" i="49" s="1"/>
  <c r="AE353" i="31"/>
  <c r="AF353" i="31" s="1"/>
  <c r="AG353" i="31" s="1"/>
  <c r="AH353" i="31" s="1"/>
  <c r="AI353" i="31" s="1"/>
  <c r="AJ353" i="31" s="1"/>
  <c r="AK353" i="31" s="1"/>
  <c r="AL353" i="31" s="1"/>
  <c r="AM353" i="31" s="1"/>
  <c r="AN353" i="31" s="1"/>
  <c r="AO353" i="31" s="1"/>
  <c r="AP353" i="31" s="1"/>
  <c r="AE295" i="49"/>
  <c r="AF295" i="49" s="1"/>
  <c r="AG295" i="49" s="1"/>
  <c r="Q256" i="49"/>
  <c r="ET40" i="5" s="1"/>
  <c r="AE297" i="49"/>
  <c r="AF297" i="49" s="1"/>
  <c r="AG297" i="49" s="1"/>
  <c r="AH297" i="49" s="1"/>
  <c r="AI297" i="49" s="1"/>
  <c r="AJ297" i="49" s="1"/>
  <c r="AK297" i="49" s="1"/>
  <c r="AL297" i="49" s="1"/>
  <c r="AM297" i="49" s="1"/>
  <c r="AN297" i="49" s="1"/>
  <c r="AO297" i="49" s="1"/>
  <c r="AP297" i="49" s="1"/>
  <c r="AA584" i="49"/>
  <c r="AA476" i="31"/>
  <c r="H267" i="49"/>
  <c r="X41" i="5" s="1"/>
  <c r="AE440" i="31"/>
  <c r="AF440" i="31" s="1"/>
  <c r="AG440" i="31" s="1"/>
  <c r="AH440" i="31" s="1"/>
  <c r="AI440" i="31" s="1"/>
  <c r="AJ440" i="31" s="1"/>
  <c r="AK440" i="31" s="1"/>
  <c r="AL440" i="31" s="1"/>
  <c r="AM440" i="31" s="1"/>
  <c r="AN440" i="31" s="1"/>
  <c r="AO440" i="31" s="1"/>
  <c r="AP440" i="31" s="1"/>
  <c r="AE17" i="31"/>
  <c r="AF17" i="31" s="1"/>
  <c r="AG17" i="31" s="1"/>
  <c r="AH17" i="31" s="1"/>
  <c r="AI17" i="31" s="1"/>
  <c r="AJ17" i="31" s="1"/>
  <c r="AK17" i="31" s="1"/>
  <c r="AL17" i="31" s="1"/>
  <c r="AM17" i="31" s="1"/>
  <c r="AN17" i="31" s="1"/>
  <c r="AO17" i="31" s="1"/>
  <c r="AP17" i="31" s="1"/>
  <c r="S340" i="31"/>
  <c r="V531" i="31"/>
  <c r="AE342" i="49"/>
  <c r="AF342" i="49" s="1"/>
  <c r="AG342" i="49" s="1"/>
  <c r="AH342" i="49" s="1"/>
  <c r="AI342" i="49" s="1"/>
  <c r="AJ342" i="49" s="1"/>
  <c r="AK342" i="49" s="1"/>
  <c r="AL342" i="49" s="1"/>
  <c r="AM342" i="49" s="1"/>
  <c r="AN342" i="49" s="1"/>
  <c r="AO342" i="49" s="1"/>
  <c r="AP342" i="49" s="1"/>
  <c r="G442" i="49"/>
  <c r="AE443" i="49"/>
  <c r="AE206" i="31"/>
  <c r="AF206" i="31" s="1"/>
  <c r="AG206" i="31" s="1"/>
  <c r="AH206" i="31" s="1"/>
  <c r="AI206" i="31" s="1"/>
  <c r="AJ206" i="31" s="1"/>
  <c r="AK206" i="31" s="1"/>
  <c r="AL206" i="31" s="1"/>
  <c r="AM206" i="31" s="1"/>
  <c r="AN206" i="31" s="1"/>
  <c r="AO206" i="31" s="1"/>
  <c r="AP206" i="31" s="1"/>
  <c r="AE412" i="49"/>
  <c r="AF412" i="49" s="1"/>
  <c r="AG412" i="49" s="1"/>
  <c r="AH412" i="49" s="1"/>
  <c r="AI412" i="49" s="1"/>
  <c r="AJ412" i="49" s="1"/>
  <c r="AK412" i="49" s="1"/>
  <c r="AL412" i="49" s="1"/>
  <c r="AM412" i="49" s="1"/>
  <c r="AN412" i="49" s="1"/>
  <c r="AO412" i="49" s="1"/>
  <c r="AP412" i="49" s="1"/>
  <c r="AC256" i="49"/>
  <c r="N356" i="49"/>
  <c r="DD57" i="5" s="1"/>
  <c r="DD42" i="62" s="1"/>
  <c r="Q62" i="31"/>
  <c r="EV17" i="5" s="1"/>
  <c r="EW17" i="5" s="1"/>
  <c r="J153" i="31"/>
  <c r="BB28" i="5" s="1"/>
  <c r="BC28" i="5" s="1"/>
  <c r="U609" i="31"/>
  <c r="AE610" i="31"/>
  <c r="G609" i="31"/>
  <c r="R340" i="49"/>
  <c r="FH53" i="5" s="1"/>
  <c r="FH44" i="62" s="1"/>
  <c r="Y604" i="31"/>
  <c r="M382" i="49"/>
  <c r="CP61" i="5" s="1"/>
  <c r="AE187" i="49"/>
  <c r="AC71" i="31"/>
  <c r="AA459" i="31"/>
  <c r="AE44" i="49"/>
  <c r="AF44" i="49" s="1"/>
  <c r="AG44" i="49" s="1"/>
  <c r="AH44" i="49" s="1"/>
  <c r="AI44" i="49" s="1"/>
  <c r="AJ44" i="49" s="1"/>
  <c r="AK44" i="49" s="1"/>
  <c r="AL44" i="49" s="1"/>
  <c r="AM44" i="49" s="1"/>
  <c r="AN44" i="49" s="1"/>
  <c r="AO44" i="49" s="1"/>
  <c r="AP44" i="49" s="1"/>
  <c r="AD506" i="49"/>
  <c r="H609" i="49"/>
  <c r="AF610" i="49"/>
  <c r="AE438" i="49"/>
  <c r="AD35" i="49"/>
  <c r="AE171" i="49"/>
  <c r="AF171" i="49" s="1"/>
  <c r="AG171" i="49" s="1"/>
  <c r="AH171" i="49" s="1"/>
  <c r="AI171" i="49" s="1"/>
  <c r="AJ171" i="49" s="1"/>
  <c r="AK171" i="49" s="1"/>
  <c r="Q267" i="31"/>
  <c r="EV41" i="5" s="1"/>
  <c r="AE211" i="49"/>
  <c r="AF211" i="49" s="1"/>
  <c r="AG211" i="49" s="1"/>
  <c r="AH211" i="49" s="1"/>
  <c r="AI211" i="49" s="1"/>
  <c r="AJ211" i="49" s="1"/>
  <c r="AK211" i="49" s="1"/>
  <c r="AL211" i="49" s="1"/>
  <c r="AM211" i="49" s="1"/>
  <c r="AN211" i="49" s="1"/>
  <c r="AO211" i="49" s="1"/>
  <c r="AP211" i="49" s="1"/>
  <c r="V600" i="49"/>
  <c r="S469" i="49"/>
  <c r="Z256" i="31"/>
  <c r="R62" i="31"/>
  <c r="FJ17" i="5" s="1"/>
  <c r="FK17" i="5" s="1"/>
  <c r="T347" i="31"/>
  <c r="AE464" i="49"/>
  <c r="AE54" i="49"/>
  <c r="AF54" i="49" s="1"/>
  <c r="AG54" i="49" s="1"/>
  <c r="AH54" i="49" s="1"/>
  <c r="AI54" i="49" s="1"/>
  <c r="AJ54" i="49" s="1"/>
  <c r="AK54" i="49" s="1"/>
  <c r="AL54" i="49" s="1"/>
  <c r="AM54" i="49" s="1"/>
  <c r="AN54" i="49" s="1"/>
  <c r="AO54" i="49" s="1"/>
  <c r="AP54" i="49" s="1"/>
  <c r="V286" i="49"/>
  <c r="K542" i="31"/>
  <c r="O158" i="31"/>
  <c r="AE95" i="31"/>
  <c r="AF95" i="31" s="1"/>
  <c r="AG95" i="31" s="1"/>
  <c r="AH95" i="31" s="1"/>
  <c r="AI95" i="31" s="1"/>
  <c r="AJ95" i="31" s="1"/>
  <c r="AK95" i="31" s="1"/>
  <c r="AL95" i="31" s="1"/>
  <c r="AM95" i="31" s="1"/>
  <c r="AN95" i="31" s="1"/>
  <c r="AO95" i="31" s="1"/>
  <c r="AP95" i="31" s="1"/>
  <c r="Q553" i="31"/>
  <c r="Y614" i="31"/>
  <c r="AA459" i="49"/>
  <c r="K609" i="49"/>
  <c r="AB482" i="49"/>
  <c r="AE472" i="31"/>
  <c r="AF472" i="31" s="1"/>
  <c r="AE102" i="31"/>
  <c r="AF102" i="31" s="1"/>
  <c r="AG102" i="31" s="1"/>
  <c r="AH102" i="31" s="1"/>
  <c r="AI102" i="31" s="1"/>
  <c r="AJ102" i="31" s="1"/>
  <c r="AK102" i="31" s="1"/>
  <c r="AL102" i="31" s="1"/>
  <c r="AM102" i="31" s="1"/>
  <c r="AN102" i="31" s="1"/>
  <c r="AO102" i="31" s="1"/>
  <c r="AP102" i="31" s="1"/>
  <c r="AE38" i="49"/>
  <c r="AF38" i="49" s="1"/>
  <c r="AG38" i="49" s="1"/>
  <c r="AH38" i="49" s="1"/>
  <c r="AI38" i="49" s="1"/>
  <c r="AJ38" i="49" s="1"/>
  <c r="AK38" i="49" s="1"/>
  <c r="AL38" i="49" s="1"/>
  <c r="AM38" i="49" s="1"/>
  <c r="AN38" i="49" s="1"/>
  <c r="AO38" i="49" s="1"/>
  <c r="AP38" i="49" s="1"/>
  <c r="Q80" i="31"/>
  <c r="EV19" i="5" s="1"/>
  <c r="EW19" i="5" s="1"/>
  <c r="AB26" i="49"/>
  <c r="X584" i="49"/>
  <c r="T476" i="49"/>
  <c r="AE607" i="49"/>
  <c r="AF607" i="49" s="1"/>
  <c r="AG607" i="49" s="1"/>
  <c r="AH607" i="49" s="1"/>
  <c r="AI607" i="49" s="1"/>
  <c r="AJ607" i="49" s="1"/>
  <c r="AK607" i="49" s="1"/>
  <c r="AL607" i="49" s="1"/>
  <c r="AM607" i="49" s="1"/>
  <c r="AN607" i="49" s="1"/>
  <c r="AO607" i="49" s="1"/>
  <c r="AP607" i="49" s="1"/>
  <c r="N377" i="31"/>
  <c r="DF60" i="5" s="1"/>
  <c r="DG60" i="5" s="1"/>
  <c r="O127" i="49"/>
  <c r="DR25" i="5" s="1"/>
  <c r="P168" i="49"/>
  <c r="EF32" i="5" s="1"/>
  <c r="AE363" i="49"/>
  <c r="AF363" i="49" s="1"/>
  <c r="AG363" i="49" s="1"/>
  <c r="AH363" i="49" s="1"/>
  <c r="AI363" i="49" s="1"/>
  <c r="AJ363" i="49" s="1"/>
  <c r="AK363" i="49" s="1"/>
  <c r="AL363" i="49" s="1"/>
  <c r="AM363" i="49" s="1"/>
  <c r="AN363" i="49" s="1"/>
  <c r="AO363" i="49" s="1"/>
  <c r="AP363" i="49" s="1"/>
  <c r="AD557" i="31"/>
  <c r="P459" i="31"/>
  <c r="EH27" i="62" s="1"/>
  <c r="EI27" i="62" s="1"/>
  <c r="G442" i="31"/>
  <c r="AE443" i="31"/>
  <c r="AB286" i="31"/>
  <c r="P561" i="49"/>
  <c r="AE19" i="49"/>
  <c r="AF19" i="49" s="1"/>
  <c r="AG19" i="49" s="1"/>
  <c r="AH19" i="49" s="1"/>
  <c r="AI19" i="49" s="1"/>
  <c r="AJ19" i="49" s="1"/>
  <c r="AK19" i="49" s="1"/>
  <c r="AL19" i="49" s="1"/>
  <c r="AM19" i="49" s="1"/>
  <c r="AN19" i="49" s="1"/>
  <c r="AO19" i="49" s="1"/>
  <c r="AP19" i="49" s="1"/>
  <c r="W256" i="31"/>
  <c r="AE523" i="31"/>
  <c r="AF523" i="31" s="1"/>
  <c r="AG523" i="31" s="1"/>
  <c r="AH523" i="31" s="1"/>
  <c r="AI523" i="31" s="1"/>
  <c r="AJ523" i="31" s="1"/>
  <c r="AK523" i="31" s="1"/>
  <c r="AL523" i="31" s="1"/>
  <c r="AM523" i="31" s="1"/>
  <c r="AN523" i="31" s="1"/>
  <c r="AO523" i="31" s="1"/>
  <c r="AP523" i="31" s="1"/>
  <c r="AE244" i="31"/>
  <c r="AF244" i="31" s="1"/>
  <c r="AG244" i="31" s="1"/>
  <c r="AH244" i="31" s="1"/>
  <c r="AI244" i="31" s="1"/>
  <c r="AJ244" i="31" s="1"/>
  <c r="AK244" i="31" s="1"/>
  <c r="AL244" i="31" s="1"/>
  <c r="AM244" i="31" s="1"/>
  <c r="AN244" i="31" s="1"/>
  <c r="AO244" i="31" s="1"/>
  <c r="AP244" i="31" s="1"/>
  <c r="AC47" i="49"/>
  <c r="N531" i="31"/>
  <c r="AE21" i="31"/>
  <c r="AF21" i="31" s="1"/>
  <c r="AG21" i="31" s="1"/>
  <c r="AH21" i="31" s="1"/>
  <c r="AI21" i="31" s="1"/>
  <c r="AJ21" i="31" s="1"/>
  <c r="AK21" i="31" s="1"/>
  <c r="AL21" i="31" s="1"/>
  <c r="AM21" i="31" s="1"/>
  <c r="AN21" i="31" s="1"/>
  <c r="AO21" i="31" s="1"/>
  <c r="AP21" i="31" s="1"/>
  <c r="H393" i="49"/>
  <c r="X19" i="62" s="1"/>
  <c r="H531" i="49"/>
  <c r="AE535" i="31"/>
  <c r="H219" i="31"/>
  <c r="Z37" i="5" s="1"/>
  <c r="P47" i="49"/>
  <c r="EF16" i="5" s="1"/>
  <c r="M506" i="31"/>
  <c r="CR34" i="62" s="1"/>
  <c r="CS34" i="62" s="1"/>
  <c r="Y382" i="49"/>
  <c r="AC293" i="31"/>
  <c r="P306" i="49"/>
  <c r="EF46" i="5" s="1"/>
  <c r="W416" i="49"/>
  <c r="X604" i="49"/>
  <c r="R315" i="31"/>
  <c r="P9" i="31"/>
  <c r="AD328" i="31"/>
  <c r="M238" i="31"/>
  <c r="CR39" i="5" s="1"/>
  <c r="N442" i="31"/>
  <c r="DF26" i="62" s="1"/>
  <c r="O600" i="31"/>
  <c r="AE500" i="31"/>
  <c r="AF500" i="31" s="1"/>
  <c r="AG500" i="31" s="1"/>
  <c r="AH500" i="31" s="1"/>
  <c r="AI500" i="31" s="1"/>
  <c r="AJ500" i="31" s="1"/>
  <c r="AK500" i="31" s="1"/>
  <c r="AL500" i="31" s="1"/>
  <c r="AM500" i="31" s="1"/>
  <c r="AN500" i="31" s="1"/>
  <c r="AO500" i="31" s="1"/>
  <c r="AP500" i="31" s="1"/>
  <c r="Q366" i="31"/>
  <c r="EV58" i="5" s="1"/>
  <c r="EW58" i="5" s="1"/>
  <c r="Q565" i="31"/>
  <c r="AC89" i="31"/>
  <c r="T228" i="49"/>
  <c r="AE82" i="31"/>
  <c r="AF82" i="31" s="1"/>
  <c r="AG82" i="31" s="1"/>
  <c r="AH82" i="31" s="1"/>
  <c r="AI82" i="31" s="1"/>
  <c r="AJ82" i="31" s="1"/>
  <c r="AK82" i="31" s="1"/>
  <c r="AL82" i="31" s="1"/>
  <c r="AM82" i="31" s="1"/>
  <c r="AN82" i="31" s="1"/>
  <c r="AO82" i="31" s="1"/>
  <c r="AP82" i="31" s="1"/>
  <c r="Z416" i="31"/>
  <c r="Q416" i="49"/>
  <c r="ET22" i="62" s="1"/>
  <c r="AA340" i="31"/>
  <c r="W293" i="49"/>
  <c r="AA80" i="31"/>
  <c r="H321" i="31"/>
  <c r="Z50" i="5" s="1"/>
  <c r="AA50" i="5" s="1"/>
  <c r="M293" i="31"/>
  <c r="CR43" i="5" s="1"/>
  <c r="AB98" i="49"/>
  <c r="V553" i="31"/>
  <c r="W476" i="49"/>
  <c r="M80" i="31"/>
  <c r="CR19" i="5" s="1"/>
  <c r="CS19" i="5" s="1"/>
  <c r="I366" i="49"/>
  <c r="AL58" i="5" s="1"/>
  <c r="S328" i="49"/>
  <c r="AA267" i="31"/>
  <c r="AE245" i="49"/>
  <c r="AF245" i="49" s="1"/>
  <c r="AG245" i="49" s="1"/>
  <c r="AH245" i="49" s="1"/>
  <c r="AI245" i="49" s="1"/>
  <c r="AJ245" i="49" s="1"/>
  <c r="AK245" i="49" s="1"/>
  <c r="AL245" i="49" s="1"/>
  <c r="AM245" i="49" s="1"/>
  <c r="AN245" i="49" s="1"/>
  <c r="AO245" i="49" s="1"/>
  <c r="AP245" i="49" s="1"/>
  <c r="AB459" i="49"/>
  <c r="J136" i="49"/>
  <c r="AZ26" i="5" s="1"/>
  <c r="X356" i="31"/>
  <c r="I286" i="49"/>
  <c r="L158" i="49"/>
  <c r="H333" i="49"/>
  <c r="X52" i="5" s="1"/>
  <c r="Y340" i="31"/>
  <c r="AE209" i="49"/>
  <c r="G208" i="49"/>
  <c r="R600" i="49"/>
  <c r="W459" i="49"/>
  <c r="AE423" i="31"/>
  <c r="AF423" i="31" s="1"/>
  <c r="AG423" i="31" s="1"/>
  <c r="AH423" i="31" s="1"/>
  <c r="AI423" i="31" s="1"/>
  <c r="AJ423" i="31" s="1"/>
  <c r="AK423" i="31" s="1"/>
  <c r="AL423" i="31" s="1"/>
  <c r="AM423" i="31" s="1"/>
  <c r="AN423" i="31" s="1"/>
  <c r="AO423" i="31" s="1"/>
  <c r="AP423" i="31" s="1"/>
  <c r="AB469" i="49"/>
  <c r="P487" i="49"/>
  <c r="EF33" i="62" s="1"/>
  <c r="G382" i="31"/>
  <c r="AE383" i="31"/>
  <c r="AF383" i="31" s="1"/>
  <c r="R80" i="49"/>
  <c r="FH19" i="5" s="1"/>
  <c r="L393" i="31"/>
  <c r="CD19" i="62" s="1"/>
  <c r="CE19" i="62" s="1"/>
  <c r="AA144" i="31"/>
  <c r="AE226" i="31"/>
  <c r="AF226" i="31" s="1"/>
  <c r="AG226" i="31" s="1"/>
  <c r="AH226" i="31" s="1"/>
  <c r="AI226" i="31" s="1"/>
  <c r="AJ226" i="31" s="1"/>
  <c r="AK226" i="31" s="1"/>
  <c r="AL226" i="31" s="1"/>
  <c r="AM226" i="31" s="1"/>
  <c r="AN226" i="31" s="1"/>
  <c r="AO226" i="31" s="1"/>
  <c r="AP226" i="31" s="1"/>
  <c r="K188" i="31"/>
  <c r="BP35" i="5" s="1"/>
  <c r="AE480" i="31"/>
  <c r="T188" i="31"/>
  <c r="AC168" i="49"/>
  <c r="R315" i="49"/>
  <c r="AE432" i="31"/>
  <c r="AF432" i="31" s="1"/>
  <c r="AG432" i="31" s="1"/>
  <c r="AH432" i="31" s="1"/>
  <c r="AI432" i="31" s="1"/>
  <c r="AJ432" i="31" s="1"/>
  <c r="AK432" i="31" s="1"/>
  <c r="AL432" i="31" s="1"/>
  <c r="AM432" i="31" s="1"/>
  <c r="AN432" i="31" s="1"/>
  <c r="AO432" i="31" s="1"/>
  <c r="AP432" i="31" s="1"/>
  <c r="AD219" i="31"/>
  <c r="AB109" i="31"/>
  <c r="R561" i="31"/>
  <c r="P35" i="31"/>
  <c r="EH14" i="5" s="1"/>
  <c r="EI14" i="5" s="1"/>
  <c r="H482" i="49"/>
  <c r="X32" i="62" s="1"/>
  <c r="W321" i="49"/>
  <c r="AE605" i="31"/>
  <c r="G604" i="31"/>
  <c r="W98" i="49"/>
  <c r="AB71" i="31"/>
  <c r="V47" i="31"/>
  <c r="N614" i="49"/>
  <c r="I306" i="49"/>
  <c r="AE583" i="49"/>
  <c r="AF583" i="49" s="1"/>
  <c r="AG583" i="49" s="1"/>
  <c r="AH583" i="49" s="1"/>
  <c r="AI583" i="49" s="1"/>
  <c r="AJ583" i="49" s="1"/>
  <c r="AK583" i="49" s="1"/>
  <c r="AL583" i="49" s="1"/>
  <c r="AM583" i="49" s="1"/>
  <c r="AN583" i="49" s="1"/>
  <c r="AO583" i="49" s="1"/>
  <c r="AP583" i="49" s="1"/>
  <c r="P333" i="49"/>
  <c r="EF52" i="5" s="1"/>
  <c r="T238" i="49"/>
  <c r="L136" i="31"/>
  <c r="CD26" i="5" s="1"/>
  <c r="P293" i="49"/>
  <c r="EF43" i="5" s="1"/>
  <c r="M416" i="49"/>
  <c r="CP22" i="62" s="1"/>
  <c r="O561" i="31"/>
  <c r="U168" i="31"/>
  <c r="AD482" i="49"/>
  <c r="W469" i="49"/>
  <c r="H614" i="49"/>
  <c r="AE81" i="49"/>
  <c r="G80" i="49"/>
  <c r="O26" i="31"/>
  <c r="DT13" i="5" s="1"/>
  <c r="DU13" i="5" s="1"/>
  <c r="AE78" i="49"/>
  <c r="AF78" i="49" s="1"/>
  <c r="AG78" i="49" s="1"/>
  <c r="AH78" i="49" s="1"/>
  <c r="AI78" i="49" s="1"/>
  <c r="AJ78" i="49" s="1"/>
  <c r="AK78" i="49" s="1"/>
  <c r="AL78" i="49" s="1"/>
  <c r="AM78" i="49" s="1"/>
  <c r="AN78" i="49" s="1"/>
  <c r="AO78" i="49" s="1"/>
  <c r="AP78" i="49" s="1"/>
  <c r="I333" i="49"/>
  <c r="AL52" i="5" s="1"/>
  <c r="I614" i="49"/>
  <c r="S569" i="31"/>
  <c r="R26" i="31"/>
  <c r="FJ13" i="5" s="1"/>
  <c r="FK13" i="5" s="1"/>
  <c r="H293" i="31"/>
  <c r="Z43" i="5" s="1"/>
  <c r="AE174" i="49"/>
  <c r="AF174" i="49" s="1"/>
  <c r="I377" i="31"/>
  <c r="AN60" i="5" s="1"/>
  <c r="AO60" i="5" s="1"/>
  <c r="M553" i="31"/>
  <c r="W347" i="49"/>
  <c r="U542" i="49"/>
  <c r="AC469" i="49"/>
  <c r="M340" i="31"/>
  <c r="CR53" i="5" s="1"/>
  <c r="K127" i="49"/>
  <c r="BN25" i="5" s="1"/>
  <c r="K377" i="31"/>
  <c r="BP60" i="5" s="1"/>
  <c r="BQ60" i="5" s="1"/>
  <c r="AA377" i="31"/>
  <c r="AE86" i="31"/>
  <c r="AF86" i="31" s="1"/>
  <c r="AG86" i="31" s="1"/>
  <c r="AH86" i="31" s="1"/>
  <c r="AC9" i="49"/>
  <c r="AE331" i="49"/>
  <c r="AF331" i="49" s="1"/>
  <c r="AG331" i="49" s="1"/>
  <c r="AH331" i="49" s="1"/>
  <c r="AI331" i="49" s="1"/>
  <c r="AJ331" i="49" s="1"/>
  <c r="AK331" i="49" s="1"/>
  <c r="AL331" i="49" s="1"/>
  <c r="AM331" i="49" s="1"/>
  <c r="AN331" i="49" s="1"/>
  <c r="AO331" i="49" s="1"/>
  <c r="AP331" i="49" s="1"/>
  <c r="AE23" i="31"/>
  <c r="AF23" i="31" s="1"/>
  <c r="AG23" i="31" s="1"/>
  <c r="AH23" i="31" s="1"/>
  <c r="AI23" i="31" s="1"/>
  <c r="AJ23" i="31" s="1"/>
  <c r="AK23" i="31" s="1"/>
  <c r="AL23" i="31" s="1"/>
  <c r="AM23" i="31" s="1"/>
  <c r="AN23" i="31" s="1"/>
  <c r="AO23" i="31" s="1"/>
  <c r="AP23" i="31" s="1"/>
  <c r="Y333" i="49"/>
  <c r="J178" i="49"/>
  <c r="P377" i="31"/>
  <c r="EH60" i="5" s="1"/>
  <c r="EI60" i="5" s="1"/>
  <c r="L315" i="31"/>
  <c r="AE86" i="49"/>
  <c r="AF86" i="49" s="1"/>
  <c r="AG86" i="49" s="1"/>
  <c r="AH86" i="49" s="1"/>
  <c r="AI86" i="49" s="1"/>
  <c r="AJ86" i="49" s="1"/>
  <c r="AK86" i="49" s="1"/>
  <c r="AL86" i="49" s="1"/>
  <c r="AM86" i="49" s="1"/>
  <c r="AN86" i="49" s="1"/>
  <c r="AO86" i="49" s="1"/>
  <c r="AP86" i="49" s="1"/>
  <c r="L476" i="49"/>
  <c r="CB30" i="62" s="1"/>
  <c r="O109" i="49"/>
  <c r="Q98" i="49"/>
  <c r="ET21" i="5" s="1"/>
  <c r="V542" i="49"/>
  <c r="AB228" i="31"/>
  <c r="AA256" i="31"/>
  <c r="AF438" i="49"/>
  <c r="AG438" i="49" s="1"/>
  <c r="AH438" i="49" s="1"/>
  <c r="AI438" i="49" s="1"/>
  <c r="AJ438" i="49" s="1"/>
  <c r="AK438" i="49" s="1"/>
  <c r="AL438" i="49" s="1"/>
  <c r="AM438" i="49" s="1"/>
  <c r="AN438" i="49" s="1"/>
  <c r="AO438" i="49" s="1"/>
  <c r="AP438" i="49" s="1"/>
  <c r="S531" i="31"/>
  <c r="P393" i="31"/>
  <c r="EH19" i="62" s="1"/>
  <c r="EI19" i="62" s="1"/>
  <c r="AE360" i="49"/>
  <c r="AF360" i="49" s="1"/>
  <c r="AG360" i="49" s="1"/>
  <c r="AH360" i="49" s="1"/>
  <c r="AI360" i="49" s="1"/>
  <c r="AJ360" i="49" s="1"/>
  <c r="AK360" i="49" s="1"/>
  <c r="AL360" i="49" s="1"/>
  <c r="AM360" i="49" s="1"/>
  <c r="AN360" i="49" s="1"/>
  <c r="AO360" i="49" s="1"/>
  <c r="AP360" i="49" s="1"/>
  <c r="AE547" i="31"/>
  <c r="AF547" i="31" s="1"/>
  <c r="AG547" i="31" s="1"/>
  <c r="AH547" i="31" s="1"/>
  <c r="AI547" i="31" s="1"/>
  <c r="AJ547" i="31" s="1"/>
  <c r="AK547" i="31" s="1"/>
  <c r="AL547" i="31" s="1"/>
  <c r="AM547" i="31" s="1"/>
  <c r="AN547" i="31" s="1"/>
  <c r="AO547" i="31" s="1"/>
  <c r="AP547" i="31" s="1"/>
  <c r="AE413" i="49"/>
  <c r="AF413" i="49" s="1"/>
  <c r="AG413" i="49" s="1"/>
  <c r="AH413" i="49" s="1"/>
  <c r="AI413" i="49" s="1"/>
  <c r="AJ413" i="49" s="1"/>
  <c r="AK413" i="49" s="1"/>
  <c r="AL413" i="49" s="1"/>
  <c r="AM413" i="49" s="1"/>
  <c r="AN413" i="49" s="1"/>
  <c r="AO413" i="49" s="1"/>
  <c r="AP413" i="49" s="1"/>
  <c r="AE409" i="49"/>
  <c r="AF409" i="49" s="1"/>
  <c r="AG409" i="49" s="1"/>
  <c r="AH409" i="49" s="1"/>
  <c r="AI409" i="49" s="1"/>
  <c r="AJ409" i="49" s="1"/>
  <c r="AK409" i="49" s="1"/>
  <c r="AL409" i="49" s="1"/>
  <c r="AM409" i="49" s="1"/>
  <c r="AN409" i="49" s="1"/>
  <c r="AO409" i="49" s="1"/>
  <c r="AP409" i="49" s="1"/>
  <c r="AE361" i="49"/>
  <c r="AF361" i="49" s="1"/>
  <c r="AG361" i="49" s="1"/>
  <c r="AH361" i="49" s="1"/>
  <c r="AI361" i="49" s="1"/>
  <c r="AJ361" i="49" s="1"/>
  <c r="AK361" i="49" s="1"/>
  <c r="AL361" i="49" s="1"/>
  <c r="AM361" i="49" s="1"/>
  <c r="AN361" i="49" s="1"/>
  <c r="AO361" i="49" s="1"/>
  <c r="AP361" i="49" s="1"/>
  <c r="AA609" i="49"/>
  <c r="P366" i="31"/>
  <c r="EH58" i="5" s="1"/>
  <c r="EI58" i="5" s="1"/>
  <c r="AC9" i="31"/>
  <c r="AE560" i="31"/>
  <c r="AF560" i="31" s="1"/>
  <c r="AG560" i="31" s="1"/>
  <c r="AH560" i="31" s="1"/>
  <c r="AI560" i="31" s="1"/>
  <c r="AJ560" i="31" s="1"/>
  <c r="AK560" i="31" s="1"/>
  <c r="AL560" i="31" s="1"/>
  <c r="AM560" i="31" s="1"/>
  <c r="AN560" i="31" s="1"/>
  <c r="AO560" i="31" s="1"/>
  <c r="AP560" i="31" s="1"/>
  <c r="AB393" i="49"/>
  <c r="AE249" i="49"/>
  <c r="AF445" i="31"/>
  <c r="AG445" i="31" s="1"/>
  <c r="AH445" i="31" s="1"/>
  <c r="AI445" i="31" s="1"/>
  <c r="AJ445" i="31" s="1"/>
  <c r="AK445" i="31" s="1"/>
  <c r="AL445" i="31" s="1"/>
  <c r="AM445" i="31" s="1"/>
  <c r="AN445" i="31" s="1"/>
  <c r="AO445" i="31" s="1"/>
  <c r="AP445" i="31" s="1"/>
  <c r="Q293" i="49"/>
  <c r="ET43" i="5" s="1"/>
  <c r="X506" i="31"/>
  <c r="S168" i="31"/>
  <c r="S482" i="31"/>
  <c r="K506" i="31"/>
  <c r="BP34" i="62" s="1"/>
  <c r="BQ34" i="62" s="1"/>
  <c r="M98" i="31"/>
  <c r="CR21" i="5" s="1"/>
  <c r="CS21" i="5" s="1"/>
  <c r="J377" i="49"/>
  <c r="AZ60" i="5" s="1"/>
  <c r="H208" i="49"/>
  <c r="X36" i="5" s="1"/>
  <c r="AE82" i="49"/>
  <c r="AF82" i="49" s="1"/>
  <c r="AG82" i="49" s="1"/>
  <c r="AH82" i="49" s="1"/>
  <c r="AI82" i="49" s="1"/>
  <c r="AJ82" i="49" s="1"/>
  <c r="AK82" i="49" s="1"/>
  <c r="AL82" i="49" s="1"/>
  <c r="AM82" i="49" s="1"/>
  <c r="AN82" i="49" s="1"/>
  <c r="AO82" i="49" s="1"/>
  <c r="AP82" i="49" s="1"/>
  <c r="AE132" i="49"/>
  <c r="AF132" i="49" s="1"/>
  <c r="AG132" i="49" s="1"/>
  <c r="AH132" i="49" s="1"/>
  <c r="AI132" i="49" s="1"/>
  <c r="AJ132" i="49" s="1"/>
  <c r="AK132" i="49" s="1"/>
  <c r="AL132" i="49" s="1"/>
  <c r="AM132" i="49" s="1"/>
  <c r="AN132" i="49" s="1"/>
  <c r="AO132" i="49" s="1"/>
  <c r="AP132" i="49" s="1"/>
  <c r="AC315" i="49"/>
  <c r="V127" i="49"/>
  <c r="AE106" i="49"/>
  <c r="AF106" i="49" s="1"/>
  <c r="AG106" i="49" s="1"/>
  <c r="AH106" i="49" s="1"/>
  <c r="AI106" i="49" s="1"/>
  <c r="AJ106" i="49" s="1"/>
  <c r="AK106" i="49" s="1"/>
  <c r="AL106" i="49" s="1"/>
  <c r="AM106" i="49" s="1"/>
  <c r="AN106" i="49" s="1"/>
  <c r="AO106" i="49" s="1"/>
  <c r="AP106" i="49" s="1"/>
  <c r="AE253" i="49"/>
  <c r="AF253" i="49" s="1"/>
  <c r="AG253" i="49" s="1"/>
  <c r="AH253" i="49" s="1"/>
  <c r="AI253" i="49" s="1"/>
  <c r="AJ253" i="49" s="1"/>
  <c r="AK253" i="49" s="1"/>
  <c r="AL253" i="49" s="1"/>
  <c r="AM253" i="49" s="1"/>
  <c r="AN253" i="49" s="1"/>
  <c r="AO253" i="49" s="1"/>
  <c r="AP253" i="49" s="1"/>
  <c r="L9" i="49"/>
  <c r="T315" i="49"/>
  <c r="X256" i="49"/>
  <c r="M188" i="31"/>
  <c r="CR35" i="5" s="1"/>
  <c r="AE466" i="49"/>
  <c r="AF466" i="49" s="1"/>
  <c r="AG466" i="49" s="1"/>
  <c r="AH466" i="49" s="1"/>
  <c r="AI466" i="49" s="1"/>
  <c r="AJ466" i="49" s="1"/>
  <c r="AK466" i="49" s="1"/>
  <c r="AL466" i="49" s="1"/>
  <c r="AM466" i="49" s="1"/>
  <c r="AN466" i="49" s="1"/>
  <c r="AO466" i="49" s="1"/>
  <c r="AP466" i="49" s="1"/>
  <c r="Y542" i="49"/>
  <c r="L377" i="31"/>
  <c r="CD60" i="5" s="1"/>
  <c r="CE60" i="5" s="1"/>
  <c r="Q219" i="49"/>
  <c r="ET37" i="5" s="1"/>
  <c r="O476" i="31"/>
  <c r="DT30" i="62" s="1"/>
  <c r="DU30" i="62" s="1"/>
  <c r="AE269" i="31"/>
  <c r="AF269" i="31" s="1"/>
  <c r="AG269" i="31" s="1"/>
  <c r="AH269" i="31" s="1"/>
  <c r="AI269" i="31" s="1"/>
  <c r="AJ269" i="31" s="1"/>
  <c r="AK269" i="31" s="1"/>
  <c r="AL269" i="31" s="1"/>
  <c r="AM269" i="31" s="1"/>
  <c r="AN269" i="31" s="1"/>
  <c r="AO269" i="31" s="1"/>
  <c r="AP269" i="31" s="1"/>
  <c r="W144" i="49"/>
  <c r="AE369" i="31"/>
  <c r="AF369" i="31" s="1"/>
  <c r="AG369" i="31" s="1"/>
  <c r="AH369" i="31" s="1"/>
  <c r="AI369" i="31" s="1"/>
  <c r="AJ369" i="31" s="1"/>
  <c r="AK369" i="31" s="1"/>
  <c r="AL369" i="31" s="1"/>
  <c r="AM369" i="31" s="1"/>
  <c r="AN369" i="31" s="1"/>
  <c r="AO369" i="31" s="1"/>
  <c r="AP369" i="31" s="1"/>
  <c r="AE147" i="49"/>
  <c r="AF147" i="49" s="1"/>
  <c r="AG147" i="49" s="1"/>
  <c r="AH147" i="49" s="1"/>
  <c r="AI147" i="49" s="1"/>
  <c r="AJ147" i="49" s="1"/>
  <c r="AK147" i="49" s="1"/>
  <c r="AL147" i="49" s="1"/>
  <c r="AM147" i="49" s="1"/>
  <c r="AN147" i="49" s="1"/>
  <c r="AO147" i="49" s="1"/>
  <c r="AP147" i="49" s="1"/>
  <c r="AE165" i="31"/>
  <c r="AF165" i="31" s="1"/>
  <c r="AG165" i="31" s="1"/>
  <c r="AH165" i="31" s="1"/>
  <c r="AI165" i="31" s="1"/>
  <c r="AJ165" i="31" s="1"/>
  <c r="AK165" i="31" s="1"/>
  <c r="AL165" i="31" s="1"/>
  <c r="AM165" i="31" s="1"/>
  <c r="AN165" i="31" s="1"/>
  <c r="AO165" i="31" s="1"/>
  <c r="AP165" i="31" s="1"/>
  <c r="U487" i="31"/>
  <c r="AE308" i="31"/>
  <c r="AF308" i="31" s="1"/>
  <c r="AG308" i="31" s="1"/>
  <c r="AH308" i="31" s="1"/>
  <c r="AI308" i="31" s="1"/>
  <c r="AJ308" i="31" s="1"/>
  <c r="AK308" i="31" s="1"/>
  <c r="AL308" i="31" s="1"/>
  <c r="AM308" i="31" s="1"/>
  <c r="AN308" i="31" s="1"/>
  <c r="AO308" i="31" s="1"/>
  <c r="AP308" i="31" s="1"/>
  <c r="AE67" i="31"/>
  <c r="AF67" i="31" s="1"/>
  <c r="AG67" i="31" s="1"/>
  <c r="AH67" i="31" s="1"/>
  <c r="AI67" i="31" s="1"/>
  <c r="AJ67" i="31" s="1"/>
  <c r="AK67" i="31" s="1"/>
  <c r="AL67" i="31" s="1"/>
  <c r="AM67" i="31" s="1"/>
  <c r="AN67" i="31" s="1"/>
  <c r="AO67" i="31" s="1"/>
  <c r="AP67" i="31" s="1"/>
  <c r="M347" i="31"/>
  <c r="CR54" i="5" s="1"/>
  <c r="CS54" i="5" s="1"/>
  <c r="AE30" i="31"/>
  <c r="AF30" i="31" s="1"/>
  <c r="AG30" i="31" s="1"/>
  <c r="AH30" i="31" s="1"/>
  <c r="AI30" i="31" s="1"/>
  <c r="AJ30" i="31" s="1"/>
  <c r="AK30" i="31" s="1"/>
  <c r="AL30" i="31" s="1"/>
  <c r="AM30" i="31" s="1"/>
  <c r="AN30" i="31" s="1"/>
  <c r="AO30" i="31" s="1"/>
  <c r="AP30" i="31" s="1"/>
  <c r="AE439" i="49"/>
  <c r="AF439" i="49" s="1"/>
  <c r="AG439" i="49" s="1"/>
  <c r="AH439" i="49" s="1"/>
  <c r="AI439" i="49" s="1"/>
  <c r="AJ439" i="49" s="1"/>
  <c r="AK439" i="49" s="1"/>
  <c r="AL439" i="49" s="1"/>
  <c r="AM439" i="49" s="1"/>
  <c r="AN439" i="49" s="1"/>
  <c r="AO439" i="49" s="1"/>
  <c r="AP439" i="49" s="1"/>
  <c r="L228" i="31"/>
  <c r="AE425" i="31"/>
  <c r="AF425" i="31" s="1"/>
  <c r="AG425" i="31" s="1"/>
  <c r="AH425" i="31" s="1"/>
  <c r="AI425" i="31" s="1"/>
  <c r="AJ425" i="31" s="1"/>
  <c r="AK425" i="31" s="1"/>
  <c r="AL425" i="31" s="1"/>
  <c r="AM425" i="31" s="1"/>
  <c r="AN425" i="31" s="1"/>
  <c r="AO425" i="31" s="1"/>
  <c r="AP425" i="31" s="1"/>
  <c r="M158" i="31"/>
  <c r="H219" i="49"/>
  <c r="X37" i="5" s="1"/>
  <c r="J71" i="31"/>
  <c r="BB18" i="5" s="1"/>
  <c r="BC18" i="5" s="1"/>
  <c r="M89" i="31"/>
  <c r="CR20" i="5" s="1"/>
  <c r="CS20" i="5" s="1"/>
  <c r="N62" i="31"/>
  <c r="DF17" i="5" s="1"/>
  <c r="DG17" i="5" s="1"/>
  <c r="AD584" i="49"/>
  <c r="AE510" i="31"/>
  <c r="AF510" i="31" s="1"/>
  <c r="AG510" i="31" s="1"/>
  <c r="AH510" i="31" s="1"/>
  <c r="AI510" i="31" s="1"/>
  <c r="AJ510" i="31" s="1"/>
  <c r="AK510" i="31" s="1"/>
  <c r="AL510" i="31" s="1"/>
  <c r="AM510" i="31" s="1"/>
  <c r="AN510" i="31" s="1"/>
  <c r="AO510" i="31" s="1"/>
  <c r="AP510" i="31" s="1"/>
  <c r="I301" i="31"/>
  <c r="AE255" i="49"/>
  <c r="AF255" i="49" s="1"/>
  <c r="AG255" i="49" s="1"/>
  <c r="AH255" i="49" s="1"/>
  <c r="AI255" i="49" s="1"/>
  <c r="AJ255" i="49" s="1"/>
  <c r="AK255" i="49" s="1"/>
  <c r="AL255" i="49" s="1"/>
  <c r="AM255" i="49" s="1"/>
  <c r="AN255" i="49" s="1"/>
  <c r="AO255" i="49" s="1"/>
  <c r="AP255" i="49" s="1"/>
  <c r="Z416" i="49"/>
  <c r="AB393" i="31"/>
  <c r="S442" i="31"/>
  <c r="T238" i="31"/>
  <c r="J565" i="49"/>
  <c r="V565" i="49"/>
  <c r="AC347" i="31"/>
  <c r="X382" i="49"/>
  <c r="T188" i="49"/>
  <c r="U144" i="49"/>
  <c r="S340" i="49"/>
  <c r="AA228" i="49"/>
  <c r="AE467" i="31"/>
  <c r="AF467" i="31" s="1"/>
  <c r="AG467" i="31" s="1"/>
  <c r="AH467" i="31" s="1"/>
  <c r="AI467" i="31" s="1"/>
  <c r="AJ467" i="31" s="1"/>
  <c r="AK467" i="31" s="1"/>
  <c r="AL467" i="31" s="1"/>
  <c r="AM467" i="31" s="1"/>
  <c r="AN467" i="31" s="1"/>
  <c r="AO467" i="31" s="1"/>
  <c r="AP467" i="31" s="1"/>
  <c r="J569" i="31"/>
  <c r="L604" i="31"/>
  <c r="K366" i="49"/>
  <c r="BN58" i="5" s="1"/>
  <c r="Y286" i="49"/>
  <c r="R393" i="31"/>
  <c r="V584" i="49"/>
  <c r="N557" i="31"/>
  <c r="Y416" i="31"/>
  <c r="I347" i="49"/>
  <c r="AL54" i="5" s="1"/>
  <c r="Q306" i="31"/>
  <c r="EV46" i="5" s="1"/>
  <c r="EW46" i="5" s="1"/>
  <c r="T80" i="31"/>
  <c r="V347" i="49"/>
  <c r="N600" i="49"/>
  <c r="X228" i="49"/>
  <c r="AE70" i="49"/>
  <c r="AF70" i="49" s="1"/>
  <c r="AG70" i="49" s="1"/>
  <c r="AH70" i="49" s="1"/>
  <c r="AI70" i="49" s="1"/>
  <c r="AJ70" i="49" s="1"/>
  <c r="AK70" i="49" s="1"/>
  <c r="AL70" i="49" s="1"/>
  <c r="AM70" i="49" s="1"/>
  <c r="AN70" i="49" s="1"/>
  <c r="AO70" i="49" s="1"/>
  <c r="AP70" i="49" s="1"/>
  <c r="L366" i="49"/>
  <c r="CB58" i="5" s="1"/>
  <c r="W557" i="49"/>
  <c r="X565" i="49"/>
  <c r="Z98" i="31"/>
  <c r="AB600" i="31"/>
  <c r="Y476" i="49"/>
  <c r="N228" i="31"/>
  <c r="DF38" i="5" s="1"/>
  <c r="AE121" i="49"/>
  <c r="AF121" i="49" s="1"/>
  <c r="AG121" i="49" s="1"/>
  <c r="AH121" i="49" s="1"/>
  <c r="AI121" i="49" s="1"/>
  <c r="AJ121" i="49" s="1"/>
  <c r="AK121" i="49" s="1"/>
  <c r="AL121" i="49" s="1"/>
  <c r="AM121" i="49" s="1"/>
  <c r="AN121" i="49" s="1"/>
  <c r="AO121" i="49" s="1"/>
  <c r="AP121" i="49" s="1"/>
  <c r="AC584" i="31"/>
  <c r="W609" i="49"/>
  <c r="AE430" i="31"/>
  <c r="AF430" i="31" s="1"/>
  <c r="AG430" i="31" s="1"/>
  <c r="AA315" i="49"/>
  <c r="AE503" i="49"/>
  <c r="AF503" i="49" s="1"/>
  <c r="AG503" i="49" s="1"/>
  <c r="AH503" i="49" s="1"/>
  <c r="AI503" i="49" s="1"/>
  <c r="AJ503" i="49" s="1"/>
  <c r="AK503" i="49" s="1"/>
  <c r="AL503" i="49" s="1"/>
  <c r="AM503" i="49" s="1"/>
  <c r="AN503" i="49" s="1"/>
  <c r="AO503" i="49" s="1"/>
  <c r="AP503" i="49" s="1"/>
  <c r="AE471" i="49"/>
  <c r="AF471" i="49" s="1"/>
  <c r="AG471" i="49" s="1"/>
  <c r="AH471" i="49" s="1"/>
  <c r="AI471" i="49" s="1"/>
  <c r="AJ471" i="49" s="1"/>
  <c r="AK471" i="49" s="1"/>
  <c r="AL471" i="49" s="1"/>
  <c r="AM471" i="49" s="1"/>
  <c r="AN471" i="49" s="1"/>
  <c r="AO471" i="49" s="1"/>
  <c r="AP471" i="49" s="1"/>
  <c r="N168" i="49"/>
  <c r="DD32" i="5" s="1"/>
  <c r="AA127" i="49"/>
  <c r="X178" i="49"/>
  <c r="AE83" i="49"/>
  <c r="AF83" i="49" s="1"/>
  <c r="AG83" i="49" s="1"/>
  <c r="AH83" i="49" s="1"/>
  <c r="AI83" i="49" s="1"/>
  <c r="AJ83" i="49" s="1"/>
  <c r="AK83" i="49" s="1"/>
  <c r="AL83" i="49" s="1"/>
  <c r="AM83" i="49" s="1"/>
  <c r="AN83" i="49" s="1"/>
  <c r="AO83" i="49" s="1"/>
  <c r="AP83" i="49" s="1"/>
  <c r="W459" i="31"/>
  <c r="O393" i="31"/>
  <c r="DT19" i="62" s="1"/>
  <c r="DU19" i="62" s="1"/>
  <c r="O89" i="31"/>
  <c r="DT20" i="5" s="1"/>
  <c r="DU20" i="5" s="1"/>
  <c r="S600" i="49"/>
  <c r="S168" i="49"/>
  <c r="O153" i="49"/>
  <c r="DR28" i="5" s="1"/>
  <c r="J416" i="31"/>
  <c r="BB22" i="62" s="1"/>
  <c r="BC22" i="62" s="1"/>
  <c r="M153" i="31"/>
  <c r="CR28" i="5" s="1"/>
  <c r="CS28" i="5" s="1"/>
  <c r="R382" i="31"/>
  <c r="FJ61" i="5" s="1"/>
  <c r="FK61" i="5" s="1"/>
  <c r="U321" i="49"/>
  <c r="O377" i="49"/>
  <c r="DR60" i="5" s="1"/>
  <c r="AE555" i="31"/>
  <c r="AF555" i="31" s="1"/>
  <c r="AG555" i="31" s="1"/>
  <c r="AH555" i="31" s="1"/>
  <c r="AI555" i="31" s="1"/>
  <c r="AJ555" i="31" s="1"/>
  <c r="AK555" i="31" s="1"/>
  <c r="AL555" i="31" s="1"/>
  <c r="AM555" i="31" s="1"/>
  <c r="AN555" i="31" s="1"/>
  <c r="AO555" i="31" s="1"/>
  <c r="AP555" i="31" s="1"/>
  <c r="M600" i="49"/>
  <c r="AE264" i="31"/>
  <c r="AF264" i="31" s="1"/>
  <c r="AG264" i="31" s="1"/>
  <c r="AH264" i="31" s="1"/>
  <c r="AI264" i="31" s="1"/>
  <c r="AJ264" i="31" s="1"/>
  <c r="AK264" i="31" s="1"/>
  <c r="AL264" i="31" s="1"/>
  <c r="AM264" i="31" s="1"/>
  <c r="AN264" i="31" s="1"/>
  <c r="AO264" i="31" s="1"/>
  <c r="AP264" i="31" s="1"/>
  <c r="M153" i="49"/>
  <c r="CP28" i="5" s="1"/>
  <c r="AB366" i="49"/>
  <c r="O256" i="31"/>
  <c r="DT40" i="5" s="1"/>
  <c r="AE558" i="49"/>
  <c r="G557" i="49"/>
  <c r="T62" i="31"/>
  <c r="L153" i="49"/>
  <c r="CB28" i="5" s="1"/>
  <c r="U256" i="49"/>
  <c r="W35" i="31"/>
  <c r="W188" i="49"/>
  <c r="W553" i="49"/>
  <c r="AE141" i="49"/>
  <c r="AF141" i="49" s="1"/>
  <c r="AG141" i="49" s="1"/>
  <c r="AH141" i="49" s="1"/>
  <c r="AI141" i="49" s="1"/>
  <c r="AJ141" i="49" s="1"/>
  <c r="AK141" i="49" s="1"/>
  <c r="AL141" i="49" s="1"/>
  <c r="AM141" i="49" s="1"/>
  <c r="AN141" i="49" s="1"/>
  <c r="AO141" i="49" s="1"/>
  <c r="AP141" i="49" s="1"/>
  <c r="J228" i="49"/>
  <c r="AZ38" i="5" s="1"/>
  <c r="O333" i="31"/>
  <c r="DT52" i="5" s="1"/>
  <c r="DU52" i="5" s="1"/>
  <c r="J333" i="49"/>
  <c r="AZ52" i="5" s="1"/>
  <c r="Z333" i="49"/>
  <c r="J153" i="49"/>
  <c r="AZ28" i="5" s="1"/>
  <c r="X158" i="31"/>
  <c r="AF224" i="31"/>
  <c r="AG224" i="31" s="1"/>
  <c r="AH224" i="31" s="1"/>
  <c r="AI224" i="31" s="1"/>
  <c r="AJ224" i="31" s="1"/>
  <c r="AK224" i="31" s="1"/>
  <c r="AL224" i="31" s="1"/>
  <c r="AM224" i="31" s="1"/>
  <c r="AN224" i="31" s="1"/>
  <c r="AO224" i="31" s="1"/>
  <c r="AP224" i="31" s="1"/>
  <c r="U600" i="31"/>
  <c r="Q356" i="31"/>
  <c r="EV57" i="5" s="1"/>
  <c r="EV42" i="62" s="1"/>
  <c r="N127" i="31"/>
  <c r="DF25" i="5" s="1"/>
  <c r="DG25" i="5" s="1"/>
  <c r="P347" i="31"/>
  <c r="EH54" i="5" s="1"/>
  <c r="EI54" i="5" s="1"/>
  <c r="K98" i="49"/>
  <c r="BN21" i="5" s="1"/>
  <c r="N188" i="31"/>
  <c r="DF35" i="5" s="1"/>
  <c r="U80" i="49"/>
  <c r="K109" i="31"/>
  <c r="AA47" i="31"/>
  <c r="S71" i="49"/>
  <c r="Y442" i="31"/>
  <c r="AB35" i="31"/>
  <c r="K321" i="31"/>
  <c r="BP50" i="5" s="1"/>
  <c r="BQ50" i="5" s="1"/>
  <c r="AE519" i="49"/>
  <c r="AF519" i="49" s="1"/>
  <c r="AG519" i="49" s="1"/>
  <c r="AH519" i="49" s="1"/>
  <c r="AI519" i="49" s="1"/>
  <c r="AJ519" i="49" s="1"/>
  <c r="AK519" i="49" s="1"/>
  <c r="AL519" i="49" s="1"/>
  <c r="AM519" i="49" s="1"/>
  <c r="AN519" i="49" s="1"/>
  <c r="AO519" i="49" s="1"/>
  <c r="AP519" i="49" s="1"/>
  <c r="X476" i="31"/>
  <c r="AE148" i="49"/>
  <c r="AF148" i="49" s="1"/>
  <c r="AG148" i="49" s="1"/>
  <c r="AH148" i="49" s="1"/>
  <c r="AI148" i="49" s="1"/>
  <c r="AJ148" i="49" s="1"/>
  <c r="AK148" i="49" s="1"/>
  <c r="AL148" i="49" s="1"/>
  <c r="AM148" i="49" s="1"/>
  <c r="AN148" i="49" s="1"/>
  <c r="AO148" i="49" s="1"/>
  <c r="AP148" i="49" s="1"/>
  <c r="AD306" i="49"/>
  <c r="AE349" i="49"/>
  <c r="AF349" i="49" s="1"/>
  <c r="AG349" i="49" s="1"/>
  <c r="AA286" i="31"/>
  <c r="M47" i="49"/>
  <c r="CP16" i="5" s="1"/>
  <c r="AE276" i="31"/>
  <c r="AF276" i="31" s="1"/>
  <c r="AG276" i="31" s="1"/>
  <c r="AH276" i="31" s="1"/>
  <c r="AI276" i="31" s="1"/>
  <c r="AJ276" i="31" s="1"/>
  <c r="AK276" i="31" s="1"/>
  <c r="AL276" i="31" s="1"/>
  <c r="AM276" i="31" s="1"/>
  <c r="AN276" i="31" s="1"/>
  <c r="AO276" i="31" s="1"/>
  <c r="AP276" i="31" s="1"/>
  <c r="L286" i="31"/>
  <c r="Y366" i="49"/>
  <c r="AE607" i="31"/>
  <c r="AF607" i="31" s="1"/>
  <c r="AG607" i="31" s="1"/>
  <c r="AH607" i="31" s="1"/>
  <c r="AI607" i="31" s="1"/>
  <c r="AJ607" i="31" s="1"/>
  <c r="AK607" i="31" s="1"/>
  <c r="AL607" i="31" s="1"/>
  <c r="AM607" i="31" s="1"/>
  <c r="AN607" i="31" s="1"/>
  <c r="AO607" i="31" s="1"/>
  <c r="AP607" i="31" s="1"/>
  <c r="K26" i="49"/>
  <c r="BN13" i="5" s="1"/>
  <c r="I109" i="49"/>
  <c r="S569" i="49"/>
  <c r="AE131" i="31"/>
  <c r="AF131" i="31" s="1"/>
  <c r="AG131" i="31" s="1"/>
  <c r="AH131" i="31" s="1"/>
  <c r="AI131" i="31" s="1"/>
  <c r="AJ131" i="31" s="1"/>
  <c r="AK131" i="31" s="1"/>
  <c r="AL131" i="31" s="1"/>
  <c r="AM131" i="31" s="1"/>
  <c r="AN131" i="31" s="1"/>
  <c r="AO131" i="31" s="1"/>
  <c r="AP131" i="31" s="1"/>
  <c r="AG472" i="31"/>
  <c r="AH472" i="31" s="1"/>
  <c r="AI472" i="31" s="1"/>
  <c r="U136" i="31"/>
  <c r="AB168" i="31"/>
  <c r="Q553" i="49"/>
  <c r="AA153" i="31"/>
  <c r="U584" i="31"/>
  <c r="Z469" i="49"/>
  <c r="I382" i="49"/>
  <c r="AL61" i="5" s="1"/>
  <c r="AE501" i="31"/>
  <c r="AF501" i="31" s="1"/>
  <c r="AG501" i="31" s="1"/>
  <c r="AH501" i="31" s="1"/>
  <c r="AI501" i="31" s="1"/>
  <c r="AJ501" i="31" s="1"/>
  <c r="AK501" i="31" s="1"/>
  <c r="AL501" i="31" s="1"/>
  <c r="AM501" i="31" s="1"/>
  <c r="AN501" i="31" s="1"/>
  <c r="AO501" i="31" s="1"/>
  <c r="AP501" i="31" s="1"/>
  <c r="AC531" i="49"/>
  <c r="AF49" i="49"/>
  <c r="AG49" i="49" s="1"/>
  <c r="AH49" i="49" s="1"/>
  <c r="AI49" i="49" s="1"/>
  <c r="AJ49" i="49" s="1"/>
  <c r="AK49" i="49" s="1"/>
  <c r="AL49" i="49" s="1"/>
  <c r="AM49" i="49" s="1"/>
  <c r="AN49" i="49" s="1"/>
  <c r="AO49" i="49" s="1"/>
  <c r="AP49" i="49" s="1"/>
  <c r="AE243" i="31"/>
  <c r="AF243" i="31" s="1"/>
  <c r="AG243" i="31" s="1"/>
  <c r="AH243" i="31" s="1"/>
  <c r="AI243" i="31" s="1"/>
  <c r="AJ243" i="31" s="1"/>
  <c r="AK243" i="31" s="1"/>
  <c r="AL243" i="31" s="1"/>
  <c r="AM243" i="31" s="1"/>
  <c r="AN243" i="31" s="1"/>
  <c r="AO243" i="31" s="1"/>
  <c r="AP243" i="31" s="1"/>
  <c r="AE303" i="31"/>
  <c r="AF303" i="31" s="1"/>
  <c r="AG303" i="31" s="1"/>
  <c r="AH303" i="31" s="1"/>
  <c r="AI303" i="31" s="1"/>
  <c r="AJ303" i="31" s="1"/>
  <c r="AK303" i="31" s="1"/>
  <c r="AL303" i="31" s="1"/>
  <c r="AM303" i="31" s="1"/>
  <c r="AN303" i="31" s="1"/>
  <c r="AO303" i="31" s="1"/>
  <c r="AP303" i="31" s="1"/>
  <c r="G62" i="31"/>
  <c r="AE63" i="31"/>
  <c r="K487" i="31"/>
  <c r="BP33" i="62" s="1"/>
  <c r="BQ33" i="62" s="1"/>
  <c r="AE205" i="31"/>
  <c r="AF205" i="31" s="1"/>
  <c r="AG205" i="31" s="1"/>
  <c r="AH205" i="31" s="1"/>
  <c r="AI205" i="31" s="1"/>
  <c r="AJ205" i="31" s="1"/>
  <c r="AK205" i="31" s="1"/>
  <c r="AL205" i="31" s="1"/>
  <c r="AM205" i="31" s="1"/>
  <c r="AN205" i="31" s="1"/>
  <c r="AO205" i="31" s="1"/>
  <c r="AP205" i="31" s="1"/>
  <c r="Q604" i="49"/>
  <c r="AD228" i="49"/>
  <c r="R531" i="49"/>
  <c r="N293" i="49"/>
  <c r="DD43" i="5" s="1"/>
  <c r="AB561" i="31"/>
  <c r="L109" i="49"/>
  <c r="AC219" i="49"/>
  <c r="AE505" i="49"/>
  <c r="AF505" i="49" s="1"/>
  <c r="AG505" i="49" s="1"/>
  <c r="AH505" i="49" s="1"/>
  <c r="AI505" i="49" s="1"/>
  <c r="AJ505" i="49" s="1"/>
  <c r="AK505" i="49" s="1"/>
  <c r="AL505" i="49" s="1"/>
  <c r="AM505" i="49" s="1"/>
  <c r="AN505" i="49" s="1"/>
  <c r="AO505" i="49" s="1"/>
  <c r="AP505" i="49" s="1"/>
  <c r="AE375" i="31"/>
  <c r="AF375" i="31" s="1"/>
  <c r="AG375" i="31" s="1"/>
  <c r="AH375" i="31" s="1"/>
  <c r="AI375" i="31" s="1"/>
  <c r="AJ375" i="31" s="1"/>
  <c r="AK375" i="31" s="1"/>
  <c r="AL375" i="31" s="1"/>
  <c r="AM375" i="31" s="1"/>
  <c r="AN375" i="31" s="1"/>
  <c r="AO375" i="31" s="1"/>
  <c r="AP375" i="31" s="1"/>
  <c r="M62" i="31"/>
  <c r="CR17" i="5" s="1"/>
  <c r="CS17" i="5" s="1"/>
  <c r="AE566" i="31"/>
  <c r="G565" i="31"/>
  <c r="J377" i="31"/>
  <c r="BB60" i="5" s="1"/>
  <c r="BC60" i="5" s="1"/>
  <c r="AE235" i="31"/>
  <c r="AF235" i="31" s="1"/>
  <c r="AG235" i="31" s="1"/>
  <c r="AH235" i="31" s="1"/>
  <c r="AI235" i="31" s="1"/>
  <c r="AJ235" i="31" s="1"/>
  <c r="AK235" i="31" s="1"/>
  <c r="AL235" i="31" s="1"/>
  <c r="AM235" i="31" s="1"/>
  <c r="AN235" i="31" s="1"/>
  <c r="AO235" i="31" s="1"/>
  <c r="AP235" i="31" s="1"/>
  <c r="Y321" i="31"/>
  <c r="K238" i="31"/>
  <c r="BP39" i="5" s="1"/>
  <c r="AE602" i="31"/>
  <c r="AF602" i="31" s="1"/>
  <c r="AG602" i="31" s="1"/>
  <c r="AH602" i="31" s="1"/>
  <c r="AI602" i="31" s="1"/>
  <c r="AJ602" i="31" s="1"/>
  <c r="AK602" i="31" s="1"/>
  <c r="AL602" i="31" s="1"/>
  <c r="AM602" i="31" s="1"/>
  <c r="AN602" i="31" s="1"/>
  <c r="AO602" i="31" s="1"/>
  <c r="AP602" i="31" s="1"/>
  <c r="S382" i="49"/>
  <c r="Q144" i="49"/>
  <c r="ET27" i="5" s="1"/>
  <c r="T366" i="31"/>
  <c r="P366" i="49"/>
  <c r="EF58" i="5" s="1"/>
  <c r="AE490" i="49"/>
  <c r="AF490" i="49" s="1"/>
  <c r="AG490" i="49" s="1"/>
  <c r="O71" i="49"/>
  <c r="DR18" i="5" s="1"/>
  <c r="P71" i="49"/>
  <c r="EF18" i="5" s="1"/>
  <c r="AC487" i="31"/>
  <c r="AA71" i="31"/>
  <c r="T416" i="49"/>
  <c r="AE69" i="49"/>
  <c r="AF69" i="49" s="1"/>
  <c r="AG69" i="49" s="1"/>
  <c r="AH69" i="49" s="1"/>
  <c r="AI69" i="49" s="1"/>
  <c r="AJ69" i="49" s="1"/>
  <c r="AK69" i="49" s="1"/>
  <c r="AL69" i="49" s="1"/>
  <c r="AM69" i="49" s="1"/>
  <c r="AN69" i="49" s="1"/>
  <c r="AO69" i="49" s="1"/>
  <c r="AP69" i="49" s="1"/>
  <c r="P469" i="31"/>
  <c r="EH28" i="62" s="1"/>
  <c r="EI28" i="62" s="1"/>
  <c r="Y109" i="49"/>
  <c r="V506" i="49"/>
  <c r="AE325" i="31"/>
  <c r="AF325" i="31" s="1"/>
  <c r="AG325" i="31" s="1"/>
  <c r="AH325" i="31" s="1"/>
  <c r="AI325" i="31" s="1"/>
  <c r="AJ325" i="31" s="1"/>
  <c r="AK325" i="31" s="1"/>
  <c r="AL325" i="31" s="1"/>
  <c r="AM325" i="31" s="1"/>
  <c r="AN325" i="31" s="1"/>
  <c r="AO325" i="31" s="1"/>
  <c r="AP325" i="31" s="1"/>
  <c r="X238" i="49"/>
  <c r="Q80" i="49"/>
  <c r="ET19" i="5" s="1"/>
  <c r="AD557" i="49"/>
  <c r="U531" i="31"/>
  <c r="V9" i="31"/>
  <c r="AE346" i="49"/>
  <c r="AF346" i="49" s="1"/>
  <c r="AG346" i="49" s="1"/>
  <c r="AH346" i="49" s="1"/>
  <c r="AI346" i="49" s="1"/>
  <c r="AJ346" i="49" s="1"/>
  <c r="AK346" i="49" s="1"/>
  <c r="AL346" i="49" s="1"/>
  <c r="AM346" i="49" s="1"/>
  <c r="AN346" i="49" s="1"/>
  <c r="AO346" i="49" s="1"/>
  <c r="AP346" i="49" s="1"/>
  <c r="O609" i="49"/>
  <c r="M569" i="49"/>
  <c r="AE101" i="31"/>
  <c r="AF101" i="31" s="1"/>
  <c r="AG101" i="31" s="1"/>
  <c r="AH101" i="31" s="1"/>
  <c r="AI101" i="31" s="1"/>
  <c r="AJ101" i="31" s="1"/>
  <c r="AK101" i="31" s="1"/>
  <c r="AL101" i="31" s="1"/>
  <c r="AM101" i="31" s="1"/>
  <c r="AN101" i="31" s="1"/>
  <c r="AO101" i="31" s="1"/>
  <c r="AP101" i="31" s="1"/>
  <c r="Z219" i="31"/>
  <c r="N366" i="49"/>
  <c r="DD58" i="5" s="1"/>
  <c r="U614" i="31"/>
  <c r="AE115" i="49"/>
  <c r="AF115" i="49" s="1"/>
  <c r="AG115" i="49" s="1"/>
  <c r="AH115" i="49" s="1"/>
  <c r="AI115" i="49" s="1"/>
  <c r="AJ115" i="49" s="1"/>
  <c r="AK115" i="49" s="1"/>
  <c r="AL115" i="49" s="1"/>
  <c r="AM115" i="49" s="1"/>
  <c r="AN115" i="49" s="1"/>
  <c r="AO115" i="49" s="1"/>
  <c r="AP115" i="49" s="1"/>
  <c r="AE380" i="31"/>
  <c r="AF380" i="31" s="1"/>
  <c r="AG380" i="31" s="1"/>
  <c r="AH380" i="31" s="1"/>
  <c r="AI380" i="31" s="1"/>
  <c r="AJ380" i="31" s="1"/>
  <c r="AK380" i="31" s="1"/>
  <c r="AL380" i="31" s="1"/>
  <c r="AM380" i="31" s="1"/>
  <c r="AN380" i="31" s="1"/>
  <c r="AO380" i="31" s="1"/>
  <c r="AP380" i="31" s="1"/>
  <c r="S178" i="31"/>
  <c r="AE25" i="31"/>
  <c r="AF25" i="31" s="1"/>
  <c r="AG25" i="31" s="1"/>
  <c r="AH25" i="31" s="1"/>
  <c r="AI25" i="31" s="1"/>
  <c r="AJ25" i="31" s="1"/>
  <c r="AK25" i="31" s="1"/>
  <c r="AL25" i="31" s="1"/>
  <c r="AM25" i="31" s="1"/>
  <c r="AN25" i="31" s="1"/>
  <c r="AO25" i="31" s="1"/>
  <c r="AP25" i="31" s="1"/>
  <c r="AE603" i="49"/>
  <c r="AF603" i="49" s="1"/>
  <c r="AG603" i="49" s="1"/>
  <c r="AH603" i="49" s="1"/>
  <c r="AI603" i="49" s="1"/>
  <c r="AJ603" i="49" s="1"/>
  <c r="AK603" i="49" s="1"/>
  <c r="AL603" i="49" s="1"/>
  <c r="AM603" i="49" s="1"/>
  <c r="AN603" i="49" s="1"/>
  <c r="AO603" i="49" s="1"/>
  <c r="AP603" i="49" s="1"/>
  <c r="AA542" i="49"/>
  <c r="K584" i="49"/>
  <c r="J347" i="49"/>
  <c r="AZ54" i="5" s="1"/>
  <c r="AC476" i="31"/>
  <c r="S178" i="49"/>
  <c r="AE518" i="31"/>
  <c r="AF518" i="31" s="1"/>
  <c r="AG518" i="31" s="1"/>
  <c r="AH518" i="31" s="1"/>
  <c r="AI518" i="31" s="1"/>
  <c r="AJ518" i="31" s="1"/>
  <c r="AK518" i="31" s="1"/>
  <c r="AL518" i="31" s="1"/>
  <c r="AM518" i="31" s="1"/>
  <c r="AN518" i="31" s="1"/>
  <c r="AO518" i="31" s="1"/>
  <c r="AP518" i="31" s="1"/>
  <c r="T153" i="49"/>
  <c r="J228" i="31"/>
  <c r="BB38" i="5" s="1"/>
  <c r="Y377" i="49"/>
  <c r="L219" i="49"/>
  <c r="AC89" i="49"/>
  <c r="I71" i="49"/>
  <c r="AL18" i="5" s="1"/>
  <c r="AE406" i="31"/>
  <c r="AF406" i="31" s="1"/>
  <c r="AG406" i="31" s="1"/>
  <c r="AH406" i="31" s="1"/>
  <c r="AI406" i="31" s="1"/>
  <c r="AJ406" i="31" s="1"/>
  <c r="AK406" i="31" s="1"/>
  <c r="AL406" i="31" s="1"/>
  <c r="AM406" i="31" s="1"/>
  <c r="AN406" i="31" s="1"/>
  <c r="AO406" i="31" s="1"/>
  <c r="AP406" i="31" s="1"/>
  <c r="Q442" i="49"/>
  <c r="ET26" i="62" s="1"/>
  <c r="AE290" i="49"/>
  <c r="AF290" i="49" s="1"/>
  <c r="AG290" i="49" s="1"/>
  <c r="AH290" i="49" s="1"/>
  <c r="AI290" i="49" s="1"/>
  <c r="AJ290" i="49" s="1"/>
  <c r="AK290" i="49" s="1"/>
  <c r="AL290" i="49" s="1"/>
  <c r="AM290" i="49" s="1"/>
  <c r="AN290" i="49" s="1"/>
  <c r="AO290" i="49" s="1"/>
  <c r="AP290" i="49" s="1"/>
  <c r="Y321" i="49"/>
  <c r="M136" i="49"/>
  <c r="CP26" i="5" s="1"/>
  <c r="AD340" i="49"/>
  <c r="AB565" i="49"/>
  <c r="Z228" i="31"/>
  <c r="M47" i="31"/>
  <c r="CR16" i="5" s="1"/>
  <c r="CS16" i="5" s="1"/>
  <c r="M35" i="49"/>
  <c r="CP14" i="5" s="1"/>
  <c r="Q26" i="49"/>
  <c r="ET13" i="5" s="1"/>
  <c r="W158" i="49"/>
  <c r="W157" i="49" s="1"/>
  <c r="AE359" i="31"/>
  <c r="AF359" i="31" s="1"/>
  <c r="AG359" i="31" s="1"/>
  <c r="AH359" i="31" s="1"/>
  <c r="AI359" i="31" s="1"/>
  <c r="AJ359" i="31" s="1"/>
  <c r="AK359" i="31" s="1"/>
  <c r="AL359" i="31" s="1"/>
  <c r="AM359" i="31" s="1"/>
  <c r="AN359" i="31" s="1"/>
  <c r="AO359" i="31" s="1"/>
  <c r="AP359" i="31" s="1"/>
  <c r="AD98" i="31"/>
  <c r="AD469" i="31"/>
  <c r="Z356" i="31"/>
  <c r="W393" i="49"/>
  <c r="W565" i="49"/>
  <c r="AA158" i="31"/>
  <c r="AA561" i="31"/>
  <c r="P228" i="31"/>
  <c r="EH38" i="5" s="1"/>
  <c r="H47" i="31"/>
  <c r="Z16" i="5" s="1"/>
  <c r="AA16" i="5" s="1"/>
  <c r="AE490" i="31"/>
  <c r="AF490" i="31" s="1"/>
  <c r="AG490" i="31" s="1"/>
  <c r="AH490" i="31" s="1"/>
  <c r="AI490" i="31" s="1"/>
  <c r="AJ490" i="31" s="1"/>
  <c r="AK490" i="31" s="1"/>
  <c r="AL490" i="31" s="1"/>
  <c r="AM490" i="31" s="1"/>
  <c r="AN490" i="31" s="1"/>
  <c r="AO490" i="31" s="1"/>
  <c r="AP490" i="31" s="1"/>
  <c r="I600" i="49"/>
  <c r="H382" i="49"/>
  <c r="X61" i="5" s="1"/>
  <c r="AF383" i="49"/>
  <c r="AG383" i="49" s="1"/>
  <c r="AH383" i="49" s="1"/>
  <c r="U127" i="49"/>
  <c r="H393" i="31"/>
  <c r="Z19" i="62" s="1"/>
  <c r="AA19" i="62" s="1"/>
  <c r="AE550" i="31"/>
  <c r="AF550" i="31" s="1"/>
  <c r="AG550" i="31" s="1"/>
  <c r="AH550" i="31" s="1"/>
  <c r="AI550" i="31" s="1"/>
  <c r="AJ550" i="31" s="1"/>
  <c r="AK550" i="31" s="1"/>
  <c r="AL550" i="31" s="1"/>
  <c r="AM550" i="31" s="1"/>
  <c r="AN550" i="31" s="1"/>
  <c r="AO550" i="31" s="1"/>
  <c r="AP550" i="31" s="1"/>
  <c r="V557" i="49"/>
  <c r="H301" i="49"/>
  <c r="R609" i="31"/>
  <c r="P35" i="49"/>
  <c r="EF14" i="5" s="1"/>
  <c r="R328" i="31"/>
  <c r="FJ51" i="5" s="1"/>
  <c r="FJ43" i="62" s="1"/>
  <c r="AB89" i="31"/>
  <c r="U565" i="49"/>
  <c r="R286" i="49"/>
  <c r="FH42" i="5" s="1"/>
  <c r="S293" i="31"/>
  <c r="AB136" i="31"/>
  <c r="P153" i="49"/>
  <c r="EF28" i="5" s="1"/>
  <c r="T144" i="31"/>
  <c r="O542" i="31"/>
  <c r="AE448" i="49"/>
  <c r="AF448" i="49" s="1"/>
  <c r="AG448" i="49" s="1"/>
  <c r="AH448" i="49" s="1"/>
  <c r="AI448" i="49" s="1"/>
  <c r="AJ448" i="49" s="1"/>
  <c r="AK448" i="49" s="1"/>
  <c r="W328" i="31"/>
  <c r="Z89" i="49"/>
  <c r="V393" i="49"/>
  <c r="AE511" i="49"/>
  <c r="AF511" i="49" s="1"/>
  <c r="AG511" i="49" s="1"/>
  <c r="AH511" i="49" s="1"/>
  <c r="AI511" i="49" s="1"/>
  <c r="AJ511" i="49" s="1"/>
  <c r="AK511" i="49" s="1"/>
  <c r="AL511" i="49" s="1"/>
  <c r="AM511" i="49" s="1"/>
  <c r="AN511" i="49" s="1"/>
  <c r="AO511" i="49" s="1"/>
  <c r="AP511" i="49" s="1"/>
  <c r="AE426" i="49"/>
  <c r="AF426" i="49" s="1"/>
  <c r="AG426" i="49" s="1"/>
  <c r="AH426" i="49" s="1"/>
  <c r="AI426" i="49" s="1"/>
  <c r="AJ426" i="49" s="1"/>
  <c r="AK426" i="49" s="1"/>
  <c r="AL426" i="49" s="1"/>
  <c r="AM426" i="49" s="1"/>
  <c r="AN426" i="49" s="1"/>
  <c r="AO426" i="49" s="1"/>
  <c r="AP426" i="49" s="1"/>
  <c r="K35" i="31"/>
  <c r="BP14" i="5" s="1"/>
  <c r="BQ14" i="5" s="1"/>
  <c r="AE343" i="31"/>
  <c r="AF343" i="31" s="1"/>
  <c r="AG343" i="31" s="1"/>
  <c r="AH343" i="31" s="1"/>
  <c r="AI343" i="31" s="1"/>
  <c r="AJ343" i="31" s="1"/>
  <c r="AK343" i="31" s="1"/>
  <c r="AL343" i="31" s="1"/>
  <c r="AM343" i="31" s="1"/>
  <c r="AN343" i="31" s="1"/>
  <c r="AO343" i="31" s="1"/>
  <c r="AP343" i="31" s="1"/>
  <c r="O542" i="49"/>
  <c r="L89" i="31"/>
  <c r="V393" i="31"/>
  <c r="H442" i="49"/>
  <c r="X26" i="62" s="1"/>
  <c r="X29" i="62" s="1"/>
  <c r="L442" i="31"/>
  <c r="CD26" i="62" s="1"/>
  <c r="G98" i="31"/>
  <c r="AE99" i="31"/>
  <c r="R565" i="31"/>
  <c r="AE474" i="49"/>
  <c r="AF474" i="49" s="1"/>
  <c r="AG474" i="49" s="1"/>
  <c r="AH474" i="49" s="1"/>
  <c r="AI474" i="49" s="1"/>
  <c r="AJ474" i="49" s="1"/>
  <c r="AK474" i="49" s="1"/>
  <c r="AL474" i="49" s="1"/>
  <c r="AM474" i="49" s="1"/>
  <c r="AN474" i="49" s="1"/>
  <c r="AO474" i="49" s="1"/>
  <c r="AP474" i="49" s="1"/>
  <c r="N158" i="49"/>
  <c r="AB256" i="49"/>
  <c r="K267" i="49"/>
  <c r="BN41" i="5" s="1"/>
  <c r="AC144" i="31"/>
  <c r="AG564" i="49"/>
  <c r="AH564" i="49" s="1"/>
  <c r="AI564" i="49" s="1"/>
  <c r="AJ564" i="49" s="1"/>
  <c r="AK564" i="49" s="1"/>
  <c r="AL564" i="49" s="1"/>
  <c r="AM564" i="49" s="1"/>
  <c r="AN564" i="49" s="1"/>
  <c r="AO564" i="49" s="1"/>
  <c r="AP564" i="49" s="1"/>
  <c r="M614" i="49"/>
  <c r="AE571" i="49"/>
  <c r="AF571" i="49" s="1"/>
  <c r="AG571" i="49" s="1"/>
  <c r="AH571" i="49" s="1"/>
  <c r="AI571" i="49" s="1"/>
  <c r="AJ571" i="49" s="1"/>
  <c r="AK571" i="49" s="1"/>
  <c r="AL571" i="49" s="1"/>
  <c r="AM571" i="49" s="1"/>
  <c r="AN571" i="49" s="1"/>
  <c r="AO571" i="49" s="1"/>
  <c r="AP571" i="49" s="1"/>
  <c r="AF273" i="49"/>
  <c r="AG273" i="49" s="1"/>
  <c r="AH273" i="49" s="1"/>
  <c r="AI273" i="49" s="1"/>
  <c r="AJ273" i="49" s="1"/>
  <c r="AK273" i="49" s="1"/>
  <c r="AL273" i="49" s="1"/>
  <c r="AM273" i="49" s="1"/>
  <c r="AN273" i="49" s="1"/>
  <c r="AO273" i="49" s="1"/>
  <c r="AP273" i="49" s="1"/>
  <c r="G614" i="49"/>
  <c r="AE615" i="49"/>
  <c r="AB153" i="31"/>
  <c r="Z506" i="49"/>
  <c r="AE202" i="49"/>
  <c r="AF202" i="49" s="1"/>
  <c r="AG202" i="49" s="1"/>
  <c r="AH202" i="49" s="1"/>
  <c r="AI202" i="49" s="1"/>
  <c r="AJ202" i="49" s="1"/>
  <c r="AK202" i="49" s="1"/>
  <c r="AL202" i="49" s="1"/>
  <c r="AM202" i="49" s="1"/>
  <c r="AN202" i="49" s="1"/>
  <c r="AO202" i="49" s="1"/>
  <c r="AP202" i="49" s="1"/>
  <c r="AC542" i="31"/>
  <c r="Q356" i="49"/>
  <c r="ET57" i="5" s="1"/>
  <c r="ET42" i="62" s="1"/>
  <c r="AE294" i="31"/>
  <c r="G293" i="31"/>
  <c r="AC561" i="31"/>
  <c r="AE204" i="49"/>
  <c r="AF204" i="49" s="1"/>
  <c r="AG204" i="49" s="1"/>
  <c r="AH204" i="49" s="1"/>
  <c r="AI204" i="49" s="1"/>
  <c r="AJ204" i="49" s="1"/>
  <c r="AK204" i="49" s="1"/>
  <c r="AL204" i="49" s="1"/>
  <c r="AM204" i="49" s="1"/>
  <c r="AN204" i="49" s="1"/>
  <c r="AO204" i="49" s="1"/>
  <c r="AP204" i="49" s="1"/>
  <c r="AE477" i="49"/>
  <c r="G476" i="49"/>
  <c r="T600" i="49"/>
  <c r="AC80" i="31"/>
  <c r="S482" i="49"/>
  <c r="P267" i="49"/>
  <c r="EF41" i="5" s="1"/>
  <c r="M301" i="49"/>
  <c r="T98" i="31"/>
  <c r="G144" i="49"/>
  <c r="AE145" i="49"/>
  <c r="R476" i="31"/>
  <c r="FJ30" i="62" s="1"/>
  <c r="FK30" i="62" s="1"/>
  <c r="AE338" i="31"/>
  <c r="AF338" i="31" s="1"/>
  <c r="AG338" i="31" s="1"/>
  <c r="AH338" i="31" s="1"/>
  <c r="AI338" i="31" s="1"/>
  <c r="AJ338" i="31" s="1"/>
  <c r="AK338" i="31" s="1"/>
  <c r="AL338" i="31" s="1"/>
  <c r="AM338" i="31" s="1"/>
  <c r="AN338" i="31" s="1"/>
  <c r="AO338" i="31" s="1"/>
  <c r="AP338" i="31" s="1"/>
  <c r="H600" i="31"/>
  <c r="V89" i="49"/>
  <c r="AE189" i="49"/>
  <c r="G188" i="49"/>
  <c r="AE146" i="49"/>
  <c r="AF146" i="49" s="1"/>
  <c r="AG146" i="49" s="1"/>
  <c r="AH146" i="49" s="1"/>
  <c r="AI146" i="49" s="1"/>
  <c r="AJ146" i="49" s="1"/>
  <c r="AK146" i="49" s="1"/>
  <c r="AL146" i="49" s="1"/>
  <c r="AM146" i="49" s="1"/>
  <c r="AN146" i="49" s="1"/>
  <c r="AO146" i="49" s="1"/>
  <c r="AP146" i="49" s="1"/>
  <c r="O228" i="49"/>
  <c r="DR38" i="5" s="1"/>
  <c r="AG45" i="49"/>
  <c r="AH45" i="49" s="1"/>
  <c r="AI45" i="49" s="1"/>
  <c r="AJ45" i="49" s="1"/>
  <c r="AK45" i="49" s="1"/>
  <c r="AL45" i="49" s="1"/>
  <c r="AM45" i="49" s="1"/>
  <c r="AN45" i="49" s="1"/>
  <c r="AO45" i="49" s="1"/>
  <c r="AP45" i="49" s="1"/>
  <c r="AE395" i="31"/>
  <c r="AF395" i="31" s="1"/>
  <c r="AG395" i="31" s="1"/>
  <c r="AH395" i="31" s="1"/>
  <c r="AI395" i="31" s="1"/>
  <c r="AJ395" i="31" s="1"/>
  <c r="AK395" i="31" s="1"/>
  <c r="AL395" i="31" s="1"/>
  <c r="AM395" i="31" s="1"/>
  <c r="AN395" i="31" s="1"/>
  <c r="AO395" i="31" s="1"/>
  <c r="AP395" i="31" s="1"/>
  <c r="J293" i="49"/>
  <c r="AZ43" i="5" s="1"/>
  <c r="K569" i="31"/>
  <c r="AB35" i="49"/>
  <c r="AD609" i="31"/>
  <c r="AE247" i="31"/>
  <c r="AF247" i="31" s="1"/>
  <c r="AG247" i="31" s="1"/>
  <c r="AH247" i="31" s="1"/>
  <c r="AI247" i="31" s="1"/>
  <c r="AJ247" i="31" s="1"/>
  <c r="AK247" i="31" s="1"/>
  <c r="AL247" i="31" s="1"/>
  <c r="AM247" i="31" s="1"/>
  <c r="AN247" i="31" s="1"/>
  <c r="AO247" i="31" s="1"/>
  <c r="AP247" i="31" s="1"/>
  <c r="V557" i="31"/>
  <c r="Q487" i="31"/>
  <c r="EV33" i="62" s="1"/>
  <c r="EW33" i="62" s="1"/>
  <c r="AD267" i="31"/>
  <c r="N98" i="31"/>
  <c r="DF21" i="5" s="1"/>
  <c r="DG21" i="5" s="1"/>
  <c r="U301" i="31"/>
  <c r="U313" i="31" s="1"/>
  <c r="J604" i="49"/>
  <c r="W286" i="49"/>
  <c r="R328" i="49"/>
  <c r="FH51" i="5" s="1"/>
  <c r="FH43" i="62" s="1"/>
  <c r="M469" i="31"/>
  <c r="CR28" i="62" s="1"/>
  <c r="CS28" i="62" s="1"/>
  <c r="O9" i="49"/>
  <c r="Z487" i="31"/>
  <c r="M9" i="31"/>
  <c r="Z482" i="49"/>
  <c r="AE316" i="31"/>
  <c r="AF316" i="31" s="1"/>
  <c r="G315" i="31"/>
  <c r="AC238" i="31"/>
  <c r="Y393" i="31"/>
  <c r="EV19" i="62" s="1"/>
  <c r="EW19" i="62" s="1"/>
  <c r="AE199" i="49"/>
  <c r="AF199" i="49" s="1"/>
  <c r="AG199" i="49" s="1"/>
  <c r="AH199" i="49" s="1"/>
  <c r="AI199" i="49" s="1"/>
  <c r="AJ199" i="49" s="1"/>
  <c r="AK199" i="49" s="1"/>
  <c r="AL199" i="49" s="1"/>
  <c r="AM199" i="49" s="1"/>
  <c r="AN199" i="49" s="1"/>
  <c r="AO199" i="49" s="1"/>
  <c r="AP199" i="49" s="1"/>
  <c r="AE104" i="49"/>
  <c r="AF104" i="49" s="1"/>
  <c r="AG104" i="49" s="1"/>
  <c r="AH104" i="49" s="1"/>
  <c r="AI104" i="49" s="1"/>
  <c r="AJ104" i="49" s="1"/>
  <c r="AK104" i="49" s="1"/>
  <c r="AL104" i="49" s="1"/>
  <c r="AM104" i="49" s="1"/>
  <c r="AN104" i="49" s="1"/>
  <c r="AO104" i="49" s="1"/>
  <c r="AP104" i="49" s="1"/>
  <c r="AE292" i="49"/>
  <c r="AF292" i="49" s="1"/>
  <c r="AG292" i="49" s="1"/>
  <c r="AH292" i="49" s="1"/>
  <c r="AI292" i="49" s="1"/>
  <c r="AJ292" i="49" s="1"/>
  <c r="AK292" i="49" s="1"/>
  <c r="AL292" i="49" s="1"/>
  <c r="AM292" i="49" s="1"/>
  <c r="AN292" i="49" s="1"/>
  <c r="AO292" i="49" s="1"/>
  <c r="AP292" i="49" s="1"/>
  <c r="Y306" i="49"/>
  <c r="J600" i="49"/>
  <c r="AE591" i="31"/>
  <c r="AF591" i="31" s="1"/>
  <c r="AG591" i="31" s="1"/>
  <c r="AH591" i="31" s="1"/>
  <c r="AI591" i="31" s="1"/>
  <c r="AJ591" i="31" s="1"/>
  <c r="AK591" i="31" s="1"/>
  <c r="AL591" i="31" s="1"/>
  <c r="AM591" i="31" s="1"/>
  <c r="AN591" i="31" s="1"/>
  <c r="AO591" i="31" s="1"/>
  <c r="AP591" i="31" s="1"/>
  <c r="L208" i="31"/>
  <c r="AA89" i="31"/>
  <c r="AC531" i="31"/>
  <c r="AE221" i="31"/>
  <c r="AF221" i="31" s="1"/>
  <c r="AG221" i="31" s="1"/>
  <c r="AH221" i="31" s="1"/>
  <c r="AI221" i="31" s="1"/>
  <c r="AJ221" i="31" s="1"/>
  <c r="AK221" i="31" s="1"/>
  <c r="AL221" i="31" s="1"/>
  <c r="AM221" i="31" s="1"/>
  <c r="AN221" i="31" s="1"/>
  <c r="AO221" i="31" s="1"/>
  <c r="AP221" i="31" s="1"/>
  <c r="V321" i="49"/>
  <c r="AE572" i="49"/>
  <c r="AF572" i="49" s="1"/>
  <c r="AG572" i="49" s="1"/>
  <c r="AH572" i="49" s="1"/>
  <c r="AI572" i="49" s="1"/>
  <c r="AJ572" i="49" s="1"/>
  <c r="AK572" i="49" s="1"/>
  <c r="AL572" i="49" s="1"/>
  <c r="AM572" i="49" s="1"/>
  <c r="AN572" i="49" s="1"/>
  <c r="AO572" i="49" s="1"/>
  <c r="AP572" i="49" s="1"/>
  <c r="G604" i="49"/>
  <c r="AE605" i="49"/>
  <c r="V487" i="31"/>
  <c r="R584" i="49"/>
  <c r="T356" i="49"/>
  <c r="L347" i="49"/>
  <c r="CB54" i="5" s="1"/>
  <c r="CB55" i="5" s="1"/>
  <c r="AE85" i="49"/>
  <c r="AF85" i="49" s="1"/>
  <c r="AG85" i="49" s="1"/>
  <c r="AH85" i="49" s="1"/>
  <c r="AI85" i="49" s="1"/>
  <c r="AJ85" i="49" s="1"/>
  <c r="AK85" i="49" s="1"/>
  <c r="AL85" i="49" s="1"/>
  <c r="AM85" i="49" s="1"/>
  <c r="AN85" i="49" s="1"/>
  <c r="AO85" i="49" s="1"/>
  <c r="AP85" i="49" s="1"/>
  <c r="AE288" i="31"/>
  <c r="AF288" i="31" s="1"/>
  <c r="AG288" i="31" s="1"/>
  <c r="AH288" i="31" s="1"/>
  <c r="AI288" i="31" s="1"/>
  <c r="AJ288" i="31" s="1"/>
  <c r="AK288" i="31" s="1"/>
  <c r="AL288" i="31" s="1"/>
  <c r="AM288" i="31" s="1"/>
  <c r="AN288" i="31" s="1"/>
  <c r="AO288" i="31" s="1"/>
  <c r="AP288" i="31" s="1"/>
  <c r="X328" i="31"/>
  <c r="J333" i="31"/>
  <c r="BB52" i="5" s="1"/>
  <c r="BC52" i="5" s="1"/>
  <c r="S9" i="49"/>
  <c r="J127" i="49"/>
  <c r="AZ25" i="5" s="1"/>
  <c r="AA98" i="31"/>
  <c r="H328" i="31"/>
  <c r="Z51" i="5" s="1"/>
  <c r="AB256" i="31"/>
  <c r="M256" i="31"/>
  <c r="CR40" i="5" s="1"/>
  <c r="O153" i="31"/>
  <c r="DT28" i="5" s="1"/>
  <c r="DU28" i="5" s="1"/>
  <c r="J604" i="31"/>
  <c r="J321" i="49"/>
  <c r="AZ50" i="5" s="1"/>
  <c r="AE32" i="49"/>
  <c r="AF32" i="49" s="1"/>
  <c r="AG32" i="49" s="1"/>
  <c r="AH32" i="49" s="1"/>
  <c r="AI32" i="49" s="1"/>
  <c r="AJ32" i="49" s="1"/>
  <c r="AK32" i="49" s="1"/>
  <c r="AL32" i="49" s="1"/>
  <c r="AM32" i="49" s="1"/>
  <c r="AN32" i="49" s="1"/>
  <c r="AO32" i="49" s="1"/>
  <c r="AP32" i="49" s="1"/>
  <c r="K340" i="31"/>
  <c r="BP53" i="5" s="1"/>
  <c r="AE571" i="31"/>
  <c r="AF571" i="31" s="1"/>
  <c r="AG571" i="31" s="1"/>
  <c r="AH571" i="31" s="1"/>
  <c r="AI571" i="31" s="1"/>
  <c r="AJ571" i="31" s="1"/>
  <c r="AK571" i="31" s="1"/>
  <c r="AL571" i="31" s="1"/>
  <c r="AM571" i="31" s="1"/>
  <c r="AN571" i="31" s="1"/>
  <c r="AO571" i="31" s="1"/>
  <c r="AP571" i="31" s="1"/>
  <c r="K228" i="49"/>
  <c r="BN38" i="5" s="1"/>
  <c r="I557" i="31"/>
  <c r="P614" i="31"/>
  <c r="V153" i="31"/>
  <c r="AB178" i="31"/>
  <c r="P333" i="31"/>
  <c r="EH52" i="5" s="1"/>
  <c r="EI52" i="5" s="1"/>
  <c r="M71" i="31"/>
  <c r="CR18" i="5" s="1"/>
  <c r="CS18" i="5" s="1"/>
  <c r="T47" i="31"/>
  <c r="AA531" i="31"/>
  <c r="AE612" i="31"/>
  <c r="AF612" i="31" s="1"/>
  <c r="AG612" i="31" s="1"/>
  <c r="AH612" i="31" s="1"/>
  <c r="AI612" i="31" s="1"/>
  <c r="AJ612" i="31" s="1"/>
  <c r="AK612" i="31" s="1"/>
  <c r="AL612" i="31" s="1"/>
  <c r="AM612" i="31" s="1"/>
  <c r="AN612" i="31" s="1"/>
  <c r="AO612" i="31" s="1"/>
  <c r="AP612" i="31" s="1"/>
  <c r="AE84" i="49"/>
  <c r="AF84" i="49" s="1"/>
  <c r="AG84" i="49" s="1"/>
  <c r="AH84" i="49" s="1"/>
  <c r="AI84" i="49" s="1"/>
  <c r="AJ84" i="49" s="1"/>
  <c r="AK84" i="49" s="1"/>
  <c r="AL84" i="49" s="1"/>
  <c r="AM84" i="49" s="1"/>
  <c r="AN84" i="49" s="1"/>
  <c r="AO84" i="49" s="1"/>
  <c r="AP84" i="49" s="1"/>
  <c r="AE322" i="49"/>
  <c r="G321" i="49"/>
  <c r="M71" i="49"/>
  <c r="CP18" i="5" s="1"/>
  <c r="AD144" i="31"/>
  <c r="R178" i="31"/>
  <c r="Z442" i="31"/>
  <c r="AC158" i="31"/>
  <c r="AE262" i="49"/>
  <c r="AF262" i="49" s="1"/>
  <c r="AG262" i="49" s="1"/>
  <c r="AH262" i="49" s="1"/>
  <c r="AI262" i="49" s="1"/>
  <c r="AJ262" i="49" s="1"/>
  <c r="AK262" i="49" s="1"/>
  <c r="AL262" i="49" s="1"/>
  <c r="AM262" i="49" s="1"/>
  <c r="AN262" i="49" s="1"/>
  <c r="AO262" i="49" s="1"/>
  <c r="AP262" i="49" s="1"/>
  <c r="AE422" i="49"/>
  <c r="AF422" i="49" s="1"/>
  <c r="AG422" i="49" s="1"/>
  <c r="AH422" i="49" s="1"/>
  <c r="AI422" i="49" s="1"/>
  <c r="AJ422" i="49" s="1"/>
  <c r="AK422" i="49" s="1"/>
  <c r="AL422" i="49" s="1"/>
  <c r="AM422" i="49" s="1"/>
  <c r="AN422" i="49" s="1"/>
  <c r="AO422" i="49" s="1"/>
  <c r="AP422" i="49" s="1"/>
  <c r="W306" i="31"/>
  <c r="I584" i="49"/>
  <c r="U321" i="31"/>
  <c r="AE405" i="49"/>
  <c r="AF405" i="49" s="1"/>
  <c r="AG405" i="49" s="1"/>
  <c r="AH405" i="49" s="1"/>
  <c r="AI405" i="49" s="1"/>
  <c r="AJ405" i="49" s="1"/>
  <c r="AK405" i="49" s="1"/>
  <c r="AL405" i="49" s="1"/>
  <c r="AM405" i="49" s="1"/>
  <c r="AN405" i="49" s="1"/>
  <c r="AO405" i="49" s="1"/>
  <c r="AP405" i="49" s="1"/>
  <c r="K71" i="31"/>
  <c r="BP18" i="5" s="1"/>
  <c r="BQ18" i="5" s="1"/>
  <c r="AA306" i="49"/>
  <c r="AA313" i="49" s="1"/>
  <c r="AE575" i="49"/>
  <c r="AF575" i="49" s="1"/>
  <c r="AG575" i="49" s="1"/>
  <c r="AH575" i="49" s="1"/>
  <c r="AI575" i="49" s="1"/>
  <c r="AJ575" i="49" s="1"/>
  <c r="AK575" i="49" s="1"/>
  <c r="AL575" i="49" s="1"/>
  <c r="AM575" i="49" s="1"/>
  <c r="AN575" i="49" s="1"/>
  <c r="AO575" i="49" s="1"/>
  <c r="AP575" i="49" s="1"/>
  <c r="U561" i="31"/>
  <c r="L109" i="31"/>
  <c r="V487" i="49"/>
  <c r="AE152" i="49"/>
  <c r="AF152" i="49" s="1"/>
  <c r="AG152" i="49" s="1"/>
  <c r="AH152" i="49" s="1"/>
  <c r="AI152" i="49" s="1"/>
  <c r="AJ152" i="49" s="1"/>
  <c r="AK152" i="49" s="1"/>
  <c r="AL152" i="49" s="1"/>
  <c r="AM152" i="49" s="1"/>
  <c r="AN152" i="49" s="1"/>
  <c r="AO152" i="49" s="1"/>
  <c r="AP152" i="49" s="1"/>
  <c r="I442" i="31"/>
  <c r="AE85" i="31"/>
  <c r="AF85" i="31" s="1"/>
  <c r="AG85" i="31" s="1"/>
  <c r="AH85" i="31" s="1"/>
  <c r="AI85" i="31" s="1"/>
  <c r="AJ85" i="31" s="1"/>
  <c r="AK85" i="31" s="1"/>
  <c r="AL85" i="31" s="1"/>
  <c r="AM85" i="31" s="1"/>
  <c r="AN85" i="31" s="1"/>
  <c r="AO85" i="31" s="1"/>
  <c r="AP85" i="31" s="1"/>
  <c r="X306" i="31"/>
  <c r="AE279" i="49"/>
  <c r="AF279" i="49" s="1"/>
  <c r="AG279" i="49" s="1"/>
  <c r="AH279" i="49" s="1"/>
  <c r="AI279" i="49" s="1"/>
  <c r="AJ279" i="49" s="1"/>
  <c r="AK279" i="49" s="1"/>
  <c r="AL279" i="49" s="1"/>
  <c r="AM279" i="49" s="1"/>
  <c r="AN279" i="49" s="1"/>
  <c r="AO279" i="49" s="1"/>
  <c r="AP279" i="49" s="1"/>
  <c r="AE204" i="31"/>
  <c r="T340" i="31"/>
  <c r="AE417" i="31"/>
  <c r="AF417" i="31" s="1"/>
  <c r="AG417" i="31" s="1"/>
  <c r="AH417" i="31" s="1"/>
  <c r="AI417" i="31" s="1"/>
  <c r="AJ417" i="31" s="1"/>
  <c r="AK417" i="31" s="1"/>
  <c r="AL417" i="31" s="1"/>
  <c r="AM417" i="31" s="1"/>
  <c r="AN417" i="31" s="1"/>
  <c r="AO417" i="31" s="1"/>
  <c r="AP417" i="31" s="1"/>
  <c r="AE534" i="31"/>
  <c r="AF534" i="31" s="1"/>
  <c r="AG534" i="31" s="1"/>
  <c r="AH534" i="31" s="1"/>
  <c r="AI534" i="31" s="1"/>
  <c r="AJ534" i="31" s="1"/>
  <c r="AK534" i="31" s="1"/>
  <c r="AL534" i="31" s="1"/>
  <c r="AM534" i="31" s="1"/>
  <c r="AN534" i="31" s="1"/>
  <c r="AO534" i="31" s="1"/>
  <c r="AP534" i="31" s="1"/>
  <c r="G219" i="31"/>
  <c r="AE220" i="31"/>
  <c r="V584" i="31"/>
  <c r="AE524" i="31"/>
  <c r="AF524" i="31" s="1"/>
  <c r="AG524" i="31" s="1"/>
  <c r="AH524" i="31" s="1"/>
  <c r="AI524" i="31" s="1"/>
  <c r="AJ524" i="31" s="1"/>
  <c r="AK524" i="31" s="1"/>
  <c r="AL524" i="31" s="1"/>
  <c r="AM524" i="31" s="1"/>
  <c r="AN524" i="31" s="1"/>
  <c r="AO524" i="31" s="1"/>
  <c r="AP524" i="31" s="1"/>
  <c r="W442" i="49"/>
  <c r="AE475" i="49"/>
  <c r="AF475" i="49" s="1"/>
  <c r="AG475" i="49" s="1"/>
  <c r="AH475" i="49" s="1"/>
  <c r="AI475" i="49" s="1"/>
  <c r="AJ475" i="49" s="1"/>
  <c r="AK475" i="49" s="1"/>
  <c r="AL475" i="49" s="1"/>
  <c r="AM475" i="49" s="1"/>
  <c r="AN475" i="49" s="1"/>
  <c r="AO475" i="49" s="1"/>
  <c r="AP475" i="49" s="1"/>
  <c r="AB208" i="31"/>
  <c r="AA80" i="49"/>
  <c r="K600" i="31"/>
  <c r="AE160" i="49"/>
  <c r="AF160" i="49" s="1"/>
  <c r="AG160" i="49" s="1"/>
  <c r="AH160" i="49" s="1"/>
  <c r="AI160" i="49" s="1"/>
  <c r="AJ160" i="49" s="1"/>
  <c r="AK160" i="49" s="1"/>
  <c r="AL160" i="49" s="1"/>
  <c r="AM160" i="49" s="1"/>
  <c r="AN160" i="49" s="1"/>
  <c r="AO160" i="49" s="1"/>
  <c r="AP160" i="49" s="1"/>
  <c r="O35" i="49"/>
  <c r="DR14" i="5" s="1"/>
  <c r="V109" i="31"/>
  <c r="AD487" i="49"/>
  <c r="AC71" i="49"/>
  <c r="W557" i="31"/>
  <c r="M89" i="49"/>
  <c r="CP20" i="5" s="1"/>
  <c r="X442" i="49"/>
  <c r="V561" i="49"/>
  <c r="AE615" i="31"/>
  <c r="G614" i="31"/>
  <c r="Z71" i="49"/>
  <c r="AE579" i="49"/>
  <c r="AF579" i="49" s="1"/>
  <c r="AG579" i="49" s="1"/>
  <c r="AH579" i="49" s="1"/>
  <c r="AI579" i="49" s="1"/>
  <c r="AJ579" i="49" s="1"/>
  <c r="AK579" i="49" s="1"/>
  <c r="AL579" i="49" s="1"/>
  <c r="AM579" i="49" s="1"/>
  <c r="AN579" i="49" s="1"/>
  <c r="AO579" i="49" s="1"/>
  <c r="AP579" i="49" s="1"/>
  <c r="V71" i="31"/>
  <c r="AE412" i="31"/>
  <c r="AF412" i="31" s="1"/>
  <c r="AG412" i="31" s="1"/>
  <c r="AH412" i="31" s="1"/>
  <c r="AI412" i="31" s="1"/>
  <c r="AJ412" i="31" s="1"/>
  <c r="AK412" i="31" s="1"/>
  <c r="AL412" i="31" s="1"/>
  <c r="AM412" i="31" s="1"/>
  <c r="AN412" i="31" s="1"/>
  <c r="AO412" i="31" s="1"/>
  <c r="AP412" i="31" s="1"/>
  <c r="P476" i="49"/>
  <c r="EF30" i="62" s="1"/>
  <c r="AE303" i="49"/>
  <c r="AF303" i="49" s="1"/>
  <c r="AG303" i="49" s="1"/>
  <c r="AH303" i="49" s="1"/>
  <c r="AI303" i="49" s="1"/>
  <c r="AJ303" i="49" s="1"/>
  <c r="AK303" i="49" s="1"/>
  <c r="AL303" i="49" s="1"/>
  <c r="AM303" i="49" s="1"/>
  <c r="AN303" i="49" s="1"/>
  <c r="AO303" i="49" s="1"/>
  <c r="AP303" i="49" s="1"/>
  <c r="AE438" i="31"/>
  <c r="AF438" i="31" s="1"/>
  <c r="AG438" i="31" s="1"/>
  <c r="AH438" i="31" s="1"/>
  <c r="AI438" i="31" s="1"/>
  <c r="AJ438" i="31" s="1"/>
  <c r="AK438" i="31" s="1"/>
  <c r="AL438" i="31" s="1"/>
  <c r="AM438" i="31" s="1"/>
  <c r="AN438" i="31" s="1"/>
  <c r="AO438" i="31" s="1"/>
  <c r="AP438" i="31" s="1"/>
  <c r="AE278" i="49"/>
  <c r="AF278" i="49" s="1"/>
  <c r="AG278" i="49" s="1"/>
  <c r="AH278" i="49" s="1"/>
  <c r="AI278" i="49" s="1"/>
  <c r="AJ278" i="49" s="1"/>
  <c r="AK278" i="49" s="1"/>
  <c r="AL278" i="49" s="1"/>
  <c r="AM278" i="49" s="1"/>
  <c r="AN278" i="49" s="1"/>
  <c r="AO278" i="49" s="1"/>
  <c r="AP278" i="49" s="1"/>
  <c r="AE523" i="49"/>
  <c r="AF523" i="49" s="1"/>
  <c r="AG523" i="49" s="1"/>
  <c r="AH523" i="49" s="1"/>
  <c r="AI523" i="49" s="1"/>
  <c r="AJ523" i="49" s="1"/>
  <c r="AK523" i="49" s="1"/>
  <c r="AL523" i="49" s="1"/>
  <c r="AM523" i="49" s="1"/>
  <c r="AN523" i="49" s="1"/>
  <c r="AO523" i="49" s="1"/>
  <c r="AP523" i="49" s="1"/>
  <c r="T158" i="31"/>
  <c r="L565" i="49"/>
  <c r="Q561" i="49"/>
  <c r="AE591" i="49"/>
  <c r="AF591" i="49" s="1"/>
  <c r="AG591" i="49" s="1"/>
  <c r="AH591" i="49" s="1"/>
  <c r="AI591" i="49" s="1"/>
  <c r="AJ591" i="49" s="1"/>
  <c r="AK591" i="49" s="1"/>
  <c r="AL591" i="49" s="1"/>
  <c r="AM591" i="49" s="1"/>
  <c r="AN591" i="49" s="1"/>
  <c r="AO591" i="49" s="1"/>
  <c r="AP591" i="49" s="1"/>
  <c r="I47" i="49"/>
  <c r="T565" i="49"/>
  <c r="AC301" i="49"/>
  <c r="H168" i="49"/>
  <c r="X32" i="5" s="1"/>
  <c r="AE164" i="49"/>
  <c r="AF164" i="49" s="1"/>
  <c r="AG164" i="49" s="1"/>
  <c r="AH164" i="49" s="1"/>
  <c r="AI164" i="49" s="1"/>
  <c r="AJ164" i="49" s="1"/>
  <c r="AK164" i="49" s="1"/>
  <c r="AL164" i="49" s="1"/>
  <c r="AM164" i="49" s="1"/>
  <c r="AN164" i="49" s="1"/>
  <c r="AO164" i="49" s="1"/>
  <c r="AP164" i="49" s="1"/>
  <c r="Y238" i="31"/>
  <c r="AE94" i="31"/>
  <c r="AF94" i="31" s="1"/>
  <c r="AG94" i="31" s="1"/>
  <c r="AH94" i="31" s="1"/>
  <c r="AI94" i="31" s="1"/>
  <c r="AJ94" i="31" s="1"/>
  <c r="AK94" i="31" s="1"/>
  <c r="AL94" i="31" s="1"/>
  <c r="AM94" i="31" s="1"/>
  <c r="AN94" i="31" s="1"/>
  <c r="AO94" i="31" s="1"/>
  <c r="AP94" i="31" s="1"/>
  <c r="U328" i="31"/>
  <c r="N286" i="31"/>
  <c r="DF42" i="5" s="1"/>
  <c r="U178" i="31"/>
  <c r="Y569" i="49"/>
  <c r="AE588" i="49"/>
  <c r="AF588" i="49" s="1"/>
  <c r="AG588" i="49" s="1"/>
  <c r="AH588" i="49" s="1"/>
  <c r="AI588" i="49" s="1"/>
  <c r="AJ588" i="49" s="1"/>
  <c r="AK588" i="49" s="1"/>
  <c r="AL588" i="49" s="1"/>
  <c r="AM588" i="49" s="1"/>
  <c r="AN588" i="49" s="1"/>
  <c r="AO588" i="49" s="1"/>
  <c r="AP588" i="49" s="1"/>
  <c r="V35" i="31"/>
  <c r="AD569" i="49"/>
  <c r="S47" i="49"/>
  <c r="AF229" i="49"/>
  <c r="AG229" i="49" s="1"/>
  <c r="AH229" i="49" s="1"/>
  <c r="AI229" i="49" s="1"/>
  <c r="AJ229" i="49" s="1"/>
  <c r="H228" i="49"/>
  <c r="X38" i="5" s="1"/>
  <c r="T267" i="31"/>
  <c r="AE192" i="49"/>
  <c r="AF192" i="49" s="1"/>
  <c r="AG192" i="49" s="1"/>
  <c r="AH192" i="49" s="1"/>
  <c r="AI192" i="49" s="1"/>
  <c r="AJ192" i="49" s="1"/>
  <c r="AK192" i="49" s="1"/>
  <c r="AL192" i="49" s="1"/>
  <c r="AM192" i="49" s="1"/>
  <c r="AN192" i="49" s="1"/>
  <c r="AO192" i="49" s="1"/>
  <c r="AP192" i="49" s="1"/>
  <c r="W127" i="49"/>
  <c r="AE247" i="49"/>
  <c r="AF247" i="49" s="1"/>
  <c r="AG247" i="49" s="1"/>
  <c r="AH247" i="49" s="1"/>
  <c r="AI247" i="49" s="1"/>
  <c r="AJ247" i="49" s="1"/>
  <c r="AK247" i="49" s="1"/>
  <c r="AL247" i="49" s="1"/>
  <c r="AM247" i="49" s="1"/>
  <c r="AN247" i="49" s="1"/>
  <c r="AO247" i="49" s="1"/>
  <c r="AP247" i="49" s="1"/>
  <c r="S366" i="31"/>
  <c r="AB377" i="49"/>
  <c r="H321" i="49"/>
  <c r="X50" i="5" s="1"/>
  <c r="AE79" i="31"/>
  <c r="AF79" i="31" s="1"/>
  <c r="AG79" i="31" s="1"/>
  <c r="AH79" i="31" s="1"/>
  <c r="AI79" i="31" s="1"/>
  <c r="AJ79" i="31" s="1"/>
  <c r="AK79" i="31" s="1"/>
  <c r="AL79" i="31" s="1"/>
  <c r="AM79" i="31" s="1"/>
  <c r="AN79" i="31" s="1"/>
  <c r="AO79" i="31" s="1"/>
  <c r="AP79" i="31" s="1"/>
  <c r="T377" i="49"/>
  <c r="AE461" i="31"/>
  <c r="AF461" i="31" s="1"/>
  <c r="AG461" i="31" s="1"/>
  <c r="AH461" i="31" s="1"/>
  <c r="AI461" i="31" s="1"/>
  <c r="AJ461" i="31" s="1"/>
  <c r="AK461" i="31" s="1"/>
  <c r="AL461" i="31" s="1"/>
  <c r="AM461" i="31" s="1"/>
  <c r="AN461" i="31" s="1"/>
  <c r="AO461" i="31" s="1"/>
  <c r="AP461" i="31" s="1"/>
  <c r="AD531" i="49"/>
  <c r="T382" i="49"/>
  <c r="AE350" i="49"/>
  <c r="AF350" i="49" s="1"/>
  <c r="AG350" i="49" s="1"/>
  <c r="AH350" i="49" s="1"/>
  <c r="AI350" i="49" s="1"/>
  <c r="AJ350" i="49" s="1"/>
  <c r="AK350" i="49" s="1"/>
  <c r="AL350" i="49" s="1"/>
  <c r="AM350" i="49" s="1"/>
  <c r="AN350" i="49" s="1"/>
  <c r="AO350" i="49" s="1"/>
  <c r="AP350" i="49" s="1"/>
  <c r="Z604" i="49"/>
  <c r="AE498" i="49"/>
  <c r="AF498" i="49" s="1"/>
  <c r="AG498" i="49" s="1"/>
  <c r="AH498" i="49" s="1"/>
  <c r="AI498" i="49" s="1"/>
  <c r="AJ498" i="49" s="1"/>
  <c r="AK498" i="49" s="1"/>
  <c r="AL498" i="49" s="1"/>
  <c r="AM498" i="49" s="1"/>
  <c r="AN498" i="49" s="1"/>
  <c r="AO498" i="49" s="1"/>
  <c r="AP498" i="49" s="1"/>
  <c r="G127" i="49"/>
  <c r="AE128" i="49"/>
  <c r="AF128" i="49" s="1"/>
  <c r="R301" i="31"/>
  <c r="AE318" i="49"/>
  <c r="AF318" i="49" s="1"/>
  <c r="AG318" i="49" s="1"/>
  <c r="N47" i="49"/>
  <c r="DD16" i="5" s="1"/>
  <c r="J482" i="49"/>
  <c r="AZ32" i="62" s="1"/>
  <c r="AE484" i="49"/>
  <c r="AF484" i="49" s="1"/>
  <c r="AG484" i="49" s="1"/>
  <c r="AH484" i="49" s="1"/>
  <c r="AI484" i="49" s="1"/>
  <c r="AJ484" i="49" s="1"/>
  <c r="AK484" i="49" s="1"/>
  <c r="AL484" i="49" s="1"/>
  <c r="AM484" i="49" s="1"/>
  <c r="AN484" i="49" s="1"/>
  <c r="AO484" i="49" s="1"/>
  <c r="AP484" i="49" s="1"/>
  <c r="W158" i="31"/>
  <c r="S476" i="31"/>
  <c r="Y565" i="49"/>
  <c r="AE69" i="31"/>
  <c r="AF69" i="31" s="1"/>
  <c r="AG69" i="31" s="1"/>
  <c r="AH69" i="31" s="1"/>
  <c r="AI69" i="31" s="1"/>
  <c r="AJ69" i="31" s="1"/>
  <c r="AK69" i="31" s="1"/>
  <c r="AL69" i="31" s="1"/>
  <c r="AM69" i="31" s="1"/>
  <c r="AN69" i="31" s="1"/>
  <c r="AO69" i="31" s="1"/>
  <c r="AP69" i="31" s="1"/>
  <c r="U382" i="31"/>
  <c r="AE468" i="31"/>
  <c r="AF468" i="31" s="1"/>
  <c r="AG468" i="31" s="1"/>
  <c r="AH468" i="31" s="1"/>
  <c r="T9" i="49"/>
  <c r="Y531" i="49"/>
  <c r="AE117" i="31"/>
  <c r="AF117" i="31" s="1"/>
  <c r="AG117" i="31" s="1"/>
  <c r="AH117" i="31" s="1"/>
  <c r="AI117" i="31" s="1"/>
  <c r="AJ117" i="31" s="1"/>
  <c r="AK117" i="31" s="1"/>
  <c r="AL117" i="31" s="1"/>
  <c r="AM117" i="31" s="1"/>
  <c r="AN117" i="31" s="1"/>
  <c r="AO117" i="31" s="1"/>
  <c r="AP117" i="31" s="1"/>
  <c r="AE195" i="49"/>
  <c r="AF195" i="49" s="1"/>
  <c r="AG195" i="49" s="1"/>
  <c r="AH195" i="49" s="1"/>
  <c r="AI195" i="49" s="1"/>
  <c r="AJ195" i="49" s="1"/>
  <c r="AK195" i="49" s="1"/>
  <c r="AL195" i="49" s="1"/>
  <c r="AM195" i="49" s="1"/>
  <c r="AN195" i="49" s="1"/>
  <c r="AO195" i="49" s="1"/>
  <c r="AP195" i="49" s="1"/>
  <c r="AE166" i="49"/>
  <c r="AF166" i="49" s="1"/>
  <c r="AG166" i="49" s="1"/>
  <c r="AH166" i="49" s="1"/>
  <c r="AI166" i="49" s="1"/>
  <c r="AJ166" i="49" s="1"/>
  <c r="AK166" i="49" s="1"/>
  <c r="AL166" i="49" s="1"/>
  <c r="AM166" i="49" s="1"/>
  <c r="AN166" i="49" s="1"/>
  <c r="AO166" i="49" s="1"/>
  <c r="AP166" i="49" s="1"/>
  <c r="AE272" i="31"/>
  <c r="AF272" i="31" s="1"/>
  <c r="AG272" i="31" s="1"/>
  <c r="AH272" i="31" s="1"/>
  <c r="AI272" i="31" s="1"/>
  <c r="AJ272" i="31" s="1"/>
  <c r="AK272" i="31" s="1"/>
  <c r="AL272" i="31" s="1"/>
  <c r="AM272" i="31" s="1"/>
  <c r="AN272" i="31" s="1"/>
  <c r="AO272" i="31" s="1"/>
  <c r="AP272" i="31" s="1"/>
  <c r="AB347" i="31"/>
  <c r="H178" i="49"/>
  <c r="AF179" i="49"/>
  <c r="H347" i="49"/>
  <c r="X54" i="5" s="1"/>
  <c r="O306" i="49"/>
  <c r="DR46" i="5" s="1"/>
  <c r="AE243" i="49"/>
  <c r="AF243" i="49" s="1"/>
  <c r="AG243" i="49" s="1"/>
  <c r="AH243" i="49" s="1"/>
  <c r="AI243" i="49" s="1"/>
  <c r="AJ243" i="49" s="1"/>
  <c r="AK243" i="49" s="1"/>
  <c r="AL243" i="49" s="1"/>
  <c r="AM243" i="49" s="1"/>
  <c r="AN243" i="49" s="1"/>
  <c r="AO243" i="49" s="1"/>
  <c r="AP243" i="49" s="1"/>
  <c r="AC178" i="49"/>
  <c r="AE275" i="49"/>
  <c r="AF275" i="49" s="1"/>
  <c r="AG275" i="49" s="1"/>
  <c r="AH275" i="49" s="1"/>
  <c r="AI275" i="49" s="1"/>
  <c r="AJ275" i="49" s="1"/>
  <c r="AK275" i="49" s="1"/>
  <c r="AL275" i="49" s="1"/>
  <c r="AM275" i="49" s="1"/>
  <c r="AN275" i="49" s="1"/>
  <c r="AO275" i="49" s="1"/>
  <c r="AP275" i="49" s="1"/>
  <c r="X208" i="49"/>
  <c r="O584" i="49"/>
  <c r="U26" i="49"/>
  <c r="AD256" i="49"/>
  <c r="M293" i="49"/>
  <c r="CP43" i="5" s="1"/>
  <c r="AC153" i="49"/>
  <c r="L600" i="31"/>
  <c r="U267" i="49"/>
  <c r="W80" i="49"/>
  <c r="T267" i="49"/>
  <c r="AE31" i="49"/>
  <c r="AF31" i="49" s="1"/>
  <c r="AG31" i="49" s="1"/>
  <c r="AH31" i="49" s="1"/>
  <c r="AI31" i="49" s="1"/>
  <c r="AJ31" i="49" s="1"/>
  <c r="AK31" i="49" s="1"/>
  <c r="AL31" i="49" s="1"/>
  <c r="AM31" i="49" s="1"/>
  <c r="AN31" i="49" s="1"/>
  <c r="AO31" i="49" s="1"/>
  <c r="AP31" i="49" s="1"/>
  <c r="T557" i="49"/>
  <c r="Y178" i="49"/>
  <c r="I153" i="49"/>
  <c r="AL28" i="5" s="1"/>
  <c r="T98" i="49"/>
  <c r="L153" i="31"/>
  <c r="CD28" i="5" s="1"/>
  <c r="CE28" i="5" s="1"/>
  <c r="I377" i="49"/>
  <c r="AL60" i="5" s="1"/>
  <c r="V333" i="49"/>
  <c r="AD366" i="49"/>
  <c r="AF520" i="49"/>
  <c r="AG520" i="49" s="1"/>
  <c r="AH520" i="49" s="1"/>
  <c r="AI520" i="49" s="1"/>
  <c r="AJ520" i="49" s="1"/>
  <c r="AK520" i="49" s="1"/>
  <c r="AL520" i="49" s="1"/>
  <c r="AM520" i="49" s="1"/>
  <c r="AN520" i="49" s="1"/>
  <c r="AO520" i="49" s="1"/>
  <c r="AP520" i="49" s="1"/>
  <c r="AF269" i="49"/>
  <c r="AG269" i="49" s="1"/>
  <c r="AH269" i="49" s="1"/>
  <c r="AI269" i="49" s="1"/>
  <c r="AJ269" i="49" s="1"/>
  <c r="AK269" i="49" s="1"/>
  <c r="AL269" i="49" s="1"/>
  <c r="AM269" i="49" s="1"/>
  <c r="AN269" i="49" s="1"/>
  <c r="AO269" i="49" s="1"/>
  <c r="AP269" i="49" s="1"/>
  <c r="AE105" i="49"/>
  <c r="AF105" i="49" s="1"/>
  <c r="AG105" i="49" s="1"/>
  <c r="AH105" i="49" s="1"/>
  <c r="AI105" i="49" s="1"/>
  <c r="AJ105" i="49" s="1"/>
  <c r="AK105" i="49" s="1"/>
  <c r="AL105" i="49" s="1"/>
  <c r="AM105" i="49" s="1"/>
  <c r="AN105" i="49" s="1"/>
  <c r="AO105" i="49" s="1"/>
  <c r="AP105" i="49" s="1"/>
  <c r="V71" i="49"/>
  <c r="L256" i="49"/>
  <c r="H306" i="49"/>
  <c r="X46" i="5" s="1"/>
  <c r="AE546" i="31"/>
  <c r="AF546" i="31" s="1"/>
  <c r="AG546" i="31" s="1"/>
  <c r="AH546" i="31" s="1"/>
  <c r="AI546" i="31" s="1"/>
  <c r="AJ546" i="31" s="1"/>
  <c r="AK546" i="31" s="1"/>
  <c r="AL546" i="31" s="1"/>
  <c r="AM546" i="31" s="1"/>
  <c r="AN546" i="31" s="1"/>
  <c r="AO546" i="31" s="1"/>
  <c r="AP546" i="31" s="1"/>
  <c r="AE575" i="31"/>
  <c r="AF575" i="31" s="1"/>
  <c r="AG575" i="31" s="1"/>
  <c r="AH575" i="31" s="1"/>
  <c r="AI575" i="31" s="1"/>
  <c r="AJ575" i="31" s="1"/>
  <c r="AK575" i="31" s="1"/>
  <c r="AL575" i="31" s="1"/>
  <c r="AM575" i="31" s="1"/>
  <c r="AN575" i="31" s="1"/>
  <c r="AO575" i="31" s="1"/>
  <c r="AP575" i="31" s="1"/>
  <c r="R366" i="49"/>
  <c r="FH58" i="5" s="1"/>
  <c r="AE231" i="31"/>
  <c r="AF231" i="31" s="1"/>
  <c r="AG231" i="31" s="1"/>
  <c r="AH231" i="31" s="1"/>
  <c r="S557" i="49"/>
  <c r="X127" i="49"/>
  <c r="L178" i="31"/>
  <c r="AA238" i="49"/>
  <c r="Y47" i="49"/>
  <c r="W26" i="49"/>
  <c r="W46" i="49" s="1"/>
  <c r="N565" i="49"/>
  <c r="AE193" i="49"/>
  <c r="AF193" i="49" s="1"/>
  <c r="AG193" i="49" s="1"/>
  <c r="AH193" i="49" s="1"/>
  <c r="AI193" i="49" s="1"/>
  <c r="AJ193" i="49" s="1"/>
  <c r="AK193" i="49" s="1"/>
  <c r="AL193" i="49" s="1"/>
  <c r="AM193" i="49" s="1"/>
  <c r="AN193" i="49" s="1"/>
  <c r="AO193" i="49" s="1"/>
  <c r="AP193" i="49" s="1"/>
  <c r="Q238" i="49"/>
  <c r="ET39" i="5" s="1"/>
  <c r="AA35" i="31"/>
  <c r="AE68" i="49"/>
  <c r="AF68" i="49" s="1"/>
  <c r="AG68" i="49" s="1"/>
  <c r="AH68" i="49" s="1"/>
  <c r="AI68" i="49" s="1"/>
  <c r="AJ68" i="49" s="1"/>
  <c r="AK68" i="49" s="1"/>
  <c r="AL68" i="49" s="1"/>
  <c r="AM68" i="49" s="1"/>
  <c r="AN68" i="49" s="1"/>
  <c r="AO68" i="49" s="1"/>
  <c r="AP68" i="49" s="1"/>
  <c r="T80" i="49"/>
  <c r="T144" i="49"/>
  <c r="AG51" i="49"/>
  <c r="AE260" i="31"/>
  <c r="AF260" i="31" s="1"/>
  <c r="AG260" i="31" s="1"/>
  <c r="AH260" i="31" s="1"/>
  <c r="AI260" i="31" s="1"/>
  <c r="AJ260" i="31" s="1"/>
  <c r="AK260" i="31" s="1"/>
  <c r="AL260" i="31" s="1"/>
  <c r="AM260" i="31" s="1"/>
  <c r="AN260" i="31" s="1"/>
  <c r="AO260" i="31" s="1"/>
  <c r="AP260" i="31" s="1"/>
  <c r="AF113" i="49"/>
  <c r="AG113" i="49" s="1"/>
  <c r="AH113" i="49" s="1"/>
  <c r="AD62" i="31"/>
  <c r="O168" i="49"/>
  <c r="DR32" i="5" s="1"/>
  <c r="AE65" i="49"/>
  <c r="AF65" i="49" s="1"/>
  <c r="AG65" i="49" s="1"/>
  <c r="AH65" i="49" s="1"/>
  <c r="AI65" i="49" s="1"/>
  <c r="AJ65" i="49" s="1"/>
  <c r="AK65" i="49" s="1"/>
  <c r="AL65" i="49" s="1"/>
  <c r="AM65" i="49" s="1"/>
  <c r="AN65" i="49" s="1"/>
  <c r="AO65" i="49" s="1"/>
  <c r="AP65" i="49" s="1"/>
  <c r="AA565" i="49"/>
  <c r="AE507" i="49"/>
  <c r="G506" i="49"/>
  <c r="AE312" i="49"/>
  <c r="AF312" i="49" s="1"/>
  <c r="AG312" i="49" s="1"/>
  <c r="AH312" i="49" s="1"/>
  <c r="AI312" i="49" s="1"/>
  <c r="AJ312" i="49" s="1"/>
  <c r="AK312" i="49" s="1"/>
  <c r="AL312" i="49" s="1"/>
  <c r="AM312" i="49" s="1"/>
  <c r="AN312" i="49" s="1"/>
  <c r="AO312" i="49" s="1"/>
  <c r="AP312" i="49" s="1"/>
  <c r="AH51" i="49"/>
  <c r="V366" i="31"/>
  <c r="N301" i="49"/>
  <c r="AF217" i="31"/>
  <c r="AG217" i="31" s="1"/>
  <c r="AH217" i="31" s="1"/>
  <c r="AI217" i="31" s="1"/>
  <c r="AJ217" i="31" s="1"/>
  <c r="AK217" i="31" s="1"/>
  <c r="AL217" i="31" s="1"/>
  <c r="AM217" i="31" s="1"/>
  <c r="AN217" i="31" s="1"/>
  <c r="AO217" i="31" s="1"/>
  <c r="AP217" i="31" s="1"/>
  <c r="AC340" i="31"/>
  <c r="AC153" i="31"/>
  <c r="M459" i="49"/>
  <c r="CP27" i="62" s="1"/>
  <c r="J561" i="49"/>
  <c r="AE365" i="49"/>
  <c r="AF365" i="49" s="1"/>
  <c r="AG365" i="49" s="1"/>
  <c r="AH365" i="49" s="1"/>
  <c r="AI365" i="49" s="1"/>
  <c r="AJ365" i="49" s="1"/>
  <c r="AK365" i="49" s="1"/>
  <c r="AL365" i="49" s="1"/>
  <c r="AM365" i="49" s="1"/>
  <c r="AN365" i="49" s="1"/>
  <c r="AO365" i="49" s="1"/>
  <c r="AP365" i="49" s="1"/>
  <c r="P188" i="31"/>
  <c r="EH35" i="5" s="1"/>
  <c r="J286" i="31"/>
  <c r="BB42" i="5" s="1"/>
  <c r="AE255" i="31"/>
  <c r="AF255" i="31" s="1"/>
  <c r="AG255" i="31" s="1"/>
  <c r="AH255" i="31" s="1"/>
  <c r="AI255" i="31" s="1"/>
  <c r="AJ255" i="31" s="1"/>
  <c r="AK255" i="31" s="1"/>
  <c r="AL255" i="31" s="1"/>
  <c r="AM255" i="31" s="1"/>
  <c r="AN255" i="31" s="1"/>
  <c r="AO255" i="31" s="1"/>
  <c r="AP255" i="31" s="1"/>
  <c r="Q614" i="49"/>
  <c r="P340" i="49"/>
  <c r="EF53" i="5" s="1"/>
  <c r="EF44" i="62" s="1"/>
  <c r="AE415" i="31"/>
  <c r="AF415" i="31" s="1"/>
  <c r="AG415" i="31" s="1"/>
  <c r="AH415" i="31" s="1"/>
  <c r="AI415" i="31" s="1"/>
  <c r="AJ415" i="31" s="1"/>
  <c r="AK415" i="31" s="1"/>
  <c r="AL415" i="31" s="1"/>
  <c r="AM415" i="31" s="1"/>
  <c r="AN415" i="31" s="1"/>
  <c r="AO415" i="31" s="1"/>
  <c r="AP415" i="31" s="1"/>
  <c r="AE149" i="31"/>
  <c r="AF149" i="31" s="1"/>
  <c r="AG149" i="31" s="1"/>
  <c r="AH149" i="31" s="1"/>
  <c r="AI149" i="31" s="1"/>
  <c r="AJ149" i="31" s="1"/>
  <c r="AK149" i="31" s="1"/>
  <c r="AL149" i="31" s="1"/>
  <c r="AM149" i="31" s="1"/>
  <c r="AN149" i="31" s="1"/>
  <c r="AO149" i="31" s="1"/>
  <c r="AP149" i="31" s="1"/>
  <c r="X531" i="31"/>
  <c r="H286" i="49"/>
  <c r="X42" i="5" s="1"/>
  <c r="L553" i="31"/>
  <c r="R188" i="49"/>
  <c r="FH35" i="5" s="1"/>
  <c r="AE414" i="49"/>
  <c r="AF414" i="49" s="1"/>
  <c r="AG414" i="49" s="1"/>
  <c r="AH414" i="49" s="1"/>
  <c r="AI414" i="49" s="1"/>
  <c r="AJ414" i="49" s="1"/>
  <c r="AK414" i="49" s="1"/>
  <c r="AL414" i="49" s="1"/>
  <c r="AM414" i="49" s="1"/>
  <c r="AN414" i="49" s="1"/>
  <c r="AO414" i="49" s="1"/>
  <c r="AP414" i="49" s="1"/>
  <c r="L306" i="49"/>
  <c r="AF447" i="49"/>
  <c r="AG447" i="49" s="1"/>
  <c r="AH447" i="49" s="1"/>
  <c r="AI447" i="49" s="1"/>
  <c r="AJ447" i="49" s="1"/>
  <c r="AK447" i="49" s="1"/>
  <c r="AL447" i="49" s="1"/>
  <c r="AM447" i="49" s="1"/>
  <c r="AN447" i="49" s="1"/>
  <c r="AO447" i="49" s="1"/>
  <c r="AP447" i="49" s="1"/>
  <c r="L614" i="31"/>
  <c r="R553" i="31"/>
  <c r="L356" i="31"/>
  <c r="O168" i="31"/>
  <c r="DT32" i="5" s="1"/>
  <c r="DU32" i="5" s="1"/>
  <c r="R158" i="31"/>
  <c r="P416" i="49"/>
  <c r="EF22" i="62" s="1"/>
  <c r="M188" i="49"/>
  <c r="CP35" i="5" s="1"/>
  <c r="AE567" i="31"/>
  <c r="AF567" i="31" s="1"/>
  <c r="AG567" i="31" s="1"/>
  <c r="AH567" i="31" s="1"/>
  <c r="AI567" i="31" s="1"/>
  <c r="AJ567" i="31" s="1"/>
  <c r="AK567" i="31" s="1"/>
  <c r="AL567" i="31" s="1"/>
  <c r="AM567" i="31" s="1"/>
  <c r="AN567" i="31" s="1"/>
  <c r="AO567" i="31" s="1"/>
  <c r="AP567" i="31" s="1"/>
  <c r="AA584" i="31"/>
  <c r="AE285" i="49"/>
  <c r="AF285" i="49" s="1"/>
  <c r="AG285" i="49" s="1"/>
  <c r="AH285" i="49" s="1"/>
  <c r="AI285" i="49" s="1"/>
  <c r="AJ285" i="49" s="1"/>
  <c r="AK285" i="49" s="1"/>
  <c r="AL285" i="49" s="1"/>
  <c r="AM285" i="49" s="1"/>
  <c r="AN285" i="49" s="1"/>
  <c r="AO285" i="49" s="1"/>
  <c r="AP285" i="49" s="1"/>
  <c r="G26" i="49"/>
  <c r="AE27" i="49"/>
  <c r="N542" i="31"/>
  <c r="M482" i="49"/>
  <c r="CP32" i="62" s="1"/>
  <c r="I89" i="31"/>
  <c r="AN20" i="5" s="1"/>
  <c r="AO20" i="5" s="1"/>
  <c r="M315" i="49"/>
  <c r="T487" i="31"/>
  <c r="AC26" i="31"/>
  <c r="AB286" i="49"/>
  <c r="AA553" i="49"/>
  <c r="AG504" i="49"/>
  <c r="AH504" i="49" s="1"/>
  <c r="AI504" i="49" s="1"/>
  <c r="AJ504" i="49" s="1"/>
  <c r="AK504" i="49" s="1"/>
  <c r="AL504" i="49" s="1"/>
  <c r="AM504" i="49" s="1"/>
  <c r="AN504" i="49" s="1"/>
  <c r="AO504" i="49" s="1"/>
  <c r="AP504" i="49" s="1"/>
  <c r="L600" i="49"/>
  <c r="X71" i="31"/>
  <c r="L208" i="49"/>
  <c r="AD127" i="49"/>
  <c r="M356" i="31"/>
  <c r="CR57" i="5" s="1"/>
  <c r="CR42" i="62" s="1"/>
  <c r="AC256" i="31"/>
  <c r="AF455" i="49"/>
  <c r="AG455" i="49" s="1"/>
  <c r="AH455" i="49" s="1"/>
  <c r="AI455" i="49" s="1"/>
  <c r="AJ455" i="49" s="1"/>
  <c r="AK455" i="49" s="1"/>
  <c r="AL455" i="49" s="1"/>
  <c r="AM455" i="49" s="1"/>
  <c r="AN455" i="49" s="1"/>
  <c r="AO455" i="49" s="1"/>
  <c r="AP455" i="49" s="1"/>
  <c r="AE161" i="31"/>
  <c r="AF161" i="31" s="1"/>
  <c r="AG161" i="31" s="1"/>
  <c r="AH161" i="31" s="1"/>
  <c r="AI161" i="31" s="1"/>
  <c r="AJ161" i="31" s="1"/>
  <c r="AK161" i="31" s="1"/>
  <c r="AL161" i="31" s="1"/>
  <c r="AM161" i="31" s="1"/>
  <c r="AN161" i="31" s="1"/>
  <c r="AO161" i="31" s="1"/>
  <c r="AP161" i="31" s="1"/>
  <c r="W238" i="31"/>
  <c r="AA26" i="31"/>
  <c r="AE296" i="49"/>
  <c r="AF296" i="49" s="1"/>
  <c r="AG296" i="49" s="1"/>
  <c r="AH296" i="49" s="1"/>
  <c r="AI296" i="49" s="1"/>
  <c r="AJ296" i="49" s="1"/>
  <c r="AK296" i="49" s="1"/>
  <c r="AL296" i="49" s="1"/>
  <c r="AM296" i="49" s="1"/>
  <c r="AN296" i="49" s="1"/>
  <c r="AO296" i="49" s="1"/>
  <c r="AP296" i="49" s="1"/>
  <c r="V382" i="49"/>
  <c r="Y35" i="49"/>
  <c r="AA393" i="49"/>
  <c r="L459" i="49"/>
  <c r="CB27" i="62" s="1"/>
  <c r="N80" i="31"/>
  <c r="DF19" i="5" s="1"/>
  <c r="DG19" i="5" s="1"/>
  <c r="L9" i="31"/>
  <c r="N219" i="31"/>
  <c r="DF37" i="5" s="1"/>
  <c r="AD158" i="31"/>
  <c r="AB347" i="49"/>
  <c r="X482" i="31"/>
  <c r="AA188" i="31"/>
  <c r="P89" i="49"/>
  <c r="EF20" i="5" s="1"/>
  <c r="X168" i="49"/>
  <c r="T476" i="31"/>
  <c r="R366" i="31"/>
  <c r="FJ58" i="5" s="1"/>
  <c r="FK58" i="5" s="1"/>
  <c r="T584" i="31"/>
  <c r="T569" i="49"/>
  <c r="Y340" i="49"/>
  <c r="AC333" i="31"/>
  <c r="J487" i="49"/>
  <c r="AZ33" i="62" s="1"/>
  <c r="Q506" i="49"/>
  <c r="ET34" i="62" s="1"/>
  <c r="AE163" i="49"/>
  <c r="AF163" i="49" s="1"/>
  <c r="AG163" i="49" s="1"/>
  <c r="AH163" i="49" s="1"/>
  <c r="AI163" i="49" s="1"/>
  <c r="AJ163" i="49" s="1"/>
  <c r="AK163" i="49" s="1"/>
  <c r="AL163" i="49" s="1"/>
  <c r="AM163" i="49" s="1"/>
  <c r="AN163" i="49" s="1"/>
  <c r="AO163" i="49" s="1"/>
  <c r="AP163" i="49" s="1"/>
  <c r="I340" i="49"/>
  <c r="AL53" i="5" s="1"/>
  <c r="AL44" i="62" s="1"/>
  <c r="N26" i="31"/>
  <c r="DF13" i="5" s="1"/>
  <c r="DG13" i="5" s="1"/>
  <c r="T340" i="49"/>
  <c r="AE440" i="49"/>
  <c r="AF440" i="49" s="1"/>
  <c r="AG440" i="49" s="1"/>
  <c r="AH440" i="49" s="1"/>
  <c r="AI440" i="49" s="1"/>
  <c r="AJ440" i="49" s="1"/>
  <c r="AK440" i="49" s="1"/>
  <c r="AL440" i="49" s="1"/>
  <c r="AM440" i="49" s="1"/>
  <c r="AN440" i="49" s="1"/>
  <c r="AO440" i="49" s="1"/>
  <c r="AP440" i="49" s="1"/>
  <c r="AE572" i="31"/>
  <c r="AF572" i="31" s="1"/>
  <c r="AG572" i="31" s="1"/>
  <c r="AH572" i="31" s="1"/>
  <c r="AI572" i="31" s="1"/>
  <c r="AJ572" i="31" s="1"/>
  <c r="AB178" i="49"/>
  <c r="AB89" i="49"/>
  <c r="J127" i="31"/>
  <c r="BB25" i="5" s="1"/>
  <c r="BC25" i="5" s="1"/>
  <c r="AE474" i="31"/>
  <c r="AF474" i="31" s="1"/>
  <c r="AG474" i="31" s="1"/>
  <c r="AH474" i="31" s="1"/>
  <c r="AI474" i="31" s="1"/>
  <c r="AJ474" i="31" s="1"/>
  <c r="AK474" i="31" s="1"/>
  <c r="AL474" i="31" s="1"/>
  <c r="AM474" i="31" s="1"/>
  <c r="AN474" i="31" s="1"/>
  <c r="AO474" i="31" s="1"/>
  <c r="AP474" i="31" s="1"/>
  <c r="AB609" i="49"/>
  <c r="T219" i="49"/>
  <c r="O136" i="31"/>
  <c r="DT26" i="5" s="1"/>
  <c r="DU26" i="5" s="1"/>
  <c r="AE189" i="31"/>
  <c r="G188" i="31"/>
  <c r="K609" i="31"/>
  <c r="U377" i="31"/>
  <c r="J614" i="49"/>
  <c r="AE218" i="31"/>
  <c r="AF218" i="31" s="1"/>
  <c r="AG218" i="31" s="1"/>
  <c r="AH218" i="31" s="1"/>
  <c r="AI218" i="31" s="1"/>
  <c r="AJ218" i="31" s="1"/>
  <c r="AK218" i="31" s="1"/>
  <c r="AL218" i="31" s="1"/>
  <c r="AM218" i="31" s="1"/>
  <c r="AN218" i="31" s="1"/>
  <c r="AO218" i="31" s="1"/>
  <c r="AP218" i="31" s="1"/>
  <c r="AE586" i="49"/>
  <c r="AF586" i="49" s="1"/>
  <c r="AG586" i="49" s="1"/>
  <c r="AH586" i="49" s="1"/>
  <c r="AI586" i="49" s="1"/>
  <c r="AJ586" i="49" s="1"/>
  <c r="AK586" i="49" s="1"/>
  <c r="AL586" i="49" s="1"/>
  <c r="AM586" i="49" s="1"/>
  <c r="AN586" i="49" s="1"/>
  <c r="AO586" i="49" s="1"/>
  <c r="AP586" i="49" s="1"/>
  <c r="AF39" i="49"/>
  <c r="AG39" i="49" s="1"/>
  <c r="AH39" i="49" s="1"/>
  <c r="AI39" i="49" s="1"/>
  <c r="AJ39" i="49" s="1"/>
  <c r="AK39" i="49" s="1"/>
  <c r="AL39" i="49" s="1"/>
  <c r="AM39" i="49" s="1"/>
  <c r="AN39" i="49" s="1"/>
  <c r="AO39" i="49" s="1"/>
  <c r="AP39" i="49" s="1"/>
  <c r="Z267" i="31"/>
  <c r="AE101" i="49"/>
  <c r="AF101" i="49" s="1"/>
  <c r="AG101" i="49" s="1"/>
  <c r="AH101" i="49" s="1"/>
  <c r="AI101" i="49" s="1"/>
  <c r="AJ101" i="49" s="1"/>
  <c r="AK101" i="49" s="1"/>
  <c r="AL101" i="49" s="1"/>
  <c r="AM101" i="49" s="1"/>
  <c r="AN101" i="49" s="1"/>
  <c r="AO101" i="49" s="1"/>
  <c r="AP101" i="49" s="1"/>
  <c r="J557" i="31"/>
  <c r="Z506" i="31"/>
  <c r="H604" i="31"/>
  <c r="AE176" i="31"/>
  <c r="AF176" i="31" s="1"/>
  <c r="AG176" i="31" s="1"/>
  <c r="AH176" i="31" s="1"/>
  <c r="AI176" i="31" s="1"/>
  <c r="AJ176" i="31" s="1"/>
  <c r="AK176" i="31" s="1"/>
  <c r="AL176" i="31" s="1"/>
  <c r="AM176" i="31" s="1"/>
  <c r="AN176" i="31" s="1"/>
  <c r="AO176" i="31" s="1"/>
  <c r="AP176" i="31" s="1"/>
  <c r="T442" i="49"/>
  <c r="P80" i="31"/>
  <c r="EH19" i="5" s="1"/>
  <c r="EI19" i="5" s="1"/>
  <c r="Q228" i="31"/>
  <c r="EV38" i="5" s="1"/>
  <c r="U469" i="49"/>
  <c r="Z561" i="49"/>
  <c r="M26" i="31"/>
  <c r="CR13" i="5" s="1"/>
  <c r="CS13" i="5" s="1"/>
  <c r="X321" i="49"/>
  <c r="S219" i="31"/>
  <c r="AE270" i="49"/>
  <c r="AF270" i="49" s="1"/>
  <c r="AG270" i="49" s="1"/>
  <c r="AH270" i="49" s="1"/>
  <c r="AI270" i="49" s="1"/>
  <c r="AJ270" i="49" s="1"/>
  <c r="AK270" i="49" s="1"/>
  <c r="AL270" i="49" s="1"/>
  <c r="AM270" i="49" s="1"/>
  <c r="AN270" i="49" s="1"/>
  <c r="AO270" i="49" s="1"/>
  <c r="AP270" i="49" s="1"/>
  <c r="AE346" i="31"/>
  <c r="AF346" i="31" s="1"/>
  <c r="AG346" i="31" s="1"/>
  <c r="AH346" i="31" s="1"/>
  <c r="AI346" i="31" s="1"/>
  <c r="AJ346" i="31" s="1"/>
  <c r="AK346" i="31" s="1"/>
  <c r="AL346" i="31" s="1"/>
  <c r="AM346" i="31" s="1"/>
  <c r="AN346" i="31" s="1"/>
  <c r="AO346" i="31" s="1"/>
  <c r="AP346" i="31" s="1"/>
  <c r="M442" i="49"/>
  <c r="CP26" i="62" s="1"/>
  <c r="CP29" i="62" s="1"/>
  <c r="I168" i="49"/>
  <c r="N26" i="49"/>
  <c r="DD13" i="5" s="1"/>
  <c r="N98" i="49"/>
  <c r="DD21" i="5" s="1"/>
  <c r="AF57" i="49"/>
  <c r="AG57" i="49" s="1"/>
  <c r="AH57" i="49" s="1"/>
  <c r="AI57" i="49" s="1"/>
  <c r="AJ57" i="49" s="1"/>
  <c r="AK57" i="49" s="1"/>
  <c r="AL57" i="49" s="1"/>
  <c r="AM57" i="49" s="1"/>
  <c r="AN57" i="49" s="1"/>
  <c r="AO57" i="49" s="1"/>
  <c r="AP57" i="49" s="1"/>
  <c r="Z256" i="49"/>
  <c r="AE145" i="31"/>
  <c r="G144" i="31"/>
  <c r="L27" i="5" s="1"/>
  <c r="N459" i="31"/>
  <c r="DF27" i="62" s="1"/>
  <c r="DG27" i="62" s="1"/>
  <c r="AC416" i="49"/>
  <c r="AE52" i="31"/>
  <c r="AF52" i="31" s="1"/>
  <c r="AG52" i="31" s="1"/>
  <c r="AH52" i="31" s="1"/>
  <c r="AI52" i="31" s="1"/>
  <c r="AJ52" i="31" s="1"/>
  <c r="AK52" i="31" s="1"/>
  <c r="AL52" i="31" s="1"/>
  <c r="AM52" i="31" s="1"/>
  <c r="AN52" i="31" s="1"/>
  <c r="AO52" i="31" s="1"/>
  <c r="AP52" i="31" s="1"/>
  <c r="L482" i="49"/>
  <c r="CB32" i="62" s="1"/>
  <c r="AE50" i="31"/>
  <c r="AF50" i="31" s="1"/>
  <c r="AG50" i="31" s="1"/>
  <c r="AH50" i="31" s="1"/>
  <c r="AI50" i="31" s="1"/>
  <c r="AJ50" i="31" s="1"/>
  <c r="AK50" i="31" s="1"/>
  <c r="AL50" i="31" s="1"/>
  <c r="AM50" i="31" s="1"/>
  <c r="AN50" i="31" s="1"/>
  <c r="AO50" i="31" s="1"/>
  <c r="AP50" i="31" s="1"/>
  <c r="AF100" i="31"/>
  <c r="AG100" i="31" s="1"/>
  <c r="AE259" i="49"/>
  <c r="AF259" i="49" s="1"/>
  <c r="AG259" i="49" s="1"/>
  <c r="AH259" i="49" s="1"/>
  <c r="AI259" i="49" s="1"/>
  <c r="AJ259" i="49" s="1"/>
  <c r="AK259" i="49" s="1"/>
  <c r="AL259" i="49" s="1"/>
  <c r="AM259" i="49" s="1"/>
  <c r="AN259" i="49" s="1"/>
  <c r="AO259" i="49" s="1"/>
  <c r="AP259" i="49" s="1"/>
  <c r="R306" i="49"/>
  <c r="FH46" i="5" s="1"/>
  <c r="U98" i="49"/>
  <c r="V301" i="31"/>
  <c r="Y542" i="31"/>
  <c r="X459" i="31"/>
  <c r="G286" i="31"/>
  <c r="AE287" i="31"/>
  <c r="I569" i="49"/>
  <c r="U356" i="31"/>
  <c r="X469" i="31"/>
  <c r="P614" i="49"/>
  <c r="AE75" i="31"/>
  <c r="U62" i="49"/>
  <c r="AD80" i="31"/>
  <c r="U158" i="49"/>
  <c r="O89" i="49"/>
  <c r="DR20" i="5" s="1"/>
  <c r="T136" i="49"/>
  <c r="Z557" i="31"/>
  <c r="AE191" i="49"/>
  <c r="AF191" i="49" s="1"/>
  <c r="AG191" i="49" s="1"/>
  <c r="AH191" i="49" s="1"/>
  <c r="AI191" i="49" s="1"/>
  <c r="AJ191" i="49" s="1"/>
  <c r="AK191" i="49" s="1"/>
  <c r="AL191" i="49" s="1"/>
  <c r="AM191" i="49" s="1"/>
  <c r="AN191" i="49" s="1"/>
  <c r="AO191" i="49" s="1"/>
  <c r="AP191" i="49" s="1"/>
  <c r="Y584" i="49"/>
  <c r="O178" i="49"/>
  <c r="N506" i="31"/>
  <c r="DF34" i="62" s="1"/>
  <c r="DG34" i="62" s="1"/>
  <c r="AG174" i="49"/>
  <c r="AH174" i="49" s="1"/>
  <c r="AI174" i="49" s="1"/>
  <c r="AJ174" i="49" s="1"/>
  <c r="AK174" i="49" s="1"/>
  <c r="AL174" i="49" s="1"/>
  <c r="AM174" i="49" s="1"/>
  <c r="AN174" i="49" s="1"/>
  <c r="AO174" i="49" s="1"/>
  <c r="AP174" i="49" s="1"/>
  <c r="N328" i="31"/>
  <c r="DF51" i="5" s="1"/>
  <c r="Z476" i="49"/>
  <c r="P542" i="31"/>
  <c r="AE67" i="49"/>
  <c r="AF67" i="49" s="1"/>
  <c r="AG67" i="49" s="1"/>
  <c r="AH67" i="49" s="1"/>
  <c r="AI67" i="49" s="1"/>
  <c r="AJ67" i="49" s="1"/>
  <c r="AK67" i="49" s="1"/>
  <c r="AL67" i="49" s="1"/>
  <c r="AM67" i="49" s="1"/>
  <c r="AN67" i="49" s="1"/>
  <c r="AO67" i="49" s="1"/>
  <c r="AP67" i="49" s="1"/>
  <c r="P301" i="31"/>
  <c r="Z565" i="49"/>
  <c r="O208" i="31"/>
  <c r="DT36" i="5" s="1"/>
  <c r="O553" i="49"/>
  <c r="X459" i="49"/>
  <c r="Y553" i="31"/>
  <c r="Y71" i="31"/>
  <c r="AD565" i="31"/>
  <c r="W553" i="31"/>
  <c r="S256" i="49"/>
  <c r="AE370" i="31"/>
  <c r="AF370" i="31" s="1"/>
  <c r="AG370" i="31" s="1"/>
  <c r="AH370" i="31" s="1"/>
  <c r="AI370" i="31" s="1"/>
  <c r="AJ370" i="31" s="1"/>
  <c r="AK370" i="31" s="1"/>
  <c r="AL370" i="31" s="1"/>
  <c r="AM370" i="31" s="1"/>
  <c r="AN370" i="31" s="1"/>
  <c r="AO370" i="31" s="1"/>
  <c r="AP370" i="31" s="1"/>
  <c r="H256" i="31"/>
  <c r="Z40" i="5" s="1"/>
  <c r="AE411" i="31"/>
  <c r="AF411" i="31" s="1"/>
  <c r="AG411" i="31" s="1"/>
  <c r="AH411" i="31" s="1"/>
  <c r="AI411" i="31" s="1"/>
  <c r="AJ411" i="31" s="1"/>
  <c r="AK411" i="31" s="1"/>
  <c r="AL411" i="31" s="1"/>
  <c r="AM411" i="31" s="1"/>
  <c r="AN411" i="31" s="1"/>
  <c r="AO411" i="31" s="1"/>
  <c r="AP411" i="31" s="1"/>
  <c r="AD315" i="49"/>
  <c r="W614" i="49"/>
  <c r="AE191" i="31"/>
  <c r="AF191" i="31" s="1"/>
  <c r="AG191" i="31" s="1"/>
  <c r="AH191" i="31" s="1"/>
  <c r="AI191" i="31" s="1"/>
  <c r="AJ191" i="31" s="1"/>
  <c r="AK191" i="31" s="1"/>
  <c r="AL191" i="31" s="1"/>
  <c r="AM191" i="31" s="1"/>
  <c r="AN191" i="31" s="1"/>
  <c r="AO191" i="31" s="1"/>
  <c r="AP191" i="31" s="1"/>
  <c r="Q208" i="31"/>
  <c r="EV36" i="5" s="1"/>
  <c r="W80" i="31"/>
  <c r="AE159" i="31"/>
  <c r="G158" i="31"/>
  <c r="O136" i="49"/>
  <c r="DR26" i="5" s="1"/>
  <c r="AA506" i="31"/>
  <c r="N315" i="49"/>
  <c r="AE296" i="31"/>
  <c r="AF296" i="31" s="1"/>
  <c r="AG296" i="31" s="1"/>
  <c r="AH296" i="31" s="1"/>
  <c r="AI296" i="31" s="1"/>
  <c r="AJ296" i="31" s="1"/>
  <c r="AK296" i="31" s="1"/>
  <c r="AL296" i="31" s="1"/>
  <c r="AM296" i="31" s="1"/>
  <c r="AN296" i="31" s="1"/>
  <c r="AO296" i="31" s="1"/>
  <c r="AP296" i="31" s="1"/>
  <c r="K476" i="49"/>
  <c r="BN30" i="62" s="1"/>
  <c r="AE184" i="31"/>
  <c r="AF184" i="31" s="1"/>
  <c r="AG184" i="31" s="1"/>
  <c r="AH184" i="31" s="1"/>
  <c r="AI184" i="31" s="1"/>
  <c r="AJ184" i="31" s="1"/>
  <c r="AK184" i="31" s="1"/>
  <c r="AL184" i="31" s="1"/>
  <c r="AM184" i="31" s="1"/>
  <c r="AN184" i="31" s="1"/>
  <c r="AO184" i="31" s="1"/>
  <c r="AP184" i="31" s="1"/>
  <c r="R238" i="31"/>
  <c r="FJ39" i="5" s="1"/>
  <c r="I315" i="31"/>
  <c r="G89" i="31"/>
  <c r="AE90" i="31"/>
  <c r="AE38" i="31"/>
  <c r="AF38" i="31" s="1"/>
  <c r="AG38" i="31" s="1"/>
  <c r="AH38" i="31" s="1"/>
  <c r="AI38" i="31" s="1"/>
  <c r="AJ38" i="31" s="1"/>
  <c r="AK38" i="31" s="1"/>
  <c r="AL38" i="31" s="1"/>
  <c r="AM38" i="31" s="1"/>
  <c r="AN38" i="31" s="1"/>
  <c r="AO38" i="31" s="1"/>
  <c r="AP38" i="31" s="1"/>
  <c r="AE588" i="31"/>
  <c r="AF588" i="31" s="1"/>
  <c r="AG588" i="31" s="1"/>
  <c r="AH588" i="31" s="1"/>
  <c r="AI588" i="31" s="1"/>
  <c r="AJ588" i="31" s="1"/>
  <c r="AK588" i="31" s="1"/>
  <c r="AL588" i="31" s="1"/>
  <c r="AM588" i="31" s="1"/>
  <c r="AN588" i="31" s="1"/>
  <c r="AO588" i="31" s="1"/>
  <c r="AP588" i="31" s="1"/>
  <c r="AC459" i="49"/>
  <c r="AE31" i="31"/>
  <c r="AF31" i="31" s="1"/>
  <c r="AG31" i="31" s="1"/>
  <c r="AH31" i="31" s="1"/>
  <c r="AI31" i="31" s="1"/>
  <c r="AJ31" i="31" s="1"/>
  <c r="AK31" i="31" s="1"/>
  <c r="AL31" i="31" s="1"/>
  <c r="AM31" i="31" s="1"/>
  <c r="AN31" i="31" s="1"/>
  <c r="AO31" i="31" s="1"/>
  <c r="AP31" i="31" s="1"/>
  <c r="AD158" i="49"/>
  <c r="AD157" i="49" s="1"/>
  <c r="I553" i="31"/>
  <c r="AE103" i="31"/>
  <c r="AF103" i="31" s="1"/>
  <c r="AG103" i="31" s="1"/>
  <c r="AH103" i="31" s="1"/>
  <c r="AI103" i="31" s="1"/>
  <c r="AJ103" i="31" s="1"/>
  <c r="AK103" i="31" s="1"/>
  <c r="AL103" i="31" s="1"/>
  <c r="AM103" i="31" s="1"/>
  <c r="AN103" i="31" s="1"/>
  <c r="AO103" i="31" s="1"/>
  <c r="AP103" i="31" s="1"/>
  <c r="AE265" i="31"/>
  <c r="AF265" i="31" s="1"/>
  <c r="AG265" i="31" s="1"/>
  <c r="AH265" i="31" s="1"/>
  <c r="AI265" i="31" s="1"/>
  <c r="AJ265" i="31" s="1"/>
  <c r="AK265" i="31" s="1"/>
  <c r="AL265" i="31" s="1"/>
  <c r="AM265" i="31" s="1"/>
  <c r="AN265" i="31" s="1"/>
  <c r="AO265" i="31" s="1"/>
  <c r="AP265" i="31" s="1"/>
  <c r="Z98" i="49"/>
  <c r="AE515" i="49"/>
  <c r="AF515" i="49" s="1"/>
  <c r="AG515" i="49" s="1"/>
  <c r="AH515" i="49" s="1"/>
  <c r="AI515" i="49" s="1"/>
  <c r="AJ515" i="49" s="1"/>
  <c r="AK515" i="49" s="1"/>
  <c r="AL515" i="49" s="1"/>
  <c r="AM515" i="49" s="1"/>
  <c r="AN515" i="49" s="1"/>
  <c r="AO515" i="49" s="1"/>
  <c r="AP515" i="49" s="1"/>
  <c r="AE449" i="49"/>
  <c r="AF449" i="49" s="1"/>
  <c r="AG449" i="49" s="1"/>
  <c r="AH449" i="49" s="1"/>
  <c r="AI449" i="49" s="1"/>
  <c r="AJ449" i="49" s="1"/>
  <c r="AK449" i="49" s="1"/>
  <c r="AL449" i="49" s="1"/>
  <c r="AM449" i="49" s="1"/>
  <c r="AN449" i="49" s="1"/>
  <c r="AO449" i="49" s="1"/>
  <c r="AP449" i="49" s="1"/>
  <c r="AE431" i="31"/>
  <c r="AF431" i="31" s="1"/>
  <c r="AG431" i="31" s="1"/>
  <c r="AH431" i="31" s="1"/>
  <c r="AI431" i="31" s="1"/>
  <c r="AJ431" i="31" s="1"/>
  <c r="AK431" i="31" s="1"/>
  <c r="AL431" i="31" s="1"/>
  <c r="AM431" i="31" s="1"/>
  <c r="AN431" i="31" s="1"/>
  <c r="AO431" i="31" s="1"/>
  <c r="AP431" i="31" s="1"/>
  <c r="AE537" i="49"/>
  <c r="AF537" i="49" s="1"/>
  <c r="AG537" i="49" s="1"/>
  <c r="AH537" i="49" s="1"/>
  <c r="AI537" i="49" s="1"/>
  <c r="AJ537" i="49" s="1"/>
  <c r="AK537" i="49" s="1"/>
  <c r="AL537" i="49" s="1"/>
  <c r="AM537" i="49" s="1"/>
  <c r="AN537" i="49" s="1"/>
  <c r="AO537" i="49" s="1"/>
  <c r="AP537" i="49" s="1"/>
  <c r="AE251" i="31"/>
  <c r="AF251" i="31" s="1"/>
  <c r="AG251" i="31" s="1"/>
  <c r="AH251" i="31" s="1"/>
  <c r="AI251" i="31" s="1"/>
  <c r="AJ251" i="31" s="1"/>
  <c r="AK251" i="31" s="1"/>
  <c r="AL251" i="31" s="1"/>
  <c r="AM251" i="31" s="1"/>
  <c r="AN251" i="31" s="1"/>
  <c r="AO251" i="31" s="1"/>
  <c r="AP251" i="31" s="1"/>
  <c r="AE291" i="31"/>
  <c r="AF291" i="31" s="1"/>
  <c r="AG291" i="31" s="1"/>
  <c r="AH291" i="31" s="1"/>
  <c r="AI291" i="31" s="1"/>
  <c r="AJ291" i="31" s="1"/>
  <c r="AK291" i="31" s="1"/>
  <c r="AL291" i="31" s="1"/>
  <c r="AM291" i="31" s="1"/>
  <c r="AN291" i="31" s="1"/>
  <c r="AO291" i="31" s="1"/>
  <c r="AP291" i="31" s="1"/>
  <c r="M531" i="49"/>
  <c r="H600" i="49"/>
  <c r="Y168" i="49"/>
  <c r="AE358" i="49"/>
  <c r="AF358" i="49" s="1"/>
  <c r="AG358" i="49" s="1"/>
  <c r="AH358" i="49" s="1"/>
  <c r="AI358" i="49" s="1"/>
  <c r="AJ358" i="49" s="1"/>
  <c r="AK358" i="49" s="1"/>
  <c r="AL358" i="49" s="1"/>
  <c r="AM358" i="49" s="1"/>
  <c r="AN358" i="49" s="1"/>
  <c r="AO358" i="49" s="1"/>
  <c r="AP358" i="49" s="1"/>
  <c r="AB553" i="31"/>
  <c r="AD459" i="31"/>
  <c r="AE461" i="49"/>
  <c r="AF461" i="49" s="1"/>
  <c r="AG461" i="49" s="1"/>
  <c r="AH461" i="49" s="1"/>
  <c r="AI461" i="49" s="1"/>
  <c r="AJ461" i="49" s="1"/>
  <c r="AK461" i="49" s="1"/>
  <c r="AL461" i="49" s="1"/>
  <c r="AM461" i="49" s="1"/>
  <c r="AN461" i="49" s="1"/>
  <c r="AO461" i="49" s="1"/>
  <c r="AP461" i="49" s="1"/>
  <c r="W416" i="31"/>
  <c r="AE283" i="49"/>
  <c r="AF283" i="49" s="1"/>
  <c r="AG283" i="49" s="1"/>
  <c r="AH283" i="49" s="1"/>
  <c r="AI283" i="49" s="1"/>
  <c r="AJ283" i="49" s="1"/>
  <c r="AK283" i="49" s="1"/>
  <c r="AL283" i="49" s="1"/>
  <c r="AM283" i="49" s="1"/>
  <c r="AN283" i="49" s="1"/>
  <c r="AO283" i="49" s="1"/>
  <c r="AP283" i="49" s="1"/>
  <c r="AE196" i="49"/>
  <c r="AF196" i="49" s="1"/>
  <c r="AG196" i="49" s="1"/>
  <c r="AH196" i="49" s="1"/>
  <c r="AI196" i="49" s="1"/>
  <c r="AJ196" i="49" s="1"/>
  <c r="AK196" i="49" s="1"/>
  <c r="AL196" i="49" s="1"/>
  <c r="AM196" i="49" s="1"/>
  <c r="AN196" i="49" s="1"/>
  <c r="AO196" i="49" s="1"/>
  <c r="AP196" i="49" s="1"/>
  <c r="AB62" i="49"/>
  <c r="AD127" i="31"/>
  <c r="Q565" i="49"/>
  <c r="AA109" i="31"/>
  <c r="Q459" i="49"/>
  <c r="ET27" i="62" s="1"/>
  <c r="W356" i="31"/>
  <c r="U328" i="49"/>
  <c r="AB9" i="31"/>
  <c r="Z109" i="49"/>
  <c r="U542" i="31"/>
  <c r="W561" i="49"/>
  <c r="AE602" i="49"/>
  <c r="AD347" i="31"/>
  <c r="Q459" i="31"/>
  <c r="EV27" i="62" s="1"/>
  <c r="EW27" i="62" s="1"/>
  <c r="I542" i="49"/>
  <c r="S347" i="49"/>
  <c r="N382" i="31"/>
  <c r="DF61" i="5" s="1"/>
  <c r="DG61" i="5" s="1"/>
  <c r="T26" i="49"/>
  <c r="I89" i="49"/>
  <c r="AL20" i="5" s="1"/>
  <c r="I609" i="49"/>
  <c r="AG610" i="49"/>
  <c r="Q127" i="49"/>
  <c r="ET25" i="5" s="1"/>
  <c r="U228" i="31"/>
  <c r="Q557" i="49"/>
  <c r="AE165" i="49"/>
  <c r="AF165" i="49" s="1"/>
  <c r="AG165" i="49" s="1"/>
  <c r="AH165" i="49" s="1"/>
  <c r="AI165" i="49" s="1"/>
  <c r="AJ165" i="49" s="1"/>
  <c r="AK165" i="49" s="1"/>
  <c r="AL165" i="49" s="1"/>
  <c r="AM165" i="49" s="1"/>
  <c r="AN165" i="49" s="1"/>
  <c r="AO165" i="49" s="1"/>
  <c r="AP165" i="49" s="1"/>
  <c r="X600" i="31"/>
  <c r="P136" i="49"/>
  <c r="EF26" i="5" s="1"/>
  <c r="Y609" i="49"/>
  <c r="AB47" i="49"/>
  <c r="R356" i="49"/>
  <c r="FH57" i="5" s="1"/>
  <c r="FH42" i="62" s="1"/>
  <c r="J600" i="31"/>
  <c r="J542" i="31"/>
  <c r="P267" i="31"/>
  <c r="EH41" i="5" s="1"/>
  <c r="EI41" i="5" s="1"/>
  <c r="AE22" i="31"/>
  <c r="AF22" i="31" s="1"/>
  <c r="AG22" i="31" s="1"/>
  <c r="AH22" i="31" s="1"/>
  <c r="AI22" i="31" s="1"/>
  <c r="AJ22" i="31" s="1"/>
  <c r="AK22" i="31" s="1"/>
  <c r="AL22" i="31" s="1"/>
  <c r="AM22" i="31" s="1"/>
  <c r="AN22" i="31" s="1"/>
  <c r="AO22" i="31" s="1"/>
  <c r="AP22" i="31" s="1"/>
  <c r="T393" i="31"/>
  <c r="AA557" i="49"/>
  <c r="V168" i="49"/>
  <c r="V157" i="49" s="1"/>
  <c r="AE463" i="31"/>
  <c r="AF463" i="31" s="1"/>
  <c r="AG463" i="31" s="1"/>
  <c r="AH463" i="31" s="1"/>
  <c r="AI463" i="31" s="1"/>
  <c r="AJ463" i="31" s="1"/>
  <c r="AK463" i="31" s="1"/>
  <c r="AL463" i="31" s="1"/>
  <c r="AM463" i="31" s="1"/>
  <c r="AN463" i="31" s="1"/>
  <c r="AO463" i="31" s="1"/>
  <c r="AP463" i="31" s="1"/>
  <c r="Y136" i="49"/>
  <c r="AE413" i="31"/>
  <c r="AF413" i="31" s="1"/>
  <c r="AG413" i="31" s="1"/>
  <c r="AH413" i="31" s="1"/>
  <c r="AI413" i="31" s="1"/>
  <c r="AJ413" i="31" s="1"/>
  <c r="AK413" i="31" s="1"/>
  <c r="AL413" i="31" s="1"/>
  <c r="AM413" i="31" s="1"/>
  <c r="AN413" i="31" s="1"/>
  <c r="AO413" i="31" s="1"/>
  <c r="AP413" i="31" s="1"/>
  <c r="J442" i="49"/>
  <c r="AZ26" i="62" s="1"/>
  <c r="AZ29" i="62" s="1"/>
  <c r="S356" i="49"/>
  <c r="O442" i="31"/>
  <c r="DT26" i="62" s="1"/>
  <c r="J188" i="31"/>
  <c r="BB35" i="5" s="1"/>
  <c r="V178" i="49"/>
  <c r="X35" i="31"/>
  <c r="U553" i="49"/>
  <c r="AE195" i="31"/>
  <c r="AF195" i="31" s="1"/>
  <c r="AG195" i="31" s="1"/>
  <c r="AH195" i="31" s="1"/>
  <c r="AI195" i="31" s="1"/>
  <c r="AJ195" i="31" s="1"/>
  <c r="AK195" i="31" s="1"/>
  <c r="AL195" i="31" s="1"/>
  <c r="AM195" i="31" s="1"/>
  <c r="AN195" i="31" s="1"/>
  <c r="AO195" i="31" s="1"/>
  <c r="AP195" i="31" s="1"/>
  <c r="Q256" i="31"/>
  <c r="EV40" i="5" s="1"/>
  <c r="AE494" i="31"/>
  <c r="AF494" i="31" s="1"/>
  <c r="AG494" i="31" s="1"/>
  <c r="AH494" i="31" s="1"/>
  <c r="AI494" i="31" s="1"/>
  <c r="AJ494" i="31" s="1"/>
  <c r="AK494" i="31" s="1"/>
  <c r="AL494" i="31" s="1"/>
  <c r="AM494" i="31" s="1"/>
  <c r="AN494" i="31" s="1"/>
  <c r="AO494" i="31" s="1"/>
  <c r="AP494" i="31" s="1"/>
  <c r="K561" i="49"/>
  <c r="M382" i="31"/>
  <c r="CR61" i="5" s="1"/>
  <c r="CS61" i="5" s="1"/>
  <c r="L340" i="31"/>
  <c r="CD53" i="5" s="1"/>
  <c r="AC542" i="49"/>
  <c r="Y188" i="31"/>
  <c r="N286" i="49"/>
  <c r="DD42" i="5" s="1"/>
  <c r="AE489" i="49"/>
  <c r="AF489" i="49" s="1"/>
  <c r="AG489" i="49" s="1"/>
  <c r="AH489" i="49" s="1"/>
  <c r="AI489" i="49" s="1"/>
  <c r="AJ489" i="49" s="1"/>
  <c r="AK489" i="49" s="1"/>
  <c r="AL489" i="49" s="1"/>
  <c r="AM489" i="49" s="1"/>
  <c r="AN489" i="49" s="1"/>
  <c r="AO489" i="49" s="1"/>
  <c r="AP489" i="49" s="1"/>
  <c r="K153" i="49"/>
  <c r="BN28" i="5" s="1"/>
  <c r="K71" i="49"/>
  <c r="BN18" i="5" s="1"/>
  <c r="R127" i="49"/>
  <c r="FH25" i="5" s="1"/>
  <c r="AE130" i="49"/>
  <c r="AF130" i="49" s="1"/>
  <c r="AG130" i="49" s="1"/>
  <c r="AH130" i="49" s="1"/>
  <c r="AI130" i="49" s="1"/>
  <c r="AJ130" i="49" s="1"/>
  <c r="AK130" i="49" s="1"/>
  <c r="AL130" i="49" s="1"/>
  <c r="AM130" i="49" s="1"/>
  <c r="AN130" i="49" s="1"/>
  <c r="AO130" i="49" s="1"/>
  <c r="AP130" i="49" s="1"/>
  <c r="Z168" i="49"/>
  <c r="AE444" i="49"/>
  <c r="AF444" i="49" s="1"/>
  <c r="AG444" i="49" s="1"/>
  <c r="AH444" i="49" s="1"/>
  <c r="X557" i="31"/>
  <c r="AE201" i="31"/>
  <c r="AF201" i="31" s="1"/>
  <c r="AG201" i="31" s="1"/>
  <c r="AH201" i="31" s="1"/>
  <c r="AI201" i="31" s="1"/>
  <c r="AJ201" i="31" s="1"/>
  <c r="AK201" i="31" s="1"/>
  <c r="AL201" i="31" s="1"/>
  <c r="AM201" i="31" s="1"/>
  <c r="AN201" i="31" s="1"/>
  <c r="AO201" i="31" s="1"/>
  <c r="AP201" i="31" s="1"/>
  <c r="AE64" i="49"/>
  <c r="AF64" i="49" s="1"/>
  <c r="AG64" i="49" s="1"/>
  <c r="AH64" i="49" s="1"/>
  <c r="AI64" i="49" s="1"/>
  <c r="AJ64" i="49" s="1"/>
  <c r="AK64" i="49" s="1"/>
  <c r="AL64" i="49" s="1"/>
  <c r="AM64" i="49" s="1"/>
  <c r="AN64" i="49" s="1"/>
  <c r="AO64" i="49" s="1"/>
  <c r="AP64" i="49" s="1"/>
  <c r="K553" i="49"/>
  <c r="AF143" i="49"/>
  <c r="AG143" i="49" s="1"/>
  <c r="AH143" i="49" s="1"/>
  <c r="AI143" i="49" s="1"/>
  <c r="AJ143" i="49" s="1"/>
  <c r="AK143" i="49" s="1"/>
  <c r="AL143" i="49" s="1"/>
  <c r="AM143" i="49" s="1"/>
  <c r="AN143" i="49" s="1"/>
  <c r="AO143" i="49" s="1"/>
  <c r="AP143" i="49" s="1"/>
  <c r="AE30" i="49"/>
  <c r="AF30" i="49" s="1"/>
  <c r="AG30" i="49" s="1"/>
  <c r="AH30" i="49" s="1"/>
  <c r="AI30" i="49" s="1"/>
  <c r="AJ30" i="49" s="1"/>
  <c r="AK30" i="49" s="1"/>
  <c r="AL30" i="49" s="1"/>
  <c r="AM30" i="49" s="1"/>
  <c r="AN30" i="49" s="1"/>
  <c r="AO30" i="49" s="1"/>
  <c r="AP30" i="49" s="1"/>
  <c r="AE618" i="49"/>
  <c r="AF618" i="49" s="1"/>
  <c r="AG618" i="49" s="1"/>
  <c r="AH618" i="49" s="1"/>
  <c r="AI618" i="49" s="1"/>
  <c r="AJ618" i="49" s="1"/>
  <c r="AK618" i="49" s="1"/>
  <c r="AL618" i="49" s="1"/>
  <c r="AM618" i="49" s="1"/>
  <c r="AN618" i="49" s="1"/>
  <c r="AO618" i="49" s="1"/>
  <c r="AP618" i="49" s="1"/>
  <c r="V377" i="49"/>
  <c r="AE167" i="49"/>
  <c r="AF167" i="49" s="1"/>
  <c r="AG167" i="49" s="1"/>
  <c r="AH167" i="49" s="1"/>
  <c r="AI167" i="49" s="1"/>
  <c r="AJ167" i="49" s="1"/>
  <c r="AK167" i="49" s="1"/>
  <c r="AL167" i="49" s="1"/>
  <c r="AM167" i="49" s="1"/>
  <c r="AN167" i="49" s="1"/>
  <c r="AO167" i="49" s="1"/>
  <c r="AP167" i="49" s="1"/>
  <c r="O487" i="49"/>
  <c r="DR33" i="62" s="1"/>
  <c r="I178" i="49"/>
  <c r="R256" i="31"/>
  <c r="FJ40" i="5" s="1"/>
  <c r="FK40" i="5" s="1"/>
  <c r="L569" i="31"/>
  <c r="O565" i="49"/>
  <c r="L416" i="31"/>
  <c r="CD22" i="62" s="1"/>
  <c r="CE22" i="62" s="1"/>
  <c r="AB306" i="49"/>
  <c r="AE458" i="49"/>
  <c r="AF458" i="49" s="1"/>
  <c r="AG458" i="49" s="1"/>
  <c r="AH458" i="49" s="1"/>
  <c r="AI458" i="49" s="1"/>
  <c r="AJ458" i="49" s="1"/>
  <c r="AK458" i="49" s="1"/>
  <c r="AL458" i="49" s="1"/>
  <c r="AM458" i="49" s="1"/>
  <c r="AN458" i="49" s="1"/>
  <c r="AO458" i="49" s="1"/>
  <c r="AP458" i="49" s="1"/>
  <c r="N542" i="49"/>
  <c r="AE150" i="49"/>
  <c r="AF150" i="49" s="1"/>
  <c r="AG150" i="49" s="1"/>
  <c r="AH150" i="49" s="1"/>
  <c r="AI150" i="49" s="1"/>
  <c r="AJ150" i="49" s="1"/>
  <c r="AK150" i="49" s="1"/>
  <c r="AL150" i="49" s="1"/>
  <c r="AM150" i="49" s="1"/>
  <c r="AN150" i="49" s="1"/>
  <c r="AO150" i="49" s="1"/>
  <c r="AP150" i="49" s="1"/>
  <c r="I553" i="49"/>
  <c r="N609" i="31"/>
  <c r="AE27" i="31"/>
  <c r="G26" i="31"/>
  <c r="Y71" i="49"/>
  <c r="K178" i="49"/>
  <c r="AF231" i="49"/>
  <c r="AG231" i="49" s="1"/>
  <c r="U416" i="31"/>
  <c r="AF73" i="31"/>
  <c r="AG73" i="31" s="1"/>
  <c r="AH73" i="31" s="1"/>
  <c r="AI73" i="31" s="1"/>
  <c r="AJ73" i="31" s="1"/>
  <c r="AK73" i="31" s="1"/>
  <c r="AL73" i="31" s="1"/>
  <c r="AM73" i="31" s="1"/>
  <c r="AN73" i="31" s="1"/>
  <c r="AO73" i="31" s="1"/>
  <c r="AP73" i="31" s="1"/>
  <c r="Z442" i="49"/>
  <c r="H286" i="31"/>
  <c r="Z42" i="5" s="1"/>
  <c r="AE351" i="49"/>
  <c r="AF351" i="49" s="1"/>
  <c r="AG351" i="49" s="1"/>
  <c r="AH351" i="49" s="1"/>
  <c r="AI351" i="49" s="1"/>
  <c r="AJ351" i="49" s="1"/>
  <c r="AK351" i="49" s="1"/>
  <c r="AL351" i="49" s="1"/>
  <c r="AM351" i="49" s="1"/>
  <c r="AN351" i="49" s="1"/>
  <c r="AO351" i="49" s="1"/>
  <c r="AP351" i="49" s="1"/>
  <c r="AH166" i="31"/>
  <c r="N144" i="49"/>
  <c r="DD27" i="5" s="1"/>
  <c r="AC609" i="31"/>
  <c r="AE465" i="49"/>
  <c r="AF465" i="49" s="1"/>
  <c r="AG465" i="49" s="1"/>
  <c r="AH465" i="49" s="1"/>
  <c r="AI465" i="49" s="1"/>
  <c r="AJ465" i="49" s="1"/>
  <c r="AK465" i="49" s="1"/>
  <c r="AL465" i="49" s="1"/>
  <c r="AM465" i="49" s="1"/>
  <c r="AN465" i="49" s="1"/>
  <c r="AO465" i="49" s="1"/>
  <c r="AP465" i="49" s="1"/>
  <c r="P553" i="31"/>
  <c r="H109" i="31"/>
  <c r="AE33" i="49"/>
  <c r="AF33" i="49" s="1"/>
  <c r="AG33" i="49" s="1"/>
  <c r="AH33" i="49" s="1"/>
  <c r="AI33" i="49" s="1"/>
  <c r="AJ33" i="49" s="1"/>
  <c r="AK33" i="49" s="1"/>
  <c r="AL33" i="49" s="1"/>
  <c r="AM33" i="49" s="1"/>
  <c r="AN33" i="49" s="1"/>
  <c r="AO33" i="49" s="1"/>
  <c r="AP33" i="49" s="1"/>
  <c r="AE360" i="31"/>
  <c r="AF360" i="31" s="1"/>
  <c r="AG360" i="31" s="1"/>
  <c r="AH360" i="31" s="1"/>
  <c r="AI360" i="31" s="1"/>
  <c r="AJ360" i="31" s="1"/>
  <c r="AK360" i="31" s="1"/>
  <c r="AL360" i="31" s="1"/>
  <c r="AM360" i="31" s="1"/>
  <c r="AN360" i="31" s="1"/>
  <c r="AO360" i="31" s="1"/>
  <c r="AP360" i="31" s="1"/>
  <c r="AE66" i="49"/>
  <c r="AF66" i="49" s="1"/>
  <c r="AG66" i="49" s="1"/>
  <c r="AH66" i="49" s="1"/>
  <c r="AI66" i="49" s="1"/>
  <c r="AJ66" i="49" s="1"/>
  <c r="AK66" i="49" s="1"/>
  <c r="AL66" i="49" s="1"/>
  <c r="AM66" i="49" s="1"/>
  <c r="AN66" i="49" s="1"/>
  <c r="AO66" i="49" s="1"/>
  <c r="AP66" i="49" s="1"/>
  <c r="P188" i="49"/>
  <c r="EF35" i="5" s="1"/>
  <c r="U219" i="31"/>
  <c r="AA293" i="49"/>
  <c r="J80" i="31"/>
  <c r="BB19" i="5" s="1"/>
  <c r="BC19" i="5" s="1"/>
  <c r="AE29" i="49"/>
  <c r="AF29" i="49" s="1"/>
  <c r="AG29" i="49" s="1"/>
  <c r="AH29" i="49" s="1"/>
  <c r="AI29" i="49" s="1"/>
  <c r="AJ29" i="49" s="1"/>
  <c r="AK29" i="49" s="1"/>
  <c r="AL29" i="49" s="1"/>
  <c r="AM29" i="49" s="1"/>
  <c r="AN29" i="49" s="1"/>
  <c r="AO29" i="49" s="1"/>
  <c r="AP29" i="49" s="1"/>
  <c r="N144" i="31"/>
  <c r="DF27" i="5" s="1"/>
  <c r="DG27" i="5" s="1"/>
  <c r="P584" i="49"/>
  <c r="H71" i="31"/>
  <c r="Z18" i="5" s="1"/>
  <c r="AA18" i="5" s="1"/>
  <c r="N80" i="49"/>
  <c r="DD19" i="5" s="1"/>
  <c r="S604" i="31"/>
  <c r="L47" i="49"/>
  <c r="AE522" i="49"/>
  <c r="AF522" i="49" s="1"/>
  <c r="AG522" i="49" s="1"/>
  <c r="AH522" i="49" s="1"/>
  <c r="AI522" i="49" s="1"/>
  <c r="AJ522" i="49" s="1"/>
  <c r="AK522" i="49" s="1"/>
  <c r="AL522" i="49" s="1"/>
  <c r="AM522" i="49" s="1"/>
  <c r="AN522" i="49" s="1"/>
  <c r="AO522" i="49" s="1"/>
  <c r="AP522" i="49" s="1"/>
  <c r="I80" i="31"/>
  <c r="AN19" i="5" s="1"/>
  <c r="AO19" i="5" s="1"/>
  <c r="AE585" i="31"/>
  <c r="G584" i="31"/>
  <c r="Q188" i="49"/>
  <c r="ET35" i="5" s="1"/>
  <c r="T328" i="49"/>
  <c r="N219" i="49"/>
  <c r="DD37" i="5" s="1"/>
  <c r="AF468" i="49"/>
  <c r="AG468" i="49" s="1"/>
  <c r="AH468" i="49" s="1"/>
  <c r="AI468" i="49" s="1"/>
  <c r="AJ468" i="49" s="1"/>
  <c r="AK468" i="49" s="1"/>
  <c r="AL468" i="49" s="1"/>
  <c r="AM468" i="49" s="1"/>
  <c r="AN468" i="49" s="1"/>
  <c r="AO468" i="49" s="1"/>
  <c r="AP468" i="49" s="1"/>
  <c r="AF215" i="49"/>
  <c r="AG215" i="49" s="1"/>
  <c r="AH215" i="49" s="1"/>
  <c r="AI215" i="49" s="1"/>
  <c r="AJ215" i="49" s="1"/>
  <c r="AK215" i="49" s="1"/>
  <c r="AL215" i="49" s="1"/>
  <c r="AM215" i="49" s="1"/>
  <c r="AN215" i="49" s="1"/>
  <c r="AO215" i="49" s="1"/>
  <c r="AP215" i="49" s="1"/>
  <c r="M366" i="31"/>
  <c r="CR58" i="5" s="1"/>
  <c r="CS58" i="5" s="1"/>
  <c r="J98" i="31"/>
  <c r="BB21" i="5" s="1"/>
  <c r="BC21" i="5" s="1"/>
  <c r="AE205" i="49"/>
  <c r="AF205" i="49" s="1"/>
  <c r="AG205" i="49" s="1"/>
  <c r="AH205" i="49" s="1"/>
  <c r="AI205" i="49" s="1"/>
  <c r="AJ205" i="49" s="1"/>
  <c r="AK205" i="49" s="1"/>
  <c r="AL205" i="49" s="1"/>
  <c r="AM205" i="49" s="1"/>
  <c r="AN205" i="49" s="1"/>
  <c r="AO205" i="49" s="1"/>
  <c r="AP205" i="49" s="1"/>
  <c r="AE167" i="31"/>
  <c r="AF167" i="31" s="1"/>
  <c r="AG167" i="31" s="1"/>
  <c r="AH167" i="31" s="1"/>
  <c r="AI167" i="31" s="1"/>
  <c r="AJ167" i="31" s="1"/>
  <c r="AK167" i="31" s="1"/>
  <c r="AL167" i="31" s="1"/>
  <c r="AM167" i="31" s="1"/>
  <c r="AN167" i="31" s="1"/>
  <c r="AO167" i="31" s="1"/>
  <c r="AP167" i="31" s="1"/>
  <c r="AE129" i="49"/>
  <c r="AF129" i="49" s="1"/>
  <c r="AG129" i="49" s="1"/>
  <c r="AH129" i="49" s="1"/>
  <c r="AI129" i="49" s="1"/>
  <c r="AJ129" i="49" s="1"/>
  <c r="AK129" i="49" s="1"/>
  <c r="AL129" i="49" s="1"/>
  <c r="AM129" i="49" s="1"/>
  <c r="AN129" i="49" s="1"/>
  <c r="AO129" i="49" s="1"/>
  <c r="AP129" i="49" s="1"/>
  <c r="Y9" i="49"/>
  <c r="AC393" i="49"/>
  <c r="AE210" i="31"/>
  <c r="AF210" i="31" s="1"/>
  <c r="AG210" i="31" s="1"/>
  <c r="AH210" i="31" s="1"/>
  <c r="AI210" i="31" s="1"/>
  <c r="AJ210" i="31" s="1"/>
  <c r="AK210" i="31" s="1"/>
  <c r="AL210" i="31" s="1"/>
  <c r="AM210" i="31" s="1"/>
  <c r="AN210" i="31" s="1"/>
  <c r="AO210" i="31" s="1"/>
  <c r="AP210" i="31" s="1"/>
  <c r="I153" i="31"/>
  <c r="AN28" i="5" s="1"/>
  <c r="AO28" i="5" s="1"/>
  <c r="Z144" i="31"/>
  <c r="H459" i="49"/>
  <c r="X27" i="62" s="1"/>
  <c r="AE556" i="31"/>
  <c r="AF556" i="31" s="1"/>
  <c r="AG556" i="31" s="1"/>
  <c r="S609" i="49"/>
  <c r="I565" i="49"/>
  <c r="AE475" i="31"/>
  <c r="AF475" i="31" s="1"/>
  <c r="AG475" i="31" s="1"/>
  <c r="AH475" i="31" s="1"/>
  <c r="AI475" i="31" s="1"/>
  <c r="AJ475" i="31" s="1"/>
  <c r="AK475" i="31" s="1"/>
  <c r="AL475" i="31" s="1"/>
  <c r="AM475" i="31" s="1"/>
  <c r="AN475" i="31" s="1"/>
  <c r="AO475" i="31" s="1"/>
  <c r="AP475" i="31" s="1"/>
  <c r="Z469" i="31"/>
  <c r="Y153" i="31"/>
  <c r="AE227" i="31"/>
  <c r="AF227" i="31" s="1"/>
  <c r="AG227" i="31" s="1"/>
  <c r="AH227" i="31" s="1"/>
  <c r="AI227" i="31" s="1"/>
  <c r="AJ227" i="31" s="1"/>
  <c r="AK227" i="31" s="1"/>
  <c r="AL227" i="31" s="1"/>
  <c r="AM227" i="31" s="1"/>
  <c r="AN227" i="31" s="1"/>
  <c r="AO227" i="31" s="1"/>
  <c r="AP227" i="31" s="1"/>
  <c r="J62" i="31"/>
  <c r="BB17" i="5" s="1"/>
  <c r="BC17" i="5" s="1"/>
  <c r="AA347" i="31"/>
  <c r="V377" i="31"/>
  <c r="K553" i="31"/>
  <c r="G561" i="31"/>
  <c r="AE562" i="31"/>
  <c r="AE583" i="31"/>
  <c r="AF583" i="31" s="1"/>
  <c r="AG583" i="31" s="1"/>
  <c r="AH583" i="31" s="1"/>
  <c r="AI583" i="31" s="1"/>
  <c r="AJ583" i="31" s="1"/>
  <c r="AK583" i="31" s="1"/>
  <c r="AL583" i="31" s="1"/>
  <c r="AM583" i="31" s="1"/>
  <c r="AN583" i="31" s="1"/>
  <c r="AO583" i="31" s="1"/>
  <c r="AP583" i="31" s="1"/>
  <c r="S459" i="49"/>
  <c r="X256" i="31"/>
  <c r="AK430" i="49"/>
  <c r="AL430" i="49" s="1"/>
  <c r="AM430" i="49" s="1"/>
  <c r="AE587" i="49"/>
  <c r="AF587" i="49" s="1"/>
  <c r="AG587" i="49" s="1"/>
  <c r="AH587" i="49" s="1"/>
  <c r="AI587" i="49" s="1"/>
  <c r="AJ587" i="49" s="1"/>
  <c r="AK587" i="49" s="1"/>
  <c r="AL587" i="49" s="1"/>
  <c r="AM587" i="49" s="1"/>
  <c r="AN587" i="49" s="1"/>
  <c r="AO587" i="49" s="1"/>
  <c r="AP587" i="49" s="1"/>
  <c r="N208" i="31"/>
  <c r="DF36" i="5" s="1"/>
  <c r="K286" i="31"/>
  <c r="BP42" i="5" s="1"/>
  <c r="AB71" i="49"/>
  <c r="T293" i="31"/>
  <c r="AA315" i="31"/>
  <c r="H89" i="31"/>
  <c r="Z20" i="5" s="1"/>
  <c r="AA20" i="5" s="1"/>
  <c r="AD208" i="49"/>
  <c r="R604" i="31"/>
  <c r="H531" i="31"/>
  <c r="AB153" i="49"/>
  <c r="AC609" i="49"/>
  <c r="R614" i="49"/>
  <c r="AB267" i="49"/>
  <c r="T482" i="49"/>
  <c r="AD80" i="49"/>
  <c r="AD604" i="49"/>
  <c r="X89" i="31"/>
  <c r="V9" i="49"/>
  <c r="V46" i="49" s="1"/>
  <c r="AD340" i="31"/>
  <c r="G47" i="31"/>
  <c r="AE48" i="31"/>
  <c r="AE135" i="49"/>
  <c r="AF135" i="49" s="1"/>
  <c r="AG135" i="49" s="1"/>
  <c r="AH135" i="49" s="1"/>
  <c r="AI135" i="49" s="1"/>
  <c r="AJ135" i="49" s="1"/>
  <c r="AK135" i="49" s="1"/>
  <c r="AL135" i="49" s="1"/>
  <c r="AM135" i="49" s="1"/>
  <c r="AN135" i="49" s="1"/>
  <c r="AO135" i="49" s="1"/>
  <c r="AP135" i="49" s="1"/>
  <c r="AD26" i="49"/>
  <c r="P158" i="31"/>
  <c r="Z26" i="31"/>
  <c r="S321" i="49"/>
  <c r="R98" i="49"/>
  <c r="FH21" i="5" s="1"/>
  <c r="J238" i="49"/>
  <c r="AZ39" i="5" s="1"/>
  <c r="AD144" i="49"/>
  <c r="AE419" i="49"/>
  <c r="AF419" i="49" s="1"/>
  <c r="AG419" i="49" s="1"/>
  <c r="AH419" i="49" s="1"/>
  <c r="AI419" i="49" s="1"/>
  <c r="AJ419" i="49" s="1"/>
  <c r="AK419" i="49" s="1"/>
  <c r="AL419" i="49" s="1"/>
  <c r="AM419" i="49" s="1"/>
  <c r="AN419" i="49" s="1"/>
  <c r="AO419" i="49" s="1"/>
  <c r="AP419" i="49" s="1"/>
  <c r="L89" i="49"/>
  <c r="AE403" i="31"/>
  <c r="AF403" i="31" s="1"/>
  <c r="AG403" i="31" s="1"/>
  <c r="AH403" i="31" s="1"/>
  <c r="AI403" i="31" s="1"/>
  <c r="AJ403" i="31" s="1"/>
  <c r="AK403" i="31" s="1"/>
  <c r="AL403" i="31" s="1"/>
  <c r="AM403" i="31" s="1"/>
  <c r="AN403" i="31" s="1"/>
  <c r="AO403" i="31" s="1"/>
  <c r="AP403" i="31" s="1"/>
  <c r="AE437" i="31"/>
  <c r="AF437" i="31" s="1"/>
  <c r="AG437" i="31" s="1"/>
  <c r="AH437" i="31" s="1"/>
  <c r="AI437" i="31" s="1"/>
  <c r="AJ437" i="31" s="1"/>
  <c r="AK437" i="31" s="1"/>
  <c r="AL437" i="31" s="1"/>
  <c r="AM437" i="31" s="1"/>
  <c r="AN437" i="31" s="1"/>
  <c r="AO437" i="31" s="1"/>
  <c r="AP437" i="31" s="1"/>
  <c r="AD256" i="31"/>
  <c r="V321" i="31"/>
  <c r="O228" i="31"/>
  <c r="DT38" i="5" s="1"/>
  <c r="K366" i="31"/>
  <c r="BP58" i="5" s="1"/>
  <c r="BQ58" i="5" s="1"/>
  <c r="M393" i="49"/>
  <c r="CP19" i="62" s="1"/>
  <c r="AE251" i="49"/>
  <c r="AF251" i="49" s="1"/>
  <c r="AG251" i="49" s="1"/>
  <c r="AH251" i="49" s="1"/>
  <c r="AI251" i="49" s="1"/>
  <c r="AJ251" i="49" s="1"/>
  <c r="AK251" i="49" s="1"/>
  <c r="AL251" i="49" s="1"/>
  <c r="AM251" i="49" s="1"/>
  <c r="AN251" i="49" s="1"/>
  <c r="AO251" i="49" s="1"/>
  <c r="AP251" i="49" s="1"/>
  <c r="I267" i="31"/>
  <c r="AB136" i="49"/>
  <c r="AE423" i="49"/>
  <c r="AF423" i="49" s="1"/>
  <c r="AG423" i="49" s="1"/>
  <c r="AH423" i="49" s="1"/>
  <c r="AI423" i="49" s="1"/>
  <c r="AJ423" i="49" s="1"/>
  <c r="AK423" i="49" s="1"/>
  <c r="AL423" i="49" s="1"/>
  <c r="AM423" i="49" s="1"/>
  <c r="AN423" i="49" s="1"/>
  <c r="AO423" i="49" s="1"/>
  <c r="AP423" i="49" s="1"/>
  <c r="V267" i="49"/>
  <c r="AE198" i="49"/>
  <c r="AF198" i="49" s="1"/>
  <c r="AG198" i="49" s="1"/>
  <c r="AH198" i="49" s="1"/>
  <c r="AI198" i="49" s="1"/>
  <c r="AJ198" i="49" s="1"/>
  <c r="AK198" i="49" s="1"/>
  <c r="AL198" i="49" s="1"/>
  <c r="AM198" i="49" s="1"/>
  <c r="AN198" i="49" s="1"/>
  <c r="AO198" i="49" s="1"/>
  <c r="AP198" i="49" s="1"/>
  <c r="T328" i="31"/>
  <c r="V442" i="31"/>
  <c r="AE576" i="31"/>
  <c r="AF576" i="31" s="1"/>
  <c r="AG576" i="31" s="1"/>
  <c r="AH576" i="31" s="1"/>
  <c r="AI576" i="31" s="1"/>
  <c r="AJ576" i="31" s="1"/>
  <c r="AK576" i="31" s="1"/>
  <c r="AL576" i="31" s="1"/>
  <c r="AM576" i="31" s="1"/>
  <c r="AN576" i="31" s="1"/>
  <c r="AO576" i="31" s="1"/>
  <c r="AP576" i="31" s="1"/>
  <c r="Y89" i="49"/>
  <c r="AE63" i="49"/>
  <c r="G62" i="49"/>
  <c r="Z286" i="31"/>
  <c r="AB168" i="49"/>
  <c r="O238" i="49"/>
  <c r="DR39" i="5" s="1"/>
  <c r="AE34" i="49"/>
  <c r="AF34" i="49" s="1"/>
  <c r="AG34" i="49" s="1"/>
  <c r="AH34" i="49" s="1"/>
  <c r="AI34" i="49" s="1"/>
  <c r="AJ34" i="49" s="1"/>
  <c r="AK34" i="49" s="1"/>
  <c r="AL34" i="49" s="1"/>
  <c r="AM34" i="49" s="1"/>
  <c r="AN34" i="49" s="1"/>
  <c r="AO34" i="49" s="1"/>
  <c r="AP34" i="49" s="1"/>
  <c r="AE103" i="49"/>
  <c r="AF103" i="49" s="1"/>
  <c r="AG103" i="49" s="1"/>
  <c r="AH103" i="49" s="1"/>
  <c r="AI103" i="49" s="1"/>
  <c r="AJ103" i="49" s="1"/>
  <c r="AK103" i="49" s="1"/>
  <c r="AL103" i="49" s="1"/>
  <c r="AM103" i="49" s="1"/>
  <c r="AN103" i="49" s="1"/>
  <c r="AO103" i="49" s="1"/>
  <c r="AP103" i="49" s="1"/>
  <c r="AE203" i="31"/>
  <c r="AF203" i="31" s="1"/>
  <c r="AG203" i="31" s="1"/>
  <c r="AH203" i="31" s="1"/>
  <c r="AI203" i="31" s="1"/>
  <c r="AJ203" i="31" s="1"/>
  <c r="AK203" i="31" s="1"/>
  <c r="AL203" i="31" s="1"/>
  <c r="AM203" i="31" s="1"/>
  <c r="AN203" i="31" s="1"/>
  <c r="AO203" i="31" s="1"/>
  <c r="AP203" i="31" s="1"/>
  <c r="N168" i="31"/>
  <c r="DF32" i="5" s="1"/>
  <c r="DG32" i="5" s="1"/>
  <c r="AB356" i="31"/>
  <c r="J267" i="31"/>
  <c r="BB41" i="5" s="1"/>
  <c r="AE611" i="31"/>
  <c r="AF611" i="31" s="1"/>
  <c r="AG611" i="31" s="1"/>
  <c r="AH611" i="31" s="1"/>
  <c r="AI611" i="31" s="1"/>
  <c r="AJ611" i="31" s="1"/>
  <c r="AK611" i="31" s="1"/>
  <c r="AL611" i="31" s="1"/>
  <c r="AM611" i="31" s="1"/>
  <c r="AN611" i="31" s="1"/>
  <c r="AO611" i="31" s="1"/>
  <c r="AP611" i="31" s="1"/>
  <c r="M565" i="31"/>
  <c r="AE112" i="31"/>
  <c r="AF112" i="31" s="1"/>
  <c r="AG112" i="31" s="1"/>
  <c r="AH112" i="31" s="1"/>
  <c r="AI112" i="31" s="1"/>
  <c r="AJ112" i="31" s="1"/>
  <c r="AK112" i="31" s="1"/>
  <c r="AL112" i="31" s="1"/>
  <c r="AM112" i="31" s="1"/>
  <c r="AN112" i="31" s="1"/>
  <c r="AO112" i="31" s="1"/>
  <c r="AP112" i="31" s="1"/>
  <c r="H9" i="31"/>
  <c r="I136" i="49"/>
  <c r="AL26" i="5" s="1"/>
  <c r="AE197" i="31"/>
  <c r="AF197" i="31" s="1"/>
  <c r="AG197" i="31" s="1"/>
  <c r="AH197" i="31" s="1"/>
  <c r="AI197" i="31" s="1"/>
  <c r="AJ197" i="31" s="1"/>
  <c r="AK197" i="31" s="1"/>
  <c r="AL197" i="31" s="1"/>
  <c r="AM197" i="31" s="1"/>
  <c r="AN197" i="31" s="1"/>
  <c r="AO197" i="31" s="1"/>
  <c r="AP197" i="31" s="1"/>
  <c r="O382" i="31"/>
  <c r="DT61" i="5" s="1"/>
  <c r="DU61" i="5" s="1"/>
  <c r="X208" i="31"/>
  <c r="Q127" i="31"/>
  <c r="EV25" i="5" s="1"/>
  <c r="EW25" i="5" s="1"/>
  <c r="V267" i="31"/>
  <c r="AE28" i="49"/>
  <c r="AF28" i="49" s="1"/>
  <c r="AG28" i="49" s="1"/>
  <c r="AH28" i="49" s="1"/>
  <c r="AI28" i="49" s="1"/>
  <c r="AJ28" i="49" s="1"/>
  <c r="AK28" i="49" s="1"/>
  <c r="AL28" i="49" s="1"/>
  <c r="AM28" i="49" s="1"/>
  <c r="AN28" i="49" s="1"/>
  <c r="AO28" i="49" s="1"/>
  <c r="AP28" i="49" s="1"/>
  <c r="I158" i="31"/>
  <c r="AE544" i="49"/>
  <c r="AF544" i="49" s="1"/>
  <c r="AG544" i="49" s="1"/>
  <c r="AH544" i="49" s="1"/>
  <c r="AI544" i="49" s="1"/>
  <c r="AJ544" i="49" s="1"/>
  <c r="AK544" i="49" s="1"/>
  <c r="AL544" i="49" s="1"/>
  <c r="AM544" i="49" s="1"/>
  <c r="AN544" i="49" s="1"/>
  <c r="AO544" i="49" s="1"/>
  <c r="AP544" i="49" s="1"/>
  <c r="G256" i="31"/>
  <c r="L40" i="5" s="1"/>
  <c r="AE257" i="31"/>
  <c r="AC293" i="49"/>
  <c r="AE502" i="49"/>
  <c r="AF502" i="49" s="1"/>
  <c r="AG502" i="49" s="1"/>
  <c r="AH502" i="49" s="1"/>
  <c r="AI502" i="49" s="1"/>
  <c r="AJ502" i="49" s="1"/>
  <c r="AK502" i="49" s="1"/>
  <c r="AL502" i="49" s="1"/>
  <c r="AM502" i="49" s="1"/>
  <c r="AN502" i="49" s="1"/>
  <c r="AO502" i="49" s="1"/>
  <c r="AP502" i="49" s="1"/>
  <c r="AE88" i="49"/>
  <c r="AF88" i="49" s="1"/>
  <c r="AG88" i="49" s="1"/>
  <c r="AH88" i="49" s="1"/>
  <c r="AI88" i="49" s="1"/>
  <c r="AJ88" i="49" s="1"/>
  <c r="AK88" i="49" s="1"/>
  <c r="AL88" i="49" s="1"/>
  <c r="AM88" i="49" s="1"/>
  <c r="AN88" i="49" s="1"/>
  <c r="AO88" i="49" s="1"/>
  <c r="AP88" i="49" s="1"/>
  <c r="K565" i="49"/>
  <c r="I9" i="49"/>
  <c r="I46" i="49" s="1"/>
  <c r="AA267" i="49"/>
  <c r="H238" i="49"/>
  <c r="X39" i="5" s="1"/>
  <c r="AF239" i="49"/>
  <c r="Z542" i="31"/>
  <c r="R306" i="31"/>
  <c r="FJ46" i="5" s="1"/>
  <c r="FK46" i="5" s="1"/>
  <c r="G469" i="49"/>
  <c r="J28" i="62" s="1"/>
  <c r="AE470" i="49"/>
  <c r="AE74" i="31"/>
  <c r="AF74" i="31" s="1"/>
  <c r="AG74" i="31" s="1"/>
  <c r="AH74" i="31" s="1"/>
  <c r="AI74" i="31" s="1"/>
  <c r="AJ74" i="31" s="1"/>
  <c r="AK74" i="31" s="1"/>
  <c r="AL74" i="31" s="1"/>
  <c r="AM74" i="31" s="1"/>
  <c r="AN74" i="31" s="1"/>
  <c r="AO74" i="31" s="1"/>
  <c r="AP74" i="31" s="1"/>
  <c r="H153" i="49"/>
  <c r="X28" i="5" s="1"/>
  <c r="N487" i="49"/>
  <c r="DD33" i="62" s="1"/>
  <c r="T506" i="31"/>
  <c r="AE305" i="31"/>
  <c r="AF305" i="31" s="1"/>
  <c r="AG305" i="31" s="1"/>
  <c r="AH305" i="31" s="1"/>
  <c r="AI305" i="31" s="1"/>
  <c r="AJ305" i="31" s="1"/>
  <c r="AK305" i="31" s="1"/>
  <c r="AL305" i="31" s="1"/>
  <c r="AM305" i="31" s="1"/>
  <c r="AN305" i="31" s="1"/>
  <c r="AO305" i="31" s="1"/>
  <c r="AP305" i="31" s="1"/>
  <c r="U604" i="31"/>
  <c r="AE216" i="31"/>
  <c r="AF216" i="31" s="1"/>
  <c r="AG216" i="31" s="1"/>
  <c r="AH216" i="31" s="1"/>
  <c r="AI216" i="31" s="1"/>
  <c r="AJ216" i="31" s="1"/>
  <c r="AK216" i="31" s="1"/>
  <c r="AL216" i="31" s="1"/>
  <c r="AM216" i="31" s="1"/>
  <c r="AN216" i="31" s="1"/>
  <c r="AO216" i="31" s="1"/>
  <c r="AP216" i="31" s="1"/>
  <c r="U347" i="49"/>
  <c r="AE445" i="49"/>
  <c r="AF445" i="49" s="1"/>
  <c r="AG445" i="49" s="1"/>
  <c r="AH445" i="49" s="1"/>
  <c r="AI445" i="49" s="1"/>
  <c r="AJ445" i="49" s="1"/>
  <c r="AK445" i="49" s="1"/>
  <c r="AL445" i="49" s="1"/>
  <c r="AM445" i="49" s="1"/>
  <c r="AN445" i="49" s="1"/>
  <c r="AO445" i="49" s="1"/>
  <c r="AP445" i="49" s="1"/>
  <c r="H293" i="49"/>
  <c r="X43" i="5" s="1"/>
  <c r="K377" i="49"/>
  <c r="BN60" i="5" s="1"/>
  <c r="R482" i="31"/>
  <c r="FJ32" i="62" s="1"/>
  <c r="FK32" i="62" s="1"/>
  <c r="AE378" i="31"/>
  <c r="G377" i="31"/>
  <c r="S333" i="31"/>
  <c r="V416" i="31"/>
  <c r="AE441" i="31"/>
  <c r="AF441" i="31" s="1"/>
  <c r="AG441" i="31" s="1"/>
  <c r="AH441" i="31" s="1"/>
  <c r="AI441" i="31" s="1"/>
  <c r="AJ441" i="31" s="1"/>
  <c r="AK441" i="31" s="1"/>
  <c r="AL441" i="31" s="1"/>
  <c r="AM441" i="31" s="1"/>
  <c r="AN441" i="31" s="1"/>
  <c r="AO441" i="31" s="1"/>
  <c r="AP441" i="31" s="1"/>
  <c r="O506" i="31"/>
  <c r="DT34" i="62" s="1"/>
  <c r="DU34" i="62" s="1"/>
  <c r="Y293" i="31"/>
  <c r="J315" i="31"/>
  <c r="W569" i="31"/>
  <c r="AE44" i="31"/>
  <c r="AF44" i="31" s="1"/>
  <c r="AG44" i="31" s="1"/>
  <c r="AH44" i="31" s="1"/>
  <c r="AI44" i="31" s="1"/>
  <c r="AJ44" i="31" s="1"/>
  <c r="AK44" i="31" s="1"/>
  <c r="AL44" i="31" s="1"/>
  <c r="AM44" i="31" s="1"/>
  <c r="AN44" i="31" s="1"/>
  <c r="AO44" i="31" s="1"/>
  <c r="AP44" i="31" s="1"/>
  <c r="W604" i="31"/>
  <c r="R482" i="49"/>
  <c r="FH32" i="62" s="1"/>
  <c r="L71" i="49"/>
  <c r="CB18" i="5" s="1"/>
  <c r="Z600" i="31"/>
  <c r="Q328" i="49"/>
  <c r="ET51" i="5" s="1"/>
  <c r="ET43" i="62" s="1"/>
  <c r="L333" i="31"/>
  <c r="CD52" i="5" s="1"/>
  <c r="CE52" i="5" s="1"/>
  <c r="O286" i="31"/>
  <c r="DT42" i="5" s="1"/>
  <c r="P377" i="49"/>
  <c r="EF60" i="5" s="1"/>
  <c r="I487" i="49"/>
  <c r="AL33" i="62" s="1"/>
  <c r="AC315" i="31"/>
  <c r="AE100" i="49"/>
  <c r="AF100" i="49" s="1"/>
  <c r="AG100" i="49" s="1"/>
  <c r="AH100" i="49" s="1"/>
  <c r="AI100" i="49" s="1"/>
  <c r="AJ100" i="49" s="1"/>
  <c r="AK100" i="49" s="1"/>
  <c r="AL100" i="49" s="1"/>
  <c r="AM100" i="49" s="1"/>
  <c r="AN100" i="49" s="1"/>
  <c r="AO100" i="49" s="1"/>
  <c r="AP100" i="49" s="1"/>
  <c r="Y557" i="31"/>
  <c r="V476" i="49"/>
  <c r="H487" i="49"/>
  <c r="X33" i="62" s="1"/>
  <c r="AE311" i="31"/>
  <c r="AF311" i="31" s="1"/>
  <c r="AG311" i="31" s="1"/>
  <c r="AH311" i="31" s="1"/>
  <c r="AI311" i="31" s="1"/>
  <c r="AJ311" i="31" s="1"/>
  <c r="AK311" i="31" s="1"/>
  <c r="AL311" i="31" s="1"/>
  <c r="AM311" i="31" s="1"/>
  <c r="AN311" i="31" s="1"/>
  <c r="AO311" i="31" s="1"/>
  <c r="AP311" i="31" s="1"/>
  <c r="Q62" i="49"/>
  <c r="ET17" i="5" s="1"/>
  <c r="H561" i="49"/>
  <c r="P542" i="49"/>
  <c r="Y487" i="49"/>
  <c r="N62" i="49"/>
  <c r="DD17" i="5" s="1"/>
  <c r="L286" i="49"/>
  <c r="V256" i="49"/>
  <c r="AE520" i="31"/>
  <c r="AF520" i="31" s="1"/>
  <c r="AG520" i="31" s="1"/>
  <c r="AH520" i="31" s="1"/>
  <c r="AI520" i="31" s="1"/>
  <c r="AJ520" i="31" s="1"/>
  <c r="AK520" i="31" s="1"/>
  <c r="AL520" i="31" s="1"/>
  <c r="AM520" i="31" s="1"/>
  <c r="AN520" i="31" s="1"/>
  <c r="AO520" i="31" s="1"/>
  <c r="AP520" i="31" s="1"/>
  <c r="L561" i="31"/>
  <c r="L459" i="31"/>
  <c r="CD27" i="62" s="1"/>
  <c r="CE27" i="62" s="1"/>
  <c r="AE246" i="49"/>
  <c r="AF246" i="49" s="1"/>
  <c r="AG246" i="49" s="1"/>
  <c r="AH246" i="49" s="1"/>
  <c r="AI246" i="49" s="1"/>
  <c r="AJ246" i="49" s="1"/>
  <c r="AK246" i="49" s="1"/>
  <c r="AL246" i="49" s="1"/>
  <c r="AM246" i="49" s="1"/>
  <c r="AN246" i="49" s="1"/>
  <c r="AO246" i="49" s="1"/>
  <c r="AP246" i="49" s="1"/>
  <c r="S321" i="31"/>
  <c r="AG563" i="49"/>
  <c r="AH563" i="49" s="1"/>
  <c r="AI563" i="49" s="1"/>
  <c r="P62" i="31"/>
  <c r="EH17" i="5" s="1"/>
  <c r="EI17" i="5" s="1"/>
  <c r="AE151" i="31"/>
  <c r="AF151" i="31" s="1"/>
  <c r="AG151" i="31" s="1"/>
  <c r="AH151" i="31" s="1"/>
  <c r="AI151" i="31" s="1"/>
  <c r="AJ151" i="31" s="1"/>
  <c r="AK151" i="31" s="1"/>
  <c r="AL151" i="31" s="1"/>
  <c r="AM151" i="31" s="1"/>
  <c r="AN151" i="31" s="1"/>
  <c r="AO151" i="31" s="1"/>
  <c r="AP151" i="31" s="1"/>
  <c r="Q333" i="49"/>
  <c r="ET52" i="5" s="1"/>
  <c r="Q469" i="49"/>
  <c r="ET28" i="62" s="1"/>
  <c r="AE102" i="49"/>
  <c r="AF102" i="49" s="1"/>
  <c r="AG102" i="49" s="1"/>
  <c r="AH102" i="49" s="1"/>
  <c r="AI102" i="49" s="1"/>
  <c r="AJ102" i="49" s="1"/>
  <c r="AK102" i="49" s="1"/>
  <c r="AL102" i="49" s="1"/>
  <c r="AM102" i="49" s="1"/>
  <c r="AN102" i="49" s="1"/>
  <c r="AO102" i="49" s="1"/>
  <c r="AP102" i="49" s="1"/>
  <c r="N584" i="31"/>
  <c r="J506" i="31"/>
  <c r="BB34" i="62" s="1"/>
  <c r="BC34" i="62" s="1"/>
  <c r="P487" i="31"/>
  <c r="EH33" i="62" s="1"/>
  <c r="EI33" i="62" s="1"/>
  <c r="X109" i="31"/>
  <c r="U442" i="31"/>
  <c r="AB109" i="49"/>
  <c r="AF500" i="49"/>
  <c r="AG500" i="49" s="1"/>
  <c r="AH500" i="49" s="1"/>
  <c r="AI500" i="49" s="1"/>
  <c r="AJ500" i="49" s="1"/>
  <c r="AK500" i="49" s="1"/>
  <c r="AL500" i="49" s="1"/>
  <c r="AM500" i="49" s="1"/>
  <c r="AN500" i="49" s="1"/>
  <c r="AO500" i="49" s="1"/>
  <c r="AP500" i="49" s="1"/>
  <c r="L347" i="31"/>
  <c r="CD54" i="5" s="1"/>
  <c r="O356" i="49"/>
  <c r="DR57" i="5" s="1"/>
  <c r="DR42" i="62" s="1"/>
  <c r="AE427" i="49"/>
  <c r="AF427" i="49" s="1"/>
  <c r="AG427" i="49" s="1"/>
  <c r="AH427" i="49" s="1"/>
  <c r="AI427" i="49" s="1"/>
  <c r="AJ427" i="49" s="1"/>
  <c r="AK427" i="49" s="1"/>
  <c r="AL427" i="49" s="1"/>
  <c r="AM427" i="49" s="1"/>
  <c r="AN427" i="49" s="1"/>
  <c r="AO427" i="49" s="1"/>
  <c r="AP427" i="49" s="1"/>
  <c r="X315" i="31"/>
  <c r="M98" i="49"/>
  <c r="CP21" i="5" s="1"/>
  <c r="AE578" i="49"/>
  <c r="AF578" i="49" s="1"/>
  <c r="AG578" i="49" s="1"/>
  <c r="AH578" i="49" s="1"/>
  <c r="AI578" i="49" s="1"/>
  <c r="AJ578" i="49" s="1"/>
  <c r="AK578" i="49" s="1"/>
  <c r="AL578" i="49" s="1"/>
  <c r="AM578" i="49" s="1"/>
  <c r="AN578" i="49" s="1"/>
  <c r="AO578" i="49" s="1"/>
  <c r="AP578" i="49" s="1"/>
  <c r="AE510" i="49"/>
  <c r="AF510" i="49" s="1"/>
  <c r="AG510" i="49" s="1"/>
  <c r="AH510" i="49" s="1"/>
  <c r="AI510" i="49" s="1"/>
  <c r="AJ510" i="49" s="1"/>
  <c r="AK510" i="49" s="1"/>
  <c r="AL510" i="49" s="1"/>
  <c r="AM510" i="49" s="1"/>
  <c r="AN510" i="49" s="1"/>
  <c r="AO510" i="49" s="1"/>
  <c r="AP510" i="49" s="1"/>
  <c r="AC600" i="31"/>
  <c r="AE12" i="31"/>
  <c r="AF12" i="31" s="1"/>
  <c r="AG12" i="31" s="1"/>
  <c r="AH12" i="31" s="1"/>
  <c r="AI12" i="31" s="1"/>
  <c r="AJ12" i="31" s="1"/>
  <c r="AK12" i="31" s="1"/>
  <c r="AL12" i="31" s="1"/>
  <c r="AM12" i="31" s="1"/>
  <c r="AN12" i="31" s="1"/>
  <c r="AO12" i="31" s="1"/>
  <c r="AP12" i="31" s="1"/>
  <c r="L238" i="49"/>
  <c r="AE336" i="31"/>
  <c r="AF336" i="31" s="1"/>
  <c r="AG336" i="31" s="1"/>
  <c r="AH336" i="31" s="1"/>
  <c r="AI336" i="31" s="1"/>
  <c r="AJ336" i="31" s="1"/>
  <c r="AK336" i="31" s="1"/>
  <c r="AL336" i="31" s="1"/>
  <c r="AM336" i="31" s="1"/>
  <c r="AN336" i="31" s="1"/>
  <c r="AO336" i="31" s="1"/>
  <c r="AP336" i="31" s="1"/>
  <c r="P144" i="31"/>
  <c r="EH27" i="5" s="1"/>
  <c r="EI27" i="5" s="1"/>
  <c r="L35" i="49"/>
  <c r="AB340" i="31"/>
  <c r="S208" i="31"/>
  <c r="G553" i="49"/>
  <c r="AE554" i="49"/>
  <c r="X356" i="49"/>
  <c r="I347" i="31"/>
  <c r="AN54" i="5" s="1"/>
  <c r="AE396" i="49"/>
  <c r="AF396" i="49" s="1"/>
  <c r="AG396" i="49" s="1"/>
  <c r="AH396" i="49" s="1"/>
  <c r="AI396" i="49" s="1"/>
  <c r="AJ396" i="49" s="1"/>
  <c r="AK396" i="49" s="1"/>
  <c r="AL396" i="49" s="1"/>
  <c r="AM396" i="49" s="1"/>
  <c r="AN396" i="49" s="1"/>
  <c r="AO396" i="49" s="1"/>
  <c r="AP396" i="49" s="1"/>
  <c r="AE200" i="49"/>
  <c r="AF200" i="49" s="1"/>
  <c r="AG200" i="49" s="1"/>
  <c r="AH200" i="49" s="1"/>
  <c r="AI200" i="49" s="1"/>
  <c r="AJ200" i="49" s="1"/>
  <c r="AK200" i="49" s="1"/>
  <c r="AL200" i="49" s="1"/>
  <c r="AM200" i="49" s="1"/>
  <c r="AN200" i="49" s="1"/>
  <c r="AO200" i="49" s="1"/>
  <c r="AP200" i="49" s="1"/>
  <c r="Z569" i="49"/>
  <c r="G238" i="31"/>
  <c r="L39" i="5" s="1"/>
  <c r="AE239" i="31"/>
  <c r="AE58" i="31"/>
  <c r="AF58" i="31" s="1"/>
  <c r="AG58" i="31" s="1"/>
  <c r="AH58" i="31" s="1"/>
  <c r="AI58" i="31" s="1"/>
  <c r="AJ58" i="31" s="1"/>
  <c r="AK58" i="31" s="1"/>
  <c r="AL58" i="31" s="1"/>
  <c r="AM58" i="31" s="1"/>
  <c r="AN58" i="31" s="1"/>
  <c r="AO58" i="31" s="1"/>
  <c r="AP58" i="31" s="1"/>
  <c r="N553" i="49"/>
  <c r="H136" i="31"/>
  <c r="Z26" i="5" s="1"/>
  <c r="AA26" i="5" s="1"/>
  <c r="AF137" i="31"/>
  <c r="AG137" i="31" s="1"/>
  <c r="AH137" i="31" s="1"/>
  <c r="AI137" i="31" s="1"/>
  <c r="AJ137" i="31" s="1"/>
  <c r="O47" i="49"/>
  <c r="DR16" i="5" s="1"/>
  <c r="J531" i="49"/>
  <c r="T557" i="31"/>
  <c r="AA366" i="49"/>
  <c r="Q158" i="49"/>
  <c r="AE362" i="31"/>
  <c r="AF362" i="31" s="1"/>
  <c r="AG362" i="31" s="1"/>
  <c r="AH362" i="31" s="1"/>
  <c r="AI362" i="31" s="1"/>
  <c r="AJ362" i="31" s="1"/>
  <c r="AK362" i="31" s="1"/>
  <c r="AL362" i="31" s="1"/>
  <c r="AM362" i="31" s="1"/>
  <c r="AN362" i="31" s="1"/>
  <c r="AO362" i="31" s="1"/>
  <c r="AP362" i="31" s="1"/>
  <c r="N256" i="49"/>
  <c r="DD40" i="5" s="1"/>
  <c r="G80" i="31"/>
  <c r="AE81" i="31"/>
  <c r="G98" i="49"/>
  <c r="AE99" i="49"/>
  <c r="AD356" i="49"/>
  <c r="T393" i="49"/>
  <c r="AD293" i="49"/>
  <c r="S416" i="49"/>
  <c r="M306" i="31"/>
  <c r="CR46" i="5" s="1"/>
  <c r="CS46" i="5" s="1"/>
  <c r="V600" i="31"/>
  <c r="Q168" i="31"/>
  <c r="EV32" i="5" s="1"/>
  <c r="EW32" i="5" s="1"/>
  <c r="AF171" i="31"/>
  <c r="AG171" i="31" s="1"/>
  <c r="AH171" i="31" s="1"/>
  <c r="AI171" i="31" s="1"/>
  <c r="AJ171" i="31" s="1"/>
  <c r="AK171" i="31" s="1"/>
  <c r="AL171" i="31" s="1"/>
  <c r="AM171" i="31" s="1"/>
  <c r="AN171" i="31" s="1"/>
  <c r="AO171" i="31" s="1"/>
  <c r="AP171" i="31" s="1"/>
  <c r="U506" i="49"/>
  <c r="AA293" i="31"/>
  <c r="R333" i="49"/>
  <c r="FH52" i="5" s="1"/>
  <c r="AA476" i="49"/>
  <c r="X366" i="49"/>
  <c r="W482" i="49"/>
  <c r="AH430" i="31"/>
  <c r="AI430" i="31" s="1"/>
  <c r="AJ430" i="31" s="1"/>
  <c r="AK430" i="31" s="1"/>
  <c r="AL430" i="31" s="1"/>
  <c r="N442" i="49"/>
  <c r="DD26" i="62" s="1"/>
  <c r="DD29" i="62" s="1"/>
  <c r="AE545" i="49"/>
  <c r="AF545" i="49" s="1"/>
  <c r="AG545" i="49" s="1"/>
  <c r="AH545" i="49" s="1"/>
  <c r="AI545" i="49" s="1"/>
  <c r="AJ545" i="49" s="1"/>
  <c r="AK545" i="49" s="1"/>
  <c r="AL545" i="49" s="1"/>
  <c r="AM545" i="49" s="1"/>
  <c r="AN545" i="49" s="1"/>
  <c r="AO545" i="49" s="1"/>
  <c r="AP545" i="49" s="1"/>
  <c r="T482" i="31"/>
  <c r="S127" i="31"/>
  <c r="AE599" i="31"/>
  <c r="AF599" i="31" s="1"/>
  <c r="AG599" i="31" s="1"/>
  <c r="AH599" i="31" s="1"/>
  <c r="AI599" i="31" s="1"/>
  <c r="AJ599" i="31" s="1"/>
  <c r="AK599" i="31" s="1"/>
  <c r="AL599" i="31" s="1"/>
  <c r="AM599" i="31" s="1"/>
  <c r="AN599" i="31" s="1"/>
  <c r="AO599" i="31" s="1"/>
  <c r="AP599" i="31" s="1"/>
  <c r="K89" i="31"/>
  <c r="BP20" i="5" s="1"/>
  <c r="BQ20" i="5" s="1"/>
  <c r="P306" i="31"/>
  <c r="EH46" i="5" s="1"/>
  <c r="EI46" i="5" s="1"/>
  <c r="J531" i="31"/>
  <c r="AC442" i="49"/>
  <c r="Y301" i="31"/>
  <c r="I382" i="31"/>
  <c r="AN61" i="5" s="1"/>
  <c r="AO61" i="5" s="1"/>
  <c r="AE562" i="49"/>
  <c r="AE561" i="49" s="1"/>
  <c r="G561" i="49"/>
  <c r="S293" i="49"/>
  <c r="AE149" i="49"/>
  <c r="AF149" i="49" s="1"/>
  <c r="AG149" i="49" s="1"/>
  <c r="AH149" i="49" s="1"/>
  <c r="AI149" i="49" s="1"/>
  <c r="AJ149" i="49" s="1"/>
  <c r="AK149" i="49" s="1"/>
  <c r="AL149" i="49" s="1"/>
  <c r="AM149" i="49" s="1"/>
  <c r="AN149" i="49" s="1"/>
  <c r="AO149" i="49" s="1"/>
  <c r="AP149" i="49" s="1"/>
  <c r="W469" i="31"/>
  <c r="U208" i="49"/>
  <c r="AE162" i="49"/>
  <c r="AF162" i="49" s="1"/>
  <c r="AG162" i="49" s="1"/>
  <c r="AH162" i="49" s="1"/>
  <c r="AI162" i="49" s="1"/>
  <c r="AJ162" i="49" s="1"/>
  <c r="AK162" i="49" s="1"/>
  <c r="AL162" i="49" s="1"/>
  <c r="AM162" i="49" s="1"/>
  <c r="AN162" i="49" s="1"/>
  <c r="AO162" i="49" s="1"/>
  <c r="AP162" i="49" s="1"/>
  <c r="AE134" i="49"/>
  <c r="AF134" i="49" s="1"/>
  <c r="AG134" i="49" s="1"/>
  <c r="AH134" i="49" s="1"/>
  <c r="AI134" i="49" s="1"/>
  <c r="AJ134" i="49" s="1"/>
  <c r="AK134" i="49" s="1"/>
  <c r="AL134" i="49" s="1"/>
  <c r="AM134" i="49" s="1"/>
  <c r="AN134" i="49" s="1"/>
  <c r="AO134" i="49" s="1"/>
  <c r="AP134" i="49" s="1"/>
  <c r="AF43" i="49"/>
  <c r="AG43" i="49" s="1"/>
  <c r="AH43" i="49" s="1"/>
  <c r="AI43" i="49" s="1"/>
  <c r="AJ43" i="49" s="1"/>
  <c r="AK43" i="49" s="1"/>
  <c r="AL43" i="49" s="1"/>
  <c r="AM43" i="49" s="1"/>
  <c r="AN43" i="49" s="1"/>
  <c r="AO43" i="49" s="1"/>
  <c r="AP43" i="49" s="1"/>
  <c r="AE409" i="31"/>
  <c r="AF409" i="31" s="1"/>
  <c r="AG409" i="31" s="1"/>
  <c r="AH409" i="31" s="1"/>
  <c r="AI409" i="31" s="1"/>
  <c r="AJ409" i="31" s="1"/>
  <c r="AK409" i="31" s="1"/>
  <c r="AL409" i="31" s="1"/>
  <c r="AM409" i="31" s="1"/>
  <c r="AN409" i="31" s="1"/>
  <c r="AO409" i="31" s="1"/>
  <c r="AP409" i="31" s="1"/>
  <c r="AE151" i="49"/>
  <c r="AF151" i="49" s="1"/>
  <c r="AG151" i="49" s="1"/>
  <c r="AH151" i="49" s="1"/>
  <c r="AI151" i="49" s="1"/>
  <c r="AJ151" i="49" s="1"/>
  <c r="AK151" i="49" s="1"/>
  <c r="AL151" i="49" s="1"/>
  <c r="AM151" i="49" s="1"/>
  <c r="AN151" i="49" s="1"/>
  <c r="AO151" i="49" s="1"/>
  <c r="AP151" i="49" s="1"/>
  <c r="H153" i="31"/>
  <c r="Z28" i="5" s="1"/>
  <c r="AA28" i="5" s="1"/>
  <c r="AE194" i="49"/>
  <c r="AF194" i="49" s="1"/>
  <c r="AG194" i="49" s="1"/>
  <c r="AH194" i="49" s="1"/>
  <c r="AI194" i="49" s="1"/>
  <c r="AJ194" i="49" s="1"/>
  <c r="AK194" i="49" s="1"/>
  <c r="AL194" i="49" s="1"/>
  <c r="AM194" i="49" s="1"/>
  <c r="AN194" i="49" s="1"/>
  <c r="AO194" i="49" s="1"/>
  <c r="AP194" i="49" s="1"/>
  <c r="AE234" i="31"/>
  <c r="AF234" i="31" s="1"/>
  <c r="AG234" i="31" s="1"/>
  <c r="AH234" i="31" s="1"/>
  <c r="AI234" i="31" s="1"/>
  <c r="AJ234" i="31" s="1"/>
  <c r="AK234" i="31" s="1"/>
  <c r="AL234" i="31" s="1"/>
  <c r="AM234" i="31" s="1"/>
  <c r="AN234" i="31" s="1"/>
  <c r="AO234" i="31" s="1"/>
  <c r="AP234" i="31" s="1"/>
  <c r="Q228" i="49"/>
  <c r="ET38" i="5" s="1"/>
  <c r="Q482" i="31"/>
  <c r="EV32" i="62" s="1"/>
  <c r="EW32" i="62" s="1"/>
  <c r="AE129" i="31"/>
  <c r="AF129" i="31" s="1"/>
  <c r="AE147" i="31"/>
  <c r="AF147" i="31" s="1"/>
  <c r="AG147" i="31" s="1"/>
  <c r="AH147" i="31" s="1"/>
  <c r="AI147" i="31" s="1"/>
  <c r="AJ147" i="31" s="1"/>
  <c r="AK147" i="31" s="1"/>
  <c r="AL147" i="31" s="1"/>
  <c r="AM147" i="31" s="1"/>
  <c r="AN147" i="31" s="1"/>
  <c r="AO147" i="31" s="1"/>
  <c r="AP147" i="31" s="1"/>
  <c r="AE582" i="49"/>
  <c r="AF582" i="49" s="1"/>
  <c r="AG582" i="49" s="1"/>
  <c r="AH582" i="49" s="1"/>
  <c r="AI582" i="49" s="1"/>
  <c r="AJ582" i="49" s="1"/>
  <c r="AK582" i="49" s="1"/>
  <c r="AL582" i="49" s="1"/>
  <c r="AM582" i="49" s="1"/>
  <c r="AN582" i="49" s="1"/>
  <c r="AO582" i="49" s="1"/>
  <c r="AP582" i="49" s="1"/>
  <c r="U333" i="31"/>
  <c r="AE295" i="31"/>
  <c r="AF295" i="31" s="1"/>
  <c r="AG295" i="31" s="1"/>
  <c r="AH295" i="31" s="1"/>
  <c r="AI295" i="31" s="1"/>
  <c r="AJ295" i="31" s="1"/>
  <c r="AK295" i="31" s="1"/>
  <c r="AL295" i="31" s="1"/>
  <c r="AM295" i="31" s="1"/>
  <c r="AN295" i="31" s="1"/>
  <c r="AO295" i="31" s="1"/>
  <c r="AP295" i="31" s="1"/>
  <c r="G35" i="31"/>
  <c r="AE36" i="31"/>
  <c r="AF36" i="31" s="1"/>
  <c r="AG36" i="31" s="1"/>
  <c r="G531" i="31"/>
  <c r="AE532" i="31"/>
  <c r="U178" i="49"/>
  <c r="U168" i="49"/>
  <c r="R293" i="31"/>
  <c r="FJ43" i="5" s="1"/>
  <c r="AC356" i="31"/>
  <c r="U136" i="49"/>
  <c r="AF602" i="49"/>
  <c r="AG602" i="49" s="1"/>
  <c r="AH602" i="49" s="1"/>
  <c r="AI602" i="49" s="1"/>
  <c r="AJ602" i="49" s="1"/>
  <c r="AK602" i="49" s="1"/>
  <c r="AL602" i="49" s="1"/>
  <c r="AM602" i="49" s="1"/>
  <c r="AN602" i="49" s="1"/>
  <c r="AO602" i="49" s="1"/>
  <c r="AP602" i="49" s="1"/>
  <c r="X553" i="49"/>
  <c r="J557" i="49"/>
  <c r="AF187" i="49"/>
  <c r="AG187" i="49" s="1"/>
  <c r="AH187" i="49" s="1"/>
  <c r="AI187" i="49" s="1"/>
  <c r="AJ187" i="49" s="1"/>
  <c r="AK187" i="49" s="1"/>
  <c r="AL187" i="49" s="1"/>
  <c r="AM187" i="49" s="1"/>
  <c r="AN187" i="49" s="1"/>
  <c r="AO187" i="49" s="1"/>
  <c r="AP187" i="49" s="1"/>
  <c r="K604" i="31"/>
  <c r="AA89" i="49"/>
  <c r="AA561" i="49"/>
  <c r="O219" i="31"/>
  <c r="DT37" i="5" s="1"/>
  <c r="L609" i="31"/>
  <c r="AE182" i="31"/>
  <c r="AF182" i="31" s="1"/>
  <c r="AG182" i="31" s="1"/>
  <c r="AH182" i="31" s="1"/>
  <c r="AI182" i="31" s="1"/>
  <c r="AJ182" i="31" s="1"/>
  <c r="AK182" i="31" s="1"/>
  <c r="AL182" i="31" s="1"/>
  <c r="AM182" i="31" s="1"/>
  <c r="AN182" i="31" s="1"/>
  <c r="AO182" i="31" s="1"/>
  <c r="AP182" i="31" s="1"/>
  <c r="J219" i="31"/>
  <c r="BB37" i="5" s="1"/>
  <c r="Y315" i="31"/>
  <c r="Y80" i="31"/>
  <c r="AE24" i="31"/>
  <c r="AF24" i="31" s="1"/>
  <c r="AG24" i="31" s="1"/>
  <c r="AH24" i="31" s="1"/>
  <c r="AI24" i="31" s="1"/>
  <c r="AJ24" i="31" s="1"/>
  <c r="AK24" i="31" s="1"/>
  <c r="AL24" i="31" s="1"/>
  <c r="AM24" i="31" s="1"/>
  <c r="AN24" i="31" s="1"/>
  <c r="AO24" i="31" s="1"/>
  <c r="AP24" i="31" s="1"/>
  <c r="AE543" i="31"/>
  <c r="G542" i="31"/>
  <c r="AB9" i="49"/>
  <c r="X9" i="31"/>
  <c r="G9" i="31"/>
  <c r="AE10" i="31"/>
  <c r="K614" i="31"/>
  <c r="AA393" i="31"/>
  <c r="AA506" i="49"/>
  <c r="I109" i="31"/>
  <c r="M356" i="49"/>
  <c r="CP57" i="5" s="1"/>
  <c r="CP42" i="62" s="1"/>
  <c r="AC557" i="31"/>
  <c r="AE234" i="49"/>
  <c r="AF234" i="49" s="1"/>
  <c r="AG234" i="49" s="1"/>
  <c r="AH234" i="49" s="1"/>
  <c r="AI234" i="49" s="1"/>
  <c r="AJ234" i="49" s="1"/>
  <c r="AK234" i="49" s="1"/>
  <c r="AL234" i="49" s="1"/>
  <c r="AM234" i="49" s="1"/>
  <c r="AN234" i="49" s="1"/>
  <c r="AO234" i="49" s="1"/>
  <c r="AP234" i="49" s="1"/>
  <c r="AE223" i="49"/>
  <c r="AF223" i="49" s="1"/>
  <c r="AG223" i="49" s="1"/>
  <c r="AH223" i="49" s="1"/>
  <c r="AI223" i="49" s="1"/>
  <c r="AJ223" i="49" s="1"/>
  <c r="AK223" i="49" s="1"/>
  <c r="AL223" i="49" s="1"/>
  <c r="AM223" i="49" s="1"/>
  <c r="AN223" i="49" s="1"/>
  <c r="AO223" i="49" s="1"/>
  <c r="AP223" i="49" s="1"/>
  <c r="AE410" i="49"/>
  <c r="AF410" i="49" s="1"/>
  <c r="AG410" i="49" s="1"/>
  <c r="AH410" i="49" s="1"/>
  <c r="AI410" i="49" s="1"/>
  <c r="AJ410" i="49" s="1"/>
  <c r="AK410" i="49" s="1"/>
  <c r="AL410" i="49" s="1"/>
  <c r="AM410" i="49" s="1"/>
  <c r="AN410" i="49" s="1"/>
  <c r="AO410" i="49" s="1"/>
  <c r="AP410" i="49" s="1"/>
  <c r="I340" i="31"/>
  <c r="AN53" i="5" s="1"/>
  <c r="I238" i="31"/>
  <c r="I9" i="31"/>
  <c r="AE433" i="31"/>
  <c r="AF433" i="31" s="1"/>
  <c r="AG433" i="31" s="1"/>
  <c r="AH433" i="31" s="1"/>
  <c r="AI433" i="31" s="1"/>
  <c r="AJ433" i="31" s="1"/>
  <c r="AK433" i="31" s="1"/>
  <c r="AL433" i="31" s="1"/>
  <c r="AM433" i="31" s="1"/>
  <c r="AN433" i="31" s="1"/>
  <c r="AO433" i="31" s="1"/>
  <c r="AP433" i="31" s="1"/>
  <c r="AC366" i="31"/>
  <c r="AB442" i="31"/>
  <c r="AE270" i="31"/>
  <c r="AF270" i="31" s="1"/>
  <c r="AG270" i="31" s="1"/>
  <c r="AH270" i="31" s="1"/>
  <c r="AI270" i="31" s="1"/>
  <c r="AJ270" i="31" s="1"/>
  <c r="AK270" i="31" s="1"/>
  <c r="AL270" i="31" s="1"/>
  <c r="AM270" i="31" s="1"/>
  <c r="AN270" i="31" s="1"/>
  <c r="AO270" i="31" s="1"/>
  <c r="AP270" i="31" s="1"/>
  <c r="N328" i="49"/>
  <c r="DD51" i="5" s="1"/>
  <c r="DD43" i="62" s="1"/>
  <c r="AE223" i="31"/>
  <c r="AF223" i="31" s="1"/>
  <c r="AG223" i="31" s="1"/>
  <c r="AH223" i="31" s="1"/>
  <c r="AI223" i="31" s="1"/>
  <c r="AJ223" i="31" s="1"/>
  <c r="AK223" i="31" s="1"/>
  <c r="AL223" i="31" s="1"/>
  <c r="AM223" i="31" s="1"/>
  <c r="AN223" i="31" s="1"/>
  <c r="AO223" i="31" s="1"/>
  <c r="AP223" i="31" s="1"/>
  <c r="Z315" i="31"/>
  <c r="X136" i="31"/>
  <c r="Y600" i="31"/>
  <c r="W614" i="31"/>
  <c r="AE593" i="31"/>
  <c r="AF593" i="31" s="1"/>
  <c r="AG593" i="31" s="1"/>
  <c r="AH593" i="31" s="1"/>
  <c r="AI593" i="31" s="1"/>
  <c r="AJ593" i="31" s="1"/>
  <c r="AK593" i="31" s="1"/>
  <c r="AL593" i="31" s="1"/>
  <c r="AM593" i="31" s="1"/>
  <c r="AN593" i="31" s="1"/>
  <c r="AO593" i="31" s="1"/>
  <c r="AP593" i="31" s="1"/>
  <c r="AD98" i="49"/>
  <c r="AE114" i="31"/>
  <c r="AF114" i="31" s="1"/>
  <c r="AG114" i="31" s="1"/>
  <c r="AH114" i="31" s="1"/>
  <c r="AI114" i="31" s="1"/>
  <c r="AJ114" i="31" s="1"/>
  <c r="AK114" i="31" s="1"/>
  <c r="AL114" i="31" s="1"/>
  <c r="AM114" i="31" s="1"/>
  <c r="AN114" i="31" s="1"/>
  <c r="AO114" i="31" s="1"/>
  <c r="AP114" i="31" s="1"/>
  <c r="AB333" i="31"/>
  <c r="AE281" i="49"/>
  <c r="AF281" i="49" s="1"/>
  <c r="AG281" i="49" s="1"/>
  <c r="AH281" i="49" s="1"/>
  <c r="AI281" i="49" s="1"/>
  <c r="AJ281" i="49" s="1"/>
  <c r="AK281" i="49" s="1"/>
  <c r="AL281" i="49" s="1"/>
  <c r="AM281" i="49" s="1"/>
  <c r="AN281" i="49" s="1"/>
  <c r="AO281" i="49" s="1"/>
  <c r="AP281" i="49" s="1"/>
  <c r="M482" i="31"/>
  <c r="CR32" i="62" s="1"/>
  <c r="CS32" i="62" s="1"/>
  <c r="Q542" i="31"/>
  <c r="AE536" i="49"/>
  <c r="AF536" i="49" s="1"/>
  <c r="AG536" i="49" s="1"/>
  <c r="AH536" i="49" s="1"/>
  <c r="AI536" i="49" s="1"/>
  <c r="AJ536" i="49" s="1"/>
  <c r="AK536" i="49" s="1"/>
  <c r="AL536" i="49" s="1"/>
  <c r="AM536" i="49" s="1"/>
  <c r="AN536" i="49" s="1"/>
  <c r="AO536" i="49" s="1"/>
  <c r="AP536" i="49" s="1"/>
  <c r="Y584" i="31"/>
  <c r="X531" i="49"/>
  <c r="R321" i="49"/>
  <c r="FH50" i="5" s="1"/>
  <c r="M286" i="31"/>
  <c r="CR42" i="5" s="1"/>
  <c r="AA178" i="49"/>
  <c r="K333" i="31"/>
  <c r="BP52" i="5" s="1"/>
  <c r="BQ52" i="5" s="1"/>
  <c r="T321" i="31"/>
  <c r="AE263" i="49"/>
  <c r="AF263" i="49" s="1"/>
  <c r="AG263" i="49" s="1"/>
  <c r="AH263" i="49" s="1"/>
  <c r="AI263" i="49" s="1"/>
  <c r="AJ263" i="49" s="1"/>
  <c r="AK263" i="49" s="1"/>
  <c r="AL263" i="49" s="1"/>
  <c r="AM263" i="49" s="1"/>
  <c r="AN263" i="49" s="1"/>
  <c r="AO263" i="49" s="1"/>
  <c r="AP263" i="49" s="1"/>
  <c r="W26" i="31"/>
  <c r="AE465" i="31"/>
  <c r="AF465" i="31" s="1"/>
  <c r="AG465" i="31" s="1"/>
  <c r="AH465" i="31" s="1"/>
  <c r="AI465" i="31" s="1"/>
  <c r="AJ465" i="31" s="1"/>
  <c r="AK465" i="31" s="1"/>
  <c r="AL465" i="31" s="1"/>
  <c r="AM465" i="31" s="1"/>
  <c r="AN465" i="31" s="1"/>
  <c r="AO465" i="31" s="1"/>
  <c r="AP465" i="31" s="1"/>
  <c r="AE586" i="31"/>
  <c r="AF586" i="31" s="1"/>
  <c r="AG586" i="31" s="1"/>
  <c r="AH586" i="31" s="1"/>
  <c r="AI586" i="31" s="1"/>
  <c r="AJ586" i="31" s="1"/>
  <c r="AK586" i="31" s="1"/>
  <c r="AL586" i="31" s="1"/>
  <c r="AM586" i="31" s="1"/>
  <c r="AN586" i="31" s="1"/>
  <c r="AO586" i="31" s="1"/>
  <c r="AP586" i="31" s="1"/>
  <c r="AE116" i="31"/>
  <c r="AF116" i="31" s="1"/>
  <c r="AG116" i="31" s="1"/>
  <c r="AH116" i="31" s="1"/>
  <c r="AI116" i="31" s="1"/>
  <c r="AJ116" i="31" s="1"/>
  <c r="AK116" i="31" s="1"/>
  <c r="AL116" i="31" s="1"/>
  <c r="AM116" i="31" s="1"/>
  <c r="AN116" i="31" s="1"/>
  <c r="AO116" i="31" s="1"/>
  <c r="AP116" i="31" s="1"/>
  <c r="P609" i="31"/>
  <c r="U476" i="49"/>
  <c r="AF464" i="49"/>
  <c r="AG464" i="49" s="1"/>
  <c r="AH464" i="49" s="1"/>
  <c r="AI464" i="49" s="1"/>
  <c r="AJ464" i="49" s="1"/>
  <c r="AK464" i="49" s="1"/>
  <c r="AL464" i="49" s="1"/>
  <c r="AM464" i="49" s="1"/>
  <c r="AN464" i="49" s="1"/>
  <c r="AO464" i="49" s="1"/>
  <c r="AP464" i="49" s="1"/>
  <c r="AD609" i="49"/>
  <c r="M609" i="49"/>
  <c r="AE568" i="49"/>
  <c r="AF568" i="49" s="1"/>
  <c r="AG568" i="49" s="1"/>
  <c r="AH568" i="49" s="1"/>
  <c r="AI568" i="49" s="1"/>
  <c r="AJ568" i="49" s="1"/>
  <c r="AK568" i="49" s="1"/>
  <c r="AL568" i="49" s="1"/>
  <c r="AM568" i="49" s="1"/>
  <c r="AN568" i="49" s="1"/>
  <c r="AO568" i="49" s="1"/>
  <c r="AP568" i="49" s="1"/>
  <c r="AE170" i="31"/>
  <c r="AF170" i="31" s="1"/>
  <c r="AG170" i="31" s="1"/>
  <c r="AH170" i="31" s="1"/>
  <c r="AI170" i="31" s="1"/>
  <c r="AJ170" i="31" s="1"/>
  <c r="AK170" i="31" s="1"/>
  <c r="AL170" i="31" s="1"/>
  <c r="AM170" i="31" s="1"/>
  <c r="AN170" i="31" s="1"/>
  <c r="AO170" i="31" s="1"/>
  <c r="AP170" i="31" s="1"/>
  <c r="AE65" i="31"/>
  <c r="AF65" i="31" s="1"/>
  <c r="AG65" i="31" s="1"/>
  <c r="AH65" i="31" s="1"/>
  <c r="AI65" i="31" s="1"/>
  <c r="AJ65" i="31" s="1"/>
  <c r="AK65" i="31" s="1"/>
  <c r="AL65" i="31" s="1"/>
  <c r="AM65" i="31" s="1"/>
  <c r="AN65" i="31" s="1"/>
  <c r="AO65" i="31" s="1"/>
  <c r="AP65" i="31" s="1"/>
  <c r="P98" i="31"/>
  <c r="EH21" i="5" s="1"/>
  <c r="EI21" i="5" s="1"/>
  <c r="R614" i="31"/>
  <c r="AE226" i="49"/>
  <c r="AF226" i="49" s="1"/>
  <c r="AG226" i="49" s="1"/>
  <c r="AH226" i="49" s="1"/>
  <c r="AI226" i="49" s="1"/>
  <c r="AJ226" i="49" s="1"/>
  <c r="AK226" i="49" s="1"/>
  <c r="AL226" i="49" s="1"/>
  <c r="AM226" i="49" s="1"/>
  <c r="AN226" i="49" s="1"/>
  <c r="AO226" i="49" s="1"/>
  <c r="AP226" i="49" s="1"/>
  <c r="AF509" i="49"/>
  <c r="AG509" i="49" s="1"/>
  <c r="AH509" i="49" s="1"/>
  <c r="AI509" i="49" s="1"/>
  <c r="AJ509" i="49" s="1"/>
  <c r="AK509" i="49" s="1"/>
  <c r="AL509" i="49" s="1"/>
  <c r="AM509" i="49" s="1"/>
  <c r="AN509" i="49" s="1"/>
  <c r="AO509" i="49" s="1"/>
  <c r="AP509" i="49" s="1"/>
  <c r="AE327" i="31"/>
  <c r="AF327" i="31" s="1"/>
  <c r="AG327" i="31" s="1"/>
  <c r="AH327" i="31" s="1"/>
  <c r="AI327" i="31" s="1"/>
  <c r="AJ327" i="31" s="1"/>
  <c r="AK327" i="31" s="1"/>
  <c r="AL327" i="31" s="1"/>
  <c r="AM327" i="31" s="1"/>
  <c r="AN327" i="31" s="1"/>
  <c r="AO327" i="31" s="1"/>
  <c r="AP327" i="31" s="1"/>
  <c r="AE352" i="49"/>
  <c r="AF352" i="49" s="1"/>
  <c r="AG352" i="49" s="1"/>
  <c r="AH352" i="49" s="1"/>
  <c r="AI352" i="49" s="1"/>
  <c r="AJ352" i="49" s="1"/>
  <c r="AK352" i="49" s="1"/>
  <c r="AL352" i="49" s="1"/>
  <c r="AM352" i="49" s="1"/>
  <c r="AN352" i="49" s="1"/>
  <c r="AO352" i="49" s="1"/>
  <c r="AP352" i="49" s="1"/>
  <c r="K347" i="31"/>
  <c r="BP54" i="5" s="1"/>
  <c r="AE574" i="49"/>
  <c r="AF574" i="49" s="1"/>
  <c r="AG574" i="49" s="1"/>
  <c r="AH574" i="49" s="1"/>
  <c r="AI574" i="49" s="1"/>
  <c r="AJ574" i="49" s="1"/>
  <c r="AK574" i="49" s="1"/>
  <c r="AL574" i="49" s="1"/>
  <c r="AM574" i="49" s="1"/>
  <c r="AN574" i="49" s="1"/>
  <c r="AO574" i="49" s="1"/>
  <c r="AP574" i="49" s="1"/>
  <c r="X301" i="49"/>
  <c r="AE199" i="31"/>
  <c r="AF199" i="31" s="1"/>
  <c r="AG199" i="31" s="1"/>
  <c r="AH199" i="31" s="1"/>
  <c r="AI199" i="31" s="1"/>
  <c r="AJ199" i="31" s="1"/>
  <c r="AK199" i="31" s="1"/>
  <c r="AL199" i="31" s="1"/>
  <c r="AM199" i="31" s="1"/>
  <c r="AN199" i="31" s="1"/>
  <c r="AO199" i="31" s="1"/>
  <c r="AP199" i="31" s="1"/>
  <c r="S487" i="31"/>
  <c r="Z62" i="31"/>
  <c r="AD382" i="31"/>
  <c r="I315" i="49"/>
  <c r="AE325" i="49"/>
  <c r="AF325" i="49" s="1"/>
  <c r="AG325" i="49" s="1"/>
  <c r="AH325" i="49" s="1"/>
  <c r="AI325" i="49" s="1"/>
  <c r="AJ325" i="49" s="1"/>
  <c r="AK325" i="49" s="1"/>
  <c r="AL325" i="49" s="1"/>
  <c r="AM325" i="49" s="1"/>
  <c r="AN325" i="49" s="1"/>
  <c r="AO325" i="49" s="1"/>
  <c r="AP325" i="49" s="1"/>
  <c r="AE384" i="31"/>
  <c r="AF384" i="31" s="1"/>
  <c r="AG384" i="31" s="1"/>
  <c r="AH384" i="31" s="1"/>
  <c r="AI384" i="31" s="1"/>
  <c r="AJ384" i="31" s="1"/>
  <c r="AK384" i="31" s="1"/>
  <c r="AL384" i="31" s="1"/>
  <c r="AM384" i="31" s="1"/>
  <c r="AN384" i="31" s="1"/>
  <c r="AO384" i="31" s="1"/>
  <c r="AP384" i="31" s="1"/>
  <c r="X609" i="49"/>
  <c r="P382" i="49"/>
  <c r="EF61" i="5" s="1"/>
  <c r="AE532" i="49"/>
  <c r="G531" i="49"/>
  <c r="G306" i="49"/>
  <c r="AE307" i="49"/>
  <c r="Y301" i="49"/>
  <c r="Y313" i="49" s="1"/>
  <c r="P98" i="49"/>
  <c r="EF21" i="5" s="1"/>
  <c r="Z328" i="31"/>
  <c r="AE594" i="49"/>
  <c r="AF594" i="49" s="1"/>
  <c r="AG594" i="49" s="1"/>
  <c r="AH594" i="49" s="1"/>
  <c r="AI594" i="49" s="1"/>
  <c r="AJ594" i="49" s="1"/>
  <c r="AK594" i="49" s="1"/>
  <c r="AL594" i="49" s="1"/>
  <c r="AM594" i="49" s="1"/>
  <c r="AN594" i="49" s="1"/>
  <c r="AO594" i="49" s="1"/>
  <c r="AP594" i="49" s="1"/>
  <c r="V208" i="49"/>
  <c r="Z47" i="49"/>
  <c r="R569" i="49"/>
  <c r="Z561" i="31"/>
  <c r="AE397" i="49"/>
  <c r="AF397" i="49" s="1"/>
  <c r="AG397" i="49" s="1"/>
  <c r="AH397" i="49" s="1"/>
  <c r="AI397" i="49" s="1"/>
  <c r="AJ397" i="49" s="1"/>
  <c r="AK397" i="49" s="1"/>
  <c r="AL397" i="49" s="1"/>
  <c r="AM397" i="49" s="1"/>
  <c r="AN397" i="49" s="1"/>
  <c r="AO397" i="49" s="1"/>
  <c r="AP397" i="49" s="1"/>
  <c r="V469" i="31"/>
  <c r="AC188" i="49"/>
  <c r="AE163" i="31"/>
  <c r="AF163" i="31" s="1"/>
  <c r="AG163" i="31" s="1"/>
  <c r="AH163" i="31" s="1"/>
  <c r="AI163" i="31" s="1"/>
  <c r="AJ163" i="31" s="1"/>
  <c r="AK163" i="31" s="1"/>
  <c r="AL163" i="31" s="1"/>
  <c r="AM163" i="31" s="1"/>
  <c r="AN163" i="31" s="1"/>
  <c r="AO163" i="31" s="1"/>
  <c r="AP163" i="31" s="1"/>
  <c r="AA109" i="49"/>
  <c r="Q614" i="31"/>
  <c r="AE339" i="49"/>
  <c r="AF339" i="49" s="1"/>
  <c r="AG339" i="49" s="1"/>
  <c r="AH339" i="49" s="1"/>
  <c r="AI339" i="49" s="1"/>
  <c r="AJ339" i="49" s="1"/>
  <c r="AK339" i="49" s="1"/>
  <c r="AL339" i="49" s="1"/>
  <c r="AM339" i="49" s="1"/>
  <c r="AN339" i="49" s="1"/>
  <c r="AO339" i="49" s="1"/>
  <c r="AP339" i="49" s="1"/>
  <c r="I569" i="31"/>
  <c r="Q136" i="31"/>
  <c r="EV26" i="5" s="1"/>
  <c r="EW26" i="5" s="1"/>
  <c r="AE40" i="31"/>
  <c r="AF40" i="31" s="1"/>
  <c r="AG40" i="31" s="1"/>
  <c r="AH40" i="31" s="1"/>
  <c r="AI40" i="31" s="1"/>
  <c r="AJ40" i="31" s="1"/>
  <c r="AK40" i="31" s="1"/>
  <c r="AL40" i="31" s="1"/>
  <c r="AM40" i="31" s="1"/>
  <c r="AN40" i="31" s="1"/>
  <c r="AO40" i="31" s="1"/>
  <c r="AP40" i="31" s="1"/>
  <c r="J584" i="49"/>
  <c r="S442" i="49"/>
  <c r="AC98" i="49"/>
  <c r="AD469" i="49"/>
  <c r="Y9" i="31"/>
  <c r="O178" i="31"/>
  <c r="AE374" i="49"/>
  <c r="AF374" i="49" s="1"/>
  <c r="AG374" i="49" s="1"/>
  <c r="AH374" i="49" s="1"/>
  <c r="AI374" i="49" s="1"/>
  <c r="AJ374" i="49" s="1"/>
  <c r="AK374" i="49" s="1"/>
  <c r="AL374" i="49" s="1"/>
  <c r="AM374" i="49" s="1"/>
  <c r="AN374" i="49" s="1"/>
  <c r="AO374" i="49" s="1"/>
  <c r="AP374" i="49" s="1"/>
  <c r="J340" i="49"/>
  <c r="AZ53" i="5" s="1"/>
  <c r="AZ44" i="62" s="1"/>
  <c r="Y47" i="31"/>
  <c r="K482" i="31"/>
  <c r="BP32" i="62" s="1"/>
  <c r="BQ32" i="62" s="1"/>
  <c r="U382" i="49"/>
  <c r="V340" i="31"/>
  <c r="J469" i="31"/>
  <c r="BB28" i="62" s="1"/>
  <c r="BC28" i="62" s="1"/>
  <c r="O416" i="31"/>
  <c r="DT22" i="62" s="1"/>
  <c r="DU22" i="62" s="1"/>
  <c r="Z144" i="49"/>
  <c r="I609" i="31"/>
  <c r="AE126" i="31"/>
  <c r="AF126" i="31" s="1"/>
  <c r="AG126" i="31" s="1"/>
  <c r="AH126" i="31" s="1"/>
  <c r="AI126" i="31" s="1"/>
  <c r="AJ126" i="31" s="1"/>
  <c r="AK126" i="31" s="1"/>
  <c r="AL126" i="31" s="1"/>
  <c r="AM126" i="31" s="1"/>
  <c r="AN126" i="31" s="1"/>
  <c r="AO126" i="31" s="1"/>
  <c r="AP126" i="31" s="1"/>
  <c r="O347" i="49"/>
  <c r="DR54" i="5" s="1"/>
  <c r="AE122" i="31"/>
  <c r="AF122" i="31" s="1"/>
  <c r="AG122" i="31" s="1"/>
  <c r="AH122" i="31" s="1"/>
  <c r="AI122" i="31" s="1"/>
  <c r="AJ122" i="31" s="1"/>
  <c r="AK122" i="31" s="1"/>
  <c r="AL122" i="31" s="1"/>
  <c r="AM122" i="31" s="1"/>
  <c r="AN122" i="31" s="1"/>
  <c r="AO122" i="31" s="1"/>
  <c r="AP122" i="31" s="1"/>
  <c r="N614" i="31"/>
  <c r="AE453" i="49"/>
  <c r="AF453" i="49" s="1"/>
  <c r="AG453" i="49" s="1"/>
  <c r="AH453" i="49" s="1"/>
  <c r="AI453" i="49" s="1"/>
  <c r="AJ453" i="49" s="1"/>
  <c r="AK453" i="49" s="1"/>
  <c r="AL453" i="49" s="1"/>
  <c r="AM453" i="49" s="1"/>
  <c r="AN453" i="49" s="1"/>
  <c r="AO453" i="49" s="1"/>
  <c r="AP453" i="49" s="1"/>
  <c r="AE514" i="49"/>
  <c r="AF514" i="49" s="1"/>
  <c r="AG514" i="49" s="1"/>
  <c r="AH514" i="49" s="1"/>
  <c r="AI514" i="49" s="1"/>
  <c r="AJ514" i="49" s="1"/>
  <c r="AK514" i="49" s="1"/>
  <c r="AL514" i="49" s="1"/>
  <c r="AM514" i="49" s="1"/>
  <c r="AN514" i="49" s="1"/>
  <c r="AO514" i="49" s="1"/>
  <c r="AP514" i="49" s="1"/>
  <c r="N347" i="31"/>
  <c r="DF54" i="5" s="1"/>
  <c r="DG54" i="5" s="1"/>
  <c r="AE214" i="31"/>
  <c r="AF214" i="31" s="1"/>
  <c r="AG214" i="31" s="1"/>
  <c r="AH214" i="31" s="1"/>
  <c r="AI214" i="31" s="1"/>
  <c r="AJ214" i="31" s="1"/>
  <c r="AK214" i="31" s="1"/>
  <c r="AL214" i="31" s="1"/>
  <c r="AM214" i="31" s="1"/>
  <c r="AN214" i="31" s="1"/>
  <c r="AO214" i="31" s="1"/>
  <c r="AP214" i="31" s="1"/>
  <c r="AE131" i="49"/>
  <c r="AF131" i="49" s="1"/>
  <c r="AG131" i="49" s="1"/>
  <c r="AH131" i="49" s="1"/>
  <c r="AI131" i="49" s="1"/>
  <c r="AJ131" i="49" s="1"/>
  <c r="AK131" i="49" s="1"/>
  <c r="AL131" i="49" s="1"/>
  <c r="AM131" i="49" s="1"/>
  <c r="AN131" i="49" s="1"/>
  <c r="AO131" i="49" s="1"/>
  <c r="AP131" i="49" s="1"/>
  <c r="S542" i="49"/>
  <c r="AA136" i="49"/>
  <c r="AE18" i="31"/>
  <c r="AF18" i="31" s="1"/>
  <c r="AG18" i="31" s="1"/>
  <c r="AH18" i="31" s="1"/>
  <c r="AI18" i="31" s="1"/>
  <c r="AJ18" i="31" s="1"/>
  <c r="AK18" i="31" s="1"/>
  <c r="AL18" i="31" s="1"/>
  <c r="AM18" i="31" s="1"/>
  <c r="AN18" i="31" s="1"/>
  <c r="AO18" i="31" s="1"/>
  <c r="AP18" i="31" s="1"/>
  <c r="R47" i="31"/>
  <c r="FJ16" i="5" s="1"/>
  <c r="FK16" i="5" s="1"/>
  <c r="AB321" i="49"/>
  <c r="AE337" i="31"/>
  <c r="AF337" i="31" s="1"/>
  <c r="AG337" i="31" s="1"/>
  <c r="AH337" i="31" s="1"/>
  <c r="AI337" i="31" s="1"/>
  <c r="AJ337" i="31" s="1"/>
  <c r="AK337" i="31" s="1"/>
  <c r="AL337" i="31" s="1"/>
  <c r="AM337" i="31" s="1"/>
  <c r="AN337" i="31" s="1"/>
  <c r="AO337" i="31" s="1"/>
  <c r="AP337" i="31" s="1"/>
  <c r="Z315" i="49"/>
  <c r="AE190" i="49"/>
  <c r="AF190" i="49" s="1"/>
  <c r="AG190" i="49" s="1"/>
  <c r="AH190" i="49" s="1"/>
  <c r="AI190" i="49" s="1"/>
  <c r="AJ190" i="49" s="1"/>
  <c r="AK190" i="49" s="1"/>
  <c r="AL190" i="49" s="1"/>
  <c r="AM190" i="49" s="1"/>
  <c r="AN190" i="49" s="1"/>
  <c r="AO190" i="49" s="1"/>
  <c r="AP190" i="49" s="1"/>
  <c r="M487" i="49"/>
  <c r="CP33" i="62" s="1"/>
  <c r="AC487" i="49"/>
  <c r="X569" i="49"/>
  <c r="H476" i="49"/>
  <c r="X30" i="62" s="1"/>
  <c r="R416" i="49"/>
  <c r="FH22" i="62" s="1"/>
  <c r="AE78" i="31"/>
  <c r="AF78" i="31" s="1"/>
  <c r="AG78" i="31" s="1"/>
  <c r="AH78" i="31" s="1"/>
  <c r="AI78" i="31" s="1"/>
  <c r="AJ78" i="31" s="1"/>
  <c r="AK78" i="31" s="1"/>
  <c r="AL78" i="31" s="1"/>
  <c r="AM78" i="31" s="1"/>
  <c r="AN78" i="31" s="1"/>
  <c r="AO78" i="31" s="1"/>
  <c r="AP78" i="31" s="1"/>
  <c r="AC144" i="49"/>
  <c r="AE462" i="49"/>
  <c r="AF462" i="49" s="1"/>
  <c r="AG462" i="49" s="1"/>
  <c r="AH462" i="49" s="1"/>
  <c r="AI462" i="49" s="1"/>
  <c r="AJ462" i="49" s="1"/>
  <c r="AK462" i="49" s="1"/>
  <c r="AL462" i="49" s="1"/>
  <c r="AM462" i="49" s="1"/>
  <c r="AN462" i="49" s="1"/>
  <c r="AO462" i="49" s="1"/>
  <c r="AP462" i="49" s="1"/>
  <c r="Q347" i="49"/>
  <c r="ET54" i="5" s="1"/>
  <c r="V228" i="49"/>
  <c r="AE135" i="31"/>
  <c r="AF135" i="31" s="1"/>
  <c r="AG135" i="31" s="1"/>
  <c r="AH135" i="31" s="1"/>
  <c r="AI135" i="31" s="1"/>
  <c r="AJ135" i="31" s="1"/>
  <c r="AK135" i="31" s="1"/>
  <c r="AL135" i="31" s="1"/>
  <c r="AM135" i="31" s="1"/>
  <c r="AN135" i="31" s="1"/>
  <c r="AO135" i="31" s="1"/>
  <c r="AP135" i="31" s="1"/>
  <c r="U153" i="49"/>
  <c r="N561" i="49"/>
  <c r="K604" i="49"/>
  <c r="I293" i="49"/>
  <c r="AE87" i="31"/>
  <c r="AF87" i="31" s="1"/>
  <c r="AG87" i="31" s="1"/>
  <c r="AH87" i="31" s="1"/>
  <c r="AI87" i="31" s="1"/>
  <c r="AJ87" i="31" s="1"/>
  <c r="AK87" i="31" s="1"/>
  <c r="AL87" i="31" s="1"/>
  <c r="AM87" i="31" s="1"/>
  <c r="AN87" i="31" s="1"/>
  <c r="AO87" i="31" s="1"/>
  <c r="AP87" i="31" s="1"/>
  <c r="X506" i="49"/>
  <c r="O293" i="49"/>
  <c r="DR43" i="5" s="1"/>
  <c r="O301" i="31"/>
  <c r="R382" i="49"/>
  <c r="FH61" i="5" s="1"/>
  <c r="AD328" i="49"/>
  <c r="AE580" i="31"/>
  <c r="AF580" i="31" s="1"/>
  <c r="AG580" i="31" s="1"/>
  <c r="AH580" i="31" s="1"/>
  <c r="AI580" i="31" s="1"/>
  <c r="AJ580" i="31" s="1"/>
  <c r="AK580" i="31" s="1"/>
  <c r="AL580" i="31" s="1"/>
  <c r="AM580" i="31" s="1"/>
  <c r="AN580" i="31" s="1"/>
  <c r="AO580" i="31" s="1"/>
  <c r="AP580" i="31" s="1"/>
  <c r="AE503" i="31"/>
  <c r="AF503" i="31" s="1"/>
  <c r="AG503" i="31" s="1"/>
  <c r="AH503" i="31" s="1"/>
  <c r="AI503" i="31" s="1"/>
  <c r="AJ503" i="31" s="1"/>
  <c r="AK503" i="31" s="1"/>
  <c r="AL503" i="31" s="1"/>
  <c r="AM503" i="31" s="1"/>
  <c r="AN503" i="31" s="1"/>
  <c r="AO503" i="31" s="1"/>
  <c r="AP503" i="31" s="1"/>
  <c r="AE526" i="49"/>
  <c r="AF526" i="49" s="1"/>
  <c r="AG526" i="49" s="1"/>
  <c r="AH526" i="49" s="1"/>
  <c r="AI526" i="49" s="1"/>
  <c r="AJ526" i="49" s="1"/>
  <c r="AK526" i="49" s="1"/>
  <c r="AL526" i="49" s="1"/>
  <c r="AM526" i="49" s="1"/>
  <c r="AN526" i="49" s="1"/>
  <c r="AO526" i="49" s="1"/>
  <c r="AP526" i="49" s="1"/>
  <c r="U109" i="49"/>
  <c r="L267" i="31"/>
  <c r="W340" i="31"/>
  <c r="AE212" i="31"/>
  <c r="AF212" i="31" s="1"/>
  <c r="AG212" i="31" s="1"/>
  <c r="AH212" i="31" s="1"/>
  <c r="AI212" i="31" s="1"/>
  <c r="AJ212" i="31" s="1"/>
  <c r="AK212" i="31" s="1"/>
  <c r="AL212" i="31" s="1"/>
  <c r="AM212" i="31" s="1"/>
  <c r="AN212" i="31" s="1"/>
  <c r="AO212" i="31" s="1"/>
  <c r="AP212" i="31" s="1"/>
  <c r="G393" i="31"/>
  <c r="AE394" i="31"/>
  <c r="R35" i="31"/>
  <c r="FJ14" i="5" s="1"/>
  <c r="FK14" i="5" s="1"/>
  <c r="I47" i="31"/>
  <c r="AC506" i="31"/>
  <c r="T565" i="31"/>
  <c r="AA416" i="31"/>
  <c r="AE337" i="49"/>
  <c r="AF337" i="49" s="1"/>
  <c r="AG337" i="49" s="1"/>
  <c r="AH337" i="49" s="1"/>
  <c r="AI337" i="49" s="1"/>
  <c r="AJ337" i="49" s="1"/>
  <c r="AK337" i="49" s="1"/>
  <c r="AL337" i="49" s="1"/>
  <c r="AM337" i="49" s="1"/>
  <c r="AN337" i="49" s="1"/>
  <c r="AO337" i="49" s="1"/>
  <c r="AP337" i="49" s="1"/>
  <c r="AE536" i="31"/>
  <c r="AF536" i="31" s="1"/>
  <c r="AG536" i="31" s="1"/>
  <c r="AH536" i="31" s="1"/>
  <c r="AI536" i="31" s="1"/>
  <c r="AJ536" i="31" s="1"/>
  <c r="AK536" i="31" s="1"/>
  <c r="AL536" i="31" s="1"/>
  <c r="AM536" i="31" s="1"/>
  <c r="AN536" i="31" s="1"/>
  <c r="AO536" i="31" s="1"/>
  <c r="AP536" i="31" s="1"/>
  <c r="AE60" i="31"/>
  <c r="AF60" i="31" s="1"/>
  <c r="AG60" i="31" s="1"/>
  <c r="R89" i="31"/>
  <c r="FJ20" i="5" s="1"/>
  <c r="FK20" i="5" s="1"/>
  <c r="U228" i="49"/>
  <c r="AF249" i="49"/>
  <c r="AG249" i="49" s="1"/>
  <c r="AH249" i="49" s="1"/>
  <c r="AI249" i="49" s="1"/>
  <c r="AJ249" i="49" s="1"/>
  <c r="AK249" i="49" s="1"/>
  <c r="AL249" i="49" s="1"/>
  <c r="AM249" i="49" s="1"/>
  <c r="AN249" i="49" s="1"/>
  <c r="AO249" i="49" s="1"/>
  <c r="AP249" i="49" s="1"/>
  <c r="W476" i="31"/>
  <c r="R9" i="49"/>
  <c r="AE548" i="49"/>
  <c r="AF548" i="49" s="1"/>
  <c r="AG548" i="49" s="1"/>
  <c r="AH548" i="49" s="1"/>
  <c r="AI548" i="49" s="1"/>
  <c r="AJ548" i="49" s="1"/>
  <c r="AK548" i="49" s="1"/>
  <c r="AL548" i="49" s="1"/>
  <c r="AM548" i="49" s="1"/>
  <c r="AN548" i="49" s="1"/>
  <c r="AO548" i="49" s="1"/>
  <c r="AP548" i="49" s="1"/>
  <c r="AE486" i="31"/>
  <c r="AF486" i="31" s="1"/>
  <c r="AG486" i="31" s="1"/>
  <c r="AH486" i="31" s="1"/>
  <c r="AI486" i="31" s="1"/>
  <c r="AJ486" i="31" s="1"/>
  <c r="AK486" i="31" s="1"/>
  <c r="AL486" i="31" s="1"/>
  <c r="AM486" i="31" s="1"/>
  <c r="AN486" i="31" s="1"/>
  <c r="AO486" i="31" s="1"/>
  <c r="AP486" i="31" s="1"/>
  <c r="Y293" i="49"/>
  <c r="L228" i="49"/>
  <c r="T600" i="31"/>
  <c r="O315" i="49"/>
  <c r="H208" i="31"/>
  <c r="Z36" i="5" s="1"/>
  <c r="AE29" i="31"/>
  <c r="AF29" i="31" s="1"/>
  <c r="AG29" i="31" s="1"/>
  <c r="AH29" i="31" s="1"/>
  <c r="AI29" i="31" s="1"/>
  <c r="AJ29" i="31" s="1"/>
  <c r="AK29" i="31" s="1"/>
  <c r="AL29" i="31" s="1"/>
  <c r="AM29" i="31" s="1"/>
  <c r="AN29" i="31" s="1"/>
  <c r="AO29" i="31" s="1"/>
  <c r="AP29" i="31" s="1"/>
  <c r="AE598" i="49"/>
  <c r="AF598" i="49" s="1"/>
  <c r="AG598" i="49" s="1"/>
  <c r="AH598" i="49" s="1"/>
  <c r="AI598" i="49" s="1"/>
  <c r="AJ598" i="49" s="1"/>
  <c r="AK598" i="49" s="1"/>
  <c r="AL598" i="49" s="1"/>
  <c r="AM598" i="49" s="1"/>
  <c r="AN598" i="49" s="1"/>
  <c r="AO598" i="49" s="1"/>
  <c r="AP598" i="49" s="1"/>
  <c r="AF580" i="49"/>
  <c r="AG580" i="49" s="1"/>
  <c r="AH580" i="49" s="1"/>
  <c r="AI580" i="49" s="1"/>
  <c r="AJ580" i="49" s="1"/>
  <c r="AK580" i="49" s="1"/>
  <c r="AL580" i="49" s="1"/>
  <c r="AM580" i="49" s="1"/>
  <c r="AN580" i="49" s="1"/>
  <c r="AO580" i="49" s="1"/>
  <c r="AP580" i="49" s="1"/>
  <c r="AE480" i="49"/>
  <c r="AF480" i="49" s="1"/>
  <c r="AG480" i="49" s="1"/>
  <c r="AH480" i="49" s="1"/>
  <c r="AI480" i="49" s="1"/>
  <c r="AJ480" i="49" s="1"/>
  <c r="AK480" i="49" s="1"/>
  <c r="AL480" i="49" s="1"/>
  <c r="AM480" i="49" s="1"/>
  <c r="AN480" i="49" s="1"/>
  <c r="AO480" i="49" s="1"/>
  <c r="AP480" i="49" s="1"/>
  <c r="X286" i="49"/>
  <c r="AA604" i="49"/>
  <c r="I98" i="31"/>
  <c r="X286" i="31"/>
  <c r="X158" i="49"/>
  <c r="AE518" i="49"/>
  <c r="AF518" i="49" s="1"/>
  <c r="AG518" i="49" s="1"/>
  <c r="AH518" i="49" s="1"/>
  <c r="AI518" i="49" s="1"/>
  <c r="AJ518" i="49" s="1"/>
  <c r="AK518" i="49" s="1"/>
  <c r="AL518" i="49" s="1"/>
  <c r="AM518" i="49" s="1"/>
  <c r="AN518" i="49" s="1"/>
  <c r="AO518" i="49" s="1"/>
  <c r="AP518" i="49" s="1"/>
  <c r="AE320" i="49"/>
  <c r="AF320" i="49" s="1"/>
  <c r="AG320" i="49" s="1"/>
  <c r="AH320" i="49" s="1"/>
  <c r="AI320" i="49" s="1"/>
  <c r="AJ320" i="49" s="1"/>
  <c r="AK320" i="49" s="1"/>
  <c r="AL320" i="49" s="1"/>
  <c r="AM320" i="49" s="1"/>
  <c r="AN320" i="49" s="1"/>
  <c r="AO320" i="49" s="1"/>
  <c r="AP320" i="49" s="1"/>
  <c r="AE76" i="31"/>
  <c r="AF76" i="31" s="1"/>
  <c r="AG76" i="31" s="1"/>
  <c r="AH76" i="31" s="1"/>
  <c r="AI76" i="31" s="1"/>
  <c r="AJ76" i="31" s="1"/>
  <c r="AK76" i="31" s="1"/>
  <c r="AL76" i="31" s="1"/>
  <c r="AM76" i="31" s="1"/>
  <c r="AN76" i="31" s="1"/>
  <c r="AO76" i="31" s="1"/>
  <c r="AP76" i="31" s="1"/>
  <c r="AE96" i="31"/>
  <c r="AF96" i="31" s="1"/>
  <c r="AG96" i="31" s="1"/>
  <c r="AH96" i="31" s="1"/>
  <c r="AI96" i="31" s="1"/>
  <c r="AJ96" i="31" s="1"/>
  <c r="AK96" i="31" s="1"/>
  <c r="AL96" i="31" s="1"/>
  <c r="AM96" i="31" s="1"/>
  <c r="AN96" i="31" s="1"/>
  <c r="AO96" i="31" s="1"/>
  <c r="AP96" i="31" s="1"/>
  <c r="AE277" i="31"/>
  <c r="AF277" i="31" s="1"/>
  <c r="AG277" i="31" s="1"/>
  <c r="AH277" i="31" s="1"/>
  <c r="AI277" i="31" s="1"/>
  <c r="AJ277" i="31" s="1"/>
  <c r="AK277" i="31" s="1"/>
  <c r="AL277" i="31" s="1"/>
  <c r="AM277" i="31" s="1"/>
  <c r="AN277" i="31" s="1"/>
  <c r="AO277" i="31" s="1"/>
  <c r="AP277" i="31" s="1"/>
  <c r="I35" i="31"/>
  <c r="AD614" i="49"/>
  <c r="AE334" i="49"/>
  <c r="G333" i="49"/>
  <c r="AE318" i="31"/>
  <c r="AF318" i="31" s="1"/>
  <c r="AG318" i="31" s="1"/>
  <c r="AH318" i="31" s="1"/>
  <c r="AI318" i="31" s="1"/>
  <c r="AJ318" i="31" s="1"/>
  <c r="AK318" i="31" s="1"/>
  <c r="AL318" i="31" s="1"/>
  <c r="AM318" i="31" s="1"/>
  <c r="AN318" i="31" s="1"/>
  <c r="AO318" i="31" s="1"/>
  <c r="AP318" i="31" s="1"/>
  <c r="T469" i="49"/>
  <c r="AF470" i="31"/>
  <c r="H469" i="31"/>
  <c r="Z28" i="62" s="1"/>
  <c r="AA28" i="62" s="1"/>
  <c r="X228" i="31"/>
  <c r="U340" i="49"/>
  <c r="AE401" i="31"/>
  <c r="AF401" i="31" s="1"/>
  <c r="AG401" i="31" s="1"/>
  <c r="AH401" i="31" s="1"/>
  <c r="AI401" i="31" s="1"/>
  <c r="AJ401" i="31" s="1"/>
  <c r="AK401" i="31" s="1"/>
  <c r="AL401" i="31" s="1"/>
  <c r="AM401" i="31" s="1"/>
  <c r="AN401" i="31" s="1"/>
  <c r="AO401" i="31" s="1"/>
  <c r="AP401" i="31" s="1"/>
  <c r="O557" i="31"/>
  <c r="AE473" i="49"/>
  <c r="AF473" i="49" s="1"/>
  <c r="AG473" i="49" s="1"/>
  <c r="AH473" i="49" s="1"/>
  <c r="AI473" i="49" s="1"/>
  <c r="AJ473" i="49" s="1"/>
  <c r="AK473" i="49" s="1"/>
  <c r="AL473" i="49" s="1"/>
  <c r="AM473" i="49" s="1"/>
  <c r="AN473" i="49" s="1"/>
  <c r="AO473" i="49" s="1"/>
  <c r="AP473" i="49" s="1"/>
  <c r="W62" i="31"/>
  <c r="AE232" i="31"/>
  <c r="AF232" i="31" s="1"/>
  <c r="AG232" i="31" s="1"/>
  <c r="AH232" i="31" s="1"/>
  <c r="AI232" i="31" s="1"/>
  <c r="AJ232" i="31" s="1"/>
  <c r="AK232" i="31" s="1"/>
  <c r="AL232" i="31" s="1"/>
  <c r="AM232" i="31" s="1"/>
  <c r="AN232" i="31" s="1"/>
  <c r="AO232" i="31" s="1"/>
  <c r="AP232" i="31" s="1"/>
  <c r="H35" i="31"/>
  <c r="Z14" i="5" s="1"/>
  <c r="AA14" i="5" s="1"/>
  <c r="AE335" i="49"/>
  <c r="AF335" i="49" s="1"/>
  <c r="AG335" i="49" s="1"/>
  <c r="AH335" i="49" s="1"/>
  <c r="AI335" i="49" s="1"/>
  <c r="AJ335" i="49" s="1"/>
  <c r="AK335" i="49" s="1"/>
  <c r="AL335" i="49" s="1"/>
  <c r="AM335" i="49" s="1"/>
  <c r="AN335" i="49" s="1"/>
  <c r="AO335" i="49" s="1"/>
  <c r="AP335" i="49" s="1"/>
  <c r="AE140" i="31"/>
  <c r="AF140" i="31" s="1"/>
  <c r="AG140" i="31" s="1"/>
  <c r="AH140" i="31" s="1"/>
  <c r="AI140" i="31" s="1"/>
  <c r="AJ140" i="31" s="1"/>
  <c r="AK140" i="31" s="1"/>
  <c r="AL140" i="31" s="1"/>
  <c r="AM140" i="31" s="1"/>
  <c r="AN140" i="31" s="1"/>
  <c r="AO140" i="31" s="1"/>
  <c r="AP140" i="31" s="1"/>
  <c r="AE432" i="49"/>
  <c r="AF432" i="49" s="1"/>
  <c r="AG432" i="49" s="1"/>
  <c r="AH432" i="49" s="1"/>
  <c r="AI432" i="49" s="1"/>
  <c r="AJ432" i="49" s="1"/>
  <c r="AK432" i="49" s="1"/>
  <c r="AL432" i="49" s="1"/>
  <c r="AM432" i="49" s="1"/>
  <c r="AN432" i="49" s="1"/>
  <c r="AO432" i="49" s="1"/>
  <c r="AP432" i="49" s="1"/>
  <c r="AE118" i="31"/>
  <c r="AF118" i="31" s="1"/>
  <c r="AG118" i="31" s="1"/>
  <c r="AH118" i="31" s="1"/>
  <c r="AI118" i="31" s="1"/>
  <c r="AJ118" i="31" s="1"/>
  <c r="AK118" i="31" s="1"/>
  <c r="AL118" i="31" s="1"/>
  <c r="AM118" i="31" s="1"/>
  <c r="AN118" i="31" s="1"/>
  <c r="AO118" i="31" s="1"/>
  <c r="AP118" i="31" s="1"/>
  <c r="Q531" i="49"/>
  <c r="AE330" i="49"/>
  <c r="AF330" i="49" s="1"/>
  <c r="AG330" i="49" s="1"/>
  <c r="AH330" i="49" s="1"/>
  <c r="AI330" i="49" s="1"/>
  <c r="AJ330" i="49" s="1"/>
  <c r="AK330" i="49" s="1"/>
  <c r="AL330" i="49" s="1"/>
  <c r="AM330" i="49" s="1"/>
  <c r="AN330" i="49" s="1"/>
  <c r="AO330" i="49" s="1"/>
  <c r="AP330" i="49" s="1"/>
  <c r="AE324" i="49"/>
  <c r="AF324" i="49" s="1"/>
  <c r="AG324" i="49" s="1"/>
  <c r="AH324" i="49" s="1"/>
  <c r="AI324" i="49" s="1"/>
  <c r="AJ324" i="49" s="1"/>
  <c r="AK324" i="49" s="1"/>
  <c r="AL324" i="49" s="1"/>
  <c r="AM324" i="49" s="1"/>
  <c r="AN324" i="49" s="1"/>
  <c r="AO324" i="49" s="1"/>
  <c r="AP324" i="49" s="1"/>
  <c r="W301" i="31"/>
  <c r="W313" i="31" s="1"/>
  <c r="R393" i="49"/>
  <c r="R153" i="49"/>
  <c r="FH28" i="5" s="1"/>
  <c r="O614" i="31"/>
  <c r="R506" i="49"/>
  <c r="FH34" i="62" s="1"/>
  <c r="AE218" i="49"/>
  <c r="AF218" i="49" s="1"/>
  <c r="AG218" i="49" s="1"/>
  <c r="AH218" i="49" s="1"/>
  <c r="AI218" i="49" s="1"/>
  <c r="AJ218" i="49" s="1"/>
  <c r="AK218" i="49" s="1"/>
  <c r="AL218" i="49" s="1"/>
  <c r="AM218" i="49" s="1"/>
  <c r="AN218" i="49" s="1"/>
  <c r="AO218" i="49" s="1"/>
  <c r="AP218" i="49" s="1"/>
  <c r="W377" i="31"/>
  <c r="AE519" i="31"/>
  <c r="AF519" i="31" s="1"/>
  <c r="AG519" i="31" s="1"/>
  <c r="AH519" i="31" s="1"/>
  <c r="AI519" i="31" s="1"/>
  <c r="AJ519" i="31" s="1"/>
  <c r="AK519" i="31" s="1"/>
  <c r="AL519" i="31" s="1"/>
  <c r="AM519" i="31" s="1"/>
  <c r="AN519" i="31" s="1"/>
  <c r="AO519" i="31" s="1"/>
  <c r="AP519" i="31" s="1"/>
  <c r="N393" i="31"/>
  <c r="DF19" i="62" s="1"/>
  <c r="DG19" i="62" s="1"/>
  <c r="AE138" i="31"/>
  <c r="AF138" i="31" s="1"/>
  <c r="AG138" i="31" s="1"/>
  <c r="AH138" i="31" s="1"/>
  <c r="AI138" i="31" s="1"/>
  <c r="AJ138" i="31" s="1"/>
  <c r="AK138" i="31" s="1"/>
  <c r="AL138" i="31" s="1"/>
  <c r="AM138" i="31" s="1"/>
  <c r="AN138" i="31" s="1"/>
  <c r="AO138" i="31" s="1"/>
  <c r="AP138" i="31" s="1"/>
  <c r="AE485" i="31"/>
  <c r="AF485" i="31" s="1"/>
  <c r="AG485" i="31" s="1"/>
  <c r="AH485" i="31" s="1"/>
  <c r="AI485" i="31" s="1"/>
  <c r="AJ485" i="31" s="1"/>
  <c r="AK485" i="31" s="1"/>
  <c r="AL485" i="31" s="1"/>
  <c r="AM485" i="31" s="1"/>
  <c r="AN485" i="31" s="1"/>
  <c r="AO485" i="31" s="1"/>
  <c r="AP485" i="31" s="1"/>
  <c r="AE345" i="31"/>
  <c r="X178" i="31"/>
  <c r="Y89" i="31"/>
  <c r="AA219" i="49"/>
  <c r="Y531" i="31"/>
  <c r="W153" i="31"/>
  <c r="AE611" i="49"/>
  <c r="AF611" i="49" s="1"/>
  <c r="AG611" i="49" s="1"/>
  <c r="AH611" i="49" s="1"/>
  <c r="AI611" i="49" s="1"/>
  <c r="AJ611" i="49" s="1"/>
  <c r="AK611" i="49" s="1"/>
  <c r="AL611" i="49" s="1"/>
  <c r="AM611" i="49" s="1"/>
  <c r="AN611" i="49" s="1"/>
  <c r="AO611" i="49" s="1"/>
  <c r="AP611" i="49" s="1"/>
  <c r="AE271" i="49"/>
  <c r="AF271" i="49" s="1"/>
  <c r="AG271" i="49" s="1"/>
  <c r="AH271" i="49" s="1"/>
  <c r="AI271" i="49" s="1"/>
  <c r="AJ271" i="49" s="1"/>
  <c r="AK271" i="49" s="1"/>
  <c r="AL271" i="49" s="1"/>
  <c r="AM271" i="49" s="1"/>
  <c r="AN271" i="49" s="1"/>
  <c r="AO271" i="49" s="1"/>
  <c r="AP271" i="49" s="1"/>
  <c r="Z188" i="31"/>
  <c r="AE56" i="31"/>
  <c r="AF56" i="31" s="1"/>
  <c r="AG56" i="31" s="1"/>
  <c r="AH56" i="31" s="1"/>
  <c r="AI56" i="31" s="1"/>
  <c r="AJ56" i="31" s="1"/>
  <c r="AK56" i="31" s="1"/>
  <c r="AL56" i="31" s="1"/>
  <c r="AM56" i="31" s="1"/>
  <c r="AN56" i="31" s="1"/>
  <c r="AO56" i="31" s="1"/>
  <c r="AP56" i="31" s="1"/>
  <c r="AE120" i="31"/>
  <c r="AF120" i="31" s="1"/>
  <c r="AG120" i="31" s="1"/>
  <c r="AH120" i="31" s="1"/>
  <c r="AI120" i="31" s="1"/>
  <c r="AJ120" i="31" s="1"/>
  <c r="AK120" i="31" s="1"/>
  <c r="AL120" i="31" s="1"/>
  <c r="AM120" i="31" s="1"/>
  <c r="AN120" i="31" s="1"/>
  <c r="AO120" i="31" s="1"/>
  <c r="AP120" i="31" s="1"/>
  <c r="T71" i="31"/>
  <c r="X168" i="31"/>
  <c r="X157" i="31" s="1"/>
  <c r="U47" i="31"/>
  <c r="Y442" i="49"/>
  <c r="W609" i="31"/>
  <c r="H35" i="49"/>
  <c r="X14" i="5" s="1"/>
  <c r="AF36" i="49"/>
  <c r="AC267" i="31"/>
  <c r="AE236" i="31"/>
  <c r="AF236" i="31" s="1"/>
  <c r="AG236" i="31" s="1"/>
  <c r="AH236" i="31" s="1"/>
  <c r="AI236" i="31" s="1"/>
  <c r="AJ236" i="31" s="1"/>
  <c r="AK236" i="31" s="1"/>
  <c r="AL236" i="31" s="1"/>
  <c r="AM236" i="31" s="1"/>
  <c r="AN236" i="31" s="1"/>
  <c r="AO236" i="31" s="1"/>
  <c r="AP236" i="31" s="1"/>
  <c r="AE83" i="31"/>
  <c r="AF83" i="31" s="1"/>
  <c r="AG83" i="31" s="1"/>
  <c r="AH83" i="31" s="1"/>
  <c r="AI83" i="31" s="1"/>
  <c r="AJ83" i="31" s="1"/>
  <c r="AK83" i="31" s="1"/>
  <c r="AL83" i="31" s="1"/>
  <c r="AM83" i="31" s="1"/>
  <c r="AN83" i="31" s="1"/>
  <c r="AO83" i="31" s="1"/>
  <c r="AP83" i="31" s="1"/>
  <c r="W98" i="31"/>
  <c r="Q469" i="31"/>
  <c r="EV28" i="62" s="1"/>
  <c r="EW28" i="62" s="1"/>
  <c r="AH318" i="49"/>
  <c r="AI318" i="49" s="1"/>
  <c r="AJ318" i="49" s="1"/>
  <c r="AD584" i="31"/>
  <c r="V228" i="31"/>
  <c r="AF535" i="31"/>
  <c r="AG535" i="31" s="1"/>
  <c r="AH535" i="31" s="1"/>
  <c r="AI535" i="31" s="1"/>
  <c r="AJ535" i="31" s="1"/>
  <c r="AK535" i="31" s="1"/>
  <c r="AL535" i="31" s="1"/>
  <c r="AM535" i="31" s="1"/>
  <c r="AN535" i="31" s="1"/>
  <c r="AO535" i="31" s="1"/>
  <c r="AP535" i="31" s="1"/>
  <c r="AE552" i="49"/>
  <c r="AF552" i="49" s="1"/>
  <c r="AG552" i="49" s="1"/>
  <c r="AH552" i="49" s="1"/>
  <c r="AI552" i="49" s="1"/>
  <c r="AJ552" i="49" s="1"/>
  <c r="AK552" i="49" s="1"/>
  <c r="AL552" i="49" s="1"/>
  <c r="AM552" i="49" s="1"/>
  <c r="AN552" i="49" s="1"/>
  <c r="AO552" i="49" s="1"/>
  <c r="AP552" i="49" s="1"/>
  <c r="Y98" i="31"/>
  <c r="AF480" i="31"/>
  <c r="AG480" i="31" s="1"/>
  <c r="AH480" i="31" s="1"/>
  <c r="AI480" i="31" s="1"/>
  <c r="AJ480" i="31" s="1"/>
  <c r="AK480" i="31" s="1"/>
  <c r="AL480" i="31" s="1"/>
  <c r="AM480" i="31" s="1"/>
  <c r="AN480" i="31" s="1"/>
  <c r="AO480" i="31" s="1"/>
  <c r="AP480" i="31" s="1"/>
  <c r="T127" i="31"/>
  <c r="Y158" i="31"/>
  <c r="Y157" i="31" s="1"/>
  <c r="Q267" i="49"/>
  <c r="ET41" i="5" s="1"/>
  <c r="T168" i="49"/>
  <c r="Z293" i="49"/>
  <c r="U89" i="49"/>
  <c r="K89" i="49"/>
  <c r="BN20" i="5" s="1"/>
  <c r="M80" i="49"/>
  <c r="CP19" i="5" s="1"/>
  <c r="I144" i="31"/>
  <c r="AN27" i="5" s="1"/>
  <c r="AO27" i="5" s="1"/>
  <c r="T561" i="49"/>
  <c r="AE161" i="49"/>
  <c r="AF161" i="49" s="1"/>
  <c r="AG161" i="49" s="1"/>
  <c r="AH161" i="49" s="1"/>
  <c r="AI161" i="49" s="1"/>
  <c r="AJ161" i="49" s="1"/>
  <c r="AK161" i="49" s="1"/>
  <c r="AL161" i="49" s="1"/>
  <c r="AM161" i="49" s="1"/>
  <c r="AN161" i="49" s="1"/>
  <c r="AO161" i="49" s="1"/>
  <c r="AP161" i="49" s="1"/>
  <c r="P238" i="31"/>
  <c r="EH39" i="5" s="1"/>
  <c r="AN613" i="45" s="1"/>
  <c r="S393" i="49"/>
  <c r="R340" i="31"/>
  <c r="FJ53" i="5" s="1"/>
  <c r="FJ44" i="62" s="1"/>
  <c r="S238" i="49"/>
  <c r="AE261" i="31"/>
  <c r="AF261" i="31" s="1"/>
  <c r="AG261" i="31" s="1"/>
  <c r="AH261" i="31" s="1"/>
  <c r="AI261" i="31" s="1"/>
  <c r="AJ261" i="31" s="1"/>
  <c r="AK261" i="31" s="1"/>
  <c r="AL261" i="31" s="1"/>
  <c r="AM261" i="31" s="1"/>
  <c r="AN261" i="31" s="1"/>
  <c r="AO261" i="31" s="1"/>
  <c r="AP261" i="31" s="1"/>
  <c r="AC356" i="49"/>
  <c r="AE105" i="31"/>
  <c r="AF105" i="31" s="1"/>
  <c r="AG105" i="31" s="1"/>
  <c r="AH105" i="31" s="1"/>
  <c r="AI105" i="31" s="1"/>
  <c r="AJ105" i="31" s="1"/>
  <c r="AK105" i="31" s="1"/>
  <c r="AL105" i="31" s="1"/>
  <c r="AM105" i="31" s="1"/>
  <c r="AN105" i="31" s="1"/>
  <c r="AO105" i="31" s="1"/>
  <c r="AP105" i="31" s="1"/>
  <c r="AE180" i="31"/>
  <c r="AF180" i="31" s="1"/>
  <c r="AG180" i="31" s="1"/>
  <c r="AE608" i="49"/>
  <c r="I71" i="31"/>
  <c r="AN18" i="5" s="1"/>
  <c r="AO18" i="5" s="1"/>
  <c r="Y109" i="31"/>
  <c r="N584" i="49"/>
  <c r="L301" i="31"/>
  <c r="AE379" i="31"/>
  <c r="AF379" i="31" s="1"/>
  <c r="AG379" i="31" s="1"/>
  <c r="AF97" i="31"/>
  <c r="AG97" i="31" s="1"/>
  <c r="AH97" i="31" s="1"/>
  <c r="AI97" i="31" s="1"/>
  <c r="AJ97" i="31" s="1"/>
  <c r="AK97" i="31" s="1"/>
  <c r="AL97" i="31" s="1"/>
  <c r="AM97" i="31" s="1"/>
  <c r="AN97" i="31" s="1"/>
  <c r="AO97" i="31" s="1"/>
  <c r="AP97" i="31" s="1"/>
  <c r="P26" i="49"/>
  <c r="EF13" i="5" s="1"/>
  <c r="AD286" i="31"/>
  <c r="S238" i="31"/>
  <c r="N561" i="31"/>
  <c r="AE361" i="31"/>
  <c r="AF361" i="31" s="1"/>
  <c r="AG361" i="31" s="1"/>
  <c r="AH361" i="31" s="1"/>
  <c r="AI361" i="31" s="1"/>
  <c r="AJ361" i="31" s="1"/>
  <c r="AK361" i="31" s="1"/>
  <c r="AL361" i="31" s="1"/>
  <c r="AM361" i="31" s="1"/>
  <c r="AN361" i="31" s="1"/>
  <c r="AO361" i="31" s="1"/>
  <c r="AP361" i="31" s="1"/>
  <c r="T127" i="49"/>
  <c r="K506" i="49"/>
  <c r="BN34" i="62" s="1"/>
  <c r="Q219" i="31"/>
  <c r="EV37" i="5" s="1"/>
  <c r="M144" i="49"/>
  <c r="CP27" i="5" s="1"/>
  <c r="R469" i="49"/>
  <c r="FH28" i="62" s="1"/>
  <c r="FH29" i="62" s="1"/>
  <c r="M609" i="31"/>
  <c r="W47" i="31"/>
  <c r="AA569" i="31"/>
  <c r="I584" i="31"/>
  <c r="N366" i="31"/>
  <c r="DF58" i="5" s="1"/>
  <c r="DG58" i="5" s="1"/>
  <c r="M542" i="49"/>
  <c r="P208" i="49"/>
  <c r="EF36" i="5" s="1"/>
  <c r="AE353" i="49"/>
  <c r="AF353" i="49" s="1"/>
  <c r="AG353" i="49" s="1"/>
  <c r="AH353" i="49" s="1"/>
  <c r="AI353" i="49" s="1"/>
  <c r="AJ353" i="49" s="1"/>
  <c r="AK353" i="49" s="1"/>
  <c r="AL353" i="49" s="1"/>
  <c r="AM353" i="49" s="1"/>
  <c r="AN353" i="49" s="1"/>
  <c r="AO353" i="49" s="1"/>
  <c r="AP353" i="49" s="1"/>
  <c r="H366" i="49"/>
  <c r="X58" i="5" s="1"/>
  <c r="AA321" i="49"/>
  <c r="AE379" i="49"/>
  <c r="AF379" i="49" s="1"/>
  <c r="AG379" i="49" s="1"/>
  <c r="AH379" i="49" s="1"/>
  <c r="AI379" i="49" s="1"/>
  <c r="AJ379" i="49" s="1"/>
  <c r="AK379" i="49" s="1"/>
  <c r="AL379" i="49" s="1"/>
  <c r="AM379" i="49" s="1"/>
  <c r="AN379" i="49" s="1"/>
  <c r="AO379" i="49" s="1"/>
  <c r="AP379" i="49" s="1"/>
  <c r="I188" i="31"/>
  <c r="AE457" i="49"/>
  <c r="AF457" i="49" s="1"/>
  <c r="AG457" i="49" s="1"/>
  <c r="AH457" i="49" s="1"/>
  <c r="AI457" i="49" s="1"/>
  <c r="AJ457" i="49" s="1"/>
  <c r="AK457" i="49" s="1"/>
  <c r="AL457" i="49" s="1"/>
  <c r="AM457" i="49" s="1"/>
  <c r="AN457" i="49" s="1"/>
  <c r="AO457" i="49" s="1"/>
  <c r="AP457" i="49" s="1"/>
  <c r="AE405" i="31"/>
  <c r="AF405" i="31" s="1"/>
  <c r="AG405" i="31" s="1"/>
  <c r="AH405" i="31" s="1"/>
  <c r="AI405" i="31" s="1"/>
  <c r="AJ405" i="31" s="1"/>
  <c r="AK405" i="31" s="1"/>
  <c r="AL405" i="31" s="1"/>
  <c r="AM405" i="31" s="1"/>
  <c r="AN405" i="31" s="1"/>
  <c r="AO405" i="31" s="1"/>
  <c r="AP405" i="31" s="1"/>
  <c r="AA321" i="31"/>
  <c r="O328" i="49"/>
  <c r="DR51" i="5" s="1"/>
  <c r="DR43" i="62" s="1"/>
  <c r="N306" i="49"/>
  <c r="DD46" i="5" s="1"/>
  <c r="AA208" i="49"/>
  <c r="Y347" i="31"/>
  <c r="W89" i="31"/>
  <c r="V356" i="31"/>
  <c r="AE511" i="31"/>
  <c r="AF511" i="31" s="1"/>
  <c r="AG511" i="31" s="1"/>
  <c r="AH511" i="31" s="1"/>
  <c r="AI511" i="31" s="1"/>
  <c r="AJ511" i="31" s="1"/>
  <c r="AK511" i="31" s="1"/>
  <c r="AL511" i="31" s="1"/>
  <c r="AM511" i="31" s="1"/>
  <c r="AN511" i="31" s="1"/>
  <c r="AO511" i="31" s="1"/>
  <c r="AP511" i="31" s="1"/>
  <c r="AF215" i="31"/>
  <c r="AG215" i="31" s="1"/>
  <c r="AH215" i="31" s="1"/>
  <c r="AI215" i="31" s="1"/>
  <c r="AJ215" i="31" s="1"/>
  <c r="AK215" i="31" s="1"/>
  <c r="AL215" i="31" s="1"/>
  <c r="AM215" i="31" s="1"/>
  <c r="AN215" i="31" s="1"/>
  <c r="AO215" i="31" s="1"/>
  <c r="AP215" i="31" s="1"/>
  <c r="U476" i="31"/>
  <c r="S542" i="31"/>
  <c r="J26" i="31"/>
  <c r="BB13" i="5" s="1"/>
  <c r="BC13" i="5" s="1"/>
  <c r="AA487" i="31"/>
  <c r="AE277" i="49"/>
  <c r="AF277" i="49" s="1"/>
  <c r="AG277" i="49" s="1"/>
  <c r="AH277" i="49" s="1"/>
  <c r="AI277" i="49" s="1"/>
  <c r="AJ277" i="49" s="1"/>
  <c r="AK277" i="49" s="1"/>
  <c r="AL277" i="49" s="1"/>
  <c r="AM277" i="49" s="1"/>
  <c r="AN277" i="49" s="1"/>
  <c r="AO277" i="49" s="1"/>
  <c r="AP277" i="49" s="1"/>
  <c r="G267" i="49"/>
  <c r="AE268" i="49"/>
  <c r="M600" i="31"/>
  <c r="S487" i="49"/>
  <c r="AE407" i="31"/>
  <c r="AF407" i="31" s="1"/>
  <c r="AG407" i="31" s="1"/>
  <c r="AH407" i="31" s="1"/>
  <c r="AI407" i="31" s="1"/>
  <c r="AJ407" i="31" s="1"/>
  <c r="AK407" i="31" s="1"/>
  <c r="AL407" i="31" s="1"/>
  <c r="AM407" i="31" s="1"/>
  <c r="AN407" i="31" s="1"/>
  <c r="AO407" i="31" s="1"/>
  <c r="AP407" i="31" s="1"/>
  <c r="O340" i="49"/>
  <c r="DR53" i="5" s="1"/>
  <c r="DR44" i="62" s="1"/>
  <c r="AC80" i="49"/>
  <c r="AE250" i="49"/>
  <c r="AF250" i="49" s="1"/>
  <c r="AG250" i="49" s="1"/>
  <c r="AH250" i="49" s="1"/>
  <c r="AI250" i="49" s="1"/>
  <c r="AJ250" i="49" s="1"/>
  <c r="AK250" i="49" s="1"/>
  <c r="Y35" i="31"/>
  <c r="K267" i="31"/>
  <c r="BP41" i="5" s="1"/>
  <c r="H569" i="31"/>
  <c r="I26" i="31"/>
  <c r="AN13" i="5" s="1"/>
  <c r="W366" i="49"/>
  <c r="M26" i="49"/>
  <c r="CP13" i="5" s="1"/>
  <c r="R208" i="49"/>
  <c r="FH36" i="5" s="1"/>
  <c r="AE124" i="31"/>
  <c r="AF124" i="31" s="1"/>
  <c r="AG124" i="31" s="1"/>
  <c r="AH124" i="31" s="1"/>
  <c r="AI124" i="31" s="1"/>
  <c r="AJ124" i="31" s="1"/>
  <c r="AK124" i="31" s="1"/>
  <c r="AL124" i="31" s="1"/>
  <c r="AM124" i="31" s="1"/>
  <c r="AN124" i="31" s="1"/>
  <c r="AO124" i="31" s="1"/>
  <c r="AP124" i="31" s="1"/>
  <c r="AD62" i="49"/>
  <c r="R153" i="31"/>
  <c r="FJ28" i="5" s="1"/>
  <c r="FK28" i="5" s="1"/>
  <c r="Z80" i="31"/>
  <c r="AF615" i="31"/>
  <c r="H614" i="31"/>
  <c r="AA553" i="31"/>
  <c r="AE601" i="49"/>
  <c r="G600" i="49"/>
  <c r="P328" i="49"/>
  <c r="EF51" i="5" s="1"/>
  <c r="EF43" i="62" s="1"/>
  <c r="AF140" i="49"/>
  <c r="AG140" i="49" s="1"/>
  <c r="AH140" i="49" s="1"/>
  <c r="AI140" i="49" s="1"/>
  <c r="AJ140" i="49" s="1"/>
  <c r="AK140" i="49" s="1"/>
  <c r="AL140" i="49" s="1"/>
  <c r="AM140" i="49" s="1"/>
  <c r="AN140" i="49" s="1"/>
  <c r="AO140" i="49" s="1"/>
  <c r="AP140" i="49" s="1"/>
  <c r="AE54" i="31"/>
  <c r="AF54" i="31" s="1"/>
  <c r="AG54" i="31" s="1"/>
  <c r="AH54" i="31" s="1"/>
  <c r="AI54" i="31" s="1"/>
  <c r="AJ54" i="31" s="1"/>
  <c r="AK54" i="31" s="1"/>
  <c r="AL54" i="31" s="1"/>
  <c r="AM54" i="31" s="1"/>
  <c r="AN54" i="31" s="1"/>
  <c r="AO54" i="31" s="1"/>
  <c r="AP54" i="31" s="1"/>
  <c r="S614" i="31"/>
  <c r="S62" i="49"/>
  <c r="W267" i="31"/>
  <c r="AE225" i="49"/>
  <c r="AF225" i="49" s="1"/>
  <c r="AG225" i="49" s="1"/>
  <c r="AH225" i="49" s="1"/>
  <c r="AI225" i="49" s="1"/>
  <c r="AJ225" i="49" s="1"/>
  <c r="AK225" i="49" s="1"/>
  <c r="AL225" i="49" s="1"/>
  <c r="AM225" i="49" s="1"/>
  <c r="AN225" i="49" s="1"/>
  <c r="AO225" i="49" s="1"/>
  <c r="AP225" i="49" s="1"/>
  <c r="V569" i="49"/>
  <c r="I62" i="31"/>
  <c r="AE197" i="49"/>
  <c r="AF197" i="49" s="1"/>
  <c r="AG197" i="49" s="1"/>
  <c r="AH197" i="49" s="1"/>
  <c r="AI197" i="49" s="1"/>
  <c r="AJ197" i="49" s="1"/>
  <c r="AK197" i="49" s="1"/>
  <c r="AL197" i="49" s="1"/>
  <c r="AM197" i="49" s="1"/>
  <c r="AN197" i="49" s="1"/>
  <c r="AO197" i="49" s="1"/>
  <c r="AP197" i="49" s="1"/>
  <c r="AF175" i="31"/>
  <c r="AG175" i="31" s="1"/>
  <c r="AH175" i="31" s="1"/>
  <c r="AI175" i="31" s="1"/>
  <c r="AJ175" i="31" s="1"/>
  <c r="AK175" i="31" s="1"/>
  <c r="AL175" i="31" s="1"/>
  <c r="AM175" i="31" s="1"/>
  <c r="AN175" i="31" s="1"/>
  <c r="AO175" i="31" s="1"/>
  <c r="AP175" i="31" s="1"/>
  <c r="U293" i="31"/>
  <c r="Q321" i="49"/>
  <c r="ET50" i="5" s="1"/>
  <c r="AE483" i="49"/>
  <c r="G482" i="49"/>
  <c r="AE327" i="49"/>
  <c r="AF327" i="49" s="1"/>
  <c r="AG327" i="49" s="1"/>
  <c r="AH327" i="49" s="1"/>
  <c r="AI327" i="49" s="1"/>
  <c r="AJ327" i="49" s="1"/>
  <c r="AK327" i="49" s="1"/>
  <c r="AL327" i="49" s="1"/>
  <c r="AM327" i="49" s="1"/>
  <c r="AN327" i="49" s="1"/>
  <c r="AO327" i="49" s="1"/>
  <c r="AP327" i="49" s="1"/>
  <c r="Y315" i="49"/>
  <c r="X333" i="49"/>
  <c r="AE298" i="49"/>
  <c r="AF298" i="49" s="1"/>
  <c r="AG298" i="49" s="1"/>
  <c r="AH298" i="49" s="1"/>
  <c r="AI298" i="49" s="1"/>
  <c r="AJ298" i="49" s="1"/>
  <c r="AK298" i="49" s="1"/>
  <c r="AL298" i="49" s="1"/>
  <c r="AM298" i="49" s="1"/>
  <c r="AN298" i="49" s="1"/>
  <c r="AO298" i="49" s="1"/>
  <c r="AP298" i="49" s="1"/>
  <c r="AB553" i="49"/>
  <c r="AE260" i="49"/>
  <c r="AF260" i="49" s="1"/>
  <c r="AG260" i="49" s="1"/>
  <c r="AH260" i="49" s="1"/>
  <c r="AI260" i="49" s="1"/>
  <c r="AJ260" i="49" s="1"/>
  <c r="AK260" i="49" s="1"/>
  <c r="AL260" i="49" s="1"/>
  <c r="AM260" i="49" s="1"/>
  <c r="AN260" i="49" s="1"/>
  <c r="AO260" i="49" s="1"/>
  <c r="AP260" i="49" s="1"/>
  <c r="J315" i="49"/>
  <c r="W188" i="31"/>
  <c r="AD569" i="31"/>
  <c r="J393" i="31"/>
  <c r="BB19" i="62" s="1"/>
  <c r="BC19" i="62" s="1"/>
  <c r="W109" i="31"/>
  <c r="AF139" i="31"/>
  <c r="AG139" i="31" s="1"/>
  <c r="AH139" i="31" s="1"/>
  <c r="AI139" i="31" s="1"/>
  <c r="AJ139" i="31" s="1"/>
  <c r="AK139" i="31" s="1"/>
  <c r="AL139" i="31" s="1"/>
  <c r="AM139" i="31" s="1"/>
  <c r="AN139" i="31" s="1"/>
  <c r="AO139" i="31" s="1"/>
  <c r="AP139" i="31" s="1"/>
  <c r="P26" i="31"/>
  <c r="EH13" i="5" s="1"/>
  <c r="EI13" i="5" s="1"/>
  <c r="S609" i="31"/>
  <c r="AE207" i="31"/>
  <c r="AF207" i="31" s="1"/>
  <c r="AG207" i="31" s="1"/>
  <c r="AH207" i="31" s="1"/>
  <c r="AI207" i="31" s="1"/>
  <c r="AJ207" i="31" s="1"/>
  <c r="AK207" i="31" s="1"/>
  <c r="AL207" i="31" s="1"/>
  <c r="AM207" i="31" s="1"/>
  <c r="AN207" i="31" s="1"/>
  <c r="AO207" i="31" s="1"/>
  <c r="AP207" i="31" s="1"/>
  <c r="AF11" i="31"/>
  <c r="AG11" i="31" s="1"/>
  <c r="AH11" i="31" s="1"/>
  <c r="AI11" i="31" s="1"/>
  <c r="AJ11" i="31" s="1"/>
  <c r="AK11" i="31" s="1"/>
  <c r="AL11" i="31" s="1"/>
  <c r="AM11" i="31" s="1"/>
  <c r="AN11" i="31" s="1"/>
  <c r="AO11" i="31" s="1"/>
  <c r="AP11" i="31" s="1"/>
  <c r="Y144" i="31"/>
  <c r="AC158" i="49"/>
  <c r="AC157" i="49" s="1"/>
  <c r="K109" i="49"/>
  <c r="Q569" i="49"/>
  <c r="P62" i="49"/>
  <c r="EF17" i="5" s="1"/>
  <c r="Z301" i="49"/>
  <c r="Z313" i="49" s="1"/>
  <c r="AE369" i="49"/>
  <c r="AF369" i="49" s="1"/>
  <c r="AG369" i="49" s="1"/>
  <c r="AH369" i="49" s="1"/>
  <c r="AI369" i="49" s="1"/>
  <c r="AJ369" i="49" s="1"/>
  <c r="AK369" i="49" s="1"/>
  <c r="AL369" i="49" s="1"/>
  <c r="AM369" i="49" s="1"/>
  <c r="AN369" i="49" s="1"/>
  <c r="AO369" i="49" s="1"/>
  <c r="AP369" i="49" s="1"/>
  <c r="AE20" i="31"/>
  <c r="AF20" i="31" s="1"/>
  <c r="AG20" i="31" s="1"/>
  <c r="AH20" i="31" s="1"/>
  <c r="AI20" i="31" s="1"/>
  <c r="AJ20" i="31" s="1"/>
  <c r="AK20" i="31" s="1"/>
  <c r="AL20" i="31" s="1"/>
  <c r="AM20" i="31" s="1"/>
  <c r="AN20" i="31" s="1"/>
  <c r="AO20" i="31" s="1"/>
  <c r="AP20" i="31" s="1"/>
  <c r="AA9" i="49"/>
  <c r="AB487" i="49"/>
  <c r="H584" i="49"/>
  <c r="L542" i="49"/>
  <c r="AE193" i="31"/>
  <c r="AF193" i="31" s="1"/>
  <c r="AG193" i="31" s="1"/>
  <c r="AH193" i="31" s="1"/>
  <c r="AI193" i="31" s="1"/>
  <c r="AJ193" i="31" s="1"/>
  <c r="AK193" i="31" s="1"/>
  <c r="AL193" i="31" s="1"/>
  <c r="AM193" i="31" s="1"/>
  <c r="AN193" i="31" s="1"/>
  <c r="AO193" i="31" s="1"/>
  <c r="AP193" i="31" s="1"/>
  <c r="J47" i="49"/>
  <c r="AZ16" i="5" s="1"/>
  <c r="AE210" i="49"/>
  <c r="AF210" i="49" s="1"/>
  <c r="AG210" i="49" s="1"/>
  <c r="AH210" i="49" s="1"/>
  <c r="AI210" i="49" s="1"/>
  <c r="AJ210" i="49" s="1"/>
  <c r="AK210" i="49" s="1"/>
  <c r="AL210" i="49" s="1"/>
  <c r="AM210" i="49" s="1"/>
  <c r="AN210" i="49" s="1"/>
  <c r="AO210" i="49" s="1"/>
  <c r="AP210" i="49" s="1"/>
  <c r="T219" i="31"/>
  <c r="AF53" i="31"/>
  <c r="AG53" i="31" s="1"/>
  <c r="AH53" i="31" s="1"/>
  <c r="AI53" i="31" s="1"/>
  <c r="AJ53" i="31" s="1"/>
  <c r="AK53" i="31" s="1"/>
  <c r="AL53" i="31" s="1"/>
  <c r="AM53" i="31" s="1"/>
  <c r="AN53" i="31" s="1"/>
  <c r="AO53" i="31" s="1"/>
  <c r="AP53" i="31" s="1"/>
  <c r="Q377" i="49"/>
  <c r="ET60" i="5" s="1"/>
  <c r="P144" i="49"/>
  <c r="EF27" i="5" s="1"/>
  <c r="L136" i="49"/>
  <c r="CB26" i="5" s="1"/>
  <c r="CB23" i="5" s="1"/>
  <c r="X366" i="31"/>
  <c r="AE330" i="31"/>
  <c r="AF330" i="31" s="1"/>
  <c r="AG330" i="31" s="1"/>
  <c r="AH330" i="31" s="1"/>
  <c r="AI330" i="31" s="1"/>
  <c r="AJ330" i="31" s="1"/>
  <c r="AK330" i="31" s="1"/>
  <c r="AL330" i="31" s="1"/>
  <c r="AM330" i="31" s="1"/>
  <c r="AN330" i="31" s="1"/>
  <c r="AO330" i="31" s="1"/>
  <c r="AP330" i="31" s="1"/>
  <c r="L47" i="31"/>
  <c r="R228" i="31"/>
  <c r="FJ38" i="5" s="1"/>
  <c r="H347" i="31"/>
  <c r="Z54" i="5" s="1"/>
  <c r="AA54" i="5" s="1"/>
  <c r="L321" i="49"/>
  <c r="AA178" i="31"/>
  <c r="V98" i="31"/>
  <c r="M584" i="49"/>
  <c r="U366" i="49"/>
  <c r="AA614" i="49"/>
  <c r="Y208" i="49"/>
  <c r="AE323" i="49"/>
  <c r="AF323" i="49" s="1"/>
  <c r="AG323" i="49" s="1"/>
  <c r="AH323" i="49" s="1"/>
  <c r="AI323" i="49" s="1"/>
  <c r="AJ323" i="49" s="1"/>
  <c r="AK323" i="49" s="1"/>
  <c r="AL323" i="49" s="1"/>
  <c r="AM323" i="49" s="1"/>
  <c r="AN323" i="49" s="1"/>
  <c r="AO323" i="49" s="1"/>
  <c r="AP323" i="49" s="1"/>
  <c r="V238" i="49"/>
  <c r="X153" i="31"/>
  <c r="O286" i="49"/>
  <c r="DR42" i="5" s="1"/>
  <c r="W569" i="49"/>
  <c r="Q482" i="49"/>
  <c r="ET32" i="62" s="1"/>
  <c r="AF182" i="49"/>
  <c r="AG182" i="49" s="1"/>
  <c r="AH182" i="49" s="1"/>
  <c r="AI182" i="49" s="1"/>
  <c r="AJ182" i="49" s="1"/>
  <c r="AK182" i="49" s="1"/>
  <c r="AL182" i="49" s="1"/>
  <c r="AM182" i="49" s="1"/>
  <c r="AN182" i="49" s="1"/>
  <c r="AO182" i="49" s="1"/>
  <c r="AP182" i="49" s="1"/>
  <c r="Z80" i="49"/>
  <c r="AE446" i="49"/>
  <c r="AF446" i="49" s="1"/>
  <c r="AG446" i="49" s="1"/>
  <c r="AH446" i="49" s="1"/>
  <c r="AI446" i="49" s="1"/>
  <c r="AJ446" i="49" s="1"/>
  <c r="AK446" i="49" s="1"/>
  <c r="AL446" i="49" s="1"/>
  <c r="AM446" i="49" s="1"/>
  <c r="AN446" i="49" s="1"/>
  <c r="AO446" i="49" s="1"/>
  <c r="AP446" i="49" s="1"/>
  <c r="J144" i="49"/>
  <c r="AZ27" i="5" s="1"/>
  <c r="K301" i="49"/>
  <c r="J26" i="49"/>
  <c r="AZ13" i="5" s="1"/>
  <c r="Z459" i="31"/>
  <c r="H109" i="49"/>
  <c r="N482" i="31"/>
  <c r="DF32" i="62" s="1"/>
  <c r="DG32" i="62" s="1"/>
  <c r="S62" i="31"/>
  <c r="M158" i="49"/>
  <c r="AE289" i="49"/>
  <c r="AF289" i="49" s="1"/>
  <c r="AG289" i="49" s="1"/>
  <c r="AH289" i="49" s="1"/>
  <c r="AI289" i="49" s="1"/>
  <c r="AJ289" i="49" s="1"/>
  <c r="AK289" i="49" s="1"/>
  <c r="AL289" i="49" s="1"/>
  <c r="AM289" i="49" s="1"/>
  <c r="AN289" i="49" s="1"/>
  <c r="AO289" i="49" s="1"/>
  <c r="AP289" i="49" s="1"/>
  <c r="AE570" i="49"/>
  <c r="G569" i="49"/>
  <c r="V482" i="49"/>
  <c r="AE501" i="49"/>
  <c r="AF501" i="49" s="1"/>
  <c r="AG501" i="49" s="1"/>
  <c r="AH501" i="49" s="1"/>
  <c r="AI501" i="49" s="1"/>
  <c r="AJ501" i="49" s="1"/>
  <c r="AK501" i="49" s="1"/>
  <c r="AL501" i="49" s="1"/>
  <c r="AM501" i="49" s="1"/>
  <c r="AN501" i="49" s="1"/>
  <c r="AO501" i="49" s="1"/>
  <c r="AP501" i="49" s="1"/>
  <c r="AE371" i="49"/>
  <c r="AF371" i="49" s="1"/>
  <c r="AG371" i="49" s="1"/>
  <c r="AH371" i="49" s="1"/>
  <c r="AI371" i="49" s="1"/>
  <c r="AJ371" i="49" s="1"/>
  <c r="AK371" i="49" s="1"/>
  <c r="AL371" i="49" s="1"/>
  <c r="AM371" i="49" s="1"/>
  <c r="AN371" i="49" s="1"/>
  <c r="AO371" i="49" s="1"/>
  <c r="AP371" i="49" s="1"/>
  <c r="V531" i="49"/>
  <c r="U238" i="49"/>
  <c r="AE14" i="31"/>
  <c r="AF14" i="31" s="1"/>
  <c r="AG14" i="31" s="1"/>
  <c r="AH14" i="31" s="1"/>
  <c r="AI14" i="31" s="1"/>
  <c r="AJ14" i="31" s="1"/>
  <c r="AK14" i="31" s="1"/>
  <c r="AL14" i="31" s="1"/>
  <c r="AM14" i="31" s="1"/>
  <c r="AN14" i="31" s="1"/>
  <c r="AO14" i="31" s="1"/>
  <c r="AP14" i="31" s="1"/>
  <c r="S584" i="49"/>
  <c r="AE493" i="49"/>
  <c r="AF493" i="49" s="1"/>
  <c r="AG493" i="49" s="1"/>
  <c r="AH493" i="49" s="1"/>
  <c r="AI493" i="49" s="1"/>
  <c r="AJ493" i="49" s="1"/>
  <c r="AK493" i="49" s="1"/>
  <c r="AL493" i="49" s="1"/>
  <c r="AM493" i="49" s="1"/>
  <c r="AN493" i="49" s="1"/>
  <c r="AO493" i="49" s="1"/>
  <c r="AP493" i="49" s="1"/>
  <c r="K614" i="49"/>
  <c r="I208" i="49"/>
  <c r="AF58" i="49"/>
  <c r="AG58" i="49" s="1"/>
  <c r="AH58" i="49" s="1"/>
  <c r="AI58" i="49" s="1"/>
  <c r="AJ58" i="49" s="1"/>
  <c r="AK58" i="49" s="1"/>
  <c r="AL58" i="49" s="1"/>
  <c r="AM58" i="49" s="1"/>
  <c r="AN58" i="49" s="1"/>
  <c r="AO58" i="49" s="1"/>
  <c r="AP58" i="49" s="1"/>
  <c r="AB238" i="49"/>
  <c r="M127" i="49"/>
  <c r="CP25" i="5" s="1"/>
  <c r="P557" i="31"/>
  <c r="J256" i="49"/>
  <c r="AZ40" i="5" s="1"/>
  <c r="K9" i="49"/>
  <c r="Q416" i="31"/>
  <c r="EV22" i="62" s="1"/>
  <c r="EW22" i="62" s="1"/>
  <c r="AB482" i="31"/>
  <c r="AE213" i="49"/>
  <c r="AF213" i="49" s="1"/>
  <c r="AG213" i="49" s="1"/>
  <c r="AH213" i="49" s="1"/>
  <c r="AI213" i="49" s="1"/>
  <c r="AJ213" i="49" s="1"/>
  <c r="AK213" i="49" s="1"/>
  <c r="AL213" i="49" s="1"/>
  <c r="AM213" i="49" s="1"/>
  <c r="AN213" i="49" s="1"/>
  <c r="AO213" i="49" s="1"/>
  <c r="AP213" i="49" s="1"/>
  <c r="AC469" i="31"/>
  <c r="N178" i="31"/>
  <c r="S127" i="49"/>
  <c r="W306" i="49"/>
  <c r="W313" i="49" s="1"/>
  <c r="S208" i="49"/>
  <c r="L542" i="31"/>
  <c r="R267" i="49"/>
  <c r="FH41" i="5" s="1"/>
  <c r="Z609" i="31"/>
  <c r="AE317" i="31"/>
  <c r="AF317" i="31" s="1"/>
  <c r="AG317" i="31" s="1"/>
  <c r="AH317" i="31" s="1"/>
  <c r="AI317" i="31" s="1"/>
  <c r="AJ317" i="31" s="1"/>
  <c r="AK317" i="31" s="1"/>
  <c r="AL317" i="31" s="1"/>
  <c r="AM317" i="31" s="1"/>
  <c r="AN317" i="31" s="1"/>
  <c r="AO317" i="31" s="1"/>
  <c r="AP317" i="31" s="1"/>
  <c r="W71" i="31"/>
  <c r="Z127" i="31"/>
  <c r="Q393" i="31"/>
  <c r="U604" i="49"/>
  <c r="U306" i="49"/>
  <c r="P356" i="49"/>
  <c r="EF57" i="5" s="1"/>
  <c r="EF42" i="62" s="1"/>
  <c r="W9" i="31"/>
  <c r="U315" i="31"/>
  <c r="AE42" i="31"/>
  <c r="AF42" i="31" s="1"/>
  <c r="AG42" i="31" s="1"/>
  <c r="AH42" i="31" s="1"/>
  <c r="AI42" i="31" s="1"/>
  <c r="AJ42" i="31" s="1"/>
  <c r="AK42" i="31" s="1"/>
  <c r="AL42" i="31" s="1"/>
  <c r="AM42" i="31" s="1"/>
  <c r="AN42" i="31" s="1"/>
  <c r="AO42" i="31" s="1"/>
  <c r="AP42" i="31" s="1"/>
  <c r="AC584" i="49"/>
  <c r="R71" i="31"/>
  <c r="FJ18" i="5" s="1"/>
  <c r="FK18" i="5" s="1"/>
  <c r="U614" i="49"/>
  <c r="AE291" i="49"/>
  <c r="AF291" i="49" s="1"/>
  <c r="AG291" i="49" s="1"/>
  <c r="AH291" i="49" s="1"/>
  <c r="AE280" i="49"/>
  <c r="AF280" i="49" s="1"/>
  <c r="AG280" i="49" s="1"/>
  <c r="AH280" i="49" s="1"/>
  <c r="AI280" i="49" s="1"/>
  <c r="AJ280" i="49" s="1"/>
  <c r="AK280" i="49" s="1"/>
  <c r="AL280" i="49" s="1"/>
  <c r="AM280" i="49" s="1"/>
  <c r="AN280" i="49" s="1"/>
  <c r="AO280" i="49" s="1"/>
  <c r="AP280" i="49" s="1"/>
  <c r="S80" i="49"/>
  <c r="H89" i="49"/>
  <c r="X20" i="5" s="1"/>
  <c r="AF90" i="49"/>
  <c r="V542" i="31"/>
  <c r="H416" i="31"/>
  <c r="Z22" i="62" s="1"/>
  <c r="AA22" i="62" s="1"/>
  <c r="Y256" i="49"/>
  <c r="AF517" i="49"/>
  <c r="AG517" i="49" s="1"/>
  <c r="AH517" i="49" s="1"/>
  <c r="AI517" i="49" s="1"/>
  <c r="AJ517" i="49" s="1"/>
  <c r="AK517" i="49" s="1"/>
  <c r="AL517" i="49" s="1"/>
  <c r="AM517" i="49" s="1"/>
  <c r="AN517" i="49" s="1"/>
  <c r="AO517" i="49" s="1"/>
  <c r="AP517" i="49" s="1"/>
  <c r="Z584" i="31"/>
  <c r="AE415" i="49"/>
  <c r="AF415" i="49" s="1"/>
  <c r="AG415" i="49" s="1"/>
  <c r="AH415" i="49" s="1"/>
  <c r="AI415" i="49" s="1"/>
  <c r="AJ415" i="49" s="1"/>
  <c r="AK415" i="49" s="1"/>
  <c r="AL415" i="49" s="1"/>
  <c r="AM415" i="49" s="1"/>
  <c r="AN415" i="49" s="1"/>
  <c r="AO415" i="49" s="1"/>
  <c r="AP415" i="49" s="1"/>
  <c r="AE424" i="49"/>
  <c r="AF424" i="49" s="1"/>
  <c r="AG424" i="49" s="1"/>
  <c r="AH424" i="49" s="1"/>
  <c r="AI424" i="49" s="1"/>
  <c r="AJ424" i="49" s="1"/>
  <c r="AK424" i="49" s="1"/>
  <c r="AL424" i="49" s="1"/>
  <c r="AM424" i="49" s="1"/>
  <c r="AN424" i="49" s="1"/>
  <c r="AO424" i="49" s="1"/>
  <c r="AP424" i="49" s="1"/>
  <c r="U71" i="31"/>
  <c r="AF18" i="49"/>
  <c r="AG18" i="49" s="1"/>
  <c r="AH18" i="49" s="1"/>
  <c r="AI18" i="49" s="1"/>
  <c r="AJ18" i="49" s="1"/>
  <c r="AK18" i="49" s="1"/>
  <c r="AL18" i="49" s="1"/>
  <c r="AM18" i="49" s="1"/>
  <c r="AN18" i="49" s="1"/>
  <c r="AO18" i="49" s="1"/>
  <c r="AP18" i="49" s="1"/>
  <c r="M459" i="31"/>
  <c r="CR27" i="62" s="1"/>
  <c r="CS27" i="62" s="1"/>
  <c r="U188" i="31"/>
  <c r="J219" i="49"/>
  <c r="AZ37" i="5" s="1"/>
  <c r="AC127" i="49"/>
  <c r="R9" i="31"/>
  <c r="R333" i="31"/>
  <c r="FJ52" i="5" s="1"/>
  <c r="FK52" i="5" s="1"/>
  <c r="AA469" i="49"/>
  <c r="X293" i="49"/>
  <c r="AE601" i="31"/>
  <c r="G600" i="31"/>
  <c r="AE72" i="31"/>
  <c r="G71" i="31"/>
  <c r="L487" i="49"/>
  <c r="CB33" i="62" s="1"/>
  <c r="AD301" i="31"/>
  <c r="AD313" i="31" s="1"/>
  <c r="AC26" i="49"/>
  <c r="R71" i="49"/>
  <c r="FH18" i="5" s="1"/>
  <c r="X614" i="31"/>
  <c r="P584" i="31"/>
  <c r="AF241" i="49"/>
  <c r="AG241" i="49" s="1"/>
  <c r="AH241" i="49" s="1"/>
  <c r="AI241" i="49" s="1"/>
  <c r="AJ241" i="49" s="1"/>
  <c r="AK241" i="49" s="1"/>
  <c r="AL241" i="49" s="1"/>
  <c r="AM241" i="49" s="1"/>
  <c r="AN241" i="49" s="1"/>
  <c r="AO241" i="49" s="1"/>
  <c r="AP241" i="49" s="1"/>
  <c r="AA35" i="49"/>
  <c r="I393" i="49"/>
  <c r="AL19" i="62" s="1"/>
  <c r="I366" i="31"/>
  <c r="AN58" i="5" s="1"/>
  <c r="AO58" i="5" s="1"/>
  <c r="S286" i="31"/>
  <c r="Y26" i="31"/>
  <c r="K469" i="49"/>
  <c r="BN28" i="62" s="1"/>
  <c r="BN29" i="62" s="1"/>
  <c r="I476" i="31"/>
  <c r="AN30" i="62" s="1"/>
  <c r="AO30" i="62" s="1"/>
  <c r="AB569" i="31"/>
  <c r="J98" i="49"/>
  <c r="AZ21" i="5" s="1"/>
  <c r="X9" i="49"/>
  <c r="AB542" i="49"/>
  <c r="AE495" i="31"/>
  <c r="AF495" i="31" s="1"/>
  <c r="AG495" i="31" s="1"/>
  <c r="AH495" i="31" s="1"/>
  <c r="AI495" i="31" s="1"/>
  <c r="AJ495" i="31" s="1"/>
  <c r="AK495" i="31" s="1"/>
  <c r="AL495" i="31" s="1"/>
  <c r="AM495" i="31" s="1"/>
  <c r="AN495" i="31" s="1"/>
  <c r="AO495" i="31" s="1"/>
  <c r="AP495" i="31" s="1"/>
  <c r="X306" i="49"/>
  <c r="AA333" i="31"/>
  <c r="AE367" i="49"/>
  <c r="G366" i="49"/>
  <c r="Y459" i="49"/>
  <c r="AE616" i="31"/>
  <c r="AF616" i="31" s="1"/>
  <c r="AG616" i="31" s="1"/>
  <c r="AH616" i="31" s="1"/>
  <c r="AI616" i="31" s="1"/>
  <c r="AJ616" i="31" s="1"/>
  <c r="AK616" i="31" s="1"/>
  <c r="AL616" i="31" s="1"/>
  <c r="AM616" i="31" s="1"/>
  <c r="AN616" i="31" s="1"/>
  <c r="AO616" i="31" s="1"/>
  <c r="AP616" i="31" s="1"/>
  <c r="AD553" i="31"/>
  <c r="H553" i="31"/>
  <c r="V506" i="31"/>
  <c r="AE230" i="31"/>
  <c r="AF230" i="31" s="1"/>
  <c r="AG230" i="31" s="1"/>
  <c r="AH230" i="31" s="1"/>
  <c r="AI230" i="31" s="1"/>
  <c r="AJ230" i="31" s="1"/>
  <c r="AK230" i="31" s="1"/>
  <c r="AL230" i="31" s="1"/>
  <c r="AM230" i="31" s="1"/>
  <c r="AN230" i="31" s="1"/>
  <c r="AO230" i="31" s="1"/>
  <c r="AP230" i="31" s="1"/>
  <c r="J301" i="49"/>
  <c r="X553" i="31"/>
  <c r="AE350" i="31"/>
  <c r="AF350" i="31" s="1"/>
  <c r="AG350" i="31" s="1"/>
  <c r="AH350" i="31" s="1"/>
  <c r="AI350" i="31" s="1"/>
  <c r="AJ350" i="31" s="1"/>
  <c r="AK350" i="31" s="1"/>
  <c r="AL350" i="31" s="1"/>
  <c r="AM350" i="31" s="1"/>
  <c r="AN350" i="31" s="1"/>
  <c r="AO350" i="31" s="1"/>
  <c r="AP350" i="31" s="1"/>
  <c r="AF118" i="49"/>
  <c r="AG118" i="49" s="1"/>
  <c r="AH118" i="49" s="1"/>
  <c r="AI118" i="49" s="1"/>
  <c r="AJ118" i="49" s="1"/>
  <c r="AK118" i="49" s="1"/>
  <c r="AL118" i="49" s="1"/>
  <c r="AM118" i="49" s="1"/>
  <c r="AN118" i="49" s="1"/>
  <c r="AO118" i="49" s="1"/>
  <c r="AP118" i="49" s="1"/>
  <c r="O553" i="31"/>
  <c r="AE467" i="49"/>
  <c r="AF467" i="49" s="1"/>
  <c r="AG467" i="49" s="1"/>
  <c r="AH467" i="49" s="1"/>
  <c r="AI467" i="49" s="1"/>
  <c r="AJ467" i="49" s="1"/>
  <c r="AK467" i="49" s="1"/>
  <c r="AL467" i="49" s="1"/>
  <c r="AM467" i="49" s="1"/>
  <c r="AN467" i="49" s="1"/>
  <c r="AO467" i="49" s="1"/>
  <c r="AP467" i="49" s="1"/>
  <c r="Z62" i="49"/>
  <c r="H442" i="31"/>
  <c r="Z26" i="62" s="1"/>
  <c r="U557" i="31"/>
  <c r="W600" i="49"/>
  <c r="AE381" i="49"/>
  <c r="AF381" i="49" s="1"/>
  <c r="AG381" i="49" s="1"/>
  <c r="AH381" i="49" s="1"/>
  <c r="AI381" i="49" s="1"/>
  <c r="AJ381" i="49" s="1"/>
  <c r="AK381" i="49" s="1"/>
  <c r="AL381" i="49" s="1"/>
  <c r="AM381" i="49" s="1"/>
  <c r="AN381" i="49" s="1"/>
  <c r="AO381" i="49" s="1"/>
  <c r="AP381" i="49" s="1"/>
  <c r="AE402" i="49"/>
  <c r="AF402" i="49" s="1"/>
  <c r="AG402" i="49" s="1"/>
  <c r="AH402" i="49" s="1"/>
  <c r="AI402" i="49" s="1"/>
  <c r="AJ402" i="49" s="1"/>
  <c r="AK402" i="49" s="1"/>
  <c r="AL402" i="49" s="1"/>
  <c r="AM402" i="49" s="1"/>
  <c r="AN402" i="49" s="1"/>
  <c r="AO402" i="49" s="1"/>
  <c r="AP402" i="49" s="1"/>
  <c r="AE172" i="31"/>
  <c r="AF172" i="31" s="1"/>
  <c r="AG172" i="31" s="1"/>
  <c r="AH172" i="31" s="1"/>
  <c r="AI172" i="31" s="1"/>
  <c r="AJ172" i="31" s="1"/>
  <c r="AK172" i="31" s="1"/>
  <c r="AL172" i="31" s="1"/>
  <c r="AM172" i="31" s="1"/>
  <c r="AN172" i="31" s="1"/>
  <c r="AO172" i="31" s="1"/>
  <c r="AP172" i="31" s="1"/>
  <c r="O459" i="49"/>
  <c r="DR27" i="62" s="1"/>
  <c r="W333" i="49"/>
  <c r="W144" i="31"/>
  <c r="AE33" i="31"/>
  <c r="AF33" i="31" s="1"/>
  <c r="AG33" i="31" s="1"/>
  <c r="AH33" i="31" s="1"/>
  <c r="AI33" i="31" s="1"/>
  <c r="AJ33" i="31" s="1"/>
  <c r="AK33" i="31" s="1"/>
  <c r="AL33" i="31" s="1"/>
  <c r="AM33" i="31" s="1"/>
  <c r="AN33" i="31" s="1"/>
  <c r="AO33" i="31" s="1"/>
  <c r="AP33" i="31" s="1"/>
  <c r="Y569" i="31"/>
  <c r="W267" i="49"/>
  <c r="I333" i="31"/>
  <c r="AN52" i="5" s="1"/>
  <c r="AO52" i="5" s="1"/>
  <c r="N557" i="49"/>
  <c r="Q178" i="31"/>
  <c r="AA71" i="49"/>
  <c r="O382" i="49"/>
  <c r="DR61" i="5" s="1"/>
  <c r="AE512" i="31"/>
  <c r="AF512" i="31" s="1"/>
  <c r="AG512" i="31" s="1"/>
  <c r="AH512" i="31" s="1"/>
  <c r="AI512" i="31" s="1"/>
  <c r="AJ512" i="31" s="1"/>
  <c r="AK512" i="31" s="1"/>
  <c r="AL512" i="31" s="1"/>
  <c r="AM512" i="31" s="1"/>
  <c r="AN512" i="31" s="1"/>
  <c r="AO512" i="31" s="1"/>
  <c r="AP512" i="31" s="1"/>
  <c r="AD531" i="31"/>
  <c r="AE375" i="49"/>
  <c r="AF375" i="49" s="1"/>
  <c r="AG375" i="49" s="1"/>
  <c r="AH375" i="49" s="1"/>
  <c r="AI375" i="49" s="1"/>
  <c r="AJ375" i="49" s="1"/>
  <c r="AK375" i="49" s="1"/>
  <c r="AL375" i="49" s="1"/>
  <c r="AM375" i="49" s="1"/>
  <c r="AN375" i="49" s="1"/>
  <c r="AO375" i="49" s="1"/>
  <c r="AP375" i="49" s="1"/>
  <c r="X315" i="49"/>
  <c r="X604" i="31"/>
  <c r="P80" i="49"/>
  <c r="EF19" i="5" s="1"/>
  <c r="Q328" i="31"/>
  <c r="EV51" i="5" s="1"/>
  <c r="EV43" i="62" s="1"/>
  <c r="I293" i="31"/>
  <c r="AE283" i="31"/>
  <c r="AF283" i="31" s="1"/>
  <c r="AG283" i="31" s="1"/>
  <c r="AH283" i="31" s="1"/>
  <c r="AI283" i="31" s="1"/>
  <c r="AJ283" i="31" s="1"/>
  <c r="AK283" i="31" s="1"/>
  <c r="AL283" i="31" s="1"/>
  <c r="AM283" i="31" s="1"/>
  <c r="AN283" i="31" s="1"/>
  <c r="AO283" i="31" s="1"/>
  <c r="AP283" i="31" s="1"/>
  <c r="R377" i="49"/>
  <c r="FH60" i="5" s="1"/>
  <c r="AE311" i="49"/>
  <c r="AF311" i="49" s="1"/>
  <c r="AG311" i="49" s="1"/>
  <c r="AH311" i="49" s="1"/>
  <c r="AI311" i="49" s="1"/>
  <c r="AJ311" i="49" s="1"/>
  <c r="AK311" i="49" s="1"/>
  <c r="AL311" i="49" s="1"/>
  <c r="AM311" i="49" s="1"/>
  <c r="AN311" i="49" s="1"/>
  <c r="AO311" i="49" s="1"/>
  <c r="AP311" i="49" s="1"/>
  <c r="O442" i="49"/>
  <c r="DR26" i="62" s="1"/>
  <c r="DR29" i="62" s="1"/>
  <c r="W531" i="49"/>
  <c r="R476" i="49"/>
  <c r="FH30" i="62" s="1"/>
  <c r="R347" i="49"/>
  <c r="FH54" i="5" s="1"/>
  <c r="AE556" i="49"/>
  <c r="AF556" i="49" s="1"/>
  <c r="AG556" i="49" s="1"/>
  <c r="AH556" i="49" s="1"/>
  <c r="AI556" i="49" s="1"/>
  <c r="AJ556" i="49" s="1"/>
  <c r="AK556" i="49" s="1"/>
  <c r="AL556" i="49" s="1"/>
  <c r="AM556" i="49" s="1"/>
  <c r="AN556" i="49" s="1"/>
  <c r="AO556" i="49" s="1"/>
  <c r="AP556" i="49" s="1"/>
  <c r="AE590" i="49"/>
  <c r="AF590" i="49" s="1"/>
  <c r="AG590" i="49" s="1"/>
  <c r="AH590" i="49" s="1"/>
  <c r="AI590" i="49" s="1"/>
  <c r="AJ590" i="49" s="1"/>
  <c r="AK590" i="49" s="1"/>
  <c r="AL590" i="49" s="1"/>
  <c r="AM590" i="49" s="1"/>
  <c r="AN590" i="49" s="1"/>
  <c r="AO590" i="49" s="1"/>
  <c r="AP590" i="49" s="1"/>
  <c r="AE309" i="49"/>
  <c r="AF309" i="49" s="1"/>
  <c r="AG309" i="49" s="1"/>
  <c r="R256" i="49"/>
  <c r="FH40" i="5" s="1"/>
  <c r="R89" i="49"/>
  <c r="FH20" i="5" s="1"/>
  <c r="AE227" i="49"/>
  <c r="AF227" i="49" s="1"/>
  <c r="AG227" i="49" s="1"/>
  <c r="AH227" i="49" s="1"/>
  <c r="AI227" i="49" s="1"/>
  <c r="AJ227" i="49" s="1"/>
  <c r="AK227" i="49" s="1"/>
  <c r="AL227" i="49" s="1"/>
  <c r="AM227" i="49" s="1"/>
  <c r="AN227" i="49" s="1"/>
  <c r="AO227" i="49" s="1"/>
  <c r="AP227" i="49" s="1"/>
  <c r="AD614" i="31"/>
  <c r="U47" i="49"/>
  <c r="AF14" i="49"/>
  <c r="AG14" i="49" s="1"/>
  <c r="AH14" i="49" s="1"/>
  <c r="AI14" i="49" s="1"/>
  <c r="AJ14" i="49" s="1"/>
  <c r="AK14" i="49" s="1"/>
  <c r="AL14" i="49" s="1"/>
  <c r="AM14" i="49" s="1"/>
  <c r="AN14" i="49" s="1"/>
  <c r="AO14" i="49" s="1"/>
  <c r="AP14" i="49" s="1"/>
  <c r="P293" i="31"/>
  <c r="EH43" i="5" s="1"/>
  <c r="AB98" i="31"/>
  <c r="AE497" i="49"/>
  <c r="AF497" i="49" s="1"/>
  <c r="AG497" i="49" s="1"/>
  <c r="AH497" i="49" s="1"/>
  <c r="AI497" i="49" s="1"/>
  <c r="AJ497" i="49" s="1"/>
  <c r="AK497" i="49" s="1"/>
  <c r="AL497" i="49" s="1"/>
  <c r="AM497" i="49" s="1"/>
  <c r="AN497" i="49" s="1"/>
  <c r="AO497" i="49" s="1"/>
  <c r="AP497" i="49" s="1"/>
  <c r="Q600" i="49"/>
  <c r="AF75" i="31"/>
  <c r="AG75" i="31" s="1"/>
  <c r="AH75" i="31" s="1"/>
  <c r="AI75" i="31" s="1"/>
  <c r="AJ75" i="31" s="1"/>
  <c r="AK75" i="31" s="1"/>
  <c r="AL75" i="31" s="1"/>
  <c r="AM75" i="31" s="1"/>
  <c r="AN75" i="31" s="1"/>
  <c r="AO75" i="31" s="1"/>
  <c r="AP75" i="31" s="1"/>
  <c r="Y609" i="31"/>
  <c r="AE201" i="49"/>
  <c r="AF201" i="49" s="1"/>
  <c r="AG201" i="49" s="1"/>
  <c r="AH201" i="49" s="1"/>
  <c r="AI201" i="49" s="1"/>
  <c r="AJ201" i="49" s="1"/>
  <c r="AK201" i="49" s="1"/>
  <c r="AL201" i="49" s="1"/>
  <c r="AM201" i="49" s="1"/>
  <c r="AN201" i="49" s="1"/>
  <c r="AO201" i="49" s="1"/>
  <c r="AP201" i="49" s="1"/>
  <c r="R109" i="31"/>
  <c r="K557" i="49"/>
  <c r="AE174" i="31"/>
  <c r="AF174" i="31" s="1"/>
  <c r="AG174" i="31" s="1"/>
  <c r="AH174" i="31" s="1"/>
  <c r="AI174" i="31" s="1"/>
  <c r="AJ174" i="31" s="1"/>
  <c r="AK174" i="31" s="1"/>
  <c r="AL174" i="31" s="1"/>
  <c r="AM174" i="31" s="1"/>
  <c r="AN174" i="31" s="1"/>
  <c r="AO174" i="31" s="1"/>
  <c r="AP174" i="31" s="1"/>
  <c r="T531" i="31"/>
  <c r="AE261" i="49"/>
  <c r="AF261" i="49" s="1"/>
  <c r="AG261" i="49" s="1"/>
  <c r="AH261" i="49" s="1"/>
  <c r="AI261" i="49" s="1"/>
  <c r="AJ261" i="49" s="1"/>
  <c r="AK261" i="49" s="1"/>
  <c r="AL261" i="49" s="1"/>
  <c r="AM261" i="49" s="1"/>
  <c r="AN261" i="49" s="1"/>
  <c r="AO261" i="49" s="1"/>
  <c r="AP261" i="49" s="1"/>
  <c r="AF142" i="49"/>
  <c r="AG142" i="49" s="1"/>
  <c r="AH142" i="49" s="1"/>
  <c r="AI142" i="49" s="1"/>
  <c r="AJ142" i="49" s="1"/>
  <c r="AK142" i="49" s="1"/>
  <c r="AL142" i="49" s="1"/>
  <c r="AM142" i="49" s="1"/>
  <c r="AN142" i="49" s="1"/>
  <c r="AO142" i="49" s="1"/>
  <c r="AP142" i="49" s="1"/>
  <c r="AE381" i="31"/>
  <c r="AF381" i="31" s="1"/>
  <c r="AG381" i="31" s="1"/>
  <c r="AH381" i="31" s="1"/>
  <c r="AI381" i="31" s="1"/>
  <c r="AJ381" i="31" s="1"/>
  <c r="AK381" i="31" s="1"/>
  <c r="AL381" i="31" s="1"/>
  <c r="AM381" i="31" s="1"/>
  <c r="AN381" i="31" s="1"/>
  <c r="AO381" i="31" s="1"/>
  <c r="AP381" i="31" s="1"/>
  <c r="I256" i="49"/>
  <c r="P469" i="49"/>
  <c r="EF28" i="62" s="1"/>
  <c r="EF29" i="62" s="1"/>
  <c r="AE212" i="49"/>
  <c r="AF212" i="49" s="1"/>
  <c r="AG212" i="49" s="1"/>
  <c r="AH212" i="49" s="1"/>
  <c r="AI212" i="49" s="1"/>
  <c r="AJ212" i="49" s="1"/>
  <c r="AK212" i="49" s="1"/>
  <c r="AL212" i="49" s="1"/>
  <c r="AM212" i="49" s="1"/>
  <c r="AN212" i="49" s="1"/>
  <c r="AO212" i="49" s="1"/>
  <c r="AP212" i="49" s="1"/>
  <c r="J158" i="49"/>
  <c r="O416" i="49"/>
  <c r="DR22" i="62" s="1"/>
  <c r="AE428" i="49"/>
  <c r="AF428" i="49" s="1"/>
  <c r="AG428" i="49" s="1"/>
  <c r="AH428" i="49" s="1"/>
  <c r="AI428" i="49" s="1"/>
  <c r="AJ428" i="49" s="1"/>
  <c r="AK428" i="49" s="1"/>
  <c r="AL428" i="49" s="1"/>
  <c r="AM428" i="49" s="1"/>
  <c r="AN428" i="49" s="1"/>
  <c r="AO428" i="49" s="1"/>
  <c r="AP428" i="49" s="1"/>
  <c r="AB609" i="31"/>
  <c r="AB301" i="49"/>
  <c r="AB313" i="49" s="1"/>
  <c r="U557" i="49"/>
  <c r="U561" i="49"/>
  <c r="AE221" i="49"/>
  <c r="AF221" i="49" s="1"/>
  <c r="AG221" i="49" s="1"/>
  <c r="AH221" i="49" s="1"/>
  <c r="AI221" i="49" s="1"/>
  <c r="AJ221" i="49" s="1"/>
  <c r="AK221" i="49" s="1"/>
  <c r="AL221" i="49" s="1"/>
  <c r="AM221" i="49" s="1"/>
  <c r="AN221" i="49" s="1"/>
  <c r="AO221" i="49" s="1"/>
  <c r="AP221" i="49" s="1"/>
  <c r="AA168" i="49"/>
  <c r="AA157" i="49" s="1"/>
  <c r="X340" i="31"/>
  <c r="X89" i="49"/>
  <c r="R356" i="31"/>
  <c r="FJ57" i="5" s="1"/>
  <c r="FJ42" i="62" s="1"/>
  <c r="N506" i="49"/>
  <c r="DD34" i="62" s="1"/>
  <c r="S561" i="31"/>
  <c r="AE373" i="49"/>
  <c r="AF373" i="49" s="1"/>
  <c r="AG373" i="49" s="1"/>
  <c r="AH373" i="49" s="1"/>
  <c r="AI373" i="49" s="1"/>
  <c r="AJ373" i="49" s="1"/>
  <c r="AK373" i="49" s="1"/>
  <c r="AL373" i="49" s="1"/>
  <c r="AM373" i="49" s="1"/>
  <c r="AN373" i="49" s="1"/>
  <c r="AO373" i="49" s="1"/>
  <c r="AP373" i="49" s="1"/>
  <c r="AA153" i="49"/>
  <c r="AA108" i="49" s="1"/>
  <c r="P127" i="49"/>
  <c r="EF25" i="5" s="1"/>
  <c r="AE186" i="31"/>
  <c r="AF186" i="31" s="1"/>
  <c r="AG186" i="31" s="1"/>
  <c r="AH186" i="31" s="1"/>
  <c r="AI186" i="31" s="1"/>
  <c r="AJ186" i="31" s="1"/>
  <c r="AK186" i="31" s="1"/>
  <c r="AL186" i="31" s="1"/>
  <c r="AM186" i="31" s="1"/>
  <c r="AN186" i="31" s="1"/>
  <c r="AO186" i="31" s="1"/>
  <c r="AP186" i="31" s="1"/>
  <c r="S144" i="49"/>
  <c r="X416" i="31"/>
  <c r="J144" i="31"/>
  <c r="BB27" i="5" s="1"/>
  <c r="BC27" i="5" s="1"/>
  <c r="L569" i="49"/>
  <c r="AE237" i="31"/>
  <c r="AF237" i="31" s="1"/>
  <c r="AG237" i="31" s="1"/>
  <c r="AH237" i="31" s="1"/>
  <c r="AI237" i="31" s="1"/>
  <c r="AJ237" i="31" s="1"/>
  <c r="AK237" i="31" s="1"/>
  <c r="AL237" i="31" s="1"/>
  <c r="AM237" i="31" s="1"/>
  <c r="AN237" i="31" s="1"/>
  <c r="AO237" i="31" s="1"/>
  <c r="AP237" i="31" s="1"/>
  <c r="K228" i="31"/>
  <c r="BP38" i="5" s="1"/>
  <c r="AE463" i="49"/>
  <c r="AF463" i="49" s="1"/>
  <c r="AG463" i="49" s="1"/>
  <c r="AH463" i="49" s="1"/>
  <c r="AI463" i="49" s="1"/>
  <c r="AJ463" i="49" s="1"/>
  <c r="AK463" i="49" s="1"/>
  <c r="AL463" i="49" s="1"/>
  <c r="AM463" i="49" s="1"/>
  <c r="AN463" i="49" s="1"/>
  <c r="AO463" i="49" s="1"/>
  <c r="AP463" i="49" s="1"/>
  <c r="AC136" i="31"/>
  <c r="S459" i="31"/>
  <c r="AA600" i="31"/>
  <c r="I301" i="49"/>
  <c r="AE444" i="31"/>
  <c r="AF444" i="31" s="1"/>
  <c r="AG444" i="31" s="1"/>
  <c r="AH444" i="31" s="1"/>
  <c r="AI444" i="31" s="1"/>
  <c r="AJ444" i="31" s="1"/>
  <c r="Y553" i="49"/>
  <c r="X153" i="49"/>
  <c r="AE594" i="31"/>
  <c r="AF594" i="31" s="1"/>
  <c r="AG594" i="31" s="1"/>
  <c r="AH594" i="31" s="1"/>
  <c r="AI594" i="31" s="1"/>
  <c r="AJ594" i="31" s="1"/>
  <c r="AK594" i="31" s="1"/>
  <c r="AL594" i="31" s="1"/>
  <c r="AM594" i="31" s="1"/>
  <c r="AN594" i="31" s="1"/>
  <c r="AO594" i="31" s="1"/>
  <c r="AP594" i="31" s="1"/>
  <c r="Y333" i="31"/>
  <c r="G153" i="31"/>
  <c r="AE154" i="31"/>
  <c r="W531" i="31"/>
  <c r="I600" i="31"/>
  <c r="AE16" i="31"/>
  <c r="AF16" i="31" s="1"/>
  <c r="AG16" i="31" s="1"/>
  <c r="AH16" i="31" s="1"/>
  <c r="AI16" i="31" s="1"/>
  <c r="AJ16" i="31" s="1"/>
  <c r="AK16" i="31" s="1"/>
  <c r="AL16" i="31" s="1"/>
  <c r="AM16" i="31" s="1"/>
  <c r="AN16" i="31" s="1"/>
  <c r="AO16" i="31" s="1"/>
  <c r="AP16" i="31" s="1"/>
  <c r="H168" i="31"/>
  <c r="Z32" i="5" s="1"/>
  <c r="AA32" i="5" s="1"/>
  <c r="Y62" i="31"/>
  <c r="AE133" i="31"/>
  <c r="AF133" i="31" s="1"/>
  <c r="AG133" i="31" s="1"/>
  <c r="AH133" i="31" s="1"/>
  <c r="AI133" i="31" s="1"/>
  <c r="AJ133" i="31" s="1"/>
  <c r="AK133" i="31" s="1"/>
  <c r="AL133" i="31" s="1"/>
  <c r="AM133" i="31" s="1"/>
  <c r="AN133" i="31" s="1"/>
  <c r="AO133" i="31" s="1"/>
  <c r="AP133" i="31" s="1"/>
  <c r="P604" i="49"/>
  <c r="AE606" i="31"/>
  <c r="AF606" i="31" s="1"/>
  <c r="AG606" i="31" s="1"/>
  <c r="AH606" i="31" s="1"/>
  <c r="AI606" i="31" s="1"/>
  <c r="AJ606" i="31" s="1"/>
  <c r="AK606" i="31" s="1"/>
  <c r="AL606" i="31" s="1"/>
  <c r="AM606" i="31" s="1"/>
  <c r="AN606" i="31" s="1"/>
  <c r="AO606" i="31" s="1"/>
  <c r="AP606" i="31" s="1"/>
  <c r="W366" i="31"/>
  <c r="AD604" i="31"/>
  <c r="R136" i="31"/>
  <c r="FJ26" i="5" s="1"/>
  <c r="FK26" i="5" s="1"/>
  <c r="AE310" i="31"/>
  <c r="AF310" i="31" s="1"/>
  <c r="AG310" i="31" s="1"/>
  <c r="AH310" i="31" s="1"/>
  <c r="AI310" i="31" s="1"/>
  <c r="AJ310" i="31" s="1"/>
  <c r="AK310" i="31" s="1"/>
  <c r="AL310" i="31" s="1"/>
  <c r="AM310" i="31" s="1"/>
  <c r="AN310" i="31" s="1"/>
  <c r="AO310" i="31" s="1"/>
  <c r="AP310" i="31" s="1"/>
  <c r="AE142" i="31"/>
  <c r="AF142" i="31" s="1"/>
  <c r="Z219" i="49"/>
  <c r="AF417" i="49"/>
  <c r="AG417" i="49" s="1"/>
  <c r="AH417" i="49" s="1"/>
  <c r="AI417" i="49" s="1"/>
  <c r="AJ417" i="49" s="1"/>
  <c r="AK417" i="49" s="1"/>
  <c r="AL417" i="49" s="1"/>
  <c r="AM417" i="49" s="1"/>
  <c r="AN417" i="49" s="1"/>
  <c r="AO417" i="49" s="1"/>
  <c r="AP417" i="49" s="1"/>
  <c r="AF211" i="31"/>
  <c r="AG211" i="31" s="1"/>
  <c r="AH211" i="31" s="1"/>
  <c r="AI211" i="31" s="1"/>
  <c r="AJ211" i="31" s="1"/>
  <c r="AK211" i="31" s="1"/>
  <c r="AL211" i="31" s="1"/>
  <c r="AM211" i="31" s="1"/>
  <c r="AN211" i="31" s="1"/>
  <c r="AO211" i="31" s="1"/>
  <c r="AP211" i="31" s="1"/>
  <c r="T178" i="49"/>
  <c r="M219" i="49"/>
  <c r="CP37" i="5" s="1"/>
  <c r="Y416" i="49"/>
  <c r="K168" i="49"/>
  <c r="BN32" i="5" s="1"/>
  <c r="X614" i="49"/>
  <c r="R487" i="31"/>
  <c r="FJ33" i="62" s="1"/>
  <c r="FK33" i="62" s="1"/>
  <c r="S26" i="49"/>
  <c r="L301" i="49"/>
  <c r="AF336" i="49"/>
  <c r="AG336" i="49" s="1"/>
  <c r="AH336" i="49" s="1"/>
  <c r="AI336" i="49" s="1"/>
  <c r="AJ336" i="49" s="1"/>
  <c r="AK336" i="49" s="1"/>
  <c r="AL336" i="49" s="1"/>
  <c r="AM336" i="49" s="1"/>
  <c r="AN336" i="49" s="1"/>
  <c r="AO336" i="49" s="1"/>
  <c r="AP336" i="49" s="1"/>
  <c r="J62" i="49"/>
  <c r="AZ17" i="5" s="1"/>
  <c r="T347" i="49"/>
  <c r="AF608" i="49"/>
  <c r="AG608" i="49" s="1"/>
  <c r="AH608" i="49" s="1"/>
  <c r="AI608" i="49" s="1"/>
  <c r="AJ608" i="49" s="1"/>
  <c r="AK608" i="49" s="1"/>
  <c r="AL608" i="49" s="1"/>
  <c r="AM608" i="49" s="1"/>
  <c r="AN608" i="49" s="1"/>
  <c r="AO608" i="49" s="1"/>
  <c r="AP608" i="49" s="1"/>
  <c r="U35" i="49"/>
  <c r="AE406" i="49"/>
  <c r="AF406" i="49" s="1"/>
  <c r="AG406" i="49" s="1"/>
  <c r="AH406" i="49" s="1"/>
  <c r="AI406" i="49" s="1"/>
  <c r="AJ406" i="49" s="1"/>
  <c r="AK406" i="49" s="1"/>
  <c r="AL406" i="49" s="1"/>
  <c r="AM406" i="49" s="1"/>
  <c r="AN406" i="49" s="1"/>
  <c r="AO406" i="49" s="1"/>
  <c r="AP406" i="49" s="1"/>
  <c r="H47" i="49"/>
  <c r="X16" i="5" s="1"/>
  <c r="P47" i="31"/>
  <c r="EH16" i="5" s="1"/>
  <c r="EI16" i="5" s="1"/>
  <c r="AE92" i="31"/>
  <c r="AF92" i="31" s="1"/>
  <c r="AG92" i="31" s="1"/>
  <c r="AH92" i="31" s="1"/>
  <c r="AI92" i="31" s="1"/>
  <c r="AJ92" i="31" s="1"/>
  <c r="AK92" i="31" s="1"/>
  <c r="AL92" i="31" s="1"/>
  <c r="AM92" i="31" s="1"/>
  <c r="AN92" i="31" s="1"/>
  <c r="AO92" i="31" s="1"/>
  <c r="AP92" i="31" s="1"/>
  <c r="Z340" i="49"/>
  <c r="L382" i="31"/>
  <c r="CD61" i="5" s="1"/>
  <c r="CE61" i="5" s="1"/>
  <c r="N476" i="49"/>
  <c r="DD30" i="62" s="1"/>
  <c r="L188" i="49"/>
  <c r="Z393" i="31"/>
  <c r="AE551" i="31"/>
  <c r="AF551" i="31" s="1"/>
  <c r="AG551" i="31" s="1"/>
  <c r="AH551" i="31" s="1"/>
  <c r="AI551" i="31" s="1"/>
  <c r="AJ551" i="31" s="1"/>
  <c r="AK551" i="31" s="1"/>
  <c r="AL551" i="31" s="1"/>
  <c r="AM551" i="31" s="1"/>
  <c r="AN551" i="31" s="1"/>
  <c r="AO551" i="31" s="1"/>
  <c r="AP551" i="31" s="1"/>
  <c r="S188" i="49"/>
  <c r="AC62" i="49"/>
  <c r="N127" i="49"/>
  <c r="DD25" i="5" s="1"/>
  <c r="K136" i="49"/>
  <c r="BN26" i="5" s="1"/>
  <c r="L366" i="31"/>
  <c r="CD58" i="5" s="1"/>
  <c r="CE58" i="5" s="1"/>
  <c r="AB188" i="31"/>
  <c r="V219" i="31"/>
  <c r="K301" i="31"/>
  <c r="V136" i="31"/>
  <c r="Q604" i="31"/>
  <c r="AF143" i="31"/>
  <c r="AG143" i="31" s="1"/>
  <c r="AH143" i="31" s="1"/>
  <c r="AI143" i="31" s="1"/>
  <c r="AJ143" i="31" s="1"/>
  <c r="AK143" i="31" s="1"/>
  <c r="AL143" i="31" s="1"/>
  <c r="AM143" i="31" s="1"/>
  <c r="AN143" i="31" s="1"/>
  <c r="AO143" i="31" s="1"/>
  <c r="AP143" i="31" s="1"/>
  <c r="Q561" i="31"/>
  <c r="G109" i="31"/>
  <c r="AE110" i="31"/>
  <c r="U286" i="49"/>
  <c r="P506" i="31"/>
  <c r="EH34" i="62" s="1"/>
  <c r="EI34" i="62" s="1"/>
  <c r="I328" i="31"/>
  <c r="AN51" i="5" s="1"/>
  <c r="AN43" i="62" s="1"/>
  <c r="AO43" i="62" s="1"/>
  <c r="V459" i="49"/>
  <c r="H228" i="31"/>
  <c r="Z38" i="5" s="1"/>
  <c r="O487" i="31"/>
  <c r="DT33" i="62" s="1"/>
  <c r="DU33" i="62" s="1"/>
  <c r="AE225" i="31"/>
  <c r="AF225" i="31" s="1"/>
  <c r="AG225" i="31" s="1"/>
  <c r="AH225" i="31" s="1"/>
  <c r="AI225" i="31" s="1"/>
  <c r="AJ225" i="31" s="1"/>
  <c r="AK225" i="31" s="1"/>
  <c r="AL225" i="31" s="1"/>
  <c r="AM225" i="31" s="1"/>
  <c r="AN225" i="31" s="1"/>
  <c r="AO225" i="31" s="1"/>
  <c r="AP225" i="31" s="1"/>
  <c r="AA228" i="31"/>
  <c r="S98" i="49"/>
  <c r="H158" i="49"/>
  <c r="M62" i="49"/>
  <c r="CP17" i="5" s="1"/>
  <c r="X47" i="49"/>
  <c r="Y393" i="49"/>
  <c r="ET19" i="62" s="1"/>
  <c r="K35" i="49"/>
  <c r="BN14" i="5" s="1"/>
  <c r="P476" i="31"/>
  <c r="EH30" i="62" s="1"/>
  <c r="EI30" i="62" s="1"/>
  <c r="R35" i="49"/>
  <c r="FH14" i="5" s="1"/>
  <c r="AF473" i="31"/>
  <c r="AG473" i="31" s="1"/>
  <c r="AH473" i="31" s="1"/>
  <c r="AI473" i="31" s="1"/>
  <c r="AJ473" i="31" s="1"/>
  <c r="AK473" i="31" s="1"/>
  <c r="AL473" i="31" s="1"/>
  <c r="AM473" i="31" s="1"/>
  <c r="AN473" i="31" s="1"/>
  <c r="AO473" i="31" s="1"/>
  <c r="AP473" i="31" s="1"/>
  <c r="AF70" i="31"/>
  <c r="AG70" i="31" s="1"/>
  <c r="AH70" i="31" s="1"/>
  <c r="AI70" i="31" s="1"/>
  <c r="AJ70" i="31" s="1"/>
  <c r="AK70" i="31" s="1"/>
  <c r="AL70" i="31" s="1"/>
  <c r="AM70" i="31" s="1"/>
  <c r="AN70" i="31" s="1"/>
  <c r="AO70" i="31" s="1"/>
  <c r="AP70" i="31" s="1"/>
  <c r="J459" i="31"/>
  <c r="BB27" i="62" s="1"/>
  <c r="BC27" i="62" s="1"/>
  <c r="AE514" i="31"/>
  <c r="AF514" i="31" s="1"/>
  <c r="AG514" i="31" s="1"/>
  <c r="AH514" i="31" s="1"/>
  <c r="AI514" i="31" s="1"/>
  <c r="AJ514" i="31" s="1"/>
  <c r="AK514" i="31" s="1"/>
  <c r="AL514" i="31" s="1"/>
  <c r="AM514" i="31" s="1"/>
  <c r="AN514" i="31" s="1"/>
  <c r="AO514" i="31" s="1"/>
  <c r="AP514" i="31" s="1"/>
  <c r="V62" i="31"/>
  <c r="AE220" i="49"/>
  <c r="G219" i="49"/>
  <c r="G177" i="49" s="1"/>
  <c r="P482" i="31"/>
  <c r="EH32" i="62" s="1"/>
  <c r="EI32" i="62" s="1"/>
  <c r="AE424" i="31"/>
  <c r="AF424" i="31" s="1"/>
  <c r="AG424" i="31" s="1"/>
  <c r="AH424" i="31" s="1"/>
  <c r="AI424" i="31" s="1"/>
  <c r="AJ424" i="31" s="1"/>
  <c r="AK424" i="31" s="1"/>
  <c r="AL424" i="31" s="1"/>
  <c r="AM424" i="31" s="1"/>
  <c r="AN424" i="31" s="1"/>
  <c r="AO424" i="31" s="1"/>
  <c r="AP424" i="31" s="1"/>
  <c r="J80" i="49"/>
  <c r="AZ19" i="5" s="1"/>
  <c r="Z347" i="31"/>
  <c r="AF341" i="31"/>
  <c r="H340" i="31"/>
  <c r="Z53" i="5" s="1"/>
  <c r="K469" i="31"/>
  <c r="BP28" i="62" s="1"/>
  <c r="BQ28" i="62" s="1"/>
  <c r="AE603" i="31"/>
  <c r="AF603" i="31" s="1"/>
  <c r="AG603" i="31" s="1"/>
  <c r="AH603" i="31" s="1"/>
  <c r="AI603" i="31" s="1"/>
  <c r="AJ603" i="31" s="1"/>
  <c r="AK603" i="31" s="1"/>
  <c r="AL603" i="31" s="1"/>
  <c r="AM603" i="31" s="1"/>
  <c r="AN603" i="31" s="1"/>
  <c r="AO603" i="31" s="1"/>
  <c r="AP603" i="31" s="1"/>
  <c r="L487" i="31"/>
  <c r="CD33" i="62" s="1"/>
  <c r="CE33" i="62" s="1"/>
  <c r="AE364" i="31"/>
  <c r="AF364" i="31" s="1"/>
  <c r="AG364" i="31" s="1"/>
  <c r="AH364" i="31" s="1"/>
  <c r="AI364" i="31" s="1"/>
  <c r="AJ364" i="31" s="1"/>
  <c r="AK364" i="31" s="1"/>
  <c r="AL364" i="31" s="1"/>
  <c r="AM364" i="31" s="1"/>
  <c r="AN364" i="31" s="1"/>
  <c r="AO364" i="31" s="1"/>
  <c r="AP364" i="31" s="1"/>
  <c r="O306" i="31"/>
  <c r="DT46" i="5" s="1"/>
  <c r="DU46" i="5" s="1"/>
  <c r="AA469" i="31"/>
  <c r="K127" i="31"/>
  <c r="BP25" i="5" s="1"/>
  <c r="BQ25" i="5" s="1"/>
  <c r="N565" i="31"/>
  <c r="L469" i="31"/>
  <c r="CD28" i="62" s="1"/>
  <c r="CE28" i="62" s="1"/>
  <c r="AE458" i="31"/>
  <c r="AF458" i="31" s="1"/>
  <c r="AG458" i="31" s="1"/>
  <c r="AH458" i="31" s="1"/>
  <c r="AI458" i="31" s="1"/>
  <c r="AJ458" i="31" s="1"/>
  <c r="AK458" i="31" s="1"/>
  <c r="AL458" i="31" s="1"/>
  <c r="AM458" i="31" s="1"/>
  <c r="AN458" i="31" s="1"/>
  <c r="AO458" i="31" s="1"/>
  <c r="AP458" i="31" s="1"/>
  <c r="AF40" i="49"/>
  <c r="AG40" i="49" s="1"/>
  <c r="AH40" i="49" s="1"/>
  <c r="AI40" i="49" s="1"/>
  <c r="AJ40" i="49" s="1"/>
  <c r="AK40" i="49" s="1"/>
  <c r="AL40" i="49" s="1"/>
  <c r="AM40" i="49" s="1"/>
  <c r="AN40" i="49" s="1"/>
  <c r="AO40" i="49" s="1"/>
  <c r="AP40" i="49" s="1"/>
  <c r="K219" i="49"/>
  <c r="BN37" i="5" s="1"/>
  <c r="AD238" i="31"/>
  <c r="S80" i="31"/>
  <c r="O219" i="49"/>
  <c r="DR37" i="5" s="1"/>
  <c r="I356" i="31"/>
  <c r="S89" i="31"/>
  <c r="Z553" i="49"/>
  <c r="X487" i="49"/>
  <c r="X109" i="49"/>
  <c r="AA136" i="31"/>
  <c r="H561" i="31"/>
  <c r="R178" i="49"/>
  <c r="P557" i="49"/>
  <c r="AF308" i="49"/>
  <c r="AG308" i="49" s="1"/>
  <c r="AH308" i="49" s="1"/>
  <c r="AI308" i="49" s="1"/>
  <c r="AJ308" i="49" s="1"/>
  <c r="AK308" i="49" s="1"/>
  <c r="AL308" i="49" s="1"/>
  <c r="AM308" i="49" s="1"/>
  <c r="AN308" i="49" s="1"/>
  <c r="AO308" i="49" s="1"/>
  <c r="AP308" i="49" s="1"/>
  <c r="N228" i="49"/>
  <c r="DD38" i="5" s="1"/>
  <c r="H71" i="49"/>
  <c r="X18" i="5" s="1"/>
  <c r="L267" i="49"/>
  <c r="H542" i="49"/>
  <c r="AE552" i="31"/>
  <c r="AF552" i="31" s="1"/>
  <c r="AG552" i="31" s="1"/>
  <c r="AH552" i="31" s="1"/>
  <c r="AI552" i="31" s="1"/>
  <c r="AJ552" i="31" s="1"/>
  <c r="AK552" i="31" s="1"/>
  <c r="AL552" i="31" s="1"/>
  <c r="AM552" i="31" s="1"/>
  <c r="AN552" i="31" s="1"/>
  <c r="AO552" i="31" s="1"/>
  <c r="AP552" i="31" s="1"/>
  <c r="H459" i="31"/>
  <c r="Z27" i="62" s="1"/>
  <c r="AA27" i="62" s="1"/>
  <c r="AB531" i="31"/>
  <c r="V26" i="31"/>
  <c r="AE521" i="31"/>
  <c r="AF521" i="31" s="1"/>
  <c r="AG521" i="31" s="1"/>
  <c r="AH521" i="31" s="1"/>
  <c r="AI521" i="31" s="1"/>
  <c r="AJ521" i="31" s="1"/>
  <c r="AK521" i="31" s="1"/>
  <c r="AL521" i="31" s="1"/>
  <c r="AM521" i="31" s="1"/>
  <c r="AN521" i="31" s="1"/>
  <c r="AO521" i="31" s="1"/>
  <c r="AP521" i="31" s="1"/>
  <c r="AE407" i="49"/>
  <c r="AF407" i="49" s="1"/>
  <c r="AG407" i="49" s="1"/>
  <c r="AH407" i="49" s="1"/>
  <c r="AI407" i="49" s="1"/>
  <c r="AJ407" i="49" s="1"/>
  <c r="AK407" i="49" s="1"/>
  <c r="AL407" i="49" s="1"/>
  <c r="AM407" i="49" s="1"/>
  <c r="AN407" i="49" s="1"/>
  <c r="AO407" i="49" s="1"/>
  <c r="AP407" i="49" s="1"/>
  <c r="R569" i="31"/>
  <c r="O459" i="31"/>
  <c r="DT27" i="62" s="1"/>
  <c r="DU27" i="62" s="1"/>
  <c r="K47" i="49"/>
  <c r="BN16" i="5" s="1"/>
  <c r="S256" i="31"/>
  <c r="AF525" i="49"/>
  <c r="AG525" i="49" s="1"/>
  <c r="AH525" i="49" s="1"/>
  <c r="AI525" i="49" s="1"/>
  <c r="AJ525" i="49" s="1"/>
  <c r="AK525" i="49" s="1"/>
  <c r="AL525" i="49" s="1"/>
  <c r="AM525" i="49" s="1"/>
  <c r="AN525" i="49" s="1"/>
  <c r="AO525" i="49" s="1"/>
  <c r="AP525" i="49" s="1"/>
  <c r="N476" i="31"/>
  <c r="DF30" i="62" s="1"/>
  <c r="DG30" i="62" s="1"/>
  <c r="Z26" i="49"/>
  <c r="AE613" i="31"/>
  <c r="AF613" i="31" s="1"/>
  <c r="AG613" i="31" s="1"/>
  <c r="AH613" i="31" s="1"/>
  <c r="AI613" i="31" s="1"/>
  <c r="AJ613" i="31" s="1"/>
  <c r="AK613" i="31" s="1"/>
  <c r="AL613" i="31" s="1"/>
  <c r="AM613" i="31" s="1"/>
  <c r="AN613" i="31" s="1"/>
  <c r="AO613" i="31" s="1"/>
  <c r="AP613" i="31" s="1"/>
  <c r="S188" i="31"/>
  <c r="Y267" i="31"/>
  <c r="AE452" i="31"/>
  <c r="AF452" i="31" s="1"/>
  <c r="AG452" i="31" s="1"/>
  <c r="AH452" i="31" s="1"/>
  <c r="AI452" i="31" s="1"/>
  <c r="AJ452" i="31" s="1"/>
  <c r="AK452" i="31" s="1"/>
  <c r="AL452" i="31" s="1"/>
  <c r="AM452" i="31" s="1"/>
  <c r="AN452" i="31" s="1"/>
  <c r="AO452" i="31" s="1"/>
  <c r="AP452" i="31" s="1"/>
  <c r="U153" i="31"/>
  <c r="N188" i="49"/>
  <c r="DD35" i="5" s="1"/>
  <c r="AE441" i="49"/>
  <c r="AF441" i="49" s="1"/>
  <c r="AG441" i="49" s="1"/>
  <c r="AH441" i="49" s="1"/>
  <c r="AI441" i="49" s="1"/>
  <c r="AJ441" i="49" s="1"/>
  <c r="AK441" i="49" s="1"/>
  <c r="AL441" i="49" s="1"/>
  <c r="AM441" i="49" s="1"/>
  <c r="AN441" i="49" s="1"/>
  <c r="AO441" i="49" s="1"/>
  <c r="AP441" i="49" s="1"/>
  <c r="S377" i="31"/>
  <c r="AE371" i="31"/>
  <c r="AF371" i="31" s="1"/>
  <c r="AG371" i="31" s="1"/>
  <c r="AH371" i="31" s="1"/>
  <c r="AI371" i="31" s="1"/>
  <c r="AJ371" i="31" s="1"/>
  <c r="AK371" i="31" s="1"/>
  <c r="AL371" i="31" s="1"/>
  <c r="AM371" i="31" s="1"/>
  <c r="AN371" i="31" s="1"/>
  <c r="AO371" i="31" s="1"/>
  <c r="AP371" i="31" s="1"/>
  <c r="V80" i="31"/>
  <c r="AE411" i="49"/>
  <c r="AF411" i="49" s="1"/>
  <c r="AG411" i="49" s="1"/>
  <c r="AH411" i="49" s="1"/>
  <c r="AI411" i="49" s="1"/>
  <c r="AJ411" i="49" s="1"/>
  <c r="AK411" i="49" s="1"/>
  <c r="AL411" i="49" s="1"/>
  <c r="AM411" i="49" s="1"/>
  <c r="AN411" i="49" s="1"/>
  <c r="AO411" i="49" s="1"/>
  <c r="AP411" i="49" s="1"/>
  <c r="AD219" i="49"/>
  <c r="Z178" i="31"/>
  <c r="M136" i="31"/>
  <c r="CR26" i="5" s="1"/>
  <c r="CS26" i="5" s="1"/>
  <c r="AK137" i="31"/>
  <c r="AL137" i="31" s="1"/>
  <c r="AM137" i="31" s="1"/>
  <c r="P565" i="31"/>
  <c r="N256" i="31"/>
  <c r="DF40" i="5" s="1"/>
  <c r="T208" i="31"/>
  <c r="R168" i="49"/>
  <c r="FH32" i="5" s="1"/>
  <c r="J382" i="31"/>
  <c r="BB61" i="5" s="1"/>
  <c r="BC61" i="5" s="1"/>
  <c r="AE502" i="31"/>
  <c r="AF502" i="31" s="1"/>
  <c r="AG502" i="31" s="1"/>
  <c r="AH502" i="31" s="1"/>
  <c r="AI502" i="31" s="1"/>
  <c r="AJ502" i="31" s="1"/>
  <c r="AK502" i="31" s="1"/>
  <c r="AL502" i="31" s="1"/>
  <c r="AM502" i="31" s="1"/>
  <c r="AN502" i="31" s="1"/>
  <c r="AO502" i="31" s="1"/>
  <c r="AP502" i="31" s="1"/>
  <c r="S228" i="49"/>
  <c r="H178" i="31"/>
  <c r="AB228" i="49"/>
  <c r="X347" i="31"/>
  <c r="AB614" i="49"/>
  <c r="AD476" i="31"/>
  <c r="AA47" i="49"/>
  <c r="R109" i="49"/>
  <c r="AF52" i="49"/>
  <c r="AG52" i="49" s="1"/>
  <c r="AH52" i="49" s="1"/>
  <c r="AI52" i="49" s="1"/>
  <c r="AJ52" i="49" s="1"/>
  <c r="AK52" i="49" s="1"/>
  <c r="AL52" i="49" s="1"/>
  <c r="AM52" i="49" s="1"/>
  <c r="AN52" i="49" s="1"/>
  <c r="AO52" i="49" s="1"/>
  <c r="AP52" i="49" s="1"/>
  <c r="T315" i="31"/>
  <c r="M127" i="31"/>
  <c r="CR25" i="5" s="1"/>
  <c r="CS25" i="5" s="1"/>
  <c r="AE596" i="31"/>
  <c r="AF596" i="31" s="1"/>
  <c r="AG596" i="31" s="1"/>
  <c r="AH596" i="31" s="1"/>
  <c r="AI596" i="31" s="1"/>
  <c r="AJ596" i="31" s="1"/>
  <c r="AK596" i="31" s="1"/>
  <c r="AL596" i="31" s="1"/>
  <c r="AM596" i="31" s="1"/>
  <c r="AN596" i="31" s="1"/>
  <c r="AO596" i="31" s="1"/>
  <c r="AP596" i="31" s="1"/>
  <c r="X569" i="31"/>
  <c r="U9" i="49"/>
  <c r="AB219" i="31"/>
  <c r="AB177" i="31" s="1"/>
  <c r="AE522" i="31"/>
  <c r="AF522" i="31" s="1"/>
  <c r="AG522" i="31" s="1"/>
  <c r="AH522" i="31" s="1"/>
  <c r="AI522" i="31" s="1"/>
  <c r="AJ522" i="31" s="1"/>
  <c r="AK522" i="31" s="1"/>
  <c r="AL522" i="31" s="1"/>
  <c r="AM522" i="31" s="1"/>
  <c r="AN522" i="31" s="1"/>
  <c r="AO522" i="31" s="1"/>
  <c r="AP522" i="31" s="1"/>
  <c r="N109" i="31"/>
  <c r="DF24" i="5" s="1"/>
  <c r="S98" i="31"/>
  <c r="AF400" i="31"/>
  <c r="AG400" i="31" s="1"/>
  <c r="AH400" i="31" s="1"/>
  <c r="AI400" i="31" s="1"/>
  <c r="AJ400" i="31" s="1"/>
  <c r="AK400" i="31" s="1"/>
  <c r="AL400" i="31" s="1"/>
  <c r="AM400" i="31" s="1"/>
  <c r="AN400" i="31" s="1"/>
  <c r="AO400" i="31" s="1"/>
  <c r="AP400" i="31" s="1"/>
  <c r="AE428" i="31"/>
  <c r="AF428" i="31" s="1"/>
  <c r="AG428" i="31" s="1"/>
  <c r="AH428" i="31" s="1"/>
  <c r="AI428" i="31" s="1"/>
  <c r="AJ428" i="31" s="1"/>
  <c r="AK428" i="31" s="1"/>
  <c r="AL428" i="31" s="1"/>
  <c r="AM428" i="31" s="1"/>
  <c r="AN428" i="31" s="1"/>
  <c r="AO428" i="31" s="1"/>
  <c r="AP428" i="31" s="1"/>
  <c r="AE319" i="31"/>
  <c r="AF319" i="31" s="1"/>
  <c r="AG319" i="31" s="1"/>
  <c r="AH319" i="31" s="1"/>
  <c r="AI319" i="31" s="1"/>
  <c r="AJ319" i="31" s="1"/>
  <c r="AK319" i="31" s="1"/>
  <c r="AL319" i="31" s="1"/>
  <c r="AM319" i="31" s="1"/>
  <c r="AN319" i="31" s="1"/>
  <c r="AO319" i="31" s="1"/>
  <c r="AP319" i="31" s="1"/>
  <c r="K442" i="31"/>
  <c r="BP26" i="62" s="1"/>
  <c r="K136" i="31"/>
  <c r="BP26" i="5" s="1"/>
  <c r="BQ26" i="5" s="1"/>
  <c r="U71" i="49"/>
  <c r="AE240" i="49"/>
  <c r="AF240" i="49" s="1"/>
  <c r="AG240" i="49" s="1"/>
  <c r="AH240" i="49" s="1"/>
  <c r="AI240" i="49" s="1"/>
  <c r="AJ240" i="49" s="1"/>
  <c r="AK240" i="49" s="1"/>
  <c r="AL240" i="49" s="1"/>
  <c r="AM240" i="49" s="1"/>
  <c r="AN240" i="49" s="1"/>
  <c r="AO240" i="49" s="1"/>
  <c r="AP240" i="49" s="1"/>
  <c r="N604" i="31"/>
  <c r="H9" i="49"/>
  <c r="AF10" i="49"/>
  <c r="AE450" i="31"/>
  <c r="AF450" i="31" s="1"/>
  <c r="AG450" i="31" s="1"/>
  <c r="AH450" i="31" s="1"/>
  <c r="AI450" i="31" s="1"/>
  <c r="AJ450" i="31" s="1"/>
  <c r="AK450" i="31" s="1"/>
  <c r="AL450" i="31" s="1"/>
  <c r="AM450" i="31" s="1"/>
  <c r="AN450" i="31" s="1"/>
  <c r="AO450" i="31" s="1"/>
  <c r="AP450" i="31" s="1"/>
  <c r="U347" i="31"/>
  <c r="I459" i="49"/>
  <c r="AL27" i="62" s="1"/>
  <c r="R136" i="49"/>
  <c r="FH26" i="5" s="1"/>
  <c r="AG254" i="31"/>
  <c r="AH254" i="31" s="1"/>
  <c r="AI254" i="31" s="1"/>
  <c r="AJ254" i="31" s="1"/>
  <c r="AK254" i="31" s="1"/>
  <c r="AL254" i="31" s="1"/>
  <c r="AM254" i="31" s="1"/>
  <c r="AN254" i="31" s="1"/>
  <c r="AO254" i="31" s="1"/>
  <c r="AP254" i="31" s="1"/>
  <c r="AE233" i="31"/>
  <c r="AF233" i="31" s="1"/>
  <c r="AG233" i="31" s="1"/>
  <c r="AH233" i="31" s="1"/>
  <c r="AI233" i="31" s="1"/>
  <c r="AJ233" i="31" s="1"/>
  <c r="AK233" i="31" s="1"/>
  <c r="AL233" i="31" s="1"/>
  <c r="AM233" i="31" s="1"/>
  <c r="AN233" i="31" s="1"/>
  <c r="AO233" i="31" s="1"/>
  <c r="AP233" i="31" s="1"/>
  <c r="H377" i="49"/>
  <c r="X60" i="5" s="1"/>
  <c r="AF378" i="49"/>
  <c r="Z158" i="49"/>
  <c r="Z157" i="49" s="1"/>
  <c r="O393" i="49"/>
  <c r="DR19" i="62" s="1"/>
  <c r="X442" i="31"/>
  <c r="H377" i="31"/>
  <c r="Z60" i="5" s="1"/>
  <c r="AA60" i="5" s="1"/>
  <c r="M208" i="31"/>
  <c r="CR36" i="5" s="1"/>
  <c r="AF56" i="49"/>
  <c r="AG56" i="49" s="1"/>
  <c r="AH56" i="49" s="1"/>
  <c r="AI56" i="49" s="1"/>
  <c r="AJ56" i="49" s="1"/>
  <c r="AK56" i="49" s="1"/>
  <c r="AL56" i="49" s="1"/>
  <c r="AM56" i="49" s="1"/>
  <c r="AN56" i="49" s="1"/>
  <c r="AO56" i="49" s="1"/>
  <c r="AP56" i="49" s="1"/>
  <c r="AE248" i="49"/>
  <c r="AF248" i="49" s="1"/>
  <c r="AG248" i="49" s="1"/>
  <c r="AH248" i="49" s="1"/>
  <c r="AI248" i="49" s="1"/>
  <c r="AJ248" i="49" s="1"/>
  <c r="AK248" i="49" s="1"/>
  <c r="AL248" i="49" s="1"/>
  <c r="AM248" i="49" s="1"/>
  <c r="AN248" i="49" s="1"/>
  <c r="AO248" i="49" s="1"/>
  <c r="AP248" i="49" s="1"/>
  <c r="J584" i="31"/>
  <c r="AE420" i="49"/>
  <c r="AF420" i="49" s="1"/>
  <c r="AG420" i="49" s="1"/>
  <c r="AH420" i="49" s="1"/>
  <c r="AI420" i="49" s="1"/>
  <c r="AJ420" i="49" s="1"/>
  <c r="AK420" i="49" s="1"/>
  <c r="AL420" i="49" s="1"/>
  <c r="AM420" i="49" s="1"/>
  <c r="AN420" i="49" s="1"/>
  <c r="AO420" i="49" s="1"/>
  <c r="AP420" i="49" s="1"/>
  <c r="H356" i="31"/>
  <c r="Z57" i="5" s="1"/>
  <c r="Z42" i="62" s="1"/>
  <c r="X561" i="31"/>
  <c r="S26" i="31"/>
  <c r="J569" i="49"/>
  <c r="AB321" i="31"/>
  <c r="AF126" i="49"/>
  <c r="AG126" i="49" s="1"/>
  <c r="AH126" i="49" s="1"/>
  <c r="AI126" i="49" s="1"/>
  <c r="AJ126" i="49" s="1"/>
  <c r="AK126" i="49" s="1"/>
  <c r="AL126" i="49" s="1"/>
  <c r="AM126" i="49" s="1"/>
  <c r="AN126" i="49" s="1"/>
  <c r="AO126" i="49" s="1"/>
  <c r="AP126" i="49" s="1"/>
  <c r="AE433" i="49"/>
  <c r="AF433" i="49" s="1"/>
  <c r="AG433" i="49" s="1"/>
  <c r="AH433" i="49" s="1"/>
  <c r="AI433" i="49" s="1"/>
  <c r="AJ433" i="49" s="1"/>
  <c r="AK433" i="49" s="1"/>
  <c r="AL433" i="49" s="1"/>
  <c r="AM433" i="49" s="1"/>
  <c r="AN433" i="49" s="1"/>
  <c r="AO433" i="49" s="1"/>
  <c r="AP433" i="49" s="1"/>
  <c r="AC459" i="31"/>
  <c r="P256" i="49"/>
  <c r="EF40" i="5" s="1"/>
  <c r="V286" i="31"/>
  <c r="L614" i="49"/>
  <c r="AA127" i="31"/>
  <c r="W293" i="31"/>
  <c r="W315" i="31"/>
  <c r="AE348" i="31"/>
  <c r="G347" i="31"/>
  <c r="AF76" i="49"/>
  <c r="AG76" i="49" s="1"/>
  <c r="AH76" i="49" s="1"/>
  <c r="AI76" i="49" s="1"/>
  <c r="AJ76" i="49" s="1"/>
  <c r="AK76" i="49" s="1"/>
  <c r="AL76" i="49" s="1"/>
  <c r="AM76" i="49" s="1"/>
  <c r="AN76" i="49" s="1"/>
  <c r="AO76" i="49" s="1"/>
  <c r="AP76" i="49" s="1"/>
  <c r="P328" i="31"/>
  <c r="EH51" i="5" s="1"/>
  <c r="EH43" i="62" s="1"/>
  <c r="N306" i="31"/>
  <c r="DF46" i="5" s="1"/>
  <c r="DG46" i="5" s="1"/>
  <c r="S158" i="49"/>
  <c r="S157" i="49" s="1"/>
  <c r="Z382" i="31"/>
  <c r="X393" i="31"/>
  <c r="Q442" i="31"/>
  <c r="EV26" i="62" s="1"/>
  <c r="AF172" i="49"/>
  <c r="AG172" i="49" s="1"/>
  <c r="AH172" i="49" s="1"/>
  <c r="AI172" i="49" s="1"/>
  <c r="AJ172" i="49" s="1"/>
  <c r="AK172" i="49" s="1"/>
  <c r="AL172" i="49" s="1"/>
  <c r="AM172" i="49" s="1"/>
  <c r="AN172" i="49" s="1"/>
  <c r="AO172" i="49" s="1"/>
  <c r="AP172" i="49" s="1"/>
  <c r="AA366" i="31"/>
  <c r="AD487" i="31"/>
  <c r="AE577" i="31"/>
  <c r="AF577" i="31" s="1"/>
  <c r="AG577" i="31" s="1"/>
  <c r="AH577" i="31" s="1"/>
  <c r="AI577" i="31" s="1"/>
  <c r="AJ577" i="31" s="1"/>
  <c r="AK577" i="31" s="1"/>
  <c r="AL577" i="31" s="1"/>
  <c r="AM577" i="31" s="1"/>
  <c r="AN577" i="31" s="1"/>
  <c r="AO577" i="31" s="1"/>
  <c r="AP577" i="31" s="1"/>
  <c r="AB238" i="31"/>
  <c r="J561" i="31"/>
  <c r="AE403" i="49"/>
  <c r="AF403" i="49" s="1"/>
  <c r="AG403" i="49" s="1"/>
  <c r="AH403" i="49" s="1"/>
  <c r="AI403" i="49" s="1"/>
  <c r="AJ403" i="49" s="1"/>
  <c r="AK403" i="49" s="1"/>
  <c r="AL403" i="49" s="1"/>
  <c r="AM403" i="49" s="1"/>
  <c r="AN403" i="49" s="1"/>
  <c r="AO403" i="49" s="1"/>
  <c r="AP403" i="49" s="1"/>
  <c r="N301" i="31"/>
  <c r="X333" i="31"/>
  <c r="Y366" i="31"/>
  <c r="AE454" i="31"/>
  <c r="AF454" i="31" s="1"/>
  <c r="AG454" i="31" s="1"/>
  <c r="AH454" i="31" s="1"/>
  <c r="AI454" i="31" s="1"/>
  <c r="AJ454" i="31" s="1"/>
  <c r="AK454" i="31" s="1"/>
  <c r="AL454" i="31" s="1"/>
  <c r="AM454" i="31" s="1"/>
  <c r="AN454" i="31" s="1"/>
  <c r="AO454" i="31" s="1"/>
  <c r="AP454" i="31" s="1"/>
  <c r="P347" i="49"/>
  <c r="EF54" i="5" s="1"/>
  <c r="U238" i="31"/>
  <c r="U35" i="31"/>
  <c r="AE396" i="31"/>
  <c r="AF396" i="31" s="1"/>
  <c r="AG396" i="31" s="1"/>
  <c r="AH396" i="31" s="1"/>
  <c r="AI396" i="31" s="1"/>
  <c r="AJ396" i="31" s="1"/>
  <c r="AK396" i="31" s="1"/>
  <c r="AL396" i="31" s="1"/>
  <c r="AM396" i="31" s="1"/>
  <c r="AN396" i="31" s="1"/>
  <c r="AO396" i="31" s="1"/>
  <c r="AP396" i="31" s="1"/>
  <c r="AE437" i="49"/>
  <c r="AF437" i="49" s="1"/>
  <c r="AG437" i="49" s="1"/>
  <c r="AH437" i="49" s="1"/>
  <c r="AI437" i="49" s="1"/>
  <c r="AJ437" i="49" s="1"/>
  <c r="AK437" i="49" s="1"/>
  <c r="AL437" i="49" s="1"/>
  <c r="AM437" i="49" s="1"/>
  <c r="AN437" i="49" s="1"/>
  <c r="AO437" i="49" s="1"/>
  <c r="AP437" i="49" s="1"/>
  <c r="J328" i="31"/>
  <c r="BB51" i="5" s="1"/>
  <c r="AE339" i="31"/>
  <c r="AF339" i="31" s="1"/>
  <c r="AG339" i="31" s="1"/>
  <c r="AH339" i="31" s="1"/>
  <c r="AI339" i="31" s="1"/>
  <c r="AJ339" i="31" s="1"/>
  <c r="AK339" i="31" s="1"/>
  <c r="AL339" i="31" s="1"/>
  <c r="AM339" i="31" s="1"/>
  <c r="AN339" i="31" s="1"/>
  <c r="AO339" i="31" s="1"/>
  <c r="AP339" i="31" s="1"/>
  <c r="Q321" i="31"/>
  <c r="EV50" i="5" s="1"/>
  <c r="EW50" i="5" s="1"/>
  <c r="AD208" i="31"/>
  <c r="O315" i="31"/>
  <c r="L306" i="31"/>
  <c r="AE281" i="31"/>
  <c r="AF281" i="31" s="1"/>
  <c r="AG281" i="31" s="1"/>
  <c r="AH281" i="31" s="1"/>
  <c r="AI281" i="31" s="1"/>
  <c r="AJ281" i="31" s="1"/>
  <c r="AK281" i="31" s="1"/>
  <c r="AL281" i="31" s="1"/>
  <c r="AM281" i="31" s="1"/>
  <c r="AN281" i="31" s="1"/>
  <c r="AO281" i="31" s="1"/>
  <c r="AP281" i="31" s="1"/>
  <c r="AE363" i="31"/>
  <c r="AF363" i="31" s="1"/>
  <c r="AG363" i="31" s="1"/>
  <c r="AH363" i="31" s="1"/>
  <c r="AI363" i="31" s="1"/>
  <c r="AJ363" i="31" s="1"/>
  <c r="AK363" i="31" s="1"/>
  <c r="AL363" i="31" s="1"/>
  <c r="AM363" i="31" s="1"/>
  <c r="AN363" i="31" s="1"/>
  <c r="AO363" i="31" s="1"/>
  <c r="AP363" i="31" s="1"/>
  <c r="Y356" i="31"/>
  <c r="S71" i="31"/>
  <c r="AE351" i="31"/>
  <c r="AF351" i="31" s="1"/>
  <c r="AG351" i="31" s="1"/>
  <c r="AH351" i="31" s="1"/>
  <c r="AI351" i="31" s="1"/>
  <c r="AJ351" i="31" s="1"/>
  <c r="AK351" i="31" s="1"/>
  <c r="AL351" i="31" s="1"/>
  <c r="AM351" i="31" s="1"/>
  <c r="AN351" i="31" s="1"/>
  <c r="AO351" i="31" s="1"/>
  <c r="AP351" i="31" s="1"/>
  <c r="Y565" i="31"/>
  <c r="H382" i="31"/>
  <c r="Z61" i="5" s="1"/>
  <c r="AA61" i="5" s="1"/>
  <c r="AE450" i="49"/>
  <c r="AF450" i="49" s="1"/>
  <c r="AG450" i="49" s="1"/>
  <c r="AH450" i="49" s="1"/>
  <c r="AI450" i="49" s="1"/>
  <c r="AJ450" i="49" s="1"/>
  <c r="AK450" i="49" s="1"/>
  <c r="AL450" i="49" s="1"/>
  <c r="AM450" i="49" s="1"/>
  <c r="AN450" i="49" s="1"/>
  <c r="AO450" i="49" s="1"/>
  <c r="AP450" i="49" s="1"/>
  <c r="O328" i="31"/>
  <c r="DT51" i="5" s="1"/>
  <c r="DT43" i="62" s="1"/>
  <c r="DU43" i="62" s="1"/>
  <c r="O267" i="31"/>
  <c r="DT41" i="5" s="1"/>
  <c r="T35" i="31"/>
  <c r="U109" i="31"/>
  <c r="AE497" i="31"/>
  <c r="AF497" i="31" s="1"/>
  <c r="AG497" i="31" s="1"/>
  <c r="AH497" i="31" s="1"/>
  <c r="AI497" i="31" s="1"/>
  <c r="AJ497" i="31" s="1"/>
  <c r="AK497" i="31" s="1"/>
  <c r="AL497" i="31" s="1"/>
  <c r="AM497" i="31" s="1"/>
  <c r="AN497" i="31" s="1"/>
  <c r="AO497" i="31" s="1"/>
  <c r="AP497" i="31" s="1"/>
  <c r="AE608" i="31"/>
  <c r="AF608" i="31" s="1"/>
  <c r="AG608" i="31" s="1"/>
  <c r="AH608" i="31" s="1"/>
  <c r="AI608" i="31" s="1"/>
  <c r="AJ608" i="31" s="1"/>
  <c r="AK608" i="31" s="1"/>
  <c r="AL608" i="31" s="1"/>
  <c r="AM608" i="31" s="1"/>
  <c r="AN608" i="31" s="1"/>
  <c r="AO608" i="31" s="1"/>
  <c r="AP608" i="31" s="1"/>
  <c r="O482" i="31"/>
  <c r="DT32" i="62" s="1"/>
  <c r="DU32" i="62" s="1"/>
  <c r="U256" i="31"/>
  <c r="AB459" i="31"/>
  <c r="J208" i="31"/>
  <c r="BB36" i="5" s="1"/>
  <c r="AE426" i="31"/>
  <c r="AF426" i="31" s="1"/>
  <c r="AG426" i="31" s="1"/>
  <c r="AH426" i="31" s="1"/>
  <c r="AI426" i="31" s="1"/>
  <c r="AJ426" i="31" s="1"/>
  <c r="AK426" i="31" s="1"/>
  <c r="AL426" i="31" s="1"/>
  <c r="AM426" i="31" s="1"/>
  <c r="AN426" i="31" s="1"/>
  <c r="AO426" i="31" s="1"/>
  <c r="AP426" i="31" s="1"/>
  <c r="N47" i="31"/>
  <c r="DF16" i="5" s="1"/>
  <c r="DG16" i="5" s="1"/>
  <c r="AB377" i="31"/>
  <c r="AE478" i="31"/>
  <c r="AF478" i="31" s="1"/>
  <c r="AG478" i="31" s="1"/>
  <c r="AH478" i="31" s="1"/>
  <c r="AI478" i="31" s="1"/>
  <c r="AJ478" i="31" s="1"/>
  <c r="AK478" i="31" s="1"/>
  <c r="AL478" i="31" s="1"/>
  <c r="AM478" i="31" s="1"/>
  <c r="AN478" i="31" s="1"/>
  <c r="AO478" i="31" s="1"/>
  <c r="AP478" i="31" s="1"/>
  <c r="X71" i="49"/>
  <c r="V315" i="31"/>
  <c r="X377" i="31"/>
  <c r="U89" i="31"/>
  <c r="J347" i="31"/>
  <c r="BB54" i="5" s="1"/>
  <c r="BC54" i="5" s="1"/>
  <c r="AA208" i="31"/>
  <c r="AB306" i="31"/>
  <c r="AB313" i="31" s="1"/>
  <c r="G328" i="31"/>
  <c r="AE329" i="31"/>
  <c r="AB416" i="31"/>
  <c r="AC208" i="31"/>
  <c r="AC219" i="31"/>
  <c r="AE454" i="49"/>
  <c r="AF454" i="49" s="1"/>
  <c r="AG454" i="49" s="1"/>
  <c r="AH454" i="49" s="1"/>
  <c r="AI454" i="49" s="1"/>
  <c r="AJ454" i="49" s="1"/>
  <c r="AK454" i="49" s="1"/>
  <c r="AL454" i="49" s="1"/>
  <c r="AM454" i="49" s="1"/>
  <c r="AN454" i="49" s="1"/>
  <c r="AO454" i="49" s="1"/>
  <c r="AP454" i="49" s="1"/>
  <c r="R442" i="31"/>
  <c r="FJ26" i="62" s="1"/>
  <c r="FK26" i="62" s="1"/>
  <c r="AF345" i="31"/>
  <c r="AG345" i="31" s="1"/>
  <c r="AH345" i="31" s="1"/>
  <c r="AI345" i="31" s="1"/>
  <c r="AJ345" i="31" s="1"/>
  <c r="AK345" i="31" s="1"/>
  <c r="AL345" i="31" s="1"/>
  <c r="AM345" i="31" s="1"/>
  <c r="AN345" i="31" s="1"/>
  <c r="AO345" i="31" s="1"/>
  <c r="AP345" i="31" s="1"/>
  <c r="T89" i="31"/>
  <c r="AE592" i="31"/>
  <c r="AF592" i="31" s="1"/>
  <c r="AG592" i="31" s="1"/>
  <c r="AH592" i="31" s="1"/>
  <c r="AI592" i="31" s="1"/>
  <c r="AJ592" i="31" s="1"/>
  <c r="AK592" i="31" s="1"/>
  <c r="AL592" i="31" s="1"/>
  <c r="AM592" i="31" s="1"/>
  <c r="AN592" i="31" s="1"/>
  <c r="AO592" i="31" s="1"/>
  <c r="AP592" i="31" s="1"/>
  <c r="N553" i="31"/>
  <c r="T109" i="31"/>
  <c r="J609" i="31"/>
  <c r="AE418" i="31"/>
  <c r="AF418" i="31" s="1"/>
  <c r="AG418" i="31" s="1"/>
  <c r="AH418" i="31" s="1"/>
  <c r="AI418" i="31" s="1"/>
  <c r="AJ418" i="31" s="1"/>
  <c r="AK418" i="31" s="1"/>
  <c r="W256" i="49"/>
  <c r="R321" i="31"/>
  <c r="FJ50" i="5" s="1"/>
  <c r="FK50" i="5" s="1"/>
  <c r="AB469" i="31"/>
  <c r="AE332" i="31"/>
  <c r="AF332" i="31" s="1"/>
  <c r="AG332" i="31" s="1"/>
  <c r="AH332" i="31" s="1"/>
  <c r="AI332" i="31" s="1"/>
  <c r="AJ332" i="31" s="1"/>
  <c r="AK332" i="31" s="1"/>
  <c r="AL332" i="31" s="1"/>
  <c r="AM332" i="31" s="1"/>
  <c r="AN332" i="31" s="1"/>
  <c r="AO332" i="31" s="1"/>
  <c r="AP332" i="31" s="1"/>
  <c r="AE307" i="31"/>
  <c r="G306" i="31"/>
  <c r="G313" i="31" s="1"/>
  <c r="Y382" i="31"/>
  <c r="K416" i="31"/>
  <c r="BP22" i="62" s="1"/>
  <c r="BQ22" i="62" s="1"/>
  <c r="I256" i="31"/>
  <c r="I393" i="31"/>
  <c r="AN19" i="62" s="1"/>
  <c r="AO19" i="62" s="1"/>
  <c r="AF589" i="49"/>
  <c r="AG589" i="49" s="1"/>
  <c r="AH589" i="49" s="1"/>
  <c r="AI589" i="49" s="1"/>
  <c r="AJ589" i="49" s="1"/>
  <c r="AK589" i="49" s="1"/>
  <c r="AL589" i="49" s="1"/>
  <c r="AM589" i="49" s="1"/>
  <c r="AN589" i="49" s="1"/>
  <c r="AO589" i="49" s="1"/>
  <c r="AP589" i="49" s="1"/>
  <c r="U9" i="31"/>
  <c r="AE217" i="49"/>
  <c r="AF217" i="49" s="1"/>
  <c r="AG217" i="49" s="1"/>
  <c r="AH217" i="49" s="1"/>
  <c r="AI217" i="49" s="1"/>
  <c r="AJ217" i="49" s="1"/>
  <c r="AK217" i="49" s="1"/>
  <c r="AL217" i="49" s="1"/>
  <c r="AM217" i="49" s="1"/>
  <c r="AN217" i="49" s="1"/>
  <c r="AO217" i="49" s="1"/>
  <c r="AP217" i="49" s="1"/>
  <c r="AB127" i="31"/>
  <c r="S328" i="31"/>
  <c r="AE595" i="31"/>
  <c r="AF595" i="31" s="1"/>
  <c r="AG595" i="31" s="1"/>
  <c r="AH595" i="31" s="1"/>
  <c r="AI595" i="31" s="1"/>
  <c r="AJ595" i="31" s="1"/>
  <c r="AK595" i="31" s="1"/>
  <c r="AL595" i="31" s="1"/>
  <c r="AM595" i="31" s="1"/>
  <c r="AN595" i="31" s="1"/>
  <c r="AO595" i="31" s="1"/>
  <c r="AP595" i="31" s="1"/>
  <c r="X35" i="49"/>
  <c r="AD333" i="31"/>
  <c r="W565" i="31"/>
  <c r="K168" i="31"/>
  <c r="BP32" i="5" s="1"/>
  <c r="BQ32" i="5" s="1"/>
  <c r="AE496" i="31"/>
  <c r="AF496" i="31" s="1"/>
  <c r="AG496" i="31" s="1"/>
  <c r="AH496" i="31" s="1"/>
  <c r="AI496" i="31" s="1"/>
  <c r="AJ496" i="31" s="1"/>
  <c r="AK496" i="31" s="1"/>
  <c r="AL496" i="31" s="1"/>
  <c r="AM496" i="31" s="1"/>
  <c r="AN496" i="31" s="1"/>
  <c r="AO496" i="31" s="1"/>
  <c r="AP496" i="31" s="1"/>
  <c r="M178" i="31"/>
  <c r="M177" i="31" s="1"/>
  <c r="S158" i="31"/>
  <c r="T256" i="31"/>
  <c r="AC178" i="31"/>
  <c r="AA565" i="31"/>
  <c r="P219" i="31"/>
  <c r="EH37" i="5" s="1"/>
  <c r="M168" i="31"/>
  <c r="CR32" i="5" s="1"/>
  <c r="CS32" i="5" s="1"/>
  <c r="O469" i="31"/>
  <c r="DT28" i="62" s="1"/>
  <c r="DU28" i="62" s="1"/>
  <c r="AD153" i="31"/>
  <c r="AD108" i="31" s="1"/>
  <c r="AE352" i="31"/>
  <c r="AF352" i="31" s="1"/>
  <c r="AG352" i="31" s="1"/>
  <c r="AH352" i="31" s="1"/>
  <c r="AI352" i="31" s="1"/>
  <c r="AJ352" i="31" s="1"/>
  <c r="AK352" i="31" s="1"/>
  <c r="AL352" i="31" s="1"/>
  <c r="AM352" i="31" s="1"/>
  <c r="AN352" i="31" s="1"/>
  <c r="AO352" i="31" s="1"/>
  <c r="AP352" i="31" s="1"/>
  <c r="N293" i="31"/>
  <c r="DF43" i="5" s="1"/>
  <c r="AF312" i="31"/>
  <c r="AG312" i="31" s="1"/>
  <c r="AH312" i="31" s="1"/>
  <c r="AI312" i="31" s="1"/>
  <c r="AJ312" i="31" s="1"/>
  <c r="AK312" i="31" s="1"/>
  <c r="AL312" i="31" s="1"/>
  <c r="AM312" i="31" s="1"/>
  <c r="AN312" i="31" s="1"/>
  <c r="AO312" i="31" s="1"/>
  <c r="AP312" i="31" s="1"/>
  <c r="AD188" i="49"/>
  <c r="AE257" i="49"/>
  <c r="G256" i="49"/>
  <c r="AD293" i="31"/>
  <c r="O569" i="31"/>
  <c r="C569" i="31" s="1"/>
  <c r="AE590" i="31"/>
  <c r="AF590" i="31" s="1"/>
  <c r="AG590" i="31" s="1"/>
  <c r="AH590" i="31" s="1"/>
  <c r="AI590" i="31" s="1"/>
  <c r="AJ590" i="31" s="1"/>
  <c r="AK590" i="31" s="1"/>
  <c r="AL590" i="31" s="1"/>
  <c r="AM590" i="31" s="1"/>
  <c r="AN590" i="31" s="1"/>
  <c r="AO590" i="31" s="1"/>
  <c r="AP590" i="31" s="1"/>
  <c r="AE297" i="31"/>
  <c r="AF297" i="31" s="1"/>
  <c r="AG297" i="31" s="1"/>
  <c r="AH297" i="31" s="1"/>
  <c r="AI297" i="31" s="1"/>
  <c r="AJ297" i="31" s="1"/>
  <c r="AK297" i="31" s="1"/>
  <c r="AL297" i="31" s="1"/>
  <c r="AM297" i="31" s="1"/>
  <c r="AN297" i="31" s="1"/>
  <c r="AO297" i="31" s="1"/>
  <c r="AP297" i="31" s="1"/>
  <c r="N89" i="31"/>
  <c r="DF20" i="5" s="1"/>
  <c r="DG20" i="5" s="1"/>
  <c r="AF152" i="31"/>
  <c r="AG152" i="31" s="1"/>
  <c r="AH152" i="31" s="1"/>
  <c r="AI152" i="31" s="1"/>
  <c r="AJ152" i="31" s="1"/>
  <c r="AK152" i="31" s="1"/>
  <c r="AL152" i="31" s="1"/>
  <c r="AM152" i="31" s="1"/>
  <c r="AN152" i="31" s="1"/>
  <c r="AO152" i="31" s="1"/>
  <c r="AP152" i="31" s="1"/>
  <c r="U340" i="31"/>
  <c r="I506" i="31"/>
  <c r="AN34" i="62" s="1"/>
  <c r="AO34" i="62" s="1"/>
  <c r="G557" i="31"/>
  <c r="AE558" i="31"/>
  <c r="AE557" i="31" s="1"/>
  <c r="Z208" i="31"/>
  <c r="AE489" i="31"/>
  <c r="AF489" i="31" s="1"/>
  <c r="AG489" i="31" s="1"/>
  <c r="AH489" i="31" s="1"/>
  <c r="AI489" i="31" s="1"/>
  <c r="AJ489" i="31" s="1"/>
  <c r="AK489" i="31" s="1"/>
  <c r="AL489" i="31" s="1"/>
  <c r="AM489" i="31" s="1"/>
  <c r="AN489" i="31" s="1"/>
  <c r="AO489" i="31" s="1"/>
  <c r="AP489" i="31" s="1"/>
  <c r="U506" i="31"/>
  <c r="V188" i="31"/>
  <c r="V177" i="31" s="1"/>
  <c r="G487" i="31"/>
  <c r="AE488" i="31"/>
  <c r="M301" i="31"/>
  <c r="CR45" i="5" s="1"/>
  <c r="CS45" i="5" s="1"/>
  <c r="AI190" i="31"/>
  <c r="AE420" i="31"/>
  <c r="AF420" i="31" s="1"/>
  <c r="AG420" i="31" s="1"/>
  <c r="AH420" i="31" s="1"/>
  <c r="AI420" i="31" s="1"/>
  <c r="AJ420" i="31" s="1"/>
  <c r="AK420" i="31" s="1"/>
  <c r="AL420" i="31" s="1"/>
  <c r="AM420" i="31" s="1"/>
  <c r="AN420" i="31" s="1"/>
  <c r="AO420" i="31" s="1"/>
  <c r="AP420" i="31" s="1"/>
  <c r="AB315" i="31"/>
  <c r="K178" i="31"/>
  <c r="BP34" i="5" s="1"/>
  <c r="AD608" i="45" s="1"/>
  <c r="T286" i="31"/>
  <c r="AF551" i="49"/>
  <c r="AG551" i="49" s="1"/>
  <c r="AH551" i="49" s="1"/>
  <c r="AI551" i="49" s="1"/>
  <c r="AJ551" i="49" s="1"/>
  <c r="AK551" i="49" s="1"/>
  <c r="AL551" i="49" s="1"/>
  <c r="AM551" i="49" s="1"/>
  <c r="AN551" i="49" s="1"/>
  <c r="AO551" i="49" s="1"/>
  <c r="AP551" i="49" s="1"/>
  <c r="P321" i="31"/>
  <c r="EH50" i="5" s="1"/>
  <c r="EI50" i="5" s="1"/>
  <c r="S144" i="31"/>
  <c r="R416" i="31"/>
  <c r="FJ22" i="62" s="1"/>
  <c r="FK22" i="62" s="1"/>
  <c r="AA442" i="31"/>
  <c r="H333" i="31"/>
  <c r="Z52" i="5" s="1"/>
  <c r="AA52" i="5" s="1"/>
  <c r="S109" i="31"/>
  <c r="AE290" i="31"/>
  <c r="AF290" i="31" s="1"/>
  <c r="AG290" i="31" s="1"/>
  <c r="AH290" i="31" s="1"/>
  <c r="AI290" i="31" s="1"/>
  <c r="AJ290" i="31" s="1"/>
  <c r="AK290" i="31" s="1"/>
  <c r="AL290" i="31" s="1"/>
  <c r="AM290" i="31" s="1"/>
  <c r="AN290" i="31" s="1"/>
  <c r="AO290" i="31" s="1"/>
  <c r="AP290" i="31" s="1"/>
  <c r="T9" i="31"/>
  <c r="AF60" i="49"/>
  <c r="AG60" i="49" s="1"/>
  <c r="AH60" i="49" s="1"/>
  <c r="AI60" i="49" s="1"/>
  <c r="AJ60" i="49" s="1"/>
  <c r="AK60" i="49" s="1"/>
  <c r="AL60" i="49" s="1"/>
  <c r="AM60" i="49" s="1"/>
  <c r="AN60" i="49" s="1"/>
  <c r="AO60" i="49" s="1"/>
  <c r="AP60" i="49" s="1"/>
  <c r="I416" i="49"/>
  <c r="I442" i="49"/>
  <c r="AA168" i="31"/>
  <c r="AE533" i="31"/>
  <c r="AF533" i="31" s="1"/>
  <c r="AG533" i="31" s="1"/>
  <c r="AH533" i="31" s="1"/>
  <c r="AI533" i="31" s="1"/>
  <c r="AJ533" i="31" s="1"/>
  <c r="AK533" i="31" s="1"/>
  <c r="AL533" i="31" s="1"/>
  <c r="AM533" i="31" s="1"/>
  <c r="AN533" i="31" s="1"/>
  <c r="AO533" i="31" s="1"/>
  <c r="AP533" i="31" s="1"/>
  <c r="N158" i="31"/>
  <c r="DF31" i="5" s="1"/>
  <c r="S153" i="31"/>
  <c r="S108" i="31" s="1"/>
  <c r="U267" i="31"/>
  <c r="AE422" i="31"/>
  <c r="AF422" i="31" s="1"/>
  <c r="AG422" i="31" s="1"/>
  <c r="AH422" i="31" s="1"/>
  <c r="AI422" i="31" s="1"/>
  <c r="AJ422" i="31" s="1"/>
  <c r="AK422" i="31" s="1"/>
  <c r="AL422" i="31" s="1"/>
  <c r="AM422" i="31" s="1"/>
  <c r="AN422" i="31" s="1"/>
  <c r="AO422" i="31" s="1"/>
  <c r="AP422" i="31" s="1"/>
  <c r="AE568" i="31"/>
  <c r="AF568" i="31" s="1"/>
  <c r="AG568" i="31" s="1"/>
  <c r="AH568" i="31" s="1"/>
  <c r="AI568" i="31" s="1"/>
  <c r="AJ568" i="31" s="1"/>
  <c r="AK568" i="31" s="1"/>
  <c r="AL568" i="31" s="1"/>
  <c r="AM568" i="31" s="1"/>
  <c r="AN568" i="31" s="1"/>
  <c r="AO568" i="31" s="1"/>
  <c r="AP568" i="31" s="1"/>
  <c r="O293" i="31"/>
  <c r="DT43" i="5" s="1"/>
  <c r="J178" i="31"/>
  <c r="U569" i="31"/>
  <c r="AE587" i="31"/>
  <c r="AF587" i="31" s="1"/>
  <c r="AG587" i="31" s="1"/>
  <c r="AH587" i="31" s="1"/>
  <c r="AI587" i="31" s="1"/>
  <c r="AJ587" i="31" s="1"/>
  <c r="AK587" i="31" s="1"/>
  <c r="AL587" i="31" s="1"/>
  <c r="AM587" i="31" s="1"/>
  <c r="AN587" i="31" s="1"/>
  <c r="AO587" i="31" s="1"/>
  <c r="AP587" i="31" s="1"/>
  <c r="N333" i="31"/>
  <c r="DF52" i="5" s="1"/>
  <c r="DG52" i="5" s="1"/>
  <c r="AB487" i="31"/>
  <c r="M584" i="31"/>
  <c r="AI166" i="31"/>
  <c r="I286" i="31"/>
  <c r="I177" i="31" s="1"/>
  <c r="AE271" i="31"/>
  <c r="AF271" i="31" s="1"/>
  <c r="AG271" i="31" s="1"/>
  <c r="AH271" i="31" s="1"/>
  <c r="AI271" i="31" s="1"/>
  <c r="AJ271" i="31" s="1"/>
  <c r="AK271" i="31" s="1"/>
  <c r="AL271" i="31" s="1"/>
  <c r="AM271" i="31" s="1"/>
  <c r="AN271" i="31" s="1"/>
  <c r="AO271" i="31" s="1"/>
  <c r="AP271" i="31" s="1"/>
  <c r="AE262" i="31"/>
  <c r="AF262" i="31" s="1"/>
  <c r="AG262" i="31" s="1"/>
  <c r="AH262" i="31" s="1"/>
  <c r="AI262" i="31" s="1"/>
  <c r="AJ262" i="31" s="1"/>
  <c r="AK262" i="31" s="1"/>
  <c r="AL262" i="31" s="1"/>
  <c r="AM262" i="31" s="1"/>
  <c r="AN262" i="31" s="1"/>
  <c r="AO262" i="31" s="1"/>
  <c r="AP262" i="31" s="1"/>
  <c r="V144" i="31"/>
  <c r="W506" i="31"/>
  <c r="AA482" i="31"/>
  <c r="T168" i="31"/>
  <c r="T157" i="31" s="1"/>
  <c r="M219" i="31"/>
  <c r="CR37" i="5" s="1"/>
  <c r="L188" i="31"/>
  <c r="AC127" i="31"/>
  <c r="AD228" i="31"/>
  <c r="S35" i="31"/>
  <c r="AC553" i="31"/>
  <c r="Y476" i="31"/>
  <c r="AE504" i="31"/>
  <c r="AF504" i="31" s="1"/>
  <c r="AG504" i="31" s="1"/>
  <c r="AH504" i="31" s="1"/>
  <c r="AI504" i="31" s="1"/>
  <c r="AJ504" i="31" s="1"/>
  <c r="AK504" i="31" s="1"/>
  <c r="AL504" i="31" s="1"/>
  <c r="AM504" i="31" s="1"/>
  <c r="AN504" i="31" s="1"/>
  <c r="AO504" i="31" s="1"/>
  <c r="AP504" i="31" s="1"/>
  <c r="N35" i="31"/>
  <c r="DF14" i="5" s="1"/>
  <c r="DG14" i="5" s="1"/>
  <c r="Y487" i="31"/>
  <c r="U62" i="31"/>
  <c r="O609" i="31"/>
  <c r="L238" i="31"/>
  <c r="C238" i="31" s="1"/>
  <c r="N153" i="31"/>
  <c r="DF28" i="5" s="1"/>
  <c r="DG28" i="5" s="1"/>
  <c r="AD178" i="31"/>
  <c r="AD71" i="31"/>
  <c r="Y306" i="31"/>
  <c r="Y286" i="31"/>
  <c r="AD47" i="31"/>
  <c r="M561" i="31"/>
  <c r="O604" i="31"/>
  <c r="AB293" i="31"/>
  <c r="U393" i="31"/>
  <c r="AD109" i="31"/>
  <c r="Z168" i="31"/>
  <c r="AF204" i="31"/>
  <c r="AG204" i="31" s="1"/>
  <c r="AH204" i="31" s="1"/>
  <c r="AI204" i="31" s="1"/>
  <c r="AJ204" i="31" s="1"/>
  <c r="AK204" i="31" s="1"/>
  <c r="AL204" i="31" s="1"/>
  <c r="AM204" i="31" s="1"/>
  <c r="AN204" i="31" s="1"/>
  <c r="AO204" i="31" s="1"/>
  <c r="AP204" i="31" s="1"/>
  <c r="AE446" i="31"/>
  <c r="AF446" i="31" s="1"/>
  <c r="AG446" i="31" s="1"/>
  <c r="AH446" i="31" s="1"/>
  <c r="AI446" i="31" s="1"/>
  <c r="AJ446" i="31" s="1"/>
  <c r="AK446" i="31" s="1"/>
  <c r="AL446" i="31" s="1"/>
  <c r="AM446" i="31" s="1"/>
  <c r="AN446" i="31" s="1"/>
  <c r="AO446" i="31" s="1"/>
  <c r="AP446" i="31" s="1"/>
  <c r="N238" i="31"/>
  <c r="DF39" i="5" s="1"/>
  <c r="DG39" i="5" s="1"/>
  <c r="I306" i="31"/>
  <c r="AE563" i="31"/>
  <c r="AF563" i="31" s="1"/>
  <c r="AG563" i="31" s="1"/>
  <c r="AH563" i="31" s="1"/>
  <c r="AI563" i="31" s="1"/>
  <c r="AE322" i="31"/>
  <c r="AE321" i="31" s="1"/>
  <c r="G321" i="31"/>
  <c r="J168" i="31"/>
  <c r="BB32" i="5" s="1"/>
  <c r="BC32" i="5" s="1"/>
  <c r="Q301" i="31"/>
  <c r="Q313" i="31" s="1"/>
  <c r="L62" i="31"/>
  <c r="CD17" i="5" s="1"/>
  <c r="AE544" i="31"/>
  <c r="AF544" i="31" s="1"/>
  <c r="AG544" i="31" s="1"/>
  <c r="AH544" i="31" s="1"/>
  <c r="AI544" i="31" s="1"/>
  <c r="AJ544" i="31" s="1"/>
  <c r="AK544" i="31" s="1"/>
  <c r="AL544" i="31" s="1"/>
  <c r="AM544" i="31" s="1"/>
  <c r="AN544" i="31" s="1"/>
  <c r="AO544" i="31" s="1"/>
  <c r="AP544" i="31" s="1"/>
  <c r="S506" i="31"/>
  <c r="AD482" i="31"/>
  <c r="AD356" i="31"/>
  <c r="S306" i="31"/>
  <c r="S313" i="31" s="1"/>
  <c r="AE573" i="31"/>
  <c r="AF573" i="31" s="1"/>
  <c r="AG573" i="31" s="1"/>
  <c r="AH573" i="31" s="1"/>
  <c r="AI573" i="31" s="1"/>
  <c r="AJ573" i="31" s="1"/>
  <c r="AK573" i="31" s="1"/>
  <c r="AL573" i="31" s="1"/>
  <c r="AM573" i="31" s="1"/>
  <c r="AN573" i="31" s="1"/>
  <c r="AO573" i="31" s="1"/>
  <c r="AP573" i="31" s="1"/>
  <c r="W382" i="31"/>
  <c r="T228" i="31"/>
  <c r="K219" i="31"/>
  <c r="BP37" i="5" s="1"/>
  <c r="U98" i="31"/>
  <c r="AD35" i="31"/>
  <c r="AE448" i="31"/>
  <c r="AF448" i="31" s="1"/>
  <c r="AG448" i="31" s="1"/>
  <c r="AH448" i="31" s="1"/>
  <c r="AI448" i="31" s="1"/>
  <c r="AJ448" i="31" s="1"/>
  <c r="AK448" i="31" s="1"/>
  <c r="AL448" i="31" s="1"/>
  <c r="AM448" i="31" s="1"/>
  <c r="AN448" i="31" s="1"/>
  <c r="AO448" i="31" s="1"/>
  <c r="AP448" i="31" s="1"/>
  <c r="T178" i="31"/>
  <c r="S47" i="31"/>
  <c r="N9" i="31"/>
  <c r="C9" i="31" s="1"/>
  <c r="L26" i="31"/>
  <c r="AB158" i="31"/>
  <c r="AB157" i="31" s="1"/>
  <c r="L98" i="31"/>
  <c r="AB144" i="31"/>
  <c r="AB108" i="31" s="1"/>
  <c r="V127" i="31"/>
  <c r="M531" i="31"/>
  <c r="AA219" i="31"/>
  <c r="L80" i="31"/>
  <c r="CD19" i="5" s="1"/>
  <c r="CE19" i="5" s="1"/>
  <c r="AC482" i="31"/>
  <c r="AD168" i="31"/>
  <c r="AD157" i="31" s="1"/>
  <c r="U553" i="31"/>
  <c r="AC393" i="31"/>
  <c r="AA238" i="31"/>
  <c r="W347" i="31"/>
  <c r="AC228" i="31"/>
  <c r="AF222" i="31"/>
  <c r="AG222" i="31" s="1"/>
  <c r="AH222" i="31" s="1"/>
  <c r="AE548" i="31"/>
  <c r="AF548" i="31" s="1"/>
  <c r="AG548" i="31" s="1"/>
  <c r="AH548" i="31" s="1"/>
  <c r="AI548" i="31" s="1"/>
  <c r="AJ548" i="31" s="1"/>
  <c r="AK548" i="31" s="1"/>
  <c r="AL548" i="31" s="1"/>
  <c r="AM548" i="31" s="1"/>
  <c r="AN548" i="31" s="1"/>
  <c r="AO548" i="31" s="1"/>
  <c r="AP548" i="31" s="1"/>
  <c r="AC168" i="31"/>
  <c r="AC157" i="31" s="1"/>
  <c r="R377" i="31"/>
  <c r="FJ60" i="5" s="1"/>
  <c r="FK60" i="5" s="1"/>
  <c r="K565" i="31"/>
  <c r="S557" i="31"/>
  <c r="U144" i="31"/>
  <c r="T136" i="31"/>
  <c r="K208" i="31"/>
  <c r="BP36" i="5" s="1"/>
  <c r="BQ36" i="5" s="1"/>
  <c r="M321" i="31"/>
  <c r="CR50" i="5" s="1"/>
  <c r="CS50" i="5" s="1"/>
  <c r="AB26" i="31"/>
  <c r="T153" i="31"/>
  <c r="AD89" i="31"/>
  <c r="I565" i="31"/>
  <c r="AC569" i="31"/>
  <c r="AE289" i="31"/>
  <c r="AF289" i="31" s="1"/>
  <c r="AG289" i="31" s="1"/>
  <c r="AH289" i="31" s="1"/>
  <c r="AI289" i="31" s="1"/>
  <c r="AJ289" i="31" s="1"/>
  <c r="AK289" i="31" s="1"/>
  <c r="AL289" i="31" s="1"/>
  <c r="AM289" i="31" s="1"/>
  <c r="AN289" i="31" s="1"/>
  <c r="AO289" i="31" s="1"/>
  <c r="AP289" i="31" s="1"/>
  <c r="AD9" i="31"/>
  <c r="AD46" i="31" s="1"/>
  <c r="AD107" i="31" s="1"/>
  <c r="AD156" i="31" s="1"/>
  <c r="AD300" i="31" s="1"/>
  <c r="AD314" i="31" s="1"/>
  <c r="L144" i="31"/>
  <c r="CD27" i="5" s="1"/>
  <c r="CE27" i="5" s="1"/>
  <c r="Q531" i="31"/>
  <c r="P127" i="31"/>
  <c r="EH25" i="5" s="1"/>
  <c r="EI25" i="5" s="1"/>
  <c r="AB62" i="31"/>
  <c r="G476" i="31"/>
  <c r="AE477" i="31"/>
  <c r="AB382" i="31"/>
  <c r="W321" i="31"/>
  <c r="W354" i="31" s="1"/>
  <c r="AE537" i="31"/>
  <c r="AF537" i="31" s="1"/>
  <c r="AG537" i="31" s="1"/>
  <c r="AH537" i="31" s="1"/>
  <c r="AI537" i="31" s="1"/>
  <c r="AJ537" i="31" s="1"/>
  <c r="AK537" i="31" s="1"/>
  <c r="AL537" i="31" s="1"/>
  <c r="AM537" i="31" s="1"/>
  <c r="AN537" i="31" s="1"/>
  <c r="AO537" i="31" s="1"/>
  <c r="AP537" i="31" s="1"/>
  <c r="AE298" i="31"/>
  <c r="AF298" i="31" s="1"/>
  <c r="AG298" i="31" s="1"/>
  <c r="AH298" i="31" s="1"/>
  <c r="AI298" i="31" s="1"/>
  <c r="AJ298" i="31" s="1"/>
  <c r="AK298" i="31" s="1"/>
  <c r="AL298" i="31" s="1"/>
  <c r="AM298" i="31" s="1"/>
  <c r="AN298" i="31" s="1"/>
  <c r="AO298" i="31" s="1"/>
  <c r="AP298" i="31" s="1"/>
  <c r="U469" i="31"/>
  <c r="Q377" i="31"/>
  <c r="EV60" i="5" s="1"/>
  <c r="EW60" i="5" s="1"/>
  <c r="K382" i="31"/>
  <c r="BP61" i="5" s="1"/>
  <c r="BQ61" i="5" s="1"/>
  <c r="AE513" i="31"/>
  <c r="AF513" i="31" s="1"/>
  <c r="AG513" i="31" s="1"/>
  <c r="AH513" i="31" s="1"/>
  <c r="AI513" i="31" s="1"/>
  <c r="AJ513" i="31" s="1"/>
  <c r="AK513" i="31" s="1"/>
  <c r="AL513" i="31" s="1"/>
  <c r="AM513" i="31" s="1"/>
  <c r="AN513" i="31" s="1"/>
  <c r="AO513" i="31" s="1"/>
  <c r="AP513" i="31" s="1"/>
  <c r="AE505" i="31"/>
  <c r="AF505" i="31" s="1"/>
  <c r="AG505" i="31" s="1"/>
  <c r="AH505" i="31" s="1"/>
  <c r="AI505" i="31" s="1"/>
  <c r="AJ505" i="31" s="1"/>
  <c r="AK505" i="31" s="1"/>
  <c r="AL505" i="31" s="1"/>
  <c r="AM505" i="31" s="1"/>
  <c r="AN505" i="31" s="1"/>
  <c r="AO505" i="31" s="1"/>
  <c r="AP505" i="31" s="1"/>
  <c r="AE280" i="31"/>
  <c r="AF280" i="31" s="1"/>
  <c r="AG280" i="31" s="1"/>
  <c r="AH280" i="31" s="1"/>
  <c r="AI280" i="31" s="1"/>
  <c r="AJ280" i="31" s="1"/>
  <c r="AK280" i="31" s="1"/>
  <c r="AL280" i="31" s="1"/>
  <c r="AM280" i="31" s="1"/>
  <c r="AN280" i="31" s="1"/>
  <c r="AO280" i="31" s="1"/>
  <c r="AP280" i="31" s="1"/>
  <c r="W333" i="31"/>
  <c r="AF148" i="31"/>
  <c r="AG148" i="31" s="1"/>
  <c r="AH148" i="31" s="1"/>
  <c r="AI148" i="31" s="1"/>
  <c r="AJ148" i="31" s="1"/>
  <c r="AK148" i="31" s="1"/>
  <c r="AL148" i="31" s="1"/>
  <c r="AM148" i="31" s="1"/>
  <c r="AN148" i="31" s="1"/>
  <c r="AO148" i="31" s="1"/>
  <c r="AP148" i="31" s="1"/>
  <c r="U80" i="31"/>
  <c r="AE456" i="31"/>
  <c r="AF456" i="31" s="1"/>
  <c r="AG456" i="31" s="1"/>
  <c r="AH456" i="31" s="1"/>
  <c r="AI456" i="31" s="1"/>
  <c r="AJ456" i="31" s="1"/>
  <c r="AK456" i="31" s="1"/>
  <c r="AL456" i="31" s="1"/>
  <c r="AM456" i="31" s="1"/>
  <c r="AN456" i="31" s="1"/>
  <c r="AO456" i="31" s="1"/>
  <c r="AP456" i="31" s="1"/>
  <c r="S393" i="31"/>
  <c r="M228" i="31"/>
  <c r="CR38" i="5" s="1"/>
  <c r="AE618" i="31"/>
  <c r="AF618" i="31" s="1"/>
  <c r="AG618" i="31" s="1"/>
  <c r="AH618" i="31" s="1"/>
  <c r="AI618" i="31" s="1"/>
  <c r="AJ618" i="31" s="1"/>
  <c r="AK618" i="31" s="1"/>
  <c r="AL618" i="31" s="1"/>
  <c r="AM618" i="31" s="1"/>
  <c r="AN618" i="31" s="1"/>
  <c r="AO618" i="31" s="1"/>
  <c r="AP618" i="31" s="1"/>
  <c r="U158" i="31"/>
  <c r="K315" i="31"/>
  <c r="L158" i="31"/>
  <c r="K531" i="31"/>
  <c r="S9" i="31"/>
  <c r="K293" i="31"/>
  <c r="BP43" i="5" s="1"/>
  <c r="U26" i="31"/>
  <c r="AE581" i="31"/>
  <c r="AF581" i="31" s="1"/>
  <c r="AG581" i="31" s="1"/>
  <c r="AH581" i="31" s="1"/>
  <c r="AI581" i="31" s="1"/>
  <c r="AJ581" i="31" s="1"/>
  <c r="AK581" i="31" s="1"/>
  <c r="AL581" i="31" s="1"/>
  <c r="AM581" i="31" s="1"/>
  <c r="AN581" i="31" s="1"/>
  <c r="AO581" i="31" s="1"/>
  <c r="AP581" i="31" s="1"/>
  <c r="I487" i="31"/>
  <c r="AN33" i="62" s="1"/>
  <c r="AO33" i="62" s="1"/>
  <c r="AD136" i="31"/>
  <c r="M542" i="31"/>
  <c r="Q557" i="31"/>
  <c r="S469" i="31"/>
  <c r="AB80" i="31"/>
  <c r="S356" i="31"/>
  <c r="O356" i="31"/>
  <c r="DT57" i="5" s="1"/>
  <c r="DT42" i="62" s="1"/>
  <c r="AE258" i="31"/>
  <c r="AF258" i="31" s="1"/>
  <c r="AG258" i="31" s="1"/>
  <c r="AH258" i="31" s="1"/>
  <c r="AI258" i="31" s="1"/>
  <c r="AJ258" i="31" s="1"/>
  <c r="AK258" i="31" s="1"/>
  <c r="AL258" i="31" s="1"/>
  <c r="AM258" i="31" s="1"/>
  <c r="AN258" i="31" s="1"/>
  <c r="AO258" i="31" s="1"/>
  <c r="AP258" i="31" s="1"/>
  <c r="N71" i="31"/>
  <c r="DF18" i="5" s="1"/>
  <c r="DG18" i="5" s="1"/>
  <c r="AE266" i="31"/>
  <c r="AF266" i="31" s="1"/>
  <c r="AG266" i="31" s="1"/>
  <c r="AH266" i="31" s="1"/>
  <c r="AI266" i="31" s="1"/>
  <c r="AJ266" i="31" s="1"/>
  <c r="AK266" i="31" s="1"/>
  <c r="AL266" i="31" s="1"/>
  <c r="AM266" i="31" s="1"/>
  <c r="AN266" i="31" s="1"/>
  <c r="AO266" i="31" s="1"/>
  <c r="AP266" i="31" s="1"/>
  <c r="D83" i="18"/>
  <c r="D120" i="18"/>
  <c r="D105" i="18"/>
  <c r="D117" i="24"/>
  <c r="D24" i="25"/>
  <c r="D28" i="23"/>
  <c r="D71" i="21"/>
  <c r="D101" i="26"/>
  <c r="D91" i="21"/>
  <c r="D22" i="24"/>
  <c r="D37" i="24"/>
  <c r="D61" i="18"/>
  <c r="D51" i="18"/>
  <c r="D39" i="23"/>
  <c r="D50" i="18"/>
  <c r="D35" i="25"/>
  <c r="D95" i="18"/>
  <c r="D75" i="25"/>
  <c r="D35" i="22"/>
  <c r="D32" i="26"/>
  <c r="D61" i="23"/>
  <c r="D29" i="18"/>
  <c r="D113" i="18"/>
  <c r="D65" i="24"/>
  <c r="D71" i="18"/>
  <c r="D101" i="24"/>
  <c r="D36" i="24"/>
  <c r="D39" i="25"/>
  <c r="D107" i="26"/>
  <c r="K46" i="31"/>
  <c r="K107" i="31" s="1"/>
  <c r="X313" i="31"/>
  <c r="EI53" i="5"/>
  <c r="EI39" i="5"/>
  <c r="O313" i="49"/>
  <c r="S157" i="31"/>
  <c r="T157" i="49"/>
  <c r="AE600" i="49"/>
  <c r="AL23" i="5"/>
  <c r="AN615" i="45"/>
  <c r="U157" i="31"/>
  <c r="AH72" i="49"/>
  <c r="AI72" i="49" s="1"/>
  <c r="AG71" i="49"/>
  <c r="AG159" i="49"/>
  <c r="AF158" i="49"/>
  <c r="AG237" i="49"/>
  <c r="AH237" i="49" s="1"/>
  <c r="AI237" i="49" s="1"/>
  <c r="AJ237" i="49" s="1"/>
  <c r="AK237" i="49" s="1"/>
  <c r="AL237" i="49" s="1"/>
  <c r="AM237" i="49" s="1"/>
  <c r="AN237" i="49" s="1"/>
  <c r="AO237" i="49" s="1"/>
  <c r="AP237" i="49" s="1"/>
  <c r="AF228" i="49"/>
  <c r="EI44" i="62"/>
  <c r="AR614" i="45"/>
  <c r="AE178" i="49"/>
  <c r="AE89" i="49"/>
  <c r="BP12" i="5"/>
  <c r="BP15" i="5" s="1"/>
  <c r="Z510" i="45" s="1"/>
  <c r="E39" i="5"/>
  <c r="F39" i="5" s="1"/>
  <c r="Y46" i="49"/>
  <c r="W157" i="31"/>
  <c r="AB613" i="45"/>
  <c r="X108" i="49"/>
  <c r="E40" i="5"/>
  <c r="F40" i="5" s="1"/>
  <c r="AA177" i="49"/>
  <c r="AC313" i="49"/>
  <c r="AF609" i="49"/>
  <c r="T177" i="49"/>
  <c r="AC313" i="31"/>
  <c r="AF136" i="49"/>
  <c r="AG137" i="49"/>
  <c r="W46" i="31"/>
  <c r="X157" i="49"/>
  <c r="Y107" i="49"/>
  <c r="V313" i="31"/>
  <c r="AA313" i="31"/>
  <c r="T313" i="49"/>
  <c r="C256" i="31"/>
  <c r="AF553" i="31"/>
  <c r="Y108" i="31"/>
  <c r="C531" i="31"/>
  <c r="U108" i="49"/>
  <c r="I108" i="31"/>
  <c r="AB108" i="49"/>
  <c r="T46" i="31"/>
  <c r="T107" i="31" s="1"/>
  <c r="W107" i="49"/>
  <c r="AG129" i="31"/>
  <c r="AF127" i="31"/>
  <c r="AG385" i="49"/>
  <c r="AF382" i="49"/>
  <c r="AG302" i="31"/>
  <c r="AF301" i="31"/>
  <c r="AH36" i="31"/>
  <c r="AG35" i="31"/>
  <c r="AG142" i="31"/>
  <c r="AF136" i="31"/>
  <c r="AG128" i="49"/>
  <c r="AF127" i="49"/>
  <c r="CE17" i="5"/>
  <c r="CD22" i="5"/>
  <c r="AA514" i="45" s="1"/>
  <c r="AF322" i="31"/>
  <c r="CR47" i="5"/>
  <c r="AF329" i="31"/>
  <c r="AJ613" i="45"/>
  <c r="AF477" i="31"/>
  <c r="AE476" i="31"/>
  <c r="N157" i="31"/>
  <c r="FJ29" i="62"/>
  <c r="BQ26" i="62"/>
  <c r="BP29" i="62"/>
  <c r="EW26" i="62"/>
  <c r="EV29" i="62"/>
  <c r="AF348" i="31"/>
  <c r="FH24" i="5"/>
  <c r="FH23" i="5" s="1"/>
  <c r="R108" i="49"/>
  <c r="X392" i="49"/>
  <c r="X399" i="49" s="1"/>
  <c r="X354" i="49"/>
  <c r="BQ38" i="5"/>
  <c r="AD612" i="45"/>
  <c r="BN45" i="5"/>
  <c r="BN47" i="5" s="1"/>
  <c r="K313" i="49"/>
  <c r="X31" i="5"/>
  <c r="X30" i="5" s="1"/>
  <c r="H157" i="49"/>
  <c r="Z34" i="5"/>
  <c r="Z33" i="5" s="1"/>
  <c r="H177" i="31"/>
  <c r="FH34" i="5"/>
  <c r="FH33" i="5" s="1"/>
  <c r="R177" i="49"/>
  <c r="L18" i="5"/>
  <c r="C71" i="31"/>
  <c r="AF601" i="31"/>
  <c r="AE600" i="31"/>
  <c r="Y354" i="49"/>
  <c r="Y392" i="49"/>
  <c r="Y399" i="49" s="1"/>
  <c r="U392" i="31"/>
  <c r="U399" i="31" s="1"/>
  <c r="U354" i="31"/>
  <c r="AF570" i="49"/>
  <c r="AE569" i="49"/>
  <c r="FH12" i="5"/>
  <c r="FH15" i="5" s="1"/>
  <c r="FH22" i="5" s="1"/>
  <c r="R46" i="49"/>
  <c r="R107" i="49" s="1"/>
  <c r="BN24" i="5"/>
  <c r="BN23" i="5" s="1"/>
  <c r="K108" i="49"/>
  <c r="C531" i="49"/>
  <c r="L28" i="5"/>
  <c r="CD45" i="5"/>
  <c r="L313" i="31"/>
  <c r="AA36" i="5"/>
  <c r="X610" i="45"/>
  <c r="J52" i="5"/>
  <c r="C333" i="49"/>
  <c r="DT34" i="5"/>
  <c r="AF10" i="31"/>
  <c r="AE9" i="31"/>
  <c r="X46" i="31"/>
  <c r="X107" i="31" s="1"/>
  <c r="AF543" i="31"/>
  <c r="L108" i="49"/>
  <c r="AF562" i="31"/>
  <c r="I46" i="31"/>
  <c r="I107" i="31" s="1"/>
  <c r="AF532" i="31"/>
  <c r="AE531" i="31"/>
  <c r="L14" i="5"/>
  <c r="J392" i="31"/>
  <c r="J399" i="31" s="1"/>
  <c r="BB21" i="62" s="1"/>
  <c r="BB49" i="5"/>
  <c r="J354" i="31"/>
  <c r="AR613" i="45"/>
  <c r="FK39" i="5"/>
  <c r="AF99" i="49"/>
  <c r="AE98" i="49"/>
  <c r="AL610" i="45"/>
  <c r="DU36" i="5"/>
  <c r="X108" i="31"/>
  <c r="L19" i="5"/>
  <c r="AF378" i="31"/>
  <c r="AE377" i="31"/>
  <c r="BC35" i="5"/>
  <c r="AB609" i="45"/>
  <c r="V107" i="49"/>
  <c r="N157" i="49"/>
  <c r="DD31" i="5"/>
  <c r="DD30" i="5" s="1"/>
  <c r="AF63" i="49"/>
  <c r="AE62" i="49"/>
  <c r="J19" i="5"/>
  <c r="C80" i="49"/>
  <c r="AE469" i="49"/>
  <c r="AG239" i="49"/>
  <c r="AN609" i="45"/>
  <c r="EI35" i="5"/>
  <c r="BQ42" i="5"/>
  <c r="AD616" i="45"/>
  <c r="I107" i="49"/>
  <c r="C553" i="49"/>
  <c r="J25" i="5"/>
  <c r="C127" i="49"/>
  <c r="AC354" i="31"/>
  <c r="AC392" i="31"/>
  <c r="AC399" i="31" s="1"/>
  <c r="DR34" i="5"/>
  <c r="DR33" i="5" s="1"/>
  <c r="O177" i="49"/>
  <c r="Y177" i="49"/>
  <c r="L21" i="5"/>
  <c r="C98" i="31"/>
  <c r="J13" i="5"/>
  <c r="C26" i="49"/>
  <c r="DU40" i="5"/>
  <c r="AL614" i="45"/>
  <c r="M313" i="49"/>
  <c r="CP45" i="5"/>
  <c r="CP47" i="5" s="1"/>
  <c r="Z108" i="49"/>
  <c r="L43" i="5"/>
  <c r="AA108" i="31"/>
  <c r="L42" i="5"/>
  <c r="C286" i="31"/>
  <c r="CR12" i="5"/>
  <c r="CR15" i="5" s="1"/>
  <c r="M46" i="31"/>
  <c r="M107" i="31" s="1"/>
  <c r="CE26" i="5"/>
  <c r="CD23" i="5"/>
  <c r="DG37" i="5"/>
  <c r="AJ611" i="45"/>
  <c r="FK36" i="5"/>
  <c r="AR610" i="45"/>
  <c r="I108" i="49"/>
  <c r="CR31" i="5"/>
  <c r="M157" i="31"/>
  <c r="C565" i="31"/>
  <c r="L58" i="5"/>
  <c r="C604" i="31"/>
  <c r="ET29" i="62"/>
  <c r="S392" i="31"/>
  <c r="S399" i="31" s="1"/>
  <c r="S354" i="31"/>
  <c r="X49" i="5"/>
  <c r="H392" i="49"/>
  <c r="H399" i="49" s="1"/>
  <c r="X21" i="62" s="1"/>
  <c r="H354" i="49"/>
  <c r="S108" i="49"/>
  <c r="X177" i="49"/>
  <c r="AF348" i="49"/>
  <c r="AE347" i="49"/>
  <c r="EH12" i="5"/>
  <c r="EH15" i="5" s="1"/>
  <c r="P46" i="31"/>
  <c r="AF220" i="31"/>
  <c r="AE219" i="31"/>
  <c r="AA43" i="5"/>
  <c r="X617" i="45"/>
  <c r="AA51" i="5"/>
  <c r="Z43" i="62"/>
  <c r="AA43" i="62" s="1"/>
  <c r="EF34" i="5"/>
  <c r="P177" i="49"/>
  <c r="AD46" i="49"/>
  <c r="AD107" i="49" s="1"/>
  <c r="DT12" i="5"/>
  <c r="DT15" i="5" s="1"/>
  <c r="O46" i="31"/>
  <c r="O107" i="31" s="1"/>
  <c r="L26" i="62"/>
  <c r="C442" i="31"/>
  <c r="L36" i="5"/>
  <c r="C208" i="31"/>
  <c r="Z177" i="49"/>
  <c r="AF179" i="31"/>
  <c r="AE178" i="31"/>
  <c r="ET34" i="5"/>
  <c r="ET33" i="5" s="1"/>
  <c r="Q177" i="49"/>
  <c r="DU39" i="5"/>
  <c r="AL613" i="45"/>
  <c r="EV12" i="5"/>
  <c r="EV15" i="5" s="1"/>
  <c r="Q46" i="31"/>
  <c r="Q107" i="31" s="1"/>
  <c r="AN610" i="45"/>
  <c r="EI36" i="5"/>
  <c r="C584" i="49"/>
  <c r="AF316" i="49"/>
  <c r="AE315" i="49"/>
  <c r="Z46" i="31"/>
  <c r="Z107" i="31" s="1"/>
  <c r="BB31" i="5"/>
  <c r="J157" i="31"/>
  <c r="AZ24" i="5"/>
  <c r="AZ23" i="5" s="1"/>
  <c r="J108" i="49"/>
  <c r="AL55" i="5"/>
  <c r="FK35" i="5"/>
  <c r="AR609" i="45"/>
  <c r="AF394" i="49"/>
  <c r="AE393" i="49"/>
  <c r="AE356" i="49"/>
  <c r="AA39" i="5"/>
  <c r="X613" i="45"/>
  <c r="AD108" i="49"/>
  <c r="L34" i="62"/>
  <c r="C506" i="31"/>
  <c r="J34" i="5"/>
  <c r="C178" i="49"/>
  <c r="C7" i="13" s="1"/>
  <c r="AF229" i="31"/>
  <c r="AE228" i="31"/>
  <c r="AE382" i="49"/>
  <c r="J22" i="62"/>
  <c r="C416" i="49"/>
  <c r="J32" i="5"/>
  <c r="C168" i="49"/>
  <c r="C5" i="13" s="1"/>
  <c r="AF294" i="49"/>
  <c r="AE293" i="49"/>
  <c r="EV31" i="5"/>
  <c r="Q157" i="31"/>
  <c r="AF610" i="31"/>
  <c r="AE609" i="31"/>
  <c r="BQ40" i="5"/>
  <c r="AD614" i="45"/>
  <c r="L25" i="5"/>
  <c r="C542" i="49"/>
  <c r="CB22" i="5"/>
  <c r="Q108" i="49"/>
  <c r="ET24" i="5"/>
  <c r="ET23" i="5" s="1"/>
  <c r="EV24" i="5"/>
  <c r="EV23" i="5" s="1"/>
  <c r="Q108" i="31"/>
  <c r="L52" i="5"/>
  <c r="L53" i="5"/>
  <c r="C340" i="31"/>
  <c r="V392" i="49"/>
  <c r="V399" i="49" s="1"/>
  <c r="V354" i="49"/>
  <c r="AF154" i="49"/>
  <c r="AE153" i="49"/>
  <c r="AE377" i="49"/>
  <c r="AE228" i="49"/>
  <c r="C561" i="31"/>
  <c r="AD177" i="31"/>
  <c r="BQ43" i="5"/>
  <c r="AD617" i="45"/>
  <c r="AD610" i="45"/>
  <c r="AH612" i="45"/>
  <c r="CS38" i="5"/>
  <c r="BB34" i="5"/>
  <c r="J177" i="31"/>
  <c r="L51" i="5"/>
  <c r="C328" i="31"/>
  <c r="CR34" i="5"/>
  <c r="EI37" i="5"/>
  <c r="AN611" i="45"/>
  <c r="BC36" i="5"/>
  <c r="AB610" i="45"/>
  <c r="AF307" i="31"/>
  <c r="AE306" i="31"/>
  <c r="L30" i="62"/>
  <c r="AB392" i="31"/>
  <c r="AB399" i="31" s="1"/>
  <c r="AB354" i="31"/>
  <c r="J40" i="5"/>
  <c r="C256" i="49"/>
  <c r="C23" i="13" s="1"/>
  <c r="V392" i="31"/>
  <c r="V399" i="31" s="1"/>
  <c r="V354" i="31"/>
  <c r="O354" i="31"/>
  <c r="DT49" i="5"/>
  <c r="O392" i="31"/>
  <c r="O399" i="31" s="1"/>
  <c r="DT21" i="62" s="1"/>
  <c r="Z177" i="31"/>
  <c r="AA26" i="62"/>
  <c r="Z29" i="62"/>
  <c r="AA53" i="5"/>
  <c r="Z44" i="62"/>
  <c r="AA44" i="62" s="1"/>
  <c r="N313" i="31"/>
  <c r="DF45" i="5"/>
  <c r="AF72" i="31"/>
  <c r="AE71" i="31"/>
  <c r="X46" i="49"/>
  <c r="X107" i="49" s="1"/>
  <c r="X156" i="49" s="1"/>
  <c r="X300" i="49" s="1"/>
  <c r="W107" i="31"/>
  <c r="L24" i="5"/>
  <c r="C109" i="31"/>
  <c r="G108" i="31"/>
  <c r="CP31" i="5"/>
  <c r="CP30" i="5" s="1"/>
  <c r="M157" i="49"/>
  <c r="J46" i="5"/>
  <c r="C306" i="49"/>
  <c r="AH616" i="45"/>
  <c r="CS42" i="5"/>
  <c r="AF532" i="49"/>
  <c r="AE531" i="49"/>
  <c r="AF367" i="49"/>
  <c r="AE366" i="49"/>
  <c r="DU42" i="5"/>
  <c r="AL616" i="45"/>
  <c r="DF34" i="5"/>
  <c r="N177" i="31"/>
  <c r="J32" i="62"/>
  <c r="C482" i="49"/>
  <c r="AF154" i="31"/>
  <c r="AE153" i="31"/>
  <c r="AG615" i="31"/>
  <c r="AF614" i="31"/>
  <c r="AG36" i="49"/>
  <c r="AF35" i="49"/>
  <c r="AL45" i="5"/>
  <c r="AL47" i="5" s="1"/>
  <c r="I313" i="49"/>
  <c r="AF334" i="49"/>
  <c r="AE333" i="49"/>
  <c r="I392" i="49"/>
  <c r="I399" i="49" s="1"/>
  <c r="AL21" i="62" s="1"/>
  <c r="I354" i="49"/>
  <c r="AO13" i="5"/>
  <c r="AN15" i="5"/>
  <c r="AE267" i="49"/>
  <c r="G46" i="31"/>
  <c r="L12" i="5"/>
  <c r="AP612" i="45"/>
  <c r="EW38" i="5"/>
  <c r="C542" i="31"/>
  <c r="AF257" i="31"/>
  <c r="P157" i="31"/>
  <c r="EH31" i="5"/>
  <c r="DU37" i="5"/>
  <c r="AL611" i="45"/>
  <c r="I157" i="31"/>
  <c r="AN31" i="5"/>
  <c r="L20" i="5"/>
  <c r="C89" i="31"/>
  <c r="CE53" i="5"/>
  <c r="CD44" i="62"/>
  <c r="CE44" i="62" s="1"/>
  <c r="BN34" i="5"/>
  <c r="BN33" i="5" s="1"/>
  <c r="K177" i="49"/>
  <c r="EW40" i="5"/>
  <c r="AP614" i="45"/>
  <c r="DD49" i="5"/>
  <c r="N392" i="49"/>
  <c r="N399" i="49" s="1"/>
  <c r="DD21" i="62" s="1"/>
  <c r="N354" i="49"/>
  <c r="J36" i="5"/>
  <c r="C208" i="49"/>
  <c r="C14" i="13" s="1"/>
  <c r="J21" i="5"/>
  <c r="C21" i="5" s="1"/>
  <c r="C98" i="49"/>
  <c r="L31" i="5"/>
  <c r="C158" i="31"/>
  <c r="G157" i="31"/>
  <c r="AF48" i="31"/>
  <c r="AE47" i="31"/>
  <c r="L13" i="5"/>
  <c r="C26" i="31"/>
  <c r="V177" i="49"/>
  <c r="C584" i="31"/>
  <c r="AF81" i="49"/>
  <c r="AE80" i="49"/>
  <c r="M27" i="5"/>
  <c r="E20" i="68"/>
  <c r="S27" i="5"/>
  <c r="C28" i="62"/>
  <c r="C72" i="68"/>
  <c r="Q28" i="62"/>
  <c r="AE28" i="62" s="1"/>
  <c r="AS28" i="62" s="1"/>
  <c r="BG28" i="62" s="1"/>
  <c r="BU28" i="62" s="1"/>
  <c r="CI28" i="62" s="1"/>
  <c r="CW28" i="62" s="1"/>
  <c r="DK28" i="62" s="1"/>
  <c r="DY28" i="62" s="1"/>
  <c r="EM28" i="62" s="1"/>
  <c r="FA28" i="62" s="1"/>
  <c r="FO28" i="62" s="1"/>
  <c r="BC42" i="5"/>
  <c r="AB616" i="45"/>
  <c r="AA392" i="31"/>
  <c r="AA399" i="31" s="1"/>
  <c r="AA354" i="31"/>
  <c r="AF601" i="49"/>
  <c r="AF189" i="49"/>
  <c r="AE188" i="49"/>
  <c r="FJ45" i="5"/>
  <c r="FJ47" i="5" s="1"/>
  <c r="R313" i="31"/>
  <c r="Y108" i="49"/>
  <c r="Y156" i="49" s="1"/>
  <c r="J27" i="5"/>
  <c r="C144" i="49"/>
  <c r="CD29" i="62"/>
  <c r="CE26" i="62"/>
  <c r="U157" i="49"/>
  <c r="AC177" i="49"/>
  <c r="AF294" i="31"/>
  <c r="AE293" i="31"/>
  <c r="X34" i="5"/>
  <c r="X33" i="5" s="1"/>
  <c r="H177" i="49"/>
  <c r="BQ39" i="5"/>
  <c r="AD613" i="45"/>
  <c r="L46" i="31"/>
  <c r="T46" i="49"/>
  <c r="T107" i="49" s="1"/>
  <c r="L108" i="31"/>
  <c r="DR24" i="5"/>
  <c r="O108" i="49"/>
  <c r="AF367" i="31"/>
  <c r="AE366" i="31"/>
  <c r="AG570" i="31"/>
  <c r="AF569" i="31"/>
  <c r="AF605" i="31"/>
  <c r="AE604" i="31"/>
  <c r="BP24" i="5"/>
  <c r="K108" i="31"/>
  <c r="EH24" i="5"/>
  <c r="P108" i="31"/>
  <c r="V108" i="31"/>
  <c r="V108" i="49"/>
  <c r="AA37" i="5"/>
  <c r="X611" i="45"/>
  <c r="S177" i="49"/>
  <c r="DG26" i="62"/>
  <c r="DF29" i="62"/>
  <c r="H157" i="31"/>
  <c r="Z31" i="5"/>
  <c r="BQ35" i="5"/>
  <c r="AD609" i="45"/>
  <c r="L37" i="5"/>
  <c r="C219" i="31"/>
  <c r="AA157" i="31"/>
  <c r="S46" i="49"/>
  <c r="S107" i="49" s="1"/>
  <c r="CS26" i="62"/>
  <c r="CR29" i="62"/>
  <c r="FH31" i="5"/>
  <c r="FH30" i="5" s="1"/>
  <c r="R157" i="49"/>
  <c r="Z46" i="49"/>
  <c r="Z107" i="49" s="1"/>
  <c r="AF209" i="31"/>
  <c r="AE208" i="31"/>
  <c r="C178" i="31"/>
  <c r="G177" i="31"/>
  <c r="L34" i="5"/>
  <c r="DF44" i="62"/>
  <c r="DG44" i="62" s="1"/>
  <c r="DG53" i="5"/>
  <c r="C565" i="49"/>
  <c r="EF12" i="5"/>
  <c r="EF15" i="5" s="1"/>
  <c r="EF22" i="5" s="1"/>
  <c r="P46" i="49"/>
  <c r="P107" i="49" s="1"/>
  <c r="AF585" i="49"/>
  <c r="AE584" i="49"/>
  <c r="G392" i="49"/>
  <c r="G354" i="49"/>
  <c r="C315" i="49"/>
  <c r="C39" i="13" s="1"/>
  <c r="J49" i="5"/>
  <c r="AA46" i="31"/>
  <c r="AA107" i="31" s="1"/>
  <c r="L177" i="49"/>
  <c r="J19" i="62"/>
  <c r="C393" i="49"/>
  <c r="W177" i="49"/>
  <c r="DG41" i="5"/>
  <c r="AJ615" i="45"/>
  <c r="EF24" i="5"/>
  <c r="EF23" i="5" s="1"/>
  <c r="P108" i="49"/>
  <c r="EH49" i="5"/>
  <c r="P392" i="31"/>
  <c r="P399" i="31" s="1"/>
  <c r="EH21" i="62" s="1"/>
  <c r="AF302" i="49"/>
  <c r="AE301" i="49"/>
  <c r="AF470" i="49"/>
  <c r="L38" i="5"/>
  <c r="C228" i="31"/>
  <c r="J61" i="5"/>
  <c r="C61" i="5" s="1"/>
  <c r="C382" i="49"/>
  <c r="AF460" i="49"/>
  <c r="AE459" i="49"/>
  <c r="BC26" i="62"/>
  <c r="BB29" i="62"/>
  <c r="M354" i="31"/>
  <c r="EH34" i="5"/>
  <c r="P177" i="31"/>
  <c r="BB12" i="5"/>
  <c r="BB15" i="5" s="1"/>
  <c r="J46" i="31"/>
  <c r="J107" i="31" s="1"/>
  <c r="AE71" i="49"/>
  <c r="AE35" i="49"/>
  <c r="Q392" i="31"/>
  <c r="Q399" i="31" s="1"/>
  <c r="EV21" i="62" s="1"/>
  <c r="Q354" i="31"/>
  <c r="EV49" i="5"/>
  <c r="AZ12" i="5"/>
  <c r="AZ15" i="5" s="1"/>
  <c r="AZ22" i="5" s="1"/>
  <c r="AZ29" i="5" s="1"/>
  <c r="J46" i="49"/>
  <c r="J107" i="49" s="1"/>
  <c r="J156" i="49" s="1"/>
  <c r="AE127" i="31"/>
  <c r="AF543" i="49"/>
  <c r="AE542" i="49"/>
  <c r="J42" i="5"/>
  <c r="C286" i="49"/>
  <c r="C37" i="13" s="1"/>
  <c r="AO26" i="5"/>
  <c r="AN23" i="5"/>
  <c r="DD12" i="5"/>
  <c r="DD15" i="5" s="1"/>
  <c r="DD22" i="5" s="1"/>
  <c r="N46" i="49"/>
  <c r="N107" i="49" s="1"/>
  <c r="AE136" i="49"/>
  <c r="U392" i="49"/>
  <c r="U399" i="49" s="1"/>
  <c r="U354" i="49"/>
  <c r="FK41" i="5"/>
  <c r="AR615" i="45"/>
  <c r="V313" i="49"/>
  <c r="EW39" i="5"/>
  <c r="AP613" i="45"/>
  <c r="AE340" i="31"/>
  <c r="L392" i="49"/>
  <c r="L399" i="49" s="1"/>
  <c r="CB21" i="62" s="1"/>
  <c r="L354" i="49"/>
  <c r="J28" i="5"/>
  <c r="C153" i="49"/>
  <c r="J60" i="5"/>
  <c r="C60" i="5" s="1"/>
  <c r="C377" i="49"/>
  <c r="BC43" i="5"/>
  <c r="AB617" i="45"/>
  <c r="DR31" i="5"/>
  <c r="DR30" i="5" s="1"/>
  <c r="O157" i="49"/>
  <c r="J12" i="5"/>
  <c r="C9" i="49"/>
  <c r="G46" i="49"/>
  <c r="DT55" i="5"/>
  <c r="DX55" i="5" s="1"/>
  <c r="AF71" i="49"/>
  <c r="DF12" i="5"/>
  <c r="DF15" i="5" s="1"/>
  <c r="AG383" i="31"/>
  <c r="AF382" i="31"/>
  <c r="AF488" i="31"/>
  <c r="AE487" i="31"/>
  <c r="AH611" i="45"/>
  <c r="CS37" i="5"/>
  <c r="DU43" i="5"/>
  <c r="AL617" i="45"/>
  <c r="U108" i="31"/>
  <c r="AF257" i="49"/>
  <c r="AE256" i="49"/>
  <c r="BC51" i="5"/>
  <c r="BB43" i="62"/>
  <c r="BC43" i="62" s="1"/>
  <c r="AL615" i="45"/>
  <c r="DU41" i="5"/>
  <c r="T108" i="31"/>
  <c r="AJ617" i="45"/>
  <c r="DG43" i="5"/>
  <c r="T392" i="31"/>
  <c r="T399" i="31" s="1"/>
  <c r="T354" i="31"/>
  <c r="AG341" i="31"/>
  <c r="AF340" i="31"/>
  <c r="AG10" i="49"/>
  <c r="AF9" i="49"/>
  <c r="DG24" i="5"/>
  <c r="DF23" i="5"/>
  <c r="AJ614" i="45"/>
  <c r="DG40" i="5"/>
  <c r="U46" i="49"/>
  <c r="U107" i="49" s="1"/>
  <c r="J37" i="5"/>
  <c r="C219" i="49"/>
  <c r="C15" i="13" s="1"/>
  <c r="W392" i="31"/>
  <c r="W399" i="31" s="1"/>
  <c r="AH71" i="49"/>
  <c r="AA46" i="49"/>
  <c r="AA107" i="49" s="1"/>
  <c r="R46" i="31"/>
  <c r="R107" i="31" s="1"/>
  <c r="FJ12" i="5"/>
  <c r="FJ15" i="5" s="1"/>
  <c r="FJ22" i="5" s="1"/>
  <c r="FJ24" i="5"/>
  <c r="FJ23" i="5" s="1"/>
  <c r="R108" i="31"/>
  <c r="J313" i="49"/>
  <c r="AZ45" i="5"/>
  <c r="AZ47" i="5" s="1"/>
  <c r="Z392" i="49"/>
  <c r="Z399" i="49" s="1"/>
  <c r="Z354" i="49"/>
  <c r="AF110" i="31"/>
  <c r="AE109" i="31"/>
  <c r="EV34" i="5"/>
  <c r="Q177" i="31"/>
  <c r="AF307" i="49"/>
  <c r="AE306" i="49"/>
  <c r="J58" i="5"/>
  <c r="C366" i="49"/>
  <c r="AF483" i="49"/>
  <c r="AE482" i="49"/>
  <c r="BQ41" i="5"/>
  <c r="AD615" i="45"/>
  <c r="C600" i="49"/>
  <c r="X313" i="49"/>
  <c r="AF394" i="31"/>
  <c r="AE393" i="31"/>
  <c r="W108" i="31"/>
  <c r="AZ49" i="5"/>
  <c r="J354" i="49"/>
  <c r="J392" i="49"/>
  <c r="J399" i="49" s="1"/>
  <c r="AZ21" i="62" s="1"/>
  <c r="BQ54" i="5"/>
  <c r="J41" i="5"/>
  <c r="C267" i="49"/>
  <c r="C27" i="13" s="1"/>
  <c r="X177" i="31"/>
  <c r="AB46" i="49"/>
  <c r="AB107" i="49" s="1"/>
  <c r="AB156" i="49" s="1"/>
  <c r="E33" i="68"/>
  <c r="V365" i="45"/>
  <c r="M40" i="5"/>
  <c r="Y46" i="31"/>
  <c r="Y107" i="31" s="1"/>
  <c r="Y156" i="31" s="1"/>
  <c r="Y392" i="31"/>
  <c r="Y399" i="31" s="1"/>
  <c r="Y354" i="31"/>
  <c r="Z354" i="31"/>
  <c r="Z392" i="31"/>
  <c r="Z399" i="31" s="1"/>
  <c r="X392" i="31"/>
  <c r="X399" i="31" s="1"/>
  <c r="X354" i="31"/>
  <c r="AF90" i="31"/>
  <c r="AE89" i="31"/>
  <c r="I392" i="31"/>
  <c r="I399" i="31" s="1"/>
  <c r="AN21" i="62" s="1"/>
  <c r="I354" i="31"/>
  <c r="AF209" i="49"/>
  <c r="AE208" i="49"/>
  <c r="AF159" i="31"/>
  <c r="AE158" i="31"/>
  <c r="L16" i="5"/>
  <c r="C47" i="31"/>
  <c r="AF27" i="31"/>
  <c r="AE26" i="31"/>
  <c r="ET31" i="5"/>
  <c r="ET30" i="5" s="1"/>
  <c r="Q157" i="49"/>
  <c r="AF585" i="31"/>
  <c r="AE584" i="31"/>
  <c r="AF189" i="31"/>
  <c r="AE188" i="31"/>
  <c r="AF145" i="31"/>
  <c r="AE144" i="31"/>
  <c r="AF239" i="31"/>
  <c r="AE238" i="31"/>
  <c r="Z49" i="5"/>
  <c r="H392" i="31"/>
  <c r="H399" i="31" s="1"/>
  <c r="Z21" i="62" s="1"/>
  <c r="H354" i="31"/>
  <c r="AO54" i="5"/>
  <c r="AN55" i="5"/>
  <c r="J35" i="5"/>
  <c r="C188" i="49"/>
  <c r="C9" i="13" s="1"/>
  <c r="Y313" i="31"/>
  <c r="M392" i="49"/>
  <c r="M399" i="49" s="1"/>
  <c r="CP21" i="62" s="1"/>
  <c r="M354" i="49"/>
  <c r="CP49" i="5"/>
  <c r="L17" i="5"/>
  <c r="C62" i="31"/>
  <c r="AF507" i="49"/>
  <c r="AE506" i="49"/>
  <c r="AF268" i="49"/>
  <c r="C557" i="49"/>
  <c r="AF145" i="49"/>
  <c r="AE144" i="49"/>
  <c r="AC392" i="49"/>
  <c r="AC399" i="49" s="1"/>
  <c r="AC354" i="49"/>
  <c r="V46" i="31"/>
  <c r="V107" i="31" s="1"/>
  <c r="J30" i="62"/>
  <c r="C476" i="49"/>
  <c r="AE315" i="31"/>
  <c r="DR12" i="5"/>
  <c r="DR15" i="5" s="1"/>
  <c r="DR22" i="5" s="1"/>
  <c r="O46" i="49"/>
  <c r="O107" i="49" s="1"/>
  <c r="AF615" i="49"/>
  <c r="AE614" i="49"/>
  <c r="L177" i="31"/>
  <c r="C604" i="49"/>
  <c r="U177" i="31"/>
  <c r="AF421" i="31"/>
  <c r="AE416" i="31"/>
  <c r="AJ616" i="45"/>
  <c r="DG42" i="5"/>
  <c r="L392" i="31"/>
  <c r="L399" i="31" s="1"/>
  <c r="CD21" i="62" s="1"/>
  <c r="L354" i="31"/>
  <c r="S392" i="49"/>
  <c r="S399" i="49" s="1"/>
  <c r="S354" i="49"/>
  <c r="C614" i="31"/>
  <c r="BB44" i="62"/>
  <c r="BC44" i="62" s="1"/>
  <c r="BC53" i="5"/>
  <c r="FJ34" i="5"/>
  <c r="FJ33" i="5" s="1"/>
  <c r="R177" i="31"/>
  <c r="AF322" i="49"/>
  <c r="AE321" i="49"/>
  <c r="AC46" i="49"/>
  <c r="AC107" i="49" s="1"/>
  <c r="L27" i="62"/>
  <c r="C459" i="31"/>
  <c r="X45" i="5"/>
  <c r="X47" i="5" s="1"/>
  <c r="H313" i="49"/>
  <c r="CR44" i="62"/>
  <c r="CS44" i="62" s="1"/>
  <c r="CS53" i="5"/>
  <c r="CS39" i="5"/>
  <c r="AH613" i="45"/>
  <c r="AC108" i="49"/>
  <c r="CP34" i="5"/>
  <c r="CP33" i="5" s="1"/>
  <c r="M177" i="49"/>
  <c r="AE301" i="31"/>
  <c r="AE313" i="31" s="1"/>
  <c r="S177" i="31"/>
  <c r="L61" i="5"/>
  <c r="C382" i="31"/>
  <c r="ET49" i="5"/>
  <c r="Q392" i="49"/>
  <c r="Q399" i="49" s="1"/>
  <c r="ET21" i="62" s="1"/>
  <c r="Q354" i="49"/>
  <c r="BC40" i="5"/>
  <c r="AB614" i="45"/>
  <c r="AE158" i="49"/>
  <c r="CP24" i="5"/>
  <c r="CP23" i="5" s="1"/>
  <c r="M108" i="49"/>
  <c r="AF357" i="31"/>
  <c r="AE356" i="31"/>
  <c r="AF558" i="31"/>
  <c r="W177" i="31"/>
  <c r="AF566" i="49"/>
  <c r="AE565" i="49"/>
  <c r="DD34" i="5"/>
  <c r="DD33" i="5" s="1"/>
  <c r="N177" i="49"/>
  <c r="L26" i="5"/>
  <c r="E26" i="5" s="1"/>
  <c r="F26" i="5" s="1"/>
  <c r="C136" i="31"/>
  <c r="EI26" i="62"/>
  <c r="EH29" i="62"/>
  <c r="W354" i="49"/>
  <c r="W392" i="49"/>
  <c r="W399" i="49" s="1"/>
  <c r="L32" i="62"/>
  <c r="C482" i="31"/>
  <c r="AF268" i="31"/>
  <c r="AE267" i="31"/>
  <c r="AR616" i="45"/>
  <c r="FK42" i="5"/>
  <c r="X609" i="45"/>
  <c r="AA35" i="5"/>
  <c r="Y157" i="49"/>
  <c r="BN31" i="5"/>
  <c r="BN30" i="5" s="1"/>
  <c r="K157" i="49"/>
  <c r="AE553" i="31"/>
  <c r="AD177" i="49"/>
  <c r="J45" i="5"/>
  <c r="G313" i="49"/>
  <c r="C301" i="49"/>
  <c r="Z45" i="5"/>
  <c r="H313" i="31"/>
  <c r="DU35" i="5"/>
  <c r="AL609" i="45"/>
  <c r="J27" i="62"/>
  <c r="C459" i="49"/>
  <c r="T108" i="49"/>
  <c r="E28" i="62"/>
  <c r="F28" i="62" s="1"/>
  <c r="E72" i="68"/>
  <c r="S28" i="62"/>
  <c r="M28" i="62"/>
  <c r="BP31" i="5"/>
  <c r="K157" i="31"/>
  <c r="EW41" i="5"/>
  <c r="AP615" i="45"/>
  <c r="AF341" i="49"/>
  <c r="AE340" i="49"/>
  <c r="AF110" i="49"/>
  <c r="AE109" i="49"/>
  <c r="AF329" i="49"/>
  <c r="AE328" i="49"/>
  <c r="DD24" i="5"/>
  <c r="DD23" i="5" s="1"/>
  <c r="N108" i="49"/>
  <c r="J18" i="5"/>
  <c r="C71" i="49"/>
  <c r="J14" i="5"/>
  <c r="C35" i="49"/>
  <c r="AF488" i="49"/>
  <c r="AE487" i="49"/>
  <c r="X17" i="5"/>
  <c r="AL17" i="5"/>
  <c r="AL22" i="5" s="1"/>
  <c r="Q46" i="49"/>
  <c r="Q107" i="49" s="1"/>
  <c r="Q156" i="49" s="1"/>
  <c r="ET12" i="5"/>
  <c r="ET15" i="5" s="1"/>
  <c r="ET22" i="5" s="1"/>
  <c r="J39" i="5"/>
  <c r="C238" i="49"/>
  <c r="C20" i="13" s="1"/>
  <c r="AF287" i="49"/>
  <c r="AE286" i="49"/>
  <c r="AB392" i="49"/>
  <c r="AB399" i="49" s="1"/>
  <c r="AB354" i="49"/>
  <c r="J26" i="5"/>
  <c r="C136" i="49"/>
  <c r="C609" i="49"/>
  <c r="AF443" i="49"/>
  <c r="AE442" i="49"/>
  <c r="AB157" i="49"/>
  <c r="J20" i="5"/>
  <c r="C89" i="49"/>
  <c r="Z108" i="31"/>
  <c r="AF48" i="49"/>
  <c r="AE47" i="49"/>
  <c r="U313" i="49"/>
  <c r="AF169" i="31"/>
  <c r="AE168" i="31"/>
  <c r="AE9" i="49"/>
  <c r="L157" i="31"/>
  <c r="CD31" i="5"/>
  <c r="BP49" i="5"/>
  <c r="K392" i="31"/>
  <c r="K399" i="31" s="1"/>
  <c r="BP21" i="62" s="1"/>
  <c r="K354" i="31"/>
  <c r="AD611" i="45"/>
  <c r="BQ37" i="5"/>
  <c r="L50" i="5"/>
  <c r="C321" i="31"/>
  <c r="L33" i="62"/>
  <c r="C487" i="31"/>
  <c r="AC177" i="31"/>
  <c r="U46" i="31"/>
  <c r="U107" i="31" s="1"/>
  <c r="U156" i="31" s="1"/>
  <c r="AA177" i="31"/>
  <c r="X12" i="5"/>
  <c r="X15" i="5" s="1"/>
  <c r="H46" i="49"/>
  <c r="H107" i="49" s="1"/>
  <c r="L54" i="5"/>
  <c r="C347" i="31"/>
  <c r="EI43" i="5"/>
  <c r="AN617" i="45"/>
  <c r="AF220" i="49"/>
  <c r="AE219" i="49"/>
  <c r="X24" i="5"/>
  <c r="X23" i="5" s="1"/>
  <c r="H108" i="49"/>
  <c r="FK38" i="5"/>
  <c r="AR612" i="45"/>
  <c r="BN12" i="5"/>
  <c r="BN15" i="5" s="1"/>
  <c r="BN22" i="5" s="1"/>
  <c r="K46" i="49"/>
  <c r="K107" i="49" s="1"/>
  <c r="J157" i="49"/>
  <c r="AZ31" i="5"/>
  <c r="AZ30" i="5" s="1"/>
  <c r="AH610" i="45"/>
  <c r="CS36" i="5"/>
  <c r="L313" i="49"/>
  <c r="CB45" i="5"/>
  <c r="CB47" i="5" s="1"/>
  <c r="AG378" i="49"/>
  <c r="AF377" i="49"/>
  <c r="C600" i="31"/>
  <c r="X612" i="45"/>
  <c r="AA38" i="5"/>
  <c r="C569" i="49"/>
  <c r="K313" i="31"/>
  <c r="BP45" i="5"/>
  <c r="DT45" i="5"/>
  <c r="O313" i="31"/>
  <c r="AG470" i="31"/>
  <c r="AF469" i="31"/>
  <c r="L19" i="62"/>
  <c r="C393" i="31"/>
  <c r="O354" i="49"/>
  <c r="DR49" i="5"/>
  <c r="O392" i="49"/>
  <c r="O399" i="49" s="1"/>
  <c r="DR21" i="62" s="1"/>
  <c r="AR617" i="45"/>
  <c r="FK43" i="5"/>
  <c r="AF35" i="31"/>
  <c r="BC37" i="5"/>
  <c r="AB611" i="45"/>
  <c r="EW37" i="5"/>
  <c r="AP611" i="45"/>
  <c r="U177" i="49"/>
  <c r="AO53" i="5"/>
  <c r="AN44" i="62"/>
  <c r="AO44" i="62" s="1"/>
  <c r="Z12" i="5"/>
  <c r="Z15" i="5" s="1"/>
  <c r="W510" i="45" s="1"/>
  <c r="H46" i="31"/>
  <c r="H107" i="31" s="1"/>
  <c r="AE35" i="31"/>
  <c r="AA42" i="5"/>
  <c r="X616" i="45"/>
  <c r="BC41" i="5"/>
  <c r="AB615" i="45"/>
  <c r="AF81" i="31"/>
  <c r="AE80" i="31"/>
  <c r="L60" i="5"/>
  <c r="C377" i="31"/>
  <c r="AP610" i="45"/>
  <c r="EW36" i="5"/>
  <c r="DU26" i="62"/>
  <c r="DT29" i="62"/>
  <c r="AD392" i="49"/>
  <c r="AD399" i="49" s="1"/>
  <c r="AD354" i="49"/>
  <c r="EH45" i="5"/>
  <c r="P313" i="31"/>
  <c r="L35" i="5"/>
  <c r="C188" i="31"/>
  <c r="J17" i="5"/>
  <c r="C62" i="49"/>
  <c r="AB177" i="49"/>
  <c r="V364" i="45"/>
  <c r="E32" i="68"/>
  <c r="M39" i="5"/>
  <c r="S39" i="5"/>
  <c r="V613" i="45"/>
  <c r="DF43" i="62"/>
  <c r="DG43" i="62" s="1"/>
  <c r="DG51" i="5"/>
  <c r="I177" i="49"/>
  <c r="C561" i="49"/>
  <c r="AF554" i="49"/>
  <c r="AE553" i="49"/>
  <c r="AJ610" i="45"/>
  <c r="DG36" i="5"/>
  <c r="DU38" i="5"/>
  <c r="AL612" i="45"/>
  <c r="AE127" i="49"/>
  <c r="Z24" i="5"/>
  <c r="H108" i="31"/>
  <c r="DD45" i="5"/>
  <c r="DD47" i="5" s="1"/>
  <c r="N313" i="49"/>
  <c r="AF63" i="31"/>
  <c r="AE62" i="31"/>
  <c r="CS35" i="5"/>
  <c r="AH609" i="45"/>
  <c r="CB31" i="5"/>
  <c r="CB30" i="5" s="1"/>
  <c r="L157" i="49"/>
  <c r="AF99" i="31"/>
  <c r="AE98" i="31"/>
  <c r="AF27" i="49"/>
  <c r="AE26" i="49"/>
  <c r="J34" i="62"/>
  <c r="C506" i="49"/>
  <c r="T392" i="49"/>
  <c r="T399" i="49" s="1"/>
  <c r="T354" i="49"/>
  <c r="L46" i="49"/>
  <c r="L107" i="49" s="1"/>
  <c r="L156" i="49" s="1"/>
  <c r="AF558" i="49"/>
  <c r="AE557" i="49"/>
  <c r="AB46" i="31"/>
  <c r="AB107" i="31" s="1"/>
  <c r="AF477" i="49"/>
  <c r="AE476" i="49"/>
  <c r="EF49" i="5"/>
  <c r="P392" i="49"/>
  <c r="P399" i="49" s="1"/>
  <c r="EF21" i="62" s="1"/>
  <c r="P354" i="49"/>
  <c r="L49" i="5"/>
  <c r="G392" i="31"/>
  <c r="C315" i="31"/>
  <c r="G354" i="31"/>
  <c r="AF287" i="31"/>
  <c r="AE286" i="31"/>
  <c r="AC46" i="31"/>
  <c r="AC107" i="31" s="1"/>
  <c r="C614" i="49"/>
  <c r="AN45" i="5"/>
  <c r="I313" i="31"/>
  <c r="AF605" i="49"/>
  <c r="AE604" i="49"/>
  <c r="L22" i="62"/>
  <c r="C416" i="31"/>
  <c r="AF566" i="31"/>
  <c r="AE565" i="31"/>
  <c r="AZ34" i="5"/>
  <c r="AZ33" i="5" s="1"/>
  <c r="J177" i="49"/>
  <c r="AD313" i="49"/>
  <c r="CS43" i="5"/>
  <c r="AH617" i="45"/>
  <c r="AE614" i="31"/>
  <c r="BB24" i="5"/>
  <c r="J108" i="31"/>
  <c r="J50" i="5"/>
  <c r="C50" i="5" s="1"/>
  <c r="C321" i="49"/>
  <c r="DR23" i="5"/>
  <c r="DG35" i="5"/>
  <c r="AJ609" i="45"/>
  <c r="EF31" i="5"/>
  <c r="EF30" i="5" s="1"/>
  <c r="P157" i="49"/>
  <c r="CS41" i="5"/>
  <c r="AH615" i="45"/>
  <c r="AF460" i="31"/>
  <c r="AE459" i="31"/>
  <c r="AB612" i="45"/>
  <c r="BC38" i="5"/>
  <c r="EV33" i="5"/>
  <c r="BP44" i="62"/>
  <c r="BQ44" i="62" s="1"/>
  <c r="BQ53" i="5"/>
  <c r="FH49" i="5"/>
  <c r="R354" i="49"/>
  <c r="R392" i="49"/>
  <c r="R399" i="49" s="1"/>
  <c r="FH21" i="62" s="1"/>
  <c r="J54" i="5"/>
  <c r="C347" i="49"/>
  <c r="AA392" i="49"/>
  <c r="AA399" i="49" s="1"/>
  <c r="AA354" i="49"/>
  <c r="C301" i="31"/>
  <c r="L45" i="5"/>
  <c r="FJ49" i="5"/>
  <c r="R354" i="31"/>
  <c r="R392" i="31"/>
  <c r="R399" i="31" s="1"/>
  <c r="FJ21" i="62" s="1"/>
  <c r="AD392" i="31"/>
  <c r="AD399" i="31" s="1"/>
  <c r="AD354" i="31"/>
  <c r="DG38" i="5"/>
  <c r="AJ612" i="45"/>
  <c r="AE382" i="31"/>
  <c r="FH45" i="5"/>
  <c r="FH47" i="5" s="1"/>
  <c r="R313" i="49"/>
  <c r="G157" i="49"/>
  <c r="C158" i="49"/>
  <c r="C4" i="13" s="1"/>
  <c r="C3" i="13" s="1"/>
  <c r="J31" i="5"/>
  <c r="AP609" i="45"/>
  <c r="EW35" i="5"/>
  <c r="L57" i="5"/>
  <c r="C356" i="31"/>
  <c r="AF443" i="31"/>
  <c r="AE442" i="31"/>
  <c r="CP12" i="5"/>
  <c r="CP15" i="5" s="1"/>
  <c r="CP22" i="5" s="1"/>
  <c r="M46" i="49"/>
  <c r="M107" i="49" s="1"/>
  <c r="M156" i="49" s="1"/>
  <c r="CR24" i="5"/>
  <c r="M108" i="31"/>
  <c r="AE136" i="31"/>
  <c r="AF483" i="31"/>
  <c r="AE482" i="31"/>
  <c r="Y177" i="31"/>
  <c r="L41" i="5"/>
  <c r="C267" i="31"/>
  <c r="N354" i="31"/>
  <c r="J57" i="5"/>
  <c r="C356" i="49"/>
  <c r="DT31" i="5"/>
  <c r="O157" i="31"/>
  <c r="C553" i="31"/>
  <c r="AF507" i="31"/>
  <c r="AE506" i="31"/>
  <c r="AF421" i="49"/>
  <c r="AE416" i="49"/>
  <c r="EW43" i="5"/>
  <c r="AP617" i="45"/>
  <c r="AE469" i="31"/>
  <c r="AF169" i="49"/>
  <c r="AE168" i="49"/>
  <c r="J53" i="5"/>
  <c r="C340" i="49"/>
  <c r="J24" i="5"/>
  <c r="C109" i="49"/>
  <c r="G108" i="49"/>
  <c r="J51" i="5"/>
  <c r="C328" i="49"/>
  <c r="AL31" i="5"/>
  <c r="AL30" i="5" s="1"/>
  <c r="I157" i="49"/>
  <c r="AA41" i="5"/>
  <c r="X615" i="45"/>
  <c r="J43" i="5"/>
  <c r="C293" i="49"/>
  <c r="C38" i="13" s="1"/>
  <c r="AC108" i="31"/>
  <c r="C609" i="31"/>
  <c r="DT44" i="62"/>
  <c r="DU44" i="62" s="1"/>
  <c r="DU53" i="5"/>
  <c r="Z157" i="31"/>
  <c r="J33" i="62"/>
  <c r="C487" i="49"/>
  <c r="DT24" i="5"/>
  <c r="O108" i="31"/>
  <c r="P313" i="49"/>
  <c r="EF45" i="5"/>
  <c r="EF47" i="5" s="1"/>
  <c r="AE238" i="49"/>
  <c r="AR611" i="45"/>
  <c r="FK37" i="5"/>
  <c r="AE609" i="49"/>
  <c r="J26" i="62"/>
  <c r="C442" i="49"/>
  <c r="AN616" i="45"/>
  <c r="EI42" i="5"/>
  <c r="BN49" i="5"/>
  <c r="K392" i="49"/>
  <c r="K399" i="49" s="1"/>
  <c r="BN21" i="62" s="1"/>
  <c r="K354" i="49"/>
  <c r="BQ51" i="5"/>
  <c r="BP43" i="62"/>
  <c r="BQ43" i="62" s="1"/>
  <c r="AF334" i="31"/>
  <c r="AE333" i="31"/>
  <c r="W108" i="49"/>
  <c r="W156" i="49" s="1"/>
  <c r="W300" i="49" s="1"/>
  <c r="W314" i="49" s="1"/>
  <c r="J16" i="5"/>
  <c r="C47" i="49"/>
  <c r="L32" i="5"/>
  <c r="E32" i="5" s="1"/>
  <c r="F32" i="5" s="1"/>
  <c r="C168" i="31"/>
  <c r="J38" i="5"/>
  <c r="C228" i="49"/>
  <c r="C16" i="13" s="1"/>
  <c r="AG90" i="49"/>
  <c r="AF89" i="49"/>
  <c r="BP22" i="5"/>
  <c r="Z514" i="45" s="1"/>
  <c r="AG179" i="49"/>
  <c r="AF178" i="49"/>
  <c r="AJ72" i="49"/>
  <c r="AK72" i="49" s="1"/>
  <c r="AH295" i="49"/>
  <c r="AH180" i="31"/>
  <c r="AH100" i="31"/>
  <c r="AH490" i="49"/>
  <c r="AH304" i="49"/>
  <c r="AH309" i="49"/>
  <c r="AH142" i="31"/>
  <c r="AG136" i="31"/>
  <c r="AH556" i="31"/>
  <c r="AG553" i="31"/>
  <c r="AI291" i="49"/>
  <c r="AH349" i="49"/>
  <c r="AH379" i="31"/>
  <c r="AH60" i="31"/>
  <c r="AJ190" i="31"/>
  <c r="AI86" i="31"/>
  <c r="AI51" i="49"/>
  <c r="AH128" i="49"/>
  <c r="AG127" i="49"/>
  <c r="AH137" i="49"/>
  <c r="AG136" i="49"/>
  <c r="AG609" i="49"/>
  <c r="AH610" i="49"/>
  <c r="AG158" i="49"/>
  <c r="AH159" i="49"/>
  <c r="AG301" i="31"/>
  <c r="AH302" i="31"/>
  <c r="AJ563" i="31"/>
  <c r="AI383" i="49"/>
  <c r="AI231" i="31"/>
  <c r="AJ180" i="49"/>
  <c r="AJ61" i="31"/>
  <c r="AI173" i="31"/>
  <c r="AI444" i="49"/>
  <c r="AJ166" i="31"/>
  <c r="AI468" i="31"/>
  <c r="AJ64" i="31"/>
  <c r="AH35" i="31"/>
  <c r="AI36" i="31"/>
  <c r="AJ563" i="49"/>
  <c r="AI113" i="49"/>
  <c r="AI222" i="31"/>
  <c r="AJ554" i="31"/>
  <c r="AK572" i="31"/>
  <c r="AK229" i="49"/>
  <c r="AK444" i="31"/>
  <c r="AL448" i="49"/>
  <c r="D30" i="24"/>
  <c r="D30" i="22"/>
  <c r="D30" i="23"/>
  <c r="D33" i="26"/>
  <c r="D24" i="24"/>
  <c r="AL250" i="49"/>
  <c r="AL418" i="31"/>
  <c r="AL171" i="49"/>
  <c r="C21" i="26"/>
  <c r="BH107" i="19"/>
  <c r="X21" i="17" s="1"/>
  <c r="X33" i="17" s="1"/>
  <c r="E154" i="16"/>
  <c r="F154" i="16" s="1"/>
  <c r="G156" i="16"/>
  <c r="E156" i="16" s="1"/>
  <c r="F156" i="16" s="1"/>
  <c r="C21" i="18"/>
  <c r="BB107" i="19"/>
  <c r="F21" i="17" s="1"/>
  <c r="BJ6" i="19"/>
  <c r="D30" i="26"/>
  <c r="C21" i="25"/>
  <c r="BG107" i="19"/>
  <c r="U21" i="17" s="1"/>
  <c r="U33" i="17" s="1"/>
  <c r="D25" i="18"/>
  <c r="H77" i="20"/>
  <c r="H80" i="20"/>
  <c r="J76" i="20"/>
  <c r="D39" i="18"/>
  <c r="I33" i="18"/>
  <c r="F33" i="18"/>
  <c r="H93" i="20"/>
  <c r="H96" i="20"/>
  <c r="J92" i="20"/>
  <c r="D35" i="18"/>
  <c r="C21" i="21"/>
  <c r="BC107" i="19"/>
  <c r="I21" i="17" s="1"/>
  <c r="I33" i="17" s="1"/>
  <c r="D33" i="24"/>
  <c r="I9" i="12"/>
  <c r="I8" i="12"/>
  <c r="BV16" i="5"/>
  <c r="D107" i="18"/>
  <c r="CL25" i="62"/>
  <c r="CY25" i="62"/>
  <c r="P80" i="20"/>
  <c r="P77" i="20"/>
  <c r="G76" i="20"/>
  <c r="J10" i="29"/>
  <c r="AG507" i="45"/>
  <c r="AG506" i="45"/>
  <c r="AT23" i="5"/>
  <c r="AB30" i="20"/>
  <c r="AB31" i="20" s="1"/>
  <c r="X30" i="20"/>
  <c r="X31" i="20" s="1"/>
  <c r="T30" i="20"/>
  <c r="T31" i="20" s="1"/>
  <c r="AA30" i="20"/>
  <c r="AA31" i="20" s="1"/>
  <c r="V30" i="20"/>
  <c r="V31" i="20" s="1"/>
  <c r="Z30" i="20"/>
  <c r="Z31" i="20" s="1"/>
  <c r="U30" i="20"/>
  <c r="U31" i="20" s="1"/>
  <c r="Y30" i="20"/>
  <c r="Y31" i="20" s="1"/>
  <c r="S30" i="20"/>
  <c r="S31" i="20" s="1"/>
  <c r="AC30" i="20"/>
  <c r="AC31" i="20" s="1"/>
  <c r="W30" i="20"/>
  <c r="W31" i="20" s="1"/>
  <c r="R30" i="20"/>
  <c r="I125" i="21"/>
  <c r="I129" i="21" s="1"/>
  <c r="I23" i="17"/>
  <c r="AC62" i="20"/>
  <c r="AC63" i="20" s="1"/>
  <c r="Y62" i="20"/>
  <c r="Y63" i="20" s="1"/>
  <c r="U62" i="20"/>
  <c r="U63" i="20" s="1"/>
  <c r="Z62" i="20"/>
  <c r="Z63" i="20" s="1"/>
  <c r="T62" i="20"/>
  <c r="T63" i="20" s="1"/>
  <c r="X62" i="20"/>
  <c r="X63" i="20" s="1"/>
  <c r="S62" i="20"/>
  <c r="S63" i="20" s="1"/>
  <c r="AB62" i="20"/>
  <c r="AB63" i="20" s="1"/>
  <c r="W62" i="20"/>
  <c r="W63" i="20" s="1"/>
  <c r="R62" i="20"/>
  <c r="AA62" i="20"/>
  <c r="AA63" i="20" s="1"/>
  <c r="V62" i="20"/>
  <c r="V63" i="20" s="1"/>
  <c r="I125" i="23"/>
  <c r="I129" i="23" s="1"/>
  <c r="O23" i="17"/>
  <c r="CX23" i="62"/>
  <c r="U12" i="15"/>
  <c r="S16" i="15"/>
  <c r="U16" i="15" s="1"/>
  <c r="S13" i="15"/>
  <c r="H32" i="20"/>
  <c r="H29" i="20"/>
  <c r="J28" i="20"/>
  <c r="D12" i="20"/>
  <c r="DL30" i="5"/>
  <c r="P45" i="20"/>
  <c r="P48" i="20"/>
  <c r="G44" i="20"/>
  <c r="CJ33" i="5"/>
  <c r="C21" i="23"/>
  <c r="BE107" i="19"/>
  <c r="O21" i="17" s="1"/>
  <c r="O33" i="17" s="1"/>
  <c r="AN430" i="49"/>
  <c r="EU23" i="5"/>
  <c r="EW24" i="5"/>
  <c r="D36" i="18"/>
  <c r="EU47" i="5"/>
  <c r="FI45" i="5"/>
  <c r="FP45" i="5" s="1"/>
  <c r="D24" i="18"/>
  <c r="DZ55" i="5"/>
  <c r="BH21" i="5"/>
  <c r="L10" i="29"/>
  <c r="H112" i="20"/>
  <c r="H109" i="20"/>
  <c r="J108" i="20"/>
  <c r="N41" i="44"/>
  <c r="M42" i="44"/>
  <c r="C21" i="24"/>
  <c r="BF107" i="19"/>
  <c r="R21" i="17" s="1"/>
  <c r="R33" i="17" s="1"/>
  <c r="AC94" i="20"/>
  <c r="AC95" i="20" s="1"/>
  <c r="Y94" i="20"/>
  <c r="Y95" i="20" s="1"/>
  <c r="U94" i="20"/>
  <c r="U95" i="20" s="1"/>
  <c r="AB94" i="20"/>
  <c r="AB95" i="20" s="1"/>
  <c r="X94" i="20"/>
  <c r="X95" i="20" s="1"/>
  <c r="T94" i="20"/>
  <c r="T95" i="20" s="1"/>
  <c r="W94" i="20"/>
  <c r="W95" i="20" s="1"/>
  <c r="V94" i="20"/>
  <c r="V95" i="20" s="1"/>
  <c r="Z94" i="20"/>
  <c r="Z95" i="20" s="1"/>
  <c r="S94" i="20"/>
  <c r="S95" i="20" s="1"/>
  <c r="R94" i="20"/>
  <c r="AA94" i="20"/>
  <c r="AA95" i="20" s="1"/>
  <c r="I125" i="25"/>
  <c r="I129" i="25" s="1"/>
  <c r="U23" i="17"/>
  <c r="D28" i="24"/>
  <c r="D28" i="26"/>
  <c r="FI53" i="5"/>
  <c r="D53" i="5" s="1"/>
  <c r="EU44" i="62"/>
  <c r="EW44" i="62" s="1"/>
  <c r="EW53" i="5"/>
  <c r="R8" i="20"/>
  <c r="R12" i="20" s="1"/>
  <c r="AN6" i="20"/>
  <c r="AN8" i="20" s="1"/>
  <c r="AN11" i="20" s="1"/>
  <c r="AJ6" i="20"/>
  <c r="AJ8" i="20" s="1"/>
  <c r="AJ11" i="20" s="1"/>
  <c r="AF6" i="20"/>
  <c r="AF8" i="20" s="1"/>
  <c r="AF11" i="20" s="1"/>
  <c r="AM6" i="20"/>
  <c r="AM8" i="20" s="1"/>
  <c r="AM11" i="20" s="1"/>
  <c r="AI6" i="20"/>
  <c r="AI8" i="20" s="1"/>
  <c r="AI11" i="20" s="1"/>
  <c r="AE6" i="20"/>
  <c r="AP6" i="20"/>
  <c r="AP8" i="20" s="1"/>
  <c r="AP11" i="20" s="1"/>
  <c r="AL6" i="20"/>
  <c r="AL8" i="20" s="1"/>
  <c r="AL11" i="20" s="1"/>
  <c r="AH6" i="20"/>
  <c r="AH8" i="20" s="1"/>
  <c r="AH11" i="20" s="1"/>
  <c r="AO6" i="20"/>
  <c r="AO8" i="20" s="1"/>
  <c r="AO11" i="20" s="1"/>
  <c r="AK6" i="20"/>
  <c r="AK8" i="20" s="1"/>
  <c r="AK11" i="20" s="1"/>
  <c r="AG6" i="20"/>
  <c r="AG8" i="20" s="1"/>
  <c r="AG11" i="20" s="1"/>
  <c r="J15" i="6"/>
  <c r="K15" i="6" s="1"/>
  <c r="H16" i="6" s="1"/>
  <c r="P64" i="20"/>
  <c r="P61" i="20"/>
  <c r="G60" i="20"/>
  <c r="C21" i="22"/>
  <c r="BD107" i="19"/>
  <c r="L21" i="17" s="1"/>
  <c r="L33" i="17" s="1"/>
  <c r="C11" i="20"/>
  <c r="C13" i="20" s="1"/>
  <c r="D13" i="20" s="1"/>
  <c r="D8" i="20"/>
  <c r="P96" i="20"/>
  <c r="P93" i="20"/>
  <c r="G92" i="20"/>
  <c r="BH24" i="5"/>
  <c r="P32" i="20"/>
  <c r="P29" i="20"/>
  <c r="G28" i="20"/>
  <c r="I11" i="29"/>
  <c r="L11" i="29" s="1"/>
  <c r="H12" i="29"/>
  <c r="G11" i="29"/>
  <c r="AF520" i="45"/>
  <c r="AF518" i="45"/>
  <c r="AF514" i="45"/>
  <c r="AF510" i="45"/>
  <c r="U107" i="19"/>
  <c r="AC6" i="19"/>
  <c r="AA46" i="20"/>
  <c r="AA47" i="20" s="1"/>
  <c r="W46" i="20"/>
  <c r="W47" i="20" s="1"/>
  <c r="S46" i="20"/>
  <c r="S47" i="20" s="1"/>
  <c r="AC46" i="20"/>
  <c r="AC47" i="20" s="1"/>
  <c r="X46" i="20"/>
  <c r="X47" i="20" s="1"/>
  <c r="R46" i="20"/>
  <c r="Z46" i="20"/>
  <c r="Z47" i="20" s="1"/>
  <c r="U46" i="20"/>
  <c r="U47" i="20" s="1"/>
  <c r="T46" i="20"/>
  <c r="T47" i="20" s="1"/>
  <c r="AB46" i="20"/>
  <c r="AB47" i="20" s="1"/>
  <c r="Y46" i="20"/>
  <c r="Y47" i="20" s="1"/>
  <c r="V46" i="20"/>
  <c r="V47" i="20" s="1"/>
  <c r="I125" i="22"/>
  <c r="I129" i="22" s="1"/>
  <c r="L23" i="17"/>
  <c r="S14" i="15"/>
  <c r="U14" i="15" s="1"/>
  <c r="CJ47" i="5"/>
  <c r="AE531" i="45"/>
  <c r="AE530" i="45"/>
  <c r="AF529" i="45"/>
  <c r="DL18" i="62"/>
  <c r="CX48" i="62"/>
  <c r="FK29" i="62"/>
  <c r="FI24" i="5"/>
  <c r="AM430" i="31"/>
  <c r="D30" i="25"/>
  <c r="H64" i="20"/>
  <c r="H61" i="20"/>
  <c r="J60" i="20"/>
  <c r="D30" i="18"/>
  <c r="G12" i="20"/>
  <c r="DU55" i="5"/>
  <c r="CX29" i="62"/>
  <c r="CX47" i="62"/>
  <c r="DL21" i="62"/>
  <c r="D31" i="18"/>
  <c r="I28" i="18"/>
  <c r="F28" i="18"/>
  <c r="P112" i="20"/>
  <c r="P109" i="20"/>
  <c r="G108" i="20"/>
  <c r="AC78" i="20"/>
  <c r="AC79" i="20" s="1"/>
  <c r="Y78" i="20"/>
  <c r="Y79" i="20" s="1"/>
  <c r="U78" i="20"/>
  <c r="U79" i="20" s="1"/>
  <c r="AB78" i="20"/>
  <c r="AB79" i="20" s="1"/>
  <c r="X78" i="20"/>
  <c r="X79" i="20" s="1"/>
  <c r="T78" i="20"/>
  <c r="T79" i="20" s="1"/>
  <c r="Z78" i="20"/>
  <c r="Z79" i="20" s="1"/>
  <c r="R78" i="20"/>
  <c r="W78" i="20"/>
  <c r="W79" i="20" s="1"/>
  <c r="V78" i="20"/>
  <c r="V79" i="20" s="1"/>
  <c r="S78" i="20"/>
  <c r="S79" i="20" s="1"/>
  <c r="AA78" i="20"/>
  <c r="AA79" i="20" s="1"/>
  <c r="I125" i="24"/>
  <c r="I129" i="24" s="1"/>
  <c r="R23" i="17"/>
  <c r="AC110" i="20"/>
  <c r="AC111" i="20" s="1"/>
  <c r="Y110" i="20"/>
  <c r="Y111" i="20" s="1"/>
  <c r="U110" i="20"/>
  <c r="U111" i="20" s="1"/>
  <c r="AB110" i="20"/>
  <c r="AB111" i="20" s="1"/>
  <c r="X110" i="20"/>
  <c r="X111" i="20" s="1"/>
  <c r="T110" i="20"/>
  <c r="T111" i="20" s="1"/>
  <c r="Z110" i="20"/>
  <c r="Z111" i="20" s="1"/>
  <c r="R110" i="20"/>
  <c r="W110" i="20"/>
  <c r="W111" i="20" s="1"/>
  <c r="AA110" i="20"/>
  <c r="AA111" i="20" s="1"/>
  <c r="S110" i="20"/>
  <c r="S111" i="20" s="1"/>
  <c r="V110" i="20"/>
  <c r="V111" i="20" s="1"/>
  <c r="I125" i="26"/>
  <c r="I129" i="26" s="1"/>
  <c r="X23" i="17"/>
  <c r="FI54" i="5"/>
  <c r="EW54" i="5"/>
  <c r="AH152" i="16"/>
  <c r="AH153" i="16" s="1"/>
  <c r="FI12" i="5" s="1"/>
  <c r="AD152" i="16"/>
  <c r="AD153" i="16" s="1"/>
  <c r="DE12" i="5" s="1"/>
  <c r="Z152" i="16"/>
  <c r="Z153" i="16" s="1"/>
  <c r="BA12" i="5" s="1"/>
  <c r="AG152" i="16"/>
  <c r="AG153" i="16" s="1"/>
  <c r="EU12" i="5" s="1"/>
  <c r="AC152" i="16"/>
  <c r="AC153" i="16" s="1"/>
  <c r="CQ12" i="5" s="1"/>
  <c r="Y152" i="16"/>
  <c r="Y153" i="16" s="1"/>
  <c r="AM12" i="5" s="1"/>
  <c r="AF152" i="16"/>
  <c r="AF153" i="16" s="1"/>
  <c r="EG12" i="5" s="1"/>
  <c r="AB152" i="16"/>
  <c r="AB153" i="16" s="1"/>
  <c r="CC12" i="5" s="1"/>
  <c r="X152" i="16"/>
  <c r="X153" i="16" s="1"/>
  <c r="Y12" i="5" s="1"/>
  <c r="AE152" i="16"/>
  <c r="AE153" i="16" s="1"/>
  <c r="DS12" i="5" s="1"/>
  <c r="AA152" i="16"/>
  <c r="AA153" i="16" s="1"/>
  <c r="BO12" i="5" s="1"/>
  <c r="W152" i="16"/>
  <c r="W153" i="16" s="1"/>
  <c r="EU51" i="5"/>
  <c r="EG43" i="62"/>
  <c r="EI51" i="5"/>
  <c r="H48" i="20"/>
  <c r="H45" i="20"/>
  <c r="J44" i="20"/>
  <c r="Q436" i="31"/>
  <c r="O436" i="49"/>
  <c r="H436" i="49"/>
  <c r="M435" i="31"/>
  <c r="N435" i="49"/>
  <c r="O436" i="31"/>
  <c r="N435" i="31"/>
  <c r="K436" i="49"/>
  <c r="AB435" i="49"/>
  <c r="Y436" i="49"/>
  <c r="AA436" i="49"/>
  <c r="I435" i="31"/>
  <c r="AC435" i="31"/>
  <c r="Z435" i="31"/>
  <c r="J435" i="31"/>
  <c r="H436" i="31"/>
  <c r="Q436" i="49"/>
  <c r="W435" i="31"/>
  <c r="N436" i="49"/>
  <c r="L435" i="31"/>
  <c r="Z436" i="49"/>
  <c r="M436" i="49"/>
  <c r="S435" i="49"/>
  <c r="W436" i="49"/>
  <c r="S436" i="49"/>
  <c r="Q435" i="31"/>
  <c r="H435" i="31"/>
  <c r="X435" i="31"/>
  <c r="I435" i="49"/>
  <c r="AB436" i="49"/>
  <c r="V436" i="49"/>
  <c r="U435" i="49"/>
  <c r="K435" i="49"/>
  <c r="AB436" i="31"/>
  <c r="R436" i="49"/>
  <c r="L435" i="49"/>
  <c r="P435" i="31"/>
  <c r="H435" i="49"/>
  <c r="V435" i="49"/>
  <c r="U436" i="49"/>
  <c r="AA435" i="49"/>
  <c r="X435" i="49"/>
  <c r="W435" i="49"/>
  <c r="M435" i="49"/>
  <c r="K436" i="31"/>
  <c r="T435" i="49"/>
  <c r="G436" i="49"/>
  <c r="Y436" i="31"/>
  <c r="U435" i="31"/>
  <c r="V435" i="31"/>
  <c r="O435" i="31"/>
  <c r="J436" i="49"/>
  <c r="V436" i="31"/>
  <c r="O435" i="49"/>
  <c r="X436" i="49"/>
  <c r="W436" i="31"/>
  <c r="R435" i="31"/>
  <c r="G436" i="31"/>
  <c r="T436" i="49"/>
  <c r="R436" i="31"/>
  <c r="G435" i="49"/>
  <c r="S436" i="31"/>
  <c r="M436" i="31"/>
  <c r="L436" i="31"/>
  <c r="AD435" i="49"/>
  <c r="N436" i="31"/>
  <c r="S435" i="31"/>
  <c r="Q435" i="49"/>
  <c r="Z435" i="49"/>
  <c r="P436" i="31"/>
  <c r="P436" i="49"/>
  <c r="AC436" i="31"/>
  <c r="I436" i="31"/>
  <c r="P435" i="49"/>
  <c r="AC435" i="49"/>
  <c r="AD436" i="31"/>
  <c r="AA435" i="31"/>
  <c r="AC436" i="49"/>
  <c r="Z436" i="31"/>
  <c r="U436" i="31"/>
  <c r="AA436" i="31"/>
  <c r="L436" i="49"/>
  <c r="AB435" i="31"/>
  <c r="K435" i="31"/>
  <c r="G435" i="31"/>
  <c r="T435" i="31"/>
  <c r="AD436" i="49"/>
  <c r="AD435" i="31"/>
  <c r="I436" i="49"/>
  <c r="J435" i="49"/>
  <c r="Y435" i="31"/>
  <c r="J436" i="31"/>
  <c r="T436" i="31"/>
  <c r="R435" i="49"/>
  <c r="Y435" i="49"/>
  <c r="X436" i="31"/>
  <c r="K156" i="31" l="1"/>
  <c r="L107" i="31"/>
  <c r="K177" i="31"/>
  <c r="DU51" i="5"/>
  <c r="C306" i="31"/>
  <c r="AA156" i="49"/>
  <c r="AA300" i="49" s="1"/>
  <c r="AA314" i="49" s="1"/>
  <c r="AZ44" i="5"/>
  <c r="U156" i="49"/>
  <c r="EV45" i="5"/>
  <c r="AE256" i="31"/>
  <c r="C333" i="31"/>
  <c r="C127" i="31"/>
  <c r="C366" i="31"/>
  <c r="AE542" i="31"/>
  <c r="AO51" i="5"/>
  <c r="AE347" i="31"/>
  <c r="BP33" i="5"/>
  <c r="N108" i="31"/>
  <c r="T177" i="31"/>
  <c r="AB156" i="31"/>
  <c r="AB300" i="31" s="1"/>
  <c r="AB314" i="31" s="1"/>
  <c r="AB355" i="31" s="1"/>
  <c r="AB376" i="31" s="1"/>
  <c r="K156" i="49"/>
  <c r="N46" i="31"/>
  <c r="N107" i="31" s="1"/>
  <c r="N156" i="31" s="1"/>
  <c r="N300" i="31" s="1"/>
  <c r="P354" i="31"/>
  <c r="C476" i="31"/>
  <c r="P107" i="31"/>
  <c r="C293" i="31"/>
  <c r="AF238" i="49"/>
  <c r="BQ34" i="5"/>
  <c r="L46" i="5"/>
  <c r="DF22" i="5"/>
  <c r="AC514" i="45" s="1"/>
  <c r="AC510" i="45"/>
  <c r="EH22" i="5"/>
  <c r="AE514" i="45" s="1"/>
  <c r="AE510" i="45"/>
  <c r="AE512" i="45" s="1"/>
  <c r="AE328" i="31"/>
  <c r="DT22" i="5"/>
  <c r="AD514" i="45" s="1"/>
  <c r="AD510" i="45"/>
  <c r="C80" i="31"/>
  <c r="C35" i="31"/>
  <c r="I156" i="31"/>
  <c r="O177" i="31"/>
  <c r="AE569" i="31"/>
  <c r="M313" i="31"/>
  <c r="AI71" i="49"/>
  <c r="AR29" i="62"/>
  <c r="X510" i="45"/>
  <c r="S46" i="31"/>
  <c r="S107" i="31" s="1"/>
  <c r="K11" i="29"/>
  <c r="N42" i="44"/>
  <c r="M45" i="44"/>
  <c r="BB22" i="5"/>
  <c r="Y514" i="45" s="1"/>
  <c r="Y510" i="45"/>
  <c r="Y512" i="45" s="1"/>
  <c r="CR22" i="5"/>
  <c r="AB510" i="45"/>
  <c r="AA512" i="45"/>
  <c r="Z512" i="45"/>
  <c r="Y429" i="49"/>
  <c r="R429" i="49"/>
  <c r="FH24" i="62" s="1"/>
  <c r="Y429" i="31"/>
  <c r="J429" i="49"/>
  <c r="AZ24" i="62" s="1"/>
  <c r="AD429" i="31"/>
  <c r="T429" i="31"/>
  <c r="AE435" i="31"/>
  <c r="G429" i="31"/>
  <c r="K429" i="31"/>
  <c r="BP24" i="62" s="1"/>
  <c r="BQ24" i="62" s="1"/>
  <c r="AB429" i="31"/>
  <c r="AA429" i="31"/>
  <c r="AC429" i="49"/>
  <c r="P429" i="49"/>
  <c r="EF24" i="62" s="1"/>
  <c r="Z429" i="49"/>
  <c r="Q429" i="49"/>
  <c r="ET24" i="62" s="1"/>
  <c r="S429" i="31"/>
  <c r="AD429" i="49"/>
  <c r="G429" i="49"/>
  <c r="AE435" i="49"/>
  <c r="AE436" i="31"/>
  <c r="AF436" i="31" s="1"/>
  <c r="AG436" i="31" s="1"/>
  <c r="AH436" i="31" s="1"/>
  <c r="AI436" i="31" s="1"/>
  <c r="AJ436" i="31" s="1"/>
  <c r="AK436" i="31" s="1"/>
  <c r="AL436" i="31" s="1"/>
  <c r="AM436" i="31" s="1"/>
  <c r="AN436" i="31" s="1"/>
  <c r="AO436" i="31" s="1"/>
  <c r="AP436" i="31" s="1"/>
  <c r="R429" i="31"/>
  <c r="FJ24" i="62" s="1"/>
  <c r="FK24" i="62" s="1"/>
  <c r="O429" i="49"/>
  <c r="DR24" i="62" s="1"/>
  <c r="O429" i="31"/>
  <c r="DT24" i="62" s="1"/>
  <c r="DU24" i="62" s="1"/>
  <c r="V429" i="31"/>
  <c r="U429" i="31"/>
  <c r="AE436" i="49"/>
  <c r="AF436" i="49" s="1"/>
  <c r="AG436" i="49" s="1"/>
  <c r="AH436" i="49" s="1"/>
  <c r="AI436" i="49" s="1"/>
  <c r="AJ436" i="49" s="1"/>
  <c r="AK436" i="49" s="1"/>
  <c r="AL436" i="49" s="1"/>
  <c r="AM436" i="49" s="1"/>
  <c r="AN436" i="49" s="1"/>
  <c r="AO436" i="49" s="1"/>
  <c r="AP436" i="49" s="1"/>
  <c r="T429" i="49"/>
  <c r="M429" i="49"/>
  <c r="CP24" i="62" s="1"/>
  <c r="W429" i="49"/>
  <c r="X429" i="49"/>
  <c r="AA429" i="49"/>
  <c r="V429" i="49"/>
  <c r="H429" i="49"/>
  <c r="X24" i="62" s="1"/>
  <c r="P429" i="31"/>
  <c r="EH24" i="62" s="1"/>
  <c r="EI24" i="62" s="1"/>
  <c r="L429" i="49"/>
  <c r="CB24" i="62" s="1"/>
  <c r="K429" i="49"/>
  <c r="BN24" i="62" s="1"/>
  <c r="U429" i="49"/>
  <c r="I429" i="49"/>
  <c r="X429" i="31"/>
  <c r="H429" i="31"/>
  <c r="Z24" i="62" s="1"/>
  <c r="AA24" i="62" s="1"/>
  <c r="Q429" i="31"/>
  <c r="EV24" i="62" s="1"/>
  <c r="EW24" i="62" s="1"/>
  <c r="S429" i="49"/>
  <c r="L429" i="31"/>
  <c r="CD24" i="62" s="1"/>
  <c r="CE24" i="62" s="1"/>
  <c r="W429" i="31"/>
  <c r="J429" i="31"/>
  <c r="BB24" i="62" s="1"/>
  <c r="BC24" i="62" s="1"/>
  <c r="Z429" i="31"/>
  <c r="AC429" i="31"/>
  <c r="I429" i="31"/>
  <c r="AB429" i="49"/>
  <c r="N429" i="31"/>
  <c r="DF24" i="62" s="1"/>
  <c r="DG24" i="62" s="1"/>
  <c r="N429" i="49"/>
  <c r="DD24" i="62" s="1"/>
  <c r="M429" i="31"/>
  <c r="CR24" i="62" s="1"/>
  <c r="CS24" i="62" s="1"/>
  <c r="AH231" i="49"/>
  <c r="AG228" i="49"/>
  <c r="AG357" i="49"/>
  <c r="AF356" i="49"/>
  <c r="AG316" i="31"/>
  <c r="AF315" i="31"/>
  <c r="AF392" i="31" s="1"/>
  <c r="AF399" i="31" s="1"/>
  <c r="D28" i="18"/>
  <c r="J11" i="29"/>
  <c r="AA40" i="5"/>
  <c r="X614" i="45"/>
  <c r="AN17" i="5"/>
  <c r="Z17" i="5"/>
  <c r="S313" i="49"/>
  <c r="AP616" i="45"/>
  <c r="EW42" i="5"/>
  <c r="V614" i="45"/>
  <c r="S40" i="5"/>
  <c r="AH614" i="45"/>
  <c r="CS40" i="5"/>
  <c r="DF49" i="5"/>
  <c r="N392" i="31"/>
  <c r="N399" i="31" s="1"/>
  <c r="DF21" i="62" s="1"/>
  <c r="AN614" i="45"/>
  <c r="EI40" i="5"/>
  <c r="CS51" i="5"/>
  <c r="CR43" i="62"/>
  <c r="CS43" i="62" s="1"/>
  <c r="W355" i="49"/>
  <c r="W376" i="49" s="1"/>
  <c r="W387" i="49" s="1"/>
  <c r="AE561" i="31"/>
  <c r="C153" i="31"/>
  <c r="E27" i="5"/>
  <c r="F27" i="5" s="1"/>
  <c r="C557" i="31"/>
  <c r="C144" i="31"/>
  <c r="CE54" i="5"/>
  <c r="CD55" i="5"/>
  <c r="EI38" i="5"/>
  <c r="AN612" i="45"/>
  <c r="Q313" i="49"/>
  <c r="ET45" i="5"/>
  <c r="ET47" i="5" s="1"/>
  <c r="M392" i="31"/>
  <c r="M399" i="31" s="1"/>
  <c r="CR21" i="62" s="1"/>
  <c r="CR49" i="5"/>
  <c r="BB45" i="5"/>
  <c r="J313" i="31"/>
  <c r="AF562" i="49"/>
  <c r="R157" i="31"/>
  <c r="C157" i="31" s="1"/>
  <c r="FJ31" i="5"/>
  <c r="DR47" i="5"/>
  <c r="CB29" i="62"/>
  <c r="AE313" i="49"/>
  <c r="M300" i="49"/>
  <c r="M314" i="49" s="1"/>
  <c r="M355" i="49" s="1"/>
  <c r="M376" i="49" s="1"/>
  <c r="M391" i="49" s="1"/>
  <c r="M398" i="49" s="1"/>
  <c r="M481" i="49" s="1"/>
  <c r="M527" i="49" s="1"/>
  <c r="M538" i="49" s="1"/>
  <c r="O156" i="49"/>
  <c r="N314" i="31"/>
  <c r="DD44" i="5"/>
  <c r="Z156" i="49"/>
  <c r="Z300" i="49" s="1"/>
  <c r="Z314" i="49" s="1"/>
  <c r="C108" i="49"/>
  <c r="V156" i="31"/>
  <c r="V300" i="31" s="1"/>
  <c r="V314" i="31" s="1"/>
  <c r="V355" i="31" s="1"/>
  <c r="V376" i="31" s="1"/>
  <c r="S156" i="49"/>
  <c r="S300" i="49" s="1"/>
  <c r="S314" i="49" s="1"/>
  <c r="S355" i="49" s="1"/>
  <c r="S376" i="49" s="1"/>
  <c r="AZ48" i="5"/>
  <c r="C313" i="49"/>
  <c r="H156" i="31"/>
  <c r="H300" i="31" s="1"/>
  <c r="H314" i="31" s="1"/>
  <c r="H355" i="31" s="1"/>
  <c r="H376" i="31" s="1"/>
  <c r="O300" i="49"/>
  <c r="O314" i="49" s="1"/>
  <c r="O355" i="49" s="1"/>
  <c r="O376" i="49" s="1"/>
  <c r="O387" i="49" s="1"/>
  <c r="C354" i="31"/>
  <c r="Q300" i="49"/>
  <c r="Q314" i="49" s="1"/>
  <c r="Q355" i="49" s="1"/>
  <c r="Q376" i="49" s="1"/>
  <c r="C6" i="13"/>
  <c r="C50" i="13" s="1"/>
  <c r="U300" i="31"/>
  <c r="U314" i="31" s="1"/>
  <c r="U355" i="31" s="1"/>
  <c r="U376" i="31" s="1"/>
  <c r="K300" i="49"/>
  <c r="K314" i="49" s="1"/>
  <c r="L300" i="49"/>
  <c r="L314" i="49" s="1"/>
  <c r="L355" i="49" s="1"/>
  <c r="L376" i="49" s="1"/>
  <c r="R156" i="31"/>
  <c r="AC156" i="31"/>
  <c r="AC300" i="31" s="1"/>
  <c r="AC314" i="31" s="1"/>
  <c r="AC355" i="31" s="1"/>
  <c r="AC376" i="31" s="1"/>
  <c r="AC156" i="49"/>
  <c r="AC300" i="49" s="1"/>
  <c r="AC314" i="49" s="1"/>
  <c r="AC355" i="49" s="1"/>
  <c r="AC376" i="49" s="1"/>
  <c r="FN23" i="5"/>
  <c r="EZ23" i="5"/>
  <c r="R156" i="49"/>
  <c r="R300" i="49" s="1"/>
  <c r="R314" i="49" s="1"/>
  <c r="R355" i="49" s="1"/>
  <c r="R376" i="49" s="1"/>
  <c r="AE46" i="49"/>
  <c r="AE107" i="49" s="1"/>
  <c r="AE177" i="49"/>
  <c r="FN33" i="5"/>
  <c r="FK33" i="5"/>
  <c r="AG334" i="31"/>
  <c r="AF333" i="31"/>
  <c r="C17" i="68"/>
  <c r="Q24" i="5"/>
  <c r="AE24" i="5" s="1"/>
  <c r="AS24" i="5" s="1"/>
  <c r="BG24" i="5" s="1"/>
  <c r="BU24" i="5" s="1"/>
  <c r="CI24" i="5" s="1"/>
  <c r="CW24" i="5" s="1"/>
  <c r="DK24" i="5" s="1"/>
  <c r="DY24" i="5" s="1"/>
  <c r="EM24" i="5" s="1"/>
  <c r="FA24" i="5" s="1"/>
  <c r="FO24" i="5" s="1"/>
  <c r="J23" i="5"/>
  <c r="C24" i="5"/>
  <c r="AF168" i="49"/>
  <c r="AF157" i="49" s="1"/>
  <c r="AG169" i="49"/>
  <c r="C57" i="5"/>
  <c r="Q57" i="5"/>
  <c r="AE57" i="5" s="1"/>
  <c r="AS57" i="5" s="1"/>
  <c r="BG57" i="5" s="1"/>
  <c r="BU57" i="5" s="1"/>
  <c r="CI57" i="5" s="1"/>
  <c r="CW57" i="5" s="1"/>
  <c r="DK57" i="5" s="1"/>
  <c r="DY57" i="5" s="1"/>
  <c r="EM57" i="5" s="1"/>
  <c r="FA57" i="5" s="1"/>
  <c r="FO57" i="5" s="1"/>
  <c r="J42" i="62"/>
  <c r="C50" i="68"/>
  <c r="C157" i="49"/>
  <c r="FK21" i="62"/>
  <c r="FJ47" i="62"/>
  <c r="FJ23" i="62"/>
  <c r="FH47" i="62"/>
  <c r="FH23" i="62"/>
  <c r="BC24" i="5"/>
  <c r="BB23" i="5"/>
  <c r="AF565" i="31"/>
  <c r="AG566" i="31"/>
  <c r="AF604" i="49"/>
  <c r="AG605" i="49"/>
  <c r="EF23" i="62"/>
  <c r="EF47" i="62"/>
  <c r="AB391" i="31"/>
  <c r="AB398" i="31" s="1"/>
  <c r="AB481" i="31" s="1"/>
  <c r="AB527" i="31" s="1"/>
  <c r="AB538" i="31" s="1"/>
  <c r="AB387" i="31"/>
  <c r="C78" i="68"/>
  <c r="Q34" i="62"/>
  <c r="AE34" i="62" s="1"/>
  <c r="AS34" i="62" s="1"/>
  <c r="BG34" i="62" s="1"/>
  <c r="BU34" i="62" s="1"/>
  <c r="CI34" i="62" s="1"/>
  <c r="CW34" i="62" s="1"/>
  <c r="DK34" i="62" s="1"/>
  <c r="DY34" i="62" s="1"/>
  <c r="EM34" i="62" s="1"/>
  <c r="FA34" i="62" s="1"/>
  <c r="FO34" i="62" s="1"/>
  <c r="AG99" i="31"/>
  <c r="AF98" i="31"/>
  <c r="T39" i="5"/>
  <c r="AG39" i="5"/>
  <c r="S35" i="5"/>
  <c r="E35" i="5"/>
  <c r="F35" i="5" s="1"/>
  <c r="V609" i="45"/>
  <c r="E28" i="68"/>
  <c r="V360" i="45"/>
  <c r="M35" i="5"/>
  <c r="DR18" i="62"/>
  <c r="DR48" i="62" s="1"/>
  <c r="DR55" i="5"/>
  <c r="BP47" i="5"/>
  <c r="BQ45" i="5"/>
  <c r="S33" i="62"/>
  <c r="E77" i="68"/>
  <c r="G77" i="68" s="1"/>
  <c r="E33" i="62"/>
  <c r="F33" i="62" s="1"/>
  <c r="M33" i="62"/>
  <c r="CD30" i="5"/>
  <c r="CE31" i="5"/>
  <c r="AG169" i="31"/>
  <c r="AF168" i="31"/>
  <c r="Q26" i="5"/>
  <c r="AE26" i="5" s="1"/>
  <c r="AS26" i="5" s="1"/>
  <c r="BG26" i="5" s="1"/>
  <c r="BU26" i="5" s="1"/>
  <c r="CI26" i="5" s="1"/>
  <c r="CW26" i="5" s="1"/>
  <c r="DK26" i="5" s="1"/>
  <c r="DY26" i="5" s="1"/>
  <c r="EM26" i="5" s="1"/>
  <c r="FA26" i="5" s="1"/>
  <c r="FO26" i="5" s="1"/>
  <c r="C26" i="5"/>
  <c r="C19" i="68"/>
  <c r="AG287" i="49"/>
  <c r="AF286" i="49"/>
  <c r="AG488" i="49"/>
  <c r="AF487" i="49"/>
  <c r="C18" i="5"/>
  <c r="Q18" i="5"/>
  <c r="AE18" i="5" s="1"/>
  <c r="AS18" i="5" s="1"/>
  <c r="BG18" i="5" s="1"/>
  <c r="BU18" i="5" s="1"/>
  <c r="CI18" i="5" s="1"/>
  <c r="CW18" i="5" s="1"/>
  <c r="DK18" i="5" s="1"/>
  <c r="DY18" i="5" s="1"/>
  <c r="EM18" i="5" s="1"/>
  <c r="FA18" i="5" s="1"/>
  <c r="FO18" i="5" s="1"/>
  <c r="C11" i="68"/>
  <c r="G72" i="68"/>
  <c r="F72" i="68"/>
  <c r="C27" i="62"/>
  <c r="C71" i="68"/>
  <c r="Q27" i="62"/>
  <c r="AE27" i="62" s="1"/>
  <c r="AS27" i="62" s="1"/>
  <c r="BG27" i="62" s="1"/>
  <c r="BU27" i="62" s="1"/>
  <c r="CI27" i="62" s="1"/>
  <c r="CW27" i="62" s="1"/>
  <c r="DK27" i="62" s="1"/>
  <c r="DY27" i="62" s="1"/>
  <c r="EM27" i="62" s="1"/>
  <c r="FA27" i="62" s="1"/>
  <c r="FO27" i="62" s="1"/>
  <c r="AA45" i="5"/>
  <c r="Z47" i="5"/>
  <c r="E32" i="62"/>
  <c r="F32" i="62" s="1"/>
  <c r="M32" i="62"/>
  <c r="E76" i="68"/>
  <c r="S32" i="62"/>
  <c r="AF557" i="31"/>
  <c r="AG558" i="31"/>
  <c r="M61" i="5"/>
  <c r="S61" i="5"/>
  <c r="E61" i="5"/>
  <c r="F61" i="5" s="1"/>
  <c r="E54" i="68"/>
  <c r="Q30" i="62"/>
  <c r="AE30" i="62" s="1"/>
  <c r="AS30" i="62" s="1"/>
  <c r="BG30" i="62" s="1"/>
  <c r="BU30" i="62" s="1"/>
  <c r="CI30" i="62" s="1"/>
  <c r="CW30" i="62" s="1"/>
  <c r="DK30" i="62" s="1"/>
  <c r="DY30" i="62" s="1"/>
  <c r="EM30" i="62" s="1"/>
  <c r="FA30" i="62" s="1"/>
  <c r="FO30" i="62" s="1"/>
  <c r="C74" i="68"/>
  <c r="CP18" i="62"/>
  <c r="CP48" i="62" s="1"/>
  <c r="CP55" i="5"/>
  <c r="AG239" i="31"/>
  <c r="AF238" i="31"/>
  <c r="AG189" i="31"/>
  <c r="AF188" i="31"/>
  <c r="M16" i="5"/>
  <c r="S16" i="5"/>
  <c r="E16" i="5"/>
  <c r="F16" i="5" s="1"/>
  <c r="E9" i="68"/>
  <c r="AG209" i="49"/>
  <c r="AF208" i="49"/>
  <c r="AG90" i="31"/>
  <c r="AF89" i="31"/>
  <c r="AF482" i="49"/>
  <c r="AG483" i="49"/>
  <c r="AG307" i="49"/>
  <c r="AF306" i="49"/>
  <c r="AE108" i="31"/>
  <c r="C30" i="68"/>
  <c r="Q37" i="5"/>
  <c r="AE37" i="5" s="1"/>
  <c r="AS37" i="5" s="1"/>
  <c r="BG37" i="5" s="1"/>
  <c r="BU37" i="5" s="1"/>
  <c r="CI37" i="5" s="1"/>
  <c r="CW37" i="5" s="1"/>
  <c r="DK37" i="5" s="1"/>
  <c r="DY37" i="5" s="1"/>
  <c r="EM37" i="5" s="1"/>
  <c r="FA37" i="5" s="1"/>
  <c r="FO37" i="5" s="1"/>
  <c r="C37" i="5"/>
  <c r="DJ23" i="5"/>
  <c r="DG23" i="5"/>
  <c r="AF256" i="49"/>
  <c r="AG257" i="49"/>
  <c r="AF487" i="31"/>
  <c r="AG488" i="31"/>
  <c r="AH383" i="31"/>
  <c r="AG382" i="31"/>
  <c r="Q12" i="5"/>
  <c r="AE12" i="5" s="1"/>
  <c r="AS12" i="5" s="1"/>
  <c r="BG12" i="5" s="1"/>
  <c r="BU12" i="5" s="1"/>
  <c r="CI12" i="5" s="1"/>
  <c r="CW12" i="5" s="1"/>
  <c r="DK12" i="5" s="1"/>
  <c r="DY12" i="5" s="1"/>
  <c r="EM12" i="5" s="1"/>
  <c r="FA12" i="5" s="1"/>
  <c r="FO12" i="5" s="1"/>
  <c r="C5" i="68"/>
  <c r="J15" i="5"/>
  <c r="C12" i="5"/>
  <c r="Q28" i="5"/>
  <c r="AE28" i="5" s="1"/>
  <c r="AS28" i="5" s="1"/>
  <c r="BG28" i="5" s="1"/>
  <c r="BU28" i="5" s="1"/>
  <c r="CI28" i="5" s="1"/>
  <c r="CW28" i="5" s="1"/>
  <c r="DK28" i="5" s="1"/>
  <c r="DY28" i="5" s="1"/>
  <c r="EM28" i="5" s="1"/>
  <c r="FA28" i="5" s="1"/>
  <c r="FO28" i="5" s="1"/>
  <c r="C21" i="68"/>
  <c r="AG543" i="49"/>
  <c r="AF542" i="49"/>
  <c r="EV55" i="5"/>
  <c r="EZ55" i="5" s="1"/>
  <c r="EW49" i="5"/>
  <c r="EV18" i="62"/>
  <c r="AP618" i="45"/>
  <c r="EH33" i="5"/>
  <c r="EI34" i="5"/>
  <c r="AN608" i="45"/>
  <c r="AF301" i="49"/>
  <c r="AF313" i="49" s="1"/>
  <c r="AG302" i="49"/>
  <c r="C354" i="49"/>
  <c r="DG29" i="62"/>
  <c r="DJ29" i="62"/>
  <c r="EH23" i="5"/>
  <c r="EH29" i="5" s="1"/>
  <c r="AE518" i="45" s="1"/>
  <c r="EI24" i="5"/>
  <c r="AG605" i="31"/>
  <c r="AF604" i="31"/>
  <c r="AG367" i="31"/>
  <c r="AF366" i="31"/>
  <c r="T156" i="49"/>
  <c r="T300" i="49" s="1"/>
  <c r="T314" i="49" s="1"/>
  <c r="T355" i="49" s="1"/>
  <c r="T376" i="49" s="1"/>
  <c r="AG601" i="49"/>
  <c r="AF600" i="49"/>
  <c r="T27" i="5"/>
  <c r="AG27" i="5"/>
  <c r="AG81" i="49"/>
  <c r="AF80" i="49"/>
  <c r="C14" i="68"/>
  <c r="Q21" i="5"/>
  <c r="AE21" i="5" s="1"/>
  <c r="AS21" i="5" s="1"/>
  <c r="BG21" i="5" s="1"/>
  <c r="BU21" i="5" s="1"/>
  <c r="CI21" i="5" s="1"/>
  <c r="CW21" i="5" s="1"/>
  <c r="DK21" i="5" s="1"/>
  <c r="DY21" i="5" s="1"/>
  <c r="EM21" i="5" s="1"/>
  <c r="FA21" i="5" s="1"/>
  <c r="FO21" i="5" s="1"/>
  <c r="AL47" i="62"/>
  <c r="AL23" i="62"/>
  <c r="AG614" i="31"/>
  <c r="AH615" i="31"/>
  <c r="Q32" i="62"/>
  <c r="AE32" i="62" s="1"/>
  <c r="AS32" i="62" s="1"/>
  <c r="BG32" i="62" s="1"/>
  <c r="BU32" i="62" s="1"/>
  <c r="CI32" i="62" s="1"/>
  <c r="CW32" i="62" s="1"/>
  <c r="DK32" i="62" s="1"/>
  <c r="DY32" i="62" s="1"/>
  <c r="EM32" i="62" s="1"/>
  <c r="FA32" i="62" s="1"/>
  <c r="FO32" i="62" s="1"/>
  <c r="C76" i="68"/>
  <c r="C32" i="62"/>
  <c r="AG532" i="49"/>
  <c r="AF531" i="49"/>
  <c r="C39" i="68"/>
  <c r="Q46" i="5"/>
  <c r="AE46" i="5" s="1"/>
  <c r="AS46" i="5" s="1"/>
  <c r="BG46" i="5" s="1"/>
  <c r="BU46" i="5" s="1"/>
  <c r="CI46" i="5" s="1"/>
  <c r="CW46" i="5" s="1"/>
  <c r="DK46" i="5" s="1"/>
  <c r="DY46" i="5" s="1"/>
  <c r="EM46" i="5" s="1"/>
  <c r="FA46" i="5" s="1"/>
  <c r="FO46" i="5" s="1"/>
  <c r="C46" i="5"/>
  <c r="C33" i="68"/>
  <c r="C40" i="5"/>
  <c r="Q40" i="5"/>
  <c r="AE40" i="5" s="1"/>
  <c r="AS40" i="5" s="1"/>
  <c r="BG40" i="5" s="1"/>
  <c r="BU40" i="5" s="1"/>
  <c r="CI40" i="5" s="1"/>
  <c r="CW40" i="5" s="1"/>
  <c r="DK40" i="5" s="1"/>
  <c r="DY40" i="5" s="1"/>
  <c r="EM40" i="5" s="1"/>
  <c r="FA40" i="5" s="1"/>
  <c r="FO40" i="5" s="1"/>
  <c r="E30" i="62"/>
  <c r="F30" i="62" s="1"/>
  <c r="S30" i="62"/>
  <c r="E74" i="68"/>
  <c r="M30" i="62"/>
  <c r="CS34" i="5"/>
  <c r="AH608" i="45"/>
  <c r="CR33" i="5"/>
  <c r="AB608" i="45"/>
  <c r="BB33" i="5"/>
  <c r="BC34" i="5"/>
  <c r="AF153" i="49"/>
  <c r="AG154" i="49"/>
  <c r="L44" i="62"/>
  <c r="E53" i="5"/>
  <c r="F53" i="5" s="1"/>
  <c r="E46" i="68"/>
  <c r="M53" i="5"/>
  <c r="S53" i="5"/>
  <c r="EW31" i="5"/>
  <c r="EV30" i="5"/>
  <c r="C25" i="68"/>
  <c r="Q32" i="5"/>
  <c r="AE32" i="5" s="1"/>
  <c r="AS32" i="5" s="1"/>
  <c r="BG32" i="5" s="1"/>
  <c r="BU32" i="5" s="1"/>
  <c r="CI32" i="5" s="1"/>
  <c r="CW32" i="5" s="1"/>
  <c r="DK32" i="5" s="1"/>
  <c r="DY32" i="5" s="1"/>
  <c r="EM32" i="5" s="1"/>
  <c r="FA32" i="5" s="1"/>
  <c r="FO32" i="5" s="1"/>
  <c r="C32" i="5"/>
  <c r="Q34" i="5"/>
  <c r="AE34" i="5" s="1"/>
  <c r="AS34" i="5" s="1"/>
  <c r="BG34" i="5" s="1"/>
  <c r="BU34" i="5" s="1"/>
  <c r="CI34" i="5" s="1"/>
  <c r="CW34" i="5" s="1"/>
  <c r="DK34" i="5" s="1"/>
  <c r="DY34" i="5" s="1"/>
  <c r="J33" i="5"/>
  <c r="C27" i="68"/>
  <c r="C34" i="5"/>
  <c r="AG394" i="49"/>
  <c r="AF393" i="49"/>
  <c r="Z156" i="31"/>
  <c r="Z300" i="31" s="1"/>
  <c r="Z314" i="31" s="1"/>
  <c r="Z355" i="31" s="1"/>
  <c r="Z376" i="31" s="1"/>
  <c r="O156" i="31"/>
  <c r="O300" i="31" s="1"/>
  <c r="O314" i="31" s="1"/>
  <c r="O355" i="31" s="1"/>
  <c r="O376" i="31" s="1"/>
  <c r="EM34" i="5"/>
  <c r="FA34" i="5" s="1"/>
  <c r="FO34" i="5" s="1"/>
  <c r="EF33" i="5"/>
  <c r="EF44" i="5" s="1"/>
  <c r="EL22" i="5"/>
  <c r="X18" i="62"/>
  <c r="X48" i="62" s="1"/>
  <c r="X55" i="5"/>
  <c r="CH23" i="5"/>
  <c r="CE23" i="5"/>
  <c r="S43" i="5"/>
  <c r="V368" i="45"/>
  <c r="E36" i="68"/>
  <c r="G36" i="68" s="1"/>
  <c r="V617" i="45"/>
  <c r="M43" i="5"/>
  <c r="E43" i="5"/>
  <c r="F43" i="5" s="1"/>
  <c r="Q25" i="5"/>
  <c r="AE25" i="5" s="1"/>
  <c r="AS25" i="5" s="1"/>
  <c r="BG25" i="5" s="1"/>
  <c r="BU25" i="5" s="1"/>
  <c r="CI25" i="5" s="1"/>
  <c r="CW25" i="5" s="1"/>
  <c r="DK25" i="5" s="1"/>
  <c r="DY25" i="5" s="1"/>
  <c r="EM25" i="5" s="1"/>
  <c r="FA25" i="5" s="1"/>
  <c r="FO25" i="5" s="1"/>
  <c r="C18" i="68"/>
  <c r="C25" i="5"/>
  <c r="AH239" i="49"/>
  <c r="AG238" i="49"/>
  <c r="C19" i="5"/>
  <c r="Q19" i="5"/>
  <c r="AE19" i="5" s="1"/>
  <c r="AS19" i="5" s="1"/>
  <c r="BG19" i="5" s="1"/>
  <c r="BU19" i="5" s="1"/>
  <c r="CI19" i="5" s="1"/>
  <c r="CW19" i="5" s="1"/>
  <c r="DK19" i="5" s="1"/>
  <c r="DY19" i="5" s="1"/>
  <c r="EM19" i="5" s="1"/>
  <c r="FA19" i="5" s="1"/>
  <c r="FO19" i="5" s="1"/>
  <c r="C12" i="68"/>
  <c r="AF98" i="49"/>
  <c r="AG99" i="49"/>
  <c r="AB618" i="45"/>
  <c r="BB55" i="5"/>
  <c r="BB18" i="62"/>
  <c r="BC49" i="5"/>
  <c r="AF561" i="31"/>
  <c r="AG562" i="31"/>
  <c r="X156" i="31"/>
  <c r="X300" i="31" s="1"/>
  <c r="X314" i="31" s="1"/>
  <c r="X355" i="31" s="1"/>
  <c r="X376" i="31" s="1"/>
  <c r="DU34" i="5"/>
  <c r="AL608" i="45"/>
  <c r="DT33" i="5"/>
  <c r="S28" i="5"/>
  <c r="E21" i="68"/>
  <c r="E28" i="5"/>
  <c r="F28" i="5" s="1"/>
  <c r="M28" i="5"/>
  <c r="EW29" i="62"/>
  <c r="EZ29" i="62"/>
  <c r="BQ33" i="5"/>
  <c r="BT33" i="5"/>
  <c r="FN29" i="62"/>
  <c r="CS47" i="5"/>
  <c r="CV47" i="5"/>
  <c r="CD29" i="5"/>
  <c r="AA518" i="45" s="1"/>
  <c r="AA516" i="45" s="1"/>
  <c r="CH22" i="5"/>
  <c r="M3" i="12" s="1"/>
  <c r="AH129" i="31"/>
  <c r="AG127" i="31"/>
  <c r="C429" i="31"/>
  <c r="L24" i="62"/>
  <c r="BN47" i="62"/>
  <c r="BN23" i="62"/>
  <c r="C33" i="62"/>
  <c r="C77" i="68"/>
  <c r="F77" i="68" s="1"/>
  <c r="Q33" i="62"/>
  <c r="AE33" i="62" s="1"/>
  <c r="AS33" i="62" s="1"/>
  <c r="BG33" i="62" s="1"/>
  <c r="BU33" i="62" s="1"/>
  <c r="CI33" i="62" s="1"/>
  <c r="CW33" i="62" s="1"/>
  <c r="DK33" i="62" s="1"/>
  <c r="DY33" i="62" s="1"/>
  <c r="EM33" i="62" s="1"/>
  <c r="FA33" i="62" s="1"/>
  <c r="FO33" i="62" s="1"/>
  <c r="C38" i="5"/>
  <c r="Q38" i="5"/>
  <c r="AE38" i="5" s="1"/>
  <c r="AS38" i="5" s="1"/>
  <c r="BG38" i="5" s="1"/>
  <c r="BU38" i="5" s="1"/>
  <c r="CI38" i="5" s="1"/>
  <c r="CW38" i="5" s="1"/>
  <c r="DK38" i="5" s="1"/>
  <c r="DY38" i="5" s="1"/>
  <c r="EM38" i="5" s="1"/>
  <c r="FA38" i="5" s="1"/>
  <c r="FO38" i="5" s="1"/>
  <c r="C31" i="68"/>
  <c r="Q16" i="5"/>
  <c r="AE16" i="5" s="1"/>
  <c r="AS16" i="5" s="1"/>
  <c r="BG16" i="5" s="1"/>
  <c r="BU16" i="5" s="1"/>
  <c r="CI16" i="5" s="1"/>
  <c r="CW16" i="5" s="1"/>
  <c r="DK16" i="5" s="1"/>
  <c r="DY16" i="5" s="1"/>
  <c r="EM16" i="5" s="1"/>
  <c r="FA16" i="5" s="1"/>
  <c r="FO16" i="5" s="1"/>
  <c r="C9" i="68"/>
  <c r="BN18" i="62"/>
  <c r="BN48" i="62" s="1"/>
  <c r="BN55" i="5"/>
  <c r="C26" i="62"/>
  <c r="Q26" i="62"/>
  <c r="AE26" i="62" s="1"/>
  <c r="AS26" i="62" s="1"/>
  <c r="BG26" i="62" s="1"/>
  <c r="BU26" i="62" s="1"/>
  <c r="CI26" i="62" s="1"/>
  <c r="CW26" i="62" s="1"/>
  <c r="DK26" i="62" s="1"/>
  <c r="DY26" i="62" s="1"/>
  <c r="EM26" i="62" s="1"/>
  <c r="FA26" i="62" s="1"/>
  <c r="FO26" i="62" s="1"/>
  <c r="C70" i="68"/>
  <c r="Q51" i="5"/>
  <c r="AE51" i="5" s="1"/>
  <c r="AS51" i="5" s="1"/>
  <c r="BG51" i="5" s="1"/>
  <c r="BU51" i="5" s="1"/>
  <c r="CI51" i="5" s="1"/>
  <c r="CW51" i="5" s="1"/>
  <c r="DK51" i="5" s="1"/>
  <c r="DY51" i="5" s="1"/>
  <c r="EM51" i="5" s="1"/>
  <c r="FA51" i="5" s="1"/>
  <c r="FO51" i="5" s="1"/>
  <c r="C51" i="5"/>
  <c r="C44" i="68"/>
  <c r="J43" i="62"/>
  <c r="AG421" i="49"/>
  <c r="AF416" i="49"/>
  <c r="CS24" i="5"/>
  <c r="CR23" i="5"/>
  <c r="AG443" i="31"/>
  <c r="AF442" i="31"/>
  <c r="Q54" i="5"/>
  <c r="AE54" i="5" s="1"/>
  <c r="AS54" i="5" s="1"/>
  <c r="BG54" i="5" s="1"/>
  <c r="BU54" i="5" s="1"/>
  <c r="CI54" i="5" s="1"/>
  <c r="CW54" i="5" s="1"/>
  <c r="DK54" i="5" s="1"/>
  <c r="DY54" i="5" s="1"/>
  <c r="EM54" i="5" s="1"/>
  <c r="FA54" i="5" s="1"/>
  <c r="FO54" i="5" s="1"/>
  <c r="C47" i="68"/>
  <c r="C54" i="5"/>
  <c r="J55" i="5"/>
  <c r="EW33" i="5"/>
  <c r="EZ33" i="5"/>
  <c r="AG460" i="31"/>
  <c r="AF459" i="31"/>
  <c r="C392" i="31"/>
  <c r="G399" i="31"/>
  <c r="EF18" i="62"/>
  <c r="EF48" i="62" s="1"/>
  <c r="EF55" i="5"/>
  <c r="AG554" i="49"/>
  <c r="AF553" i="49"/>
  <c r="AG81" i="31"/>
  <c r="AF80" i="31"/>
  <c r="AH470" i="31"/>
  <c r="AG469" i="31"/>
  <c r="AF219" i="49"/>
  <c r="AG220" i="49"/>
  <c r="E54" i="5"/>
  <c r="S54" i="5"/>
  <c r="M54" i="5"/>
  <c r="E47" i="68"/>
  <c r="L55" i="5"/>
  <c r="AG443" i="49"/>
  <c r="AF442" i="49"/>
  <c r="AL44" i="5"/>
  <c r="AL56" i="5" s="1"/>
  <c r="AL29" i="5"/>
  <c r="AL48" i="5" s="1"/>
  <c r="AF328" i="49"/>
  <c r="AG329" i="49"/>
  <c r="AG341" i="49"/>
  <c r="AF340" i="49"/>
  <c r="BQ31" i="5"/>
  <c r="BP30" i="5"/>
  <c r="AE157" i="49"/>
  <c r="ET23" i="62"/>
  <c r="ET47" i="62"/>
  <c r="S27" i="62"/>
  <c r="E27" i="62"/>
  <c r="F27" i="62" s="1"/>
  <c r="M27" i="62"/>
  <c r="E71" i="68"/>
  <c r="AF321" i="49"/>
  <c r="AG322" i="49"/>
  <c r="DR44" i="5"/>
  <c r="DR29" i="5"/>
  <c r="DR48" i="5" s="1"/>
  <c r="AG145" i="49"/>
  <c r="AF144" i="49"/>
  <c r="AF506" i="49"/>
  <c r="AG507" i="49"/>
  <c r="C28" i="68"/>
  <c r="C35" i="5"/>
  <c r="Q35" i="5"/>
  <c r="AE35" i="5" s="1"/>
  <c r="AS35" i="5" s="1"/>
  <c r="BG35" i="5" s="1"/>
  <c r="BU35" i="5" s="1"/>
  <c r="CI35" i="5" s="1"/>
  <c r="CW35" i="5" s="1"/>
  <c r="DK35" i="5" s="1"/>
  <c r="DY35" i="5" s="1"/>
  <c r="EM35" i="5" s="1"/>
  <c r="FA35" i="5" s="1"/>
  <c r="FO35" i="5" s="1"/>
  <c r="AA21" i="62"/>
  <c r="Z47" i="62"/>
  <c r="Z23" i="62"/>
  <c r="AE157" i="31"/>
  <c r="AZ23" i="62"/>
  <c r="AZ47" i="62"/>
  <c r="AG110" i="31"/>
  <c r="AF109" i="31"/>
  <c r="FN22" i="5"/>
  <c r="Y3" i="12" s="1"/>
  <c r="FJ29" i="5"/>
  <c r="U300" i="49"/>
  <c r="U314" i="49" s="1"/>
  <c r="U355" i="49" s="1"/>
  <c r="U376" i="49" s="1"/>
  <c r="AG340" i="31"/>
  <c r="AH341" i="31"/>
  <c r="AD355" i="31"/>
  <c r="AD376" i="31" s="1"/>
  <c r="N156" i="49"/>
  <c r="N300" i="49" s="1"/>
  <c r="N314" i="49" s="1"/>
  <c r="N355" i="49" s="1"/>
  <c r="N376" i="49" s="1"/>
  <c r="J156" i="31"/>
  <c r="J300" i="31" s="1"/>
  <c r="J314" i="31" s="1"/>
  <c r="J355" i="31" s="1"/>
  <c r="J376" i="31" s="1"/>
  <c r="AG460" i="49"/>
  <c r="AF459" i="49"/>
  <c r="V612" i="45"/>
  <c r="E38" i="5"/>
  <c r="F38" i="5" s="1"/>
  <c r="M38" i="5"/>
  <c r="S38" i="5"/>
  <c r="E31" i="68"/>
  <c r="V363" i="45"/>
  <c r="EI21" i="62"/>
  <c r="EH23" i="62"/>
  <c r="EH47" i="62"/>
  <c r="G399" i="49"/>
  <c r="C392" i="49"/>
  <c r="P156" i="49"/>
  <c r="P300" i="49" s="1"/>
  <c r="P314" i="49" s="1"/>
  <c r="P355" i="49" s="1"/>
  <c r="P376" i="49" s="1"/>
  <c r="K300" i="31"/>
  <c r="K314" i="31" s="1"/>
  <c r="K355" i="31" s="1"/>
  <c r="K376" i="31" s="1"/>
  <c r="L156" i="31"/>
  <c r="L300" i="31" s="1"/>
  <c r="L314" i="31" s="1"/>
  <c r="L355" i="31" s="1"/>
  <c r="L376" i="31" s="1"/>
  <c r="Q27" i="5"/>
  <c r="AE27" i="5" s="1"/>
  <c r="AS27" i="5" s="1"/>
  <c r="BG27" i="5" s="1"/>
  <c r="BU27" i="5" s="1"/>
  <c r="CI27" i="5" s="1"/>
  <c r="CW27" i="5" s="1"/>
  <c r="DK27" i="5" s="1"/>
  <c r="DY27" i="5" s="1"/>
  <c r="EM27" i="5" s="1"/>
  <c r="FA27" i="5" s="1"/>
  <c r="FO27" i="5" s="1"/>
  <c r="C20" i="68"/>
  <c r="C27" i="5"/>
  <c r="FN47" i="5"/>
  <c r="G20" i="68"/>
  <c r="F20" i="68"/>
  <c r="S13" i="5"/>
  <c r="M13" i="5"/>
  <c r="E13" i="5"/>
  <c r="F13" i="5" s="1"/>
  <c r="E6" i="68"/>
  <c r="G6" i="68" s="1"/>
  <c r="DD47" i="62"/>
  <c r="DD23" i="62"/>
  <c r="M24" i="5"/>
  <c r="L23" i="5"/>
  <c r="E24" i="5"/>
  <c r="E17" i="68"/>
  <c r="S24" i="5"/>
  <c r="AF71" i="31"/>
  <c r="AG72" i="31"/>
  <c r="AF228" i="31"/>
  <c r="AG229" i="31"/>
  <c r="AE392" i="49"/>
  <c r="AE399" i="49" s="1"/>
  <c r="AE354" i="49"/>
  <c r="AE177" i="31"/>
  <c r="E29" i="68"/>
  <c r="G29" i="68" s="1"/>
  <c r="M36" i="5"/>
  <c r="V361" i="45"/>
  <c r="V610" i="45"/>
  <c r="S36" i="5"/>
  <c r="E36" i="5"/>
  <c r="F36" i="5" s="1"/>
  <c r="DX22" i="5"/>
  <c r="S3" i="12" s="1"/>
  <c r="M42" i="5"/>
  <c r="V367" i="45"/>
  <c r="V616" i="45"/>
  <c r="E35" i="68"/>
  <c r="S42" i="5"/>
  <c r="E42" i="5"/>
  <c r="F42" i="5" s="1"/>
  <c r="M21" i="5"/>
  <c r="E21" i="5"/>
  <c r="F21" i="5" s="1"/>
  <c r="S21" i="5"/>
  <c r="E14" i="68"/>
  <c r="V156" i="49"/>
  <c r="V300" i="49" s="1"/>
  <c r="V314" i="49" s="1"/>
  <c r="V355" i="49" s="1"/>
  <c r="V376" i="49" s="1"/>
  <c r="AG378" i="31"/>
  <c r="AF377" i="31"/>
  <c r="BC21" i="62"/>
  <c r="BB23" i="62"/>
  <c r="BB47" i="62"/>
  <c r="AF531" i="31"/>
  <c r="AG532" i="31"/>
  <c r="AE46" i="31"/>
  <c r="AE107" i="31" s="1"/>
  <c r="AE156" i="31" s="1"/>
  <c r="FH44" i="5"/>
  <c r="FH29" i="5"/>
  <c r="FH48" i="5" s="1"/>
  <c r="E11" i="68"/>
  <c r="G11" i="68" s="1"/>
  <c r="S18" i="5"/>
  <c r="M18" i="5"/>
  <c r="E18" i="5"/>
  <c r="F18" i="5" s="1"/>
  <c r="AG477" i="31"/>
  <c r="AF476" i="31"/>
  <c r="AF435" i="49"/>
  <c r="AE429" i="49"/>
  <c r="AF435" i="31"/>
  <c r="AE429" i="31"/>
  <c r="DU24" i="5"/>
  <c r="DT23" i="5"/>
  <c r="C46" i="68"/>
  <c r="J44" i="62"/>
  <c r="C53" i="5"/>
  <c r="Q53" i="5"/>
  <c r="AE53" i="5" s="1"/>
  <c r="AS53" i="5" s="1"/>
  <c r="BG53" i="5" s="1"/>
  <c r="BU53" i="5" s="1"/>
  <c r="CI53" i="5" s="1"/>
  <c r="CW53" i="5" s="1"/>
  <c r="DK53" i="5" s="1"/>
  <c r="DY53" i="5" s="1"/>
  <c r="EM53" i="5" s="1"/>
  <c r="FA53" i="5" s="1"/>
  <c r="FO53" i="5" s="1"/>
  <c r="DU31" i="5"/>
  <c r="DT30" i="5"/>
  <c r="AF482" i="31"/>
  <c r="AG483" i="31"/>
  <c r="AR618" i="45"/>
  <c r="FK49" i="5"/>
  <c r="FJ55" i="5"/>
  <c r="FN55" i="5" s="1"/>
  <c r="FJ18" i="62"/>
  <c r="FH18" i="62"/>
  <c r="FH48" i="62" s="1"/>
  <c r="FH55" i="5"/>
  <c r="Q50" i="5"/>
  <c r="AE50" i="5" s="1"/>
  <c r="AS50" i="5" s="1"/>
  <c r="BG50" i="5" s="1"/>
  <c r="BU50" i="5" s="1"/>
  <c r="CI50" i="5" s="1"/>
  <c r="CW50" i="5" s="1"/>
  <c r="DK50" i="5" s="1"/>
  <c r="DY50" i="5" s="1"/>
  <c r="EM50" i="5" s="1"/>
  <c r="FA50" i="5" s="1"/>
  <c r="FO50" i="5" s="1"/>
  <c r="C43" i="68"/>
  <c r="M22" i="62"/>
  <c r="E66" i="68"/>
  <c r="G66" i="68" s="1"/>
  <c r="S22" i="62"/>
  <c r="E22" i="62"/>
  <c r="F22" i="62" s="1"/>
  <c r="AO45" i="5"/>
  <c r="AN47" i="5"/>
  <c r="AF286" i="31"/>
  <c r="AG287" i="31"/>
  <c r="M49" i="5"/>
  <c r="W461" i="45"/>
  <c r="E49" i="5"/>
  <c r="V369" i="45"/>
  <c r="L18" i="62"/>
  <c r="V461" i="45"/>
  <c r="AA411" i="45"/>
  <c r="Z411" i="45"/>
  <c r="V618" i="45"/>
  <c r="S49" i="5"/>
  <c r="E42" i="68"/>
  <c r="AF557" i="49"/>
  <c r="AG558" i="49"/>
  <c r="AF26" i="49"/>
  <c r="AF46" i="49" s="1"/>
  <c r="AG27" i="49"/>
  <c r="AG63" i="31"/>
  <c r="AF62" i="31"/>
  <c r="AA24" i="5"/>
  <c r="Z23" i="5"/>
  <c r="G32" i="68"/>
  <c r="C10" i="68"/>
  <c r="Q17" i="5"/>
  <c r="AE17" i="5" s="1"/>
  <c r="AS17" i="5" s="1"/>
  <c r="BG17" i="5" s="1"/>
  <c r="BU17" i="5" s="1"/>
  <c r="CI17" i="5" s="1"/>
  <c r="CW17" i="5" s="1"/>
  <c r="DK17" i="5" s="1"/>
  <c r="DY17" i="5" s="1"/>
  <c r="EM17" i="5" s="1"/>
  <c r="FA17" i="5" s="1"/>
  <c r="FO17" i="5" s="1"/>
  <c r="C17" i="5"/>
  <c r="DU29" i="62"/>
  <c r="DX29" i="62"/>
  <c r="K355" i="49"/>
  <c r="K376" i="49" s="1"/>
  <c r="H156" i="49"/>
  <c r="H300" i="49" s="1"/>
  <c r="H314" i="49" s="1"/>
  <c r="H355" i="49" s="1"/>
  <c r="H376" i="49" s="1"/>
  <c r="M50" i="5"/>
  <c r="E43" i="68"/>
  <c r="S50" i="5"/>
  <c r="E50" i="5"/>
  <c r="F50" i="5" s="1"/>
  <c r="BP47" i="62"/>
  <c r="BP23" i="62"/>
  <c r="BQ21" i="62"/>
  <c r="C20" i="5"/>
  <c r="C13" i="68"/>
  <c r="Q20" i="5"/>
  <c r="AE20" i="5" s="1"/>
  <c r="AS20" i="5" s="1"/>
  <c r="BG20" i="5" s="1"/>
  <c r="BU20" i="5" s="1"/>
  <c r="CI20" i="5" s="1"/>
  <c r="CW20" i="5" s="1"/>
  <c r="DK20" i="5" s="1"/>
  <c r="DY20" i="5" s="1"/>
  <c r="EM20" i="5" s="1"/>
  <c r="FA20" i="5" s="1"/>
  <c r="FO20" i="5" s="1"/>
  <c r="C32" i="68"/>
  <c r="F32" i="68" s="1"/>
  <c r="Q39" i="5"/>
  <c r="AE39" i="5" s="1"/>
  <c r="AS39" i="5" s="1"/>
  <c r="BG39" i="5" s="1"/>
  <c r="BU39" i="5" s="1"/>
  <c r="CI39" i="5" s="1"/>
  <c r="CW39" i="5" s="1"/>
  <c r="DK39" i="5" s="1"/>
  <c r="DY39" i="5" s="1"/>
  <c r="EM39" i="5" s="1"/>
  <c r="FA39" i="5" s="1"/>
  <c r="FO39" i="5" s="1"/>
  <c r="C14" i="5"/>
  <c r="C7" i="68"/>
  <c r="Q14" i="5"/>
  <c r="AE14" i="5" s="1"/>
  <c r="AS14" i="5" s="1"/>
  <c r="BG14" i="5" s="1"/>
  <c r="BU14" i="5" s="1"/>
  <c r="CI14" i="5" s="1"/>
  <c r="CW14" i="5" s="1"/>
  <c r="DK14" i="5" s="1"/>
  <c r="DY14" i="5" s="1"/>
  <c r="EM14" i="5" s="1"/>
  <c r="FA14" i="5" s="1"/>
  <c r="FO14" i="5" s="1"/>
  <c r="AE108" i="49"/>
  <c r="AE156" i="49" s="1"/>
  <c r="AF267" i="31"/>
  <c r="AG268" i="31"/>
  <c r="E19" i="68"/>
  <c r="S26" i="5"/>
  <c r="M26" i="5"/>
  <c r="AG566" i="49"/>
  <c r="AF565" i="49"/>
  <c r="AG357" i="31"/>
  <c r="AF356" i="31"/>
  <c r="ET55" i="5"/>
  <c r="ET18" i="62"/>
  <c r="ET48" i="62" s="1"/>
  <c r="CE21" i="62"/>
  <c r="CD23" i="62"/>
  <c r="CD47" i="62"/>
  <c r="AG421" i="31"/>
  <c r="AF416" i="31"/>
  <c r="AE392" i="31"/>
  <c r="AE399" i="31" s="1"/>
  <c r="AE354" i="31"/>
  <c r="CP47" i="62"/>
  <c r="CP23" i="62"/>
  <c r="AO55" i="5"/>
  <c r="AR55" i="5"/>
  <c r="Z18" i="62"/>
  <c r="AA49" i="5"/>
  <c r="Z55" i="5"/>
  <c r="X618" i="45"/>
  <c r="AG145" i="31"/>
  <c r="AF144" i="31"/>
  <c r="AG585" i="31"/>
  <c r="AF584" i="31"/>
  <c r="AG27" i="31"/>
  <c r="AF26" i="31"/>
  <c r="AG159" i="31"/>
  <c r="AF158" i="31"/>
  <c r="AF157" i="31" s="1"/>
  <c r="AN23" i="62"/>
  <c r="AO21" i="62"/>
  <c r="AN47" i="62"/>
  <c r="G33" i="68"/>
  <c r="F33" i="68"/>
  <c r="C41" i="5"/>
  <c r="Q41" i="5"/>
  <c r="AE41" i="5" s="1"/>
  <c r="AS41" i="5" s="1"/>
  <c r="BG41" i="5" s="1"/>
  <c r="BU41" i="5" s="1"/>
  <c r="CI41" i="5" s="1"/>
  <c r="CW41" i="5" s="1"/>
  <c r="DK41" i="5" s="1"/>
  <c r="DY41" i="5" s="1"/>
  <c r="EM41" i="5" s="1"/>
  <c r="FA41" i="5" s="1"/>
  <c r="FO41" i="5" s="1"/>
  <c r="C34" i="68"/>
  <c r="AG394" i="31"/>
  <c r="AF393" i="31"/>
  <c r="C51" i="68"/>
  <c r="C58" i="5"/>
  <c r="Q58" i="5"/>
  <c r="AE58" i="5" s="1"/>
  <c r="AS58" i="5" s="1"/>
  <c r="BG58" i="5" s="1"/>
  <c r="BU58" i="5" s="1"/>
  <c r="CI58" i="5" s="1"/>
  <c r="CW58" i="5" s="1"/>
  <c r="DK58" i="5" s="1"/>
  <c r="DY58" i="5" s="1"/>
  <c r="EM58" i="5" s="1"/>
  <c r="AP608" i="45"/>
  <c r="EW34" i="5"/>
  <c r="N355" i="31"/>
  <c r="N376" i="31" s="1"/>
  <c r="G107" i="49"/>
  <c r="C46" i="49"/>
  <c r="C53" i="68"/>
  <c r="Q60" i="5"/>
  <c r="AE60" i="5" s="1"/>
  <c r="AS60" i="5" s="1"/>
  <c r="BG60" i="5" s="1"/>
  <c r="BU60" i="5" s="1"/>
  <c r="CI60" i="5" s="1"/>
  <c r="CW60" i="5" s="1"/>
  <c r="DK60" i="5" s="1"/>
  <c r="DY60" i="5" s="1"/>
  <c r="EM60" i="5" s="1"/>
  <c r="FA60" i="5" s="1"/>
  <c r="FO60" i="5" s="1"/>
  <c r="CB23" i="62"/>
  <c r="CB47" i="62"/>
  <c r="DD29" i="5"/>
  <c r="DD48" i="5" s="1"/>
  <c r="C35" i="68"/>
  <c r="Q42" i="5"/>
  <c r="AE42" i="5" s="1"/>
  <c r="AS42" i="5" s="1"/>
  <c r="BG42" i="5" s="1"/>
  <c r="BU42" i="5" s="1"/>
  <c r="CI42" i="5" s="1"/>
  <c r="CW42" i="5" s="1"/>
  <c r="DK42" i="5" s="1"/>
  <c r="DY42" i="5" s="1"/>
  <c r="EM42" i="5" s="1"/>
  <c r="FA42" i="5" s="1"/>
  <c r="FO42" i="5" s="1"/>
  <c r="C42" i="5"/>
  <c r="EV47" i="62"/>
  <c r="EV23" i="62"/>
  <c r="EW21" i="62"/>
  <c r="BF22" i="5"/>
  <c r="I3" i="12" s="1"/>
  <c r="BB29" i="5"/>
  <c r="Y518" i="45" s="1"/>
  <c r="BC29" i="62"/>
  <c r="BF29" i="62"/>
  <c r="AG470" i="49"/>
  <c r="AF469" i="49"/>
  <c r="J18" i="62"/>
  <c r="C42" i="68"/>
  <c r="C49" i="5"/>
  <c r="C18" i="62" s="1"/>
  <c r="C48" i="62" s="1"/>
  <c r="Q49" i="5"/>
  <c r="AE49" i="5" s="1"/>
  <c r="AS49" i="5" s="1"/>
  <c r="BG49" i="5" s="1"/>
  <c r="BU49" i="5" s="1"/>
  <c r="CI49" i="5" s="1"/>
  <c r="CW49" i="5" s="1"/>
  <c r="DK49" i="5" s="1"/>
  <c r="DY49" i="5" s="1"/>
  <c r="EM49" i="5" s="1"/>
  <c r="FA49" i="5" s="1"/>
  <c r="FO49" i="5" s="1"/>
  <c r="EF29" i="5"/>
  <c r="EF48" i="5" s="1"/>
  <c r="S34" i="5"/>
  <c r="V608" i="45"/>
  <c r="V359" i="45"/>
  <c r="E34" i="5"/>
  <c r="E27" i="68"/>
  <c r="L33" i="5"/>
  <c r="M34" i="5"/>
  <c r="AG209" i="31"/>
  <c r="AF208" i="31"/>
  <c r="CV29" i="62"/>
  <c r="CS29" i="62"/>
  <c r="AA31" i="5"/>
  <c r="Z30" i="5"/>
  <c r="BQ24" i="5"/>
  <c r="BP23" i="5"/>
  <c r="BP44" i="5" s="1"/>
  <c r="AH570" i="31"/>
  <c r="AG569" i="31"/>
  <c r="Y300" i="49"/>
  <c r="Y314" i="49" s="1"/>
  <c r="Y355" i="49" s="1"/>
  <c r="Y376" i="49" s="1"/>
  <c r="J29" i="62"/>
  <c r="AA33" i="5"/>
  <c r="AD33" i="5"/>
  <c r="E24" i="68"/>
  <c r="G24" i="68" s="1"/>
  <c r="S31" i="5"/>
  <c r="T31" i="5" s="1"/>
  <c r="L30" i="5"/>
  <c r="M31" i="5"/>
  <c r="E31" i="5"/>
  <c r="DD18" i="62"/>
  <c r="DD48" i="62" s="1"/>
  <c r="DD55" i="5"/>
  <c r="S20" i="5"/>
  <c r="M20" i="5"/>
  <c r="E13" i="68"/>
  <c r="E20" i="5"/>
  <c r="F20" i="5" s="1"/>
  <c r="AF256" i="31"/>
  <c r="AG257" i="31"/>
  <c r="E5" i="68"/>
  <c r="F5" i="68" s="1"/>
  <c r="S12" i="5"/>
  <c r="AG12" i="5" s="1"/>
  <c r="AU12" i="5" s="1"/>
  <c r="BI12" i="5" s="1"/>
  <c r="BW12" i="5" s="1"/>
  <c r="CK12" i="5" s="1"/>
  <c r="CY12" i="5" s="1"/>
  <c r="E12" i="5"/>
  <c r="L15" i="5"/>
  <c r="AF333" i="49"/>
  <c r="AG334" i="49"/>
  <c r="AH36" i="49"/>
  <c r="AG35" i="49"/>
  <c r="AG154" i="31"/>
  <c r="AF153" i="31"/>
  <c r="AJ608" i="45"/>
  <c r="DG34" i="5"/>
  <c r="DF33" i="5"/>
  <c r="AG367" i="49"/>
  <c r="AF366" i="49"/>
  <c r="W156" i="31"/>
  <c r="W300" i="31" s="1"/>
  <c r="W314" i="31" s="1"/>
  <c r="W355" i="31" s="1"/>
  <c r="W376" i="31" s="1"/>
  <c r="DF47" i="5"/>
  <c r="DG45" i="5"/>
  <c r="AA29" i="62"/>
  <c r="AD29" i="62"/>
  <c r="DT47" i="62"/>
  <c r="DT23" i="62"/>
  <c r="DU21" i="62"/>
  <c r="AF306" i="31"/>
  <c r="AG307" i="31"/>
  <c r="E44" i="68"/>
  <c r="G44" i="68" s="1"/>
  <c r="S51" i="5"/>
  <c r="L43" i="62"/>
  <c r="E51" i="5"/>
  <c r="M51" i="5"/>
  <c r="E45" i="68"/>
  <c r="M52" i="5"/>
  <c r="E52" i="5"/>
  <c r="F52" i="5" s="1"/>
  <c r="S52" i="5"/>
  <c r="S25" i="5"/>
  <c r="E25" i="5"/>
  <c r="F25" i="5" s="1"/>
  <c r="M25" i="5"/>
  <c r="E18" i="68"/>
  <c r="AF609" i="31"/>
  <c r="AG610" i="31"/>
  <c r="AG294" i="49"/>
  <c r="AF293" i="49"/>
  <c r="C22" i="62"/>
  <c r="Q22" i="62"/>
  <c r="AE22" i="62" s="1"/>
  <c r="AS22" i="62" s="1"/>
  <c r="BG22" i="62" s="1"/>
  <c r="BU22" i="62" s="1"/>
  <c r="CI22" i="62" s="1"/>
  <c r="CW22" i="62" s="1"/>
  <c r="DK22" i="62" s="1"/>
  <c r="DY22" i="62" s="1"/>
  <c r="EM22" i="62" s="1"/>
  <c r="FA22" i="62" s="1"/>
  <c r="FO22" i="62" s="1"/>
  <c r="C66" i="68"/>
  <c r="C177" i="49"/>
  <c r="E34" i="62"/>
  <c r="F34" i="62" s="1"/>
  <c r="S34" i="62"/>
  <c r="E78" i="68"/>
  <c r="M34" i="62"/>
  <c r="AG316" i="49"/>
  <c r="AF315" i="49"/>
  <c r="Q156" i="31"/>
  <c r="Q300" i="31" s="1"/>
  <c r="Q314" i="31" s="1"/>
  <c r="Q355" i="31" s="1"/>
  <c r="Q376" i="31" s="1"/>
  <c r="AG179" i="31"/>
  <c r="AF178" i="31"/>
  <c r="AD156" i="49"/>
  <c r="AD300" i="49" s="1"/>
  <c r="AD314" i="49" s="1"/>
  <c r="AD355" i="49" s="1"/>
  <c r="AD376" i="49" s="1"/>
  <c r="AG220" i="31"/>
  <c r="AF219" i="31"/>
  <c r="AG348" i="49"/>
  <c r="AF347" i="49"/>
  <c r="CS31" i="5"/>
  <c r="CR30" i="5"/>
  <c r="M156" i="31"/>
  <c r="M300" i="31" s="1"/>
  <c r="M314" i="31" s="1"/>
  <c r="M355" i="31" s="1"/>
  <c r="M376" i="31" s="1"/>
  <c r="AA156" i="31"/>
  <c r="AA300" i="31" s="1"/>
  <c r="AA314" i="31" s="1"/>
  <c r="AA355" i="31" s="1"/>
  <c r="AA376" i="31" s="1"/>
  <c r="I156" i="49"/>
  <c r="I300" i="49" s="1"/>
  <c r="I314" i="49" s="1"/>
  <c r="I355" i="49" s="1"/>
  <c r="AF62" i="49"/>
  <c r="AG63" i="49"/>
  <c r="I300" i="31"/>
  <c r="I314" i="31" s="1"/>
  <c r="I355" i="31" s="1"/>
  <c r="I376" i="31" s="1"/>
  <c r="AG10" i="31"/>
  <c r="AF9" i="31"/>
  <c r="C45" i="68"/>
  <c r="Q52" i="5"/>
  <c r="AE52" i="5" s="1"/>
  <c r="AS52" i="5" s="1"/>
  <c r="BG52" i="5" s="1"/>
  <c r="BU52" i="5" s="1"/>
  <c r="CI52" i="5" s="1"/>
  <c r="CW52" i="5" s="1"/>
  <c r="DK52" i="5" s="1"/>
  <c r="DY52" i="5" s="1"/>
  <c r="EM52" i="5" s="1"/>
  <c r="FA52" i="5" s="1"/>
  <c r="FO52" i="5" s="1"/>
  <c r="C52" i="5"/>
  <c r="CE45" i="5"/>
  <c r="CD47" i="5"/>
  <c r="C30" i="62"/>
  <c r="X608" i="45"/>
  <c r="AA34" i="5"/>
  <c r="AG348" i="31"/>
  <c r="AF347" i="31"/>
  <c r="T156" i="31"/>
  <c r="T300" i="31" s="1"/>
  <c r="T314" i="31" s="1"/>
  <c r="T355" i="31" s="1"/>
  <c r="T376" i="31" s="1"/>
  <c r="BQ29" i="62"/>
  <c r="BT29" i="62"/>
  <c r="S156" i="31"/>
  <c r="S300" i="31" s="1"/>
  <c r="S314" i="31" s="1"/>
  <c r="S355" i="31" s="1"/>
  <c r="S376" i="31" s="1"/>
  <c r="AH385" i="49"/>
  <c r="AG382" i="49"/>
  <c r="J24" i="62"/>
  <c r="C429" i="49"/>
  <c r="C31" i="5"/>
  <c r="C30" i="5" s="1"/>
  <c r="C24" i="68"/>
  <c r="Q31" i="5"/>
  <c r="AE31" i="5" s="1"/>
  <c r="AS31" i="5" s="1"/>
  <c r="BG31" i="5" s="1"/>
  <c r="BU31" i="5" s="1"/>
  <c r="CI31" i="5" s="1"/>
  <c r="CW31" i="5" s="1"/>
  <c r="DK31" i="5" s="1"/>
  <c r="DY31" i="5" s="1"/>
  <c r="EM31" i="5" s="1"/>
  <c r="FA31" i="5" s="1"/>
  <c r="FO31" i="5" s="1"/>
  <c r="J30" i="5"/>
  <c r="DD56" i="5"/>
  <c r="DD59" i="5" s="1"/>
  <c r="DD62" i="5" s="1"/>
  <c r="E25" i="68"/>
  <c r="G25" i="68" s="1"/>
  <c r="S32" i="5"/>
  <c r="M32" i="5"/>
  <c r="C43" i="5"/>
  <c r="Q43" i="5"/>
  <c r="AE43" i="5" s="1"/>
  <c r="AS43" i="5" s="1"/>
  <c r="BG43" i="5" s="1"/>
  <c r="BU43" i="5" s="1"/>
  <c r="CI43" i="5" s="1"/>
  <c r="CW43" i="5" s="1"/>
  <c r="DK43" i="5" s="1"/>
  <c r="DY43" i="5" s="1"/>
  <c r="EM43" i="5" s="1"/>
  <c r="FA43" i="5" s="1"/>
  <c r="FO43" i="5" s="1"/>
  <c r="C36" i="68"/>
  <c r="F36" i="68" s="1"/>
  <c r="AF506" i="31"/>
  <c r="AG507" i="31"/>
  <c r="E41" i="5"/>
  <c r="F41" i="5" s="1"/>
  <c r="M41" i="5"/>
  <c r="S41" i="5"/>
  <c r="V366" i="45"/>
  <c r="E34" i="68"/>
  <c r="V615" i="45"/>
  <c r="CP29" i="5"/>
  <c r="CP48" i="5" s="1"/>
  <c r="CP44" i="5"/>
  <c r="CP56" i="5" s="1"/>
  <c r="CP41" i="62" s="1"/>
  <c r="CP45" i="62" s="1"/>
  <c r="E57" i="5"/>
  <c r="S57" i="5"/>
  <c r="AG57" i="5" s="1"/>
  <c r="AU57" i="5" s="1"/>
  <c r="BI57" i="5" s="1"/>
  <c r="BW57" i="5" s="1"/>
  <c r="CK57" i="5" s="1"/>
  <c r="CY57" i="5" s="1"/>
  <c r="E50" i="68"/>
  <c r="F50" i="68" s="1"/>
  <c r="L42" i="62"/>
  <c r="L47" i="5"/>
  <c r="S45" i="5"/>
  <c r="E38" i="68"/>
  <c r="M45" i="5"/>
  <c r="AH357" i="49"/>
  <c r="AG356" i="49"/>
  <c r="AG477" i="49"/>
  <c r="AF476" i="49"/>
  <c r="EH47" i="5"/>
  <c r="EI45" i="5"/>
  <c r="M60" i="5"/>
  <c r="E53" i="68"/>
  <c r="S60" i="5"/>
  <c r="E60" i="5"/>
  <c r="F60" i="5" s="1"/>
  <c r="DR23" i="62"/>
  <c r="DR47" i="62"/>
  <c r="E63" i="68"/>
  <c r="G63" i="68" s="1"/>
  <c r="S19" i="62"/>
  <c r="M19" i="62"/>
  <c r="DT47" i="5"/>
  <c r="DU45" i="5"/>
  <c r="AG377" i="49"/>
  <c r="AH378" i="49"/>
  <c r="BN44" i="5"/>
  <c r="BN56" i="5" s="1"/>
  <c r="BN59" i="5" s="1"/>
  <c r="BN29" i="5"/>
  <c r="BN48" i="5" s="1"/>
  <c r="X22" i="5"/>
  <c r="BP18" i="62"/>
  <c r="BQ49" i="5"/>
  <c r="AD618" i="45"/>
  <c r="AG48" i="49"/>
  <c r="AF47" i="49"/>
  <c r="ET44" i="5"/>
  <c r="ET56" i="5" s="1"/>
  <c r="ET41" i="62" s="1"/>
  <c r="ET45" i="62" s="1"/>
  <c r="ET29" i="5"/>
  <c r="ET48" i="5" s="1"/>
  <c r="C34" i="62"/>
  <c r="AG110" i="49"/>
  <c r="AF109" i="49"/>
  <c r="AF108" i="49" s="1"/>
  <c r="AG28" i="62"/>
  <c r="T28" i="62"/>
  <c r="C313" i="31"/>
  <c r="J47" i="5"/>
  <c r="Q45" i="5"/>
  <c r="AE45" i="5" s="1"/>
  <c r="AS45" i="5" s="1"/>
  <c r="BG45" i="5" s="1"/>
  <c r="BU45" i="5" s="1"/>
  <c r="CI45" i="5" s="1"/>
  <c r="CW45" i="5" s="1"/>
  <c r="DK45" i="5" s="1"/>
  <c r="DY45" i="5" s="1"/>
  <c r="EM45" i="5" s="1"/>
  <c r="FA45" i="5" s="1"/>
  <c r="FO45" i="5" s="1"/>
  <c r="C38" i="68"/>
  <c r="C45" i="5"/>
  <c r="C47" i="5" s="1"/>
  <c r="EI29" i="62"/>
  <c r="EL29" i="62"/>
  <c r="FK34" i="5"/>
  <c r="AR608" i="45"/>
  <c r="AG615" i="49"/>
  <c r="AF614" i="49"/>
  <c r="AF267" i="49"/>
  <c r="AG268" i="49"/>
  <c r="E10" i="68"/>
  <c r="S17" i="5"/>
  <c r="M17" i="5"/>
  <c r="Y300" i="31"/>
  <c r="Y314" i="31" s="1"/>
  <c r="Y355" i="31" s="1"/>
  <c r="Y376" i="31" s="1"/>
  <c r="AB300" i="49"/>
  <c r="AB314" i="49" s="1"/>
  <c r="AB355" i="49" s="1"/>
  <c r="AB376" i="49" s="1"/>
  <c r="BP55" i="5"/>
  <c r="AZ18" i="62"/>
  <c r="AZ48" i="62" s="1"/>
  <c r="AZ55" i="5"/>
  <c r="AZ56" i="5" s="1"/>
  <c r="C16" i="5"/>
  <c r="AA355" i="49"/>
  <c r="AA376" i="49" s="1"/>
  <c r="AH10" i="49"/>
  <c r="AG9" i="49"/>
  <c r="DJ22" i="5"/>
  <c r="Q3" i="12" s="1"/>
  <c r="DF29" i="5"/>
  <c r="AC518" i="45" s="1"/>
  <c r="AO23" i="5"/>
  <c r="AR23" i="5"/>
  <c r="Q61" i="5"/>
  <c r="AE61" i="5" s="1"/>
  <c r="AS61" i="5" s="1"/>
  <c r="BG61" i="5" s="1"/>
  <c r="BU61" i="5" s="1"/>
  <c r="CI61" i="5" s="1"/>
  <c r="CW61" i="5" s="1"/>
  <c r="DK61" i="5" s="1"/>
  <c r="DY61" i="5" s="1"/>
  <c r="EM61" i="5" s="1"/>
  <c r="FA61" i="5" s="1"/>
  <c r="FO61" i="5" s="1"/>
  <c r="C54" i="68"/>
  <c r="EI49" i="5"/>
  <c r="AN618" i="45"/>
  <c r="EH55" i="5"/>
  <c r="EH18" i="62"/>
  <c r="Q19" i="62"/>
  <c r="AE19" i="62" s="1"/>
  <c r="AS19" i="62" s="1"/>
  <c r="BG19" i="62" s="1"/>
  <c r="BU19" i="62" s="1"/>
  <c r="CI19" i="62" s="1"/>
  <c r="CW19" i="62" s="1"/>
  <c r="DK19" i="62" s="1"/>
  <c r="DY19" i="62" s="1"/>
  <c r="EM19" i="62" s="1"/>
  <c r="FA19" i="62" s="1"/>
  <c r="C63" i="68"/>
  <c r="AG585" i="49"/>
  <c r="AF584" i="49"/>
  <c r="C177" i="31"/>
  <c r="Z355" i="49"/>
  <c r="Z376" i="49" s="1"/>
  <c r="E30" i="68"/>
  <c r="S37" i="5"/>
  <c r="V611" i="45"/>
  <c r="M37" i="5"/>
  <c r="E37" i="5"/>
  <c r="F37" i="5" s="1"/>
  <c r="V362" i="45"/>
  <c r="AG294" i="31"/>
  <c r="AF293" i="31"/>
  <c r="CH29" i="62"/>
  <c r="CE29" i="62"/>
  <c r="C39" i="5"/>
  <c r="AF188" i="49"/>
  <c r="AG189" i="49"/>
  <c r="C28" i="5"/>
  <c r="AG48" i="31"/>
  <c r="AF47" i="31"/>
  <c r="Q36" i="5"/>
  <c r="AE36" i="5" s="1"/>
  <c r="AS36" i="5" s="1"/>
  <c r="BG36" i="5" s="1"/>
  <c r="BU36" i="5" s="1"/>
  <c r="CI36" i="5" s="1"/>
  <c r="CW36" i="5" s="1"/>
  <c r="DK36" i="5" s="1"/>
  <c r="DY36" i="5" s="1"/>
  <c r="EM36" i="5" s="1"/>
  <c r="FA36" i="5" s="1"/>
  <c r="FO36" i="5" s="1"/>
  <c r="C29" i="68"/>
  <c r="F29" i="68" s="1"/>
  <c r="C36" i="5"/>
  <c r="AO31" i="5"/>
  <c r="AN30" i="5"/>
  <c r="EI31" i="5"/>
  <c r="EH30" i="5"/>
  <c r="G107" i="31"/>
  <c r="C46" i="31"/>
  <c r="C108" i="31"/>
  <c r="X314" i="49"/>
  <c r="X355" i="49" s="1"/>
  <c r="X376" i="49" s="1"/>
  <c r="DT18" i="62"/>
  <c r="AL618" i="45"/>
  <c r="DU49" i="5"/>
  <c r="E45" i="5"/>
  <c r="CB29" i="5"/>
  <c r="CB48" i="5" s="1"/>
  <c r="CB44" i="5"/>
  <c r="CB56" i="5" s="1"/>
  <c r="BC31" i="5"/>
  <c r="BB30" i="5"/>
  <c r="EZ30" i="5"/>
  <c r="EV22" i="5"/>
  <c r="S26" i="62"/>
  <c r="L29" i="62"/>
  <c r="M26" i="62"/>
  <c r="E26" i="62"/>
  <c r="E70" i="68"/>
  <c r="G70" i="68" s="1"/>
  <c r="P156" i="31"/>
  <c r="P300" i="31" s="1"/>
  <c r="P314" i="31" s="1"/>
  <c r="P355" i="31" s="1"/>
  <c r="P376" i="31" s="1"/>
  <c r="X23" i="62"/>
  <c r="X47" i="62"/>
  <c r="E58" i="5"/>
  <c r="F58" i="5" s="1"/>
  <c r="E51" i="68"/>
  <c r="S58" i="5"/>
  <c r="M58" i="5"/>
  <c r="Q13" i="5"/>
  <c r="AE13" i="5" s="1"/>
  <c r="AS13" i="5" s="1"/>
  <c r="BG13" i="5" s="1"/>
  <c r="BU13" i="5" s="1"/>
  <c r="CI13" i="5" s="1"/>
  <c r="CW13" i="5" s="1"/>
  <c r="DK13" i="5" s="1"/>
  <c r="DY13" i="5" s="1"/>
  <c r="EM13" i="5" s="1"/>
  <c r="FA13" i="5" s="1"/>
  <c r="FO13" i="5" s="1"/>
  <c r="C13" i="5"/>
  <c r="C6" i="68"/>
  <c r="F6" i="68" s="1"/>
  <c r="M19" i="5"/>
  <c r="S19" i="5"/>
  <c r="E12" i="68"/>
  <c r="G12" i="68" s="1"/>
  <c r="E19" i="5"/>
  <c r="F19" i="5" s="1"/>
  <c r="M14" i="5"/>
  <c r="S14" i="5"/>
  <c r="E7" i="68"/>
  <c r="E14" i="5"/>
  <c r="F14" i="5" s="1"/>
  <c r="AF542" i="31"/>
  <c r="AG543" i="31"/>
  <c r="AG570" i="49"/>
  <c r="AF569" i="49"/>
  <c r="AF600" i="31"/>
  <c r="AG601" i="31"/>
  <c r="DF30" i="5"/>
  <c r="DG31" i="5"/>
  <c r="M46" i="5"/>
  <c r="E46" i="5"/>
  <c r="F46" i="5" s="1"/>
  <c r="E39" i="68"/>
  <c r="S46" i="5"/>
  <c r="AG329" i="31"/>
  <c r="AF328" i="31"/>
  <c r="AG322" i="31"/>
  <c r="AF321" i="31"/>
  <c r="AF313" i="31"/>
  <c r="BT22" i="5"/>
  <c r="K3" i="12" s="1"/>
  <c r="BP29" i="5"/>
  <c r="Z518" i="45" s="1"/>
  <c r="Z516" i="45" s="1"/>
  <c r="AG89" i="49"/>
  <c r="AH90" i="49"/>
  <c r="AH179" i="49"/>
  <c r="AG178" i="49"/>
  <c r="AJ71" i="49"/>
  <c r="BN41" i="62"/>
  <c r="BN45" i="62" s="1"/>
  <c r="AI304" i="49"/>
  <c r="AI490" i="49"/>
  <c r="AJ128" i="31"/>
  <c r="AI100" i="31"/>
  <c r="AJ549" i="49"/>
  <c r="AI231" i="49"/>
  <c r="AH228" i="49"/>
  <c r="AI295" i="49"/>
  <c r="AI180" i="31"/>
  <c r="AI349" i="49"/>
  <c r="AI556" i="31"/>
  <c r="AH553" i="31"/>
  <c r="AI142" i="31"/>
  <c r="AH136" i="31"/>
  <c r="AI60" i="31"/>
  <c r="AJ291" i="49"/>
  <c r="AI309" i="49"/>
  <c r="AI379" i="31"/>
  <c r="AJ86" i="31"/>
  <c r="AJ51" i="49"/>
  <c r="AK190" i="31"/>
  <c r="AI302" i="31"/>
  <c r="AH301" i="31"/>
  <c r="J300" i="49"/>
  <c r="DD17" i="62"/>
  <c r="DD20" i="62" s="1"/>
  <c r="DD31" i="62" s="1"/>
  <c r="AH158" i="49"/>
  <c r="AI159" i="49"/>
  <c r="AH136" i="49"/>
  <c r="AI137" i="49"/>
  <c r="AH127" i="49"/>
  <c r="AI128" i="49"/>
  <c r="AH609" i="49"/>
  <c r="AI610" i="49"/>
  <c r="AJ383" i="49"/>
  <c r="AJ231" i="31"/>
  <c r="AJ472" i="31"/>
  <c r="AK563" i="31"/>
  <c r="AK563" i="49"/>
  <c r="AK166" i="31"/>
  <c r="AJ444" i="49"/>
  <c r="AK61" i="31"/>
  <c r="AL572" i="31"/>
  <c r="AK318" i="49"/>
  <c r="AJ113" i="49"/>
  <c r="AK554" i="31"/>
  <c r="AK64" i="31"/>
  <c r="AJ468" i="31"/>
  <c r="AJ173" i="31"/>
  <c r="AK180" i="49"/>
  <c r="AJ222" i="31"/>
  <c r="AI35" i="31"/>
  <c r="AJ36" i="31"/>
  <c r="AL229" i="49"/>
  <c r="AK71" i="49"/>
  <c r="AL72" i="49"/>
  <c r="AL444" i="31"/>
  <c r="AM448" i="49"/>
  <c r="AM250" i="49"/>
  <c r="AM418" i="31"/>
  <c r="AM171" i="49"/>
  <c r="R13" i="20"/>
  <c r="AE12" i="20"/>
  <c r="R16" i="20"/>
  <c r="EI43" i="62"/>
  <c r="K12" i="5"/>
  <c r="V153" i="16"/>
  <c r="CC15" i="5"/>
  <c r="CE12" i="5"/>
  <c r="EU15" i="5"/>
  <c r="EW12" i="5"/>
  <c r="FI15" i="5"/>
  <c r="AG509" i="45" s="1"/>
  <c r="FK12" i="5"/>
  <c r="FK54" i="5"/>
  <c r="D54" i="5"/>
  <c r="AP110" i="20"/>
  <c r="AP111" i="20" s="1"/>
  <c r="AL110" i="20"/>
  <c r="AL111" i="20" s="1"/>
  <c r="AH110" i="20"/>
  <c r="AH111" i="20" s="1"/>
  <c r="AO110" i="20"/>
  <c r="AO111" i="20" s="1"/>
  <c r="AK110" i="20"/>
  <c r="AK111" i="20" s="1"/>
  <c r="AG110" i="20"/>
  <c r="AG111" i="20" s="1"/>
  <c r="AI110" i="20"/>
  <c r="AI111" i="20" s="1"/>
  <c r="AN110" i="20"/>
  <c r="AN111" i="20" s="1"/>
  <c r="AF110" i="20"/>
  <c r="AF111" i="20" s="1"/>
  <c r="AJ110" i="20"/>
  <c r="AJ111" i="20" s="1"/>
  <c r="AM110" i="20"/>
  <c r="AM111" i="20" s="1"/>
  <c r="AE110" i="20"/>
  <c r="R111" i="20"/>
  <c r="C78" i="20"/>
  <c r="R49" i="17"/>
  <c r="B78" i="20" s="1"/>
  <c r="P78" i="20" s="1"/>
  <c r="G78" i="20" s="1"/>
  <c r="I78" i="20" s="1"/>
  <c r="R30" i="17"/>
  <c r="R35" i="17" s="1"/>
  <c r="G112" i="20"/>
  <c r="G109" i="20"/>
  <c r="I108" i="20"/>
  <c r="AG529" i="45"/>
  <c r="AF531" i="45"/>
  <c r="AF530" i="45"/>
  <c r="C46" i="20"/>
  <c r="L30" i="17"/>
  <c r="L35" i="17" s="1"/>
  <c r="L49" i="17"/>
  <c r="B46" i="20" s="1"/>
  <c r="P46" i="20" s="1"/>
  <c r="G46" i="20" s="1"/>
  <c r="I46" i="20" s="1"/>
  <c r="AN46" i="20"/>
  <c r="AN47" i="20" s="1"/>
  <c r="AJ46" i="20"/>
  <c r="AJ47" i="20" s="1"/>
  <c r="AF46" i="20"/>
  <c r="AF47" i="20" s="1"/>
  <c r="AO46" i="20"/>
  <c r="AO47" i="20" s="1"/>
  <c r="AI46" i="20"/>
  <c r="AI47" i="20" s="1"/>
  <c r="AL46" i="20"/>
  <c r="AL47" i="20" s="1"/>
  <c r="AG46" i="20"/>
  <c r="AG47" i="20" s="1"/>
  <c r="AP46" i="20"/>
  <c r="AP47" i="20" s="1"/>
  <c r="AE46" i="20"/>
  <c r="AM46" i="20"/>
  <c r="AM47" i="20" s="1"/>
  <c r="AK46" i="20"/>
  <c r="AK47" i="20" s="1"/>
  <c r="AH46" i="20"/>
  <c r="AH47" i="20" s="1"/>
  <c r="R47" i="20"/>
  <c r="AF512" i="45"/>
  <c r="I21" i="22"/>
  <c r="I123" i="22" s="1"/>
  <c r="I131" i="22" s="1"/>
  <c r="I133" i="22" s="1"/>
  <c r="F21" i="22"/>
  <c r="EY23" i="5"/>
  <c r="EW23" i="5"/>
  <c r="I21" i="23"/>
  <c r="I123" i="23" s="1"/>
  <c r="I131" i="23" s="1"/>
  <c r="I133" i="23" s="1"/>
  <c r="F21" i="23"/>
  <c r="CX33" i="5"/>
  <c r="J29" i="20"/>
  <c r="C30" i="20"/>
  <c r="I49" i="17"/>
  <c r="B30" i="20" s="1"/>
  <c r="P30" i="20" s="1"/>
  <c r="G30" i="20" s="1"/>
  <c r="I30" i="20" s="1"/>
  <c r="I30" i="17"/>
  <c r="I35" i="17" s="1"/>
  <c r="G77" i="20"/>
  <c r="G80" i="20"/>
  <c r="I76" i="20"/>
  <c r="F21" i="21"/>
  <c r="I21" i="21"/>
  <c r="I123" i="21" s="1"/>
  <c r="I131" i="21" s="1"/>
  <c r="I133" i="21" s="1"/>
  <c r="J93" i="20"/>
  <c r="FP54" i="5"/>
  <c r="I21" i="26"/>
  <c r="I123" i="26" s="1"/>
  <c r="I131" i="26" s="1"/>
  <c r="I133" i="26" s="1"/>
  <c r="F21" i="26"/>
  <c r="Y15" i="5"/>
  <c r="AA12" i="5"/>
  <c r="FI51" i="5"/>
  <c r="FI55" i="5" s="1"/>
  <c r="EU43" i="62"/>
  <c r="EW43" i="62" s="1"/>
  <c r="EW51" i="5"/>
  <c r="BO15" i="5"/>
  <c r="BQ12" i="5"/>
  <c r="EG15" i="5"/>
  <c r="EI12" i="5"/>
  <c r="V152" i="16"/>
  <c r="EU55" i="5"/>
  <c r="J61" i="20"/>
  <c r="AN430" i="31"/>
  <c r="DM12" i="5"/>
  <c r="FI23" i="5"/>
  <c r="FK24" i="5"/>
  <c r="DZ18" i="62"/>
  <c r="DL48" i="62"/>
  <c r="AF516" i="45"/>
  <c r="G12" i="29"/>
  <c r="H13" i="29"/>
  <c r="I12" i="29"/>
  <c r="K12" i="29" s="1"/>
  <c r="R11" i="20"/>
  <c r="X12" i="20"/>
  <c r="AB12" i="20"/>
  <c r="V12" i="20"/>
  <c r="AC12" i="20"/>
  <c r="W12" i="20"/>
  <c r="U12" i="20"/>
  <c r="AA12" i="20"/>
  <c r="S12" i="20"/>
  <c r="Z12" i="20"/>
  <c r="T12" i="20"/>
  <c r="Y12" i="20"/>
  <c r="EN55" i="5"/>
  <c r="D45" i="5"/>
  <c r="AO430" i="49"/>
  <c r="DZ30" i="5"/>
  <c r="DL23" i="62"/>
  <c r="AG520" i="45"/>
  <c r="AG518" i="45"/>
  <c r="AG514" i="45"/>
  <c r="AG510" i="45"/>
  <c r="K9" i="12"/>
  <c r="K8" i="12"/>
  <c r="CJ16" i="5"/>
  <c r="BK6" i="19"/>
  <c r="BK107" i="19" s="1"/>
  <c r="BJ107" i="19"/>
  <c r="BJ108" i="19" s="1"/>
  <c r="J45" i="20"/>
  <c r="DS15" i="5"/>
  <c r="DU12" i="5"/>
  <c r="AO12" i="5"/>
  <c r="AM15" i="5"/>
  <c r="BA15" i="5"/>
  <c r="BC12" i="5"/>
  <c r="C110" i="20"/>
  <c r="X30" i="17"/>
  <c r="X35" i="17" s="1"/>
  <c r="X49" i="17"/>
  <c r="B110" i="20" s="1"/>
  <c r="P110" i="20" s="1"/>
  <c r="G110" i="20" s="1"/>
  <c r="I110" i="20" s="1"/>
  <c r="AP78" i="20"/>
  <c r="AP79" i="20" s="1"/>
  <c r="AL78" i="20"/>
  <c r="AL79" i="20" s="1"/>
  <c r="AH78" i="20"/>
  <c r="AH79" i="20" s="1"/>
  <c r="AO78" i="20"/>
  <c r="AO79" i="20" s="1"/>
  <c r="AK78" i="20"/>
  <c r="AK79" i="20" s="1"/>
  <c r="AG78" i="20"/>
  <c r="AG79" i="20" s="1"/>
  <c r="AI78" i="20"/>
  <c r="AI79" i="20" s="1"/>
  <c r="AN78" i="20"/>
  <c r="AN79" i="20" s="1"/>
  <c r="AF78" i="20"/>
  <c r="AF79" i="20" s="1"/>
  <c r="AM78" i="20"/>
  <c r="AM79" i="20" s="1"/>
  <c r="AE78" i="20"/>
  <c r="AJ78" i="20"/>
  <c r="AJ79" i="20" s="1"/>
  <c r="R79" i="20"/>
  <c r="DL47" i="62"/>
  <c r="DZ21" i="62"/>
  <c r="DL29" i="62"/>
  <c r="AC107" i="19"/>
  <c r="AD6" i="19"/>
  <c r="AD107" i="19" s="1"/>
  <c r="G29" i="20"/>
  <c r="G32" i="20"/>
  <c r="I28" i="20"/>
  <c r="BV24" i="5"/>
  <c r="D11" i="20"/>
  <c r="AP94" i="20"/>
  <c r="AP95" i="20" s="1"/>
  <c r="AL94" i="20"/>
  <c r="AL95" i="20" s="1"/>
  <c r="AH94" i="20"/>
  <c r="AH95" i="20" s="1"/>
  <c r="AO94" i="20"/>
  <c r="AO95" i="20" s="1"/>
  <c r="AK94" i="20"/>
  <c r="AK95" i="20" s="1"/>
  <c r="AG94" i="20"/>
  <c r="AG95" i="20" s="1"/>
  <c r="AN94" i="20"/>
  <c r="AN95" i="20" s="1"/>
  <c r="AF94" i="20"/>
  <c r="AF95" i="20" s="1"/>
  <c r="AM94" i="20"/>
  <c r="AM95" i="20" s="1"/>
  <c r="AE94" i="20"/>
  <c r="AJ94" i="20"/>
  <c r="AJ95" i="20" s="1"/>
  <c r="AI94" i="20"/>
  <c r="AI95" i="20" s="1"/>
  <c r="R95" i="20"/>
  <c r="I21" i="24"/>
  <c r="I123" i="24" s="1"/>
  <c r="I131" i="24" s="1"/>
  <c r="I133" i="24" s="1"/>
  <c r="F21" i="24"/>
  <c r="BV21" i="5"/>
  <c r="AN137" i="31"/>
  <c r="D24" i="5"/>
  <c r="G48" i="20"/>
  <c r="G45" i="20"/>
  <c r="I44" i="20"/>
  <c r="C62" i="20"/>
  <c r="O30" i="17"/>
  <c r="O35" i="17" s="1"/>
  <c r="O49" i="17"/>
  <c r="B62" i="20" s="1"/>
  <c r="P62" i="20" s="1"/>
  <c r="G62" i="20" s="1"/>
  <c r="I62" i="20" s="1"/>
  <c r="AP62" i="20"/>
  <c r="AP63" i="20" s="1"/>
  <c r="AL62" i="20"/>
  <c r="AL63" i="20" s="1"/>
  <c r="AH62" i="20"/>
  <c r="AH63" i="20" s="1"/>
  <c r="AK62" i="20"/>
  <c r="AK63" i="20" s="1"/>
  <c r="AF62" i="20"/>
  <c r="AF63" i="20" s="1"/>
  <c r="AO62" i="20"/>
  <c r="AO63" i="20" s="1"/>
  <c r="AJ62" i="20"/>
  <c r="AJ63" i="20" s="1"/>
  <c r="AE62" i="20"/>
  <c r="AN62" i="20"/>
  <c r="AN63" i="20" s="1"/>
  <c r="AI62" i="20"/>
  <c r="AI63" i="20" s="1"/>
  <c r="AG62" i="20"/>
  <c r="AG63" i="20" s="1"/>
  <c r="AM62" i="20"/>
  <c r="AM63" i="20" s="1"/>
  <c r="R63" i="20"/>
  <c r="AO30" i="20"/>
  <c r="AO31" i="20" s="1"/>
  <c r="AK30" i="20"/>
  <c r="AK31" i="20" s="1"/>
  <c r="AG30" i="20"/>
  <c r="AG31" i="20" s="1"/>
  <c r="AM30" i="20"/>
  <c r="AM31" i="20" s="1"/>
  <c r="AH30" i="20"/>
  <c r="AH31" i="20" s="1"/>
  <c r="AL30" i="20"/>
  <c r="AL31" i="20" s="1"/>
  <c r="AF30" i="20"/>
  <c r="AF31" i="20" s="1"/>
  <c r="AP30" i="20"/>
  <c r="AP31" i="20" s="1"/>
  <c r="AJ30" i="20"/>
  <c r="AJ31" i="20" s="1"/>
  <c r="AE30" i="20"/>
  <c r="AN30" i="20"/>
  <c r="AN31" i="20" s="1"/>
  <c r="AI30" i="20"/>
  <c r="AI31" i="20" s="1"/>
  <c r="R31" i="20"/>
  <c r="CZ25" i="62"/>
  <c r="DM25" i="62"/>
  <c r="D33" i="18"/>
  <c r="EN43" i="62"/>
  <c r="FB43" i="62" s="1"/>
  <c r="FB51" i="5"/>
  <c r="F33" i="17"/>
  <c r="D21" i="17"/>
  <c r="CQ15" i="5"/>
  <c r="CS12" i="5"/>
  <c r="DE15" i="5"/>
  <c r="DG12" i="5"/>
  <c r="I12" i="20"/>
  <c r="CX47" i="5"/>
  <c r="AC14" i="20"/>
  <c r="AC15" i="20" s="1"/>
  <c r="Y14" i="20"/>
  <c r="Y15" i="20" s="1"/>
  <c r="U14" i="20"/>
  <c r="U15" i="20" s="1"/>
  <c r="AB14" i="20"/>
  <c r="AB15" i="20" s="1"/>
  <c r="X14" i="20"/>
  <c r="X15" i="20" s="1"/>
  <c r="T14" i="20"/>
  <c r="T15" i="20" s="1"/>
  <c r="AA14" i="20"/>
  <c r="AA15" i="20" s="1"/>
  <c r="W14" i="20"/>
  <c r="W15" i="20" s="1"/>
  <c r="S14" i="20"/>
  <c r="S15" i="20" s="1"/>
  <c r="Z14" i="20"/>
  <c r="Z15" i="20" s="1"/>
  <c r="V14" i="20"/>
  <c r="V15" i="20" s="1"/>
  <c r="R14" i="20"/>
  <c r="I125" i="18"/>
  <c r="I129" i="18" s="1"/>
  <c r="F23" i="17"/>
  <c r="G93" i="20"/>
  <c r="G96" i="20"/>
  <c r="I92" i="20"/>
  <c r="G64" i="20"/>
  <c r="G61" i="20"/>
  <c r="I60" i="20"/>
  <c r="J16" i="6"/>
  <c r="K16" i="6" s="1"/>
  <c r="H17" i="6" s="1"/>
  <c r="AE8" i="20"/>
  <c r="AE11" i="20" s="1"/>
  <c r="H6" i="20"/>
  <c r="FI44" i="62"/>
  <c r="FK53" i="5"/>
  <c r="C94" i="20"/>
  <c r="U49" i="17"/>
  <c r="B94" i="20" s="1"/>
  <c r="P94" i="20" s="1"/>
  <c r="G94" i="20" s="1"/>
  <c r="I94" i="20" s="1"/>
  <c r="U30" i="17"/>
  <c r="U35" i="17" s="1"/>
  <c r="J109" i="20"/>
  <c r="FI47" i="5"/>
  <c r="FK45" i="5"/>
  <c r="FB44" i="62"/>
  <c r="FP44" i="62" s="1"/>
  <c r="BH23" i="5"/>
  <c r="J77" i="20"/>
  <c r="I21" i="25"/>
  <c r="I123" i="25" s="1"/>
  <c r="I131" i="25" s="1"/>
  <c r="I133" i="25" s="1"/>
  <c r="F21" i="25"/>
  <c r="DM57" i="5"/>
  <c r="I21" i="18"/>
  <c r="I123" i="18" s="1"/>
  <c r="F21" i="18"/>
  <c r="FP53" i="5"/>
  <c r="C34" i="44"/>
  <c r="C35" i="44"/>
  <c r="C38" i="44"/>
  <c r="C40" i="44"/>
  <c r="C39" i="44"/>
  <c r="C37" i="44"/>
  <c r="C44" i="44"/>
  <c r="C33" i="44"/>
  <c r="C30" i="44"/>
  <c r="AD512" i="45" l="1"/>
  <c r="W391" i="49"/>
  <c r="W398" i="49" s="1"/>
  <c r="W481" i="49" s="1"/>
  <c r="W527" i="49" s="1"/>
  <c r="W538" i="49" s="1"/>
  <c r="EV47" i="5"/>
  <c r="EW45" i="5"/>
  <c r="C32" i="44"/>
  <c r="K46" i="44" s="1"/>
  <c r="K47" i="44" s="1"/>
  <c r="C36" i="44"/>
  <c r="C42" i="44" s="1"/>
  <c r="C47" i="44"/>
  <c r="C48" i="44" s="1"/>
  <c r="C41" i="44"/>
  <c r="C45" i="44"/>
  <c r="AE516" i="45"/>
  <c r="W339" i="45"/>
  <c r="V339" i="45"/>
  <c r="AF108" i="31"/>
  <c r="R300" i="31"/>
  <c r="R314" i="31" s="1"/>
  <c r="R355" i="31" s="1"/>
  <c r="R376" i="31" s="1"/>
  <c r="Y516" i="45"/>
  <c r="AC512" i="45"/>
  <c r="AC516" i="45"/>
  <c r="DF44" i="5"/>
  <c r="AB514" i="45"/>
  <c r="CV22" i="5"/>
  <c r="O3" i="12" s="1"/>
  <c r="AH618" i="45"/>
  <c r="CR18" i="62"/>
  <c r="CS49" i="5"/>
  <c r="CR55" i="5"/>
  <c r="AO17" i="5"/>
  <c r="AN22" i="5"/>
  <c r="FP51" i="5"/>
  <c r="AG562" i="49"/>
  <c r="AF561" i="49"/>
  <c r="CR23" i="62"/>
  <c r="CS21" i="62"/>
  <c r="CR47" i="62"/>
  <c r="CH55" i="5"/>
  <c r="CE55" i="5"/>
  <c r="DF47" i="62"/>
  <c r="DF23" i="62"/>
  <c r="DG21" i="62"/>
  <c r="AG40" i="5"/>
  <c r="T40" i="5"/>
  <c r="AH316" i="31"/>
  <c r="AG315" i="31"/>
  <c r="AG392" i="31" s="1"/>
  <c r="AG399" i="31" s="1"/>
  <c r="FK31" i="5"/>
  <c r="FJ30" i="5"/>
  <c r="BB47" i="5"/>
  <c r="BC45" i="5"/>
  <c r="DG49" i="5"/>
  <c r="AJ618" i="45"/>
  <c r="DF18" i="62"/>
  <c r="DF55" i="5"/>
  <c r="DF56" i="5" s="1"/>
  <c r="AC520" i="45" s="1"/>
  <c r="AA17" i="5"/>
  <c r="E17" i="5"/>
  <c r="F17" i="5" s="1"/>
  <c r="Z22" i="5"/>
  <c r="DD41" i="62"/>
  <c r="DD45" i="62" s="1"/>
  <c r="ET59" i="5"/>
  <c r="M387" i="49"/>
  <c r="CP59" i="5"/>
  <c r="CP62" i="5" s="1"/>
  <c r="BB44" i="5"/>
  <c r="BB56" i="5" s="1"/>
  <c r="Y520" i="45" s="1"/>
  <c r="F66" i="68"/>
  <c r="AE300" i="49"/>
  <c r="AE314" i="49" s="1"/>
  <c r="AE355" i="49" s="1"/>
  <c r="AE376" i="49" s="1"/>
  <c r="CP17" i="62"/>
  <c r="CP20" i="62" s="1"/>
  <c r="CP31" i="62" s="1"/>
  <c r="CP46" i="62" s="1"/>
  <c r="CP49" i="62" s="1"/>
  <c r="AF354" i="31"/>
  <c r="F24" i="68"/>
  <c r="AF177" i="49"/>
  <c r="K16" i="44"/>
  <c r="K40" i="44"/>
  <c r="K42" i="44" s="1"/>
  <c r="V391" i="31"/>
  <c r="V398" i="31" s="1"/>
  <c r="V481" i="31" s="1"/>
  <c r="V527" i="31" s="1"/>
  <c r="V538" i="31" s="1"/>
  <c r="V387" i="31"/>
  <c r="U391" i="31"/>
  <c r="U398" i="31" s="1"/>
  <c r="U481" i="31" s="1"/>
  <c r="U527" i="31" s="1"/>
  <c r="U538" i="31" s="1"/>
  <c r="U387" i="31"/>
  <c r="O391" i="49"/>
  <c r="O398" i="49" s="1"/>
  <c r="O481" i="49" s="1"/>
  <c r="O527" i="49" s="1"/>
  <c r="O538" i="49" s="1"/>
  <c r="H387" i="31"/>
  <c r="H391" i="31"/>
  <c r="H398" i="31" s="1"/>
  <c r="H481" i="31" s="1"/>
  <c r="H527" i="31" s="1"/>
  <c r="H538" i="31" s="1"/>
  <c r="Q387" i="49"/>
  <c r="Q391" i="49"/>
  <c r="Q398" i="49" s="1"/>
  <c r="Q481" i="49" s="1"/>
  <c r="Q527" i="49" s="1"/>
  <c r="Q538" i="49" s="1"/>
  <c r="L391" i="49"/>
  <c r="L398" i="49" s="1"/>
  <c r="L481" i="49" s="1"/>
  <c r="L527" i="49" s="1"/>
  <c r="L538" i="49" s="1"/>
  <c r="L387" i="49"/>
  <c r="AC391" i="49"/>
  <c r="AC398" i="49" s="1"/>
  <c r="AC481" i="49" s="1"/>
  <c r="AC527" i="49" s="1"/>
  <c r="AC538" i="49" s="1"/>
  <c r="AC387" i="49"/>
  <c r="AC391" i="31"/>
  <c r="AC398" i="31" s="1"/>
  <c r="AC481" i="31" s="1"/>
  <c r="AC527" i="31" s="1"/>
  <c r="AC538" i="31" s="1"/>
  <c r="AC387" i="31"/>
  <c r="DJ44" i="5"/>
  <c r="AZ41" i="62"/>
  <c r="AZ45" i="62" s="1"/>
  <c r="AZ59" i="5"/>
  <c r="AZ17" i="62" s="1"/>
  <c r="AZ20" i="62" s="1"/>
  <c r="AZ31" i="62" s="1"/>
  <c r="BF44" i="5"/>
  <c r="AG46" i="5"/>
  <c r="T46" i="5"/>
  <c r="F26" i="62"/>
  <c r="C16" i="44"/>
  <c r="EV44" i="5"/>
  <c r="EZ22" i="5"/>
  <c r="EV29" i="5"/>
  <c r="CB59" i="5"/>
  <c r="CB41" i="62"/>
  <c r="CB45" i="62" s="1"/>
  <c r="AO30" i="5"/>
  <c r="Z607" i="45"/>
  <c r="AR30" i="5"/>
  <c r="AH189" i="49"/>
  <c r="AG188" i="49"/>
  <c r="G30" i="68"/>
  <c r="F30" i="68"/>
  <c r="AG584" i="49"/>
  <c r="AH585" i="49"/>
  <c r="EH48" i="62"/>
  <c r="EI18" i="62"/>
  <c r="AH9" i="49"/>
  <c r="AI10" i="49"/>
  <c r="AH48" i="49"/>
  <c r="AG47" i="49"/>
  <c r="X29" i="5"/>
  <c r="X48" i="5" s="1"/>
  <c r="X44" i="5"/>
  <c r="X56" i="5" s="1"/>
  <c r="AH377" i="49"/>
  <c r="AI378" i="49"/>
  <c r="G53" i="68"/>
  <c r="F53" i="68"/>
  <c r="E42" i="62"/>
  <c r="S42" i="62"/>
  <c r="AG42" i="62" s="1"/>
  <c r="AU42" i="62" s="1"/>
  <c r="BI42" i="62" s="1"/>
  <c r="BW42" i="62" s="1"/>
  <c r="CK42" i="62" s="1"/>
  <c r="CY42" i="62" s="1"/>
  <c r="AG506" i="31"/>
  <c r="AH507" i="31"/>
  <c r="C24" i="62"/>
  <c r="C68" i="68"/>
  <c r="Q24" i="62"/>
  <c r="AE24" i="62" s="1"/>
  <c r="AS24" i="62" s="1"/>
  <c r="BG24" i="62" s="1"/>
  <c r="BU24" i="62" s="1"/>
  <c r="CI24" i="62" s="1"/>
  <c r="CW24" i="62" s="1"/>
  <c r="DK24" i="62" s="1"/>
  <c r="DY24" i="62" s="1"/>
  <c r="EM24" i="62" s="1"/>
  <c r="FA24" i="62" s="1"/>
  <c r="FO24" i="62" s="1"/>
  <c r="S387" i="31"/>
  <c r="S391" i="31"/>
  <c r="S398" i="31" s="1"/>
  <c r="S481" i="31" s="1"/>
  <c r="S527" i="31" s="1"/>
  <c r="S538" i="31" s="1"/>
  <c r="I387" i="31"/>
  <c r="I391" i="31"/>
  <c r="I398" i="31" s="1"/>
  <c r="I481" i="31" s="1"/>
  <c r="I527" i="31" s="1"/>
  <c r="I538" i="31" s="1"/>
  <c r="AA391" i="31"/>
  <c r="AA398" i="31" s="1"/>
  <c r="AA481" i="31" s="1"/>
  <c r="AA527" i="31" s="1"/>
  <c r="AA538" i="31" s="1"/>
  <c r="AA387" i="31"/>
  <c r="AD387" i="49"/>
  <c r="AD391" i="49"/>
  <c r="AD398" i="49" s="1"/>
  <c r="AD481" i="49" s="1"/>
  <c r="AD527" i="49" s="1"/>
  <c r="AD538" i="49" s="1"/>
  <c r="AF392" i="49"/>
  <c r="AF399" i="49" s="1"/>
  <c r="AF354" i="49"/>
  <c r="T34" i="62"/>
  <c r="AG34" i="62"/>
  <c r="AG609" i="31"/>
  <c r="AH610" i="31"/>
  <c r="M43" i="62"/>
  <c r="S43" i="62"/>
  <c r="E43" i="62"/>
  <c r="W391" i="31"/>
  <c r="W398" i="31" s="1"/>
  <c r="W481" i="31" s="1"/>
  <c r="W527" i="31" s="1"/>
  <c r="W538" i="31" s="1"/>
  <c r="W387" i="31"/>
  <c r="W57" i="45"/>
  <c r="N58" i="45" s="1"/>
  <c r="O68" i="45" s="1"/>
  <c r="W159" i="45"/>
  <c r="S15" i="5"/>
  <c r="AR33" i="5"/>
  <c r="E8" i="68"/>
  <c r="W210" i="45"/>
  <c r="L22" i="5"/>
  <c r="W261" i="45"/>
  <c r="N265" i="45" s="1"/>
  <c r="W108" i="45"/>
  <c r="N112" i="45" s="1"/>
  <c r="W6" i="45"/>
  <c r="V510" i="45"/>
  <c r="AG256" i="31"/>
  <c r="AH257" i="31"/>
  <c r="E30" i="5"/>
  <c r="F31" i="5"/>
  <c r="Y391" i="49"/>
  <c r="Y398" i="49" s="1"/>
  <c r="Y481" i="49" s="1"/>
  <c r="Y527" i="49" s="1"/>
  <c r="Y538" i="49" s="1"/>
  <c r="Y387" i="49"/>
  <c r="EW23" i="62"/>
  <c r="EZ23" i="62"/>
  <c r="N391" i="31"/>
  <c r="N398" i="31" s="1"/>
  <c r="N481" i="31" s="1"/>
  <c r="N527" i="31" s="1"/>
  <c r="N538" i="31" s="1"/>
  <c r="N387" i="31"/>
  <c r="AH394" i="31"/>
  <c r="AG393" i="31"/>
  <c r="AO23" i="62"/>
  <c r="AR23" i="62"/>
  <c r="AH27" i="31"/>
  <c r="AG26" i="31"/>
  <c r="AH145" i="31"/>
  <c r="AG144" i="31"/>
  <c r="AA18" i="62"/>
  <c r="Z48" i="62"/>
  <c r="AH421" i="31"/>
  <c r="AG416" i="31"/>
  <c r="F19" i="68"/>
  <c r="G19" i="68"/>
  <c r="AG50" i="5"/>
  <c r="T50" i="5"/>
  <c r="K391" i="49"/>
  <c r="K398" i="49" s="1"/>
  <c r="K481" i="49" s="1"/>
  <c r="K527" i="49" s="1"/>
  <c r="K538" i="49" s="1"/>
  <c r="K387" i="49"/>
  <c r="AD23" i="5"/>
  <c r="Z29" i="5"/>
  <c r="W518" i="45" s="1"/>
  <c r="AA23" i="5"/>
  <c r="AG26" i="49"/>
  <c r="AG46" i="49" s="1"/>
  <c r="AH27" i="49"/>
  <c r="F42" i="68"/>
  <c r="G42" i="68"/>
  <c r="E18" i="62"/>
  <c r="F49" i="5"/>
  <c r="T22" i="62"/>
  <c r="AG22" i="62"/>
  <c r="AF429" i="31"/>
  <c r="AG435" i="31"/>
  <c r="T18" i="5"/>
  <c r="AG18" i="5"/>
  <c r="AE300" i="31"/>
  <c r="AE314" i="31" s="1"/>
  <c r="AE355" i="31" s="1"/>
  <c r="AE376" i="31" s="1"/>
  <c r="BF23" i="62"/>
  <c r="BC23" i="62"/>
  <c r="V391" i="49"/>
  <c r="V398" i="49" s="1"/>
  <c r="V481" i="49" s="1"/>
  <c r="V527" i="49" s="1"/>
  <c r="V538" i="49" s="1"/>
  <c r="V387" i="49"/>
  <c r="AG71" i="31"/>
  <c r="AH72" i="31"/>
  <c r="E23" i="5"/>
  <c r="AG13" i="5"/>
  <c r="T13" i="5"/>
  <c r="K387" i="31"/>
  <c r="K391" i="31"/>
  <c r="K398" i="31" s="1"/>
  <c r="K481" i="31" s="1"/>
  <c r="K527" i="31" s="1"/>
  <c r="K538" i="31" s="1"/>
  <c r="G31" i="68"/>
  <c r="F31" i="68"/>
  <c r="N387" i="49"/>
  <c r="N391" i="49"/>
  <c r="N398" i="49" s="1"/>
  <c r="N481" i="49" s="1"/>
  <c r="N527" i="49" s="1"/>
  <c r="N538" i="49" s="1"/>
  <c r="U387" i="49"/>
  <c r="U391" i="49"/>
  <c r="U398" i="49" s="1"/>
  <c r="U481" i="49" s="1"/>
  <c r="U527" i="49" s="1"/>
  <c r="U538" i="49" s="1"/>
  <c r="AG109" i="31"/>
  <c r="AH110" i="31"/>
  <c r="AA23" i="62"/>
  <c r="AD23" i="62"/>
  <c r="AH322" i="49"/>
  <c r="AG321" i="49"/>
  <c r="AH341" i="49"/>
  <c r="AG340" i="49"/>
  <c r="AL59" i="5"/>
  <c r="AL41" i="62"/>
  <c r="AL45" i="62" s="1"/>
  <c r="G47" i="68"/>
  <c r="F47" i="68"/>
  <c r="AG219" i="49"/>
  <c r="AH220" i="49"/>
  <c r="Q55" i="5"/>
  <c r="C48" i="68"/>
  <c r="N55" i="5"/>
  <c r="Z44" i="5"/>
  <c r="AI129" i="31"/>
  <c r="AH127" i="31"/>
  <c r="G21" i="68"/>
  <c r="F21" i="68"/>
  <c r="AG98" i="49"/>
  <c r="AH99" i="49"/>
  <c r="EL29" i="5"/>
  <c r="EH48" i="5"/>
  <c r="O387" i="31"/>
  <c r="O391" i="31"/>
  <c r="O398" i="31" s="1"/>
  <c r="O481" i="31" s="1"/>
  <c r="O527" i="31" s="1"/>
  <c r="O538" i="31" s="1"/>
  <c r="C33" i="5"/>
  <c r="T30" i="62"/>
  <c r="AG30" i="62"/>
  <c r="AG80" i="49"/>
  <c r="AH81" i="49"/>
  <c r="AG600" i="49"/>
  <c r="AH601" i="49"/>
  <c r="AH302" i="49"/>
  <c r="AG301" i="49"/>
  <c r="EL33" i="5"/>
  <c r="EI33" i="5"/>
  <c r="AG208" i="49"/>
  <c r="AH209" i="49"/>
  <c r="AH239" i="31"/>
  <c r="AG238" i="31"/>
  <c r="G76" i="68"/>
  <c r="F76" i="68"/>
  <c r="AH287" i="49"/>
  <c r="AG286" i="49"/>
  <c r="Q23" i="5"/>
  <c r="C16" i="68"/>
  <c r="N23" i="5"/>
  <c r="AG333" i="31"/>
  <c r="AH334" i="31"/>
  <c r="AG321" i="31"/>
  <c r="AH322" i="31"/>
  <c r="G39" i="68"/>
  <c r="F39" i="68"/>
  <c r="AJ607" i="45"/>
  <c r="DG30" i="5"/>
  <c r="DJ30" i="5"/>
  <c r="AG58" i="5"/>
  <c r="T58" i="5"/>
  <c r="DT48" i="62"/>
  <c r="DU18" i="62"/>
  <c r="C107" i="31"/>
  <c r="G156" i="31"/>
  <c r="Z387" i="49"/>
  <c r="Z391" i="49"/>
  <c r="Z398" i="49" s="1"/>
  <c r="Z481" i="49" s="1"/>
  <c r="Z527" i="49" s="1"/>
  <c r="Z538" i="49" s="1"/>
  <c r="EL55" i="5"/>
  <c r="EI55" i="5"/>
  <c r="DJ29" i="5"/>
  <c r="DF48" i="5"/>
  <c r="AA391" i="49"/>
  <c r="AA398" i="49" s="1"/>
  <c r="AA481" i="49" s="1"/>
  <c r="AA527" i="49" s="1"/>
  <c r="AA538" i="49" s="1"/>
  <c r="AA387" i="49"/>
  <c r="BQ55" i="5"/>
  <c r="BT55" i="5"/>
  <c r="T17" i="5"/>
  <c r="AG17" i="5"/>
  <c r="AH28" i="62"/>
  <c r="AU28" i="62"/>
  <c r="AH477" i="49"/>
  <c r="AG476" i="49"/>
  <c r="G38" i="68"/>
  <c r="F38" i="68"/>
  <c r="AG41" i="5"/>
  <c r="T41" i="5"/>
  <c r="AG347" i="31"/>
  <c r="AH348" i="31"/>
  <c r="CH47" i="5"/>
  <c r="CE47" i="5"/>
  <c r="AG62" i="49"/>
  <c r="AH63" i="49"/>
  <c r="M391" i="31"/>
  <c r="M398" i="31" s="1"/>
  <c r="M481" i="31" s="1"/>
  <c r="M527" i="31" s="1"/>
  <c r="M538" i="31" s="1"/>
  <c r="M387" i="31"/>
  <c r="AH348" i="49"/>
  <c r="AG347" i="49"/>
  <c r="AF177" i="31"/>
  <c r="AH316" i="49"/>
  <c r="AG315" i="49"/>
  <c r="AG392" i="49" s="1"/>
  <c r="AG399" i="49" s="1"/>
  <c r="T25" i="5"/>
  <c r="AG25" i="5"/>
  <c r="G45" i="68"/>
  <c r="F45" i="68"/>
  <c r="T51" i="5"/>
  <c r="AG51" i="5"/>
  <c r="AH35" i="49"/>
  <c r="AI36" i="49"/>
  <c r="E15" i="5"/>
  <c r="E22" i="5" s="1"/>
  <c r="T20" i="5"/>
  <c r="AG20" i="5"/>
  <c r="AA30" i="5"/>
  <c r="AD30" i="5"/>
  <c r="X607" i="45"/>
  <c r="AA313" i="45"/>
  <c r="M33" i="5"/>
  <c r="P33" i="5"/>
  <c r="AB313" i="45" s="1"/>
  <c r="S33" i="5"/>
  <c r="E26" i="68"/>
  <c r="Z313" i="45"/>
  <c r="AH470" i="49"/>
  <c r="AG469" i="49"/>
  <c r="BB48" i="5"/>
  <c r="BF29" i="5"/>
  <c r="AF107" i="49"/>
  <c r="AH566" i="49"/>
  <c r="AG565" i="49"/>
  <c r="AG267" i="31"/>
  <c r="AH268" i="31"/>
  <c r="BQ23" i="62"/>
  <c r="BT23" i="62"/>
  <c r="F43" i="68"/>
  <c r="G43" i="68"/>
  <c r="T49" i="5"/>
  <c r="AG49" i="5"/>
  <c r="AO47" i="5"/>
  <c r="AR47" i="5"/>
  <c r="AL607" i="45"/>
  <c r="DX30" i="5"/>
  <c r="DU30" i="5"/>
  <c r="Q44" i="62"/>
  <c r="AE44" i="62" s="1"/>
  <c r="AS44" i="62" s="1"/>
  <c r="BG44" i="62" s="1"/>
  <c r="BU44" i="62" s="1"/>
  <c r="CI44" i="62" s="1"/>
  <c r="CW44" i="62" s="1"/>
  <c r="DK44" i="62" s="1"/>
  <c r="DY44" i="62" s="1"/>
  <c r="EM44" i="62" s="1"/>
  <c r="FA44" i="62" s="1"/>
  <c r="FO44" i="62" s="1"/>
  <c r="C44" i="62"/>
  <c r="AG476" i="31"/>
  <c r="AH477" i="31"/>
  <c r="AH532" i="31"/>
  <c r="AG531" i="31"/>
  <c r="F14" i="68"/>
  <c r="G14" i="68"/>
  <c r="AA311" i="45"/>
  <c r="Z311" i="45"/>
  <c r="M23" i="5"/>
  <c r="S23" i="5"/>
  <c r="AG23" i="5" s="1"/>
  <c r="E16" i="68"/>
  <c r="P23" i="5"/>
  <c r="P387" i="49"/>
  <c r="P391" i="49"/>
  <c r="P398" i="49" s="1"/>
  <c r="P481" i="49" s="1"/>
  <c r="P527" i="49" s="1"/>
  <c r="P538" i="49" s="1"/>
  <c r="EL23" i="62"/>
  <c r="EI23" i="62"/>
  <c r="T38" i="5"/>
  <c r="AG38" i="5"/>
  <c r="AD391" i="31"/>
  <c r="AD398" i="31" s="1"/>
  <c r="AD481" i="31" s="1"/>
  <c r="AD527" i="31" s="1"/>
  <c r="AD538" i="31" s="1"/>
  <c r="AD387" i="31"/>
  <c r="FN29" i="5"/>
  <c r="FJ48" i="5"/>
  <c r="AG144" i="49"/>
  <c r="AH145" i="49"/>
  <c r="AG27" i="62"/>
  <c r="T27" i="62"/>
  <c r="BQ30" i="5"/>
  <c r="AD607" i="45"/>
  <c r="BT30" i="5"/>
  <c r="AH329" i="49"/>
  <c r="AG328" i="49"/>
  <c r="AH81" i="31"/>
  <c r="AG80" i="31"/>
  <c r="AH460" i="31"/>
  <c r="AG459" i="31"/>
  <c r="C55" i="5"/>
  <c r="AH443" i="31"/>
  <c r="AG442" i="31"/>
  <c r="AG416" i="49"/>
  <c r="AH421" i="49"/>
  <c r="E68" i="68"/>
  <c r="E24" i="62"/>
  <c r="M24" i="62"/>
  <c r="S24" i="62"/>
  <c r="AG28" i="5"/>
  <c r="T28" i="5"/>
  <c r="X391" i="31"/>
  <c r="X398" i="31" s="1"/>
  <c r="X481" i="31" s="1"/>
  <c r="X527" i="31" s="1"/>
  <c r="X538" i="31" s="1"/>
  <c r="X387" i="31"/>
  <c r="BC18" i="62"/>
  <c r="BB48" i="62"/>
  <c r="Z391" i="31"/>
  <c r="Z398" i="31" s="1"/>
  <c r="Z481" i="31" s="1"/>
  <c r="Z527" i="31" s="1"/>
  <c r="Z538" i="31" s="1"/>
  <c r="Z387" i="31"/>
  <c r="T53" i="5"/>
  <c r="AG53" i="5"/>
  <c r="M44" i="62"/>
  <c r="S44" i="62"/>
  <c r="E44" i="62"/>
  <c r="BC33" i="5"/>
  <c r="BF33" i="5"/>
  <c r="AG531" i="49"/>
  <c r="AH532" i="49"/>
  <c r="AH614" i="31"/>
  <c r="AI615" i="31"/>
  <c r="AH27" i="5"/>
  <c r="AU27" i="5"/>
  <c r="T387" i="49"/>
  <c r="T391" i="49"/>
  <c r="T398" i="49" s="1"/>
  <c r="T481" i="49" s="1"/>
  <c r="T527" i="49" s="1"/>
  <c r="T538" i="49" s="1"/>
  <c r="AG604" i="31"/>
  <c r="AH605" i="31"/>
  <c r="C15" i="5"/>
  <c r="AH257" i="49"/>
  <c r="AG256" i="49"/>
  <c r="G9" i="68"/>
  <c r="F9" i="68"/>
  <c r="G54" i="68"/>
  <c r="F54" i="68"/>
  <c r="AH558" i="31"/>
  <c r="AG557" i="31"/>
  <c r="AH169" i="31"/>
  <c r="AG168" i="31"/>
  <c r="BQ47" i="5"/>
  <c r="BT47" i="5"/>
  <c r="T35" i="5"/>
  <c r="AG35" i="5"/>
  <c r="AG604" i="49"/>
  <c r="AH605" i="49"/>
  <c r="BF23" i="5"/>
  <c r="BC23" i="5"/>
  <c r="FK23" i="62"/>
  <c r="FN23" i="62"/>
  <c r="AH169" i="49"/>
  <c r="AG168" i="49"/>
  <c r="AG157" i="49" s="1"/>
  <c r="R391" i="49"/>
  <c r="R398" i="49" s="1"/>
  <c r="R481" i="49" s="1"/>
  <c r="R527" i="49" s="1"/>
  <c r="R538" i="49" s="1"/>
  <c r="R387" i="49"/>
  <c r="AH570" i="49"/>
  <c r="AG569" i="49"/>
  <c r="G7" i="68"/>
  <c r="F7" i="68"/>
  <c r="G51" i="68"/>
  <c r="F51" i="68"/>
  <c r="P391" i="31"/>
  <c r="P398" i="31" s="1"/>
  <c r="P481" i="31" s="1"/>
  <c r="P527" i="31" s="1"/>
  <c r="P538" i="31" s="1"/>
  <c r="P387" i="31"/>
  <c r="M29" i="62"/>
  <c r="E73" i="68"/>
  <c r="S29" i="62"/>
  <c r="E29" i="62"/>
  <c r="P29" i="62"/>
  <c r="AB607" i="45"/>
  <c r="BF30" i="5"/>
  <c r="BC30" i="5"/>
  <c r="E47" i="5"/>
  <c r="I47" i="5" s="1"/>
  <c r="X391" i="49"/>
  <c r="X398" i="49" s="1"/>
  <c r="X481" i="49" s="1"/>
  <c r="X527" i="49" s="1"/>
  <c r="X538" i="49" s="1"/>
  <c r="X387" i="49"/>
  <c r="AN607" i="45"/>
  <c r="EI30" i="5"/>
  <c r="EL30" i="5"/>
  <c r="AH48" i="31"/>
  <c r="AG47" i="31"/>
  <c r="AH294" i="31"/>
  <c r="AG293" i="31"/>
  <c r="F63" i="68"/>
  <c r="AB387" i="49"/>
  <c r="AB391" i="49"/>
  <c r="AB398" i="49" s="1"/>
  <c r="AB481" i="49" s="1"/>
  <c r="AB527" i="49" s="1"/>
  <c r="AB538" i="49" s="1"/>
  <c r="G10" i="68"/>
  <c r="F10" i="68"/>
  <c r="AG614" i="49"/>
  <c r="AH615" i="49"/>
  <c r="N47" i="5"/>
  <c r="Q47" i="5"/>
  <c r="C40" i="68"/>
  <c r="AF156" i="49"/>
  <c r="AF300" i="49" s="1"/>
  <c r="AF314" i="49" s="1"/>
  <c r="T19" i="62"/>
  <c r="AG19" i="62"/>
  <c r="AG45" i="5"/>
  <c r="T45" i="5"/>
  <c r="AG32" i="5"/>
  <c r="T32" i="5"/>
  <c r="AI385" i="49"/>
  <c r="AH382" i="49"/>
  <c r="AF46" i="31"/>
  <c r="AF107" i="31" s="1"/>
  <c r="AF156" i="31" s="1"/>
  <c r="AF300" i="31" s="1"/>
  <c r="AF314" i="31" s="1"/>
  <c r="AF355" i="31" s="1"/>
  <c r="AF376" i="31" s="1"/>
  <c r="CS30" i="5"/>
  <c r="CV30" i="5"/>
  <c r="AH607" i="45"/>
  <c r="AH179" i="31"/>
  <c r="AG178" i="31"/>
  <c r="G18" i="68"/>
  <c r="F18" i="68"/>
  <c r="AG52" i="5"/>
  <c r="T52" i="5"/>
  <c r="DU23" i="62"/>
  <c r="DX23" i="62"/>
  <c r="AG366" i="49"/>
  <c r="AH367" i="49"/>
  <c r="AG333" i="49"/>
  <c r="AH334" i="49"/>
  <c r="M30" i="5"/>
  <c r="S30" i="5"/>
  <c r="AA312" i="45"/>
  <c r="V358" i="45"/>
  <c r="V607" i="45"/>
  <c r="E23" i="68"/>
  <c r="Z312" i="45"/>
  <c r="P30" i="5"/>
  <c r="AB312" i="45" s="1"/>
  <c r="AI570" i="31"/>
  <c r="AH569" i="31"/>
  <c r="G27" i="68"/>
  <c r="F27" i="68"/>
  <c r="T34" i="5"/>
  <c r="AG34" i="5"/>
  <c r="AH159" i="31"/>
  <c r="AG158" i="31"/>
  <c r="AH585" i="31"/>
  <c r="AG584" i="31"/>
  <c r="AD55" i="5"/>
  <c r="AA55" i="5"/>
  <c r="CH23" i="62"/>
  <c r="CE23" i="62"/>
  <c r="AG557" i="49"/>
  <c r="AH558" i="49"/>
  <c r="E62" i="68"/>
  <c r="L48" i="62"/>
  <c r="M18" i="62"/>
  <c r="S18" i="62"/>
  <c r="AF429" i="49"/>
  <c r="AG435" i="49"/>
  <c r="AG21" i="5"/>
  <c r="T21" i="5"/>
  <c r="T42" i="5"/>
  <c r="AG42" i="5"/>
  <c r="T36" i="5"/>
  <c r="AG36" i="5"/>
  <c r="AH229" i="31"/>
  <c r="AG228" i="31"/>
  <c r="T24" i="5"/>
  <c r="AG24" i="5"/>
  <c r="AH460" i="49"/>
  <c r="AG459" i="49"/>
  <c r="AI341" i="31"/>
  <c r="AH340" i="31"/>
  <c r="AH507" i="49"/>
  <c r="AG506" i="49"/>
  <c r="G71" i="68"/>
  <c r="F71" i="68"/>
  <c r="AH443" i="49"/>
  <c r="AG442" i="49"/>
  <c r="AG54" i="5"/>
  <c r="T54" i="5"/>
  <c r="L21" i="62"/>
  <c r="C399" i="31"/>
  <c r="CS23" i="5"/>
  <c r="CV23" i="5"/>
  <c r="CR29" i="5"/>
  <c r="AB518" i="45" s="1"/>
  <c r="CR44" i="5"/>
  <c r="Q43" i="62"/>
  <c r="AE43" i="62" s="1"/>
  <c r="AS43" i="62" s="1"/>
  <c r="BG43" i="62" s="1"/>
  <c r="BU43" i="62" s="1"/>
  <c r="CI43" i="62" s="1"/>
  <c r="CW43" i="62" s="1"/>
  <c r="DK43" i="62" s="1"/>
  <c r="DY43" i="62" s="1"/>
  <c r="EM43" i="62" s="1"/>
  <c r="FA43" i="62" s="1"/>
  <c r="FO43" i="62" s="1"/>
  <c r="C43" i="62"/>
  <c r="F70" i="68"/>
  <c r="CH29" i="5"/>
  <c r="CD48" i="5"/>
  <c r="DU33" i="5"/>
  <c r="DX33" i="5"/>
  <c r="AH562" i="31"/>
  <c r="AG561" i="31"/>
  <c r="BF55" i="5"/>
  <c r="BC55" i="5"/>
  <c r="F12" i="68"/>
  <c r="AI239" i="49"/>
  <c r="AH238" i="49"/>
  <c r="EF56" i="5"/>
  <c r="EJ56" i="5" s="1"/>
  <c r="C26" i="68"/>
  <c r="Q33" i="5"/>
  <c r="F25" i="68"/>
  <c r="AG153" i="49"/>
  <c r="AH154" i="49"/>
  <c r="S391" i="49"/>
  <c r="S398" i="49" s="1"/>
  <c r="S481" i="49" s="1"/>
  <c r="S527" i="49" s="1"/>
  <c r="S538" i="49" s="1"/>
  <c r="S387" i="49"/>
  <c r="EV48" i="62"/>
  <c r="EW18" i="62"/>
  <c r="AH543" i="49"/>
  <c r="AG542" i="49"/>
  <c r="N33" i="5"/>
  <c r="J22" i="5"/>
  <c r="C8" i="68"/>
  <c r="Q15" i="5"/>
  <c r="AE15" i="5" s="1"/>
  <c r="AS15" i="5" s="1"/>
  <c r="BG15" i="5" s="1"/>
  <c r="BU15" i="5" s="1"/>
  <c r="CI15" i="5" s="1"/>
  <c r="CW15" i="5" s="1"/>
  <c r="DK15" i="5" s="1"/>
  <c r="DY15" i="5" s="1"/>
  <c r="EM15" i="5" s="1"/>
  <c r="FA15" i="5" s="1"/>
  <c r="FO15" i="5" s="1"/>
  <c r="AH382" i="31"/>
  <c r="AI383" i="31"/>
  <c r="AH307" i="49"/>
  <c r="AG306" i="49"/>
  <c r="AH90" i="31"/>
  <c r="AG89" i="31"/>
  <c r="AH189" i="31"/>
  <c r="AG188" i="31"/>
  <c r="F11" i="68"/>
  <c r="AH488" i="49"/>
  <c r="AG487" i="49"/>
  <c r="DR56" i="5"/>
  <c r="F28" i="68"/>
  <c r="G28" i="68"/>
  <c r="AU39" i="5"/>
  <c r="AH39" i="5"/>
  <c r="AH99" i="31"/>
  <c r="AG98" i="31"/>
  <c r="C42" i="62"/>
  <c r="Q42" i="62"/>
  <c r="AE42" i="62" s="1"/>
  <c r="AS42" i="62" s="1"/>
  <c r="BG42" i="62" s="1"/>
  <c r="BU42" i="62" s="1"/>
  <c r="CI42" i="62" s="1"/>
  <c r="CW42" i="62" s="1"/>
  <c r="DK42" i="62" s="1"/>
  <c r="DY42" i="62" s="1"/>
  <c r="EM42" i="62" s="1"/>
  <c r="FA42" i="62" s="1"/>
  <c r="FO42" i="62" s="1"/>
  <c r="AG328" i="31"/>
  <c r="AH329" i="31"/>
  <c r="AG600" i="31"/>
  <c r="AH601" i="31"/>
  <c r="AH543" i="31"/>
  <c r="AG542" i="31"/>
  <c r="T14" i="5"/>
  <c r="AG14" i="5"/>
  <c r="AG19" i="5"/>
  <c r="T19" i="5"/>
  <c r="T26" i="62"/>
  <c r="AG26" i="62"/>
  <c r="AG37" i="5"/>
  <c r="T37" i="5"/>
  <c r="Y391" i="31"/>
  <c r="Y398" i="31" s="1"/>
  <c r="Y481" i="31" s="1"/>
  <c r="Y527" i="31" s="1"/>
  <c r="Y538" i="31" s="1"/>
  <c r="Y387" i="31"/>
  <c r="AH268" i="49"/>
  <c r="AG267" i="49"/>
  <c r="G47" i="5"/>
  <c r="AG109" i="49"/>
  <c r="AH110" i="49"/>
  <c r="BP48" i="62"/>
  <c r="BQ18" i="62"/>
  <c r="BN62" i="5"/>
  <c r="BN17" i="62"/>
  <c r="BN20" i="62" s="1"/>
  <c r="BN31" i="62" s="1"/>
  <c r="BN35" i="62" s="1"/>
  <c r="BN37" i="62" s="1"/>
  <c r="DU47" i="5"/>
  <c r="DX47" i="5"/>
  <c r="T60" i="5"/>
  <c r="AG60" i="5"/>
  <c r="EL47" i="5"/>
  <c r="EI47" i="5"/>
  <c r="AH356" i="49"/>
  <c r="AI357" i="49"/>
  <c r="S47" i="5"/>
  <c r="Z314" i="45"/>
  <c r="E40" i="68"/>
  <c r="AA314" i="45"/>
  <c r="M47" i="5"/>
  <c r="P47" i="5"/>
  <c r="AB314" i="45" s="1"/>
  <c r="F34" i="68"/>
  <c r="G34" i="68"/>
  <c r="C23" i="68"/>
  <c r="Q30" i="5"/>
  <c r="N30" i="5"/>
  <c r="T387" i="31"/>
  <c r="T391" i="31"/>
  <c r="T398" i="31" s="1"/>
  <c r="T481" i="31" s="1"/>
  <c r="T527" i="31" s="1"/>
  <c r="T538" i="31" s="1"/>
  <c r="AG9" i="31"/>
  <c r="AH10" i="31"/>
  <c r="AH220" i="31"/>
  <c r="AG219" i="31"/>
  <c r="Q387" i="31"/>
  <c r="Q391" i="31"/>
  <c r="Q398" i="31" s="1"/>
  <c r="Q481" i="31" s="1"/>
  <c r="Q527" i="31" s="1"/>
  <c r="Q538" i="31" s="1"/>
  <c r="F78" i="68"/>
  <c r="G78" i="68"/>
  <c r="AH294" i="49"/>
  <c r="AG293" i="49"/>
  <c r="AG306" i="31"/>
  <c r="AG313" i="31" s="1"/>
  <c r="AH307" i="31"/>
  <c r="DJ47" i="5"/>
  <c r="DG47" i="5"/>
  <c r="DG33" i="5"/>
  <c r="DJ33" i="5"/>
  <c r="AG153" i="31"/>
  <c r="AH154" i="31"/>
  <c r="G13" i="68"/>
  <c r="F13" i="68"/>
  <c r="C73" i="68"/>
  <c r="Q29" i="62"/>
  <c r="C29" i="62"/>
  <c r="G29" i="62" s="1"/>
  <c r="N29" i="62"/>
  <c r="BQ23" i="5"/>
  <c r="BT23" i="5"/>
  <c r="AG31" i="5"/>
  <c r="AG208" i="31"/>
  <c r="AH209" i="31"/>
  <c r="F34" i="5"/>
  <c r="E33" i="5"/>
  <c r="J48" i="62"/>
  <c r="C62" i="68"/>
  <c r="Q18" i="62"/>
  <c r="G156" i="49"/>
  <c r="C107" i="49"/>
  <c r="AG356" i="31"/>
  <c r="AH357" i="31"/>
  <c r="T26" i="5"/>
  <c r="AG26" i="5"/>
  <c r="H391" i="49"/>
  <c r="H398" i="49" s="1"/>
  <c r="H481" i="49" s="1"/>
  <c r="H527" i="49" s="1"/>
  <c r="H538" i="49" s="1"/>
  <c r="H387" i="49"/>
  <c r="AH63" i="31"/>
  <c r="AG62" i="31"/>
  <c r="AG286" i="31"/>
  <c r="AH287" i="31"/>
  <c r="FJ48" i="62"/>
  <c r="FK18" i="62"/>
  <c r="AG482" i="31"/>
  <c r="AH483" i="31"/>
  <c r="DX23" i="5"/>
  <c r="DU23" i="5"/>
  <c r="DT44" i="5"/>
  <c r="FH56" i="5"/>
  <c r="AH378" i="31"/>
  <c r="AG377" i="31"/>
  <c r="G35" i="68"/>
  <c r="F35" i="68"/>
  <c r="DT29" i="5"/>
  <c r="G17" i="68"/>
  <c r="F17" i="68"/>
  <c r="L387" i="31"/>
  <c r="L391" i="31"/>
  <c r="L398" i="31" s="1"/>
  <c r="L481" i="31" s="1"/>
  <c r="L527" i="31" s="1"/>
  <c r="L538" i="31" s="1"/>
  <c r="J21" i="62"/>
  <c r="C399" i="49"/>
  <c r="C41" i="13" s="1"/>
  <c r="J387" i="31"/>
  <c r="J391" i="31"/>
  <c r="J398" i="31" s="1"/>
  <c r="J481" i="31" s="1"/>
  <c r="J527" i="31" s="1"/>
  <c r="J538" i="31" s="1"/>
  <c r="M55" i="5"/>
  <c r="S55" i="5"/>
  <c r="Z315" i="45"/>
  <c r="E48" i="68"/>
  <c r="AA315" i="45"/>
  <c r="P55" i="5"/>
  <c r="AB315" i="45" s="1"/>
  <c r="E55" i="5"/>
  <c r="AI470" i="31"/>
  <c r="AH469" i="31"/>
  <c r="AG553" i="49"/>
  <c r="AH554" i="49"/>
  <c r="F44" i="68"/>
  <c r="T43" i="5"/>
  <c r="AG43" i="5"/>
  <c r="AH394" i="49"/>
  <c r="AG393" i="49"/>
  <c r="AP607" i="45"/>
  <c r="EW30" i="5"/>
  <c r="G46" i="68"/>
  <c r="F46" i="68"/>
  <c r="CV33" i="5"/>
  <c r="CS33" i="5"/>
  <c r="G74" i="68"/>
  <c r="F74" i="68"/>
  <c r="AG366" i="31"/>
  <c r="AH367" i="31"/>
  <c r="EL23" i="5"/>
  <c r="EI23" i="5"/>
  <c r="EH44" i="5"/>
  <c r="AH488" i="31"/>
  <c r="AG487" i="31"/>
  <c r="AH483" i="49"/>
  <c r="AG482" i="49"/>
  <c r="AG16" i="5"/>
  <c r="T16" i="5"/>
  <c r="T61" i="5"/>
  <c r="AG61" i="5"/>
  <c r="T32" i="62"/>
  <c r="AG32" i="62"/>
  <c r="AA47" i="5"/>
  <c r="AD47" i="5"/>
  <c r="CD44" i="5"/>
  <c r="CH30" i="5"/>
  <c r="AF607" i="45"/>
  <c r="CE30" i="5"/>
  <c r="T33" i="62"/>
  <c r="AG33" i="62"/>
  <c r="AG565" i="31"/>
  <c r="AH566" i="31"/>
  <c r="C23" i="5"/>
  <c r="AJ12" i="20"/>
  <c r="AJ13" i="20" s="1"/>
  <c r="BP56" i="5"/>
  <c r="Z520" i="45" s="1"/>
  <c r="BT44" i="5"/>
  <c r="AI179" i="49"/>
  <c r="AH178" i="49"/>
  <c r="BT29" i="5"/>
  <c r="BP48" i="5"/>
  <c r="AH89" i="49"/>
  <c r="AI90" i="49"/>
  <c r="AZ62" i="5"/>
  <c r="CP35" i="62"/>
  <c r="CP37" i="62" s="1"/>
  <c r="ET62" i="5"/>
  <c r="ET17" i="62"/>
  <c r="ET20" i="62" s="1"/>
  <c r="ET31" i="62" s="1"/>
  <c r="AJ180" i="31"/>
  <c r="AJ231" i="49"/>
  <c r="AI228" i="49"/>
  <c r="AJ100" i="31"/>
  <c r="AJ490" i="49"/>
  <c r="AJ295" i="49"/>
  <c r="AK549" i="49"/>
  <c r="AK128" i="31"/>
  <c r="AJ304" i="49"/>
  <c r="AJ556" i="31"/>
  <c r="AI553" i="31"/>
  <c r="AJ379" i="31"/>
  <c r="AK291" i="49"/>
  <c r="AJ142" i="31"/>
  <c r="AI136" i="31"/>
  <c r="AJ349" i="49"/>
  <c r="AJ309" i="49"/>
  <c r="AJ60" i="31"/>
  <c r="AL190" i="31"/>
  <c r="AK51" i="49"/>
  <c r="AK86" i="31"/>
  <c r="AJ610" i="49"/>
  <c r="AI609" i="49"/>
  <c r="AI136" i="49"/>
  <c r="AJ137" i="49"/>
  <c r="AI158" i="49"/>
  <c r="AJ159" i="49"/>
  <c r="AZ35" i="62"/>
  <c r="AZ37" i="62" s="1"/>
  <c r="AZ46" i="62"/>
  <c r="AZ49" i="62" s="1"/>
  <c r="J314" i="49"/>
  <c r="DD46" i="62"/>
  <c r="DD49" i="62" s="1"/>
  <c r="DD35" i="62"/>
  <c r="DD37" i="62" s="1"/>
  <c r="AJ302" i="31"/>
  <c r="AI301" i="31"/>
  <c r="AJ128" i="49"/>
  <c r="AI127" i="49"/>
  <c r="AK472" i="31"/>
  <c r="AL563" i="31"/>
  <c r="AK231" i="31"/>
  <c r="AK383" i="49"/>
  <c r="AJ35" i="31"/>
  <c r="AK36" i="31"/>
  <c r="AL554" i="31"/>
  <c r="AL180" i="49"/>
  <c r="AK173" i="31"/>
  <c r="AK468" i="31"/>
  <c r="AL318" i="49"/>
  <c r="AL166" i="31"/>
  <c r="AL563" i="49"/>
  <c r="AK222" i="31"/>
  <c r="I376" i="49"/>
  <c r="AL64" i="31"/>
  <c r="AK113" i="49"/>
  <c r="AM572" i="31"/>
  <c r="AL61" i="31"/>
  <c r="AK444" i="49"/>
  <c r="AM444" i="31"/>
  <c r="AL71" i="49"/>
  <c r="AM72" i="49"/>
  <c r="AM229" i="49"/>
  <c r="AN448" i="49"/>
  <c r="I131" i="18"/>
  <c r="I133" i="18" s="1"/>
  <c r="AN418" i="31"/>
  <c r="AN171" i="49"/>
  <c r="AN250" i="49"/>
  <c r="FM55" i="5"/>
  <c r="FK55" i="5"/>
  <c r="AJ16" i="20"/>
  <c r="D21" i="18"/>
  <c r="F123" i="18"/>
  <c r="F131" i="18" s="1"/>
  <c r="EA57" i="5"/>
  <c r="D21" i="25"/>
  <c r="F123" i="25"/>
  <c r="F131" i="25" s="1"/>
  <c r="BV23" i="5"/>
  <c r="DL47" i="5"/>
  <c r="C33" i="17"/>
  <c r="D33" i="17" s="1"/>
  <c r="DN25" i="62"/>
  <c r="EA25" i="62"/>
  <c r="H62" i="20"/>
  <c r="AE63" i="20"/>
  <c r="D21" i="24"/>
  <c r="F123" i="24"/>
  <c r="F131" i="24" s="1"/>
  <c r="DZ29" i="62"/>
  <c r="AG516" i="45"/>
  <c r="EN30" i="5"/>
  <c r="D47" i="5"/>
  <c r="C74" i="28"/>
  <c r="F45" i="5"/>
  <c r="Z13" i="20"/>
  <c r="Z16" i="20"/>
  <c r="W13" i="20"/>
  <c r="W16" i="20"/>
  <c r="X16" i="20"/>
  <c r="X13" i="20"/>
  <c r="J12" i="29"/>
  <c r="AO430" i="31"/>
  <c r="EG22" i="5"/>
  <c r="EK30" i="5"/>
  <c r="EJ23" i="5"/>
  <c r="EJ30" i="5"/>
  <c r="EJ29" i="62"/>
  <c r="EJ47" i="5"/>
  <c r="EJ33" i="5"/>
  <c r="EK33" i="5"/>
  <c r="EI15" i="5"/>
  <c r="EJ55" i="5"/>
  <c r="EK23" i="62"/>
  <c r="EJ22" i="5"/>
  <c r="EJ44" i="5"/>
  <c r="EJ23" i="62"/>
  <c r="EJ29" i="5"/>
  <c r="EK29" i="62"/>
  <c r="AE509" i="45"/>
  <c r="EK23" i="5"/>
  <c r="EK55" i="5"/>
  <c r="EK47" i="5"/>
  <c r="DL33" i="5"/>
  <c r="D21" i="23"/>
  <c r="F123" i="23"/>
  <c r="F131" i="23" s="1"/>
  <c r="L37" i="17"/>
  <c r="AF544" i="45"/>
  <c r="AF542" i="45"/>
  <c r="AF538" i="45"/>
  <c r="AF534" i="45"/>
  <c r="AG12" i="20"/>
  <c r="AH12" i="20"/>
  <c r="AI12" i="20"/>
  <c r="U37" i="17"/>
  <c r="H8" i="20"/>
  <c r="H11" i="20" s="1"/>
  <c r="J6" i="20"/>
  <c r="J8" i="20" s="1"/>
  <c r="J11" i="20" s="1"/>
  <c r="J17" i="6"/>
  <c r="K17" i="6" s="1"/>
  <c r="H18" i="6" s="1"/>
  <c r="AP14" i="20"/>
  <c r="AP15" i="20" s="1"/>
  <c r="AL14" i="20"/>
  <c r="AL15" i="20" s="1"/>
  <c r="AH14" i="20"/>
  <c r="AH15" i="20" s="1"/>
  <c r="AO14" i="20"/>
  <c r="AO15" i="20" s="1"/>
  <c r="AK14" i="20"/>
  <c r="AK15" i="20" s="1"/>
  <c r="AG14" i="20"/>
  <c r="AG15" i="20" s="1"/>
  <c r="AN14" i="20"/>
  <c r="AN15" i="20" s="1"/>
  <c r="AJ14" i="20"/>
  <c r="AJ15" i="20" s="1"/>
  <c r="AF14" i="20"/>
  <c r="AF15" i="20" s="1"/>
  <c r="AM14" i="20"/>
  <c r="AM15" i="20" s="1"/>
  <c r="AI14" i="20"/>
  <c r="AI15" i="20" s="1"/>
  <c r="AE14" i="20"/>
  <c r="H14" i="20" s="1"/>
  <c r="J14" i="20" s="1"/>
  <c r="DE22" i="5"/>
  <c r="DH29" i="62"/>
  <c r="DH23" i="5"/>
  <c r="DH33" i="5"/>
  <c r="DI30" i="5"/>
  <c r="DH47" i="5"/>
  <c r="DH30" i="5"/>
  <c r="DH22" i="5"/>
  <c r="DH55" i="5"/>
  <c r="DI23" i="62"/>
  <c r="DG15" i="5"/>
  <c r="DI33" i="5"/>
  <c r="DH44" i="5"/>
  <c r="DI29" i="62"/>
  <c r="DH23" i="62"/>
  <c r="DH29" i="5"/>
  <c r="AC509" i="45"/>
  <c r="DH56" i="5"/>
  <c r="DI23" i="5"/>
  <c r="DI47" i="5"/>
  <c r="DH59" i="5"/>
  <c r="DI55" i="5"/>
  <c r="DH62" i="5"/>
  <c r="DH20" i="62"/>
  <c r="DH31" i="62"/>
  <c r="H30" i="20"/>
  <c r="AE31" i="20"/>
  <c r="O37" i="17"/>
  <c r="H94" i="20"/>
  <c r="AE95" i="20"/>
  <c r="C23" i="17"/>
  <c r="AC108" i="19"/>
  <c r="DZ23" i="62"/>
  <c r="FB55" i="5"/>
  <c r="S13" i="20"/>
  <c r="S16" i="20"/>
  <c r="AC16" i="20"/>
  <c r="AC13" i="20"/>
  <c r="R15" i="20"/>
  <c r="EN18" i="62"/>
  <c r="DZ48" i="62"/>
  <c r="D30" i="20"/>
  <c r="C31" i="20"/>
  <c r="D21" i="22"/>
  <c r="F123" i="22"/>
  <c r="F131" i="22" s="1"/>
  <c r="D46" i="20"/>
  <c r="C47" i="20"/>
  <c r="R37" i="17"/>
  <c r="H110" i="20"/>
  <c r="AE111" i="20"/>
  <c r="EU22" i="5"/>
  <c r="EX23" i="5"/>
  <c r="EW15" i="5"/>
  <c r="EX22" i="5"/>
  <c r="EX29" i="5"/>
  <c r="AF509" i="45"/>
  <c r="R12" i="5"/>
  <c r="D12" i="5"/>
  <c r="K15" i="5"/>
  <c r="D5" i="68"/>
  <c r="G5" i="68" s="1"/>
  <c r="M12" i="5"/>
  <c r="AK12" i="20"/>
  <c r="AL12" i="20"/>
  <c r="AM12" i="20"/>
  <c r="AN12" i="20"/>
  <c r="H12" i="20" s="1"/>
  <c r="D62" i="20"/>
  <c r="C63" i="20"/>
  <c r="AO137" i="31"/>
  <c r="DM42" i="62"/>
  <c r="CJ24" i="5"/>
  <c r="DZ47" i="62"/>
  <c r="EN21" i="62"/>
  <c r="H78" i="20"/>
  <c r="AE79" i="20"/>
  <c r="X37" i="17"/>
  <c r="BA22" i="5"/>
  <c r="Y509" i="45"/>
  <c r="BE55" i="5"/>
  <c r="BE30" i="5"/>
  <c r="BE47" i="5"/>
  <c r="BD29" i="62"/>
  <c r="BD33" i="5"/>
  <c r="BE33" i="5"/>
  <c r="BD55" i="5"/>
  <c r="BE29" i="62"/>
  <c r="BC15" i="5"/>
  <c r="BD47" i="5"/>
  <c r="BD23" i="5"/>
  <c r="BD30" i="5"/>
  <c r="BD22" i="5"/>
  <c r="BE23" i="62"/>
  <c r="BD23" i="62"/>
  <c r="BD29" i="5"/>
  <c r="BD44" i="5"/>
  <c r="BD56" i="5"/>
  <c r="BD59" i="5"/>
  <c r="BE23" i="5"/>
  <c r="BD62" i="5"/>
  <c r="BD20" i="62"/>
  <c r="BD31" i="62"/>
  <c r="DS22" i="5"/>
  <c r="DW30" i="5"/>
  <c r="DV23" i="5"/>
  <c r="DW23" i="62"/>
  <c r="DV30" i="5"/>
  <c r="DV47" i="5"/>
  <c r="DV33" i="5"/>
  <c r="DV29" i="62"/>
  <c r="DV22" i="5"/>
  <c r="DW33" i="5"/>
  <c r="DU15" i="5"/>
  <c r="DV55" i="5"/>
  <c r="DV44" i="5"/>
  <c r="DV23" i="62"/>
  <c r="DV29" i="5"/>
  <c r="DV56" i="5"/>
  <c r="DW29" i="62"/>
  <c r="AD509" i="45"/>
  <c r="DW23" i="5"/>
  <c r="DW47" i="5"/>
  <c r="DW55" i="5"/>
  <c r="Y16" i="20"/>
  <c r="Y13" i="20"/>
  <c r="AA13" i="20"/>
  <c r="AA16" i="20"/>
  <c r="V13" i="20"/>
  <c r="V16" i="20"/>
  <c r="L12" i="29"/>
  <c r="BO22" i="5"/>
  <c r="BS30" i="5"/>
  <c r="BR29" i="62"/>
  <c r="Z509" i="45"/>
  <c r="BQ15" i="5"/>
  <c r="BS55" i="5"/>
  <c r="BS23" i="62"/>
  <c r="BR33" i="5"/>
  <c r="BS47" i="5"/>
  <c r="BR47" i="5"/>
  <c r="BS29" i="62"/>
  <c r="BR23" i="5"/>
  <c r="BS33" i="5"/>
  <c r="BR55" i="5"/>
  <c r="BR22" i="5"/>
  <c r="BR30" i="5"/>
  <c r="BR23" i="62"/>
  <c r="BR29" i="5"/>
  <c r="BR44" i="5"/>
  <c r="BR56" i="5"/>
  <c r="BS23" i="5"/>
  <c r="BR59" i="5"/>
  <c r="BR62" i="5"/>
  <c r="BR31" i="62"/>
  <c r="FI43" i="62"/>
  <c r="FK43" i="62" s="1"/>
  <c r="FK51" i="5"/>
  <c r="Y22" i="5"/>
  <c r="W509" i="45"/>
  <c r="AC55" i="5"/>
  <c r="AC47" i="5"/>
  <c r="AC29" i="62"/>
  <c r="AB23" i="5"/>
  <c r="AB47" i="5"/>
  <c r="AB33" i="5"/>
  <c r="AC30" i="5"/>
  <c r="AB30" i="5"/>
  <c r="AB29" i="62"/>
  <c r="AC23" i="62"/>
  <c r="AB22" i="5"/>
  <c r="AB55" i="5"/>
  <c r="AA15" i="5"/>
  <c r="AC33" i="5"/>
  <c r="AB23" i="62"/>
  <c r="AB44" i="5"/>
  <c r="AB29" i="5"/>
  <c r="AB56" i="5"/>
  <c r="AC23" i="5"/>
  <c r="H46" i="20"/>
  <c r="AE47" i="20"/>
  <c r="AG531" i="45"/>
  <c r="AG530" i="45"/>
  <c r="AO12" i="20"/>
  <c r="AP12" i="20"/>
  <c r="FM47" i="5"/>
  <c r="FK47" i="5"/>
  <c r="D94" i="20"/>
  <c r="C95" i="20"/>
  <c r="FK44" i="62"/>
  <c r="D44" i="62"/>
  <c r="F44" i="62" s="1"/>
  <c r="F49" i="17"/>
  <c r="F30" i="17"/>
  <c r="CQ22" i="5"/>
  <c r="CT23" i="5"/>
  <c r="CT47" i="5"/>
  <c r="CU30" i="5"/>
  <c r="CT33" i="5"/>
  <c r="CT30" i="5"/>
  <c r="CT29" i="62"/>
  <c r="CT22" i="5"/>
  <c r="CT55" i="5"/>
  <c r="CU33" i="5"/>
  <c r="CU29" i="62"/>
  <c r="CU23" i="62"/>
  <c r="CS15" i="5"/>
  <c r="CT29" i="5"/>
  <c r="CT23" i="62"/>
  <c r="CT44" i="5"/>
  <c r="AB509" i="45"/>
  <c r="CU47" i="5"/>
  <c r="CU55" i="5"/>
  <c r="CT56" i="5"/>
  <c r="CU23" i="5"/>
  <c r="CT59" i="5"/>
  <c r="CT62" i="5"/>
  <c r="CT20" i="62"/>
  <c r="CT31" i="62"/>
  <c r="D23" i="5"/>
  <c r="F24" i="5"/>
  <c r="CJ21" i="5"/>
  <c r="D110" i="20"/>
  <c r="C111" i="20"/>
  <c r="AM22" i="5"/>
  <c r="AP29" i="62"/>
  <c r="AP33" i="5"/>
  <c r="AQ55" i="5"/>
  <c r="AQ29" i="62"/>
  <c r="AP30" i="5"/>
  <c r="AP23" i="5"/>
  <c r="AQ30" i="5"/>
  <c r="AP47" i="5"/>
  <c r="AQ33" i="5"/>
  <c r="AQ47" i="5"/>
  <c r="AP22" i="5"/>
  <c r="AO15" i="5"/>
  <c r="AP55" i="5"/>
  <c r="AQ23" i="62"/>
  <c r="AP44" i="5"/>
  <c r="AP29" i="5"/>
  <c r="AP23" i="62"/>
  <c r="AP56" i="5"/>
  <c r="AQ23" i="5"/>
  <c r="AP59" i="5"/>
  <c r="M9" i="12"/>
  <c r="M8" i="12"/>
  <c r="CX16" i="5"/>
  <c r="AG512" i="45"/>
  <c r="AP430" i="49"/>
  <c r="T16" i="20"/>
  <c r="T13" i="20"/>
  <c r="U16" i="20"/>
  <c r="U13" i="20"/>
  <c r="AB16" i="20"/>
  <c r="AB13" i="20"/>
  <c r="I13" i="29"/>
  <c r="J13" i="29" s="1"/>
  <c r="H14" i="29"/>
  <c r="G13" i="29"/>
  <c r="FM23" i="5"/>
  <c r="FK23" i="5"/>
  <c r="EA12" i="5"/>
  <c r="EY55" i="5"/>
  <c r="EW55" i="5"/>
  <c r="D51" i="5"/>
  <c r="F51" i="5" s="1"/>
  <c r="D21" i="26"/>
  <c r="F123" i="26"/>
  <c r="F131" i="26" s="1"/>
  <c r="D21" i="21"/>
  <c r="F123" i="21"/>
  <c r="F131" i="21" s="1"/>
  <c r="I37" i="17"/>
  <c r="D78" i="20"/>
  <c r="C79" i="20"/>
  <c r="D55" i="5"/>
  <c r="F54" i="5"/>
  <c r="FI22" i="5"/>
  <c r="FL47" i="5"/>
  <c r="FL30" i="5"/>
  <c r="FL29" i="62"/>
  <c r="FL23" i="5"/>
  <c r="FL33" i="5"/>
  <c r="FM30" i="5"/>
  <c r="FL55" i="5"/>
  <c r="FL22" i="5"/>
  <c r="FM23" i="62"/>
  <c r="FK15" i="5"/>
  <c r="FM33" i="5"/>
  <c r="FL44" i="5"/>
  <c r="FL23" i="62"/>
  <c r="FL29" i="5"/>
  <c r="FL56" i="5"/>
  <c r="FM29" i="62"/>
  <c r="CC22" i="5"/>
  <c r="CE15" i="5"/>
  <c r="CF33" i="5"/>
  <c r="CF30" i="5"/>
  <c r="CF29" i="62"/>
  <c r="CF47" i="5"/>
  <c r="CG30" i="5"/>
  <c r="CF23" i="5"/>
  <c r="CG29" i="62"/>
  <c r="CG33" i="5"/>
  <c r="CG23" i="62"/>
  <c r="CF55" i="5"/>
  <c r="CF22" i="5"/>
  <c r="CG47" i="5"/>
  <c r="CF44" i="5"/>
  <c r="CG55" i="5"/>
  <c r="CF29" i="5"/>
  <c r="CF23" i="62"/>
  <c r="CF56" i="5"/>
  <c r="CF59" i="5"/>
  <c r="CG23" i="5"/>
  <c r="AE13" i="20"/>
  <c r="AE16" i="20"/>
  <c r="AF12" i="20"/>
  <c r="C49" i="44" l="1"/>
  <c r="EZ47" i="5"/>
  <c r="EW47" i="5"/>
  <c r="FP43" i="62"/>
  <c r="H23" i="68"/>
  <c r="H26" i="68"/>
  <c r="DX29" i="5"/>
  <c r="AD518" i="45"/>
  <c r="AD516" i="45" s="1"/>
  <c r="X314" i="45"/>
  <c r="AB311" i="45"/>
  <c r="X311" i="45"/>
  <c r="AD22" i="5"/>
  <c r="E3" i="12" s="1"/>
  <c r="W514" i="45"/>
  <c r="U383" i="45"/>
  <c r="V336" i="45"/>
  <c r="W336" i="45"/>
  <c r="X312" i="45"/>
  <c r="X313" i="45"/>
  <c r="X315" i="45"/>
  <c r="R391" i="31"/>
  <c r="R398" i="31" s="1"/>
  <c r="R481" i="31" s="1"/>
  <c r="R527" i="31" s="1"/>
  <c r="R538" i="31" s="1"/>
  <c r="R387" i="31"/>
  <c r="AB516" i="45"/>
  <c r="AB512" i="45"/>
  <c r="AN44" i="5"/>
  <c r="AN56" i="5" s="1"/>
  <c r="X514" i="45"/>
  <c r="CS55" i="5"/>
  <c r="CV55" i="5"/>
  <c r="DG55" i="5"/>
  <c r="DJ55" i="5"/>
  <c r="AU40" i="5"/>
  <c r="AH40" i="5"/>
  <c r="CV23" i="62"/>
  <c r="CS23" i="62"/>
  <c r="DF48" i="62"/>
  <c r="DG18" i="62"/>
  <c r="BF47" i="5"/>
  <c r="BC47" i="5"/>
  <c r="AI316" i="31"/>
  <c r="AH315" i="31"/>
  <c r="AH392" i="31" s="1"/>
  <c r="AH399" i="31" s="1"/>
  <c r="AN29" i="5"/>
  <c r="X518" i="45" s="1"/>
  <c r="AR22" i="5"/>
  <c r="G3" i="12" s="1"/>
  <c r="CR48" i="62"/>
  <c r="CS18" i="62"/>
  <c r="FJ44" i="5"/>
  <c r="FK30" i="5"/>
  <c r="AR607" i="45"/>
  <c r="FN30" i="5"/>
  <c r="DG23" i="62"/>
  <c r="DJ23" i="62"/>
  <c r="AG561" i="49"/>
  <c r="AH562" i="49"/>
  <c r="AE391" i="49"/>
  <c r="AE398" i="49" s="1"/>
  <c r="AE481" i="49" s="1"/>
  <c r="AE527" i="49" s="1"/>
  <c r="AE538" i="49" s="1"/>
  <c r="AE387" i="49"/>
  <c r="AG107" i="49"/>
  <c r="AF355" i="49"/>
  <c r="AF376" i="49" s="1"/>
  <c r="BR20" i="62"/>
  <c r="H73" i="68"/>
  <c r="AG46" i="31"/>
  <c r="AG107" i="31" s="1"/>
  <c r="AG177" i="49"/>
  <c r="G55" i="5"/>
  <c r="AH23" i="5"/>
  <c r="AU23" i="5"/>
  <c r="BN46" i="62"/>
  <c r="BN49" i="62" s="1"/>
  <c r="CH44" i="5"/>
  <c r="CD56" i="5"/>
  <c r="AA520" i="45" s="1"/>
  <c r="AU16" i="5"/>
  <c r="AH16" i="5"/>
  <c r="AH487" i="31"/>
  <c r="AI488" i="31"/>
  <c r="AI367" i="31"/>
  <c r="AH366" i="31"/>
  <c r="AU43" i="5"/>
  <c r="AH43" i="5"/>
  <c r="AH553" i="49"/>
  <c r="AI554" i="49"/>
  <c r="C10" i="44"/>
  <c r="I55" i="5"/>
  <c r="FH59" i="5"/>
  <c r="FH41" i="62"/>
  <c r="FH45" i="62" s="1"/>
  <c r="AH482" i="31"/>
  <c r="AI483" i="31"/>
  <c r="AH286" i="31"/>
  <c r="AI287" i="31"/>
  <c r="AH356" i="31"/>
  <c r="AI357" i="31"/>
  <c r="Q48" i="62"/>
  <c r="AE18" i="62"/>
  <c r="AE29" i="62"/>
  <c r="AS29" i="62" s="1"/>
  <c r="BG29" i="62" s="1"/>
  <c r="BU29" i="62" s="1"/>
  <c r="CI29" i="62" s="1"/>
  <c r="CW29" i="62" s="1"/>
  <c r="DK29" i="62" s="1"/>
  <c r="U29" i="62"/>
  <c r="AH153" i="31"/>
  <c r="AI154" i="31"/>
  <c r="AI10" i="31"/>
  <c r="AH9" i="31"/>
  <c r="G40" i="68"/>
  <c r="F40" i="68"/>
  <c r="J40" i="68"/>
  <c r="AG108" i="49"/>
  <c r="AI329" i="31"/>
  <c r="AH328" i="31"/>
  <c r="BI39" i="5"/>
  <c r="AV39" i="5"/>
  <c r="AI189" i="31"/>
  <c r="AH188" i="31"/>
  <c r="AI307" i="49"/>
  <c r="AH306" i="49"/>
  <c r="H40" i="68"/>
  <c r="AI543" i="49"/>
  <c r="AH542" i="49"/>
  <c r="AE33" i="5"/>
  <c r="AS33" i="5" s="1"/>
  <c r="BG33" i="5" s="1"/>
  <c r="BU33" i="5" s="1"/>
  <c r="CI33" i="5" s="1"/>
  <c r="CW33" i="5" s="1"/>
  <c r="DK33" i="5" s="1"/>
  <c r="U33" i="5"/>
  <c r="AJ239" i="49"/>
  <c r="AI238" i="49"/>
  <c r="AH54" i="5"/>
  <c r="AU54" i="5"/>
  <c r="AI340" i="31"/>
  <c r="AJ341" i="31"/>
  <c r="F62" i="68"/>
  <c r="G62" i="68"/>
  <c r="AH584" i="31"/>
  <c r="AI585" i="31"/>
  <c r="G23" i="68"/>
  <c r="F23" i="68"/>
  <c r="J23" i="68"/>
  <c r="T30" i="5"/>
  <c r="AG30" i="5"/>
  <c r="W30" i="5"/>
  <c r="AI367" i="49"/>
  <c r="AH366" i="49"/>
  <c r="AG177" i="31"/>
  <c r="AH19" i="62"/>
  <c r="AU19" i="62"/>
  <c r="AE47" i="5"/>
  <c r="AS47" i="5" s="1"/>
  <c r="BG47" i="5" s="1"/>
  <c r="BU47" i="5" s="1"/>
  <c r="CI47" i="5" s="1"/>
  <c r="CW47" i="5" s="1"/>
  <c r="DK47" i="5" s="1"/>
  <c r="U47" i="5"/>
  <c r="AI48" i="31"/>
  <c r="AH47" i="31"/>
  <c r="T29" i="62"/>
  <c r="AG29" i="62"/>
  <c r="W29" i="62"/>
  <c r="G23" i="5"/>
  <c r="C22" i="5"/>
  <c r="G30" i="5"/>
  <c r="AU53" i="5"/>
  <c r="AH53" i="5"/>
  <c r="C15" i="44"/>
  <c r="F24" i="62"/>
  <c r="AI460" i="31"/>
  <c r="AH459" i="31"/>
  <c r="AH328" i="49"/>
  <c r="AI329" i="49"/>
  <c r="AH38" i="5"/>
  <c r="AU38" i="5"/>
  <c r="G16" i="68"/>
  <c r="F16" i="68"/>
  <c r="J16" i="68"/>
  <c r="AI532" i="31"/>
  <c r="AH531" i="31"/>
  <c r="DT48" i="5"/>
  <c r="AU49" i="5"/>
  <c r="AH49" i="5"/>
  <c r="J26" i="68"/>
  <c r="G26" i="68"/>
  <c r="F26" i="68"/>
  <c r="AU20" i="5"/>
  <c r="AH20" i="5"/>
  <c r="AI316" i="49"/>
  <c r="AH315" i="49"/>
  <c r="AH392" i="49" s="1"/>
  <c r="AH399" i="49" s="1"/>
  <c r="AH321" i="31"/>
  <c r="AI322" i="31"/>
  <c r="AI601" i="49"/>
  <c r="AH600" i="49"/>
  <c r="AH30" i="62"/>
  <c r="AU30" i="62"/>
  <c r="AJ129" i="31"/>
  <c r="AI127" i="31"/>
  <c r="U55" i="5"/>
  <c r="AE55" i="5"/>
  <c r="AS55" i="5" s="1"/>
  <c r="BG55" i="5" s="1"/>
  <c r="BU55" i="5" s="1"/>
  <c r="CI55" i="5" s="1"/>
  <c r="CW55" i="5" s="1"/>
  <c r="DK55" i="5" s="1"/>
  <c r="AI341" i="49"/>
  <c r="AH340" i="49"/>
  <c r="AU13" i="5"/>
  <c r="AH13" i="5"/>
  <c r="AE391" i="31"/>
  <c r="AE398" i="31" s="1"/>
  <c r="AE481" i="31" s="1"/>
  <c r="AE527" i="31" s="1"/>
  <c r="AE538" i="31" s="1"/>
  <c r="AE387" i="31"/>
  <c r="C8" i="44"/>
  <c r="F18" i="62"/>
  <c r="E48" i="62"/>
  <c r="AU50" i="5"/>
  <c r="AH50" i="5"/>
  <c r="AI421" i="31"/>
  <c r="AH416" i="31"/>
  <c r="AH144" i="31"/>
  <c r="AI145" i="31"/>
  <c r="AJ378" i="49"/>
  <c r="AI377" i="49"/>
  <c r="CB62" i="5"/>
  <c r="CF62" i="5" s="1"/>
  <c r="CB17" i="62"/>
  <c r="CB20" i="62" s="1"/>
  <c r="AI566" i="31"/>
  <c r="AH565" i="31"/>
  <c r="AH61" i="5"/>
  <c r="AU61" i="5"/>
  <c r="EH56" i="5"/>
  <c r="AE520" i="45" s="1"/>
  <c r="EL44" i="5"/>
  <c r="T55" i="5"/>
  <c r="W55" i="5"/>
  <c r="AG55" i="5"/>
  <c r="DT56" i="5"/>
  <c r="AD520" i="45" s="1"/>
  <c r="DX44" i="5"/>
  <c r="AH208" i="31"/>
  <c r="AI209" i="31"/>
  <c r="AI294" i="49"/>
  <c r="AH293" i="49"/>
  <c r="U30" i="5"/>
  <c r="AE30" i="5"/>
  <c r="AS30" i="5" s="1"/>
  <c r="BG30" i="5" s="1"/>
  <c r="BU30" i="5" s="1"/>
  <c r="CI30" i="5" s="1"/>
  <c r="CW30" i="5" s="1"/>
  <c r="DK30" i="5" s="1"/>
  <c r="AH37" i="5"/>
  <c r="AU37" i="5"/>
  <c r="AH19" i="5"/>
  <c r="AU19" i="5"/>
  <c r="AH542" i="31"/>
  <c r="AI543" i="31"/>
  <c r="AI488" i="49"/>
  <c r="AH487" i="49"/>
  <c r="AI382" i="31"/>
  <c r="AJ383" i="31"/>
  <c r="J44" i="5"/>
  <c r="N22" i="5"/>
  <c r="J29" i="5"/>
  <c r="Q22" i="5"/>
  <c r="C15" i="68"/>
  <c r="H15" i="68" s="1"/>
  <c r="AH153" i="49"/>
  <c r="AI154" i="49"/>
  <c r="AI562" i="31"/>
  <c r="AH561" i="31"/>
  <c r="CV44" i="5"/>
  <c r="CR56" i="5"/>
  <c r="AB520" i="45" s="1"/>
  <c r="S48" i="62"/>
  <c r="AG18" i="62"/>
  <c r="T18" i="62"/>
  <c r="AI558" i="49"/>
  <c r="AH557" i="49"/>
  <c r="AJ570" i="31"/>
  <c r="AI569" i="31"/>
  <c r="AU52" i="5"/>
  <c r="AH52" i="5"/>
  <c r="AI179" i="31"/>
  <c r="AH178" i="31"/>
  <c r="AF391" i="31"/>
  <c r="AF398" i="31" s="1"/>
  <c r="AF481" i="31" s="1"/>
  <c r="AF527" i="31" s="1"/>
  <c r="AF538" i="31" s="1"/>
  <c r="AF387" i="31"/>
  <c r="AU32" i="5"/>
  <c r="AH32" i="5"/>
  <c r="G73" i="68"/>
  <c r="F73" i="68"/>
  <c r="J73" i="68"/>
  <c r="AU35" i="5"/>
  <c r="AH35" i="5"/>
  <c r="AI558" i="31"/>
  <c r="AH557" i="31"/>
  <c r="AH604" i="31"/>
  <c r="AI605" i="31"/>
  <c r="AV27" i="5"/>
  <c r="BI27" i="5"/>
  <c r="AI532" i="49"/>
  <c r="AH531" i="49"/>
  <c r="AU28" i="5"/>
  <c r="AH28" i="5"/>
  <c r="G68" i="68"/>
  <c r="F68" i="68"/>
  <c r="AI443" i="31"/>
  <c r="AH442" i="31"/>
  <c r="AH27" i="62"/>
  <c r="AU27" i="62"/>
  <c r="T23" i="5"/>
  <c r="W23" i="5"/>
  <c r="AI477" i="31"/>
  <c r="AH476" i="31"/>
  <c r="AI566" i="49"/>
  <c r="AH565" i="49"/>
  <c r="T33" i="5"/>
  <c r="AG33" i="5"/>
  <c r="W33" i="5"/>
  <c r="AH51" i="5"/>
  <c r="AU51" i="5"/>
  <c r="AH25" i="5"/>
  <c r="AU25" i="5"/>
  <c r="AH17" i="5"/>
  <c r="AU17" i="5"/>
  <c r="G300" i="31"/>
  <c r="C156" i="31"/>
  <c r="AG354" i="31"/>
  <c r="AI287" i="49"/>
  <c r="AH286" i="49"/>
  <c r="AH238" i="31"/>
  <c r="AI239" i="31"/>
  <c r="Z56" i="5"/>
  <c r="W520" i="45" s="1"/>
  <c r="AD44" i="5"/>
  <c r="AH219" i="49"/>
  <c r="AI220" i="49"/>
  <c r="AI110" i="31"/>
  <c r="AH109" i="31"/>
  <c r="AH108" i="31" s="1"/>
  <c r="I23" i="5"/>
  <c r="AU18" i="5"/>
  <c r="AH18" i="5"/>
  <c r="AU22" i="62"/>
  <c r="AH22" i="62"/>
  <c r="P22" i="5"/>
  <c r="W263" i="45"/>
  <c r="V514" i="45"/>
  <c r="V512" i="45" s="1"/>
  <c r="W8" i="45"/>
  <c r="W7" i="45" s="1"/>
  <c r="X7" i="45" s="1"/>
  <c r="S22" i="5"/>
  <c r="Y310" i="45"/>
  <c r="Y311" i="45" s="1"/>
  <c r="Y312" i="45" s="1"/>
  <c r="Y313" i="45" s="1"/>
  <c r="Y314" i="45" s="1"/>
  <c r="Y315" i="45" s="1"/>
  <c r="E15" i="68"/>
  <c r="W161" i="45"/>
  <c r="L44" i="5"/>
  <c r="L29" i="5"/>
  <c r="W59" i="45"/>
  <c r="W110" i="45"/>
  <c r="W212" i="45"/>
  <c r="V534" i="45"/>
  <c r="AG15" i="5"/>
  <c r="AI610" i="31"/>
  <c r="AH609" i="31"/>
  <c r="AI48" i="49"/>
  <c r="AH47" i="49"/>
  <c r="EZ29" i="5"/>
  <c r="EV48" i="5"/>
  <c r="AH482" i="49"/>
  <c r="AI483" i="49"/>
  <c r="Q21" i="62"/>
  <c r="C21" i="62"/>
  <c r="C47" i="62" s="1"/>
  <c r="J47" i="62"/>
  <c r="C65" i="68"/>
  <c r="J23" i="62"/>
  <c r="AU26" i="5"/>
  <c r="AH26" i="5"/>
  <c r="AI307" i="31"/>
  <c r="AH306" i="31"/>
  <c r="AH313" i="31" s="1"/>
  <c r="T47" i="5"/>
  <c r="AG47" i="5"/>
  <c r="W47" i="5"/>
  <c r="AH26" i="62"/>
  <c r="AU26" i="62"/>
  <c r="AH14" i="5"/>
  <c r="AU14" i="5"/>
  <c r="AI601" i="31"/>
  <c r="AH600" i="31"/>
  <c r="AI99" i="31"/>
  <c r="AH98" i="31"/>
  <c r="AI90" i="31"/>
  <c r="AH89" i="31"/>
  <c r="EF59" i="5"/>
  <c r="EF41" i="62"/>
  <c r="EF45" i="62" s="1"/>
  <c r="CV29" i="5"/>
  <c r="CR48" i="5"/>
  <c r="S21" i="62"/>
  <c r="E65" i="68"/>
  <c r="M21" i="62"/>
  <c r="E21" i="62"/>
  <c r="L23" i="62"/>
  <c r="L47" i="62"/>
  <c r="AI443" i="49"/>
  <c r="AH442" i="49"/>
  <c r="AH506" i="49"/>
  <c r="AI507" i="49"/>
  <c r="AI460" i="49"/>
  <c r="AH459" i="49"/>
  <c r="AI229" i="31"/>
  <c r="AH228" i="31"/>
  <c r="AH42" i="5"/>
  <c r="AU42" i="5"/>
  <c r="AU21" i="5"/>
  <c r="AH21" i="5"/>
  <c r="AI159" i="31"/>
  <c r="AH158" i="31"/>
  <c r="AI334" i="49"/>
  <c r="AH333" i="49"/>
  <c r="AF391" i="49"/>
  <c r="AF398" i="49" s="1"/>
  <c r="AF481" i="49" s="1"/>
  <c r="AF527" i="49" s="1"/>
  <c r="AF538" i="49" s="1"/>
  <c r="AF387" i="49"/>
  <c r="AH614" i="49"/>
  <c r="AI615" i="49"/>
  <c r="AI294" i="31"/>
  <c r="AH293" i="31"/>
  <c r="AI570" i="49"/>
  <c r="AH569" i="49"/>
  <c r="AI169" i="49"/>
  <c r="AH168" i="49"/>
  <c r="AH157" i="49" s="1"/>
  <c r="AG157" i="31"/>
  <c r="T44" i="62"/>
  <c r="AG44" i="62"/>
  <c r="T24" i="62"/>
  <c r="AG24" i="62"/>
  <c r="AH416" i="49"/>
  <c r="AI421" i="49"/>
  <c r="AI81" i="31"/>
  <c r="AH80" i="31"/>
  <c r="AH144" i="49"/>
  <c r="AI145" i="49"/>
  <c r="AI268" i="31"/>
  <c r="AH267" i="31"/>
  <c r="AH469" i="49"/>
  <c r="AI470" i="49"/>
  <c r="E29" i="5"/>
  <c r="I22" i="5"/>
  <c r="AA3" i="12" s="1"/>
  <c r="E44" i="5"/>
  <c r="AG354" i="49"/>
  <c r="AH62" i="49"/>
  <c r="AI63" i="49"/>
  <c r="AH347" i="31"/>
  <c r="AI348" i="31"/>
  <c r="AH41" i="5"/>
  <c r="AU41" i="5"/>
  <c r="AH476" i="49"/>
  <c r="AI477" i="49"/>
  <c r="AH58" i="5"/>
  <c r="AU58" i="5"/>
  <c r="H16" i="68"/>
  <c r="AH208" i="49"/>
  <c r="AI209" i="49"/>
  <c r="AG313" i="49"/>
  <c r="AH80" i="49"/>
  <c r="AI81" i="49"/>
  <c r="G33" i="5"/>
  <c r="AL17" i="62"/>
  <c r="AL20" i="62" s="1"/>
  <c r="AL62" i="5"/>
  <c r="AP62" i="5" s="1"/>
  <c r="AI322" i="49"/>
  <c r="AH321" i="49"/>
  <c r="AG108" i="31"/>
  <c r="AI72" i="31"/>
  <c r="AH71" i="31"/>
  <c r="AD29" i="5"/>
  <c r="Z48" i="5"/>
  <c r="AH26" i="31"/>
  <c r="AI27" i="31"/>
  <c r="AI394" i="31"/>
  <c r="AH393" i="31"/>
  <c r="FJ19" i="62" s="1"/>
  <c r="F30" i="5"/>
  <c r="I30" i="5"/>
  <c r="Y210" i="45"/>
  <c r="N214" i="45"/>
  <c r="P214" i="45" s="1"/>
  <c r="Y159" i="45"/>
  <c r="N160" i="45"/>
  <c r="AH506" i="31"/>
  <c r="AI507" i="31"/>
  <c r="X59" i="5"/>
  <c r="X41" i="62"/>
  <c r="X45" i="62" s="1"/>
  <c r="AJ10" i="49"/>
  <c r="AI9" i="49"/>
  <c r="AH584" i="49"/>
  <c r="AI585" i="49"/>
  <c r="U3" i="12"/>
  <c r="W3" i="12"/>
  <c r="BB41" i="62"/>
  <c r="BB45" i="62" s="1"/>
  <c r="BF56" i="5"/>
  <c r="BB59" i="5"/>
  <c r="DF41" i="62"/>
  <c r="DF45" i="62" s="1"/>
  <c r="DF59" i="5"/>
  <c r="DJ56" i="5"/>
  <c r="AU33" i="62"/>
  <c r="AH33" i="62"/>
  <c r="AH32" i="62"/>
  <c r="AU32" i="62"/>
  <c r="AI394" i="49"/>
  <c r="AH393" i="49"/>
  <c r="FH19" i="62" s="1"/>
  <c r="AJ470" i="31"/>
  <c r="AI469" i="31"/>
  <c r="F48" i="68"/>
  <c r="G48" i="68"/>
  <c r="J48" i="68"/>
  <c r="AI378" i="31"/>
  <c r="AH377" i="31"/>
  <c r="AI63" i="31"/>
  <c r="AH62" i="31"/>
  <c r="G300" i="49"/>
  <c r="C156" i="49"/>
  <c r="F33" i="5"/>
  <c r="I33" i="5"/>
  <c r="AU31" i="5"/>
  <c r="AH31" i="5"/>
  <c r="AI220" i="31"/>
  <c r="AH219" i="31"/>
  <c r="AI356" i="49"/>
  <c r="AJ357" i="49"/>
  <c r="AU60" i="5"/>
  <c r="AH60" i="5"/>
  <c r="AI110" i="49"/>
  <c r="AH109" i="49"/>
  <c r="AH267" i="49"/>
  <c r="AI268" i="49"/>
  <c r="DR59" i="5"/>
  <c r="DR41" i="62"/>
  <c r="DR45" i="62" s="1"/>
  <c r="AU24" i="5"/>
  <c r="AH24" i="5"/>
  <c r="AH36" i="5"/>
  <c r="AU36" i="5"/>
  <c r="AH435" i="49"/>
  <c r="AG429" i="49"/>
  <c r="AH34" i="5"/>
  <c r="AU34" i="5"/>
  <c r="AJ385" i="49"/>
  <c r="AI382" i="49"/>
  <c r="AH45" i="5"/>
  <c r="AU45" i="5"/>
  <c r="I29" i="62"/>
  <c r="F29" i="62"/>
  <c r="AH604" i="49"/>
  <c r="AI605" i="49"/>
  <c r="AI169" i="31"/>
  <c r="AH168" i="31"/>
  <c r="AH157" i="31" s="1"/>
  <c r="AH256" i="49"/>
  <c r="AI257" i="49"/>
  <c r="AJ615" i="31"/>
  <c r="AI614" i="31"/>
  <c r="AJ36" i="49"/>
  <c r="AI35" i="49"/>
  <c r="AI348" i="49"/>
  <c r="AH347" i="49"/>
  <c r="AH354" i="49" s="1"/>
  <c r="AV28" i="62"/>
  <c r="BI28" i="62"/>
  <c r="AH333" i="31"/>
  <c r="AI334" i="31"/>
  <c r="U23" i="5"/>
  <c r="AE23" i="5"/>
  <c r="AS23" i="5" s="1"/>
  <c r="BG23" i="5" s="1"/>
  <c r="BU23" i="5" s="1"/>
  <c r="CI23" i="5" s="1"/>
  <c r="CW23" i="5" s="1"/>
  <c r="DK23" i="5" s="1"/>
  <c r="AI302" i="49"/>
  <c r="AH301" i="49"/>
  <c r="AH313" i="49" s="1"/>
  <c r="AH98" i="49"/>
  <c r="AI99" i="49"/>
  <c r="H48" i="68"/>
  <c r="AG429" i="31"/>
  <c r="AH435" i="31"/>
  <c r="AI27" i="49"/>
  <c r="AH26" i="49"/>
  <c r="AH46" i="49" s="1"/>
  <c r="AI257" i="31"/>
  <c r="AH256" i="31"/>
  <c r="F8" i="68"/>
  <c r="AG43" i="62"/>
  <c r="T43" i="62"/>
  <c r="AU34" i="62"/>
  <c r="AH34" i="62"/>
  <c r="AH188" i="49"/>
  <c r="AH177" i="49" s="1"/>
  <c r="AI189" i="49"/>
  <c r="EV56" i="5"/>
  <c r="EZ44" i="5"/>
  <c r="AH46" i="5"/>
  <c r="AU46" i="5"/>
  <c r="AE15" i="20"/>
  <c r="AJ90" i="49"/>
  <c r="AI89" i="49"/>
  <c r="AJ179" i="49"/>
  <c r="AI178" i="49"/>
  <c r="BP59" i="5"/>
  <c r="BP41" i="62"/>
  <c r="BP45" i="62" s="1"/>
  <c r="BT56" i="5"/>
  <c r="ET35" i="62"/>
  <c r="ET37" i="62" s="1"/>
  <c r="ET46" i="62"/>
  <c r="ET49" i="62" s="1"/>
  <c r="AK100" i="31"/>
  <c r="AK304" i="49"/>
  <c r="AL549" i="49"/>
  <c r="AL128" i="31"/>
  <c r="AK490" i="49"/>
  <c r="AK231" i="49"/>
  <c r="AJ228" i="49"/>
  <c r="AK180" i="31"/>
  <c r="AK295" i="49"/>
  <c r="AK60" i="31"/>
  <c r="AK349" i="49"/>
  <c r="AK309" i="49"/>
  <c r="AL291" i="49"/>
  <c r="AK556" i="31"/>
  <c r="AJ553" i="31"/>
  <c r="AK142" i="31"/>
  <c r="AJ136" i="31"/>
  <c r="AK379" i="31"/>
  <c r="AL51" i="49"/>
  <c r="AL86" i="31"/>
  <c r="AM190" i="31"/>
  <c r="AK610" i="49"/>
  <c r="AJ609" i="49"/>
  <c r="AJ301" i="31"/>
  <c r="AK302" i="31"/>
  <c r="J355" i="49"/>
  <c r="AK128" i="49"/>
  <c r="AJ127" i="49"/>
  <c r="AJ136" i="49"/>
  <c r="AK137" i="49"/>
  <c r="AK159" i="49"/>
  <c r="AJ158" i="49"/>
  <c r="AL231" i="31"/>
  <c r="AL383" i="49"/>
  <c r="AM563" i="31"/>
  <c r="AL472" i="31"/>
  <c r="AM61" i="31"/>
  <c r="AL113" i="49"/>
  <c r="I387" i="49"/>
  <c r="I391" i="49"/>
  <c r="AL222" i="31"/>
  <c r="AM166" i="31"/>
  <c r="AL468" i="31"/>
  <c r="AM180" i="49"/>
  <c r="AL444" i="49"/>
  <c r="AN572" i="31"/>
  <c r="AM64" i="31"/>
  <c r="AM563" i="49"/>
  <c r="AM318" i="49"/>
  <c r="AL173" i="31"/>
  <c r="AM554" i="31"/>
  <c r="AK35" i="31"/>
  <c r="AL36" i="31"/>
  <c r="AN229" i="49"/>
  <c r="AN444" i="31"/>
  <c r="AN72" i="49"/>
  <c r="AM71" i="49"/>
  <c r="AO448" i="49"/>
  <c r="AF536" i="45"/>
  <c r="AO250" i="49"/>
  <c r="AO418" i="31"/>
  <c r="AO171" i="49"/>
  <c r="J18" i="6"/>
  <c r="K18" i="6" s="1"/>
  <c r="H19" i="6" s="1"/>
  <c r="I14" i="29"/>
  <c r="K14" i="29" s="1"/>
  <c r="H15" i="29"/>
  <c r="G14" i="29"/>
  <c r="O9" i="12"/>
  <c r="O8" i="12"/>
  <c r="DL16" i="5"/>
  <c r="CX21" i="5"/>
  <c r="F35" i="17"/>
  <c r="D95" i="20"/>
  <c r="C96" i="20"/>
  <c r="D96" i="20" s="1"/>
  <c r="AO16" i="20"/>
  <c r="AO13" i="20"/>
  <c r="BO44" i="5"/>
  <c r="BO29" i="5"/>
  <c r="BS22" i="5"/>
  <c r="J3" i="12" s="1"/>
  <c r="Z513" i="45"/>
  <c r="Z511" i="45" s="1"/>
  <c r="BQ22" i="5"/>
  <c r="CX24" i="5"/>
  <c r="C64" i="20"/>
  <c r="D64" i="20" s="1"/>
  <c r="D63" i="20"/>
  <c r="AK16" i="20"/>
  <c r="AK13" i="20"/>
  <c r="D31" i="20"/>
  <c r="C32" i="20"/>
  <c r="D32" i="20" s="1"/>
  <c r="FP55" i="5"/>
  <c r="DY33" i="5"/>
  <c r="J30" i="20"/>
  <c r="J31" i="20" s="1"/>
  <c r="J32" i="20" s="1"/>
  <c r="H31" i="20"/>
  <c r="H15" i="20"/>
  <c r="AH16" i="20"/>
  <c r="AH13" i="20"/>
  <c r="AF540" i="45"/>
  <c r="DY47" i="5"/>
  <c r="EK22" i="5"/>
  <c r="T3" i="12" s="1"/>
  <c r="EG44" i="5"/>
  <c r="EG29" i="5"/>
  <c r="EI22" i="5"/>
  <c r="AE513" i="45"/>
  <c r="J62" i="20"/>
  <c r="J63" i="20" s="1"/>
  <c r="J64" i="20" s="1"/>
  <c r="H63" i="20"/>
  <c r="EO57" i="5"/>
  <c r="AF13" i="20"/>
  <c r="AF16" i="20"/>
  <c r="C14" i="20"/>
  <c r="B14" i="20"/>
  <c r="P14" i="20" s="1"/>
  <c r="G14" i="20" s="1"/>
  <c r="I14" i="20" s="1"/>
  <c r="AC22" i="5"/>
  <c r="D3" i="12" s="1"/>
  <c r="Y44" i="5"/>
  <c r="Y29" i="5"/>
  <c r="W513" i="45"/>
  <c r="AA22" i="5"/>
  <c r="DS44" i="5"/>
  <c r="DS29" i="5"/>
  <c r="DW22" i="5"/>
  <c r="R3" i="12" s="1"/>
  <c r="DU22" i="5"/>
  <c r="AD513" i="45"/>
  <c r="EA42" i="62"/>
  <c r="AP137" i="31"/>
  <c r="AN13" i="20"/>
  <c r="AN16" i="20"/>
  <c r="K22" i="5"/>
  <c r="R15" i="5"/>
  <c r="O55" i="5"/>
  <c r="U108" i="45"/>
  <c r="U261" i="45"/>
  <c r="U210" i="45"/>
  <c r="V509" i="45"/>
  <c r="U57" i="45"/>
  <c r="D8" i="68"/>
  <c r="U6" i="45"/>
  <c r="U159" i="45"/>
  <c r="EY30" i="5"/>
  <c r="O30" i="5"/>
  <c r="EX29" i="62"/>
  <c r="O29" i="62"/>
  <c r="EX47" i="5"/>
  <c r="O23" i="62"/>
  <c r="EX33" i="5"/>
  <c r="EX30" i="5"/>
  <c r="EY23" i="62"/>
  <c r="O33" i="5"/>
  <c r="O47" i="5"/>
  <c r="EX55" i="5"/>
  <c r="EY33" i="5"/>
  <c r="M15" i="5"/>
  <c r="EX23" i="62"/>
  <c r="EX44" i="5"/>
  <c r="EX56" i="5"/>
  <c r="O23" i="5"/>
  <c r="EX59" i="5"/>
  <c r="EY29" i="62"/>
  <c r="EX62" i="5"/>
  <c r="EX20" i="62"/>
  <c r="EX31" i="62"/>
  <c r="EY47" i="5"/>
  <c r="EU44" i="5"/>
  <c r="EU29" i="5"/>
  <c r="EY22" i="5"/>
  <c r="V3" i="12" s="1"/>
  <c r="EW22" i="5"/>
  <c r="AF513" i="45"/>
  <c r="J110" i="20"/>
  <c r="J111" i="20" s="1"/>
  <c r="J112" i="20" s="1"/>
  <c r="H111" i="20"/>
  <c r="DY29" i="62"/>
  <c r="EN23" i="62"/>
  <c r="AG16" i="20"/>
  <c r="AG13" i="20"/>
  <c r="DZ33" i="5"/>
  <c r="AE511" i="45"/>
  <c r="G74" i="28"/>
  <c r="M74" i="28"/>
  <c r="E74" i="28"/>
  <c r="K74" i="28"/>
  <c r="I74" i="28"/>
  <c r="C75" i="28"/>
  <c r="C76" i="28" s="1"/>
  <c r="DY23" i="5"/>
  <c r="EB25" i="62"/>
  <c r="EO25" i="62"/>
  <c r="CJ23" i="5"/>
  <c r="DY30" i="5"/>
  <c r="H13" i="20"/>
  <c r="H16" i="20"/>
  <c r="J12" i="20"/>
  <c r="CG22" i="5"/>
  <c r="L3" i="12" s="1"/>
  <c r="CC44" i="5"/>
  <c r="CC29" i="5"/>
  <c r="CE22" i="5"/>
  <c r="D79" i="20"/>
  <c r="C80" i="20"/>
  <c r="D80" i="20" s="1"/>
  <c r="L13" i="29"/>
  <c r="AM44" i="5"/>
  <c r="AM29" i="5"/>
  <c r="AQ22" i="5"/>
  <c r="F3" i="12" s="1"/>
  <c r="AO22" i="5"/>
  <c r="C81" i="28"/>
  <c r="F23" i="5"/>
  <c r="J46" i="20"/>
  <c r="J47" i="20" s="1"/>
  <c r="J48" i="20" s="1"/>
  <c r="H47" i="20"/>
  <c r="DY55" i="5"/>
  <c r="BE22" i="5"/>
  <c r="H3" i="12" s="1"/>
  <c r="BA44" i="5"/>
  <c r="BA29" i="5"/>
  <c r="Y513" i="45"/>
  <c r="Y511" i="45" s="1"/>
  <c r="BC22" i="5"/>
  <c r="J78" i="20"/>
  <c r="J79" i="20" s="1"/>
  <c r="J80" i="20" s="1"/>
  <c r="H79" i="20"/>
  <c r="AM13" i="20"/>
  <c r="AM16" i="20"/>
  <c r="D43" i="62"/>
  <c r="F43" i="62" s="1"/>
  <c r="D15" i="5"/>
  <c r="F12" i="5"/>
  <c r="C48" i="20"/>
  <c r="D48" i="20" s="1"/>
  <c r="D47" i="20"/>
  <c r="FB18" i="62"/>
  <c r="EN48" i="62"/>
  <c r="J94" i="20"/>
  <c r="J95" i="20" s="1"/>
  <c r="J96" i="20" s="1"/>
  <c r="H95" i="20"/>
  <c r="H47" i="5"/>
  <c r="F47" i="5"/>
  <c r="EN29" i="62"/>
  <c r="H55" i="5"/>
  <c r="F55" i="5"/>
  <c r="FM22" i="5"/>
  <c r="X3" i="12" s="1"/>
  <c r="FI44" i="5"/>
  <c r="FI29" i="5"/>
  <c r="FK22" i="5"/>
  <c r="AG513" i="45"/>
  <c r="EO12" i="5"/>
  <c r="K13" i="29"/>
  <c r="D111" i="20"/>
  <c r="C112" i="20"/>
  <c r="D112" i="20" s="1"/>
  <c r="CQ44" i="5"/>
  <c r="CQ29" i="5"/>
  <c r="CU22" i="5"/>
  <c r="N3" i="12" s="1"/>
  <c r="CS22" i="5"/>
  <c r="AB513" i="45"/>
  <c r="AP16" i="20"/>
  <c r="AP13" i="20"/>
  <c r="AG544" i="45"/>
  <c r="AG542" i="45"/>
  <c r="AG538" i="45"/>
  <c r="AG534" i="45"/>
  <c r="EN47" i="62"/>
  <c r="FB21" i="62"/>
  <c r="AL16" i="20"/>
  <c r="AL13" i="20"/>
  <c r="C7" i="12"/>
  <c r="AF12" i="5"/>
  <c r="T12" i="5"/>
  <c r="D23" i="17"/>
  <c r="C30" i="17"/>
  <c r="C35" i="17" s="1"/>
  <c r="C49" i="17"/>
  <c r="C43" i="17"/>
  <c r="DI22" i="5"/>
  <c r="P3" i="12" s="1"/>
  <c r="DE44" i="5"/>
  <c r="DE29" i="5"/>
  <c r="DG22" i="5"/>
  <c r="AC513" i="45"/>
  <c r="J15" i="20"/>
  <c r="AI13" i="20"/>
  <c r="AI16" i="20"/>
  <c r="AP430" i="31"/>
  <c r="FB30" i="5"/>
  <c r="DZ47" i="5"/>
  <c r="J14" i="29" l="1"/>
  <c r="K17" i="44"/>
  <c r="C50" i="44"/>
  <c r="J47" i="44" s="1"/>
  <c r="J46" i="44" s="1"/>
  <c r="X520" i="45"/>
  <c r="AN59" i="5"/>
  <c r="AR56" i="5"/>
  <c r="AN41" i="62"/>
  <c r="AN45" i="62" s="1"/>
  <c r="AR44" i="5"/>
  <c r="X516" i="45"/>
  <c r="X512" i="45"/>
  <c r="W516" i="45"/>
  <c r="W512" i="45"/>
  <c r="AU15" i="5"/>
  <c r="W534" i="45"/>
  <c r="AG536" i="45"/>
  <c r="AI562" i="49"/>
  <c r="AH561" i="49"/>
  <c r="AJ316" i="31"/>
  <c r="AI315" i="31"/>
  <c r="AI392" i="31" s="1"/>
  <c r="AI399" i="31" s="1"/>
  <c r="BI40" i="5"/>
  <c r="AV40" i="5"/>
  <c r="FN44" i="5"/>
  <c r="FJ56" i="5"/>
  <c r="AR29" i="5"/>
  <c r="AN48" i="5"/>
  <c r="AH107" i="49"/>
  <c r="AG156" i="49"/>
  <c r="AH108" i="49"/>
  <c r="AG300" i="49"/>
  <c r="AU43" i="62"/>
  <c r="AH43" i="62"/>
  <c r="AJ302" i="49"/>
  <c r="AI301" i="49"/>
  <c r="AJ348" i="49"/>
  <c r="AI347" i="49"/>
  <c r="AK615" i="31"/>
  <c r="AJ614" i="31"/>
  <c r="AJ169" i="31"/>
  <c r="AI168" i="31"/>
  <c r="AK385" i="49"/>
  <c r="AJ382" i="49"/>
  <c r="AH429" i="49"/>
  <c r="AI435" i="49"/>
  <c r="BI24" i="5"/>
  <c r="AV24" i="5"/>
  <c r="BI60" i="5"/>
  <c r="AV60" i="5"/>
  <c r="AJ220" i="31"/>
  <c r="AI219" i="31"/>
  <c r="AJ63" i="31"/>
  <c r="AI62" i="31"/>
  <c r="C19" i="62"/>
  <c r="FO19" i="62"/>
  <c r="AI506" i="31"/>
  <c r="AJ507" i="31"/>
  <c r="FK19" i="62"/>
  <c r="E19" i="62"/>
  <c r="F19" i="62" s="1"/>
  <c r="AL31" i="62"/>
  <c r="AP20" i="62"/>
  <c r="AV58" i="5"/>
  <c r="BI58" i="5"/>
  <c r="BI41" i="5"/>
  <c r="AV41" i="5"/>
  <c r="AI62" i="49"/>
  <c r="AJ63" i="49"/>
  <c r="AH24" i="62"/>
  <c r="AU24" i="62"/>
  <c r="AI569" i="49"/>
  <c r="AJ570" i="49"/>
  <c r="AI333" i="49"/>
  <c r="AJ334" i="49"/>
  <c r="BI21" i="5"/>
  <c r="AV21" i="5"/>
  <c r="AJ229" i="31"/>
  <c r="AI228" i="31"/>
  <c r="M23" i="62"/>
  <c r="E23" i="62"/>
  <c r="P23" i="62"/>
  <c r="E67" i="68"/>
  <c r="S23" i="62"/>
  <c r="AG21" i="62"/>
  <c r="S47" i="62"/>
  <c r="T21" i="62"/>
  <c r="EF62" i="5"/>
  <c r="EJ62" i="5" s="1"/>
  <c r="EF17" i="62"/>
  <c r="EF20" i="62" s="1"/>
  <c r="EJ59" i="5"/>
  <c r="AJ99" i="31"/>
  <c r="AI98" i="31"/>
  <c r="N23" i="62"/>
  <c r="C67" i="68"/>
  <c r="H67" i="68" s="1"/>
  <c r="Q23" i="62"/>
  <c r="C23" i="62"/>
  <c r="G23" i="62" s="1"/>
  <c r="AE21" i="62"/>
  <c r="Q47" i="62"/>
  <c r="W63" i="45"/>
  <c r="Y59" i="45" s="1"/>
  <c r="W58" i="45"/>
  <c r="N62" i="45"/>
  <c r="N70" i="45" s="1"/>
  <c r="P62" i="45" s="1"/>
  <c r="J15" i="68"/>
  <c r="F15" i="68"/>
  <c r="AV22" i="62"/>
  <c r="BI22" i="62"/>
  <c r="G314" i="31"/>
  <c r="C300" i="31"/>
  <c r="AH33" i="5"/>
  <c r="AU33" i="5"/>
  <c r="AK33" i="5"/>
  <c r="AV27" i="62"/>
  <c r="BI27" i="62"/>
  <c r="AJ605" i="31"/>
  <c r="AI604" i="31"/>
  <c r="BI52" i="5"/>
  <c r="AV52" i="5"/>
  <c r="AI557" i="49"/>
  <c r="AJ558" i="49"/>
  <c r="CR41" i="62"/>
  <c r="CR45" i="62" s="1"/>
  <c r="CR59" i="5"/>
  <c r="CV56" i="5"/>
  <c r="AJ154" i="49"/>
  <c r="AI153" i="49"/>
  <c r="N29" i="5"/>
  <c r="Q29" i="5"/>
  <c r="C22" i="68"/>
  <c r="H22" i="68" s="1"/>
  <c r="J48" i="5"/>
  <c r="EH41" i="62"/>
  <c r="EH45" i="62" s="1"/>
  <c r="EL56" i="5"/>
  <c r="EH59" i="5"/>
  <c r="AJ566" i="31"/>
  <c r="AI565" i="31"/>
  <c r="AV50" i="5"/>
  <c r="BI50" i="5"/>
  <c r="BI49" i="5"/>
  <c r="AV49" i="5"/>
  <c r="AJ460" i="31"/>
  <c r="AI459" i="31"/>
  <c r="BI53" i="5"/>
  <c r="AV53" i="5"/>
  <c r="AJ48" i="31"/>
  <c r="AI47" i="31"/>
  <c r="AG314" i="49"/>
  <c r="AG355" i="49" s="1"/>
  <c r="AG376" i="49" s="1"/>
  <c r="AH46" i="31"/>
  <c r="AI356" i="31"/>
  <c r="AJ357" i="31"/>
  <c r="AI482" i="31"/>
  <c r="AJ483" i="31"/>
  <c r="AJ488" i="31"/>
  <c r="AI487" i="31"/>
  <c r="CH56" i="5"/>
  <c r="CD41" i="62"/>
  <c r="CD45" i="62" s="1"/>
  <c r="CD59" i="5"/>
  <c r="AI26" i="49"/>
  <c r="AI46" i="49" s="1"/>
  <c r="AJ27" i="49"/>
  <c r="AI98" i="49"/>
  <c r="AJ99" i="49"/>
  <c r="BW28" i="62"/>
  <c r="BJ28" i="62"/>
  <c r="AJ257" i="49"/>
  <c r="AI256" i="49"/>
  <c r="AJ605" i="49"/>
  <c r="AI604" i="49"/>
  <c r="AV45" i="5"/>
  <c r="BI45" i="5"/>
  <c r="AV34" i="5"/>
  <c r="BI34" i="5"/>
  <c r="AV36" i="5"/>
  <c r="BI36" i="5"/>
  <c r="AH156" i="49"/>
  <c r="AH300" i="49" s="1"/>
  <c r="AH314" i="49" s="1"/>
  <c r="AH355" i="49" s="1"/>
  <c r="AH376" i="49" s="1"/>
  <c r="AK357" i="49"/>
  <c r="AJ356" i="49"/>
  <c r="AI393" i="49"/>
  <c r="AJ394" i="49"/>
  <c r="AV33" i="62"/>
  <c r="BI33" i="62"/>
  <c r="BF59" i="5"/>
  <c r="I12" i="12" s="1"/>
  <c r="BB17" i="62"/>
  <c r="BB20" i="62" s="1"/>
  <c r="BB62" i="5"/>
  <c r="BF62" i="5" s="1"/>
  <c r="AJ9" i="49"/>
  <c r="AK10" i="49"/>
  <c r="AI393" i="31"/>
  <c r="AJ394" i="31"/>
  <c r="AI208" i="49"/>
  <c r="AJ209" i="49"/>
  <c r="I29" i="5"/>
  <c r="E48" i="5"/>
  <c r="AI267" i="31"/>
  <c r="AJ268" i="31"/>
  <c r="AJ81" i="31"/>
  <c r="AI80" i="31"/>
  <c r="BI42" i="5"/>
  <c r="AV42" i="5"/>
  <c r="F21" i="62"/>
  <c r="E47" i="62"/>
  <c r="C14" i="44"/>
  <c r="C17" i="44" s="1"/>
  <c r="BI26" i="62"/>
  <c r="AV26" i="62"/>
  <c r="AI306" i="31"/>
  <c r="AI313" i="31" s="1"/>
  <c r="AJ307" i="31"/>
  <c r="AJ483" i="49"/>
  <c r="AI482" i="49"/>
  <c r="AJ610" i="31"/>
  <c r="AI609" i="31"/>
  <c r="W61" i="45"/>
  <c r="E22" i="68"/>
  <c r="W214" i="45"/>
  <c r="W163" i="45"/>
  <c r="W265" i="45"/>
  <c r="P29" i="5"/>
  <c r="V518" i="45"/>
  <c r="V516" i="45" s="1"/>
  <c r="L48" i="5"/>
  <c r="S29" i="5"/>
  <c r="W112" i="45"/>
  <c r="W10" i="45"/>
  <c r="W9" i="45" s="1"/>
  <c r="X9" i="45" s="1"/>
  <c r="N269" i="45"/>
  <c r="W262" i="45"/>
  <c r="AI109" i="31"/>
  <c r="AJ110" i="31"/>
  <c r="Z59" i="5"/>
  <c r="Z41" i="62"/>
  <c r="Z45" i="62" s="1"/>
  <c r="AD56" i="5"/>
  <c r="AJ287" i="49"/>
  <c r="AI286" i="49"/>
  <c r="AV17" i="5"/>
  <c r="BI17" i="5"/>
  <c r="BI51" i="5"/>
  <c r="AV51" i="5"/>
  <c r="AJ566" i="49"/>
  <c r="AI565" i="49"/>
  <c r="AI531" i="49"/>
  <c r="AJ532" i="49"/>
  <c r="AV35" i="5"/>
  <c r="BI35" i="5"/>
  <c r="AH177" i="31"/>
  <c r="V110" i="45"/>
  <c r="V263" i="45"/>
  <c r="M269" i="45" s="1"/>
  <c r="X310" i="45"/>
  <c r="V59" i="45"/>
  <c r="M62" i="45" s="1"/>
  <c r="V8" i="45"/>
  <c r="V212" i="45"/>
  <c r="V161" i="45"/>
  <c r="M164" i="45" s="1"/>
  <c r="AV19" i="5"/>
  <c r="BI19" i="5"/>
  <c r="AJ294" i="49"/>
  <c r="AI293" i="49"/>
  <c r="DT59" i="5"/>
  <c r="DT41" i="62"/>
  <c r="DT45" i="62" s="1"/>
  <c r="DX56" i="5"/>
  <c r="BI61" i="5"/>
  <c r="AV61" i="5"/>
  <c r="AI340" i="49"/>
  <c r="AJ341" i="49"/>
  <c r="AK129" i="31"/>
  <c r="AJ127" i="31"/>
  <c r="AI600" i="49"/>
  <c r="AJ601" i="49"/>
  <c r="AJ316" i="49"/>
  <c r="AI315" i="49"/>
  <c r="AI392" i="49" s="1"/>
  <c r="AI399" i="49" s="1"/>
  <c r="AI328" i="49"/>
  <c r="AJ329" i="49"/>
  <c r="AH29" i="62"/>
  <c r="AU29" i="62"/>
  <c r="AK29" i="62"/>
  <c r="AJ585" i="31"/>
  <c r="AI584" i="31"/>
  <c r="AJ340" i="31"/>
  <c r="AK341" i="31"/>
  <c r="AJ307" i="49"/>
  <c r="AI306" i="49"/>
  <c r="BJ39" i="5"/>
  <c r="BW39" i="5"/>
  <c r="AI9" i="31"/>
  <c r="AJ10" i="31"/>
  <c r="BI43" i="5"/>
  <c r="AV43" i="5"/>
  <c r="AK23" i="5"/>
  <c r="EV59" i="5"/>
  <c r="EV41" i="62"/>
  <c r="EV45" i="62" s="1"/>
  <c r="EZ56" i="5"/>
  <c r="AV34" i="62"/>
  <c r="BI34" i="62"/>
  <c r="AI435" i="31"/>
  <c r="AH429" i="31"/>
  <c r="AJ35" i="49"/>
  <c r="AK36" i="49"/>
  <c r="DR17" i="62"/>
  <c r="DR20" i="62" s="1"/>
  <c r="DR62" i="5"/>
  <c r="DV62" i="5" s="1"/>
  <c r="DV59" i="5"/>
  <c r="AJ110" i="49"/>
  <c r="AI109" i="49"/>
  <c r="AV31" i="5"/>
  <c r="BI31" i="5"/>
  <c r="G314" i="49"/>
  <c r="C300" i="49"/>
  <c r="AJ378" i="31"/>
  <c r="AI377" i="31"/>
  <c r="AV32" i="62"/>
  <c r="BI32" i="62"/>
  <c r="AJ585" i="49"/>
  <c r="AI584" i="49"/>
  <c r="P160" i="45"/>
  <c r="O170" i="45"/>
  <c r="AI26" i="31"/>
  <c r="AJ27" i="31"/>
  <c r="AI321" i="49"/>
  <c r="AJ322" i="49"/>
  <c r="AJ81" i="49"/>
  <c r="AI80" i="49"/>
  <c r="AJ477" i="49"/>
  <c r="AI476" i="49"/>
  <c r="AI347" i="31"/>
  <c r="AJ348" i="31"/>
  <c r="AJ470" i="49"/>
  <c r="AI469" i="49"/>
  <c r="AI144" i="49"/>
  <c r="AJ145" i="49"/>
  <c r="AI416" i="49"/>
  <c r="AJ421" i="49"/>
  <c r="AH44" i="62"/>
  <c r="AU44" i="62"/>
  <c r="AJ169" i="49"/>
  <c r="AI168" i="49"/>
  <c r="AI157" i="49" s="1"/>
  <c r="AI293" i="31"/>
  <c r="AJ294" i="31"/>
  <c r="AJ159" i="31"/>
  <c r="AI158" i="31"/>
  <c r="AI459" i="49"/>
  <c r="AJ460" i="49"/>
  <c r="AJ443" i="49"/>
  <c r="AI442" i="49"/>
  <c r="AJ90" i="31"/>
  <c r="AI89" i="31"/>
  <c r="AJ601" i="31"/>
  <c r="AI600" i="31"/>
  <c r="AH47" i="5"/>
  <c r="AU47" i="5"/>
  <c r="AK47" i="5"/>
  <c r="N218" i="45"/>
  <c r="W211" i="45"/>
  <c r="L56" i="5"/>
  <c r="S44" i="5"/>
  <c r="E37" i="68"/>
  <c r="P44" i="5"/>
  <c r="AG22" i="5"/>
  <c r="W538" i="45" s="1"/>
  <c r="V538" i="45"/>
  <c r="V536" i="45" s="1"/>
  <c r="W22" i="5"/>
  <c r="X263" i="45"/>
  <c r="X110" i="45"/>
  <c r="O116" i="45" s="1"/>
  <c r="AB310" i="45"/>
  <c r="X59" i="45"/>
  <c r="X161" i="45"/>
  <c r="O164" i="45" s="1"/>
  <c r="X8" i="45"/>
  <c r="C3" i="12"/>
  <c r="X212" i="45"/>
  <c r="O218" i="45" s="1"/>
  <c r="AV18" i="5"/>
  <c r="BI18" i="5"/>
  <c r="AJ220" i="49"/>
  <c r="AI219" i="49"/>
  <c r="AI238" i="31"/>
  <c r="AJ239" i="31"/>
  <c r="BJ27" i="5"/>
  <c r="BW27" i="5"/>
  <c r="AV32" i="5"/>
  <c r="BI32" i="5"/>
  <c r="AJ179" i="31"/>
  <c r="AI178" i="31"/>
  <c r="AK570" i="31"/>
  <c r="AJ569" i="31"/>
  <c r="AH18" i="62"/>
  <c r="AG48" i="62"/>
  <c r="AU18" i="62"/>
  <c r="Q44" i="5"/>
  <c r="J56" i="5"/>
  <c r="C37" i="68"/>
  <c r="H37" i="68" s="1"/>
  <c r="N44" i="5"/>
  <c r="AJ488" i="49"/>
  <c r="AI487" i="49"/>
  <c r="AI208" i="31"/>
  <c r="AJ209" i="31"/>
  <c r="AJ377" i="49"/>
  <c r="AK378" i="49"/>
  <c r="AI416" i="31"/>
  <c r="AJ421" i="31"/>
  <c r="BI30" i="62"/>
  <c r="AV30" i="62"/>
  <c r="AJ322" i="31"/>
  <c r="AI321" i="31"/>
  <c r="G22" i="5"/>
  <c r="C44" i="5"/>
  <c r="C29" i="5"/>
  <c r="AU30" i="5"/>
  <c r="AH30" i="5"/>
  <c r="AK30" i="5"/>
  <c r="AK239" i="49"/>
  <c r="AJ238" i="49"/>
  <c r="AJ543" i="49"/>
  <c r="AI542" i="49"/>
  <c r="AI153" i="31"/>
  <c r="AJ154" i="31"/>
  <c r="AS18" i="62"/>
  <c r="AE48" i="62"/>
  <c r="AJ287" i="31"/>
  <c r="AI286" i="31"/>
  <c r="AI553" i="49"/>
  <c r="AJ554" i="49"/>
  <c r="AV23" i="5"/>
  <c r="BI23" i="5"/>
  <c r="AV46" i="5"/>
  <c r="BI46" i="5"/>
  <c r="AI188" i="49"/>
  <c r="AJ189" i="49"/>
  <c r="AJ257" i="31"/>
  <c r="AI256" i="31"/>
  <c r="AJ334" i="31"/>
  <c r="AI333" i="31"/>
  <c r="AJ268" i="49"/>
  <c r="AI267" i="49"/>
  <c r="AK470" i="31"/>
  <c r="AJ469" i="31"/>
  <c r="DJ59" i="5"/>
  <c r="Q12" i="12" s="1"/>
  <c r="DF17" i="62"/>
  <c r="DF20" i="62" s="1"/>
  <c r="DF62" i="5"/>
  <c r="DJ62" i="5" s="1"/>
  <c r="X62" i="5"/>
  <c r="AB62" i="5" s="1"/>
  <c r="X17" i="62"/>
  <c r="X20" i="62" s="1"/>
  <c r="AB59" i="5"/>
  <c r="AI71" i="31"/>
  <c r="AJ72" i="31"/>
  <c r="E56" i="5"/>
  <c r="I44" i="5"/>
  <c r="AI614" i="49"/>
  <c r="AJ615" i="49"/>
  <c r="AJ507" i="49"/>
  <c r="AI506" i="49"/>
  <c r="G65" i="68"/>
  <c r="F65" i="68"/>
  <c r="BI14" i="5"/>
  <c r="AV14" i="5"/>
  <c r="AV26" i="5"/>
  <c r="BI26" i="5"/>
  <c r="AJ48" i="49"/>
  <c r="AI47" i="49"/>
  <c r="W109" i="45"/>
  <c r="Y110" i="45"/>
  <c r="N116" i="45"/>
  <c r="P116" i="45" s="1"/>
  <c r="W165" i="45"/>
  <c r="Y161" i="45" s="1"/>
  <c r="W160" i="45"/>
  <c r="N164" i="45"/>
  <c r="N172" i="45" s="1"/>
  <c r="P164" i="45" s="1"/>
  <c r="AV25" i="5"/>
  <c r="BI25" i="5"/>
  <c r="AJ477" i="31"/>
  <c r="AI476" i="31"/>
  <c r="AJ443" i="31"/>
  <c r="AI442" i="31"/>
  <c r="BI28" i="5"/>
  <c r="AV28" i="5"/>
  <c r="AI557" i="31"/>
  <c r="AJ558" i="31"/>
  <c r="AJ562" i="31"/>
  <c r="AI561" i="31"/>
  <c r="U22" i="5"/>
  <c r="AE22" i="5"/>
  <c r="AS22" i="5" s="1"/>
  <c r="BG22" i="5" s="1"/>
  <c r="BU22" i="5" s="1"/>
  <c r="CI22" i="5" s="1"/>
  <c r="CW22" i="5" s="1"/>
  <c r="DK22" i="5" s="1"/>
  <c r="DY22" i="5" s="1"/>
  <c r="AJ382" i="31"/>
  <c r="AK383" i="31"/>
  <c r="AJ543" i="31"/>
  <c r="AI542" i="31"/>
  <c r="BI37" i="5"/>
  <c r="AV37" i="5"/>
  <c r="AG156" i="31"/>
  <c r="AG300" i="31" s="1"/>
  <c r="AG314" i="31" s="1"/>
  <c r="AG355" i="31" s="1"/>
  <c r="AG376" i="31" s="1"/>
  <c r="AU55" i="5"/>
  <c r="AH55" i="5"/>
  <c r="AK55" i="5"/>
  <c r="CB31" i="62"/>
  <c r="CF20" i="62"/>
  <c r="AI144" i="31"/>
  <c r="AJ145" i="31"/>
  <c r="BI13" i="5"/>
  <c r="AV13" i="5"/>
  <c r="AH354" i="31"/>
  <c r="AV20" i="5"/>
  <c r="BI20" i="5"/>
  <c r="AI531" i="31"/>
  <c r="AJ532" i="31"/>
  <c r="BI38" i="5"/>
  <c r="AV38" i="5"/>
  <c r="AH107" i="31"/>
  <c r="AH156" i="31" s="1"/>
  <c r="AH300" i="31" s="1"/>
  <c r="AH314" i="31" s="1"/>
  <c r="BI19" i="62"/>
  <c r="AV19" i="62"/>
  <c r="AJ367" i="49"/>
  <c r="AI366" i="49"/>
  <c r="BI54" i="5"/>
  <c r="AV54" i="5"/>
  <c r="AJ189" i="31"/>
  <c r="AI188" i="31"/>
  <c r="AJ329" i="31"/>
  <c r="AI328" i="31"/>
  <c r="FH17" i="62"/>
  <c r="FH20" i="62" s="1"/>
  <c r="FH62" i="5"/>
  <c r="FL62" i="5" s="1"/>
  <c r="FL59" i="5"/>
  <c r="AJ367" i="31"/>
  <c r="AI366" i="31"/>
  <c r="BI16" i="5"/>
  <c r="AV16" i="5"/>
  <c r="AN17" i="62"/>
  <c r="AN20" i="62" s="1"/>
  <c r="AN62" i="5"/>
  <c r="AR62" i="5" s="1"/>
  <c r="AR59" i="5"/>
  <c r="G12" i="12" s="1"/>
  <c r="AK179" i="49"/>
  <c r="AJ178" i="49"/>
  <c r="BT59" i="5"/>
  <c r="K12" i="12" s="1"/>
  <c r="BP17" i="62"/>
  <c r="BP20" i="62" s="1"/>
  <c r="BP62" i="5"/>
  <c r="BT62" i="5" s="1"/>
  <c r="AK90" i="49"/>
  <c r="AJ89" i="49"/>
  <c r="AH391" i="49"/>
  <c r="AH398" i="49" s="1"/>
  <c r="AH481" i="49" s="1"/>
  <c r="AH527" i="49" s="1"/>
  <c r="AH538" i="49" s="1"/>
  <c r="AH387" i="49"/>
  <c r="AL100" i="31"/>
  <c r="AL180" i="31"/>
  <c r="AM128" i="31"/>
  <c r="AL304" i="49"/>
  <c r="AL295" i="49"/>
  <c r="AL231" i="49"/>
  <c r="AK228" i="49"/>
  <c r="AL490" i="49"/>
  <c r="AM549" i="49"/>
  <c r="AL142" i="31"/>
  <c r="AK136" i="31"/>
  <c r="AL349" i="49"/>
  <c r="AM291" i="49"/>
  <c r="AL60" i="31"/>
  <c r="AL379" i="31"/>
  <c r="AL556" i="31"/>
  <c r="AK553" i="31"/>
  <c r="AL309" i="49"/>
  <c r="AM86" i="31"/>
  <c r="AN190" i="31"/>
  <c r="AM51" i="49"/>
  <c r="AL159" i="49"/>
  <c r="AK158" i="49"/>
  <c r="AK127" i="49"/>
  <c r="AL128" i="49"/>
  <c r="AL137" i="49"/>
  <c r="AK136" i="49"/>
  <c r="AK301" i="31"/>
  <c r="AL302" i="31"/>
  <c r="AL610" i="49"/>
  <c r="AK609" i="49"/>
  <c r="J376" i="49"/>
  <c r="AN563" i="31"/>
  <c r="AM472" i="31"/>
  <c r="AM231" i="31"/>
  <c r="AM383" i="49"/>
  <c r="AL35" i="31"/>
  <c r="AM36" i="31"/>
  <c r="AM222" i="31"/>
  <c r="AN318" i="49"/>
  <c r="AO572" i="31"/>
  <c r="AN180" i="49"/>
  <c r="AN166" i="31"/>
  <c r="AM113" i="49"/>
  <c r="I398" i="49"/>
  <c r="AN554" i="31"/>
  <c r="AM173" i="31"/>
  <c r="AN563" i="49"/>
  <c r="AN64" i="31"/>
  <c r="AM444" i="49"/>
  <c r="AM468" i="31"/>
  <c r="AN61" i="31"/>
  <c r="AO444" i="31"/>
  <c r="AO229" i="49"/>
  <c r="AN71" i="49"/>
  <c r="AO72" i="49"/>
  <c r="AP448" i="49"/>
  <c r="AG540" i="45"/>
  <c r="AP418" i="31"/>
  <c r="AP250" i="49"/>
  <c r="AP171" i="49"/>
  <c r="H20" i="6"/>
  <c r="J19" i="6"/>
  <c r="K19" i="6" s="1"/>
  <c r="CQ56" i="5"/>
  <c r="CU44" i="5"/>
  <c r="CS44" i="5"/>
  <c r="FC12" i="5"/>
  <c r="FI48" i="5"/>
  <c r="FK48" i="5" s="1"/>
  <c r="FM29" i="5"/>
  <c r="FK29" i="5"/>
  <c r="AG517" i="45"/>
  <c r="AG515" i="45" s="1"/>
  <c r="D22" i="5"/>
  <c r="H30" i="5"/>
  <c r="H33" i="5"/>
  <c r="F15" i="5"/>
  <c r="H23" i="62"/>
  <c r="H29" i="62"/>
  <c r="H23" i="5"/>
  <c r="AQ29" i="5"/>
  <c r="AM48" i="5"/>
  <c r="AO48" i="5" s="1"/>
  <c r="AO29" i="5"/>
  <c r="CC56" i="5"/>
  <c r="CG44" i="5"/>
  <c r="CE44" i="5"/>
  <c r="J16" i="20"/>
  <c r="J13" i="20"/>
  <c r="EM30" i="5"/>
  <c r="CX23" i="5"/>
  <c r="EP25" i="62"/>
  <c r="FC25" i="62"/>
  <c r="EM23" i="5"/>
  <c r="EU56" i="5"/>
  <c r="EY44" i="5"/>
  <c r="EW44" i="5"/>
  <c r="L58" i="45"/>
  <c r="L112" i="45"/>
  <c r="DW29" i="5"/>
  <c r="DS48" i="5"/>
  <c r="DU48" i="5" s="1"/>
  <c r="DU29" i="5"/>
  <c r="AD517" i="45"/>
  <c r="AD515" i="45" s="1"/>
  <c r="FC57" i="5"/>
  <c r="EG48" i="5"/>
  <c r="EI48" i="5" s="1"/>
  <c r="EK29" i="5"/>
  <c r="EI29" i="5"/>
  <c r="AE517" i="45"/>
  <c r="AE515" i="45" s="1"/>
  <c r="DL24" i="5"/>
  <c r="BO56" i="5"/>
  <c r="BS44" i="5"/>
  <c r="BQ44" i="5"/>
  <c r="L14" i="29"/>
  <c r="DE56" i="5"/>
  <c r="DI44" i="5"/>
  <c r="DG44" i="5"/>
  <c r="C53" i="17"/>
  <c r="C47" i="17"/>
  <c r="C16" i="64"/>
  <c r="G16" i="64" s="1"/>
  <c r="E7" i="12"/>
  <c r="AT12" i="5"/>
  <c r="AH12" i="5"/>
  <c r="AB511" i="45"/>
  <c r="FI56" i="5"/>
  <c r="FM44" i="5"/>
  <c r="FK44" i="5"/>
  <c r="FB29" i="62"/>
  <c r="EM55" i="5"/>
  <c r="AM56" i="5"/>
  <c r="AQ44" i="5"/>
  <c r="AO44" i="5"/>
  <c r="K75" i="28"/>
  <c r="G34" i="28" s="1"/>
  <c r="C18" i="28"/>
  <c r="C20" i="28" s="1"/>
  <c r="I75" i="28"/>
  <c r="F34" i="28" s="1"/>
  <c r="G75" i="28"/>
  <c r="E34" i="28" s="1"/>
  <c r="M75" i="28"/>
  <c r="H34" i="28" s="1"/>
  <c r="E75" i="28"/>
  <c r="D34" i="28" s="1"/>
  <c r="L160" i="45"/>
  <c r="DS56" i="5"/>
  <c r="DW44" i="5"/>
  <c r="DU44" i="5"/>
  <c r="Y48" i="5"/>
  <c r="AA48" i="5" s="1"/>
  <c r="AC29" i="5"/>
  <c r="W517" i="45"/>
  <c r="W515" i="45" s="1"/>
  <c r="AA29" i="5"/>
  <c r="EG56" i="5"/>
  <c r="EK44" i="5"/>
  <c r="EI44" i="5"/>
  <c r="AD511" i="45"/>
  <c r="W511" i="45"/>
  <c r="Q9" i="12"/>
  <c r="Q8" i="12"/>
  <c r="DZ16" i="5"/>
  <c r="AG511" i="45"/>
  <c r="FP18" i="62"/>
  <c r="FP48" i="62" s="1"/>
  <c r="FB48" i="62"/>
  <c r="BA48" i="5"/>
  <c r="BC48" i="5" s="1"/>
  <c r="BE29" i="5"/>
  <c r="Y517" i="45"/>
  <c r="Y515" i="45" s="1"/>
  <c r="BC29" i="5"/>
  <c r="FB23" i="62"/>
  <c r="L214" i="45"/>
  <c r="AF15" i="5"/>
  <c r="V533" i="45"/>
  <c r="V55" i="5"/>
  <c r="V30" i="5"/>
  <c r="V29" i="62"/>
  <c r="V23" i="62"/>
  <c r="V33" i="5"/>
  <c r="T15" i="5"/>
  <c r="V47" i="5"/>
  <c r="V23" i="5"/>
  <c r="EO42" i="62"/>
  <c r="Y56" i="5"/>
  <c r="AC44" i="5"/>
  <c r="AA44" i="5"/>
  <c r="D14" i="20"/>
  <c r="C15" i="20"/>
  <c r="EM33" i="5"/>
  <c r="AF511" i="45"/>
  <c r="F37" i="17"/>
  <c r="D35" i="17"/>
  <c r="FP30" i="5"/>
  <c r="AC511" i="45"/>
  <c r="FB47" i="62"/>
  <c r="FP21" i="62"/>
  <c r="FP47" i="62" s="1"/>
  <c r="EN47" i="5"/>
  <c r="DE48" i="5"/>
  <c r="DG48" i="5" s="1"/>
  <c r="DI29" i="5"/>
  <c r="DG29" i="5"/>
  <c r="AC517" i="45"/>
  <c r="AC515" i="45" s="1"/>
  <c r="C37" i="17"/>
  <c r="C41" i="17"/>
  <c r="F39" i="17" s="1"/>
  <c r="CU29" i="5"/>
  <c r="CQ48" i="5"/>
  <c r="CS48" i="5" s="1"/>
  <c r="AB517" i="45"/>
  <c r="AB515" i="45" s="1"/>
  <c r="CS29" i="5"/>
  <c r="BA56" i="5"/>
  <c r="BE44" i="5"/>
  <c r="BC44" i="5"/>
  <c r="CC48" i="5"/>
  <c r="CE48" i="5" s="1"/>
  <c r="CG29" i="5"/>
  <c r="CE29" i="5"/>
  <c r="EN33" i="5"/>
  <c r="EM29" i="62"/>
  <c r="EY29" i="5"/>
  <c r="EU48" i="5"/>
  <c r="EW48" i="5" s="1"/>
  <c r="EW29" i="5"/>
  <c r="AF517" i="45"/>
  <c r="AF515" i="45" s="1"/>
  <c r="I23" i="68"/>
  <c r="I48" i="68"/>
  <c r="I67" i="68"/>
  <c r="I73" i="68"/>
  <c r="I40" i="68"/>
  <c r="G8" i="68"/>
  <c r="I26" i="68"/>
  <c r="I16" i="68"/>
  <c r="Y261" i="45"/>
  <c r="L265" i="45"/>
  <c r="P265" i="45" s="1"/>
  <c r="U212" i="45"/>
  <c r="U211" i="45" s="1"/>
  <c r="U59" i="45"/>
  <c r="U58" i="45" s="1"/>
  <c r="U110" i="45"/>
  <c r="U109" i="45" s="1"/>
  <c r="U310" i="45"/>
  <c r="U311" i="45" s="1"/>
  <c r="U312" i="45" s="1"/>
  <c r="U313" i="45" s="1"/>
  <c r="U314" i="45" s="1"/>
  <c r="U315" i="45" s="1"/>
  <c r="K44" i="5"/>
  <c r="K29" i="5"/>
  <c r="O22" i="5"/>
  <c r="B3" i="12" s="1"/>
  <c r="R22" i="5"/>
  <c r="U263" i="45"/>
  <c r="U262" i="45" s="1"/>
  <c r="U161" i="45"/>
  <c r="U8" i="45"/>
  <c r="U7" i="45" s="1"/>
  <c r="V7" i="45" s="1"/>
  <c r="V513" i="45"/>
  <c r="V511" i="45" s="1"/>
  <c r="D15" i="68"/>
  <c r="M22" i="5"/>
  <c r="EM47" i="5"/>
  <c r="BS29" i="5"/>
  <c r="BO48" i="5"/>
  <c r="BQ48" i="5" s="1"/>
  <c r="Z517" i="45"/>
  <c r="Z515" i="45" s="1"/>
  <c r="BQ29" i="5"/>
  <c r="D30" i="17"/>
  <c r="DL21" i="5"/>
  <c r="H16" i="29"/>
  <c r="G15" i="29"/>
  <c r="I15" i="29"/>
  <c r="K15" i="29" s="1"/>
  <c r="BM23" i="5" l="1"/>
  <c r="W337" i="45"/>
  <c r="V337" i="45"/>
  <c r="W536" i="45"/>
  <c r="V338" i="45"/>
  <c r="W338" i="45"/>
  <c r="X534" i="45"/>
  <c r="BI15" i="5"/>
  <c r="AY23" i="5"/>
  <c r="AJ315" i="31"/>
  <c r="AJ392" i="31" s="1"/>
  <c r="AJ399" i="31" s="1"/>
  <c r="AK316" i="31"/>
  <c r="BJ40" i="5"/>
  <c r="BW40" i="5"/>
  <c r="AJ562" i="49"/>
  <c r="AI561" i="49"/>
  <c r="FJ41" i="62"/>
  <c r="FJ45" i="62" s="1"/>
  <c r="FJ59" i="5"/>
  <c r="FN56" i="5"/>
  <c r="AH355" i="31"/>
  <c r="AH376" i="31" s="1"/>
  <c r="AI107" i="49"/>
  <c r="AI108" i="49"/>
  <c r="AI177" i="49"/>
  <c r="AJ366" i="31"/>
  <c r="AK367" i="31"/>
  <c r="BJ38" i="5"/>
  <c r="BW38" i="5"/>
  <c r="AJ144" i="31"/>
  <c r="AK145" i="31"/>
  <c r="AL383" i="31"/>
  <c r="AK382" i="31"/>
  <c r="BJ26" i="5"/>
  <c r="BW26" i="5"/>
  <c r="AJ614" i="49"/>
  <c r="AK615" i="49"/>
  <c r="AJ71" i="31"/>
  <c r="AK72" i="31"/>
  <c r="AJ188" i="49"/>
  <c r="AK189" i="49"/>
  <c r="BJ23" i="5"/>
  <c r="BW23" i="5"/>
  <c r="AJ153" i="31"/>
  <c r="AK154" i="31"/>
  <c r="AV30" i="5"/>
  <c r="BI30" i="5"/>
  <c r="AY30" i="5"/>
  <c r="AI354" i="31"/>
  <c r="AK421" i="31"/>
  <c r="AJ416" i="31"/>
  <c r="AK209" i="31"/>
  <c r="AJ208" i="31"/>
  <c r="BI18" i="62"/>
  <c r="AU48" i="62"/>
  <c r="AV18" i="62"/>
  <c r="AL570" i="31"/>
  <c r="AK569" i="31"/>
  <c r="O269" i="45"/>
  <c r="Q269" i="45" s="1"/>
  <c r="Z263" i="45"/>
  <c r="P56" i="5"/>
  <c r="AB316" i="45" s="1"/>
  <c r="V520" i="45"/>
  <c r="S56" i="5"/>
  <c r="L41" i="62"/>
  <c r="L59" i="5"/>
  <c r="E49" i="68"/>
  <c r="Y316" i="45"/>
  <c r="AV47" i="5"/>
  <c r="BI47" i="5"/>
  <c r="AY47" i="5"/>
  <c r="AJ459" i="49"/>
  <c r="AK460" i="49"/>
  <c r="AK294" i="31"/>
  <c r="AJ293" i="31"/>
  <c r="BI44" i="62"/>
  <c r="AV44" i="62"/>
  <c r="AJ144" i="49"/>
  <c r="AK145" i="49"/>
  <c r="AJ347" i="31"/>
  <c r="AK348" i="31"/>
  <c r="AJ26" i="31"/>
  <c r="AK27" i="31"/>
  <c r="BW31" i="5"/>
  <c r="BJ31" i="5"/>
  <c r="BW43" i="5"/>
  <c r="BJ43" i="5"/>
  <c r="BI29" i="62"/>
  <c r="AV29" i="62"/>
  <c r="AY29" i="62"/>
  <c r="DX59" i="5"/>
  <c r="S12" i="12" s="1"/>
  <c r="DT17" i="62"/>
  <c r="DT20" i="62" s="1"/>
  <c r="DT62" i="5"/>
  <c r="DX62" i="5" s="1"/>
  <c r="AJ565" i="49"/>
  <c r="AK566" i="49"/>
  <c r="X262" i="45"/>
  <c r="O267" i="45" s="1"/>
  <c r="N267" i="45"/>
  <c r="AG29" i="5"/>
  <c r="W542" i="45" s="1"/>
  <c r="W540" i="45" s="1"/>
  <c r="V542" i="45"/>
  <c r="V540" i="45" s="1"/>
  <c r="W29" i="5"/>
  <c r="N273" i="45"/>
  <c r="W264" i="45"/>
  <c r="N66" i="45"/>
  <c r="N72" i="45" s="1"/>
  <c r="P66" i="45" s="1"/>
  <c r="W64" i="45"/>
  <c r="Y61" i="45" s="1"/>
  <c r="W60" i="45"/>
  <c r="AJ609" i="31"/>
  <c r="AK610" i="31"/>
  <c r="AK394" i="31"/>
  <c r="AJ393" i="31"/>
  <c r="AL357" i="49"/>
  <c r="AK356" i="49"/>
  <c r="BJ34" i="5"/>
  <c r="BW34" i="5"/>
  <c r="AJ26" i="49"/>
  <c r="AJ46" i="49" s="1"/>
  <c r="AK27" i="49"/>
  <c r="AJ356" i="31"/>
  <c r="AK357" i="31"/>
  <c r="BW50" i="5"/>
  <c r="BJ50" i="5"/>
  <c r="EL59" i="5"/>
  <c r="U12" i="12" s="1"/>
  <c r="EH62" i="5"/>
  <c r="EL62" i="5" s="1"/>
  <c r="EH17" i="62"/>
  <c r="EH20" i="62" s="1"/>
  <c r="AJ153" i="49"/>
  <c r="AK154" i="49"/>
  <c r="AJ557" i="49"/>
  <c r="AK558" i="49"/>
  <c r="G355" i="31"/>
  <c r="C314" i="31"/>
  <c r="W23" i="62"/>
  <c r="AG23" i="62"/>
  <c r="T23" i="62"/>
  <c r="BW21" i="5"/>
  <c r="BJ21" i="5"/>
  <c r="AK220" i="31"/>
  <c r="AJ219" i="31"/>
  <c r="BW24" i="5"/>
  <c r="BJ24" i="5"/>
  <c r="AL385" i="49"/>
  <c r="AK382" i="49"/>
  <c r="AL615" i="31"/>
  <c r="AK614" i="31"/>
  <c r="AK302" i="49"/>
  <c r="AJ301" i="49"/>
  <c r="AJ328" i="31"/>
  <c r="AK329" i="31"/>
  <c r="BJ54" i="5"/>
  <c r="BW54" i="5"/>
  <c r="BW19" i="62"/>
  <c r="BJ19" i="62"/>
  <c r="AJ531" i="31"/>
  <c r="AK532" i="31"/>
  <c r="BJ37" i="5"/>
  <c r="BW37" i="5"/>
  <c r="AK562" i="31"/>
  <c r="AJ561" i="31"/>
  <c r="BW28" i="5"/>
  <c r="BJ28" i="5"/>
  <c r="AJ476" i="31"/>
  <c r="AK477" i="31"/>
  <c r="X160" i="45"/>
  <c r="O162" i="45" s="1"/>
  <c r="N162" i="45"/>
  <c r="N114" i="45"/>
  <c r="X109" i="45"/>
  <c r="O114" i="45" s="1"/>
  <c r="AL470" i="31"/>
  <c r="AK469" i="31"/>
  <c r="AK334" i="31"/>
  <c r="AJ333" i="31"/>
  <c r="AK287" i="31"/>
  <c r="AJ286" i="31"/>
  <c r="AL239" i="49"/>
  <c r="AK238" i="49"/>
  <c r="C48" i="5"/>
  <c r="G29" i="5"/>
  <c r="AJ321" i="31"/>
  <c r="AK322" i="31"/>
  <c r="AI177" i="31"/>
  <c r="CK27" i="5"/>
  <c r="BX27" i="5"/>
  <c r="O62" i="45"/>
  <c r="Q62" i="45" s="1"/>
  <c r="Z59" i="45"/>
  <c r="Y57" i="45" s="1"/>
  <c r="N216" i="45"/>
  <c r="X211" i="45"/>
  <c r="O216" i="45" s="1"/>
  <c r="AK90" i="31"/>
  <c r="AJ89" i="31"/>
  <c r="AJ80" i="49"/>
  <c r="AK81" i="49"/>
  <c r="AK585" i="49"/>
  <c r="AJ584" i="49"/>
  <c r="AK378" i="31"/>
  <c r="AJ377" i="31"/>
  <c r="AK10" i="31"/>
  <c r="AJ9" i="31"/>
  <c r="AK316" i="49"/>
  <c r="AJ315" i="49"/>
  <c r="AJ392" i="49" s="1"/>
  <c r="AJ399" i="49" s="1"/>
  <c r="AL129" i="31"/>
  <c r="AK127" i="31"/>
  <c r="BJ61" i="5"/>
  <c r="BW61" i="5"/>
  <c r="AJ531" i="49"/>
  <c r="AK532" i="49"/>
  <c r="Z62" i="5"/>
  <c r="AD62" i="5" s="1"/>
  <c r="AD59" i="5"/>
  <c r="E12" i="12" s="1"/>
  <c r="Z17" i="62"/>
  <c r="Z20" i="62" s="1"/>
  <c r="E41" i="68"/>
  <c r="S48" i="5"/>
  <c r="AG48" i="5" s="1"/>
  <c r="AU48" i="5" s="1"/>
  <c r="BI48" i="5" s="1"/>
  <c r="BW48" i="5" s="1"/>
  <c r="CK48" i="5" s="1"/>
  <c r="CY48" i="5" s="1"/>
  <c r="N168" i="45"/>
  <c r="N174" i="45" s="1"/>
  <c r="P168" i="45" s="1"/>
  <c r="W166" i="45"/>
  <c r="Y163" i="45" s="1"/>
  <c r="Z163" i="45" s="1"/>
  <c r="Q168" i="45" s="1"/>
  <c r="W162" i="45"/>
  <c r="AK81" i="31"/>
  <c r="AJ80" i="31"/>
  <c r="BF20" i="62"/>
  <c r="BB31" i="62"/>
  <c r="AK394" i="49"/>
  <c r="AJ393" i="49"/>
  <c r="AJ604" i="49"/>
  <c r="AK605" i="49"/>
  <c r="CK28" i="62"/>
  <c r="BX28" i="62"/>
  <c r="CH59" i="5"/>
  <c r="M12" i="12" s="1"/>
  <c r="CD17" i="62"/>
  <c r="CD20" i="62" s="1"/>
  <c r="CD62" i="5"/>
  <c r="CH62" i="5" s="1"/>
  <c r="AJ487" i="31"/>
  <c r="AK488" i="31"/>
  <c r="AK48" i="31"/>
  <c r="AJ47" i="31"/>
  <c r="AK460" i="31"/>
  <c r="AJ459" i="31"/>
  <c r="AE29" i="5"/>
  <c r="AS29" i="5" s="1"/>
  <c r="BG29" i="5" s="1"/>
  <c r="BU29" i="5" s="1"/>
  <c r="CI29" i="5" s="1"/>
  <c r="CW29" i="5" s="1"/>
  <c r="DK29" i="5" s="1"/>
  <c r="U29" i="5"/>
  <c r="AK605" i="31"/>
  <c r="AJ604" i="31"/>
  <c r="AV33" i="5"/>
  <c r="AY33" i="5"/>
  <c r="BI33" i="5"/>
  <c r="BJ22" i="62"/>
  <c r="BW22" i="62"/>
  <c r="AE23" i="62"/>
  <c r="AS23" i="62" s="1"/>
  <c r="BG23" i="62" s="1"/>
  <c r="BU23" i="62" s="1"/>
  <c r="CI23" i="62" s="1"/>
  <c r="CW23" i="62" s="1"/>
  <c r="U23" i="62"/>
  <c r="AK99" i="31"/>
  <c r="AJ98" i="31"/>
  <c r="G67" i="68"/>
  <c r="J67" i="68"/>
  <c r="F67" i="68"/>
  <c r="AJ333" i="49"/>
  <c r="AK334" i="49"/>
  <c r="BI24" i="62"/>
  <c r="AV24" i="62"/>
  <c r="AK507" i="31"/>
  <c r="AJ506" i="31"/>
  <c r="AJ435" i="49"/>
  <c r="AI429" i="49"/>
  <c r="AI157" i="31"/>
  <c r="AI354" i="49"/>
  <c r="BW16" i="5"/>
  <c r="BJ16" i="5"/>
  <c r="AH391" i="31"/>
  <c r="AH398" i="31" s="1"/>
  <c r="AH481" i="31" s="1"/>
  <c r="AH527" i="31" s="1"/>
  <c r="AH538" i="31" s="1"/>
  <c r="AH387" i="31"/>
  <c r="AY55" i="5"/>
  <c r="BI55" i="5"/>
  <c r="AV55" i="5"/>
  <c r="AK558" i="31"/>
  <c r="AJ557" i="31"/>
  <c r="BJ25" i="5"/>
  <c r="BW25" i="5"/>
  <c r="Y160" i="45"/>
  <c r="Z161" i="45"/>
  <c r="Q164" i="45" s="1"/>
  <c r="DF31" i="62"/>
  <c r="DJ20" i="62"/>
  <c r="BJ46" i="5"/>
  <c r="BW46" i="5"/>
  <c r="AJ553" i="49"/>
  <c r="AK554" i="49"/>
  <c r="G44" i="5"/>
  <c r="C56" i="5"/>
  <c r="AL378" i="49"/>
  <c r="AK377" i="49"/>
  <c r="J59" i="5"/>
  <c r="C49" i="68"/>
  <c r="H49" i="68" s="1"/>
  <c r="Q56" i="5"/>
  <c r="N56" i="5"/>
  <c r="X316" i="45" s="1"/>
  <c r="J41" i="62"/>
  <c r="AK179" i="31"/>
  <c r="AJ178" i="31"/>
  <c r="AK220" i="49"/>
  <c r="AJ219" i="49"/>
  <c r="F37" i="68"/>
  <c r="J37" i="68"/>
  <c r="AJ416" i="49"/>
  <c r="AK421" i="49"/>
  <c r="AJ321" i="49"/>
  <c r="AK322" i="49"/>
  <c r="BJ32" i="62"/>
  <c r="BW32" i="62"/>
  <c r="AI156" i="49"/>
  <c r="AI300" i="49" s="1"/>
  <c r="DR31" i="62"/>
  <c r="DV20" i="62"/>
  <c r="AJ435" i="31"/>
  <c r="AI429" i="31"/>
  <c r="AI46" i="31"/>
  <c r="AI107" i="31" s="1"/>
  <c r="AK307" i="49"/>
  <c r="AJ306" i="49"/>
  <c r="AK585" i="31"/>
  <c r="AJ584" i="31"/>
  <c r="AJ328" i="49"/>
  <c r="AK329" i="49"/>
  <c r="AK601" i="49"/>
  <c r="AJ600" i="49"/>
  <c r="AK341" i="49"/>
  <c r="AJ340" i="49"/>
  <c r="AK294" i="49"/>
  <c r="AJ293" i="49"/>
  <c r="BJ51" i="5"/>
  <c r="BW51" i="5"/>
  <c r="AK287" i="49"/>
  <c r="AJ286" i="49"/>
  <c r="AJ109" i="31"/>
  <c r="AJ108" i="31" s="1"/>
  <c r="AK110" i="31"/>
  <c r="N222" i="45"/>
  <c r="W213" i="45"/>
  <c r="AK483" i="49"/>
  <c r="AJ482" i="49"/>
  <c r="BW26" i="62"/>
  <c r="BJ26" i="62"/>
  <c r="AK268" i="31"/>
  <c r="AJ267" i="31"/>
  <c r="AK209" i="49"/>
  <c r="AJ208" i="49"/>
  <c r="AK9" i="49"/>
  <c r="AL10" i="49"/>
  <c r="BJ36" i="5"/>
  <c r="BW36" i="5"/>
  <c r="BW45" i="5"/>
  <c r="BJ45" i="5"/>
  <c r="AK99" i="49"/>
  <c r="AJ98" i="49"/>
  <c r="AK483" i="31"/>
  <c r="AJ482" i="31"/>
  <c r="V10" i="45"/>
  <c r="V112" i="45"/>
  <c r="V61" i="45"/>
  <c r="M66" i="45" s="1"/>
  <c r="V163" i="45"/>
  <c r="M168" i="45" s="1"/>
  <c r="V265" i="45"/>
  <c r="M273" i="45" s="1"/>
  <c r="V214" i="45"/>
  <c r="CR17" i="62"/>
  <c r="CR20" i="62" s="1"/>
  <c r="CV59" i="5"/>
  <c r="O12" i="12" s="1"/>
  <c r="CR62" i="5"/>
  <c r="CV62" i="5" s="1"/>
  <c r="BJ27" i="62"/>
  <c r="BW27" i="62"/>
  <c r="X58" i="45"/>
  <c r="O60" i="45" s="1"/>
  <c r="N60" i="45"/>
  <c r="AK229" i="31"/>
  <c r="AJ228" i="31"/>
  <c r="BJ41" i="5"/>
  <c r="BW41" i="5"/>
  <c r="AL46" i="62"/>
  <c r="AL49" i="62" s="1"/>
  <c r="AP31" i="62"/>
  <c r="AL35" i="62"/>
  <c r="AL37" i="62" s="1"/>
  <c r="AK63" i="31"/>
  <c r="AJ62" i="31"/>
  <c r="BJ60" i="5"/>
  <c r="BW60" i="5"/>
  <c r="AK169" i="31"/>
  <c r="AJ168" i="31"/>
  <c r="AK348" i="49"/>
  <c r="AJ347" i="49"/>
  <c r="BI43" i="62"/>
  <c r="AV43" i="62"/>
  <c r="FH31" i="62"/>
  <c r="FL20" i="62"/>
  <c r="AK189" i="31"/>
  <c r="AJ188" i="31"/>
  <c r="AJ366" i="49"/>
  <c r="AK367" i="49"/>
  <c r="BJ20" i="5"/>
  <c r="BW20" i="5"/>
  <c r="BW13" i="5"/>
  <c r="BJ13" i="5"/>
  <c r="CB35" i="62"/>
  <c r="CB37" i="62" s="1"/>
  <c r="CB46" i="62"/>
  <c r="CB49" i="62" s="1"/>
  <c r="CF31" i="62"/>
  <c r="AG391" i="31"/>
  <c r="AG398" i="31" s="1"/>
  <c r="AG481" i="31" s="1"/>
  <c r="AG527" i="31" s="1"/>
  <c r="AG538" i="31" s="1"/>
  <c r="AG387" i="31"/>
  <c r="AJ542" i="31"/>
  <c r="AK543" i="31"/>
  <c r="AK443" i="31"/>
  <c r="AJ442" i="31"/>
  <c r="AK48" i="49"/>
  <c r="AJ47" i="49"/>
  <c r="BJ14" i="5"/>
  <c r="BW14" i="5"/>
  <c r="AJ506" i="49"/>
  <c r="AK507" i="49"/>
  <c r="I56" i="5"/>
  <c r="E59" i="5"/>
  <c r="X31" i="62"/>
  <c r="AB20" i="62"/>
  <c r="AJ267" i="49"/>
  <c r="AK268" i="49"/>
  <c r="AK257" i="31"/>
  <c r="AJ256" i="31"/>
  <c r="AS48" i="62"/>
  <c r="BG18" i="62"/>
  <c r="AK543" i="49"/>
  <c r="AJ542" i="49"/>
  <c r="BJ30" i="62"/>
  <c r="BW30" i="62"/>
  <c r="AK488" i="49"/>
  <c r="AJ487" i="49"/>
  <c r="U44" i="5"/>
  <c r="AE44" i="5"/>
  <c r="AS44" i="5" s="1"/>
  <c r="BG44" i="5" s="1"/>
  <c r="BU44" i="5" s="1"/>
  <c r="CI44" i="5" s="1"/>
  <c r="CW44" i="5" s="1"/>
  <c r="DK44" i="5" s="1"/>
  <c r="BJ32" i="5"/>
  <c r="BW32" i="5"/>
  <c r="AJ238" i="31"/>
  <c r="AK239" i="31"/>
  <c r="BJ18" i="5"/>
  <c r="BW18" i="5"/>
  <c r="AK22" i="5"/>
  <c r="AU22" i="5"/>
  <c r="X538" i="45" s="1"/>
  <c r="W44" i="5"/>
  <c r="AG44" i="5"/>
  <c r="AJ600" i="31"/>
  <c r="AK601" i="31"/>
  <c r="AK443" i="49"/>
  <c r="AJ442" i="49"/>
  <c r="AK159" i="31"/>
  <c r="AJ158" i="31"/>
  <c r="AK169" i="49"/>
  <c r="AJ168" i="49"/>
  <c r="AJ157" i="49" s="1"/>
  <c r="AK470" i="49"/>
  <c r="AJ469" i="49"/>
  <c r="AK477" i="49"/>
  <c r="AJ476" i="49"/>
  <c r="G355" i="49"/>
  <c r="C314" i="49"/>
  <c r="AK110" i="49"/>
  <c r="AJ109" i="49"/>
  <c r="AJ108" i="49" s="1"/>
  <c r="AK35" i="49"/>
  <c r="AL36" i="49"/>
  <c r="BJ34" i="62"/>
  <c r="BW34" i="62"/>
  <c r="EZ59" i="5"/>
  <c r="W12" i="12" s="1"/>
  <c r="EV17" i="62"/>
  <c r="EV20" i="62" s="1"/>
  <c r="EV62" i="5"/>
  <c r="EZ62" i="5" s="1"/>
  <c r="BX39" i="5"/>
  <c r="CK39" i="5"/>
  <c r="AK340" i="31"/>
  <c r="AL341" i="31"/>
  <c r="BW19" i="5"/>
  <c r="BJ19" i="5"/>
  <c r="Z212" i="45"/>
  <c r="Y212" i="45" s="1"/>
  <c r="M218" i="45"/>
  <c r="Q218" i="45" s="1"/>
  <c r="Z110" i="45"/>
  <c r="Y108" i="45" s="1"/>
  <c r="M116" i="45"/>
  <c r="Q116" i="45" s="1"/>
  <c r="BJ35" i="5"/>
  <c r="BW35" i="5"/>
  <c r="BW17" i="5"/>
  <c r="BJ17" i="5"/>
  <c r="AI108" i="31"/>
  <c r="W111" i="45"/>
  <c r="N120" i="45"/>
  <c r="P120" i="45" s="1"/>
  <c r="Y112" i="45"/>
  <c r="Y111" i="45" s="1"/>
  <c r="X163" i="45"/>
  <c r="O168" i="45" s="1"/>
  <c r="X214" i="45"/>
  <c r="O222" i="45" s="1"/>
  <c r="X61" i="45"/>
  <c r="O66" i="45" s="1"/>
  <c r="X112" i="45"/>
  <c r="O120" i="45" s="1"/>
  <c r="X10" i="45"/>
  <c r="X265" i="45"/>
  <c r="F22" i="68"/>
  <c r="J22" i="68"/>
  <c r="AK307" i="31"/>
  <c r="AJ306" i="31"/>
  <c r="AJ313" i="31" s="1"/>
  <c r="BW42" i="5"/>
  <c r="BJ42" i="5"/>
  <c r="BJ33" i="62"/>
  <c r="BW33" i="62"/>
  <c r="AK257" i="49"/>
  <c r="AJ256" i="49"/>
  <c r="AG387" i="49"/>
  <c r="AG391" i="49"/>
  <c r="AG398" i="49" s="1"/>
  <c r="AG481" i="49" s="1"/>
  <c r="AG527" i="49" s="1"/>
  <c r="AG538" i="49" s="1"/>
  <c r="BW53" i="5"/>
  <c r="BJ53" i="5"/>
  <c r="BW49" i="5"/>
  <c r="BJ49" i="5"/>
  <c r="AK566" i="31"/>
  <c r="AJ565" i="31"/>
  <c r="Q48" i="5"/>
  <c r="AE48" i="5" s="1"/>
  <c r="AS48" i="5" s="1"/>
  <c r="BG48" i="5" s="1"/>
  <c r="BU48" i="5" s="1"/>
  <c r="CI48" i="5" s="1"/>
  <c r="CW48" i="5" s="1"/>
  <c r="DK48" i="5" s="1"/>
  <c r="DY48" i="5" s="1"/>
  <c r="EM48" i="5" s="1"/>
  <c r="FA48" i="5" s="1"/>
  <c r="FO48" i="5" s="1"/>
  <c r="C41" i="68"/>
  <c r="BW52" i="5"/>
  <c r="BJ52" i="5"/>
  <c r="AS21" i="62"/>
  <c r="AE47" i="62"/>
  <c r="EF31" i="62"/>
  <c r="EJ20" i="62"/>
  <c r="AU21" i="62"/>
  <c r="AG47" i="62"/>
  <c r="AH21" i="62"/>
  <c r="F23" i="62"/>
  <c r="I23" i="62"/>
  <c r="AJ569" i="49"/>
  <c r="AK570" i="49"/>
  <c r="AK63" i="49"/>
  <c r="AJ62" i="49"/>
  <c r="BW58" i="5"/>
  <c r="BJ58" i="5"/>
  <c r="AI313" i="49"/>
  <c r="AR20" i="62"/>
  <c r="AN31" i="62"/>
  <c r="BP31" i="62"/>
  <c r="BT20" i="62"/>
  <c r="AL179" i="49"/>
  <c r="AK178" i="49"/>
  <c r="AK89" i="49"/>
  <c r="AL90" i="49"/>
  <c r="AN549" i="49"/>
  <c r="AM490" i="49"/>
  <c r="AN128" i="31"/>
  <c r="AM304" i="49"/>
  <c r="AM231" i="49"/>
  <c r="AL228" i="49"/>
  <c r="AM100" i="31"/>
  <c r="AM295" i="49"/>
  <c r="AM180" i="31"/>
  <c r="AN291" i="49"/>
  <c r="AM349" i="49"/>
  <c r="AM142" i="31"/>
  <c r="AL136" i="31"/>
  <c r="AM556" i="31"/>
  <c r="AL553" i="31"/>
  <c r="AM309" i="49"/>
  <c r="AM379" i="31"/>
  <c r="AM60" i="31"/>
  <c r="AO190" i="31"/>
  <c r="AN51" i="49"/>
  <c r="AN86" i="31"/>
  <c r="J391" i="49"/>
  <c r="J387" i="49"/>
  <c r="AL609" i="49"/>
  <c r="AM610" i="49"/>
  <c r="AM302" i="31"/>
  <c r="AL301" i="31"/>
  <c r="AL136" i="49"/>
  <c r="AM137" i="49"/>
  <c r="AL127" i="49"/>
  <c r="AM128" i="49"/>
  <c r="AL158" i="49"/>
  <c r="AM159" i="49"/>
  <c r="AN231" i="31"/>
  <c r="AN472" i="31"/>
  <c r="AO563" i="31"/>
  <c r="AN383" i="49"/>
  <c r="AO554" i="31"/>
  <c r="AN222" i="31"/>
  <c r="AO61" i="31"/>
  <c r="AN444" i="49"/>
  <c r="AO563" i="49"/>
  <c r="AO166" i="31"/>
  <c r="AP572" i="31"/>
  <c r="AM35" i="31"/>
  <c r="AN36" i="31"/>
  <c r="AN468" i="31"/>
  <c r="AO64" i="31"/>
  <c r="AN173" i="31"/>
  <c r="I481" i="49"/>
  <c r="AN113" i="49"/>
  <c r="AO180" i="49"/>
  <c r="AO318" i="49"/>
  <c r="AP72" i="49"/>
  <c r="AP71" i="49" s="1"/>
  <c r="AO71" i="49"/>
  <c r="AP444" i="31"/>
  <c r="AP229" i="49"/>
  <c r="L114" i="45"/>
  <c r="V109" i="45"/>
  <c r="M114" i="45" s="1"/>
  <c r="V58" i="45"/>
  <c r="M60" i="45" s="1"/>
  <c r="L60" i="45"/>
  <c r="DZ21" i="5"/>
  <c r="U165" i="45"/>
  <c r="L164" i="45"/>
  <c r="U265" i="45"/>
  <c r="L273" i="45" s="1"/>
  <c r="U112" i="45"/>
  <c r="L120" i="45" s="1"/>
  <c r="O29" i="5"/>
  <c r="R29" i="5"/>
  <c r="K48" i="5"/>
  <c r="D22" i="68"/>
  <c r="V517" i="45"/>
  <c r="U214" i="45"/>
  <c r="L222" i="45" s="1"/>
  <c r="U10" i="45"/>
  <c r="U9" i="45" s="1"/>
  <c r="V9" i="45" s="1"/>
  <c r="U61" i="45"/>
  <c r="U163" i="45"/>
  <c r="M29" i="5"/>
  <c r="V262" i="45"/>
  <c r="M267" i="45" s="1"/>
  <c r="L267" i="45"/>
  <c r="J15" i="29"/>
  <c r="I15" i="68"/>
  <c r="G15" i="68"/>
  <c r="L269" i="45"/>
  <c r="K56" i="5"/>
  <c r="O44" i="5"/>
  <c r="R44" i="5"/>
  <c r="D37" i="68"/>
  <c r="M44" i="5"/>
  <c r="L218" i="45"/>
  <c r="BA57" i="5"/>
  <c r="BA41" i="62"/>
  <c r="BE56" i="5"/>
  <c r="Y519" i="45"/>
  <c r="BC56" i="5"/>
  <c r="FB47" i="5"/>
  <c r="D15" i="20"/>
  <c r="C16" i="20"/>
  <c r="D16" i="20" s="1"/>
  <c r="Y41" i="62"/>
  <c r="AC56" i="5"/>
  <c r="Y57" i="5"/>
  <c r="W519" i="45"/>
  <c r="AA56" i="5"/>
  <c r="EG41" i="62"/>
  <c r="EK56" i="5"/>
  <c r="EG57" i="5"/>
  <c r="EG59" i="5" s="1"/>
  <c r="EI56" i="5"/>
  <c r="AE519" i="45"/>
  <c r="FA55" i="5"/>
  <c r="FI41" i="62"/>
  <c r="FM56" i="5"/>
  <c r="FI57" i="5"/>
  <c r="FI59" i="5" s="1"/>
  <c r="FK56" i="5"/>
  <c r="AG519" i="45"/>
  <c r="BS56" i="5"/>
  <c r="BO57" i="5"/>
  <c r="BO41" i="62"/>
  <c r="Z519" i="45"/>
  <c r="BQ56" i="5"/>
  <c r="DL23" i="5"/>
  <c r="FA30" i="5"/>
  <c r="EM22" i="5"/>
  <c r="FA33" i="5"/>
  <c r="DY44" i="5"/>
  <c r="FC42" i="62"/>
  <c r="FP23" i="62"/>
  <c r="EY56" i="5"/>
  <c r="EU41" i="62"/>
  <c r="EU57" i="5"/>
  <c r="EU59" i="5" s="1"/>
  <c r="EW56" i="5"/>
  <c r="AF519" i="45"/>
  <c r="FD25" i="62"/>
  <c r="FQ25" i="62"/>
  <c r="FR25" i="62" s="1"/>
  <c r="CC41" i="62"/>
  <c r="CC57" i="5"/>
  <c r="CC59" i="5" s="1"/>
  <c r="CG56" i="5"/>
  <c r="CE56" i="5"/>
  <c r="D44" i="5"/>
  <c r="D29" i="5"/>
  <c r="H22" i="5"/>
  <c r="Z3" i="12" s="1"/>
  <c r="F22" i="5"/>
  <c r="FQ12" i="5"/>
  <c r="V515" i="45"/>
  <c r="AF22" i="5"/>
  <c r="V22" i="5"/>
  <c r="V537" i="45"/>
  <c r="V535" i="45" s="1"/>
  <c r="T22" i="5"/>
  <c r="FA29" i="62"/>
  <c r="DY29" i="5"/>
  <c r="C135" i="26"/>
  <c r="C135" i="25"/>
  <c r="C135" i="24"/>
  <c r="C135" i="23"/>
  <c r="C135" i="22"/>
  <c r="C135" i="21"/>
  <c r="C135" i="18"/>
  <c r="R39" i="17"/>
  <c r="R43" i="17" s="1"/>
  <c r="O39" i="17"/>
  <c r="O43" i="17" s="1"/>
  <c r="I39" i="17"/>
  <c r="I43" i="17" s="1"/>
  <c r="U39" i="17"/>
  <c r="U43" i="17" s="1"/>
  <c r="L39" i="17"/>
  <c r="L43" i="17" s="1"/>
  <c r="X39" i="17"/>
  <c r="X43" i="17" s="1"/>
  <c r="C34" i="28"/>
  <c r="G18" i="28"/>
  <c r="G20" i="28" s="1"/>
  <c r="F18" i="28"/>
  <c r="F20" i="28" s="1"/>
  <c r="E18" i="28"/>
  <c r="E20" i="28" s="1"/>
  <c r="D18" i="28"/>
  <c r="D20" i="28" s="1"/>
  <c r="H18" i="28"/>
  <c r="H20" i="28" s="1"/>
  <c r="DK23" i="62"/>
  <c r="C55" i="17"/>
  <c r="C51" i="17"/>
  <c r="L15" i="29"/>
  <c r="FA47" i="5"/>
  <c r="U111" i="45"/>
  <c r="L116" i="45"/>
  <c r="Y263" i="45"/>
  <c r="Y262" i="45" s="1"/>
  <c r="FB33" i="5"/>
  <c r="AT15" i="5"/>
  <c r="W533" i="45"/>
  <c r="AJ55" i="5"/>
  <c r="AJ30" i="5"/>
  <c r="AJ23" i="62"/>
  <c r="AJ29" i="62"/>
  <c r="AI29" i="62"/>
  <c r="AI30" i="5"/>
  <c r="AI47" i="5"/>
  <c r="AH15" i="5"/>
  <c r="AI23" i="5"/>
  <c r="AI33" i="5"/>
  <c r="AI55" i="5"/>
  <c r="AJ33" i="5"/>
  <c r="AJ47" i="5"/>
  <c r="AI22" i="5"/>
  <c r="AI29" i="5"/>
  <c r="AI44" i="5"/>
  <c r="AJ23" i="5"/>
  <c r="AI23" i="62"/>
  <c r="DW56" i="5"/>
  <c r="DS41" i="62"/>
  <c r="DS57" i="5"/>
  <c r="DS59" i="5" s="1"/>
  <c r="AD519" i="45"/>
  <c r="DU56" i="5"/>
  <c r="U160" i="45"/>
  <c r="AM57" i="5"/>
  <c r="AM59" i="5" s="1"/>
  <c r="AQ56" i="5"/>
  <c r="AM41" i="62"/>
  <c r="AO56" i="5"/>
  <c r="G7" i="12"/>
  <c r="BH12" i="5"/>
  <c r="AV12" i="5"/>
  <c r="DZ24" i="5"/>
  <c r="FQ57" i="5"/>
  <c r="J20" i="6"/>
  <c r="K20" i="6" s="1"/>
  <c r="H21" i="6" s="1"/>
  <c r="DM48" i="5"/>
  <c r="I16" i="29"/>
  <c r="J16" i="29" s="1"/>
  <c r="G16" i="29"/>
  <c r="H17" i="29"/>
  <c r="U63" i="45"/>
  <c r="L62" i="45"/>
  <c r="U60" i="45"/>
  <c r="F43" i="17"/>
  <c r="V211" i="45"/>
  <c r="M216" i="45" s="1"/>
  <c r="L216" i="45"/>
  <c r="S9" i="12"/>
  <c r="S8" i="12"/>
  <c r="EN16" i="5"/>
  <c r="FP29" i="62"/>
  <c r="DE41" i="62"/>
  <c r="DI56" i="5"/>
  <c r="DE57" i="5"/>
  <c r="DE59" i="5" s="1"/>
  <c r="AC519" i="45"/>
  <c r="DG56" i="5"/>
  <c r="FA23" i="5"/>
  <c r="CU56" i="5"/>
  <c r="CQ41" i="62"/>
  <c r="CQ57" i="5"/>
  <c r="CQ59" i="5" s="1"/>
  <c r="AB519" i="45"/>
  <c r="CS56" i="5"/>
  <c r="AJ46" i="31" l="1"/>
  <c r="K16" i="29"/>
  <c r="AJ354" i="49"/>
  <c r="Y534" i="45"/>
  <c r="BW15" i="5"/>
  <c r="X536" i="45"/>
  <c r="FJ17" i="62"/>
  <c r="FJ20" i="62" s="1"/>
  <c r="FJ62" i="5"/>
  <c r="FN62" i="5" s="1"/>
  <c r="FN59" i="5"/>
  <c r="Y12" i="12" s="1"/>
  <c r="BX40" i="5"/>
  <c r="CK40" i="5"/>
  <c r="AL316" i="31"/>
  <c r="AK315" i="31"/>
  <c r="AK392" i="31" s="1"/>
  <c r="AK399" i="31" s="1"/>
  <c r="U213" i="45"/>
  <c r="AK562" i="49"/>
  <c r="AJ561" i="49"/>
  <c r="AJ354" i="31"/>
  <c r="F23" i="28"/>
  <c r="F25" i="28"/>
  <c r="C14" i="27" s="1"/>
  <c r="G22" i="28"/>
  <c r="H22" i="28" s="1"/>
  <c r="H23" i="28" s="1"/>
  <c r="D23" i="28"/>
  <c r="E23" i="28"/>
  <c r="E25" i="28"/>
  <c r="H14" i="27" s="1"/>
  <c r="AJ107" i="49"/>
  <c r="AL570" i="49"/>
  <c r="AK569" i="49"/>
  <c r="EF46" i="62"/>
  <c r="EF49" i="62" s="1"/>
  <c r="EJ31" i="62"/>
  <c r="EF35" i="62"/>
  <c r="EF37" i="62" s="1"/>
  <c r="CK52" i="5"/>
  <c r="BX52" i="5"/>
  <c r="AL566" i="31"/>
  <c r="AK565" i="31"/>
  <c r="BX53" i="5"/>
  <c r="CK53" i="5"/>
  <c r="AK256" i="49"/>
  <c r="AL257" i="49"/>
  <c r="BX42" i="5"/>
  <c r="CK42" i="5"/>
  <c r="Y211" i="45"/>
  <c r="P218" i="45"/>
  <c r="EZ20" i="62"/>
  <c r="EV31" i="62"/>
  <c r="AL35" i="49"/>
  <c r="AM36" i="49"/>
  <c r="AK600" i="31"/>
  <c r="AL601" i="31"/>
  <c r="BI22" i="5"/>
  <c r="Y538" i="45" s="1"/>
  <c r="AY22" i="5"/>
  <c r="AL488" i="49"/>
  <c r="AK487" i="49"/>
  <c r="AL543" i="49"/>
  <c r="AK542" i="49"/>
  <c r="AK256" i="31"/>
  <c r="AL257" i="31"/>
  <c r="AB31" i="62"/>
  <c r="X46" i="62"/>
  <c r="X49" i="62" s="1"/>
  <c r="X35" i="62"/>
  <c r="X37" i="62" s="1"/>
  <c r="AL48" i="49"/>
  <c r="AK47" i="49"/>
  <c r="BX20" i="5"/>
  <c r="CK20" i="5"/>
  <c r="AL348" i="49"/>
  <c r="AK347" i="49"/>
  <c r="BX27" i="62"/>
  <c r="CK27" i="62"/>
  <c r="CR31" i="62"/>
  <c r="CV20" i="62"/>
  <c r="AK98" i="49"/>
  <c r="AL99" i="49"/>
  <c r="AK208" i="49"/>
  <c r="AL209" i="49"/>
  <c r="CK26" i="62"/>
  <c r="BX26" i="62"/>
  <c r="AL287" i="49"/>
  <c r="AK286" i="49"/>
  <c r="AL294" i="49"/>
  <c r="AK293" i="49"/>
  <c r="AL601" i="49"/>
  <c r="AK600" i="49"/>
  <c r="AL585" i="31"/>
  <c r="AK584" i="31"/>
  <c r="AI314" i="49"/>
  <c r="AI355" i="49" s="1"/>
  <c r="AI376" i="49" s="1"/>
  <c r="AL220" i="49"/>
  <c r="AK219" i="49"/>
  <c r="AK553" i="49"/>
  <c r="AL554" i="49"/>
  <c r="CK25" i="5"/>
  <c r="BX25" i="5"/>
  <c r="AK435" i="49"/>
  <c r="AJ429" i="49"/>
  <c r="BJ24" i="62"/>
  <c r="BW24" i="62"/>
  <c r="BJ33" i="5"/>
  <c r="BM33" i="5"/>
  <c r="BW33" i="5"/>
  <c r="AK604" i="31"/>
  <c r="AL605" i="31"/>
  <c r="AL460" i="31"/>
  <c r="AK459" i="31"/>
  <c r="AJ107" i="31"/>
  <c r="AJ156" i="31" s="1"/>
  <c r="P58" i="45"/>
  <c r="Y58" i="45"/>
  <c r="AK286" i="31"/>
  <c r="AL287" i="31"/>
  <c r="AM470" i="31"/>
  <c r="AL469" i="31"/>
  <c r="CK28" i="5"/>
  <c r="BX28" i="5"/>
  <c r="BX19" i="62"/>
  <c r="CK19" i="62"/>
  <c r="AL614" i="31"/>
  <c r="AM615" i="31"/>
  <c r="CK24" i="5"/>
  <c r="BX24" i="5"/>
  <c r="BX21" i="5"/>
  <c r="CK21" i="5"/>
  <c r="AK557" i="49"/>
  <c r="AL558" i="49"/>
  <c r="EL20" i="62"/>
  <c r="EH31" i="62"/>
  <c r="CK50" i="5"/>
  <c r="BX50" i="5"/>
  <c r="AL356" i="49"/>
  <c r="AM357" i="49"/>
  <c r="X264" i="45"/>
  <c r="O271" i="45" s="1"/>
  <c r="N271" i="45"/>
  <c r="CK43" i="5"/>
  <c r="BX43" i="5"/>
  <c r="AK293" i="31"/>
  <c r="AL294" i="31"/>
  <c r="BW47" i="5"/>
  <c r="BJ47" i="5"/>
  <c r="BM47" i="5"/>
  <c r="L62" i="5"/>
  <c r="E52" i="68"/>
  <c r="S59" i="5"/>
  <c r="P59" i="5"/>
  <c r="C12" i="12" s="1"/>
  <c r="L17" i="62"/>
  <c r="AK208" i="31"/>
  <c r="AL209" i="31"/>
  <c r="AJ177" i="49"/>
  <c r="AM383" i="31"/>
  <c r="AL382" i="31"/>
  <c r="BX58" i="5"/>
  <c r="CK58" i="5"/>
  <c r="CK33" i="62"/>
  <c r="BX33" i="62"/>
  <c r="Z111" i="45"/>
  <c r="P118" i="45"/>
  <c r="CY39" i="5"/>
  <c r="CL39" i="5"/>
  <c r="G376" i="49"/>
  <c r="C355" i="49"/>
  <c r="AK469" i="49"/>
  <c r="AL470" i="49"/>
  <c r="AL159" i="31"/>
  <c r="AK158" i="31"/>
  <c r="AK238" i="31"/>
  <c r="AL239" i="31"/>
  <c r="BX30" i="62"/>
  <c r="CK30" i="62"/>
  <c r="BG48" i="62"/>
  <c r="BU18" i="62"/>
  <c r="AL268" i="49"/>
  <c r="AK267" i="49"/>
  <c r="I59" i="5"/>
  <c r="AA12" i="12" s="1"/>
  <c r="E17" i="62"/>
  <c r="E62" i="5"/>
  <c r="I62" i="5" s="1"/>
  <c r="CK14" i="5"/>
  <c r="BX14" i="5"/>
  <c r="AL189" i="31"/>
  <c r="AK188" i="31"/>
  <c r="AJ157" i="31"/>
  <c r="AL229" i="31"/>
  <c r="AK228" i="31"/>
  <c r="AM10" i="49"/>
  <c r="AL9" i="49"/>
  <c r="AK109" i="31"/>
  <c r="AL110" i="31"/>
  <c r="CK51" i="5"/>
  <c r="BX51" i="5"/>
  <c r="AL329" i="49"/>
  <c r="AK328" i="49"/>
  <c r="AK435" i="31"/>
  <c r="AJ429" i="31"/>
  <c r="CK32" i="62"/>
  <c r="BX32" i="62"/>
  <c r="AK416" i="49"/>
  <c r="AL421" i="49"/>
  <c r="AJ177" i="31"/>
  <c r="AE56" i="5"/>
  <c r="U56" i="5"/>
  <c r="AL377" i="49"/>
  <c r="AM378" i="49"/>
  <c r="DF46" i="62"/>
  <c r="DF49" i="62" s="1"/>
  <c r="DJ31" i="62"/>
  <c r="DF35" i="62"/>
  <c r="DF37" i="62" s="1"/>
  <c r="BJ55" i="5"/>
  <c r="BM55" i="5"/>
  <c r="BW55" i="5"/>
  <c r="AK333" i="49"/>
  <c r="AL334" i="49"/>
  <c r="CL28" i="62"/>
  <c r="CY28" i="62"/>
  <c r="AL394" i="49"/>
  <c r="AK393" i="49"/>
  <c r="AL81" i="31"/>
  <c r="AK80" i="31"/>
  <c r="AM129" i="31"/>
  <c r="AL127" i="31"/>
  <c r="AL10" i="31"/>
  <c r="AK9" i="31"/>
  <c r="AL585" i="49"/>
  <c r="AK584" i="49"/>
  <c r="AL90" i="31"/>
  <c r="AK89" i="31"/>
  <c r="AK321" i="31"/>
  <c r="AL322" i="31"/>
  <c r="AK476" i="31"/>
  <c r="AL477" i="31"/>
  <c r="AK531" i="31"/>
  <c r="AL532" i="31"/>
  <c r="BX54" i="5"/>
  <c r="CK54" i="5"/>
  <c r="AJ313" i="49"/>
  <c r="AL357" i="31"/>
  <c r="AK356" i="31"/>
  <c r="BX34" i="5"/>
  <c r="CK34" i="5"/>
  <c r="X60" i="45"/>
  <c r="O64" i="45" s="1"/>
  <c r="N64" i="45"/>
  <c r="AU29" i="5"/>
  <c r="X542" i="45" s="1"/>
  <c r="X540" i="45" s="1"/>
  <c r="AK29" i="5"/>
  <c r="AK565" i="49"/>
  <c r="AL566" i="49"/>
  <c r="AK347" i="31"/>
  <c r="AL348" i="31"/>
  <c r="AK459" i="49"/>
  <c r="AL460" i="49"/>
  <c r="E41" i="62"/>
  <c r="L45" i="62"/>
  <c r="S41" i="62"/>
  <c r="BW30" i="5"/>
  <c r="BJ30" i="5"/>
  <c r="BM30" i="5"/>
  <c r="BX23" i="5"/>
  <c r="CK23" i="5"/>
  <c r="AK71" i="31"/>
  <c r="AL72" i="31"/>
  <c r="CK26" i="5"/>
  <c r="BX26" i="5"/>
  <c r="AK144" i="31"/>
  <c r="AL145" i="31"/>
  <c r="AL367" i="31"/>
  <c r="AK366" i="31"/>
  <c r="AV21" i="62"/>
  <c r="BI21" i="62"/>
  <c r="AU47" i="62"/>
  <c r="BG21" i="62"/>
  <c r="AS47" i="62"/>
  <c r="CK49" i="5"/>
  <c r="BX49" i="5"/>
  <c r="AK306" i="31"/>
  <c r="AK313" i="31" s="1"/>
  <c r="AL307" i="31"/>
  <c r="CK17" i="5"/>
  <c r="BX17" i="5"/>
  <c r="P112" i="45"/>
  <c r="Y109" i="45"/>
  <c r="CK19" i="5"/>
  <c r="BX19" i="5"/>
  <c r="BX34" i="62"/>
  <c r="CK34" i="62"/>
  <c r="AJ156" i="49"/>
  <c r="AJ300" i="49" s="1"/>
  <c r="AU44" i="5"/>
  <c r="AK44" i="5"/>
  <c r="AL443" i="31"/>
  <c r="AK442" i="31"/>
  <c r="AL367" i="49"/>
  <c r="AK366" i="49"/>
  <c r="BJ43" i="62"/>
  <c r="BW43" i="62"/>
  <c r="AL169" i="31"/>
  <c r="AK168" i="31"/>
  <c r="AL63" i="31"/>
  <c r="AK62" i="31"/>
  <c r="BX41" i="5"/>
  <c r="CK41" i="5"/>
  <c r="M222" i="45"/>
  <c r="Q222" i="45" s="1"/>
  <c r="Z214" i="45"/>
  <c r="Y214" i="45" s="1"/>
  <c r="Z112" i="45"/>
  <c r="M120" i="45"/>
  <c r="Q120" i="45" s="1"/>
  <c r="AL483" i="31"/>
  <c r="AK482" i="31"/>
  <c r="CK45" i="5"/>
  <c r="BX45" i="5"/>
  <c r="AK267" i="31"/>
  <c r="AL268" i="31"/>
  <c r="AL483" i="49"/>
  <c r="AK482" i="49"/>
  <c r="AK340" i="49"/>
  <c r="AL341" i="49"/>
  <c r="AL307" i="49"/>
  <c r="AK306" i="49"/>
  <c r="AL179" i="31"/>
  <c r="AK178" i="31"/>
  <c r="G56" i="5"/>
  <c r="C59" i="5"/>
  <c r="CK46" i="5"/>
  <c r="BX46" i="5"/>
  <c r="CK16" i="5"/>
  <c r="BX16" i="5"/>
  <c r="AK506" i="31"/>
  <c r="AL507" i="31"/>
  <c r="CK22" i="62"/>
  <c r="BX22" i="62"/>
  <c r="AL48" i="31"/>
  <c r="AK47" i="31"/>
  <c r="CH20" i="62"/>
  <c r="CD31" i="62"/>
  <c r="AL605" i="49"/>
  <c r="AK604" i="49"/>
  <c r="BB46" i="62"/>
  <c r="BB49" i="62" s="1"/>
  <c r="BB35" i="62"/>
  <c r="BB37" i="62" s="1"/>
  <c r="BF31" i="62"/>
  <c r="N166" i="45"/>
  <c r="X162" i="45"/>
  <c r="O166" i="45" s="1"/>
  <c r="F41" i="68"/>
  <c r="AK531" i="49"/>
  <c r="AL532" i="49"/>
  <c r="BX61" i="5"/>
  <c r="CK61" i="5"/>
  <c r="AL81" i="49"/>
  <c r="AK80" i="49"/>
  <c r="AM239" i="49"/>
  <c r="AL238" i="49"/>
  <c r="AL334" i="31"/>
  <c r="AK333" i="31"/>
  <c r="AL562" i="31"/>
  <c r="AK561" i="31"/>
  <c r="AL302" i="49"/>
  <c r="AK301" i="49"/>
  <c r="AK313" i="49" s="1"/>
  <c r="AM385" i="49"/>
  <c r="AL382" i="49"/>
  <c r="AL220" i="31"/>
  <c r="AK219" i="31"/>
  <c r="AU23" i="62"/>
  <c r="AK23" i="62"/>
  <c r="AH23" i="62"/>
  <c r="AL154" i="49"/>
  <c r="AK153" i="49"/>
  <c r="AK393" i="31"/>
  <c r="AL394" i="31"/>
  <c r="Y60" i="45"/>
  <c r="Z61" i="45"/>
  <c r="Q66" i="45" s="1"/>
  <c r="DT31" i="62"/>
  <c r="DX20" i="62"/>
  <c r="BJ29" i="62"/>
  <c r="BW29" i="62"/>
  <c r="BM29" i="62"/>
  <c r="BX31" i="5"/>
  <c r="CK31" i="5"/>
  <c r="BW44" i="62"/>
  <c r="BJ44" i="62"/>
  <c r="AG56" i="5"/>
  <c r="W544" i="45" s="1"/>
  <c r="V544" i="45"/>
  <c r="W56" i="5"/>
  <c r="BW18" i="62"/>
  <c r="BI48" i="62"/>
  <c r="BJ18" i="62"/>
  <c r="AL421" i="31"/>
  <c r="AK416" i="31"/>
  <c r="AK62" i="49"/>
  <c r="AL63" i="49"/>
  <c r="O273" i="45"/>
  <c r="Q273" i="45" s="1"/>
  <c r="Z265" i="45"/>
  <c r="Y265" i="45" s="1"/>
  <c r="P273" i="45" s="1"/>
  <c r="X111" i="45"/>
  <c r="O118" i="45" s="1"/>
  <c r="N118" i="45"/>
  <c r="BX35" i="5"/>
  <c r="CK35" i="5"/>
  <c r="AL340" i="31"/>
  <c r="AM341" i="31"/>
  <c r="AL110" i="49"/>
  <c r="AK109" i="49"/>
  <c r="AL477" i="49"/>
  <c r="AK476" i="49"/>
  <c r="AL169" i="49"/>
  <c r="AK168" i="49"/>
  <c r="AK157" i="49" s="1"/>
  <c r="AL443" i="49"/>
  <c r="AK442" i="49"/>
  <c r="CK18" i="5"/>
  <c r="BX18" i="5"/>
  <c r="CK32" i="5"/>
  <c r="BX32" i="5"/>
  <c r="AL507" i="49"/>
  <c r="AK506" i="49"/>
  <c r="AK542" i="31"/>
  <c r="AL543" i="31"/>
  <c r="BX13" i="5"/>
  <c r="CK13" i="5"/>
  <c r="FH35" i="62"/>
  <c r="FH37" i="62" s="1"/>
  <c r="FH46" i="62"/>
  <c r="FH49" i="62" s="1"/>
  <c r="FL31" i="62"/>
  <c r="BX60" i="5"/>
  <c r="CK60" i="5"/>
  <c r="CK36" i="5"/>
  <c r="BX36" i="5"/>
  <c r="N220" i="45"/>
  <c r="X213" i="45"/>
  <c r="O220" i="45" s="1"/>
  <c r="AI156" i="31"/>
  <c r="AI300" i="31" s="1"/>
  <c r="AI314" i="31" s="1"/>
  <c r="AI355" i="31" s="1"/>
  <c r="AI376" i="31" s="1"/>
  <c r="DR46" i="62"/>
  <c r="DR49" i="62" s="1"/>
  <c r="DR35" i="62"/>
  <c r="DR37" i="62" s="1"/>
  <c r="DV31" i="62"/>
  <c r="AL322" i="49"/>
  <c r="AK321" i="49"/>
  <c r="J45" i="62"/>
  <c r="C41" i="62"/>
  <c r="C45" i="62" s="1"/>
  <c r="Q41" i="62"/>
  <c r="Q59" i="5"/>
  <c r="J62" i="5"/>
  <c r="J17" i="62"/>
  <c r="N59" i="5"/>
  <c r="C52" i="68"/>
  <c r="H52" i="68" s="1"/>
  <c r="Z160" i="45"/>
  <c r="Q162" i="45" s="1"/>
  <c r="P162" i="45"/>
  <c r="AL558" i="31"/>
  <c r="AK557" i="31"/>
  <c r="AL99" i="31"/>
  <c r="AK98" i="31"/>
  <c r="AK487" i="31"/>
  <c r="AL488" i="31"/>
  <c r="AD20" i="62"/>
  <c r="Z31" i="62"/>
  <c r="AL316" i="49"/>
  <c r="AK315" i="49"/>
  <c r="AK392" i="49" s="1"/>
  <c r="AK399" i="49" s="1"/>
  <c r="AL378" i="31"/>
  <c r="AK377" i="31"/>
  <c r="CY27" i="5"/>
  <c r="CL27" i="5"/>
  <c r="CK37" i="5"/>
  <c r="BX37" i="5"/>
  <c r="AK328" i="31"/>
  <c r="AL329" i="31"/>
  <c r="G376" i="31"/>
  <c r="C355" i="31"/>
  <c r="AK26" i="49"/>
  <c r="AK46" i="49" s="1"/>
  <c r="AL27" i="49"/>
  <c r="AL610" i="31"/>
  <c r="AK609" i="31"/>
  <c r="AL27" i="31"/>
  <c r="AK26" i="31"/>
  <c r="AL145" i="49"/>
  <c r="AK144" i="49"/>
  <c r="J49" i="68"/>
  <c r="F49" i="68"/>
  <c r="AM570" i="31"/>
  <c r="AL569" i="31"/>
  <c r="AK153" i="31"/>
  <c r="AL154" i="31"/>
  <c r="AK188" i="49"/>
  <c r="AK177" i="49" s="1"/>
  <c r="AL189" i="49"/>
  <c r="AL615" i="49"/>
  <c r="AK614" i="49"/>
  <c r="BX38" i="5"/>
  <c r="CK38" i="5"/>
  <c r="Y162" i="45"/>
  <c r="AR31" i="62"/>
  <c r="AN46" i="62"/>
  <c r="AN49" i="62" s="1"/>
  <c r="AN35" i="62"/>
  <c r="AN37" i="62" s="1"/>
  <c r="AM90" i="49"/>
  <c r="AL89" i="49"/>
  <c r="AM179" i="49"/>
  <c r="AL178" i="49"/>
  <c r="BP35" i="62"/>
  <c r="BP37" i="62" s="1"/>
  <c r="BP46" i="62"/>
  <c r="BP49" i="62" s="1"/>
  <c r="BT31" i="62"/>
  <c r="AN100" i="31"/>
  <c r="AN231" i="49"/>
  <c r="AM228" i="49"/>
  <c r="AN180" i="31"/>
  <c r="AN490" i="49"/>
  <c r="AO128" i="31"/>
  <c r="AN295" i="49"/>
  <c r="AN304" i="49"/>
  <c r="AO549" i="49"/>
  <c r="AN379" i="31"/>
  <c r="AN556" i="31"/>
  <c r="AM553" i="31"/>
  <c r="AN349" i="49"/>
  <c r="AN60" i="31"/>
  <c r="AN309" i="49"/>
  <c r="AN142" i="31"/>
  <c r="AM136" i="31"/>
  <c r="AO291" i="49"/>
  <c r="AO86" i="31"/>
  <c r="AP190" i="31"/>
  <c r="AO51" i="49"/>
  <c r="AN159" i="49"/>
  <c r="AM158" i="49"/>
  <c r="AM136" i="49"/>
  <c r="AN137" i="49"/>
  <c r="J398" i="49"/>
  <c r="AN128" i="49"/>
  <c r="AM127" i="49"/>
  <c r="AM301" i="31"/>
  <c r="AN302" i="31"/>
  <c r="AM609" i="49"/>
  <c r="AN610" i="49"/>
  <c r="AO383" i="49"/>
  <c r="AO472" i="31"/>
  <c r="AP563" i="31"/>
  <c r="AO231" i="31"/>
  <c r="AP318" i="49"/>
  <c r="AP180" i="49"/>
  <c r="I527" i="49"/>
  <c r="AP64" i="31"/>
  <c r="AP166" i="31"/>
  <c r="AO444" i="49"/>
  <c r="AO222" i="31"/>
  <c r="AP554" i="31"/>
  <c r="AO113" i="49"/>
  <c r="AO173" i="31"/>
  <c r="AO468" i="31"/>
  <c r="AP563" i="49"/>
  <c r="AP61" i="31"/>
  <c r="AO36" i="31"/>
  <c r="AN35" i="31"/>
  <c r="D39" i="17"/>
  <c r="CQ17" i="62"/>
  <c r="CQ62" i="5"/>
  <c r="CU59" i="5"/>
  <c r="N12" i="12" s="1"/>
  <c r="CS59" i="5"/>
  <c r="J21" i="6"/>
  <c r="K21" i="6" s="1"/>
  <c r="H22" i="6" s="1"/>
  <c r="DS17" i="62"/>
  <c r="DS62" i="5"/>
  <c r="DW59" i="5"/>
  <c r="R12" i="12" s="1"/>
  <c r="DU59" i="5"/>
  <c r="EU17" i="62"/>
  <c r="EU62" i="5"/>
  <c r="EY59" i="5"/>
  <c r="V12" i="12" s="1"/>
  <c r="EW59" i="5"/>
  <c r="FO23" i="5"/>
  <c r="I17" i="29"/>
  <c r="K17" i="29" s="1"/>
  <c r="H18" i="29"/>
  <c r="J17" i="29"/>
  <c r="G17" i="29"/>
  <c r="DE17" i="62"/>
  <c r="DE62" i="5"/>
  <c r="DI59" i="5"/>
  <c r="P12" i="12" s="1"/>
  <c r="DG59" i="5"/>
  <c r="U9" i="12"/>
  <c r="U8" i="12"/>
  <c r="FB16" i="5"/>
  <c r="L64" i="45"/>
  <c r="V60" i="45"/>
  <c r="M64" i="45" s="1"/>
  <c r="EN24" i="5"/>
  <c r="L162" i="45"/>
  <c r="V160" i="45"/>
  <c r="M162" i="45" s="1"/>
  <c r="DU41" i="62"/>
  <c r="FP33" i="5"/>
  <c r="Z262" i="45"/>
  <c r="P267" i="45"/>
  <c r="Q267" i="45" s="1"/>
  <c r="B91" i="20"/>
  <c r="U47" i="17"/>
  <c r="U51" i="17" s="1"/>
  <c r="U53" i="17"/>
  <c r="I137" i="18"/>
  <c r="F137" i="18"/>
  <c r="I137" i="24"/>
  <c r="F137" i="24"/>
  <c r="AJ22" i="5"/>
  <c r="AT22" i="5"/>
  <c r="W537" i="45"/>
  <c r="W535" i="45" s="1"/>
  <c r="AH22" i="5"/>
  <c r="H29" i="5"/>
  <c r="D48" i="5"/>
  <c r="F48" i="5" s="1"/>
  <c r="F29" i="5"/>
  <c r="CE57" i="5"/>
  <c r="CC42" i="62"/>
  <c r="CE42" i="62" s="1"/>
  <c r="FQ42" i="62"/>
  <c r="EM44" i="5"/>
  <c r="FA22" i="5"/>
  <c r="EI41" i="62"/>
  <c r="AO41" i="62"/>
  <c r="CS41" i="62"/>
  <c r="BO42" i="62"/>
  <c r="BQ42" i="62" s="1"/>
  <c r="BQ57" i="5"/>
  <c r="FK41" i="62"/>
  <c r="V213" i="45"/>
  <c r="M220" i="45" s="1"/>
  <c r="L220" i="45"/>
  <c r="AF44" i="5"/>
  <c r="V44" i="5"/>
  <c r="T44" i="5"/>
  <c r="L168" i="45"/>
  <c r="U166" i="45"/>
  <c r="B11" i="20"/>
  <c r="F53" i="17"/>
  <c r="F47" i="17"/>
  <c r="D43" i="17"/>
  <c r="L16" i="29"/>
  <c r="EA48" i="5"/>
  <c r="AM42" i="62"/>
  <c r="AO42" i="62" s="1"/>
  <c r="AO57" i="5"/>
  <c r="FO47" i="5"/>
  <c r="B27" i="20"/>
  <c r="I47" i="17"/>
  <c r="I53" i="17"/>
  <c r="I137" i="21"/>
  <c r="F137" i="21"/>
  <c r="I137" i="25"/>
  <c r="F137" i="25"/>
  <c r="EM29" i="5"/>
  <c r="H44" i="5"/>
  <c r="D56" i="5"/>
  <c r="F44" i="5"/>
  <c r="CE41" i="62"/>
  <c r="FO30" i="5"/>
  <c r="DZ23" i="5"/>
  <c r="BO59" i="5"/>
  <c r="FI42" i="62"/>
  <c r="FK42" i="62" s="1"/>
  <c r="FK57" i="5"/>
  <c r="FO55" i="5"/>
  <c r="EG42" i="62"/>
  <c r="EI42" i="62" s="1"/>
  <c r="EI57" i="5"/>
  <c r="AA41" i="62"/>
  <c r="BC41" i="62"/>
  <c r="U64" i="45"/>
  <c r="L66" i="45"/>
  <c r="I22" i="68"/>
  <c r="G22" i="68"/>
  <c r="DG41" i="62"/>
  <c r="CC17" i="62"/>
  <c r="CC62" i="5"/>
  <c r="CG59" i="5"/>
  <c r="L12" i="12" s="1"/>
  <c r="CE59" i="5"/>
  <c r="EU42" i="62"/>
  <c r="EW42" i="62" s="1"/>
  <c r="EW57" i="5"/>
  <c r="FI17" i="62"/>
  <c r="FI62" i="5"/>
  <c r="FM59" i="5"/>
  <c r="X12" i="12" s="1"/>
  <c r="FK59" i="5"/>
  <c r="EG17" i="62"/>
  <c r="EG62" i="5"/>
  <c r="EK59" i="5"/>
  <c r="T12" i="12" s="1"/>
  <c r="EI59" i="5"/>
  <c r="Y42" i="62"/>
  <c r="AA42" i="62" s="1"/>
  <c r="AA57" i="5"/>
  <c r="FP47" i="5"/>
  <c r="BA42" i="62"/>
  <c r="BC42" i="62" s="1"/>
  <c r="BC57" i="5"/>
  <c r="U316" i="45"/>
  <c r="O56" i="5"/>
  <c r="R56" i="5"/>
  <c r="K41" i="62"/>
  <c r="K57" i="5"/>
  <c r="K59" i="5" s="1"/>
  <c r="D49" i="68"/>
  <c r="V519" i="45"/>
  <c r="M56" i="5"/>
  <c r="R48" i="5"/>
  <c r="D41" i="68"/>
  <c r="G41" i="68" s="1"/>
  <c r="M48" i="5"/>
  <c r="DY23" i="62"/>
  <c r="B107" i="20"/>
  <c r="X53" i="17"/>
  <c r="X47" i="17"/>
  <c r="X51" i="17" s="1"/>
  <c r="B59" i="20"/>
  <c r="O53" i="17"/>
  <c r="O47" i="17"/>
  <c r="O51" i="17" s="1"/>
  <c r="I137" i="22"/>
  <c r="F137" i="22"/>
  <c r="I137" i="26"/>
  <c r="F137" i="26"/>
  <c r="CQ42" i="62"/>
  <c r="CS42" i="62" s="1"/>
  <c r="CS57" i="5"/>
  <c r="DE42" i="62"/>
  <c r="DG42" i="62" s="1"/>
  <c r="DG57" i="5"/>
  <c r="I7" i="12"/>
  <c r="BV12" i="5"/>
  <c r="BJ12" i="5"/>
  <c r="AM17" i="62"/>
  <c r="AM62" i="5"/>
  <c r="AQ59" i="5"/>
  <c r="F12" i="12" s="1"/>
  <c r="AO59" i="5"/>
  <c r="DS42" i="62"/>
  <c r="DU42" i="62" s="1"/>
  <c r="DU57" i="5"/>
  <c r="BH15" i="5"/>
  <c r="X533" i="45"/>
  <c r="AX55" i="5"/>
  <c r="AX30" i="5"/>
  <c r="AX23" i="62"/>
  <c r="AX29" i="62"/>
  <c r="AV15" i="5"/>
  <c r="AW29" i="62"/>
  <c r="AW33" i="5"/>
  <c r="AW23" i="5"/>
  <c r="AW55" i="5"/>
  <c r="AX47" i="5"/>
  <c r="AW30" i="5"/>
  <c r="AW47" i="5"/>
  <c r="AX33" i="5"/>
  <c r="AW22" i="5"/>
  <c r="AW29" i="5"/>
  <c r="AW44" i="5"/>
  <c r="AX23" i="5"/>
  <c r="AW23" i="62"/>
  <c r="P269" i="45"/>
  <c r="L118" i="45"/>
  <c r="V111" i="45"/>
  <c r="M118" i="45" s="1"/>
  <c r="B43" i="20"/>
  <c r="L53" i="17"/>
  <c r="L47" i="17"/>
  <c r="L51" i="17" s="1"/>
  <c r="B75" i="20"/>
  <c r="R53" i="17"/>
  <c r="R47" i="17"/>
  <c r="R51" i="17" s="1"/>
  <c r="I137" i="23"/>
  <c r="F137" i="23"/>
  <c r="FO29" i="62"/>
  <c r="EW41" i="62"/>
  <c r="FO33" i="5"/>
  <c r="BQ41" i="62"/>
  <c r="Y59" i="5"/>
  <c r="BA59" i="5"/>
  <c r="I37" i="68"/>
  <c r="G37" i="68"/>
  <c r="U264" i="45"/>
  <c r="AF29" i="5"/>
  <c r="V29" i="5"/>
  <c r="V541" i="45"/>
  <c r="V539" i="45" s="1"/>
  <c r="T29" i="5"/>
  <c r="U162" i="45"/>
  <c r="EN21" i="5"/>
  <c r="CC45" i="62" l="1"/>
  <c r="CO23" i="5"/>
  <c r="Z534" i="45"/>
  <c r="CA23" i="5"/>
  <c r="CK15" i="5"/>
  <c r="Y536" i="45"/>
  <c r="AL315" i="31"/>
  <c r="AL392" i="31" s="1"/>
  <c r="AL399" i="31" s="1"/>
  <c r="AM316" i="31"/>
  <c r="AL562" i="49"/>
  <c r="AK561" i="49"/>
  <c r="CL40" i="5"/>
  <c r="CY40" i="5"/>
  <c r="FN20" i="62"/>
  <c r="FJ31" i="62"/>
  <c r="AK157" i="31"/>
  <c r="Y264" i="45"/>
  <c r="G23" i="28"/>
  <c r="H22" i="27" s="1"/>
  <c r="J14" i="27" s="1"/>
  <c r="AK107" i="49"/>
  <c r="AJ314" i="49"/>
  <c r="AJ355" i="49" s="1"/>
  <c r="AJ376" i="49" s="1"/>
  <c r="C12" i="27"/>
  <c r="H12" i="27"/>
  <c r="AL153" i="31"/>
  <c r="AM154" i="31"/>
  <c r="Z35" i="62"/>
  <c r="Z37" i="62" s="1"/>
  <c r="Z46" i="62"/>
  <c r="Z49" i="62" s="1"/>
  <c r="AD31" i="62"/>
  <c r="J20" i="62"/>
  <c r="C61" i="68"/>
  <c r="H61" i="68" s="1"/>
  <c r="AM507" i="49"/>
  <c r="AL506" i="49"/>
  <c r="CY18" i="5"/>
  <c r="CL18" i="5"/>
  <c r="AM169" i="49"/>
  <c r="AL168" i="49"/>
  <c r="AL157" i="49" s="1"/>
  <c r="AM110" i="49"/>
  <c r="AL109" i="49"/>
  <c r="CK44" i="62"/>
  <c r="BX44" i="62"/>
  <c r="BX29" i="62"/>
  <c r="CK29" i="62"/>
  <c r="CA29" i="62"/>
  <c r="CL61" i="5"/>
  <c r="CY61" i="5"/>
  <c r="CD35" i="62"/>
  <c r="CD37" i="62" s="1"/>
  <c r="CH31" i="62"/>
  <c r="CD46" i="62"/>
  <c r="CD49" i="62" s="1"/>
  <c r="C62" i="5"/>
  <c r="G62" i="5" s="1"/>
  <c r="G59" i="5"/>
  <c r="C17" i="62"/>
  <c r="C20" i="62" s="1"/>
  <c r="AL340" i="49"/>
  <c r="AM341" i="49"/>
  <c r="AM268" i="31"/>
  <c r="AL267" i="31"/>
  <c r="CY41" i="5"/>
  <c r="CL41" i="5"/>
  <c r="BU21" i="62"/>
  <c r="BG47" i="62"/>
  <c r="CL23" i="5"/>
  <c r="CY23" i="5"/>
  <c r="CK30" i="5"/>
  <c r="BX30" i="5"/>
  <c r="CA30" i="5"/>
  <c r="AL459" i="49"/>
  <c r="AM460" i="49"/>
  <c r="AM566" i="49"/>
  <c r="AL565" i="49"/>
  <c r="CL34" i="5"/>
  <c r="CY34" i="5"/>
  <c r="AK354" i="31"/>
  <c r="AL584" i="49"/>
  <c r="AM585" i="49"/>
  <c r="AN129" i="31"/>
  <c r="AM127" i="31"/>
  <c r="AL393" i="49"/>
  <c r="AM394" i="49"/>
  <c r="AL416" i="49"/>
  <c r="AM421" i="49"/>
  <c r="AM189" i="31"/>
  <c r="AL188" i="31"/>
  <c r="C7" i="44"/>
  <c r="C12" i="44" s="1"/>
  <c r="E20" i="62"/>
  <c r="BU48" i="62"/>
  <c r="CI18" i="62"/>
  <c r="AM239" i="31"/>
  <c r="AL238" i="31"/>
  <c r="AL469" i="49"/>
  <c r="AM470" i="49"/>
  <c r="AN383" i="31"/>
  <c r="AM382" i="31"/>
  <c r="L20" i="62"/>
  <c r="E61" i="68"/>
  <c r="W460" i="45"/>
  <c r="E55" i="68"/>
  <c r="P62" i="5"/>
  <c r="AB410" i="45" s="1"/>
  <c r="S62" i="5"/>
  <c r="Y410" i="45"/>
  <c r="Y411" i="45" s="1"/>
  <c r="Y412" i="45" s="1"/>
  <c r="Y413" i="45" s="1"/>
  <c r="Y414" i="45" s="1"/>
  <c r="Y415" i="45" s="1"/>
  <c r="Y416" i="45" s="1"/>
  <c r="Y417" i="45" s="1"/>
  <c r="V460" i="45"/>
  <c r="U460" i="45" s="1"/>
  <c r="AL293" i="31"/>
  <c r="AM294" i="31"/>
  <c r="CY28" i="5"/>
  <c r="CL28" i="5"/>
  <c r="AL604" i="31"/>
  <c r="AM605" i="31"/>
  <c r="AK429" i="49"/>
  <c r="AL435" i="49"/>
  <c r="AM209" i="49"/>
  <c r="AL208" i="49"/>
  <c r="AK354" i="49"/>
  <c r="AM543" i="49"/>
  <c r="AL542" i="49"/>
  <c r="AM566" i="31"/>
  <c r="AL565" i="31"/>
  <c r="P166" i="45"/>
  <c r="Z162" i="45"/>
  <c r="Q166" i="45" s="1"/>
  <c r="AM615" i="49"/>
  <c r="AL614" i="49"/>
  <c r="AM145" i="49"/>
  <c r="AL144" i="49"/>
  <c r="AM610" i="31"/>
  <c r="AL609" i="31"/>
  <c r="C376" i="31"/>
  <c r="G391" i="31"/>
  <c r="G387" i="31"/>
  <c r="C387" i="31" s="1"/>
  <c r="CL37" i="5"/>
  <c r="CY37" i="5"/>
  <c r="AM378" i="31"/>
  <c r="AL377" i="31"/>
  <c r="AM99" i="31"/>
  <c r="AL98" i="31"/>
  <c r="N62" i="5"/>
  <c r="X410" i="45" s="1"/>
  <c r="C55" i="68"/>
  <c r="H55" i="68" s="1"/>
  <c r="Q62" i="5"/>
  <c r="AL321" i="49"/>
  <c r="AM322" i="49"/>
  <c r="AI391" i="31"/>
  <c r="AI398" i="31" s="1"/>
  <c r="AI481" i="31" s="1"/>
  <c r="AI527" i="31" s="1"/>
  <c r="AI538" i="31" s="1"/>
  <c r="AI387" i="31"/>
  <c r="CL36" i="5"/>
  <c r="CY36" i="5"/>
  <c r="AM543" i="31"/>
  <c r="AL542" i="31"/>
  <c r="AM340" i="31"/>
  <c r="AN341" i="31"/>
  <c r="AL62" i="49"/>
  <c r="AM63" i="49"/>
  <c r="BW48" i="62"/>
  <c r="CK18" i="62"/>
  <c r="BX18" i="62"/>
  <c r="AK56" i="5"/>
  <c r="AU56" i="5"/>
  <c r="X544" i="45" s="1"/>
  <c r="CL31" i="5"/>
  <c r="CY31" i="5"/>
  <c r="AV23" i="62"/>
  <c r="AY23" i="62"/>
  <c r="BI23" i="62"/>
  <c r="AN385" i="49"/>
  <c r="AM382" i="49"/>
  <c r="AM562" i="31"/>
  <c r="AL561" i="31"/>
  <c r="AN239" i="49"/>
  <c r="AM238" i="49"/>
  <c r="CY22" i="62"/>
  <c r="CL22" i="62"/>
  <c r="CY16" i="5"/>
  <c r="CL16" i="5"/>
  <c r="AM483" i="31"/>
  <c r="AL482" i="31"/>
  <c r="AM169" i="31"/>
  <c r="AL168" i="31"/>
  <c r="AL366" i="49"/>
  <c r="AM367" i="49"/>
  <c r="BI44" i="5"/>
  <c r="AY44" i="5"/>
  <c r="AM367" i="31"/>
  <c r="AL366" i="31"/>
  <c r="CY26" i="5"/>
  <c r="CL26" i="5"/>
  <c r="AG41" i="62"/>
  <c r="S45" i="62"/>
  <c r="CL54" i="5"/>
  <c r="CY54" i="5"/>
  <c r="AL476" i="31"/>
  <c r="AM477" i="31"/>
  <c r="AK46" i="31"/>
  <c r="AK107" i="31" s="1"/>
  <c r="DM28" i="62"/>
  <c r="CZ28" i="62"/>
  <c r="BX55" i="5"/>
  <c r="CA55" i="5"/>
  <c r="CK55" i="5"/>
  <c r="AL435" i="31"/>
  <c r="AK429" i="31"/>
  <c r="CL51" i="5"/>
  <c r="CY51" i="5"/>
  <c r="AN10" i="49"/>
  <c r="AM9" i="49"/>
  <c r="AM229" i="31"/>
  <c r="AL228" i="31"/>
  <c r="DM39" i="5"/>
  <c r="CZ39" i="5"/>
  <c r="CL33" i="62"/>
  <c r="CY33" i="62"/>
  <c r="AM558" i="49"/>
  <c r="AL557" i="49"/>
  <c r="CY19" i="62"/>
  <c r="CL19" i="62"/>
  <c r="Z58" i="45"/>
  <c r="Q60" i="45" s="1"/>
  <c r="P60" i="45"/>
  <c r="BX24" i="62"/>
  <c r="CK24" i="62"/>
  <c r="AI387" i="49"/>
  <c r="AI391" i="49"/>
  <c r="AI398" i="49" s="1"/>
  <c r="AI481" i="49" s="1"/>
  <c r="AI527" i="49" s="1"/>
  <c r="AI538" i="49" s="1"/>
  <c r="AL600" i="49"/>
  <c r="AM601" i="49"/>
  <c r="AM287" i="49"/>
  <c r="AL286" i="49"/>
  <c r="CR35" i="62"/>
  <c r="CR37" i="62" s="1"/>
  <c r="CR46" i="62"/>
  <c r="CR49" i="62" s="1"/>
  <c r="CV31" i="62"/>
  <c r="AM348" i="49"/>
  <c r="AL347" i="49"/>
  <c r="AM48" i="49"/>
  <c r="AL47" i="49"/>
  <c r="AL256" i="31"/>
  <c r="AM257" i="31"/>
  <c r="AM35" i="49"/>
  <c r="AN36" i="49"/>
  <c r="CL42" i="5"/>
  <c r="CY42" i="5"/>
  <c r="CY53" i="5"/>
  <c r="CL53" i="5"/>
  <c r="CY38" i="5"/>
  <c r="CL38" i="5"/>
  <c r="AM189" i="49"/>
  <c r="AL188" i="49"/>
  <c r="AM27" i="49"/>
  <c r="AL26" i="49"/>
  <c r="AL46" i="49" s="1"/>
  <c r="AL328" i="31"/>
  <c r="AM329" i="31"/>
  <c r="AM488" i="31"/>
  <c r="AL487" i="31"/>
  <c r="AE59" i="5"/>
  <c r="Q17" i="62"/>
  <c r="U59" i="5"/>
  <c r="CY60" i="5"/>
  <c r="CL60" i="5"/>
  <c r="CY32" i="5"/>
  <c r="CL32" i="5"/>
  <c r="AM443" i="49"/>
  <c r="AL442" i="49"/>
  <c r="AM477" i="49"/>
  <c r="AL476" i="49"/>
  <c r="AM421" i="31"/>
  <c r="AL416" i="31"/>
  <c r="Z60" i="45"/>
  <c r="Q64" i="45" s="1"/>
  <c r="P64" i="45"/>
  <c r="AL153" i="49"/>
  <c r="AM154" i="49"/>
  <c r="AL531" i="49"/>
  <c r="AM532" i="49"/>
  <c r="AL506" i="31"/>
  <c r="AM507" i="31"/>
  <c r="AK177" i="31"/>
  <c r="P222" i="45"/>
  <c r="Y213" i="45"/>
  <c r="CK43" i="62"/>
  <c r="BX43" i="62"/>
  <c r="CY19" i="5"/>
  <c r="CL19" i="5"/>
  <c r="CL17" i="5"/>
  <c r="CY17" i="5"/>
  <c r="CY49" i="5"/>
  <c r="CL49" i="5"/>
  <c r="BW21" i="62"/>
  <c r="BI47" i="62"/>
  <c r="BJ21" i="62"/>
  <c r="AL144" i="31"/>
  <c r="AM145" i="31"/>
  <c r="AM72" i="31"/>
  <c r="AL71" i="31"/>
  <c r="AL347" i="31"/>
  <c r="AM348" i="31"/>
  <c r="AL89" i="31"/>
  <c r="AM90" i="31"/>
  <c r="AM10" i="31"/>
  <c r="AL9" i="31"/>
  <c r="AM81" i="31"/>
  <c r="AL80" i="31"/>
  <c r="AS56" i="5"/>
  <c r="AI56" i="5"/>
  <c r="AM110" i="31"/>
  <c r="AL109" i="31"/>
  <c r="CY14" i="5"/>
  <c r="CL14" i="5"/>
  <c r="CY30" i="62"/>
  <c r="CL30" i="62"/>
  <c r="Q118" i="45"/>
  <c r="CY58" i="5"/>
  <c r="CL58" i="5"/>
  <c r="AL208" i="31"/>
  <c r="AM209" i="31"/>
  <c r="W59" i="5"/>
  <c r="AG59" i="5"/>
  <c r="S17" i="62"/>
  <c r="CY50" i="5"/>
  <c r="CL50" i="5"/>
  <c r="CY24" i="5"/>
  <c r="CL24" i="5"/>
  <c r="AN470" i="31"/>
  <c r="AM469" i="31"/>
  <c r="BX33" i="5"/>
  <c r="CK33" i="5"/>
  <c r="CA33" i="5"/>
  <c r="CY25" i="5"/>
  <c r="CL25" i="5"/>
  <c r="AM220" i="49"/>
  <c r="AL219" i="49"/>
  <c r="AM99" i="49"/>
  <c r="AL98" i="49"/>
  <c r="CL27" i="62"/>
  <c r="CY27" i="62"/>
  <c r="CL20" i="5"/>
  <c r="CY20" i="5"/>
  <c r="AM488" i="49"/>
  <c r="AL487" i="49"/>
  <c r="BM22" i="5"/>
  <c r="BW22" i="5"/>
  <c r="Z538" i="45" s="1"/>
  <c r="P216" i="45"/>
  <c r="Q216" i="45" s="1"/>
  <c r="Z211" i="45"/>
  <c r="CL52" i="5"/>
  <c r="CY52" i="5"/>
  <c r="AN570" i="31"/>
  <c r="AM569" i="31"/>
  <c r="AL26" i="31"/>
  <c r="AM27" i="31"/>
  <c r="DM27" i="5"/>
  <c r="CZ27" i="5"/>
  <c r="AM316" i="49"/>
  <c r="AL315" i="49"/>
  <c r="AL392" i="49" s="1"/>
  <c r="AL399" i="49" s="1"/>
  <c r="AL557" i="31"/>
  <c r="AM558" i="31"/>
  <c r="AE41" i="62"/>
  <c r="Q45" i="62"/>
  <c r="CL13" i="5"/>
  <c r="CY13" i="5"/>
  <c r="AK108" i="49"/>
  <c r="AK156" i="49" s="1"/>
  <c r="AK300" i="49" s="1"/>
  <c r="AK314" i="49" s="1"/>
  <c r="CY35" i="5"/>
  <c r="CL35" i="5"/>
  <c r="DT46" i="62"/>
  <c r="DT49" i="62" s="1"/>
  <c r="DX31" i="62"/>
  <c r="DT35" i="62"/>
  <c r="DT37" i="62" s="1"/>
  <c r="AL393" i="31"/>
  <c r="AM394" i="31"/>
  <c r="AM220" i="31"/>
  <c r="AL219" i="31"/>
  <c r="AM302" i="49"/>
  <c r="AL301" i="49"/>
  <c r="AM334" i="31"/>
  <c r="AL333" i="31"/>
  <c r="AL80" i="49"/>
  <c r="AM81" i="49"/>
  <c r="AM605" i="49"/>
  <c r="AL604" i="49"/>
  <c r="AM48" i="31"/>
  <c r="AL47" i="31"/>
  <c r="CL46" i="5"/>
  <c r="CY46" i="5"/>
  <c r="AM179" i="31"/>
  <c r="AL178" i="31"/>
  <c r="AM307" i="49"/>
  <c r="AL306" i="49"/>
  <c r="AL482" i="49"/>
  <c r="AM483" i="49"/>
  <c r="CL45" i="5"/>
  <c r="CY45" i="5"/>
  <c r="AM63" i="31"/>
  <c r="AL62" i="31"/>
  <c r="AM443" i="31"/>
  <c r="AL442" i="31"/>
  <c r="CL34" i="62"/>
  <c r="CY34" i="62"/>
  <c r="Z109" i="45"/>
  <c r="P114" i="45"/>
  <c r="Q114" i="45" s="1"/>
  <c r="AL306" i="31"/>
  <c r="AL313" i="31" s="1"/>
  <c r="AM307" i="31"/>
  <c r="E45" i="62"/>
  <c r="C18" i="44"/>
  <c r="AY29" i="5"/>
  <c r="BI29" i="5"/>
  <c r="Y542" i="45" s="1"/>
  <c r="Y540" i="45" s="1"/>
  <c r="AM357" i="31"/>
  <c r="AL356" i="31"/>
  <c r="AL531" i="31"/>
  <c r="AM532" i="31"/>
  <c r="AM322" i="31"/>
  <c r="AL321" i="31"/>
  <c r="AL333" i="49"/>
  <c r="AM334" i="49"/>
  <c r="AM377" i="49"/>
  <c r="AN378" i="49"/>
  <c r="CL32" i="62"/>
  <c r="CY32" i="62"/>
  <c r="AL328" i="49"/>
  <c r="AM329" i="49"/>
  <c r="AK108" i="31"/>
  <c r="AM268" i="49"/>
  <c r="AL267" i="49"/>
  <c r="AM159" i="31"/>
  <c r="AL158" i="31"/>
  <c r="G391" i="49"/>
  <c r="G387" i="49"/>
  <c r="C387" i="49" s="1"/>
  <c r="C376" i="49"/>
  <c r="J52" i="68"/>
  <c r="F52" i="68"/>
  <c r="CK47" i="5"/>
  <c r="BX47" i="5"/>
  <c r="CA47" i="5"/>
  <c r="CL43" i="5"/>
  <c r="CY43" i="5"/>
  <c r="AN357" i="49"/>
  <c r="AM356" i="49"/>
  <c r="EL31" i="62"/>
  <c r="EH35" i="62"/>
  <c r="EH37" i="62" s="1"/>
  <c r="EH46" i="62"/>
  <c r="EH49" i="62" s="1"/>
  <c r="CY21" i="5"/>
  <c r="CL21" i="5"/>
  <c r="AM614" i="31"/>
  <c r="AN615" i="31"/>
  <c r="AL286" i="31"/>
  <c r="AM287" i="31"/>
  <c r="AJ300" i="31"/>
  <c r="AJ314" i="31" s="1"/>
  <c r="AJ355" i="31" s="1"/>
  <c r="AJ376" i="31" s="1"/>
  <c r="AM460" i="31"/>
  <c r="AL459" i="31"/>
  <c r="AM554" i="49"/>
  <c r="AL553" i="49"/>
  <c r="AM585" i="31"/>
  <c r="AL584" i="31"/>
  <c r="AM294" i="49"/>
  <c r="AL293" i="49"/>
  <c r="CY26" i="62"/>
  <c r="CL26" i="62"/>
  <c r="AM601" i="31"/>
  <c r="AL600" i="31"/>
  <c r="EZ31" i="62"/>
  <c r="EV35" i="62"/>
  <c r="EV37" i="62" s="1"/>
  <c r="EV46" i="62"/>
  <c r="EV49" i="62" s="1"/>
  <c r="AM257" i="49"/>
  <c r="AL256" i="49"/>
  <c r="AM570" i="49"/>
  <c r="AL569" i="49"/>
  <c r="AN179" i="49"/>
  <c r="AM178" i="49"/>
  <c r="AN90" i="49"/>
  <c r="AM89" i="49"/>
  <c r="AP128" i="31"/>
  <c r="AO100" i="31"/>
  <c r="AP549" i="49"/>
  <c r="AO295" i="49"/>
  <c r="AO231" i="49"/>
  <c r="AN228" i="49"/>
  <c r="AO304" i="49"/>
  <c r="AO490" i="49"/>
  <c r="AO180" i="31"/>
  <c r="AO349" i="49"/>
  <c r="AO379" i="31"/>
  <c r="AO142" i="31"/>
  <c r="AN136" i="31"/>
  <c r="AO309" i="49"/>
  <c r="AO556" i="31"/>
  <c r="AN553" i="31"/>
  <c r="AP291" i="49"/>
  <c r="AO60" i="31"/>
  <c r="AP51" i="49"/>
  <c r="AP86" i="31"/>
  <c r="AN301" i="31"/>
  <c r="AO302" i="31"/>
  <c r="J481" i="49"/>
  <c r="AO137" i="49"/>
  <c r="AN136" i="49"/>
  <c r="AO610" i="49"/>
  <c r="AN609" i="49"/>
  <c r="AN127" i="49"/>
  <c r="AO128" i="49"/>
  <c r="AN158" i="49"/>
  <c r="AO159" i="49"/>
  <c r="AP231" i="31"/>
  <c r="AP472" i="31"/>
  <c r="AP383" i="49"/>
  <c r="AO35" i="31"/>
  <c r="AP36" i="31"/>
  <c r="AP35" i="31" s="1"/>
  <c r="AP468" i="31"/>
  <c r="AP113" i="49"/>
  <c r="AP222" i="31"/>
  <c r="AP173" i="31"/>
  <c r="AP444" i="49"/>
  <c r="I538" i="49"/>
  <c r="BO45" i="62"/>
  <c r="R55" i="17"/>
  <c r="O55" i="17"/>
  <c r="EU45" i="62"/>
  <c r="BA45" i="62"/>
  <c r="Y45" i="62"/>
  <c r="DE45" i="62"/>
  <c r="EG45" i="62"/>
  <c r="CQ45" i="62"/>
  <c r="L166" i="45"/>
  <c r="V162" i="45"/>
  <c r="M166" i="45" s="1"/>
  <c r="Y17" i="62"/>
  <c r="Y62" i="5"/>
  <c r="AC59" i="5"/>
  <c r="D12" i="12" s="1"/>
  <c r="AA59" i="5"/>
  <c r="I144" i="22"/>
  <c r="I146" i="22" s="1"/>
  <c r="I148" i="22" s="1"/>
  <c r="I142" i="22"/>
  <c r="B63" i="20"/>
  <c r="P59" i="20"/>
  <c r="I49" i="68"/>
  <c r="G49" i="68"/>
  <c r="FM62" i="5"/>
  <c r="FK62" i="5"/>
  <c r="CC20" i="62"/>
  <c r="CE17" i="62"/>
  <c r="L55" i="17"/>
  <c r="BV15" i="5"/>
  <c r="Y533" i="45"/>
  <c r="BL55" i="5"/>
  <c r="BL30" i="5"/>
  <c r="BL23" i="62"/>
  <c r="BL29" i="62"/>
  <c r="BK29" i="62"/>
  <c r="BK30" i="5"/>
  <c r="BK33" i="5"/>
  <c r="BL47" i="5"/>
  <c r="BK47" i="5"/>
  <c r="BJ15" i="5"/>
  <c r="BK23" i="5"/>
  <c r="BK55" i="5"/>
  <c r="BL33" i="5"/>
  <c r="BK22" i="5"/>
  <c r="BK29" i="5"/>
  <c r="BK44" i="5"/>
  <c r="BL23" i="5"/>
  <c r="BK23" i="62"/>
  <c r="K7" i="12"/>
  <c r="CJ12" i="5"/>
  <c r="BX12" i="5"/>
  <c r="X55" i="17"/>
  <c r="EM23" i="62"/>
  <c r="AF48" i="5"/>
  <c r="T48" i="5"/>
  <c r="K42" i="62"/>
  <c r="K45" i="62" s="1"/>
  <c r="R57" i="5"/>
  <c r="D57" i="5"/>
  <c r="F57" i="5" s="1"/>
  <c r="D50" i="68"/>
  <c r="G50" i="68" s="1"/>
  <c r="M57" i="5"/>
  <c r="EG20" i="62"/>
  <c r="EI17" i="62"/>
  <c r="FI20" i="62"/>
  <c r="FK17" i="62"/>
  <c r="I144" i="21"/>
  <c r="I146" i="21" s="1"/>
  <c r="I148" i="21" s="1"/>
  <c r="I142" i="21"/>
  <c r="B31" i="20"/>
  <c r="P27" i="20"/>
  <c r="D53" i="17"/>
  <c r="BH22" i="5"/>
  <c r="AX22" i="5"/>
  <c r="X537" i="45"/>
  <c r="X535" i="45" s="1"/>
  <c r="AV22" i="5"/>
  <c r="U55" i="17"/>
  <c r="DI62" i="5"/>
  <c r="DG62" i="5"/>
  <c r="L17" i="29"/>
  <c r="EY62" i="5"/>
  <c r="EW62" i="5"/>
  <c r="CU62" i="5"/>
  <c r="CS62" i="5"/>
  <c r="AQ62" i="5"/>
  <c r="AO62" i="5"/>
  <c r="I144" i="26"/>
  <c r="I146" i="26" s="1"/>
  <c r="I148" i="26" s="1"/>
  <c r="I142" i="26"/>
  <c r="EN23" i="5"/>
  <c r="EO48" i="5"/>
  <c r="P11" i="20"/>
  <c r="B15" i="20"/>
  <c r="B16" i="20" s="1"/>
  <c r="B13" i="20"/>
  <c r="AM45" i="62"/>
  <c r="FO22" i="5"/>
  <c r="I144" i="18"/>
  <c r="I146" i="18" s="1"/>
  <c r="I148" i="18" s="1"/>
  <c r="I142" i="18"/>
  <c r="P91" i="20"/>
  <c r="B95" i="20"/>
  <c r="DE20" i="62"/>
  <c r="DG17" i="62"/>
  <c r="H19" i="29"/>
  <c r="G18" i="29"/>
  <c r="I18" i="29"/>
  <c r="L18" i="29" s="1"/>
  <c r="EU20" i="62"/>
  <c r="EW17" i="62"/>
  <c r="J22" i="6"/>
  <c r="K22" i="6" s="1"/>
  <c r="H23" i="6" s="1"/>
  <c r="CQ20" i="62"/>
  <c r="CS17" i="62"/>
  <c r="AJ29" i="5"/>
  <c r="AT29" i="5"/>
  <c r="W541" i="45"/>
  <c r="W539" i="45" s="1"/>
  <c r="AH29" i="5"/>
  <c r="V264" i="45"/>
  <c r="M271" i="45" s="1"/>
  <c r="L271" i="45"/>
  <c r="I144" i="23"/>
  <c r="I146" i="23" s="1"/>
  <c r="I148" i="23" s="1"/>
  <c r="I142" i="23"/>
  <c r="Z264" i="45"/>
  <c r="P271" i="45"/>
  <c r="Q271" i="45" s="1"/>
  <c r="R41" i="62"/>
  <c r="D41" i="62"/>
  <c r="M41" i="62"/>
  <c r="FB21" i="5"/>
  <c r="B47" i="20"/>
  <c r="P43" i="20"/>
  <c r="AM20" i="62"/>
  <c r="AO17" i="62"/>
  <c r="B111" i="20"/>
  <c r="P107" i="20"/>
  <c r="V56" i="5"/>
  <c r="AF56" i="5"/>
  <c r="V543" i="45"/>
  <c r="T56" i="5"/>
  <c r="CG62" i="5"/>
  <c r="CE62" i="5"/>
  <c r="I142" i="25"/>
  <c r="I144" i="25"/>
  <c r="I146" i="25" s="1"/>
  <c r="I148" i="25" s="1"/>
  <c r="AJ44" i="5"/>
  <c r="AT44" i="5"/>
  <c r="AH44" i="5"/>
  <c r="FI45" i="62"/>
  <c r="DW62" i="5"/>
  <c r="DU62" i="5"/>
  <c r="BA17" i="62"/>
  <c r="BA62" i="5"/>
  <c r="BE59" i="5"/>
  <c r="H12" i="12" s="1"/>
  <c r="BC59" i="5"/>
  <c r="B79" i="20"/>
  <c r="P75" i="20"/>
  <c r="K17" i="62"/>
  <c r="K62" i="5"/>
  <c r="O59" i="5"/>
  <c r="B12" i="12" s="1"/>
  <c r="R59" i="5"/>
  <c r="D52" i="68"/>
  <c r="M59" i="5"/>
  <c r="EK62" i="5"/>
  <c r="EI62" i="5"/>
  <c r="BO17" i="62"/>
  <c r="BO62" i="5"/>
  <c r="BS59" i="5"/>
  <c r="J12" i="12" s="1"/>
  <c r="BQ59" i="5"/>
  <c r="H56" i="5"/>
  <c r="F56" i="5"/>
  <c r="FA29" i="5"/>
  <c r="I51" i="17"/>
  <c r="I55" i="17"/>
  <c r="F55" i="17"/>
  <c r="F51" i="17"/>
  <c r="FA44" i="5"/>
  <c r="I144" i="24"/>
  <c r="I146" i="24" s="1"/>
  <c r="I148" i="24" s="1"/>
  <c r="I142" i="24"/>
  <c r="DS45" i="62"/>
  <c r="FB24" i="5"/>
  <c r="W9" i="12"/>
  <c r="W8" i="12"/>
  <c r="FP16" i="5"/>
  <c r="DS20" i="62"/>
  <c r="DU17" i="62"/>
  <c r="C22" i="27" l="1"/>
  <c r="C15" i="27" s="1"/>
  <c r="E27" i="27" s="1"/>
  <c r="AA534" i="45"/>
  <c r="CY15" i="5"/>
  <c r="Z536" i="45"/>
  <c r="W335" i="45"/>
  <c r="V335" i="45"/>
  <c r="AM562" i="49"/>
  <c r="AL561" i="49"/>
  <c r="CZ40" i="5"/>
  <c r="DM40" i="5"/>
  <c r="AM315" i="31"/>
  <c r="AM392" i="31" s="1"/>
  <c r="AM399" i="31" s="1"/>
  <c r="AN316" i="31"/>
  <c r="J18" i="29"/>
  <c r="K18" i="29"/>
  <c r="FJ46" i="62"/>
  <c r="FJ49" i="62" s="1"/>
  <c r="FN31" i="62"/>
  <c r="FJ35" i="62"/>
  <c r="FJ37" i="62" s="1"/>
  <c r="AL46" i="31"/>
  <c r="D59" i="5"/>
  <c r="E14" i="27"/>
  <c r="E12" i="27" s="1"/>
  <c r="H15" i="27"/>
  <c r="E30" i="27" s="1"/>
  <c r="AL107" i="49"/>
  <c r="G12" i="27"/>
  <c r="G20" i="27" s="1"/>
  <c r="G22" i="27" s="1"/>
  <c r="G24" i="27" s="1"/>
  <c r="G26" i="27" s="1"/>
  <c r="G28" i="27" s="1"/>
  <c r="G30" i="27" s="1"/>
  <c r="G32" i="27" s="1"/>
  <c r="G34" i="27" s="1"/>
  <c r="J12" i="27"/>
  <c r="AJ387" i="49"/>
  <c r="AJ391" i="49"/>
  <c r="AJ398" i="49" s="1"/>
  <c r="AJ481" i="49" s="1"/>
  <c r="AJ527" i="49" s="1"/>
  <c r="AJ538" i="49" s="1"/>
  <c r="AL107" i="31"/>
  <c r="B12" i="27"/>
  <c r="B20" i="27" s="1"/>
  <c r="B22" i="27" s="1"/>
  <c r="B24" i="27" s="1"/>
  <c r="B26" i="27" s="1"/>
  <c r="B28" i="27" s="1"/>
  <c r="B30" i="27" s="1"/>
  <c r="B32" i="27" s="1"/>
  <c r="B34" i="27" s="1"/>
  <c r="H11" i="27"/>
  <c r="AM569" i="49"/>
  <c r="AN570" i="49"/>
  <c r="DM26" i="62"/>
  <c r="CZ26" i="62"/>
  <c r="AN585" i="31"/>
  <c r="AM584" i="31"/>
  <c r="AN460" i="31"/>
  <c r="AM459" i="31"/>
  <c r="AO615" i="31"/>
  <c r="AN614" i="31"/>
  <c r="AO357" i="49"/>
  <c r="AN356" i="49"/>
  <c r="G398" i="49"/>
  <c r="C391" i="49"/>
  <c r="AM267" i="49"/>
  <c r="AN268" i="49"/>
  <c r="CZ32" i="62"/>
  <c r="DM32" i="62"/>
  <c r="AM333" i="49"/>
  <c r="AN334" i="49"/>
  <c r="AM531" i="31"/>
  <c r="AN532" i="31"/>
  <c r="BM29" i="5"/>
  <c r="BW29" i="5"/>
  <c r="Z542" i="45" s="1"/>
  <c r="Z540" i="45" s="1"/>
  <c r="AM306" i="31"/>
  <c r="AM313" i="31" s="1"/>
  <c r="AN307" i="31"/>
  <c r="DM34" i="62"/>
  <c r="CZ34" i="62"/>
  <c r="AM482" i="49"/>
  <c r="AN483" i="49"/>
  <c r="AL177" i="31"/>
  <c r="AN81" i="49"/>
  <c r="AM80" i="49"/>
  <c r="AM393" i="31"/>
  <c r="AN394" i="31"/>
  <c r="DM35" i="5"/>
  <c r="CZ35" i="5"/>
  <c r="AN27" i="31"/>
  <c r="AM26" i="31"/>
  <c r="CZ52" i="5"/>
  <c r="DM52" i="5"/>
  <c r="CA22" i="5"/>
  <c r="CK22" i="5"/>
  <c r="AA538" i="45" s="1"/>
  <c r="DM20" i="5"/>
  <c r="CZ20" i="5"/>
  <c r="DM24" i="5"/>
  <c r="CZ24" i="5"/>
  <c r="AN209" i="31"/>
  <c r="AM208" i="31"/>
  <c r="DM14" i="5"/>
  <c r="CZ14" i="5"/>
  <c r="BG56" i="5"/>
  <c r="AW56" i="5"/>
  <c r="AN10" i="31"/>
  <c r="AM9" i="31"/>
  <c r="AM46" i="31" s="1"/>
  <c r="P220" i="45"/>
  <c r="Q220" i="45" s="1"/>
  <c r="Z213" i="45"/>
  <c r="AN421" i="31"/>
  <c r="AM416" i="31"/>
  <c r="AN443" i="49"/>
  <c r="AM442" i="49"/>
  <c r="DM60" i="5"/>
  <c r="CZ60" i="5"/>
  <c r="DM42" i="5"/>
  <c r="CZ42" i="5"/>
  <c r="AN257" i="31"/>
  <c r="AM256" i="31"/>
  <c r="AL354" i="49"/>
  <c r="DM19" i="62"/>
  <c r="CZ19" i="62"/>
  <c r="AN229" i="31"/>
  <c r="AM228" i="31"/>
  <c r="AK156" i="31"/>
  <c r="AK300" i="31" s="1"/>
  <c r="AK314" i="31" s="1"/>
  <c r="AK355" i="31" s="1"/>
  <c r="AK376" i="31" s="1"/>
  <c r="AU41" i="62"/>
  <c r="AG45" i="62"/>
  <c r="AM366" i="31"/>
  <c r="AN367" i="31"/>
  <c r="CZ22" i="62"/>
  <c r="DM22" i="62"/>
  <c r="AN562" i="31"/>
  <c r="AM561" i="31"/>
  <c r="DM31" i="5"/>
  <c r="CZ31" i="5"/>
  <c r="AM542" i="31"/>
  <c r="AN543" i="31"/>
  <c r="AM609" i="31"/>
  <c r="AN610" i="31"/>
  <c r="AN615" i="49"/>
  <c r="AM614" i="49"/>
  <c r="AN566" i="31"/>
  <c r="AM565" i="31"/>
  <c r="AM604" i="31"/>
  <c r="AN605" i="31"/>
  <c r="AM293" i="31"/>
  <c r="AN294" i="31"/>
  <c r="AG62" i="5"/>
  <c r="W62" i="5"/>
  <c r="J61" i="68"/>
  <c r="F61" i="68"/>
  <c r="AN470" i="49"/>
  <c r="AM469" i="49"/>
  <c r="CI48" i="62"/>
  <c r="CW18" i="62"/>
  <c r="AN394" i="49"/>
  <c r="AM393" i="49"/>
  <c r="AM584" i="49"/>
  <c r="AN585" i="49"/>
  <c r="CZ23" i="5"/>
  <c r="DM23" i="5"/>
  <c r="AM340" i="49"/>
  <c r="AN341" i="49"/>
  <c r="CZ61" i="5"/>
  <c r="DM61" i="5"/>
  <c r="AN110" i="49"/>
  <c r="AM109" i="49"/>
  <c r="CZ18" i="5"/>
  <c r="DM18" i="5"/>
  <c r="N20" i="62"/>
  <c r="Q20" i="62"/>
  <c r="C64" i="68"/>
  <c r="H64" i="68" s="1"/>
  <c r="J31" i="62"/>
  <c r="AN154" i="31"/>
  <c r="AM153" i="31"/>
  <c r="AM256" i="49"/>
  <c r="AN257" i="49"/>
  <c r="AJ391" i="31"/>
  <c r="AJ398" i="31" s="1"/>
  <c r="AJ481" i="31" s="1"/>
  <c r="AJ527" i="31" s="1"/>
  <c r="AJ538" i="31" s="1"/>
  <c r="AJ387" i="31"/>
  <c r="AN63" i="31"/>
  <c r="AM62" i="31"/>
  <c r="AN179" i="31"/>
  <c r="AM178" i="31"/>
  <c r="AN48" i="31"/>
  <c r="AM47" i="31"/>
  <c r="AN302" i="49"/>
  <c r="AM301" i="49"/>
  <c r="AK355" i="49"/>
  <c r="AK376" i="49" s="1"/>
  <c r="AE45" i="62"/>
  <c r="AS41" i="62"/>
  <c r="AN316" i="49"/>
  <c r="AM315" i="49"/>
  <c r="AM392" i="49" s="1"/>
  <c r="AM399" i="49" s="1"/>
  <c r="AN99" i="49"/>
  <c r="AM98" i="49"/>
  <c r="DM25" i="5"/>
  <c r="CZ25" i="5"/>
  <c r="AL108" i="31"/>
  <c r="AM89" i="31"/>
  <c r="AN90" i="31"/>
  <c r="CZ49" i="5"/>
  <c r="DM49" i="5"/>
  <c r="DM19" i="5"/>
  <c r="CZ19" i="5"/>
  <c r="AN532" i="49"/>
  <c r="AM531" i="49"/>
  <c r="AN488" i="31"/>
  <c r="AM487" i="31"/>
  <c r="AN27" i="49"/>
  <c r="AM26" i="49"/>
  <c r="AM46" i="49" s="1"/>
  <c r="DM38" i="5"/>
  <c r="CZ38" i="5"/>
  <c r="AN348" i="49"/>
  <c r="AM347" i="49"/>
  <c r="AN477" i="31"/>
  <c r="AM476" i="31"/>
  <c r="AL157" i="31"/>
  <c r="CY18" i="62"/>
  <c r="CK48" i="62"/>
  <c r="CL18" i="62"/>
  <c r="AN340" i="31"/>
  <c r="AO341" i="31"/>
  <c r="CZ36" i="5"/>
  <c r="DM36" i="5"/>
  <c r="AM321" i="49"/>
  <c r="AN322" i="49"/>
  <c r="AN378" i="31"/>
  <c r="AM377" i="31"/>
  <c r="C391" i="31"/>
  <c r="G398" i="31"/>
  <c r="AN209" i="49"/>
  <c r="AM208" i="49"/>
  <c r="DM28" i="5"/>
  <c r="CZ28" i="5"/>
  <c r="P20" i="62"/>
  <c r="E64" i="68"/>
  <c r="L31" i="62"/>
  <c r="S20" i="62"/>
  <c r="AN189" i="31"/>
  <c r="AM188" i="31"/>
  <c r="CZ41" i="5"/>
  <c r="DM41" i="5"/>
  <c r="AN601" i="31"/>
  <c r="AM600" i="31"/>
  <c r="AN294" i="49"/>
  <c r="AM293" i="49"/>
  <c r="AM553" i="49"/>
  <c r="AN554" i="49"/>
  <c r="AM286" i="31"/>
  <c r="AN287" i="31"/>
  <c r="AN159" i="31"/>
  <c r="AM158" i="31"/>
  <c r="AN329" i="49"/>
  <c r="AM328" i="49"/>
  <c r="AN377" i="49"/>
  <c r="AO378" i="49"/>
  <c r="AL354" i="31"/>
  <c r="DM45" i="5"/>
  <c r="CZ45" i="5"/>
  <c r="AL313" i="49"/>
  <c r="CZ46" i="5"/>
  <c r="DM46" i="5"/>
  <c r="CZ13" i="5"/>
  <c r="DM13" i="5"/>
  <c r="AN558" i="31"/>
  <c r="AM557" i="31"/>
  <c r="CZ27" i="62"/>
  <c r="DM27" i="62"/>
  <c r="AO470" i="31"/>
  <c r="AN469" i="31"/>
  <c r="CZ50" i="5"/>
  <c r="DM50" i="5"/>
  <c r="AK59" i="5"/>
  <c r="AG17" i="62"/>
  <c r="AU59" i="5"/>
  <c r="DM30" i="62"/>
  <c r="CZ30" i="62"/>
  <c r="AM109" i="31"/>
  <c r="AN110" i="31"/>
  <c r="AN81" i="31"/>
  <c r="AM80" i="31"/>
  <c r="AM71" i="31"/>
  <c r="AN72" i="31"/>
  <c r="CZ17" i="5"/>
  <c r="DM17" i="5"/>
  <c r="AN477" i="49"/>
  <c r="AM476" i="49"/>
  <c r="CZ32" i="5"/>
  <c r="DM32" i="5"/>
  <c r="AN329" i="31"/>
  <c r="AM328" i="31"/>
  <c r="AL177" i="49"/>
  <c r="AO36" i="49"/>
  <c r="AN35" i="49"/>
  <c r="AN287" i="49"/>
  <c r="AM286" i="49"/>
  <c r="AN558" i="49"/>
  <c r="AM557" i="49"/>
  <c r="EA39" i="5"/>
  <c r="DN39" i="5"/>
  <c r="AO10" i="49"/>
  <c r="AN9" i="49"/>
  <c r="AM435" i="31"/>
  <c r="AL429" i="31"/>
  <c r="DM26" i="5"/>
  <c r="CZ26" i="5"/>
  <c r="BM44" i="5"/>
  <c r="BW44" i="5"/>
  <c r="AN169" i="31"/>
  <c r="AM168" i="31"/>
  <c r="AN483" i="31"/>
  <c r="AM482" i="31"/>
  <c r="DM16" i="5"/>
  <c r="CZ16" i="5"/>
  <c r="AO239" i="49"/>
  <c r="AN238" i="49"/>
  <c r="AO385" i="49"/>
  <c r="AN382" i="49"/>
  <c r="BI56" i="5"/>
  <c r="Y544" i="45" s="1"/>
  <c r="AY56" i="5"/>
  <c r="DM37" i="5"/>
  <c r="CZ37" i="5"/>
  <c r="AM144" i="49"/>
  <c r="AN145" i="49"/>
  <c r="AN543" i="49"/>
  <c r="AM542" i="49"/>
  <c r="AM435" i="49"/>
  <c r="AL429" i="49"/>
  <c r="U461" i="45"/>
  <c r="U462" i="45" s="1"/>
  <c r="U463" i="45" s="1"/>
  <c r="U464" i="45" s="1"/>
  <c r="U465" i="45" s="1"/>
  <c r="U466" i="45" s="1"/>
  <c r="U467" i="45" s="1"/>
  <c r="U468" i="45" s="1"/>
  <c r="U469" i="45" s="1"/>
  <c r="U470" i="45" s="1"/>
  <c r="J55" i="68"/>
  <c r="F55" i="68"/>
  <c r="E31" i="62"/>
  <c r="I20" i="62"/>
  <c r="AN421" i="49"/>
  <c r="AM416" i="49"/>
  <c r="AN566" i="49"/>
  <c r="AM565" i="49"/>
  <c r="G20" i="62"/>
  <c r="C31" i="62"/>
  <c r="CY44" i="62"/>
  <c r="CL44" i="62"/>
  <c r="AM168" i="49"/>
  <c r="AM157" i="49" s="1"/>
  <c r="AN169" i="49"/>
  <c r="AN507" i="49"/>
  <c r="AM506" i="49"/>
  <c r="DM21" i="5"/>
  <c r="CZ21" i="5"/>
  <c r="DM43" i="5"/>
  <c r="CZ43" i="5"/>
  <c r="CY47" i="5"/>
  <c r="CL47" i="5"/>
  <c r="CO47" i="5"/>
  <c r="AM321" i="31"/>
  <c r="AN322" i="31"/>
  <c r="AN357" i="31"/>
  <c r="AM356" i="31"/>
  <c r="AN443" i="31"/>
  <c r="AM442" i="31"/>
  <c r="AN307" i="49"/>
  <c r="AM306" i="49"/>
  <c r="AM604" i="49"/>
  <c r="AN605" i="49"/>
  <c r="AM333" i="31"/>
  <c r="AN334" i="31"/>
  <c r="AN220" i="31"/>
  <c r="AM219" i="31"/>
  <c r="DN27" i="5"/>
  <c r="EA27" i="5"/>
  <c r="AO570" i="31"/>
  <c r="AN569" i="31"/>
  <c r="AN488" i="49"/>
  <c r="AM487" i="49"/>
  <c r="AN220" i="49"/>
  <c r="AM219" i="49"/>
  <c r="CL33" i="5"/>
  <c r="CO33" i="5"/>
  <c r="CY33" i="5"/>
  <c r="CZ58" i="5"/>
  <c r="DM58" i="5"/>
  <c r="AM347" i="31"/>
  <c r="AN348" i="31"/>
  <c r="AM144" i="31"/>
  <c r="AN145" i="31"/>
  <c r="BW47" i="62"/>
  <c r="BX21" i="62"/>
  <c r="CK21" i="62"/>
  <c r="CL43" i="62"/>
  <c r="CY43" i="62"/>
  <c r="AM506" i="31"/>
  <c r="AN507" i="31"/>
  <c r="AM153" i="49"/>
  <c r="AN154" i="49"/>
  <c r="AS59" i="5"/>
  <c r="AE17" i="62"/>
  <c r="AI59" i="5"/>
  <c r="AM188" i="49"/>
  <c r="AN189" i="49"/>
  <c r="DM53" i="5"/>
  <c r="CZ53" i="5"/>
  <c r="AN48" i="49"/>
  <c r="AM47" i="49"/>
  <c r="AM600" i="49"/>
  <c r="AN601" i="49"/>
  <c r="CY24" i="62"/>
  <c r="CL24" i="62"/>
  <c r="DM33" i="62"/>
  <c r="CZ33" i="62"/>
  <c r="DM51" i="5"/>
  <c r="CZ51" i="5"/>
  <c r="CY55" i="5"/>
  <c r="CL55" i="5"/>
  <c r="CO55" i="5"/>
  <c r="DN28" i="62"/>
  <c r="EA28" i="62"/>
  <c r="CZ54" i="5"/>
  <c r="DM54" i="5"/>
  <c r="AM366" i="49"/>
  <c r="AN367" i="49"/>
  <c r="BM23" i="62"/>
  <c r="BJ23" i="62"/>
  <c r="BW23" i="62"/>
  <c r="AN63" i="49"/>
  <c r="AM62" i="49"/>
  <c r="AE62" i="5"/>
  <c r="U62" i="5"/>
  <c r="AN99" i="31"/>
  <c r="AM98" i="31"/>
  <c r="AN382" i="31"/>
  <c r="AO383" i="31"/>
  <c r="AN239" i="31"/>
  <c r="AM238" i="31"/>
  <c r="C21" i="44"/>
  <c r="AO129" i="31"/>
  <c r="AN127" i="31"/>
  <c r="DM34" i="5"/>
  <c r="CZ34" i="5"/>
  <c r="AN460" i="49"/>
  <c r="AM459" i="49"/>
  <c r="CY30" i="5"/>
  <c r="CL30" i="5"/>
  <c r="CO30" i="5"/>
  <c r="CI21" i="62"/>
  <c r="BU47" i="62"/>
  <c r="AM267" i="31"/>
  <c r="AN268" i="31"/>
  <c r="CY29" i="62"/>
  <c r="CL29" i="62"/>
  <c r="CO29" i="62"/>
  <c r="AL108" i="49"/>
  <c r="AL156" i="49" s="1"/>
  <c r="AO90" i="49"/>
  <c r="AN89" i="49"/>
  <c r="AO179" i="49"/>
  <c r="AN178" i="49"/>
  <c r="AP295" i="49"/>
  <c r="AP490" i="49"/>
  <c r="AP100" i="31"/>
  <c r="AP231" i="49"/>
  <c r="AP228" i="49" s="1"/>
  <c r="AO228" i="49"/>
  <c r="AP180" i="31"/>
  <c r="AP304" i="49"/>
  <c r="AP556" i="31"/>
  <c r="AP553" i="31" s="1"/>
  <c r="AO553" i="31"/>
  <c r="AP60" i="31"/>
  <c r="AP142" i="31"/>
  <c r="AP136" i="31" s="1"/>
  <c r="AO136" i="31"/>
  <c r="AP349" i="49"/>
  <c r="AP309" i="49"/>
  <c r="AP379" i="31"/>
  <c r="AP159" i="49"/>
  <c r="AP158" i="49" s="1"/>
  <c r="AO158" i="49"/>
  <c r="AO127" i="49"/>
  <c r="AP128" i="49"/>
  <c r="AP127" i="49" s="1"/>
  <c r="AO609" i="49"/>
  <c r="AP610" i="49"/>
  <c r="AP609" i="49" s="1"/>
  <c r="AO136" i="49"/>
  <c r="AP137" i="49"/>
  <c r="AP136" i="49" s="1"/>
  <c r="J527" i="49"/>
  <c r="AO301" i="31"/>
  <c r="AP302" i="31"/>
  <c r="AP301" i="31" s="1"/>
  <c r="J23" i="6"/>
  <c r="K23" i="6" s="1"/>
  <c r="H24" i="6" s="1"/>
  <c r="Y9" i="12"/>
  <c r="Y8" i="12"/>
  <c r="FP24" i="5"/>
  <c r="BO20" i="62"/>
  <c r="BQ17" i="62"/>
  <c r="P79" i="20"/>
  <c r="G75" i="20"/>
  <c r="BS62" i="5"/>
  <c r="BQ62" i="5"/>
  <c r="I52" i="68"/>
  <c r="G52" i="68"/>
  <c r="K20" i="62"/>
  <c r="D61" i="68"/>
  <c r="M17" i="62"/>
  <c r="BA20" i="62"/>
  <c r="BC17" i="62"/>
  <c r="BH44" i="5"/>
  <c r="AX44" i="5"/>
  <c r="AV44" i="5"/>
  <c r="R42" i="62"/>
  <c r="D42" i="62"/>
  <c r="F42" i="62" s="1"/>
  <c r="M42" i="62"/>
  <c r="P63" i="20"/>
  <c r="G59" i="20"/>
  <c r="CQ31" i="62"/>
  <c r="CU20" i="62"/>
  <c r="CS20" i="62"/>
  <c r="EU31" i="62"/>
  <c r="EY20" i="62"/>
  <c r="EW20" i="62"/>
  <c r="DE31" i="62"/>
  <c r="DI20" i="62"/>
  <c r="DG20" i="62"/>
  <c r="FB23" i="5"/>
  <c r="P31" i="20"/>
  <c r="G27" i="20"/>
  <c r="FI31" i="62"/>
  <c r="FM20" i="62"/>
  <c r="FK20" i="62"/>
  <c r="FA23" i="62"/>
  <c r="CC31" i="62"/>
  <c r="CG20" i="62"/>
  <c r="CE20" i="62"/>
  <c r="FO29" i="5"/>
  <c r="D62" i="5"/>
  <c r="H59" i="5"/>
  <c r="Z12" i="12" s="1"/>
  <c r="D17" i="62"/>
  <c r="F59" i="5"/>
  <c r="AT56" i="5"/>
  <c r="AJ56" i="5"/>
  <c r="W543" i="45"/>
  <c r="AH56" i="5"/>
  <c r="P47" i="20"/>
  <c r="G43" i="20"/>
  <c r="F41" i="62"/>
  <c r="BH29" i="5"/>
  <c r="AX29" i="5"/>
  <c r="X541" i="45"/>
  <c r="X539" i="45" s="1"/>
  <c r="AV29" i="5"/>
  <c r="P15" i="20"/>
  <c r="P16" i="20" s="1"/>
  <c r="G11" i="20"/>
  <c r="P13" i="20"/>
  <c r="BL22" i="5"/>
  <c r="BV22" i="5"/>
  <c r="Y537" i="45"/>
  <c r="BJ22" i="5"/>
  <c r="AT48" i="5"/>
  <c r="AH48" i="5"/>
  <c r="M7" i="12"/>
  <c r="CX12" i="5"/>
  <c r="CL12" i="5"/>
  <c r="AC62" i="5"/>
  <c r="AA62" i="5"/>
  <c r="AF59" i="5"/>
  <c r="R17" i="62"/>
  <c r="T17" i="62" s="1"/>
  <c r="V59" i="5"/>
  <c r="T59" i="5"/>
  <c r="DS31" i="62"/>
  <c r="DW20" i="62"/>
  <c r="DU20" i="62"/>
  <c r="FO44" i="5"/>
  <c r="O62" i="5"/>
  <c r="R62" i="5"/>
  <c r="U410" i="45"/>
  <c r="U411" i="45" s="1"/>
  <c r="U412" i="45" s="1"/>
  <c r="U413" i="45" s="1"/>
  <c r="U414" i="45" s="1"/>
  <c r="U415" i="45" s="1"/>
  <c r="U416" i="45" s="1"/>
  <c r="U417" i="45" s="1"/>
  <c r="D55" i="68"/>
  <c r="M62" i="5"/>
  <c r="BE62" i="5"/>
  <c r="BC62" i="5"/>
  <c r="P111" i="20"/>
  <c r="G107" i="20"/>
  <c r="AM31" i="62"/>
  <c r="AQ20" i="62"/>
  <c r="AO20" i="62"/>
  <c r="FP21" i="5"/>
  <c r="AF41" i="62"/>
  <c r="T41" i="62"/>
  <c r="I19" i="29"/>
  <c r="J19" i="29" s="1"/>
  <c r="H20" i="29"/>
  <c r="G19" i="29"/>
  <c r="P95" i="20"/>
  <c r="G91" i="20"/>
  <c r="FC48" i="5"/>
  <c r="EG31" i="62"/>
  <c r="EK20" i="62"/>
  <c r="EI20" i="62"/>
  <c r="AF57" i="5"/>
  <c r="T57" i="5"/>
  <c r="CJ15" i="5"/>
  <c r="Z533" i="45"/>
  <c r="BZ55" i="5"/>
  <c r="BZ30" i="5"/>
  <c r="BZ23" i="62"/>
  <c r="BZ29" i="62"/>
  <c r="BY47" i="5"/>
  <c r="BY23" i="5"/>
  <c r="BY33" i="5"/>
  <c r="BX15" i="5"/>
  <c r="BY30" i="5"/>
  <c r="BZ33" i="5"/>
  <c r="BY55" i="5"/>
  <c r="BY29" i="62"/>
  <c r="BZ47" i="5"/>
  <c r="BY22" i="5"/>
  <c r="BY44" i="5"/>
  <c r="BY29" i="5"/>
  <c r="BZ23" i="5"/>
  <c r="BY23" i="62"/>
  <c r="Y20" i="62"/>
  <c r="AA17" i="62"/>
  <c r="AM157" i="31" l="1"/>
  <c r="C11" i="27"/>
  <c r="E26" i="27" s="1"/>
  <c r="AL300" i="49"/>
  <c r="AB534" i="45"/>
  <c r="DC23" i="5"/>
  <c r="DM15" i="5"/>
  <c r="AA536" i="45"/>
  <c r="DN40" i="5"/>
  <c r="EA40" i="5"/>
  <c r="AO316" i="31"/>
  <c r="AN315" i="31"/>
  <c r="AN392" i="31" s="1"/>
  <c r="AN399" i="31" s="1"/>
  <c r="AN562" i="49"/>
  <c r="AM561" i="49"/>
  <c r="AL156" i="31"/>
  <c r="AL300" i="31" s="1"/>
  <c r="AL314" i="31" s="1"/>
  <c r="AL355" i="31" s="1"/>
  <c r="AL376" i="31" s="1"/>
  <c r="AL314" i="49"/>
  <c r="AL355" i="49" s="1"/>
  <c r="AL376" i="49" s="1"/>
  <c r="AL387" i="49" s="1"/>
  <c r="AM177" i="49"/>
  <c r="E33" i="27"/>
  <c r="E34" i="27" s="1"/>
  <c r="E36" i="27" s="1"/>
  <c r="D12" i="27"/>
  <c r="B36" i="27"/>
  <c r="I12" i="27"/>
  <c r="AM107" i="49"/>
  <c r="AO268" i="31"/>
  <c r="AN267" i="31"/>
  <c r="AN459" i="49"/>
  <c r="AO460" i="49"/>
  <c r="AP129" i="31"/>
  <c r="AP127" i="31" s="1"/>
  <c r="AO127" i="31"/>
  <c r="AP383" i="31"/>
  <c r="AP382" i="31" s="1"/>
  <c r="AO382" i="31"/>
  <c r="BX23" i="62"/>
  <c r="CK23" i="62"/>
  <c r="CA23" i="62"/>
  <c r="AO601" i="49"/>
  <c r="AN600" i="49"/>
  <c r="AN144" i="31"/>
  <c r="AO145" i="31"/>
  <c r="EO27" i="5"/>
  <c r="EB27" i="5"/>
  <c r="AO605" i="49"/>
  <c r="AN604" i="49"/>
  <c r="AN321" i="31"/>
  <c r="AO322" i="31"/>
  <c r="CZ47" i="5"/>
  <c r="DM47" i="5"/>
  <c r="DC47" i="5"/>
  <c r="EA21" i="5"/>
  <c r="DN21" i="5"/>
  <c r="AO421" i="49"/>
  <c r="AN416" i="49"/>
  <c r="CK44" i="5"/>
  <c r="CA44" i="5"/>
  <c r="AM108" i="31"/>
  <c r="EA46" i="5"/>
  <c r="DN46" i="5"/>
  <c r="EA45" i="5"/>
  <c r="DN45" i="5"/>
  <c r="AO287" i="31"/>
  <c r="AN286" i="31"/>
  <c r="J64" i="68"/>
  <c r="F64" i="68"/>
  <c r="DN36" i="5"/>
  <c r="EA36" i="5"/>
  <c r="AN89" i="31"/>
  <c r="AO90" i="31"/>
  <c r="EA25" i="5"/>
  <c r="DN25" i="5"/>
  <c r="AO316" i="49"/>
  <c r="AN315" i="49"/>
  <c r="AN392" i="49" s="1"/>
  <c r="AN399" i="49" s="1"/>
  <c r="AM313" i="49"/>
  <c r="AM177" i="31"/>
  <c r="AO394" i="49"/>
  <c r="AN393" i="49"/>
  <c r="AO470" i="49"/>
  <c r="AN469" i="49"/>
  <c r="AO294" i="31"/>
  <c r="AN293" i="31"/>
  <c r="AO610" i="31"/>
  <c r="AN609" i="31"/>
  <c r="EA22" i="62"/>
  <c r="DN22" i="62"/>
  <c r="AO229" i="31"/>
  <c r="AN228" i="31"/>
  <c r="AM107" i="31"/>
  <c r="CY22" i="5"/>
  <c r="AB538" i="45" s="1"/>
  <c r="CO22" i="5"/>
  <c r="AN393" i="31"/>
  <c r="AO394" i="31"/>
  <c r="DN34" i="62"/>
  <c r="EA34" i="62"/>
  <c r="AP357" i="49"/>
  <c r="AP356" i="49" s="1"/>
  <c r="AO356" i="49"/>
  <c r="AO460" i="31"/>
  <c r="AN459" i="31"/>
  <c r="EA26" i="62"/>
  <c r="DN26" i="62"/>
  <c r="AN569" i="49"/>
  <c r="AO570" i="49"/>
  <c r="G50" i="44"/>
  <c r="G47" i="44"/>
  <c r="C23" i="44"/>
  <c r="K15" i="44"/>
  <c r="AS62" i="5"/>
  <c r="AI62" i="5"/>
  <c r="AO367" i="49"/>
  <c r="AN366" i="49"/>
  <c r="EB28" i="62"/>
  <c r="EO28" i="62"/>
  <c r="DM55" i="5"/>
  <c r="DC55" i="5"/>
  <c r="CZ55" i="5"/>
  <c r="EA33" i="62"/>
  <c r="DN33" i="62"/>
  <c r="EA53" i="5"/>
  <c r="DN53" i="5"/>
  <c r="AN506" i="31"/>
  <c r="AO507" i="31"/>
  <c r="CY21" i="62"/>
  <c r="CK47" i="62"/>
  <c r="CL21" i="62"/>
  <c r="EA58" i="5"/>
  <c r="DN58" i="5"/>
  <c r="AO488" i="49"/>
  <c r="AN487" i="49"/>
  <c r="AO220" i="31"/>
  <c r="AN219" i="31"/>
  <c r="AO443" i="31"/>
  <c r="AN442" i="31"/>
  <c r="AM354" i="31"/>
  <c r="AO543" i="49"/>
  <c r="AN542" i="49"/>
  <c r="EA37" i="5"/>
  <c r="DN37" i="5"/>
  <c r="AP239" i="49"/>
  <c r="AP238" i="49" s="1"/>
  <c r="AO238" i="49"/>
  <c r="AN482" i="31"/>
  <c r="AO483" i="31"/>
  <c r="AN435" i="31"/>
  <c r="AM429" i="31"/>
  <c r="EO39" i="5"/>
  <c r="V389" i="45" s="1"/>
  <c r="EB39" i="5"/>
  <c r="AO287" i="49"/>
  <c r="AN286" i="49"/>
  <c r="DN17" i="5"/>
  <c r="EA17" i="5"/>
  <c r="AP470" i="31"/>
  <c r="AP469" i="31" s="1"/>
  <c r="AO469" i="31"/>
  <c r="AO558" i="31"/>
  <c r="AN557" i="31"/>
  <c r="AN328" i="49"/>
  <c r="AO329" i="49"/>
  <c r="AO294" i="49"/>
  <c r="AN293" i="49"/>
  <c r="AO189" i="31"/>
  <c r="AN188" i="31"/>
  <c r="AO209" i="49"/>
  <c r="AN208" i="49"/>
  <c r="AO378" i="31"/>
  <c r="AN377" i="31"/>
  <c r="AN476" i="31"/>
  <c r="AO477" i="31"/>
  <c r="EA38" i="5"/>
  <c r="DN38" i="5"/>
  <c r="AO488" i="31"/>
  <c r="AN487" i="31"/>
  <c r="DN19" i="5"/>
  <c r="EA19" i="5"/>
  <c r="AS45" i="62"/>
  <c r="BG41" i="62"/>
  <c r="AO302" i="49"/>
  <c r="AN301" i="49"/>
  <c r="AO179" i="31"/>
  <c r="AN178" i="31"/>
  <c r="AE20" i="62"/>
  <c r="U20" i="62"/>
  <c r="AM108" i="49"/>
  <c r="AM156" i="49" s="1"/>
  <c r="AM300" i="49" s="1"/>
  <c r="AM314" i="49" s="1"/>
  <c r="AO341" i="49"/>
  <c r="AN340" i="49"/>
  <c r="AN584" i="49"/>
  <c r="AO585" i="49"/>
  <c r="CW48" i="62"/>
  <c r="DK18" i="62"/>
  <c r="AN565" i="31"/>
  <c r="AO566" i="31"/>
  <c r="DN31" i="5"/>
  <c r="EA31" i="5"/>
  <c r="BI41" i="62"/>
  <c r="AU45" i="62"/>
  <c r="AN256" i="31"/>
  <c r="AO257" i="31"/>
  <c r="DN60" i="5"/>
  <c r="EA60" i="5"/>
  <c r="AO421" i="31"/>
  <c r="AN416" i="31"/>
  <c r="AN9" i="31"/>
  <c r="AO10" i="31"/>
  <c r="EA14" i="5"/>
  <c r="DN14" i="5"/>
  <c r="DN24" i="5"/>
  <c r="EA24" i="5"/>
  <c r="AO27" i="31"/>
  <c r="AN26" i="31"/>
  <c r="AO483" i="49"/>
  <c r="AN482" i="49"/>
  <c r="AN306" i="31"/>
  <c r="AN313" i="31" s="1"/>
  <c r="AO307" i="31"/>
  <c r="AO532" i="31"/>
  <c r="AN531" i="31"/>
  <c r="DN32" i="62"/>
  <c r="EA32" i="62"/>
  <c r="CZ30" i="5"/>
  <c r="DM30" i="5"/>
  <c r="DC30" i="5"/>
  <c r="EA34" i="5"/>
  <c r="DN34" i="5"/>
  <c r="AN188" i="49"/>
  <c r="AO189" i="49"/>
  <c r="AS17" i="62"/>
  <c r="BG59" i="5"/>
  <c r="AW59" i="5"/>
  <c r="AN347" i="31"/>
  <c r="AO348" i="31"/>
  <c r="AN333" i="31"/>
  <c r="AO334" i="31"/>
  <c r="DN43" i="5"/>
  <c r="EA43" i="5"/>
  <c r="AN506" i="49"/>
  <c r="AO507" i="49"/>
  <c r="DM44" i="62"/>
  <c r="CZ44" i="62"/>
  <c r="AN565" i="49"/>
  <c r="AO566" i="49"/>
  <c r="E46" i="62"/>
  <c r="E49" i="62" s="1"/>
  <c r="I31" i="62"/>
  <c r="E35" i="62"/>
  <c r="AO145" i="49"/>
  <c r="AN144" i="49"/>
  <c r="AO329" i="31"/>
  <c r="AN328" i="31"/>
  <c r="AN476" i="49"/>
  <c r="AO477" i="49"/>
  <c r="AO81" i="31"/>
  <c r="AN80" i="31"/>
  <c r="EA30" i="62"/>
  <c r="DN30" i="62"/>
  <c r="DN50" i="5"/>
  <c r="EA50" i="5"/>
  <c r="EA27" i="62"/>
  <c r="DN27" i="62"/>
  <c r="DN13" i="5"/>
  <c r="EA13" i="5"/>
  <c r="AO377" i="49"/>
  <c r="AP378" i="49"/>
  <c r="AP377" i="49" s="1"/>
  <c r="AN553" i="49"/>
  <c r="AO554" i="49"/>
  <c r="DN41" i="5"/>
  <c r="EA41" i="5"/>
  <c r="AG20" i="62"/>
  <c r="W20" i="62"/>
  <c r="C398" i="31"/>
  <c r="G481" i="31"/>
  <c r="AN321" i="49"/>
  <c r="AO322" i="49"/>
  <c r="AO340" i="31"/>
  <c r="AP341" i="31"/>
  <c r="AP340" i="31" s="1"/>
  <c r="CZ18" i="62"/>
  <c r="DM18" i="62"/>
  <c r="CY48" i="62"/>
  <c r="AM354" i="49"/>
  <c r="DN49" i="5"/>
  <c r="EA49" i="5"/>
  <c r="AN98" i="49"/>
  <c r="AO99" i="49"/>
  <c r="AN256" i="49"/>
  <c r="AO257" i="49"/>
  <c r="AO154" i="31"/>
  <c r="AN153" i="31"/>
  <c r="AO110" i="49"/>
  <c r="AN109" i="49"/>
  <c r="AK62" i="5"/>
  <c r="AU62" i="5"/>
  <c r="AO605" i="31"/>
  <c r="AN604" i="31"/>
  <c r="AO543" i="31"/>
  <c r="AN542" i="31"/>
  <c r="AN366" i="31"/>
  <c r="AO367" i="31"/>
  <c r="AK387" i="31"/>
  <c r="AK391" i="31"/>
  <c r="AK398" i="31" s="1"/>
  <c r="AK481" i="31" s="1"/>
  <c r="AK527" i="31" s="1"/>
  <c r="AK538" i="31" s="1"/>
  <c r="EA19" i="62"/>
  <c r="DN19" i="62"/>
  <c r="EA52" i="5"/>
  <c r="DN52" i="5"/>
  <c r="G481" i="49"/>
  <c r="C398" i="49"/>
  <c r="AP615" i="31"/>
  <c r="AP614" i="31" s="1"/>
  <c r="AO614" i="31"/>
  <c r="AN584" i="31"/>
  <c r="AO585" i="31"/>
  <c r="DM29" i="62"/>
  <c r="CZ29" i="62"/>
  <c r="DC29" i="62"/>
  <c r="CI47" i="62"/>
  <c r="CW21" i="62"/>
  <c r="AN238" i="31"/>
  <c r="AO239" i="31"/>
  <c r="AO99" i="31"/>
  <c r="AN98" i="31"/>
  <c r="AN62" i="49"/>
  <c r="AO63" i="49"/>
  <c r="DN54" i="5"/>
  <c r="EA54" i="5"/>
  <c r="EA51" i="5"/>
  <c r="DN51" i="5"/>
  <c r="CZ24" i="62"/>
  <c r="DM24" i="62"/>
  <c r="AO48" i="49"/>
  <c r="AN47" i="49"/>
  <c r="AO154" i="49"/>
  <c r="AN153" i="49"/>
  <c r="CZ43" i="62"/>
  <c r="DM43" i="62"/>
  <c r="CZ33" i="5"/>
  <c r="DM33" i="5"/>
  <c r="DC33" i="5"/>
  <c r="AO220" i="49"/>
  <c r="AN219" i="49"/>
  <c r="AP570" i="31"/>
  <c r="AP569" i="31" s="1"/>
  <c r="AO569" i="31"/>
  <c r="AO307" i="49"/>
  <c r="AN306" i="49"/>
  <c r="AO357" i="31"/>
  <c r="AN356" i="31"/>
  <c r="AO169" i="49"/>
  <c r="AN168" i="49"/>
  <c r="AN157" i="49" s="1"/>
  <c r="G31" i="62"/>
  <c r="C46" i="62"/>
  <c r="C49" i="62" s="1"/>
  <c r="C35" i="62"/>
  <c r="C36" i="62" s="1"/>
  <c r="AM429" i="49"/>
  <c r="AN435" i="49"/>
  <c r="BW56" i="5"/>
  <c r="Z544" i="45" s="1"/>
  <c r="BM56" i="5"/>
  <c r="AP385" i="49"/>
  <c r="AP382" i="49" s="1"/>
  <c r="AO382" i="49"/>
  <c r="EA16" i="5"/>
  <c r="DN16" i="5"/>
  <c r="AO169" i="31"/>
  <c r="AN168" i="31"/>
  <c r="EA26" i="5"/>
  <c r="DN26" i="5"/>
  <c r="AO9" i="49"/>
  <c r="AP10" i="49"/>
  <c r="AP9" i="49" s="1"/>
  <c r="AO558" i="49"/>
  <c r="AN557" i="49"/>
  <c r="AO35" i="49"/>
  <c r="AP36" i="49"/>
  <c r="AP35" i="49" s="1"/>
  <c r="DN32" i="5"/>
  <c r="EA32" i="5"/>
  <c r="AO72" i="31"/>
  <c r="AN71" i="31"/>
  <c r="AN109" i="31"/>
  <c r="AN108" i="31" s="1"/>
  <c r="AO110" i="31"/>
  <c r="AU17" i="62"/>
  <c r="AY59" i="5"/>
  <c r="BI59" i="5"/>
  <c r="AO159" i="31"/>
  <c r="AN158" i="31"/>
  <c r="AN600" i="31"/>
  <c r="AO601" i="31"/>
  <c r="S31" i="62"/>
  <c r="L46" i="62"/>
  <c r="L49" i="62" s="1"/>
  <c r="P31" i="62"/>
  <c r="L35" i="62"/>
  <c r="E75" i="68"/>
  <c r="EA28" i="5"/>
  <c r="DN28" i="5"/>
  <c r="AO348" i="49"/>
  <c r="AN347" i="49"/>
  <c r="AN26" i="49"/>
  <c r="AN46" i="49" s="1"/>
  <c r="AO27" i="49"/>
  <c r="AO532" i="49"/>
  <c r="AN531" i="49"/>
  <c r="AK387" i="49"/>
  <c r="AK391" i="49"/>
  <c r="AK398" i="49" s="1"/>
  <c r="AK481" i="49" s="1"/>
  <c r="AK527" i="49" s="1"/>
  <c r="AK538" i="49" s="1"/>
  <c r="AO48" i="31"/>
  <c r="AN47" i="31"/>
  <c r="AO63" i="31"/>
  <c r="AN62" i="31"/>
  <c r="J46" i="62"/>
  <c r="J49" i="62" s="1"/>
  <c r="C75" i="68"/>
  <c r="H75" i="68" s="1"/>
  <c r="N31" i="62"/>
  <c r="Q31" i="62"/>
  <c r="J35" i="62"/>
  <c r="EA18" i="5"/>
  <c r="DN18" i="5"/>
  <c r="EA61" i="5"/>
  <c r="DN61" i="5"/>
  <c r="EA23" i="5"/>
  <c r="DN23" i="5"/>
  <c r="AN614" i="49"/>
  <c r="AO615" i="49"/>
  <c r="AO562" i="31"/>
  <c r="AN561" i="31"/>
  <c r="DN42" i="5"/>
  <c r="EA42" i="5"/>
  <c r="AO443" i="49"/>
  <c r="AN442" i="49"/>
  <c r="BU56" i="5"/>
  <c r="BK56" i="5"/>
  <c r="AN208" i="31"/>
  <c r="AO209" i="31"/>
  <c r="DN20" i="5"/>
  <c r="EA20" i="5"/>
  <c r="EA35" i="5"/>
  <c r="DN35" i="5"/>
  <c r="AN80" i="49"/>
  <c r="AO81" i="49"/>
  <c r="CA29" i="5"/>
  <c r="CK29" i="5"/>
  <c r="AA542" i="45" s="1"/>
  <c r="AA540" i="45" s="1"/>
  <c r="AO334" i="49"/>
  <c r="AN333" i="49"/>
  <c r="AO268" i="49"/>
  <c r="AN267" i="49"/>
  <c r="AP179" i="49"/>
  <c r="AP178" i="49" s="1"/>
  <c r="AO178" i="49"/>
  <c r="AP90" i="49"/>
  <c r="AP89" i="49" s="1"/>
  <c r="AO89" i="49"/>
  <c r="J538" i="49"/>
  <c r="D45" i="62"/>
  <c r="AT41" i="62"/>
  <c r="AH41" i="62"/>
  <c r="H62" i="5"/>
  <c r="F62" i="5"/>
  <c r="FI46" i="62"/>
  <c r="FI49" i="62" s="1"/>
  <c r="FM31" i="62"/>
  <c r="FI35" i="62"/>
  <c r="FK35" i="62" s="1"/>
  <c r="FK31" i="62"/>
  <c r="AF42" i="62"/>
  <c r="T42" i="62"/>
  <c r="G79" i="20"/>
  <c r="I75" i="20"/>
  <c r="J24" i="6"/>
  <c r="K24" i="6" s="1"/>
  <c r="H25" i="6" s="1"/>
  <c r="AT57" i="5"/>
  <c r="AH57" i="5"/>
  <c r="G95" i="20"/>
  <c r="I91" i="20"/>
  <c r="I20" i="29"/>
  <c r="J20" i="29" s="1"/>
  <c r="H21" i="29"/>
  <c r="G20" i="29"/>
  <c r="R45" i="62"/>
  <c r="AM46" i="62"/>
  <c r="AM49" i="62" s="1"/>
  <c r="AQ31" i="62"/>
  <c r="AM35" i="62"/>
  <c r="AO35" i="62" s="1"/>
  <c r="AO31" i="62"/>
  <c r="AF62" i="5"/>
  <c r="V62" i="5"/>
  <c r="T62" i="5"/>
  <c r="AJ59" i="5"/>
  <c r="AF17" i="62"/>
  <c r="AH17" i="62" s="1"/>
  <c r="AT59" i="5"/>
  <c r="AH59" i="5"/>
  <c r="BH48" i="5"/>
  <c r="AV48" i="5"/>
  <c r="G15" i="20"/>
  <c r="G16" i="20" s="1"/>
  <c r="I11" i="20"/>
  <c r="G13" i="20"/>
  <c r="G47" i="20"/>
  <c r="I43" i="20"/>
  <c r="AX56" i="5"/>
  <c r="BH56" i="5"/>
  <c r="X543" i="45"/>
  <c r="AV56" i="5"/>
  <c r="FO23" i="62"/>
  <c r="FP23" i="5"/>
  <c r="CQ46" i="62"/>
  <c r="CQ49" i="62" s="1"/>
  <c r="CU31" i="62"/>
  <c r="CQ35" i="62"/>
  <c r="CS35" i="62" s="1"/>
  <c r="CS31" i="62"/>
  <c r="BA31" i="62"/>
  <c r="BE20" i="62"/>
  <c r="BC20" i="62"/>
  <c r="L19" i="29"/>
  <c r="G111" i="20"/>
  <c r="I107" i="20"/>
  <c r="O7" i="12"/>
  <c r="DL12" i="5"/>
  <c r="CZ12" i="5"/>
  <c r="BL29" i="5"/>
  <c r="BV29" i="5"/>
  <c r="Y541" i="45"/>
  <c r="Y539" i="45" s="1"/>
  <c r="BJ29" i="5"/>
  <c r="D20" i="62"/>
  <c r="F17" i="62"/>
  <c r="G31" i="20"/>
  <c r="I27" i="20"/>
  <c r="EU46" i="62"/>
  <c r="EU49" i="62" s="1"/>
  <c r="EY31" i="62"/>
  <c r="EU35" i="62"/>
  <c r="EW35" i="62" s="1"/>
  <c r="EW31" i="62"/>
  <c r="G63" i="20"/>
  <c r="I59" i="20"/>
  <c r="Y31" i="62"/>
  <c r="AC20" i="62"/>
  <c r="AA20" i="62"/>
  <c r="CX15" i="5"/>
  <c r="CN55" i="5"/>
  <c r="CN30" i="5"/>
  <c r="CN23" i="62"/>
  <c r="CN29" i="62"/>
  <c r="CN33" i="5"/>
  <c r="CL15" i="5"/>
  <c r="CM55" i="5"/>
  <c r="CM23" i="5"/>
  <c r="CN47" i="5"/>
  <c r="CM30" i="5"/>
  <c r="CM29" i="62"/>
  <c r="CM47" i="5"/>
  <c r="CM33" i="5"/>
  <c r="CM22" i="5"/>
  <c r="CM44" i="5"/>
  <c r="CM29" i="5"/>
  <c r="CN23" i="5"/>
  <c r="CM23" i="62"/>
  <c r="FQ48" i="5"/>
  <c r="K19" i="29"/>
  <c r="I55" i="68"/>
  <c r="G55" i="68"/>
  <c r="DS46" i="62"/>
  <c r="DS49" i="62" s="1"/>
  <c r="DW31" i="62"/>
  <c r="DS35" i="62"/>
  <c r="DU35" i="62" s="1"/>
  <c r="DU31" i="62"/>
  <c r="CC46" i="62"/>
  <c r="CC49" i="62" s="1"/>
  <c r="CG31" i="62"/>
  <c r="CC35" i="62"/>
  <c r="CE35" i="62" s="1"/>
  <c r="CE31" i="62"/>
  <c r="DE46" i="62"/>
  <c r="DE49" i="62" s="1"/>
  <c r="DI31" i="62"/>
  <c r="DE35" i="62"/>
  <c r="DG35" i="62" s="1"/>
  <c r="DG31" i="62"/>
  <c r="BL44" i="5"/>
  <c r="BV44" i="5"/>
  <c r="BJ44" i="5"/>
  <c r="I61" i="68"/>
  <c r="G61" i="68"/>
  <c r="BO31" i="62"/>
  <c r="BS20" i="62"/>
  <c r="BQ20" i="62"/>
  <c r="EG46" i="62"/>
  <c r="EG49" i="62" s="1"/>
  <c r="EK31" i="62"/>
  <c r="EG35" i="62"/>
  <c r="EI35" i="62" s="1"/>
  <c r="EI31" i="62"/>
  <c r="Y535" i="45"/>
  <c r="CJ22" i="5"/>
  <c r="BZ22" i="5"/>
  <c r="Z537" i="45"/>
  <c r="BX22" i="5"/>
  <c r="K31" i="62"/>
  <c r="O20" i="62"/>
  <c r="R20" i="62"/>
  <c r="D64" i="68"/>
  <c r="M20" i="62"/>
  <c r="AC534" i="45" l="1"/>
  <c r="EA15" i="5"/>
  <c r="EE23" i="5" s="1"/>
  <c r="DQ23" i="5"/>
  <c r="AB536" i="45"/>
  <c r="AL387" i="31"/>
  <c r="AL391" i="31"/>
  <c r="AL398" i="31" s="1"/>
  <c r="AL481" i="31" s="1"/>
  <c r="AL527" i="31" s="1"/>
  <c r="AL538" i="31" s="1"/>
  <c r="AP316" i="31"/>
  <c r="AP315" i="31" s="1"/>
  <c r="AP392" i="31" s="1"/>
  <c r="AP399" i="31" s="1"/>
  <c r="AO315" i="31"/>
  <c r="AO392" i="31" s="1"/>
  <c r="AO399" i="31" s="1"/>
  <c r="EO40" i="5"/>
  <c r="V390" i="45" s="1"/>
  <c r="EB40" i="5"/>
  <c r="AL391" i="49"/>
  <c r="AL398" i="49" s="1"/>
  <c r="AL481" i="49" s="1"/>
  <c r="AL527" i="49" s="1"/>
  <c r="AL538" i="49" s="1"/>
  <c r="AO562" i="49"/>
  <c r="AN561" i="49"/>
  <c r="AM156" i="31"/>
  <c r="AM300" i="31" s="1"/>
  <c r="AM314" i="31" s="1"/>
  <c r="AM355" i="31" s="1"/>
  <c r="AM376" i="31" s="1"/>
  <c r="AN107" i="49"/>
  <c r="AN157" i="31"/>
  <c r="AN177" i="49"/>
  <c r="CY29" i="5"/>
  <c r="AB542" i="45" s="1"/>
  <c r="AB540" i="45" s="1"/>
  <c r="CO29" i="5"/>
  <c r="AO208" i="31"/>
  <c r="AP209" i="31"/>
  <c r="AP208" i="31" s="1"/>
  <c r="AP268" i="49"/>
  <c r="AP267" i="49" s="1"/>
  <c r="AO267" i="49"/>
  <c r="EB35" i="5"/>
  <c r="EO35" i="5"/>
  <c r="V385" i="45" s="1"/>
  <c r="AP443" i="49"/>
  <c r="AP442" i="49" s="1"/>
  <c r="AO442" i="49"/>
  <c r="AP562" i="31"/>
  <c r="AP561" i="31" s="1"/>
  <c r="AO561" i="31"/>
  <c r="AP63" i="31"/>
  <c r="AP62" i="31" s="1"/>
  <c r="AO62" i="31"/>
  <c r="EB28" i="5"/>
  <c r="EO28" i="5"/>
  <c r="AO71" i="31"/>
  <c r="AP72" i="31"/>
  <c r="AP71" i="31" s="1"/>
  <c r="AP169" i="31"/>
  <c r="AP168" i="31" s="1"/>
  <c r="AO168" i="31"/>
  <c r="AP154" i="49"/>
  <c r="AP153" i="49" s="1"/>
  <c r="AO153" i="49"/>
  <c r="AP99" i="31"/>
  <c r="AP98" i="31" s="1"/>
  <c r="AO98" i="31"/>
  <c r="G527" i="49"/>
  <c r="C481" i="49"/>
  <c r="EB19" i="62"/>
  <c r="EO19" i="62"/>
  <c r="AP605" i="31"/>
  <c r="AP604" i="31" s="1"/>
  <c r="AO604" i="31"/>
  <c r="AP110" i="49"/>
  <c r="AP109" i="49" s="1"/>
  <c r="AO109" i="49"/>
  <c r="AU20" i="62"/>
  <c r="AK20" i="62"/>
  <c r="AP81" i="31"/>
  <c r="AP80" i="31" s="1"/>
  <c r="AO80" i="31"/>
  <c r="AO328" i="31"/>
  <c r="AP329" i="31"/>
  <c r="AP328" i="31" s="1"/>
  <c r="EO43" i="5"/>
  <c r="V393" i="45" s="1"/>
  <c r="EB43" i="5"/>
  <c r="AP348" i="31"/>
  <c r="AP347" i="31" s="1"/>
  <c r="AO347" i="31"/>
  <c r="EO34" i="5"/>
  <c r="V384" i="45" s="1"/>
  <c r="EB34" i="5"/>
  <c r="EO24" i="5"/>
  <c r="EB24" i="5"/>
  <c r="AO9" i="31"/>
  <c r="AP10" i="31"/>
  <c r="AP9" i="31" s="1"/>
  <c r="EO60" i="5"/>
  <c r="EB60" i="5"/>
  <c r="AP566" i="31"/>
  <c r="AP565" i="31" s="1"/>
  <c r="AO565" i="31"/>
  <c r="AO584" i="49"/>
  <c r="AP585" i="49"/>
  <c r="AP584" i="49" s="1"/>
  <c r="AM355" i="49"/>
  <c r="AM376" i="49" s="1"/>
  <c r="AP179" i="31"/>
  <c r="AP178" i="31" s="1"/>
  <c r="AO178" i="31"/>
  <c r="AO487" i="31"/>
  <c r="AP488" i="31"/>
  <c r="AP487" i="31" s="1"/>
  <c r="AO208" i="49"/>
  <c r="AP209" i="49"/>
  <c r="AP208" i="49" s="1"/>
  <c r="AP294" i="49"/>
  <c r="AP293" i="49" s="1"/>
  <c r="AO293" i="49"/>
  <c r="AP558" i="31"/>
  <c r="AP557" i="31" s="1"/>
  <c r="AO557" i="31"/>
  <c r="EP39" i="5"/>
  <c r="FC39" i="5"/>
  <c r="EO37" i="5"/>
  <c r="V387" i="45" s="1"/>
  <c r="EB37" i="5"/>
  <c r="EO33" i="62"/>
  <c r="EB33" i="62"/>
  <c r="EP28" i="62"/>
  <c r="FC28" i="62"/>
  <c r="AO569" i="49"/>
  <c r="AP570" i="49"/>
  <c r="AP569" i="49" s="1"/>
  <c r="EO34" i="62"/>
  <c r="EB34" i="62"/>
  <c r="AP229" i="31"/>
  <c r="AP228" i="31" s="1"/>
  <c r="AO228" i="31"/>
  <c r="AO609" i="31"/>
  <c r="AP610" i="31"/>
  <c r="AP609" i="31" s="1"/>
  <c r="AO469" i="49"/>
  <c r="AP470" i="49"/>
  <c r="AP469" i="49" s="1"/>
  <c r="EO25" i="5"/>
  <c r="EB25" i="5"/>
  <c r="AO286" i="31"/>
  <c r="AP287" i="31"/>
  <c r="AP286" i="31" s="1"/>
  <c r="EO46" i="5"/>
  <c r="EB46" i="5"/>
  <c r="AN354" i="31"/>
  <c r="EP27" i="5"/>
  <c r="FC27" i="5"/>
  <c r="CO23" i="62"/>
  <c r="CY23" i="62"/>
  <c r="CL23" i="62"/>
  <c r="AP81" i="49"/>
  <c r="AP80" i="49" s="1"/>
  <c r="AO80" i="49"/>
  <c r="EB20" i="5"/>
  <c r="EO20" i="5"/>
  <c r="EO42" i="5"/>
  <c r="V392" i="45" s="1"/>
  <c r="EB42" i="5"/>
  <c r="AP615" i="49"/>
  <c r="AP614" i="49" s="1"/>
  <c r="AO614" i="49"/>
  <c r="EO23" i="5"/>
  <c r="EB23" i="5"/>
  <c r="EO18" i="5"/>
  <c r="EB18" i="5"/>
  <c r="AN354" i="49"/>
  <c r="F75" i="68"/>
  <c r="J75" i="68"/>
  <c r="W31" i="62"/>
  <c r="S46" i="62"/>
  <c r="S49" i="62" s="1"/>
  <c r="AG31" i="62"/>
  <c r="AP159" i="31"/>
  <c r="AP158" i="31" s="1"/>
  <c r="AO158" i="31"/>
  <c r="AP110" i="31"/>
  <c r="AP109" i="31" s="1"/>
  <c r="AO109" i="31"/>
  <c r="EB32" i="5"/>
  <c r="EO32" i="5"/>
  <c r="AP169" i="49"/>
  <c r="AP168" i="49" s="1"/>
  <c r="AP157" i="49" s="1"/>
  <c r="AO168" i="49"/>
  <c r="AO157" i="49" s="1"/>
  <c r="AP307" i="49"/>
  <c r="AP306" i="49" s="1"/>
  <c r="AO306" i="49"/>
  <c r="AP220" i="49"/>
  <c r="AP219" i="49" s="1"/>
  <c r="AO219" i="49"/>
  <c r="EA43" i="62"/>
  <c r="DN43" i="62"/>
  <c r="AO62" i="49"/>
  <c r="AP63" i="49"/>
  <c r="AP62" i="49" s="1"/>
  <c r="AO238" i="31"/>
  <c r="AP239" i="31"/>
  <c r="AP238" i="31" s="1"/>
  <c r="BI62" i="5"/>
  <c r="AY62" i="5"/>
  <c r="AP99" i="49"/>
  <c r="AP98" i="49" s="1"/>
  <c r="AO98" i="49"/>
  <c r="G527" i="31"/>
  <c r="C481" i="31"/>
  <c r="EO41" i="5"/>
  <c r="V391" i="45" s="1"/>
  <c r="EB41" i="5"/>
  <c r="AP477" i="49"/>
  <c r="AP476" i="49" s="1"/>
  <c r="AO476" i="49"/>
  <c r="DN44" i="62"/>
  <c r="EA44" i="62"/>
  <c r="AO188" i="49"/>
  <c r="AP189" i="49"/>
  <c r="AP188" i="49" s="1"/>
  <c r="AP532" i="31"/>
  <c r="AP531" i="31" s="1"/>
  <c r="AO531" i="31"/>
  <c r="AO482" i="49"/>
  <c r="AP483" i="49"/>
  <c r="AP482" i="49" s="1"/>
  <c r="AN46" i="31"/>
  <c r="AN107" i="31" s="1"/>
  <c r="AN156" i="31" s="1"/>
  <c r="BI45" i="62"/>
  <c r="BW41" i="62"/>
  <c r="AN313" i="49"/>
  <c r="EB19" i="5"/>
  <c r="EO19" i="5"/>
  <c r="AO328" i="49"/>
  <c r="AP329" i="49"/>
  <c r="AP328" i="49" s="1"/>
  <c r="AP443" i="31"/>
  <c r="AP442" i="31" s="1"/>
  <c r="AO442" i="31"/>
  <c r="AP488" i="49"/>
  <c r="AP487" i="49" s="1"/>
  <c r="AO487" i="49"/>
  <c r="BG62" i="5"/>
  <c r="AW62" i="5"/>
  <c r="AP460" i="31"/>
  <c r="AP459" i="31" s="1"/>
  <c r="AO459" i="31"/>
  <c r="DM22" i="5"/>
  <c r="AC538" i="45" s="1"/>
  <c r="DC22" i="5"/>
  <c r="AP90" i="31"/>
  <c r="AP89" i="31" s="1"/>
  <c r="AO89" i="31"/>
  <c r="AP421" i="49"/>
  <c r="AP416" i="49" s="1"/>
  <c r="AO416" i="49"/>
  <c r="DN47" i="5"/>
  <c r="EA47" i="5"/>
  <c r="DQ47" i="5"/>
  <c r="AP268" i="31"/>
  <c r="AP267" i="31" s="1"/>
  <c r="AO267" i="31"/>
  <c r="AP334" i="49"/>
  <c r="AP333" i="49" s="1"/>
  <c r="AO333" i="49"/>
  <c r="CI56" i="5"/>
  <c r="BY56" i="5"/>
  <c r="J36" i="62"/>
  <c r="Q35" i="62"/>
  <c r="AE35" i="62" s="1"/>
  <c r="AS35" i="62" s="1"/>
  <c r="BG35" i="62" s="1"/>
  <c r="BU35" i="62" s="1"/>
  <c r="CI35" i="62" s="1"/>
  <c r="CW35" i="62" s="1"/>
  <c r="DK35" i="62" s="1"/>
  <c r="DY35" i="62" s="1"/>
  <c r="EM35" i="62" s="1"/>
  <c r="FA35" i="62" s="1"/>
  <c r="FO35" i="62" s="1"/>
  <c r="J37" i="62"/>
  <c r="C79" i="68"/>
  <c r="H79" i="68" s="1"/>
  <c r="AP48" i="31"/>
  <c r="AP47" i="31" s="1"/>
  <c r="AO47" i="31"/>
  <c r="AO531" i="49"/>
  <c r="AP532" i="49"/>
  <c r="AP531" i="49" s="1"/>
  <c r="AP348" i="49"/>
  <c r="AP347" i="49" s="1"/>
  <c r="AO347" i="49"/>
  <c r="L37" i="62"/>
  <c r="E79" i="68"/>
  <c r="S35" i="62"/>
  <c r="AG35" i="62" s="1"/>
  <c r="AU35" i="62" s="1"/>
  <c r="BI35" i="62" s="1"/>
  <c r="BW35" i="62" s="1"/>
  <c r="CK35" i="62" s="1"/>
  <c r="CY35" i="62" s="1"/>
  <c r="AP601" i="31"/>
  <c r="AP600" i="31" s="1"/>
  <c r="AO600" i="31"/>
  <c r="BW59" i="5"/>
  <c r="BM59" i="5"/>
  <c r="BI17" i="62"/>
  <c r="AP558" i="49"/>
  <c r="AP557" i="49" s="1"/>
  <c r="AO557" i="49"/>
  <c r="EB26" i="5"/>
  <c r="EO26" i="5"/>
  <c r="EO16" i="5"/>
  <c r="EB16" i="5"/>
  <c r="CA56" i="5"/>
  <c r="CK56" i="5"/>
  <c r="AA544" i="45" s="1"/>
  <c r="AP48" i="49"/>
  <c r="AP47" i="49" s="1"/>
  <c r="AO47" i="49"/>
  <c r="EB51" i="5"/>
  <c r="EO51" i="5"/>
  <c r="EO52" i="5"/>
  <c r="EB52" i="5"/>
  <c r="AO542" i="31"/>
  <c r="AP543" i="31"/>
  <c r="AP542" i="31" s="1"/>
  <c r="AO153" i="31"/>
  <c r="AP154" i="31"/>
  <c r="AP153" i="31" s="1"/>
  <c r="EO27" i="62"/>
  <c r="EB27" i="62"/>
  <c r="EO30" i="62"/>
  <c r="EB30" i="62"/>
  <c r="AO144" i="49"/>
  <c r="AP145" i="49"/>
  <c r="AP144" i="49" s="1"/>
  <c r="AP566" i="49"/>
  <c r="AP565" i="49" s="1"/>
  <c r="AO565" i="49"/>
  <c r="AO506" i="49"/>
  <c r="AP507" i="49"/>
  <c r="AP506" i="49" s="1"/>
  <c r="AO333" i="31"/>
  <c r="AP334" i="31"/>
  <c r="AP333" i="31" s="1"/>
  <c r="DN30" i="5"/>
  <c r="EA30" i="5"/>
  <c r="DQ30" i="5"/>
  <c r="EB32" i="62"/>
  <c r="EO32" i="62"/>
  <c r="AO306" i="31"/>
  <c r="AO313" i="31" s="1"/>
  <c r="AP307" i="31"/>
  <c r="AP306" i="31" s="1"/>
  <c r="AP313" i="31" s="1"/>
  <c r="AP257" i="31"/>
  <c r="AP256" i="31" s="1"/>
  <c r="AO256" i="31"/>
  <c r="EB31" i="5"/>
  <c r="EO31" i="5"/>
  <c r="DY18" i="62"/>
  <c r="DK48" i="62"/>
  <c r="AS20" i="62"/>
  <c r="AI20" i="62"/>
  <c r="AP302" i="49"/>
  <c r="AP301" i="49" s="1"/>
  <c r="AP313" i="49" s="1"/>
  <c r="AO301" i="49"/>
  <c r="EB38" i="5"/>
  <c r="EO38" i="5"/>
  <c r="V388" i="45" s="1"/>
  <c r="AP378" i="31"/>
  <c r="AP377" i="31" s="1"/>
  <c r="AO377" i="31"/>
  <c r="AP189" i="31"/>
  <c r="AP188" i="31" s="1"/>
  <c r="AO188" i="31"/>
  <c r="AP287" i="49"/>
  <c r="AP286" i="49" s="1"/>
  <c r="AO286" i="49"/>
  <c r="AN429" i="31"/>
  <c r="AO435" i="31"/>
  <c r="AP543" i="49"/>
  <c r="AP542" i="49" s="1"/>
  <c r="AO542" i="49"/>
  <c r="CZ21" i="62"/>
  <c r="DM21" i="62"/>
  <c r="CY47" i="62"/>
  <c r="EB53" i="5"/>
  <c r="EO53" i="5"/>
  <c r="AO393" i="31"/>
  <c r="AP394" i="31"/>
  <c r="AP393" i="31" s="1"/>
  <c r="EO22" i="62"/>
  <c r="EB22" i="62"/>
  <c r="AP294" i="31"/>
  <c r="AP293" i="31" s="1"/>
  <c r="AO293" i="31"/>
  <c r="AO393" i="49"/>
  <c r="AP394" i="49"/>
  <c r="AP393" i="49" s="1"/>
  <c r="AP316" i="49"/>
  <c r="AP315" i="49" s="1"/>
  <c r="AP392" i="49" s="1"/>
  <c r="AP399" i="49" s="1"/>
  <c r="AO315" i="49"/>
  <c r="AO392" i="49" s="1"/>
  <c r="AO399" i="49" s="1"/>
  <c r="EO45" i="5"/>
  <c r="EB45" i="5"/>
  <c r="AP605" i="49"/>
  <c r="AP604" i="49" s="1"/>
  <c r="AO604" i="49"/>
  <c r="AO600" i="49"/>
  <c r="AP601" i="49"/>
  <c r="AP600" i="49" s="1"/>
  <c r="AO459" i="49"/>
  <c r="AP460" i="49"/>
  <c r="AP459" i="49" s="1"/>
  <c r="EO61" i="5"/>
  <c r="EB61" i="5"/>
  <c r="Q46" i="62"/>
  <c r="Q49" i="62" s="1"/>
  <c r="AE31" i="62"/>
  <c r="U31" i="62"/>
  <c r="AO26" i="49"/>
  <c r="AO46" i="49" s="1"/>
  <c r="AO107" i="49" s="1"/>
  <c r="AP27" i="49"/>
  <c r="AP26" i="49" s="1"/>
  <c r="AP46" i="49" s="1"/>
  <c r="AO435" i="49"/>
  <c r="AN429" i="49"/>
  <c r="AO356" i="31"/>
  <c r="AP357" i="31"/>
  <c r="AP356" i="31" s="1"/>
  <c r="DN33" i="5"/>
  <c r="DQ33" i="5"/>
  <c r="EA33" i="5"/>
  <c r="DN24" i="62"/>
  <c r="EA24" i="62"/>
  <c r="EO54" i="5"/>
  <c r="EB54" i="5"/>
  <c r="CW47" i="62"/>
  <c r="DK21" i="62"/>
  <c r="EA29" i="62"/>
  <c r="DN29" i="62"/>
  <c r="DQ29" i="62"/>
  <c r="AP585" i="31"/>
  <c r="AP584" i="31" s="1"/>
  <c r="AO584" i="31"/>
  <c r="AO366" i="31"/>
  <c r="AP367" i="31"/>
  <c r="AP366" i="31" s="1"/>
  <c r="AN108" i="49"/>
  <c r="AN156" i="49" s="1"/>
  <c r="AN300" i="49" s="1"/>
  <c r="AN314" i="49" s="1"/>
  <c r="AN355" i="49" s="1"/>
  <c r="AN376" i="49" s="1"/>
  <c r="AP257" i="49"/>
  <c r="AP256" i="49" s="1"/>
  <c r="AO256" i="49"/>
  <c r="EB49" i="5"/>
  <c r="EO49" i="5"/>
  <c r="DM48" i="62"/>
  <c r="EA18" i="62"/>
  <c r="DN18" i="62"/>
  <c r="AP322" i="49"/>
  <c r="AP321" i="49" s="1"/>
  <c r="AO321" i="49"/>
  <c r="AP554" i="49"/>
  <c r="AP553" i="49" s="1"/>
  <c r="AO553" i="49"/>
  <c r="EO13" i="5"/>
  <c r="EB13" i="5"/>
  <c r="EB50" i="5"/>
  <c r="EO50" i="5"/>
  <c r="BG17" i="62"/>
  <c r="BU59" i="5"/>
  <c r="BK59" i="5"/>
  <c r="AO26" i="31"/>
  <c r="AP27" i="31"/>
  <c r="AP26" i="31" s="1"/>
  <c r="EO14" i="5"/>
  <c r="EB14" i="5"/>
  <c r="AP421" i="31"/>
  <c r="AP416" i="31" s="1"/>
  <c r="AO416" i="31"/>
  <c r="AP341" i="49"/>
  <c r="AP340" i="49" s="1"/>
  <c r="AO340" i="49"/>
  <c r="AN177" i="31"/>
  <c r="BG45" i="62"/>
  <c r="BU41" i="62"/>
  <c r="AP477" i="31"/>
  <c r="AP476" i="31" s="1"/>
  <c r="AO476" i="31"/>
  <c r="EO17" i="5"/>
  <c r="EB17" i="5"/>
  <c r="AO482" i="31"/>
  <c r="AP483" i="31"/>
  <c r="AP482" i="31" s="1"/>
  <c r="AP220" i="31"/>
  <c r="AP219" i="31" s="1"/>
  <c r="AO219" i="31"/>
  <c r="EO58" i="5"/>
  <c r="EP58" i="5" s="1"/>
  <c r="EB58" i="5"/>
  <c r="AO506" i="31"/>
  <c r="AP507" i="31"/>
  <c r="AP506" i="31" s="1"/>
  <c r="DN55" i="5"/>
  <c r="DQ55" i="5"/>
  <c r="EA55" i="5"/>
  <c r="AP367" i="49"/>
  <c r="AP366" i="49" s="1"/>
  <c r="AO366" i="49"/>
  <c r="K14" i="44"/>
  <c r="C25" i="44"/>
  <c r="EB26" i="62"/>
  <c r="EO26" i="62"/>
  <c r="EB36" i="5"/>
  <c r="EO36" i="5"/>
  <c r="V386" i="45" s="1"/>
  <c r="CO44" i="5"/>
  <c r="CY44" i="5"/>
  <c r="EO21" i="5"/>
  <c r="EB21" i="5"/>
  <c r="AO321" i="31"/>
  <c r="AP322" i="31"/>
  <c r="AP321" i="31" s="1"/>
  <c r="AP354" i="31" s="1"/>
  <c r="AP145" i="31"/>
  <c r="AP144" i="31" s="1"/>
  <c r="AO144" i="31"/>
  <c r="J25" i="6"/>
  <c r="K25" i="6" s="1"/>
  <c r="H26" i="6" s="1"/>
  <c r="H22" i="29"/>
  <c r="I21" i="29"/>
  <c r="L21" i="29" s="1"/>
  <c r="G21" i="29"/>
  <c r="I95" i="20"/>
  <c r="I96" i="20" s="1"/>
  <c r="I93" i="20"/>
  <c r="I79" i="20"/>
  <c r="I80" i="20" s="1"/>
  <c r="I77" i="20"/>
  <c r="AT42" i="62"/>
  <c r="AH42" i="62"/>
  <c r="AF45" i="62"/>
  <c r="K46" i="62"/>
  <c r="K49" i="62" s="1"/>
  <c r="O31" i="62"/>
  <c r="R31" i="62"/>
  <c r="K35" i="62"/>
  <c r="D75" i="68"/>
  <c r="M31" i="62"/>
  <c r="I63" i="20"/>
  <c r="I64" i="20" s="1"/>
  <c r="I61" i="20"/>
  <c r="I111" i="20"/>
  <c r="I112" i="20" s="1"/>
  <c r="I109" i="20"/>
  <c r="I15" i="20"/>
  <c r="I16" i="20" s="1"/>
  <c r="I13" i="20"/>
  <c r="L20" i="29"/>
  <c r="BH57" i="5"/>
  <c r="AV57" i="5"/>
  <c r="Y46" i="62"/>
  <c r="Y49" i="62" s="1"/>
  <c r="AC31" i="62"/>
  <c r="Y35" i="62"/>
  <c r="AA35" i="62" s="1"/>
  <c r="AA31" i="62"/>
  <c r="BA46" i="62"/>
  <c r="BA49" i="62" s="1"/>
  <c r="BE31" i="62"/>
  <c r="BA35" i="62"/>
  <c r="BC35" i="62" s="1"/>
  <c r="BC31" i="62"/>
  <c r="I47" i="20"/>
  <c r="I48" i="20" s="1"/>
  <c r="I45" i="20"/>
  <c r="BV48" i="5"/>
  <c r="BJ48" i="5"/>
  <c r="AJ62" i="5"/>
  <c r="AT62" i="5"/>
  <c r="AH62" i="5"/>
  <c r="I64" i="68"/>
  <c r="G64" i="68"/>
  <c r="CN22" i="5"/>
  <c r="CX22" i="5"/>
  <c r="CL22" i="5"/>
  <c r="BO46" i="62"/>
  <c r="BO49" i="62" s="1"/>
  <c r="BS31" i="62"/>
  <c r="BO35" i="62"/>
  <c r="BQ35" i="62" s="1"/>
  <c r="BQ31" i="62"/>
  <c r="DL15" i="5"/>
  <c r="AB533" i="45"/>
  <c r="DB55" i="5"/>
  <c r="DB30" i="5"/>
  <c r="DB29" i="62"/>
  <c r="DB23" i="62"/>
  <c r="DA47" i="5"/>
  <c r="DA23" i="5"/>
  <c r="DB33" i="5"/>
  <c r="CZ15" i="5"/>
  <c r="DA33" i="5"/>
  <c r="DA55" i="5"/>
  <c r="DB47" i="5"/>
  <c r="DA29" i="62"/>
  <c r="DA30" i="5"/>
  <c r="DA22" i="5"/>
  <c r="DA44" i="5"/>
  <c r="DA29" i="5"/>
  <c r="DA23" i="62"/>
  <c r="DB23" i="5"/>
  <c r="I31" i="20"/>
  <c r="I32" i="20" s="1"/>
  <c r="I29" i="20"/>
  <c r="D31" i="62"/>
  <c r="H20" i="62"/>
  <c r="F20" i="62"/>
  <c r="Q7" i="12"/>
  <c r="DZ12" i="5"/>
  <c r="DN12" i="5"/>
  <c r="Z535" i="45"/>
  <c r="K20" i="29"/>
  <c r="AT45" i="62"/>
  <c r="BH41" i="62"/>
  <c r="AV41" i="62"/>
  <c r="CJ44" i="5"/>
  <c r="BZ44" i="5"/>
  <c r="BX44" i="5"/>
  <c r="V20" i="62"/>
  <c r="AF20" i="62"/>
  <c r="T20" i="62"/>
  <c r="CJ29" i="5"/>
  <c r="BZ29" i="5"/>
  <c r="Z541" i="45"/>
  <c r="Z539" i="45" s="1"/>
  <c r="BX29" i="5"/>
  <c r="DM35" i="62"/>
  <c r="BV56" i="5"/>
  <c r="BL56" i="5"/>
  <c r="Y543" i="45"/>
  <c r="BJ56" i="5"/>
  <c r="BH59" i="5"/>
  <c r="AT17" i="62"/>
  <c r="AV17" i="62" s="1"/>
  <c r="AX59" i="5"/>
  <c r="AV59" i="5"/>
  <c r="V485" i="45" l="1"/>
  <c r="W485" i="45"/>
  <c r="AA435" i="45"/>
  <c r="Z435" i="45"/>
  <c r="V394" i="45"/>
  <c r="Z335" i="45"/>
  <c r="AA335" i="45"/>
  <c r="AD534" i="45"/>
  <c r="EO15" i="5"/>
  <c r="AC536" i="45"/>
  <c r="AP562" i="49"/>
  <c r="AP561" i="49" s="1"/>
  <c r="AO561" i="49"/>
  <c r="J21" i="29"/>
  <c r="EP40" i="5"/>
  <c r="FC40" i="5"/>
  <c r="AO313" i="49"/>
  <c r="AP177" i="49"/>
  <c r="AP107" i="49"/>
  <c r="AO177" i="49"/>
  <c r="AO354" i="31"/>
  <c r="AN391" i="49"/>
  <c r="AN398" i="49" s="1"/>
  <c r="AN481" i="49" s="1"/>
  <c r="AN527" i="49" s="1"/>
  <c r="AN538" i="49" s="1"/>
  <c r="AN387" i="49"/>
  <c r="FC54" i="5"/>
  <c r="EP54" i="5"/>
  <c r="FC61" i="5"/>
  <c r="EP61" i="5"/>
  <c r="EP22" i="62"/>
  <c r="FC22" i="62"/>
  <c r="EP53" i="5"/>
  <c r="FC53" i="5"/>
  <c r="BG20" i="62"/>
  <c r="AW20" i="62"/>
  <c r="EB30" i="5"/>
  <c r="EO30" i="5"/>
  <c r="EE30" i="5"/>
  <c r="EP51" i="5"/>
  <c r="FC51" i="5"/>
  <c r="CY56" i="5"/>
  <c r="AB544" i="45" s="1"/>
  <c r="CO56" i="5"/>
  <c r="EP26" i="5"/>
  <c r="FC26" i="5"/>
  <c r="CW56" i="5"/>
  <c r="CM56" i="5"/>
  <c r="BW45" i="62"/>
  <c r="CK41" i="62"/>
  <c r="C527" i="31"/>
  <c r="G538" i="31"/>
  <c r="BM62" i="5"/>
  <c r="BW62" i="5"/>
  <c r="AP108" i="31"/>
  <c r="EP23" i="5"/>
  <c r="FC23" i="5"/>
  <c r="EP42" i="5"/>
  <c r="FC42" i="5"/>
  <c r="FQ27" i="5"/>
  <c r="FR27" i="5" s="1"/>
  <c r="FD27" i="5"/>
  <c r="FC46" i="5"/>
  <c r="EP46" i="5"/>
  <c r="EP25" i="5"/>
  <c r="FC25" i="5"/>
  <c r="EP34" i="62"/>
  <c r="FC34" i="62"/>
  <c r="EP37" i="5"/>
  <c r="FC37" i="5"/>
  <c r="AP177" i="31"/>
  <c r="AP46" i="31"/>
  <c r="AP107" i="31" s="1"/>
  <c r="AP156" i="31" s="1"/>
  <c r="AO108" i="49"/>
  <c r="AO156" i="49" s="1"/>
  <c r="AO300" i="49" s="1"/>
  <c r="FC19" i="62"/>
  <c r="EP19" i="62"/>
  <c r="AO157" i="31"/>
  <c r="EP28" i="5"/>
  <c r="FC28" i="5"/>
  <c r="FC35" i="5"/>
  <c r="EP35" i="5"/>
  <c r="DM29" i="5"/>
  <c r="AC542" i="45" s="1"/>
  <c r="AC540" i="45" s="1"/>
  <c r="DC29" i="5"/>
  <c r="FC36" i="5"/>
  <c r="EP36" i="5"/>
  <c r="EO55" i="5"/>
  <c r="EE55" i="5"/>
  <c r="EB55" i="5"/>
  <c r="FC17" i="5"/>
  <c r="EP17" i="5"/>
  <c r="EB29" i="62"/>
  <c r="EO29" i="62"/>
  <c r="EE29" i="62"/>
  <c r="EP45" i="5"/>
  <c r="FC45" i="5"/>
  <c r="EP21" i="5"/>
  <c r="FC21" i="5"/>
  <c r="FC13" i="5"/>
  <c r="EP13" i="5"/>
  <c r="EP49" i="5"/>
  <c r="FC49" i="5"/>
  <c r="DY21" i="62"/>
  <c r="DK47" i="62"/>
  <c r="EO24" i="62"/>
  <c r="EB24" i="62"/>
  <c r="AO429" i="49"/>
  <c r="AP435" i="49"/>
  <c r="AP429" i="49" s="1"/>
  <c r="AI31" i="62"/>
  <c r="AS31" i="62"/>
  <c r="AE46" i="62"/>
  <c r="AE49" i="62" s="1"/>
  <c r="AM387" i="31"/>
  <c r="AM391" i="31"/>
  <c r="AM398" i="31" s="1"/>
  <c r="AM481" i="31" s="1"/>
  <c r="AM527" i="31" s="1"/>
  <c r="AM538" i="31" s="1"/>
  <c r="FC32" i="62"/>
  <c r="EP32" i="62"/>
  <c r="FC27" i="62"/>
  <c r="EP27" i="62"/>
  <c r="AO354" i="49"/>
  <c r="FC19" i="5"/>
  <c r="EP19" i="5"/>
  <c r="EB44" i="62"/>
  <c r="EO44" i="62"/>
  <c r="FC32" i="5"/>
  <c r="EP32" i="5"/>
  <c r="FC20" i="5"/>
  <c r="EP20" i="5"/>
  <c r="FD39" i="5"/>
  <c r="FQ39" i="5"/>
  <c r="FR39" i="5" s="1"/>
  <c r="AM387" i="49"/>
  <c r="AM391" i="49"/>
  <c r="AM398" i="49" s="1"/>
  <c r="AM481" i="49" s="1"/>
  <c r="AM527" i="49" s="1"/>
  <c r="AM538" i="49" s="1"/>
  <c r="AO46" i="31"/>
  <c r="AO107" i="31" s="1"/>
  <c r="EP34" i="5"/>
  <c r="FC34" i="5"/>
  <c r="FC43" i="5"/>
  <c r="EP43" i="5"/>
  <c r="AP108" i="49"/>
  <c r="AP157" i="31"/>
  <c r="EP26" i="62"/>
  <c r="FC26" i="62"/>
  <c r="EP50" i="5"/>
  <c r="FC50" i="5"/>
  <c r="EM18" i="62"/>
  <c r="DY48" i="62"/>
  <c r="CK59" i="5"/>
  <c r="BW17" i="62"/>
  <c r="CA59" i="5"/>
  <c r="F79" i="68"/>
  <c r="J79" i="68"/>
  <c r="AP354" i="49"/>
  <c r="X36" i="62"/>
  <c r="AL36" i="62" s="1"/>
  <c r="AZ36" i="62" s="1"/>
  <c r="BN36" i="62" s="1"/>
  <c r="CB36" i="62" s="1"/>
  <c r="CP36" i="62" s="1"/>
  <c r="DD36" i="62" s="1"/>
  <c r="DR36" i="62" s="1"/>
  <c r="EF36" i="62" s="1"/>
  <c r="ET36" i="62" s="1"/>
  <c r="FH36" i="62" s="1"/>
  <c r="EA22" i="5"/>
  <c r="AD538" i="45" s="1"/>
  <c r="DQ22" i="5"/>
  <c r="BU62" i="5"/>
  <c r="BK62" i="5"/>
  <c r="AN300" i="31"/>
  <c r="AN314" i="31" s="1"/>
  <c r="AN355" i="31" s="1"/>
  <c r="AN376" i="31" s="1"/>
  <c r="EP41" i="5"/>
  <c r="FC41" i="5"/>
  <c r="EO43" i="62"/>
  <c r="EB43" i="62"/>
  <c r="FC18" i="5"/>
  <c r="EP18" i="5"/>
  <c r="DC23" i="62"/>
  <c r="CZ23" i="62"/>
  <c r="DM23" i="62"/>
  <c r="EP33" i="62"/>
  <c r="FC33" i="62"/>
  <c r="DC44" i="5"/>
  <c r="DM44" i="5"/>
  <c r="BU45" i="62"/>
  <c r="CI41" i="62"/>
  <c r="EP14" i="5"/>
  <c r="FC14" i="5"/>
  <c r="CI59" i="5"/>
  <c r="BU17" i="62"/>
  <c r="BY59" i="5"/>
  <c r="EO18" i="62"/>
  <c r="EA48" i="62"/>
  <c r="EB18" i="62"/>
  <c r="EO33" i="5"/>
  <c r="EB33" i="5"/>
  <c r="EE33" i="5"/>
  <c r="EA21" i="62"/>
  <c r="DN21" i="62"/>
  <c r="DM47" i="62"/>
  <c r="AP435" i="31"/>
  <c r="AP429" i="31" s="1"/>
  <c r="AO429" i="31"/>
  <c r="FC38" i="5"/>
  <c r="EP38" i="5"/>
  <c r="EP31" i="5"/>
  <c r="FC31" i="5"/>
  <c r="EP30" i="62"/>
  <c r="FC30" i="62"/>
  <c r="FC52" i="5"/>
  <c r="EP52" i="5"/>
  <c r="FC16" i="5"/>
  <c r="EP16" i="5"/>
  <c r="EB47" i="5"/>
  <c r="EO47" i="5"/>
  <c r="EE47" i="5"/>
  <c r="AO108" i="31"/>
  <c r="AU31" i="62"/>
  <c r="AG46" i="62"/>
  <c r="AG49" i="62" s="1"/>
  <c r="AK31" i="62"/>
  <c r="FD28" i="62"/>
  <c r="FQ28" i="62"/>
  <c r="FR28" i="62" s="1"/>
  <c r="AO177" i="31"/>
  <c r="EP60" i="5"/>
  <c r="FC60" i="5"/>
  <c r="FC24" i="5"/>
  <c r="EP24" i="5"/>
  <c r="AY20" i="62"/>
  <c r="BI20" i="62"/>
  <c r="G538" i="49"/>
  <c r="C527" i="49"/>
  <c r="AT20" i="62"/>
  <c r="AJ20" i="62"/>
  <c r="AH20" i="62"/>
  <c r="CN44" i="5"/>
  <c r="CX44" i="5"/>
  <c r="CL44" i="5"/>
  <c r="I75" i="68"/>
  <c r="G75" i="68"/>
  <c r="EA35" i="62"/>
  <c r="S7" i="12"/>
  <c r="EN12" i="5"/>
  <c r="EB12" i="5"/>
  <c r="D46" i="62"/>
  <c r="D49" i="62" s="1"/>
  <c r="D35" i="62"/>
  <c r="F35" i="62" s="1"/>
  <c r="H31" i="62"/>
  <c r="F31" i="62"/>
  <c r="DZ15" i="5"/>
  <c r="AC533" i="45"/>
  <c r="DP55" i="5"/>
  <c r="DP30" i="5"/>
  <c r="DP23" i="62"/>
  <c r="DP29" i="62"/>
  <c r="DO23" i="5"/>
  <c r="DP47" i="5"/>
  <c r="DP33" i="5"/>
  <c r="DO55" i="5"/>
  <c r="DO33" i="5"/>
  <c r="DN15" i="5"/>
  <c r="DO30" i="5"/>
  <c r="DO47" i="5"/>
  <c r="DO29" i="62"/>
  <c r="DO22" i="5"/>
  <c r="DO29" i="5"/>
  <c r="DO44" i="5"/>
  <c r="DO23" i="62"/>
  <c r="DP23" i="5"/>
  <c r="DL22" i="5"/>
  <c r="DB22" i="5"/>
  <c r="AB537" i="45"/>
  <c r="CZ22" i="5"/>
  <c r="CJ48" i="5"/>
  <c r="BX48" i="5"/>
  <c r="K36" i="62"/>
  <c r="R35" i="62"/>
  <c r="D79" i="68"/>
  <c r="M35" i="62"/>
  <c r="K21" i="29"/>
  <c r="H23" i="29"/>
  <c r="G22" i="29"/>
  <c r="I22" i="29"/>
  <c r="K22" i="29" s="1"/>
  <c r="BL59" i="5"/>
  <c r="BH17" i="62"/>
  <c r="BJ17" i="62" s="1"/>
  <c r="BV59" i="5"/>
  <c r="BJ59" i="5"/>
  <c r="BZ56" i="5"/>
  <c r="CJ56" i="5"/>
  <c r="Z543" i="45"/>
  <c r="BX56" i="5"/>
  <c r="CN29" i="5"/>
  <c r="CX29" i="5"/>
  <c r="CL29" i="5"/>
  <c r="BV41" i="62"/>
  <c r="BJ41" i="62"/>
  <c r="BH62" i="5"/>
  <c r="AX62" i="5"/>
  <c r="AV62" i="5"/>
  <c r="BV57" i="5"/>
  <c r="BJ57" i="5"/>
  <c r="R46" i="62"/>
  <c r="R49" i="62" s="1"/>
  <c r="V31" i="62"/>
  <c r="AF31" i="62"/>
  <c r="T31" i="62"/>
  <c r="BH42" i="62"/>
  <c r="BH45" i="62" s="1"/>
  <c r="AV42" i="62"/>
  <c r="J26" i="6"/>
  <c r="K26" i="6" s="1"/>
  <c r="H27" i="6" s="1"/>
  <c r="AP156" i="49" l="1"/>
  <c r="C80" i="68"/>
  <c r="AO314" i="49"/>
  <c r="Z338" i="45"/>
  <c r="AA338" i="45"/>
  <c r="AA339" i="45"/>
  <c r="Z339" i="45"/>
  <c r="AD536" i="45"/>
  <c r="AA336" i="45"/>
  <c r="V383" i="45"/>
  <c r="Z336" i="45"/>
  <c r="AA337" i="45"/>
  <c r="Z337" i="45"/>
  <c r="AP300" i="49"/>
  <c r="AP314" i="49" s="1"/>
  <c r="AE534" i="45"/>
  <c r="W30" i="45"/>
  <c r="W234" i="45"/>
  <c r="W132" i="45"/>
  <c r="W183" i="45"/>
  <c r="W285" i="45"/>
  <c r="W81" i="45"/>
  <c r="FC15" i="5"/>
  <c r="FQ15" i="5" s="1"/>
  <c r="ES23" i="5"/>
  <c r="AB335" i="45" s="1"/>
  <c r="J22" i="29"/>
  <c r="L22" i="29"/>
  <c r="FD40" i="5"/>
  <c r="FQ40" i="5"/>
  <c r="FR40" i="5" s="1"/>
  <c r="AO355" i="49"/>
  <c r="AO376" i="49" s="1"/>
  <c r="AO391" i="49" s="1"/>
  <c r="AO398" i="49" s="1"/>
  <c r="AO481" i="49" s="1"/>
  <c r="AO527" i="49" s="1"/>
  <c r="AO538" i="49" s="1"/>
  <c r="AP355" i="49"/>
  <c r="AP376" i="49" s="1"/>
  <c r="AP387" i="49" s="1"/>
  <c r="FD25" i="5"/>
  <c r="FQ25" i="5"/>
  <c r="FR25" i="5" s="1"/>
  <c r="AO387" i="49"/>
  <c r="FQ24" i="5"/>
  <c r="FR24" i="5" s="1"/>
  <c r="FD24" i="5"/>
  <c r="AY31" i="62"/>
  <c r="BI31" i="62"/>
  <c r="AU46" i="62"/>
  <c r="AU49" i="62" s="1"/>
  <c r="FD52" i="5"/>
  <c r="FQ52" i="5"/>
  <c r="FR52" i="5" s="1"/>
  <c r="CW59" i="5"/>
  <c r="CI17" i="62"/>
  <c r="CM59" i="5"/>
  <c r="FQ41" i="5"/>
  <c r="FR41" i="5" s="1"/>
  <c r="FD41" i="5"/>
  <c r="CI62" i="5"/>
  <c r="BY62" i="5"/>
  <c r="L36" i="62"/>
  <c r="E36" i="62"/>
  <c r="FA18" i="62"/>
  <c r="EM48" i="62"/>
  <c r="FQ43" i="5"/>
  <c r="FR43" i="5" s="1"/>
  <c r="FD43" i="5"/>
  <c r="EP44" i="62"/>
  <c r="FC44" i="62"/>
  <c r="FQ32" i="62"/>
  <c r="FR32" i="62" s="1"/>
  <c r="FD32" i="62"/>
  <c r="BG31" i="62"/>
  <c r="AS46" i="62"/>
  <c r="AS49" i="62" s="1"/>
  <c r="AW31" i="62"/>
  <c r="FQ49" i="5"/>
  <c r="FR49" i="5" s="1"/>
  <c r="FD49" i="5"/>
  <c r="FQ21" i="5"/>
  <c r="FR21" i="5" s="1"/>
  <c r="FD21" i="5"/>
  <c r="FD17" i="5"/>
  <c r="FQ17" i="5"/>
  <c r="FR17" i="5" s="1"/>
  <c r="AP300" i="31"/>
  <c r="AP314" i="31" s="1"/>
  <c r="AP355" i="31" s="1"/>
  <c r="AP376" i="31" s="1"/>
  <c r="FQ34" i="62"/>
  <c r="FR34" i="62" s="1"/>
  <c r="FD34" i="62"/>
  <c r="FD42" i="5"/>
  <c r="FQ42" i="5"/>
  <c r="FR42" i="5" s="1"/>
  <c r="DK56" i="5"/>
  <c r="DA56" i="5"/>
  <c r="DC56" i="5"/>
  <c r="DM56" i="5"/>
  <c r="AC544" i="45" s="1"/>
  <c r="EP30" i="5"/>
  <c r="FC30" i="5"/>
  <c r="ES30" i="5"/>
  <c r="AB336" i="45" s="1"/>
  <c r="FQ53" i="5"/>
  <c r="FR53" i="5" s="1"/>
  <c r="FD53" i="5"/>
  <c r="FQ16" i="5"/>
  <c r="FR16" i="5" s="1"/>
  <c r="FD16" i="5"/>
  <c r="FQ38" i="5"/>
  <c r="FR38" i="5" s="1"/>
  <c r="FD38" i="5"/>
  <c r="EE22" i="5"/>
  <c r="EO22" i="5"/>
  <c r="FQ28" i="5"/>
  <c r="FR28" i="5" s="1"/>
  <c r="FD28" i="5"/>
  <c r="BM20" i="62"/>
  <c r="BW20" i="62"/>
  <c r="FQ60" i="5"/>
  <c r="FR60" i="5" s="1"/>
  <c r="FD60" i="5"/>
  <c r="FD30" i="62"/>
  <c r="FQ30" i="62"/>
  <c r="FR30" i="62" s="1"/>
  <c r="FC18" i="62"/>
  <c r="EO48" i="62"/>
  <c r="EP18" i="62"/>
  <c r="FD14" i="5"/>
  <c r="FQ14" i="5"/>
  <c r="FR14" i="5" s="1"/>
  <c r="DQ44" i="5"/>
  <c r="EA44" i="5"/>
  <c r="EA23" i="62"/>
  <c r="DN23" i="62"/>
  <c r="DQ23" i="62"/>
  <c r="FD18" i="5"/>
  <c r="FQ18" i="5"/>
  <c r="FR18" i="5" s="1"/>
  <c r="FD50" i="5"/>
  <c r="FQ50" i="5"/>
  <c r="FR50" i="5" s="1"/>
  <c r="FQ34" i="5"/>
  <c r="FR34" i="5" s="1"/>
  <c r="FD34" i="5"/>
  <c r="FD20" i="5"/>
  <c r="FQ20" i="5"/>
  <c r="FR20" i="5" s="1"/>
  <c r="FC24" i="62"/>
  <c r="EP24" i="62"/>
  <c r="FC29" i="62"/>
  <c r="EP29" i="62"/>
  <c r="ES29" i="62"/>
  <c r="FQ36" i="5"/>
  <c r="FR36" i="5" s="1"/>
  <c r="FD36" i="5"/>
  <c r="FQ35" i="5"/>
  <c r="FR35" i="5" s="1"/>
  <c r="FD35" i="5"/>
  <c r="FQ46" i="5"/>
  <c r="FR46" i="5" s="1"/>
  <c r="FD46" i="5"/>
  <c r="CK62" i="5"/>
  <c r="CA62" i="5"/>
  <c r="CY41" i="62"/>
  <c r="CK45" i="62"/>
  <c r="FD26" i="5"/>
  <c r="FQ26" i="5"/>
  <c r="FR26" i="5" s="1"/>
  <c r="FD51" i="5"/>
  <c r="FQ51" i="5"/>
  <c r="FR51" i="5" s="1"/>
  <c r="FQ61" i="5"/>
  <c r="FR61" i="5" s="1"/>
  <c r="FD61" i="5"/>
  <c r="FC33" i="5"/>
  <c r="EP33" i="5"/>
  <c r="ES33" i="5"/>
  <c r="AB337" i="45" s="1"/>
  <c r="CK17" i="62"/>
  <c r="CY59" i="5"/>
  <c r="CO59" i="5"/>
  <c r="FD45" i="5"/>
  <c r="FQ45" i="5"/>
  <c r="FR45" i="5" s="1"/>
  <c r="FD37" i="5"/>
  <c r="FQ37" i="5"/>
  <c r="FR37" i="5" s="1"/>
  <c r="FQ23" i="5"/>
  <c r="FR23" i="5" s="1"/>
  <c r="FD23" i="5"/>
  <c r="FQ22" i="62"/>
  <c r="FR22" i="62" s="1"/>
  <c r="FD22" i="62"/>
  <c r="AN391" i="31"/>
  <c r="AN398" i="31" s="1"/>
  <c r="AN481" i="31" s="1"/>
  <c r="AN527" i="31" s="1"/>
  <c r="AN538" i="31" s="1"/>
  <c r="AN387" i="31"/>
  <c r="FQ27" i="62"/>
  <c r="FR27" i="62" s="1"/>
  <c r="FD27" i="62"/>
  <c r="FD19" i="62"/>
  <c r="FQ19" i="62"/>
  <c r="FR19" i="62" s="1"/>
  <c r="EP47" i="5"/>
  <c r="FC47" i="5"/>
  <c r="ES47" i="5"/>
  <c r="AB338" i="45" s="1"/>
  <c r="FD31" i="5"/>
  <c r="FQ31" i="5"/>
  <c r="FR31" i="5" s="1"/>
  <c r="EA47" i="62"/>
  <c r="EB21" i="62"/>
  <c r="EO21" i="62"/>
  <c r="CI45" i="62"/>
  <c r="CW41" i="62"/>
  <c r="FD33" i="62"/>
  <c r="FQ33" i="62"/>
  <c r="FR33" i="62" s="1"/>
  <c r="EP43" i="62"/>
  <c r="FC43" i="62"/>
  <c r="FQ26" i="62"/>
  <c r="FR26" i="62" s="1"/>
  <c r="FD26" i="62"/>
  <c r="AO156" i="31"/>
  <c r="AO300" i="31" s="1"/>
  <c r="AO314" i="31" s="1"/>
  <c r="AO355" i="31" s="1"/>
  <c r="AO376" i="31" s="1"/>
  <c r="FD32" i="5"/>
  <c r="FQ32" i="5"/>
  <c r="FR32" i="5" s="1"/>
  <c r="FD19" i="5"/>
  <c r="FQ19" i="5"/>
  <c r="FR19" i="5" s="1"/>
  <c r="DY47" i="62"/>
  <c r="EM21" i="62"/>
  <c r="FD13" i="5"/>
  <c r="FQ13" i="5"/>
  <c r="FR13" i="5" s="1"/>
  <c r="FC55" i="5"/>
  <c r="ES55" i="5"/>
  <c r="AB339" i="45" s="1"/>
  <c r="EP55" i="5"/>
  <c r="DQ29" i="5"/>
  <c r="EA29" i="5"/>
  <c r="AD542" i="45" s="1"/>
  <c r="AD540" i="45" s="1"/>
  <c r="BU20" i="62"/>
  <c r="BK20" i="62"/>
  <c r="FQ54" i="5"/>
  <c r="FR54" i="5" s="1"/>
  <c r="FD54" i="5"/>
  <c r="FU23" i="5"/>
  <c r="AB535" i="45"/>
  <c r="BV42" i="62"/>
  <c r="BV45" i="62" s="1"/>
  <c r="BJ42" i="62"/>
  <c r="BL62" i="5"/>
  <c r="BV62" i="5"/>
  <c r="BJ62" i="5"/>
  <c r="J27" i="6"/>
  <c r="K27" i="6" s="1"/>
  <c r="H28" i="6" s="1"/>
  <c r="AT31" i="62"/>
  <c r="AF46" i="62"/>
  <c r="AF49" i="62" s="1"/>
  <c r="AJ31" i="62"/>
  <c r="AH31" i="62"/>
  <c r="CJ57" i="5"/>
  <c r="BX57" i="5"/>
  <c r="DL29" i="5"/>
  <c r="DB29" i="5"/>
  <c r="AB541" i="45"/>
  <c r="AB539" i="45" s="1"/>
  <c r="CZ29" i="5"/>
  <c r="CX56" i="5"/>
  <c r="CN56" i="5"/>
  <c r="CL56" i="5"/>
  <c r="I79" i="68"/>
  <c r="G79" i="68"/>
  <c r="CX48" i="5"/>
  <c r="CL48" i="5"/>
  <c r="DP22" i="5"/>
  <c r="DZ22" i="5"/>
  <c r="AC537" i="45"/>
  <c r="DN22" i="5"/>
  <c r="EN15" i="5"/>
  <c r="AD533" i="45"/>
  <c r="ED55" i="5"/>
  <c r="ED30" i="5"/>
  <c r="ED29" i="62"/>
  <c r="ED23" i="62"/>
  <c r="EC30" i="5"/>
  <c r="EC55" i="5"/>
  <c r="ED33" i="5"/>
  <c r="EC47" i="5"/>
  <c r="EC33" i="5"/>
  <c r="ED47" i="5"/>
  <c r="EC23" i="5"/>
  <c r="EB15" i="5"/>
  <c r="EC29" i="62"/>
  <c r="EC22" i="5"/>
  <c r="EC44" i="5"/>
  <c r="EC29" i="5"/>
  <c r="EC23" i="62"/>
  <c r="ED23" i="5"/>
  <c r="U7" i="12"/>
  <c r="FB12" i="5"/>
  <c r="EP12" i="5"/>
  <c r="CJ59" i="5"/>
  <c r="BV17" i="62"/>
  <c r="BX17" i="62" s="1"/>
  <c r="BZ59" i="5"/>
  <c r="BX59" i="5"/>
  <c r="CJ41" i="62"/>
  <c r="BX41" i="62"/>
  <c r="I23" i="29"/>
  <c r="L23" i="29" s="1"/>
  <c r="G23" i="29"/>
  <c r="H24" i="29"/>
  <c r="AF35" i="62"/>
  <c r="T35" i="62"/>
  <c r="DL44" i="5"/>
  <c r="DB44" i="5"/>
  <c r="CZ44" i="5"/>
  <c r="AX20" i="62"/>
  <c r="BH20" i="62"/>
  <c r="AV20" i="62"/>
  <c r="Y36" i="62"/>
  <c r="AM36" i="62" s="1"/>
  <c r="BA36" i="62" s="1"/>
  <c r="BO36" i="62" s="1"/>
  <c r="CC36" i="62" s="1"/>
  <c r="CQ36" i="62" s="1"/>
  <c r="DE36" i="62" s="1"/>
  <c r="DS36" i="62" s="1"/>
  <c r="EG36" i="62" s="1"/>
  <c r="EU36" i="62" s="1"/>
  <c r="FI36" i="62" s="1"/>
  <c r="EO35" i="62"/>
  <c r="D80" i="68" l="1"/>
  <c r="U30" i="45"/>
  <c r="U81" i="45"/>
  <c r="L82" i="45" s="1"/>
  <c r="U234" i="45"/>
  <c r="L238" i="45" s="1"/>
  <c r="U132" i="45"/>
  <c r="U183" i="45"/>
  <c r="L184" i="45" s="1"/>
  <c r="U285" i="45"/>
  <c r="AE538" i="45"/>
  <c r="W32" i="45"/>
  <c r="W31" i="45" s="1"/>
  <c r="X31" i="45" s="1"/>
  <c r="W134" i="45"/>
  <c r="Y334" i="45"/>
  <c r="Y335" i="45" s="1"/>
  <c r="Y336" i="45" s="1"/>
  <c r="Y337" i="45" s="1"/>
  <c r="Y338" i="45" s="1"/>
  <c r="Y339" i="45" s="1"/>
  <c r="W185" i="45"/>
  <c r="W83" i="45"/>
  <c r="W236" i="45"/>
  <c r="W235" i="45" s="1"/>
  <c r="W287" i="45"/>
  <c r="N82" i="45"/>
  <c r="O92" i="45" s="1"/>
  <c r="W82" i="45"/>
  <c r="N238" i="45"/>
  <c r="P238" i="45" s="1"/>
  <c r="Y234" i="45"/>
  <c r="K23" i="29"/>
  <c r="N289" i="45"/>
  <c r="W286" i="45"/>
  <c r="N184" i="45"/>
  <c r="Y183" i="45"/>
  <c r="W184" i="45"/>
  <c r="AE536" i="45"/>
  <c r="J23" i="29"/>
  <c r="N136" i="45"/>
  <c r="W133" i="45"/>
  <c r="FG23" i="5"/>
  <c r="AP391" i="49"/>
  <c r="AP398" i="49" s="1"/>
  <c r="AP481" i="49" s="1"/>
  <c r="AP527" i="49" s="1"/>
  <c r="AP538" i="49" s="1"/>
  <c r="FQ33" i="5"/>
  <c r="FG33" i="5"/>
  <c r="FD33" i="5"/>
  <c r="DM41" i="62"/>
  <c r="CY45" i="62"/>
  <c r="BU31" i="62"/>
  <c r="BK31" i="62"/>
  <c r="BG46" i="62"/>
  <c r="BG49" i="62" s="1"/>
  <c r="CI20" i="62"/>
  <c r="BY20" i="62"/>
  <c r="FA21" i="62"/>
  <c r="EM47" i="62"/>
  <c r="CY62" i="5"/>
  <c r="CO62" i="5"/>
  <c r="DY56" i="5"/>
  <c r="DO56" i="5"/>
  <c r="Z36" i="62"/>
  <c r="AN36" i="62" s="1"/>
  <c r="BB36" i="62" s="1"/>
  <c r="BP36" i="62" s="1"/>
  <c r="CD36" i="62" s="1"/>
  <c r="CR36" i="62" s="1"/>
  <c r="DF36" i="62" s="1"/>
  <c r="DT36" i="62" s="1"/>
  <c r="EH36" i="62" s="1"/>
  <c r="EV36" i="62" s="1"/>
  <c r="FJ36" i="62" s="1"/>
  <c r="E80" i="68"/>
  <c r="F80" i="68" s="1"/>
  <c r="CY17" i="62"/>
  <c r="DC59" i="5"/>
  <c r="DM59" i="5"/>
  <c r="CK20" i="62"/>
  <c r="CA20" i="62"/>
  <c r="EE29" i="5"/>
  <c r="EO29" i="5"/>
  <c r="FQ55" i="5"/>
  <c r="FD55" i="5"/>
  <c r="FG55" i="5"/>
  <c r="FD43" i="62"/>
  <c r="FQ43" i="62"/>
  <c r="FR43" i="62" s="1"/>
  <c r="CW45" i="62"/>
  <c r="DK41" i="62"/>
  <c r="FD47" i="5"/>
  <c r="FQ47" i="5"/>
  <c r="FG47" i="5"/>
  <c r="FD29" i="62"/>
  <c r="FQ29" i="62"/>
  <c r="FG29" i="62"/>
  <c r="FC48" i="62"/>
  <c r="FQ18" i="62"/>
  <c r="FD18" i="62"/>
  <c r="DQ56" i="5"/>
  <c r="EA56" i="5"/>
  <c r="AD544" i="45" s="1"/>
  <c r="AP391" i="31"/>
  <c r="AP398" i="31" s="1"/>
  <c r="AP481" i="31" s="1"/>
  <c r="AP527" i="31" s="1"/>
  <c r="AP538" i="31" s="1"/>
  <c r="AP387" i="31"/>
  <c r="FD44" i="62"/>
  <c r="FQ44" i="62"/>
  <c r="FR44" i="62" s="1"/>
  <c r="FO18" i="62"/>
  <c r="FO48" i="62" s="1"/>
  <c r="FA48" i="62"/>
  <c r="AO391" i="31"/>
  <c r="AO398" i="31" s="1"/>
  <c r="AO481" i="31" s="1"/>
  <c r="AO527" i="31" s="1"/>
  <c r="AO538" i="31" s="1"/>
  <c r="AO387" i="31"/>
  <c r="EO23" i="62"/>
  <c r="EE23" i="62"/>
  <c r="EB23" i="62"/>
  <c r="ES22" i="5"/>
  <c r="FC22" i="5"/>
  <c r="CW62" i="5"/>
  <c r="CM62" i="5"/>
  <c r="EO47" i="62"/>
  <c r="FC21" i="62"/>
  <c r="EP21" i="62"/>
  <c r="FD24" i="62"/>
  <c r="FQ24" i="62"/>
  <c r="FR24" i="62" s="1"/>
  <c r="EO44" i="5"/>
  <c r="EE44" i="5"/>
  <c r="FQ30" i="5"/>
  <c r="FD30" i="5"/>
  <c r="FG30" i="5"/>
  <c r="CW17" i="62"/>
  <c r="DK59" i="5"/>
  <c r="DA59" i="5"/>
  <c r="BM31" i="62"/>
  <c r="BW31" i="62"/>
  <c r="BI46" i="62"/>
  <c r="BI49" i="62" s="1"/>
  <c r="I24" i="29"/>
  <c r="J24" i="29" s="1"/>
  <c r="H25" i="29"/>
  <c r="G24" i="29"/>
  <c r="CX57" i="5"/>
  <c r="CL57" i="5"/>
  <c r="AT46" i="62"/>
  <c r="AT49" i="62" s="1"/>
  <c r="AX31" i="62"/>
  <c r="BH31" i="62"/>
  <c r="AV31" i="62"/>
  <c r="CJ62" i="5"/>
  <c r="BZ62" i="5"/>
  <c r="BX62" i="5"/>
  <c r="DL48" i="5"/>
  <c r="CZ48" i="5"/>
  <c r="J28" i="6"/>
  <c r="K28" i="6" s="1"/>
  <c r="H29" i="6" s="1"/>
  <c r="EN22" i="5"/>
  <c r="ED22" i="5"/>
  <c r="AD537" i="45"/>
  <c r="EB22" i="5"/>
  <c r="DB56" i="5"/>
  <c r="DL56" i="5"/>
  <c r="AB543" i="45"/>
  <c r="CZ56" i="5"/>
  <c r="DP29" i="5"/>
  <c r="DZ29" i="5"/>
  <c r="AC541" i="45"/>
  <c r="AC539" i="45" s="1"/>
  <c r="DN29" i="5"/>
  <c r="CN59" i="5"/>
  <c r="CJ17" i="62"/>
  <c r="CL17" i="62" s="1"/>
  <c r="CX59" i="5"/>
  <c r="CL59" i="5"/>
  <c r="BV20" i="62"/>
  <c r="BL20" i="62"/>
  <c r="BJ20" i="62"/>
  <c r="DP44" i="5"/>
  <c r="DZ44" i="5"/>
  <c r="DN44" i="5"/>
  <c r="W7" i="12"/>
  <c r="FP12" i="5"/>
  <c r="FD12" i="5"/>
  <c r="FC35" i="62"/>
  <c r="AT35" i="62"/>
  <c r="AH35" i="62"/>
  <c r="CX41" i="62"/>
  <c r="CL41" i="62"/>
  <c r="FB15" i="5"/>
  <c r="AE533" i="45"/>
  <c r="ER55" i="5"/>
  <c r="ER30" i="5"/>
  <c r="ER29" i="62"/>
  <c r="ER23" i="62"/>
  <c r="ER33" i="5"/>
  <c r="EQ47" i="5"/>
  <c r="X338" i="45" s="1"/>
  <c r="EQ55" i="5"/>
  <c r="X339" i="45" s="1"/>
  <c r="EQ30" i="5"/>
  <c r="X336" i="45" s="1"/>
  <c r="EQ33" i="5"/>
  <c r="X337" i="45" s="1"/>
  <c r="ER47" i="5"/>
  <c r="EQ23" i="5"/>
  <c r="X335" i="45" s="1"/>
  <c r="EQ29" i="62"/>
  <c r="EP15" i="5"/>
  <c r="EQ22" i="5"/>
  <c r="EQ29" i="5"/>
  <c r="EQ44" i="5"/>
  <c r="EQ23" i="62"/>
  <c r="ER23" i="5"/>
  <c r="CJ42" i="62"/>
  <c r="BX42" i="62"/>
  <c r="AC535" i="45"/>
  <c r="X235" i="45" l="1"/>
  <c r="O240" i="45" s="1"/>
  <c r="N240" i="45"/>
  <c r="X334" i="45"/>
  <c r="V287" i="45"/>
  <c r="M293" i="45" s="1"/>
  <c r="V236" i="45"/>
  <c r="V134" i="45"/>
  <c r="V83" i="45"/>
  <c r="M86" i="45" s="1"/>
  <c r="V185" i="45"/>
  <c r="M188" i="45" s="1"/>
  <c r="V32" i="45"/>
  <c r="P184" i="45"/>
  <c r="O194" i="45"/>
  <c r="W189" i="45"/>
  <c r="Y185" i="45" s="1"/>
  <c r="N188" i="45"/>
  <c r="N196" i="45" s="1"/>
  <c r="P188" i="45" s="1"/>
  <c r="U32" i="45"/>
  <c r="U236" i="45"/>
  <c r="U287" i="45"/>
  <c r="U134" i="45"/>
  <c r="U185" i="45"/>
  <c r="U83" i="45"/>
  <c r="U334" i="45"/>
  <c r="U335" i="45" s="1"/>
  <c r="U336" i="45" s="1"/>
  <c r="U337" i="45" s="1"/>
  <c r="U338" i="45" s="1"/>
  <c r="U339" i="45" s="1"/>
  <c r="AB334" i="45"/>
  <c r="X32" i="45"/>
  <c r="X83" i="45"/>
  <c r="X287" i="45"/>
  <c r="X134" i="45"/>
  <c r="O140" i="45" s="1"/>
  <c r="X185" i="45"/>
  <c r="O188" i="45" s="1"/>
  <c r="X236" i="45"/>
  <c r="O242" i="45" s="1"/>
  <c r="X286" i="45"/>
  <c r="O291" i="45" s="1"/>
  <c r="N291" i="45"/>
  <c r="N293" i="45"/>
  <c r="L289" i="45"/>
  <c r="P289" i="45" s="1"/>
  <c r="Y285" i="45"/>
  <c r="V289" i="45"/>
  <c r="M297" i="45" s="1"/>
  <c r="V34" i="45"/>
  <c r="V238" i="45"/>
  <c r="V136" i="45"/>
  <c r="V85" i="45"/>
  <c r="M90" i="45" s="1"/>
  <c r="V187" i="45"/>
  <c r="M192" i="45" s="1"/>
  <c r="X133" i="45"/>
  <c r="O138" i="45" s="1"/>
  <c r="N138" i="45"/>
  <c r="N186" i="45"/>
  <c r="X184" i="45"/>
  <c r="O186" i="45" s="1"/>
  <c r="N242" i="45"/>
  <c r="Y134" i="45"/>
  <c r="N140" i="45"/>
  <c r="P140" i="45" s="1"/>
  <c r="U31" i="45"/>
  <c r="V31" i="45" s="1"/>
  <c r="AE542" i="45"/>
  <c r="AE540" i="45" s="1"/>
  <c r="W289" i="45"/>
  <c r="N297" i="45" s="1"/>
  <c r="W238" i="45"/>
  <c r="N246" i="45" s="1"/>
  <c r="W136" i="45"/>
  <c r="W34" i="45"/>
  <c r="W33" i="45" s="1"/>
  <c r="X33" i="45" s="1"/>
  <c r="W187" i="45"/>
  <c r="W85" i="45"/>
  <c r="W84" i="45" s="1"/>
  <c r="Y184" i="45"/>
  <c r="X82" i="45"/>
  <c r="O84" i="45" s="1"/>
  <c r="N84" i="45"/>
  <c r="N86" i="45"/>
  <c r="N94" i="45" s="1"/>
  <c r="P86" i="45" s="1"/>
  <c r="W87" i="45"/>
  <c r="Y83" i="45" s="1"/>
  <c r="L136" i="45"/>
  <c r="U133" i="45"/>
  <c r="EO56" i="5"/>
  <c r="EE56" i="5"/>
  <c r="EM56" i="5"/>
  <c r="EC56" i="5"/>
  <c r="FO21" i="62"/>
  <c r="FO47" i="62" s="1"/>
  <c r="FA47" i="62"/>
  <c r="DK17" i="62"/>
  <c r="DY59" i="5"/>
  <c r="DO59" i="5"/>
  <c r="FR30" i="5"/>
  <c r="FU30" i="5"/>
  <c r="FR47" i="5"/>
  <c r="FU47" i="5"/>
  <c r="FU55" i="5"/>
  <c r="FR55" i="5"/>
  <c r="CY20" i="62"/>
  <c r="CO20" i="62"/>
  <c r="BU46" i="62"/>
  <c r="BU49" i="62" s="1"/>
  <c r="BY31" i="62"/>
  <c r="CI31" i="62"/>
  <c r="CA31" i="62"/>
  <c r="CK31" i="62"/>
  <c r="BW46" i="62"/>
  <c r="BW49" i="62" s="1"/>
  <c r="DK62" i="5"/>
  <c r="DA62" i="5"/>
  <c r="FR29" i="62"/>
  <c r="FU29" i="62"/>
  <c r="ES29" i="5"/>
  <c r="FC29" i="5"/>
  <c r="EA59" i="5"/>
  <c r="DQ59" i="5"/>
  <c r="DM17" i="62"/>
  <c r="DC62" i="5"/>
  <c r="DM62" i="5"/>
  <c r="CW20" i="62"/>
  <c r="CM20" i="62"/>
  <c r="FR33" i="5"/>
  <c r="FU33" i="5"/>
  <c r="ES44" i="5"/>
  <c r="FC44" i="5"/>
  <c r="FC47" i="62"/>
  <c r="FD21" i="62"/>
  <c r="FQ21" i="62"/>
  <c r="FQ22" i="5"/>
  <c r="FU22" i="5" s="1"/>
  <c r="FG22" i="5"/>
  <c r="EP23" i="62"/>
  <c r="FC23" i="62"/>
  <c r="ES23" i="62"/>
  <c r="FQ48" i="62"/>
  <c r="FR18" i="62"/>
  <c r="DK45" i="62"/>
  <c r="DY41" i="62"/>
  <c r="DM45" i="62"/>
  <c r="EA41" i="62"/>
  <c r="G80" i="68"/>
  <c r="I25" i="29"/>
  <c r="L25" i="29" s="1"/>
  <c r="H26" i="29"/>
  <c r="G25" i="29"/>
  <c r="BH35" i="62"/>
  <c r="AV35" i="62"/>
  <c r="Y7" i="12"/>
  <c r="FR12" i="5"/>
  <c r="DL59" i="5"/>
  <c r="CX17" i="62"/>
  <c r="CZ17" i="62" s="1"/>
  <c r="DB59" i="5"/>
  <c r="CZ59" i="5"/>
  <c r="EN29" i="5"/>
  <c r="ED29" i="5"/>
  <c r="AD541" i="45"/>
  <c r="AD539" i="45" s="1"/>
  <c r="EB29" i="5"/>
  <c r="DZ56" i="5"/>
  <c r="DP56" i="5"/>
  <c r="AC543" i="45"/>
  <c r="DN56" i="5"/>
  <c r="J29" i="6"/>
  <c r="K29" i="6" s="1"/>
  <c r="H30" i="6" s="1"/>
  <c r="BV31" i="62"/>
  <c r="BH46" i="62"/>
  <c r="BH49" i="62" s="1"/>
  <c r="BL31" i="62"/>
  <c r="BJ31" i="62"/>
  <c r="DL57" i="5"/>
  <c r="CZ57" i="5"/>
  <c r="L24" i="29"/>
  <c r="DL41" i="62"/>
  <c r="CZ41" i="62"/>
  <c r="FQ35" i="62"/>
  <c r="ER22" i="5"/>
  <c r="FB22" i="5"/>
  <c r="AE537" i="45"/>
  <c r="AE535" i="45" s="1"/>
  <c r="EP22" i="5"/>
  <c r="CX42" i="62"/>
  <c r="CX45" i="62" s="1"/>
  <c r="CL42" i="62"/>
  <c r="FP15" i="5"/>
  <c r="AF533" i="45"/>
  <c r="FF55" i="5"/>
  <c r="FF30" i="5"/>
  <c r="FF23" i="62"/>
  <c r="FF29" i="62"/>
  <c r="FE30" i="5"/>
  <c r="FE33" i="5"/>
  <c r="FF47" i="5"/>
  <c r="FD15" i="5"/>
  <c r="FE23" i="5"/>
  <c r="FE47" i="5"/>
  <c r="FE55" i="5"/>
  <c r="FF33" i="5"/>
  <c r="FE29" i="62"/>
  <c r="FE22" i="5"/>
  <c r="FE44" i="5"/>
  <c r="FE29" i="5"/>
  <c r="FF23" i="5"/>
  <c r="FE23" i="62"/>
  <c r="EN44" i="5"/>
  <c r="ED44" i="5"/>
  <c r="EB44" i="5"/>
  <c r="BZ20" i="62"/>
  <c r="CJ20" i="62"/>
  <c r="BX20" i="62"/>
  <c r="CJ45" i="62"/>
  <c r="AD535" i="45"/>
  <c r="DZ48" i="5"/>
  <c r="DN48" i="5"/>
  <c r="CN62" i="5"/>
  <c r="CX62" i="5"/>
  <c r="CL62" i="5"/>
  <c r="K24" i="29"/>
  <c r="AE544" i="45" l="1"/>
  <c r="Y340" i="45"/>
  <c r="P186" i="45"/>
  <c r="Z184" i="45"/>
  <c r="Q186" i="45" s="1"/>
  <c r="N144" i="45"/>
  <c r="P144" i="45" s="1"/>
  <c r="Y136" i="45"/>
  <c r="Y135" i="45" s="1"/>
  <c r="W237" i="45"/>
  <c r="M144" i="45"/>
  <c r="Q144" i="45" s="1"/>
  <c r="Z136" i="45"/>
  <c r="U184" i="45"/>
  <c r="U189" i="45"/>
  <c r="L188" i="45"/>
  <c r="Z185" i="45"/>
  <c r="Q188" i="45" s="1"/>
  <c r="X238" i="45"/>
  <c r="O246" i="45" s="1"/>
  <c r="X136" i="45"/>
  <c r="O144" i="45" s="1"/>
  <c r="X187" i="45"/>
  <c r="O192" i="45" s="1"/>
  <c r="X289" i="45"/>
  <c r="X85" i="45"/>
  <c r="O90" i="45" s="1"/>
  <c r="X34" i="45"/>
  <c r="L138" i="45"/>
  <c r="V133" i="45"/>
  <c r="M138" i="45" s="1"/>
  <c r="W88" i="45"/>
  <c r="Y85" i="45" s="1"/>
  <c r="Y84" i="45" s="1"/>
  <c r="N90" i="45"/>
  <c r="N96" i="45" s="1"/>
  <c r="P90" i="45" s="1"/>
  <c r="W135" i="45"/>
  <c r="Z238" i="45"/>
  <c r="Y238" i="45" s="1"/>
  <c r="P246" i="45" s="1"/>
  <c r="M246" i="45"/>
  <c r="Q246" i="45" s="1"/>
  <c r="L140" i="45"/>
  <c r="U187" i="45"/>
  <c r="U186" i="45" s="1"/>
  <c r="U136" i="45"/>
  <c r="L144" i="45" s="1"/>
  <c r="U34" i="45"/>
  <c r="U33" i="45" s="1"/>
  <c r="V33" i="45" s="1"/>
  <c r="U238" i="45"/>
  <c r="L246" i="45" s="1"/>
  <c r="U85" i="45"/>
  <c r="U289" i="45"/>
  <c r="L297" i="45" s="1"/>
  <c r="W190" i="45"/>
  <c r="Y187" i="45" s="1"/>
  <c r="Z187" i="45" s="1"/>
  <c r="Q192" i="45" s="1"/>
  <c r="N192" i="45"/>
  <c r="N198" i="45" s="1"/>
  <c r="P192" i="45" s="1"/>
  <c r="W288" i="45"/>
  <c r="O293" i="45"/>
  <c r="Q293" i="45" s="1"/>
  <c r="Z287" i="45"/>
  <c r="Y287" i="45" s="1"/>
  <c r="U286" i="45"/>
  <c r="L293" i="45"/>
  <c r="U288" i="45"/>
  <c r="W186" i="45"/>
  <c r="M140" i="45"/>
  <c r="Q140" i="45" s="1"/>
  <c r="Z134" i="45"/>
  <c r="Y132" i="45" s="1"/>
  <c r="X84" i="45"/>
  <c r="O88" i="45" s="1"/>
  <c r="N88" i="45"/>
  <c r="Z83" i="45"/>
  <c r="Y81" i="45" s="1"/>
  <c r="O86" i="45"/>
  <c r="Q86" i="45" s="1"/>
  <c r="U82" i="45"/>
  <c r="U87" i="45"/>
  <c r="L86" i="45"/>
  <c r="U235" i="45"/>
  <c r="L242" i="45"/>
  <c r="U237" i="45"/>
  <c r="M242" i="45"/>
  <c r="Q242" i="45" s="1"/>
  <c r="Z236" i="45"/>
  <c r="Y236" i="45" s="1"/>
  <c r="K25" i="29"/>
  <c r="J25" i="29"/>
  <c r="EO41" i="62"/>
  <c r="EA45" i="62"/>
  <c r="EM41" i="62"/>
  <c r="DY45" i="62"/>
  <c r="FG44" i="5"/>
  <c r="FQ44" i="5"/>
  <c r="FU44" i="5" s="1"/>
  <c r="DY62" i="5"/>
  <c r="DO62" i="5"/>
  <c r="CM31" i="62"/>
  <c r="CI46" i="62"/>
  <c r="CI49" i="62" s="1"/>
  <c r="CW31" i="62"/>
  <c r="DC20" i="62"/>
  <c r="DM20" i="62"/>
  <c r="DY17" i="62"/>
  <c r="EM59" i="5"/>
  <c r="EC59" i="5"/>
  <c r="FD23" i="62"/>
  <c r="FG23" i="62"/>
  <c r="FQ23" i="62"/>
  <c r="FQ47" i="62"/>
  <c r="FR21" i="62"/>
  <c r="DK20" i="62"/>
  <c r="DA20" i="62"/>
  <c r="FA56" i="5"/>
  <c r="EQ56" i="5"/>
  <c r="X340" i="45" s="1"/>
  <c r="EA62" i="5"/>
  <c r="DQ62" i="5"/>
  <c r="EO59" i="5"/>
  <c r="EA17" i="62"/>
  <c r="EE59" i="5"/>
  <c r="CY31" i="62"/>
  <c r="CO31" i="62"/>
  <c r="CK46" i="62"/>
  <c r="CK49" i="62" s="1"/>
  <c r="FQ29" i="5"/>
  <c r="FU29" i="5" s="1"/>
  <c r="FG29" i="5"/>
  <c r="ES56" i="5"/>
  <c r="AB340" i="45" s="1"/>
  <c r="FC56" i="5"/>
  <c r="J30" i="6"/>
  <c r="K30" i="6" s="1"/>
  <c r="H31" i="6" s="1"/>
  <c r="BV35" i="62"/>
  <c r="BJ35" i="62"/>
  <c r="DL62" i="5"/>
  <c r="DB62" i="5"/>
  <c r="CZ62" i="5"/>
  <c r="DL42" i="62"/>
  <c r="CZ42" i="62"/>
  <c r="CX20" i="62"/>
  <c r="CN20" i="62"/>
  <c r="CL20" i="62"/>
  <c r="ER44" i="5"/>
  <c r="FB44" i="5"/>
  <c r="EP44" i="5"/>
  <c r="AG533" i="45"/>
  <c r="FT55" i="5"/>
  <c r="FT30" i="5"/>
  <c r="FT29" i="62"/>
  <c r="FT23" i="62"/>
  <c r="FT33" i="5"/>
  <c r="FS23" i="5"/>
  <c r="FR15" i="5"/>
  <c r="FS30" i="5"/>
  <c r="FS29" i="62"/>
  <c r="FT47" i="5"/>
  <c r="FS33" i="5"/>
  <c r="FS55" i="5"/>
  <c r="FS47" i="5"/>
  <c r="FS22" i="5"/>
  <c r="FS29" i="5"/>
  <c r="FS44" i="5"/>
  <c r="FT23" i="5"/>
  <c r="FS23" i="62"/>
  <c r="ED56" i="5"/>
  <c r="EN56" i="5"/>
  <c r="U340" i="45" s="1"/>
  <c r="AD543" i="45"/>
  <c r="EB56" i="5"/>
  <c r="ER29" i="5"/>
  <c r="FB29" i="5"/>
  <c r="AE541" i="45"/>
  <c r="AE539" i="45" s="1"/>
  <c r="EP29" i="5"/>
  <c r="DP59" i="5"/>
  <c r="DL17" i="62"/>
  <c r="DN17" i="62" s="1"/>
  <c r="DZ59" i="5"/>
  <c r="DN59" i="5"/>
  <c r="EN48" i="5"/>
  <c r="EB48" i="5"/>
  <c r="FP22" i="5"/>
  <c r="FF22" i="5"/>
  <c r="AF537" i="45"/>
  <c r="FD22" i="5"/>
  <c r="K26" i="29"/>
  <c r="G26" i="29"/>
  <c r="H27" i="29"/>
  <c r="I26" i="29"/>
  <c r="J26" i="29" s="1"/>
  <c r="L26" i="29"/>
  <c r="DL45" i="62"/>
  <c r="DZ41" i="62"/>
  <c r="DN41" i="62"/>
  <c r="DZ57" i="5"/>
  <c r="DN57" i="5"/>
  <c r="BV46" i="62"/>
  <c r="BV49" i="62" s="1"/>
  <c r="BZ31" i="62"/>
  <c r="CJ31" i="62"/>
  <c r="BX31" i="62"/>
  <c r="P293" i="45" l="1"/>
  <c r="Y288" i="45"/>
  <c r="Y286" i="45"/>
  <c r="P88" i="45"/>
  <c r="Z84" i="45"/>
  <c r="Q88" i="45" s="1"/>
  <c r="P82" i="45"/>
  <c r="Y82" i="45"/>
  <c r="X288" i="45"/>
  <c r="O295" i="45" s="1"/>
  <c r="N295" i="45"/>
  <c r="U84" i="45"/>
  <c r="U88" i="45"/>
  <c r="L90" i="45"/>
  <c r="U190" i="45"/>
  <c r="L192" i="45"/>
  <c r="O297" i="45"/>
  <c r="Q297" i="45" s="1"/>
  <c r="Z289" i="45"/>
  <c r="Y289" i="45" s="1"/>
  <c r="P297" i="45" s="1"/>
  <c r="Y186" i="45"/>
  <c r="P142" i="45"/>
  <c r="Z135" i="45"/>
  <c r="L244" i="45"/>
  <c r="V237" i="45"/>
  <c r="M244" i="45" s="1"/>
  <c r="P136" i="45"/>
  <c r="Y133" i="45"/>
  <c r="V286" i="45"/>
  <c r="M291" i="45" s="1"/>
  <c r="L291" i="45"/>
  <c r="U135" i="45"/>
  <c r="X135" i="45"/>
  <c r="O142" i="45" s="1"/>
  <c r="N142" i="45"/>
  <c r="V184" i="45"/>
  <c r="M186" i="45" s="1"/>
  <c r="L186" i="45"/>
  <c r="V82" i="45"/>
  <c r="M84" i="45" s="1"/>
  <c r="L84" i="45"/>
  <c r="N190" i="45"/>
  <c r="X186" i="45"/>
  <c r="O190" i="45" s="1"/>
  <c r="V186" i="45"/>
  <c r="M190" i="45" s="1"/>
  <c r="L190" i="45"/>
  <c r="P242" i="45"/>
  <c r="Y237" i="45"/>
  <c r="Y235" i="45"/>
  <c r="V235" i="45"/>
  <c r="M240" i="45" s="1"/>
  <c r="L240" i="45"/>
  <c r="L295" i="45"/>
  <c r="V288" i="45"/>
  <c r="M295" i="45" s="1"/>
  <c r="Z85" i="45"/>
  <c r="Q90" i="45" s="1"/>
  <c r="N244" i="45"/>
  <c r="X237" i="45"/>
  <c r="O244" i="45" s="1"/>
  <c r="EO17" i="62"/>
  <c r="FC59" i="5"/>
  <c r="ES59" i="5"/>
  <c r="FO56" i="5"/>
  <c r="FS56" i="5" s="1"/>
  <c r="FE56" i="5"/>
  <c r="EE62" i="5"/>
  <c r="EO62" i="5"/>
  <c r="DM31" i="62"/>
  <c r="DC31" i="62"/>
  <c r="CY46" i="62"/>
  <c r="CY49" i="62" s="1"/>
  <c r="FR23" i="62"/>
  <c r="FU23" i="62"/>
  <c r="EM17" i="62"/>
  <c r="FA59" i="5"/>
  <c r="EQ59" i="5"/>
  <c r="DA31" i="62"/>
  <c r="CW46" i="62"/>
  <c r="CW49" i="62" s="1"/>
  <c r="DK31" i="62"/>
  <c r="EM62" i="5"/>
  <c r="EC62" i="5"/>
  <c r="FA41" i="62"/>
  <c r="EM45" i="62"/>
  <c r="DY20" i="62"/>
  <c r="DO20" i="62"/>
  <c r="FG56" i="5"/>
  <c r="FQ56" i="5"/>
  <c r="FU56" i="5" s="1"/>
  <c r="EA20" i="62"/>
  <c r="DQ20" i="62"/>
  <c r="FC41" i="62"/>
  <c r="EO45" i="62"/>
  <c r="FB48" i="5"/>
  <c r="EP48" i="5"/>
  <c r="CX31" i="62"/>
  <c r="CJ46" i="62"/>
  <c r="CJ49" i="62" s="1"/>
  <c r="CN31" i="62"/>
  <c r="CL31" i="62"/>
  <c r="EN57" i="5"/>
  <c r="EB57" i="5"/>
  <c r="CJ35" i="62"/>
  <c r="BX35" i="62"/>
  <c r="FP44" i="5"/>
  <c r="FF44" i="5"/>
  <c r="FD44" i="5"/>
  <c r="DB20" i="62"/>
  <c r="DL20" i="62"/>
  <c r="CZ20" i="62"/>
  <c r="AF535" i="45"/>
  <c r="EN41" i="62"/>
  <c r="EB41" i="62"/>
  <c r="FP29" i="5"/>
  <c r="FF29" i="5"/>
  <c r="AF541" i="45"/>
  <c r="AF539" i="45" s="1"/>
  <c r="FD29" i="5"/>
  <c r="FB56" i="5"/>
  <c r="ER56" i="5"/>
  <c r="AE543" i="45"/>
  <c r="EP56" i="5"/>
  <c r="DP62" i="5"/>
  <c r="DZ62" i="5"/>
  <c r="DN62" i="5"/>
  <c r="J31" i="6"/>
  <c r="K31" i="6" s="1"/>
  <c r="H32" i="6" s="1"/>
  <c r="FT22" i="5"/>
  <c r="AG537" i="45"/>
  <c r="FR22" i="5"/>
  <c r="EN59" i="5"/>
  <c r="DZ17" i="62"/>
  <c r="EB17" i="62" s="1"/>
  <c r="ED59" i="5"/>
  <c r="EB59" i="5"/>
  <c r="I27" i="29"/>
  <c r="K27" i="29" s="1"/>
  <c r="G27" i="29"/>
  <c r="H28" i="29"/>
  <c r="DZ42" i="62"/>
  <c r="DZ45" i="62" s="1"/>
  <c r="DN42" i="62"/>
  <c r="P244" i="45" l="1"/>
  <c r="Q244" i="45" s="1"/>
  <c r="Z237" i="45"/>
  <c r="Q142" i="45"/>
  <c r="V84" i="45"/>
  <c r="M88" i="45" s="1"/>
  <c r="L88" i="45"/>
  <c r="P240" i="45"/>
  <c r="Q240" i="45" s="1"/>
  <c r="Z235" i="45"/>
  <c r="P138" i="45"/>
  <c r="Q138" i="45" s="1"/>
  <c r="Z133" i="45"/>
  <c r="P84" i="45"/>
  <c r="Z82" i="45"/>
  <c r="Q84" i="45" s="1"/>
  <c r="Z286" i="45"/>
  <c r="P291" i="45"/>
  <c r="Q291" i="45" s="1"/>
  <c r="L142" i="45"/>
  <c r="V135" i="45"/>
  <c r="M142" i="45" s="1"/>
  <c r="Z288" i="45"/>
  <c r="P295" i="45"/>
  <c r="Q295" i="45" s="1"/>
  <c r="Y434" i="45"/>
  <c r="Y435" i="45" s="1"/>
  <c r="Y436" i="45" s="1"/>
  <c r="Y437" i="45" s="1"/>
  <c r="Y438" i="45" s="1"/>
  <c r="Y439" i="45" s="1"/>
  <c r="Y440" i="45" s="1"/>
  <c r="Y441" i="45" s="1"/>
  <c r="V484" i="45"/>
  <c r="U484" i="45" s="1"/>
  <c r="U485" i="45" s="1"/>
  <c r="U486" i="45" s="1"/>
  <c r="U487" i="45" s="1"/>
  <c r="U488" i="45" s="1"/>
  <c r="U489" i="45" s="1"/>
  <c r="U490" i="45" s="1"/>
  <c r="U491" i="45" s="1"/>
  <c r="U492" i="45" s="1"/>
  <c r="U493" i="45" s="1"/>
  <c r="U494" i="45" s="1"/>
  <c r="W484" i="45"/>
  <c r="P190" i="45"/>
  <c r="Z186" i="45"/>
  <c r="Q190" i="45" s="1"/>
  <c r="FQ59" i="5"/>
  <c r="FG59" i="5"/>
  <c r="FC17" i="62"/>
  <c r="DQ31" i="62"/>
  <c r="DM46" i="62"/>
  <c r="DM49" i="62" s="1"/>
  <c r="EA31" i="62"/>
  <c r="DK46" i="62"/>
  <c r="DK49" i="62" s="1"/>
  <c r="DY31" i="62"/>
  <c r="DO31" i="62"/>
  <c r="EO20" i="62"/>
  <c r="EE20" i="62"/>
  <c r="EM20" i="62"/>
  <c r="EC20" i="62"/>
  <c r="FA62" i="5"/>
  <c r="EQ62" i="5"/>
  <c r="X434" i="45" s="1"/>
  <c r="ES62" i="5"/>
  <c r="AB434" i="45" s="1"/>
  <c r="FC62" i="5"/>
  <c r="FO59" i="5"/>
  <c r="FA17" i="62"/>
  <c r="FE59" i="5"/>
  <c r="FC45" i="62"/>
  <c r="FQ41" i="62"/>
  <c r="FQ45" i="62" s="1"/>
  <c r="FA45" i="62"/>
  <c r="FO41" i="62"/>
  <c r="FO45" i="62" s="1"/>
  <c r="J32" i="6"/>
  <c r="K32" i="6" s="1"/>
  <c r="H33" i="6" s="1"/>
  <c r="FB41" i="62"/>
  <c r="EP41" i="62"/>
  <c r="DZ20" i="62"/>
  <c r="DP20" i="62"/>
  <c r="DN20" i="62"/>
  <c r="FT44" i="5"/>
  <c r="FR44" i="5"/>
  <c r="FB57" i="5"/>
  <c r="EP57" i="5"/>
  <c r="CX46" i="62"/>
  <c r="CX49" i="62" s="1"/>
  <c r="DB31" i="62"/>
  <c r="DL31" i="62"/>
  <c r="CZ31" i="62"/>
  <c r="EN62" i="5"/>
  <c r="U434" i="45" s="1"/>
  <c r="U435" i="45" s="1"/>
  <c r="U436" i="45" s="1"/>
  <c r="U437" i="45" s="1"/>
  <c r="U438" i="45" s="1"/>
  <c r="U439" i="45" s="1"/>
  <c r="U440" i="45" s="1"/>
  <c r="U441" i="45" s="1"/>
  <c r="ED62" i="5"/>
  <c r="EB62" i="5"/>
  <c r="L27" i="29"/>
  <c r="J27" i="29"/>
  <c r="ER59" i="5"/>
  <c r="EN17" i="62"/>
  <c r="EP17" i="62" s="1"/>
  <c r="FB59" i="5"/>
  <c r="EP59" i="5"/>
  <c r="FF56" i="5"/>
  <c r="FP56" i="5"/>
  <c r="AF543" i="45"/>
  <c r="FD56" i="5"/>
  <c r="FT29" i="5"/>
  <c r="AG541" i="45"/>
  <c r="AG539" i="45" s="1"/>
  <c r="FR29" i="5"/>
  <c r="CX35" i="62"/>
  <c r="CL35" i="62"/>
  <c r="FP48" i="5"/>
  <c r="FR48" i="5" s="1"/>
  <c r="FD48" i="5"/>
  <c r="AG535" i="45"/>
  <c r="G28" i="29"/>
  <c r="H29" i="29"/>
  <c r="I28" i="29"/>
  <c r="L28" i="29" s="1"/>
  <c r="EN42" i="62"/>
  <c r="EN45" i="62" s="1"/>
  <c r="EB42" i="62"/>
  <c r="J28" i="29" l="1"/>
  <c r="K28" i="29"/>
  <c r="FA20" i="62"/>
  <c r="EQ20" i="62"/>
  <c r="EM31" i="62"/>
  <c r="DY46" i="62"/>
  <c r="DY49" i="62" s="1"/>
  <c r="EC31" i="62"/>
  <c r="FO17" i="62"/>
  <c r="FS59" i="5"/>
  <c r="FO62" i="5"/>
  <c r="FS62" i="5" s="1"/>
  <c r="FE62" i="5"/>
  <c r="FC20" i="62"/>
  <c r="ES20" i="62"/>
  <c r="EA46" i="62"/>
  <c r="EA49" i="62" s="1"/>
  <c r="EE31" i="62"/>
  <c r="EO31" i="62"/>
  <c r="FQ62" i="5"/>
  <c r="FU62" i="5" s="1"/>
  <c r="FG62" i="5"/>
  <c r="FQ17" i="62"/>
  <c r="FU59" i="5"/>
  <c r="J33" i="6"/>
  <c r="K33" i="6" s="1"/>
  <c r="H34" i="6"/>
  <c r="FT56" i="5"/>
  <c r="AG543" i="45"/>
  <c r="FR56" i="5"/>
  <c r="FP41" i="62"/>
  <c r="FD41" i="62"/>
  <c r="DZ31" i="62"/>
  <c r="DL46" i="62"/>
  <c r="DL49" i="62" s="1"/>
  <c r="DP31" i="62"/>
  <c r="DN31" i="62"/>
  <c r="FP57" i="5"/>
  <c r="FR57" i="5" s="1"/>
  <c r="FD57" i="5"/>
  <c r="FB42" i="62"/>
  <c r="EP42" i="62"/>
  <c r="I29" i="29"/>
  <c r="L29" i="29" s="1"/>
  <c r="H30" i="29"/>
  <c r="G29" i="29"/>
  <c r="DL35" i="62"/>
  <c r="CZ35" i="62"/>
  <c r="ER62" i="5"/>
  <c r="FB62" i="5"/>
  <c r="EP62" i="5"/>
  <c r="ED20" i="62"/>
  <c r="EN20" i="62"/>
  <c r="EB20" i="62"/>
  <c r="FP59" i="5"/>
  <c r="FB17" i="62"/>
  <c r="FD17" i="62" s="1"/>
  <c r="FF59" i="5"/>
  <c r="FD59" i="5"/>
  <c r="K29" i="29" l="1"/>
  <c r="FA31" i="62"/>
  <c r="EM46" i="62"/>
  <c r="EM49" i="62" s="1"/>
  <c r="EQ31" i="62"/>
  <c r="EO46" i="62"/>
  <c r="EO49" i="62" s="1"/>
  <c r="FC31" i="62"/>
  <c r="ES31" i="62"/>
  <c r="FG20" i="62"/>
  <c r="FQ20" i="62"/>
  <c r="FU20" i="62" s="1"/>
  <c r="FO20" i="62"/>
  <c r="FS20" i="62" s="1"/>
  <c r="FE20" i="62"/>
  <c r="DZ35" i="62"/>
  <c r="DN35" i="62"/>
  <c r="G30" i="29"/>
  <c r="H31" i="29"/>
  <c r="I30" i="29"/>
  <c r="L30" i="29" s="1"/>
  <c r="FP42" i="62"/>
  <c r="FR42" i="62" s="1"/>
  <c r="FD42" i="62"/>
  <c r="FR41" i="62"/>
  <c r="FB45" i="62"/>
  <c r="J34" i="6"/>
  <c r="K34" i="6" s="1"/>
  <c r="H35" i="6" s="1"/>
  <c r="FT59" i="5"/>
  <c r="FP17" i="62"/>
  <c r="FR17" i="62" s="1"/>
  <c r="FR59" i="5"/>
  <c r="FP62" i="5"/>
  <c r="FF62" i="5"/>
  <c r="FD62" i="5"/>
  <c r="J29" i="29"/>
  <c r="FB20" i="62"/>
  <c r="ER20" i="62"/>
  <c r="EP20" i="62"/>
  <c r="DZ46" i="62"/>
  <c r="DZ49" i="62" s="1"/>
  <c r="ED31" i="62"/>
  <c r="EN31" i="62"/>
  <c r="EB31" i="62"/>
  <c r="K30" i="29" l="1"/>
  <c r="FQ31" i="62"/>
  <c r="FC46" i="62"/>
  <c r="FC49" i="62" s="1"/>
  <c r="FG31" i="62"/>
  <c r="FO31" i="62"/>
  <c r="FA46" i="62"/>
  <c r="FA49" i="62" s="1"/>
  <c r="FE31" i="62"/>
  <c r="FP45" i="62"/>
  <c r="FB31" i="62"/>
  <c r="EN46" i="62"/>
  <c r="EN49" i="62" s="1"/>
  <c r="ER31" i="62"/>
  <c r="EP31" i="62"/>
  <c r="J30" i="29"/>
  <c r="FT62" i="5"/>
  <c r="FR62" i="5"/>
  <c r="J35" i="6"/>
  <c r="K35" i="6" s="1"/>
  <c r="H36" i="6"/>
  <c r="FF20" i="62"/>
  <c r="FP20" i="62"/>
  <c r="FD20" i="62"/>
  <c r="H32" i="29"/>
  <c r="G31" i="29"/>
  <c r="I31" i="29"/>
  <c r="L31" i="29" s="1"/>
  <c r="EN35" i="62"/>
  <c r="EB35" i="62"/>
  <c r="FO46" i="62" l="1"/>
  <c r="FO49" i="62" s="1"/>
  <c r="FS31" i="62"/>
  <c r="FU31" i="62"/>
  <c r="FQ46" i="62"/>
  <c r="FQ49" i="62" s="1"/>
  <c r="J36" i="6"/>
  <c r="K36" i="6" s="1"/>
  <c r="H37" i="6" s="1"/>
  <c r="K31" i="29"/>
  <c r="FB35" i="62"/>
  <c r="EP35" i="62"/>
  <c r="H33" i="29"/>
  <c r="I32" i="29"/>
  <c r="J32" i="29" s="1"/>
  <c r="G32" i="29"/>
  <c r="FT20" i="62"/>
  <c r="FR20" i="62"/>
  <c r="J31" i="29"/>
  <c r="FB46" i="62"/>
  <c r="FB49" i="62" s="1"/>
  <c r="FF31" i="62"/>
  <c r="FP31" i="62"/>
  <c r="FD31" i="62"/>
  <c r="K32" i="29" l="1"/>
  <c r="J37" i="6"/>
  <c r="K37" i="6" s="1"/>
  <c r="H38" i="6" s="1"/>
  <c r="L32" i="29"/>
  <c r="FP46" i="62"/>
  <c r="FP49" i="62" s="1"/>
  <c r="FT31" i="62"/>
  <c r="FR31" i="62"/>
  <c r="H34" i="29"/>
  <c r="G33" i="29"/>
  <c r="I33" i="29"/>
  <c r="J33" i="29" s="1"/>
  <c r="FP35" i="62"/>
  <c r="FD35" i="62"/>
  <c r="L33" i="29" l="1"/>
  <c r="H35" i="29"/>
  <c r="G34" i="29"/>
  <c r="I34" i="29"/>
  <c r="L34" i="29" s="1"/>
  <c r="K33" i="29"/>
  <c r="J38" i="6"/>
  <c r="K38" i="6" s="1"/>
  <c r="H39" i="6" s="1"/>
  <c r="J39" i="6" l="1"/>
  <c r="K39" i="6" s="1"/>
  <c r="H40" i="6"/>
  <c r="J34" i="29"/>
  <c r="K34" i="29"/>
  <c r="I35" i="29"/>
  <c r="K35" i="29" s="1"/>
  <c r="G35" i="29"/>
  <c r="H36" i="29"/>
  <c r="L35" i="29" l="1"/>
  <c r="J35" i="29"/>
  <c r="H37" i="29"/>
  <c r="I36" i="29"/>
  <c r="K36" i="29" s="1"/>
  <c r="G36" i="29"/>
  <c r="J40" i="6"/>
  <c r="K40" i="6" s="1"/>
  <c r="H41" i="6" s="1"/>
  <c r="J41" i="6" l="1"/>
  <c r="K41" i="6" s="1"/>
  <c r="H42" i="6" s="1"/>
  <c r="L36" i="29"/>
  <c r="J36" i="29"/>
  <c r="I37" i="29"/>
  <c r="L37" i="29" s="1"/>
  <c r="H38" i="29"/>
  <c r="J37" i="29"/>
  <c r="G37" i="29"/>
  <c r="K37" i="29" l="1"/>
  <c r="J42" i="6"/>
  <c r="K42" i="6" s="1"/>
  <c r="H43" i="6" s="1"/>
  <c r="I38" i="29"/>
  <c r="K38" i="29" s="1"/>
  <c r="H39" i="29"/>
  <c r="J38" i="29"/>
  <c r="L38" i="29"/>
  <c r="G38" i="29"/>
  <c r="J43" i="6" l="1"/>
  <c r="K43" i="6" s="1"/>
  <c r="H44" i="6" s="1"/>
  <c r="H40" i="29"/>
  <c r="I39" i="29"/>
  <c r="J39" i="29" s="1"/>
  <c r="G39" i="29"/>
  <c r="J44" i="6" l="1"/>
  <c r="K44" i="6" s="1"/>
  <c r="H45" i="6" s="1"/>
  <c r="L39" i="29"/>
  <c r="K39" i="29"/>
  <c r="G40" i="29"/>
  <c r="H41" i="29"/>
  <c r="I40" i="29"/>
  <c r="K40" i="29" s="1"/>
  <c r="L40" i="29" l="1"/>
  <c r="J45" i="6"/>
  <c r="K45" i="6" s="1"/>
  <c r="H46" i="6" s="1"/>
  <c r="J40" i="29"/>
  <c r="I41" i="29"/>
  <c r="K41" i="29" s="1"/>
  <c r="G41" i="29"/>
  <c r="H42" i="29"/>
  <c r="L41" i="29" l="1"/>
  <c r="J41" i="29"/>
  <c r="J46" i="6"/>
  <c r="K46" i="6" s="1"/>
  <c r="H47" i="6" s="1"/>
  <c r="I42" i="29"/>
  <c r="K42" i="29" s="1"/>
  <c r="G42" i="29"/>
  <c r="H43" i="29"/>
  <c r="J47" i="6" l="1"/>
  <c r="K47" i="6" s="1"/>
  <c r="H48" i="6" s="1"/>
  <c r="J42" i="29"/>
  <c r="G43" i="29"/>
  <c r="H44" i="29"/>
  <c r="I43" i="29"/>
  <c r="K43" i="29" s="1"/>
  <c r="L42" i="29"/>
  <c r="J48" i="6" l="1"/>
  <c r="K48" i="6" s="1"/>
  <c r="H49" i="6" s="1"/>
  <c r="L43" i="29"/>
  <c r="H45" i="29"/>
  <c r="I44" i="29"/>
  <c r="J44" i="29" s="1"/>
  <c r="G44" i="29"/>
  <c r="J43" i="29"/>
  <c r="K44" i="29" l="1"/>
  <c r="J49" i="6"/>
  <c r="K49" i="6" s="1"/>
  <c r="H50" i="6" s="1"/>
  <c r="L44" i="29"/>
  <c r="G45" i="29"/>
  <c r="I45" i="29"/>
  <c r="K45" i="29" s="1"/>
  <c r="H46" i="29"/>
  <c r="H47" i="29" l="1"/>
  <c r="I46" i="29"/>
  <c r="K46" i="29" s="1"/>
  <c r="G46" i="29"/>
  <c r="L45" i="29"/>
  <c r="J45" i="29"/>
  <c r="J50" i="6"/>
  <c r="K50" i="6" s="1"/>
  <c r="H51" i="6" s="1"/>
  <c r="L46" i="29" l="1"/>
  <c r="J51" i="6"/>
  <c r="K51" i="6" s="1"/>
  <c r="H52" i="6" s="1"/>
  <c r="J46" i="29"/>
  <c r="H48" i="29"/>
  <c r="G47" i="29"/>
  <c r="I47" i="29"/>
  <c r="L47" i="29" s="1"/>
  <c r="J52" i="6" l="1"/>
  <c r="K52" i="6" s="1"/>
  <c r="H53" i="6" s="1"/>
  <c r="K47" i="29"/>
  <c r="H49" i="29"/>
  <c r="I48" i="29"/>
  <c r="J48" i="29" s="1"/>
  <c r="G48" i="29"/>
  <c r="J47" i="29"/>
  <c r="K48" i="29" l="1"/>
  <c r="J53" i="6"/>
  <c r="K53" i="6" s="1"/>
  <c r="H54" i="6" s="1"/>
  <c r="L48" i="29"/>
  <c r="G49" i="29"/>
  <c r="H50" i="29"/>
  <c r="I49" i="29"/>
  <c r="K49" i="29" s="1"/>
  <c r="J49" i="29" l="1"/>
  <c r="L49" i="29"/>
  <c r="J54" i="6"/>
  <c r="K54" i="6" s="1"/>
  <c r="H55" i="6" s="1"/>
  <c r="H51" i="29"/>
  <c r="I50" i="29"/>
  <c r="J50" i="29" s="1"/>
  <c r="G50" i="29"/>
  <c r="L50" i="29" l="1"/>
  <c r="K50" i="29"/>
  <c r="J55" i="6"/>
  <c r="K55" i="6" s="1"/>
  <c r="H56" i="6" s="1"/>
  <c r="G51" i="29"/>
  <c r="H52" i="29"/>
  <c r="I51" i="29"/>
  <c r="L51" i="29" s="1"/>
  <c r="J56" i="6" l="1"/>
  <c r="K56" i="6" s="1"/>
  <c r="H57" i="6" s="1"/>
  <c r="J51" i="29"/>
  <c r="K51" i="29"/>
  <c r="H53" i="29"/>
  <c r="I52" i="29"/>
  <c r="K52" i="29" s="1"/>
  <c r="G52" i="29"/>
  <c r="J57" i="6" l="1"/>
  <c r="K57" i="6" s="1"/>
  <c r="H58" i="6" s="1"/>
  <c r="L52" i="29"/>
  <c r="J52" i="29"/>
  <c r="G53" i="29"/>
  <c r="H54" i="29"/>
  <c r="I53" i="29"/>
  <c r="L53" i="29" s="1"/>
  <c r="J58" i="6" l="1"/>
  <c r="K58" i="6" s="1"/>
  <c r="H59" i="6"/>
  <c r="H55" i="29"/>
  <c r="I54" i="29"/>
  <c r="K54" i="29" s="1"/>
  <c r="G54" i="29"/>
  <c r="J53" i="29"/>
  <c r="K53" i="29"/>
  <c r="L54" i="29" l="1"/>
  <c r="J54" i="29"/>
  <c r="G55" i="29"/>
  <c r="I55" i="29"/>
  <c r="K55" i="29" s="1"/>
  <c r="H56" i="29"/>
  <c r="J59" i="6"/>
  <c r="K59" i="6" s="1"/>
  <c r="H60" i="6" s="1"/>
  <c r="H57" i="29" l="1"/>
  <c r="I56" i="29"/>
  <c r="K56" i="29" s="1"/>
  <c r="G56" i="29"/>
  <c r="J55" i="29"/>
  <c r="L55" i="29"/>
  <c r="J60" i="6"/>
  <c r="K60" i="6" s="1"/>
  <c r="H61" i="6" s="1"/>
  <c r="J61" i="6" l="1"/>
  <c r="K61" i="6" s="1"/>
  <c r="H62" i="6" s="1"/>
  <c r="L56" i="29"/>
  <c r="J56" i="29"/>
  <c r="H58" i="29"/>
  <c r="G57" i="29"/>
  <c r="I57" i="29"/>
  <c r="L57" i="29" s="1"/>
  <c r="J62" i="6" l="1"/>
  <c r="K62" i="6" s="1"/>
  <c r="H63" i="6"/>
  <c r="H59" i="29"/>
  <c r="I58" i="29"/>
  <c r="L58" i="29" s="1"/>
  <c r="G58" i="29"/>
  <c r="K57" i="29"/>
  <c r="J57" i="29"/>
  <c r="K58" i="29" l="1"/>
  <c r="J58" i="29"/>
  <c r="H60" i="29"/>
  <c r="G59" i="29"/>
  <c r="I59" i="29"/>
  <c r="L59" i="29" s="1"/>
  <c r="J63" i="6"/>
  <c r="K63" i="6" s="1"/>
  <c r="H64" i="6" s="1"/>
  <c r="J59" i="29" l="1"/>
  <c r="J64" i="6"/>
  <c r="K64" i="6" s="1"/>
  <c r="H65" i="6" s="1"/>
  <c r="K59" i="29"/>
  <c r="H61" i="29"/>
  <c r="I60" i="29"/>
  <c r="K60" i="29" s="1"/>
  <c r="G60" i="29"/>
  <c r="J65" i="6" l="1"/>
  <c r="K65" i="6" s="1"/>
  <c r="H66" i="6" s="1"/>
  <c r="L60" i="29"/>
  <c r="J60" i="29"/>
  <c r="G61" i="29"/>
  <c r="I61" i="29"/>
  <c r="K61" i="29" s="1"/>
  <c r="H62" i="29"/>
  <c r="J66" i="6" l="1"/>
  <c r="K66" i="6" s="1"/>
  <c r="H67" i="6" s="1"/>
  <c r="J61" i="29"/>
  <c r="H63" i="29"/>
  <c r="I62" i="29"/>
  <c r="L62" i="29" s="1"/>
  <c r="K62" i="29"/>
  <c r="G62" i="29"/>
  <c r="L61" i="29"/>
  <c r="J62" i="29" l="1"/>
  <c r="G63" i="29"/>
  <c r="H64" i="29"/>
  <c r="I63" i="29"/>
  <c r="J63" i="29" s="1"/>
  <c r="J67" i="6"/>
  <c r="K67" i="6" s="1"/>
  <c r="H68" i="6" s="1"/>
  <c r="K63" i="29" l="1"/>
  <c r="L63" i="29"/>
  <c r="J68" i="6"/>
  <c r="K68" i="6" s="1"/>
  <c r="H69" i="6" s="1"/>
  <c r="I64" i="29"/>
  <c r="L64" i="29" s="1"/>
  <c r="G64" i="29"/>
  <c r="H65" i="29"/>
  <c r="J64" i="29" l="1"/>
  <c r="J69" i="6"/>
  <c r="K69" i="6" s="1"/>
  <c r="H70" i="6" s="1"/>
  <c r="H66" i="29"/>
  <c r="G65" i="29"/>
  <c r="I65" i="29"/>
  <c r="L65" i="29" s="1"/>
  <c r="K64" i="29"/>
  <c r="J65" i="29" l="1"/>
  <c r="K65" i="29"/>
  <c r="J70" i="6"/>
  <c r="K70" i="6" s="1"/>
  <c r="H71" i="6" s="1"/>
  <c r="I66" i="29"/>
  <c r="L66" i="29" s="1"/>
  <c r="G66" i="29"/>
  <c r="H67" i="29"/>
  <c r="J71" i="6" l="1"/>
  <c r="K71" i="6" s="1"/>
  <c r="H72" i="6"/>
  <c r="G67" i="29"/>
  <c r="I67" i="29"/>
  <c r="J67" i="29" s="1"/>
  <c r="H68" i="29"/>
  <c r="J66" i="29"/>
  <c r="K66" i="29"/>
  <c r="I68" i="29" l="1"/>
  <c r="L68" i="29" s="1"/>
  <c r="G68" i="29"/>
  <c r="H69" i="29"/>
  <c r="K67" i="29"/>
  <c r="L67" i="29"/>
  <c r="J72" i="6"/>
  <c r="K72" i="6" s="1"/>
  <c r="H73" i="6" s="1"/>
  <c r="K68" i="29" l="1"/>
  <c r="J73" i="6"/>
  <c r="K73" i="6" s="1"/>
  <c r="H74" i="6" s="1"/>
  <c r="J68" i="29"/>
  <c r="G69" i="29"/>
  <c r="H70" i="29"/>
  <c r="I69" i="29"/>
  <c r="K69" i="29" s="1"/>
  <c r="J74" i="6" l="1"/>
  <c r="K74" i="6" s="1"/>
  <c r="H75" i="6" s="1"/>
  <c r="J69" i="29"/>
  <c r="L69" i="29"/>
  <c r="H71" i="29"/>
  <c r="I70" i="29"/>
  <c r="J70" i="29" s="1"/>
  <c r="K70" i="29"/>
  <c r="G70" i="29"/>
  <c r="L70" i="29" l="1"/>
  <c r="J75" i="6"/>
  <c r="K75" i="6" s="1"/>
  <c r="H76" i="6" s="1"/>
  <c r="G71" i="29"/>
  <c r="H72" i="29"/>
  <c r="I71" i="29"/>
  <c r="K71" i="29" s="1"/>
  <c r="J71" i="29" l="1"/>
  <c r="J76" i="6"/>
  <c r="K76" i="6" s="1"/>
  <c r="H77" i="6" s="1"/>
  <c r="H73" i="29"/>
  <c r="I72" i="29"/>
  <c r="J72" i="29" s="1"/>
  <c r="G72" i="29"/>
  <c r="L71" i="29"/>
  <c r="K72" i="29" l="1"/>
  <c r="J77" i="6"/>
  <c r="K77" i="6" s="1"/>
  <c r="H78" i="6" s="1"/>
  <c r="H74" i="29"/>
  <c r="G73" i="29"/>
  <c r="I73" i="29"/>
  <c r="K73" i="29" s="1"/>
  <c r="L72" i="29"/>
  <c r="L73" i="29" l="1"/>
  <c r="J73" i="29"/>
  <c r="I74" i="29"/>
  <c r="K74" i="29" s="1"/>
  <c r="G74" i="29"/>
  <c r="H75" i="29"/>
  <c r="J78" i="6"/>
  <c r="K78" i="6" s="1"/>
  <c r="H79" i="6" s="1"/>
  <c r="J79" i="6" l="1"/>
  <c r="K79" i="6" s="1"/>
  <c r="H80" i="6" s="1"/>
  <c r="L74" i="29"/>
  <c r="H76" i="29"/>
  <c r="G75" i="29"/>
  <c r="I75" i="29"/>
  <c r="J75" i="29" s="1"/>
  <c r="J74" i="29"/>
  <c r="J80" i="6" l="1"/>
  <c r="K80" i="6" s="1"/>
  <c r="H81" i="6" s="1"/>
  <c r="L75" i="29"/>
  <c r="K75" i="29"/>
  <c r="I76" i="29"/>
  <c r="L76" i="29" s="1"/>
  <c r="K76" i="29"/>
  <c r="G76" i="29"/>
  <c r="H77" i="29"/>
  <c r="J76" i="29"/>
  <c r="J81" i="6" l="1"/>
  <c r="K81" i="6" s="1"/>
  <c r="H82" i="6" s="1"/>
  <c r="G77" i="29"/>
  <c r="I77" i="29"/>
  <c r="J77" i="29" s="1"/>
  <c r="H78" i="29"/>
  <c r="L77" i="29" l="1"/>
  <c r="H79" i="29"/>
  <c r="L78" i="29"/>
  <c r="I78" i="29"/>
  <c r="K78" i="29" s="1"/>
  <c r="G78" i="29"/>
  <c r="J78" i="29"/>
  <c r="K77" i="29"/>
  <c r="J82" i="6"/>
  <c r="K82" i="6" s="1"/>
  <c r="H83" i="6" s="1"/>
  <c r="J83" i="6" l="1"/>
  <c r="K83" i="6" s="1"/>
  <c r="H84" i="6" s="1"/>
  <c r="G79" i="29"/>
  <c r="I79" i="29"/>
  <c r="J79" i="29" s="1"/>
  <c r="H80" i="29"/>
  <c r="J84" i="6" l="1"/>
  <c r="K84" i="6" s="1"/>
  <c r="H85" i="6" s="1"/>
  <c r="L79" i="29"/>
  <c r="K79" i="29"/>
  <c r="I80" i="29"/>
  <c r="J80" i="29" s="1"/>
  <c r="G80" i="29"/>
  <c r="H81" i="29"/>
  <c r="L80" i="29" l="1"/>
  <c r="J85" i="6"/>
  <c r="K85" i="6" s="1"/>
  <c r="H86" i="6" s="1"/>
  <c r="G81" i="29"/>
  <c r="H82" i="29"/>
  <c r="I81" i="29"/>
  <c r="J81" i="29" s="1"/>
  <c r="K80" i="29"/>
  <c r="I82" i="29" l="1"/>
  <c r="J82" i="29" s="1"/>
  <c r="K82" i="29"/>
  <c r="G82" i="29"/>
  <c r="H83" i="29"/>
  <c r="L81" i="29"/>
  <c r="K81" i="29"/>
  <c r="J86" i="6"/>
  <c r="K86" i="6" s="1"/>
  <c r="H87" i="6" s="1"/>
  <c r="L82" i="29" l="1"/>
  <c r="J87" i="6"/>
  <c r="K87" i="6" s="1"/>
  <c r="H88" i="6" s="1"/>
  <c r="H84" i="29"/>
  <c r="G83" i="29"/>
  <c r="I83" i="29"/>
  <c r="K83" i="29" s="1"/>
  <c r="J83" i="29" l="1"/>
  <c r="L83" i="29"/>
  <c r="H89" i="6"/>
  <c r="J88" i="6"/>
  <c r="K88" i="6" s="1"/>
  <c r="I84" i="29"/>
  <c r="L84" i="29" s="1"/>
  <c r="G84" i="29"/>
  <c r="H85" i="29"/>
  <c r="J89" i="6" l="1"/>
  <c r="K89" i="6" s="1"/>
  <c r="H90" i="6" s="1"/>
  <c r="K84" i="29"/>
  <c r="J84" i="29"/>
  <c r="G85" i="29"/>
  <c r="H86" i="29"/>
  <c r="I85" i="29"/>
  <c r="L85" i="29" s="1"/>
  <c r="J90" i="6" l="1"/>
  <c r="K90" i="6" s="1"/>
  <c r="H91" i="6"/>
  <c r="H87" i="29"/>
  <c r="I86" i="29"/>
  <c r="K86" i="29" s="1"/>
  <c r="G86" i="29"/>
  <c r="J85" i="29"/>
  <c r="K85" i="29"/>
  <c r="J86" i="29" l="1"/>
  <c r="L86" i="29"/>
  <c r="G87" i="29"/>
  <c r="I87" i="29"/>
  <c r="K87" i="29" s="1"/>
  <c r="H88" i="29"/>
  <c r="J91" i="6"/>
  <c r="K91" i="6" s="1"/>
  <c r="H92" i="6" s="1"/>
  <c r="L87" i="29" l="1"/>
  <c r="J87" i="29"/>
  <c r="H89" i="29"/>
  <c r="I88" i="29"/>
  <c r="L88" i="29" s="1"/>
  <c r="G88" i="29"/>
  <c r="J88" i="29"/>
  <c r="J92" i="6"/>
  <c r="K92" i="6" s="1"/>
  <c r="H93" i="6" s="1"/>
  <c r="K88" i="29" l="1"/>
  <c r="J93" i="6"/>
  <c r="K93" i="6" s="1"/>
  <c r="H94" i="6" s="1"/>
  <c r="H90" i="29"/>
  <c r="G89" i="29"/>
  <c r="I89" i="29"/>
  <c r="J89" i="29" s="1"/>
  <c r="J94" i="6" l="1"/>
  <c r="K94" i="6" s="1"/>
  <c r="H95" i="6"/>
  <c r="J90" i="29"/>
  <c r="I90" i="29"/>
  <c r="K90" i="29" s="1"/>
  <c r="G90" i="29"/>
  <c r="H91" i="29"/>
  <c r="L90" i="29"/>
  <c r="L89" i="29"/>
  <c r="K89" i="29"/>
  <c r="J95" i="6" l="1"/>
  <c r="K95" i="6" s="1"/>
  <c r="H96" i="6"/>
  <c r="G91" i="29"/>
  <c r="H92" i="29"/>
  <c r="I91" i="29"/>
  <c r="J91" i="29" s="1"/>
  <c r="K91" i="29" l="1"/>
  <c r="L91" i="29"/>
  <c r="J92" i="29"/>
  <c r="I92" i="29"/>
  <c r="L92" i="29" s="1"/>
  <c r="G92" i="29"/>
  <c r="H93" i="29"/>
  <c r="J96" i="6"/>
  <c r="K96" i="6" s="1"/>
  <c r="H97" i="6" s="1"/>
  <c r="K92" i="29" l="1"/>
  <c r="J97" i="6"/>
  <c r="K97" i="6" s="1"/>
  <c r="H98" i="6"/>
  <c r="G93" i="29"/>
  <c r="H94" i="29"/>
  <c r="I93" i="29"/>
  <c r="K93" i="29" s="1"/>
  <c r="L93" i="29" l="1"/>
  <c r="J93" i="29"/>
  <c r="H95" i="29"/>
  <c r="I94" i="29"/>
  <c r="L94" i="29" s="1"/>
  <c r="G94" i="29"/>
  <c r="J98" i="6"/>
  <c r="K98" i="6" s="1"/>
  <c r="H99" i="6" s="1"/>
  <c r="K94" i="29" l="1"/>
  <c r="J99" i="6"/>
  <c r="K99" i="6" s="1"/>
  <c r="H100" i="6" s="1"/>
  <c r="J94" i="29"/>
  <c r="G95" i="29"/>
  <c r="H96" i="29"/>
  <c r="I95" i="29"/>
  <c r="L95" i="29" s="1"/>
  <c r="J95" i="29" l="1"/>
  <c r="J100" i="6"/>
  <c r="K100" i="6" s="1"/>
  <c r="H101" i="6" s="1"/>
  <c r="K95" i="29"/>
  <c r="H97" i="29"/>
  <c r="I96" i="29"/>
  <c r="J96" i="29" s="1"/>
  <c r="G96" i="29"/>
  <c r="J101" i="6" l="1"/>
  <c r="K101" i="6" s="1"/>
  <c r="H102" i="6"/>
  <c r="K96" i="29"/>
  <c r="L96" i="29"/>
  <c r="G97" i="29"/>
  <c r="H98" i="29"/>
  <c r="I97" i="29"/>
  <c r="J97" i="29" s="1"/>
  <c r="K97" i="29" l="1"/>
  <c r="L97" i="29"/>
  <c r="I98" i="29"/>
  <c r="K98" i="29" s="1"/>
  <c r="G98" i="29"/>
  <c r="H99" i="29"/>
  <c r="J102" i="6"/>
  <c r="K102" i="6" s="1"/>
  <c r="H103" i="6" s="1"/>
  <c r="J103" i="6" l="1"/>
  <c r="K103" i="6" s="1"/>
  <c r="H104" i="6"/>
  <c r="L98" i="29"/>
  <c r="G99" i="29"/>
  <c r="I99" i="29"/>
  <c r="K99" i="29" s="1"/>
  <c r="H100" i="29"/>
  <c r="J98" i="29"/>
  <c r="I100" i="29" l="1"/>
  <c r="J100" i="29" s="1"/>
  <c r="L100" i="29"/>
  <c r="G100" i="29"/>
  <c r="H101" i="29"/>
  <c r="L99" i="29"/>
  <c r="J99" i="29"/>
  <c r="J104" i="6"/>
  <c r="K104" i="6" s="1"/>
  <c r="H105" i="6" s="1"/>
  <c r="J105" i="6" l="1"/>
  <c r="K105" i="6" s="1"/>
  <c r="H106" i="6" s="1"/>
  <c r="K100" i="29"/>
  <c r="G101" i="29"/>
  <c r="H102" i="29"/>
  <c r="I101" i="29"/>
  <c r="K101" i="29" s="1"/>
  <c r="J106" i="6" l="1"/>
  <c r="K106" i="6" s="1"/>
  <c r="H107" i="6"/>
  <c r="I102" i="29"/>
  <c r="K102" i="29" s="1"/>
  <c r="G102" i="29"/>
  <c r="H103" i="29"/>
  <c r="L101" i="29"/>
  <c r="J101" i="29"/>
  <c r="J102" i="29" l="1"/>
  <c r="L102" i="29"/>
  <c r="G103" i="29"/>
  <c r="H104" i="29"/>
  <c r="I103" i="29"/>
  <c r="J103" i="29" s="1"/>
  <c r="J107" i="6"/>
  <c r="K107" i="6" s="1"/>
  <c r="H108" i="6" s="1"/>
  <c r="K103" i="29" l="1"/>
  <c r="L103" i="29"/>
  <c r="J108" i="6"/>
  <c r="K108" i="6" s="1"/>
  <c r="H109" i="6" s="1"/>
  <c r="I104" i="29"/>
  <c r="K104" i="29" s="1"/>
  <c r="G104" i="29"/>
  <c r="H105" i="29"/>
  <c r="J109" i="6" l="1"/>
  <c r="K109" i="6" s="1"/>
  <c r="H110" i="6" s="1"/>
  <c r="J104" i="29"/>
  <c r="L104" i="29"/>
  <c r="H106" i="29"/>
  <c r="G105" i="29"/>
  <c r="I105" i="29"/>
  <c r="L105" i="29" s="1"/>
  <c r="J110" i="6" l="1"/>
  <c r="K110" i="6" s="1"/>
  <c r="H111" i="6"/>
  <c r="K105" i="29"/>
  <c r="J105" i="29"/>
  <c r="H107" i="29"/>
  <c r="I106" i="29"/>
  <c r="J106" i="29" s="1"/>
  <c r="G106" i="29"/>
  <c r="J111" i="6" l="1"/>
  <c r="K111" i="6" s="1"/>
  <c r="H112" i="6" s="1"/>
  <c r="K106" i="29"/>
  <c r="L106" i="29"/>
  <c r="G107" i="29"/>
  <c r="H108" i="29"/>
  <c r="I107" i="29"/>
  <c r="J107" i="29" s="1"/>
  <c r="J112" i="6" l="1"/>
  <c r="K112" i="6" s="1"/>
  <c r="H113" i="6" s="1"/>
  <c r="H109" i="29"/>
  <c r="I108" i="29"/>
  <c r="L108" i="29" s="1"/>
  <c r="G108" i="29"/>
  <c r="L107" i="29"/>
  <c r="K107" i="29"/>
  <c r="K108" i="29" l="1"/>
  <c r="J108" i="29"/>
  <c r="J113" i="6"/>
  <c r="K113" i="6" s="1"/>
  <c r="H114" i="6" s="1"/>
  <c r="G109" i="29"/>
  <c r="H110" i="29"/>
  <c r="I109" i="29"/>
  <c r="J109" i="29" s="1"/>
  <c r="I110" i="29" l="1"/>
  <c r="J110" i="29" s="1"/>
  <c r="L110" i="29"/>
  <c r="G110" i="29"/>
  <c r="H111" i="29"/>
  <c r="L109" i="29"/>
  <c r="K109" i="29"/>
  <c r="J114" i="6"/>
  <c r="K114" i="6" s="1"/>
  <c r="H115" i="6" s="1"/>
  <c r="G111" i="29" l="1"/>
  <c r="H112" i="29"/>
  <c r="I111" i="29"/>
  <c r="J111" i="29" s="1"/>
  <c r="K110" i="29"/>
  <c r="J115" i="6"/>
  <c r="K115" i="6" s="1"/>
  <c r="H116" i="6"/>
  <c r="J116" i="6" l="1"/>
  <c r="K116" i="6" s="1"/>
  <c r="H117" i="6" s="1"/>
  <c r="I112" i="29"/>
  <c r="L112" i="29" s="1"/>
  <c r="G112" i="29"/>
  <c r="H113" i="29"/>
  <c r="L111" i="29"/>
  <c r="K111" i="29"/>
  <c r="K112" i="29" l="1"/>
  <c r="J112" i="29"/>
  <c r="J117" i="6"/>
  <c r="K117" i="6" s="1"/>
  <c r="H118" i="6" s="1"/>
  <c r="H114" i="29"/>
  <c r="G113" i="29"/>
  <c r="I113" i="29"/>
  <c r="K113" i="29" s="1"/>
  <c r="L113" i="29" l="1"/>
  <c r="J113" i="29"/>
  <c r="H115" i="29"/>
  <c r="I114" i="29"/>
  <c r="L114" i="29" s="1"/>
  <c r="G114" i="29"/>
  <c r="J118" i="6"/>
  <c r="K118" i="6" s="1"/>
  <c r="H119" i="6" s="1"/>
  <c r="J114" i="29" l="1"/>
  <c r="K114" i="29"/>
  <c r="G115" i="29"/>
  <c r="H116" i="29"/>
  <c r="I115" i="29"/>
  <c r="K115" i="29" s="1"/>
  <c r="J119" i="6"/>
  <c r="K119" i="6" s="1"/>
  <c r="H120" i="6" s="1"/>
  <c r="J120" i="6" l="1"/>
  <c r="K120" i="6" s="1"/>
  <c r="H121" i="6" s="1"/>
  <c r="H117" i="29"/>
  <c r="I116" i="29"/>
  <c r="K116" i="29" s="1"/>
  <c r="G116" i="29"/>
  <c r="J115" i="29"/>
  <c r="L115" i="29"/>
  <c r="J121" i="6" l="1"/>
  <c r="K121" i="6" s="1"/>
  <c r="H122" i="6" s="1"/>
  <c r="J116" i="29"/>
  <c r="L116" i="29"/>
  <c r="G117" i="29"/>
  <c r="H118" i="29"/>
  <c r="I117" i="29"/>
  <c r="K117" i="29" s="1"/>
  <c r="I118" i="29" l="1"/>
  <c r="J118" i="29" s="1"/>
  <c r="G118" i="29"/>
  <c r="H119" i="29"/>
  <c r="J117" i="29"/>
  <c r="L117" i="29"/>
  <c r="J122" i="6"/>
  <c r="K122" i="6" s="1"/>
  <c r="H123" i="6" s="1"/>
  <c r="K118" i="29" l="1"/>
  <c r="J123" i="6"/>
  <c r="K123" i="6" s="1"/>
  <c r="H124" i="6" s="1"/>
  <c r="G119" i="29"/>
  <c r="H120" i="29"/>
  <c r="I119" i="29"/>
  <c r="L119" i="29" s="1"/>
  <c r="L118" i="29"/>
  <c r="J119" i="29" l="1"/>
  <c r="K119" i="29"/>
  <c r="J124" i="6"/>
  <c r="K124" i="6" s="1"/>
  <c r="H125" i="6" s="1"/>
  <c r="I120" i="29"/>
  <c r="L120" i="29" s="1"/>
  <c r="G120" i="29"/>
  <c r="H121" i="29"/>
  <c r="K120" i="29" l="1"/>
  <c r="J125" i="6"/>
  <c r="K125" i="6" s="1"/>
  <c r="H126" i="6"/>
  <c r="J120" i="29"/>
  <c r="G121" i="29"/>
  <c r="H122" i="29"/>
  <c r="I121" i="29"/>
  <c r="K121" i="29" s="1"/>
  <c r="J121" i="29" l="1"/>
  <c r="L121" i="29"/>
  <c r="H123" i="29"/>
  <c r="I122" i="29"/>
  <c r="K122" i="29" s="1"/>
  <c r="G122" i="29"/>
  <c r="J126" i="6"/>
  <c r="K126" i="6" s="1"/>
  <c r="H127" i="6" s="1"/>
  <c r="J127" i="6" l="1"/>
  <c r="K127" i="6" s="1"/>
  <c r="H128" i="6"/>
  <c r="J122" i="29"/>
  <c r="L122" i="29"/>
  <c r="G123" i="29"/>
  <c r="H124" i="29"/>
  <c r="I123" i="29"/>
  <c r="K123" i="29" s="1"/>
  <c r="J123" i="29" l="1"/>
  <c r="I124" i="29"/>
  <c r="J124" i="29" s="1"/>
  <c r="G124" i="29"/>
  <c r="H125" i="29"/>
  <c r="J128" i="6"/>
  <c r="K128" i="6" s="1"/>
  <c r="H129" i="6" s="1"/>
  <c r="L123" i="29"/>
  <c r="K124" i="29" l="1"/>
  <c r="L124" i="29"/>
  <c r="J129" i="6"/>
  <c r="K129" i="6" s="1"/>
  <c r="H130" i="6" s="1"/>
  <c r="G125" i="29"/>
  <c r="H126" i="29"/>
  <c r="I125" i="29"/>
  <c r="J125" i="29" s="1"/>
  <c r="J130" i="6" l="1"/>
  <c r="K130" i="6" s="1"/>
  <c r="H131" i="6" s="1"/>
  <c r="L125" i="29"/>
  <c r="K125" i="29"/>
  <c r="I126" i="29"/>
  <c r="J126" i="29" s="1"/>
  <c r="G126" i="29"/>
  <c r="H127" i="29"/>
  <c r="J131" i="6" l="1"/>
  <c r="K131" i="6" s="1"/>
  <c r="H132" i="6" s="1"/>
  <c r="K126" i="29"/>
  <c r="H128" i="29"/>
  <c r="G127" i="29"/>
  <c r="I127" i="29"/>
  <c r="K127" i="29" s="1"/>
  <c r="L126" i="29"/>
  <c r="I128" i="29" l="1"/>
  <c r="J128" i="29" s="1"/>
  <c r="G128" i="29"/>
  <c r="H129" i="29"/>
  <c r="J132" i="6"/>
  <c r="K132" i="6" s="1"/>
  <c r="H133" i="6" s="1"/>
  <c r="J127" i="29"/>
  <c r="L127" i="29"/>
  <c r="L128" i="29" l="1"/>
  <c r="K128" i="29"/>
  <c r="J133" i="6"/>
  <c r="K133" i="6" s="1"/>
  <c r="H134" i="6" s="1"/>
  <c r="H130" i="29"/>
  <c r="G129" i="29"/>
  <c r="I129" i="29"/>
  <c r="K129" i="29" s="1"/>
  <c r="I130" i="29" l="1"/>
  <c r="J130" i="29" s="1"/>
  <c r="K130" i="29"/>
  <c r="G130" i="29"/>
  <c r="H131" i="29"/>
  <c r="J134" i="6"/>
  <c r="K134" i="6" s="1"/>
  <c r="H135" i="6" s="1"/>
  <c r="J129" i="29"/>
  <c r="L129" i="29"/>
  <c r="J135" i="6" l="1"/>
  <c r="K135" i="6" s="1"/>
  <c r="H136" i="6" s="1"/>
  <c r="L130" i="29"/>
  <c r="G131" i="29"/>
  <c r="H132" i="29"/>
  <c r="I131" i="29"/>
  <c r="K131" i="29" s="1"/>
  <c r="J136" i="6" l="1"/>
  <c r="K136" i="6" s="1"/>
  <c r="H137" i="6" s="1"/>
  <c r="J131" i="29"/>
  <c r="L131" i="29"/>
  <c r="I132" i="29"/>
  <c r="L132" i="29" s="1"/>
  <c r="G132" i="29"/>
  <c r="H133" i="29"/>
  <c r="K132" i="29" l="1"/>
  <c r="J137" i="6"/>
  <c r="K137" i="6" s="1"/>
  <c r="H138" i="6" s="1"/>
  <c r="J132" i="29"/>
  <c r="G133" i="29"/>
  <c r="H134" i="29"/>
  <c r="I133" i="29"/>
  <c r="K133" i="29" s="1"/>
  <c r="J133" i="29" l="1"/>
  <c r="H135" i="29"/>
  <c r="I134" i="29"/>
  <c r="L134" i="29" s="1"/>
  <c r="G134" i="29"/>
  <c r="L133" i="29"/>
  <c r="J138" i="6"/>
  <c r="K138" i="6" s="1"/>
  <c r="H139" i="6" s="1"/>
  <c r="J139" i="6" l="1"/>
  <c r="K139" i="6" s="1"/>
  <c r="H140" i="6" s="1"/>
  <c r="K134" i="29"/>
  <c r="J134" i="29"/>
  <c r="G135" i="29"/>
  <c r="H136" i="29"/>
  <c r="I135" i="29"/>
  <c r="K135" i="29" s="1"/>
  <c r="H137" i="29" l="1"/>
  <c r="I136" i="29"/>
  <c r="L136" i="29" s="1"/>
  <c r="G136" i="29"/>
  <c r="J135" i="29"/>
  <c r="L135" i="29"/>
  <c r="J140" i="6"/>
  <c r="K140" i="6" s="1"/>
  <c r="H141" i="6" s="1"/>
  <c r="J141" i="6" l="1"/>
  <c r="K141" i="6" s="1"/>
  <c r="H142" i="6" s="1"/>
  <c r="K136" i="29"/>
  <c r="J136" i="29"/>
  <c r="H138" i="29"/>
  <c r="G137" i="29"/>
  <c r="I137" i="29"/>
  <c r="K137" i="29" s="1"/>
  <c r="J142" i="6" l="1"/>
  <c r="K142" i="6" s="1"/>
  <c r="H143" i="6"/>
  <c r="J137" i="29"/>
  <c r="L137" i="29"/>
  <c r="I138" i="29"/>
  <c r="J138" i="29" s="1"/>
  <c r="G138" i="29"/>
  <c r="H139" i="29"/>
  <c r="H140" i="29" l="1"/>
  <c r="G139" i="29"/>
  <c r="I139" i="29"/>
  <c r="L139" i="29" s="1"/>
  <c r="K138" i="29"/>
  <c r="J143" i="6"/>
  <c r="K143" i="6" s="1"/>
  <c r="H144" i="6" s="1"/>
  <c r="L138" i="29"/>
  <c r="K139" i="29" l="1"/>
  <c r="J144" i="6"/>
  <c r="K144" i="6" s="1"/>
  <c r="H145" i="6" s="1"/>
  <c r="I140" i="29"/>
  <c r="K140" i="29" s="1"/>
  <c r="G140" i="29"/>
  <c r="H141" i="29"/>
  <c r="J139" i="29"/>
  <c r="J145" i="6" l="1"/>
  <c r="K145" i="6" s="1"/>
  <c r="H146" i="6" s="1"/>
  <c r="J140" i="29"/>
  <c r="L140" i="29"/>
  <c r="H142" i="29"/>
  <c r="G141" i="29"/>
  <c r="I141" i="29"/>
  <c r="L141" i="29" s="1"/>
  <c r="J146" i="6" l="1"/>
  <c r="K146" i="6" s="1"/>
  <c r="H147" i="6"/>
  <c r="K141" i="29"/>
  <c r="I142" i="29"/>
  <c r="L142" i="29" s="1"/>
  <c r="G142" i="29"/>
  <c r="H143" i="29"/>
  <c r="J141" i="29"/>
  <c r="J142" i="29" l="1"/>
  <c r="K142" i="29"/>
  <c r="H144" i="29"/>
  <c r="G143" i="29"/>
  <c r="I143" i="29"/>
  <c r="L143" i="29" s="1"/>
  <c r="J147" i="6"/>
  <c r="K147" i="6" s="1"/>
  <c r="H148" i="6" s="1"/>
  <c r="J148" i="6" l="1"/>
  <c r="K148" i="6" s="1"/>
  <c r="H149" i="6" s="1"/>
  <c r="H145" i="29"/>
  <c r="I144" i="29"/>
  <c r="L144" i="29" s="1"/>
  <c r="G144" i="29"/>
  <c r="K143" i="29"/>
  <c r="J143" i="29"/>
  <c r="K144" i="29" l="1"/>
  <c r="J144" i="29"/>
  <c r="J149" i="6"/>
  <c r="K149" i="6" s="1"/>
  <c r="H150" i="6" s="1"/>
  <c r="H146" i="29"/>
  <c r="G145" i="29"/>
  <c r="I145" i="29"/>
  <c r="J145" i="29" s="1"/>
  <c r="L145" i="29" l="1"/>
  <c r="K145" i="29"/>
  <c r="J150" i="6"/>
  <c r="K150" i="6" s="1"/>
  <c r="H151" i="6" s="1"/>
  <c r="I146" i="29"/>
  <c r="J146" i="29" s="1"/>
  <c r="G146" i="29"/>
  <c r="H147" i="29"/>
  <c r="L146" i="29" l="1"/>
  <c r="J151" i="6"/>
  <c r="K151" i="6" s="1"/>
  <c r="H152" i="6" s="1"/>
  <c r="K146" i="29"/>
  <c r="H148" i="29"/>
  <c r="G147" i="29"/>
  <c r="I147" i="29"/>
  <c r="K147" i="29" s="1"/>
  <c r="J147" i="29" l="1"/>
  <c r="I148" i="29"/>
  <c r="J148" i="29" s="1"/>
  <c r="G148" i="29"/>
  <c r="H149" i="29"/>
  <c r="J152" i="6"/>
  <c r="K152" i="6" s="1"/>
  <c r="H153" i="6" s="1"/>
  <c r="L147" i="29"/>
  <c r="L148" i="29" l="1"/>
  <c r="K148" i="29"/>
  <c r="J153" i="6"/>
  <c r="K153" i="6" s="1"/>
  <c r="H154" i="6" s="1"/>
  <c r="G149" i="29"/>
  <c r="H150" i="29"/>
  <c r="I149" i="29"/>
  <c r="K149" i="29" s="1"/>
  <c r="J149" i="29" l="1"/>
  <c r="H151" i="29"/>
  <c r="I150" i="29"/>
  <c r="L150" i="29" s="1"/>
  <c r="G150" i="29"/>
  <c r="L149" i="29"/>
  <c r="J154" i="6"/>
  <c r="K154" i="6" s="1"/>
  <c r="H155" i="6" s="1"/>
  <c r="J155" i="6" l="1"/>
  <c r="K155" i="6" s="1"/>
  <c r="H156" i="6" s="1"/>
  <c r="J150" i="29"/>
  <c r="K150" i="29"/>
  <c r="G151" i="29"/>
  <c r="H152" i="29"/>
  <c r="I151" i="29"/>
  <c r="J151" i="29" s="1"/>
  <c r="L151" i="29" l="1"/>
  <c r="H153" i="29"/>
  <c r="I152" i="29"/>
  <c r="K152" i="29" s="1"/>
  <c r="G152" i="29"/>
  <c r="K151" i="29"/>
  <c r="J156" i="6"/>
  <c r="K156" i="6" s="1"/>
  <c r="H157" i="6" s="1"/>
  <c r="L152" i="29" l="1"/>
  <c r="J152" i="29"/>
  <c r="J157" i="6"/>
  <c r="K157" i="6" s="1"/>
  <c r="H158" i="6" s="1"/>
  <c r="G153" i="29"/>
  <c r="H154" i="29"/>
  <c r="I153" i="29"/>
  <c r="J153" i="29" s="1"/>
  <c r="J158" i="6" l="1"/>
  <c r="K158" i="6" s="1"/>
  <c r="H159" i="6" s="1"/>
  <c r="K153" i="29"/>
  <c r="L153" i="29"/>
  <c r="I154" i="29"/>
  <c r="J154" i="29" s="1"/>
  <c r="G154" i="29"/>
  <c r="H155" i="29"/>
  <c r="K154" i="29" l="1"/>
  <c r="G155" i="29"/>
  <c r="H156" i="29"/>
  <c r="I155" i="29"/>
  <c r="J155" i="29" s="1"/>
  <c r="J159" i="6"/>
  <c r="K159" i="6" s="1"/>
  <c r="H160" i="6" s="1"/>
  <c r="L154" i="29"/>
  <c r="J160" i="6" l="1"/>
  <c r="K160" i="6" s="1"/>
  <c r="H161" i="6" s="1"/>
  <c r="I156" i="29"/>
  <c r="L156" i="29" s="1"/>
  <c r="G156" i="29"/>
  <c r="H157" i="29"/>
  <c r="K155" i="29"/>
  <c r="L155" i="29"/>
  <c r="J156" i="29" l="1"/>
  <c r="K156" i="29"/>
  <c r="J161" i="6"/>
  <c r="K161" i="6" s="1"/>
  <c r="H162" i="6" s="1"/>
  <c r="G157" i="29"/>
  <c r="H158" i="29"/>
  <c r="I157" i="29"/>
  <c r="L157" i="29" s="1"/>
  <c r="J157" i="29" l="1"/>
  <c r="K157" i="29"/>
  <c r="H159" i="29"/>
  <c r="I158" i="29"/>
  <c r="K158" i="29" s="1"/>
  <c r="G158" i="29"/>
  <c r="J162" i="6"/>
  <c r="K162" i="6" s="1"/>
  <c r="H163" i="6" s="1"/>
  <c r="L158" i="29" l="1"/>
  <c r="J158" i="29"/>
  <c r="J163" i="6"/>
  <c r="K163" i="6" s="1"/>
  <c r="H164" i="6" s="1"/>
  <c r="G159" i="29"/>
  <c r="H160" i="29"/>
  <c r="I159" i="29"/>
  <c r="J159" i="29" s="1"/>
  <c r="K159" i="29" l="1"/>
  <c r="L159" i="29"/>
  <c r="J164" i="6"/>
  <c r="K164" i="6" s="1"/>
  <c r="H165" i="6" s="1"/>
  <c r="H161" i="29"/>
  <c r="I160" i="29"/>
  <c r="J160" i="29" s="1"/>
  <c r="G160" i="29"/>
  <c r="K160" i="29" l="1"/>
  <c r="J165" i="6"/>
  <c r="K165" i="6" s="1"/>
  <c r="H166" i="6" s="1"/>
  <c r="L160" i="29"/>
  <c r="G161" i="29"/>
  <c r="H162" i="29"/>
  <c r="I161" i="29"/>
  <c r="K161" i="29" s="1"/>
  <c r="I162" i="29" l="1"/>
  <c r="J162" i="29" s="1"/>
  <c r="G162" i="29"/>
  <c r="H163" i="29"/>
  <c r="J161" i="29"/>
  <c r="J166" i="6"/>
  <c r="K166" i="6" s="1"/>
  <c r="H167" i="6" s="1"/>
  <c r="L161" i="29"/>
  <c r="J167" i="6" l="1"/>
  <c r="K167" i="6" s="1"/>
  <c r="H168" i="6" s="1"/>
  <c r="K162" i="29"/>
  <c r="H164" i="29"/>
  <c r="G163" i="29"/>
  <c r="I163" i="29"/>
  <c r="K163" i="29" s="1"/>
  <c r="L162" i="29"/>
  <c r="L163" i="29" l="1"/>
  <c r="J163" i="29"/>
  <c r="J168" i="6"/>
  <c r="K168" i="6" s="1"/>
  <c r="H169" i="6" s="1"/>
  <c r="I164" i="29"/>
  <c r="L164" i="29" s="1"/>
  <c r="G164" i="29"/>
  <c r="H165" i="29"/>
  <c r="J169" i="6" l="1"/>
  <c r="K169" i="6" s="1"/>
  <c r="H170" i="6" s="1"/>
  <c r="H166" i="29"/>
  <c r="G165" i="29"/>
  <c r="I165" i="29"/>
  <c r="K165" i="29" s="1"/>
  <c r="J164" i="29"/>
  <c r="K164" i="29"/>
  <c r="L165" i="29" l="1"/>
  <c r="J165" i="29"/>
  <c r="J170" i="6"/>
  <c r="K170" i="6" s="1"/>
  <c r="H171" i="6" s="1"/>
  <c r="I166" i="29"/>
  <c r="K166" i="29" s="1"/>
  <c r="G166" i="29"/>
  <c r="H167" i="29"/>
  <c r="J166" i="29" l="1"/>
  <c r="L166" i="29"/>
  <c r="J171" i="6"/>
  <c r="K171" i="6" s="1"/>
  <c r="H172" i="6" s="1"/>
  <c r="H168" i="29"/>
  <c r="G167" i="29"/>
  <c r="I167" i="29"/>
  <c r="L167" i="29" s="1"/>
  <c r="J172" i="6" l="1"/>
  <c r="K172" i="6" s="1"/>
  <c r="H173" i="6" s="1"/>
  <c r="K167" i="29"/>
  <c r="J167" i="29"/>
  <c r="H169" i="29"/>
  <c r="I168" i="29"/>
  <c r="J168" i="29" s="1"/>
  <c r="G168" i="29"/>
  <c r="K168" i="29" l="1"/>
  <c r="L168" i="29"/>
  <c r="J173" i="6"/>
  <c r="K173" i="6" s="1"/>
  <c r="H174" i="6"/>
  <c r="H170" i="29"/>
  <c r="G169" i="29"/>
  <c r="I169" i="29"/>
  <c r="J169" i="29" s="1"/>
  <c r="I170" i="29" l="1"/>
  <c r="J170" i="29" s="1"/>
  <c r="L170" i="29"/>
  <c r="G170" i="29"/>
  <c r="H171" i="29"/>
  <c r="L169" i="29"/>
  <c r="K169" i="29"/>
  <c r="J174" i="6"/>
  <c r="K174" i="6" s="1"/>
  <c r="H175" i="6" s="1"/>
  <c r="J175" i="6" l="1"/>
  <c r="K175" i="6" s="1"/>
  <c r="H176" i="6" s="1"/>
  <c r="K170" i="29"/>
  <c r="H172" i="29"/>
  <c r="G171" i="29"/>
  <c r="I171" i="29"/>
  <c r="K171" i="29" s="1"/>
  <c r="J176" i="6" l="1"/>
  <c r="K176" i="6" s="1"/>
  <c r="H177" i="6" s="1"/>
  <c r="J171" i="29"/>
  <c r="L171" i="29"/>
  <c r="I172" i="29"/>
  <c r="J172" i="29" s="1"/>
  <c r="G172" i="29"/>
  <c r="H173" i="29"/>
  <c r="L172" i="29" l="1"/>
  <c r="J177" i="6"/>
  <c r="K177" i="6" s="1"/>
  <c r="H178" i="6" s="1"/>
  <c r="K172" i="29"/>
  <c r="G173" i="29"/>
  <c r="I173" i="29"/>
  <c r="K173" i="29" s="1"/>
  <c r="H174" i="29"/>
  <c r="J173" i="29" l="1"/>
  <c r="L173" i="29"/>
  <c r="J178" i="6"/>
  <c r="K178" i="6" s="1"/>
  <c r="H179" i="6" s="1"/>
  <c r="I174" i="29"/>
  <c r="K174" i="29" s="1"/>
  <c r="G174" i="29"/>
  <c r="H175" i="29"/>
  <c r="J174" i="29" l="1"/>
  <c r="G175" i="29"/>
  <c r="I175" i="29"/>
  <c r="L175" i="29" s="1"/>
  <c r="H176" i="29"/>
  <c r="L174" i="29"/>
  <c r="J179" i="6"/>
  <c r="K179" i="6" s="1"/>
  <c r="H180" i="6" s="1"/>
  <c r="K175" i="29" l="1"/>
  <c r="J180" i="6"/>
  <c r="K180" i="6" s="1"/>
  <c r="H181" i="6" s="1"/>
  <c r="J175" i="29"/>
  <c r="I176" i="29"/>
  <c r="L176" i="29" s="1"/>
  <c r="G176" i="29"/>
  <c r="H177" i="29"/>
  <c r="J181" i="6" l="1"/>
  <c r="K181" i="6" s="1"/>
  <c r="H182" i="6" s="1"/>
  <c r="G177" i="29"/>
  <c r="H178" i="29"/>
  <c r="I177" i="29"/>
  <c r="K177" i="29" s="1"/>
  <c r="K176" i="29"/>
  <c r="J176" i="29"/>
  <c r="L177" i="29" l="1"/>
  <c r="H179" i="29"/>
  <c r="I178" i="29"/>
  <c r="J178" i="29" s="1"/>
  <c r="G178" i="29"/>
  <c r="J177" i="29"/>
  <c r="J182" i="6"/>
  <c r="K182" i="6" s="1"/>
  <c r="H183" i="6" s="1"/>
  <c r="J183" i="6" l="1"/>
  <c r="K183" i="6" s="1"/>
  <c r="H184" i="6"/>
  <c r="K178" i="29"/>
  <c r="L178" i="29"/>
  <c r="G179" i="29"/>
  <c r="H180" i="29"/>
  <c r="I179" i="29"/>
  <c r="J179" i="29" s="1"/>
  <c r="L179" i="29" l="1"/>
  <c r="I180" i="29"/>
  <c r="J180" i="29" s="1"/>
  <c r="G180" i="29"/>
  <c r="H181" i="29"/>
  <c r="K179" i="29"/>
  <c r="J184" i="6"/>
  <c r="K184" i="6" s="1"/>
  <c r="H185" i="6" s="1"/>
  <c r="J185" i="6" l="1"/>
  <c r="K185" i="6" s="1"/>
  <c r="H186" i="6" s="1"/>
  <c r="L180" i="29"/>
  <c r="K180" i="29"/>
  <c r="H182" i="29"/>
  <c r="G181" i="29"/>
  <c r="I181" i="29"/>
  <c r="K181" i="29" s="1"/>
  <c r="J186" i="6" l="1"/>
  <c r="K186" i="6" s="1"/>
  <c r="H187" i="6"/>
  <c r="J181" i="29"/>
  <c r="L181" i="29"/>
  <c r="I182" i="29"/>
  <c r="J182" i="29" s="1"/>
  <c r="K182" i="29"/>
  <c r="G182" i="29"/>
  <c r="H183" i="29"/>
  <c r="L182" i="29" l="1"/>
  <c r="J187" i="6"/>
  <c r="K187" i="6" s="1"/>
  <c r="H188" i="6"/>
  <c r="G183" i="29"/>
  <c r="H184" i="29"/>
  <c r="I183" i="29"/>
  <c r="L183" i="29" s="1"/>
  <c r="J183" i="29" l="1"/>
  <c r="K183" i="29"/>
  <c r="J188" i="6"/>
  <c r="K188" i="6" s="1"/>
  <c r="H189" i="6" s="1"/>
  <c r="I184" i="29"/>
  <c r="K184" i="29" s="1"/>
  <c r="G184" i="29"/>
  <c r="H185" i="29"/>
  <c r="J189" i="6" l="1"/>
  <c r="K189" i="6" s="1"/>
  <c r="H190" i="6" s="1"/>
  <c r="L184" i="29"/>
  <c r="G185" i="29"/>
  <c r="H186" i="29"/>
  <c r="I185" i="29"/>
  <c r="K185" i="29" s="1"/>
  <c r="J184" i="29"/>
  <c r="J185" i="29" l="1"/>
  <c r="I186" i="29"/>
  <c r="K186" i="29" s="1"/>
  <c r="G186" i="29"/>
  <c r="H187" i="29"/>
  <c r="J190" i="6"/>
  <c r="K190" i="6" s="1"/>
  <c r="H191" i="6" s="1"/>
  <c r="L185" i="29"/>
  <c r="G187" i="29" l="1"/>
  <c r="H188" i="29"/>
  <c r="I187" i="29"/>
  <c r="L187" i="29" s="1"/>
  <c r="J191" i="6"/>
  <c r="K191" i="6" s="1"/>
  <c r="H192" i="6" s="1"/>
  <c r="L186" i="29"/>
  <c r="J186" i="29"/>
  <c r="J192" i="6" l="1"/>
  <c r="K192" i="6" s="1"/>
  <c r="H193" i="6" s="1"/>
  <c r="H189" i="29"/>
  <c r="I188" i="29"/>
  <c r="L188" i="29" s="1"/>
  <c r="G188" i="29"/>
  <c r="J187" i="29"/>
  <c r="K187" i="29"/>
  <c r="K188" i="29" l="1"/>
  <c r="J193" i="6"/>
  <c r="K193" i="6" s="1"/>
  <c r="H194" i="6" s="1"/>
  <c r="J188" i="29"/>
  <c r="G189" i="29"/>
  <c r="I189" i="29"/>
  <c r="J189" i="29" s="1"/>
  <c r="H190" i="29"/>
  <c r="I190" i="29" l="1"/>
  <c r="J190" i="29" s="1"/>
  <c r="G190" i="29"/>
  <c r="H191" i="29"/>
  <c r="L189" i="29"/>
  <c r="K189" i="29"/>
  <c r="J194" i="6"/>
  <c r="K194" i="6" s="1"/>
  <c r="H195" i="6" s="1"/>
  <c r="L190" i="29" l="1"/>
  <c r="J195" i="6"/>
  <c r="K195" i="6" s="1"/>
  <c r="H196" i="6" s="1"/>
  <c r="G191" i="29"/>
  <c r="I191" i="29"/>
  <c r="L191" i="29" s="1"/>
  <c r="H192" i="29"/>
  <c r="K190" i="29"/>
  <c r="J191" i="29" l="1"/>
  <c r="J196" i="6"/>
  <c r="K196" i="6" s="1"/>
  <c r="H197" i="6" s="1"/>
  <c r="I192" i="29"/>
  <c r="L192" i="29" s="1"/>
  <c r="K192" i="29"/>
  <c r="G192" i="29"/>
  <c r="H193" i="29"/>
  <c r="K191" i="29"/>
  <c r="J192" i="29" l="1"/>
  <c r="J197" i="6"/>
  <c r="K197" i="6" s="1"/>
  <c r="H198" i="6"/>
  <c r="H194" i="29"/>
  <c r="G193" i="29"/>
  <c r="I193" i="29"/>
  <c r="J193" i="29" s="1"/>
  <c r="I194" i="29" l="1"/>
  <c r="J194" i="29" s="1"/>
  <c r="G194" i="29"/>
  <c r="H195" i="29"/>
  <c r="L193" i="29"/>
  <c r="K193" i="29"/>
  <c r="J198" i="6"/>
  <c r="K198" i="6" s="1"/>
  <c r="H199" i="6" s="1"/>
  <c r="K194" i="29" l="1"/>
  <c r="L194" i="29"/>
  <c r="J199" i="6"/>
  <c r="K199" i="6" s="1"/>
  <c r="H200" i="6" s="1"/>
  <c r="H196" i="29"/>
  <c r="G195" i="29"/>
  <c r="I195" i="29"/>
  <c r="K195" i="29" s="1"/>
  <c r="L195" i="29" l="1"/>
  <c r="J195" i="29"/>
  <c r="J200" i="6"/>
  <c r="K200" i="6" s="1"/>
  <c r="H201" i="6" s="1"/>
  <c r="H197" i="29"/>
  <c r="I196" i="29"/>
  <c r="K196" i="29" s="1"/>
  <c r="G196" i="29"/>
  <c r="J196" i="29"/>
  <c r="L196" i="29" l="1"/>
  <c r="J201" i="6"/>
  <c r="K201" i="6" s="1"/>
  <c r="H202" i="6" s="1"/>
  <c r="G197" i="29"/>
  <c r="H198" i="29"/>
  <c r="I197" i="29"/>
  <c r="J197" i="29" s="1"/>
  <c r="J202" i="6" l="1"/>
  <c r="K202" i="6" s="1"/>
  <c r="H203" i="6" s="1"/>
  <c r="K197" i="29"/>
  <c r="L197" i="29"/>
  <c r="H199" i="29"/>
  <c r="I198" i="29"/>
  <c r="J198" i="29" s="1"/>
  <c r="G198" i="29"/>
  <c r="K198" i="29" l="1"/>
  <c r="L198" i="29"/>
  <c r="J203" i="6"/>
  <c r="K203" i="6" s="1"/>
  <c r="H204" i="6" s="1"/>
  <c r="G199" i="29"/>
  <c r="H200" i="29"/>
  <c r="I199" i="29"/>
  <c r="K199" i="29" s="1"/>
  <c r="J204" i="6" l="1"/>
  <c r="K204" i="6" s="1"/>
  <c r="H205" i="6" s="1"/>
  <c r="I200" i="29"/>
  <c r="L200" i="29" s="1"/>
  <c r="G200" i="29"/>
  <c r="H201" i="29"/>
  <c r="J199" i="29"/>
  <c r="L199" i="29"/>
  <c r="K200" i="29" l="1"/>
  <c r="J200" i="29"/>
  <c r="J205" i="6"/>
  <c r="K205" i="6" s="1"/>
  <c r="H206" i="6" s="1"/>
  <c r="G201" i="29"/>
  <c r="H202" i="29"/>
  <c r="I201" i="29"/>
  <c r="L201" i="29" s="1"/>
  <c r="H203" i="29" l="1"/>
  <c r="I202" i="29"/>
  <c r="K202" i="29" s="1"/>
  <c r="L202" i="29"/>
  <c r="G202" i="29"/>
  <c r="J201" i="29"/>
  <c r="K201" i="29"/>
  <c r="J206" i="6"/>
  <c r="K206" i="6" s="1"/>
  <c r="H207" i="6" s="1"/>
  <c r="J202" i="29" l="1"/>
  <c r="J207" i="6"/>
  <c r="K207" i="6" s="1"/>
  <c r="H208" i="6" s="1"/>
  <c r="H204" i="29"/>
  <c r="G203" i="29"/>
  <c r="I203" i="29"/>
  <c r="K203" i="29" s="1"/>
  <c r="J208" i="6" l="1"/>
  <c r="K208" i="6" s="1"/>
  <c r="H209" i="6" s="1"/>
  <c r="L203" i="29"/>
  <c r="H205" i="29"/>
  <c r="I204" i="29"/>
  <c r="J204" i="29" s="1"/>
  <c r="G204" i="29"/>
  <c r="J203" i="29"/>
  <c r="K204" i="29" l="1"/>
  <c r="J209" i="6"/>
  <c r="K209" i="6" s="1"/>
  <c r="H210" i="6" s="1"/>
  <c r="L204" i="29"/>
  <c r="G205" i="29"/>
  <c r="I205" i="29"/>
  <c r="J205" i="29" s="1"/>
  <c r="H206" i="29"/>
  <c r="I206" i="29" l="1"/>
  <c r="J206" i="29" s="1"/>
  <c r="G206" i="29"/>
  <c r="H207" i="29"/>
  <c r="L205" i="29"/>
  <c r="K205" i="29"/>
  <c r="J210" i="6"/>
  <c r="K210" i="6" s="1"/>
  <c r="H211" i="6" s="1"/>
  <c r="J211" i="6" l="1"/>
  <c r="K211" i="6" s="1"/>
  <c r="H212" i="6" s="1"/>
  <c r="K206" i="29"/>
  <c r="G207" i="29"/>
  <c r="H208" i="29"/>
  <c r="I207" i="29"/>
  <c r="K207" i="29" s="1"/>
  <c r="L206" i="29"/>
  <c r="J212" i="6" l="1"/>
  <c r="K212" i="6" s="1"/>
  <c r="H213" i="6" s="1"/>
  <c r="J207" i="29"/>
  <c r="L207" i="29"/>
  <c r="H209" i="29"/>
  <c r="I208" i="29"/>
  <c r="J208" i="29" s="1"/>
  <c r="G208" i="29"/>
  <c r="K208" i="29" l="1"/>
  <c r="J213" i="6"/>
  <c r="K213" i="6" s="1"/>
  <c r="H214" i="6" s="1"/>
  <c r="L208" i="29"/>
  <c r="G209" i="29"/>
  <c r="H210" i="29"/>
  <c r="I209" i="29"/>
  <c r="K209" i="29" s="1"/>
  <c r="J209" i="29" l="1"/>
  <c r="J214" i="6"/>
  <c r="K214" i="6" s="1"/>
  <c r="H215" i="6" s="1"/>
  <c r="H211" i="29"/>
  <c r="I210" i="29"/>
  <c r="J210" i="29" s="1"/>
  <c r="L210" i="29"/>
  <c r="K210" i="29"/>
  <c r="G210" i="29"/>
  <c r="L209" i="29"/>
  <c r="H212" i="29" l="1"/>
  <c r="G211" i="29"/>
  <c r="I211" i="29"/>
  <c r="L211" i="29" s="1"/>
  <c r="J215" i="6"/>
  <c r="K215" i="6" s="1"/>
  <c r="H216" i="6" s="1"/>
  <c r="J216" i="6" l="1"/>
  <c r="K216" i="6" s="1"/>
  <c r="H217" i="6" s="1"/>
  <c r="K211" i="29"/>
  <c r="J211" i="29"/>
  <c r="H213" i="29"/>
  <c r="I212" i="29"/>
  <c r="J212" i="29" s="1"/>
  <c r="G212" i="29"/>
  <c r="L212" i="29" l="1"/>
  <c r="J217" i="6"/>
  <c r="K217" i="6" s="1"/>
  <c r="H218" i="6" s="1"/>
  <c r="K212" i="29"/>
  <c r="G213" i="29"/>
  <c r="I213" i="29"/>
  <c r="K213" i="29" s="1"/>
  <c r="H214" i="29"/>
  <c r="J213" i="29" l="1"/>
  <c r="I214" i="29"/>
  <c r="J214" i="29" s="1"/>
  <c r="G214" i="29"/>
  <c r="H215" i="29"/>
  <c r="L213" i="29"/>
  <c r="J218" i="6"/>
  <c r="K218" i="6" s="1"/>
  <c r="H219" i="6" s="1"/>
  <c r="K214" i="29" l="1"/>
  <c r="L214" i="29"/>
  <c r="J219" i="6"/>
  <c r="K219" i="6" s="1"/>
  <c r="H220" i="6" s="1"/>
  <c r="G215" i="29"/>
  <c r="I215" i="29"/>
  <c r="J215" i="29" s="1"/>
  <c r="H216" i="29"/>
  <c r="J220" i="6" l="1"/>
  <c r="K220" i="6" s="1"/>
  <c r="H221" i="6" s="1"/>
  <c r="L215" i="29"/>
  <c r="I216" i="29"/>
  <c r="L216" i="29" s="1"/>
  <c r="G216" i="29"/>
  <c r="H217" i="29"/>
  <c r="K215" i="29"/>
  <c r="J221" i="6" l="1"/>
  <c r="K221" i="6" s="1"/>
  <c r="H222" i="6"/>
  <c r="H218" i="29"/>
  <c r="G217" i="29"/>
  <c r="I217" i="29"/>
  <c r="K217" i="29" s="1"/>
  <c r="K216" i="29"/>
  <c r="J216" i="29"/>
  <c r="L217" i="29" l="1"/>
  <c r="J217" i="29"/>
  <c r="H219" i="29"/>
  <c r="I218" i="29"/>
  <c r="J218" i="29" s="1"/>
  <c r="G218" i="29"/>
  <c r="J222" i="6"/>
  <c r="K222" i="6" s="1"/>
  <c r="H223" i="6" s="1"/>
  <c r="J223" i="6" l="1"/>
  <c r="K223" i="6" s="1"/>
  <c r="H224" i="6" s="1"/>
  <c r="K218" i="29"/>
  <c r="L218" i="29"/>
  <c r="G219" i="29"/>
  <c r="H220" i="29"/>
  <c r="I219" i="29"/>
  <c r="K219" i="29" s="1"/>
  <c r="J224" i="6" l="1"/>
  <c r="K224" i="6" s="1"/>
  <c r="H225" i="6" s="1"/>
  <c r="H221" i="29"/>
  <c r="I220" i="29"/>
  <c r="K220" i="29" s="1"/>
  <c r="G220" i="29"/>
  <c r="J219" i="29"/>
  <c r="L219" i="29"/>
  <c r="L220" i="29" l="1"/>
  <c r="J220" i="29"/>
  <c r="J225" i="6"/>
  <c r="K225" i="6" s="1"/>
  <c r="H226" i="6" s="1"/>
  <c r="G221" i="29"/>
  <c r="H222" i="29"/>
  <c r="I221" i="29"/>
  <c r="K221" i="29" s="1"/>
  <c r="J221" i="29" l="1"/>
  <c r="L221" i="29"/>
  <c r="I222" i="29"/>
  <c r="J222" i="29" s="1"/>
  <c r="L222" i="29"/>
  <c r="K222" i="29"/>
  <c r="G222" i="29"/>
  <c r="H223" i="29"/>
  <c r="J226" i="6"/>
  <c r="K226" i="6" s="1"/>
  <c r="H227" i="6"/>
  <c r="H224" i="29" l="1"/>
  <c r="G223" i="29"/>
  <c r="I223" i="29"/>
  <c r="L223" i="29" s="1"/>
  <c r="J227" i="6"/>
  <c r="K227" i="6" s="1"/>
  <c r="H228" i="6" s="1"/>
  <c r="J228" i="6" l="1"/>
  <c r="K228" i="6" s="1"/>
  <c r="H229" i="6" s="1"/>
  <c r="K223" i="29"/>
  <c r="J223" i="29"/>
  <c r="I224" i="29"/>
  <c r="J224" i="29" s="1"/>
  <c r="K224" i="29"/>
  <c r="G224" i="29"/>
  <c r="H225" i="29"/>
  <c r="L224" i="29" l="1"/>
  <c r="J229" i="6"/>
  <c r="K229" i="6" s="1"/>
  <c r="H230" i="6" s="1"/>
  <c r="G225" i="29"/>
  <c r="H226" i="29"/>
  <c r="I225" i="29"/>
  <c r="K225" i="29" s="1"/>
  <c r="L225" i="29" l="1"/>
  <c r="J225" i="29"/>
  <c r="H227" i="29"/>
  <c r="I226" i="29"/>
  <c r="L226" i="29" s="1"/>
  <c r="G226" i="29"/>
  <c r="J230" i="6"/>
  <c r="K230" i="6" s="1"/>
  <c r="H231" i="6" s="1"/>
  <c r="K226" i="29" l="1"/>
  <c r="J231" i="6"/>
  <c r="K231" i="6" s="1"/>
  <c r="H232" i="6" s="1"/>
  <c r="J226" i="29"/>
  <c r="G227" i="29"/>
  <c r="I227" i="29"/>
  <c r="J227" i="29" s="1"/>
  <c r="H228" i="29"/>
  <c r="J232" i="6" l="1"/>
  <c r="K232" i="6" s="1"/>
  <c r="H233" i="6" s="1"/>
  <c r="H229" i="29"/>
  <c r="I228" i="29"/>
  <c r="L228" i="29" s="1"/>
  <c r="G228" i="29"/>
  <c r="L227" i="29"/>
  <c r="K227" i="29"/>
  <c r="K228" i="29" l="1"/>
  <c r="J233" i="6"/>
  <c r="K233" i="6" s="1"/>
  <c r="H234" i="6" s="1"/>
  <c r="J228" i="29"/>
  <c r="G229" i="29"/>
  <c r="H230" i="29"/>
  <c r="I229" i="29"/>
  <c r="L229" i="29" s="1"/>
  <c r="J229" i="29" l="1"/>
  <c r="K229" i="29"/>
  <c r="I230" i="29"/>
  <c r="J230" i="29" s="1"/>
  <c r="G230" i="29"/>
  <c r="H231" i="29"/>
  <c r="J234" i="6"/>
  <c r="K234" i="6" s="1"/>
  <c r="H235" i="6" s="1"/>
  <c r="L230" i="29" l="1"/>
  <c r="J235" i="6"/>
  <c r="K235" i="6" s="1"/>
  <c r="H236" i="6" s="1"/>
  <c r="K230" i="29"/>
  <c r="G231" i="29"/>
  <c r="H232" i="29"/>
  <c r="I231" i="29"/>
  <c r="J231" i="29" s="1"/>
  <c r="J236" i="6" l="1"/>
  <c r="K236" i="6" s="1"/>
  <c r="H237" i="6" s="1"/>
  <c r="H233" i="29"/>
  <c r="I232" i="29"/>
  <c r="L232" i="29" s="1"/>
  <c r="G232" i="29"/>
  <c r="L231" i="29"/>
  <c r="K231" i="29"/>
  <c r="J232" i="29" l="1"/>
  <c r="K232" i="29"/>
  <c r="J237" i="6"/>
  <c r="K237" i="6" s="1"/>
  <c r="H238" i="6" s="1"/>
  <c r="G233" i="29"/>
  <c r="H234" i="29"/>
  <c r="I233" i="29"/>
  <c r="K233" i="29" s="1"/>
  <c r="L233" i="29" l="1"/>
  <c r="J233" i="29"/>
  <c r="J238" i="6"/>
  <c r="K238" i="6" s="1"/>
  <c r="H239" i="6" s="1"/>
  <c r="H235" i="29"/>
  <c r="I234" i="29"/>
  <c r="L234" i="29" s="1"/>
  <c r="G234" i="29"/>
  <c r="J239" i="6" l="1"/>
  <c r="K239" i="6" s="1"/>
  <c r="H240" i="6" s="1"/>
  <c r="J234" i="29"/>
  <c r="K234" i="29"/>
  <c r="G235" i="29"/>
  <c r="H236" i="29"/>
  <c r="I235" i="29"/>
  <c r="K235" i="29" s="1"/>
  <c r="J240" i="6" l="1"/>
  <c r="K240" i="6" s="1"/>
  <c r="H241" i="6" s="1"/>
  <c r="J235" i="29"/>
  <c r="H237" i="29"/>
  <c r="I236" i="29"/>
  <c r="J236" i="29" s="1"/>
  <c r="G236" i="29"/>
  <c r="L235" i="29"/>
  <c r="K236" i="29" l="1"/>
  <c r="J241" i="6"/>
  <c r="K241" i="6" s="1"/>
  <c r="H242" i="6" s="1"/>
  <c r="L236" i="29"/>
  <c r="H238" i="29"/>
  <c r="G237" i="29"/>
  <c r="I237" i="29"/>
  <c r="K237" i="29" s="1"/>
  <c r="J237" i="29" l="1"/>
  <c r="L237" i="29"/>
  <c r="I238" i="29"/>
  <c r="J238" i="29" s="1"/>
  <c r="L238" i="29"/>
  <c r="K238" i="29"/>
  <c r="G238" i="29"/>
  <c r="H239" i="29"/>
  <c r="J242" i="6"/>
  <c r="K242" i="6" s="1"/>
  <c r="H243" i="6" s="1"/>
  <c r="J243" i="6" l="1"/>
  <c r="K243" i="6" s="1"/>
  <c r="H244" i="6" s="1"/>
  <c r="G239" i="29"/>
  <c r="I239" i="29"/>
  <c r="J239" i="29" s="1"/>
  <c r="H240" i="29"/>
  <c r="J244" i="6" l="1"/>
  <c r="K244" i="6" s="1"/>
  <c r="H245" i="6" s="1"/>
  <c r="L239" i="29"/>
  <c r="K239" i="29"/>
  <c r="I240" i="29"/>
  <c r="J240" i="29" s="1"/>
  <c r="G240" i="29"/>
  <c r="H241" i="29"/>
  <c r="L240" i="29" l="1"/>
  <c r="J245" i="6"/>
  <c r="K245" i="6" s="1"/>
  <c r="H246" i="6"/>
  <c r="G241" i="29"/>
  <c r="H242" i="29"/>
  <c r="I241" i="29"/>
  <c r="K241" i="29" s="1"/>
  <c r="K240" i="29"/>
  <c r="L241" i="29" l="1"/>
  <c r="H243" i="29"/>
  <c r="I242" i="29"/>
  <c r="J242" i="29" s="1"/>
  <c r="G242" i="29"/>
  <c r="J241" i="29"/>
  <c r="J246" i="6"/>
  <c r="K246" i="6" s="1"/>
  <c r="H247" i="6" s="1"/>
  <c r="J247" i="6" l="1"/>
  <c r="K247" i="6" s="1"/>
  <c r="H248" i="6"/>
  <c r="K242" i="29"/>
  <c r="L242" i="29"/>
  <c r="H244" i="29"/>
  <c r="G243" i="29"/>
  <c r="I243" i="29"/>
  <c r="J243" i="29" s="1"/>
  <c r="K243" i="29" l="1"/>
  <c r="L243" i="29"/>
  <c r="J248" i="6"/>
  <c r="K248" i="6" s="1"/>
  <c r="H249" i="6" s="1"/>
  <c r="H245" i="29"/>
  <c r="I244" i="29"/>
  <c r="J244" i="29" s="1"/>
  <c r="G244" i="29"/>
  <c r="K244" i="29" l="1"/>
  <c r="J249" i="6"/>
  <c r="K249" i="6" s="1"/>
  <c r="H250" i="6" s="1"/>
  <c r="L244" i="29"/>
  <c r="G245" i="29"/>
  <c r="H246" i="29"/>
  <c r="I245" i="29"/>
  <c r="L245" i="29" s="1"/>
  <c r="K245" i="29" l="1"/>
  <c r="I246" i="29"/>
  <c r="K246" i="29" s="1"/>
  <c r="G246" i="29"/>
  <c r="H247" i="29"/>
  <c r="J250" i="6"/>
  <c r="K250" i="6" s="1"/>
  <c r="H251" i="6" s="1"/>
  <c r="J245" i="29"/>
  <c r="L246" i="29" l="1"/>
  <c r="J251" i="6"/>
  <c r="K251" i="6" s="1"/>
  <c r="H252" i="6" s="1"/>
  <c r="J246" i="29"/>
  <c r="G247" i="29"/>
  <c r="H248" i="29"/>
  <c r="I247" i="29"/>
  <c r="K247" i="29" s="1"/>
  <c r="J247" i="29" l="1"/>
  <c r="L247" i="29"/>
  <c r="J248" i="29"/>
  <c r="I248" i="29"/>
  <c r="L248" i="29"/>
  <c r="K248" i="29"/>
  <c r="G248" i="29"/>
  <c r="H249" i="29"/>
  <c r="J252" i="6"/>
  <c r="K252" i="6" s="1"/>
  <c r="H253" i="6" s="1"/>
  <c r="J253" i="6" l="1"/>
  <c r="K253" i="6" s="1"/>
  <c r="H254" i="6"/>
  <c r="H250" i="29"/>
  <c r="G249" i="29"/>
  <c r="I249" i="29"/>
  <c r="K249" i="29" s="1"/>
  <c r="L249" i="29" l="1"/>
  <c r="J254" i="6"/>
  <c r="K254" i="6" s="1"/>
  <c r="H255" i="6" s="1"/>
  <c r="J249" i="29"/>
  <c r="H251" i="29"/>
  <c r="I250" i="29"/>
  <c r="J250" i="29" s="1"/>
  <c r="G250" i="29"/>
  <c r="K250" i="29" l="1"/>
  <c r="L250" i="29"/>
  <c r="J255" i="6"/>
  <c r="K255" i="6" s="1"/>
  <c r="H256" i="6" s="1"/>
  <c r="G251" i="29"/>
  <c r="I251" i="29"/>
  <c r="J251" i="29" s="1"/>
  <c r="H252" i="29"/>
  <c r="K251" i="29" l="1"/>
  <c r="L251" i="29"/>
  <c r="J256" i="6"/>
  <c r="K256" i="6" s="1"/>
  <c r="H257" i="6" s="1"/>
  <c r="H253" i="29"/>
  <c r="I252" i="29"/>
  <c r="L252" i="29" s="1"/>
  <c r="G252" i="29"/>
  <c r="J257" i="6" l="1"/>
  <c r="K257" i="6" s="1"/>
  <c r="H258" i="6"/>
  <c r="K252" i="29"/>
  <c r="J252" i="29"/>
  <c r="G253" i="29"/>
  <c r="H254" i="29"/>
  <c r="I253" i="29"/>
  <c r="L253" i="29" s="1"/>
  <c r="J253" i="29" l="1"/>
  <c r="J258" i="6"/>
  <c r="K258" i="6" s="1"/>
  <c r="H259" i="6" s="1"/>
  <c r="K253" i="29"/>
  <c r="H255" i="29"/>
  <c r="I254" i="29"/>
  <c r="L254" i="29" s="1"/>
  <c r="G254" i="29"/>
  <c r="K254" i="29" l="1"/>
  <c r="J259" i="6"/>
  <c r="K259" i="6" s="1"/>
  <c r="H260" i="6" s="1"/>
  <c r="J254" i="29"/>
  <c r="G255" i="29"/>
  <c r="H256" i="29"/>
  <c r="I255" i="29"/>
  <c r="L255" i="29" s="1"/>
  <c r="K255" i="29" l="1"/>
  <c r="J260" i="6"/>
  <c r="K260" i="6" s="1"/>
  <c r="H261" i="6" s="1"/>
  <c r="J255" i="29"/>
  <c r="H257" i="29"/>
  <c r="I256" i="29"/>
  <c r="L256" i="29" s="1"/>
  <c r="K256" i="29"/>
  <c r="G256" i="29"/>
  <c r="J256" i="29" l="1"/>
  <c r="J261" i="6"/>
  <c r="K261" i="6" s="1"/>
  <c r="H262" i="6" s="1"/>
  <c r="H258" i="29"/>
  <c r="G257" i="29"/>
  <c r="I257" i="29"/>
  <c r="K257" i="29" s="1"/>
  <c r="J262" i="6" l="1"/>
  <c r="K262" i="6" s="1"/>
  <c r="H263" i="6" s="1"/>
  <c r="H259" i="29"/>
  <c r="I258" i="29"/>
  <c r="L258" i="29" s="1"/>
  <c r="G258" i="29"/>
  <c r="L257" i="29"/>
  <c r="J257" i="29"/>
  <c r="J258" i="29" l="1"/>
  <c r="K258" i="29"/>
  <c r="H260" i="29"/>
  <c r="G259" i="29"/>
  <c r="I259" i="29"/>
  <c r="L259" i="29" s="1"/>
  <c r="J263" i="6"/>
  <c r="K263" i="6" s="1"/>
  <c r="H264" i="6" s="1"/>
  <c r="J264" i="6" l="1"/>
  <c r="K264" i="6" s="1"/>
  <c r="H265" i="6" s="1"/>
  <c r="K259" i="29"/>
  <c r="J259" i="29"/>
  <c r="H261" i="29"/>
  <c r="I260" i="29"/>
  <c r="K260" i="29" s="1"/>
  <c r="G260" i="29"/>
  <c r="J265" i="6" l="1"/>
  <c r="K265" i="6" s="1"/>
  <c r="H266" i="6" s="1"/>
  <c r="L260" i="29"/>
  <c r="J260" i="29"/>
  <c r="G261" i="29"/>
  <c r="I261" i="29"/>
  <c r="L261" i="29" s="1"/>
  <c r="H262" i="29"/>
  <c r="J261" i="29" l="1"/>
  <c r="H263" i="29"/>
  <c r="I262" i="29"/>
  <c r="K262" i="29" s="1"/>
  <c r="G262" i="29"/>
  <c r="K261" i="29"/>
  <c r="J266" i="6"/>
  <c r="K266" i="6" s="1"/>
  <c r="H267" i="6" s="1"/>
  <c r="J267" i="6" l="1"/>
  <c r="K267" i="6" s="1"/>
  <c r="H268" i="6" s="1"/>
  <c r="L262" i="29"/>
  <c r="J262" i="29"/>
  <c r="G263" i="29"/>
  <c r="H264" i="29"/>
  <c r="I263" i="29"/>
  <c r="L263" i="29" s="1"/>
  <c r="J268" i="6" l="1"/>
  <c r="K268" i="6" s="1"/>
  <c r="H269" i="6" s="1"/>
  <c r="H265" i="29"/>
  <c r="I264" i="29"/>
  <c r="L264" i="29" s="1"/>
  <c r="G264" i="29"/>
  <c r="J263" i="29"/>
  <c r="K263" i="29"/>
  <c r="K264" i="29" l="1"/>
  <c r="J269" i="6"/>
  <c r="K269" i="6" s="1"/>
  <c r="H270" i="6" s="1"/>
  <c r="J264" i="29"/>
  <c r="G265" i="29"/>
  <c r="I265" i="29"/>
  <c r="J265" i="29" s="1"/>
  <c r="H266" i="29"/>
  <c r="J270" i="6" l="1"/>
  <c r="K270" i="6" s="1"/>
  <c r="H271" i="6" s="1"/>
  <c r="L265" i="29"/>
  <c r="H267" i="29"/>
  <c r="I266" i="29"/>
  <c r="J266" i="29" s="1"/>
  <c r="L266" i="29"/>
  <c r="K266" i="29"/>
  <c r="G266" i="29"/>
  <c r="K265" i="29"/>
  <c r="J271" i="6" l="1"/>
  <c r="K271" i="6" s="1"/>
  <c r="H272" i="6"/>
  <c r="G267" i="29"/>
  <c r="H268" i="29"/>
  <c r="I267" i="29"/>
  <c r="K267" i="29" s="1"/>
  <c r="J267" i="29" l="1"/>
  <c r="L267" i="29"/>
  <c r="J272" i="6"/>
  <c r="K272" i="6" s="1"/>
  <c r="H273" i="6" s="1"/>
  <c r="H269" i="29"/>
  <c r="I268" i="29"/>
  <c r="K268" i="29" s="1"/>
  <c r="G268" i="29"/>
  <c r="L268" i="29" l="1"/>
  <c r="J273" i="6"/>
  <c r="K273" i="6" s="1"/>
  <c r="H274" i="6" s="1"/>
  <c r="J268" i="29"/>
  <c r="H270" i="29"/>
  <c r="G269" i="29"/>
  <c r="I269" i="29"/>
  <c r="K269" i="29" s="1"/>
  <c r="J269" i="29" l="1"/>
  <c r="L269" i="29"/>
  <c r="J274" i="6"/>
  <c r="K274" i="6" s="1"/>
  <c r="H275" i="6" s="1"/>
  <c r="H271" i="29"/>
  <c r="I270" i="29"/>
  <c r="K270" i="29" s="1"/>
  <c r="G270" i="29"/>
  <c r="J275" i="6" l="1"/>
  <c r="K275" i="6" s="1"/>
  <c r="H276" i="6" s="1"/>
  <c r="L270" i="29"/>
  <c r="J270" i="29"/>
  <c r="G271" i="29"/>
  <c r="H272" i="29"/>
  <c r="I271" i="29"/>
  <c r="K271" i="29" s="1"/>
  <c r="J271" i="29" l="1"/>
  <c r="H273" i="29"/>
  <c r="I272" i="29"/>
  <c r="L272" i="29" s="1"/>
  <c r="G272" i="29"/>
  <c r="L271" i="29"/>
  <c r="J276" i="6"/>
  <c r="K276" i="6" s="1"/>
  <c r="H277" i="6" s="1"/>
  <c r="J272" i="29" l="1"/>
  <c r="K272" i="29"/>
  <c r="J277" i="6"/>
  <c r="K277" i="6" s="1"/>
  <c r="H278" i="6" s="1"/>
  <c r="G273" i="29"/>
  <c r="H274" i="29"/>
  <c r="I273" i="29"/>
  <c r="K273" i="29" s="1"/>
  <c r="J273" i="29" l="1"/>
  <c r="L273" i="29"/>
  <c r="J278" i="6"/>
  <c r="K278" i="6" s="1"/>
  <c r="H279" i="6" s="1"/>
  <c r="I274" i="29"/>
  <c r="L274" i="29" s="1"/>
  <c r="G274" i="29"/>
  <c r="H275" i="29"/>
  <c r="J279" i="6" l="1"/>
  <c r="K279" i="6" s="1"/>
  <c r="H280" i="6" s="1"/>
  <c r="J274" i="29"/>
  <c r="K274" i="29"/>
  <c r="G275" i="29"/>
  <c r="I275" i="29"/>
  <c r="J275" i="29" s="1"/>
  <c r="H276" i="29"/>
  <c r="K275" i="29" l="1"/>
  <c r="J280" i="6"/>
  <c r="K280" i="6" s="1"/>
  <c r="H281" i="6" s="1"/>
  <c r="L276" i="29"/>
  <c r="I276" i="29"/>
  <c r="K276" i="29" s="1"/>
  <c r="G276" i="29"/>
  <c r="H277" i="29"/>
  <c r="L275" i="29"/>
  <c r="J281" i="6" l="1"/>
  <c r="K281" i="6" s="1"/>
  <c r="H282" i="6" s="1"/>
  <c r="G277" i="29"/>
  <c r="H278" i="29"/>
  <c r="I277" i="29"/>
  <c r="K277" i="29" s="1"/>
  <c r="J276" i="29"/>
  <c r="L277" i="29" l="1"/>
  <c r="J277" i="29"/>
  <c r="H279" i="29"/>
  <c r="I278" i="29"/>
  <c r="J278" i="29" s="1"/>
  <c r="G278" i="29"/>
  <c r="J282" i="6"/>
  <c r="K282" i="6" s="1"/>
  <c r="H283" i="6" s="1"/>
  <c r="J283" i="6" l="1"/>
  <c r="K283" i="6" s="1"/>
  <c r="H284" i="6"/>
  <c r="K278" i="29"/>
  <c r="L278" i="29"/>
  <c r="G279" i="29"/>
  <c r="H280" i="29"/>
  <c r="I279" i="29"/>
  <c r="J279" i="29" s="1"/>
  <c r="L279" i="29" l="1"/>
  <c r="H281" i="29"/>
  <c r="I280" i="29"/>
  <c r="J280" i="29" s="1"/>
  <c r="G280" i="29"/>
  <c r="K279" i="29"/>
  <c r="J284" i="6"/>
  <c r="K284" i="6" s="1"/>
  <c r="H285" i="6" s="1"/>
  <c r="L280" i="29" l="1"/>
  <c r="J285" i="6"/>
  <c r="K285" i="6" s="1"/>
  <c r="H286" i="6" s="1"/>
  <c r="K280" i="29"/>
  <c r="H282" i="29"/>
  <c r="G281" i="29"/>
  <c r="I281" i="29"/>
  <c r="K281" i="29" s="1"/>
  <c r="I282" i="29" l="1"/>
  <c r="J282" i="29" s="1"/>
  <c r="G282" i="29"/>
  <c r="H283" i="29"/>
  <c r="J286" i="6"/>
  <c r="K286" i="6" s="1"/>
  <c r="H287" i="6" s="1"/>
  <c r="J281" i="29"/>
  <c r="L281" i="29"/>
  <c r="J287" i="6" l="1"/>
  <c r="K287" i="6" s="1"/>
  <c r="H288" i="6" s="1"/>
  <c r="G283" i="29"/>
  <c r="H284" i="29"/>
  <c r="I283" i="29"/>
  <c r="K283" i="29" s="1"/>
  <c r="K282" i="29"/>
  <c r="L282" i="29"/>
  <c r="J288" i="6" l="1"/>
  <c r="K288" i="6" s="1"/>
  <c r="H289" i="6" s="1"/>
  <c r="J283" i="29"/>
  <c r="L283" i="29"/>
  <c r="I284" i="29"/>
  <c r="K284" i="29" s="1"/>
  <c r="G284" i="29"/>
  <c r="H285" i="29"/>
  <c r="J289" i="6" l="1"/>
  <c r="K289" i="6" s="1"/>
  <c r="H290" i="6" s="1"/>
  <c r="L284" i="29"/>
  <c r="J284" i="29"/>
  <c r="G285" i="29"/>
  <c r="I285" i="29"/>
  <c r="L285" i="29" s="1"/>
  <c r="H286" i="29"/>
  <c r="J290" i="6" l="1"/>
  <c r="K290" i="6" s="1"/>
  <c r="H291" i="6" s="1"/>
  <c r="J285" i="29"/>
  <c r="I286" i="29"/>
  <c r="K286" i="29" s="1"/>
  <c r="G286" i="29"/>
  <c r="H287" i="29"/>
  <c r="K285" i="29"/>
  <c r="J286" i="29" l="1"/>
  <c r="L286" i="29"/>
  <c r="J291" i="6"/>
  <c r="K291" i="6" s="1"/>
  <c r="H292" i="6" s="1"/>
  <c r="G287" i="29"/>
  <c r="H288" i="29"/>
  <c r="I287" i="29"/>
  <c r="J287" i="29" s="1"/>
  <c r="I288" i="29" l="1"/>
  <c r="J288" i="29" s="1"/>
  <c r="K288" i="29"/>
  <c r="G288" i="29"/>
  <c r="H289" i="29"/>
  <c r="L287" i="29"/>
  <c r="K287" i="29"/>
  <c r="J292" i="6"/>
  <c r="K292" i="6" s="1"/>
  <c r="H293" i="6" s="1"/>
  <c r="J293" i="6" l="1"/>
  <c r="K293" i="6" s="1"/>
  <c r="H294" i="6" s="1"/>
  <c r="L288" i="29"/>
  <c r="G289" i="29"/>
  <c r="H290" i="29"/>
  <c r="I289" i="29"/>
  <c r="J289" i="29" s="1"/>
  <c r="J294" i="6" l="1"/>
  <c r="K294" i="6" s="1"/>
  <c r="H295" i="6"/>
  <c r="H291" i="29"/>
  <c r="I290" i="29"/>
  <c r="L290" i="29" s="1"/>
  <c r="G290" i="29"/>
  <c r="J290" i="29"/>
  <c r="L289" i="29"/>
  <c r="K289" i="29"/>
  <c r="K290" i="29" l="1"/>
  <c r="H292" i="29"/>
  <c r="G291" i="29"/>
  <c r="I291" i="29"/>
  <c r="L291" i="29" s="1"/>
  <c r="J295" i="6"/>
  <c r="K295" i="6" s="1"/>
  <c r="H296" i="6" s="1"/>
  <c r="J296" i="6" l="1"/>
  <c r="K296" i="6" s="1"/>
  <c r="H297" i="6" s="1"/>
  <c r="K291" i="29"/>
  <c r="J291" i="29"/>
  <c r="H293" i="29"/>
  <c r="I292" i="29"/>
  <c r="J292" i="29" s="1"/>
  <c r="G292" i="29"/>
  <c r="J297" i="6" l="1"/>
  <c r="K297" i="6" s="1"/>
  <c r="H298" i="6" s="1"/>
  <c r="K292" i="29"/>
  <c r="L292" i="29"/>
  <c r="G293" i="29"/>
  <c r="I293" i="29"/>
  <c r="K293" i="29" s="1"/>
  <c r="H294" i="29"/>
  <c r="I294" i="29" l="1"/>
  <c r="J294" i="29" s="1"/>
  <c r="G294" i="29"/>
  <c r="H295" i="29"/>
  <c r="J298" i="6"/>
  <c r="K298" i="6" s="1"/>
  <c r="H299" i="6" s="1"/>
  <c r="J293" i="29"/>
  <c r="L293" i="29"/>
  <c r="L294" i="29" l="1"/>
  <c r="J299" i="6"/>
  <c r="K299" i="6" s="1"/>
  <c r="H300" i="6" s="1"/>
  <c r="G295" i="29"/>
  <c r="H296" i="29"/>
  <c r="I295" i="29"/>
  <c r="K295" i="29" s="1"/>
  <c r="K294" i="29"/>
  <c r="L295" i="29" l="1"/>
  <c r="J300" i="6"/>
  <c r="K300" i="6" s="1"/>
  <c r="H301" i="6" s="1"/>
  <c r="J295" i="29"/>
  <c r="I296" i="29"/>
  <c r="K296" i="29" s="1"/>
  <c r="G296" i="29"/>
  <c r="H297" i="29"/>
  <c r="J296" i="29"/>
  <c r="J301" i="6" l="1"/>
  <c r="K301" i="6" s="1"/>
  <c r="H302" i="6"/>
  <c r="G297" i="29"/>
  <c r="I297" i="29"/>
  <c r="L297" i="29" s="1"/>
  <c r="H298" i="29"/>
  <c r="L296" i="29"/>
  <c r="H299" i="29" l="1"/>
  <c r="I298" i="29"/>
  <c r="L298" i="29" s="1"/>
  <c r="G298" i="29"/>
  <c r="K297" i="29"/>
  <c r="J297" i="29"/>
  <c r="J302" i="6"/>
  <c r="K302" i="6" s="1"/>
  <c r="H303" i="6" s="1"/>
  <c r="K298" i="29" l="1"/>
  <c r="J303" i="6"/>
  <c r="K303" i="6" s="1"/>
  <c r="H304" i="6" s="1"/>
  <c r="J298" i="29"/>
  <c r="G299" i="29"/>
  <c r="H300" i="29"/>
  <c r="I299" i="29"/>
  <c r="K299" i="29" s="1"/>
  <c r="J299" i="29" l="1"/>
  <c r="H301" i="29"/>
  <c r="I300" i="29"/>
  <c r="J300" i="29" s="1"/>
  <c r="G300" i="29"/>
  <c r="J304" i="6"/>
  <c r="K304" i="6" s="1"/>
  <c r="H305" i="6" s="1"/>
  <c r="L299" i="29"/>
  <c r="K300" i="29" l="1"/>
  <c r="L300" i="29"/>
  <c r="J305" i="6"/>
  <c r="K305" i="6" s="1"/>
  <c r="H306" i="6" s="1"/>
  <c r="G301" i="29"/>
  <c r="H302" i="29"/>
  <c r="I301" i="29"/>
  <c r="K301" i="29" s="1"/>
  <c r="J301" i="29" l="1"/>
  <c r="J306" i="6"/>
  <c r="K306" i="6" s="1"/>
  <c r="H307" i="6" s="1"/>
  <c r="L301" i="29"/>
  <c r="H303" i="29"/>
  <c r="I302" i="29"/>
  <c r="K302" i="29" s="1"/>
  <c r="G302" i="29"/>
  <c r="L302" i="29" l="1"/>
  <c r="J302" i="29"/>
  <c r="G303" i="29"/>
  <c r="H304" i="29"/>
  <c r="I303" i="29"/>
  <c r="J303" i="29" s="1"/>
  <c r="J307" i="6"/>
  <c r="K307" i="6" s="1"/>
  <c r="H308" i="6" s="1"/>
  <c r="J308" i="6" l="1"/>
  <c r="K308" i="6" s="1"/>
  <c r="H309" i="6" s="1"/>
  <c r="L303" i="29"/>
  <c r="K303" i="29"/>
  <c r="H305" i="29"/>
  <c r="I304" i="29"/>
  <c r="J304" i="29" s="1"/>
  <c r="G304" i="29"/>
  <c r="J309" i="6" l="1"/>
  <c r="K309" i="6" s="1"/>
  <c r="H310" i="6" s="1"/>
  <c r="K304" i="29"/>
  <c r="L304" i="29"/>
  <c r="H306" i="29"/>
  <c r="G305" i="29"/>
  <c r="I305" i="29"/>
  <c r="L305" i="29" s="1"/>
  <c r="J305" i="29" l="1"/>
  <c r="J310" i="6"/>
  <c r="K310" i="6" s="1"/>
  <c r="H311" i="6" s="1"/>
  <c r="K305" i="29"/>
  <c r="I306" i="29"/>
  <c r="L306" i="29" s="1"/>
  <c r="G306" i="29"/>
  <c r="H307" i="29"/>
  <c r="K306" i="29" l="1"/>
  <c r="G307" i="29"/>
  <c r="H308" i="29"/>
  <c r="I307" i="29"/>
  <c r="K307" i="29" s="1"/>
  <c r="J306" i="29"/>
  <c r="J311" i="6"/>
  <c r="K311" i="6" s="1"/>
  <c r="H312" i="6" s="1"/>
  <c r="J307" i="29" l="1"/>
  <c r="J312" i="6"/>
  <c r="K312" i="6" s="1"/>
  <c r="H313" i="6" s="1"/>
  <c r="J308" i="29"/>
  <c r="I308" i="29"/>
  <c r="L308" i="29" s="1"/>
  <c r="G308" i="29"/>
  <c r="H309" i="29"/>
  <c r="L307" i="29"/>
  <c r="K308" i="29" l="1"/>
  <c r="J313" i="6"/>
  <c r="K313" i="6" s="1"/>
  <c r="H314" i="6" s="1"/>
  <c r="G309" i="29"/>
  <c r="I309" i="29"/>
  <c r="L309" i="29" s="1"/>
  <c r="H310" i="29"/>
  <c r="J309" i="29" l="1"/>
  <c r="H311" i="29"/>
  <c r="L310" i="29"/>
  <c r="I310" i="29"/>
  <c r="K310" i="29" s="1"/>
  <c r="G310" i="29"/>
  <c r="J310" i="29"/>
  <c r="K309" i="29"/>
  <c r="J314" i="6"/>
  <c r="K314" i="6" s="1"/>
  <c r="H315" i="6" s="1"/>
  <c r="J315" i="6" l="1"/>
  <c r="K315" i="6" s="1"/>
  <c r="H316" i="6" s="1"/>
  <c r="G311" i="29"/>
  <c r="H312" i="29"/>
  <c r="I311" i="29"/>
  <c r="L311" i="29" s="1"/>
  <c r="K311" i="29" l="1"/>
  <c r="H313" i="29"/>
  <c r="I312" i="29"/>
  <c r="L312" i="29" s="1"/>
  <c r="G312" i="29"/>
  <c r="J311" i="29"/>
  <c r="J316" i="6"/>
  <c r="K316" i="6" s="1"/>
  <c r="H317" i="6" s="1"/>
  <c r="J317" i="6" l="1"/>
  <c r="K317" i="6" s="1"/>
  <c r="H318" i="6"/>
  <c r="K312" i="29"/>
  <c r="J312" i="29"/>
  <c r="G313" i="29"/>
  <c r="H314" i="29"/>
  <c r="I313" i="29"/>
  <c r="J313" i="29" s="1"/>
  <c r="H315" i="29" l="1"/>
  <c r="I314" i="29"/>
  <c r="K314" i="29" s="1"/>
  <c r="G314" i="29"/>
  <c r="L313" i="29"/>
  <c r="K313" i="29"/>
  <c r="J318" i="6"/>
  <c r="K318" i="6" s="1"/>
  <c r="H319" i="6" s="1"/>
  <c r="L314" i="29" l="1"/>
  <c r="J314" i="29"/>
  <c r="J319" i="6"/>
  <c r="K319" i="6" s="1"/>
  <c r="H320" i="6" s="1"/>
  <c r="G315" i="29"/>
  <c r="H316" i="29"/>
  <c r="I315" i="29"/>
  <c r="K315" i="29" s="1"/>
  <c r="J320" i="6" l="1"/>
  <c r="K320" i="6" s="1"/>
  <c r="H321" i="6" s="1"/>
  <c r="L315" i="29"/>
  <c r="J315" i="29"/>
  <c r="H317" i="29"/>
  <c r="I316" i="29"/>
  <c r="L316" i="29" s="1"/>
  <c r="G316" i="29"/>
  <c r="J321" i="6" l="1"/>
  <c r="K321" i="6" s="1"/>
  <c r="H322" i="6"/>
  <c r="K316" i="29"/>
  <c r="J316" i="29"/>
  <c r="G317" i="29"/>
  <c r="H318" i="29"/>
  <c r="I317" i="29"/>
  <c r="K317" i="29" s="1"/>
  <c r="H319" i="29" l="1"/>
  <c r="I318" i="29"/>
  <c r="K318" i="29" s="1"/>
  <c r="G318" i="29"/>
  <c r="J322" i="6"/>
  <c r="K322" i="6" s="1"/>
  <c r="H323" i="6" s="1"/>
  <c r="J317" i="29"/>
  <c r="L317" i="29"/>
  <c r="L318" i="29" l="1"/>
  <c r="J323" i="6"/>
  <c r="K323" i="6" s="1"/>
  <c r="H324" i="6" s="1"/>
  <c r="J318" i="29"/>
  <c r="G319" i="29"/>
  <c r="I319" i="29"/>
  <c r="K319" i="29" s="1"/>
  <c r="H320" i="29"/>
  <c r="J324" i="6" l="1"/>
  <c r="K324" i="6" s="1"/>
  <c r="H325" i="6" s="1"/>
  <c r="H321" i="29"/>
  <c r="I320" i="29"/>
  <c r="L320" i="29" s="1"/>
  <c r="G320" i="29"/>
  <c r="L319" i="29"/>
  <c r="J319" i="29"/>
  <c r="K320" i="29" l="1"/>
  <c r="J320" i="29"/>
  <c r="J325" i="6"/>
  <c r="K325" i="6" s="1"/>
  <c r="H326" i="6" s="1"/>
  <c r="G321" i="29"/>
  <c r="H322" i="29"/>
  <c r="I321" i="29"/>
  <c r="K321" i="29" s="1"/>
  <c r="J326" i="6" l="1"/>
  <c r="K326" i="6" s="1"/>
  <c r="H327" i="6"/>
  <c r="J321" i="29"/>
  <c r="L321" i="29"/>
  <c r="H323" i="29"/>
  <c r="I322" i="29"/>
  <c r="K322" i="29" s="1"/>
  <c r="G322" i="29"/>
  <c r="L322" i="29" l="1"/>
  <c r="J322" i="29"/>
  <c r="J327" i="6"/>
  <c r="K327" i="6" s="1"/>
  <c r="H328" i="6" s="1"/>
  <c r="G323" i="29"/>
  <c r="I323" i="29"/>
  <c r="J323" i="29" s="1"/>
  <c r="H324" i="29"/>
  <c r="I324" i="29" l="1"/>
  <c r="J324" i="29" s="1"/>
  <c r="L324" i="29"/>
  <c r="G324" i="29"/>
  <c r="H325" i="29"/>
  <c r="K323" i="29"/>
  <c r="L323" i="29"/>
  <c r="J328" i="6"/>
  <c r="K328" i="6" s="1"/>
  <c r="H329" i="6" s="1"/>
  <c r="J329" i="6" l="1"/>
  <c r="K329" i="6" s="1"/>
  <c r="H330" i="6" s="1"/>
  <c r="K324" i="29"/>
  <c r="H326" i="29"/>
  <c r="G325" i="29"/>
  <c r="I325" i="29"/>
  <c r="K325" i="29" s="1"/>
  <c r="J325" i="29" l="1"/>
  <c r="J330" i="6"/>
  <c r="K330" i="6" s="1"/>
  <c r="H331" i="6" s="1"/>
  <c r="I326" i="29"/>
  <c r="K326" i="29" s="1"/>
  <c r="G326" i="29"/>
  <c r="H327" i="29"/>
  <c r="L325" i="29"/>
  <c r="L326" i="29" l="1"/>
  <c r="J331" i="6"/>
  <c r="K331" i="6" s="1"/>
  <c r="H332" i="6" s="1"/>
  <c r="J326" i="29"/>
  <c r="G327" i="29"/>
  <c r="H328" i="29"/>
  <c r="I327" i="29"/>
  <c r="L327" i="29" s="1"/>
  <c r="K327" i="29" l="1"/>
  <c r="J327" i="29"/>
  <c r="J332" i="6"/>
  <c r="K332" i="6" s="1"/>
  <c r="H333" i="6" s="1"/>
  <c r="I328" i="29"/>
  <c r="J328" i="29" s="1"/>
  <c r="G328" i="29"/>
  <c r="H329" i="29"/>
  <c r="J333" i="6" l="1"/>
  <c r="K333" i="6" s="1"/>
  <c r="H334" i="6" s="1"/>
  <c r="K328" i="29"/>
  <c r="G329" i="29"/>
  <c r="H330" i="29"/>
  <c r="I329" i="29"/>
  <c r="J329" i="29" s="1"/>
  <c r="L328" i="29"/>
  <c r="L329" i="29" l="1"/>
  <c r="K329" i="29"/>
  <c r="I330" i="29"/>
  <c r="J330" i="29" s="1"/>
  <c r="G330" i="29"/>
  <c r="H331" i="29"/>
  <c r="J334" i="6"/>
  <c r="K334" i="6" s="1"/>
  <c r="H335" i="6" s="1"/>
  <c r="J335" i="6" l="1"/>
  <c r="K335" i="6" s="1"/>
  <c r="H336" i="6"/>
  <c r="K330" i="29"/>
  <c r="L330" i="29"/>
  <c r="G331" i="29"/>
  <c r="H332" i="29"/>
  <c r="I331" i="29"/>
  <c r="K331" i="29" s="1"/>
  <c r="L331" i="29" l="1"/>
  <c r="I332" i="29"/>
  <c r="J332" i="29" s="1"/>
  <c r="G332" i="29"/>
  <c r="H333" i="29"/>
  <c r="J331" i="29"/>
  <c r="J336" i="6"/>
  <c r="K336" i="6" s="1"/>
  <c r="H337" i="6" s="1"/>
  <c r="K332" i="29" l="1"/>
  <c r="J337" i="6"/>
  <c r="K337" i="6" s="1"/>
  <c r="H338" i="6" s="1"/>
  <c r="G333" i="29"/>
  <c r="H334" i="29"/>
  <c r="I333" i="29"/>
  <c r="K333" i="29" s="1"/>
  <c r="L332" i="29"/>
  <c r="J338" i="6" l="1"/>
  <c r="K338" i="6" s="1"/>
  <c r="H339" i="6"/>
  <c r="J333" i="29"/>
  <c r="L333" i="29"/>
  <c r="I334" i="29"/>
  <c r="J334" i="29" s="1"/>
  <c r="G334" i="29"/>
  <c r="H335" i="29"/>
  <c r="K334" i="29" l="1"/>
  <c r="L334" i="29"/>
  <c r="J339" i="6"/>
  <c r="K339" i="6" s="1"/>
  <c r="H340" i="6" s="1"/>
  <c r="G335" i="29"/>
  <c r="H336" i="29"/>
  <c r="I335" i="29"/>
  <c r="L335" i="29" s="1"/>
  <c r="J340" i="6" l="1"/>
  <c r="K340" i="6" s="1"/>
  <c r="H341" i="6" s="1"/>
  <c r="J335" i="29"/>
  <c r="H337" i="29"/>
  <c r="I336" i="29"/>
  <c r="L336" i="29" s="1"/>
  <c r="G336" i="29"/>
  <c r="K335" i="29"/>
  <c r="K336" i="29" l="1"/>
  <c r="J341" i="6"/>
  <c r="K341" i="6" s="1"/>
  <c r="H342" i="6" s="1"/>
  <c r="G337" i="29"/>
  <c r="H338" i="29"/>
  <c r="I337" i="29"/>
  <c r="J337" i="29" s="1"/>
  <c r="J336" i="29"/>
  <c r="L337" i="29" l="1"/>
  <c r="K337" i="29"/>
  <c r="J342" i="6"/>
  <c r="K342" i="6" s="1"/>
  <c r="H343" i="6" s="1"/>
  <c r="H339" i="29"/>
  <c r="I338" i="29"/>
  <c r="J338" i="29" s="1"/>
  <c r="G338" i="29"/>
  <c r="J343" i="6" l="1"/>
  <c r="K343" i="6" s="1"/>
  <c r="H344" i="6" s="1"/>
  <c r="K338" i="29"/>
  <c r="L338" i="29"/>
  <c r="G339" i="29"/>
  <c r="H340" i="29"/>
  <c r="I339" i="29"/>
  <c r="J339" i="29" s="1"/>
  <c r="J344" i="6" l="1"/>
  <c r="K344" i="6" s="1"/>
  <c r="H345" i="6" s="1"/>
  <c r="I340" i="29"/>
  <c r="L340" i="29" s="1"/>
  <c r="G340" i="29"/>
  <c r="H341" i="29"/>
  <c r="L339" i="29"/>
  <c r="K339" i="29"/>
  <c r="K340" i="29" l="1"/>
  <c r="J340" i="29"/>
  <c r="J345" i="6"/>
  <c r="K345" i="6" s="1"/>
  <c r="H346" i="6" s="1"/>
  <c r="G341" i="29"/>
  <c r="H342" i="29"/>
  <c r="I341" i="29"/>
  <c r="J341" i="29" s="1"/>
  <c r="I342" i="29" l="1"/>
  <c r="J342" i="29" s="1"/>
  <c r="G342" i="29"/>
  <c r="H343" i="29"/>
  <c r="L341" i="29"/>
  <c r="K341" i="29"/>
  <c r="J346" i="6"/>
  <c r="K346" i="6" s="1"/>
  <c r="H347" i="6" s="1"/>
  <c r="L342" i="29" l="1"/>
  <c r="J347" i="6"/>
  <c r="K347" i="6" s="1"/>
  <c r="H348" i="6" s="1"/>
  <c r="H344" i="29"/>
  <c r="G343" i="29"/>
  <c r="I343" i="29"/>
  <c r="K343" i="29" s="1"/>
  <c r="K342" i="29"/>
  <c r="L343" i="29" l="1"/>
  <c r="J348" i="6"/>
  <c r="K348" i="6" s="1"/>
  <c r="H349" i="6" s="1"/>
  <c r="I344" i="29"/>
  <c r="K344" i="29" s="1"/>
  <c r="G344" i="29"/>
  <c r="H345" i="29"/>
  <c r="J343" i="29"/>
  <c r="J349" i="6" l="1"/>
  <c r="K349" i="6" s="1"/>
  <c r="H350" i="6" s="1"/>
  <c r="J344" i="29"/>
  <c r="L344" i="29"/>
  <c r="H346" i="29"/>
  <c r="G345" i="29"/>
  <c r="I345" i="29"/>
  <c r="L345" i="29" s="1"/>
  <c r="J350" i="6" l="1"/>
  <c r="K350" i="6" s="1"/>
  <c r="H351" i="6"/>
  <c r="K345" i="29"/>
  <c r="H347" i="29"/>
  <c r="I346" i="29"/>
  <c r="L346" i="29" s="1"/>
  <c r="G346" i="29"/>
  <c r="J345" i="29"/>
  <c r="K346" i="29" l="1"/>
  <c r="J346" i="29"/>
  <c r="H348" i="29"/>
  <c r="G347" i="29"/>
  <c r="I347" i="29"/>
  <c r="J347" i="29" s="1"/>
  <c r="J351" i="6"/>
  <c r="K351" i="6" s="1"/>
  <c r="H352" i="6" s="1"/>
  <c r="K347" i="29" l="1"/>
  <c r="L347" i="29"/>
  <c r="I348" i="29"/>
  <c r="K348" i="29" s="1"/>
  <c r="G348" i="29"/>
  <c r="H349" i="29"/>
  <c r="J352" i="6"/>
  <c r="K352" i="6" s="1"/>
  <c r="H353" i="6" s="1"/>
  <c r="J348" i="29" l="1"/>
  <c r="H350" i="29"/>
  <c r="G349" i="29"/>
  <c r="I349" i="29"/>
  <c r="L349" i="29" s="1"/>
  <c r="J353" i="6"/>
  <c r="K353" i="6" s="1"/>
  <c r="H354" i="6" s="1"/>
  <c r="L348" i="29"/>
  <c r="J354" i="6" l="1"/>
  <c r="K354" i="6" s="1"/>
  <c r="H355" i="6" s="1"/>
  <c r="K349" i="29"/>
  <c r="I350" i="29"/>
  <c r="K350" i="29" s="1"/>
  <c r="G350" i="29"/>
  <c r="H351" i="29"/>
  <c r="J349" i="29"/>
  <c r="J350" i="29" l="1"/>
  <c r="L350" i="29"/>
  <c r="J355" i="6"/>
  <c r="K355" i="6" s="1"/>
  <c r="H356" i="6" s="1"/>
  <c r="H352" i="29"/>
  <c r="G351" i="29"/>
  <c r="I351" i="29"/>
  <c r="K351" i="29" s="1"/>
  <c r="I352" i="29" l="1"/>
  <c r="L352" i="29" s="1"/>
  <c r="K352" i="29"/>
  <c r="G352" i="29"/>
  <c r="H353" i="29"/>
  <c r="J351" i="29"/>
  <c r="L351" i="29"/>
  <c r="J356" i="6"/>
  <c r="K356" i="6" s="1"/>
  <c r="H357" i="6" s="1"/>
  <c r="J352" i="29" l="1"/>
  <c r="J357" i="6"/>
  <c r="K357" i="6" s="1"/>
  <c r="H358" i="6" s="1"/>
  <c r="H354" i="29"/>
  <c r="G353" i="29"/>
  <c r="I353" i="29"/>
  <c r="J353" i="29" s="1"/>
  <c r="J358" i="6" l="1"/>
  <c r="K358" i="6" s="1"/>
  <c r="H359" i="6" s="1"/>
  <c r="I354" i="29"/>
  <c r="K354" i="29" s="1"/>
  <c r="G354" i="29"/>
  <c r="H355" i="29"/>
  <c r="L353" i="29"/>
  <c r="K353" i="29"/>
  <c r="J354" i="29" l="1"/>
  <c r="L354" i="29"/>
  <c r="H356" i="29"/>
  <c r="G355" i="29"/>
  <c r="I355" i="29"/>
  <c r="L355" i="29" s="1"/>
  <c r="J359" i="6"/>
  <c r="K359" i="6" s="1"/>
  <c r="H360" i="6" s="1"/>
  <c r="K355" i="29" l="1"/>
  <c r="J355" i="29"/>
  <c r="J360" i="6"/>
  <c r="K360" i="6" s="1"/>
  <c r="H361" i="6" s="1"/>
  <c r="I356" i="29"/>
  <c r="K356" i="29" s="1"/>
  <c r="G356" i="29"/>
  <c r="H357" i="29"/>
  <c r="J361" i="6" l="1"/>
  <c r="K361" i="6" s="1"/>
  <c r="H362" i="6" s="1"/>
  <c r="J356" i="29"/>
  <c r="L356" i="29"/>
  <c r="G357" i="29"/>
  <c r="H358" i="29"/>
  <c r="I357" i="29"/>
  <c r="J357" i="29" s="1"/>
  <c r="L357" i="29" l="1"/>
  <c r="I358" i="29"/>
  <c r="K358" i="29" s="1"/>
  <c r="G358" i="29"/>
  <c r="H359" i="29"/>
  <c r="K357" i="29"/>
  <c r="J362" i="6"/>
  <c r="K362" i="6" s="1"/>
  <c r="H363" i="6" s="1"/>
  <c r="L358" i="29" l="1"/>
  <c r="J358" i="29"/>
  <c r="J363" i="6"/>
  <c r="K363" i="6" s="1"/>
  <c r="H364" i="6" s="1"/>
  <c r="G359" i="29"/>
  <c r="H360" i="29"/>
  <c r="I359" i="29"/>
  <c r="K359" i="29" s="1"/>
  <c r="J364" i="6" l="1"/>
  <c r="K364" i="6" s="1"/>
  <c r="H365" i="6" s="1"/>
  <c r="J359" i="29"/>
  <c r="L359" i="29"/>
  <c r="I360" i="29"/>
  <c r="L360" i="29" s="1"/>
  <c r="G360" i="29"/>
  <c r="H361" i="29"/>
  <c r="K360" i="29" l="1"/>
  <c r="J365" i="6"/>
  <c r="K365" i="6" s="1"/>
  <c r="H366" i="6" s="1"/>
  <c r="J360" i="29"/>
  <c r="G361" i="29"/>
  <c r="H362" i="29"/>
  <c r="I361" i="29"/>
  <c r="L361" i="29" s="1"/>
  <c r="K361" i="29" l="1"/>
  <c r="J361" i="29"/>
  <c r="J366" i="6"/>
  <c r="K366" i="6" s="1"/>
  <c r="H367" i="6" s="1"/>
  <c r="I362" i="29"/>
  <c r="L362" i="29" s="1"/>
  <c r="G362" i="29"/>
  <c r="H363" i="29"/>
  <c r="J367" i="6" l="1"/>
  <c r="K367" i="6" s="1"/>
  <c r="H368" i="6"/>
  <c r="G363" i="29"/>
  <c r="H364" i="29"/>
  <c r="I363" i="29"/>
  <c r="J363" i="29" s="1"/>
  <c r="K362" i="29"/>
  <c r="J362" i="29"/>
  <c r="L363" i="29" l="1"/>
  <c r="K363" i="29"/>
  <c r="J368" i="6"/>
  <c r="K368" i="6" s="1"/>
  <c r="H369" i="6" s="1"/>
  <c r="I364" i="29"/>
  <c r="L364" i="29" s="1"/>
  <c r="G364" i="29"/>
  <c r="H365" i="29"/>
  <c r="K364" i="29" l="1"/>
  <c r="J369" i="6"/>
  <c r="K369" i="6" s="1"/>
  <c r="H370" i="6" s="1"/>
  <c r="J364" i="29"/>
  <c r="G365" i="29"/>
  <c r="H366" i="29"/>
  <c r="I365" i="29"/>
  <c r="K365" i="29" s="1"/>
  <c r="J365" i="29" l="1"/>
  <c r="J370" i="6"/>
  <c r="K370" i="6" s="1"/>
  <c r="H371" i="6" s="1"/>
  <c r="L365" i="29"/>
  <c r="I366" i="29"/>
  <c r="L366" i="29" s="1"/>
  <c r="G366" i="29"/>
  <c r="H367" i="29"/>
  <c r="J366" i="29" l="1"/>
  <c r="J371" i="6"/>
  <c r="K371" i="6" s="1"/>
  <c r="H372" i="6" s="1"/>
  <c r="J367" i="29"/>
  <c r="K367" i="29"/>
  <c r="G367" i="29"/>
  <c r="G368" i="29" s="1"/>
  <c r="I367" i="29"/>
  <c r="L367" i="29"/>
  <c r="L368" i="29" s="1"/>
  <c r="E18" i="29" s="1"/>
  <c r="B31" i="29" s="1"/>
  <c r="K366" i="29"/>
  <c r="K368" i="29" l="1"/>
  <c r="E19" i="29" s="1"/>
  <c r="J372" i="6"/>
  <c r="K372" i="6" s="1"/>
  <c r="H373" i="6" s="1"/>
  <c r="B30" i="29"/>
  <c r="B32" i="29" s="1"/>
  <c r="B35" i="29" s="1"/>
  <c r="E17" i="29"/>
  <c r="J373" i="6" l="1"/>
  <c r="K373" i="6" s="1"/>
  <c r="H374" i="6" s="1"/>
  <c r="J374" i="6" l="1"/>
  <c r="K374" i="6" s="1"/>
  <c r="H375" i="6" s="1"/>
  <c r="J375" i="6" l="1"/>
  <c r="K375" i="6" s="1"/>
  <c r="H376" i="6" s="1"/>
  <c r="J376" i="6" l="1"/>
  <c r="K376" i="6" s="1"/>
  <c r="H377" i="6" s="1"/>
  <c r="J377" i="6" l="1"/>
  <c r="K377" i="6" s="1"/>
  <c r="H378" i="6" s="1"/>
  <c r="J378" i="6" l="1"/>
  <c r="K378" i="6" s="1"/>
  <c r="H379" i="6" s="1"/>
  <c r="J379" i="6" l="1"/>
  <c r="K379" i="6" s="1"/>
  <c r="H380" i="6" s="1"/>
  <c r="J380" i="6" l="1"/>
  <c r="K380" i="6" s="1"/>
  <c r="H381" i="6" s="1"/>
  <c r="J381" i="6" l="1"/>
  <c r="K381" i="6" s="1"/>
  <c r="H382" i="6" s="1"/>
  <c r="J382" i="6" l="1"/>
  <c r="K382" i="6" s="1"/>
  <c r="H383" i="6" s="1"/>
  <c r="J383" i="6" l="1"/>
  <c r="K383" i="6" s="1"/>
  <c r="H384" i="6" s="1"/>
  <c r="J384" i="6" l="1"/>
  <c r="K384" i="6" s="1"/>
  <c r="H385" i="6" s="1"/>
  <c r="J385" i="6" l="1"/>
  <c r="K385" i="6" s="1"/>
  <c r="H386" i="6" s="1"/>
  <c r="J386" i="6" l="1"/>
  <c r="K386" i="6" s="1"/>
  <c r="H387" i="6" s="1"/>
  <c r="J387" i="6" l="1"/>
  <c r="K387" i="6" s="1"/>
  <c r="H388" i="6" s="1"/>
  <c r="J388" i="6" l="1"/>
  <c r="K388" i="6" s="1"/>
  <c r="H389" i="6" s="1"/>
  <c r="J389" i="6" l="1"/>
  <c r="K389" i="6" s="1"/>
  <c r="H390" i="6" s="1"/>
  <c r="J390" i="6" l="1"/>
  <c r="K390" i="6" s="1"/>
  <c r="H391" i="6" s="1"/>
  <c r="J391" i="6" l="1"/>
  <c r="K391" i="6" s="1"/>
  <c r="H392" i="6" s="1"/>
  <c r="J392" i="6" l="1"/>
  <c r="K392" i="6" s="1"/>
  <c r="H393" i="6" s="1"/>
  <c r="J393" i="6" l="1"/>
  <c r="K393" i="6" s="1"/>
  <c r="H394" i="6" s="1"/>
  <c r="J394" i="6" l="1"/>
  <c r="K394" i="6" s="1"/>
  <c r="H395" i="6" s="1"/>
  <c r="J395" i="6" l="1"/>
  <c r="K395" i="6" s="1"/>
  <c r="H396" i="6" s="1"/>
  <c r="J396" i="6" l="1"/>
  <c r="K396" i="6" s="1"/>
  <c r="H397" i="6" s="1"/>
  <c r="J397" i="6" l="1"/>
  <c r="K397" i="6" s="1"/>
  <c r="H398" i="6" s="1"/>
  <c r="J398" i="6" l="1"/>
  <c r="K398" i="6" s="1"/>
  <c r="H399" i="6" s="1"/>
  <c r="J399" i="6" l="1"/>
  <c r="K399" i="6" s="1"/>
  <c r="H400" i="6" s="1"/>
  <c r="J400" i="6" l="1"/>
  <c r="K400" i="6" s="1"/>
  <c r="H401" i="6" s="1"/>
  <c r="J401" i="6" l="1"/>
  <c r="K401" i="6" s="1"/>
  <c r="H402" i="6" s="1"/>
  <c r="J402" i="6" l="1"/>
  <c r="K402" i="6" s="1"/>
  <c r="H403" i="6" s="1"/>
  <c r="J403" i="6" l="1"/>
  <c r="K403" i="6" s="1"/>
  <c r="H404" i="6" s="1"/>
  <c r="J404" i="6" l="1"/>
  <c r="K404" i="6" s="1"/>
  <c r="H405" i="6" s="1"/>
  <c r="J405" i="6" l="1"/>
  <c r="K405" i="6" s="1"/>
  <c r="H406" i="6" s="1"/>
  <c r="J406" i="6" l="1"/>
  <c r="K406" i="6" s="1"/>
  <c r="H407" i="6" s="1"/>
  <c r="J407" i="6" l="1"/>
  <c r="K407" i="6" s="1"/>
  <c r="H408" i="6" s="1"/>
  <c r="J408" i="6" l="1"/>
  <c r="K408" i="6" s="1"/>
  <c r="H409" i="6" s="1"/>
  <c r="J409" i="6" l="1"/>
  <c r="K409" i="6" s="1"/>
  <c r="H410" i="6" s="1"/>
  <c r="J410" i="6" l="1"/>
  <c r="K410" i="6" s="1"/>
  <c r="H411" i="6" s="1"/>
  <c r="J411" i="6" l="1"/>
  <c r="K411" i="6" s="1"/>
  <c r="H412" i="6" s="1"/>
  <c r="J412" i="6" l="1"/>
  <c r="K412" i="6" s="1"/>
  <c r="H413" i="6" s="1"/>
  <c r="J413" i="6" l="1"/>
  <c r="K413" i="6" s="1"/>
  <c r="H414" i="6" s="1"/>
  <c r="J414" i="6" l="1"/>
  <c r="K414" i="6" s="1"/>
  <c r="H415" i="6" s="1"/>
  <c r="J415" i="6" l="1"/>
  <c r="K415" i="6" s="1"/>
  <c r="H416" i="6" s="1"/>
  <c r="J416" i="6" l="1"/>
  <c r="K416" i="6" s="1"/>
  <c r="H417" i="6" s="1"/>
  <c r="J417" i="6" l="1"/>
  <c r="K417" i="6" s="1"/>
  <c r="H418" i="6" s="1"/>
  <c r="J418" i="6" l="1"/>
  <c r="K418" i="6" s="1"/>
  <c r="H419" i="6" s="1"/>
  <c r="J419" i="6" l="1"/>
  <c r="K419" i="6" s="1"/>
  <c r="H420" i="6" s="1"/>
  <c r="J420" i="6" l="1"/>
  <c r="K420" i="6" s="1"/>
  <c r="H421" i="6" s="1"/>
  <c r="J421" i="6" l="1"/>
  <c r="K421" i="6" s="1"/>
  <c r="H422" i="6" s="1"/>
  <c r="J422" i="6" l="1"/>
  <c r="K422" i="6" s="1"/>
  <c r="H423" i="6" s="1"/>
  <c r="J423" i="6" l="1"/>
  <c r="K423" i="6" s="1"/>
  <c r="H424" i="6" s="1"/>
  <c r="J424" i="6" l="1"/>
  <c r="K424" i="6" s="1"/>
  <c r="H425" i="6" s="1"/>
  <c r="J425" i="6" l="1"/>
  <c r="K425" i="6" s="1"/>
  <c r="H426" i="6" s="1"/>
  <c r="J426" i="6" l="1"/>
  <c r="K426" i="6" s="1"/>
  <c r="H427" i="6" s="1"/>
  <c r="J427" i="6" l="1"/>
  <c r="K427" i="6" s="1"/>
  <c r="H428" i="6" s="1"/>
  <c r="J428" i="6" l="1"/>
  <c r="K428" i="6" s="1"/>
  <c r="H429" i="6" s="1"/>
  <c r="J429" i="6" l="1"/>
  <c r="K429" i="6" s="1"/>
  <c r="H430" i="6" s="1"/>
  <c r="J430" i="6" l="1"/>
  <c r="K430" i="6" s="1"/>
  <c r="H431" i="6" s="1"/>
  <c r="J431" i="6" l="1"/>
  <c r="K431" i="6" s="1"/>
  <c r="H432" i="6" s="1"/>
  <c r="J432" i="6" l="1"/>
  <c r="K432" i="6" s="1"/>
  <c r="H433" i="6" s="1"/>
  <c r="J433" i="6" l="1"/>
  <c r="K433" i="6" s="1"/>
  <c r="H434" i="6" s="1"/>
  <c r="J434" i="6" l="1"/>
  <c r="K434" i="6" s="1"/>
  <c r="H435" i="6" s="1"/>
  <c r="J435" i="6" l="1"/>
  <c r="K435" i="6" s="1"/>
  <c r="H436" i="6" s="1"/>
  <c r="J436" i="6" l="1"/>
  <c r="K436" i="6" s="1"/>
  <c r="H437" i="6" s="1"/>
  <c r="J437" i="6" l="1"/>
  <c r="K437" i="6" s="1"/>
  <c r="H438" i="6" s="1"/>
  <c r="J438" i="6" l="1"/>
  <c r="K438" i="6" s="1"/>
  <c r="H439" i="6" s="1"/>
  <c r="J439" i="6" l="1"/>
  <c r="K439" i="6" s="1"/>
  <c r="H440" i="6" s="1"/>
  <c r="J440" i="6" l="1"/>
  <c r="K440" i="6" s="1"/>
  <c r="H441" i="6" s="1"/>
  <c r="J441" i="6" l="1"/>
  <c r="K441" i="6" s="1"/>
  <c r="H442" i="6" s="1"/>
  <c r="J442" i="6" l="1"/>
  <c r="K442" i="6" s="1"/>
  <c r="H443" i="6" s="1"/>
  <c r="J443" i="6" l="1"/>
  <c r="K443" i="6" s="1"/>
  <c r="H444" i="6" s="1"/>
  <c r="J444" i="6" l="1"/>
  <c r="K444" i="6" s="1"/>
  <c r="H445" i="6" s="1"/>
  <c r="J445" i="6" l="1"/>
  <c r="K445" i="6" s="1"/>
  <c r="H446" i="6" s="1"/>
  <c r="J446" i="6" l="1"/>
  <c r="K446" i="6" s="1"/>
  <c r="H447" i="6" s="1"/>
  <c r="J447" i="6" l="1"/>
  <c r="K447" i="6" s="1"/>
  <c r="H448" i="6" s="1"/>
  <c r="J448" i="6" l="1"/>
  <c r="K448" i="6" s="1"/>
  <c r="H449" i="6" s="1"/>
  <c r="J449" i="6" l="1"/>
  <c r="K449" i="6" s="1"/>
  <c r="H450" i="6" s="1"/>
  <c r="J450" i="6" l="1"/>
  <c r="K450" i="6" s="1"/>
  <c r="H451" i="6" s="1"/>
  <c r="J451" i="6" l="1"/>
  <c r="K451" i="6" s="1"/>
  <c r="H452" i="6" s="1"/>
  <c r="J452" i="6" l="1"/>
  <c r="K452" i="6" s="1"/>
  <c r="H453" i="6" s="1"/>
  <c r="J453" i="6" l="1"/>
  <c r="K453" i="6" s="1"/>
  <c r="H454" i="6" s="1"/>
  <c r="J454" i="6" l="1"/>
  <c r="K454" i="6" s="1"/>
  <c r="H455" i="6" s="1"/>
  <c r="J455" i="6" l="1"/>
  <c r="K455" i="6" s="1"/>
  <c r="H456" i="6" s="1"/>
  <c r="J456" i="6" l="1"/>
  <c r="K456" i="6" s="1"/>
  <c r="H457" i="6" s="1"/>
  <c r="J457" i="6" l="1"/>
  <c r="K457" i="6" s="1"/>
  <c r="H458" i="6" s="1"/>
  <c r="J458" i="6" l="1"/>
  <c r="K458" i="6" s="1"/>
  <c r="H459" i="6" s="1"/>
  <c r="J459" i="6" l="1"/>
  <c r="K459" i="6" s="1"/>
  <c r="H460" i="6" s="1"/>
  <c r="J460" i="6" l="1"/>
  <c r="K460" i="6" s="1"/>
  <c r="H461" i="6" s="1"/>
  <c r="J461" i="6" l="1"/>
  <c r="K461" i="6" s="1"/>
  <c r="H462" i="6" s="1"/>
  <c r="J462" i="6" l="1"/>
  <c r="K462" i="6" s="1"/>
  <c r="H463" i="6" s="1"/>
  <c r="J463" i="6" l="1"/>
  <c r="K463" i="6" s="1"/>
  <c r="H464" i="6" s="1"/>
  <c r="J464" i="6" l="1"/>
  <c r="K464" i="6" s="1"/>
  <c r="H465" i="6" s="1"/>
  <c r="J465" i="6" l="1"/>
  <c r="K465" i="6" s="1"/>
  <c r="H466" i="6" s="1"/>
  <c r="J466" i="6" l="1"/>
  <c r="K466" i="6" s="1"/>
  <c r="H467" i="6" s="1"/>
  <c r="J467" i="6" l="1"/>
  <c r="K467" i="6" s="1"/>
  <c r="H468" i="6" s="1"/>
  <c r="J468" i="6" l="1"/>
  <c r="K468" i="6" s="1"/>
  <c r="H469" i="6" s="1"/>
  <c r="J469" i="6" l="1"/>
  <c r="K469" i="6" s="1"/>
  <c r="H470" i="6" s="1"/>
  <c r="J470" i="6" l="1"/>
  <c r="K470" i="6" s="1"/>
  <c r="H471" i="6" s="1"/>
  <c r="J471" i="6" l="1"/>
  <c r="K471" i="6" s="1"/>
  <c r="H472" i="6" s="1"/>
  <c r="J472" i="6" l="1"/>
  <c r="K472" i="6" s="1"/>
  <c r="H473" i="6" s="1"/>
  <c r="J473" i="6" l="1"/>
  <c r="K473" i="6" s="1"/>
  <c r="H474" i="6"/>
  <c r="J474" i="6" l="1"/>
  <c r="K474" i="6" s="1"/>
  <c r="H475" i="6" s="1"/>
  <c r="J475" i="6" l="1"/>
  <c r="K475" i="6" s="1"/>
  <c r="H476" i="6" s="1"/>
  <c r="J476" i="6" l="1"/>
  <c r="K476" i="6" s="1"/>
  <c r="H477" i="6" s="1"/>
  <c r="J477" i="6" l="1"/>
  <c r="K477" i="6" s="1"/>
  <c r="H478" i="6" s="1"/>
  <c r="J478" i="6" l="1"/>
  <c r="K478" i="6" s="1"/>
  <c r="H479" i="6" s="1"/>
  <c r="J479" i="6" l="1"/>
  <c r="K479" i="6" s="1"/>
  <c r="H480" i="6" s="1"/>
  <c r="J480" i="6" l="1"/>
  <c r="K480" i="6" s="1"/>
  <c r="H481" i="6" s="1"/>
  <c r="J481" i="6" l="1"/>
  <c r="K481" i="6" s="1"/>
  <c r="H482" i="6" s="1"/>
  <c r="J482" i="6" l="1"/>
  <c r="K482" i="6" s="1"/>
  <c r="H483" i="6" s="1"/>
  <c r="J483" i="6" l="1"/>
  <c r="K483" i="6" s="1"/>
  <c r="H484" i="6" s="1"/>
  <c r="J484" i="6" l="1"/>
  <c r="K484" i="6" s="1"/>
  <c r="H485" i="6" s="1"/>
  <c r="J485" i="6" l="1"/>
  <c r="K485" i="6" s="1"/>
  <c r="H486" i="6" s="1"/>
  <c r="J486" i="6" l="1"/>
  <c r="K486" i="6" s="1"/>
  <c r="H487" i="6" s="1"/>
  <c r="J487" i="6" l="1"/>
  <c r="K487" i="6" s="1"/>
  <c r="H488" i="6" s="1"/>
  <c r="J488" i="6" l="1"/>
  <c r="K488" i="6" s="1"/>
  <c r="H489" i="6" s="1"/>
  <c r="J489" i="6" l="1"/>
  <c r="K489" i="6" s="1"/>
  <c r="H490" i="6" s="1"/>
  <c r="J490" i="6" l="1"/>
  <c r="K490" i="6" s="1"/>
  <c r="H491" i="6" s="1"/>
  <c r="J491" i="6" l="1"/>
  <c r="K491" i="6" s="1"/>
  <c r="H492" i="6" s="1"/>
  <c r="J492" i="6" l="1"/>
  <c r="K492" i="6" s="1"/>
  <c r="H493" i="6" s="1"/>
  <c r="J493" i="6" l="1"/>
  <c r="K493" i="6" s="1"/>
  <c r="H494" i="6" s="1"/>
  <c r="J494" i="6" l="1"/>
  <c r="K494" i="6" s="1"/>
  <c r="H495" i="6" s="1"/>
  <c r="J495" i="6" l="1"/>
  <c r="K495" i="6" s="1"/>
  <c r="D22" i="6"/>
  <c r="D20" i="6" s="1"/>
</calcChain>
</file>

<file path=xl/comments1.xml><?xml version="1.0" encoding="utf-8"?>
<comments xmlns="http://schemas.openxmlformats.org/spreadsheetml/2006/main">
  <authors>
    <author>habich</author>
  </authors>
  <commentList>
    <comment ref="AJ4" authorId="0" shapeId="0">
      <text>
        <r>
          <rPr>
            <sz val="8"/>
            <color indexed="81"/>
            <rFont val="Tahoma"/>
            <family val="2"/>
          </rPr>
          <t xml:space="preserve">optional plus Überstunden
</t>
        </r>
      </text>
    </comment>
  </commentList>
</comments>
</file>

<file path=xl/comments2.xml><?xml version="1.0" encoding="utf-8"?>
<comments xmlns="http://schemas.openxmlformats.org/spreadsheetml/2006/main">
  <authors>
    <author>Habich</author>
  </authors>
  <commentList>
    <comment ref="T12" authorId="0" shapeId="0">
      <text>
        <r>
          <rPr>
            <sz val="9"/>
            <color indexed="81"/>
            <rFont val="Tahoma"/>
            <family val="2"/>
          </rPr>
          <t xml:space="preserve">geplante Vollkosten
</t>
        </r>
      </text>
    </comment>
    <comment ref="T14" authorId="0" shapeId="0">
      <text>
        <r>
          <rPr>
            <sz val="9"/>
            <color indexed="81"/>
            <rFont val="Tahoma"/>
            <family val="2"/>
          </rPr>
          <t xml:space="preserve">durchschn. SVS
</t>
        </r>
      </text>
    </comment>
    <comment ref="T15" authorId="0" shapeId="0">
      <text>
        <r>
          <rPr>
            <sz val="9"/>
            <color indexed="81"/>
            <rFont val="Tahoma"/>
            <family val="2"/>
          </rPr>
          <t xml:space="preserve">geplante verrechenbare Stunden
</t>
        </r>
      </text>
    </comment>
    <comment ref="T16" authorId="0" shapeId="0">
      <text>
        <r>
          <rPr>
            <sz val="9"/>
            <color indexed="81"/>
            <rFont val="Tahoma"/>
            <family val="2"/>
          </rPr>
          <t xml:space="preserve">Vollkostensatz/h
Mindest-Wertschöpfung/h
</t>
        </r>
      </text>
    </comment>
  </commentList>
</comments>
</file>

<file path=xl/comments3.xml><?xml version="1.0" encoding="utf-8"?>
<comments xmlns="http://schemas.openxmlformats.org/spreadsheetml/2006/main">
  <authors>
    <author>Ohlmann</author>
  </authors>
  <commentList>
    <comment ref="A136" authorId="0" shapeId="0">
      <text>
        <r>
          <rPr>
            <sz val="9"/>
            <color indexed="81"/>
            <rFont val="Tahoma"/>
            <family val="2"/>
          </rPr>
          <t>wenn Spalten auf dem Registerblatt "Auftragsplanung" hinzugefügt wurden, hier bitte manuell anpassen</t>
        </r>
      </text>
    </comment>
  </commentList>
</comments>
</file>

<file path=xl/comments4.xml><?xml version="1.0" encoding="utf-8"?>
<comments xmlns="http://schemas.openxmlformats.org/spreadsheetml/2006/main">
  <authors>
    <author>Ihr Benutzername</author>
  </authors>
  <commentList>
    <comment ref="E3" authorId="0" shapeId="0">
      <text>
        <r>
          <rPr>
            <sz val="8"/>
            <color indexed="81"/>
            <rFont val="Tahoma"/>
            <family val="2"/>
          </rPr>
          <t xml:space="preserve">Verteilschlüssel
</t>
        </r>
      </text>
    </commen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5.xml><?xml version="1.0" encoding="utf-8"?>
<comments xmlns="http://schemas.openxmlformats.org/spreadsheetml/2006/main">
  <authors>
    <author>habich</author>
  </authors>
  <commentList>
    <comment ref="D16" authorId="0" shapeId="0">
      <text>
        <r>
          <rPr>
            <sz val="8"/>
            <color indexed="81"/>
            <rFont val="Tahoma"/>
            <family val="2"/>
          </rPr>
          <t xml:space="preserve">alternativ: Zielwertsuche
</t>
        </r>
      </text>
    </comment>
    <comment ref="D18" authorId="0" shapeId="0">
      <text>
        <r>
          <rPr>
            <sz val="8"/>
            <color indexed="81"/>
            <rFont val="Tahoma"/>
            <family val="2"/>
          </rPr>
          <t xml:space="preserve">alternativ: Zielwertsuche
</t>
        </r>
      </text>
    </comment>
    <comment ref="D20" authorId="0" shapeId="0">
      <text>
        <r>
          <rPr>
            <sz val="8"/>
            <color indexed="81"/>
            <rFont val="Tahoma"/>
            <family val="2"/>
          </rPr>
          <t xml:space="preserve">alternativ: Zielwertsuche
</t>
        </r>
      </text>
    </comment>
    <comment ref="D22" authorId="0" shapeId="0">
      <text>
        <r>
          <rPr>
            <sz val="8"/>
            <color indexed="81"/>
            <rFont val="Tahoma"/>
            <family val="2"/>
          </rPr>
          <t xml:space="preserve">alternativ: Zielwertsuche
</t>
        </r>
      </text>
    </comment>
    <comment ref="D24" authorId="0" shapeId="0">
      <text>
        <r>
          <rPr>
            <sz val="8"/>
            <color indexed="81"/>
            <rFont val="Tahoma"/>
            <family val="2"/>
          </rPr>
          <t xml:space="preserve">alternativ: Zielwertsuche
</t>
        </r>
      </text>
    </comment>
  </commentList>
</comments>
</file>

<file path=xl/comments6.xml><?xml version="1.0" encoding="utf-8"?>
<comments xmlns="http://schemas.openxmlformats.org/spreadsheetml/2006/main">
  <authors>
    <author>Ihr Benutzername</author>
  </authors>
  <commentList>
    <comment ref="K40" authorId="0" shapeId="0">
      <text>
        <r>
          <rPr>
            <sz val="8"/>
            <color indexed="81"/>
            <rFont val="Tahoma"/>
            <family val="2"/>
          </rPr>
          <t>Wenn Status &lt; 0 --&gt; Link zu "I47"
Wenn Status &gt; 0 --&gt; Link zu "J47"</t>
        </r>
      </text>
    </comment>
    <comment ref="K47" authorId="0" shapeId="0">
      <text>
        <r>
          <rPr>
            <sz val="8"/>
            <color indexed="81"/>
            <rFont val="Tahoma"/>
            <family val="2"/>
          </rPr>
          <t>manuelle Eingabe K46*100, max. "50"</t>
        </r>
      </text>
    </comment>
  </commentList>
</comments>
</file>

<file path=xl/comments7.xml><?xml version="1.0" encoding="utf-8"?>
<comments xmlns="http://schemas.openxmlformats.org/spreadsheetml/2006/main">
  <authors>
    <author>habich</author>
  </authors>
  <commentList>
    <comment ref="AE4" authorId="0" shapeId="0">
      <text>
        <r>
          <rPr>
            <sz val="8"/>
            <color indexed="81"/>
            <rFont val="Tahoma"/>
            <family val="2"/>
          </rPr>
          <t xml:space="preserve">optional plus Überstunden
</t>
        </r>
      </text>
    </comment>
  </commentList>
</comments>
</file>

<file path=xl/comments8.xml><?xml version="1.0" encoding="utf-8"?>
<comments xmlns="http://schemas.openxmlformats.org/spreadsheetml/2006/main">
  <authors>
    <author>Ihr Benutzername</author>
    <author>Herrscher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  <comment ref="G140" authorId="1" shapeId="0">
      <text>
        <r>
          <rPr>
            <b/>
            <sz val="9"/>
            <color indexed="81"/>
            <rFont val="Tahoma"/>
            <family val="2"/>
          </rPr>
          <t>Herrscher:</t>
        </r>
        <r>
          <rPr>
            <sz val="9"/>
            <color indexed="81"/>
            <rFont val="Tahoma"/>
            <family val="2"/>
          </rPr>
          <t xml:space="preserve">
Materialverkaufszuschlag</t>
        </r>
      </text>
    </comment>
  </commentList>
</comments>
</file>

<file path=xl/comments9.xml><?xml version="1.0" encoding="utf-8"?>
<comments xmlns="http://schemas.openxmlformats.org/spreadsheetml/2006/main">
  <authors>
    <author>Ihr Benutzername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10.xml><?xml version="1.0" encoding="utf-8"?>
<comments xmlns="http://schemas.openxmlformats.org/spreadsheetml/2006/main">
  <authors>
    <author>Ihr Benutzername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11.xml><?xml version="1.0" encoding="utf-8"?>
<comments xmlns="http://schemas.openxmlformats.org/spreadsheetml/2006/main">
  <authors>
    <author>Ihr Benutzername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12.xml><?xml version="1.0" encoding="utf-8"?>
<comments xmlns="http://schemas.openxmlformats.org/spreadsheetml/2006/main">
  <authors>
    <author>Ihr Benutzername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13.xml><?xml version="1.0" encoding="utf-8"?>
<comments xmlns="http://schemas.openxmlformats.org/spreadsheetml/2006/main">
  <authors>
    <author>Ihr Benutzername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14.xml><?xml version="1.0" encoding="utf-8"?>
<comments xmlns="http://schemas.openxmlformats.org/spreadsheetml/2006/main">
  <authors>
    <author>Ihr Benutzername</author>
  </authors>
  <commentList>
    <comment ref="E4" authorId="0" shapeId="0">
      <text>
        <r>
          <rPr>
            <sz val="8"/>
            <color indexed="81"/>
            <rFont val="Tahoma"/>
            <family val="2"/>
          </rPr>
          <t xml:space="preserve">Quadratmeter
</t>
        </r>
      </text>
    </comment>
    <comment ref="E6" authorId="0" shapeId="0">
      <text>
        <r>
          <rPr>
            <sz val="8"/>
            <color indexed="81"/>
            <rFont val="Tahoma"/>
            <family val="2"/>
          </rPr>
          <t xml:space="preserve">Anzahl Fahrzeuge
</t>
        </r>
      </text>
    </comment>
    <comment ref="E9" authorId="0" shapeId="0">
      <text>
        <r>
          <rPr>
            <sz val="8"/>
            <color indexed="81"/>
            <rFont val="Tahoma"/>
            <family val="2"/>
          </rPr>
          <t xml:space="preserve">Mannstärke
</t>
        </r>
      </text>
    </comment>
  </commentList>
</comments>
</file>

<file path=xl/comments15.xml><?xml version="1.0" encoding="utf-8"?>
<comments xmlns="http://schemas.openxmlformats.org/spreadsheetml/2006/main">
  <authors>
    <author>Ohlmann</author>
  </authors>
  <commentList>
    <comment ref="L4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5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5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  <comment ref="L20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21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21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  <comment ref="L36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37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37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  <comment ref="L52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53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53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  <comment ref="L68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69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69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  <comment ref="L84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85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85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  <comment ref="L100" authorId="0" shapeId="0">
      <text>
        <r>
          <rPr>
            <sz val="9"/>
            <color indexed="81"/>
            <rFont val="Tahoma"/>
            <family val="2"/>
          </rPr>
          <t>kopieren aus "Ist-Werte - akt. Periode"</t>
        </r>
      </text>
    </comment>
    <comment ref="B101" authorId="0" shapeId="0">
      <text>
        <r>
          <rPr>
            <sz val="9"/>
            <color indexed="81"/>
            <rFont val="Tahoma"/>
            <family val="2"/>
          </rPr>
          <t>Werte aus Kostenkalkulation</t>
        </r>
      </text>
    </comment>
    <comment ref="C101" authorId="0" shapeId="0">
      <text>
        <r>
          <rPr>
            <sz val="9"/>
            <color indexed="81"/>
            <rFont val="Tahoma"/>
            <family val="2"/>
          </rPr>
          <t>Summen aus Auftragsplanung</t>
        </r>
      </text>
    </comment>
  </commentList>
</comments>
</file>

<file path=xl/comments16.xml><?xml version="1.0" encoding="utf-8"?>
<comments xmlns="http://schemas.openxmlformats.org/spreadsheetml/2006/main">
  <authors>
    <author>metz</author>
  </authors>
  <commentList>
    <comment ref="D21" authorId="0" shapeId="0">
      <text>
        <r>
          <rPr>
            <b/>
            <sz val="8"/>
            <color indexed="81"/>
            <rFont val="Tahoma"/>
            <family val="2"/>
          </rPr>
          <t xml:space="preserve">Wert aus </t>
        </r>
        <r>
          <rPr>
            <sz val="8"/>
            <color indexed="81"/>
            <rFont val="Tahoma"/>
            <family val="2"/>
          </rPr>
          <t>Vorjahreszahlen entnehmen und mit aktueller Entwicklung vergleichen</t>
        </r>
      </text>
    </comment>
  </commentList>
</comments>
</file>

<file path=xl/comments17.xml><?xml version="1.0" encoding="utf-8"?>
<comments xmlns="http://schemas.openxmlformats.org/spreadsheetml/2006/main">
  <authors>
    <author>metz</author>
  </authors>
  <commentList>
    <comment ref="C11" authorId="0" shapeId="0">
      <text>
        <r>
          <rPr>
            <b/>
            <sz val="8"/>
            <color indexed="81"/>
            <rFont val="Tahoma"/>
            <family val="2"/>
          </rPr>
          <t>Brutto-Material-Zuschlag</t>
        </r>
      </text>
    </comment>
    <comment ref="H11" authorId="0" shapeId="0">
      <text>
        <r>
          <rPr>
            <b/>
            <sz val="8"/>
            <color indexed="81"/>
            <rFont val="Tahoma"/>
            <family val="2"/>
          </rPr>
          <t>Brutto-Material-Zuschlag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</rPr>
          <t>Netto-Material-Zuschlag</t>
        </r>
      </text>
    </comment>
    <comment ref="H12" authorId="0" shapeId="0">
      <text>
        <r>
          <rPr>
            <b/>
            <sz val="8"/>
            <color indexed="81"/>
            <rFont val="Tahoma"/>
            <family val="2"/>
          </rPr>
          <t>Netto-Material-Zuschlag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</rPr>
          <t>Netto-SVS</t>
        </r>
      </text>
    </comment>
    <comment ref="H14" authorId="0" shapeId="0">
      <text>
        <r>
          <rPr>
            <b/>
            <sz val="8"/>
            <color indexed="81"/>
            <rFont val="Tahoma"/>
            <family val="2"/>
          </rPr>
          <t>Netto-SVS</t>
        </r>
      </text>
    </comment>
    <comment ref="C15" authorId="0" shapeId="0">
      <text>
        <r>
          <rPr>
            <b/>
            <sz val="8"/>
            <color indexed="81"/>
            <rFont val="Tahoma"/>
            <family val="2"/>
          </rPr>
          <t>Brutto-SVS</t>
        </r>
      </text>
    </comment>
    <comment ref="H15" authorId="0" shapeId="0">
      <text>
        <r>
          <rPr>
            <b/>
            <sz val="8"/>
            <color indexed="81"/>
            <rFont val="Tahoma"/>
            <family val="2"/>
          </rPr>
          <t>Brutto-SVS</t>
        </r>
      </text>
    </comment>
  </commentList>
</comments>
</file>

<file path=xl/sharedStrings.xml><?xml version="1.0" encoding="utf-8"?>
<sst xmlns="http://schemas.openxmlformats.org/spreadsheetml/2006/main" count="5885" uniqueCount="1075">
  <si>
    <t>Gesamtkostenplanung</t>
  </si>
  <si>
    <t>Kostenart</t>
  </si>
  <si>
    <t>Raumkosten</t>
  </si>
  <si>
    <t>Betriebliche Kosten</t>
  </si>
  <si>
    <t>Werbung</t>
  </si>
  <si>
    <t>Kfz-Versicherungen</t>
  </si>
  <si>
    <t>Laufende Kfz-Betriebskosten</t>
  </si>
  <si>
    <t>Kfz-Reparaturen</t>
  </si>
  <si>
    <t>KFZ Steuer</t>
  </si>
  <si>
    <t>Versicherungen</t>
  </si>
  <si>
    <t>Beiträge</t>
  </si>
  <si>
    <t>Sonstiges</t>
  </si>
  <si>
    <t>Mietleasing bewegliche Wirtschaftsgüter</t>
  </si>
  <si>
    <t>Buchführung u. Jahresabschluss</t>
  </si>
  <si>
    <t>Beratungskosten</t>
  </si>
  <si>
    <t>Fortbildungskosten</t>
  </si>
  <si>
    <t>Porto</t>
  </si>
  <si>
    <t>Bürobedarf</t>
  </si>
  <si>
    <t>Zeitschriften, Bücher</t>
  </si>
  <si>
    <t>Arbeitskleidung</t>
  </si>
  <si>
    <t>Nebenkosten des Geldverkehrs</t>
  </si>
  <si>
    <t>Sonstiger Betriebsbedarf</t>
  </si>
  <si>
    <t>Werkzeuge und Kleingeräte</t>
  </si>
  <si>
    <t>Sonstige betriebl. Aufwendungen</t>
  </si>
  <si>
    <t>Immaterielle Vermögenswerte</t>
  </si>
  <si>
    <t>Technische Anlagen</t>
  </si>
  <si>
    <t>GWGs</t>
  </si>
  <si>
    <t>Estrichfräse</t>
  </si>
  <si>
    <t>Gesamtkosten</t>
  </si>
  <si>
    <t>Version Master-Template</t>
  </si>
  <si>
    <t>Tag im Jahr</t>
  </si>
  <si>
    <t>Datum</t>
  </si>
  <si>
    <t>Wochentag Nr.</t>
  </si>
  <si>
    <t>Wochentag Name</t>
  </si>
  <si>
    <t>Werktag</t>
  </si>
  <si>
    <t>Wochenende</t>
  </si>
  <si>
    <t>Monats-Nr.</t>
  </si>
  <si>
    <t>Monats-Name</t>
  </si>
  <si>
    <t>Januar</t>
  </si>
  <si>
    <t>Geschäftsjahr vs. Kalenderjahr</t>
  </si>
  <si>
    <t>Februar</t>
  </si>
  <si>
    <t>Name Betrieb</t>
  </si>
  <si>
    <t>Sample-Data</t>
  </si>
  <si>
    <t>März</t>
  </si>
  <si>
    <t>Geschäftsjahr beginnt im Jahr</t>
  </si>
  <si>
    <t>April</t>
  </si>
  <si>
    <t>Geschäftsjahr beginnt im Monat</t>
  </si>
  <si>
    <t>Mai</t>
  </si>
  <si>
    <t>Aktuell laufender Monat</t>
  </si>
  <si>
    <t>Juni</t>
  </si>
  <si>
    <t>Vorjahr</t>
  </si>
  <si>
    <t>Juli</t>
  </si>
  <si>
    <t>August</t>
  </si>
  <si>
    <t>Eigenkapital</t>
  </si>
  <si>
    <t>September</t>
  </si>
  <si>
    <t>Oktober</t>
  </si>
  <si>
    <t>November</t>
  </si>
  <si>
    <t>Dezember</t>
  </si>
  <si>
    <t>Liquidität</t>
  </si>
  <si>
    <t>kum. Kontostand (Bankkonten + Kasse) vor dem 1. erfassten Monat</t>
  </si>
  <si>
    <t>Zusammenfassung Statistik-Werte (siehe rechts)</t>
  </si>
  <si>
    <t>Kalendertage</t>
  </si>
  <si>
    <t>Kalk. Steuersätze in %</t>
  </si>
  <si>
    <t>Wochenend-Tage</t>
  </si>
  <si>
    <t>kalkulatorischer Steuersatz für Jahresplanung:</t>
  </si>
  <si>
    <t>Werktage und Feiertage an Werktagen</t>
  </si>
  <si>
    <t>kalkulatorischer Steuersatz für Ist-Monatszahlen:</t>
  </si>
  <si>
    <t>kalkulatorischer Steuersatz für Monatsplanung:</t>
  </si>
  <si>
    <t>Arbeitgeberanteile in %</t>
  </si>
  <si>
    <t>Berechnung Jahresarbeitszeit</t>
  </si>
  <si>
    <t>Tage / Jahr:</t>
  </si>
  <si>
    <t>Wochenendtage</t>
  </si>
  <si>
    <t>=Zahltage:</t>
  </si>
  <si>
    <t>Wochenarbeitszeit</t>
  </si>
  <si>
    <t>Tagesarbeitszeit:</t>
  </si>
  <si>
    <t>Normallohnstunden / Jahr:</t>
  </si>
  <si>
    <t>Zusammensetzung AG Anteile</t>
  </si>
  <si>
    <t>Krankenkasse</t>
  </si>
  <si>
    <t>Rentenkasse</t>
  </si>
  <si>
    <t>Pflegekasse</t>
  </si>
  <si>
    <t>Krankengeld</t>
  </si>
  <si>
    <t>Personalplanung</t>
  </si>
  <si>
    <t>Anzahl Mitarbeiter Gesamt:</t>
  </si>
  <si>
    <t>Funktion</t>
  </si>
  <si>
    <t>Vor- und Nachname</t>
  </si>
  <si>
    <t>Privatentnahmen</t>
  </si>
  <si>
    <t>Anwesenheit (Monate)</t>
  </si>
  <si>
    <t>Arbeitszeit pro Woche</t>
  </si>
  <si>
    <t>Normal-Lohnstunden</t>
  </si>
  <si>
    <t>Normal-Tagesstunden</t>
  </si>
  <si>
    <t>Überstunden</t>
  </si>
  <si>
    <t>geplante Lohnstunden</t>
  </si>
  <si>
    <t>Bruttolohn pro Stunde</t>
  </si>
  <si>
    <t>Plan-Bruttolohn pro Jahr</t>
  </si>
  <si>
    <t>Plan-Bruttogehalt</t>
  </si>
  <si>
    <t>Bruttogehalt / h</t>
  </si>
  <si>
    <t>Plausi-Bruttogehalt</t>
  </si>
  <si>
    <t>Vermögens-
wirksame Leistungen</t>
  </si>
  <si>
    <t>Prämie/ 
Boni</t>
  </si>
  <si>
    <t>Urlaubs-
Geld</t>
  </si>
  <si>
    <t>Weihnachts-Geld</t>
  </si>
  <si>
    <t>Plan-Gesamtbruttolohn</t>
  </si>
  <si>
    <t>Gesamtbrutto-Lohnjournal</t>
  </si>
  <si>
    <t>Lohnnebenkosten</t>
  </si>
  <si>
    <t>Lohn-Einkauf
(Personalaufwand)</t>
  </si>
  <si>
    <t>Feiertage</t>
  </si>
  <si>
    <t>Krankheitstage</t>
  </si>
  <si>
    <t>Fortbildungstage</t>
  </si>
  <si>
    <t>Urlaubstage</t>
  </si>
  <si>
    <t>Summe
Ausfalltage</t>
  </si>
  <si>
    <t>Verhältnis Produktivität
(in %)</t>
  </si>
  <si>
    <t>Personal-
einzel-
kosten</t>
  </si>
  <si>
    <t>Personalgemein-
kosten</t>
  </si>
  <si>
    <t>Plan-Anwesenheitsstunden
(produktiv Bereich)</t>
  </si>
  <si>
    <t>geplante Verrechnungsquote
(in %)</t>
  </si>
  <si>
    <t>geplante verrechnete Stunden</t>
  </si>
  <si>
    <t>Lohn-Einkauf pro Stunde</t>
  </si>
  <si>
    <t>Stunden-
verrechnungssatz</t>
  </si>
  <si>
    <t>Lohnumsatz</t>
  </si>
  <si>
    <t>Plausi</t>
  </si>
  <si>
    <t>%</t>
  </si>
  <si>
    <t>Plausi-%</t>
  </si>
  <si>
    <t>AG-Anteile</t>
  </si>
  <si>
    <t>sonst. LNK</t>
  </si>
  <si>
    <t>Geschäftsführer</t>
  </si>
  <si>
    <t>Kaufmännische Leitung</t>
  </si>
  <si>
    <t>Betriebsleiter</t>
  </si>
  <si>
    <t>Technischer Innendienst</t>
  </si>
  <si>
    <t>Empfang/ Ausstellung</t>
  </si>
  <si>
    <t>Lager</t>
  </si>
  <si>
    <t>Vorarbeiter</t>
  </si>
  <si>
    <t>Facharbeiter</t>
  </si>
  <si>
    <t>Azubi</t>
  </si>
  <si>
    <t>Reinemachefrau</t>
  </si>
  <si>
    <t>Summe</t>
  </si>
  <si>
    <t>Berechnung der Privatentnahme/ Unternehmerlohn</t>
  </si>
  <si>
    <t>Private Ausgaben</t>
  </si>
  <si>
    <t>im Monat</t>
  </si>
  <si>
    <t>Wohnen</t>
  </si>
  <si>
    <t>Miete</t>
  </si>
  <si>
    <t>Nebenkosten</t>
  </si>
  <si>
    <t>Heizung</t>
  </si>
  <si>
    <t>Strom</t>
  </si>
  <si>
    <t>Wasser</t>
  </si>
  <si>
    <t>Telefon</t>
  </si>
  <si>
    <t>Mobiltelefon</t>
  </si>
  <si>
    <t>GEZ</t>
  </si>
  <si>
    <t>Müll</t>
  </si>
  <si>
    <t>Einrichtung</t>
  </si>
  <si>
    <t>Unterhalt/ Reparaturen</t>
  </si>
  <si>
    <t>Lebenshaltung</t>
  </si>
  <si>
    <t>Essen und Trinken</t>
  </si>
  <si>
    <t>Kleidung</t>
  </si>
  <si>
    <t>Hobby</t>
  </si>
  <si>
    <t>Freizeit</t>
  </si>
  <si>
    <t>Urlaub</t>
  </si>
  <si>
    <t>Geschenke</t>
  </si>
  <si>
    <t>Kultur</t>
  </si>
  <si>
    <t>Personenversicherungen</t>
  </si>
  <si>
    <t>Rentenversicherung</t>
  </si>
  <si>
    <t>Krankenversicherung</t>
  </si>
  <si>
    <t>Arbeitslosenversicherung</t>
  </si>
  <si>
    <t>Lebensversicherung</t>
  </si>
  <si>
    <t>Unfallversicherung</t>
  </si>
  <si>
    <t>Berufsunfähigkeitsversicherung</t>
  </si>
  <si>
    <t>Sachversicherungen</t>
  </si>
  <si>
    <t>Privathaftpflicht</t>
  </si>
  <si>
    <t>Hausrat</t>
  </si>
  <si>
    <t>Feuer</t>
  </si>
  <si>
    <t>Leitungswasser, Glasversicherung</t>
  </si>
  <si>
    <t>Rechtsschutz</t>
  </si>
  <si>
    <t>Fahrzeug</t>
  </si>
  <si>
    <t>Leasing/ Finanzierung</t>
  </si>
  <si>
    <t>Versicherung</t>
  </si>
  <si>
    <t>Steuer</t>
  </si>
  <si>
    <t>Verbrauch</t>
  </si>
  <si>
    <t>Wartung</t>
  </si>
  <si>
    <t>Reparaturen</t>
  </si>
  <si>
    <t>Sonstige private Verpflichtungen</t>
  </si>
  <si>
    <t>Unterstützung Eltern/ Kinder</t>
  </si>
  <si>
    <t>Private Darlehen (Zins und Tilgung)</t>
  </si>
  <si>
    <t>Unterhaltsverpflichtungen</t>
  </si>
  <si>
    <t>Rücklagen</t>
  </si>
  <si>
    <t>Summe Ausgaben</t>
  </si>
  <si>
    <t>Private Einnahmen</t>
  </si>
  <si>
    <t>Mieteinkünfte</t>
  </si>
  <si>
    <t>Gehalt</t>
  </si>
  <si>
    <t>Rente</t>
  </si>
  <si>
    <t>Kindergeld</t>
  </si>
  <si>
    <t>Zinsen/Renten etc.</t>
  </si>
  <si>
    <t>Unterhalt</t>
  </si>
  <si>
    <t>Summe Einnahmen</t>
  </si>
  <si>
    <t>Summen- und Saldenliste</t>
  </si>
  <si>
    <t>Konto</t>
  </si>
  <si>
    <t>Bezeichnung</t>
  </si>
  <si>
    <t>EB-Wert Soll</t>
  </si>
  <si>
    <t xml:space="preserve"> EB-Wert Haben</t>
  </si>
  <si>
    <t>Saldo Soll</t>
  </si>
  <si>
    <t>Saldo Haben</t>
  </si>
  <si>
    <t>Monatswert Soll</t>
  </si>
  <si>
    <t>Monatswert Haben</t>
  </si>
  <si>
    <t>kum. Wert Soll</t>
  </si>
  <si>
    <t>kum. Wert Haben</t>
  </si>
  <si>
    <t>Kontozuordnung</t>
  </si>
  <si>
    <t>Monat</t>
  </si>
  <si>
    <t>Plan</t>
  </si>
  <si>
    <t>Ist</t>
  </si>
  <si>
    <t>Plan - Absolut</t>
  </si>
  <si>
    <t>Plan - Relativ</t>
  </si>
  <si>
    <t>Ist - Absolut</t>
  </si>
  <si>
    <t>Ist- Relativ</t>
  </si>
  <si>
    <t>Absolut</t>
  </si>
  <si>
    <t>Relativ</t>
  </si>
  <si>
    <t>I</t>
  </si>
  <si>
    <t>Gesamtleistung:</t>
  </si>
  <si>
    <t>Materialaufwand:</t>
  </si>
  <si>
    <t>II</t>
  </si>
  <si>
    <t>DB I:</t>
  </si>
  <si>
    <t>Personalaufwand:</t>
  </si>
  <si>
    <t>IV</t>
  </si>
  <si>
    <t>DB II:</t>
  </si>
  <si>
    <t>Kumuliert</t>
  </si>
  <si>
    <r>
      <rPr>
        <b/>
        <sz val="10"/>
        <rFont val="Arial"/>
        <family val="2"/>
      </rPr>
      <t>Fragestellung:</t>
    </r>
    <r>
      <rPr>
        <sz val="10"/>
        <rFont val="Arial"/>
        <family val="2"/>
      </rPr>
      <t xml:space="preserve"> Bei welcher Gesamtleistung würde das korriegierte Ergebnis bei gleichbleibender Marge und unter Berücksichtigung der aktuellen Kosten, 0 EUR entsprechen? </t>
    </r>
  </si>
  <si>
    <t>Minimum</t>
  </si>
  <si>
    <t>Werte in TEUR</t>
  </si>
  <si>
    <t>PLAN</t>
  </si>
  <si>
    <t>IST</t>
  </si>
  <si>
    <t>MIN</t>
  </si>
  <si>
    <t>Minimum - Absolut</t>
  </si>
  <si>
    <t>Minimum - Relativ</t>
  </si>
  <si>
    <t>GL:</t>
  </si>
  <si>
    <t>MA:</t>
  </si>
  <si>
    <t>XX</t>
  </si>
  <si>
    <t>Korrigiertes Ergebnis:</t>
  </si>
  <si>
    <t>Soll-DB I:</t>
  </si>
  <si>
    <t>PA:</t>
  </si>
  <si>
    <t xml:space="preserve">Soll-DB II: </t>
  </si>
  <si>
    <t>KORR:</t>
  </si>
  <si>
    <t>M-DB I:</t>
  </si>
  <si>
    <t>M-DB II:</t>
  </si>
  <si>
    <t xml:space="preserve"> </t>
  </si>
  <si>
    <t>S-DB I:</t>
  </si>
  <si>
    <t>S-DB II:</t>
  </si>
  <si>
    <r>
      <rPr>
        <b/>
        <sz val="10"/>
        <rFont val="Arial"/>
        <family val="2"/>
      </rPr>
      <t>Fragestellung:</t>
    </r>
    <r>
      <rPr>
        <sz val="10"/>
        <rFont val="Arial"/>
        <family val="2"/>
      </rPr>
      <t xml:space="preserve"> Bei welchem Umsatz hätte man mit dem erzielten DB I, die geplante Marge erreicht?</t>
    </r>
  </si>
  <si>
    <t>Szenario</t>
  </si>
  <si>
    <t>Szenario - Absolut</t>
  </si>
  <si>
    <t>Szenario - Relativ</t>
  </si>
  <si>
    <r>
      <rPr>
        <b/>
        <sz val="10"/>
        <rFont val="Arial"/>
        <family val="2"/>
      </rPr>
      <t>Fragestellung:</t>
    </r>
    <r>
      <rPr>
        <sz val="10"/>
        <rFont val="Arial"/>
        <family val="2"/>
      </rPr>
      <t xml:space="preserve"> Bei welchem Deckungsbeitrag würde das korriegierte Ergebnis bei gleichbleibender Gesamtleistung und unter Berücksichtigung der aktuellen Kosten, 0 EUR entsprechen? </t>
    </r>
  </si>
  <si>
    <r>
      <rPr>
        <b/>
        <sz val="10"/>
        <rFont val="Arial"/>
        <family val="2"/>
      </rPr>
      <t>Fragestellung:</t>
    </r>
    <r>
      <rPr>
        <sz val="10"/>
        <rFont val="Arial"/>
        <family val="2"/>
      </rPr>
      <t xml:space="preserve"> Welcher Deckungsbeitrag wäre erweitschaftet worden, wenn mit der erzielten Gesamtleistung die geplante Marge erreicht worden wäre?</t>
    </r>
  </si>
  <si>
    <r>
      <rPr>
        <b/>
        <sz val="10"/>
        <rFont val="Arial"/>
        <family val="2"/>
      </rPr>
      <t>Fragestellung:</t>
    </r>
    <r>
      <rPr>
        <sz val="10"/>
        <rFont val="Arial"/>
        <family val="2"/>
      </rPr>
      <t xml:space="preserve"> Welcher Deckungsbeitrag wäre erweitschaftet worden, wenn die erzielte Marge mit der geplanten Gesamtleistung erreicht worden wäre?</t>
    </r>
  </si>
  <si>
    <t>Kosten</t>
  </si>
  <si>
    <t>Ertrag</t>
  </si>
  <si>
    <t>Plan- Relativ</t>
  </si>
  <si>
    <t>III</t>
  </si>
  <si>
    <t>Personalkosten:</t>
  </si>
  <si>
    <t>V</t>
  </si>
  <si>
    <t>Raumkosten:</t>
  </si>
  <si>
    <t>VI</t>
  </si>
  <si>
    <t>Betriebliche Kosten:</t>
  </si>
  <si>
    <t>VIII</t>
  </si>
  <si>
    <t>Finanzergebnis:</t>
  </si>
  <si>
    <t>X</t>
  </si>
  <si>
    <t>AO Ergebnis:</t>
  </si>
  <si>
    <t>XI</t>
  </si>
  <si>
    <t>Ergebnis vor Steuern</t>
  </si>
  <si>
    <t>KFZ-Kosten</t>
  </si>
  <si>
    <t>Reisekosten</t>
  </si>
  <si>
    <t>Telefon und Internet</t>
  </si>
  <si>
    <t>Leasing</t>
  </si>
  <si>
    <t>sonstige Kosten</t>
  </si>
  <si>
    <t>Instandhaltungen</t>
  </si>
  <si>
    <t>Abfallbeseitigung</t>
  </si>
  <si>
    <t>Abschreibungen</t>
  </si>
  <si>
    <t>XIII</t>
  </si>
  <si>
    <t>Bilanzergebnis</t>
  </si>
  <si>
    <t>Investitionen - Deinvestitionen</t>
  </si>
  <si>
    <t>Kreditaufnahme für Investitionen</t>
  </si>
  <si>
    <t>Tilgungen</t>
  </si>
  <si>
    <t>Privateinlagen</t>
  </si>
  <si>
    <t>Gewinnbeteiligung</t>
  </si>
  <si>
    <t>XVII</t>
  </si>
  <si>
    <t>Liqui-Ergebnis I (Geldvermögen)</t>
  </si>
  <si>
    <t>Anfangsbestand Kasse / Bank</t>
  </si>
  <si>
    <t>Kreditaufnahme für Umschuldung</t>
  </si>
  <si>
    <t>Veränderung sonstiges Aktiva</t>
  </si>
  <si>
    <t>Veränderung sonstiges Passiva</t>
  </si>
  <si>
    <t>Endbestand Kasse / Bank</t>
  </si>
  <si>
    <t>Veränderung der Barliquidität</t>
  </si>
  <si>
    <t>Ergebnis vor Steuern:</t>
  </si>
  <si>
    <t>KFZ-Kosten (inkl. Steuer)</t>
  </si>
  <si>
    <t>Telefon, Fax und Internet</t>
  </si>
  <si>
    <t>Versicherungen und Beiträge</t>
  </si>
  <si>
    <t>Buchführungs- / Beratungskosten</t>
  </si>
  <si>
    <t>Abraum- / Abfallbeseitigung</t>
  </si>
  <si>
    <t>Lieferantenziel:</t>
  </si>
  <si>
    <t>Verbindlichkeiten aus L+L:</t>
  </si>
  <si>
    <t>Umsatz Kreditoren:</t>
  </si>
  <si>
    <t>Tage:</t>
  </si>
  <si>
    <t>Lieferantenziel (in Tage):</t>
  </si>
  <si>
    <t>Kundenziel:</t>
  </si>
  <si>
    <t>Forderungen aus L+L:</t>
  </si>
  <si>
    <t>Umsatz Debitoren:</t>
  </si>
  <si>
    <t>Kundenziel (in Tage):</t>
  </si>
  <si>
    <t>Ihr              Liqui-Cockpit</t>
  </si>
  <si>
    <t>Monat:</t>
  </si>
  <si>
    <t>Liqui-Verbrauch</t>
  </si>
  <si>
    <t>Jahresüberschuss</t>
  </si>
  <si>
    <t>+/- Rückstellungen</t>
  </si>
  <si>
    <t>Korrektur a.o. Positionen</t>
  </si>
  <si>
    <t>Cash Flow</t>
  </si>
  <si>
    <t>Legende</t>
  </si>
  <si>
    <t>Nettoinvestitionen</t>
  </si>
  <si>
    <t>Anfangsbestand</t>
  </si>
  <si>
    <t>Regeltilgungen</t>
  </si>
  <si>
    <t>notwendige Privatentnahmen</t>
  </si>
  <si>
    <t>Aktueller Status</t>
  </si>
  <si>
    <t>Rücklagen (AfA - Inv)</t>
  </si>
  <si>
    <t>Reserve</t>
  </si>
  <si>
    <t>Steuerrücklage laufendes Jahr</t>
  </si>
  <si>
    <t>Liqui-Ergebnis</t>
  </si>
  <si>
    <t>Anfangsbestand Liqui</t>
  </si>
  <si>
    <t>Liqui-Tankinhalt</t>
  </si>
  <si>
    <t>Kontostand</t>
  </si>
  <si>
    <t>Hintergrundfarben</t>
  </si>
  <si>
    <t>Datenherkunft</t>
  </si>
  <si>
    <t>Gesamt KK-Rahmen</t>
  </si>
  <si>
    <t>1. Farbe</t>
  </si>
  <si>
    <t>Freier KK-Rahmen</t>
  </si>
  <si>
    <t>2. Farbe</t>
  </si>
  <si>
    <t>Werthaltiger Forderungsbestand</t>
  </si>
  <si>
    <t>3. Farbe</t>
  </si>
  <si>
    <t>HFE - AZ</t>
  </si>
  <si>
    <t>4. Farbe</t>
  </si>
  <si>
    <t>sonstige VG</t>
  </si>
  <si>
    <t>5. Farbe</t>
  </si>
  <si>
    <t>kfr. Aktiva</t>
  </si>
  <si>
    <t xml:space="preserve">Leerhälfte </t>
  </si>
  <si>
    <t>Lieferantenverbindlichkeiten</t>
  </si>
  <si>
    <t>Personalverbindlichkeiten</t>
  </si>
  <si>
    <t>Finanzamtverbindlichkeiten</t>
  </si>
  <si>
    <t>Zeigerkonfiguration</t>
  </si>
  <si>
    <t>sonstige Verbindlichkeiten</t>
  </si>
  <si>
    <t xml:space="preserve">Wert </t>
  </si>
  <si>
    <t>kfr. Passiva</t>
  </si>
  <si>
    <t>Zeiger</t>
  </si>
  <si>
    <t>Status quo Liqui</t>
  </si>
  <si>
    <t>Rest</t>
  </si>
  <si>
    <t>Leerhälfte</t>
  </si>
  <si>
    <t>Lieferantenumsatz</t>
  </si>
  <si>
    <t>Aktueller Monat</t>
  </si>
  <si>
    <t>aktuelle Kreditorenlaufzeit</t>
  </si>
  <si>
    <t>Status &lt; 0</t>
  </si>
  <si>
    <t>Status &gt; 0</t>
  </si>
  <si>
    <t>max. Kreditorenlaufzeit</t>
  </si>
  <si>
    <t>Reichweite bei gleichem Verbrauch</t>
  </si>
  <si>
    <t>Max. Lieferantenverbindl.</t>
  </si>
  <si>
    <t>Jahre</t>
  </si>
  <si>
    <t>Liqui-Spielraum Lieferanten</t>
  </si>
  <si>
    <t>zusätzl. Liqui-Spielraum gesamt</t>
  </si>
  <si>
    <t>Auftankdauer</t>
  </si>
  <si>
    <t>Max. Liqui-Status</t>
  </si>
  <si>
    <t>Kommentare zu Soll-Ist-Vergleich:</t>
  </si>
  <si>
    <t>+ Bedeutet: Wert liegt über Plan</t>
  </si>
  <si>
    <t>- Bedeutet: Wert liegt unter Plan</t>
  </si>
  <si>
    <t>Kontonummer</t>
  </si>
  <si>
    <t>Kontoname</t>
  </si>
  <si>
    <t>Gesamtleistung</t>
  </si>
  <si>
    <t>Rohgewinn</t>
  </si>
  <si>
    <t>Deckungsbeitrag I</t>
  </si>
  <si>
    <t>Personalkosten</t>
  </si>
  <si>
    <t>Buchführungs- / Beratungs- / Fortbildungskosten</t>
  </si>
  <si>
    <t>Wartungen und Instandhaltungen</t>
  </si>
  <si>
    <t>Betriebsergebnis</t>
  </si>
  <si>
    <t>Zinsertrag</t>
  </si>
  <si>
    <t>Zinsaufwand</t>
  </si>
  <si>
    <t>sonstige a.o. Aufwendungen (Liquiditätswirksam)</t>
  </si>
  <si>
    <t>sonstige a.o. Aufwendungen 
(nicht Liquiditätswirksam)</t>
  </si>
  <si>
    <t>sonstige a.o. Erträge 
(Liquiditätswirksam)</t>
  </si>
  <si>
    <t>sonstige a.o. Erträge 
(nicht Liquiditätswirksam)</t>
  </si>
  <si>
    <t>sonstige a.o. Erträge aus 1%-Regelung</t>
  </si>
  <si>
    <t>Vorläufiges Ergebnis vor Steuern</t>
  </si>
  <si>
    <t>Steuern aus Einkommen und Ertrag</t>
  </si>
  <si>
    <t>Investitionen</t>
  </si>
  <si>
    <t>Kreditaufnahme</t>
  </si>
  <si>
    <t>Ergebnis I</t>
  </si>
  <si>
    <t>Kreditaufnahme für Umschuldung / sonstige Kreditkonten</t>
  </si>
  <si>
    <t>EDV-Software Lizenzen</t>
  </si>
  <si>
    <t>Geschäftsausstattung</t>
  </si>
  <si>
    <t>Büroeinrichtung</t>
  </si>
  <si>
    <t>Hard- u. Software</t>
  </si>
  <si>
    <t>Geringwertige Wirtschaftsgüter</t>
  </si>
  <si>
    <t>Sonstige Betriebs-u.Gesch.ausstattung</t>
  </si>
  <si>
    <t>Gezeichnetes Kapital</t>
  </si>
  <si>
    <t>Gewerbesteuerrückstellung § 4 Abs. 5b</t>
  </si>
  <si>
    <t>Kasse</t>
  </si>
  <si>
    <t>Kreissparkasse 4405627</t>
  </si>
  <si>
    <t>Commerzbank # 2005783 75</t>
  </si>
  <si>
    <t>Geldmarktkonto # 154911440</t>
  </si>
  <si>
    <t>Schecks</t>
  </si>
  <si>
    <t>Geldtransit</t>
  </si>
  <si>
    <t>Forderungen aus Lieferungen u.Leistung</t>
  </si>
  <si>
    <t>Sonstige Vermögensgegenstände</t>
  </si>
  <si>
    <t>Forderungen ggb. Krankenkasse aus AAG</t>
  </si>
  <si>
    <t>Kautionen</t>
  </si>
  <si>
    <t>Vorst. in Folgeperiode /-jahr abziehbar</t>
  </si>
  <si>
    <t>Abziehbare Vorsteuer 7%</t>
  </si>
  <si>
    <t>Abziehbare Vorsteuer aus EU-Erwerb 19%</t>
  </si>
  <si>
    <t>Abziehbare Vorsteuer 19%</t>
  </si>
  <si>
    <t>Durchlaufende Posten</t>
  </si>
  <si>
    <t>Verbindl. aus Lieferungen u. Leistungen</t>
  </si>
  <si>
    <t>Verbindlichkeiten aus Lohn und Gehalt</t>
  </si>
  <si>
    <t>Verbindlichk. Lohn- und Kirchensteuer</t>
  </si>
  <si>
    <t>Verbindlichkeiten soziale Sicherheit</t>
  </si>
  <si>
    <t>Verbindlichk. Einbehaltung Arbeitnehmer</t>
  </si>
  <si>
    <t>Lohn- und Gehaltsverrechnungen</t>
  </si>
  <si>
    <t>Umsatzsteuer aus EU-Erwerb 19%</t>
  </si>
  <si>
    <t>Umsatzsteuer 19%</t>
  </si>
  <si>
    <t>Umsatzsteuer-Vorauszahlungen</t>
  </si>
  <si>
    <t>Umsatzsteuer Vorjahr</t>
  </si>
  <si>
    <t>Körperschaftsteuer</t>
  </si>
  <si>
    <t>Versich.entschädigung, Schadenersatz</t>
  </si>
  <si>
    <t>Erstattungen AufwendungsausgleichsG</t>
  </si>
  <si>
    <t>Fremdleistungen Website &amp; Software-Prod.</t>
  </si>
  <si>
    <t>Fremdleistungen "Allgemein"</t>
  </si>
  <si>
    <t>CM_Bewerbungssservice</t>
  </si>
  <si>
    <t>Erhaltene Skonti 19% Vorsteuer</t>
  </si>
  <si>
    <t>Gehälter VIEGA</t>
  </si>
  <si>
    <t>Gehälter Datenschutz-Beauftragung</t>
  </si>
  <si>
    <t>Gehälter Website &amp; Softwareprodukte</t>
  </si>
  <si>
    <t>Löhne Datenbank &amp; Behörden</t>
  </si>
  <si>
    <t>Gehälter "Full-Service BOMAG</t>
  </si>
  <si>
    <t>Gehälter Gemeinkostenl</t>
  </si>
  <si>
    <t xml:space="preserve">Gehälter "Datenbank-MS-Access/Behörden </t>
  </si>
  <si>
    <t>AG-Ant. SV "Full-Service BOMAG</t>
  </si>
  <si>
    <t>AG-Anteil Sozialversicherung allgemein</t>
  </si>
  <si>
    <t>AG-Ant. SV Datenschutzbeauftragung</t>
  </si>
  <si>
    <t>AG-Ant. SV  Website &amp; Softwareprodukte</t>
  </si>
  <si>
    <t xml:space="preserve">AG-Ant. SV Datenbanken / Behörden </t>
  </si>
  <si>
    <t>Beiträge zur Berufsgenossenschaft</t>
  </si>
  <si>
    <t>Freiwillige soziale Aufwendung. LSt-frei</t>
  </si>
  <si>
    <t>Sachzuwendungen und Dienstleistg. an AN</t>
  </si>
  <si>
    <t>Aufwendungen für Altersversorgung</t>
  </si>
  <si>
    <t>Fahrtkostenerstatt. Whg./Arbeitsstätte</t>
  </si>
  <si>
    <t>Pauschale Steuer für Aushilfen</t>
  </si>
  <si>
    <t>Miete, unbewegliche Wirtschaftsgüter</t>
  </si>
  <si>
    <t>Gas, Strom, Wasser</t>
  </si>
  <si>
    <t>Reinigung</t>
  </si>
  <si>
    <t>CM_Renovierung Büro und Außenanlage</t>
  </si>
  <si>
    <t>Gewerbesteuer</t>
  </si>
  <si>
    <t>Kfz-Steuern</t>
  </si>
  <si>
    <t>Werbekosten</t>
  </si>
  <si>
    <t>Bewirtungskosten</t>
  </si>
  <si>
    <t>Nicht abzugsfähige Bewirtungskosten</t>
  </si>
  <si>
    <t>Nicht abzugsfähige Betriebsausgaben</t>
  </si>
  <si>
    <t>Reisekosten Arbeitnehmer</t>
  </si>
  <si>
    <t>Kilometergelderstattung Arbeitnehmer</t>
  </si>
  <si>
    <t>Reparatur/Instandh. Betriebs- u. Gesch.</t>
  </si>
  <si>
    <t>Wartungskosten für Hard- und Software</t>
  </si>
  <si>
    <t>Abschreibung immaterielle VermG</t>
  </si>
  <si>
    <t>Abschreibungen auf Sachanlagen</t>
  </si>
  <si>
    <t>Sofortabschreibung GWG</t>
  </si>
  <si>
    <t>Sonstige betriebliche Aufwendungen</t>
  </si>
  <si>
    <t>Telefax und Internetkosten</t>
  </si>
  <si>
    <t xml:space="preserve"> Computerkosten bzw. Zubehör</t>
  </si>
  <si>
    <t>Internet "Allgemein"</t>
  </si>
  <si>
    <t>Zeitschriften, Bücher (Fachliteratur)</t>
  </si>
  <si>
    <t>Rechts- und Beratungskosten</t>
  </si>
  <si>
    <t>Buchführungs- und Lohnkosten</t>
  </si>
  <si>
    <t>Abschluss- und Prüfungskosten</t>
  </si>
  <si>
    <t>Aufwand Abraum-/Abfallbeseitigung</t>
  </si>
  <si>
    <t>Erlöse "Full-Service BOMAG"</t>
  </si>
  <si>
    <t>Erlöse Viega</t>
  </si>
  <si>
    <t>Erlöse Website &amp; Software-Produkte</t>
  </si>
  <si>
    <t>Erlöse Datenschutz-Beauftragung</t>
  </si>
  <si>
    <t>Erlöse 19% USt - Bewerbungsservice</t>
  </si>
  <si>
    <t>Erlöse 19% USt - Allgemein</t>
  </si>
  <si>
    <t xml:space="preserve">Erlöse Datenbanken &amp; Behörden </t>
  </si>
  <si>
    <t>Provisionsumsätze "Internet-Services"</t>
  </si>
  <si>
    <t>Saldenvorträge Sachkonten</t>
  </si>
  <si>
    <t>Saldenvorträge Debitoren</t>
  </si>
  <si>
    <t>Saldenvorträge Kreditoren</t>
  </si>
  <si>
    <t>Stundencontrolling</t>
  </si>
  <si>
    <t>Mitarbeiter</t>
  </si>
  <si>
    <t>Normal-tagesstunden</t>
  </si>
  <si>
    <t>bezahlte Gesamtstunden</t>
  </si>
  <si>
    <t>Bruttolohn / h laut Arbeitgeber</t>
  </si>
  <si>
    <t>Plan-Bruttolohn</t>
  </si>
  <si>
    <t>Zuschlag Lohnnebenkosten</t>
  </si>
  <si>
    <t>Krank</t>
  </si>
  <si>
    <t>Fortbildung</t>
  </si>
  <si>
    <t>Ausfalltage</t>
  </si>
  <si>
    <t>VL</t>
  </si>
  <si>
    <t>Boni</t>
  </si>
  <si>
    <t>Urlaubsgeld</t>
  </si>
  <si>
    <t>Weihnachts-geld</t>
  </si>
  <si>
    <t>Lohn-EK</t>
  </si>
  <si>
    <t>Prod.-KZ</t>
  </si>
  <si>
    <t>PEK</t>
  </si>
  <si>
    <t>PGK</t>
  </si>
  <si>
    <t>Anwesenheits-h-Plan</t>
  </si>
  <si>
    <t>Anwesenheits-h-Ist</t>
  </si>
  <si>
    <t>Verrechnungsquote-Plan</t>
  </si>
  <si>
    <t>Verrechnungsquote-Ist</t>
  </si>
  <si>
    <t>verrechnete h - Plan</t>
  </si>
  <si>
    <t>Lohn-Ek /h</t>
  </si>
  <si>
    <t>verrechnete-h-Ist</t>
  </si>
  <si>
    <t>Lohnerlös</t>
  </si>
  <si>
    <t>SVS-ges</t>
  </si>
  <si>
    <t>Gesamt</t>
  </si>
  <si>
    <t>Jahreswert</t>
  </si>
  <si>
    <t>Bezugsgröße</t>
  </si>
  <si>
    <t>Material</t>
  </si>
  <si>
    <t>Einheiten</t>
  </si>
  <si>
    <t>in %</t>
  </si>
  <si>
    <t>Fertigung</t>
  </si>
  <si>
    <t>Verteilung Arbeitszeit Verwaltungskräfte</t>
  </si>
  <si>
    <t>Materialgemeinkosten</t>
  </si>
  <si>
    <t>Fertigungsgemeinkosten</t>
  </si>
  <si>
    <t>Materialeinsatz</t>
  </si>
  <si>
    <t>Fertigungseinzelkosten</t>
  </si>
  <si>
    <t>Produktivstunden</t>
  </si>
  <si>
    <t>FEK/h</t>
  </si>
  <si>
    <t>MGK-Zuschlag in %</t>
  </si>
  <si>
    <t>FGK-Zuschlag in %</t>
  </si>
  <si>
    <t>FK / Stunde</t>
  </si>
  <si>
    <t>Zuschlag Verwaltung</t>
  </si>
  <si>
    <t>Selbstkostenfaktoren</t>
  </si>
  <si>
    <t>MSK-Zuschlag in %</t>
  </si>
  <si>
    <t>F-SK / Stunde</t>
  </si>
  <si>
    <t>Mischkalkulation</t>
  </si>
  <si>
    <t>MVK-Zuschlag in %</t>
  </si>
  <si>
    <t>Mat.Entlastung</t>
  </si>
  <si>
    <t>in EUR</t>
  </si>
  <si>
    <t>pro h</t>
  </si>
  <si>
    <t>Mindest-SVS</t>
  </si>
  <si>
    <t>Monat / Kennzahl</t>
  </si>
  <si>
    <t>Kummuliert</t>
  </si>
  <si>
    <t>DB I</t>
  </si>
  <si>
    <t>Prod-Papier</t>
  </si>
  <si>
    <t>Prod-kalk</t>
  </si>
  <si>
    <t>Prod-real</t>
  </si>
  <si>
    <t>Debitorenlfz.</t>
  </si>
  <si>
    <t>Kreditorenlfz.</t>
  </si>
  <si>
    <t>Lagerdauer</t>
  </si>
  <si>
    <t>kfr. Liqui</t>
  </si>
  <si>
    <t>Umsatzrendite</t>
  </si>
  <si>
    <t>Betriebsabrechnungsbogen</t>
  </si>
  <si>
    <t>Eingabefelder</t>
  </si>
  <si>
    <t>Hauptkostenstellen</t>
  </si>
  <si>
    <t>KD</t>
  </si>
  <si>
    <t>Projekt</t>
  </si>
  <si>
    <t>Verwaltung</t>
  </si>
  <si>
    <t>Vertrieb</t>
  </si>
  <si>
    <t>Personal (Gemeink.)</t>
  </si>
  <si>
    <t>Externes Personal</t>
  </si>
  <si>
    <t>Instandhaltung</t>
  </si>
  <si>
    <t>Energiekosten</t>
  </si>
  <si>
    <t>sonst. Kosten</t>
  </si>
  <si>
    <t>Kalk . Abschreibungen</t>
  </si>
  <si>
    <t>Summe Gemeinkosten</t>
  </si>
  <si>
    <t>Zuschlagssätze</t>
  </si>
  <si>
    <t>MEK</t>
  </si>
  <si>
    <t>FEK I</t>
  </si>
  <si>
    <t>FEK II</t>
  </si>
  <si>
    <t>HK</t>
  </si>
  <si>
    <t>Einzelkosten (Zuschlagsbasis)</t>
  </si>
  <si>
    <t>Ist-Zuschlagssatz:</t>
  </si>
  <si>
    <t>Verrechnungsstundensatz</t>
  </si>
  <si>
    <t>Verteilschlüssel</t>
  </si>
  <si>
    <t>Raumkosten = qm</t>
  </si>
  <si>
    <t>Energie = kw/h</t>
  </si>
  <si>
    <t>Abschreibung</t>
  </si>
  <si>
    <t>Berechnung Personalgemeinkosten</t>
  </si>
  <si>
    <t>Wert</t>
  </si>
  <si>
    <t xml:space="preserve">Verwaltung </t>
  </si>
  <si>
    <t>Tagesstunden</t>
  </si>
  <si>
    <t>Anteil Material p.d.</t>
  </si>
  <si>
    <t>Anteil KD p.d.</t>
  </si>
  <si>
    <t>Anteil Projekt p.d.</t>
  </si>
  <si>
    <t>Anteil Verwaltung</t>
  </si>
  <si>
    <t>Arbeitstage p.a.</t>
  </si>
  <si>
    <t>Stundensatz</t>
  </si>
  <si>
    <t>Berechnung fremde Personalkosten</t>
  </si>
  <si>
    <t>Stundeneinsatz</t>
  </si>
  <si>
    <t>Kundendienst</t>
  </si>
  <si>
    <t>Sonstige Kosten</t>
  </si>
  <si>
    <t>zu verteil. Wert</t>
  </si>
  <si>
    <t>Prozent</t>
  </si>
  <si>
    <t xml:space="preserve">Prozent </t>
  </si>
  <si>
    <t>KFZ Kosten</t>
  </si>
  <si>
    <t>Telefon, Fax, Internet</t>
  </si>
  <si>
    <t>Versicherungen / Beiträge</t>
  </si>
  <si>
    <t>Buchführung, Beratung</t>
  </si>
  <si>
    <t>Zinsen</t>
  </si>
  <si>
    <t>Personalkostenberechnung</t>
  </si>
  <si>
    <t>Gesamtwert</t>
  </si>
  <si>
    <t>unbez. Überst.</t>
  </si>
  <si>
    <t>Summe 1</t>
  </si>
  <si>
    <t>Summe 2</t>
  </si>
  <si>
    <t>n. zuord. Prd</t>
  </si>
  <si>
    <t>Berechnung</t>
  </si>
  <si>
    <t>Stundenlöhne Azubis</t>
  </si>
  <si>
    <t>Stundensatz A</t>
  </si>
  <si>
    <t>Stundensatz B</t>
  </si>
  <si>
    <t>Gesamte geplante verrechnete Stunden</t>
  </si>
  <si>
    <t>davon Stunden Projekt (eigen/fremd)</t>
  </si>
  <si>
    <t>Fremdleistung Projekt</t>
  </si>
  <si>
    <t>verrechenbare Stunden KD</t>
  </si>
  <si>
    <t>Fremdleistung KD</t>
  </si>
  <si>
    <t>Eigene Stunden Projekt</t>
  </si>
  <si>
    <t>Eigene Stunden KD</t>
  </si>
  <si>
    <t>Kalkulationstool</t>
  </si>
  <si>
    <t>Vorgabewert</t>
  </si>
  <si>
    <t>Materialeinsatz zu EK-Preisen (Netto)</t>
  </si>
  <si>
    <t>Einzelkalkulation</t>
  </si>
  <si>
    <t>Materialeinsatz zu EK-Preisen KD (netto)</t>
  </si>
  <si>
    <t>alternativer Materialzuschlag</t>
  </si>
  <si>
    <t>Materialzuschlag</t>
  </si>
  <si>
    <t>alternativer SVS</t>
  </si>
  <si>
    <t>Lücke Plan-HK</t>
  </si>
  <si>
    <t>Einsatz Projektstunden</t>
  </si>
  <si>
    <t>Einsatz Montagestunden</t>
  </si>
  <si>
    <t>Helferstunden</t>
  </si>
  <si>
    <t>Technikerstunden</t>
  </si>
  <si>
    <t>Herstellkosten</t>
  </si>
  <si>
    <t>Vertriebs- und Verwaltungszuschlag</t>
  </si>
  <si>
    <t>Verkaufspreis</t>
  </si>
  <si>
    <t>Gesamtkalkulation (gem. BAB)</t>
  </si>
  <si>
    <t>inkl. Gewinn</t>
  </si>
  <si>
    <t>Materialzuschlag Brutto</t>
  </si>
  <si>
    <t>Soll-SVS (Projekt)Brutto</t>
  </si>
  <si>
    <t>inkl. Umsatzsteuer</t>
  </si>
  <si>
    <t>Ist-SVS Projekt</t>
  </si>
  <si>
    <t>Plan-Stunden (Projekt)</t>
  </si>
  <si>
    <t>inkl. Rabatt</t>
  </si>
  <si>
    <t>Soll-SVS (KD) Brutto</t>
  </si>
  <si>
    <t>Ist-SVS KD</t>
  </si>
  <si>
    <t>inkl. Skonto</t>
  </si>
  <si>
    <t>Plan-Stunden (KD)</t>
  </si>
  <si>
    <t>Lücke Plan-HK (SVS)</t>
  </si>
  <si>
    <t>Endpreis</t>
  </si>
  <si>
    <t>Soll-Materialzuschlag</t>
  </si>
  <si>
    <t>Umsatz-Soll</t>
  </si>
  <si>
    <t>Notwendiger DB-Material</t>
  </si>
  <si>
    <t>Ermittlung des erforderlichen Unternehmerlohns</t>
  </si>
  <si>
    <t>Kosten der privaten Lebensführung</t>
  </si>
  <si>
    <t>in Euro</t>
  </si>
  <si>
    <t>Miete und mietähnliche Kosten (Immobilien-Darlehen, etc.)</t>
  </si>
  <si>
    <t>Kosten der Wohnung (Wasser, Strom, Heizung, Müll, Steuern, GEZ-Gebühren, etc.)</t>
  </si>
  <si>
    <t>Waren des täglichen Bedarfs (Lebensmittel, Kleidung, Kosmetik, Hausrat, etc.)</t>
  </si>
  <si>
    <r>
      <t xml:space="preserve">private Versicherungen </t>
    </r>
    <r>
      <rPr>
        <sz val="8"/>
        <rFont val="Arial"/>
        <family val="2"/>
      </rPr>
      <t>(auch Kranken-, Renten- und Arbeitslosenversicherung des Unternehmers)</t>
    </r>
  </si>
  <si>
    <t>Unterhaltsverpflichtungen (falls vorhanden)</t>
  </si>
  <si>
    <t>sonstige Darlehenstilgungen (für Auto, Wohnungseinrichtung, etc.)</t>
  </si>
  <si>
    <t>Freizeitausgaben (Hobby, Urlaub, Geschenke, etc.)</t>
  </si>
  <si>
    <t>Rücklage für Einkommenssteuer</t>
  </si>
  <si>
    <t>Schulgeld oder Kinderbetreuungskosten</t>
  </si>
  <si>
    <t>Telekommunikation (privater Anschluss, privates Handy, etc.)</t>
  </si>
  <si>
    <t>Rücklagen (für Einrichtung, Reparaturen, etc.)</t>
  </si>
  <si>
    <t>sonstige feste Kosten</t>
  </si>
  <si>
    <t>Ausgaben gesamt</t>
  </si>
  <si>
    <t>Einnahmen</t>
  </si>
  <si>
    <t>Leistungen der Arbeitsagentur (Überbrückungsgeld, Ich-AG-Zuschuss, etc.)</t>
  </si>
  <si>
    <t>Einnahmen des Ehegatten / Lebenspartners</t>
  </si>
  <si>
    <t>sonstige Einnahmen</t>
  </si>
  <si>
    <t>Einnahmen gesamt</t>
  </si>
  <si>
    <t>Bedarf gesamt</t>
  </si>
  <si>
    <t>(Einnahmen - Ausgaben)</t>
  </si>
  <si>
    <t>(pro Jahr)</t>
  </si>
  <si>
    <t>Eingabemonat:</t>
  </si>
  <si>
    <t>Ist-Werte</t>
  </si>
  <si>
    <t>Soll-Werte</t>
  </si>
  <si>
    <t>Plan-Werte</t>
  </si>
  <si>
    <t>Soll-Ist-Vgl.</t>
  </si>
  <si>
    <t>Plan-Ist-Vgl.</t>
  </si>
  <si>
    <t>Ist-Werte kumuliert</t>
  </si>
  <si>
    <t>Ist-Werte (Monat)</t>
  </si>
  <si>
    <t>Soll</t>
  </si>
  <si>
    <t>Plan-Werte - kumuliert</t>
  </si>
  <si>
    <t>JAHRESWERTE</t>
  </si>
  <si>
    <t>FSG</t>
  </si>
  <si>
    <t>Vorperiode</t>
  </si>
  <si>
    <t>akt. Periode</t>
  </si>
  <si>
    <t>kumuliert</t>
  </si>
  <si>
    <t>Umsatzerlöse</t>
  </si>
  <si>
    <t>BV HFE</t>
  </si>
  <si>
    <t>Materialeinkauf</t>
  </si>
  <si>
    <t>Fremdleistungen</t>
  </si>
  <si>
    <t>produktive Stunden</t>
  </si>
  <si>
    <t>DB I / Stunde</t>
  </si>
  <si>
    <t>produktive Lohnkosten</t>
  </si>
  <si>
    <t>DB II</t>
  </si>
  <si>
    <t>DB II / Stunde</t>
  </si>
  <si>
    <t>Liquiditätsplanung</t>
  </si>
  <si>
    <t>I0</t>
  </si>
  <si>
    <t>P1</t>
  </si>
  <si>
    <t>I1</t>
  </si>
  <si>
    <t>RP1</t>
  </si>
  <si>
    <t>RI1</t>
  </si>
  <si>
    <t>KP1</t>
  </si>
  <si>
    <t>KI1</t>
  </si>
  <si>
    <t>P2</t>
  </si>
  <si>
    <t>I2</t>
  </si>
  <si>
    <t>RP2</t>
  </si>
  <si>
    <t>RI2</t>
  </si>
  <si>
    <t>KP2</t>
  </si>
  <si>
    <t>KI2</t>
  </si>
  <si>
    <t>KRP2</t>
  </si>
  <si>
    <t>KRI2</t>
  </si>
  <si>
    <t>1. Quartal</t>
  </si>
  <si>
    <t>I3</t>
  </si>
  <si>
    <t>RP3</t>
  </si>
  <si>
    <t>RI3</t>
  </si>
  <si>
    <t>KP3</t>
  </si>
  <si>
    <t>KI3</t>
  </si>
  <si>
    <t>KRP3</t>
  </si>
  <si>
    <t>KRI3</t>
  </si>
  <si>
    <t>P4</t>
  </si>
  <si>
    <t>I4</t>
  </si>
  <si>
    <t>RP4</t>
  </si>
  <si>
    <t>RI4</t>
  </si>
  <si>
    <t>KP4</t>
  </si>
  <si>
    <t>KI4</t>
  </si>
  <si>
    <t>KRP4</t>
  </si>
  <si>
    <t>KRI4</t>
  </si>
  <si>
    <t>P5</t>
  </si>
  <si>
    <t>I5</t>
  </si>
  <si>
    <t>RP5</t>
  </si>
  <si>
    <t>RI5</t>
  </si>
  <si>
    <t>KP5</t>
  </si>
  <si>
    <t>KI5</t>
  </si>
  <si>
    <t>KRP5</t>
  </si>
  <si>
    <t>KRI5</t>
  </si>
  <si>
    <t>2. Quartal</t>
  </si>
  <si>
    <t>I6</t>
  </si>
  <si>
    <t>RP6</t>
  </si>
  <si>
    <t>RI6</t>
  </si>
  <si>
    <t>Q1+Q2</t>
  </si>
  <si>
    <t>KI6</t>
  </si>
  <si>
    <t>KRP6</t>
  </si>
  <si>
    <t>KRI6</t>
  </si>
  <si>
    <t>P7</t>
  </si>
  <si>
    <t>I7</t>
  </si>
  <si>
    <t>RP7</t>
  </si>
  <si>
    <t>RI7</t>
  </si>
  <si>
    <t>KP7</t>
  </si>
  <si>
    <t>KI7</t>
  </si>
  <si>
    <t>KRP7</t>
  </si>
  <si>
    <t>KRI7</t>
  </si>
  <si>
    <t>P8</t>
  </si>
  <si>
    <t>I8</t>
  </si>
  <si>
    <t>RP8</t>
  </si>
  <si>
    <t>RI8</t>
  </si>
  <si>
    <t>KP8</t>
  </si>
  <si>
    <t>KI8</t>
  </si>
  <si>
    <t>KRP8</t>
  </si>
  <si>
    <t>KRI8</t>
  </si>
  <si>
    <t>P9</t>
  </si>
  <si>
    <t>I9</t>
  </si>
  <si>
    <t>RP9</t>
  </si>
  <si>
    <t>RI9</t>
  </si>
  <si>
    <t>KP9</t>
  </si>
  <si>
    <t>KI9</t>
  </si>
  <si>
    <t>KRP9</t>
  </si>
  <si>
    <t>KRI9</t>
  </si>
  <si>
    <t>P10</t>
  </si>
  <si>
    <t>I10</t>
  </si>
  <si>
    <t>RP10</t>
  </si>
  <si>
    <t>RI10</t>
  </si>
  <si>
    <t>KP10</t>
  </si>
  <si>
    <t>KI10</t>
  </si>
  <si>
    <t>KRP10</t>
  </si>
  <si>
    <t>KRI10</t>
  </si>
  <si>
    <t>P11</t>
  </si>
  <si>
    <t>I11</t>
  </si>
  <si>
    <t>RP11</t>
  </si>
  <si>
    <t>RI11</t>
  </si>
  <si>
    <t>KP11</t>
  </si>
  <si>
    <t>KI11</t>
  </si>
  <si>
    <t>KRP11</t>
  </si>
  <si>
    <t>KRI11</t>
  </si>
  <si>
    <t>P12</t>
  </si>
  <si>
    <t>I12</t>
  </si>
  <si>
    <t>RP12</t>
  </si>
  <si>
    <t>RI12</t>
  </si>
  <si>
    <t>KP12</t>
  </si>
  <si>
    <t>KI12</t>
  </si>
  <si>
    <t>KRP12</t>
  </si>
  <si>
    <t>KRI12</t>
  </si>
  <si>
    <t>Nr.</t>
  </si>
  <si>
    <t>Kontenposition</t>
  </si>
  <si>
    <t>Delta</t>
  </si>
  <si>
    <t>Relationen</t>
  </si>
  <si>
    <t>Ist ./. Plan</t>
  </si>
  <si>
    <t xml:space="preserve">Plan </t>
  </si>
  <si>
    <t>Liquiditätsbetrachtung:</t>
  </si>
  <si>
    <t>XIV</t>
  </si>
  <si>
    <t>XV</t>
  </si>
  <si>
    <t>Eigenanteil an Nettoinvestitionen (Investition-Kreditaufnahmen)</t>
  </si>
  <si>
    <t>davon Zinskorrekturen</t>
  </si>
  <si>
    <t>XVI</t>
  </si>
  <si>
    <t>Unternehmerlohn</t>
  </si>
  <si>
    <t>XVIII</t>
  </si>
  <si>
    <t>L</t>
  </si>
  <si>
    <t>Kumulierte Liquidität (Kontoentwicklung)</t>
  </si>
  <si>
    <t>Kontrolle:</t>
  </si>
  <si>
    <t>+ Steuern aus Einkommen und Ertrag (korrigiert)</t>
  </si>
  <si>
    <t>- Steuern aus Einkommen und Ertrag</t>
  </si>
  <si>
    <t>+ Sonstige a. o. Aufwendungen (ohne EWB und PWB)</t>
  </si>
  <si>
    <t>- Sonstige a. o. Erträge (ohne EWB und PWB)</t>
  </si>
  <si>
    <t>XIX</t>
  </si>
  <si>
    <t>Korrekturwert</t>
  </si>
  <si>
    <t>Ergebnis I (korrigiert)</t>
  </si>
  <si>
    <t>+ Investitionen</t>
  </si>
  <si>
    <t>- Abschreibungen</t>
  </si>
  <si>
    <t>Vermögensaufbau / -abbau (mit Ampelsystem)</t>
  </si>
  <si>
    <t>Rentabilitätsrechnung</t>
  </si>
  <si>
    <t/>
  </si>
  <si>
    <t>Aktuelle Spalten-Position</t>
  </si>
  <si>
    <t>Ist - Vorjahr</t>
  </si>
  <si>
    <t>Ist - Plan</t>
  </si>
  <si>
    <t>Spalten-Position</t>
  </si>
  <si>
    <t>Liquiditätsrechnung</t>
  </si>
  <si>
    <t>Ist-Vorjahr</t>
  </si>
  <si>
    <t>Ist-Plan</t>
  </si>
  <si>
    <t>Kostenverteilung</t>
  </si>
  <si>
    <t>Verwaltung &amp; Vertrieb</t>
  </si>
  <si>
    <t>Plausibilität</t>
  </si>
  <si>
    <t>in €</t>
  </si>
  <si>
    <t>Kapitaldienst</t>
  </si>
  <si>
    <t>Rücklagen / Gewinn</t>
  </si>
  <si>
    <t>Verwaltungspersonalkosten</t>
  </si>
  <si>
    <t>Produktive Lohnkosten</t>
  </si>
  <si>
    <t>Fremdleistungseinkauf</t>
  </si>
  <si>
    <t>Einzelkosten</t>
  </si>
  <si>
    <t>Direkte Verwaltungskosten</t>
  </si>
  <si>
    <t>HK-Zuschlag in %</t>
  </si>
  <si>
    <t>Indirekte Verwaltungskosten</t>
  </si>
  <si>
    <t>Zuschlag in %</t>
  </si>
  <si>
    <t>Vollkosten (ohne M-EK und FL) / DB I</t>
  </si>
  <si>
    <t>Produktive Stunden</t>
  </si>
  <si>
    <t>MINDEST-Wertschöpfung/Stunde</t>
  </si>
  <si>
    <t>Lohn-EK / Stunde</t>
  </si>
  <si>
    <t>Mindest-Deckungsbeitrag/Stunde</t>
  </si>
  <si>
    <t>LC (Fixkosten)</t>
  </si>
  <si>
    <t>SOLL-Wertschöpfung/Stunde</t>
  </si>
  <si>
    <t>Bierdeckelkalkulation</t>
  </si>
  <si>
    <t>Kostenverteilung Gesamt-Unternehmen</t>
  </si>
  <si>
    <t>:</t>
  </si>
  <si>
    <t>=</t>
  </si>
  <si>
    <t>Wert-Schöpfung</t>
  </si>
  <si>
    <t>Produktive 
Stunden</t>
  </si>
  <si>
    <t>Wertschöpfung 
pro Stunde</t>
  </si>
  <si>
    <t>Mit drei Zahlen alles im Griff…</t>
  </si>
  <si>
    <t>Eingabefeld</t>
  </si>
  <si>
    <t xml:space="preserve">Rahmendaten </t>
  </si>
  <si>
    <t>Kontoverlauf</t>
  </si>
  <si>
    <t>Finanzierungsbedarf</t>
  </si>
  <si>
    <t>Restschuld</t>
  </si>
  <si>
    <t>Rate</t>
  </si>
  <si>
    <t>Tilgung</t>
  </si>
  <si>
    <t>Zinssatz</t>
  </si>
  <si>
    <t>Annuität</t>
  </si>
  <si>
    <t>Startdatum</t>
  </si>
  <si>
    <t>Zinsbindung in Jahren</t>
  </si>
  <si>
    <t>Letze Rate in ZiBi</t>
  </si>
  <si>
    <t>Restschuld nach ZiBi</t>
  </si>
  <si>
    <t>Letzte Rate gesamt</t>
  </si>
  <si>
    <t>Gesamtlaufzeit in Jahren</t>
  </si>
  <si>
    <t>anfängl. Tilgung</t>
  </si>
  <si>
    <t>Rentabilitätsplanung</t>
  </si>
  <si>
    <t>VII</t>
  </si>
  <si>
    <t>IX</t>
  </si>
  <si>
    <t>XII</t>
  </si>
  <si>
    <t>Eingabefeld Ist-Werte</t>
  </si>
  <si>
    <t>Halbfertige Arbeiten Jahresübersicht</t>
  </si>
  <si>
    <t>Bestand</t>
  </si>
  <si>
    <t>Vormonat</t>
  </si>
  <si>
    <t>BV f. BWA</t>
  </si>
  <si>
    <t>erh. Anz.</t>
  </si>
  <si>
    <t>offene Liqui</t>
  </si>
  <si>
    <t>Lagerbestand Jahresübersicht</t>
  </si>
  <si>
    <t>Finanzplanung</t>
  </si>
  <si>
    <t>Monate</t>
  </si>
  <si>
    <t>ZINSEN</t>
  </si>
  <si>
    <t>TILGUNG</t>
  </si>
  <si>
    <t>Name Bank</t>
  </si>
  <si>
    <t>Darlehens-
Nummer</t>
  </si>
  <si>
    <t>Kontokorrent oder Darlehen</t>
  </si>
  <si>
    <t>Ursprungsbetrag
(in €)</t>
  </si>
  <si>
    <t>Laufzeit Kredit</t>
  </si>
  <si>
    <t>Laufzeit Zins</t>
  </si>
  <si>
    <t>Valuta
Jahresdurch-schnitt
(in €)</t>
  </si>
  <si>
    <t>Kapitalleistung
p.m.
(€)</t>
  </si>
  <si>
    <t>Zins
(in %)</t>
  </si>
  <si>
    <t>Zinsanteil
p.m.
(in %)</t>
  </si>
  <si>
    <t>Tilgungsanteil
p.m.
(in €)</t>
  </si>
  <si>
    <t>Giro KSK</t>
  </si>
  <si>
    <t>Kontokorrent</t>
  </si>
  <si>
    <t>_</t>
  </si>
  <si>
    <t>Giro VoBa</t>
  </si>
  <si>
    <t>Darlehen A</t>
  </si>
  <si>
    <t>Darlehen</t>
  </si>
  <si>
    <t>Darlehen B</t>
  </si>
  <si>
    <t>B-neu</t>
  </si>
  <si>
    <t>TOTAL</t>
  </si>
  <si>
    <t>Jahreswert:</t>
  </si>
  <si>
    <t>Auftragsplanung</t>
  </si>
  <si>
    <t>Auftragsart</t>
  </si>
  <si>
    <t>Profit Center</t>
  </si>
  <si>
    <t>Kostenbudgets</t>
  </si>
  <si>
    <t>Differenz</t>
  </si>
  <si>
    <t>Leistungsbereich</t>
  </si>
  <si>
    <t>Durchschnittlicher Auftragswert</t>
  </si>
  <si>
    <t>Materialanteil</t>
  </si>
  <si>
    <t>Mat-Zuschlag</t>
  </si>
  <si>
    <t>FL-Zuschlag</t>
  </si>
  <si>
    <t>DB I in %</t>
  </si>
  <si>
    <t>SVS</t>
  </si>
  <si>
    <t>Stunden</t>
  </si>
  <si>
    <t>DB I / h</t>
  </si>
  <si>
    <t>Plan-Stück</t>
  </si>
  <si>
    <t>Plan-Umsatz</t>
  </si>
  <si>
    <t>Plan-Mat-EK</t>
  </si>
  <si>
    <t>Plan-FL-EK</t>
  </si>
  <si>
    <t>Plan-DB</t>
  </si>
  <si>
    <t>Plan-Stunden</t>
  </si>
  <si>
    <t>Zwischenrechnung1</t>
  </si>
  <si>
    <t>Zwischenrechnung2</t>
  </si>
  <si>
    <t>Aufschlag</t>
  </si>
  <si>
    <t>Materialumsatz</t>
  </si>
  <si>
    <t>Fremdleistungsumsatz</t>
  </si>
  <si>
    <t>Umsätze Entsorgung</t>
  </si>
  <si>
    <t>Umsatz</t>
  </si>
  <si>
    <t>ja</t>
  </si>
  <si>
    <t>Monatsplanung</t>
  </si>
  <si>
    <t>Personal</t>
  </si>
  <si>
    <t>Privatentnahmen?</t>
  </si>
  <si>
    <t>Summe Privatentnahmen</t>
  </si>
  <si>
    <t>Summe Personalkosten inkl. Privatentnahmen</t>
  </si>
  <si>
    <t>SUMME Investitionen</t>
  </si>
  <si>
    <t>Aufträge</t>
  </si>
  <si>
    <t>LC</t>
  </si>
  <si>
    <t>durchschn. Auftragswert</t>
  </si>
  <si>
    <t>Stückzahl</t>
  </si>
  <si>
    <t>Prozentuale Aufteilung der Umsätze</t>
  </si>
  <si>
    <t>SUMME AUFTRÄGE</t>
  </si>
  <si>
    <t>Summe Planstunden</t>
  </si>
  <si>
    <t>Summe Sollstunden</t>
  </si>
  <si>
    <t>aus Ress.planung</t>
  </si>
  <si>
    <t>SUMME MATERIALEINSATZ</t>
  </si>
  <si>
    <t>SUMME FREMDLEISTUNGEN</t>
  </si>
  <si>
    <t>Mitarbeiterverteilung</t>
  </si>
  <si>
    <r>
      <t xml:space="preserve">Aufteilung </t>
    </r>
    <r>
      <rPr>
        <b/>
        <u/>
        <sz val="10"/>
        <rFont val="Arial"/>
        <family val="2"/>
      </rPr>
      <t>produktive Lohnkosten</t>
    </r>
    <r>
      <rPr>
        <b/>
        <sz val="10"/>
        <rFont val="Arial"/>
        <family val="2"/>
      </rPr>
      <t xml:space="preserve"> auf die einzelnen PC</t>
    </r>
  </si>
  <si>
    <r>
      <t xml:space="preserve">Aufteilung </t>
    </r>
    <r>
      <rPr>
        <b/>
        <u/>
        <sz val="10"/>
        <rFont val="Arial"/>
        <family val="2"/>
      </rPr>
      <t>produktiven Lohnkosten</t>
    </r>
    <r>
      <rPr>
        <b/>
        <sz val="10"/>
        <rFont val="Arial"/>
        <family val="2"/>
      </rPr>
      <t xml:space="preserve"> auf die einzelnen PC</t>
    </r>
  </si>
  <si>
    <r>
      <t xml:space="preserve">Aufteilung </t>
    </r>
    <r>
      <rPr>
        <b/>
        <u/>
        <sz val="10"/>
        <rFont val="Arial"/>
        <family val="2"/>
      </rPr>
      <t>produktiven Stunden</t>
    </r>
    <r>
      <rPr>
        <b/>
        <sz val="10"/>
        <rFont val="Arial"/>
        <family val="2"/>
      </rPr>
      <t xml:space="preserve"> auf die einzelnen PC</t>
    </r>
  </si>
  <si>
    <r>
      <t xml:space="preserve">Aufteilung </t>
    </r>
    <r>
      <rPr>
        <b/>
        <u/>
        <sz val="10"/>
        <rFont val="Arial"/>
        <family val="2"/>
      </rPr>
      <t>Personalgemeinkosten</t>
    </r>
    <r>
      <rPr>
        <b/>
        <sz val="10"/>
        <rFont val="Arial"/>
        <family val="2"/>
      </rPr>
      <t xml:space="preserve"> auf die einzelnen PC</t>
    </r>
  </si>
  <si>
    <t>Personal-
Einzelkosten</t>
  </si>
  <si>
    <t>Personal-
Gemeinkosten</t>
  </si>
  <si>
    <t>SUMME</t>
  </si>
  <si>
    <t>Produktive
Stunden</t>
  </si>
  <si>
    <t>Produktive
Lohnkosten</t>
  </si>
  <si>
    <t>Vw. &amp; Vt.</t>
  </si>
  <si>
    <t>LC 1</t>
  </si>
  <si>
    <t>LC 2</t>
  </si>
  <si>
    <t>LC 3</t>
  </si>
  <si>
    <t>LC 4</t>
  </si>
  <si>
    <t>LC 5</t>
  </si>
  <si>
    <t>LC 6</t>
  </si>
  <si>
    <t>LC 7</t>
  </si>
  <si>
    <t>Monats-Wert lt. BWA/SuSa</t>
  </si>
  <si>
    <t>Kumulierter Wert lt. BWA/SuSa</t>
  </si>
  <si>
    <t>Kumulierter Wert lt. erfasster Vormonate</t>
  </si>
  <si>
    <t>BWA Position</t>
  </si>
  <si>
    <t>Jahres-Saldo</t>
  </si>
  <si>
    <t>S+ / H-</t>
  </si>
  <si>
    <t>Ist Aktuell Monat 01</t>
  </si>
  <si>
    <t>Ist Aktuell Monat 02</t>
  </si>
  <si>
    <t>Ist Aktuell Monat 03</t>
  </si>
  <si>
    <t>Ist Aktuell Monat 04</t>
  </si>
  <si>
    <t>Ist Aktuell Monat 05</t>
  </si>
  <si>
    <t>Ist Aktuell Monat 06</t>
  </si>
  <si>
    <t>Ist Aktuell Monat 07</t>
  </si>
  <si>
    <t>Ist Aktuell Monat 08</t>
  </si>
  <si>
    <t>Ist Aktuell Monat 09</t>
  </si>
  <si>
    <t>Ist Aktuell Monat 10</t>
  </si>
  <si>
    <t>Ist Aktuell Monat 11</t>
  </si>
  <si>
    <t>Ist Aktuell Monat 12</t>
  </si>
  <si>
    <t>Bereichs-Zuordnung über Konto-Nr.</t>
  </si>
  <si>
    <t>Spalte Konto-Nr. im Monats-Sheet</t>
  </si>
  <si>
    <t>Forderungsbereich</t>
  </si>
  <si>
    <t>Spalte Werte-Herkunft Haben-Werte</t>
  </si>
  <si>
    <t>Spalte Werte-Herkunft Soll-Werte</t>
  </si>
  <si>
    <t>ACHTUNG: stets Summe aller Monate?</t>
  </si>
  <si>
    <t>ACHTUNG: evtl. eher Saldo ziehen?</t>
  </si>
  <si>
    <t>???</t>
  </si>
  <si>
    <t>Spalte Werte-Herkunft im Monats-Sheet</t>
  </si>
  <si>
    <t>-</t>
  </si>
  <si>
    <t>Bestandsveränderung Halbfertige Arbeiten</t>
  </si>
  <si>
    <t>Sonstige betriebliche Erträge</t>
  </si>
  <si>
    <t xml:space="preserve">Material-Einzelkosten bzw. Wareneinsatz </t>
  </si>
  <si>
    <t>Lagerbestandsveränderungen</t>
  </si>
  <si>
    <t>Bezugskosten / Verkäuferprovisionen</t>
  </si>
  <si>
    <t>Baustellenabhängige Entsorgungskosten und Miet- / Leasingkosten</t>
  </si>
  <si>
    <t>Lieferantenskonti / -boni</t>
  </si>
  <si>
    <t>Fremdleistungen (Subunternehmer)</t>
  </si>
  <si>
    <t>Rohgewinn / Deckungsbeitrag</t>
  </si>
  <si>
    <t>Löhne und Gehälter</t>
  </si>
  <si>
    <t>Gesetzl. Sozialaufwendungen + Beitr. zur s. A.</t>
  </si>
  <si>
    <t>Vermögenswirksame Leistungen</t>
  </si>
  <si>
    <t>Lohnsteuer</t>
  </si>
  <si>
    <t>Fremdleistungen (Leiharbeiter)</t>
  </si>
  <si>
    <t>Liquidität I / Deckungsbeitrag II</t>
  </si>
  <si>
    <t>Pacht und Miete</t>
  </si>
  <si>
    <t>Raumnebenkosten</t>
  </si>
  <si>
    <t>Finanzergebnis</t>
  </si>
  <si>
    <t>Liquidität II</t>
  </si>
  <si>
    <t>Sonstige a.o. Aufwendungen (EWB / PWB)</t>
  </si>
  <si>
    <t>Übrige sonstige a.o. Aufwendungen</t>
  </si>
  <si>
    <t>Sonstige a.o. Erträge (EWB / PWB)</t>
  </si>
  <si>
    <t>Übrige sonstige a.o. Erträge (Erstattungen Aufwendungsausgleich)</t>
  </si>
  <si>
    <t>Sonstige a.o. Erträge aus 1%-Regelung</t>
  </si>
  <si>
    <t>AO Ergebnis</t>
  </si>
  <si>
    <t>davon Privatsteuern</t>
  </si>
  <si>
    <t>Jahresüberschuss / -fehlbetrag</t>
  </si>
  <si>
    <t>Ausschüttungen</t>
  </si>
  <si>
    <t>Veränderung der Rückstellungen</t>
  </si>
  <si>
    <t>Kreditaufnahme für Investitionen / Gewinnverwendung</t>
  </si>
  <si>
    <t>davon reine Privatentnahmen</t>
  </si>
  <si>
    <t>Nettokreditaufnahme für Umschuldung (abzüglich Sondertilgungen)</t>
  </si>
  <si>
    <t>Liqui-Ergebnis II (Barliquidität)</t>
  </si>
  <si>
    <t>Veränderung Liquide Mittel:</t>
  </si>
  <si>
    <t>Veränderung Liquide Mittel</t>
  </si>
  <si>
    <t>Kontrollzeile! (Wert muss überall 0 sein!)</t>
  </si>
  <si>
    <t>Liqui-Cockpit:</t>
  </si>
  <si>
    <t>Werthaltiger Forderungsbestand (Debitoren)</t>
  </si>
  <si>
    <t>HFE - Anzahlungen</t>
  </si>
  <si>
    <t>Lieferantenverbindlichkeiten (Kreditoren)</t>
  </si>
  <si>
    <t>Sonstige Verbindlichkeiten</t>
  </si>
  <si>
    <t>Jahresüberschuss/-verlust</t>
  </si>
  <si>
    <t>Ist Vorjahr Monat 01</t>
  </si>
  <si>
    <t>Ist Vorjahr Monat 02</t>
  </si>
  <si>
    <t>Ist Vorjahr Monat 03</t>
  </si>
  <si>
    <t>Ist Vorjahr Monat 04</t>
  </si>
  <si>
    <t>Ist Vorjahr Monat 05</t>
  </si>
  <si>
    <t>Ist Vorjahr Monat 06</t>
  </si>
  <si>
    <t>Ist Vorjahr Monat 07</t>
  </si>
  <si>
    <t>Ist Vorjahr Monat 08</t>
  </si>
  <si>
    <t>Ist Vorjahr Monat 09</t>
  </si>
  <si>
    <t>Ist Vorjahr Monat 10</t>
  </si>
  <si>
    <t>Ist Vorjahr Monat 11</t>
  </si>
  <si>
    <t>Ist Vorjahr Monat 12</t>
  </si>
  <si>
    <t>Maxdivers Mustermann</t>
  </si>
  <si>
    <t>Egon Kaufmann</t>
  </si>
  <si>
    <t>Walter Meister</t>
  </si>
  <si>
    <t>Lola Rennt</t>
  </si>
  <si>
    <t>A. Zubi</t>
  </si>
  <si>
    <t>Zur Ausbildung</t>
  </si>
  <si>
    <t>Reine Putze</t>
  </si>
  <si>
    <t>Bier Lager</t>
  </si>
  <si>
    <t>Heinrich vor Arbeit</t>
  </si>
  <si>
    <t>Elternzeit Geselle</t>
  </si>
  <si>
    <t>Voller Geselle</t>
  </si>
  <si>
    <t>Thomas Fleißig</t>
  </si>
  <si>
    <t>Tom in Technik</t>
  </si>
  <si>
    <t>Abgänger</t>
  </si>
  <si>
    <t>?</t>
  </si>
  <si>
    <t>Neues Darlehen</t>
  </si>
  <si>
    <t>+</t>
  </si>
  <si>
    <t>noch nicht in Anspruch genommen</t>
  </si>
  <si>
    <t>CNC Fräse + Säge</t>
  </si>
  <si>
    <t>nur kalkulatorisch</t>
  </si>
  <si>
    <t>LKW+Sprinter</t>
  </si>
  <si>
    <t>Mieten für Einrichtungen (un)bewegliche WG</t>
  </si>
  <si>
    <t>Wartungkosten Soft/ Wartungkosten, Lizenzen</t>
  </si>
  <si>
    <t>großer lkw nächstes jahr fällig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</si>
</sst>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1">
    <numFmt numFmtId="5" formatCode="#,##0\ &quot;€&quot;;\-#,##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#,##0.00_ ;[Red]\-#,##0.00\ "/>
    <numFmt numFmtId="166" formatCode="0.0"/>
    <numFmt numFmtId="167" formatCode="0.0%"/>
    <numFmt numFmtId="168" formatCode="0_)"/>
    <numFmt numFmtId="169" formatCode="#,##0.00000000"/>
    <numFmt numFmtId="170" formatCode="d/m"/>
    <numFmt numFmtId="171" formatCode="#,##0.00\ &quot;€&quot;"/>
    <numFmt numFmtId="172" formatCode="#,##0.00000"/>
    <numFmt numFmtId="173" formatCode="#,##0.0000000000"/>
    <numFmt numFmtId="174" formatCode="#,##0.0"/>
    <numFmt numFmtId="175" formatCode="#,##0_ ;[Red]\-#,##0\ "/>
    <numFmt numFmtId="176" formatCode="#,##0.0000"/>
    <numFmt numFmtId="177" formatCode="&quot;kumuliert per &quot;00&quot; / 2012&quot;"/>
    <numFmt numFmtId="178" formatCode="0&quot; (pro Jahr)&quot;"/>
    <numFmt numFmtId="179" formatCode="#,##0.00\ _€"/>
    <numFmt numFmtId="180" formatCode="&quot;Chef: &quot;0.00"/>
    <numFmt numFmtId="181" formatCode="&quot;Büroangestellte: &quot;0.00"/>
    <numFmt numFmtId="182" formatCode="&quot;Produktivkraft: &quot;0.00"/>
    <numFmt numFmtId="183" formatCode="&quot;Azubi / Aushilfen: &quot;0.00"/>
    <numFmt numFmtId="184" formatCode="&quot;davon &quot;@"/>
    <numFmt numFmtId="185" formatCode="mmmm"/>
    <numFmt numFmtId="186" formatCode="mmm/\ yyyy"/>
    <numFmt numFmtId="187" formatCode="#,##0.00&quot; h&quot;;[Red]\-#,##0.00&quot; h&quot;"/>
    <numFmt numFmtId="188" formatCode="#,##0.00&quot; €/h&quot;;[Red]\-#,##0.00&quot; €/h&quot;"/>
    <numFmt numFmtId="189" formatCode="0.00\ %"/>
    <numFmt numFmtId="190" formatCode="0.00\ %;\-0.00\ %;&quot;&quot;"/>
    <numFmt numFmtId="191" formatCode="mmm"/>
  </numFmts>
  <fonts count="8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4"/>
      <name val="Arial"/>
      <family val="2"/>
    </font>
    <font>
      <b/>
      <sz val="20"/>
      <color indexed="9"/>
      <name val="Arial"/>
      <family val="2"/>
    </font>
    <font>
      <b/>
      <sz val="16"/>
      <color indexed="9"/>
      <name val="Arial"/>
      <family val="2"/>
    </font>
    <font>
      <b/>
      <sz val="14"/>
      <color indexed="9"/>
      <name val="Arial"/>
      <family val="2"/>
    </font>
    <font>
      <b/>
      <sz val="14"/>
      <color indexed="8"/>
      <name val="Arial"/>
      <family val="2"/>
    </font>
    <font>
      <b/>
      <sz val="12"/>
      <color indexed="8"/>
      <name val="Arial"/>
      <family val="2"/>
    </font>
    <font>
      <sz val="12"/>
      <name val="Arial"/>
      <family val="2"/>
    </font>
    <font>
      <sz val="12"/>
      <name val="Wingdings"/>
      <charset val="2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2"/>
      <name val="Arial"/>
      <family val="2"/>
    </font>
    <font>
      <i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b/>
      <sz val="8"/>
      <name val="Arial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b/>
      <sz val="14"/>
      <color indexed="56"/>
      <name val="Arial"/>
      <family val="2"/>
    </font>
    <font>
      <b/>
      <sz val="10"/>
      <color indexed="56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i/>
      <sz val="8"/>
      <name val="Arial"/>
      <family val="2"/>
    </font>
    <font>
      <sz val="10"/>
      <name val="MS Sans Serif"/>
      <family val="2"/>
    </font>
    <font>
      <b/>
      <sz val="22"/>
      <color indexed="32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u/>
      <sz val="12"/>
      <name val="Arial"/>
      <family val="2"/>
    </font>
    <font>
      <b/>
      <i/>
      <sz val="10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color theme="0"/>
      <name val="Arial"/>
      <family val="2"/>
    </font>
    <font>
      <b/>
      <i/>
      <sz val="10"/>
      <color theme="1"/>
      <name val="Arial"/>
      <family val="2"/>
    </font>
    <font>
      <b/>
      <sz val="25"/>
      <color theme="1"/>
      <name val="Arial"/>
      <family val="2"/>
    </font>
    <font>
      <sz val="25"/>
      <color theme="1"/>
      <name val="Arial"/>
      <family val="2"/>
    </font>
    <font>
      <b/>
      <sz val="10"/>
      <color theme="0" tint="-0.249977111117893"/>
      <name val="Arial"/>
      <family val="2"/>
    </font>
    <font>
      <sz val="8"/>
      <color rgb="FFFF0000"/>
      <name val="Arial"/>
      <family val="2"/>
    </font>
    <font>
      <i/>
      <sz val="10"/>
      <color indexed="23"/>
      <name val="Arial"/>
      <family val="2"/>
    </font>
    <font>
      <sz val="10"/>
      <color theme="5" tint="0.39997558519241921"/>
      <name val="Arial"/>
      <family val="2"/>
    </font>
    <font>
      <b/>
      <sz val="10"/>
      <color rgb="FFFFFFCC"/>
      <name val="Arial"/>
      <family val="2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8"/>
      <color theme="3"/>
      <name val="Cambria"/>
      <family val="2"/>
      <scheme val="maj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theme="0"/>
      <name val="Arial"/>
      <family val="2"/>
    </font>
    <font>
      <b/>
      <sz val="11"/>
      <color rgb="FF3F3F3F"/>
      <name val="Calibri"/>
      <family val="2"/>
      <scheme val="minor"/>
    </font>
    <font>
      <sz val="10"/>
      <color rgb="FF3F3F76"/>
      <name val="Arial"/>
      <family val="2"/>
    </font>
    <font>
      <sz val="20"/>
      <name val="Arial"/>
      <family val="2"/>
    </font>
    <font>
      <b/>
      <sz val="10"/>
      <color rgb="FF3F3F3F"/>
      <name val="Arial"/>
      <family val="2"/>
    </font>
    <font>
      <sz val="10"/>
      <name val="Arial"/>
      <family val="2"/>
    </font>
    <font>
      <b/>
      <sz val="24"/>
      <color theme="1"/>
      <name val="Calibri"/>
      <family val="2"/>
      <scheme val="minor"/>
    </font>
    <font>
      <b/>
      <sz val="16"/>
      <color theme="0" tint="-0.499984740745262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24"/>
      <name val="Arial"/>
      <family val="2"/>
    </font>
    <font>
      <sz val="24"/>
      <name val="Arial"/>
      <family val="2"/>
    </font>
    <font>
      <sz val="7"/>
      <color theme="0"/>
      <name val="Arial"/>
      <family val="2"/>
    </font>
    <font>
      <sz val="7"/>
      <name val="Arial"/>
      <family val="2"/>
    </font>
    <font>
      <sz val="6"/>
      <name val="Arial"/>
      <family val="2"/>
    </font>
    <font>
      <b/>
      <sz val="6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indexed="22"/>
        <bgColor indexed="13"/>
      </patternFill>
    </fill>
    <fill>
      <patternFill patternType="solid">
        <fgColor rgb="FFC0C0C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C0C0"/>
        <bgColor indexed="13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00B0F0"/>
        <bgColor indexed="64"/>
      </patternFill>
    </fill>
    <fill>
      <patternFill patternType="solid">
        <f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BE6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5" tint="0.59999389629810485"/>
        <bgColor indexed="64"/>
      </patternFill>
    </fill>
  </fills>
  <borders count="10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36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 wrapText="1"/>
    </xf>
    <xf numFmtId="0" fontId="6" fillId="0" borderId="0">
      <alignment vertical="center" wrapText="1"/>
    </xf>
    <xf numFmtId="0" fontId="67" fillId="30" borderId="92"/>
    <xf numFmtId="0" fontId="62" fillId="28" borderId="89"/>
    <xf numFmtId="0" fontId="63" fillId="0" borderId="90"/>
    <xf numFmtId="164" fontId="20" fillId="0" borderId="0"/>
    <xf numFmtId="0" fontId="5" fillId="0" borderId="0"/>
    <xf numFmtId="168" fontId="7" fillId="1" borderId="0"/>
    <xf numFmtId="9" fontId="4" fillId="0" borderId="0"/>
    <xf numFmtId="9" fontId="2" fillId="0" borderId="0"/>
    <xf numFmtId="0" fontId="20" fillId="0" borderId="0"/>
    <xf numFmtId="0" fontId="3" fillId="0" borderId="0"/>
    <xf numFmtId="0" fontId="2" fillId="0" borderId="0"/>
    <xf numFmtId="0" fontId="57" fillId="0" borderId="0"/>
    <xf numFmtId="0" fontId="1" fillId="0" borderId="0"/>
    <xf numFmtId="49" fontId="7" fillId="0" borderId="0">
      <alignment horizontal="left" vertical="center"/>
    </xf>
    <xf numFmtId="0" fontId="8" fillId="0" borderId="0">
      <alignment vertical="center"/>
    </xf>
    <xf numFmtId="0" fontId="8" fillId="0" borderId="0">
      <alignment vertical="center" wrapText="1"/>
    </xf>
    <xf numFmtId="0" fontId="8" fillId="0" borderId="0">
      <alignment vertical="center"/>
    </xf>
    <xf numFmtId="0" fontId="9" fillId="0" borderId="0">
      <alignment vertical="center" wrapText="1"/>
    </xf>
    <xf numFmtId="0" fontId="37" fillId="0" borderId="0"/>
    <xf numFmtId="0" fontId="10" fillId="0" borderId="0">
      <alignment horizontal="centerContinuous" vertical="center"/>
    </xf>
    <xf numFmtId="0" fontId="61" fillId="0" borderId="0"/>
    <xf numFmtId="0" fontId="11" fillId="2" borderId="1">
      <alignment horizontal="left" vertical="center"/>
    </xf>
    <xf numFmtId="0" fontId="12" fillId="2" borderId="2">
      <alignment horizontal="right" vertical="center"/>
    </xf>
    <xf numFmtId="49" fontId="13" fillId="3" borderId="3">
      <alignment horizontal="left" vertical="center"/>
    </xf>
    <xf numFmtId="0" fontId="14" fillId="0" borderId="0">
      <alignment vertical="center"/>
    </xf>
    <xf numFmtId="49" fontId="13" fillId="3" borderId="3">
      <alignment vertical="center"/>
    </xf>
    <xf numFmtId="0" fontId="15" fillId="0" borderId="0">
      <alignment vertical="center"/>
    </xf>
    <xf numFmtId="0" fontId="16" fillId="0" borderId="0"/>
    <xf numFmtId="44" fontId="71" fillId="0" borderId="0"/>
    <xf numFmtId="44" fontId="57" fillId="0" borderId="0"/>
    <xf numFmtId="0" fontId="17" fillId="4" borderId="0">
      <alignment horizontal="centerContinuous" vertical="center"/>
    </xf>
    <xf numFmtId="0" fontId="83" fillId="0" borderId="0">
      <alignment vertical="center"/>
    </xf>
  </cellStyleXfs>
  <cellXfs count="1536">
    <xf numFmtId="0" fontId="5" fillId="0" borderId="0" xfId="0" applyNumberFormat="1" applyFont="1" applyFill="1" applyBorder="1" applyAlignment="1" applyProtection="1">
      <alignment vertical="center"/>
    </xf>
    <xf numFmtId="0" fontId="20" fillId="0" borderId="0" xfId="12" applyNumberFormat="1" applyFont="1" applyFill="1" applyBorder="1" applyProtection="1"/>
    <xf numFmtId="0" fontId="61" fillId="0" borderId="0" xfId="24" applyNumberFormat="1" applyFont="1" applyFill="1" applyBorder="1" applyProtection="1"/>
    <xf numFmtId="0" fontId="0" fillId="0" borderId="0" xfId="0" applyNumberFormat="1" applyFont="1" applyFill="1" applyBorder="1" applyProtection="1">
      <alignment vertical="center"/>
    </xf>
    <xf numFmtId="0" fontId="0" fillId="4" borderId="0" xfId="0" applyNumberFormat="1" applyFont="1" applyFill="1" applyBorder="1" applyProtection="1">
      <alignment vertical="center"/>
    </xf>
    <xf numFmtId="0" fontId="0" fillId="4" borderId="4" xfId="0" applyNumberFormat="1" applyFont="1" applyFill="1" applyBorder="1" applyProtection="1">
      <alignment vertical="center"/>
    </xf>
    <xf numFmtId="3" fontId="4" fillId="4" borderId="4" xfId="10" applyNumberFormat="1" applyFont="1" applyFill="1" applyBorder="1" applyAlignment="1" applyProtection="1">
      <alignment horizontal="center"/>
    </xf>
    <xf numFmtId="9" fontId="4" fillId="4" borderId="4" xfId="10" applyNumberFormat="1" applyFont="1" applyFill="1" applyBorder="1" applyAlignment="1" applyProtection="1">
      <alignment horizontal="center"/>
    </xf>
    <xf numFmtId="0" fontId="0" fillId="4" borderId="5" xfId="0" applyNumberFormat="1" applyFont="1" applyFill="1" applyBorder="1" applyProtection="1">
      <alignment vertical="center"/>
    </xf>
    <xf numFmtId="9" fontId="4" fillId="4" borderId="0" xfId="10" applyNumberFormat="1" applyFont="1" applyFill="1" applyBorder="1" applyAlignment="1" applyProtection="1">
      <alignment horizontal="center"/>
    </xf>
    <xf numFmtId="3" fontId="4" fillId="4" borderId="0" xfId="10" applyNumberFormat="1" applyFont="1" applyFill="1" applyBorder="1" applyAlignment="1" applyProtection="1">
      <alignment horizontal="center"/>
    </xf>
    <xf numFmtId="0" fontId="0" fillId="4" borderId="0" xfId="0" applyNumberFormat="1" applyFont="1" applyFill="1" applyBorder="1" applyProtection="1">
      <alignment vertical="center"/>
    </xf>
    <xf numFmtId="0" fontId="0" fillId="4" borderId="4" xfId="0" applyNumberFormat="1" applyFont="1" applyFill="1" applyBorder="1" applyAlignment="1" applyProtection="1">
      <alignment horizontal="center"/>
    </xf>
    <xf numFmtId="0" fontId="0" fillId="4" borderId="0" xfId="0" applyNumberFormat="1" applyFont="1" applyFill="1" applyBorder="1" applyAlignment="1" applyProtection="1">
      <alignment horizontal="center"/>
    </xf>
    <xf numFmtId="165" fontId="0" fillId="4" borderId="9" xfId="0" applyNumberFormat="1" applyFont="1" applyFill="1" applyBorder="1" applyAlignment="1" applyProtection="1">
      <alignment horizontal="center"/>
    </xf>
    <xf numFmtId="165" fontId="0" fillId="4" borderId="13" xfId="0" applyNumberFormat="1" applyFont="1" applyFill="1" applyBorder="1" applyAlignment="1" applyProtection="1">
      <alignment horizontal="center"/>
    </xf>
    <xf numFmtId="0" fontId="0" fillId="4" borderId="18" xfId="0" applyNumberFormat="1" applyFont="1" applyFill="1" applyBorder="1" applyProtection="1">
      <alignment vertical="center"/>
    </xf>
    <xf numFmtId="0" fontId="0" fillId="4" borderId="15" xfId="0" applyNumberFormat="1" applyFont="1" applyFill="1" applyBorder="1" applyProtection="1">
      <alignment vertical="center"/>
    </xf>
    <xf numFmtId="0" fontId="0" fillId="4" borderId="8" xfId="0" applyNumberFormat="1" applyFont="1" applyFill="1" applyBorder="1" applyProtection="1">
      <alignment vertical="center"/>
    </xf>
    <xf numFmtId="0" fontId="0" fillId="4" borderId="10" xfId="0" applyNumberFormat="1" applyFont="1" applyFill="1" applyBorder="1" applyProtection="1">
      <alignment vertical="center"/>
    </xf>
    <xf numFmtId="0" fontId="19" fillId="4" borderId="0" xfId="0" applyNumberFormat="1" applyFont="1" applyFill="1" applyBorder="1" applyProtection="1">
      <alignment vertical="center"/>
    </xf>
    <xf numFmtId="0" fontId="0" fillId="4" borderId="12" xfId="0" applyNumberFormat="1" applyFont="1" applyFill="1" applyBorder="1" applyProtection="1">
      <alignment vertical="center"/>
    </xf>
    <xf numFmtId="0" fontId="0" fillId="0" borderId="18" xfId="0" applyNumberFormat="1" applyFont="1" applyFill="1" applyBorder="1" applyProtection="1">
      <alignment vertical="center"/>
    </xf>
    <xf numFmtId="4" fontId="0" fillId="4" borderId="0" xfId="0" applyNumberFormat="1" applyFont="1" applyFill="1" applyBorder="1" applyProtection="1">
      <alignment vertical="center"/>
    </xf>
    <xf numFmtId="14" fontId="0" fillId="0" borderId="20" xfId="0" applyNumberFormat="1" applyFont="1" applyFill="1" applyBorder="1" applyProtection="1">
      <alignment vertical="center"/>
    </xf>
    <xf numFmtId="1" fontId="0" fillId="0" borderId="2" xfId="0" applyNumberFormat="1" applyFont="1" applyFill="1" applyBorder="1" applyProtection="1">
      <alignment vertical="center"/>
    </xf>
    <xf numFmtId="4" fontId="0" fillId="0" borderId="4" xfId="0" applyNumberFormat="1" applyFont="1" applyFill="1" applyBorder="1" applyProtection="1">
      <alignment vertical="center"/>
    </xf>
    <xf numFmtId="4" fontId="0" fillId="0" borderId="21" xfId="0" applyNumberFormat="1" applyFont="1" applyFill="1" applyBorder="1" applyProtection="1">
      <alignment vertical="center"/>
    </xf>
    <xf numFmtId="14" fontId="0" fillId="4" borderId="0" xfId="0" applyNumberFormat="1" applyFont="1" applyFill="1" applyBorder="1" applyProtection="1">
      <alignment vertical="center"/>
    </xf>
    <xf numFmtId="0" fontId="0" fillId="0" borderId="10" xfId="0" applyNumberFormat="1" applyFont="1" applyFill="1" applyBorder="1" applyProtection="1">
      <alignment vertical="center"/>
    </xf>
    <xf numFmtId="170" fontId="0" fillId="4" borderId="0" xfId="0" applyNumberFormat="1" applyFont="1" applyFill="1" applyBorder="1" applyProtection="1">
      <alignment vertical="center"/>
    </xf>
    <xf numFmtId="10" fontId="0" fillId="4" borderId="0" xfId="0" applyNumberFormat="1" applyFont="1" applyFill="1" applyBorder="1" applyProtection="1">
      <alignment vertical="center"/>
    </xf>
    <xf numFmtId="0" fontId="0" fillId="0" borderId="0" xfId="0" applyNumberFormat="1" applyFont="1" applyFill="1" applyBorder="1" applyProtection="1">
      <alignment vertical="center"/>
    </xf>
    <xf numFmtId="14" fontId="0" fillId="4" borderId="0" xfId="0" applyNumberFormat="1" applyFont="1" applyFill="1" applyBorder="1" applyProtection="1">
      <alignment vertical="center"/>
    </xf>
    <xf numFmtId="4" fontId="0" fillId="4" borderId="0" xfId="0" applyNumberFormat="1" applyFont="1" applyFill="1" applyBorder="1" applyProtection="1">
      <alignment vertical="center"/>
    </xf>
    <xf numFmtId="0" fontId="0" fillId="0" borderId="12" xfId="0" applyNumberFormat="1" applyFont="1" applyFill="1" applyBorder="1" applyProtection="1">
      <alignment vertical="center"/>
    </xf>
    <xf numFmtId="0" fontId="0" fillId="4" borderId="16" xfId="0" applyNumberFormat="1" applyFont="1" applyFill="1" applyBorder="1" applyProtection="1">
      <alignment vertical="center"/>
    </xf>
    <xf numFmtId="14" fontId="0" fillId="0" borderId="22" xfId="0" applyNumberFormat="1" applyFont="1" applyFill="1" applyBorder="1" applyProtection="1">
      <alignment vertical="center"/>
    </xf>
    <xf numFmtId="4" fontId="0" fillId="0" borderId="23" xfId="0" applyNumberFormat="1" applyFont="1" applyFill="1" applyBorder="1" applyProtection="1">
      <alignment vertical="center"/>
    </xf>
    <xf numFmtId="14" fontId="0" fillId="0" borderId="24" xfId="0" applyNumberFormat="1" applyFont="1" applyFill="1" applyBorder="1" applyProtection="1">
      <alignment vertical="center"/>
    </xf>
    <xf numFmtId="1" fontId="0" fillId="0" borderId="25" xfId="0" applyNumberFormat="1" applyFont="1" applyFill="1" applyBorder="1" applyProtection="1">
      <alignment vertical="center"/>
    </xf>
    <xf numFmtId="4" fontId="0" fillId="0" borderId="25" xfId="0" applyNumberFormat="1" applyFont="1" applyFill="1" applyBorder="1" applyProtection="1">
      <alignment vertical="center"/>
    </xf>
    <xf numFmtId="4" fontId="0" fillId="0" borderId="26" xfId="0" applyNumberFormat="1" applyFont="1" applyFill="1" applyBorder="1" applyProtection="1">
      <alignment vertical="center"/>
    </xf>
    <xf numFmtId="0" fontId="0" fillId="4" borderId="27" xfId="0" applyNumberFormat="1" applyFont="1" applyFill="1" applyBorder="1" applyProtection="1">
      <alignment vertical="center"/>
    </xf>
    <xf numFmtId="0" fontId="0" fillId="4" borderId="17" xfId="0" applyNumberFormat="1" applyFont="1" applyFill="1" applyBorder="1" applyProtection="1">
      <alignment vertical="center"/>
    </xf>
    <xf numFmtId="165" fontId="0" fillId="4" borderId="0" xfId="0" applyNumberFormat="1" applyFont="1" applyFill="1" applyBorder="1" applyAlignment="1" applyProtection="1">
      <alignment horizontal="center"/>
    </xf>
    <xf numFmtId="0" fontId="19" fillId="4" borderId="0" xfId="0" applyNumberFormat="1" applyFont="1" applyFill="1" applyBorder="1" applyAlignment="1" applyProtection="1">
      <alignment horizontal="center"/>
    </xf>
    <xf numFmtId="3" fontId="0" fillId="4" borderId="4" xfId="0" applyNumberFormat="1" applyFont="1" applyFill="1" applyBorder="1" applyProtection="1">
      <alignment vertical="center"/>
    </xf>
    <xf numFmtId="4" fontId="0" fillId="4" borderId="4" xfId="0" applyNumberFormat="1" applyFont="1" applyFill="1" applyBorder="1" applyAlignment="1" applyProtection="1">
      <alignment horizontal="center"/>
    </xf>
    <xf numFmtId="0" fontId="0" fillId="4" borderId="0" xfId="0" applyNumberFormat="1" applyFont="1" applyFill="1" applyBorder="1" applyAlignment="1" applyProtection="1">
      <alignment horizontal="center"/>
    </xf>
    <xf numFmtId="0" fontId="0" fillId="4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30" fillId="7" borderId="4" xfId="0" applyNumberFormat="1" applyFont="1" applyFill="1" applyBorder="1" applyAlignment="1" applyProtection="1">
      <alignment horizontal="left" wrapText="1" indent="2"/>
    </xf>
    <xf numFmtId="171" fontId="30" fillId="7" borderId="4" xfId="0" applyNumberFormat="1" applyFont="1" applyFill="1" applyBorder="1" applyAlignment="1" applyProtection="1">
      <alignment horizontal="right" wrapText="1"/>
    </xf>
    <xf numFmtId="0" fontId="20" fillId="5" borderId="4" xfId="0" applyNumberFormat="1" applyFont="1" applyFill="1" applyBorder="1" applyAlignment="1" applyProtection="1">
      <alignment horizontal="left" wrapText="1" indent="2"/>
    </xf>
    <xf numFmtId="171" fontId="20" fillId="5" borderId="4" xfId="0" applyNumberFormat="1" applyFont="1" applyFill="1" applyBorder="1" applyAlignment="1" applyProtection="1">
      <alignment horizontal="right" wrapText="1"/>
    </xf>
    <xf numFmtId="0" fontId="30" fillId="6" borderId="4" xfId="0" applyNumberFormat="1" applyFont="1" applyFill="1" applyBorder="1" applyAlignment="1" applyProtection="1">
      <alignment horizontal="left" wrapText="1" indent="2"/>
    </xf>
    <xf numFmtId="171" fontId="20" fillId="6" borderId="4" xfId="0" applyNumberFormat="1" applyFont="1" applyFill="1" applyBorder="1" applyAlignment="1" applyProtection="1">
      <alignment wrapText="1"/>
    </xf>
    <xf numFmtId="0" fontId="20" fillId="0" borderId="4" xfId="0" applyNumberFormat="1" applyFont="1" applyFill="1" applyBorder="1" applyAlignment="1" applyProtection="1">
      <alignment horizontal="left" wrapText="1" indent="2"/>
    </xf>
    <xf numFmtId="171" fontId="20" fillId="0" borderId="4" xfId="0" applyNumberFormat="1" applyFont="1" applyFill="1" applyBorder="1" applyAlignment="1" applyProtection="1">
      <alignment horizontal="right" wrapText="1"/>
    </xf>
    <xf numFmtId="171" fontId="20" fillId="6" borderId="4" xfId="0" applyNumberFormat="1" applyFont="1" applyFill="1" applyBorder="1" applyAlignment="1" applyProtection="1">
      <alignment horizontal="right" wrapText="1"/>
    </xf>
    <xf numFmtId="0" fontId="0" fillId="4" borderId="0" xfId="0" applyNumberFormat="1" applyFont="1" applyFill="1" applyBorder="1" applyAlignment="1" applyProtection="1">
      <alignment horizontal="left" indent="2"/>
    </xf>
    <xf numFmtId="171" fontId="0" fillId="4" borderId="0" xfId="0" applyNumberFormat="1" applyFont="1" applyFill="1" applyBorder="1" applyProtection="1">
      <alignment vertical="center"/>
    </xf>
    <xf numFmtId="0" fontId="0" fillId="0" borderId="0" xfId="0" applyNumberFormat="1" applyFont="1" applyFill="1" applyBorder="1" applyAlignment="1" applyProtection="1">
      <alignment horizontal="left" indent="2"/>
    </xf>
    <xf numFmtId="171" fontId="0" fillId="0" borderId="0" xfId="0" applyNumberFormat="1" applyFont="1" applyFill="1" applyBorder="1" applyProtection="1">
      <alignment vertical="center"/>
    </xf>
    <xf numFmtId="0" fontId="0" fillId="6" borderId="4" xfId="0" applyNumberFormat="1" applyFont="1" applyFill="1" applyBorder="1" applyAlignment="1" applyProtection="1">
      <alignment horizontal="center"/>
    </xf>
    <xf numFmtId="0" fontId="0" fillId="0" borderId="4" xfId="0" applyNumberFormat="1" applyFont="1" applyFill="1" applyBorder="1" applyProtection="1">
      <alignment vertical="center"/>
    </xf>
    <xf numFmtId="0" fontId="0" fillId="6" borderId="21" xfId="0" applyNumberFormat="1" applyFont="1" applyFill="1" applyBorder="1" applyAlignment="1" applyProtection="1">
      <alignment horizontal="center"/>
    </xf>
    <xf numFmtId="0" fontId="0" fillId="6" borderId="20" xfId="0" applyNumberFormat="1" applyFont="1" applyFill="1" applyBorder="1" applyProtection="1">
      <alignment vertical="center"/>
    </xf>
    <xf numFmtId="0" fontId="0" fillId="0" borderId="21" xfId="0" applyNumberFormat="1" applyFont="1" applyFill="1" applyBorder="1" applyProtection="1">
      <alignment vertical="center"/>
    </xf>
    <xf numFmtId="0" fontId="0" fillId="6" borderId="24" xfId="0" applyNumberFormat="1" applyFont="1" applyFill="1" applyBorder="1" applyProtection="1">
      <alignment vertical="center"/>
    </xf>
    <xf numFmtId="9" fontId="0" fillId="0" borderId="4" xfId="0" applyNumberFormat="1" applyFont="1" applyFill="1" applyBorder="1" applyProtection="1">
      <alignment vertical="center"/>
    </xf>
    <xf numFmtId="9" fontId="0" fillId="0" borderId="21" xfId="0" applyNumberFormat="1" applyFont="1" applyFill="1" applyBorder="1" applyProtection="1">
      <alignment vertical="center"/>
    </xf>
    <xf numFmtId="4" fontId="4" fillId="4" borderId="4" xfId="10" applyNumberFormat="1" applyFont="1" applyFill="1" applyBorder="1" applyAlignment="1" applyProtection="1">
      <alignment horizontal="center"/>
    </xf>
    <xf numFmtId="4" fontId="4" fillId="4" borderId="0" xfId="10" applyNumberFormat="1" applyFont="1" applyFill="1" applyBorder="1" applyAlignment="1" applyProtection="1">
      <alignment horizontal="center"/>
    </xf>
    <xf numFmtId="3" fontId="0" fillId="0" borderId="4" xfId="0" applyNumberFormat="1" applyFont="1" applyFill="1" applyBorder="1" applyProtection="1">
      <alignment vertical="center"/>
    </xf>
    <xf numFmtId="3" fontId="0" fillId="0" borderId="21" xfId="0" applyNumberFormat="1" applyFont="1" applyFill="1" applyBorder="1" applyProtection="1">
      <alignment vertical="center"/>
    </xf>
    <xf numFmtId="10" fontId="0" fillId="0" borderId="25" xfId="0" applyNumberFormat="1" applyFont="1" applyFill="1" applyBorder="1" applyProtection="1">
      <alignment vertical="center"/>
    </xf>
    <xf numFmtId="10" fontId="0" fillId="0" borderId="26" xfId="0" applyNumberFormat="1" applyFont="1" applyFill="1" applyBorder="1" applyProtection="1">
      <alignment vertical="center"/>
    </xf>
    <xf numFmtId="9" fontId="0" fillId="4" borderId="4" xfId="0" applyNumberFormat="1" applyFont="1" applyFill="1" applyBorder="1" applyProtection="1">
      <alignment vertical="center"/>
    </xf>
    <xf numFmtId="3" fontId="32" fillId="9" borderId="4" xfId="10" applyNumberFormat="1" applyFont="1" applyFill="1" applyBorder="1" applyAlignment="1" applyProtection="1">
      <alignment horizontal="right"/>
    </xf>
    <xf numFmtId="3" fontId="32" fillId="9" borderId="4" xfId="10" applyNumberFormat="1" applyFont="1" applyFill="1" applyBorder="1" applyAlignment="1" applyProtection="1">
      <alignment horizontal="center"/>
    </xf>
    <xf numFmtId="4" fontId="0" fillId="9" borderId="4" xfId="0" applyNumberFormat="1" applyFont="1" applyFill="1" applyBorder="1" applyProtection="1">
      <alignment vertical="center"/>
    </xf>
    <xf numFmtId="0" fontId="19" fillId="9" borderId="4" xfId="0" applyNumberFormat="1" applyFont="1" applyFill="1" applyBorder="1" applyProtection="1">
      <alignment vertical="center"/>
    </xf>
    <xf numFmtId="9" fontId="19" fillId="9" borderId="4" xfId="0" applyNumberFormat="1" applyFont="1" applyFill="1" applyBorder="1" applyProtection="1">
      <alignment vertical="center"/>
    </xf>
    <xf numFmtId="0" fontId="0" fillId="9" borderId="0" xfId="0" applyNumberFormat="1" applyFont="1" applyFill="1" applyBorder="1" applyProtection="1">
      <alignment vertical="center"/>
    </xf>
    <xf numFmtId="9" fontId="0" fillId="4" borderId="4" xfId="0" applyNumberFormat="1" applyFont="1" applyFill="1" applyBorder="1" applyAlignment="1" applyProtection="1">
      <alignment horizontal="center"/>
    </xf>
    <xf numFmtId="3" fontId="0" fillId="4" borderId="4" xfId="0" applyNumberFormat="1" applyFont="1" applyFill="1" applyBorder="1" applyAlignment="1" applyProtection="1">
      <alignment horizontal="center"/>
    </xf>
    <xf numFmtId="0" fontId="0" fillId="9" borderId="0" xfId="0" applyNumberFormat="1" applyFont="1" applyFill="1" applyBorder="1" applyProtection="1">
      <alignment vertical="center"/>
    </xf>
    <xf numFmtId="0" fontId="20" fillId="9" borderId="0" xfId="0" applyNumberFormat="1" applyFont="1" applyFill="1" applyBorder="1" applyProtection="1">
      <alignment vertical="center"/>
    </xf>
    <xf numFmtId="0" fontId="7" fillId="9" borderId="0" xfId="0" applyNumberFormat="1" applyFont="1" applyFill="1" applyBorder="1" applyProtection="1">
      <alignment vertical="center"/>
    </xf>
    <xf numFmtId="0" fontId="20" fillId="9" borderId="0" xfId="0" applyNumberFormat="1" applyFont="1" applyFill="1" applyBorder="1" applyAlignment="1" applyProtection="1">
      <alignment horizontal="center"/>
    </xf>
    <xf numFmtId="0" fontId="0" fillId="9" borderId="0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Protection="1">
      <alignment vertical="center"/>
    </xf>
    <xf numFmtId="4" fontId="7" fillId="9" borderId="0" xfId="0" applyNumberFormat="1" applyFont="1" applyFill="1" applyBorder="1" applyAlignment="1" applyProtection="1">
      <alignment horizontal="center"/>
    </xf>
    <xf numFmtId="4" fontId="34" fillId="9" borderId="0" xfId="0" applyNumberFormat="1" applyFont="1" applyFill="1" applyBorder="1" applyAlignment="1" applyProtection="1">
      <alignment horizontal="center"/>
    </xf>
    <xf numFmtId="0" fontId="34" fillId="9" borderId="0" xfId="0" applyNumberFormat="1" applyFont="1" applyFill="1" applyBorder="1" applyAlignment="1" applyProtection="1">
      <alignment horizontal="center"/>
    </xf>
    <xf numFmtId="0" fontId="20" fillId="4" borderId="9" xfId="0" applyNumberFormat="1" applyFont="1" applyFill="1" applyBorder="1" applyProtection="1">
      <alignment vertical="center"/>
    </xf>
    <xf numFmtId="0" fontId="20" fillId="0" borderId="9" xfId="0" applyNumberFormat="1" applyFont="1" applyFill="1" applyBorder="1" applyProtection="1">
      <alignment vertical="center"/>
    </xf>
    <xf numFmtId="4" fontId="0" fillId="9" borderId="0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 wrapText="1"/>
    </xf>
    <xf numFmtId="0" fontId="0" fillId="9" borderId="4" xfId="0" applyNumberFormat="1" applyFont="1" applyFill="1" applyBorder="1" applyProtection="1">
      <alignment vertical="center"/>
    </xf>
    <xf numFmtId="9" fontId="0" fillId="9" borderId="4" xfId="0" applyNumberFormat="1" applyFont="1" applyFill="1" applyBorder="1" applyProtection="1">
      <alignment vertical="center"/>
    </xf>
    <xf numFmtId="3" fontId="0" fillId="9" borderId="4" xfId="0" applyNumberFormat="1" applyFont="1" applyFill="1" applyBorder="1" applyProtection="1">
      <alignment vertical="center"/>
    </xf>
    <xf numFmtId="9" fontId="4" fillId="9" borderId="4" xfId="10" applyNumberFormat="1" applyFont="1" applyFill="1" applyBorder="1" applyAlignment="1" applyProtection="1">
      <alignment horizontal="center"/>
    </xf>
    <xf numFmtId="165" fontId="0" fillId="9" borderId="9" xfId="0" applyNumberFormat="1" applyFont="1" applyFill="1" applyBorder="1" applyAlignment="1" applyProtection="1">
      <alignment horizontal="center"/>
    </xf>
    <xf numFmtId="10" fontId="0" fillId="4" borderId="9" xfId="0" applyNumberFormat="1" applyFont="1" applyFill="1" applyBorder="1" applyAlignment="1" applyProtection="1">
      <alignment horizontal="center"/>
    </xf>
    <xf numFmtId="165" fontId="0" fillId="9" borderId="13" xfId="0" applyNumberFormat="1" applyFont="1" applyFill="1" applyBorder="1" applyAlignment="1" applyProtection="1">
      <alignment horizontal="center"/>
    </xf>
    <xf numFmtId="10" fontId="0" fillId="4" borderId="13" xfId="0" applyNumberFormat="1" applyFont="1" applyFill="1" applyBorder="1" applyAlignment="1" applyProtection="1">
      <alignment horizontal="center"/>
    </xf>
    <xf numFmtId="3" fontId="0" fillId="9" borderId="6" xfId="0" applyNumberFormat="1" applyFont="1" applyFill="1" applyBorder="1" applyProtection="1">
      <alignment vertical="center"/>
    </xf>
    <xf numFmtId="10" fontId="0" fillId="9" borderId="6" xfId="0" applyNumberFormat="1" applyFont="1" applyFill="1" applyBorder="1" applyProtection="1">
      <alignment vertical="center"/>
    </xf>
    <xf numFmtId="10" fontId="0" fillId="9" borderId="0" xfId="0" applyNumberFormat="1" applyFont="1" applyFill="1" applyBorder="1" applyProtection="1">
      <alignment vertical="center"/>
    </xf>
    <xf numFmtId="4" fontId="0" fillId="9" borderId="6" xfId="0" applyNumberFormat="1" applyFont="1" applyFill="1" applyBorder="1" applyProtection="1">
      <alignment vertical="center"/>
    </xf>
    <xf numFmtId="165" fontId="35" fillId="4" borderId="9" xfId="0" applyNumberFormat="1" applyFont="1" applyFill="1" applyBorder="1" applyAlignment="1" applyProtection="1">
      <alignment horizontal="center"/>
    </xf>
    <xf numFmtId="165" fontId="35" fillId="4" borderId="13" xfId="0" applyNumberFormat="1" applyFont="1" applyFill="1" applyBorder="1" applyAlignment="1" applyProtection="1">
      <alignment horizontal="center"/>
    </xf>
    <xf numFmtId="0" fontId="20" fillId="9" borderId="9" xfId="0" applyNumberFormat="1" applyFont="1" applyFill="1" applyBorder="1" applyProtection="1">
      <alignment vertical="center"/>
    </xf>
    <xf numFmtId="0" fontId="20" fillId="4" borderId="13" xfId="0" applyNumberFormat="1" applyFont="1" applyFill="1" applyBorder="1" applyProtection="1">
      <alignment vertical="center"/>
    </xf>
    <xf numFmtId="165" fontId="0" fillId="9" borderId="11" xfId="0" applyNumberFormat="1" applyFont="1" applyFill="1" applyBorder="1" applyAlignment="1" applyProtection="1">
      <alignment horizontal="center"/>
    </xf>
    <xf numFmtId="175" fontId="0" fillId="4" borderId="6" xfId="0" applyNumberFormat="1" applyFont="1" applyFill="1" applyBorder="1" applyProtection="1">
      <alignment vertical="center"/>
    </xf>
    <xf numFmtId="3" fontId="0" fillId="4" borderId="0" xfId="0" applyNumberFormat="1" applyFont="1" applyFill="1" applyBorder="1" applyProtection="1">
      <alignment vertical="center"/>
    </xf>
    <xf numFmtId="3" fontId="0" fillId="9" borderId="0" xfId="0" applyNumberFormat="1" applyFont="1" applyFill="1" applyBorder="1" applyProtection="1">
      <alignment vertical="center"/>
    </xf>
    <xf numFmtId="2" fontId="0" fillId="4" borderId="6" xfId="0" applyNumberFormat="1" applyFont="1" applyFill="1" applyBorder="1" applyProtection="1">
      <alignment vertical="center"/>
    </xf>
    <xf numFmtId="0" fontId="20" fillId="9" borderId="0" xfId="0" applyNumberFormat="1" applyFont="1" applyFill="1" applyBorder="1" applyAlignment="1" applyProtection="1">
      <alignment horizontal="right"/>
    </xf>
    <xf numFmtId="0" fontId="7" fillId="9" borderId="0" xfId="0" applyNumberFormat="1" applyFont="1" applyFill="1" applyBorder="1" applyAlignment="1" applyProtection="1">
      <alignment horizontal="right"/>
    </xf>
    <xf numFmtId="10" fontId="7" fillId="9" borderId="6" xfId="0" applyNumberFormat="1" applyFont="1" applyFill="1" applyBorder="1" applyProtection="1">
      <alignment vertical="center"/>
    </xf>
    <xf numFmtId="4" fontId="7" fillId="4" borderId="6" xfId="0" applyNumberFormat="1" applyFont="1" applyFill="1" applyBorder="1" applyProtection="1">
      <alignment vertical="center"/>
    </xf>
    <xf numFmtId="0" fontId="7" fillId="9" borderId="10" xfId="0" applyNumberFormat="1" applyFont="1" applyFill="1" applyBorder="1" applyAlignment="1" applyProtection="1">
      <alignment horizontal="right"/>
    </xf>
    <xf numFmtId="0" fontId="7" fillId="4" borderId="0" xfId="0" applyNumberFormat="1" applyFont="1" applyFill="1" applyBorder="1" applyProtection="1">
      <alignment vertical="center"/>
    </xf>
    <xf numFmtId="0" fontId="0" fillId="9" borderId="10" xfId="0" applyNumberFormat="1" applyFont="1" applyFill="1" applyBorder="1" applyProtection="1">
      <alignment vertical="center"/>
    </xf>
    <xf numFmtId="0" fontId="20" fillId="4" borderId="0" xfId="0" applyNumberFormat="1" applyFont="1" applyFill="1" applyBorder="1" applyProtection="1">
      <alignment vertical="center"/>
    </xf>
    <xf numFmtId="0" fontId="0" fillId="9" borderId="16" xfId="0" applyNumberFormat="1" applyFont="1" applyFill="1" applyBorder="1" applyProtection="1">
      <alignment vertical="center"/>
    </xf>
    <xf numFmtId="0" fontId="0" fillId="9" borderId="27" xfId="0" applyNumberFormat="1" applyFont="1" applyFill="1" applyBorder="1" applyProtection="1">
      <alignment vertical="center"/>
    </xf>
    <xf numFmtId="0" fontId="28" fillId="9" borderId="0" xfId="0" applyNumberFormat="1" applyFont="1" applyFill="1" applyBorder="1" applyProtection="1">
      <alignment vertical="center"/>
    </xf>
    <xf numFmtId="4" fontId="7" fillId="9" borderId="0" xfId="0" applyNumberFormat="1" applyFont="1" applyFill="1" applyBorder="1" applyProtection="1">
      <alignment vertical="center"/>
    </xf>
    <xf numFmtId="4" fontId="35" fillId="9" borderId="0" xfId="0" applyNumberFormat="1" applyFont="1" applyFill="1" applyBorder="1" applyProtection="1">
      <alignment vertical="center"/>
    </xf>
    <xf numFmtId="4" fontId="34" fillId="9" borderId="0" xfId="0" applyNumberFormat="1" applyFont="1" applyFill="1" applyBorder="1" applyProtection="1">
      <alignment vertical="center"/>
    </xf>
    <xf numFmtId="4" fontId="35" fillId="9" borderId="0" xfId="0" applyNumberFormat="1" applyFont="1" applyFill="1" applyBorder="1" applyAlignment="1" applyProtection="1">
      <alignment horizontal="center"/>
    </xf>
    <xf numFmtId="0" fontId="28" fillId="9" borderId="0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 vertical="center"/>
    </xf>
    <xf numFmtId="0" fontId="7" fillId="9" borderId="0" xfId="0" applyNumberFormat="1" applyFont="1" applyFill="1" applyBorder="1" applyAlignment="1" applyProtection="1">
      <alignment horizontal="center" vertical="center" wrapText="1"/>
    </xf>
    <xf numFmtId="0" fontId="7" fillId="0" borderId="0" xfId="0" applyNumberFormat="1" applyFont="1" applyFill="1" applyBorder="1" applyProtection="1">
      <alignment vertical="center"/>
    </xf>
    <xf numFmtId="4" fontId="0" fillId="4" borderId="0" xfId="0" applyNumberFormat="1" applyFont="1" applyFill="1" applyBorder="1" applyAlignment="1" applyProtection="1">
      <alignment horizontal="center"/>
    </xf>
    <xf numFmtId="3" fontId="7" fillId="4" borderId="0" xfId="0" applyNumberFormat="1" applyFont="1" applyFill="1" applyBorder="1" applyAlignment="1" applyProtection="1">
      <alignment horizontal="center"/>
    </xf>
    <xf numFmtId="4" fontId="0" fillId="9" borderId="44" xfId="0" applyNumberFormat="1" applyFont="1" applyFill="1" applyBorder="1" applyAlignment="1" applyProtection="1">
      <alignment horizontal="center"/>
    </xf>
    <xf numFmtId="165" fontId="35" fillId="4" borderId="45" xfId="0" applyNumberFormat="1" applyFont="1" applyFill="1" applyBorder="1" applyAlignment="1" applyProtection="1">
      <alignment horizontal="center"/>
    </xf>
    <xf numFmtId="4" fontId="0" fillId="4" borderId="45" xfId="0" applyNumberFormat="1" applyFont="1" applyFill="1" applyBorder="1" applyAlignment="1" applyProtection="1">
      <alignment horizontal="center"/>
    </xf>
    <xf numFmtId="10" fontId="0" fillId="4" borderId="46" xfId="0" applyNumberFormat="1" applyFont="1" applyFill="1" applyBorder="1" applyAlignment="1" applyProtection="1">
      <alignment horizontal="center"/>
    </xf>
    <xf numFmtId="4" fontId="0" fillId="9" borderId="46" xfId="0" applyNumberFormat="1" applyFont="1" applyFill="1" applyBorder="1" applyAlignment="1" applyProtection="1">
      <alignment horizontal="center"/>
    </xf>
    <xf numFmtId="4" fontId="0" fillId="9" borderId="21" xfId="0" applyNumberFormat="1" applyFont="1" applyFill="1" applyBorder="1" applyAlignment="1" applyProtection="1">
      <alignment horizontal="center"/>
    </xf>
    <xf numFmtId="165" fontId="35" fillId="4" borderId="32" xfId="0" applyNumberFormat="1" applyFont="1" applyFill="1" applyBorder="1" applyAlignment="1" applyProtection="1">
      <alignment horizontal="center"/>
    </xf>
    <xf numFmtId="4" fontId="0" fillId="4" borderId="32" xfId="0" applyNumberFormat="1" applyFont="1" applyFill="1" applyBorder="1" applyAlignment="1" applyProtection="1">
      <alignment horizontal="center"/>
    </xf>
    <xf numFmtId="10" fontId="0" fillId="4" borderId="47" xfId="0" applyNumberFormat="1" applyFont="1" applyFill="1" applyBorder="1" applyAlignment="1" applyProtection="1">
      <alignment horizontal="center"/>
    </xf>
    <xf numFmtId="4" fontId="0" fillId="9" borderId="47" xfId="0" applyNumberFormat="1" applyFont="1" applyFill="1" applyBorder="1" applyAlignment="1" applyProtection="1">
      <alignment horizontal="center"/>
    </xf>
    <xf numFmtId="4" fontId="0" fillId="9" borderId="26" xfId="0" applyNumberFormat="1" applyFont="1" applyFill="1" applyBorder="1" applyAlignment="1" applyProtection="1">
      <alignment horizontal="center"/>
    </xf>
    <xf numFmtId="165" fontId="35" fillId="4" borderId="34" xfId="0" applyNumberFormat="1" applyFont="1" applyFill="1" applyBorder="1" applyAlignment="1" applyProtection="1">
      <alignment horizontal="center"/>
    </xf>
    <xf numFmtId="4" fontId="0" fillId="4" borderId="34" xfId="0" applyNumberFormat="1" applyFont="1" applyFill="1" applyBorder="1" applyAlignment="1" applyProtection="1">
      <alignment horizontal="center"/>
    </xf>
    <xf numFmtId="10" fontId="0" fillId="4" borderId="48" xfId="0" applyNumberFormat="1" applyFont="1" applyFill="1" applyBorder="1" applyAlignment="1" applyProtection="1">
      <alignment horizontal="center"/>
    </xf>
    <xf numFmtId="4" fontId="0" fillId="9" borderId="48" xfId="0" applyNumberFormat="1" applyFont="1" applyFill="1" applyBorder="1" applyAlignment="1" applyProtection="1">
      <alignment horizontal="center"/>
    </xf>
    <xf numFmtId="0" fontId="0" fillId="9" borderId="42" xfId="0" applyNumberFormat="1" applyFont="1" applyFill="1" applyBorder="1" applyProtection="1">
      <alignment vertical="center"/>
    </xf>
    <xf numFmtId="0" fontId="0" fillId="9" borderId="20" xfId="0" applyNumberFormat="1" applyFont="1" applyFill="1" applyBorder="1" applyProtection="1">
      <alignment vertical="center"/>
    </xf>
    <xf numFmtId="0" fontId="0" fillId="9" borderId="24" xfId="0" applyNumberFormat="1" applyFont="1" applyFill="1" applyBorder="1" applyProtection="1">
      <alignment vertical="center"/>
    </xf>
    <xf numFmtId="0" fontId="0" fillId="4" borderId="49" xfId="0" applyNumberFormat="1" applyFont="1" applyFill="1" applyBorder="1" applyProtection="1">
      <alignment vertical="center"/>
    </xf>
    <xf numFmtId="10" fontId="0" fillId="4" borderId="45" xfId="0" applyNumberFormat="1" applyFont="1" applyFill="1" applyBorder="1" applyAlignment="1" applyProtection="1">
      <alignment horizontal="center"/>
    </xf>
    <xf numFmtId="0" fontId="0" fillId="4" borderId="50" xfId="0" applyNumberFormat="1" applyFont="1" applyFill="1" applyBorder="1" applyProtection="1">
      <alignment vertical="center"/>
    </xf>
    <xf numFmtId="10" fontId="0" fillId="4" borderId="34" xfId="0" applyNumberFormat="1" applyFont="1" applyFill="1" applyBorder="1" applyAlignment="1" applyProtection="1">
      <alignment horizontal="center"/>
    </xf>
    <xf numFmtId="0" fontId="7" fillId="9" borderId="42" xfId="0" applyNumberFormat="1" applyFont="1" applyFill="1" applyBorder="1" applyProtection="1">
      <alignment vertical="center"/>
    </xf>
    <xf numFmtId="4" fontId="0" fillId="9" borderId="4" xfId="0" applyNumberFormat="1" applyFont="1" applyFill="1" applyBorder="1" applyProtection="1">
      <alignment vertical="center"/>
    </xf>
    <xf numFmtId="4" fontId="0" fillId="9" borderId="21" xfId="0" applyNumberFormat="1" applyFont="1" applyFill="1" applyBorder="1" applyProtection="1">
      <alignment vertical="center"/>
    </xf>
    <xf numFmtId="4" fontId="7" fillId="9" borderId="4" xfId="0" applyNumberFormat="1" applyFont="1" applyFill="1" applyBorder="1" applyProtection="1">
      <alignment vertical="center"/>
    </xf>
    <xf numFmtId="4" fontId="7" fillId="9" borderId="21" xfId="0" applyNumberFormat="1" applyFont="1" applyFill="1" applyBorder="1" applyProtection="1">
      <alignment vertical="center"/>
    </xf>
    <xf numFmtId="4" fontId="7" fillId="9" borderId="25" xfId="0" applyNumberFormat="1" applyFont="1" applyFill="1" applyBorder="1" applyProtection="1">
      <alignment vertical="center"/>
    </xf>
    <xf numFmtId="4" fontId="7" fillId="9" borderId="26" xfId="0" applyNumberFormat="1" applyFont="1" applyFill="1" applyBorder="1" applyProtection="1">
      <alignment vertical="center"/>
    </xf>
    <xf numFmtId="4" fontId="0" fillId="9" borderId="2" xfId="0" applyNumberFormat="1" applyFont="1" applyFill="1" applyBorder="1" applyProtection="1">
      <alignment vertical="center"/>
    </xf>
    <xf numFmtId="4" fontId="7" fillId="9" borderId="2" xfId="0" applyNumberFormat="1" applyFont="1" applyFill="1" applyBorder="1" applyProtection="1">
      <alignment vertical="center"/>
    </xf>
    <xf numFmtId="4" fontId="7" fillId="9" borderId="51" xfId="0" applyNumberFormat="1" applyFont="1" applyFill="1" applyBorder="1" applyProtection="1">
      <alignment vertical="center"/>
    </xf>
    <xf numFmtId="0" fontId="20" fillId="9" borderId="32" xfId="0" applyNumberFormat="1" applyFont="1" applyFill="1" applyBorder="1" applyProtection="1">
      <alignment vertical="center"/>
    </xf>
    <xf numFmtId="0" fontId="7" fillId="9" borderId="32" xfId="0" applyNumberFormat="1" applyFont="1" applyFill="1" applyBorder="1" applyProtection="1">
      <alignment vertical="center"/>
    </xf>
    <xf numFmtId="0" fontId="7" fillId="9" borderId="34" xfId="0" applyNumberFormat="1" applyFont="1" applyFill="1" applyBorder="1" applyProtection="1">
      <alignment vertical="center"/>
    </xf>
    <xf numFmtId="0" fontId="20" fillId="9" borderId="33" xfId="0" applyNumberFormat="1" applyFont="1" applyFill="1" applyBorder="1" applyProtection="1">
      <alignment vertical="center"/>
    </xf>
    <xf numFmtId="4" fontId="0" fillId="9" borderId="39" xfId="0" applyNumberFormat="1" applyFont="1" applyFill="1" applyBorder="1" applyProtection="1">
      <alignment vertical="center"/>
    </xf>
    <xf numFmtId="4" fontId="0" fillId="9" borderId="40" xfId="0" applyNumberFormat="1" applyFont="1" applyFill="1" applyBorder="1" applyProtection="1">
      <alignment vertical="center"/>
    </xf>
    <xf numFmtId="0" fontId="7" fillId="9" borderId="25" xfId="0" applyNumberFormat="1" applyFont="1" applyFill="1" applyBorder="1" applyAlignment="1" applyProtection="1">
      <alignment horizontal="center"/>
    </xf>
    <xf numFmtId="0" fontId="7" fillId="9" borderId="26" xfId="0" applyNumberFormat="1" applyFont="1" applyFill="1" applyBorder="1" applyAlignment="1" applyProtection="1">
      <alignment horizontal="center"/>
    </xf>
    <xf numFmtId="0" fontId="7" fillId="9" borderId="13" xfId="0" applyNumberFormat="1" applyFont="1" applyFill="1" applyBorder="1" applyAlignment="1" applyProtection="1">
      <alignment horizontal="center"/>
    </xf>
    <xf numFmtId="0" fontId="7" fillId="9" borderId="11" xfId="0" applyNumberFormat="1" applyFont="1" applyFill="1" applyBorder="1" applyProtection="1">
      <alignment vertical="center"/>
    </xf>
    <xf numFmtId="0" fontId="7" fillId="9" borderId="19" xfId="0" applyNumberFormat="1" applyFont="1" applyFill="1" applyBorder="1" applyAlignment="1" applyProtection="1">
      <alignment horizontal="center"/>
    </xf>
    <xf numFmtId="0" fontId="7" fillId="9" borderId="44" xfId="0" applyNumberFormat="1" applyFont="1" applyFill="1" applyBorder="1" applyAlignment="1" applyProtection="1">
      <alignment horizontal="center"/>
    </xf>
    <xf numFmtId="0" fontId="7" fillId="9" borderId="24" xfId="0" applyNumberFormat="1" applyFont="1" applyFill="1" applyBorder="1" applyAlignment="1" applyProtection="1">
      <alignment horizontal="center"/>
    </xf>
    <xf numFmtId="4" fontId="0" fillId="9" borderId="38" xfId="0" applyNumberFormat="1" applyFont="1" applyFill="1" applyBorder="1" applyProtection="1">
      <alignment vertical="center"/>
    </xf>
    <xf numFmtId="4" fontId="0" fillId="9" borderId="20" xfId="0" applyNumberFormat="1" applyFont="1" applyFill="1" applyBorder="1" applyProtection="1">
      <alignment vertical="center"/>
    </xf>
    <xf numFmtId="4" fontId="7" fillId="9" borderId="20" xfId="0" applyNumberFormat="1" applyFont="1" applyFill="1" applyBorder="1" applyProtection="1">
      <alignment vertical="center"/>
    </xf>
    <xf numFmtId="4" fontId="7" fillId="9" borderId="24" xfId="0" applyNumberFormat="1" applyFont="1" applyFill="1" applyBorder="1" applyProtection="1">
      <alignment vertical="center"/>
    </xf>
    <xf numFmtId="4" fontId="0" fillId="9" borderId="52" xfId="0" applyNumberFormat="1" applyFont="1" applyFill="1" applyBorder="1" applyProtection="1">
      <alignment vertical="center"/>
    </xf>
    <xf numFmtId="4" fontId="0" fillId="9" borderId="53" xfId="0" applyNumberFormat="1" applyFont="1" applyFill="1" applyBorder="1" applyProtection="1">
      <alignment vertical="center"/>
    </xf>
    <xf numFmtId="4" fontId="7" fillId="9" borderId="53" xfId="0" applyNumberFormat="1" applyFont="1" applyFill="1" applyBorder="1" applyProtection="1">
      <alignment vertical="center"/>
    </xf>
    <xf numFmtId="4" fontId="7" fillId="9" borderId="0" xfId="0" applyNumberFormat="1" applyFont="1" applyFill="1" applyBorder="1" applyProtection="1">
      <alignment vertical="center"/>
    </xf>
    <xf numFmtId="0" fontId="20" fillId="9" borderId="0" xfId="0" quotePrefix="1" applyNumberFormat="1" applyFont="1" applyFill="1" applyBorder="1" applyAlignment="1" applyProtection="1">
      <alignment horizontal="center"/>
    </xf>
    <xf numFmtId="10" fontId="33" fillId="9" borderId="40" xfId="10" applyNumberFormat="1" applyFont="1" applyFill="1" applyBorder="1" applyProtection="1"/>
    <xf numFmtId="10" fontId="33" fillId="9" borderId="21" xfId="10" applyNumberFormat="1" applyFont="1" applyFill="1" applyBorder="1" applyProtection="1"/>
    <xf numFmtId="10" fontId="7" fillId="9" borderId="21" xfId="10" applyNumberFormat="1" applyFont="1" applyFill="1" applyBorder="1" applyProtection="1"/>
    <xf numFmtId="10" fontId="7" fillId="9" borderId="26" xfId="10" applyNumberFormat="1" applyFont="1" applyFill="1" applyBorder="1" applyProtection="1"/>
    <xf numFmtId="0" fontId="7" fillId="9" borderId="19" xfId="0" applyNumberFormat="1" applyFont="1" applyFill="1" applyBorder="1" applyProtection="1">
      <alignment vertical="center"/>
    </xf>
    <xf numFmtId="0" fontId="7" fillId="9" borderId="44" xfId="0" applyNumberFormat="1" applyFont="1" applyFill="1" applyBorder="1" applyProtection="1">
      <alignment vertical="center"/>
    </xf>
    <xf numFmtId="4" fontId="0" fillId="9" borderId="42" xfId="0" applyNumberFormat="1" applyFont="1" applyFill="1" applyBorder="1" applyProtection="1">
      <alignment vertical="center"/>
    </xf>
    <xf numFmtId="4" fontId="0" fillId="9" borderId="44" xfId="0" applyNumberFormat="1" applyFont="1" applyFill="1" applyBorder="1" applyProtection="1">
      <alignment vertical="center"/>
    </xf>
    <xf numFmtId="0" fontId="7" fillId="9" borderId="42" xfId="0" applyNumberFormat="1" applyFont="1" applyFill="1" applyBorder="1" applyAlignment="1" applyProtection="1">
      <alignment horizontal="center"/>
    </xf>
    <xf numFmtId="0" fontId="7" fillId="9" borderId="42" xfId="0" applyNumberFormat="1" applyFont="1" applyFill="1" applyBorder="1" applyAlignment="1" applyProtection="1">
      <alignment horizontal="center"/>
    </xf>
    <xf numFmtId="0" fontId="7" fillId="9" borderId="19" xfId="0" applyNumberFormat="1" applyFont="1" applyFill="1" applyBorder="1" applyAlignment="1" applyProtection="1">
      <alignment horizontal="center"/>
    </xf>
    <xf numFmtId="0" fontId="7" fillId="9" borderId="44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/>
    </xf>
    <xf numFmtId="0" fontId="7" fillId="9" borderId="42" xfId="0" applyNumberFormat="1" applyFont="1" applyFill="1" applyBorder="1" applyAlignment="1" applyProtection="1">
      <alignment horizontal="center"/>
    </xf>
    <xf numFmtId="0" fontId="7" fillId="9" borderId="19" xfId="0" applyNumberFormat="1" applyFont="1" applyFill="1" applyBorder="1" applyAlignment="1" applyProtection="1">
      <alignment horizontal="center"/>
    </xf>
    <xf numFmtId="0" fontId="7" fillId="9" borderId="44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/>
    </xf>
    <xf numFmtId="0" fontId="7" fillId="9" borderId="49" xfId="0" applyNumberFormat="1" applyFont="1" applyFill="1" applyBorder="1" applyProtection="1">
      <alignment vertical="center"/>
    </xf>
    <xf numFmtId="4" fontId="20" fillId="9" borderId="21" xfId="0" applyNumberFormat="1" applyFont="1" applyFill="1" applyBorder="1" applyProtection="1">
      <alignment vertical="center"/>
    </xf>
    <xf numFmtId="4" fontId="0" fillId="9" borderId="54" xfId="0" applyNumberFormat="1" applyFont="1" applyFill="1" applyBorder="1" applyProtection="1">
      <alignment vertical="center"/>
    </xf>
    <xf numFmtId="4" fontId="0" fillId="9" borderId="55" xfId="0" applyNumberFormat="1" applyFont="1" applyFill="1" applyBorder="1" applyProtection="1">
      <alignment vertical="center"/>
    </xf>
    <xf numFmtId="4" fontId="7" fillId="9" borderId="55" xfId="0" applyNumberFormat="1" applyFont="1" applyFill="1" applyBorder="1" applyProtection="1">
      <alignment vertical="center"/>
    </xf>
    <xf numFmtId="4" fontId="0" fillId="9" borderId="56" xfId="0" applyNumberFormat="1" applyFont="1" applyFill="1" applyBorder="1" applyProtection="1">
      <alignment vertical="center"/>
    </xf>
    <xf numFmtId="4" fontId="7" fillId="9" borderId="1" xfId="0" applyNumberFormat="1" applyFont="1" applyFill="1" applyBorder="1" applyProtection="1">
      <alignment vertical="center"/>
    </xf>
    <xf numFmtId="4" fontId="20" fillId="9" borderId="1" xfId="0" applyNumberFormat="1" applyFont="1" applyFill="1" applyBorder="1" applyProtection="1">
      <alignment vertical="center"/>
    </xf>
    <xf numFmtId="4" fontId="7" fillId="9" borderId="57" xfId="0" applyNumberFormat="1" applyFont="1" applyFill="1" applyBorder="1" applyProtection="1">
      <alignment vertical="center"/>
    </xf>
    <xf numFmtId="4" fontId="0" fillId="12" borderId="19" xfId="0" applyNumberFormat="1" applyFont="1" applyFill="1" applyBorder="1" applyProtection="1">
      <alignment vertical="center"/>
    </xf>
    <xf numFmtId="4" fontId="0" fillId="12" borderId="4" xfId="0" applyNumberFormat="1" applyFont="1" applyFill="1" applyBorder="1" applyProtection="1">
      <alignment vertical="center"/>
    </xf>
    <xf numFmtId="0" fontId="7" fillId="9" borderId="11" xfId="0" applyNumberFormat="1" applyFont="1" applyFill="1" applyBorder="1" applyAlignment="1" applyProtection="1">
      <alignment horizontal="center"/>
    </xf>
    <xf numFmtId="0" fontId="7" fillId="9" borderId="34" xfId="0" applyNumberFormat="1" applyFont="1" applyFill="1" applyBorder="1" applyAlignment="1" applyProtection="1">
      <alignment horizontal="center"/>
    </xf>
    <xf numFmtId="4" fontId="0" fillId="9" borderId="11" xfId="0" applyNumberFormat="1" applyFont="1" applyFill="1" applyBorder="1" applyProtection="1">
      <alignment vertical="center"/>
    </xf>
    <xf numFmtId="4" fontId="0" fillId="9" borderId="9" xfId="0" applyNumberFormat="1" applyFont="1" applyFill="1" applyBorder="1" applyProtection="1">
      <alignment vertical="center"/>
    </xf>
    <xf numFmtId="4" fontId="7" fillId="9" borderId="9" xfId="0" applyNumberFormat="1" applyFont="1" applyFill="1" applyBorder="1" applyProtection="1">
      <alignment vertical="center"/>
    </xf>
    <xf numFmtId="4" fontId="0" fillId="9" borderId="33" xfId="0" applyNumberFormat="1" applyFont="1" applyFill="1" applyBorder="1" applyProtection="1">
      <alignment vertical="center"/>
    </xf>
    <xf numFmtId="4" fontId="7" fillId="9" borderId="32" xfId="0" applyNumberFormat="1" applyFont="1" applyFill="1" applyBorder="1" applyProtection="1">
      <alignment vertical="center"/>
    </xf>
    <xf numFmtId="4" fontId="0" fillId="9" borderId="32" xfId="0" applyNumberFormat="1" applyFont="1" applyFill="1" applyBorder="1" applyProtection="1">
      <alignment vertical="center"/>
    </xf>
    <xf numFmtId="4" fontId="7" fillId="9" borderId="34" xfId="0" applyNumberFormat="1" applyFont="1" applyFill="1" applyBorder="1" applyProtection="1">
      <alignment vertical="center"/>
    </xf>
    <xf numFmtId="4" fontId="35" fillId="4" borderId="0" xfId="0" applyNumberFormat="1" applyFont="1" applyFill="1" applyBorder="1" applyProtection="1">
      <alignment vertical="center"/>
    </xf>
    <xf numFmtId="0" fontId="7" fillId="9" borderId="42" xfId="0" applyNumberFormat="1" applyFont="1" applyFill="1" applyBorder="1" applyAlignment="1" applyProtection="1">
      <alignment horizontal="center"/>
    </xf>
    <xf numFmtId="0" fontId="7" fillId="9" borderId="44" xfId="0" applyNumberFormat="1" applyFont="1" applyFill="1" applyBorder="1" applyAlignment="1" applyProtection="1">
      <alignment horizontal="center"/>
    </xf>
    <xf numFmtId="0" fontId="7" fillId="9" borderId="0" xfId="0" applyNumberFormat="1" applyFont="1" applyFill="1" applyBorder="1" applyAlignment="1" applyProtection="1">
      <alignment horizontal="center"/>
    </xf>
    <xf numFmtId="3" fontId="20" fillId="9" borderId="0" xfId="0" applyNumberFormat="1" applyFont="1" applyFill="1" applyBorder="1" applyProtection="1">
      <alignment vertical="center"/>
    </xf>
    <xf numFmtId="0" fontId="7" fillId="4" borderId="0" xfId="0" applyNumberFormat="1" applyFont="1" applyFill="1" applyBorder="1" applyProtection="1">
      <alignment vertical="center"/>
    </xf>
    <xf numFmtId="0" fontId="0" fillId="4" borderId="14" xfId="0" applyNumberFormat="1" applyFont="1" applyFill="1" applyBorder="1" applyProtection="1">
      <alignment vertical="center"/>
    </xf>
    <xf numFmtId="4" fontId="0" fillId="4" borderId="28" xfId="0" applyNumberFormat="1" applyFont="1" applyFill="1" applyBorder="1" applyAlignment="1" applyProtection="1">
      <alignment horizontal="center"/>
    </xf>
    <xf numFmtId="10" fontId="0" fillId="4" borderId="7" xfId="0" applyNumberFormat="1" applyFont="1" applyFill="1" applyBorder="1" applyAlignment="1" applyProtection="1">
      <alignment horizontal="center"/>
    </xf>
    <xf numFmtId="10" fontId="0" fillId="4" borderId="18" xfId="0" applyNumberFormat="1" applyFont="1" applyFill="1" applyBorder="1" applyAlignment="1" applyProtection="1">
      <alignment horizontal="center"/>
    </xf>
    <xf numFmtId="10" fontId="0" fillId="4" borderId="8" xfId="0" applyNumberFormat="1" applyFont="1" applyFill="1" applyBorder="1" applyAlignment="1" applyProtection="1">
      <alignment horizontal="center"/>
    </xf>
    <xf numFmtId="0" fontId="0" fillId="4" borderId="28" xfId="0" applyNumberFormat="1" applyFont="1" applyFill="1" applyBorder="1" applyProtection="1">
      <alignment vertical="center"/>
    </xf>
    <xf numFmtId="10" fontId="0" fillId="4" borderId="28" xfId="0" applyNumberFormat="1" applyFont="1" applyFill="1" applyBorder="1" applyAlignment="1" applyProtection="1">
      <alignment horizontal="center"/>
    </xf>
    <xf numFmtId="0" fontId="0" fillId="4" borderId="42" xfId="0" applyNumberFormat="1" applyFont="1" applyFill="1" applyBorder="1" applyProtection="1">
      <alignment vertical="center"/>
    </xf>
    <xf numFmtId="4" fontId="0" fillId="4" borderId="19" xfId="0" applyNumberFormat="1" applyFont="1" applyFill="1" applyBorder="1" applyAlignment="1" applyProtection="1">
      <alignment horizontal="center"/>
    </xf>
    <xf numFmtId="10" fontId="27" fillId="4" borderId="44" xfId="0" applyNumberFormat="1" applyFont="1" applyFill="1" applyBorder="1" applyAlignment="1" applyProtection="1">
      <alignment horizontal="center"/>
    </xf>
    <xf numFmtId="0" fontId="0" fillId="4" borderId="60" xfId="0" applyNumberFormat="1" applyFont="1" applyFill="1" applyBorder="1" applyProtection="1">
      <alignment vertical="center"/>
    </xf>
    <xf numFmtId="0" fontId="0" fillId="4" borderId="20" xfId="0" applyNumberFormat="1" applyFont="1" applyFill="1" applyBorder="1" applyProtection="1">
      <alignment vertical="center"/>
    </xf>
    <xf numFmtId="10" fontId="20" fillId="4" borderId="61" xfId="0" applyNumberFormat="1" applyFont="1" applyFill="1" applyBorder="1" applyAlignment="1" applyProtection="1">
      <alignment horizontal="center"/>
    </xf>
    <xf numFmtId="0" fontId="0" fillId="4" borderId="2" xfId="0" applyNumberFormat="1" applyFont="1" applyFill="1" applyBorder="1" applyProtection="1">
      <alignment vertical="center"/>
    </xf>
    <xf numFmtId="10" fontId="0" fillId="4" borderId="21" xfId="0" applyNumberFormat="1" applyFont="1" applyFill="1" applyBorder="1" applyAlignment="1" applyProtection="1">
      <alignment horizontal="center"/>
    </xf>
    <xf numFmtId="0" fontId="0" fillId="4" borderId="53" xfId="0" applyNumberFormat="1" applyFont="1" applyFill="1" applyBorder="1" applyProtection="1">
      <alignment vertical="center"/>
    </xf>
    <xf numFmtId="4" fontId="0" fillId="4" borderId="63" xfId="0" applyNumberFormat="1" applyFont="1" applyFill="1" applyBorder="1" applyAlignment="1" applyProtection="1">
      <alignment horizontal="center"/>
    </xf>
    <xf numFmtId="10" fontId="20" fillId="4" borderId="21" xfId="0" applyNumberFormat="1" applyFont="1" applyFill="1" applyBorder="1" applyAlignment="1" applyProtection="1">
      <alignment horizontal="center"/>
    </xf>
    <xf numFmtId="4" fontId="20" fillId="4" borderId="21" xfId="0" applyNumberFormat="1" applyFont="1" applyFill="1" applyBorder="1" applyAlignment="1" applyProtection="1">
      <alignment horizontal="center"/>
    </xf>
    <xf numFmtId="10" fontId="7" fillId="4" borderId="21" xfId="0" applyNumberFormat="1" applyFont="1" applyFill="1" applyBorder="1" applyAlignment="1" applyProtection="1">
      <alignment horizontal="center"/>
    </xf>
    <xf numFmtId="10" fontId="0" fillId="4" borderId="64" xfId="0" applyNumberFormat="1" applyFont="1" applyFill="1" applyBorder="1" applyAlignment="1" applyProtection="1">
      <alignment horizontal="center"/>
    </xf>
    <xf numFmtId="10" fontId="23" fillId="4" borderId="9" xfId="0" applyNumberFormat="1" applyFont="1" applyFill="1" applyBorder="1" applyAlignment="1" applyProtection="1">
      <alignment horizontal="center"/>
    </xf>
    <xf numFmtId="2" fontId="20" fillId="4" borderId="21" xfId="0" applyNumberFormat="1" applyFont="1" applyFill="1" applyBorder="1" applyAlignment="1" applyProtection="1">
      <alignment horizontal="center"/>
    </xf>
    <xf numFmtId="2" fontId="7" fillId="4" borderId="21" xfId="0" applyNumberFormat="1" applyFont="1" applyFill="1" applyBorder="1" applyAlignment="1" applyProtection="1">
      <alignment horizontal="center"/>
    </xf>
    <xf numFmtId="4" fontId="20" fillId="4" borderId="64" xfId="0" applyNumberFormat="1" applyFont="1" applyFill="1" applyBorder="1" applyAlignment="1" applyProtection="1">
      <alignment horizontal="center"/>
    </xf>
    <xf numFmtId="4" fontId="0" fillId="4" borderId="64" xfId="0" applyNumberFormat="1" applyFont="1" applyFill="1" applyBorder="1" applyAlignment="1" applyProtection="1">
      <alignment horizontal="center"/>
    </xf>
    <xf numFmtId="0" fontId="23" fillId="4" borderId="53" xfId="0" applyNumberFormat="1" applyFont="1" applyFill="1" applyBorder="1" applyAlignment="1" applyProtection="1">
      <alignment horizontal="right"/>
    </xf>
    <xf numFmtId="4" fontId="0" fillId="4" borderId="21" xfId="0" applyNumberFormat="1" applyFont="1" applyFill="1" applyBorder="1" applyAlignment="1" applyProtection="1">
      <alignment horizontal="center"/>
    </xf>
    <xf numFmtId="10" fontId="36" fillId="4" borderId="0" xfId="0" applyNumberFormat="1" applyFont="1" applyFill="1" applyBorder="1" applyAlignment="1" applyProtection="1">
      <alignment horizontal="center"/>
    </xf>
    <xf numFmtId="0" fontId="36" fillId="4" borderId="12" xfId="0" applyNumberFormat="1" applyFont="1" applyFill="1" applyBorder="1" applyAlignment="1" applyProtection="1">
      <alignment horizontal="center"/>
    </xf>
    <xf numFmtId="10" fontId="36" fillId="4" borderId="10" xfId="0" applyNumberFormat="1" applyFont="1" applyFill="1" applyBorder="1" applyAlignment="1" applyProtection="1">
      <alignment horizontal="center"/>
    </xf>
    <xf numFmtId="0" fontId="23" fillId="4" borderId="67" xfId="0" applyNumberFormat="1" applyFont="1" applyFill="1" applyBorder="1" applyAlignment="1" applyProtection="1">
      <alignment horizontal="right"/>
    </xf>
    <xf numFmtId="4" fontId="20" fillId="4" borderId="10" xfId="0" applyNumberFormat="1" applyFont="1" applyFill="1" applyBorder="1" applyAlignment="1" applyProtection="1">
      <alignment horizontal="center"/>
    </xf>
    <xf numFmtId="10" fontId="7" fillId="4" borderId="12" xfId="0" applyNumberFormat="1" applyFont="1" applyFill="1" applyBorder="1" applyAlignment="1" applyProtection="1">
      <alignment horizontal="center"/>
    </xf>
    <xf numFmtId="10" fontId="0" fillId="4" borderId="0" xfId="0" applyNumberFormat="1" applyFont="1" applyFill="1" applyBorder="1" applyAlignment="1" applyProtection="1">
      <alignment horizontal="center"/>
    </xf>
    <xf numFmtId="10" fontId="0" fillId="4" borderId="12" xfId="0" applyNumberFormat="1" applyFont="1" applyFill="1" applyBorder="1" applyAlignment="1" applyProtection="1">
      <alignment horizontal="center"/>
    </xf>
    <xf numFmtId="10" fontId="20" fillId="4" borderId="0" xfId="0" applyNumberFormat="1" applyFont="1" applyFill="1" applyBorder="1" applyAlignment="1" applyProtection="1">
      <alignment horizontal="center"/>
    </xf>
    <xf numFmtId="10" fontId="20" fillId="4" borderId="12" xfId="0" applyNumberFormat="1" applyFont="1" applyFill="1" applyBorder="1" applyAlignment="1" applyProtection="1">
      <alignment horizontal="center"/>
    </xf>
    <xf numFmtId="0" fontId="0" fillId="4" borderId="68" xfId="0" applyNumberFormat="1" applyFont="1" applyFill="1" applyBorder="1" applyProtection="1">
      <alignment vertical="center"/>
    </xf>
    <xf numFmtId="4" fontId="0" fillId="4" borderId="69" xfId="0" applyNumberFormat="1" applyFont="1" applyFill="1" applyBorder="1" applyAlignment="1" applyProtection="1">
      <alignment horizontal="center"/>
    </xf>
    <xf numFmtId="10" fontId="0" fillId="4" borderId="70" xfId="0" applyNumberFormat="1" applyFont="1" applyFill="1" applyBorder="1" applyAlignment="1" applyProtection="1">
      <alignment horizontal="center"/>
    </xf>
    <xf numFmtId="0" fontId="0" fillId="4" borderId="35" xfId="0" applyNumberFormat="1" applyFont="1" applyFill="1" applyBorder="1" applyProtection="1">
      <alignment vertical="center"/>
    </xf>
    <xf numFmtId="4" fontId="0" fillId="4" borderId="36" xfId="0" applyNumberFormat="1" applyFont="1" applyFill="1" applyBorder="1" applyAlignment="1" applyProtection="1">
      <alignment horizontal="center"/>
    </xf>
    <xf numFmtId="10" fontId="20" fillId="4" borderId="37" xfId="0" applyNumberFormat="1" applyFont="1" applyFill="1" applyBorder="1" applyAlignment="1" applyProtection="1">
      <alignment horizontal="center"/>
    </xf>
    <xf numFmtId="0" fontId="0" fillId="4" borderId="71" xfId="0" applyNumberFormat="1" applyFont="1" applyFill="1" applyBorder="1" applyProtection="1">
      <alignment vertical="center"/>
    </xf>
    <xf numFmtId="0" fontId="0" fillId="4" borderId="38" xfId="0" applyNumberFormat="1" applyFont="1" applyFill="1" applyBorder="1" applyProtection="1">
      <alignment vertical="center"/>
    </xf>
    <xf numFmtId="4" fontId="0" fillId="4" borderId="39" xfId="0" applyNumberFormat="1" applyFont="1" applyFill="1" applyBorder="1" applyAlignment="1" applyProtection="1">
      <alignment horizontal="center"/>
    </xf>
    <xf numFmtId="10" fontId="0" fillId="4" borderId="40" xfId="0" applyNumberFormat="1" applyFont="1" applyFill="1" applyBorder="1" applyAlignment="1" applyProtection="1">
      <alignment horizontal="center"/>
    </xf>
    <xf numFmtId="10" fontId="0" fillId="4" borderId="0" xfId="0" applyNumberFormat="1" applyFont="1" applyFill="1" applyBorder="1" applyProtection="1">
      <alignment vertical="center"/>
    </xf>
    <xf numFmtId="0" fontId="0" fillId="4" borderId="41" xfId="0" applyNumberFormat="1" applyFont="1" applyFill="1" applyBorder="1" applyProtection="1">
      <alignment vertical="center"/>
    </xf>
    <xf numFmtId="10" fontId="0" fillId="4" borderId="40" xfId="0" applyNumberFormat="1" applyFont="1" applyFill="1" applyBorder="1" applyProtection="1">
      <alignment vertical="center"/>
    </xf>
    <xf numFmtId="4" fontId="7" fillId="4" borderId="39" xfId="0" applyNumberFormat="1" applyFont="1" applyFill="1" applyBorder="1" applyAlignment="1" applyProtection="1">
      <alignment horizontal="center"/>
    </xf>
    <xf numFmtId="0" fontId="0" fillId="4" borderId="0" xfId="0" applyNumberFormat="1" applyFont="1" applyFill="1" applyBorder="1" applyProtection="1">
      <alignment vertical="center"/>
    </xf>
    <xf numFmtId="0" fontId="0" fillId="4" borderId="22" xfId="0" applyNumberFormat="1" applyFont="1" applyFill="1" applyBorder="1" applyProtection="1">
      <alignment vertical="center"/>
    </xf>
    <xf numFmtId="4" fontId="0" fillId="4" borderId="23" xfId="0" applyNumberFormat="1" applyFont="1" applyFill="1" applyBorder="1" applyAlignment="1" applyProtection="1">
      <alignment horizontal="center"/>
    </xf>
    <xf numFmtId="10" fontId="0" fillId="4" borderId="61" xfId="0" applyNumberFormat="1" applyFont="1" applyFill="1" applyBorder="1" applyAlignment="1" applyProtection="1">
      <alignment horizontal="center"/>
    </xf>
    <xf numFmtId="0" fontId="0" fillId="4" borderId="72" xfId="0" applyNumberFormat="1" applyFont="1" applyFill="1" applyBorder="1" applyProtection="1">
      <alignment vertical="center"/>
    </xf>
    <xf numFmtId="4" fontId="27" fillId="4" borderId="61" xfId="0" applyNumberFormat="1" applyFont="1" applyFill="1" applyBorder="1" applyAlignment="1" applyProtection="1">
      <alignment horizontal="center"/>
    </xf>
    <xf numFmtId="0" fontId="0" fillId="4" borderId="73" xfId="0" applyNumberFormat="1" applyFont="1" applyFill="1" applyBorder="1" applyProtection="1">
      <alignment vertical="center"/>
    </xf>
    <xf numFmtId="10" fontId="0" fillId="4" borderId="70" xfId="0" applyNumberFormat="1" applyFont="1" applyFill="1" applyBorder="1" applyProtection="1">
      <alignment vertical="center"/>
    </xf>
    <xf numFmtId="0" fontId="0" fillId="8" borderId="35" xfId="0" applyNumberFormat="1" applyFont="1" applyFill="1" applyBorder="1" applyProtection="1">
      <alignment vertical="center"/>
    </xf>
    <xf numFmtId="4" fontId="7" fillId="8" borderId="36" xfId="0" applyNumberFormat="1" applyFont="1" applyFill="1" applyBorder="1" applyAlignment="1" applyProtection="1">
      <alignment horizontal="center"/>
    </xf>
    <xf numFmtId="10" fontId="0" fillId="8" borderId="37" xfId="0" applyNumberFormat="1" applyFont="1" applyFill="1" applyBorder="1" applyAlignment="1" applyProtection="1">
      <alignment horizontal="center"/>
    </xf>
    <xf numFmtId="10" fontId="0" fillId="8" borderId="14" xfId="0" applyNumberFormat="1" applyFont="1" applyFill="1" applyBorder="1" applyAlignment="1" applyProtection="1">
      <alignment horizontal="left"/>
    </xf>
    <xf numFmtId="10" fontId="7" fillId="8" borderId="37" xfId="0" applyNumberFormat="1" applyFont="1" applyFill="1" applyBorder="1" applyAlignment="1" applyProtection="1">
      <alignment horizontal="center"/>
    </xf>
    <xf numFmtId="0" fontId="0" fillId="8" borderId="71" xfId="0" applyNumberFormat="1" applyFont="1" applyFill="1" applyBorder="1" applyProtection="1">
      <alignment vertical="center"/>
    </xf>
    <xf numFmtId="10" fontId="0" fillId="4" borderId="37" xfId="0" applyNumberFormat="1" applyFont="1" applyFill="1" applyBorder="1" applyAlignment="1" applyProtection="1">
      <alignment horizontal="center"/>
    </xf>
    <xf numFmtId="10" fontId="0" fillId="4" borderId="27" xfId="0" applyNumberFormat="1" applyFont="1" applyFill="1" applyBorder="1" applyAlignment="1" applyProtection="1">
      <alignment horizontal="center"/>
    </xf>
    <xf numFmtId="10" fontId="0" fillId="4" borderId="17" xfId="0" applyNumberFormat="1" applyFont="1" applyFill="1" applyBorder="1" applyAlignment="1" applyProtection="1">
      <alignment horizontal="center"/>
    </xf>
    <xf numFmtId="0" fontId="0" fillId="8" borderId="6" xfId="0" applyNumberFormat="1" applyFont="1" applyFill="1" applyBorder="1" applyProtection="1">
      <alignment vertical="center"/>
    </xf>
    <xf numFmtId="4" fontId="7" fillId="8" borderId="6" xfId="0" applyNumberFormat="1" applyFont="1" applyFill="1" applyBorder="1" applyAlignment="1" applyProtection="1">
      <alignment horizontal="center"/>
    </xf>
    <xf numFmtId="4" fontId="7" fillId="8" borderId="37" xfId="0" applyNumberFormat="1" applyFont="1" applyFill="1" applyBorder="1" applyAlignment="1" applyProtection="1">
      <alignment horizontal="center"/>
    </xf>
    <xf numFmtId="0" fontId="20" fillId="0" borderId="0" xfId="22" applyNumberFormat="1" applyFont="1" applyFill="1" applyBorder="1" applyProtection="1"/>
    <xf numFmtId="0" fontId="20" fillId="0" borderId="0" xfId="22" applyNumberFormat="1" applyFont="1" applyFill="1" applyBorder="1" applyAlignment="1" applyProtection="1">
      <alignment horizontal="center"/>
    </xf>
    <xf numFmtId="0" fontId="28" fillId="13" borderId="14" xfId="22" applyNumberFormat="1" applyFont="1" applyFill="1" applyBorder="1" applyProtection="1"/>
    <xf numFmtId="0" fontId="28" fillId="13" borderId="6" xfId="22" applyNumberFormat="1" applyFont="1" applyFill="1" applyBorder="1" applyAlignment="1" applyProtection="1">
      <alignment horizontal="center" wrapText="1"/>
    </xf>
    <xf numFmtId="0" fontId="28" fillId="8" borderId="16" xfId="22" applyNumberFormat="1" applyFont="1" applyFill="1" applyBorder="1" applyAlignment="1" applyProtection="1">
      <alignment horizontal="center"/>
    </xf>
    <xf numFmtId="0" fontId="28" fillId="8" borderId="69" xfId="22" applyNumberFormat="1" applyFont="1" applyFill="1" applyBorder="1" applyAlignment="1" applyProtection="1">
      <alignment horizontal="center"/>
    </xf>
    <xf numFmtId="0" fontId="28" fillId="8" borderId="27" xfId="22" applyNumberFormat="1" applyFont="1" applyFill="1" applyBorder="1" applyAlignment="1" applyProtection="1">
      <alignment horizontal="center"/>
    </xf>
    <xf numFmtId="0" fontId="28" fillId="8" borderId="17" xfId="22" applyNumberFormat="1" applyFont="1" applyFill="1" applyBorder="1" applyAlignment="1" applyProtection="1">
      <alignment horizontal="center"/>
    </xf>
    <xf numFmtId="3" fontId="16" fillId="0" borderId="0" xfId="22" applyNumberFormat="1" applyFont="1" applyFill="1" applyBorder="1" applyAlignment="1" applyProtection="1">
      <alignment horizontal="center"/>
    </xf>
    <xf numFmtId="3" fontId="16" fillId="0" borderId="63" xfId="22" applyNumberFormat="1" applyFont="1" applyFill="1" applyBorder="1" applyAlignment="1" applyProtection="1">
      <alignment horizontal="center"/>
    </xf>
    <xf numFmtId="3" fontId="16" fillId="4" borderId="0" xfId="22" applyNumberFormat="1" applyFont="1" applyFill="1" applyBorder="1" applyAlignment="1" applyProtection="1">
      <alignment horizontal="center"/>
    </xf>
    <xf numFmtId="3" fontId="16" fillId="8" borderId="16" xfId="22" applyNumberFormat="1" applyFont="1" applyFill="1" applyBorder="1" applyAlignment="1" applyProtection="1">
      <alignment horizontal="center"/>
    </xf>
    <xf numFmtId="3" fontId="16" fillId="8" borderId="69" xfId="22" applyNumberFormat="1" applyFont="1" applyFill="1" applyBorder="1" applyAlignment="1" applyProtection="1">
      <alignment horizontal="center"/>
    </xf>
    <xf numFmtId="3" fontId="16" fillId="8" borderId="27" xfId="22" applyNumberFormat="1" applyFont="1" applyFill="1" applyBorder="1" applyAlignment="1" applyProtection="1">
      <alignment horizontal="center"/>
    </xf>
    <xf numFmtId="3" fontId="16" fillId="8" borderId="17" xfId="22" applyNumberFormat="1" applyFont="1" applyFill="1" applyBorder="1" applyAlignment="1" applyProtection="1">
      <alignment horizontal="center"/>
    </xf>
    <xf numFmtId="0" fontId="41" fillId="0" borderId="17" xfId="22" applyNumberFormat="1" applyFont="1" applyFill="1" applyBorder="1" applyAlignment="1" applyProtection="1">
      <alignment horizontal="center" vertical="center"/>
    </xf>
    <xf numFmtId="3" fontId="16" fillId="13" borderId="68" xfId="22" applyNumberFormat="1" applyFont="1" applyFill="1" applyBorder="1" applyAlignment="1" applyProtection="1">
      <alignment horizontal="center" wrapText="1"/>
    </xf>
    <xf numFmtId="3" fontId="16" fillId="13" borderId="27" xfId="22" applyNumberFormat="1" applyFont="1" applyFill="1" applyBorder="1" applyAlignment="1" applyProtection="1">
      <alignment horizontal="center"/>
    </xf>
    <xf numFmtId="3" fontId="16" fillId="13" borderId="69" xfId="22" applyNumberFormat="1" applyFont="1" applyFill="1" applyBorder="1" applyAlignment="1" applyProtection="1">
      <alignment horizontal="center"/>
    </xf>
    <xf numFmtId="3" fontId="16" fillId="4" borderId="64" xfId="22" applyNumberFormat="1" applyFont="1" applyFill="1" applyBorder="1" applyAlignment="1" applyProtection="1">
      <alignment horizontal="center"/>
    </xf>
    <xf numFmtId="3" fontId="16" fillId="4" borderId="53" xfId="22" applyNumberFormat="1" applyFont="1" applyFill="1" applyBorder="1" applyAlignment="1" applyProtection="1">
      <alignment horizontal="center"/>
    </xf>
    <xf numFmtId="3" fontId="16" fillId="8" borderId="63" xfId="22" applyNumberFormat="1" applyFont="1" applyFill="1" applyBorder="1" applyAlignment="1" applyProtection="1">
      <alignment horizontal="center"/>
    </xf>
    <xf numFmtId="3" fontId="16" fillId="8" borderId="12" xfId="22" applyNumberFormat="1" applyFont="1" applyFill="1" applyBorder="1" applyAlignment="1" applyProtection="1">
      <alignment horizontal="center"/>
    </xf>
    <xf numFmtId="10" fontId="28" fillId="8" borderId="35" xfId="22" applyNumberFormat="1" applyFont="1" applyFill="1" applyBorder="1" applyAlignment="1" applyProtection="1">
      <alignment horizontal="center"/>
    </xf>
    <xf numFmtId="3" fontId="16" fillId="0" borderId="14" xfId="22" applyNumberFormat="1" applyFont="1" applyFill="1" applyBorder="1" applyAlignment="1" applyProtection="1">
      <alignment horizontal="center"/>
    </xf>
    <xf numFmtId="3" fontId="16" fillId="0" borderId="37" xfId="22" applyNumberFormat="1" applyFont="1" applyFill="1" applyBorder="1" applyAlignment="1" applyProtection="1">
      <alignment horizontal="center"/>
    </xf>
    <xf numFmtId="3" fontId="16" fillId="4" borderId="70" xfId="22" applyNumberFormat="1" applyFont="1" applyFill="1" applyBorder="1" applyAlignment="1" applyProtection="1">
      <alignment horizontal="center"/>
    </xf>
    <xf numFmtId="2" fontId="28" fillId="8" borderId="35" xfId="22" applyNumberFormat="1" applyFont="1" applyFill="1" applyBorder="1" applyAlignment="1" applyProtection="1">
      <alignment horizontal="center"/>
    </xf>
    <xf numFmtId="2" fontId="28" fillId="8" borderId="37" xfId="22" applyNumberFormat="1" applyFont="1" applyFill="1" applyBorder="1" applyAlignment="1" applyProtection="1">
      <alignment horizontal="center"/>
    </xf>
    <xf numFmtId="0" fontId="7" fillId="13" borderId="14" xfId="22" applyNumberFormat="1" applyFont="1" applyFill="1" applyBorder="1" applyAlignment="1" applyProtection="1">
      <alignment horizontal="left" vertical="center"/>
    </xf>
    <xf numFmtId="3" fontId="20" fillId="13" borderId="35" xfId="22" applyNumberFormat="1" applyFont="1" applyFill="1" applyBorder="1" applyAlignment="1" applyProtection="1">
      <alignment horizontal="center" vertical="center"/>
    </xf>
    <xf numFmtId="0" fontId="7" fillId="8" borderId="35" xfId="22" applyNumberFormat="1" applyFont="1" applyFill="1" applyBorder="1" applyAlignment="1" applyProtection="1">
      <alignment horizontal="center" vertical="center"/>
    </xf>
    <xf numFmtId="0" fontId="7" fillId="8" borderId="6" xfId="22" applyNumberFormat="1" applyFont="1" applyFill="1" applyBorder="1" applyAlignment="1" applyProtection="1">
      <alignment horizontal="center" vertical="center"/>
    </xf>
    <xf numFmtId="0" fontId="20" fillId="0" borderId="10" xfId="22" quotePrefix="1" applyNumberFormat="1" applyFont="1" applyFill="1" applyBorder="1" applyAlignment="1" applyProtection="1">
      <alignment horizontal="left"/>
    </xf>
    <xf numFmtId="3" fontId="20" fillId="0" borderId="63" xfId="22" applyNumberFormat="1" applyFont="1" applyFill="1" applyBorder="1" applyAlignment="1" applyProtection="1">
      <alignment horizontal="center"/>
    </xf>
    <xf numFmtId="3" fontId="20" fillId="4" borderId="63" xfId="22" applyNumberFormat="1" applyFont="1" applyFill="1" applyBorder="1" applyAlignment="1" applyProtection="1">
      <alignment horizontal="center"/>
    </xf>
    <xf numFmtId="3" fontId="20" fillId="4" borderId="58" xfId="22" applyNumberFormat="1" applyFont="1" applyFill="1" applyBorder="1" applyAlignment="1" applyProtection="1">
      <alignment horizontal="center"/>
    </xf>
    <xf numFmtId="0" fontId="20" fillId="0" borderId="10" xfId="22" applyNumberFormat="1" applyFont="1" applyFill="1" applyBorder="1" applyProtection="1"/>
    <xf numFmtId="3" fontId="20" fillId="4" borderId="64" xfId="22" applyNumberFormat="1" applyFont="1" applyFill="1" applyBorder="1" applyAlignment="1" applyProtection="1">
      <alignment horizontal="center"/>
    </xf>
    <xf numFmtId="9" fontId="20" fillId="0" borderId="63" xfId="22" applyNumberFormat="1" applyFont="1" applyFill="1" applyBorder="1" applyAlignment="1" applyProtection="1">
      <alignment horizontal="center"/>
    </xf>
    <xf numFmtId="9" fontId="20" fillId="4" borderId="0" xfId="22" applyNumberFormat="1" applyFont="1" applyFill="1" applyBorder="1" applyAlignment="1" applyProtection="1">
      <alignment horizontal="center"/>
    </xf>
    <xf numFmtId="9" fontId="20" fillId="4" borderId="63" xfId="22" applyNumberFormat="1" applyFont="1" applyFill="1" applyBorder="1" applyAlignment="1" applyProtection="1">
      <alignment horizontal="center"/>
    </xf>
    <xf numFmtId="9" fontId="20" fillId="4" borderId="64" xfId="22" applyNumberFormat="1" applyFont="1" applyFill="1" applyBorder="1" applyAlignment="1" applyProtection="1">
      <alignment horizontal="center"/>
    </xf>
    <xf numFmtId="0" fontId="20" fillId="0" borderId="16" xfId="22" applyNumberFormat="1" applyFont="1" applyFill="1" applyBorder="1" applyProtection="1"/>
    <xf numFmtId="9" fontId="20" fillId="0" borderId="69" xfId="22" applyNumberFormat="1" applyFont="1" applyFill="1" applyBorder="1" applyAlignment="1" applyProtection="1">
      <alignment horizontal="center"/>
    </xf>
    <xf numFmtId="9" fontId="20" fillId="0" borderId="27" xfId="22" applyNumberFormat="1" applyFont="1" applyFill="1" applyBorder="1" applyAlignment="1" applyProtection="1">
      <alignment horizontal="center"/>
    </xf>
    <xf numFmtId="9" fontId="20" fillId="0" borderId="70" xfId="22" applyNumberFormat="1" applyFont="1" applyFill="1" applyBorder="1" applyAlignment="1" applyProtection="1">
      <alignment horizontal="center"/>
    </xf>
    <xf numFmtId="0" fontId="20" fillId="8" borderId="52" xfId="22" applyNumberFormat="1" applyFont="1" applyFill="1" applyBorder="1" applyProtection="1"/>
    <xf numFmtId="0" fontId="20" fillId="8" borderId="59" xfId="22" applyNumberFormat="1" applyFont="1" applyFill="1" applyBorder="1" applyAlignment="1" applyProtection="1">
      <alignment horizontal="center"/>
    </xf>
    <xf numFmtId="0" fontId="20" fillId="7" borderId="59" xfId="22" applyNumberFormat="1" applyFont="1" applyFill="1" applyBorder="1" applyAlignment="1" applyProtection="1">
      <alignment horizontal="center"/>
    </xf>
    <xf numFmtId="0" fontId="20" fillId="7" borderId="58" xfId="22" applyNumberFormat="1" applyFont="1" applyFill="1" applyBorder="1" applyAlignment="1" applyProtection="1">
      <alignment horizontal="center"/>
    </xf>
    <xf numFmtId="0" fontId="20" fillId="0" borderId="42" xfId="22" applyNumberFormat="1" applyFont="1" applyFill="1" applyBorder="1" applyProtection="1"/>
    <xf numFmtId="0" fontId="20" fillId="0" borderId="19" xfId="22" applyNumberFormat="1" applyFont="1" applyFill="1" applyBorder="1" applyAlignment="1" applyProtection="1">
      <alignment horizontal="center"/>
    </xf>
    <xf numFmtId="0" fontId="20" fillId="0" borderId="44" xfId="22" applyNumberFormat="1" applyFont="1" applyFill="1" applyBorder="1" applyAlignment="1" applyProtection="1">
      <alignment horizontal="center"/>
    </xf>
    <xf numFmtId="0" fontId="20" fillId="0" borderId="60" xfId="22" applyNumberFormat="1" applyFont="1" applyFill="1" applyBorder="1" applyAlignment="1" applyProtection="1">
      <alignment horizontal="center"/>
    </xf>
    <xf numFmtId="0" fontId="20" fillId="4" borderId="20" xfId="22" applyNumberFormat="1" applyFont="1" applyFill="1" applyBorder="1" applyProtection="1"/>
    <xf numFmtId="4" fontId="20" fillId="4" borderId="4" xfId="22" applyNumberFormat="1" applyFont="1" applyFill="1" applyBorder="1" applyAlignment="1" applyProtection="1">
      <alignment horizontal="center"/>
    </xf>
    <xf numFmtId="4" fontId="20" fillId="4" borderId="21" xfId="22" applyNumberFormat="1" applyFont="1" applyFill="1" applyBorder="1" applyAlignment="1" applyProtection="1">
      <alignment horizontal="center"/>
    </xf>
    <xf numFmtId="4" fontId="20" fillId="4" borderId="2" xfId="22" applyNumberFormat="1" applyFont="1" applyFill="1" applyBorder="1" applyAlignment="1" applyProtection="1">
      <alignment horizontal="center"/>
    </xf>
    <xf numFmtId="0" fontId="20" fillId="4" borderId="24" xfId="22" applyNumberFormat="1" applyFont="1" applyFill="1" applyBorder="1" applyProtection="1"/>
    <xf numFmtId="4" fontId="20" fillId="4" borderId="25" xfId="22" applyNumberFormat="1" applyFont="1" applyFill="1" applyBorder="1" applyAlignment="1" applyProtection="1">
      <alignment horizontal="center"/>
    </xf>
    <xf numFmtId="4" fontId="20" fillId="4" borderId="26" xfId="22" applyNumberFormat="1" applyFont="1" applyFill="1" applyBorder="1" applyAlignment="1" applyProtection="1">
      <alignment horizontal="center"/>
    </xf>
    <xf numFmtId="0" fontId="20" fillId="8" borderId="6" xfId="22" applyNumberFormat="1" applyFont="1" applyFill="1" applyBorder="1" applyProtection="1"/>
    <xf numFmtId="4" fontId="20" fillId="8" borderId="28" xfId="22" applyNumberFormat="1" applyFont="1" applyFill="1" applyBorder="1" applyAlignment="1" applyProtection="1">
      <alignment horizontal="center"/>
    </xf>
    <xf numFmtId="4" fontId="20" fillId="8" borderId="6" xfId="22" applyNumberFormat="1" applyFont="1" applyFill="1" applyBorder="1" applyAlignment="1" applyProtection="1">
      <alignment horizontal="center"/>
    </xf>
    <xf numFmtId="0" fontId="20" fillId="8" borderId="35" xfId="22" applyNumberFormat="1" applyFont="1" applyFill="1" applyBorder="1" applyProtection="1"/>
    <xf numFmtId="0" fontId="20" fillId="8" borderId="37" xfId="22" applyNumberFormat="1" applyFont="1" applyFill="1" applyBorder="1" applyAlignment="1" applyProtection="1">
      <alignment horizontal="center"/>
    </xf>
    <xf numFmtId="0" fontId="20" fillId="8" borderId="36" xfId="22" applyNumberFormat="1" applyFont="1" applyFill="1" applyBorder="1" applyAlignment="1" applyProtection="1">
      <alignment horizontal="center"/>
    </xf>
    <xf numFmtId="0" fontId="20" fillId="0" borderId="42" xfId="22" applyNumberFormat="1" applyFont="1" applyFill="1" applyBorder="1" applyAlignment="1" applyProtection="1">
      <alignment horizontal="center"/>
    </xf>
    <xf numFmtId="0" fontId="20" fillId="0" borderId="20" xfId="22" applyNumberFormat="1" applyFont="1" applyFill="1" applyBorder="1" applyProtection="1"/>
    <xf numFmtId="4" fontId="20" fillId="0" borderId="21" xfId="22" applyNumberFormat="1" applyFont="1" applyFill="1" applyBorder="1" applyAlignment="1" applyProtection="1">
      <alignment horizontal="center"/>
    </xf>
    <xf numFmtId="0" fontId="20" fillId="4" borderId="20" xfId="22" applyNumberFormat="1" applyFont="1" applyFill="1" applyBorder="1" applyAlignment="1" applyProtection="1">
      <alignment horizontal="center"/>
    </xf>
    <xf numFmtId="0" fontId="23" fillId="4" borderId="21" xfId="22" applyNumberFormat="1" applyFont="1" applyFill="1" applyBorder="1" applyAlignment="1" applyProtection="1">
      <alignment horizontal="center"/>
    </xf>
    <xf numFmtId="0" fontId="20" fillId="0" borderId="21" xfId="22" applyNumberFormat="1" applyFont="1" applyFill="1" applyBorder="1" applyAlignment="1" applyProtection="1">
      <alignment horizontal="center"/>
    </xf>
    <xf numFmtId="0" fontId="20" fillId="0" borderId="24" xfId="22" applyNumberFormat="1" applyFont="1" applyFill="1" applyBorder="1" applyProtection="1"/>
    <xf numFmtId="4" fontId="20" fillId="0" borderId="26" xfId="22" applyNumberFormat="1" applyFont="1" applyFill="1" applyBorder="1" applyAlignment="1" applyProtection="1">
      <alignment horizontal="center"/>
    </xf>
    <xf numFmtId="0" fontId="20" fillId="0" borderId="35" xfId="22" applyNumberFormat="1" applyFont="1" applyFill="1" applyBorder="1" applyProtection="1"/>
    <xf numFmtId="4" fontId="20" fillId="0" borderId="37" xfId="22" applyNumberFormat="1" applyFont="1" applyFill="1" applyBorder="1" applyAlignment="1" applyProtection="1">
      <alignment horizontal="center"/>
    </xf>
    <xf numFmtId="0" fontId="20" fillId="0" borderId="38" xfId="22" applyNumberFormat="1" applyFont="1" applyFill="1" applyBorder="1" applyProtection="1"/>
    <xf numFmtId="4" fontId="20" fillId="4" borderId="39" xfId="22" applyNumberFormat="1" applyFont="1" applyFill="1" applyBorder="1" applyAlignment="1" applyProtection="1">
      <alignment horizontal="center"/>
    </xf>
    <xf numFmtId="0" fontId="20" fillId="8" borderId="68" xfId="22" applyNumberFormat="1" applyFont="1" applyFill="1" applyBorder="1" applyProtection="1"/>
    <xf numFmtId="4" fontId="20" fillId="8" borderId="70" xfId="22" applyNumberFormat="1" applyFont="1" applyFill="1" applyBorder="1" applyAlignment="1" applyProtection="1">
      <alignment horizontal="center"/>
    </xf>
    <xf numFmtId="10" fontId="20" fillId="8" borderId="6" xfId="22" applyNumberFormat="1" applyFont="1" applyFill="1" applyBorder="1" applyAlignment="1" applyProtection="1">
      <alignment horizontal="center"/>
    </xf>
    <xf numFmtId="0" fontId="20" fillId="8" borderId="14" xfId="22" applyNumberFormat="1" applyFont="1" applyFill="1" applyBorder="1" applyProtection="1"/>
    <xf numFmtId="0" fontId="20" fillId="8" borderId="58" xfId="22" applyNumberFormat="1" applyFont="1" applyFill="1" applyBorder="1" applyAlignment="1" applyProtection="1">
      <alignment horizontal="center"/>
    </xf>
    <xf numFmtId="0" fontId="20" fillId="0" borderId="14" xfId="22" applyNumberFormat="1" applyFont="1" applyFill="1" applyBorder="1" applyProtection="1"/>
    <xf numFmtId="4" fontId="20" fillId="0" borderId="25" xfId="22" applyNumberFormat="1" applyFont="1" applyFill="1" applyBorder="1" applyAlignment="1" applyProtection="1">
      <alignment horizontal="center"/>
    </xf>
    <xf numFmtId="0" fontId="20" fillId="0" borderId="9" xfId="22" applyNumberFormat="1" applyFont="1" applyFill="1" applyBorder="1" applyProtection="1"/>
    <xf numFmtId="0" fontId="20" fillId="0" borderId="49" xfId="22" applyNumberFormat="1" applyFont="1" applyFill="1" applyBorder="1" applyProtection="1"/>
    <xf numFmtId="0" fontId="20" fillId="5" borderId="45" xfId="22" applyNumberFormat="1" applyFont="1" applyFill="1" applyBorder="1" applyAlignment="1" applyProtection="1">
      <alignment horizontal="center"/>
    </xf>
    <xf numFmtId="0" fontId="20" fillId="0" borderId="50" xfId="22" applyNumberFormat="1" applyFont="1" applyFill="1" applyBorder="1" applyProtection="1"/>
    <xf numFmtId="0" fontId="20" fillId="5" borderId="34" xfId="22" applyNumberFormat="1" applyFont="1" applyFill="1" applyBorder="1" applyAlignment="1" applyProtection="1">
      <alignment horizontal="center"/>
    </xf>
    <xf numFmtId="0" fontId="20" fillId="0" borderId="45" xfId="22" applyNumberFormat="1" applyFont="1" applyFill="1" applyBorder="1" applyProtection="1"/>
    <xf numFmtId="0" fontId="20" fillId="0" borderId="32" xfId="22" applyNumberFormat="1" applyFont="1" applyFill="1" applyBorder="1" applyProtection="1"/>
    <xf numFmtId="3" fontId="20" fillId="0" borderId="47" xfId="22" applyNumberFormat="1" applyFont="1" applyFill="1" applyBorder="1" applyAlignment="1" applyProtection="1">
      <alignment horizontal="center"/>
    </xf>
    <xf numFmtId="0" fontId="20" fillId="0" borderId="47" xfId="22" applyNumberFormat="1" applyFont="1" applyFill="1" applyBorder="1" applyAlignment="1" applyProtection="1">
      <alignment horizontal="center"/>
    </xf>
    <xf numFmtId="0" fontId="20" fillId="0" borderId="34" xfId="22" applyNumberFormat="1" applyFont="1" applyFill="1" applyBorder="1" applyProtection="1"/>
    <xf numFmtId="3" fontId="20" fillId="0" borderId="48" xfId="22" applyNumberFormat="1" applyFont="1" applyFill="1" applyBorder="1" applyAlignment="1" applyProtection="1">
      <alignment horizontal="center"/>
    </xf>
    <xf numFmtId="0" fontId="20" fillId="9" borderId="0" xfId="22" applyNumberFormat="1" applyFont="1" applyFill="1" applyBorder="1" applyProtection="1"/>
    <xf numFmtId="0" fontId="20" fillId="9" borderId="0" xfId="22" applyNumberFormat="1" applyFont="1" applyFill="1" applyBorder="1" applyAlignment="1" applyProtection="1">
      <alignment horizontal="center"/>
    </xf>
    <xf numFmtId="0" fontId="20" fillId="9" borderId="0" xfId="22" applyNumberFormat="1" applyFont="1" applyFill="1" applyBorder="1" applyAlignment="1" applyProtection="1">
      <alignment vertical="center"/>
    </xf>
    <xf numFmtId="0" fontId="38" fillId="9" borderId="0" xfId="22" applyNumberFormat="1" applyFont="1" applyFill="1" applyBorder="1" applyAlignment="1" applyProtection="1">
      <alignment vertical="center"/>
    </xf>
    <xf numFmtId="0" fontId="39" fillId="9" borderId="0" xfId="22" applyNumberFormat="1" applyFont="1" applyFill="1" applyBorder="1" applyAlignment="1" applyProtection="1">
      <alignment horizontal="center" vertical="center"/>
    </xf>
    <xf numFmtId="0" fontId="40" fillId="9" borderId="0" xfId="22" applyNumberFormat="1" applyFont="1" applyFill="1" applyBorder="1" applyAlignment="1" applyProtection="1">
      <alignment horizontal="center" vertical="center"/>
    </xf>
    <xf numFmtId="0" fontId="20" fillId="9" borderId="0" xfId="22" applyNumberFormat="1" applyFont="1" applyFill="1" applyBorder="1" applyAlignment="1" applyProtection="1">
      <alignment horizontal="center" vertical="center"/>
    </xf>
    <xf numFmtId="49" fontId="28" fillId="9" borderId="0" xfId="22" applyNumberFormat="1" applyFont="1" applyFill="1" applyBorder="1" applyAlignment="1" applyProtection="1">
      <alignment horizontal="left"/>
    </xf>
    <xf numFmtId="0" fontId="16" fillId="9" borderId="0" xfId="22" applyNumberFormat="1" applyFont="1" applyFill="1" applyBorder="1" applyAlignment="1" applyProtection="1">
      <alignment horizontal="center"/>
    </xf>
    <xf numFmtId="0" fontId="16" fillId="9" borderId="0" xfId="22" applyNumberFormat="1" applyFont="1" applyFill="1" applyBorder="1" applyProtection="1"/>
    <xf numFmtId="0" fontId="16" fillId="9" borderId="0" xfId="22" applyNumberFormat="1" applyFont="1" applyFill="1" applyBorder="1" applyAlignment="1" applyProtection="1">
      <alignment horizontal="center"/>
    </xf>
    <xf numFmtId="0" fontId="20" fillId="9" borderId="0" xfId="22" applyNumberFormat="1" applyFont="1" applyFill="1" applyBorder="1" applyAlignment="1" applyProtection="1">
      <alignment horizontal="right"/>
    </xf>
    <xf numFmtId="3" fontId="20" fillId="9" borderId="0" xfId="22" applyNumberFormat="1" applyFont="1" applyFill="1" applyBorder="1" applyAlignment="1" applyProtection="1">
      <alignment horizontal="center"/>
    </xf>
    <xf numFmtId="0" fontId="21" fillId="9" borderId="0" xfId="22" applyNumberFormat="1" applyFont="1" applyFill="1" applyBorder="1" applyAlignment="1" applyProtection="1">
      <alignment horizontal="center"/>
    </xf>
    <xf numFmtId="4" fontId="20" fillId="9" borderId="0" xfId="22" applyNumberFormat="1" applyFont="1" applyFill="1" applyBorder="1" applyAlignment="1" applyProtection="1">
      <alignment horizontal="center"/>
    </xf>
    <xf numFmtId="0" fontId="16" fillId="9" borderId="0" xfId="22" applyNumberFormat="1" applyFont="1" applyFill="1" applyBorder="1" applyAlignment="1" applyProtection="1">
      <alignment horizontal="right"/>
    </xf>
    <xf numFmtId="3" fontId="16" fillId="9" borderId="0" xfId="22" applyNumberFormat="1" applyFont="1" applyFill="1" applyBorder="1" applyAlignment="1" applyProtection="1">
      <alignment horizontal="center"/>
    </xf>
    <xf numFmtId="3" fontId="20" fillId="9" borderId="0" xfId="22" applyNumberFormat="1" applyFont="1" applyFill="1" applyBorder="1" applyAlignment="1" applyProtection="1">
      <alignment horizontal="center"/>
    </xf>
    <xf numFmtId="0" fontId="20" fillId="9" borderId="0" xfId="22" applyNumberFormat="1" applyFont="1" applyFill="1" applyBorder="1" applyProtection="1"/>
    <xf numFmtId="0" fontId="5" fillId="9" borderId="0" xfId="22" applyNumberFormat="1" applyFont="1" applyFill="1" applyBorder="1" applyAlignment="1" applyProtection="1">
      <alignment horizontal="center"/>
    </xf>
    <xf numFmtId="4" fontId="35" fillId="9" borderId="0" xfId="22" applyNumberFormat="1" applyFont="1" applyFill="1" applyBorder="1" applyAlignment="1" applyProtection="1">
      <alignment horizontal="center"/>
    </xf>
    <xf numFmtId="0" fontId="20" fillId="9" borderId="10" xfId="22" applyNumberFormat="1" applyFont="1" applyFill="1" applyBorder="1" applyProtection="1"/>
    <xf numFmtId="0" fontId="20" fillId="9" borderId="12" xfId="22" applyNumberFormat="1" applyFont="1" applyFill="1" applyBorder="1" applyAlignment="1" applyProtection="1">
      <alignment horizontal="center"/>
    </xf>
    <xf numFmtId="4" fontId="16" fillId="9" borderId="58" xfId="22" applyNumberFormat="1" applyFont="1" applyFill="1" applyBorder="1" applyAlignment="1" applyProtection="1">
      <alignment horizontal="center"/>
    </xf>
    <xf numFmtId="0" fontId="16" fillId="9" borderId="12" xfId="22" applyNumberFormat="1" applyFont="1" applyFill="1" applyBorder="1" applyAlignment="1" applyProtection="1">
      <alignment horizontal="center"/>
    </xf>
    <xf numFmtId="4" fontId="16" fillId="9" borderId="75" xfId="22" applyNumberFormat="1" applyFont="1" applyFill="1" applyBorder="1" applyAlignment="1" applyProtection="1">
      <alignment horizontal="center"/>
    </xf>
    <xf numFmtId="4" fontId="16" fillId="9" borderId="12" xfId="22" applyNumberFormat="1" applyFont="1" applyFill="1" applyBorder="1" applyAlignment="1" applyProtection="1">
      <alignment horizontal="center"/>
    </xf>
    <xf numFmtId="4" fontId="16" fillId="9" borderId="76" xfId="22" applyNumberFormat="1" applyFont="1" applyFill="1" applyBorder="1" applyAlignment="1" applyProtection="1">
      <alignment horizontal="center"/>
    </xf>
    <xf numFmtId="10" fontId="16" fillId="9" borderId="12" xfId="22" applyNumberFormat="1" applyFont="1" applyFill="1" applyBorder="1" applyAlignment="1" applyProtection="1">
      <alignment horizontal="center"/>
    </xf>
    <xf numFmtId="10" fontId="16" fillId="9" borderId="17" xfId="22" applyNumberFormat="1" applyFont="1" applyFill="1" applyBorder="1" applyAlignment="1" applyProtection="1">
      <alignment horizontal="center"/>
    </xf>
    <xf numFmtId="4" fontId="16" fillId="9" borderId="0" xfId="22" applyNumberFormat="1" applyFont="1" applyFill="1" applyBorder="1" applyAlignment="1" applyProtection="1">
      <alignment horizontal="center"/>
    </xf>
    <xf numFmtId="0" fontId="41" fillId="4" borderId="0" xfId="0" applyNumberFormat="1" applyFont="1" applyFill="1" applyBorder="1" applyProtection="1">
      <alignment vertical="center"/>
    </xf>
    <xf numFmtId="4" fontId="20" fillId="0" borderId="39" xfId="22" applyNumberFormat="1" applyFont="1" applyFill="1" applyBorder="1" applyAlignment="1" applyProtection="1">
      <alignment horizontal="center"/>
    </xf>
    <xf numFmtId="4" fontId="20" fillId="0" borderId="4" xfId="22" applyNumberFormat="1" applyFont="1" applyFill="1" applyBorder="1" applyAlignment="1" applyProtection="1">
      <alignment horizontal="center"/>
    </xf>
    <xf numFmtId="4" fontId="20" fillId="0" borderId="40" xfId="22" applyNumberFormat="1" applyFont="1" applyFill="1" applyBorder="1" applyAlignment="1" applyProtection="1">
      <alignment horizontal="center"/>
    </xf>
    <xf numFmtId="3" fontId="16" fillId="0" borderId="78" xfId="22" applyNumberFormat="1" applyFont="1" applyFill="1" applyBorder="1" applyAlignment="1" applyProtection="1">
      <alignment horizontal="center"/>
    </xf>
    <xf numFmtId="3" fontId="28" fillId="4" borderId="21" xfId="22" applyNumberFormat="1" applyFont="1" applyFill="1" applyBorder="1" applyAlignment="1" applyProtection="1">
      <alignment horizontal="center"/>
    </xf>
    <xf numFmtId="0" fontId="16" fillId="9" borderId="53" xfId="22" quotePrefix="1" applyNumberFormat="1" applyFont="1" applyFill="1" applyBorder="1" applyAlignment="1" applyProtection="1">
      <alignment horizontal="left"/>
    </xf>
    <xf numFmtId="0" fontId="16" fillId="9" borderId="38" xfId="22" quotePrefix="1" applyNumberFormat="1" applyFont="1" applyFill="1" applyBorder="1" applyAlignment="1" applyProtection="1">
      <alignment horizontal="left"/>
    </xf>
    <xf numFmtId="0" fontId="16" fillId="9" borderId="53" xfId="22" applyNumberFormat="1" applyFont="1" applyFill="1" applyBorder="1" applyAlignment="1" applyProtection="1">
      <alignment horizontal="left"/>
    </xf>
    <xf numFmtId="0" fontId="16" fillId="9" borderId="38" xfId="22" applyNumberFormat="1" applyFont="1" applyFill="1" applyBorder="1" applyAlignment="1" applyProtection="1">
      <alignment horizontal="left"/>
    </xf>
    <xf numFmtId="0" fontId="28" fillId="9" borderId="10" xfId="22" applyNumberFormat="1" applyFont="1" applyFill="1" applyBorder="1" applyAlignment="1" applyProtection="1">
      <alignment horizontal="right"/>
    </xf>
    <xf numFmtId="0" fontId="28" fillId="9" borderId="13" xfId="22" applyNumberFormat="1" applyFont="1" applyFill="1" applyBorder="1" applyAlignment="1" applyProtection="1">
      <alignment horizontal="left" vertical="center"/>
    </xf>
    <xf numFmtId="0" fontId="16" fillId="9" borderId="10" xfId="22" applyNumberFormat="1" applyFont="1" applyFill="1" applyBorder="1" applyAlignment="1" applyProtection="1">
      <alignment horizontal="left"/>
    </xf>
    <xf numFmtId="0" fontId="16" fillId="9" borderId="62" xfId="22" applyNumberFormat="1" applyFont="1" applyFill="1" applyBorder="1" applyAlignment="1" applyProtection="1">
      <alignment horizontal="left"/>
    </xf>
    <xf numFmtId="0" fontId="16" fillId="9" borderId="16" xfId="22" applyNumberFormat="1" applyFont="1" applyFill="1" applyBorder="1" applyAlignment="1" applyProtection="1">
      <alignment horizontal="left"/>
    </xf>
    <xf numFmtId="3" fontId="16" fillId="9" borderId="18" xfId="22" applyNumberFormat="1" applyFont="1" applyFill="1" applyBorder="1" applyAlignment="1" applyProtection="1">
      <alignment horizontal="center"/>
    </xf>
    <xf numFmtId="4" fontId="16" fillId="9" borderId="59" xfId="22" applyNumberFormat="1" applyFont="1" applyFill="1" applyBorder="1" applyAlignment="1" applyProtection="1">
      <alignment horizontal="center"/>
    </xf>
    <xf numFmtId="0" fontId="16" fillId="9" borderId="10" xfId="22" applyNumberFormat="1" applyFont="1" applyFill="1" applyBorder="1" applyAlignment="1" applyProtection="1">
      <alignment horizontal="center"/>
    </xf>
    <xf numFmtId="3" fontId="16" fillId="9" borderId="63" xfId="22" applyNumberFormat="1" applyFont="1" applyFill="1" applyBorder="1" applyAlignment="1" applyProtection="1">
      <alignment horizontal="center"/>
    </xf>
    <xf numFmtId="0" fontId="16" fillId="9" borderId="63" xfId="22" applyNumberFormat="1" applyFont="1" applyFill="1" applyBorder="1" applyAlignment="1" applyProtection="1">
      <alignment horizontal="center"/>
    </xf>
    <xf numFmtId="3" fontId="16" fillId="9" borderId="79" xfId="22" applyNumberFormat="1" applyFont="1" applyFill="1" applyBorder="1" applyAlignment="1" applyProtection="1">
      <alignment horizontal="center"/>
    </xf>
    <xf numFmtId="4" fontId="16" fillId="9" borderId="74" xfId="22" applyNumberFormat="1" applyFont="1" applyFill="1" applyBorder="1" applyAlignment="1" applyProtection="1">
      <alignment horizontal="center"/>
    </xf>
    <xf numFmtId="4" fontId="16" fillId="9" borderId="63" xfId="22" applyNumberFormat="1" applyFont="1" applyFill="1" applyBorder="1" applyAlignment="1" applyProtection="1">
      <alignment horizontal="center"/>
    </xf>
    <xf numFmtId="4" fontId="16" fillId="9" borderId="10" xfId="22" applyNumberFormat="1" applyFont="1" applyFill="1" applyBorder="1" applyAlignment="1" applyProtection="1">
      <alignment horizontal="center"/>
    </xf>
    <xf numFmtId="4" fontId="16" fillId="9" borderId="23" xfId="22" applyNumberFormat="1" applyFont="1" applyFill="1" applyBorder="1" applyAlignment="1" applyProtection="1">
      <alignment horizontal="center"/>
    </xf>
    <xf numFmtId="4" fontId="16" fillId="9" borderId="38" xfId="22" applyNumberFormat="1" applyFont="1" applyFill="1" applyBorder="1" applyAlignment="1" applyProtection="1">
      <alignment horizontal="center"/>
    </xf>
    <xf numFmtId="4" fontId="16" fillId="9" borderId="39" xfId="22" applyNumberFormat="1" applyFont="1" applyFill="1" applyBorder="1" applyAlignment="1" applyProtection="1">
      <alignment horizontal="center"/>
    </xf>
    <xf numFmtId="4" fontId="16" fillId="9" borderId="16" xfId="22" applyNumberFormat="1" applyFont="1" applyFill="1" applyBorder="1" applyAlignment="1" applyProtection="1">
      <alignment horizontal="center"/>
    </xf>
    <xf numFmtId="4" fontId="16" fillId="9" borderId="69" xfId="22" applyNumberFormat="1" applyFont="1" applyFill="1" applyBorder="1" applyAlignment="1" applyProtection="1">
      <alignment horizontal="center"/>
    </xf>
    <xf numFmtId="4" fontId="16" fillId="9" borderId="27" xfId="22" applyNumberFormat="1" applyFont="1" applyFill="1" applyBorder="1" applyAlignment="1" applyProtection="1">
      <alignment horizontal="center"/>
    </xf>
    <xf numFmtId="10" fontId="16" fillId="9" borderId="77" xfId="22" applyNumberFormat="1" applyFont="1" applyFill="1" applyBorder="1" applyAlignment="1" applyProtection="1">
      <alignment horizontal="center"/>
    </xf>
    <xf numFmtId="10" fontId="16" fillId="9" borderId="73" xfId="22" applyNumberFormat="1" applyFont="1" applyFill="1" applyBorder="1" applyAlignment="1" applyProtection="1">
      <alignment horizontal="center"/>
    </xf>
    <xf numFmtId="10" fontId="16" fillId="9" borderId="10" xfId="22" applyNumberFormat="1" applyFont="1" applyFill="1" applyBorder="1" applyAlignment="1" applyProtection="1">
      <alignment horizontal="center"/>
    </xf>
    <xf numFmtId="10" fontId="16" fillId="9" borderId="16" xfId="22" applyNumberFormat="1" applyFont="1" applyFill="1" applyBorder="1" applyAlignment="1" applyProtection="1">
      <alignment horizontal="center"/>
    </xf>
    <xf numFmtId="3" fontId="16" fillId="8" borderId="6" xfId="22" applyNumberFormat="1" applyFont="1" applyFill="1" applyBorder="1" applyAlignment="1" applyProtection="1">
      <alignment horizontal="center"/>
    </xf>
    <xf numFmtId="3" fontId="20" fillId="9" borderId="47" xfId="22" applyNumberFormat="1" applyFont="1" applyFill="1" applyBorder="1" applyAlignment="1" applyProtection="1">
      <alignment horizontal="center"/>
    </xf>
    <xf numFmtId="3" fontId="20" fillId="9" borderId="46" xfId="22" applyNumberFormat="1" applyFont="1" applyFill="1" applyBorder="1" applyAlignment="1" applyProtection="1">
      <alignment horizontal="center"/>
    </xf>
    <xf numFmtId="0" fontId="7" fillId="8" borderId="11" xfId="0" applyNumberFormat="1" applyFont="1" applyFill="1" applyBorder="1" applyAlignment="1" applyProtection="1">
      <alignment horizontal="center" vertical="center"/>
    </xf>
    <xf numFmtId="4" fontId="7" fillId="8" borderId="52" xfId="0" applyNumberFormat="1" applyFont="1" applyFill="1" applyBorder="1" applyAlignment="1" applyProtection="1">
      <alignment horizontal="center" vertical="center"/>
    </xf>
    <xf numFmtId="10" fontId="7" fillId="8" borderId="58" xfId="0" applyNumberFormat="1" applyFont="1" applyFill="1" applyBorder="1" applyAlignment="1" applyProtection="1">
      <alignment horizontal="center" vertical="center"/>
    </xf>
    <xf numFmtId="0" fontId="7" fillId="8" borderId="8" xfId="0" applyNumberFormat="1" applyFont="1" applyFill="1" applyBorder="1" applyAlignment="1" applyProtection="1">
      <alignment horizontal="center" vertical="center"/>
    </xf>
    <xf numFmtId="10" fontId="7" fillId="8" borderId="59" xfId="0" applyNumberFormat="1" applyFont="1" applyFill="1" applyBorder="1" applyAlignment="1" applyProtection="1">
      <alignment horizontal="center" vertical="center"/>
    </xf>
    <xf numFmtId="0" fontId="0" fillId="14" borderId="8" xfId="0" applyNumberFormat="1" applyFont="1" applyFill="1" applyBorder="1" applyAlignment="1" applyProtection="1">
      <alignment horizontal="center"/>
    </xf>
    <xf numFmtId="0" fontId="0" fillId="4" borderId="0" xfId="0" applyNumberFormat="1" applyFont="1" applyFill="1" applyBorder="1" applyAlignment="1" applyProtection="1">
      <alignment vertical="center"/>
    </xf>
    <xf numFmtId="0" fontId="22" fillId="4" borderId="0" xfId="0" applyNumberFormat="1" applyFont="1" applyFill="1" applyBorder="1" applyAlignment="1" applyProtection="1">
      <alignment horizontal="left" vertical="center"/>
    </xf>
    <xf numFmtId="165" fontId="0" fillId="4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4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0" fontId="24" fillId="4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horizontal="center" vertical="center"/>
    </xf>
    <xf numFmtId="0" fontId="0" fillId="4" borderId="10" xfId="0" applyNumberFormat="1" applyFont="1" applyFill="1" applyBorder="1" applyAlignment="1" applyProtection="1">
      <alignment vertical="center"/>
    </xf>
    <xf numFmtId="0" fontId="0" fillId="4" borderId="12" xfId="0" applyNumberFormat="1" applyFont="1" applyFill="1" applyBorder="1" applyAlignment="1" applyProtection="1">
      <alignment vertical="center"/>
    </xf>
    <xf numFmtId="0" fontId="20" fillId="4" borderId="0" xfId="0" applyNumberFormat="1" applyFont="1" applyFill="1" applyBorder="1" applyAlignment="1" applyProtection="1">
      <alignment vertical="center"/>
    </xf>
    <xf numFmtId="0" fontId="0" fillId="14" borderId="4" xfId="0" applyNumberFormat="1" applyFont="1" applyFill="1" applyBorder="1" applyAlignment="1" applyProtection="1">
      <alignment horizontal="center" vertical="center" wrapText="1"/>
    </xf>
    <xf numFmtId="0" fontId="20" fillId="14" borderId="4" xfId="0" applyNumberFormat="1" applyFont="1" applyFill="1" applyBorder="1" applyAlignment="1" applyProtection="1">
      <alignment horizontal="center" vertical="center" wrapText="1"/>
    </xf>
    <xf numFmtId="0" fontId="19" fillId="14" borderId="4" xfId="0" applyNumberFormat="1" applyFont="1" applyFill="1" applyBorder="1" applyProtection="1">
      <alignment vertical="center"/>
    </xf>
    <xf numFmtId="4" fontId="19" fillId="14" borderId="4" xfId="0" applyNumberFormat="1" applyFont="1" applyFill="1" applyBorder="1" applyProtection="1">
      <alignment vertical="center"/>
    </xf>
    <xf numFmtId="10" fontId="19" fillId="14" borderId="4" xfId="0" applyNumberFormat="1" applyFont="1" applyFill="1" applyBorder="1" applyProtection="1">
      <alignment vertical="center"/>
    </xf>
    <xf numFmtId="3" fontId="19" fillId="14" borderId="4" xfId="0" applyNumberFormat="1" applyFont="1" applyFill="1" applyBorder="1" applyProtection="1">
      <alignment vertical="center"/>
    </xf>
    <xf numFmtId="3" fontId="19" fillId="14" borderId="4" xfId="10" applyNumberFormat="1" applyFont="1" applyFill="1" applyBorder="1" applyAlignment="1" applyProtection="1">
      <alignment horizontal="center"/>
    </xf>
    <xf numFmtId="9" fontId="19" fillId="14" borderId="4" xfId="10" applyNumberFormat="1" applyFont="1" applyFill="1" applyBorder="1" applyAlignment="1" applyProtection="1">
      <alignment horizontal="center"/>
    </xf>
    <xf numFmtId="4" fontId="19" fillId="14" borderId="4" xfId="10" applyNumberFormat="1" applyFont="1" applyFill="1" applyBorder="1" applyAlignment="1" applyProtection="1">
      <alignment horizontal="center"/>
    </xf>
    <xf numFmtId="0" fontId="0" fillId="9" borderId="0" xfId="0" applyNumberFormat="1" applyFont="1" applyFill="1" applyBorder="1" applyAlignment="1" applyProtection="1">
      <alignment horizontal="center" vertical="center"/>
    </xf>
    <xf numFmtId="0" fontId="19" fillId="4" borderId="0" xfId="0" applyNumberFormat="1" applyFont="1" applyFill="1" applyBorder="1" applyAlignment="1" applyProtection="1">
      <alignment horizontal="center" vertical="center"/>
    </xf>
    <xf numFmtId="0" fontId="0" fillId="4" borderId="4" xfId="0" applyNumberFormat="1" applyFont="1" applyFill="1" applyBorder="1" applyAlignment="1" applyProtection="1">
      <alignment horizontal="center" vertical="center"/>
    </xf>
    <xf numFmtId="0" fontId="19" fillId="14" borderId="4" xfId="0" applyNumberFormat="1" applyFont="1" applyFill="1" applyBorder="1" applyAlignment="1" applyProtection="1">
      <alignment vertical="center"/>
    </xf>
    <xf numFmtId="0" fontId="19" fillId="14" borderId="4" xfId="0" applyNumberFormat="1" applyFont="1" applyFill="1" applyBorder="1" applyAlignment="1" applyProtection="1">
      <alignment horizontal="center" vertical="center"/>
    </xf>
    <xf numFmtId="4" fontId="19" fillId="14" borderId="4" xfId="0" applyNumberFormat="1" applyFont="1" applyFill="1" applyBorder="1" applyAlignment="1" applyProtection="1">
      <alignment vertical="center"/>
    </xf>
    <xf numFmtId="10" fontId="19" fillId="14" borderId="4" xfId="0" applyNumberFormat="1" applyFont="1" applyFill="1" applyBorder="1" applyAlignment="1" applyProtection="1">
      <alignment vertical="center"/>
    </xf>
    <xf numFmtId="3" fontId="19" fillId="14" borderId="4" xfId="10" applyNumberFormat="1" applyFont="1" applyFill="1" applyBorder="1" applyAlignment="1" applyProtection="1">
      <alignment horizontal="center" vertical="center"/>
    </xf>
    <xf numFmtId="9" fontId="19" fillId="14" borderId="4" xfId="10" applyNumberFormat="1" applyFont="1" applyFill="1" applyBorder="1" applyAlignment="1" applyProtection="1">
      <alignment horizontal="center" vertical="center"/>
    </xf>
    <xf numFmtId="4" fontId="19" fillId="14" borderId="4" xfId="10" applyNumberFormat="1" applyFont="1" applyFill="1" applyBorder="1" applyAlignment="1" applyProtection="1">
      <alignment horizontal="center" vertical="center"/>
    </xf>
    <xf numFmtId="0" fontId="0" fillId="9" borderId="0" xfId="0" applyNumberFormat="1" applyFont="1" applyFill="1" applyBorder="1" applyAlignment="1" applyProtection="1">
      <alignment vertical="center"/>
    </xf>
    <xf numFmtId="3" fontId="0" fillId="9" borderId="0" xfId="0" applyNumberFormat="1" applyFont="1" applyFill="1" applyBorder="1" applyAlignment="1" applyProtection="1">
      <alignment vertical="center"/>
    </xf>
    <xf numFmtId="0" fontId="25" fillId="4" borderId="0" xfId="0" applyNumberFormat="1" applyFont="1" applyFill="1" applyBorder="1" applyAlignment="1" applyProtection="1">
      <alignment vertical="center"/>
    </xf>
    <xf numFmtId="4" fontId="25" fillId="4" borderId="0" xfId="0" applyNumberFormat="1" applyFont="1" applyFill="1" applyBorder="1" applyAlignment="1" applyProtection="1">
      <alignment horizontal="center" vertical="center"/>
    </xf>
    <xf numFmtId="0" fontId="7" fillId="9" borderId="0" xfId="0" applyNumberFormat="1" applyFont="1" applyFill="1" applyBorder="1" applyAlignment="1" applyProtection="1">
      <alignment vertical="center"/>
    </xf>
    <xf numFmtId="0" fontId="24" fillId="4" borderId="0" xfId="0" applyNumberFormat="1" applyFont="1" applyFill="1" applyBorder="1" applyAlignment="1" applyProtection="1">
      <alignment vertical="center"/>
    </xf>
    <xf numFmtId="4" fontId="27" fillId="4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20" fillId="0" borderId="0" xfId="0" applyNumberFormat="1" applyFont="1" applyFill="1" applyBorder="1" applyAlignment="1" applyProtection="1">
      <alignment vertical="center"/>
    </xf>
    <xf numFmtId="0" fontId="0" fillId="4" borderId="20" xfId="0" applyNumberFormat="1" applyFont="1" applyFill="1" applyBorder="1" applyAlignment="1" applyProtection="1">
      <alignment horizontal="center" vertical="center"/>
    </xf>
    <xf numFmtId="0" fontId="0" fillId="0" borderId="4" xfId="0" applyNumberFormat="1" applyFont="1" applyFill="1" applyBorder="1" applyAlignment="1" applyProtection="1">
      <alignment horizontal="center" vertical="center"/>
    </xf>
    <xf numFmtId="0" fontId="0" fillId="4" borderId="21" xfId="0" applyNumberFormat="1" applyFont="1" applyFill="1" applyBorder="1" applyAlignment="1" applyProtection="1">
      <alignment horizontal="center" vertical="center"/>
    </xf>
    <xf numFmtId="14" fontId="0" fillId="4" borderId="20" xfId="0" applyNumberFormat="1" applyFont="1" applyFill="1" applyBorder="1" applyAlignment="1" applyProtection="1">
      <alignment vertical="center"/>
    </xf>
    <xf numFmtId="3" fontId="0" fillId="4" borderId="4" xfId="0" applyNumberFormat="1" applyFont="1" applyFill="1" applyBorder="1" applyAlignment="1" applyProtection="1">
      <alignment horizontal="right" vertical="center"/>
    </xf>
    <xf numFmtId="3" fontId="0" fillId="4" borderId="21" xfId="0" applyNumberFormat="1" applyFont="1" applyFill="1" applyBorder="1" applyAlignment="1" applyProtection="1">
      <alignment horizontal="right" vertical="center"/>
    </xf>
    <xf numFmtId="3" fontId="0" fillId="9" borderId="4" xfId="0" applyNumberFormat="1" applyFont="1" applyFill="1" applyBorder="1" applyAlignment="1" applyProtection="1">
      <alignment horizontal="right" vertical="center"/>
    </xf>
    <xf numFmtId="14" fontId="0" fillId="4" borderId="24" xfId="0" applyNumberFormat="1" applyFont="1" applyFill="1" applyBorder="1" applyAlignment="1" applyProtection="1">
      <alignment vertical="center"/>
    </xf>
    <xf numFmtId="3" fontId="0" fillId="9" borderId="25" xfId="0" applyNumberFormat="1" applyFont="1" applyFill="1" applyBorder="1" applyAlignment="1" applyProtection="1">
      <alignment horizontal="right" vertical="center"/>
    </xf>
    <xf numFmtId="3" fontId="0" fillId="4" borderId="25" xfId="0" applyNumberFormat="1" applyFont="1" applyFill="1" applyBorder="1" applyAlignment="1" applyProtection="1">
      <alignment horizontal="right" vertical="center"/>
    </xf>
    <xf numFmtId="3" fontId="0" fillId="4" borderId="26" xfId="0" applyNumberFormat="1" applyFont="1" applyFill="1" applyBorder="1" applyAlignment="1" applyProtection="1">
      <alignment horizontal="right" vertical="center"/>
    </xf>
    <xf numFmtId="3" fontId="0" fillId="10" borderId="4" xfId="0" applyNumberFormat="1" applyFont="1" applyFill="1" applyBorder="1" applyAlignment="1" applyProtection="1">
      <alignment horizontal="right" vertical="center"/>
    </xf>
    <xf numFmtId="3" fontId="0" fillId="10" borderId="25" xfId="0" applyNumberFormat="1" applyFont="1" applyFill="1" applyBorder="1" applyAlignment="1" applyProtection="1">
      <alignment horizontal="right" vertical="center"/>
    </xf>
    <xf numFmtId="3" fontId="4" fillId="10" borderId="4" xfId="10" applyNumberFormat="1" applyFont="1" applyFill="1" applyBorder="1" applyAlignment="1" applyProtection="1">
      <alignment horizontal="center"/>
    </xf>
    <xf numFmtId="3" fontId="16" fillId="17" borderId="17" xfId="22" applyNumberFormat="1" applyFont="1" applyFill="1" applyBorder="1" applyAlignment="1" applyProtection="1">
      <alignment horizontal="center"/>
    </xf>
    <xf numFmtId="0" fontId="0" fillId="14" borderId="18" xfId="0" applyNumberFormat="1" applyFont="1" applyFill="1" applyBorder="1" applyAlignment="1" applyProtection="1">
      <alignment horizontal="center"/>
    </xf>
    <xf numFmtId="0" fontId="0" fillId="14" borderId="15" xfId="0" applyNumberFormat="1" applyFont="1" applyFill="1" applyBorder="1" applyAlignment="1" applyProtection="1">
      <alignment horizontal="center"/>
    </xf>
    <xf numFmtId="0" fontId="0" fillId="14" borderId="19" xfId="0" applyNumberFormat="1" applyFont="1" applyFill="1" applyBorder="1" applyAlignment="1" applyProtection="1">
      <alignment horizontal="center"/>
    </xf>
    <xf numFmtId="10" fontId="20" fillId="16" borderId="0" xfId="0" applyNumberFormat="1" applyFont="1" applyFill="1" applyBorder="1" applyAlignment="1" applyProtection="1">
      <alignment horizontal="center"/>
    </xf>
    <xf numFmtId="4" fontId="0" fillId="16" borderId="8" xfId="0" applyNumberFormat="1" applyFont="1" applyFill="1" applyBorder="1" applyProtection="1">
      <alignment vertical="center"/>
    </xf>
    <xf numFmtId="10" fontId="0" fillId="16" borderId="12" xfId="0" applyNumberFormat="1" applyFont="1" applyFill="1" applyBorder="1" applyProtection="1">
      <alignment vertical="center"/>
    </xf>
    <xf numFmtId="4" fontId="0" fillId="16" borderId="12" xfId="0" applyNumberFormat="1" applyFont="1" applyFill="1" applyBorder="1" applyProtection="1">
      <alignment vertical="center"/>
    </xf>
    <xf numFmtId="14" fontId="0" fillId="16" borderId="12" xfId="0" applyNumberFormat="1" applyFont="1" applyFill="1" applyBorder="1" applyProtection="1">
      <alignment vertical="center"/>
    </xf>
    <xf numFmtId="2" fontId="0" fillId="16" borderId="12" xfId="0" applyNumberFormat="1" applyFont="1" applyFill="1" applyBorder="1" applyProtection="1">
      <alignment vertical="center"/>
    </xf>
    <xf numFmtId="14" fontId="0" fillId="15" borderId="12" xfId="0" applyNumberFormat="1" applyFont="1" applyFill="1" applyBorder="1" applyProtection="1">
      <alignment vertical="center"/>
    </xf>
    <xf numFmtId="4" fontId="0" fillId="15" borderId="12" xfId="0" applyNumberFormat="1" applyFont="1" applyFill="1" applyBorder="1" applyProtection="1">
      <alignment vertical="center"/>
    </xf>
    <xf numFmtId="2" fontId="0" fillId="15" borderId="12" xfId="0" applyNumberFormat="1" applyFont="1" applyFill="1" applyBorder="1" applyProtection="1">
      <alignment vertical="center"/>
    </xf>
    <xf numFmtId="10" fontId="0" fillId="15" borderId="17" xfId="0" applyNumberFormat="1" applyFont="1" applyFill="1" applyBorder="1" applyProtection="1">
      <alignment vertical="center"/>
    </xf>
    <xf numFmtId="0" fontId="20" fillId="16" borderId="20" xfId="22" applyNumberFormat="1" applyFont="1" applyFill="1" applyBorder="1" applyProtection="1"/>
    <xf numFmtId="4" fontId="20" fillId="16" borderId="2" xfId="22" applyNumberFormat="1" applyFont="1" applyFill="1" applyBorder="1" applyAlignment="1" applyProtection="1">
      <alignment horizontal="center"/>
    </xf>
    <xf numFmtId="4" fontId="20" fillId="16" borderId="4" xfId="22" applyNumberFormat="1" applyFont="1" applyFill="1" applyBorder="1" applyAlignment="1" applyProtection="1">
      <alignment horizontal="center"/>
    </xf>
    <xf numFmtId="4" fontId="20" fillId="14" borderId="28" xfId="22" applyNumberFormat="1" applyFont="1" applyFill="1" applyBorder="1" applyAlignment="1" applyProtection="1">
      <alignment horizontal="center"/>
    </xf>
    <xf numFmtId="4" fontId="20" fillId="14" borderId="7" xfId="22" applyNumberFormat="1" applyFont="1" applyFill="1" applyBorder="1" applyAlignment="1" applyProtection="1">
      <alignment horizontal="center"/>
    </xf>
    <xf numFmtId="0" fontId="7" fillId="16" borderId="0" xfId="22" applyNumberFormat="1" applyFont="1" applyFill="1" applyBorder="1" applyAlignment="1" applyProtection="1">
      <alignment horizontal="center"/>
    </xf>
    <xf numFmtId="3" fontId="16" fillId="16" borderId="0" xfId="22" applyNumberFormat="1" applyFont="1" applyFill="1" applyBorder="1" applyAlignment="1" applyProtection="1">
      <alignment horizontal="center"/>
    </xf>
    <xf numFmtId="0" fontId="20" fillId="16" borderId="20" xfId="22" applyNumberFormat="1" applyFont="1" applyFill="1" applyBorder="1" applyAlignment="1" applyProtection="1">
      <alignment horizontal="center"/>
    </xf>
    <xf numFmtId="0" fontId="23" fillId="16" borderId="21" xfId="22" applyNumberFormat="1" applyFont="1" applyFill="1" applyBorder="1" applyAlignment="1" applyProtection="1">
      <alignment horizontal="center"/>
    </xf>
    <xf numFmtId="0" fontId="20" fillId="16" borderId="24" xfId="22" applyNumberFormat="1" applyFont="1" applyFill="1" applyBorder="1" applyAlignment="1" applyProtection="1">
      <alignment horizontal="center"/>
    </xf>
    <xf numFmtId="0" fontId="23" fillId="16" borderId="26" xfId="22" applyNumberFormat="1" applyFont="1" applyFill="1" applyBorder="1" applyAlignment="1" applyProtection="1">
      <alignment horizontal="center"/>
    </xf>
    <xf numFmtId="10" fontId="20" fillId="16" borderId="39" xfId="22" applyNumberFormat="1" applyFont="1" applyFill="1" applyBorder="1" applyAlignment="1" applyProtection="1">
      <alignment horizontal="center"/>
    </xf>
    <xf numFmtId="10" fontId="20" fillId="16" borderId="4" xfId="22" applyNumberFormat="1" applyFont="1" applyFill="1" applyBorder="1" applyAlignment="1" applyProtection="1">
      <alignment horizontal="center"/>
    </xf>
    <xf numFmtId="10" fontId="20" fillId="16" borderId="25" xfId="22" applyNumberFormat="1" applyFont="1" applyFill="1" applyBorder="1" applyAlignment="1" applyProtection="1">
      <alignment horizontal="center"/>
    </xf>
    <xf numFmtId="4" fontId="20" fillId="16" borderId="25" xfId="22" applyNumberFormat="1" applyFont="1" applyFill="1" applyBorder="1" applyAlignment="1" applyProtection="1">
      <alignment horizontal="center"/>
    </xf>
    <xf numFmtId="0" fontId="0" fillId="0" borderId="0" xfId="0" applyNumberFormat="1" applyFont="1" applyFill="1" applyBorder="1" applyAlignment="1" applyProtection="1">
      <alignment vertical="center" wrapText="1"/>
    </xf>
    <xf numFmtId="0" fontId="7" fillId="14" borderId="14" xfId="0" applyNumberFormat="1" applyFont="1" applyFill="1" applyBorder="1" applyAlignment="1" applyProtection="1">
      <alignment vertical="center" wrapText="1"/>
    </xf>
    <xf numFmtId="0" fontId="7" fillId="14" borderId="35" xfId="0" applyNumberFormat="1" applyFont="1" applyFill="1" applyBorder="1" applyAlignment="1" applyProtection="1">
      <alignment horizontal="center" vertical="center" wrapText="1"/>
    </xf>
    <xf numFmtId="0" fontId="7" fillId="14" borderId="37" xfId="0" applyNumberFormat="1" applyFont="1" applyFill="1" applyBorder="1" applyAlignment="1" applyProtection="1">
      <alignment horizontal="center" vertical="center" wrapText="1"/>
    </xf>
    <xf numFmtId="0" fontId="7" fillId="0" borderId="0" xfId="0" applyNumberFormat="1" applyFont="1" applyFill="1" applyBorder="1" applyAlignment="1" applyProtection="1">
      <alignment vertical="center" wrapText="1"/>
    </xf>
    <xf numFmtId="0" fontId="0" fillId="0" borderId="42" xfId="0" applyNumberFormat="1" applyFont="1" applyFill="1" applyBorder="1" applyAlignment="1" applyProtection="1">
      <alignment vertical="center" wrapText="1"/>
    </xf>
    <xf numFmtId="0" fontId="0" fillId="0" borderId="44" xfId="0" applyNumberFormat="1" applyFont="1" applyFill="1" applyBorder="1" applyAlignment="1" applyProtection="1">
      <alignment vertical="center" wrapText="1"/>
    </xf>
    <xf numFmtId="0" fontId="0" fillId="0" borderId="20" xfId="0" applyNumberFormat="1" applyFont="1" applyFill="1" applyBorder="1" applyAlignment="1" applyProtection="1">
      <alignment vertical="center" wrapText="1"/>
    </xf>
    <xf numFmtId="0" fontId="0" fillId="0" borderId="21" xfId="0" applyNumberFormat="1" applyFont="1" applyFill="1" applyBorder="1" applyAlignment="1" applyProtection="1">
      <alignment vertical="center" wrapText="1"/>
    </xf>
    <xf numFmtId="0" fontId="0" fillId="0" borderId="24" xfId="0" applyNumberFormat="1" applyFont="1" applyFill="1" applyBorder="1" applyAlignment="1" applyProtection="1">
      <alignment vertical="center" wrapText="1"/>
    </xf>
    <xf numFmtId="0" fontId="0" fillId="0" borderId="26" xfId="0" applyNumberFormat="1" applyFont="1" applyFill="1" applyBorder="1" applyAlignment="1" applyProtection="1">
      <alignment vertical="center" wrapText="1"/>
    </xf>
    <xf numFmtId="0" fontId="7" fillId="14" borderId="35" xfId="0" applyNumberFormat="1" applyFont="1" applyFill="1" applyBorder="1" applyAlignment="1" applyProtection="1">
      <alignment vertical="center" wrapText="1"/>
    </xf>
    <xf numFmtId="0" fontId="7" fillId="14" borderId="37" xfId="0" applyNumberFormat="1" applyFont="1" applyFill="1" applyBorder="1" applyAlignment="1" applyProtection="1">
      <alignment vertical="center" wrapText="1"/>
    </xf>
    <xf numFmtId="0" fontId="7" fillId="14" borderId="36" xfId="0" applyNumberFormat="1" applyFont="1" applyFill="1" applyBorder="1" applyAlignment="1" applyProtection="1">
      <alignment horizontal="center" vertical="center" wrapText="1"/>
    </xf>
    <xf numFmtId="0" fontId="7" fillId="0" borderId="42" xfId="0" applyNumberFormat="1" applyFont="1" applyFill="1" applyBorder="1" applyAlignment="1" applyProtection="1">
      <alignment vertical="center" wrapText="1"/>
    </xf>
    <xf numFmtId="0" fontId="7" fillId="0" borderId="44" xfId="0" applyNumberFormat="1" applyFont="1" applyFill="1" applyBorder="1" applyAlignment="1" applyProtection="1">
      <alignment vertical="center" wrapText="1"/>
    </xf>
    <xf numFmtId="0" fontId="7" fillId="18" borderId="9" xfId="12" applyNumberFormat="1" applyFont="1" applyFill="1" applyBorder="1" applyAlignment="1" applyProtection="1">
      <alignment horizontal="center"/>
    </xf>
    <xf numFmtId="0" fontId="7" fillId="18" borderId="9" xfId="12" applyNumberFormat="1" applyFont="1" applyFill="1" applyBorder="1" applyProtection="1"/>
    <xf numFmtId="164" fontId="7" fillId="18" borderId="9" xfId="7" applyNumberFormat="1" applyFont="1" applyFill="1" applyBorder="1" applyAlignment="1" applyProtection="1">
      <alignment horizontal="center"/>
    </xf>
    <xf numFmtId="1" fontId="7" fillId="18" borderId="9" xfId="7" applyNumberFormat="1" applyFont="1" applyFill="1" applyBorder="1" applyAlignment="1" applyProtection="1">
      <alignment horizontal="center"/>
    </xf>
    <xf numFmtId="0" fontId="7" fillId="0" borderId="0" xfId="12" applyNumberFormat="1" applyFont="1" applyFill="1" applyBorder="1" applyProtection="1"/>
    <xf numFmtId="0" fontId="21" fillId="4" borderId="9" xfId="12" applyNumberFormat="1" applyFont="1" applyFill="1" applyBorder="1" applyAlignment="1" applyProtection="1">
      <alignment horizontal="center"/>
    </xf>
    <xf numFmtId="0" fontId="21" fillId="4" borderId="9" xfId="12" applyNumberFormat="1" applyFont="1" applyFill="1" applyBorder="1" applyAlignment="1" applyProtection="1">
      <alignment horizontal="left" indent="1"/>
    </xf>
    <xf numFmtId="1" fontId="21" fillId="4" borderId="9" xfId="7" applyNumberFormat="1" applyFont="1" applyFill="1" applyBorder="1" applyAlignment="1" applyProtection="1">
      <alignment horizontal="center"/>
    </xf>
    <xf numFmtId="164" fontId="21" fillId="4" borderId="9" xfId="7" applyNumberFormat="1" applyFont="1" applyFill="1" applyBorder="1" applyAlignment="1" applyProtection="1">
      <alignment horizontal="center"/>
    </xf>
    <xf numFmtId="0" fontId="21" fillId="0" borderId="0" xfId="12" applyNumberFormat="1" applyFont="1" applyFill="1" applyBorder="1" applyProtection="1"/>
    <xf numFmtId="0" fontId="7" fillId="6" borderId="6" xfId="12" applyNumberFormat="1" applyFont="1" applyFill="1" applyBorder="1" applyAlignment="1" applyProtection="1">
      <alignment horizontal="center"/>
    </xf>
    <xf numFmtId="0" fontId="7" fillId="6" borderId="6" xfId="12" applyNumberFormat="1" applyFont="1" applyFill="1" applyBorder="1" applyProtection="1"/>
    <xf numFmtId="164" fontId="7" fillId="6" borderId="6" xfId="7" applyNumberFormat="1" applyFont="1" applyFill="1" applyBorder="1" applyAlignment="1" applyProtection="1">
      <alignment horizontal="center"/>
    </xf>
    <xf numFmtId="1" fontId="7" fillId="6" borderId="6" xfId="7" applyNumberFormat="1" applyFont="1" applyFill="1" applyBorder="1" applyAlignment="1" applyProtection="1">
      <alignment horizontal="center"/>
    </xf>
    <xf numFmtId="0" fontId="21" fillId="4" borderId="9" xfId="12" applyNumberFormat="1" applyFont="1" applyFill="1" applyBorder="1" applyAlignment="1" applyProtection="1">
      <alignment horizontal="center" vertical="center" wrapText="1"/>
    </xf>
    <xf numFmtId="0" fontId="26" fillId="4" borderId="9" xfId="12" applyNumberFormat="1" applyFont="1" applyFill="1" applyBorder="1" applyAlignment="1" applyProtection="1">
      <alignment horizontal="center"/>
    </xf>
    <xf numFmtId="0" fontId="26" fillId="0" borderId="0" xfId="12" applyNumberFormat="1" applyFont="1" applyFill="1" applyBorder="1" applyProtection="1"/>
    <xf numFmtId="0" fontId="7" fillId="18" borderId="9" xfId="12" quotePrefix="1" applyNumberFormat="1" applyFont="1" applyFill="1" applyBorder="1" applyAlignment="1" applyProtection="1">
      <alignment horizontal="center"/>
    </xf>
    <xf numFmtId="0" fontId="7" fillId="6" borderId="6" xfId="12" applyNumberFormat="1" applyFont="1" applyFill="1" applyBorder="1" applyAlignment="1" applyProtection="1">
      <alignment horizontal="center" wrapText="1"/>
    </xf>
    <xf numFmtId="0" fontId="7" fillId="6" borderId="6" xfId="12" applyNumberFormat="1" applyFont="1" applyFill="1" applyBorder="1" applyAlignment="1" applyProtection="1">
      <alignment wrapText="1"/>
    </xf>
    <xf numFmtId="1" fontId="7" fillId="6" borderId="6" xfId="7" applyNumberFormat="1" applyFont="1" applyFill="1" applyBorder="1" applyAlignment="1" applyProtection="1">
      <alignment horizontal="center" vertical="center"/>
    </xf>
    <xf numFmtId="164" fontId="7" fillId="6" borderId="6" xfId="7" applyNumberFormat="1" applyFont="1" applyFill="1" applyBorder="1" applyAlignment="1" applyProtection="1">
      <alignment horizontal="center" vertical="center"/>
    </xf>
    <xf numFmtId="0" fontId="36" fillId="4" borderId="9" xfId="12" applyNumberFormat="1" applyFont="1" applyFill="1" applyBorder="1" applyAlignment="1" applyProtection="1">
      <alignment horizontal="center"/>
    </xf>
    <xf numFmtId="0" fontId="42" fillId="6" borderId="6" xfId="12" applyNumberFormat="1" applyFont="1" applyFill="1" applyBorder="1" applyAlignment="1" applyProtection="1">
      <alignment horizontal="center"/>
    </xf>
    <xf numFmtId="0" fontId="42" fillId="6" borderId="6" xfId="12" applyNumberFormat="1" applyFont="1" applyFill="1" applyBorder="1" applyProtection="1"/>
    <xf numFmtId="1" fontId="42" fillId="6" borderId="6" xfId="7" applyNumberFormat="1" applyFont="1" applyFill="1" applyBorder="1" applyAlignment="1" applyProtection="1">
      <alignment horizontal="center"/>
    </xf>
    <xf numFmtId="0" fontId="20" fillId="0" borderId="0" xfId="12" applyNumberFormat="1" applyFont="1" applyFill="1" applyBorder="1" applyAlignment="1" applyProtection="1">
      <alignment horizontal="center"/>
    </xf>
    <xf numFmtId="0" fontId="20" fillId="4" borderId="0" xfId="12" applyNumberFormat="1" applyFont="1" applyFill="1" applyBorder="1" applyProtection="1"/>
    <xf numFmtId="1" fontId="0" fillId="4" borderId="0" xfId="7" applyNumberFormat="1" applyFont="1" applyFill="1" applyBorder="1" applyProtection="1"/>
    <xf numFmtId="0" fontId="20" fillId="4" borderId="0" xfId="12" applyNumberFormat="1" applyFont="1" applyFill="1" applyBorder="1" applyAlignment="1" applyProtection="1">
      <alignment horizontal="center"/>
    </xf>
    <xf numFmtId="164" fontId="0" fillId="4" borderId="0" xfId="7" applyNumberFormat="1" applyFont="1" applyFill="1" applyBorder="1" applyAlignment="1" applyProtection="1">
      <alignment horizontal="center"/>
    </xf>
    <xf numFmtId="0" fontId="24" fillId="4" borderId="0" xfId="12" applyNumberFormat="1" applyFont="1" applyFill="1" applyBorder="1" applyProtection="1"/>
    <xf numFmtId="1" fontId="24" fillId="4" borderId="0" xfId="7" applyNumberFormat="1" applyFont="1" applyFill="1" applyBorder="1" applyProtection="1"/>
    <xf numFmtId="0" fontId="24" fillId="4" borderId="0" xfId="12" applyNumberFormat="1" applyFont="1" applyFill="1" applyBorder="1" applyAlignment="1" applyProtection="1">
      <alignment horizontal="center"/>
    </xf>
    <xf numFmtId="164" fontId="24" fillId="4" borderId="0" xfId="7" applyNumberFormat="1" applyFont="1" applyFill="1" applyBorder="1" applyAlignment="1" applyProtection="1">
      <alignment horizontal="center"/>
    </xf>
    <xf numFmtId="1" fontId="7" fillId="6" borderId="14" xfId="7" applyNumberFormat="1" applyFont="1" applyFill="1" applyBorder="1" applyAlignment="1" applyProtection="1">
      <alignment horizontal="center"/>
    </xf>
    <xf numFmtId="0" fontId="7" fillId="6" borderId="18" xfId="12" applyNumberFormat="1" applyFont="1" applyFill="1" applyBorder="1" applyProtection="1"/>
    <xf numFmtId="0" fontId="7" fillId="6" borderId="14" xfId="12" applyNumberFormat="1" applyFont="1" applyFill="1" applyBorder="1" applyAlignment="1" applyProtection="1">
      <alignment horizontal="center"/>
    </xf>
    <xf numFmtId="0" fontId="7" fillId="18" borderId="11" xfId="12" applyNumberFormat="1" applyFont="1" applyFill="1" applyBorder="1" applyProtection="1"/>
    <xf numFmtId="1" fontId="7" fillId="18" borderId="12" xfId="7" applyNumberFormat="1" applyFont="1" applyFill="1" applyBorder="1" applyAlignment="1" applyProtection="1">
      <alignment horizontal="center"/>
    </xf>
    <xf numFmtId="1" fontId="21" fillId="4" borderId="12" xfId="7" applyNumberFormat="1" applyFont="1" applyFill="1" applyBorder="1" applyAlignment="1" applyProtection="1">
      <alignment horizontal="center"/>
    </xf>
    <xf numFmtId="0" fontId="21" fillId="6" borderId="9" xfId="12" applyNumberFormat="1" applyFont="1" applyFill="1" applyBorder="1" applyAlignment="1" applyProtection="1">
      <alignment horizontal="center"/>
    </xf>
    <xf numFmtId="164" fontId="7" fillId="18" borderId="11" xfId="7" applyNumberFormat="1" applyFont="1" applyFill="1" applyBorder="1" applyAlignment="1" applyProtection="1">
      <alignment horizontal="center"/>
    </xf>
    <xf numFmtId="1" fontId="7" fillId="18" borderId="8" xfId="7" applyNumberFormat="1" applyFont="1" applyFill="1" applyBorder="1" applyAlignment="1" applyProtection="1">
      <alignment horizontal="center"/>
    </xf>
    <xf numFmtId="0" fontId="7" fillId="18" borderId="11" xfId="12" applyNumberFormat="1" applyFont="1" applyFill="1" applyBorder="1" applyAlignment="1" applyProtection="1">
      <alignment horizontal="center"/>
    </xf>
    <xf numFmtId="1" fontId="21" fillId="4" borderId="17" xfId="7" applyNumberFormat="1" applyFont="1" applyFill="1" applyBorder="1" applyAlignment="1" applyProtection="1">
      <alignment horizontal="center"/>
    </xf>
    <xf numFmtId="0" fontId="21" fillId="6" borderId="13" xfId="12" applyNumberFormat="1" applyFont="1" applyFill="1" applyBorder="1" applyAlignment="1" applyProtection="1">
      <alignment horizontal="center"/>
    </xf>
    <xf numFmtId="164" fontId="21" fillId="4" borderId="13" xfId="7" applyNumberFormat="1" applyFont="1" applyFill="1" applyBorder="1" applyAlignment="1" applyProtection="1">
      <alignment horizontal="center"/>
    </xf>
    <xf numFmtId="1" fontId="7" fillId="6" borderId="16" xfId="7" applyNumberFormat="1" applyFont="1" applyFill="1" applyBorder="1" applyAlignment="1" applyProtection="1">
      <alignment horizontal="center"/>
    </xf>
    <xf numFmtId="0" fontId="7" fillId="6" borderId="16" xfId="12" applyNumberFormat="1" applyFont="1" applyFill="1" applyBorder="1" applyAlignment="1" applyProtection="1">
      <alignment horizontal="center"/>
    </xf>
    <xf numFmtId="1" fontId="21" fillId="0" borderId="0" xfId="7" applyNumberFormat="1" applyFont="1" applyFill="1" applyBorder="1" applyProtection="1"/>
    <xf numFmtId="1" fontId="0" fillId="0" borderId="0" xfId="7" applyNumberFormat="1" applyFont="1" applyFill="1" applyBorder="1" applyProtection="1"/>
    <xf numFmtId="1" fontId="0" fillId="0" borderId="0" xfId="7" applyNumberFormat="1" applyFont="1" applyFill="1" applyBorder="1" applyAlignment="1" applyProtection="1">
      <alignment horizontal="center"/>
    </xf>
    <xf numFmtId="179" fontId="20" fillId="0" borderId="0" xfId="12" applyNumberFormat="1" applyFont="1" applyFill="1" applyBorder="1" applyProtection="1"/>
    <xf numFmtId="0" fontId="7" fillId="19" borderId="16" xfId="12" applyNumberFormat="1" applyFont="1" applyFill="1" applyBorder="1" applyProtection="1"/>
    <xf numFmtId="1" fontId="7" fillId="19" borderId="16" xfId="7" applyNumberFormat="1" applyFont="1" applyFill="1" applyBorder="1" applyAlignment="1" applyProtection="1">
      <alignment horizontal="center"/>
    </xf>
    <xf numFmtId="0" fontId="7" fillId="19" borderId="16" xfId="12" applyNumberFormat="1" applyFont="1" applyFill="1" applyBorder="1" applyAlignment="1" applyProtection="1">
      <alignment horizontal="center"/>
    </xf>
    <xf numFmtId="0" fontId="21" fillId="6" borderId="9" xfId="12" quotePrefix="1" applyNumberFormat="1" applyFont="1" applyFill="1" applyBorder="1" applyAlignment="1" applyProtection="1">
      <alignment horizontal="center"/>
    </xf>
    <xf numFmtId="4" fontId="7" fillId="19" borderId="6" xfId="7" applyNumberFormat="1" applyFont="1" applyFill="1" applyBorder="1" applyAlignment="1" applyProtection="1">
      <alignment horizontal="center"/>
    </xf>
    <xf numFmtId="0" fontId="21" fillId="9" borderId="9" xfId="12" applyNumberFormat="1" applyFont="1" applyFill="1" applyBorder="1" applyAlignment="1" applyProtection="1">
      <alignment horizontal="center"/>
    </xf>
    <xf numFmtId="0" fontId="21" fillId="9" borderId="13" xfId="12" applyNumberFormat="1" applyFont="1" applyFill="1" applyBorder="1" applyAlignment="1" applyProtection="1">
      <alignment horizontal="center"/>
    </xf>
    <xf numFmtId="9" fontId="20" fillId="21" borderId="37" xfId="11" applyNumberFormat="1" applyFont="1" applyFill="1" applyBorder="1" applyProtection="1"/>
    <xf numFmtId="9" fontId="20" fillId="9" borderId="0" xfId="11" applyNumberFormat="1" applyFont="1" applyFill="1" applyBorder="1" applyAlignment="1" applyProtection="1">
      <alignment horizontal="left"/>
    </xf>
    <xf numFmtId="9" fontId="20" fillId="0" borderId="20" xfId="11" applyNumberFormat="1" applyFont="1" applyFill="1" applyBorder="1" applyAlignment="1" applyProtection="1">
      <alignment horizontal="center"/>
    </xf>
    <xf numFmtId="9" fontId="20" fillId="0" borderId="21" xfId="11" applyNumberFormat="1" applyFont="1" applyFill="1" applyBorder="1" applyAlignment="1" applyProtection="1">
      <alignment horizontal="center"/>
    </xf>
    <xf numFmtId="0" fontId="45" fillId="9" borderId="0" xfId="14" applyNumberFormat="1" applyFont="1" applyFill="1" applyBorder="1" applyProtection="1"/>
    <xf numFmtId="0" fontId="45" fillId="0" borderId="0" xfId="14" applyNumberFormat="1" applyFont="1" applyFill="1" applyBorder="1" applyProtection="1"/>
    <xf numFmtId="0" fontId="45" fillId="0" borderId="4" xfId="14" applyNumberFormat="1" applyFont="1" applyFill="1" applyBorder="1" applyProtection="1"/>
    <xf numFmtId="3" fontId="45" fillId="20" borderId="4" xfId="14" applyNumberFormat="1" applyFont="1" applyFill="1" applyBorder="1" applyProtection="1"/>
    <xf numFmtId="49" fontId="45" fillId="0" borderId="4" xfId="14" applyNumberFormat="1" applyFont="1" applyFill="1" applyBorder="1" applyProtection="1"/>
    <xf numFmtId="3" fontId="45" fillId="9" borderId="0" xfId="14" applyNumberFormat="1" applyFont="1" applyFill="1" applyBorder="1" applyProtection="1"/>
    <xf numFmtId="0" fontId="45" fillId="9" borderId="0" xfId="14" applyNumberFormat="1" applyFont="1" applyFill="1" applyBorder="1" applyProtection="1"/>
    <xf numFmtId="0" fontId="45" fillId="21" borderId="14" xfId="14" applyNumberFormat="1" applyFont="1" applyFill="1" applyBorder="1" applyProtection="1"/>
    <xf numFmtId="3" fontId="45" fillId="21" borderId="37" xfId="14" applyNumberFormat="1" applyFont="1" applyFill="1" applyBorder="1" applyProtection="1"/>
    <xf numFmtId="0" fontId="35" fillId="9" borderId="0" xfId="14" applyNumberFormat="1" applyFont="1" applyFill="1" applyBorder="1" applyProtection="1"/>
    <xf numFmtId="0" fontId="35" fillId="9" borderId="0" xfId="14" applyNumberFormat="1" applyFont="1" applyFill="1" applyBorder="1" applyProtection="1"/>
    <xf numFmtId="0" fontId="20" fillId="9" borderId="0" xfId="14" applyNumberFormat="1" applyFont="1" applyFill="1" applyBorder="1" applyProtection="1"/>
    <xf numFmtId="0" fontId="20" fillId="0" borderId="20" xfId="14" applyNumberFormat="1" applyFont="1" applyFill="1" applyBorder="1" applyProtection="1"/>
    <xf numFmtId="3" fontId="20" fillId="0" borderId="21" xfId="14" applyNumberFormat="1" applyFont="1" applyFill="1" applyBorder="1" applyProtection="1"/>
    <xf numFmtId="0" fontId="46" fillId="0" borderId="4" xfId="14" applyNumberFormat="1" applyFont="1" applyFill="1" applyBorder="1" applyProtection="1"/>
    <xf numFmtId="3" fontId="45" fillId="9" borderId="4" xfId="14" applyNumberFormat="1" applyFont="1" applyFill="1" applyBorder="1" applyProtection="1"/>
    <xf numFmtId="0" fontId="20" fillId="0" borderId="24" xfId="14" applyNumberFormat="1" applyFont="1" applyFill="1" applyBorder="1" applyProtection="1"/>
    <xf numFmtId="3" fontId="20" fillId="0" borderId="26" xfId="14" applyNumberFormat="1" applyFont="1" applyFill="1" applyBorder="1" applyProtection="1"/>
    <xf numFmtId="0" fontId="45" fillId="0" borderId="4" xfId="14" applyNumberFormat="1" applyFont="1" applyFill="1" applyBorder="1" applyProtection="1"/>
    <xf numFmtId="0" fontId="47" fillId="9" borderId="0" xfId="14" applyNumberFormat="1" applyFont="1" applyFill="1" applyBorder="1" applyProtection="1"/>
    <xf numFmtId="0" fontId="45" fillId="21" borderId="35" xfId="14" applyNumberFormat="1" applyFont="1" applyFill="1" applyBorder="1" applyProtection="1"/>
    <xf numFmtId="3" fontId="45" fillId="21" borderId="7" xfId="14" applyNumberFormat="1" applyFont="1" applyFill="1" applyBorder="1" applyProtection="1"/>
    <xf numFmtId="3" fontId="45" fillId="0" borderId="0" xfId="14" applyNumberFormat="1" applyFont="1" applyFill="1" applyBorder="1" applyProtection="1"/>
    <xf numFmtId="0" fontId="45" fillId="21" borderId="4" xfId="14" applyNumberFormat="1" applyFont="1" applyFill="1" applyBorder="1" applyProtection="1"/>
    <xf numFmtId="3" fontId="45" fillId="21" borderId="4" xfId="14" applyNumberFormat="1" applyFont="1" applyFill="1" applyBorder="1" applyProtection="1"/>
    <xf numFmtId="0" fontId="45" fillId="0" borderId="42" xfId="14" applyNumberFormat="1" applyFont="1" applyFill="1" applyBorder="1" applyProtection="1"/>
    <xf numFmtId="3" fontId="45" fillId="20" borderId="46" xfId="14" applyNumberFormat="1" applyFont="1" applyFill="1" applyBorder="1" applyProtection="1"/>
    <xf numFmtId="0" fontId="46" fillId="0" borderId="20" xfId="14" applyNumberFormat="1" applyFont="1" applyFill="1" applyBorder="1" applyProtection="1"/>
    <xf numFmtId="3" fontId="46" fillId="20" borderId="47" xfId="14" applyNumberFormat="1" applyFont="1" applyFill="1" applyBorder="1" applyProtection="1"/>
    <xf numFmtId="0" fontId="45" fillId="20" borderId="4" xfId="14" applyNumberFormat="1" applyFont="1" applyFill="1" applyBorder="1" applyProtection="1"/>
    <xf numFmtId="0" fontId="46" fillId="0" borderId="24" xfId="14" applyNumberFormat="1" applyFont="1" applyFill="1" applyBorder="1" applyProtection="1"/>
    <xf numFmtId="3" fontId="46" fillId="0" borderId="48" xfId="14" applyNumberFormat="1" applyFont="1" applyFill="1" applyBorder="1" applyProtection="1"/>
    <xf numFmtId="0" fontId="45" fillId="0" borderId="35" xfId="14" applyNumberFormat="1" applyFont="1" applyFill="1" applyBorder="1" applyProtection="1"/>
    <xf numFmtId="0" fontId="45" fillId="0" borderId="35" xfId="14" applyNumberFormat="1" applyFont="1" applyFill="1" applyBorder="1" applyProtection="1"/>
    <xf numFmtId="0" fontId="45" fillId="22" borderId="35" xfId="14" applyNumberFormat="1" applyFont="1" applyFill="1" applyBorder="1" applyProtection="1"/>
    <xf numFmtId="3" fontId="45" fillId="22" borderId="7" xfId="14" applyNumberFormat="1" applyFont="1" applyFill="1" applyBorder="1" applyProtection="1"/>
    <xf numFmtId="1" fontId="45" fillId="20" borderId="4" xfId="14" applyNumberFormat="1" applyFont="1" applyFill="1" applyBorder="1" applyProtection="1"/>
    <xf numFmtId="0" fontId="45" fillId="23" borderId="35" xfId="14" applyNumberFormat="1" applyFont="1" applyFill="1" applyBorder="1" applyProtection="1"/>
    <xf numFmtId="3" fontId="45" fillId="23" borderId="7" xfId="14" applyNumberFormat="1" applyFont="1" applyFill="1" applyBorder="1" applyProtection="1"/>
    <xf numFmtId="0" fontId="44" fillId="21" borderId="35" xfId="14" applyNumberFormat="1" applyFont="1" applyFill="1" applyBorder="1" applyProtection="1"/>
    <xf numFmtId="3" fontId="44" fillId="21" borderId="7" xfId="14" applyNumberFormat="1" applyFont="1" applyFill="1" applyBorder="1" applyProtection="1"/>
    <xf numFmtId="1" fontId="45" fillId="0" borderId="4" xfId="14" applyNumberFormat="1" applyFont="1" applyFill="1" applyBorder="1" applyProtection="1"/>
    <xf numFmtId="0" fontId="46" fillId="0" borderId="42" xfId="14" applyNumberFormat="1" applyFont="1" applyFill="1" applyBorder="1" applyProtection="1"/>
    <xf numFmtId="3" fontId="46" fillId="0" borderId="21" xfId="14" applyNumberFormat="1" applyFont="1" applyFill="1" applyBorder="1" applyProtection="1"/>
    <xf numFmtId="0" fontId="45" fillId="0" borderId="44" xfId="14" applyNumberFormat="1" applyFont="1" applyFill="1" applyBorder="1" applyProtection="1"/>
    <xf numFmtId="0" fontId="46" fillId="0" borderId="22" xfId="14" applyNumberFormat="1" applyFont="1" applyFill="1" applyBorder="1" applyProtection="1"/>
    <xf numFmtId="3" fontId="46" fillId="20" borderId="61" xfId="14" applyNumberFormat="1" applyFont="1" applyFill="1" applyBorder="1" applyProtection="1"/>
    <xf numFmtId="0" fontId="44" fillId="9" borderId="18" xfId="14" applyNumberFormat="1" applyFont="1" applyFill="1" applyBorder="1" applyAlignment="1" applyProtection="1">
      <alignment horizontal="left"/>
    </xf>
    <xf numFmtId="0" fontId="45" fillId="9" borderId="15" xfId="14" applyNumberFormat="1" applyFont="1" applyFill="1" applyBorder="1" applyProtection="1"/>
    <xf numFmtId="0" fontId="45" fillId="9" borderId="8" xfId="14" applyNumberFormat="1" applyFont="1" applyFill="1" applyBorder="1" applyProtection="1"/>
    <xf numFmtId="0" fontId="45" fillId="9" borderId="52" xfId="14" applyNumberFormat="1" applyFont="1" applyFill="1" applyBorder="1" applyProtection="1"/>
    <xf numFmtId="3" fontId="45" fillId="9" borderId="8" xfId="14" applyNumberFormat="1" applyFont="1" applyFill="1" applyBorder="1" applyProtection="1"/>
    <xf numFmtId="0" fontId="45" fillId="9" borderId="16" xfId="14" applyNumberFormat="1" applyFont="1" applyFill="1" applyBorder="1" applyProtection="1"/>
    <xf numFmtId="166" fontId="34" fillId="9" borderId="27" xfId="14" applyNumberFormat="1" applyFont="1" applyFill="1" applyBorder="1" applyAlignment="1" applyProtection="1">
      <alignment horizontal="right"/>
    </xf>
    <xf numFmtId="0" fontId="34" fillId="9" borderId="17" xfId="14" applyNumberFormat="1" applyFont="1" applyFill="1" applyBorder="1" applyProtection="1"/>
    <xf numFmtId="1" fontId="45" fillId="0" borderId="24" xfId="14" applyNumberFormat="1" applyFont="1" applyFill="1" applyBorder="1" applyAlignment="1" applyProtection="1">
      <alignment horizontal="center"/>
    </xf>
    <xf numFmtId="1" fontId="45" fillId="20" borderId="26" xfId="14" applyNumberFormat="1" applyFont="1" applyFill="1" applyBorder="1" applyAlignment="1" applyProtection="1">
      <alignment horizontal="center"/>
    </xf>
    <xf numFmtId="0" fontId="45" fillId="9" borderId="68" xfId="14" applyNumberFormat="1" applyFont="1" applyFill="1" applyBorder="1" applyProtection="1"/>
    <xf numFmtId="3" fontId="45" fillId="9" borderId="17" xfId="14" applyNumberFormat="1" applyFont="1" applyFill="1" applyBorder="1" applyProtection="1"/>
    <xf numFmtId="0" fontId="48" fillId="21" borderId="35" xfId="14" applyNumberFormat="1" applyFont="1" applyFill="1" applyBorder="1" applyProtection="1"/>
    <xf numFmtId="0" fontId="48" fillId="19" borderId="14" xfId="14" applyNumberFormat="1" applyFont="1" applyFill="1" applyBorder="1" applyProtection="1"/>
    <xf numFmtId="3" fontId="44" fillId="19" borderId="37" xfId="14" applyNumberFormat="1" applyFont="1" applyFill="1" applyBorder="1" applyProtection="1"/>
    <xf numFmtId="165" fontId="0" fillId="16" borderId="9" xfId="0" applyNumberFormat="1" applyFont="1" applyFill="1" applyBorder="1" applyAlignment="1" applyProtection="1">
      <alignment horizontal="center"/>
    </xf>
    <xf numFmtId="165" fontId="0" fillId="16" borderId="13" xfId="0" applyNumberFormat="1" applyFont="1" applyFill="1" applyBorder="1" applyAlignment="1" applyProtection="1">
      <alignment horizontal="center"/>
    </xf>
    <xf numFmtId="165" fontId="0" fillId="16" borderId="45" xfId="0" applyNumberFormat="1" applyFont="1" applyFill="1" applyBorder="1" applyAlignment="1" applyProtection="1">
      <alignment horizontal="center"/>
    </xf>
    <xf numFmtId="165" fontId="0" fillId="16" borderId="34" xfId="0" applyNumberFormat="1" applyFont="1" applyFill="1" applyBorder="1" applyAlignment="1" applyProtection="1">
      <alignment horizontal="center"/>
    </xf>
    <xf numFmtId="174" fontId="0" fillId="16" borderId="45" xfId="0" applyNumberFormat="1" applyFont="1" applyFill="1" applyBorder="1" applyAlignment="1" applyProtection="1">
      <alignment horizontal="center"/>
    </xf>
    <xf numFmtId="174" fontId="0" fillId="16" borderId="32" xfId="0" applyNumberFormat="1" applyFont="1" applyFill="1" applyBorder="1" applyAlignment="1" applyProtection="1">
      <alignment horizontal="center"/>
    </xf>
    <xf numFmtId="174" fontId="0" fillId="16" borderId="34" xfId="0" applyNumberFormat="1" applyFont="1" applyFill="1" applyBorder="1" applyAlignment="1" applyProtection="1">
      <alignment horizontal="center"/>
    </xf>
    <xf numFmtId="10" fontId="0" fillId="16" borderId="6" xfId="10" applyNumberFormat="1" applyFont="1" applyFill="1" applyBorder="1" applyAlignment="1" applyProtection="1">
      <alignment horizontal="center"/>
    </xf>
    <xf numFmtId="0" fontId="0" fillId="14" borderId="6" xfId="0" applyNumberFormat="1" applyFont="1" applyFill="1" applyBorder="1" applyProtection="1">
      <alignment vertical="center"/>
    </xf>
    <xf numFmtId="165" fontId="0" fillId="14" borderId="6" xfId="0" applyNumberFormat="1" applyFont="1" applyFill="1" applyBorder="1" applyAlignment="1" applyProtection="1">
      <alignment horizontal="center"/>
    </xf>
    <xf numFmtId="165" fontId="20" fillId="14" borderId="6" xfId="0" applyNumberFormat="1" applyFont="1" applyFill="1" applyBorder="1" applyAlignment="1" applyProtection="1">
      <alignment horizontal="center"/>
    </xf>
    <xf numFmtId="0" fontId="7" fillId="14" borderId="6" xfId="12" applyNumberFormat="1" applyFont="1" applyFill="1" applyBorder="1" applyAlignment="1" applyProtection="1">
      <alignment horizontal="center"/>
    </xf>
    <xf numFmtId="0" fontId="7" fillId="14" borderId="6" xfId="12" applyNumberFormat="1" applyFont="1" applyFill="1" applyBorder="1" applyProtection="1"/>
    <xf numFmtId="0" fontId="7" fillId="14" borderId="14" xfId="12" applyNumberFormat="1" applyFont="1" applyFill="1" applyBorder="1" applyAlignment="1" applyProtection="1">
      <alignment horizontal="center" vertical="center"/>
    </xf>
    <xf numFmtId="0" fontId="7" fillId="14" borderId="6" xfId="12" applyNumberFormat="1" applyFont="1" applyFill="1" applyBorder="1" applyAlignment="1" applyProtection="1">
      <alignment horizontal="center" vertical="center"/>
    </xf>
    <xf numFmtId="0" fontId="20" fillId="14" borderId="6" xfId="12" applyNumberFormat="1" applyFont="1" applyFill="1" applyBorder="1" applyAlignment="1" applyProtection="1">
      <alignment horizontal="center"/>
    </xf>
    <xf numFmtId="0" fontId="20" fillId="14" borderId="6" xfId="12" applyNumberFormat="1" applyFont="1" applyFill="1" applyBorder="1" applyProtection="1"/>
    <xf numFmtId="1" fontId="0" fillId="14" borderId="7" xfId="7" applyNumberFormat="1" applyFont="1" applyFill="1" applyBorder="1" applyAlignment="1" applyProtection="1">
      <alignment horizontal="center" vertical="center"/>
    </xf>
    <xf numFmtId="0" fontId="7" fillId="15" borderId="6" xfId="12" applyNumberFormat="1" applyFont="1" applyFill="1" applyBorder="1" applyAlignment="1" applyProtection="1">
      <alignment horizontal="center"/>
    </xf>
    <xf numFmtId="0" fontId="7" fillId="15" borderId="6" xfId="12" applyNumberFormat="1" applyFont="1" applyFill="1" applyBorder="1" applyProtection="1"/>
    <xf numFmtId="164" fontId="7" fillId="15" borderId="6" xfId="7" applyNumberFormat="1" applyFont="1" applyFill="1" applyBorder="1" applyAlignment="1" applyProtection="1">
      <alignment horizontal="center"/>
    </xf>
    <xf numFmtId="1" fontId="7" fillId="15" borderId="6" xfId="7" applyNumberFormat="1" applyFont="1" applyFill="1" applyBorder="1" applyAlignment="1" applyProtection="1">
      <alignment horizontal="center"/>
    </xf>
    <xf numFmtId="4" fontId="19" fillId="4" borderId="0" xfId="0" applyNumberFormat="1" applyFont="1" applyFill="1" applyBorder="1" applyAlignment="1" applyProtection="1">
      <alignment horizontal="center"/>
    </xf>
    <xf numFmtId="4" fontId="19" fillId="9" borderId="4" xfId="0" applyNumberFormat="1" applyFont="1" applyFill="1" applyBorder="1" applyProtection="1">
      <alignment vertical="center"/>
    </xf>
    <xf numFmtId="4" fontId="0" fillId="4" borderId="4" xfId="0" applyNumberFormat="1" applyFont="1" applyFill="1" applyBorder="1" applyProtection="1">
      <alignment vertical="center"/>
    </xf>
    <xf numFmtId="4" fontId="0" fillId="4" borderId="5" xfId="0" applyNumberFormat="1" applyFont="1" applyFill="1" applyBorder="1" applyProtection="1">
      <alignment vertical="center"/>
    </xf>
    <xf numFmtId="4" fontId="0" fillId="0" borderId="0" xfId="0" applyNumberFormat="1" applyFont="1" applyFill="1" applyBorder="1" applyProtection="1">
      <alignment vertical="center"/>
    </xf>
    <xf numFmtId="4" fontId="0" fillId="16" borderId="4" xfId="0" applyNumberFormat="1" applyFont="1" applyFill="1" applyBorder="1" applyProtection="1">
      <alignment vertical="center"/>
    </xf>
    <xf numFmtId="4" fontId="0" fillId="9" borderId="23" xfId="0" applyNumberFormat="1" applyFont="1" applyFill="1" applyBorder="1" applyProtection="1">
      <alignment vertical="center"/>
    </xf>
    <xf numFmtId="0" fontId="0" fillId="4" borderId="3" xfId="0" applyNumberFormat="1" applyFont="1" applyFill="1" applyBorder="1" applyProtection="1">
      <alignment vertical="center"/>
    </xf>
    <xf numFmtId="0" fontId="0" fillId="4" borderId="1" xfId="0" applyNumberFormat="1" applyFont="1" applyFill="1" applyBorder="1" applyProtection="1">
      <alignment vertical="center"/>
    </xf>
    <xf numFmtId="4" fontId="0" fillId="4" borderId="3" xfId="0" applyNumberFormat="1" applyFont="1" applyFill="1" applyBorder="1" applyProtection="1">
      <alignment vertical="center"/>
    </xf>
    <xf numFmtId="0" fontId="7" fillId="9" borderId="4" xfId="0" applyNumberFormat="1" applyFont="1" applyFill="1" applyBorder="1" applyAlignment="1" applyProtection="1">
      <alignment horizontal="center" vertical="center"/>
    </xf>
    <xf numFmtId="0" fontId="20" fillId="14" borderId="1" xfId="0" applyNumberFormat="1" applyFont="1" applyFill="1" applyBorder="1" applyAlignment="1" applyProtection="1">
      <alignment horizontal="center" vertical="center" wrapText="1"/>
    </xf>
    <xf numFmtId="4" fontId="0" fillId="9" borderId="0" xfId="0" applyNumberFormat="1" applyFont="1" applyFill="1" applyBorder="1" applyAlignment="1" applyProtection="1">
      <alignment vertical="center"/>
    </xf>
    <xf numFmtId="3" fontId="19" fillId="10" borderId="4" xfId="10" applyNumberFormat="1" applyFont="1" applyFill="1" applyBorder="1" applyAlignment="1" applyProtection="1">
      <alignment horizontal="center"/>
    </xf>
    <xf numFmtId="3" fontId="4" fillId="4" borderId="23" xfId="10" applyNumberFormat="1" applyFont="1" applyFill="1" applyBorder="1" applyAlignment="1" applyProtection="1">
      <alignment horizontal="center"/>
    </xf>
    <xf numFmtId="0" fontId="20" fillId="0" borderId="0" xfId="0" applyNumberFormat="1" applyFont="1" applyFill="1" applyBorder="1" applyProtection="1">
      <alignment vertical="center"/>
    </xf>
    <xf numFmtId="0" fontId="0" fillId="0" borderId="0" xfId="0" applyNumberFormat="1" applyFont="1" applyFill="1" applyBorder="1" applyProtection="1">
      <alignment vertical="center"/>
    </xf>
    <xf numFmtId="0" fontId="7" fillId="0" borderId="0" xfId="0" applyNumberFormat="1" applyFont="1" applyFill="1" applyBorder="1" applyProtection="1">
      <alignment vertical="center"/>
    </xf>
    <xf numFmtId="10" fontId="0" fillId="9" borderId="12" xfId="0" applyNumberFormat="1" applyFont="1" applyFill="1" applyBorder="1" applyProtection="1">
      <alignment vertical="center"/>
    </xf>
    <xf numFmtId="3" fontId="0" fillId="4" borderId="12" xfId="0" applyNumberFormat="1" applyFont="1" applyFill="1" applyBorder="1" applyProtection="1">
      <alignment vertical="center"/>
    </xf>
    <xf numFmtId="4" fontId="0" fillId="4" borderId="12" xfId="0" applyNumberFormat="1" applyFont="1" applyFill="1" applyBorder="1" applyProtection="1">
      <alignment vertical="center"/>
    </xf>
    <xf numFmtId="165" fontId="0" fillId="0" borderId="9" xfId="0" applyNumberFormat="1" applyFont="1" applyFill="1" applyBorder="1" applyAlignment="1" applyProtection="1">
      <alignment horizontal="center"/>
    </xf>
    <xf numFmtId="165" fontId="0" fillId="0" borderId="13" xfId="0" applyNumberFormat="1" applyFont="1" applyFill="1" applyBorder="1" applyAlignment="1" applyProtection="1">
      <alignment horizontal="center"/>
    </xf>
    <xf numFmtId="165" fontId="0" fillId="0" borderId="45" xfId="0" applyNumberFormat="1" applyFont="1" applyFill="1" applyBorder="1" applyAlignment="1" applyProtection="1">
      <alignment horizontal="center"/>
    </xf>
    <xf numFmtId="165" fontId="0" fillId="0" borderId="34" xfId="0" applyNumberFormat="1" applyFont="1" applyFill="1" applyBorder="1" applyAlignment="1" applyProtection="1">
      <alignment horizontal="center"/>
    </xf>
    <xf numFmtId="165" fontId="7" fillId="0" borderId="0" xfId="0" applyNumberFormat="1" applyFont="1" applyFill="1" applyBorder="1" applyAlignment="1" applyProtection="1">
      <alignment horizontal="center"/>
    </xf>
    <xf numFmtId="4" fontId="0" fillId="4" borderId="0" xfId="0" applyNumberFormat="1" applyFont="1" applyFill="1" applyBorder="1" applyAlignment="1" applyProtection="1">
      <alignment horizontal="right"/>
    </xf>
    <xf numFmtId="165" fontId="0" fillId="4" borderId="0" xfId="0" applyNumberFormat="1" applyFont="1" applyFill="1" applyBorder="1" applyAlignment="1" applyProtection="1">
      <alignment horizontal="right"/>
    </xf>
    <xf numFmtId="0" fontId="0" fillId="4" borderId="0" xfId="0" applyNumberFormat="1" applyFont="1" applyFill="1" applyBorder="1" applyAlignment="1" applyProtection="1">
      <alignment horizontal="right"/>
    </xf>
    <xf numFmtId="10" fontId="0" fillId="9" borderId="0" xfId="0" applyNumberFormat="1" applyFont="1" applyFill="1" applyBorder="1" applyAlignment="1" applyProtection="1">
      <alignment horizontal="right"/>
    </xf>
    <xf numFmtId="0" fontId="7" fillId="0" borderId="0" xfId="0" applyNumberFormat="1" applyFont="1" applyFill="1" applyBorder="1" applyAlignment="1" applyProtection="1">
      <alignment horizontal="center"/>
    </xf>
    <xf numFmtId="167" fontId="7" fillId="0" borderId="0" xfId="0" applyNumberFormat="1" applyFont="1" applyFill="1" applyBorder="1" applyAlignment="1" applyProtection="1">
      <alignment horizontal="center"/>
    </xf>
    <xf numFmtId="0" fontId="19" fillId="0" borderId="4" xfId="0" applyNumberFormat="1" applyFont="1" applyFill="1" applyBorder="1" applyProtection="1">
      <alignment vertical="center"/>
    </xf>
    <xf numFmtId="0" fontId="0" fillId="4" borderId="4" xfId="0" applyNumberFormat="1" applyFont="1" applyFill="1" applyBorder="1" applyProtection="1">
      <alignment vertical="center"/>
    </xf>
    <xf numFmtId="1" fontId="19" fillId="0" borderId="4" xfId="0" applyNumberFormat="1" applyFont="1" applyFill="1" applyBorder="1" applyAlignment="1" applyProtection="1">
      <alignment horizontal="center"/>
    </xf>
    <xf numFmtId="0" fontId="21" fillId="0" borderId="0" xfId="0" applyNumberFormat="1" applyFont="1" applyFill="1" applyBorder="1" applyAlignment="1" applyProtection="1">
      <alignment horizontal="center" vertical="center"/>
    </xf>
    <xf numFmtId="0" fontId="20" fillId="0" borderId="0" xfId="0" applyNumberFormat="1" applyFont="1" applyFill="1" applyBorder="1" applyAlignment="1" applyProtection="1">
      <alignment horizontal="center" vertical="center"/>
    </xf>
    <xf numFmtId="0" fontId="20" fillId="0" borderId="4" xfId="0" applyNumberFormat="1" applyFont="1" applyFill="1" applyBorder="1" applyAlignment="1" applyProtection="1">
      <alignment vertical="center"/>
    </xf>
    <xf numFmtId="0" fontId="0" fillId="0" borderId="4" xfId="0" applyNumberFormat="1" applyFont="1" applyFill="1" applyBorder="1" applyAlignment="1" applyProtection="1">
      <alignment vertical="center"/>
    </xf>
    <xf numFmtId="0" fontId="20" fillId="0" borderId="1" xfId="0" applyNumberFormat="1" applyFont="1" applyFill="1" applyBorder="1" applyAlignment="1" applyProtection="1">
      <alignment vertical="center"/>
    </xf>
    <xf numFmtId="0" fontId="20" fillId="0" borderId="4" xfId="0" applyNumberFormat="1" applyFont="1" applyFill="1" applyBorder="1" applyAlignment="1" applyProtection="1">
      <alignment horizontal="center" vertical="center"/>
    </xf>
    <xf numFmtId="0" fontId="7" fillId="0" borderId="4" xfId="0" applyNumberFormat="1" applyFont="1" applyFill="1" applyBorder="1" applyAlignment="1" applyProtection="1">
      <alignment vertical="center"/>
    </xf>
    <xf numFmtId="4" fontId="0" fillId="0" borderId="4" xfId="0" applyNumberFormat="1" applyFont="1" applyFill="1" applyBorder="1" applyAlignment="1" applyProtection="1">
      <alignment vertical="center"/>
    </xf>
    <xf numFmtId="10" fontId="0" fillId="0" borderId="4" xfId="0" applyNumberFormat="1" applyFont="1" applyFill="1" applyBorder="1" applyAlignment="1" applyProtection="1">
      <alignment vertical="center"/>
    </xf>
    <xf numFmtId="0" fontId="20" fillId="0" borderId="4" xfId="0" applyNumberFormat="1" applyFont="1" applyFill="1" applyBorder="1" applyAlignment="1" applyProtection="1">
      <alignment horizontal="center" vertical="center"/>
    </xf>
    <xf numFmtId="4" fontId="35" fillId="0" borderId="4" xfId="0" applyNumberFormat="1" applyFont="1" applyFill="1" applyBorder="1" applyAlignment="1" applyProtection="1">
      <alignment vertical="center"/>
    </xf>
    <xf numFmtId="10" fontId="7" fillId="0" borderId="4" xfId="0" applyNumberFormat="1" applyFont="1" applyFill="1" applyBorder="1" applyAlignment="1" applyProtection="1">
      <alignment vertical="center"/>
    </xf>
    <xf numFmtId="4" fontId="7" fillId="0" borderId="4" xfId="0" applyNumberFormat="1" applyFont="1" applyFill="1" applyBorder="1" applyAlignment="1" applyProtection="1">
      <alignment vertical="center"/>
    </xf>
    <xf numFmtId="4" fontId="7" fillId="21" borderId="4" xfId="0" applyNumberFormat="1" applyFont="1" applyFill="1" applyBorder="1" applyAlignment="1" applyProtection="1">
      <alignment vertical="center"/>
    </xf>
    <xf numFmtId="10" fontId="7" fillId="21" borderId="4" xfId="0" applyNumberFormat="1" applyFont="1" applyFill="1" applyBorder="1" applyAlignment="1" applyProtection="1">
      <alignment vertical="center"/>
    </xf>
    <xf numFmtId="1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10" fontId="20" fillId="0" borderId="4" xfId="0" applyNumberFormat="1" applyFont="1" applyFill="1" applyBorder="1" applyAlignment="1" applyProtection="1">
      <alignment vertical="center"/>
    </xf>
    <xf numFmtId="4" fontId="20" fillId="0" borderId="4" xfId="0" applyNumberFormat="1" applyFont="1" applyFill="1" applyBorder="1" applyAlignment="1" applyProtection="1">
      <alignment vertical="center"/>
    </xf>
    <xf numFmtId="0" fontId="21" fillId="0" borderId="4" xfId="0" applyNumberFormat="1" applyFont="1" applyFill="1" applyBorder="1" applyAlignment="1" applyProtection="1">
      <alignment horizontal="center" vertical="center"/>
    </xf>
    <xf numFmtId="4" fontId="7" fillId="0" borderId="4" xfId="0" applyNumberFormat="1" applyFont="1" applyFill="1" applyBorder="1" applyAlignment="1" applyProtection="1">
      <alignment vertical="center"/>
    </xf>
    <xf numFmtId="10" fontId="7" fillId="0" borderId="4" xfId="0" applyNumberFormat="1" applyFont="1" applyFill="1" applyBorder="1" applyAlignment="1" applyProtection="1">
      <alignment vertical="center"/>
    </xf>
    <xf numFmtId="4" fontId="0" fillId="21" borderId="4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10" fontId="34" fillId="0" borderId="4" xfId="0" applyNumberFormat="1" applyFont="1" applyFill="1" applyBorder="1" applyAlignment="1" applyProtection="1">
      <alignment vertical="center"/>
    </xf>
    <xf numFmtId="4" fontId="34" fillId="0" borderId="4" xfId="0" applyNumberFormat="1" applyFont="1" applyFill="1" applyBorder="1" applyAlignment="1" applyProtection="1">
      <alignment vertical="center"/>
    </xf>
    <xf numFmtId="4" fontId="44" fillId="0" borderId="4" xfId="0" applyNumberFormat="1" applyFont="1" applyFill="1" applyBorder="1" applyAlignment="1" applyProtection="1">
      <alignment vertical="center"/>
    </xf>
    <xf numFmtId="10" fontId="7" fillId="25" borderId="4" xfId="0" applyNumberFormat="1" applyFont="1" applyFill="1" applyBorder="1" applyAlignment="1" applyProtection="1">
      <alignment vertical="center"/>
    </xf>
    <xf numFmtId="4" fontId="45" fillId="0" borderId="4" xfId="0" applyNumberFormat="1" applyFont="1" applyFill="1" applyBorder="1" applyAlignment="1" applyProtection="1">
      <alignment vertical="center"/>
    </xf>
    <xf numFmtId="4" fontId="45" fillId="21" borderId="4" xfId="0" applyNumberFormat="1" applyFont="1" applyFill="1" applyBorder="1" applyAlignment="1" applyProtection="1">
      <alignment vertical="center"/>
    </xf>
    <xf numFmtId="10" fontId="45" fillId="0" borderId="4" xfId="0" applyNumberFormat="1" applyFont="1" applyFill="1" applyBorder="1" applyAlignment="1" applyProtection="1">
      <alignment vertical="center"/>
    </xf>
    <xf numFmtId="10" fontId="44" fillId="0" borderId="4" xfId="0" applyNumberFormat="1" applyFont="1" applyFill="1" applyBorder="1" applyAlignment="1" applyProtection="1">
      <alignment vertical="center"/>
    </xf>
    <xf numFmtId="0" fontId="20" fillId="0" borderId="1" xfId="0" applyNumberFormat="1" applyFont="1" applyFill="1" applyBorder="1" applyAlignment="1" applyProtection="1">
      <alignment horizontal="center" vertical="center"/>
    </xf>
    <xf numFmtId="0" fontId="20" fillId="0" borderId="0" xfId="0" applyNumberFormat="1" applyFont="1" applyFill="1" applyBorder="1" applyAlignment="1" applyProtection="1">
      <alignment horizontal="center" vertical="center"/>
    </xf>
    <xf numFmtId="10" fontId="0" fillId="0" borderId="0" xfId="0" applyNumberFormat="1" applyFont="1" applyFill="1" applyBorder="1" applyAlignment="1" applyProtection="1">
      <alignment vertical="center"/>
    </xf>
    <xf numFmtId="10" fontId="7" fillId="0" borderId="0" xfId="0" applyNumberFormat="1" applyFont="1" applyFill="1" applyBorder="1" applyAlignment="1" applyProtection="1">
      <alignment vertical="center"/>
    </xf>
    <xf numFmtId="0" fontId="20" fillId="0" borderId="55" xfId="0" applyNumberFormat="1" applyFont="1" applyFill="1" applyBorder="1" applyAlignment="1" applyProtection="1">
      <alignment horizontal="center" vertical="center"/>
    </xf>
    <xf numFmtId="4" fontId="0" fillId="0" borderId="55" xfId="0" applyNumberFormat="1" applyFont="1" applyFill="1" applyBorder="1" applyAlignment="1" applyProtection="1">
      <alignment vertical="center"/>
    </xf>
    <xf numFmtId="4" fontId="7" fillId="0" borderId="55" xfId="0" applyNumberFormat="1" applyFont="1" applyFill="1" applyBorder="1" applyAlignment="1" applyProtection="1">
      <alignment vertical="center"/>
    </xf>
    <xf numFmtId="0" fontId="0" fillId="0" borderId="55" xfId="0" applyNumberFormat="1" applyFont="1" applyFill="1" applyBorder="1" applyAlignment="1" applyProtection="1">
      <alignment vertical="center"/>
    </xf>
    <xf numFmtId="4" fontId="20" fillId="0" borderId="1" xfId="0" applyNumberFormat="1" applyFont="1" applyFill="1" applyBorder="1" applyAlignment="1" applyProtection="1">
      <alignment horizontal="right" vertical="center"/>
    </xf>
    <xf numFmtId="4" fontId="20" fillId="0" borderId="4" xfId="0" applyNumberFormat="1" applyFont="1" applyFill="1" applyBorder="1" applyAlignment="1" applyProtection="1">
      <alignment horizontal="right" vertical="center"/>
    </xf>
    <xf numFmtId="0" fontId="7" fillId="0" borderId="1" xfId="0" applyNumberFormat="1" applyFont="1" applyFill="1" applyBorder="1" applyAlignment="1" applyProtection="1">
      <alignment vertical="center"/>
    </xf>
    <xf numFmtId="0" fontId="20" fillId="0" borderId="0" xfId="0" applyNumberFormat="1" applyFont="1" applyFill="1" applyBorder="1" applyAlignment="1" applyProtection="1">
      <alignment vertical="center"/>
    </xf>
    <xf numFmtId="4" fontId="2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4" fontId="20" fillId="0" borderId="2" xfId="0" applyNumberFormat="1" applyFont="1" applyFill="1" applyBorder="1" applyAlignment="1" applyProtection="1">
      <alignment vertical="center"/>
    </xf>
    <xf numFmtId="0" fontId="21" fillId="0" borderId="0" xfId="0" applyNumberFormat="1" applyFont="1" applyFill="1" applyBorder="1" applyAlignment="1" applyProtection="1">
      <alignment horizontal="center" vertical="center"/>
    </xf>
    <xf numFmtId="2" fontId="0" fillId="0" borderId="4" xfId="0" applyNumberFormat="1" applyFont="1" applyFill="1" applyBorder="1" applyAlignment="1" applyProtection="1">
      <alignment vertical="center"/>
    </xf>
    <xf numFmtId="0" fontId="20" fillId="4" borderId="0" xfId="0" applyNumberFormat="1" applyFont="1" applyFill="1" applyBorder="1" applyAlignment="1" applyProtection="1">
      <alignment horizontal="left" vertical="center"/>
    </xf>
    <xf numFmtId="4" fontId="34" fillId="0" borderId="0" xfId="0" applyNumberFormat="1" applyFont="1" applyFill="1" applyBorder="1" applyAlignment="1" applyProtection="1">
      <alignment horizontal="center"/>
    </xf>
    <xf numFmtId="4" fontId="7" fillId="0" borderId="0" xfId="0" applyNumberFormat="1" applyFont="1" applyFill="1" applyBorder="1" applyAlignment="1" applyProtection="1">
      <alignment horizontal="center"/>
    </xf>
    <xf numFmtId="0" fontId="4" fillId="4" borderId="0" xfId="0" applyNumberFormat="1" applyFont="1" applyFill="1" applyBorder="1" applyAlignment="1" applyProtection="1">
      <alignment vertical="center"/>
    </xf>
    <xf numFmtId="0" fontId="4" fillId="9" borderId="0" xfId="0" applyNumberFormat="1" applyFont="1" applyFill="1" applyBorder="1" applyProtection="1">
      <alignment vertical="center"/>
    </xf>
    <xf numFmtId="0" fontId="4" fillId="0" borderId="0" xfId="12" applyNumberFormat="1" applyFont="1" applyFill="1" applyBorder="1" applyProtection="1"/>
    <xf numFmtId="0" fontId="4" fillId="18" borderId="9" xfId="12" applyNumberFormat="1" applyFont="1" applyFill="1" applyBorder="1" applyAlignment="1" applyProtection="1">
      <alignment horizontal="center"/>
    </xf>
    <xf numFmtId="0" fontId="4" fillId="18" borderId="9" xfId="12" applyNumberFormat="1" applyFont="1" applyFill="1" applyBorder="1" applyProtection="1"/>
    <xf numFmtId="0" fontId="4" fillId="6" borderId="14" xfId="12" applyNumberFormat="1" applyFont="1" applyFill="1" applyBorder="1" applyProtection="1"/>
    <xf numFmtId="0" fontId="4" fillId="6" borderId="14" xfId="12" applyNumberFormat="1" applyFont="1" applyFill="1" applyBorder="1" applyAlignment="1" applyProtection="1">
      <alignment horizontal="center"/>
    </xf>
    <xf numFmtId="0" fontId="4" fillId="4" borderId="10" xfId="12" applyNumberFormat="1" applyFont="1" applyFill="1" applyBorder="1" applyAlignment="1" applyProtection="1">
      <alignment horizontal="center"/>
    </xf>
    <xf numFmtId="0" fontId="4" fillId="4" borderId="10" xfId="12" applyNumberFormat="1" applyFont="1" applyFill="1" applyBorder="1" applyProtection="1"/>
    <xf numFmtId="164" fontId="4" fillId="4" borderId="9" xfId="7" applyNumberFormat="1" applyFont="1" applyFill="1" applyBorder="1" applyAlignment="1" applyProtection="1">
      <alignment horizontal="center"/>
    </xf>
    <xf numFmtId="1" fontId="4" fillId="4" borderId="10" xfId="7" applyNumberFormat="1" applyFont="1" applyFill="1" applyBorder="1" applyAlignment="1" applyProtection="1">
      <alignment horizontal="center"/>
    </xf>
    <xf numFmtId="0" fontId="4" fillId="18" borderId="11" xfId="12" applyNumberFormat="1" applyFont="1" applyFill="1" applyBorder="1" applyAlignment="1" applyProtection="1">
      <alignment horizontal="center"/>
    </xf>
    <xf numFmtId="0" fontId="4" fillId="18" borderId="11" xfId="12" applyNumberFormat="1" applyFont="1" applyFill="1" applyBorder="1" applyProtection="1"/>
    <xf numFmtId="0" fontId="4" fillId="0" borderId="44" xfId="0" applyNumberFormat="1" applyFont="1" applyFill="1" applyBorder="1" applyAlignment="1" applyProtection="1">
      <alignment vertical="center" wrapText="1"/>
    </xf>
    <xf numFmtId="0" fontId="4" fillId="16" borderId="4" xfId="0" applyNumberFormat="1" applyFont="1" applyFill="1" applyBorder="1" applyAlignment="1" applyProtection="1">
      <alignment horizontal="center" vertical="center"/>
    </xf>
    <xf numFmtId="0" fontId="22" fillId="4" borderId="0" xfId="0" applyNumberFormat="1" applyFont="1" applyFill="1" applyBorder="1" applyAlignment="1" applyProtection="1">
      <alignment horizontal="left" vertical="center" wrapText="1"/>
    </xf>
    <xf numFmtId="164" fontId="52" fillId="4" borderId="9" xfId="7" applyNumberFormat="1" applyFont="1" applyFill="1" applyBorder="1" applyAlignment="1" applyProtection="1">
      <alignment horizontal="center"/>
    </xf>
    <xf numFmtId="0" fontId="4" fillId="0" borderId="0" xfId="0" quotePrefix="1" applyNumberFormat="1" applyFont="1" applyFill="1" applyBorder="1" applyAlignment="1" applyProtection="1">
      <alignment vertical="center" wrapText="1"/>
    </xf>
    <xf numFmtId="0" fontId="4" fillId="0" borderId="59" xfId="0" applyNumberFormat="1" applyFont="1" applyFill="1" applyBorder="1" applyAlignment="1" applyProtection="1">
      <alignment horizontal="center" vertical="center" wrapText="1"/>
    </xf>
    <xf numFmtId="0" fontId="4" fillId="0" borderId="23" xfId="0" applyNumberFormat="1" applyFont="1" applyFill="1" applyBorder="1" applyAlignment="1" applyProtection="1">
      <alignment horizontal="center" vertical="center" wrapText="1"/>
    </xf>
    <xf numFmtId="0" fontId="4" fillId="0" borderId="25" xfId="0" applyNumberFormat="1" applyFont="1" applyFill="1" applyBorder="1" applyAlignment="1" applyProtection="1">
      <alignment horizontal="center" vertical="center" wrapText="1"/>
    </xf>
    <xf numFmtId="0" fontId="4" fillId="0" borderId="21" xfId="0" applyNumberFormat="1" applyFont="1" applyFill="1" applyBorder="1" applyAlignment="1" applyProtection="1">
      <alignment vertical="center" wrapText="1"/>
    </xf>
    <xf numFmtId="0" fontId="0" fillId="0" borderId="22" xfId="0" applyNumberFormat="1" applyFont="1" applyFill="1" applyBorder="1" applyAlignment="1" applyProtection="1">
      <alignment vertical="center" wrapText="1"/>
    </xf>
    <xf numFmtId="0" fontId="0" fillId="0" borderId="61" xfId="0" applyNumberFormat="1" applyFont="1" applyFill="1" applyBorder="1" applyAlignment="1" applyProtection="1">
      <alignment vertical="center" wrapText="1"/>
    </xf>
    <xf numFmtId="0" fontId="4" fillId="0" borderId="61" xfId="0" applyNumberFormat="1" applyFont="1" applyFill="1" applyBorder="1" applyAlignment="1" applyProtection="1">
      <alignment vertical="center" wrapText="1"/>
    </xf>
    <xf numFmtId="0" fontId="4" fillId="0" borderId="22" xfId="0" applyNumberFormat="1" applyFont="1" applyFill="1" applyBorder="1" applyAlignment="1" applyProtection="1">
      <alignment horizontal="right" vertical="center" wrapText="1"/>
    </xf>
    <xf numFmtId="0" fontId="4" fillId="0" borderId="26" xfId="0" applyNumberFormat="1" applyFont="1" applyFill="1" applyBorder="1" applyAlignment="1" applyProtection="1">
      <alignment vertical="center" wrapText="1"/>
    </xf>
    <xf numFmtId="0" fontId="47" fillId="4" borderId="0" xfId="0" applyNumberFormat="1" applyFont="1" applyFill="1" applyBorder="1" applyAlignment="1" applyProtection="1">
      <alignment horizontal="center" vertical="center"/>
    </xf>
    <xf numFmtId="0" fontId="4" fillId="0" borderId="20" xfId="0" applyNumberFormat="1" applyFont="1" applyFill="1" applyBorder="1" applyAlignment="1" applyProtection="1">
      <alignment vertical="center" wrapText="1"/>
    </xf>
    <xf numFmtId="0" fontId="4" fillId="0" borderId="22" xfId="0" applyNumberFormat="1" applyFont="1" applyFill="1" applyBorder="1" applyAlignment="1" applyProtection="1">
      <alignment vertical="center" wrapText="1"/>
    </xf>
    <xf numFmtId="0" fontId="4" fillId="0" borderId="24" xfId="0" applyNumberFormat="1" applyFont="1" applyFill="1" applyBorder="1" applyAlignment="1" applyProtection="1">
      <alignment vertical="center" wrapText="1"/>
    </xf>
    <xf numFmtId="0" fontId="7" fillId="9" borderId="0" xfId="0" applyNumberFormat="1" applyFont="1" applyFill="1" applyBorder="1" applyAlignment="1" applyProtection="1">
      <alignment horizontal="center"/>
    </xf>
    <xf numFmtId="0" fontId="20" fillId="9" borderId="0" xfId="0" quotePrefix="1" applyNumberFormat="1" applyFont="1" applyFill="1" applyBorder="1" applyProtection="1">
      <alignment vertical="center"/>
    </xf>
    <xf numFmtId="180" fontId="20" fillId="9" borderId="0" xfId="0" applyNumberFormat="1" applyFont="1" applyFill="1" applyBorder="1" applyAlignment="1" applyProtection="1">
      <alignment horizontal="left"/>
    </xf>
    <xf numFmtId="181" fontId="20" fillId="9" borderId="0" xfId="0" applyNumberFormat="1" applyFont="1" applyFill="1" applyBorder="1" applyAlignment="1" applyProtection="1">
      <alignment horizontal="left"/>
    </xf>
    <xf numFmtId="182" fontId="20" fillId="9" borderId="0" xfId="0" applyNumberFormat="1" applyFont="1" applyFill="1" applyBorder="1" applyAlignment="1" applyProtection="1">
      <alignment horizontal="left"/>
    </xf>
    <xf numFmtId="183" fontId="20" fillId="9" borderId="0" xfId="0" applyNumberFormat="1" applyFont="1" applyFill="1" applyBorder="1" applyAlignment="1" applyProtection="1">
      <alignment horizontal="left"/>
    </xf>
    <xf numFmtId="0" fontId="7" fillId="9" borderId="0" xfId="0" applyNumberFormat="1" applyFont="1" applyFill="1" applyBorder="1" applyAlignment="1" applyProtection="1">
      <alignment horizontal="center" vertical="center"/>
    </xf>
    <xf numFmtId="0" fontId="0" fillId="9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14" borderId="4" xfId="0" applyNumberFormat="1" applyFont="1" applyFill="1" applyBorder="1" applyAlignment="1" applyProtection="1">
      <alignment horizontal="center" vertical="center" wrapText="1"/>
    </xf>
    <xf numFmtId="0" fontId="0" fillId="4" borderId="4" xfId="0" applyNumberFormat="1" applyFont="1" applyFill="1" applyBorder="1" applyAlignment="1" applyProtection="1">
      <alignment vertical="center"/>
    </xf>
    <xf numFmtId="0" fontId="7" fillId="9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vertical="center"/>
    </xf>
    <xf numFmtId="0" fontId="4" fillId="4" borderId="0" xfId="0" applyNumberFormat="1" applyFont="1" applyFill="1" applyBorder="1" applyAlignment="1" applyProtection="1">
      <alignment vertical="center"/>
    </xf>
    <xf numFmtId="0" fontId="21" fillId="9" borderId="0" xfId="0" applyNumberFormat="1" applyFont="1" applyFill="1" applyBorder="1" applyAlignment="1" applyProtection="1">
      <alignment vertical="center"/>
    </xf>
    <xf numFmtId="0" fontId="21" fillId="4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Fill="1" applyBorder="1" applyAlignment="1" applyProtection="1">
      <alignment vertical="center"/>
    </xf>
    <xf numFmtId="0" fontId="7" fillId="14" borderId="4" xfId="0" applyNumberFormat="1" applyFont="1" applyFill="1" applyBorder="1" applyAlignment="1" applyProtection="1">
      <alignment vertical="center"/>
    </xf>
    <xf numFmtId="165" fontId="7" fillId="14" borderId="4" xfId="0" applyNumberFormat="1" applyFont="1" applyFill="1" applyBorder="1" applyAlignment="1" applyProtection="1">
      <alignment horizontal="center" vertical="center"/>
    </xf>
    <xf numFmtId="165" fontId="21" fillId="16" borderId="4" xfId="0" applyNumberFormat="1" applyFont="1" applyFill="1" applyBorder="1" applyAlignment="1" applyProtection="1">
      <alignment horizontal="center" vertical="center"/>
    </xf>
    <xf numFmtId="0" fontId="7" fillId="15" borderId="4" xfId="0" applyNumberFormat="1" applyFont="1" applyFill="1" applyBorder="1" applyAlignment="1" applyProtection="1">
      <alignment vertical="center"/>
    </xf>
    <xf numFmtId="165" fontId="7" fillId="9" borderId="4" xfId="0" applyNumberFormat="1" applyFont="1" applyFill="1" applyBorder="1" applyAlignment="1" applyProtection="1">
      <alignment horizontal="center" vertical="center"/>
    </xf>
    <xf numFmtId="0" fontId="7" fillId="4" borderId="4" xfId="0" applyNumberFormat="1" applyFont="1" applyFill="1" applyBorder="1" applyAlignment="1" applyProtection="1">
      <alignment vertical="center"/>
    </xf>
    <xf numFmtId="0" fontId="26" fillId="4" borderId="0" xfId="0" applyNumberFormat="1" applyFont="1" applyFill="1" applyBorder="1" applyAlignment="1" applyProtection="1">
      <alignment vertical="center"/>
    </xf>
    <xf numFmtId="0" fontId="26" fillId="0" borderId="0" xfId="0" applyNumberFormat="1" applyFont="1" applyFill="1" applyBorder="1" applyAlignment="1" applyProtection="1">
      <alignment vertical="center"/>
    </xf>
    <xf numFmtId="0" fontId="28" fillId="9" borderId="0" xfId="0" applyNumberFormat="1" applyFont="1" applyFill="1" applyBorder="1" applyAlignment="1" applyProtection="1">
      <alignment vertical="center"/>
    </xf>
    <xf numFmtId="166" fontId="4" fillId="4" borderId="0" xfId="0" applyNumberFormat="1" applyFont="1" applyFill="1" applyBorder="1" applyAlignment="1" applyProtection="1">
      <alignment horizontal="center" vertical="center"/>
    </xf>
    <xf numFmtId="4" fontId="4" fillId="4" borderId="0" xfId="0" applyNumberFormat="1" applyFont="1" applyFill="1" applyBorder="1" applyAlignment="1" applyProtection="1">
      <alignment horizontal="center" vertical="center"/>
    </xf>
    <xf numFmtId="2" fontId="4" fillId="4" borderId="0" xfId="0" applyNumberFormat="1" applyFont="1" applyFill="1" applyBorder="1" applyAlignment="1" applyProtection="1">
      <alignment horizontal="center" vertical="center"/>
    </xf>
    <xf numFmtId="0" fontId="4" fillId="9" borderId="0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vertical="center"/>
    </xf>
    <xf numFmtId="0" fontId="53" fillId="4" borderId="0" xfId="0" applyNumberFormat="1" applyFont="1" applyFill="1" applyBorder="1" applyAlignment="1" applyProtection="1">
      <alignment horizontal="center" vertical="center"/>
    </xf>
    <xf numFmtId="0" fontId="53" fillId="9" borderId="0" xfId="0" applyNumberFormat="1" applyFont="1" applyFill="1" applyBorder="1" applyAlignment="1" applyProtection="1">
      <alignment horizontal="center" vertical="center"/>
    </xf>
    <xf numFmtId="0" fontId="53" fillId="0" borderId="0" xfId="0" applyNumberFormat="1" applyFont="1" applyFill="1" applyBorder="1" applyAlignment="1" applyProtection="1">
      <alignment horizontal="center" vertical="center"/>
    </xf>
    <xf numFmtId="4" fontId="4" fillId="16" borderId="4" xfId="0" applyNumberFormat="1" applyFont="1" applyFill="1" applyBorder="1" applyAlignment="1" applyProtection="1">
      <alignment horizontal="center" vertical="center"/>
    </xf>
    <xf numFmtId="4" fontId="4" fillId="9" borderId="4" xfId="0" applyNumberFormat="1" applyFont="1" applyFill="1" applyBorder="1" applyAlignment="1" applyProtection="1">
      <alignment horizontal="center" vertical="center"/>
    </xf>
    <xf numFmtId="10" fontId="53" fillId="4" borderId="0" xfId="0" applyNumberFormat="1" applyFont="1" applyFill="1" applyBorder="1" applyAlignment="1" applyProtection="1">
      <alignment horizontal="center" vertical="center"/>
    </xf>
    <xf numFmtId="4" fontId="4" fillId="4" borderId="0" xfId="0" applyNumberFormat="1" applyFont="1" applyFill="1" applyBorder="1" applyAlignment="1" applyProtection="1">
      <alignment vertical="center"/>
    </xf>
    <xf numFmtId="4" fontId="4" fillId="4" borderId="0" xfId="0" applyNumberFormat="1" applyFont="1" applyFill="1" applyBorder="1" applyAlignment="1" applyProtection="1">
      <alignment horizontal="center" vertical="center"/>
    </xf>
    <xf numFmtId="0" fontId="25" fillId="4" borderId="0" xfId="0" applyNumberFormat="1" applyFont="1" applyFill="1" applyBorder="1" applyAlignment="1" applyProtection="1">
      <alignment vertical="center"/>
    </xf>
    <xf numFmtId="4" fontId="25" fillId="4" borderId="0" xfId="0" applyNumberFormat="1" applyFont="1" applyFill="1" applyBorder="1" applyAlignment="1" applyProtection="1">
      <alignment horizontal="center" vertical="center"/>
    </xf>
    <xf numFmtId="166" fontId="4" fillId="4" borderId="0" xfId="0" applyNumberFormat="1" applyFont="1" applyFill="1" applyBorder="1" applyAlignment="1" applyProtection="1">
      <alignment horizontal="center" vertical="center"/>
    </xf>
    <xf numFmtId="2" fontId="4" fillId="4" borderId="0" xfId="0" applyNumberFormat="1" applyFont="1" applyFill="1" applyBorder="1" applyAlignment="1" applyProtection="1">
      <alignment horizontal="center" vertical="center"/>
    </xf>
    <xf numFmtId="0" fontId="4" fillId="4" borderId="0" xfId="0" applyNumberFormat="1" applyFont="1" applyFill="1" applyBorder="1" applyAlignment="1" applyProtection="1">
      <alignment horizontal="left" vertical="center"/>
    </xf>
    <xf numFmtId="4" fontId="4" fillId="0" borderId="0" xfId="0" applyNumberFormat="1" applyFont="1" applyFill="1" applyBorder="1" applyAlignment="1" applyProtection="1">
      <alignment horizontal="center" vertical="center"/>
    </xf>
    <xf numFmtId="166" fontId="4" fillId="0" borderId="0" xfId="0" applyNumberFormat="1" applyFont="1" applyFill="1" applyBorder="1" applyAlignment="1" applyProtection="1">
      <alignment horizontal="center" vertical="center"/>
    </xf>
    <xf numFmtId="2" fontId="4" fillId="0" borderId="0" xfId="0" applyNumberFormat="1" applyFont="1" applyFill="1" applyBorder="1" applyAlignment="1" applyProtection="1">
      <alignment horizontal="center" vertical="center"/>
    </xf>
    <xf numFmtId="3" fontId="4" fillId="9" borderId="0" xfId="0" applyNumberFormat="1" applyFont="1" applyFill="1" applyBorder="1" applyAlignment="1" applyProtection="1">
      <alignment horizontal="center" vertical="center"/>
    </xf>
    <xf numFmtId="0" fontId="4" fillId="9" borderId="0" xfId="0" applyNumberFormat="1" applyFont="1" applyFill="1" applyBorder="1" applyAlignment="1" applyProtection="1">
      <alignment horizontal="center" vertical="center"/>
    </xf>
    <xf numFmtId="3" fontId="7" fillId="9" borderId="0" xfId="0" applyNumberFormat="1" applyFont="1" applyFill="1" applyBorder="1" applyAlignment="1" applyProtection="1">
      <alignment horizontal="center" vertical="center"/>
    </xf>
    <xf numFmtId="0" fontId="4" fillId="9" borderId="0" xfId="0" applyNumberFormat="1" applyFont="1" applyFill="1" applyBorder="1" applyAlignment="1" applyProtection="1">
      <alignment vertical="center"/>
    </xf>
    <xf numFmtId="3" fontId="7" fillId="9" borderId="4" xfId="0" applyNumberFormat="1" applyFont="1" applyFill="1" applyBorder="1" applyAlignment="1" applyProtection="1">
      <alignment horizontal="center" vertical="center"/>
    </xf>
    <xf numFmtId="0" fontId="4" fillId="9" borderId="4" xfId="0" applyNumberFormat="1" applyFont="1" applyFill="1" applyBorder="1" applyAlignment="1" applyProtection="1">
      <alignment vertical="center"/>
    </xf>
    <xf numFmtId="3" fontId="4" fillId="9" borderId="4" xfId="0" applyNumberFormat="1" applyFont="1" applyFill="1" applyBorder="1" applyAlignment="1" applyProtection="1">
      <alignment horizontal="center" vertical="center"/>
    </xf>
    <xf numFmtId="9" fontId="4" fillId="9" borderId="4" xfId="0" applyNumberFormat="1" applyFont="1" applyFill="1" applyBorder="1" applyAlignment="1" applyProtection="1">
      <alignment horizontal="center" vertical="center"/>
    </xf>
    <xf numFmtId="0" fontId="4" fillId="9" borderId="4" xfId="0" applyNumberFormat="1" applyFont="1" applyFill="1" applyBorder="1" applyAlignment="1" applyProtection="1">
      <alignment horizontal="center" vertical="center"/>
    </xf>
    <xf numFmtId="3" fontId="44" fillId="9" borderId="4" xfId="0" applyNumberFormat="1" applyFont="1" applyFill="1" applyBorder="1" applyAlignment="1" applyProtection="1">
      <alignment vertical="center"/>
    </xf>
    <xf numFmtId="10" fontId="4" fillId="9" borderId="4" xfId="0" applyNumberFormat="1" applyFont="1" applyFill="1" applyBorder="1" applyAlignment="1" applyProtection="1">
      <alignment vertical="center"/>
    </xf>
    <xf numFmtId="10" fontId="4" fillId="9" borderId="4" xfId="10" applyNumberFormat="1" applyFont="1" applyFill="1" applyBorder="1" applyAlignment="1" applyProtection="1">
      <alignment vertical="center"/>
    </xf>
    <xf numFmtId="2" fontId="4" fillId="9" borderId="4" xfId="0" applyNumberFormat="1" applyFont="1" applyFill="1" applyBorder="1" applyAlignment="1" applyProtection="1">
      <alignment vertical="center"/>
    </xf>
    <xf numFmtId="3" fontId="4" fillId="9" borderId="4" xfId="0" applyNumberFormat="1" applyFont="1" applyFill="1" applyBorder="1" applyAlignment="1" applyProtection="1">
      <alignment vertical="center"/>
    </xf>
    <xf numFmtId="4" fontId="4" fillId="9" borderId="4" xfId="0" applyNumberFormat="1" applyFont="1" applyFill="1" applyBorder="1" applyAlignment="1" applyProtection="1">
      <alignment vertical="center"/>
    </xf>
    <xf numFmtId="4" fontId="7" fillId="14" borderId="4" xfId="0" applyNumberFormat="1" applyFont="1" applyFill="1" applyBorder="1" applyAlignment="1" applyProtection="1">
      <alignment horizontal="center" vertical="center" wrapText="1"/>
    </xf>
    <xf numFmtId="166" fontId="7" fillId="14" borderId="4" xfId="0" applyNumberFormat="1" applyFont="1" applyFill="1" applyBorder="1" applyAlignment="1" applyProtection="1">
      <alignment horizontal="center" vertical="center" wrapText="1"/>
    </xf>
    <xf numFmtId="2" fontId="7" fillId="14" borderId="4" xfId="0" applyNumberFormat="1" applyFont="1" applyFill="1" applyBorder="1" applyAlignment="1" applyProtection="1">
      <alignment horizontal="center" vertical="center" wrapText="1"/>
    </xf>
    <xf numFmtId="4" fontId="4" fillId="4" borderId="4" xfId="0" applyNumberFormat="1" applyFont="1" applyFill="1" applyBorder="1" applyAlignment="1" applyProtection="1">
      <alignment horizontal="center" vertical="center"/>
    </xf>
    <xf numFmtId="4" fontId="4" fillId="0" borderId="4" xfId="0" applyNumberFormat="1" applyFont="1" applyFill="1" applyBorder="1" applyAlignment="1" applyProtection="1">
      <alignment horizontal="center" vertical="center"/>
    </xf>
    <xf numFmtId="4" fontId="7" fillId="14" borderId="4" xfId="0" applyNumberFormat="1" applyFont="1" applyFill="1" applyBorder="1" applyAlignment="1" applyProtection="1">
      <alignment vertical="center"/>
    </xf>
    <xf numFmtId="4" fontId="7" fillId="14" borderId="4" xfId="0" applyNumberFormat="1" applyFont="1" applyFill="1" applyBorder="1" applyAlignment="1" applyProtection="1">
      <alignment horizontal="center" vertical="center"/>
    </xf>
    <xf numFmtId="10" fontId="7" fillId="14" borderId="4" xfId="0" applyNumberFormat="1" applyFont="1" applyFill="1" applyBorder="1" applyAlignment="1" applyProtection="1">
      <alignment horizontal="center" vertical="center"/>
    </xf>
    <xf numFmtId="166" fontId="7" fillId="8" borderId="4" xfId="0" applyNumberFormat="1" applyFont="1" applyFill="1" applyBorder="1" applyAlignment="1" applyProtection="1">
      <alignment horizontal="center" vertical="center"/>
    </xf>
    <xf numFmtId="4" fontId="4" fillId="8" borderId="4" xfId="0" applyNumberFormat="1" applyFont="1" applyFill="1" applyBorder="1" applyAlignment="1" applyProtection="1">
      <alignment horizontal="center" vertical="center"/>
    </xf>
    <xf numFmtId="10" fontId="4" fillId="8" borderId="4" xfId="0" applyNumberFormat="1" applyFont="1" applyFill="1" applyBorder="1" applyAlignment="1" applyProtection="1">
      <alignment horizontal="center" vertical="center"/>
    </xf>
    <xf numFmtId="0" fontId="53" fillId="4" borderId="4" xfId="0" applyNumberFormat="1" applyFont="1" applyFill="1" applyBorder="1" applyAlignment="1" applyProtection="1">
      <alignment horizontal="center" vertical="center"/>
    </xf>
    <xf numFmtId="4" fontId="7" fillId="9" borderId="4" xfId="0" applyNumberFormat="1" applyFont="1" applyFill="1" applyBorder="1" applyAlignment="1" applyProtection="1">
      <alignment vertical="center"/>
    </xf>
    <xf numFmtId="9" fontId="4" fillId="16" borderId="4" xfId="0" applyNumberFormat="1" applyFont="1" applyFill="1" applyBorder="1" applyAlignment="1" applyProtection="1">
      <alignment horizontal="center" vertical="center"/>
    </xf>
    <xf numFmtId="3" fontId="4" fillId="16" borderId="4" xfId="0" applyNumberFormat="1" applyFont="1" applyFill="1" applyBorder="1" applyAlignment="1" applyProtection="1">
      <alignment horizontal="center" vertical="center"/>
    </xf>
    <xf numFmtId="0" fontId="7" fillId="16" borderId="4" xfId="0" applyNumberFormat="1" applyFont="1" applyFill="1" applyBorder="1" applyAlignment="1" applyProtection="1">
      <alignment horizontal="center" vertical="center"/>
    </xf>
    <xf numFmtId="0" fontId="4" fillId="9" borderId="0" xfId="0" applyNumberFormat="1" applyFont="1" applyFill="1" applyBorder="1" applyProtection="1">
      <alignment vertical="center"/>
    </xf>
    <xf numFmtId="0" fontId="4" fillId="9" borderId="0" xfId="0" applyNumberFormat="1" applyFont="1" applyFill="1" applyBorder="1" applyAlignment="1" applyProtection="1">
      <alignment horizontal="center"/>
    </xf>
    <xf numFmtId="4" fontId="4" fillId="0" borderId="0" xfId="0" applyNumberFormat="1" applyFont="1" applyFill="1" applyBorder="1" applyAlignment="1" applyProtection="1">
      <alignment horizontal="center"/>
    </xf>
    <xf numFmtId="169" fontId="4" fillId="9" borderId="0" xfId="0" applyNumberFormat="1" applyFont="1" applyFill="1" applyBorder="1" applyAlignment="1" applyProtection="1">
      <alignment horizontal="center"/>
    </xf>
    <xf numFmtId="173" fontId="4" fillId="9" borderId="0" xfId="0" applyNumberFormat="1" applyFont="1" applyFill="1" applyBorder="1" applyAlignment="1" applyProtection="1">
      <alignment horizontal="center"/>
    </xf>
    <xf numFmtId="172" fontId="4" fillId="9" borderId="0" xfId="0" applyNumberFormat="1" applyFont="1" applyFill="1" applyBorder="1" applyAlignment="1" applyProtection="1">
      <alignment horizontal="center"/>
    </xf>
    <xf numFmtId="4" fontId="4" fillId="9" borderId="0" xfId="0" applyNumberFormat="1" applyFont="1" applyFill="1" applyBorder="1" applyAlignment="1" applyProtection="1">
      <alignment horizontal="center"/>
    </xf>
    <xf numFmtId="2" fontId="4" fillId="9" borderId="0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Protection="1">
      <alignment vertical="center"/>
    </xf>
    <xf numFmtId="2" fontId="4" fillId="0" borderId="0" xfId="0" applyNumberFormat="1" applyFont="1" applyFill="1" applyBorder="1" applyAlignment="1" applyProtection="1">
      <alignment horizontal="center"/>
    </xf>
    <xf numFmtId="0" fontId="4" fillId="0" borderId="0" xfId="0" applyNumberFormat="1" applyFont="1" applyFill="1" applyBorder="1" applyAlignment="1" applyProtection="1">
      <alignment horizontal="center"/>
    </xf>
    <xf numFmtId="176" fontId="4" fillId="9" borderId="0" xfId="0" applyNumberFormat="1" applyFont="1" applyFill="1" applyBorder="1" applyAlignment="1" applyProtection="1">
      <alignment horizontal="center"/>
    </xf>
    <xf numFmtId="0" fontId="4" fillId="9" borderId="4" xfId="0" applyNumberFormat="1" applyFont="1" applyFill="1" applyBorder="1" applyProtection="1">
      <alignment vertical="center"/>
    </xf>
    <xf numFmtId="0" fontId="4" fillId="9" borderId="4" xfId="0" applyNumberFormat="1" applyFont="1" applyFill="1" applyBorder="1" applyAlignment="1" applyProtection="1">
      <alignment horizontal="center"/>
    </xf>
    <xf numFmtId="4" fontId="4" fillId="0" borderId="4" xfId="0" applyNumberFormat="1" applyFont="1" applyFill="1" applyBorder="1" applyAlignment="1" applyProtection="1">
      <alignment horizontal="center"/>
    </xf>
    <xf numFmtId="4" fontId="34" fillId="9" borderId="4" xfId="0" applyNumberFormat="1" applyFont="1" applyFill="1" applyBorder="1" applyAlignment="1" applyProtection="1">
      <alignment horizontal="center"/>
    </xf>
    <xf numFmtId="2" fontId="4" fillId="16" borderId="4" xfId="0" applyNumberFormat="1" applyFont="1" applyFill="1" applyBorder="1" applyAlignment="1" applyProtection="1">
      <alignment horizontal="center"/>
    </xf>
    <xf numFmtId="0" fontId="7" fillId="9" borderId="4" xfId="0" applyNumberFormat="1" applyFont="1" applyFill="1" applyBorder="1" applyProtection="1">
      <alignment vertical="center"/>
    </xf>
    <xf numFmtId="0" fontId="7" fillId="9" borderId="4" xfId="0" applyNumberFormat="1" applyFont="1" applyFill="1" applyBorder="1" applyAlignment="1" applyProtection="1">
      <alignment horizontal="center"/>
    </xf>
    <xf numFmtId="4" fontId="7" fillId="9" borderId="4" xfId="0" applyNumberFormat="1" applyFont="1" applyFill="1" applyBorder="1" applyAlignment="1" applyProtection="1">
      <alignment horizontal="center"/>
    </xf>
    <xf numFmtId="4" fontId="4" fillId="16" borderId="4" xfId="0" applyNumberFormat="1" applyFont="1" applyFill="1" applyBorder="1" applyAlignment="1" applyProtection="1">
      <alignment horizontal="center"/>
    </xf>
    <xf numFmtId="2" fontId="7" fillId="9" borderId="0" xfId="0" applyNumberFormat="1" applyFont="1" applyFill="1" applyBorder="1" applyAlignment="1" applyProtection="1">
      <alignment horizontal="right"/>
    </xf>
    <xf numFmtId="4" fontId="4" fillId="9" borderId="4" xfId="0" applyNumberFormat="1" applyFont="1" applyFill="1" applyBorder="1" applyAlignment="1" applyProtection="1">
      <alignment horizontal="center"/>
    </xf>
    <xf numFmtId="2" fontId="4" fillId="9" borderId="4" xfId="0" applyNumberFormat="1" applyFont="1" applyFill="1" applyBorder="1" applyAlignment="1" applyProtection="1">
      <alignment horizontal="center"/>
    </xf>
    <xf numFmtId="10" fontId="4" fillId="16" borderId="4" xfId="0" applyNumberFormat="1" applyFont="1" applyFill="1" applyBorder="1" applyAlignment="1" applyProtection="1">
      <alignment horizontal="center"/>
    </xf>
    <xf numFmtId="0" fontId="28" fillId="9" borderId="0" xfId="0" applyNumberFormat="1" applyFont="1" applyFill="1" applyBorder="1" applyAlignment="1" applyProtection="1">
      <alignment horizontal="center" vertical="center"/>
    </xf>
    <xf numFmtId="0" fontId="28" fillId="9" borderId="0" xfId="0" applyNumberFormat="1" applyFont="1" applyFill="1" applyBorder="1" applyProtection="1">
      <alignment vertical="center"/>
    </xf>
    <xf numFmtId="0" fontId="4" fillId="0" borderId="0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vertical="center"/>
    </xf>
    <xf numFmtId="167" fontId="7" fillId="9" borderId="4" xfId="10" applyNumberFormat="1" applyFont="1" applyFill="1" applyBorder="1" applyAlignment="1" applyProtection="1">
      <alignment horizontal="center"/>
    </xf>
    <xf numFmtId="4" fontId="0" fillId="9" borderId="4" xfId="0" applyNumberFormat="1" applyFont="1" applyFill="1" applyBorder="1" applyAlignment="1" applyProtection="1">
      <alignment horizontal="center"/>
    </xf>
    <xf numFmtId="0" fontId="7" fillId="9" borderId="4" xfId="0" applyNumberFormat="1" applyFont="1" applyFill="1" applyBorder="1" applyProtection="1">
      <alignment vertical="center"/>
    </xf>
    <xf numFmtId="0" fontId="7" fillId="9" borderId="4" xfId="0" applyNumberFormat="1" applyFont="1" applyFill="1" applyBorder="1" applyAlignment="1" applyProtection="1">
      <alignment horizontal="center" vertical="center" wrapText="1"/>
    </xf>
    <xf numFmtId="167" fontId="20" fillId="20" borderId="4" xfId="0" applyNumberFormat="1" applyFont="1" applyFill="1" applyBorder="1" applyAlignment="1" applyProtection="1">
      <alignment horizontal="center"/>
    </xf>
    <xf numFmtId="167" fontId="7" fillId="9" borderId="4" xfId="0" applyNumberFormat="1" applyFont="1" applyFill="1" applyBorder="1" applyProtection="1">
      <alignment vertical="center"/>
    </xf>
    <xf numFmtId="167" fontId="7" fillId="9" borderId="4" xfId="0" applyNumberFormat="1" applyFont="1" applyFill="1" applyBorder="1" applyAlignment="1" applyProtection="1">
      <alignment horizontal="center"/>
    </xf>
    <xf numFmtId="0" fontId="34" fillId="9" borderId="4" xfId="0" applyNumberFormat="1" applyFont="1" applyFill="1" applyBorder="1" applyAlignment="1" applyProtection="1">
      <alignment horizontal="center" vertical="center"/>
    </xf>
    <xf numFmtId="167" fontId="0" fillId="9" borderId="4" xfId="0" applyNumberFormat="1" applyFont="1" applyFill="1" applyBorder="1" applyAlignment="1" applyProtection="1">
      <alignment horizontal="center"/>
    </xf>
    <xf numFmtId="167" fontId="34" fillId="9" borderId="4" xfId="0" applyNumberFormat="1" applyFont="1" applyFill="1" applyBorder="1" applyAlignment="1" applyProtection="1">
      <alignment horizontal="center"/>
    </xf>
    <xf numFmtId="4" fontId="20" fillId="9" borderId="4" xfId="0" applyNumberFormat="1" applyFont="1" applyFill="1" applyBorder="1" applyAlignment="1" applyProtection="1">
      <alignment horizontal="center"/>
    </xf>
    <xf numFmtId="4" fontId="35" fillId="9" borderId="4" xfId="0" applyNumberFormat="1" applyFont="1" applyFill="1" applyBorder="1" applyAlignment="1" applyProtection="1">
      <alignment horizontal="center"/>
    </xf>
    <xf numFmtId="0" fontId="7" fillId="9" borderId="78" xfId="0" applyNumberFormat="1" applyFont="1" applyFill="1" applyBorder="1" applyProtection="1">
      <alignment vertical="center"/>
    </xf>
    <xf numFmtId="0" fontId="19" fillId="4" borderId="78" xfId="0" applyNumberFormat="1" applyFont="1" applyFill="1" applyBorder="1" applyAlignment="1" applyProtection="1">
      <alignment horizontal="center"/>
    </xf>
    <xf numFmtId="0" fontId="10" fillId="9" borderId="0" xfId="0" applyNumberFormat="1" applyFont="1" applyFill="1" applyBorder="1" applyProtection="1">
      <alignment vertical="center"/>
    </xf>
    <xf numFmtId="0" fontId="18" fillId="9" borderId="0" xfId="0" applyNumberFormat="1" applyFont="1" applyFill="1" applyBorder="1" applyProtection="1">
      <alignment vertical="center"/>
    </xf>
    <xf numFmtId="165" fontId="0" fillId="9" borderId="4" xfId="0" applyNumberFormat="1" applyFont="1" applyFill="1" applyBorder="1" applyAlignment="1" applyProtection="1">
      <alignment horizontal="center"/>
    </xf>
    <xf numFmtId="165" fontId="35" fillId="4" borderId="4" xfId="0" applyNumberFormat="1" applyFont="1" applyFill="1" applyBorder="1" applyAlignment="1" applyProtection="1">
      <alignment horizontal="center"/>
    </xf>
    <xf numFmtId="165" fontId="0" fillId="16" borderId="4" xfId="0" applyNumberFormat="1" applyFont="1" applyFill="1" applyBorder="1" applyAlignment="1" applyProtection="1">
      <alignment horizontal="center"/>
    </xf>
    <xf numFmtId="0" fontId="28" fillId="9" borderId="0" xfId="0" applyNumberFormat="1" applyFont="1" applyFill="1" applyBorder="1" applyProtection="1">
      <alignment vertical="center"/>
    </xf>
    <xf numFmtId="0" fontId="7" fillId="9" borderId="0" xfId="0" applyNumberFormat="1" applyFont="1" applyFill="1" applyBorder="1" applyProtection="1">
      <alignment vertical="center"/>
    </xf>
    <xf numFmtId="0" fontId="20" fillId="9" borderId="0" xfId="0" applyNumberFormat="1" applyFont="1" applyFill="1" applyBorder="1" applyProtection="1">
      <alignment vertical="center"/>
    </xf>
    <xf numFmtId="165" fontId="35" fillId="4" borderId="0" xfId="0" applyNumberFormat="1" applyFont="1" applyFill="1" applyBorder="1" applyAlignment="1" applyProtection="1">
      <alignment horizontal="center"/>
    </xf>
    <xf numFmtId="0" fontId="0" fillId="9" borderId="0" xfId="0" applyNumberFormat="1" applyFont="1" applyFill="1" applyBorder="1" applyAlignment="1" applyProtection="1">
      <alignment horizontal="right"/>
    </xf>
    <xf numFmtId="4" fontId="0" fillId="9" borderId="0" xfId="0" applyNumberFormat="1" applyFont="1" applyFill="1" applyBorder="1" applyAlignment="1" applyProtection="1">
      <alignment horizontal="right"/>
    </xf>
    <xf numFmtId="3" fontId="0" fillId="4" borderId="0" xfId="0" applyNumberFormat="1" applyFont="1" applyFill="1" applyBorder="1" applyAlignment="1" applyProtection="1">
      <alignment horizontal="right"/>
    </xf>
    <xf numFmtId="4" fontId="0" fillId="0" borderId="0" xfId="0" applyNumberFormat="1" applyFont="1" applyFill="1" applyBorder="1" applyAlignment="1" applyProtection="1">
      <alignment horizontal="right"/>
    </xf>
    <xf numFmtId="4" fontId="35" fillId="0" borderId="0" xfId="0" applyNumberFormat="1" applyFont="1" applyFill="1" applyBorder="1" applyAlignment="1" applyProtection="1">
      <alignment horizontal="center"/>
    </xf>
    <xf numFmtId="3" fontId="0" fillId="0" borderId="0" xfId="0" applyNumberFormat="1" applyFont="1" applyFill="1" applyBorder="1" applyProtection="1">
      <alignment vertical="center"/>
    </xf>
    <xf numFmtId="3" fontId="0" fillId="0" borderId="0" xfId="0" applyNumberFormat="1" applyFont="1" applyFill="1" applyBorder="1" applyAlignment="1" applyProtection="1">
      <alignment horizontal="right"/>
    </xf>
    <xf numFmtId="4" fontId="47" fillId="26" borderId="0" xfId="0" applyNumberFormat="1" applyFont="1" applyFill="1" applyBorder="1" applyAlignment="1" applyProtection="1">
      <alignment horizontal="right"/>
    </xf>
    <xf numFmtId="4" fontId="0" fillId="9" borderId="0" xfId="0" applyNumberFormat="1" applyFont="1" applyFill="1" applyBorder="1" applyProtection="1">
      <alignment vertical="center"/>
    </xf>
    <xf numFmtId="0" fontId="0" fillId="14" borderId="4" xfId="0" applyNumberFormat="1" applyFont="1" applyFill="1" applyBorder="1" applyProtection="1">
      <alignment vertical="center"/>
    </xf>
    <xf numFmtId="165" fontId="0" fillId="14" borderId="4" xfId="0" applyNumberFormat="1" applyFont="1" applyFill="1" applyBorder="1" applyAlignment="1" applyProtection="1">
      <alignment horizontal="center"/>
    </xf>
    <xf numFmtId="165" fontId="0" fillId="14" borderId="1" xfId="0" applyNumberFormat="1" applyFont="1" applyFill="1" applyBorder="1" applyAlignment="1" applyProtection="1">
      <alignment horizontal="center"/>
    </xf>
    <xf numFmtId="165" fontId="0" fillId="14" borderId="21" xfId="0" applyNumberFormat="1" applyFont="1" applyFill="1" applyBorder="1" applyAlignment="1" applyProtection="1">
      <alignment horizontal="center"/>
    </xf>
    <xf numFmtId="165" fontId="0" fillId="4" borderId="20" xfId="0" applyNumberFormat="1" applyFont="1" applyFill="1" applyBorder="1" applyAlignment="1" applyProtection="1">
      <alignment horizontal="center"/>
    </xf>
    <xf numFmtId="10" fontId="0" fillId="4" borderId="12" xfId="0" applyNumberFormat="1" applyFont="1" applyFill="1" applyBorder="1" applyProtection="1">
      <alignment vertical="center"/>
    </xf>
    <xf numFmtId="4" fontId="0" fillId="4" borderId="20" xfId="0" applyNumberFormat="1" applyFont="1" applyFill="1" applyBorder="1" applyAlignment="1" applyProtection="1">
      <alignment horizontal="center"/>
    </xf>
    <xf numFmtId="4" fontId="0" fillId="4" borderId="24" xfId="0" applyNumberFormat="1" applyFont="1" applyFill="1" applyBorder="1" applyAlignment="1" applyProtection="1">
      <alignment horizontal="center"/>
    </xf>
    <xf numFmtId="165" fontId="0" fillId="16" borderId="25" xfId="0" applyNumberFormat="1" applyFont="1" applyFill="1" applyBorder="1" applyAlignment="1" applyProtection="1">
      <alignment horizontal="center"/>
    </xf>
    <xf numFmtId="10" fontId="0" fillId="4" borderId="26" xfId="0" applyNumberFormat="1" applyFont="1" applyFill="1" applyBorder="1" applyAlignment="1" applyProtection="1">
      <alignment horizontal="center"/>
    </xf>
    <xf numFmtId="165" fontId="0" fillId="0" borderId="20" xfId="0" applyNumberFormat="1" applyFont="1" applyFill="1" applyBorder="1" applyAlignment="1" applyProtection="1">
      <alignment horizontal="center"/>
    </xf>
    <xf numFmtId="0" fontId="0" fillId="0" borderId="10" xfId="0" applyNumberFormat="1" applyFont="1" applyFill="1" applyBorder="1" applyProtection="1">
      <alignment vertical="center"/>
    </xf>
    <xf numFmtId="0" fontId="0" fillId="9" borderId="12" xfId="0" applyNumberFormat="1" applyFont="1" applyFill="1" applyBorder="1" applyProtection="1">
      <alignment vertical="center"/>
    </xf>
    <xf numFmtId="4" fontId="0" fillId="0" borderId="20" xfId="0" applyNumberFormat="1" applyFont="1" applyFill="1" applyBorder="1" applyAlignment="1" applyProtection="1">
      <alignment horizontal="center"/>
    </xf>
    <xf numFmtId="4" fontId="0" fillId="0" borderId="24" xfId="0" applyNumberFormat="1" applyFont="1" applyFill="1" applyBorder="1" applyAlignment="1" applyProtection="1">
      <alignment horizontal="center"/>
    </xf>
    <xf numFmtId="4" fontId="7" fillId="9" borderId="0" xfId="0" applyNumberFormat="1" applyFont="1" applyFill="1" applyBorder="1" applyAlignment="1" applyProtection="1">
      <alignment horizontal="right"/>
    </xf>
    <xf numFmtId="165" fontId="4" fillId="14" borderId="20" xfId="0" applyNumberFormat="1" applyFont="1" applyFill="1" applyBorder="1" applyAlignment="1" applyProtection="1">
      <alignment horizontal="center"/>
    </xf>
    <xf numFmtId="0" fontId="4" fillId="9" borderId="4" xfId="0" applyNumberFormat="1" applyFont="1" applyFill="1" applyBorder="1" applyProtection="1">
      <alignment vertical="center"/>
    </xf>
    <xf numFmtId="0" fontId="4" fillId="0" borderId="4" xfId="0" applyNumberFormat="1" applyFont="1" applyFill="1" applyBorder="1" applyProtection="1">
      <alignment vertical="center"/>
    </xf>
    <xf numFmtId="0" fontId="4" fillId="4" borderId="4" xfId="0" applyNumberFormat="1" applyFont="1" applyFill="1" applyBorder="1" applyProtection="1">
      <alignment vertical="center"/>
    </xf>
    <xf numFmtId="0" fontId="4" fillId="4" borderId="0" xfId="0" applyNumberFormat="1" applyFont="1" applyFill="1" applyBorder="1" applyProtection="1">
      <alignment vertical="center"/>
    </xf>
    <xf numFmtId="165" fontId="4" fillId="14" borderId="4" xfId="0" applyNumberFormat="1" applyFont="1" applyFill="1" applyBorder="1" applyAlignment="1" applyProtection="1">
      <alignment horizontal="center"/>
    </xf>
    <xf numFmtId="0" fontId="59" fillId="9" borderId="4" xfId="15" applyNumberFormat="1" applyFont="1" applyFill="1" applyBorder="1" applyAlignment="1" applyProtection="1">
      <alignment vertical="center"/>
    </xf>
    <xf numFmtId="0" fontId="59" fillId="9" borderId="4" xfId="15" applyNumberFormat="1" applyFont="1" applyFill="1" applyBorder="1" applyAlignment="1" applyProtection="1">
      <alignment vertical="center"/>
      <protection locked="0"/>
    </xf>
    <xf numFmtId="0" fontId="60" fillId="27" borderId="4" xfId="15" applyNumberFormat="1" applyFont="1" applyFill="1" applyBorder="1" applyAlignment="1" applyProtection="1">
      <alignment vertical="center"/>
    </xf>
    <xf numFmtId="5" fontId="59" fillId="9" borderId="4" xfId="33" applyNumberFormat="1" applyFont="1" applyFill="1" applyBorder="1" applyAlignment="1" applyProtection="1">
      <alignment horizontal="right" vertical="center"/>
      <protection locked="0"/>
    </xf>
    <xf numFmtId="0" fontId="28" fillId="9" borderId="0" xfId="0" applyNumberFormat="1" applyFont="1" applyFill="1" applyBorder="1" applyAlignment="1" applyProtection="1">
      <alignment horizontal="left" vertical="center"/>
    </xf>
    <xf numFmtId="3" fontId="19" fillId="21" borderId="4" xfId="0" applyNumberFormat="1" applyFont="1" applyFill="1" applyBorder="1" applyAlignment="1" applyProtection="1">
      <alignment vertical="center"/>
    </xf>
    <xf numFmtId="0" fontId="47" fillId="26" borderId="0" xfId="0" applyNumberFormat="1" applyFont="1" applyFill="1" applyBorder="1" applyAlignment="1" applyProtection="1">
      <alignment vertical="center"/>
    </xf>
    <xf numFmtId="3" fontId="43" fillId="26" borderId="4" xfId="10" applyNumberFormat="1" applyFont="1" applyFill="1" applyBorder="1" applyAlignment="1" applyProtection="1">
      <alignment horizontal="center" vertical="center"/>
    </xf>
    <xf numFmtId="4" fontId="47" fillId="26" borderId="4" xfId="0" applyNumberFormat="1" applyFont="1" applyFill="1" applyBorder="1" applyAlignment="1" applyProtection="1">
      <alignment horizontal="center" vertical="center"/>
    </xf>
    <xf numFmtId="0" fontId="64" fillId="2" borderId="2" xfId="26" applyNumberFormat="1" applyFont="1" applyFill="1" applyBorder="1" applyAlignment="1" applyProtection="1">
      <alignment horizontal="right" vertical="center"/>
    </xf>
    <xf numFmtId="0" fontId="65" fillId="2" borderId="2" xfId="26" applyNumberFormat="1" applyFont="1" applyFill="1" applyBorder="1" applyAlignment="1" applyProtection="1">
      <alignment horizontal="right" vertical="center"/>
    </xf>
    <xf numFmtId="0" fontId="64" fillId="2" borderId="2" xfId="26" applyNumberFormat="1" applyFont="1" applyFill="1" applyBorder="1" applyAlignment="1" applyProtection="1">
      <alignment horizontal="left" vertical="center"/>
    </xf>
    <xf numFmtId="0" fontId="64" fillId="2" borderId="2" xfId="26" applyNumberFormat="1" applyFont="1" applyFill="1" applyBorder="1" applyAlignment="1" applyProtection="1">
      <alignment horizontal="center" vertical="center"/>
    </xf>
    <xf numFmtId="0" fontId="63" fillId="9" borderId="90" xfId="6" applyNumberFormat="1" applyFont="1" applyFill="1" applyBorder="1" applyProtection="1"/>
    <xf numFmtId="0" fontId="65" fillId="2" borderId="2" xfId="26" applyNumberFormat="1" applyFont="1" applyFill="1" applyBorder="1" applyAlignment="1" applyProtection="1">
      <alignment horizontal="center" vertical="center"/>
    </xf>
    <xf numFmtId="14" fontId="0" fillId="9" borderId="0" xfId="0" applyNumberFormat="1" applyFont="1" applyFill="1" applyBorder="1" applyAlignment="1" applyProtection="1">
      <alignment horizontal="center"/>
    </xf>
    <xf numFmtId="0" fontId="63" fillId="9" borderId="90" xfId="6" applyNumberFormat="1" applyFont="1" applyFill="1" applyBorder="1" applyAlignment="1" applyProtection="1">
      <alignment horizontal="center"/>
    </xf>
    <xf numFmtId="0" fontId="4" fillId="14" borderId="6" xfId="12" applyNumberFormat="1" applyFont="1" applyFill="1" applyBorder="1" applyProtection="1"/>
    <xf numFmtId="0" fontId="0" fillId="31" borderId="4" xfId="0" applyNumberFormat="1" applyFont="1" applyFill="1" applyBorder="1" applyAlignment="1" applyProtection="1">
      <alignment vertical="center"/>
    </xf>
    <xf numFmtId="0" fontId="19" fillId="31" borderId="4" xfId="0" applyNumberFormat="1" applyFont="1" applyFill="1" applyBorder="1" applyAlignment="1" applyProtection="1">
      <alignment vertical="center"/>
    </xf>
    <xf numFmtId="0" fontId="19" fillId="31" borderId="4" xfId="0" applyNumberFormat="1" applyFont="1" applyFill="1" applyBorder="1" applyAlignment="1" applyProtection="1">
      <alignment horizontal="center" vertical="center"/>
    </xf>
    <xf numFmtId="0" fontId="7" fillId="31" borderId="4" xfId="0" applyNumberFormat="1" applyFont="1" applyFill="1" applyBorder="1" applyAlignment="1" applyProtection="1">
      <alignment horizontal="center" vertical="center"/>
    </xf>
    <xf numFmtId="9" fontId="19" fillId="31" borderId="4" xfId="0" applyNumberFormat="1" applyFont="1" applyFill="1" applyBorder="1" applyAlignment="1" applyProtection="1">
      <alignment vertical="center"/>
    </xf>
    <xf numFmtId="0" fontId="0" fillId="31" borderId="4" xfId="0" applyNumberFormat="1" applyFont="1" applyFill="1" applyBorder="1" applyAlignment="1" applyProtection="1">
      <alignment horizontal="center" vertical="center"/>
    </xf>
    <xf numFmtId="0" fontId="7" fillId="9" borderId="0" xfId="0" applyNumberFormat="1" applyFont="1" applyFill="1" applyBorder="1" applyAlignment="1" applyProtection="1">
      <alignment horizontal="right" vertical="center"/>
    </xf>
    <xf numFmtId="5" fontId="56" fillId="33" borderId="4" xfId="33" applyNumberFormat="1" applyFont="1" applyFill="1" applyBorder="1" applyAlignment="1" applyProtection="1">
      <alignment horizontal="right" vertical="center"/>
    </xf>
    <xf numFmtId="5" fontId="60" fillId="32" borderId="2" xfId="33" applyNumberFormat="1" applyFont="1" applyFill="1" applyBorder="1" applyAlignment="1" applyProtection="1">
      <alignment horizontal="right" vertical="center"/>
    </xf>
    <xf numFmtId="0" fontId="66" fillId="32" borderId="3" xfId="15" applyNumberFormat="1" applyFont="1" applyFill="1" applyBorder="1" applyAlignment="1" applyProtection="1">
      <alignment vertical="center"/>
    </xf>
    <xf numFmtId="5" fontId="66" fillId="26" borderId="2" xfId="15" applyNumberFormat="1" applyFont="1" applyFill="1" applyBorder="1" applyAlignment="1" applyProtection="1">
      <alignment horizontal="right" vertical="center"/>
    </xf>
    <xf numFmtId="0" fontId="66" fillId="26" borderId="3" xfId="15" applyNumberFormat="1" applyFont="1" applyFill="1" applyBorder="1" applyAlignment="1" applyProtection="1">
      <alignment vertical="center"/>
    </xf>
    <xf numFmtId="0" fontId="66" fillId="26" borderId="2" xfId="15" applyNumberFormat="1" applyFont="1" applyFill="1" applyBorder="1" applyAlignment="1" applyProtection="1">
      <alignment horizontal="right" vertical="center"/>
    </xf>
    <xf numFmtId="0" fontId="0" fillId="33" borderId="1" xfId="0" applyNumberFormat="1" applyFont="1" applyFill="1" applyBorder="1" applyProtection="1">
      <alignment vertical="center"/>
    </xf>
    <xf numFmtId="4" fontId="66" fillId="26" borderId="3" xfId="0" applyNumberFormat="1" applyFont="1" applyFill="1" applyBorder="1" applyAlignment="1" applyProtection="1">
      <alignment vertical="center"/>
    </xf>
    <xf numFmtId="4" fontId="66" fillId="32" borderId="3" xfId="0" applyNumberFormat="1" applyFont="1" applyFill="1" applyBorder="1" applyAlignment="1" applyProtection="1">
      <alignment vertical="center"/>
    </xf>
    <xf numFmtId="0" fontId="0" fillId="0" borderId="1" xfId="0" applyNumberFormat="1" applyFont="1" applyFill="1" applyBorder="1" applyProtection="1">
      <alignment vertical="center"/>
    </xf>
    <xf numFmtId="0" fontId="58" fillId="9" borderId="2" xfId="15" applyNumberFormat="1" applyFont="1" applyFill="1" applyBorder="1" applyAlignment="1" applyProtection="1">
      <alignment horizontal="right" vertical="center"/>
    </xf>
    <xf numFmtId="0" fontId="56" fillId="9" borderId="3" xfId="15" applyNumberFormat="1" applyFont="1" applyFill="1" applyBorder="1" applyAlignment="1" applyProtection="1">
      <alignment vertical="center"/>
    </xf>
    <xf numFmtId="0" fontId="56" fillId="33" borderId="2" xfId="15" applyNumberFormat="1" applyFont="1" applyFill="1" applyBorder="1" applyAlignment="1" applyProtection="1">
      <alignment vertical="center"/>
    </xf>
    <xf numFmtId="165" fontId="7" fillId="15" borderId="4" xfId="0" applyNumberFormat="1" applyFont="1" applyFill="1" applyBorder="1" applyAlignment="1" applyProtection="1">
      <alignment horizontal="center" vertical="center"/>
    </xf>
    <xf numFmtId="184" fontId="21" fillId="4" borderId="4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3" fontId="7" fillId="10" borderId="0" xfId="0" applyNumberFormat="1" applyFont="1" applyFill="1" applyBorder="1" applyAlignment="1" applyProtection="1">
      <alignment horizontal="center" vertical="center"/>
    </xf>
    <xf numFmtId="0" fontId="44" fillId="9" borderId="90" xfId="6" applyNumberFormat="1" applyFont="1" applyFill="1" applyBorder="1" applyProtection="1"/>
    <xf numFmtId="0" fontId="61" fillId="0" borderId="0" xfId="24" applyNumberFormat="1" applyFont="1" applyFill="1" applyBorder="1" applyAlignment="1" applyProtection="1">
      <alignment horizontal="right"/>
    </xf>
    <xf numFmtId="0" fontId="21" fillId="4" borderId="4" xfId="0" applyNumberFormat="1" applyFont="1" applyFill="1" applyBorder="1" applyAlignment="1" applyProtection="1">
      <alignment vertical="center"/>
    </xf>
    <xf numFmtId="0" fontId="7" fillId="14" borderId="14" xfId="12" applyNumberFormat="1" applyFont="1" applyFill="1" applyBorder="1" applyProtection="1"/>
    <xf numFmtId="0" fontId="4" fillId="14" borderId="7" xfId="12" applyNumberFormat="1" applyFont="1" applyFill="1" applyBorder="1" applyProtection="1"/>
    <xf numFmtId="0" fontId="20" fillId="14" borderId="7" xfId="12" applyNumberFormat="1" applyFont="1" applyFill="1" applyBorder="1" applyProtection="1"/>
    <xf numFmtId="0" fontId="21" fillId="4" borderId="12" xfId="12" applyNumberFormat="1" applyFont="1" applyFill="1" applyBorder="1" applyAlignment="1" applyProtection="1">
      <alignment horizontal="left" indent="1"/>
    </xf>
    <xf numFmtId="0" fontId="21" fillId="9" borderId="12" xfId="12" applyNumberFormat="1" applyFont="1" applyFill="1" applyBorder="1" applyAlignment="1" applyProtection="1">
      <alignment horizontal="left" indent="1"/>
    </xf>
    <xf numFmtId="0" fontId="7" fillId="14" borderId="14" xfId="12" applyNumberFormat="1" applyFont="1" applyFill="1" applyBorder="1" applyAlignment="1" applyProtection="1">
      <alignment horizontal="center"/>
    </xf>
    <xf numFmtId="0" fontId="4" fillId="14" borderId="7" xfId="12" applyNumberFormat="1" applyFont="1" applyFill="1" applyBorder="1" applyAlignment="1" applyProtection="1">
      <alignment horizontal="center"/>
    </xf>
    <xf numFmtId="0" fontId="20" fillId="14" borderId="7" xfId="12" applyNumberFormat="1" applyFont="1" applyFill="1" applyBorder="1" applyAlignment="1" applyProtection="1">
      <alignment horizontal="center"/>
    </xf>
    <xf numFmtId="0" fontId="21" fillId="4" borderId="12" xfId="12" applyNumberFormat="1" applyFont="1" applyFill="1" applyBorder="1" applyAlignment="1" applyProtection="1">
      <alignment horizontal="center"/>
    </xf>
    <xf numFmtId="0" fontId="21" fillId="9" borderId="12" xfId="12" applyNumberFormat="1" applyFont="1" applyFill="1" applyBorder="1" applyAlignment="1" applyProtection="1">
      <alignment horizontal="center"/>
    </xf>
    <xf numFmtId="165" fontId="21" fillId="0" borderId="4" xfId="0" applyNumberFormat="1" applyFont="1" applyFill="1" applyBorder="1" applyAlignment="1" applyProtection="1">
      <alignment horizontal="center" vertical="center"/>
    </xf>
    <xf numFmtId="165" fontId="7" fillId="0" borderId="4" xfId="0" applyNumberFormat="1" applyFont="1" applyFill="1" applyBorder="1" applyAlignment="1" applyProtection="1">
      <alignment horizontal="center" vertical="center"/>
    </xf>
    <xf numFmtId="165" fontId="0" fillId="0" borderId="4" xfId="0" applyNumberFormat="1" applyFont="1" applyFill="1" applyBorder="1" applyAlignment="1" applyProtection="1">
      <alignment horizontal="center" vertical="center"/>
    </xf>
    <xf numFmtId="165" fontId="7" fillId="35" borderId="4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Protection="1">
      <alignment vertical="center"/>
    </xf>
    <xf numFmtId="4" fontId="4" fillId="0" borderId="0" xfId="0" applyNumberFormat="1" applyFont="1" applyFill="1" applyBorder="1" applyProtection="1">
      <alignment vertical="center"/>
    </xf>
    <xf numFmtId="0" fontId="68" fillId="28" borderId="89" xfId="5" applyNumberFormat="1" applyFont="1" applyFill="1" applyBorder="1" applyProtection="1">
      <protection locked="0"/>
    </xf>
    <xf numFmtId="4" fontId="68" fillId="28" borderId="89" xfId="5" applyNumberFormat="1" applyFont="1" applyFill="1" applyBorder="1" applyProtection="1">
      <protection locked="0"/>
    </xf>
    <xf numFmtId="2" fontId="68" fillId="28" borderId="89" xfId="5" applyNumberFormat="1" applyFont="1" applyFill="1" applyBorder="1" applyProtection="1">
      <protection locked="0"/>
    </xf>
    <xf numFmtId="0" fontId="4" fillId="9" borderId="0" xfId="0" applyNumberFormat="1" applyFont="1" applyFill="1" applyBorder="1" applyProtection="1">
      <alignment vertical="center"/>
    </xf>
    <xf numFmtId="0" fontId="70" fillId="30" borderId="92" xfId="4" applyNumberFormat="1" applyFont="1" applyFill="1" applyBorder="1" applyProtection="1"/>
    <xf numFmtId="0" fontId="7" fillId="0" borderId="0" xfId="0" applyNumberFormat="1" applyFont="1" applyFill="1" applyBorder="1" applyAlignment="1" applyProtection="1">
      <alignment horizontal="right" vertical="center"/>
    </xf>
    <xf numFmtId="0" fontId="7" fillId="4" borderId="0" xfId="0" applyNumberFormat="1" applyFont="1" applyFill="1" applyBorder="1" applyAlignment="1" applyProtection="1">
      <alignment horizontal="right" vertical="center"/>
    </xf>
    <xf numFmtId="0" fontId="1" fillId="0" borderId="0" xfId="16" applyNumberFormat="1" applyFont="1" applyFill="1" applyBorder="1" applyProtection="1">
      <protection hidden="1"/>
    </xf>
    <xf numFmtId="0" fontId="1" fillId="0" borderId="93" xfId="16" applyNumberFormat="1" applyFont="1" applyFill="1" applyBorder="1" applyProtection="1">
      <protection hidden="1"/>
    </xf>
    <xf numFmtId="0" fontId="1" fillId="0" borderId="94" xfId="16" applyNumberFormat="1" applyFont="1" applyFill="1" applyBorder="1" applyProtection="1">
      <protection hidden="1"/>
    </xf>
    <xf numFmtId="0" fontId="1" fillId="0" borderId="95" xfId="16" applyNumberFormat="1" applyFont="1" applyFill="1" applyBorder="1" applyProtection="1">
      <protection hidden="1"/>
    </xf>
    <xf numFmtId="0" fontId="1" fillId="0" borderId="96" xfId="16" applyNumberFormat="1" applyFont="1" applyFill="1" applyBorder="1" applyProtection="1">
      <protection hidden="1"/>
    </xf>
    <xf numFmtId="0" fontId="1" fillId="0" borderId="0" xfId="16" applyNumberFormat="1" applyFont="1" applyFill="1" applyBorder="1" applyProtection="1">
      <protection hidden="1"/>
    </xf>
    <xf numFmtId="0" fontId="1" fillId="0" borderId="97" xfId="16" applyNumberFormat="1" applyFont="1" applyFill="1" applyBorder="1" applyProtection="1">
      <protection hidden="1"/>
    </xf>
    <xf numFmtId="0" fontId="1" fillId="0" borderId="0" xfId="16" applyNumberFormat="1" applyFont="1" applyFill="1" applyBorder="1" applyAlignment="1" applyProtection="1">
      <alignment horizontal="center"/>
      <protection hidden="1"/>
    </xf>
    <xf numFmtId="0" fontId="75" fillId="0" borderId="96" xfId="16" applyNumberFormat="1" applyFont="1" applyFill="1" applyBorder="1" applyAlignment="1" applyProtection="1">
      <alignment horizontal="center" vertical="center"/>
      <protection hidden="1"/>
    </xf>
    <xf numFmtId="0" fontId="75" fillId="0" borderId="0" xfId="16" applyNumberFormat="1" applyFont="1" applyFill="1" applyBorder="1" applyAlignment="1" applyProtection="1">
      <alignment horizontal="center" vertical="center"/>
      <protection hidden="1"/>
    </xf>
    <xf numFmtId="0" fontId="75" fillId="0" borderId="0" xfId="16" quotePrefix="1" applyNumberFormat="1" applyFont="1" applyFill="1" applyBorder="1" applyAlignment="1" applyProtection="1">
      <alignment horizontal="center" vertical="center"/>
      <protection hidden="1"/>
    </xf>
    <xf numFmtId="188" fontId="75" fillId="35" borderId="0" xfId="16" applyNumberFormat="1" applyFont="1" applyFill="1" applyBorder="1" applyAlignment="1" applyProtection="1">
      <alignment horizontal="center" vertical="center"/>
      <protection hidden="1"/>
    </xf>
    <xf numFmtId="0" fontId="75" fillId="0" borderId="97" xfId="16" applyNumberFormat="1" applyFont="1" applyFill="1" applyBorder="1" applyAlignment="1" applyProtection="1">
      <alignment horizontal="center" vertical="center"/>
      <protection hidden="1"/>
    </xf>
    <xf numFmtId="0" fontId="75" fillId="0" borderId="0" xfId="16" applyNumberFormat="1" applyFont="1" applyFill="1" applyBorder="1" applyAlignment="1" applyProtection="1">
      <alignment horizontal="center" vertical="center"/>
      <protection hidden="1"/>
    </xf>
    <xf numFmtId="0" fontId="1" fillId="0" borderId="96" xfId="16" applyNumberFormat="1" applyFont="1" applyFill="1" applyBorder="1" applyAlignment="1" applyProtection="1">
      <alignment horizontal="center" vertical="center"/>
      <protection hidden="1"/>
    </xf>
    <xf numFmtId="165" fontId="1" fillId="0" borderId="98" xfId="16" applyNumberFormat="1" applyFont="1" applyFill="1" applyBorder="1" applyAlignment="1" applyProtection="1">
      <alignment horizontal="center" vertical="center"/>
      <protection hidden="1"/>
    </xf>
    <xf numFmtId="0" fontId="1" fillId="0" borderId="0" xfId="16" applyNumberFormat="1" applyFont="1" applyFill="1" applyBorder="1" applyAlignment="1" applyProtection="1">
      <alignment horizontal="center" vertical="center"/>
      <protection hidden="1"/>
    </xf>
    <xf numFmtId="165" fontId="1" fillId="0" borderId="98" xfId="16" applyNumberFormat="1" applyFont="1" applyFill="1" applyBorder="1" applyAlignment="1" applyProtection="1">
      <alignment horizontal="center" vertical="center" wrapText="1"/>
      <protection hidden="1"/>
    </xf>
    <xf numFmtId="0" fontId="1" fillId="0" borderId="97" xfId="16" applyNumberFormat="1" applyFont="1" applyFill="1" applyBorder="1" applyAlignment="1" applyProtection="1">
      <alignment horizontal="center" vertical="center"/>
      <protection hidden="1"/>
    </xf>
    <xf numFmtId="0" fontId="1" fillId="0" borderId="0" xfId="16" applyNumberFormat="1" applyFont="1" applyFill="1" applyBorder="1" applyAlignment="1" applyProtection="1">
      <alignment horizontal="center" vertical="center"/>
      <protection hidden="1"/>
    </xf>
    <xf numFmtId="0" fontId="1" fillId="0" borderId="99" xfId="16" applyNumberFormat="1" applyFont="1" applyFill="1" applyBorder="1" applyProtection="1">
      <protection hidden="1"/>
    </xf>
    <xf numFmtId="0" fontId="1" fillId="0" borderId="100" xfId="16" applyNumberFormat="1" applyFont="1" applyFill="1" applyBorder="1" applyProtection="1">
      <protection hidden="1"/>
    </xf>
    <xf numFmtId="0" fontId="1" fillId="0" borderId="101" xfId="16" applyNumberFormat="1" applyFont="1" applyFill="1" applyBorder="1" applyProtection="1">
      <protection hidden="1"/>
    </xf>
    <xf numFmtId="0" fontId="76" fillId="0" borderId="0" xfId="16" applyNumberFormat="1" applyFont="1" applyFill="1" applyBorder="1" applyProtection="1">
      <protection hidden="1"/>
    </xf>
    <xf numFmtId="0" fontId="0" fillId="4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4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189" fontId="68" fillId="28" borderId="89" xfId="10" applyNumberFormat="1" applyFont="1" applyFill="1" applyBorder="1" applyProtection="1">
      <protection locked="0"/>
    </xf>
    <xf numFmtId="190" fontId="68" fillId="0" borderId="0" xfId="10" applyNumberFormat="1" applyFont="1" applyFill="1" applyBorder="1" applyAlignment="1" applyProtection="1">
      <alignment vertical="center"/>
    </xf>
    <xf numFmtId="165" fontId="21" fillId="16" borderId="4" xfId="0" applyNumberFormat="1" applyFont="1" applyFill="1" applyBorder="1" applyAlignment="1" applyProtection="1">
      <alignment horizontal="center" vertical="center"/>
      <protection locked="0"/>
    </xf>
    <xf numFmtId="165" fontId="7" fillId="16" borderId="4" xfId="0" applyNumberFormat="1" applyFont="1" applyFill="1" applyBorder="1" applyAlignment="1" applyProtection="1">
      <alignment horizontal="center" vertical="center"/>
      <protection locked="0"/>
    </xf>
    <xf numFmtId="165" fontId="0" fillId="16" borderId="4" xfId="0" applyNumberFormat="1" applyFont="1" applyFill="1" applyBorder="1" applyAlignment="1" applyProtection="1">
      <alignment horizontal="center" vertical="center"/>
      <protection locked="0"/>
    </xf>
    <xf numFmtId="191" fontId="7" fillId="9" borderId="4" xfId="0" applyNumberFormat="1" applyFont="1" applyFill="1" applyBorder="1" applyAlignment="1" applyProtection="1">
      <alignment horizontal="center" vertical="center"/>
    </xf>
    <xf numFmtId="0" fontId="28" fillId="9" borderId="0" xfId="0" applyNumberFormat="1" applyFont="1" applyFill="1" applyBorder="1" applyAlignment="1" applyProtection="1">
      <alignment horizontal="right" vertical="center"/>
    </xf>
    <xf numFmtId="0" fontId="7" fillId="14" borderId="4" xfId="0" applyNumberFormat="1" applyFont="1" applyFill="1" applyBorder="1" applyAlignment="1" applyProtection="1">
      <alignment horizontal="left" vertical="center"/>
    </xf>
    <xf numFmtId="0" fontId="4" fillId="16" borderId="4" xfId="0" applyNumberFormat="1" applyFont="1" applyFill="1" applyBorder="1" applyAlignment="1" applyProtection="1">
      <alignment horizontal="left" vertical="center"/>
      <protection locked="0"/>
    </xf>
    <xf numFmtId="1" fontId="4" fillId="16" borderId="4" xfId="0" applyNumberFormat="1" applyFont="1" applyFill="1" applyBorder="1" applyAlignment="1" applyProtection="1">
      <alignment horizontal="center" vertical="center"/>
      <protection locked="0"/>
    </xf>
    <xf numFmtId="4" fontId="4" fillId="16" borderId="4" xfId="0" applyNumberFormat="1" applyFont="1" applyFill="1" applyBorder="1" applyAlignment="1" applyProtection="1">
      <alignment horizontal="center" vertical="center"/>
      <protection locked="0"/>
    </xf>
    <xf numFmtId="4" fontId="4" fillId="4" borderId="4" xfId="0" applyNumberFormat="1" applyFont="1" applyFill="1" applyBorder="1" applyAlignment="1" applyProtection="1">
      <alignment horizontal="center" vertical="center"/>
      <protection locked="0"/>
    </xf>
    <xf numFmtId="10" fontId="4" fillId="16" borderId="4" xfId="0" applyNumberFormat="1" applyFont="1" applyFill="1" applyBorder="1" applyAlignment="1" applyProtection="1">
      <alignment horizontal="center" vertical="center"/>
      <protection locked="0"/>
    </xf>
    <xf numFmtId="0" fontId="4" fillId="16" borderId="4" xfId="0" applyNumberFormat="1" applyFont="1" applyFill="1" applyBorder="1" applyAlignment="1" applyProtection="1">
      <alignment horizontal="center" vertical="center"/>
      <protection locked="0"/>
    </xf>
    <xf numFmtId="14" fontId="4" fillId="16" borderId="4" xfId="0" applyNumberFormat="1" applyFont="1" applyFill="1" applyBorder="1" applyAlignment="1" applyProtection="1">
      <alignment horizontal="center" vertical="center"/>
      <protection locked="0"/>
    </xf>
    <xf numFmtId="165" fontId="0" fillId="16" borderId="4" xfId="0" applyNumberFormat="1" applyFont="1" applyFill="1" applyBorder="1" applyAlignment="1" applyProtection="1">
      <alignment horizontal="center"/>
      <protection locked="0"/>
    </xf>
    <xf numFmtId="165" fontId="0" fillId="16" borderId="1" xfId="0" applyNumberFormat="1" applyFont="1" applyFill="1" applyBorder="1" applyAlignment="1" applyProtection="1">
      <alignment horizontal="center"/>
      <protection locked="0"/>
    </xf>
    <xf numFmtId="165" fontId="0" fillId="16" borderId="25" xfId="0" applyNumberFormat="1" applyFont="1" applyFill="1" applyBorder="1" applyAlignment="1" applyProtection="1">
      <alignment horizontal="center"/>
      <protection locked="0"/>
    </xf>
    <xf numFmtId="4" fontId="0" fillId="11" borderId="4" xfId="0" applyNumberFormat="1" applyFont="1" applyFill="1" applyBorder="1" applyAlignment="1" applyProtection="1">
      <alignment horizontal="center"/>
      <protection locked="0"/>
    </xf>
    <xf numFmtId="187" fontId="75" fillId="35" borderId="0" xfId="16" applyNumberFormat="1" applyFont="1" applyFill="1" applyBorder="1" applyAlignment="1" applyProtection="1">
      <alignment horizontal="center" vertical="center"/>
      <protection hidden="1"/>
    </xf>
    <xf numFmtId="8" fontId="75" fillId="35" borderId="0" xfId="16" applyNumberFormat="1" applyFont="1" applyFill="1" applyBorder="1" applyAlignment="1" applyProtection="1">
      <alignment horizontal="center" vertical="center"/>
      <protection hidden="1"/>
    </xf>
    <xf numFmtId="0" fontId="45" fillId="0" borderId="4" xfId="14" quotePrefix="1" applyNumberFormat="1" applyFont="1" applyFill="1" applyBorder="1" applyProtection="1"/>
    <xf numFmtId="0" fontId="44" fillId="9" borderId="0" xfId="14" applyNumberFormat="1" applyFont="1" applyFill="1" applyBorder="1" applyAlignment="1" applyProtection="1">
      <alignment horizontal="right"/>
    </xf>
    <xf numFmtId="0" fontId="44" fillId="9" borderId="0" xfId="14" applyNumberFormat="1" applyFont="1" applyFill="1" applyBorder="1" applyAlignment="1" applyProtection="1">
      <alignment horizontal="center"/>
    </xf>
    <xf numFmtId="0" fontId="44" fillId="9" borderId="0" xfId="14" applyNumberFormat="1" applyFont="1" applyFill="1" applyBorder="1" applyProtection="1"/>
    <xf numFmtId="0" fontId="44" fillId="0" borderId="0" xfId="14" applyNumberFormat="1" applyFont="1" applyFill="1" applyBorder="1" applyProtection="1"/>
    <xf numFmtId="190" fontId="4" fillId="0" borderId="0" xfId="10" applyNumberFormat="1" applyFont="1" applyFill="1" applyBorder="1" applyAlignment="1" applyProtection="1">
      <alignment vertical="center"/>
    </xf>
    <xf numFmtId="165" fontId="4" fillId="0" borderId="0" xfId="32" applyNumberFormat="1" applyFont="1" applyFill="1" applyBorder="1" applyAlignment="1" applyProtection="1">
      <alignment vertical="center"/>
    </xf>
    <xf numFmtId="0" fontId="0" fillId="4" borderId="4" xfId="0" applyNumberFormat="1" applyFont="1" applyFill="1" applyBorder="1" applyAlignment="1" applyProtection="1">
      <alignment vertical="center"/>
      <protection locked="0"/>
    </xf>
    <xf numFmtId="0" fontId="4" fillId="16" borderId="4" xfId="0" applyNumberFormat="1" applyFont="1" applyFill="1" applyBorder="1" applyAlignment="1" applyProtection="1">
      <alignment vertical="center"/>
      <protection locked="0"/>
    </xf>
    <xf numFmtId="0" fontId="20" fillId="16" borderId="4" xfId="0" applyNumberFormat="1" applyFont="1" applyFill="1" applyBorder="1" applyAlignment="1" applyProtection="1">
      <alignment horizontal="center" vertical="center"/>
      <protection locked="0"/>
    </xf>
    <xf numFmtId="4" fontId="0" fillId="0" borderId="4" xfId="0" applyNumberFormat="1" applyFont="1" applyFill="1" applyBorder="1" applyAlignment="1" applyProtection="1">
      <alignment vertical="center"/>
      <protection locked="0"/>
    </xf>
    <xf numFmtId="4" fontId="0" fillId="16" borderId="4" xfId="0" applyNumberFormat="1" applyFont="1" applyFill="1" applyBorder="1" applyAlignment="1" applyProtection="1">
      <alignment vertical="center"/>
      <protection locked="0"/>
    </xf>
    <xf numFmtId="4" fontId="0" fillId="23" borderId="4" xfId="0" applyNumberFormat="1" applyFont="1" applyFill="1" applyBorder="1" applyAlignment="1" applyProtection="1">
      <alignment vertical="center"/>
      <protection locked="0"/>
    </xf>
    <xf numFmtId="4" fontId="0" fillId="9" borderId="4" xfId="0" applyNumberFormat="1" applyFont="1" applyFill="1" applyBorder="1" applyAlignment="1" applyProtection="1">
      <alignment vertical="center"/>
      <protection locked="0"/>
    </xf>
    <xf numFmtId="4" fontId="4" fillId="16" borderId="4" xfId="0" applyNumberFormat="1" applyFont="1" applyFill="1" applyBorder="1" applyAlignment="1" applyProtection="1">
      <alignment vertical="center"/>
      <protection locked="0"/>
    </xf>
    <xf numFmtId="4" fontId="20" fillId="9" borderId="4" xfId="10" applyNumberFormat="1" applyFont="1" applyFill="1" applyBorder="1" applyAlignment="1" applyProtection="1">
      <alignment horizontal="right" vertical="center"/>
      <protection locked="0"/>
    </xf>
    <xf numFmtId="9" fontId="0" fillId="16" borderId="4" xfId="0" applyNumberFormat="1" applyFont="1" applyFill="1" applyBorder="1" applyAlignment="1" applyProtection="1">
      <alignment vertical="center"/>
      <protection locked="0"/>
    </xf>
    <xf numFmtId="3" fontId="0" fillId="4" borderId="4" xfId="0" applyNumberFormat="1" applyFont="1" applyFill="1" applyBorder="1" applyAlignment="1" applyProtection="1">
      <alignment vertical="center"/>
      <protection locked="0"/>
    </xf>
    <xf numFmtId="3" fontId="32" fillId="9" borderId="4" xfId="10" applyNumberFormat="1" applyFont="1" applyFill="1" applyBorder="1" applyAlignment="1" applyProtection="1">
      <alignment horizontal="center" vertical="center"/>
      <protection locked="0"/>
    </xf>
    <xf numFmtId="9" fontId="4" fillId="16" borderId="4" xfId="10" applyNumberFormat="1" applyFont="1" applyFill="1" applyBorder="1" applyAlignment="1" applyProtection="1">
      <alignment horizontal="center" vertical="center"/>
      <protection locked="0"/>
    </xf>
    <xf numFmtId="3" fontId="4" fillId="9" borderId="4" xfId="10" applyNumberFormat="1" applyFont="1" applyFill="1" applyBorder="1" applyAlignment="1" applyProtection="1">
      <alignment horizontal="center" vertical="center"/>
      <protection locked="0"/>
    </xf>
    <xf numFmtId="4" fontId="4" fillId="4" borderId="4" xfId="10" applyNumberFormat="1" applyFont="1" applyFill="1" applyBorder="1" applyAlignment="1" applyProtection="1">
      <alignment horizontal="center" vertical="center"/>
      <protection locked="0"/>
    </xf>
    <xf numFmtId="4" fontId="4" fillId="16" borderId="4" xfId="10" applyNumberFormat="1" applyFont="1" applyFill="1" applyBorder="1" applyAlignment="1" applyProtection="1">
      <alignment horizontal="center" vertical="center"/>
      <protection locked="0"/>
    </xf>
    <xf numFmtId="3" fontId="4" fillId="4" borderId="4" xfId="10" applyNumberFormat="1" applyFont="1" applyFill="1" applyBorder="1" applyAlignment="1" applyProtection="1">
      <alignment horizontal="center" vertical="center"/>
      <protection locked="0"/>
    </xf>
    <xf numFmtId="0" fontId="4" fillId="4" borderId="4" xfId="0" applyNumberFormat="1" applyFont="1" applyFill="1" applyBorder="1" applyAlignment="1" applyProtection="1">
      <alignment vertical="center"/>
      <protection locked="0"/>
    </xf>
    <xf numFmtId="0" fontId="4" fillId="14" borderId="6" xfId="0" applyNumberFormat="1" applyFont="1" applyFill="1" applyBorder="1" applyAlignment="1" applyProtection="1">
      <alignment vertical="center"/>
      <protection locked="0"/>
    </xf>
    <xf numFmtId="0" fontId="4" fillId="14" borderId="6" xfId="0" applyNumberFormat="1" applyFont="1" applyFill="1" applyBorder="1" applyAlignment="1" applyProtection="1">
      <alignment horizontal="center" vertical="center"/>
      <protection locked="0"/>
    </xf>
    <xf numFmtId="0" fontId="4" fillId="4" borderId="0" xfId="0" applyNumberFormat="1" applyFont="1" applyFill="1" applyBorder="1" applyAlignment="1" applyProtection="1">
      <alignment vertical="center"/>
      <protection locked="0"/>
    </xf>
    <xf numFmtId="0" fontId="4" fillId="14" borderId="7" xfId="0" applyNumberFormat="1" applyFont="1" applyFill="1" applyBorder="1" applyAlignment="1" applyProtection="1">
      <alignment horizontal="center" vertical="center"/>
      <protection locked="0"/>
    </xf>
    <xf numFmtId="0" fontId="4" fillId="4" borderId="9" xfId="0" applyNumberFormat="1" applyFont="1" applyFill="1" applyBorder="1" applyAlignment="1" applyProtection="1">
      <alignment vertical="center"/>
      <protection locked="0"/>
    </xf>
    <xf numFmtId="0" fontId="4" fillId="4" borderId="0" xfId="0" applyNumberFormat="1" applyFont="1" applyFill="1" applyBorder="1" applyAlignment="1" applyProtection="1">
      <alignment horizontal="center" vertical="center"/>
      <protection locked="0"/>
    </xf>
    <xf numFmtId="0" fontId="24" fillId="4" borderId="0" xfId="0" applyNumberFormat="1" applyFont="1" applyFill="1" applyBorder="1" applyAlignment="1" applyProtection="1">
      <alignment vertical="center"/>
      <protection locked="0"/>
    </xf>
    <xf numFmtId="0" fontId="4" fillId="4" borderId="27" xfId="0" applyNumberFormat="1" applyFont="1" applyFill="1" applyBorder="1" applyAlignment="1" applyProtection="1">
      <alignment vertical="center"/>
      <protection locked="0"/>
    </xf>
    <xf numFmtId="4" fontId="4" fillId="9" borderId="27" xfId="0" applyNumberFormat="1" applyFont="1" applyFill="1" applyBorder="1" applyAlignment="1" applyProtection="1">
      <alignment horizontal="center" vertical="center"/>
      <protection locked="0"/>
    </xf>
    <xf numFmtId="0" fontId="4" fillId="4" borderId="27" xfId="0" applyNumberFormat="1" applyFont="1" applyFill="1" applyBorder="1" applyAlignment="1" applyProtection="1">
      <alignment horizontal="center" vertical="center"/>
      <protection locked="0"/>
    </xf>
    <xf numFmtId="0" fontId="4" fillId="4" borderId="0" xfId="0" applyNumberFormat="1" applyFont="1" applyFill="1" applyBorder="1" applyAlignment="1" applyProtection="1">
      <alignment vertical="center"/>
      <protection locked="0"/>
    </xf>
    <xf numFmtId="0" fontId="7" fillId="14" borderId="6" xfId="0" applyNumberFormat="1" applyFont="1" applyFill="1" applyBorder="1" applyAlignment="1" applyProtection="1">
      <alignment vertical="center"/>
      <protection locked="0"/>
    </xf>
    <xf numFmtId="165" fontId="4" fillId="14" borderId="6" xfId="0" applyNumberFormat="1" applyFont="1" applyFill="1" applyBorder="1" applyAlignment="1" applyProtection="1">
      <alignment horizontal="center" vertical="center"/>
      <protection locked="0"/>
    </xf>
    <xf numFmtId="4" fontId="4" fillId="4" borderId="12" xfId="0" applyNumberFormat="1" applyFont="1" applyFill="1" applyBorder="1" applyAlignment="1" applyProtection="1">
      <alignment horizontal="center" vertical="center"/>
      <protection locked="0"/>
    </xf>
    <xf numFmtId="0" fontId="4" fillId="4" borderId="12" xfId="0" applyNumberFormat="1" applyFont="1" applyFill="1" applyBorder="1" applyAlignment="1" applyProtection="1">
      <alignment horizontal="center" vertical="center"/>
      <protection locked="0"/>
    </xf>
    <xf numFmtId="0" fontId="4" fillId="4" borderId="12" xfId="0" applyNumberFormat="1" applyFont="1" applyFill="1" applyBorder="1" applyAlignment="1" applyProtection="1">
      <alignment vertical="center"/>
      <protection locked="0"/>
    </xf>
    <xf numFmtId="0" fontId="4" fillId="4" borderId="10" xfId="0" applyNumberFormat="1" applyFont="1" applyFill="1" applyBorder="1" applyAlignment="1" applyProtection="1">
      <alignment vertical="center"/>
      <protection locked="0"/>
    </xf>
    <xf numFmtId="165" fontId="4" fillId="36" borderId="9" xfId="0" applyNumberFormat="1" applyFont="1" applyFill="1" applyBorder="1" applyAlignment="1" applyProtection="1">
      <alignment horizontal="center" vertical="center"/>
      <protection locked="0"/>
    </xf>
    <xf numFmtId="165" fontId="4" fillId="16" borderId="9" xfId="0" applyNumberFormat="1" applyFont="1" applyFill="1" applyBorder="1" applyAlignment="1" applyProtection="1">
      <alignment horizontal="center" vertical="center"/>
      <protection locked="0"/>
    </xf>
    <xf numFmtId="165" fontId="4" fillId="10" borderId="9" xfId="0" applyNumberFormat="1" applyFont="1" applyFill="1" applyBorder="1" applyAlignment="1" applyProtection="1">
      <alignment horizontal="center" vertical="center"/>
      <protection locked="0"/>
    </xf>
    <xf numFmtId="167" fontId="4" fillId="4" borderId="12" xfId="0" applyNumberFormat="1" applyFont="1" applyFill="1" applyBorder="1" applyAlignment="1" applyProtection="1">
      <alignment horizontal="center" vertical="center"/>
      <protection locked="0"/>
    </xf>
    <xf numFmtId="165" fontId="4" fillId="10" borderId="13" xfId="0" applyNumberFormat="1" applyFont="1" applyFill="1" applyBorder="1" applyAlignment="1" applyProtection="1">
      <alignment horizontal="center" vertical="center"/>
      <protection locked="0"/>
    </xf>
    <xf numFmtId="165" fontId="4" fillId="36" borderId="13" xfId="0" applyNumberFormat="1" applyFont="1" applyFill="1" applyBorder="1" applyAlignment="1" applyProtection="1">
      <alignment horizontal="center" vertical="center"/>
      <protection locked="0"/>
    </xf>
    <xf numFmtId="0" fontId="51" fillId="14" borderId="6" xfId="0" applyNumberFormat="1" applyFont="1" applyFill="1" applyBorder="1" applyAlignment="1" applyProtection="1">
      <alignment horizontal="center" vertical="center"/>
      <protection locked="0"/>
    </xf>
    <xf numFmtId="165" fontId="7" fillId="14" borderId="6" xfId="0" applyNumberFormat="1" applyFont="1" applyFill="1" applyBorder="1" applyAlignment="1" applyProtection="1">
      <alignment horizontal="center" vertical="center"/>
      <protection locked="0"/>
    </xf>
    <xf numFmtId="4" fontId="4" fillId="14" borderId="6" xfId="0" applyNumberFormat="1" applyFont="1" applyFill="1" applyBorder="1" applyAlignment="1" applyProtection="1">
      <alignment horizontal="center" vertical="center"/>
      <protection locked="0"/>
    </xf>
    <xf numFmtId="167" fontId="7" fillId="14" borderId="6" xfId="0" applyNumberFormat="1" applyFont="1" applyFill="1" applyBorder="1" applyAlignment="1" applyProtection="1">
      <alignment horizontal="center" vertical="center"/>
      <protection locked="0"/>
    </xf>
    <xf numFmtId="4" fontId="4" fillId="14" borderId="7" xfId="0" applyNumberFormat="1" applyFont="1" applyFill="1" applyBorder="1" applyAlignment="1" applyProtection="1">
      <alignment horizontal="center" vertical="center"/>
      <protection locked="0"/>
    </xf>
    <xf numFmtId="0" fontId="4" fillId="0" borderId="18" xfId="0" applyNumberFormat="1" applyFont="1" applyFill="1" applyBorder="1" applyAlignment="1" applyProtection="1">
      <alignment vertical="center"/>
      <protection locked="0"/>
    </xf>
    <xf numFmtId="165" fontId="4" fillId="36" borderId="11" xfId="0" applyNumberFormat="1" applyFont="1" applyFill="1" applyBorder="1" applyAlignment="1" applyProtection="1">
      <alignment horizontal="center" vertical="center"/>
      <protection locked="0"/>
    </xf>
    <xf numFmtId="165" fontId="4" fillId="16" borderId="11" xfId="0" applyNumberFormat="1" applyFont="1" applyFill="1" applyBorder="1" applyAlignment="1" applyProtection="1">
      <alignment horizontal="center" vertical="center"/>
      <protection locked="0"/>
    </xf>
    <xf numFmtId="165" fontId="4" fillId="10" borderId="11" xfId="0" applyNumberFormat="1" applyFont="1" applyFill="1" applyBorder="1" applyAlignment="1" applyProtection="1">
      <alignment horizontal="center" vertical="center"/>
      <protection locked="0"/>
    </xf>
    <xf numFmtId="4" fontId="4" fillId="4" borderId="8" xfId="0" applyNumberFormat="1" applyFont="1" applyFill="1" applyBorder="1" applyAlignment="1" applyProtection="1">
      <alignment horizontal="center" vertical="center"/>
      <protection locked="0"/>
    </xf>
    <xf numFmtId="167" fontId="4" fillId="4" borderId="8" xfId="0" applyNumberFormat="1" applyFont="1" applyFill="1" applyBorder="1" applyAlignment="1" applyProtection="1">
      <alignment horizontal="center" vertical="center"/>
      <protection locked="0"/>
    </xf>
    <xf numFmtId="0" fontId="4" fillId="9" borderId="10" xfId="0" applyNumberFormat="1" applyFont="1" applyFill="1" applyBorder="1" applyAlignment="1" applyProtection="1">
      <alignment vertical="center"/>
      <protection locked="0"/>
    </xf>
    <xf numFmtId="0" fontId="54" fillId="15" borderId="6" xfId="0" applyNumberFormat="1" applyFont="1" applyFill="1" applyBorder="1" applyAlignment="1" applyProtection="1">
      <alignment horizontal="center" vertical="center"/>
      <protection locked="0"/>
    </xf>
    <xf numFmtId="0" fontId="4" fillId="15" borderId="6" xfId="0" applyNumberFormat="1" applyFont="1" applyFill="1" applyBorder="1" applyAlignment="1" applyProtection="1">
      <alignment vertical="center"/>
      <protection locked="0"/>
    </xf>
    <xf numFmtId="165" fontId="4" fillId="15" borderId="6" xfId="0" applyNumberFormat="1" applyFont="1" applyFill="1" applyBorder="1" applyAlignment="1" applyProtection="1">
      <alignment horizontal="center" vertical="center"/>
      <protection locked="0"/>
    </xf>
    <xf numFmtId="4" fontId="4" fillId="15" borderId="6" xfId="0" applyNumberFormat="1" applyFont="1" applyFill="1" applyBorder="1" applyAlignment="1" applyProtection="1">
      <alignment horizontal="center" vertical="center"/>
      <protection locked="0"/>
    </xf>
    <xf numFmtId="167" fontId="7" fillId="15" borderId="6" xfId="0" applyNumberFormat="1" applyFont="1" applyFill="1" applyBorder="1" applyAlignment="1" applyProtection="1">
      <alignment horizontal="center" vertical="center"/>
      <protection locked="0"/>
    </xf>
    <xf numFmtId="4" fontId="4" fillId="15" borderId="7" xfId="0" applyNumberFormat="1" applyFont="1" applyFill="1" applyBorder="1" applyAlignment="1" applyProtection="1">
      <alignment horizontal="center" vertical="center"/>
      <protection locked="0"/>
    </xf>
    <xf numFmtId="0" fontId="4" fillId="9" borderId="9" xfId="0" applyNumberFormat="1" applyFont="1" applyFill="1" applyBorder="1" applyAlignment="1" applyProtection="1">
      <alignment vertical="center"/>
      <protection locked="0"/>
    </xf>
    <xf numFmtId="167" fontId="4" fillId="4" borderId="9" xfId="0" applyNumberFormat="1" applyFont="1" applyFill="1" applyBorder="1" applyAlignment="1" applyProtection="1">
      <alignment horizontal="center" vertical="center"/>
      <protection locked="0"/>
    </xf>
    <xf numFmtId="0" fontId="4" fillId="10" borderId="13" xfId="0" applyNumberFormat="1" applyFont="1" applyFill="1" applyBorder="1" applyAlignment="1" applyProtection="1">
      <alignment vertical="center"/>
      <protection locked="0"/>
    </xf>
    <xf numFmtId="0" fontId="4" fillId="9" borderId="18" xfId="0" applyNumberFormat="1" applyFont="1" applyFill="1" applyBorder="1" applyAlignment="1" applyProtection="1">
      <alignment vertical="center"/>
      <protection locked="0"/>
    </xf>
    <xf numFmtId="0" fontId="4" fillId="10" borderId="10" xfId="0" applyNumberFormat="1" applyFont="1" applyFill="1" applyBorder="1" applyAlignment="1" applyProtection="1">
      <alignment vertical="center"/>
      <protection locked="0"/>
    </xf>
    <xf numFmtId="0" fontId="4" fillId="9" borderId="16" xfId="0" applyNumberFormat="1" applyFont="1" applyFill="1" applyBorder="1" applyAlignment="1" applyProtection="1">
      <alignment vertical="center"/>
      <protection locked="0"/>
    </xf>
    <xf numFmtId="165" fontId="4" fillId="16" borderId="13" xfId="0" applyNumberFormat="1" applyFont="1" applyFill="1" applyBorder="1" applyAlignment="1" applyProtection="1">
      <alignment horizontal="center" vertical="center"/>
      <protection locked="0"/>
    </xf>
    <xf numFmtId="0" fontId="4" fillId="0" borderId="16" xfId="0" applyNumberFormat="1" applyFont="1" applyFill="1" applyBorder="1" applyAlignment="1" applyProtection="1">
      <alignment vertical="center"/>
      <protection locked="0"/>
    </xf>
    <xf numFmtId="4" fontId="4" fillId="0" borderId="12" xfId="0" applyNumberFormat="1" applyFont="1" applyFill="1" applyBorder="1" applyAlignment="1" applyProtection="1">
      <alignment horizontal="center" vertical="center"/>
      <protection locked="0"/>
    </xf>
    <xf numFmtId="167" fontId="4" fillId="0" borderId="12" xfId="0" applyNumberFormat="1" applyFont="1" applyFill="1" applyBorder="1" applyAlignment="1" applyProtection="1">
      <alignment horizontal="center" vertical="center"/>
      <protection locked="0"/>
    </xf>
    <xf numFmtId="0" fontId="4" fillId="0" borderId="12" xfId="0" applyNumberFormat="1" applyFont="1" applyFill="1" applyBorder="1" applyAlignment="1" applyProtection="1">
      <alignment vertical="center"/>
      <protection locked="0"/>
    </xf>
    <xf numFmtId="0" fontId="4" fillId="4" borderId="13" xfId="0" applyNumberFormat="1" applyFont="1" applyFill="1" applyBorder="1" applyAlignment="1" applyProtection="1">
      <alignment vertical="center"/>
      <protection locked="0"/>
    </xf>
    <xf numFmtId="4" fontId="4" fillId="4" borderId="17" xfId="0" applyNumberFormat="1" applyFont="1" applyFill="1" applyBorder="1" applyAlignment="1" applyProtection="1">
      <alignment horizontal="center" vertical="center"/>
      <protection locked="0"/>
    </xf>
    <xf numFmtId="0" fontId="4" fillId="4" borderId="13" xfId="0" applyNumberFormat="1" applyFont="1" applyFill="1" applyBorder="1" applyAlignment="1" applyProtection="1">
      <alignment horizontal="center" vertical="center"/>
      <protection locked="0"/>
    </xf>
    <xf numFmtId="0" fontId="4" fillId="4" borderId="17" xfId="0" applyNumberFormat="1" applyFont="1" applyFill="1" applyBorder="1" applyAlignment="1" applyProtection="1">
      <alignment horizontal="center" vertical="center"/>
      <protection locked="0"/>
    </xf>
    <xf numFmtId="0" fontId="51" fillId="14" borderId="16" xfId="0" applyNumberFormat="1" applyFont="1" applyFill="1" applyBorder="1" applyAlignment="1" applyProtection="1">
      <alignment horizontal="center" vertical="center"/>
      <protection locked="0"/>
    </xf>
    <xf numFmtId="0" fontId="7" fillId="14" borderId="16" xfId="0" applyNumberFormat="1" applyFont="1" applyFill="1" applyBorder="1" applyAlignment="1" applyProtection="1">
      <alignment vertical="center"/>
      <protection locked="0"/>
    </xf>
    <xf numFmtId="165" fontId="7" fillId="14" borderId="13" xfId="0" applyNumberFormat="1" applyFont="1" applyFill="1" applyBorder="1" applyAlignment="1" applyProtection="1">
      <alignment horizontal="center" vertical="center"/>
      <protection locked="0"/>
    </xf>
    <xf numFmtId="4" fontId="4" fillId="14" borderId="17" xfId="0" applyNumberFormat="1" applyFont="1" applyFill="1" applyBorder="1" applyAlignment="1" applyProtection="1">
      <alignment horizontal="center" vertical="center"/>
      <protection locked="0"/>
    </xf>
    <xf numFmtId="167" fontId="7" fillId="14" borderId="17" xfId="0" applyNumberFormat="1" applyFont="1" applyFill="1" applyBorder="1" applyAlignment="1" applyProtection="1">
      <alignment horizontal="center" vertical="center"/>
      <protection locked="0"/>
    </xf>
    <xf numFmtId="167" fontId="4" fillId="4" borderId="17" xfId="0" applyNumberFormat="1" applyFont="1" applyFill="1" applyBorder="1" applyAlignment="1" applyProtection="1">
      <alignment horizontal="center" vertical="center"/>
      <protection locked="0"/>
    </xf>
    <xf numFmtId="4" fontId="4" fillId="0" borderId="17" xfId="0" applyNumberFormat="1" applyFont="1" applyFill="1" applyBorder="1" applyAlignment="1" applyProtection="1">
      <alignment horizontal="center" vertical="center"/>
      <protection locked="0"/>
    </xf>
    <xf numFmtId="167" fontId="4" fillId="0" borderId="17" xfId="0" applyNumberFormat="1" applyFont="1" applyFill="1" applyBorder="1" applyAlignment="1" applyProtection="1">
      <alignment horizontal="center" vertical="center"/>
      <protection locked="0"/>
    </xf>
    <xf numFmtId="165" fontId="4" fillId="4" borderId="0" xfId="0" applyNumberFormat="1" applyFont="1" applyFill="1" applyBorder="1" applyAlignment="1" applyProtection="1">
      <alignment vertical="center"/>
      <protection locked="0"/>
    </xf>
    <xf numFmtId="0" fontId="4" fillId="9" borderId="11" xfId="0" quotePrefix="1" applyNumberFormat="1" applyFont="1" applyFill="1" applyBorder="1" applyAlignment="1" applyProtection="1">
      <alignment vertical="center"/>
      <protection locked="0"/>
    </xf>
    <xf numFmtId="165" fontId="4" fillId="4" borderId="18" xfId="0" applyNumberFormat="1" applyFont="1" applyFill="1" applyBorder="1" applyAlignment="1" applyProtection="1">
      <alignment horizontal="center" vertical="center"/>
      <protection locked="0"/>
    </xf>
    <xf numFmtId="165" fontId="4" fillId="4" borderId="11" xfId="0" applyNumberFormat="1" applyFont="1" applyFill="1" applyBorder="1" applyAlignment="1" applyProtection="1">
      <alignment horizontal="center" vertical="center"/>
      <protection locked="0"/>
    </xf>
    <xf numFmtId="0" fontId="4" fillId="4" borderId="15" xfId="0" applyNumberFormat="1" applyFont="1" applyFill="1" applyBorder="1" applyAlignment="1" applyProtection="1">
      <alignment horizontal="center" vertical="center"/>
      <protection locked="0"/>
    </xf>
    <xf numFmtId="0" fontId="4" fillId="4" borderId="11" xfId="0" applyNumberFormat="1" applyFont="1" applyFill="1" applyBorder="1" applyAlignment="1" applyProtection="1">
      <alignment horizontal="center" vertical="center"/>
      <protection locked="0"/>
    </xf>
    <xf numFmtId="0" fontId="4" fillId="4" borderId="18" xfId="0" applyNumberFormat="1" applyFont="1" applyFill="1" applyBorder="1" applyAlignment="1" applyProtection="1">
      <alignment horizontal="center" vertical="center"/>
      <protection locked="0"/>
    </xf>
    <xf numFmtId="0" fontId="4" fillId="4" borderId="10" xfId="0" applyNumberFormat="1" applyFont="1" applyFill="1" applyBorder="1" applyAlignment="1" applyProtection="1">
      <alignment horizontal="center" vertical="center"/>
      <protection locked="0"/>
    </xf>
    <xf numFmtId="0" fontId="4" fillId="9" borderId="13" xfId="0" quotePrefix="1" applyNumberFormat="1" applyFont="1" applyFill="1" applyBorder="1" applyAlignment="1" applyProtection="1">
      <alignment vertical="center"/>
      <protection locked="0"/>
    </xf>
    <xf numFmtId="165" fontId="4" fillId="4" borderId="16" xfId="0" applyNumberFormat="1" applyFont="1" applyFill="1" applyBorder="1" applyAlignment="1" applyProtection="1">
      <alignment horizontal="center" vertical="center"/>
      <protection locked="0"/>
    </xf>
    <xf numFmtId="165" fontId="4" fillId="4" borderId="13" xfId="0" applyNumberFormat="1" applyFont="1" applyFill="1" applyBorder="1" applyAlignment="1" applyProtection="1">
      <alignment horizontal="center" vertical="center"/>
      <protection locked="0"/>
    </xf>
    <xf numFmtId="0" fontId="4" fillId="4" borderId="9" xfId="0" applyNumberFormat="1" applyFont="1" applyFill="1" applyBorder="1" applyAlignment="1" applyProtection="1">
      <alignment horizontal="center" vertical="center"/>
      <protection locked="0"/>
    </xf>
    <xf numFmtId="0" fontId="4" fillId="4" borderId="0" xfId="0" applyNumberFormat="1" applyFont="1" applyFill="1" applyBorder="1" applyAlignment="1" applyProtection="1">
      <alignment horizontal="center" vertical="center"/>
      <protection locked="0"/>
    </xf>
    <xf numFmtId="0" fontId="4" fillId="9" borderId="9" xfId="0" quotePrefix="1" applyNumberFormat="1" applyFont="1" applyFill="1" applyBorder="1" applyAlignment="1" applyProtection="1">
      <alignment vertical="center"/>
      <protection locked="0"/>
    </xf>
    <xf numFmtId="165" fontId="4" fillId="4" borderId="15" xfId="0" applyNumberFormat="1" applyFont="1" applyFill="1" applyBorder="1" applyAlignment="1" applyProtection="1">
      <alignment horizontal="center" vertical="center"/>
      <protection locked="0"/>
    </xf>
    <xf numFmtId="165" fontId="4" fillId="4" borderId="27" xfId="0" applyNumberFormat="1" applyFont="1" applyFill="1" applyBorder="1" applyAlignment="1" applyProtection="1">
      <alignment horizontal="center" vertical="center"/>
      <protection locked="0"/>
    </xf>
    <xf numFmtId="0" fontId="4" fillId="4" borderId="16" xfId="0" applyNumberFormat="1" applyFont="1" applyFill="1" applyBorder="1" applyAlignment="1" applyProtection="1">
      <alignment horizontal="center" vertical="center"/>
      <protection locked="0"/>
    </xf>
    <xf numFmtId="0" fontId="55" fillId="9" borderId="13" xfId="0" quotePrefix="1" applyNumberFormat="1" applyFont="1" applyFill="1" applyBorder="1" applyAlignment="1" applyProtection="1">
      <alignment horizontal="center" vertical="center"/>
      <protection locked="0"/>
    </xf>
    <xf numFmtId="0" fontId="7" fillId="9" borderId="13" xfId="0" quotePrefix="1" applyNumberFormat="1" applyFont="1" applyFill="1" applyBorder="1" applyAlignment="1" applyProtection="1">
      <alignment vertical="center"/>
      <protection locked="0"/>
    </xf>
    <xf numFmtId="165" fontId="7" fillId="4" borderId="16" xfId="0" applyNumberFormat="1" applyFont="1" applyFill="1" applyBorder="1" applyAlignment="1" applyProtection="1">
      <alignment horizontal="center" vertical="center"/>
      <protection locked="0"/>
    </xf>
    <xf numFmtId="165" fontId="7" fillId="4" borderId="6" xfId="0" applyNumberFormat="1" applyFont="1" applyFill="1" applyBorder="1" applyAlignment="1" applyProtection="1">
      <alignment horizontal="center" vertical="center"/>
      <protection locked="0"/>
    </xf>
    <xf numFmtId="0" fontId="7" fillId="4" borderId="6" xfId="0" applyNumberFormat="1" applyFont="1" applyFill="1" applyBorder="1" applyAlignment="1" applyProtection="1">
      <alignment horizontal="center" vertical="center"/>
      <protection locked="0"/>
    </xf>
    <xf numFmtId="0" fontId="7" fillId="4" borderId="13" xfId="0" applyNumberFormat="1" applyFont="1" applyFill="1" applyBorder="1" applyAlignment="1" applyProtection="1">
      <alignment horizontal="center" vertical="center"/>
      <protection locked="0"/>
    </xf>
    <xf numFmtId="0" fontId="7" fillId="4" borderId="27" xfId="0" applyNumberFormat="1" applyFont="1" applyFill="1" applyBorder="1" applyAlignment="1" applyProtection="1">
      <alignment horizontal="center" vertical="center"/>
      <protection locked="0"/>
    </xf>
    <xf numFmtId="165" fontId="7" fillId="4" borderId="13" xfId="0" applyNumberFormat="1" applyFont="1" applyFill="1" applyBorder="1" applyAlignment="1" applyProtection="1">
      <alignment horizontal="center" vertical="center"/>
      <protection locked="0"/>
    </xf>
    <xf numFmtId="0" fontId="7" fillId="4" borderId="16" xfId="0" applyNumberFormat="1" applyFont="1" applyFill="1" applyBorder="1" applyAlignment="1" applyProtection="1">
      <alignment horizontal="center" vertical="center"/>
      <protection locked="0"/>
    </xf>
    <xf numFmtId="0" fontId="7" fillId="4" borderId="0" xfId="0" applyNumberFormat="1" applyFont="1" applyFill="1" applyBorder="1" applyAlignment="1" applyProtection="1">
      <alignment horizontal="center" vertical="center"/>
      <protection locked="0"/>
    </xf>
    <xf numFmtId="0" fontId="4" fillId="4" borderId="9" xfId="0" applyNumberFormat="1" applyFont="1" applyFill="1" applyBorder="1" applyAlignment="1" applyProtection="1">
      <alignment vertical="center" wrapText="1"/>
      <protection locked="0"/>
    </xf>
    <xf numFmtId="0" fontId="4" fillId="4" borderId="9" xfId="0" applyNumberFormat="1" applyFont="1" applyFill="1" applyBorder="1" applyAlignment="1" applyProtection="1">
      <alignment horizontal="left" vertical="center" wrapText="1"/>
      <protection locked="0"/>
    </xf>
    <xf numFmtId="4" fontId="4" fillId="0" borderId="12" xfId="0" applyNumberFormat="1" applyFont="1" applyFill="1" applyBorder="1" applyAlignment="1" applyProtection="1">
      <alignment horizontal="center" vertical="center"/>
      <protection locked="0"/>
    </xf>
    <xf numFmtId="0" fontId="4" fillId="0" borderId="12" xfId="0" applyNumberFormat="1" applyFont="1" applyFill="1" applyBorder="1" applyAlignment="1" applyProtection="1">
      <alignment horizontal="center" vertical="center"/>
      <protection locked="0"/>
    </xf>
    <xf numFmtId="0" fontId="4" fillId="0" borderId="9" xfId="0" applyNumberFormat="1" applyFont="1" applyFill="1" applyBorder="1" applyAlignment="1" applyProtection="1">
      <alignment vertical="center" wrapText="1"/>
      <protection locked="0"/>
    </xf>
    <xf numFmtId="0" fontId="4" fillId="0" borderId="9" xfId="0" applyNumberFormat="1" applyFont="1" applyFill="1" applyBorder="1" applyAlignment="1" applyProtection="1">
      <alignment horizontal="left" vertical="center" wrapText="1"/>
      <protection locked="0"/>
    </xf>
    <xf numFmtId="165" fontId="4" fillId="10" borderId="10" xfId="0" applyNumberFormat="1" applyFont="1" applyFill="1" applyBorder="1" applyAlignment="1" applyProtection="1">
      <alignment horizontal="center" vertical="center"/>
      <protection locked="0"/>
    </xf>
    <xf numFmtId="4" fontId="4" fillId="0" borderId="9" xfId="0" applyNumberFormat="1" applyFont="1" applyFill="1" applyBorder="1" applyAlignment="1" applyProtection="1">
      <alignment horizontal="center" vertical="center"/>
      <protection locked="0"/>
    </xf>
    <xf numFmtId="0" fontId="4" fillId="0" borderId="13" xfId="0" applyNumberFormat="1" applyFont="1" applyFill="1" applyBorder="1" applyAlignment="1" applyProtection="1">
      <alignment horizontal="center" vertical="center"/>
      <protection locked="0"/>
    </xf>
    <xf numFmtId="0" fontId="4" fillId="0" borderId="9" xfId="0" applyNumberFormat="1" applyFont="1" applyFill="1" applyBorder="1" applyAlignment="1" applyProtection="1">
      <alignment vertical="center"/>
      <protection locked="0"/>
    </xf>
    <xf numFmtId="0" fontId="4" fillId="4" borderId="6" xfId="0" applyNumberFormat="1" applyFont="1" applyFill="1" applyBorder="1" applyAlignment="1" applyProtection="1">
      <alignment vertical="center"/>
      <protection locked="0"/>
    </xf>
    <xf numFmtId="165" fontId="4" fillId="36" borderId="6" xfId="0" applyNumberFormat="1" applyFont="1" applyFill="1" applyBorder="1" applyAlignment="1" applyProtection="1">
      <alignment horizontal="center" vertical="center"/>
      <protection locked="0"/>
    </xf>
    <xf numFmtId="165" fontId="4" fillId="16" borderId="6" xfId="0" applyNumberFormat="1" applyFont="1" applyFill="1" applyBorder="1" applyAlignment="1" applyProtection="1">
      <alignment horizontal="center" vertical="center"/>
      <protection locked="0"/>
    </xf>
    <xf numFmtId="165" fontId="4" fillId="10" borderId="6" xfId="0" applyNumberFormat="1" applyFont="1" applyFill="1" applyBorder="1" applyAlignment="1" applyProtection="1">
      <alignment horizontal="center" vertical="center"/>
      <protection locked="0"/>
    </xf>
    <xf numFmtId="4" fontId="4" fillId="4" borderId="11" xfId="0" applyNumberFormat="1" applyFont="1" applyFill="1" applyBorder="1" applyAlignment="1" applyProtection="1">
      <alignment horizontal="center" vertical="center"/>
      <protection locked="0"/>
    </xf>
    <xf numFmtId="4" fontId="4" fillId="4" borderId="13" xfId="0" applyNumberFormat="1" applyFont="1" applyFill="1" applyBorder="1" applyAlignment="1" applyProtection="1">
      <alignment horizontal="center" vertical="center"/>
      <protection locked="0"/>
    </xf>
    <xf numFmtId="0" fontId="4" fillId="10" borderId="9" xfId="0" applyNumberFormat="1" applyFont="1" applyFill="1" applyBorder="1" applyAlignment="1" applyProtection="1">
      <alignment vertical="center"/>
      <protection locked="0"/>
    </xf>
    <xf numFmtId="0" fontId="80" fillId="4" borderId="0" xfId="0" applyNumberFormat="1" applyFont="1" applyFill="1" applyBorder="1" applyAlignment="1" applyProtection="1">
      <alignment horizontal="center" vertical="center"/>
    </xf>
    <xf numFmtId="0" fontId="79" fillId="4" borderId="0" xfId="0" applyNumberFormat="1" applyFont="1" applyFill="1" applyBorder="1" applyAlignment="1" applyProtection="1">
      <alignment horizontal="center" vertical="center"/>
    </xf>
    <xf numFmtId="0" fontId="82" fillId="14" borderId="4" xfId="0" applyNumberFormat="1" applyFont="1" applyFill="1" applyBorder="1" applyAlignment="1" applyProtection="1">
      <alignment horizontal="center" vertical="center"/>
    </xf>
    <xf numFmtId="0" fontId="82" fillId="14" borderId="4" xfId="0" applyNumberFormat="1" applyFont="1" applyFill="1" applyBorder="1" applyAlignment="1" applyProtection="1">
      <alignment vertical="center"/>
    </xf>
    <xf numFmtId="0" fontId="81" fillId="4" borderId="63" xfId="0" applyNumberFormat="1" applyFont="1" applyFill="1" applyBorder="1" applyAlignment="1" applyProtection="1">
      <alignment horizontal="center" vertical="center" wrapText="1"/>
    </xf>
    <xf numFmtId="0" fontId="81" fillId="4" borderId="63" xfId="0" applyNumberFormat="1" applyFont="1" applyFill="1" applyBorder="1" applyAlignment="1" applyProtection="1">
      <alignment horizontal="left" vertical="center" wrapText="1"/>
    </xf>
    <xf numFmtId="165" fontId="81" fillId="36" borderId="63" xfId="0" applyNumberFormat="1" applyFont="1" applyFill="1" applyBorder="1" applyAlignment="1" applyProtection="1">
      <alignment horizontal="right" vertical="center"/>
    </xf>
    <xf numFmtId="165" fontId="81" fillId="16" borderId="63" xfId="0" applyNumberFormat="1" applyFont="1" applyFill="1" applyBorder="1" applyAlignment="1" applyProtection="1">
      <alignment horizontal="right" vertical="center"/>
    </xf>
    <xf numFmtId="165" fontId="81" fillId="10" borderId="63" xfId="0" applyNumberFormat="1" applyFont="1" applyFill="1" applyBorder="1" applyAlignment="1" applyProtection="1">
      <alignment horizontal="right" vertical="center"/>
    </xf>
    <xf numFmtId="4" fontId="81" fillId="0" borderId="63" xfId="0" applyNumberFormat="1" applyFont="1" applyFill="1" applyBorder="1" applyAlignment="1" applyProtection="1">
      <alignment horizontal="right" vertical="center"/>
    </xf>
    <xf numFmtId="0" fontId="81" fillId="0" borderId="63" xfId="0" applyNumberFormat="1" applyFont="1" applyFill="1" applyBorder="1" applyAlignment="1" applyProtection="1">
      <alignment horizontal="right" vertical="center"/>
    </xf>
    <xf numFmtId="0" fontId="81" fillId="0" borderId="63" xfId="0" applyNumberFormat="1" applyFont="1" applyFill="1" applyBorder="1" applyAlignment="1" applyProtection="1">
      <alignment horizontal="center" vertical="center" wrapText="1"/>
    </xf>
    <xf numFmtId="0" fontId="81" fillId="0" borderId="63" xfId="0" applyNumberFormat="1" applyFont="1" applyFill="1" applyBorder="1" applyAlignment="1" applyProtection="1">
      <alignment horizontal="left" vertical="center" wrapText="1"/>
    </xf>
    <xf numFmtId="0" fontId="81" fillId="4" borderId="63" xfId="0" applyNumberFormat="1" applyFont="1" applyFill="1" applyBorder="1" applyAlignment="1" applyProtection="1">
      <alignment horizontal="center" vertical="center"/>
    </xf>
    <xf numFmtId="0" fontId="81" fillId="4" borderId="63" xfId="0" applyNumberFormat="1" applyFont="1" applyFill="1" applyBorder="1" applyAlignment="1" applyProtection="1">
      <alignment vertical="center"/>
    </xf>
    <xf numFmtId="0" fontId="81" fillId="0" borderId="39" xfId="0" applyNumberFormat="1" applyFont="1" applyFill="1" applyBorder="1" applyAlignment="1" applyProtection="1">
      <alignment horizontal="right" vertical="center"/>
    </xf>
    <xf numFmtId="165" fontId="82" fillId="14" borderId="4" xfId="0" applyNumberFormat="1" applyFont="1" applyFill="1" applyBorder="1" applyAlignment="1" applyProtection="1">
      <alignment horizontal="right" vertical="center"/>
    </xf>
    <xf numFmtId="4" fontId="82" fillId="14" borderId="4" xfId="0" applyNumberFormat="1" applyFont="1" applyFill="1" applyBorder="1" applyAlignment="1" applyProtection="1">
      <alignment horizontal="right" vertical="center"/>
    </xf>
    <xf numFmtId="167" fontId="82" fillId="14" borderId="39" xfId="0" applyNumberFormat="1" applyFont="1" applyFill="1" applyBorder="1" applyAlignment="1" applyProtection="1">
      <alignment horizontal="right" vertical="center"/>
    </xf>
    <xf numFmtId="0" fontId="81" fillId="0" borderId="63" xfId="0" applyNumberFormat="1" applyFont="1" applyFill="1" applyBorder="1" applyAlignment="1" applyProtection="1">
      <alignment horizontal="center" vertical="center"/>
    </xf>
    <xf numFmtId="0" fontId="81" fillId="0" borderId="63" xfId="0" applyNumberFormat="1" applyFont="1" applyFill="1" applyBorder="1" applyAlignment="1" applyProtection="1">
      <alignment vertical="center"/>
    </xf>
    <xf numFmtId="165" fontId="81" fillId="10" borderId="39" xfId="0" applyNumberFormat="1" applyFont="1" applyFill="1" applyBorder="1" applyAlignment="1" applyProtection="1">
      <alignment horizontal="right" vertical="center"/>
    </xf>
    <xf numFmtId="165" fontId="82" fillId="14" borderId="39" xfId="0" applyNumberFormat="1" applyFont="1" applyFill="1" applyBorder="1" applyAlignment="1" applyProtection="1">
      <alignment horizontal="right" vertical="center"/>
    </xf>
    <xf numFmtId="167" fontId="82" fillId="14" borderId="4" xfId="0" applyNumberFormat="1" applyFont="1" applyFill="1" applyBorder="1" applyAlignment="1" applyProtection="1">
      <alignment horizontal="right" vertical="center"/>
    </xf>
    <xf numFmtId="0" fontId="81" fillId="15" borderId="4" xfId="0" applyNumberFormat="1" applyFont="1" applyFill="1" applyBorder="1" applyAlignment="1" applyProtection="1">
      <alignment horizontal="center" vertical="center"/>
    </xf>
    <xf numFmtId="0" fontId="81" fillId="15" borderId="4" xfId="0" applyNumberFormat="1" applyFont="1" applyFill="1" applyBorder="1" applyAlignment="1" applyProtection="1">
      <alignment vertical="center"/>
    </xf>
    <xf numFmtId="165" fontId="81" fillId="15" borderId="4" xfId="0" applyNumberFormat="1" applyFont="1" applyFill="1" applyBorder="1" applyAlignment="1" applyProtection="1">
      <alignment horizontal="right" vertical="center"/>
    </xf>
    <xf numFmtId="4" fontId="81" fillId="15" borderId="4" xfId="0" applyNumberFormat="1" applyFont="1" applyFill="1" applyBorder="1" applyAlignment="1" applyProtection="1">
      <alignment horizontal="right" vertical="center"/>
    </xf>
    <xf numFmtId="167" fontId="81" fillId="15" borderId="4" xfId="0" applyNumberFormat="1" applyFont="1" applyFill="1" applyBorder="1" applyAlignment="1" applyProtection="1">
      <alignment horizontal="right" vertical="center"/>
    </xf>
    <xf numFmtId="4" fontId="81" fillId="4" borderId="63" xfId="0" applyNumberFormat="1" applyFont="1" applyFill="1" applyBorder="1" applyAlignment="1" applyProtection="1">
      <alignment horizontal="right" vertical="center"/>
    </xf>
    <xf numFmtId="0" fontId="81" fillId="4" borderId="63" xfId="0" applyNumberFormat="1" applyFont="1" applyFill="1" applyBorder="1" applyAlignment="1" applyProtection="1">
      <alignment horizontal="right" vertical="center"/>
    </xf>
    <xf numFmtId="165" fontId="81" fillId="15" borderId="39" xfId="0" applyNumberFormat="1" applyFont="1" applyFill="1" applyBorder="1" applyAlignment="1" applyProtection="1">
      <alignment horizontal="right" vertical="center"/>
    </xf>
    <xf numFmtId="165" fontId="81" fillId="14" borderId="4" xfId="0" applyNumberFormat="1" applyFont="1" applyFill="1" applyBorder="1" applyAlignment="1" applyProtection="1">
      <alignment horizontal="right" vertical="center"/>
    </xf>
    <xf numFmtId="0" fontId="81" fillId="4" borderId="39" xfId="0" applyNumberFormat="1" applyFont="1" applyFill="1" applyBorder="1" applyAlignment="1" applyProtection="1">
      <alignment horizontal="center" vertical="center"/>
    </xf>
    <xf numFmtId="0" fontId="81" fillId="4" borderId="39" xfId="0" applyNumberFormat="1" applyFont="1" applyFill="1" applyBorder="1" applyAlignment="1" applyProtection="1">
      <alignment vertical="center"/>
    </xf>
    <xf numFmtId="165" fontId="81" fillId="36" borderId="39" xfId="0" applyNumberFormat="1" applyFont="1" applyFill="1" applyBorder="1" applyAlignment="1" applyProtection="1">
      <alignment horizontal="right" vertical="center"/>
    </xf>
    <xf numFmtId="165" fontId="81" fillId="16" borderId="39" xfId="0" applyNumberFormat="1" applyFont="1" applyFill="1" applyBorder="1" applyAlignment="1" applyProtection="1">
      <alignment horizontal="right" vertical="center"/>
    </xf>
    <xf numFmtId="4" fontId="81" fillId="4" borderId="39" xfId="0" applyNumberFormat="1" applyFont="1" applyFill="1" applyBorder="1" applyAlignment="1" applyProtection="1">
      <alignment horizontal="right" vertical="center"/>
    </xf>
    <xf numFmtId="0" fontId="81" fillId="10" borderId="63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4" borderId="0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horizontal="right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0" fontId="47" fillId="4" borderId="0" xfId="0" applyNumberFormat="1" applyFont="1" applyFill="1" applyBorder="1" applyAlignment="1" applyProtection="1">
      <alignment horizontal="center" vertical="center"/>
    </xf>
    <xf numFmtId="0" fontId="4" fillId="4" borderId="0" xfId="0" applyNumberFormat="1" applyFont="1" applyFill="1" applyBorder="1" applyAlignment="1" applyProtection="1">
      <alignment horizontal="right" vertical="center"/>
    </xf>
    <xf numFmtId="0" fontId="4" fillId="0" borderId="0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186" fontId="4" fillId="0" borderId="0" xfId="0" quotePrefix="1" applyNumberFormat="1" applyFont="1" applyFill="1" applyBorder="1" applyAlignment="1" applyProtection="1">
      <alignment horizontal="center" vertical="center"/>
    </xf>
    <xf numFmtId="0" fontId="80" fillId="0" borderId="0" xfId="0" applyNumberFormat="1" applyFont="1" applyFill="1" applyBorder="1" applyAlignment="1" applyProtection="1">
      <alignment vertical="center"/>
    </xf>
    <xf numFmtId="0" fontId="80" fillId="0" borderId="0" xfId="0" applyNumberFormat="1" applyFont="1" applyFill="1" applyBorder="1" applyAlignment="1" applyProtection="1">
      <alignment horizontal="center" vertical="center"/>
    </xf>
    <xf numFmtId="167" fontId="81" fillId="4" borderId="63" xfId="0" applyNumberFormat="1" applyFont="1" applyFill="1" applyBorder="1" applyAlignment="1" applyProtection="1">
      <alignment horizontal="right" vertical="center"/>
    </xf>
    <xf numFmtId="0" fontId="81" fillId="9" borderId="63" xfId="0" applyNumberFormat="1" applyFont="1" applyFill="1" applyBorder="1" applyAlignment="1" applyProtection="1">
      <alignment horizontal="center" vertical="center"/>
    </xf>
    <xf numFmtId="0" fontId="81" fillId="9" borderId="63" xfId="0" applyNumberFormat="1" applyFont="1" applyFill="1" applyBorder="1" applyAlignment="1" applyProtection="1">
      <alignment vertical="center"/>
    </xf>
    <xf numFmtId="0" fontId="81" fillId="9" borderId="39" xfId="0" applyNumberFormat="1" applyFont="1" applyFill="1" applyBorder="1" applyAlignment="1" applyProtection="1">
      <alignment horizontal="center" vertical="center"/>
    </xf>
    <xf numFmtId="0" fontId="81" fillId="10" borderId="39" xfId="0" applyNumberFormat="1" applyFont="1" applyFill="1" applyBorder="1" applyAlignment="1" applyProtection="1">
      <alignment vertical="center"/>
    </xf>
    <xf numFmtId="0" fontId="81" fillId="9" borderId="39" xfId="0" applyNumberFormat="1" applyFont="1" applyFill="1" applyBorder="1" applyAlignment="1" applyProtection="1">
      <alignment vertical="center"/>
    </xf>
    <xf numFmtId="0" fontId="81" fillId="15" borderId="39" xfId="0" applyNumberFormat="1" applyFont="1" applyFill="1" applyBorder="1" applyAlignment="1" applyProtection="1">
      <alignment horizontal="center" vertical="center"/>
    </xf>
    <xf numFmtId="0" fontId="81" fillId="15" borderId="39" xfId="0" applyNumberFormat="1" applyFont="1" applyFill="1" applyBorder="1" applyAlignment="1" applyProtection="1">
      <alignment vertical="center"/>
    </xf>
    <xf numFmtId="0" fontId="81" fillId="0" borderId="39" xfId="0" applyNumberFormat="1" applyFont="1" applyFill="1" applyBorder="1" applyAlignment="1" applyProtection="1">
      <alignment horizontal="center" vertical="center"/>
    </xf>
    <xf numFmtId="0" fontId="81" fillId="0" borderId="39" xfId="0" applyNumberFormat="1" applyFont="1" applyFill="1" applyBorder="1" applyAlignment="1" applyProtection="1">
      <alignment vertical="center"/>
    </xf>
    <xf numFmtId="167" fontId="81" fillId="0" borderId="63" xfId="0" applyNumberFormat="1" applyFont="1" applyFill="1" applyBorder="1" applyAlignment="1" applyProtection="1">
      <alignment horizontal="right" vertical="center"/>
    </xf>
    <xf numFmtId="0" fontId="82" fillId="14" borderId="39" xfId="0" applyNumberFormat="1" applyFont="1" applyFill="1" applyBorder="1" applyAlignment="1" applyProtection="1">
      <alignment horizontal="center" vertical="center"/>
    </xf>
    <xf numFmtId="0" fontId="82" fillId="14" borderId="39" xfId="0" applyNumberFormat="1" applyFont="1" applyFill="1" applyBorder="1" applyAlignment="1" applyProtection="1">
      <alignment vertical="center"/>
    </xf>
    <xf numFmtId="0" fontId="81" fillId="4" borderId="39" xfId="0" applyNumberFormat="1" applyFont="1" applyFill="1" applyBorder="1" applyAlignment="1" applyProtection="1">
      <alignment horizontal="right" vertical="center"/>
    </xf>
    <xf numFmtId="4" fontId="82" fillId="14" borderId="39" xfId="0" applyNumberFormat="1" applyFont="1" applyFill="1" applyBorder="1" applyAlignment="1" applyProtection="1">
      <alignment horizontal="right" vertical="center"/>
    </xf>
    <xf numFmtId="167" fontId="82" fillId="4" borderId="4" xfId="0" applyNumberFormat="1" applyFont="1" applyFill="1" applyBorder="1" applyAlignment="1" applyProtection="1">
      <alignment horizontal="right" vertical="center"/>
    </xf>
    <xf numFmtId="0" fontId="21" fillId="0" borderId="5" xfId="0" applyNumberFormat="1" applyFont="1" applyFill="1" applyBorder="1" applyAlignment="1" applyProtection="1">
      <alignment vertical="center"/>
    </xf>
    <xf numFmtId="0" fontId="21" fillId="0" borderId="5" xfId="0" applyNumberFormat="1" applyFont="1" applyFill="1" applyBorder="1" applyAlignment="1" applyProtection="1">
      <alignment horizontal="center" vertical="center"/>
    </xf>
    <xf numFmtId="0" fontId="21" fillId="0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Fill="1" applyBorder="1" applyAlignment="1" applyProtection="1">
      <alignment horizontal="center" vertical="center"/>
    </xf>
    <xf numFmtId="0" fontId="21" fillId="4" borderId="13" xfId="12" applyNumberFormat="1" applyFont="1" applyFill="1" applyBorder="1" applyAlignment="1" applyProtection="1">
      <alignment horizontal="left" indent="1"/>
    </xf>
    <xf numFmtId="0" fontId="21" fillId="4" borderId="17" xfId="12" applyNumberFormat="1" applyFont="1" applyFill="1" applyBorder="1" applyAlignment="1" applyProtection="1">
      <alignment horizontal="left" indent="1"/>
    </xf>
    <xf numFmtId="0" fontId="21" fillId="4" borderId="17" xfId="12" applyNumberFormat="1" applyFont="1" applyFill="1" applyBorder="1" applyAlignment="1" applyProtection="1">
      <alignment horizontal="center"/>
    </xf>
    <xf numFmtId="40" fontId="4" fillId="16" borderId="4" xfId="0" applyNumberFormat="1" applyFont="1" applyFill="1" applyBorder="1" applyAlignment="1" applyProtection="1">
      <alignment horizontal="center" vertical="center"/>
      <protection locked="0"/>
    </xf>
    <xf numFmtId="3" fontId="4" fillId="16" borderId="4" xfId="0" applyNumberFormat="1" applyFont="1" applyFill="1" applyBorder="1" applyAlignment="1" applyProtection="1">
      <alignment horizontal="center" vertical="center"/>
      <protection locked="0"/>
    </xf>
    <xf numFmtId="9" fontId="4" fillId="16" borderId="4" xfId="0" applyNumberFormat="1" applyFont="1" applyFill="1" applyBorder="1" applyAlignment="1" applyProtection="1">
      <alignment horizontal="center" vertical="center"/>
      <protection locked="0"/>
    </xf>
    <xf numFmtId="165" fontId="4" fillId="16" borderId="4" xfId="0" applyNumberFormat="1" applyFont="1" applyFill="1" applyBorder="1" applyAlignment="1" applyProtection="1">
      <alignment horizontal="center" vertical="center"/>
      <protection locked="0"/>
    </xf>
    <xf numFmtId="0" fontId="4" fillId="21" borderId="1" xfId="0" applyNumberFormat="1" applyFont="1" applyFill="1" applyBorder="1" applyAlignment="1" applyProtection="1">
      <alignment vertical="center"/>
    </xf>
    <xf numFmtId="3" fontId="4" fillId="21" borderId="2" xfId="0" applyNumberFormat="1" applyFont="1" applyFill="1" applyBorder="1" applyAlignment="1" applyProtection="1">
      <alignment horizontal="center" vertical="center"/>
    </xf>
    <xf numFmtId="0" fontId="4" fillId="9" borderId="1" xfId="0" applyNumberFormat="1" applyFont="1" applyFill="1" applyBorder="1" applyAlignment="1" applyProtection="1">
      <alignment vertical="center"/>
    </xf>
    <xf numFmtId="0" fontId="7" fillId="21" borderId="1" xfId="0" applyNumberFormat="1" applyFont="1" applyFill="1" applyBorder="1" applyAlignment="1" applyProtection="1">
      <alignment vertical="center"/>
    </xf>
    <xf numFmtId="3" fontId="7" fillId="21" borderId="2" xfId="0" applyNumberFormat="1" applyFont="1" applyFill="1" applyBorder="1" applyAlignment="1" applyProtection="1">
      <alignment horizontal="center" vertical="center"/>
    </xf>
    <xf numFmtId="0" fontId="7" fillId="16" borderId="4" xfId="0" applyNumberFormat="1" applyFont="1" applyFill="1" applyBorder="1" applyAlignment="1" applyProtection="1">
      <alignment horizontal="center" vertical="center"/>
      <protection locked="0"/>
    </xf>
    <xf numFmtId="0" fontId="65" fillId="2" borderId="3" xfId="26" applyNumberFormat="1" applyFont="1" applyFill="1" applyBorder="1" applyAlignment="1" applyProtection="1">
      <alignment horizontal="center" vertical="center"/>
    </xf>
    <xf numFmtId="0" fontId="65" fillId="2" borderId="2" xfId="26" applyNumberFormat="1" applyFont="1" applyFill="1" applyBorder="1" applyAlignment="1" applyProtection="1">
      <alignment horizontal="center" vertical="center"/>
    </xf>
    <xf numFmtId="4" fontId="66" fillId="32" borderId="91" xfId="0" applyNumberFormat="1" applyFont="1" applyFill="1" applyBorder="1" applyAlignment="1" applyProtection="1">
      <alignment horizontal="center" vertical="center" textRotation="90"/>
    </xf>
    <xf numFmtId="0" fontId="66" fillId="32" borderId="63" xfId="0" applyNumberFormat="1" applyFont="1" applyFill="1" applyBorder="1" applyAlignment="1" applyProtection="1">
      <alignment horizontal="center" vertical="center" textRotation="90"/>
    </xf>
    <xf numFmtId="0" fontId="66" fillId="32" borderId="56" xfId="0" applyNumberFormat="1" applyFont="1" applyFill="1" applyBorder="1" applyAlignment="1" applyProtection="1">
      <alignment horizontal="center" vertical="center" textRotation="90"/>
    </xf>
    <xf numFmtId="4" fontId="66" fillId="26" borderId="91" xfId="0" applyNumberFormat="1" applyFont="1" applyFill="1" applyBorder="1" applyAlignment="1" applyProtection="1">
      <alignment horizontal="center" vertical="center" textRotation="90"/>
    </xf>
    <xf numFmtId="0" fontId="66" fillId="26" borderId="63" xfId="0" applyNumberFormat="1" applyFont="1" applyFill="1" applyBorder="1" applyAlignment="1" applyProtection="1">
      <alignment horizontal="center" vertical="center" textRotation="90"/>
    </xf>
    <xf numFmtId="0" fontId="66" fillId="26" borderId="56" xfId="0" applyNumberFormat="1" applyFont="1" applyFill="1" applyBorder="1" applyAlignment="1" applyProtection="1">
      <alignment horizontal="center" vertical="center" textRotation="90"/>
    </xf>
    <xf numFmtId="0" fontId="7" fillId="14" borderId="4" xfId="0" applyNumberFormat="1" applyFont="1" applyFill="1" applyBorder="1" applyAlignment="1" applyProtection="1">
      <alignment horizontal="center" vertical="center" wrapText="1"/>
    </xf>
    <xf numFmtId="0" fontId="7" fillId="9" borderId="0" xfId="0" applyNumberFormat="1" applyFont="1" applyFill="1" applyBorder="1" applyAlignment="1" applyProtection="1">
      <alignment horizontal="center" vertical="center" wrapText="1"/>
    </xf>
    <xf numFmtId="0" fontId="7" fillId="9" borderId="0" xfId="0" applyNumberFormat="1" applyFont="1" applyFill="1" applyBorder="1" applyAlignment="1" applyProtection="1">
      <alignment horizontal="center" vertical="center"/>
    </xf>
    <xf numFmtId="0" fontId="28" fillId="9" borderId="0" xfId="0" applyNumberFormat="1" applyFont="1" applyFill="1" applyBorder="1" applyProtection="1">
      <alignment vertical="center"/>
    </xf>
    <xf numFmtId="0" fontId="0" fillId="0" borderId="0" xfId="0" applyNumberFormat="1" applyFont="1" applyFill="1" applyBorder="1" applyProtection="1">
      <alignment vertical="center"/>
    </xf>
    <xf numFmtId="0" fontId="0" fillId="14" borderId="29" xfId="0" applyNumberFormat="1" applyFont="1" applyFill="1" applyBorder="1" applyAlignment="1" applyProtection="1">
      <alignment vertical="center"/>
    </xf>
    <xf numFmtId="0" fontId="0" fillId="14" borderId="30" xfId="0" applyNumberFormat="1" applyFont="1" applyFill="1" applyBorder="1" applyAlignment="1" applyProtection="1">
      <alignment vertical="center"/>
    </xf>
    <xf numFmtId="0" fontId="0" fillId="14" borderId="31" xfId="0" applyNumberFormat="1" applyFont="1" applyFill="1" applyBorder="1" applyAlignment="1" applyProtection="1">
      <alignment vertical="center"/>
    </xf>
    <xf numFmtId="0" fontId="0" fillId="14" borderId="29" xfId="0" applyNumberFormat="1" applyFont="1" applyFill="1" applyBorder="1" applyAlignment="1" applyProtection="1">
      <alignment horizontal="left" vertical="center"/>
    </xf>
    <xf numFmtId="0" fontId="0" fillId="14" borderId="30" xfId="0" applyNumberFormat="1" applyFont="1" applyFill="1" applyBorder="1" applyAlignment="1" applyProtection="1">
      <alignment horizontal="left" vertical="center"/>
    </xf>
    <xf numFmtId="0" fontId="0" fillId="14" borderId="31" xfId="0" applyNumberFormat="1" applyFont="1" applyFill="1" applyBorder="1" applyAlignment="1" applyProtection="1">
      <alignment horizontal="left" vertical="center"/>
    </xf>
    <xf numFmtId="3" fontId="7" fillId="10" borderId="0" xfId="0" applyNumberFormat="1" applyFont="1" applyFill="1" applyBorder="1" applyAlignment="1" applyProtection="1">
      <alignment horizontal="center" vertical="center"/>
    </xf>
    <xf numFmtId="186" fontId="4" fillId="14" borderId="14" xfId="0" applyNumberFormat="1" applyFont="1" applyFill="1" applyBorder="1" applyAlignment="1" applyProtection="1">
      <alignment horizontal="center" vertical="center"/>
      <protection locked="0"/>
    </xf>
    <xf numFmtId="186" fontId="4" fillId="14" borderId="28" xfId="0" applyNumberFormat="1" applyFont="1" applyFill="1" applyBorder="1" applyAlignment="1" applyProtection="1">
      <alignment horizontal="center" vertical="center"/>
      <protection locked="0"/>
    </xf>
    <xf numFmtId="186" fontId="4" fillId="14" borderId="7" xfId="0" applyNumberFormat="1" applyFont="1" applyFill="1" applyBorder="1" applyAlignment="1" applyProtection="1">
      <alignment horizontal="center" vertical="center"/>
      <protection locked="0"/>
    </xf>
    <xf numFmtId="0" fontId="4" fillId="14" borderId="14" xfId="0" applyNumberFormat="1" applyFont="1" applyFill="1" applyBorder="1" applyAlignment="1" applyProtection="1">
      <alignment horizontal="center" vertical="center"/>
      <protection locked="0"/>
    </xf>
    <xf numFmtId="0" fontId="4" fillId="14" borderId="28" xfId="0" applyNumberFormat="1" applyFont="1" applyFill="1" applyBorder="1" applyAlignment="1" applyProtection="1">
      <alignment horizontal="center" vertical="center"/>
      <protection locked="0"/>
    </xf>
    <xf numFmtId="0" fontId="4" fillId="14" borderId="7" xfId="0" applyNumberFormat="1" applyFont="1" applyFill="1" applyBorder="1" applyAlignment="1" applyProtection="1">
      <alignment horizontal="center" vertical="center"/>
      <protection locked="0"/>
    </xf>
    <xf numFmtId="0" fontId="0" fillId="4" borderId="0" xfId="0" applyNumberFormat="1" applyFont="1" applyFill="1" applyBorder="1" applyAlignment="1" applyProtection="1">
      <alignment horizontal="center" vertical="center"/>
    </xf>
    <xf numFmtId="0" fontId="77" fillId="9" borderId="0" xfId="0" applyNumberFormat="1" applyFont="1" applyFill="1" applyBorder="1" applyAlignment="1" applyProtection="1">
      <alignment vertical="center"/>
    </xf>
    <xf numFmtId="0" fontId="78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  <xf numFmtId="186" fontId="82" fillId="14" borderId="4" xfId="0" applyNumberFormat="1" applyFont="1" applyFill="1" applyBorder="1" applyAlignment="1" applyProtection="1">
      <alignment horizontal="center" vertical="center"/>
    </xf>
    <xf numFmtId="0" fontId="82" fillId="14" borderId="4" xfId="0" applyNumberFormat="1" applyFont="1" applyFill="1" applyBorder="1" applyAlignment="1" applyProtection="1">
      <alignment horizontal="center" vertical="center"/>
    </xf>
    <xf numFmtId="3" fontId="7" fillId="14" borderId="18" xfId="0" applyNumberFormat="1" applyFont="1" applyFill="1" applyBorder="1" applyAlignment="1" applyProtection="1">
      <alignment horizontal="center"/>
    </xf>
    <xf numFmtId="0" fontId="7" fillId="14" borderId="15" xfId="0" applyNumberFormat="1" applyFont="1" applyFill="1" applyBorder="1" applyAlignment="1" applyProtection="1">
      <alignment horizontal="center"/>
    </xf>
    <xf numFmtId="0" fontId="7" fillId="14" borderId="8" xfId="0" applyNumberFormat="1" applyFont="1" applyFill="1" applyBorder="1" applyAlignment="1" applyProtection="1">
      <alignment horizontal="center"/>
    </xf>
    <xf numFmtId="0" fontId="73" fillId="0" borderId="0" xfId="16" applyNumberFormat="1" applyFont="1" applyFill="1" applyBorder="1" applyAlignment="1" applyProtection="1">
      <alignment horizontal="center"/>
      <protection hidden="1"/>
    </xf>
    <xf numFmtId="0" fontId="1" fillId="0" borderId="0" xfId="16" applyNumberFormat="1" applyFont="1" applyFill="1" applyBorder="1" applyAlignment="1" applyProtection="1">
      <alignment horizontal="center"/>
      <protection hidden="1"/>
    </xf>
    <xf numFmtId="0" fontId="72" fillId="0" borderId="0" xfId="16" applyNumberFormat="1" applyFont="1" applyFill="1" applyBorder="1" applyAlignment="1" applyProtection="1">
      <alignment horizontal="center"/>
      <protection hidden="1"/>
    </xf>
    <xf numFmtId="0" fontId="74" fillId="0" borderId="0" xfId="16" applyNumberFormat="1" applyFont="1" applyFill="1" applyBorder="1" applyAlignment="1" applyProtection="1">
      <alignment horizontal="center"/>
      <protection hidden="1"/>
    </xf>
    <xf numFmtId="0" fontId="11" fillId="2" borderId="1" xfId="25" applyNumberFormat="1" applyFont="1" applyFill="1" applyBorder="1" applyAlignment="1" applyProtection="1">
      <alignment horizontal="center" vertical="center"/>
    </xf>
    <xf numFmtId="0" fontId="11" fillId="29" borderId="1" xfId="25" applyNumberFormat="1" applyFont="1" applyFill="1" applyBorder="1" applyAlignment="1" applyProtection="1">
      <alignment horizontal="center" vertical="center"/>
    </xf>
    <xf numFmtId="0" fontId="11" fillId="19" borderId="1" xfId="25" applyNumberFormat="1" applyFont="1" applyFill="1" applyBorder="1" applyAlignment="1" applyProtection="1">
      <alignment horizontal="center" vertical="center"/>
    </xf>
    <xf numFmtId="0" fontId="4" fillId="14" borderId="14" xfId="12" applyNumberFormat="1" applyFont="1" applyFill="1" applyBorder="1" applyAlignment="1" applyProtection="1">
      <alignment horizontal="center" vertical="center"/>
    </xf>
    <xf numFmtId="0" fontId="4" fillId="14" borderId="7" xfId="12" applyNumberFormat="1" applyFont="1" applyFill="1" applyBorder="1" applyAlignment="1" applyProtection="1">
      <alignment horizontal="center" vertical="center"/>
    </xf>
    <xf numFmtId="0" fontId="69" fillId="34" borderId="27" xfId="12" applyNumberFormat="1" applyFont="1" applyFill="1" applyBorder="1" applyAlignment="1" applyProtection="1">
      <alignment horizontal="left"/>
    </xf>
    <xf numFmtId="0" fontId="69" fillId="34" borderId="73" xfId="12" applyNumberFormat="1" applyFont="1" applyFill="1" applyBorder="1" applyAlignment="1" applyProtection="1">
      <alignment horizontal="left"/>
    </xf>
    <xf numFmtId="0" fontId="61" fillId="0" borderId="0" xfId="24" applyNumberFormat="1" applyFont="1" applyFill="1" applyBorder="1" applyAlignment="1" applyProtection="1">
      <alignment horizontal="center"/>
    </xf>
    <xf numFmtId="185" fontId="61" fillId="0" borderId="0" xfId="24" applyNumberFormat="1" applyFont="1" applyFill="1" applyBorder="1" applyAlignment="1" applyProtection="1">
      <alignment horizontal="center"/>
    </xf>
    <xf numFmtId="174" fontId="20" fillId="0" borderId="22" xfId="0" applyNumberFormat="1" applyFont="1" applyFill="1" applyBorder="1" applyAlignment="1" applyProtection="1">
      <alignment horizontal="center" vertical="center"/>
    </xf>
    <xf numFmtId="174" fontId="20" fillId="0" borderId="67" xfId="0" applyNumberFormat="1" applyFont="1" applyFill="1" applyBorder="1" applyAlignment="1" applyProtection="1">
      <alignment horizontal="center" vertical="center"/>
    </xf>
    <xf numFmtId="10" fontId="21" fillId="0" borderId="61" xfId="0" applyNumberFormat="1" applyFont="1" applyFill="1" applyBorder="1" applyAlignment="1" applyProtection="1">
      <alignment horizontal="center" vertical="center"/>
    </xf>
    <xf numFmtId="10" fontId="21" fillId="0" borderId="86" xfId="0" applyNumberFormat="1" applyFont="1" applyFill="1" applyBorder="1" applyAlignment="1" applyProtection="1">
      <alignment horizontal="center" vertical="center"/>
    </xf>
    <xf numFmtId="174" fontId="20" fillId="0" borderId="88" xfId="0" applyNumberFormat="1" applyFont="1" applyFill="1" applyBorder="1" applyAlignment="1" applyProtection="1">
      <alignment horizontal="center" vertical="center"/>
    </xf>
    <xf numFmtId="174" fontId="20" fillId="0" borderId="68" xfId="0" applyNumberFormat="1" applyFont="1" applyFill="1" applyBorder="1" applyAlignment="1" applyProtection="1">
      <alignment horizontal="center" vertical="center"/>
    </xf>
    <xf numFmtId="10" fontId="26" fillId="24" borderId="87" xfId="0" applyNumberFormat="1" applyFont="1" applyFill="1" applyBorder="1" applyAlignment="1" applyProtection="1">
      <alignment horizontal="center" vertical="center"/>
    </xf>
    <xf numFmtId="10" fontId="26" fillId="24" borderId="70" xfId="0" applyNumberFormat="1" applyFont="1" applyFill="1" applyBorder="1" applyAlignment="1" applyProtection="1">
      <alignment horizontal="center" vertical="center"/>
    </xf>
    <xf numFmtId="0" fontId="20" fillId="0" borderId="43" xfId="0" applyNumberFormat="1" applyFont="1" applyFill="1" applyBorder="1" applyAlignment="1" applyProtection="1">
      <alignment horizontal="center" vertical="center"/>
    </xf>
    <xf numFmtId="0" fontId="20" fillId="0" borderId="9" xfId="0" applyNumberFormat="1" applyFont="1" applyFill="1" applyBorder="1" applyAlignment="1" applyProtection="1">
      <alignment horizontal="center" vertical="center"/>
    </xf>
    <xf numFmtId="0" fontId="20" fillId="0" borderId="84" xfId="0" applyNumberFormat="1" applyFont="1" applyFill="1" applyBorder="1" applyAlignment="1" applyProtection="1">
      <alignment horizontal="center" vertical="center"/>
    </xf>
    <xf numFmtId="0" fontId="20" fillId="0" borderId="13" xfId="0" applyNumberFormat="1" applyFont="1" applyFill="1" applyBorder="1" applyAlignment="1" applyProtection="1">
      <alignment horizontal="center" vertical="center"/>
    </xf>
    <xf numFmtId="10" fontId="21" fillId="0" borderId="87" xfId="0" applyNumberFormat="1" applyFont="1" applyFill="1" applyBorder="1" applyAlignment="1" applyProtection="1">
      <alignment horizontal="center" vertical="center"/>
    </xf>
    <xf numFmtId="10" fontId="21" fillId="0" borderId="70" xfId="0" applyNumberFormat="1" applyFont="1" applyFill="1" applyBorder="1" applyAlignment="1" applyProtection="1">
      <alignment horizontal="center" vertical="center"/>
    </xf>
    <xf numFmtId="10" fontId="21" fillId="24" borderId="87" xfId="0" applyNumberFormat="1" applyFont="1" applyFill="1" applyBorder="1" applyAlignment="1" applyProtection="1">
      <alignment horizontal="center" vertical="center"/>
    </xf>
    <xf numFmtId="10" fontId="21" fillId="24" borderId="70" xfId="0" applyNumberFormat="1" applyFont="1" applyFill="1" applyBorder="1" applyAlignment="1" applyProtection="1">
      <alignment horizontal="center" vertical="center"/>
    </xf>
    <xf numFmtId="0" fontId="20" fillId="0" borderId="33" xfId="0" applyNumberFormat="1" applyFont="1" applyFill="1" applyBorder="1" applyAlignment="1" applyProtection="1">
      <alignment horizontal="center" vertical="center"/>
    </xf>
    <xf numFmtId="174" fontId="20" fillId="0" borderId="38" xfId="0" applyNumberFormat="1" applyFont="1" applyFill="1" applyBorder="1" applyAlignment="1" applyProtection="1">
      <alignment horizontal="center" vertical="center"/>
    </xf>
    <xf numFmtId="10" fontId="21" fillId="0" borderId="40" xfId="0" applyNumberFormat="1" applyFont="1" applyFill="1" applyBorder="1" applyAlignment="1" applyProtection="1">
      <alignment horizontal="center" vertical="center"/>
    </xf>
    <xf numFmtId="10" fontId="21" fillId="24" borderId="40" xfId="0" applyNumberFormat="1" applyFont="1" applyFill="1" applyBorder="1" applyAlignment="1" applyProtection="1">
      <alignment horizontal="center" vertical="center"/>
    </xf>
    <xf numFmtId="10" fontId="26" fillId="24" borderId="40" xfId="0" applyNumberFormat="1" applyFont="1" applyFill="1" applyBorder="1" applyAlignment="1" applyProtection="1">
      <alignment horizontal="center" vertical="center"/>
    </xf>
    <xf numFmtId="0" fontId="20" fillId="0" borderId="85" xfId="0" applyNumberFormat="1" applyFont="1" applyFill="1" applyBorder="1" applyAlignment="1" applyProtection="1">
      <alignment horizontal="center" vertical="center"/>
    </xf>
    <xf numFmtId="0" fontId="21" fillId="0" borderId="52" xfId="0" applyNumberFormat="1" applyFont="1" applyFill="1" applyBorder="1" applyAlignment="1" applyProtection="1">
      <alignment horizontal="center" vertical="center"/>
    </xf>
    <xf numFmtId="0" fontId="21" fillId="0" borderId="68" xfId="0" applyNumberFormat="1" applyFont="1" applyFill="1" applyBorder="1" applyAlignment="1" applyProtection="1">
      <alignment horizontal="center" vertical="center"/>
    </xf>
    <xf numFmtId="0" fontId="20" fillId="0" borderId="58" xfId="0" applyNumberFormat="1" applyFont="1" applyFill="1" applyBorder="1" applyAlignment="1" applyProtection="1">
      <alignment horizontal="center" vertical="center"/>
    </xf>
    <xf numFmtId="0" fontId="20" fillId="0" borderId="70" xfId="0" applyNumberFormat="1" applyFont="1" applyFill="1" applyBorder="1" applyAlignment="1" applyProtection="1">
      <alignment horizontal="center" vertical="center"/>
    </xf>
    <xf numFmtId="0" fontId="20" fillId="0" borderId="11" xfId="0" applyNumberFormat="1" applyFont="1" applyFill="1" applyBorder="1" applyAlignment="1" applyProtection="1">
      <alignment horizontal="center" vertical="center"/>
    </xf>
    <xf numFmtId="174" fontId="20" fillId="24" borderId="52" xfId="0" applyNumberFormat="1" applyFont="1" applyFill="1" applyBorder="1" applyAlignment="1" applyProtection="1">
      <alignment horizontal="center" vertical="center"/>
    </xf>
    <xf numFmtId="174" fontId="20" fillId="24" borderId="38" xfId="0" applyNumberFormat="1" applyFont="1" applyFill="1" applyBorder="1" applyAlignment="1" applyProtection="1">
      <alignment horizontal="center" vertical="center"/>
    </xf>
    <xf numFmtId="10" fontId="21" fillId="0" borderId="58" xfId="0" applyNumberFormat="1" applyFont="1" applyFill="1" applyBorder="1" applyAlignment="1" applyProtection="1">
      <alignment horizontal="center" vertical="center"/>
    </xf>
    <xf numFmtId="174" fontId="20" fillId="0" borderId="52" xfId="0" applyNumberFormat="1" applyFont="1" applyFill="1" applyBorder="1" applyAlignment="1" applyProtection="1">
      <alignment horizontal="center" vertical="center"/>
    </xf>
    <xf numFmtId="0" fontId="26" fillId="0" borderId="12" xfId="0" applyNumberFormat="1" applyFont="1" applyFill="1" applyBorder="1" applyAlignment="1" applyProtection="1">
      <alignment horizontal="center" vertical="center" wrapText="1"/>
    </xf>
    <xf numFmtId="0" fontId="26" fillId="0" borderId="17" xfId="0" applyNumberFormat="1" applyFont="1" applyFill="1" applyBorder="1" applyAlignment="1" applyProtection="1">
      <alignment horizontal="center" vertical="center" wrapText="1"/>
    </xf>
    <xf numFmtId="0" fontId="20" fillId="0" borderId="42" xfId="0" applyNumberFormat="1" applyFont="1" applyFill="1" applyBorder="1" applyAlignment="1" applyProtection="1">
      <alignment horizontal="center" vertical="center"/>
    </xf>
    <xf numFmtId="0" fontId="20" fillId="0" borderId="24" xfId="0" applyNumberFormat="1" applyFont="1" applyFill="1" applyBorder="1" applyAlignment="1" applyProtection="1">
      <alignment horizontal="center" vertical="center"/>
    </xf>
    <xf numFmtId="0" fontId="20" fillId="0" borderId="44" xfId="0" applyNumberFormat="1" applyFont="1" applyFill="1" applyBorder="1" applyAlignment="1" applyProtection="1">
      <alignment horizontal="center" vertical="center"/>
    </xf>
    <xf numFmtId="0" fontId="20" fillId="0" borderId="26" xfId="0" applyNumberFormat="1" applyFont="1" applyFill="1" applyBorder="1" applyAlignment="1" applyProtection="1">
      <alignment horizontal="center" vertical="center"/>
    </xf>
    <xf numFmtId="0" fontId="20" fillId="0" borderId="4" xfId="0" applyNumberFormat="1" applyFont="1" applyFill="1" applyBorder="1" applyAlignment="1" applyProtection="1">
      <alignment horizontal="center" vertical="center"/>
    </xf>
    <xf numFmtId="0" fontId="0" fillId="0" borderId="4" xfId="0" applyNumberFormat="1" applyFont="1" applyFill="1" applyBorder="1" applyAlignment="1" applyProtection="1">
      <alignment horizontal="center" vertical="center"/>
    </xf>
    <xf numFmtId="0" fontId="21" fillId="0" borderId="60" xfId="0" applyNumberFormat="1" applyFont="1" applyFill="1" applyBorder="1" applyAlignment="1" applyProtection="1">
      <alignment horizontal="center" vertical="center"/>
    </xf>
    <xf numFmtId="0" fontId="21" fillId="0" borderId="51" xfId="0" applyNumberFormat="1" applyFont="1" applyFill="1" applyBorder="1" applyAlignment="1" applyProtection="1">
      <alignment horizontal="center" vertical="center"/>
    </xf>
    <xf numFmtId="174" fontId="20" fillId="0" borderId="15" xfId="0" applyNumberFormat="1" applyFont="1" applyFill="1" applyBorder="1" applyAlignment="1" applyProtection="1">
      <alignment horizontal="center" vertical="center"/>
    </xf>
    <xf numFmtId="174" fontId="20" fillId="0" borderId="0" xfId="0" applyNumberFormat="1" applyFont="1" applyFill="1" applyBorder="1" applyAlignment="1" applyProtection="1">
      <alignment horizontal="center" vertical="center"/>
    </xf>
    <xf numFmtId="10" fontId="21" fillId="0" borderId="12" xfId="0" applyNumberFormat="1" applyFont="1" applyFill="1" applyBorder="1" applyAlignment="1" applyProtection="1">
      <alignment horizontal="center" vertical="center"/>
    </xf>
    <xf numFmtId="174" fontId="20" fillId="24" borderId="53" xfId="0" applyNumberFormat="1" applyFont="1" applyFill="1" applyBorder="1" applyAlignment="1" applyProtection="1">
      <alignment horizontal="center" vertical="center"/>
    </xf>
    <xf numFmtId="174" fontId="20" fillId="24" borderId="68" xfId="0" applyNumberFormat="1" applyFont="1" applyFill="1" applyBorder="1" applyAlignment="1" applyProtection="1">
      <alignment horizontal="center" vertical="center"/>
    </xf>
    <xf numFmtId="10" fontId="21" fillId="0" borderId="64" xfId="0" applyNumberFormat="1" applyFont="1" applyFill="1" applyBorder="1" applyAlignment="1" applyProtection="1">
      <alignment horizontal="center" vertical="center"/>
    </xf>
    <xf numFmtId="174" fontId="20" fillId="0" borderId="10" xfId="0" applyNumberFormat="1" applyFont="1" applyFill="1" applyBorder="1" applyAlignment="1" applyProtection="1">
      <alignment horizontal="center" vertical="center"/>
    </xf>
    <xf numFmtId="174" fontId="20" fillId="0" borderId="16" xfId="0" applyNumberFormat="1" applyFont="1" applyFill="1" applyBorder="1" applyAlignment="1" applyProtection="1">
      <alignment horizontal="center" vertical="center"/>
    </xf>
    <xf numFmtId="10" fontId="21" fillId="0" borderId="0" xfId="0" applyNumberFormat="1" applyFont="1" applyFill="1" applyBorder="1" applyAlignment="1" applyProtection="1">
      <alignment horizontal="center" vertical="center"/>
    </xf>
    <xf numFmtId="10" fontId="21" fillId="0" borderId="27" xfId="0" applyNumberFormat="1" applyFont="1" applyFill="1" applyBorder="1" applyAlignment="1" applyProtection="1">
      <alignment horizontal="center" vertical="center"/>
    </xf>
    <xf numFmtId="174" fontId="20" fillId="0" borderId="27" xfId="0" applyNumberFormat="1" applyFont="1" applyFill="1" applyBorder="1" applyAlignment="1" applyProtection="1">
      <alignment horizontal="center" vertical="center"/>
    </xf>
    <xf numFmtId="10" fontId="21" fillId="0" borderId="17" xfId="0" applyNumberFormat="1" applyFont="1" applyFill="1" applyBorder="1" applyAlignment="1" applyProtection="1">
      <alignment horizontal="center" vertical="center"/>
    </xf>
    <xf numFmtId="174" fontId="20" fillId="24" borderId="88" xfId="0" applyNumberFormat="1" applyFont="1" applyFill="1" applyBorder="1" applyAlignment="1" applyProtection="1">
      <alignment horizontal="center" vertical="center"/>
    </xf>
    <xf numFmtId="10" fontId="6" fillId="0" borderId="87" xfId="0" applyNumberFormat="1" applyFont="1" applyFill="1" applyBorder="1" applyAlignment="1" applyProtection="1">
      <alignment horizontal="center" vertical="center"/>
    </xf>
    <xf numFmtId="10" fontId="6" fillId="0" borderId="70" xfId="0" applyNumberFormat="1" applyFont="1" applyFill="1" applyBorder="1" applyAlignment="1" applyProtection="1">
      <alignment horizontal="center" vertical="center"/>
    </xf>
    <xf numFmtId="10" fontId="21" fillId="0" borderId="8" xfId="0" applyNumberFormat="1" applyFont="1" applyFill="1" applyBorder="1" applyAlignment="1" applyProtection="1">
      <alignment horizontal="center" vertical="center"/>
    </xf>
    <xf numFmtId="10" fontId="6" fillId="0" borderId="40" xfId="0" applyNumberFormat="1" applyFont="1" applyFill="1" applyBorder="1" applyAlignment="1" applyProtection="1">
      <alignment horizontal="center" vertical="center"/>
    </xf>
    <xf numFmtId="174" fontId="20" fillId="0" borderId="18" xfId="0" applyNumberFormat="1" applyFont="1" applyFill="1" applyBorder="1" applyAlignment="1" applyProtection="1">
      <alignment horizontal="center" vertical="center"/>
    </xf>
    <xf numFmtId="0" fontId="20" fillId="0" borderId="83" xfId="0" applyNumberFormat="1" applyFont="1" applyFill="1" applyBorder="1" applyAlignment="1" applyProtection="1">
      <alignment horizontal="center" vertical="center"/>
    </xf>
    <xf numFmtId="0" fontId="20" fillId="0" borderId="57" xfId="0" applyNumberFormat="1" applyFont="1" applyFill="1" applyBorder="1" applyAlignment="1" applyProtection="1">
      <alignment horizontal="center" vertical="center"/>
    </xf>
    <xf numFmtId="10" fontId="21" fillId="0" borderId="15" xfId="0" applyNumberFormat="1" applyFont="1" applyFill="1" applyBorder="1" applyAlignment="1" applyProtection="1">
      <alignment horizontal="center" vertical="center"/>
    </xf>
    <xf numFmtId="0" fontId="20" fillId="0" borderId="60" xfId="0" applyNumberFormat="1" applyFont="1" applyFill="1" applyBorder="1" applyAlignment="1" applyProtection="1">
      <alignment horizontal="center" vertical="center"/>
    </xf>
    <xf numFmtId="0" fontId="20" fillId="0" borderId="51" xfId="0" applyNumberFormat="1" applyFont="1" applyFill="1" applyBorder="1" applyAlignment="1" applyProtection="1">
      <alignment horizontal="center" vertical="center"/>
    </xf>
    <xf numFmtId="10" fontId="6" fillId="24" borderId="87" xfId="0" applyNumberFormat="1" applyFont="1" applyFill="1" applyBorder="1" applyAlignment="1" applyProtection="1">
      <alignment horizontal="center" vertical="center"/>
    </xf>
    <xf numFmtId="10" fontId="6" fillId="24" borderId="40" xfId="0" applyNumberFormat="1" applyFont="1" applyFill="1" applyBorder="1" applyAlignment="1" applyProtection="1">
      <alignment horizontal="center" vertical="center"/>
    </xf>
    <xf numFmtId="0" fontId="20" fillId="4" borderId="0" xfId="0" applyNumberFormat="1" applyFont="1" applyFill="1" applyBorder="1" applyAlignment="1" applyProtection="1">
      <alignment horizontal="left" vertical="center" wrapText="1"/>
    </xf>
    <xf numFmtId="0" fontId="20" fillId="0" borderId="23" xfId="0" applyNumberFormat="1" applyFont="1" applyFill="1" applyBorder="1" applyAlignment="1" applyProtection="1">
      <alignment horizontal="center" vertical="center"/>
    </xf>
    <xf numFmtId="0" fontId="20" fillId="0" borderId="39" xfId="0" applyNumberFormat="1" applyFont="1" applyFill="1" applyBorder="1" applyAlignment="1" applyProtection="1">
      <alignment horizontal="center" vertical="center"/>
    </xf>
    <xf numFmtId="0" fontId="20" fillId="0" borderId="1" xfId="0" applyNumberFormat="1" applyFont="1" applyFill="1" applyBorder="1" applyAlignment="1" applyProtection="1">
      <alignment horizontal="center" vertical="center"/>
    </xf>
    <xf numFmtId="0" fontId="20" fillId="0" borderId="2" xfId="0" applyNumberFormat="1" applyFont="1" applyFill="1" applyBorder="1" applyAlignment="1" applyProtection="1">
      <alignment horizontal="center" vertical="center"/>
    </xf>
    <xf numFmtId="0" fontId="7" fillId="0" borderId="23" xfId="0" applyNumberFormat="1" applyFont="1" applyFill="1" applyBorder="1" applyAlignment="1" applyProtection="1">
      <alignment horizontal="center" vertical="center"/>
    </xf>
    <xf numFmtId="0" fontId="7" fillId="0" borderId="39" xfId="0" applyNumberFormat="1" applyFont="1" applyFill="1" applyBorder="1" applyAlignment="1" applyProtection="1">
      <alignment horizontal="center" vertical="center"/>
    </xf>
    <xf numFmtId="0" fontId="20" fillId="0" borderId="3" xfId="0" applyNumberFormat="1" applyFont="1" applyFill="1" applyBorder="1" applyAlignment="1" applyProtection="1">
      <alignment horizontal="center" vertical="center"/>
    </xf>
    <xf numFmtId="0" fontId="21" fillId="0" borderId="78" xfId="0" applyNumberFormat="1" applyFont="1" applyFill="1" applyBorder="1" applyAlignment="1" applyProtection="1">
      <alignment horizontal="center" vertical="center"/>
    </xf>
    <xf numFmtId="0" fontId="20" fillId="0" borderId="77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44" fillId="0" borderId="1" xfId="14" applyNumberFormat="1" applyFont="1" applyFill="1" applyBorder="1" applyAlignment="1" applyProtection="1">
      <alignment horizontal="center"/>
    </xf>
    <xf numFmtId="0" fontId="44" fillId="0" borderId="2" xfId="14" applyNumberFormat="1" applyFont="1" applyFill="1" applyBorder="1" applyAlignment="1" applyProtection="1">
      <alignment horizontal="center"/>
    </xf>
    <xf numFmtId="0" fontId="45" fillId="0" borderId="1" xfId="14" quotePrefix="1" applyNumberFormat="1" applyFont="1" applyFill="1" applyBorder="1" applyAlignment="1" applyProtection="1">
      <alignment horizontal="center"/>
    </xf>
    <xf numFmtId="0" fontId="45" fillId="0" borderId="2" xfId="14" quotePrefix="1" applyNumberFormat="1" applyFont="1" applyFill="1" applyBorder="1" applyAlignment="1" applyProtection="1">
      <alignment horizontal="center"/>
    </xf>
    <xf numFmtId="0" fontId="49" fillId="0" borderId="80" xfId="14" applyNumberFormat="1" applyFont="1" applyFill="1" applyBorder="1" applyAlignment="1" applyProtection="1">
      <alignment horizontal="center" vertical="center"/>
    </xf>
    <xf numFmtId="0" fontId="50" fillId="0" borderId="81" xfId="14" applyNumberFormat="1" applyFont="1" applyFill="1" applyBorder="1" applyAlignment="1" applyProtection="1">
      <alignment vertical="center"/>
    </xf>
    <xf numFmtId="0" fontId="50" fillId="0" borderId="82" xfId="14" applyNumberFormat="1" applyFont="1" applyFill="1" applyBorder="1" applyAlignment="1" applyProtection="1">
      <alignment vertical="center"/>
    </xf>
    <xf numFmtId="0" fontId="44" fillId="0" borderId="14" xfId="14" applyNumberFormat="1" applyFont="1" applyFill="1" applyBorder="1" applyAlignment="1" applyProtection="1">
      <alignment horizontal="center"/>
    </xf>
    <xf numFmtId="0" fontId="44" fillId="0" borderId="28" xfId="14" applyNumberFormat="1" applyFont="1" applyFill="1" applyBorder="1" applyAlignment="1" applyProtection="1">
      <alignment horizontal="center"/>
    </xf>
    <xf numFmtId="0" fontId="44" fillId="0" borderId="7" xfId="14" applyNumberFormat="1" applyFont="1" applyFill="1" applyBorder="1" applyAlignment="1" applyProtection="1">
      <alignment horizontal="center"/>
    </xf>
    <xf numFmtId="0" fontId="44" fillId="0" borderId="49" xfId="14" applyNumberFormat="1" applyFont="1" applyFill="1" applyBorder="1" applyAlignment="1" applyProtection="1">
      <alignment horizontal="center"/>
    </xf>
    <xf numFmtId="0" fontId="44" fillId="0" borderId="46" xfId="14" applyNumberFormat="1" applyFont="1" applyFill="1" applyBorder="1" applyAlignment="1" applyProtection="1">
      <alignment horizontal="center"/>
    </xf>
    <xf numFmtId="0" fontId="0" fillId="0" borderId="49" xfId="0" applyNumberFormat="1" applyFont="1" applyFill="1" applyBorder="1" applyAlignment="1" applyProtection="1">
      <alignment horizontal="left" vertical="center" wrapText="1"/>
    </xf>
    <xf numFmtId="0" fontId="0" fillId="0" borderId="62" xfId="0" applyNumberFormat="1" applyFont="1" applyFill="1" applyBorder="1" applyAlignment="1" applyProtection="1">
      <alignment horizontal="left" vertical="center" wrapText="1"/>
    </xf>
    <xf numFmtId="0" fontId="0" fillId="0" borderId="50" xfId="0" applyNumberFormat="1" applyFont="1" applyFill="1" applyBorder="1" applyAlignment="1" applyProtection="1">
      <alignment horizontal="left" vertical="center" wrapText="1"/>
    </xf>
    <xf numFmtId="0" fontId="7" fillId="0" borderId="42" xfId="0" applyNumberFormat="1" applyFont="1" applyFill="1" applyBorder="1" applyAlignment="1" applyProtection="1">
      <alignment horizontal="center" vertical="center" wrapText="1"/>
    </xf>
    <xf numFmtId="0" fontId="7" fillId="0" borderId="20" xfId="0" applyNumberFormat="1" applyFont="1" applyFill="1" applyBorder="1" applyAlignment="1" applyProtection="1">
      <alignment horizontal="center" vertical="center" wrapText="1"/>
    </xf>
    <xf numFmtId="0" fontId="7" fillId="0" borderId="24" xfId="0" applyNumberFormat="1" applyFont="1" applyFill="1" applyBorder="1" applyAlignment="1" applyProtection="1">
      <alignment horizontal="center" vertical="center" wrapText="1"/>
    </xf>
    <xf numFmtId="0" fontId="7" fillId="0" borderId="22" xfId="0" applyNumberFormat="1" applyFont="1" applyFill="1" applyBorder="1" applyAlignment="1" applyProtection="1">
      <alignment horizontal="center" vertical="center" wrapText="1"/>
    </xf>
    <xf numFmtId="0" fontId="22" fillId="4" borderId="0" xfId="0" applyNumberFormat="1" applyFont="1" applyFill="1" applyBorder="1" applyAlignment="1" applyProtection="1">
      <alignment horizontal="left" vertical="center" wrapText="1"/>
    </xf>
    <xf numFmtId="0" fontId="4" fillId="0" borderId="42" xfId="0" applyNumberFormat="1" applyFont="1" applyFill="1" applyBorder="1" applyAlignment="1" applyProtection="1">
      <alignment horizontal="center" vertical="center" wrapText="1"/>
    </xf>
    <xf numFmtId="0" fontId="0" fillId="0" borderId="24" xfId="0" applyNumberFormat="1" applyFont="1" applyFill="1" applyBorder="1" applyAlignment="1" applyProtection="1">
      <alignment horizontal="center" vertical="center" wrapText="1"/>
    </xf>
    <xf numFmtId="0" fontId="0" fillId="0" borderId="20" xfId="0" applyNumberFormat="1" applyFont="1" applyFill="1" applyBorder="1" applyAlignment="1" applyProtection="1">
      <alignment horizontal="center" vertical="center" wrapText="1"/>
    </xf>
    <xf numFmtId="0" fontId="7" fillId="14" borderId="28" xfId="0" applyNumberFormat="1" applyFont="1" applyFill="1" applyBorder="1" applyAlignment="1" applyProtection="1">
      <alignment horizontal="center" vertical="center" wrapText="1"/>
    </xf>
    <xf numFmtId="0" fontId="7" fillId="14" borderId="7" xfId="0" applyNumberFormat="1" applyFont="1" applyFill="1" applyBorder="1" applyAlignment="1" applyProtection="1">
      <alignment horizontal="center" vertical="center" wrapText="1"/>
    </xf>
    <xf numFmtId="0" fontId="7" fillId="14" borderId="14" xfId="0" applyNumberFormat="1" applyFont="1" applyFill="1" applyBorder="1" applyAlignment="1" applyProtection="1">
      <alignment horizontal="center" vertical="center" wrapText="1"/>
    </xf>
    <xf numFmtId="0" fontId="7" fillId="0" borderId="49" xfId="0" applyNumberFormat="1" applyFont="1" applyFill="1" applyBorder="1" applyAlignment="1" applyProtection="1">
      <alignment horizontal="left" vertical="center" wrapText="1"/>
    </xf>
    <xf numFmtId="0" fontId="7" fillId="0" borderId="62" xfId="0" applyNumberFormat="1" applyFont="1" applyFill="1" applyBorder="1" applyAlignment="1" applyProtection="1">
      <alignment horizontal="left" vertical="center" wrapText="1"/>
    </xf>
    <xf numFmtId="0" fontId="7" fillId="0" borderId="50" xfId="0" applyNumberFormat="1" applyFont="1" applyFill="1" applyBorder="1" applyAlignment="1" applyProtection="1">
      <alignment horizontal="left" vertical="center" wrapText="1"/>
    </xf>
    <xf numFmtId="0" fontId="0" fillId="0" borderId="65" xfId="0" applyNumberFormat="1" applyFont="1" applyFill="1" applyBorder="1" applyAlignment="1" applyProtection="1">
      <alignment horizontal="left" vertical="center" wrapText="1"/>
    </xf>
    <xf numFmtId="0" fontId="4" fillId="0" borderId="49" xfId="0" applyNumberFormat="1" applyFont="1" applyFill="1" applyBorder="1" applyAlignment="1" applyProtection="1">
      <alignment horizontal="left" vertical="center" wrapText="1"/>
    </xf>
    <xf numFmtId="4" fontId="20" fillId="14" borderId="1" xfId="0" applyNumberFormat="1" applyFont="1" applyFill="1" applyBorder="1" applyAlignment="1" applyProtection="1">
      <alignment horizontal="center" vertical="center" wrapText="1"/>
    </xf>
    <xf numFmtId="4" fontId="20" fillId="14" borderId="3" xfId="0" applyNumberFormat="1" applyFont="1" applyFill="1" applyBorder="1" applyAlignment="1" applyProtection="1">
      <alignment horizontal="center" vertical="center" wrapText="1"/>
    </xf>
    <xf numFmtId="4" fontId="20" fillId="14" borderId="2" xfId="0" applyNumberFormat="1" applyFont="1" applyFill="1" applyBorder="1" applyAlignment="1" applyProtection="1">
      <alignment horizontal="center" vertical="center" wrapText="1"/>
    </xf>
    <xf numFmtId="0" fontId="20" fillId="14" borderId="1" xfId="0" applyNumberFormat="1" applyFont="1" applyFill="1" applyBorder="1" applyAlignment="1" applyProtection="1">
      <alignment horizontal="center" vertical="center" wrapText="1"/>
    </xf>
    <xf numFmtId="0" fontId="20" fillId="14" borderId="3" xfId="0" applyNumberFormat="1" applyFont="1" applyFill="1" applyBorder="1" applyAlignment="1" applyProtection="1">
      <alignment horizontal="center" vertical="center" wrapText="1"/>
    </xf>
    <xf numFmtId="0" fontId="20" fillId="14" borderId="2" xfId="0" applyNumberFormat="1" applyFont="1" applyFill="1" applyBorder="1" applyAlignment="1" applyProtection="1">
      <alignment horizontal="center" vertical="center" wrapText="1"/>
    </xf>
    <xf numFmtId="0" fontId="7" fillId="9" borderId="18" xfId="0" applyNumberFormat="1" applyFont="1" applyFill="1" applyBorder="1" applyAlignment="1" applyProtection="1">
      <alignment horizontal="center"/>
    </xf>
    <xf numFmtId="0" fontId="7" fillId="9" borderId="15" xfId="0" applyNumberFormat="1" applyFont="1" applyFill="1" applyBorder="1" applyAlignment="1" applyProtection="1">
      <alignment horizontal="center"/>
    </xf>
    <xf numFmtId="0" fontId="7" fillId="9" borderId="8" xfId="0" applyNumberFormat="1" applyFont="1" applyFill="1" applyBorder="1" applyAlignment="1" applyProtection="1">
      <alignment horizontal="center"/>
    </xf>
    <xf numFmtId="177" fontId="7" fillId="9" borderId="16" xfId="0" applyNumberFormat="1" applyFont="1" applyFill="1" applyBorder="1" applyAlignment="1" applyProtection="1">
      <alignment horizontal="center"/>
    </xf>
    <xf numFmtId="177" fontId="7" fillId="9" borderId="27" xfId="0" applyNumberFormat="1" applyFont="1" applyFill="1" applyBorder="1" applyAlignment="1" applyProtection="1">
      <alignment horizontal="center"/>
    </xf>
    <xf numFmtId="177" fontId="7" fillId="9" borderId="17" xfId="0" applyNumberFormat="1" applyFont="1" applyFill="1" applyBorder="1" applyAlignment="1" applyProtection="1">
      <alignment horizontal="center"/>
    </xf>
    <xf numFmtId="178" fontId="7" fillId="9" borderId="42" xfId="0" applyNumberFormat="1" applyFont="1" applyFill="1" applyBorder="1" applyAlignment="1" applyProtection="1">
      <alignment horizontal="center"/>
    </xf>
    <xf numFmtId="178" fontId="7" fillId="9" borderId="19" xfId="0" applyNumberFormat="1" applyFont="1" applyFill="1" applyBorder="1" applyAlignment="1" applyProtection="1">
      <alignment horizontal="center"/>
    </xf>
    <xf numFmtId="178" fontId="7" fillId="9" borderId="44" xfId="0" applyNumberFormat="1" applyFont="1" applyFill="1" applyBorder="1" applyAlignment="1" applyProtection="1">
      <alignment horizontal="center"/>
    </xf>
    <xf numFmtId="0" fontId="28" fillId="14" borderId="14" xfId="22" applyNumberFormat="1" applyFont="1" applyFill="1" applyBorder="1" applyAlignment="1" applyProtection="1">
      <alignment horizontal="center"/>
    </xf>
    <xf numFmtId="0" fontId="28" fillId="14" borderId="28" xfId="22" applyNumberFormat="1" applyFont="1" applyFill="1" applyBorder="1" applyAlignment="1" applyProtection="1">
      <alignment horizontal="center"/>
    </xf>
    <xf numFmtId="0" fontId="28" fillId="14" borderId="7" xfId="22" applyNumberFormat="1" applyFont="1" applyFill="1" applyBorder="1" applyAlignment="1" applyProtection="1">
      <alignment horizontal="center"/>
    </xf>
    <xf numFmtId="10" fontId="7" fillId="4" borderId="49" xfId="0" applyNumberFormat="1" applyFont="1" applyFill="1" applyBorder="1" applyAlignment="1" applyProtection="1">
      <alignment horizontal="center"/>
    </xf>
    <xf numFmtId="0" fontId="7" fillId="4" borderId="46" xfId="0" applyNumberFormat="1" applyFont="1" applyFill="1" applyBorder="1" applyAlignment="1" applyProtection="1">
      <alignment horizontal="center"/>
    </xf>
    <xf numFmtId="10" fontId="7" fillId="8" borderId="14" xfId="0" applyNumberFormat="1" applyFont="1" applyFill="1" applyBorder="1" applyAlignment="1" applyProtection="1">
      <alignment horizontal="center" vertical="center"/>
    </xf>
    <xf numFmtId="0" fontId="7" fillId="8" borderId="7" xfId="0" applyNumberFormat="1" applyFont="1" applyFill="1" applyBorder="1" applyAlignment="1" applyProtection="1">
      <alignment horizontal="center" vertical="center"/>
    </xf>
    <xf numFmtId="10" fontId="23" fillId="4" borderId="62" xfId="0" applyNumberFormat="1" applyFont="1" applyFill="1" applyBorder="1" applyAlignment="1" applyProtection="1">
      <alignment horizontal="center" wrapText="1"/>
    </xf>
    <xf numFmtId="10" fontId="23" fillId="4" borderId="47" xfId="0" applyNumberFormat="1" applyFont="1" applyFill="1" applyBorder="1" applyAlignment="1" applyProtection="1">
      <alignment horizontal="center"/>
    </xf>
    <xf numFmtId="10" fontId="36" fillId="4" borderId="65" xfId="0" applyNumberFormat="1" applyFont="1" applyFill="1" applyBorder="1" applyAlignment="1" applyProtection="1">
      <alignment horizontal="center"/>
    </xf>
    <xf numFmtId="0" fontId="36" fillId="4" borderId="66" xfId="0" applyNumberFormat="1" applyFont="1" applyFill="1" applyBorder="1" applyAlignment="1" applyProtection="1">
      <alignment horizontal="center"/>
    </xf>
    <xf numFmtId="0" fontId="0" fillId="6" borderId="42" xfId="0" applyNumberFormat="1" applyFont="1" applyFill="1" applyBorder="1" applyAlignment="1" applyProtection="1">
      <alignment wrapText="1"/>
    </xf>
    <xf numFmtId="0" fontId="0" fillId="6" borderId="20" xfId="0" applyNumberFormat="1" applyFont="1" applyFill="1" applyBorder="1" applyAlignment="1" applyProtection="1">
      <alignment wrapText="1"/>
    </xf>
    <xf numFmtId="0" fontId="0" fillId="6" borderId="19" xfId="0" applyNumberFormat="1" applyFont="1" applyFill="1" applyBorder="1" applyAlignment="1" applyProtection="1">
      <alignment horizontal="center"/>
    </xf>
    <xf numFmtId="0" fontId="0" fillId="6" borderId="44" xfId="0" applyNumberFormat="1" applyFont="1" applyFill="1" applyBorder="1" applyAlignment="1" applyProtection="1">
      <alignment horizontal="center"/>
    </xf>
    <xf numFmtId="0" fontId="29" fillId="7" borderId="4" xfId="0" applyNumberFormat="1" applyFont="1" applyFill="1" applyBorder="1" applyAlignment="1" applyProtection="1">
      <alignment horizontal="center" vertical="center" wrapText="1"/>
    </xf>
    <xf numFmtId="0" fontId="20" fillId="0" borderId="4" xfId="0" applyNumberFormat="1" applyFont="1" applyFill="1" applyBorder="1" applyAlignment="1" applyProtection="1">
      <alignment horizontal="right" wrapText="1"/>
    </xf>
    <xf numFmtId="0" fontId="31" fillId="0" borderId="4" xfId="0" applyNumberFormat="1" applyFont="1" applyFill="1" applyBorder="1" applyAlignment="1" applyProtection="1">
      <alignment horizontal="right" wrapText="1"/>
    </xf>
  </cellXfs>
  <cellStyles count="36">
    <cellStyle name="1Tabellentext" xfId="35"/>
    <cellStyle name="2Tabellentext fett" xfId="1"/>
    <cellStyle name="3Tabellentext Zeilenfall" xfId="2"/>
    <cellStyle name="4Tabellentext fett Zeilenfall" xfId="3"/>
    <cellStyle name="Ausgabe" xfId="4" builtinId="21"/>
    <cellStyle name="Eingabe" xfId="5" builtinId="20"/>
    <cellStyle name="Ergebnis" xfId="6" builtinId="25"/>
    <cellStyle name="Komma 2" xfId="7"/>
    <cellStyle name="Kopfzeile" xfId="8"/>
    <cellStyle name="Muster 1" xfId="9"/>
    <cellStyle name="Prozent" xfId="10" builtinId="5"/>
    <cellStyle name="Prozent 2" xfId="11"/>
    <cellStyle name="Standard" xfId="0" builtinId="0"/>
    <cellStyle name="Standard 2" xfId="12"/>
    <cellStyle name="Standard 2 2" xfId="13"/>
    <cellStyle name="Standard 3" xfId="14"/>
    <cellStyle name="Standard 4" xfId="15"/>
    <cellStyle name="Standard 5" xfId="16"/>
    <cellStyle name="Standard Diagramm fett" xfId="17"/>
    <cellStyle name="Standard fett" xfId="18"/>
    <cellStyle name="Standard fett Zeilenfall" xfId="19"/>
    <cellStyle name="Standard fett_Anwenderhilfe" xfId="20"/>
    <cellStyle name="Standard Zeilenfall" xfId="21"/>
    <cellStyle name="Standard_664732" xfId="22"/>
    <cellStyle name="Titel" xfId="23"/>
    <cellStyle name="Überschrift" xfId="24" builtinId="15"/>
    <cellStyle name="Überschrift 1" xfId="25" builtinId="16" customBuiltin="1"/>
    <cellStyle name="Überschrift 2" xfId="26" builtinId="17" customBuiltin="1"/>
    <cellStyle name="Überschrift 2 Diagramm" xfId="27"/>
    <cellStyle name="Überschrift 3" xfId="28" builtinId="18" customBuiltin="1"/>
    <cellStyle name="Überschrift 3 Diagramm" xfId="29"/>
    <cellStyle name="Überschrift 4" xfId="30" builtinId="19" customBuiltin="1"/>
    <cellStyle name="Undefiniert" xfId="31"/>
    <cellStyle name="Währung" xfId="32" builtinId="4"/>
    <cellStyle name="Währung 2" xfId="33"/>
    <cellStyle name="Windings" xfId="34"/>
  </cellStyles>
  <dxfs count="3256"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auto="1"/>
      </font>
      <numFmt numFmtId="0" formatCode="General"/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9" defaultPivotStyle="PivotStyleLight16"/>
  <colors>
    <mruColors>
      <color rgb="FFEBE600"/>
      <color rgb="FFFFFF99"/>
      <color rgb="FFFFCC00"/>
      <color rgb="FFC0C0C0"/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Soll-Ist-</a:t>
            </a:r>
            <a:r>
              <a:rPr lang="de-DE" baseline="0"/>
              <a:t>Vergleich im Monat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Grafiken!$U$5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Grafiken!$T$6:$T$10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Grafiken!$U$6:$U$10</c:f>
              <c:numCache>
                <c:formatCode>#,##0.00</c:formatCode>
                <c:ptCount val="5"/>
                <c:pt idx="0">
                  <c:v>103418.6</c:v>
                </c:pt>
                <c:pt idx="1">
                  <c:v>340</c:v>
                </c:pt>
                <c:pt idx="2">
                  <c:v>103078.6</c:v>
                </c:pt>
                <c:pt idx="3">
                  <c:v>61672.881944444445</c:v>
                </c:pt>
                <c:pt idx="4">
                  <c:v>41405.718055555561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5-4C6C-81D9-00C370D105C8}"/>
            </c:ext>
          </c:extLst>
        </c:ser>
        <c:ser>
          <c:idx val="1"/>
          <c:order val="1"/>
          <c:tx>
            <c:strRef>
              <c:f>Grafiken!$W$5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Grafiken!$T$6:$T$10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Grafiken!$W$6:$W$10</c:f>
              <c:numCache>
                <c:formatCode>#,##0.00</c:formatCode>
                <c:ptCount val="5"/>
                <c:pt idx="0">
                  <c:v>32720.12</c:v>
                </c:pt>
                <c:pt idx="1">
                  <c:v>8011.7799999999988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5-4C6C-81D9-00C370D10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3440"/>
        <c:axId val="532273832"/>
      </c:barChart>
      <c:catAx>
        <c:axId val="5322734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3832"/>
        <c:crosses val="autoZero"/>
        <c:auto val="1"/>
        <c:lblAlgn val="ctr"/>
        <c:lblOffset val="100"/>
        <c:noMultiLvlLbl val="0"/>
      </c:catAx>
      <c:valAx>
        <c:axId val="53227383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34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Soll-Ist-</a:t>
            </a:r>
            <a:r>
              <a:rPr lang="de-DE" baseline="0"/>
              <a:t>Vergleich 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Grafiken!$U$29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Grafiken!$T$30:$T$34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Grafiken!$U$30:$U$34</c:f>
              <c:numCache>
                <c:formatCode>#,##0.00</c:formatCode>
                <c:ptCount val="5"/>
                <c:pt idx="0">
                  <c:v>848032.52</c:v>
                </c:pt>
                <c:pt idx="1">
                  <c:v>2788</c:v>
                </c:pt>
                <c:pt idx="2">
                  <c:v>845244.52</c:v>
                </c:pt>
                <c:pt idx="3">
                  <c:v>624931.76944444445</c:v>
                </c:pt>
                <c:pt idx="4">
                  <c:v>220312.7505555556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2-4CF5-B405-666177294489}"/>
            </c:ext>
          </c:extLst>
        </c:ser>
        <c:ser>
          <c:idx val="1"/>
          <c:order val="1"/>
          <c:tx>
            <c:strRef>
              <c:f>Grafiken!$W$29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Grafiken!$T$30:$T$34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Grafiken!$W$30:$W$34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10942.840000000026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2-4CF5-B405-66617729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4224"/>
        <c:axId val="532274616"/>
      </c:barChart>
      <c:catAx>
        <c:axId val="5322742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4616"/>
        <c:crosses val="autoZero"/>
        <c:auto val="1"/>
        <c:lblAlgn val="ctr"/>
        <c:lblOffset val="100"/>
        <c:noMultiLvlLbl val="0"/>
      </c:catAx>
      <c:valAx>
        <c:axId val="53227461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42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Mindest-Umsatz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6994620353306985E-2"/>
          <c:y val="0.10784400251709325"/>
          <c:w val="0.87274533236536989"/>
          <c:h val="0.68347962184581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Grafiken!$U$56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Grafiken!$T$57:$T$61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Grafiken!$U$57:$U$61</c:f>
              <c:numCache>
                <c:formatCode>#,##0.00</c:formatCode>
                <c:ptCount val="5"/>
                <c:pt idx="0">
                  <c:v>103418.6</c:v>
                </c:pt>
                <c:pt idx="1">
                  <c:v>340</c:v>
                </c:pt>
                <c:pt idx="2">
                  <c:v>103078.6</c:v>
                </c:pt>
                <c:pt idx="3">
                  <c:v>61672.881944444445</c:v>
                </c:pt>
                <c:pt idx="4">
                  <c:v>41405.718055555561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6-48EC-9126-BD4E4103C720}"/>
            </c:ext>
          </c:extLst>
        </c:ser>
        <c:ser>
          <c:idx val="1"/>
          <c:order val="1"/>
          <c:tx>
            <c:strRef>
              <c:f>Grafiken!$W$56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Grafiken!$T$57:$T$61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Grafiken!$W$57:$W$61</c:f>
              <c:numCache>
                <c:formatCode>#,##0.00</c:formatCode>
                <c:ptCount val="5"/>
                <c:pt idx="0">
                  <c:v>32720.12</c:v>
                </c:pt>
                <c:pt idx="1">
                  <c:v>8011.7799999999988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6-48EC-9126-BD4E4103C720}"/>
            </c:ext>
          </c:extLst>
        </c:ser>
        <c:ser>
          <c:idx val="2"/>
          <c:order val="2"/>
          <c:tx>
            <c:strRef>
              <c:f>Grafiken!$Y$56</c:f>
              <c:strCache>
                <c:ptCount val="1"/>
                <c:pt idx="0">
                  <c:v>Minimum - Absolut</c:v>
                </c:pt>
              </c:strCache>
            </c:strRef>
          </c:tx>
          <c:invertIfNegative val="0"/>
          <c:cat>
            <c:strRef>
              <c:f>Grafiken!$T$57:$T$61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Grafiken!$Y$57:$Y$61</c:f>
              <c:numCache>
                <c:formatCode>#,##0.00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6-48EC-9126-BD4E4103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66776"/>
        <c:axId val="532272264"/>
      </c:barChart>
      <c:catAx>
        <c:axId val="5322667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2264"/>
        <c:crosses val="autoZero"/>
        <c:auto val="1"/>
        <c:lblAlgn val="ctr"/>
        <c:lblOffset val="100"/>
        <c:noMultiLvlLbl val="0"/>
      </c:catAx>
      <c:valAx>
        <c:axId val="532272264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67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Mindest-Umsatz</a:t>
            </a:r>
            <a:r>
              <a:rPr lang="de-DE" baseline="0"/>
              <a:t> 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Grafiken!$U$80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Grafiken!$T$81:$T$85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Grafiken!$U$81:$U$85</c:f>
              <c:numCache>
                <c:formatCode>#,##0.00</c:formatCode>
                <c:ptCount val="5"/>
                <c:pt idx="0">
                  <c:v>848032.52</c:v>
                </c:pt>
                <c:pt idx="1">
                  <c:v>2788</c:v>
                </c:pt>
                <c:pt idx="2">
                  <c:v>845244.52</c:v>
                </c:pt>
                <c:pt idx="3">
                  <c:v>624931.76944444445</c:v>
                </c:pt>
                <c:pt idx="4">
                  <c:v>220312.7505555556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4-440E-846C-9935D210F943}"/>
            </c:ext>
          </c:extLst>
        </c:ser>
        <c:ser>
          <c:idx val="1"/>
          <c:order val="1"/>
          <c:tx>
            <c:strRef>
              <c:f>Grafiken!$W$80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Grafiken!$T$81:$T$85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Grafiken!$W$81:$W$85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10942.840000000026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14-440E-846C-9935D210F943}"/>
            </c:ext>
          </c:extLst>
        </c:ser>
        <c:ser>
          <c:idx val="2"/>
          <c:order val="2"/>
          <c:tx>
            <c:strRef>
              <c:f>Grafiken!$Y$80</c:f>
              <c:strCache>
                <c:ptCount val="1"/>
                <c:pt idx="0">
                  <c:v>Minimum - Absolut</c:v>
                </c:pt>
              </c:strCache>
            </c:strRef>
          </c:tx>
          <c:invertIfNegative val="0"/>
          <c:cat>
            <c:strRef>
              <c:f>Grafiken!$T$81:$T$85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Grafiken!$Y$81:$Y$85</c:f>
              <c:numCache>
                <c:formatCode>#,##0.00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14-440E-846C-9935D210F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1872"/>
        <c:axId val="532275008"/>
      </c:barChart>
      <c:catAx>
        <c:axId val="5322718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5008"/>
        <c:crosses val="autoZero"/>
        <c:auto val="1"/>
        <c:lblAlgn val="ctr"/>
        <c:lblOffset val="100"/>
        <c:noMultiLvlLbl val="0"/>
      </c:catAx>
      <c:valAx>
        <c:axId val="53227500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187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Szenario-Umsatz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Grafiken!$U$107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Grafiken!$T$108:$T$112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Grafiken!$U$108:$U$112</c:f>
              <c:numCache>
                <c:formatCode>#,##0.00</c:formatCode>
                <c:ptCount val="5"/>
                <c:pt idx="0">
                  <c:v>103418.6</c:v>
                </c:pt>
                <c:pt idx="1">
                  <c:v>340</c:v>
                </c:pt>
                <c:pt idx="2">
                  <c:v>103078.6</c:v>
                </c:pt>
                <c:pt idx="3">
                  <c:v>61672.881944444445</c:v>
                </c:pt>
                <c:pt idx="4">
                  <c:v>41405.718055555561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4-4DA3-83C8-10549B05EAA5}"/>
            </c:ext>
          </c:extLst>
        </c:ser>
        <c:ser>
          <c:idx val="1"/>
          <c:order val="1"/>
          <c:tx>
            <c:strRef>
              <c:f>Grafiken!$W$107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Grafiken!$T$108:$T$112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Grafiken!$W$108:$W$112</c:f>
              <c:numCache>
                <c:formatCode>#,##0.00</c:formatCode>
                <c:ptCount val="5"/>
                <c:pt idx="0">
                  <c:v>32720.12</c:v>
                </c:pt>
                <c:pt idx="1">
                  <c:v>8011.7799999999988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54-4DA3-83C8-10549B05EAA5}"/>
            </c:ext>
          </c:extLst>
        </c:ser>
        <c:ser>
          <c:idx val="2"/>
          <c:order val="2"/>
          <c:tx>
            <c:strRef>
              <c:f>Grafiken!$Y$107</c:f>
              <c:strCache>
                <c:ptCount val="1"/>
                <c:pt idx="0">
                  <c:v>Szenario - Absolut</c:v>
                </c:pt>
              </c:strCache>
            </c:strRef>
          </c:tx>
          <c:invertIfNegative val="0"/>
          <c:cat>
            <c:strRef>
              <c:f>Grafiken!$T$108:$T$112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Grafiken!$Y$108:$Y$112</c:f>
              <c:numCache>
                <c:formatCode>#,##0.00</c:formatCode>
                <c:ptCount val="5"/>
                <c:pt idx="0">
                  <c:v>78334.619783975286</c:v>
                </c:pt>
                <c:pt idx="1">
                  <c:v>53626.279783975289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54-4DA3-83C8-10549B05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69520"/>
        <c:axId val="532270696"/>
      </c:barChart>
      <c:catAx>
        <c:axId val="532269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0696"/>
        <c:crosses val="autoZero"/>
        <c:auto val="1"/>
        <c:lblAlgn val="ctr"/>
        <c:lblOffset val="100"/>
        <c:noMultiLvlLbl val="0"/>
      </c:catAx>
      <c:valAx>
        <c:axId val="53227069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95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Szenario-Umsatz</a:t>
            </a:r>
            <a:r>
              <a:rPr lang="de-DE" baseline="0"/>
              <a:t> 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Grafiken!$U$131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Grafiken!$T$132:$T$136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Grafiken!$U$132:$U$136</c:f>
              <c:numCache>
                <c:formatCode>#,##0.00</c:formatCode>
                <c:ptCount val="5"/>
                <c:pt idx="0">
                  <c:v>848032.52</c:v>
                </c:pt>
                <c:pt idx="1">
                  <c:v>2788</c:v>
                </c:pt>
                <c:pt idx="2">
                  <c:v>845244.52</c:v>
                </c:pt>
                <c:pt idx="3">
                  <c:v>624931.76944444445</c:v>
                </c:pt>
                <c:pt idx="4">
                  <c:v>220312.7505555556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7-4B27-AFEB-C474B9B13C40}"/>
            </c:ext>
          </c:extLst>
        </c:ser>
        <c:ser>
          <c:idx val="1"/>
          <c:order val="1"/>
          <c:tx>
            <c:strRef>
              <c:f>Grafiken!$W$131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Grafiken!$T$132:$T$136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Grafiken!$W$132:$W$136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10942.840000000026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D7-4B27-AFEB-C474B9B13C40}"/>
            </c:ext>
          </c:extLst>
        </c:ser>
        <c:ser>
          <c:idx val="2"/>
          <c:order val="2"/>
          <c:tx>
            <c:strRef>
              <c:f>Grafiken!$Y$131</c:f>
              <c:strCache>
                <c:ptCount val="1"/>
                <c:pt idx="0">
                  <c:v>Szenario - Absolut</c:v>
                </c:pt>
              </c:strCache>
            </c:strRef>
          </c:tx>
          <c:invertIfNegative val="0"/>
          <c:cat>
            <c:strRef>
              <c:f>Grafiken!$T$132:$T$136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Grafiken!$Y$132:$Y$136</c:f>
              <c:numCache>
                <c:formatCode>#,##0.00</c:formatCode>
                <c:ptCount val="5"/>
                <c:pt idx="0">
                  <c:v>826989.71000930772</c:v>
                </c:pt>
                <c:pt idx="1">
                  <c:v>679259.71000930772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D7-4B27-AFEB-C474B9B13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7752"/>
        <c:axId val="532273048"/>
      </c:barChart>
      <c:catAx>
        <c:axId val="5322777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3048"/>
        <c:crosses val="autoZero"/>
        <c:auto val="1"/>
        <c:lblAlgn val="ctr"/>
        <c:lblOffset val="100"/>
        <c:noMultiLvlLbl val="0"/>
      </c:catAx>
      <c:valAx>
        <c:axId val="53227304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775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Mindest-DB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Grafiken!$U$158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Grafiken!$T$159:$T$163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Grafiken!$U$159:$U$163</c:f>
              <c:numCache>
                <c:formatCode>#,##0.00</c:formatCode>
                <c:ptCount val="5"/>
                <c:pt idx="0">
                  <c:v>103418.6</c:v>
                </c:pt>
                <c:pt idx="1">
                  <c:v>340</c:v>
                </c:pt>
                <c:pt idx="2">
                  <c:v>103078.6</c:v>
                </c:pt>
                <c:pt idx="3">
                  <c:v>61672.881944444445</c:v>
                </c:pt>
                <c:pt idx="4">
                  <c:v>41405.718055555561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6-470C-B215-A92ADC33A363}"/>
            </c:ext>
          </c:extLst>
        </c:ser>
        <c:ser>
          <c:idx val="1"/>
          <c:order val="1"/>
          <c:tx>
            <c:strRef>
              <c:f>Grafiken!$W$158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Grafiken!$T$159:$T$163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Grafiken!$W$159:$W$163</c:f>
              <c:numCache>
                <c:formatCode>#,##0.00</c:formatCode>
                <c:ptCount val="5"/>
                <c:pt idx="0">
                  <c:v>32720.12</c:v>
                </c:pt>
                <c:pt idx="1">
                  <c:v>8011.7799999999988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6-470C-B215-A92ADC33A363}"/>
            </c:ext>
          </c:extLst>
        </c:ser>
        <c:ser>
          <c:idx val="2"/>
          <c:order val="2"/>
          <c:tx>
            <c:strRef>
              <c:f>Grafiken!$Y$158</c:f>
              <c:strCache>
                <c:ptCount val="1"/>
                <c:pt idx="0">
                  <c:v>Minimum - Absolut</c:v>
                </c:pt>
              </c:strCache>
            </c:strRef>
          </c:tx>
          <c:invertIfNegative val="0"/>
          <c:cat>
            <c:strRef>
              <c:f>Grafiken!$T$159:$T$163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Grafiken!$Y$159:$Y$163</c:f>
              <c:numCache>
                <c:formatCode>#,##0.00</c:formatCode>
                <c:ptCount val="5"/>
                <c:pt idx="0">
                  <c:v>32720.12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6-470C-B215-A92ADC33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5400"/>
        <c:axId val="532271480"/>
      </c:barChart>
      <c:catAx>
        <c:axId val="5322754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1480"/>
        <c:crosses val="autoZero"/>
        <c:auto val="1"/>
        <c:lblAlgn val="ctr"/>
        <c:lblOffset val="100"/>
        <c:noMultiLvlLbl val="0"/>
      </c:catAx>
      <c:valAx>
        <c:axId val="53227148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54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Mindest-DB</a:t>
            </a:r>
            <a:r>
              <a:rPr lang="de-DE" baseline="0"/>
              <a:t> 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Grafiken!$U$182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Grafiken!$T$183:$T$187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Grafiken!$U$183:$U$187</c:f>
              <c:numCache>
                <c:formatCode>#,##0.00</c:formatCode>
                <c:ptCount val="5"/>
                <c:pt idx="0">
                  <c:v>848032.52</c:v>
                </c:pt>
                <c:pt idx="1">
                  <c:v>2788</c:v>
                </c:pt>
                <c:pt idx="2">
                  <c:v>845244.52</c:v>
                </c:pt>
                <c:pt idx="3">
                  <c:v>624931.76944444445</c:v>
                </c:pt>
                <c:pt idx="4">
                  <c:v>220312.7505555556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8-43ED-84FE-9C341E8A277C}"/>
            </c:ext>
          </c:extLst>
        </c:ser>
        <c:ser>
          <c:idx val="1"/>
          <c:order val="1"/>
          <c:tx>
            <c:strRef>
              <c:f>Grafiken!$W$182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Grafiken!$T$183:$T$187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Grafiken!$W$183:$W$187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10942.840000000026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8-43ED-84FE-9C341E8A277C}"/>
            </c:ext>
          </c:extLst>
        </c:ser>
        <c:ser>
          <c:idx val="2"/>
          <c:order val="2"/>
          <c:tx>
            <c:strRef>
              <c:f>Grafiken!$Y$182</c:f>
              <c:strCache>
                <c:ptCount val="1"/>
                <c:pt idx="0">
                  <c:v>Minimum - Absolut</c:v>
                </c:pt>
              </c:strCache>
            </c:strRef>
          </c:tx>
          <c:invertIfNegative val="0"/>
          <c:cat>
            <c:strRef>
              <c:f>Grafiken!$T$183:$T$187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Grafiken!$Y$183:$Y$187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8-43ED-84FE-9C341E8A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8144"/>
        <c:axId val="532276576"/>
      </c:barChart>
      <c:catAx>
        <c:axId val="5322781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6576"/>
        <c:crosses val="autoZero"/>
        <c:auto val="1"/>
        <c:lblAlgn val="ctr"/>
        <c:lblOffset val="100"/>
        <c:noMultiLvlLbl val="0"/>
      </c:catAx>
      <c:valAx>
        <c:axId val="53227657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81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DB-Szenario I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Grafiken!$U$209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Grafiken!$T$210:$T$214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Grafiken!$U$210:$U$214</c:f>
              <c:numCache>
                <c:formatCode>#,##0.00</c:formatCode>
                <c:ptCount val="5"/>
                <c:pt idx="0">
                  <c:v>103418.6</c:v>
                </c:pt>
                <c:pt idx="1">
                  <c:v>340</c:v>
                </c:pt>
                <c:pt idx="2">
                  <c:v>103078.6</c:v>
                </c:pt>
                <c:pt idx="3">
                  <c:v>61672.881944444445</c:v>
                </c:pt>
                <c:pt idx="4">
                  <c:v>41405.718055555561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E-4FD7-80E5-64FAFDFB842E}"/>
            </c:ext>
          </c:extLst>
        </c:ser>
        <c:ser>
          <c:idx val="1"/>
          <c:order val="1"/>
          <c:tx>
            <c:strRef>
              <c:f>Grafiken!$W$209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Grafiken!$T$210:$T$214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Grafiken!$W$210:$W$214</c:f>
              <c:numCache>
                <c:formatCode>#,##0.00</c:formatCode>
                <c:ptCount val="5"/>
                <c:pt idx="0">
                  <c:v>32720.12</c:v>
                </c:pt>
                <c:pt idx="1">
                  <c:v>8011.7799999999988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E-4FD7-80E5-64FAFDFB842E}"/>
            </c:ext>
          </c:extLst>
        </c:ser>
        <c:ser>
          <c:idx val="2"/>
          <c:order val="2"/>
          <c:tx>
            <c:strRef>
              <c:f>Grafiken!$Y$209</c:f>
              <c:strCache>
                <c:ptCount val="1"/>
                <c:pt idx="0">
                  <c:v>Szenario - Absolut</c:v>
                </c:pt>
              </c:strCache>
            </c:strRef>
          </c:tx>
          <c:invertIfNegative val="0"/>
          <c:cat>
            <c:strRef>
              <c:f>Grafiken!$T$210:$T$214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Grafiken!$Y$210:$Y$214</c:f>
              <c:numCache>
                <c:formatCode>#,##0.00</c:formatCode>
                <c:ptCount val="5"/>
                <c:pt idx="0">
                  <c:v>32720.12</c:v>
                </c:pt>
                <c:pt idx="1">
                  <c:v>22399.525452783157</c:v>
                </c:pt>
                <c:pt idx="2">
                  <c:v>10320.594547216842</c:v>
                </c:pt>
                <c:pt idx="3">
                  <c:v>4993.2585150562845</c:v>
                </c:pt>
                <c:pt idx="4">
                  <c:v>5327.3360321605578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E-4FD7-80E5-64FAFDFB8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69912"/>
        <c:axId val="532270304"/>
      </c:barChart>
      <c:catAx>
        <c:axId val="5322699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0304"/>
        <c:crosses val="autoZero"/>
        <c:auto val="1"/>
        <c:lblAlgn val="ctr"/>
        <c:lblOffset val="100"/>
        <c:noMultiLvlLbl val="0"/>
      </c:catAx>
      <c:valAx>
        <c:axId val="532270304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991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DB-Szenario I - </a:t>
            </a:r>
            <a:r>
              <a:rPr lang="de-DE" baseline="0"/>
              <a:t>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Grafiken!$U$233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Grafiken!$T$234:$T$238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Grafiken!$U$234:$U$238</c:f>
              <c:numCache>
                <c:formatCode>#,##0.00</c:formatCode>
                <c:ptCount val="5"/>
                <c:pt idx="0">
                  <c:v>848032.52</c:v>
                </c:pt>
                <c:pt idx="1">
                  <c:v>2788</c:v>
                </c:pt>
                <c:pt idx="2">
                  <c:v>845244.52</c:v>
                </c:pt>
                <c:pt idx="3">
                  <c:v>624931.76944444445</c:v>
                </c:pt>
                <c:pt idx="4">
                  <c:v>220312.7505555556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9-4692-992B-64078CBD85A1}"/>
            </c:ext>
          </c:extLst>
        </c:ser>
        <c:ser>
          <c:idx val="1"/>
          <c:order val="1"/>
          <c:tx>
            <c:strRef>
              <c:f>Grafiken!$W$233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Grafiken!$T$234:$T$238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Grafiken!$W$234:$W$238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10942.840000000026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19-4692-992B-64078CBD85A1}"/>
            </c:ext>
          </c:extLst>
        </c:ser>
        <c:ser>
          <c:idx val="2"/>
          <c:order val="2"/>
          <c:tx>
            <c:strRef>
              <c:f>Grafiken!$Y$233</c:f>
              <c:strCache>
                <c:ptCount val="1"/>
                <c:pt idx="0">
                  <c:v>Szenario - Absolut</c:v>
                </c:pt>
              </c:strCache>
            </c:strRef>
          </c:tx>
          <c:invertIfNegative val="0"/>
          <c:cat>
            <c:strRef>
              <c:f>Grafiken!$T$234:$T$238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Grafiken!$Y$234:$Y$238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130328.18423283675</c:v>
                </c:pt>
                <c:pt idx="2">
                  <c:v>28344.655767163273</c:v>
                </c:pt>
                <c:pt idx="3">
                  <c:v>24789.425872816766</c:v>
                </c:pt>
                <c:pt idx="4">
                  <c:v>3555.2298943465057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9-4692-992B-64078CBD8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75792"/>
        <c:axId val="532272656"/>
      </c:barChart>
      <c:catAx>
        <c:axId val="532275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2656"/>
        <c:crosses val="autoZero"/>
        <c:auto val="1"/>
        <c:lblAlgn val="ctr"/>
        <c:lblOffset val="100"/>
        <c:noMultiLvlLbl val="0"/>
      </c:catAx>
      <c:valAx>
        <c:axId val="53227265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757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DB-Szenario II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Grafiken!$U$260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Grafiken!$T$261:$T$265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Grafiken!$U$261:$U$265</c:f>
              <c:numCache>
                <c:formatCode>#,##0.00</c:formatCode>
                <c:ptCount val="5"/>
                <c:pt idx="0">
                  <c:v>103418.6</c:v>
                </c:pt>
                <c:pt idx="1">
                  <c:v>340</c:v>
                </c:pt>
                <c:pt idx="2">
                  <c:v>103078.6</c:v>
                </c:pt>
                <c:pt idx="3">
                  <c:v>61672.881944444445</c:v>
                </c:pt>
                <c:pt idx="4">
                  <c:v>41405.718055555561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D-466B-B080-9ECD5D181DD1}"/>
            </c:ext>
          </c:extLst>
        </c:ser>
        <c:ser>
          <c:idx val="1"/>
          <c:order val="1"/>
          <c:tx>
            <c:strRef>
              <c:f>Grafiken!$W$260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Grafiken!$T$261:$T$265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Grafiken!$W$261:$W$265</c:f>
              <c:numCache>
                <c:formatCode>#,##0.00</c:formatCode>
                <c:ptCount val="5"/>
                <c:pt idx="0">
                  <c:v>32720.12</c:v>
                </c:pt>
                <c:pt idx="1">
                  <c:v>8011.7799999999988</c:v>
                </c:pt>
                <c:pt idx="2">
                  <c:v>24708.34</c:v>
                </c:pt>
                <c:pt idx="3">
                  <c:v>15782.21</c:v>
                </c:pt>
                <c:pt idx="4">
                  <c:v>8926.130000000001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D-466B-B080-9ECD5D181DD1}"/>
            </c:ext>
          </c:extLst>
        </c:ser>
        <c:ser>
          <c:idx val="2"/>
          <c:order val="2"/>
          <c:tx>
            <c:strRef>
              <c:f>Grafiken!$Y$260</c:f>
              <c:strCache>
                <c:ptCount val="1"/>
                <c:pt idx="0">
                  <c:v>Szenario - Absolut</c:v>
                </c:pt>
              </c:strCache>
            </c:strRef>
          </c:tx>
          <c:invertIfNegative val="0"/>
          <c:cat>
            <c:strRef>
              <c:f>Grafiken!$T$261:$T$265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Grafiken!$Y$261:$Y$265</c:f>
              <c:numCache>
                <c:formatCode>#,##0.00</c:formatCode>
                <c:ptCount val="5"/>
                <c:pt idx="0">
                  <c:v>103418.6</c:v>
                </c:pt>
                <c:pt idx="1">
                  <c:v>25322.861624835117</c:v>
                </c:pt>
                <c:pt idx="2">
                  <c:v>78095.738375164889</c:v>
                </c:pt>
                <c:pt idx="3">
                  <c:v>49882.887443750209</c:v>
                </c:pt>
                <c:pt idx="4">
                  <c:v>28212.850931414683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D-466B-B080-9ECD5D181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84024"/>
        <c:axId val="532282064"/>
      </c:barChart>
      <c:catAx>
        <c:axId val="5322840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82064"/>
        <c:crosses val="autoZero"/>
        <c:auto val="1"/>
        <c:lblAlgn val="ctr"/>
        <c:lblOffset val="100"/>
        <c:noMultiLvlLbl val="0"/>
      </c:catAx>
      <c:valAx>
        <c:axId val="532282064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840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DB-Szenario II - </a:t>
            </a:r>
            <a:r>
              <a:rPr lang="de-DE" baseline="0"/>
              <a:t>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Grafiken!$U$284</c:f>
              <c:strCache>
                <c:ptCount val="1"/>
                <c:pt idx="0">
                  <c:v>Plan - Absolut</c:v>
                </c:pt>
              </c:strCache>
            </c:strRef>
          </c:tx>
          <c:invertIfNegative val="0"/>
          <c:cat>
            <c:strRef>
              <c:f>Grafiken!$T$285:$T$289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Grafiken!$U$285:$U$289</c:f>
              <c:numCache>
                <c:formatCode>#,##0.00</c:formatCode>
                <c:ptCount val="5"/>
                <c:pt idx="0">
                  <c:v>848032.52</c:v>
                </c:pt>
                <c:pt idx="1">
                  <c:v>2788</c:v>
                </c:pt>
                <c:pt idx="2">
                  <c:v>845244.52</c:v>
                </c:pt>
                <c:pt idx="3">
                  <c:v>624931.76944444445</c:v>
                </c:pt>
                <c:pt idx="4">
                  <c:v>220312.7505555556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8-4C03-B8C4-1E5BD13EAF65}"/>
            </c:ext>
          </c:extLst>
        </c:ser>
        <c:ser>
          <c:idx val="1"/>
          <c:order val="1"/>
          <c:tx>
            <c:strRef>
              <c:f>Grafiken!$W$284</c:f>
              <c:strCache>
                <c:ptCount val="1"/>
                <c:pt idx="0">
                  <c:v>Ist - Absolut</c:v>
                </c:pt>
              </c:strCache>
            </c:strRef>
          </c:tx>
          <c:invertIfNegative val="0"/>
          <c:cat>
            <c:strRef>
              <c:f>Grafiken!$T$285:$T$289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Grafiken!$W$285:$W$289</c:f>
              <c:numCache>
                <c:formatCode>#,##0.00</c:formatCode>
                <c:ptCount val="5"/>
                <c:pt idx="0">
                  <c:v>158672.84000000003</c:v>
                </c:pt>
                <c:pt idx="1">
                  <c:v>10942.840000000026</c:v>
                </c:pt>
                <c:pt idx="2">
                  <c:v>147730</c:v>
                </c:pt>
                <c:pt idx="3">
                  <c:v>132487.95000000001</c:v>
                </c:pt>
                <c:pt idx="4">
                  <c:v>15242.050000000001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8-4C03-B8C4-1E5BD13EAF65}"/>
            </c:ext>
          </c:extLst>
        </c:ser>
        <c:ser>
          <c:idx val="2"/>
          <c:order val="2"/>
          <c:tx>
            <c:strRef>
              <c:f>Grafiken!$Y$284</c:f>
              <c:strCache>
                <c:ptCount val="1"/>
                <c:pt idx="0">
                  <c:v>Szenario - Absolut</c:v>
                </c:pt>
              </c:strCache>
            </c:strRef>
          </c:tx>
          <c:invertIfNegative val="0"/>
          <c:cat>
            <c:strRef>
              <c:f>Grafiken!$T$285:$T$289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Grafiken!$Y$285:$Y$289</c:f>
              <c:numCache>
                <c:formatCode>#,##0.00</c:formatCode>
                <c:ptCount val="5"/>
                <c:pt idx="0">
                  <c:v>848032.52</c:v>
                </c:pt>
                <c:pt idx="1">
                  <c:v>58484.389522219542</c:v>
                </c:pt>
                <c:pt idx="2">
                  <c:v>789548.13047778048</c:v>
                </c:pt>
                <c:pt idx="3">
                  <c:v>708086.46336785797</c:v>
                </c:pt>
                <c:pt idx="4">
                  <c:v>81461.66710992252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48-4C03-B8C4-1E5BD13EA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85200"/>
        <c:axId val="532283632"/>
      </c:barChart>
      <c:catAx>
        <c:axId val="532285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83632"/>
        <c:crosses val="autoZero"/>
        <c:auto val="1"/>
        <c:lblAlgn val="ctr"/>
        <c:lblOffset val="100"/>
        <c:noMultiLvlLbl val="0"/>
      </c:catAx>
      <c:valAx>
        <c:axId val="53228363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852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Soll-Ist-</a:t>
            </a:r>
            <a:r>
              <a:rPr lang="de-DE" baseline="0"/>
              <a:t>Vergleich im Monat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Grafiken!$V$5</c:f>
              <c:strCache>
                <c:ptCount val="1"/>
                <c:pt idx="0">
                  <c:v>Plan - Relativ</c:v>
                </c:pt>
              </c:strCache>
            </c:strRef>
          </c:tx>
          <c:invertIfNegative val="0"/>
          <c:cat>
            <c:strRef>
              <c:f>Grafiken!$T$6:$T$10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Grafiken!$V$6:$V$10</c:f>
              <c:numCache>
                <c:formatCode>0.00%</c:formatCode>
                <c:ptCount val="5"/>
                <c:pt idx="0">
                  <c:v>1</c:v>
                </c:pt>
                <c:pt idx="1">
                  <c:v>3.2876097723233536E-3</c:v>
                </c:pt>
                <c:pt idx="2">
                  <c:v>0.31542043694267757</c:v>
                </c:pt>
                <c:pt idx="3">
                  <c:v>0.59634226284676495</c:v>
                </c:pt>
                <c:pt idx="4">
                  <c:v>0.16281529628132654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1-4B75-B4EC-BD32E8A64F09}"/>
            </c:ext>
          </c:extLst>
        </c:ser>
        <c:ser>
          <c:idx val="1"/>
          <c:order val="1"/>
          <c:tx>
            <c:strRef>
              <c:f>Grafiken!$X$5</c:f>
              <c:strCache>
                <c:ptCount val="1"/>
                <c:pt idx="0">
                  <c:v>Ist- Relativ</c:v>
                </c:pt>
              </c:strCache>
            </c:strRef>
          </c:tx>
          <c:invertIfNegative val="0"/>
          <c:cat>
            <c:strRef>
              <c:f>Grafiken!$T$6:$T$10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Grafiken!$X$6:$X$10</c:f>
              <c:numCache>
                <c:formatCode>0.00%</c:formatCode>
                <c:ptCount val="5"/>
                <c:pt idx="0">
                  <c:v>1</c:v>
                </c:pt>
                <c:pt idx="1">
                  <c:v>0.24485790394411755</c:v>
                </c:pt>
                <c:pt idx="2">
                  <c:v>0.75514209605588245</c:v>
                </c:pt>
                <c:pt idx="3">
                  <c:v>0.48233961244640911</c:v>
                </c:pt>
                <c:pt idx="4">
                  <c:v>0.27280248360947335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71-4B75-B4EC-BD32E8A64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82456"/>
        <c:axId val="532283240"/>
      </c:barChart>
      <c:catAx>
        <c:axId val="5322824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83240"/>
        <c:crosses val="autoZero"/>
        <c:auto val="1"/>
        <c:lblAlgn val="ctr"/>
        <c:lblOffset val="100"/>
        <c:noMultiLvlLbl val="0"/>
      </c:catAx>
      <c:valAx>
        <c:axId val="532283240"/>
        <c:scaling>
          <c:orientation val="minMax"/>
          <c:max val="1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spPr>
          <a:ln w="9525">
            <a:noFill/>
          </a:ln>
        </c:spPr>
        <c:crossAx val="5322824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Soll-Ist-</a:t>
            </a:r>
            <a:r>
              <a:rPr lang="de-DE" baseline="0"/>
              <a:t>Vergleich 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Grafiken!$V$29</c:f>
              <c:strCache>
                <c:ptCount val="1"/>
                <c:pt idx="0">
                  <c:v>Plan - Relativ</c:v>
                </c:pt>
              </c:strCache>
            </c:strRef>
          </c:tx>
          <c:invertIfNegative val="0"/>
          <c:cat>
            <c:strRef>
              <c:f>Grafiken!$T$30:$T$34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Grafiken!$V$30:$V$34</c:f>
              <c:numCache>
                <c:formatCode>0.00%</c:formatCode>
                <c:ptCount val="5"/>
                <c:pt idx="0">
                  <c:v>1</c:v>
                </c:pt>
                <c:pt idx="1">
                  <c:v>3.2876097723233536E-3</c:v>
                </c:pt>
                <c:pt idx="2">
                  <c:v>0.17863583816337608</c:v>
                </c:pt>
                <c:pt idx="3">
                  <c:v>0.73691958115526568</c:v>
                </c:pt>
                <c:pt idx="4">
                  <c:v>2.2406039334434961E-2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B-43F3-803A-185CBABFA837}"/>
            </c:ext>
          </c:extLst>
        </c:ser>
        <c:ser>
          <c:idx val="1"/>
          <c:order val="1"/>
          <c:tx>
            <c:strRef>
              <c:f>Grafiken!$X$29</c:f>
              <c:strCache>
                <c:ptCount val="1"/>
                <c:pt idx="0">
                  <c:v>Ist- Relativ</c:v>
                </c:pt>
              </c:strCache>
            </c:strRef>
          </c:tx>
          <c:invertIfNegative val="0"/>
          <c:cat>
            <c:strRef>
              <c:f>Grafiken!$T$30:$T$34</c:f>
              <c:strCache>
                <c:ptCount val="5"/>
                <c:pt idx="0">
                  <c:v>Gesamtleistung:</c:v>
                </c:pt>
                <c:pt idx="1">
                  <c:v>Materialaufwand:</c:v>
                </c:pt>
                <c:pt idx="2">
                  <c:v>DB I:</c:v>
                </c:pt>
                <c:pt idx="3">
                  <c:v>Personalaufwand:</c:v>
                </c:pt>
                <c:pt idx="4">
                  <c:v>DB II:</c:v>
                </c:pt>
              </c:strCache>
            </c:strRef>
          </c:cat>
          <c:val>
            <c:numRef>
              <c:f>Grafiken!$X$30:$X$34</c:f>
              <c:numCache>
                <c:formatCode>0.00%</c:formatCode>
                <c:ptCount val="5"/>
                <c:pt idx="0">
                  <c:v>1</c:v>
                </c:pt>
                <c:pt idx="1">
                  <c:v>6.896479573946003E-2</c:v>
                </c:pt>
                <c:pt idx="2">
                  <c:v>0.93103520426053998</c:v>
                </c:pt>
                <c:pt idx="3">
                  <c:v>0.83497560136945925</c:v>
                </c:pt>
                <c:pt idx="4">
                  <c:v>9.6059602891080786E-2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0B-43F3-803A-185CBABF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86376"/>
        <c:axId val="532279320"/>
      </c:barChart>
      <c:catAx>
        <c:axId val="532286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79320"/>
        <c:crosses val="autoZero"/>
        <c:auto val="1"/>
        <c:lblAlgn val="ctr"/>
        <c:lblOffset val="100"/>
        <c:noMultiLvlLbl val="0"/>
      </c:catAx>
      <c:valAx>
        <c:axId val="532279320"/>
        <c:scaling>
          <c:orientation val="minMax"/>
          <c:max val="1"/>
        </c:scaling>
        <c:delete val="0"/>
        <c:axPos val="l"/>
        <c:majorGridlines/>
        <c:numFmt formatCode="0.00%" sourceLinked="1"/>
        <c:majorTickMark val="none"/>
        <c:minorTickMark val="none"/>
        <c:tickLblPos val="nextTo"/>
        <c:spPr>
          <a:ln w="9525">
            <a:noFill/>
          </a:ln>
        </c:spPr>
        <c:crossAx val="5322863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Plan-Erfolgsherkunft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D5C4-410A-A070-22D262154D96}"/>
              </c:ext>
            </c:extLst>
          </c:dPt>
          <c:dPt>
            <c:idx val="6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D5C4-410A-A070-22D262154D96}"/>
              </c:ext>
            </c:extLst>
          </c:dPt>
          <c:cat>
            <c:strRef>
              <c:f>Grafiken!$T$310:$T$316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Grafiken!$U$310:$U$316</c:f>
              <c:numCache>
                <c:formatCode>#,##0.00</c:formatCode>
                <c:ptCount val="7"/>
                <c:pt idx="0">
                  <c:v>103078.6</c:v>
                </c:pt>
                <c:pt idx="1">
                  <c:v>41405.718055555561</c:v>
                </c:pt>
                <c:pt idx="2">
                  <c:v>41339.051388888896</c:v>
                </c:pt>
                <c:pt idx="3">
                  <c:v>39413.218055555561</c:v>
                </c:pt>
                <c:pt idx="4">
                  <c:v>39407.551388888896</c:v>
                </c:pt>
                <c:pt idx="5">
                  <c:v>39157.551388888896</c:v>
                </c:pt>
                <c:pt idx="6">
                  <c:v>39157.551388888896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C4-410A-A070-22D262154D96}"/>
            </c:ext>
          </c:extLst>
        </c:ser>
        <c:ser>
          <c:idx val="1"/>
          <c:order val="1"/>
          <c:invertIfNegative val="0"/>
          <c:cat>
            <c:strRef>
              <c:f>Grafiken!$T$310:$T$316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Grafiken!$V$310:$V$316</c:f>
              <c:numCache>
                <c:formatCode>#,##0.00</c:formatCode>
                <c:ptCount val="7"/>
                <c:pt idx="0">
                  <c:v>0</c:v>
                </c:pt>
                <c:pt idx="1">
                  <c:v>61672.881944444445</c:v>
                </c:pt>
                <c:pt idx="2">
                  <c:v>66.666666666666671</c:v>
                </c:pt>
                <c:pt idx="3">
                  <c:v>1925.8333333333333</c:v>
                </c:pt>
                <c:pt idx="4">
                  <c:v>5.6666666666666661</c:v>
                </c:pt>
                <c:pt idx="5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C4-410A-A070-22D262154D96}"/>
            </c:ext>
          </c:extLst>
        </c:ser>
        <c:ser>
          <c:idx val="2"/>
          <c:order val="2"/>
          <c:invertIfNegative val="0"/>
          <c:cat>
            <c:strRef>
              <c:f>Grafiken!$T$310:$T$316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Grafiken!$W$310:$W$316</c:f>
              <c:numCache>
                <c:formatCode>#,##0.00</c:formatCode>
                <c:ptCount val="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C4-410A-A070-22D26215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81280"/>
        <c:axId val="532279712"/>
      </c:barChart>
      <c:catAx>
        <c:axId val="5322812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79712"/>
        <c:crosses val="autoZero"/>
        <c:auto val="1"/>
        <c:lblAlgn val="ctr"/>
        <c:lblOffset val="100"/>
        <c:noMultiLvlLbl val="0"/>
      </c:catAx>
      <c:valAx>
        <c:axId val="53227971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81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Ist-Erfolgsherkunft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7E79-4C1D-8EFF-2A7A8EA83ADA}"/>
              </c:ext>
            </c:extLst>
          </c:dPt>
          <c:dPt>
            <c:idx val="6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7E79-4C1D-8EFF-2A7A8EA83ADA}"/>
              </c:ext>
            </c:extLst>
          </c:dPt>
          <c:cat>
            <c:strRef>
              <c:f>Grafiken!$T$310:$T$316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Grafiken!$Y$310:$Y$316</c:f>
              <c:numCache>
                <c:formatCode>#,##0.00</c:formatCode>
                <c:ptCount val="7"/>
                <c:pt idx="0">
                  <c:v>24708.34</c:v>
                </c:pt>
                <c:pt idx="1">
                  <c:v>8926.130000000001</c:v>
                </c:pt>
                <c:pt idx="2">
                  <c:v>7611.8400000000011</c:v>
                </c:pt>
                <c:pt idx="3">
                  <c:v>6349.5300000000007</c:v>
                </c:pt>
                <c:pt idx="4">
                  <c:v>6349.5300000000007</c:v>
                </c:pt>
                <c:pt idx="5">
                  <c:v>6076.8700000000008</c:v>
                </c:pt>
                <c:pt idx="6">
                  <c:v>6076.8700000000008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79-4C1D-8EFF-2A7A8EA83ADA}"/>
            </c:ext>
          </c:extLst>
        </c:ser>
        <c:ser>
          <c:idx val="1"/>
          <c:order val="1"/>
          <c:invertIfNegative val="0"/>
          <c:cat>
            <c:strRef>
              <c:f>Grafiken!$T$310:$T$316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Grafiken!$Z$310:$Z$316</c:f>
              <c:numCache>
                <c:formatCode>#,##0.00</c:formatCode>
                <c:ptCount val="7"/>
                <c:pt idx="0">
                  <c:v>0</c:v>
                </c:pt>
                <c:pt idx="1">
                  <c:v>15782.21</c:v>
                </c:pt>
                <c:pt idx="2">
                  <c:v>1314.29</c:v>
                </c:pt>
                <c:pt idx="3">
                  <c:v>1262.31</c:v>
                </c:pt>
                <c:pt idx="4">
                  <c:v>0</c:v>
                </c:pt>
                <c:pt idx="5">
                  <c:v>272.66000000000003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79-4C1D-8EFF-2A7A8EA83ADA}"/>
            </c:ext>
          </c:extLst>
        </c:ser>
        <c:ser>
          <c:idx val="2"/>
          <c:order val="2"/>
          <c:invertIfNegative val="0"/>
          <c:cat>
            <c:strRef>
              <c:f>Grafiken!$T$310:$T$316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Grafiken!$AA$310:$AA$316</c:f>
              <c:numCache>
                <c:formatCode>#,##0.00</c:formatCode>
                <c:ptCount val="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79-4C1D-8EFF-2A7A8EA83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80496"/>
        <c:axId val="532280888"/>
      </c:barChart>
      <c:catAx>
        <c:axId val="5322804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80888"/>
        <c:crosses val="autoZero"/>
        <c:auto val="1"/>
        <c:lblAlgn val="ctr"/>
        <c:lblOffset val="100"/>
        <c:noMultiLvlLbl val="0"/>
      </c:catAx>
      <c:valAx>
        <c:axId val="53228088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80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Plan-Erfolgsherkunft - kumuliert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006E-49D1-BBCC-FFF8CCC3DE61}"/>
              </c:ext>
            </c:extLst>
          </c:dPt>
          <c:dPt>
            <c:idx val="6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006E-49D1-BBCC-FFF8CCC3DE61}"/>
              </c:ext>
            </c:extLst>
          </c:dPt>
          <c:cat>
            <c:strRef>
              <c:f>Grafiken!$T$334:$T$340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Grafiken!$U$334:$U$340</c:f>
              <c:numCache>
                <c:formatCode>#,##0.00</c:formatCode>
                <c:ptCount val="7"/>
                <c:pt idx="0">
                  <c:v>845244.52</c:v>
                </c:pt>
                <c:pt idx="1">
                  <c:v>220312.75055555545</c:v>
                </c:pt>
                <c:pt idx="2">
                  <c:v>219646.0838888888</c:v>
                </c:pt>
                <c:pt idx="3">
                  <c:v>200387.75055555545</c:v>
                </c:pt>
                <c:pt idx="4">
                  <c:v>200341.75055555545</c:v>
                </c:pt>
                <c:pt idx="5">
                  <c:v>197841.75055555545</c:v>
                </c:pt>
                <c:pt idx="6">
                  <c:v>197841.75055555563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6E-49D1-BBCC-FFF8CCC3DE61}"/>
            </c:ext>
          </c:extLst>
        </c:ser>
        <c:ser>
          <c:idx val="1"/>
          <c:order val="1"/>
          <c:invertIfNegative val="0"/>
          <c:cat>
            <c:strRef>
              <c:f>Grafiken!$T$334:$T$340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Grafiken!$V$334:$V$340</c:f>
              <c:numCache>
                <c:formatCode>#,##0.00</c:formatCode>
                <c:ptCount val="7"/>
                <c:pt idx="0">
                  <c:v>0</c:v>
                </c:pt>
                <c:pt idx="1">
                  <c:v>624931.76944444457</c:v>
                </c:pt>
                <c:pt idx="2">
                  <c:v>666.66666666666663</c:v>
                </c:pt>
                <c:pt idx="3">
                  <c:v>19258.333333333332</c:v>
                </c:pt>
                <c:pt idx="4">
                  <c:v>45.999999999999986</c:v>
                </c:pt>
                <c:pt idx="5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6E-49D1-BBCC-FFF8CCC3DE61}"/>
            </c:ext>
          </c:extLst>
        </c:ser>
        <c:ser>
          <c:idx val="2"/>
          <c:order val="2"/>
          <c:invertIfNegative val="0"/>
          <c:cat>
            <c:strRef>
              <c:f>Grafiken!$T$334:$T$340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Grafiken!$W$334:$W$340</c:f>
              <c:numCache>
                <c:formatCode>#,##0.00</c:formatCode>
                <c:ptCount val="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6E-49D1-BBCC-FFF8CCC3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60504"/>
        <c:axId val="532261288"/>
      </c:barChart>
      <c:catAx>
        <c:axId val="5322605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61288"/>
        <c:crosses val="autoZero"/>
        <c:auto val="1"/>
        <c:lblAlgn val="ctr"/>
        <c:lblOffset val="100"/>
        <c:noMultiLvlLbl val="0"/>
      </c:catAx>
      <c:valAx>
        <c:axId val="53226128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0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Ist-Erfolgsherkunft - kumuliert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51A7-4C79-80AA-DB9EEE0DE00C}"/>
              </c:ext>
            </c:extLst>
          </c:dPt>
          <c:dPt>
            <c:idx val="6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51A7-4C79-80AA-DB9EEE0DE00C}"/>
              </c:ext>
            </c:extLst>
          </c:dPt>
          <c:cat>
            <c:strRef>
              <c:f>Grafiken!$T$334:$T$340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Grafiken!$Y$334:$Y$340</c:f>
              <c:numCache>
                <c:formatCode>#,##0.00</c:formatCode>
                <c:ptCount val="7"/>
                <c:pt idx="0">
                  <c:v>147730</c:v>
                </c:pt>
                <c:pt idx="1">
                  <c:v>15242.050000000017</c:v>
                </c:pt>
                <c:pt idx="2">
                  <c:v>-1210.8599999999824</c:v>
                </c:pt>
                <c:pt idx="3">
                  <c:v>-16224.41999999998</c:v>
                </c:pt>
                <c:pt idx="4">
                  <c:v>-16224.41999999998</c:v>
                </c:pt>
                <c:pt idx="5">
                  <c:v>-18078.279999999981</c:v>
                </c:pt>
                <c:pt idx="6">
                  <c:v>-18078.279999999992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A7-4C79-80AA-DB9EEE0DE00C}"/>
            </c:ext>
          </c:extLst>
        </c:ser>
        <c:ser>
          <c:idx val="1"/>
          <c:order val="1"/>
          <c:invertIfNegative val="0"/>
          <c:cat>
            <c:strRef>
              <c:f>Grafiken!$T$334:$T$340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Grafiken!$Z$334:$Z$340</c:f>
              <c:numCache>
                <c:formatCode>#,##0.00</c:formatCode>
                <c:ptCount val="7"/>
                <c:pt idx="0">
                  <c:v>0</c:v>
                </c:pt>
                <c:pt idx="1">
                  <c:v>132487.94999999998</c:v>
                </c:pt>
                <c:pt idx="2">
                  <c:v>16452.91</c:v>
                </c:pt>
                <c:pt idx="3">
                  <c:v>15013.559999999998</c:v>
                </c:pt>
                <c:pt idx="4">
                  <c:v>0</c:v>
                </c:pt>
                <c:pt idx="5">
                  <c:v>1853.86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A7-4C79-80AA-DB9EEE0DE00C}"/>
            </c:ext>
          </c:extLst>
        </c:ser>
        <c:ser>
          <c:idx val="2"/>
          <c:order val="2"/>
          <c:invertIfNegative val="0"/>
          <c:cat>
            <c:strRef>
              <c:f>Grafiken!$T$334:$T$340</c:f>
              <c:strCache>
                <c:ptCount val="7"/>
                <c:pt idx="0">
                  <c:v>DB I:</c:v>
                </c:pt>
                <c:pt idx="1">
                  <c:v>Personalkosten:</c:v>
                </c:pt>
                <c:pt idx="2">
                  <c:v>Raumkosten:</c:v>
                </c:pt>
                <c:pt idx="3">
                  <c:v>Betriebliche Kosten:</c:v>
                </c:pt>
                <c:pt idx="4">
                  <c:v>Finanzergebnis:</c:v>
                </c:pt>
                <c:pt idx="5">
                  <c:v>AO Ergebnis:</c:v>
                </c:pt>
                <c:pt idx="6">
                  <c:v>Ergebnis vor Steuern</c:v>
                </c:pt>
              </c:strCache>
            </c:strRef>
          </c:cat>
          <c:val>
            <c:numRef>
              <c:f>Grafiken!$AA$334:$AA$340</c:f>
              <c:numCache>
                <c:formatCode>#,##0.00</c:formatCode>
                <c:ptCount val="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A7-4C79-80AA-DB9EEE0DE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64424"/>
        <c:axId val="532254232"/>
      </c:barChart>
      <c:catAx>
        <c:axId val="5322644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54232"/>
        <c:crosses val="autoZero"/>
        <c:auto val="1"/>
        <c:lblAlgn val="ctr"/>
        <c:lblOffset val="100"/>
        <c:noMultiLvlLbl val="0"/>
      </c:catAx>
      <c:valAx>
        <c:axId val="53225423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4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Kostenanalyse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Grafiken!$U$357</c:f>
              <c:strCache>
                <c:ptCount val="1"/>
                <c:pt idx="0">
                  <c:v>Plan</c:v>
                </c:pt>
              </c:strCache>
            </c:strRef>
          </c:tx>
          <c:invertIfNegative val="0"/>
          <c:cat>
            <c:strRef>
              <c:f>Grafiken!$T$358:$T$369</c:f>
              <c:strCache>
                <c:ptCount val="12"/>
                <c:pt idx="0">
                  <c:v>Raumkosten</c:v>
                </c:pt>
                <c:pt idx="1">
                  <c:v>Werbung</c:v>
                </c:pt>
                <c:pt idx="2">
                  <c:v>KFZ-Kosten</c:v>
                </c:pt>
                <c:pt idx="3">
                  <c:v>Reisekosten</c:v>
                </c:pt>
                <c:pt idx="4">
                  <c:v>Telefon und Internet</c:v>
                </c:pt>
                <c:pt idx="5">
                  <c:v>Versicherungen</c:v>
                </c:pt>
                <c:pt idx="6">
                  <c:v>Leasing</c:v>
                </c:pt>
                <c:pt idx="7">
                  <c:v>Beratungskosten</c:v>
                </c:pt>
                <c:pt idx="8">
                  <c:v>sonstige Kosten</c:v>
                </c:pt>
                <c:pt idx="9">
                  <c:v>Instandhaltungen</c:v>
                </c:pt>
                <c:pt idx="10">
                  <c:v>Abfallbeseitigung</c:v>
                </c:pt>
                <c:pt idx="11">
                  <c:v>Abschreibungen</c:v>
                </c:pt>
              </c:strCache>
            </c:strRef>
          </c:cat>
          <c:val>
            <c:numRef>
              <c:f>Grafiken!$U$358:$U$369</c:f>
              <c:numCache>
                <c:formatCode>#,##0.00</c:formatCode>
                <c:ptCount val="12"/>
                <c:pt idx="0">
                  <c:v>66.666666666666671</c:v>
                </c:pt>
                <c:pt idx="1">
                  <c:v>25</c:v>
                </c:pt>
                <c:pt idx="2">
                  <c:v>237.5</c:v>
                </c:pt>
                <c:pt idx="3">
                  <c:v>150</c:v>
                </c:pt>
                <c:pt idx="4">
                  <c:v>33.333333333333336</c:v>
                </c:pt>
                <c:pt idx="5">
                  <c:v>108.33333333333333</c:v>
                </c:pt>
                <c:pt idx="6">
                  <c:v>200</c:v>
                </c:pt>
                <c:pt idx="7">
                  <c:v>541.66666666666663</c:v>
                </c:pt>
                <c:pt idx="8">
                  <c:v>442.5</c:v>
                </c:pt>
                <c:pt idx="9">
                  <c:v>62.5</c:v>
                </c:pt>
                <c:pt idx="10">
                  <c:v>125</c:v>
                </c:pt>
                <c:pt idx="1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4-4A9A-9229-D90F2F636735}"/>
            </c:ext>
          </c:extLst>
        </c:ser>
        <c:ser>
          <c:idx val="1"/>
          <c:order val="1"/>
          <c:tx>
            <c:strRef>
              <c:f>Grafiken!$V$357</c:f>
              <c:strCache>
                <c:ptCount val="1"/>
                <c:pt idx="0">
                  <c:v>Ist</c:v>
                </c:pt>
              </c:strCache>
            </c:strRef>
          </c:tx>
          <c:invertIfNegative val="0"/>
          <c:cat>
            <c:strRef>
              <c:f>Grafiken!$T$358:$T$369</c:f>
              <c:strCache>
                <c:ptCount val="12"/>
                <c:pt idx="0">
                  <c:v>Raumkosten</c:v>
                </c:pt>
                <c:pt idx="1">
                  <c:v>Werbung</c:v>
                </c:pt>
                <c:pt idx="2">
                  <c:v>KFZ-Kosten</c:v>
                </c:pt>
                <c:pt idx="3">
                  <c:v>Reisekosten</c:v>
                </c:pt>
                <c:pt idx="4">
                  <c:v>Telefon und Internet</c:v>
                </c:pt>
                <c:pt idx="5">
                  <c:v>Versicherungen</c:v>
                </c:pt>
                <c:pt idx="6">
                  <c:v>Leasing</c:v>
                </c:pt>
                <c:pt idx="7">
                  <c:v>Beratungskosten</c:v>
                </c:pt>
                <c:pt idx="8">
                  <c:v>sonstige Kosten</c:v>
                </c:pt>
                <c:pt idx="9">
                  <c:v>Instandhaltungen</c:v>
                </c:pt>
                <c:pt idx="10">
                  <c:v>Abfallbeseitigung</c:v>
                </c:pt>
                <c:pt idx="11">
                  <c:v>Abschreibungen</c:v>
                </c:pt>
              </c:strCache>
            </c:strRef>
          </c:cat>
          <c:val>
            <c:numRef>
              <c:f>Grafiken!$V$358:$V$369</c:f>
              <c:numCache>
                <c:formatCode>#,##0.00</c:formatCode>
                <c:ptCount val="12"/>
                <c:pt idx="0">
                  <c:v>1314.29</c:v>
                </c:pt>
                <c:pt idx="1">
                  <c:v>49.94</c:v>
                </c:pt>
                <c:pt idx="2">
                  <c:v>29</c:v>
                </c:pt>
                <c:pt idx="3">
                  <c:v>166.5</c:v>
                </c:pt>
                <c:pt idx="4">
                  <c:v>458.66</c:v>
                </c:pt>
                <c:pt idx="5">
                  <c:v>23.85</c:v>
                </c:pt>
                <c:pt idx="6">
                  <c:v>0</c:v>
                </c:pt>
                <c:pt idx="7">
                  <c:v>150</c:v>
                </c:pt>
                <c:pt idx="8">
                  <c:v>273.48999999999995</c:v>
                </c:pt>
                <c:pt idx="9">
                  <c:v>110.87</c:v>
                </c:pt>
                <c:pt idx="10">
                  <c:v>0</c:v>
                </c:pt>
                <c:pt idx="11">
                  <c:v>272.66000000000003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4-4A9A-9229-D90F2F636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57368"/>
        <c:axId val="532261680"/>
      </c:barChart>
      <c:catAx>
        <c:axId val="5322573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61680"/>
        <c:crosses val="autoZero"/>
        <c:auto val="1"/>
        <c:lblAlgn val="ctr"/>
        <c:lblOffset val="100"/>
        <c:noMultiLvlLbl val="0"/>
      </c:catAx>
      <c:valAx>
        <c:axId val="53226168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573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Kostenanalyse - </a:t>
            </a:r>
            <a:r>
              <a:rPr lang="de-DE" baseline="0"/>
              <a:t>kumuliert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Grafiken!$U$382</c:f>
              <c:strCache>
                <c:ptCount val="1"/>
                <c:pt idx="0">
                  <c:v>Plan</c:v>
                </c:pt>
              </c:strCache>
            </c:strRef>
          </c:tx>
          <c:invertIfNegative val="0"/>
          <c:cat>
            <c:strRef>
              <c:f>Grafiken!$T$383:$T$394</c:f>
              <c:strCache>
                <c:ptCount val="12"/>
                <c:pt idx="0">
                  <c:v>Raumkosten</c:v>
                </c:pt>
                <c:pt idx="1">
                  <c:v>Werbung</c:v>
                </c:pt>
                <c:pt idx="2">
                  <c:v>KFZ-Kosten</c:v>
                </c:pt>
                <c:pt idx="3">
                  <c:v>Reisekosten</c:v>
                </c:pt>
                <c:pt idx="4">
                  <c:v>Telefon und Internet</c:v>
                </c:pt>
                <c:pt idx="5">
                  <c:v>Versicherungen</c:v>
                </c:pt>
                <c:pt idx="6">
                  <c:v>Leasing</c:v>
                </c:pt>
                <c:pt idx="7">
                  <c:v>Beratungskosten</c:v>
                </c:pt>
                <c:pt idx="8">
                  <c:v>sonstige Kosten</c:v>
                </c:pt>
                <c:pt idx="9">
                  <c:v>Instandhaltungen</c:v>
                </c:pt>
                <c:pt idx="10">
                  <c:v>Abfallbeseitigung</c:v>
                </c:pt>
                <c:pt idx="11">
                  <c:v>Abschreibungen</c:v>
                </c:pt>
              </c:strCache>
            </c:strRef>
          </c:cat>
          <c:val>
            <c:numRef>
              <c:f>Grafiken!$U$383:$U$394</c:f>
              <c:numCache>
                <c:formatCode>#,##0.00</c:formatCode>
                <c:ptCount val="12"/>
                <c:pt idx="0">
                  <c:v>666.66666666666663</c:v>
                </c:pt>
                <c:pt idx="1">
                  <c:v>250</c:v>
                </c:pt>
                <c:pt idx="2">
                  <c:v>2375</c:v>
                </c:pt>
                <c:pt idx="3">
                  <c:v>1500</c:v>
                </c:pt>
                <c:pt idx="4">
                  <c:v>333.33333333333331</c:v>
                </c:pt>
                <c:pt idx="5">
                  <c:v>1083.3333333333335</c:v>
                </c:pt>
                <c:pt idx="6">
                  <c:v>2000</c:v>
                </c:pt>
                <c:pt idx="7">
                  <c:v>5416.666666666667</c:v>
                </c:pt>
                <c:pt idx="8">
                  <c:v>4425</c:v>
                </c:pt>
                <c:pt idx="9">
                  <c:v>625</c:v>
                </c:pt>
                <c:pt idx="10">
                  <c:v>1250</c:v>
                </c:pt>
                <c:pt idx="11">
                  <c:v>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5-4C87-BBA2-8E0DA3DCD207}"/>
            </c:ext>
          </c:extLst>
        </c:ser>
        <c:ser>
          <c:idx val="1"/>
          <c:order val="1"/>
          <c:tx>
            <c:strRef>
              <c:f>Grafiken!$V$382</c:f>
              <c:strCache>
                <c:ptCount val="1"/>
                <c:pt idx="0">
                  <c:v>Ist</c:v>
                </c:pt>
              </c:strCache>
            </c:strRef>
          </c:tx>
          <c:invertIfNegative val="0"/>
          <c:cat>
            <c:strRef>
              <c:f>Grafiken!$T$383:$T$394</c:f>
              <c:strCache>
                <c:ptCount val="12"/>
                <c:pt idx="0">
                  <c:v>Raumkosten</c:v>
                </c:pt>
                <c:pt idx="1">
                  <c:v>Werbung</c:v>
                </c:pt>
                <c:pt idx="2">
                  <c:v>KFZ-Kosten</c:v>
                </c:pt>
                <c:pt idx="3">
                  <c:v>Reisekosten</c:v>
                </c:pt>
                <c:pt idx="4">
                  <c:v>Telefon und Internet</c:v>
                </c:pt>
                <c:pt idx="5">
                  <c:v>Versicherungen</c:v>
                </c:pt>
                <c:pt idx="6">
                  <c:v>Leasing</c:v>
                </c:pt>
                <c:pt idx="7">
                  <c:v>Beratungskosten</c:v>
                </c:pt>
                <c:pt idx="8">
                  <c:v>sonstige Kosten</c:v>
                </c:pt>
                <c:pt idx="9">
                  <c:v>Instandhaltungen</c:v>
                </c:pt>
                <c:pt idx="10">
                  <c:v>Abfallbeseitigung</c:v>
                </c:pt>
                <c:pt idx="11">
                  <c:v>Abschreibungen</c:v>
                </c:pt>
              </c:strCache>
            </c:strRef>
          </c:cat>
          <c:val>
            <c:numRef>
              <c:f>Grafiken!$V$383:$V$394</c:f>
              <c:numCache>
                <c:formatCode>#,##0.00</c:formatCode>
                <c:ptCount val="12"/>
                <c:pt idx="0">
                  <c:v>16452.91</c:v>
                </c:pt>
                <c:pt idx="1">
                  <c:v>595.31999999999994</c:v>
                </c:pt>
                <c:pt idx="2">
                  <c:v>44.65</c:v>
                </c:pt>
                <c:pt idx="3">
                  <c:v>875.03</c:v>
                </c:pt>
                <c:pt idx="4">
                  <c:v>2800.2399999999993</c:v>
                </c:pt>
                <c:pt idx="5">
                  <c:v>2890.7300000000005</c:v>
                </c:pt>
                <c:pt idx="6">
                  <c:v>0</c:v>
                </c:pt>
                <c:pt idx="7">
                  <c:v>4304.3</c:v>
                </c:pt>
                <c:pt idx="8">
                  <c:v>2300.5699999999997</c:v>
                </c:pt>
                <c:pt idx="9">
                  <c:v>1138.44</c:v>
                </c:pt>
                <c:pt idx="10">
                  <c:v>64.28</c:v>
                </c:pt>
                <c:pt idx="11">
                  <c:v>3109.6999999999994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5-4C87-BBA2-8E0DA3DCD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2256192"/>
        <c:axId val="532265992"/>
      </c:barChart>
      <c:catAx>
        <c:axId val="5322561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2265992"/>
        <c:crosses val="autoZero"/>
        <c:auto val="1"/>
        <c:lblAlgn val="ctr"/>
        <c:lblOffset val="100"/>
        <c:noMultiLvlLbl val="0"/>
      </c:catAx>
      <c:valAx>
        <c:axId val="53226599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561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Plan-Liquiditätsergebnis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1093-4C53-8A9F-D39A90752E53}"/>
              </c:ext>
            </c:extLst>
          </c:dPt>
          <c:dPt>
            <c:idx val="8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1093-4C53-8A9F-D39A90752E53}"/>
              </c:ext>
            </c:extLst>
          </c:dPt>
          <c:cat>
            <c:strRef>
              <c:f>Grafiken!$T$410:$T$418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Grafiken!$U$410:$U$418</c:f>
              <c:numCache>
                <c:formatCode>#,##0.00</c:formatCode>
                <c:ptCount val="9"/>
                <c:pt idx="0">
                  <c:v>27410.285972222227</c:v>
                </c:pt>
                <c:pt idx="1">
                  <c:v>27410.285972222227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93-4C53-8A9F-D39A90752E53}"/>
            </c:ext>
          </c:extLst>
        </c:ser>
        <c:ser>
          <c:idx val="1"/>
          <c:order val="1"/>
          <c:invertIfNegative val="0"/>
          <c:cat>
            <c:strRef>
              <c:f>Grafiken!$T$410:$T$418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Grafiken!$V$410:$V$418</c:f>
              <c:numCache>
                <c:formatCode>#,##0.00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93-4C53-8A9F-D39A90752E53}"/>
            </c:ext>
          </c:extLst>
        </c:ser>
        <c:ser>
          <c:idx val="2"/>
          <c:order val="2"/>
          <c:invertIfNegative val="0"/>
          <c:cat>
            <c:strRef>
              <c:f>Grafiken!$T$410:$T$418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Grafiken!$W$410:$W$418</c:f>
              <c:numCache>
                <c:formatCode>#,##0.00</c:formatCode>
                <c:ptCount val="9"/>
                <c:pt idx="1">
                  <c:v>250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93-4C53-8A9F-D39A90752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58152"/>
        <c:axId val="532257760"/>
      </c:barChart>
      <c:catAx>
        <c:axId val="5322581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57760"/>
        <c:crosses val="autoZero"/>
        <c:auto val="1"/>
        <c:lblAlgn val="ctr"/>
        <c:lblOffset val="100"/>
        <c:noMultiLvlLbl val="0"/>
      </c:catAx>
      <c:valAx>
        <c:axId val="53225776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58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Ist-Liquiditätsergebnis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3DEF-4150-9328-C525216F2C16}"/>
              </c:ext>
            </c:extLst>
          </c:dPt>
          <c:dPt>
            <c:idx val="8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3DEF-4150-9328-C525216F2C16}"/>
              </c:ext>
            </c:extLst>
          </c:dPt>
          <c:cat>
            <c:strRef>
              <c:f>Grafiken!$T$410:$T$418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Grafiken!$Y$410:$Y$418</c:f>
              <c:numCache>
                <c:formatCode>#,##0.00</c:formatCode>
                <c:ptCount val="9"/>
                <c:pt idx="0">
                  <c:v>11586.37</c:v>
                </c:pt>
                <c:pt idx="1">
                  <c:v>11586.37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F-4150-9328-C525216F2C16}"/>
            </c:ext>
          </c:extLst>
        </c:ser>
        <c:ser>
          <c:idx val="1"/>
          <c:order val="1"/>
          <c:invertIfNegative val="0"/>
          <c:cat>
            <c:strRef>
              <c:f>Grafiken!$T$410:$T$418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Grafiken!$Z$410:$Z$418</c:f>
              <c:numCache>
                <c:formatCode>#,##0.00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EF-4150-9328-C525216F2C16}"/>
            </c:ext>
          </c:extLst>
        </c:ser>
        <c:ser>
          <c:idx val="2"/>
          <c:order val="2"/>
          <c:invertIfNegative val="0"/>
          <c:cat>
            <c:strRef>
              <c:f>Grafiken!$T$410:$T$418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Grafiken!$AA$410:$AA$418</c:f>
              <c:numCache>
                <c:formatCode>#,##0.00</c:formatCode>
                <c:ptCount val="9"/>
                <c:pt idx="1">
                  <c:v>272.66000000000003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EF-4150-9328-C525216F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59720"/>
        <c:axId val="532262856"/>
      </c:barChart>
      <c:catAx>
        <c:axId val="532259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62856"/>
        <c:crosses val="autoZero"/>
        <c:auto val="1"/>
        <c:lblAlgn val="ctr"/>
        <c:lblOffset val="100"/>
        <c:noMultiLvlLbl val="0"/>
      </c:catAx>
      <c:valAx>
        <c:axId val="53226285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59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Plan-Liquiditätsergebnis - kumuliert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03B1-403F-9ABA-2CDAEA2CCD22}"/>
              </c:ext>
            </c:extLst>
          </c:dPt>
          <c:dPt>
            <c:idx val="8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03B1-403F-9ABA-2CDAEA2CCD22}"/>
              </c:ext>
            </c:extLst>
          </c:dPt>
          <c:cat>
            <c:strRef>
              <c:f>Grafiken!$T$434:$T$442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Grafiken!$U$434:$U$442</c:f>
              <c:numCache>
                <c:formatCode>#,##0.00</c:formatCode>
                <c:ptCount val="9"/>
                <c:pt idx="0">
                  <c:v>138489.22538888891</c:v>
                </c:pt>
                <c:pt idx="1">
                  <c:v>138489.22538888891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B1-403F-9ABA-2CDAEA2CCD22}"/>
            </c:ext>
          </c:extLst>
        </c:ser>
        <c:ser>
          <c:idx val="1"/>
          <c:order val="1"/>
          <c:invertIfNegative val="0"/>
          <c:cat>
            <c:strRef>
              <c:f>Grafiken!$T$434:$T$442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Grafiken!$V$434:$V$442</c:f>
              <c:numCache>
                <c:formatCode>#,##0.00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B1-403F-9ABA-2CDAEA2CCD22}"/>
            </c:ext>
          </c:extLst>
        </c:ser>
        <c:ser>
          <c:idx val="2"/>
          <c:order val="2"/>
          <c:invertIfNegative val="0"/>
          <c:cat>
            <c:strRef>
              <c:f>Grafiken!$T$434:$T$442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Grafiken!$W$434:$W$442</c:f>
              <c:numCache>
                <c:formatCode>#,##0.00</c:formatCode>
                <c:ptCount val="9"/>
                <c:pt idx="1">
                  <c:v>2500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B1-403F-9ABA-2CDAEA2CC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63248"/>
        <c:axId val="532256976"/>
      </c:barChart>
      <c:catAx>
        <c:axId val="5322632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56976"/>
        <c:crosses val="autoZero"/>
        <c:auto val="1"/>
        <c:lblAlgn val="ctr"/>
        <c:lblOffset val="100"/>
        <c:noMultiLvlLbl val="0"/>
      </c:catAx>
      <c:valAx>
        <c:axId val="53225697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3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Ist-Liquiditätsergebis - kumuliert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8232-44DF-904A-FD1FB15E5044}"/>
              </c:ext>
            </c:extLst>
          </c:dPt>
          <c:dPt>
            <c:idx val="8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8232-44DF-904A-FD1FB15E5044}"/>
              </c:ext>
            </c:extLst>
          </c:dPt>
          <c:cat>
            <c:strRef>
              <c:f>Grafiken!$T$434:$T$442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Grafiken!$Y$434:$Y$442</c:f>
              <c:numCache>
                <c:formatCode>#,##0.00</c:formatCode>
                <c:ptCount val="9"/>
                <c:pt idx="0">
                  <c:v>-18078.279999999992</c:v>
                </c:pt>
                <c:pt idx="1">
                  <c:v>-18078.279999999992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32-44DF-904A-FD1FB15E5044}"/>
            </c:ext>
          </c:extLst>
        </c:ser>
        <c:ser>
          <c:idx val="1"/>
          <c:order val="1"/>
          <c:invertIfNegative val="0"/>
          <c:cat>
            <c:strRef>
              <c:f>Grafiken!$T$434:$T$442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Grafiken!$Z$434:$Z$442</c:f>
              <c:numCache>
                <c:formatCode>#,##0.00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32-44DF-904A-FD1FB15E5044}"/>
            </c:ext>
          </c:extLst>
        </c:ser>
        <c:ser>
          <c:idx val="2"/>
          <c:order val="2"/>
          <c:invertIfNegative val="0"/>
          <c:cat>
            <c:strRef>
              <c:f>Grafiken!$T$434:$T$442</c:f>
              <c:strCache>
                <c:ptCount val="9"/>
                <c:pt idx="0">
                  <c:v>Bilanzergebnis</c:v>
                </c:pt>
                <c:pt idx="1">
                  <c:v>Abschreibungen</c:v>
                </c:pt>
                <c:pt idx="2">
                  <c:v>Investitionen - Deinvestitionen</c:v>
                </c:pt>
                <c:pt idx="3">
                  <c:v>Kreditaufnahme für Investitionen</c:v>
                </c:pt>
                <c:pt idx="4">
                  <c:v>Tilgungen</c:v>
                </c:pt>
                <c:pt idx="5">
                  <c:v>Privatentnahmen</c:v>
                </c:pt>
                <c:pt idx="6">
                  <c:v>Privateinlagen</c:v>
                </c:pt>
                <c:pt idx="7">
                  <c:v>Gewinnbeteiligung</c:v>
                </c:pt>
                <c:pt idx="8">
                  <c:v>Liqui-Ergebnis I (Geldvermögen)</c:v>
                </c:pt>
              </c:strCache>
            </c:strRef>
          </c:cat>
          <c:val>
            <c:numRef>
              <c:f>Grafiken!$AA$434:$AA$442</c:f>
              <c:numCache>
                <c:formatCode>#,##0.00</c:formatCode>
                <c:ptCount val="9"/>
                <c:pt idx="1">
                  <c:v>3109.6999999999994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32-44DF-904A-FD1FB15E5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58936"/>
        <c:axId val="532263640"/>
      </c:barChart>
      <c:catAx>
        <c:axId val="532258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63640"/>
        <c:crosses val="autoZero"/>
        <c:auto val="1"/>
        <c:lblAlgn val="ctr"/>
        <c:lblOffset val="100"/>
        <c:noMultiLvlLbl val="0"/>
      </c:catAx>
      <c:valAx>
        <c:axId val="53226364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58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Veränderung der Barliquidität - pro Monat</a:t>
            </a:r>
            <a:r>
              <a:rPr lang="de-DE" baseline="0"/>
              <a:t>
              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EA02-482D-A90E-5CC14C25ED1D}"/>
              </c:ext>
            </c:extLst>
          </c:dPt>
          <c:dPt>
            <c:idx val="12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EA02-482D-A90E-5CC14C25ED1D}"/>
              </c:ext>
            </c:extLst>
          </c:dPt>
          <c:cat>
            <c:strRef>
              <c:f>Grafiken!$T$459:$T$472</c:f>
              <c:strCache>
                <c:ptCount val="14"/>
                <c:pt idx="0">
                  <c:v>Anfangsbestand Kasse / Bank</c:v>
                </c:pt>
                <c:pt idx="1">
                  <c:v>Bilanzergebnis</c:v>
                </c:pt>
                <c:pt idx="2">
                  <c:v>Abschreibungen</c:v>
                </c:pt>
                <c:pt idx="3">
                  <c:v>Investitionen - Deinvestitionen</c:v>
                </c:pt>
                <c:pt idx="4">
                  <c:v>Kreditaufnahme für Investitionen</c:v>
                </c:pt>
                <c:pt idx="5">
                  <c:v>Tilgungen</c:v>
                </c:pt>
                <c:pt idx="6">
                  <c:v>Privatentnahmen</c:v>
                </c:pt>
                <c:pt idx="7">
                  <c:v>Privateinlagen</c:v>
                </c:pt>
                <c:pt idx="8">
                  <c:v>Gewinnbeteiligung</c:v>
                </c:pt>
                <c:pt idx="9">
                  <c:v>Kreditaufnahme für Umschuldung</c:v>
                </c:pt>
                <c:pt idx="10">
                  <c:v>Veränderung sonstiges Aktiva</c:v>
                </c:pt>
                <c:pt idx="11">
                  <c:v>Veränderung sonstiges Passiva</c:v>
                </c:pt>
                <c:pt idx="12">
                  <c:v>Endbestand Kasse / Bank</c:v>
                </c:pt>
                <c:pt idx="13">
                  <c:v>Veränderung der Barliquidität</c:v>
                </c:pt>
              </c:strCache>
            </c:strRef>
          </c:cat>
          <c:val>
            <c:numRef>
              <c:f>Grafiken!$U$459:$U$472</c:f>
              <c:numCache>
                <c:formatCode>#,##0.00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02-482D-A90E-5CC14C25ED1D}"/>
            </c:ext>
          </c:extLst>
        </c:ser>
        <c:ser>
          <c:idx val="1"/>
          <c:order val="1"/>
          <c:invertIfNegative val="0"/>
          <c:dPt>
            <c:idx val="13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6-EA02-482D-A90E-5CC14C25ED1D}"/>
              </c:ext>
            </c:extLst>
          </c:dPt>
          <c:cat>
            <c:strRef>
              <c:f>Grafiken!$T$459:$T$472</c:f>
              <c:strCache>
                <c:ptCount val="14"/>
                <c:pt idx="0">
                  <c:v>Anfangsbestand Kasse / Bank</c:v>
                </c:pt>
                <c:pt idx="1">
                  <c:v>Bilanzergebnis</c:v>
                </c:pt>
                <c:pt idx="2">
                  <c:v>Abschreibungen</c:v>
                </c:pt>
                <c:pt idx="3">
                  <c:v>Investitionen - Deinvestitionen</c:v>
                </c:pt>
                <c:pt idx="4">
                  <c:v>Kreditaufnahme für Investitionen</c:v>
                </c:pt>
                <c:pt idx="5">
                  <c:v>Tilgungen</c:v>
                </c:pt>
                <c:pt idx="6">
                  <c:v>Privatentnahmen</c:v>
                </c:pt>
                <c:pt idx="7">
                  <c:v>Privateinlagen</c:v>
                </c:pt>
                <c:pt idx="8">
                  <c:v>Gewinnbeteiligung</c:v>
                </c:pt>
                <c:pt idx="9">
                  <c:v>Kreditaufnahme für Umschuldung</c:v>
                </c:pt>
                <c:pt idx="10">
                  <c:v>Veränderung sonstiges Aktiva</c:v>
                </c:pt>
                <c:pt idx="11">
                  <c:v>Veränderung sonstiges Passiva</c:v>
                </c:pt>
                <c:pt idx="12">
                  <c:v>Endbestand Kasse / Bank</c:v>
                </c:pt>
                <c:pt idx="13">
                  <c:v>Veränderung der Barliquidität</c:v>
                </c:pt>
              </c:strCache>
            </c:strRef>
          </c:cat>
          <c:val>
            <c:numRef>
              <c:f>Grafiken!$V$459:$V$472</c:f>
              <c:numCache>
                <c:formatCode>#,##0.00</c:formatCode>
                <c:ptCount val="14"/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02-482D-A90E-5CC14C25ED1D}"/>
            </c:ext>
          </c:extLst>
        </c:ser>
        <c:ser>
          <c:idx val="2"/>
          <c:order val="2"/>
          <c:invertIfNegative val="0"/>
          <c:dPt>
            <c:idx val="13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9-EA02-482D-A90E-5CC14C25ED1D}"/>
              </c:ext>
            </c:extLst>
          </c:dPt>
          <c:cat>
            <c:strRef>
              <c:f>Grafiken!$T$459:$T$472</c:f>
              <c:strCache>
                <c:ptCount val="14"/>
                <c:pt idx="0">
                  <c:v>Anfangsbestand Kasse / Bank</c:v>
                </c:pt>
                <c:pt idx="1">
                  <c:v>Bilanzergebnis</c:v>
                </c:pt>
                <c:pt idx="2">
                  <c:v>Abschreibungen</c:v>
                </c:pt>
                <c:pt idx="3">
                  <c:v>Investitionen - Deinvestitionen</c:v>
                </c:pt>
                <c:pt idx="4">
                  <c:v>Kreditaufnahme für Investitionen</c:v>
                </c:pt>
                <c:pt idx="5">
                  <c:v>Tilgungen</c:v>
                </c:pt>
                <c:pt idx="6">
                  <c:v>Privatentnahmen</c:v>
                </c:pt>
                <c:pt idx="7">
                  <c:v>Privateinlagen</c:v>
                </c:pt>
                <c:pt idx="8">
                  <c:v>Gewinnbeteiligung</c:v>
                </c:pt>
                <c:pt idx="9">
                  <c:v>Kreditaufnahme für Umschuldung</c:v>
                </c:pt>
                <c:pt idx="10">
                  <c:v>Veränderung sonstiges Aktiva</c:v>
                </c:pt>
                <c:pt idx="11">
                  <c:v>Veränderung sonstiges Passiva</c:v>
                </c:pt>
                <c:pt idx="12">
                  <c:v>Endbestand Kasse / Bank</c:v>
                </c:pt>
                <c:pt idx="13">
                  <c:v>Veränderung der Barliquidität</c:v>
                </c:pt>
              </c:strCache>
            </c:strRef>
          </c:cat>
          <c:val>
            <c:numRef>
              <c:f>Grafiken!$W$459:$W$472</c:f>
              <c:numCache>
                <c:formatCode>#,##0.00</c:formatCode>
                <c:ptCount val="14"/>
                <c:pt idx="1">
                  <c:v>11586.37</c:v>
                </c:pt>
                <c:pt idx="2">
                  <c:v>272.66000000000003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02-482D-A90E-5CC14C25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64032"/>
        <c:axId val="532264816"/>
      </c:barChart>
      <c:catAx>
        <c:axId val="5322640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64816"/>
        <c:crosses val="autoZero"/>
        <c:auto val="1"/>
        <c:lblAlgn val="ctr"/>
        <c:lblOffset val="100"/>
        <c:noMultiLvlLbl val="0"/>
      </c:catAx>
      <c:valAx>
        <c:axId val="53226481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4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Veränderung der Barliquidität - kumuliert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1357-40DD-A8B1-6CCF1CB3F23C}"/>
              </c:ext>
            </c:extLst>
          </c:dPt>
          <c:dPt>
            <c:idx val="12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3-1357-40DD-A8B1-6CCF1CB3F23C}"/>
              </c:ext>
            </c:extLst>
          </c:dPt>
          <c:cat>
            <c:strRef>
              <c:f>Grafiken!$T$483:$T$496</c:f>
              <c:strCache>
                <c:ptCount val="14"/>
                <c:pt idx="0">
                  <c:v>Anfangsbestand Kasse / Bank</c:v>
                </c:pt>
                <c:pt idx="1">
                  <c:v>Bilanzergebnis</c:v>
                </c:pt>
                <c:pt idx="2">
                  <c:v>Abschreibungen</c:v>
                </c:pt>
                <c:pt idx="3">
                  <c:v>Investitionen - Deinvestitionen</c:v>
                </c:pt>
                <c:pt idx="4">
                  <c:v>Kreditaufnahme für Investitionen</c:v>
                </c:pt>
                <c:pt idx="5">
                  <c:v>Tilgungen</c:v>
                </c:pt>
                <c:pt idx="6">
                  <c:v>Privatentnahmen</c:v>
                </c:pt>
                <c:pt idx="7">
                  <c:v>Privateinlagen</c:v>
                </c:pt>
                <c:pt idx="8">
                  <c:v>Gewinnbeteiligung</c:v>
                </c:pt>
                <c:pt idx="9">
                  <c:v>Kreditaufnahme für Umschuldung</c:v>
                </c:pt>
                <c:pt idx="10">
                  <c:v>Veränderung sonstiges Aktiva</c:v>
                </c:pt>
                <c:pt idx="11">
                  <c:v>Veränderung sonstiges Passiva</c:v>
                </c:pt>
                <c:pt idx="12">
                  <c:v>Endbestand Kasse / Bank</c:v>
                </c:pt>
                <c:pt idx="13">
                  <c:v>Veränderung der Barliquidität</c:v>
                </c:pt>
              </c:strCache>
            </c:strRef>
          </c:cat>
          <c:val>
            <c:numRef>
              <c:f>Grafiken!$U$483:$U$496</c:f>
              <c:numCache>
                <c:formatCode>#,##0.00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57-40DD-A8B1-6CCF1CB3F23C}"/>
            </c:ext>
          </c:extLst>
        </c:ser>
        <c:ser>
          <c:idx val="1"/>
          <c:order val="1"/>
          <c:invertIfNegative val="0"/>
          <c:cat>
            <c:strRef>
              <c:f>Grafiken!$T$483:$T$496</c:f>
              <c:strCache>
                <c:ptCount val="14"/>
                <c:pt idx="0">
                  <c:v>Anfangsbestand Kasse / Bank</c:v>
                </c:pt>
                <c:pt idx="1">
                  <c:v>Bilanzergebnis</c:v>
                </c:pt>
                <c:pt idx="2">
                  <c:v>Abschreibungen</c:v>
                </c:pt>
                <c:pt idx="3">
                  <c:v>Investitionen - Deinvestitionen</c:v>
                </c:pt>
                <c:pt idx="4">
                  <c:v>Kreditaufnahme für Investitionen</c:v>
                </c:pt>
                <c:pt idx="5">
                  <c:v>Tilgungen</c:v>
                </c:pt>
                <c:pt idx="6">
                  <c:v>Privatentnahmen</c:v>
                </c:pt>
                <c:pt idx="7">
                  <c:v>Privateinlagen</c:v>
                </c:pt>
                <c:pt idx="8">
                  <c:v>Gewinnbeteiligung</c:v>
                </c:pt>
                <c:pt idx="9">
                  <c:v>Kreditaufnahme für Umschuldung</c:v>
                </c:pt>
                <c:pt idx="10">
                  <c:v>Veränderung sonstiges Aktiva</c:v>
                </c:pt>
                <c:pt idx="11">
                  <c:v>Veränderung sonstiges Passiva</c:v>
                </c:pt>
                <c:pt idx="12">
                  <c:v>Endbestand Kasse / Bank</c:v>
                </c:pt>
                <c:pt idx="13">
                  <c:v>Veränderung der Barliquidität</c:v>
                </c:pt>
              </c:strCache>
            </c:strRef>
          </c:cat>
          <c:val>
            <c:numRef>
              <c:f>Grafiken!$V$483:$V$496</c:f>
              <c:numCache>
                <c:formatCode>#,##0.00</c:formatCode>
                <c:ptCount val="14"/>
                <c:pt idx="1">
                  <c:v>18078.279999999992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57-40DD-A8B1-6CCF1CB3F23C}"/>
            </c:ext>
          </c:extLst>
        </c:ser>
        <c:ser>
          <c:idx val="2"/>
          <c:order val="2"/>
          <c:invertIfNegative val="0"/>
          <c:dPt>
            <c:idx val="13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1357-40DD-A8B1-6CCF1CB3F23C}"/>
              </c:ext>
            </c:extLst>
          </c:dPt>
          <c:cat>
            <c:strRef>
              <c:f>Grafiken!$T$483:$T$496</c:f>
              <c:strCache>
                <c:ptCount val="14"/>
                <c:pt idx="0">
                  <c:v>Anfangsbestand Kasse / Bank</c:v>
                </c:pt>
                <c:pt idx="1">
                  <c:v>Bilanzergebnis</c:v>
                </c:pt>
                <c:pt idx="2">
                  <c:v>Abschreibungen</c:v>
                </c:pt>
                <c:pt idx="3">
                  <c:v>Investitionen - Deinvestitionen</c:v>
                </c:pt>
                <c:pt idx="4">
                  <c:v>Kreditaufnahme für Investitionen</c:v>
                </c:pt>
                <c:pt idx="5">
                  <c:v>Tilgungen</c:v>
                </c:pt>
                <c:pt idx="6">
                  <c:v>Privatentnahmen</c:v>
                </c:pt>
                <c:pt idx="7">
                  <c:v>Privateinlagen</c:v>
                </c:pt>
                <c:pt idx="8">
                  <c:v>Gewinnbeteiligung</c:v>
                </c:pt>
                <c:pt idx="9">
                  <c:v>Kreditaufnahme für Umschuldung</c:v>
                </c:pt>
                <c:pt idx="10">
                  <c:v>Veränderung sonstiges Aktiva</c:v>
                </c:pt>
                <c:pt idx="11">
                  <c:v>Veränderung sonstiges Passiva</c:v>
                </c:pt>
                <c:pt idx="12">
                  <c:v>Endbestand Kasse / Bank</c:v>
                </c:pt>
                <c:pt idx="13">
                  <c:v>Veränderung der Barliquidität</c:v>
                </c:pt>
              </c:strCache>
            </c:strRef>
          </c:cat>
          <c:val>
            <c:numRef>
              <c:f>Grafiken!$W$483:$W$496</c:f>
              <c:numCache>
                <c:formatCode>#,##0.00</c:formatCode>
                <c:ptCount val="14"/>
                <c:pt idx="1">
                  <c:v>0</c:v>
                </c:pt>
                <c:pt idx="2">
                  <c:v>3109.6999999999994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57-40DD-A8B1-6CCF1CB3F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266384"/>
        <c:axId val="532254624"/>
      </c:barChart>
      <c:catAx>
        <c:axId val="532266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crossAx val="532254624"/>
        <c:crosses val="autoZero"/>
        <c:auto val="1"/>
        <c:lblAlgn val="ctr"/>
        <c:lblOffset val="100"/>
        <c:noMultiLvlLbl val="0"/>
      </c:catAx>
      <c:valAx>
        <c:axId val="532254624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226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Betriebliche Kosten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Grafiken!$T$607</c:f>
              <c:strCache>
                <c:ptCount val="1"/>
                <c:pt idx="0">
                  <c:v>Raumkosten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Grafiken!$U$607:$AR$607</c:f>
              <c:numCache>
                <c:formatCode>#,##0.00</c:formatCode>
                <c:ptCount val="24"/>
                <c:pt idx="0">
                  <c:v>66.666666666666671</c:v>
                </c:pt>
                <c:pt idx="1">
                  <c:v>1761.74</c:v>
                </c:pt>
                <c:pt idx="2">
                  <c:v>66.666666666666671</c:v>
                </c:pt>
                <c:pt idx="3">
                  <c:v>1543.45</c:v>
                </c:pt>
                <c:pt idx="4">
                  <c:v>#N/A</c:v>
                </c:pt>
                <c:pt idx="5">
                  <c:v>1538.74</c:v>
                </c:pt>
                <c:pt idx="6">
                  <c:v>66.666666666666671</c:v>
                </c:pt>
                <c:pt idx="7">
                  <c:v>1581.49</c:v>
                </c:pt>
                <c:pt idx="8">
                  <c:v>66.666666666666671</c:v>
                </c:pt>
                <c:pt idx="9">
                  <c:v>2107.02</c:v>
                </c:pt>
                <c:pt idx="10">
                  <c:v>#N/A</c:v>
                </c:pt>
                <c:pt idx="11">
                  <c:v>585.28</c:v>
                </c:pt>
                <c:pt idx="12">
                  <c:v>66.666666666666671</c:v>
                </c:pt>
                <c:pt idx="13">
                  <c:v>2648.0299999999997</c:v>
                </c:pt>
                <c:pt idx="14">
                  <c:v>66.666666666666671</c:v>
                </c:pt>
                <c:pt idx="15">
                  <c:v>2058.58</c:v>
                </c:pt>
                <c:pt idx="16">
                  <c:v>66.666666666666671</c:v>
                </c:pt>
                <c:pt idx="17">
                  <c:v>1314.29</c:v>
                </c:pt>
                <c:pt idx="18">
                  <c:v>66.666666666666671</c:v>
                </c:pt>
                <c:pt idx="19">
                  <c:v>1314.29</c:v>
                </c:pt>
                <c:pt idx="20">
                  <c:v>66.666666666666671</c:v>
                </c:pt>
                <c:pt idx="21">
                  <c:v>0</c:v>
                </c:pt>
                <c:pt idx="22">
                  <c:v>66.666666666666671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4-4624-9375-29C50E24383E}"/>
            </c:ext>
          </c:extLst>
        </c:ser>
        <c:ser>
          <c:idx val="1"/>
          <c:order val="1"/>
          <c:tx>
            <c:strRef>
              <c:f>Grafiken!$T$608</c:f>
              <c:strCache>
                <c:ptCount val="1"/>
                <c:pt idx="0">
                  <c:v>Werbung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Grafiken!$U$608:$AR$608</c:f>
              <c:numCache>
                <c:formatCode>#,##0.00</c:formatCode>
                <c:ptCount val="24"/>
                <c:pt idx="0">
                  <c:v>25</c:v>
                </c:pt>
                <c:pt idx="1">
                  <c:v>16.41</c:v>
                </c:pt>
                <c:pt idx="2">
                  <c:v>25</c:v>
                </c:pt>
                <c:pt idx="3">
                  <c:v>31.85</c:v>
                </c:pt>
                <c:pt idx="4">
                  <c:v>#N/A</c:v>
                </c:pt>
                <c:pt idx="5">
                  <c:v>0</c:v>
                </c:pt>
                <c:pt idx="6">
                  <c:v>25</c:v>
                </c:pt>
                <c:pt idx="7">
                  <c:v>200.76</c:v>
                </c:pt>
                <c:pt idx="8">
                  <c:v>25</c:v>
                </c:pt>
                <c:pt idx="9">
                  <c:v>16.489999999999998</c:v>
                </c:pt>
                <c:pt idx="10">
                  <c:v>#N/A</c:v>
                </c:pt>
                <c:pt idx="11">
                  <c:v>0</c:v>
                </c:pt>
                <c:pt idx="12">
                  <c:v>25</c:v>
                </c:pt>
                <c:pt idx="13">
                  <c:v>254.24</c:v>
                </c:pt>
                <c:pt idx="14">
                  <c:v>25</c:v>
                </c:pt>
                <c:pt idx="15">
                  <c:v>25.63</c:v>
                </c:pt>
                <c:pt idx="16">
                  <c:v>25</c:v>
                </c:pt>
                <c:pt idx="17">
                  <c:v>0</c:v>
                </c:pt>
                <c:pt idx="18">
                  <c:v>25</c:v>
                </c:pt>
                <c:pt idx="19">
                  <c:v>49.94</c:v>
                </c:pt>
                <c:pt idx="20">
                  <c:v>25</c:v>
                </c:pt>
                <c:pt idx="21">
                  <c:v>0</c:v>
                </c:pt>
                <c:pt idx="22">
                  <c:v>25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4-4624-9375-29C50E24383E}"/>
            </c:ext>
          </c:extLst>
        </c:ser>
        <c:ser>
          <c:idx val="2"/>
          <c:order val="2"/>
          <c:tx>
            <c:strRef>
              <c:f>Grafiken!$T$609</c:f>
              <c:strCache>
                <c:ptCount val="1"/>
                <c:pt idx="0">
                  <c:v>KFZ-Kosten (inkl. Steuer)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Grafiken!$U$609:$AR$609</c:f>
              <c:numCache>
                <c:formatCode>#,##0.00</c:formatCode>
                <c:ptCount val="24"/>
                <c:pt idx="0">
                  <c:v>237.5</c:v>
                </c:pt>
                <c:pt idx="1">
                  <c:v>0</c:v>
                </c:pt>
                <c:pt idx="2">
                  <c:v>237.5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237.5</c:v>
                </c:pt>
                <c:pt idx="7">
                  <c:v>0</c:v>
                </c:pt>
                <c:pt idx="8">
                  <c:v>237.5</c:v>
                </c:pt>
                <c:pt idx="9">
                  <c:v>0</c:v>
                </c:pt>
                <c:pt idx="10">
                  <c:v>#N/A</c:v>
                </c:pt>
                <c:pt idx="11">
                  <c:v>0</c:v>
                </c:pt>
                <c:pt idx="12">
                  <c:v>237.5</c:v>
                </c:pt>
                <c:pt idx="13">
                  <c:v>0</c:v>
                </c:pt>
                <c:pt idx="14">
                  <c:v>237.5</c:v>
                </c:pt>
                <c:pt idx="15">
                  <c:v>15.65</c:v>
                </c:pt>
                <c:pt idx="16">
                  <c:v>237.5</c:v>
                </c:pt>
                <c:pt idx="17">
                  <c:v>0</c:v>
                </c:pt>
                <c:pt idx="18">
                  <c:v>237.5</c:v>
                </c:pt>
                <c:pt idx="19">
                  <c:v>29</c:v>
                </c:pt>
                <c:pt idx="20">
                  <c:v>237.5</c:v>
                </c:pt>
                <c:pt idx="21">
                  <c:v>0</c:v>
                </c:pt>
                <c:pt idx="22">
                  <c:v>237.5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14-4624-9375-29C50E24383E}"/>
            </c:ext>
          </c:extLst>
        </c:ser>
        <c:ser>
          <c:idx val="3"/>
          <c:order val="3"/>
          <c:tx>
            <c:strRef>
              <c:f>Grafiken!$T$610</c:f>
              <c:strCache>
                <c:ptCount val="1"/>
                <c:pt idx="0">
                  <c:v>Reisekosten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Grafiken!$U$610:$AR$610</c:f>
              <c:numCache>
                <c:formatCode>#,##0.00</c:formatCode>
                <c:ptCount val="24"/>
                <c:pt idx="0">
                  <c:v>150</c:v>
                </c:pt>
                <c:pt idx="1">
                  <c:v>224.81</c:v>
                </c:pt>
                <c:pt idx="2">
                  <c:v>150</c:v>
                </c:pt>
                <c:pt idx="3">
                  <c:v>27</c:v>
                </c:pt>
                <c:pt idx="4">
                  <c:v>#N/A</c:v>
                </c:pt>
                <c:pt idx="5">
                  <c:v>0</c:v>
                </c:pt>
                <c:pt idx="6">
                  <c:v>150</c:v>
                </c:pt>
                <c:pt idx="7">
                  <c:v>1.2</c:v>
                </c:pt>
                <c:pt idx="8">
                  <c:v>150</c:v>
                </c:pt>
                <c:pt idx="9">
                  <c:v>215.1</c:v>
                </c:pt>
                <c:pt idx="10">
                  <c:v>#N/A</c:v>
                </c:pt>
                <c:pt idx="11">
                  <c:v>0</c:v>
                </c:pt>
                <c:pt idx="12">
                  <c:v>150</c:v>
                </c:pt>
                <c:pt idx="13">
                  <c:v>187.92000000000002</c:v>
                </c:pt>
                <c:pt idx="14">
                  <c:v>150</c:v>
                </c:pt>
                <c:pt idx="15">
                  <c:v>52.5</c:v>
                </c:pt>
                <c:pt idx="16">
                  <c:v>150</c:v>
                </c:pt>
                <c:pt idx="17">
                  <c:v>0</c:v>
                </c:pt>
                <c:pt idx="18">
                  <c:v>150</c:v>
                </c:pt>
                <c:pt idx="19">
                  <c:v>166.5</c:v>
                </c:pt>
                <c:pt idx="20">
                  <c:v>150</c:v>
                </c:pt>
                <c:pt idx="21">
                  <c:v>0</c:v>
                </c:pt>
                <c:pt idx="22">
                  <c:v>150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14-4624-9375-29C50E24383E}"/>
            </c:ext>
          </c:extLst>
        </c:ser>
        <c:ser>
          <c:idx val="4"/>
          <c:order val="4"/>
          <c:tx>
            <c:strRef>
              <c:f>Grafiken!$T$611</c:f>
              <c:strCache>
                <c:ptCount val="1"/>
                <c:pt idx="0">
                  <c:v>Telefon, Fax und Internet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Grafiken!$U$611:$AR$611</c:f>
              <c:numCache>
                <c:formatCode>#,##0.00</c:formatCode>
                <c:ptCount val="24"/>
                <c:pt idx="0">
                  <c:v>33.333333333333336</c:v>
                </c:pt>
                <c:pt idx="1">
                  <c:v>308.99</c:v>
                </c:pt>
                <c:pt idx="2">
                  <c:v>33.333333333333336</c:v>
                </c:pt>
                <c:pt idx="3">
                  <c:v>264.36</c:v>
                </c:pt>
                <c:pt idx="4">
                  <c:v>#N/A</c:v>
                </c:pt>
                <c:pt idx="5">
                  <c:v>0</c:v>
                </c:pt>
                <c:pt idx="6">
                  <c:v>33.333333333333336</c:v>
                </c:pt>
                <c:pt idx="7">
                  <c:v>291.2</c:v>
                </c:pt>
                <c:pt idx="8">
                  <c:v>33.333333333333336</c:v>
                </c:pt>
                <c:pt idx="9">
                  <c:v>399.4</c:v>
                </c:pt>
                <c:pt idx="10">
                  <c:v>#N/A</c:v>
                </c:pt>
                <c:pt idx="11">
                  <c:v>0</c:v>
                </c:pt>
                <c:pt idx="12">
                  <c:v>33.333333333333336</c:v>
                </c:pt>
                <c:pt idx="13">
                  <c:v>431.73</c:v>
                </c:pt>
                <c:pt idx="14">
                  <c:v>33.333333333333336</c:v>
                </c:pt>
                <c:pt idx="15">
                  <c:v>393.17999999999995</c:v>
                </c:pt>
                <c:pt idx="16">
                  <c:v>33.333333333333336</c:v>
                </c:pt>
                <c:pt idx="17">
                  <c:v>252.72</c:v>
                </c:pt>
                <c:pt idx="18">
                  <c:v>33.333333333333336</c:v>
                </c:pt>
                <c:pt idx="19">
                  <c:v>458.66</c:v>
                </c:pt>
                <c:pt idx="20">
                  <c:v>33.333333333333336</c:v>
                </c:pt>
                <c:pt idx="21">
                  <c:v>0</c:v>
                </c:pt>
                <c:pt idx="22">
                  <c:v>33.333333333333336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14-4624-9375-29C50E24383E}"/>
            </c:ext>
          </c:extLst>
        </c:ser>
        <c:ser>
          <c:idx val="5"/>
          <c:order val="5"/>
          <c:tx>
            <c:strRef>
              <c:f>Grafiken!$T$612</c:f>
              <c:strCache>
                <c:ptCount val="1"/>
                <c:pt idx="0">
                  <c:v>Versicherungen und Beiträge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Grafiken!$U$612:$AR$612</c:f>
              <c:numCache>
                <c:formatCode>#,##0.00</c:formatCode>
                <c:ptCount val="24"/>
                <c:pt idx="0">
                  <c:v>108.33333333333333</c:v>
                </c:pt>
                <c:pt idx="1">
                  <c:v>320.04000000000002</c:v>
                </c:pt>
                <c:pt idx="2">
                  <c:v>108.33333333333333</c:v>
                </c:pt>
                <c:pt idx="3">
                  <c:v>913.2700000000001</c:v>
                </c:pt>
                <c:pt idx="4">
                  <c:v>#N/A</c:v>
                </c:pt>
                <c:pt idx="5">
                  <c:v>0</c:v>
                </c:pt>
                <c:pt idx="6">
                  <c:v>108.33333333333333</c:v>
                </c:pt>
                <c:pt idx="7">
                  <c:v>1756.8400000000001</c:v>
                </c:pt>
                <c:pt idx="8">
                  <c:v>108.33333333333333</c:v>
                </c:pt>
                <c:pt idx="9">
                  <c:v>0</c:v>
                </c:pt>
                <c:pt idx="10">
                  <c:v>#N/A</c:v>
                </c:pt>
                <c:pt idx="11">
                  <c:v>0</c:v>
                </c:pt>
                <c:pt idx="12">
                  <c:v>108.33333333333333</c:v>
                </c:pt>
                <c:pt idx="13">
                  <c:v>-423.27000000000004</c:v>
                </c:pt>
                <c:pt idx="14">
                  <c:v>108.33333333333333</c:v>
                </c:pt>
                <c:pt idx="15">
                  <c:v>300</c:v>
                </c:pt>
                <c:pt idx="16">
                  <c:v>108.33333333333333</c:v>
                </c:pt>
                <c:pt idx="17">
                  <c:v>0</c:v>
                </c:pt>
                <c:pt idx="18">
                  <c:v>108.33333333333333</c:v>
                </c:pt>
                <c:pt idx="19">
                  <c:v>23.85</c:v>
                </c:pt>
                <c:pt idx="20">
                  <c:v>108.33333333333333</c:v>
                </c:pt>
                <c:pt idx="21">
                  <c:v>0</c:v>
                </c:pt>
                <c:pt idx="22">
                  <c:v>108.33333333333333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14-4624-9375-29C50E24383E}"/>
            </c:ext>
          </c:extLst>
        </c:ser>
        <c:ser>
          <c:idx val="6"/>
          <c:order val="6"/>
          <c:tx>
            <c:strRef>
              <c:f>Grafiken!$T$613</c:f>
              <c:strCache>
                <c:ptCount val="1"/>
                <c:pt idx="0">
                  <c:v>Leasing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Grafiken!$U$613:$AR$613</c:f>
              <c:numCache>
                <c:formatCode>#,##0.00</c:formatCode>
                <c:ptCount val="24"/>
                <c:pt idx="0">
                  <c:v>200</c:v>
                </c:pt>
                <c:pt idx="1">
                  <c:v>0</c:v>
                </c:pt>
                <c:pt idx="2">
                  <c:v>200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200</c:v>
                </c:pt>
                <c:pt idx="7">
                  <c:v>0</c:v>
                </c:pt>
                <c:pt idx="8">
                  <c:v>200</c:v>
                </c:pt>
                <c:pt idx="9">
                  <c:v>0</c:v>
                </c:pt>
                <c:pt idx="10">
                  <c:v>#N/A</c:v>
                </c:pt>
                <c:pt idx="11">
                  <c:v>0</c:v>
                </c:pt>
                <c:pt idx="12">
                  <c:v>200</c:v>
                </c:pt>
                <c:pt idx="13">
                  <c:v>0</c:v>
                </c:pt>
                <c:pt idx="14">
                  <c:v>200</c:v>
                </c:pt>
                <c:pt idx="15">
                  <c:v>0</c:v>
                </c:pt>
                <c:pt idx="16">
                  <c:v>200</c:v>
                </c:pt>
                <c:pt idx="17">
                  <c:v>0</c:v>
                </c:pt>
                <c:pt idx="18">
                  <c:v>200</c:v>
                </c:pt>
                <c:pt idx="19">
                  <c:v>0</c:v>
                </c:pt>
                <c:pt idx="20">
                  <c:v>200</c:v>
                </c:pt>
                <c:pt idx="21">
                  <c:v>0</c:v>
                </c:pt>
                <c:pt idx="22">
                  <c:v>200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14-4624-9375-29C50E24383E}"/>
            </c:ext>
          </c:extLst>
        </c:ser>
        <c:ser>
          <c:idx val="7"/>
          <c:order val="7"/>
          <c:tx>
            <c:strRef>
              <c:f>Grafiken!$T$614</c:f>
              <c:strCache>
                <c:ptCount val="1"/>
                <c:pt idx="0">
                  <c:v>Buchführungs- / Beratungskosten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Grafiken!$U$614:$AR$614</c:f>
              <c:numCache>
                <c:formatCode>#,##0.00</c:formatCode>
                <c:ptCount val="24"/>
                <c:pt idx="0">
                  <c:v>541.66666666666663</c:v>
                </c:pt>
                <c:pt idx="1">
                  <c:v>0</c:v>
                </c:pt>
                <c:pt idx="2">
                  <c:v>541.66666666666663</c:v>
                </c:pt>
                <c:pt idx="3">
                  <c:v>530.53</c:v>
                </c:pt>
                <c:pt idx="4">
                  <c:v>#N/A</c:v>
                </c:pt>
                <c:pt idx="5">
                  <c:v>0</c:v>
                </c:pt>
                <c:pt idx="6">
                  <c:v>541.66666666666663</c:v>
                </c:pt>
                <c:pt idx="7">
                  <c:v>223</c:v>
                </c:pt>
                <c:pt idx="8">
                  <c:v>541.66666666666663</c:v>
                </c:pt>
                <c:pt idx="9">
                  <c:v>2491.34</c:v>
                </c:pt>
                <c:pt idx="10">
                  <c:v>#N/A</c:v>
                </c:pt>
                <c:pt idx="11">
                  <c:v>0</c:v>
                </c:pt>
                <c:pt idx="12">
                  <c:v>541.66666666666663</c:v>
                </c:pt>
                <c:pt idx="13">
                  <c:v>318.08000000000004</c:v>
                </c:pt>
                <c:pt idx="14">
                  <c:v>541.66666666666663</c:v>
                </c:pt>
                <c:pt idx="15">
                  <c:v>158</c:v>
                </c:pt>
                <c:pt idx="16">
                  <c:v>541.66666666666663</c:v>
                </c:pt>
                <c:pt idx="17">
                  <c:v>433.35</c:v>
                </c:pt>
                <c:pt idx="18">
                  <c:v>541.66666666666663</c:v>
                </c:pt>
                <c:pt idx="19">
                  <c:v>150</c:v>
                </c:pt>
                <c:pt idx="20">
                  <c:v>541.66666666666663</c:v>
                </c:pt>
                <c:pt idx="21">
                  <c:v>0</c:v>
                </c:pt>
                <c:pt idx="22">
                  <c:v>541.66666666666663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14-4624-9375-29C50E24383E}"/>
            </c:ext>
          </c:extLst>
        </c:ser>
        <c:ser>
          <c:idx val="8"/>
          <c:order val="8"/>
          <c:tx>
            <c:strRef>
              <c:f>Grafiken!$T$615</c:f>
              <c:strCache>
                <c:ptCount val="1"/>
                <c:pt idx="0">
                  <c:v>sonstige Kosten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Grafiken!$U$615:$AR$615</c:f>
              <c:numCache>
                <c:formatCode>#,##0.00</c:formatCode>
                <c:ptCount val="24"/>
                <c:pt idx="0">
                  <c:v>442.5</c:v>
                </c:pt>
                <c:pt idx="1">
                  <c:v>168.98</c:v>
                </c:pt>
                <c:pt idx="2">
                  <c:v>442.5</c:v>
                </c:pt>
                <c:pt idx="3">
                  <c:v>393.48</c:v>
                </c:pt>
                <c:pt idx="4">
                  <c:v>#N/A</c:v>
                </c:pt>
                <c:pt idx="5">
                  <c:v>0</c:v>
                </c:pt>
                <c:pt idx="6">
                  <c:v>442.5</c:v>
                </c:pt>
                <c:pt idx="7">
                  <c:v>277.83</c:v>
                </c:pt>
                <c:pt idx="8">
                  <c:v>442.5</c:v>
                </c:pt>
                <c:pt idx="9">
                  <c:v>293.74</c:v>
                </c:pt>
                <c:pt idx="10">
                  <c:v>#N/A</c:v>
                </c:pt>
                <c:pt idx="11">
                  <c:v>0</c:v>
                </c:pt>
                <c:pt idx="12">
                  <c:v>442.5</c:v>
                </c:pt>
                <c:pt idx="13">
                  <c:v>315.00000000000006</c:v>
                </c:pt>
                <c:pt idx="14">
                  <c:v>442.5</c:v>
                </c:pt>
                <c:pt idx="15">
                  <c:v>450.22</c:v>
                </c:pt>
                <c:pt idx="16">
                  <c:v>442.5</c:v>
                </c:pt>
                <c:pt idx="17">
                  <c:v>127.83000000000001</c:v>
                </c:pt>
                <c:pt idx="18">
                  <c:v>442.5</c:v>
                </c:pt>
                <c:pt idx="19">
                  <c:v>273.48999999999995</c:v>
                </c:pt>
                <c:pt idx="20">
                  <c:v>442.5</c:v>
                </c:pt>
                <c:pt idx="21">
                  <c:v>0</c:v>
                </c:pt>
                <c:pt idx="22">
                  <c:v>442.5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14-4624-9375-29C50E24383E}"/>
            </c:ext>
          </c:extLst>
        </c:ser>
        <c:ser>
          <c:idx val="9"/>
          <c:order val="9"/>
          <c:tx>
            <c:strRef>
              <c:f>Grafiken!$T$616</c:f>
              <c:strCache>
                <c:ptCount val="1"/>
                <c:pt idx="0">
                  <c:v>Instandhaltungen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Grafiken!$U$616:$AR$616</c:f>
              <c:numCache>
                <c:formatCode>#,##0.00</c:formatCode>
                <c:ptCount val="24"/>
                <c:pt idx="0">
                  <c:v>62.5</c:v>
                </c:pt>
                <c:pt idx="1">
                  <c:v>91.22</c:v>
                </c:pt>
                <c:pt idx="2">
                  <c:v>62.5</c:v>
                </c:pt>
                <c:pt idx="3">
                  <c:v>71.87</c:v>
                </c:pt>
                <c:pt idx="4">
                  <c:v>#N/A</c:v>
                </c:pt>
                <c:pt idx="5">
                  <c:v>0</c:v>
                </c:pt>
                <c:pt idx="6">
                  <c:v>62.5</c:v>
                </c:pt>
                <c:pt idx="7">
                  <c:v>353.57</c:v>
                </c:pt>
                <c:pt idx="8">
                  <c:v>62.5</c:v>
                </c:pt>
                <c:pt idx="9">
                  <c:v>44.89</c:v>
                </c:pt>
                <c:pt idx="10">
                  <c:v>#N/A</c:v>
                </c:pt>
                <c:pt idx="11">
                  <c:v>0</c:v>
                </c:pt>
                <c:pt idx="12">
                  <c:v>62.5</c:v>
                </c:pt>
                <c:pt idx="13">
                  <c:v>344.44</c:v>
                </c:pt>
                <c:pt idx="14">
                  <c:v>62.5</c:v>
                </c:pt>
                <c:pt idx="15">
                  <c:v>63.34</c:v>
                </c:pt>
                <c:pt idx="16">
                  <c:v>62.5</c:v>
                </c:pt>
                <c:pt idx="17">
                  <c:v>58.24</c:v>
                </c:pt>
                <c:pt idx="18">
                  <c:v>62.5</c:v>
                </c:pt>
                <c:pt idx="19">
                  <c:v>110.87</c:v>
                </c:pt>
                <c:pt idx="20">
                  <c:v>62.5</c:v>
                </c:pt>
                <c:pt idx="21">
                  <c:v>0</c:v>
                </c:pt>
                <c:pt idx="22">
                  <c:v>62.5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14-4624-9375-29C50E24383E}"/>
            </c:ext>
          </c:extLst>
        </c:ser>
        <c:ser>
          <c:idx val="10"/>
          <c:order val="10"/>
          <c:tx>
            <c:strRef>
              <c:f>Grafiken!$T$617</c:f>
              <c:strCache>
                <c:ptCount val="1"/>
                <c:pt idx="0">
                  <c:v>Abraum- / Abfallbeseitigung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Grafiken!$U$617:$AR$617</c:f>
              <c:numCache>
                <c:formatCode>#,##0.00</c:formatCode>
                <c:ptCount val="24"/>
                <c:pt idx="0">
                  <c:v>125</c:v>
                </c:pt>
                <c:pt idx="1">
                  <c:v>0</c:v>
                </c:pt>
                <c:pt idx="2">
                  <c:v>125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125</c:v>
                </c:pt>
                <c:pt idx="7">
                  <c:v>0</c:v>
                </c:pt>
                <c:pt idx="8">
                  <c:v>125</c:v>
                </c:pt>
                <c:pt idx="9">
                  <c:v>0</c:v>
                </c:pt>
                <c:pt idx="10">
                  <c:v>#N/A</c:v>
                </c:pt>
                <c:pt idx="11">
                  <c:v>0</c:v>
                </c:pt>
                <c:pt idx="12">
                  <c:v>125</c:v>
                </c:pt>
                <c:pt idx="13">
                  <c:v>64.28</c:v>
                </c:pt>
                <c:pt idx="14">
                  <c:v>125</c:v>
                </c:pt>
                <c:pt idx="15">
                  <c:v>0</c:v>
                </c:pt>
                <c:pt idx="16">
                  <c:v>125</c:v>
                </c:pt>
                <c:pt idx="17">
                  <c:v>0</c:v>
                </c:pt>
                <c:pt idx="18">
                  <c:v>125</c:v>
                </c:pt>
                <c:pt idx="19">
                  <c:v>0</c:v>
                </c:pt>
                <c:pt idx="20">
                  <c:v>125</c:v>
                </c:pt>
                <c:pt idx="21">
                  <c:v>0</c:v>
                </c:pt>
                <c:pt idx="22">
                  <c:v>125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014-4624-9375-29C50E24383E}"/>
            </c:ext>
          </c:extLst>
        </c:ser>
        <c:ser>
          <c:idx val="11"/>
          <c:order val="11"/>
          <c:tx>
            <c:strRef>
              <c:f>Grafiken!$T$618</c:f>
              <c:strCache>
                <c:ptCount val="1"/>
                <c:pt idx="0">
                  <c:v>Abschreibungen</c:v>
                </c:pt>
              </c:strCache>
            </c:strRef>
          </c:tx>
          <c:invertIfNegative val="0"/>
          <c:cat>
            <c:multiLvlStrRef>
              <c:f>Grafiken!$U$605:$AR$606</c:f>
              <c:multiLvlStrCache>
                <c:ptCount val="24"/>
                <c:lvl>
                  <c:pt idx="0">
                    <c:v>Plan</c:v>
                  </c:pt>
                  <c:pt idx="1">
                    <c:v>Ist</c:v>
                  </c:pt>
                  <c:pt idx="2">
                    <c:v>Plan</c:v>
                  </c:pt>
                  <c:pt idx="3">
                    <c:v>Ist</c:v>
                  </c:pt>
                  <c:pt idx="4">
                    <c:v>Plan</c:v>
                  </c:pt>
                  <c:pt idx="5">
                    <c:v>Ist</c:v>
                  </c:pt>
                  <c:pt idx="6">
                    <c:v>Plan</c:v>
                  </c:pt>
                  <c:pt idx="7">
                    <c:v>Ist</c:v>
                  </c:pt>
                  <c:pt idx="8">
                    <c:v>Plan</c:v>
                  </c:pt>
                  <c:pt idx="9">
                    <c:v>Ist</c:v>
                  </c:pt>
                  <c:pt idx="10">
                    <c:v>Plan</c:v>
                  </c:pt>
                  <c:pt idx="11">
                    <c:v>Ist</c:v>
                  </c:pt>
                  <c:pt idx="12">
                    <c:v>Plan</c:v>
                  </c:pt>
                  <c:pt idx="13">
                    <c:v>Ist</c:v>
                  </c:pt>
                  <c:pt idx="14">
                    <c:v>Plan</c:v>
                  </c:pt>
                  <c:pt idx="15">
                    <c:v>Ist</c:v>
                  </c:pt>
                  <c:pt idx="16">
                    <c:v>Plan</c:v>
                  </c:pt>
                  <c:pt idx="17">
                    <c:v>Ist</c:v>
                  </c:pt>
                  <c:pt idx="18">
                    <c:v>Plan</c:v>
                  </c:pt>
                  <c:pt idx="19">
                    <c:v>Ist</c:v>
                  </c:pt>
                  <c:pt idx="20">
                    <c:v>Plan</c:v>
                  </c:pt>
                  <c:pt idx="21">
                    <c:v>Ist</c:v>
                  </c:pt>
                  <c:pt idx="22">
                    <c:v>Plan</c:v>
                  </c:pt>
                  <c:pt idx="23">
                    <c:v>Ist</c:v>
                  </c:pt>
                </c:lvl>
                <c:lvl>
                  <c:pt idx="0">
                    <c:v>Januar</c:v>
                  </c:pt>
                  <c:pt idx="2">
                    <c:v>Februar</c:v>
                  </c:pt>
                  <c:pt idx="4">
                    <c:v>März</c:v>
                  </c:pt>
                  <c:pt idx="6">
                    <c:v>April</c:v>
                  </c:pt>
                  <c:pt idx="8">
                    <c:v>Mai</c:v>
                  </c:pt>
                  <c:pt idx="10">
                    <c:v>Juni</c:v>
                  </c:pt>
                  <c:pt idx="12">
                    <c:v>Juli</c:v>
                  </c:pt>
                  <c:pt idx="14">
                    <c:v>August</c:v>
                  </c:pt>
                  <c:pt idx="16">
                    <c:v>September</c:v>
                  </c:pt>
                  <c:pt idx="18">
                    <c:v>Oktober</c:v>
                  </c:pt>
                  <c:pt idx="20">
                    <c:v>November</c:v>
                  </c:pt>
                  <c:pt idx="22">
                    <c:v>Dezember</c:v>
                  </c:pt>
                </c:lvl>
              </c:multiLvlStrCache>
            </c:multiLvlStrRef>
          </c:cat>
          <c:val>
            <c:numRef>
              <c:f>Grafiken!$U$618:$AR$618</c:f>
              <c:numCache>
                <c:formatCode>#,##0.00</c:formatCode>
                <c:ptCount val="24"/>
                <c:pt idx="0">
                  <c:v>250</c:v>
                </c:pt>
                <c:pt idx="1">
                  <c:v>232.46</c:v>
                </c:pt>
                <c:pt idx="2">
                  <c:v>250</c:v>
                </c:pt>
                <c:pt idx="3">
                  <c:v>232.51999999999998</c:v>
                </c:pt>
                <c:pt idx="4">
                  <c:v>#N/A</c:v>
                </c:pt>
                <c:pt idx="5">
                  <c:v>0</c:v>
                </c:pt>
                <c:pt idx="6">
                  <c:v>250</c:v>
                </c:pt>
                <c:pt idx="7">
                  <c:v>346.14</c:v>
                </c:pt>
                <c:pt idx="8">
                  <c:v>250</c:v>
                </c:pt>
                <c:pt idx="9">
                  <c:v>740.75</c:v>
                </c:pt>
                <c:pt idx="10">
                  <c:v>#N/A</c:v>
                </c:pt>
                <c:pt idx="11">
                  <c:v>0</c:v>
                </c:pt>
                <c:pt idx="12">
                  <c:v>250</c:v>
                </c:pt>
                <c:pt idx="13">
                  <c:v>687.79</c:v>
                </c:pt>
                <c:pt idx="14">
                  <c:v>250</c:v>
                </c:pt>
                <c:pt idx="15">
                  <c:v>324.77999999999997</c:v>
                </c:pt>
                <c:pt idx="16">
                  <c:v>250</c:v>
                </c:pt>
                <c:pt idx="17">
                  <c:v>272.60000000000002</c:v>
                </c:pt>
                <c:pt idx="18">
                  <c:v>250</c:v>
                </c:pt>
                <c:pt idx="19">
                  <c:v>272.66000000000003</c:v>
                </c:pt>
                <c:pt idx="20">
                  <c:v>250</c:v>
                </c:pt>
                <c:pt idx="21">
                  <c:v>0</c:v>
                </c:pt>
                <c:pt idx="22">
                  <c:v>250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014-4624-9375-29C50E243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4722840"/>
        <c:axId val="534724408"/>
      </c:barChart>
      <c:catAx>
        <c:axId val="5347228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24408"/>
        <c:crosses val="autoZero"/>
        <c:auto val="1"/>
        <c:lblAlgn val="ctr"/>
        <c:lblOffset val="100"/>
        <c:noMultiLvlLbl val="0"/>
      </c:catAx>
      <c:valAx>
        <c:axId val="53472440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228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Gesamtleistung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Grafiken!$T$510:$U$510</c:f>
              <c:strCache>
                <c:ptCount val="2"/>
                <c:pt idx="0">
                  <c:v>Gesamtleistung: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Grafiken!$V$510:$AG$510</c:f>
              <c:numCache>
                <c:formatCode>#,##0.00</c:formatCode>
                <c:ptCount val="12"/>
                <c:pt idx="0">
                  <c:v>11191.77</c:v>
                </c:pt>
                <c:pt idx="1">
                  <c:v>11878.650000000001</c:v>
                </c:pt>
                <c:pt idx="2">
                  <c:v>320</c:v>
                </c:pt>
                <c:pt idx="3">
                  <c:v>12976.21</c:v>
                </c:pt>
                <c:pt idx="4">
                  <c:v>7758.1100000000006</c:v>
                </c:pt>
                <c:pt idx="5">
                  <c:v>0</c:v>
                </c:pt>
                <c:pt idx="6">
                  <c:v>51568.380000000005</c:v>
                </c:pt>
                <c:pt idx="7">
                  <c:v>19330.71</c:v>
                </c:pt>
                <c:pt idx="8">
                  <c:v>10928.890000000001</c:v>
                </c:pt>
                <c:pt idx="9">
                  <c:v>32720.12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5-4AD1-A79B-CB3755AF8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4721664"/>
        <c:axId val="534717352"/>
      </c:barChart>
      <c:lineChart>
        <c:grouping val="standard"/>
        <c:varyColors val="0"/>
        <c:ser>
          <c:idx val="0"/>
          <c:order val="0"/>
          <c:tx>
            <c:strRef>
              <c:f>Grafiken!$T$509:$U$509</c:f>
              <c:strCache>
                <c:ptCount val="2"/>
                <c:pt idx="0">
                  <c:v>Gesamtleistung: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Grafiken!$V$509:$AG$509</c:f>
              <c:numCache>
                <c:formatCode>#,##0.00</c:formatCode>
                <c:ptCount val="12"/>
                <c:pt idx="0">
                  <c:v>62051.159999999996</c:v>
                </c:pt>
                <c:pt idx="1">
                  <c:v>82734.880000000005</c:v>
                </c:pt>
                <c:pt idx="2">
                  <c:v>0</c:v>
                </c:pt>
                <c:pt idx="3">
                  <c:v>72393.02</c:v>
                </c:pt>
                <c:pt idx="4">
                  <c:v>82734.880000000005</c:v>
                </c:pt>
                <c:pt idx="5">
                  <c:v>0</c:v>
                </c:pt>
                <c:pt idx="6">
                  <c:v>82734.880000000005</c:v>
                </c:pt>
                <c:pt idx="7">
                  <c:v>72393.02</c:v>
                </c:pt>
                <c:pt idx="8">
                  <c:v>103418.6</c:v>
                </c:pt>
                <c:pt idx="9">
                  <c:v>103418.6</c:v>
                </c:pt>
                <c:pt idx="10">
                  <c:v>93076.739999999991</c:v>
                </c:pt>
                <c:pt idx="11">
                  <c:v>93076.739999999991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5-4AD1-A79B-CB3755AF8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21664"/>
        <c:axId val="534717352"/>
      </c:lineChart>
      <c:catAx>
        <c:axId val="5347216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17352"/>
        <c:crosses val="autoZero"/>
        <c:auto val="1"/>
        <c:lblAlgn val="ctr"/>
        <c:lblOffset val="100"/>
        <c:noMultiLvlLbl val="0"/>
      </c:catAx>
      <c:valAx>
        <c:axId val="53471735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2166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Kumulierte Gesamtleistung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Grafiken!$T$534:$U$534</c:f>
              <c:strCache>
                <c:ptCount val="2"/>
                <c:pt idx="0">
                  <c:v>Gesamtleistung: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Grafiken!$V$534:$AG$534</c:f>
              <c:numCache>
                <c:formatCode>#,##0.00</c:formatCode>
                <c:ptCount val="12"/>
                <c:pt idx="0">
                  <c:v>11191.77</c:v>
                </c:pt>
                <c:pt idx="1">
                  <c:v>23070.420000000002</c:v>
                </c:pt>
                <c:pt idx="2">
                  <c:v>23390.420000000002</c:v>
                </c:pt>
                <c:pt idx="3">
                  <c:v>36366.630000000005</c:v>
                </c:pt>
                <c:pt idx="4">
                  <c:v>44124.740000000005</c:v>
                </c:pt>
                <c:pt idx="5">
                  <c:v>44124.740000000005</c:v>
                </c:pt>
                <c:pt idx="6">
                  <c:v>95693.12000000001</c:v>
                </c:pt>
                <c:pt idx="7">
                  <c:v>115023.83000000002</c:v>
                </c:pt>
                <c:pt idx="8">
                  <c:v>125952.72000000002</c:v>
                </c:pt>
                <c:pt idx="9">
                  <c:v>158672.84000000003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A-4E87-95A2-3371496D6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534716176"/>
        <c:axId val="534723232"/>
      </c:barChart>
      <c:lineChart>
        <c:grouping val="standard"/>
        <c:varyColors val="0"/>
        <c:ser>
          <c:idx val="0"/>
          <c:order val="0"/>
          <c:tx>
            <c:strRef>
              <c:f>Grafiken!$T$533:$U$533</c:f>
              <c:strCache>
                <c:ptCount val="2"/>
                <c:pt idx="0">
                  <c:v>Gesamtleistung: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Grafiken!$V$533:$AG$533</c:f>
              <c:numCache>
                <c:formatCode>#,##0.00</c:formatCode>
                <c:ptCount val="12"/>
                <c:pt idx="0">
                  <c:v>62051.159999999996</c:v>
                </c:pt>
                <c:pt idx="1">
                  <c:v>144786.04</c:v>
                </c:pt>
                <c:pt idx="2">
                  <c:v>248204.64</c:v>
                </c:pt>
                <c:pt idx="3">
                  <c:v>320597.66000000003</c:v>
                </c:pt>
                <c:pt idx="4">
                  <c:v>403332.54000000004</c:v>
                </c:pt>
                <c:pt idx="5">
                  <c:v>0</c:v>
                </c:pt>
                <c:pt idx="6">
                  <c:v>568802.30000000005</c:v>
                </c:pt>
                <c:pt idx="7">
                  <c:v>641195.32000000007</c:v>
                </c:pt>
                <c:pt idx="8">
                  <c:v>744613.92</c:v>
                </c:pt>
                <c:pt idx="9">
                  <c:v>848032.52</c:v>
                </c:pt>
                <c:pt idx="10">
                  <c:v>941109.26</c:v>
                </c:pt>
                <c:pt idx="11">
                  <c:v>1034186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A-4E87-95A2-3371496D6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16176"/>
        <c:axId val="534723232"/>
      </c:lineChart>
      <c:catAx>
        <c:axId val="5347161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23232"/>
        <c:crosses val="autoZero"/>
        <c:auto val="1"/>
        <c:lblAlgn val="ctr"/>
        <c:lblOffset val="100"/>
        <c:noMultiLvlLbl val="0"/>
      </c:catAx>
      <c:valAx>
        <c:axId val="534723232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161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Deckungsbeitrag I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Grafiken!$T$514:$U$514</c:f>
              <c:strCache>
                <c:ptCount val="2"/>
                <c:pt idx="0">
                  <c:v>DB I: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Grafiken!$V$514:$AG$514</c:f>
              <c:numCache>
                <c:formatCode>#,##0.00</c:formatCode>
                <c:ptCount val="12"/>
                <c:pt idx="0">
                  <c:v>10327.98</c:v>
                </c:pt>
                <c:pt idx="1">
                  <c:v>10666.03</c:v>
                </c:pt>
                <c:pt idx="2">
                  <c:v>2320.0100000000002</c:v>
                </c:pt>
                <c:pt idx="3">
                  <c:v>7731.7999999999993</c:v>
                </c:pt>
                <c:pt idx="4">
                  <c:v>11215.33</c:v>
                </c:pt>
                <c:pt idx="5">
                  <c:v>604</c:v>
                </c:pt>
                <c:pt idx="6">
                  <c:v>44737.760000000002</c:v>
                </c:pt>
                <c:pt idx="7">
                  <c:v>24701.64</c:v>
                </c:pt>
                <c:pt idx="8">
                  <c:v>10717.11</c:v>
                </c:pt>
                <c:pt idx="9">
                  <c:v>24708.34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F-4AF3-82B9-5EBA96F99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6568"/>
        <c:axId val="534724800"/>
      </c:barChart>
      <c:lineChart>
        <c:grouping val="standard"/>
        <c:varyColors val="0"/>
        <c:ser>
          <c:idx val="0"/>
          <c:order val="0"/>
          <c:tx>
            <c:strRef>
              <c:f>Grafiken!$T$513:$U$513</c:f>
              <c:strCache>
                <c:ptCount val="2"/>
                <c:pt idx="0">
                  <c:v>DB I: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Grafiken!$V$513:$AG$513</c:f>
              <c:numCache>
                <c:formatCode>#,##0.00</c:formatCode>
                <c:ptCount val="12"/>
                <c:pt idx="0">
                  <c:v>61847.159999999996</c:v>
                </c:pt>
                <c:pt idx="1">
                  <c:v>82462.880000000005</c:v>
                </c:pt>
                <c:pt idx="2">
                  <c:v>0</c:v>
                </c:pt>
                <c:pt idx="3">
                  <c:v>72155.02</c:v>
                </c:pt>
                <c:pt idx="4">
                  <c:v>82462.880000000005</c:v>
                </c:pt>
                <c:pt idx="5">
                  <c:v>0</c:v>
                </c:pt>
                <c:pt idx="6">
                  <c:v>82462.880000000005</c:v>
                </c:pt>
                <c:pt idx="7">
                  <c:v>72155.02</c:v>
                </c:pt>
                <c:pt idx="8">
                  <c:v>103078.6</c:v>
                </c:pt>
                <c:pt idx="9">
                  <c:v>103078.6</c:v>
                </c:pt>
                <c:pt idx="10">
                  <c:v>92770.739999999991</c:v>
                </c:pt>
                <c:pt idx="11">
                  <c:v>92770.739999999991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F-4AF3-82B9-5EBA96F99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16568"/>
        <c:axId val="534724800"/>
      </c:lineChart>
      <c:catAx>
        <c:axId val="5347165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24800"/>
        <c:crosses val="autoZero"/>
        <c:auto val="1"/>
        <c:lblAlgn val="ctr"/>
        <c:lblOffset val="100"/>
        <c:noMultiLvlLbl val="0"/>
      </c:catAx>
      <c:valAx>
        <c:axId val="534724800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165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Kumulierter Deckungsbeitrag I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Grafiken!$T$538:$U$538</c:f>
              <c:strCache>
                <c:ptCount val="2"/>
                <c:pt idx="0">
                  <c:v>DB I: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Grafiken!$V$538:$AG$538</c:f>
              <c:numCache>
                <c:formatCode>#,##0.00</c:formatCode>
                <c:ptCount val="12"/>
                <c:pt idx="0">
                  <c:v>10327.98</c:v>
                </c:pt>
                <c:pt idx="1">
                  <c:v>20994.010000000002</c:v>
                </c:pt>
                <c:pt idx="2">
                  <c:v>23314.020000000004</c:v>
                </c:pt>
                <c:pt idx="3">
                  <c:v>31045.820000000003</c:v>
                </c:pt>
                <c:pt idx="4">
                  <c:v>42261.15</c:v>
                </c:pt>
                <c:pt idx="5">
                  <c:v>42865.15</c:v>
                </c:pt>
                <c:pt idx="6">
                  <c:v>87602.91</c:v>
                </c:pt>
                <c:pt idx="7">
                  <c:v>112304.55</c:v>
                </c:pt>
                <c:pt idx="8">
                  <c:v>123021.66</c:v>
                </c:pt>
                <c:pt idx="9">
                  <c:v>147730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F-4973-B62C-E131334B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6960"/>
        <c:axId val="534722056"/>
      </c:barChart>
      <c:lineChart>
        <c:grouping val="standard"/>
        <c:varyColors val="0"/>
        <c:ser>
          <c:idx val="0"/>
          <c:order val="0"/>
          <c:tx>
            <c:strRef>
              <c:f>Grafiken!$T$537:$U$537</c:f>
              <c:strCache>
                <c:ptCount val="2"/>
                <c:pt idx="0">
                  <c:v>DB I: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Grafiken!$V$537:$AG$537</c:f>
              <c:numCache>
                <c:formatCode>#,##0.00</c:formatCode>
                <c:ptCount val="12"/>
                <c:pt idx="0">
                  <c:v>61847.159999999996</c:v>
                </c:pt>
                <c:pt idx="1">
                  <c:v>144310.04</c:v>
                </c:pt>
                <c:pt idx="2">
                  <c:v>247388.64</c:v>
                </c:pt>
                <c:pt idx="3">
                  <c:v>319543.66000000003</c:v>
                </c:pt>
                <c:pt idx="4">
                  <c:v>402006.54000000004</c:v>
                </c:pt>
                <c:pt idx="5">
                  <c:v>0</c:v>
                </c:pt>
                <c:pt idx="6">
                  <c:v>566932.30000000005</c:v>
                </c:pt>
                <c:pt idx="7">
                  <c:v>639087.32000000007</c:v>
                </c:pt>
                <c:pt idx="8">
                  <c:v>742165.92</c:v>
                </c:pt>
                <c:pt idx="9">
                  <c:v>845244.52</c:v>
                </c:pt>
                <c:pt idx="10">
                  <c:v>938015.26</c:v>
                </c:pt>
                <c:pt idx="11">
                  <c:v>1030786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F-4973-B62C-E131334B2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16960"/>
        <c:axId val="534722056"/>
      </c:lineChart>
      <c:catAx>
        <c:axId val="5347169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22056"/>
        <c:crosses val="autoZero"/>
        <c:auto val="1"/>
        <c:lblAlgn val="ctr"/>
        <c:lblOffset val="100"/>
        <c:noMultiLvlLbl val="0"/>
      </c:catAx>
      <c:valAx>
        <c:axId val="534722056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1696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Deckungsbeitrag II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Grafiken!$T$518:$U$518</c:f>
              <c:strCache>
                <c:ptCount val="2"/>
                <c:pt idx="0">
                  <c:v>DB II: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Grafiken!$V$518:$AG$518</c:f>
              <c:numCache>
                <c:formatCode>#,##0.00</c:formatCode>
                <c:ptCount val="12"/>
                <c:pt idx="0">
                  <c:v>-6408.93</c:v>
                </c:pt>
                <c:pt idx="1">
                  <c:v>-6041.65</c:v>
                </c:pt>
                <c:pt idx="2">
                  <c:v>1819.9900000000002</c:v>
                </c:pt>
                <c:pt idx="3">
                  <c:v>-10127.750000000004</c:v>
                </c:pt>
                <c:pt idx="4">
                  <c:v>-5170.7899999999991</c:v>
                </c:pt>
                <c:pt idx="5">
                  <c:v>497.63</c:v>
                </c:pt>
                <c:pt idx="6">
                  <c:v>26540.400000000001</c:v>
                </c:pt>
                <c:pt idx="7">
                  <c:v>10216.950000000001</c:v>
                </c:pt>
                <c:pt idx="8">
                  <c:v>-5009.9299999999985</c:v>
                </c:pt>
                <c:pt idx="9">
                  <c:v>8926.130000000001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7-44C8-913B-432AF5B51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3040"/>
        <c:axId val="534722448"/>
      </c:barChart>
      <c:lineChart>
        <c:grouping val="standard"/>
        <c:varyColors val="0"/>
        <c:ser>
          <c:idx val="0"/>
          <c:order val="0"/>
          <c:tx>
            <c:strRef>
              <c:f>Grafiken!$T$517:$U$517</c:f>
              <c:strCache>
                <c:ptCount val="2"/>
                <c:pt idx="0">
                  <c:v>DB II: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Grafiken!$V$517:$AG$517</c:f>
              <c:numCache>
                <c:formatCode>#,##0.00</c:formatCode>
                <c:ptCount val="12"/>
                <c:pt idx="0">
                  <c:v>-1848.2594444444476</c:v>
                </c:pt>
                <c:pt idx="1">
                  <c:v>18767.460555555561</c:v>
                </c:pt>
                <c:pt idx="2">
                  <c:v>0</c:v>
                </c:pt>
                <c:pt idx="3">
                  <c:v>8459.6005555555603</c:v>
                </c:pt>
                <c:pt idx="4">
                  <c:v>14928.398055555561</c:v>
                </c:pt>
                <c:pt idx="5">
                  <c:v>0</c:v>
                </c:pt>
                <c:pt idx="6">
                  <c:v>23664.398055555561</c:v>
                </c:pt>
                <c:pt idx="7">
                  <c:v>10482.138055555559</c:v>
                </c:pt>
                <c:pt idx="8">
                  <c:v>41405.718055555561</c:v>
                </c:pt>
                <c:pt idx="9">
                  <c:v>41405.718055555561</c:v>
                </c:pt>
                <c:pt idx="10">
                  <c:v>31097.858055555545</c:v>
                </c:pt>
                <c:pt idx="11">
                  <c:v>31097.858055555545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7-44C8-913B-432AF5B51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13040"/>
        <c:axId val="534722448"/>
      </c:lineChart>
      <c:catAx>
        <c:axId val="5347130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22448"/>
        <c:crosses val="autoZero"/>
        <c:auto val="1"/>
        <c:lblAlgn val="ctr"/>
        <c:lblOffset val="100"/>
        <c:noMultiLvlLbl val="0"/>
      </c:catAx>
      <c:valAx>
        <c:axId val="53472244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130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Kumulierter Deckungsbeitrag II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Grafiken!$T$542:$U$542</c:f>
              <c:strCache>
                <c:ptCount val="2"/>
                <c:pt idx="0">
                  <c:v>DB II: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Grafiken!$V$542:$AG$542</c:f>
              <c:numCache>
                <c:formatCode>#,##0.00</c:formatCode>
                <c:ptCount val="12"/>
                <c:pt idx="0">
                  <c:v>-6408.93</c:v>
                </c:pt>
                <c:pt idx="1">
                  <c:v>-12450.58</c:v>
                </c:pt>
                <c:pt idx="2">
                  <c:v>-10630.59</c:v>
                </c:pt>
                <c:pt idx="3">
                  <c:v>-20758.340000000004</c:v>
                </c:pt>
                <c:pt idx="4">
                  <c:v>-25929.130000000005</c:v>
                </c:pt>
                <c:pt idx="5">
                  <c:v>-25431.500000000004</c:v>
                </c:pt>
                <c:pt idx="6">
                  <c:v>1108.8999999999978</c:v>
                </c:pt>
                <c:pt idx="7">
                  <c:v>11325.849999999999</c:v>
                </c:pt>
                <c:pt idx="8">
                  <c:v>6315.92</c:v>
                </c:pt>
                <c:pt idx="9">
                  <c:v>15242.050000000001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8-4A74-B573-2E7CFD5F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20096"/>
        <c:axId val="534714608"/>
      </c:barChart>
      <c:lineChart>
        <c:grouping val="standard"/>
        <c:varyColors val="0"/>
        <c:ser>
          <c:idx val="0"/>
          <c:order val="0"/>
          <c:tx>
            <c:strRef>
              <c:f>Grafiken!$T$541:$U$541</c:f>
              <c:strCache>
                <c:ptCount val="2"/>
                <c:pt idx="0">
                  <c:v>DB II: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Grafiken!$V$541:$AG$541</c:f>
              <c:numCache>
                <c:formatCode>#,##0.00</c:formatCode>
                <c:ptCount val="12"/>
                <c:pt idx="0">
                  <c:v>-1848.2594444444476</c:v>
                </c:pt>
                <c:pt idx="1">
                  <c:v>16919.201111111113</c:v>
                </c:pt>
                <c:pt idx="2">
                  <c:v>56302.381666666675</c:v>
                </c:pt>
                <c:pt idx="3">
                  <c:v>64761.982222222236</c:v>
                </c:pt>
                <c:pt idx="4">
                  <c:v>79690.380277777789</c:v>
                </c:pt>
                <c:pt idx="5">
                  <c:v>0</c:v>
                </c:pt>
                <c:pt idx="6">
                  <c:v>127019.17638888891</c:v>
                </c:pt>
                <c:pt idx="7">
                  <c:v>137501.31444444446</c:v>
                </c:pt>
                <c:pt idx="8">
                  <c:v>178907.03250000003</c:v>
                </c:pt>
                <c:pt idx="9">
                  <c:v>220312.7505555556</c:v>
                </c:pt>
                <c:pt idx="10">
                  <c:v>251410.60861111115</c:v>
                </c:pt>
                <c:pt idx="11">
                  <c:v>282508.46666666667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8-4A74-B573-2E7CFD5F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20096"/>
        <c:axId val="534714608"/>
      </c:lineChart>
      <c:catAx>
        <c:axId val="5347200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14608"/>
        <c:crosses val="autoZero"/>
        <c:auto val="1"/>
        <c:lblAlgn val="ctr"/>
        <c:lblOffset val="100"/>
        <c:noMultiLvlLbl val="0"/>
      </c:catAx>
      <c:valAx>
        <c:axId val="534714608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200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Ergebnis vor Steuern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Grafiken!$T$520:$U$520</c:f>
              <c:strCache>
                <c:ptCount val="2"/>
                <c:pt idx="0">
                  <c:v>Ergebnis vor Steuern: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Grafiken!$V$520:$AG$520</c:f>
              <c:numCache>
                <c:formatCode>#,##0.00</c:formatCode>
                <c:ptCount val="12"/>
                <c:pt idx="0">
                  <c:v>-9298.6600000000017</c:v>
                </c:pt>
                <c:pt idx="1">
                  <c:v>-10049.98</c:v>
                </c:pt>
                <c:pt idx="2">
                  <c:v>281.25000000000023</c:v>
                </c:pt>
                <c:pt idx="3">
                  <c:v>-15159.780000000002</c:v>
                </c:pt>
                <c:pt idx="4">
                  <c:v>-11479.519999999999</c:v>
                </c:pt>
                <c:pt idx="5">
                  <c:v>147.27000000000001</c:v>
                </c:pt>
                <c:pt idx="6">
                  <c:v>22230.330000000005</c:v>
                </c:pt>
                <c:pt idx="7">
                  <c:v>6551.8100000000013</c:v>
                </c:pt>
                <c:pt idx="8">
                  <c:v>-7377.869999999999</c:v>
                </c:pt>
                <c:pt idx="9">
                  <c:v>6076.8700000000008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E-4A3C-9A5F-C8AA4012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5392"/>
        <c:axId val="534713824"/>
      </c:barChart>
      <c:lineChart>
        <c:grouping val="standard"/>
        <c:varyColors val="0"/>
        <c:ser>
          <c:idx val="0"/>
          <c:order val="0"/>
          <c:tx>
            <c:strRef>
              <c:f>Grafiken!$T$519:$U$519</c:f>
              <c:strCache>
                <c:ptCount val="2"/>
                <c:pt idx="0">
                  <c:v>Ergebnis vor Steuern: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Grafiken!$V$508:$AG$508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Grafiken!$V$519:$AG$519</c:f>
              <c:numCache>
                <c:formatCode>#,##0.00</c:formatCode>
                <c:ptCount val="12"/>
                <c:pt idx="0">
                  <c:v>-4093.7594444444476</c:v>
                </c:pt>
                <c:pt idx="1">
                  <c:v>16521.960555555561</c:v>
                </c:pt>
                <c:pt idx="2">
                  <c:v>0</c:v>
                </c:pt>
                <c:pt idx="3">
                  <c:v>6214.1005555555612</c:v>
                </c:pt>
                <c:pt idx="4">
                  <c:v>12680.231388888895</c:v>
                </c:pt>
                <c:pt idx="5">
                  <c:v>0</c:v>
                </c:pt>
                <c:pt idx="6">
                  <c:v>21416.231388888893</c:v>
                </c:pt>
                <c:pt idx="7">
                  <c:v>8233.9713888888928</c:v>
                </c:pt>
                <c:pt idx="8">
                  <c:v>39157.551388888896</c:v>
                </c:pt>
                <c:pt idx="9">
                  <c:v>39157.551388888896</c:v>
                </c:pt>
                <c:pt idx="10">
                  <c:v>28849.691388888878</c:v>
                </c:pt>
                <c:pt idx="11">
                  <c:v>28849.691388888878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E-4A3C-9A5F-C8AA4012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15392"/>
        <c:axId val="534713824"/>
      </c:lineChart>
      <c:catAx>
        <c:axId val="5347153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13824"/>
        <c:crosses val="autoZero"/>
        <c:auto val="1"/>
        <c:lblAlgn val="ctr"/>
        <c:lblOffset val="100"/>
        <c:noMultiLvlLbl val="0"/>
      </c:catAx>
      <c:valAx>
        <c:axId val="534713824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1539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Kumuliertes Ergebnis vor Steuern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Grafiken!$T$544:$U$544</c:f>
              <c:strCache>
                <c:ptCount val="2"/>
                <c:pt idx="0">
                  <c:v>Ergebnis vor Steuern:</c:v>
                </c:pt>
                <c:pt idx="1">
                  <c:v>Ist</c:v>
                </c:pt>
              </c:strCache>
            </c:strRef>
          </c:tx>
          <c:invertIfNegative val="0"/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Grafiken!$V$544:$AG$544</c:f>
              <c:numCache>
                <c:formatCode>#,##0.00</c:formatCode>
                <c:ptCount val="12"/>
                <c:pt idx="0">
                  <c:v>-9298.6600000000017</c:v>
                </c:pt>
                <c:pt idx="1">
                  <c:v>-19348.64</c:v>
                </c:pt>
                <c:pt idx="2">
                  <c:v>-19067.39</c:v>
                </c:pt>
                <c:pt idx="3">
                  <c:v>-34227.17</c:v>
                </c:pt>
                <c:pt idx="4">
                  <c:v>-45706.689999999995</c:v>
                </c:pt>
                <c:pt idx="5">
                  <c:v>-45559.42</c:v>
                </c:pt>
                <c:pt idx="6">
                  <c:v>-23329.089999999993</c:v>
                </c:pt>
                <c:pt idx="7">
                  <c:v>-16777.279999999992</c:v>
                </c:pt>
                <c:pt idx="8">
                  <c:v>-24155.149999999991</c:v>
                </c:pt>
                <c:pt idx="9">
                  <c:v>-18078.279999999992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D-44F9-91ED-B10444D8C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5000"/>
        <c:axId val="534715784"/>
      </c:barChart>
      <c:lineChart>
        <c:grouping val="standard"/>
        <c:varyColors val="0"/>
        <c:ser>
          <c:idx val="0"/>
          <c:order val="0"/>
          <c:tx>
            <c:strRef>
              <c:f>Grafiken!$T$543:$U$543</c:f>
              <c:strCache>
                <c:ptCount val="2"/>
                <c:pt idx="0">
                  <c:v>Ergebnis vor Steuern:</c:v>
                </c:pt>
                <c:pt idx="1">
                  <c:v>Plan</c:v>
                </c:pt>
              </c:strCache>
            </c:strRef>
          </c:tx>
          <c:marker>
            <c:symbol val="none"/>
          </c:marker>
          <c:cat>
            <c:strRef>
              <c:f>Grafiken!$V$532:$AG$532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Grafiken!$V$543:$AG$543</c:f>
              <c:numCache>
                <c:formatCode>#,##0.00</c:formatCode>
                <c:ptCount val="12"/>
                <c:pt idx="0">
                  <c:v>-4093.7594444444476</c:v>
                </c:pt>
                <c:pt idx="1">
                  <c:v>12428.201111111113</c:v>
                </c:pt>
                <c:pt idx="2">
                  <c:v>49565.881666666675</c:v>
                </c:pt>
                <c:pt idx="3">
                  <c:v>55779.982222222236</c:v>
                </c:pt>
                <c:pt idx="4">
                  <c:v>68460.213611111132</c:v>
                </c:pt>
                <c:pt idx="5">
                  <c:v>0</c:v>
                </c:pt>
                <c:pt idx="6">
                  <c:v>111292.67638888891</c:v>
                </c:pt>
                <c:pt idx="7">
                  <c:v>119526.64777777781</c:v>
                </c:pt>
                <c:pt idx="8">
                  <c:v>158684.19916666672</c:v>
                </c:pt>
                <c:pt idx="9">
                  <c:v>197841.75055555563</c:v>
                </c:pt>
                <c:pt idx="10">
                  <c:v>226691.44194444449</c:v>
                </c:pt>
                <c:pt idx="11">
                  <c:v>255541.13333333336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D-44F9-91ED-B10444D8C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715000"/>
        <c:axId val="534715784"/>
      </c:lineChart>
      <c:catAx>
        <c:axId val="5347150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15784"/>
        <c:crosses val="autoZero"/>
        <c:auto val="1"/>
        <c:lblAlgn val="ctr"/>
        <c:lblOffset val="100"/>
        <c:noMultiLvlLbl val="0"/>
      </c:catAx>
      <c:valAx>
        <c:axId val="534715784"/>
        <c:scaling>
          <c:orientation val="minMax"/>
        </c:scaling>
        <c:delete val="0"/>
        <c:axPos val="l"/>
        <c:majorGridlines/>
        <c:numFmt formatCode="#,##0.00" sourceLinked="1"/>
        <c:majorTickMark val="none"/>
        <c:minorTickMark val="none"/>
        <c:tickLblPos val="nextTo"/>
        <c:spPr>
          <a:ln w="9525">
            <a:noFill/>
          </a:ln>
        </c:spPr>
        <c:crossAx val="5347150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Lieferantenzahlungsziele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Grafiken!$T$657</c:f>
              <c:strCache>
                <c:ptCount val="1"/>
                <c:pt idx="0">
                  <c:v>Lieferantenziel (in Tage):</c:v>
                </c:pt>
              </c:strCache>
            </c:strRef>
          </c:tx>
          <c:invertIfNegative val="0"/>
          <c:cat>
            <c:strRef>
              <c:f>Grafiken!$U$653:$AF$653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Grafiken!$U$657:$AF$657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E-4447-A767-992BAEE83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8528"/>
        <c:axId val="534721272"/>
      </c:barChart>
      <c:catAx>
        <c:axId val="5347185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21272"/>
        <c:crosses val="autoZero"/>
        <c:auto val="1"/>
        <c:lblAlgn val="ctr"/>
        <c:lblOffset val="100"/>
        <c:noMultiLvlLbl val="0"/>
      </c:catAx>
      <c:valAx>
        <c:axId val="534721272"/>
        <c:scaling>
          <c:orientation val="minMax"/>
        </c:scaling>
        <c:delete val="0"/>
        <c:axPos val="l"/>
        <c:majorGridlines/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crossAx val="53471852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baseline="0"/>
              <a:t>Kundenzahlungsziele</a:t>
            </a:r>
            <a:endParaRPr lang="de-DE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Grafiken!$T$665</c:f>
              <c:strCache>
                <c:ptCount val="1"/>
                <c:pt idx="0">
                  <c:v>Kundenziel (in Tage):</c:v>
                </c:pt>
              </c:strCache>
            </c:strRef>
          </c:tx>
          <c:invertIfNegative val="0"/>
          <c:cat>
            <c:strRef>
              <c:f>Grafiken!$U$661:$AF$661</c:f>
              <c:strCache>
                <c:ptCount val="12"/>
                <c:pt idx="0">
                  <c:v>Januar</c:v>
                </c:pt>
                <c:pt idx="1">
                  <c:v>Februar</c:v>
                </c:pt>
                <c:pt idx="2">
                  <c:v>März</c:v>
                </c:pt>
                <c:pt idx="3">
                  <c:v>April</c:v>
                </c:pt>
                <c:pt idx="4">
                  <c:v>Mai</c:v>
                </c:pt>
                <c:pt idx="5">
                  <c:v>Juni</c:v>
                </c:pt>
                <c:pt idx="6">
                  <c:v>Juli</c:v>
                </c:pt>
                <c:pt idx="7">
                  <c:v>August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Dezember</c:v>
                </c:pt>
              </c:strCache>
            </c:strRef>
          </c:cat>
          <c:val>
            <c:numRef>
              <c:f>Grafiken!$U$665:$AF$665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F-49AC-A6DF-DE21AB430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19312"/>
        <c:axId val="534719704"/>
      </c:barChart>
      <c:catAx>
        <c:axId val="5347193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534719704"/>
        <c:crosses val="autoZero"/>
        <c:auto val="1"/>
        <c:lblAlgn val="ctr"/>
        <c:lblOffset val="100"/>
        <c:noMultiLvlLbl val="0"/>
      </c:catAx>
      <c:valAx>
        <c:axId val="534719704"/>
        <c:scaling>
          <c:orientation val="minMax"/>
        </c:scaling>
        <c:delete val="0"/>
        <c:axPos val="l"/>
        <c:majorGridlines/>
        <c:numFmt formatCode="0.00" sourceLinked="1"/>
        <c:majorTickMark val="none"/>
        <c:minorTickMark val="none"/>
        <c:tickLblPos val="nextTo"/>
        <c:spPr>
          <a:ln w="9525">
            <a:noFill/>
          </a:ln>
        </c:spPr>
        <c:crossAx val="53471931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'Liqui-Cockpit'!$J$14</c:f>
              <c:strCache>
                <c:ptCount val="1"/>
                <c:pt idx="0">
                  <c:v>Anfangsbestand</c:v>
                </c:pt>
              </c:strCache>
            </c:strRef>
          </c:tx>
          <c:invertIfNegative val="0"/>
          <c:val>
            <c:numRef>
              <c:f>'Liqui-Cockpit'!$K$14</c:f>
              <c:numCache>
                <c:formatCode>#,##0</c:formatCode>
                <c:ptCount val="1"/>
                <c:pt idx="0">
                  <c:v>8547.2359999999844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8-49DE-BA6D-2BBB6D7E5AAE}"/>
            </c:ext>
          </c:extLst>
        </c:ser>
        <c:ser>
          <c:idx val="1"/>
          <c:order val="1"/>
          <c:tx>
            <c:strRef>
              <c:f>'Liqui-Cockpit'!$J$15</c:f>
              <c:strCache>
                <c:ptCount val="1"/>
                <c:pt idx="0">
                  <c:v>Verbrauch</c:v>
                </c:pt>
              </c:strCache>
            </c:strRef>
          </c:tx>
          <c:invertIfNegative val="0"/>
          <c:val>
            <c:numRef>
              <c:f>'Liqui-Cockpit'!$K$15</c:f>
              <c:numCache>
                <c:formatCode>#,##0</c:formatCode>
                <c:ptCount val="1"/>
                <c:pt idx="0">
                  <c:v>-8547.2359999999844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F8-49DE-BA6D-2BBB6D7E5AAE}"/>
            </c:ext>
          </c:extLst>
        </c:ser>
        <c:ser>
          <c:idx val="2"/>
          <c:order val="2"/>
          <c:tx>
            <c:strRef>
              <c:f>'Liqui-Cockpit'!$J$16</c:f>
              <c:strCache>
                <c:ptCount val="1"/>
                <c:pt idx="0">
                  <c:v>Aktueller Status</c:v>
                </c:pt>
              </c:strCache>
            </c:strRef>
          </c:tx>
          <c:invertIfNegative val="0"/>
          <c:val>
            <c:numRef>
              <c:f>'Liqui-Cockpit'!$K$16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F8-49DE-BA6D-2BBB6D7E5AAE}"/>
            </c:ext>
          </c:extLst>
        </c:ser>
        <c:ser>
          <c:idx val="3"/>
          <c:order val="3"/>
          <c:tx>
            <c:strRef>
              <c:f>'Liqui-Cockpit'!$J$17</c:f>
              <c:strCache>
                <c:ptCount val="1"/>
                <c:pt idx="0">
                  <c:v>Reserve</c:v>
                </c:pt>
              </c:strCache>
            </c:strRef>
          </c:tx>
          <c:invertIfNegative val="0"/>
          <c:val>
            <c:numRef>
              <c:f>'Liqui-Cockpit'!$K$17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F8-49DE-BA6D-2BBB6D7E5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729112"/>
        <c:axId val="534727152"/>
      </c:barChart>
      <c:catAx>
        <c:axId val="534729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534727152"/>
        <c:crosses val="autoZero"/>
        <c:auto val="1"/>
        <c:lblAlgn val="ctr"/>
        <c:lblOffset val="100"/>
        <c:noMultiLvlLbl val="0"/>
      </c:catAx>
      <c:valAx>
        <c:axId val="53472715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347291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0931946646600965"/>
          <c:y val="0.36979440069991248"/>
          <c:w val="0.37625932648694166"/>
          <c:h val="0.55669345830041184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1-9439-4761-85B1-DDD467C8F446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9439-4761-85B1-DDD467C8F44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5-9439-4761-85B1-DDD467C8F446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7-9439-4761-85B1-DDD467C8F446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9-9439-4761-85B1-DDD467C8F446}"/>
              </c:ext>
            </c:extLst>
          </c:dPt>
          <c:dPt>
            <c:idx val="5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B-9439-4761-85B1-DDD467C8F446}"/>
              </c:ext>
            </c:extLst>
          </c:dPt>
          <c:val>
            <c:numRef>
              <c:f>'Liqui-Cockpit'!$K$31:$K$36</c:f>
              <c:numCache>
                <c:formatCode>General</c:formatCode>
                <c:ptCount val="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39-4761-85B1-DDD467C8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</c:plotArea>
    <c:plotVisOnly val="1"/>
    <c:dispBlanksAs val="zero"/>
    <c:showDLblsOverMax val="0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1-1F28-4DFA-A337-4F938806D2C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3-1F28-4DFA-A337-4F938806D2C7}"/>
              </c:ext>
            </c:extLst>
          </c:dPt>
          <c:dPt>
            <c:idx val="2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5-1F28-4DFA-A337-4F938806D2C7}"/>
              </c:ext>
            </c:extLst>
          </c:dPt>
          <c:dPt>
            <c:idx val="3"/>
            <c:bubble3D val="0"/>
            <c:spPr>
              <a:noFill/>
            </c:spPr>
            <c:extLst>
              <c:ext xmlns:c16="http://schemas.microsoft.com/office/drawing/2014/chart" uri="{C3380CC4-5D6E-409C-BE32-E72D297353CC}">
                <c16:uniqueId val="{00000007-1F28-4DFA-A337-4F938806D2C7}"/>
              </c:ext>
            </c:extLst>
          </c:dPt>
          <c:val>
            <c:numRef>
              <c:f>'Liqui-Cockpit'!$K$40:$K$43</c:f>
              <c:numCache>
                <c:formatCode>General</c:formatCode>
                <c:ptCount val="4"/>
                <c:pt idx="0" formatCode="0">
                  <c:v>0</c:v>
                </c:pt>
                <c:pt idx="1">
                  <c:v>2</c:v>
                </c:pt>
                <c:pt idx="2" formatCode="0">
                  <c:v>0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28-4DFA-A337-4F938806D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</c:plotArea>
    <c:plotVisOnly val="1"/>
    <c:dispBlanksAs val="zero"/>
    <c:showDLblsOverMax val="0"/>
  </c:chart>
  <c:spPr>
    <a:noFill/>
  </c:spPr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923925</xdr:colOff>
      <xdr:row>4</xdr:row>
      <xdr:rowOff>171450</xdr:rowOff>
    </xdr:from>
    <xdr:ext cx="1752845" cy="1086002"/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1162050"/>
          <a:ext cx="1752845" cy="108600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</xdr:row>
      <xdr:rowOff>4761</xdr:rowOff>
    </xdr:from>
    <xdr:to>
      <xdr:col>6</xdr:col>
      <xdr:colOff>488150</xdr:colOff>
      <xdr:row>24</xdr:row>
      <xdr:rowOff>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25</xdr:row>
      <xdr:rowOff>142876</xdr:rowOff>
    </xdr:from>
    <xdr:to>
      <xdr:col>6</xdr:col>
      <xdr:colOff>492124</xdr:colOff>
      <xdr:row>47</xdr:row>
      <xdr:rowOff>142876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52</xdr:row>
      <xdr:rowOff>142875</xdr:rowOff>
    </xdr:from>
    <xdr:to>
      <xdr:col>8</xdr:col>
      <xdr:colOff>628650</xdr:colOff>
      <xdr:row>74</xdr:row>
      <xdr:rowOff>145052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76</xdr:row>
      <xdr:rowOff>147640</xdr:rowOff>
    </xdr:from>
    <xdr:to>
      <xdr:col>8</xdr:col>
      <xdr:colOff>631823</xdr:colOff>
      <xdr:row>98</xdr:row>
      <xdr:rowOff>142875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103</xdr:row>
      <xdr:rowOff>142875</xdr:rowOff>
    </xdr:from>
    <xdr:to>
      <xdr:col>8</xdr:col>
      <xdr:colOff>628650</xdr:colOff>
      <xdr:row>125</xdr:row>
      <xdr:rowOff>145052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127</xdr:row>
      <xdr:rowOff>147640</xdr:rowOff>
    </xdr:from>
    <xdr:to>
      <xdr:col>8</xdr:col>
      <xdr:colOff>631823</xdr:colOff>
      <xdr:row>149</xdr:row>
      <xdr:rowOff>142875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154</xdr:row>
      <xdr:rowOff>142875</xdr:rowOff>
    </xdr:from>
    <xdr:to>
      <xdr:col>8</xdr:col>
      <xdr:colOff>628650</xdr:colOff>
      <xdr:row>176</xdr:row>
      <xdr:rowOff>145052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178</xdr:row>
      <xdr:rowOff>147640</xdr:rowOff>
    </xdr:from>
    <xdr:to>
      <xdr:col>8</xdr:col>
      <xdr:colOff>631823</xdr:colOff>
      <xdr:row>200</xdr:row>
      <xdr:rowOff>142875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205</xdr:row>
      <xdr:rowOff>142875</xdr:rowOff>
    </xdr:from>
    <xdr:to>
      <xdr:col>8</xdr:col>
      <xdr:colOff>628650</xdr:colOff>
      <xdr:row>227</xdr:row>
      <xdr:rowOff>145052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229</xdr:row>
      <xdr:rowOff>147640</xdr:rowOff>
    </xdr:from>
    <xdr:to>
      <xdr:col>8</xdr:col>
      <xdr:colOff>631823</xdr:colOff>
      <xdr:row>251</xdr:row>
      <xdr:rowOff>142875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256</xdr:row>
      <xdr:rowOff>142875</xdr:rowOff>
    </xdr:from>
    <xdr:to>
      <xdr:col>8</xdr:col>
      <xdr:colOff>628650</xdr:colOff>
      <xdr:row>278</xdr:row>
      <xdr:rowOff>145052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280</xdr:row>
      <xdr:rowOff>147640</xdr:rowOff>
    </xdr:from>
    <xdr:to>
      <xdr:col>8</xdr:col>
      <xdr:colOff>631823</xdr:colOff>
      <xdr:row>302</xdr:row>
      <xdr:rowOff>142875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180975</xdr:colOff>
      <xdr:row>2</xdr:row>
      <xdr:rowOff>4761</xdr:rowOff>
    </xdr:from>
    <xdr:to>
      <xdr:col>16</xdr:col>
      <xdr:colOff>469100</xdr:colOff>
      <xdr:row>24</xdr:row>
      <xdr:rowOff>1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180975</xdr:colOff>
      <xdr:row>25</xdr:row>
      <xdr:rowOff>142876</xdr:rowOff>
    </xdr:from>
    <xdr:to>
      <xdr:col>16</xdr:col>
      <xdr:colOff>473074</xdr:colOff>
      <xdr:row>47</xdr:row>
      <xdr:rowOff>142876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9526</xdr:colOff>
      <xdr:row>306</xdr:row>
      <xdr:rowOff>0</xdr:rowOff>
    </xdr:from>
    <xdr:to>
      <xdr:col>6</xdr:col>
      <xdr:colOff>504825</xdr:colOff>
      <xdr:row>327</xdr:row>
      <xdr:rowOff>152400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92075</xdr:colOff>
      <xdr:row>306</xdr:row>
      <xdr:rowOff>0</xdr:rowOff>
    </xdr:from>
    <xdr:to>
      <xdr:col>16</xdr:col>
      <xdr:colOff>454025</xdr:colOff>
      <xdr:row>327</xdr:row>
      <xdr:rowOff>152400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9526</xdr:colOff>
      <xdr:row>329</xdr:row>
      <xdr:rowOff>142875</xdr:rowOff>
    </xdr:from>
    <xdr:to>
      <xdr:col>6</xdr:col>
      <xdr:colOff>504825</xdr:colOff>
      <xdr:row>351</xdr:row>
      <xdr:rowOff>136525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92075</xdr:colOff>
      <xdr:row>329</xdr:row>
      <xdr:rowOff>142875</xdr:rowOff>
    </xdr:from>
    <xdr:to>
      <xdr:col>16</xdr:col>
      <xdr:colOff>454025</xdr:colOff>
      <xdr:row>351</xdr:row>
      <xdr:rowOff>136525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9526</xdr:colOff>
      <xdr:row>355</xdr:row>
      <xdr:rowOff>0</xdr:rowOff>
    </xdr:from>
    <xdr:to>
      <xdr:col>16</xdr:col>
      <xdr:colOff>466726</xdr:colOff>
      <xdr:row>377</xdr:row>
      <xdr:rowOff>152400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380</xdr:row>
      <xdr:rowOff>4764</xdr:rowOff>
    </xdr:from>
    <xdr:to>
      <xdr:col>16</xdr:col>
      <xdr:colOff>471711</xdr:colOff>
      <xdr:row>402</xdr:row>
      <xdr:rowOff>152399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9526</xdr:colOff>
      <xdr:row>406</xdr:row>
      <xdr:rowOff>0</xdr:rowOff>
    </xdr:from>
    <xdr:to>
      <xdr:col>6</xdr:col>
      <xdr:colOff>504825</xdr:colOff>
      <xdr:row>427</xdr:row>
      <xdr:rowOff>152400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92075</xdr:colOff>
      <xdr:row>406</xdr:row>
      <xdr:rowOff>0</xdr:rowOff>
    </xdr:from>
    <xdr:to>
      <xdr:col>16</xdr:col>
      <xdr:colOff>454025</xdr:colOff>
      <xdr:row>427</xdr:row>
      <xdr:rowOff>152400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9526</xdr:colOff>
      <xdr:row>430</xdr:row>
      <xdr:rowOff>0</xdr:rowOff>
    </xdr:from>
    <xdr:to>
      <xdr:col>6</xdr:col>
      <xdr:colOff>504825</xdr:colOff>
      <xdr:row>451</xdr:row>
      <xdr:rowOff>152400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92075</xdr:colOff>
      <xdr:row>430</xdr:row>
      <xdr:rowOff>0</xdr:rowOff>
    </xdr:from>
    <xdr:to>
      <xdr:col>16</xdr:col>
      <xdr:colOff>454025</xdr:colOff>
      <xdr:row>451</xdr:row>
      <xdr:rowOff>152400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6350</xdr:colOff>
      <xdr:row>455</xdr:row>
      <xdr:rowOff>0</xdr:rowOff>
    </xdr:from>
    <xdr:to>
      <xdr:col>16</xdr:col>
      <xdr:colOff>457200</xdr:colOff>
      <xdr:row>476</xdr:row>
      <xdr:rowOff>152400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6350</xdr:colOff>
      <xdr:row>479</xdr:row>
      <xdr:rowOff>0</xdr:rowOff>
    </xdr:from>
    <xdr:to>
      <xdr:col>16</xdr:col>
      <xdr:colOff>457200</xdr:colOff>
      <xdr:row>500</xdr:row>
      <xdr:rowOff>152400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9526</xdr:colOff>
      <xdr:row>602</xdr:row>
      <xdr:rowOff>0</xdr:rowOff>
    </xdr:from>
    <xdr:to>
      <xdr:col>16</xdr:col>
      <xdr:colOff>466726</xdr:colOff>
      <xdr:row>647</xdr:row>
      <xdr:rowOff>123825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504</xdr:row>
      <xdr:rowOff>0</xdr:rowOff>
    </xdr:from>
    <xdr:to>
      <xdr:col>6</xdr:col>
      <xdr:colOff>555625</xdr:colOff>
      <xdr:row>525</xdr:row>
      <xdr:rowOff>157165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79375</xdr:colOff>
      <xdr:row>504</xdr:row>
      <xdr:rowOff>0</xdr:rowOff>
    </xdr:from>
    <xdr:to>
      <xdr:col>16</xdr:col>
      <xdr:colOff>444500</xdr:colOff>
      <xdr:row>525</xdr:row>
      <xdr:rowOff>157165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0</xdr:colOff>
      <xdr:row>528</xdr:row>
      <xdr:rowOff>0</xdr:rowOff>
    </xdr:from>
    <xdr:to>
      <xdr:col>6</xdr:col>
      <xdr:colOff>555625</xdr:colOff>
      <xdr:row>549</xdr:row>
      <xdr:rowOff>157165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79375</xdr:colOff>
      <xdr:row>528</xdr:row>
      <xdr:rowOff>0</xdr:rowOff>
    </xdr:from>
    <xdr:to>
      <xdr:col>16</xdr:col>
      <xdr:colOff>444500</xdr:colOff>
      <xdr:row>549</xdr:row>
      <xdr:rowOff>157165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553</xdr:row>
      <xdr:rowOff>0</xdr:rowOff>
    </xdr:from>
    <xdr:to>
      <xdr:col>6</xdr:col>
      <xdr:colOff>555625</xdr:colOff>
      <xdr:row>574</xdr:row>
      <xdr:rowOff>157165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79375</xdr:colOff>
      <xdr:row>553</xdr:row>
      <xdr:rowOff>0</xdr:rowOff>
    </xdr:from>
    <xdr:to>
      <xdr:col>16</xdr:col>
      <xdr:colOff>444500</xdr:colOff>
      <xdr:row>574</xdr:row>
      <xdr:rowOff>157165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577</xdr:row>
      <xdr:rowOff>0</xdr:rowOff>
    </xdr:from>
    <xdr:to>
      <xdr:col>6</xdr:col>
      <xdr:colOff>555625</xdr:colOff>
      <xdr:row>598</xdr:row>
      <xdr:rowOff>157165</xdr:rowOff>
    </xdr:to>
    <xdr:graphicFrame macro="">
      <xdr:nvGraphicFramePr>
        <xdr:cNvPr id="54" name="Diagramm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79375</xdr:colOff>
      <xdr:row>577</xdr:row>
      <xdr:rowOff>0</xdr:rowOff>
    </xdr:from>
    <xdr:to>
      <xdr:col>16</xdr:col>
      <xdr:colOff>444500</xdr:colOff>
      <xdr:row>598</xdr:row>
      <xdr:rowOff>157165</xdr:rowOff>
    </xdr:to>
    <xdr:graphicFrame macro="">
      <xdr:nvGraphicFramePr>
        <xdr:cNvPr id="55" name="Diagramm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0</xdr:colOff>
      <xdr:row>651</xdr:row>
      <xdr:rowOff>0</xdr:rowOff>
    </xdr:from>
    <xdr:to>
      <xdr:col>6</xdr:col>
      <xdr:colOff>555625</xdr:colOff>
      <xdr:row>672</xdr:row>
      <xdr:rowOff>157165</xdr:rowOff>
    </xdr:to>
    <xdr:graphicFrame macro="">
      <xdr:nvGraphicFramePr>
        <xdr:cNvPr id="57" name="Diagramm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79375</xdr:colOff>
      <xdr:row>651</xdr:row>
      <xdr:rowOff>0</xdr:rowOff>
    </xdr:from>
    <xdr:to>
      <xdr:col>16</xdr:col>
      <xdr:colOff>444500</xdr:colOff>
      <xdr:row>672</xdr:row>
      <xdr:rowOff>157165</xdr:rowOff>
    </xdr:to>
    <xdr:graphicFrame macro="">
      <xdr:nvGraphicFramePr>
        <xdr:cNvPr id="58" name="Diagramm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323848</xdr:colOff>
      <xdr:row>7</xdr:row>
      <xdr:rowOff>57150</xdr:rowOff>
    </xdr:from>
    <xdr:to>
      <xdr:col>7</xdr:col>
      <xdr:colOff>704849</xdr:colOff>
      <xdr:row>21</xdr:row>
      <xdr:rowOff>95250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161925</xdr:colOff>
      <xdr:row>29</xdr:row>
      <xdr:rowOff>0</xdr:rowOff>
    </xdr:from>
    <xdr:to>
      <xdr:col>7</xdr:col>
      <xdr:colOff>552451</xdr:colOff>
      <xdr:row>42</xdr:row>
      <xdr:rowOff>142875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161925</xdr:colOff>
      <xdr:row>29</xdr:row>
      <xdr:rowOff>0</xdr:rowOff>
    </xdr:from>
    <xdr:to>
      <xdr:col>7</xdr:col>
      <xdr:colOff>552450</xdr:colOff>
      <xdr:row>42</xdr:row>
      <xdr:rowOff>142875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105835</xdr:rowOff>
    </xdr:from>
    <xdr:to>
      <xdr:col>1</xdr:col>
      <xdr:colOff>863600</xdr:colOff>
      <xdr:row>4</xdr:row>
      <xdr:rowOff>80435</xdr:rowOff>
    </xdr:to>
    <xdr:pic>
      <xdr:nvPicPr>
        <xdr:cNvPr id="2" name="Picture 2" descr="C:\Dokumente und Einstellungen\Sorg\Eigene Dateien\logo_MCP new.tif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583" y="105835"/>
          <a:ext cx="863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66675</xdr:rowOff>
    </xdr:from>
    <xdr:to>
      <xdr:col>0</xdr:col>
      <xdr:colOff>939800</xdr:colOff>
      <xdr:row>4</xdr:row>
      <xdr:rowOff>28575</xdr:rowOff>
    </xdr:to>
    <xdr:pic>
      <xdr:nvPicPr>
        <xdr:cNvPr id="2" name="Picture 2" descr="C:\Dokumente und Einstellungen\Sorg\Eigene Dateien\logo_MCP new.tif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86360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7.v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10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1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2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4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5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6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7.v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rgb="FFFF0000"/>
  </sheetPr>
  <dimension ref="A1:P368"/>
  <sheetViews>
    <sheetView showGridLines="0" tabSelected="1" topLeftCell="A3" zoomScaleNormal="100" workbookViewId="0">
      <selection activeCell="B8" sqref="B8"/>
    </sheetView>
  </sheetViews>
  <sheetFormatPr baseColWidth="10" defaultColWidth="11.5703125" defaultRowHeight="12.75" x14ac:dyDescent="0.2"/>
  <cols>
    <col min="1" max="1" width="60.7109375" style="85" bestFit="1" customWidth="1"/>
    <col min="2" max="2" width="34.28515625" style="823" customWidth="1"/>
    <col min="3" max="3" width="11.5703125" style="85" customWidth="1"/>
    <col min="4" max="4" width="33.5703125" style="85" bestFit="1" customWidth="1"/>
    <col min="5" max="5" width="11.5703125" style="85" customWidth="1"/>
    <col min="6" max="6" width="12.140625" style="85" customWidth="1"/>
    <col min="7" max="7" width="11.85546875" style="92" bestFit="1" customWidth="1"/>
    <col min="8" max="8" width="10.140625" style="92" bestFit="1" customWidth="1"/>
    <col min="9" max="9" width="14.42578125" style="85" bestFit="1" customWidth="1"/>
    <col min="10" max="10" width="17.28515625" style="85" bestFit="1" customWidth="1"/>
    <col min="11" max="11" width="8.5703125" style="92" bestFit="1" customWidth="1"/>
    <col min="12" max="12" width="13" style="92" bestFit="1" customWidth="1"/>
    <col min="13" max="14" width="11.5703125" style="85" customWidth="1"/>
    <col min="15" max="15" width="10.5703125" style="85" bestFit="1" customWidth="1"/>
    <col min="16" max="16" width="13.28515625" style="85" bestFit="1" customWidth="1"/>
    <col min="17" max="17" width="11.5703125" style="85" customWidth="1"/>
    <col min="18" max="16384" width="11.5703125" style="85"/>
  </cols>
  <sheetData>
    <row r="1" spans="1:16" x14ac:dyDescent="0.2">
      <c r="A1" s="90" t="s">
        <v>29</v>
      </c>
      <c r="B1" s="1079">
        <v>21</v>
      </c>
      <c r="D1" s="1079" t="str">
        <f>"V" &amp; TEXT(B1,"000")</f>
        <v>V021</v>
      </c>
      <c r="E1" s="85" t="b">
        <v>0</v>
      </c>
      <c r="G1" s="1028" t="s">
        <v>30</v>
      </c>
      <c r="H1" s="1028" t="s">
        <v>31</v>
      </c>
      <c r="I1" s="1024" t="s">
        <v>32</v>
      </c>
      <c r="J1" s="1024" t="s">
        <v>33</v>
      </c>
      <c r="K1" s="1028" t="s">
        <v>34</v>
      </c>
      <c r="L1" s="1028" t="s">
        <v>35</v>
      </c>
      <c r="O1" s="1024" t="s">
        <v>36</v>
      </c>
      <c r="P1" s="1024" t="s">
        <v>37</v>
      </c>
    </row>
    <row r="2" spans="1:16" x14ac:dyDescent="0.2">
      <c r="G2" s="92">
        <v>1</v>
      </c>
      <c r="H2" s="1029">
        <f>DATE($B$5,$B$6,1)</f>
        <v>43466</v>
      </c>
      <c r="I2" s="85">
        <f>IF(H2&lt;&gt;"",WEEKDAY(H2,2),"")</f>
        <v>2</v>
      </c>
      <c r="J2" s="85" t="str">
        <f>IF(I2=1,"Montag",IF(I2=2,"Dienstag",IF(I2=3,"Mittwoch",IF(I2=4,"Donnerstag",IF(I2=5,"Freitag",IF(I2=6,"Samstag",IF(I2=7,"Sonntag","#INVALID")))))))</f>
        <v>Dienstag</v>
      </c>
      <c r="K2" s="92">
        <f>IF(AND(I2&gt;=1,I2&lt;=5),1,0)</f>
        <v>1</v>
      </c>
      <c r="L2" s="92">
        <f>IF(OR(I2=6,I2=7),1,0)</f>
        <v>0</v>
      </c>
      <c r="O2" s="85">
        <v>1</v>
      </c>
      <c r="P2" s="823" t="s">
        <v>38</v>
      </c>
    </row>
    <row r="3" spans="1:16" x14ac:dyDescent="0.2">
      <c r="A3" s="90" t="s">
        <v>39</v>
      </c>
      <c r="G3" s="92">
        <f t="shared" ref="G3:G66" si="0">IF(H3&lt;&gt;"",G2+1,"")</f>
        <v>2</v>
      </c>
      <c r="H3" s="1029">
        <f>H2+1</f>
        <v>43467</v>
      </c>
      <c r="I3" s="85">
        <f t="shared" ref="I3:I66" si="1">IF(H3&lt;&gt;"",WEEKDAY(H3,2),"")</f>
        <v>3</v>
      </c>
      <c r="J3" s="85" t="str">
        <f t="shared" ref="J3:J66" si="2">IF(H3&lt;&gt;"",IF(I3=1,"Montag",IF(I3=2,"Dienstag",IF(I3=3,"Mittwoch",IF(I3=4,"Donnerstag",IF(I3=5,"Freitag",IF(I3=6,"Samstag",IF(I3=7,"Sonntag","#INVALID"))))))),"")</f>
        <v>Mittwoch</v>
      </c>
      <c r="K3" s="92">
        <f t="shared" ref="K3:K66" si="3">IF(H3&lt;&gt;"",IF(AND(I3&gt;=1,I3&lt;=5),1,0),"")</f>
        <v>1</v>
      </c>
      <c r="L3" s="92">
        <f t="shared" ref="L3:L66" si="4">IF(H3&lt;&gt;"",IF(OR(I3=6,I3=7),1,0),"")</f>
        <v>0</v>
      </c>
      <c r="O3" s="85">
        <f t="shared" ref="O3:O13" si="5">O2+1</f>
        <v>2</v>
      </c>
      <c r="P3" s="823" t="s">
        <v>40</v>
      </c>
    </row>
    <row r="4" spans="1:16" x14ac:dyDescent="0.2">
      <c r="A4" s="823" t="s">
        <v>41</v>
      </c>
      <c r="B4" s="1075" t="s">
        <v>42</v>
      </c>
      <c r="G4" s="92">
        <f t="shared" si="0"/>
        <v>3</v>
      </c>
      <c r="H4" s="1029">
        <f t="shared" ref="H4:H67" si="6">H3+1</f>
        <v>43468</v>
      </c>
      <c r="I4" s="85">
        <f t="shared" si="1"/>
        <v>4</v>
      </c>
      <c r="J4" s="85" t="str">
        <f t="shared" si="2"/>
        <v>Donnerstag</v>
      </c>
      <c r="K4" s="92">
        <f t="shared" si="3"/>
        <v>1</v>
      </c>
      <c r="L4" s="92">
        <f t="shared" si="4"/>
        <v>0</v>
      </c>
      <c r="O4" s="85">
        <f t="shared" si="5"/>
        <v>3</v>
      </c>
      <c r="P4" s="823" t="s">
        <v>43</v>
      </c>
    </row>
    <row r="5" spans="1:16" x14ac:dyDescent="0.2">
      <c r="A5" s="823" t="s">
        <v>44</v>
      </c>
      <c r="B5" s="1075">
        <v>2019</v>
      </c>
      <c r="E5" s="1079" t="str">
        <f>IF(B6=1,TEXT(B5,"0000"),B5 &amp; "/" &amp; (B5+1))</f>
        <v>2019</v>
      </c>
      <c r="G5" s="92">
        <f t="shared" si="0"/>
        <v>4</v>
      </c>
      <c r="H5" s="1029">
        <f t="shared" si="6"/>
        <v>43469</v>
      </c>
      <c r="I5" s="85">
        <f t="shared" si="1"/>
        <v>5</v>
      </c>
      <c r="J5" s="85" t="str">
        <f t="shared" si="2"/>
        <v>Freitag</v>
      </c>
      <c r="K5" s="92">
        <f t="shared" si="3"/>
        <v>1</v>
      </c>
      <c r="L5" s="92">
        <f t="shared" si="4"/>
        <v>0</v>
      </c>
      <c r="O5" s="85">
        <f t="shared" si="5"/>
        <v>4</v>
      </c>
      <c r="P5" s="823" t="s">
        <v>45</v>
      </c>
    </row>
    <row r="6" spans="1:16" x14ac:dyDescent="0.2">
      <c r="A6" s="823" t="s">
        <v>46</v>
      </c>
      <c r="B6" s="1075">
        <v>1</v>
      </c>
      <c r="C6" s="91"/>
      <c r="D6" s="1079" t="str">
        <f>TEXT(DATE(Grunddaten!$B$5,Grunddaten!$B$6,1),"MMMM JJJJ")</f>
        <v>Januar 2019</v>
      </c>
      <c r="E6" s="1079" t="str">
        <f>INDEX($P$2:$P$25,MATCH(B6,$O$2:$O$25,0))</f>
        <v>Januar</v>
      </c>
      <c r="G6" s="92">
        <f t="shared" si="0"/>
        <v>5</v>
      </c>
      <c r="H6" s="1029">
        <f t="shared" si="6"/>
        <v>43470</v>
      </c>
      <c r="I6" s="85">
        <f t="shared" si="1"/>
        <v>6</v>
      </c>
      <c r="J6" s="85" t="str">
        <f t="shared" si="2"/>
        <v>Samstag</v>
      </c>
      <c r="K6" s="92">
        <f t="shared" si="3"/>
        <v>0</v>
      </c>
      <c r="L6" s="92">
        <f t="shared" si="4"/>
        <v>1</v>
      </c>
      <c r="O6" s="85">
        <f t="shared" si="5"/>
        <v>5</v>
      </c>
      <c r="P6" s="823" t="s">
        <v>47</v>
      </c>
    </row>
    <row r="7" spans="1:16" x14ac:dyDescent="0.2">
      <c r="A7" s="823" t="s">
        <v>48</v>
      </c>
      <c r="B7" s="1075">
        <v>10</v>
      </c>
      <c r="D7" s="1079" t="str">
        <f>TEXT(DATE(Grunddaten!$B$5,Grunddaten!$B$6-1+Grunddaten!$B$7,1),"MMMM JJJJ")</f>
        <v>Oktober 2019</v>
      </c>
      <c r="E7" s="1079" t="str">
        <f>INDEX($P$2:$P$25,MATCH(B7+B6-1,$O$2:$O$25,0))</f>
        <v>Oktober</v>
      </c>
      <c r="G7" s="92">
        <f t="shared" si="0"/>
        <v>6</v>
      </c>
      <c r="H7" s="1029">
        <f t="shared" si="6"/>
        <v>43471</v>
      </c>
      <c r="I7" s="85">
        <f t="shared" si="1"/>
        <v>7</v>
      </c>
      <c r="J7" s="85" t="str">
        <f t="shared" si="2"/>
        <v>Sonntag</v>
      </c>
      <c r="K7" s="92">
        <f t="shared" si="3"/>
        <v>0</v>
      </c>
      <c r="L7" s="92">
        <f t="shared" si="4"/>
        <v>1</v>
      </c>
      <c r="O7" s="85">
        <f t="shared" si="5"/>
        <v>6</v>
      </c>
      <c r="P7" s="823" t="s">
        <v>49</v>
      </c>
    </row>
    <row r="8" spans="1:16" x14ac:dyDescent="0.2">
      <c r="A8" s="823" t="s">
        <v>50</v>
      </c>
      <c r="E8" s="1079" t="str">
        <f>IF(B6=1,TEXT(B5-1,"0000"),B5-1 &amp; "/" &amp; (B5-1+1))</f>
        <v>2018</v>
      </c>
      <c r="G8" s="92">
        <f t="shared" si="0"/>
        <v>7</v>
      </c>
      <c r="H8" s="1029">
        <f t="shared" si="6"/>
        <v>43472</v>
      </c>
      <c r="I8" s="85">
        <f t="shared" si="1"/>
        <v>1</v>
      </c>
      <c r="J8" s="85" t="str">
        <f t="shared" si="2"/>
        <v>Montag</v>
      </c>
      <c r="K8" s="92">
        <f t="shared" si="3"/>
        <v>1</v>
      </c>
      <c r="L8" s="92">
        <f t="shared" si="4"/>
        <v>0</v>
      </c>
      <c r="O8" s="85">
        <f t="shared" si="5"/>
        <v>7</v>
      </c>
      <c r="P8" s="823" t="s">
        <v>51</v>
      </c>
    </row>
    <row r="9" spans="1:16" x14ac:dyDescent="0.2">
      <c r="A9" s="823"/>
      <c r="B9" s="90"/>
      <c r="G9" s="92">
        <f t="shared" si="0"/>
        <v>8</v>
      </c>
      <c r="H9" s="1029">
        <f t="shared" si="6"/>
        <v>43473</v>
      </c>
      <c r="I9" s="85">
        <f t="shared" si="1"/>
        <v>2</v>
      </c>
      <c r="J9" s="85" t="str">
        <f t="shared" si="2"/>
        <v>Dienstag</v>
      </c>
      <c r="K9" s="92">
        <f t="shared" si="3"/>
        <v>1</v>
      </c>
      <c r="L9" s="92">
        <f t="shared" si="4"/>
        <v>0</v>
      </c>
      <c r="O9" s="85">
        <f t="shared" si="5"/>
        <v>8</v>
      </c>
      <c r="P9" s="823" t="s">
        <v>52</v>
      </c>
    </row>
    <row r="10" spans="1:16" x14ac:dyDescent="0.2">
      <c r="A10" s="90" t="s">
        <v>53</v>
      </c>
      <c r="B10" s="90"/>
      <c r="G10" s="92">
        <f t="shared" si="0"/>
        <v>9</v>
      </c>
      <c r="H10" s="1029">
        <f t="shared" si="6"/>
        <v>43474</v>
      </c>
      <c r="I10" s="85">
        <f t="shared" si="1"/>
        <v>3</v>
      </c>
      <c r="J10" s="85" t="str">
        <f t="shared" si="2"/>
        <v>Mittwoch</v>
      </c>
      <c r="K10" s="92">
        <f t="shared" si="3"/>
        <v>1</v>
      </c>
      <c r="L10" s="92">
        <f t="shared" si="4"/>
        <v>0</v>
      </c>
      <c r="O10" s="85">
        <f t="shared" si="5"/>
        <v>9</v>
      </c>
      <c r="P10" s="823" t="s">
        <v>54</v>
      </c>
    </row>
    <row r="11" spans="1:16" x14ac:dyDescent="0.2">
      <c r="A11" s="1073" t="str">
        <f>"Eigenkapital aus Jahresabschluss "&amp; (E8) &amp;":"</f>
        <v>Eigenkapital aus Jahresabschluss 2018:</v>
      </c>
      <c r="B11" s="1076">
        <v>100000</v>
      </c>
      <c r="G11" s="92">
        <f t="shared" si="0"/>
        <v>10</v>
      </c>
      <c r="H11" s="1029">
        <f t="shared" si="6"/>
        <v>43475</v>
      </c>
      <c r="I11" s="85">
        <f t="shared" si="1"/>
        <v>4</v>
      </c>
      <c r="J11" s="85" t="str">
        <f t="shared" si="2"/>
        <v>Donnerstag</v>
      </c>
      <c r="K11" s="92">
        <f t="shared" si="3"/>
        <v>1</v>
      </c>
      <c r="L11" s="92">
        <f t="shared" si="4"/>
        <v>0</v>
      </c>
      <c r="O11" s="85">
        <f t="shared" si="5"/>
        <v>10</v>
      </c>
      <c r="P11" s="823" t="s">
        <v>55</v>
      </c>
    </row>
    <row r="12" spans="1:16" x14ac:dyDescent="0.2">
      <c r="A12" s="1073" t="str">
        <f>"Voraussichtlicher Gewinn / Verlust aus BWA Monat 12 von "&amp; (E8) &amp;":"</f>
        <v>Voraussichtlicher Gewinn / Verlust aus BWA Monat 12 von 2018:</v>
      </c>
      <c r="B12" s="1076">
        <v>12000</v>
      </c>
      <c r="G12" s="92">
        <f t="shared" si="0"/>
        <v>11</v>
      </c>
      <c r="H12" s="1029">
        <f t="shared" si="6"/>
        <v>43476</v>
      </c>
      <c r="I12" s="85">
        <f t="shared" si="1"/>
        <v>5</v>
      </c>
      <c r="J12" s="85" t="str">
        <f t="shared" si="2"/>
        <v>Freitag</v>
      </c>
      <c r="K12" s="92">
        <f t="shared" si="3"/>
        <v>1</v>
      </c>
      <c r="L12" s="92">
        <f t="shared" si="4"/>
        <v>0</v>
      </c>
      <c r="O12" s="85">
        <f t="shared" si="5"/>
        <v>11</v>
      </c>
      <c r="P12" s="823" t="s">
        <v>56</v>
      </c>
    </row>
    <row r="13" spans="1:16" x14ac:dyDescent="0.2">
      <c r="A13" s="1073" t="str">
        <f>"Anfangsbestand des Eigenkapitals in "&amp;E5&amp;":"</f>
        <v>Anfangsbestand des Eigenkapitals in 2019:</v>
      </c>
      <c r="B13" s="1074">
        <f>B11+B12</f>
        <v>112000</v>
      </c>
      <c r="G13" s="92">
        <f t="shared" si="0"/>
        <v>12</v>
      </c>
      <c r="H13" s="1029">
        <f t="shared" si="6"/>
        <v>43477</v>
      </c>
      <c r="I13" s="85">
        <f t="shared" si="1"/>
        <v>6</v>
      </c>
      <c r="J13" s="85" t="str">
        <f t="shared" si="2"/>
        <v>Samstag</v>
      </c>
      <c r="K13" s="92">
        <f t="shared" si="3"/>
        <v>0</v>
      </c>
      <c r="L13" s="92">
        <f t="shared" si="4"/>
        <v>1</v>
      </c>
      <c r="O13" s="85">
        <f t="shared" si="5"/>
        <v>12</v>
      </c>
      <c r="P13" s="823" t="s">
        <v>57</v>
      </c>
    </row>
    <row r="14" spans="1:16" x14ac:dyDescent="0.2">
      <c r="A14" s="1073"/>
      <c r="B14" s="1074"/>
      <c r="G14" s="92">
        <f t="shared" si="0"/>
        <v>13</v>
      </c>
      <c r="H14" s="1029">
        <f t="shared" si="6"/>
        <v>43478</v>
      </c>
      <c r="I14" s="85">
        <f t="shared" si="1"/>
        <v>7</v>
      </c>
      <c r="J14" s="85" t="str">
        <f t="shared" si="2"/>
        <v>Sonntag</v>
      </c>
      <c r="K14" s="92">
        <f t="shared" si="3"/>
        <v>0</v>
      </c>
      <c r="L14" s="92">
        <f t="shared" si="4"/>
        <v>1</v>
      </c>
      <c r="O14" s="85">
        <f>O13+1</f>
        <v>13</v>
      </c>
      <c r="P14" s="823" t="s">
        <v>38</v>
      </c>
    </row>
    <row r="15" spans="1:16" x14ac:dyDescent="0.2">
      <c r="A15" s="142" t="s">
        <v>58</v>
      </c>
      <c r="B15" s="1074"/>
      <c r="G15" s="92">
        <f t="shared" si="0"/>
        <v>14</v>
      </c>
      <c r="H15" s="1029">
        <f t="shared" si="6"/>
        <v>43479</v>
      </c>
      <c r="I15" s="85">
        <f t="shared" si="1"/>
        <v>1</v>
      </c>
      <c r="J15" s="85" t="str">
        <f t="shared" si="2"/>
        <v>Montag</v>
      </c>
      <c r="K15" s="92">
        <f t="shared" si="3"/>
        <v>1</v>
      </c>
      <c r="L15" s="92">
        <f t="shared" si="4"/>
        <v>0</v>
      </c>
      <c r="O15" s="85">
        <f t="shared" ref="O15:O25" si="7">O14+1</f>
        <v>14</v>
      </c>
      <c r="P15" s="823" t="s">
        <v>40</v>
      </c>
    </row>
    <row r="16" spans="1:16" x14ac:dyDescent="0.2">
      <c r="A16" s="1073" t="s">
        <v>59</v>
      </c>
      <c r="B16" s="1076">
        <v>-15000</v>
      </c>
      <c r="D16" s="1347" t="s">
        <v>60</v>
      </c>
      <c r="E16" s="1348"/>
      <c r="G16" s="92">
        <f t="shared" si="0"/>
        <v>15</v>
      </c>
      <c r="H16" s="1029">
        <f t="shared" si="6"/>
        <v>43480</v>
      </c>
      <c r="I16" s="85">
        <f t="shared" si="1"/>
        <v>2</v>
      </c>
      <c r="J16" s="85" t="str">
        <f t="shared" si="2"/>
        <v>Dienstag</v>
      </c>
      <c r="K16" s="92">
        <f t="shared" si="3"/>
        <v>1</v>
      </c>
      <c r="L16" s="92">
        <f t="shared" si="4"/>
        <v>0</v>
      </c>
      <c r="O16" s="85">
        <f t="shared" si="7"/>
        <v>15</v>
      </c>
      <c r="P16" s="823" t="s">
        <v>43</v>
      </c>
    </row>
    <row r="17" spans="1:16" x14ac:dyDescent="0.2">
      <c r="A17" s="1073"/>
      <c r="B17" s="1074"/>
      <c r="D17" s="823" t="s">
        <v>61</v>
      </c>
      <c r="E17" s="85">
        <f>G368</f>
        <v>365</v>
      </c>
      <c r="G17" s="92">
        <f t="shared" si="0"/>
        <v>16</v>
      </c>
      <c r="H17" s="1029">
        <f t="shared" si="6"/>
        <v>43481</v>
      </c>
      <c r="I17" s="85">
        <f t="shared" si="1"/>
        <v>3</v>
      </c>
      <c r="J17" s="85" t="str">
        <f t="shared" si="2"/>
        <v>Mittwoch</v>
      </c>
      <c r="K17" s="92">
        <f t="shared" si="3"/>
        <v>1</v>
      </c>
      <c r="L17" s="92">
        <f t="shared" si="4"/>
        <v>0</v>
      </c>
      <c r="O17" s="85">
        <f t="shared" si="7"/>
        <v>16</v>
      </c>
      <c r="P17" s="823" t="s">
        <v>45</v>
      </c>
    </row>
    <row r="18" spans="1:16" x14ac:dyDescent="0.2">
      <c r="A18" s="142" t="s">
        <v>62</v>
      </c>
      <c r="B18" s="1074"/>
      <c r="D18" s="823" t="s">
        <v>63</v>
      </c>
      <c r="E18" s="85">
        <f>L368</f>
        <v>104</v>
      </c>
      <c r="G18" s="92">
        <f t="shared" si="0"/>
        <v>17</v>
      </c>
      <c r="H18" s="1029">
        <f t="shared" si="6"/>
        <v>43482</v>
      </c>
      <c r="I18" s="85">
        <f t="shared" si="1"/>
        <v>4</v>
      </c>
      <c r="J18" s="85" t="str">
        <f t="shared" si="2"/>
        <v>Donnerstag</v>
      </c>
      <c r="K18" s="92">
        <f t="shared" si="3"/>
        <v>1</v>
      </c>
      <c r="L18" s="92">
        <f t="shared" si="4"/>
        <v>0</v>
      </c>
      <c r="O18" s="85">
        <f t="shared" si="7"/>
        <v>17</v>
      </c>
      <c r="P18" s="823" t="s">
        <v>47</v>
      </c>
    </row>
    <row r="19" spans="1:16" x14ac:dyDescent="0.2">
      <c r="A19" s="1073" t="s">
        <v>64</v>
      </c>
      <c r="B19" s="1110">
        <v>0.3</v>
      </c>
      <c r="D19" s="823" t="s">
        <v>65</v>
      </c>
      <c r="E19" s="85">
        <f>K368</f>
        <v>261</v>
      </c>
      <c r="G19" s="92">
        <f t="shared" si="0"/>
        <v>18</v>
      </c>
      <c r="H19" s="1029">
        <f t="shared" si="6"/>
        <v>43483</v>
      </c>
      <c r="I19" s="85">
        <f t="shared" si="1"/>
        <v>5</v>
      </c>
      <c r="J19" s="85" t="str">
        <f t="shared" si="2"/>
        <v>Freitag</v>
      </c>
      <c r="K19" s="92">
        <f t="shared" si="3"/>
        <v>1</v>
      </c>
      <c r="L19" s="92">
        <f t="shared" si="4"/>
        <v>0</v>
      </c>
      <c r="O19" s="85">
        <f t="shared" si="7"/>
        <v>18</v>
      </c>
      <c r="P19" s="823" t="s">
        <v>49</v>
      </c>
    </row>
    <row r="20" spans="1:16" x14ac:dyDescent="0.2">
      <c r="A20" s="1073" t="s">
        <v>66</v>
      </c>
      <c r="B20" s="1110">
        <v>0.3</v>
      </c>
      <c r="G20" s="92">
        <f t="shared" si="0"/>
        <v>19</v>
      </c>
      <c r="H20" s="1029">
        <f t="shared" si="6"/>
        <v>43484</v>
      </c>
      <c r="I20" s="85">
        <f t="shared" si="1"/>
        <v>6</v>
      </c>
      <c r="J20" s="85" t="str">
        <f t="shared" si="2"/>
        <v>Samstag</v>
      </c>
      <c r="K20" s="92">
        <f t="shared" si="3"/>
        <v>0</v>
      </c>
      <c r="L20" s="92">
        <f t="shared" si="4"/>
        <v>1</v>
      </c>
      <c r="O20" s="85">
        <f t="shared" si="7"/>
        <v>19</v>
      </c>
      <c r="P20" s="823" t="s">
        <v>51</v>
      </c>
    </row>
    <row r="21" spans="1:16" x14ac:dyDescent="0.2">
      <c r="A21" s="1073" t="s">
        <v>67</v>
      </c>
      <c r="B21" s="1110">
        <v>0.3</v>
      </c>
      <c r="G21" s="92">
        <f t="shared" si="0"/>
        <v>20</v>
      </c>
      <c r="H21" s="1029">
        <f t="shared" si="6"/>
        <v>43485</v>
      </c>
      <c r="I21" s="85">
        <f t="shared" si="1"/>
        <v>7</v>
      </c>
      <c r="J21" s="85" t="str">
        <f t="shared" si="2"/>
        <v>Sonntag</v>
      </c>
      <c r="K21" s="92">
        <f t="shared" si="3"/>
        <v>0</v>
      </c>
      <c r="L21" s="92">
        <f t="shared" si="4"/>
        <v>1</v>
      </c>
      <c r="O21" s="85">
        <f t="shared" si="7"/>
        <v>20</v>
      </c>
      <c r="P21" s="823" t="s">
        <v>52</v>
      </c>
    </row>
    <row r="22" spans="1:16" x14ac:dyDescent="0.2">
      <c r="A22" s="1073"/>
      <c r="B22" s="1074"/>
      <c r="G22" s="92">
        <f t="shared" si="0"/>
        <v>21</v>
      </c>
      <c r="H22" s="1029">
        <f t="shared" si="6"/>
        <v>43486</v>
      </c>
      <c r="I22" s="85">
        <f t="shared" si="1"/>
        <v>1</v>
      </c>
      <c r="J22" s="85" t="str">
        <f t="shared" si="2"/>
        <v>Montag</v>
      </c>
      <c r="K22" s="92">
        <f t="shared" si="3"/>
        <v>1</v>
      </c>
      <c r="L22" s="92">
        <f t="shared" si="4"/>
        <v>0</v>
      </c>
      <c r="O22" s="85">
        <f t="shared" si="7"/>
        <v>21</v>
      </c>
      <c r="P22" s="823" t="s">
        <v>54</v>
      </c>
    </row>
    <row r="23" spans="1:16" x14ac:dyDescent="0.2">
      <c r="A23" s="90" t="s">
        <v>68</v>
      </c>
      <c r="G23" s="92">
        <f t="shared" si="0"/>
        <v>22</v>
      </c>
      <c r="H23" s="1029">
        <f t="shared" si="6"/>
        <v>43487</v>
      </c>
      <c r="I23" s="85">
        <f t="shared" si="1"/>
        <v>2</v>
      </c>
      <c r="J23" s="85" t="str">
        <f t="shared" si="2"/>
        <v>Dienstag</v>
      </c>
      <c r="K23" s="92">
        <f t="shared" si="3"/>
        <v>1</v>
      </c>
      <c r="L23" s="92">
        <f t="shared" si="4"/>
        <v>0</v>
      </c>
      <c r="O23" s="85">
        <f t="shared" si="7"/>
        <v>22</v>
      </c>
      <c r="P23" s="823" t="s">
        <v>55</v>
      </c>
    </row>
    <row r="24" spans="1:16" x14ac:dyDescent="0.2">
      <c r="A24" s="855">
        <v>14.09</v>
      </c>
      <c r="G24" s="92">
        <f t="shared" si="0"/>
        <v>23</v>
      </c>
      <c r="H24" s="1029">
        <f t="shared" si="6"/>
        <v>43488</v>
      </c>
      <c r="I24" s="85">
        <f t="shared" si="1"/>
        <v>3</v>
      </c>
      <c r="J24" s="85" t="str">
        <f t="shared" si="2"/>
        <v>Mittwoch</v>
      </c>
      <c r="K24" s="92">
        <f t="shared" si="3"/>
        <v>1</v>
      </c>
      <c r="L24" s="92">
        <f t="shared" si="4"/>
        <v>0</v>
      </c>
      <c r="O24" s="85">
        <f t="shared" si="7"/>
        <v>23</v>
      </c>
      <c r="P24" s="823" t="s">
        <v>56</v>
      </c>
    </row>
    <row r="25" spans="1:16" x14ac:dyDescent="0.2">
      <c r="A25" s="856">
        <v>20</v>
      </c>
      <c r="G25" s="92">
        <f t="shared" si="0"/>
        <v>24</v>
      </c>
      <c r="H25" s="1029">
        <f t="shared" si="6"/>
        <v>43489</v>
      </c>
      <c r="I25" s="85">
        <f t="shared" si="1"/>
        <v>4</v>
      </c>
      <c r="J25" s="85" t="str">
        <f t="shared" si="2"/>
        <v>Donnerstag</v>
      </c>
      <c r="K25" s="92">
        <f t="shared" si="3"/>
        <v>1</v>
      </c>
      <c r="L25" s="92">
        <f t="shared" si="4"/>
        <v>0</v>
      </c>
      <c r="O25" s="85">
        <f t="shared" si="7"/>
        <v>24</v>
      </c>
      <c r="P25" s="823" t="s">
        <v>57</v>
      </c>
    </row>
    <row r="26" spans="1:16" x14ac:dyDescent="0.2">
      <c r="A26" s="857">
        <v>25</v>
      </c>
      <c r="G26" s="92">
        <f t="shared" si="0"/>
        <v>25</v>
      </c>
      <c r="H26" s="1029">
        <f t="shared" si="6"/>
        <v>43490</v>
      </c>
      <c r="I26" s="85">
        <f t="shared" si="1"/>
        <v>5</v>
      </c>
      <c r="J26" s="85" t="str">
        <f t="shared" si="2"/>
        <v>Freitag</v>
      </c>
      <c r="K26" s="92">
        <f t="shared" si="3"/>
        <v>1</v>
      </c>
      <c r="L26" s="92">
        <f t="shared" si="4"/>
        <v>0</v>
      </c>
    </row>
    <row r="27" spans="1:16" x14ac:dyDescent="0.2">
      <c r="A27" s="858">
        <v>33</v>
      </c>
      <c r="G27" s="92">
        <f t="shared" si="0"/>
        <v>26</v>
      </c>
      <c r="H27" s="1029">
        <f t="shared" si="6"/>
        <v>43491</v>
      </c>
      <c r="I27" s="85">
        <f t="shared" si="1"/>
        <v>6</v>
      </c>
      <c r="J27" s="85" t="str">
        <f t="shared" si="2"/>
        <v>Samstag</v>
      </c>
      <c r="K27" s="92">
        <f t="shared" si="3"/>
        <v>0</v>
      </c>
      <c r="L27" s="92">
        <f t="shared" si="4"/>
        <v>1</v>
      </c>
    </row>
    <row r="28" spans="1:16" x14ac:dyDescent="0.2">
      <c r="G28" s="92">
        <f t="shared" si="0"/>
        <v>27</v>
      </c>
      <c r="H28" s="1029">
        <f t="shared" si="6"/>
        <v>43492</v>
      </c>
      <c r="I28" s="85">
        <f t="shared" si="1"/>
        <v>7</v>
      </c>
      <c r="J28" s="85" t="str">
        <f t="shared" si="2"/>
        <v>Sonntag</v>
      </c>
      <c r="K28" s="92">
        <f t="shared" si="3"/>
        <v>0</v>
      </c>
      <c r="L28" s="92">
        <f t="shared" si="4"/>
        <v>1</v>
      </c>
    </row>
    <row r="29" spans="1:16" x14ac:dyDescent="0.2">
      <c r="A29" s="90" t="s">
        <v>69</v>
      </c>
      <c r="G29" s="92">
        <f t="shared" si="0"/>
        <v>28</v>
      </c>
      <c r="H29" s="1029">
        <f t="shared" si="6"/>
        <v>43493</v>
      </c>
      <c r="I29" s="85">
        <f t="shared" si="1"/>
        <v>1</v>
      </c>
      <c r="J29" s="85" t="str">
        <f t="shared" si="2"/>
        <v>Montag</v>
      </c>
      <c r="K29" s="92">
        <f t="shared" si="3"/>
        <v>1</v>
      </c>
      <c r="L29" s="92">
        <f t="shared" si="4"/>
        <v>0</v>
      </c>
    </row>
    <row r="30" spans="1:16" x14ac:dyDescent="0.2">
      <c r="A30" s="89" t="s">
        <v>70</v>
      </c>
      <c r="B30" s="823">
        <f>G368</f>
        <v>365</v>
      </c>
      <c r="G30" s="92">
        <f t="shared" si="0"/>
        <v>29</v>
      </c>
      <c r="H30" s="1029">
        <f t="shared" si="6"/>
        <v>43494</v>
      </c>
      <c r="I30" s="85">
        <f t="shared" si="1"/>
        <v>2</v>
      </c>
      <c r="J30" s="85" t="str">
        <f t="shared" si="2"/>
        <v>Dienstag</v>
      </c>
      <c r="K30" s="92">
        <f t="shared" si="3"/>
        <v>1</v>
      </c>
      <c r="L30" s="92">
        <f t="shared" si="4"/>
        <v>0</v>
      </c>
    </row>
    <row r="31" spans="1:16" x14ac:dyDescent="0.2">
      <c r="A31" s="89" t="s">
        <v>71</v>
      </c>
      <c r="B31" s="1075">
        <f>E18</f>
        <v>104</v>
      </c>
      <c r="G31" s="92">
        <f t="shared" si="0"/>
        <v>30</v>
      </c>
      <c r="H31" s="1029">
        <f t="shared" si="6"/>
        <v>43495</v>
      </c>
      <c r="I31" s="85">
        <f t="shared" si="1"/>
        <v>3</v>
      </c>
      <c r="J31" s="85" t="str">
        <f t="shared" si="2"/>
        <v>Mittwoch</v>
      </c>
      <c r="K31" s="92">
        <f t="shared" si="3"/>
        <v>1</v>
      </c>
      <c r="L31" s="92">
        <f t="shared" si="4"/>
        <v>0</v>
      </c>
    </row>
    <row r="32" spans="1:16" x14ac:dyDescent="0.2">
      <c r="A32" s="854" t="s">
        <v>72</v>
      </c>
      <c r="B32" s="1075">
        <f>B30-B31</f>
        <v>261</v>
      </c>
      <c r="G32" s="92">
        <f t="shared" si="0"/>
        <v>31</v>
      </c>
      <c r="H32" s="1029">
        <f t="shared" si="6"/>
        <v>43496</v>
      </c>
      <c r="I32" s="85">
        <f t="shared" si="1"/>
        <v>4</v>
      </c>
      <c r="J32" s="85" t="str">
        <f t="shared" si="2"/>
        <v>Donnerstag</v>
      </c>
      <c r="K32" s="92">
        <f t="shared" si="3"/>
        <v>1</v>
      </c>
      <c r="L32" s="92">
        <f t="shared" si="4"/>
        <v>0</v>
      </c>
    </row>
    <row r="33" spans="1:12" x14ac:dyDescent="0.2">
      <c r="A33" s="89" t="s">
        <v>73</v>
      </c>
      <c r="B33" s="1075">
        <v>40</v>
      </c>
      <c r="G33" s="92">
        <f t="shared" si="0"/>
        <v>32</v>
      </c>
      <c r="H33" s="1029">
        <f t="shared" si="6"/>
        <v>43497</v>
      </c>
      <c r="I33" s="85">
        <f t="shared" si="1"/>
        <v>5</v>
      </c>
      <c r="J33" s="85" t="str">
        <f t="shared" si="2"/>
        <v>Freitag</v>
      </c>
      <c r="K33" s="92">
        <f t="shared" si="3"/>
        <v>1</v>
      </c>
      <c r="L33" s="92">
        <f t="shared" si="4"/>
        <v>0</v>
      </c>
    </row>
    <row r="34" spans="1:12" x14ac:dyDescent="0.2">
      <c r="A34" s="89" t="s">
        <v>74</v>
      </c>
      <c r="B34" s="1078">
        <f>B33/5</f>
        <v>8</v>
      </c>
      <c r="G34" s="92">
        <f t="shared" si="0"/>
        <v>33</v>
      </c>
      <c r="H34" s="1029">
        <f t="shared" si="6"/>
        <v>43498</v>
      </c>
      <c r="I34" s="85">
        <f t="shared" si="1"/>
        <v>6</v>
      </c>
      <c r="J34" s="85" t="str">
        <f t="shared" si="2"/>
        <v>Samstag</v>
      </c>
      <c r="K34" s="92">
        <f t="shared" si="3"/>
        <v>0</v>
      </c>
      <c r="L34" s="92">
        <f t="shared" si="4"/>
        <v>1</v>
      </c>
    </row>
    <row r="35" spans="1:12" x14ac:dyDescent="0.2">
      <c r="A35" s="89" t="s">
        <v>75</v>
      </c>
      <c r="B35" s="133">
        <f>B34*B32</f>
        <v>2088</v>
      </c>
      <c r="G35" s="92">
        <f t="shared" si="0"/>
        <v>34</v>
      </c>
      <c r="H35" s="1029">
        <f t="shared" si="6"/>
        <v>43499</v>
      </c>
      <c r="I35" s="85">
        <f t="shared" si="1"/>
        <v>7</v>
      </c>
      <c r="J35" s="85" t="str">
        <f t="shared" si="2"/>
        <v>Sonntag</v>
      </c>
      <c r="K35" s="92">
        <f t="shared" si="3"/>
        <v>0</v>
      </c>
      <c r="L35" s="92">
        <f t="shared" si="4"/>
        <v>1</v>
      </c>
    </row>
    <row r="36" spans="1:12" x14ac:dyDescent="0.2">
      <c r="G36" s="92">
        <f t="shared" si="0"/>
        <v>35</v>
      </c>
      <c r="H36" s="1029">
        <f t="shared" si="6"/>
        <v>43500</v>
      </c>
      <c r="I36" s="85">
        <f t="shared" si="1"/>
        <v>1</v>
      </c>
      <c r="J36" s="85" t="str">
        <f t="shared" si="2"/>
        <v>Montag</v>
      </c>
      <c r="K36" s="92">
        <f t="shared" si="3"/>
        <v>1</v>
      </c>
      <c r="L36" s="92">
        <f t="shared" si="4"/>
        <v>0</v>
      </c>
    </row>
    <row r="37" spans="1:12" x14ac:dyDescent="0.2">
      <c r="A37" s="90" t="s">
        <v>76</v>
      </c>
      <c r="G37" s="92">
        <f t="shared" si="0"/>
        <v>36</v>
      </c>
      <c r="H37" s="1029">
        <f t="shared" si="6"/>
        <v>43501</v>
      </c>
      <c r="I37" s="85">
        <f t="shared" si="1"/>
        <v>2</v>
      </c>
      <c r="J37" s="85" t="str">
        <f t="shared" si="2"/>
        <v>Dienstag</v>
      </c>
      <c r="K37" s="92">
        <f t="shared" si="3"/>
        <v>1</v>
      </c>
      <c r="L37" s="92">
        <f t="shared" si="4"/>
        <v>0</v>
      </c>
    </row>
    <row r="38" spans="1:12" x14ac:dyDescent="0.2">
      <c r="A38" s="823" t="s">
        <v>77</v>
      </c>
      <c r="B38" s="1077">
        <v>2.8</v>
      </c>
      <c r="G38" s="92">
        <f t="shared" si="0"/>
        <v>37</v>
      </c>
      <c r="H38" s="1029">
        <f t="shared" si="6"/>
        <v>43502</v>
      </c>
      <c r="I38" s="85">
        <f t="shared" si="1"/>
        <v>3</v>
      </c>
      <c r="J38" s="85" t="str">
        <f t="shared" si="2"/>
        <v>Mittwoch</v>
      </c>
      <c r="K38" s="92">
        <f t="shared" si="3"/>
        <v>1</v>
      </c>
      <c r="L38" s="92">
        <f t="shared" si="4"/>
        <v>0</v>
      </c>
    </row>
    <row r="39" spans="1:12" x14ac:dyDescent="0.2">
      <c r="A39" s="823" t="s">
        <v>78</v>
      </c>
      <c r="B39" s="1077">
        <v>8</v>
      </c>
      <c r="G39" s="92">
        <f t="shared" si="0"/>
        <v>38</v>
      </c>
      <c r="H39" s="1029">
        <f t="shared" si="6"/>
        <v>43503</v>
      </c>
      <c r="I39" s="85">
        <f t="shared" si="1"/>
        <v>4</v>
      </c>
      <c r="J39" s="85" t="str">
        <f t="shared" si="2"/>
        <v>Donnerstag</v>
      </c>
      <c r="K39" s="92">
        <f t="shared" si="3"/>
        <v>1</v>
      </c>
      <c r="L39" s="92">
        <f t="shared" si="4"/>
        <v>0</v>
      </c>
    </row>
    <row r="40" spans="1:12" x14ac:dyDescent="0.2">
      <c r="A40" s="823" t="s">
        <v>79</v>
      </c>
      <c r="B40" s="1077">
        <v>1.4</v>
      </c>
      <c r="G40" s="92">
        <f t="shared" si="0"/>
        <v>39</v>
      </c>
      <c r="H40" s="1029">
        <f t="shared" si="6"/>
        <v>43504</v>
      </c>
      <c r="I40" s="85">
        <f t="shared" si="1"/>
        <v>5</v>
      </c>
      <c r="J40" s="85" t="str">
        <f t="shared" si="2"/>
        <v>Freitag</v>
      </c>
      <c r="K40" s="92">
        <f t="shared" si="3"/>
        <v>1</v>
      </c>
      <c r="L40" s="92">
        <f t="shared" si="4"/>
        <v>0</v>
      </c>
    </row>
    <row r="41" spans="1:12" x14ac:dyDescent="0.2">
      <c r="A41" s="823" t="s">
        <v>80</v>
      </c>
      <c r="B41" s="1077">
        <v>0.25</v>
      </c>
      <c r="G41" s="92">
        <f t="shared" si="0"/>
        <v>40</v>
      </c>
      <c r="H41" s="1029">
        <f t="shared" si="6"/>
        <v>43505</v>
      </c>
      <c r="I41" s="85">
        <f t="shared" si="1"/>
        <v>6</v>
      </c>
      <c r="J41" s="85" t="str">
        <f t="shared" si="2"/>
        <v>Samstag</v>
      </c>
      <c r="K41" s="92">
        <f t="shared" si="3"/>
        <v>0</v>
      </c>
      <c r="L41" s="92">
        <f t="shared" si="4"/>
        <v>1</v>
      </c>
    </row>
    <row r="42" spans="1:12" ht="15" x14ac:dyDescent="0.25">
      <c r="A42" s="1027"/>
      <c r="B42" s="1056">
        <f>SUM(B38:B41)</f>
        <v>12.450000000000001</v>
      </c>
      <c r="G42" s="92">
        <f t="shared" si="0"/>
        <v>41</v>
      </c>
      <c r="H42" s="1029">
        <f t="shared" si="6"/>
        <v>43506</v>
      </c>
      <c r="I42" s="85">
        <f t="shared" si="1"/>
        <v>7</v>
      </c>
      <c r="J42" s="85" t="str">
        <f t="shared" si="2"/>
        <v>Sonntag</v>
      </c>
      <c r="K42" s="92">
        <f t="shared" si="3"/>
        <v>0</v>
      </c>
      <c r="L42" s="92">
        <f t="shared" si="4"/>
        <v>1</v>
      </c>
    </row>
    <row r="43" spans="1:12" x14ac:dyDescent="0.2">
      <c r="G43" s="92">
        <f t="shared" si="0"/>
        <v>42</v>
      </c>
      <c r="H43" s="1029">
        <f t="shared" si="6"/>
        <v>43507</v>
      </c>
      <c r="I43" s="85">
        <f t="shared" si="1"/>
        <v>1</v>
      </c>
      <c r="J43" s="85" t="str">
        <f t="shared" si="2"/>
        <v>Montag</v>
      </c>
      <c r="K43" s="92">
        <f t="shared" si="3"/>
        <v>1</v>
      </c>
      <c r="L43" s="92">
        <f t="shared" si="4"/>
        <v>0</v>
      </c>
    </row>
    <row r="44" spans="1:12" x14ac:dyDescent="0.2">
      <c r="G44" s="92">
        <f t="shared" si="0"/>
        <v>43</v>
      </c>
      <c r="H44" s="1029">
        <f t="shared" si="6"/>
        <v>43508</v>
      </c>
      <c r="I44" s="85">
        <f t="shared" si="1"/>
        <v>2</v>
      </c>
      <c r="J44" s="85" t="str">
        <f t="shared" si="2"/>
        <v>Dienstag</v>
      </c>
      <c r="K44" s="92">
        <f t="shared" si="3"/>
        <v>1</v>
      </c>
      <c r="L44" s="92">
        <f t="shared" si="4"/>
        <v>0</v>
      </c>
    </row>
    <row r="45" spans="1:12" x14ac:dyDescent="0.2">
      <c r="G45" s="92">
        <f t="shared" si="0"/>
        <v>44</v>
      </c>
      <c r="H45" s="1029">
        <f t="shared" si="6"/>
        <v>43509</v>
      </c>
      <c r="I45" s="85">
        <f t="shared" si="1"/>
        <v>3</v>
      </c>
      <c r="J45" s="85" t="str">
        <f t="shared" si="2"/>
        <v>Mittwoch</v>
      </c>
      <c r="K45" s="92">
        <f t="shared" si="3"/>
        <v>1</v>
      </c>
      <c r="L45" s="92">
        <f t="shared" si="4"/>
        <v>0</v>
      </c>
    </row>
    <row r="46" spans="1:12" x14ac:dyDescent="0.2">
      <c r="G46" s="92">
        <f t="shared" si="0"/>
        <v>45</v>
      </c>
      <c r="H46" s="1029">
        <f t="shared" si="6"/>
        <v>43510</v>
      </c>
      <c r="I46" s="85">
        <f t="shared" si="1"/>
        <v>4</v>
      </c>
      <c r="J46" s="85" t="str">
        <f t="shared" si="2"/>
        <v>Donnerstag</v>
      </c>
      <c r="K46" s="92">
        <f t="shared" si="3"/>
        <v>1</v>
      </c>
      <c r="L46" s="92">
        <f t="shared" si="4"/>
        <v>0</v>
      </c>
    </row>
    <row r="47" spans="1:12" x14ac:dyDescent="0.2">
      <c r="G47" s="92">
        <f t="shared" si="0"/>
        <v>46</v>
      </c>
      <c r="H47" s="1029">
        <f t="shared" si="6"/>
        <v>43511</v>
      </c>
      <c r="I47" s="85">
        <f t="shared" si="1"/>
        <v>5</v>
      </c>
      <c r="J47" s="85" t="str">
        <f t="shared" si="2"/>
        <v>Freitag</v>
      </c>
      <c r="K47" s="92">
        <f t="shared" si="3"/>
        <v>1</v>
      </c>
      <c r="L47" s="92">
        <f t="shared" si="4"/>
        <v>0</v>
      </c>
    </row>
    <row r="48" spans="1:12" x14ac:dyDescent="0.2">
      <c r="G48" s="92">
        <f t="shared" si="0"/>
        <v>47</v>
      </c>
      <c r="H48" s="1029">
        <f t="shared" si="6"/>
        <v>43512</v>
      </c>
      <c r="I48" s="85">
        <f t="shared" si="1"/>
        <v>6</v>
      </c>
      <c r="J48" s="85" t="str">
        <f t="shared" si="2"/>
        <v>Samstag</v>
      </c>
      <c r="K48" s="92">
        <f t="shared" si="3"/>
        <v>0</v>
      </c>
      <c r="L48" s="92">
        <f t="shared" si="4"/>
        <v>1</v>
      </c>
    </row>
    <row r="49" spans="7:12" x14ac:dyDescent="0.2">
      <c r="G49" s="92">
        <f t="shared" si="0"/>
        <v>48</v>
      </c>
      <c r="H49" s="1029">
        <f t="shared" si="6"/>
        <v>43513</v>
      </c>
      <c r="I49" s="85">
        <f t="shared" si="1"/>
        <v>7</v>
      </c>
      <c r="J49" s="85" t="str">
        <f t="shared" si="2"/>
        <v>Sonntag</v>
      </c>
      <c r="K49" s="92">
        <f t="shared" si="3"/>
        <v>0</v>
      </c>
      <c r="L49" s="92">
        <f t="shared" si="4"/>
        <v>1</v>
      </c>
    </row>
    <row r="50" spans="7:12" x14ac:dyDescent="0.2">
      <c r="G50" s="92">
        <f t="shared" si="0"/>
        <v>49</v>
      </c>
      <c r="H50" s="1029">
        <f t="shared" si="6"/>
        <v>43514</v>
      </c>
      <c r="I50" s="85">
        <f t="shared" si="1"/>
        <v>1</v>
      </c>
      <c r="J50" s="85" t="str">
        <f t="shared" si="2"/>
        <v>Montag</v>
      </c>
      <c r="K50" s="92">
        <f t="shared" si="3"/>
        <v>1</v>
      </c>
      <c r="L50" s="92">
        <f t="shared" si="4"/>
        <v>0</v>
      </c>
    </row>
    <row r="51" spans="7:12" x14ac:dyDescent="0.2">
      <c r="G51" s="92">
        <f t="shared" si="0"/>
        <v>50</v>
      </c>
      <c r="H51" s="1029">
        <f t="shared" si="6"/>
        <v>43515</v>
      </c>
      <c r="I51" s="85">
        <f t="shared" si="1"/>
        <v>2</v>
      </c>
      <c r="J51" s="85" t="str">
        <f t="shared" si="2"/>
        <v>Dienstag</v>
      </c>
      <c r="K51" s="92">
        <f t="shared" si="3"/>
        <v>1</v>
      </c>
      <c r="L51" s="92">
        <f t="shared" si="4"/>
        <v>0</v>
      </c>
    </row>
    <row r="52" spans="7:12" x14ac:dyDescent="0.2">
      <c r="G52" s="92">
        <f t="shared" si="0"/>
        <v>51</v>
      </c>
      <c r="H52" s="1029">
        <f t="shared" si="6"/>
        <v>43516</v>
      </c>
      <c r="I52" s="85">
        <f t="shared" si="1"/>
        <v>3</v>
      </c>
      <c r="J52" s="85" t="str">
        <f t="shared" si="2"/>
        <v>Mittwoch</v>
      </c>
      <c r="K52" s="92">
        <f t="shared" si="3"/>
        <v>1</v>
      </c>
      <c r="L52" s="92">
        <f t="shared" si="4"/>
        <v>0</v>
      </c>
    </row>
    <row r="53" spans="7:12" x14ac:dyDescent="0.2">
      <c r="G53" s="92">
        <f t="shared" si="0"/>
        <v>52</v>
      </c>
      <c r="H53" s="1029">
        <f t="shared" si="6"/>
        <v>43517</v>
      </c>
      <c r="I53" s="85">
        <f t="shared" si="1"/>
        <v>4</v>
      </c>
      <c r="J53" s="85" t="str">
        <f t="shared" si="2"/>
        <v>Donnerstag</v>
      </c>
      <c r="K53" s="92">
        <f t="shared" si="3"/>
        <v>1</v>
      </c>
      <c r="L53" s="92">
        <f t="shared" si="4"/>
        <v>0</v>
      </c>
    </row>
    <row r="54" spans="7:12" x14ac:dyDescent="0.2">
      <c r="G54" s="92">
        <f t="shared" si="0"/>
        <v>53</v>
      </c>
      <c r="H54" s="1029">
        <f t="shared" si="6"/>
        <v>43518</v>
      </c>
      <c r="I54" s="85">
        <f t="shared" si="1"/>
        <v>5</v>
      </c>
      <c r="J54" s="85" t="str">
        <f t="shared" si="2"/>
        <v>Freitag</v>
      </c>
      <c r="K54" s="92">
        <f t="shared" si="3"/>
        <v>1</v>
      </c>
      <c r="L54" s="92">
        <f t="shared" si="4"/>
        <v>0</v>
      </c>
    </row>
    <row r="55" spans="7:12" x14ac:dyDescent="0.2">
      <c r="G55" s="92">
        <f t="shared" si="0"/>
        <v>54</v>
      </c>
      <c r="H55" s="1029">
        <f t="shared" si="6"/>
        <v>43519</v>
      </c>
      <c r="I55" s="85">
        <f t="shared" si="1"/>
        <v>6</v>
      </c>
      <c r="J55" s="85" t="str">
        <f t="shared" si="2"/>
        <v>Samstag</v>
      </c>
      <c r="K55" s="92">
        <f t="shared" si="3"/>
        <v>0</v>
      </c>
      <c r="L55" s="92">
        <f t="shared" si="4"/>
        <v>1</v>
      </c>
    </row>
    <row r="56" spans="7:12" x14ac:dyDescent="0.2">
      <c r="G56" s="92">
        <f t="shared" si="0"/>
        <v>55</v>
      </c>
      <c r="H56" s="1029">
        <f t="shared" si="6"/>
        <v>43520</v>
      </c>
      <c r="I56" s="85">
        <f t="shared" si="1"/>
        <v>7</v>
      </c>
      <c r="J56" s="85" t="str">
        <f t="shared" si="2"/>
        <v>Sonntag</v>
      </c>
      <c r="K56" s="92">
        <f t="shared" si="3"/>
        <v>0</v>
      </c>
      <c r="L56" s="92">
        <f t="shared" si="4"/>
        <v>1</v>
      </c>
    </row>
    <row r="57" spans="7:12" x14ac:dyDescent="0.2">
      <c r="G57" s="92">
        <f t="shared" si="0"/>
        <v>56</v>
      </c>
      <c r="H57" s="1029">
        <f t="shared" si="6"/>
        <v>43521</v>
      </c>
      <c r="I57" s="85">
        <f t="shared" si="1"/>
        <v>1</v>
      </c>
      <c r="J57" s="85" t="str">
        <f t="shared" si="2"/>
        <v>Montag</v>
      </c>
      <c r="K57" s="92">
        <f t="shared" si="3"/>
        <v>1</v>
      </c>
      <c r="L57" s="92">
        <f t="shared" si="4"/>
        <v>0</v>
      </c>
    </row>
    <row r="58" spans="7:12" x14ac:dyDescent="0.2">
      <c r="G58" s="92">
        <f t="shared" si="0"/>
        <v>57</v>
      </c>
      <c r="H58" s="1029">
        <f t="shared" si="6"/>
        <v>43522</v>
      </c>
      <c r="I58" s="85">
        <f t="shared" si="1"/>
        <v>2</v>
      </c>
      <c r="J58" s="85" t="str">
        <f t="shared" si="2"/>
        <v>Dienstag</v>
      </c>
      <c r="K58" s="92">
        <f t="shared" si="3"/>
        <v>1</v>
      </c>
      <c r="L58" s="92">
        <f t="shared" si="4"/>
        <v>0</v>
      </c>
    </row>
    <row r="59" spans="7:12" x14ac:dyDescent="0.2">
      <c r="G59" s="92">
        <f t="shared" si="0"/>
        <v>58</v>
      </c>
      <c r="H59" s="1029">
        <f t="shared" si="6"/>
        <v>43523</v>
      </c>
      <c r="I59" s="85">
        <f t="shared" si="1"/>
        <v>3</v>
      </c>
      <c r="J59" s="85" t="str">
        <f t="shared" si="2"/>
        <v>Mittwoch</v>
      </c>
      <c r="K59" s="92">
        <f t="shared" si="3"/>
        <v>1</v>
      </c>
      <c r="L59" s="92">
        <f t="shared" si="4"/>
        <v>0</v>
      </c>
    </row>
    <row r="60" spans="7:12" x14ac:dyDescent="0.2">
      <c r="G60" s="92">
        <f t="shared" si="0"/>
        <v>59</v>
      </c>
      <c r="H60" s="1029">
        <f t="shared" si="6"/>
        <v>43524</v>
      </c>
      <c r="I60" s="85">
        <f t="shared" si="1"/>
        <v>4</v>
      </c>
      <c r="J60" s="85" t="str">
        <f t="shared" si="2"/>
        <v>Donnerstag</v>
      </c>
      <c r="K60" s="92">
        <f t="shared" si="3"/>
        <v>1</v>
      </c>
      <c r="L60" s="92">
        <f t="shared" si="4"/>
        <v>0</v>
      </c>
    </row>
    <row r="61" spans="7:12" x14ac:dyDescent="0.2">
      <c r="G61" s="92">
        <f t="shared" si="0"/>
        <v>60</v>
      </c>
      <c r="H61" s="1029">
        <f t="shared" si="6"/>
        <v>43525</v>
      </c>
      <c r="I61" s="85">
        <f t="shared" si="1"/>
        <v>5</v>
      </c>
      <c r="J61" s="85" t="str">
        <f t="shared" si="2"/>
        <v>Freitag</v>
      </c>
      <c r="K61" s="92">
        <f t="shared" si="3"/>
        <v>1</v>
      </c>
      <c r="L61" s="92">
        <f t="shared" si="4"/>
        <v>0</v>
      </c>
    </row>
    <row r="62" spans="7:12" x14ac:dyDescent="0.2">
      <c r="G62" s="92">
        <f t="shared" si="0"/>
        <v>61</v>
      </c>
      <c r="H62" s="1029">
        <f t="shared" si="6"/>
        <v>43526</v>
      </c>
      <c r="I62" s="85">
        <f t="shared" si="1"/>
        <v>6</v>
      </c>
      <c r="J62" s="85" t="str">
        <f t="shared" si="2"/>
        <v>Samstag</v>
      </c>
      <c r="K62" s="92">
        <f t="shared" si="3"/>
        <v>0</v>
      </c>
      <c r="L62" s="92">
        <f t="shared" si="4"/>
        <v>1</v>
      </c>
    </row>
    <row r="63" spans="7:12" x14ac:dyDescent="0.2">
      <c r="G63" s="92">
        <f t="shared" si="0"/>
        <v>62</v>
      </c>
      <c r="H63" s="1029">
        <f t="shared" si="6"/>
        <v>43527</v>
      </c>
      <c r="I63" s="85">
        <f t="shared" si="1"/>
        <v>7</v>
      </c>
      <c r="J63" s="85" t="str">
        <f t="shared" si="2"/>
        <v>Sonntag</v>
      </c>
      <c r="K63" s="92">
        <f t="shared" si="3"/>
        <v>0</v>
      </c>
      <c r="L63" s="92">
        <f t="shared" si="4"/>
        <v>1</v>
      </c>
    </row>
    <row r="64" spans="7:12" x14ac:dyDescent="0.2">
      <c r="G64" s="92">
        <f t="shared" si="0"/>
        <v>63</v>
      </c>
      <c r="H64" s="1029">
        <f t="shared" si="6"/>
        <v>43528</v>
      </c>
      <c r="I64" s="85">
        <f t="shared" si="1"/>
        <v>1</v>
      </c>
      <c r="J64" s="85" t="str">
        <f t="shared" si="2"/>
        <v>Montag</v>
      </c>
      <c r="K64" s="92">
        <f t="shared" si="3"/>
        <v>1</v>
      </c>
      <c r="L64" s="92">
        <f t="shared" si="4"/>
        <v>0</v>
      </c>
    </row>
    <row r="65" spans="7:12" x14ac:dyDescent="0.2">
      <c r="G65" s="92">
        <f t="shared" si="0"/>
        <v>64</v>
      </c>
      <c r="H65" s="1029">
        <f t="shared" si="6"/>
        <v>43529</v>
      </c>
      <c r="I65" s="85">
        <f t="shared" si="1"/>
        <v>2</v>
      </c>
      <c r="J65" s="85" t="str">
        <f t="shared" si="2"/>
        <v>Dienstag</v>
      </c>
      <c r="K65" s="92">
        <f t="shared" si="3"/>
        <v>1</v>
      </c>
      <c r="L65" s="92">
        <f t="shared" si="4"/>
        <v>0</v>
      </c>
    </row>
    <row r="66" spans="7:12" x14ac:dyDescent="0.2">
      <c r="G66" s="92">
        <f t="shared" si="0"/>
        <v>65</v>
      </c>
      <c r="H66" s="1029">
        <f t="shared" si="6"/>
        <v>43530</v>
      </c>
      <c r="I66" s="85">
        <f t="shared" si="1"/>
        <v>3</v>
      </c>
      <c r="J66" s="85" t="str">
        <f t="shared" si="2"/>
        <v>Mittwoch</v>
      </c>
      <c r="K66" s="92">
        <f t="shared" si="3"/>
        <v>1</v>
      </c>
      <c r="L66" s="92">
        <f t="shared" si="4"/>
        <v>0</v>
      </c>
    </row>
    <row r="67" spans="7:12" x14ac:dyDescent="0.2">
      <c r="G67" s="92">
        <f t="shared" ref="G67:G130" si="8">IF(H67&lt;&gt;"",G66+1,"")</f>
        <v>66</v>
      </c>
      <c r="H67" s="1029">
        <f t="shared" si="6"/>
        <v>43531</v>
      </c>
      <c r="I67" s="85">
        <f t="shared" ref="I67:I130" si="9">IF(H67&lt;&gt;"",WEEKDAY(H67,2),"")</f>
        <v>4</v>
      </c>
      <c r="J67" s="85" t="str">
        <f t="shared" ref="J67:J130" si="10">IF(H67&lt;&gt;"",IF(I67=1,"Montag",IF(I67=2,"Dienstag",IF(I67=3,"Mittwoch",IF(I67=4,"Donnerstag",IF(I67=5,"Freitag",IF(I67=6,"Samstag",IF(I67=7,"Sonntag","#INVALID"))))))),"")</f>
        <v>Donnerstag</v>
      </c>
      <c r="K67" s="92">
        <f t="shared" ref="K67:K130" si="11">IF(H67&lt;&gt;"",IF(AND(I67&gt;=1,I67&lt;=5),1,0),"")</f>
        <v>1</v>
      </c>
      <c r="L67" s="92">
        <f t="shared" ref="L67:L130" si="12">IF(H67&lt;&gt;"",IF(OR(I67=6,I67=7),1,0),"")</f>
        <v>0</v>
      </c>
    </row>
    <row r="68" spans="7:12" x14ac:dyDescent="0.2">
      <c r="G68" s="92">
        <f t="shared" si="8"/>
        <v>67</v>
      </c>
      <c r="H68" s="1029">
        <f t="shared" ref="H68:H131" si="13">H67+1</f>
        <v>43532</v>
      </c>
      <c r="I68" s="85">
        <f t="shared" si="9"/>
        <v>5</v>
      </c>
      <c r="J68" s="85" t="str">
        <f t="shared" si="10"/>
        <v>Freitag</v>
      </c>
      <c r="K68" s="92">
        <f t="shared" si="11"/>
        <v>1</v>
      </c>
      <c r="L68" s="92">
        <f t="shared" si="12"/>
        <v>0</v>
      </c>
    </row>
    <row r="69" spans="7:12" x14ac:dyDescent="0.2">
      <c r="G69" s="92">
        <f t="shared" si="8"/>
        <v>68</v>
      </c>
      <c r="H69" s="1029">
        <f t="shared" si="13"/>
        <v>43533</v>
      </c>
      <c r="I69" s="85">
        <f t="shared" si="9"/>
        <v>6</v>
      </c>
      <c r="J69" s="85" t="str">
        <f t="shared" si="10"/>
        <v>Samstag</v>
      </c>
      <c r="K69" s="92">
        <f t="shared" si="11"/>
        <v>0</v>
      </c>
      <c r="L69" s="92">
        <f t="shared" si="12"/>
        <v>1</v>
      </c>
    </row>
    <row r="70" spans="7:12" x14ac:dyDescent="0.2">
      <c r="G70" s="92">
        <f t="shared" si="8"/>
        <v>69</v>
      </c>
      <c r="H70" s="1029">
        <f t="shared" si="13"/>
        <v>43534</v>
      </c>
      <c r="I70" s="85">
        <f t="shared" si="9"/>
        <v>7</v>
      </c>
      <c r="J70" s="85" t="str">
        <f t="shared" si="10"/>
        <v>Sonntag</v>
      </c>
      <c r="K70" s="92">
        <f t="shared" si="11"/>
        <v>0</v>
      </c>
      <c r="L70" s="92">
        <f t="shared" si="12"/>
        <v>1</v>
      </c>
    </row>
    <row r="71" spans="7:12" x14ac:dyDescent="0.2">
      <c r="G71" s="92">
        <f t="shared" si="8"/>
        <v>70</v>
      </c>
      <c r="H71" s="1029">
        <f t="shared" si="13"/>
        <v>43535</v>
      </c>
      <c r="I71" s="85">
        <f t="shared" si="9"/>
        <v>1</v>
      </c>
      <c r="J71" s="85" t="str">
        <f t="shared" si="10"/>
        <v>Montag</v>
      </c>
      <c r="K71" s="92">
        <f t="shared" si="11"/>
        <v>1</v>
      </c>
      <c r="L71" s="92">
        <f t="shared" si="12"/>
        <v>0</v>
      </c>
    </row>
    <row r="72" spans="7:12" x14ac:dyDescent="0.2">
      <c r="G72" s="92">
        <f t="shared" si="8"/>
        <v>71</v>
      </c>
      <c r="H72" s="1029">
        <f t="shared" si="13"/>
        <v>43536</v>
      </c>
      <c r="I72" s="85">
        <f t="shared" si="9"/>
        <v>2</v>
      </c>
      <c r="J72" s="85" t="str">
        <f t="shared" si="10"/>
        <v>Dienstag</v>
      </c>
      <c r="K72" s="92">
        <f t="shared" si="11"/>
        <v>1</v>
      </c>
      <c r="L72" s="92">
        <f t="shared" si="12"/>
        <v>0</v>
      </c>
    </row>
    <row r="73" spans="7:12" x14ac:dyDescent="0.2">
      <c r="G73" s="92">
        <f t="shared" si="8"/>
        <v>72</v>
      </c>
      <c r="H73" s="1029">
        <f t="shared" si="13"/>
        <v>43537</v>
      </c>
      <c r="I73" s="85">
        <f t="shared" si="9"/>
        <v>3</v>
      </c>
      <c r="J73" s="85" t="str">
        <f t="shared" si="10"/>
        <v>Mittwoch</v>
      </c>
      <c r="K73" s="92">
        <f t="shared" si="11"/>
        <v>1</v>
      </c>
      <c r="L73" s="92">
        <f t="shared" si="12"/>
        <v>0</v>
      </c>
    </row>
    <row r="74" spans="7:12" x14ac:dyDescent="0.2">
      <c r="G74" s="92">
        <f t="shared" si="8"/>
        <v>73</v>
      </c>
      <c r="H74" s="1029">
        <f t="shared" si="13"/>
        <v>43538</v>
      </c>
      <c r="I74" s="85">
        <f t="shared" si="9"/>
        <v>4</v>
      </c>
      <c r="J74" s="85" t="str">
        <f t="shared" si="10"/>
        <v>Donnerstag</v>
      </c>
      <c r="K74" s="92">
        <f t="shared" si="11"/>
        <v>1</v>
      </c>
      <c r="L74" s="92">
        <f t="shared" si="12"/>
        <v>0</v>
      </c>
    </row>
    <row r="75" spans="7:12" x14ac:dyDescent="0.2">
      <c r="G75" s="92">
        <f t="shared" si="8"/>
        <v>74</v>
      </c>
      <c r="H75" s="1029">
        <f t="shared" si="13"/>
        <v>43539</v>
      </c>
      <c r="I75" s="85">
        <f t="shared" si="9"/>
        <v>5</v>
      </c>
      <c r="J75" s="85" t="str">
        <f t="shared" si="10"/>
        <v>Freitag</v>
      </c>
      <c r="K75" s="92">
        <f t="shared" si="11"/>
        <v>1</v>
      </c>
      <c r="L75" s="92">
        <f t="shared" si="12"/>
        <v>0</v>
      </c>
    </row>
    <row r="76" spans="7:12" x14ac:dyDescent="0.2">
      <c r="G76" s="92">
        <f t="shared" si="8"/>
        <v>75</v>
      </c>
      <c r="H76" s="1029">
        <f t="shared" si="13"/>
        <v>43540</v>
      </c>
      <c r="I76" s="85">
        <f t="shared" si="9"/>
        <v>6</v>
      </c>
      <c r="J76" s="85" t="str">
        <f t="shared" si="10"/>
        <v>Samstag</v>
      </c>
      <c r="K76" s="92">
        <f t="shared" si="11"/>
        <v>0</v>
      </c>
      <c r="L76" s="92">
        <f t="shared" si="12"/>
        <v>1</v>
      </c>
    </row>
    <row r="77" spans="7:12" x14ac:dyDescent="0.2">
      <c r="G77" s="92">
        <f t="shared" si="8"/>
        <v>76</v>
      </c>
      <c r="H77" s="1029">
        <f t="shared" si="13"/>
        <v>43541</v>
      </c>
      <c r="I77" s="85">
        <f t="shared" si="9"/>
        <v>7</v>
      </c>
      <c r="J77" s="85" t="str">
        <f t="shared" si="10"/>
        <v>Sonntag</v>
      </c>
      <c r="K77" s="92">
        <f t="shared" si="11"/>
        <v>0</v>
      </c>
      <c r="L77" s="92">
        <f t="shared" si="12"/>
        <v>1</v>
      </c>
    </row>
    <row r="78" spans="7:12" x14ac:dyDescent="0.2">
      <c r="G78" s="92">
        <f t="shared" si="8"/>
        <v>77</v>
      </c>
      <c r="H78" s="1029">
        <f t="shared" si="13"/>
        <v>43542</v>
      </c>
      <c r="I78" s="85">
        <f t="shared" si="9"/>
        <v>1</v>
      </c>
      <c r="J78" s="85" t="str">
        <f t="shared" si="10"/>
        <v>Montag</v>
      </c>
      <c r="K78" s="92">
        <f t="shared" si="11"/>
        <v>1</v>
      </c>
      <c r="L78" s="92">
        <f t="shared" si="12"/>
        <v>0</v>
      </c>
    </row>
    <row r="79" spans="7:12" x14ac:dyDescent="0.2">
      <c r="G79" s="92">
        <f t="shared" si="8"/>
        <v>78</v>
      </c>
      <c r="H79" s="1029">
        <f t="shared" si="13"/>
        <v>43543</v>
      </c>
      <c r="I79" s="85">
        <f t="shared" si="9"/>
        <v>2</v>
      </c>
      <c r="J79" s="85" t="str">
        <f t="shared" si="10"/>
        <v>Dienstag</v>
      </c>
      <c r="K79" s="92">
        <f t="shared" si="11"/>
        <v>1</v>
      </c>
      <c r="L79" s="92">
        <f t="shared" si="12"/>
        <v>0</v>
      </c>
    </row>
    <row r="80" spans="7:12" x14ac:dyDescent="0.2">
      <c r="G80" s="92">
        <f t="shared" si="8"/>
        <v>79</v>
      </c>
      <c r="H80" s="1029">
        <f t="shared" si="13"/>
        <v>43544</v>
      </c>
      <c r="I80" s="85">
        <f t="shared" si="9"/>
        <v>3</v>
      </c>
      <c r="J80" s="85" t="str">
        <f t="shared" si="10"/>
        <v>Mittwoch</v>
      </c>
      <c r="K80" s="92">
        <f t="shared" si="11"/>
        <v>1</v>
      </c>
      <c r="L80" s="92">
        <f t="shared" si="12"/>
        <v>0</v>
      </c>
    </row>
    <row r="81" spans="7:12" x14ac:dyDescent="0.2">
      <c r="G81" s="92">
        <f t="shared" si="8"/>
        <v>80</v>
      </c>
      <c r="H81" s="1029">
        <f t="shared" si="13"/>
        <v>43545</v>
      </c>
      <c r="I81" s="85">
        <f t="shared" si="9"/>
        <v>4</v>
      </c>
      <c r="J81" s="85" t="str">
        <f t="shared" si="10"/>
        <v>Donnerstag</v>
      </c>
      <c r="K81" s="92">
        <f t="shared" si="11"/>
        <v>1</v>
      </c>
      <c r="L81" s="92">
        <f t="shared" si="12"/>
        <v>0</v>
      </c>
    </row>
    <row r="82" spans="7:12" x14ac:dyDescent="0.2">
      <c r="G82" s="92">
        <f t="shared" si="8"/>
        <v>81</v>
      </c>
      <c r="H82" s="1029">
        <f t="shared" si="13"/>
        <v>43546</v>
      </c>
      <c r="I82" s="85">
        <f t="shared" si="9"/>
        <v>5</v>
      </c>
      <c r="J82" s="85" t="str">
        <f t="shared" si="10"/>
        <v>Freitag</v>
      </c>
      <c r="K82" s="92">
        <f t="shared" si="11"/>
        <v>1</v>
      </c>
      <c r="L82" s="92">
        <f t="shared" si="12"/>
        <v>0</v>
      </c>
    </row>
    <row r="83" spans="7:12" x14ac:dyDescent="0.2">
      <c r="G83" s="92">
        <f t="shared" si="8"/>
        <v>82</v>
      </c>
      <c r="H83" s="1029">
        <f t="shared" si="13"/>
        <v>43547</v>
      </c>
      <c r="I83" s="85">
        <f t="shared" si="9"/>
        <v>6</v>
      </c>
      <c r="J83" s="85" t="str">
        <f t="shared" si="10"/>
        <v>Samstag</v>
      </c>
      <c r="K83" s="92">
        <f t="shared" si="11"/>
        <v>0</v>
      </c>
      <c r="L83" s="92">
        <f t="shared" si="12"/>
        <v>1</v>
      </c>
    </row>
    <row r="84" spans="7:12" x14ac:dyDescent="0.2">
      <c r="G84" s="92">
        <f t="shared" si="8"/>
        <v>83</v>
      </c>
      <c r="H84" s="1029">
        <f t="shared" si="13"/>
        <v>43548</v>
      </c>
      <c r="I84" s="85">
        <f t="shared" si="9"/>
        <v>7</v>
      </c>
      <c r="J84" s="85" t="str">
        <f t="shared" si="10"/>
        <v>Sonntag</v>
      </c>
      <c r="K84" s="92">
        <f t="shared" si="11"/>
        <v>0</v>
      </c>
      <c r="L84" s="92">
        <f t="shared" si="12"/>
        <v>1</v>
      </c>
    </row>
    <row r="85" spans="7:12" x14ac:dyDescent="0.2">
      <c r="G85" s="92">
        <f t="shared" si="8"/>
        <v>84</v>
      </c>
      <c r="H85" s="1029">
        <f t="shared" si="13"/>
        <v>43549</v>
      </c>
      <c r="I85" s="85">
        <f t="shared" si="9"/>
        <v>1</v>
      </c>
      <c r="J85" s="85" t="str">
        <f t="shared" si="10"/>
        <v>Montag</v>
      </c>
      <c r="K85" s="92">
        <f t="shared" si="11"/>
        <v>1</v>
      </c>
      <c r="L85" s="92">
        <f t="shared" si="12"/>
        <v>0</v>
      </c>
    </row>
    <row r="86" spans="7:12" x14ac:dyDescent="0.2">
      <c r="G86" s="92">
        <f t="shared" si="8"/>
        <v>85</v>
      </c>
      <c r="H86" s="1029">
        <f t="shared" si="13"/>
        <v>43550</v>
      </c>
      <c r="I86" s="85">
        <f t="shared" si="9"/>
        <v>2</v>
      </c>
      <c r="J86" s="85" t="str">
        <f t="shared" si="10"/>
        <v>Dienstag</v>
      </c>
      <c r="K86" s="92">
        <f t="shared" si="11"/>
        <v>1</v>
      </c>
      <c r="L86" s="92">
        <f t="shared" si="12"/>
        <v>0</v>
      </c>
    </row>
    <row r="87" spans="7:12" x14ac:dyDescent="0.2">
      <c r="G87" s="92">
        <f t="shared" si="8"/>
        <v>86</v>
      </c>
      <c r="H87" s="1029">
        <f t="shared" si="13"/>
        <v>43551</v>
      </c>
      <c r="I87" s="85">
        <f t="shared" si="9"/>
        <v>3</v>
      </c>
      <c r="J87" s="85" t="str">
        <f t="shared" si="10"/>
        <v>Mittwoch</v>
      </c>
      <c r="K87" s="92">
        <f t="shared" si="11"/>
        <v>1</v>
      </c>
      <c r="L87" s="92">
        <f t="shared" si="12"/>
        <v>0</v>
      </c>
    </row>
    <row r="88" spans="7:12" x14ac:dyDescent="0.2">
      <c r="G88" s="92">
        <f t="shared" si="8"/>
        <v>87</v>
      </c>
      <c r="H88" s="1029">
        <f t="shared" si="13"/>
        <v>43552</v>
      </c>
      <c r="I88" s="85">
        <f t="shared" si="9"/>
        <v>4</v>
      </c>
      <c r="J88" s="85" t="str">
        <f t="shared" si="10"/>
        <v>Donnerstag</v>
      </c>
      <c r="K88" s="92">
        <f t="shared" si="11"/>
        <v>1</v>
      </c>
      <c r="L88" s="92">
        <f t="shared" si="12"/>
        <v>0</v>
      </c>
    </row>
    <row r="89" spans="7:12" x14ac:dyDescent="0.2">
      <c r="G89" s="92">
        <f t="shared" si="8"/>
        <v>88</v>
      </c>
      <c r="H89" s="1029">
        <f t="shared" si="13"/>
        <v>43553</v>
      </c>
      <c r="I89" s="85">
        <f t="shared" si="9"/>
        <v>5</v>
      </c>
      <c r="J89" s="85" t="str">
        <f t="shared" si="10"/>
        <v>Freitag</v>
      </c>
      <c r="K89" s="92">
        <f t="shared" si="11"/>
        <v>1</v>
      </c>
      <c r="L89" s="92">
        <f t="shared" si="12"/>
        <v>0</v>
      </c>
    </row>
    <row r="90" spans="7:12" x14ac:dyDescent="0.2">
      <c r="G90" s="92">
        <f t="shared" si="8"/>
        <v>89</v>
      </c>
      <c r="H90" s="1029">
        <f t="shared" si="13"/>
        <v>43554</v>
      </c>
      <c r="I90" s="85">
        <f t="shared" si="9"/>
        <v>6</v>
      </c>
      <c r="J90" s="85" t="str">
        <f t="shared" si="10"/>
        <v>Samstag</v>
      </c>
      <c r="K90" s="92">
        <f t="shared" si="11"/>
        <v>0</v>
      </c>
      <c r="L90" s="92">
        <f t="shared" si="12"/>
        <v>1</v>
      </c>
    </row>
    <row r="91" spans="7:12" x14ac:dyDescent="0.2">
      <c r="G91" s="92">
        <f t="shared" si="8"/>
        <v>90</v>
      </c>
      <c r="H91" s="1029">
        <f t="shared" si="13"/>
        <v>43555</v>
      </c>
      <c r="I91" s="85">
        <f t="shared" si="9"/>
        <v>7</v>
      </c>
      <c r="J91" s="85" t="str">
        <f t="shared" si="10"/>
        <v>Sonntag</v>
      </c>
      <c r="K91" s="92">
        <f t="shared" si="11"/>
        <v>0</v>
      </c>
      <c r="L91" s="92">
        <f t="shared" si="12"/>
        <v>1</v>
      </c>
    </row>
    <row r="92" spans="7:12" x14ac:dyDescent="0.2">
      <c r="G92" s="92">
        <f t="shared" si="8"/>
        <v>91</v>
      </c>
      <c r="H92" s="1029">
        <f t="shared" si="13"/>
        <v>43556</v>
      </c>
      <c r="I92" s="85">
        <f t="shared" si="9"/>
        <v>1</v>
      </c>
      <c r="J92" s="85" t="str">
        <f t="shared" si="10"/>
        <v>Montag</v>
      </c>
      <c r="K92" s="92">
        <f t="shared" si="11"/>
        <v>1</v>
      </c>
      <c r="L92" s="92">
        <f t="shared" si="12"/>
        <v>0</v>
      </c>
    </row>
    <row r="93" spans="7:12" x14ac:dyDescent="0.2">
      <c r="G93" s="92">
        <f t="shared" si="8"/>
        <v>92</v>
      </c>
      <c r="H93" s="1029">
        <f t="shared" si="13"/>
        <v>43557</v>
      </c>
      <c r="I93" s="85">
        <f t="shared" si="9"/>
        <v>2</v>
      </c>
      <c r="J93" s="85" t="str">
        <f t="shared" si="10"/>
        <v>Dienstag</v>
      </c>
      <c r="K93" s="92">
        <f t="shared" si="11"/>
        <v>1</v>
      </c>
      <c r="L93" s="92">
        <f t="shared" si="12"/>
        <v>0</v>
      </c>
    </row>
    <row r="94" spans="7:12" x14ac:dyDescent="0.2">
      <c r="G94" s="92">
        <f t="shared" si="8"/>
        <v>93</v>
      </c>
      <c r="H94" s="1029">
        <f t="shared" si="13"/>
        <v>43558</v>
      </c>
      <c r="I94" s="85">
        <f t="shared" si="9"/>
        <v>3</v>
      </c>
      <c r="J94" s="85" t="str">
        <f t="shared" si="10"/>
        <v>Mittwoch</v>
      </c>
      <c r="K94" s="92">
        <f t="shared" si="11"/>
        <v>1</v>
      </c>
      <c r="L94" s="92">
        <f t="shared" si="12"/>
        <v>0</v>
      </c>
    </row>
    <row r="95" spans="7:12" x14ac:dyDescent="0.2">
      <c r="G95" s="92">
        <f t="shared" si="8"/>
        <v>94</v>
      </c>
      <c r="H95" s="1029">
        <f t="shared" si="13"/>
        <v>43559</v>
      </c>
      <c r="I95" s="85">
        <f t="shared" si="9"/>
        <v>4</v>
      </c>
      <c r="J95" s="85" t="str">
        <f t="shared" si="10"/>
        <v>Donnerstag</v>
      </c>
      <c r="K95" s="92">
        <f t="shared" si="11"/>
        <v>1</v>
      </c>
      <c r="L95" s="92">
        <f t="shared" si="12"/>
        <v>0</v>
      </c>
    </row>
    <row r="96" spans="7:12" x14ac:dyDescent="0.2">
      <c r="G96" s="92">
        <f t="shared" si="8"/>
        <v>95</v>
      </c>
      <c r="H96" s="1029">
        <f t="shared" si="13"/>
        <v>43560</v>
      </c>
      <c r="I96" s="85">
        <f t="shared" si="9"/>
        <v>5</v>
      </c>
      <c r="J96" s="85" t="str">
        <f t="shared" si="10"/>
        <v>Freitag</v>
      </c>
      <c r="K96" s="92">
        <f t="shared" si="11"/>
        <v>1</v>
      </c>
      <c r="L96" s="92">
        <f t="shared" si="12"/>
        <v>0</v>
      </c>
    </row>
    <row r="97" spans="7:12" x14ac:dyDescent="0.2">
      <c r="G97" s="92">
        <f t="shared" si="8"/>
        <v>96</v>
      </c>
      <c r="H97" s="1029">
        <f t="shared" si="13"/>
        <v>43561</v>
      </c>
      <c r="I97" s="85">
        <f t="shared" si="9"/>
        <v>6</v>
      </c>
      <c r="J97" s="85" t="str">
        <f t="shared" si="10"/>
        <v>Samstag</v>
      </c>
      <c r="K97" s="92">
        <f t="shared" si="11"/>
        <v>0</v>
      </c>
      <c r="L97" s="92">
        <f t="shared" si="12"/>
        <v>1</v>
      </c>
    </row>
    <row r="98" spans="7:12" x14ac:dyDescent="0.2">
      <c r="G98" s="92">
        <f t="shared" si="8"/>
        <v>97</v>
      </c>
      <c r="H98" s="1029">
        <f t="shared" si="13"/>
        <v>43562</v>
      </c>
      <c r="I98" s="85">
        <f t="shared" si="9"/>
        <v>7</v>
      </c>
      <c r="J98" s="85" t="str">
        <f t="shared" si="10"/>
        <v>Sonntag</v>
      </c>
      <c r="K98" s="92">
        <f t="shared" si="11"/>
        <v>0</v>
      </c>
      <c r="L98" s="92">
        <f t="shared" si="12"/>
        <v>1</v>
      </c>
    </row>
    <row r="99" spans="7:12" x14ac:dyDescent="0.2">
      <c r="G99" s="92">
        <f t="shared" si="8"/>
        <v>98</v>
      </c>
      <c r="H99" s="1029">
        <f t="shared" si="13"/>
        <v>43563</v>
      </c>
      <c r="I99" s="85">
        <f t="shared" si="9"/>
        <v>1</v>
      </c>
      <c r="J99" s="85" t="str">
        <f t="shared" si="10"/>
        <v>Montag</v>
      </c>
      <c r="K99" s="92">
        <f t="shared" si="11"/>
        <v>1</v>
      </c>
      <c r="L99" s="92">
        <f t="shared" si="12"/>
        <v>0</v>
      </c>
    </row>
    <row r="100" spans="7:12" x14ac:dyDescent="0.2">
      <c r="G100" s="92">
        <f t="shared" si="8"/>
        <v>99</v>
      </c>
      <c r="H100" s="1029">
        <f t="shared" si="13"/>
        <v>43564</v>
      </c>
      <c r="I100" s="85">
        <f t="shared" si="9"/>
        <v>2</v>
      </c>
      <c r="J100" s="85" t="str">
        <f t="shared" si="10"/>
        <v>Dienstag</v>
      </c>
      <c r="K100" s="92">
        <f t="shared" si="11"/>
        <v>1</v>
      </c>
      <c r="L100" s="92">
        <f t="shared" si="12"/>
        <v>0</v>
      </c>
    </row>
    <row r="101" spans="7:12" x14ac:dyDescent="0.2">
      <c r="G101" s="92">
        <f t="shared" si="8"/>
        <v>100</v>
      </c>
      <c r="H101" s="1029">
        <f t="shared" si="13"/>
        <v>43565</v>
      </c>
      <c r="I101" s="85">
        <f t="shared" si="9"/>
        <v>3</v>
      </c>
      <c r="J101" s="85" t="str">
        <f t="shared" si="10"/>
        <v>Mittwoch</v>
      </c>
      <c r="K101" s="92">
        <f t="shared" si="11"/>
        <v>1</v>
      </c>
      <c r="L101" s="92">
        <f t="shared" si="12"/>
        <v>0</v>
      </c>
    </row>
    <row r="102" spans="7:12" x14ac:dyDescent="0.2">
      <c r="G102" s="92">
        <f t="shared" si="8"/>
        <v>101</v>
      </c>
      <c r="H102" s="1029">
        <f t="shared" si="13"/>
        <v>43566</v>
      </c>
      <c r="I102" s="85">
        <f t="shared" si="9"/>
        <v>4</v>
      </c>
      <c r="J102" s="85" t="str">
        <f t="shared" si="10"/>
        <v>Donnerstag</v>
      </c>
      <c r="K102" s="92">
        <f t="shared" si="11"/>
        <v>1</v>
      </c>
      <c r="L102" s="92">
        <f t="shared" si="12"/>
        <v>0</v>
      </c>
    </row>
    <row r="103" spans="7:12" x14ac:dyDescent="0.2">
      <c r="G103" s="92">
        <f t="shared" si="8"/>
        <v>102</v>
      </c>
      <c r="H103" s="1029">
        <f t="shared" si="13"/>
        <v>43567</v>
      </c>
      <c r="I103" s="85">
        <f t="shared" si="9"/>
        <v>5</v>
      </c>
      <c r="J103" s="85" t="str">
        <f t="shared" si="10"/>
        <v>Freitag</v>
      </c>
      <c r="K103" s="92">
        <f t="shared" si="11"/>
        <v>1</v>
      </c>
      <c r="L103" s="92">
        <f t="shared" si="12"/>
        <v>0</v>
      </c>
    </row>
    <row r="104" spans="7:12" x14ac:dyDescent="0.2">
      <c r="G104" s="92">
        <f t="shared" si="8"/>
        <v>103</v>
      </c>
      <c r="H104" s="1029">
        <f t="shared" si="13"/>
        <v>43568</v>
      </c>
      <c r="I104" s="85">
        <f t="shared" si="9"/>
        <v>6</v>
      </c>
      <c r="J104" s="85" t="str">
        <f t="shared" si="10"/>
        <v>Samstag</v>
      </c>
      <c r="K104" s="92">
        <f t="shared" si="11"/>
        <v>0</v>
      </c>
      <c r="L104" s="92">
        <f t="shared" si="12"/>
        <v>1</v>
      </c>
    </row>
    <row r="105" spans="7:12" x14ac:dyDescent="0.2">
      <c r="G105" s="92">
        <f t="shared" si="8"/>
        <v>104</v>
      </c>
      <c r="H105" s="1029">
        <f t="shared" si="13"/>
        <v>43569</v>
      </c>
      <c r="I105" s="85">
        <f t="shared" si="9"/>
        <v>7</v>
      </c>
      <c r="J105" s="85" t="str">
        <f t="shared" si="10"/>
        <v>Sonntag</v>
      </c>
      <c r="K105" s="92">
        <f t="shared" si="11"/>
        <v>0</v>
      </c>
      <c r="L105" s="92">
        <f t="shared" si="12"/>
        <v>1</v>
      </c>
    </row>
    <row r="106" spans="7:12" x14ac:dyDescent="0.2">
      <c r="G106" s="92">
        <f t="shared" si="8"/>
        <v>105</v>
      </c>
      <c r="H106" s="1029">
        <f t="shared" si="13"/>
        <v>43570</v>
      </c>
      <c r="I106" s="85">
        <f t="shared" si="9"/>
        <v>1</v>
      </c>
      <c r="J106" s="85" t="str">
        <f t="shared" si="10"/>
        <v>Montag</v>
      </c>
      <c r="K106" s="92">
        <f t="shared" si="11"/>
        <v>1</v>
      </c>
      <c r="L106" s="92">
        <f t="shared" si="12"/>
        <v>0</v>
      </c>
    </row>
    <row r="107" spans="7:12" x14ac:dyDescent="0.2">
      <c r="G107" s="92">
        <f t="shared" si="8"/>
        <v>106</v>
      </c>
      <c r="H107" s="1029">
        <f t="shared" si="13"/>
        <v>43571</v>
      </c>
      <c r="I107" s="85">
        <f t="shared" si="9"/>
        <v>2</v>
      </c>
      <c r="J107" s="85" t="str">
        <f t="shared" si="10"/>
        <v>Dienstag</v>
      </c>
      <c r="K107" s="92">
        <f t="shared" si="11"/>
        <v>1</v>
      </c>
      <c r="L107" s="92">
        <f t="shared" si="12"/>
        <v>0</v>
      </c>
    </row>
    <row r="108" spans="7:12" x14ac:dyDescent="0.2">
      <c r="G108" s="92">
        <f t="shared" si="8"/>
        <v>107</v>
      </c>
      <c r="H108" s="1029">
        <f t="shared" si="13"/>
        <v>43572</v>
      </c>
      <c r="I108" s="85">
        <f t="shared" si="9"/>
        <v>3</v>
      </c>
      <c r="J108" s="85" t="str">
        <f t="shared" si="10"/>
        <v>Mittwoch</v>
      </c>
      <c r="K108" s="92">
        <f t="shared" si="11"/>
        <v>1</v>
      </c>
      <c r="L108" s="92">
        <f t="shared" si="12"/>
        <v>0</v>
      </c>
    </row>
    <row r="109" spans="7:12" x14ac:dyDescent="0.2">
      <c r="G109" s="92">
        <f t="shared" si="8"/>
        <v>108</v>
      </c>
      <c r="H109" s="1029">
        <f t="shared" si="13"/>
        <v>43573</v>
      </c>
      <c r="I109" s="85">
        <f t="shared" si="9"/>
        <v>4</v>
      </c>
      <c r="J109" s="85" t="str">
        <f t="shared" si="10"/>
        <v>Donnerstag</v>
      </c>
      <c r="K109" s="92">
        <f t="shared" si="11"/>
        <v>1</v>
      </c>
      <c r="L109" s="92">
        <f t="shared" si="12"/>
        <v>0</v>
      </c>
    </row>
    <row r="110" spans="7:12" x14ac:dyDescent="0.2">
      <c r="G110" s="92">
        <f t="shared" si="8"/>
        <v>109</v>
      </c>
      <c r="H110" s="1029">
        <f t="shared" si="13"/>
        <v>43574</v>
      </c>
      <c r="I110" s="85">
        <f t="shared" si="9"/>
        <v>5</v>
      </c>
      <c r="J110" s="85" t="str">
        <f t="shared" si="10"/>
        <v>Freitag</v>
      </c>
      <c r="K110" s="92">
        <f t="shared" si="11"/>
        <v>1</v>
      </c>
      <c r="L110" s="92">
        <f t="shared" si="12"/>
        <v>0</v>
      </c>
    </row>
    <row r="111" spans="7:12" x14ac:dyDescent="0.2">
      <c r="G111" s="92">
        <f t="shared" si="8"/>
        <v>110</v>
      </c>
      <c r="H111" s="1029">
        <f t="shared" si="13"/>
        <v>43575</v>
      </c>
      <c r="I111" s="85">
        <f t="shared" si="9"/>
        <v>6</v>
      </c>
      <c r="J111" s="85" t="str">
        <f t="shared" si="10"/>
        <v>Samstag</v>
      </c>
      <c r="K111" s="92">
        <f t="shared" si="11"/>
        <v>0</v>
      </c>
      <c r="L111" s="92">
        <f t="shared" si="12"/>
        <v>1</v>
      </c>
    </row>
    <row r="112" spans="7:12" x14ac:dyDescent="0.2">
      <c r="G112" s="92">
        <f t="shared" si="8"/>
        <v>111</v>
      </c>
      <c r="H112" s="1029">
        <f t="shared" si="13"/>
        <v>43576</v>
      </c>
      <c r="I112" s="85">
        <f t="shared" si="9"/>
        <v>7</v>
      </c>
      <c r="J112" s="85" t="str">
        <f t="shared" si="10"/>
        <v>Sonntag</v>
      </c>
      <c r="K112" s="92">
        <f t="shared" si="11"/>
        <v>0</v>
      </c>
      <c r="L112" s="92">
        <f t="shared" si="12"/>
        <v>1</v>
      </c>
    </row>
    <row r="113" spans="7:12" x14ac:dyDescent="0.2">
      <c r="G113" s="92">
        <f t="shared" si="8"/>
        <v>112</v>
      </c>
      <c r="H113" s="1029">
        <f t="shared" si="13"/>
        <v>43577</v>
      </c>
      <c r="I113" s="85">
        <f t="shared" si="9"/>
        <v>1</v>
      </c>
      <c r="J113" s="85" t="str">
        <f t="shared" si="10"/>
        <v>Montag</v>
      </c>
      <c r="K113" s="92">
        <f t="shared" si="11"/>
        <v>1</v>
      </c>
      <c r="L113" s="92">
        <f t="shared" si="12"/>
        <v>0</v>
      </c>
    </row>
    <row r="114" spans="7:12" x14ac:dyDescent="0.2">
      <c r="G114" s="92">
        <f t="shared" si="8"/>
        <v>113</v>
      </c>
      <c r="H114" s="1029">
        <f t="shared" si="13"/>
        <v>43578</v>
      </c>
      <c r="I114" s="85">
        <f t="shared" si="9"/>
        <v>2</v>
      </c>
      <c r="J114" s="85" t="str">
        <f t="shared" si="10"/>
        <v>Dienstag</v>
      </c>
      <c r="K114" s="92">
        <f t="shared" si="11"/>
        <v>1</v>
      </c>
      <c r="L114" s="92">
        <f t="shared" si="12"/>
        <v>0</v>
      </c>
    </row>
    <row r="115" spans="7:12" x14ac:dyDescent="0.2">
      <c r="G115" s="92">
        <f t="shared" si="8"/>
        <v>114</v>
      </c>
      <c r="H115" s="1029">
        <f t="shared" si="13"/>
        <v>43579</v>
      </c>
      <c r="I115" s="85">
        <f t="shared" si="9"/>
        <v>3</v>
      </c>
      <c r="J115" s="85" t="str">
        <f t="shared" si="10"/>
        <v>Mittwoch</v>
      </c>
      <c r="K115" s="92">
        <f t="shared" si="11"/>
        <v>1</v>
      </c>
      <c r="L115" s="92">
        <f t="shared" si="12"/>
        <v>0</v>
      </c>
    </row>
    <row r="116" spans="7:12" x14ac:dyDescent="0.2">
      <c r="G116" s="92">
        <f t="shared" si="8"/>
        <v>115</v>
      </c>
      <c r="H116" s="1029">
        <f t="shared" si="13"/>
        <v>43580</v>
      </c>
      <c r="I116" s="85">
        <f t="shared" si="9"/>
        <v>4</v>
      </c>
      <c r="J116" s="85" t="str">
        <f t="shared" si="10"/>
        <v>Donnerstag</v>
      </c>
      <c r="K116" s="92">
        <f t="shared" si="11"/>
        <v>1</v>
      </c>
      <c r="L116" s="92">
        <f t="shared" si="12"/>
        <v>0</v>
      </c>
    </row>
    <row r="117" spans="7:12" x14ac:dyDescent="0.2">
      <c r="G117" s="92">
        <f t="shared" si="8"/>
        <v>116</v>
      </c>
      <c r="H117" s="1029">
        <f t="shared" si="13"/>
        <v>43581</v>
      </c>
      <c r="I117" s="85">
        <f t="shared" si="9"/>
        <v>5</v>
      </c>
      <c r="J117" s="85" t="str">
        <f t="shared" si="10"/>
        <v>Freitag</v>
      </c>
      <c r="K117" s="92">
        <f t="shared" si="11"/>
        <v>1</v>
      </c>
      <c r="L117" s="92">
        <f t="shared" si="12"/>
        <v>0</v>
      </c>
    </row>
    <row r="118" spans="7:12" x14ac:dyDescent="0.2">
      <c r="G118" s="92">
        <f t="shared" si="8"/>
        <v>117</v>
      </c>
      <c r="H118" s="1029">
        <f t="shared" si="13"/>
        <v>43582</v>
      </c>
      <c r="I118" s="85">
        <f t="shared" si="9"/>
        <v>6</v>
      </c>
      <c r="J118" s="85" t="str">
        <f t="shared" si="10"/>
        <v>Samstag</v>
      </c>
      <c r="K118" s="92">
        <f t="shared" si="11"/>
        <v>0</v>
      </c>
      <c r="L118" s="92">
        <f t="shared" si="12"/>
        <v>1</v>
      </c>
    </row>
    <row r="119" spans="7:12" x14ac:dyDescent="0.2">
      <c r="G119" s="92">
        <f t="shared" si="8"/>
        <v>118</v>
      </c>
      <c r="H119" s="1029">
        <f t="shared" si="13"/>
        <v>43583</v>
      </c>
      <c r="I119" s="85">
        <f t="shared" si="9"/>
        <v>7</v>
      </c>
      <c r="J119" s="85" t="str">
        <f t="shared" si="10"/>
        <v>Sonntag</v>
      </c>
      <c r="K119" s="92">
        <f t="shared" si="11"/>
        <v>0</v>
      </c>
      <c r="L119" s="92">
        <f t="shared" si="12"/>
        <v>1</v>
      </c>
    </row>
    <row r="120" spans="7:12" x14ac:dyDescent="0.2">
      <c r="G120" s="92">
        <f t="shared" si="8"/>
        <v>119</v>
      </c>
      <c r="H120" s="1029">
        <f t="shared" si="13"/>
        <v>43584</v>
      </c>
      <c r="I120" s="85">
        <f t="shared" si="9"/>
        <v>1</v>
      </c>
      <c r="J120" s="85" t="str">
        <f t="shared" si="10"/>
        <v>Montag</v>
      </c>
      <c r="K120" s="92">
        <f t="shared" si="11"/>
        <v>1</v>
      </c>
      <c r="L120" s="92">
        <f t="shared" si="12"/>
        <v>0</v>
      </c>
    </row>
    <row r="121" spans="7:12" x14ac:dyDescent="0.2">
      <c r="G121" s="92">
        <f t="shared" si="8"/>
        <v>120</v>
      </c>
      <c r="H121" s="1029">
        <f t="shared" si="13"/>
        <v>43585</v>
      </c>
      <c r="I121" s="85">
        <f t="shared" si="9"/>
        <v>2</v>
      </c>
      <c r="J121" s="85" t="str">
        <f t="shared" si="10"/>
        <v>Dienstag</v>
      </c>
      <c r="K121" s="92">
        <f t="shared" si="11"/>
        <v>1</v>
      </c>
      <c r="L121" s="92">
        <f t="shared" si="12"/>
        <v>0</v>
      </c>
    </row>
    <row r="122" spans="7:12" x14ac:dyDescent="0.2">
      <c r="G122" s="92">
        <f t="shared" si="8"/>
        <v>121</v>
      </c>
      <c r="H122" s="1029">
        <f t="shared" si="13"/>
        <v>43586</v>
      </c>
      <c r="I122" s="85">
        <f t="shared" si="9"/>
        <v>3</v>
      </c>
      <c r="J122" s="85" t="str">
        <f t="shared" si="10"/>
        <v>Mittwoch</v>
      </c>
      <c r="K122" s="92">
        <f t="shared" si="11"/>
        <v>1</v>
      </c>
      <c r="L122" s="92">
        <f t="shared" si="12"/>
        <v>0</v>
      </c>
    </row>
    <row r="123" spans="7:12" x14ac:dyDescent="0.2">
      <c r="G123" s="92">
        <f t="shared" si="8"/>
        <v>122</v>
      </c>
      <c r="H123" s="1029">
        <f t="shared" si="13"/>
        <v>43587</v>
      </c>
      <c r="I123" s="85">
        <f t="shared" si="9"/>
        <v>4</v>
      </c>
      <c r="J123" s="85" t="str">
        <f t="shared" si="10"/>
        <v>Donnerstag</v>
      </c>
      <c r="K123" s="92">
        <f t="shared" si="11"/>
        <v>1</v>
      </c>
      <c r="L123" s="92">
        <f t="shared" si="12"/>
        <v>0</v>
      </c>
    </row>
    <row r="124" spans="7:12" x14ac:dyDescent="0.2">
      <c r="G124" s="92">
        <f t="shared" si="8"/>
        <v>123</v>
      </c>
      <c r="H124" s="1029">
        <f t="shared" si="13"/>
        <v>43588</v>
      </c>
      <c r="I124" s="85">
        <f t="shared" si="9"/>
        <v>5</v>
      </c>
      <c r="J124" s="85" t="str">
        <f t="shared" si="10"/>
        <v>Freitag</v>
      </c>
      <c r="K124" s="92">
        <f t="shared" si="11"/>
        <v>1</v>
      </c>
      <c r="L124" s="92">
        <f t="shared" si="12"/>
        <v>0</v>
      </c>
    </row>
    <row r="125" spans="7:12" x14ac:dyDescent="0.2">
      <c r="G125" s="92">
        <f t="shared" si="8"/>
        <v>124</v>
      </c>
      <c r="H125" s="1029">
        <f t="shared" si="13"/>
        <v>43589</v>
      </c>
      <c r="I125" s="85">
        <f t="shared" si="9"/>
        <v>6</v>
      </c>
      <c r="J125" s="85" t="str">
        <f t="shared" si="10"/>
        <v>Samstag</v>
      </c>
      <c r="K125" s="92">
        <f t="shared" si="11"/>
        <v>0</v>
      </c>
      <c r="L125" s="92">
        <f t="shared" si="12"/>
        <v>1</v>
      </c>
    </row>
    <row r="126" spans="7:12" x14ac:dyDescent="0.2">
      <c r="G126" s="92">
        <f t="shared" si="8"/>
        <v>125</v>
      </c>
      <c r="H126" s="1029">
        <f t="shared" si="13"/>
        <v>43590</v>
      </c>
      <c r="I126" s="85">
        <f t="shared" si="9"/>
        <v>7</v>
      </c>
      <c r="J126" s="85" t="str">
        <f t="shared" si="10"/>
        <v>Sonntag</v>
      </c>
      <c r="K126" s="92">
        <f t="shared" si="11"/>
        <v>0</v>
      </c>
      <c r="L126" s="92">
        <f t="shared" si="12"/>
        <v>1</v>
      </c>
    </row>
    <row r="127" spans="7:12" x14ac:dyDescent="0.2">
      <c r="G127" s="92">
        <f t="shared" si="8"/>
        <v>126</v>
      </c>
      <c r="H127" s="1029">
        <f t="shared" si="13"/>
        <v>43591</v>
      </c>
      <c r="I127" s="85">
        <f t="shared" si="9"/>
        <v>1</v>
      </c>
      <c r="J127" s="85" t="str">
        <f t="shared" si="10"/>
        <v>Montag</v>
      </c>
      <c r="K127" s="92">
        <f t="shared" si="11"/>
        <v>1</v>
      </c>
      <c r="L127" s="92">
        <f t="shared" si="12"/>
        <v>0</v>
      </c>
    </row>
    <row r="128" spans="7:12" x14ac:dyDescent="0.2">
      <c r="G128" s="92">
        <f t="shared" si="8"/>
        <v>127</v>
      </c>
      <c r="H128" s="1029">
        <f t="shared" si="13"/>
        <v>43592</v>
      </c>
      <c r="I128" s="85">
        <f t="shared" si="9"/>
        <v>2</v>
      </c>
      <c r="J128" s="85" t="str">
        <f t="shared" si="10"/>
        <v>Dienstag</v>
      </c>
      <c r="K128" s="92">
        <f t="shared" si="11"/>
        <v>1</v>
      </c>
      <c r="L128" s="92">
        <f t="shared" si="12"/>
        <v>0</v>
      </c>
    </row>
    <row r="129" spans="7:12" x14ac:dyDescent="0.2">
      <c r="G129" s="92">
        <f t="shared" si="8"/>
        <v>128</v>
      </c>
      <c r="H129" s="1029">
        <f t="shared" si="13"/>
        <v>43593</v>
      </c>
      <c r="I129" s="85">
        <f t="shared" si="9"/>
        <v>3</v>
      </c>
      <c r="J129" s="85" t="str">
        <f t="shared" si="10"/>
        <v>Mittwoch</v>
      </c>
      <c r="K129" s="92">
        <f t="shared" si="11"/>
        <v>1</v>
      </c>
      <c r="L129" s="92">
        <f t="shared" si="12"/>
        <v>0</v>
      </c>
    </row>
    <row r="130" spans="7:12" x14ac:dyDescent="0.2">
      <c r="G130" s="92">
        <f t="shared" si="8"/>
        <v>129</v>
      </c>
      <c r="H130" s="1029">
        <f t="shared" si="13"/>
        <v>43594</v>
      </c>
      <c r="I130" s="85">
        <f t="shared" si="9"/>
        <v>4</v>
      </c>
      <c r="J130" s="85" t="str">
        <f t="shared" si="10"/>
        <v>Donnerstag</v>
      </c>
      <c r="K130" s="92">
        <f t="shared" si="11"/>
        <v>1</v>
      </c>
      <c r="L130" s="92">
        <f t="shared" si="12"/>
        <v>0</v>
      </c>
    </row>
    <row r="131" spans="7:12" x14ac:dyDescent="0.2">
      <c r="G131" s="92">
        <f t="shared" ref="G131:G185" si="14">IF(H131&lt;&gt;"",G130+1,"")</f>
        <v>130</v>
      </c>
      <c r="H131" s="1029">
        <f t="shared" si="13"/>
        <v>43595</v>
      </c>
      <c r="I131" s="85">
        <f t="shared" ref="I131:I194" si="15">IF(H131&lt;&gt;"",WEEKDAY(H131,2),"")</f>
        <v>5</v>
      </c>
      <c r="J131" s="85" t="str">
        <f t="shared" ref="J131:J185" si="16">IF(H131&lt;&gt;"",IF(I131=1,"Montag",IF(I131=2,"Dienstag",IF(I131=3,"Mittwoch",IF(I131=4,"Donnerstag",IF(I131=5,"Freitag",IF(I131=6,"Samstag",IF(I131=7,"Sonntag","#INVALID"))))))),"")</f>
        <v>Freitag</v>
      </c>
      <c r="K131" s="92">
        <f t="shared" ref="K131:K185" si="17">IF(H131&lt;&gt;"",IF(AND(I131&gt;=1,I131&lt;=5),1,0),"")</f>
        <v>1</v>
      </c>
      <c r="L131" s="92">
        <f t="shared" ref="L131:L185" si="18">IF(H131&lt;&gt;"",IF(OR(I131=6,I131=7),1,0),"")</f>
        <v>0</v>
      </c>
    </row>
    <row r="132" spans="7:12" x14ac:dyDescent="0.2">
      <c r="G132" s="92">
        <f t="shared" si="14"/>
        <v>131</v>
      </c>
      <c r="H132" s="1029">
        <f t="shared" ref="H132:H195" si="19">H131+1</f>
        <v>43596</v>
      </c>
      <c r="I132" s="85">
        <f t="shared" si="15"/>
        <v>6</v>
      </c>
      <c r="J132" s="85" t="str">
        <f t="shared" si="16"/>
        <v>Samstag</v>
      </c>
      <c r="K132" s="92">
        <f t="shared" si="17"/>
        <v>0</v>
      </c>
      <c r="L132" s="92">
        <f t="shared" si="18"/>
        <v>1</v>
      </c>
    </row>
    <row r="133" spans="7:12" x14ac:dyDescent="0.2">
      <c r="G133" s="92">
        <f t="shared" si="14"/>
        <v>132</v>
      </c>
      <c r="H133" s="1029">
        <f t="shared" si="19"/>
        <v>43597</v>
      </c>
      <c r="I133" s="85">
        <f t="shared" si="15"/>
        <v>7</v>
      </c>
      <c r="J133" s="85" t="str">
        <f t="shared" si="16"/>
        <v>Sonntag</v>
      </c>
      <c r="K133" s="92">
        <f t="shared" si="17"/>
        <v>0</v>
      </c>
      <c r="L133" s="92">
        <f t="shared" si="18"/>
        <v>1</v>
      </c>
    </row>
    <row r="134" spans="7:12" x14ac:dyDescent="0.2">
      <c r="G134" s="92">
        <f t="shared" si="14"/>
        <v>133</v>
      </c>
      <c r="H134" s="1029">
        <f t="shared" si="19"/>
        <v>43598</v>
      </c>
      <c r="I134" s="85">
        <f t="shared" si="15"/>
        <v>1</v>
      </c>
      <c r="J134" s="85" t="str">
        <f t="shared" si="16"/>
        <v>Montag</v>
      </c>
      <c r="K134" s="92">
        <f t="shared" si="17"/>
        <v>1</v>
      </c>
      <c r="L134" s="92">
        <f t="shared" si="18"/>
        <v>0</v>
      </c>
    </row>
    <row r="135" spans="7:12" x14ac:dyDescent="0.2">
      <c r="G135" s="92">
        <f t="shared" si="14"/>
        <v>134</v>
      </c>
      <c r="H135" s="1029">
        <f t="shared" si="19"/>
        <v>43599</v>
      </c>
      <c r="I135" s="85">
        <f t="shared" si="15"/>
        <v>2</v>
      </c>
      <c r="J135" s="85" t="str">
        <f t="shared" si="16"/>
        <v>Dienstag</v>
      </c>
      <c r="K135" s="92">
        <f t="shared" si="17"/>
        <v>1</v>
      </c>
      <c r="L135" s="92">
        <f t="shared" si="18"/>
        <v>0</v>
      </c>
    </row>
    <row r="136" spans="7:12" x14ac:dyDescent="0.2">
      <c r="G136" s="92">
        <f t="shared" si="14"/>
        <v>135</v>
      </c>
      <c r="H136" s="1029">
        <f t="shared" si="19"/>
        <v>43600</v>
      </c>
      <c r="I136" s="85">
        <f t="shared" si="15"/>
        <v>3</v>
      </c>
      <c r="J136" s="85" t="str">
        <f t="shared" si="16"/>
        <v>Mittwoch</v>
      </c>
      <c r="K136" s="92">
        <f t="shared" si="17"/>
        <v>1</v>
      </c>
      <c r="L136" s="92">
        <f t="shared" si="18"/>
        <v>0</v>
      </c>
    </row>
    <row r="137" spans="7:12" x14ac:dyDescent="0.2">
      <c r="G137" s="92">
        <f t="shared" si="14"/>
        <v>136</v>
      </c>
      <c r="H137" s="1029">
        <f t="shared" si="19"/>
        <v>43601</v>
      </c>
      <c r="I137" s="85">
        <f t="shared" si="15"/>
        <v>4</v>
      </c>
      <c r="J137" s="85" t="str">
        <f t="shared" si="16"/>
        <v>Donnerstag</v>
      </c>
      <c r="K137" s="92">
        <f t="shared" si="17"/>
        <v>1</v>
      </c>
      <c r="L137" s="92">
        <f t="shared" si="18"/>
        <v>0</v>
      </c>
    </row>
    <row r="138" spans="7:12" x14ac:dyDescent="0.2">
      <c r="G138" s="92">
        <f t="shared" si="14"/>
        <v>137</v>
      </c>
      <c r="H138" s="1029">
        <f t="shared" si="19"/>
        <v>43602</v>
      </c>
      <c r="I138" s="85">
        <f t="shared" si="15"/>
        <v>5</v>
      </c>
      <c r="J138" s="85" t="str">
        <f t="shared" si="16"/>
        <v>Freitag</v>
      </c>
      <c r="K138" s="92">
        <f t="shared" si="17"/>
        <v>1</v>
      </c>
      <c r="L138" s="92">
        <f t="shared" si="18"/>
        <v>0</v>
      </c>
    </row>
    <row r="139" spans="7:12" x14ac:dyDescent="0.2">
      <c r="G139" s="92">
        <f t="shared" si="14"/>
        <v>138</v>
      </c>
      <c r="H139" s="1029">
        <f t="shared" si="19"/>
        <v>43603</v>
      </c>
      <c r="I139" s="85">
        <f t="shared" si="15"/>
        <v>6</v>
      </c>
      <c r="J139" s="85" t="str">
        <f t="shared" si="16"/>
        <v>Samstag</v>
      </c>
      <c r="K139" s="92">
        <f t="shared" si="17"/>
        <v>0</v>
      </c>
      <c r="L139" s="92">
        <f t="shared" si="18"/>
        <v>1</v>
      </c>
    </row>
    <row r="140" spans="7:12" x14ac:dyDescent="0.2">
      <c r="G140" s="92">
        <f t="shared" si="14"/>
        <v>139</v>
      </c>
      <c r="H140" s="1029">
        <f t="shared" si="19"/>
        <v>43604</v>
      </c>
      <c r="I140" s="85">
        <f t="shared" si="15"/>
        <v>7</v>
      </c>
      <c r="J140" s="85" t="str">
        <f t="shared" si="16"/>
        <v>Sonntag</v>
      </c>
      <c r="K140" s="92">
        <f t="shared" si="17"/>
        <v>0</v>
      </c>
      <c r="L140" s="92">
        <f t="shared" si="18"/>
        <v>1</v>
      </c>
    </row>
    <row r="141" spans="7:12" x14ac:dyDescent="0.2">
      <c r="G141" s="92">
        <f t="shared" si="14"/>
        <v>140</v>
      </c>
      <c r="H141" s="1029">
        <f t="shared" si="19"/>
        <v>43605</v>
      </c>
      <c r="I141" s="85">
        <f t="shared" si="15"/>
        <v>1</v>
      </c>
      <c r="J141" s="85" t="str">
        <f t="shared" si="16"/>
        <v>Montag</v>
      </c>
      <c r="K141" s="92">
        <f t="shared" si="17"/>
        <v>1</v>
      </c>
      <c r="L141" s="92">
        <f t="shared" si="18"/>
        <v>0</v>
      </c>
    </row>
    <row r="142" spans="7:12" x14ac:dyDescent="0.2">
      <c r="G142" s="92">
        <f t="shared" si="14"/>
        <v>141</v>
      </c>
      <c r="H142" s="1029">
        <f t="shared" si="19"/>
        <v>43606</v>
      </c>
      <c r="I142" s="85">
        <f t="shared" si="15"/>
        <v>2</v>
      </c>
      <c r="J142" s="85" t="str">
        <f t="shared" si="16"/>
        <v>Dienstag</v>
      </c>
      <c r="K142" s="92">
        <f t="shared" si="17"/>
        <v>1</v>
      </c>
      <c r="L142" s="92">
        <f t="shared" si="18"/>
        <v>0</v>
      </c>
    </row>
    <row r="143" spans="7:12" x14ac:dyDescent="0.2">
      <c r="G143" s="92">
        <f t="shared" si="14"/>
        <v>142</v>
      </c>
      <c r="H143" s="1029">
        <f t="shared" si="19"/>
        <v>43607</v>
      </c>
      <c r="I143" s="85">
        <f t="shared" si="15"/>
        <v>3</v>
      </c>
      <c r="J143" s="85" t="str">
        <f t="shared" si="16"/>
        <v>Mittwoch</v>
      </c>
      <c r="K143" s="92">
        <f t="shared" si="17"/>
        <v>1</v>
      </c>
      <c r="L143" s="92">
        <f t="shared" si="18"/>
        <v>0</v>
      </c>
    </row>
    <row r="144" spans="7:12" x14ac:dyDescent="0.2">
      <c r="G144" s="92">
        <f t="shared" si="14"/>
        <v>143</v>
      </c>
      <c r="H144" s="1029">
        <f t="shared" si="19"/>
        <v>43608</v>
      </c>
      <c r="I144" s="85">
        <f t="shared" si="15"/>
        <v>4</v>
      </c>
      <c r="J144" s="85" t="str">
        <f t="shared" si="16"/>
        <v>Donnerstag</v>
      </c>
      <c r="K144" s="92">
        <f t="shared" si="17"/>
        <v>1</v>
      </c>
      <c r="L144" s="92">
        <f t="shared" si="18"/>
        <v>0</v>
      </c>
    </row>
    <row r="145" spans="7:12" x14ac:dyDescent="0.2">
      <c r="G145" s="92">
        <f t="shared" si="14"/>
        <v>144</v>
      </c>
      <c r="H145" s="1029">
        <f t="shared" si="19"/>
        <v>43609</v>
      </c>
      <c r="I145" s="85">
        <f t="shared" si="15"/>
        <v>5</v>
      </c>
      <c r="J145" s="85" t="str">
        <f t="shared" si="16"/>
        <v>Freitag</v>
      </c>
      <c r="K145" s="92">
        <f t="shared" si="17"/>
        <v>1</v>
      </c>
      <c r="L145" s="92">
        <f t="shared" si="18"/>
        <v>0</v>
      </c>
    </row>
    <row r="146" spans="7:12" x14ac:dyDescent="0.2">
      <c r="G146" s="92">
        <f t="shared" si="14"/>
        <v>145</v>
      </c>
      <c r="H146" s="1029">
        <f t="shared" si="19"/>
        <v>43610</v>
      </c>
      <c r="I146" s="85">
        <f t="shared" si="15"/>
        <v>6</v>
      </c>
      <c r="J146" s="85" t="str">
        <f t="shared" si="16"/>
        <v>Samstag</v>
      </c>
      <c r="K146" s="92">
        <f t="shared" si="17"/>
        <v>0</v>
      </c>
      <c r="L146" s="92">
        <f t="shared" si="18"/>
        <v>1</v>
      </c>
    </row>
    <row r="147" spans="7:12" x14ac:dyDescent="0.2">
      <c r="G147" s="92">
        <f t="shared" si="14"/>
        <v>146</v>
      </c>
      <c r="H147" s="1029">
        <f t="shared" si="19"/>
        <v>43611</v>
      </c>
      <c r="I147" s="85">
        <f t="shared" si="15"/>
        <v>7</v>
      </c>
      <c r="J147" s="85" t="str">
        <f t="shared" si="16"/>
        <v>Sonntag</v>
      </c>
      <c r="K147" s="92">
        <f t="shared" si="17"/>
        <v>0</v>
      </c>
      <c r="L147" s="92">
        <f t="shared" si="18"/>
        <v>1</v>
      </c>
    </row>
    <row r="148" spans="7:12" x14ac:dyDescent="0.2">
      <c r="G148" s="92">
        <f t="shared" si="14"/>
        <v>147</v>
      </c>
      <c r="H148" s="1029">
        <f t="shared" si="19"/>
        <v>43612</v>
      </c>
      <c r="I148" s="85">
        <f t="shared" si="15"/>
        <v>1</v>
      </c>
      <c r="J148" s="85" t="str">
        <f t="shared" si="16"/>
        <v>Montag</v>
      </c>
      <c r="K148" s="92">
        <f t="shared" si="17"/>
        <v>1</v>
      </c>
      <c r="L148" s="92">
        <f t="shared" si="18"/>
        <v>0</v>
      </c>
    </row>
    <row r="149" spans="7:12" x14ac:dyDescent="0.2">
      <c r="G149" s="92">
        <f t="shared" si="14"/>
        <v>148</v>
      </c>
      <c r="H149" s="1029">
        <f t="shared" si="19"/>
        <v>43613</v>
      </c>
      <c r="I149" s="85">
        <f t="shared" si="15"/>
        <v>2</v>
      </c>
      <c r="J149" s="85" t="str">
        <f t="shared" si="16"/>
        <v>Dienstag</v>
      </c>
      <c r="K149" s="92">
        <f t="shared" si="17"/>
        <v>1</v>
      </c>
      <c r="L149" s="92">
        <f t="shared" si="18"/>
        <v>0</v>
      </c>
    </row>
    <row r="150" spans="7:12" x14ac:dyDescent="0.2">
      <c r="G150" s="92">
        <f t="shared" si="14"/>
        <v>149</v>
      </c>
      <c r="H150" s="1029">
        <f t="shared" si="19"/>
        <v>43614</v>
      </c>
      <c r="I150" s="85">
        <f t="shared" si="15"/>
        <v>3</v>
      </c>
      <c r="J150" s="85" t="str">
        <f t="shared" si="16"/>
        <v>Mittwoch</v>
      </c>
      <c r="K150" s="92">
        <f t="shared" si="17"/>
        <v>1</v>
      </c>
      <c r="L150" s="92">
        <f t="shared" si="18"/>
        <v>0</v>
      </c>
    </row>
    <row r="151" spans="7:12" x14ac:dyDescent="0.2">
      <c r="G151" s="92">
        <f t="shared" si="14"/>
        <v>150</v>
      </c>
      <c r="H151" s="1029">
        <f t="shared" si="19"/>
        <v>43615</v>
      </c>
      <c r="I151" s="85">
        <f t="shared" si="15"/>
        <v>4</v>
      </c>
      <c r="J151" s="85" t="str">
        <f t="shared" si="16"/>
        <v>Donnerstag</v>
      </c>
      <c r="K151" s="92">
        <f t="shared" si="17"/>
        <v>1</v>
      </c>
      <c r="L151" s="92">
        <f t="shared" si="18"/>
        <v>0</v>
      </c>
    </row>
    <row r="152" spans="7:12" x14ac:dyDescent="0.2">
      <c r="G152" s="92">
        <f t="shared" si="14"/>
        <v>151</v>
      </c>
      <c r="H152" s="1029">
        <f t="shared" si="19"/>
        <v>43616</v>
      </c>
      <c r="I152" s="85">
        <f t="shared" si="15"/>
        <v>5</v>
      </c>
      <c r="J152" s="85" t="str">
        <f t="shared" si="16"/>
        <v>Freitag</v>
      </c>
      <c r="K152" s="92">
        <f t="shared" si="17"/>
        <v>1</v>
      </c>
      <c r="L152" s="92">
        <f t="shared" si="18"/>
        <v>0</v>
      </c>
    </row>
    <row r="153" spans="7:12" x14ac:dyDescent="0.2">
      <c r="G153" s="92">
        <f t="shared" si="14"/>
        <v>152</v>
      </c>
      <c r="H153" s="1029">
        <f t="shared" si="19"/>
        <v>43617</v>
      </c>
      <c r="I153" s="85">
        <f t="shared" si="15"/>
        <v>6</v>
      </c>
      <c r="J153" s="85" t="str">
        <f t="shared" si="16"/>
        <v>Samstag</v>
      </c>
      <c r="K153" s="92">
        <f t="shared" si="17"/>
        <v>0</v>
      </c>
      <c r="L153" s="92">
        <f t="shared" si="18"/>
        <v>1</v>
      </c>
    </row>
    <row r="154" spans="7:12" x14ac:dyDescent="0.2">
      <c r="G154" s="92">
        <f t="shared" si="14"/>
        <v>153</v>
      </c>
      <c r="H154" s="1029">
        <f t="shared" si="19"/>
        <v>43618</v>
      </c>
      <c r="I154" s="85">
        <f t="shared" si="15"/>
        <v>7</v>
      </c>
      <c r="J154" s="85" t="str">
        <f t="shared" si="16"/>
        <v>Sonntag</v>
      </c>
      <c r="K154" s="92">
        <f t="shared" si="17"/>
        <v>0</v>
      </c>
      <c r="L154" s="92">
        <f t="shared" si="18"/>
        <v>1</v>
      </c>
    </row>
    <row r="155" spans="7:12" x14ac:dyDescent="0.2">
      <c r="G155" s="92">
        <f t="shared" si="14"/>
        <v>154</v>
      </c>
      <c r="H155" s="1029">
        <f t="shared" si="19"/>
        <v>43619</v>
      </c>
      <c r="I155" s="85">
        <f t="shared" si="15"/>
        <v>1</v>
      </c>
      <c r="J155" s="85" t="str">
        <f t="shared" si="16"/>
        <v>Montag</v>
      </c>
      <c r="K155" s="92">
        <f t="shared" si="17"/>
        <v>1</v>
      </c>
      <c r="L155" s="92">
        <f t="shared" si="18"/>
        <v>0</v>
      </c>
    </row>
    <row r="156" spans="7:12" x14ac:dyDescent="0.2">
      <c r="G156" s="92">
        <f t="shared" si="14"/>
        <v>155</v>
      </c>
      <c r="H156" s="1029">
        <f t="shared" si="19"/>
        <v>43620</v>
      </c>
      <c r="I156" s="85">
        <f t="shared" si="15"/>
        <v>2</v>
      </c>
      <c r="J156" s="85" t="str">
        <f t="shared" si="16"/>
        <v>Dienstag</v>
      </c>
      <c r="K156" s="92">
        <f t="shared" si="17"/>
        <v>1</v>
      </c>
      <c r="L156" s="92">
        <f t="shared" si="18"/>
        <v>0</v>
      </c>
    </row>
    <row r="157" spans="7:12" x14ac:dyDescent="0.2">
      <c r="G157" s="92">
        <f t="shared" si="14"/>
        <v>156</v>
      </c>
      <c r="H157" s="1029">
        <f t="shared" si="19"/>
        <v>43621</v>
      </c>
      <c r="I157" s="85">
        <f t="shared" si="15"/>
        <v>3</v>
      </c>
      <c r="J157" s="85" t="str">
        <f t="shared" si="16"/>
        <v>Mittwoch</v>
      </c>
      <c r="K157" s="92">
        <f t="shared" si="17"/>
        <v>1</v>
      </c>
      <c r="L157" s="92">
        <f t="shared" si="18"/>
        <v>0</v>
      </c>
    </row>
    <row r="158" spans="7:12" x14ac:dyDescent="0.2">
      <c r="G158" s="92">
        <f t="shared" si="14"/>
        <v>157</v>
      </c>
      <c r="H158" s="1029">
        <f t="shared" si="19"/>
        <v>43622</v>
      </c>
      <c r="I158" s="85">
        <f t="shared" si="15"/>
        <v>4</v>
      </c>
      <c r="J158" s="85" t="str">
        <f t="shared" si="16"/>
        <v>Donnerstag</v>
      </c>
      <c r="K158" s="92">
        <f t="shared" si="17"/>
        <v>1</v>
      </c>
      <c r="L158" s="92">
        <f t="shared" si="18"/>
        <v>0</v>
      </c>
    </row>
    <row r="159" spans="7:12" x14ac:dyDescent="0.2">
      <c r="G159" s="92">
        <f t="shared" si="14"/>
        <v>158</v>
      </c>
      <c r="H159" s="1029">
        <f t="shared" si="19"/>
        <v>43623</v>
      </c>
      <c r="I159" s="85">
        <f t="shared" si="15"/>
        <v>5</v>
      </c>
      <c r="J159" s="85" t="str">
        <f t="shared" si="16"/>
        <v>Freitag</v>
      </c>
      <c r="K159" s="92">
        <f t="shared" si="17"/>
        <v>1</v>
      </c>
      <c r="L159" s="92">
        <f t="shared" si="18"/>
        <v>0</v>
      </c>
    </row>
    <row r="160" spans="7:12" x14ac:dyDescent="0.2">
      <c r="G160" s="92">
        <f t="shared" si="14"/>
        <v>159</v>
      </c>
      <c r="H160" s="1029">
        <f t="shared" si="19"/>
        <v>43624</v>
      </c>
      <c r="I160" s="85">
        <f t="shared" si="15"/>
        <v>6</v>
      </c>
      <c r="J160" s="85" t="str">
        <f t="shared" si="16"/>
        <v>Samstag</v>
      </c>
      <c r="K160" s="92">
        <f t="shared" si="17"/>
        <v>0</v>
      </c>
      <c r="L160" s="92">
        <f t="shared" si="18"/>
        <v>1</v>
      </c>
    </row>
    <row r="161" spans="7:12" x14ac:dyDescent="0.2">
      <c r="G161" s="92">
        <f t="shared" si="14"/>
        <v>160</v>
      </c>
      <c r="H161" s="1029">
        <f t="shared" si="19"/>
        <v>43625</v>
      </c>
      <c r="I161" s="85">
        <f t="shared" si="15"/>
        <v>7</v>
      </c>
      <c r="J161" s="85" t="str">
        <f t="shared" si="16"/>
        <v>Sonntag</v>
      </c>
      <c r="K161" s="92">
        <f t="shared" si="17"/>
        <v>0</v>
      </c>
      <c r="L161" s="92">
        <f t="shared" si="18"/>
        <v>1</v>
      </c>
    </row>
    <row r="162" spans="7:12" x14ac:dyDescent="0.2">
      <c r="G162" s="92">
        <f t="shared" si="14"/>
        <v>161</v>
      </c>
      <c r="H162" s="1029">
        <f t="shared" si="19"/>
        <v>43626</v>
      </c>
      <c r="I162" s="85">
        <f t="shared" si="15"/>
        <v>1</v>
      </c>
      <c r="J162" s="85" t="str">
        <f t="shared" si="16"/>
        <v>Montag</v>
      </c>
      <c r="K162" s="92">
        <f t="shared" si="17"/>
        <v>1</v>
      </c>
      <c r="L162" s="92">
        <f t="shared" si="18"/>
        <v>0</v>
      </c>
    </row>
    <row r="163" spans="7:12" x14ac:dyDescent="0.2">
      <c r="G163" s="92">
        <f t="shared" si="14"/>
        <v>162</v>
      </c>
      <c r="H163" s="1029">
        <f t="shared" si="19"/>
        <v>43627</v>
      </c>
      <c r="I163" s="85">
        <f t="shared" si="15"/>
        <v>2</v>
      </c>
      <c r="J163" s="85" t="str">
        <f t="shared" si="16"/>
        <v>Dienstag</v>
      </c>
      <c r="K163" s="92">
        <f t="shared" si="17"/>
        <v>1</v>
      </c>
      <c r="L163" s="92">
        <f t="shared" si="18"/>
        <v>0</v>
      </c>
    </row>
    <row r="164" spans="7:12" x14ac:dyDescent="0.2">
      <c r="G164" s="92">
        <f t="shared" si="14"/>
        <v>163</v>
      </c>
      <c r="H164" s="1029">
        <f t="shared" si="19"/>
        <v>43628</v>
      </c>
      <c r="I164" s="85">
        <f t="shared" si="15"/>
        <v>3</v>
      </c>
      <c r="J164" s="85" t="str">
        <f t="shared" si="16"/>
        <v>Mittwoch</v>
      </c>
      <c r="K164" s="92">
        <f t="shared" si="17"/>
        <v>1</v>
      </c>
      <c r="L164" s="92">
        <f t="shared" si="18"/>
        <v>0</v>
      </c>
    </row>
    <row r="165" spans="7:12" x14ac:dyDescent="0.2">
      <c r="G165" s="92">
        <f t="shared" si="14"/>
        <v>164</v>
      </c>
      <c r="H165" s="1029">
        <f t="shared" si="19"/>
        <v>43629</v>
      </c>
      <c r="I165" s="85">
        <f t="shared" si="15"/>
        <v>4</v>
      </c>
      <c r="J165" s="85" t="str">
        <f t="shared" si="16"/>
        <v>Donnerstag</v>
      </c>
      <c r="K165" s="92">
        <f t="shared" si="17"/>
        <v>1</v>
      </c>
      <c r="L165" s="92">
        <f t="shared" si="18"/>
        <v>0</v>
      </c>
    </row>
    <row r="166" spans="7:12" x14ac:dyDescent="0.2">
      <c r="G166" s="92">
        <f t="shared" si="14"/>
        <v>165</v>
      </c>
      <c r="H166" s="1029">
        <f t="shared" si="19"/>
        <v>43630</v>
      </c>
      <c r="I166" s="85">
        <f t="shared" si="15"/>
        <v>5</v>
      </c>
      <c r="J166" s="85" t="str">
        <f t="shared" si="16"/>
        <v>Freitag</v>
      </c>
      <c r="K166" s="92">
        <f t="shared" si="17"/>
        <v>1</v>
      </c>
      <c r="L166" s="92">
        <f t="shared" si="18"/>
        <v>0</v>
      </c>
    </row>
    <row r="167" spans="7:12" x14ac:dyDescent="0.2">
      <c r="G167" s="92">
        <f t="shared" si="14"/>
        <v>166</v>
      </c>
      <c r="H167" s="1029">
        <f t="shared" si="19"/>
        <v>43631</v>
      </c>
      <c r="I167" s="85">
        <f t="shared" si="15"/>
        <v>6</v>
      </c>
      <c r="J167" s="85" t="str">
        <f t="shared" si="16"/>
        <v>Samstag</v>
      </c>
      <c r="K167" s="92">
        <f t="shared" si="17"/>
        <v>0</v>
      </c>
      <c r="L167" s="92">
        <f t="shared" si="18"/>
        <v>1</v>
      </c>
    </row>
    <row r="168" spans="7:12" x14ac:dyDescent="0.2">
      <c r="G168" s="92">
        <f t="shared" si="14"/>
        <v>167</v>
      </c>
      <c r="H168" s="1029">
        <f t="shared" si="19"/>
        <v>43632</v>
      </c>
      <c r="I168" s="85">
        <f t="shared" si="15"/>
        <v>7</v>
      </c>
      <c r="J168" s="85" t="str">
        <f t="shared" si="16"/>
        <v>Sonntag</v>
      </c>
      <c r="K168" s="92">
        <f t="shared" si="17"/>
        <v>0</v>
      </c>
      <c r="L168" s="92">
        <f t="shared" si="18"/>
        <v>1</v>
      </c>
    </row>
    <row r="169" spans="7:12" x14ac:dyDescent="0.2">
      <c r="G169" s="92">
        <f t="shared" si="14"/>
        <v>168</v>
      </c>
      <c r="H169" s="1029">
        <f t="shared" si="19"/>
        <v>43633</v>
      </c>
      <c r="I169" s="85">
        <f t="shared" si="15"/>
        <v>1</v>
      </c>
      <c r="J169" s="85" t="str">
        <f t="shared" si="16"/>
        <v>Montag</v>
      </c>
      <c r="K169" s="92">
        <f t="shared" si="17"/>
        <v>1</v>
      </c>
      <c r="L169" s="92">
        <f t="shared" si="18"/>
        <v>0</v>
      </c>
    </row>
    <row r="170" spans="7:12" x14ac:dyDescent="0.2">
      <c r="G170" s="92">
        <f t="shared" si="14"/>
        <v>169</v>
      </c>
      <c r="H170" s="1029">
        <f t="shared" si="19"/>
        <v>43634</v>
      </c>
      <c r="I170" s="85">
        <f t="shared" si="15"/>
        <v>2</v>
      </c>
      <c r="J170" s="85" t="str">
        <f t="shared" si="16"/>
        <v>Dienstag</v>
      </c>
      <c r="K170" s="92">
        <f t="shared" si="17"/>
        <v>1</v>
      </c>
      <c r="L170" s="92">
        <f t="shared" si="18"/>
        <v>0</v>
      </c>
    </row>
    <row r="171" spans="7:12" x14ac:dyDescent="0.2">
      <c r="G171" s="92">
        <f t="shared" si="14"/>
        <v>170</v>
      </c>
      <c r="H171" s="1029">
        <f t="shared" si="19"/>
        <v>43635</v>
      </c>
      <c r="I171" s="85">
        <f t="shared" si="15"/>
        <v>3</v>
      </c>
      <c r="J171" s="85" t="str">
        <f t="shared" si="16"/>
        <v>Mittwoch</v>
      </c>
      <c r="K171" s="92">
        <f t="shared" si="17"/>
        <v>1</v>
      </c>
      <c r="L171" s="92">
        <f t="shared" si="18"/>
        <v>0</v>
      </c>
    </row>
    <row r="172" spans="7:12" x14ac:dyDescent="0.2">
      <c r="G172" s="92">
        <f t="shared" si="14"/>
        <v>171</v>
      </c>
      <c r="H172" s="1029">
        <f t="shared" si="19"/>
        <v>43636</v>
      </c>
      <c r="I172" s="85">
        <f t="shared" si="15"/>
        <v>4</v>
      </c>
      <c r="J172" s="85" t="str">
        <f t="shared" si="16"/>
        <v>Donnerstag</v>
      </c>
      <c r="K172" s="92">
        <f t="shared" si="17"/>
        <v>1</v>
      </c>
      <c r="L172" s="92">
        <f t="shared" si="18"/>
        <v>0</v>
      </c>
    </row>
    <row r="173" spans="7:12" x14ac:dyDescent="0.2">
      <c r="G173" s="92">
        <f t="shared" si="14"/>
        <v>172</v>
      </c>
      <c r="H173" s="1029">
        <f t="shared" si="19"/>
        <v>43637</v>
      </c>
      <c r="I173" s="85">
        <f t="shared" si="15"/>
        <v>5</v>
      </c>
      <c r="J173" s="85" t="str">
        <f t="shared" si="16"/>
        <v>Freitag</v>
      </c>
      <c r="K173" s="92">
        <f t="shared" si="17"/>
        <v>1</v>
      </c>
      <c r="L173" s="92">
        <f t="shared" si="18"/>
        <v>0</v>
      </c>
    </row>
    <row r="174" spans="7:12" x14ac:dyDescent="0.2">
      <c r="G174" s="92">
        <f t="shared" si="14"/>
        <v>173</v>
      </c>
      <c r="H174" s="1029">
        <f t="shared" si="19"/>
        <v>43638</v>
      </c>
      <c r="I174" s="85">
        <f t="shared" si="15"/>
        <v>6</v>
      </c>
      <c r="J174" s="85" t="str">
        <f t="shared" si="16"/>
        <v>Samstag</v>
      </c>
      <c r="K174" s="92">
        <f t="shared" si="17"/>
        <v>0</v>
      </c>
      <c r="L174" s="92">
        <f t="shared" si="18"/>
        <v>1</v>
      </c>
    </row>
    <row r="175" spans="7:12" x14ac:dyDescent="0.2">
      <c r="G175" s="92">
        <f t="shared" si="14"/>
        <v>174</v>
      </c>
      <c r="H175" s="1029">
        <f t="shared" si="19"/>
        <v>43639</v>
      </c>
      <c r="I175" s="85">
        <f t="shared" si="15"/>
        <v>7</v>
      </c>
      <c r="J175" s="85" t="str">
        <f t="shared" si="16"/>
        <v>Sonntag</v>
      </c>
      <c r="K175" s="92">
        <f t="shared" si="17"/>
        <v>0</v>
      </c>
      <c r="L175" s="92">
        <f t="shared" si="18"/>
        <v>1</v>
      </c>
    </row>
    <row r="176" spans="7:12" x14ac:dyDescent="0.2">
      <c r="G176" s="92">
        <f t="shared" si="14"/>
        <v>175</v>
      </c>
      <c r="H176" s="1029">
        <f t="shared" si="19"/>
        <v>43640</v>
      </c>
      <c r="I176" s="85">
        <f t="shared" si="15"/>
        <v>1</v>
      </c>
      <c r="J176" s="85" t="str">
        <f t="shared" si="16"/>
        <v>Montag</v>
      </c>
      <c r="K176" s="92">
        <f t="shared" si="17"/>
        <v>1</v>
      </c>
      <c r="L176" s="92">
        <f t="shared" si="18"/>
        <v>0</v>
      </c>
    </row>
    <row r="177" spans="7:12" x14ac:dyDescent="0.2">
      <c r="G177" s="92">
        <f t="shared" si="14"/>
        <v>176</v>
      </c>
      <c r="H177" s="1029">
        <f t="shared" si="19"/>
        <v>43641</v>
      </c>
      <c r="I177" s="85">
        <f t="shared" si="15"/>
        <v>2</v>
      </c>
      <c r="J177" s="85" t="str">
        <f t="shared" si="16"/>
        <v>Dienstag</v>
      </c>
      <c r="K177" s="92">
        <f t="shared" si="17"/>
        <v>1</v>
      </c>
      <c r="L177" s="92">
        <f t="shared" si="18"/>
        <v>0</v>
      </c>
    </row>
    <row r="178" spans="7:12" x14ac:dyDescent="0.2">
      <c r="G178" s="92">
        <f t="shared" si="14"/>
        <v>177</v>
      </c>
      <c r="H178" s="1029">
        <f t="shared" si="19"/>
        <v>43642</v>
      </c>
      <c r="I178" s="85">
        <f t="shared" si="15"/>
        <v>3</v>
      </c>
      <c r="J178" s="85" t="str">
        <f t="shared" si="16"/>
        <v>Mittwoch</v>
      </c>
      <c r="K178" s="92">
        <f t="shared" si="17"/>
        <v>1</v>
      </c>
      <c r="L178" s="92">
        <f t="shared" si="18"/>
        <v>0</v>
      </c>
    </row>
    <row r="179" spans="7:12" x14ac:dyDescent="0.2">
      <c r="G179" s="92">
        <f t="shared" si="14"/>
        <v>178</v>
      </c>
      <c r="H179" s="1029">
        <f t="shared" si="19"/>
        <v>43643</v>
      </c>
      <c r="I179" s="85">
        <f t="shared" si="15"/>
        <v>4</v>
      </c>
      <c r="J179" s="85" t="str">
        <f t="shared" si="16"/>
        <v>Donnerstag</v>
      </c>
      <c r="K179" s="92">
        <f t="shared" si="17"/>
        <v>1</v>
      </c>
      <c r="L179" s="92">
        <f t="shared" si="18"/>
        <v>0</v>
      </c>
    </row>
    <row r="180" spans="7:12" x14ac:dyDescent="0.2">
      <c r="G180" s="92">
        <f t="shared" si="14"/>
        <v>179</v>
      </c>
      <c r="H180" s="1029">
        <f t="shared" si="19"/>
        <v>43644</v>
      </c>
      <c r="I180" s="85">
        <f t="shared" si="15"/>
        <v>5</v>
      </c>
      <c r="J180" s="85" t="str">
        <f t="shared" si="16"/>
        <v>Freitag</v>
      </c>
      <c r="K180" s="92">
        <f t="shared" si="17"/>
        <v>1</v>
      </c>
      <c r="L180" s="92">
        <f t="shared" si="18"/>
        <v>0</v>
      </c>
    </row>
    <row r="181" spans="7:12" x14ac:dyDescent="0.2">
      <c r="G181" s="92">
        <f t="shared" si="14"/>
        <v>180</v>
      </c>
      <c r="H181" s="1029">
        <f t="shared" si="19"/>
        <v>43645</v>
      </c>
      <c r="I181" s="85">
        <f t="shared" si="15"/>
        <v>6</v>
      </c>
      <c r="J181" s="85" t="str">
        <f t="shared" si="16"/>
        <v>Samstag</v>
      </c>
      <c r="K181" s="92">
        <f t="shared" si="17"/>
        <v>0</v>
      </c>
      <c r="L181" s="92">
        <f t="shared" si="18"/>
        <v>1</v>
      </c>
    </row>
    <row r="182" spans="7:12" x14ac:dyDescent="0.2">
      <c r="G182" s="92">
        <f t="shared" si="14"/>
        <v>181</v>
      </c>
      <c r="H182" s="1029">
        <f t="shared" si="19"/>
        <v>43646</v>
      </c>
      <c r="I182" s="85">
        <f t="shared" si="15"/>
        <v>7</v>
      </c>
      <c r="J182" s="85" t="str">
        <f t="shared" si="16"/>
        <v>Sonntag</v>
      </c>
      <c r="K182" s="92">
        <f t="shared" si="17"/>
        <v>0</v>
      </c>
      <c r="L182" s="92">
        <f t="shared" si="18"/>
        <v>1</v>
      </c>
    </row>
    <row r="183" spans="7:12" x14ac:dyDescent="0.2">
      <c r="G183" s="92">
        <f t="shared" si="14"/>
        <v>182</v>
      </c>
      <c r="H183" s="1029">
        <f t="shared" si="19"/>
        <v>43647</v>
      </c>
      <c r="I183" s="85">
        <f t="shared" si="15"/>
        <v>1</v>
      </c>
      <c r="J183" s="85" t="str">
        <f t="shared" si="16"/>
        <v>Montag</v>
      </c>
      <c r="K183" s="92">
        <f t="shared" si="17"/>
        <v>1</v>
      </c>
      <c r="L183" s="92">
        <f t="shared" si="18"/>
        <v>0</v>
      </c>
    </row>
    <row r="184" spans="7:12" x14ac:dyDescent="0.2">
      <c r="G184" s="92">
        <f t="shared" si="14"/>
        <v>183</v>
      </c>
      <c r="H184" s="1029">
        <f t="shared" si="19"/>
        <v>43648</v>
      </c>
      <c r="I184" s="85">
        <f t="shared" si="15"/>
        <v>2</v>
      </c>
      <c r="J184" s="85" t="str">
        <f t="shared" si="16"/>
        <v>Dienstag</v>
      </c>
      <c r="K184" s="92">
        <f t="shared" si="17"/>
        <v>1</v>
      </c>
      <c r="L184" s="92">
        <f t="shared" si="18"/>
        <v>0</v>
      </c>
    </row>
    <row r="185" spans="7:12" x14ac:dyDescent="0.2">
      <c r="G185" s="92">
        <f t="shared" si="14"/>
        <v>184</v>
      </c>
      <c r="H185" s="1029">
        <f t="shared" si="19"/>
        <v>43649</v>
      </c>
      <c r="I185" s="85">
        <f t="shared" si="15"/>
        <v>3</v>
      </c>
      <c r="J185" s="85" t="str">
        <f t="shared" si="16"/>
        <v>Mittwoch</v>
      </c>
      <c r="K185" s="92">
        <f t="shared" si="17"/>
        <v>1</v>
      </c>
      <c r="L185" s="92">
        <f t="shared" si="18"/>
        <v>0</v>
      </c>
    </row>
    <row r="186" spans="7:12" x14ac:dyDescent="0.2">
      <c r="G186" s="92">
        <f t="shared" ref="G186:G249" si="20">IF(H186&lt;&gt;"",G185+1,"")</f>
        <v>185</v>
      </c>
      <c r="H186" s="1029">
        <f t="shared" si="19"/>
        <v>43650</v>
      </c>
      <c r="I186" s="85">
        <f t="shared" si="15"/>
        <v>4</v>
      </c>
      <c r="J186" s="85" t="str">
        <f t="shared" ref="J186:J249" si="21">IF(H186&lt;&gt;"",IF(I186=1,"Montag",IF(I186=2,"Dienstag",IF(I186=3,"Mittwoch",IF(I186=4,"Donnerstag",IF(I186=5,"Freitag",IF(I186=6,"Samstag",IF(I186=7,"Sonntag","#INVALID"))))))),"")</f>
        <v>Donnerstag</v>
      </c>
      <c r="K186" s="92">
        <f t="shared" ref="K186:K249" si="22">IF(H186&lt;&gt;"",IF(AND(I186&gt;=1,I186&lt;=5),1,0),"")</f>
        <v>1</v>
      </c>
      <c r="L186" s="92">
        <f t="shared" ref="L186:L249" si="23">IF(H186&lt;&gt;"",IF(OR(I186=6,I186=7),1,0),"")</f>
        <v>0</v>
      </c>
    </row>
    <row r="187" spans="7:12" x14ac:dyDescent="0.2">
      <c r="G187" s="92">
        <f t="shared" si="20"/>
        <v>186</v>
      </c>
      <c r="H187" s="1029">
        <f t="shared" si="19"/>
        <v>43651</v>
      </c>
      <c r="I187" s="85">
        <f t="shared" si="15"/>
        <v>5</v>
      </c>
      <c r="J187" s="85" t="str">
        <f t="shared" si="21"/>
        <v>Freitag</v>
      </c>
      <c r="K187" s="92">
        <f t="shared" si="22"/>
        <v>1</v>
      </c>
      <c r="L187" s="92">
        <f t="shared" si="23"/>
        <v>0</v>
      </c>
    </row>
    <row r="188" spans="7:12" x14ac:dyDescent="0.2">
      <c r="G188" s="92">
        <f t="shared" si="20"/>
        <v>187</v>
      </c>
      <c r="H188" s="1029">
        <f t="shared" si="19"/>
        <v>43652</v>
      </c>
      <c r="I188" s="85">
        <f t="shared" si="15"/>
        <v>6</v>
      </c>
      <c r="J188" s="85" t="str">
        <f t="shared" si="21"/>
        <v>Samstag</v>
      </c>
      <c r="K188" s="92">
        <f t="shared" si="22"/>
        <v>0</v>
      </c>
      <c r="L188" s="92">
        <f t="shared" si="23"/>
        <v>1</v>
      </c>
    </row>
    <row r="189" spans="7:12" x14ac:dyDescent="0.2">
      <c r="G189" s="92">
        <f t="shared" si="20"/>
        <v>188</v>
      </c>
      <c r="H189" s="1029">
        <f t="shared" si="19"/>
        <v>43653</v>
      </c>
      <c r="I189" s="85">
        <f t="shared" si="15"/>
        <v>7</v>
      </c>
      <c r="J189" s="85" t="str">
        <f t="shared" si="21"/>
        <v>Sonntag</v>
      </c>
      <c r="K189" s="92">
        <f t="shared" si="22"/>
        <v>0</v>
      </c>
      <c r="L189" s="92">
        <f t="shared" si="23"/>
        <v>1</v>
      </c>
    </row>
    <row r="190" spans="7:12" x14ac:dyDescent="0.2">
      <c r="G190" s="92">
        <f t="shared" si="20"/>
        <v>189</v>
      </c>
      <c r="H190" s="1029">
        <f t="shared" si="19"/>
        <v>43654</v>
      </c>
      <c r="I190" s="85">
        <f t="shared" si="15"/>
        <v>1</v>
      </c>
      <c r="J190" s="85" t="str">
        <f t="shared" si="21"/>
        <v>Montag</v>
      </c>
      <c r="K190" s="92">
        <f t="shared" si="22"/>
        <v>1</v>
      </c>
      <c r="L190" s="92">
        <f t="shared" si="23"/>
        <v>0</v>
      </c>
    </row>
    <row r="191" spans="7:12" x14ac:dyDescent="0.2">
      <c r="G191" s="92">
        <f t="shared" si="20"/>
        <v>190</v>
      </c>
      <c r="H191" s="1029">
        <f t="shared" si="19"/>
        <v>43655</v>
      </c>
      <c r="I191" s="85">
        <f t="shared" si="15"/>
        <v>2</v>
      </c>
      <c r="J191" s="85" t="str">
        <f t="shared" si="21"/>
        <v>Dienstag</v>
      </c>
      <c r="K191" s="92">
        <f t="shared" si="22"/>
        <v>1</v>
      </c>
      <c r="L191" s="92">
        <f t="shared" si="23"/>
        <v>0</v>
      </c>
    </row>
    <row r="192" spans="7:12" x14ac:dyDescent="0.2">
      <c r="G192" s="92">
        <f t="shared" si="20"/>
        <v>191</v>
      </c>
      <c r="H192" s="1029">
        <f t="shared" si="19"/>
        <v>43656</v>
      </c>
      <c r="I192" s="85">
        <f t="shared" si="15"/>
        <v>3</v>
      </c>
      <c r="J192" s="85" t="str">
        <f t="shared" si="21"/>
        <v>Mittwoch</v>
      </c>
      <c r="K192" s="92">
        <f t="shared" si="22"/>
        <v>1</v>
      </c>
      <c r="L192" s="92">
        <f t="shared" si="23"/>
        <v>0</v>
      </c>
    </row>
    <row r="193" spans="7:12" x14ac:dyDescent="0.2">
      <c r="G193" s="92">
        <f t="shared" si="20"/>
        <v>192</v>
      </c>
      <c r="H193" s="1029">
        <f t="shared" si="19"/>
        <v>43657</v>
      </c>
      <c r="I193" s="85">
        <f t="shared" si="15"/>
        <v>4</v>
      </c>
      <c r="J193" s="85" t="str">
        <f t="shared" si="21"/>
        <v>Donnerstag</v>
      </c>
      <c r="K193" s="92">
        <f t="shared" si="22"/>
        <v>1</v>
      </c>
      <c r="L193" s="92">
        <f t="shared" si="23"/>
        <v>0</v>
      </c>
    </row>
    <row r="194" spans="7:12" x14ac:dyDescent="0.2">
      <c r="G194" s="92">
        <f t="shared" si="20"/>
        <v>193</v>
      </c>
      <c r="H194" s="1029">
        <f t="shared" si="19"/>
        <v>43658</v>
      </c>
      <c r="I194" s="85">
        <f t="shared" si="15"/>
        <v>5</v>
      </c>
      <c r="J194" s="85" t="str">
        <f t="shared" si="21"/>
        <v>Freitag</v>
      </c>
      <c r="K194" s="92">
        <f t="shared" si="22"/>
        <v>1</v>
      </c>
      <c r="L194" s="92">
        <f t="shared" si="23"/>
        <v>0</v>
      </c>
    </row>
    <row r="195" spans="7:12" x14ac:dyDescent="0.2">
      <c r="G195" s="92">
        <f t="shared" si="20"/>
        <v>194</v>
      </c>
      <c r="H195" s="1029">
        <f t="shared" si="19"/>
        <v>43659</v>
      </c>
      <c r="I195" s="85">
        <f t="shared" ref="I195:I258" si="24">IF(H195&lt;&gt;"",WEEKDAY(H195,2),"")</f>
        <v>6</v>
      </c>
      <c r="J195" s="85" t="str">
        <f t="shared" si="21"/>
        <v>Samstag</v>
      </c>
      <c r="K195" s="92">
        <f t="shared" si="22"/>
        <v>0</v>
      </c>
      <c r="L195" s="92">
        <f t="shared" si="23"/>
        <v>1</v>
      </c>
    </row>
    <row r="196" spans="7:12" x14ac:dyDescent="0.2">
      <c r="G196" s="92">
        <f t="shared" si="20"/>
        <v>195</v>
      </c>
      <c r="H196" s="1029">
        <f t="shared" ref="H196:H259" si="25">H195+1</f>
        <v>43660</v>
      </c>
      <c r="I196" s="85">
        <f t="shared" si="24"/>
        <v>7</v>
      </c>
      <c r="J196" s="85" t="str">
        <f t="shared" si="21"/>
        <v>Sonntag</v>
      </c>
      <c r="K196" s="92">
        <f t="shared" si="22"/>
        <v>0</v>
      </c>
      <c r="L196" s="92">
        <f t="shared" si="23"/>
        <v>1</v>
      </c>
    </row>
    <row r="197" spans="7:12" x14ac:dyDescent="0.2">
      <c r="G197" s="92">
        <f t="shared" si="20"/>
        <v>196</v>
      </c>
      <c r="H197" s="1029">
        <f t="shared" si="25"/>
        <v>43661</v>
      </c>
      <c r="I197" s="85">
        <f t="shared" si="24"/>
        <v>1</v>
      </c>
      <c r="J197" s="85" t="str">
        <f t="shared" si="21"/>
        <v>Montag</v>
      </c>
      <c r="K197" s="92">
        <f t="shared" si="22"/>
        <v>1</v>
      </c>
      <c r="L197" s="92">
        <f t="shared" si="23"/>
        <v>0</v>
      </c>
    </row>
    <row r="198" spans="7:12" x14ac:dyDescent="0.2">
      <c r="G198" s="92">
        <f t="shared" si="20"/>
        <v>197</v>
      </c>
      <c r="H198" s="1029">
        <f t="shared" si="25"/>
        <v>43662</v>
      </c>
      <c r="I198" s="85">
        <f t="shared" si="24"/>
        <v>2</v>
      </c>
      <c r="J198" s="85" t="str">
        <f t="shared" si="21"/>
        <v>Dienstag</v>
      </c>
      <c r="K198" s="92">
        <f t="shared" si="22"/>
        <v>1</v>
      </c>
      <c r="L198" s="92">
        <f t="shared" si="23"/>
        <v>0</v>
      </c>
    </row>
    <row r="199" spans="7:12" x14ac:dyDescent="0.2">
      <c r="G199" s="92">
        <f t="shared" si="20"/>
        <v>198</v>
      </c>
      <c r="H199" s="1029">
        <f t="shared" si="25"/>
        <v>43663</v>
      </c>
      <c r="I199" s="85">
        <f t="shared" si="24"/>
        <v>3</v>
      </c>
      <c r="J199" s="85" t="str">
        <f t="shared" si="21"/>
        <v>Mittwoch</v>
      </c>
      <c r="K199" s="92">
        <f t="shared" si="22"/>
        <v>1</v>
      </c>
      <c r="L199" s="92">
        <f t="shared" si="23"/>
        <v>0</v>
      </c>
    </row>
    <row r="200" spans="7:12" x14ac:dyDescent="0.2">
      <c r="G200" s="92">
        <f t="shared" si="20"/>
        <v>199</v>
      </c>
      <c r="H200" s="1029">
        <f t="shared" si="25"/>
        <v>43664</v>
      </c>
      <c r="I200" s="85">
        <f t="shared" si="24"/>
        <v>4</v>
      </c>
      <c r="J200" s="85" t="str">
        <f t="shared" si="21"/>
        <v>Donnerstag</v>
      </c>
      <c r="K200" s="92">
        <f t="shared" si="22"/>
        <v>1</v>
      </c>
      <c r="L200" s="92">
        <f t="shared" si="23"/>
        <v>0</v>
      </c>
    </row>
    <row r="201" spans="7:12" x14ac:dyDescent="0.2">
      <c r="G201" s="92">
        <f t="shared" si="20"/>
        <v>200</v>
      </c>
      <c r="H201" s="1029">
        <f t="shared" si="25"/>
        <v>43665</v>
      </c>
      <c r="I201" s="85">
        <f t="shared" si="24"/>
        <v>5</v>
      </c>
      <c r="J201" s="85" t="str">
        <f t="shared" si="21"/>
        <v>Freitag</v>
      </c>
      <c r="K201" s="92">
        <f t="shared" si="22"/>
        <v>1</v>
      </c>
      <c r="L201" s="92">
        <f t="shared" si="23"/>
        <v>0</v>
      </c>
    </row>
    <row r="202" spans="7:12" x14ac:dyDescent="0.2">
      <c r="G202" s="92">
        <f t="shared" si="20"/>
        <v>201</v>
      </c>
      <c r="H202" s="1029">
        <f t="shared" si="25"/>
        <v>43666</v>
      </c>
      <c r="I202" s="85">
        <f t="shared" si="24"/>
        <v>6</v>
      </c>
      <c r="J202" s="85" t="str">
        <f t="shared" si="21"/>
        <v>Samstag</v>
      </c>
      <c r="K202" s="92">
        <f t="shared" si="22"/>
        <v>0</v>
      </c>
      <c r="L202" s="92">
        <f t="shared" si="23"/>
        <v>1</v>
      </c>
    </row>
    <row r="203" spans="7:12" x14ac:dyDescent="0.2">
      <c r="G203" s="92">
        <f t="shared" si="20"/>
        <v>202</v>
      </c>
      <c r="H203" s="1029">
        <f t="shared" si="25"/>
        <v>43667</v>
      </c>
      <c r="I203" s="85">
        <f t="shared" si="24"/>
        <v>7</v>
      </c>
      <c r="J203" s="85" t="str">
        <f t="shared" si="21"/>
        <v>Sonntag</v>
      </c>
      <c r="K203" s="92">
        <f t="shared" si="22"/>
        <v>0</v>
      </c>
      <c r="L203" s="92">
        <f t="shared" si="23"/>
        <v>1</v>
      </c>
    </row>
    <row r="204" spans="7:12" x14ac:dyDescent="0.2">
      <c r="G204" s="92">
        <f t="shared" si="20"/>
        <v>203</v>
      </c>
      <c r="H204" s="1029">
        <f t="shared" si="25"/>
        <v>43668</v>
      </c>
      <c r="I204" s="85">
        <f t="shared" si="24"/>
        <v>1</v>
      </c>
      <c r="J204" s="85" t="str">
        <f t="shared" si="21"/>
        <v>Montag</v>
      </c>
      <c r="K204" s="92">
        <f t="shared" si="22"/>
        <v>1</v>
      </c>
      <c r="L204" s="92">
        <f t="shared" si="23"/>
        <v>0</v>
      </c>
    </row>
    <row r="205" spans="7:12" x14ac:dyDescent="0.2">
      <c r="G205" s="92">
        <f t="shared" si="20"/>
        <v>204</v>
      </c>
      <c r="H205" s="1029">
        <f t="shared" si="25"/>
        <v>43669</v>
      </c>
      <c r="I205" s="85">
        <f t="shared" si="24"/>
        <v>2</v>
      </c>
      <c r="J205" s="85" t="str">
        <f t="shared" si="21"/>
        <v>Dienstag</v>
      </c>
      <c r="K205" s="92">
        <f t="shared" si="22"/>
        <v>1</v>
      </c>
      <c r="L205" s="92">
        <f t="shared" si="23"/>
        <v>0</v>
      </c>
    </row>
    <row r="206" spans="7:12" x14ac:dyDescent="0.2">
      <c r="G206" s="92">
        <f t="shared" si="20"/>
        <v>205</v>
      </c>
      <c r="H206" s="1029">
        <f t="shared" si="25"/>
        <v>43670</v>
      </c>
      <c r="I206" s="85">
        <f t="shared" si="24"/>
        <v>3</v>
      </c>
      <c r="J206" s="85" t="str">
        <f t="shared" si="21"/>
        <v>Mittwoch</v>
      </c>
      <c r="K206" s="92">
        <f t="shared" si="22"/>
        <v>1</v>
      </c>
      <c r="L206" s="92">
        <f t="shared" si="23"/>
        <v>0</v>
      </c>
    </row>
    <row r="207" spans="7:12" x14ac:dyDescent="0.2">
      <c r="G207" s="92">
        <f t="shared" si="20"/>
        <v>206</v>
      </c>
      <c r="H207" s="1029">
        <f t="shared" si="25"/>
        <v>43671</v>
      </c>
      <c r="I207" s="85">
        <f t="shared" si="24"/>
        <v>4</v>
      </c>
      <c r="J207" s="85" t="str">
        <f t="shared" si="21"/>
        <v>Donnerstag</v>
      </c>
      <c r="K207" s="92">
        <f t="shared" si="22"/>
        <v>1</v>
      </c>
      <c r="L207" s="92">
        <f t="shared" si="23"/>
        <v>0</v>
      </c>
    </row>
    <row r="208" spans="7:12" x14ac:dyDescent="0.2">
      <c r="G208" s="92">
        <f t="shared" si="20"/>
        <v>207</v>
      </c>
      <c r="H208" s="1029">
        <f t="shared" si="25"/>
        <v>43672</v>
      </c>
      <c r="I208" s="85">
        <f t="shared" si="24"/>
        <v>5</v>
      </c>
      <c r="J208" s="85" t="str">
        <f t="shared" si="21"/>
        <v>Freitag</v>
      </c>
      <c r="K208" s="92">
        <f t="shared" si="22"/>
        <v>1</v>
      </c>
      <c r="L208" s="92">
        <f t="shared" si="23"/>
        <v>0</v>
      </c>
    </row>
    <row r="209" spans="7:12" x14ac:dyDescent="0.2">
      <c r="G209" s="92">
        <f t="shared" si="20"/>
        <v>208</v>
      </c>
      <c r="H209" s="1029">
        <f t="shared" si="25"/>
        <v>43673</v>
      </c>
      <c r="I209" s="85">
        <f t="shared" si="24"/>
        <v>6</v>
      </c>
      <c r="J209" s="85" t="str">
        <f t="shared" si="21"/>
        <v>Samstag</v>
      </c>
      <c r="K209" s="92">
        <f t="shared" si="22"/>
        <v>0</v>
      </c>
      <c r="L209" s="92">
        <f t="shared" si="23"/>
        <v>1</v>
      </c>
    </row>
    <row r="210" spans="7:12" x14ac:dyDescent="0.2">
      <c r="G210" s="92">
        <f t="shared" si="20"/>
        <v>209</v>
      </c>
      <c r="H210" s="1029">
        <f t="shared" si="25"/>
        <v>43674</v>
      </c>
      <c r="I210" s="85">
        <f t="shared" si="24"/>
        <v>7</v>
      </c>
      <c r="J210" s="85" t="str">
        <f t="shared" si="21"/>
        <v>Sonntag</v>
      </c>
      <c r="K210" s="92">
        <f t="shared" si="22"/>
        <v>0</v>
      </c>
      <c r="L210" s="92">
        <f t="shared" si="23"/>
        <v>1</v>
      </c>
    </row>
    <row r="211" spans="7:12" x14ac:dyDescent="0.2">
      <c r="G211" s="92">
        <f t="shared" si="20"/>
        <v>210</v>
      </c>
      <c r="H211" s="1029">
        <f t="shared" si="25"/>
        <v>43675</v>
      </c>
      <c r="I211" s="85">
        <f t="shared" si="24"/>
        <v>1</v>
      </c>
      <c r="J211" s="85" t="str">
        <f t="shared" si="21"/>
        <v>Montag</v>
      </c>
      <c r="K211" s="92">
        <f t="shared" si="22"/>
        <v>1</v>
      </c>
      <c r="L211" s="92">
        <f t="shared" si="23"/>
        <v>0</v>
      </c>
    </row>
    <row r="212" spans="7:12" x14ac:dyDescent="0.2">
      <c r="G212" s="92">
        <f t="shared" si="20"/>
        <v>211</v>
      </c>
      <c r="H212" s="1029">
        <f t="shared" si="25"/>
        <v>43676</v>
      </c>
      <c r="I212" s="85">
        <f t="shared" si="24"/>
        <v>2</v>
      </c>
      <c r="J212" s="85" t="str">
        <f t="shared" si="21"/>
        <v>Dienstag</v>
      </c>
      <c r="K212" s="92">
        <f t="shared" si="22"/>
        <v>1</v>
      </c>
      <c r="L212" s="92">
        <f t="shared" si="23"/>
        <v>0</v>
      </c>
    </row>
    <row r="213" spans="7:12" x14ac:dyDescent="0.2">
      <c r="G213" s="92">
        <f t="shared" si="20"/>
        <v>212</v>
      </c>
      <c r="H213" s="1029">
        <f t="shared" si="25"/>
        <v>43677</v>
      </c>
      <c r="I213" s="85">
        <f t="shared" si="24"/>
        <v>3</v>
      </c>
      <c r="J213" s="85" t="str">
        <f t="shared" si="21"/>
        <v>Mittwoch</v>
      </c>
      <c r="K213" s="92">
        <f t="shared" si="22"/>
        <v>1</v>
      </c>
      <c r="L213" s="92">
        <f t="shared" si="23"/>
        <v>0</v>
      </c>
    </row>
    <row r="214" spans="7:12" x14ac:dyDescent="0.2">
      <c r="G214" s="92">
        <f t="shared" si="20"/>
        <v>213</v>
      </c>
      <c r="H214" s="1029">
        <f t="shared" si="25"/>
        <v>43678</v>
      </c>
      <c r="I214" s="85">
        <f t="shared" si="24"/>
        <v>4</v>
      </c>
      <c r="J214" s="85" t="str">
        <f t="shared" si="21"/>
        <v>Donnerstag</v>
      </c>
      <c r="K214" s="92">
        <f t="shared" si="22"/>
        <v>1</v>
      </c>
      <c r="L214" s="92">
        <f t="shared" si="23"/>
        <v>0</v>
      </c>
    </row>
    <row r="215" spans="7:12" x14ac:dyDescent="0.2">
      <c r="G215" s="92">
        <f t="shared" si="20"/>
        <v>214</v>
      </c>
      <c r="H215" s="1029">
        <f t="shared" si="25"/>
        <v>43679</v>
      </c>
      <c r="I215" s="85">
        <f t="shared" si="24"/>
        <v>5</v>
      </c>
      <c r="J215" s="85" t="str">
        <f t="shared" si="21"/>
        <v>Freitag</v>
      </c>
      <c r="K215" s="92">
        <f t="shared" si="22"/>
        <v>1</v>
      </c>
      <c r="L215" s="92">
        <f t="shared" si="23"/>
        <v>0</v>
      </c>
    </row>
    <row r="216" spans="7:12" x14ac:dyDescent="0.2">
      <c r="G216" s="92">
        <f t="shared" si="20"/>
        <v>215</v>
      </c>
      <c r="H216" s="1029">
        <f t="shared" si="25"/>
        <v>43680</v>
      </c>
      <c r="I216" s="85">
        <f t="shared" si="24"/>
        <v>6</v>
      </c>
      <c r="J216" s="85" t="str">
        <f t="shared" si="21"/>
        <v>Samstag</v>
      </c>
      <c r="K216" s="92">
        <f t="shared" si="22"/>
        <v>0</v>
      </c>
      <c r="L216" s="92">
        <f t="shared" si="23"/>
        <v>1</v>
      </c>
    </row>
    <row r="217" spans="7:12" x14ac:dyDescent="0.2">
      <c r="G217" s="92">
        <f t="shared" si="20"/>
        <v>216</v>
      </c>
      <c r="H217" s="1029">
        <f t="shared" si="25"/>
        <v>43681</v>
      </c>
      <c r="I217" s="85">
        <f t="shared" si="24"/>
        <v>7</v>
      </c>
      <c r="J217" s="85" t="str">
        <f t="shared" si="21"/>
        <v>Sonntag</v>
      </c>
      <c r="K217" s="92">
        <f t="shared" si="22"/>
        <v>0</v>
      </c>
      <c r="L217" s="92">
        <f t="shared" si="23"/>
        <v>1</v>
      </c>
    </row>
    <row r="218" spans="7:12" x14ac:dyDescent="0.2">
      <c r="G218" s="92">
        <f t="shared" si="20"/>
        <v>217</v>
      </c>
      <c r="H218" s="1029">
        <f t="shared" si="25"/>
        <v>43682</v>
      </c>
      <c r="I218" s="85">
        <f t="shared" si="24"/>
        <v>1</v>
      </c>
      <c r="J218" s="85" t="str">
        <f t="shared" si="21"/>
        <v>Montag</v>
      </c>
      <c r="K218" s="92">
        <f t="shared" si="22"/>
        <v>1</v>
      </c>
      <c r="L218" s="92">
        <f t="shared" si="23"/>
        <v>0</v>
      </c>
    </row>
    <row r="219" spans="7:12" x14ac:dyDescent="0.2">
      <c r="G219" s="92">
        <f t="shared" si="20"/>
        <v>218</v>
      </c>
      <c r="H219" s="1029">
        <f t="shared" si="25"/>
        <v>43683</v>
      </c>
      <c r="I219" s="85">
        <f t="shared" si="24"/>
        <v>2</v>
      </c>
      <c r="J219" s="85" t="str">
        <f t="shared" si="21"/>
        <v>Dienstag</v>
      </c>
      <c r="K219" s="92">
        <f t="shared" si="22"/>
        <v>1</v>
      </c>
      <c r="L219" s="92">
        <f t="shared" si="23"/>
        <v>0</v>
      </c>
    </row>
    <row r="220" spans="7:12" x14ac:dyDescent="0.2">
      <c r="G220" s="92">
        <f t="shared" si="20"/>
        <v>219</v>
      </c>
      <c r="H220" s="1029">
        <f t="shared" si="25"/>
        <v>43684</v>
      </c>
      <c r="I220" s="85">
        <f t="shared" si="24"/>
        <v>3</v>
      </c>
      <c r="J220" s="85" t="str">
        <f t="shared" si="21"/>
        <v>Mittwoch</v>
      </c>
      <c r="K220" s="92">
        <f t="shared" si="22"/>
        <v>1</v>
      </c>
      <c r="L220" s="92">
        <f t="shared" si="23"/>
        <v>0</v>
      </c>
    </row>
    <row r="221" spans="7:12" x14ac:dyDescent="0.2">
      <c r="G221" s="92">
        <f t="shared" si="20"/>
        <v>220</v>
      </c>
      <c r="H221" s="1029">
        <f t="shared" si="25"/>
        <v>43685</v>
      </c>
      <c r="I221" s="85">
        <f t="shared" si="24"/>
        <v>4</v>
      </c>
      <c r="J221" s="85" t="str">
        <f t="shared" si="21"/>
        <v>Donnerstag</v>
      </c>
      <c r="K221" s="92">
        <f t="shared" si="22"/>
        <v>1</v>
      </c>
      <c r="L221" s="92">
        <f t="shared" si="23"/>
        <v>0</v>
      </c>
    </row>
    <row r="222" spans="7:12" x14ac:dyDescent="0.2">
      <c r="G222" s="92">
        <f t="shared" si="20"/>
        <v>221</v>
      </c>
      <c r="H222" s="1029">
        <f t="shared" si="25"/>
        <v>43686</v>
      </c>
      <c r="I222" s="85">
        <f t="shared" si="24"/>
        <v>5</v>
      </c>
      <c r="J222" s="85" t="str">
        <f t="shared" si="21"/>
        <v>Freitag</v>
      </c>
      <c r="K222" s="92">
        <f t="shared" si="22"/>
        <v>1</v>
      </c>
      <c r="L222" s="92">
        <f t="shared" si="23"/>
        <v>0</v>
      </c>
    </row>
    <row r="223" spans="7:12" x14ac:dyDescent="0.2">
      <c r="G223" s="92">
        <f t="shared" si="20"/>
        <v>222</v>
      </c>
      <c r="H223" s="1029">
        <f t="shared" si="25"/>
        <v>43687</v>
      </c>
      <c r="I223" s="85">
        <f t="shared" si="24"/>
        <v>6</v>
      </c>
      <c r="J223" s="85" t="str">
        <f t="shared" si="21"/>
        <v>Samstag</v>
      </c>
      <c r="K223" s="92">
        <f t="shared" si="22"/>
        <v>0</v>
      </c>
      <c r="L223" s="92">
        <f t="shared" si="23"/>
        <v>1</v>
      </c>
    </row>
    <row r="224" spans="7:12" x14ac:dyDescent="0.2">
      <c r="G224" s="92">
        <f t="shared" si="20"/>
        <v>223</v>
      </c>
      <c r="H224" s="1029">
        <f t="shared" si="25"/>
        <v>43688</v>
      </c>
      <c r="I224" s="85">
        <f t="shared" si="24"/>
        <v>7</v>
      </c>
      <c r="J224" s="85" t="str">
        <f t="shared" si="21"/>
        <v>Sonntag</v>
      </c>
      <c r="K224" s="92">
        <f t="shared" si="22"/>
        <v>0</v>
      </c>
      <c r="L224" s="92">
        <f t="shared" si="23"/>
        <v>1</v>
      </c>
    </row>
    <row r="225" spans="7:12" x14ac:dyDescent="0.2">
      <c r="G225" s="92">
        <f t="shared" si="20"/>
        <v>224</v>
      </c>
      <c r="H225" s="1029">
        <f t="shared" si="25"/>
        <v>43689</v>
      </c>
      <c r="I225" s="85">
        <f t="shared" si="24"/>
        <v>1</v>
      </c>
      <c r="J225" s="85" t="str">
        <f t="shared" si="21"/>
        <v>Montag</v>
      </c>
      <c r="K225" s="92">
        <f t="shared" si="22"/>
        <v>1</v>
      </c>
      <c r="L225" s="92">
        <f t="shared" si="23"/>
        <v>0</v>
      </c>
    </row>
    <row r="226" spans="7:12" x14ac:dyDescent="0.2">
      <c r="G226" s="92">
        <f t="shared" si="20"/>
        <v>225</v>
      </c>
      <c r="H226" s="1029">
        <f t="shared" si="25"/>
        <v>43690</v>
      </c>
      <c r="I226" s="85">
        <f t="shared" si="24"/>
        <v>2</v>
      </c>
      <c r="J226" s="85" t="str">
        <f t="shared" si="21"/>
        <v>Dienstag</v>
      </c>
      <c r="K226" s="92">
        <f t="shared" si="22"/>
        <v>1</v>
      </c>
      <c r="L226" s="92">
        <f t="shared" si="23"/>
        <v>0</v>
      </c>
    </row>
    <row r="227" spans="7:12" x14ac:dyDescent="0.2">
      <c r="G227" s="92">
        <f t="shared" si="20"/>
        <v>226</v>
      </c>
      <c r="H227" s="1029">
        <f t="shared" si="25"/>
        <v>43691</v>
      </c>
      <c r="I227" s="85">
        <f t="shared" si="24"/>
        <v>3</v>
      </c>
      <c r="J227" s="85" t="str">
        <f t="shared" si="21"/>
        <v>Mittwoch</v>
      </c>
      <c r="K227" s="92">
        <f t="shared" si="22"/>
        <v>1</v>
      </c>
      <c r="L227" s="92">
        <f t="shared" si="23"/>
        <v>0</v>
      </c>
    </row>
    <row r="228" spans="7:12" x14ac:dyDescent="0.2">
      <c r="G228" s="92">
        <f t="shared" si="20"/>
        <v>227</v>
      </c>
      <c r="H228" s="1029">
        <f t="shared" si="25"/>
        <v>43692</v>
      </c>
      <c r="I228" s="85">
        <f t="shared" si="24"/>
        <v>4</v>
      </c>
      <c r="J228" s="85" t="str">
        <f t="shared" si="21"/>
        <v>Donnerstag</v>
      </c>
      <c r="K228" s="92">
        <f t="shared" si="22"/>
        <v>1</v>
      </c>
      <c r="L228" s="92">
        <f t="shared" si="23"/>
        <v>0</v>
      </c>
    </row>
    <row r="229" spans="7:12" x14ac:dyDescent="0.2">
      <c r="G229" s="92">
        <f t="shared" si="20"/>
        <v>228</v>
      </c>
      <c r="H229" s="1029">
        <f t="shared" si="25"/>
        <v>43693</v>
      </c>
      <c r="I229" s="85">
        <f t="shared" si="24"/>
        <v>5</v>
      </c>
      <c r="J229" s="85" t="str">
        <f t="shared" si="21"/>
        <v>Freitag</v>
      </c>
      <c r="K229" s="92">
        <f t="shared" si="22"/>
        <v>1</v>
      </c>
      <c r="L229" s="92">
        <f t="shared" si="23"/>
        <v>0</v>
      </c>
    </row>
    <row r="230" spans="7:12" x14ac:dyDescent="0.2">
      <c r="G230" s="92">
        <f t="shared" si="20"/>
        <v>229</v>
      </c>
      <c r="H230" s="1029">
        <f t="shared" si="25"/>
        <v>43694</v>
      </c>
      <c r="I230" s="85">
        <f t="shared" si="24"/>
        <v>6</v>
      </c>
      <c r="J230" s="85" t="str">
        <f t="shared" si="21"/>
        <v>Samstag</v>
      </c>
      <c r="K230" s="92">
        <f t="shared" si="22"/>
        <v>0</v>
      </c>
      <c r="L230" s="92">
        <f t="shared" si="23"/>
        <v>1</v>
      </c>
    </row>
    <row r="231" spans="7:12" x14ac:dyDescent="0.2">
      <c r="G231" s="92">
        <f t="shared" si="20"/>
        <v>230</v>
      </c>
      <c r="H231" s="1029">
        <f t="shared" si="25"/>
        <v>43695</v>
      </c>
      <c r="I231" s="85">
        <f t="shared" si="24"/>
        <v>7</v>
      </c>
      <c r="J231" s="85" t="str">
        <f t="shared" si="21"/>
        <v>Sonntag</v>
      </c>
      <c r="K231" s="92">
        <f t="shared" si="22"/>
        <v>0</v>
      </c>
      <c r="L231" s="92">
        <f t="shared" si="23"/>
        <v>1</v>
      </c>
    </row>
    <row r="232" spans="7:12" x14ac:dyDescent="0.2">
      <c r="G232" s="92">
        <f t="shared" si="20"/>
        <v>231</v>
      </c>
      <c r="H232" s="1029">
        <f t="shared" si="25"/>
        <v>43696</v>
      </c>
      <c r="I232" s="85">
        <f t="shared" si="24"/>
        <v>1</v>
      </c>
      <c r="J232" s="85" t="str">
        <f t="shared" si="21"/>
        <v>Montag</v>
      </c>
      <c r="K232" s="92">
        <f t="shared" si="22"/>
        <v>1</v>
      </c>
      <c r="L232" s="92">
        <f t="shared" si="23"/>
        <v>0</v>
      </c>
    </row>
    <row r="233" spans="7:12" x14ac:dyDescent="0.2">
      <c r="G233" s="92">
        <f t="shared" si="20"/>
        <v>232</v>
      </c>
      <c r="H233" s="1029">
        <f t="shared" si="25"/>
        <v>43697</v>
      </c>
      <c r="I233" s="85">
        <f t="shared" si="24"/>
        <v>2</v>
      </c>
      <c r="J233" s="85" t="str">
        <f t="shared" si="21"/>
        <v>Dienstag</v>
      </c>
      <c r="K233" s="92">
        <f t="shared" si="22"/>
        <v>1</v>
      </c>
      <c r="L233" s="92">
        <f t="shared" si="23"/>
        <v>0</v>
      </c>
    </row>
    <row r="234" spans="7:12" x14ac:dyDescent="0.2">
      <c r="G234" s="92">
        <f t="shared" si="20"/>
        <v>233</v>
      </c>
      <c r="H234" s="1029">
        <f t="shared" si="25"/>
        <v>43698</v>
      </c>
      <c r="I234" s="85">
        <f t="shared" si="24"/>
        <v>3</v>
      </c>
      <c r="J234" s="85" t="str">
        <f t="shared" si="21"/>
        <v>Mittwoch</v>
      </c>
      <c r="K234" s="92">
        <f t="shared" si="22"/>
        <v>1</v>
      </c>
      <c r="L234" s="92">
        <f t="shared" si="23"/>
        <v>0</v>
      </c>
    </row>
    <row r="235" spans="7:12" x14ac:dyDescent="0.2">
      <c r="G235" s="92">
        <f t="shared" si="20"/>
        <v>234</v>
      </c>
      <c r="H235" s="1029">
        <f t="shared" si="25"/>
        <v>43699</v>
      </c>
      <c r="I235" s="85">
        <f t="shared" si="24"/>
        <v>4</v>
      </c>
      <c r="J235" s="85" t="str">
        <f t="shared" si="21"/>
        <v>Donnerstag</v>
      </c>
      <c r="K235" s="92">
        <f t="shared" si="22"/>
        <v>1</v>
      </c>
      <c r="L235" s="92">
        <f t="shared" si="23"/>
        <v>0</v>
      </c>
    </row>
    <row r="236" spans="7:12" x14ac:dyDescent="0.2">
      <c r="G236" s="92">
        <f t="shared" si="20"/>
        <v>235</v>
      </c>
      <c r="H236" s="1029">
        <f t="shared" si="25"/>
        <v>43700</v>
      </c>
      <c r="I236" s="85">
        <f t="shared" si="24"/>
        <v>5</v>
      </c>
      <c r="J236" s="85" t="str">
        <f t="shared" si="21"/>
        <v>Freitag</v>
      </c>
      <c r="K236" s="92">
        <f t="shared" si="22"/>
        <v>1</v>
      </c>
      <c r="L236" s="92">
        <f t="shared" si="23"/>
        <v>0</v>
      </c>
    </row>
    <row r="237" spans="7:12" x14ac:dyDescent="0.2">
      <c r="G237" s="92">
        <f t="shared" si="20"/>
        <v>236</v>
      </c>
      <c r="H237" s="1029">
        <f t="shared" si="25"/>
        <v>43701</v>
      </c>
      <c r="I237" s="85">
        <f t="shared" si="24"/>
        <v>6</v>
      </c>
      <c r="J237" s="85" t="str">
        <f t="shared" si="21"/>
        <v>Samstag</v>
      </c>
      <c r="K237" s="92">
        <f t="shared" si="22"/>
        <v>0</v>
      </c>
      <c r="L237" s="92">
        <f t="shared" si="23"/>
        <v>1</v>
      </c>
    </row>
    <row r="238" spans="7:12" x14ac:dyDescent="0.2">
      <c r="G238" s="92">
        <f t="shared" si="20"/>
        <v>237</v>
      </c>
      <c r="H238" s="1029">
        <f t="shared" si="25"/>
        <v>43702</v>
      </c>
      <c r="I238" s="85">
        <f t="shared" si="24"/>
        <v>7</v>
      </c>
      <c r="J238" s="85" t="str">
        <f t="shared" si="21"/>
        <v>Sonntag</v>
      </c>
      <c r="K238" s="92">
        <f t="shared" si="22"/>
        <v>0</v>
      </c>
      <c r="L238" s="92">
        <f t="shared" si="23"/>
        <v>1</v>
      </c>
    </row>
    <row r="239" spans="7:12" x14ac:dyDescent="0.2">
      <c r="G239" s="92">
        <f t="shared" si="20"/>
        <v>238</v>
      </c>
      <c r="H239" s="1029">
        <f t="shared" si="25"/>
        <v>43703</v>
      </c>
      <c r="I239" s="85">
        <f t="shared" si="24"/>
        <v>1</v>
      </c>
      <c r="J239" s="85" t="str">
        <f t="shared" si="21"/>
        <v>Montag</v>
      </c>
      <c r="K239" s="92">
        <f t="shared" si="22"/>
        <v>1</v>
      </c>
      <c r="L239" s="92">
        <f t="shared" si="23"/>
        <v>0</v>
      </c>
    </row>
    <row r="240" spans="7:12" x14ac:dyDescent="0.2">
      <c r="G240" s="92">
        <f t="shared" si="20"/>
        <v>239</v>
      </c>
      <c r="H240" s="1029">
        <f t="shared" si="25"/>
        <v>43704</v>
      </c>
      <c r="I240" s="85">
        <f t="shared" si="24"/>
        <v>2</v>
      </c>
      <c r="J240" s="85" t="str">
        <f t="shared" si="21"/>
        <v>Dienstag</v>
      </c>
      <c r="K240" s="92">
        <f t="shared" si="22"/>
        <v>1</v>
      </c>
      <c r="L240" s="92">
        <f t="shared" si="23"/>
        <v>0</v>
      </c>
    </row>
    <row r="241" spans="7:12" x14ac:dyDescent="0.2">
      <c r="G241" s="92">
        <f t="shared" si="20"/>
        <v>240</v>
      </c>
      <c r="H241" s="1029">
        <f t="shared" si="25"/>
        <v>43705</v>
      </c>
      <c r="I241" s="85">
        <f t="shared" si="24"/>
        <v>3</v>
      </c>
      <c r="J241" s="85" t="str">
        <f t="shared" si="21"/>
        <v>Mittwoch</v>
      </c>
      <c r="K241" s="92">
        <f t="shared" si="22"/>
        <v>1</v>
      </c>
      <c r="L241" s="92">
        <f t="shared" si="23"/>
        <v>0</v>
      </c>
    </row>
    <row r="242" spans="7:12" x14ac:dyDescent="0.2">
      <c r="G242" s="92">
        <f t="shared" si="20"/>
        <v>241</v>
      </c>
      <c r="H242" s="1029">
        <f t="shared" si="25"/>
        <v>43706</v>
      </c>
      <c r="I242" s="85">
        <f t="shared" si="24"/>
        <v>4</v>
      </c>
      <c r="J242" s="85" t="str">
        <f t="shared" si="21"/>
        <v>Donnerstag</v>
      </c>
      <c r="K242" s="92">
        <f t="shared" si="22"/>
        <v>1</v>
      </c>
      <c r="L242" s="92">
        <f t="shared" si="23"/>
        <v>0</v>
      </c>
    </row>
    <row r="243" spans="7:12" x14ac:dyDescent="0.2">
      <c r="G243" s="92">
        <f t="shared" si="20"/>
        <v>242</v>
      </c>
      <c r="H243" s="1029">
        <f t="shared" si="25"/>
        <v>43707</v>
      </c>
      <c r="I243" s="85">
        <f t="shared" si="24"/>
        <v>5</v>
      </c>
      <c r="J243" s="85" t="str">
        <f t="shared" si="21"/>
        <v>Freitag</v>
      </c>
      <c r="K243" s="92">
        <f t="shared" si="22"/>
        <v>1</v>
      </c>
      <c r="L243" s="92">
        <f t="shared" si="23"/>
        <v>0</v>
      </c>
    </row>
    <row r="244" spans="7:12" x14ac:dyDescent="0.2">
      <c r="G244" s="92">
        <f t="shared" si="20"/>
        <v>243</v>
      </c>
      <c r="H244" s="1029">
        <f t="shared" si="25"/>
        <v>43708</v>
      </c>
      <c r="I244" s="85">
        <f t="shared" si="24"/>
        <v>6</v>
      </c>
      <c r="J244" s="85" t="str">
        <f t="shared" si="21"/>
        <v>Samstag</v>
      </c>
      <c r="K244" s="92">
        <f t="shared" si="22"/>
        <v>0</v>
      </c>
      <c r="L244" s="92">
        <f t="shared" si="23"/>
        <v>1</v>
      </c>
    </row>
    <row r="245" spans="7:12" x14ac:dyDescent="0.2">
      <c r="G245" s="92">
        <f t="shared" si="20"/>
        <v>244</v>
      </c>
      <c r="H245" s="1029">
        <f t="shared" si="25"/>
        <v>43709</v>
      </c>
      <c r="I245" s="85">
        <f t="shared" si="24"/>
        <v>7</v>
      </c>
      <c r="J245" s="85" t="str">
        <f t="shared" si="21"/>
        <v>Sonntag</v>
      </c>
      <c r="K245" s="92">
        <f t="shared" si="22"/>
        <v>0</v>
      </c>
      <c r="L245" s="92">
        <f t="shared" si="23"/>
        <v>1</v>
      </c>
    </row>
    <row r="246" spans="7:12" x14ac:dyDescent="0.2">
      <c r="G246" s="92">
        <f t="shared" si="20"/>
        <v>245</v>
      </c>
      <c r="H246" s="1029">
        <f t="shared" si="25"/>
        <v>43710</v>
      </c>
      <c r="I246" s="85">
        <f t="shared" si="24"/>
        <v>1</v>
      </c>
      <c r="J246" s="85" t="str">
        <f t="shared" si="21"/>
        <v>Montag</v>
      </c>
      <c r="K246" s="92">
        <f t="shared" si="22"/>
        <v>1</v>
      </c>
      <c r="L246" s="92">
        <f t="shared" si="23"/>
        <v>0</v>
      </c>
    </row>
    <row r="247" spans="7:12" x14ac:dyDescent="0.2">
      <c r="G247" s="92">
        <f t="shared" si="20"/>
        <v>246</v>
      </c>
      <c r="H247" s="1029">
        <f t="shared" si="25"/>
        <v>43711</v>
      </c>
      <c r="I247" s="85">
        <f t="shared" si="24"/>
        <v>2</v>
      </c>
      <c r="J247" s="85" t="str">
        <f t="shared" si="21"/>
        <v>Dienstag</v>
      </c>
      <c r="K247" s="92">
        <f t="shared" si="22"/>
        <v>1</v>
      </c>
      <c r="L247" s="92">
        <f t="shared" si="23"/>
        <v>0</v>
      </c>
    </row>
    <row r="248" spans="7:12" x14ac:dyDescent="0.2">
      <c r="G248" s="92">
        <f t="shared" si="20"/>
        <v>247</v>
      </c>
      <c r="H248" s="1029">
        <f t="shared" si="25"/>
        <v>43712</v>
      </c>
      <c r="I248" s="85">
        <f t="shared" si="24"/>
        <v>3</v>
      </c>
      <c r="J248" s="85" t="str">
        <f t="shared" si="21"/>
        <v>Mittwoch</v>
      </c>
      <c r="K248" s="92">
        <f t="shared" si="22"/>
        <v>1</v>
      </c>
      <c r="L248" s="92">
        <f t="shared" si="23"/>
        <v>0</v>
      </c>
    </row>
    <row r="249" spans="7:12" x14ac:dyDescent="0.2">
      <c r="G249" s="92">
        <f t="shared" si="20"/>
        <v>248</v>
      </c>
      <c r="H249" s="1029">
        <f t="shared" si="25"/>
        <v>43713</v>
      </c>
      <c r="I249" s="85">
        <f t="shared" si="24"/>
        <v>4</v>
      </c>
      <c r="J249" s="85" t="str">
        <f t="shared" si="21"/>
        <v>Donnerstag</v>
      </c>
      <c r="K249" s="92">
        <f t="shared" si="22"/>
        <v>1</v>
      </c>
      <c r="L249" s="92">
        <f t="shared" si="23"/>
        <v>0</v>
      </c>
    </row>
    <row r="250" spans="7:12" x14ac:dyDescent="0.2">
      <c r="G250" s="92">
        <f t="shared" ref="G250:G313" si="26">IF(H250&lt;&gt;"",G249+1,"")</f>
        <v>249</v>
      </c>
      <c r="H250" s="1029">
        <f t="shared" si="25"/>
        <v>43714</v>
      </c>
      <c r="I250" s="85">
        <f t="shared" si="24"/>
        <v>5</v>
      </c>
      <c r="J250" s="85" t="str">
        <f t="shared" ref="J250:J313" si="27">IF(H250&lt;&gt;"",IF(I250=1,"Montag",IF(I250=2,"Dienstag",IF(I250=3,"Mittwoch",IF(I250=4,"Donnerstag",IF(I250=5,"Freitag",IF(I250=6,"Samstag",IF(I250=7,"Sonntag","#INVALID"))))))),"")</f>
        <v>Freitag</v>
      </c>
      <c r="K250" s="92">
        <f t="shared" ref="K250:K313" si="28">IF(H250&lt;&gt;"",IF(AND(I250&gt;=1,I250&lt;=5),1,0),"")</f>
        <v>1</v>
      </c>
      <c r="L250" s="92">
        <f t="shared" ref="L250:L313" si="29">IF(H250&lt;&gt;"",IF(OR(I250=6,I250=7),1,0),"")</f>
        <v>0</v>
      </c>
    </row>
    <row r="251" spans="7:12" x14ac:dyDescent="0.2">
      <c r="G251" s="92">
        <f t="shared" si="26"/>
        <v>250</v>
      </c>
      <c r="H251" s="1029">
        <f t="shared" si="25"/>
        <v>43715</v>
      </c>
      <c r="I251" s="85">
        <f t="shared" si="24"/>
        <v>6</v>
      </c>
      <c r="J251" s="85" t="str">
        <f t="shared" si="27"/>
        <v>Samstag</v>
      </c>
      <c r="K251" s="92">
        <f t="shared" si="28"/>
        <v>0</v>
      </c>
      <c r="L251" s="92">
        <f t="shared" si="29"/>
        <v>1</v>
      </c>
    </row>
    <row r="252" spans="7:12" x14ac:dyDescent="0.2">
      <c r="G252" s="92">
        <f t="shared" si="26"/>
        <v>251</v>
      </c>
      <c r="H252" s="1029">
        <f t="shared" si="25"/>
        <v>43716</v>
      </c>
      <c r="I252" s="85">
        <f t="shared" si="24"/>
        <v>7</v>
      </c>
      <c r="J252" s="85" t="str">
        <f t="shared" si="27"/>
        <v>Sonntag</v>
      </c>
      <c r="K252" s="92">
        <f t="shared" si="28"/>
        <v>0</v>
      </c>
      <c r="L252" s="92">
        <f t="shared" si="29"/>
        <v>1</v>
      </c>
    </row>
    <row r="253" spans="7:12" x14ac:dyDescent="0.2">
      <c r="G253" s="92">
        <f t="shared" si="26"/>
        <v>252</v>
      </c>
      <c r="H253" s="1029">
        <f t="shared" si="25"/>
        <v>43717</v>
      </c>
      <c r="I253" s="85">
        <f t="shared" si="24"/>
        <v>1</v>
      </c>
      <c r="J253" s="85" t="str">
        <f t="shared" si="27"/>
        <v>Montag</v>
      </c>
      <c r="K253" s="92">
        <f t="shared" si="28"/>
        <v>1</v>
      </c>
      <c r="L253" s="92">
        <f t="shared" si="29"/>
        <v>0</v>
      </c>
    </row>
    <row r="254" spans="7:12" x14ac:dyDescent="0.2">
      <c r="G254" s="92">
        <f t="shared" si="26"/>
        <v>253</v>
      </c>
      <c r="H254" s="1029">
        <f t="shared" si="25"/>
        <v>43718</v>
      </c>
      <c r="I254" s="85">
        <f t="shared" si="24"/>
        <v>2</v>
      </c>
      <c r="J254" s="85" t="str">
        <f t="shared" si="27"/>
        <v>Dienstag</v>
      </c>
      <c r="K254" s="92">
        <f t="shared" si="28"/>
        <v>1</v>
      </c>
      <c r="L254" s="92">
        <f t="shared" si="29"/>
        <v>0</v>
      </c>
    </row>
    <row r="255" spans="7:12" x14ac:dyDescent="0.2">
      <c r="G255" s="92">
        <f t="shared" si="26"/>
        <v>254</v>
      </c>
      <c r="H255" s="1029">
        <f t="shared" si="25"/>
        <v>43719</v>
      </c>
      <c r="I255" s="85">
        <f t="shared" si="24"/>
        <v>3</v>
      </c>
      <c r="J255" s="85" t="str">
        <f t="shared" si="27"/>
        <v>Mittwoch</v>
      </c>
      <c r="K255" s="92">
        <f t="shared" si="28"/>
        <v>1</v>
      </c>
      <c r="L255" s="92">
        <f t="shared" si="29"/>
        <v>0</v>
      </c>
    </row>
    <row r="256" spans="7:12" x14ac:dyDescent="0.2">
      <c r="G256" s="92">
        <f t="shared" si="26"/>
        <v>255</v>
      </c>
      <c r="H256" s="1029">
        <f t="shared" si="25"/>
        <v>43720</v>
      </c>
      <c r="I256" s="85">
        <f t="shared" si="24"/>
        <v>4</v>
      </c>
      <c r="J256" s="85" t="str">
        <f t="shared" si="27"/>
        <v>Donnerstag</v>
      </c>
      <c r="K256" s="92">
        <f t="shared" si="28"/>
        <v>1</v>
      </c>
      <c r="L256" s="92">
        <f t="shared" si="29"/>
        <v>0</v>
      </c>
    </row>
    <row r="257" spans="7:12" x14ac:dyDescent="0.2">
      <c r="G257" s="92">
        <f t="shared" si="26"/>
        <v>256</v>
      </c>
      <c r="H257" s="1029">
        <f t="shared" si="25"/>
        <v>43721</v>
      </c>
      <c r="I257" s="85">
        <f t="shared" si="24"/>
        <v>5</v>
      </c>
      <c r="J257" s="85" t="str">
        <f t="shared" si="27"/>
        <v>Freitag</v>
      </c>
      <c r="K257" s="92">
        <f t="shared" si="28"/>
        <v>1</v>
      </c>
      <c r="L257" s="92">
        <f t="shared" si="29"/>
        <v>0</v>
      </c>
    </row>
    <row r="258" spans="7:12" x14ac:dyDescent="0.2">
      <c r="G258" s="92">
        <f t="shared" si="26"/>
        <v>257</v>
      </c>
      <c r="H258" s="1029">
        <f t="shared" si="25"/>
        <v>43722</v>
      </c>
      <c r="I258" s="85">
        <f t="shared" si="24"/>
        <v>6</v>
      </c>
      <c r="J258" s="85" t="str">
        <f t="shared" si="27"/>
        <v>Samstag</v>
      </c>
      <c r="K258" s="92">
        <f t="shared" si="28"/>
        <v>0</v>
      </c>
      <c r="L258" s="92">
        <f t="shared" si="29"/>
        <v>1</v>
      </c>
    </row>
    <row r="259" spans="7:12" x14ac:dyDescent="0.2">
      <c r="G259" s="92">
        <f t="shared" si="26"/>
        <v>258</v>
      </c>
      <c r="H259" s="1029">
        <f t="shared" si="25"/>
        <v>43723</v>
      </c>
      <c r="I259" s="85">
        <f t="shared" ref="I259:I322" si="30">IF(H259&lt;&gt;"",WEEKDAY(H259,2),"")</f>
        <v>7</v>
      </c>
      <c r="J259" s="85" t="str">
        <f t="shared" si="27"/>
        <v>Sonntag</v>
      </c>
      <c r="K259" s="92">
        <f t="shared" si="28"/>
        <v>0</v>
      </c>
      <c r="L259" s="92">
        <f t="shared" si="29"/>
        <v>1</v>
      </c>
    </row>
    <row r="260" spans="7:12" x14ac:dyDescent="0.2">
      <c r="G260" s="92">
        <f t="shared" si="26"/>
        <v>259</v>
      </c>
      <c r="H260" s="1029">
        <f t="shared" ref="H260:H323" si="31">H259+1</f>
        <v>43724</v>
      </c>
      <c r="I260" s="85">
        <f t="shared" si="30"/>
        <v>1</v>
      </c>
      <c r="J260" s="85" t="str">
        <f t="shared" si="27"/>
        <v>Montag</v>
      </c>
      <c r="K260" s="92">
        <f t="shared" si="28"/>
        <v>1</v>
      </c>
      <c r="L260" s="92">
        <f t="shared" si="29"/>
        <v>0</v>
      </c>
    </row>
    <row r="261" spans="7:12" x14ac:dyDescent="0.2">
      <c r="G261" s="92">
        <f t="shared" si="26"/>
        <v>260</v>
      </c>
      <c r="H261" s="1029">
        <f t="shared" si="31"/>
        <v>43725</v>
      </c>
      <c r="I261" s="85">
        <f t="shared" si="30"/>
        <v>2</v>
      </c>
      <c r="J261" s="85" t="str">
        <f t="shared" si="27"/>
        <v>Dienstag</v>
      </c>
      <c r="K261" s="92">
        <f t="shared" si="28"/>
        <v>1</v>
      </c>
      <c r="L261" s="92">
        <f t="shared" si="29"/>
        <v>0</v>
      </c>
    </row>
    <row r="262" spans="7:12" x14ac:dyDescent="0.2">
      <c r="G262" s="92">
        <f t="shared" si="26"/>
        <v>261</v>
      </c>
      <c r="H262" s="1029">
        <f t="shared" si="31"/>
        <v>43726</v>
      </c>
      <c r="I262" s="85">
        <f t="shared" si="30"/>
        <v>3</v>
      </c>
      <c r="J262" s="85" t="str">
        <f t="shared" si="27"/>
        <v>Mittwoch</v>
      </c>
      <c r="K262" s="92">
        <f t="shared" si="28"/>
        <v>1</v>
      </c>
      <c r="L262" s="92">
        <f t="shared" si="29"/>
        <v>0</v>
      </c>
    </row>
    <row r="263" spans="7:12" x14ac:dyDescent="0.2">
      <c r="G263" s="92">
        <f t="shared" si="26"/>
        <v>262</v>
      </c>
      <c r="H263" s="1029">
        <f t="shared" si="31"/>
        <v>43727</v>
      </c>
      <c r="I263" s="85">
        <f t="shared" si="30"/>
        <v>4</v>
      </c>
      <c r="J263" s="85" t="str">
        <f t="shared" si="27"/>
        <v>Donnerstag</v>
      </c>
      <c r="K263" s="92">
        <f t="shared" si="28"/>
        <v>1</v>
      </c>
      <c r="L263" s="92">
        <f t="shared" si="29"/>
        <v>0</v>
      </c>
    </row>
    <row r="264" spans="7:12" x14ac:dyDescent="0.2">
      <c r="G264" s="92">
        <f t="shared" si="26"/>
        <v>263</v>
      </c>
      <c r="H264" s="1029">
        <f t="shared" si="31"/>
        <v>43728</v>
      </c>
      <c r="I264" s="85">
        <f t="shared" si="30"/>
        <v>5</v>
      </c>
      <c r="J264" s="85" t="str">
        <f t="shared" si="27"/>
        <v>Freitag</v>
      </c>
      <c r="K264" s="92">
        <f t="shared" si="28"/>
        <v>1</v>
      </c>
      <c r="L264" s="92">
        <f t="shared" si="29"/>
        <v>0</v>
      </c>
    </row>
    <row r="265" spans="7:12" x14ac:dyDescent="0.2">
      <c r="G265" s="92">
        <f t="shared" si="26"/>
        <v>264</v>
      </c>
      <c r="H265" s="1029">
        <f t="shared" si="31"/>
        <v>43729</v>
      </c>
      <c r="I265" s="85">
        <f t="shared" si="30"/>
        <v>6</v>
      </c>
      <c r="J265" s="85" t="str">
        <f t="shared" si="27"/>
        <v>Samstag</v>
      </c>
      <c r="K265" s="92">
        <f t="shared" si="28"/>
        <v>0</v>
      </c>
      <c r="L265" s="92">
        <f t="shared" si="29"/>
        <v>1</v>
      </c>
    </row>
    <row r="266" spans="7:12" x14ac:dyDescent="0.2">
      <c r="G266" s="92">
        <f t="shared" si="26"/>
        <v>265</v>
      </c>
      <c r="H266" s="1029">
        <f t="shared" si="31"/>
        <v>43730</v>
      </c>
      <c r="I266" s="85">
        <f t="shared" si="30"/>
        <v>7</v>
      </c>
      <c r="J266" s="85" t="str">
        <f t="shared" si="27"/>
        <v>Sonntag</v>
      </c>
      <c r="K266" s="92">
        <f t="shared" si="28"/>
        <v>0</v>
      </c>
      <c r="L266" s="92">
        <f t="shared" si="29"/>
        <v>1</v>
      </c>
    </row>
    <row r="267" spans="7:12" x14ac:dyDescent="0.2">
      <c r="G267" s="92">
        <f t="shared" si="26"/>
        <v>266</v>
      </c>
      <c r="H267" s="1029">
        <f t="shared" si="31"/>
        <v>43731</v>
      </c>
      <c r="I267" s="85">
        <f t="shared" si="30"/>
        <v>1</v>
      </c>
      <c r="J267" s="85" t="str">
        <f t="shared" si="27"/>
        <v>Montag</v>
      </c>
      <c r="K267" s="92">
        <f t="shared" si="28"/>
        <v>1</v>
      </c>
      <c r="L267" s="92">
        <f t="shared" si="29"/>
        <v>0</v>
      </c>
    </row>
    <row r="268" spans="7:12" x14ac:dyDescent="0.2">
      <c r="G268" s="92">
        <f t="shared" si="26"/>
        <v>267</v>
      </c>
      <c r="H268" s="1029">
        <f t="shared" si="31"/>
        <v>43732</v>
      </c>
      <c r="I268" s="85">
        <f t="shared" si="30"/>
        <v>2</v>
      </c>
      <c r="J268" s="85" t="str">
        <f t="shared" si="27"/>
        <v>Dienstag</v>
      </c>
      <c r="K268" s="92">
        <f t="shared" si="28"/>
        <v>1</v>
      </c>
      <c r="L268" s="92">
        <f t="shared" si="29"/>
        <v>0</v>
      </c>
    </row>
    <row r="269" spans="7:12" x14ac:dyDescent="0.2">
      <c r="G269" s="92">
        <f t="shared" si="26"/>
        <v>268</v>
      </c>
      <c r="H269" s="1029">
        <f t="shared" si="31"/>
        <v>43733</v>
      </c>
      <c r="I269" s="85">
        <f t="shared" si="30"/>
        <v>3</v>
      </c>
      <c r="J269" s="85" t="str">
        <f t="shared" si="27"/>
        <v>Mittwoch</v>
      </c>
      <c r="K269" s="92">
        <f t="shared" si="28"/>
        <v>1</v>
      </c>
      <c r="L269" s="92">
        <f t="shared" si="29"/>
        <v>0</v>
      </c>
    </row>
    <row r="270" spans="7:12" x14ac:dyDescent="0.2">
      <c r="G270" s="92">
        <f t="shared" si="26"/>
        <v>269</v>
      </c>
      <c r="H270" s="1029">
        <f t="shared" si="31"/>
        <v>43734</v>
      </c>
      <c r="I270" s="85">
        <f t="shared" si="30"/>
        <v>4</v>
      </c>
      <c r="J270" s="85" t="str">
        <f t="shared" si="27"/>
        <v>Donnerstag</v>
      </c>
      <c r="K270" s="92">
        <f t="shared" si="28"/>
        <v>1</v>
      </c>
      <c r="L270" s="92">
        <f t="shared" si="29"/>
        <v>0</v>
      </c>
    </row>
    <row r="271" spans="7:12" x14ac:dyDescent="0.2">
      <c r="G271" s="92">
        <f t="shared" si="26"/>
        <v>270</v>
      </c>
      <c r="H271" s="1029">
        <f t="shared" si="31"/>
        <v>43735</v>
      </c>
      <c r="I271" s="85">
        <f t="shared" si="30"/>
        <v>5</v>
      </c>
      <c r="J271" s="85" t="str">
        <f t="shared" si="27"/>
        <v>Freitag</v>
      </c>
      <c r="K271" s="92">
        <f t="shared" si="28"/>
        <v>1</v>
      </c>
      <c r="L271" s="92">
        <f t="shared" si="29"/>
        <v>0</v>
      </c>
    </row>
    <row r="272" spans="7:12" x14ac:dyDescent="0.2">
      <c r="G272" s="92">
        <f t="shared" si="26"/>
        <v>271</v>
      </c>
      <c r="H272" s="1029">
        <f t="shared" si="31"/>
        <v>43736</v>
      </c>
      <c r="I272" s="85">
        <f t="shared" si="30"/>
        <v>6</v>
      </c>
      <c r="J272" s="85" t="str">
        <f t="shared" si="27"/>
        <v>Samstag</v>
      </c>
      <c r="K272" s="92">
        <f t="shared" si="28"/>
        <v>0</v>
      </c>
      <c r="L272" s="92">
        <f t="shared" si="29"/>
        <v>1</v>
      </c>
    </row>
    <row r="273" spans="7:12" x14ac:dyDescent="0.2">
      <c r="G273" s="92">
        <f t="shared" si="26"/>
        <v>272</v>
      </c>
      <c r="H273" s="1029">
        <f t="shared" si="31"/>
        <v>43737</v>
      </c>
      <c r="I273" s="85">
        <f t="shared" si="30"/>
        <v>7</v>
      </c>
      <c r="J273" s="85" t="str">
        <f t="shared" si="27"/>
        <v>Sonntag</v>
      </c>
      <c r="K273" s="92">
        <f t="shared" si="28"/>
        <v>0</v>
      </c>
      <c r="L273" s="92">
        <f t="shared" si="29"/>
        <v>1</v>
      </c>
    </row>
    <row r="274" spans="7:12" x14ac:dyDescent="0.2">
      <c r="G274" s="92">
        <f t="shared" si="26"/>
        <v>273</v>
      </c>
      <c r="H274" s="1029">
        <f t="shared" si="31"/>
        <v>43738</v>
      </c>
      <c r="I274" s="85">
        <f t="shared" si="30"/>
        <v>1</v>
      </c>
      <c r="J274" s="85" t="str">
        <f t="shared" si="27"/>
        <v>Montag</v>
      </c>
      <c r="K274" s="92">
        <f t="shared" si="28"/>
        <v>1</v>
      </c>
      <c r="L274" s="92">
        <f t="shared" si="29"/>
        <v>0</v>
      </c>
    </row>
    <row r="275" spans="7:12" x14ac:dyDescent="0.2">
      <c r="G275" s="92">
        <f t="shared" si="26"/>
        <v>274</v>
      </c>
      <c r="H275" s="1029">
        <f t="shared" si="31"/>
        <v>43739</v>
      </c>
      <c r="I275" s="85">
        <f t="shared" si="30"/>
        <v>2</v>
      </c>
      <c r="J275" s="85" t="str">
        <f t="shared" si="27"/>
        <v>Dienstag</v>
      </c>
      <c r="K275" s="92">
        <f t="shared" si="28"/>
        <v>1</v>
      </c>
      <c r="L275" s="92">
        <f t="shared" si="29"/>
        <v>0</v>
      </c>
    </row>
    <row r="276" spans="7:12" x14ac:dyDescent="0.2">
      <c r="G276" s="92">
        <f t="shared" si="26"/>
        <v>275</v>
      </c>
      <c r="H276" s="1029">
        <f t="shared" si="31"/>
        <v>43740</v>
      </c>
      <c r="I276" s="85">
        <f t="shared" si="30"/>
        <v>3</v>
      </c>
      <c r="J276" s="85" t="str">
        <f t="shared" si="27"/>
        <v>Mittwoch</v>
      </c>
      <c r="K276" s="92">
        <f t="shared" si="28"/>
        <v>1</v>
      </c>
      <c r="L276" s="92">
        <f t="shared" si="29"/>
        <v>0</v>
      </c>
    </row>
    <row r="277" spans="7:12" x14ac:dyDescent="0.2">
      <c r="G277" s="92">
        <f t="shared" si="26"/>
        <v>276</v>
      </c>
      <c r="H277" s="1029">
        <f t="shared" si="31"/>
        <v>43741</v>
      </c>
      <c r="I277" s="85">
        <f t="shared" si="30"/>
        <v>4</v>
      </c>
      <c r="J277" s="85" t="str">
        <f t="shared" si="27"/>
        <v>Donnerstag</v>
      </c>
      <c r="K277" s="92">
        <f t="shared" si="28"/>
        <v>1</v>
      </c>
      <c r="L277" s="92">
        <f t="shared" si="29"/>
        <v>0</v>
      </c>
    </row>
    <row r="278" spans="7:12" x14ac:dyDescent="0.2">
      <c r="G278" s="92">
        <f t="shared" si="26"/>
        <v>277</v>
      </c>
      <c r="H278" s="1029">
        <f t="shared" si="31"/>
        <v>43742</v>
      </c>
      <c r="I278" s="85">
        <f t="shared" si="30"/>
        <v>5</v>
      </c>
      <c r="J278" s="85" t="str">
        <f t="shared" si="27"/>
        <v>Freitag</v>
      </c>
      <c r="K278" s="92">
        <f t="shared" si="28"/>
        <v>1</v>
      </c>
      <c r="L278" s="92">
        <f t="shared" si="29"/>
        <v>0</v>
      </c>
    </row>
    <row r="279" spans="7:12" x14ac:dyDescent="0.2">
      <c r="G279" s="92">
        <f t="shared" si="26"/>
        <v>278</v>
      </c>
      <c r="H279" s="1029">
        <f t="shared" si="31"/>
        <v>43743</v>
      </c>
      <c r="I279" s="85">
        <f t="shared" si="30"/>
        <v>6</v>
      </c>
      <c r="J279" s="85" t="str">
        <f t="shared" si="27"/>
        <v>Samstag</v>
      </c>
      <c r="K279" s="92">
        <f t="shared" si="28"/>
        <v>0</v>
      </c>
      <c r="L279" s="92">
        <f t="shared" si="29"/>
        <v>1</v>
      </c>
    </row>
    <row r="280" spans="7:12" x14ac:dyDescent="0.2">
      <c r="G280" s="92">
        <f t="shared" si="26"/>
        <v>279</v>
      </c>
      <c r="H280" s="1029">
        <f t="shared" si="31"/>
        <v>43744</v>
      </c>
      <c r="I280" s="85">
        <f t="shared" si="30"/>
        <v>7</v>
      </c>
      <c r="J280" s="85" t="str">
        <f t="shared" si="27"/>
        <v>Sonntag</v>
      </c>
      <c r="K280" s="92">
        <f t="shared" si="28"/>
        <v>0</v>
      </c>
      <c r="L280" s="92">
        <f t="shared" si="29"/>
        <v>1</v>
      </c>
    </row>
    <row r="281" spans="7:12" x14ac:dyDescent="0.2">
      <c r="G281" s="92">
        <f t="shared" si="26"/>
        <v>280</v>
      </c>
      <c r="H281" s="1029">
        <f t="shared" si="31"/>
        <v>43745</v>
      </c>
      <c r="I281" s="85">
        <f t="shared" si="30"/>
        <v>1</v>
      </c>
      <c r="J281" s="85" t="str">
        <f t="shared" si="27"/>
        <v>Montag</v>
      </c>
      <c r="K281" s="92">
        <f t="shared" si="28"/>
        <v>1</v>
      </c>
      <c r="L281" s="92">
        <f t="shared" si="29"/>
        <v>0</v>
      </c>
    </row>
    <row r="282" spans="7:12" x14ac:dyDescent="0.2">
      <c r="G282" s="92">
        <f t="shared" si="26"/>
        <v>281</v>
      </c>
      <c r="H282" s="1029">
        <f t="shared" si="31"/>
        <v>43746</v>
      </c>
      <c r="I282" s="85">
        <f t="shared" si="30"/>
        <v>2</v>
      </c>
      <c r="J282" s="85" t="str">
        <f t="shared" si="27"/>
        <v>Dienstag</v>
      </c>
      <c r="K282" s="92">
        <f t="shared" si="28"/>
        <v>1</v>
      </c>
      <c r="L282" s="92">
        <f t="shared" si="29"/>
        <v>0</v>
      </c>
    </row>
    <row r="283" spans="7:12" x14ac:dyDescent="0.2">
      <c r="G283" s="92">
        <f t="shared" si="26"/>
        <v>282</v>
      </c>
      <c r="H283" s="1029">
        <f t="shared" si="31"/>
        <v>43747</v>
      </c>
      <c r="I283" s="85">
        <f t="shared" si="30"/>
        <v>3</v>
      </c>
      <c r="J283" s="85" t="str">
        <f t="shared" si="27"/>
        <v>Mittwoch</v>
      </c>
      <c r="K283" s="92">
        <f t="shared" si="28"/>
        <v>1</v>
      </c>
      <c r="L283" s="92">
        <f t="shared" si="29"/>
        <v>0</v>
      </c>
    </row>
    <row r="284" spans="7:12" x14ac:dyDescent="0.2">
      <c r="G284" s="92">
        <f t="shared" si="26"/>
        <v>283</v>
      </c>
      <c r="H284" s="1029">
        <f t="shared" si="31"/>
        <v>43748</v>
      </c>
      <c r="I284" s="85">
        <f t="shared" si="30"/>
        <v>4</v>
      </c>
      <c r="J284" s="85" t="str">
        <f t="shared" si="27"/>
        <v>Donnerstag</v>
      </c>
      <c r="K284" s="92">
        <f t="shared" si="28"/>
        <v>1</v>
      </c>
      <c r="L284" s="92">
        <f t="shared" si="29"/>
        <v>0</v>
      </c>
    </row>
    <row r="285" spans="7:12" x14ac:dyDescent="0.2">
      <c r="G285" s="92">
        <f t="shared" si="26"/>
        <v>284</v>
      </c>
      <c r="H285" s="1029">
        <f t="shared" si="31"/>
        <v>43749</v>
      </c>
      <c r="I285" s="85">
        <f t="shared" si="30"/>
        <v>5</v>
      </c>
      <c r="J285" s="85" t="str">
        <f t="shared" si="27"/>
        <v>Freitag</v>
      </c>
      <c r="K285" s="92">
        <f t="shared" si="28"/>
        <v>1</v>
      </c>
      <c r="L285" s="92">
        <f t="shared" si="29"/>
        <v>0</v>
      </c>
    </row>
    <row r="286" spans="7:12" x14ac:dyDescent="0.2">
      <c r="G286" s="92">
        <f t="shared" si="26"/>
        <v>285</v>
      </c>
      <c r="H286" s="1029">
        <f t="shared" si="31"/>
        <v>43750</v>
      </c>
      <c r="I286" s="85">
        <f t="shared" si="30"/>
        <v>6</v>
      </c>
      <c r="J286" s="85" t="str">
        <f t="shared" si="27"/>
        <v>Samstag</v>
      </c>
      <c r="K286" s="92">
        <f t="shared" si="28"/>
        <v>0</v>
      </c>
      <c r="L286" s="92">
        <f t="shared" si="29"/>
        <v>1</v>
      </c>
    </row>
    <row r="287" spans="7:12" x14ac:dyDescent="0.2">
      <c r="G287" s="92">
        <f t="shared" si="26"/>
        <v>286</v>
      </c>
      <c r="H287" s="1029">
        <f t="shared" si="31"/>
        <v>43751</v>
      </c>
      <c r="I287" s="85">
        <f t="shared" si="30"/>
        <v>7</v>
      </c>
      <c r="J287" s="85" t="str">
        <f t="shared" si="27"/>
        <v>Sonntag</v>
      </c>
      <c r="K287" s="92">
        <f t="shared" si="28"/>
        <v>0</v>
      </c>
      <c r="L287" s="92">
        <f t="shared" si="29"/>
        <v>1</v>
      </c>
    </row>
    <row r="288" spans="7:12" x14ac:dyDescent="0.2">
      <c r="G288" s="92">
        <f t="shared" si="26"/>
        <v>287</v>
      </c>
      <c r="H288" s="1029">
        <f t="shared" si="31"/>
        <v>43752</v>
      </c>
      <c r="I288" s="85">
        <f t="shared" si="30"/>
        <v>1</v>
      </c>
      <c r="J288" s="85" t="str">
        <f t="shared" si="27"/>
        <v>Montag</v>
      </c>
      <c r="K288" s="92">
        <f t="shared" si="28"/>
        <v>1</v>
      </c>
      <c r="L288" s="92">
        <f t="shared" si="29"/>
        <v>0</v>
      </c>
    </row>
    <row r="289" spans="7:12" x14ac:dyDescent="0.2">
      <c r="G289" s="92">
        <f t="shared" si="26"/>
        <v>288</v>
      </c>
      <c r="H289" s="1029">
        <f t="shared" si="31"/>
        <v>43753</v>
      </c>
      <c r="I289" s="85">
        <f t="shared" si="30"/>
        <v>2</v>
      </c>
      <c r="J289" s="85" t="str">
        <f t="shared" si="27"/>
        <v>Dienstag</v>
      </c>
      <c r="K289" s="92">
        <f t="shared" si="28"/>
        <v>1</v>
      </c>
      <c r="L289" s="92">
        <f t="shared" si="29"/>
        <v>0</v>
      </c>
    </row>
    <row r="290" spans="7:12" x14ac:dyDescent="0.2">
      <c r="G290" s="92">
        <f t="shared" si="26"/>
        <v>289</v>
      </c>
      <c r="H290" s="1029">
        <f t="shared" si="31"/>
        <v>43754</v>
      </c>
      <c r="I290" s="85">
        <f t="shared" si="30"/>
        <v>3</v>
      </c>
      <c r="J290" s="85" t="str">
        <f t="shared" si="27"/>
        <v>Mittwoch</v>
      </c>
      <c r="K290" s="92">
        <f t="shared" si="28"/>
        <v>1</v>
      </c>
      <c r="L290" s="92">
        <f t="shared" si="29"/>
        <v>0</v>
      </c>
    </row>
    <row r="291" spans="7:12" x14ac:dyDescent="0.2">
      <c r="G291" s="92">
        <f t="shared" si="26"/>
        <v>290</v>
      </c>
      <c r="H291" s="1029">
        <f t="shared" si="31"/>
        <v>43755</v>
      </c>
      <c r="I291" s="85">
        <f t="shared" si="30"/>
        <v>4</v>
      </c>
      <c r="J291" s="85" t="str">
        <f t="shared" si="27"/>
        <v>Donnerstag</v>
      </c>
      <c r="K291" s="92">
        <f t="shared" si="28"/>
        <v>1</v>
      </c>
      <c r="L291" s="92">
        <f t="shared" si="29"/>
        <v>0</v>
      </c>
    </row>
    <row r="292" spans="7:12" x14ac:dyDescent="0.2">
      <c r="G292" s="92">
        <f t="shared" si="26"/>
        <v>291</v>
      </c>
      <c r="H292" s="1029">
        <f t="shared" si="31"/>
        <v>43756</v>
      </c>
      <c r="I292" s="85">
        <f t="shared" si="30"/>
        <v>5</v>
      </c>
      <c r="J292" s="85" t="str">
        <f t="shared" si="27"/>
        <v>Freitag</v>
      </c>
      <c r="K292" s="92">
        <f t="shared" si="28"/>
        <v>1</v>
      </c>
      <c r="L292" s="92">
        <f t="shared" si="29"/>
        <v>0</v>
      </c>
    </row>
    <row r="293" spans="7:12" x14ac:dyDescent="0.2">
      <c r="G293" s="92">
        <f t="shared" si="26"/>
        <v>292</v>
      </c>
      <c r="H293" s="1029">
        <f t="shared" si="31"/>
        <v>43757</v>
      </c>
      <c r="I293" s="85">
        <f t="shared" si="30"/>
        <v>6</v>
      </c>
      <c r="J293" s="85" t="str">
        <f t="shared" si="27"/>
        <v>Samstag</v>
      </c>
      <c r="K293" s="92">
        <f t="shared" si="28"/>
        <v>0</v>
      </c>
      <c r="L293" s="92">
        <f t="shared" si="29"/>
        <v>1</v>
      </c>
    </row>
    <row r="294" spans="7:12" x14ac:dyDescent="0.2">
      <c r="G294" s="92">
        <f t="shared" si="26"/>
        <v>293</v>
      </c>
      <c r="H294" s="1029">
        <f t="shared" si="31"/>
        <v>43758</v>
      </c>
      <c r="I294" s="85">
        <f t="shared" si="30"/>
        <v>7</v>
      </c>
      <c r="J294" s="85" t="str">
        <f t="shared" si="27"/>
        <v>Sonntag</v>
      </c>
      <c r="K294" s="92">
        <f t="shared" si="28"/>
        <v>0</v>
      </c>
      <c r="L294" s="92">
        <f t="shared" si="29"/>
        <v>1</v>
      </c>
    </row>
    <row r="295" spans="7:12" x14ac:dyDescent="0.2">
      <c r="G295" s="92">
        <f t="shared" si="26"/>
        <v>294</v>
      </c>
      <c r="H295" s="1029">
        <f t="shared" si="31"/>
        <v>43759</v>
      </c>
      <c r="I295" s="85">
        <f t="shared" si="30"/>
        <v>1</v>
      </c>
      <c r="J295" s="85" t="str">
        <f t="shared" si="27"/>
        <v>Montag</v>
      </c>
      <c r="K295" s="92">
        <f t="shared" si="28"/>
        <v>1</v>
      </c>
      <c r="L295" s="92">
        <f t="shared" si="29"/>
        <v>0</v>
      </c>
    </row>
    <row r="296" spans="7:12" x14ac:dyDescent="0.2">
      <c r="G296" s="92">
        <f t="shared" si="26"/>
        <v>295</v>
      </c>
      <c r="H296" s="1029">
        <f t="shared" si="31"/>
        <v>43760</v>
      </c>
      <c r="I296" s="85">
        <f t="shared" si="30"/>
        <v>2</v>
      </c>
      <c r="J296" s="85" t="str">
        <f t="shared" si="27"/>
        <v>Dienstag</v>
      </c>
      <c r="K296" s="92">
        <f t="shared" si="28"/>
        <v>1</v>
      </c>
      <c r="L296" s="92">
        <f t="shared" si="29"/>
        <v>0</v>
      </c>
    </row>
    <row r="297" spans="7:12" x14ac:dyDescent="0.2">
      <c r="G297" s="92">
        <f t="shared" si="26"/>
        <v>296</v>
      </c>
      <c r="H297" s="1029">
        <f t="shared" si="31"/>
        <v>43761</v>
      </c>
      <c r="I297" s="85">
        <f t="shared" si="30"/>
        <v>3</v>
      </c>
      <c r="J297" s="85" t="str">
        <f t="shared" si="27"/>
        <v>Mittwoch</v>
      </c>
      <c r="K297" s="92">
        <f t="shared" si="28"/>
        <v>1</v>
      </c>
      <c r="L297" s="92">
        <f t="shared" si="29"/>
        <v>0</v>
      </c>
    </row>
    <row r="298" spans="7:12" x14ac:dyDescent="0.2">
      <c r="G298" s="92">
        <f t="shared" si="26"/>
        <v>297</v>
      </c>
      <c r="H298" s="1029">
        <f t="shared" si="31"/>
        <v>43762</v>
      </c>
      <c r="I298" s="85">
        <f t="shared" si="30"/>
        <v>4</v>
      </c>
      <c r="J298" s="85" t="str">
        <f t="shared" si="27"/>
        <v>Donnerstag</v>
      </c>
      <c r="K298" s="92">
        <f t="shared" si="28"/>
        <v>1</v>
      </c>
      <c r="L298" s="92">
        <f t="shared" si="29"/>
        <v>0</v>
      </c>
    </row>
    <row r="299" spans="7:12" x14ac:dyDescent="0.2">
      <c r="G299" s="92">
        <f t="shared" si="26"/>
        <v>298</v>
      </c>
      <c r="H299" s="1029">
        <f t="shared" si="31"/>
        <v>43763</v>
      </c>
      <c r="I299" s="85">
        <f t="shared" si="30"/>
        <v>5</v>
      </c>
      <c r="J299" s="85" t="str">
        <f t="shared" si="27"/>
        <v>Freitag</v>
      </c>
      <c r="K299" s="92">
        <f t="shared" si="28"/>
        <v>1</v>
      </c>
      <c r="L299" s="92">
        <f t="shared" si="29"/>
        <v>0</v>
      </c>
    </row>
    <row r="300" spans="7:12" x14ac:dyDescent="0.2">
      <c r="G300" s="92">
        <f t="shared" si="26"/>
        <v>299</v>
      </c>
      <c r="H300" s="1029">
        <f t="shared" si="31"/>
        <v>43764</v>
      </c>
      <c r="I300" s="85">
        <f t="shared" si="30"/>
        <v>6</v>
      </c>
      <c r="J300" s="85" t="str">
        <f t="shared" si="27"/>
        <v>Samstag</v>
      </c>
      <c r="K300" s="92">
        <f t="shared" si="28"/>
        <v>0</v>
      </c>
      <c r="L300" s="92">
        <f t="shared" si="29"/>
        <v>1</v>
      </c>
    </row>
    <row r="301" spans="7:12" x14ac:dyDescent="0.2">
      <c r="G301" s="92">
        <f t="shared" si="26"/>
        <v>300</v>
      </c>
      <c r="H301" s="1029">
        <f t="shared" si="31"/>
        <v>43765</v>
      </c>
      <c r="I301" s="85">
        <f t="shared" si="30"/>
        <v>7</v>
      </c>
      <c r="J301" s="85" t="str">
        <f t="shared" si="27"/>
        <v>Sonntag</v>
      </c>
      <c r="K301" s="92">
        <f t="shared" si="28"/>
        <v>0</v>
      </c>
      <c r="L301" s="92">
        <f t="shared" si="29"/>
        <v>1</v>
      </c>
    </row>
    <row r="302" spans="7:12" x14ac:dyDescent="0.2">
      <c r="G302" s="92">
        <f t="shared" si="26"/>
        <v>301</v>
      </c>
      <c r="H302" s="1029">
        <f t="shared" si="31"/>
        <v>43766</v>
      </c>
      <c r="I302" s="85">
        <f t="shared" si="30"/>
        <v>1</v>
      </c>
      <c r="J302" s="85" t="str">
        <f t="shared" si="27"/>
        <v>Montag</v>
      </c>
      <c r="K302" s="92">
        <f t="shared" si="28"/>
        <v>1</v>
      </c>
      <c r="L302" s="92">
        <f t="shared" si="29"/>
        <v>0</v>
      </c>
    </row>
    <row r="303" spans="7:12" x14ac:dyDescent="0.2">
      <c r="G303" s="92">
        <f t="shared" si="26"/>
        <v>302</v>
      </c>
      <c r="H303" s="1029">
        <f t="shared" si="31"/>
        <v>43767</v>
      </c>
      <c r="I303" s="85">
        <f t="shared" si="30"/>
        <v>2</v>
      </c>
      <c r="J303" s="85" t="str">
        <f t="shared" si="27"/>
        <v>Dienstag</v>
      </c>
      <c r="K303" s="92">
        <f t="shared" si="28"/>
        <v>1</v>
      </c>
      <c r="L303" s="92">
        <f t="shared" si="29"/>
        <v>0</v>
      </c>
    </row>
    <row r="304" spans="7:12" x14ac:dyDescent="0.2">
      <c r="G304" s="92">
        <f t="shared" si="26"/>
        <v>303</v>
      </c>
      <c r="H304" s="1029">
        <f t="shared" si="31"/>
        <v>43768</v>
      </c>
      <c r="I304" s="85">
        <f t="shared" si="30"/>
        <v>3</v>
      </c>
      <c r="J304" s="85" t="str">
        <f t="shared" si="27"/>
        <v>Mittwoch</v>
      </c>
      <c r="K304" s="92">
        <f t="shared" si="28"/>
        <v>1</v>
      </c>
      <c r="L304" s="92">
        <f t="shared" si="29"/>
        <v>0</v>
      </c>
    </row>
    <row r="305" spans="7:12" x14ac:dyDescent="0.2">
      <c r="G305" s="92">
        <f t="shared" si="26"/>
        <v>304</v>
      </c>
      <c r="H305" s="1029">
        <f t="shared" si="31"/>
        <v>43769</v>
      </c>
      <c r="I305" s="85">
        <f t="shared" si="30"/>
        <v>4</v>
      </c>
      <c r="J305" s="85" t="str">
        <f t="shared" si="27"/>
        <v>Donnerstag</v>
      </c>
      <c r="K305" s="92">
        <f t="shared" si="28"/>
        <v>1</v>
      </c>
      <c r="L305" s="92">
        <f t="shared" si="29"/>
        <v>0</v>
      </c>
    </row>
    <row r="306" spans="7:12" x14ac:dyDescent="0.2">
      <c r="G306" s="92">
        <f t="shared" si="26"/>
        <v>305</v>
      </c>
      <c r="H306" s="1029">
        <f t="shared" si="31"/>
        <v>43770</v>
      </c>
      <c r="I306" s="85">
        <f t="shared" si="30"/>
        <v>5</v>
      </c>
      <c r="J306" s="85" t="str">
        <f t="shared" si="27"/>
        <v>Freitag</v>
      </c>
      <c r="K306" s="92">
        <f t="shared" si="28"/>
        <v>1</v>
      </c>
      <c r="L306" s="92">
        <f t="shared" si="29"/>
        <v>0</v>
      </c>
    </row>
    <row r="307" spans="7:12" x14ac:dyDescent="0.2">
      <c r="G307" s="92">
        <f t="shared" si="26"/>
        <v>306</v>
      </c>
      <c r="H307" s="1029">
        <f t="shared" si="31"/>
        <v>43771</v>
      </c>
      <c r="I307" s="85">
        <f t="shared" si="30"/>
        <v>6</v>
      </c>
      <c r="J307" s="85" t="str">
        <f t="shared" si="27"/>
        <v>Samstag</v>
      </c>
      <c r="K307" s="92">
        <f t="shared" si="28"/>
        <v>0</v>
      </c>
      <c r="L307" s="92">
        <f t="shared" si="29"/>
        <v>1</v>
      </c>
    </row>
    <row r="308" spans="7:12" x14ac:dyDescent="0.2">
      <c r="G308" s="92">
        <f t="shared" si="26"/>
        <v>307</v>
      </c>
      <c r="H308" s="1029">
        <f t="shared" si="31"/>
        <v>43772</v>
      </c>
      <c r="I308" s="85">
        <f t="shared" si="30"/>
        <v>7</v>
      </c>
      <c r="J308" s="85" t="str">
        <f t="shared" si="27"/>
        <v>Sonntag</v>
      </c>
      <c r="K308" s="92">
        <f t="shared" si="28"/>
        <v>0</v>
      </c>
      <c r="L308" s="92">
        <f t="shared" si="29"/>
        <v>1</v>
      </c>
    </row>
    <row r="309" spans="7:12" x14ac:dyDescent="0.2">
      <c r="G309" s="92">
        <f t="shared" si="26"/>
        <v>308</v>
      </c>
      <c r="H309" s="1029">
        <f t="shared" si="31"/>
        <v>43773</v>
      </c>
      <c r="I309" s="85">
        <f t="shared" si="30"/>
        <v>1</v>
      </c>
      <c r="J309" s="85" t="str">
        <f t="shared" si="27"/>
        <v>Montag</v>
      </c>
      <c r="K309" s="92">
        <f t="shared" si="28"/>
        <v>1</v>
      </c>
      <c r="L309" s="92">
        <f t="shared" si="29"/>
        <v>0</v>
      </c>
    </row>
    <row r="310" spans="7:12" x14ac:dyDescent="0.2">
      <c r="G310" s="92">
        <f t="shared" si="26"/>
        <v>309</v>
      </c>
      <c r="H310" s="1029">
        <f t="shared" si="31"/>
        <v>43774</v>
      </c>
      <c r="I310" s="85">
        <f t="shared" si="30"/>
        <v>2</v>
      </c>
      <c r="J310" s="85" t="str">
        <f t="shared" si="27"/>
        <v>Dienstag</v>
      </c>
      <c r="K310" s="92">
        <f t="shared" si="28"/>
        <v>1</v>
      </c>
      <c r="L310" s="92">
        <f t="shared" si="29"/>
        <v>0</v>
      </c>
    </row>
    <row r="311" spans="7:12" x14ac:dyDescent="0.2">
      <c r="G311" s="92">
        <f t="shared" si="26"/>
        <v>310</v>
      </c>
      <c r="H311" s="1029">
        <f t="shared" si="31"/>
        <v>43775</v>
      </c>
      <c r="I311" s="85">
        <f t="shared" si="30"/>
        <v>3</v>
      </c>
      <c r="J311" s="85" t="str">
        <f t="shared" si="27"/>
        <v>Mittwoch</v>
      </c>
      <c r="K311" s="92">
        <f t="shared" si="28"/>
        <v>1</v>
      </c>
      <c r="L311" s="92">
        <f t="shared" si="29"/>
        <v>0</v>
      </c>
    </row>
    <row r="312" spans="7:12" x14ac:dyDescent="0.2">
      <c r="G312" s="92">
        <f t="shared" si="26"/>
        <v>311</v>
      </c>
      <c r="H312" s="1029">
        <f t="shared" si="31"/>
        <v>43776</v>
      </c>
      <c r="I312" s="85">
        <f t="shared" si="30"/>
        <v>4</v>
      </c>
      <c r="J312" s="85" t="str">
        <f t="shared" si="27"/>
        <v>Donnerstag</v>
      </c>
      <c r="K312" s="92">
        <f t="shared" si="28"/>
        <v>1</v>
      </c>
      <c r="L312" s="92">
        <f t="shared" si="29"/>
        <v>0</v>
      </c>
    </row>
    <row r="313" spans="7:12" x14ac:dyDescent="0.2">
      <c r="G313" s="92">
        <f t="shared" si="26"/>
        <v>312</v>
      </c>
      <c r="H313" s="1029">
        <f t="shared" si="31"/>
        <v>43777</v>
      </c>
      <c r="I313" s="85">
        <f t="shared" si="30"/>
        <v>5</v>
      </c>
      <c r="J313" s="85" t="str">
        <f t="shared" si="27"/>
        <v>Freitag</v>
      </c>
      <c r="K313" s="92">
        <f t="shared" si="28"/>
        <v>1</v>
      </c>
      <c r="L313" s="92">
        <f t="shared" si="29"/>
        <v>0</v>
      </c>
    </row>
    <row r="314" spans="7:12" x14ac:dyDescent="0.2">
      <c r="G314" s="92">
        <f t="shared" ref="G314:G367" si="32">IF(H314&lt;&gt;"",G313+1,"")</f>
        <v>313</v>
      </c>
      <c r="H314" s="1029">
        <f t="shared" si="31"/>
        <v>43778</v>
      </c>
      <c r="I314" s="85">
        <f t="shared" si="30"/>
        <v>6</v>
      </c>
      <c r="J314" s="85" t="str">
        <f t="shared" ref="J314:J367" si="33">IF(H314&lt;&gt;"",IF(I314=1,"Montag",IF(I314=2,"Dienstag",IF(I314=3,"Mittwoch",IF(I314=4,"Donnerstag",IF(I314=5,"Freitag",IF(I314=6,"Samstag",IF(I314=7,"Sonntag","#INVALID"))))))),"")</f>
        <v>Samstag</v>
      </c>
      <c r="K314" s="92">
        <f t="shared" ref="K314:K367" si="34">IF(H314&lt;&gt;"",IF(AND(I314&gt;=1,I314&lt;=5),1,0),"")</f>
        <v>0</v>
      </c>
      <c r="L314" s="92">
        <f t="shared" ref="L314:L367" si="35">IF(H314&lt;&gt;"",IF(OR(I314=6,I314=7),1,0),"")</f>
        <v>1</v>
      </c>
    </row>
    <row r="315" spans="7:12" x14ac:dyDescent="0.2">
      <c r="G315" s="92">
        <f t="shared" si="32"/>
        <v>314</v>
      </c>
      <c r="H315" s="1029">
        <f t="shared" si="31"/>
        <v>43779</v>
      </c>
      <c r="I315" s="85">
        <f t="shared" si="30"/>
        <v>7</v>
      </c>
      <c r="J315" s="85" t="str">
        <f t="shared" si="33"/>
        <v>Sonntag</v>
      </c>
      <c r="K315" s="92">
        <f t="shared" si="34"/>
        <v>0</v>
      </c>
      <c r="L315" s="92">
        <f t="shared" si="35"/>
        <v>1</v>
      </c>
    </row>
    <row r="316" spans="7:12" x14ac:dyDescent="0.2">
      <c r="G316" s="92">
        <f t="shared" si="32"/>
        <v>315</v>
      </c>
      <c r="H316" s="1029">
        <f t="shared" si="31"/>
        <v>43780</v>
      </c>
      <c r="I316" s="85">
        <f t="shared" si="30"/>
        <v>1</v>
      </c>
      <c r="J316" s="85" t="str">
        <f t="shared" si="33"/>
        <v>Montag</v>
      </c>
      <c r="K316" s="92">
        <f t="shared" si="34"/>
        <v>1</v>
      </c>
      <c r="L316" s="92">
        <f t="shared" si="35"/>
        <v>0</v>
      </c>
    </row>
    <row r="317" spans="7:12" x14ac:dyDescent="0.2">
      <c r="G317" s="92">
        <f t="shared" si="32"/>
        <v>316</v>
      </c>
      <c r="H317" s="1029">
        <f t="shared" si="31"/>
        <v>43781</v>
      </c>
      <c r="I317" s="85">
        <f t="shared" si="30"/>
        <v>2</v>
      </c>
      <c r="J317" s="85" t="str">
        <f t="shared" si="33"/>
        <v>Dienstag</v>
      </c>
      <c r="K317" s="92">
        <f t="shared" si="34"/>
        <v>1</v>
      </c>
      <c r="L317" s="92">
        <f t="shared" si="35"/>
        <v>0</v>
      </c>
    </row>
    <row r="318" spans="7:12" x14ac:dyDescent="0.2">
      <c r="G318" s="92">
        <f t="shared" si="32"/>
        <v>317</v>
      </c>
      <c r="H318" s="1029">
        <f t="shared" si="31"/>
        <v>43782</v>
      </c>
      <c r="I318" s="85">
        <f t="shared" si="30"/>
        <v>3</v>
      </c>
      <c r="J318" s="85" t="str">
        <f t="shared" si="33"/>
        <v>Mittwoch</v>
      </c>
      <c r="K318" s="92">
        <f t="shared" si="34"/>
        <v>1</v>
      </c>
      <c r="L318" s="92">
        <f t="shared" si="35"/>
        <v>0</v>
      </c>
    </row>
    <row r="319" spans="7:12" x14ac:dyDescent="0.2">
      <c r="G319" s="92">
        <f t="shared" si="32"/>
        <v>318</v>
      </c>
      <c r="H319" s="1029">
        <f t="shared" si="31"/>
        <v>43783</v>
      </c>
      <c r="I319" s="85">
        <f t="shared" si="30"/>
        <v>4</v>
      </c>
      <c r="J319" s="85" t="str">
        <f t="shared" si="33"/>
        <v>Donnerstag</v>
      </c>
      <c r="K319" s="92">
        <f t="shared" si="34"/>
        <v>1</v>
      </c>
      <c r="L319" s="92">
        <f t="shared" si="35"/>
        <v>0</v>
      </c>
    </row>
    <row r="320" spans="7:12" x14ac:dyDescent="0.2">
      <c r="G320" s="92">
        <f t="shared" si="32"/>
        <v>319</v>
      </c>
      <c r="H320" s="1029">
        <f t="shared" si="31"/>
        <v>43784</v>
      </c>
      <c r="I320" s="85">
        <f t="shared" si="30"/>
        <v>5</v>
      </c>
      <c r="J320" s="85" t="str">
        <f t="shared" si="33"/>
        <v>Freitag</v>
      </c>
      <c r="K320" s="92">
        <f t="shared" si="34"/>
        <v>1</v>
      </c>
      <c r="L320" s="92">
        <f t="shared" si="35"/>
        <v>0</v>
      </c>
    </row>
    <row r="321" spans="7:12" x14ac:dyDescent="0.2">
      <c r="G321" s="92">
        <f t="shared" si="32"/>
        <v>320</v>
      </c>
      <c r="H321" s="1029">
        <f t="shared" si="31"/>
        <v>43785</v>
      </c>
      <c r="I321" s="85">
        <f t="shared" si="30"/>
        <v>6</v>
      </c>
      <c r="J321" s="85" t="str">
        <f t="shared" si="33"/>
        <v>Samstag</v>
      </c>
      <c r="K321" s="92">
        <f t="shared" si="34"/>
        <v>0</v>
      </c>
      <c r="L321" s="92">
        <f t="shared" si="35"/>
        <v>1</v>
      </c>
    </row>
    <row r="322" spans="7:12" x14ac:dyDescent="0.2">
      <c r="G322" s="92">
        <f t="shared" si="32"/>
        <v>321</v>
      </c>
      <c r="H322" s="1029">
        <f t="shared" si="31"/>
        <v>43786</v>
      </c>
      <c r="I322" s="85">
        <f t="shared" si="30"/>
        <v>7</v>
      </c>
      <c r="J322" s="85" t="str">
        <f t="shared" si="33"/>
        <v>Sonntag</v>
      </c>
      <c r="K322" s="92">
        <f t="shared" si="34"/>
        <v>0</v>
      </c>
      <c r="L322" s="92">
        <f t="shared" si="35"/>
        <v>1</v>
      </c>
    </row>
    <row r="323" spans="7:12" x14ac:dyDescent="0.2">
      <c r="G323" s="92">
        <f t="shared" si="32"/>
        <v>322</v>
      </c>
      <c r="H323" s="1029">
        <f t="shared" si="31"/>
        <v>43787</v>
      </c>
      <c r="I323" s="85">
        <f t="shared" ref="I323:I367" si="36">IF(H323&lt;&gt;"",WEEKDAY(H323,2),"")</f>
        <v>1</v>
      </c>
      <c r="J323" s="85" t="str">
        <f t="shared" si="33"/>
        <v>Montag</v>
      </c>
      <c r="K323" s="92">
        <f t="shared" si="34"/>
        <v>1</v>
      </c>
      <c r="L323" s="92">
        <f t="shared" si="35"/>
        <v>0</v>
      </c>
    </row>
    <row r="324" spans="7:12" x14ac:dyDescent="0.2">
      <c r="G324" s="92">
        <f t="shared" si="32"/>
        <v>323</v>
      </c>
      <c r="H324" s="1029">
        <f t="shared" ref="H324:H366" si="37">H323+1</f>
        <v>43788</v>
      </c>
      <c r="I324" s="85">
        <f t="shared" si="36"/>
        <v>2</v>
      </c>
      <c r="J324" s="85" t="str">
        <f t="shared" si="33"/>
        <v>Dienstag</v>
      </c>
      <c r="K324" s="92">
        <f t="shared" si="34"/>
        <v>1</v>
      </c>
      <c r="L324" s="92">
        <f t="shared" si="35"/>
        <v>0</v>
      </c>
    </row>
    <row r="325" spans="7:12" x14ac:dyDescent="0.2">
      <c r="G325" s="92">
        <f t="shared" si="32"/>
        <v>324</v>
      </c>
      <c r="H325" s="1029">
        <f t="shared" si="37"/>
        <v>43789</v>
      </c>
      <c r="I325" s="85">
        <f t="shared" si="36"/>
        <v>3</v>
      </c>
      <c r="J325" s="85" t="str">
        <f t="shared" si="33"/>
        <v>Mittwoch</v>
      </c>
      <c r="K325" s="92">
        <f t="shared" si="34"/>
        <v>1</v>
      </c>
      <c r="L325" s="92">
        <f t="shared" si="35"/>
        <v>0</v>
      </c>
    </row>
    <row r="326" spans="7:12" x14ac:dyDescent="0.2">
      <c r="G326" s="92">
        <f t="shared" si="32"/>
        <v>325</v>
      </c>
      <c r="H326" s="1029">
        <f t="shared" si="37"/>
        <v>43790</v>
      </c>
      <c r="I326" s="85">
        <f t="shared" si="36"/>
        <v>4</v>
      </c>
      <c r="J326" s="85" t="str">
        <f t="shared" si="33"/>
        <v>Donnerstag</v>
      </c>
      <c r="K326" s="92">
        <f t="shared" si="34"/>
        <v>1</v>
      </c>
      <c r="L326" s="92">
        <f t="shared" si="35"/>
        <v>0</v>
      </c>
    </row>
    <row r="327" spans="7:12" x14ac:dyDescent="0.2">
      <c r="G327" s="92">
        <f t="shared" si="32"/>
        <v>326</v>
      </c>
      <c r="H327" s="1029">
        <f t="shared" si="37"/>
        <v>43791</v>
      </c>
      <c r="I327" s="85">
        <f t="shared" si="36"/>
        <v>5</v>
      </c>
      <c r="J327" s="85" t="str">
        <f t="shared" si="33"/>
        <v>Freitag</v>
      </c>
      <c r="K327" s="92">
        <f t="shared" si="34"/>
        <v>1</v>
      </c>
      <c r="L327" s="92">
        <f t="shared" si="35"/>
        <v>0</v>
      </c>
    </row>
    <row r="328" spans="7:12" x14ac:dyDescent="0.2">
      <c r="G328" s="92">
        <f t="shared" si="32"/>
        <v>327</v>
      </c>
      <c r="H328" s="1029">
        <f t="shared" si="37"/>
        <v>43792</v>
      </c>
      <c r="I328" s="85">
        <f t="shared" si="36"/>
        <v>6</v>
      </c>
      <c r="J328" s="85" t="str">
        <f t="shared" si="33"/>
        <v>Samstag</v>
      </c>
      <c r="K328" s="92">
        <f t="shared" si="34"/>
        <v>0</v>
      </c>
      <c r="L328" s="92">
        <f t="shared" si="35"/>
        <v>1</v>
      </c>
    </row>
    <row r="329" spans="7:12" x14ac:dyDescent="0.2">
      <c r="G329" s="92">
        <f t="shared" si="32"/>
        <v>328</v>
      </c>
      <c r="H329" s="1029">
        <f t="shared" si="37"/>
        <v>43793</v>
      </c>
      <c r="I329" s="85">
        <f t="shared" si="36"/>
        <v>7</v>
      </c>
      <c r="J329" s="85" t="str">
        <f t="shared" si="33"/>
        <v>Sonntag</v>
      </c>
      <c r="K329" s="92">
        <f t="shared" si="34"/>
        <v>0</v>
      </c>
      <c r="L329" s="92">
        <f t="shared" si="35"/>
        <v>1</v>
      </c>
    </row>
    <row r="330" spans="7:12" x14ac:dyDescent="0.2">
      <c r="G330" s="92">
        <f t="shared" si="32"/>
        <v>329</v>
      </c>
      <c r="H330" s="1029">
        <f t="shared" si="37"/>
        <v>43794</v>
      </c>
      <c r="I330" s="85">
        <f t="shared" si="36"/>
        <v>1</v>
      </c>
      <c r="J330" s="85" t="str">
        <f t="shared" si="33"/>
        <v>Montag</v>
      </c>
      <c r="K330" s="92">
        <f t="shared" si="34"/>
        <v>1</v>
      </c>
      <c r="L330" s="92">
        <f t="shared" si="35"/>
        <v>0</v>
      </c>
    </row>
    <row r="331" spans="7:12" x14ac:dyDescent="0.2">
      <c r="G331" s="92">
        <f t="shared" si="32"/>
        <v>330</v>
      </c>
      <c r="H331" s="1029">
        <f t="shared" si="37"/>
        <v>43795</v>
      </c>
      <c r="I331" s="85">
        <f t="shared" si="36"/>
        <v>2</v>
      </c>
      <c r="J331" s="85" t="str">
        <f t="shared" si="33"/>
        <v>Dienstag</v>
      </c>
      <c r="K331" s="92">
        <f t="shared" si="34"/>
        <v>1</v>
      </c>
      <c r="L331" s="92">
        <f t="shared" si="35"/>
        <v>0</v>
      </c>
    </row>
    <row r="332" spans="7:12" x14ac:dyDescent="0.2">
      <c r="G332" s="92">
        <f t="shared" si="32"/>
        <v>331</v>
      </c>
      <c r="H332" s="1029">
        <f t="shared" si="37"/>
        <v>43796</v>
      </c>
      <c r="I332" s="85">
        <f t="shared" si="36"/>
        <v>3</v>
      </c>
      <c r="J332" s="85" t="str">
        <f t="shared" si="33"/>
        <v>Mittwoch</v>
      </c>
      <c r="K332" s="92">
        <f t="shared" si="34"/>
        <v>1</v>
      </c>
      <c r="L332" s="92">
        <f t="shared" si="35"/>
        <v>0</v>
      </c>
    </row>
    <row r="333" spans="7:12" x14ac:dyDescent="0.2">
      <c r="G333" s="92">
        <f t="shared" si="32"/>
        <v>332</v>
      </c>
      <c r="H333" s="1029">
        <f t="shared" si="37"/>
        <v>43797</v>
      </c>
      <c r="I333" s="85">
        <f t="shared" si="36"/>
        <v>4</v>
      </c>
      <c r="J333" s="85" t="str">
        <f t="shared" si="33"/>
        <v>Donnerstag</v>
      </c>
      <c r="K333" s="92">
        <f t="shared" si="34"/>
        <v>1</v>
      </c>
      <c r="L333" s="92">
        <f t="shared" si="35"/>
        <v>0</v>
      </c>
    </row>
    <row r="334" spans="7:12" x14ac:dyDescent="0.2">
      <c r="G334" s="92">
        <f t="shared" si="32"/>
        <v>333</v>
      </c>
      <c r="H334" s="1029">
        <f t="shared" si="37"/>
        <v>43798</v>
      </c>
      <c r="I334" s="85">
        <f t="shared" si="36"/>
        <v>5</v>
      </c>
      <c r="J334" s="85" t="str">
        <f t="shared" si="33"/>
        <v>Freitag</v>
      </c>
      <c r="K334" s="92">
        <f t="shared" si="34"/>
        <v>1</v>
      </c>
      <c r="L334" s="92">
        <f t="shared" si="35"/>
        <v>0</v>
      </c>
    </row>
    <row r="335" spans="7:12" x14ac:dyDescent="0.2">
      <c r="G335" s="92">
        <f t="shared" si="32"/>
        <v>334</v>
      </c>
      <c r="H335" s="1029">
        <f t="shared" si="37"/>
        <v>43799</v>
      </c>
      <c r="I335" s="85">
        <f t="shared" si="36"/>
        <v>6</v>
      </c>
      <c r="J335" s="85" t="str">
        <f t="shared" si="33"/>
        <v>Samstag</v>
      </c>
      <c r="K335" s="92">
        <f t="shared" si="34"/>
        <v>0</v>
      </c>
      <c r="L335" s="92">
        <f t="shared" si="35"/>
        <v>1</v>
      </c>
    </row>
    <row r="336" spans="7:12" x14ac:dyDescent="0.2">
      <c r="G336" s="92">
        <f t="shared" si="32"/>
        <v>335</v>
      </c>
      <c r="H336" s="1029">
        <f t="shared" si="37"/>
        <v>43800</v>
      </c>
      <c r="I336" s="85">
        <f t="shared" si="36"/>
        <v>7</v>
      </c>
      <c r="J336" s="85" t="str">
        <f t="shared" si="33"/>
        <v>Sonntag</v>
      </c>
      <c r="K336" s="92">
        <f t="shared" si="34"/>
        <v>0</v>
      </c>
      <c r="L336" s="92">
        <f t="shared" si="35"/>
        <v>1</v>
      </c>
    </row>
    <row r="337" spans="7:12" x14ac:dyDescent="0.2">
      <c r="G337" s="92">
        <f t="shared" si="32"/>
        <v>336</v>
      </c>
      <c r="H337" s="1029">
        <f t="shared" si="37"/>
        <v>43801</v>
      </c>
      <c r="I337" s="85">
        <f t="shared" si="36"/>
        <v>1</v>
      </c>
      <c r="J337" s="85" t="str">
        <f t="shared" si="33"/>
        <v>Montag</v>
      </c>
      <c r="K337" s="92">
        <f t="shared" si="34"/>
        <v>1</v>
      </c>
      <c r="L337" s="92">
        <f t="shared" si="35"/>
        <v>0</v>
      </c>
    </row>
    <row r="338" spans="7:12" x14ac:dyDescent="0.2">
      <c r="G338" s="92">
        <f t="shared" si="32"/>
        <v>337</v>
      </c>
      <c r="H338" s="1029">
        <f t="shared" si="37"/>
        <v>43802</v>
      </c>
      <c r="I338" s="85">
        <f t="shared" si="36"/>
        <v>2</v>
      </c>
      <c r="J338" s="85" t="str">
        <f t="shared" si="33"/>
        <v>Dienstag</v>
      </c>
      <c r="K338" s="92">
        <f t="shared" si="34"/>
        <v>1</v>
      </c>
      <c r="L338" s="92">
        <f t="shared" si="35"/>
        <v>0</v>
      </c>
    </row>
    <row r="339" spans="7:12" x14ac:dyDescent="0.2">
      <c r="G339" s="92">
        <f t="shared" si="32"/>
        <v>338</v>
      </c>
      <c r="H339" s="1029">
        <f t="shared" si="37"/>
        <v>43803</v>
      </c>
      <c r="I339" s="85">
        <f t="shared" si="36"/>
        <v>3</v>
      </c>
      <c r="J339" s="85" t="str">
        <f t="shared" si="33"/>
        <v>Mittwoch</v>
      </c>
      <c r="K339" s="92">
        <f t="shared" si="34"/>
        <v>1</v>
      </c>
      <c r="L339" s="92">
        <f t="shared" si="35"/>
        <v>0</v>
      </c>
    </row>
    <row r="340" spans="7:12" x14ac:dyDescent="0.2">
      <c r="G340" s="92">
        <f t="shared" si="32"/>
        <v>339</v>
      </c>
      <c r="H340" s="1029">
        <f t="shared" si="37"/>
        <v>43804</v>
      </c>
      <c r="I340" s="85">
        <f t="shared" si="36"/>
        <v>4</v>
      </c>
      <c r="J340" s="85" t="str">
        <f t="shared" si="33"/>
        <v>Donnerstag</v>
      </c>
      <c r="K340" s="92">
        <f t="shared" si="34"/>
        <v>1</v>
      </c>
      <c r="L340" s="92">
        <f t="shared" si="35"/>
        <v>0</v>
      </c>
    </row>
    <row r="341" spans="7:12" x14ac:dyDescent="0.2">
      <c r="G341" s="92">
        <f t="shared" si="32"/>
        <v>340</v>
      </c>
      <c r="H341" s="1029">
        <f t="shared" si="37"/>
        <v>43805</v>
      </c>
      <c r="I341" s="85">
        <f t="shared" si="36"/>
        <v>5</v>
      </c>
      <c r="J341" s="85" t="str">
        <f t="shared" si="33"/>
        <v>Freitag</v>
      </c>
      <c r="K341" s="92">
        <f t="shared" si="34"/>
        <v>1</v>
      </c>
      <c r="L341" s="92">
        <f t="shared" si="35"/>
        <v>0</v>
      </c>
    </row>
    <row r="342" spans="7:12" x14ac:dyDescent="0.2">
      <c r="G342" s="92">
        <f t="shared" si="32"/>
        <v>341</v>
      </c>
      <c r="H342" s="1029">
        <f t="shared" si="37"/>
        <v>43806</v>
      </c>
      <c r="I342" s="85">
        <f t="shared" si="36"/>
        <v>6</v>
      </c>
      <c r="J342" s="85" t="str">
        <f t="shared" si="33"/>
        <v>Samstag</v>
      </c>
      <c r="K342" s="92">
        <f t="shared" si="34"/>
        <v>0</v>
      </c>
      <c r="L342" s="92">
        <f t="shared" si="35"/>
        <v>1</v>
      </c>
    </row>
    <row r="343" spans="7:12" x14ac:dyDescent="0.2">
      <c r="G343" s="92">
        <f t="shared" si="32"/>
        <v>342</v>
      </c>
      <c r="H343" s="1029">
        <f t="shared" si="37"/>
        <v>43807</v>
      </c>
      <c r="I343" s="85">
        <f t="shared" si="36"/>
        <v>7</v>
      </c>
      <c r="J343" s="85" t="str">
        <f t="shared" si="33"/>
        <v>Sonntag</v>
      </c>
      <c r="K343" s="92">
        <f t="shared" si="34"/>
        <v>0</v>
      </c>
      <c r="L343" s="92">
        <f t="shared" si="35"/>
        <v>1</v>
      </c>
    </row>
    <row r="344" spans="7:12" x14ac:dyDescent="0.2">
      <c r="G344" s="92">
        <f t="shared" si="32"/>
        <v>343</v>
      </c>
      <c r="H344" s="1029">
        <f t="shared" si="37"/>
        <v>43808</v>
      </c>
      <c r="I344" s="85">
        <f t="shared" si="36"/>
        <v>1</v>
      </c>
      <c r="J344" s="85" t="str">
        <f t="shared" si="33"/>
        <v>Montag</v>
      </c>
      <c r="K344" s="92">
        <f t="shared" si="34"/>
        <v>1</v>
      </c>
      <c r="L344" s="92">
        <f t="shared" si="35"/>
        <v>0</v>
      </c>
    </row>
    <row r="345" spans="7:12" x14ac:dyDescent="0.2">
      <c r="G345" s="92">
        <f t="shared" si="32"/>
        <v>344</v>
      </c>
      <c r="H345" s="1029">
        <f t="shared" si="37"/>
        <v>43809</v>
      </c>
      <c r="I345" s="85">
        <f t="shared" si="36"/>
        <v>2</v>
      </c>
      <c r="J345" s="85" t="str">
        <f t="shared" si="33"/>
        <v>Dienstag</v>
      </c>
      <c r="K345" s="92">
        <f t="shared" si="34"/>
        <v>1</v>
      </c>
      <c r="L345" s="92">
        <f t="shared" si="35"/>
        <v>0</v>
      </c>
    </row>
    <row r="346" spans="7:12" x14ac:dyDescent="0.2">
      <c r="G346" s="92">
        <f t="shared" si="32"/>
        <v>345</v>
      </c>
      <c r="H346" s="1029">
        <f t="shared" si="37"/>
        <v>43810</v>
      </c>
      <c r="I346" s="85">
        <f t="shared" si="36"/>
        <v>3</v>
      </c>
      <c r="J346" s="85" t="str">
        <f t="shared" si="33"/>
        <v>Mittwoch</v>
      </c>
      <c r="K346" s="92">
        <f t="shared" si="34"/>
        <v>1</v>
      </c>
      <c r="L346" s="92">
        <f t="shared" si="35"/>
        <v>0</v>
      </c>
    </row>
    <row r="347" spans="7:12" x14ac:dyDescent="0.2">
      <c r="G347" s="92">
        <f t="shared" si="32"/>
        <v>346</v>
      </c>
      <c r="H347" s="1029">
        <f t="shared" si="37"/>
        <v>43811</v>
      </c>
      <c r="I347" s="85">
        <f t="shared" si="36"/>
        <v>4</v>
      </c>
      <c r="J347" s="85" t="str">
        <f t="shared" si="33"/>
        <v>Donnerstag</v>
      </c>
      <c r="K347" s="92">
        <f t="shared" si="34"/>
        <v>1</v>
      </c>
      <c r="L347" s="92">
        <f t="shared" si="35"/>
        <v>0</v>
      </c>
    </row>
    <row r="348" spans="7:12" x14ac:dyDescent="0.2">
      <c r="G348" s="92">
        <f t="shared" si="32"/>
        <v>347</v>
      </c>
      <c r="H348" s="1029">
        <f t="shared" si="37"/>
        <v>43812</v>
      </c>
      <c r="I348" s="85">
        <f t="shared" si="36"/>
        <v>5</v>
      </c>
      <c r="J348" s="85" t="str">
        <f t="shared" si="33"/>
        <v>Freitag</v>
      </c>
      <c r="K348" s="92">
        <f t="shared" si="34"/>
        <v>1</v>
      </c>
      <c r="L348" s="92">
        <f t="shared" si="35"/>
        <v>0</v>
      </c>
    </row>
    <row r="349" spans="7:12" x14ac:dyDescent="0.2">
      <c r="G349" s="92">
        <f t="shared" si="32"/>
        <v>348</v>
      </c>
      <c r="H349" s="1029">
        <f t="shared" si="37"/>
        <v>43813</v>
      </c>
      <c r="I349" s="85">
        <f t="shared" si="36"/>
        <v>6</v>
      </c>
      <c r="J349" s="85" t="str">
        <f t="shared" si="33"/>
        <v>Samstag</v>
      </c>
      <c r="K349" s="92">
        <f t="shared" si="34"/>
        <v>0</v>
      </c>
      <c r="L349" s="92">
        <f t="shared" si="35"/>
        <v>1</v>
      </c>
    </row>
    <row r="350" spans="7:12" x14ac:dyDescent="0.2">
      <c r="G350" s="92">
        <f t="shared" si="32"/>
        <v>349</v>
      </c>
      <c r="H350" s="1029">
        <f t="shared" si="37"/>
        <v>43814</v>
      </c>
      <c r="I350" s="85">
        <f t="shared" si="36"/>
        <v>7</v>
      </c>
      <c r="J350" s="85" t="str">
        <f t="shared" si="33"/>
        <v>Sonntag</v>
      </c>
      <c r="K350" s="92">
        <f t="shared" si="34"/>
        <v>0</v>
      </c>
      <c r="L350" s="92">
        <f t="shared" si="35"/>
        <v>1</v>
      </c>
    </row>
    <row r="351" spans="7:12" x14ac:dyDescent="0.2">
      <c r="G351" s="92">
        <f t="shared" si="32"/>
        <v>350</v>
      </c>
      <c r="H351" s="1029">
        <f t="shared" si="37"/>
        <v>43815</v>
      </c>
      <c r="I351" s="85">
        <f t="shared" si="36"/>
        <v>1</v>
      </c>
      <c r="J351" s="85" t="str">
        <f t="shared" si="33"/>
        <v>Montag</v>
      </c>
      <c r="K351" s="92">
        <f t="shared" si="34"/>
        <v>1</v>
      </c>
      <c r="L351" s="92">
        <f t="shared" si="35"/>
        <v>0</v>
      </c>
    </row>
    <row r="352" spans="7:12" x14ac:dyDescent="0.2">
      <c r="G352" s="92">
        <f t="shared" si="32"/>
        <v>351</v>
      </c>
      <c r="H352" s="1029">
        <f t="shared" si="37"/>
        <v>43816</v>
      </c>
      <c r="I352" s="85">
        <f t="shared" si="36"/>
        <v>2</v>
      </c>
      <c r="J352" s="85" t="str">
        <f t="shared" si="33"/>
        <v>Dienstag</v>
      </c>
      <c r="K352" s="92">
        <f t="shared" si="34"/>
        <v>1</v>
      </c>
      <c r="L352" s="92">
        <f t="shared" si="35"/>
        <v>0</v>
      </c>
    </row>
    <row r="353" spans="7:12" x14ac:dyDescent="0.2">
      <c r="G353" s="92">
        <f t="shared" si="32"/>
        <v>352</v>
      </c>
      <c r="H353" s="1029">
        <f t="shared" si="37"/>
        <v>43817</v>
      </c>
      <c r="I353" s="85">
        <f t="shared" si="36"/>
        <v>3</v>
      </c>
      <c r="J353" s="85" t="str">
        <f t="shared" si="33"/>
        <v>Mittwoch</v>
      </c>
      <c r="K353" s="92">
        <f t="shared" si="34"/>
        <v>1</v>
      </c>
      <c r="L353" s="92">
        <f t="shared" si="35"/>
        <v>0</v>
      </c>
    </row>
    <row r="354" spans="7:12" x14ac:dyDescent="0.2">
      <c r="G354" s="92">
        <f t="shared" si="32"/>
        <v>353</v>
      </c>
      <c r="H354" s="1029">
        <f t="shared" si="37"/>
        <v>43818</v>
      </c>
      <c r="I354" s="85">
        <f t="shared" si="36"/>
        <v>4</v>
      </c>
      <c r="J354" s="85" t="str">
        <f t="shared" si="33"/>
        <v>Donnerstag</v>
      </c>
      <c r="K354" s="92">
        <f t="shared" si="34"/>
        <v>1</v>
      </c>
      <c r="L354" s="92">
        <f t="shared" si="35"/>
        <v>0</v>
      </c>
    </row>
    <row r="355" spans="7:12" x14ac:dyDescent="0.2">
      <c r="G355" s="92">
        <f t="shared" si="32"/>
        <v>354</v>
      </c>
      <c r="H355" s="1029">
        <f t="shared" si="37"/>
        <v>43819</v>
      </c>
      <c r="I355" s="85">
        <f t="shared" si="36"/>
        <v>5</v>
      </c>
      <c r="J355" s="85" t="str">
        <f t="shared" si="33"/>
        <v>Freitag</v>
      </c>
      <c r="K355" s="92">
        <f t="shared" si="34"/>
        <v>1</v>
      </c>
      <c r="L355" s="92">
        <f t="shared" si="35"/>
        <v>0</v>
      </c>
    </row>
    <row r="356" spans="7:12" x14ac:dyDescent="0.2">
      <c r="G356" s="92">
        <f t="shared" si="32"/>
        <v>355</v>
      </c>
      <c r="H356" s="1029">
        <f t="shared" si="37"/>
        <v>43820</v>
      </c>
      <c r="I356" s="85">
        <f t="shared" si="36"/>
        <v>6</v>
      </c>
      <c r="J356" s="85" t="str">
        <f t="shared" si="33"/>
        <v>Samstag</v>
      </c>
      <c r="K356" s="92">
        <f t="shared" si="34"/>
        <v>0</v>
      </c>
      <c r="L356" s="92">
        <f t="shared" si="35"/>
        <v>1</v>
      </c>
    </row>
    <row r="357" spans="7:12" x14ac:dyDescent="0.2">
      <c r="G357" s="92">
        <f t="shared" si="32"/>
        <v>356</v>
      </c>
      <c r="H357" s="1029">
        <f t="shared" si="37"/>
        <v>43821</v>
      </c>
      <c r="I357" s="85">
        <f t="shared" si="36"/>
        <v>7</v>
      </c>
      <c r="J357" s="85" t="str">
        <f t="shared" si="33"/>
        <v>Sonntag</v>
      </c>
      <c r="K357" s="92">
        <f t="shared" si="34"/>
        <v>0</v>
      </c>
      <c r="L357" s="92">
        <f t="shared" si="35"/>
        <v>1</v>
      </c>
    </row>
    <row r="358" spans="7:12" x14ac:dyDescent="0.2">
      <c r="G358" s="92">
        <f t="shared" si="32"/>
        <v>357</v>
      </c>
      <c r="H358" s="1029">
        <f t="shared" si="37"/>
        <v>43822</v>
      </c>
      <c r="I358" s="85">
        <f t="shared" si="36"/>
        <v>1</v>
      </c>
      <c r="J358" s="85" t="str">
        <f t="shared" si="33"/>
        <v>Montag</v>
      </c>
      <c r="K358" s="92">
        <f t="shared" si="34"/>
        <v>1</v>
      </c>
      <c r="L358" s="92">
        <f t="shared" si="35"/>
        <v>0</v>
      </c>
    </row>
    <row r="359" spans="7:12" x14ac:dyDescent="0.2">
      <c r="G359" s="92">
        <f t="shared" si="32"/>
        <v>358</v>
      </c>
      <c r="H359" s="1029">
        <f t="shared" si="37"/>
        <v>43823</v>
      </c>
      <c r="I359" s="85">
        <f t="shared" si="36"/>
        <v>2</v>
      </c>
      <c r="J359" s="85" t="str">
        <f t="shared" si="33"/>
        <v>Dienstag</v>
      </c>
      <c r="K359" s="92">
        <f t="shared" si="34"/>
        <v>1</v>
      </c>
      <c r="L359" s="92">
        <f t="shared" si="35"/>
        <v>0</v>
      </c>
    </row>
    <row r="360" spans="7:12" x14ac:dyDescent="0.2">
      <c r="G360" s="92">
        <f t="shared" si="32"/>
        <v>359</v>
      </c>
      <c r="H360" s="1029">
        <f t="shared" si="37"/>
        <v>43824</v>
      </c>
      <c r="I360" s="85">
        <f t="shared" si="36"/>
        <v>3</v>
      </c>
      <c r="J360" s="85" t="str">
        <f t="shared" si="33"/>
        <v>Mittwoch</v>
      </c>
      <c r="K360" s="92">
        <f t="shared" si="34"/>
        <v>1</v>
      </c>
      <c r="L360" s="92">
        <f t="shared" si="35"/>
        <v>0</v>
      </c>
    </row>
    <row r="361" spans="7:12" x14ac:dyDescent="0.2">
      <c r="G361" s="92">
        <f t="shared" si="32"/>
        <v>360</v>
      </c>
      <c r="H361" s="1029">
        <f t="shared" si="37"/>
        <v>43825</v>
      </c>
      <c r="I361" s="85">
        <f t="shared" si="36"/>
        <v>4</v>
      </c>
      <c r="J361" s="85" t="str">
        <f t="shared" si="33"/>
        <v>Donnerstag</v>
      </c>
      <c r="K361" s="92">
        <f t="shared" si="34"/>
        <v>1</v>
      </c>
      <c r="L361" s="92">
        <f t="shared" si="35"/>
        <v>0</v>
      </c>
    </row>
    <row r="362" spans="7:12" x14ac:dyDescent="0.2">
      <c r="G362" s="92">
        <f t="shared" si="32"/>
        <v>361</v>
      </c>
      <c r="H362" s="1029">
        <f t="shared" si="37"/>
        <v>43826</v>
      </c>
      <c r="I362" s="85">
        <f t="shared" si="36"/>
        <v>5</v>
      </c>
      <c r="J362" s="85" t="str">
        <f t="shared" si="33"/>
        <v>Freitag</v>
      </c>
      <c r="K362" s="92">
        <f t="shared" si="34"/>
        <v>1</v>
      </c>
      <c r="L362" s="92">
        <f t="shared" si="35"/>
        <v>0</v>
      </c>
    </row>
    <row r="363" spans="7:12" x14ac:dyDescent="0.2">
      <c r="G363" s="92">
        <f t="shared" si="32"/>
        <v>362</v>
      </c>
      <c r="H363" s="1029">
        <f t="shared" si="37"/>
        <v>43827</v>
      </c>
      <c r="I363" s="85">
        <f t="shared" si="36"/>
        <v>6</v>
      </c>
      <c r="J363" s="85" t="str">
        <f t="shared" si="33"/>
        <v>Samstag</v>
      </c>
      <c r="K363" s="92">
        <f t="shared" si="34"/>
        <v>0</v>
      </c>
      <c r="L363" s="92">
        <f t="shared" si="35"/>
        <v>1</v>
      </c>
    </row>
    <row r="364" spans="7:12" x14ac:dyDescent="0.2">
      <c r="G364" s="92">
        <f t="shared" si="32"/>
        <v>363</v>
      </c>
      <c r="H364" s="1029">
        <f t="shared" si="37"/>
        <v>43828</v>
      </c>
      <c r="I364" s="85">
        <f t="shared" si="36"/>
        <v>7</v>
      </c>
      <c r="J364" s="85" t="str">
        <f t="shared" si="33"/>
        <v>Sonntag</v>
      </c>
      <c r="K364" s="92">
        <f t="shared" si="34"/>
        <v>0</v>
      </c>
      <c r="L364" s="92">
        <f t="shared" si="35"/>
        <v>1</v>
      </c>
    </row>
    <row r="365" spans="7:12" x14ac:dyDescent="0.2">
      <c r="G365" s="92">
        <f t="shared" si="32"/>
        <v>364</v>
      </c>
      <c r="H365" s="1029">
        <f t="shared" si="37"/>
        <v>43829</v>
      </c>
      <c r="I365" s="85">
        <f t="shared" si="36"/>
        <v>1</v>
      </c>
      <c r="J365" s="85" t="str">
        <f t="shared" si="33"/>
        <v>Montag</v>
      </c>
      <c r="K365" s="92">
        <f t="shared" si="34"/>
        <v>1</v>
      </c>
      <c r="L365" s="92">
        <f t="shared" si="35"/>
        <v>0</v>
      </c>
    </row>
    <row r="366" spans="7:12" x14ac:dyDescent="0.2">
      <c r="G366" s="92">
        <f t="shared" si="32"/>
        <v>365</v>
      </c>
      <c r="H366" s="1029">
        <f t="shared" si="37"/>
        <v>43830</v>
      </c>
      <c r="I366" s="85">
        <f t="shared" si="36"/>
        <v>2</v>
      </c>
      <c r="J366" s="85" t="str">
        <f t="shared" si="33"/>
        <v>Dienstag</v>
      </c>
      <c r="K366" s="92">
        <f t="shared" si="34"/>
        <v>1</v>
      </c>
      <c r="L366" s="92">
        <f t="shared" si="35"/>
        <v>0</v>
      </c>
    </row>
    <row r="367" spans="7:12" x14ac:dyDescent="0.2">
      <c r="G367" s="92" t="str">
        <f t="shared" si="32"/>
        <v/>
      </c>
      <c r="H367" s="1029" t="str">
        <f>IF((MOD(YEAR(H366),4)=0)-(MOD(YEAR(H366),100)=0)+(MOD(YEAR(H366),400)=0)=0,"",H366+1)</f>
        <v/>
      </c>
      <c r="I367" s="85" t="str">
        <f t="shared" si="36"/>
        <v/>
      </c>
      <c r="J367" s="85" t="str">
        <f t="shared" si="33"/>
        <v/>
      </c>
      <c r="K367" s="92" t="str">
        <f t="shared" si="34"/>
        <v/>
      </c>
      <c r="L367" s="92" t="str">
        <f t="shared" si="35"/>
        <v/>
      </c>
    </row>
    <row r="368" spans="7:12" ht="15" x14ac:dyDescent="0.25">
      <c r="G368" s="1030">
        <f>MAX(G366:G367)</f>
        <v>365</v>
      </c>
      <c r="H368" s="1030"/>
      <c r="I368" s="1027"/>
      <c r="J368" s="1027"/>
      <c r="K368" s="1030">
        <f>SUM(K2:K367)</f>
        <v>261</v>
      </c>
      <c r="L368" s="1030">
        <f>SUM(L2:L367)</f>
        <v>104</v>
      </c>
    </row>
  </sheetData>
  <mergeCells count="1">
    <mergeCell ref="D16:E16"/>
  </mergeCells>
  <pageMargins left="0.7" right="0.7" top="0.78740157499999996" bottom="0.78740157499999996" header="0.3" footer="0.3"/>
  <pageSetup paperSize="9" orientation="portrait" horizontalDpi="4294967293" vertic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rgb="FF00B0F0"/>
    <pageSetUpPr fitToPage="1"/>
  </sheetPr>
  <dimension ref="A1:C57"/>
  <sheetViews>
    <sheetView showGridLines="0" workbookViewId="0"/>
  </sheetViews>
  <sheetFormatPr baseColWidth="10" defaultRowHeight="12.75" x14ac:dyDescent="0.2"/>
  <cols>
    <col min="1" max="1" width="4.28515625" style="3" customWidth="1"/>
    <col min="2" max="2" width="65.85546875" style="3" bestFit="1" customWidth="1"/>
    <col min="3" max="3" width="10.7109375" style="3" bestFit="1" customWidth="1"/>
  </cols>
  <sheetData>
    <row r="1" spans="1:3" ht="20.25" customHeight="1" x14ac:dyDescent="0.2">
      <c r="A1" s="1048"/>
      <c r="B1" s="1050" t="s">
        <v>135</v>
      </c>
      <c r="C1" s="1049"/>
    </row>
    <row r="2" spans="1:3" ht="18" customHeight="1" x14ac:dyDescent="0.2">
      <c r="A2" s="1352" t="str">
        <f>B2</f>
        <v>Private Ausgaben</v>
      </c>
      <c r="B2" s="1046" t="s">
        <v>136</v>
      </c>
      <c r="C2" s="1044" t="s">
        <v>137</v>
      </c>
    </row>
    <row r="3" spans="1:3" ht="15.75" x14ac:dyDescent="0.2">
      <c r="A3" s="1353"/>
      <c r="B3" s="1016" t="s">
        <v>138</v>
      </c>
      <c r="C3" s="1016"/>
    </row>
    <row r="4" spans="1:3" ht="15" x14ac:dyDescent="0.2">
      <c r="A4" s="1353"/>
      <c r="B4" s="1014" t="s">
        <v>139</v>
      </c>
      <c r="C4" s="1017">
        <v>0</v>
      </c>
    </row>
    <row r="5" spans="1:3" ht="15" x14ac:dyDescent="0.2">
      <c r="A5" s="1353"/>
      <c r="B5" s="1014" t="s">
        <v>140</v>
      </c>
      <c r="C5" s="1017">
        <v>0</v>
      </c>
    </row>
    <row r="6" spans="1:3" ht="15" x14ac:dyDescent="0.2">
      <c r="A6" s="1353"/>
      <c r="B6" s="1014" t="s">
        <v>141</v>
      </c>
      <c r="C6" s="1017">
        <v>0</v>
      </c>
    </row>
    <row r="7" spans="1:3" ht="15" x14ac:dyDescent="0.2">
      <c r="A7" s="1353"/>
      <c r="B7" s="1014" t="s">
        <v>142</v>
      </c>
      <c r="C7" s="1017">
        <v>0</v>
      </c>
    </row>
    <row r="8" spans="1:3" ht="15" x14ac:dyDescent="0.2">
      <c r="A8" s="1353"/>
      <c r="B8" s="1014" t="s">
        <v>143</v>
      </c>
      <c r="C8" s="1017">
        <v>0</v>
      </c>
    </row>
    <row r="9" spans="1:3" ht="15" x14ac:dyDescent="0.2">
      <c r="A9" s="1353"/>
      <c r="B9" s="1014" t="s">
        <v>144</v>
      </c>
      <c r="C9" s="1017">
        <v>0</v>
      </c>
    </row>
    <row r="10" spans="1:3" ht="15" x14ac:dyDescent="0.2">
      <c r="A10" s="1353"/>
      <c r="B10" s="1014" t="s">
        <v>145</v>
      </c>
      <c r="C10" s="1017">
        <v>0</v>
      </c>
    </row>
    <row r="11" spans="1:3" ht="15" x14ac:dyDescent="0.2">
      <c r="A11" s="1353"/>
      <c r="B11" s="1014" t="s">
        <v>146</v>
      </c>
      <c r="C11" s="1017">
        <v>0</v>
      </c>
    </row>
    <row r="12" spans="1:3" ht="15" x14ac:dyDescent="0.2">
      <c r="A12" s="1353"/>
      <c r="B12" s="1014" t="s">
        <v>147</v>
      </c>
      <c r="C12" s="1017">
        <v>0</v>
      </c>
    </row>
    <row r="13" spans="1:3" ht="15" x14ac:dyDescent="0.2">
      <c r="A13" s="1353"/>
      <c r="B13" s="1014" t="s">
        <v>148</v>
      </c>
      <c r="C13" s="1017">
        <v>0</v>
      </c>
    </row>
    <row r="14" spans="1:3" ht="15" x14ac:dyDescent="0.2">
      <c r="A14" s="1353"/>
      <c r="B14" s="1014" t="s">
        <v>149</v>
      </c>
      <c r="C14" s="1017">
        <v>0</v>
      </c>
    </row>
    <row r="15" spans="1:3" ht="15.75" x14ac:dyDescent="0.2">
      <c r="A15" s="1353"/>
      <c r="B15" s="1016" t="s">
        <v>150</v>
      </c>
      <c r="C15" s="1016"/>
    </row>
    <row r="16" spans="1:3" ht="15" x14ac:dyDescent="0.2">
      <c r="A16" s="1353"/>
      <c r="B16" s="1014" t="s">
        <v>151</v>
      </c>
      <c r="C16" s="1017">
        <v>0</v>
      </c>
    </row>
    <row r="17" spans="1:3" ht="15" x14ac:dyDescent="0.2">
      <c r="A17" s="1353"/>
      <c r="B17" s="1014" t="s">
        <v>152</v>
      </c>
      <c r="C17" s="1017">
        <v>0</v>
      </c>
    </row>
    <row r="18" spans="1:3" ht="15" x14ac:dyDescent="0.2">
      <c r="A18" s="1353"/>
      <c r="B18" s="1014" t="s">
        <v>153</v>
      </c>
      <c r="C18" s="1017">
        <v>0</v>
      </c>
    </row>
    <row r="19" spans="1:3" ht="15" x14ac:dyDescent="0.2">
      <c r="A19" s="1353"/>
      <c r="B19" s="1014" t="s">
        <v>154</v>
      </c>
      <c r="C19" s="1017">
        <v>0</v>
      </c>
    </row>
    <row r="20" spans="1:3" ht="15" x14ac:dyDescent="0.2">
      <c r="A20" s="1353"/>
      <c r="B20" s="1014" t="s">
        <v>155</v>
      </c>
      <c r="C20" s="1017">
        <v>0</v>
      </c>
    </row>
    <row r="21" spans="1:3" ht="15" x14ac:dyDescent="0.2">
      <c r="A21" s="1353"/>
      <c r="B21" s="1014" t="s">
        <v>156</v>
      </c>
      <c r="C21" s="1017">
        <v>0</v>
      </c>
    </row>
    <row r="22" spans="1:3" ht="15" x14ac:dyDescent="0.2">
      <c r="A22" s="1353"/>
      <c r="B22" s="1014" t="s">
        <v>157</v>
      </c>
      <c r="C22" s="1017">
        <v>0</v>
      </c>
    </row>
    <row r="23" spans="1:3" ht="15.75" x14ac:dyDescent="0.2">
      <c r="A23" s="1353"/>
      <c r="B23" s="1016" t="s">
        <v>158</v>
      </c>
      <c r="C23" s="1016"/>
    </row>
    <row r="24" spans="1:3" ht="15" x14ac:dyDescent="0.2">
      <c r="A24" s="1353"/>
      <c r="B24" s="1014" t="s">
        <v>159</v>
      </c>
      <c r="C24" s="1017">
        <v>0</v>
      </c>
    </row>
    <row r="25" spans="1:3" ht="15" x14ac:dyDescent="0.2">
      <c r="A25" s="1353"/>
      <c r="B25" s="1014" t="s">
        <v>160</v>
      </c>
      <c r="C25" s="1017">
        <v>0</v>
      </c>
    </row>
    <row r="26" spans="1:3" ht="15" x14ac:dyDescent="0.2">
      <c r="A26" s="1353"/>
      <c r="B26" s="1014" t="s">
        <v>161</v>
      </c>
      <c r="C26" s="1017">
        <v>0</v>
      </c>
    </row>
    <row r="27" spans="1:3" ht="15" x14ac:dyDescent="0.2">
      <c r="A27" s="1353"/>
      <c r="B27" s="1014" t="s">
        <v>162</v>
      </c>
      <c r="C27" s="1017">
        <v>0</v>
      </c>
    </row>
    <row r="28" spans="1:3" ht="15" x14ac:dyDescent="0.2">
      <c r="A28" s="1353"/>
      <c r="B28" s="1014" t="s">
        <v>163</v>
      </c>
      <c r="C28" s="1017">
        <v>0</v>
      </c>
    </row>
    <row r="29" spans="1:3" ht="15" x14ac:dyDescent="0.2">
      <c r="A29" s="1353"/>
      <c r="B29" s="1014" t="s">
        <v>164</v>
      </c>
      <c r="C29" s="1017">
        <v>0</v>
      </c>
    </row>
    <row r="30" spans="1:3" ht="15.75" x14ac:dyDescent="0.2">
      <c r="A30" s="1353"/>
      <c r="B30" s="1016" t="s">
        <v>165</v>
      </c>
      <c r="C30" s="1016"/>
    </row>
    <row r="31" spans="1:3" ht="15" x14ac:dyDescent="0.2">
      <c r="A31" s="1353"/>
      <c r="B31" s="1014" t="s">
        <v>166</v>
      </c>
      <c r="C31" s="1017">
        <v>0</v>
      </c>
    </row>
    <row r="32" spans="1:3" ht="15" x14ac:dyDescent="0.2">
      <c r="A32" s="1353"/>
      <c r="B32" s="1014" t="s">
        <v>167</v>
      </c>
      <c r="C32" s="1017">
        <v>0</v>
      </c>
    </row>
    <row r="33" spans="1:3" ht="15" x14ac:dyDescent="0.2">
      <c r="A33" s="1353"/>
      <c r="B33" s="1014" t="s">
        <v>168</v>
      </c>
      <c r="C33" s="1017">
        <v>0</v>
      </c>
    </row>
    <row r="34" spans="1:3" ht="15" x14ac:dyDescent="0.2">
      <c r="A34" s="1353"/>
      <c r="B34" s="1014" t="s">
        <v>169</v>
      </c>
      <c r="C34" s="1017">
        <v>0</v>
      </c>
    </row>
    <row r="35" spans="1:3" ht="15" x14ac:dyDescent="0.2">
      <c r="A35" s="1353"/>
      <c r="B35" s="1014" t="s">
        <v>170</v>
      </c>
      <c r="C35" s="1017">
        <v>0</v>
      </c>
    </row>
    <row r="36" spans="1:3" ht="15.75" x14ac:dyDescent="0.2">
      <c r="A36" s="1353"/>
      <c r="B36" s="1016" t="s">
        <v>171</v>
      </c>
      <c r="C36" s="1016"/>
    </row>
    <row r="37" spans="1:3" ht="15" x14ac:dyDescent="0.2">
      <c r="A37" s="1353"/>
      <c r="B37" s="1014" t="s">
        <v>172</v>
      </c>
      <c r="C37" s="1017">
        <v>0</v>
      </c>
    </row>
    <row r="38" spans="1:3" ht="15" x14ac:dyDescent="0.2">
      <c r="A38" s="1353"/>
      <c r="B38" s="1014" t="s">
        <v>173</v>
      </c>
      <c r="C38" s="1017">
        <v>0</v>
      </c>
    </row>
    <row r="39" spans="1:3" ht="15" x14ac:dyDescent="0.2">
      <c r="A39" s="1353"/>
      <c r="B39" s="1014" t="s">
        <v>174</v>
      </c>
      <c r="C39" s="1017">
        <v>0</v>
      </c>
    </row>
    <row r="40" spans="1:3" ht="15" x14ac:dyDescent="0.2">
      <c r="A40" s="1353"/>
      <c r="B40" s="1014" t="s">
        <v>175</v>
      </c>
      <c r="C40" s="1017">
        <v>0</v>
      </c>
    </row>
    <row r="41" spans="1:3" ht="15" x14ac:dyDescent="0.2">
      <c r="A41" s="1353"/>
      <c r="B41" s="1014" t="s">
        <v>176</v>
      </c>
      <c r="C41" s="1017">
        <v>0</v>
      </c>
    </row>
    <row r="42" spans="1:3" ht="15" x14ac:dyDescent="0.2">
      <c r="A42" s="1353"/>
      <c r="B42" s="1014" t="s">
        <v>177</v>
      </c>
      <c r="C42" s="1017">
        <v>0</v>
      </c>
    </row>
    <row r="43" spans="1:3" ht="15.75" x14ac:dyDescent="0.2">
      <c r="A43" s="1353"/>
      <c r="B43" s="1016" t="s">
        <v>178</v>
      </c>
      <c r="C43" s="1016"/>
    </row>
    <row r="44" spans="1:3" ht="15" x14ac:dyDescent="0.2">
      <c r="A44" s="1353"/>
      <c r="B44" s="1014" t="s">
        <v>179</v>
      </c>
      <c r="C44" s="1017">
        <v>0</v>
      </c>
    </row>
    <row r="45" spans="1:3" ht="15" x14ac:dyDescent="0.2">
      <c r="A45" s="1353"/>
      <c r="B45" s="1014" t="s">
        <v>180</v>
      </c>
      <c r="C45" s="1017">
        <v>0</v>
      </c>
    </row>
    <row r="46" spans="1:3" ht="15" x14ac:dyDescent="0.2">
      <c r="A46" s="1353"/>
      <c r="B46" s="1014" t="s">
        <v>181</v>
      </c>
      <c r="C46" s="1017">
        <v>0</v>
      </c>
    </row>
    <row r="47" spans="1:3" ht="15" x14ac:dyDescent="0.2">
      <c r="A47" s="1353"/>
      <c r="B47" s="1014" t="s">
        <v>182</v>
      </c>
      <c r="C47" s="1017">
        <v>0</v>
      </c>
    </row>
    <row r="48" spans="1:3" ht="18" customHeight="1" x14ac:dyDescent="0.2">
      <c r="A48" s="1354"/>
      <c r="B48" s="1043" t="s">
        <v>183</v>
      </c>
      <c r="C48" s="1042">
        <f>SUM(C4:C47)</f>
        <v>0</v>
      </c>
    </row>
    <row r="49" spans="1:3" ht="18" customHeight="1" x14ac:dyDescent="0.2">
      <c r="A49" s="1349" t="str">
        <f>B49</f>
        <v>Private Einnahmen</v>
      </c>
      <c r="B49" s="1047" t="s">
        <v>184</v>
      </c>
      <c r="C49" s="1040"/>
    </row>
    <row r="50" spans="1:3" ht="15" x14ac:dyDescent="0.2">
      <c r="A50" s="1350"/>
      <c r="B50" s="1015" t="s">
        <v>185</v>
      </c>
      <c r="C50" s="1017">
        <v>0</v>
      </c>
    </row>
    <row r="51" spans="1:3" ht="15" x14ac:dyDescent="0.2">
      <c r="A51" s="1350"/>
      <c r="B51" s="1015" t="s">
        <v>186</v>
      </c>
      <c r="C51" s="1017">
        <v>0</v>
      </c>
    </row>
    <row r="52" spans="1:3" ht="15" x14ac:dyDescent="0.2">
      <c r="A52" s="1350"/>
      <c r="B52" s="1015" t="s">
        <v>187</v>
      </c>
      <c r="C52" s="1017">
        <v>0</v>
      </c>
    </row>
    <row r="53" spans="1:3" ht="15" x14ac:dyDescent="0.2">
      <c r="A53" s="1350"/>
      <c r="B53" s="1015" t="s">
        <v>188</v>
      </c>
      <c r="C53" s="1017">
        <v>0</v>
      </c>
    </row>
    <row r="54" spans="1:3" ht="15" x14ac:dyDescent="0.2">
      <c r="A54" s="1350"/>
      <c r="B54" s="1015" t="s">
        <v>189</v>
      </c>
      <c r="C54" s="1017">
        <v>0</v>
      </c>
    </row>
    <row r="55" spans="1:3" ht="15" x14ac:dyDescent="0.2">
      <c r="A55" s="1350"/>
      <c r="B55" s="1015" t="s">
        <v>190</v>
      </c>
      <c r="C55" s="1017">
        <v>0</v>
      </c>
    </row>
    <row r="56" spans="1:3" ht="18" customHeight="1" x14ac:dyDescent="0.2">
      <c r="A56" s="1351"/>
      <c r="B56" s="1041" t="s">
        <v>191</v>
      </c>
      <c r="C56" s="1040">
        <f>SUM(C50:C55)</f>
        <v>0</v>
      </c>
    </row>
    <row r="57" spans="1:3" ht="20.25" customHeight="1" x14ac:dyDescent="0.2">
      <c r="A57" s="1045"/>
      <c r="B57" s="1051" t="str">
        <f>IF(C57&gt;0,"Privater Überschuss","Privatbedarf (aus dem Unternehmen zu decken)")</f>
        <v>Privatbedarf (aus dem Unternehmen zu decken)</v>
      </c>
      <c r="C57" s="1039">
        <f>C56-C48</f>
        <v>0</v>
      </c>
    </row>
  </sheetData>
  <mergeCells count="2">
    <mergeCell ref="A49:A56"/>
    <mergeCell ref="A2:A48"/>
  </mergeCells>
  <pageMargins left="1.299212598425197" right="0.70866141732283472" top="0.78740157480314965" bottom="0.78740157480314965" header="0.31496062992125984" footer="0.31496062992125984"/>
  <pageSetup paperSize="9" scale="85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>
    <tabColor rgb="FF00B0F0"/>
  </sheetPr>
  <dimension ref="A2:AO119"/>
  <sheetViews>
    <sheetView showGridLines="0" zoomScale="110" zoomScaleNormal="110" workbookViewId="0">
      <pane xSplit="2" ySplit="5" topLeftCell="C6" activePane="bottomRight" state="frozen"/>
      <selection activeCell="C6" sqref="C6"/>
      <selection pane="topRight" activeCell="C6" sqref="C6"/>
      <selection pane="bottomLeft" activeCell="C6" sqref="C6"/>
      <selection pane="bottomRight" activeCell="C6" sqref="C6"/>
    </sheetView>
  </sheetViews>
  <sheetFormatPr baseColWidth="10" defaultColWidth="11.42578125" defaultRowHeight="12.75" outlineLevelCol="1" x14ac:dyDescent="0.2"/>
  <cols>
    <col min="1" max="1" width="21.7109375" style="517" bestFit="1" customWidth="1"/>
    <col min="2" max="2" width="26.42578125" style="517" customWidth="1"/>
    <col min="3" max="5" width="16.5703125" style="860" customWidth="1"/>
    <col min="6" max="6" width="13.5703125" style="517" customWidth="1"/>
    <col min="7" max="7" width="14.140625" style="517" customWidth="1"/>
    <col min="8" max="8" width="11.42578125" style="517" customWidth="1"/>
    <col min="9" max="9" width="11.42578125" style="517" customWidth="1" outlineLevel="1"/>
    <col min="10" max="10" width="14.140625" style="517" bestFit="1" customWidth="1"/>
    <col min="11" max="11" width="14.28515625" style="517" customWidth="1"/>
    <col min="12" max="12" width="12.140625" style="517" customWidth="1"/>
    <col min="13" max="13" width="12.85546875" style="517" customWidth="1"/>
    <col min="14" max="14" width="15.42578125" style="517" customWidth="1"/>
    <col min="15" max="15" width="12.140625" style="517" customWidth="1" outlineLevel="1"/>
    <col min="16" max="16" width="14.7109375" style="517" customWidth="1"/>
    <col min="17" max="18" width="11.42578125" style="517" customWidth="1"/>
    <col min="19" max="19" width="13.85546875" style="517" customWidth="1"/>
    <col min="20" max="20" width="18.85546875" style="517" customWidth="1"/>
    <col min="21" max="21" width="16.42578125" style="517" customWidth="1" outlineLevel="1"/>
    <col min="22" max="22" width="11.42578125" style="517" customWidth="1"/>
    <col min="23" max="25" width="11.42578125" style="517" customWidth="1" outlineLevel="1"/>
    <col min="26" max="26" width="11.7109375" style="517" bestFit="1" customWidth="1"/>
    <col min="27" max="27" width="18.5703125" style="517" customWidth="1"/>
    <col min="28" max="28" width="11.42578125" style="517" customWidth="1"/>
    <col min="29" max="29" width="17.28515625" style="517" customWidth="1"/>
    <col min="30" max="30" width="17.7109375" style="517" customWidth="1"/>
    <col min="31" max="31" width="13.42578125" style="517" customWidth="1"/>
    <col min="32" max="32" width="12" style="517" customWidth="1"/>
    <col min="33" max="33" width="17.140625" style="517" customWidth="1"/>
    <col min="34" max="34" width="12" style="517" bestFit="1" customWidth="1"/>
    <col min="35" max="35" width="17.28515625" style="517" customWidth="1"/>
    <col min="36" max="36" width="22.42578125" style="517" customWidth="1"/>
    <col min="37" max="37" width="20.28515625" style="517" customWidth="1"/>
    <col min="38" max="38" width="12.7109375" style="517" customWidth="1"/>
    <col min="39" max="39" width="10.7109375" style="517" customWidth="1"/>
    <col min="40" max="40" width="17.28515625" style="517" customWidth="1"/>
    <col min="41" max="41" width="13.28515625" style="517" customWidth="1"/>
    <col min="42" max="42" width="11.42578125" style="517" customWidth="1"/>
    <col min="43" max="16384" width="11.42578125" style="517"/>
  </cols>
  <sheetData>
    <row r="2" spans="1:41" s="492" customFormat="1" ht="15.75" x14ac:dyDescent="0.2">
      <c r="A2" s="878" t="s">
        <v>81</v>
      </c>
      <c r="B2" s="860"/>
      <c r="C2" s="956" t="str">
        <f>Grunddaten!B4</f>
        <v>Sample-Data</v>
      </c>
      <c r="D2" s="860"/>
      <c r="E2" s="860"/>
      <c r="F2" s="1038" t="s">
        <v>82</v>
      </c>
      <c r="G2" s="859">
        <f>COUNTA($A$6:$A$106)</f>
        <v>17</v>
      </c>
      <c r="H2" s="860"/>
      <c r="I2" s="860"/>
      <c r="J2" s="860"/>
      <c r="K2" s="860"/>
      <c r="L2" s="860"/>
      <c r="M2" s="860"/>
      <c r="N2" s="860"/>
      <c r="O2" s="860"/>
      <c r="P2" s="860"/>
      <c r="Q2" s="860"/>
      <c r="R2" s="860"/>
      <c r="S2" s="860"/>
      <c r="T2" s="860"/>
      <c r="U2" s="860"/>
      <c r="V2" s="860"/>
      <c r="W2" s="860"/>
      <c r="X2" s="860"/>
      <c r="Y2" s="860"/>
      <c r="Z2" s="860"/>
      <c r="AA2" s="860"/>
      <c r="AB2" s="860"/>
      <c r="AC2" s="860"/>
      <c r="AD2" s="860"/>
      <c r="AE2" s="860"/>
      <c r="AF2" s="860"/>
      <c r="AH2" s="860"/>
      <c r="AI2" s="860"/>
      <c r="AJ2" s="860">
        <f>8*0.8</f>
        <v>6.4</v>
      </c>
      <c r="AK2" s="860"/>
      <c r="AL2" s="860"/>
      <c r="AM2" s="860"/>
      <c r="AN2" s="860"/>
      <c r="AO2" s="860"/>
    </row>
    <row r="3" spans="1:41" s="492" customFormat="1" x14ac:dyDescent="0.2">
      <c r="A3" s="491"/>
      <c r="B3" s="508"/>
      <c r="C3" s="508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I3" s="508"/>
      <c r="AJ3" s="491"/>
      <c r="AK3" s="491"/>
      <c r="AL3" s="491"/>
      <c r="AM3" s="491"/>
      <c r="AN3" s="491"/>
      <c r="AO3" s="491"/>
    </row>
    <row r="4" spans="1:41" s="861" customFormat="1" ht="51" x14ac:dyDescent="0.2">
      <c r="A4" s="862" t="s">
        <v>83</v>
      </c>
      <c r="B4" s="862" t="s">
        <v>84</v>
      </c>
      <c r="C4" s="862" t="s">
        <v>85</v>
      </c>
      <c r="D4" s="862" t="s">
        <v>86</v>
      </c>
      <c r="E4" s="862" t="s">
        <v>87</v>
      </c>
      <c r="F4" s="862" t="s">
        <v>88</v>
      </c>
      <c r="G4" s="862" t="s">
        <v>89</v>
      </c>
      <c r="H4" s="1355" t="s">
        <v>90</v>
      </c>
      <c r="I4" s="1355"/>
      <c r="J4" s="862" t="s">
        <v>91</v>
      </c>
      <c r="K4" s="862" t="s">
        <v>92</v>
      </c>
      <c r="L4" s="862" t="s">
        <v>93</v>
      </c>
      <c r="M4" s="862" t="s">
        <v>94</v>
      </c>
      <c r="N4" s="862" t="s">
        <v>95</v>
      </c>
      <c r="O4" s="862" t="s">
        <v>96</v>
      </c>
      <c r="P4" s="862" t="s">
        <v>97</v>
      </c>
      <c r="Q4" s="862" t="s">
        <v>98</v>
      </c>
      <c r="R4" s="862" t="s">
        <v>99</v>
      </c>
      <c r="S4" s="862" t="s">
        <v>100</v>
      </c>
      <c r="T4" s="862" t="s">
        <v>101</v>
      </c>
      <c r="U4" s="862" t="s">
        <v>102</v>
      </c>
      <c r="V4" s="1355" t="s">
        <v>103</v>
      </c>
      <c r="W4" s="1355"/>
      <c r="X4" s="1355"/>
      <c r="Y4" s="1355"/>
      <c r="Z4" s="1355"/>
      <c r="AA4" s="862" t="s">
        <v>104</v>
      </c>
      <c r="AB4" s="862" t="s">
        <v>105</v>
      </c>
      <c r="AC4" s="862" t="s">
        <v>106</v>
      </c>
      <c r="AD4" s="862" t="s">
        <v>107</v>
      </c>
      <c r="AE4" s="862" t="s">
        <v>108</v>
      </c>
      <c r="AF4" s="862" t="s">
        <v>109</v>
      </c>
      <c r="AG4" s="862" t="s">
        <v>110</v>
      </c>
      <c r="AH4" s="862" t="s">
        <v>111</v>
      </c>
      <c r="AI4" s="862" t="s">
        <v>112</v>
      </c>
      <c r="AJ4" s="862" t="s">
        <v>113</v>
      </c>
      <c r="AK4" s="862" t="s">
        <v>114</v>
      </c>
      <c r="AL4" s="862" t="s">
        <v>115</v>
      </c>
      <c r="AM4" s="862" t="s">
        <v>116</v>
      </c>
      <c r="AN4" s="862" t="s">
        <v>117</v>
      </c>
      <c r="AO4" s="862" t="s">
        <v>118</v>
      </c>
    </row>
    <row r="5" spans="1:41" s="492" customFormat="1" x14ac:dyDescent="0.2">
      <c r="A5" s="1032"/>
      <c r="B5" s="1033"/>
      <c r="C5" s="1034"/>
      <c r="D5" s="1034"/>
      <c r="E5" s="1034"/>
      <c r="F5" s="1033"/>
      <c r="G5" s="1033"/>
      <c r="H5" s="1033"/>
      <c r="I5" s="1035" t="s">
        <v>119</v>
      </c>
      <c r="J5" s="1033"/>
      <c r="K5" s="1033"/>
      <c r="L5" s="1033"/>
      <c r="M5" s="1033"/>
      <c r="N5" s="1033"/>
      <c r="O5" s="1035" t="s">
        <v>119</v>
      </c>
      <c r="P5" s="1033"/>
      <c r="Q5" s="1033"/>
      <c r="R5" s="1033"/>
      <c r="S5" s="1033"/>
      <c r="T5" s="1033"/>
      <c r="U5" s="1033"/>
      <c r="V5" s="1035" t="s">
        <v>120</v>
      </c>
      <c r="W5" s="1035" t="s">
        <v>121</v>
      </c>
      <c r="X5" s="1035" t="s">
        <v>122</v>
      </c>
      <c r="Y5" s="1035" t="s">
        <v>123</v>
      </c>
      <c r="Z5" s="1033"/>
      <c r="AA5" s="1033"/>
      <c r="AB5" s="1033"/>
      <c r="AC5" s="1033"/>
      <c r="AD5" s="1033"/>
      <c r="AE5" s="1033"/>
      <c r="AF5" s="1033"/>
      <c r="AG5" s="1036"/>
      <c r="AH5" s="1033"/>
      <c r="AI5" s="1033"/>
      <c r="AJ5" s="1037"/>
      <c r="AK5" s="1037"/>
      <c r="AL5" s="1037"/>
      <c r="AM5" s="1037"/>
      <c r="AN5" s="1037"/>
      <c r="AO5" s="1037"/>
    </row>
    <row r="6" spans="1:41" s="492" customFormat="1" x14ac:dyDescent="0.2">
      <c r="A6" s="1138" t="s">
        <v>124</v>
      </c>
      <c r="B6" s="1139" t="s">
        <v>1051</v>
      </c>
      <c r="C6" s="1123">
        <v>2400</v>
      </c>
      <c r="D6" s="1140">
        <v>12</v>
      </c>
      <c r="E6" s="1140">
        <v>40</v>
      </c>
      <c r="F6" s="1141">
        <f>(D6*E6*52.2/12)</f>
        <v>2088</v>
      </c>
      <c r="G6" s="1141">
        <f>IF(ISERROR(F6/(261*D6/12)),0,F6/(261*D6/12))</f>
        <v>8</v>
      </c>
      <c r="H6" s="1142">
        <v>800</v>
      </c>
      <c r="I6" s="1143">
        <f>IF(K6="",0,O6/K6-F6)</f>
        <v>-2088</v>
      </c>
      <c r="J6" s="1144">
        <f>F6+H6</f>
        <v>2888</v>
      </c>
      <c r="K6" s="1145">
        <f>L6/J6</f>
        <v>27.700831024930746</v>
      </c>
      <c r="L6" s="1141">
        <v>80000</v>
      </c>
      <c r="M6" s="1142">
        <f t="shared" ref="M6:M21" si="0">L6/12</f>
        <v>6666.666666666667</v>
      </c>
      <c r="N6" s="1141">
        <f>IF(ISERROR(M6/J6),0,M6/J6)</f>
        <v>2.3084025854108958</v>
      </c>
      <c r="O6" s="1143">
        <f>U6-SUM(P6:S6)</f>
        <v>0</v>
      </c>
      <c r="P6" s="1142"/>
      <c r="Q6" s="1142"/>
      <c r="R6" s="1142"/>
      <c r="S6" s="1142"/>
      <c r="T6" s="1141">
        <f>L6+M6+SUM(P6:S6)</f>
        <v>86666.666666666672</v>
      </c>
      <c r="U6" s="1143"/>
      <c r="V6" s="1142">
        <v>30</v>
      </c>
      <c r="W6" s="1143">
        <f>IF(ISERROR((X6+Y6)/U6*100),0,(X6+Y6)/U6*100)</f>
        <v>0</v>
      </c>
      <c r="X6" s="1143"/>
      <c r="Y6" s="1143">
        <f t="shared" ref="Y6:Y23" si="1">IF(ISERROR($Y$107/$U$107*U6),0,$Y$107/$U$107*U6)</f>
        <v>0</v>
      </c>
      <c r="Z6" s="1141">
        <f>T6*V6/100</f>
        <v>26000</v>
      </c>
      <c r="AA6" s="1146">
        <f>T6+Z6</f>
        <v>112666.66666666667</v>
      </c>
      <c r="AB6" s="1142">
        <v>8</v>
      </c>
      <c r="AC6" s="1142"/>
      <c r="AD6" s="1142">
        <v>2</v>
      </c>
      <c r="AE6" s="1142">
        <v>15</v>
      </c>
      <c r="AF6" s="1144">
        <f>SUM(AB6:AE6)</f>
        <v>25</v>
      </c>
      <c r="AG6" s="1147">
        <v>0.1</v>
      </c>
      <c r="AH6" s="1148">
        <f>AG6*AA6</f>
        <v>11266.666666666668</v>
      </c>
      <c r="AI6" s="1148">
        <f>AA6-AH6</f>
        <v>101400</v>
      </c>
      <c r="AJ6" s="1149">
        <f>(J6-(AF6*G6))*AG6</f>
        <v>268.8</v>
      </c>
      <c r="AK6" s="1150">
        <v>1</v>
      </c>
      <c r="AL6" s="1151">
        <f>AJ6*AK6</f>
        <v>268.8</v>
      </c>
      <c r="AM6" s="1152">
        <f>IF(ISERROR(+AH6/AL6),0,+AH6/AL6)</f>
        <v>41.914682539682545</v>
      </c>
      <c r="AN6" s="1153">
        <v>110</v>
      </c>
      <c r="AO6" s="1154">
        <f>AN6*AL6</f>
        <v>29568</v>
      </c>
    </row>
    <row r="7" spans="1:41" s="492" customFormat="1" x14ac:dyDescent="0.2">
      <c r="A7" s="1155" t="s">
        <v>125</v>
      </c>
      <c r="B7" s="1139" t="s">
        <v>1052</v>
      </c>
      <c r="C7" s="1123"/>
      <c r="D7" s="1140">
        <v>12</v>
      </c>
      <c r="E7" s="1140">
        <v>40</v>
      </c>
      <c r="F7" s="1141">
        <f>(D7*E7*52.2/12)</f>
        <v>2088</v>
      </c>
      <c r="G7" s="1141">
        <f>IF(ISERROR(F7/(261*D7/12)),0,F7/(261*D7/12))</f>
        <v>8</v>
      </c>
      <c r="H7" s="1142">
        <v>320</v>
      </c>
      <c r="I7" s="1143">
        <f>IF(K7="",0,O7/K7-F7)</f>
        <v>-2088</v>
      </c>
      <c r="J7" s="1144">
        <f>F7+H7</f>
        <v>2408</v>
      </c>
      <c r="K7" s="1145">
        <f>L7/J7</f>
        <v>24.916943521594686</v>
      </c>
      <c r="L7" s="1141">
        <v>60000</v>
      </c>
      <c r="M7" s="1142">
        <f t="shared" si="0"/>
        <v>5000</v>
      </c>
      <c r="N7" s="1141">
        <f>IF(ISERROR(M7/J7),0,M7/J7)</f>
        <v>2.0764119601328903</v>
      </c>
      <c r="O7" s="1143">
        <f>U7-SUM(P7:S7)</f>
        <v>0</v>
      </c>
      <c r="P7" s="1142"/>
      <c r="Q7" s="1142"/>
      <c r="R7" s="1142"/>
      <c r="S7" s="1142"/>
      <c r="T7" s="1141">
        <f>L7+M7+SUM(P7:S7)</f>
        <v>65000</v>
      </c>
      <c r="U7" s="1143"/>
      <c r="V7" s="1142">
        <v>28</v>
      </c>
      <c r="W7" s="1143">
        <f>IF(ISERROR((X7+Y7)/U7*100),0,(X7+Y7)/U7*100)</f>
        <v>0</v>
      </c>
      <c r="X7" s="1143"/>
      <c r="Y7" s="1143">
        <f t="shared" si="1"/>
        <v>0</v>
      </c>
      <c r="Z7" s="1141">
        <f>T7*V7/100</f>
        <v>18200</v>
      </c>
      <c r="AA7" s="1146">
        <f>T7+Z7</f>
        <v>83200</v>
      </c>
      <c r="AB7" s="1142">
        <v>8</v>
      </c>
      <c r="AC7" s="1142"/>
      <c r="AD7" s="1142">
        <v>2</v>
      </c>
      <c r="AE7" s="1142">
        <v>26</v>
      </c>
      <c r="AF7" s="1144">
        <f>SUM(AB7:AE7)</f>
        <v>36</v>
      </c>
      <c r="AG7" s="1147">
        <v>0</v>
      </c>
      <c r="AH7" s="1148">
        <f>AG7*AA7</f>
        <v>0</v>
      </c>
      <c r="AI7" s="1148">
        <f>AA7-AH7</f>
        <v>83200</v>
      </c>
      <c r="AJ7" s="1149">
        <f>(J7-(AF7*G7))*AG7</f>
        <v>0</v>
      </c>
      <c r="AK7" s="1150">
        <v>1</v>
      </c>
      <c r="AL7" s="1151">
        <f>AJ7*AK7</f>
        <v>0</v>
      </c>
      <c r="AM7" s="1152">
        <f>IF(ISERROR(+AH7/AL7),0,+AH7/AL7)</f>
        <v>0</v>
      </c>
      <c r="AN7" s="1153">
        <v>110</v>
      </c>
      <c r="AO7" s="1154">
        <f>AN7*AL7</f>
        <v>0</v>
      </c>
    </row>
    <row r="8" spans="1:41" s="492" customFormat="1" x14ac:dyDescent="0.2">
      <c r="A8" s="1155" t="s">
        <v>126</v>
      </c>
      <c r="B8" s="1139" t="s">
        <v>1053</v>
      </c>
      <c r="C8" s="1123"/>
      <c r="D8" s="1140">
        <v>12</v>
      </c>
      <c r="E8" s="1140">
        <v>40</v>
      </c>
      <c r="F8" s="1141">
        <f>(D8*E8*52.2/12)</f>
        <v>2088</v>
      </c>
      <c r="G8" s="1141">
        <f>IF(ISERROR(F8/(261*D8/12)),0,F8/(261*D8/12))</f>
        <v>8</v>
      </c>
      <c r="H8" s="1142">
        <v>320</v>
      </c>
      <c r="I8" s="1143">
        <f>IF(K8="",0,O8/K8-F8)</f>
        <v>-2088</v>
      </c>
      <c r="J8" s="1144">
        <f>F8+H8</f>
        <v>2408</v>
      </c>
      <c r="K8" s="1145">
        <f>L8/J8</f>
        <v>16.611295681063122</v>
      </c>
      <c r="L8" s="1141">
        <v>40000</v>
      </c>
      <c r="M8" s="1142">
        <f t="shared" si="0"/>
        <v>3333.3333333333335</v>
      </c>
      <c r="N8" s="1141">
        <f>IF(ISERROR(M8/J8),0,M8/J8)</f>
        <v>1.3842746400885937</v>
      </c>
      <c r="O8" s="1143">
        <f>U8-SUM(P8:S8)</f>
        <v>0</v>
      </c>
      <c r="P8" s="1142"/>
      <c r="Q8" s="1142"/>
      <c r="R8" s="1142"/>
      <c r="S8" s="1142"/>
      <c r="T8" s="1141">
        <f>L8+M8+SUM(P8:S8)</f>
        <v>43333.333333333336</v>
      </c>
      <c r="U8" s="1143"/>
      <c r="V8" s="1142">
        <v>28</v>
      </c>
      <c r="W8" s="1143">
        <f>IF(ISERROR((X8+Y8)/U8*100),0,(X8+Y8)/U8*100)</f>
        <v>0</v>
      </c>
      <c r="X8" s="1143"/>
      <c r="Y8" s="1143">
        <f t="shared" si="1"/>
        <v>0</v>
      </c>
      <c r="Z8" s="1141">
        <f>T8*V8/100</f>
        <v>12133.333333333336</v>
      </c>
      <c r="AA8" s="1146">
        <f>T8+Z8</f>
        <v>55466.666666666672</v>
      </c>
      <c r="AB8" s="1142">
        <v>8</v>
      </c>
      <c r="AC8" s="1142">
        <v>1</v>
      </c>
      <c r="AD8" s="1142">
        <v>2</v>
      </c>
      <c r="AE8" s="1142">
        <v>26</v>
      </c>
      <c r="AF8" s="1144">
        <f>SUM(AB8:AE8)</f>
        <v>37</v>
      </c>
      <c r="AG8" s="1147">
        <v>0</v>
      </c>
      <c r="AH8" s="1148">
        <f>AG8*AA8</f>
        <v>0</v>
      </c>
      <c r="AI8" s="1148">
        <f>AA8-AH8</f>
        <v>55466.666666666672</v>
      </c>
      <c r="AJ8" s="1149">
        <f>(J8-(AF8*G8))*AG8</f>
        <v>0</v>
      </c>
      <c r="AK8" s="1150">
        <v>1</v>
      </c>
      <c r="AL8" s="1151">
        <f>AJ8*AK8</f>
        <v>0</v>
      </c>
      <c r="AM8" s="1152">
        <f>IF(ISERROR(+AH8/AL8),0,+AH8/AL8)</f>
        <v>0</v>
      </c>
      <c r="AN8" s="1153">
        <v>110</v>
      </c>
      <c r="AO8" s="1154">
        <f>AN8*AL8</f>
        <v>0</v>
      </c>
    </row>
    <row r="9" spans="1:41" s="492" customFormat="1" x14ac:dyDescent="0.2">
      <c r="A9" s="1155" t="s">
        <v>127</v>
      </c>
      <c r="B9" s="1139" t="s">
        <v>1063</v>
      </c>
      <c r="C9" s="1123"/>
      <c r="D9" s="1140">
        <v>12</v>
      </c>
      <c r="E9" s="1140">
        <v>40</v>
      </c>
      <c r="F9" s="1141">
        <f t="shared" ref="F9:F11" si="2">(D9*E9*52.2/12)</f>
        <v>2088</v>
      </c>
      <c r="G9" s="1141">
        <f t="shared" ref="G9:G11" si="3">IF(ISERROR(F9/(261*D9/12)),0,F9/(261*D9/12))</f>
        <v>8</v>
      </c>
      <c r="H9" s="1142"/>
      <c r="I9" s="1143">
        <f t="shared" ref="I9:I11" si="4">IF(K9="",0,O9/K9-F9)</f>
        <v>-2088</v>
      </c>
      <c r="J9" s="1144">
        <f t="shared" ref="J9:J11" si="5">F9+H9</f>
        <v>2088</v>
      </c>
      <c r="K9" s="1145">
        <f t="shared" ref="K9:K23" si="6">L9/J9</f>
        <v>18.199233716475096</v>
      </c>
      <c r="L9" s="1141">
        <v>38000</v>
      </c>
      <c r="M9" s="1142">
        <f t="shared" si="0"/>
        <v>3166.6666666666665</v>
      </c>
      <c r="N9" s="1141">
        <f t="shared" ref="N9:N11" si="7">IF(ISERROR(M9/J9),0,M9/J9)</f>
        <v>1.5166028097062578</v>
      </c>
      <c r="O9" s="1143">
        <f t="shared" ref="O9:O11" si="8">U9-SUM(P9:S9)</f>
        <v>0</v>
      </c>
      <c r="P9" s="1142"/>
      <c r="Q9" s="1142"/>
      <c r="R9" s="1142"/>
      <c r="S9" s="1142"/>
      <c r="T9" s="1141">
        <f t="shared" ref="T9:T11" si="9">L9+M9+SUM(P9:S9)</f>
        <v>41166.666666666664</v>
      </c>
      <c r="U9" s="1143"/>
      <c r="V9" s="1142">
        <v>28</v>
      </c>
      <c r="W9" s="1143">
        <f t="shared" ref="W9:W11" si="10">IF(ISERROR((X9+Y9)/U9*100),0,(X9+Y9)/U9*100)</f>
        <v>0</v>
      </c>
      <c r="X9" s="1143"/>
      <c r="Y9" s="1143">
        <f t="shared" si="1"/>
        <v>0</v>
      </c>
      <c r="Z9" s="1141">
        <f t="shared" ref="Z9:Z11" si="11">T9*V9/100</f>
        <v>11526.666666666664</v>
      </c>
      <c r="AA9" s="1146">
        <f t="shared" ref="AA9:AA11" si="12">T9+Z9</f>
        <v>52693.333333333328</v>
      </c>
      <c r="AB9" s="1142">
        <v>8</v>
      </c>
      <c r="AC9" s="1142">
        <v>2</v>
      </c>
      <c r="AD9" s="1142">
        <v>2</v>
      </c>
      <c r="AE9" s="1142">
        <v>26</v>
      </c>
      <c r="AF9" s="1144">
        <f t="shared" ref="AF9:AF11" si="13">SUM(AB9:AE9)</f>
        <v>38</v>
      </c>
      <c r="AG9" s="1147">
        <v>0.2</v>
      </c>
      <c r="AH9" s="1148">
        <f t="shared" ref="AH9:AH11" si="14">AG9*AA9</f>
        <v>10538.666666666666</v>
      </c>
      <c r="AI9" s="1148">
        <f t="shared" ref="AI9:AI11" si="15">AA9-AH9</f>
        <v>42154.666666666664</v>
      </c>
      <c r="AJ9" s="1149">
        <f t="shared" ref="AJ9:AJ11" si="16">(J9-(AF9*G9))*AG9</f>
        <v>356.8</v>
      </c>
      <c r="AK9" s="1150">
        <v>1</v>
      </c>
      <c r="AL9" s="1151">
        <f t="shared" ref="AL9:AL11" si="17">AJ9*AK9</f>
        <v>356.8</v>
      </c>
      <c r="AM9" s="1152">
        <f t="shared" ref="AM9:AM11" si="18">IF(ISERROR(+AH9/AL9),0,+AH9/AL9)</f>
        <v>29.536621823617338</v>
      </c>
      <c r="AN9" s="1153">
        <v>110</v>
      </c>
      <c r="AO9" s="1154">
        <f t="shared" ref="AO9:AO11" si="19">AN9*AL9</f>
        <v>39248</v>
      </c>
    </row>
    <row r="10" spans="1:41" s="492" customFormat="1" x14ac:dyDescent="0.2">
      <c r="A10" s="1155" t="s">
        <v>128</v>
      </c>
      <c r="B10" s="1139" t="s">
        <v>1054</v>
      </c>
      <c r="C10" s="1123"/>
      <c r="D10" s="1140">
        <v>12</v>
      </c>
      <c r="E10" s="1140">
        <v>40</v>
      </c>
      <c r="F10" s="1141">
        <f t="shared" si="2"/>
        <v>2088</v>
      </c>
      <c r="G10" s="1141">
        <f t="shared" si="3"/>
        <v>8</v>
      </c>
      <c r="H10" s="1142"/>
      <c r="I10" s="1143">
        <f t="shared" si="4"/>
        <v>-2088</v>
      </c>
      <c r="J10" s="1144">
        <f t="shared" si="5"/>
        <v>2088</v>
      </c>
      <c r="K10" s="1145">
        <f t="shared" si="6"/>
        <v>11.973180076628353</v>
      </c>
      <c r="L10" s="1141">
        <v>25000</v>
      </c>
      <c r="M10" s="1142">
        <f t="shared" si="0"/>
        <v>2083.3333333333335</v>
      </c>
      <c r="N10" s="1141">
        <f t="shared" si="7"/>
        <v>0.9977650063856961</v>
      </c>
      <c r="O10" s="1143">
        <f t="shared" si="8"/>
        <v>0</v>
      </c>
      <c r="P10" s="1142"/>
      <c r="Q10" s="1142"/>
      <c r="R10" s="1142"/>
      <c r="S10" s="1142"/>
      <c r="T10" s="1141">
        <f t="shared" si="9"/>
        <v>27083.333333333332</v>
      </c>
      <c r="U10" s="1143"/>
      <c r="V10" s="1142">
        <v>26</v>
      </c>
      <c r="W10" s="1143">
        <f t="shared" si="10"/>
        <v>0</v>
      </c>
      <c r="X10" s="1143"/>
      <c r="Y10" s="1143">
        <f t="shared" si="1"/>
        <v>0</v>
      </c>
      <c r="Z10" s="1141">
        <f t="shared" si="11"/>
        <v>7041.6666666666661</v>
      </c>
      <c r="AA10" s="1146">
        <f t="shared" si="12"/>
        <v>34125</v>
      </c>
      <c r="AB10" s="1142">
        <v>8</v>
      </c>
      <c r="AC10" s="1142"/>
      <c r="AD10" s="1142">
        <v>2</v>
      </c>
      <c r="AE10" s="1142">
        <v>26</v>
      </c>
      <c r="AF10" s="1144">
        <f t="shared" si="13"/>
        <v>36</v>
      </c>
      <c r="AG10" s="1147">
        <v>0</v>
      </c>
      <c r="AH10" s="1148">
        <f t="shared" si="14"/>
        <v>0</v>
      </c>
      <c r="AI10" s="1148">
        <f t="shared" si="15"/>
        <v>34125</v>
      </c>
      <c r="AJ10" s="1149">
        <f t="shared" si="16"/>
        <v>0</v>
      </c>
      <c r="AK10" s="1150">
        <v>1</v>
      </c>
      <c r="AL10" s="1151">
        <f t="shared" si="17"/>
        <v>0</v>
      </c>
      <c r="AM10" s="1152">
        <f t="shared" si="18"/>
        <v>0</v>
      </c>
      <c r="AN10" s="1153">
        <v>0</v>
      </c>
      <c r="AO10" s="1154">
        <f t="shared" si="19"/>
        <v>0</v>
      </c>
    </row>
    <row r="11" spans="1:41" s="492" customFormat="1" x14ac:dyDescent="0.2">
      <c r="A11" s="1155" t="s">
        <v>129</v>
      </c>
      <c r="B11" s="1139" t="s">
        <v>1058</v>
      </c>
      <c r="C11" s="1123"/>
      <c r="D11" s="1140">
        <v>12</v>
      </c>
      <c r="E11" s="1140">
        <v>40</v>
      </c>
      <c r="F11" s="1141">
        <f t="shared" si="2"/>
        <v>2088</v>
      </c>
      <c r="G11" s="1141">
        <f t="shared" si="3"/>
        <v>8</v>
      </c>
      <c r="H11" s="1142"/>
      <c r="I11" s="1143">
        <f t="shared" si="4"/>
        <v>-2088</v>
      </c>
      <c r="J11" s="1144">
        <f t="shared" si="5"/>
        <v>2088</v>
      </c>
      <c r="K11" s="1145">
        <f t="shared" si="6"/>
        <v>11.494252873563218</v>
      </c>
      <c r="L11" s="1141">
        <v>24000</v>
      </c>
      <c r="M11" s="1142">
        <f t="shared" si="0"/>
        <v>2000</v>
      </c>
      <c r="N11" s="1141">
        <f t="shared" si="7"/>
        <v>0.95785440613026818</v>
      </c>
      <c r="O11" s="1143">
        <f t="shared" si="8"/>
        <v>0</v>
      </c>
      <c r="P11" s="1142"/>
      <c r="Q11" s="1142"/>
      <c r="R11" s="1142"/>
      <c r="S11" s="1142"/>
      <c r="T11" s="1141">
        <f t="shared" si="9"/>
        <v>26000</v>
      </c>
      <c r="U11" s="1143"/>
      <c r="V11" s="1142">
        <v>26</v>
      </c>
      <c r="W11" s="1143">
        <f t="shared" si="10"/>
        <v>0</v>
      </c>
      <c r="X11" s="1143"/>
      <c r="Y11" s="1143">
        <f t="shared" si="1"/>
        <v>0</v>
      </c>
      <c r="Z11" s="1141">
        <f t="shared" si="11"/>
        <v>6760</v>
      </c>
      <c r="AA11" s="1146">
        <f t="shared" si="12"/>
        <v>32760</v>
      </c>
      <c r="AB11" s="1142">
        <v>8</v>
      </c>
      <c r="AC11" s="1142"/>
      <c r="AD11" s="1142">
        <v>2</v>
      </c>
      <c r="AE11" s="1142">
        <v>26</v>
      </c>
      <c r="AF11" s="1144">
        <f t="shared" si="13"/>
        <v>36</v>
      </c>
      <c r="AG11" s="1147">
        <v>0</v>
      </c>
      <c r="AH11" s="1148">
        <f t="shared" si="14"/>
        <v>0</v>
      </c>
      <c r="AI11" s="1148">
        <f t="shared" si="15"/>
        <v>32760</v>
      </c>
      <c r="AJ11" s="1149">
        <f t="shared" si="16"/>
        <v>0</v>
      </c>
      <c r="AK11" s="1150">
        <v>1</v>
      </c>
      <c r="AL11" s="1151">
        <f t="shared" si="17"/>
        <v>0</v>
      </c>
      <c r="AM11" s="1152">
        <f t="shared" si="18"/>
        <v>0</v>
      </c>
      <c r="AN11" s="1153">
        <v>0</v>
      </c>
      <c r="AO11" s="1154">
        <f t="shared" si="19"/>
        <v>0</v>
      </c>
    </row>
    <row r="12" spans="1:41" s="492" customFormat="1" x14ac:dyDescent="0.2">
      <c r="A12" s="1155" t="s">
        <v>130</v>
      </c>
      <c r="B12" s="1139" t="s">
        <v>1059</v>
      </c>
      <c r="C12" s="1123"/>
      <c r="D12" s="1140">
        <v>12</v>
      </c>
      <c r="E12" s="1140">
        <v>40</v>
      </c>
      <c r="F12" s="1141">
        <f t="shared" ref="F12:F23" si="20">(D12*E12*52.2/12)</f>
        <v>2088</v>
      </c>
      <c r="G12" s="1141">
        <f t="shared" ref="G12:G23" si="21">IF(ISERROR(F12/(261*D12/12)),0,F12/(261*D12/12))</f>
        <v>8</v>
      </c>
      <c r="H12" s="1142"/>
      <c r="I12" s="1143">
        <f t="shared" ref="I12:I23" si="22">IF(K12="",0,O12/K12-F12)</f>
        <v>-2088</v>
      </c>
      <c r="J12" s="1144">
        <f t="shared" ref="J12:J23" si="23">F12+H12</f>
        <v>2088</v>
      </c>
      <c r="K12" s="1145">
        <f t="shared" si="6"/>
        <v>13.409961685823754</v>
      </c>
      <c r="L12" s="1141">
        <v>28000</v>
      </c>
      <c r="M12" s="1142">
        <f t="shared" si="0"/>
        <v>2333.3333333333335</v>
      </c>
      <c r="N12" s="1141">
        <f t="shared" ref="N12:N23" si="24">IF(ISERROR(M12/J12),0,M12/J12)</f>
        <v>1.1174968071519797</v>
      </c>
      <c r="O12" s="1143">
        <f t="shared" ref="O12:O23" si="25">U12-SUM(P12:S12)</f>
        <v>0</v>
      </c>
      <c r="P12" s="1142"/>
      <c r="Q12" s="1142"/>
      <c r="R12" s="1142"/>
      <c r="S12" s="1142"/>
      <c r="T12" s="1141">
        <f t="shared" ref="T12:T23" si="26">L12+M12+SUM(P12:S12)</f>
        <v>30333.333333333332</v>
      </c>
      <c r="U12" s="1143"/>
      <c r="V12" s="1142">
        <v>26</v>
      </c>
      <c r="W12" s="1143">
        <f t="shared" ref="W12:W23" si="27">IF(ISERROR((X12+Y12)/U12*100),0,(X12+Y12)/U12*100)</f>
        <v>0</v>
      </c>
      <c r="X12" s="1143"/>
      <c r="Y12" s="1143">
        <f t="shared" si="1"/>
        <v>0</v>
      </c>
      <c r="Z12" s="1141">
        <f t="shared" ref="Z12:Z23" si="28">T12*V12/100</f>
        <v>7886.6666666666661</v>
      </c>
      <c r="AA12" s="1146">
        <f t="shared" ref="AA12:AA23" si="29">T12+Z12</f>
        <v>38220</v>
      </c>
      <c r="AB12" s="1142">
        <v>8</v>
      </c>
      <c r="AC12" s="1142"/>
      <c r="AD12" s="1142">
        <v>2</v>
      </c>
      <c r="AE12" s="1142">
        <v>26</v>
      </c>
      <c r="AF12" s="1144">
        <f t="shared" ref="AF12:AF23" si="30">SUM(AB12:AE12)</f>
        <v>36</v>
      </c>
      <c r="AG12" s="1147">
        <v>1</v>
      </c>
      <c r="AH12" s="1148">
        <f t="shared" ref="AH12:AH23" si="31">AG12*AA12</f>
        <v>38220</v>
      </c>
      <c r="AI12" s="1148">
        <f t="shared" ref="AI12:AI23" si="32">AA12-AH12</f>
        <v>0</v>
      </c>
      <c r="AJ12" s="1149">
        <f t="shared" ref="AJ12:AJ23" si="33">(J12-(AF12*G12))*AG12</f>
        <v>1800</v>
      </c>
      <c r="AK12" s="1150">
        <v>1</v>
      </c>
      <c r="AL12" s="1151">
        <f t="shared" ref="AL12:AL23" si="34">AJ12*AK12</f>
        <v>1800</v>
      </c>
      <c r="AM12" s="1152">
        <f t="shared" ref="AM12:AM23" si="35">IF(ISERROR(+AH12/AL12),0,+AH12/AL12)</f>
        <v>21.233333333333334</v>
      </c>
      <c r="AN12" s="1153">
        <v>35</v>
      </c>
      <c r="AO12" s="1154">
        <f t="shared" ref="AO12:AO23" si="36">AN12*AL12</f>
        <v>63000</v>
      </c>
    </row>
    <row r="13" spans="1:41" s="492" customFormat="1" x14ac:dyDescent="0.2">
      <c r="A13" s="1155" t="s">
        <v>131</v>
      </c>
      <c r="B13" s="1139" t="s">
        <v>1061</v>
      </c>
      <c r="C13" s="1123"/>
      <c r="D13" s="1140">
        <v>12</v>
      </c>
      <c r="E13" s="1140">
        <v>40</v>
      </c>
      <c r="F13" s="1141">
        <f t="shared" si="20"/>
        <v>2088</v>
      </c>
      <c r="G13" s="1141">
        <f t="shared" si="21"/>
        <v>8</v>
      </c>
      <c r="H13" s="1142"/>
      <c r="I13" s="1143">
        <f t="shared" si="22"/>
        <v>-2088</v>
      </c>
      <c r="J13" s="1144">
        <f t="shared" si="23"/>
        <v>2088</v>
      </c>
      <c r="K13" s="1145">
        <f t="shared" si="6"/>
        <v>15.325670498084291</v>
      </c>
      <c r="L13" s="1141">
        <v>32000</v>
      </c>
      <c r="M13" s="1142">
        <f t="shared" si="0"/>
        <v>2666.6666666666665</v>
      </c>
      <c r="N13" s="1141">
        <f t="shared" si="24"/>
        <v>1.2771392081736908</v>
      </c>
      <c r="O13" s="1143">
        <f t="shared" si="25"/>
        <v>0</v>
      </c>
      <c r="P13" s="1142"/>
      <c r="Q13" s="1142"/>
      <c r="R13" s="1142"/>
      <c r="S13" s="1142"/>
      <c r="T13" s="1141">
        <f t="shared" si="26"/>
        <v>34666.666666666664</v>
      </c>
      <c r="U13" s="1143"/>
      <c r="V13" s="1142">
        <v>26</v>
      </c>
      <c r="W13" s="1143">
        <f t="shared" si="27"/>
        <v>0</v>
      </c>
      <c r="X13" s="1143"/>
      <c r="Y13" s="1143">
        <f t="shared" si="1"/>
        <v>0</v>
      </c>
      <c r="Z13" s="1141">
        <f t="shared" si="28"/>
        <v>9013.3333333333321</v>
      </c>
      <c r="AA13" s="1146">
        <f t="shared" si="29"/>
        <v>43680</v>
      </c>
      <c r="AB13" s="1142">
        <v>8</v>
      </c>
      <c r="AC13" s="1142">
        <v>3</v>
      </c>
      <c r="AD13" s="1142">
        <v>2</v>
      </c>
      <c r="AE13" s="1142">
        <v>26</v>
      </c>
      <c r="AF13" s="1144">
        <f t="shared" si="30"/>
        <v>39</v>
      </c>
      <c r="AG13" s="1147">
        <v>1</v>
      </c>
      <c r="AH13" s="1148">
        <f t="shared" si="31"/>
        <v>43680</v>
      </c>
      <c r="AI13" s="1148">
        <f t="shared" si="32"/>
        <v>0</v>
      </c>
      <c r="AJ13" s="1149">
        <f t="shared" si="33"/>
        <v>1776</v>
      </c>
      <c r="AK13" s="1150">
        <v>1</v>
      </c>
      <c r="AL13" s="1151">
        <f t="shared" si="34"/>
        <v>1776</v>
      </c>
      <c r="AM13" s="1152">
        <f t="shared" si="35"/>
        <v>24.594594594594593</v>
      </c>
      <c r="AN13" s="1153">
        <v>85</v>
      </c>
      <c r="AO13" s="1154">
        <f t="shared" si="36"/>
        <v>150960</v>
      </c>
    </row>
    <row r="14" spans="1:41" s="492" customFormat="1" x14ac:dyDescent="0.2">
      <c r="A14" s="1155" t="s">
        <v>131</v>
      </c>
      <c r="B14" s="1139" t="s">
        <v>1062</v>
      </c>
      <c r="C14" s="1123"/>
      <c r="D14" s="1140">
        <v>12</v>
      </c>
      <c r="E14" s="1140">
        <v>40</v>
      </c>
      <c r="F14" s="1141">
        <f t="shared" si="20"/>
        <v>2088</v>
      </c>
      <c r="G14" s="1141">
        <f t="shared" si="21"/>
        <v>8</v>
      </c>
      <c r="H14" s="1142"/>
      <c r="I14" s="1143">
        <f t="shared" si="22"/>
        <v>-2309.85</v>
      </c>
      <c r="J14" s="1144">
        <f t="shared" si="23"/>
        <v>2088</v>
      </c>
      <c r="K14" s="1145">
        <f t="shared" si="6"/>
        <v>15.325670498084291</v>
      </c>
      <c r="L14" s="1141">
        <v>32000</v>
      </c>
      <c r="M14" s="1142">
        <f t="shared" si="0"/>
        <v>2666.6666666666665</v>
      </c>
      <c r="N14" s="1141">
        <f t="shared" si="24"/>
        <v>1.2771392081736908</v>
      </c>
      <c r="O14" s="1143">
        <f t="shared" si="25"/>
        <v>-3400</v>
      </c>
      <c r="P14" s="1142"/>
      <c r="Q14" s="1142">
        <v>2000</v>
      </c>
      <c r="R14" s="1142">
        <v>800</v>
      </c>
      <c r="S14" s="1142">
        <v>600</v>
      </c>
      <c r="T14" s="1141">
        <f t="shared" si="26"/>
        <v>38066.666666666664</v>
      </c>
      <c r="U14" s="1143"/>
      <c r="V14" s="1142">
        <v>26</v>
      </c>
      <c r="W14" s="1143">
        <f t="shared" si="27"/>
        <v>0</v>
      </c>
      <c r="X14" s="1143"/>
      <c r="Y14" s="1143">
        <f t="shared" si="1"/>
        <v>0</v>
      </c>
      <c r="Z14" s="1141">
        <f t="shared" si="28"/>
        <v>9897.3333333333321</v>
      </c>
      <c r="AA14" s="1146">
        <f t="shared" si="29"/>
        <v>47964</v>
      </c>
      <c r="AB14" s="1142">
        <v>8</v>
      </c>
      <c r="AC14" s="1142"/>
      <c r="AD14" s="1142">
        <v>2</v>
      </c>
      <c r="AE14" s="1142">
        <v>26</v>
      </c>
      <c r="AF14" s="1144">
        <f t="shared" si="30"/>
        <v>36</v>
      </c>
      <c r="AG14" s="1147">
        <v>1</v>
      </c>
      <c r="AH14" s="1148">
        <f t="shared" si="31"/>
        <v>47964</v>
      </c>
      <c r="AI14" s="1148">
        <f t="shared" si="32"/>
        <v>0</v>
      </c>
      <c r="AJ14" s="1149">
        <f t="shared" si="33"/>
        <v>1800</v>
      </c>
      <c r="AK14" s="1150">
        <v>1</v>
      </c>
      <c r="AL14" s="1151">
        <f t="shared" si="34"/>
        <v>1800</v>
      </c>
      <c r="AM14" s="1152">
        <f t="shared" si="35"/>
        <v>26.646666666666668</v>
      </c>
      <c r="AN14" s="1153">
        <v>85</v>
      </c>
      <c r="AO14" s="1154">
        <f t="shared" si="36"/>
        <v>153000</v>
      </c>
    </row>
    <row r="15" spans="1:41" s="492" customFormat="1" x14ac:dyDescent="0.2">
      <c r="A15" s="1155" t="s">
        <v>131</v>
      </c>
      <c r="B15" s="1139"/>
      <c r="C15" s="1123"/>
      <c r="D15" s="1140">
        <v>12</v>
      </c>
      <c r="E15" s="1140">
        <v>40</v>
      </c>
      <c r="F15" s="1141">
        <f t="shared" si="20"/>
        <v>2088</v>
      </c>
      <c r="G15" s="1141">
        <f t="shared" si="21"/>
        <v>8</v>
      </c>
      <c r="H15" s="1142"/>
      <c r="I15" s="1143">
        <f t="shared" si="22"/>
        <v>-2088</v>
      </c>
      <c r="J15" s="1144">
        <f t="shared" si="23"/>
        <v>2088</v>
      </c>
      <c r="K15" s="1145">
        <f t="shared" si="6"/>
        <v>15.325670498084291</v>
      </c>
      <c r="L15" s="1141">
        <v>32000</v>
      </c>
      <c r="M15" s="1142">
        <f t="shared" si="0"/>
        <v>2666.6666666666665</v>
      </c>
      <c r="N15" s="1141">
        <f t="shared" si="24"/>
        <v>1.2771392081736908</v>
      </c>
      <c r="O15" s="1143">
        <f t="shared" si="25"/>
        <v>0</v>
      </c>
      <c r="P15" s="1142"/>
      <c r="Q15" s="1142"/>
      <c r="R15" s="1142"/>
      <c r="S15" s="1142"/>
      <c r="T15" s="1141">
        <f t="shared" si="26"/>
        <v>34666.666666666664</v>
      </c>
      <c r="U15" s="1143"/>
      <c r="V15" s="1142">
        <v>26</v>
      </c>
      <c r="W15" s="1143">
        <f t="shared" si="27"/>
        <v>0</v>
      </c>
      <c r="X15" s="1143"/>
      <c r="Y15" s="1143">
        <f t="shared" si="1"/>
        <v>0</v>
      </c>
      <c r="Z15" s="1141">
        <f t="shared" si="28"/>
        <v>9013.3333333333321</v>
      </c>
      <c r="AA15" s="1146">
        <f t="shared" si="29"/>
        <v>43680</v>
      </c>
      <c r="AB15" s="1142">
        <v>8</v>
      </c>
      <c r="AC15" s="1142">
        <v>2</v>
      </c>
      <c r="AD15" s="1142">
        <v>5</v>
      </c>
      <c r="AE15" s="1142">
        <v>26</v>
      </c>
      <c r="AF15" s="1144">
        <f t="shared" si="30"/>
        <v>41</v>
      </c>
      <c r="AG15" s="1147">
        <v>1</v>
      </c>
      <c r="AH15" s="1148">
        <f t="shared" si="31"/>
        <v>43680</v>
      </c>
      <c r="AI15" s="1148">
        <f t="shared" si="32"/>
        <v>0</v>
      </c>
      <c r="AJ15" s="1149">
        <f t="shared" si="33"/>
        <v>1760</v>
      </c>
      <c r="AK15" s="1150">
        <v>1</v>
      </c>
      <c r="AL15" s="1151">
        <f t="shared" si="34"/>
        <v>1760</v>
      </c>
      <c r="AM15" s="1152">
        <f t="shared" si="35"/>
        <v>24.818181818181817</v>
      </c>
      <c r="AN15" s="1153">
        <v>85</v>
      </c>
      <c r="AO15" s="1154">
        <f t="shared" si="36"/>
        <v>149600</v>
      </c>
    </row>
    <row r="16" spans="1:41" s="492" customFormat="1" x14ac:dyDescent="0.2">
      <c r="A16" s="1155" t="s">
        <v>131</v>
      </c>
      <c r="B16" s="1139" t="s">
        <v>1064</v>
      </c>
      <c r="C16" s="1123"/>
      <c r="D16" s="1140">
        <v>5</v>
      </c>
      <c r="E16" s="1140">
        <v>40</v>
      </c>
      <c r="F16" s="1141">
        <f t="shared" si="20"/>
        <v>870</v>
      </c>
      <c r="G16" s="1141">
        <f t="shared" si="21"/>
        <v>8</v>
      </c>
      <c r="H16" s="1142"/>
      <c r="I16" s="1143">
        <f t="shared" si="22"/>
        <v>-870</v>
      </c>
      <c r="J16" s="1144">
        <f t="shared" si="23"/>
        <v>870</v>
      </c>
      <c r="K16" s="1145">
        <f t="shared" si="6"/>
        <v>36.781609195402297</v>
      </c>
      <c r="L16" s="1141">
        <v>32000</v>
      </c>
      <c r="M16" s="1142">
        <f t="shared" si="0"/>
        <v>2666.6666666666665</v>
      </c>
      <c r="N16" s="1141">
        <f t="shared" si="24"/>
        <v>3.0651340996168579</v>
      </c>
      <c r="O16" s="1143">
        <f t="shared" si="25"/>
        <v>0</v>
      </c>
      <c r="P16" s="1142"/>
      <c r="Q16" s="1142"/>
      <c r="R16" s="1142"/>
      <c r="S16" s="1142"/>
      <c r="T16" s="1141">
        <f t="shared" si="26"/>
        <v>34666.666666666664</v>
      </c>
      <c r="U16" s="1143"/>
      <c r="V16" s="1142">
        <v>26</v>
      </c>
      <c r="W16" s="1143">
        <f t="shared" si="27"/>
        <v>0</v>
      </c>
      <c r="X16" s="1143"/>
      <c r="Y16" s="1143">
        <f t="shared" si="1"/>
        <v>0</v>
      </c>
      <c r="Z16" s="1141">
        <f t="shared" si="28"/>
        <v>9013.3333333333321</v>
      </c>
      <c r="AA16" s="1146">
        <f t="shared" si="29"/>
        <v>43680</v>
      </c>
      <c r="AB16" s="1142">
        <v>8</v>
      </c>
      <c r="AC16" s="1142"/>
      <c r="AD16" s="1142">
        <v>4</v>
      </c>
      <c r="AE16" s="1142">
        <v>26</v>
      </c>
      <c r="AF16" s="1144">
        <f t="shared" si="30"/>
        <v>38</v>
      </c>
      <c r="AG16" s="1147">
        <v>1</v>
      </c>
      <c r="AH16" s="1148">
        <f t="shared" si="31"/>
        <v>43680</v>
      </c>
      <c r="AI16" s="1148">
        <f t="shared" si="32"/>
        <v>0</v>
      </c>
      <c r="AJ16" s="1149">
        <f t="shared" si="33"/>
        <v>566</v>
      </c>
      <c r="AK16" s="1150">
        <v>1</v>
      </c>
      <c r="AL16" s="1151">
        <f t="shared" si="34"/>
        <v>566</v>
      </c>
      <c r="AM16" s="1152">
        <f t="shared" si="35"/>
        <v>77.173144876325082</v>
      </c>
      <c r="AN16" s="1153">
        <v>85</v>
      </c>
      <c r="AO16" s="1154">
        <f t="shared" si="36"/>
        <v>48110</v>
      </c>
    </row>
    <row r="17" spans="1:41" s="492" customFormat="1" x14ac:dyDescent="0.2">
      <c r="A17" s="1155" t="s">
        <v>131</v>
      </c>
      <c r="B17" s="1139"/>
      <c r="C17" s="1123"/>
      <c r="D17" s="1140">
        <v>12</v>
      </c>
      <c r="E17" s="1140">
        <v>40</v>
      </c>
      <c r="F17" s="1141">
        <f t="shared" si="20"/>
        <v>2088</v>
      </c>
      <c r="G17" s="1141">
        <f t="shared" si="21"/>
        <v>8</v>
      </c>
      <c r="H17" s="1142"/>
      <c r="I17" s="1143">
        <f t="shared" si="22"/>
        <v>-2088</v>
      </c>
      <c r="J17" s="1144">
        <f t="shared" si="23"/>
        <v>2088</v>
      </c>
      <c r="K17" s="1145">
        <f t="shared" si="6"/>
        <v>15.804597701149426</v>
      </c>
      <c r="L17" s="1141">
        <v>33000</v>
      </c>
      <c r="M17" s="1142">
        <f t="shared" si="0"/>
        <v>2750</v>
      </c>
      <c r="N17" s="1141">
        <f t="shared" si="24"/>
        <v>1.3170498084291187</v>
      </c>
      <c r="O17" s="1143">
        <f t="shared" si="25"/>
        <v>0</v>
      </c>
      <c r="P17" s="1142"/>
      <c r="Q17" s="1142"/>
      <c r="R17" s="1142"/>
      <c r="S17" s="1142"/>
      <c r="T17" s="1141">
        <f t="shared" si="26"/>
        <v>35750</v>
      </c>
      <c r="U17" s="1143"/>
      <c r="V17" s="1142">
        <v>26</v>
      </c>
      <c r="W17" s="1143">
        <f t="shared" si="27"/>
        <v>0</v>
      </c>
      <c r="X17" s="1143"/>
      <c r="Y17" s="1143">
        <f t="shared" si="1"/>
        <v>0</v>
      </c>
      <c r="Z17" s="1141">
        <f t="shared" si="28"/>
        <v>9295</v>
      </c>
      <c r="AA17" s="1146">
        <f t="shared" si="29"/>
        <v>45045</v>
      </c>
      <c r="AB17" s="1142">
        <v>8</v>
      </c>
      <c r="AC17" s="1142"/>
      <c r="AD17" s="1142">
        <v>2</v>
      </c>
      <c r="AE17" s="1142">
        <v>26</v>
      </c>
      <c r="AF17" s="1144">
        <f t="shared" si="30"/>
        <v>36</v>
      </c>
      <c r="AG17" s="1147">
        <v>1</v>
      </c>
      <c r="AH17" s="1148">
        <f t="shared" si="31"/>
        <v>45045</v>
      </c>
      <c r="AI17" s="1148">
        <f t="shared" si="32"/>
        <v>0</v>
      </c>
      <c r="AJ17" s="1149">
        <f t="shared" si="33"/>
        <v>1800</v>
      </c>
      <c r="AK17" s="1150">
        <v>1</v>
      </c>
      <c r="AL17" s="1151">
        <f t="shared" si="34"/>
        <v>1800</v>
      </c>
      <c r="AM17" s="1152">
        <f t="shared" si="35"/>
        <v>25.024999999999999</v>
      </c>
      <c r="AN17" s="1153">
        <v>85</v>
      </c>
      <c r="AO17" s="1154">
        <f t="shared" si="36"/>
        <v>153000</v>
      </c>
    </row>
    <row r="18" spans="1:41" s="492" customFormat="1" x14ac:dyDescent="0.2">
      <c r="A18" s="1155" t="s">
        <v>131</v>
      </c>
      <c r="B18" s="1139"/>
      <c r="C18" s="1123"/>
      <c r="D18" s="1140">
        <v>12</v>
      </c>
      <c r="E18" s="1140">
        <v>40</v>
      </c>
      <c r="F18" s="1141">
        <f t="shared" si="20"/>
        <v>2088</v>
      </c>
      <c r="G18" s="1141">
        <f t="shared" si="21"/>
        <v>8</v>
      </c>
      <c r="H18" s="1142"/>
      <c r="I18" s="1143">
        <f t="shared" si="22"/>
        <v>-2088</v>
      </c>
      <c r="J18" s="1144">
        <f t="shared" si="23"/>
        <v>2088</v>
      </c>
      <c r="K18" s="1145">
        <f t="shared" si="6"/>
        <v>16.283524904214559</v>
      </c>
      <c r="L18" s="1141">
        <v>34000</v>
      </c>
      <c r="M18" s="1142">
        <f t="shared" si="0"/>
        <v>2833.3333333333335</v>
      </c>
      <c r="N18" s="1141">
        <f t="shared" si="24"/>
        <v>1.3569604086845466</v>
      </c>
      <c r="O18" s="1143">
        <f t="shared" si="25"/>
        <v>0</v>
      </c>
      <c r="P18" s="1142"/>
      <c r="Q18" s="1142"/>
      <c r="R18" s="1142"/>
      <c r="S18" s="1142"/>
      <c r="T18" s="1141">
        <f t="shared" si="26"/>
        <v>36833.333333333336</v>
      </c>
      <c r="U18" s="1143"/>
      <c r="V18" s="1142">
        <v>26</v>
      </c>
      <c r="W18" s="1143">
        <f t="shared" si="27"/>
        <v>0</v>
      </c>
      <c r="X18" s="1143"/>
      <c r="Y18" s="1143">
        <f t="shared" si="1"/>
        <v>0</v>
      </c>
      <c r="Z18" s="1141">
        <f t="shared" si="28"/>
        <v>9576.6666666666679</v>
      </c>
      <c r="AA18" s="1146">
        <f t="shared" si="29"/>
        <v>46410</v>
      </c>
      <c r="AB18" s="1142">
        <v>8</v>
      </c>
      <c r="AC18" s="1142">
        <v>4</v>
      </c>
      <c r="AD18" s="1142">
        <v>2</v>
      </c>
      <c r="AE18" s="1142">
        <v>26</v>
      </c>
      <c r="AF18" s="1144">
        <f t="shared" si="30"/>
        <v>40</v>
      </c>
      <c r="AG18" s="1147">
        <v>1</v>
      </c>
      <c r="AH18" s="1148">
        <f t="shared" si="31"/>
        <v>46410</v>
      </c>
      <c r="AI18" s="1148">
        <f t="shared" si="32"/>
        <v>0</v>
      </c>
      <c r="AJ18" s="1149">
        <f t="shared" si="33"/>
        <v>1768</v>
      </c>
      <c r="AK18" s="1150">
        <v>1</v>
      </c>
      <c r="AL18" s="1151">
        <f t="shared" si="34"/>
        <v>1768</v>
      </c>
      <c r="AM18" s="1152">
        <f t="shared" si="35"/>
        <v>26.25</v>
      </c>
      <c r="AN18" s="1153">
        <v>85</v>
      </c>
      <c r="AO18" s="1154">
        <f t="shared" si="36"/>
        <v>150280</v>
      </c>
    </row>
    <row r="19" spans="1:41" s="492" customFormat="1" x14ac:dyDescent="0.2">
      <c r="A19" s="1155" t="s">
        <v>131</v>
      </c>
      <c r="B19" s="1139" t="s">
        <v>1060</v>
      </c>
      <c r="C19" s="1123"/>
      <c r="D19" s="1140">
        <v>8</v>
      </c>
      <c r="E19" s="1140">
        <v>30</v>
      </c>
      <c r="F19" s="1141">
        <f t="shared" si="20"/>
        <v>1044</v>
      </c>
      <c r="G19" s="1141">
        <f t="shared" si="21"/>
        <v>6</v>
      </c>
      <c r="H19" s="1142"/>
      <c r="I19" s="1143">
        <f t="shared" si="22"/>
        <v>626.39999999999986</v>
      </c>
      <c r="J19" s="1144">
        <f t="shared" si="23"/>
        <v>1044</v>
      </c>
      <c r="K19" s="1145">
        <f t="shared" si="6"/>
        <v>21.551724137931036</v>
      </c>
      <c r="L19" s="1141">
        <v>22500</v>
      </c>
      <c r="M19" s="1142">
        <f t="shared" si="0"/>
        <v>1875</v>
      </c>
      <c r="N19" s="1141">
        <f t="shared" si="24"/>
        <v>1.7959770114942528</v>
      </c>
      <c r="O19" s="1143">
        <f t="shared" si="25"/>
        <v>36000</v>
      </c>
      <c r="P19" s="1142"/>
      <c r="Q19" s="1142"/>
      <c r="R19" s="1142"/>
      <c r="S19" s="1142"/>
      <c r="T19" s="1141">
        <f t="shared" si="26"/>
        <v>24375</v>
      </c>
      <c r="U19" s="1143">
        <v>36000</v>
      </c>
      <c r="V19" s="1142">
        <v>26</v>
      </c>
      <c r="W19" s="1143">
        <f t="shared" si="27"/>
        <v>24.688888888888886</v>
      </c>
      <c r="X19" s="1143">
        <v>8888</v>
      </c>
      <c r="Y19" s="1143">
        <f t="shared" si="1"/>
        <v>0</v>
      </c>
      <c r="Z19" s="1141">
        <f t="shared" si="28"/>
        <v>6337.5</v>
      </c>
      <c r="AA19" s="1146">
        <f t="shared" si="29"/>
        <v>30712.5</v>
      </c>
      <c r="AB19" s="1142">
        <v>8</v>
      </c>
      <c r="AC19" s="1142"/>
      <c r="AD19" s="1142">
        <v>2</v>
      </c>
      <c r="AE19" s="1142">
        <v>26</v>
      </c>
      <c r="AF19" s="1144">
        <f t="shared" si="30"/>
        <v>36</v>
      </c>
      <c r="AG19" s="1147">
        <v>1</v>
      </c>
      <c r="AH19" s="1148">
        <f t="shared" si="31"/>
        <v>30712.5</v>
      </c>
      <c r="AI19" s="1148">
        <f t="shared" si="32"/>
        <v>0</v>
      </c>
      <c r="AJ19" s="1149">
        <f t="shared" si="33"/>
        <v>828</v>
      </c>
      <c r="AK19" s="1150">
        <v>1</v>
      </c>
      <c r="AL19" s="1151">
        <f t="shared" si="34"/>
        <v>828</v>
      </c>
      <c r="AM19" s="1152">
        <f t="shared" si="35"/>
        <v>37.092391304347828</v>
      </c>
      <c r="AN19" s="1153">
        <v>85</v>
      </c>
      <c r="AO19" s="1154">
        <f t="shared" si="36"/>
        <v>70380</v>
      </c>
    </row>
    <row r="20" spans="1:41" s="492" customFormat="1" x14ac:dyDescent="0.2">
      <c r="A20" s="1155" t="s">
        <v>132</v>
      </c>
      <c r="B20" s="1139" t="s">
        <v>1055</v>
      </c>
      <c r="C20" s="1123"/>
      <c r="D20" s="1140">
        <v>12</v>
      </c>
      <c r="E20" s="1140">
        <v>40</v>
      </c>
      <c r="F20" s="1141">
        <f t="shared" si="20"/>
        <v>2088</v>
      </c>
      <c r="G20" s="1141">
        <f t="shared" si="21"/>
        <v>8</v>
      </c>
      <c r="H20" s="1142"/>
      <c r="I20" s="1143">
        <f t="shared" si="22"/>
        <v>-2088</v>
      </c>
      <c r="J20" s="1144">
        <f t="shared" si="23"/>
        <v>2088</v>
      </c>
      <c r="K20" s="1145">
        <f t="shared" si="6"/>
        <v>5.7471264367816088</v>
      </c>
      <c r="L20" s="1141">
        <v>12000</v>
      </c>
      <c r="M20" s="1142">
        <f t="shared" si="0"/>
        <v>1000</v>
      </c>
      <c r="N20" s="1141">
        <f t="shared" si="24"/>
        <v>0.47892720306513409</v>
      </c>
      <c r="O20" s="1143">
        <f t="shared" si="25"/>
        <v>0</v>
      </c>
      <c r="P20" s="1142"/>
      <c r="Q20" s="1142"/>
      <c r="R20" s="1142"/>
      <c r="S20" s="1142"/>
      <c r="T20" s="1141">
        <f t="shared" si="26"/>
        <v>13000</v>
      </c>
      <c r="U20" s="1143"/>
      <c r="V20" s="1142">
        <v>20</v>
      </c>
      <c r="W20" s="1143">
        <f t="shared" si="27"/>
        <v>0</v>
      </c>
      <c r="X20" s="1143"/>
      <c r="Y20" s="1143">
        <f t="shared" si="1"/>
        <v>0</v>
      </c>
      <c r="Z20" s="1141">
        <f t="shared" si="28"/>
        <v>2600</v>
      </c>
      <c r="AA20" s="1146">
        <f t="shared" si="29"/>
        <v>15600</v>
      </c>
      <c r="AB20" s="1142">
        <v>8</v>
      </c>
      <c r="AC20" s="1142">
        <v>3</v>
      </c>
      <c r="AD20" s="1142">
        <v>2</v>
      </c>
      <c r="AE20" s="1142">
        <v>26</v>
      </c>
      <c r="AF20" s="1144">
        <f t="shared" si="30"/>
        <v>39</v>
      </c>
      <c r="AG20" s="1147">
        <v>1</v>
      </c>
      <c r="AH20" s="1148">
        <f t="shared" si="31"/>
        <v>15600</v>
      </c>
      <c r="AI20" s="1148">
        <f t="shared" si="32"/>
        <v>0</v>
      </c>
      <c r="AJ20" s="1149">
        <f t="shared" si="33"/>
        <v>1776</v>
      </c>
      <c r="AK20" s="1150">
        <v>0.4</v>
      </c>
      <c r="AL20" s="1151">
        <f t="shared" si="34"/>
        <v>710.40000000000009</v>
      </c>
      <c r="AM20" s="1152">
        <f t="shared" si="35"/>
        <v>21.959459459459456</v>
      </c>
      <c r="AN20" s="1153">
        <v>25</v>
      </c>
      <c r="AO20" s="1154">
        <f t="shared" si="36"/>
        <v>17760.000000000004</v>
      </c>
    </row>
    <row r="21" spans="1:41" s="492" customFormat="1" x14ac:dyDescent="0.2">
      <c r="A21" s="1155" t="s">
        <v>132</v>
      </c>
      <c r="B21" s="1139" t="s">
        <v>1056</v>
      </c>
      <c r="C21" s="1123"/>
      <c r="D21" s="1140">
        <v>5</v>
      </c>
      <c r="E21" s="1140">
        <v>40</v>
      </c>
      <c r="F21" s="1141">
        <f t="shared" si="20"/>
        <v>870</v>
      </c>
      <c r="G21" s="1141">
        <f t="shared" si="21"/>
        <v>8</v>
      </c>
      <c r="H21" s="1142"/>
      <c r="I21" s="1143">
        <f t="shared" si="22"/>
        <v>-874.74545454545455</v>
      </c>
      <c r="J21" s="1144">
        <f t="shared" si="23"/>
        <v>870</v>
      </c>
      <c r="K21" s="1145">
        <f t="shared" si="6"/>
        <v>12.64367816091954</v>
      </c>
      <c r="L21" s="1141">
        <v>11000</v>
      </c>
      <c r="M21" s="1142">
        <f t="shared" si="0"/>
        <v>916.66666666666663</v>
      </c>
      <c r="N21" s="1141">
        <f t="shared" si="24"/>
        <v>1.053639846743295</v>
      </c>
      <c r="O21" s="1143">
        <f t="shared" si="25"/>
        <v>-60</v>
      </c>
      <c r="P21" s="1142">
        <v>60</v>
      </c>
      <c r="Q21" s="1142"/>
      <c r="R21" s="1142"/>
      <c r="S21" s="1142"/>
      <c r="T21" s="1141">
        <f t="shared" si="26"/>
        <v>11976.666666666666</v>
      </c>
      <c r="U21" s="1143"/>
      <c r="V21" s="1142">
        <v>20</v>
      </c>
      <c r="W21" s="1143">
        <f t="shared" si="27"/>
        <v>0</v>
      </c>
      <c r="X21" s="1143"/>
      <c r="Y21" s="1143">
        <f t="shared" si="1"/>
        <v>0</v>
      </c>
      <c r="Z21" s="1141">
        <f t="shared" si="28"/>
        <v>2395.333333333333</v>
      </c>
      <c r="AA21" s="1146">
        <f t="shared" si="29"/>
        <v>14372</v>
      </c>
      <c r="AB21" s="1142">
        <v>8</v>
      </c>
      <c r="AC21" s="1142"/>
      <c r="AD21" s="1142">
        <v>2</v>
      </c>
      <c r="AE21" s="1142">
        <v>26</v>
      </c>
      <c r="AF21" s="1144">
        <f t="shared" si="30"/>
        <v>36</v>
      </c>
      <c r="AG21" s="1147">
        <v>1</v>
      </c>
      <c r="AH21" s="1148">
        <f t="shared" si="31"/>
        <v>14372</v>
      </c>
      <c r="AI21" s="1148">
        <f t="shared" si="32"/>
        <v>0</v>
      </c>
      <c r="AJ21" s="1149">
        <f t="shared" si="33"/>
        <v>582</v>
      </c>
      <c r="AK21" s="1150">
        <v>0.2</v>
      </c>
      <c r="AL21" s="1151">
        <f t="shared" si="34"/>
        <v>116.4</v>
      </c>
      <c r="AM21" s="1152">
        <f t="shared" si="35"/>
        <v>123.47079037800687</v>
      </c>
      <c r="AN21" s="1153">
        <v>25</v>
      </c>
      <c r="AO21" s="1154">
        <f t="shared" si="36"/>
        <v>2910</v>
      </c>
    </row>
    <row r="22" spans="1:41" s="492" customFormat="1" x14ac:dyDescent="0.2">
      <c r="A22" s="1155" t="s">
        <v>133</v>
      </c>
      <c r="B22" s="1139" t="s">
        <v>1057</v>
      </c>
      <c r="C22" s="1123"/>
      <c r="D22" s="1140">
        <v>12</v>
      </c>
      <c r="E22" s="1140">
        <v>12</v>
      </c>
      <c r="F22" s="1141">
        <f t="shared" si="20"/>
        <v>626.4</v>
      </c>
      <c r="G22" s="1141">
        <f t="shared" si="21"/>
        <v>2.4</v>
      </c>
      <c r="H22" s="1142"/>
      <c r="I22" s="1143">
        <f t="shared" si="22"/>
        <v>-626.4</v>
      </c>
      <c r="J22" s="1144">
        <f t="shared" si="23"/>
        <v>626.4</v>
      </c>
      <c r="K22" s="1145">
        <f t="shared" si="6"/>
        <v>9.9936143039591325</v>
      </c>
      <c r="L22" s="1141">
        <f>6260</f>
        <v>6260</v>
      </c>
      <c r="M22" s="1142">
        <f>L22/12</f>
        <v>521.66666666666663</v>
      </c>
      <c r="N22" s="1141">
        <f t="shared" si="24"/>
        <v>0.8328011919965943</v>
      </c>
      <c r="O22" s="1143">
        <f t="shared" si="25"/>
        <v>0</v>
      </c>
      <c r="P22" s="1142"/>
      <c r="Q22" s="1142"/>
      <c r="R22" s="1142"/>
      <c r="S22" s="1142"/>
      <c r="T22" s="1141">
        <f t="shared" si="26"/>
        <v>6781.666666666667</v>
      </c>
      <c r="U22" s="1143"/>
      <c r="V22" s="1142">
        <v>18</v>
      </c>
      <c r="W22" s="1143">
        <f t="shared" si="27"/>
        <v>0</v>
      </c>
      <c r="X22" s="1143"/>
      <c r="Y22" s="1143">
        <f t="shared" si="1"/>
        <v>0</v>
      </c>
      <c r="Z22" s="1141">
        <f t="shared" si="28"/>
        <v>1220.7</v>
      </c>
      <c r="AA22" s="1146">
        <f t="shared" si="29"/>
        <v>8002.3666666666668</v>
      </c>
      <c r="AB22" s="1142">
        <v>3</v>
      </c>
      <c r="AC22" s="1142"/>
      <c r="AD22" s="1142"/>
      <c r="AE22" s="1142">
        <v>26</v>
      </c>
      <c r="AF22" s="1144">
        <f t="shared" si="30"/>
        <v>29</v>
      </c>
      <c r="AG22" s="1147">
        <v>0</v>
      </c>
      <c r="AH22" s="1148">
        <f t="shared" si="31"/>
        <v>0</v>
      </c>
      <c r="AI22" s="1148">
        <f t="shared" si="32"/>
        <v>8002.3666666666668</v>
      </c>
      <c r="AJ22" s="1149">
        <f t="shared" si="33"/>
        <v>0</v>
      </c>
      <c r="AK22" s="1150">
        <v>0</v>
      </c>
      <c r="AL22" s="1151">
        <f t="shared" si="34"/>
        <v>0</v>
      </c>
      <c r="AM22" s="1152">
        <f t="shared" si="35"/>
        <v>0</v>
      </c>
      <c r="AN22" s="1153">
        <v>0</v>
      </c>
      <c r="AO22" s="1154">
        <f t="shared" si="36"/>
        <v>0</v>
      </c>
    </row>
    <row r="23" spans="1:41" s="492" customFormat="1" x14ac:dyDescent="0.2">
      <c r="A23" s="1155"/>
      <c r="B23" s="1139"/>
      <c r="C23" s="1123"/>
      <c r="D23" s="1140">
        <v>12</v>
      </c>
      <c r="E23" s="1140"/>
      <c r="F23" s="1141">
        <f t="shared" si="20"/>
        <v>0</v>
      </c>
      <c r="G23" s="1141">
        <f t="shared" si="21"/>
        <v>0</v>
      </c>
      <c r="H23" s="1142"/>
      <c r="I23" s="1143" t="e">
        <f t="shared" si="22"/>
        <v>#DIV/0!</v>
      </c>
      <c r="J23" s="1144">
        <f t="shared" si="23"/>
        <v>0</v>
      </c>
      <c r="K23" s="1145" t="e">
        <f t="shared" si="6"/>
        <v>#DIV/0!</v>
      </c>
      <c r="L23" s="1141"/>
      <c r="M23" s="1142"/>
      <c r="N23" s="1141">
        <f t="shared" si="24"/>
        <v>0</v>
      </c>
      <c r="O23" s="1143">
        <f t="shared" si="25"/>
        <v>0</v>
      </c>
      <c r="P23" s="1142"/>
      <c r="Q23" s="1142"/>
      <c r="R23" s="1142"/>
      <c r="S23" s="1142"/>
      <c r="T23" s="1141">
        <f t="shared" si="26"/>
        <v>0</v>
      </c>
      <c r="U23" s="1143"/>
      <c r="V23" s="1142"/>
      <c r="W23" s="1143">
        <f t="shared" si="27"/>
        <v>0</v>
      </c>
      <c r="X23" s="1143"/>
      <c r="Y23" s="1143">
        <f t="shared" si="1"/>
        <v>0</v>
      </c>
      <c r="Z23" s="1141">
        <f t="shared" si="28"/>
        <v>0</v>
      </c>
      <c r="AA23" s="1146">
        <f t="shared" si="29"/>
        <v>0</v>
      </c>
      <c r="AB23" s="1142"/>
      <c r="AC23" s="1142"/>
      <c r="AD23" s="1142"/>
      <c r="AE23" s="1142"/>
      <c r="AF23" s="1144">
        <f t="shared" si="30"/>
        <v>0</v>
      </c>
      <c r="AG23" s="1147"/>
      <c r="AH23" s="1148">
        <f t="shared" si="31"/>
        <v>0</v>
      </c>
      <c r="AI23" s="1148">
        <f t="shared" si="32"/>
        <v>0</v>
      </c>
      <c r="AJ23" s="1149">
        <f t="shared" si="33"/>
        <v>0</v>
      </c>
      <c r="AK23" s="1150"/>
      <c r="AL23" s="1151">
        <f t="shared" si="34"/>
        <v>0</v>
      </c>
      <c r="AM23" s="1152">
        <f t="shared" si="35"/>
        <v>0</v>
      </c>
      <c r="AN23" s="1153"/>
      <c r="AO23" s="1154">
        <f t="shared" si="36"/>
        <v>0</v>
      </c>
    </row>
    <row r="24" spans="1:41" s="492" customFormat="1" x14ac:dyDescent="0.2">
      <c r="A24" s="1155"/>
      <c r="B24" s="1139"/>
      <c r="C24" s="1123"/>
      <c r="D24" s="1140">
        <v>12</v>
      </c>
      <c r="E24" s="1140"/>
      <c r="F24" s="1141">
        <f t="shared" ref="F24:F87" si="37">(D24*E24*52.2/12)</f>
        <v>0</v>
      </c>
      <c r="G24" s="1141">
        <f t="shared" ref="G24:G87" si="38">IF(ISERROR(F24/(261*D24/12)),0,F24/(261*D24/12))</f>
        <v>0</v>
      </c>
      <c r="H24" s="1142"/>
      <c r="I24" s="1143" t="e">
        <f t="shared" ref="I24:I87" si="39">IF(K24="",0,O24/K24-F24)</f>
        <v>#DIV/0!</v>
      </c>
      <c r="J24" s="1144">
        <f t="shared" ref="J24:J87" si="40">F24+H24</f>
        <v>0</v>
      </c>
      <c r="K24" s="1145" t="e">
        <f t="shared" ref="K24:K87" si="41">L24/J24</f>
        <v>#DIV/0!</v>
      </c>
      <c r="L24" s="1141"/>
      <c r="M24" s="1142"/>
      <c r="N24" s="1141">
        <f t="shared" ref="N24:N87" si="42">IF(ISERROR(M24/J24),0,M24/J24)</f>
        <v>0</v>
      </c>
      <c r="O24" s="1143">
        <f t="shared" ref="O24:O87" si="43">U24-SUM(P24:S24)</f>
        <v>0</v>
      </c>
      <c r="P24" s="1142"/>
      <c r="Q24" s="1142"/>
      <c r="R24" s="1142"/>
      <c r="S24" s="1142"/>
      <c r="T24" s="1141">
        <f t="shared" ref="T24:T87" si="44">L24+M24+SUM(P24:S24)</f>
        <v>0</v>
      </c>
      <c r="U24" s="1143"/>
      <c r="V24" s="1142"/>
      <c r="W24" s="1143">
        <f t="shared" ref="W24:W87" si="45">IF(ISERROR((X24+Y24)/U24*100),0,(X24+Y24)/U24*100)</f>
        <v>0</v>
      </c>
      <c r="X24" s="1143"/>
      <c r="Y24" s="1143">
        <f t="shared" ref="Y24:Y87" si="46">IF(ISERROR($Y$107/$U$107*U24),0,$Y$107/$U$107*U24)</f>
        <v>0</v>
      </c>
      <c r="Z24" s="1141">
        <f t="shared" ref="Z24:Z87" si="47">T24*V24/100</f>
        <v>0</v>
      </c>
      <c r="AA24" s="1146">
        <f t="shared" ref="AA24:AA87" si="48">T24+Z24</f>
        <v>0</v>
      </c>
      <c r="AB24" s="1142"/>
      <c r="AC24" s="1142"/>
      <c r="AD24" s="1142"/>
      <c r="AE24" s="1142"/>
      <c r="AF24" s="1144">
        <f t="shared" ref="AF24:AF87" si="49">SUM(AB24:AE24)</f>
        <v>0</v>
      </c>
      <c r="AG24" s="1147"/>
      <c r="AH24" s="1148">
        <f t="shared" ref="AH24:AH87" si="50">AG24*AA24</f>
        <v>0</v>
      </c>
      <c r="AI24" s="1148">
        <f t="shared" ref="AI24:AI87" si="51">AA24-AH24</f>
        <v>0</v>
      </c>
      <c r="AJ24" s="1149">
        <f t="shared" ref="AJ24:AJ87" si="52">(J24-(AF24*G24))*AG24</f>
        <v>0</v>
      </c>
      <c r="AK24" s="1150"/>
      <c r="AL24" s="1151">
        <f t="shared" ref="AL24:AL87" si="53">AJ24*AK24</f>
        <v>0</v>
      </c>
      <c r="AM24" s="1152">
        <f t="shared" ref="AM24:AM87" si="54">IF(ISERROR(+AH24/AL24),0,+AH24/AL24)</f>
        <v>0</v>
      </c>
      <c r="AN24" s="1153"/>
      <c r="AO24" s="1154">
        <f t="shared" ref="AO24:AO87" si="55">AN24*AL24</f>
        <v>0</v>
      </c>
    </row>
    <row r="25" spans="1:41" s="492" customFormat="1" x14ac:dyDescent="0.2">
      <c r="A25" s="1155"/>
      <c r="B25" s="1139"/>
      <c r="C25" s="1123"/>
      <c r="D25" s="1140">
        <v>12</v>
      </c>
      <c r="E25" s="1140"/>
      <c r="F25" s="1141">
        <f t="shared" si="37"/>
        <v>0</v>
      </c>
      <c r="G25" s="1141">
        <f t="shared" si="38"/>
        <v>0</v>
      </c>
      <c r="H25" s="1142"/>
      <c r="I25" s="1143" t="e">
        <f t="shared" si="39"/>
        <v>#DIV/0!</v>
      </c>
      <c r="J25" s="1144">
        <f t="shared" si="40"/>
        <v>0</v>
      </c>
      <c r="K25" s="1145" t="e">
        <f t="shared" si="41"/>
        <v>#DIV/0!</v>
      </c>
      <c r="L25" s="1141"/>
      <c r="M25" s="1142"/>
      <c r="N25" s="1141">
        <f t="shared" si="42"/>
        <v>0</v>
      </c>
      <c r="O25" s="1143">
        <f t="shared" si="43"/>
        <v>0</v>
      </c>
      <c r="P25" s="1142"/>
      <c r="Q25" s="1142"/>
      <c r="R25" s="1142"/>
      <c r="S25" s="1142"/>
      <c r="T25" s="1141">
        <f t="shared" si="44"/>
        <v>0</v>
      </c>
      <c r="U25" s="1143"/>
      <c r="V25" s="1142"/>
      <c r="W25" s="1143">
        <f t="shared" si="45"/>
        <v>0</v>
      </c>
      <c r="X25" s="1143"/>
      <c r="Y25" s="1143">
        <f t="shared" si="46"/>
        <v>0</v>
      </c>
      <c r="Z25" s="1141">
        <f t="shared" si="47"/>
        <v>0</v>
      </c>
      <c r="AA25" s="1146">
        <f t="shared" si="48"/>
        <v>0</v>
      </c>
      <c r="AB25" s="1142"/>
      <c r="AC25" s="1142"/>
      <c r="AD25" s="1142"/>
      <c r="AE25" s="1142"/>
      <c r="AF25" s="1144">
        <f t="shared" si="49"/>
        <v>0</v>
      </c>
      <c r="AG25" s="1147"/>
      <c r="AH25" s="1148">
        <f t="shared" si="50"/>
        <v>0</v>
      </c>
      <c r="AI25" s="1148">
        <f t="shared" si="51"/>
        <v>0</v>
      </c>
      <c r="AJ25" s="1149">
        <f t="shared" si="52"/>
        <v>0</v>
      </c>
      <c r="AK25" s="1150"/>
      <c r="AL25" s="1151">
        <f t="shared" si="53"/>
        <v>0</v>
      </c>
      <c r="AM25" s="1152">
        <f t="shared" si="54"/>
        <v>0</v>
      </c>
      <c r="AN25" s="1153"/>
      <c r="AO25" s="1154">
        <f t="shared" si="55"/>
        <v>0</v>
      </c>
    </row>
    <row r="26" spans="1:41" s="492" customFormat="1" x14ac:dyDescent="0.2">
      <c r="A26" s="1155"/>
      <c r="B26" s="1139"/>
      <c r="C26" s="1123"/>
      <c r="D26" s="1140">
        <v>12</v>
      </c>
      <c r="E26" s="1140"/>
      <c r="F26" s="1141">
        <f t="shared" si="37"/>
        <v>0</v>
      </c>
      <c r="G26" s="1141">
        <f t="shared" si="38"/>
        <v>0</v>
      </c>
      <c r="H26" s="1142"/>
      <c r="I26" s="1143" t="e">
        <f t="shared" si="39"/>
        <v>#DIV/0!</v>
      </c>
      <c r="J26" s="1144">
        <f t="shared" si="40"/>
        <v>0</v>
      </c>
      <c r="K26" s="1145" t="e">
        <f t="shared" si="41"/>
        <v>#DIV/0!</v>
      </c>
      <c r="L26" s="1141"/>
      <c r="M26" s="1142"/>
      <c r="N26" s="1141">
        <f t="shared" si="42"/>
        <v>0</v>
      </c>
      <c r="O26" s="1143">
        <f t="shared" si="43"/>
        <v>0</v>
      </c>
      <c r="P26" s="1142"/>
      <c r="Q26" s="1142"/>
      <c r="R26" s="1142"/>
      <c r="S26" s="1142"/>
      <c r="T26" s="1141">
        <f t="shared" si="44"/>
        <v>0</v>
      </c>
      <c r="U26" s="1143"/>
      <c r="V26" s="1142"/>
      <c r="W26" s="1143">
        <f t="shared" si="45"/>
        <v>0</v>
      </c>
      <c r="X26" s="1143"/>
      <c r="Y26" s="1143">
        <f t="shared" si="46"/>
        <v>0</v>
      </c>
      <c r="Z26" s="1141">
        <f t="shared" si="47"/>
        <v>0</v>
      </c>
      <c r="AA26" s="1146">
        <f t="shared" si="48"/>
        <v>0</v>
      </c>
      <c r="AB26" s="1142"/>
      <c r="AC26" s="1142"/>
      <c r="AD26" s="1142"/>
      <c r="AE26" s="1142"/>
      <c r="AF26" s="1144">
        <f t="shared" si="49"/>
        <v>0</v>
      </c>
      <c r="AG26" s="1147"/>
      <c r="AH26" s="1148">
        <f t="shared" si="50"/>
        <v>0</v>
      </c>
      <c r="AI26" s="1148">
        <f t="shared" si="51"/>
        <v>0</v>
      </c>
      <c r="AJ26" s="1149">
        <f t="shared" si="52"/>
        <v>0</v>
      </c>
      <c r="AK26" s="1150"/>
      <c r="AL26" s="1151">
        <f t="shared" si="53"/>
        <v>0</v>
      </c>
      <c r="AM26" s="1152">
        <f t="shared" si="54"/>
        <v>0</v>
      </c>
      <c r="AN26" s="1153"/>
      <c r="AO26" s="1154">
        <f t="shared" si="55"/>
        <v>0</v>
      </c>
    </row>
    <row r="27" spans="1:41" s="492" customFormat="1" x14ac:dyDescent="0.2">
      <c r="A27" s="1155"/>
      <c r="B27" s="1139"/>
      <c r="C27" s="1123"/>
      <c r="D27" s="1140">
        <v>12</v>
      </c>
      <c r="E27" s="1140"/>
      <c r="F27" s="1141">
        <f t="shared" si="37"/>
        <v>0</v>
      </c>
      <c r="G27" s="1141">
        <f t="shared" si="38"/>
        <v>0</v>
      </c>
      <c r="H27" s="1142"/>
      <c r="I27" s="1143" t="e">
        <f t="shared" si="39"/>
        <v>#DIV/0!</v>
      </c>
      <c r="J27" s="1144">
        <f t="shared" si="40"/>
        <v>0</v>
      </c>
      <c r="K27" s="1145" t="e">
        <f t="shared" si="41"/>
        <v>#DIV/0!</v>
      </c>
      <c r="L27" s="1141"/>
      <c r="M27" s="1142"/>
      <c r="N27" s="1141">
        <f t="shared" si="42"/>
        <v>0</v>
      </c>
      <c r="O27" s="1143">
        <f t="shared" si="43"/>
        <v>0</v>
      </c>
      <c r="P27" s="1142"/>
      <c r="Q27" s="1142"/>
      <c r="R27" s="1142"/>
      <c r="S27" s="1142"/>
      <c r="T27" s="1141">
        <f t="shared" si="44"/>
        <v>0</v>
      </c>
      <c r="U27" s="1143"/>
      <c r="V27" s="1142"/>
      <c r="W27" s="1143">
        <f t="shared" si="45"/>
        <v>0</v>
      </c>
      <c r="X27" s="1143"/>
      <c r="Y27" s="1143">
        <f t="shared" si="46"/>
        <v>0</v>
      </c>
      <c r="Z27" s="1141">
        <f t="shared" si="47"/>
        <v>0</v>
      </c>
      <c r="AA27" s="1146">
        <f t="shared" si="48"/>
        <v>0</v>
      </c>
      <c r="AB27" s="1142"/>
      <c r="AC27" s="1142"/>
      <c r="AD27" s="1142"/>
      <c r="AE27" s="1142"/>
      <c r="AF27" s="1144">
        <f t="shared" si="49"/>
        <v>0</v>
      </c>
      <c r="AG27" s="1147"/>
      <c r="AH27" s="1148">
        <f t="shared" si="50"/>
        <v>0</v>
      </c>
      <c r="AI27" s="1148">
        <f t="shared" si="51"/>
        <v>0</v>
      </c>
      <c r="AJ27" s="1149">
        <f t="shared" si="52"/>
        <v>0</v>
      </c>
      <c r="AK27" s="1150"/>
      <c r="AL27" s="1151">
        <f t="shared" si="53"/>
        <v>0</v>
      </c>
      <c r="AM27" s="1152">
        <f t="shared" si="54"/>
        <v>0</v>
      </c>
      <c r="AN27" s="1153"/>
      <c r="AO27" s="1154">
        <f t="shared" si="55"/>
        <v>0</v>
      </c>
    </row>
    <row r="28" spans="1:41" s="492" customFormat="1" x14ac:dyDescent="0.2">
      <c r="A28" s="1155"/>
      <c r="B28" s="1139"/>
      <c r="C28" s="1123"/>
      <c r="D28" s="1140">
        <v>12</v>
      </c>
      <c r="E28" s="1140"/>
      <c r="F28" s="1141">
        <f t="shared" si="37"/>
        <v>0</v>
      </c>
      <c r="G28" s="1141">
        <f t="shared" si="38"/>
        <v>0</v>
      </c>
      <c r="H28" s="1142"/>
      <c r="I28" s="1143" t="e">
        <f t="shared" si="39"/>
        <v>#DIV/0!</v>
      </c>
      <c r="J28" s="1144">
        <f t="shared" si="40"/>
        <v>0</v>
      </c>
      <c r="K28" s="1145" t="e">
        <f t="shared" si="41"/>
        <v>#DIV/0!</v>
      </c>
      <c r="L28" s="1141"/>
      <c r="M28" s="1142"/>
      <c r="N28" s="1141">
        <f t="shared" si="42"/>
        <v>0</v>
      </c>
      <c r="O28" s="1143">
        <f t="shared" si="43"/>
        <v>0</v>
      </c>
      <c r="P28" s="1142"/>
      <c r="Q28" s="1142"/>
      <c r="R28" s="1142"/>
      <c r="S28" s="1142"/>
      <c r="T28" s="1141">
        <f t="shared" si="44"/>
        <v>0</v>
      </c>
      <c r="U28" s="1143"/>
      <c r="V28" s="1142"/>
      <c r="W28" s="1143">
        <f t="shared" si="45"/>
        <v>0</v>
      </c>
      <c r="X28" s="1143"/>
      <c r="Y28" s="1143">
        <f t="shared" si="46"/>
        <v>0</v>
      </c>
      <c r="Z28" s="1141">
        <f t="shared" si="47"/>
        <v>0</v>
      </c>
      <c r="AA28" s="1146">
        <f t="shared" si="48"/>
        <v>0</v>
      </c>
      <c r="AB28" s="1142"/>
      <c r="AC28" s="1142"/>
      <c r="AD28" s="1142"/>
      <c r="AE28" s="1142"/>
      <c r="AF28" s="1144">
        <f t="shared" si="49"/>
        <v>0</v>
      </c>
      <c r="AG28" s="1147"/>
      <c r="AH28" s="1148">
        <f t="shared" si="50"/>
        <v>0</v>
      </c>
      <c r="AI28" s="1148">
        <f t="shared" si="51"/>
        <v>0</v>
      </c>
      <c r="AJ28" s="1149">
        <f t="shared" si="52"/>
        <v>0</v>
      </c>
      <c r="AK28" s="1150"/>
      <c r="AL28" s="1151">
        <f t="shared" si="53"/>
        <v>0</v>
      </c>
      <c r="AM28" s="1152">
        <f t="shared" si="54"/>
        <v>0</v>
      </c>
      <c r="AN28" s="1153"/>
      <c r="AO28" s="1154">
        <f t="shared" si="55"/>
        <v>0</v>
      </c>
    </row>
    <row r="29" spans="1:41" s="492" customFormat="1" x14ac:dyDescent="0.2">
      <c r="A29" s="1155"/>
      <c r="B29" s="1139"/>
      <c r="C29" s="1123"/>
      <c r="D29" s="1140">
        <v>12</v>
      </c>
      <c r="E29" s="1140"/>
      <c r="F29" s="1141">
        <f t="shared" si="37"/>
        <v>0</v>
      </c>
      <c r="G29" s="1141">
        <f t="shared" si="38"/>
        <v>0</v>
      </c>
      <c r="H29" s="1142"/>
      <c r="I29" s="1143" t="e">
        <f t="shared" si="39"/>
        <v>#DIV/0!</v>
      </c>
      <c r="J29" s="1144">
        <f t="shared" si="40"/>
        <v>0</v>
      </c>
      <c r="K29" s="1145" t="e">
        <f t="shared" si="41"/>
        <v>#DIV/0!</v>
      </c>
      <c r="L29" s="1141"/>
      <c r="M29" s="1142"/>
      <c r="N29" s="1141">
        <f t="shared" si="42"/>
        <v>0</v>
      </c>
      <c r="O29" s="1143">
        <f t="shared" si="43"/>
        <v>0</v>
      </c>
      <c r="P29" s="1142"/>
      <c r="Q29" s="1142"/>
      <c r="R29" s="1142"/>
      <c r="S29" s="1142"/>
      <c r="T29" s="1141">
        <f t="shared" si="44"/>
        <v>0</v>
      </c>
      <c r="U29" s="1143"/>
      <c r="V29" s="1142"/>
      <c r="W29" s="1143">
        <f t="shared" si="45"/>
        <v>0</v>
      </c>
      <c r="X29" s="1143"/>
      <c r="Y29" s="1143">
        <f t="shared" si="46"/>
        <v>0</v>
      </c>
      <c r="Z29" s="1141">
        <f t="shared" si="47"/>
        <v>0</v>
      </c>
      <c r="AA29" s="1146">
        <f t="shared" si="48"/>
        <v>0</v>
      </c>
      <c r="AB29" s="1142"/>
      <c r="AC29" s="1142"/>
      <c r="AD29" s="1142"/>
      <c r="AE29" s="1142"/>
      <c r="AF29" s="1144">
        <f t="shared" si="49"/>
        <v>0</v>
      </c>
      <c r="AG29" s="1147"/>
      <c r="AH29" s="1148">
        <f t="shared" si="50"/>
        <v>0</v>
      </c>
      <c r="AI29" s="1148">
        <f t="shared" si="51"/>
        <v>0</v>
      </c>
      <c r="AJ29" s="1149">
        <f t="shared" si="52"/>
        <v>0</v>
      </c>
      <c r="AK29" s="1150"/>
      <c r="AL29" s="1151">
        <f t="shared" si="53"/>
        <v>0</v>
      </c>
      <c r="AM29" s="1152">
        <f t="shared" si="54"/>
        <v>0</v>
      </c>
      <c r="AN29" s="1153"/>
      <c r="AO29" s="1154">
        <f t="shared" si="55"/>
        <v>0</v>
      </c>
    </row>
    <row r="30" spans="1:41" s="492" customFormat="1" x14ac:dyDescent="0.2">
      <c r="A30" s="1155"/>
      <c r="B30" s="1139"/>
      <c r="C30" s="1123"/>
      <c r="D30" s="1140">
        <v>12</v>
      </c>
      <c r="E30" s="1140"/>
      <c r="F30" s="1141">
        <f t="shared" si="37"/>
        <v>0</v>
      </c>
      <c r="G30" s="1141">
        <f t="shared" si="38"/>
        <v>0</v>
      </c>
      <c r="H30" s="1142"/>
      <c r="I30" s="1143" t="e">
        <f t="shared" si="39"/>
        <v>#DIV/0!</v>
      </c>
      <c r="J30" s="1144">
        <f t="shared" si="40"/>
        <v>0</v>
      </c>
      <c r="K30" s="1145" t="e">
        <f t="shared" si="41"/>
        <v>#DIV/0!</v>
      </c>
      <c r="L30" s="1141"/>
      <c r="M30" s="1142"/>
      <c r="N30" s="1141">
        <f t="shared" si="42"/>
        <v>0</v>
      </c>
      <c r="O30" s="1143">
        <f t="shared" si="43"/>
        <v>0</v>
      </c>
      <c r="P30" s="1142"/>
      <c r="Q30" s="1142"/>
      <c r="R30" s="1142"/>
      <c r="S30" s="1142"/>
      <c r="T30" s="1141">
        <f t="shared" si="44"/>
        <v>0</v>
      </c>
      <c r="U30" s="1143"/>
      <c r="V30" s="1142"/>
      <c r="W30" s="1143">
        <f t="shared" si="45"/>
        <v>0</v>
      </c>
      <c r="X30" s="1143"/>
      <c r="Y30" s="1143">
        <f t="shared" si="46"/>
        <v>0</v>
      </c>
      <c r="Z30" s="1141">
        <f t="shared" si="47"/>
        <v>0</v>
      </c>
      <c r="AA30" s="1146">
        <f t="shared" si="48"/>
        <v>0</v>
      </c>
      <c r="AB30" s="1142"/>
      <c r="AC30" s="1142"/>
      <c r="AD30" s="1142"/>
      <c r="AE30" s="1142"/>
      <c r="AF30" s="1144">
        <f t="shared" si="49"/>
        <v>0</v>
      </c>
      <c r="AG30" s="1147"/>
      <c r="AH30" s="1148">
        <f t="shared" si="50"/>
        <v>0</v>
      </c>
      <c r="AI30" s="1148">
        <f t="shared" si="51"/>
        <v>0</v>
      </c>
      <c r="AJ30" s="1149">
        <f t="shared" si="52"/>
        <v>0</v>
      </c>
      <c r="AK30" s="1150"/>
      <c r="AL30" s="1151">
        <f t="shared" si="53"/>
        <v>0</v>
      </c>
      <c r="AM30" s="1152">
        <f t="shared" si="54"/>
        <v>0</v>
      </c>
      <c r="AN30" s="1153"/>
      <c r="AO30" s="1154">
        <f t="shared" si="55"/>
        <v>0</v>
      </c>
    </row>
    <row r="31" spans="1:41" s="492" customFormat="1" x14ac:dyDescent="0.2">
      <c r="A31" s="1155"/>
      <c r="B31" s="1139"/>
      <c r="C31" s="1123"/>
      <c r="D31" s="1140">
        <v>12</v>
      </c>
      <c r="E31" s="1140"/>
      <c r="F31" s="1141">
        <f t="shared" si="37"/>
        <v>0</v>
      </c>
      <c r="G31" s="1141">
        <f t="shared" si="38"/>
        <v>0</v>
      </c>
      <c r="H31" s="1142"/>
      <c r="I31" s="1143" t="e">
        <f t="shared" si="39"/>
        <v>#DIV/0!</v>
      </c>
      <c r="J31" s="1144">
        <f t="shared" si="40"/>
        <v>0</v>
      </c>
      <c r="K31" s="1145" t="e">
        <f t="shared" si="41"/>
        <v>#DIV/0!</v>
      </c>
      <c r="L31" s="1141"/>
      <c r="M31" s="1142"/>
      <c r="N31" s="1141">
        <f t="shared" si="42"/>
        <v>0</v>
      </c>
      <c r="O31" s="1143">
        <f t="shared" si="43"/>
        <v>0</v>
      </c>
      <c r="P31" s="1142"/>
      <c r="Q31" s="1142"/>
      <c r="R31" s="1142"/>
      <c r="S31" s="1142"/>
      <c r="T31" s="1141">
        <f t="shared" si="44"/>
        <v>0</v>
      </c>
      <c r="U31" s="1143"/>
      <c r="V31" s="1142"/>
      <c r="W31" s="1143">
        <f t="shared" si="45"/>
        <v>0</v>
      </c>
      <c r="X31" s="1143"/>
      <c r="Y31" s="1143">
        <f t="shared" si="46"/>
        <v>0</v>
      </c>
      <c r="Z31" s="1141">
        <f t="shared" si="47"/>
        <v>0</v>
      </c>
      <c r="AA31" s="1146">
        <f t="shared" si="48"/>
        <v>0</v>
      </c>
      <c r="AB31" s="1142"/>
      <c r="AC31" s="1142"/>
      <c r="AD31" s="1142"/>
      <c r="AE31" s="1142"/>
      <c r="AF31" s="1144">
        <f t="shared" si="49"/>
        <v>0</v>
      </c>
      <c r="AG31" s="1147"/>
      <c r="AH31" s="1148">
        <f t="shared" si="50"/>
        <v>0</v>
      </c>
      <c r="AI31" s="1148">
        <f t="shared" si="51"/>
        <v>0</v>
      </c>
      <c r="AJ31" s="1149">
        <f t="shared" si="52"/>
        <v>0</v>
      </c>
      <c r="AK31" s="1150"/>
      <c r="AL31" s="1151">
        <f t="shared" si="53"/>
        <v>0</v>
      </c>
      <c r="AM31" s="1152">
        <f t="shared" si="54"/>
        <v>0</v>
      </c>
      <c r="AN31" s="1153"/>
      <c r="AO31" s="1154">
        <f t="shared" si="55"/>
        <v>0</v>
      </c>
    </row>
    <row r="32" spans="1:41" s="492" customFormat="1" x14ac:dyDescent="0.2">
      <c r="A32" s="1155"/>
      <c r="B32" s="1139"/>
      <c r="C32" s="1123"/>
      <c r="D32" s="1140">
        <v>12</v>
      </c>
      <c r="E32" s="1140"/>
      <c r="F32" s="1141">
        <f t="shared" si="37"/>
        <v>0</v>
      </c>
      <c r="G32" s="1141">
        <f t="shared" si="38"/>
        <v>0</v>
      </c>
      <c r="H32" s="1142"/>
      <c r="I32" s="1143" t="e">
        <f t="shared" si="39"/>
        <v>#DIV/0!</v>
      </c>
      <c r="J32" s="1144">
        <f t="shared" si="40"/>
        <v>0</v>
      </c>
      <c r="K32" s="1145" t="e">
        <f t="shared" si="41"/>
        <v>#DIV/0!</v>
      </c>
      <c r="L32" s="1141"/>
      <c r="M32" s="1142"/>
      <c r="N32" s="1141">
        <f t="shared" si="42"/>
        <v>0</v>
      </c>
      <c r="O32" s="1143">
        <f t="shared" si="43"/>
        <v>0</v>
      </c>
      <c r="P32" s="1142"/>
      <c r="Q32" s="1142"/>
      <c r="R32" s="1142"/>
      <c r="S32" s="1142"/>
      <c r="T32" s="1141">
        <f t="shared" si="44"/>
        <v>0</v>
      </c>
      <c r="U32" s="1143"/>
      <c r="V32" s="1142"/>
      <c r="W32" s="1143">
        <f t="shared" si="45"/>
        <v>0</v>
      </c>
      <c r="X32" s="1143"/>
      <c r="Y32" s="1143">
        <f t="shared" si="46"/>
        <v>0</v>
      </c>
      <c r="Z32" s="1141">
        <f t="shared" si="47"/>
        <v>0</v>
      </c>
      <c r="AA32" s="1146">
        <f t="shared" si="48"/>
        <v>0</v>
      </c>
      <c r="AB32" s="1142"/>
      <c r="AC32" s="1142"/>
      <c r="AD32" s="1142"/>
      <c r="AE32" s="1142"/>
      <c r="AF32" s="1144">
        <f t="shared" si="49"/>
        <v>0</v>
      </c>
      <c r="AG32" s="1147"/>
      <c r="AH32" s="1148">
        <f t="shared" si="50"/>
        <v>0</v>
      </c>
      <c r="AI32" s="1148">
        <f t="shared" si="51"/>
        <v>0</v>
      </c>
      <c r="AJ32" s="1149">
        <f t="shared" si="52"/>
        <v>0</v>
      </c>
      <c r="AK32" s="1150"/>
      <c r="AL32" s="1151">
        <f t="shared" si="53"/>
        <v>0</v>
      </c>
      <c r="AM32" s="1152">
        <f t="shared" si="54"/>
        <v>0</v>
      </c>
      <c r="AN32" s="1153"/>
      <c r="AO32" s="1154">
        <f t="shared" si="55"/>
        <v>0</v>
      </c>
    </row>
    <row r="33" spans="1:41" s="492" customFormat="1" x14ac:dyDescent="0.2">
      <c r="A33" s="1155"/>
      <c r="B33" s="1139"/>
      <c r="C33" s="1123"/>
      <c r="D33" s="1140">
        <v>12</v>
      </c>
      <c r="E33" s="1140"/>
      <c r="F33" s="1141">
        <f t="shared" si="37"/>
        <v>0</v>
      </c>
      <c r="G33" s="1141">
        <f t="shared" si="38"/>
        <v>0</v>
      </c>
      <c r="H33" s="1142"/>
      <c r="I33" s="1143" t="e">
        <f t="shared" si="39"/>
        <v>#DIV/0!</v>
      </c>
      <c r="J33" s="1144">
        <f t="shared" si="40"/>
        <v>0</v>
      </c>
      <c r="K33" s="1145" t="e">
        <f t="shared" si="41"/>
        <v>#DIV/0!</v>
      </c>
      <c r="L33" s="1141"/>
      <c r="M33" s="1142"/>
      <c r="N33" s="1141">
        <f t="shared" si="42"/>
        <v>0</v>
      </c>
      <c r="O33" s="1143">
        <f t="shared" si="43"/>
        <v>0</v>
      </c>
      <c r="P33" s="1142"/>
      <c r="Q33" s="1142"/>
      <c r="R33" s="1142"/>
      <c r="S33" s="1142"/>
      <c r="T33" s="1141">
        <f t="shared" si="44"/>
        <v>0</v>
      </c>
      <c r="U33" s="1143"/>
      <c r="V33" s="1142"/>
      <c r="W33" s="1143">
        <f t="shared" si="45"/>
        <v>0</v>
      </c>
      <c r="X33" s="1143"/>
      <c r="Y33" s="1143">
        <f t="shared" si="46"/>
        <v>0</v>
      </c>
      <c r="Z33" s="1141">
        <f t="shared" si="47"/>
        <v>0</v>
      </c>
      <c r="AA33" s="1146">
        <f t="shared" si="48"/>
        <v>0</v>
      </c>
      <c r="AB33" s="1142"/>
      <c r="AC33" s="1142"/>
      <c r="AD33" s="1142"/>
      <c r="AE33" s="1142"/>
      <c r="AF33" s="1144">
        <f t="shared" si="49"/>
        <v>0</v>
      </c>
      <c r="AG33" s="1147"/>
      <c r="AH33" s="1148">
        <f t="shared" si="50"/>
        <v>0</v>
      </c>
      <c r="AI33" s="1148">
        <f t="shared" si="51"/>
        <v>0</v>
      </c>
      <c r="AJ33" s="1149">
        <f t="shared" si="52"/>
        <v>0</v>
      </c>
      <c r="AK33" s="1150"/>
      <c r="AL33" s="1151">
        <f t="shared" si="53"/>
        <v>0</v>
      </c>
      <c r="AM33" s="1152">
        <f t="shared" si="54"/>
        <v>0</v>
      </c>
      <c r="AN33" s="1153"/>
      <c r="AO33" s="1154">
        <f t="shared" si="55"/>
        <v>0</v>
      </c>
    </row>
    <row r="34" spans="1:41" s="492" customFormat="1" x14ac:dyDescent="0.2">
      <c r="A34" s="1155"/>
      <c r="B34" s="1139"/>
      <c r="C34" s="1123"/>
      <c r="D34" s="1140">
        <v>12</v>
      </c>
      <c r="E34" s="1140"/>
      <c r="F34" s="1141">
        <f t="shared" si="37"/>
        <v>0</v>
      </c>
      <c r="G34" s="1141">
        <f t="shared" si="38"/>
        <v>0</v>
      </c>
      <c r="H34" s="1142"/>
      <c r="I34" s="1143" t="e">
        <f t="shared" si="39"/>
        <v>#DIV/0!</v>
      </c>
      <c r="J34" s="1144">
        <f t="shared" si="40"/>
        <v>0</v>
      </c>
      <c r="K34" s="1145" t="e">
        <f t="shared" si="41"/>
        <v>#DIV/0!</v>
      </c>
      <c r="L34" s="1141"/>
      <c r="M34" s="1142"/>
      <c r="N34" s="1141">
        <f t="shared" si="42"/>
        <v>0</v>
      </c>
      <c r="O34" s="1143">
        <f t="shared" si="43"/>
        <v>0</v>
      </c>
      <c r="P34" s="1142"/>
      <c r="Q34" s="1142"/>
      <c r="R34" s="1142"/>
      <c r="S34" s="1142"/>
      <c r="T34" s="1141">
        <f t="shared" si="44"/>
        <v>0</v>
      </c>
      <c r="U34" s="1143"/>
      <c r="V34" s="1142"/>
      <c r="W34" s="1143">
        <f t="shared" si="45"/>
        <v>0</v>
      </c>
      <c r="X34" s="1143"/>
      <c r="Y34" s="1143">
        <f t="shared" si="46"/>
        <v>0</v>
      </c>
      <c r="Z34" s="1141">
        <f t="shared" si="47"/>
        <v>0</v>
      </c>
      <c r="AA34" s="1146">
        <f t="shared" si="48"/>
        <v>0</v>
      </c>
      <c r="AB34" s="1142"/>
      <c r="AC34" s="1142"/>
      <c r="AD34" s="1142"/>
      <c r="AE34" s="1142"/>
      <c r="AF34" s="1144">
        <f t="shared" si="49"/>
        <v>0</v>
      </c>
      <c r="AG34" s="1147"/>
      <c r="AH34" s="1148">
        <f t="shared" si="50"/>
        <v>0</v>
      </c>
      <c r="AI34" s="1148">
        <f t="shared" si="51"/>
        <v>0</v>
      </c>
      <c r="AJ34" s="1149">
        <f t="shared" si="52"/>
        <v>0</v>
      </c>
      <c r="AK34" s="1150"/>
      <c r="AL34" s="1151">
        <f t="shared" si="53"/>
        <v>0</v>
      </c>
      <c r="AM34" s="1152">
        <f t="shared" si="54"/>
        <v>0</v>
      </c>
      <c r="AN34" s="1153"/>
      <c r="AO34" s="1154">
        <f t="shared" si="55"/>
        <v>0</v>
      </c>
    </row>
    <row r="35" spans="1:41" s="492" customFormat="1" x14ac:dyDescent="0.2">
      <c r="A35" s="1155"/>
      <c r="B35" s="1139"/>
      <c r="C35" s="1123"/>
      <c r="D35" s="1140">
        <v>12</v>
      </c>
      <c r="E35" s="1140"/>
      <c r="F35" s="1141">
        <f t="shared" si="37"/>
        <v>0</v>
      </c>
      <c r="G35" s="1141">
        <f t="shared" si="38"/>
        <v>0</v>
      </c>
      <c r="H35" s="1142"/>
      <c r="I35" s="1143" t="e">
        <f t="shared" si="39"/>
        <v>#DIV/0!</v>
      </c>
      <c r="J35" s="1144">
        <f t="shared" si="40"/>
        <v>0</v>
      </c>
      <c r="K35" s="1145" t="e">
        <f t="shared" si="41"/>
        <v>#DIV/0!</v>
      </c>
      <c r="L35" s="1141"/>
      <c r="M35" s="1142"/>
      <c r="N35" s="1141">
        <f t="shared" si="42"/>
        <v>0</v>
      </c>
      <c r="O35" s="1143">
        <f t="shared" si="43"/>
        <v>0</v>
      </c>
      <c r="P35" s="1142"/>
      <c r="Q35" s="1142"/>
      <c r="R35" s="1142"/>
      <c r="S35" s="1142"/>
      <c r="T35" s="1141">
        <f t="shared" si="44"/>
        <v>0</v>
      </c>
      <c r="U35" s="1143"/>
      <c r="V35" s="1142"/>
      <c r="W35" s="1143">
        <f t="shared" si="45"/>
        <v>0</v>
      </c>
      <c r="X35" s="1143"/>
      <c r="Y35" s="1143">
        <f t="shared" si="46"/>
        <v>0</v>
      </c>
      <c r="Z35" s="1141">
        <f t="shared" si="47"/>
        <v>0</v>
      </c>
      <c r="AA35" s="1146">
        <f t="shared" si="48"/>
        <v>0</v>
      </c>
      <c r="AB35" s="1142"/>
      <c r="AC35" s="1142"/>
      <c r="AD35" s="1142"/>
      <c r="AE35" s="1142"/>
      <c r="AF35" s="1144">
        <f t="shared" si="49"/>
        <v>0</v>
      </c>
      <c r="AG35" s="1147"/>
      <c r="AH35" s="1148">
        <f t="shared" si="50"/>
        <v>0</v>
      </c>
      <c r="AI35" s="1148">
        <f t="shared" si="51"/>
        <v>0</v>
      </c>
      <c r="AJ35" s="1149">
        <f t="shared" si="52"/>
        <v>0</v>
      </c>
      <c r="AK35" s="1150"/>
      <c r="AL35" s="1151">
        <f t="shared" si="53"/>
        <v>0</v>
      </c>
      <c r="AM35" s="1152">
        <f t="shared" si="54"/>
        <v>0</v>
      </c>
      <c r="AN35" s="1153"/>
      <c r="AO35" s="1154">
        <f t="shared" si="55"/>
        <v>0</v>
      </c>
    </row>
    <row r="36" spans="1:41" s="492" customFormat="1" x14ac:dyDescent="0.2">
      <c r="A36" s="1155"/>
      <c r="B36" s="1139"/>
      <c r="C36" s="1123"/>
      <c r="D36" s="1140">
        <v>12</v>
      </c>
      <c r="E36" s="1140"/>
      <c r="F36" s="1141">
        <f t="shared" si="37"/>
        <v>0</v>
      </c>
      <c r="G36" s="1141">
        <f t="shared" si="38"/>
        <v>0</v>
      </c>
      <c r="H36" s="1142"/>
      <c r="I36" s="1143" t="e">
        <f t="shared" si="39"/>
        <v>#DIV/0!</v>
      </c>
      <c r="J36" s="1144">
        <f t="shared" si="40"/>
        <v>0</v>
      </c>
      <c r="K36" s="1145" t="e">
        <f t="shared" si="41"/>
        <v>#DIV/0!</v>
      </c>
      <c r="L36" s="1141"/>
      <c r="M36" s="1142"/>
      <c r="N36" s="1141">
        <f t="shared" si="42"/>
        <v>0</v>
      </c>
      <c r="O36" s="1143">
        <f t="shared" si="43"/>
        <v>0</v>
      </c>
      <c r="P36" s="1142"/>
      <c r="Q36" s="1142"/>
      <c r="R36" s="1142"/>
      <c r="S36" s="1142"/>
      <c r="T36" s="1141">
        <f t="shared" si="44"/>
        <v>0</v>
      </c>
      <c r="U36" s="1143"/>
      <c r="V36" s="1142"/>
      <c r="W36" s="1143">
        <f t="shared" si="45"/>
        <v>0</v>
      </c>
      <c r="X36" s="1143"/>
      <c r="Y36" s="1143">
        <f t="shared" si="46"/>
        <v>0</v>
      </c>
      <c r="Z36" s="1141">
        <f t="shared" si="47"/>
        <v>0</v>
      </c>
      <c r="AA36" s="1146">
        <f t="shared" si="48"/>
        <v>0</v>
      </c>
      <c r="AB36" s="1142"/>
      <c r="AC36" s="1142"/>
      <c r="AD36" s="1142"/>
      <c r="AE36" s="1142"/>
      <c r="AF36" s="1144">
        <f t="shared" si="49"/>
        <v>0</v>
      </c>
      <c r="AG36" s="1147"/>
      <c r="AH36" s="1148">
        <f t="shared" si="50"/>
        <v>0</v>
      </c>
      <c r="AI36" s="1148">
        <f t="shared" si="51"/>
        <v>0</v>
      </c>
      <c r="AJ36" s="1149">
        <f t="shared" si="52"/>
        <v>0</v>
      </c>
      <c r="AK36" s="1150"/>
      <c r="AL36" s="1151">
        <f t="shared" si="53"/>
        <v>0</v>
      </c>
      <c r="AM36" s="1152">
        <f t="shared" si="54"/>
        <v>0</v>
      </c>
      <c r="AN36" s="1153"/>
      <c r="AO36" s="1154">
        <f t="shared" si="55"/>
        <v>0</v>
      </c>
    </row>
    <row r="37" spans="1:41" s="492" customFormat="1" x14ac:dyDescent="0.2">
      <c r="A37" s="1155"/>
      <c r="B37" s="1139"/>
      <c r="C37" s="1123"/>
      <c r="D37" s="1140">
        <v>12</v>
      </c>
      <c r="E37" s="1140"/>
      <c r="F37" s="1141">
        <f t="shared" si="37"/>
        <v>0</v>
      </c>
      <c r="G37" s="1141">
        <f t="shared" si="38"/>
        <v>0</v>
      </c>
      <c r="H37" s="1142"/>
      <c r="I37" s="1143" t="e">
        <f t="shared" si="39"/>
        <v>#DIV/0!</v>
      </c>
      <c r="J37" s="1144">
        <f t="shared" si="40"/>
        <v>0</v>
      </c>
      <c r="K37" s="1145" t="e">
        <f t="shared" si="41"/>
        <v>#DIV/0!</v>
      </c>
      <c r="L37" s="1141"/>
      <c r="M37" s="1142"/>
      <c r="N37" s="1141">
        <f t="shared" si="42"/>
        <v>0</v>
      </c>
      <c r="O37" s="1143">
        <f t="shared" si="43"/>
        <v>0</v>
      </c>
      <c r="P37" s="1142"/>
      <c r="Q37" s="1142"/>
      <c r="R37" s="1142"/>
      <c r="S37" s="1142"/>
      <c r="T37" s="1141">
        <f t="shared" si="44"/>
        <v>0</v>
      </c>
      <c r="U37" s="1143"/>
      <c r="V37" s="1142"/>
      <c r="W37" s="1143">
        <f t="shared" si="45"/>
        <v>0</v>
      </c>
      <c r="X37" s="1143"/>
      <c r="Y37" s="1143">
        <f t="shared" si="46"/>
        <v>0</v>
      </c>
      <c r="Z37" s="1141">
        <f t="shared" si="47"/>
        <v>0</v>
      </c>
      <c r="AA37" s="1146">
        <f t="shared" si="48"/>
        <v>0</v>
      </c>
      <c r="AB37" s="1142"/>
      <c r="AC37" s="1142"/>
      <c r="AD37" s="1142"/>
      <c r="AE37" s="1142"/>
      <c r="AF37" s="1144">
        <f t="shared" si="49"/>
        <v>0</v>
      </c>
      <c r="AG37" s="1147"/>
      <c r="AH37" s="1148">
        <f t="shared" si="50"/>
        <v>0</v>
      </c>
      <c r="AI37" s="1148">
        <f t="shared" si="51"/>
        <v>0</v>
      </c>
      <c r="AJ37" s="1149">
        <f t="shared" si="52"/>
        <v>0</v>
      </c>
      <c r="AK37" s="1150"/>
      <c r="AL37" s="1151">
        <f t="shared" si="53"/>
        <v>0</v>
      </c>
      <c r="AM37" s="1152">
        <f t="shared" si="54"/>
        <v>0</v>
      </c>
      <c r="AN37" s="1153"/>
      <c r="AO37" s="1154">
        <f t="shared" si="55"/>
        <v>0</v>
      </c>
    </row>
    <row r="38" spans="1:41" s="492" customFormat="1" x14ac:dyDescent="0.2">
      <c r="A38" s="1155"/>
      <c r="B38" s="1139"/>
      <c r="C38" s="1123"/>
      <c r="D38" s="1140">
        <v>12</v>
      </c>
      <c r="E38" s="1140"/>
      <c r="F38" s="1141">
        <f t="shared" si="37"/>
        <v>0</v>
      </c>
      <c r="G38" s="1141">
        <f t="shared" si="38"/>
        <v>0</v>
      </c>
      <c r="H38" s="1142"/>
      <c r="I38" s="1143" t="e">
        <f t="shared" si="39"/>
        <v>#DIV/0!</v>
      </c>
      <c r="J38" s="1144">
        <f t="shared" si="40"/>
        <v>0</v>
      </c>
      <c r="K38" s="1145" t="e">
        <f t="shared" si="41"/>
        <v>#DIV/0!</v>
      </c>
      <c r="L38" s="1141"/>
      <c r="M38" s="1142"/>
      <c r="N38" s="1141">
        <f t="shared" si="42"/>
        <v>0</v>
      </c>
      <c r="O38" s="1143">
        <f t="shared" si="43"/>
        <v>0</v>
      </c>
      <c r="P38" s="1142"/>
      <c r="Q38" s="1142"/>
      <c r="R38" s="1142"/>
      <c r="S38" s="1142"/>
      <c r="T38" s="1141">
        <f t="shared" si="44"/>
        <v>0</v>
      </c>
      <c r="U38" s="1143"/>
      <c r="V38" s="1142"/>
      <c r="W38" s="1143">
        <f t="shared" si="45"/>
        <v>0</v>
      </c>
      <c r="X38" s="1143"/>
      <c r="Y38" s="1143">
        <f t="shared" si="46"/>
        <v>0</v>
      </c>
      <c r="Z38" s="1141">
        <f t="shared" si="47"/>
        <v>0</v>
      </c>
      <c r="AA38" s="1146">
        <f t="shared" si="48"/>
        <v>0</v>
      </c>
      <c r="AB38" s="1142"/>
      <c r="AC38" s="1142"/>
      <c r="AD38" s="1142"/>
      <c r="AE38" s="1142"/>
      <c r="AF38" s="1144">
        <f t="shared" si="49"/>
        <v>0</v>
      </c>
      <c r="AG38" s="1147"/>
      <c r="AH38" s="1148">
        <f t="shared" si="50"/>
        <v>0</v>
      </c>
      <c r="AI38" s="1148">
        <f t="shared" si="51"/>
        <v>0</v>
      </c>
      <c r="AJ38" s="1149">
        <f t="shared" si="52"/>
        <v>0</v>
      </c>
      <c r="AK38" s="1150"/>
      <c r="AL38" s="1151">
        <f t="shared" si="53"/>
        <v>0</v>
      </c>
      <c r="AM38" s="1152">
        <f t="shared" si="54"/>
        <v>0</v>
      </c>
      <c r="AN38" s="1153"/>
      <c r="AO38" s="1154">
        <f t="shared" si="55"/>
        <v>0</v>
      </c>
    </row>
    <row r="39" spans="1:41" s="492" customFormat="1" x14ac:dyDescent="0.2">
      <c r="A39" s="1155"/>
      <c r="B39" s="1139"/>
      <c r="C39" s="1123"/>
      <c r="D39" s="1140">
        <v>12</v>
      </c>
      <c r="E39" s="1140"/>
      <c r="F39" s="1141">
        <f t="shared" si="37"/>
        <v>0</v>
      </c>
      <c r="G39" s="1141">
        <f t="shared" si="38"/>
        <v>0</v>
      </c>
      <c r="H39" s="1142"/>
      <c r="I39" s="1143" t="e">
        <f t="shared" si="39"/>
        <v>#DIV/0!</v>
      </c>
      <c r="J39" s="1144">
        <f t="shared" si="40"/>
        <v>0</v>
      </c>
      <c r="K39" s="1145" t="e">
        <f t="shared" si="41"/>
        <v>#DIV/0!</v>
      </c>
      <c r="L39" s="1141"/>
      <c r="M39" s="1142"/>
      <c r="N39" s="1141">
        <f t="shared" si="42"/>
        <v>0</v>
      </c>
      <c r="O39" s="1143">
        <f t="shared" si="43"/>
        <v>0</v>
      </c>
      <c r="P39" s="1142"/>
      <c r="Q39" s="1142"/>
      <c r="R39" s="1142"/>
      <c r="S39" s="1142"/>
      <c r="T39" s="1141">
        <f t="shared" si="44"/>
        <v>0</v>
      </c>
      <c r="U39" s="1143"/>
      <c r="V39" s="1142"/>
      <c r="W39" s="1143">
        <f t="shared" si="45"/>
        <v>0</v>
      </c>
      <c r="X39" s="1143"/>
      <c r="Y39" s="1143">
        <f t="shared" si="46"/>
        <v>0</v>
      </c>
      <c r="Z39" s="1141">
        <f t="shared" si="47"/>
        <v>0</v>
      </c>
      <c r="AA39" s="1146">
        <f t="shared" si="48"/>
        <v>0</v>
      </c>
      <c r="AB39" s="1142"/>
      <c r="AC39" s="1142"/>
      <c r="AD39" s="1142"/>
      <c r="AE39" s="1142"/>
      <c r="AF39" s="1144">
        <f t="shared" si="49"/>
        <v>0</v>
      </c>
      <c r="AG39" s="1147"/>
      <c r="AH39" s="1148">
        <f t="shared" si="50"/>
        <v>0</v>
      </c>
      <c r="AI39" s="1148">
        <f t="shared" si="51"/>
        <v>0</v>
      </c>
      <c r="AJ39" s="1149">
        <f t="shared" si="52"/>
        <v>0</v>
      </c>
      <c r="AK39" s="1150"/>
      <c r="AL39" s="1151">
        <f t="shared" si="53"/>
        <v>0</v>
      </c>
      <c r="AM39" s="1152">
        <f t="shared" si="54"/>
        <v>0</v>
      </c>
      <c r="AN39" s="1153"/>
      <c r="AO39" s="1154">
        <f t="shared" si="55"/>
        <v>0</v>
      </c>
    </row>
    <row r="40" spans="1:41" s="492" customFormat="1" x14ac:dyDescent="0.2">
      <c r="A40" s="1155"/>
      <c r="B40" s="1139"/>
      <c r="C40" s="1123"/>
      <c r="D40" s="1140">
        <v>12</v>
      </c>
      <c r="E40" s="1140"/>
      <c r="F40" s="1141">
        <f t="shared" si="37"/>
        <v>0</v>
      </c>
      <c r="G40" s="1141">
        <f t="shared" si="38"/>
        <v>0</v>
      </c>
      <c r="H40" s="1142"/>
      <c r="I40" s="1143" t="e">
        <f t="shared" si="39"/>
        <v>#DIV/0!</v>
      </c>
      <c r="J40" s="1144">
        <f t="shared" si="40"/>
        <v>0</v>
      </c>
      <c r="K40" s="1145" t="e">
        <f t="shared" si="41"/>
        <v>#DIV/0!</v>
      </c>
      <c r="L40" s="1141"/>
      <c r="M40" s="1142"/>
      <c r="N40" s="1141">
        <f t="shared" si="42"/>
        <v>0</v>
      </c>
      <c r="O40" s="1143">
        <f t="shared" si="43"/>
        <v>0</v>
      </c>
      <c r="P40" s="1142"/>
      <c r="Q40" s="1142"/>
      <c r="R40" s="1142"/>
      <c r="S40" s="1142"/>
      <c r="T40" s="1141">
        <f t="shared" si="44"/>
        <v>0</v>
      </c>
      <c r="U40" s="1143"/>
      <c r="V40" s="1142"/>
      <c r="W40" s="1143">
        <f t="shared" si="45"/>
        <v>0</v>
      </c>
      <c r="X40" s="1143"/>
      <c r="Y40" s="1143">
        <f t="shared" si="46"/>
        <v>0</v>
      </c>
      <c r="Z40" s="1141">
        <f t="shared" si="47"/>
        <v>0</v>
      </c>
      <c r="AA40" s="1146">
        <f t="shared" si="48"/>
        <v>0</v>
      </c>
      <c r="AB40" s="1142"/>
      <c r="AC40" s="1142"/>
      <c r="AD40" s="1142"/>
      <c r="AE40" s="1142"/>
      <c r="AF40" s="1144">
        <f t="shared" si="49"/>
        <v>0</v>
      </c>
      <c r="AG40" s="1147"/>
      <c r="AH40" s="1148">
        <f t="shared" si="50"/>
        <v>0</v>
      </c>
      <c r="AI40" s="1148">
        <f t="shared" si="51"/>
        <v>0</v>
      </c>
      <c r="AJ40" s="1149">
        <f t="shared" si="52"/>
        <v>0</v>
      </c>
      <c r="AK40" s="1150"/>
      <c r="AL40" s="1151">
        <f t="shared" si="53"/>
        <v>0</v>
      </c>
      <c r="AM40" s="1152">
        <f t="shared" si="54"/>
        <v>0</v>
      </c>
      <c r="AN40" s="1153"/>
      <c r="AO40" s="1154">
        <f t="shared" si="55"/>
        <v>0</v>
      </c>
    </row>
    <row r="41" spans="1:41" s="492" customFormat="1" x14ac:dyDescent="0.2">
      <c r="A41" s="1155"/>
      <c r="B41" s="1139"/>
      <c r="C41" s="1123"/>
      <c r="D41" s="1140">
        <v>12</v>
      </c>
      <c r="E41" s="1140"/>
      <c r="F41" s="1141">
        <f t="shared" si="37"/>
        <v>0</v>
      </c>
      <c r="G41" s="1141">
        <f t="shared" si="38"/>
        <v>0</v>
      </c>
      <c r="H41" s="1142"/>
      <c r="I41" s="1143" t="e">
        <f t="shared" si="39"/>
        <v>#DIV/0!</v>
      </c>
      <c r="J41" s="1144">
        <f t="shared" si="40"/>
        <v>0</v>
      </c>
      <c r="K41" s="1145" t="e">
        <f t="shared" si="41"/>
        <v>#DIV/0!</v>
      </c>
      <c r="L41" s="1141"/>
      <c r="M41" s="1142"/>
      <c r="N41" s="1141">
        <f t="shared" si="42"/>
        <v>0</v>
      </c>
      <c r="O41" s="1143">
        <f t="shared" si="43"/>
        <v>0</v>
      </c>
      <c r="P41" s="1142"/>
      <c r="Q41" s="1142"/>
      <c r="R41" s="1142"/>
      <c r="S41" s="1142"/>
      <c r="T41" s="1141">
        <f t="shared" si="44"/>
        <v>0</v>
      </c>
      <c r="U41" s="1143"/>
      <c r="V41" s="1142"/>
      <c r="W41" s="1143">
        <f t="shared" si="45"/>
        <v>0</v>
      </c>
      <c r="X41" s="1143"/>
      <c r="Y41" s="1143">
        <f t="shared" si="46"/>
        <v>0</v>
      </c>
      <c r="Z41" s="1141">
        <f t="shared" si="47"/>
        <v>0</v>
      </c>
      <c r="AA41" s="1146">
        <f t="shared" si="48"/>
        <v>0</v>
      </c>
      <c r="AB41" s="1142"/>
      <c r="AC41" s="1142"/>
      <c r="AD41" s="1142"/>
      <c r="AE41" s="1142"/>
      <c r="AF41" s="1144">
        <f t="shared" si="49"/>
        <v>0</v>
      </c>
      <c r="AG41" s="1147"/>
      <c r="AH41" s="1148">
        <f t="shared" si="50"/>
        <v>0</v>
      </c>
      <c r="AI41" s="1148">
        <f t="shared" si="51"/>
        <v>0</v>
      </c>
      <c r="AJ41" s="1149">
        <f t="shared" si="52"/>
        <v>0</v>
      </c>
      <c r="AK41" s="1150"/>
      <c r="AL41" s="1151">
        <f t="shared" si="53"/>
        <v>0</v>
      </c>
      <c r="AM41" s="1152">
        <f t="shared" si="54"/>
        <v>0</v>
      </c>
      <c r="AN41" s="1153"/>
      <c r="AO41" s="1154">
        <f t="shared" si="55"/>
        <v>0</v>
      </c>
    </row>
    <row r="42" spans="1:41" s="492" customFormat="1" x14ac:dyDescent="0.2">
      <c r="A42" s="1155"/>
      <c r="B42" s="1139"/>
      <c r="C42" s="1123"/>
      <c r="D42" s="1140">
        <v>12</v>
      </c>
      <c r="E42" s="1140"/>
      <c r="F42" s="1141">
        <f t="shared" si="37"/>
        <v>0</v>
      </c>
      <c r="G42" s="1141">
        <f t="shared" si="38"/>
        <v>0</v>
      </c>
      <c r="H42" s="1142"/>
      <c r="I42" s="1143" t="e">
        <f t="shared" si="39"/>
        <v>#DIV/0!</v>
      </c>
      <c r="J42" s="1144">
        <f t="shared" si="40"/>
        <v>0</v>
      </c>
      <c r="K42" s="1145" t="e">
        <f t="shared" si="41"/>
        <v>#DIV/0!</v>
      </c>
      <c r="L42" s="1141"/>
      <c r="M42" s="1142"/>
      <c r="N42" s="1141">
        <f t="shared" si="42"/>
        <v>0</v>
      </c>
      <c r="O42" s="1143">
        <f t="shared" si="43"/>
        <v>0</v>
      </c>
      <c r="P42" s="1142"/>
      <c r="Q42" s="1142"/>
      <c r="R42" s="1142"/>
      <c r="S42" s="1142"/>
      <c r="T42" s="1141">
        <f t="shared" si="44"/>
        <v>0</v>
      </c>
      <c r="U42" s="1143"/>
      <c r="V42" s="1142"/>
      <c r="W42" s="1143">
        <f t="shared" si="45"/>
        <v>0</v>
      </c>
      <c r="X42" s="1143"/>
      <c r="Y42" s="1143">
        <f t="shared" si="46"/>
        <v>0</v>
      </c>
      <c r="Z42" s="1141">
        <f t="shared" si="47"/>
        <v>0</v>
      </c>
      <c r="AA42" s="1146">
        <f t="shared" si="48"/>
        <v>0</v>
      </c>
      <c r="AB42" s="1142"/>
      <c r="AC42" s="1142"/>
      <c r="AD42" s="1142"/>
      <c r="AE42" s="1142"/>
      <c r="AF42" s="1144">
        <f t="shared" si="49"/>
        <v>0</v>
      </c>
      <c r="AG42" s="1147"/>
      <c r="AH42" s="1148">
        <f t="shared" si="50"/>
        <v>0</v>
      </c>
      <c r="AI42" s="1148">
        <f t="shared" si="51"/>
        <v>0</v>
      </c>
      <c r="AJ42" s="1149">
        <f t="shared" si="52"/>
        <v>0</v>
      </c>
      <c r="AK42" s="1150"/>
      <c r="AL42" s="1151">
        <f t="shared" si="53"/>
        <v>0</v>
      </c>
      <c r="AM42" s="1152">
        <f t="shared" si="54"/>
        <v>0</v>
      </c>
      <c r="AN42" s="1153"/>
      <c r="AO42" s="1154">
        <f t="shared" si="55"/>
        <v>0</v>
      </c>
    </row>
    <row r="43" spans="1:41" s="492" customFormat="1" x14ac:dyDescent="0.2">
      <c r="A43" s="1155"/>
      <c r="B43" s="1139"/>
      <c r="C43" s="1123"/>
      <c r="D43" s="1140">
        <v>12</v>
      </c>
      <c r="E43" s="1140"/>
      <c r="F43" s="1141">
        <f t="shared" si="37"/>
        <v>0</v>
      </c>
      <c r="G43" s="1141">
        <f t="shared" si="38"/>
        <v>0</v>
      </c>
      <c r="H43" s="1142"/>
      <c r="I43" s="1143" t="e">
        <f t="shared" si="39"/>
        <v>#DIV/0!</v>
      </c>
      <c r="J43" s="1144">
        <f t="shared" si="40"/>
        <v>0</v>
      </c>
      <c r="K43" s="1145" t="e">
        <f t="shared" si="41"/>
        <v>#DIV/0!</v>
      </c>
      <c r="L43" s="1141"/>
      <c r="M43" s="1142"/>
      <c r="N43" s="1141">
        <f t="shared" si="42"/>
        <v>0</v>
      </c>
      <c r="O43" s="1143">
        <f t="shared" si="43"/>
        <v>0</v>
      </c>
      <c r="P43" s="1142"/>
      <c r="Q43" s="1142"/>
      <c r="R43" s="1142"/>
      <c r="S43" s="1142"/>
      <c r="T43" s="1141">
        <f t="shared" si="44"/>
        <v>0</v>
      </c>
      <c r="U43" s="1143"/>
      <c r="V43" s="1142"/>
      <c r="W43" s="1143">
        <f t="shared" si="45"/>
        <v>0</v>
      </c>
      <c r="X43" s="1143"/>
      <c r="Y43" s="1143">
        <f t="shared" si="46"/>
        <v>0</v>
      </c>
      <c r="Z43" s="1141">
        <f t="shared" si="47"/>
        <v>0</v>
      </c>
      <c r="AA43" s="1146">
        <f t="shared" si="48"/>
        <v>0</v>
      </c>
      <c r="AB43" s="1142"/>
      <c r="AC43" s="1142"/>
      <c r="AD43" s="1142"/>
      <c r="AE43" s="1142"/>
      <c r="AF43" s="1144">
        <f t="shared" si="49"/>
        <v>0</v>
      </c>
      <c r="AG43" s="1147"/>
      <c r="AH43" s="1148">
        <f t="shared" si="50"/>
        <v>0</v>
      </c>
      <c r="AI43" s="1148">
        <f t="shared" si="51"/>
        <v>0</v>
      </c>
      <c r="AJ43" s="1149">
        <f t="shared" si="52"/>
        <v>0</v>
      </c>
      <c r="AK43" s="1150"/>
      <c r="AL43" s="1151">
        <f t="shared" si="53"/>
        <v>0</v>
      </c>
      <c r="AM43" s="1152">
        <f t="shared" si="54"/>
        <v>0</v>
      </c>
      <c r="AN43" s="1153"/>
      <c r="AO43" s="1154">
        <f t="shared" si="55"/>
        <v>0</v>
      </c>
    </row>
    <row r="44" spans="1:41" s="492" customFormat="1" x14ac:dyDescent="0.2">
      <c r="A44" s="1155"/>
      <c r="B44" s="1139"/>
      <c r="C44" s="1123"/>
      <c r="D44" s="1140">
        <v>12</v>
      </c>
      <c r="E44" s="1140"/>
      <c r="F44" s="1141">
        <f t="shared" si="37"/>
        <v>0</v>
      </c>
      <c r="G44" s="1141">
        <f t="shared" si="38"/>
        <v>0</v>
      </c>
      <c r="H44" s="1142"/>
      <c r="I44" s="1143" t="e">
        <f t="shared" si="39"/>
        <v>#DIV/0!</v>
      </c>
      <c r="J44" s="1144">
        <f t="shared" si="40"/>
        <v>0</v>
      </c>
      <c r="K44" s="1145" t="e">
        <f t="shared" si="41"/>
        <v>#DIV/0!</v>
      </c>
      <c r="L44" s="1141"/>
      <c r="M44" s="1142"/>
      <c r="N44" s="1141">
        <f t="shared" si="42"/>
        <v>0</v>
      </c>
      <c r="O44" s="1143">
        <f t="shared" si="43"/>
        <v>0</v>
      </c>
      <c r="P44" s="1142"/>
      <c r="Q44" s="1142"/>
      <c r="R44" s="1142"/>
      <c r="S44" s="1142"/>
      <c r="T44" s="1141">
        <f t="shared" si="44"/>
        <v>0</v>
      </c>
      <c r="U44" s="1143"/>
      <c r="V44" s="1142"/>
      <c r="W44" s="1143">
        <f t="shared" si="45"/>
        <v>0</v>
      </c>
      <c r="X44" s="1143"/>
      <c r="Y44" s="1143">
        <f t="shared" si="46"/>
        <v>0</v>
      </c>
      <c r="Z44" s="1141">
        <f t="shared" si="47"/>
        <v>0</v>
      </c>
      <c r="AA44" s="1146">
        <f t="shared" si="48"/>
        <v>0</v>
      </c>
      <c r="AB44" s="1142"/>
      <c r="AC44" s="1142"/>
      <c r="AD44" s="1142"/>
      <c r="AE44" s="1142"/>
      <c r="AF44" s="1144">
        <f t="shared" si="49"/>
        <v>0</v>
      </c>
      <c r="AG44" s="1147"/>
      <c r="AH44" s="1148">
        <f t="shared" si="50"/>
        <v>0</v>
      </c>
      <c r="AI44" s="1148">
        <f t="shared" si="51"/>
        <v>0</v>
      </c>
      <c r="AJ44" s="1149">
        <f t="shared" si="52"/>
        <v>0</v>
      </c>
      <c r="AK44" s="1150"/>
      <c r="AL44" s="1151">
        <f t="shared" si="53"/>
        <v>0</v>
      </c>
      <c r="AM44" s="1152">
        <f t="shared" si="54"/>
        <v>0</v>
      </c>
      <c r="AN44" s="1153"/>
      <c r="AO44" s="1154">
        <f t="shared" si="55"/>
        <v>0</v>
      </c>
    </row>
    <row r="45" spans="1:41" s="492" customFormat="1" x14ac:dyDescent="0.2">
      <c r="A45" s="1155"/>
      <c r="B45" s="1139"/>
      <c r="C45" s="1123"/>
      <c r="D45" s="1140">
        <v>12</v>
      </c>
      <c r="E45" s="1140"/>
      <c r="F45" s="1141">
        <f t="shared" si="37"/>
        <v>0</v>
      </c>
      <c r="G45" s="1141">
        <f t="shared" si="38"/>
        <v>0</v>
      </c>
      <c r="H45" s="1142"/>
      <c r="I45" s="1143" t="e">
        <f t="shared" si="39"/>
        <v>#DIV/0!</v>
      </c>
      <c r="J45" s="1144">
        <f t="shared" si="40"/>
        <v>0</v>
      </c>
      <c r="K45" s="1145" t="e">
        <f t="shared" si="41"/>
        <v>#DIV/0!</v>
      </c>
      <c r="L45" s="1141"/>
      <c r="M45" s="1142"/>
      <c r="N45" s="1141">
        <f t="shared" si="42"/>
        <v>0</v>
      </c>
      <c r="O45" s="1143">
        <f t="shared" si="43"/>
        <v>0</v>
      </c>
      <c r="P45" s="1142"/>
      <c r="Q45" s="1142"/>
      <c r="R45" s="1142"/>
      <c r="S45" s="1142"/>
      <c r="T45" s="1141">
        <f t="shared" si="44"/>
        <v>0</v>
      </c>
      <c r="U45" s="1143"/>
      <c r="V45" s="1142"/>
      <c r="W45" s="1143">
        <f t="shared" si="45"/>
        <v>0</v>
      </c>
      <c r="X45" s="1143"/>
      <c r="Y45" s="1143">
        <f t="shared" si="46"/>
        <v>0</v>
      </c>
      <c r="Z45" s="1141">
        <f t="shared" si="47"/>
        <v>0</v>
      </c>
      <c r="AA45" s="1146">
        <f t="shared" si="48"/>
        <v>0</v>
      </c>
      <c r="AB45" s="1142"/>
      <c r="AC45" s="1142"/>
      <c r="AD45" s="1142"/>
      <c r="AE45" s="1142"/>
      <c r="AF45" s="1144">
        <f t="shared" si="49"/>
        <v>0</v>
      </c>
      <c r="AG45" s="1147"/>
      <c r="AH45" s="1148">
        <f t="shared" si="50"/>
        <v>0</v>
      </c>
      <c r="AI45" s="1148">
        <f t="shared" si="51"/>
        <v>0</v>
      </c>
      <c r="AJ45" s="1149">
        <f t="shared" si="52"/>
        <v>0</v>
      </c>
      <c r="AK45" s="1150"/>
      <c r="AL45" s="1151">
        <f t="shared" si="53"/>
        <v>0</v>
      </c>
      <c r="AM45" s="1152">
        <f t="shared" si="54"/>
        <v>0</v>
      </c>
      <c r="AN45" s="1153"/>
      <c r="AO45" s="1154">
        <f t="shared" si="55"/>
        <v>0</v>
      </c>
    </row>
    <row r="46" spans="1:41" s="492" customFormat="1" x14ac:dyDescent="0.2">
      <c r="A46" s="1155"/>
      <c r="B46" s="1139"/>
      <c r="C46" s="1123"/>
      <c r="D46" s="1140">
        <v>12</v>
      </c>
      <c r="E46" s="1140"/>
      <c r="F46" s="1141">
        <f t="shared" si="37"/>
        <v>0</v>
      </c>
      <c r="G46" s="1141">
        <f t="shared" si="38"/>
        <v>0</v>
      </c>
      <c r="H46" s="1142"/>
      <c r="I46" s="1143" t="e">
        <f t="shared" si="39"/>
        <v>#DIV/0!</v>
      </c>
      <c r="J46" s="1144">
        <f t="shared" si="40"/>
        <v>0</v>
      </c>
      <c r="K46" s="1145" t="e">
        <f t="shared" si="41"/>
        <v>#DIV/0!</v>
      </c>
      <c r="L46" s="1141"/>
      <c r="M46" s="1142"/>
      <c r="N46" s="1141">
        <f t="shared" si="42"/>
        <v>0</v>
      </c>
      <c r="O46" s="1143">
        <f t="shared" si="43"/>
        <v>0</v>
      </c>
      <c r="P46" s="1142"/>
      <c r="Q46" s="1142"/>
      <c r="R46" s="1142"/>
      <c r="S46" s="1142"/>
      <c r="T46" s="1141">
        <f t="shared" si="44"/>
        <v>0</v>
      </c>
      <c r="U46" s="1143"/>
      <c r="V46" s="1142"/>
      <c r="W46" s="1143">
        <f t="shared" si="45"/>
        <v>0</v>
      </c>
      <c r="X46" s="1143"/>
      <c r="Y46" s="1143">
        <f t="shared" si="46"/>
        <v>0</v>
      </c>
      <c r="Z46" s="1141">
        <f t="shared" si="47"/>
        <v>0</v>
      </c>
      <c r="AA46" s="1146">
        <f t="shared" si="48"/>
        <v>0</v>
      </c>
      <c r="AB46" s="1142"/>
      <c r="AC46" s="1142"/>
      <c r="AD46" s="1142"/>
      <c r="AE46" s="1142"/>
      <c r="AF46" s="1144">
        <f t="shared" si="49"/>
        <v>0</v>
      </c>
      <c r="AG46" s="1147"/>
      <c r="AH46" s="1148">
        <f t="shared" si="50"/>
        <v>0</v>
      </c>
      <c r="AI46" s="1148">
        <f t="shared" si="51"/>
        <v>0</v>
      </c>
      <c r="AJ46" s="1149">
        <f t="shared" si="52"/>
        <v>0</v>
      </c>
      <c r="AK46" s="1150"/>
      <c r="AL46" s="1151">
        <f t="shared" si="53"/>
        <v>0</v>
      </c>
      <c r="AM46" s="1152">
        <f t="shared" si="54"/>
        <v>0</v>
      </c>
      <c r="AN46" s="1153"/>
      <c r="AO46" s="1154">
        <f t="shared" si="55"/>
        <v>0</v>
      </c>
    </row>
    <row r="47" spans="1:41" s="492" customFormat="1" x14ac:dyDescent="0.2">
      <c r="A47" s="1155"/>
      <c r="B47" s="1139"/>
      <c r="C47" s="1123"/>
      <c r="D47" s="1140">
        <v>12</v>
      </c>
      <c r="E47" s="1140"/>
      <c r="F47" s="1141">
        <f t="shared" si="37"/>
        <v>0</v>
      </c>
      <c r="G47" s="1141">
        <f t="shared" si="38"/>
        <v>0</v>
      </c>
      <c r="H47" s="1142"/>
      <c r="I47" s="1143" t="e">
        <f t="shared" si="39"/>
        <v>#DIV/0!</v>
      </c>
      <c r="J47" s="1144">
        <f t="shared" si="40"/>
        <v>0</v>
      </c>
      <c r="K47" s="1145" t="e">
        <f t="shared" si="41"/>
        <v>#DIV/0!</v>
      </c>
      <c r="L47" s="1141"/>
      <c r="M47" s="1142"/>
      <c r="N47" s="1141">
        <f t="shared" si="42"/>
        <v>0</v>
      </c>
      <c r="O47" s="1143">
        <f t="shared" si="43"/>
        <v>0</v>
      </c>
      <c r="P47" s="1142"/>
      <c r="Q47" s="1142"/>
      <c r="R47" s="1142"/>
      <c r="S47" s="1142"/>
      <c r="T47" s="1141">
        <f t="shared" si="44"/>
        <v>0</v>
      </c>
      <c r="U47" s="1143"/>
      <c r="V47" s="1142"/>
      <c r="W47" s="1143">
        <f t="shared" si="45"/>
        <v>0</v>
      </c>
      <c r="X47" s="1143"/>
      <c r="Y47" s="1143">
        <f t="shared" si="46"/>
        <v>0</v>
      </c>
      <c r="Z47" s="1141">
        <f t="shared" si="47"/>
        <v>0</v>
      </c>
      <c r="AA47" s="1146">
        <f t="shared" si="48"/>
        <v>0</v>
      </c>
      <c r="AB47" s="1142"/>
      <c r="AC47" s="1142"/>
      <c r="AD47" s="1142"/>
      <c r="AE47" s="1142"/>
      <c r="AF47" s="1144">
        <f t="shared" si="49"/>
        <v>0</v>
      </c>
      <c r="AG47" s="1147"/>
      <c r="AH47" s="1148">
        <f t="shared" si="50"/>
        <v>0</v>
      </c>
      <c r="AI47" s="1148">
        <f t="shared" si="51"/>
        <v>0</v>
      </c>
      <c r="AJ47" s="1149">
        <f t="shared" si="52"/>
        <v>0</v>
      </c>
      <c r="AK47" s="1150"/>
      <c r="AL47" s="1151">
        <f t="shared" si="53"/>
        <v>0</v>
      </c>
      <c r="AM47" s="1152">
        <f t="shared" si="54"/>
        <v>0</v>
      </c>
      <c r="AN47" s="1153"/>
      <c r="AO47" s="1154">
        <f t="shared" si="55"/>
        <v>0</v>
      </c>
    </row>
    <row r="48" spans="1:41" s="492" customFormat="1" x14ac:dyDescent="0.2">
      <c r="A48" s="1155"/>
      <c r="B48" s="1139"/>
      <c r="C48" s="1123"/>
      <c r="D48" s="1140">
        <v>12</v>
      </c>
      <c r="E48" s="1140"/>
      <c r="F48" s="1141">
        <f t="shared" si="37"/>
        <v>0</v>
      </c>
      <c r="G48" s="1141">
        <f t="shared" si="38"/>
        <v>0</v>
      </c>
      <c r="H48" s="1142"/>
      <c r="I48" s="1143" t="e">
        <f t="shared" si="39"/>
        <v>#DIV/0!</v>
      </c>
      <c r="J48" s="1144">
        <f t="shared" si="40"/>
        <v>0</v>
      </c>
      <c r="K48" s="1145" t="e">
        <f t="shared" si="41"/>
        <v>#DIV/0!</v>
      </c>
      <c r="L48" s="1141"/>
      <c r="M48" s="1142"/>
      <c r="N48" s="1141">
        <f t="shared" si="42"/>
        <v>0</v>
      </c>
      <c r="O48" s="1143">
        <f t="shared" si="43"/>
        <v>0</v>
      </c>
      <c r="P48" s="1142"/>
      <c r="Q48" s="1142"/>
      <c r="R48" s="1142"/>
      <c r="S48" s="1142"/>
      <c r="T48" s="1141">
        <f t="shared" si="44"/>
        <v>0</v>
      </c>
      <c r="U48" s="1143"/>
      <c r="V48" s="1142"/>
      <c r="W48" s="1143">
        <f t="shared" si="45"/>
        <v>0</v>
      </c>
      <c r="X48" s="1143"/>
      <c r="Y48" s="1143">
        <f t="shared" si="46"/>
        <v>0</v>
      </c>
      <c r="Z48" s="1141">
        <f t="shared" si="47"/>
        <v>0</v>
      </c>
      <c r="AA48" s="1146">
        <f t="shared" si="48"/>
        <v>0</v>
      </c>
      <c r="AB48" s="1142"/>
      <c r="AC48" s="1142"/>
      <c r="AD48" s="1142"/>
      <c r="AE48" s="1142"/>
      <c r="AF48" s="1144">
        <f t="shared" si="49"/>
        <v>0</v>
      </c>
      <c r="AG48" s="1147"/>
      <c r="AH48" s="1148">
        <f t="shared" si="50"/>
        <v>0</v>
      </c>
      <c r="AI48" s="1148">
        <f t="shared" si="51"/>
        <v>0</v>
      </c>
      <c r="AJ48" s="1149">
        <f t="shared" si="52"/>
        <v>0</v>
      </c>
      <c r="AK48" s="1150"/>
      <c r="AL48" s="1151">
        <f t="shared" si="53"/>
        <v>0</v>
      </c>
      <c r="AM48" s="1152">
        <f t="shared" si="54"/>
        <v>0</v>
      </c>
      <c r="AN48" s="1153"/>
      <c r="AO48" s="1154">
        <f t="shared" si="55"/>
        <v>0</v>
      </c>
    </row>
    <row r="49" spans="1:41" s="492" customFormat="1" x14ac:dyDescent="0.2">
      <c r="A49" s="1155"/>
      <c r="B49" s="1139"/>
      <c r="C49" s="1123"/>
      <c r="D49" s="1140">
        <v>12</v>
      </c>
      <c r="E49" s="1140"/>
      <c r="F49" s="1141">
        <f t="shared" si="37"/>
        <v>0</v>
      </c>
      <c r="G49" s="1141">
        <f t="shared" si="38"/>
        <v>0</v>
      </c>
      <c r="H49" s="1142"/>
      <c r="I49" s="1143" t="e">
        <f t="shared" si="39"/>
        <v>#DIV/0!</v>
      </c>
      <c r="J49" s="1144">
        <f t="shared" si="40"/>
        <v>0</v>
      </c>
      <c r="K49" s="1145" t="e">
        <f t="shared" si="41"/>
        <v>#DIV/0!</v>
      </c>
      <c r="L49" s="1141"/>
      <c r="M49" s="1142"/>
      <c r="N49" s="1141">
        <f t="shared" si="42"/>
        <v>0</v>
      </c>
      <c r="O49" s="1143">
        <f t="shared" si="43"/>
        <v>0</v>
      </c>
      <c r="P49" s="1142"/>
      <c r="Q49" s="1142"/>
      <c r="R49" s="1142"/>
      <c r="S49" s="1142"/>
      <c r="T49" s="1141">
        <f t="shared" si="44"/>
        <v>0</v>
      </c>
      <c r="U49" s="1143"/>
      <c r="V49" s="1142"/>
      <c r="W49" s="1143">
        <f t="shared" si="45"/>
        <v>0</v>
      </c>
      <c r="X49" s="1143"/>
      <c r="Y49" s="1143">
        <f t="shared" si="46"/>
        <v>0</v>
      </c>
      <c r="Z49" s="1141">
        <f t="shared" si="47"/>
        <v>0</v>
      </c>
      <c r="AA49" s="1146">
        <f t="shared" si="48"/>
        <v>0</v>
      </c>
      <c r="AB49" s="1142"/>
      <c r="AC49" s="1142"/>
      <c r="AD49" s="1142"/>
      <c r="AE49" s="1142"/>
      <c r="AF49" s="1144">
        <f t="shared" si="49"/>
        <v>0</v>
      </c>
      <c r="AG49" s="1147"/>
      <c r="AH49" s="1148">
        <f t="shared" si="50"/>
        <v>0</v>
      </c>
      <c r="AI49" s="1148">
        <f t="shared" si="51"/>
        <v>0</v>
      </c>
      <c r="AJ49" s="1149">
        <f t="shared" si="52"/>
        <v>0</v>
      </c>
      <c r="AK49" s="1150"/>
      <c r="AL49" s="1151">
        <f t="shared" si="53"/>
        <v>0</v>
      </c>
      <c r="AM49" s="1152">
        <f t="shared" si="54"/>
        <v>0</v>
      </c>
      <c r="AN49" s="1153"/>
      <c r="AO49" s="1154">
        <f t="shared" si="55"/>
        <v>0</v>
      </c>
    </row>
    <row r="50" spans="1:41" s="492" customFormat="1" x14ac:dyDescent="0.2">
      <c r="A50" s="1155"/>
      <c r="B50" s="1139"/>
      <c r="C50" s="1123"/>
      <c r="D50" s="1140">
        <v>12</v>
      </c>
      <c r="E50" s="1140"/>
      <c r="F50" s="1141">
        <f t="shared" si="37"/>
        <v>0</v>
      </c>
      <c r="G50" s="1141">
        <f t="shared" si="38"/>
        <v>0</v>
      </c>
      <c r="H50" s="1142"/>
      <c r="I50" s="1143" t="e">
        <f t="shared" si="39"/>
        <v>#DIV/0!</v>
      </c>
      <c r="J50" s="1144">
        <f t="shared" si="40"/>
        <v>0</v>
      </c>
      <c r="K50" s="1145" t="e">
        <f t="shared" si="41"/>
        <v>#DIV/0!</v>
      </c>
      <c r="L50" s="1141"/>
      <c r="M50" s="1142"/>
      <c r="N50" s="1141">
        <f t="shared" si="42"/>
        <v>0</v>
      </c>
      <c r="O50" s="1143">
        <f t="shared" si="43"/>
        <v>0</v>
      </c>
      <c r="P50" s="1142"/>
      <c r="Q50" s="1142"/>
      <c r="R50" s="1142"/>
      <c r="S50" s="1142"/>
      <c r="T50" s="1141">
        <f t="shared" si="44"/>
        <v>0</v>
      </c>
      <c r="U50" s="1143"/>
      <c r="V50" s="1142"/>
      <c r="W50" s="1143">
        <f t="shared" si="45"/>
        <v>0</v>
      </c>
      <c r="X50" s="1143"/>
      <c r="Y50" s="1143">
        <f t="shared" si="46"/>
        <v>0</v>
      </c>
      <c r="Z50" s="1141">
        <f t="shared" si="47"/>
        <v>0</v>
      </c>
      <c r="AA50" s="1146">
        <f t="shared" si="48"/>
        <v>0</v>
      </c>
      <c r="AB50" s="1142"/>
      <c r="AC50" s="1142"/>
      <c r="AD50" s="1142"/>
      <c r="AE50" s="1142"/>
      <c r="AF50" s="1144">
        <f t="shared" si="49"/>
        <v>0</v>
      </c>
      <c r="AG50" s="1147"/>
      <c r="AH50" s="1148">
        <f t="shared" si="50"/>
        <v>0</v>
      </c>
      <c r="AI50" s="1148">
        <f t="shared" si="51"/>
        <v>0</v>
      </c>
      <c r="AJ50" s="1149">
        <f t="shared" si="52"/>
        <v>0</v>
      </c>
      <c r="AK50" s="1150"/>
      <c r="AL50" s="1151">
        <f t="shared" si="53"/>
        <v>0</v>
      </c>
      <c r="AM50" s="1152">
        <f t="shared" si="54"/>
        <v>0</v>
      </c>
      <c r="AN50" s="1153"/>
      <c r="AO50" s="1154">
        <f t="shared" si="55"/>
        <v>0</v>
      </c>
    </row>
    <row r="51" spans="1:41" s="492" customFormat="1" x14ac:dyDescent="0.2">
      <c r="A51" s="1155"/>
      <c r="B51" s="1139"/>
      <c r="C51" s="1123"/>
      <c r="D51" s="1140">
        <v>12</v>
      </c>
      <c r="E51" s="1140"/>
      <c r="F51" s="1141">
        <f t="shared" si="37"/>
        <v>0</v>
      </c>
      <c r="G51" s="1141">
        <f t="shared" si="38"/>
        <v>0</v>
      </c>
      <c r="H51" s="1142"/>
      <c r="I51" s="1143" t="e">
        <f t="shared" si="39"/>
        <v>#DIV/0!</v>
      </c>
      <c r="J51" s="1144">
        <f t="shared" si="40"/>
        <v>0</v>
      </c>
      <c r="K51" s="1145" t="e">
        <f t="shared" si="41"/>
        <v>#DIV/0!</v>
      </c>
      <c r="L51" s="1141"/>
      <c r="M51" s="1142"/>
      <c r="N51" s="1141">
        <f t="shared" si="42"/>
        <v>0</v>
      </c>
      <c r="O51" s="1143">
        <f t="shared" si="43"/>
        <v>0</v>
      </c>
      <c r="P51" s="1142"/>
      <c r="Q51" s="1142"/>
      <c r="R51" s="1142"/>
      <c r="S51" s="1142"/>
      <c r="T51" s="1141">
        <f t="shared" si="44"/>
        <v>0</v>
      </c>
      <c r="U51" s="1143"/>
      <c r="V51" s="1142"/>
      <c r="W51" s="1143">
        <f t="shared" si="45"/>
        <v>0</v>
      </c>
      <c r="X51" s="1143"/>
      <c r="Y51" s="1143">
        <f t="shared" si="46"/>
        <v>0</v>
      </c>
      <c r="Z51" s="1141">
        <f t="shared" si="47"/>
        <v>0</v>
      </c>
      <c r="AA51" s="1146">
        <f t="shared" si="48"/>
        <v>0</v>
      </c>
      <c r="AB51" s="1142"/>
      <c r="AC51" s="1142"/>
      <c r="AD51" s="1142"/>
      <c r="AE51" s="1142"/>
      <c r="AF51" s="1144">
        <f t="shared" si="49"/>
        <v>0</v>
      </c>
      <c r="AG51" s="1147"/>
      <c r="AH51" s="1148">
        <f t="shared" si="50"/>
        <v>0</v>
      </c>
      <c r="AI51" s="1148">
        <f t="shared" si="51"/>
        <v>0</v>
      </c>
      <c r="AJ51" s="1149">
        <f t="shared" si="52"/>
        <v>0</v>
      </c>
      <c r="AK51" s="1150"/>
      <c r="AL51" s="1151">
        <f t="shared" si="53"/>
        <v>0</v>
      </c>
      <c r="AM51" s="1152">
        <f t="shared" si="54"/>
        <v>0</v>
      </c>
      <c r="AN51" s="1153"/>
      <c r="AO51" s="1154">
        <f t="shared" si="55"/>
        <v>0</v>
      </c>
    </row>
    <row r="52" spans="1:41" s="492" customFormat="1" x14ac:dyDescent="0.2">
      <c r="A52" s="1155"/>
      <c r="B52" s="1139"/>
      <c r="C52" s="1123"/>
      <c r="D52" s="1140">
        <v>12</v>
      </c>
      <c r="E52" s="1140"/>
      <c r="F52" s="1141">
        <f t="shared" si="37"/>
        <v>0</v>
      </c>
      <c r="G52" s="1141">
        <f t="shared" si="38"/>
        <v>0</v>
      </c>
      <c r="H52" s="1142"/>
      <c r="I52" s="1143" t="e">
        <f t="shared" si="39"/>
        <v>#DIV/0!</v>
      </c>
      <c r="J52" s="1144">
        <f t="shared" si="40"/>
        <v>0</v>
      </c>
      <c r="K52" s="1145" t="e">
        <f t="shared" si="41"/>
        <v>#DIV/0!</v>
      </c>
      <c r="L52" s="1141"/>
      <c r="M52" s="1142"/>
      <c r="N52" s="1141">
        <f t="shared" si="42"/>
        <v>0</v>
      </c>
      <c r="O52" s="1143">
        <f t="shared" si="43"/>
        <v>0</v>
      </c>
      <c r="P52" s="1142"/>
      <c r="Q52" s="1142"/>
      <c r="R52" s="1142"/>
      <c r="S52" s="1142"/>
      <c r="T52" s="1141">
        <f t="shared" si="44"/>
        <v>0</v>
      </c>
      <c r="U52" s="1143"/>
      <c r="V52" s="1142"/>
      <c r="W52" s="1143">
        <f t="shared" si="45"/>
        <v>0</v>
      </c>
      <c r="X52" s="1143"/>
      <c r="Y52" s="1143">
        <f t="shared" si="46"/>
        <v>0</v>
      </c>
      <c r="Z52" s="1141">
        <f t="shared" si="47"/>
        <v>0</v>
      </c>
      <c r="AA52" s="1146">
        <f t="shared" si="48"/>
        <v>0</v>
      </c>
      <c r="AB52" s="1142"/>
      <c r="AC52" s="1142"/>
      <c r="AD52" s="1142"/>
      <c r="AE52" s="1142"/>
      <c r="AF52" s="1144">
        <f t="shared" si="49"/>
        <v>0</v>
      </c>
      <c r="AG52" s="1147"/>
      <c r="AH52" s="1148">
        <f t="shared" si="50"/>
        <v>0</v>
      </c>
      <c r="AI52" s="1148">
        <f t="shared" si="51"/>
        <v>0</v>
      </c>
      <c r="AJ52" s="1149">
        <f t="shared" si="52"/>
        <v>0</v>
      </c>
      <c r="AK52" s="1150"/>
      <c r="AL52" s="1151">
        <f t="shared" si="53"/>
        <v>0</v>
      </c>
      <c r="AM52" s="1152">
        <f t="shared" si="54"/>
        <v>0</v>
      </c>
      <c r="AN52" s="1153"/>
      <c r="AO52" s="1154">
        <f t="shared" si="55"/>
        <v>0</v>
      </c>
    </row>
    <row r="53" spans="1:41" s="492" customFormat="1" x14ac:dyDescent="0.2">
      <c r="A53" s="1155"/>
      <c r="B53" s="1139"/>
      <c r="C53" s="1123"/>
      <c r="D53" s="1140">
        <v>12</v>
      </c>
      <c r="E53" s="1140"/>
      <c r="F53" s="1141">
        <f t="shared" si="37"/>
        <v>0</v>
      </c>
      <c r="G53" s="1141">
        <f t="shared" si="38"/>
        <v>0</v>
      </c>
      <c r="H53" s="1142"/>
      <c r="I53" s="1143" t="e">
        <f t="shared" si="39"/>
        <v>#DIV/0!</v>
      </c>
      <c r="J53" s="1144">
        <f t="shared" si="40"/>
        <v>0</v>
      </c>
      <c r="K53" s="1145" t="e">
        <f t="shared" si="41"/>
        <v>#DIV/0!</v>
      </c>
      <c r="L53" s="1141"/>
      <c r="M53" s="1142"/>
      <c r="N53" s="1141">
        <f t="shared" si="42"/>
        <v>0</v>
      </c>
      <c r="O53" s="1143">
        <f t="shared" si="43"/>
        <v>0</v>
      </c>
      <c r="P53" s="1142"/>
      <c r="Q53" s="1142"/>
      <c r="R53" s="1142"/>
      <c r="S53" s="1142"/>
      <c r="T53" s="1141">
        <f t="shared" si="44"/>
        <v>0</v>
      </c>
      <c r="U53" s="1143"/>
      <c r="V53" s="1142"/>
      <c r="W53" s="1143">
        <f t="shared" si="45"/>
        <v>0</v>
      </c>
      <c r="X53" s="1143"/>
      <c r="Y53" s="1143">
        <f t="shared" si="46"/>
        <v>0</v>
      </c>
      <c r="Z53" s="1141">
        <f t="shared" si="47"/>
        <v>0</v>
      </c>
      <c r="AA53" s="1146">
        <f t="shared" si="48"/>
        <v>0</v>
      </c>
      <c r="AB53" s="1142"/>
      <c r="AC53" s="1142"/>
      <c r="AD53" s="1142"/>
      <c r="AE53" s="1142"/>
      <c r="AF53" s="1144">
        <f t="shared" si="49"/>
        <v>0</v>
      </c>
      <c r="AG53" s="1147"/>
      <c r="AH53" s="1148">
        <f t="shared" si="50"/>
        <v>0</v>
      </c>
      <c r="AI53" s="1148">
        <f t="shared" si="51"/>
        <v>0</v>
      </c>
      <c r="AJ53" s="1149">
        <f t="shared" si="52"/>
        <v>0</v>
      </c>
      <c r="AK53" s="1150"/>
      <c r="AL53" s="1151">
        <f t="shared" si="53"/>
        <v>0</v>
      </c>
      <c r="AM53" s="1152">
        <f t="shared" si="54"/>
        <v>0</v>
      </c>
      <c r="AN53" s="1153"/>
      <c r="AO53" s="1154">
        <f t="shared" si="55"/>
        <v>0</v>
      </c>
    </row>
    <row r="54" spans="1:41" s="492" customFormat="1" x14ac:dyDescent="0.2">
      <c r="A54" s="1155"/>
      <c r="B54" s="1139"/>
      <c r="C54" s="1123"/>
      <c r="D54" s="1140">
        <v>12</v>
      </c>
      <c r="E54" s="1140"/>
      <c r="F54" s="1141">
        <f t="shared" si="37"/>
        <v>0</v>
      </c>
      <c r="G54" s="1141">
        <f t="shared" si="38"/>
        <v>0</v>
      </c>
      <c r="H54" s="1142"/>
      <c r="I54" s="1143" t="e">
        <f t="shared" si="39"/>
        <v>#DIV/0!</v>
      </c>
      <c r="J54" s="1144">
        <f t="shared" si="40"/>
        <v>0</v>
      </c>
      <c r="K54" s="1145" t="e">
        <f t="shared" si="41"/>
        <v>#DIV/0!</v>
      </c>
      <c r="L54" s="1141"/>
      <c r="M54" s="1142"/>
      <c r="N54" s="1141">
        <f t="shared" si="42"/>
        <v>0</v>
      </c>
      <c r="O54" s="1143">
        <f t="shared" si="43"/>
        <v>0</v>
      </c>
      <c r="P54" s="1142"/>
      <c r="Q54" s="1142"/>
      <c r="R54" s="1142"/>
      <c r="S54" s="1142"/>
      <c r="T54" s="1141">
        <f t="shared" si="44"/>
        <v>0</v>
      </c>
      <c r="U54" s="1143"/>
      <c r="V54" s="1142"/>
      <c r="W54" s="1143">
        <f t="shared" si="45"/>
        <v>0</v>
      </c>
      <c r="X54" s="1143"/>
      <c r="Y54" s="1143">
        <f t="shared" si="46"/>
        <v>0</v>
      </c>
      <c r="Z54" s="1141">
        <f t="shared" si="47"/>
        <v>0</v>
      </c>
      <c r="AA54" s="1146">
        <f t="shared" si="48"/>
        <v>0</v>
      </c>
      <c r="AB54" s="1142"/>
      <c r="AC54" s="1142"/>
      <c r="AD54" s="1142"/>
      <c r="AE54" s="1142"/>
      <c r="AF54" s="1144">
        <f t="shared" si="49"/>
        <v>0</v>
      </c>
      <c r="AG54" s="1147"/>
      <c r="AH54" s="1148">
        <f t="shared" si="50"/>
        <v>0</v>
      </c>
      <c r="AI54" s="1148">
        <f t="shared" si="51"/>
        <v>0</v>
      </c>
      <c r="AJ54" s="1149">
        <f t="shared" si="52"/>
        <v>0</v>
      </c>
      <c r="AK54" s="1150"/>
      <c r="AL54" s="1151">
        <f t="shared" si="53"/>
        <v>0</v>
      </c>
      <c r="AM54" s="1152">
        <f t="shared" si="54"/>
        <v>0</v>
      </c>
      <c r="AN54" s="1153"/>
      <c r="AO54" s="1154">
        <f t="shared" si="55"/>
        <v>0</v>
      </c>
    </row>
    <row r="55" spans="1:41" s="492" customFormat="1" x14ac:dyDescent="0.2">
      <c r="A55" s="1155"/>
      <c r="B55" s="1139"/>
      <c r="C55" s="1123"/>
      <c r="D55" s="1140">
        <v>12</v>
      </c>
      <c r="E55" s="1140"/>
      <c r="F55" s="1141">
        <f t="shared" si="37"/>
        <v>0</v>
      </c>
      <c r="G55" s="1141">
        <f t="shared" si="38"/>
        <v>0</v>
      </c>
      <c r="H55" s="1142"/>
      <c r="I55" s="1143" t="e">
        <f t="shared" si="39"/>
        <v>#DIV/0!</v>
      </c>
      <c r="J55" s="1144">
        <f t="shared" si="40"/>
        <v>0</v>
      </c>
      <c r="K55" s="1145" t="e">
        <f t="shared" si="41"/>
        <v>#DIV/0!</v>
      </c>
      <c r="L55" s="1141"/>
      <c r="M55" s="1142"/>
      <c r="N55" s="1141">
        <f t="shared" si="42"/>
        <v>0</v>
      </c>
      <c r="O55" s="1143">
        <f t="shared" si="43"/>
        <v>0</v>
      </c>
      <c r="P55" s="1142"/>
      <c r="Q55" s="1142"/>
      <c r="R55" s="1142"/>
      <c r="S55" s="1142"/>
      <c r="T55" s="1141">
        <f t="shared" si="44"/>
        <v>0</v>
      </c>
      <c r="U55" s="1143"/>
      <c r="V55" s="1142"/>
      <c r="W55" s="1143">
        <f t="shared" si="45"/>
        <v>0</v>
      </c>
      <c r="X55" s="1143"/>
      <c r="Y55" s="1143">
        <f t="shared" si="46"/>
        <v>0</v>
      </c>
      <c r="Z55" s="1141">
        <f t="shared" si="47"/>
        <v>0</v>
      </c>
      <c r="AA55" s="1146">
        <f t="shared" si="48"/>
        <v>0</v>
      </c>
      <c r="AB55" s="1142"/>
      <c r="AC55" s="1142"/>
      <c r="AD55" s="1142"/>
      <c r="AE55" s="1142"/>
      <c r="AF55" s="1144">
        <f t="shared" si="49"/>
        <v>0</v>
      </c>
      <c r="AG55" s="1147"/>
      <c r="AH55" s="1148">
        <f t="shared" si="50"/>
        <v>0</v>
      </c>
      <c r="AI55" s="1148">
        <f t="shared" si="51"/>
        <v>0</v>
      </c>
      <c r="AJ55" s="1149">
        <f t="shared" si="52"/>
        <v>0</v>
      </c>
      <c r="AK55" s="1150"/>
      <c r="AL55" s="1151">
        <f t="shared" si="53"/>
        <v>0</v>
      </c>
      <c r="AM55" s="1152">
        <f t="shared" si="54"/>
        <v>0</v>
      </c>
      <c r="AN55" s="1153"/>
      <c r="AO55" s="1154">
        <f t="shared" si="55"/>
        <v>0</v>
      </c>
    </row>
    <row r="56" spans="1:41" s="492" customFormat="1" x14ac:dyDescent="0.2">
      <c r="A56" s="1155"/>
      <c r="B56" s="1139"/>
      <c r="C56" s="1123"/>
      <c r="D56" s="1140">
        <v>12</v>
      </c>
      <c r="E56" s="1140"/>
      <c r="F56" s="1141">
        <f t="shared" si="37"/>
        <v>0</v>
      </c>
      <c r="G56" s="1141">
        <f t="shared" si="38"/>
        <v>0</v>
      </c>
      <c r="H56" s="1142"/>
      <c r="I56" s="1143" t="e">
        <f t="shared" si="39"/>
        <v>#DIV/0!</v>
      </c>
      <c r="J56" s="1144">
        <f t="shared" si="40"/>
        <v>0</v>
      </c>
      <c r="K56" s="1145" t="e">
        <f t="shared" si="41"/>
        <v>#DIV/0!</v>
      </c>
      <c r="L56" s="1141"/>
      <c r="M56" s="1142"/>
      <c r="N56" s="1141">
        <f t="shared" si="42"/>
        <v>0</v>
      </c>
      <c r="O56" s="1143">
        <f t="shared" si="43"/>
        <v>0</v>
      </c>
      <c r="P56" s="1142"/>
      <c r="Q56" s="1142"/>
      <c r="R56" s="1142"/>
      <c r="S56" s="1142"/>
      <c r="T56" s="1141">
        <f t="shared" si="44"/>
        <v>0</v>
      </c>
      <c r="U56" s="1143"/>
      <c r="V56" s="1142"/>
      <c r="W56" s="1143">
        <f t="shared" si="45"/>
        <v>0</v>
      </c>
      <c r="X56" s="1143"/>
      <c r="Y56" s="1143">
        <f t="shared" si="46"/>
        <v>0</v>
      </c>
      <c r="Z56" s="1141">
        <f t="shared" si="47"/>
        <v>0</v>
      </c>
      <c r="AA56" s="1146">
        <f t="shared" si="48"/>
        <v>0</v>
      </c>
      <c r="AB56" s="1142"/>
      <c r="AC56" s="1142"/>
      <c r="AD56" s="1142"/>
      <c r="AE56" s="1142"/>
      <c r="AF56" s="1144">
        <f t="shared" si="49"/>
        <v>0</v>
      </c>
      <c r="AG56" s="1147"/>
      <c r="AH56" s="1148">
        <f t="shared" si="50"/>
        <v>0</v>
      </c>
      <c r="AI56" s="1148">
        <f t="shared" si="51"/>
        <v>0</v>
      </c>
      <c r="AJ56" s="1149">
        <f t="shared" si="52"/>
        <v>0</v>
      </c>
      <c r="AK56" s="1150"/>
      <c r="AL56" s="1151">
        <f t="shared" si="53"/>
        <v>0</v>
      </c>
      <c r="AM56" s="1152">
        <f t="shared" si="54"/>
        <v>0</v>
      </c>
      <c r="AN56" s="1153"/>
      <c r="AO56" s="1154">
        <f t="shared" si="55"/>
        <v>0</v>
      </c>
    </row>
    <row r="57" spans="1:41" s="492" customFormat="1" x14ac:dyDescent="0.2">
      <c r="A57" s="1155"/>
      <c r="B57" s="1139"/>
      <c r="C57" s="1123"/>
      <c r="D57" s="1140">
        <v>12</v>
      </c>
      <c r="E57" s="1140"/>
      <c r="F57" s="1141">
        <f t="shared" si="37"/>
        <v>0</v>
      </c>
      <c r="G57" s="1141">
        <f t="shared" si="38"/>
        <v>0</v>
      </c>
      <c r="H57" s="1142"/>
      <c r="I57" s="1143" t="e">
        <f t="shared" si="39"/>
        <v>#DIV/0!</v>
      </c>
      <c r="J57" s="1144">
        <f t="shared" si="40"/>
        <v>0</v>
      </c>
      <c r="K57" s="1145" t="e">
        <f t="shared" si="41"/>
        <v>#DIV/0!</v>
      </c>
      <c r="L57" s="1141"/>
      <c r="M57" s="1142"/>
      <c r="N57" s="1141">
        <f t="shared" si="42"/>
        <v>0</v>
      </c>
      <c r="O57" s="1143">
        <f t="shared" si="43"/>
        <v>0</v>
      </c>
      <c r="P57" s="1142"/>
      <c r="Q57" s="1142"/>
      <c r="R57" s="1142"/>
      <c r="S57" s="1142"/>
      <c r="T57" s="1141">
        <f t="shared" si="44"/>
        <v>0</v>
      </c>
      <c r="U57" s="1143"/>
      <c r="V57" s="1142"/>
      <c r="W57" s="1143">
        <f t="shared" si="45"/>
        <v>0</v>
      </c>
      <c r="X57" s="1143"/>
      <c r="Y57" s="1143">
        <f t="shared" si="46"/>
        <v>0</v>
      </c>
      <c r="Z57" s="1141">
        <f t="shared" si="47"/>
        <v>0</v>
      </c>
      <c r="AA57" s="1146">
        <f t="shared" si="48"/>
        <v>0</v>
      </c>
      <c r="AB57" s="1142"/>
      <c r="AC57" s="1142"/>
      <c r="AD57" s="1142"/>
      <c r="AE57" s="1142"/>
      <c r="AF57" s="1144">
        <f t="shared" si="49"/>
        <v>0</v>
      </c>
      <c r="AG57" s="1147"/>
      <c r="AH57" s="1148">
        <f t="shared" si="50"/>
        <v>0</v>
      </c>
      <c r="AI57" s="1148">
        <f t="shared" si="51"/>
        <v>0</v>
      </c>
      <c r="AJ57" s="1149">
        <f t="shared" si="52"/>
        <v>0</v>
      </c>
      <c r="AK57" s="1150"/>
      <c r="AL57" s="1151">
        <f t="shared" si="53"/>
        <v>0</v>
      </c>
      <c r="AM57" s="1152">
        <f t="shared" si="54"/>
        <v>0</v>
      </c>
      <c r="AN57" s="1153"/>
      <c r="AO57" s="1154">
        <f t="shared" si="55"/>
        <v>0</v>
      </c>
    </row>
    <row r="58" spans="1:41" s="492" customFormat="1" x14ac:dyDescent="0.2">
      <c r="A58" s="1155"/>
      <c r="B58" s="1139"/>
      <c r="C58" s="1123"/>
      <c r="D58" s="1140">
        <v>12</v>
      </c>
      <c r="E58" s="1140"/>
      <c r="F58" s="1141">
        <f t="shared" si="37"/>
        <v>0</v>
      </c>
      <c r="G58" s="1141">
        <f t="shared" si="38"/>
        <v>0</v>
      </c>
      <c r="H58" s="1142"/>
      <c r="I58" s="1143" t="e">
        <f t="shared" si="39"/>
        <v>#DIV/0!</v>
      </c>
      <c r="J58" s="1144">
        <f t="shared" si="40"/>
        <v>0</v>
      </c>
      <c r="K58" s="1145" t="e">
        <f t="shared" si="41"/>
        <v>#DIV/0!</v>
      </c>
      <c r="L58" s="1141"/>
      <c r="M58" s="1142"/>
      <c r="N58" s="1141">
        <f t="shared" si="42"/>
        <v>0</v>
      </c>
      <c r="O58" s="1143">
        <f t="shared" si="43"/>
        <v>0</v>
      </c>
      <c r="P58" s="1142"/>
      <c r="Q58" s="1142"/>
      <c r="R58" s="1142"/>
      <c r="S58" s="1142"/>
      <c r="T58" s="1141">
        <f t="shared" si="44"/>
        <v>0</v>
      </c>
      <c r="U58" s="1143"/>
      <c r="V58" s="1142"/>
      <c r="W58" s="1143">
        <f t="shared" si="45"/>
        <v>0</v>
      </c>
      <c r="X58" s="1143"/>
      <c r="Y58" s="1143">
        <f t="shared" si="46"/>
        <v>0</v>
      </c>
      <c r="Z58" s="1141">
        <f t="shared" si="47"/>
        <v>0</v>
      </c>
      <c r="AA58" s="1146">
        <f t="shared" si="48"/>
        <v>0</v>
      </c>
      <c r="AB58" s="1142"/>
      <c r="AC58" s="1142"/>
      <c r="AD58" s="1142"/>
      <c r="AE58" s="1142"/>
      <c r="AF58" s="1144">
        <f t="shared" si="49"/>
        <v>0</v>
      </c>
      <c r="AG58" s="1147"/>
      <c r="AH58" s="1148">
        <f t="shared" si="50"/>
        <v>0</v>
      </c>
      <c r="AI58" s="1148">
        <f t="shared" si="51"/>
        <v>0</v>
      </c>
      <c r="AJ58" s="1149">
        <f t="shared" si="52"/>
        <v>0</v>
      </c>
      <c r="AK58" s="1150"/>
      <c r="AL58" s="1151">
        <f t="shared" si="53"/>
        <v>0</v>
      </c>
      <c r="AM58" s="1152">
        <f t="shared" si="54"/>
        <v>0</v>
      </c>
      <c r="AN58" s="1153"/>
      <c r="AO58" s="1154">
        <f t="shared" si="55"/>
        <v>0</v>
      </c>
    </row>
    <row r="59" spans="1:41" s="492" customFormat="1" x14ac:dyDescent="0.2">
      <c r="A59" s="1155"/>
      <c r="B59" s="1139"/>
      <c r="C59" s="1123"/>
      <c r="D59" s="1140">
        <v>12</v>
      </c>
      <c r="E59" s="1140"/>
      <c r="F59" s="1141">
        <f t="shared" si="37"/>
        <v>0</v>
      </c>
      <c r="G59" s="1141">
        <f t="shared" si="38"/>
        <v>0</v>
      </c>
      <c r="H59" s="1142"/>
      <c r="I59" s="1143" t="e">
        <f t="shared" si="39"/>
        <v>#DIV/0!</v>
      </c>
      <c r="J59" s="1144">
        <f t="shared" si="40"/>
        <v>0</v>
      </c>
      <c r="K59" s="1145" t="e">
        <f t="shared" si="41"/>
        <v>#DIV/0!</v>
      </c>
      <c r="L59" s="1141"/>
      <c r="M59" s="1142"/>
      <c r="N59" s="1141">
        <f t="shared" si="42"/>
        <v>0</v>
      </c>
      <c r="O59" s="1143">
        <f t="shared" si="43"/>
        <v>0</v>
      </c>
      <c r="P59" s="1142"/>
      <c r="Q59" s="1142"/>
      <c r="R59" s="1142"/>
      <c r="S59" s="1142"/>
      <c r="T59" s="1141">
        <f t="shared" si="44"/>
        <v>0</v>
      </c>
      <c r="U59" s="1143"/>
      <c r="V59" s="1142"/>
      <c r="W59" s="1143">
        <f t="shared" si="45"/>
        <v>0</v>
      </c>
      <c r="X59" s="1143"/>
      <c r="Y59" s="1143">
        <f t="shared" si="46"/>
        <v>0</v>
      </c>
      <c r="Z59" s="1141">
        <f t="shared" si="47"/>
        <v>0</v>
      </c>
      <c r="AA59" s="1146">
        <f t="shared" si="48"/>
        <v>0</v>
      </c>
      <c r="AB59" s="1142"/>
      <c r="AC59" s="1142"/>
      <c r="AD59" s="1142"/>
      <c r="AE59" s="1142"/>
      <c r="AF59" s="1144">
        <f t="shared" si="49"/>
        <v>0</v>
      </c>
      <c r="AG59" s="1147"/>
      <c r="AH59" s="1148">
        <f t="shared" si="50"/>
        <v>0</v>
      </c>
      <c r="AI59" s="1148">
        <f t="shared" si="51"/>
        <v>0</v>
      </c>
      <c r="AJ59" s="1149">
        <f t="shared" si="52"/>
        <v>0</v>
      </c>
      <c r="AK59" s="1150"/>
      <c r="AL59" s="1151">
        <f t="shared" si="53"/>
        <v>0</v>
      </c>
      <c r="AM59" s="1152">
        <f t="shared" si="54"/>
        <v>0</v>
      </c>
      <c r="AN59" s="1153"/>
      <c r="AO59" s="1154">
        <f t="shared" si="55"/>
        <v>0</v>
      </c>
    </row>
    <row r="60" spans="1:41" s="492" customFormat="1" x14ac:dyDescent="0.2">
      <c r="A60" s="1155"/>
      <c r="B60" s="1139"/>
      <c r="C60" s="1123"/>
      <c r="D60" s="1140">
        <v>12</v>
      </c>
      <c r="E60" s="1140"/>
      <c r="F60" s="1141">
        <f t="shared" si="37"/>
        <v>0</v>
      </c>
      <c r="G60" s="1141">
        <f t="shared" si="38"/>
        <v>0</v>
      </c>
      <c r="H60" s="1142"/>
      <c r="I60" s="1143" t="e">
        <f t="shared" si="39"/>
        <v>#DIV/0!</v>
      </c>
      <c r="J60" s="1144">
        <f t="shared" si="40"/>
        <v>0</v>
      </c>
      <c r="K60" s="1145" t="e">
        <f t="shared" si="41"/>
        <v>#DIV/0!</v>
      </c>
      <c r="L60" s="1141"/>
      <c r="M60" s="1142"/>
      <c r="N60" s="1141">
        <f t="shared" si="42"/>
        <v>0</v>
      </c>
      <c r="O60" s="1143">
        <f t="shared" si="43"/>
        <v>0</v>
      </c>
      <c r="P60" s="1142"/>
      <c r="Q60" s="1142"/>
      <c r="R60" s="1142"/>
      <c r="S60" s="1142"/>
      <c r="T60" s="1141">
        <f t="shared" si="44"/>
        <v>0</v>
      </c>
      <c r="U60" s="1143"/>
      <c r="V60" s="1142"/>
      <c r="W60" s="1143">
        <f t="shared" si="45"/>
        <v>0</v>
      </c>
      <c r="X60" s="1143"/>
      <c r="Y60" s="1143">
        <f t="shared" si="46"/>
        <v>0</v>
      </c>
      <c r="Z60" s="1141">
        <f t="shared" si="47"/>
        <v>0</v>
      </c>
      <c r="AA60" s="1146">
        <f t="shared" si="48"/>
        <v>0</v>
      </c>
      <c r="AB60" s="1142"/>
      <c r="AC60" s="1142"/>
      <c r="AD60" s="1142"/>
      <c r="AE60" s="1142"/>
      <c r="AF60" s="1144">
        <f t="shared" si="49"/>
        <v>0</v>
      </c>
      <c r="AG60" s="1147"/>
      <c r="AH60" s="1148">
        <f t="shared" si="50"/>
        <v>0</v>
      </c>
      <c r="AI60" s="1148">
        <f t="shared" si="51"/>
        <v>0</v>
      </c>
      <c r="AJ60" s="1149">
        <f t="shared" si="52"/>
        <v>0</v>
      </c>
      <c r="AK60" s="1150"/>
      <c r="AL60" s="1151">
        <f t="shared" si="53"/>
        <v>0</v>
      </c>
      <c r="AM60" s="1152">
        <f t="shared" si="54"/>
        <v>0</v>
      </c>
      <c r="AN60" s="1153"/>
      <c r="AO60" s="1154">
        <f t="shared" si="55"/>
        <v>0</v>
      </c>
    </row>
    <row r="61" spans="1:41" s="492" customFormat="1" x14ac:dyDescent="0.2">
      <c r="A61" s="1155"/>
      <c r="B61" s="1139"/>
      <c r="C61" s="1123"/>
      <c r="D61" s="1140">
        <v>12</v>
      </c>
      <c r="E61" s="1140"/>
      <c r="F61" s="1141">
        <f t="shared" si="37"/>
        <v>0</v>
      </c>
      <c r="G61" s="1141">
        <f t="shared" si="38"/>
        <v>0</v>
      </c>
      <c r="H61" s="1142"/>
      <c r="I61" s="1143" t="e">
        <f t="shared" si="39"/>
        <v>#DIV/0!</v>
      </c>
      <c r="J61" s="1144">
        <f t="shared" si="40"/>
        <v>0</v>
      </c>
      <c r="K61" s="1145" t="e">
        <f t="shared" si="41"/>
        <v>#DIV/0!</v>
      </c>
      <c r="L61" s="1141"/>
      <c r="M61" s="1142"/>
      <c r="N61" s="1141">
        <f t="shared" si="42"/>
        <v>0</v>
      </c>
      <c r="O61" s="1143">
        <f t="shared" si="43"/>
        <v>0</v>
      </c>
      <c r="P61" s="1142"/>
      <c r="Q61" s="1142"/>
      <c r="R61" s="1142"/>
      <c r="S61" s="1142"/>
      <c r="T61" s="1141">
        <f t="shared" si="44"/>
        <v>0</v>
      </c>
      <c r="U61" s="1143"/>
      <c r="V61" s="1142"/>
      <c r="W61" s="1143">
        <f t="shared" si="45"/>
        <v>0</v>
      </c>
      <c r="X61" s="1143"/>
      <c r="Y61" s="1143">
        <f t="shared" si="46"/>
        <v>0</v>
      </c>
      <c r="Z61" s="1141">
        <f t="shared" si="47"/>
        <v>0</v>
      </c>
      <c r="AA61" s="1146">
        <f t="shared" si="48"/>
        <v>0</v>
      </c>
      <c r="AB61" s="1142"/>
      <c r="AC61" s="1142"/>
      <c r="AD61" s="1142"/>
      <c r="AE61" s="1142"/>
      <c r="AF61" s="1144">
        <f t="shared" si="49"/>
        <v>0</v>
      </c>
      <c r="AG61" s="1147"/>
      <c r="AH61" s="1148">
        <f t="shared" si="50"/>
        <v>0</v>
      </c>
      <c r="AI61" s="1148">
        <f t="shared" si="51"/>
        <v>0</v>
      </c>
      <c r="AJ61" s="1149">
        <f t="shared" si="52"/>
        <v>0</v>
      </c>
      <c r="AK61" s="1150"/>
      <c r="AL61" s="1151">
        <f t="shared" si="53"/>
        <v>0</v>
      </c>
      <c r="AM61" s="1152">
        <f t="shared" si="54"/>
        <v>0</v>
      </c>
      <c r="AN61" s="1153"/>
      <c r="AO61" s="1154">
        <f t="shared" si="55"/>
        <v>0</v>
      </c>
    </row>
    <row r="62" spans="1:41" s="492" customFormat="1" x14ac:dyDescent="0.2">
      <c r="A62" s="1155"/>
      <c r="B62" s="1139"/>
      <c r="C62" s="1123"/>
      <c r="D62" s="1140">
        <v>12</v>
      </c>
      <c r="E62" s="1140"/>
      <c r="F62" s="1141">
        <f t="shared" si="37"/>
        <v>0</v>
      </c>
      <c r="G62" s="1141">
        <f t="shared" si="38"/>
        <v>0</v>
      </c>
      <c r="H62" s="1142"/>
      <c r="I62" s="1143" t="e">
        <f t="shared" si="39"/>
        <v>#DIV/0!</v>
      </c>
      <c r="J62" s="1144">
        <f t="shared" si="40"/>
        <v>0</v>
      </c>
      <c r="K62" s="1145" t="e">
        <f t="shared" si="41"/>
        <v>#DIV/0!</v>
      </c>
      <c r="L62" s="1141"/>
      <c r="M62" s="1142"/>
      <c r="N62" s="1141">
        <f t="shared" si="42"/>
        <v>0</v>
      </c>
      <c r="O62" s="1143">
        <f t="shared" si="43"/>
        <v>0</v>
      </c>
      <c r="P62" s="1142"/>
      <c r="Q62" s="1142"/>
      <c r="R62" s="1142"/>
      <c r="S62" s="1142"/>
      <c r="T62" s="1141">
        <f t="shared" si="44"/>
        <v>0</v>
      </c>
      <c r="U62" s="1143"/>
      <c r="V62" s="1142"/>
      <c r="W62" s="1143">
        <f t="shared" si="45"/>
        <v>0</v>
      </c>
      <c r="X62" s="1143"/>
      <c r="Y62" s="1143">
        <f t="shared" si="46"/>
        <v>0</v>
      </c>
      <c r="Z62" s="1141">
        <f t="shared" si="47"/>
        <v>0</v>
      </c>
      <c r="AA62" s="1146">
        <f t="shared" si="48"/>
        <v>0</v>
      </c>
      <c r="AB62" s="1142"/>
      <c r="AC62" s="1142"/>
      <c r="AD62" s="1142"/>
      <c r="AE62" s="1142"/>
      <c r="AF62" s="1144">
        <f t="shared" si="49"/>
        <v>0</v>
      </c>
      <c r="AG62" s="1147"/>
      <c r="AH62" s="1148">
        <f t="shared" si="50"/>
        <v>0</v>
      </c>
      <c r="AI62" s="1148">
        <f t="shared" si="51"/>
        <v>0</v>
      </c>
      <c r="AJ62" s="1149">
        <f t="shared" si="52"/>
        <v>0</v>
      </c>
      <c r="AK62" s="1150"/>
      <c r="AL62" s="1151">
        <f t="shared" si="53"/>
        <v>0</v>
      </c>
      <c r="AM62" s="1152">
        <f t="shared" si="54"/>
        <v>0</v>
      </c>
      <c r="AN62" s="1153"/>
      <c r="AO62" s="1154">
        <f t="shared" si="55"/>
        <v>0</v>
      </c>
    </row>
    <row r="63" spans="1:41" s="492" customFormat="1" x14ac:dyDescent="0.2">
      <c r="A63" s="1155"/>
      <c r="B63" s="1139"/>
      <c r="C63" s="1123"/>
      <c r="D63" s="1140">
        <v>12</v>
      </c>
      <c r="E63" s="1140"/>
      <c r="F63" s="1141">
        <f t="shared" si="37"/>
        <v>0</v>
      </c>
      <c r="G63" s="1141">
        <f t="shared" si="38"/>
        <v>0</v>
      </c>
      <c r="H63" s="1142"/>
      <c r="I63" s="1143" t="e">
        <f t="shared" si="39"/>
        <v>#DIV/0!</v>
      </c>
      <c r="J63" s="1144">
        <f t="shared" si="40"/>
        <v>0</v>
      </c>
      <c r="K63" s="1145" t="e">
        <f t="shared" si="41"/>
        <v>#DIV/0!</v>
      </c>
      <c r="L63" s="1141"/>
      <c r="M63" s="1142"/>
      <c r="N63" s="1141">
        <f t="shared" si="42"/>
        <v>0</v>
      </c>
      <c r="O63" s="1143">
        <f t="shared" si="43"/>
        <v>0</v>
      </c>
      <c r="P63" s="1142"/>
      <c r="Q63" s="1142"/>
      <c r="R63" s="1142"/>
      <c r="S63" s="1142"/>
      <c r="T63" s="1141">
        <f t="shared" si="44"/>
        <v>0</v>
      </c>
      <c r="U63" s="1143"/>
      <c r="V63" s="1142"/>
      <c r="W63" s="1143">
        <f t="shared" si="45"/>
        <v>0</v>
      </c>
      <c r="X63" s="1143"/>
      <c r="Y63" s="1143">
        <f t="shared" si="46"/>
        <v>0</v>
      </c>
      <c r="Z63" s="1141">
        <f t="shared" si="47"/>
        <v>0</v>
      </c>
      <c r="AA63" s="1146">
        <f t="shared" si="48"/>
        <v>0</v>
      </c>
      <c r="AB63" s="1142"/>
      <c r="AC63" s="1142"/>
      <c r="AD63" s="1142"/>
      <c r="AE63" s="1142"/>
      <c r="AF63" s="1144">
        <f t="shared" si="49"/>
        <v>0</v>
      </c>
      <c r="AG63" s="1147"/>
      <c r="AH63" s="1148">
        <f t="shared" si="50"/>
        <v>0</v>
      </c>
      <c r="AI63" s="1148">
        <f t="shared" si="51"/>
        <v>0</v>
      </c>
      <c r="AJ63" s="1149">
        <f t="shared" si="52"/>
        <v>0</v>
      </c>
      <c r="AK63" s="1150"/>
      <c r="AL63" s="1151">
        <f t="shared" si="53"/>
        <v>0</v>
      </c>
      <c r="AM63" s="1152">
        <f t="shared" si="54"/>
        <v>0</v>
      </c>
      <c r="AN63" s="1153"/>
      <c r="AO63" s="1154">
        <f t="shared" si="55"/>
        <v>0</v>
      </c>
    </row>
    <row r="64" spans="1:41" s="492" customFormat="1" x14ac:dyDescent="0.2">
      <c r="A64" s="1155"/>
      <c r="B64" s="1139"/>
      <c r="C64" s="1123"/>
      <c r="D64" s="1140">
        <v>12</v>
      </c>
      <c r="E64" s="1140"/>
      <c r="F64" s="1141">
        <f t="shared" si="37"/>
        <v>0</v>
      </c>
      <c r="G64" s="1141">
        <f t="shared" si="38"/>
        <v>0</v>
      </c>
      <c r="H64" s="1142"/>
      <c r="I64" s="1143" t="e">
        <f t="shared" si="39"/>
        <v>#DIV/0!</v>
      </c>
      <c r="J64" s="1144">
        <f t="shared" si="40"/>
        <v>0</v>
      </c>
      <c r="K64" s="1145" t="e">
        <f t="shared" si="41"/>
        <v>#DIV/0!</v>
      </c>
      <c r="L64" s="1141"/>
      <c r="M64" s="1142"/>
      <c r="N64" s="1141">
        <f t="shared" si="42"/>
        <v>0</v>
      </c>
      <c r="O64" s="1143">
        <f t="shared" si="43"/>
        <v>0</v>
      </c>
      <c r="P64" s="1142"/>
      <c r="Q64" s="1142"/>
      <c r="R64" s="1142"/>
      <c r="S64" s="1142"/>
      <c r="T64" s="1141">
        <f t="shared" si="44"/>
        <v>0</v>
      </c>
      <c r="U64" s="1143"/>
      <c r="V64" s="1142"/>
      <c r="W64" s="1143">
        <f t="shared" si="45"/>
        <v>0</v>
      </c>
      <c r="X64" s="1143"/>
      <c r="Y64" s="1143">
        <f t="shared" si="46"/>
        <v>0</v>
      </c>
      <c r="Z64" s="1141">
        <f t="shared" si="47"/>
        <v>0</v>
      </c>
      <c r="AA64" s="1146">
        <f t="shared" si="48"/>
        <v>0</v>
      </c>
      <c r="AB64" s="1142"/>
      <c r="AC64" s="1142"/>
      <c r="AD64" s="1142"/>
      <c r="AE64" s="1142"/>
      <c r="AF64" s="1144">
        <f t="shared" si="49"/>
        <v>0</v>
      </c>
      <c r="AG64" s="1147"/>
      <c r="AH64" s="1148">
        <f t="shared" si="50"/>
        <v>0</v>
      </c>
      <c r="AI64" s="1148">
        <f t="shared" si="51"/>
        <v>0</v>
      </c>
      <c r="AJ64" s="1149">
        <f t="shared" si="52"/>
        <v>0</v>
      </c>
      <c r="AK64" s="1150"/>
      <c r="AL64" s="1151">
        <f t="shared" si="53"/>
        <v>0</v>
      </c>
      <c r="AM64" s="1152">
        <f t="shared" si="54"/>
        <v>0</v>
      </c>
      <c r="AN64" s="1153"/>
      <c r="AO64" s="1154">
        <f t="shared" si="55"/>
        <v>0</v>
      </c>
    </row>
    <row r="65" spans="1:41" s="492" customFormat="1" x14ac:dyDescent="0.2">
      <c r="A65" s="1155"/>
      <c r="B65" s="1139"/>
      <c r="C65" s="1123"/>
      <c r="D65" s="1140">
        <v>12</v>
      </c>
      <c r="E65" s="1140"/>
      <c r="F65" s="1141">
        <f t="shared" si="37"/>
        <v>0</v>
      </c>
      <c r="G65" s="1141">
        <f t="shared" si="38"/>
        <v>0</v>
      </c>
      <c r="H65" s="1142"/>
      <c r="I65" s="1143" t="e">
        <f t="shared" si="39"/>
        <v>#DIV/0!</v>
      </c>
      <c r="J65" s="1144">
        <f t="shared" si="40"/>
        <v>0</v>
      </c>
      <c r="K65" s="1145" t="e">
        <f t="shared" si="41"/>
        <v>#DIV/0!</v>
      </c>
      <c r="L65" s="1141"/>
      <c r="M65" s="1142"/>
      <c r="N65" s="1141">
        <f t="shared" si="42"/>
        <v>0</v>
      </c>
      <c r="O65" s="1143">
        <f t="shared" si="43"/>
        <v>0</v>
      </c>
      <c r="P65" s="1142"/>
      <c r="Q65" s="1142"/>
      <c r="R65" s="1142"/>
      <c r="S65" s="1142"/>
      <c r="T65" s="1141">
        <f t="shared" si="44"/>
        <v>0</v>
      </c>
      <c r="U65" s="1143"/>
      <c r="V65" s="1142"/>
      <c r="W65" s="1143">
        <f t="shared" si="45"/>
        <v>0</v>
      </c>
      <c r="X65" s="1143"/>
      <c r="Y65" s="1143">
        <f t="shared" si="46"/>
        <v>0</v>
      </c>
      <c r="Z65" s="1141">
        <f t="shared" si="47"/>
        <v>0</v>
      </c>
      <c r="AA65" s="1146">
        <f t="shared" si="48"/>
        <v>0</v>
      </c>
      <c r="AB65" s="1142"/>
      <c r="AC65" s="1142"/>
      <c r="AD65" s="1142"/>
      <c r="AE65" s="1142"/>
      <c r="AF65" s="1144">
        <f t="shared" si="49"/>
        <v>0</v>
      </c>
      <c r="AG65" s="1147"/>
      <c r="AH65" s="1148">
        <f t="shared" si="50"/>
        <v>0</v>
      </c>
      <c r="AI65" s="1148">
        <f t="shared" si="51"/>
        <v>0</v>
      </c>
      <c r="AJ65" s="1149">
        <f t="shared" si="52"/>
        <v>0</v>
      </c>
      <c r="AK65" s="1150"/>
      <c r="AL65" s="1151">
        <f t="shared" si="53"/>
        <v>0</v>
      </c>
      <c r="AM65" s="1152">
        <f t="shared" si="54"/>
        <v>0</v>
      </c>
      <c r="AN65" s="1153"/>
      <c r="AO65" s="1154">
        <f t="shared" si="55"/>
        <v>0</v>
      </c>
    </row>
    <row r="66" spans="1:41" s="492" customFormat="1" x14ac:dyDescent="0.2">
      <c r="A66" s="1155"/>
      <c r="B66" s="1139"/>
      <c r="C66" s="1123"/>
      <c r="D66" s="1140">
        <v>12</v>
      </c>
      <c r="E66" s="1140"/>
      <c r="F66" s="1141">
        <f t="shared" si="37"/>
        <v>0</v>
      </c>
      <c r="G66" s="1141">
        <f t="shared" si="38"/>
        <v>0</v>
      </c>
      <c r="H66" s="1142"/>
      <c r="I66" s="1143" t="e">
        <f t="shared" si="39"/>
        <v>#DIV/0!</v>
      </c>
      <c r="J66" s="1144">
        <f t="shared" si="40"/>
        <v>0</v>
      </c>
      <c r="K66" s="1145" t="e">
        <f t="shared" si="41"/>
        <v>#DIV/0!</v>
      </c>
      <c r="L66" s="1141"/>
      <c r="M66" s="1142"/>
      <c r="N66" s="1141">
        <f t="shared" si="42"/>
        <v>0</v>
      </c>
      <c r="O66" s="1143">
        <f t="shared" si="43"/>
        <v>0</v>
      </c>
      <c r="P66" s="1142"/>
      <c r="Q66" s="1142"/>
      <c r="R66" s="1142"/>
      <c r="S66" s="1142"/>
      <c r="T66" s="1141">
        <f t="shared" si="44"/>
        <v>0</v>
      </c>
      <c r="U66" s="1143"/>
      <c r="V66" s="1142"/>
      <c r="W66" s="1143">
        <f t="shared" si="45"/>
        <v>0</v>
      </c>
      <c r="X66" s="1143"/>
      <c r="Y66" s="1143">
        <f t="shared" si="46"/>
        <v>0</v>
      </c>
      <c r="Z66" s="1141">
        <f t="shared" si="47"/>
        <v>0</v>
      </c>
      <c r="AA66" s="1146">
        <f t="shared" si="48"/>
        <v>0</v>
      </c>
      <c r="AB66" s="1142"/>
      <c r="AC66" s="1142"/>
      <c r="AD66" s="1142"/>
      <c r="AE66" s="1142"/>
      <c r="AF66" s="1144">
        <f t="shared" si="49"/>
        <v>0</v>
      </c>
      <c r="AG66" s="1147"/>
      <c r="AH66" s="1148">
        <f t="shared" si="50"/>
        <v>0</v>
      </c>
      <c r="AI66" s="1148">
        <f t="shared" si="51"/>
        <v>0</v>
      </c>
      <c r="AJ66" s="1149">
        <f t="shared" si="52"/>
        <v>0</v>
      </c>
      <c r="AK66" s="1150"/>
      <c r="AL66" s="1151">
        <f t="shared" si="53"/>
        <v>0</v>
      </c>
      <c r="AM66" s="1152">
        <f t="shared" si="54"/>
        <v>0</v>
      </c>
      <c r="AN66" s="1153"/>
      <c r="AO66" s="1154">
        <f t="shared" si="55"/>
        <v>0</v>
      </c>
    </row>
    <row r="67" spans="1:41" s="492" customFormat="1" x14ac:dyDescent="0.2">
      <c r="A67" s="1155"/>
      <c r="B67" s="1139"/>
      <c r="C67" s="1123"/>
      <c r="D67" s="1140">
        <v>12</v>
      </c>
      <c r="E67" s="1140"/>
      <c r="F67" s="1141">
        <f t="shared" si="37"/>
        <v>0</v>
      </c>
      <c r="G67" s="1141">
        <f t="shared" si="38"/>
        <v>0</v>
      </c>
      <c r="H67" s="1142"/>
      <c r="I67" s="1143" t="e">
        <f t="shared" si="39"/>
        <v>#DIV/0!</v>
      </c>
      <c r="J67" s="1144">
        <f t="shared" si="40"/>
        <v>0</v>
      </c>
      <c r="K67" s="1145" t="e">
        <f t="shared" si="41"/>
        <v>#DIV/0!</v>
      </c>
      <c r="L67" s="1141"/>
      <c r="M67" s="1142"/>
      <c r="N67" s="1141">
        <f t="shared" si="42"/>
        <v>0</v>
      </c>
      <c r="O67" s="1143">
        <f t="shared" si="43"/>
        <v>0</v>
      </c>
      <c r="P67" s="1142"/>
      <c r="Q67" s="1142"/>
      <c r="R67" s="1142"/>
      <c r="S67" s="1142"/>
      <c r="T67" s="1141">
        <f t="shared" si="44"/>
        <v>0</v>
      </c>
      <c r="U67" s="1143"/>
      <c r="V67" s="1142"/>
      <c r="W67" s="1143">
        <f t="shared" si="45"/>
        <v>0</v>
      </c>
      <c r="X67" s="1143"/>
      <c r="Y67" s="1143">
        <f t="shared" si="46"/>
        <v>0</v>
      </c>
      <c r="Z67" s="1141">
        <f t="shared" si="47"/>
        <v>0</v>
      </c>
      <c r="AA67" s="1146">
        <f t="shared" si="48"/>
        <v>0</v>
      </c>
      <c r="AB67" s="1142"/>
      <c r="AC67" s="1142"/>
      <c r="AD67" s="1142"/>
      <c r="AE67" s="1142"/>
      <c r="AF67" s="1144">
        <f t="shared" si="49"/>
        <v>0</v>
      </c>
      <c r="AG67" s="1147"/>
      <c r="AH67" s="1148">
        <f t="shared" si="50"/>
        <v>0</v>
      </c>
      <c r="AI67" s="1148">
        <f t="shared" si="51"/>
        <v>0</v>
      </c>
      <c r="AJ67" s="1149">
        <f t="shared" si="52"/>
        <v>0</v>
      </c>
      <c r="AK67" s="1150"/>
      <c r="AL67" s="1151">
        <f t="shared" si="53"/>
        <v>0</v>
      </c>
      <c r="AM67" s="1152">
        <f t="shared" si="54"/>
        <v>0</v>
      </c>
      <c r="AN67" s="1153"/>
      <c r="AO67" s="1154">
        <f t="shared" si="55"/>
        <v>0</v>
      </c>
    </row>
    <row r="68" spans="1:41" s="492" customFormat="1" x14ac:dyDescent="0.2">
      <c r="A68" s="1155"/>
      <c r="B68" s="1139"/>
      <c r="C68" s="1123"/>
      <c r="D68" s="1140">
        <v>12</v>
      </c>
      <c r="E68" s="1140"/>
      <c r="F68" s="1141">
        <f t="shared" si="37"/>
        <v>0</v>
      </c>
      <c r="G68" s="1141">
        <f t="shared" si="38"/>
        <v>0</v>
      </c>
      <c r="H68" s="1142"/>
      <c r="I68" s="1143" t="e">
        <f t="shared" si="39"/>
        <v>#DIV/0!</v>
      </c>
      <c r="J68" s="1144">
        <f t="shared" si="40"/>
        <v>0</v>
      </c>
      <c r="K68" s="1145" t="e">
        <f t="shared" si="41"/>
        <v>#DIV/0!</v>
      </c>
      <c r="L68" s="1141"/>
      <c r="M68" s="1142"/>
      <c r="N68" s="1141">
        <f t="shared" si="42"/>
        <v>0</v>
      </c>
      <c r="O68" s="1143">
        <f t="shared" si="43"/>
        <v>0</v>
      </c>
      <c r="P68" s="1142"/>
      <c r="Q68" s="1142"/>
      <c r="R68" s="1142"/>
      <c r="S68" s="1142"/>
      <c r="T68" s="1141">
        <f t="shared" si="44"/>
        <v>0</v>
      </c>
      <c r="U68" s="1143"/>
      <c r="V68" s="1142"/>
      <c r="W68" s="1143">
        <f t="shared" si="45"/>
        <v>0</v>
      </c>
      <c r="X68" s="1143"/>
      <c r="Y68" s="1143">
        <f t="shared" si="46"/>
        <v>0</v>
      </c>
      <c r="Z68" s="1141">
        <f t="shared" si="47"/>
        <v>0</v>
      </c>
      <c r="AA68" s="1146">
        <f t="shared" si="48"/>
        <v>0</v>
      </c>
      <c r="AB68" s="1142"/>
      <c r="AC68" s="1142"/>
      <c r="AD68" s="1142"/>
      <c r="AE68" s="1142"/>
      <c r="AF68" s="1144">
        <f t="shared" si="49"/>
        <v>0</v>
      </c>
      <c r="AG68" s="1147"/>
      <c r="AH68" s="1148">
        <f t="shared" si="50"/>
        <v>0</v>
      </c>
      <c r="AI68" s="1148">
        <f t="shared" si="51"/>
        <v>0</v>
      </c>
      <c r="AJ68" s="1149">
        <f t="shared" si="52"/>
        <v>0</v>
      </c>
      <c r="AK68" s="1150"/>
      <c r="AL68" s="1151">
        <f t="shared" si="53"/>
        <v>0</v>
      </c>
      <c r="AM68" s="1152">
        <f t="shared" si="54"/>
        <v>0</v>
      </c>
      <c r="AN68" s="1153"/>
      <c r="AO68" s="1154">
        <f t="shared" si="55"/>
        <v>0</v>
      </c>
    </row>
    <row r="69" spans="1:41" s="492" customFormat="1" x14ac:dyDescent="0.2">
      <c r="A69" s="1155"/>
      <c r="B69" s="1139"/>
      <c r="C69" s="1123"/>
      <c r="D69" s="1140">
        <v>12</v>
      </c>
      <c r="E69" s="1140"/>
      <c r="F69" s="1141">
        <f t="shared" si="37"/>
        <v>0</v>
      </c>
      <c r="G69" s="1141">
        <f t="shared" si="38"/>
        <v>0</v>
      </c>
      <c r="H69" s="1142"/>
      <c r="I69" s="1143" t="e">
        <f t="shared" si="39"/>
        <v>#DIV/0!</v>
      </c>
      <c r="J69" s="1144">
        <f t="shared" si="40"/>
        <v>0</v>
      </c>
      <c r="K69" s="1145" t="e">
        <f t="shared" si="41"/>
        <v>#DIV/0!</v>
      </c>
      <c r="L69" s="1141"/>
      <c r="M69" s="1142"/>
      <c r="N69" s="1141">
        <f t="shared" si="42"/>
        <v>0</v>
      </c>
      <c r="O69" s="1143">
        <f t="shared" si="43"/>
        <v>0</v>
      </c>
      <c r="P69" s="1142"/>
      <c r="Q69" s="1142"/>
      <c r="R69" s="1142"/>
      <c r="S69" s="1142"/>
      <c r="T69" s="1141">
        <f t="shared" si="44"/>
        <v>0</v>
      </c>
      <c r="U69" s="1143"/>
      <c r="V69" s="1142"/>
      <c r="W69" s="1143">
        <f t="shared" si="45"/>
        <v>0</v>
      </c>
      <c r="X69" s="1143"/>
      <c r="Y69" s="1143">
        <f t="shared" si="46"/>
        <v>0</v>
      </c>
      <c r="Z69" s="1141">
        <f t="shared" si="47"/>
        <v>0</v>
      </c>
      <c r="AA69" s="1146">
        <f t="shared" si="48"/>
        <v>0</v>
      </c>
      <c r="AB69" s="1142"/>
      <c r="AC69" s="1142"/>
      <c r="AD69" s="1142"/>
      <c r="AE69" s="1142"/>
      <c r="AF69" s="1144">
        <f t="shared" si="49"/>
        <v>0</v>
      </c>
      <c r="AG69" s="1147"/>
      <c r="AH69" s="1148">
        <f t="shared" si="50"/>
        <v>0</v>
      </c>
      <c r="AI69" s="1148">
        <f t="shared" si="51"/>
        <v>0</v>
      </c>
      <c r="AJ69" s="1149">
        <f t="shared" si="52"/>
        <v>0</v>
      </c>
      <c r="AK69" s="1150"/>
      <c r="AL69" s="1151">
        <f t="shared" si="53"/>
        <v>0</v>
      </c>
      <c r="AM69" s="1152">
        <f t="shared" si="54"/>
        <v>0</v>
      </c>
      <c r="AN69" s="1153"/>
      <c r="AO69" s="1154">
        <f t="shared" si="55"/>
        <v>0</v>
      </c>
    </row>
    <row r="70" spans="1:41" s="492" customFormat="1" x14ac:dyDescent="0.2">
      <c r="A70" s="1155"/>
      <c r="B70" s="1139"/>
      <c r="C70" s="1123"/>
      <c r="D70" s="1140">
        <v>12</v>
      </c>
      <c r="E70" s="1140"/>
      <c r="F70" s="1141">
        <f t="shared" si="37"/>
        <v>0</v>
      </c>
      <c r="G70" s="1141">
        <f t="shared" si="38"/>
        <v>0</v>
      </c>
      <c r="H70" s="1142"/>
      <c r="I70" s="1143" t="e">
        <f t="shared" si="39"/>
        <v>#DIV/0!</v>
      </c>
      <c r="J70" s="1144">
        <f t="shared" si="40"/>
        <v>0</v>
      </c>
      <c r="K70" s="1145" t="e">
        <f t="shared" si="41"/>
        <v>#DIV/0!</v>
      </c>
      <c r="L70" s="1141"/>
      <c r="M70" s="1142"/>
      <c r="N70" s="1141">
        <f t="shared" si="42"/>
        <v>0</v>
      </c>
      <c r="O70" s="1143">
        <f t="shared" si="43"/>
        <v>0</v>
      </c>
      <c r="P70" s="1142"/>
      <c r="Q70" s="1142"/>
      <c r="R70" s="1142"/>
      <c r="S70" s="1142"/>
      <c r="T70" s="1141">
        <f t="shared" si="44"/>
        <v>0</v>
      </c>
      <c r="U70" s="1143"/>
      <c r="V70" s="1142"/>
      <c r="W70" s="1143">
        <f t="shared" si="45"/>
        <v>0</v>
      </c>
      <c r="X70" s="1143"/>
      <c r="Y70" s="1143">
        <f t="shared" si="46"/>
        <v>0</v>
      </c>
      <c r="Z70" s="1141">
        <f t="shared" si="47"/>
        <v>0</v>
      </c>
      <c r="AA70" s="1146">
        <f t="shared" si="48"/>
        <v>0</v>
      </c>
      <c r="AB70" s="1142"/>
      <c r="AC70" s="1142"/>
      <c r="AD70" s="1142"/>
      <c r="AE70" s="1142"/>
      <c r="AF70" s="1144">
        <f t="shared" si="49"/>
        <v>0</v>
      </c>
      <c r="AG70" s="1147"/>
      <c r="AH70" s="1148">
        <f t="shared" si="50"/>
        <v>0</v>
      </c>
      <c r="AI70" s="1148">
        <f t="shared" si="51"/>
        <v>0</v>
      </c>
      <c r="AJ70" s="1149">
        <f t="shared" si="52"/>
        <v>0</v>
      </c>
      <c r="AK70" s="1150"/>
      <c r="AL70" s="1151">
        <f t="shared" si="53"/>
        <v>0</v>
      </c>
      <c r="AM70" s="1152">
        <f t="shared" si="54"/>
        <v>0</v>
      </c>
      <c r="AN70" s="1153"/>
      <c r="AO70" s="1154">
        <f t="shared" si="55"/>
        <v>0</v>
      </c>
    </row>
    <row r="71" spans="1:41" s="492" customFormat="1" x14ac:dyDescent="0.2">
      <c r="A71" s="1155"/>
      <c r="B71" s="1139"/>
      <c r="C71" s="1123"/>
      <c r="D71" s="1140">
        <v>12</v>
      </c>
      <c r="E71" s="1140"/>
      <c r="F71" s="1141">
        <f t="shared" si="37"/>
        <v>0</v>
      </c>
      <c r="G71" s="1141">
        <f t="shared" si="38"/>
        <v>0</v>
      </c>
      <c r="H71" s="1142"/>
      <c r="I71" s="1143" t="e">
        <f t="shared" si="39"/>
        <v>#DIV/0!</v>
      </c>
      <c r="J71" s="1144">
        <f t="shared" si="40"/>
        <v>0</v>
      </c>
      <c r="K71" s="1145" t="e">
        <f t="shared" si="41"/>
        <v>#DIV/0!</v>
      </c>
      <c r="L71" s="1141"/>
      <c r="M71" s="1142"/>
      <c r="N71" s="1141">
        <f t="shared" si="42"/>
        <v>0</v>
      </c>
      <c r="O71" s="1143">
        <f t="shared" si="43"/>
        <v>0</v>
      </c>
      <c r="P71" s="1142"/>
      <c r="Q71" s="1142"/>
      <c r="R71" s="1142"/>
      <c r="S71" s="1142"/>
      <c r="T71" s="1141">
        <f t="shared" si="44"/>
        <v>0</v>
      </c>
      <c r="U71" s="1143"/>
      <c r="V71" s="1142"/>
      <c r="W71" s="1143">
        <f t="shared" si="45"/>
        <v>0</v>
      </c>
      <c r="X71" s="1143"/>
      <c r="Y71" s="1143">
        <f t="shared" si="46"/>
        <v>0</v>
      </c>
      <c r="Z71" s="1141">
        <f t="shared" si="47"/>
        <v>0</v>
      </c>
      <c r="AA71" s="1146">
        <f t="shared" si="48"/>
        <v>0</v>
      </c>
      <c r="AB71" s="1142"/>
      <c r="AC71" s="1142"/>
      <c r="AD71" s="1142"/>
      <c r="AE71" s="1142"/>
      <c r="AF71" s="1144">
        <f t="shared" si="49"/>
        <v>0</v>
      </c>
      <c r="AG71" s="1147"/>
      <c r="AH71" s="1148">
        <f t="shared" si="50"/>
        <v>0</v>
      </c>
      <c r="AI71" s="1148">
        <f t="shared" si="51"/>
        <v>0</v>
      </c>
      <c r="AJ71" s="1149">
        <f t="shared" si="52"/>
        <v>0</v>
      </c>
      <c r="AK71" s="1150"/>
      <c r="AL71" s="1151">
        <f t="shared" si="53"/>
        <v>0</v>
      </c>
      <c r="AM71" s="1152">
        <f t="shared" si="54"/>
        <v>0</v>
      </c>
      <c r="AN71" s="1153"/>
      <c r="AO71" s="1154">
        <f t="shared" si="55"/>
        <v>0</v>
      </c>
    </row>
    <row r="72" spans="1:41" s="492" customFormat="1" x14ac:dyDescent="0.2">
      <c r="A72" s="1155"/>
      <c r="B72" s="1139"/>
      <c r="C72" s="1123"/>
      <c r="D72" s="1140">
        <v>12</v>
      </c>
      <c r="E72" s="1140"/>
      <c r="F72" s="1141">
        <f t="shared" si="37"/>
        <v>0</v>
      </c>
      <c r="G72" s="1141">
        <f t="shared" si="38"/>
        <v>0</v>
      </c>
      <c r="H72" s="1142"/>
      <c r="I72" s="1143" t="e">
        <f t="shared" si="39"/>
        <v>#DIV/0!</v>
      </c>
      <c r="J72" s="1144">
        <f t="shared" si="40"/>
        <v>0</v>
      </c>
      <c r="K72" s="1145" t="e">
        <f t="shared" si="41"/>
        <v>#DIV/0!</v>
      </c>
      <c r="L72" s="1141"/>
      <c r="M72" s="1142"/>
      <c r="N72" s="1141">
        <f t="shared" si="42"/>
        <v>0</v>
      </c>
      <c r="O72" s="1143">
        <f t="shared" si="43"/>
        <v>0</v>
      </c>
      <c r="P72" s="1142"/>
      <c r="Q72" s="1142"/>
      <c r="R72" s="1142"/>
      <c r="S72" s="1142"/>
      <c r="T72" s="1141">
        <f t="shared" si="44"/>
        <v>0</v>
      </c>
      <c r="U72" s="1143"/>
      <c r="V72" s="1142"/>
      <c r="W72" s="1143">
        <f t="shared" si="45"/>
        <v>0</v>
      </c>
      <c r="X72" s="1143"/>
      <c r="Y72" s="1143">
        <f t="shared" si="46"/>
        <v>0</v>
      </c>
      <c r="Z72" s="1141">
        <f t="shared" si="47"/>
        <v>0</v>
      </c>
      <c r="AA72" s="1146">
        <f t="shared" si="48"/>
        <v>0</v>
      </c>
      <c r="AB72" s="1142"/>
      <c r="AC72" s="1142"/>
      <c r="AD72" s="1142"/>
      <c r="AE72" s="1142"/>
      <c r="AF72" s="1144">
        <f t="shared" si="49"/>
        <v>0</v>
      </c>
      <c r="AG72" s="1147"/>
      <c r="AH72" s="1148">
        <f t="shared" si="50"/>
        <v>0</v>
      </c>
      <c r="AI72" s="1148">
        <f t="shared" si="51"/>
        <v>0</v>
      </c>
      <c r="AJ72" s="1149">
        <f t="shared" si="52"/>
        <v>0</v>
      </c>
      <c r="AK72" s="1150"/>
      <c r="AL72" s="1151">
        <f t="shared" si="53"/>
        <v>0</v>
      </c>
      <c r="AM72" s="1152">
        <f t="shared" si="54"/>
        <v>0</v>
      </c>
      <c r="AN72" s="1153"/>
      <c r="AO72" s="1154">
        <f t="shared" si="55"/>
        <v>0</v>
      </c>
    </row>
    <row r="73" spans="1:41" s="492" customFormat="1" x14ac:dyDescent="0.2">
      <c r="A73" s="1155"/>
      <c r="B73" s="1139"/>
      <c r="C73" s="1123"/>
      <c r="D73" s="1140">
        <v>12</v>
      </c>
      <c r="E73" s="1140"/>
      <c r="F73" s="1141">
        <f t="shared" si="37"/>
        <v>0</v>
      </c>
      <c r="G73" s="1141">
        <f t="shared" si="38"/>
        <v>0</v>
      </c>
      <c r="H73" s="1142"/>
      <c r="I73" s="1143" t="e">
        <f t="shared" si="39"/>
        <v>#DIV/0!</v>
      </c>
      <c r="J73" s="1144">
        <f t="shared" si="40"/>
        <v>0</v>
      </c>
      <c r="K73" s="1145" t="e">
        <f t="shared" si="41"/>
        <v>#DIV/0!</v>
      </c>
      <c r="L73" s="1141"/>
      <c r="M73" s="1142"/>
      <c r="N73" s="1141">
        <f t="shared" si="42"/>
        <v>0</v>
      </c>
      <c r="O73" s="1143">
        <f t="shared" si="43"/>
        <v>0</v>
      </c>
      <c r="P73" s="1142"/>
      <c r="Q73" s="1142"/>
      <c r="R73" s="1142"/>
      <c r="S73" s="1142"/>
      <c r="T73" s="1141">
        <f t="shared" si="44"/>
        <v>0</v>
      </c>
      <c r="U73" s="1143"/>
      <c r="V73" s="1142"/>
      <c r="W73" s="1143">
        <f t="shared" si="45"/>
        <v>0</v>
      </c>
      <c r="X73" s="1143"/>
      <c r="Y73" s="1143">
        <f t="shared" si="46"/>
        <v>0</v>
      </c>
      <c r="Z73" s="1141">
        <f t="shared" si="47"/>
        <v>0</v>
      </c>
      <c r="AA73" s="1146">
        <f t="shared" si="48"/>
        <v>0</v>
      </c>
      <c r="AB73" s="1142"/>
      <c r="AC73" s="1142"/>
      <c r="AD73" s="1142"/>
      <c r="AE73" s="1142"/>
      <c r="AF73" s="1144">
        <f t="shared" si="49"/>
        <v>0</v>
      </c>
      <c r="AG73" s="1147"/>
      <c r="AH73" s="1148">
        <f t="shared" si="50"/>
        <v>0</v>
      </c>
      <c r="AI73" s="1148">
        <f t="shared" si="51"/>
        <v>0</v>
      </c>
      <c r="AJ73" s="1149">
        <f t="shared" si="52"/>
        <v>0</v>
      </c>
      <c r="AK73" s="1150"/>
      <c r="AL73" s="1151">
        <f t="shared" si="53"/>
        <v>0</v>
      </c>
      <c r="AM73" s="1152">
        <f t="shared" si="54"/>
        <v>0</v>
      </c>
      <c r="AN73" s="1153"/>
      <c r="AO73" s="1154">
        <f t="shared" si="55"/>
        <v>0</v>
      </c>
    </row>
    <row r="74" spans="1:41" s="492" customFormat="1" x14ac:dyDescent="0.2">
      <c r="A74" s="1155"/>
      <c r="B74" s="1139"/>
      <c r="C74" s="1123"/>
      <c r="D74" s="1140">
        <v>12</v>
      </c>
      <c r="E74" s="1140"/>
      <c r="F74" s="1141">
        <f t="shared" si="37"/>
        <v>0</v>
      </c>
      <c r="G74" s="1141">
        <f t="shared" si="38"/>
        <v>0</v>
      </c>
      <c r="H74" s="1142"/>
      <c r="I74" s="1143" t="e">
        <f t="shared" si="39"/>
        <v>#DIV/0!</v>
      </c>
      <c r="J74" s="1144">
        <f t="shared" si="40"/>
        <v>0</v>
      </c>
      <c r="K74" s="1145" t="e">
        <f t="shared" si="41"/>
        <v>#DIV/0!</v>
      </c>
      <c r="L74" s="1141"/>
      <c r="M74" s="1142"/>
      <c r="N74" s="1141">
        <f t="shared" si="42"/>
        <v>0</v>
      </c>
      <c r="O74" s="1143">
        <f t="shared" si="43"/>
        <v>0</v>
      </c>
      <c r="P74" s="1142"/>
      <c r="Q74" s="1142"/>
      <c r="R74" s="1142"/>
      <c r="S74" s="1142"/>
      <c r="T74" s="1141">
        <f t="shared" si="44"/>
        <v>0</v>
      </c>
      <c r="U74" s="1143"/>
      <c r="V74" s="1142"/>
      <c r="W74" s="1143">
        <f t="shared" si="45"/>
        <v>0</v>
      </c>
      <c r="X74" s="1143"/>
      <c r="Y74" s="1143">
        <f t="shared" si="46"/>
        <v>0</v>
      </c>
      <c r="Z74" s="1141">
        <f t="shared" si="47"/>
        <v>0</v>
      </c>
      <c r="AA74" s="1146">
        <f t="shared" si="48"/>
        <v>0</v>
      </c>
      <c r="AB74" s="1142"/>
      <c r="AC74" s="1142"/>
      <c r="AD74" s="1142"/>
      <c r="AE74" s="1142"/>
      <c r="AF74" s="1144">
        <f t="shared" si="49"/>
        <v>0</v>
      </c>
      <c r="AG74" s="1147"/>
      <c r="AH74" s="1148">
        <f t="shared" si="50"/>
        <v>0</v>
      </c>
      <c r="AI74" s="1148">
        <f t="shared" si="51"/>
        <v>0</v>
      </c>
      <c r="AJ74" s="1149">
        <f t="shared" si="52"/>
        <v>0</v>
      </c>
      <c r="AK74" s="1150"/>
      <c r="AL74" s="1151">
        <f t="shared" si="53"/>
        <v>0</v>
      </c>
      <c r="AM74" s="1152">
        <f t="shared" si="54"/>
        <v>0</v>
      </c>
      <c r="AN74" s="1153"/>
      <c r="AO74" s="1154">
        <f t="shared" si="55"/>
        <v>0</v>
      </c>
    </row>
    <row r="75" spans="1:41" s="492" customFormat="1" x14ac:dyDescent="0.2">
      <c r="A75" s="1155"/>
      <c r="B75" s="1139"/>
      <c r="C75" s="1123"/>
      <c r="D75" s="1140">
        <v>12</v>
      </c>
      <c r="E75" s="1140"/>
      <c r="F75" s="1141">
        <f t="shared" si="37"/>
        <v>0</v>
      </c>
      <c r="G75" s="1141">
        <f t="shared" si="38"/>
        <v>0</v>
      </c>
      <c r="H75" s="1142"/>
      <c r="I75" s="1143" t="e">
        <f t="shared" si="39"/>
        <v>#DIV/0!</v>
      </c>
      <c r="J75" s="1144">
        <f t="shared" si="40"/>
        <v>0</v>
      </c>
      <c r="K75" s="1145" t="e">
        <f t="shared" si="41"/>
        <v>#DIV/0!</v>
      </c>
      <c r="L75" s="1141"/>
      <c r="M75" s="1142"/>
      <c r="N75" s="1141">
        <f t="shared" si="42"/>
        <v>0</v>
      </c>
      <c r="O75" s="1143">
        <f t="shared" si="43"/>
        <v>0</v>
      </c>
      <c r="P75" s="1142"/>
      <c r="Q75" s="1142"/>
      <c r="R75" s="1142"/>
      <c r="S75" s="1142"/>
      <c r="T75" s="1141">
        <f t="shared" si="44"/>
        <v>0</v>
      </c>
      <c r="U75" s="1143"/>
      <c r="V75" s="1142"/>
      <c r="W75" s="1143">
        <f t="shared" si="45"/>
        <v>0</v>
      </c>
      <c r="X75" s="1143"/>
      <c r="Y75" s="1143">
        <f t="shared" si="46"/>
        <v>0</v>
      </c>
      <c r="Z75" s="1141">
        <f t="shared" si="47"/>
        <v>0</v>
      </c>
      <c r="AA75" s="1146">
        <f t="shared" si="48"/>
        <v>0</v>
      </c>
      <c r="AB75" s="1142"/>
      <c r="AC75" s="1142"/>
      <c r="AD75" s="1142"/>
      <c r="AE75" s="1142"/>
      <c r="AF75" s="1144">
        <f t="shared" si="49"/>
        <v>0</v>
      </c>
      <c r="AG75" s="1147"/>
      <c r="AH75" s="1148">
        <f t="shared" si="50"/>
        <v>0</v>
      </c>
      <c r="AI75" s="1148">
        <f t="shared" si="51"/>
        <v>0</v>
      </c>
      <c r="AJ75" s="1149">
        <f t="shared" si="52"/>
        <v>0</v>
      </c>
      <c r="AK75" s="1150"/>
      <c r="AL75" s="1151">
        <f t="shared" si="53"/>
        <v>0</v>
      </c>
      <c r="AM75" s="1152">
        <f t="shared" si="54"/>
        <v>0</v>
      </c>
      <c r="AN75" s="1153"/>
      <c r="AO75" s="1154">
        <f t="shared" si="55"/>
        <v>0</v>
      </c>
    </row>
    <row r="76" spans="1:41" s="492" customFormat="1" x14ac:dyDescent="0.2">
      <c r="A76" s="1155"/>
      <c r="B76" s="1139"/>
      <c r="C76" s="1123"/>
      <c r="D76" s="1140">
        <v>12</v>
      </c>
      <c r="E76" s="1140"/>
      <c r="F76" s="1141">
        <f t="shared" si="37"/>
        <v>0</v>
      </c>
      <c r="G76" s="1141">
        <f t="shared" si="38"/>
        <v>0</v>
      </c>
      <c r="H76" s="1142"/>
      <c r="I76" s="1143" t="e">
        <f t="shared" si="39"/>
        <v>#DIV/0!</v>
      </c>
      <c r="J76" s="1144">
        <f t="shared" si="40"/>
        <v>0</v>
      </c>
      <c r="K76" s="1145" t="e">
        <f t="shared" si="41"/>
        <v>#DIV/0!</v>
      </c>
      <c r="L76" s="1141"/>
      <c r="M76" s="1142"/>
      <c r="N76" s="1141">
        <f t="shared" si="42"/>
        <v>0</v>
      </c>
      <c r="O76" s="1143">
        <f t="shared" si="43"/>
        <v>0</v>
      </c>
      <c r="P76" s="1142"/>
      <c r="Q76" s="1142"/>
      <c r="R76" s="1142"/>
      <c r="S76" s="1142"/>
      <c r="T76" s="1141">
        <f t="shared" si="44"/>
        <v>0</v>
      </c>
      <c r="U76" s="1143"/>
      <c r="V76" s="1142"/>
      <c r="W76" s="1143">
        <f t="shared" si="45"/>
        <v>0</v>
      </c>
      <c r="X76" s="1143"/>
      <c r="Y76" s="1143">
        <f t="shared" si="46"/>
        <v>0</v>
      </c>
      <c r="Z76" s="1141">
        <f t="shared" si="47"/>
        <v>0</v>
      </c>
      <c r="AA76" s="1146">
        <f t="shared" si="48"/>
        <v>0</v>
      </c>
      <c r="AB76" s="1142"/>
      <c r="AC76" s="1142"/>
      <c r="AD76" s="1142"/>
      <c r="AE76" s="1142"/>
      <c r="AF76" s="1144">
        <f t="shared" si="49"/>
        <v>0</v>
      </c>
      <c r="AG76" s="1147"/>
      <c r="AH76" s="1148">
        <f t="shared" si="50"/>
        <v>0</v>
      </c>
      <c r="AI76" s="1148">
        <f t="shared" si="51"/>
        <v>0</v>
      </c>
      <c r="AJ76" s="1149">
        <f t="shared" si="52"/>
        <v>0</v>
      </c>
      <c r="AK76" s="1150"/>
      <c r="AL76" s="1151">
        <f t="shared" si="53"/>
        <v>0</v>
      </c>
      <c r="AM76" s="1152">
        <f t="shared" si="54"/>
        <v>0</v>
      </c>
      <c r="AN76" s="1153"/>
      <c r="AO76" s="1154">
        <f t="shared" si="55"/>
        <v>0</v>
      </c>
    </row>
    <row r="77" spans="1:41" s="492" customFormat="1" x14ac:dyDescent="0.2">
      <c r="A77" s="1155"/>
      <c r="B77" s="1139"/>
      <c r="C77" s="1123"/>
      <c r="D77" s="1140">
        <v>12</v>
      </c>
      <c r="E77" s="1140"/>
      <c r="F77" s="1141">
        <f t="shared" si="37"/>
        <v>0</v>
      </c>
      <c r="G77" s="1141">
        <f t="shared" si="38"/>
        <v>0</v>
      </c>
      <c r="H77" s="1142"/>
      <c r="I77" s="1143" t="e">
        <f t="shared" si="39"/>
        <v>#DIV/0!</v>
      </c>
      <c r="J77" s="1144">
        <f t="shared" si="40"/>
        <v>0</v>
      </c>
      <c r="K77" s="1145" t="e">
        <f t="shared" si="41"/>
        <v>#DIV/0!</v>
      </c>
      <c r="L77" s="1141"/>
      <c r="M77" s="1142"/>
      <c r="N77" s="1141">
        <f t="shared" si="42"/>
        <v>0</v>
      </c>
      <c r="O77" s="1143">
        <f t="shared" si="43"/>
        <v>0</v>
      </c>
      <c r="P77" s="1142"/>
      <c r="Q77" s="1142"/>
      <c r="R77" s="1142"/>
      <c r="S77" s="1142"/>
      <c r="T77" s="1141">
        <f t="shared" si="44"/>
        <v>0</v>
      </c>
      <c r="U77" s="1143"/>
      <c r="V77" s="1142"/>
      <c r="W77" s="1143">
        <f t="shared" si="45"/>
        <v>0</v>
      </c>
      <c r="X77" s="1143"/>
      <c r="Y77" s="1143">
        <f t="shared" si="46"/>
        <v>0</v>
      </c>
      <c r="Z77" s="1141">
        <f t="shared" si="47"/>
        <v>0</v>
      </c>
      <c r="AA77" s="1146">
        <f t="shared" si="48"/>
        <v>0</v>
      </c>
      <c r="AB77" s="1142"/>
      <c r="AC77" s="1142"/>
      <c r="AD77" s="1142"/>
      <c r="AE77" s="1142"/>
      <c r="AF77" s="1144">
        <f t="shared" si="49"/>
        <v>0</v>
      </c>
      <c r="AG77" s="1147"/>
      <c r="AH77" s="1148">
        <f t="shared" si="50"/>
        <v>0</v>
      </c>
      <c r="AI77" s="1148">
        <f t="shared" si="51"/>
        <v>0</v>
      </c>
      <c r="AJ77" s="1149">
        <f t="shared" si="52"/>
        <v>0</v>
      </c>
      <c r="AK77" s="1150"/>
      <c r="AL77" s="1151">
        <f t="shared" si="53"/>
        <v>0</v>
      </c>
      <c r="AM77" s="1152">
        <f t="shared" si="54"/>
        <v>0</v>
      </c>
      <c r="AN77" s="1153"/>
      <c r="AO77" s="1154">
        <f t="shared" si="55"/>
        <v>0</v>
      </c>
    </row>
    <row r="78" spans="1:41" s="492" customFormat="1" x14ac:dyDescent="0.2">
      <c r="A78" s="1155"/>
      <c r="B78" s="1139"/>
      <c r="C78" s="1123"/>
      <c r="D78" s="1140">
        <v>12</v>
      </c>
      <c r="E78" s="1140"/>
      <c r="F78" s="1141">
        <f t="shared" si="37"/>
        <v>0</v>
      </c>
      <c r="G78" s="1141">
        <f t="shared" si="38"/>
        <v>0</v>
      </c>
      <c r="H78" s="1142"/>
      <c r="I78" s="1143" t="e">
        <f t="shared" si="39"/>
        <v>#DIV/0!</v>
      </c>
      <c r="J78" s="1144">
        <f t="shared" si="40"/>
        <v>0</v>
      </c>
      <c r="K78" s="1145" t="e">
        <f t="shared" si="41"/>
        <v>#DIV/0!</v>
      </c>
      <c r="L78" s="1141"/>
      <c r="M78" s="1142"/>
      <c r="N78" s="1141">
        <f t="shared" si="42"/>
        <v>0</v>
      </c>
      <c r="O78" s="1143">
        <f t="shared" si="43"/>
        <v>0</v>
      </c>
      <c r="P78" s="1142"/>
      <c r="Q78" s="1142"/>
      <c r="R78" s="1142"/>
      <c r="S78" s="1142"/>
      <c r="T78" s="1141">
        <f t="shared" si="44"/>
        <v>0</v>
      </c>
      <c r="U78" s="1143"/>
      <c r="V78" s="1142"/>
      <c r="W78" s="1143">
        <f t="shared" si="45"/>
        <v>0</v>
      </c>
      <c r="X78" s="1143"/>
      <c r="Y78" s="1143">
        <f t="shared" si="46"/>
        <v>0</v>
      </c>
      <c r="Z78" s="1141">
        <f t="shared" si="47"/>
        <v>0</v>
      </c>
      <c r="AA78" s="1146">
        <f t="shared" si="48"/>
        <v>0</v>
      </c>
      <c r="AB78" s="1142"/>
      <c r="AC78" s="1142"/>
      <c r="AD78" s="1142"/>
      <c r="AE78" s="1142"/>
      <c r="AF78" s="1144">
        <f t="shared" si="49"/>
        <v>0</v>
      </c>
      <c r="AG78" s="1147"/>
      <c r="AH78" s="1148">
        <f t="shared" si="50"/>
        <v>0</v>
      </c>
      <c r="AI78" s="1148">
        <f t="shared" si="51"/>
        <v>0</v>
      </c>
      <c r="AJ78" s="1149">
        <f t="shared" si="52"/>
        <v>0</v>
      </c>
      <c r="AK78" s="1150"/>
      <c r="AL78" s="1151">
        <f t="shared" si="53"/>
        <v>0</v>
      </c>
      <c r="AM78" s="1152">
        <f t="shared" si="54"/>
        <v>0</v>
      </c>
      <c r="AN78" s="1153"/>
      <c r="AO78" s="1154">
        <f t="shared" si="55"/>
        <v>0</v>
      </c>
    </row>
    <row r="79" spans="1:41" s="492" customFormat="1" x14ac:dyDescent="0.2">
      <c r="A79" s="1155"/>
      <c r="B79" s="1139"/>
      <c r="C79" s="1123"/>
      <c r="D79" s="1140">
        <v>12</v>
      </c>
      <c r="E79" s="1140"/>
      <c r="F79" s="1141">
        <f t="shared" si="37"/>
        <v>0</v>
      </c>
      <c r="G79" s="1141">
        <f t="shared" si="38"/>
        <v>0</v>
      </c>
      <c r="H79" s="1142"/>
      <c r="I79" s="1143" t="e">
        <f t="shared" si="39"/>
        <v>#DIV/0!</v>
      </c>
      <c r="J79" s="1144">
        <f t="shared" si="40"/>
        <v>0</v>
      </c>
      <c r="K79" s="1145" t="e">
        <f t="shared" si="41"/>
        <v>#DIV/0!</v>
      </c>
      <c r="L79" s="1141"/>
      <c r="M79" s="1142"/>
      <c r="N79" s="1141">
        <f t="shared" si="42"/>
        <v>0</v>
      </c>
      <c r="O79" s="1143">
        <f t="shared" si="43"/>
        <v>0</v>
      </c>
      <c r="P79" s="1142"/>
      <c r="Q79" s="1142"/>
      <c r="R79" s="1142"/>
      <c r="S79" s="1142"/>
      <c r="T79" s="1141">
        <f t="shared" si="44"/>
        <v>0</v>
      </c>
      <c r="U79" s="1143"/>
      <c r="V79" s="1142"/>
      <c r="W79" s="1143">
        <f t="shared" si="45"/>
        <v>0</v>
      </c>
      <c r="X79" s="1143"/>
      <c r="Y79" s="1143">
        <f t="shared" si="46"/>
        <v>0</v>
      </c>
      <c r="Z79" s="1141">
        <f t="shared" si="47"/>
        <v>0</v>
      </c>
      <c r="AA79" s="1146">
        <f t="shared" si="48"/>
        <v>0</v>
      </c>
      <c r="AB79" s="1142"/>
      <c r="AC79" s="1142"/>
      <c r="AD79" s="1142"/>
      <c r="AE79" s="1142"/>
      <c r="AF79" s="1144">
        <f t="shared" si="49"/>
        <v>0</v>
      </c>
      <c r="AG79" s="1147"/>
      <c r="AH79" s="1148">
        <f t="shared" si="50"/>
        <v>0</v>
      </c>
      <c r="AI79" s="1148">
        <f t="shared" si="51"/>
        <v>0</v>
      </c>
      <c r="AJ79" s="1149">
        <f t="shared" si="52"/>
        <v>0</v>
      </c>
      <c r="AK79" s="1150"/>
      <c r="AL79" s="1151">
        <f t="shared" si="53"/>
        <v>0</v>
      </c>
      <c r="AM79" s="1152">
        <f t="shared" si="54"/>
        <v>0</v>
      </c>
      <c r="AN79" s="1153"/>
      <c r="AO79" s="1154">
        <f t="shared" si="55"/>
        <v>0</v>
      </c>
    </row>
    <row r="80" spans="1:41" s="492" customFormat="1" x14ac:dyDescent="0.2">
      <c r="A80" s="1155"/>
      <c r="B80" s="1139"/>
      <c r="C80" s="1123"/>
      <c r="D80" s="1140">
        <v>12</v>
      </c>
      <c r="E80" s="1140"/>
      <c r="F80" s="1141">
        <f t="shared" si="37"/>
        <v>0</v>
      </c>
      <c r="G80" s="1141">
        <f t="shared" si="38"/>
        <v>0</v>
      </c>
      <c r="H80" s="1142"/>
      <c r="I80" s="1143" t="e">
        <f t="shared" si="39"/>
        <v>#DIV/0!</v>
      </c>
      <c r="J80" s="1144">
        <f t="shared" si="40"/>
        <v>0</v>
      </c>
      <c r="K80" s="1145" t="e">
        <f t="shared" si="41"/>
        <v>#DIV/0!</v>
      </c>
      <c r="L80" s="1141"/>
      <c r="M80" s="1142"/>
      <c r="N80" s="1141">
        <f t="shared" si="42"/>
        <v>0</v>
      </c>
      <c r="O80" s="1143">
        <f t="shared" si="43"/>
        <v>0</v>
      </c>
      <c r="P80" s="1142"/>
      <c r="Q80" s="1142"/>
      <c r="R80" s="1142"/>
      <c r="S80" s="1142"/>
      <c r="T80" s="1141">
        <f t="shared" si="44"/>
        <v>0</v>
      </c>
      <c r="U80" s="1143"/>
      <c r="V80" s="1142"/>
      <c r="W80" s="1143">
        <f t="shared" si="45"/>
        <v>0</v>
      </c>
      <c r="X80" s="1143"/>
      <c r="Y80" s="1143">
        <f t="shared" si="46"/>
        <v>0</v>
      </c>
      <c r="Z80" s="1141">
        <f t="shared" si="47"/>
        <v>0</v>
      </c>
      <c r="AA80" s="1146">
        <f t="shared" si="48"/>
        <v>0</v>
      </c>
      <c r="AB80" s="1142"/>
      <c r="AC80" s="1142"/>
      <c r="AD80" s="1142"/>
      <c r="AE80" s="1142"/>
      <c r="AF80" s="1144">
        <f t="shared" si="49"/>
        <v>0</v>
      </c>
      <c r="AG80" s="1147"/>
      <c r="AH80" s="1148">
        <f t="shared" si="50"/>
        <v>0</v>
      </c>
      <c r="AI80" s="1148">
        <f t="shared" si="51"/>
        <v>0</v>
      </c>
      <c r="AJ80" s="1149">
        <f t="shared" si="52"/>
        <v>0</v>
      </c>
      <c r="AK80" s="1150"/>
      <c r="AL80" s="1151">
        <f t="shared" si="53"/>
        <v>0</v>
      </c>
      <c r="AM80" s="1152">
        <f t="shared" si="54"/>
        <v>0</v>
      </c>
      <c r="AN80" s="1153"/>
      <c r="AO80" s="1154">
        <f t="shared" si="55"/>
        <v>0</v>
      </c>
    </row>
    <row r="81" spans="1:41" s="492" customFormat="1" x14ac:dyDescent="0.2">
      <c r="A81" s="1155"/>
      <c r="B81" s="1139"/>
      <c r="C81" s="1123"/>
      <c r="D81" s="1140">
        <v>12</v>
      </c>
      <c r="E81" s="1140"/>
      <c r="F81" s="1141">
        <f t="shared" si="37"/>
        <v>0</v>
      </c>
      <c r="G81" s="1141">
        <f t="shared" si="38"/>
        <v>0</v>
      </c>
      <c r="H81" s="1142"/>
      <c r="I81" s="1143" t="e">
        <f t="shared" si="39"/>
        <v>#DIV/0!</v>
      </c>
      <c r="J81" s="1144">
        <f t="shared" si="40"/>
        <v>0</v>
      </c>
      <c r="K81" s="1145" t="e">
        <f t="shared" si="41"/>
        <v>#DIV/0!</v>
      </c>
      <c r="L81" s="1141"/>
      <c r="M81" s="1142"/>
      <c r="N81" s="1141">
        <f t="shared" si="42"/>
        <v>0</v>
      </c>
      <c r="O81" s="1143">
        <f t="shared" si="43"/>
        <v>0</v>
      </c>
      <c r="P81" s="1142"/>
      <c r="Q81" s="1142"/>
      <c r="R81" s="1142"/>
      <c r="S81" s="1142"/>
      <c r="T81" s="1141">
        <f t="shared" si="44"/>
        <v>0</v>
      </c>
      <c r="U81" s="1143"/>
      <c r="V81" s="1142"/>
      <c r="W81" s="1143">
        <f t="shared" si="45"/>
        <v>0</v>
      </c>
      <c r="X81" s="1143"/>
      <c r="Y81" s="1143">
        <f t="shared" si="46"/>
        <v>0</v>
      </c>
      <c r="Z81" s="1141">
        <f t="shared" si="47"/>
        <v>0</v>
      </c>
      <c r="AA81" s="1146">
        <f t="shared" si="48"/>
        <v>0</v>
      </c>
      <c r="AB81" s="1142"/>
      <c r="AC81" s="1142"/>
      <c r="AD81" s="1142"/>
      <c r="AE81" s="1142"/>
      <c r="AF81" s="1144">
        <f t="shared" si="49"/>
        <v>0</v>
      </c>
      <c r="AG81" s="1147"/>
      <c r="AH81" s="1148">
        <f t="shared" si="50"/>
        <v>0</v>
      </c>
      <c r="AI81" s="1148">
        <f t="shared" si="51"/>
        <v>0</v>
      </c>
      <c r="AJ81" s="1149">
        <f t="shared" si="52"/>
        <v>0</v>
      </c>
      <c r="AK81" s="1150"/>
      <c r="AL81" s="1151">
        <f t="shared" si="53"/>
        <v>0</v>
      </c>
      <c r="AM81" s="1152">
        <f t="shared" si="54"/>
        <v>0</v>
      </c>
      <c r="AN81" s="1153"/>
      <c r="AO81" s="1154">
        <f t="shared" si="55"/>
        <v>0</v>
      </c>
    </row>
    <row r="82" spans="1:41" s="492" customFormat="1" x14ac:dyDescent="0.2">
      <c r="A82" s="1155"/>
      <c r="B82" s="1139"/>
      <c r="C82" s="1123"/>
      <c r="D82" s="1140">
        <v>12</v>
      </c>
      <c r="E82" s="1140"/>
      <c r="F82" s="1141">
        <f t="shared" si="37"/>
        <v>0</v>
      </c>
      <c r="G82" s="1141">
        <f t="shared" si="38"/>
        <v>0</v>
      </c>
      <c r="H82" s="1142"/>
      <c r="I82" s="1143" t="e">
        <f t="shared" si="39"/>
        <v>#DIV/0!</v>
      </c>
      <c r="J82" s="1144">
        <f t="shared" si="40"/>
        <v>0</v>
      </c>
      <c r="K82" s="1145" t="e">
        <f t="shared" si="41"/>
        <v>#DIV/0!</v>
      </c>
      <c r="L82" s="1141"/>
      <c r="M82" s="1142"/>
      <c r="N82" s="1141">
        <f t="shared" si="42"/>
        <v>0</v>
      </c>
      <c r="O82" s="1143">
        <f t="shared" si="43"/>
        <v>0</v>
      </c>
      <c r="P82" s="1142"/>
      <c r="Q82" s="1142"/>
      <c r="R82" s="1142"/>
      <c r="S82" s="1142"/>
      <c r="T82" s="1141">
        <f t="shared" si="44"/>
        <v>0</v>
      </c>
      <c r="U82" s="1143"/>
      <c r="V82" s="1142"/>
      <c r="W82" s="1143">
        <f t="shared" si="45"/>
        <v>0</v>
      </c>
      <c r="X82" s="1143"/>
      <c r="Y82" s="1143">
        <f t="shared" si="46"/>
        <v>0</v>
      </c>
      <c r="Z82" s="1141">
        <f t="shared" si="47"/>
        <v>0</v>
      </c>
      <c r="AA82" s="1146">
        <f t="shared" si="48"/>
        <v>0</v>
      </c>
      <c r="AB82" s="1142"/>
      <c r="AC82" s="1142"/>
      <c r="AD82" s="1142"/>
      <c r="AE82" s="1142"/>
      <c r="AF82" s="1144">
        <f t="shared" si="49"/>
        <v>0</v>
      </c>
      <c r="AG82" s="1147"/>
      <c r="AH82" s="1148">
        <f t="shared" si="50"/>
        <v>0</v>
      </c>
      <c r="AI82" s="1148">
        <f t="shared" si="51"/>
        <v>0</v>
      </c>
      <c r="AJ82" s="1149">
        <f t="shared" si="52"/>
        <v>0</v>
      </c>
      <c r="AK82" s="1150"/>
      <c r="AL82" s="1151">
        <f t="shared" si="53"/>
        <v>0</v>
      </c>
      <c r="AM82" s="1152">
        <f t="shared" si="54"/>
        <v>0</v>
      </c>
      <c r="AN82" s="1153"/>
      <c r="AO82" s="1154">
        <f t="shared" si="55"/>
        <v>0</v>
      </c>
    </row>
    <row r="83" spans="1:41" s="492" customFormat="1" x14ac:dyDescent="0.2">
      <c r="A83" s="1155"/>
      <c r="B83" s="1139"/>
      <c r="C83" s="1123"/>
      <c r="D83" s="1140">
        <v>12</v>
      </c>
      <c r="E83" s="1140"/>
      <c r="F83" s="1141">
        <f t="shared" si="37"/>
        <v>0</v>
      </c>
      <c r="G83" s="1141">
        <f t="shared" si="38"/>
        <v>0</v>
      </c>
      <c r="H83" s="1142"/>
      <c r="I83" s="1143" t="e">
        <f t="shared" si="39"/>
        <v>#DIV/0!</v>
      </c>
      <c r="J83" s="1144">
        <f t="shared" si="40"/>
        <v>0</v>
      </c>
      <c r="K83" s="1145" t="e">
        <f t="shared" si="41"/>
        <v>#DIV/0!</v>
      </c>
      <c r="L83" s="1141"/>
      <c r="M83" s="1142"/>
      <c r="N83" s="1141">
        <f t="shared" si="42"/>
        <v>0</v>
      </c>
      <c r="O83" s="1143">
        <f t="shared" si="43"/>
        <v>0</v>
      </c>
      <c r="P83" s="1142"/>
      <c r="Q83" s="1142"/>
      <c r="R83" s="1142"/>
      <c r="S83" s="1142"/>
      <c r="T83" s="1141">
        <f t="shared" si="44"/>
        <v>0</v>
      </c>
      <c r="U83" s="1143"/>
      <c r="V83" s="1142"/>
      <c r="W83" s="1143">
        <f t="shared" si="45"/>
        <v>0</v>
      </c>
      <c r="X83" s="1143"/>
      <c r="Y83" s="1143">
        <f t="shared" si="46"/>
        <v>0</v>
      </c>
      <c r="Z83" s="1141">
        <f t="shared" si="47"/>
        <v>0</v>
      </c>
      <c r="AA83" s="1146">
        <f t="shared" si="48"/>
        <v>0</v>
      </c>
      <c r="AB83" s="1142"/>
      <c r="AC83" s="1142"/>
      <c r="AD83" s="1142"/>
      <c r="AE83" s="1142"/>
      <c r="AF83" s="1144">
        <f t="shared" si="49"/>
        <v>0</v>
      </c>
      <c r="AG83" s="1147"/>
      <c r="AH83" s="1148">
        <f t="shared" si="50"/>
        <v>0</v>
      </c>
      <c r="AI83" s="1148">
        <f t="shared" si="51"/>
        <v>0</v>
      </c>
      <c r="AJ83" s="1149">
        <f t="shared" si="52"/>
        <v>0</v>
      </c>
      <c r="AK83" s="1150"/>
      <c r="AL83" s="1151">
        <f t="shared" si="53"/>
        <v>0</v>
      </c>
      <c r="AM83" s="1152">
        <f t="shared" si="54"/>
        <v>0</v>
      </c>
      <c r="AN83" s="1153"/>
      <c r="AO83" s="1154">
        <f t="shared" si="55"/>
        <v>0</v>
      </c>
    </row>
    <row r="84" spans="1:41" s="492" customFormat="1" x14ac:dyDescent="0.2">
      <c r="A84" s="1155"/>
      <c r="B84" s="1139"/>
      <c r="C84" s="1123"/>
      <c r="D84" s="1140">
        <v>12</v>
      </c>
      <c r="E84" s="1140"/>
      <c r="F84" s="1141">
        <f t="shared" si="37"/>
        <v>0</v>
      </c>
      <c r="G84" s="1141">
        <f t="shared" si="38"/>
        <v>0</v>
      </c>
      <c r="H84" s="1142"/>
      <c r="I84" s="1143" t="e">
        <f t="shared" si="39"/>
        <v>#DIV/0!</v>
      </c>
      <c r="J84" s="1144">
        <f t="shared" si="40"/>
        <v>0</v>
      </c>
      <c r="K84" s="1145" t="e">
        <f t="shared" si="41"/>
        <v>#DIV/0!</v>
      </c>
      <c r="L84" s="1141"/>
      <c r="M84" s="1142"/>
      <c r="N84" s="1141">
        <f t="shared" si="42"/>
        <v>0</v>
      </c>
      <c r="O84" s="1143">
        <f t="shared" si="43"/>
        <v>0</v>
      </c>
      <c r="P84" s="1142"/>
      <c r="Q84" s="1142"/>
      <c r="R84" s="1142"/>
      <c r="S84" s="1142"/>
      <c r="T84" s="1141">
        <f t="shared" si="44"/>
        <v>0</v>
      </c>
      <c r="U84" s="1143"/>
      <c r="V84" s="1142"/>
      <c r="W84" s="1143">
        <f t="shared" si="45"/>
        <v>0</v>
      </c>
      <c r="X84" s="1143"/>
      <c r="Y84" s="1143">
        <f t="shared" si="46"/>
        <v>0</v>
      </c>
      <c r="Z84" s="1141">
        <f t="shared" si="47"/>
        <v>0</v>
      </c>
      <c r="AA84" s="1146">
        <f t="shared" si="48"/>
        <v>0</v>
      </c>
      <c r="AB84" s="1142"/>
      <c r="AC84" s="1142"/>
      <c r="AD84" s="1142"/>
      <c r="AE84" s="1142"/>
      <c r="AF84" s="1144">
        <f t="shared" si="49"/>
        <v>0</v>
      </c>
      <c r="AG84" s="1147"/>
      <c r="AH84" s="1148">
        <f t="shared" si="50"/>
        <v>0</v>
      </c>
      <c r="AI84" s="1148">
        <f t="shared" si="51"/>
        <v>0</v>
      </c>
      <c r="AJ84" s="1149">
        <f t="shared" si="52"/>
        <v>0</v>
      </c>
      <c r="AK84" s="1150"/>
      <c r="AL84" s="1151">
        <f t="shared" si="53"/>
        <v>0</v>
      </c>
      <c r="AM84" s="1152">
        <f t="shared" si="54"/>
        <v>0</v>
      </c>
      <c r="AN84" s="1153"/>
      <c r="AO84" s="1154">
        <f t="shared" si="55"/>
        <v>0</v>
      </c>
    </row>
    <row r="85" spans="1:41" s="492" customFormat="1" x14ac:dyDescent="0.2">
      <c r="A85" s="1155"/>
      <c r="B85" s="1139"/>
      <c r="C85" s="1123"/>
      <c r="D85" s="1140">
        <v>12</v>
      </c>
      <c r="E85" s="1140"/>
      <c r="F85" s="1141">
        <f t="shared" si="37"/>
        <v>0</v>
      </c>
      <c r="G85" s="1141">
        <f t="shared" si="38"/>
        <v>0</v>
      </c>
      <c r="H85" s="1142"/>
      <c r="I85" s="1143" t="e">
        <f t="shared" si="39"/>
        <v>#DIV/0!</v>
      </c>
      <c r="J85" s="1144">
        <f t="shared" si="40"/>
        <v>0</v>
      </c>
      <c r="K85" s="1145" t="e">
        <f t="shared" si="41"/>
        <v>#DIV/0!</v>
      </c>
      <c r="L85" s="1141"/>
      <c r="M85" s="1142"/>
      <c r="N85" s="1141">
        <f t="shared" si="42"/>
        <v>0</v>
      </c>
      <c r="O85" s="1143">
        <f t="shared" si="43"/>
        <v>0</v>
      </c>
      <c r="P85" s="1142"/>
      <c r="Q85" s="1142"/>
      <c r="R85" s="1142"/>
      <c r="S85" s="1142"/>
      <c r="T85" s="1141">
        <f t="shared" si="44"/>
        <v>0</v>
      </c>
      <c r="U85" s="1143"/>
      <c r="V85" s="1142"/>
      <c r="W85" s="1143">
        <f t="shared" si="45"/>
        <v>0</v>
      </c>
      <c r="X85" s="1143"/>
      <c r="Y85" s="1143">
        <f t="shared" si="46"/>
        <v>0</v>
      </c>
      <c r="Z85" s="1141">
        <f t="shared" si="47"/>
        <v>0</v>
      </c>
      <c r="AA85" s="1146">
        <f t="shared" si="48"/>
        <v>0</v>
      </c>
      <c r="AB85" s="1142"/>
      <c r="AC85" s="1142"/>
      <c r="AD85" s="1142"/>
      <c r="AE85" s="1142"/>
      <c r="AF85" s="1144">
        <f t="shared" si="49"/>
        <v>0</v>
      </c>
      <c r="AG85" s="1147"/>
      <c r="AH85" s="1148">
        <f t="shared" si="50"/>
        <v>0</v>
      </c>
      <c r="AI85" s="1148">
        <f t="shared" si="51"/>
        <v>0</v>
      </c>
      <c r="AJ85" s="1149">
        <f t="shared" si="52"/>
        <v>0</v>
      </c>
      <c r="AK85" s="1150"/>
      <c r="AL85" s="1151">
        <f t="shared" si="53"/>
        <v>0</v>
      </c>
      <c r="AM85" s="1152">
        <f t="shared" si="54"/>
        <v>0</v>
      </c>
      <c r="AN85" s="1153"/>
      <c r="AO85" s="1154">
        <f t="shared" si="55"/>
        <v>0</v>
      </c>
    </row>
    <row r="86" spans="1:41" s="492" customFormat="1" x14ac:dyDescent="0.2">
      <c r="A86" s="1155"/>
      <c r="B86" s="1139"/>
      <c r="C86" s="1123"/>
      <c r="D86" s="1140">
        <v>12</v>
      </c>
      <c r="E86" s="1140"/>
      <c r="F86" s="1141">
        <f t="shared" si="37"/>
        <v>0</v>
      </c>
      <c r="G86" s="1141">
        <f t="shared" si="38"/>
        <v>0</v>
      </c>
      <c r="H86" s="1142"/>
      <c r="I86" s="1143" t="e">
        <f t="shared" si="39"/>
        <v>#DIV/0!</v>
      </c>
      <c r="J86" s="1144">
        <f t="shared" si="40"/>
        <v>0</v>
      </c>
      <c r="K86" s="1145" t="e">
        <f t="shared" si="41"/>
        <v>#DIV/0!</v>
      </c>
      <c r="L86" s="1141"/>
      <c r="M86" s="1142"/>
      <c r="N86" s="1141">
        <f t="shared" si="42"/>
        <v>0</v>
      </c>
      <c r="O86" s="1143">
        <f t="shared" si="43"/>
        <v>0</v>
      </c>
      <c r="P86" s="1142"/>
      <c r="Q86" s="1142"/>
      <c r="R86" s="1142"/>
      <c r="S86" s="1142"/>
      <c r="T86" s="1141">
        <f t="shared" si="44"/>
        <v>0</v>
      </c>
      <c r="U86" s="1143"/>
      <c r="V86" s="1142"/>
      <c r="W86" s="1143">
        <f t="shared" si="45"/>
        <v>0</v>
      </c>
      <c r="X86" s="1143"/>
      <c r="Y86" s="1143">
        <f t="shared" si="46"/>
        <v>0</v>
      </c>
      <c r="Z86" s="1141">
        <f t="shared" si="47"/>
        <v>0</v>
      </c>
      <c r="AA86" s="1146">
        <f t="shared" si="48"/>
        <v>0</v>
      </c>
      <c r="AB86" s="1142"/>
      <c r="AC86" s="1142"/>
      <c r="AD86" s="1142"/>
      <c r="AE86" s="1142"/>
      <c r="AF86" s="1144">
        <f t="shared" si="49"/>
        <v>0</v>
      </c>
      <c r="AG86" s="1147"/>
      <c r="AH86" s="1148">
        <f t="shared" si="50"/>
        <v>0</v>
      </c>
      <c r="AI86" s="1148">
        <f t="shared" si="51"/>
        <v>0</v>
      </c>
      <c r="AJ86" s="1149">
        <f t="shared" si="52"/>
        <v>0</v>
      </c>
      <c r="AK86" s="1150"/>
      <c r="AL86" s="1151">
        <f t="shared" si="53"/>
        <v>0</v>
      </c>
      <c r="AM86" s="1152">
        <f t="shared" si="54"/>
        <v>0</v>
      </c>
      <c r="AN86" s="1153"/>
      <c r="AO86" s="1154">
        <f t="shared" si="55"/>
        <v>0</v>
      </c>
    </row>
    <row r="87" spans="1:41" s="492" customFormat="1" x14ac:dyDescent="0.2">
      <c r="A87" s="1155"/>
      <c r="B87" s="1139"/>
      <c r="C87" s="1123"/>
      <c r="D87" s="1140">
        <v>12</v>
      </c>
      <c r="E87" s="1140"/>
      <c r="F87" s="1141">
        <f t="shared" si="37"/>
        <v>0</v>
      </c>
      <c r="G87" s="1141">
        <f t="shared" si="38"/>
        <v>0</v>
      </c>
      <c r="H87" s="1142"/>
      <c r="I87" s="1143" t="e">
        <f t="shared" si="39"/>
        <v>#DIV/0!</v>
      </c>
      <c r="J87" s="1144">
        <f t="shared" si="40"/>
        <v>0</v>
      </c>
      <c r="K87" s="1145" t="e">
        <f t="shared" si="41"/>
        <v>#DIV/0!</v>
      </c>
      <c r="L87" s="1141"/>
      <c r="M87" s="1142"/>
      <c r="N87" s="1141">
        <f t="shared" si="42"/>
        <v>0</v>
      </c>
      <c r="O87" s="1143">
        <f t="shared" si="43"/>
        <v>0</v>
      </c>
      <c r="P87" s="1142"/>
      <c r="Q87" s="1142"/>
      <c r="R87" s="1142"/>
      <c r="S87" s="1142"/>
      <c r="T87" s="1141">
        <f t="shared" si="44"/>
        <v>0</v>
      </c>
      <c r="U87" s="1143"/>
      <c r="V87" s="1142"/>
      <c r="W87" s="1143">
        <f t="shared" si="45"/>
        <v>0</v>
      </c>
      <c r="X87" s="1143"/>
      <c r="Y87" s="1143">
        <f t="shared" si="46"/>
        <v>0</v>
      </c>
      <c r="Z87" s="1141">
        <f t="shared" si="47"/>
        <v>0</v>
      </c>
      <c r="AA87" s="1146">
        <f t="shared" si="48"/>
        <v>0</v>
      </c>
      <c r="AB87" s="1142"/>
      <c r="AC87" s="1142"/>
      <c r="AD87" s="1142"/>
      <c r="AE87" s="1142"/>
      <c r="AF87" s="1144">
        <f t="shared" si="49"/>
        <v>0</v>
      </c>
      <c r="AG87" s="1147"/>
      <c r="AH87" s="1148">
        <f t="shared" si="50"/>
        <v>0</v>
      </c>
      <c r="AI87" s="1148">
        <f t="shared" si="51"/>
        <v>0</v>
      </c>
      <c r="AJ87" s="1149">
        <f t="shared" si="52"/>
        <v>0</v>
      </c>
      <c r="AK87" s="1150"/>
      <c r="AL87" s="1151">
        <f t="shared" si="53"/>
        <v>0</v>
      </c>
      <c r="AM87" s="1152">
        <f t="shared" si="54"/>
        <v>0</v>
      </c>
      <c r="AN87" s="1153"/>
      <c r="AO87" s="1154">
        <f t="shared" si="55"/>
        <v>0</v>
      </c>
    </row>
    <row r="88" spans="1:41" s="492" customFormat="1" x14ac:dyDescent="0.2">
      <c r="A88" s="1155"/>
      <c r="B88" s="1139"/>
      <c r="C88" s="1123"/>
      <c r="D88" s="1140">
        <v>12</v>
      </c>
      <c r="E88" s="1140"/>
      <c r="F88" s="1141">
        <f t="shared" ref="F88:F106" si="56">(D88*E88*52.2/12)</f>
        <v>0</v>
      </c>
      <c r="G88" s="1141">
        <f t="shared" ref="G88:G106" si="57">IF(ISERROR(F88/(261*D88/12)),0,F88/(261*D88/12))</f>
        <v>0</v>
      </c>
      <c r="H88" s="1142"/>
      <c r="I88" s="1143" t="e">
        <f t="shared" ref="I88:I106" si="58">IF(K88="",0,O88/K88-F88)</f>
        <v>#DIV/0!</v>
      </c>
      <c r="J88" s="1144">
        <f t="shared" ref="J88:J106" si="59">F88+H88</f>
        <v>0</v>
      </c>
      <c r="K88" s="1145" t="e">
        <f t="shared" ref="K88:K106" si="60">L88/J88</f>
        <v>#DIV/0!</v>
      </c>
      <c r="L88" s="1141"/>
      <c r="M88" s="1142"/>
      <c r="N88" s="1141">
        <f t="shared" ref="N88:N106" si="61">IF(ISERROR(M88/J88),0,M88/J88)</f>
        <v>0</v>
      </c>
      <c r="O88" s="1143">
        <f t="shared" ref="O88:O106" si="62">U88-SUM(P88:S88)</f>
        <v>0</v>
      </c>
      <c r="P88" s="1142"/>
      <c r="Q88" s="1142"/>
      <c r="R88" s="1142"/>
      <c r="S88" s="1142"/>
      <c r="T88" s="1141">
        <f t="shared" ref="T88:T106" si="63">L88+M88+SUM(P88:S88)</f>
        <v>0</v>
      </c>
      <c r="U88" s="1143"/>
      <c r="V88" s="1142"/>
      <c r="W88" s="1143">
        <f t="shared" ref="W88:W106" si="64">IF(ISERROR((X88+Y88)/U88*100),0,(X88+Y88)/U88*100)</f>
        <v>0</v>
      </c>
      <c r="X88" s="1143"/>
      <c r="Y88" s="1143">
        <f t="shared" ref="Y88:Y106" si="65">IF(ISERROR($Y$107/$U$107*U88),0,$Y$107/$U$107*U88)</f>
        <v>0</v>
      </c>
      <c r="Z88" s="1141">
        <f t="shared" ref="Z88:Z106" si="66">T88*V88/100</f>
        <v>0</v>
      </c>
      <c r="AA88" s="1146">
        <f t="shared" ref="AA88:AA106" si="67">T88+Z88</f>
        <v>0</v>
      </c>
      <c r="AB88" s="1142"/>
      <c r="AC88" s="1142"/>
      <c r="AD88" s="1142"/>
      <c r="AE88" s="1142"/>
      <c r="AF88" s="1144">
        <f t="shared" ref="AF88:AF106" si="68">SUM(AB88:AE88)</f>
        <v>0</v>
      </c>
      <c r="AG88" s="1147"/>
      <c r="AH88" s="1148">
        <f t="shared" ref="AH88:AH106" si="69">AG88*AA88</f>
        <v>0</v>
      </c>
      <c r="AI88" s="1148">
        <f t="shared" ref="AI88:AI106" si="70">AA88-AH88</f>
        <v>0</v>
      </c>
      <c r="AJ88" s="1149">
        <f t="shared" ref="AJ88:AJ106" si="71">(J88-(AF88*G88))*AG88</f>
        <v>0</v>
      </c>
      <c r="AK88" s="1150"/>
      <c r="AL88" s="1151">
        <f t="shared" ref="AL88:AL106" si="72">AJ88*AK88</f>
        <v>0</v>
      </c>
      <c r="AM88" s="1152">
        <f t="shared" ref="AM88:AM106" si="73">IF(ISERROR(+AH88/AL88),0,+AH88/AL88)</f>
        <v>0</v>
      </c>
      <c r="AN88" s="1153"/>
      <c r="AO88" s="1154">
        <f t="shared" ref="AO88:AO106" si="74">AN88*AL88</f>
        <v>0</v>
      </c>
    </row>
    <row r="89" spans="1:41" s="492" customFormat="1" x14ac:dyDescent="0.2">
      <c r="A89" s="1155"/>
      <c r="B89" s="1139"/>
      <c r="C89" s="1123"/>
      <c r="D89" s="1140">
        <v>12</v>
      </c>
      <c r="E89" s="1140"/>
      <c r="F89" s="1141">
        <f t="shared" si="56"/>
        <v>0</v>
      </c>
      <c r="G89" s="1141">
        <f t="shared" si="57"/>
        <v>0</v>
      </c>
      <c r="H89" s="1142"/>
      <c r="I89" s="1143" t="e">
        <f t="shared" si="58"/>
        <v>#DIV/0!</v>
      </c>
      <c r="J89" s="1144">
        <f t="shared" si="59"/>
        <v>0</v>
      </c>
      <c r="K89" s="1145" t="e">
        <f t="shared" si="60"/>
        <v>#DIV/0!</v>
      </c>
      <c r="L89" s="1141"/>
      <c r="M89" s="1142"/>
      <c r="N89" s="1141">
        <f t="shared" si="61"/>
        <v>0</v>
      </c>
      <c r="O89" s="1143">
        <f t="shared" si="62"/>
        <v>0</v>
      </c>
      <c r="P89" s="1142"/>
      <c r="Q89" s="1142"/>
      <c r="R89" s="1142"/>
      <c r="S89" s="1142"/>
      <c r="T89" s="1141">
        <f t="shared" si="63"/>
        <v>0</v>
      </c>
      <c r="U89" s="1143"/>
      <c r="V89" s="1142"/>
      <c r="W89" s="1143">
        <f t="shared" si="64"/>
        <v>0</v>
      </c>
      <c r="X89" s="1143"/>
      <c r="Y89" s="1143">
        <f t="shared" si="65"/>
        <v>0</v>
      </c>
      <c r="Z89" s="1141">
        <f t="shared" si="66"/>
        <v>0</v>
      </c>
      <c r="AA89" s="1146">
        <f t="shared" si="67"/>
        <v>0</v>
      </c>
      <c r="AB89" s="1142"/>
      <c r="AC89" s="1142"/>
      <c r="AD89" s="1142"/>
      <c r="AE89" s="1142"/>
      <c r="AF89" s="1144">
        <f t="shared" si="68"/>
        <v>0</v>
      </c>
      <c r="AG89" s="1147"/>
      <c r="AH89" s="1148">
        <f t="shared" si="69"/>
        <v>0</v>
      </c>
      <c r="AI89" s="1148">
        <f t="shared" si="70"/>
        <v>0</v>
      </c>
      <c r="AJ89" s="1149">
        <f t="shared" si="71"/>
        <v>0</v>
      </c>
      <c r="AK89" s="1150"/>
      <c r="AL89" s="1151">
        <f t="shared" si="72"/>
        <v>0</v>
      </c>
      <c r="AM89" s="1152">
        <f t="shared" si="73"/>
        <v>0</v>
      </c>
      <c r="AN89" s="1153"/>
      <c r="AO89" s="1154">
        <f t="shared" si="74"/>
        <v>0</v>
      </c>
    </row>
    <row r="90" spans="1:41" s="492" customFormat="1" x14ac:dyDescent="0.2">
      <c r="A90" s="1155"/>
      <c r="B90" s="1139"/>
      <c r="C90" s="1123"/>
      <c r="D90" s="1140">
        <v>12</v>
      </c>
      <c r="E90" s="1140"/>
      <c r="F90" s="1141">
        <f t="shared" si="56"/>
        <v>0</v>
      </c>
      <c r="G90" s="1141">
        <f t="shared" si="57"/>
        <v>0</v>
      </c>
      <c r="H90" s="1142"/>
      <c r="I90" s="1143" t="e">
        <f t="shared" si="58"/>
        <v>#DIV/0!</v>
      </c>
      <c r="J90" s="1144">
        <f t="shared" si="59"/>
        <v>0</v>
      </c>
      <c r="K90" s="1145" t="e">
        <f t="shared" si="60"/>
        <v>#DIV/0!</v>
      </c>
      <c r="L90" s="1141"/>
      <c r="M90" s="1142"/>
      <c r="N90" s="1141">
        <f t="shared" si="61"/>
        <v>0</v>
      </c>
      <c r="O90" s="1143">
        <f t="shared" si="62"/>
        <v>0</v>
      </c>
      <c r="P90" s="1142"/>
      <c r="Q90" s="1142"/>
      <c r="R90" s="1142"/>
      <c r="S90" s="1142"/>
      <c r="T90" s="1141">
        <f t="shared" si="63"/>
        <v>0</v>
      </c>
      <c r="U90" s="1143"/>
      <c r="V90" s="1142"/>
      <c r="W90" s="1143">
        <f t="shared" si="64"/>
        <v>0</v>
      </c>
      <c r="X90" s="1143"/>
      <c r="Y90" s="1143">
        <f t="shared" si="65"/>
        <v>0</v>
      </c>
      <c r="Z90" s="1141">
        <f t="shared" si="66"/>
        <v>0</v>
      </c>
      <c r="AA90" s="1146">
        <f t="shared" si="67"/>
        <v>0</v>
      </c>
      <c r="AB90" s="1142"/>
      <c r="AC90" s="1142"/>
      <c r="AD90" s="1142"/>
      <c r="AE90" s="1142"/>
      <c r="AF90" s="1144">
        <f t="shared" si="68"/>
        <v>0</v>
      </c>
      <c r="AG90" s="1147"/>
      <c r="AH90" s="1148">
        <f t="shared" si="69"/>
        <v>0</v>
      </c>
      <c r="AI90" s="1148">
        <f t="shared" si="70"/>
        <v>0</v>
      </c>
      <c r="AJ90" s="1149">
        <f t="shared" si="71"/>
        <v>0</v>
      </c>
      <c r="AK90" s="1150"/>
      <c r="AL90" s="1151">
        <f t="shared" si="72"/>
        <v>0</v>
      </c>
      <c r="AM90" s="1152">
        <f t="shared" si="73"/>
        <v>0</v>
      </c>
      <c r="AN90" s="1153"/>
      <c r="AO90" s="1154">
        <f t="shared" si="74"/>
        <v>0</v>
      </c>
    </row>
    <row r="91" spans="1:41" s="492" customFormat="1" x14ac:dyDescent="0.2">
      <c r="A91" s="1155"/>
      <c r="B91" s="1139"/>
      <c r="C91" s="1123"/>
      <c r="D91" s="1140">
        <v>12</v>
      </c>
      <c r="E91" s="1140"/>
      <c r="F91" s="1141">
        <f t="shared" si="56"/>
        <v>0</v>
      </c>
      <c r="G91" s="1141">
        <f t="shared" si="57"/>
        <v>0</v>
      </c>
      <c r="H91" s="1142"/>
      <c r="I91" s="1143" t="e">
        <f t="shared" si="58"/>
        <v>#DIV/0!</v>
      </c>
      <c r="J91" s="1144">
        <f t="shared" si="59"/>
        <v>0</v>
      </c>
      <c r="K91" s="1145" t="e">
        <f t="shared" si="60"/>
        <v>#DIV/0!</v>
      </c>
      <c r="L91" s="1141"/>
      <c r="M91" s="1142"/>
      <c r="N91" s="1141">
        <f t="shared" si="61"/>
        <v>0</v>
      </c>
      <c r="O91" s="1143">
        <f t="shared" si="62"/>
        <v>0</v>
      </c>
      <c r="P91" s="1142"/>
      <c r="Q91" s="1142"/>
      <c r="R91" s="1142"/>
      <c r="S91" s="1142"/>
      <c r="T91" s="1141">
        <f t="shared" si="63"/>
        <v>0</v>
      </c>
      <c r="U91" s="1143"/>
      <c r="V91" s="1142"/>
      <c r="W91" s="1143">
        <f t="shared" si="64"/>
        <v>0</v>
      </c>
      <c r="X91" s="1143"/>
      <c r="Y91" s="1143">
        <f t="shared" si="65"/>
        <v>0</v>
      </c>
      <c r="Z91" s="1141">
        <f t="shared" si="66"/>
        <v>0</v>
      </c>
      <c r="AA91" s="1146">
        <f t="shared" si="67"/>
        <v>0</v>
      </c>
      <c r="AB91" s="1142"/>
      <c r="AC91" s="1142"/>
      <c r="AD91" s="1142"/>
      <c r="AE91" s="1142"/>
      <c r="AF91" s="1144">
        <f t="shared" si="68"/>
        <v>0</v>
      </c>
      <c r="AG91" s="1147"/>
      <c r="AH91" s="1148">
        <f t="shared" si="69"/>
        <v>0</v>
      </c>
      <c r="AI91" s="1148">
        <f t="shared" si="70"/>
        <v>0</v>
      </c>
      <c r="AJ91" s="1149">
        <f t="shared" si="71"/>
        <v>0</v>
      </c>
      <c r="AK91" s="1150"/>
      <c r="AL91" s="1151">
        <f t="shared" si="72"/>
        <v>0</v>
      </c>
      <c r="AM91" s="1152">
        <f t="shared" si="73"/>
        <v>0</v>
      </c>
      <c r="AN91" s="1153"/>
      <c r="AO91" s="1154">
        <f t="shared" si="74"/>
        <v>0</v>
      </c>
    </row>
    <row r="92" spans="1:41" s="492" customFormat="1" x14ac:dyDescent="0.2">
      <c r="A92" s="1155"/>
      <c r="B92" s="1139"/>
      <c r="C92" s="1123"/>
      <c r="D92" s="1140">
        <v>12</v>
      </c>
      <c r="E92" s="1140"/>
      <c r="F92" s="1141">
        <f t="shared" si="56"/>
        <v>0</v>
      </c>
      <c r="G92" s="1141">
        <f t="shared" si="57"/>
        <v>0</v>
      </c>
      <c r="H92" s="1142"/>
      <c r="I92" s="1143" t="e">
        <f t="shared" si="58"/>
        <v>#DIV/0!</v>
      </c>
      <c r="J92" s="1144">
        <f t="shared" si="59"/>
        <v>0</v>
      </c>
      <c r="K92" s="1145" t="e">
        <f t="shared" si="60"/>
        <v>#DIV/0!</v>
      </c>
      <c r="L92" s="1141"/>
      <c r="M92" s="1142"/>
      <c r="N92" s="1141">
        <f t="shared" si="61"/>
        <v>0</v>
      </c>
      <c r="O92" s="1143">
        <f t="shared" si="62"/>
        <v>0</v>
      </c>
      <c r="P92" s="1142"/>
      <c r="Q92" s="1142"/>
      <c r="R92" s="1142"/>
      <c r="S92" s="1142"/>
      <c r="T92" s="1141">
        <f t="shared" si="63"/>
        <v>0</v>
      </c>
      <c r="U92" s="1143"/>
      <c r="V92" s="1142"/>
      <c r="W92" s="1143">
        <f t="shared" si="64"/>
        <v>0</v>
      </c>
      <c r="X92" s="1143"/>
      <c r="Y92" s="1143">
        <f t="shared" si="65"/>
        <v>0</v>
      </c>
      <c r="Z92" s="1141">
        <f t="shared" si="66"/>
        <v>0</v>
      </c>
      <c r="AA92" s="1146">
        <f t="shared" si="67"/>
        <v>0</v>
      </c>
      <c r="AB92" s="1142"/>
      <c r="AC92" s="1142"/>
      <c r="AD92" s="1142"/>
      <c r="AE92" s="1142"/>
      <c r="AF92" s="1144">
        <f t="shared" si="68"/>
        <v>0</v>
      </c>
      <c r="AG92" s="1147"/>
      <c r="AH92" s="1148">
        <f t="shared" si="69"/>
        <v>0</v>
      </c>
      <c r="AI92" s="1148">
        <f t="shared" si="70"/>
        <v>0</v>
      </c>
      <c r="AJ92" s="1149">
        <f t="shared" si="71"/>
        <v>0</v>
      </c>
      <c r="AK92" s="1150"/>
      <c r="AL92" s="1151">
        <f t="shared" si="72"/>
        <v>0</v>
      </c>
      <c r="AM92" s="1152">
        <f t="shared" si="73"/>
        <v>0</v>
      </c>
      <c r="AN92" s="1153"/>
      <c r="AO92" s="1154">
        <f t="shared" si="74"/>
        <v>0</v>
      </c>
    </row>
    <row r="93" spans="1:41" s="492" customFormat="1" x14ac:dyDescent="0.2">
      <c r="A93" s="1155"/>
      <c r="B93" s="1139"/>
      <c r="C93" s="1123"/>
      <c r="D93" s="1140">
        <v>12</v>
      </c>
      <c r="E93" s="1140"/>
      <c r="F93" s="1141">
        <f t="shared" si="56"/>
        <v>0</v>
      </c>
      <c r="G93" s="1141">
        <f t="shared" si="57"/>
        <v>0</v>
      </c>
      <c r="H93" s="1142"/>
      <c r="I93" s="1143" t="e">
        <f t="shared" si="58"/>
        <v>#DIV/0!</v>
      </c>
      <c r="J93" s="1144">
        <f t="shared" si="59"/>
        <v>0</v>
      </c>
      <c r="K93" s="1145" t="e">
        <f t="shared" si="60"/>
        <v>#DIV/0!</v>
      </c>
      <c r="L93" s="1141"/>
      <c r="M93" s="1142"/>
      <c r="N93" s="1141">
        <f t="shared" si="61"/>
        <v>0</v>
      </c>
      <c r="O93" s="1143">
        <f t="shared" si="62"/>
        <v>0</v>
      </c>
      <c r="P93" s="1142"/>
      <c r="Q93" s="1142"/>
      <c r="R93" s="1142"/>
      <c r="S93" s="1142"/>
      <c r="T93" s="1141">
        <f t="shared" si="63"/>
        <v>0</v>
      </c>
      <c r="U93" s="1143"/>
      <c r="V93" s="1142"/>
      <c r="W93" s="1143">
        <f t="shared" si="64"/>
        <v>0</v>
      </c>
      <c r="X93" s="1143"/>
      <c r="Y93" s="1143">
        <f t="shared" si="65"/>
        <v>0</v>
      </c>
      <c r="Z93" s="1141">
        <f t="shared" si="66"/>
        <v>0</v>
      </c>
      <c r="AA93" s="1146">
        <f t="shared" si="67"/>
        <v>0</v>
      </c>
      <c r="AB93" s="1142"/>
      <c r="AC93" s="1142"/>
      <c r="AD93" s="1142"/>
      <c r="AE93" s="1142"/>
      <c r="AF93" s="1144">
        <f t="shared" si="68"/>
        <v>0</v>
      </c>
      <c r="AG93" s="1147"/>
      <c r="AH93" s="1148">
        <f t="shared" si="69"/>
        <v>0</v>
      </c>
      <c r="AI93" s="1148">
        <f t="shared" si="70"/>
        <v>0</v>
      </c>
      <c r="AJ93" s="1149">
        <f t="shared" si="71"/>
        <v>0</v>
      </c>
      <c r="AK93" s="1150"/>
      <c r="AL93" s="1151">
        <f t="shared" si="72"/>
        <v>0</v>
      </c>
      <c r="AM93" s="1152">
        <f t="shared" si="73"/>
        <v>0</v>
      </c>
      <c r="AN93" s="1153"/>
      <c r="AO93" s="1154">
        <f t="shared" si="74"/>
        <v>0</v>
      </c>
    </row>
    <row r="94" spans="1:41" s="492" customFormat="1" x14ac:dyDescent="0.2">
      <c r="A94" s="1155"/>
      <c r="B94" s="1139"/>
      <c r="C94" s="1123"/>
      <c r="D94" s="1140">
        <v>12</v>
      </c>
      <c r="E94" s="1140"/>
      <c r="F94" s="1141">
        <f t="shared" si="56"/>
        <v>0</v>
      </c>
      <c r="G94" s="1141">
        <f t="shared" si="57"/>
        <v>0</v>
      </c>
      <c r="H94" s="1142"/>
      <c r="I94" s="1143" t="e">
        <f t="shared" si="58"/>
        <v>#DIV/0!</v>
      </c>
      <c r="J94" s="1144">
        <f t="shared" si="59"/>
        <v>0</v>
      </c>
      <c r="K94" s="1145" t="e">
        <f t="shared" si="60"/>
        <v>#DIV/0!</v>
      </c>
      <c r="L94" s="1141"/>
      <c r="M94" s="1142"/>
      <c r="N94" s="1141">
        <f t="shared" si="61"/>
        <v>0</v>
      </c>
      <c r="O94" s="1143">
        <f t="shared" si="62"/>
        <v>0</v>
      </c>
      <c r="P94" s="1142"/>
      <c r="Q94" s="1142"/>
      <c r="R94" s="1142"/>
      <c r="S94" s="1142"/>
      <c r="T94" s="1141">
        <f t="shared" si="63"/>
        <v>0</v>
      </c>
      <c r="U94" s="1143"/>
      <c r="V94" s="1142"/>
      <c r="W94" s="1143">
        <f t="shared" si="64"/>
        <v>0</v>
      </c>
      <c r="X94" s="1143"/>
      <c r="Y94" s="1143">
        <f t="shared" si="65"/>
        <v>0</v>
      </c>
      <c r="Z94" s="1141">
        <f t="shared" si="66"/>
        <v>0</v>
      </c>
      <c r="AA94" s="1146">
        <f t="shared" si="67"/>
        <v>0</v>
      </c>
      <c r="AB94" s="1142"/>
      <c r="AC94" s="1142"/>
      <c r="AD94" s="1142"/>
      <c r="AE94" s="1142"/>
      <c r="AF94" s="1144">
        <f t="shared" si="68"/>
        <v>0</v>
      </c>
      <c r="AG94" s="1147"/>
      <c r="AH94" s="1148">
        <f t="shared" si="69"/>
        <v>0</v>
      </c>
      <c r="AI94" s="1148">
        <f t="shared" si="70"/>
        <v>0</v>
      </c>
      <c r="AJ94" s="1149">
        <f t="shared" si="71"/>
        <v>0</v>
      </c>
      <c r="AK94" s="1150"/>
      <c r="AL94" s="1151">
        <f t="shared" si="72"/>
        <v>0</v>
      </c>
      <c r="AM94" s="1152">
        <f t="shared" si="73"/>
        <v>0</v>
      </c>
      <c r="AN94" s="1153"/>
      <c r="AO94" s="1154">
        <f t="shared" si="74"/>
        <v>0</v>
      </c>
    </row>
    <row r="95" spans="1:41" s="492" customFormat="1" x14ac:dyDescent="0.2">
      <c r="A95" s="1155"/>
      <c r="B95" s="1139"/>
      <c r="C95" s="1123"/>
      <c r="D95" s="1140">
        <v>12</v>
      </c>
      <c r="E95" s="1140"/>
      <c r="F95" s="1141">
        <f t="shared" si="56"/>
        <v>0</v>
      </c>
      <c r="G95" s="1141">
        <f t="shared" si="57"/>
        <v>0</v>
      </c>
      <c r="H95" s="1142"/>
      <c r="I95" s="1143" t="e">
        <f t="shared" si="58"/>
        <v>#DIV/0!</v>
      </c>
      <c r="J95" s="1144">
        <f t="shared" si="59"/>
        <v>0</v>
      </c>
      <c r="K95" s="1145" t="e">
        <f t="shared" si="60"/>
        <v>#DIV/0!</v>
      </c>
      <c r="L95" s="1141"/>
      <c r="M95" s="1142"/>
      <c r="N95" s="1141">
        <f t="shared" si="61"/>
        <v>0</v>
      </c>
      <c r="O95" s="1143">
        <f t="shared" si="62"/>
        <v>0</v>
      </c>
      <c r="P95" s="1142"/>
      <c r="Q95" s="1142"/>
      <c r="R95" s="1142"/>
      <c r="S95" s="1142"/>
      <c r="T95" s="1141">
        <f t="shared" si="63"/>
        <v>0</v>
      </c>
      <c r="U95" s="1143"/>
      <c r="V95" s="1142"/>
      <c r="W95" s="1143">
        <f t="shared" si="64"/>
        <v>0</v>
      </c>
      <c r="X95" s="1143"/>
      <c r="Y95" s="1143">
        <f t="shared" si="65"/>
        <v>0</v>
      </c>
      <c r="Z95" s="1141">
        <f t="shared" si="66"/>
        <v>0</v>
      </c>
      <c r="AA95" s="1146">
        <f t="shared" si="67"/>
        <v>0</v>
      </c>
      <c r="AB95" s="1142"/>
      <c r="AC95" s="1142"/>
      <c r="AD95" s="1142"/>
      <c r="AE95" s="1142"/>
      <c r="AF95" s="1144">
        <f t="shared" si="68"/>
        <v>0</v>
      </c>
      <c r="AG95" s="1147"/>
      <c r="AH95" s="1148">
        <f t="shared" si="69"/>
        <v>0</v>
      </c>
      <c r="AI95" s="1148">
        <f t="shared" si="70"/>
        <v>0</v>
      </c>
      <c r="AJ95" s="1149">
        <f t="shared" si="71"/>
        <v>0</v>
      </c>
      <c r="AK95" s="1150"/>
      <c r="AL95" s="1151">
        <f t="shared" si="72"/>
        <v>0</v>
      </c>
      <c r="AM95" s="1152">
        <f t="shared" si="73"/>
        <v>0</v>
      </c>
      <c r="AN95" s="1153"/>
      <c r="AO95" s="1154">
        <f t="shared" si="74"/>
        <v>0</v>
      </c>
    </row>
    <row r="96" spans="1:41" s="492" customFormat="1" x14ac:dyDescent="0.2">
      <c r="A96" s="1155"/>
      <c r="B96" s="1139"/>
      <c r="C96" s="1123"/>
      <c r="D96" s="1140">
        <v>12</v>
      </c>
      <c r="E96" s="1140"/>
      <c r="F96" s="1141">
        <f t="shared" si="56"/>
        <v>0</v>
      </c>
      <c r="G96" s="1141">
        <f t="shared" si="57"/>
        <v>0</v>
      </c>
      <c r="H96" s="1142"/>
      <c r="I96" s="1143" t="e">
        <f t="shared" si="58"/>
        <v>#DIV/0!</v>
      </c>
      <c r="J96" s="1144">
        <f t="shared" si="59"/>
        <v>0</v>
      </c>
      <c r="K96" s="1145" t="e">
        <f t="shared" si="60"/>
        <v>#DIV/0!</v>
      </c>
      <c r="L96" s="1141"/>
      <c r="M96" s="1142"/>
      <c r="N96" s="1141">
        <f t="shared" si="61"/>
        <v>0</v>
      </c>
      <c r="O96" s="1143">
        <f t="shared" si="62"/>
        <v>0</v>
      </c>
      <c r="P96" s="1142"/>
      <c r="Q96" s="1142"/>
      <c r="R96" s="1142"/>
      <c r="S96" s="1142"/>
      <c r="T96" s="1141">
        <f t="shared" si="63"/>
        <v>0</v>
      </c>
      <c r="U96" s="1143"/>
      <c r="V96" s="1142"/>
      <c r="W96" s="1143">
        <f t="shared" si="64"/>
        <v>0</v>
      </c>
      <c r="X96" s="1143"/>
      <c r="Y96" s="1143">
        <f t="shared" si="65"/>
        <v>0</v>
      </c>
      <c r="Z96" s="1141">
        <f t="shared" si="66"/>
        <v>0</v>
      </c>
      <c r="AA96" s="1146">
        <f t="shared" si="67"/>
        <v>0</v>
      </c>
      <c r="AB96" s="1142"/>
      <c r="AC96" s="1142"/>
      <c r="AD96" s="1142"/>
      <c r="AE96" s="1142"/>
      <c r="AF96" s="1144">
        <f t="shared" si="68"/>
        <v>0</v>
      </c>
      <c r="AG96" s="1147"/>
      <c r="AH96" s="1148">
        <f t="shared" si="69"/>
        <v>0</v>
      </c>
      <c r="AI96" s="1148">
        <f t="shared" si="70"/>
        <v>0</v>
      </c>
      <c r="AJ96" s="1149">
        <f t="shared" si="71"/>
        <v>0</v>
      </c>
      <c r="AK96" s="1150"/>
      <c r="AL96" s="1151">
        <f t="shared" si="72"/>
        <v>0</v>
      </c>
      <c r="AM96" s="1152">
        <f t="shared" si="73"/>
        <v>0</v>
      </c>
      <c r="AN96" s="1153"/>
      <c r="AO96" s="1154">
        <f t="shared" si="74"/>
        <v>0</v>
      </c>
    </row>
    <row r="97" spans="1:41" s="492" customFormat="1" x14ac:dyDescent="0.2">
      <c r="A97" s="1155"/>
      <c r="B97" s="1139"/>
      <c r="C97" s="1123"/>
      <c r="D97" s="1140">
        <v>12</v>
      </c>
      <c r="E97" s="1140"/>
      <c r="F97" s="1141">
        <f t="shared" si="56"/>
        <v>0</v>
      </c>
      <c r="G97" s="1141">
        <f t="shared" si="57"/>
        <v>0</v>
      </c>
      <c r="H97" s="1142"/>
      <c r="I97" s="1143" t="e">
        <f t="shared" si="58"/>
        <v>#DIV/0!</v>
      </c>
      <c r="J97" s="1144">
        <f t="shared" si="59"/>
        <v>0</v>
      </c>
      <c r="K97" s="1145" t="e">
        <f t="shared" si="60"/>
        <v>#DIV/0!</v>
      </c>
      <c r="L97" s="1141"/>
      <c r="M97" s="1142"/>
      <c r="N97" s="1141">
        <f t="shared" si="61"/>
        <v>0</v>
      </c>
      <c r="O97" s="1143">
        <f t="shared" si="62"/>
        <v>0</v>
      </c>
      <c r="P97" s="1142"/>
      <c r="Q97" s="1142"/>
      <c r="R97" s="1142"/>
      <c r="S97" s="1142"/>
      <c r="T97" s="1141">
        <f t="shared" si="63"/>
        <v>0</v>
      </c>
      <c r="U97" s="1143"/>
      <c r="V97" s="1142"/>
      <c r="W97" s="1143">
        <f t="shared" si="64"/>
        <v>0</v>
      </c>
      <c r="X97" s="1143"/>
      <c r="Y97" s="1143">
        <f t="shared" si="65"/>
        <v>0</v>
      </c>
      <c r="Z97" s="1141">
        <f t="shared" si="66"/>
        <v>0</v>
      </c>
      <c r="AA97" s="1146">
        <f t="shared" si="67"/>
        <v>0</v>
      </c>
      <c r="AB97" s="1142"/>
      <c r="AC97" s="1142"/>
      <c r="AD97" s="1142"/>
      <c r="AE97" s="1142"/>
      <c r="AF97" s="1144">
        <f t="shared" si="68"/>
        <v>0</v>
      </c>
      <c r="AG97" s="1147"/>
      <c r="AH97" s="1148">
        <f t="shared" si="69"/>
        <v>0</v>
      </c>
      <c r="AI97" s="1148">
        <f t="shared" si="70"/>
        <v>0</v>
      </c>
      <c r="AJ97" s="1149">
        <f t="shared" si="71"/>
        <v>0</v>
      </c>
      <c r="AK97" s="1150"/>
      <c r="AL97" s="1151">
        <f t="shared" si="72"/>
        <v>0</v>
      </c>
      <c r="AM97" s="1152">
        <f t="shared" si="73"/>
        <v>0</v>
      </c>
      <c r="AN97" s="1153"/>
      <c r="AO97" s="1154">
        <f t="shared" si="74"/>
        <v>0</v>
      </c>
    </row>
    <row r="98" spans="1:41" s="492" customFormat="1" x14ac:dyDescent="0.2">
      <c r="A98" s="1155"/>
      <c r="B98" s="1139"/>
      <c r="C98" s="1123"/>
      <c r="D98" s="1140">
        <v>12</v>
      </c>
      <c r="E98" s="1140"/>
      <c r="F98" s="1141">
        <f t="shared" si="56"/>
        <v>0</v>
      </c>
      <c r="G98" s="1141">
        <f t="shared" si="57"/>
        <v>0</v>
      </c>
      <c r="H98" s="1142"/>
      <c r="I98" s="1143" t="e">
        <f t="shared" si="58"/>
        <v>#DIV/0!</v>
      </c>
      <c r="J98" s="1144">
        <f t="shared" si="59"/>
        <v>0</v>
      </c>
      <c r="K98" s="1145" t="e">
        <f t="shared" si="60"/>
        <v>#DIV/0!</v>
      </c>
      <c r="L98" s="1141"/>
      <c r="M98" s="1142"/>
      <c r="N98" s="1141">
        <f t="shared" si="61"/>
        <v>0</v>
      </c>
      <c r="O98" s="1143">
        <f t="shared" si="62"/>
        <v>0</v>
      </c>
      <c r="P98" s="1142"/>
      <c r="Q98" s="1142"/>
      <c r="R98" s="1142"/>
      <c r="S98" s="1142"/>
      <c r="T98" s="1141">
        <f t="shared" si="63"/>
        <v>0</v>
      </c>
      <c r="U98" s="1143"/>
      <c r="V98" s="1142"/>
      <c r="W98" s="1143">
        <f t="shared" si="64"/>
        <v>0</v>
      </c>
      <c r="X98" s="1143"/>
      <c r="Y98" s="1143">
        <f t="shared" si="65"/>
        <v>0</v>
      </c>
      <c r="Z98" s="1141">
        <f t="shared" si="66"/>
        <v>0</v>
      </c>
      <c r="AA98" s="1146">
        <f t="shared" si="67"/>
        <v>0</v>
      </c>
      <c r="AB98" s="1142"/>
      <c r="AC98" s="1142"/>
      <c r="AD98" s="1142"/>
      <c r="AE98" s="1142"/>
      <c r="AF98" s="1144">
        <f t="shared" si="68"/>
        <v>0</v>
      </c>
      <c r="AG98" s="1147"/>
      <c r="AH98" s="1148">
        <f t="shared" si="69"/>
        <v>0</v>
      </c>
      <c r="AI98" s="1148">
        <f t="shared" si="70"/>
        <v>0</v>
      </c>
      <c r="AJ98" s="1149">
        <f t="shared" si="71"/>
        <v>0</v>
      </c>
      <c r="AK98" s="1150"/>
      <c r="AL98" s="1151">
        <f t="shared" si="72"/>
        <v>0</v>
      </c>
      <c r="AM98" s="1152">
        <f t="shared" si="73"/>
        <v>0</v>
      </c>
      <c r="AN98" s="1153"/>
      <c r="AO98" s="1154">
        <f t="shared" si="74"/>
        <v>0</v>
      </c>
    </row>
    <row r="99" spans="1:41" s="492" customFormat="1" x14ac:dyDescent="0.2">
      <c r="A99" s="1155"/>
      <c r="B99" s="1139"/>
      <c r="C99" s="1123"/>
      <c r="D99" s="1140">
        <v>12</v>
      </c>
      <c r="E99" s="1140"/>
      <c r="F99" s="1141">
        <f t="shared" si="56"/>
        <v>0</v>
      </c>
      <c r="G99" s="1141">
        <f t="shared" si="57"/>
        <v>0</v>
      </c>
      <c r="H99" s="1142"/>
      <c r="I99" s="1143" t="e">
        <f t="shared" si="58"/>
        <v>#DIV/0!</v>
      </c>
      <c r="J99" s="1144">
        <f t="shared" si="59"/>
        <v>0</v>
      </c>
      <c r="K99" s="1145" t="e">
        <f t="shared" si="60"/>
        <v>#DIV/0!</v>
      </c>
      <c r="L99" s="1141"/>
      <c r="M99" s="1142"/>
      <c r="N99" s="1141">
        <f t="shared" si="61"/>
        <v>0</v>
      </c>
      <c r="O99" s="1143">
        <f t="shared" si="62"/>
        <v>0</v>
      </c>
      <c r="P99" s="1142"/>
      <c r="Q99" s="1142"/>
      <c r="R99" s="1142"/>
      <c r="S99" s="1142"/>
      <c r="T99" s="1141">
        <f t="shared" si="63"/>
        <v>0</v>
      </c>
      <c r="U99" s="1143"/>
      <c r="V99" s="1142"/>
      <c r="W99" s="1143">
        <f t="shared" si="64"/>
        <v>0</v>
      </c>
      <c r="X99" s="1143"/>
      <c r="Y99" s="1143">
        <f t="shared" si="65"/>
        <v>0</v>
      </c>
      <c r="Z99" s="1141">
        <f t="shared" si="66"/>
        <v>0</v>
      </c>
      <c r="AA99" s="1146">
        <f t="shared" si="67"/>
        <v>0</v>
      </c>
      <c r="AB99" s="1142"/>
      <c r="AC99" s="1142"/>
      <c r="AD99" s="1142"/>
      <c r="AE99" s="1142"/>
      <c r="AF99" s="1144">
        <f t="shared" si="68"/>
        <v>0</v>
      </c>
      <c r="AG99" s="1147"/>
      <c r="AH99" s="1148">
        <f t="shared" si="69"/>
        <v>0</v>
      </c>
      <c r="AI99" s="1148">
        <f t="shared" si="70"/>
        <v>0</v>
      </c>
      <c r="AJ99" s="1149">
        <f t="shared" si="71"/>
        <v>0</v>
      </c>
      <c r="AK99" s="1150"/>
      <c r="AL99" s="1151">
        <f t="shared" si="72"/>
        <v>0</v>
      </c>
      <c r="AM99" s="1152">
        <f t="shared" si="73"/>
        <v>0</v>
      </c>
      <c r="AN99" s="1153"/>
      <c r="AO99" s="1154">
        <f t="shared" si="74"/>
        <v>0</v>
      </c>
    </row>
    <row r="100" spans="1:41" s="492" customFormat="1" x14ac:dyDescent="0.2">
      <c r="A100" s="1155"/>
      <c r="B100" s="1139"/>
      <c r="C100" s="1123"/>
      <c r="D100" s="1140">
        <v>12</v>
      </c>
      <c r="E100" s="1140"/>
      <c r="F100" s="1141">
        <f t="shared" si="56"/>
        <v>0</v>
      </c>
      <c r="G100" s="1141">
        <f t="shared" si="57"/>
        <v>0</v>
      </c>
      <c r="H100" s="1142"/>
      <c r="I100" s="1143" t="e">
        <f t="shared" si="58"/>
        <v>#DIV/0!</v>
      </c>
      <c r="J100" s="1144">
        <f t="shared" si="59"/>
        <v>0</v>
      </c>
      <c r="K100" s="1145" t="e">
        <f t="shared" si="60"/>
        <v>#DIV/0!</v>
      </c>
      <c r="L100" s="1141"/>
      <c r="M100" s="1142"/>
      <c r="N100" s="1141">
        <f t="shared" si="61"/>
        <v>0</v>
      </c>
      <c r="O100" s="1143">
        <f t="shared" si="62"/>
        <v>0</v>
      </c>
      <c r="P100" s="1142"/>
      <c r="Q100" s="1142"/>
      <c r="R100" s="1142"/>
      <c r="S100" s="1142"/>
      <c r="T100" s="1141">
        <f t="shared" si="63"/>
        <v>0</v>
      </c>
      <c r="U100" s="1143"/>
      <c r="V100" s="1142"/>
      <c r="W100" s="1143">
        <f t="shared" si="64"/>
        <v>0</v>
      </c>
      <c r="X100" s="1143"/>
      <c r="Y100" s="1143">
        <f t="shared" si="65"/>
        <v>0</v>
      </c>
      <c r="Z100" s="1141">
        <f t="shared" si="66"/>
        <v>0</v>
      </c>
      <c r="AA100" s="1146">
        <f t="shared" si="67"/>
        <v>0</v>
      </c>
      <c r="AB100" s="1142"/>
      <c r="AC100" s="1142"/>
      <c r="AD100" s="1142"/>
      <c r="AE100" s="1142"/>
      <c r="AF100" s="1144">
        <f t="shared" si="68"/>
        <v>0</v>
      </c>
      <c r="AG100" s="1147"/>
      <c r="AH100" s="1148">
        <f t="shared" si="69"/>
        <v>0</v>
      </c>
      <c r="AI100" s="1148">
        <f t="shared" si="70"/>
        <v>0</v>
      </c>
      <c r="AJ100" s="1149">
        <f t="shared" si="71"/>
        <v>0</v>
      </c>
      <c r="AK100" s="1150"/>
      <c r="AL100" s="1151">
        <f t="shared" si="72"/>
        <v>0</v>
      </c>
      <c r="AM100" s="1152">
        <f t="shared" si="73"/>
        <v>0</v>
      </c>
      <c r="AN100" s="1153"/>
      <c r="AO100" s="1154">
        <f t="shared" si="74"/>
        <v>0</v>
      </c>
    </row>
    <row r="101" spans="1:41" s="492" customFormat="1" x14ac:dyDescent="0.2">
      <c r="A101" s="1155"/>
      <c r="B101" s="1139"/>
      <c r="C101" s="1123"/>
      <c r="D101" s="1140">
        <v>12</v>
      </c>
      <c r="E101" s="1140"/>
      <c r="F101" s="1141">
        <f t="shared" si="56"/>
        <v>0</v>
      </c>
      <c r="G101" s="1141">
        <f t="shared" si="57"/>
        <v>0</v>
      </c>
      <c r="H101" s="1142"/>
      <c r="I101" s="1143" t="e">
        <f t="shared" si="58"/>
        <v>#DIV/0!</v>
      </c>
      <c r="J101" s="1144">
        <f t="shared" si="59"/>
        <v>0</v>
      </c>
      <c r="K101" s="1145" t="e">
        <f t="shared" si="60"/>
        <v>#DIV/0!</v>
      </c>
      <c r="L101" s="1141"/>
      <c r="M101" s="1142"/>
      <c r="N101" s="1141">
        <f t="shared" si="61"/>
        <v>0</v>
      </c>
      <c r="O101" s="1143">
        <f t="shared" si="62"/>
        <v>0</v>
      </c>
      <c r="P101" s="1142"/>
      <c r="Q101" s="1142"/>
      <c r="R101" s="1142"/>
      <c r="S101" s="1142"/>
      <c r="T101" s="1141">
        <f t="shared" si="63"/>
        <v>0</v>
      </c>
      <c r="U101" s="1143"/>
      <c r="V101" s="1142"/>
      <c r="W101" s="1143">
        <f t="shared" si="64"/>
        <v>0</v>
      </c>
      <c r="X101" s="1143"/>
      <c r="Y101" s="1143">
        <f t="shared" si="65"/>
        <v>0</v>
      </c>
      <c r="Z101" s="1141">
        <f t="shared" si="66"/>
        <v>0</v>
      </c>
      <c r="AA101" s="1146">
        <f t="shared" si="67"/>
        <v>0</v>
      </c>
      <c r="AB101" s="1142"/>
      <c r="AC101" s="1142"/>
      <c r="AD101" s="1142"/>
      <c r="AE101" s="1142"/>
      <c r="AF101" s="1144">
        <f t="shared" si="68"/>
        <v>0</v>
      </c>
      <c r="AG101" s="1147"/>
      <c r="AH101" s="1148">
        <f t="shared" si="69"/>
        <v>0</v>
      </c>
      <c r="AI101" s="1148">
        <f t="shared" si="70"/>
        <v>0</v>
      </c>
      <c r="AJ101" s="1149">
        <f t="shared" si="71"/>
        <v>0</v>
      </c>
      <c r="AK101" s="1150"/>
      <c r="AL101" s="1151">
        <f t="shared" si="72"/>
        <v>0</v>
      </c>
      <c r="AM101" s="1152">
        <f t="shared" si="73"/>
        <v>0</v>
      </c>
      <c r="AN101" s="1153"/>
      <c r="AO101" s="1154">
        <f t="shared" si="74"/>
        <v>0</v>
      </c>
    </row>
    <row r="102" spans="1:41" s="492" customFormat="1" x14ac:dyDescent="0.2">
      <c r="A102" s="1155"/>
      <c r="B102" s="1139"/>
      <c r="C102" s="1123"/>
      <c r="D102" s="1140">
        <v>12</v>
      </c>
      <c r="E102" s="1140"/>
      <c r="F102" s="1141">
        <f t="shared" si="56"/>
        <v>0</v>
      </c>
      <c r="G102" s="1141">
        <f t="shared" si="57"/>
        <v>0</v>
      </c>
      <c r="H102" s="1142"/>
      <c r="I102" s="1143" t="e">
        <f t="shared" si="58"/>
        <v>#DIV/0!</v>
      </c>
      <c r="J102" s="1144">
        <f t="shared" si="59"/>
        <v>0</v>
      </c>
      <c r="K102" s="1145" t="e">
        <f t="shared" si="60"/>
        <v>#DIV/0!</v>
      </c>
      <c r="L102" s="1141"/>
      <c r="M102" s="1142"/>
      <c r="N102" s="1141">
        <f t="shared" si="61"/>
        <v>0</v>
      </c>
      <c r="O102" s="1143">
        <f t="shared" si="62"/>
        <v>0</v>
      </c>
      <c r="P102" s="1142"/>
      <c r="Q102" s="1142"/>
      <c r="R102" s="1142"/>
      <c r="S102" s="1142"/>
      <c r="T102" s="1141">
        <f t="shared" si="63"/>
        <v>0</v>
      </c>
      <c r="U102" s="1143"/>
      <c r="V102" s="1142"/>
      <c r="W102" s="1143">
        <f t="shared" si="64"/>
        <v>0</v>
      </c>
      <c r="X102" s="1143"/>
      <c r="Y102" s="1143">
        <f t="shared" si="65"/>
        <v>0</v>
      </c>
      <c r="Z102" s="1141">
        <f t="shared" si="66"/>
        <v>0</v>
      </c>
      <c r="AA102" s="1146">
        <f t="shared" si="67"/>
        <v>0</v>
      </c>
      <c r="AB102" s="1142"/>
      <c r="AC102" s="1142"/>
      <c r="AD102" s="1142"/>
      <c r="AE102" s="1142"/>
      <c r="AF102" s="1144">
        <f t="shared" si="68"/>
        <v>0</v>
      </c>
      <c r="AG102" s="1147"/>
      <c r="AH102" s="1148">
        <f t="shared" si="69"/>
        <v>0</v>
      </c>
      <c r="AI102" s="1148">
        <f t="shared" si="70"/>
        <v>0</v>
      </c>
      <c r="AJ102" s="1149">
        <f t="shared" si="71"/>
        <v>0</v>
      </c>
      <c r="AK102" s="1150"/>
      <c r="AL102" s="1151">
        <f t="shared" si="72"/>
        <v>0</v>
      </c>
      <c r="AM102" s="1152">
        <f t="shared" si="73"/>
        <v>0</v>
      </c>
      <c r="AN102" s="1153"/>
      <c r="AO102" s="1154">
        <f t="shared" si="74"/>
        <v>0</v>
      </c>
    </row>
    <row r="103" spans="1:41" s="492" customFormat="1" x14ac:dyDescent="0.2">
      <c r="A103" s="1155"/>
      <c r="B103" s="1139"/>
      <c r="C103" s="1123"/>
      <c r="D103" s="1140">
        <v>12</v>
      </c>
      <c r="E103" s="1140"/>
      <c r="F103" s="1141">
        <f t="shared" si="56"/>
        <v>0</v>
      </c>
      <c r="G103" s="1141">
        <f t="shared" si="57"/>
        <v>0</v>
      </c>
      <c r="H103" s="1142"/>
      <c r="I103" s="1143" t="e">
        <f t="shared" si="58"/>
        <v>#DIV/0!</v>
      </c>
      <c r="J103" s="1144">
        <f t="shared" si="59"/>
        <v>0</v>
      </c>
      <c r="K103" s="1145" t="e">
        <f t="shared" si="60"/>
        <v>#DIV/0!</v>
      </c>
      <c r="L103" s="1141"/>
      <c r="M103" s="1142"/>
      <c r="N103" s="1141">
        <f t="shared" si="61"/>
        <v>0</v>
      </c>
      <c r="O103" s="1143">
        <f t="shared" si="62"/>
        <v>0</v>
      </c>
      <c r="P103" s="1142"/>
      <c r="Q103" s="1142"/>
      <c r="R103" s="1142"/>
      <c r="S103" s="1142"/>
      <c r="T103" s="1141">
        <f t="shared" si="63"/>
        <v>0</v>
      </c>
      <c r="U103" s="1143"/>
      <c r="V103" s="1142"/>
      <c r="W103" s="1143">
        <f t="shared" si="64"/>
        <v>0</v>
      </c>
      <c r="X103" s="1143"/>
      <c r="Y103" s="1143">
        <f t="shared" si="65"/>
        <v>0</v>
      </c>
      <c r="Z103" s="1141">
        <f t="shared" si="66"/>
        <v>0</v>
      </c>
      <c r="AA103" s="1146">
        <f t="shared" si="67"/>
        <v>0</v>
      </c>
      <c r="AB103" s="1142"/>
      <c r="AC103" s="1142"/>
      <c r="AD103" s="1142"/>
      <c r="AE103" s="1142"/>
      <c r="AF103" s="1144">
        <f t="shared" si="68"/>
        <v>0</v>
      </c>
      <c r="AG103" s="1147"/>
      <c r="AH103" s="1148">
        <f t="shared" si="69"/>
        <v>0</v>
      </c>
      <c r="AI103" s="1148">
        <f t="shared" si="70"/>
        <v>0</v>
      </c>
      <c r="AJ103" s="1149">
        <f t="shared" si="71"/>
        <v>0</v>
      </c>
      <c r="AK103" s="1150"/>
      <c r="AL103" s="1151">
        <f t="shared" si="72"/>
        <v>0</v>
      </c>
      <c r="AM103" s="1152">
        <f t="shared" si="73"/>
        <v>0</v>
      </c>
      <c r="AN103" s="1153"/>
      <c r="AO103" s="1154">
        <f t="shared" si="74"/>
        <v>0</v>
      </c>
    </row>
    <row r="104" spans="1:41" s="492" customFormat="1" x14ac:dyDescent="0.2">
      <c r="A104" s="1155"/>
      <c r="B104" s="1139"/>
      <c r="C104" s="1123"/>
      <c r="D104" s="1140">
        <v>12</v>
      </c>
      <c r="E104" s="1140"/>
      <c r="F104" s="1141">
        <f t="shared" si="56"/>
        <v>0</v>
      </c>
      <c r="G104" s="1141">
        <f t="shared" si="57"/>
        <v>0</v>
      </c>
      <c r="H104" s="1142"/>
      <c r="I104" s="1143" t="e">
        <f t="shared" si="58"/>
        <v>#DIV/0!</v>
      </c>
      <c r="J104" s="1144">
        <f t="shared" si="59"/>
        <v>0</v>
      </c>
      <c r="K104" s="1145" t="e">
        <f t="shared" si="60"/>
        <v>#DIV/0!</v>
      </c>
      <c r="L104" s="1141"/>
      <c r="M104" s="1142"/>
      <c r="N104" s="1141">
        <f t="shared" si="61"/>
        <v>0</v>
      </c>
      <c r="O104" s="1143">
        <f t="shared" si="62"/>
        <v>0</v>
      </c>
      <c r="P104" s="1142"/>
      <c r="Q104" s="1142"/>
      <c r="R104" s="1142"/>
      <c r="S104" s="1142"/>
      <c r="T104" s="1141">
        <f t="shared" si="63"/>
        <v>0</v>
      </c>
      <c r="U104" s="1143"/>
      <c r="V104" s="1142"/>
      <c r="W104" s="1143">
        <f t="shared" si="64"/>
        <v>0</v>
      </c>
      <c r="X104" s="1143"/>
      <c r="Y104" s="1143">
        <f t="shared" si="65"/>
        <v>0</v>
      </c>
      <c r="Z104" s="1141">
        <f t="shared" si="66"/>
        <v>0</v>
      </c>
      <c r="AA104" s="1146">
        <f t="shared" si="67"/>
        <v>0</v>
      </c>
      <c r="AB104" s="1142"/>
      <c r="AC104" s="1142"/>
      <c r="AD104" s="1142"/>
      <c r="AE104" s="1142"/>
      <c r="AF104" s="1144">
        <f t="shared" si="68"/>
        <v>0</v>
      </c>
      <c r="AG104" s="1147"/>
      <c r="AH104" s="1148">
        <f t="shared" si="69"/>
        <v>0</v>
      </c>
      <c r="AI104" s="1148">
        <f t="shared" si="70"/>
        <v>0</v>
      </c>
      <c r="AJ104" s="1149">
        <f t="shared" si="71"/>
        <v>0</v>
      </c>
      <c r="AK104" s="1150"/>
      <c r="AL104" s="1151">
        <f t="shared" si="72"/>
        <v>0</v>
      </c>
      <c r="AM104" s="1152">
        <f t="shared" si="73"/>
        <v>0</v>
      </c>
      <c r="AN104" s="1153"/>
      <c r="AO104" s="1154">
        <f t="shared" si="74"/>
        <v>0</v>
      </c>
    </row>
    <row r="105" spans="1:41" s="492" customFormat="1" x14ac:dyDescent="0.2">
      <c r="A105" s="1155"/>
      <c r="B105" s="1139"/>
      <c r="C105" s="1123"/>
      <c r="D105" s="1140">
        <v>12</v>
      </c>
      <c r="E105" s="1140"/>
      <c r="F105" s="1141">
        <f t="shared" si="56"/>
        <v>0</v>
      </c>
      <c r="G105" s="1141">
        <f t="shared" si="57"/>
        <v>0</v>
      </c>
      <c r="H105" s="1142"/>
      <c r="I105" s="1143" t="e">
        <f t="shared" si="58"/>
        <v>#DIV/0!</v>
      </c>
      <c r="J105" s="1144">
        <f t="shared" si="59"/>
        <v>0</v>
      </c>
      <c r="K105" s="1145" t="e">
        <f t="shared" si="60"/>
        <v>#DIV/0!</v>
      </c>
      <c r="L105" s="1141"/>
      <c r="M105" s="1142"/>
      <c r="N105" s="1141">
        <f t="shared" si="61"/>
        <v>0</v>
      </c>
      <c r="O105" s="1143">
        <f t="shared" si="62"/>
        <v>0</v>
      </c>
      <c r="P105" s="1142"/>
      <c r="Q105" s="1142"/>
      <c r="R105" s="1142"/>
      <c r="S105" s="1142"/>
      <c r="T105" s="1141">
        <f t="shared" si="63"/>
        <v>0</v>
      </c>
      <c r="U105" s="1143"/>
      <c r="V105" s="1142"/>
      <c r="W105" s="1143">
        <f t="shared" si="64"/>
        <v>0</v>
      </c>
      <c r="X105" s="1143"/>
      <c r="Y105" s="1143">
        <f t="shared" si="65"/>
        <v>0</v>
      </c>
      <c r="Z105" s="1141">
        <f t="shared" si="66"/>
        <v>0</v>
      </c>
      <c r="AA105" s="1146">
        <f t="shared" si="67"/>
        <v>0</v>
      </c>
      <c r="AB105" s="1142"/>
      <c r="AC105" s="1142"/>
      <c r="AD105" s="1142"/>
      <c r="AE105" s="1142"/>
      <c r="AF105" s="1144">
        <f t="shared" si="68"/>
        <v>0</v>
      </c>
      <c r="AG105" s="1147"/>
      <c r="AH105" s="1148">
        <f t="shared" si="69"/>
        <v>0</v>
      </c>
      <c r="AI105" s="1148">
        <f t="shared" si="70"/>
        <v>0</v>
      </c>
      <c r="AJ105" s="1149">
        <f t="shared" si="71"/>
        <v>0</v>
      </c>
      <c r="AK105" s="1150"/>
      <c r="AL105" s="1151">
        <f t="shared" si="72"/>
        <v>0</v>
      </c>
      <c r="AM105" s="1152">
        <f t="shared" si="73"/>
        <v>0</v>
      </c>
      <c r="AN105" s="1153"/>
      <c r="AO105" s="1154">
        <f t="shared" si="74"/>
        <v>0</v>
      </c>
    </row>
    <row r="106" spans="1:41" s="492" customFormat="1" x14ac:dyDescent="0.2">
      <c r="A106" s="1155"/>
      <c r="B106" s="1139"/>
      <c r="C106" s="1123"/>
      <c r="D106" s="1140">
        <v>12</v>
      </c>
      <c r="E106" s="1140"/>
      <c r="F106" s="1141">
        <f t="shared" si="56"/>
        <v>0</v>
      </c>
      <c r="G106" s="1141">
        <f t="shared" si="57"/>
        <v>0</v>
      </c>
      <c r="H106" s="1142"/>
      <c r="I106" s="1143" t="e">
        <f t="shared" si="58"/>
        <v>#DIV/0!</v>
      </c>
      <c r="J106" s="1144">
        <f t="shared" si="59"/>
        <v>0</v>
      </c>
      <c r="K106" s="1145" t="e">
        <f t="shared" si="60"/>
        <v>#DIV/0!</v>
      </c>
      <c r="L106" s="1141"/>
      <c r="M106" s="1142"/>
      <c r="N106" s="1141">
        <f t="shared" si="61"/>
        <v>0</v>
      </c>
      <c r="O106" s="1143">
        <f t="shared" si="62"/>
        <v>0</v>
      </c>
      <c r="P106" s="1142"/>
      <c r="Q106" s="1142"/>
      <c r="R106" s="1142"/>
      <c r="S106" s="1142"/>
      <c r="T106" s="1141">
        <f t="shared" si="63"/>
        <v>0</v>
      </c>
      <c r="U106" s="1143"/>
      <c r="V106" s="1142"/>
      <c r="W106" s="1143">
        <f t="shared" si="64"/>
        <v>0</v>
      </c>
      <c r="X106" s="1143"/>
      <c r="Y106" s="1143">
        <f t="shared" si="65"/>
        <v>0</v>
      </c>
      <c r="Z106" s="1141">
        <f t="shared" si="66"/>
        <v>0</v>
      </c>
      <c r="AA106" s="1146">
        <f t="shared" si="67"/>
        <v>0</v>
      </c>
      <c r="AB106" s="1142"/>
      <c r="AC106" s="1142"/>
      <c r="AD106" s="1142"/>
      <c r="AE106" s="1142"/>
      <c r="AF106" s="1144">
        <f t="shared" si="68"/>
        <v>0</v>
      </c>
      <c r="AG106" s="1147"/>
      <c r="AH106" s="1148">
        <f t="shared" si="69"/>
        <v>0</v>
      </c>
      <c r="AI106" s="1148">
        <f t="shared" si="70"/>
        <v>0</v>
      </c>
      <c r="AJ106" s="1149">
        <f t="shared" si="71"/>
        <v>0</v>
      </c>
      <c r="AK106" s="1150"/>
      <c r="AL106" s="1151">
        <f t="shared" si="72"/>
        <v>0</v>
      </c>
      <c r="AM106" s="1152">
        <f t="shared" si="73"/>
        <v>0</v>
      </c>
      <c r="AN106" s="1153"/>
      <c r="AO106" s="1154">
        <f t="shared" si="74"/>
        <v>0</v>
      </c>
    </row>
    <row r="107" spans="1:41" s="492" customFormat="1" ht="16.5" customHeight="1" x14ac:dyDescent="0.2">
      <c r="A107" s="863"/>
      <c r="B107" s="510" t="s">
        <v>134</v>
      </c>
      <c r="C107" s="511"/>
      <c r="D107" s="511"/>
      <c r="E107" s="511"/>
      <c r="F107" s="512">
        <f>+SUM(F6:F106)</f>
        <v>30554.400000000001</v>
      </c>
      <c r="G107" s="512"/>
      <c r="H107" s="512"/>
      <c r="I107" s="512" t="e">
        <f>+SUM(I6:I106)</f>
        <v>#DIV/0!</v>
      </c>
      <c r="J107" s="512">
        <f>+SUM(J6:J106)</f>
        <v>31994.400000000001</v>
      </c>
      <c r="K107" s="512">
        <f>IF(ISERROR(L107/J107),0,L107/J107)</f>
        <v>16.932963268571999</v>
      </c>
      <c r="L107" s="512">
        <f>+SUM(L6:L106)</f>
        <v>541760</v>
      </c>
      <c r="M107" s="512">
        <f>+SUM(M6:M106)</f>
        <v>45146.666666666664</v>
      </c>
      <c r="N107" s="512"/>
      <c r="O107" s="512">
        <f t="shared" ref="O107:U107" si="75">+SUM(O6:O106)</f>
        <v>32540</v>
      </c>
      <c r="P107" s="512">
        <f t="shared" si="75"/>
        <v>60</v>
      </c>
      <c r="Q107" s="512">
        <f t="shared" si="75"/>
        <v>2000</v>
      </c>
      <c r="R107" s="512">
        <f t="shared" si="75"/>
        <v>800</v>
      </c>
      <c r="S107" s="512">
        <f t="shared" si="75"/>
        <v>600</v>
      </c>
      <c r="T107" s="512">
        <f t="shared" si="75"/>
        <v>590366.66666666663</v>
      </c>
      <c r="U107" s="512">
        <f t="shared" si="75"/>
        <v>36000</v>
      </c>
      <c r="V107" s="512">
        <f>(AA107-T107)/T107*100</f>
        <v>26.747930664558776</v>
      </c>
      <c r="W107" s="512">
        <f>IF(ISERROR((X107+Y107)/U107*100),0,(X107+Y107)/U107*100)</f>
        <v>24.688888888888886</v>
      </c>
      <c r="X107" s="512">
        <f>+SUM(X6:X106)</f>
        <v>8888</v>
      </c>
      <c r="Y107" s="512">
        <v>0</v>
      </c>
      <c r="Z107" s="512">
        <f t="shared" ref="Z107:AF107" si="76">+SUM(Z6:Z106)</f>
        <v>157910.86666666667</v>
      </c>
      <c r="AA107" s="512">
        <f t="shared" si="76"/>
        <v>748277.53333333344</v>
      </c>
      <c r="AB107" s="512">
        <f t="shared" si="76"/>
        <v>131</v>
      </c>
      <c r="AC107" s="512">
        <f t="shared" si="76"/>
        <v>15</v>
      </c>
      <c r="AD107" s="512">
        <f t="shared" si="76"/>
        <v>37</v>
      </c>
      <c r="AE107" s="512">
        <f t="shared" si="76"/>
        <v>431</v>
      </c>
      <c r="AF107" s="512">
        <f t="shared" si="76"/>
        <v>614</v>
      </c>
      <c r="AG107" s="513">
        <f>+AH107/AA107</f>
        <v>0.52275902443683331</v>
      </c>
      <c r="AH107" s="1019">
        <f>SUM(AH6:AH106)</f>
        <v>391168.83333333337</v>
      </c>
      <c r="AI107" s="1019">
        <f>SUM(AI6:AI106)</f>
        <v>357108.7</v>
      </c>
      <c r="AJ107" s="514">
        <f>SUM(AJ6:AJ106)</f>
        <v>15081.6</v>
      </c>
      <c r="AK107" s="515">
        <f>IF(ISERROR(AL107/AJ107),0,AL107/AJ107)</f>
        <v>0.89847231063017186</v>
      </c>
      <c r="AL107" s="1021">
        <f>SUM(AL6:AL106)</f>
        <v>13550.4</v>
      </c>
      <c r="AM107" s="516">
        <f>IF(ISERROR(+AH107/AL107),0,+AH107/AL107)</f>
        <v>28.867696402566224</v>
      </c>
      <c r="AN107" s="516">
        <f>IF(ISERROR(AO107/AL107),0,AO107/AL107)</f>
        <v>75.851340181839646</v>
      </c>
      <c r="AO107" s="514">
        <f>SUM(AO6:AO106)</f>
        <v>1027816</v>
      </c>
    </row>
    <row r="108" spans="1:41" x14ac:dyDescent="0.2">
      <c r="AO108" s="518"/>
    </row>
    <row r="109" spans="1:41" x14ac:dyDescent="0.2">
      <c r="T109" s="746">
        <f>T107-T6</f>
        <v>503699.99999999994</v>
      </c>
      <c r="AA109" s="746">
        <f>AA107-AA6</f>
        <v>635610.86666666681</v>
      </c>
      <c r="AF109" s="517">
        <f>AF107*8</f>
        <v>4912</v>
      </c>
      <c r="AI109" s="518">
        <f>AH107+AI107</f>
        <v>748277.53333333344</v>
      </c>
    </row>
    <row r="111" spans="1:41" x14ac:dyDescent="0.2">
      <c r="AJ111" s="746"/>
      <c r="AK111" s="518"/>
    </row>
    <row r="113" spans="35:40" x14ac:dyDescent="0.2">
      <c r="AI113" s="517">
        <f>AI107/AI109</f>
        <v>0.47724097556316664</v>
      </c>
      <c r="AK113" s="1020">
        <f>AJ107*0.1</f>
        <v>1508.16</v>
      </c>
      <c r="AN113" s="517">
        <f>AK113*AN107</f>
        <v>114395.95720864329</v>
      </c>
    </row>
    <row r="119" spans="35:40" x14ac:dyDescent="0.2">
      <c r="AM119" s="746"/>
    </row>
  </sheetData>
  <mergeCells count="2">
    <mergeCell ref="V4:Z4"/>
    <mergeCell ref="H4:I4"/>
  </mergeCells>
  <pageMargins left="0.7" right="0.7" top="0.78740157499999996" bottom="0.78740157499999996" header="0.3" footer="0.3"/>
  <pageSetup paperSize="9" scale="60" fitToWidth="0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rgb="FF00B0F0"/>
  </sheetPr>
  <dimension ref="A1:Q52"/>
  <sheetViews>
    <sheetView showGridLines="0" zoomScale="130" zoomScaleNormal="130" workbookViewId="0">
      <pane xSplit="2" ySplit="2" topLeftCell="C3" activePane="bottomRight" state="frozen"/>
      <selection activeCell="C6" sqref="C6"/>
      <selection pane="topRight" activeCell="C6" sqref="C6"/>
      <selection pane="bottomLeft" activeCell="C6" sqref="C6"/>
      <selection pane="bottomRight" activeCell="C3" sqref="C3"/>
    </sheetView>
  </sheetViews>
  <sheetFormatPr baseColWidth="10" defaultColWidth="11.42578125" defaultRowHeight="12.75" outlineLevelRow="1" x14ac:dyDescent="0.2"/>
  <cols>
    <col min="1" max="1" width="28.42578125" style="903" customWidth="1"/>
    <col min="2" max="2" width="38.42578125" style="492" bestFit="1" customWidth="1"/>
    <col min="3" max="3" width="17.85546875" style="492" bestFit="1" customWidth="1"/>
    <col min="4" max="4" width="19.85546875" style="492" bestFit="1" customWidth="1"/>
    <col min="5" max="15" width="11.42578125" style="491" customWidth="1"/>
    <col min="16" max="16" width="12.28515625" style="491" bestFit="1" customWidth="1"/>
    <col min="17" max="17" width="11.42578125" style="491" customWidth="1"/>
    <col min="18" max="18" width="11.42578125" style="492" customWidth="1"/>
    <col min="19" max="16384" width="11.42578125" style="492"/>
  </cols>
  <sheetData>
    <row r="1" spans="1:17" s="517" customFormat="1" ht="15.75" x14ac:dyDescent="0.2">
      <c r="A1" s="878" t="str">
        <f>Grunddaten!B4</f>
        <v>Sample-Data</v>
      </c>
    </row>
    <row r="2" spans="1:17" s="865" customFormat="1" ht="15.75" x14ac:dyDescent="0.2">
      <c r="A2" s="878" t="s">
        <v>0</v>
      </c>
      <c r="B2" s="870" t="s">
        <v>1</v>
      </c>
      <c r="C2" s="871" t="str">
        <f>"IST Jahr " &amp; Grunddaten!$E$8</f>
        <v>IST Jahr 2018</v>
      </c>
      <c r="D2" s="871" t="str">
        <f>"PLAN Jahr " &amp; Grunddaten!$E$5</f>
        <v>PLAN Jahr 2019</v>
      </c>
      <c r="E2" s="864"/>
      <c r="F2" s="864"/>
      <c r="G2" s="864"/>
      <c r="H2" s="864"/>
      <c r="I2" s="864"/>
      <c r="J2" s="864"/>
      <c r="K2" s="864"/>
      <c r="L2" s="864"/>
      <c r="M2" s="864"/>
      <c r="N2" s="864"/>
      <c r="O2" s="864"/>
      <c r="P2" s="864"/>
      <c r="Q2" s="864"/>
    </row>
    <row r="3" spans="1:17" s="865" customFormat="1" x14ac:dyDescent="0.2">
      <c r="A3" s="864"/>
      <c r="B3" s="873" t="s">
        <v>2</v>
      </c>
      <c r="C3" s="1052">
        <f ca="1">SUM(C4:C5)</f>
        <v>16722.939999999999</v>
      </c>
      <c r="D3" s="1052">
        <f>SUM(D4:D5)</f>
        <v>800</v>
      </c>
      <c r="E3" s="792"/>
      <c r="F3" s="792"/>
      <c r="G3" s="792"/>
      <c r="H3" s="792"/>
      <c r="I3" s="792"/>
      <c r="J3" s="792"/>
      <c r="K3" s="792"/>
      <c r="L3" s="792"/>
      <c r="M3" s="792"/>
      <c r="N3" s="792"/>
      <c r="O3" s="792"/>
      <c r="P3" s="792"/>
      <c r="Q3" s="792"/>
    </row>
    <row r="4" spans="1:17" outlineLevel="1" x14ac:dyDescent="0.2">
      <c r="A4" s="903">
        <v>15</v>
      </c>
      <c r="B4" s="1058" t="str">
        <f>"davon " &amp; IF(ISERROR(MATCH(A4,'Struktur Vorjahr'!A:A,0))=FALSE,INDEX('Struktur Vorjahr'!B:B,MATCH(A4,'Struktur Vorjahr'!A:A,0)),"{Konto unbekannt}")</f>
        <v>davon Pacht und Miete</v>
      </c>
      <c r="C4" s="1069">
        <f ca="1">IF(ISERROR(MATCH(A4,'Struktur Vorjahr'!A:A,0))=FALSE,INDEX('Struktur Vorjahr'!C:C,MATCH(A4,'Struktur Vorjahr'!A:A,0)),0)</f>
        <v>14514.279999999999</v>
      </c>
      <c r="D4" s="1112">
        <v>200</v>
      </c>
      <c r="E4" s="866" t="s">
        <v>1070</v>
      </c>
    </row>
    <row r="5" spans="1:17" outlineLevel="1" x14ac:dyDescent="0.2">
      <c r="A5" s="903">
        <v>16</v>
      </c>
      <c r="B5" s="1058" t="str">
        <f>"davon " &amp; IF(ISERROR(MATCH(A5,'Struktur Vorjahr'!A:A,0))=FALSE,INDEX('Struktur Vorjahr'!B:B,MATCH(A5,'Struktur Vorjahr'!A:A,0)),"{Konto unbekannt}")</f>
        <v>davon Raumnebenkosten</v>
      </c>
      <c r="C5" s="1069">
        <f ca="1">IF(ISERROR(MATCH(A5,'Struktur Vorjahr'!A:A,0))=FALSE,INDEX('Struktur Vorjahr'!C:C,MATCH(A5,'Struktur Vorjahr'!A:A,0)),0)</f>
        <v>2208.66</v>
      </c>
      <c r="D5" s="1112">
        <v>600</v>
      </c>
    </row>
    <row r="6" spans="1:17" s="865" customFormat="1" x14ac:dyDescent="0.2">
      <c r="A6" s="864"/>
      <c r="B6" s="873" t="s">
        <v>3</v>
      </c>
      <c r="C6" s="1052">
        <f ca="1">SUM(C38,C37,C27,C23,C20,C16,C15,C14,C9,C7)</f>
        <v>21172.530000000002</v>
      </c>
      <c r="D6" s="1052">
        <f>SUM(D38,D37,D27,D23,D20,D16,D15,D14,D9,D7)</f>
        <v>23110</v>
      </c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2"/>
      <c r="P6" s="792"/>
      <c r="Q6" s="792"/>
    </row>
    <row r="7" spans="1:17" x14ac:dyDescent="0.2">
      <c r="A7" s="864">
        <v>17</v>
      </c>
      <c r="B7" s="875" t="str">
        <f>IF(ISERROR(MATCH(A7,'Struktur Vorjahr'!A:A,0))=FALSE,INDEX('Struktur Vorjahr'!B:B,MATCH(A7,'Struktur Vorjahr'!A:A,0)),"{Konto unbekannt}")</f>
        <v>Werbung</v>
      </c>
      <c r="C7" s="874">
        <f ca="1">IF(ISERROR(MATCH(A7,'Struktur Vorjahr'!A:A,0))=FALSE,INDEX('Struktur Vorjahr'!C:C,MATCH(A7,'Struktur Vorjahr'!A:A,0)),0)</f>
        <v>1871.5200000000002</v>
      </c>
      <c r="D7" s="874">
        <f>SUM(D8:D8)</f>
        <v>300</v>
      </c>
    </row>
    <row r="8" spans="1:17" outlineLevel="1" x14ac:dyDescent="0.2">
      <c r="B8" s="1053" t="s">
        <v>4</v>
      </c>
      <c r="C8" s="1069"/>
      <c r="D8" s="1112">
        <v>300</v>
      </c>
    </row>
    <row r="9" spans="1:17" s="865" customFormat="1" outlineLevel="1" x14ac:dyDescent="0.2">
      <c r="A9" s="864">
        <v>18</v>
      </c>
      <c r="B9" s="875" t="str">
        <f>IF(ISERROR(MATCH(A9,'Struktur Vorjahr'!A:A,0))=FALSE,INDEX('Struktur Vorjahr'!B:B,MATCH(A9,'Struktur Vorjahr'!A:A,0)),"{Konto unbekannt}")</f>
        <v>KFZ-Kosten (inkl. Steuer)</v>
      </c>
      <c r="C9" s="874">
        <f ca="1">IF(ISERROR(MATCH(A9,'Struktur Vorjahr'!A:A,0))=FALSE,INDEX('Struktur Vorjahr'!C:C,MATCH(A9,'Struktur Vorjahr'!A:A,0)),0)</f>
        <v>44.65</v>
      </c>
      <c r="D9" s="874">
        <f>SUM(D10:D13)</f>
        <v>2850</v>
      </c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2"/>
      <c r="P9" s="792"/>
      <c r="Q9" s="792"/>
    </row>
    <row r="10" spans="1:17" s="869" customFormat="1" ht="11.25" outlineLevel="1" x14ac:dyDescent="0.2">
      <c r="A10" s="867"/>
      <c r="B10" s="1053" t="s">
        <v>5</v>
      </c>
      <c r="C10" s="1069"/>
      <c r="D10" s="1112">
        <v>200</v>
      </c>
      <c r="E10" s="868"/>
      <c r="F10" s="868"/>
      <c r="G10" s="868"/>
      <c r="H10" s="868"/>
      <c r="I10" s="868"/>
      <c r="J10" s="868"/>
      <c r="K10" s="868"/>
      <c r="L10" s="868"/>
      <c r="M10" s="868"/>
      <c r="N10" s="868"/>
      <c r="O10" s="868"/>
      <c r="P10" s="868"/>
      <c r="Q10" s="868"/>
    </row>
    <row r="11" spans="1:17" s="869" customFormat="1" ht="11.25" outlineLevel="1" x14ac:dyDescent="0.2">
      <c r="A11" s="867"/>
      <c r="B11" s="1053" t="s">
        <v>6</v>
      </c>
      <c r="C11" s="1069"/>
      <c r="D11" s="1112">
        <f>500*4</f>
        <v>2000</v>
      </c>
      <c r="E11" s="868"/>
      <c r="F11" s="868"/>
      <c r="G11" s="868"/>
      <c r="H11" s="868"/>
      <c r="I11" s="868"/>
      <c r="J11" s="868"/>
      <c r="K11" s="868"/>
      <c r="L11" s="868"/>
      <c r="M11" s="868"/>
      <c r="N11" s="868"/>
      <c r="O11" s="868"/>
      <c r="P11" s="868"/>
      <c r="Q11" s="868"/>
    </row>
    <row r="12" spans="1:17" s="869" customFormat="1" ht="11.25" outlineLevel="1" x14ac:dyDescent="0.2">
      <c r="A12" s="867"/>
      <c r="B12" s="1053" t="s">
        <v>7</v>
      </c>
      <c r="C12" s="1069"/>
      <c r="D12" s="1112">
        <v>500</v>
      </c>
      <c r="E12" s="868"/>
      <c r="F12" s="868"/>
      <c r="G12" s="868"/>
      <c r="H12" s="868"/>
      <c r="I12" s="868"/>
      <c r="J12" s="868"/>
      <c r="K12" s="868"/>
      <c r="L12" s="868"/>
      <c r="M12" s="868"/>
      <c r="N12" s="868"/>
      <c r="O12" s="868"/>
      <c r="P12" s="868"/>
      <c r="Q12" s="868"/>
    </row>
    <row r="13" spans="1:17" s="869" customFormat="1" ht="11.25" outlineLevel="1" x14ac:dyDescent="0.2">
      <c r="A13" s="867"/>
      <c r="B13" s="1053" t="s">
        <v>8</v>
      </c>
      <c r="C13" s="1069"/>
      <c r="D13" s="1112">
        <v>150</v>
      </c>
      <c r="E13" s="868"/>
      <c r="F13" s="868"/>
      <c r="G13" s="868"/>
      <c r="H13" s="868"/>
      <c r="I13" s="868"/>
      <c r="J13" s="868"/>
      <c r="K13" s="868"/>
      <c r="L13" s="868"/>
      <c r="M13" s="868"/>
      <c r="N13" s="868"/>
      <c r="O13" s="868"/>
      <c r="P13" s="868"/>
      <c r="Q13" s="868"/>
    </row>
    <row r="14" spans="1:17" s="865" customFormat="1" x14ac:dyDescent="0.2">
      <c r="A14" s="864">
        <v>19</v>
      </c>
      <c r="B14" s="875" t="str">
        <f>IF(ISERROR(MATCH(A14,'Struktur Vorjahr'!A:A,0))=FALSE,INDEX('Struktur Vorjahr'!B:B,MATCH(A14,'Struktur Vorjahr'!A:A,0)),"{Konto unbekannt}")</f>
        <v>Reisekosten</v>
      </c>
      <c r="C14" s="1070">
        <f ca="1">IF(ISERROR(MATCH(A14,'Struktur Vorjahr'!A:A,0))=FALSE,INDEX('Struktur Vorjahr'!C:C,MATCH(A14,'Struktur Vorjahr'!A:A,0)),0)</f>
        <v>1007.75</v>
      </c>
      <c r="D14" s="1113">
        <v>1800</v>
      </c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2"/>
      <c r="P14" s="792"/>
      <c r="Q14" s="792"/>
    </row>
    <row r="15" spans="1:17" s="865" customFormat="1" x14ac:dyDescent="0.2">
      <c r="A15" s="864">
        <v>20</v>
      </c>
      <c r="B15" s="875" t="str">
        <f>IF(ISERROR(MATCH(A15,'Struktur Vorjahr'!A:A,0))=FALSE,INDEX('Struktur Vorjahr'!B:B,MATCH(A15,'Struktur Vorjahr'!A:A,0)),"{Konto unbekannt}")</f>
        <v>Telefon, Fax, Internet</v>
      </c>
      <c r="C15" s="1070">
        <f ca="1">IF(ISERROR(MATCH(A15,'Struktur Vorjahr'!A:A,0))=FALSE,INDEX('Struktur Vorjahr'!C:C,MATCH(A15,'Struktur Vorjahr'!A:A,0)),0)</f>
        <v>3524.9299999999994</v>
      </c>
      <c r="D15" s="1113">
        <v>400</v>
      </c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2"/>
      <c r="P15" s="792"/>
      <c r="Q15" s="792"/>
    </row>
    <row r="16" spans="1:17" s="865" customFormat="1" x14ac:dyDescent="0.2">
      <c r="A16" s="864">
        <v>21</v>
      </c>
      <c r="B16" s="875" t="str">
        <f>IF(ISERROR(MATCH(A16,'Struktur Vorjahr'!A:A,0))=FALSE,INDEX('Struktur Vorjahr'!B:B,MATCH(A16,'Struktur Vorjahr'!A:A,0)),"{Konto unbekannt}")</f>
        <v>Versicherungen und Beiträge</v>
      </c>
      <c r="C16" s="1070">
        <f ca="1">IF(ISERROR(MATCH(A16,'Struktur Vorjahr'!A:A,0))=FALSE,INDEX('Struktur Vorjahr'!C:C,MATCH(A16,'Struktur Vorjahr'!A:A,0)),0)</f>
        <v>3010.7300000000005</v>
      </c>
      <c r="D16" s="874">
        <f>SUM(D17:D19)</f>
        <v>1300</v>
      </c>
      <c r="E16" s="792"/>
      <c r="F16" s="792"/>
      <c r="G16" s="792"/>
      <c r="H16" s="792"/>
      <c r="I16" s="792"/>
      <c r="J16" s="792"/>
      <c r="K16" s="792"/>
      <c r="L16" s="792"/>
      <c r="M16" s="792"/>
      <c r="N16" s="792"/>
      <c r="O16" s="792"/>
      <c r="P16" s="792"/>
      <c r="Q16" s="792"/>
    </row>
    <row r="17" spans="1:17" outlineLevel="1" x14ac:dyDescent="0.2">
      <c r="B17" s="1053" t="s">
        <v>9</v>
      </c>
      <c r="C17" s="1069"/>
      <c r="D17" s="1112">
        <f>12*50</f>
        <v>600</v>
      </c>
    </row>
    <row r="18" spans="1:17" outlineLevel="1" x14ac:dyDescent="0.2">
      <c r="B18" s="1053" t="s">
        <v>10</v>
      </c>
      <c r="C18" s="1069"/>
      <c r="D18" s="1112">
        <v>250</v>
      </c>
    </row>
    <row r="19" spans="1:17" outlineLevel="1" x14ac:dyDescent="0.2">
      <c r="B19" s="1053" t="s">
        <v>11</v>
      </c>
      <c r="C19" s="1069"/>
      <c r="D19" s="1112">
        <v>450</v>
      </c>
    </row>
    <row r="20" spans="1:17" s="865" customFormat="1" x14ac:dyDescent="0.2">
      <c r="A20" s="864">
        <v>22</v>
      </c>
      <c r="B20" s="875" t="str">
        <f>IF(ISERROR(MATCH(A20,'Struktur Vorjahr'!A:A,0))=FALSE,INDEX('Struktur Vorjahr'!B:B,MATCH(A20,'Struktur Vorjahr'!A:A,0)),"{Konto unbekannt}")</f>
        <v>Leasing</v>
      </c>
      <c r="C20" s="1070">
        <f ca="1">IF(ISERROR(MATCH(A20,'Struktur Vorjahr'!A:A,0))=FALSE,INDEX('Struktur Vorjahr'!C:C,MATCH(A20,'Struktur Vorjahr'!A:A,0)),0)</f>
        <v>0</v>
      </c>
      <c r="D20" s="874">
        <f>SUM(D21:D22)</f>
        <v>2400</v>
      </c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2"/>
      <c r="P20" s="792"/>
      <c r="Q20" s="792"/>
    </row>
    <row r="21" spans="1:17" s="865" customFormat="1" x14ac:dyDescent="0.2">
      <c r="A21" s="864"/>
      <c r="B21" s="1053" t="s">
        <v>12</v>
      </c>
      <c r="C21" s="1069"/>
      <c r="D21" s="1112">
        <v>2000</v>
      </c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792"/>
      <c r="P21" s="792"/>
      <c r="Q21" s="792"/>
    </row>
    <row r="22" spans="1:17" s="865" customFormat="1" x14ac:dyDescent="0.2">
      <c r="A22" s="864"/>
      <c r="B22" s="1053" t="s">
        <v>1072</v>
      </c>
      <c r="C22" s="1069"/>
      <c r="D22" s="1112">
        <v>400</v>
      </c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792"/>
      <c r="P22" s="792"/>
      <c r="Q22" s="792"/>
    </row>
    <row r="23" spans="1:17" s="865" customFormat="1" x14ac:dyDescent="0.2">
      <c r="A23" s="864">
        <v>23</v>
      </c>
      <c r="B23" s="875" t="str">
        <f>IF(ISERROR(MATCH(A23,'Struktur Vorjahr'!A:A,0))=FALSE,INDEX('Struktur Vorjahr'!B:B,MATCH(A23,'Struktur Vorjahr'!A:A,0)),"{Konto unbekannt}")</f>
        <v>Buchführungs- / Beratungs- / Fortbildungskosten</v>
      </c>
      <c r="C23" s="1070">
        <f ca="1">IF(ISERROR(MATCH(A23,'Struktur Vorjahr'!A:A,0))=FALSE,INDEX('Struktur Vorjahr'!C:C,MATCH(A23,'Struktur Vorjahr'!A:A,0)),0)</f>
        <v>5135.9100000000008</v>
      </c>
      <c r="D23" s="874">
        <f>SUM(D24:D26)</f>
        <v>6500</v>
      </c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792"/>
      <c r="P23" s="792"/>
      <c r="Q23" s="792"/>
    </row>
    <row r="24" spans="1:17" s="869" customFormat="1" ht="11.25" outlineLevel="1" x14ac:dyDescent="0.2">
      <c r="A24" s="867"/>
      <c r="B24" s="1053" t="s">
        <v>13</v>
      </c>
      <c r="C24" s="1069"/>
      <c r="D24" s="1112">
        <v>3000</v>
      </c>
      <c r="E24" s="868"/>
      <c r="F24" s="868"/>
      <c r="G24" s="868"/>
      <c r="H24" s="868"/>
      <c r="I24" s="868"/>
      <c r="J24" s="868"/>
      <c r="K24" s="868"/>
      <c r="L24" s="868"/>
      <c r="M24" s="868"/>
      <c r="N24" s="868"/>
      <c r="O24" s="868"/>
      <c r="P24" s="868"/>
      <c r="Q24" s="868"/>
    </row>
    <row r="25" spans="1:17" s="869" customFormat="1" ht="11.25" outlineLevel="1" x14ac:dyDescent="0.2">
      <c r="A25" s="867"/>
      <c r="B25" s="1053" t="s">
        <v>14</v>
      </c>
      <c r="C25" s="1069"/>
      <c r="D25" s="1112">
        <v>1500</v>
      </c>
      <c r="E25" s="868"/>
      <c r="F25" s="868"/>
      <c r="G25" s="868"/>
      <c r="H25" s="868"/>
      <c r="I25" s="868"/>
      <c r="J25" s="868"/>
      <c r="K25" s="868"/>
      <c r="L25" s="868"/>
      <c r="M25" s="868"/>
      <c r="N25" s="868"/>
      <c r="O25" s="868"/>
      <c r="P25" s="868"/>
      <c r="Q25" s="868"/>
    </row>
    <row r="26" spans="1:17" s="869" customFormat="1" ht="11.25" outlineLevel="1" x14ac:dyDescent="0.2">
      <c r="A26" s="867"/>
      <c r="B26" s="1053" t="s">
        <v>15</v>
      </c>
      <c r="C26" s="1069"/>
      <c r="D26" s="1112">
        <v>2000</v>
      </c>
      <c r="E26" s="868"/>
      <c r="F26" s="868"/>
      <c r="G26" s="868"/>
      <c r="H26" s="868"/>
      <c r="I26" s="868"/>
      <c r="J26" s="868"/>
      <c r="K26" s="868"/>
      <c r="L26" s="868"/>
      <c r="M26" s="868"/>
      <c r="N26" s="868"/>
      <c r="O26" s="868"/>
      <c r="P26" s="868"/>
      <c r="Q26" s="868"/>
    </row>
    <row r="27" spans="1:17" s="865" customFormat="1" x14ac:dyDescent="0.2">
      <c r="A27" s="864">
        <v>24</v>
      </c>
      <c r="B27" s="875" t="str">
        <f>IF(ISERROR(MATCH(A27,'Struktur Vorjahr'!A:A,0))=FALSE,INDEX('Struktur Vorjahr'!B:B,MATCH(A27,'Struktur Vorjahr'!A:A,0)),"{Konto unbekannt}")</f>
        <v>Sonstige Kosten</v>
      </c>
      <c r="C27" s="1070">
        <f ca="1">IF(ISERROR(MATCH(A27,'Struktur Vorjahr'!A:A,0))=FALSE,INDEX('Struktur Vorjahr'!C:C,MATCH(A27,'Struktur Vorjahr'!A:A,0)),0)</f>
        <v>3255.74</v>
      </c>
      <c r="D27" s="874">
        <f>SUM(D28:D36)</f>
        <v>5310</v>
      </c>
      <c r="E27" s="864"/>
      <c r="F27" s="864"/>
      <c r="G27" s="864"/>
      <c r="H27" s="864"/>
      <c r="I27" s="864"/>
      <c r="J27" s="864"/>
      <c r="K27" s="864"/>
      <c r="L27" s="864"/>
      <c r="M27" s="864"/>
      <c r="N27" s="864"/>
      <c r="O27" s="864"/>
      <c r="P27" s="864"/>
      <c r="Q27" s="864"/>
    </row>
    <row r="28" spans="1:17" s="869" customFormat="1" ht="11.25" outlineLevel="1" x14ac:dyDescent="0.2">
      <c r="A28" s="867"/>
      <c r="B28" s="1053" t="s">
        <v>16</v>
      </c>
      <c r="C28" s="1069"/>
      <c r="D28" s="1112">
        <v>500</v>
      </c>
      <c r="E28" s="868"/>
      <c r="F28" s="868"/>
      <c r="G28" s="868"/>
      <c r="H28" s="868"/>
      <c r="I28" s="868"/>
      <c r="J28" s="868"/>
      <c r="K28" s="868"/>
      <c r="L28" s="868"/>
      <c r="M28" s="868"/>
      <c r="N28" s="868"/>
      <c r="O28" s="868"/>
      <c r="P28" s="868"/>
      <c r="Q28" s="868"/>
    </row>
    <row r="29" spans="1:17" s="869" customFormat="1" ht="11.25" outlineLevel="1" x14ac:dyDescent="0.2">
      <c r="A29" s="867"/>
      <c r="B29" s="1053" t="s">
        <v>17</v>
      </c>
      <c r="C29" s="1069"/>
      <c r="D29" s="1112">
        <v>300</v>
      </c>
      <c r="E29" s="868"/>
      <c r="F29" s="868"/>
      <c r="G29" s="868"/>
      <c r="H29" s="868"/>
      <c r="I29" s="868"/>
      <c r="J29" s="868"/>
      <c r="K29" s="868"/>
      <c r="L29" s="868"/>
      <c r="M29" s="868"/>
      <c r="N29" s="868"/>
      <c r="O29" s="868"/>
      <c r="P29" s="868"/>
      <c r="Q29" s="868"/>
    </row>
    <row r="30" spans="1:17" s="869" customFormat="1" ht="11.25" outlineLevel="1" x14ac:dyDescent="0.2">
      <c r="A30" s="867"/>
      <c r="B30" s="1053" t="s">
        <v>18</v>
      </c>
      <c r="C30" s="1069"/>
      <c r="D30" s="1112">
        <v>150</v>
      </c>
      <c r="E30" s="868"/>
      <c r="F30" s="868"/>
      <c r="G30" s="868"/>
      <c r="H30" s="868"/>
      <c r="I30" s="868"/>
      <c r="J30" s="868"/>
      <c r="K30" s="868"/>
      <c r="L30" s="868"/>
      <c r="M30" s="868"/>
      <c r="N30" s="868"/>
      <c r="O30" s="868"/>
      <c r="P30" s="868"/>
      <c r="Q30" s="868"/>
    </row>
    <row r="31" spans="1:17" s="869" customFormat="1" ht="11.25" outlineLevel="1" x14ac:dyDescent="0.2">
      <c r="A31" s="867"/>
      <c r="B31" s="1053" t="s">
        <v>19</v>
      </c>
      <c r="C31" s="1069"/>
      <c r="D31" s="1112"/>
      <c r="E31" s="868"/>
      <c r="F31" s="868"/>
      <c r="G31" s="868"/>
      <c r="H31" s="868"/>
      <c r="I31" s="868"/>
      <c r="J31" s="868"/>
      <c r="K31" s="868"/>
      <c r="L31" s="868"/>
      <c r="M31" s="868"/>
      <c r="N31" s="868"/>
      <c r="O31" s="868"/>
      <c r="P31" s="868"/>
      <c r="Q31" s="868"/>
    </row>
    <row r="32" spans="1:17" s="869" customFormat="1" ht="11.25" outlineLevel="1" x14ac:dyDescent="0.2">
      <c r="A32" s="867"/>
      <c r="B32" s="1053" t="s">
        <v>20</v>
      </c>
      <c r="C32" s="1069"/>
      <c r="D32" s="1112">
        <v>80</v>
      </c>
      <c r="E32" s="868"/>
      <c r="F32" s="868"/>
      <c r="G32" s="868"/>
      <c r="H32" s="868"/>
      <c r="I32" s="868"/>
      <c r="J32" s="868"/>
      <c r="K32" s="868"/>
      <c r="L32" s="868"/>
      <c r="M32" s="868"/>
      <c r="N32" s="868"/>
      <c r="O32" s="868"/>
      <c r="P32" s="868"/>
      <c r="Q32" s="868"/>
    </row>
    <row r="33" spans="1:17" s="869" customFormat="1" ht="11.25" outlineLevel="1" x14ac:dyDescent="0.2">
      <c r="A33" s="867"/>
      <c r="B33" s="1053" t="s">
        <v>21</v>
      </c>
      <c r="C33" s="1069"/>
      <c r="D33" s="1112">
        <v>400</v>
      </c>
      <c r="E33" s="868"/>
      <c r="F33" s="868"/>
      <c r="G33" s="868"/>
      <c r="H33" s="868"/>
      <c r="I33" s="868"/>
      <c r="J33" s="868"/>
      <c r="K33" s="868"/>
      <c r="L33" s="868"/>
      <c r="M33" s="868"/>
      <c r="N33" s="868"/>
      <c r="O33" s="868"/>
      <c r="P33" s="868"/>
      <c r="Q33" s="868"/>
    </row>
    <row r="34" spans="1:17" s="869" customFormat="1" ht="11.25" outlineLevel="1" x14ac:dyDescent="0.2">
      <c r="A34" s="867"/>
      <c r="B34" s="1053" t="s">
        <v>1073</v>
      </c>
      <c r="C34" s="1069"/>
      <c r="D34" s="1112">
        <f>12*5*(8+20+3+29)</f>
        <v>3600</v>
      </c>
      <c r="E34" s="868"/>
      <c r="F34" s="868"/>
      <c r="G34" s="868"/>
      <c r="H34" s="868"/>
      <c r="I34" s="868"/>
      <c r="J34" s="868"/>
      <c r="K34" s="868"/>
      <c r="L34" s="868"/>
      <c r="M34" s="868"/>
      <c r="N34" s="868"/>
      <c r="O34" s="868"/>
      <c r="P34" s="868"/>
      <c r="Q34" s="868"/>
    </row>
    <row r="35" spans="1:17" s="869" customFormat="1" ht="11.25" outlineLevel="1" x14ac:dyDescent="0.2">
      <c r="A35" s="867"/>
      <c r="B35" s="1053" t="s">
        <v>22</v>
      </c>
      <c r="C35" s="1069"/>
      <c r="D35" s="1112">
        <v>200</v>
      </c>
      <c r="E35" s="868"/>
      <c r="F35" s="868"/>
      <c r="G35" s="868"/>
      <c r="H35" s="868"/>
      <c r="I35" s="868"/>
      <c r="J35" s="868"/>
      <c r="K35" s="868"/>
      <c r="L35" s="868"/>
      <c r="M35" s="868"/>
      <c r="N35" s="868"/>
      <c r="O35" s="868"/>
      <c r="P35" s="868"/>
      <c r="Q35" s="868"/>
    </row>
    <row r="36" spans="1:17" s="869" customFormat="1" ht="11.25" outlineLevel="1" x14ac:dyDescent="0.2">
      <c r="A36" s="867"/>
      <c r="B36" s="1053" t="s">
        <v>23</v>
      </c>
      <c r="C36" s="1069"/>
      <c r="D36" s="1112">
        <v>80</v>
      </c>
      <c r="E36" s="868"/>
      <c r="F36" s="868"/>
      <c r="G36" s="868"/>
      <c r="H36" s="868"/>
      <c r="I36" s="868"/>
      <c r="J36" s="868"/>
      <c r="K36" s="868"/>
      <c r="L36" s="868"/>
      <c r="M36" s="868"/>
      <c r="N36" s="868"/>
      <c r="O36" s="868"/>
      <c r="P36" s="868"/>
      <c r="Q36" s="868"/>
    </row>
    <row r="37" spans="1:17" s="877" customFormat="1" outlineLevel="1" x14ac:dyDescent="0.2">
      <c r="A37" s="864">
        <v>25</v>
      </c>
      <c r="B37" s="875" t="str">
        <f>IF(ISERROR(MATCH(A37,'Struktur Vorjahr'!A:A,0))=FALSE,INDEX('Struktur Vorjahr'!B:B,MATCH(A37,'Struktur Vorjahr'!A:A,0)),"{Konto unbekannt}")</f>
        <v>Wartungen und Instandhaltungen</v>
      </c>
      <c r="C37" s="1070">
        <f ca="1">IF(ISERROR(MATCH(A37,'Struktur Vorjahr'!A:A,0))=FALSE,INDEX('Struktur Vorjahr'!C:C,MATCH(A37,'Struktur Vorjahr'!A:A,0)),0)</f>
        <v>2998.7599999999998</v>
      </c>
      <c r="D37" s="1113">
        <f>500+250</f>
        <v>750</v>
      </c>
      <c r="E37" s="876" t="s">
        <v>1069</v>
      </c>
      <c r="F37" s="876"/>
      <c r="G37" s="876"/>
      <c r="H37" s="876"/>
      <c r="I37" s="876"/>
      <c r="J37" s="876"/>
      <c r="K37" s="876"/>
      <c r="L37" s="876"/>
      <c r="M37" s="876"/>
      <c r="N37" s="876"/>
      <c r="O37" s="876"/>
      <c r="P37" s="876"/>
      <c r="Q37" s="876"/>
    </row>
    <row r="38" spans="1:17" s="865" customFormat="1" x14ac:dyDescent="0.2">
      <c r="A38" s="864">
        <v>26</v>
      </c>
      <c r="B38" s="875" t="str">
        <f>IF(ISERROR(MATCH(A38,'Struktur Vorjahr'!A:A,0))=FALSE,INDEX('Struktur Vorjahr'!B:B,MATCH(A38,'Struktur Vorjahr'!A:A,0)),"{Konto unbekannt}")</f>
        <v>Abraum- / Abfallbeseitigung</v>
      </c>
      <c r="C38" s="1070">
        <f ca="1">IF(ISERROR(MATCH(A38,'Struktur Vorjahr'!A:A,0))=FALSE,INDEX('Struktur Vorjahr'!C:C,MATCH(A38,'Struktur Vorjahr'!A:A,0)),0)</f>
        <v>322.53999999999996</v>
      </c>
      <c r="D38" s="1113">
        <f>500*3</f>
        <v>1500</v>
      </c>
      <c r="E38" s="792"/>
      <c r="F38" s="792"/>
      <c r="G38" s="792"/>
      <c r="H38" s="792"/>
      <c r="I38" s="792"/>
      <c r="J38" s="792"/>
      <c r="K38" s="792"/>
      <c r="L38" s="792"/>
      <c r="M38" s="792"/>
      <c r="N38" s="792"/>
      <c r="O38" s="792"/>
      <c r="P38" s="792"/>
      <c r="Q38" s="792"/>
    </row>
    <row r="39" spans="1:17" s="865" customFormat="1" x14ac:dyDescent="0.2">
      <c r="A39" s="864">
        <v>29</v>
      </c>
      <c r="B39" s="873" t="str">
        <f>IF(ISERROR(MATCH(A39,'Struktur Vorjahr'!A:A,0))=FALSE,INDEX('Struktur Vorjahr'!B:B,MATCH(A39,'Struktur Vorjahr'!A:A,0)),"{Konto unbekannt}")</f>
        <v>Abschreibungen</v>
      </c>
      <c r="C39" s="1052">
        <f ca="1">IF(ISERROR(MATCH(A39,'Struktur Vorjahr'!A:A,0))=FALSE,INDEX('Struktur Vorjahr'!C:C,MATCH(A39,'Struktur Vorjahr'!A:A,0)),0)</f>
        <v>4161.8900000000003</v>
      </c>
      <c r="D39" s="1113">
        <f>1800+1200</f>
        <v>3000</v>
      </c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792"/>
      <c r="P39" s="792"/>
      <c r="Q39" s="792"/>
    </row>
    <row r="40" spans="1:17" x14ac:dyDescent="0.2">
      <c r="B40" s="491"/>
      <c r="C40" s="491"/>
      <c r="D40" s="491"/>
    </row>
    <row r="41" spans="1:17" s="792" customFormat="1" x14ac:dyDescent="0.2">
      <c r="A41" s="864">
        <v>38</v>
      </c>
      <c r="B41" s="870" t="str">
        <f>IF(ISERROR(MATCH(A41,'Struktur Vorjahr'!A:A,0))=FALSE,INDEX('Struktur Vorjahr'!B:B,MATCH(A41,'Struktur Vorjahr'!A:A,0)),"{Konto unbekannt}")</f>
        <v>Investitionen - Deinvestitionen</v>
      </c>
      <c r="C41" s="1072">
        <f ca="1">IF(ISERROR(MATCH(A41,'Struktur Vorjahr'!A:A,0))=FALSE,INDEX('Struktur Vorjahr'!C:C,MATCH(A41,'Struktur Vorjahr'!A:A,0)),0)</f>
        <v>6595.7200000000012</v>
      </c>
      <c r="D41" s="1072">
        <f>SUM(D42:D47)</f>
        <v>2170</v>
      </c>
    </row>
    <row r="42" spans="1:17" s="491" customFormat="1" x14ac:dyDescent="0.2">
      <c r="A42" s="903"/>
      <c r="B42" s="1053" t="s">
        <v>24</v>
      </c>
      <c r="C42" s="1071"/>
      <c r="D42" s="1114">
        <v>200</v>
      </c>
    </row>
    <row r="43" spans="1:17" s="491" customFormat="1" x14ac:dyDescent="0.2">
      <c r="A43" s="903"/>
      <c r="B43" s="1053" t="s">
        <v>25</v>
      </c>
      <c r="C43" s="1071"/>
      <c r="D43" s="1114">
        <v>300</v>
      </c>
    </row>
    <row r="44" spans="1:17" s="491" customFormat="1" x14ac:dyDescent="0.2">
      <c r="A44" s="903"/>
      <c r="B44" s="1053" t="s">
        <v>26</v>
      </c>
      <c r="C44" s="1071"/>
      <c r="D44" s="1114">
        <v>800</v>
      </c>
    </row>
    <row r="45" spans="1:17" s="491" customFormat="1" x14ac:dyDescent="0.2">
      <c r="A45" s="903"/>
      <c r="B45" s="1053" t="s">
        <v>1071</v>
      </c>
      <c r="C45" s="1071"/>
      <c r="D45" s="1114">
        <v>200</v>
      </c>
      <c r="E45" s="866" t="s">
        <v>1074</v>
      </c>
    </row>
    <row r="46" spans="1:17" s="491" customFormat="1" x14ac:dyDescent="0.2">
      <c r="A46" s="903"/>
      <c r="B46" s="1053" t="s">
        <v>11</v>
      </c>
      <c r="C46" s="1071"/>
      <c r="D46" s="1114">
        <v>600</v>
      </c>
    </row>
    <row r="47" spans="1:17" s="491" customFormat="1" x14ac:dyDescent="0.2">
      <c r="A47" s="903"/>
      <c r="B47" s="1053" t="s">
        <v>27</v>
      </c>
      <c r="C47" s="1071"/>
      <c r="D47" s="1114">
        <v>70</v>
      </c>
    </row>
    <row r="48" spans="1:17" s="491" customFormat="1" x14ac:dyDescent="0.2">
      <c r="A48" s="903"/>
    </row>
    <row r="49" spans="1:4" s="491" customFormat="1" x14ac:dyDescent="0.2">
      <c r="A49" s="903"/>
    </row>
    <row r="50" spans="1:4" s="792" customFormat="1" x14ac:dyDescent="0.2">
      <c r="A50" s="864"/>
      <c r="B50" s="870" t="s">
        <v>28</v>
      </c>
      <c r="C50" s="1072">
        <f ca="1">C3+C6+C39</f>
        <v>42057.36</v>
      </c>
      <c r="D50" s="1072">
        <f>D3+D6+D39</f>
        <v>26910</v>
      </c>
    </row>
    <row r="51" spans="1:4" s="491" customFormat="1" x14ac:dyDescent="0.2">
      <c r="A51" s="903"/>
    </row>
    <row r="52" spans="1:4" s="491" customFormat="1" x14ac:dyDescent="0.2">
      <c r="A52" s="903"/>
    </row>
  </sheetData>
  <phoneticPr fontId="22" type="noConversion"/>
  <pageMargins left="0.78740157499999996" right="0.78740157499999996" top="0.984251969" bottom="0.984251969" header="0.4921259845" footer="0.492125984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rgb="FF00B0F0"/>
    <pageSetUpPr fitToPage="1"/>
  </sheetPr>
  <dimension ref="A1:BG44"/>
  <sheetViews>
    <sheetView showGridLines="0" zoomScaleNormal="100" zoomScaleSheetLayoutView="100" workbookViewId="0">
      <pane xSplit="2" ySplit="7" topLeftCell="C8" activePane="bottomRight" state="frozen"/>
      <selection activeCell="C6" sqref="C6"/>
      <selection pane="topRight" activeCell="C6" sqref="C6"/>
      <selection pane="bottomLeft" activeCell="C6" sqref="C6"/>
      <selection pane="bottomRight" activeCell="C13" sqref="C13"/>
    </sheetView>
  </sheetViews>
  <sheetFormatPr baseColWidth="10" defaultColWidth="11.42578125" defaultRowHeight="12.75" outlineLevelCol="1" x14ac:dyDescent="0.2"/>
  <cols>
    <col min="1" max="1" width="5.28515625" style="883" customWidth="1"/>
    <col min="2" max="2" width="24.140625" style="883" customWidth="1"/>
    <col min="3" max="3" width="10.42578125" style="883" bestFit="1" customWidth="1"/>
    <col min="4" max="4" width="17.42578125" style="883" bestFit="1" customWidth="1"/>
    <col min="5" max="5" width="16.140625" style="897" bestFit="1" customWidth="1"/>
    <col min="6" max="6" width="13.7109375" style="897" bestFit="1" customWidth="1"/>
    <col min="7" max="7" width="12" style="897" bestFit="1" customWidth="1"/>
    <col min="8" max="8" width="12.7109375" style="898" bestFit="1" customWidth="1"/>
    <col min="9" max="9" width="15.42578125" style="897" customWidth="1"/>
    <col min="10" max="10" width="7.28515625" style="899" bestFit="1" customWidth="1"/>
    <col min="11" max="11" width="10.140625" style="897" customWidth="1"/>
    <col min="12" max="12" width="14.28515625" style="897" customWidth="1"/>
    <col min="13" max="13" width="13" style="883" bestFit="1" customWidth="1"/>
    <col min="14" max="14" width="5.28515625" style="883" customWidth="1"/>
    <col min="15" max="15" width="8.7109375" style="883" customWidth="1"/>
    <col min="16" max="16" width="9.85546875" style="882" customWidth="1"/>
    <col min="17" max="23" width="8.7109375" style="882" customWidth="1"/>
    <col min="24" max="24" width="10.42578125" style="882" bestFit="1" customWidth="1"/>
    <col min="25" max="25" width="8.140625" style="882" bestFit="1" customWidth="1"/>
    <col min="26" max="26" width="9.85546875" style="882" bestFit="1" customWidth="1"/>
    <col min="27" max="27" width="9.7109375" style="882" bestFit="1" customWidth="1"/>
    <col min="28" max="29" width="11.42578125" style="882" customWidth="1"/>
    <col min="30" max="30" width="7.5703125" style="883" customWidth="1" outlineLevel="1"/>
    <col min="31" max="31" width="7.5703125" style="882" bestFit="1" customWidth="1" outlineLevel="1"/>
    <col min="32" max="32" width="7.85546875" style="882" bestFit="1" customWidth="1" outlineLevel="1"/>
    <col min="33" max="37" width="6.5703125" style="882" bestFit="1" customWidth="1" outlineLevel="1"/>
    <col min="38" max="38" width="7.28515625" style="882" bestFit="1" customWidth="1" outlineLevel="1"/>
    <col min="39" max="39" width="10.42578125" style="882" bestFit="1" customWidth="1" outlineLevel="1"/>
    <col min="40" max="40" width="8.140625" style="882" bestFit="1" customWidth="1" outlineLevel="1"/>
    <col min="41" max="41" width="9.85546875" style="882" bestFit="1" customWidth="1" outlineLevel="1"/>
    <col min="42" max="42" width="9.7109375" style="882" bestFit="1" customWidth="1" outlineLevel="1"/>
    <col min="43" max="44" width="11.42578125" style="882" customWidth="1" outlineLevel="1"/>
    <col min="45" max="45" width="7" style="883" bestFit="1" customWidth="1" outlineLevel="1"/>
    <col min="46" max="46" width="9.28515625" style="882" bestFit="1" customWidth="1" outlineLevel="1"/>
    <col min="47" max="53" width="8.140625" style="882" bestFit="1" customWidth="1" outlineLevel="1"/>
    <col min="54" max="54" width="10.42578125" style="882" bestFit="1" customWidth="1" outlineLevel="1"/>
    <col min="55" max="55" width="8.140625" style="882" bestFit="1" customWidth="1" outlineLevel="1"/>
    <col min="56" max="56" width="9.85546875" style="882" bestFit="1" customWidth="1" outlineLevel="1"/>
    <col min="57" max="57" width="9.7109375" style="882" bestFit="1" customWidth="1" outlineLevel="1"/>
    <col min="58" max="59" width="11.42578125" style="882" customWidth="1"/>
    <col min="60" max="60" width="11.42578125" style="883" customWidth="1"/>
    <col min="61" max="16384" width="11.42578125" style="883"/>
  </cols>
  <sheetData>
    <row r="1" spans="1:59" x14ac:dyDescent="0.2">
      <c r="A1" s="822"/>
      <c r="B1" s="493"/>
      <c r="C1" s="519"/>
      <c r="D1" s="519"/>
      <c r="E1" s="520"/>
      <c r="F1" s="520"/>
      <c r="G1" s="520"/>
      <c r="H1" s="879"/>
      <c r="I1" s="880"/>
      <c r="J1" s="881"/>
      <c r="K1" s="880"/>
      <c r="L1" s="880"/>
      <c r="M1" s="822"/>
      <c r="N1" s="822"/>
      <c r="O1" s="822"/>
      <c r="P1" s="1357"/>
      <c r="Q1" s="1357"/>
      <c r="R1" s="1357"/>
      <c r="S1" s="1357"/>
      <c r="T1" s="1357"/>
      <c r="U1" s="1357"/>
      <c r="V1" s="1357"/>
      <c r="W1" s="1357"/>
      <c r="X1" s="1357"/>
      <c r="Y1" s="1357"/>
      <c r="Z1" s="1357"/>
      <c r="AA1" s="1357"/>
      <c r="AD1" s="822"/>
      <c r="AS1" s="822"/>
    </row>
    <row r="2" spans="1:59" x14ac:dyDescent="0.2">
      <c r="A2" s="822"/>
      <c r="B2" s="493"/>
      <c r="C2" s="493"/>
      <c r="D2" s="493"/>
      <c r="E2" s="880"/>
      <c r="F2" s="880"/>
      <c r="G2" s="880"/>
      <c r="H2" s="879"/>
      <c r="I2" s="880"/>
      <c r="J2" s="881"/>
      <c r="K2" s="880"/>
      <c r="L2" s="880"/>
      <c r="M2" s="822"/>
      <c r="N2" s="822"/>
      <c r="O2" s="822"/>
      <c r="AD2" s="822"/>
      <c r="AS2" s="822"/>
    </row>
    <row r="3" spans="1:59" x14ac:dyDescent="0.2">
      <c r="A3" s="822"/>
      <c r="B3" s="493"/>
      <c r="C3" s="519"/>
      <c r="D3" s="519"/>
      <c r="E3" s="520"/>
      <c r="F3" s="520"/>
      <c r="G3" s="520"/>
      <c r="H3" s="879"/>
      <c r="I3" s="880"/>
      <c r="J3" s="881"/>
      <c r="K3" s="880"/>
      <c r="L3" s="880"/>
      <c r="M3" s="822"/>
      <c r="N3" s="822"/>
      <c r="O3" s="822"/>
      <c r="P3" s="1356"/>
      <c r="Q3" s="1356"/>
      <c r="R3" s="1356"/>
      <c r="S3" s="1356"/>
      <c r="T3" s="1356"/>
      <c r="U3" s="1356"/>
      <c r="V3" s="1356"/>
      <c r="W3" s="1356"/>
      <c r="X3" s="1356"/>
      <c r="Y3" s="1356"/>
      <c r="Z3" s="1356"/>
      <c r="AA3" s="1356"/>
      <c r="AD3" s="822"/>
      <c r="AS3" s="822"/>
    </row>
    <row r="4" spans="1:59" x14ac:dyDescent="0.2">
      <c r="A4" s="822"/>
      <c r="B4" s="493"/>
      <c r="C4" s="493"/>
      <c r="D4" s="493"/>
      <c r="E4" s="880"/>
      <c r="F4" s="880"/>
      <c r="G4" s="880"/>
      <c r="H4" s="879"/>
      <c r="I4" s="880"/>
      <c r="J4" s="881"/>
      <c r="K4" s="880"/>
      <c r="L4" s="880"/>
      <c r="M4" s="822"/>
      <c r="N4" s="822"/>
      <c r="O4" s="822"/>
      <c r="AD4" s="822"/>
      <c r="AS4" s="822"/>
    </row>
    <row r="5" spans="1:59" ht="25.5" customHeight="1" x14ac:dyDescent="0.2">
      <c r="A5" s="822"/>
      <c r="B5" s="878" t="s">
        <v>881</v>
      </c>
      <c r="C5" s="519"/>
      <c r="D5" s="519"/>
      <c r="E5" s="520"/>
      <c r="F5" s="520"/>
      <c r="G5" s="520"/>
      <c r="H5" s="879"/>
      <c r="I5" s="880"/>
      <c r="J5" s="881"/>
      <c r="K5" s="880"/>
      <c r="L5" s="880"/>
      <c r="M5" s="822"/>
      <c r="N5" s="822"/>
      <c r="O5" s="822"/>
      <c r="P5" s="1356"/>
      <c r="Q5" s="1356"/>
      <c r="R5" s="1356"/>
      <c r="S5" s="1356"/>
      <c r="T5" s="1356"/>
      <c r="U5" s="1356"/>
      <c r="V5" s="1356"/>
      <c r="W5" s="1356"/>
      <c r="X5" s="1356"/>
      <c r="Y5" s="1356"/>
      <c r="Z5" s="1356"/>
      <c r="AA5" s="1356"/>
      <c r="AD5" s="822"/>
      <c r="AP5" s="1116" t="str">
        <f>Grunddaten!B4</f>
        <v>Sample-Data</v>
      </c>
      <c r="AS5" s="822"/>
    </row>
    <row r="6" spans="1:59" x14ac:dyDescent="0.2">
      <c r="A6" s="822"/>
      <c r="B6" s="822"/>
      <c r="C6" s="822"/>
      <c r="D6" s="822"/>
      <c r="E6" s="880"/>
      <c r="F6" s="880"/>
      <c r="G6" s="880"/>
      <c r="H6" s="879"/>
      <c r="I6" s="880"/>
      <c r="J6" s="881"/>
      <c r="K6" s="880"/>
      <c r="L6" s="880"/>
      <c r="M6" s="822"/>
      <c r="N6" s="822"/>
      <c r="O6" s="822"/>
      <c r="P6" s="521" t="s">
        <v>882</v>
      </c>
      <c r="AD6" s="822"/>
      <c r="AE6" s="521" t="s">
        <v>883</v>
      </c>
      <c r="AS6" s="822"/>
      <c r="AT6" s="521" t="s">
        <v>884</v>
      </c>
    </row>
    <row r="7" spans="1:59" s="524" customFormat="1" ht="51" x14ac:dyDescent="0.2">
      <c r="A7" s="793"/>
      <c r="B7" s="1117" t="s">
        <v>885</v>
      </c>
      <c r="C7" s="862" t="s">
        <v>886</v>
      </c>
      <c r="D7" s="915" t="s">
        <v>887</v>
      </c>
      <c r="E7" s="915" t="s">
        <v>888</v>
      </c>
      <c r="F7" s="915" t="s">
        <v>889</v>
      </c>
      <c r="G7" s="915" t="s">
        <v>890</v>
      </c>
      <c r="H7" s="916" t="s">
        <v>891</v>
      </c>
      <c r="I7" s="915" t="s">
        <v>892</v>
      </c>
      <c r="J7" s="917" t="s">
        <v>893</v>
      </c>
      <c r="K7" s="915" t="s">
        <v>894</v>
      </c>
      <c r="L7" s="915" t="s">
        <v>895</v>
      </c>
      <c r="M7" s="793"/>
      <c r="N7" s="793"/>
      <c r="O7" s="875"/>
      <c r="P7" s="1115">
        <f>DATE(Grunddaten!$B$5,Grunddaten!$B$6-1+1,1)</f>
        <v>43466</v>
      </c>
      <c r="Q7" s="1115">
        <f>DATE(Grunddaten!$B$5,Grunddaten!$B$6-1+2,1)</f>
        <v>43497</v>
      </c>
      <c r="R7" s="1115">
        <f>DATE(Grunddaten!$B$5,Grunddaten!$B$6-1+3,1)</f>
        <v>43525</v>
      </c>
      <c r="S7" s="1115">
        <f>DATE(Grunddaten!$B$5,Grunddaten!$B$6-1+4,1)</f>
        <v>43556</v>
      </c>
      <c r="T7" s="1115">
        <f>DATE(Grunddaten!$B$5,Grunddaten!$B$6-1+5,1)</f>
        <v>43586</v>
      </c>
      <c r="U7" s="1115">
        <f>DATE(Grunddaten!$B$5,Grunddaten!$B$6-1+6,1)</f>
        <v>43617</v>
      </c>
      <c r="V7" s="1115">
        <f>DATE(Grunddaten!$B$5,Grunddaten!$B$6-1+7,1)</f>
        <v>43647</v>
      </c>
      <c r="W7" s="1115">
        <f>DATE(Grunddaten!$B$5,Grunddaten!$B$6-1+8,1)</f>
        <v>43678</v>
      </c>
      <c r="X7" s="1115">
        <f>DATE(Grunddaten!$B$5,Grunddaten!$B$6-1+9,1)</f>
        <v>43709</v>
      </c>
      <c r="Y7" s="1115">
        <f>DATE(Grunddaten!$B$5,Grunddaten!$B$6-1+10,1)</f>
        <v>43739</v>
      </c>
      <c r="Z7" s="1115">
        <f>DATE(Grunddaten!$B$5,Grunddaten!$B$6-1+11,1)</f>
        <v>43770</v>
      </c>
      <c r="AA7" s="1115">
        <f>DATE(Grunddaten!$B$5,Grunddaten!$B$6-1+12,1)</f>
        <v>43800</v>
      </c>
      <c r="AB7" s="521"/>
      <c r="AC7" s="521"/>
      <c r="AD7" s="875"/>
      <c r="AE7" s="1115">
        <f>DATE(Grunddaten!$B$5,Grunddaten!$B$6-1+1,1)</f>
        <v>43466</v>
      </c>
      <c r="AF7" s="1115">
        <f>DATE(Grunddaten!$B$5,Grunddaten!$B$6-1+2,1)</f>
        <v>43497</v>
      </c>
      <c r="AG7" s="1115">
        <f>DATE(Grunddaten!$B$5,Grunddaten!$B$6-1+3,1)</f>
        <v>43525</v>
      </c>
      <c r="AH7" s="1115">
        <f>DATE(Grunddaten!$B$5,Grunddaten!$B$6-1+4,1)</f>
        <v>43556</v>
      </c>
      <c r="AI7" s="1115">
        <f>DATE(Grunddaten!$B$5,Grunddaten!$B$6-1+5,1)</f>
        <v>43586</v>
      </c>
      <c r="AJ7" s="1115">
        <f>DATE(Grunddaten!$B$5,Grunddaten!$B$6-1+6,1)</f>
        <v>43617</v>
      </c>
      <c r="AK7" s="1115">
        <f>DATE(Grunddaten!$B$5,Grunddaten!$B$6-1+7,1)</f>
        <v>43647</v>
      </c>
      <c r="AL7" s="1115">
        <f>DATE(Grunddaten!$B$5,Grunddaten!$B$6-1+8,1)</f>
        <v>43678</v>
      </c>
      <c r="AM7" s="1115">
        <f>DATE(Grunddaten!$B$5,Grunddaten!$B$6-1+9,1)</f>
        <v>43709</v>
      </c>
      <c r="AN7" s="1115">
        <f>DATE(Grunddaten!$B$5,Grunddaten!$B$6-1+10,1)</f>
        <v>43739</v>
      </c>
      <c r="AO7" s="1115">
        <f>DATE(Grunddaten!$B$5,Grunddaten!$B$6-1+11,1)</f>
        <v>43770</v>
      </c>
      <c r="AP7" s="1115">
        <f>DATE(Grunddaten!$B$5,Grunddaten!$B$6-1+12,1)</f>
        <v>43800</v>
      </c>
      <c r="AQ7" s="521"/>
      <c r="AR7" s="521"/>
      <c r="AS7" s="875"/>
      <c r="AT7" s="1115">
        <f>DATE(Grunddaten!$B$5,Grunddaten!$B$6-1+1,1)</f>
        <v>43466</v>
      </c>
      <c r="AU7" s="1115">
        <f>DATE(Grunddaten!$B$5,Grunddaten!$B$6-1+2,1)</f>
        <v>43497</v>
      </c>
      <c r="AV7" s="1115">
        <f>DATE(Grunddaten!$B$5,Grunddaten!$B$6-1+3,1)</f>
        <v>43525</v>
      </c>
      <c r="AW7" s="1115">
        <f>DATE(Grunddaten!$B$5,Grunddaten!$B$6-1+4,1)</f>
        <v>43556</v>
      </c>
      <c r="AX7" s="1115">
        <f>DATE(Grunddaten!$B$5,Grunddaten!$B$6-1+5,1)</f>
        <v>43586</v>
      </c>
      <c r="AY7" s="1115">
        <f>DATE(Grunddaten!$B$5,Grunddaten!$B$6-1+6,1)</f>
        <v>43617</v>
      </c>
      <c r="AZ7" s="1115">
        <f>DATE(Grunddaten!$B$5,Grunddaten!$B$6-1+7,1)</f>
        <v>43647</v>
      </c>
      <c r="BA7" s="1115">
        <f>DATE(Grunddaten!$B$5,Grunddaten!$B$6-1+8,1)</f>
        <v>43678</v>
      </c>
      <c r="BB7" s="1115">
        <f>DATE(Grunddaten!$B$5,Grunddaten!$B$6-1+9,1)</f>
        <v>43709</v>
      </c>
      <c r="BC7" s="1115">
        <f>DATE(Grunddaten!$B$5,Grunddaten!$B$6-1+10,1)</f>
        <v>43739</v>
      </c>
      <c r="BD7" s="1115">
        <f>DATE(Grunddaten!$B$5,Grunddaten!$B$6-1+11,1)</f>
        <v>43770</v>
      </c>
      <c r="BE7" s="1115">
        <f>DATE(Grunddaten!$B$5,Grunddaten!$B$6-1+12,1)</f>
        <v>43800</v>
      </c>
      <c r="BF7" s="521"/>
      <c r="BG7" s="521"/>
    </row>
    <row r="8" spans="1:59" s="886" customFormat="1" ht="45.75" customHeight="1" x14ac:dyDescent="0.2">
      <c r="A8" s="884"/>
      <c r="B8" s="1118" t="s">
        <v>896</v>
      </c>
      <c r="C8" s="1119">
        <v>514</v>
      </c>
      <c r="D8" s="1119" t="s">
        <v>897</v>
      </c>
      <c r="E8" s="1120"/>
      <c r="F8" s="1120"/>
      <c r="G8" s="1120"/>
      <c r="H8" s="1120"/>
      <c r="I8" s="918" t="s">
        <v>898</v>
      </c>
      <c r="J8" s="1122"/>
      <c r="K8" s="919">
        <f t="shared" ref="K8:K12" si="0">((H8*J8)/12)</f>
        <v>0</v>
      </c>
      <c r="L8" s="919"/>
      <c r="M8" s="884"/>
      <c r="N8" s="884"/>
      <c r="O8" s="926"/>
      <c r="P8" s="1337">
        <f>IF($B8&lt;&gt;"",1,0)</f>
        <v>1</v>
      </c>
      <c r="Q8" s="1337">
        <f t="shared" ref="Q8:AA21" si="1">IF($B8&lt;&gt;"",1,0)</f>
        <v>1</v>
      </c>
      <c r="R8" s="1337">
        <f t="shared" si="1"/>
        <v>1</v>
      </c>
      <c r="S8" s="1337">
        <f t="shared" si="1"/>
        <v>1</v>
      </c>
      <c r="T8" s="1337">
        <f t="shared" si="1"/>
        <v>1</v>
      </c>
      <c r="U8" s="1337">
        <f t="shared" si="1"/>
        <v>1</v>
      </c>
      <c r="V8" s="1337">
        <f t="shared" si="1"/>
        <v>1</v>
      </c>
      <c r="W8" s="1337">
        <f t="shared" si="1"/>
        <v>1</v>
      </c>
      <c r="X8" s="1337">
        <f t="shared" si="1"/>
        <v>1</v>
      </c>
      <c r="Y8" s="1337">
        <f t="shared" si="1"/>
        <v>1</v>
      </c>
      <c r="Z8" s="1337">
        <f t="shared" si="1"/>
        <v>1</v>
      </c>
      <c r="AA8" s="1337">
        <f t="shared" si="1"/>
        <v>1</v>
      </c>
      <c r="AB8" s="885"/>
      <c r="AC8" s="885"/>
      <c r="AD8" s="926"/>
      <c r="AE8" s="888">
        <f>$K8*P8</f>
        <v>0</v>
      </c>
      <c r="AF8" s="888">
        <f t="shared" ref="AF8:AP8" si="2">$K8*Q8</f>
        <v>0</v>
      </c>
      <c r="AG8" s="888">
        <f t="shared" si="2"/>
        <v>0</v>
      </c>
      <c r="AH8" s="888">
        <f t="shared" si="2"/>
        <v>0</v>
      </c>
      <c r="AI8" s="888">
        <f t="shared" si="2"/>
        <v>0</v>
      </c>
      <c r="AJ8" s="888">
        <f t="shared" si="2"/>
        <v>0</v>
      </c>
      <c r="AK8" s="888">
        <f t="shared" si="2"/>
        <v>0</v>
      </c>
      <c r="AL8" s="888">
        <f t="shared" si="2"/>
        <v>0</v>
      </c>
      <c r="AM8" s="888">
        <f t="shared" si="2"/>
        <v>0</v>
      </c>
      <c r="AN8" s="888">
        <f t="shared" si="2"/>
        <v>0</v>
      </c>
      <c r="AO8" s="888">
        <f t="shared" si="2"/>
        <v>0</v>
      </c>
      <c r="AP8" s="888">
        <f t="shared" si="2"/>
        <v>0</v>
      </c>
      <c r="AQ8" s="885"/>
      <c r="AR8" s="885"/>
      <c r="AS8" s="926"/>
      <c r="AT8" s="888">
        <f>IF($L8=0,0,$L8*P8)</f>
        <v>0</v>
      </c>
      <c r="AU8" s="888">
        <f t="shared" ref="AU8:BE8" si="3">IF($L8=0,0,$L8*Q8)</f>
        <v>0</v>
      </c>
      <c r="AV8" s="888">
        <f t="shared" si="3"/>
        <v>0</v>
      </c>
      <c r="AW8" s="888">
        <f t="shared" si="3"/>
        <v>0</v>
      </c>
      <c r="AX8" s="888">
        <f t="shared" si="3"/>
        <v>0</v>
      </c>
      <c r="AY8" s="888">
        <f t="shared" si="3"/>
        <v>0</v>
      </c>
      <c r="AZ8" s="888">
        <f t="shared" si="3"/>
        <v>0</v>
      </c>
      <c r="BA8" s="888">
        <f t="shared" si="3"/>
        <v>0</v>
      </c>
      <c r="BB8" s="888">
        <f t="shared" si="3"/>
        <v>0</v>
      </c>
      <c r="BC8" s="888">
        <f t="shared" si="3"/>
        <v>0</v>
      </c>
      <c r="BD8" s="888">
        <f t="shared" si="3"/>
        <v>0</v>
      </c>
      <c r="BE8" s="888">
        <f t="shared" si="3"/>
        <v>0</v>
      </c>
      <c r="BF8" s="885"/>
      <c r="BG8" s="885"/>
    </row>
    <row r="9" spans="1:59" s="886" customFormat="1" ht="45.75" customHeight="1" x14ac:dyDescent="0.2">
      <c r="A9" s="884"/>
      <c r="B9" s="1118" t="s">
        <v>899</v>
      </c>
      <c r="C9" s="1119">
        <v>65712348</v>
      </c>
      <c r="D9" s="1119" t="s">
        <v>897</v>
      </c>
      <c r="E9" s="1120"/>
      <c r="F9" s="1120"/>
      <c r="G9" s="1120"/>
      <c r="H9" s="1120"/>
      <c r="I9" s="918" t="s">
        <v>898</v>
      </c>
      <c r="J9" s="1122"/>
      <c r="K9" s="919">
        <f>((H9*J9)/12)</f>
        <v>0</v>
      </c>
      <c r="L9" s="919"/>
      <c r="M9" s="884"/>
      <c r="N9" s="884"/>
      <c r="O9" s="926"/>
      <c r="P9" s="1337">
        <f t="shared" ref="P9:P21" si="4">IF($B9&lt;&gt;"",1,0)</f>
        <v>1</v>
      </c>
      <c r="Q9" s="1337">
        <f t="shared" si="1"/>
        <v>1</v>
      </c>
      <c r="R9" s="1337">
        <f t="shared" si="1"/>
        <v>1</v>
      </c>
      <c r="S9" s="1337">
        <f t="shared" si="1"/>
        <v>1</v>
      </c>
      <c r="T9" s="1337">
        <f t="shared" si="1"/>
        <v>1</v>
      </c>
      <c r="U9" s="1337">
        <f t="shared" si="1"/>
        <v>1</v>
      </c>
      <c r="V9" s="1337">
        <f t="shared" si="1"/>
        <v>1</v>
      </c>
      <c r="W9" s="1337">
        <f t="shared" si="1"/>
        <v>1</v>
      </c>
      <c r="X9" s="1337">
        <f t="shared" si="1"/>
        <v>1</v>
      </c>
      <c r="Y9" s="1337">
        <f t="shared" si="1"/>
        <v>1</v>
      </c>
      <c r="Z9" s="1337">
        <f t="shared" si="1"/>
        <v>1</v>
      </c>
      <c r="AA9" s="1337">
        <f t="shared" si="1"/>
        <v>1</v>
      </c>
      <c r="AB9" s="885"/>
      <c r="AC9" s="885"/>
      <c r="AD9" s="926"/>
      <c r="AE9" s="888">
        <f>$K9*P9</f>
        <v>0</v>
      </c>
      <c r="AF9" s="888">
        <f t="shared" ref="AF9:AP10" si="5">$K9*Q9</f>
        <v>0</v>
      </c>
      <c r="AG9" s="888">
        <f t="shared" si="5"/>
        <v>0</v>
      </c>
      <c r="AH9" s="888">
        <f t="shared" si="5"/>
        <v>0</v>
      </c>
      <c r="AI9" s="888">
        <f t="shared" si="5"/>
        <v>0</v>
      </c>
      <c r="AJ9" s="888">
        <f t="shared" si="5"/>
        <v>0</v>
      </c>
      <c r="AK9" s="888">
        <f t="shared" si="5"/>
        <v>0</v>
      </c>
      <c r="AL9" s="888">
        <f t="shared" si="5"/>
        <v>0</v>
      </c>
      <c r="AM9" s="888">
        <f t="shared" si="5"/>
        <v>0</v>
      </c>
      <c r="AN9" s="888">
        <f t="shared" si="5"/>
        <v>0</v>
      </c>
      <c r="AO9" s="888">
        <f t="shared" si="5"/>
        <v>0</v>
      </c>
      <c r="AP9" s="888">
        <f t="shared" si="5"/>
        <v>0</v>
      </c>
      <c r="AQ9" s="885"/>
      <c r="AR9" s="885"/>
      <c r="AS9" s="926"/>
      <c r="AT9" s="888">
        <f>IF($L9=0,0,$L9*P9)</f>
        <v>0</v>
      </c>
      <c r="AU9" s="888">
        <f t="shared" ref="AU9:BE10" si="6">IF($L9=0,0,$L9*Q9)</f>
        <v>0</v>
      </c>
      <c r="AV9" s="888">
        <f t="shared" si="6"/>
        <v>0</v>
      </c>
      <c r="AW9" s="888">
        <f t="shared" si="6"/>
        <v>0</v>
      </c>
      <c r="AX9" s="888">
        <f t="shared" si="6"/>
        <v>0</v>
      </c>
      <c r="AY9" s="888">
        <f t="shared" si="6"/>
        <v>0</v>
      </c>
      <c r="AZ9" s="888">
        <f t="shared" si="6"/>
        <v>0</v>
      </c>
      <c r="BA9" s="888">
        <f t="shared" si="6"/>
        <v>0</v>
      </c>
      <c r="BB9" s="888">
        <f t="shared" si="6"/>
        <v>0</v>
      </c>
      <c r="BC9" s="888">
        <f t="shared" si="6"/>
        <v>0</v>
      </c>
      <c r="BD9" s="888">
        <f t="shared" si="6"/>
        <v>0</v>
      </c>
      <c r="BE9" s="888">
        <f t="shared" si="6"/>
        <v>0</v>
      </c>
      <c r="BF9" s="885"/>
      <c r="BG9" s="885"/>
    </row>
    <row r="10" spans="1:59" s="886" customFormat="1" ht="45.75" hidden="1" customHeight="1" x14ac:dyDescent="0.2">
      <c r="A10" s="884"/>
      <c r="B10" s="1118"/>
      <c r="C10" s="1119"/>
      <c r="D10" s="1119"/>
      <c r="E10" s="1120"/>
      <c r="F10" s="1120"/>
      <c r="G10" s="1120"/>
      <c r="H10" s="1120"/>
      <c r="I10" s="1121" t="s">
        <v>898</v>
      </c>
      <c r="J10" s="1122">
        <v>0</v>
      </c>
      <c r="K10" s="919">
        <f>((H10*J10)/12)</f>
        <v>0</v>
      </c>
      <c r="L10" s="919"/>
      <c r="M10" s="884"/>
      <c r="N10" s="884"/>
      <c r="O10" s="926"/>
      <c r="P10" s="1337">
        <f t="shared" si="4"/>
        <v>0</v>
      </c>
      <c r="Q10" s="1337">
        <f t="shared" si="1"/>
        <v>0</v>
      </c>
      <c r="R10" s="1337">
        <f t="shared" si="1"/>
        <v>0</v>
      </c>
      <c r="S10" s="1337">
        <f t="shared" si="1"/>
        <v>0</v>
      </c>
      <c r="T10" s="1337">
        <f t="shared" si="1"/>
        <v>0</v>
      </c>
      <c r="U10" s="1337">
        <f t="shared" si="1"/>
        <v>0</v>
      </c>
      <c r="V10" s="1337">
        <f t="shared" si="1"/>
        <v>0</v>
      </c>
      <c r="W10" s="1337">
        <f t="shared" si="1"/>
        <v>0</v>
      </c>
      <c r="X10" s="1337">
        <f t="shared" si="1"/>
        <v>0</v>
      </c>
      <c r="Y10" s="1337">
        <f t="shared" si="1"/>
        <v>0</v>
      </c>
      <c r="Z10" s="1337">
        <f t="shared" si="1"/>
        <v>0</v>
      </c>
      <c r="AA10" s="1337">
        <f t="shared" si="1"/>
        <v>0</v>
      </c>
      <c r="AB10" s="885"/>
      <c r="AC10" s="885"/>
      <c r="AD10" s="926"/>
      <c r="AE10" s="888">
        <f>$K10*P10</f>
        <v>0</v>
      </c>
      <c r="AF10" s="888">
        <f t="shared" si="5"/>
        <v>0</v>
      </c>
      <c r="AG10" s="888">
        <f t="shared" si="5"/>
        <v>0</v>
      </c>
      <c r="AH10" s="888">
        <f t="shared" si="5"/>
        <v>0</v>
      </c>
      <c r="AI10" s="888">
        <f t="shared" si="5"/>
        <v>0</v>
      </c>
      <c r="AJ10" s="888">
        <f t="shared" si="5"/>
        <v>0</v>
      </c>
      <c r="AK10" s="888">
        <f t="shared" si="5"/>
        <v>0</v>
      </c>
      <c r="AL10" s="888">
        <f t="shared" si="5"/>
        <v>0</v>
      </c>
      <c r="AM10" s="888">
        <f t="shared" si="5"/>
        <v>0</v>
      </c>
      <c r="AN10" s="888">
        <f t="shared" si="5"/>
        <v>0</v>
      </c>
      <c r="AO10" s="888">
        <f t="shared" si="5"/>
        <v>0</v>
      </c>
      <c r="AP10" s="888">
        <f t="shared" si="5"/>
        <v>0</v>
      </c>
      <c r="AQ10" s="885"/>
      <c r="AR10" s="885"/>
      <c r="AS10" s="926"/>
      <c r="AT10" s="888">
        <f>IF($L10=0,0,$L10*P10)</f>
        <v>0</v>
      </c>
      <c r="AU10" s="888">
        <f t="shared" si="6"/>
        <v>0</v>
      </c>
      <c r="AV10" s="888">
        <f t="shared" si="6"/>
        <v>0</v>
      </c>
      <c r="AW10" s="888">
        <f t="shared" si="6"/>
        <v>0</v>
      </c>
      <c r="AX10" s="888">
        <f t="shared" si="6"/>
        <v>0</v>
      </c>
      <c r="AY10" s="888">
        <f t="shared" si="6"/>
        <v>0</v>
      </c>
      <c r="AZ10" s="888">
        <f t="shared" si="6"/>
        <v>0</v>
      </c>
      <c r="BA10" s="888">
        <f t="shared" si="6"/>
        <v>0</v>
      </c>
      <c r="BB10" s="888">
        <f t="shared" si="6"/>
        <v>0</v>
      </c>
      <c r="BC10" s="888">
        <f t="shared" si="6"/>
        <v>0</v>
      </c>
      <c r="BD10" s="888">
        <f t="shared" si="6"/>
        <v>0</v>
      </c>
      <c r="BE10" s="888">
        <f t="shared" si="6"/>
        <v>0</v>
      </c>
      <c r="BF10" s="885"/>
      <c r="BG10" s="885"/>
    </row>
    <row r="11" spans="1:59" s="886" customFormat="1" ht="45.75" hidden="1" customHeight="1" x14ac:dyDescent="0.2">
      <c r="A11" s="884"/>
      <c r="B11" s="1118"/>
      <c r="C11" s="1119"/>
      <c r="D11" s="1119"/>
      <c r="E11" s="1120"/>
      <c r="F11" s="1120"/>
      <c r="G11" s="1120"/>
      <c r="H11" s="1120"/>
      <c r="I11" s="1121"/>
      <c r="J11" s="1122"/>
      <c r="K11" s="919"/>
      <c r="L11" s="919"/>
      <c r="M11" s="884"/>
      <c r="N11" s="884"/>
      <c r="O11" s="926"/>
      <c r="P11" s="1337">
        <f t="shared" si="4"/>
        <v>0</v>
      </c>
      <c r="Q11" s="1337">
        <f t="shared" si="1"/>
        <v>0</v>
      </c>
      <c r="R11" s="1337">
        <f t="shared" si="1"/>
        <v>0</v>
      </c>
      <c r="S11" s="1337">
        <f t="shared" si="1"/>
        <v>0</v>
      </c>
      <c r="T11" s="1337">
        <f t="shared" si="1"/>
        <v>0</v>
      </c>
      <c r="U11" s="1337">
        <f t="shared" si="1"/>
        <v>0</v>
      </c>
      <c r="V11" s="1337">
        <f t="shared" si="1"/>
        <v>0</v>
      </c>
      <c r="W11" s="1337">
        <f t="shared" si="1"/>
        <v>0</v>
      </c>
      <c r="X11" s="1337">
        <f t="shared" si="1"/>
        <v>0</v>
      </c>
      <c r="Y11" s="1337">
        <f t="shared" si="1"/>
        <v>0</v>
      </c>
      <c r="Z11" s="1337">
        <f t="shared" si="1"/>
        <v>0</v>
      </c>
      <c r="AA11" s="1337">
        <f t="shared" si="1"/>
        <v>0</v>
      </c>
      <c r="AB11" s="885"/>
      <c r="AC11" s="885"/>
      <c r="AD11" s="926"/>
      <c r="AE11" s="888">
        <f t="shared" ref="AE11:AE12" si="7">$K11*P11</f>
        <v>0</v>
      </c>
      <c r="AF11" s="888">
        <f t="shared" ref="AF11:AF12" si="8">$K11*Q11</f>
        <v>0</v>
      </c>
      <c r="AG11" s="888">
        <f t="shared" ref="AG11:AG12" si="9">$K11*R11</f>
        <v>0</v>
      </c>
      <c r="AH11" s="888">
        <f t="shared" ref="AH11:AH12" si="10">$K11*S11</f>
        <v>0</v>
      </c>
      <c r="AI11" s="888">
        <f t="shared" ref="AI11:AI12" si="11">$K11*T11</f>
        <v>0</v>
      </c>
      <c r="AJ11" s="888">
        <f t="shared" ref="AJ11:AJ12" si="12">$K11*U11</f>
        <v>0</v>
      </c>
      <c r="AK11" s="888">
        <f t="shared" ref="AK11:AK12" si="13">$K11*V11</f>
        <v>0</v>
      </c>
      <c r="AL11" s="888">
        <f t="shared" ref="AL11:AL12" si="14">$K11*W11</f>
        <v>0</v>
      </c>
      <c r="AM11" s="888">
        <f t="shared" ref="AM11:AM12" si="15">$K11*X11</f>
        <v>0</v>
      </c>
      <c r="AN11" s="888">
        <f t="shared" ref="AN11:AN12" si="16">$K11*Y11</f>
        <v>0</v>
      </c>
      <c r="AO11" s="888">
        <f t="shared" ref="AO11:AO12" si="17">$K11*Z11</f>
        <v>0</v>
      </c>
      <c r="AP11" s="888">
        <f t="shared" ref="AP11:AP12" si="18">$K11*AA11</f>
        <v>0</v>
      </c>
      <c r="AQ11" s="885"/>
      <c r="AR11" s="885"/>
      <c r="AS11" s="926"/>
      <c r="AT11" s="888"/>
      <c r="AU11" s="888"/>
      <c r="AV11" s="888"/>
      <c r="AW11" s="888"/>
      <c r="AX11" s="888"/>
      <c r="AY11" s="888"/>
      <c r="AZ11" s="888"/>
      <c r="BA11" s="888"/>
      <c r="BB11" s="888"/>
      <c r="BC11" s="888"/>
      <c r="BD11" s="888"/>
      <c r="BE11" s="888"/>
      <c r="BF11" s="885"/>
      <c r="BG11" s="885"/>
    </row>
    <row r="12" spans="1:59" s="886" customFormat="1" ht="45.75" customHeight="1" x14ac:dyDescent="0.2">
      <c r="A12" s="889"/>
      <c r="B12" s="1118" t="s">
        <v>900</v>
      </c>
      <c r="C12" s="1123">
        <v>1</v>
      </c>
      <c r="D12" s="1123" t="s">
        <v>901</v>
      </c>
      <c r="E12" s="1120">
        <v>40000</v>
      </c>
      <c r="F12" s="1124">
        <v>10</v>
      </c>
      <c r="G12" s="1120">
        <v>6</v>
      </c>
      <c r="H12" s="1120">
        <v>600</v>
      </c>
      <c r="I12" s="1120">
        <v>60</v>
      </c>
      <c r="J12" s="1122">
        <v>0.06</v>
      </c>
      <c r="K12" s="919">
        <f t="shared" si="0"/>
        <v>3</v>
      </c>
      <c r="L12" s="919">
        <f t="shared" ref="L12:L21" si="19">I12-K12</f>
        <v>57</v>
      </c>
      <c r="M12" s="889"/>
      <c r="N12" s="884"/>
      <c r="O12" s="926"/>
      <c r="P12" s="1337">
        <f t="shared" si="4"/>
        <v>1</v>
      </c>
      <c r="Q12" s="1337">
        <f t="shared" si="1"/>
        <v>1</v>
      </c>
      <c r="R12" s="1337">
        <f t="shared" si="1"/>
        <v>1</v>
      </c>
      <c r="S12" s="1337">
        <f t="shared" si="1"/>
        <v>1</v>
      </c>
      <c r="T12" s="1337">
        <f t="shared" si="1"/>
        <v>1</v>
      </c>
      <c r="U12" s="1337">
        <f t="shared" si="1"/>
        <v>1</v>
      </c>
      <c r="V12" s="1337">
        <f t="shared" si="1"/>
        <v>1</v>
      </c>
      <c r="W12" s="1337">
        <f t="shared" si="1"/>
        <v>1</v>
      </c>
      <c r="X12" s="1337">
        <f t="shared" si="1"/>
        <v>1</v>
      </c>
      <c r="Y12" s="1337">
        <f t="shared" si="1"/>
        <v>1</v>
      </c>
      <c r="Z12" s="1337">
        <f t="shared" si="1"/>
        <v>1</v>
      </c>
      <c r="AA12" s="1337">
        <f t="shared" si="1"/>
        <v>1</v>
      </c>
      <c r="AB12" s="885"/>
      <c r="AC12" s="885"/>
      <c r="AD12" s="926"/>
      <c r="AE12" s="888">
        <f t="shared" si="7"/>
        <v>3</v>
      </c>
      <c r="AF12" s="888">
        <f t="shared" si="8"/>
        <v>3</v>
      </c>
      <c r="AG12" s="888">
        <f t="shared" si="9"/>
        <v>3</v>
      </c>
      <c r="AH12" s="888">
        <f t="shared" si="10"/>
        <v>3</v>
      </c>
      <c r="AI12" s="888">
        <f t="shared" si="11"/>
        <v>3</v>
      </c>
      <c r="AJ12" s="888">
        <f t="shared" si="12"/>
        <v>3</v>
      </c>
      <c r="AK12" s="888">
        <f t="shared" si="13"/>
        <v>3</v>
      </c>
      <c r="AL12" s="888">
        <f t="shared" si="14"/>
        <v>3</v>
      </c>
      <c r="AM12" s="888">
        <f t="shared" si="15"/>
        <v>3</v>
      </c>
      <c r="AN12" s="888">
        <f t="shared" si="16"/>
        <v>3</v>
      </c>
      <c r="AO12" s="888">
        <f t="shared" si="17"/>
        <v>3</v>
      </c>
      <c r="AP12" s="888">
        <f t="shared" si="18"/>
        <v>3</v>
      </c>
      <c r="AQ12" s="885"/>
      <c r="AR12" s="885"/>
      <c r="AS12" s="926"/>
      <c r="AT12" s="888">
        <f t="shared" ref="AT12:AT21" si="20">IF($L12=0,0,$L12*P12)</f>
        <v>57</v>
      </c>
      <c r="AU12" s="888">
        <f t="shared" ref="AU12:AU21" si="21">IF($L12=0,0,$L12*Q12)</f>
        <v>57</v>
      </c>
      <c r="AV12" s="888">
        <f t="shared" ref="AV12:AV21" si="22">IF($L12=0,0,$L12*R12)</f>
        <v>57</v>
      </c>
      <c r="AW12" s="888">
        <f t="shared" ref="AW12:AW21" si="23">IF($L12=0,0,$L12*S12)</f>
        <v>57</v>
      </c>
      <c r="AX12" s="888">
        <f t="shared" ref="AX12:AX21" si="24">IF($L12=0,0,$L12*T12)</f>
        <v>57</v>
      </c>
      <c r="AY12" s="888">
        <f t="shared" ref="AY12:AY21" si="25">IF($L12=0,0,$L12*U12)</f>
        <v>57</v>
      </c>
      <c r="AZ12" s="888">
        <f t="shared" ref="AZ12:AZ21" si="26">IF($L12=0,0,$L12*V12)</f>
        <v>57</v>
      </c>
      <c r="BA12" s="888">
        <f t="shared" ref="BA12:BA21" si="27">IF($L12=0,0,$L12*W12)</f>
        <v>57</v>
      </c>
      <c r="BB12" s="888">
        <f t="shared" ref="BB12:BB21" si="28">IF($L12=0,0,$L12*X12)</f>
        <v>57</v>
      </c>
      <c r="BC12" s="888">
        <f t="shared" ref="BC12:BC21" si="29">IF($L12=0,0,$L12*Y12)</f>
        <v>57</v>
      </c>
      <c r="BD12" s="888">
        <f t="shared" ref="BD12:BD21" si="30">IF($L12=0,0,$L12*Z12)</f>
        <v>57</v>
      </c>
      <c r="BE12" s="888">
        <f t="shared" ref="BE12:BE21" si="31">IF($L12=0,0,$L12*AA12)</f>
        <v>57</v>
      </c>
      <c r="BF12" s="885"/>
      <c r="BG12" s="885"/>
    </row>
    <row r="13" spans="1:59" s="886" customFormat="1" ht="45.75" customHeight="1" x14ac:dyDescent="0.2">
      <c r="A13" s="889"/>
      <c r="B13" s="1118" t="s">
        <v>902</v>
      </c>
      <c r="C13" s="1123" t="s">
        <v>903</v>
      </c>
      <c r="D13" s="1123" t="s">
        <v>901</v>
      </c>
      <c r="E13" s="1120">
        <v>20000</v>
      </c>
      <c r="F13" s="1124">
        <v>4</v>
      </c>
      <c r="G13" s="1120">
        <v>8</v>
      </c>
      <c r="H13" s="1120">
        <v>400</v>
      </c>
      <c r="I13" s="1120">
        <v>40</v>
      </c>
      <c r="J13" s="1122">
        <v>0.08</v>
      </c>
      <c r="K13" s="919">
        <f t="shared" ref="K13:K21" si="32">((H13*J13)/12)</f>
        <v>2.6666666666666665</v>
      </c>
      <c r="L13" s="919">
        <f t="shared" si="19"/>
        <v>37.333333333333336</v>
      </c>
      <c r="M13" s="889"/>
      <c r="N13" s="884"/>
      <c r="O13" s="926"/>
      <c r="P13" s="1337"/>
      <c r="Q13" s="1337"/>
      <c r="R13" s="1337"/>
      <c r="S13" s="1337"/>
      <c r="T13" s="1337">
        <f t="shared" si="1"/>
        <v>1</v>
      </c>
      <c r="U13" s="1337">
        <f t="shared" si="1"/>
        <v>1</v>
      </c>
      <c r="V13" s="1337">
        <f t="shared" si="1"/>
        <v>1</v>
      </c>
      <c r="W13" s="1337">
        <f t="shared" si="1"/>
        <v>1</v>
      </c>
      <c r="X13" s="1337">
        <f t="shared" si="1"/>
        <v>1</v>
      </c>
      <c r="Y13" s="1337">
        <f t="shared" si="1"/>
        <v>1</v>
      </c>
      <c r="Z13" s="1337">
        <f t="shared" si="1"/>
        <v>1</v>
      </c>
      <c r="AA13" s="1337">
        <f t="shared" si="1"/>
        <v>1</v>
      </c>
      <c r="AB13" s="885"/>
      <c r="AC13" s="885"/>
      <c r="AD13" s="926"/>
      <c r="AE13" s="888">
        <f t="shared" ref="AE13:AE21" si="33">$K13*P13</f>
        <v>0</v>
      </c>
      <c r="AF13" s="888">
        <f t="shared" ref="AF13:AF21" si="34">$K13*Q13</f>
        <v>0</v>
      </c>
      <c r="AG13" s="888">
        <f t="shared" ref="AG13:AG21" si="35">$K13*R13</f>
        <v>0</v>
      </c>
      <c r="AH13" s="888">
        <f t="shared" ref="AH13:AH21" si="36">$K13*S13</f>
        <v>0</v>
      </c>
      <c r="AI13" s="888">
        <f t="shared" ref="AI13:AI21" si="37">$K13*T13</f>
        <v>2.6666666666666665</v>
      </c>
      <c r="AJ13" s="888">
        <f t="shared" ref="AJ13:AJ21" si="38">$K13*U13</f>
        <v>2.6666666666666665</v>
      </c>
      <c r="AK13" s="888">
        <f t="shared" ref="AK13:AK21" si="39">$K13*V13</f>
        <v>2.6666666666666665</v>
      </c>
      <c r="AL13" s="888">
        <f t="shared" ref="AL13:AL21" si="40">$K13*W13</f>
        <v>2.6666666666666665</v>
      </c>
      <c r="AM13" s="888">
        <f t="shared" ref="AM13:AM21" si="41">$K13*X13</f>
        <v>2.6666666666666665</v>
      </c>
      <c r="AN13" s="888">
        <f t="shared" ref="AN13:AN21" si="42">$K13*Y13</f>
        <v>2.6666666666666665</v>
      </c>
      <c r="AO13" s="888">
        <f t="shared" ref="AO13:AO21" si="43">$K13*Z13</f>
        <v>2.6666666666666665</v>
      </c>
      <c r="AP13" s="888">
        <f t="shared" ref="AP13:AP21" si="44">$K13*AA13</f>
        <v>2.6666666666666665</v>
      </c>
      <c r="AQ13" s="885"/>
      <c r="AR13" s="885"/>
      <c r="AS13" s="926"/>
      <c r="AT13" s="888">
        <f t="shared" si="20"/>
        <v>0</v>
      </c>
      <c r="AU13" s="888">
        <f t="shared" si="21"/>
        <v>0</v>
      </c>
      <c r="AV13" s="888">
        <f t="shared" si="22"/>
        <v>0</v>
      </c>
      <c r="AW13" s="888">
        <f t="shared" si="23"/>
        <v>0</v>
      </c>
      <c r="AX13" s="888">
        <f t="shared" si="24"/>
        <v>37.333333333333336</v>
      </c>
      <c r="AY13" s="888">
        <f t="shared" si="25"/>
        <v>37.333333333333336</v>
      </c>
      <c r="AZ13" s="888">
        <f t="shared" si="26"/>
        <v>37.333333333333336</v>
      </c>
      <c r="BA13" s="888">
        <f t="shared" si="27"/>
        <v>37.333333333333336</v>
      </c>
      <c r="BB13" s="888">
        <f t="shared" si="28"/>
        <v>37.333333333333336</v>
      </c>
      <c r="BC13" s="888">
        <f t="shared" si="29"/>
        <v>37.333333333333336</v>
      </c>
      <c r="BD13" s="888">
        <f t="shared" si="30"/>
        <v>37.333333333333336</v>
      </c>
      <c r="BE13" s="888">
        <f t="shared" si="31"/>
        <v>37.333333333333336</v>
      </c>
      <c r="BF13" s="885"/>
      <c r="BG13" s="885"/>
    </row>
    <row r="14" spans="1:59" s="886" customFormat="1" ht="45.75" customHeight="1" x14ac:dyDescent="0.2">
      <c r="A14" s="889"/>
      <c r="B14" s="1118"/>
      <c r="C14" s="1123"/>
      <c r="D14" s="1123"/>
      <c r="E14" s="1120"/>
      <c r="F14" s="1124"/>
      <c r="G14" s="1120"/>
      <c r="H14" s="1120"/>
      <c r="I14" s="1120"/>
      <c r="J14" s="1122"/>
      <c r="K14" s="919">
        <f t="shared" si="32"/>
        <v>0</v>
      </c>
      <c r="L14" s="919">
        <f t="shared" si="19"/>
        <v>0</v>
      </c>
      <c r="M14" s="889"/>
      <c r="N14" s="884"/>
      <c r="O14" s="926"/>
      <c r="P14" s="1337">
        <f t="shared" si="4"/>
        <v>0</v>
      </c>
      <c r="Q14" s="1337">
        <f t="shared" si="1"/>
        <v>0</v>
      </c>
      <c r="R14" s="1337">
        <f t="shared" si="1"/>
        <v>0</v>
      </c>
      <c r="S14" s="1337">
        <f t="shared" si="1"/>
        <v>0</v>
      </c>
      <c r="T14" s="1337">
        <f t="shared" si="1"/>
        <v>0</v>
      </c>
      <c r="U14" s="1337">
        <f t="shared" si="1"/>
        <v>0</v>
      </c>
      <c r="V14" s="1337">
        <f t="shared" si="1"/>
        <v>0</v>
      </c>
      <c r="W14" s="1337">
        <f t="shared" si="1"/>
        <v>0</v>
      </c>
      <c r="X14" s="1337">
        <f t="shared" si="1"/>
        <v>0</v>
      </c>
      <c r="Y14" s="1337">
        <f t="shared" si="1"/>
        <v>0</v>
      </c>
      <c r="Z14" s="1337">
        <f t="shared" si="1"/>
        <v>0</v>
      </c>
      <c r="AA14" s="1337">
        <f t="shared" si="1"/>
        <v>0</v>
      </c>
      <c r="AB14" s="885"/>
      <c r="AC14" s="885"/>
      <c r="AD14" s="926"/>
      <c r="AE14" s="888">
        <f t="shared" si="33"/>
        <v>0</v>
      </c>
      <c r="AF14" s="888">
        <f t="shared" si="34"/>
        <v>0</v>
      </c>
      <c r="AG14" s="888">
        <f t="shared" si="35"/>
        <v>0</v>
      </c>
      <c r="AH14" s="888">
        <f t="shared" si="36"/>
        <v>0</v>
      </c>
      <c r="AI14" s="888">
        <f t="shared" si="37"/>
        <v>0</v>
      </c>
      <c r="AJ14" s="888">
        <f t="shared" si="38"/>
        <v>0</v>
      </c>
      <c r="AK14" s="888">
        <f t="shared" si="39"/>
        <v>0</v>
      </c>
      <c r="AL14" s="888">
        <f t="shared" si="40"/>
        <v>0</v>
      </c>
      <c r="AM14" s="888">
        <f t="shared" si="41"/>
        <v>0</v>
      </c>
      <c r="AN14" s="888">
        <f t="shared" si="42"/>
        <v>0</v>
      </c>
      <c r="AO14" s="888">
        <f t="shared" si="43"/>
        <v>0</v>
      </c>
      <c r="AP14" s="888">
        <f t="shared" si="44"/>
        <v>0</v>
      </c>
      <c r="AQ14" s="885"/>
      <c r="AR14" s="885"/>
      <c r="AS14" s="926"/>
      <c r="AT14" s="888">
        <f t="shared" si="20"/>
        <v>0</v>
      </c>
      <c r="AU14" s="888">
        <f t="shared" si="21"/>
        <v>0</v>
      </c>
      <c r="AV14" s="888">
        <f t="shared" si="22"/>
        <v>0</v>
      </c>
      <c r="AW14" s="888">
        <f t="shared" si="23"/>
        <v>0</v>
      </c>
      <c r="AX14" s="888">
        <f t="shared" si="24"/>
        <v>0</v>
      </c>
      <c r="AY14" s="888">
        <f t="shared" si="25"/>
        <v>0</v>
      </c>
      <c r="AZ14" s="888">
        <f t="shared" si="26"/>
        <v>0</v>
      </c>
      <c r="BA14" s="888">
        <f t="shared" si="27"/>
        <v>0</v>
      </c>
      <c r="BB14" s="888">
        <f t="shared" si="28"/>
        <v>0</v>
      </c>
      <c r="BC14" s="888">
        <f t="shared" si="29"/>
        <v>0</v>
      </c>
      <c r="BD14" s="888">
        <f t="shared" si="30"/>
        <v>0</v>
      </c>
      <c r="BE14" s="888">
        <f t="shared" si="31"/>
        <v>0</v>
      </c>
      <c r="BF14" s="885"/>
      <c r="BG14" s="885"/>
    </row>
    <row r="15" spans="1:59" s="886" customFormat="1" ht="45.75" customHeight="1" x14ac:dyDescent="0.2">
      <c r="A15" s="889"/>
      <c r="B15" s="1118"/>
      <c r="C15" s="1123"/>
      <c r="D15" s="1123"/>
      <c r="E15" s="1120"/>
      <c r="F15" s="1124"/>
      <c r="G15" s="1120"/>
      <c r="H15" s="1120"/>
      <c r="I15" s="1120"/>
      <c r="J15" s="1122"/>
      <c r="K15" s="919">
        <f t="shared" si="32"/>
        <v>0</v>
      </c>
      <c r="L15" s="919">
        <f t="shared" si="19"/>
        <v>0</v>
      </c>
      <c r="M15" s="889"/>
      <c r="N15" s="884"/>
      <c r="O15" s="926"/>
      <c r="P15" s="1337">
        <f t="shared" si="4"/>
        <v>0</v>
      </c>
      <c r="Q15" s="1337">
        <f t="shared" si="1"/>
        <v>0</v>
      </c>
      <c r="R15" s="1337">
        <f t="shared" si="1"/>
        <v>0</v>
      </c>
      <c r="S15" s="1337">
        <f t="shared" si="1"/>
        <v>0</v>
      </c>
      <c r="T15" s="1337">
        <f t="shared" si="1"/>
        <v>0</v>
      </c>
      <c r="U15" s="1337">
        <f t="shared" si="1"/>
        <v>0</v>
      </c>
      <c r="V15" s="1337">
        <f t="shared" si="1"/>
        <v>0</v>
      </c>
      <c r="W15" s="1337">
        <f t="shared" si="1"/>
        <v>0</v>
      </c>
      <c r="X15" s="1337">
        <f t="shared" si="1"/>
        <v>0</v>
      </c>
      <c r="Y15" s="1337">
        <f t="shared" si="1"/>
        <v>0</v>
      </c>
      <c r="Z15" s="1337">
        <f t="shared" si="1"/>
        <v>0</v>
      </c>
      <c r="AA15" s="1337">
        <f t="shared" si="1"/>
        <v>0</v>
      </c>
      <c r="AB15" s="885"/>
      <c r="AC15" s="885"/>
      <c r="AD15" s="926"/>
      <c r="AE15" s="888">
        <f t="shared" si="33"/>
        <v>0</v>
      </c>
      <c r="AF15" s="888">
        <f t="shared" si="34"/>
        <v>0</v>
      </c>
      <c r="AG15" s="888">
        <f t="shared" si="35"/>
        <v>0</v>
      </c>
      <c r="AH15" s="888">
        <f t="shared" si="36"/>
        <v>0</v>
      </c>
      <c r="AI15" s="888">
        <f t="shared" si="37"/>
        <v>0</v>
      </c>
      <c r="AJ15" s="888">
        <f t="shared" si="38"/>
        <v>0</v>
      </c>
      <c r="AK15" s="888">
        <f t="shared" si="39"/>
        <v>0</v>
      </c>
      <c r="AL15" s="888">
        <f t="shared" si="40"/>
        <v>0</v>
      </c>
      <c r="AM15" s="888">
        <f t="shared" si="41"/>
        <v>0</v>
      </c>
      <c r="AN15" s="888">
        <f t="shared" si="42"/>
        <v>0</v>
      </c>
      <c r="AO15" s="888">
        <f t="shared" si="43"/>
        <v>0</v>
      </c>
      <c r="AP15" s="888">
        <f t="shared" si="44"/>
        <v>0</v>
      </c>
      <c r="AQ15" s="885"/>
      <c r="AR15" s="885"/>
      <c r="AS15" s="926"/>
      <c r="AT15" s="888">
        <f t="shared" si="20"/>
        <v>0</v>
      </c>
      <c r="AU15" s="888">
        <f t="shared" si="21"/>
        <v>0</v>
      </c>
      <c r="AV15" s="888">
        <f t="shared" si="22"/>
        <v>0</v>
      </c>
      <c r="AW15" s="888">
        <f t="shared" si="23"/>
        <v>0</v>
      </c>
      <c r="AX15" s="888">
        <f t="shared" si="24"/>
        <v>0</v>
      </c>
      <c r="AY15" s="888">
        <f t="shared" si="25"/>
        <v>0</v>
      </c>
      <c r="AZ15" s="888">
        <f t="shared" si="26"/>
        <v>0</v>
      </c>
      <c r="BA15" s="888">
        <f t="shared" si="27"/>
        <v>0</v>
      </c>
      <c r="BB15" s="888">
        <f t="shared" si="28"/>
        <v>0</v>
      </c>
      <c r="BC15" s="888">
        <f t="shared" si="29"/>
        <v>0</v>
      </c>
      <c r="BD15" s="888">
        <f t="shared" si="30"/>
        <v>0</v>
      </c>
      <c r="BE15" s="888">
        <f t="shared" si="31"/>
        <v>0</v>
      </c>
      <c r="BF15" s="885"/>
      <c r="BG15" s="885"/>
    </row>
    <row r="16" spans="1:59" s="886" customFormat="1" ht="45.75" customHeight="1" x14ac:dyDescent="0.2">
      <c r="A16" s="889"/>
      <c r="B16" s="1118"/>
      <c r="C16" s="1123"/>
      <c r="D16" s="1123"/>
      <c r="E16" s="1120"/>
      <c r="F16" s="1124"/>
      <c r="G16" s="1120"/>
      <c r="H16" s="1120"/>
      <c r="I16" s="1120"/>
      <c r="J16" s="1122"/>
      <c r="K16" s="919">
        <f t="shared" si="32"/>
        <v>0</v>
      </c>
      <c r="L16" s="919">
        <f t="shared" si="19"/>
        <v>0</v>
      </c>
      <c r="M16" s="889"/>
      <c r="N16" s="884"/>
      <c r="O16" s="926"/>
      <c r="P16" s="1337">
        <f t="shared" si="4"/>
        <v>0</v>
      </c>
      <c r="Q16" s="1337">
        <f t="shared" si="1"/>
        <v>0</v>
      </c>
      <c r="R16" s="1337">
        <f t="shared" si="1"/>
        <v>0</v>
      </c>
      <c r="S16" s="1337">
        <f t="shared" si="1"/>
        <v>0</v>
      </c>
      <c r="T16" s="1337">
        <f t="shared" si="1"/>
        <v>0</v>
      </c>
      <c r="U16" s="1337">
        <f t="shared" si="1"/>
        <v>0</v>
      </c>
      <c r="V16" s="1337">
        <f t="shared" si="1"/>
        <v>0</v>
      </c>
      <c r="W16" s="1337">
        <f t="shared" si="1"/>
        <v>0</v>
      </c>
      <c r="X16" s="1337">
        <f t="shared" si="1"/>
        <v>0</v>
      </c>
      <c r="Y16" s="1337">
        <f t="shared" si="1"/>
        <v>0</v>
      </c>
      <c r="Z16" s="1337">
        <f t="shared" si="1"/>
        <v>0</v>
      </c>
      <c r="AA16" s="1337">
        <f t="shared" si="1"/>
        <v>0</v>
      </c>
      <c r="AB16" s="885"/>
      <c r="AC16" s="885"/>
      <c r="AD16" s="926"/>
      <c r="AE16" s="888">
        <f t="shared" si="33"/>
        <v>0</v>
      </c>
      <c r="AF16" s="888">
        <f t="shared" si="34"/>
        <v>0</v>
      </c>
      <c r="AG16" s="888">
        <f t="shared" si="35"/>
        <v>0</v>
      </c>
      <c r="AH16" s="888">
        <f t="shared" si="36"/>
        <v>0</v>
      </c>
      <c r="AI16" s="888">
        <f t="shared" si="37"/>
        <v>0</v>
      </c>
      <c r="AJ16" s="888">
        <f t="shared" si="38"/>
        <v>0</v>
      </c>
      <c r="AK16" s="888">
        <f t="shared" si="39"/>
        <v>0</v>
      </c>
      <c r="AL16" s="888">
        <f t="shared" si="40"/>
        <v>0</v>
      </c>
      <c r="AM16" s="888">
        <f t="shared" si="41"/>
        <v>0</v>
      </c>
      <c r="AN16" s="888">
        <f t="shared" si="42"/>
        <v>0</v>
      </c>
      <c r="AO16" s="888">
        <f t="shared" si="43"/>
        <v>0</v>
      </c>
      <c r="AP16" s="888">
        <f t="shared" si="44"/>
        <v>0</v>
      </c>
      <c r="AQ16" s="885"/>
      <c r="AR16" s="885"/>
      <c r="AS16" s="926"/>
      <c r="AT16" s="888">
        <f t="shared" si="20"/>
        <v>0</v>
      </c>
      <c r="AU16" s="888">
        <f t="shared" si="21"/>
        <v>0</v>
      </c>
      <c r="AV16" s="888">
        <f t="shared" si="22"/>
        <v>0</v>
      </c>
      <c r="AW16" s="888">
        <f t="shared" si="23"/>
        <v>0</v>
      </c>
      <c r="AX16" s="888">
        <f t="shared" si="24"/>
        <v>0</v>
      </c>
      <c r="AY16" s="888">
        <f t="shared" si="25"/>
        <v>0</v>
      </c>
      <c r="AZ16" s="888">
        <f t="shared" si="26"/>
        <v>0</v>
      </c>
      <c r="BA16" s="888">
        <f t="shared" si="27"/>
        <v>0</v>
      </c>
      <c r="BB16" s="888">
        <f t="shared" si="28"/>
        <v>0</v>
      </c>
      <c r="BC16" s="888">
        <f t="shared" si="29"/>
        <v>0</v>
      </c>
      <c r="BD16" s="888">
        <f t="shared" si="30"/>
        <v>0</v>
      </c>
      <c r="BE16" s="888">
        <f t="shared" si="31"/>
        <v>0</v>
      </c>
      <c r="BF16" s="885"/>
      <c r="BG16" s="885"/>
    </row>
    <row r="17" spans="1:59" s="886" customFormat="1" ht="45.75" customHeight="1" x14ac:dyDescent="0.2">
      <c r="A17" s="889"/>
      <c r="B17" s="1118"/>
      <c r="C17" s="1123"/>
      <c r="D17" s="1123"/>
      <c r="E17" s="1120"/>
      <c r="F17" s="1124"/>
      <c r="G17" s="1120"/>
      <c r="H17" s="1120"/>
      <c r="I17" s="1120"/>
      <c r="J17" s="1122"/>
      <c r="K17" s="919">
        <f t="shared" si="32"/>
        <v>0</v>
      </c>
      <c r="L17" s="919">
        <f t="shared" si="19"/>
        <v>0</v>
      </c>
      <c r="M17" s="889"/>
      <c r="N17" s="884"/>
      <c r="O17" s="926"/>
      <c r="P17" s="1337">
        <f t="shared" si="4"/>
        <v>0</v>
      </c>
      <c r="Q17" s="1337">
        <f t="shared" si="1"/>
        <v>0</v>
      </c>
      <c r="R17" s="1337">
        <f t="shared" si="1"/>
        <v>0</v>
      </c>
      <c r="S17" s="1337">
        <f t="shared" si="1"/>
        <v>0</v>
      </c>
      <c r="T17" s="1337">
        <f t="shared" si="1"/>
        <v>0</v>
      </c>
      <c r="U17" s="1337">
        <f t="shared" si="1"/>
        <v>0</v>
      </c>
      <c r="V17" s="1337">
        <f t="shared" si="1"/>
        <v>0</v>
      </c>
      <c r="W17" s="1337">
        <f t="shared" si="1"/>
        <v>0</v>
      </c>
      <c r="X17" s="1337">
        <f t="shared" si="1"/>
        <v>0</v>
      </c>
      <c r="Y17" s="1337">
        <f t="shared" si="1"/>
        <v>0</v>
      </c>
      <c r="Z17" s="1337">
        <f t="shared" si="1"/>
        <v>0</v>
      </c>
      <c r="AA17" s="1337">
        <f t="shared" si="1"/>
        <v>0</v>
      </c>
      <c r="AB17" s="885"/>
      <c r="AC17" s="885"/>
      <c r="AD17" s="926"/>
      <c r="AE17" s="888">
        <f t="shared" si="33"/>
        <v>0</v>
      </c>
      <c r="AF17" s="888">
        <f t="shared" si="34"/>
        <v>0</v>
      </c>
      <c r="AG17" s="888">
        <f t="shared" si="35"/>
        <v>0</v>
      </c>
      <c r="AH17" s="888">
        <f t="shared" si="36"/>
        <v>0</v>
      </c>
      <c r="AI17" s="888">
        <f t="shared" si="37"/>
        <v>0</v>
      </c>
      <c r="AJ17" s="888">
        <f t="shared" si="38"/>
        <v>0</v>
      </c>
      <c r="AK17" s="888">
        <f t="shared" si="39"/>
        <v>0</v>
      </c>
      <c r="AL17" s="888">
        <f t="shared" si="40"/>
        <v>0</v>
      </c>
      <c r="AM17" s="888">
        <f t="shared" si="41"/>
        <v>0</v>
      </c>
      <c r="AN17" s="888">
        <f t="shared" si="42"/>
        <v>0</v>
      </c>
      <c r="AO17" s="888">
        <f t="shared" si="43"/>
        <v>0</v>
      </c>
      <c r="AP17" s="888">
        <f t="shared" si="44"/>
        <v>0</v>
      </c>
      <c r="AQ17" s="885"/>
      <c r="AR17" s="885"/>
      <c r="AS17" s="926"/>
      <c r="AT17" s="888">
        <f t="shared" si="20"/>
        <v>0</v>
      </c>
      <c r="AU17" s="888">
        <f t="shared" si="21"/>
        <v>0</v>
      </c>
      <c r="AV17" s="888">
        <f t="shared" si="22"/>
        <v>0</v>
      </c>
      <c r="AW17" s="888">
        <f t="shared" si="23"/>
        <v>0</v>
      </c>
      <c r="AX17" s="888">
        <f t="shared" si="24"/>
        <v>0</v>
      </c>
      <c r="AY17" s="888">
        <f t="shared" si="25"/>
        <v>0</v>
      </c>
      <c r="AZ17" s="888">
        <f t="shared" si="26"/>
        <v>0</v>
      </c>
      <c r="BA17" s="888">
        <f t="shared" si="27"/>
        <v>0</v>
      </c>
      <c r="BB17" s="888">
        <f t="shared" si="28"/>
        <v>0</v>
      </c>
      <c r="BC17" s="888">
        <f t="shared" si="29"/>
        <v>0</v>
      </c>
      <c r="BD17" s="888">
        <f t="shared" si="30"/>
        <v>0</v>
      </c>
      <c r="BE17" s="888">
        <f t="shared" si="31"/>
        <v>0</v>
      </c>
      <c r="BF17" s="885"/>
      <c r="BG17" s="885"/>
    </row>
    <row r="18" spans="1:59" s="886" customFormat="1" ht="45.75" customHeight="1" x14ac:dyDescent="0.2">
      <c r="A18" s="889"/>
      <c r="B18" s="1118"/>
      <c r="C18" s="1123"/>
      <c r="D18" s="1123"/>
      <c r="E18" s="1120"/>
      <c r="F18" s="1124"/>
      <c r="G18" s="1120"/>
      <c r="H18" s="1120"/>
      <c r="I18" s="1120"/>
      <c r="J18" s="1122"/>
      <c r="K18" s="919">
        <f t="shared" si="32"/>
        <v>0</v>
      </c>
      <c r="L18" s="919">
        <f t="shared" si="19"/>
        <v>0</v>
      </c>
      <c r="M18" s="889"/>
      <c r="N18" s="884"/>
      <c r="O18" s="926"/>
      <c r="P18" s="1337">
        <f t="shared" si="4"/>
        <v>0</v>
      </c>
      <c r="Q18" s="1337">
        <f t="shared" si="1"/>
        <v>0</v>
      </c>
      <c r="R18" s="1337">
        <f t="shared" si="1"/>
        <v>0</v>
      </c>
      <c r="S18" s="1337">
        <f t="shared" si="1"/>
        <v>0</v>
      </c>
      <c r="T18" s="1337">
        <f t="shared" si="1"/>
        <v>0</v>
      </c>
      <c r="U18" s="1337">
        <f t="shared" si="1"/>
        <v>0</v>
      </c>
      <c r="V18" s="1337">
        <f t="shared" si="1"/>
        <v>0</v>
      </c>
      <c r="W18" s="1337">
        <f t="shared" si="1"/>
        <v>0</v>
      </c>
      <c r="X18" s="1337">
        <f t="shared" si="1"/>
        <v>0</v>
      </c>
      <c r="Y18" s="1337">
        <f t="shared" si="1"/>
        <v>0</v>
      </c>
      <c r="Z18" s="1337">
        <f t="shared" si="1"/>
        <v>0</v>
      </c>
      <c r="AA18" s="1337">
        <f t="shared" si="1"/>
        <v>0</v>
      </c>
      <c r="AB18" s="885"/>
      <c r="AC18" s="885"/>
      <c r="AD18" s="926"/>
      <c r="AE18" s="888">
        <f t="shared" si="33"/>
        <v>0</v>
      </c>
      <c r="AF18" s="888">
        <f t="shared" si="34"/>
        <v>0</v>
      </c>
      <c r="AG18" s="888">
        <f t="shared" si="35"/>
        <v>0</v>
      </c>
      <c r="AH18" s="888">
        <f t="shared" si="36"/>
        <v>0</v>
      </c>
      <c r="AI18" s="888">
        <f t="shared" si="37"/>
        <v>0</v>
      </c>
      <c r="AJ18" s="888">
        <f t="shared" si="38"/>
        <v>0</v>
      </c>
      <c r="AK18" s="888">
        <f t="shared" si="39"/>
        <v>0</v>
      </c>
      <c r="AL18" s="888">
        <f t="shared" si="40"/>
        <v>0</v>
      </c>
      <c r="AM18" s="888">
        <f t="shared" si="41"/>
        <v>0</v>
      </c>
      <c r="AN18" s="888">
        <f t="shared" si="42"/>
        <v>0</v>
      </c>
      <c r="AO18" s="888">
        <f t="shared" si="43"/>
        <v>0</v>
      </c>
      <c r="AP18" s="888">
        <f t="shared" si="44"/>
        <v>0</v>
      </c>
      <c r="AQ18" s="885"/>
      <c r="AR18" s="885"/>
      <c r="AS18" s="926"/>
      <c r="AT18" s="888">
        <f t="shared" si="20"/>
        <v>0</v>
      </c>
      <c r="AU18" s="888">
        <f t="shared" si="21"/>
        <v>0</v>
      </c>
      <c r="AV18" s="888">
        <f t="shared" si="22"/>
        <v>0</v>
      </c>
      <c r="AW18" s="888">
        <f t="shared" si="23"/>
        <v>0</v>
      </c>
      <c r="AX18" s="888">
        <f t="shared" si="24"/>
        <v>0</v>
      </c>
      <c r="AY18" s="888">
        <f t="shared" si="25"/>
        <v>0</v>
      </c>
      <c r="AZ18" s="888">
        <f t="shared" si="26"/>
        <v>0</v>
      </c>
      <c r="BA18" s="888">
        <f t="shared" si="27"/>
        <v>0</v>
      </c>
      <c r="BB18" s="888">
        <f t="shared" si="28"/>
        <v>0</v>
      </c>
      <c r="BC18" s="888">
        <f t="shared" si="29"/>
        <v>0</v>
      </c>
      <c r="BD18" s="888">
        <f t="shared" si="30"/>
        <v>0</v>
      </c>
      <c r="BE18" s="888">
        <f t="shared" si="31"/>
        <v>0</v>
      </c>
      <c r="BF18" s="885"/>
      <c r="BG18" s="885"/>
    </row>
    <row r="19" spans="1:59" s="886" customFormat="1" ht="45.75" customHeight="1" x14ac:dyDescent="0.2">
      <c r="A19" s="889"/>
      <c r="B19" s="1118"/>
      <c r="C19" s="1123"/>
      <c r="D19" s="1123"/>
      <c r="E19" s="1120"/>
      <c r="F19" s="1124"/>
      <c r="G19" s="1120"/>
      <c r="H19" s="1120"/>
      <c r="I19" s="1120"/>
      <c r="J19" s="1122"/>
      <c r="K19" s="919">
        <f t="shared" si="32"/>
        <v>0</v>
      </c>
      <c r="L19" s="919">
        <f t="shared" si="19"/>
        <v>0</v>
      </c>
      <c r="M19" s="889"/>
      <c r="N19" s="884"/>
      <c r="O19" s="926"/>
      <c r="P19" s="1337">
        <f t="shared" si="4"/>
        <v>0</v>
      </c>
      <c r="Q19" s="1337">
        <f t="shared" si="1"/>
        <v>0</v>
      </c>
      <c r="R19" s="1337">
        <f t="shared" si="1"/>
        <v>0</v>
      </c>
      <c r="S19" s="1337">
        <f t="shared" si="1"/>
        <v>0</v>
      </c>
      <c r="T19" s="1337">
        <f t="shared" si="1"/>
        <v>0</v>
      </c>
      <c r="U19" s="1337">
        <f t="shared" si="1"/>
        <v>0</v>
      </c>
      <c r="V19" s="1337">
        <f t="shared" si="1"/>
        <v>0</v>
      </c>
      <c r="W19" s="1337">
        <f t="shared" si="1"/>
        <v>0</v>
      </c>
      <c r="X19" s="1337">
        <f t="shared" si="1"/>
        <v>0</v>
      </c>
      <c r="Y19" s="1337">
        <f t="shared" si="1"/>
        <v>0</v>
      </c>
      <c r="Z19" s="1337">
        <f t="shared" si="1"/>
        <v>0</v>
      </c>
      <c r="AA19" s="1337">
        <f t="shared" si="1"/>
        <v>0</v>
      </c>
      <c r="AB19" s="885"/>
      <c r="AC19" s="885"/>
      <c r="AD19" s="926"/>
      <c r="AE19" s="888">
        <f t="shared" si="33"/>
        <v>0</v>
      </c>
      <c r="AF19" s="888">
        <f t="shared" si="34"/>
        <v>0</v>
      </c>
      <c r="AG19" s="888">
        <f t="shared" si="35"/>
        <v>0</v>
      </c>
      <c r="AH19" s="888">
        <f t="shared" si="36"/>
        <v>0</v>
      </c>
      <c r="AI19" s="888">
        <f t="shared" si="37"/>
        <v>0</v>
      </c>
      <c r="AJ19" s="888">
        <f t="shared" si="38"/>
        <v>0</v>
      </c>
      <c r="AK19" s="888">
        <f t="shared" si="39"/>
        <v>0</v>
      </c>
      <c r="AL19" s="888">
        <f t="shared" si="40"/>
        <v>0</v>
      </c>
      <c r="AM19" s="888">
        <f t="shared" si="41"/>
        <v>0</v>
      </c>
      <c r="AN19" s="888">
        <f t="shared" si="42"/>
        <v>0</v>
      </c>
      <c r="AO19" s="888">
        <f t="shared" si="43"/>
        <v>0</v>
      </c>
      <c r="AP19" s="888">
        <f t="shared" si="44"/>
        <v>0</v>
      </c>
      <c r="AQ19" s="885"/>
      <c r="AR19" s="885"/>
      <c r="AS19" s="926"/>
      <c r="AT19" s="888">
        <f t="shared" si="20"/>
        <v>0</v>
      </c>
      <c r="AU19" s="888">
        <f t="shared" si="21"/>
        <v>0</v>
      </c>
      <c r="AV19" s="888">
        <f t="shared" si="22"/>
        <v>0</v>
      </c>
      <c r="AW19" s="888">
        <f t="shared" si="23"/>
        <v>0</v>
      </c>
      <c r="AX19" s="888">
        <f t="shared" si="24"/>
        <v>0</v>
      </c>
      <c r="AY19" s="888">
        <f t="shared" si="25"/>
        <v>0</v>
      </c>
      <c r="AZ19" s="888">
        <f t="shared" si="26"/>
        <v>0</v>
      </c>
      <c r="BA19" s="888">
        <f t="shared" si="27"/>
        <v>0</v>
      </c>
      <c r="BB19" s="888">
        <f t="shared" si="28"/>
        <v>0</v>
      </c>
      <c r="BC19" s="888">
        <f t="shared" si="29"/>
        <v>0</v>
      </c>
      <c r="BD19" s="888">
        <f t="shared" si="30"/>
        <v>0</v>
      </c>
      <c r="BE19" s="888">
        <f t="shared" si="31"/>
        <v>0</v>
      </c>
      <c r="BF19" s="885"/>
      <c r="BG19" s="885"/>
    </row>
    <row r="20" spans="1:59" s="886" customFormat="1" ht="45.75" customHeight="1" x14ac:dyDescent="0.2">
      <c r="A20" s="889"/>
      <c r="B20" s="1118"/>
      <c r="C20" s="1123"/>
      <c r="D20" s="1123"/>
      <c r="E20" s="1120"/>
      <c r="F20" s="1124"/>
      <c r="G20" s="1120"/>
      <c r="H20" s="1120"/>
      <c r="I20" s="1120"/>
      <c r="J20" s="1122"/>
      <c r="K20" s="919">
        <f t="shared" si="32"/>
        <v>0</v>
      </c>
      <c r="L20" s="919">
        <f t="shared" si="19"/>
        <v>0</v>
      </c>
      <c r="M20" s="889"/>
      <c r="N20" s="884"/>
      <c r="O20" s="926"/>
      <c r="P20" s="1337">
        <f t="shared" si="4"/>
        <v>0</v>
      </c>
      <c r="Q20" s="1337">
        <f t="shared" si="1"/>
        <v>0</v>
      </c>
      <c r="R20" s="1337">
        <f t="shared" si="1"/>
        <v>0</v>
      </c>
      <c r="S20" s="1337">
        <f t="shared" si="1"/>
        <v>0</v>
      </c>
      <c r="T20" s="1337">
        <f t="shared" si="1"/>
        <v>0</v>
      </c>
      <c r="U20" s="1337">
        <f t="shared" si="1"/>
        <v>0</v>
      </c>
      <c r="V20" s="1337">
        <f t="shared" si="1"/>
        <v>0</v>
      </c>
      <c r="W20" s="1337">
        <f t="shared" si="1"/>
        <v>0</v>
      </c>
      <c r="X20" s="1337">
        <f t="shared" si="1"/>
        <v>0</v>
      </c>
      <c r="Y20" s="1337">
        <f t="shared" si="1"/>
        <v>0</v>
      </c>
      <c r="Z20" s="1337">
        <f t="shared" si="1"/>
        <v>0</v>
      </c>
      <c r="AA20" s="1337">
        <f t="shared" si="1"/>
        <v>0</v>
      </c>
      <c r="AB20" s="885"/>
      <c r="AC20" s="885"/>
      <c r="AD20" s="926"/>
      <c r="AE20" s="888">
        <f t="shared" si="33"/>
        <v>0</v>
      </c>
      <c r="AF20" s="888">
        <f t="shared" si="34"/>
        <v>0</v>
      </c>
      <c r="AG20" s="888">
        <f t="shared" si="35"/>
        <v>0</v>
      </c>
      <c r="AH20" s="888">
        <f t="shared" si="36"/>
        <v>0</v>
      </c>
      <c r="AI20" s="888">
        <f t="shared" si="37"/>
        <v>0</v>
      </c>
      <c r="AJ20" s="888">
        <f t="shared" si="38"/>
        <v>0</v>
      </c>
      <c r="AK20" s="888">
        <f t="shared" si="39"/>
        <v>0</v>
      </c>
      <c r="AL20" s="888">
        <f t="shared" si="40"/>
        <v>0</v>
      </c>
      <c r="AM20" s="888">
        <f t="shared" si="41"/>
        <v>0</v>
      </c>
      <c r="AN20" s="888">
        <f t="shared" si="42"/>
        <v>0</v>
      </c>
      <c r="AO20" s="888">
        <f t="shared" si="43"/>
        <v>0</v>
      </c>
      <c r="AP20" s="888">
        <f t="shared" si="44"/>
        <v>0</v>
      </c>
      <c r="AQ20" s="885"/>
      <c r="AR20" s="885"/>
      <c r="AS20" s="926"/>
      <c r="AT20" s="888">
        <f t="shared" si="20"/>
        <v>0</v>
      </c>
      <c r="AU20" s="888">
        <f t="shared" si="21"/>
        <v>0</v>
      </c>
      <c r="AV20" s="888">
        <f t="shared" si="22"/>
        <v>0</v>
      </c>
      <c r="AW20" s="888">
        <f t="shared" si="23"/>
        <v>0</v>
      </c>
      <c r="AX20" s="888">
        <f t="shared" si="24"/>
        <v>0</v>
      </c>
      <c r="AY20" s="888">
        <f t="shared" si="25"/>
        <v>0</v>
      </c>
      <c r="AZ20" s="888">
        <f t="shared" si="26"/>
        <v>0</v>
      </c>
      <c r="BA20" s="888">
        <f t="shared" si="27"/>
        <v>0</v>
      </c>
      <c r="BB20" s="888">
        <f t="shared" si="28"/>
        <v>0</v>
      </c>
      <c r="BC20" s="888">
        <f t="shared" si="29"/>
        <v>0</v>
      </c>
      <c r="BD20" s="888">
        <f t="shared" si="30"/>
        <v>0</v>
      </c>
      <c r="BE20" s="888">
        <f t="shared" si="31"/>
        <v>0</v>
      </c>
      <c r="BF20" s="885"/>
      <c r="BG20" s="885"/>
    </row>
    <row r="21" spans="1:59" s="886" customFormat="1" ht="45.75" customHeight="1" x14ac:dyDescent="0.2">
      <c r="A21" s="889"/>
      <c r="B21" s="1118"/>
      <c r="C21" s="1123"/>
      <c r="D21" s="1123"/>
      <c r="E21" s="1120"/>
      <c r="F21" s="1124"/>
      <c r="G21" s="1120"/>
      <c r="H21" s="1120"/>
      <c r="I21" s="1120"/>
      <c r="J21" s="1122"/>
      <c r="K21" s="919">
        <f t="shared" si="32"/>
        <v>0</v>
      </c>
      <c r="L21" s="919">
        <f t="shared" si="19"/>
        <v>0</v>
      </c>
      <c r="M21" s="889"/>
      <c r="N21" s="884"/>
      <c r="O21" s="926"/>
      <c r="P21" s="1337">
        <f t="shared" si="4"/>
        <v>0</v>
      </c>
      <c r="Q21" s="1337">
        <f t="shared" si="1"/>
        <v>0</v>
      </c>
      <c r="R21" s="1337">
        <f t="shared" si="1"/>
        <v>0</v>
      </c>
      <c r="S21" s="1337">
        <f t="shared" si="1"/>
        <v>0</v>
      </c>
      <c r="T21" s="1337">
        <f t="shared" si="1"/>
        <v>0</v>
      </c>
      <c r="U21" s="1337">
        <f t="shared" si="1"/>
        <v>0</v>
      </c>
      <c r="V21" s="1337">
        <f t="shared" si="1"/>
        <v>0</v>
      </c>
      <c r="W21" s="1337">
        <f t="shared" si="1"/>
        <v>0</v>
      </c>
      <c r="X21" s="1337">
        <f t="shared" si="1"/>
        <v>0</v>
      </c>
      <c r="Y21" s="1337">
        <f t="shared" si="1"/>
        <v>0</v>
      </c>
      <c r="Z21" s="1337">
        <f t="shared" si="1"/>
        <v>0</v>
      </c>
      <c r="AA21" s="1337">
        <f t="shared" si="1"/>
        <v>0</v>
      </c>
      <c r="AB21" s="885"/>
      <c r="AC21" s="885"/>
      <c r="AD21" s="926"/>
      <c r="AE21" s="888">
        <f t="shared" si="33"/>
        <v>0</v>
      </c>
      <c r="AF21" s="888">
        <f t="shared" si="34"/>
        <v>0</v>
      </c>
      <c r="AG21" s="888">
        <f t="shared" si="35"/>
        <v>0</v>
      </c>
      <c r="AH21" s="888">
        <f t="shared" si="36"/>
        <v>0</v>
      </c>
      <c r="AI21" s="888">
        <f t="shared" si="37"/>
        <v>0</v>
      </c>
      <c r="AJ21" s="888">
        <f t="shared" si="38"/>
        <v>0</v>
      </c>
      <c r="AK21" s="888">
        <f t="shared" si="39"/>
        <v>0</v>
      </c>
      <c r="AL21" s="888">
        <f t="shared" si="40"/>
        <v>0</v>
      </c>
      <c r="AM21" s="888">
        <f t="shared" si="41"/>
        <v>0</v>
      </c>
      <c r="AN21" s="888">
        <f t="shared" si="42"/>
        <v>0</v>
      </c>
      <c r="AO21" s="888">
        <f t="shared" si="43"/>
        <v>0</v>
      </c>
      <c r="AP21" s="888">
        <f t="shared" si="44"/>
        <v>0</v>
      </c>
      <c r="AQ21" s="885"/>
      <c r="AR21" s="885"/>
      <c r="AS21" s="926"/>
      <c r="AT21" s="888">
        <f t="shared" si="20"/>
        <v>0</v>
      </c>
      <c r="AU21" s="888">
        <f t="shared" si="21"/>
        <v>0</v>
      </c>
      <c r="AV21" s="888">
        <f t="shared" si="22"/>
        <v>0</v>
      </c>
      <c r="AW21" s="888">
        <f t="shared" si="23"/>
        <v>0</v>
      </c>
      <c r="AX21" s="888">
        <f t="shared" si="24"/>
        <v>0</v>
      </c>
      <c r="AY21" s="888">
        <f t="shared" si="25"/>
        <v>0</v>
      </c>
      <c r="AZ21" s="888">
        <f t="shared" si="26"/>
        <v>0</v>
      </c>
      <c r="BA21" s="888">
        <f t="shared" si="27"/>
        <v>0</v>
      </c>
      <c r="BB21" s="888">
        <f t="shared" si="28"/>
        <v>0</v>
      </c>
      <c r="BC21" s="888">
        <f t="shared" si="29"/>
        <v>0</v>
      </c>
      <c r="BD21" s="888">
        <f t="shared" si="30"/>
        <v>0</v>
      </c>
      <c r="BE21" s="888">
        <f t="shared" si="31"/>
        <v>0</v>
      </c>
      <c r="BF21" s="885"/>
      <c r="BG21" s="885"/>
    </row>
    <row r="22" spans="1:59" s="524" customFormat="1" ht="15.75" customHeight="1" x14ac:dyDescent="0.2">
      <c r="A22" s="793"/>
      <c r="B22" s="920"/>
      <c r="C22" s="920"/>
      <c r="D22" s="920"/>
      <c r="E22" s="921">
        <f>SUM(E8:E21)</f>
        <v>60000</v>
      </c>
      <c r="F22" s="921"/>
      <c r="G22" s="921"/>
      <c r="H22" s="921">
        <f>SUM(H8:H21)</f>
        <v>1000</v>
      </c>
      <c r="I22" s="921">
        <f>SUM(I8:I21)</f>
        <v>100</v>
      </c>
      <c r="J22" s="922"/>
      <c r="K22" s="921">
        <f>SUM(K8:K21)</f>
        <v>5.6666666666666661</v>
      </c>
      <c r="L22" s="921">
        <f>SUM(L8:L21)</f>
        <v>94.333333333333343</v>
      </c>
      <c r="M22" s="793"/>
      <c r="N22" s="793"/>
      <c r="O22" s="875" t="s">
        <v>904</v>
      </c>
      <c r="P22" s="927">
        <f t="shared" ref="P22:AA22" si="45">SUM(P8:P21)</f>
        <v>3</v>
      </c>
      <c r="Q22" s="927">
        <f t="shared" si="45"/>
        <v>3</v>
      </c>
      <c r="R22" s="927">
        <f t="shared" si="45"/>
        <v>3</v>
      </c>
      <c r="S22" s="927">
        <f t="shared" si="45"/>
        <v>3</v>
      </c>
      <c r="T22" s="927">
        <f t="shared" si="45"/>
        <v>4</v>
      </c>
      <c r="U22" s="927">
        <f t="shared" si="45"/>
        <v>4</v>
      </c>
      <c r="V22" s="927">
        <f t="shared" si="45"/>
        <v>4</v>
      </c>
      <c r="W22" s="927">
        <f t="shared" si="45"/>
        <v>4</v>
      </c>
      <c r="X22" s="927">
        <f t="shared" si="45"/>
        <v>4</v>
      </c>
      <c r="Y22" s="927">
        <f t="shared" si="45"/>
        <v>4</v>
      </c>
      <c r="Z22" s="927">
        <f t="shared" si="45"/>
        <v>4</v>
      </c>
      <c r="AA22" s="927">
        <f t="shared" si="45"/>
        <v>4</v>
      </c>
      <c r="AB22" s="521"/>
      <c r="AC22" s="521"/>
      <c r="AD22" s="875" t="s">
        <v>904</v>
      </c>
      <c r="AE22" s="927">
        <f t="shared" ref="AE22:AP22" si="46">SUM(AE8:AE21)</f>
        <v>3</v>
      </c>
      <c r="AF22" s="927">
        <f t="shared" si="46"/>
        <v>3</v>
      </c>
      <c r="AG22" s="927">
        <f t="shared" si="46"/>
        <v>3</v>
      </c>
      <c r="AH22" s="927">
        <f t="shared" si="46"/>
        <v>3</v>
      </c>
      <c r="AI22" s="927">
        <f t="shared" si="46"/>
        <v>5.6666666666666661</v>
      </c>
      <c r="AJ22" s="927">
        <f t="shared" si="46"/>
        <v>5.6666666666666661</v>
      </c>
      <c r="AK22" s="927">
        <f t="shared" si="46"/>
        <v>5.6666666666666661</v>
      </c>
      <c r="AL22" s="927">
        <f t="shared" si="46"/>
        <v>5.6666666666666661</v>
      </c>
      <c r="AM22" s="927">
        <f t="shared" si="46"/>
        <v>5.6666666666666661</v>
      </c>
      <c r="AN22" s="927">
        <f t="shared" si="46"/>
        <v>5.6666666666666661</v>
      </c>
      <c r="AO22" s="927">
        <f t="shared" si="46"/>
        <v>5.6666666666666661</v>
      </c>
      <c r="AP22" s="927">
        <f t="shared" si="46"/>
        <v>5.6666666666666661</v>
      </c>
      <c r="AQ22" s="521"/>
      <c r="AR22" s="521"/>
      <c r="AS22" s="875" t="s">
        <v>904</v>
      </c>
      <c r="AT22" s="927">
        <f t="shared" ref="AT22:BE22" si="47">SUM(AT8:AT21)</f>
        <v>57</v>
      </c>
      <c r="AU22" s="927">
        <f t="shared" si="47"/>
        <v>57</v>
      </c>
      <c r="AV22" s="927">
        <f t="shared" si="47"/>
        <v>57</v>
      </c>
      <c r="AW22" s="927">
        <f t="shared" si="47"/>
        <v>57</v>
      </c>
      <c r="AX22" s="927">
        <f t="shared" si="47"/>
        <v>94.333333333333343</v>
      </c>
      <c r="AY22" s="927">
        <f t="shared" si="47"/>
        <v>94.333333333333343</v>
      </c>
      <c r="AZ22" s="927">
        <f t="shared" si="47"/>
        <v>94.333333333333343</v>
      </c>
      <c r="BA22" s="927">
        <f t="shared" si="47"/>
        <v>94.333333333333343</v>
      </c>
      <c r="BB22" s="927">
        <f t="shared" si="47"/>
        <v>94.333333333333343</v>
      </c>
      <c r="BC22" s="927">
        <f t="shared" si="47"/>
        <v>94.333333333333343</v>
      </c>
      <c r="BD22" s="927">
        <f t="shared" si="47"/>
        <v>94.333333333333343</v>
      </c>
      <c r="BE22" s="927">
        <f t="shared" si="47"/>
        <v>94.333333333333343</v>
      </c>
      <c r="BF22" s="521"/>
      <c r="BG22" s="521"/>
    </row>
    <row r="23" spans="1:59" x14ac:dyDescent="0.2">
      <c r="A23" s="890"/>
      <c r="B23" s="866"/>
      <c r="C23" s="866"/>
      <c r="D23" s="866"/>
      <c r="E23" s="891"/>
      <c r="F23" s="891"/>
      <c r="G23" s="891"/>
      <c r="H23" s="923" t="s">
        <v>905</v>
      </c>
      <c r="I23" s="1022">
        <f>I22*12</f>
        <v>1200</v>
      </c>
      <c r="J23" s="925">
        <f>K23/H22</f>
        <v>6.8000000000000005E-2</v>
      </c>
      <c r="K23" s="924">
        <f>K22*12</f>
        <v>68</v>
      </c>
      <c r="L23" s="924">
        <f>L22*12</f>
        <v>1132</v>
      </c>
      <c r="M23" s="890"/>
      <c r="N23" s="822"/>
      <c r="O23" s="822"/>
      <c r="AD23" s="822"/>
      <c r="AS23" s="822"/>
    </row>
    <row r="24" spans="1:59" x14ac:dyDescent="0.2">
      <c r="A24" s="822"/>
      <c r="B24" s="522"/>
      <c r="C24" s="892"/>
      <c r="D24" s="892"/>
      <c r="E24" s="893"/>
      <c r="F24" s="893"/>
      <c r="G24" s="893"/>
      <c r="H24" s="894"/>
      <c r="I24" s="891"/>
      <c r="J24" s="895"/>
      <c r="K24" s="891"/>
      <c r="L24" s="891"/>
      <c r="M24" s="822"/>
      <c r="N24" s="822"/>
      <c r="O24" s="822"/>
      <c r="AD24" s="822"/>
      <c r="AS24" s="822"/>
    </row>
    <row r="25" spans="1:59" x14ac:dyDescent="0.2">
      <c r="A25" s="822"/>
      <c r="B25" s="822"/>
      <c r="C25" s="822"/>
      <c r="D25" s="822"/>
      <c r="E25" s="880"/>
      <c r="F25" s="880"/>
      <c r="G25" s="880"/>
      <c r="H25" s="879"/>
      <c r="I25" s="880"/>
      <c r="J25" s="881"/>
      <c r="K25" s="880"/>
      <c r="L25" s="880"/>
      <c r="M25" s="822"/>
      <c r="N25" s="822"/>
      <c r="O25" s="822"/>
      <c r="AD25" s="822"/>
      <c r="AS25" s="822"/>
    </row>
    <row r="26" spans="1:59" x14ac:dyDescent="0.2">
      <c r="A26" s="822"/>
      <c r="B26" s="822"/>
      <c r="C26" s="822"/>
      <c r="D26" s="822"/>
      <c r="E26" s="880"/>
      <c r="F26" s="880"/>
      <c r="G26" s="880"/>
      <c r="H26" s="879"/>
      <c r="I26" s="880"/>
      <c r="J26" s="881"/>
      <c r="K26" s="523"/>
      <c r="L26" s="880"/>
      <c r="M26" s="822"/>
      <c r="N26" s="822"/>
      <c r="O26" s="822"/>
      <c r="AD26" s="822"/>
      <c r="AS26" s="822"/>
    </row>
    <row r="27" spans="1:59" x14ac:dyDescent="0.2">
      <c r="A27" s="822"/>
      <c r="B27" s="822"/>
      <c r="C27" s="822"/>
      <c r="D27" s="822"/>
      <c r="E27" s="880"/>
      <c r="F27" s="880"/>
      <c r="G27" s="880"/>
      <c r="H27" s="879"/>
      <c r="I27" s="880"/>
      <c r="J27" s="881"/>
      <c r="K27" s="523"/>
      <c r="L27" s="880"/>
      <c r="M27" s="822"/>
      <c r="N27" s="822"/>
      <c r="O27" s="822"/>
      <c r="AD27" s="822"/>
      <c r="AS27" s="822"/>
    </row>
    <row r="28" spans="1:59" x14ac:dyDescent="0.2">
      <c r="A28" s="822"/>
      <c r="B28" s="822"/>
      <c r="C28" s="822"/>
      <c r="D28" s="822"/>
      <c r="E28" s="880"/>
      <c r="F28" s="880"/>
      <c r="G28" s="880"/>
      <c r="H28" s="879"/>
      <c r="I28" s="880"/>
      <c r="J28" s="880"/>
      <c r="K28" s="880"/>
      <c r="L28" s="879"/>
      <c r="M28" s="822"/>
      <c r="N28" s="822"/>
      <c r="O28" s="822"/>
      <c r="AD28" s="822"/>
      <c r="AS28" s="822"/>
    </row>
    <row r="29" spans="1:59" x14ac:dyDescent="0.2">
      <c r="A29" s="822"/>
      <c r="B29" s="822"/>
      <c r="C29" s="890"/>
      <c r="D29" s="890"/>
      <c r="E29" s="880"/>
      <c r="F29" s="880"/>
      <c r="G29" s="880"/>
      <c r="H29" s="879"/>
      <c r="I29" s="880"/>
      <c r="J29" s="881"/>
      <c r="K29" s="880"/>
      <c r="L29" s="879"/>
      <c r="M29" s="822"/>
      <c r="N29" s="822"/>
      <c r="O29" s="822"/>
      <c r="AD29" s="822"/>
      <c r="AS29" s="822"/>
    </row>
    <row r="30" spans="1:59" x14ac:dyDescent="0.2">
      <c r="A30" s="822"/>
      <c r="B30" s="822"/>
      <c r="C30" s="822"/>
      <c r="D30" s="822"/>
      <c r="E30" s="880"/>
      <c r="F30" s="880"/>
      <c r="G30" s="880"/>
      <c r="H30" s="879"/>
      <c r="I30" s="880"/>
      <c r="J30" s="881"/>
      <c r="K30" s="880"/>
      <c r="L30" s="879"/>
      <c r="M30" s="822"/>
      <c r="N30" s="822"/>
      <c r="O30" s="822"/>
      <c r="AD30" s="822"/>
      <c r="AS30" s="822"/>
    </row>
    <row r="31" spans="1:59" x14ac:dyDescent="0.2">
      <c r="A31" s="822"/>
      <c r="B31" s="822"/>
      <c r="C31" s="822"/>
      <c r="D31" s="822"/>
      <c r="E31" s="880"/>
      <c r="F31" s="880"/>
      <c r="G31" s="880"/>
      <c r="H31" s="879"/>
      <c r="I31" s="880"/>
      <c r="J31" s="881"/>
      <c r="K31" s="880"/>
      <c r="L31" s="879"/>
      <c r="M31" s="822"/>
      <c r="N31" s="822"/>
      <c r="O31" s="822"/>
      <c r="AD31" s="822"/>
      <c r="AS31" s="822"/>
    </row>
    <row r="32" spans="1:59" x14ac:dyDescent="0.2">
      <c r="A32" s="822"/>
      <c r="B32" s="822"/>
      <c r="C32" s="822"/>
      <c r="D32" s="822"/>
      <c r="E32" s="880"/>
      <c r="F32" s="880"/>
      <c r="G32" s="880"/>
      <c r="H32" s="879"/>
      <c r="I32" s="880"/>
      <c r="J32" s="881"/>
      <c r="K32" s="880"/>
      <c r="L32" s="879"/>
      <c r="M32" s="822"/>
      <c r="N32" s="822"/>
      <c r="O32" s="822"/>
      <c r="AD32" s="822"/>
      <c r="AS32" s="822"/>
    </row>
    <row r="33" spans="1:45" x14ac:dyDescent="0.2">
      <c r="A33" s="822"/>
      <c r="B33" s="822"/>
      <c r="C33" s="896"/>
      <c r="D33" s="896"/>
      <c r="E33" s="880"/>
      <c r="F33" s="880"/>
      <c r="G33" s="880"/>
      <c r="H33" s="879"/>
      <c r="I33" s="880"/>
      <c r="J33" s="881"/>
      <c r="K33" s="880"/>
      <c r="L33" s="879"/>
      <c r="M33" s="822"/>
      <c r="N33" s="822"/>
      <c r="O33" s="822"/>
      <c r="AD33" s="822"/>
      <c r="AS33" s="822"/>
    </row>
    <row r="34" spans="1:45" x14ac:dyDescent="0.2">
      <c r="A34" s="822"/>
      <c r="B34" s="822"/>
      <c r="C34" s="896"/>
      <c r="D34" s="896"/>
      <c r="E34" s="880"/>
      <c r="F34" s="880"/>
      <c r="G34" s="880"/>
      <c r="H34" s="879"/>
      <c r="I34" s="880"/>
      <c r="J34" s="881"/>
      <c r="K34" s="880"/>
      <c r="L34" s="879"/>
      <c r="M34" s="822"/>
      <c r="N34" s="822"/>
      <c r="O34" s="822"/>
      <c r="AD34" s="822"/>
      <c r="AS34" s="822"/>
    </row>
    <row r="35" spans="1:45" x14ac:dyDescent="0.2">
      <c r="A35" s="822"/>
      <c r="B35" s="822"/>
      <c r="C35" s="896"/>
      <c r="D35" s="896"/>
      <c r="E35" s="880"/>
      <c r="F35" s="880"/>
      <c r="G35" s="880"/>
      <c r="H35" s="879"/>
      <c r="I35" s="880"/>
      <c r="J35" s="881"/>
      <c r="K35" s="880"/>
      <c r="L35" s="879"/>
      <c r="M35" s="822"/>
      <c r="N35" s="822"/>
      <c r="O35" s="822"/>
      <c r="AD35" s="822"/>
      <c r="AS35" s="822"/>
    </row>
    <row r="36" spans="1:45" x14ac:dyDescent="0.2">
      <c r="A36" s="822"/>
      <c r="B36" s="822"/>
      <c r="C36" s="822"/>
      <c r="D36" s="822"/>
      <c r="E36" s="880"/>
      <c r="F36" s="880"/>
      <c r="G36" s="880"/>
      <c r="H36" s="879"/>
      <c r="I36" s="880"/>
      <c r="J36" s="881"/>
      <c r="K36" s="880"/>
      <c r="L36" s="879"/>
      <c r="M36" s="822"/>
      <c r="N36" s="822"/>
      <c r="O36" s="822"/>
      <c r="AD36" s="822"/>
      <c r="AS36" s="822"/>
    </row>
    <row r="37" spans="1:45" x14ac:dyDescent="0.2">
      <c r="A37" s="822"/>
      <c r="B37" s="822"/>
      <c r="C37" s="822"/>
      <c r="D37" s="822"/>
      <c r="E37" s="880"/>
      <c r="F37" s="880"/>
      <c r="G37" s="880"/>
      <c r="H37" s="879"/>
      <c r="I37" s="880"/>
      <c r="J37" s="881"/>
      <c r="K37" s="880"/>
      <c r="L37" s="879"/>
      <c r="M37" s="822"/>
      <c r="N37" s="822"/>
      <c r="O37" s="822"/>
      <c r="AD37" s="822"/>
      <c r="AS37" s="822"/>
    </row>
    <row r="38" spans="1:45" x14ac:dyDescent="0.2">
      <c r="A38" s="822"/>
      <c r="B38" s="822"/>
      <c r="C38" s="822"/>
      <c r="D38" s="822"/>
      <c r="E38" s="880"/>
      <c r="F38" s="880"/>
      <c r="G38" s="880"/>
      <c r="H38" s="879"/>
      <c r="I38" s="880"/>
      <c r="J38" s="881"/>
      <c r="K38" s="880"/>
      <c r="L38" s="879"/>
      <c r="M38" s="822"/>
      <c r="N38" s="822"/>
      <c r="O38" s="822"/>
      <c r="AD38" s="822"/>
      <c r="AS38" s="822"/>
    </row>
    <row r="39" spans="1:45" x14ac:dyDescent="0.2">
      <c r="A39" s="822"/>
      <c r="B39" s="822"/>
      <c r="C39" s="822"/>
      <c r="D39" s="822"/>
      <c r="E39" s="880"/>
      <c r="F39" s="880"/>
      <c r="G39" s="880"/>
      <c r="H39" s="879"/>
      <c r="I39" s="880"/>
      <c r="J39" s="881"/>
      <c r="K39" s="880"/>
      <c r="L39" s="879"/>
      <c r="M39" s="822"/>
      <c r="N39" s="822"/>
      <c r="O39" s="822"/>
      <c r="AD39" s="822"/>
      <c r="AS39" s="822"/>
    </row>
    <row r="40" spans="1:45" x14ac:dyDescent="0.2">
      <c r="A40" s="822"/>
      <c r="B40" s="822"/>
      <c r="C40" s="822"/>
      <c r="D40" s="822"/>
      <c r="E40" s="880"/>
      <c r="F40" s="880"/>
      <c r="G40" s="880"/>
      <c r="H40" s="879"/>
      <c r="I40" s="880"/>
      <c r="J40" s="881"/>
      <c r="K40" s="880"/>
      <c r="L40" s="880"/>
      <c r="M40" s="822"/>
      <c r="N40" s="822"/>
      <c r="O40" s="822"/>
      <c r="AD40" s="822"/>
      <c r="AS40" s="822"/>
    </row>
    <row r="41" spans="1:45" x14ac:dyDescent="0.2">
      <c r="A41" s="822"/>
      <c r="B41" s="822"/>
      <c r="C41" s="822"/>
      <c r="D41" s="822"/>
      <c r="E41" s="880"/>
      <c r="F41" s="880"/>
      <c r="G41" s="880"/>
      <c r="H41" s="879"/>
      <c r="I41" s="880"/>
      <c r="J41" s="881"/>
      <c r="K41" s="880"/>
      <c r="L41" s="880"/>
      <c r="M41" s="822"/>
      <c r="N41" s="822"/>
      <c r="O41" s="822"/>
      <c r="AD41" s="822"/>
      <c r="AS41" s="822"/>
    </row>
    <row r="42" spans="1:45" x14ac:dyDescent="0.2">
      <c r="A42" s="822"/>
      <c r="B42" s="822"/>
      <c r="C42" s="822"/>
      <c r="D42" s="822"/>
      <c r="E42" s="880"/>
      <c r="F42" s="880"/>
      <c r="G42" s="880"/>
      <c r="H42" s="879"/>
      <c r="I42" s="880"/>
      <c r="J42" s="881"/>
      <c r="K42" s="880"/>
      <c r="L42" s="880"/>
      <c r="M42" s="822"/>
      <c r="N42" s="822"/>
      <c r="O42" s="822"/>
      <c r="AD42" s="822"/>
      <c r="AS42" s="822"/>
    </row>
    <row r="43" spans="1:45" x14ac:dyDescent="0.2">
      <c r="A43" s="822"/>
      <c r="B43" s="822"/>
      <c r="C43" s="822"/>
      <c r="D43" s="822"/>
      <c r="E43" s="880"/>
      <c r="F43" s="880"/>
      <c r="G43" s="880"/>
      <c r="H43" s="879"/>
      <c r="I43" s="880"/>
      <c r="J43" s="881"/>
      <c r="K43" s="880"/>
      <c r="L43" s="880"/>
      <c r="M43" s="822"/>
      <c r="N43" s="822"/>
      <c r="O43" s="822"/>
      <c r="AD43" s="822"/>
      <c r="AS43" s="822"/>
    </row>
    <row r="44" spans="1:45" x14ac:dyDescent="0.2">
      <c r="A44" s="822"/>
      <c r="B44" s="822"/>
      <c r="C44" s="822"/>
      <c r="D44" s="822"/>
      <c r="E44" s="880"/>
      <c r="F44" s="880"/>
      <c r="G44" s="880"/>
      <c r="H44" s="879"/>
      <c r="I44" s="880"/>
      <c r="J44" s="881"/>
      <c r="K44" s="880"/>
      <c r="L44" s="880"/>
      <c r="M44" s="822"/>
      <c r="N44" s="822"/>
      <c r="O44" s="822"/>
      <c r="AD44" s="822"/>
      <c r="AS44" s="822"/>
    </row>
  </sheetData>
  <mergeCells count="3">
    <mergeCell ref="P3:AA3"/>
    <mergeCell ref="P1:AA1"/>
    <mergeCell ref="P5:AA5"/>
  </mergeCells>
  <phoneticPr fontId="0" type="noConversion"/>
  <pageMargins left="0.35433070866141736" right="0.23622047244094491" top="0.78740157480314965" bottom="0.82677165354330717" header="0.31496062992125984" footer="0.23622047244094491"/>
  <pageSetup paperSize="9" scale="77" orientation="landscape"/>
  <headerFooter alignWithMargins="0">
    <oddHeader>&amp;L&amp;B Vertraulich&amp;B&amp;C&amp;A&amp;RSeite &amp;P</oddHeader>
    <oddFooter>&amp;LVertraulich&amp;C&amp;D&amp;RSeite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>
    <tabColor rgb="FF00B0F0"/>
    <pageSetUpPr fitToPage="1"/>
  </sheetPr>
  <dimension ref="A2:U39"/>
  <sheetViews>
    <sheetView showGridLines="0" zoomScale="115" zoomScaleNormal="115" workbookViewId="0">
      <pane xSplit="3" ySplit="4" topLeftCell="D5" activePane="bottomRight" state="frozen"/>
      <selection activeCell="C6" sqref="C6"/>
      <selection pane="topRight" activeCell="C6" sqref="C6"/>
      <selection pane="bottomLeft" activeCell="C6" sqref="C6"/>
      <selection pane="bottomRight" activeCell="D5" sqref="D5"/>
    </sheetView>
  </sheetViews>
  <sheetFormatPr baseColWidth="10" defaultColWidth="11.42578125" defaultRowHeight="12.75" outlineLevelRow="1" x14ac:dyDescent="0.2"/>
  <cols>
    <col min="1" max="1" width="16" style="901" bestFit="1" customWidth="1"/>
    <col min="2" max="2" width="3.5703125" style="903" customWidth="1"/>
    <col min="3" max="3" width="27.140625" style="903" bestFit="1" customWidth="1"/>
    <col min="4" max="4" width="12.42578125" style="901" bestFit="1" customWidth="1"/>
    <col min="5" max="9" width="11.42578125" style="901" hidden="1" customWidth="1"/>
    <col min="10" max="10" width="13.42578125" style="901" hidden="1" customWidth="1"/>
    <col min="11" max="17" width="10.85546875" style="901" hidden="1" customWidth="1"/>
    <col min="18" max="18" width="0" style="903" hidden="1" customWidth="1"/>
    <col min="19" max="19" width="14.5703125" style="903" hidden="1" customWidth="1"/>
    <col min="20" max="20" width="13.7109375" style="903" hidden="1" customWidth="1"/>
    <col min="21" max="21" width="0" style="903" hidden="1" customWidth="1"/>
    <col min="22" max="22" width="11.42578125" style="903" customWidth="1"/>
    <col min="23" max="16384" width="11.42578125" style="903"/>
  </cols>
  <sheetData>
    <row r="2" spans="1:21" ht="15.75" x14ac:dyDescent="0.2">
      <c r="A2" s="878" t="s">
        <v>906</v>
      </c>
      <c r="C2" s="878" t="str">
        <f>Grunddaten!B4</f>
        <v>Sample-Data</v>
      </c>
    </row>
    <row r="3" spans="1:21" x14ac:dyDescent="0.2">
      <c r="A3" s="859"/>
    </row>
    <row r="4" spans="1:21" s="864" customFormat="1" x14ac:dyDescent="0.2">
      <c r="A4" s="859"/>
      <c r="C4" s="864" t="s">
        <v>907</v>
      </c>
      <c r="D4" s="859" t="s">
        <v>908</v>
      </c>
      <c r="E4" s="859" t="s">
        <v>908</v>
      </c>
      <c r="F4" s="859"/>
      <c r="G4" s="859"/>
      <c r="H4" s="859"/>
      <c r="I4" s="859"/>
      <c r="J4" s="859"/>
      <c r="K4" s="859"/>
      <c r="L4" s="859"/>
      <c r="M4" s="859"/>
      <c r="N4" s="859"/>
      <c r="O4" s="859"/>
      <c r="P4" s="859"/>
      <c r="Q4" s="859"/>
      <c r="S4" s="859" t="s">
        <v>906</v>
      </c>
      <c r="T4" s="859" t="s">
        <v>909</v>
      </c>
      <c r="U4" s="859" t="s">
        <v>910</v>
      </c>
    </row>
    <row r="5" spans="1:21" x14ac:dyDescent="0.2">
      <c r="A5" s="902" t="s">
        <v>508</v>
      </c>
      <c r="C5" s="905" t="s">
        <v>911</v>
      </c>
      <c r="D5" s="1346" t="s">
        <v>508</v>
      </c>
      <c r="E5" s="930"/>
      <c r="G5" s="908"/>
      <c r="H5" s="908"/>
      <c r="I5" s="908"/>
      <c r="J5" s="908"/>
      <c r="K5" s="908"/>
      <c r="L5" s="908"/>
      <c r="M5" s="908"/>
      <c r="N5" s="908"/>
      <c r="O5" s="908"/>
      <c r="P5" s="908"/>
      <c r="Q5" s="908"/>
    </row>
    <row r="6" spans="1:21" x14ac:dyDescent="0.2">
      <c r="A6" s="902"/>
      <c r="C6" s="905" t="s">
        <v>912</v>
      </c>
      <c r="D6" s="1338">
        <f>D39</f>
        <v>1034186</v>
      </c>
      <c r="E6" s="929"/>
      <c r="F6" s="906"/>
      <c r="G6" s="906"/>
      <c r="H6" s="906"/>
      <c r="I6" s="906"/>
      <c r="J6" s="906"/>
      <c r="K6" s="906"/>
      <c r="L6" s="906"/>
      <c r="M6" s="906"/>
      <c r="N6" s="906"/>
      <c r="O6" s="906"/>
      <c r="P6" s="906"/>
      <c r="Q6" s="906"/>
      <c r="S6" s="909">
        <f>+SUM(D18:Q18)</f>
        <v>1034186</v>
      </c>
    </row>
    <row r="7" spans="1:21" x14ac:dyDescent="0.2">
      <c r="A7" s="902"/>
      <c r="C7" s="905" t="s">
        <v>685</v>
      </c>
      <c r="D7" s="1338">
        <f>D29</f>
        <v>3000</v>
      </c>
      <c r="E7" s="929">
        <v>0</v>
      </c>
      <c r="F7" s="906"/>
      <c r="G7" s="906"/>
      <c r="H7" s="906"/>
      <c r="I7" s="906"/>
      <c r="J7" s="906"/>
      <c r="K7" s="906"/>
      <c r="L7" s="906"/>
      <c r="M7" s="906"/>
      <c r="N7" s="906"/>
      <c r="O7" s="906"/>
      <c r="P7" s="906"/>
      <c r="Q7" s="906"/>
      <c r="S7" s="909">
        <f>+SUM(D19:Q19)</f>
        <v>3000</v>
      </c>
    </row>
    <row r="8" spans="1:21" x14ac:dyDescent="0.2">
      <c r="A8" s="902"/>
      <c r="C8" s="905" t="s">
        <v>913</v>
      </c>
      <c r="D8" s="907">
        <f>IF(ISERROR(+D7/D6),0,+D7/D6)</f>
        <v>2.9008321520500179E-3</v>
      </c>
      <c r="E8" s="907">
        <f t="shared" ref="E8:Q8" si="0">IF(ISERROR(+E7/E6),0,+E7/E6)</f>
        <v>0</v>
      </c>
      <c r="F8" s="907">
        <f t="shared" si="0"/>
        <v>0</v>
      </c>
      <c r="G8" s="907">
        <f t="shared" si="0"/>
        <v>0</v>
      </c>
      <c r="H8" s="907">
        <f t="shared" si="0"/>
        <v>0</v>
      </c>
      <c r="I8" s="907">
        <f t="shared" si="0"/>
        <v>0</v>
      </c>
      <c r="J8" s="907">
        <f t="shared" si="0"/>
        <v>0</v>
      </c>
      <c r="K8" s="907">
        <f t="shared" si="0"/>
        <v>0</v>
      </c>
      <c r="L8" s="907">
        <f t="shared" si="0"/>
        <v>0</v>
      </c>
      <c r="M8" s="907">
        <f t="shared" si="0"/>
        <v>0</v>
      </c>
      <c r="N8" s="907">
        <f t="shared" si="0"/>
        <v>0</v>
      </c>
      <c r="O8" s="907">
        <f t="shared" si="0"/>
        <v>0</v>
      </c>
      <c r="P8" s="907">
        <f t="shared" si="0"/>
        <v>0</v>
      </c>
      <c r="Q8" s="907">
        <f t="shared" si="0"/>
        <v>0</v>
      </c>
      <c r="S8" s="910">
        <f>IF(ISERROR(+S7/S6),0,+S7/S6)</f>
        <v>2.9008321520500179E-3</v>
      </c>
    </row>
    <row r="9" spans="1:21" x14ac:dyDescent="0.2">
      <c r="A9" s="902"/>
      <c r="C9" s="905" t="s">
        <v>914</v>
      </c>
      <c r="D9" s="1339">
        <v>0.2</v>
      </c>
      <c r="E9" s="928">
        <v>0</v>
      </c>
      <c r="F9" s="907"/>
      <c r="G9" s="907"/>
      <c r="H9" s="907"/>
      <c r="I9" s="907"/>
      <c r="J9" s="907"/>
      <c r="K9" s="907"/>
      <c r="L9" s="907"/>
      <c r="M9" s="907"/>
      <c r="N9" s="907"/>
      <c r="O9" s="907"/>
      <c r="P9" s="907"/>
      <c r="Q9" s="907"/>
      <c r="S9" s="911">
        <f>IF(ISERROR(SUM(D24:Q24)/S7),0,SUM(D24:Q24)/S7)</f>
        <v>0.2</v>
      </c>
    </row>
    <row r="10" spans="1:21" x14ac:dyDescent="0.2">
      <c r="A10" s="902"/>
      <c r="C10" s="905" t="s">
        <v>686</v>
      </c>
      <c r="D10" s="1340">
        <f>D32</f>
        <v>400</v>
      </c>
      <c r="E10" s="872"/>
      <c r="F10" s="906"/>
      <c r="G10" s="906"/>
      <c r="H10" s="906"/>
      <c r="I10" s="906"/>
      <c r="J10" s="906"/>
      <c r="K10" s="906"/>
      <c r="L10" s="906"/>
      <c r="M10" s="906"/>
      <c r="N10" s="906"/>
      <c r="O10" s="906"/>
      <c r="P10" s="906"/>
      <c r="Q10" s="906"/>
      <c r="S10" s="909">
        <f>SUM(D20:Q20)</f>
        <v>400</v>
      </c>
    </row>
    <row r="11" spans="1:21" x14ac:dyDescent="0.2">
      <c r="A11" s="902"/>
      <c r="C11" s="905" t="s">
        <v>915</v>
      </c>
      <c r="D11" s="1340">
        <v>30</v>
      </c>
      <c r="E11" s="872"/>
      <c r="F11" s="907"/>
      <c r="G11" s="907"/>
      <c r="H11" s="907"/>
      <c r="I11" s="907"/>
      <c r="J11" s="907"/>
      <c r="K11" s="907"/>
      <c r="L11" s="907"/>
      <c r="M11" s="907"/>
      <c r="N11" s="907"/>
      <c r="O11" s="907"/>
      <c r="P11" s="907"/>
      <c r="Q11" s="907"/>
      <c r="S11" s="911">
        <f>IF(ISERROR(SUM(D25:Q25)/S10),0,SUM(D25:Q25)/S10)</f>
        <v>30</v>
      </c>
    </row>
    <row r="12" spans="1:21" x14ac:dyDescent="0.2">
      <c r="A12" s="902"/>
      <c r="C12" s="905" t="s">
        <v>537</v>
      </c>
      <c r="D12" s="906">
        <f>+D6-D7-D10</f>
        <v>1030786</v>
      </c>
      <c r="E12" s="906">
        <f t="shared" ref="E12:S12" si="1">+E6-E7-E10</f>
        <v>0</v>
      </c>
      <c r="F12" s="906">
        <f t="shared" si="1"/>
        <v>0</v>
      </c>
      <c r="G12" s="906">
        <f t="shared" si="1"/>
        <v>0</v>
      </c>
      <c r="H12" s="906">
        <f t="shared" si="1"/>
        <v>0</v>
      </c>
      <c r="I12" s="906">
        <f t="shared" si="1"/>
        <v>0</v>
      </c>
      <c r="J12" s="906">
        <f t="shared" si="1"/>
        <v>0</v>
      </c>
      <c r="K12" s="906">
        <f t="shared" si="1"/>
        <v>0</v>
      </c>
      <c r="L12" s="906">
        <f t="shared" si="1"/>
        <v>0</v>
      </c>
      <c r="M12" s="906">
        <f t="shared" si="1"/>
        <v>0</v>
      </c>
      <c r="N12" s="906">
        <f t="shared" si="1"/>
        <v>0</v>
      </c>
      <c r="O12" s="906">
        <f t="shared" si="1"/>
        <v>0</v>
      </c>
      <c r="P12" s="906">
        <f t="shared" si="1"/>
        <v>0</v>
      </c>
      <c r="Q12" s="906">
        <f t="shared" si="1"/>
        <v>0</v>
      </c>
      <c r="S12" s="909">
        <f t="shared" si="1"/>
        <v>1030786</v>
      </c>
      <c r="T12" s="913">
        <f>+Finanzplanung!M23+Gesamtkostenplanung!D50+Personalplanung!AA107</f>
        <v>775187.53333333344</v>
      </c>
      <c r="U12" s="913">
        <f>+S12-T12</f>
        <v>255598.46666666656</v>
      </c>
    </row>
    <row r="13" spans="1:21" x14ac:dyDescent="0.2">
      <c r="A13" s="902"/>
      <c r="C13" s="905" t="s">
        <v>916</v>
      </c>
      <c r="D13" s="907">
        <f>IF(ISERROR(+D12/D6),0,+D12/D6)</f>
        <v>0.99671239022767666</v>
      </c>
      <c r="E13" s="907">
        <f t="shared" ref="E13:G13" si="2">IF(ISERROR(+E12/E6),0,+E12/E6)</f>
        <v>0</v>
      </c>
      <c r="F13" s="907">
        <f t="shared" si="2"/>
        <v>0</v>
      </c>
      <c r="G13" s="907">
        <f t="shared" si="2"/>
        <v>0</v>
      </c>
      <c r="H13" s="907">
        <f>IF(ISERROR(+H12/H6),0,+H12/H6)</f>
        <v>0</v>
      </c>
      <c r="I13" s="907">
        <f t="shared" ref="I13:Q13" si="3">IF(ISERROR(+I12/I6),0,+I12/I6)</f>
        <v>0</v>
      </c>
      <c r="J13" s="907">
        <f t="shared" si="3"/>
        <v>0</v>
      </c>
      <c r="K13" s="907">
        <f t="shared" si="3"/>
        <v>0</v>
      </c>
      <c r="L13" s="907">
        <f t="shared" si="3"/>
        <v>0</v>
      </c>
      <c r="M13" s="907">
        <f t="shared" si="3"/>
        <v>0</v>
      </c>
      <c r="N13" s="907">
        <f t="shared" si="3"/>
        <v>0</v>
      </c>
      <c r="O13" s="907">
        <f t="shared" si="3"/>
        <v>0</v>
      </c>
      <c r="P13" s="907">
        <f t="shared" si="3"/>
        <v>0</v>
      </c>
      <c r="Q13" s="907">
        <f t="shared" si="3"/>
        <v>0</v>
      </c>
      <c r="S13" s="910">
        <f>IF(ISERROR(+S12/S6),0,+S12/S6)</f>
        <v>0.99671239022767666</v>
      </c>
      <c r="T13" s="905"/>
      <c r="U13" s="905"/>
    </row>
    <row r="14" spans="1:21" x14ac:dyDescent="0.2">
      <c r="A14" s="902"/>
      <c r="C14" s="905" t="s">
        <v>917</v>
      </c>
      <c r="D14" s="1120">
        <f>Personalplanung!AN107</f>
        <v>75.851340181839646</v>
      </c>
      <c r="E14" s="887">
        <v>0</v>
      </c>
      <c r="F14" s="888"/>
      <c r="G14" s="888"/>
      <c r="H14" s="888"/>
      <c r="I14" s="888"/>
      <c r="J14" s="888"/>
      <c r="K14" s="888"/>
      <c r="L14" s="888"/>
      <c r="M14" s="888"/>
      <c r="N14" s="888"/>
      <c r="O14" s="888"/>
      <c r="P14" s="888"/>
      <c r="Q14" s="888"/>
      <c r="S14" s="912">
        <f>IF(ISERROR((S6-(S7*(1+S9))-(S10*(1+S11)))/S15),0,(S6-(S7*(1+S9))-(S10*(1+S11)))/S15)</f>
        <v>75.851340181839646</v>
      </c>
      <c r="T14" s="914">
        <f>Personalplanung!AN107</f>
        <v>75.851340181839646</v>
      </c>
      <c r="U14" s="905">
        <f>+S14-T14</f>
        <v>0</v>
      </c>
    </row>
    <row r="15" spans="1:21" x14ac:dyDescent="0.2">
      <c r="A15" s="900"/>
      <c r="C15" s="905" t="s">
        <v>918</v>
      </c>
      <c r="D15" s="906">
        <f>IF(ISERROR((D6-(D7*(1+D9))-(D10*(1+D11)))/D14),0,(D6-(D7*(1+D9))-(D10*(1+D11)))/D14)</f>
        <v>13423.441135767493</v>
      </c>
      <c r="E15" s="906">
        <f t="shared" ref="E15:G15" si="4">IF(ISERROR((E6-(E7*(1+E9))-(E10*(1+E11)))/E14),0,(E6-(E7*(1+E9))-(E10*(1+E11)))/E14)</f>
        <v>0</v>
      </c>
      <c r="F15" s="906">
        <f t="shared" si="4"/>
        <v>0</v>
      </c>
      <c r="G15" s="906">
        <f t="shared" si="4"/>
        <v>0</v>
      </c>
      <c r="H15" s="906">
        <f>IF(ISERROR((H6-(H7*(1+H9))-(H10*(1+H11)))/H14),0,(H6-(H7*(1+H9))-(H10*(1+H11)))/H14)</f>
        <v>0</v>
      </c>
      <c r="I15" s="906">
        <f t="shared" ref="I15:Q15" si="5">IF(ISERROR((I6-(I7*(1+I9))-(I10*(1+I11)))/I14),0,(I6-(I7*(1+I9))-(I10*(1+I11)))/I14)</f>
        <v>0</v>
      </c>
      <c r="J15" s="906">
        <f t="shared" si="5"/>
        <v>0</v>
      </c>
      <c r="K15" s="906">
        <f t="shared" si="5"/>
        <v>0</v>
      </c>
      <c r="L15" s="906">
        <f t="shared" si="5"/>
        <v>0</v>
      </c>
      <c r="M15" s="906">
        <f t="shared" si="5"/>
        <v>0</v>
      </c>
      <c r="N15" s="906">
        <f t="shared" si="5"/>
        <v>0</v>
      </c>
      <c r="O15" s="906">
        <f t="shared" si="5"/>
        <v>0</v>
      </c>
      <c r="P15" s="906">
        <f t="shared" si="5"/>
        <v>0</v>
      </c>
      <c r="Q15" s="906">
        <f t="shared" si="5"/>
        <v>0</v>
      </c>
      <c r="S15" s="913">
        <f>SUM(D22:Q22)</f>
        <v>13423.441135767493</v>
      </c>
      <c r="T15" s="913">
        <f>+Personalplanung!AL107</f>
        <v>13550.4</v>
      </c>
      <c r="U15" s="913">
        <f>+T15-S15</f>
        <v>126.95886423250704</v>
      </c>
    </row>
    <row r="16" spans="1:21" x14ac:dyDescent="0.2">
      <c r="A16" s="900"/>
      <c r="C16" s="905" t="s">
        <v>919</v>
      </c>
      <c r="D16" s="888">
        <f t="shared" ref="D16:G16" si="6">IF(ISERROR(+D12/D15),0,+D12/D15)</f>
        <v>76.789996661393658</v>
      </c>
      <c r="E16" s="888">
        <f t="shared" si="6"/>
        <v>0</v>
      </c>
      <c r="F16" s="888">
        <f t="shared" si="6"/>
        <v>0</v>
      </c>
      <c r="G16" s="888">
        <f t="shared" si="6"/>
        <v>0</v>
      </c>
      <c r="H16" s="888">
        <f>IF(ISERROR(+H12/H15),0,+H12/H15)</f>
        <v>0</v>
      </c>
      <c r="I16" s="888">
        <f t="shared" ref="I16:Q16" si="7">IF(ISERROR(+I12/I15),0,+I12/I15)</f>
        <v>0</v>
      </c>
      <c r="J16" s="888">
        <f t="shared" si="7"/>
        <v>0</v>
      </c>
      <c r="K16" s="888">
        <f t="shared" si="7"/>
        <v>0</v>
      </c>
      <c r="L16" s="888">
        <f t="shared" si="7"/>
        <v>0</v>
      </c>
      <c r="M16" s="888">
        <f t="shared" si="7"/>
        <v>0</v>
      </c>
      <c r="N16" s="888">
        <f t="shared" si="7"/>
        <v>0</v>
      </c>
      <c r="O16" s="888">
        <f t="shared" si="7"/>
        <v>0</v>
      </c>
      <c r="P16" s="888">
        <f t="shared" si="7"/>
        <v>0</v>
      </c>
      <c r="Q16" s="888">
        <f t="shared" si="7"/>
        <v>0</v>
      </c>
      <c r="S16" s="912">
        <f>IF(ISERROR(+S12/S15),0,+S12/S15)</f>
        <v>76.789996661393658</v>
      </c>
      <c r="T16" s="912">
        <f>IF(ISERROR(+T12/T15),0,+T12/T15)</f>
        <v>57.207723265241874</v>
      </c>
      <c r="U16" s="913">
        <f>+T16-S16</f>
        <v>-19.582273396151784</v>
      </c>
    </row>
    <row r="17" spans="1:17" x14ac:dyDescent="0.2">
      <c r="A17" s="900"/>
      <c r="C17" s="905" t="s">
        <v>920</v>
      </c>
      <c r="D17" s="1123">
        <v>1</v>
      </c>
      <c r="E17" s="836">
        <v>1</v>
      </c>
      <c r="F17" s="908"/>
      <c r="G17" s="908"/>
      <c r="H17" s="908"/>
      <c r="I17" s="908"/>
      <c r="J17" s="908"/>
      <c r="K17" s="908"/>
      <c r="L17" s="908"/>
      <c r="M17" s="908"/>
      <c r="N17" s="908"/>
      <c r="O17" s="908"/>
      <c r="P17" s="908"/>
      <c r="Q17" s="908"/>
    </row>
    <row r="18" spans="1:17" x14ac:dyDescent="0.2">
      <c r="A18" s="900"/>
      <c r="C18" s="905" t="s">
        <v>921</v>
      </c>
      <c r="D18" s="906">
        <f>+D17*D6</f>
        <v>1034186</v>
      </c>
      <c r="E18" s="906">
        <f t="shared" ref="E18:M18" si="8">+E17*E6</f>
        <v>0</v>
      </c>
      <c r="F18" s="906">
        <f t="shared" si="8"/>
        <v>0</v>
      </c>
      <c r="G18" s="906">
        <f t="shared" si="8"/>
        <v>0</v>
      </c>
      <c r="H18" s="906">
        <f t="shared" si="8"/>
        <v>0</v>
      </c>
      <c r="I18" s="906">
        <f t="shared" si="8"/>
        <v>0</v>
      </c>
      <c r="J18" s="906">
        <f t="shared" si="8"/>
        <v>0</v>
      </c>
      <c r="K18" s="906">
        <f t="shared" si="8"/>
        <v>0</v>
      </c>
      <c r="L18" s="906">
        <f t="shared" si="8"/>
        <v>0</v>
      </c>
      <c r="M18" s="906">
        <f t="shared" si="8"/>
        <v>0</v>
      </c>
      <c r="N18" s="906">
        <f>+N17*N6</f>
        <v>0</v>
      </c>
      <c r="O18" s="906">
        <f>+O17*O6</f>
        <v>0</v>
      </c>
      <c r="P18" s="906">
        <f>+P17*P6</f>
        <v>0</v>
      </c>
      <c r="Q18" s="906">
        <f>+Q17*Q6</f>
        <v>0</v>
      </c>
    </row>
    <row r="19" spans="1:17" x14ac:dyDescent="0.2">
      <c r="C19" s="905" t="s">
        <v>922</v>
      </c>
      <c r="D19" s="906">
        <f t="shared" ref="D19:M19" si="9">+D17*D7</f>
        <v>3000</v>
      </c>
      <c r="E19" s="906">
        <f t="shared" si="9"/>
        <v>0</v>
      </c>
      <c r="F19" s="906">
        <f t="shared" si="9"/>
        <v>0</v>
      </c>
      <c r="G19" s="906">
        <f t="shared" si="9"/>
        <v>0</v>
      </c>
      <c r="H19" s="906">
        <f t="shared" si="9"/>
        <v>0</v>
      </c>
      <c r="I19" s="906">
        <f t="shared" si="9"/>
        <v>0</v>
      </c>
      <c r="J19" s="906">
        <f t="shared" si="9"/>
        <v>0</v>
      </c>
      <c r="K19" s="906">
        <f t="shared" si="9"/>
        <v>0</v>
      </c>
      <c r="L19" s="906">
        <f t="shared" si="9"/>
        <v>0</v>
      </c>
      <c r="M19" s="906">
        <f t="shared" si="9"/>
        <v>0</v>
      </c>
      <c r="N19" s="906">
        <f>+N17*N7</f>
        <v>0</v>
      </c>
      <c r="O19" s="906">
        <f>+O17*O7</f>
        <v>0</v>
      </c>
      <c r="P19" s="906">
        <f>+P17*P7</f>
        <v>0</v>
      </c>
      <c r="Q19" s="906">
        <f>+Q17*Q7</f>
        <v>0</v>
      </c>
    </row>
    <row r="20" spans="1:17" x14ac:dyDescent="0.2">
      <c r="C20" s="905" t="s">
        <v>923</v>
      </c>
      <c r="D20" s="906">
        <f t="shared" ref="D20:M20" si="10">+D17*D10</f>
        <v>400</v>
      </c>
      <c r="E20" s="906">
        <f t="shared" si="10"/>
        <v>0</v>
      </c>
      <c r="F20" s="906">
        <f t="shared" si="10"/>
        <v>0</v>
      </c>
      <c r="G20" s="906">
        <f t="shared" si="10"/>
        <v>0</v>
      </c>
      <c r="H20" s="906">
        <f t="shared" si="10"/>
        <v>0</v>
      </c>
      <c r="I20" s="906">
        <f t="shared" si="10"/>
        <v>0</v>
      </c>
      <c r="J20" s="906">
        <f t="shared" si="10"/>
        <v>0</v>
      </c>
      <c r="K20" s="906">
        <f t="shared" si="10"/>
        <v>0</v>
      </c>
      <c r="L20" s="906">
        <f t="shared" si="10"/>
        <v>0</v>
      </c>
      <c r="M20" s="906">
        <f t="shared" si="10"/>
        <v>0</v>
      </c>
      <c r="N20" s="906">
        <f>+N17*N10</f>
        <v>0</v>
      </c>
      <c r="O20" s="906">
        <f>+O17*O10</f>
        <v>0</v>
      </c>
      <c r="P20" s="906">
        <f>+P17*P10</f>
        <v>0</v>
      </c>
      <c r="Q20" s="906">
        <f>+Q17*Q10</f>
        <v>0</v>
      </c>
    </row>
    <row r="21" spans="1:17" x14ac:dyDescent="0.2">
      <c r="C21" s="905" t="s">
        <v>924</v>
      </c>
      <c r="D21" s="906">
        <f t="shared" ref="D21:M21" si="11">+D18-D19</f>
        <v>1031186</v>
      </c>
      <c r="E21" s="906">
        <f t="shared" si="11"/>
        <v>0</v>
      </c>
      <c r="F21" s="906">
        <f t="shared" si="11"/>
        <v>0</v>
      </c>
      <c r="G21" s="906">
        <f t="shared" si="11"/>
        <v>0</v>
      </c>
      <c r="H21" s="906">
        <f t="shared" si="11"/>
        <v>0</v>
      </c>
      <c r="I21" s="906">
        <f t="shared" si="11"/>
        <v>0</v>
      </c>
      <c r="J21" s="906">
        <f t="shared" si="11"/>
        <v>0</v>
      </c>
      <c r="K21" s="906">
        <f t="shared" si="11"/>
        <v>0</v>
      </c>
      <c r="L21" s="906">
        <f t="shared" si="11"/>
        <v>0</v>
      </c>
      <c r="M21" s="906">
        <f t="shared" si="11"/>
        <v>0</v>
      </c>
      <c r="N21" s="906">
        <f>+N18-N19</f>
        <v>0</v>
      </c>
      <c r="O21" s="906">
        <f>+O18-O19</f>
        <v>0</v>
      </c>
      <c r="P21" s="906">
        <f>+P18-P19</f>
        <v>0</v>
      </c>
      <c r="Q21" s="906">
        <f>+Q18-Q19</f>
        <v>0</v>
      </c>
    </row>
    <row r="22" spans="1:17" x14ac:dyDescent="0.2">
      <c r="C22" s="905" t="s">
        <v>925</v>
      </c>
      <c r="D22" s="906">
        <f t="shared" ref="D22:M22" si="12">+D17*D15</f>
        <v>13423.441135767493</v>
      </c>
      <c r="E22" s="906">
        <f t="shared" si="12"/>
        <v>0</v>
      </c>
      <c r="F22" s="906">
        <f t="shared" si="12"/>
        <v>0</v>
      </c>
      <c r="G22" s="906">
        <f t="shared" si="12"/>
        <v>0</v>
      </c>
      <c r="H22" s="906">
        <f t="shared" si="12"/>
        <v>0</v>
      </c>
      <c r="I22" s="906">
        <f t="shared" si="12"/>
        <v>0</v>
      </c>
      <c r="J22" s="906">
        <f t="shared" si="12"/>
        <v>0</v>
      </c>
      <c r="K22" s="906">
        <f t="shared" si="12"/>
        <v>0</v>
      </c>
      <c r="L22" s="906">
        <f t="shared" si="12"/>
        <v>0</v>
      </c>
      <c r="M22" s="906">
        <f t="shared" si="12"/>
        <v>0</v>
      </c>
      <c r="N22" s="906">
        <f>+N17*N15</f>
        <v>0</v>
      </c>
      <c r="O22" s="906">
        <f>+O17*O15</f>
        <v>0</v>
      </c>
      <c r="P22" s="906">
        <f>+P17*P15</f>
        <v>0</v>
      </c>
      <c r="Q22" s="906">
        <f>+Q17*Q15</f>
        <v>0</v>
      </c>
    </row>
    <row r="24" spans="1:17" outlineLevel="1" x14ac:dyDescent="0.2">
      <c r="C24" s="905" t="s">
        <v>926</v>
      </c>
      <c r="D24" s="908">
        <f>(D9*D19)</f>
        <v>600</v>
      </c>
      <c r="E24" s="908">
        <f t="shared" ref="E24:Q24" si="13">(E9*E19)</f>
        <v>0</v>
      </c>
      <c r="F24" s="908">
        <f t="shared" si="13"/>
        <v>0</v>
      </c>
      <c r="G24" s="908">
        <f t="shared" si="13"/>
        <v>0</v>
      </c>
      <c r="H24" s="908">
        <f t="shared" si="13"/>
        <v>0</v>
      </c>
      <c r="I24" s="908">
        <f t="shared" si="13"/>
        <v>0</v>
      </c>
      <c r="J24" s="908">
        <f t="shared" si="13"/>
        <v>0</v>
      </c>
      <c r="K24" s="908">
        <f t="shared" si="13"/>
        <v>0</v>
      </c>
      <c r="L24" s="908">
        <f t="shared" si="13"/>
        <v>0</v>
      </c>
      <c r="M24" s="908">
        <f t="shared" si="13"/>
        <v>0</v>
      </c>
      <c r="N24" s="908">
        <f t="shared" si="13"/>
        <v>0</v>
      </c>
      <c r="O24" s="908">
        <f t="shared" si="13"/>
        <v>0</v>
      </c>
      <c r="P24" s="908">
        <f>(P9*P19)</f>
        <v>0</v>
      </c>
      <c r="Q24" s="908">
        <f t="shared" si="13"/>
        <v>0</v>
      </c>
    </row>
    <row r="25" spans="1:17" outlineLevel="1" x14ac:dyDescent="0.2">
      <c r="C25" s="905" t="s">
        <v>927</v>
      </c>
      <c r="D25" s="908">
        <f>(D11*D20)</f>
        <v>12000</v>
      </c>
      <c r="E25" s="908">
        <f t="shared" ref="E25:Q25" si="14">(E11*E20)</f>
        <v>0</v>
      </c>
      <c r="F25" s="908">
        <f t="shared" si="14"/>
        <v>0</v>
      </c>
      <c r="G25" s="908">
        <f t="shared" si="14"/>
        <v>0</v>
      </c>
      <c r="H25" s="908">
        <f t="shared" si="14"/>
        <v>0</v>
      </c>
      <c r="I25" s="908">
        <f t="shared" si="14"/>
        <v>0</v>
      </c>
      <c r="J25" s="908">
        <f t="shared" si="14"/>
        <v>0</v>
      </c>
      <c r="K25" s="908">
        <f t="shared" si="14"/>
        <v>0</v>
      </c>
      <c r="L25" s="908">
        <f t="shared" si="14"/>
        <v>0</v>
      </c>
      <c r="M25" s="908">
        <f t="shared" si="14"/>
        <v>0</v>
      </c>
      <c r="N25" s="908">
        <f t="shared" si="14"/>
        <v>0</v>
      </c>
      <c r="O25" s="908">
        <f t="shared" si="14"/>
        <v>0</v>
      </c>
      <c r="P25" s="908">
        <f>(P11*P20)</f>
        <v>0</v>
      </c>
      <c r="Q25" s="908">
        <f t="shared" si="14"/>
        <v>0</v>
      </c>
    </row>
    <row r="28" spans="1:17" x14ac:dyDescent="0.2">
      <c r="C28" s="1341" t="s">
        <v>118</v>
      </c>
      <c r="D28" s="1342">
        <f>Personalplanung!AO107</f>
        <v>1027816</v>
      </c>
    </row>
    <row r="29" spans="1:17" x14ac:dyDescent="0.2">
      <c r="C29" s="1343" t="s">
        <v>685</v>
      </c>
      <c r="D29" s="1340">
        <v>3000</v>
      </c>
    </row>
    <row r="30" spans="1:17" x14ac:dyDescent="0.2">
      <c r="C30" s="1343" t="s">
        <v>928</v>
      </c>
      <c r="D30" s="1120">
        <v>1.3</v>
      </c>
    </row>
    <row r="31" spans="1:17" x14ac:dyDescent="0.2">
      <c r="C31" s="1341" t="s">
        <v>929</v>
      </c>
      <c r="D31" s="1342">
        <f>D29*D30</f>
        <v>3900</v>
      </c>
    </row>
    <row r="32" spans="1:17" x14ac:dyDescent="0.2">
      <c r="C32" s="1343" t="s">
        <v>832</v>
      </c>
      <c r="D32" s="1340">
        <v>400</v>
      </c>
    </row>
    <row r="33" spans="3:4" x14ac:dyDescent="0.2">
      <c r="C33" s="1343" t="s">
        <v>928</v>
      </c>
      <c r="D33" s="1120">
        <v>1.3</v>
      </c>
    </row>
    <row r="34" spans="3:4" x14ac:dyDescent="0.2">
      <c r="C34" s="1341" t="s">
        <v>930</v>
      </c>
      <c r="D34" s="1342">
        <f>D32*D33</f>
        <v>520</v>
      </c>
    </row>
    <row r="35" spans="3:4" x14ac:dyDescent="0.2">
      <c r="C35" s="1343" t="str">
        <f>Gesamtkostenplanung!B38</f>
        <v>Abraum- / Abfallbeseitigung</v>
      </c>
      <c r="D35" s="1340">
        <f>Gesamtkostenplanung!D38</f>
        <v>1500</v>
      </c>
    </row>
    <row r="36" spans="3:4" x14ac:dyDescent="0.2">
      <c r="C36" s="1343" t="s">
        <v>928</v>
      </c>
      <c r="D36" s="1120">
        <v>1.3</v>
      </c>
    </row>
    <row r="37" spans="3:4" x14ac:dyDescent="0.2">
      <c r="C37" s="1341" t="s">
        <v>931</v>
      </c>
      <c r="D37" s="1342">
        <f>D35*D36</f>
        <v>1950</v>
      </c>
    </row>
    <row r="39" spans="3:4" x14ac:dyDescent="0.2">
      <c r="C39" s="1344" t="s">
        <v>932</v>
      </c>
      <c r="D39" s="1345">
        <f>D28+D31+D34+D37</f>
        <v>1034186</v>
      </c>
    </row>
  </sheetData>
  <dataValidations count="1">
    <dataValidation type="list" allowBlank="1" showInputMessage="1" showErrorMessage="1" sqref="D5:Q5">
      <formula1>$A$5:$A$18</formula1>
    </dataValidation>
  </dataValidations>
  <pageMargins left="0.7" right="0.7" top="0.78740157499999996" bottom="0.78740157499999996" header="0.3" footer="0.3"/>
  <pageSetup paperSize="9"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>
    <tabColor rgb="FF00B0F0"/>
  </sheetPr>
  <dimension ref="A1:AJ198"/>
  <sheetViews>
    <sheetView showGridLines="0" zoomScaleNormal="100" workbookViewId="0">
      <pane xSplit="4" ySplit="4" topLeftCell="E5" activePane="bottomRight" state="frozen"/>
      <selection activeCell="C6" sqref="C6"/>
      <selection pane="topRight" activeCell="C6" sqref="C6"/>
      <selection pane="bottomLeft" activeCell="C6" sqref="C6"/>
      <selection pane="bottomRight" activeCell="E5" sqref="E5"/>
    </sheetView>
  </sheetViews>
  <sheetFormatPr baseColWidth="10" defaultColWidth="11.42578125" defaultRowHeight="12.75" outlineLevelRow="1" outlineLevelCol="1" x14ac:dyDescent="0.2"/>
  <cols>
    <col min="1" max="1" width="24.140625" style="931" customWidth="1"/>
    <col min="2" max="2" width="12.85546875" style="931" customWidth="1"/>
    <col min="3" max="3" width="12.85546875" style="931" customWidth="1" outlineLevel="1"/>
    <col min="4" max="4" width="17.85546875" style="932" bestFit="1" customWidth="1"/>
    <col min="5" max="5" width="11" style="932" bestFit="1" customWidth="1"/>
    <col min="6" max="6" width="11.7109375" style="932" bestFit="1" customWidth="1"/>
    <col min="7" max="7" width="7" style="932" bestFit="1" customWidth="1"/>
    <col min="8" max="8" width="7.85546875" style="932" bestFit="1" customWidth="1"/>
    <col min="9" max="9" width="7.28515625" style="932" bestFit="1" customWidth="1"/>
    <col min="10" max="10" width="6.5703125" style="932" bestFit="1" customWidth="1"/>
    <col min="11" max="14" width="7.28515625" style="932" bestFit="1" customWidth="1"/>
    <col min="15" max="15" width="10.42578125" style="932" bestFit="1" customWidth="1"/>
    <col min="16" max="16" width="8.140625" style="932" bestFit="1" customWidth="1"/>
    <col min="17" max="17" width="9.85546875" style="932" bestFit="1" customWidth="1"/>
    <col min="18" max="18" width="9.7109375" style="932" bestFit="1" customWidth="1"/>
    <col min="19" max="19" width="3.7109375" style="932" customWidth="1"/>
    <col min="20" max="20" width="4.28515625" style="932" customWidth="1"/>
    <col min="21" max="21" width="10.140625" style="932" bestFit="1" customWidth="1" outlineLevel="1"/>
    <col min="22" max="22" width="11.7109375" style="932" bestFit="1" customWidth="1" outlineLevel="1"/>
    <col min="23" max="30" width="9.140625" style="932" bestFit="1" customWidth="1" outlineLevel="1"/>
    <col min="31" max="31" width="10.42578125" style="932" bestFit="1" customWidth="1" outlineLevel="1"/>
    <col min="32" max="32" width="9.140625" style="932" bestFit="1" customWidth="1" outlineLevel="1"/>
    <col min="33" max="33" width="9.85546875" style="932" bestFit="1" customWidth="1" outlineLevel="1"/>
    <col min="34" max="34" width="9.7109375" style="932" bestFit="1" customWidth="1" outlineLevel="1"/>
    <col min="35" max="36" width="15.140625" style="932" bestFit="1" customWidth="1"/>
    <col min="37" max="37" width="11.42578125" style="932" customWidth="1"/>
    <col min="38" max="16384" width="11.42578125" style="932"/>
  </cols>
  <sheetData>
    <row r="1" spans="1:36" outlineLevel="1" x14ac:dyDescent="0.2">
      <c r="B1" s="932"/>
      <c r="C1" s="932"/>
      <c r="D1" s="853" t="s">
        <v>933</v>
      </c>
    </row>
    <row r="2" spans="1:36" ht="15.75" x14ac:dyDescent="0.2">
      <c r="A2" s="878" t="s">
        <v>934</v>
      </c>
      <c r="B2" s="957" t="str">
        <f>Grunddaten!B4</f>
        <v>Sample-Data</v>
      </c>
      <c r="C2" s="957"/>
    </row>
    <row r="3" spans="1:36" ht="7.5" customHeight="1" x14ac:dyDescent="0.2">
      <c r="A3" s="878"/>
      <c r="B3" s="957"/>
      <c r="C3" s="957"/>
    </row>
    <row r="4" spans="1:36" s="853" customFormat="1" x14ac:dyDescent="0.2">
      <c r="A4" s="93"/>
      <c r="B4" s="93"/>
      <c r="C4" s="93"/>
      <c r="E4" s="853" t="s">
        <v>509</v>
      </c>
      <c r="F4" s="853" t="s">
        <v>826</v>
      </c>
      <c r="G4" s="1115">
        <f>DATE(Grunddaten!$B$5,Grunddaten!$B$6-1+1,1)</f>
        <v>43466</v>
      </c>
      <c r="H4" s="1115">
        <f>DATE(Grunddaten!$B$5,Grunddaten!$B$6-1+2,1)</f>
        <v>43497</v>
      </c>
      <c r="I4" s="1115">
        <f>DATE(Grunddaten!$B$5,Grunddaten!$B$6-1+3,1)</f>
        <v>43525</v>
      </c>
      <c r="J4" s="1115">
        <f>DATE(Grunddaten!$B$5,Grunddaten!$B$6-1+4,1)</f>
        <v>43556</v>
      </c>
      <c r="K4" s="1115">
        <f>DATE(Grunddaten!$B$5,Grunddaten!$B$6-1+5,1)</f>
        <v>43586</v>
      </c>
      <c r="L4" s="1115">
        <f>DATE(Grunddaten!$B$5,Grunddaten!$B$6-1+6,1)</f>
        <v>43617</v>
      </c>
      <c r="M4" s="1115">
        <f>DATE(Grunddaten!$B$5,Grunddaten!$B$6-1+7,1)</f>
        <v>43647</v>
      </c>
      <c r="N4" s="1115">
        <f>DATE(Grunddaten!$B$5,Grunddaten!$B$6-1+8,1)</f>
        <v>43678</v>
      </c>
      <c r="O4" s="1115">
        <f>DATE(Grunddaten!$B$5,Grunddaten!$B$6-1+9,1)</f>
        <v>43709</v>
      </c>
      <c r="P4" s="1115">
        <f>DATE(Grunddaten!$B$5,Grunddaten!$B$6-1+10,1)</f>
        <v>43739</v>
      </c>
      <c r="Q4" s="1115">
        <f>DATE(Grunddaten!$B$5,Grunddaten!$B$6-1+11,1)</f>
        <v>43770</v>
      </c>
      <c r="R4" s="1115">
        <f>DATE(Grunddaten!$B$5,Grunddaten!$B$6-1+12,1)</f>
        <v>43800</v>
      </c>
      <c r="U4" s="853" t="s">
        <v>250</v>
      </c>
      <c r="V4" s="96" t="s">
        <v>826</v>
      </c>
      <c r="W4" s="1115">
        <f>DATE(Grunddaten!$B$5,Grunddaten!$B$6-1+1,1)</f>
        <v>43466</v>
      </c>
      <c r="X4" s="1115">
        <f>DATE(Grunddaten!$B$5,Grunddaten!$B$6-1+2,1)</f>
        <v>43497</v>
      </c>
      <c r="Y4" s="1115">
        <f>DATE(Grunddaten!$B$5,Grunddaten!$B$6-1+3,1)</f>
        <v>43525</v>
      </c>
      <c r="Z4" s="1115">
        <f>DATE(Grunddaten!$B$5,Grunddaten!$B$6-1+4,1)</f>
        <v>43556</v>
      </c>
      <c r="AA4" s="1115">
        <f>DATE(Grunddaten!$B$5,Grunddaten!$B$6-1+5,1)</f>
        <v>43586</v>
      </c>
      <c r="AB4" s="1115">
        <f>DATE(Grunddaten!$B$5,Grunddaten!$B$6-1+6,1)</f>
        <v>43617</v>
      </c>
      <c r="AC4" s="1115">
        <f>DATE(Grunddaten!$B$5,Grunddaten!$B$6-1+7,1)</f>
        <v>43647</v>
      </c>
      <c r="AD4" s="1115">
        <f>DATE(Grunddaten!$B$5,Grunddaten!$B$6-1+8,1)</f>
        <v>43678</v>
      </c>
      <c r="AE4" s="1115">
        <f>DATE(Grunddaten!$B$5,Grunddaten!$B$6-1+9,1)</f>
        <v>43709</v>
      </c>
      <c r="AF4" s="1115">
        <f>DATE(Grunddaten!$B$5,Grunddaten!$B$6-1+10,1)</f>
        <v>43739</v>
      </c>
      <c r="AG4" s="1115">
        <f>DATE(Grunddaten!$B$5,Grunddaten!$B$6-1+11,1)</f>
        <v>43770</v>
      </c>
      <c r="AH4" s="1115">
        <f>DATE(Grunddaten!$B$5,Grunddaten!$B$6-1+12,1)</f>
        <v>43800</v>
      </c>
    </row>
    <row r="5" spans="1:36" s="853" customFormat="1" x14ac:dyDescent="0.2">
      <c r="A5" s="93" t="s">
        <v>935</v>
      </c>
      <c r="B5" s="93"/>
      <c r="C5" s="93"/>
      <c r="D5" s="853" t="s">
        <v>936</v>
      </c>
    </row>
    <row r="6" spans="1:36" x14ac:dyDescent="0.2">
      <c r="A6" s="943" t="str">
        <f>IF(Personalplanung!B6&lt;&gt;"",Personalplanung!B6,IF(Personalplanung!A6&lt;&gt;"",Personalplanung!A6,""))</f>
        <v>Maxdivers Mustermann</v>
      </c>
      <c r="B6" s="943"/>
      <c r="C6" s="943"/>
      <c r="D6" s="944">
        <f>Personalplanung!C6</f>
        <v>2400</v>
      </c>
      <c r="E6" s="945">
        <f>Personalplanung!D6</f>
        <v>12</v>
      </c>
      <c r="F6" s="946">
        <f>IF(SUM(G6:R6)-E6=0,0,"bitte prüfen!")</f>
        <v>0</v>
      </c>
      <c r="G6" s="947">
        <v>1</v>
      </c>
      <c r="H6" s="947">
        <v>1</v>
      </c>
      <c r="I6" s="947">
        <v>1</v>
      </c>
      <c r="J6" s="947">
        <v>1</v>
      </c>
      <c r="K6" s="947">
        <v>1</v>
      </c>
      <c r="L6" s="947">
        <v>1</v>
      </c>
      <c r="M6" s="947">
        <v>1</v>
      </c>
      <c r="N6" s="947">
        <v>1</v>
      </c>
      <c r="O6" s="947">
        <v>1</v>
      </c>
      <c r="P6" s="947">
        <v>1</v>
      </c>
      <c r="Q6" s="947">
        <v>1</v>
      </c>
      <c r="R6" s="947">
        <v>1</v>
      </c>
      <c r="U6" s="950">
        <f>Personalplanung!AA6</f>
        <v>112666.66666666667</v>
      </c>
      <c r="V6" s="946">
        <f>IF(ROUND(SUM(W6:AH6)-U6,2)=0,0,"bitte prüfen!")</f>
        <v>0</v>
      </c>
      <c r="W6" s="950">
        <f>IF(ISERROR($U6/$E6*G6),0,$U6/$E6*G6)</f>
        <v>9388.8888888888887</v>
      </c>
      <c r="X6" s="950">
        <f t="shared" ref="X6:AH6" si="0">IF(ISERROR($U6/$E6*H6),0,$U6/$E6*H6)</f>
        <v>9388.8888888888887</v>
      </c>
      <c r="Y6" s="950">
        <f t="shared" si="0"/>
        <v>9388.8888888888887</v>
      </c>
      <c r="Z6" s="950">
        <f t="shared" si="0"/>
        <v>9388.8888888888887</v>
      </c>
      <c r="AA6" s="950">
        <f t="shared" si="0"/>
        <v>9388.8888888888887</v>
      </c>
      <c r="AB6" s="950">
        <f t="shared" si="0"/>
        <v>9388.8888888888887</v>
      </c>
      <c r="AC6" s="950">
        <f t="shared" si="0"/>
        <v>9388.8888888888887</v>
      </c>
      <c r="AD6" s="950">
        <f t="shared" si="0"/>
        <v>9388.8888888888887</v>
      </c>
      <c r="AE6" s="950">
        <f t="shared" si="0"/>
        <v>9388.8888888888887</v>
      </c>
      <c r="AF6" s="950">
        <f t="shared" si="0"/>
        <v>9388.8888888888887</v>
      </c>
      <c r="AG6" s="950">
        <f t="shared" si="0"/>
        <v>9388.8888888888887</v>
      </c>
      <c r="AH6" s="950">
        <f t="shared" si="0"/>
        <v>9388.8888888888887</v>
      </c>
      <c r="AI6" s="934"/>
      <c r="AJ6" s="934"/>
    </row>
    <row r="7" spans="1:36" x14ac:dyDescent="0.2">
      <c r="A7" s="943" t="str">
        <f>IF(Personalplanung!B7&lt;&gt;"",Personalplanung!B7,IF(Personalplanung!A7&lt;&gt;"",Personalplanung!A7,""))</f>
        <v>Egon Kaufmann</v>
      </c>
      <c r="B7" s="943"/>
      <c r="C7" s="943"/>
      <c r="D7" s="944">
        <f>Personalplanung!C7</f>
        <v>0</v>
      </c>
      <c r="E7" s="945">
        <f>Personalplanung!D7</f>
        <v>12</v>
      </c>
      <c r="F7" s="946">
        <f t="shared" ref="F7:F12" si="1">IF(SUM(G7:R7)-E7=0,0,"bitte prüfen!")</f>
        <v>0</v>
      </c>
      <c r="G7" s="947">
        <v>1</v>
      </c>
      <c r="H7" s="947">
        <v>1</v>
      </c>
      <c r="I7" s="947">
        <v>1</v>
      </c>
      <c r="J7" s="947">
        <v>1</v>
      </c>
      <c r="K7" s="947">
        <v>1</v>
      </c>
      <c r="L7" s="947">
        <v>1</v>
      </c>
      <c r="M7" s="947">
        <v>1</v>
      </c>
      <c r="N7" s="947">
        <v>1</v>
      </c>
      <c r="O7" s="947">
        <v>1</v>
      </c>
      <c r="P7" s="947">
        <v>1</v>
      </c>
      <c r="Q7" s="947">
        <v>1</v>
      </c>
      <c r="R7" s="947">
        <v>1</v>
      </c>
      <c r="U7" s="950">
        <f>Personalplanung!AA7</f>
        <v>83200</v>
      </c>
      <c r="V7" s="946">
        <f t="shared" ref="V7:V108" si="2">IF(ROUND(SUM(W7:AH7)-U7,2)=0,0,"bitte prüfen!")</f>
        <v>0</v>
      </c>
      <c r="W7" s="950">
        <f t="shared" ref="W7:W14" si="3">IF(ISERROR($U7/$E7*G7),0,$U7/$E7*G7)</f>
        <v>6933.333333333333</v>
      </c>
      <c r="X7" s="950">
        <f t="shared" ref="X7:X14" si="4">IF(ISERROR($U7/$E7*H7),0,$U7/$E7*H7)</f>
        <v>6933.333333333333</v>
      </c>
      <c r="Y7" s="950">
        <f t="shared" ref="Y7:Y14" si="5">IF(ISERROR($U7/$E7*I7),0,$U7/$E7*I7)</f>
        <v>6933.333333333333</v>
      </c>
      <c r="Z7" s="950">
        <f t="shared" ref="Z7:Z14" si="6">IF(ISERROR($U7/$E7*J7),0,$U7/$E7*J7)</f>
        <v>6933.333333333333</v>
      </c>
      <c r="AA7" s="950">
        <f t="shared" ref="AA7:AA14" si="7">IF(ISERROR($U7/$E7*K7),0,$U7/$E7*K7)</f>
        <v>6933.333333333333</v>
      </c>
      <c r="AB7" s="950">
        <f t="shared" ref="AB7:AB14" si="8">IF(ISERROR($U7/$E7*L7),0,$U7/$E7*L7)</f>
        <v>6933.333333333333</v>
      </c>
      <c r="AC7" s="950">
        <f t="shared" ref="AC7:AC14" si="9">IF(ISERROR($U7/$E7*M7),0,$U7/$E7*M7)</f>
        <v>6933.333333333333</v>
      </c>
      <c r="AD7" s="950">
        <f t="shared" ref="AD7:AD14" si="10">IF(ISERROR($U7/$E7*N7),0,$U7/$E7*N7)</f>
        <v>6933.333333333333</v>
      </c>
      <c r="AE7" s="950">
        <f t="shared" ref="AE7:AE14" si="11">IF(ISERROR($U7/$E7*O7),0,$U7/$E7*O7)</f>
        <v>6933.333333333333</v>
      </c>
      <c r="AF7" s="950">
        <f t="shared" ref="AF7:AF14" si="12">IF(ISERROR($U7/$E7*P7),0,$U7/$E7*P7)</f>
        <v>6933.333333333333</v>
      </c>
      <c r="AG7" s="950">
        <f t="shared" ref="AG7:AG14" si="13">IF(ISERROR($U7/$E7*Q7),0,$U7/$E7*Q7)</f>
        <v>6933.333333333333</v>
      </c>
      <c r="AH7" s="950">
        <f t="shared" ref="AH7:AH14" si="14">IF(ISERROR($U7/$E7*R7),0,$U7/$E7*R7)</f>
        <v>6933.333333333333</v>
      </c>
      <c r="AI7" s="934"/>
      <c r="AJ7" s="934"/>
    </row>
    <row r="8" spans="1:36" x14ac:dyDescent="0.2">
      <c r="A8" s="943" t="str">
        <f>IF(Personalplanung!B8&lt;&gt;"",Personalplanung!B8,IF(Personalplanung!A8&lt;&gt;"",Personalplanung!A8,""))</f>
        <v>Walter Meister</v>
      </c>
      <c r="B8" s="943"/>
      <c r="C8" s="943"/>
      <c r="D8" s="944">
        <f>Personalplanung!C8</f>
        <v>0</v>
      </c>
      <c r="E8" s="945">
        <f>Personalplanung!D8</f>
        <v>12</v>
      </c>
      <c r="F8" s="946">
        <f t="shared" si="1"/>
        <v>0</v>
      </c>
      <c r="G8" s="947">
        <v>1</v>
      </c>
      <c r="H8" s="947">
        <v>1</v>
      </c>
      <c r="I8" s="947">
        <v>1</v>
      </c>
      <c r="J8" s="947">
        <v>1</v>
      </c>
      <c r="K8" s="947">
        <v>1</v>
      </c>
      <c r="L8" s="947">
        <v>1</v>
      </c>
      <c r="M8" s="947">
        <v>1</v>
      </c>
      <c r="N8" s="947">
        <v>1</v>
      </c>
      <c r="O8" s="947">
        <v>1</v>
      </c>
      <c r="P8" s="947">
        <v>1</v>
      </c>
      <c r="Q8" s="947">
        <v>1</v>
      </c>
      <c r="R8" s="947">
        <v>1</v>
      </c>
      <c r="S8" s="935"/>
      <c r="T8" s="936"/>
      <c r="U8" s="950">
        <f>Personalplanung!AA8</f>
        <v>55466.666666666672</v>
      </c>
      <c r="V8" s="946">
        <f t="shared" si="2"/>
        <v>0</v>
      </c>
      <c r="W8" s="950">
        <f t="shared" si="3"/>
        <v>4622.2222222222226</v>
      </c>
      <c r="X8" s="950">
        <f t="shared" si="4"/>
        <v>4622.2222222222226</v>
      </c>
      <c r="Y8" s="950">
        <f t="shared" si="5"/>
        <v>4622.2222222222226</v>
      </c>
      <c r="Z8" s="950">
        <f t="shared" si="6"/>
        <v>4622.2222222222226</v>
      </c>
      <c r="AA8" s="950">
        <f t="shared" si="7"/>
        <v>4622.2222222222226</v>
      </c>
      <c r="AB8" s="950">
        <f t="shared" si="8"/>
        <v>4622.2222222222226</v>
      </c>
      <c r="AC8" s="950">
        <f t="shared" si="9"/>
        <v>4622.2222222222226</v>
      </c>
      <c r="AD8" s="950">
        <f t="shared" si="10"/>
        <v>4622.2222222222226</v>
      </c>
      <c r="AE8" s="950">
        <f t="shared" si="11"/>
        <v>4622.2222222222226</v>
      </c>
      <c r="AF8" s="950">
        <f t="shared" si="12"/>
        <v>4622.2222222222226</v>
      </c>
      <c r="AG8" s="950">
        <f t="shared" si="13"/>
        <v>4622.2222222222226</v>
      </c>
      <c r="AH8" s="950">
        <f t="shared" si="14"/>
        <v>4622.2222222222226</v>
      </c>
    </row>
    <row r="9" spans="1:36" x14ac:dyDescent="0.2">
      <c r="A9" s="943" t="str">
        <f>IF(Personalplanung!B9&lt;&gt;"",Personalplanung!B9,IF(Personalplanung!A9&lt;&gt;"",Personalplanung!A9,""))</f>
        <v>Tom in Technik</v>
      </c>
      <c r="B9" s="943"/>
      <c r="C9" s="943"/>
      <c r="D9" s="944">
        <f>Personalplanung!C9</f>
        <v>0</v>
      </c>
      <c r="E9" s="945">
        <f>Personalplanung!D9</f>
        <v>12</v>
      </c>
      <c r="F9" s="946">
        <f t="shared" si="1"/>
        <v>0</v>
      </c>
      <c r="G9" s="947">
        <v>1</v>
      </c>
      <c r="H9" s="947">
        <v>1</v>
      </c>
      <c r="I9" s="947">
        <v>1</v>
      </c>
      <c r="J9" s="947">
        <v>1</v>
      </c>
      <c r="K9" s="947">
        <v>1</v>
      </c>
      <c r="L9" s="947">
        <v>1</v>
      </c>
      <c r="M9" s="947">
        <v>1</v>
      </c>
      <c r="N9" s="947">
        <v>1</v>
      </c>
      <c r="O9" s="947">
        <v>1</v>
      </c>
      <c r="P9" s="947">
        <v>1</v>
      </c>
      <c r="Q9" s="947">
        <v>1</v>
      </c>
      <c r="R9" s="947">
        <v>1</v>
      </c>
      <c r="U9" s="950">
        <f>Personalplanung!AA9</f>
        <v>52693.333333333328</v>
      </c>
      <c r="V9" s="946">
        <f t="shared" si="2"/>
        <v>0</v>
      </c>
      <c r="W9" s="950">
        <f t="shared" si="3"/>
        <v>4391.1111111111104</v>
      </c>
      <c r="X9" s="950">
        <f t="shared" si="4"/>
        <v>4391.1111111111104</v>
      </c>
      <c r="Y9" s="950">
        <f t="shared" si="5"/>
        <v>4391.1111111111104</v>
      </c>
      <c r="Z9" s="950">
        <f t="shared" si="6"/>
        <v>4391.1111111111104</v>
      </c>
      <c r="AA9" s="950">
        <f t="shared" si="7"/>
        <v>4391.1111111111104</v>
      </c>
      <c r="AB9" s="950">
        <f t="shared" si="8"/>
        <v>4391.1111111111104</v>
      </c>
      <c r="AC9" s="950">
        <f t="shared" si="9"/>
        <v>4391.1111111111104</v>
      </c>
      <c r="AD9" s="950">
        <f t="shared" si="10"/>
        <v>4391.1111111111104</v>
      </c>
      <c r="AE9" s="950">
        <f t="shared" si="11"/>
        <v>4391.1111111111104</v>
      </c>
      <c r="AF9" s="950">
        <f t="shared" si="12"/>
        <v>4391.1111111111104</v>
      </c>
      <c r="AG9" s="950">
        <f t="shared" si="13"/>
        <v>4391.1111111111104</v>
      </c>
      <c r="AH9" s="950">
        <f t="shared" si="14"/>
        <v>4391.1111111111104</v>
      </c>
    </row>
    <row r="10" spans="1:36" x14ac:dyDescent="0.2">
      <c r="A10" s="943" t="str">
        <f>IF(Personalplanung!B10&lt;&gt;"",Personalplanung!B10,IF(Personalplanung!A10&lt;&gt;"",Personalplanung!A10,""))</f>
        <v>Lola Rennt</v>
      </c>
      <c r="B10" s="943"/>
      <c r="C10" s="943"/>
      <c r="D10" s="944">
        <f>Personalplanung!C10</f>
        <v>0</v>
      </c>
      <c r="E10" s="945">
        <f>Personalplanung!D10</f>
        <v>12</v>
      </c>
      <c r="F10" s="946">
        <f t="shared" si="1"/>
        <v>0</v>
      </c>
      <c r="G10" s="947">
        <v>1</v>
      </c>
      <c r="H10" s="947">
        <v>1</v>
      </c>
      <c r="I10" s="947">
        <v>1</v>
      </c>
      <c r="J10" s="947">
        <v>1</v>
      </c>
      <c r="K10" s="947">
        <v>1</v>
      </c>
      <c r="L10" s="947">
        <v>1</v>
      </c>
      <c r="M10" s="947">
        <v>1</v>
      </c>
      <c r="N10" s="947">
        <v>1</v>
      </c>
      <c r="O10" s="947">
        <v>1</v>
      </c>
      <c r="P10" s="947">
        <v>1</v>
      </c>
      <c r="Q10" s="947">
        <v>1</v>
      </c>
      <c r="R10" s="947">
        <v>1</v>
      </c>
      <c r="U10" s="950">
        <f>Personalplanung!AA10</f>
        <v>34125</v>
      </c>
      <c r="V10" s="946">
        <f t="shared" si="2"/>
        <v>0</v>
      </c>
      <c r="W10" s="950">
        <f t="shared" si="3"/>
        <v>2843.75</v>
      </c>
      <c r="X10" s="950">
        <f t="shared" si="4"/>
        <v>2843.75</v>
      </c>
      <c r="Y10" s="950">
        <f t="shared" si="5"/>
        <v>2843.75</v>
      </c>
      <c r="Z10" s="950">
        <f t="shared" si="6"/>
        <v>2843.75</v>
      </c>
      <c r="AA10" s="950">
        <f t="shared" si="7"/>
        <v>2843.75</v>
      </c>
      <c r="AB10" s="950">
        <f t="shared" si="8"/>
        <v>2843.75</v>
      </c>
      <c r="AC10" s="950">
        <f t="shared" si="9"/>
        <v>2843.75</v>
      </c>
      <c r="AD10" s="950">
        <f t="shared" si="10"/>
        <v>2843.75</v>
      </c>
      <c r="AE10" s="950">
        <f t="shared" si="11"/>
        <v>2843.75</v>
      </c>
      <c r="AF10" s="950">
        <f t="shared" si="12"/>
        <v>2843.75</v>
      </c>
      <c r="AG10" s="950">
        <f t="shared" si="13"/>
        <v>2843.75</v>
      </c>
      <c r="AH10" s="950">
        <f t="shared" si="14"/>
        <v>2843.75</v>
      </c>
    </row>
    <row r="11" spans="1:36" x14ac:dyDescent="0.2">
      <c r="A11" s="943" t="str">
        <f>IF(Personalplanung!B11&lt;&gt;"",Personalplanung!B11,IF(Personalplanung!A11&lt;&gt;"",Personalplanung!A11,""))</f>
        <v>Bier Lager</v>
      </c>
      <c r="B11" s="943"/>
      <c r="C11" s="943"/>
      <c r="D11" s="944">
        <f>Personalplanung!C11</f>
        <v>0</v>
      </c>
      <c r="E11" s="945">
        <f>Personalplanung!D11</f>
        <v>12</v>
      </c>
      <c r="F11" s="946">
        <f t="shared" si="1"/>
        <v>0</v>
      </c>
      <c r="G11" s="947">
        <v>1</v>
      </c>
      <c r="H11" s="947">
        <v>1</v>
      </c>
      <c r="I11" s="947">
        <v>1</v>
      </c>
      <c r="J11" s="947">
        <v>1</v>
      </c>
      <c r="K11" s="947">
        <v>1</v>
      </c>
      <c r="L11" s="947">
        <v>1</v>
      </c>
      <c r="M11" s="947">
        <v>1</v>
      </c>
      <c r="N11" s="947">
        <v>1</v>
      </c>
      <c r="O11" s="947">
        <v>1</v>
      </c>
      <c r="P11" s="947">
        <v>1</v>
      </c>
      <c r="Q11" s="947">
        <v>1</v>
      </c>
      <c r="R11" s="947">
        <v>1</v>
      </c>
      <c r="U11" s="950">
        <f>Personalplanung!AA11</f>
        <v>32760</v>
      </c>
      <c r="V11" s="946">
        <f t="shared" si="2"/>
        <v>0</v>
      </c>
      <c r="W11" s="950">
        <f t="shared" si="3"/>
        <v>2730</v>
      </c>
      <c r="X11" s="950">
        <f t="shared" si="4"/>
        <v>2730</v>
      </c>
      <c r="Y11" s="950">
        <f t="shared" si="5"/>
        <v>2730</v>
      </c>
      <c r="Z11" s="950">
        <f t="shared" si="6"/>
        <v>2730</v>
      </c>
      <c r="AA11" s="950">
        <f t="shared" si="7"/>
        <v>2730</v>
      </c>
      <c r="AB11" s="950">
        <f t="shared" si="8"/>
        <v>2730</v>
      </c>
      <c r="AC11" s="950">
        <f t="shared" si="9"/>
        <v>2730</v>
      </c>
      <c r="AD11" s="950">
        <f t="shared" si="10"/>
        <v>2730</v>
      </c>
      <c r="AE11" s="950">
        <f t="shared" si="11"/>
        <v>2730</v>
      </c>
      <c r="AF11" s="950">
        <f t="shared" si="12"/>
        <v>2730</v>
      </c>
      <c r="AG11" s="950">
        <f t="shared" si="13"/>
        <v>2730</v>
      </c>
      <c r="AH11" s="950">
        <f t="shared" si="14"/>
        <v>2730</v>
      </c>
    </row>
    <row r="12" spans="1:36" x14ac:dyDescent="0.2">
      <c r="A12" s="943" t="str">
        <f>IF(Personalplanung!B12&lt;&gt;"",Personalplanung!B12,IF(Personalplanung!A12&lt;&gt;"",Personalplanung!A12,""))</f>
        <v>Heinrich vor Arbeit</v>
      </c>
      <c r="B12" s="943"/>
      <c r="C12" s="943"/>
      <c r="D12" s="944">
        <f>Personalplanung!C12</f>
        <v>0</v>
      </c>
      <c r="E12" s="945">
        <f>Personalplanung!D12</f>
        <v>12</v>
      </c>
      <c r="F12" s="946">
        <f t="shared" si="1"/>
        <v>0</v>
      </c>
      <c r="G12" s="947">
        <v>1</v>
      </c>
      <c r="H12" s="947">
        <v>1</v>
      </c>
      <c r="I12" s="947">
        <v>1</v>
      </c>
      <c r="J12" s="947">
        <v>1</v>
      </c>
      <c r="K12" s="947">
        <v>1</v>
      </c>
      <c r="L12" s="947">
        <v>1</v>
      </c>
      <c r="M12" s="947">
        <v>1</v>
      </c>
      <c r="N12" s="947">
        <v>1</v>
      </c>
      <c r="O12" s="947">
        <v>1</v>
      </c>
      <c r="P12" s="947">
        <v>1</v>
      </c>
      <c r="Q12" s="947">
        <v>1</v>
      </c>
      <c r="R12" s="947">
        <v>1</v>
      </c>
      <c r="U12" s="950">
        <f>Personalplanung!AA12</f>
        <v>38220</v>
      </c>
      <c r="V12" s="946">
        <f t="shared" si="2"/>
        <v>0</v>
      </c>
      <c r="W12" s="950">
        <f t="shared" si="3"/>
        <v>3185</v>
      </c>
      <c r="X12" s="950">
        <f t="shared" si="4"/>
        <v>3185</v>
      </c>
      <c r="Y12" s="950">
        <f t="shared" si="5"/>
        <v>3185</v>
      </c>
      <c r="Z12" s="950">
        <f t="shared" si="6"/>
        <v>3185</v>
      </c>
      <c r="AA12" s="950">
        <f t="shared" si="7"/>
        <v>3185</v>
      </c>
      <c r="AB12" s="950">
        <f t="shared" si="8"/>
        <v>3185</v>
      </c>
      <c r="AC12" s="950">
        <f t="shared" si="9"/>
        <v>3185</v>
      </c>
      <c r="AD12" s="950">
        <f t="shared" si="10"/>
        <v>3185</v>
      </c>
      <c r="AE12" s="950">
        <f t="shared" si="11"/>
        <v>3185</v>
      </c>
      <c r="AF12" s="950">
        <f t="shared" si="12"/>
        <v>3185</v>
      </c>
      <c r="AG12" s="950">
        <f t="shared" si="13"/>
        <v>3185</v>
      </c>
      <c r="AH12" s="950">
        <f t="shared" si="14"/>
        <v>3185</v>
      </c>
    </row>
    <row r="13" spans="1:36" x14ac:dyDescent="0.2">
      <c r="A13" s="943" t="str">
        <f>IF(Personalplanung!B13&lt;&gt;"",Personalplanung!B13,IF(Personalplanung!A13&lt;&gt;"",Personalplanung!A13,""))</f>
        <v>Voller Geselle</v>
      </c>
      <c r="B13" s="943"/>
      <c r="C13" s="943"/>
      <c r="D13" s="944">
        <f>Personalplanung!C13</f>
        <v>0</v>
      </c>
      <c r="E13" s="945">
        <f>Personalplanung!D13</f>
        <v>12</v>
      </c>
      <c r="F13" s="946">
        <f>IF(SUM(G13:R13)-E13=0,0,"bitte prüfen!")</f>
        <v>0</v>
      </c>
      <c r="G13" s="947">
        <v>1</v>
      </c>
      <c r="H13" s="947">
        <v>1</v>
      </c>
      <c r="I13" s="947">
        <v>1</v>
      </c>
      <c r="J13" s="947">
        <v>1</v>
      </c>
      <c r="K13" s="947">
        <v>1</v>
      </c>
      <c r="L13" s="947">
        <v>1</v>
      </c>
      <c r="M13" s="947">
        <v>1</v>
      </c>
      <c r="N13" s="947">
        <v>1</v>
      </c>
      <c r="O13" s="947">
        <v>1</v>
      </c>
      <c r="P13" s="947">
        <v>1</v>
      </c>
      <c r="Q13" s="947">
        <v>1</v>
      </c>
      <c r="R13" s="947">
        <v>1</v>
      </c>
      <c r="U13" s="950">
        <f>Personalplanung!AA13</f>
        <v>43680</v>
      </c>
      <c r="V13" s="946">
        <f>IF(ROUND(SUM(W13:AH13)-U13,2)=0,0,"bitte prüfen!")</f>
        <v>0</v>
      </c>
      <c r="W13" s="950">
        <f t="shared" ref="W13:AH13" si="15">IF(ISERROR($U13/$E13*G13),0,$U13/$E13*G13)</f>
        <v>3640</v>
      </c>
      <c r="X13" s="950">
        <f t="shared" si="15"/>
        <v>3640</v>
      </c>
      <c r="Y13" s="950">
        <f t="shared" si="15"/>
        <v>3640</v>
      </c>
      <c r="Z13" s="950">
        <f t="shared" si="15"/>
        <v>3640</v>
      </c>
      <c r="AA13" s="950">
        <f t="shared" si="15"/>
        <v>3640</v>
      </c>
      <c r="AB13" s="950">
        <f t="shared" si="15"/>
        <v>3640</v>
      </c>
      <c r="AC13" s="950">
        <f t="shared" si="15"/>
        <v>3640</v>
      </c>
      <c r="AD13" s="950">
        <f t="shared" si="15"/>
        <v>3640</v>
      </c>
      <c r="AE13" s="950">
        <f t="shared" si="15"/>
        <v>3640</v>
      </c>
      <c r="AF13" s="950">
        <f t="shared" si="15"/>
        <v>3640</v>
      </c>
      <c r="AG13" s="950">
        <f t="shared" si="15"/>
        <v>3640</v>
      </c>
      <c r="AH13" s="950">
        <f t="shared" si="15"/>
        <v>3640</v>
      </c>
    </row>
    <row r="14" spans="1:36" x14ac:dyDescent="0.2">
      <c r="A14" s="943" t="str">
        <f>IF(Personalplanung!B14&lt;&gt;"",Personalplanung!B14,IF(Personalplanung!A14&lt;&gt;"",Personalplanung!A14,""))</f>
        <v>Thomas Fleißig</v>
      </c>
      <c r="B14" s="943"/>
      <c r="C14" s="943"/>
      <c r="D14" s="944">
        <f>Personalplanung!C14</f>
        <v>0</v>
      </c>
      <c r="E14" s="945">
        <f>Personalplanung!D14</f>
        <v>12</v>
      </c>
      <c r="F14" s="946">
        <f>IF(SUM(G14:R14)-E14=0,0,"bitte prüfen!")</f>
        <v>0</v>
      </c>
      <c r="G14" s="947">
        <v>1</v>
      </c>
      <c r="H14" s="947">
        <v>1</v>
      </c>
      <c r="I14" s="947">
        <v>1</v>
      </c>
      <c r="J14" s="947">
        <v>1</v>
      </c>
      <c r="K14" s="947">
        <v>1</v>
      </c>
      <c r="L14" s="947">
        <v>1</v>
      </c>
      <c r="M14" s="947">
        <v>1</v>
      </c>
      <c r="N14" s="947">
        <v>1</v>
      </c>
      <c r="O14" s="947">
        <v>1</v>
      </c>
      <c r="P14" s="947">
        <v>1</v>
      </c>
      <c r="Q14" s="947">
        <v>1</v>
      </c>
      <c r="R14" s="947">
        <v>1</v>
      </c>
      <c r="U14" s="950">
        <f>Personalplanung!AA14</f>
        <v>47964</v>
      </c>
      <c r="V14" s="946">
        <f t="shared" si="2"/>
        <v>0</v>
      </c>
      <c r="W14" s="950">
        <f t="shared" si="3"/>
        <v>3997</v>
      </c>
      <c r="X14" s="950">
        <f t="shared" si="4"/>
        <v>3997</v>
      </c>
      <c r="Y14" s="950">
        <f t="shared" si="5"/>
        <v>3997</v>
      </c>
      <c r="Z14" s="950">
        <f t="shared" si="6"/>
        <v>3997</v>
      </c>
      <c r="AA14" s="950">
        <f t="shared" si="7"/>
        <v>3997</v>
      </c>
      <c r="AB14" s="950">
        <f t="shared" si="8"/>
        <v>3997</v>
      </c>
      <c r="AC14" s="950">
        <f t="shared" si="9"/>
        <v>3997</v>
      </c>
      <c r="AD14" s="950">
        <f t="shared" si="10"/>
        <v>3997</v>
      </c>
      <c r="AE14" s="950">
        <f t="shared" si="11"/>
        <v>3997</v>
      </c>
      <c r="AF14" s="950">
        <f t="shared" si="12"/>
        <v>3997</v>
      </c>
      <c r="AG14" s="950">
        <f t="shared" si="13"/>
        <v>3997</v>
      </c>
      <c r="AH14" s="950">
        <f t="shared" si="14"/>
        <v>3997</v>
      </c>
    </row>
    <row r="15" spans="1:36" x14ac:dyDescent="0.2">
      <c r="A15" s="943" t="str">
        <f>IF(Personalplanung!B15&lt;&gt;"",Personalplanung!B15,IF(Personalplanung!A15&lt;&gt;"",Personalplanung!A15,""))</f>
        <v>Facharbeiter</v>
      </c>
      <c r="B15" s="943"/>
      <c r="C15" s="943"/>
      <c r="D15" s="944">
        <f>Personalplanung!C15</f>
        <v>0</v>
      </c>
      <c r="E15" s="945">
        <f>Personalplanung!D15</f>
        <v>12</v>
      </c>
      <c r="F15" s="946">
        <f t="shared" ref="F15:F78" si="16">IF(SUM(G15:R15)-E15=0,0,"bitte prüfen!")</f>
        <v>0</v>
      </c>
      <c r="G15" s="947">
        <v>1</v>
      </c>
      <c r="H15" s="947">
        <v>1</v>
      </c>
      <c r="I15" s="947">
        <v>1</v>
      </c>
      <c r="J15" s="947">
        <v>1</v>
      </c>
      <c r="K15" s="947">
        <v>1</v>
      </c>
      <c r="L15" s="947">
        <v>1</v>
      </c>
      <c r="M15" s="947">
        <v>1</v>
      </c>
      <c r="N15" s="947">
        <v>1</v>
      </c>
      <c r="O15" s="947">
        <v>1</v>
      </c>
      <c r="P15" s="947">
        <v>1</v>
      </c>
      <c r="Q15" s="947">
        <v>1</v>
      </c>
      <c r="R15" s="947">
        <v>1</v>
      </c>
      <c r="U15" s="950">
        <f>Personalplanung!AA15</f>
        <v>43680</v>
      </c>
      <c r="V15" s="946">
        <f t="shared" ref="V15:V78" si="17">IF(ROUND(SUM(W15:AH15)-U15,2)=0,0,"bitte prüfen!")</f>
        <v>0</v>
      </c>
      <c r="W15" s="950">
        <f t="shared" ref="W15:W78" si="18">IF(ISERROR($U15/$E15*G15),0,$U15/$E15*G15)</f>
        <v>3640</v>
      </c>
      <c r="X15" s="950">
        <f t="shared" ref="X15:X78" si="19">IF(ISERROR($U15/$E15*H15),0,$U15/$E15*H15)</f>
        <v>3640</v>
      </c>
      <c r="Y15" s="950">
        <f t="shared" ref="Y15:Y78" si="20">IF(ISERROR($U15/$E15*I15),0,$U15/$E15*I15)</f>
        <v>3640</v>
      </c>
      <c r="Z15" s="950">
        <f t="shared" ref="Z15:Z78" si="21">IF(ISERROR($U15/$E15*J15),0,$U15/$E15*J15)</f>
        <v>3640</v>
      </c>
      <c r="AA15" s="950">
        <f t="shared" ref="AA15:AA78" si="22">IF(ISERROR($U15/$E15*K15),0,$U15/$E15*K15)</f>
        <v>3640</v>
      </c>
      <c r="AB15" s="950">
        <f t="shared" ref="AB15:AB78" si="23">IF(ISERROR($U15/$E15*L15),0,$U15/$E15*L15)</f>
        <v>3640</v>
      </c>
      <c r="AC15" s="950">
        <f t="shared" ref="AC15:AC78" si="24">IF(ISERROR($U15/$E15*M15),0,$U15/$E15*M15)</f>
        <v>3640</v>
      </c>
      <c r="AD15" s="950">
        <f t="shared" ref="AD15:AD78" si="25">IF(ISERROR($U15/$E15*N15),0,$U15/$E15*N15)</f>
        <v>3640</v>
      </c>
      <c r="AE15" s="950">
        <f t="shared" ref="AE15:AE78" si="26">IF(ISERROR($U15/$E15*O15),0,$U15/$E15*O15)</f>
        <v>3640</v>
      </c>
      <c r="AF15" s="950">
        <f t="shared" ref="AF15:AF78" si="27">IF(ISERROR($U15/$E15*P15),0,$U15/$E15*P15)</f>
        <v>3640</v>
      </c>
      <c r="AG15" s="950">
        <f t="shared" ref="AG15:AG78" si="28">IF(ISERROR($U15/$E15*Q15),0,$U15/$E15*Q15)</f>
        <v>3640</v>
      </c>
      <c r="AH15" s="950">
        <f t="shared" ref="AH15:AH78" si="29">IF(ISERROR($U15/$E15*R15),0,$U15/$E15*R15)</f>
        <v>3640</v>
      </c>
    </row>
    <row r="16" spans="1:36" x14ac:dyDescent="0.2">
      <c r="A16" s="943" t="str">
        <f>IF(Personalplanung!B16&lt;&gt;"",Personalplanung!B16,IF(Personalplanung!A16&lt;&gt;"",Personalplanung!A16,""))</f>
        <v>Abgänger</v>
      </c>
      <c r="B16" s="943"/>
      <c r="C16" s="943"/>
      <c r="D16" s="944">
        <f>Personalplanung!C16</f>
        <v>0</v>
      </c>
      <c r="E16" s="945">
        <f>Personalplanung!D16</f>
        <v>5</v>
      </c>
      <c r="F16" s="946">
        <f t="shared" si="16"/>
        <v>0</v>
      </c>
      <c r="G16" s="947">
        <v>1</v>
      </c>
      <c r="H16" s="947">
        <v>1</v>
      </c>
      <c r="I16" s="947">
        <v>1</v>
      </c>
      <c r="J16" s="947">
        <v>1</v>
      </c>
      <c r="K16" s="947">
        <v>1</v>
      </c>
      <c r="L16" s="947"/>
      <c r="M16" s="947"/>
      <c r="N16" s="947"/>
      <c r="O16" s="947"/>
      <c r="P16" s="947"/>
      <c r="Q16" s="947"/>
      <c r="R16" s="947"/>
      <c r="U16" s="950">
        <f>Personalplanung!AA16</f>
        <v>43680</v>
      </c>
      <c r="V16" s="946">
        <f t="shared" si="17"/>
        <v>0</v>
      </c>
      <c r="W16" s="950">
        <f t="shared" si="18"/>
        <v>8736</v>
      </c>
      <c r="X16" s="950">
        <f t="shared" si="19"/>
        <v>8736</v>
      </c>
      <c r="Y16" s="950">
        <f t="shared" si="20"/>
        <v>8736</v>
      </c>
      <c r="Z16" s="950">
        <f t="shared" si="21"/>
        <v>8736</v>
      </c>
      <c r="AA16" s="950">
        <f t="shared" si="22"/>
        <v>8736</v>
      </c>
      <c r="AB16" s="950">
        <f t="shared" si="23"/>
        <v>0</v>
      </c>
      <c r="AC16" s="950">
        <f t="shared" si="24"/>
        <v>0</v>
      </c>
      <c r="AD16" s="950">
        <f t="shared" si="25"/>
        <v>0</v>
      </c>
      <c r="AE16" s="950">
        <f t="shared" si="26"/>
        <v>0</v>
      </c>
      <c r="AF16" s="950">
        <f t="shared" si="27"/>
        <v>0</v>
      </c>
      <c r="AG16" s="950">
        <f t="shared" si="28"/>
        <v>0</v>
      </c>
      <c r="AH16" s="950">
        <f t="shared" si="29"/>
        <v>0</v>
      </c>
    </row>
    <row r="17" spans="1:34" x14ac:dyDescent="0.2">
      <c r="A17" s="943" t="str">
        <f>IF(Personalplanung!B17&lt;&gt;"",Personalplanung!B17,IF(Personalplanung!A17&lt;&gt;"",Personalplanung!A17,""))</f>
        <v>Facharbeiter</v>
      </c>
      <c r="B17" s="943"/>
      <c r="C17" s="943"/>
      <c r="D17" s="944">
        <f>Personalplanung!C17</f>
        <v>0</v>
      </c>
      <c r="E17" s="945">
        <f>Personalplanung!D17</f>
        <v>12</v>
      </c>
      <c r="F17" s="946">
        <f t="shared" si="16"/>
        <v>0</v>
      </c>
      <c r="G17" s="947">
        <v>1</v>
      </c>
      <c r="H17" s="947">
        <v>1</v>
      </c>
      <c r="I17" s="947">
        <v>1</v>
      </c>
      <c r="J17" s="947">
        <v>1</v>
      </c>
      <c r="K17" s="947">
        <v>1</v>
      </c>
      <c r="L17" s="947">
        <v>1</v>
      </c>
      <c r="M17" s="947">
        <v>1</v>
      </c>
      <c r="N17" s="947">
        <v>1</v>
      </c>
      <c r="O17" s="947">
        <v>1</v>
      </c>
      <c r="P17" s="947">
        <v>1</v>
      </c>
      <c r="Q17" s="947">
        <v>1</v>
      </c>
      <c r="R17" s="947">
        <v>1</v>
      </c>
      <c r="U17" s="950">
        <f>Personalplanung!AA17</f>
        <v>45045</v>
      </c>
      <c r="V17" s="946">
        <f t="shared" si="17"/>
        <v>0</v>
      </c>
      <c r="W17" s="950">
        <f t="shared" si="18"/>
        <v>3753.75</v>
      </c>
      <c r="X17" s="950">
        <f t="shared" si="19"/>
        <v>3753.75</v>
      </c>
      <c r="Y17" s="950">
        <f t="shared" si="20"/>
        <v>3753.75</v>
      </c>
      <c r="Z17" s="950">
        <f t="shared" si="21"/>
        <v>3753.75</v>
      </c>
      <c r="AA17" s="950">
        <f t="shared" si="22"/>
        <v>3753.75</v>
      </c>
      <c r="AB17" s="950">
        <f t="shared" si="23"/>
        <v>3753.75</v>
      </c>
      <c r="AC17" s="950">
        <f t="shared" si="24"/>
        <v>3753.75</v>
      </c>
      <c r="AD17" s="950">
        <f t="shared" si="25"/>
        <v>3753.75</v>
      </c>
      <c r="AE17" s="950">
        <f t="shared" si="26"/>
        <v>3753.75</v>
      </c>
      <c r="AF17" s="950">
        <f t="shared" si="27"/>
        <v>3753.75</v>
      </c>
      <c r="AG17" s="950">
        <f t="shared" si="28"/>
        <v>3753.75</v>
      </c>
      <c r="AH17" s="950">
        <f t="shared" si="29"/>
        <v>3753.75</v>
      </c>
    </row>
    <row r="18" spans="1:34" x14ac:dyDescent="0.2">
      <c r="A18" s="943" t="str">
        <f>IF(Personalplanung!B18&lt;&gt;"",Personalplanung!B18,IF(Personalplanung!A18&lt;&gt;"",Personalplanung!A18,""))</f>
        <v>Facharbeiter</v>
      </c>
      <c r="B18" s="943"/>
      <c r="C18" s="943"/>
      <c r="D18" s="944">
        <f>Personalplanung!C18</f>
        <v>0</v>
      </c>
      <c r="E18" s="945">
        <f>Personalplanung!D18</f>
        <v>12</v>
      </c>
      <c r="F18" s="946">
        <f t="shared" si="16"/>
        <v>0</v>
      </c>
      <c r="G18" s="947">
        <v>1</v>
      </c>
      <c r="H18" s="947">
        <v>1</v>
      </c>
      <c r="I18" s="947">
        <v>1</v>
      </c>
      <c r="J18" s="947">
        <v>1</v>
      </c>
      <c r="K18" s="947">
        <v>1</v>
      </c>
      <c r="L18" s="947">
        <v>1</v>
      </c>
      <c r="M18" s="947">
        <v>1</v>
      </c>
      <c r="N18" s="947">
        <v>1</v>
      </c>
      <c r="O18" s="947">
        <v>1</v>
      </c>
      <c r="P18" s="947">
        <v>1</v>
      </c>
      <c r="Q18" s="947">
        <v>1</v>
      </c>
      <c r="R18" s="947">
        <v>1</v>
      </c>
      <c r="U18" s="950">
        <f>Personalplanung!AA18</f>
        <v>46410</v>
      </c>
      <c r="V18" s="946">
        <f t="shared" si="17"/>
        <v>0</v>
      </c>
      <c r="W18" s="950">
        <f t="shared" si="18"/>
        <v>3867.5</v>
      </c>
      <c r="X18" s="950">
        <f t="shared" si="19"/>
        <v>3867.5</v>
      </c>
      <c r="Y18" s="950">
        <f t="shared" si="20"/>
        <v>3867.5</v>
      </c>
      <c r="Z18" s="950">
        <f t="shared" si="21"/>
        <v>3867.5</v>
      </c>
      <c r="AA18" s="950">
        <f t="shared" si="22"/>
        <v>3867.5</v>
      </c>
      <c r="AB18" s="950">
        <f t="shared" si="23"/>
        <v>3867.5</v>
      </c>
      <c r="AC18" s="950">
        <f t="shared" si="24"/>
        <v>3867.5</v>
      </c>
      <c r="AD18" s="950">
        <f t="shared" si="25"/>
        <v>3867.5</v>
      </c>
      <c r="AE18" s="950">
        <f t="shared" si="26"/>
        <v>3867.5</v>
      </c>
      <c r="AF18" s="950">
        <f t="shared" si="27"/>
        <v>3867.5</v>
      </c>
      <c r="AG18" s="950">
        <f t="shared" si="28"/>
        <v>3867.5</v>
      </c>
      <c r="AH18" s="950">
        <f t="shared" si="29"/>
        <v>3867.5</v>
      </c>
    </row>
    <row r="19" spans="1:34" x14ac:dyDescent="0.2">
      <c r="A19" s="943" t="str">
        <f>IF(Personalplanung!B19&lt;&gt;"",Personalplanung!B19,IF(Personalplanung!A19&lt;&gt;"",Personalplanung!A19,""))</f>
        <v>Elternzeit Geselle</v>
      </c>
      <c r="B19" s="943"/>
      <c r="C19" s="943"/>
      <c r="D19" s="944">
        <f>Personalplanung!C19</f>
        <v>0</v>
      </c>
      <c r="E19" s="945">
        <f>Personalplanung!D19</f>
        <v>8</v>
      </c>
      <c r="F19" s="946">
        <f t="shared" si="16"/>
        <v>0</v>
      </c>
      <c r="G19" s="947"/>
      <c r="H19" s="947"/>
      <c r="I19" s="947"/>
      <c r="J19" s="947"/>
      <c r="K19" s="947">
        <v>1</v>
      </c>
      <c r="L19" s="947">
        <v>1</v>
      </c>
      <c r="M19" s="947">
        <v>1</v>
      </c>
      <c r="N19" s="947">
        <v>1</v>
      </c>
      <c r="O19" s="947">
        <v>1</v>
      </c>
      <c r="P19" s="947">
        <v>1</v>
      </c>
      <c r="Q19" s="947">
        <v>1</v>
      </c>
      <c r="R19" s="947">
        <v>1</v>
      </c>
      <c r="U19" s="950">
        <f>Personalplanung!AA19</f>
        <v>30712.5</v>
      </c>
      <c r="V19" s="946">
        <f t="shared" si="17"/>
        <v>0</v>
      </c>
      <c r="W19" s="950">
        <f t="shared" si="18"/>
        <v>0</v>
      </c>
      <c r="X19" s="950">
        <f t="shared" si="19"/>
        <v>0</v>
      </c>
      <c r="Y19" s="950">
        <f t="shared" si="20"/>
        <v>0</v>
      </c>
      <c r="Z19" s="950">
        <f t="shared" si="21"/>
        <v>0</v>
      </c>
      <c r="AA19" s="950">
        <f t="shared" si="22"/>
        <v>3839.0625</v>
      </c>
      <c r="AB19" s="950">
        <f t="shared" si="23"/>
        <v>3839.0625</v>
      </c>
      <c r="AC19" s="950">
        <f t="shared" si="24"/>
        <v>3839.0625</v>
      </c>
      <c r="AD19" s="950">
        <f t="shared" si="25"/>
        <v>3839.0625</v>
      </c>
      <c r="AE19" s="950">
        <f t="shared" si="26"/>
        <v>3839.0625</v>
      </c>
      <c r="AF19" s="950">
        <f t="shared" si="27"/>
        <v>3839.0625</v>
      </c>
      <c r="AG19" s="950">
        <f t="shared" si="28"/>
        <v>3839.0625</v>
      </c>
      <c r="AH19" s="950">
        <f t="shared" si="29"/>
        <v>3839.0625</v>
      </c>
    </row>
    <row r="20" spans="1:34" x14ac:dyDescent="0.2">
      <c r="A20" s="943" t="str">
        <f>IF(Personalplanung!B20&lt;&gt;"",Personalplanung!B20,IF(Personalplanung!A20&lt;&gt;"",Personalplanung!A20,""))</f>
        <v>A. Zubi</v>
      </c>
      <c r="B20" s="943"/>
      <c r="C20" s="943"/>
      <c r="D20" s="944">
        <f>Personalplanung!C20</f>
        <v>0</v>
      </c>
      <c r="E20" s="945">
        <f>Personalplanung!D20</f>
        <v>12</v>
      </c>
      <c r="F20" s="946">
        <f t="shared" si="16"/>
        <v>0</v>
      </c>
      <c r="G20" s="947">
        <v>1</v>
      </c>
      <c r="H20" s="947">
        <v>1</v>
      </c>
      <c r="I20" s="947">
        <v>1</v>
      </c>
      <c r="J20" s="947">
        <v>1</v>
      </c>
      <c r="K20" s="947">
        <v>1</v>
      </c>
      <c r="L20" s="947">
        <v>1</v>
      </c>
      <c r="M20" s="947">
        <v>1</v>
      </c>
      <c r="N20" s="947">
        <v>1</v>
      </c>
      <c r="O20" s="947">
        <v>1</v>
      </c>
      <c r="P20" s="947">
        <v>1</v>
      </c>
      <c r="Q20" s="947">
        <v>1</v>
      </c>
      <c r="R20" s="947">
        <v>1</v>
      </c>
      <c r="U20" s="950">
        <f>Personalplanung!AA20</f>
        <v>15600</v>
      </c>
      <c r="V20" s="946">
        <f t="shared" si="17"/>
        <v>0</v>
      </c>
      <c r="W20" s="950">
        <f t="shared" si="18"/>
        <v>1300</v>
      </c>
      <c r="X20" s="950">
        <f t="shared" si="19"/>
        <v>1300</v>
      </c>
      <c r="Y20" s="950">
        <f t="shared" si="20"/>
        <v>1300</v>
      </c>
      <c r="Z20" s="950">
        <f t="shared" si="21"/>
        <v>1300</v>
      </c>
      <c r="AA20" s="950">
        <f t="shared" si="22"/>
        <v>1300</v>
      </c>
      <c r="AB20" s="950">
        <f t="shared" si="23"/>
        <v>1300</v>
      </c>
      <c r="AC20" s="950">
        <f t="shared" si="24"/>
        <v>1300</v>
      </c>
      <c r="AD20" s="950">
        <f t="shared" si="25"/>
        <v>1300</v>
      </c>
      <c r="AE20" s="950">
        <f t="shared" si="26"/>
        <v>1300</v>
      </c>
      <c r="AF20" s="950">
        <f t="shared" si="27"/>
        <v>1300</v>
      </c>
      <c r="AG20" s="950">
        <f t="shared" si="28"/>
        <v>1300</v>
      </c>
      <c r="AH20" s="950">
        <f t="shared" si="29"/>
        <v>1300</v>
      </c>
    </row>
    <row r="21" spans="1:34" x14ac:dyDescent="0.2">
      <c r="A21" s="943" t="str">
        <f>IF(Personalplanung!B21&lt;&gt;"",Personalplanung!B21,IF(Personalplanung!A21&lt;&gt;"",Personalplanung!A21,""))</f>
        <v>Zur Ausbildung</v>
      </c>
      <c r="B21" s="943"/>
      <c r="C21" s="943"/>
      <c r="D21" s="944">
        <f>Personalplanung!C21</f>
        <v>0</v>
      </c>
      <c r="E21" s="945">
        <f>Personalplanung!D21</f>
        <v>5</v>
      </c>
      <c r="F21" s="946">
        <f t="shared" si="16"/>
        <v>0</v>
      </c>
      <c r="G21" s="947"/>
      <c r="H21" s="947"/>
      <c r="I21" s="947"/>
      <c r="J21" s="947"/>
      <c r="K21" s="947"/>
      <c r="L21" s="947"/>
      <c r="M21" s="947"/>
      <c r="N21" s="947">
        <v>1</v>
      </c>
      <c r="O21" s="947">
        <v>1</v>
      </c>
      <c r="P21" s="947">
        <v>1</v>
      </c>
      <c r="Q21" s="947">
        <v>1</v>
      </c>
      <c r="R21" s="947">
        <v>1</v>
      </c>
      <c r="U21" s="950">
        <f>Personalplanung!AA21</f>
        <v>14372</v>
      </c>
      <c r="V21" s="946">
        <f t="shared" si="17"/>
        <v>0</v>
      </c>
      <c r="W21" s="950">
        <f t="shared" si="18"/>
        <v>0</v>
      </c>
      <c r="X21" s="950">
        <f t="shared" si="19"/>
        <v>0</v>
      </c>
      <c r="Y21" s="950">
        <f t="shared" si="20"/>
        <v>0</v>
      </c>
      <c r="Z21" s="950">
        <f t="shared" si="21"/>
        <v>0</v>
      </c>
      <c r="AA21" s="950">
        <f t="shared" si="22"/>
        <v>0</v>
      </c>
      <c r="AB21" s="950">
        <f t="shared" si="23"/>
        <v>0</v>
      </c>
      <c r="AC21" s="950">
        <f t="shared" si="24"/>
        <v>0</v>
      </c>
      <c r="AD21" s="950">
        <f t="shared" si="25"/>
        <v>2874.4</v>
      </c>
      <c r="AE21" s="950">
        <f t="shared" si="26"/>
        <v>2874.4</v>
      </c>
      <c r="AF21" s="950">
        <f t="shared" si="27"/>
        <v>2874.4</v>
      </c>
      <c r="AG21" s="950">
        <f t="shared" si="28"/>
        <v>2874.4</v>
      </c>
      <c r="AH21" s="950">
        <f t="shared" si="29"/>
        <v>2874.4</v>
      </c>
    </row>
    <row r="22" spans="1:34" x14ac:dyDescent="0.2">
      <c r="A22" s="943" t="str">
        <f>IF(Personalplanung!B22&lt;&gt;"",Personalplanung!B22,IF(Personalplanung!A22&lt;&gt;"",Personalplanung!A22,""))</f>
        <v>Reine Putze</v>
      </c>
      <c r="B22" s="943"/>
      <c r="C22" s="943"/>
      <c r="D22" s="944">
        <f>Personalplanung!C22</f>
        <v>0</v>
      </c>
      <c r="E22" s="945">
        <f>Personalplanung!D22</f>
        <v>12</v>
      </c>
      <c r="F22" s="946">
        <f t="shared" si="16"/>
        <v>0</v>
      </c>
      <c r="G22" s="947">
        <v>1</v>
      </c>
      <c r="H22" s="947">
        <v>1</v>
      </c>
      <c r="I22" s="947">
        <v>1</v>
      </c>
      <c r="J22" s="947">
        <v>1</v>
      </c>
      <c r="K22" s="947">
        <v>1</v>
      </c>
      <c r="L22" s="947">
        <v>1</v>
      </c>
      <c r="M22" s="947">
        <v>1</v>
      </c>
      <c r="N22" s="947">
        <v>1</v>
      </c>
      <c r="O22" s="947">
        <v>1</v>
      </c>
      <c r="P22" s="947">
        <v>1</v>
      </c>
      <c r="Q22" s="947">
        <v>1</v>
      </c>
      <c r="R22" s="947">
        <v>1</v>
      </c>
      <c r="U22" s="950">
        <f>Personalplanung!AA22</f>
        <v>8002.3666666666668</v>
      </c>
      <c r="V22" s="946">
        <f t="shared" si="17"/>
        <v>0</v>
      </c>
      <c r="W22" s="950">
        <f t="shared" si="18"/>
        <v>666.86388888888894</v>
      </c>
      <c r="X22" s="950">
        <f t="shared" si="19"/>
        <v>666.86388888888894</v>
      </c>
      <c r="Y22" s="950">
        <f t="shared" si="20"/>
        <v>666.86388888888894</v>
      </c>
      <c r="Z22" s="950">
        <f t="shared" si="21"/>
        <v>666.86388888888894</v>
      </c>
      <c r="AA22" s="950">
        <f t="shared" si="22"/>
        <v>666.86388888888894</v>
      </c>
      <c r="AB22" s="950">
        <f t="shared" si="23"/>
        <v>666.86388888888894</v>
      </c>
      <c r="AC22" s="950">
        <f t="shared" si="24"/>
        <v>666.86388888888894</v>
      </c>
      <c r="AD22" s="950">
        <f t="shared" si="25"/>
        <v>666.86388888888894</v>
      </c>
      <c r="AE22" s="950">
        <f t="shared" si="26"/>
        <v>666.86388888888894</v>
      </c>
      <c r="AF22" s="950">
        <f t="shared" si="27"/>
        <v>666.86388888888894</v>
      </c>
      <c r="AG22" s="950">
        <f t="shared" si="28"/>
        <v>666.86388888888894</v>
      </c>
      <c r="AH22" s="950">
        <f t="shared" si="29"/>
        <v>666.86388888888894</v>
      </c>
    </row>
    <row r="23" spans="1:34" x14ac:dyDescent="0.2">
      <c r="A23" s="943" t="str">
        <f>IF(Personalplanung!B23&lt;&gt;"",Personalplanung!B23,IF(Personalplanung!A23&lt;&gt;"",Personalplanung!A23,""))</f>
        <v/>
      </c>
      <c r="B23" s="943"/>
      <c r="C23" s="943"/>
      <c r="D23" s="944">
        <f>Personalplanung!C23</f>
        <v>0</v>
      </c>
      <c r="E23" s="945">
        <f>Personalplanung!D23</f>
        <v>12</v>
      </c>
      <c r="F23" s="946">
        <f t="shared" si="16"/>
        <v>0</v>
      </c>
      <c r="G23" s="947">
        <v>1</v>
      </c>
      <c r="H23" s="947">
        <v>1</v>
      </c>
      <c r="I23" s="947">
        <v>1</v>
      </c>
      <c r="J23" s="947">
        <v>1</v>
      </c>
      <c r="K23" s="947">
        <v>1</v>
      </c>
      <c r="L23" s="947">
        <v>1</v>
      </c>
      <c r="M23" s="947">
        <v>1</v>
      </c>
      <c r="N23" s="947">
        <v>1</v>
      </c>
      <c r="O23" s="947">
        <v>1</v>
      </c>
      <c r="P23" s="947">
        <v>1</v>
      </c>
      <c r="Q23" s="947">
        <v>1</v>
      </c>
      <c r="R23" s="947">
        <v>1</v>
      </c>
      <c r="U23" s="950">
        <f>Personalplanung!AA23</f>
        <v>0</v>
      </c>
      <c r="V23" s="946">
        <f t="shared" si="17"/>
        <v>0</v>
      </c>
      <c r="W23" s="950">
        <f t="shared" si="18"/>
        <v>0</v>
      </c>
      <c r="X23" s="950">
        <f t="shared" si="19"/>
        <v>0</v>
      </c>
      <c r="Y23" s="950">
        <f t="shared" si="20"/>
        <v>0</v>
      </c>
      <c r="Z23" s="950">
        <f t="shared" si="21"/>
        <v>0</v>
      </c>
      <c r="AA23" s="950">
        <f t="shared" si="22"/>
        <v>0</v>
      </c>
      <c r="AB23" s="950">
        <f t="shared" si="23"/>
        <v>0</v>
      </c>
      <c r="AC23" s="950">
        <f t="shared" si="24"/>
        <v>0</v>
      </c>
      <c r="AD23" s="950">
        <f t="shared" si="25"/>
        <v>0</v>
      </c>
      <c r="AE23" s="950">
        <f t="shared" si="26"/>
        <v>0</v>
      </c>
      <c r="AF23" s="950">
        <f t="shared" si="27"/>
        <v>0</v>
      </c>
      <c r="AG23" s="950">
        <f t="shared" si="28"/>
        <v>0</v>
      </c>
      <c r="AH23" s="950">
        <f t="shared" si="29"/>
        <v>0</v>
      </c>
    </row>
    <row r="24" spans="1:34" x14ac:dyDescent="0.2">
      <c r="A24" s="943" t="str">
        <f>IF(Personalplanung!B24&lt;&gt;"",Personalplanung!B24,IF(Personalplanung!A24&lt;&gt;"",Personalplanung!A24,""))</f>
        <v/>
      </c>
      <c r="B24" s="943"/>
      <c r="C24" s="943"/>
      <c r="D24" s="944">
        <f>Personalplanung!C24</f>
        <v>0</v>
      </c>
      <c r="E24" s="945">
        <f>Personalplanung!D24</f>
        <v>12</v>
      </c>
      <c r="F24" s="946">
        <f t="shared" si="16"/>
        <v>0</v>
      </c>
      <c r="G24" s="947">
        <v>1</v>
      </c>
      <c r="H24" s="947">
        <v>1</v>
      </c>
      <c r="I24" s="947">
        <v>1</v>
      </c>
      <c r="J24" s="947">
        <v>1</v>
      </c>
      <c r="K24" s="947">
        <v>1</v>
      </c>
      <c r="L24" s="947">
        <v>1</v>
      </c>
      <c r="M24" s="947">
        <v>1</v>
      </c>
      <c r="N24" s="947">
        <v>1</v>
      </c>
      <c r="O24" s="947">
        <v>1</v>
      </c>
      <c r="P24" s="947">
        <v>1</v>
      </c>
      <c r="Q24" s="947">
        <v>1</v>
      </c>
      <c r="R24" s="947">
        <v>1</v>
      </c>
      <c r="U24" s="950">
        <f>Personalplanung!AA24</f>
        <v>0</v>
      </c>
      <c r="V24" s="946">
        <f t="shared" si="17"/>
        <v>0</v>
      </c>
      <c r="W24" s="950">
        <f t="shared" si="18"/>
        <v>0</v>
      </c>
      <c r="X24" s="950">
        <f t="shared" si="19"/>
        <v>0</v>
      </c>
      <c r="Y24" s="950">
        <f t="shared" si="20"/>
        <v>0</v>
      </c>
      <c r="Z24" s="950">
        <f t="shared" si="21"/>
        <v>0</v>
      </c>
      <c r="AA24" s="950">
        <f t="shared" si="22"/>
        <v>0</v>
      </c>
      <c r="AB24" s="950">
        <f t="shared" si="23"/>
        <v>0</v>
      </c>
      <c r="AC24" s="950">
        <f t="shared" si="24"/>
        <v>0</v>
      </c>
      <c r="AD24" s="950">
        <f t="shared" si="25"/>
        <v>0</v>
      </c>
      <c r="AE24" s="950">
        <f t="shared" si="26"/>
        <v>0</v>
      </c>
      <c r="AF24" s="950">
        <f t="shared" si="27"/>
        <v>0</v>
      </c>
      <c r="AG24" s="950">
        <f t="shared" si="28"/>
        <v>0</v>
      </c>
      <c r="AH24" s="950">
        <f t="shared" si="29"/>
        <v>0</v>
      </c>
    </row>
    <row r="25" spans="1:34" x14ac:dyDescent="0.2">
      <c r="A25" s="943" t="str">
        <f>IF(Personalplanung!B25&lt;&gt;"",Personalplanung!B25,IF(Personalplanung!A25&lt;&gt;"",Personalplanung!A25,""))</f>
        <v/>
      </c>
      <c r="B25" s="943"/>
      <c r="C25" s="943"/>
      <c r="D25" s="944">
        <f>Personalplanung!C25</f>
        <v>0</v>
      </c>
      <c r="E25" s="945">
        <f>Personalplanung!D25</f>
        <v>12</v>
      </c>
      <c r="F25" s="946">
        <f t="shared" si="16"/>
        <v>0</v>
      </c>
      <c r="G25" s="947">
        <v>1</v>
      </c>
      <c r="H25" s="947">
        <v>1</v>
      </c>
      <c r="I25" s="947">
        <v>1</v>
      </c>
      <c r="J25" s="947">
        <v>1</v>
      </c>
      <c r="K25" s="947">
        <v>1</v>
      </c>
      <c r="L25" s="947">
        <v>1</v>
      </c>
      <c r="M25" s="947">
        <v>1</v>
      </c>
      <c r="N25" s="947">
        <v>1</v>
      </c>
      <c r="O25" s="947">
        <v>1</v>
      </c>
      <c r="P25" s="947">
        <v>1</v>
      </c>
      <c r="Q25" s="947">
        <v>1</v>
      </c>
      <c r="R25" s="947">
        <v>1</v>
      </c>
      <c r="U25" s="950">
        <f>Personalplanung!AA25</f>
        <v>0</v>
      </c>
      <c r="V25" s="946">
        <f t="shared" si="17"/>
        <v>0</v>
      </c>
      <c r="W25" s="950">
        <f t="shared" si="18"/>
        <v>0</v>
      </c>
      <c r="X25" s="950">
        <f t="shared" si="19"/>
        <v>0</v>
      </c>
      <c r="Y25" s="950">
        <f t="shared" si="20"/>
        <v>0</v>
      </c>
      <c r="Z25" s="950">
        <f t="shared" si="21"/>
        <v>0</v>
      </c>
      <c r="AA25" s="950">
        <f t="shared" si="22"/>
        <v>0</v>
      </c>
      <c r="AB25" s="950">
        <f t="shared" si="23"/>
        <v>0</v>
      </c>
      <c r="AC25" s="950">
        <f t="shared" si="24"/>
        <v>0</v>
      </c>
      <c r="AD25" s="950">
        <f t="shared" si="25"/>
        <v>0</v>
      </c>
      <c r="AE25" s="950">
        <f t="shared" si="26"/>
        <v>0</v>
      </c>
      <c r="AF25" s="950">
        <f t="shared" si="27"/>
        <v>0</v>
      </c>
      <c r="AG25" s="950">
        <f t="shared" si="28"/>
        <v>0</v>
      </c>
      <c r="AH25" s="950">
        <f t="shared" si="29"/>
        <v>0</v>
      </c>
    </row>
    <row r="26" spans="1:34" x14ac:dyDescent="0.2">
      <c r="A26" s="943" t="str">
        <f>IF(Personalplanung!B26&lt;&gt;"",Personalplanung!B26,IF(Personalplanung!A26&lt;&gt;"",Personalplanung!A26,""))</f>
        <v/>
      </c>
      <c r="B26" s="943"/>
      <c r="C26" s="943"/>
      <c r="D26" s="944">
        <f>Personalplanung!C26</f>
        <v>0</v>
      </c>
      <c r="E26" s="945">
        <f>Personalplanung!D26</f>
        <v>12</v>
      </c>
      <c r="F26" s="946">
        <f t="shared" si="16"/>
        <v>0</v>
      </c>
      <c r="G26" s="947">
        <v>1</v>
      </c>
      <c r="H26" s="947">
        <v>1</v>
      </c>
      <c r="I26" s="947">
        <v>1</v>
      </c>
      <c r="J26" s="947">
        <v>1</v>
      </c>
      <c r="K26" s="947">
        <v>1</v>
      </c>
      <c r="L26" s="947">
        <v>1</v>
      </c>
      <c r="M26" s="947">
        <v>1</v>
      </c>
      <c r="N26" s="947">
        <v>1</v>
      </c>
      <c r="O26" s="947">
        <v>1</v>
      </c>
      <c r="P26" s="947">
        <v>1</v>
      </c>
      <c r="Q26" s="947">
        <v>1</v>
      </c>
      <c r="R26" s="947">
        <v>1</v>
      </c>
      <c r="U26" s="950">
        <f>Personalplanung!AA26</f>
        <v>0</v>
      </c>
      <c r="V26" s="946">
        <f t="shared" si="17"/>
        <v>0</v>
      </c>
      <c r="W26" s="950">
        <f t="shared" si="18"/>
        <v>0</v>
      </c>
      <c r="X26" s="950">
        <f t="shared" si="19"/>
        <v>0</v>
      </c>
      <c r="Y26" s="950">
        <f t="shared" si="20"/>
        <v>0</v>
      </c>
      <c r="Z26" s="950">
        <f t="shared" si="21"/>
        <v>0</v>
      </c>
      <c r="AA26" s="950">
        <f t="shared" si="22"/>
        <v>0</v>
      </c>
      <c r="AB26" s="950">
        <f t="shared" si="23"/>
        <v>0</v>
      </c>
      <c r="AC26" s="950">
        <f t="shared" si="24"/>
        <v>0</v>
      </c>
      <c r="AD26" s="950">
        <f t="shared" si="25"/>
        <v>0</v>
      </c>
      <c r="AE26" s="950">
        <f t="shared" si="26"/>
        <v>0</v>
      </c>
      <c r="AF26" s="950">
        <f t="shared" si="27"/>
        <v>0</v>
      </c>
      <c r="AG26" s="950">
        <f t="shared" si="28"/>
        <v>0</v>
      </c>
      <c r="AH26" s="950">
        <f t="shared" si="29"/>
        <v>0</v>
      </c>
    </row>
    <row r="27" spans="1:34" x14ac:dyDescent="0.2">
      <c r="A27" s="943" t="str">
        <f>IF(Personalplanung!B27&lt;&gt;"",Personalplanung!B27,IF(Personalplanung!A27&lt;&gt;"",Personalplanung!A27,""))</f>
        <v/>
      </c>
      <c r="B27" s="943"/>
      <c r="C27" s="943"/>
      <c r="D27" s="944">
        <f>Personalplanung!C27</f>
        <v>0</v>
      </c>
      <c r="E27" s="945">
        <f>Personalplanung!D27</f>
        <v>12</v>
      </c>
      <c r="F27" s="946">
        <f t="shared" si="16"/>
        <v>0</v>
      </c>
      <c r="G27" s="947">
        <v>1</v>
      </c>
      <c r="H27" s="947">
        <v>1</v>
      </c>
      <c r="I27" s="947">
        <v>1</v>
      </c>
      <c r="J27" s="947">
        <v>1</v>
      </c>
      <c r="K27" s="947">
        <v>1</v>
      </c>
      <c r="L27" s="947">
        <v>1</v>
      </c>
      <c r="M27" s="947">
        <v>1</v>
      </c>
      <c r="N27" s="947">
        <v>1</v>
      </c>
      <c r="O27" s="947">
        <v>1</v>
      </c>
      <c r="P27" s="947">
        <v>1</v>
      </c>
      <c r="Q27" s="947">
        <v>1</v>
      </c>
      <c r="R27" s="947">
        <v>1</v>
      </c>
      <c r="U27" s="950">
        <f>Personalplanung!AA27</f>
        <v>0</v>
      </c>
      <c r="V27" s="946">
        <f t="shared" si="17"/>
        <v>0</v>
      </c>
      <c r="W27" s="950">
        <f t="shared" si="18"/>
        <v>0</v>
      </c>
      <c r="X27" s="950">
        <f t="shared" si="19"/>
        <v>0</v>
      </c>
      <c r="Y27" s="950">
        <f t="shared" si="20"/>
        <v>0</v>
      </c>
      <c r="Z27" s="950">
        <f t="shared" si="21"/>
        <v>0</v>
      </c>
      <c r="AA27" s="950">
        <f t="shared" si="22"/>
        <v>0</v>
      </c>
      <c r="AB27" s="950">
        <f t="shared" si="23"/>
        <v>0</v>
      </c>
      <c r="AC27" s="950">
        <f t="shared" si="24"/>
        <v>0</v>
      </c>
      <c r="AD27" s="950">
        <f t="shared" si="25"/>
        <v>0</v>
      </c>
      <c r="AE27" s="950">
        <f t="shared" si="26"/>
        <v>0</v>
      </c>
      <c r="AF27" s="950">
        <f t="shared" si="27"/>
        <v>0</v>
      </c>
      <c r="AG27" s="950">
        <f t="shared" si="28"/>
        <v>0</v>
      </c>
      <c r="AH27" s="950">
        <f t="shared" si="29"/>
        <v>0</v>
      </c>
    </row>
    <row r="28" spans="1:34" x14ac:dyDescent="0.2">
      <c r="A28" s="943" t="str">
        <f>IF(Personalplanung!B28&lt;&gt;"",Personalplanung!B28,IF(Personalplanung!A28&lt;&gt;"",Personalplanung!A28,""))</f>
        <v/>
      </c>
      <c r="B28" s="943"/>
      <c r="C28" s="943"/>
      <c r="D28" s="944">
        <f>Personalplanung!C28</f>
        <v>0</v>
      </c>
      <c r="E28" s="945">
        <f>Personalplanung!D28</f>
        <v>12</v>
      </c>
      <c r="F28" s="946">
        <f t="shared" si="16"/>
        <v>0</v>
      </c>
      <c r="G28" s="947">
        <v>1</v>
      </c>
      <c r="H28" s="947">
        <v>1</v>
      </c>
      <c r="I28" s="947">
        <v>1</v>
      </c>
      <c r="J28" s="947">
        <v>1</v>
      </c>
      <c r="K28" s="947">
        <v>1</v>
      </c>
      <c r="L28" s="947">
        <v>1</v>
      </c>
      <c r="M28" s="947">
        <v>1</v>
      </c>
      <c r="N28" s="947">
        <v>1</v>
      </c>
      <c r="O28" s="947">
        <v>1</v>
      </c>
      <c r="P28" s="947">
        <v>1</v>
      </c>
      <c r="Q28" s="947">
        <v>1</v>
      </c>
      <c r="R28" s="947">
        <v>1</v>
      </c>
      <c r="U28" s="950">
        <f>Personalplanung!AA28</f>
        <v>0</v>
      </c>
      <c r="V28" s="946">
        <f t="shared" si="17"/>
        <v>0</v>
      </c>
      <c r="W28" s="950">
        <f t="shared" si="18"/>
        <v>0</v>
      </c>
      <c r="X28" s="950">
        <f t="shared" si="19"/>
        <v>0</v>
      </c>
      <c r="Y28" s="950">
        <f t="shared" si="20"/>
        <v>0</v>
      </c>
      <c r="Z28" s="950">
        <f t="shared" si="21"/>
        <v>0</v>
      </c>
      <c r="AA28" s="950">
        <f t="shared" si="22"/>
        <v>0</v>
      </c>
      <c r="AB28" s="950">
        <f t="shared" si="23"/>
        <v>0</v>
      </c>
      <c r="AC28" s="950">
        <f t="shared" si="24"/>
        <v>0</v>
      </c>
      <c r="AD28" s="950">
        <f t="shared" si="25"/>
        <v>0</v>
      </c>
      <c r="AE28" s="950">
        <f t="shared" si="26"/>
        <v>0</v>
      </c>
      <c r="AF28" s="950">
        <f t="shared" si="27"/>
        <v>0</v>
      </c>
      <c r="AG28" s="950">
        <f t="shared" si="28"/>
        <v>0</v>
      </c>
      <c r="AH28" s="950">
        <f t="shared" si="29"/>
        <v>0</v>
      </c>
    </row>
    <row r="29" spans="1:34" x14ac:dyDescent="0.2">
      <c r="A29" s="943" t="str">
        <f>IF(Personalplanung!B29&lt;&gt;"",Personalplanung!B29,IF(Personalplanung!A29&lt;&gt;"",Personalplanung!A29,""))</f>
        <v/>
      </c>
      <c r="B29" s="943"/>
      <c r="C29" s="943"/>
      <c r="D29" s="944">
        <f>Personalplanung!C29</f>
        <v>0</v>
      </c>
      <c r="E29" s="945">
        <f>Personalplanung!D29</f>
        <v>12</v>
      </c>
      <c r="F29" s="946">
        <f t="shared" si="16"/>
        <v>0</v>
      </c>
      <c r="G29" s="947">
        <v>1</v>
      </c>
      <c r="H29" s="947">
        <v>1</v>
      </c>
      <c r="I29" s="947">
        <v>1</v>
      </c>
      <c r="J29" s="947">
        <v>1</v>
      </c>
      <c r="K29" s="947">
        <v>1</v>
      </c>
      <c r="L29" s="947">
        <v>1</v>
      </c>
      <c r="M29" s="947">
        <v>1</v>
      </c>
      <c r="N29" s="947">
        <v>1</v>
      </c>
      <c r="O29" s="947">
        <v>1</v>
      </c>
      <c r="P29" s="947">
        <v>1</v>
      </c>
      <c r="Q29" s="947">
        <v>1</v>
      </c>
      <c r="R29" s="947">
        <v>1</v>
      </c>
      <c r="U29" s="950">
        <f>Personalplanung!AA29</f>
        <v>0</v>
      </c>
      <c r="V29" s="946">
        <f t="shared" si="17"/>
        <v>0</v>
      </c>
      <c r="W29" s="950">
        <f t="shared" si="18"/>
        <v>0</v>
      </c>
      <c r="X29" s="950">
        <f t="shared" si="19"/>
        <v>0</v>
      </c>
      <c r="Y29" s="950">
        <f t="shared" si="20"/>
        <v>0</v>
      </c>
      <c r="Z29" s="950">
        <f t="shared" si="21"/>
        <v>0</v>
      </c>
      <c r="AA29" s="950">
        <f t="shared" si="22"/>
        <v>0</v>
      </c>
      <c r="AB29" s="950">
        <f t="shared" si="23"/>
        <v>0</v>
      </c>
      <c r="AC29" s="950">
        <f t="shared" si="24"/>
        <v>0</v>
      </c>
      <c r="AD29" s="950">
        <f t="shared" si="25"/>
        <v>0</v>
      </c>
      <c r="AE29" s="950">
        <f t="shared" si="26"/>
        <v>0</v>
      </c>
      <c r="AF29" s="950">
        <f t="shared" si="27"/>
        <v>0</v>
      </c>
      <c r="AG29" s="950">
        <f t="shared" si="28"/>
        <v>0</v>
      </c>
      <c r="AH29" s="950">
        <f t="shared" si="29"/>
        <v>0</v>
      </c>
    </row>
    <row r="30" spans="1:34" x14ac:dyDescent="0.2">
      <c r="A30" s="943" t="str">
        <f>IF(Personalplanung!B30&lt;&gt;"",Personalplanung!B30,IF(Personalplanung!A30&lt;&gt;"",Personalplanung!A30,""))</f>
        <v/>
      </c>
      <c r="B30" s="943"/>
      <c r="C30" s="943"/>
      <c r="D30" s="944">
        <f>Personalplanung!C30</f>
        <v>0</v>
      </c>
      <c r="E30" s="945">
        <f>Personalplanung!D30</f>
        <v>12</v>
      </c>
      <c r="F30" s="946">
        <f t="shared" si="16"/>
        <v>0</v>
      </c>
      <c r="G30" s="947">
        <v>1</v>
      </c>
      <c r="H30" s="947">
        <v>1</v>
      </c>
      <c r="I30" s="947">
        <v>1</v>
      </c>
      <c r="J30" s="947">
        <v>1</v>
      </c>
      <c r="K30" s="947">
        <v>1</v>
      </c>
      <c r="L30" s="947">
        <v>1</v>
      </c>
      <c r="M30" s="947">
        <v>1</v>
      </c>
      <c r="N30" s="947">
        <v>1</v>
      </c>
      <c r="O30" s="947">
        <v>1</v>
      </c>
      <c r="P30" s="947">
        <v>1</v>
      </c>
      <c r="Q30" s="947">
        <v>1</v>
      </c>
      <c r="R30" s="947">
        <v>1</v>
      </c>
      <c r="U30" s="950">
        <f>Personalplanung!AA30</f>
        <v>0</v>
      </c>
      <c r="V30" s="946">
        <f t="shared" si="17"/>
        <v>0</v>
      </c>
      <c r="W30" s="950">
        <f t="shared" si="18"/>
        <v>0</v>
      </c>
      <c r="X30" s="950">
        <f t="shared" si="19"/>
        <v>0</v>
      </c>
      <c r="Y30" s="950">
        <f t="shared" si="20"/>
        <v>0</v>
      </c>
      <c r="Z30" s="950">
        <f t="shared" si="21"/>
        <v>0</v>
      </c>
      <c r="AA30" s="950">
        <f t="shared" si="22"/>
        <v>0</v>
      </c>
      <c r="AB30" s="950">
        <f t="shared" si="23"/>
        <v>0</v>
      </c>
      <c r="AC30" s="950">
        <f t="shared" si="24"/>
        <v>0</v>
      </c>
      <c r="AD30" s="950">
        <f t="shared" si="25"/>
        <v>0</v>
      </c>
      <c r="AE30" s="950">
        <f t="shared" si="26"/>
        <v>0</v>
      </c>
      <c r="AF30" s="950">
        <f t="shared" si="27"/>
        <v>0</v>
      </c>
      <c r="AG30" s="950">
        <f t="shared" si="28"/>
        <v>0</v>
      </c>
      <c r="AH30" s="950">
        <f t="shared" si="29"/>
        <v>0</v>
      </c>
    </row>
    <row r="31" spans="1:34" x14ac:dyDescent="0.2">
      <c r="A31" s="943" t="str">
        <f>IF(Personalplanung!B31&lt;&gt;"",Personalplanung!B31,IF(Personalplanung!A31&lt;&gt;"",Personalplanung!A31,""))</f>
        <v/>
      </c>
      <c r="B31" s="943"/>
      <c r="C31" s="943"/>
      <c r="D31" s="944">
        <f>Personalplanung!C31</f>
        <v>0</v>
      </c>
      <c r="E31" s="945">
        <f>Personalplanung!D31</f>
        <v>12</v>
      </c>
      <c r="F31" s="946">
        <f t="shared" si="16"/>
        <v>0</v>
      </c>
      <c r="G31" s="947">
        <v>1</v>
      </c>
      <c r="H31" s="947">
        <v>1</v>
      </c>
      <c r="I31" s="947">
        <v>1</v>
      </c>
      <c r="J31" s="947">
        <v>1</v>
      </c>
      <c r="K31" s="947">
        <v>1</v>
      </c>
      <c r="L31" s="947">
        <v>1</v>
      </c>
      <c r="M31" s="947">
        <v>1</v>
      </c>
      <c r="N31" s="947">
        <v>1</v>
      </c>
      <c r="O31" s="947">
        <v>1</v>
      </c>
      <c r="P31" s="947">
        <v>1</v>
      </c>
      <c r="Q31" s="947">
        <v>1</v>
      </c>
      <c r="R31" s="947">
        <v>1</v>
      </c>
      <c r="U31" s="950">
        <f>Personalplanung!AA31</f>
        <v>0</v>
      </c>
      <c r="V31" s="946">
        <f t="shared" si="17"/>
        <v>0</v>
      </c>
      <c r="W31" s="950">
        <f t="shared" si="18"/>
        <v>0</v>
      </c>
      <c r="X31" s="950">
        <f t="shared" si="19"/>
        <v>0</v>
      </c>
      <c r="Y31" s="950">
        <f t="shared" si="20"/>
        <v>0</v>
      </c>
      <c r="Z31" s="950">
        <f t="shared" si="21"/>
        <v>0</v>
      </c>
      <c r="AA31" s="950">
        <f t="shared" si="22"/>
        <v>0</v>
      </c>
      <c r="AB31" s="950">
        <f t="shared" si="23"/>
        <v>0</v>
      </c>
      <c r="AC31" s="950">
        <f t="shared" si="24"/>
        <v>0</v>
      </c>
      <c r="AD31" s="950">
        <f t="shared" si="25"/>
        <v>0</v>
      </c>
      <c r="AE31" s="950">
        <f t="shared" si="26"/>
        <v>0</v>
      </c>
      <c r="AF31" s="950">
        <f t="shared" si="27"/>
        <v>0</v>
      </c>
      <c r="AG31" s="950">
        <f t="shared" si="28"/>
        <v>0</v>
      </c>
      <c r="AH31" s="950">
        <f t="shared" si="29"/>
        <v>0</v>
      </c>
    </row>
    <row r="32" spans="1:34" x14ac:dyDescent="0.2">
      <c r="A32" s="943" t="str">
        <f>IF(Personalplanung!B32&lt;&gt;"",Personalplanung!B32,IF(Personalplanung!A32&lt;&gt;"",Personalplanung!A32,""))</f>
        <v/>
      </c>
      <c r="B32" s="943"/>
      <c r="C32" s="943"/>
      <c r="D32" s="944">
        <f>Personalplanung!C32</f>
        <v>0</v>
      </c>
      <c r="E32" s="945">
        <f>Personalplanung!D32</f>
        <v>12</v>
      </c>
      <c r="F32" s="946">
        <f t="shared" si="16"/>
        <v>0</v>
      </c>
      <c r="G32" s="947">
        <v>1</v>
      </c>
      <c r="H32" s="947">
        <v>1</v>
      </c>
      <c r="I32" s="947">
        <v>1</v>
      </c>
      <c r="J32" s="947">
        <v>1</v>
      </c>
      <c r="K32" s="947">
        <v>1</v>
      </c>
      <c r="L32" s="947">
        <v>1</v>
      </c>
      <c r="M32" s="947">
        <v>1</v>
      </c>
      <c r="N32" s="947">
        <v>1</v>
      </c>
      <c r="O32" s="947">
        <v>1</v>
      </c>
      <c r="P32" s="947">
        <v>1</v>
      </c>
      <c r="Q32" s="947">
        <v>1</v>
      </c>
      <c r="R32" s="947">
        <v>1</v>
      </c>
      <c r="U32" s="950">
        <f>Personalplanung!AA32</f>
        <v>0</v>
      </c>
      <c r="V32" s="946">
        <f t="shared" si="17"/>
        <v>0</v>
      </c>
      <c r="W32" s="950">
        <f t="shared" si="18"/>
        <v>0</v>
      </c>
      <c r="X32" s="950">
        <f t="shared" si="19"/>
        <v>0</v>
      </c>
      <c r="Y32" s="950">
        <f t="shared" si="20"/>
        <v>0</v>
      </c>
      <c r="Z32" s="950">
        <f t="shared" si="21"/>
        <v>0</v>
      </c>
      <c r="AA32" s="950">
        <f t="shared" si="22"/>
        <v>0</v>
      </c>
      <c r="AB32" s="950">
        <f t="shared" si="23"/>
        <v>0</v>
      </c>
      <c r="AC32" s="950">
        <f t="shared" si="24"/>
        <v>0</v>
      </c>
      <c r="AD32" s="950">
        <f t="shared" si="25"/>
        <v>0</v>
      </c>
      <c r="AE32" s="950">
        <f t="shared" si="26"/>
        <v>0</v>
      </c>
      <c r="AF32" s="950">
        <f t="shared" si="27"/>
        <v>0</v>
      </c>
      <c r="AG32" s="950">
        <f t="shared" si="28"/>
        <v>0</v>
      </c>
      <c r="AH32" s="950">
        <f t="shared" si="29"/>
        <v>0</v>
      </c>
    </row>
    <row r="33" spans="1:34" x14ac:dyDescent="0.2">
      <c r="A33" s="943" t="str">
        <f>IF(Personalplanung!B33&lt;&gt;"",Personalplanung!B33,IF(Personalplanung!A33&lt;&gt;"",Personalplanung!A33,""))</f>
        <v/>
      </c>
      <c r="B33" s="943"/>
      <c r="C33" s="943"/>
      <c r="D33" s="944">
        <f>Personalplanung!C33</f>
        <v>0</v>
      </c>
      <c r="E33" s="945">
        <f>Personalplanung!D33</f>
        <v>12</v>
      </c>
      <c r="F33" s="946">
        <f t="shared" si="16"/>
        <v>0</v>
      </c>
      <c r="G33" s="947">
        <v>1</v>
      </c>
      <c r="H33" s="947">
        <v>1</v>
      </c>
      <c r="I33" s="947">
        <v>1</v>
      </c>
      <c r="J33" s="947">
        <v>1</v>
      </c>
      <c r="K33" s="947">
        <v>1</v>
      </c>
      <c r="L33" s="947">
        <v>1</v>
      </c>
      <c r="M33" s="947">
        <v>1</v>
      </c>
      <c r="N33" s="947">
        <v>1</v>
      </c>
      <c r="O33" s="947">
        <v>1</v>
      </c>
      <c r="P33" s="947">
        <v>1</v>
      </c>
      <c r="Q33" s="947">
        <v>1</v>
      </c>
      <c r="R33" s="947">
        <v>1</v>
      </c>
      <c r="U33" s="950">
        <f>Personalplanung!AA33</f>
        <v>0</v>
      </c>
      <c r="V33" s="946">
        <f t="shared" si="17"/>
        <v>0</v>
      </c>
      <c r="W33" s="950">
        <f t="shared" si="18"/>
        <v>0</v>
      </c>
      <c r="X33" s="950">
        <f t="shared" si="19"/>
        <v>0</v>
      </c>
      <c r="Y33" s="950">
        <f t="shared" si="20"/>
        <v>0</v>
      </c>
      <c r="Z33" s="950">
        <f t="shared" si="21"/>
        <v>0</v>
      </c>
      <c r="AA33" s="950">
        <f t="shared" si="22"/>
        <v>0</v>
      </c>
      <c r="AB33" s="950">
        <f t="shared" si="23"/>
        <v>0</v>
      </c>
      <c r="AC33" s="950">
        <f t="shared" si="24"/>
        <v>0</v>
      </c>
      <c r="AD33" s="950">
        <f t="shared" si="25"/>
        <v>0</v>
      </c>
      <c r="AE33" s="950">
        <f t="shared" si="26"/>
        <v>0</v>
      </c>
      <c r="AF33" s="950">
        <f t="shared" si="27"/>
        <v>0</v>
      </c>
      <c r="AG33" s="950">
        <f t="shared" si="28"/>
        <v>0</v>
      </c>
      <c r="AH33" s="950">
        <f t="shared" si="29"/>
        <v>0</v>
      </c>
    </row>
    <row r="34" spans="1:34" x14ac:dyDescent="0.2">
      <c r="A34" s="943" t="str">
        <f>IF(Personalplanung!B34&lt;&gt;"",Personalplanung!B34,IF(Personalplanung!A34&lt;&gt;"",Personalplanung!A34,""))</f>
        <v/>
      </c>
      <c r="B34" s="943"/>
      <c r="C34" s="943"/>
      <c r="D34" s="944">
        <f>Personalplanung!C34</f>
        <v>0</v>
      </c>
      <c r="E34" s="945">
        <f>Personalplanung!D34</f>
        <v>12</v>
      </c>
      <c r="F34" s="946">
        <f t="shared" si="16"/>
        <v>0</v>
      </c>
      <c r="G34" s="947">
        <v>1</v>
      </c>
      <c r="H34" s="947">
        <v>1</v>
      </c>
      <c r="I34" s="947">
        <v>1</v>
      </c>
      <c r="J34" s="947">
        <v>1</v>
      </c>
      <c r="K34" s="947">
        <v>1</v>
      </c>
      <c r="L34" s="947">
        <v>1</v>
      </c>
      <c r="M34" s="947">
        <v>1</v>
      </c>
      <c r="N34" s="947">
        <v>1</v>
      </c>
      <c r="O34" s="947">
        <v>1</v>
      </c>
      <c r="P34" s="947">
        <v>1</v>
      </c>
      <c r="Q34" s="947">
        <v>1</v>
      </c>
      <c r="R34" s="947">
        <v>1</v>
      </c>
      <c r="U34" s="950">
        <f>Personalplanung!AA34</f>
        <v>0</v>
      </c>
      <c r="V34" s="946">
        <f t="shared" si="17"/>
        <v>0</v>
      </c>
      <c r="W34" s="950">
        <f t="shared" si="18"/>
        <v>0</v>
      </c>
      <c r="X34" s="950">
        <f t="shared" si="19"/>
        <v>0</v>
      </c>
      <c r="Y34" s="950">
        <f t="shared" si="20"/>
        <v>0</v>
      </c>
      <c r="Z34" s="950">
        <f t="shared" si="21"/>
        <v>0</v>
      </c>
      <c r="AA34" s="950">
        <f t="shared" si="22"/>
        <v>0</v>
      </c>
      <c r="AB34" s="950">
        <f t="shared" si="23"/>
        <v>0</v>
      </c>
      <c r="AC34" s="950">
        <f t="shared" si="24"/>
        <v>0</v>
      </c>
      <c r="AD34" s="950">
        <f t="shared" si="25"/>
        <v>0</v>
      </c>
      <c r="AE34" s="950">
        <f t="shared" si="26"/>
        <v>0</v>
      </c>
      <c r="AF34" s="950">
        <f t="shared" si="27"/>
        <v>0</v>
      </c>
      <c r="AG34" s="950">
        <f t="shared" si="28"/>
        <v>0</v>
      </c>
      <c r="AH34" s="950">
        <f t="shared" si="29"/>
        <v>0</v>
      </c>
    </row>
    <row r="35" spans="1:34" x14ac:dyDescent="0.2">
      <c r="A35" s="943" t="str">
        <f>IF(Personalplanung!B35&lt;&gt;"",Personalplanung!B35,IF(Personalplanung!A35&lt;&gt;"",Personalplanung!A35,""))</f>
        <v/>
      </c>
      <c r="B35" s="943"/>
      <c r="C35" s="943"/>
      <c r="D35" s="944">
        <f>Personalplanung!C35</f>
        <v>0</v>
      </c>
      <c r="E35" s="945">
        <f>Personalplanung!D35</f>
        <v>12</v>
      </c>
      <c r="F35" s="946">
        <f t="shared" si="16"/>
        <v>0</v>
      </c>
      <c r="G35" s="947">
        <v>1</v>
      </c>
      <c r="H35" s="947">
        <v>1</v>
      </c>
      <c r="I35" s="947">
        <v>1</v>
      </c>
      <c r="J35" s="947">
        <v>1</v>
      </c>
      <c r="K35" s="947">
        <v>1</v>
      </c>
      <c r="L35" s="947">
        <v>1</v>
      </c>
      <c r="M35" s="947">
        <v>1</v>
      </c>
      <c r="N35" s="947">
        <v>1</v>
      </c>
      <c r="O35" s="947">
        <v>1</v>
      </c>
      <c r="P35" s="947">
        <v>1</v>
      </c>
      <c r="Q35" s="947">
        <v>1</v>
      </c>
      <c r="R35" s="947">
        <v>1</v>
      </c>
      <c r="U35" s="950">
        <f>Personalplanung!AA35</f>
        <v>0</v>
      </c>
      <c r="V35" s="946">
        <f t="shared" si="17"/>
        <v>0</v>
      </c>
      <c r="W35" s="950">
        <f t="shared" si="18"/>
        <v>0</v>
      </c>
      <c r="X35" s="950">
        <f t="shared" si="19"/>
        <v>0</v>
      </c>
      <c r="Y35" s="950">
        <f t="shared" si="20"/>
        <v>0</v>
      </c>
      <c r="Z35" s="950">
        <f t="shared" si="21"/>
        <v>0</v>
      </c>
      <c r="AA35" s="950">
        <f t="shared" si="22"/>
        <v>0</v>
      </c>
      <c r="AB35" s="950">
        <f t="shared" si="23"/>
        <v>0</v>
      </c>
      <c r="AC35" s="950">
        <f t="shared" si="24"/>
        <v>0</v>
      </c>
      <c r="AD35" s="950">
        <f t="shared" si="25"/>
        <v>0</v>
      </c>
      <c r="AE35" s="950">
        <f t="shared" si="26"/>
        <v>0</v>
      </c>
      <c r="AF35" s="950">
        <f t="shared" si="27"/>
        <v>0</v>
      </c>
      <c r="AG35" s="950">
        <f t="shared" si="28"/>
        <v>0</v>
      </c>
      <c r="AH35" s="950">
        <f t="shared" si="29"/>
        <v>0</v>
      </c>
    </row>
    <row r="36" spans="1:34" x14ac:dyDescent="0.2">
      <c r="A36" s="943" t="str">
        <f>IF(Personalplanung!B36&lt;&gt;"",Personalplanung!B36,IF(Personalplanung!A36&lt;&gt;"",Personalplanung!A36,""))</f>
        <v/>
      </c>
      <c r="B36" s="943"/>
      <c r="C36" s="943"/>
      <c r="D36" s="944">
        <f>Personalplanung!C36</f>
        <v>0</v>
      </c>
      <c r="E36" s="945">
        <f>Personalplanung!D36</f>
        <v>12</v>
      </c>
      <c r="F36" s="946">
        <f t="shared" si="16"/>
        <v>0</v>
      </c>
      <c r="G36" s="947">
        <v>1</v>
      </c>
      <c r="H36" s="947">
        <v>1</v>
      </c>
      <c r="I36" s="947">
        <v>1</v>
      </c>
      <c r="J36" s="947">
        <v>1</v>
      </c>
      <c r="K36" s="947">
        <v>1</v>
      </c>
      <c r="L36" s="947">
        <v>1</v>
      </c>
      <c r="M36" s="947">
        <v>1</v>
      </c>
      <c r="N36" s="947">
        <v>1</v>
      </c>
      <c r="O36" s="947">
        <v>1</v>
      </c>
      <c r="P36" s="947">
        <v>1</v>
      </c>
      <c r="Q36" s="947">
        <v>1</v>
      </c>
      <c r="R36" s="947">
        <v>1</v>
      </c>
      <c r="U36" s="950">
        <f>Personalplanung!AA36</f>
        <v>0</v>
      </c>
      <c r="V36" s="946">
        <f t="shared" si="17"/>
        <v>0</v>
      </c>
      <c r="W36" s="950">
        <f t="shared" si="18"/>
        <v>0</v>
      </c>
      <c r="X36" s="950">
        <f t="shared" si="19"/>
        <v>0</v>
      </c>
      <c r="Y36" s="950">
        <f t="shared" si="20"/>
        <v>0</v>
      </c>
      <c r="Z36" s="950">
        <f t="shared" si="21"/>
        <v>0</v>
      </c>
      <c r="AA36" s="950">
        <f t="shared" si="22"/>
        <v>0</v>
      </c>
      <c r="AB36" s="950">
        <f t="shared" si="23"/>
        <v>0</v>
      </c>
      <c r="AC36" s="950">
        <f t="shared" si="24"/>
        <v>0</v>
      </c>
      <c r="AD36" s="950">
        <f t="shared" si="25"/>
        <v>0</v>
      </c>
      <c r="AE36" s="950">
        <f t="shared" si="26"/>
        <v>0</v>
      </c>
      <c r="AF36" s="950">
        <f t="shared" si="27"/>
        <v>0</v>
      </c>
      <c r="AG36" s="950">
        <f t="shared" si="28"/>
        <v>0</v>
      </c>
      <c r="AH36" s="950">
        <f t="shared" si="29"/>
        <v>0</v>
      </c>
    </row>
    <row r="37" spans="1:34" x14ac:dyDescent="0.2">
      <c r="A37" s="943" t="str">
        <f>IF(Personalplanung!B37&lt;&gt;"",Personalplanung!B37,IF(Personalplanung!A37&lt;&gt;"",Personalplanung!A37,""))</f>
        <v/>
      </c>
      <c r="B37" s="943"/>
      <c r="C37" s="943"/>
      <c r="D37" s="944">
        <f>Personalplanung!C37</f>
        <v>0</v>
      </c>
      <c r="E37" s="945">
        <f>Personalplanung!D37</f>
        <v>12</v>
      </c>
      <c r="F37" s="946">
        <f t="shared" si="16"/>
        <v>0</v>
      </c>
      <c r="G37" s="947">
        <v>1</v>
      </c>
      <c r="H37" s="947">
        <v>1</v>
      </c>
      <c r="I37" s="947">
        <v>1</v>
      </c>
      <c r="J37" s="947">
        <v>1</v>
      </c>
      <c r="K37" s="947">
        <v>1</v>
      </c>
      <c r="L37" s="947">
        <v>1</v>
      </c>
      <c r="M37" s="947">
        <v>1</v>
      </c>
      <c r="N37" s="947">
        <v>1</v>
      </c>
      <c r="O37" s="947">
        <v>1</v>
      </c>
      <c r="P37" s="947">
        <v>1</v>
      </c>
      <c r="Q37" s="947">
        <v>1</v>
      </c>
      <c r="R37" s="947">
        <v>1</v>
      </c>
      <c r="U37" s="950">
        <f>Personalplanung!AA37</f>
        <v>0</v>
      </c>
      <c r="V37" s="946">
        <f t="shared" si="17"/>
        <v>0</v>
      </c>
      <c r="W37" s="950">
        <f t="shared" si="18"/>
        <v>0</v>
      </c>
      <c r="X37" s="950">
        <f t="shared" si="19"/>
        <v>0</v>
      </c>
      <c r="Y37" s="950">
        <f t="shared" si="20"/>
        <v>0</v>
      </c>
      <c r="Z37" s="950">
        <f t="shared" si="21"/>
        <v>0</v>
      </c>
      <c r="AA37" s="950">
        <f t="shared" si="22"/>
        <v>0</v>
      </c>
      <c r="AB37" s="950">
        <f t="shared" si="23"/>
        <v>0</v>
      </c>
      <c r="AC37" s="950">
        <f t="shared" si="24"/>
        <v>0</v>
      </c>
      <c r="AD37" s="950">
        <f t="shared" si="25"/>
        <v>0</v>
      </c>
      <c r="AE37" s="950">
        <f t="shared" si="26"/>
        <v>0</v>
      </c>
      <c r="AF37" s="950">
        <f t="shared" si="27"/>
        <v>0</v>
      </c>
      <c r="AG37" s="950">
        <f t="shared" si="28"/>
        <v>0</v>
      </c>
      <c r="AH37" s="950">
        <f t="shared" si="29"/>
        <v>0</v>
      </c>
    </row>
    <row r="38" spans="1:34" x14ac:dyDescent="0.2">
      <c r="A38" s="943" t="str">
        <f>IF(Personalplanung!B38&lt;&gt;"",Personalplanung!B38,IF(Personalplanung!A38&lt;&gt;"",Personalplanung!A38,""))</f>
        <v/>
      </c>
      <c r="B38" s="943"/>
      <c r="C38" s="943"/>
      <c r="D38" s="944">
        <f>Personalplanung!C38</f>
        <v>0</v>
      </c>
      <c r="E38" s="945">
        <f>Personalplanung!D38</f>
        <v>12</v>
      </c>
      <c r="F38" s="946">
        <f t="shared" si="16"/>
        <v>0</v>
      </c>
      <c r="G38" s="947">
        <v>1</v>
      </c>
      <c r="H38" s="947">
        <v>1</v>
      </c>
      <c r="I38" s="947">
        <v>1</v>
      </c>
      <c r="J38" s="947">
        <v>1</v>
      </c>
      <c r="K38" s="947">
        <v>1</v>
      </c>
      <c r="L38" s="947">
        <v>1</v>
      </c>
      <c r="M38" s="947">
        <v>1</v>
      </c>
      <c r="N38" s="947">
        <v>1</v>
      </c>
      <c r="O38" s="947">
        <v>1</v>
      </c>
      <c r="P38" s="947">
        <v>1</v>
      </c>
      <c r="Q38" s="947">
        <v>1</v>
      </c>
      <c r="R38" s="947">
        <v>1</v>
      </c>
      <c r="U38" s="950">
        <f>Personalplanung!AA38</f>
        <v>0</v>
      </c>
      <c r="V38" s="946">
        <f t="shared" si="17"/>
        <v>0</v>
      </c>
      <c r="W38" s="950">
        <f t="shared" si="18"/>
        <v>0</v>
      </c>
      <c r="X38" s="950">
        <f t="shared" si="19"/>
        <v>0</v>
      </c>
      <c r="Y38" s="950">
        <f t="shared" si="20"/>
        <v>0</v>
      </c>
      <c r="Z38" s="950">
        <f t="shared" si="21"/>
        <v>0</v>
      </c>
      <c r="AA38" s="950">
        <f t="shared" si="22"/>
        <v>0</v>
      </c>
      <c r="AB38" s="950">
        <f t="shared" si="23"/>
        <v>0</v>
      </c>
      <c r="AC38" s="950">
        <f t="shared" si="24"/>
        <v>0</v>
      </c>
      <c r="AD38" s="950">
        <f t="shared" si="25"/>
        <v>0</v>
      </c>
      <c r="AE38" s="950">
        <f t="shared" si="26"/>
        <v>0</v>
      </c>
      <c r="AF38" s="950">
        <f t="shared" si="27"/>
        <v>0</v>
      </c>
      <c r="AG38" s="950">
        <f t="shared" si="28"/>
        <v>0</v>
      </c>
      <c r="AH38" s="950">
        <f t="shared" si="29"/>
        <v>0</v>
      </c>
    </row>
    <row r="39" spans="1:34" x14ac:dyDescent="0.2">
      <c r="A39" s="943" t="str">
        <f>IF(Personalplanung!B39&lt;&gt;"",Personalplanung!B39,IF(Personalplanung!A39&lt;&gt;"",Personalplanung!A39,""))</f>
        <v/>
      </c>
      <c r="B39" s="943"/>
      <c r="C39" s="943"/>
      <c r="D39" s="944">
        <f>Personalplanung!C39</f>
        <v>0</v>
      </c>
      <c r="E39" s="945">
        <f>Personalplanung!D39</f>
        <v>12</v>
      </c>
      <c r="F39" s="946">
        <f t="shared" si="16"/>
        <v>0</v>
      </c>
      <c r="G39" s="947">
        <v>1</v>
      </c>
      <c r="H39" s="947">
        <v>1</v>
      </c>
      <c r="I39" s="947">
        <v>1</v>
      </c>
      <c r="J39" s="947">
        <v>1</v>
      </c>
      <c r="K39" s="947">
        <v>1</v>
      </c>
      <c r="L39" s="947">
        <v>1</v>
      </c>
      <c r="M39" s="947">
        <v>1</v>
      </c>
      <c r="N39" s="947">
        <v>1</v>
      </c>
      <c r="O39" s="947">
        <v>1</v>
      </c>
      <c r="P39" s="947">
        <v>1</v>
      </c>
      <c r="Q39" s="947">
        <v>1</v>
      </c>
      <c r="R39" s="947">
        <v>1</v>
      </c>
      <c r="U39" s="950">
        <f>Personalplanung!AA39</f>
        <v>0</v>
      </c>
      <c r="V39" s="946">
        <f t="shared" si="17"/>
        <v>0</v>
      </c>
      <c r="W39" s="950">
        <f t="shared" si="18"/>
        <v>0</v>
      </c>
      <c r="X39" s="950">
        <f t="shared" si="19"/>
        <v>0</v>
      </c>
      <c r="Y39" s="950">
        <f t="shared" si="20"/>
        <v>0</v>
      </c>
      <c r="Z39" s="950">
        <f t="shared" si="21"/>
        <v>0</v>
      </c>
      <c r="AA39" s="950">
        <f t="shared" si="22"/>
        <v>0</v>
      </c>
      <c r="AB39" s="950">
        <f t="shared" si="23"/>
        <v>0</v>
      </c>
      <c r="AC39" s="950">
        <f t="shared" si="24"/>
        <v>0</v>
      </c>
      <c r="AD39" s="950">
        <f t="shared" si="25"/>
        <v>0</v>
      </c>
      <c r="AE39" s="950">
        <f t="shared" si="26"/>
        <v>0</v>
      </c>
      <c r="AF39" s="950">
        <f t="shared" si="27"/>
        <v>0</v>
      </c>
      <c r="AG39" s="950">
        <f t="shared" si="28"/>
        <v>0</v>
      </c>
      <c r="AH39" s="950">
        <f t="shared" si="29"/>
        <v>0</v>
      </c>
    </row>
    <row r="40" spans="1:34" x14ac:dyDescent="0.2">
      <c r="A40" s="943" t="str">
        <f>IF(Personalplanung!B40&lt;&gt;"",Personalplanung!B40,IF(Personalplanung!A40&lt;&gt;"",Personalplanung!A40,""))</f>
        <v/>
      </c>
      <c r="B40" s="943"/>
      <c r="C40" s="943"/>
      <c r="D40" s="944">
        <f>Personalplanung!C40</f>
        <v>0</v>
      </c>
      <c r="E40" s="945">
        <f>Personalplanung!D40</f>
        <v>12</v>
      </c>
      <c r="F40" s="946">
        <f t="shared" si="16"/>
        <v>0</v>
      </c>
      <c r="G40" s="947">
        <v>1</v>
      </c>
      <c r="H40" s="947">
        <v>1</v>
      </c>
      <c r="I40" s="947">
        <v>1</v>
      </c>
      <c r="J40" s="947">
        <v>1</v>
      </c>
      <c r="K40" s="947">
        <v>1</v>
      </c>
      <c r="L40" s="947">
        <v>1</v>
      </c>
      <c r="M40" s="947">
        <v>1</v>
      </c>
      <c r="N40" s="947">
        <v>1</v>
      </c>
      <c r="O40" s="947">
        <v>1</v>
      </c>
      <c r="P40" s="947">
        <v>1</v>
      </c>
      <c r="Q40" s="947">
        <v>1</v>
      </c>
      <c r="R40" s="947">
        <v>1</v>
      </c>
      <c r="U40" s="950">
        <f>Personalplanung!AA40</f>
        <v>0</v>
      </c>
      <c r="V40" s="946">
        <f t="shared" si="17"/>
        <v>0</v>
      </c>
      <c r="W40" s="950">
        <f t="shared" si="18"/>
        <v>0</v>
      </c>
      <c r="X40" s="950">
        <f t="shared" si="19"/>
        <v>0</v>
      </c>
      <c r="Y40" s="950">
        <f t="shared" si="20"/>
        <v>0</v>
      </c>
      <c r="Z40" s="950">
        <f t="shared" si="21"/>
        <v>0</v>
      </c>
      <c r="AA40" s="950">
        <f t="shared" si="22"/>
        <v>0</v>
      </c>
      <c r="AB40" s="950">
        <f t="shared" si="23"/>
        <v>0</v>
      </c>
      <c r="AC40" s="950">
        <f t="shared" si="24"/>
        <v>0</v>
      </c>
      <c r="AD40" s="950">
        <f t="shared" si="25"/>
        <v>0</v>
      </c>
      <c r="AE40" s="950">
        <f t="shared" si="26"/>
        <v>0</v>
      </c>
      <c r="AF40" s="950">
        <f t="shared" si="27"/>
        <v>0</v>
      </c>
      <c r="AG40" s="950">
        <f t="shared" si="28"/>
        <v>0</v>
      </c>
      <c r="AH40" s="950">
        <f t="shared" si="29"/>
        <v>0</v>
      </c>
    </row>
    <row r="41" spans="1:34" x14ac:dyDescent="0.2">
      <c r="A41" s="943" t="str">
        <f>IF(Personalplanung!B41&lt;&gt;"",Personalplanung!B41,IF(Personalplanung!A41&lt;&gt;"",Personalplanung!A41,""))</f>
        <v/>
      </c>
      <c r="B41" s="943"/>
      <c r="C41" s="943"/>
      <c r="D41" s="944">
        <f>Personalplanung!C41</f>
        <v>0</v>
      </c>
      <c r="E41" s="945">
        <f>Personalplanung!D41</f>
        <v>12</v>
      </c>
      <c r="F41" s="946">
        <f t="shared" si="16"/>
        <v>0</v>
      </c>
      <c r="G41" s="947">
        <v>1</v>
      </c>
      <c r="H41" s="947">
        <v>1</v>
      </c>
      <c r="I41" s="947">
        <v>1</v>
      </c>
      <c r="J41" s="947">
        <v>1</v>
      </c>
      <c r="K41" s="947">
        <v>1</v>
      </c>
      <c r="L41" s="947">
        <v>1</v>
      </c>
      <c r="M41" s="947">
        <v>1</v>
      </c>
      <c r="N41" s="947">
        <v>1</v>
      </c>
      <c r="O41" s="947">
        <v>1</v>
      </c>
      <c r="P41" s="947">
        <v>1</v>
      </c>
      <c r="Q41" s="947">
        <v>1</v>
      </c>
      <c r="R41" s="947">
        <v>1</v>
      </c>
      <c r="U41" s="950">
        <f>Personalplanung!AA41</f>
        <v>0</v>
      </c>
      <c r="V41" s="946">
        <f t="shared" si="17"/>
        <v>0</v>
      </c>
      <c r="W41" s="950">
        <f t="shared" si="18"/>
        <v>0</v>
      </c>
      <c r="X41" s="950">
        <f t="shared" si="19"/>
        <v>0</v>
      </c>
      <c r="Y41" s="950">
        <f t="shared" si="20"/>
        <v>0</v>
      </c>
      <c r="Z41" s="950">
        <f t="shared" si="21"/>
        <v>0</v>
      </c>
      <c r="AA41" s="950">
        <f t="shared" si="22"/>
        <v>0</v>
      </c>
      <c r="AB41" s="950">
        <f t="shared" si="23"/>
        <v>0</v>
      </c>
      <c r="AC41" s="950">
        <f t="shared" si="24"/>
        <v>0</v>
      </c>
      <c r="AD41" s="950">
        <f t="shared" si="25"/>
        <v>0</v>
      </c>
      <c r="AE41" s="950">
        <f t="shared" si="26"/>
        <v>0</v>
      </c>
      <c r="AF41" s="950">
        <f t="shared" si="27"/>
        <v>0</v>
      </c>
      <c r="AG41" s="950">
        <f t="shared" si="28"/>
        <v>0</v>
      </c>
      <c r="AH41" s="950">
        <f t="shared" si="29"/>
        <v>0</v>
      </c>
    </row>
    <row r="42" spans="1:34" x14ac:dyDescent="0.2">
      <c r="A42" s="943" t="str">
        <f>IF(Personalplanung!B42&lt;&gt;"",Personalplanung!B42,IF(Personalplanung!A42&lt;&gt;"",Personalplanung!A42,""))</f>
        <v/>
      </c>
      <c r="B42" s="943"/>
      <c r="C42" s="943"/>
      <c r="D42" s="944">
        <f>Personalplanung!C42</f>
        <v>0</v>
      </c>
      <c r="E42" s="945">
        <f>Personalplanung!D42</f>
        <v>12</v>
      </c>
      <c r="F42" s="946">
        <f t="shared" si="16"/>
        <v>0</v>
      </c>
      <c r="G42" s="947">
        <v>1</v>
      </c>
      <c r="H42" s="947">
        <v>1</v>
      </c>
      <c r="I42" s="947">
        <v>1</v>
      </c>
      <c r="J42" s="947">
        <v>1</v>
      </c>
      <c r="K42" s="947">
        <v>1</v>
      </c>
      <c r="L42" s="947">
        <v>1</v>
      </c>
      <c r="M42" s="947">
        <v>1</v>
      </c>
      <c r="N42" s="947">
        <v>1</v>
      </c>
      <c r="O42" s="947">
        <v>1</v>
      </c>
      <c r="P42" s="947">
        <v>1</v>
      </c>
      <c r="Q42" s="947">
        <v>1</v>
      </c>
      <c r="R42" s="947">
        <v>1</v>
      </c>
      <c r="U42" s="950">
        <f>Personalplanung!AA42</f>
        <v>0</v>
      </c>
      <c r="V42" s="946">
        <f t="shared" si="17"/>
        <v>0</v>
      </c>
      <c r="W42" s="950">
        <f t="shared" si="18"/>
        <v>0</v>
      </c>
      <c r="X42" s="950">
        <f t="shared" si="19"/>
        <v>0</v>
      </c>
      <c r="Y42" s="950">
        <f t="shared" si="20"/>
        <v>0</v>
      </c>
      <c r="Z42" s="950">
        <f t="shared" si="21"/>
        <v>0</v>
      </c>
      <c r="AA42" s="950">
        <f t="shared" si="22"/>
        <v>0</v>
      </c>
      <c r="AB42" s="950">
        <f t="shared" si="23"/>
        <v>0</v>
      </c>
      <c r="AC42" s="950">
        <f t="shared" si="24"/>
        <v>0</v>
      </c>
      <c r="AD42" s="950">
        <f t="shared" si="25"/>
        <v>0</v>
      </c>
      <c r="AE42" s="950">
        <f t="shared" si="26"/>
        <v>0</v>
      </c>
      <c r="AF42" s="950">
        <f t="shared" si="27"/>
        <v>0</v>
      </c>
      <c r="AG42" s="950">
        <f t="shared" si="28"/>
        <v>0</v>
      </c>
      <c r="AH42" s="950">
        <f t="shared" si="29"/>
        <v>0</v>
      </c>
    </row>
    <row r="43" spans="1:34" x14ac:dyDescent="0.2">
      <c r="A43" s="943" t="str">
        <f>IF(Personalplanung!B43&lt;&gt;"",Personalplanung!B43,IF(Personalplanung!A43&lt;&gt;"",Personalplanung!A43,""))</f>
        <v/>
      </c>
      <c r="B43" s="943"/>
      <c r="C43" s="943"/>
      <c r="D43" s="944">
        <f>Personalplanung!C43</f>
        <v>0</v>
      </c>
      <c r="E43" s="945">
        <f>Personalplanung!D43</f>
        <v>12</v>
      </c>
      <c r="F43" s="946">
        <f t="shared" si="16"/>
        <v>0</v>
      </c>
      <c r="G43" s="947">
        <v>1</v>
      </c>
      <c r="H43" s="947">
        <v>1</v>
      </c>
      <c r="I43" s="947">
        <v>1</v>
      </c>
      <c r="J43" s="947">
        <v>1</v>
      </c>
      <c r="K43" s="947">
        <v>1</v>
      </c>
      <c r="L43" s="947">
        <v>1</v>
      </c>
      <c r="M43" s="947">
        <v>1</v>
      </c>
      <c r="N43" s="947">
        <v>1</v>
      </c>
      <c r="O43" s="947">
        <v>1</v>
      </c>
      <c r="P43" s="947">
        <v>1</v>
      </c>
      <c r="Q43" s="947">
        <v>1</v>
      </c>
      <c r="R43" s="947">
        <v>1</v>
      </c>
      <c r="U43" s="950">
        <f>Personalplanung!AA43</f>
        <v>0</v>
      </c>
      <c r="V43" s="946">
        <f t="shared" si="17"/>
        <v>0</v>
      </c>
      <c r="W43" s="950">
        <f t="shared" si="18"/>
        <v>0</v>
      </c>
      <c r="X43" s="950">
        <f t="shared" si="19"/>
        <v>0</v>
      </c>
      <c r="Y43" s="950">
        <f t="shared" si="20"/>
        <v>0</v>
      </c>
      <c r="Z43" s="950">
        <f t="shared" si="21"/>
        <v>0</v>
      </c>
      <c r="AA43" s="950">
        <f t="shared" si="22"/>
        <v>0</v>
      </c>
      <c r="AB43" s="950">
        <f t="shared" si="23"/>
        <v>0</v>
      </c>
      <c r="AC43" s="950">
        <f t="shared" si="24"/>
        <v>0</v>
      </c>
      <c r="AD43" s="950">
        <f t="shared" si="25"/>
        <v>0</v>
      </c>
      <c r="AE43" s="950">
        <f t="shared" si="26"/>
        <v>0</v>
      </c>
      <c r="AF43" s="950">
        <f t="shared" si="27"/>
        <v>0</v>
      </c>
      <c r="AG43" s="950">
        <f t="shared" si="28"/>
        <v>0</v>
      </c>
      <c r="AH43" s="950">
        <f t="shared" si="29"/>
        <v>0</v>
      </c>
    </row>
    <row r="44" spans="1:34" x14ac:dyDescent="0.2">
      <c r="A44" s="943" t="str">
        <f>IF(Personalplanung!B44&lt;&gt;"",Personalplanung!B44,IF(Personalplanung!A44&lt;&gt;"",Personalplanung!A44,""))</f>
        <v/>
      </c>
      <c r="B44" s="943"/>
      <c r="C44" s="943"/>
      <c r="D44" s="944">
        <f>Personalplanung!C44</f>
        <v>0</v>
      </c>
      <c r="E44" s="945">
        <f>Personalplanung!D44</f>
        <v>12</v>
      </c>
      <c r="F44" s="946">
        <f t="shared" si="16"/>
        <v>0</v>
      </c>
      <c r="G44" s="947">
        <v>1</v>
      </c>
      <c r="H44" s="947">
        <v>1</v>
      </c>
      <c r="I44" s="947">
        <v>1</v>
      </c>
      <c r="J44" s="947">
        <v>1</v>
      </c>
      <c r="K44" s="947">
        <v>1</v>
      </c>
      <c r="L44" s="947">
        <v>1</v>
      </c>
      <c r="M44" s="947">
        <v>1</v>
      </c>
      <c r="N44" s="947">
        <v>1</v>
      </c>
      <c r="O44" s="947">
        <v>1</v>
      </c>
      <c r="P44" s="947">
        <v>1</v>
      </c>
      <c r="Q44" s="947">
        <v>1</v>
      </c>
      <c r="R44" s="947">
        <v>1</v>
      </c>
      <c r="U44" s="950">
        <f>Personalplanung!AA44</f>
        <v>0</v>
      </c>
      <c r="V44" s="946">
        <f t="shared" si="17"/>
        <v>0</v>
      </c>
      <c r="W44" s="950">
        <f t="shared" si="18"/>
        <v>0</v>
      </c>
      <c r="X44" s="950">
        <f t="shared" si="19"/>
        <v>0</v>
      </c>
      <c r="Y44" s="950">
        <f t="shared" si="20"/>
        <v>0</v>
      </c>
      <c r="Z44" s="950">
        <f t="shared" si="21"/>
        <v>0</v>
      </c>
      <c r="AA44" s="950">
        <f t="shared" si="22"/>
        <v>0</v>
      </c>
      <c r="AB44" s="950">
        <f t="shared" si="23"/>
        <v>0</v>
      </c>
      <c r="AC44" s="950">
        <f t="shared" si="24"/>
        <v>0</v>
      </c>
      <c r="AD44" s="950">
        <f t="shared" si="25"/>
        <v>0</v>
      </c>
      <c r="AE44" s="950">
        <f t="shared" si="26"/>
        <v>0</v>
      </c>
      <c r="AF44" s="950">
        <f t="shared" si="27"/>
        <v>0</v>
      </c>
      <c r="AG44" s="950">
        <f t="shared" si="28"/>
        <v>0</v>
      </c>
      <c r="AH44" s="950">
        <f t="shared" si="29"/>
        <v>0</v>
      </c>
    </row>
    <row r="45" spans="1:34" x14ac:dyDescent="0.2">
      <c r="A45" s="943" t="str">
        <f>IF(Personalplanung!B45&lt;&gt;"",Personalplanung!B45,IF(Personalplanung!A45&lt;&gt;"",Personalplanung!A45,""))</f>
        <v/>
      </c>
      <c r="B45" s="943"/>
      <c r="C45" s="943"/>
      <c r="D45" s="944">
        <f>Personalplanung!C45</f>
        <v>0</v>
      </c>
      <c r="E45" s="945">
        <f>Personalplanung!D45</f>
        <v>12</v>
      </c>
      <c r="F45" s="946">
        <f t="shared" si="16"/>
        <v>0</v>
      </c>
      <c r="G45" s="947">
        <v>1</v>
      </c>
      <c r="H45" s="947">
        <v>1</v>
      </c>
      <c r="I45" s="947">
        <v>1</v>
      </c>
      <c r="J45" s="947">
        <v>1</v>
      </c>
      <c r="K45" s="947">
        <v>1</v>
      </c>
      <c r="L45" s="947">
        <v>1</v>
      </c>
      <c r="M45" s="947">
        <v>1</v>
      </c>
      <c r="N45" s="947">
        <v>1</v>
      </c>
      <c r="O45" s="947">
        <v>1</v>
      </c>
      <c r="P45" s="947">
        <v>1</v>
      </c>
      <c r="Q45" s="947">
        <v>1</v>
      </c>
      <c r="R45" s="947">
        <v>1</v>
      </c>
      <c r="U45" s="950">
        <f>Personalplanung!AA45</f>
        <v>0</v>
      </c>
      <c r="V45" s="946">
        <f t="shared" si="17"/>
        <v>0</v>
      </c>
      <c r="W45" s="950">
        <f t="shared" si="18"/>
        <v>0</v>
      </c>
      <c r="X45" s="950">
        <f t="shared" si="19"/>
        <v>0</v>
      </c>
      <c r="Y45" s="950">
        <f t="shared" si="20"/>
        <v>0</v>
      </c>
      <c r="Z45" s="950">
        <f t="shared" si="21"/>
        <v>0</v>
      </c>
      <c r="AA45" s="950">
        <f t="shared" si="22"/>
        <v>0</v>
      </c>
      <c r="AB45" s="950">
        <f t="shared" si="23"/>
        <v>0</v>
      </c>
      <c r="AC45" s="950">
        <f t="shared" si="24"/>
        <v>0</v>
      </c>
      <c r="AD45" s="950">
        <f t="shared" si="25"/>
        <v>0</v>
      </c>
      <c r="AE45" s="950">
        <f t="shared" si="26"/>
        <v>0</v>
      </c>
      <c r="AF45" s="950">
        <f t="shared" si="27"/>
        <v>0</v>
      </c>
      <c r="AG45" s="950">
        <f t="shared" si="28"/>
        <v>0</v>
      </c>
      <c r="AH45" s="950">
        <f t="shared" si="29"/>
        <v>0</v>
      </c>
    </row>
    <row r="46" spans="1:34" x14ac:dyDescent="0.2">
      <c r="A46" s="943" t="str">
        <f>IF(Personalplanung!B46&lt;&gt;"",Personalplanung!B46,IF(Personalplanung!A46&lt;&gt;"",Personalplanung!A46,""))</f>
        <v/>
      </c>
      <c r="B46" s="943"/>
      <c r="C46" s="943"/>
      <c r="D46" s="944">
        <f>Personalplanung!C46</f>
        <v>0</v>
      </c>
      <c r="E46" s="945">
        <f>Personalplanung!D46</f>
        <v>12</v>
      </c>
      <c r="F46" s="946">
        <f t="shared" si="16"/>
        <v>0</v>
      </c>
      <c r="G46" s="947">
        <v>1</v>
      </c>
      <c r="H46" s="947">
        <v>1</v>
      </c>
      <c r="I46" s="947">
        <v>1</v>
      </c>
      <c r="J46" s="947">
        <v>1</v>
      </c>
      <c r="K46" s="947">
        <v>1</v>
      </c>
      <c r="L46" s="947">
        <v>1</v>
      </c>
      <c r="M46" s="947">
        <v>1</v>
      </c>
      <c r="N46" s="947">
        <v>1</v>
      </c>
      <c r="O46" s="947">
        <v>1</v>
      </c>
      <c r="P46" s="947">
        <v>1</v>
      </c>
      <c r="Q46" s="947">
        <v>1</v>
      </c>
      <c r="R46" s="947">
        <v>1</v>
      </c>
      <c r="U46" s="950">
        <f>Personalplanung!AA46</f>
        <v>0</v>
      </c>
      <c r="V46" s="946">
        <f t="shared" si="17"/>
        <v>0</v>
      </c>
      <c r="W46" s="950">
        <f t="shared" si="18"/>
        <v>0</v>
      </c>
      <c r="X46" s="950">
        <f t="shared" si="19"/>
        <v>0</v>
      </c>
      <c r="Y46" s="950">
        <f t="shared" si="20"/>
        <v>0</v>
      </c>
      <c r="Z46" s="950">
        <f t="shared" si="21"/>
        <v>0</v>
      </c>
      <c r="AA46" s="950">
        <f t="shared" si="22"/>
        <v>0</v>
      </c>
      <c r="AB46" s="950">
        <f t="shared" si="23"/>
        <v>0</v>
      </c>
      <c r="AC46" s="950">
        <f t="shared" si="24"/>
        <v>0</v>
      </c>
      <c r="AD46" s="950">
        <f t="shared" si="25"/>
        <v>0</v>
      </c>
      <c r="AE46" s="950">
        <f t="shared" si="26"/>
        <v>0</v>
      </c>
      <c r="AF46" s="950">
        <f t="shared" si="27"/>
        <v>0</v>
      </c>
      <c r="AG46" s="950">
        <f t="shared" si="28"/>
        <v>0</v>
      </c>
      <c r="AH46" s="950">
        <f t="shared" si="29"/>
        <v>0</v>
      </c>
    </row>
    <row r="47" spans="1:34" x14ac:dyDescent="0.2">
      <c r="A47" s="943" t="str">
        <f>IF(Personalplanung!B47&lt;&gt;"",Personalplanung!B47,IF(Personalplanung!A47&lt;&gt;"",Personalplanung!A47,""))</f>
        <v/>
      </c>
      <c r="B47" s="943"/>
      <c r="C47" s="943"/>
      <c r="D47" s="944">
        <f>Personalplanung!C47</f>
        <v>0</v>
      </c>
      <c r="E47" s="945">
        <f>Personalplanung!D47</f>
        <v>12</v>
      </c>
      <c r="F47" s="946">
        <f t="shared" si="16"/>
        <v>0</v>
      </c>
      <c r="G47" s="947">
        <v>1</v>
      </c>
      <c r="H47" s="947">
        <v>1</v>
      </c>
      <c r="I47" s="947">
        <v>1</v>
      </c>
      <c r="J47" s="947">
        <v>1</v>
      </c>
      <c r="K47" s="947">
        <v>1</v>
      </c>
      <c r="L47" s="947">
        <v>1</v>
      </c>
      <c r="M47" s="947">
        <v>1</v>
      </c>
      <c r="N47" s="947">
        <v>1</v>
      </c>
      <c r="O47" s="947">
        <v>1</v>
      </c>
      <c r="P47" s="947">
        <v>1</v>
      </c>
      <c r="Q47" s="947">
        <v>1</v>
      </c>
      <c r="R47" s="947">
        <v>1</v>
      </c>
      <c r="U47" s="950">
        <f>Personalplanung!AA47</f>
        <v>0</v>
      </c>
      <c r="V47" s="946">
        <f t="shared" si="17"/>
        <v>0</v>
      </c>
      <c r="W47" s="950">
        <f t="shared" si="18"/>
        <v>0</v>
      </c>
      <c r="X47" s="950">
        <f t="shared" si="19"/>
        <v>0</v>
      </c>
      <c r="Y47" s="950">
        <f t="shared" si="20"/>
        <v>0</v>
      </c>
      <c r="Z47" s="950">
        <f t="shared" si="21"/>
        <v>0</v>
      </c>
      <c r="AA47" s="950">
        <f t="shared" si="22"/>
        <v>0</v>
      </c>
      <c r="AB47" s="950">
        <f t="shared" si="23"/>
        <v>0</v>
      </c>
      <c r="AC47" s="950">
        <f t="shared" si="24"/>
        <v>0</v>
      </c>
      <c r="AD47" s="950">
        <f t="shared" si="25"/>
        <v>0</v>
      </c>
      <c r="AE47" s="950">
        <f t="shared" si="26"/>
        <v>0</v>
      </c>
      <c r="AF47" s="950">
        <f t="shared" si="27"/>
        <v>0</v>
      </c>
      <c r="AG47" s="950">
        <f t="shared" si="28"/>
        <v>0</v>
      </c>
      <c r="AH47" s="950">
        <f t="shared" si="29"/>
        <v>0</v>
      </c>
    </row>
    <row r="48" spans="1:34" x14ac:dyDescent="0.2">
      <c r="A48" s="943" t="str">
        <f>IF(Personalplanung!B48&lt;&gt;"",Personalplanung!B48,IF(Personalplanung!A48&lt;&gt;"",Personalplanung!A48,""))</f>
        <v/>
      </c>
      <c r="B48" s="943"/>
      <c r="C48" s="943"/>
      <c r="D48" s="944">
        <f>Personalplanung!C48</f>
        <v>0</v>
      </c>
      <c r="E48" s="945">
        <f>Personalplanung!D48</f>
        <v>12</v>
      </c>
      <c r="F48" s="946">
        <f t="shared" si="16"/>
        <v>0</v>
      </c>
      <c r="G48" s="947">
        <v>1</v>
      </c>
      <c r="H48" s="947">
        <v>1</v>
      </c>
      <c r="I48" s="947">
        <v>1</v>
      </c>
      <c r="J48" s="947">
        <v>1</v>
      </c>
      <c r="K48" s="947">
        <v>1</v>
      </c>
      <c r="L48" s="947">
        <v>1</v>
      </c>
      <c r="M48" s="947">
        <v>1</v>
      </c>
      <c r="N48" s="947">
        <v>1</v>
      </c>
      <c r="O48" s="947">
        <v>1</v>
      </c>
      <c r="P48" s="947">
        <v>1</v>
      </c>
      <c r="Q48" s="947">
        <v>1</v>
      </c>
      <c r="R48" s="947">
        <v>1</v>
      </c>
      <c r="U48" s="950">
        <f>Personalplanung!AA48</f>
        <v>0</v>
      </c>
      <c r="V48" s="946">
        <f t="shared" si="17"/>
        <v>0</v>
      </c>
      <c r="W48" s="950">
        <f t="shared" si="18"/>
        <v>0</v>
      </c>
      <c r="X48" s="950">
        <f t="shared" si="19"/>
        <v>0</v>
      </c>
      <c r="Y48" s="950">
        <f t="shared" si="20"/>
        <v>0</v>
      </c>
      <c r="Z48" s="950">
        <f t="shared" si="21"/>
        <v>0</v>
      </c>
      <c r="AA48" s="950">
        <f t="shared" si="22"/>
        <v>0</v>
      </c>
      <c r="AB48" s="950">
        <f t="shared" si="23"/>
        <v>0</v>
      </c>
      <c r="AC48" s="950">
        <f t="shared" si="24"/>
        <v>0</v>
      </c>
      <c r="AD48" s="950">
        <f t="shared" si="25"/>
        <v>0</v>
      </c>
      <c r="AE48" s="950">
        <f t="shared" si="26"/>
        <v>0</v>
      </c>
      <c r="AF48" s="950">
        <f t="shared" si="27"/>
        <v>0</v>
      </c>
      <c r="AG48" s="950">
        <f t="shared" si="28"/>
        <v>0</v>
      </c>
      <c r="AH48" s="950">
        <f t="shared" si="29"/>
        <v>0</v>
      </c>
    </row>
    <row r="49" spans="1:34" x14ac:dyDescent="0.2">
      <c r="A49" s="943" t="str">
        <f>IF(Personalplanung!B49&lt;&gt;"",Personalplanung!B49,IF(Personalplanung!A49&lt;&gt;"",Personalplanung!A49,""))</f>
        <v/>
      </c>
      <c r="B49" s="943"/>
      <c r="C49" s="943"/>
      <c r="D49" s="944">
        <f>Personalplanung!C49</f>
        <v>0</v>
      </c>
      <c r="E49" s="945">
        <f>Personalplanung!D49</f>
        <v>12</v>
      </c>
      <c r="F49" s="946">
        <f t="shared" si="16"/>
        <v>0</v>
      </c>
      <c r="G49" s="947">
        <v>1</v>
      </c>
      <c r="H49" s="947">
        <v>1</v>
      </c>
      <c r="I49" s="947">
        <v>1</v>
      </c>
      <c r="J49" s="947">
        <v>1</v>
      </c>
      <c r="K49" s="947">
        <v>1</v>
      </c>
      <c r="L49" s="947">
        <v>1</v>
      </c>
      <c r="M49" s="947">
        <v>1</v>
      </c>
      <c r="N49" s="947">
        <v>1</v>
      </c>
      <c r="O49" s="947">
        <v>1</v>
      </c>
      <c r="P49" s="947">
        <v>1</v>
      </c>
      <c r="Q49" s="947">
        <v>1</v>
      </c>
      <c r="R49" s="947">
        <v>1</v>
      </c>
      <c r="U49" s="950">
        <f>Personalplanung!AA49</f>
        <v>0</v>
      </c>
      <c r="V49" s="946">
        <f t="shared" si="17"/>
        <v>0</v>
      </c>
      <c r="W49" s="950">
        <f t="shared" si="18"/>
        <v>0</v>
      </c>
      <c r="X49" s="950">
        <f t="shared" si="19"/>
        <v>0</v>
      </c>
      <c r="Y49" s="950">
        <f t="shared" si="20"/>
        <v>0</v>
      </c>
      <c r="Z49" s="950">
        <f t="shared" si="21"/>
        <v>0</v>
      </c>
      <c r="AA49" s="950">
        <f t="shared" si="22"/>
        <v>0</v>
      </c>
      <c r="AB49" s="950">
        <f t="shared" si="23"/>
        <v>0</v>
      </c>
      <c r="AC49" s="950">
        <f t="shared" si="24"/>
        <v>0</v>
      </c>
      <c r="AD49" s="950">
        <f t="shared" si="25"/>
        <v>0</v>
      </c>
      <c r="AE49" s="950">
        <f t="shared" si="26"/>
        <v>0</v>
      </c>
      <c r="AF49" s="950">
        <f t="shared" si="27"/>
        <v>0</v>
      </c>
      <c r="AG49" s="950">
        <f t="shared" si="28"/>
        <v>0</v>
      </c>
      <c r="AH49" s="950">
        <f t="shared" si="29"/>
        <v>0</v>
      </c>
    </row>
    <row r="50" spans="1:34" x14ac:dyDescent="0.2">
      <c r="A50" s="943" t="str">
        <f>IF(Personalplanung!B50&lt;&gt;"",Personalplanung!B50,IF(Personalplanung!A50&lt;&gt;"",Personalplanung!A50,""))</f>
        <v/>
      </c>
      <c r="B50" s="943"/>
      <c r="C50" s="943"/>
      <c r="D50" s="944">
        <f>Personalplanung!C50</f>
        <v>0</v>
      </c>
      <c r="E50" s="945">
        <f>Personalplanung!D50</f>
        <v>12</v>
      </c>
      <c r="F50" s="946">
        <f t="shared" si="16"/>
        <v>0</v>
      </c>
      <c r="G50" s="947">
        <v>1</v>
      </c>
      <c r="H50" s="947">
        <v>1</v>
      </c>
      <c r="I50" s="947">
        <v>1</v>
      </c>
      <c r="J50" s="947">
        <v>1</v>
      </c>
      <c r="K50" s="947">
        <v>1</v>
      </c>
      <c r="L50" s="947">
        <v>1</v>
      </c>
      <c r="M50" s="947">
        <v>1</v>
      </c>
      <c r="N50" s="947">
        <v>1</v>
      </c>
      <c r="O50" s="947">
        <v>1</v>
      </c>
      <c r="P50" s="947">
        <v>1</v>
      </c>
      <c r="Q50" s="947">
        <v>1</v>
      </c>
      <c r="R50" s="947">
        <v>1</v>
      </c>
      <c r="U50" s="950">
        <f>Personalplanung!AA50</f>
        <v>0</v>
      </c>
      <c r="V50" s="946">
        <f t="shared" si="17"/>
        <v>0</v>
      </c>
      <c r="W50" s="950">
        <f t="shared" si="18"/>
        <v>0</v>
      </c>
      <c r="X50" s="950">
        <f t="shared" si="19"/>
        <v>0</v>
      </c>
      <c r="Y50" s="950">
        <f t="shared" si="20"/>
        <v>0</v>
      </c>
      <c r="Z50" s="950">
        <f t="shared" si="21"/>
        <v>0</v>
      </c>
      <c r="AA50" s="950">
        <f t="shared" si="22"/>
        <v>0</v>
      </c>
      <c r="AB50" s="950">
        <f t="shared" si="23"/>
        <v>0</v>
      </c>
      <c r="AC50" s="950">
        <f t="shared" si="24"/>
        <v>0</v>
      </c>
      <c r="AD50" s="950">
        <f t="shared" si="25"/>
        <v>0</v>
      </c>
      <c r="AE50" s="950">
        <f t="shared" si="26"/>
        <v>0</v>
      </c>
      <c r="AF50" s="950">
        <f t="shared" si="27"/>
        <v>0</v>
      </c>
      <c r="AG50" s="950">
        <f t="shared" si="28"/>
        <v>0</v>
      </c>
      <c r="AH50" s="950">
        <f t="shared" si="29"/>
        <v>0</v>
      </c>
    </row>
    <row r="51" spans="1:34" x14ac:dyDescent="0.2">
      <c r="A51" s="943" t="str">
        <f>IF(Personalplanung!B51&lt;&gt;"",Personalplanung!B51,IF(Personalplanung!A51&lt;&gt;"",Personalplanung!A51,""))</f>
        <v/>
      </c>
      <c r="B51" s="943"/>
      <c r="C51" s="943"/>
      <c r="D51" s="944">
        <f>Personalplanung!C51</f>
        <v>0</v>
      </c>
      <c r="E51" s="945">
        <f>Personalplanung!D51</f>
        <v>12</v>
      </c>
      <c r="F51" s="946">
        <f t="shared" si="16"/>
        <v>0</v>
      </c>
      <c r="G51" s="947">
        <v>1</v>
      </c>
      <c r="H51" s="947">
        <v>1</v>
      </c>
      <c r="I51" s="947">
        <v>1</v>
      </c>
      <c r="J51" s="947">
        <v>1</v>
      </c>
      <c r="K51" s="947">
        <v>1</v>
      </c>
      <c r="L51" s="947">
        <v>1</v>
      </c>
      <c r="M51" s="947">
        <v>1</v>
      </c>
      <c r="N51" s="947">
        <v>1</v>
      </c>
      <c r="O51" s="947">
        <v>1</v>
      </c>
      <c r="P51" s="947">
        <v>1</v>
      </c>
      <c r="Q51" s="947">
        <v>1</v>
      </c>
      <c r="R51" s="947">
        <v>1</v>
      </c>
      <c r="U51" s="950">
        <f>Personalplanung!AA51</f>
        <v>0</v>
      </c>
      <c r="V51" s="946">
        <f t="shared" si="17"/>
        <v>0</v>
      </c>
      <c r="W51" s="950">
        <f t="shared" si="18"/>
        <v>0</v>
      </c>
      <c r="X51" s="950">
        <f t="shared" si="19"/>
        <v>0</v>
      </c>
      <c r="Y51" s="950">
        <f t="shared" si="20"/>
        <v>0</v>
      </c>
      <c r="Z51" s="950">
        <f t="shared" si="21"/>
        <v>0</v>
      </c>
      <c r="AA51" s="950">
        <f t="shared" si="22"/>
        <v>0</v>
      </c>
      <c r="AB51" s="950">
        <f t="shared" si="23"/>
        <v>0</v>
      </c>
      <c r="AC51" s="950">
        <f t="shared" si="24"/>
        <v>0</v>
      </c>
      <c r="AD51" s="950">
        <f t="shared" si="25"/>
        <v>0</v>
      </c>
      <c r="AE51" s="950">
        <f t="shared" si="26"/>
        <v>0</v>
      </c>
      <c r="AF51" s="950">
        <f t="shared" si="27"/>
        <v>0</v>
      </c>
      <c r="AG51" s="950">
        <f t="shared" si="28"/>
        <v>0</v>
      </c>
      <c r="AH51" s="950">
        <f t="shared" si="29"/>
        <v>0</v>
      </c>
    </row>
    <row r="52" spans="1:34" x14ac:dyDescent="0.2">
      <c r="A52" s="943" t="str">
        <f>IF(Personalplanung!B52&lt;&gt;"",Personalplanung!B52,IF(Personalplanung!A52&lt;&gt;"",Personalplanung!A52,""))</f>
        <v/>
      </c>
      <c r="B52" s="943"/>
      <c r="C52" s="943"/>
      <c r="D52" s="944">
        <f>Personalplanung!C52</f>
        <v>0</v>
      </c>
      <c r="E52" s="945">
        <f>Personalplanung!D52</f>
        <v>12</v>
      </c>
      <c r="F52" s="946">
        <f t="shared" si="16"/>
        <v>0</v>
      </c>
      <c r="G52" s="947">
        <v>1</v>
      </c>
      <c r="H52" s="947">
        <v>1</v>
      </c>
      <c r="I52" s="947">
        <v>1</v>
      </c>
      <c r="J52" s="947">
        <v>1</v>
      </c>
      <c r="K52" s="947">
        <v>1</v>
      </c>
      <c r="L52" s="947">
        <v>1</v>
      </c>
      <c r="M52" s="947">
        <v>1</v>
      </c>
      <c r="N52" s="947">
        <v>1</v>
      </c>
      <c r="O52" s="947">
        <v>1</v>
      </c>
      <c r="P52" s="947">
        <v>1</v>
      </c>
      <c r="Q52" s="947">
        <v>1</v>
      </c>
      <c r="R52" s="947">
        <v>1</v>
      </c>
      <c r="U52" s="950">
        <f>Personalplanung!AA52</f>
        <v>0</v>
      </c>
      <c r="V52" s="946">
        <f t="shared" si="17"/>
        <v>0</v>
      </c>
      <c r="W52" s="950">
        <f t="shared" si="18"/>
        <v>0</v>
      </c>
      <c r="X52" s="950">
        <f t="shared" si="19"/>
        <v>0</v>
      </c>
      <c r="Y52" s="950">
        <f t="shared" si="20"/>
        <v>0</v>
      </c>
      <c r="Z52" s="950">
        <f t="shared" si="21"/>
        <v>0</v>
      </c>
      <c r="AA52" s="950">
        <f t="shared" si="22"/>
        <v>0</v>
      </c>
      <c r="AB52" s="950">
        <f t="shared" si="23"/>
        <v>0</v>
      </c>
      <c r="AC52" s="950">
        <f t="shared" si="24"/>
        <v>0</v>
      </c>
      <c r="AD52" s="950">
        <f t="shared" si="25"/>
        <v>0</v>
      </c>
      <c r="AE52" s="950">
        <f t="shared" si="26"/>
        <v>0</v>
      </c>
      <c r="AF52" s="950">
        <f t="shared" si="27"/>
        <v>0</v>
      </c>
      <c r="AG52" s="950">
        <f t="shared" si="28"/>
        <v>0</v>
      </c>
      <c r="AH52" s="950">
        <f t="shared" si="29"/>
        <v>0</v>
      </c>
    </row>
    <row r="53" spans="1:34" x14ac:dyDescent="0.2">
      <c r="A53" s="943" t="str">
        <f>IF(Personalplanung!B53&lt;&gt;"",Personalplanung!B53,IF(Personalplanung!A53&lt;&gt;"",Personalplanung!A53,""))</f>
        <v/>
      </c>
      <c r="B53" s="943"/>
      <c r="C53" s="943"/>
      <c r="D53" s="944">
        <f>Personalplanung!C53</f>
        <v>0</v>
      </c>
      <c r="E53" s="945">
        <f>Personalplanung!D53</f>
        <v>12</v>
      </c>
      <c r="F53" s="946">
        <f t="shared" si="16"/>
        <v>0</v>
      </c>
      <c r="G53" s="947">
        <v>1</v>
      </c>
      <c r="H53" s="947">
        <v>1</v>
      </c>
      <c r="I53" s="947">
        <v>1</v>
      </c>
      <c r="J53" s="947">
        <v>1</v>
      </c>
      <c r="K53" s="947">
        <v>1</v>
      </c>
      <c r="L53" s="947">
        <v>1</v>
      </c>
      <c r="M53" s="947">
        <v>1</v>
      </c>
      <c r="N53" s="947">
        <v>1</v>
      </c>
      <c r="O53" s="947">
        <v>1</v>
      </c>
      <c r="P53" s="947">
        <v>1</v>
      </c>
      <c r="Q53" s="947">
        <v>1</v>
      </c>
      <c r="R53" s="947">
        <v>1</v>
      </c>
      <c r="U53" s="950">
        <f>Personalplanung!AA53</f>
        <v>0</v>
      </c>
      <c r="V53" s="946">
        <f t="shared" si="17"/>
        <v>0</v>
      </c>
      <c r="W53" s="950">
        <f t="shared" si="18"/>
        <v>0</v>
      </c>
      <c r="X53" s="950">
        <f t="shared" si="19"/>
        <v>0</v>
      </c>
      <c r="Y53" s="950">
        <f t="shared" si="20"/>
        <v>0</v>
      </c>
      <c r="Z53" s="950">
        <f t="shared" si="21"/>
        <v>0</v>
      </c>
      <c r="AA53" s="950">
        <f t="shared" si="22"/>
        <v>0</v>
      </c>
      <c r="AB53" s="950">
        <f t="shared" si="23"/>
        <v>0</v>
      </c>
      <c r="AC53" s="950">
        <f t="shared" si="24"/>
        <v>0</v>
      </c>
      <c r="AD53" s="950">
        <f t="shared" si="25"/>
        <v>0</v>
      </c>
      <c r="AE53" s="950">
        <f t="shared" si="26"/>
        <v>0</v>
      </c>
      <c r="AF53" s="950">
        <f t="shared" si="27"/>
        <v>0</v>
      </c>
      <c r="AG53" s="950">
        <f t="shared" si="28"/>
        <v>0</v>
      </c>
      <c r="AH53" s="950">
        <f t="shared" si="29"/>
        <v>0</v>
      </c>
    </row>
    <row r="54" spans="1:34" x14ac:dyDescent="0.2">
      <c r="A54" s="943" t="str">
        <f>IF(Personalplanung!B54&lt;&gt;"",Personalplanung!B54,IF(Personalplanung!A54&lt;&gt;"",Personalplanung!A54,""))</f>
        <v/>
      </c>
      <c r="B54" s="943"/>
      <c r="C54" s="943"/>
      <c r="D54" s="944">
        <f>Personalplanung!C54</f>
        <v>0</v>
      </c>
      <c r="E54" s="945">
        <f>Personalplanung!D54</f>
        <v>12</v>
      </c>
      <c r="F54" s="946">
        <f t="shared" si="16"/>
        <v>0</v>
      </c>
      <c r="G54" s="947">
        <v>1</v>
      </c>
      <c r="H54" s="947">
        <v>1</v>
      </c>
      <c r="I54" s="947">
        <v>1</v>
      </c>
      <c r="J54" s="947">
        <v>1</v>
      </c>
      <c r="K54" s="947">
        <v>1</v>
      </c>
      <c r="L54" s="947">
        <v>1</v>
      </c>
      <c r="M54" s="947">
        <v>1</v>
      </c>
      <c r="N54" s="947">
        <v>1</v>
      </c>
      <c r="O54" s="947">
        <v>1</v>
      </c>
      <c r="P54" s="947">
        <v>1</v>
      </c>
      <c r="Q54" s="947">
        <v>1</v>
      </c>
      <c r="R54" s="947">
        <v>1</v>
      </c>
      <c r="U54" s="950">
        <f>Personalplanung!AA54</f>
        <v>0</v>
      </c>
      <c r="V54" s="946">
        <f t="shared" si="17"/>
        <v>0</v>
      </c>
      <c r="W54" s="950">
        <f t="shared" si="18"/>
        <v>0</v>
      </c>
      <c r="X54" s="950">
        <f t="shared" si="19"/>
        <v>0</v>
      </c>
      <c r="Y54" s="950">
        <f t="shared" si="20"/>
        <v>0</v>
      </c>
      <c r="Z54" s="950">
        <f t="shared" si="21"/>
        <v>0</v>
      </c>
      <c r="AA54" s="950">
        <f t="shared" si="22"/>
        <v>0</v>
      </c>
      <c r="AB54" s="950">
        <f t="shared" si="23"/>
        <v>0</v>
      </c>
      <c r="AC54" s="950">
        <f t="shared" si="24"/>
        <v>0</v>
      </c>
      <c r="AD54" s="950">
        <f t="shared" si="25"/>
        <v>0</v>
      </c>
      <c r="AE54" s="950">
        <f t="shared" si="26"/>
        <v>0</v>
      </c>
      <c r="AF54" s="950">
        <f t="shared" si="27"/>
        <v>0</v>
      </c>
      <c r="AG54" s="950">
        <f t="shared" si="28"/>
        <v>0</v>
      </c>
      <c r="AH54" s="950">
        <f t="shared" si="29"/>
        <v>0</v>
      </c>
    </row>
    <row r="55" spans="1:34" x14ac:dyDescent="0.2">
      <c r="A55" s="943" t="str">
        <f>IF(Personalplanung!B55&lt;&gt;"",Personalplanung!B55,IF(Personalplanung!A55&lt;&gt;"",Personalplanung!A55,""))</f>
        <v/>
      </c>
      <c r="B55" s="943"/>
      <c r="C55" s="943"/>
      <c r="D55" s="944">
        <f>Personalplanung!C55</f>
        <v>0</v>
      </c>
      <c r="E55" s="945">
        <f>Personalplanung!D55</f>
        <v>12</v>
      </c>
      <c r="F55" s="946">
        <f t="shared" si="16"/>
        <v>0</v>
      </c>
      <c r="G55" s="947">
        <v>1</v>
      </c>
      <c r="H55" s="947">
        <v>1</v>
      </c>
      <c r="I55" s="947">
        <v>1</v>
      </c>
      <c r="J55" s="947">
        <v>1</v>
      </c>
      <c r="K55" s="947">
        <v>1</v>
      </c>
      <c r="L55" s="947">
        <v>1</v>
      </c>
      <c r="M55" s="947">
        <v>1</v>
      </c>
      <c r="N55" s="947">
        <v>1</v>
      </c>
      <c r="O55" s="947">
        <v>1</v>
      </c>
      <c r="P55" s="947">
        <v>1</v>
      </c>
      <c r="Q55" s="947">
        <v>1</v>
      </c>
      <c r="R55" s="947">
        <v>1</v>
      </c>
      <c r="U55" s="950">
        <f>Personalplanung!AA55</f>
        <v>0</v>
      </c>
      <c r="V55" s="946">
        <f t="shared" si="17"/>
        <v>0</v>
      </c>
      <c r="W55" s="950">
        <f t="shared" si="18"/>
        <v>0</v>
      </c>
      <c r="X55" s="950">
        <f t="shared" si="19"/>
        <v>0</v>
      </c>
      <c r="Y55" s="950">
        <f t="shared" si="20"/>
        <v>0</v>
      </c>
      <c r="Z55" s="950">
        <f t="shared" si="21"/>
        <v>0</v>
      </c>
      <c r="AA55" s="950">
        <f t="shared" si="22"/>
        <v>0</v>
      </c>
      <c r="AB55" s="950">
        <f t="shared" si="23"/>
        <v>0</v>
      </c>
      <c r="AC55" s="950">
        <f t="shared" si="24"/>
        <v>0</v>
      </c>
      <c r="AD55" s="950">
        <f t="shared" si="25"/>
        <v>0</v>
      </c>
      <c r="AE55" s="950">
        <f t="shared" si="26"/>
        <v>0</v>
      </c>
      <c r="AF55" s="950">
        <f t="shared" si="27"/>
        <v>0</v>
      </c>
      <c r="AG55" s="950">
        <f t="shared" si="28"/>
        <v>0</v>
      </c>
      <c r="AH55" s="950">
        <f t="shared" si="29"/>
        <v>0</v>
      </c>
    </row>
    <row r="56" spans="1:34" x14ac:dyDescent="0.2">
      <c r="A56" s="943" t="str">
        <f>IF(Personalplanung!B56&lt;&gt;"",Personalplanung!B56,IF(Personalplanung!A56&lt;&gt;"",Personalplanung!A56,""))</f>
        <v/>
      </c>
      <c r="B56" s="943"/>
      <c r="C56" s="943"/>
      <c r="D56" s="944">
        <f>Personalplanung!C56</f>
        <v>0</v>
      </c>
      <c r="E56" s="945">
        <f>Personalplanung!D56</f>
        <v>12</v>
      </c>
      <c r="F56" s="946">
        <f t="shared" si="16"/>
        <v>0</v>
      </c>
      <c r="G56" s="947">
        <v>1</v>
      </c>
      <c r="H56" s="947">
        <v>1</v>
      </c>
      <c r="I56" s="947">
        <v>1</v>
      </c>
      <c r="J56" s="947">
        <v>1</v>
      </c>
      <c r="K56" s="947">
        <v>1</v>
      </c>
      <c r="L56" s="947">
        <v>1</v>
      </c>
      <c r="M56" s="947">
        <v>1</v>
      </c>
      <c r="N56" s="947">
        <v>1</v>
      </c>
      <c r="O56" s="947">
        <v>1</v>
      </c>
      <c r="P56" s="947">
        <v>1</v>
      </c>
      <c r="Q56" s="947">
        <v>1</v>
      </c>
      <c r="R56" s="947">
        <v>1</v>
      </c>
      <c r="U56" s="950">
        <f>Personalplanung!AA56</f>
        <v>0</v>
      </c>
      <c r="V56" s="946">
        <f t="shared" si="17"/>
        <v>0</v>
      </c>
      <c r="W56" s="950">
        <f t="shared" si="18"/>
        <v>0</v>
      </c>
      <c r="X56" s="950">
        <f t="shared" si="19"/>
        <v>0</v>
      </c>
      <c r="Y56" s="950">
        <f t="shared" si="20"/>
        <v>0</v>
      </c>
      <c r="Z56" s="950">
        <f t="shared" si="21"/>
        <v>0</v>
      </c>
      <c r="AA56" s="950">
        <f t="shared" si="22"/>
        <v>0</v>
      </c>
      <c r="AB56" s="950">
        <f t="shared" si="23"/>
        <v>0</v>
      </c>
      <c r="AC56" s="950">
        <f t="shared" si="24"/>
        <v>0</v>
      </c>
      <c r="AD56" s="950">
        <f t="shared" si="25"/>
        <v>0</v>
      </c>
      <c r="AE56" s="950">
        <f t="shared" si="26"/>
        <v>0</v>
      </c>
      <c r="AF56" s="950">
        <f t="shared" si="27"/>
        <v>0</v>
      </c>
      <c r="AG56" s="950">
        <f t="shared" si="28"/>
        <v>0</v>
      </c>
      <c r="AH56" s="950">
        <f t="shared" si="29"/>
        <v>0</v>
      </c>
    </row>
    <row r="57" spans="1:34" x14ac:dyDescent="0.2">
      <c r="A57" s="943" t="str">
        <f>IF(Personalplanung!B57&lt;&gt;"",Personalplanung!B57,IF(Personalplanung!A57&lt;&gt;"",Personalplanung!A57,""))</f>
        <v/>
      </c>
      <c r="B57" s="943"/>
      <c r="C57" s="943"/>
      <c r="D57" s="944">
        <f>Personalplanung!C57</f>
        <v>0</v>
      </c>
      <c r="E57" s="945">
        <f>Personalplanung!D57</f>
        <v>12</v>
      </c>
      <c r="F57" s="946">
        <f t="shared" si="16"/>
        <v>0</v>
      </c>
      <c r="G57" s="947">
        <v>1</v>
      </c>
      <c r="H57" s="947">
        <v>1</v>
      </c>
      <c r="I57" s="947">
        <v>1</v>
      </c>
      <c r="J57" s="947">
        <v>1</v>
      </c>
      <c r="K57" s="947">
        <v>1</v>
      </c>
      <c r="L57" s="947">
        <v>1</v>
      </c>
      <c r="M57" s="947">
        <v>1</v>
      </c>
      <c r="N57" s="947">
        <v>1</v>
      </c>
      <c r="O57" s="947">
        <v>1</v>
      </c>
      <c r="P57" s="947">
        <v>1</v>
      </c>
      <c r="Q57" s="947">
        <v>1</v>
      </c>
      <c r="R57" s="947">
        <v>1</v>
      </c>
      <c r="U57" s="950">
        <f>Personalplanung!AA57</f>
        <v>0</v>
      </c>
      <c r="V57" s="946">
        <f t="shared" si="17"/>
        <v>0</v>
      </c>
      <c r="W57" s="950">
        <f t="shared" si="18"/>
        <v>0</v>
      </c>
      <c r="X57" s="950">
        <f t="shared" si="19"/>
        <v>0</v>
      </c>
      <c r="Y57" s="950">
        <f t="shared" si="20"/>
        <v>0</v>
      </c>
      <c r="Z57" s="950">
        <f t="shared" si="21"/>
        <v>0</v>
      </c>
      <c r="AA57" s="950">
        <f t="shared" si="22"/>
        <v>0</v>
      </c>
      <c r="AB57" s="950">
        <f t="shared" si="23"/>
        <v>0</v>
      </c>
      <c r="AC57" s="950">
        <f t="shared" si="24"/>
        <v>0</v>
      </c>
      <c r="AD57" s="950">
        <f t="shared" si="25"/>
        <v>0</v>
      </c>
      <c r="AE57" s="950">
        <f t="shared" si="26"/>
        <v>0</v>
      </c>
      <c r="AF57" s="950">
        <f t="shared" si="27"/>
        <v>0</v>
      </c>
      <c r="AG57" s="950">
        <f t="shared" si="28"/>
        <v>0</v>
      </c>
      <c r="AH57" s="950">
        <f t="shared" si="29"/>
        <v>0</v>
      </c>
    </row>
    <row r="58" spans="1:34" x14ac:dyDescent="0.2">
      <c r="A58" s="943" t="str">
        <f>IF(Personalplanung!B58&lt;&gt;"",Personalplanung!B58,IF(Personalplanung!A58&lt;&gt;"",Personalplanung!A58,""))</f>
        <v/>
      </c>
      <c r="B58" s="943"/>
      <c r="C58" s="943"/>
      <c r="D58" s="944">
        <f>Personalplanung!C58</f>
        <v>0</v>
      </c>
      <c r="E58" s="945">
        <f>Personalplanung!D58</f>
        <v>12</v>
      </c>
      <c r="F58" s="946">
        <f t="shared" si="16"/>
        <v>0</v>
      </c>
      <c r="G58" s="947">
        <v>1</v>
      </c>
      <c r="H58" s="947">
        <v>1</v>
      </c>
      <c r="I58" s="947">
        <v>1</v>
      </c>
      <c r="J58" s="947">
        <v>1</v>
      </c>
      <c r="K58" s="947">
        <v>1</v>
      </c>
      <c r="L58" s="947">
        <v>1</v>
      </c>
      <c r="M58" s="947">
        <v>1</v>
      </c>
      <c r="N58" s="947">
        <v>1</v>
      </c>
      <c r="O58" s="947">
        <v>1</v>
      </c>
      <c r="P58" s="947">
        <v>1</v>
      </c>
      <c r="Q58" s="947">
        <v>1</v>
      </c>
      <c r="R58" s="947">
        <v>1</v>
      </c>
      <c r="U58" s="950">
        <f>Personalplanung!AA58</f>
        <v>0</v>
      </c>
      <c r="V58" s="946">
        <f t="shared" si="17"/>
        <v>0</v>
      </c>
      <c r="W58" s="950">
        <f t="shared" si="18"/>
        <v>0</v>
      </c>
      <c r="X58" s="950">
        <f t="shared" si="19"/>
        <v>0</v>
      </c>
      <c r="Y58" s="950">
        <f t="shared" si="20"/>
        <v>0</v>
      </c>
      <c r="Z58" s="950">
        <f t="shared" si="21"/>
        <v>0</v>
      </c>
      <c r="AA58" s="950">
        <f t="shared" si="22"/>
        <v>0</v>
      </c>
      <c r="AB58" s="950">
        <f t="shared" si="23"/>
        <v>0</v>
      </c>
      <c r="AC58" s="950">
        <f t="shared" si="24"/>
        <v>0</v>
      </c>
      <c r="AD58" s="950">
        <f t="shared" si="25"/>
        <v>0</v>
      </c>
      <c r="AE58" s="950">
        <f t="shared" si="26"/>
        <v>0</v>
      </c>
      <c r="AF58" s="950">
        <f t="shared" si="27"/>
        <v>0</v>
      </c>
      <c r="AG58" s="950">
        <f t="shared" si="28"/>
        <v>0</v>
      </c>
      <c r="AH58" s="950">
        <f t="shared" si="29"/>
        <v>0</v>
      </c>
    </row>
    <row r="59" spans="1:34" x14ac:dyDescent="0.2">
      <c r="A59" s="943" t="str">
        <f>IF(Personalplanung!B59&lt;&gt;"",Personalplanung!B59,IF(Personalplanung!A59&lt;&gt;"",Personalplanung!A59,""))</f>
        <v/>
      </c>
      <c r="B59" s="943"/>
      <c r="C59" s="943"/>
      <c r="D59" s="944">
        <f>Personalplanung!C59</f>
        <v>0</v>
      </c>
      <c r="E59" s="945">
        <f>Personalplanung!D59</f>
        <v>12</v>
      </c>
      <c r="F59" s="946">
        <f t="shared" si="16"/>
        <v>0</v>
      </c>
      <c r="G59" s="947">
        <v>1</v>
      </c>
      <c r="H59" s="947">
        <v>1</v>
      </c>
      <c r="I59" s="947">
        <v>1</v>
      </c>
      <c r="J59" s="947">
        <v>1</v>
      </c>
      <c r="K59" s="947">
        <v>1</v>
      </c>
      <c r="L59" s="947">
        <v>1</v>
      </c>
      <c r="M59" s="947">
        <v>1</v>
      </c>
      <c r="N59" s="947">
        <v>1</v>
      </c>
      <c r="O59" s="947">
        <v>1</v>
      </c>
      <c r="P59" s="947">
        <v>1</v>
      </c>
      <c r="Q59" s="947">
        <v>1</v>
      </c>
      <c r="R59" s="947">
        <v>1</v>
      </c>
      <c r="U59" s="950">
        <f>Personalplanung!AA59</f>
        <v>0</v>
      </c>
      <c r="V59" s="946">
        <f t="shared" si="17"/>
        <v>0</v>
      </c>
      <c r="W59" s="950">
        <f t="shared" si="18"/>
        <v>0</v>
      </c>
      <c r="X59" s="950">
        <f t="shared" si="19"/>
        <v>0</v>
      </c>
      <c r="Y59" s="950">
        <f t="shared" si="20"/>
        <v>0</v>
      </c>
      <c r="Z59" s="950">
        <f t="shared" si="21"/>
        <v>0</v>
      </c>
      <c r="AA59" s="950">
        <f t="shared" si="22"/>
        <v>0</v>
      </c>
      <c r="AB59" s="950">
        <f t="shared" si="23"/>
        <v>0</v>
      </c>
      <c r="AC59" s="950">
        <f t="shared" si="24"/>
        <v>0</v>
      </c>
      <c r="AD59" s="950">
        <f t="shared" si="25"/>
        <v>0</v>
      </c>
      <c r="AE59" s="950">
        <f t="shared" si="26"/>
        <v>0</v>
      </c>
      <c r="AF59" s="950">
        <f t="shared" si="27"/>
        <v>0</v>
      </c>
      <c r="AG59" s="950">
        <f t="shared" si="28"/>
        <v>0</v>
      </c>
      <c r="AH59" s="950">
        <f t="shared" si="29"/>
        <v>0</v>
      </c>
    </row>
    <row r="60" spans="1:34" x14ac:dyDescent="0.2">
      <c r="A60" s="943" t="str">
        <f>IF(Personalplanung!B60&lt;&gt;"",Personalplanung!B60,IF(Personalplanung!A60&lt;&gt;"",Personalplanung!A60,""))</f>
        <v/>
      </c>
      <c r="B60" s="943"/>
      <c r="C60" s="943"/>
      <c r="D60" s="944">
        <f>Personalplanung!C60</f>
        <v>0</v>
      </c>
      <c r="E60" s="945">
        <f>Personalplanung!D60</f>
        <v>12</v>
      </c>
      <c r="F60" s="946">
        <f t="shared" si="16"/>
        <v>0</v>
      </c>
      <c r="G60" s="947">
        <v>1</v>
      </c>
      <c r="H60" s="947">
        <v>1</v>
      </c>
      <c r="I60" s="947">
        <v>1</v>
      </c>
      <c r="J60" s="947">
        <v>1</v>
      </c>
      <c r="K60" s="947">
        <v>1</v>
      </c>
      <c r="L60" s="947">
        <v>1</v>
      </c>
      <c r="M60" s="947">
        <v>1</v>
      </c>
      <c r="N60" s="947">
        <v>1</v>
      </c>
      <c r="O60" s="947">
        <v>1</v>
      </c>
      <c r="P60" s="947">
        <v>1</v>
      </c>
      <c r="Q60" s="947">
        <v>1</v>
      </c>
      <c r="R60" s="947">
        <v>1</v>
      </c>
      <c r="U60" s="950">
        <f>Personalplanung!AA60</f>
        <v>0</v>
      </c>
      <c r="V60" s="946">
        <f t="shared" si="17"/>
        <v>0</v>
      </c>
      <c r="W60" s="950">
        <f t="shared" si="18"/>
        <v>0</v>
      </c>
      <c r="X60" s="950">
        <f t="shared" si="19"/>
        <v>0</v>
      </c>
      <c r="Y60" s="950">
        <f t="shared" si="20"/>
        <v>0</v>
      </c>
      <c r="Z60" s="950">
        <f t="shared" si="21"/>
        <v>0</v>
      </c>
      <c r="AA60" s="950">
        <f t="shared" si="22"/>
        <v>0</v>
      </c>
      <c r="AB60" s="950">
        <f t="shared" si="23"/>
        <v>0</v>
      </c>
      <c r="AC60" s="950">
        <f t="shared" si="24"/>
        <v>0</v>
      </c>
      <c r="AD60" s="950">
        <f t="shared" si="25"/>
        <v>0</v>
      </c>
      <c r="AE60" s="950">
        <f t="shared" si="26"/>
        <v>0</v>
      </c>
      <c r="AF60" s="950">
        <f t="shared" si="27"/>
        <v>0</v>
      </c>
      <c r="AG60" s="950">
        <f t="shared" si="28"/>
        <v>0</v>
      </c>
      <c r="AH60" s="950">
        <f t="shared" si="29"/>
        <v>0</v>
      </c>
    </row>
    <row r="61" spans="1:34" x14ac:dyDescent="0.2">
      <c r="A61" s="943" t="str">
        <f>IF(Personalplanung!B61&lt;&gt;"",Personalplanung!B61,IF(Personalplanung!A61&lt;&gt;"",Personalplanung!A61,""))</f>
        <v/>
      </c>
      <c r="B61" s="943"/>
      <c r="C61" s="943"/>
      <c r="D61" s="944">
        <f>Personalplanung!C61</f>
        <v>0</v>
      </c>
      <c r="E61" s="945">
        <f>Personalplanung!D61</f>
        <v>12</v>
      </c>
      <c r="F61" s="946">
        <f t="shared" si="16"/>
        <v>0</v>
      </c>
      <c r="G61" s="947">
        <v>1</v>
      </c>
      <c r="H61" s="947">
        <v>1</v>
      </c>
      <c r="I61" s="947">
        <v>1</v>
      </c>
      <c r="J61" s="947">
        <v>1</v>
      </c>
      <c r="K61" s="947">
        <v>1</v>
      </c>
      <c r="L61" s="947">
        <v>1</v>
      </c>
      <c r="M61" s="947">
        <v>1</v>
      </c>
      <c r="N61" s="947">
        <v>1</v>
      </c>
      <c r="O61" s="947">
        <v>1</v>
      </c>
      <c r="P61" s="947">
        <v>1</v>
      </c>
      <c r="Q61" s="947">
        <v>1</v>
      </c>
      <c r="R61" s="947">
        <v>1</v>
      </c>
      <c r="U61" s="950">
        <f>Personalplanung!AA61</f>
        <v>0</v>
      </c>
      <c r="V61" s="946">
        <f t="shared" si="17"/>
        <v>0</v>
      </c>
      <c r="W61" s="950">
        <f t="shared" si="18"/>
        <v>0</v>
      </c>
      <c r="X61" s="950">
        <f t="shared" si="19"/>
        <v>0</v>
      </c>
      <c r="Y61" s="950">
        <f t="shared" si="20"/>
        <v>0</v>
      </c>
      <c r="Z61" s="950">
        <f t="shared" si="21"/>
        <v>0</v>
      </c>
      <c r="AA61" s="950">
        <f t="shared" si="22"/>
        <v>0</v>
      </c>
      <c r="AB61" s="950">
        <f t="shared" si="23"/>
        <v>0</v>
      </c>
      <c r="AC61" s="950">
        <f t="shared" si="24"/>
        <v>0</v>
      </c>
      <c r="AD61" s="950">
        <f t="shared" si="25"/>
        <v>0</v>
      </c>
      <c r="AE61" s="950">
        <f t="shared" si="26"/>
        <v>0</v>
      </c>
      <c r="AF61" s="950">
        <f t="shared" si="27"/>
        <v>0</v>
      </c>
      <c r="AG61" s="950">
        <f t="shared" si="28"/>
        <v>0</v>
      </c>
      <c r="AH61" s="950">
        <f t="shared" si="29"/>
        <v>0</v>
      </c>
    </row>
    <row r="62" spans="1:34" x14ac:dyDescent="0.2">
      <c r="A62" s="943" t="str">
        <f>IF(Personalplanung!B62&lt;&gt;"",Personalplanung!B62,IF(Personalplanung!A62&lt;&gt;"",Personalplanung!A62,""))</f>
        <v/>
      </c>
      <c r="B62" s="943"/>
      <c r="C62" s="943"/>
      <c r="D62" s="944">
        <f>Personalplanung!C62</f>
        <v>0</v>
      </c>
      <c r="E62" s="945">
        <f>Personalplanung!D62</f>
        <v>12</v>
      </c>
      <c r="F62" s="946">
        <f t="shared" si="16"/>
        <v>0</v>
      </c>
      <c r="G62" s="947">
        <v>1</v>
      </c>
      <c r="H62" s="947">
        <v>1</v>
      </c>
      <c r="I62" s="947">
        <v>1</v>
      </c>
      <c r="J62" s="947">
        <v>1</v>
      </c>
      <c r="K62" s="947">
        <v>1</v>
      </c>
      <c r="L62" s="947">
        <v>1</v>
      </c>
      <c r="M62" s="947">
        <v>1</v>
      </c>
      <c r="N62" s="947">
        <v>1</v>
      </c>
      <c r="O62" s="947">
        <v>1</v>
      </c>
      <c r="P62" s="947">
        <v>1</v>
      </c>
      <c r="Q62" s="947">
        <v>1</v>
      </c>
      <c r="R62" s="947">
        <v>1</v>
      </c>
      <c r="U62" s="950">
        <f>Personalplanung!AA62</f>
        <v>0</v>
      </c>
      <c r="V62" s="946">
        <f t="shared" si="17"/>
        <v>0</v>
      </c>
      <c r="W62" s="950">
        <f t="shared" si="18"/>
        <v>0</v>
      </c>
      <c r="X62" s="950">
        <f t="shared" si="19"/>
        <v>0</v>
      </c>
      <c r="Y62" s="950">
        <f t="shared" si="20"/>
        <v>0</v>
      </c>
      <c r="Z62" s="950">
        <f t="shared" si="21"/>
        <v>0</v>
      </c>
      <c r="AA62" s="950">
        <f t="shared" si="22"/>
        <v>0</v>
      </c>
      <c r="AB62" s="950">
        <f t="shared" si="23"/>
        <v>0</v>
      </c>
      <c r="AC62" s="950">
        <f t="shared" si="24"/>
        <v>0</v>
      </c>
      <c r="AD62" s="950">
        <f t="shared" si="25"/>
        <v>0</v>
      </c>
      <c r="AE62" s="950">
        <f t="shared" si="26"/>
        <v>0</v>
      </c>
      <c r="AF62" s="950">
        <f t="shared" si="27"/>
        <v>0</v>
      </c>
      <c r="AG62" s="950">
        <f t="shared" si="28"/>
        <v>0</v>
      </c>
      <c r="AH62" s="950">
        <f t="shared" si="29"/>
        <v>0</v>
      </c>
    </row>
    <row r="63" spans="1:34" x14ac:dyDescent="0.2">
      <c r="A63" s="943" t="str">
        <f>IF(Personalplanung!B63&lt;&gt;"",Personalplanung!B63,IF(Personalplanung!A63&lt;&gt;"",Personalplanung!A63,""))</f>
        <v/>
      </c>
      <c r="B63" s="943"/>
      <c r="C63" s="943"/>
      <c r="D63" s="944">
        <f>Personalplanung!C63</f>
        <v>0</v>
      </c>
      <c r="E63" s="945">
        <f>Personalplanung!D63</f>
        <v>12</v>
      </c>
      <c r="F63" s="946">
        <f t="shared" si="16"/>
        <v>0</v>
      </c>
      <c r="G63" s="947">
        <v>1</v>
      </c>
      <c r="H63" s="947">
        <v>1</v>
      </c>
      <c r="I63" s="947">
        <v>1</v>
      </c>
      <c r="J63" s="947">
        <v>1</v>
      </c>
      <c r="K63" s="947">
        <v>1</v>
      </c>
      <c r="L63" s="947">
        <v>1</v>
      </c>
      <c r="M63" s="947">
        <v>1</v>
      </c>
      <c r="N63" s="947">
        <v>1</v>
      </c>
      <c r="O63" s="947">
        <v>1</v>
      </c>
      <c r="P63" s="947">
        <v>1</v>
      </c>
      <c r="Q63" s="947">
        <v>1</v>
      </c>
      <c r="R63" s="947">
        <v>1</v>
      </c>
      <c r="U63" s="950">
        <f>Personalplanung!AA63</f>
        <v>0</v>
      </c>
      <c r="V63" s="946">
        <f t="shared" si="17"/>
        <v>0</v>
      </c>
      <c r="W63" s="950">
        <f t="shared" si="18"/>
        <v>0</v>
      </c>
      <c r="X63" s="950">
        <f t="shared" si="19"/>
        <v>0</v>
      </c>
      <c r="Y63" s="950">
        <f t="shared" si="20"/>
        <v>0</v>
      </c>
      <c r="Z63" s="950">
        <f t="shared" si="21"/>
        <v>0</v>
      </c>
      <c r="AA63" s="950">
        <f t="shared" si="22"/>
        <v>0</v>
      </c>
      <c r="AB63" s="950">
        <f t="shared" si="23"/>
        <v>0</v>
      </c>
      <c r="AC63" s="950">
        <f t="shared" si="24"/>
        <v>0</v>
      </c>
      <c r="AD63" s="950">
        <f t="shared" si="25"/>
        <v>0</v>
      </c>
      <c r="AE63" s="950">
        <f t="shared" si="26"/>
        <v>0</v>
      </c>
      <c r="AF63" s="950">
        <f t="shared" si="27"/>
        <v>0</v>
      </c>
      <c r="AG63" s="950">
        <f t="shared" si="28"/>
        <v>0</v>
      </c>
      <c r="AH63" s="950">
        <f t="shared" si="29"/>
        <v>0</v>
      </c>
    </row>
    <row r="64" spans="1:34" x14ac:dyDescent="0.2">
      <c r="A64" s="943" t="str">
        <f>IF(Personalplanung!B64&lt;&gt;"",Personalplanung!B64,IF(Personalplanung!A64&lt;&gt;"",Personalplanung!A64,""))</f>
        <v/>
      </c>
      <c r="B64" s="943"/>
      <c r="C64" s="943"/>
      <c r="D64" s="944">
        <f>Personalplanung!C64</f>
        <v>0</v>
      </c>
      <c r="E64" s="945">
        <f>Personalplanung!D64</f>
        <v>12</v>
      </c>
      <c r="F64" s="946">
        <f t="shared" si="16"/>
        <v>0</v>
      </c>
      <c r="G64" s="947">
        <v>1</v>
      </c>
      <c r="H64" s="947">
        <v>1</v>
      </c>
      <c r="I64" s="947">
        <v>1</v>
      </c>
      <c r="J64" s="947">
        <v>1</v>
      </c>
      <c r="K64" s="947">
        <v>1</v>
      </c>
      <c r="L64" s="947">
        <v>1</v>
      </c>
      <c r="M64" s="947">
        <v>1</v>
      </c>
      <c r="N64" s="947">
        <v>1</v>
      </c>
      <c r="O64" s="947">
        <v>1</v>
      </c>
      <c r="P64" s="947">
        <v>1</v>
      </c>
      <c r="Q64" s="947">
        <v>1</v>
      </c>
      <c r="R64" s="947">
        <v>1</v>
      </c>
      <c r="U64" s="950">
        <f>Personalplanung!AA64</f>
        <v>0</v>
      </c>
      <c r="V64" s="946">
        <f t="shared" si="17"/>
        <v>0</v>
      </c>
      <c r="W64" s="950">
        <f t="shared" si="18"/>
        <v>0</v>
      </c>
      <c r="X64" s="950">
        <f t="shared" si="19"/>
        <v>0</v>
      </c>
      <c r="Y64" s="950">
        <f t="shared" si="20"/>
        <v>0</v>
      </c>
      <c r="Z64" s="950">
        <f t="shared" si="21"/>
        <v>0</v>
      </c>
      <c r="AA64" s="950">
        <f t="shared" si="22"/>
        <v>0</v>
      </c>
      <c r="AB64" s="950">
        <f t="shared" si="23"/>
        <v>0</v>
      </c>
      <c r="AC64" s="950">
        <f t="shared" si="24"/>
        <v>0</v>
      </c>
      <c r="AD64" s="950">
        <f t="shared" si="25"/>
        <v>0</v>
      </c>
      <c r="AE64" s="950">
        <f t="shared" si="26"/>
        <v>0</v>
      </c>
      <c r="AF64" s="950">
        <f t="shared" si="27"/>
        <v>0</v>
      </c>
      <c r="AG64" s="950">
        <f t="shared" si="28"/>
        <v>0</v>
      </c>
      <c r="AH64" s="950">
        <f t="shared" si="29"/>
        <v>0</v>
      </c>
    </row>
    <row r="65" spans="1:34" x14ac:dyDescent="0.2">
      <c r="A65" s="943" t="str">
        <f>IF(Personalplanung!B65&lt;&gt;"",Personalplanung!B65,IF(Personalplanung!A65&lt;&gt;"",Personalplanung!A65,""))</f>
        <v/>
      </c>
      <c r="B65" s="943"/>
      <c r="C65" s="943"/>
      <c r="D65" s="944">
        <f>Personalplanung!C65</f>
        <v>0</v>
      </c>
      <c r="E65" s="945">
        <f>Personalplanung!D65</f>
        <v>12</v>
      </c>
      <c r="F65" s="946">
        <f t="shared" si="16"/>
        <v>0</v>
      </c>
      <c r="G65" s="947">
        <v>1</v>
      </c>
      <c r="H65" s="947">
        <v>1</v>
      </c>
      <c r="I65" s="947">
        <v>1</v>
      </c>
      <c r="J65" s="947">
        <v>1</v>
      </c>
      <c r="K65" s="947">
        <v>1</v>
      </c>
      <c r="L65" s="947">
        <v>1</v>
      </c>
      <c r="M65" s="947">
        <v>1</v>
      </c>
      <c r="N65" s="947">
        <v>1</v>
      </c>
      <c r="O65" s="947">
        <v>1</v>
      </c>
      <c r="P65" s="947">
        <v>1</v>
      </c>
      <c r="Q65" s="947">
        <v>1</v>
      </c>
      <c r="R65" s="947">
        <v>1</v>
      </c>
      <c r="U65" s="950">
        <f>Personalplanung!AA65</f>
        <v>0</v>
      </c>
      <c r="V65" s="946">
        <f t="shared" si="17"/>
        <v>0</v>
      </c>
      <c r="W65" s="950">
        <f t="shared" si="18"/>
        <v>0</v>
      </c>
      <c r="X65" s="950">
        <f t="shared" si="19"/>
        <v>0</v>
      </c>
      <c r="Y65" s="950">
        <f t="shared" si="20"/>
        <v>0</v>
      </c>
      <c r="Z65" s="950">
        <f t="shared" si="21"/>
        <v>0</v>
      </c>
      <c r="AA65" s="950">
        <f t="shared" si="22"/>
        <v>0</v>
      </c>
      <c r="AB65" s="950">
        <f t="shared" si="23"/>
        <v>0</v>
      </c>
      <c r="AC65" s="950">
        <f t="shared" si="24"/>
        <v>0</v>
      </c>
      <c r="AD65" s="950">
        <f t="shared" si="25"/>
        <v>0</v>
      </c>
      <c r="AE65" s="950">
        <f t="shared" si="26"/>
        <v>0</v>
      </c>
      <c r="AF65" s="950">
        <f t="shared" si="27"/>
        <v>0</v>
      </c>
      <c r="AG65" s="950">
        <f t="shared" si="28"/>
        <v>0</v>
      </c>
      <c r="AH65" s="950">
        <f t="shared" si="29"/>
        <v>0</v>
      </c>
    </row>
    <row r="66" spans="1:34" x14ac:dyDescent="0.2">
      <c r="A66" s="943" t="str">
        <f>IF(Personalplanung!B66&lt;&gt;"",Personalplanung!B66,IF(Personalplanung!A66&lt;&gt;"",Personalplanung!A66,""))</f>
        <v/>
      </c>
      <c r="B66" s="943"/>
      <c r="C66" s="943"/>
      <c r="D66" s="944">
        <f>Personalplanung!C66</f>
        <v>0</v>
      </c>
      <c r="E66" s="945">
        <f>Personalplanung!D66</f>
        <v>12</v>
      </c>
      <c r="F66" s="946">
        <f t="shared" si="16"/>
        <v>0</v>
      </c>
      <c r="G66" s="947">
        <v>1</v>
      </c>
      <c r="H66" s="947">
        <v>1</v>
      </c>
      <c r="I66" s="947">
        <v>1</v>
      </c>
      <c r="J66" s="947">
        <v>1</v>
      </c>
      <c r="K66" s="947">
        <v>1</v>
      </c>
      <c r="L66" s="947">
        <v>1</v>
      </c>
      <c r="M66" s="947">
        <v>1</v>
      </c>
      <c r="N66" s="947">
        <v>1</v>
      </c>
      <c r="O66" s="947">
        <v>1</v>
      </c>
      <c r="P66" s="947">
        <v>1</v>
      </c>
      <c r="Q66" s="947">
        <v>1</v>
      </c>
      <c r="R66" s="947">
        <v>1</v>
      </c>
      <c r="U66" s="950">
        <f>Personalplanung!AA66</f>
        <v>0</v>
      </c>
      <c r="V66" s="946">
        <f t="shared" si="17"/>
        <v>0</v>
      </c>
      <c r="W66" s="950">
        <f t="shared" si="18"/>
        <v>0</v>
      </c>
      <c r="X66" s="950">
        <f t="shared" si="19"/>
        <v>0</v>
      </c>
      <c r="Y66" s="950">
        <f t="shared" si="20"/>
        <v>0</v>
      </c>
      <c r="Z66" s="950">
        <f t="shared" si="21"/>
        <v>0</v>
      </c>
      <c r="AA66" s="950">
        <f t="shared" si="22"/>
        <v>0</v>
      </c>
      <c r="AB66" s="950">
        <f t="shared" si="23"/>
        <v>0</v>
      </c>
      <c r="AC66" s="950">
        <f t="shared" si="24"/>
        <v>0</v>
      </c>
      <c r="AD66" s="950">
        <f t="shared" si="25"/>
        <v>0</v>
      </c>
      <c r="AE66" s="950">
        <f t="shared" si="26"/>
        <v>0</v>
      </c>
      <c r="AF66" s="950">
        <f t="shared" si="27"/>
        <v>0</v>
      </c>
      <c r="AG66" s="950">
        <f t="shared" si="28"/>
        <v>0</v>
      </c>
      <c r="AH66" s="950">
        <f t="shared" si="29"/>
        <v>0</v>
      </c>
    </row>
    <row r="67" spans="1:34" x14ac:dyDescent="0.2">
      <c r="A67" s="943" t="str">
        <f>IF(Personalplanung!B67&lt;&gt;"",Personalplanung!B67,IF(Personalplanung!A67&lt;&gt;"",Personalplanung!A67,""))</f>
        <v/>
      </c>
      <c r="B67" s="943"/>
      <c r="C67" s="943"/>
      <c r="D67" s="944">
        <f>Personalplanung!C67</f>
        <v>0</v>
      </c>
      <c r="E67" s="945">
        <f>Personalplanung!D67</f>
        <v>12</v>
      </c>
      <c r="F67" s="946">
        <f t="shared" si="16"/>
        <v>0</v>
      </c>
      <c r="G67" s="947">
        <v>1</v>
      </c>
      <c r="H67" s="947">
        <v>1</v>
      </c>
      <c r="I67" s="947">
        <v>1</v>
      </c>
      <c r="J67" s="947">
        <v>1</v>
      </c>
      <c r="K67" s="947">
        <v>1</v>
      </c>
      <c r="L67" s="947">
        <v>1</v>
      </c>
      <c r="M67" s="947">
        <v>1</v>
      </c>
      <c r="N67" s="947">
        <v>1</v>
      </c>
      <c r="O67" s="947">
        <v>1</v>
      </c>
      <c r="P67" s="947">
        <v>1</v>
      </c>
      <c r="Q67" s="947">
        <v>1</v>
      </c>
      <c r="R67" s="947">
        <v>1</v>
      </c>
      <c r="U67" s="950">
        <f>Personalplanung!AA67</f>
        <v>0</v>
      </c>
      <c r="V67" s="946">
        <f t="shared" si="17"/>
        <v>0</v>
      </c>
      <c r="W67" s="950">
        <f t="shared" si="18"/>
        <v>0</v>
      </c>
      <c r="X67" s="950">
        <f t="shared" si="19"/>
        <v>0</v>
      </c>
      <c r="Y67" s="950">
        <f t="shared" si="20"/>
        <v>0</v>
      </c>
      <c r="Z67" s="950">
        <f t="shared" si="21"/>
        <v>0</v>
      </c>
      <c r="AA67" s="950">
        <f t="shared" si="22"/>
        <v>0</v>
      </c>
      <c r="AB67" s="950">
        <f t="shared" si="23"/>
        <v>0</v>
      </c>
      <c r="AC67" s="950">
        <f t="shared" si="24"/>
        <v>0</v>
      </c>
      <c r="AD67" s="950">
        <f t="shared" si="25"/>
        <v>0</v>
      </c>
      <c r="AE67" s="950">
        <f t="shared" si="26"/>
        <v>0</v>
      </c>
      <c r="AF67" s="950">
        <f t="shared" si="27"/>
        <v>0</v>
      </c>
      <c r="AG67" s="950">
        <f t="shared" si="28"/>
        <v>0</v>
      </c>
      <c r="AH67" s="950">
        <f t="shared" si="29"/>
        <v>0</v>
      </c>
    </row>
    <row r="68" spans="1:34" x14ac:dyDescent="0.2">
      <c r="A68" s="943" t="str">
        <f>IF(Personalplanung!B68&lt;&gt;"",Personalplanung!B68,IF(Personalplanung!A68&lt;&gt;"",Personalplanung!A68,""))</f>
        <v/>
      </c>
      <c r="B68" s="943"/>
      <c r="C68" s="943"/>
      <c r="D68" s="944">
        <f>Personalplanung!C68</f>
        <v>0</v>
      </c>
      <c r="E68" s="945">
        <f>Personalplanung!D68</f>
        <v>12</v>
      </c>
      <c r="F68" s="946">
        <f t="shared" si="16"/>
        <v>0</v>
      </c>
      <c r="G68" s="947">
        <v>1</v>
      </c>
      <c r="H68" s="947">
        <v>1</v>
      </c>
      <c r="I68" s="947">
        <v>1</v>
      </c>
      <c r="J68" s="947">
        <v>1</v>
      </c>
      <c r="K68" s="947">
        <v>1</v>
      </c>
      <c r="L68" s="947">
        <v>1</v>
      </c>
      <c r="M68" s="947">
        <v>1</v>
      </c>
      <c r="N68" s="947">
        <v>1</v>
      </c>
      <c r="O68" s="947">
        <v>1</v>
      </c>
      <c r="P68" s="947">
        <v>1</v>
      </c>
      <c r="Q68" s="947">
        <v>1</v>
      </c>
      <c r="R68" s="947">
        <v>1</v>
      </c>
      <c r="U68" s="950">
        <f>Personalplanung!AA68</f>
        <v>0</v>
      </c>
      <c r="V68" s="946">
        <f t="shared" si="17"/>
        <v>0</v>
      </c>
      <c r="W68" s="950">
        <f t="shared" si="18"/>
        <v>0</v>
      </c>
      <c r="X68" s="950">
        <f t="shared" si="19"/>
        <v>0</v>
      </c>
      <c r="Y68" s="950">
        <f t="shared" si="20"/>
        <v>0</v>
      </c>
      <c r="Z68" s="950">
        <f t="shared" si="21"/>
        <v>0</v>
      </c>
      <c r="AA68" s="950">
        <f t="shared" si="22"/>
        <v>0</v>
      </c>
      <c r="AB68" s="950">
        <f t="shared" si="23"/>
        <v>0</v>
      </c>
      <c r="AC68" s="950">
        <f t="shared" si="24"/>
        <v>0</v>
      </c>
      <c r="AD68" s="950">
        <f t="shared" si="25"/>
        <v>0</v>
      </c>
      <c r="AE68" s="950">
        <f t="shared" si="26"/>
        <v>0</v>
      </c>
      <c r="AF68" s="950">
        <f t="shared" si="27"/>
        <v>0</v>
      </c>
      <c r="AG68" s="950">
        <f t="shared" si="28"/>
        <v>0</v>
      </c>
      <c r="AH68" s="950">
        <f t="shared" si="29"/>
        <v>0</v>
      </c>
    </row>
    <row r="69" spans="1:34" x14ac:dyDescent="0.2">
      <c r="A69" s="943" t="str">
        <f>IF(Personalplanung!B69&lt;&gt;"",Personalplanung!B69,IF(Personalplanung!A69&lt;&gt;"",Personalplanung!A69,""))</f>
        <v/>
      </c>
      <c r="B69" s="943"/>
      <c r="C69" s="943"/>
      <c r="D69" s="944">
        <f>Personalplanung!C69</f>
        <v>0</v>
      </c>
      <c r="E69" s="945">
        <f>Personalplanung!D69</f>
        <v>12</v>
      </c>
      <c r="F69" s="946">
        <f t="shared" si="16"/>
        <v>0</v>
      </c>
      <c r="G69" s="947">
        <v>1</v>
      </c>
      <c r="H69" s="947">
        <v>1</v>
      </c>
      <c r="I69" s="947">
        <v>1</v>
      </c>
      <c r="J69" s="947">
        <v>1</v>
      </c>
      <c r="K69" s="947">
        <v>1</v>
      </c>
      <c r="L69" s="947">
        <v>1</v>
      </c>
      <c r="M69" s="947">
        <v>1</v>
      </c>
      <c r="N69" s="947">
        <v>1</v>
      </c>
      <c r="O69" s="947">
        <v>1</v>
      </c>
      <c r="P69" s="947">
        <v>1</v>
      </c>
      <c r="Q69" s="947">
        <v>1</v>
      </c>
      <c r="R69" s="947">
        <v>1</v>
      </c>
      <c r="U69" s="950">
        <f>Personalplanung!AA69</f>
        <v>0</v>
      </c>
      <c r="V69" s="946">
        <f t="shared" si="17"/>
        <v>0</v>
      </c>
      <c r="W69" s="950">
        <f t="shared" si="18"/>
        <v>0</v>
      </c>
      <c r="X69" s="950">
        <f t="shared" si="19"/>
        <v>0</v>
      </c>
      <c r="Y69" s="950">
        <f t="shared" si="20"/>
        <v>0</v>
      </c>
      <c r="Z69" s="950">
        <f t="shared" si="21"/>
        <v>0</v>
      </c>
      <c r="AA69" s="950">
        <f t="shared" si="22"/>
        <v>0</v>
      </c>
      <c r="AB69" s="950">
        <f t="shared" si="23"/>
        <v>0</v>
      </c>
      <c r="AC69" s="950">
        <f t="shared" si="24"/>
        <v>0</v>
      </c>
      <c r="AD69" s="950">
        <f t="shared" si="25"/>
        <v>0</v>
      </c>
      <c r="AE69" s="950">
        <f t="shared" si="26"/>
        <v>0</v>
      </c>
      <c r="AF69" s="950">
        <f t="shared" si="27"/>
        <v>0</v>
      </c>
      <c r="AG69" s="950">
        <f t="shared" si="28"/>
        <v>0</v>
      </c>
      <c r="AH69" s="950">
        <f t="shared" si="29"/>
        <v>0</v>
      </c>
    </row>
    <row r="70" spans="1:34" x14ac:dyDescent="0.2">
      <c r="A70" s="943" t="str">
        <f>IF(Personalplanung!B70&lt;&gt;"",Personalplanung!B70,IF(Personalplanung!A70&lt;&gt;"",Personalplanung!A70,""))</f>
        <v/>
      </c>
      <c r="B70" s="943"/>
      <c r="C70" s="943"/>
      <c r="D70" s="944">
        <f>Personalplanung!C70</f>
        <v>0</v>
      </c>
      <c r="E70" s="945">
        <f>Personalplanung!D70</f>
        <v>12</v>
      </c>
      <c r="F70" s="946">
        <f t="shared" si="16"/>
        <v>0</v>
      </c>
      <c r="G70" s="947">
        <v>1</v>
      </c>
      <c r="H70" s="947">
        <v>1</v>
      </c>
      <c r="I70" s="947">
        <v>1</v>
      </c>
      <c r="J70" s="947">
        <v>1</v>
      </c>
      <c r="K70" s="947">
        <v>1</v>
      </c>
      <c r="L70" s="947">
        <v>1</v>
      </c>
      <c r="M70" s="947">
        <v>1</v>
      </c>
      <c r="N70" s="947">
        <v>1</v>
      </c>
      <c r="O70" s="947">
        <v>1</v>
      </c>
      <c r="P70" s="947">
        <v>1</v>
      </c>
      <c r="Q70" s="947">
        <v>1</v>
      </c>
      <c r="R70" s="947">
        <v>1</v>
      </c>
      <c r="U70" s="950">
        <f>Personalplanung!AA70</f>
        <v>0</v>
      </c>
      <c r="V70" s="946">
        <f t="shared" si="17"/>
        <v>0</v>
      </c>
      <c r="W70" s="950">
        <f t="shared" si="18"/>
        <v>0</v>
      </c>
      <c r="X70" s="950">
        <f t="shared" si="19"/>
        <v>0</v>
      </c>
      <c r="Y70" s="950">
        <f t="shared" si="20"/>
        <v>0</v>
      </c>
      <c r="Z70" s="950">
        <f t="shared" si="21"/>
        <v>0</v>
      </c>
      <c r="AA70" s="950">
        <f t="shared" si="22"/>
        <v>0</v>
      </c>
      <c r="AB70" s="950">
        <f t="shared" si="23"/>
        <v>0</v>
      </c>
      <c r="AC70" s="950">
        <f t="shared" si="24"/>
        <v>0</v>
      </c>
      <c r="AD70" s="950">
        <f t="shared" si="25"/>
        <v>0</v>
      </c>
      <c r="AE70" s="950">
        <f t="shared" si="26"/>
        <v>0</v>
      </c>
      <c r="AF70" s="950">
        <f t="shared" si="27"/>
        <v>0</v>
      </c>
      <c r="AG70" s="950">
        <f t="shared" si="28"/>
        <v>0</v>
      </c>
      <c r="AH70" s="950">
        <f t="shared" si="29"/>
        <v>0</v>
      </c>
    </row>
    <row r="71" spans="1:34" x14ac:dyDescent="0.2">
      <c r="A71" s="943" t="str">
        <f>IF(Personalplanung!B71&lt;&gt;"",Personalplanung!B71,IF(Personalplanung!A71&lt;&gt;"",Personalplanung!A71,""))</f>
        <v/>
      </c>
      <c r="B71" s="943"/>
      <c r="C71" s="943"/>
      <c r="D71" s="944">
        <f>Personalplanung!C71</f>
        <v>0</v>
      </c>
      <c r="E71" s="945">
        <f>Personalplanung!D71</f>
        <v>12</v>
      </c>
      <c r="F71" s="946">
        <f t="shared" si="16"/>
        <v>0</v>
      </c>
      <c r="G71" s="947">
        <v>1</v>
      </c>
      <c r="H71" s="947">
        <v>1</v>
      </c>
      <c r="I71" s="947">
        <v>1</v>
      </c>
      <c r="J71" s="947">
        <v>1</v>
      </c>
      <c r="K71" s="947">
        <v>1</v>
      </c>
      <c r="L71" s="947">
        <v>1</v>
      </c>
      <c r="M71" s="947">
        <v>1</v>
      </c>
      <c r="N71" s="947">
        <v>1</v>
      </c>
      <c r="O71" s="947">
        <v>1</v>
      </c>
      <c r="P71" s="947">
        <v>1</v>
      </c>
      <c r="Q71" s="947">
        <v>1</v>
      </c>
      <c r="R71" s="947">
        <v>1</v>
      </c>
      <c r="U71" s="950">
        <f>Personalplanung!AA71</f>
        <v>0</v>
      </c>
      <c r="V71" s="946">
        <f t="shared" si="17"/>
        <v>0</v>
      </c>
      <c r="W71" s="950">
        <f t="shared" si="18"/>
        <v>0</v>
      </c>
      <c r="X71" s="950">
        <f t="shared" si="19"/>
        <v>0</v>
      </c>
      <c r="Y71" s="950">
        <f t="shared" si="20"/>
        <v>0</v>
      </c>
      <c r="Z71" s="950">
        <f t="shared" si="21"/>
        <v>0</v>
      </c>
      <c r="AA71" s="950">
        <f t="shared" si="22"/>
        <v>0</v>
      </c>
      <c r="AB71" s="950">
        <f t="shared" si="23"/>
        <v>0</v>
      </c>
      <c r="AC71" s="950">
        <f t="shared" si="24"/>
        <v>0</v>
      </c>
      <c r="AD71" s="950">
        <f t="shared" si="25"/>
        <v>0</v>
      </c>
      <c r="AE71" s="950">
        <f t="shared" si="26"/>
        <v>0</v>
      </c>
      <c r="AF71" s="950">
        <f t="shared" si="27"/>
        <v>0</v>
      </c>
      <c r="AG71" s="950">
        <f t="shared" si="28"/>
        <v>0</v>
      </c>
      <c r="AH71" s="950">
        <f t="shared" si="29"/>
        <v>0</v>
      </c>
    </row>
    <row r="72" spans="1:34" x14ac:dyDescent="0.2">
      <c r="A72" s="943" t="str">
        <f>IF(Personalplanung!B72&lt;&gt;"",Personalplanung!B72,IF(Personalplanung!A72&lt;&gt;"",Personalplanung!A72,""))</f>
        <v/>
      </c>
      <c r="B72" s="943"/>
      <c r="C72" s="943"/>
      <c r="D72" s="944">
        <f>Personalplanung!C72</f>
        <v>0</v>
      </c>
      <c r="E72" s="945">
        <f>Personalplanung!D72</f>
        <v>12</v>
      </c>
      <c r="F72" s="946">
        <f t="shared" si="16"/>
        <v>0</v>
      </c>
      <c r="G72" s="947">
        <v>1</v>
      </c>
      <c r="H72" s="947">
        <v>1</v>
      </c>
      <c r="I72" s="947">
        <v>1</v>
      </c>
      <c r="J72" s="947">
        <v>1</v>
      </c>
      <c r="K72" s="947">
        <v>1</v>
      </c>
      <c r="L72" s="947">
        <v>1</v>
      </c>
      <c r="M72" s="947">
        <v>1</v>
      </c>
      <c r="N72" s="947">
        <v>1</v>
      </c>
      <c r="O72" s="947">
        <v>1</v>
      </c>
      <c r="P72" s="947">
        <v>1</v>
      </c>
      <c r="Q72" s="947">
        <v>1</v>
      </c>
      <c r="R72" s="947">
        <v>1</v>
      </c>
      <c r="U72" s="950">
        <f>Personalplanung!AA72</f>
        <v>0</v>
      </c>
      <c r="V72" s="946">
        <f t="shared" si="17"/>
        <v>0</v>
      </c>
      <c r="W72" s="950">
        <f t="shared" si="18"/>
        <v>0</v>
      </c>
      <c r="X72" s="950">
        <f t="shared" si="19"/>
        <v>0</v>
      </c>
      <c r="Y72" s="950">
        <f t="shared" si="20"/>
        <v>0</v>
      </c>
      <c r="Z72" s="950">
        <f t="shared" si="21"/>
        <v>0</v>
      </c>
      <c r="AA72" s="950">
        <f t="shared" si="22"/>
        <v>0</v>
      </c>
      <c r="AB72" s="950">
        <f t="shared" si="23"/>
        <v>0</v>
      </c>
      <c r="AC72" s="950">
        <f t="shared" si="24"/>
        <v>0</v>
      </c>
      <c r="AD72" s="950">
        <f t="shared" si="25"/>
        <v>0</v>
      </c>
      <c r="AE72" s="950">
        <f t="shared" si="26"/>
        <v>0</v>
      </c>
      <c r="AF72" s="950">
        <f t="shared" si="27"/>
        <v>0</v>
      </c>
      <c r="AG72" s="950">
        <f t="shared" si="28"/>
        <v>0</v>
      </c>
      <c r="AH72" s="950">
        <f t="shared" si="29"/>
        <v>0</v>
      </c>
    </row>
    <row r="73" spans="1:34" x14ac:dyDescent="0.2">
      <c r="A73" s="943" t="str">
        <f>IF(Personalplanung!B73&lt;&gt;"",Personalplanung!B73,IF(Personalplanung!A73&lt;&gt;"",Personalplanung!A73,""))</f>
        <v/>
      </c>
      <c r="B73" s="943"/>
      <c r="C73" s="943"/>
      <c r="D73" s="944">
        <f>Personalplanung!C73</f>
        <v>0</v>
      </c>
      <c r="E73" s="945">
        <f>Personalplanung!D73</f>
        <v>12</v>
      </c>
      <c r="F73" s="946">
        <f t="shared" si="16"/>
        <v>0</v>
      </c>
      <c r="G73" s="947">
        <v>1</v>
      </c>
      <c r="H73" s="947">
        <v>1</v>
      </c>
      <c r="I73" s="947">
        <v>1</v>
      </c>
      <c r="J73" s="947">
        <v>1</v>
      </c>
      <c r="K73" s="947">
        <v>1</v>
      </c>
      <c r="L73" s="947">
        <v>1</v>
      </c>
      <c r="M73" s="947">
        <v>1</v>
      </c>
      <c r="N73" s="947">
        <v>1</v>
      </c>
      <c r="O73" s="947">
        <v>1</v>
      </c>
      <c r="P73" s="947">
        <v>1</v>
      </c>
      <c r="Q73" s="947">
        <v>1</v>
      </c>
      <c r="R73" s="947">
        <v>1</v>
      </c>
      <c r="U73" s="950">
        <f>Personalplanung!AA73</f>
        <v>0</v>
      </c>
      <c r="V73" s="946">
        <f t="shared" si="17"/>
        <v>0</v>
      </c>
      <c r="W73" s="950">
        <f t="shared" si="18"/>
        <v>0</v>
      </c>
      <c r="X73" s="950">
        <f t="shared" si="19"/>
        <v>0</v>
      </c>
      <c r="Y73" s="950">
        <f t="shared" si="20"/>
        <v>0</v>
      </c>
      <c r="Z73" s="950">
        <f t="shared" si="21"/>
        <v>0</v>
      </c>
      <c r="AA73" s="950">
        <f t="shared" si="22"/>
        <v>0</v>
      </c>
      <c r="AB73" s="950">
        <f t="shared" si="23"/>
        <v>0</v>
      </c>
      <c r="AC73" s="950">
        <f t="shared" si="24"/>
        <v>0</v>
      </c>
      <c r="AD73" s="950">
        <f t="shared" si="25"/>
        <v>0</v>
      </c>
      <c r="AE73" s="950">
        <f t="shared" si="26"/>
        <v>0</v>
      </c>
      <c r="AF73" s="950">
        <f t="shared" si="27"/>
        <v>0</v>
      </c>
      <c r="AG73" s="950">
        <f t="shared" si="28"/>
        <v>0</v>
      </c>
      <c r="AH73" s="950">
        <f t="shared" si="29"/>
        <v>0</v>
      </c>
    </row>
    <row r="74" spans="1:34" x14ac:dyDescent="0.2">
      <c r="A74" s="943" t="str">
        <f>IF(Personalplanung!B74&lt;&gt;"",Personalplanung!B74,IF(Personalplanung!A74&lt;&gt;"",Personalplanung!A74,""))</f>
        <v/>
      </c>
      <c r="B74" s="943"/>
      <c r="C74" s="943"/>
      <c r="D74" s="944">
        <f>Personalplanung!C74</f>
        <v>0</v>
      </c>
      <c r="E74" s="945">
        <f>Personalplanung!D74</f>
        <v>12</v>
      </c>
      <c r="F74" s="946">
        <f t="shared" si="16"/>
        <v>0</v>
      </c>
      <c r="G74" s="947">
        <v>1</v>
      </c>
      <c r="H74" s="947">
        <v>1</v>
      </c>
      <c r="I74" s="947">
        <v>1</v>
      </c>
      <c r="J74" s="947">
        <v>1</v>
      </c>
      <c r="K74" s="947">
        <v>1</v>
      </c>
      <c r="L74" s="947">
        <v>1</v>
      </c>
      <c r="M74" s="947">
        <v>1</v>
      </c>
      <c r="N74" s="947">
        <v>1</v>
      </c>
      <c r="O74" s="947">
        <v>1</v>
      </c>
      <c r="P74" s="947">
        <v>1</v>
      </c>
      <c r="Q74" s="947">
        <v>1</v>
      </c>
      <c r="R74" s="947">
        <v>1</v>
      </c>
      <c r="U74" s="950">
        <f>Personalplanung!AA74</f>
        <v>0</v>
      </c>
      <c r="V74" s="946">
        <f t="shared" si="17"/>
        <v>0</v>
      </c>
      <c r="W74" s="950">
        <f t="shared" si="18"/>
        <v>0</v>
      </c>
      <c r="X74" s="950">
        <f t="shared" si="19"/>
        <v>0</v>
      </c>
      <c r="Y74" s="950">
        <f t="shared" si="20"/>
        <v>0</v>
      </c>
      <c r="Z74" s="950">
        <f t="shared" si="21"/>
        <v>0</v>
      </c>
      <c r="AA74" s="950">
        <f t="shared" si="22"/>
        <v>0</v>
      </c>
      <c r="AB74" s="950">
        <f t="shared" si="23"/>
        <v>0</v>
      </c>
      <c r="AC74" s="950">
        <f t="shared" si="24"/>
        <v>0</v>
      </c>
      <c r="AD74" s="950">
        <f t="shared" si="25"/>
        <v>0</v>
      </c>
      <c r="AE74" s="950">
        <f t="shared" si="26"/>
        <v>0</v>
      </c>
      <c r="AF74" s="950">
        <f t="shared" si="27"/>
        <v>0</v>
      </c>
      <c r="AG74" s="950">
        <f t="shared" si="28"/>
        <v>0</v>
      </c>
      <c r="AH74" s="950">
        <f t="shared" si="29"/>
        <v>0</v>
      </c>
    </row>
    <row r="75" spans="1:34" x14ac:dyDescent="0.2">
      <c r="A75" s="943" t="str">
        <f>IF(Personalplanung!B75&lt;&gt;"",Personalplanung!B75,IF(Personalplanung!A75&lt;&gt;"",Personalplanung!A75,""))</f>
        <v/>
      </c>
      <c r="B75" s="943"/>
      <c r="C75" s="943"/>
      <c r="D75" s="944">
        <f>Personalplanung!C75</f>
        <v>0</v>
      </c>
      <c r="E75" s="945">
        <f>Personalplanung!D75</f>
        <v>12</v>
      </c>
      <c r="F75" s="946">
        <f t="shared" si="16"/>
        <v>0</v>
      </c>
      <c r="G75" s="947">
        <v>1</v>
      </c>
      <c r="H75" s="947">
        <v>1</v>
      </c>
      <c r="I75" s="947">
        <v>1</v>
      </c>
      <c r="J75" s="947">
        <v>1</v>
      </c>
      <c r="K75" s="947">
        <v>1</v>
      </c>
      <c r="L75" s="947">
        <v>1</v>
      </c>
      <c r="M75" s="947">
        <v>1</v>
      </c>
      <c r="N75" s="947">
        <v>1</v>
      </c>
      <c r="O75" s="947">
        <v>1</v>
      </c>
      <c r="P75" s="947">
        <v>1</v>
      </c>
      <c r="Q75" s="947">
        <v>1</v>
      </c>
      <c r="R75" s="947">
        <v>1</v>
      </c>
      <c r="U75" s="950">
        <f>Personalplanung!AA75</f>
        <v>0</v>
      </c>
      <c r="V75" s="946">
        <f t="shared" si="17"/>
        <v>0</v>
      </c>
      <c r="W75" s="950">
        <f t="shared" si="18"/>
        <v>0</v>
      </c>
      <c r="X75" s="950">
        <f t="shared" si="19"/>
        <v>0</v>
      </c>
      <c r="Y75" s="950">
        <f t="shared" si="20"/>
        <v>0</v>
      </c>
      <c r="Z75" s="950">
        <f t="shared" si="21"/>
        <v>0</v>
      </c>
      <c r="AA75" s="950">
        <f t="shared" si="22"/>
        <v>0</v>
      </c>
      <c r="AB75" s="950">
        <f t="shared" si="23"/>
        <v>0</v>
      </c>
      <c r="AC75" s="950">
        <f t="shared" si="24"/>
        <v>0</v>
      </c>
      <c r="AD75" s="950">
        <f t="shared" si="25"/>
        <v>0</v>
      </c>
      <c r="AE75" s="950">
        <f t="shared" si="26"/>
        <v>0</v>
      </c>
      <c r="AF75" s="950">
        <f t="shared" si="27"/>
        <v>0</v>
      </c>
      <c r="AG75" s="950">
        <f t="shared" si="28"/>
        <v>0</v>
      </c>
      <c r="AH75" s="950">
        <f t="shared" si="29"/>
        <v>0</v>
      </c>
    </row>
    <row r="76" spans="1:34" x14ac:dyDescent="0.2">
      <c r="A76" s="943" t="str">
        <f>IF(Personalplanung!B76&lt;&gt;"",Personalplanung!B76,IF(Personalplanung!A76&lt;&gt;"",Personalplanung!A76,""))</f>
        <v/>
      </c>
      <c r="B76" s="943"/>
      <c r="C76" s="943"/>
      <c r="D76" s="944">
        <f>Personalplanung!C76</f>
        <v>0</v>
      </c>
      <c r="E76" s="945">
        <f>Personalplanung!D76</f>
        <v>12</v>
      </c>
      <c r="F76" s="946">
        <f t="shared" si="16"/>
        <v>0</v>
      </c>
      <c r="G76" s="947">
        <v>1</v>
      </c>
      <c r="H76" s="947">
        <v>1</v>
      </c>
      <c r="I76" s="947">
        <v>1</v>
      </c>
      <c r="J76" s="947">
        <v>1</v>
      </c>
      <c r="K76" s="947">
        <v>1</v>
      </c>
      <c r="L76" s="947">
        <v>1</v>
      </c>
      <c r="M76" s="947">
        <v>1</v>
      </c>
      <c r="N76" s="947">
        <v>1</v>
      </c>
      <c r="O76" s="947">
        <v>1</v>
      </c>
      <c r="P76" s="947">
        <v>1</v>
      </c>
      <c r="Q76" s="947">
        <v>1</v>
      </c>
      <c r="R76" s="947">
        <v>1</v>
      </c>
      <c r="U76" s="950">
        <f>Personalplanung!AA76</f>
        <v>0</v>
      </c>
      <c r="V76" s="946">
        <f t="shared" si="17"/>
        <v>0</v>
      </c>
      <c r="W76" s="950">
        <f t="shared" si="18"/>
        <v>0</v>
      </c>
      <c r="X76" s="950">
        <f t="shared" si="19"/>
        <v>0</v>
      </c>
      <c r="Y76" s="950">
        <f t="shared" si="20"/>
        <v>0</v>
      </c>
      <c r="Z76" s="950">
        <f t="shared" si="21"/>
        <v>0</v>
      </c>
      <c r="AA76" s="950">
        <f t="shared" si="22"/>
        <v>0</v>
      </c>
      <c r="AB76" s="950">
        <f t="shared" si="23"/>
        <v>0</v>
      </c>
      <c r="AC76" s="950">
        <f t="shared" si="24"/>
        <v>0</v>
      </c>
      <c r="AD76" s="950">
        <f t="shared" si="25"/>
        <v>0</v>
      </c>
      <c r="AE76" s="950">
        <f t="shared" si="26"/>
        <v>0</v>
      </c>
      <c r="AF76" s="950">
        <f t="shared" si="27"/>
        <v>0</v>
      </c>
      <c r="AG76" s="950">
        <f t="shared" si="28"/>
        <v>0</v>
      </c>
      <c r="AH76" s="950">
        <f t="shared" si="29"/>
        <v>0</v>
      </c>
    </row>
    <row r="77" spans="1:34" x14ac:dyDescent="0.2">
      <c r="A77" s="943" t="str">
        <f>IF(Personalplanung!B77&lt;&gt;"",Personalplanung!B77,IF(Personalplanung!A77&lt;&gt;"",Personalplanung!A77,""))</f>
        <v/>
      </c>
      <c r="B77" s="943"/>
      <c r="C77" s="943"/>
      <c r="D77" s="944">
        <f>Personalplanung!C77</f>
        <v>0</v>
      </c>
      <c r="E77" s="945">
        <f>Personalplanung!D77</f>
        <v>12</v>
      </c>
      <c r="F77" s="946">
        <f t="shared" si="16"/>
        <v>0</v>
      </c>
      <c r="G77" s="947">
        <v>1</v>
      </c>
      <c r="H77" s="947">
        <v>1</v>
      </c>
      <c r="I77" s="947">
        <v>1</v>
      </c>
      <c r="J77" s="947">
        <v>1</v>
      </c>
      <c r="K77" s="947">
        <v>1</v>
      </c>
      <c r="L77" s="947">
        <v>1</v>
      </c>
      <c r="M77" s="947">
        <v>1</v>
      </c>
      <c r="N77" s="947">
        <v>1</v>
      </c>
      <c r="O77" s="947">
        <v>1</v>
      </c>
      <c r="P77" s="947">
        <v>1</v>
      </c>
      <c r="Q77" s="947">
        <v>1</v>
      </c>
      <c r="R77" s="947">
        <v>1</v>
      </c>
      <c r="U77" s="950">
        <f>Personalplanung!AA77</f>
        <v>0</v>
      </c>
      <c r="V77" s="946">
        <f t="shared" si="17"/>
        <v>0</v>
      </c>
      <c r="W77" s="950">
        <f t="shared" si="18"/>
        <v>0</v>
      </c>
      <c r="X77" s="950">
        <f t="shared" si="19"/>
        <v>0</v>
      </c>
      <c r="Y77" s="950">
        <f t="shared" si="20"/>
        <v>0</v>
      </c>
      <c r="Z77" s="950">
        <f t="shared" si="21"/>
        <v>0</v>
      </c>
      <c r="AA77" s="950">
        <f t="shared" si="22"/>
        <v>0</v>
      </c>
      <c r="AB77" s="950">
        <f t="shared" si="23"/>
        <v>0</v>
      </c>
      <c r="AC77" s="950">
        <f t="shared" si="24"/>
        <v>0</v>
      </c>
      <c r="AD77" s="950">
        <f t="shared" si="25"/>
        <v>0</v>
      </c>
      <c r="AE77" s="950">
        <f t="shared" si="26"/>
        <v>0</v>
      </c>
      <c r="AF77" s="950">
        <f t="shared" si="27"/>
        <v>0</v>
      </c>
      <c r="AG77" s="950">
        <f t="shared" si="28"/>
        <v>0</v>
      </c>
      <c r="AH77" s="950">
        <f t="shared" si="29"/>
        <v>0</v>
      </c>
    </row>
    <row r="78" spans="1:34" x14ac:dyDescent="0.2">
      <c r="A78" s="943" t="str">
        <f>IF(Personalplanung!B78&lt;&gt;"",Personalplanung!B78,IF(Personalplanung!A78&lt;&gt;"",Personalplanung!A78,""))</f>
        <v/>
      </c>
      <c r="B78" s="943"/>
      <c r="C78" s="943"/>
      <c r="D78" s="944">
        <f>Personalplanung!C78</f>
        <v>0</v>
      </c>
      <c r="E78" s="945">
        <f>Personalplanung!D78</f>
        <v>12</v>
      </c>
      <c r="F78" s="946">
        <f t="shared" si="16"/>
        <v>0</v>
      </c>
      <c r="G78" s="947">
        <v>1</v>
      </c>
      <c r="H78" s="947">
        <v>1</v>
      </c>
      <c r="I78" s="947">
        <v>1</v>
      </c>
      <c r="J78" s="947">
        <v>1</v>
      </c>
      <c r="K78" s="947">
        <v>1</v>
      </c>
      <c r="L78" s="947">
        <v>1</v>
      </c>
      <c r="M78" s="947">
        <v>1</v>
      </c>
      <c r="N78" s="947">
        <v>1</v>
      </c>
      <c r="O78" s="947">
        <v>1</v>
      </c>
      <c r="P78" s="947">
        <v>1</v>
      </c>
      <c r="Q78" s="947">
        <v>1</v>
      </c>
      <c r="R78" s="947">
        <v>1</v>
      </c>
      <c r="U78" s="950">
        <f>Personalplanung!AA78</f>
        <v>0</v>
      </c>
      <c r="V78" s="946">
        <f t="shared" si="17"/>
        <v>0</v>
      </c>
      <c r="W78" s="950">
        <f t="shared" si="18"/>
        <v>0</v>
      </c>
      <c r="X78" s="950">
        <f t="shared" si="19"/>
        <v>0</v>
      </c>
      <c r="Y78" s="950">
        <f t="shared" si="20"/>
        <v>0</v>
      </c>
      <c r="Z78" s="950">
        <f t="shared" si="21"/>
        <v>0</v>
      </c>
      <c r="AA78" s="950">
        <f t="shared" si="22"/>
        <v>0</v>
      </c>
      <c r="AB78" s="950">
        <f t="shared" si="23"/>
        <v>0</v>
      </c>
      <c r="AC78" s="950">
        <f t="shared" si="24"/>
        <v>0</v>
      </c>
      <c r="AD78" s="950">
        <f t="shared" si="25"/>
        <v>0</v>
      </c>
      <c r="AE78" s="950">
        <f t="shared" si="26"/>
        <v>0</v>
      </c>
      <c r="AF78" s="950">
        <f t="shared" si="27"/>
        <v>0</v>
      </c>
      <c r="AG78" s="950">
        <f t="shared" si="28"/>
        <v>0</v>
      </c>
      <c r="AH78" s="950">
        <f t="shared" si="29"/>
        <v>0</v>
      </c>
    </row>
    <row r="79" spans="1:34" x14ac:dyDescent="0.2">
      <c r="A79" s="943" t="str">
        <f>IF(Personalplanung!B79&lt;&gt;"",Personalplanung!B79,IF(Personalplanung!A79&lt;&gt;"",Personalplanung!A79,""))</f>
        <v/>
      </c>
      <c r="B79" s="943"/>
      <c r="C79" s="943"/>
      <c r="D79" s="944">
        <f>Personalplanung!C79</f>
        <v>0</v>
      </c>
      <c r="E79" s="945">
        <f>Personalplanung!D79</f>
        <v>12</v>
      </c>
      <c r="F79" s="946">
        <f t="shared" ref="F79:F106" si="30">IF(SUM(G79:R79)-E79=0,0,"bitte prüfen!")</f>
        <v>0</v>
      </c>
      <c r="G79" s="947">
        <v>1</v>
      </c>
      <c r="H79" s="947">
        <v>1</v>
      </c>
      <c r="I79" s="947">
        <v>1</v>
      </c>
      <c r="J79" s="947">
        <v>1</v>
      </c>
      <c r="K79" s="947">
        <v>1</v>
      </c>
      <c r="L79" s="947">
        <v>1</v>
      </c>
      <c r="M79" s="947">
        <v>1</v>
      </c>
      <c r="N79" s="947">
        <v>1</v>
      </c>
      <c r="O79" s="947">
        <v>1</v>
      </c>
      <c r="P79" s="947">
        <v>1</v>
      </c>
      <c r="Q79" s="947">
        <v>1</v>
      </c>
      <c r="R79" s="947">
        <v>1</v>
      </c>
      <c r="U79" s="950">
        <f>Personalplanung!AA79</f>
        <v>0</v>
      </c>
      <c r="V79" s="946">
        <f t="shared" ref="V79:V106" si="31">IF(ROUND(SUM(W79:AH79)-U79,2)=0,0,"bitte prüfen!")</f>
        <v>0</v>
      </c>
      <c r="W79" s="950">
        <f t="shared" ref="W79:W106" si="32">IF(ISERROR($U79/$E79*G79),0,$U79/$E79*G79)</f>
        <v>0</v>
      </c>
      <c r="X79" s="950">
        <f t="shared" ref="X79:X106" si="33">IF(ISERROR($U79/$E79*H79),0,$U79/$E79*H79)</f>
        <v>0</v>
      </c>
      <c r="Y79" s="950">
        <f t="shared" ref="Y79:Y106" si="34">IF(ISERROR($U79/$E79*I79),0,$U79/$E79*I79)</f>
        <v>0</v>
      </c>
      <c r="Z79" s="950">
        <f t="shared" ref="Z79:Z106" si="35">IF(ISERROR($U79/$E79*J79),0,$U79/$E79*J79)</f>
        <v>0</v>
      </c>
      <c r="AA79" s="950">
        <f t="shared" ref="AA79:AA106" si="36">IF(ISERROR($U79/$E79*K79),0,$U79/$E79*K79)</f>
        <v>0</v>
      </c>
      <c r="AB79" s="950">
        <f t="shared" ref="AB79:AB106" si="37">IF(ISERROR($U79/$E79*L79),0,$U79/$E79*L79)</f>
        <v>0</v>
      </c>
      <c r="AC79" s="950">
        <f t="shared" ref="AC79:AC106" si="38">IF(ISERROR($U79/$E79*M79),0,$U79/$E79*M79)</f>
        <v>0</v>
      </c>
      <c r="AD79" s="950">
        <f t="shared" ref="AD79:AD106" si="39">IF(ISERROR($U79/$E79*N79),0,$U79/$E79*N79)</f>
        <v>0</v>
      </c>
      <c r="AE79" s="950">
        <f t="shared" ref="AE79:AE106" si="40">IF(ISERROR($U79/$E79*O79),0,$U79/$E79*O79)</f>
        <v>0</v>
      </c>
      <c r="AF79" s="950">
        <f t="shared" ref="AF79:AF106" si="41">IF(ISERROR($U79/$E79*P79),0,$U79/$E79*P79)</f>
        <v>0</v>
      </c>
      <c r="AG79" s="950">
        <f t="shared" ref="AG79:AG106" si="42">IF(ISERROR($U79/$E79*Q79),0,$U79/$E79*Q79)</f>
        <v>0</v>
      </c>
      <c r="AH79" s="950">
        <f t="shared" ref="AH79:AH106" si="43">IF(ISERROR($U79/$E79*R79),0,$U79/$E79*R79)</f>
        <v>0</v>
      </c>
    </row>
    <row r="80" spans="1:34" x14ac:dyDescent="0.2">
      <c r="A80" s="943" t="str">
        <f>IF(Personalplanung!B80&lt;&gt;"",Personalplanung!B80,IF(Personalplanung!A80&lt;&gt;"",Personalplanung!A80,""))</f>
        <v/>
      </c>
      <c r="B80" s="943"/>
      <c r="C80" s="943"/>
      <c r="D80" s="944">
        <f>Personalplanung!C80</f>
        <v>0</v>
      </c>
      <c r="E80" s="945">
        <f>Personalplanung!D80</f>
        <v>12</v>
      </c>
      <c r="F80" s="946">
        <f t="shared" si="30"/>
        <v>0</v>
      </c>
      <c r="G80" s="947">
        <v>1</v>
      </c>
      <c r="H80" s="947">
        <v>1</v>
      </c>
      <c r="I80" s="947">
        <v>1</v>
      </c>
      <c r="J80" s="947">
        <v>1</v>
      </c>
      <c r="K80" s="947">
        <v>1</v>
      </c>
      <c r="L80" s="947">
        <v>1</v>
      </c>
      <c r="M80" s="947">
        <v>1</v>
      </c>
      <c r="N80" s="947">
        <v>1</v>
      </c>
      <c r="O80" s="947">
        <v>1</v>
      </c>
      <c r="P80" s="947">
        <v>1</v>
      </c>
      <c r="Q80" s="947">
        <v>1</v>
      </c>
      <c r="R80" s="947">
        <v>1</v>
      </c>
      <c r="U80" s="950">
        <f>Personalplanung!AA80</f>
        <v>0</v>
      </c>
      <c r="V80" s="946">
        <f t="shared" si="31"/>
        <v>0</v>
      </c>
      <c r="W80" s="950">
        <f t="shared" si="32"/>
        <v>0</v>
      </c>
      <c r="X80" s="950">
        <f t="shared" si="33"/>
        <v>0</v>
      </c>
      <c r="Y80" s="950">
        <f t="shared" si="34"/>
        <v>0</v>
      </c>
      <c r="Z80" s="950">
        <f t="shared" si="35"/>
        <v>0</v>
      </c>
      <c r="AA80" s="950">
        <f t="shared" si="36"/>
        <v>0</v>
      </c>
      <c r="AB80" s="950">
        <f t="shared" si="37"/>
        <v>0</v>
      </c>
      <c r="AC80" s="950">
        <f t="shared" si="38"/>
        <v>0</v>
      </c>
      <c r="AD80" s="950">
        <f t="shared" si="39"/>
        <v>0</v>
      </c>
      <c r="AE80" s="950">
        <f t="shared" si="40"/>
        <v>0</v>
      </c>
      <c r="AF80" s="950">
        <f t="shared" si="41"/>
        <v>0</v>
      </c>
      <c r="AG80" s="950">
        <f t="shared" si="42"/>
        <v>0</v>
      </c>
      <c r="AH80" s="950">
        <f t="shared" si="43"/>
        <v>0</v>
      </c>
    </row>
    <row r="81" spans="1:34" x14ac:dyDescent="0.2">
      <c r="A81" s="943" t="str">
        <f>IF(Personalplanung!B81&lt;&gt;"",Personalplanung!B81,IF(Personalplanung!A81&lt;&gt;"",Personalplanung!A81,""))</f>
        <v/>
      </c>
      <c r="B81" s="943"/>
      <c r="C81" s="943"/>
      <c r="D81" s="944">
        <f>Personalplanung!C81</f>
        <v>0</v>
      </c>
      <c r="E81" s="945">
        <f>Personalplanung!D81</f>
        <v>12</v>
      </c>
      <c r="F81" s="946">
        <f t="shared" si="30"/>
        <v>0</v>
      </c>
      <c r="G81" s="947">
        <v>1</v>
      </c>
      <c r="H81" s="947">
        <v>1</v>
      </c>
      <c r="I81" s="947">
        <v>1</v>
      </c>
      <c r="J81" s="947">
        <v>1</v>
      </c>
      <c r="K81" s="947">
        <v>1</v>
      </c>
      <c r="L81" s="947">
        <v>1</v>
      </c>
      <c r="M81" s="947">
        <v>1</v>
      </c>
      <c r="N81" s="947">
        <v>1</v>
      </c>
      <c r="O81" s="947">
        <v>1</v>
      </c>
      <c r="P81" s="947">
        <v>1</v>
      </c>
      <c r="Q81" s="947">
        <v>1</v>
      </c>
      <c r="R81" s="947">
        <v>1</v>
      </c>
      <c r="U81" s="950">
        <f>Personalplanung!AA81</f>
        <v>0</v>
      </c>
      <c r="V81" s="946">
        <f t="shared" si="31"/>
        <v>0</v>
      </c>
      <c r="W81" s="950">
        <f t="shared" si="32"/>
        <v>0</v>
      </c>
      <c r="X81" s="950">
        <f t="shared" si="33"/>
        <v>0</v>
      </c>
      <c r="Y81" s="950">
        <f t="shared" si="34"/>
        <v>0</v>
      </c>
      <c r="Z81" s="950">
        <f t="shared" si="35"/>
        <v>0</v>
      </c>
      <c r="AA81" s="950">
        <f t="shared" si="36"/>
        <v>0</v>
      </c>
      <c r="AB81" s="950">
        <f t="shared" si="37"/>
        <v>0</v>
      </c>
      <c r="AC81" s="950">
        <f t="shared" si="38"/>
        <v>0</v>
      </c>
      <c r="AD81" s="950">
        <f t="shared" si="39"/>
        <v>0</v>
      </c>
      <c r="AE81" s="950">
        <f t="shared" si="40"/>
        <v>0</v>
      </c>
      <c r="AF81" s="950">
        <f t="shared" si="41"/>
        <v>0</v>
      </c>
      <c r="AG81" s="950">
        <f t="shared" si="42"/>
        <v>0</v>
      </c>
      <c r="AH81" s="950">
        <f t="shared" si="43"/>
        <v>0</v>
      </c>
    </row>
    <row r="82" spans="1:34" x14ac:dyDescent="0.2">
      <c r="A82" s="943" t="str">
        <f>IF(Personalplanung!B82&lt;&gt;"",Personalplanung!B82,IF(Personalplanung!A82&lt;&gt;"",Personalplanung!A82,""))</f>
        <v/>
      </c>
      <c r="B82" s="943"/>
      <c r="C82" s="943"/>
      <c r="D82" s="944">
        <f>Personalplanung!C82</f>
        <v>0</v>
      </c>
      <c r="E82" s="945">
        <f>Personalplanung!D82</f>
        <v>12</v>
      </c>
      <c r="F82" s="946">
        <f t="shared" si="30"/>
        <v>0</v>
      </c>
      <c r="G82" s="947">
        <v>1</v>
      </c>
      <c r="H82" s="947">
        <v>1</v>
      </c>
      <c r="I82" s="947">
        <v>1</v>
      </c>
      <c r="J82" s="947">
        <v>1</v>
      </c>
      <c r="K82" s="947">
        <v>1</v>
      </c>
      <c r="L82" s="947">
        <v>1</v>
      </c>
      <c r="M82" s="947">
        <v>1</v>
      </c>
      <c r="N82" s="947">
        <v>1</v>
      </c>
      <c r="O82" s="947">
        <v>1</v>
      </c>
      <c r="P82" s="947">
        <v>1</v>
      </c>
      <c r="Q82" s="947">
        <v>1</v>
      </c>
      <c r="R82" s="947">
        <v>1</v>
      </c>
      <c r="U82" s="950">
        <f>Personalplanung!AA82</f>
        <v>0</v>
      </c>
      <c r="V82" s="946">
        <f t="shared" si="31"/>
        <v>0</v>
      </c>
      <c r="W82" s="950">
        <f t="shared" si="32"/>
        <v>0</v>
      </c>
      <c r="X82" s="950">
        <f t="shared" si="33"/>
        <v>0</v>
      </c>
      <c r="Y82" s="950">
        <f t="shared" si="34"/>
        <v>0</v>
      </c>
      <c r="Z82" s="950">
        <f t="shared" si="35"/>
        <v>0</v>
      </c>
      <c r="AA82" s="950">
        <f t="shared" si="36"/>
        <v>0</v>
      </c>
      <c r="AB82" s="950">
        <f t="shared" si="37"/>
        <v>0</v>
      </c>
      <c r="AC82" s="950">
        <f t="shared" si="38"/>
        <v>0</v>
      </c>
      <c r="AD82" s="950">
        <f t="shared" si="39"/>
        <v>0</v>
      </c>
      <c r="AE82" s="950">
        <f t="shared" si="40"/>
        <v>0</v>
      </c>
      <c r="AF82" s="950">
        <f t="shared" si="41"/>
        <v>0</v>
      </c>
      <c r="AG82" s="950">
        <f t="shared" si="42"/>
        <v>0</v>
      </c>
      <c r="AH82" s="950">
        <f t="shared" si="43"/>
        <v>0</v>
      </c>
    </row>
    <row r="83" spans="1:34" x14ac:dyDescent="0.2">
      <c r="A83" s="943" t="str">
        <f>IF(Personalplanung!B83&lt;&gt;"",Personalplanung!B83,IF(Personalplanung!A83&lt;&gt;"",Personalplanung!A83,""))</f>
        <v/>
      </c>
      <c r="B83" s="943"/>
      <c r="C83" s="943"/>
      <c r="D83" s="944">
        <f>Personalplanung!C83</f>
        <v>0</v>
      </c>
      <c r="E83" s="945">
        <f>Personalplanung!D83</f>
        <v>12</v>
      </c>
      <c r="F83" s="946">
        <f t="shared" si="30"/>
        <v>0</v>
      </c>
      <c r="G83" s="947">
        <v>1</v>
      </c>
      <c r="H83" s="947">
        <v>1</v>
      </c>
      <c r="I83" s="947">
        <v>1</v>
      </c>
      <c r="J83" s="947">
        <v>1</v>
      </c>
      <c r="K83" s="947">
        <v>1</v>
      </c>
      <c r="L83" s="947">
        <v>1</v>
      </c>
      <c r="M83" s="947">
        <v>1</v>
      </c>
      <c r="N83" s="947">
        <v>1</v>
      </c>
      <c r="O83" s="947">
        <v>1</v>
      </c>
      <c r="P83" s="947">
        <v>1</v>
      </c>
      <c r="Q83" s="947">
        <v>1</v>
      </c>
      <c r="R83" s="947">
        <v>1</v>
      </c>
      <c r="U83" s="950">
        <f>Personalplanung!AA83</f>
        <v>0</v>
      </c>
      <c r="V83" s="946">
        <f t="shared" si="31"/>
        <v>0</v>
      </c>
      <c r="W83" s="950">
        <f t="shared" si="32"/>
        <v>0</v>
      </c>
      <c r="X83" s="950">
        <f t="shared" si="33"/>
        <v>0</v>
      </c>
      <c r="Y83" s="950">
        <f t="shared" si="34"/>
        <v>0</v>
      </c>
      <c r="Z83" s="950">
        <f t="shared" si="35"/>
        <v>0</v>
      </c>
      <c r="AA83" s="950">
        <f t="shared" si="36"/>
        <v>0</v>
      </c>
      <c r="AB83" s="950">
        <f t="shared" si="37"/>
        <v>0</v>
      </c>
      <c r="AC83" s="950">
        <f t="shared" si="38"/>
        <v>0</v>
      </c>
      <c r="AD83" s="950">
        <f t="shared" si="39"/>
        <v>0</v>
      </c>
      <c r="AE83" s="950">
        <f t="shared" si="40"/>
        <v>0</v>
      </c>
      <c r="AF83" s="950">
        <f t="shared" si="41"/>
        <v>0</v>
      </c>
      <c r="AG83" s="950">
        <f t="shared" si="42"/>
        <v>0</v>
      </c>
      <c r="AH83" s="950">
        <f t="shared" si="43"/>
        <v>0</v>
      </c>
    </row>
    <row r="84" spans="1:34" x14ac:dyDescent="0.2">
      <c r="A84" s="943" t="str">
        <f>IF(Personalplanung!B84&lt;&gt;"",Personalplanung!B84,IF(Personalplanung!A84&lt;&gt;"",Personalplanung!A84,""))</f>
        <v/>
      </c>
      <c r="B84" s="943"/>
      <c r="C84" s="943"/>
      <c r="D84" s="944">
        <f>Personalplanung!C84</f>
        <v>0</v>
      </c>
      <c r="E84" s="945">
        <f>Personalplanung!D84</f>
        <v>12</v>
      </c>
      <c r="F84" s="946">
        <f t="shared" si="30"/>
        <v>0</v>
      </c>
      <c r="G84" s="947">
        <v>1</v>
      </c>
      <c r="H84" s="947">
        <v>1</v>
      </c>
      <c r="I84" s="947">
        <v>1</v>
      </c>
      <c r="J84" s="947">
        <v>1</v>
      </c>
      <c r="K84" s="947">
        <v>1</v>
      </c>
      <c r="L84" s="947">
        <v>1</v>
      </c>
      <c r="M84" s="947">
        <v>1</v>
      </c>
      <c r="N84" s="947">
        <v>1</v>
      </c>
      <c r="O84" s="947">
        <v>1</v>
      </c>
      <c r="P84" s="947">
        <v>1</v>
      </c>
      <c r="Q84" s="947">
        <v>1</v>
      </c>
      <c r="R84" s="947">
        <v>1</v>
      </c>
      <c r="U84" s="950">
        <f>Personalplanung!AA84</f>
        <v>0</v>
      </c>
      <c r="V84" s="946">
        <f t="shared" si="31"/>
        <v>0</v>
      </c>
      <c r="W84" s="950">
        <f t="shared" si="32"/>
        <v>0</v>
      </c>
      <c r="X84" s="950">
        <f t="shared" si="33"/>
        <v>0</v>
      </c>
      <c r="Y84" s="950">
        <f t="shared" si="34"/>
        <v>0</v>
      </c>
      <c r="Z84" s="950">
        <f t="shared" si="35"/>
        <v>0</v>
      </c>
      <c r="AA84" s="950">
        <f t="shared" si="36"/>
        <v>0</v>
      </c>
      <c r="AB84" s="950">
        <f t="shared" si="37"/>
        <v>0</v>
      </c>
      <c r="AC84" s="950">
        <f t="shared" si="38"/>
        <v>0</v>
      </c>
      <c r="AD84" s="950">
        <f t="shared" si="39"/>
        <v>0</v>
      </c>
      <c r="AE84" s="950">
        <f t="shared" si="40"/>
        <v>0</v>
      </c>
      <c r="AF84" s="950">
        <f t="shared" si="41"/>
        <v>0</v>
      </c>
      <c r="AG84" s="950">
        <f t="shared" si="42"/>
        <v>0</v>
      </c>
      <c r="AH84" s="950">
        <f t="shared" si="43"/>
        <v>0</v>
      </c>
    </row>
    <row r="85" spans="1:34" x14ac:dyDescent="0.2">
      <c r="A85" s="943" t="str">
        <f>IF(Personalplanung!B85&lt;&gt;"",Personalplanung!B85,IF(Personalplanung!A85&lt;&gt;"",Personalplanung!A85,""))</f>
        <v/>
      </c>
      <c r="B85" s="943"/>
      <c r="C85" s="943"/>
      <c r="D85" s="944">
        <f>Personalplanung!C85</f>
        <v>0</v>
      </c>
      <c r="E85" s="945">
        <f>Personalplanung!D85</f>
        <v>12</v>
      </c>
      <c r="F85" s="946">
        <f t="shared" si="30"/>
        <v>0</v>
      </c>
      <c r="G85" s="947">
        <v>1</v>
      </c>
      <c r="H85" s="947">
        <v>1</v>
      </c>
      <c r="I85" s="947">
        <v>1</v>
      </c>
      <c r="J85" s="947">
        <v>1</v>
      </c>
      <c r="K85" s="947">
        <v>1</v>
      </c>
      <c r="L85" s="947">
        <v>1</v>
      </c>
      <c r="M85" s="947">
        <v>1</v>
      </c>
      <c r="N85" s="947">
        <v>1</v>
      </c>
      <c r="O85" s="947">
        <v>1</v>
      </c>
      <c r="P85" s="947">
        <v>1</v>
      </c>
      <c r="Q85" s="947">
        <v>1</v>
      </c>
      <c r="R85" s="947">
        <v>1</v>
      </c>
      <c r="U85" s="950">
        <f>Personalplanung!AA85</f>
        <v>0</v>
      </c>
      <c r="V85" s="946">
        <f t="shared" si="31"/>
        <v>0</v>
      </c>
      <c r="W85" s="950">
        <f t="shared" si="32"/>
        <v>0</v>
      </c>
      <c r="X85" s="950">
        <f t="shared" si="33"/>
        <v>0</v>
      </c>
      <c r="Y85" s="950">
        <f t="shared" si="34"/>
        <v>0</v>
      </c>
      <c r="Z85" s="950">
        <f t="shared" si="35"/>
        <v>0</v>
      </c>
      <c r="AA85" s="950">
        <f t="shared" si="36"/>
        <v>0</v>
      </c>
      <c r="AB85" s="950">
        <f t="shared" si="37"/>
        <v>0</v>
      </c>
      <c r="AC85" s="950">
        <f t="shared" si="38"/>
        <v>0</v>
      </c>
      <c r="AD85" s="950">
        <f t="shared" si="39"/>
        <v>0</v>
      </c>
      <c r="AE85" s="950">
        <f t="shared" si="40"/>
        <v>0</v>
      </c>
      <c r="AF85" s="950">
        <f t="shared" si="41"/>
        <v>0</v>
      </c>
      <c r="AG85" s="950">
        <f t="shared" si="42"/>
        <v>0</v>
      </c>
      <c r="AH85" s="950">
        <f t="shared" si="43"/>
        <v>0</v>
      </c>
    </row>
    <row r="86" spans="1:34" x14ac:dyDescent="0.2">
      <c r="A86" s="943" t="str">
        <f>IF(Personalplanung!B86&lt;&gt;"",Personalplanung!B86,IF(Personalplanung!A86&lt;&gt;"",Personalplanung!A86,""))</f>
        <v/>
      </c>
      <c r="B86" s="943"/>
      <c r="C86" s="943"/>
      <c r="D86" s="944">
        <f>Personalplanung!C86</f>
        <v>0</v>
      </c>
      <c r="E86" s="945">
        <f>Personalplanung!D86</f>
        <v>12</v>
      </c>
      <c r="F86" s="946">
        <f t="shared" si="30"/>
        <v>0</v>
      </c>
      <c r="G86" s="947">
        <v>1</v>
      </c>
      <c r="H86" s="947">
        <v>1</v>
      </c>
      <c r="I86" s="947">
        <v>1</v>
      </c>
      <c r="J86" s="947">
        <v>1</v>
      </c>
      <c r="K86" s="947">
        <v>1</v>
      </c>
      <c r="L86" s="947">
        <v>1</v>
      </c>
      <c r="M86" s="947">
        <v>1</v>
      </c>
      <c r="N86" s="947">
        <v>1</v>
      </c>
      <c r="O86" s="947">
        <v>1</v>
      </c>
      <c r="P86" s="947">
        <v>1</v>
      </c>
      <c r="Q86" s="947">
        <v>1</v>
      </c>
      <c r="R86" s="947">
        <v>1</v>
      </c>
      <c r="U86" s="950">
        <f>Personalplanung!AA86</f>
        <v>0</v>
      </c>
      <c r="V86" s="946">
        <f t="shared" si="31"/>
        <v>0</v>
      </c>
      <c r="W86" s="950">
        <f t="shared" si="32"/>
        <v>0</v>
      </c>
      <c r="X86" s="950">
        <f t="shared" si="33"/>
        <v>0</v>
      </c>
      <c r="Y86" s="950">
        <f t="shared" si="34"/>
        <v>0</v>
      </c>
      <c r="Z86" s="950">
        <f t="shared" si="35"/>
        <v>0</v>
      </c>
      <c r="AA86" s="950">
        <f t="shared" si="36"/>
        <v>0</v>
      </c>
      <c r="AB86" s="950">
        <f t="shared" si="37"/>
        <v>0</v>
      </c>
      <c r="AC86" s="950">
        <f t="shared" si="38"/>
        <v>0</v>
      </c>
      <c r="AD86" s="950">
        <f t="shared" si="39"/>
        <v>0</v>
      </c>
      <c r="AE86" s="950">
        <f t="shared" si="40"/>
        <v>0</v>
      </c>
      <c r="AF86" s="950">
        <f t="shared" si="41"/>
        <v>0</v>
      </c>
      <c r="AG86" s="950">
        <f t="shared" si="42"/>
        <v>0</v>
      </c>
      <c r="AH86" s="950">
        <f t="shared" si="43"/>
        <v>0</v>
      </c>
    </row>
    <row r="87" spans="1:34" x14ac:dyDescent="0.2">
      <c r="A87" s="943" t="str">
        <f>IF(Personalplanung!B87&lt;&gt;"",Personalplanung!B87,IF(Personalplanung!A87&lt;&gt;"",Personalplanung!A87,""))</f>
        <v/>
      </c>
      <c r="B87" s="943"/>
      <c r="C87" s="943"/>
      <c r="D87" s="944">
        <f>Personalplanung!C87</f>
        <v>0</v>
      </c>
      <c r="E87" s="945">
        <f>Personalplanung!D87</f>
        <v>12</v>
      </c>
      <c r="F87" s="946">
        <f t="shared" si="30"/>
        <v>0</v>
      </c>
      <c r="G87" s="947">
        <v>1</v>
      </c>
      <c r="H87" s="947">
        <v>1</v>
      </c>
      <c r="I87" s="947">
        <v>1</v>
      </c>
      <c r="J87" s="947">
        <v>1</v>
      </c>
      <c r="K87" s="947">
        <v>1</v>
      </c>
      <c r="L87" s="947">
        <v>1</v>
      </c>
      <c r="M87" s="947">
        <v>1</v>
      </c>
      <c r="N87" s="947">
        <v>1</v>
      </c>
      <c r="O87" s="947">
        <v>1</v>
      </c>
      <c r="P87" s="947">
        <v>1</v>
      </c>
      <c r="Q87" s="947">
        <v>1</v>
      </c>
      <c r="R87" s="947">
        <v>1</v>
      </c>
      <c r="U87" s="950">
        <f>Personalplanung!AA87</f>
        <v>0</v>
      </c>
      <c r="V87" s="946">
        <f t="shared" si="31"/>
        <v>0</v>
      </c>
      <c r="W87" s="950">
        <f t="shared" si="32"/>
        <v>0</v>
      </c>
      <c r="X87" s="950">
        <f t="shared" si="33"/>
        <v>0</v>
      </c>
      <c r="Y87" s="950">
        <f t="shared" si="34"/>
        <v>0</v>
      </c>
      <c r="Z87" s="950">
        <f t="shared" si="35"/>
        <v>0</v>
      </c>
      <c r="AA87" s="950">
        <f t="shared" si="36"/>
        <v>0</v>
      </c>
      <c r="AB87" s="950">
        <f t="shared" si="37"/>
        <v>0</v>
      </c>
      <c r="AC87" s="950">
        <f t="shared" si="38"/>
        <v>0</v>
      </c>
      <c r="AD87" s="950">
        <f t="shared" si="39"/>
        <v>0</v>
      </c>
      <c r="AE87" s="950">
        <f t="shared" si="40"/>
        <v>0</v>
      </c>
      <c r="AF87" s="950">
        <f t="shared" si="41"/>
        <v>0</v>
      </c>
      <c r="AG87" s="950">
        <f t="shared" si="42"/>
        <v>0</v>
      </c>
      <c r="AH87" s="950">
        <f t="shared" si="43"/>
        <v>0</v>
      </c>
    </row>
    <row r="88" spans="1:34" x14ac:dyDescent="0.2">
      <c r="A88" s="943" t="str">
        <f>IF(Personalplanung!B88&lt;&gt;"",Personalplanung!B88,IF(Personalplanung!A88&lt;&gt;"",Personalplanung!A88,""))</f>
        <v/>
      </c>
      <c r="B88" s="943"/>
      <c r="C88" s="943"/>
      <c r="D88" s="944">
        <f>Personalplanung!C88</f>
        <v>0</v>
      </c>
      <c r="E88" s="945">
        <f>Personalplanung!D88</f>
        <v>12</v>
      </c>
      <c r="F88" s="946">
        <f t="shared" si="30"/>
        <v>0</v>
      </c>
      <c r="G88" s="947">
        <v>1</v>
      </c>
      <c r="H88" s="947">
        <v>1</v>
      </c>
      <c r="I88" s="947">
        <v>1</v>
      </c>
      <c r="J88" s="947">
        <v>1</v>
      </c>
      <c r="K88" s="947">
        <v>1</v>
      </c>
      <c r="L88" s="947">
        <v>1</v>
      </c>
      <c r="M88" s="947">
        <v>1</v>
      </c>
      <c r="N88" s="947">
        <v>1</v>
      </c>
      <c r="O88" s="947">
        <v>1</v>
      </c>
      <c r="P88" s="947">
        <v>1</v>
      </c>
      <c r="Q88" s="947">
        <v>1</v>
      </c>
      <c r="R88" s="947">
        <v>1</v>
      </c>
      <c r="U88" s="950">
        <f>Personalplanung!AA88</f>
        <v>0</v>
      </c>
      <c r="V88" s="946">
        <f t="shared" si="31"/>
        <v>0</v>
      </c>
      <c r="W88" s="950">
        <f t="shared" si="32"/>
        <v>0</v>
      </c>
      <c r="X88" s="950">
        <f t="shared" si="33"/>
        <v>0</v>
      </c>
      <c r="Y88" s="950">
        <f t="shared" si="34"/>
        <v>0</v>
      </c>
      <c r="Z88" s="950">
        <f t="shared" si="35"/>
        <v>0</v>
      </c>
      <c r="AA88" s="950">
        <f t="shared" si="36"/>
        <v>0</v>
      </c>
      <c r="AB88" s="950">
        <f t="shared" si="37"/>
        <v>0</v>
      </c>
      <c r="AC88" s="950">
        <f t="shared" si="38"/>
        <v>0</v>
      </c>
      <c r="AD88" s="950">
        <f t="shared" si="39"/>
        <v>0</v>
      </c>
      <c r="AE88" s="950">
        <f t="shared" si="40"/>
        <v>0</v>
      </c>
      <c r="AF88" s="950">
        <f t="shared" si="41"/>
        <v>0</v>
      </c>
      <c r="AG88" s="950">
        <f t="shared" si="42"/>
        <v>0</v>
      </c>
      <c r="AH88" s="950">
        <f t="shared" si="43"/>
        <v>0</v>
      </c>
    </row>
    <row r="89" spans="1:34" x14ac:dyDescent="0.2">
      <c r="A89" s="943" t="str">
        <f>IF(Personalplanung!B89&lt;&gt;"",Personalplanung!B89,IF(Personalplanung!A89&lt;&gt;"",Personalplanung!A89,""))</f>
        <v/>
      </c>
      <c r="B89" s="943"/>
      <c r="C89" s="943"/>
      <c r="D89" s="944">
        <f>Personalplanung!C89</f>
        <v>0</v>
      </c>
      <c r="E89" s="945">
        <f>Personalplanung!D89</f>
        <v>12</v>
      </c>
      <c r="F89" s="946">
        <f t="shared" si="30"/>
        <v>0</v>
      </c>
      <c r="G89" s="947">
        <v>1</v>
      </c>
      <c r="H89" s="947">
        <v>1</v>
      </c>
      <c r="I89" s="947">
        <v>1</v>
      </c>
      <c r="J89" s="947">
        <v>1</v>
      </c>
      <c r="K89" s="947">
        <v>1</v>
      </c>
      <c r="L89" s="947">
        <v>1</v>
      </c>
      <c r="M89" s="947">
        <v>1</v>
      </c>
      <c r="N89" s="947">
        <v>1</v>
      </c>
      <c r="O89" s="947">
        <v>1</v>
      </c>
      <c r="P89" s="947">
        <v>1</v>
      </c>
      <c r="Q89" s="947">
        <v>1</v>
      </c>
      <c r="R89" s="947">
        <v>1</v>
      </c>
      <c r="U89" s="950">
        <f>Personalplanung!AA89</f>
        <v>0</v>
      </c>
      <c r="V89" s="946">
        <f t="shared" si="31"/>
        <v>0</v>
      </c>
      <c r="W89" s="950">
        <f t="shared" si="32"/>
        <v>0</v>
      </c>
      <c r="X89" s="950">
        <f t="shared" si="33"/>
        <v>0</v>
      </c>
      <c r="Y89" s="950">
        <f t="shared" si="34"/>
        <v>0</v>
      </c>
      <c r="Z89" s="950">
        <f t="shared" si="35"/>
        <v>0</v>
      </c>
      <c r="AA89" s="950">
        <f t="shared" si="36"/>
        <v>0</v>
      </c>
      <c r="AB89" s="950">
        <f t="shared" si="37"/>
        <v>0</v>
      </c>
      <c r="AC89" s="950">
        <f t="shared" si="38"/>
        <v>0</v>
      </c>
      <c r="AD89" s="950">
        <f t="shared" si="39"/>
        <v>0</v>
      </c>
      <c r="AE89" s="950">
        <f t="shared" si="40"/>
        <v>0</v>
      </c>
      <c r="AF89" s="950">
        <f t="shared" si="41"/>
        <v>0</v>
      </c>
      <c r="AG89" s="950">
        <f t="shared" si="42"/>
        <v>0</v>
      </c>
      <c r="AH89" s="950">
        <f t="shared" si="43"/>
        <v>0</v>
      </c>
    </row>
    <row r="90" spans="1:34" x14ac:dyDescent="0.2">
      <c r="A90" s="943" t="str">
        <f>IF(Personalplanung!B90&lt;&gt;"",Personalplanung!B90,IF(Personalplanung!A90&lt;&gt;"",Personalplanung!A90,""))</f>
        <v/>
      </c>
      <c r="B90" s="943"/>
      <c r="C90" s="943"/>
      <c r="D90" s="944">
        <f>Personalplanung!C90</f>
        <v>0</v>
      </c>
      <c r="E90" s="945">
        <f>Personalplanung!D90</f>
        <v>12</v>
      </c>
      <c r="F90" s="946">
        <f t="shared" si="30"/>
        <v>0</v>
      </c>
      <c r="G90" s="947">
        <v>1</v>
      </c>
      <c r="H90" s="947">
        <v>1</v>
      </c>
      <c r="I90" s="947">
        <v>1</v>
      </c>
      <c r="J90" s="947">
        <v>1</v>
      </c>
      <c r="K90" s="947">
        <v>1</v>
      </c>
      <c r="L90" s="947">
        <v>1</v>
      </c>
      <c r="M90" s="947">
        <v>1</v>
      </c>
      <c r="N90" s="947">
        <v>1</v>
      </c>
      <c r="O90" s="947">
        <v>1</v>
      </c>
      <c r="P90" s="947">
        <v>1</v>
      </c>
      <c r="Q90" s="947">
        <v>1</v>
      </c>
      <c r="R90" s="947">
        <v>1</v>
      </c>
      <c r="U90" s="950">
        <f>Personalplanung!AA90</f>
        <v>0</v>
      </c>
      <c r="V90" s="946">
        <f t="shared" si="31"/>
        <v>0</v>
      </c>
      <c r="W90" s="950">
        <f t="shared" si="32"/>
        <v>0</v>
      </c>
      <c r="X90" s="950">
        <f t="shared" si="33"/>
        <v>0</v>
      </c>
      <c r="Y90" s="950">
        <f t="shared" si="34"/>
        <v>0</v>
      </c>
      <c r="Z90" s="950">
        <f t="shared" si="35"/>
        <v>0</v>
      </c>
      <c r="AA90" s="950">
        <f t="shared" si="36"/>
        <v>0</v>
      </c>
      <c r="AB90" s="950">
        <f t="shared" si="37"/>
        <v>0</v>
      </c>
      <c r="AC90" s="950">
        <f t="shared" si="38"/>
        <v>0</v>
      </c>
      <c r="AD90" s="950">
        <f t="shared" si="39"/>
        <v>0</v>
      </c>
      <c r="AE90" s="950">
        <f t="shared" si="40"/>
        <v>0</v>
      </c>
      <c r="AF90" s="950">
        <f t="shared" si="41"/>
        <v>0</v>
      </c>
      <c r="AG90" s="950">
        <f t="shared" si="42"/>
        <v>0</v>
      </c>
      <c r="AH90" s="950">
        <f t="shared" si="43"/>
        <v>0</v>
      </c>
    </row>
    <row r="91" spans="1:34" x14ac:dyDescent="0.2">
      <c r="A91" s="943" t="str">
        <f>IF(Personalplanung!B91&lt;&gt;"",Personalplanung!B91,IF(Personalplanung!A91&lt;&gt;"",Personalplanung!A91,""))</f>
        <v/>
      </c>
      <c r="B91" s="943"/>
      <c r="C91" s="943"/>
      <c r="D91" s="944">
        <f>Personalplanung!C91</f>
        <v>0</v>
      </c>
      <c r="E91" s="945">
        <f>Personalplanung!D91</f>
        <v>12</v>
      </c>
      <c r="F91" s="946">
        <f t="shared" si="30"/>
        <v>0</v>
      </c>
      <c r="G91" s="947">
        <v>1</v>
      </c>
      <c r="H91" s="947">
        <v>1</v>
      </c>
      <c r="I91" s="947">
        <v>1</v>
      </c>
      <c r="J91" s="947">
        <v>1</v>
      </c>
      <c r="K91" s="947">
        <v>1</v>
      </c>
      <c r="L91" s="947">
        <v>1</v>
      </c>
      <c r="M91" s="947">
        <v>1</v>
      </c>
      <c r="N91" s="947">
        <v>1</v>
      </c>
      <c r="O91" s="947">
        <v>1</v>
      </c>
      <c r="P91" s="947">
        <v>1</v>
      </c>
      <c r="Q91" s="947">
        <v>1</v>
      </c>
      <c r="R91" s="947">
        <v>1</v>
      </c>
      <c r="U91" s="950">
        <f>Personalplanung!AA91</f>
        <v>0</v>
      </c>
      <c r="V91" s="946">
        <f t="shared" si="31"/>
        <v>0</v>
      </c>
      <c r="W91" s="950">
        <f t="shared" si="32"/>
        <v>0</v>
      </c>
      <c r="X91" s="950">
        <f t="shared" si="33"/>
        <v>0</v>
      </c>
      <c r="Y91" s="950">
        <f t="shared" si="34"/>
        <v>0</v>
      </c>
      <c r="Z91" s="950">
        <f t="shared" si="35"/>
        <v>0</v>
      </c>
      <c r="AA91" s="950">
        <f t="shared" si="36"/>
        <v>0</v>
      </c>
      <c r="AB91" s="950">
        <f t="shared" si="37"/>
        <v>0</v>
      </c>
      <c r="AC91" s="950">
        <f t="shared" si="38"/>
        <v>0</v>
      </c>
      <c r="AD91" s="950">
        <f t="shared" si="39"/>
        <v>0</v>
      </c>
      <c r="AE91" s="950">
        <f t="shared" si="40"/>
        <v>0</v>
      </c>
      <c r="AF91" s="950">
        <f t="shared" si="41"/>
        <v>0</v>
      </c>
      <c r="AG91" s="950">
        <f t="shared" si="42"/>
        <v>0</v>
      </c>
      <c r="AH91" s="950">
        <f t="shared" si="43"/>
        <v>0</v>
      </c>
    </row>
    <row r="92" spans="1:34" x14ac:dyDescent="0.2">
      <c r="A92" s="943" t="str">
        <f>IF(Personalplanung!B92&lt;&gt;"",Personalplanung!B92,IF(Personalplanung!A92&lt;&gt;"",Personalplanung!A92,""))</f>
        <v/>
      </c>
      <c r="B92" s="943"/>
      <c r="C92" s="943"/>
      <c r="D92" s="944">
        <f>Personalplanung!C92</f>
        <v>0</v>
      </c>
      <c r="E92" s="945">
        <f>Personalplanung!D92</f>
        <v>12</v>
      </c>
      <c r="F92" s="946">
        <f t="shared" si="30"/>
        <v>0</v>
      </c>
      <c r="G92" s="947">
        <v>1</v>
      </c>
      <c r="H92" s="947">
        <v>1</v>
      </c>
      <c r="I92" s="947">
        <v>1</v>
      </c>
      <c r="J92" s="947">
        <v>1</v>
      </c>
      <c r="K92" s="947">
        <v>1</v>
      </c>
      <c r="L92" s="947">
        <v>1</v>
      </c>
      <c r="M92" s="947">
        <v>1</v>
      </c>
      <c r="N92" s="947">
        <v>1</v>
      </c>
      <c r="O92" s="947">
        <v>1</v>
      </c>
      <c r="P92" s="947">
        <v>1</v>
      </c>
      <c r="Q92" s="947">
        <v>1</v>
      </c>
      <c r="R92" s="947">
        <v>1</v>
      </c>
      <c r="U92" s="950">
        <f>Personalplanung!AA92</f>
        <v>0</v>
      </c>
      <c r="V92" s="946">
        <f t="shared" si="31"/>
        <v>0</v>
      </c>
      <c r="W92" s="950">
        <f t="shared" si="32"/>
        <v>0</v>
      </c>
      <c r="X92" s="950">
        <f t="shared" si="33"/>
        <v>0</v>
      </c>
      <c r="Y92" s="950">
        <f t="shared" si="34"/>
        <v>0</v>
      </c>
      <c r="Z92" s="950">
        <f t="shared" si="35"/>
        <v>0</v>
      </c>
      <c r="AA92" s="950">
        <f t="shared" si="36"/>
        <v>0</v>
      </c>
      <c r="AB92" s="950">
        <f t="shared" si="37"/>
        <v>0</v>
      </c>
      <c r="AC92" s="950">
        <f t="shared" si="38"/>
        <v>0</v>
      </c>
      <c r="AD92" s="950">
        <f t="shared" si="39"/>
        <v>0</v>
      </c>
      <c r="AE92" s="950">
        <f t="shared" si="40"/>
        <v>0</v>
      </c>
      <c r="AF92" s="950">
        <f t="shared" si="41"/>
        <v>0</v>
      </c>
      <c r="AG92" s="950">
        <f t="shared" si="42"/>
        <v>0</v>
      </c>
      <c r="AH92" s="950">
        <f t="shared" si="43"/>
        <v>0</v>
      </c>
    </row>
    <row r="93" spans="1:34" x14ac:dyDescent="0.2">
      <c r="A93" s="943" t="str">
        <f>IF(Personalplanung!B93&lt;&gt;"",Personalplanung!B93,IF(Personalplanung!A93&lt;&gt;"",Personalplanung!A93,""))</f>
        <v/>
      </c>
      <c r="B93" s="943"/>
      <c r="C93" s="943"/>
      <c r="D93" s="944">
        <f>Personalplanung!C93</f>
        <v>0</v>
      </c>
      <c r="E93" s="945">
        <f>Personalplanung!D93</f>
        <v>12</v>
      </c>
      <c r="F93" s="946">
        <f t="shared" si="30"/>
        <v>0</v>
      </c>
      <c r="G93" s="947">
        <v>1</v>
      </c>
      <c r="H93" s="947">
        <v>1</v>
      </c>
      <c r="I93" s="947">
        <v>1</v>
      </c>
      <c r="J93" s="947">
        <v>1</v>
      </c>
      <c r="K93" s="947">
        <v>1</v>
      </c>
      <c r="L93" s="947">
        <v>1</v>
      </c>
      <c r="M93" s="947">
        <v>1</v>
      </c>
      <c r="N93" s="947">
        <v>1</v>
      </c>
      <c r="O93" s="947">
        <v>1</v>
      </c>
      <c r="P93" s="947">
        <v>1</v>
      </c>
      <c r="Q93" s="947">
        <v>1</v>
      </c>
      <c r="R93" s="947">
        <v>1</v>
      </c>
      <c r="U93" s="950">
        <f>Personalplanung!AA93</f>
        <v>0</v>
      </c>
      <c r="V93" s="946">
        <f t="shared" si="31"/>
        <v>0</v>
      </c>
      <c r="W93" s="950">
        <f t="shared" si="32"/>
        <v>0</v>
      </c>
      <c r="X93" s="950">
        <f t="shared" si="33"/>
        <v>0</v>
      </c>
      <c r="Y93" s="950">
        <f t="shared" si="34"/>
        <v>0</v>
      </c>
      <c r="Z93" s="950">
        <f t="shared" si="35"/>
        <v>0</v>
      </c>
      <c r="AA93" s="950">
        <f t="shared" si="36"/>
        <v>0</v>
      </c>
      <c r="AB93" s="950">
        <f t="shared" si="37"/>
        <v>0</v>
      </c>
      <c r="AC93" s="950">
        <f t="shared" si="38"/>
        <v>0</v>
      </c>
      <c r="AD93" s="950">
        <f t="shared" si="39"/>
        <v>0</v>
      </c>
      <c r="AE93" s="950">
        <f t="shared" si="40"/>
        <v>0</v>
      </c>
      <c r="AF93" s="950">
        <f t="shared" si="41"/>
        <v>0</v>
      </c>
      <c r="AG93" s="950">
        <f t="shared" si="42"/>
        <v>0</v>
      </c>
      <c r="AH93" s="950">
        <f t="shared" si="43"/>
        <v>0</v>
      </c>
    </row>
    <row r="94" spans="1:34" x14ac:dyDescent="0.2">
      <c r="A94" s="943" t="str">
        <f>IF(Personalplanung!B94&lt;&gt;"",Personalplanung!B94,IF(Personalplanung!A94&lt;&gt;"",Personalplanung!A94,""))</f>
        <v/>
      </c>
      <c r="B94" s="943"/>
      <c r="C94" s="943"/>
      <c r="D94" s="944">
        <f>Personalplanung!C94</f>
        <v>0</v>
      </c>
      <c r="E94" s="945">
        <f>Personalplanung!D94</f>
        <v>12</v>
      </c>
      <c r="F94" s="946">
        <f t="shared" si="30"/>
        <v>0</v>
      </c>
      <c r="G94" s="947">
        <v>1</v>
      </c>
      <c r="H94" s="947">
        <v>1</v>
      </c>
      <c r="I94" s="947">
        <v>1</v>
      </c>
      <c r="J94" s="947">
        <v>1</v>
      </c>
      <c r="K94" s="947">
        <v>1</v>
      </c>
      <c r="L94" s="947">
        <v>1</v>
      </c>
      <c r="M94" s="947">
        <v>1</v>
      </c>
      <c r="N94" s="947">
        <v>1</v>
      </c>
      <c r="O94" s="947">
        <v>1</v>
      </c>
      <c r="P94" s="947">
        <v>1</v>
      </c>
      <c r="Q94" s="947">
        <v>1</v>
      </c>
      <c r="R94" s="947">
        <v>1</v>
      </c>
      <c r="U94" s="950">
        <f>Personalplanung!AA94</f>
        <v>0</v>
      </c>
      <c r="V94" s="946">
        <f t="shared" si="31"/>
        <v>0</v>
      </c>
      <c r="W94" s="950">
        <f t="shared" si="32"/>
        <v>0</v>
      </c>
      <c r="X94" s="950">
        <f t="shared" si="33"/>
        <v>0</v>
      </c>
      <c r="Y94" s="950">
        <f t="shared" si="34"/>
        <v>0</v>
      </c>
      <c r="Z94" s="950">
        <f t="shared" si="35"/>
        <v>0</v>
      </c>
      <c r="AA94" s="950">
        <f t="shared" si="36"/>
        <v>0</v>
      </c>
      <c r="AB94" s="950">
        <f t="shared" si="37"/>
        <v>0</v>
      </c>
      <c r="AC94" s="950">
        <f t="shared" si="38"/>
        <v>0</v>
      </c>
      <c r="AD94" s="950">
        <f t="shared" si="39"/>
        <v>0</v>
      </c>
      <c r="AE94" s="950">
        <f t="shared" si="40"/>
        <v>0</v>
      </c>
      <c r="AF94" s="950">
        <f t="shared" si="41"/>
        <v>0</v>
      </c>
      <c r="AG94" s="950">
        <f t="shared" si="42"/>
        <v>0</v>
      </c>
      <c r="AH94" s="950">
        <f t="shared" si="43"/>
        <v>0</v>
      </c>
    </row>
    <row r="95" spans="1:34" x14ac:dyDescent="0.2">
      <c r="A95" s="943" t="str">
        <f>IF(Personalplanung!B95&lt;&gt;"",Personalplanung!B95,IF(Personalplanung!A95&lt;&gt;"",Personalplanung!A95,""))</f>
        <v/>
      </c>
      <c r="B95" s="943"/>
      <c r="C95" s="943"/>
      <c r="D95" s="944">
        <f>Personalplanung!C95</f>
        <v>0</v>
      </c>
      <c r="E95" s="945">
        <f>Personalplanung!D95</f>
        <v>12</v>
      </c>
      <c r="F95" s="946">
        <f t="shared" si="30"/>
        <v>0</v>
      </c>
      <c r="G95" s="947">
        <v>1</v>
      </c>
      <c r="H95" s="947">
        <v>1</v>
      </c>
      <c r="I95" s="947">
        <v>1</v>
      </c>
      <c r="J95" s="947">
        <v>1</v>
      </c>
      <c r="K95" s="947">
        <v>1</v>
      </c>
      <c r="L95" s="947">
        <v>1</v>
      </c>
      <c r="M95" s="947">
        <v>1</v>
      </c>
      <c r="N95" s="947">
        <v>1</v>
      </c>
      <c r="O95" s="947">
        <v>1</v>
      </c>
      <c r="P95" s="947">
        <v>1</v>
      </c>
      <c r="Q95" s="947">
        <v>1</v>
      </c>
      <c r="R95" s="947">
        <v>1</v>
      </c>
      <c r="U95" s="950">
        <f>Personalplanung!AA95</f>
        <v>0</v>
      </c>
      <c r="V95" s="946">
        <f t="shared" si="31"/>
        <v>0</v>
      </c>
      <c r="W95" s="950">
        <f t="shared" si="32"/>
        <v>0</v>
      </c>
      <c r="X95" s="950">
        <f t="shared" si="33"/>
        <v>0</v>
      </c>
      <c r="Y95" s="950">
        <f t="shared" si="34"/>
        <v>0</v>
      </c>
      <c r="Z95" s="950">
        <f t="shared" si="35"/>
        <v>0</v>
      </c>
      <c r="AA95" s="950">
        <f t="shared" si="36"/>
        <v>0</v>
      </c>
      <c r="AB95" s="950">
        <f t="shared" si="37"/>
        <v>0</v>
      </c>
      <c r="AC95" s="950">
        <f t="shared" si="38"/>
        <v>0</v>
      </c>
      <c r="AD95" s="950">
        <f t="shared" si="39"/>
        <v>0</v>
      </c>
      <c r="AE95" s="950">
        <f t="shared" si="40"/>
        <v>0</v>
      </c>
      <c r="AF95" s="950">
        <f t="shared" si="41"/>
        <v>0</v>
      </c>
      <c r="AG95" s="950">
        <f t="shared" si="42"/>
        <v>0</v>
      </c>
      <c r="AH95" s="950">
        <f t="shared" si="43"/>
        <v>0</v>
      </c>
    </row>
    <row r="96" spans="1:34" x14ac:dyDescent="0.2">
      <c r="A96" s="943" t="str">
        <f>IF(Personalplanung!B96&lt;&gt;"",Personalplanung!B96,IF(Personalplanung!A96&lt;&gt;"",Personalplanung!A96,""))</f>
        <v/>
      </c>
      <c r="B96" s="943"/>
      <c r="C96" s="943"/>
      <c r="D96" s="944">
        <f>Personalplanung!C96</f>
        <v>0</v>
      </c>
      <c r="E96" s="945">
        <f>Personalplanung!D96</f>
        <v>12</v>
      </c>
      <c r="F96" s="946">
        <f t="shared" si="30"/>
        <v>0</v>
      </c>
      <c r="G96" s="947">
        <v>1</v>
      </c>
      <c r="H96" s="947">
        <v>1</v>
      </c>
      <c r="I96" s="947">
        <v>1</v>
      </c>
      <c r="J96" s="947">
        <v>1</v>
      </c>
      <c r="K96" s="947">
        <v>1</v>
      </c>
      <c r="L96" s="947">
        <v>1</v>
      </c>
      <c r="M96" s="947">
        <v>1</v>
      </c>
      <c r="N96" s="947">
        <v>1</v>
      </c>
      <c r="O96" s="947">
        <v>1</v>
      </c>
      <c r="P96" s="947">
        <v>1</v>
      </c>
      <c r="Q96" s="947">
        <v>1</v>
      </c>
      <c r="R96" s="947">
        <v>1</v>
      </c>
      <c r="U96" s="950">
        <f>Personalplanung!AA96</f>
        <v>0</v>
      </c>
      <c r="V96" s="946">
        <f t="shared" si="31"/>
        <v>0</v>
      </c>
      <c r="W96" s="950">
        <f t="shared" si="32"/>
        <v>0</v>
      </c>
      <c r="X96" s="950">
        <f t="shared" si="33"/>
        <v>0</v>
      </c>
      <c r="Y96" s="950">
        <f t="shared" si="34"/>
        <v>0</v>
      </c>
      <c r="Z96" s="950">
        <f t="shared" si="35"/>
        <v>0</v>
      </c>
      <c r="AA96" s="950">
        <f t="shared" si="36"/>
        <v>0</v>
      </c>
      <c r="AB96" s="950">
        <f t="shared" si="37"/>
        <v>0</v>
      </c>
      <c r="AC96" s="950">
        <f t="shared" si="38"/>
        <v>0</v>
      </c>
      <c r="AD96" s="950">
        <f t="shared" si="39"/>
        <v>0</v>
      </c>
      <c r="AE96" s="950">
        <f t="shared" si="40"/>
        <v>0</v>
      </c>
      <c r="AF96" s="950">
        <f t="shared" si="41"/>
        <v>0</v>
      </c>
      <c r="AG96" s="950">
        <f t="shared" si="42"/>
        <v>0</v>
      </c>
      <c r="AH96" s="950">
        <f t="shared" si="43"/>
        <v>0</v>
      </c>
    </row>
    <row r="97" spans="1:34" x14ac:dyDescent="0.2">
      <c r="A97" s="943" t="str">
        <f>IF(Personalplanung!B97&lt;&gt;"",Personalplanung!B97,IF(Personalplanung!A97&lt;&gt;"",Personalplanung!A97,""))</f>
        <v/>
      </c>
      <c r="B97" s="943"/>
      <c r="C97" s="943"/>
      <c r="D97" s="944">
        <f>Personalplanung!C97</f>
        <v>0</v>
      </c>
      <c r="E97" s="945">
        <f>Personalplanung!D97</f>
        <v>12</v>
      </c>
      <c r="F97" s="946">
        <f t="shared" si="30"/>
        <v>0</v>
      </c>
      <c r="G97" s="947">
        <v>1</v>
      </c>
      <c r="H97" s="947">
        <v>1</v>
      </c>
      <c r="I97" s="947">
        <v>1</v>
      </c>
      <c r="J97" s="947">
        <v>1</v>
      </c>
      <c r="K97" s="947">
        <v>1</v>
      </c>
      <c r="L97" s="947">
        <v>1</v>
      </c>
      <c r="M97" s="947">
        <v>1</v>
      </c>
      <c r="N97" s="947">
        <v>1</v>
      </c>
      <c r="O97" s="947">
        <v>1</v>
      </c>
      <c r="P97" s="947">
        <v>1</v>
      </c>
      <c r="Q97" s="947">
        <v>1</v>
      </c>
      <c r="R97" s="947">
        <v>1</v>
      </c>
      <c r="U97" s="950">
        <f>Personalplanung!AA97</f>
        <v>0</v>
      </c>
      <c r="V97" s="946">
        <f t="shared" si="31"/>
        <v>0</v>
      </c>
      <c r="W97" s="950">
        <f t="shared" si="32"/>
        <v>0</v>
      </c>
      <c r="X97" s="950">
        <f t="shared" si="33"/>
        <v>0</v>
      </c>
      <c r="Y97" s="950">
        <f t="shared" si="34"/>
        <v>0</v>
      </c>
      <c r="Z97" s="950">
        <f t="shared" si="35"/>
        <v>0</v>
      </c>
      <c r="AA97" s="950">
        <f t="shared" si="36"/>
        <v>0</v>
      </c>
      <c r="AB97" s="950">
        <f t="shared" si="37"/>
        <v>0</v>
      </c>
      <c r="AC97" s="950">
        <f t="shared" si="38"/>
        <v>0</v>
      </c>
      <c r="AD97" s="950">
        <f t="shared" si="39"/>
        <v>0</v>
      </c>
      <c r="AE97" s="950">
        <f t="shared" si="40"/>
        <v>0</v>
      </c>
      <c r="AF97" s="950">
        <f t="shared" si="41"/>
        <v>0</v>
      </c>
      <c r="AG97" s="950">
        <f t="shared" si="42"/>
        <v>0</v>
      </c>
      <c r="AH97" s="950">
        <f t="shared" si="43"/>
        <v>0</v>
      </c>
    </row>
    <row r="98" spans="1:34" x14ac:dyDescent="0.2">
      <c r="A98" s="943" t="str">
        <f>IF(Personalplanung!B98&lt;&gt;"",Personalplanung!B98,IF(Personalplanung!A98&lt;&gt;"",Personalplanung!A98,""))</f>
        <v/>
      </c>
      <c r="B98" s="943"/>
      <c r="C98" s="943"/>
      <c r="D98" s="944">
        <f>Personalplanung!C98</f>
        <v>0</v>
      </c>
      <c r="E98" s="945">
        <f>Personalplanung!D98</f>
        <v>12</v>
      </c>
      <c r="F98" s="946">
        <f t="shared" si="30"/>
        <v>0</v>
      </c>
      <c r="G98" s="947">
        <v>1</v>
      </c>
      <c r="H98" s="947">
        <v>1</v>
      </c>
      <c r="I98" s="947">
        <v>1</v>
      </c>
      <c r="J98" s="947">
        <v>1</v>
      </c>
      <c r="K98" s="947">
        <v>1</v>
      </c>
      <c r="L98" s="947">
        <v>1</v>
      </c>
      <c r="M98" s="947">
        <v>1</v>
      </c>
      <c r="N98" s="947">
        <v>1</v>
      </c>
      <c r="O98" s="947">
        <v>1</v>
      </c>
      <c r="P98" s="947">
        <v>1</v>
      </c>
      <c r="Q98" s="947">
        <v>1</v>
      </c>
      <c r="R98" s="947">
        <v>1</v>
      </c>
      <c r="U98" s="950">
        <f>Personalplanung!AA98</f>
        <v>0</v>
      </c>
      <c r="V98" s="946">
        <f t="shared" si="31"/>
        <v>0</v>
      </c>
      <c r="W98" s="950">
        <f t="shared" si="32"/>
        <v>0</v>
      </c>
      <c r="X98" s="950">
        <f t="shared" si="33"/>
        <v>0</v>
      </c>
      <c r="Y98" s="950">
        <f t="shared" si="34"/>
        <v>0</v>
      </c>
      <c r="Z98" s="950">
        <f t="shared" si="35"/>
        <v>0</v>
      </c>
      <c r="AA98" s="950">
        <f t="shared" si="36"/>
        <v>0</v>
      </c>
      <c r="AB98" s="950">
        <f t="shared" si="37"/>
        <v>0</v>
      </c>
      <c r="AC98" s="950">
        <f t="shared" si="38"/>
        <v>0</v>
      </c>
      <c r="AD98" s="950">
        <f t="shared" si="39"/>
        <v>0</v>
      </c>
      <c r="AE98" s="950">
        <f t="shared" si="40"/>
        <v>0</v>
      </c>
      <c r="AF98" s="950">
        <f t="shared" si="41"/>
        <v>0</v>
      </c>
      <c r="AG98" s="950">
        <f t="shared" si="42"/>
        <v>0</v>
      </c>
      <c r="AH98" s="950">
        <f t="shared" si="43"/>
        <v>0</v>
      </c>
    </row>
    <row r="99" spans="1:34" x14ac:dyDescent="0.2">
      <c r="A99" s="943" t="str">
        <f>IF(Personalplanung!B99&lt;&gt;"",Personalplanung!B99,IF(Personalplanung!A99&lt;&gt;"",Personalplanung!A99,""))</f>
        <v/>
      </c>
      <c r="B99" s="943"/>
      <c r="C99" s="943"/>
      <c r="D99" s="944">
        <f>Personalplanung!C99</f>
        <v>0</v>
      </c>
      <c r="E99" s="945">
        <f>Personalplanung!D99</f>
        <v>12</v>
      </c>
      <c r="F99" s="946">
        <f t="shared" si="30"/>
        <v>0</v>
      </c>
      <c r="G99" s="947">
        <v>1</v>
      </c>
      <c r="H99" s="947">
        <v>1</v>
      </c>
      <c r="I99" s="947">
        <v>1</v>
      </c>
      <c r="J99" s="947">
        <v>1</v>
      </c>
      <c r="K99" s="947">
        <v>1</v>
      </c>
      <c r="L99" s="947">
        <v>1</v>
      </c>
      <c r="M99" s="947">
        <v>1</v>
      </c>
      <c r="N99" s="947">
        <v>1</v>
      </c>
      <c r="O99" s="947">
        <v>1</v>
      </c>
      <c r="P99" s="947">
        <v>1</v>
      </c>
      <c r="Q99" s="947">
        <v>1</v>
      </c>
      <c r="R99" s="947">
        <v>1</v>
      </c>
      <c r="U99" s="950">
        <f>Personalplanung!AA99</f>
        <v>0</v>
      </c>
      <c r="V99" s="946">
        <f t="shared" si="31"/>
        <v>0</v>
      </c>
      <c r="W99" s="950">
        <f t="shared" si="32"/>
        <v>0</v>
      </c>
      <c r="X99" s="950">
        <f t="shared" si="33"/>
        <v>0</v>
      </c>
      <c r="Y99" s="950">
        <f t="shared" si="34"/>
        <v>0</v>
      </c>
      <c r="Z99" s="950">
        <f t="shared" si="35"/>
        <v>0</v>
      </c>
      <c r="AA99" s="950">
        <f t="shared" si="36"/>
        <v>0</v>
      </c>
      <c r="AB99" s="950">
        <f t="shared" si="37"/>
        <v>0</v>
      </c>
      <c r="AC99" s="950">
        <f t="shared" si="38"/>
        <v>0</v>
      </c>
      <c r="AD99" s="950">
        <f t="shared" si="39"/>
        <v>0</v>
      </c>
      <c r="AE99" s="950">
        <f t="shared" si="40"/>
        <v>0</v>
      </c>
      <c r="AF99" s="950">
        <f t="shared" si="41"/>
        <v>0</v>
      </c>
      <c r="AG99" s="950">
        <f t="shared" si="42"/>
        <v>0</v>
      </c>
      <c r="AH99" s="950">
        <f t="shared" si="43"/>
        <v>0</v>
      </c>
    </row>
    <row r="100" spans="1:34" x14ac:dyDescent="0.2">
      <c r="A100" s="943" t="str">
        <f>IF(Personalplanung!B100&lt;&gt;"",Personalplanung!B100,IF(Personalplanung!A100&lt;&gt;"",Personalplanung!A100,""))</f>
        <v/>
      </c>
      <c r="B100" s="943"/>
      <c r="C100" s="943"/>
      <c r="D100" s="944">
        <f>Personalplanung!C100</f>
        <v>0</v>
      </c>
      <c r="E100" s="945">
        <f>Personalplanung!D100</f>
        <v>12</v>
      </c>
      <c r="F100" s="946">
        <f t="shared" si="30"/>
        <v>0</v>
      </c>
      <c r="G100" s="947">
        <v>1</v>
      </c>
      <c r="H100" s="947">
        <v>1</v>
      </c>
      <c r="I100" s="947">
        <v>1</v>
      </c>
      <c r="J100" s="947">
        <v>1</v>
      </c>
      <c r="K100" s="947">
        <v>1</v>
      </c>
      <c r="L100" s="947">
        <v>1</v>
      </c>
      <c r="M100" s="947">
        <v>1</v>
      </c>
      <c r="N100" s="947">
        <v>1</v>
      </c>
      <c r="O100" s="947">
        <v>1</v>
      </c>
      <c r="P100" s="947">
        <v>1</v>
      </c>
      <c r="Q100" s="947">
        <v>1</v>
      </c>
      <c r="R100" s="947">
        <v>1</v>
      </c>
      <c r="U100" s="950">
        <f>Personalplanung!AA100</f>
        <v>0</v>
      </c>
      <c r="V100" s="946">
        <f t="shared" si="31"/>
        <v>0</v>
      </c>
      <c r="W100" s="950">
        <f t="shared" si="32"/>
        <v>0</v>
      </c>
      <c r="X100" s="950">
        <f t="shared" si="33"/>
        <v>0</v>
      </c>
      <c r="Y100" s="950">
        <f t="shared" si="34"/>
        <v>0</v>
      </c>
      <c r="Z100" s="950">
        <f t="shared" si="35"/>
        <v>0</v>
      </c>
      <c r="AA100" s="950">
        <f t="shared" si="36"/>
        <v>0</v>
      </c>
      <c r="AB100" s="950">
        <f t="shared" si="37"/>
        <v>0</v>
      </c>
      <c r="AC100" s="950">
        <f t="shared" si="38"/>
        <v>0</v>
      </c>
      <c r="AD100" s="950">
        <f t="shared" si="39"/>
        <v>0</v>
      </c>
      <c r="AE100" s="950">
        <f t="shared" si="40"/>
        <v>0</v>
      </c>
      <c r="AF100" s="950">
        <f t="shared" si="41"/>
        <v>0</v>
      </c>
      <c r="AG100" s="950">
        <f t="shared" si="42"/>
        <v>0</v>
      </c>
      <c r="AH100" s="950">
        <f t="shared" si="43"/>
        <v>0</v>
      </c>
    </row>
    <row r="101" spans="1:34" x14ac:dyDescent="0.2">
      <c r="A101" s="943" t="str">
        <f>IF(Personalplanung!B101&lt;&gt;"",Personalplanung!B101,IF(Personalplanung!A101&lt;&gt;"",Personalplanung!A101,""))</f>
        <v/>
      </c>
      <c r="B101" s="943"/>
      <c r="C101" s="943"/>
      <c r="D101" s="944">
        <f>Personalplanung!C101</f>
        <v>0</v>
      </c>
      <c r="E101" s="945">
        <f>Personalplanung!D101</f>
        <v>12</v>
      </c>
      <c r="F101" s="946">
        <f t="shared" si="30"/>
        <v>0</v>
      </c>
      <c r="G101" s="947">
        <v>1</v>
      </c>
      <c r="H101" s="947">
        <v>1</v>
      </c>
      <c r="I101" s="947">
        <v>1</v>
      </c>
      <c r="J101" s="947">
        <v>1</v>
      </c>
      <c r="K101" s="947">
        <v>1</v>
      </c>
      <c r="L101" s="947">
        <v>1</v>
      </c>
      <c r="M101" s="947">
        <v>1</v>
      </c>
      <c r="N101" s="947">
        <v>1</v>
      </c>
      <c r="O101" s="947">
        <v>1</v>
      </c>
      <c r="P101" s="947">
        <v>1</v>
      </c>
      <c r="Q101" s="947">
        <v>1</v>
      </c>
      <c r="R101" s="947">
        <v>1</v>
      </c>
      <c r="U101" s="950">
        <f>Personalplanung!AA101</f>
        <v>0</v>
      </c>
      <c r="V101" s="946">
        <f t="shared" si="31"/>
        <v>0</v>
      </c>
      <c r="W101" s="950">
        <f t="shared" si="32"/>
        <v>0</v>
      </c>
      <c r="X101" s="950">
        <f t="shared" si="33"/>
        <v>0</v>
      </c>
      <c r="Y101" s="950">
        <f t="shared" si="34"/>
        <v>0</v>
      </c>
      <c r="Z101" s="950">
        <f t="shared" si="35"/>
        <v>0</v>
      </c>
      <c r="AA101" s="950">
        <f t="shared" si="36"/>
        <v>0</v>
      </c>
      <c r="AB101" s="950">
        <f t="shared" si="37"/>
        <v>0</v>
      </c>
      <c r="AC101" s="950">
        <f t="shared" si="38"/>
        <v>0</v>
      </c>
      <c r="AD101" s="950">
        <f t="shared" si="39"/>
        <v>0</v>
      </c>
      <c r="AE101" s="950">
        <f t="shared" si="40"/>
        <v>0</v>
      </c>
      <c r="AF101" s="950">
        <f t="shared" si="41"/>
        <v>0</v>
      </c>
      <c r="AG101" s="950">
        <f t="shared" si="42"/>
        <v>0</v>
      </c>
      <c r="AH101" s="950">
        <f t="shared" si="43"/>
        <v>0</v>
      </c>
    </row>
    <row r="102" spans="1:34" x14ac:dyDescent="0.2">
      <c r="A102" s="943" t="str">
        <f>IF(Personalplanung!B102&lt;&gt;"",Personalplanung!B102,IF(Personalplanung!A102&lt;&gt;"",Personalplanung!A102,""))</f>
        <v/>
      </c>
      <c r="B102" s="943"/>
      <c r="C102" s="943"/>
      <c r="D102" s="944">
        <f>Personalplanung!C102</f>
        <v>0</v>
      </c>
      <c r="E102" s="945">
        <f>Personalplanung!D102</f>
        <v>12</v>
      </c>
      <c r="F102" s="946">
        <f t="shared" si="30"/>
        <v>0</v>
      </c>
      <c r="G102" s="947">
        <v>1</v>
      </c>
      <c r="H102" s="947">
        <v>1</v>
      </c>
      <c r="I102" s="947">
        <v>1</v>
      </c>
      <c r="J102" s="947">
        <v>1</v>
      </c>
      <c r="K102" s="947">
        <v>1</v>
      </c>
      <c r="L102" s="947">
        <v>1</v>
      </c>
      <c r="M102" s="947">
        <v>1</v>
      </c>
      <c r="N102" s="947">
        <v>1</v>
      </c>
      <c r="O102" s="947">
        <v>1</v>
      </c>
      <c r="P102" s="947">
        <v>1</v>
      </c>
      <c r="Q102" s="947">
        <v>1</v>
      </c>
      <c r="R102" s="947">
        <v>1</v>
      </c>
      <c r="U102" s="950">
        <f>Personalplanung!AA102</f>
        <v>0</v>
      </c>
      <c r="V102" s="946">
        <f t="shared" si="31"/>
        <v>0</v>
      </c>
      <c r="W102" s="950">
        <f t="shared" si="32"/>
        <v>0</v>
      </c>
      <c r="X102" s="950">
        <f t="shared" si="33"/>
        <v>0</v>
      </c>
      <c r="Y102" s="950">
        <f t="shared" si="34"/>
        <v>0</v>
      </c>
      <c r="Z102" s="950">
        <f t="shared" si="35"/>
        <v>0</v>
      </c>
      <c r="AA102" s="950">
        <f t="shared" si="36"/>
        <v>0</v>
      </c>
      <c r="AB102" s="950">
        <f t="shared" si="37"/>
        <v>0</v>
      </c>
      <c r="AC102" s="950">
        <f t="shared" si="38"/>
        <v>0</v>
      </c>
      <c r="AD102" s="950">
        <f t="shared" si="39"/>
        <v>0</v>
      </c>
      <c r="AE102" s="950">
        <f t="shared" si="40"/>
        <v>0</v>
      </c>
      <c r="AF102" s="950">
        <f t="shared" si="41"/>
        <v>0</v>
      </c>
      <c r="AG102" s="950">
        <f t="shared" si="42"/>
        <v>0</v>
      </c>
      <c r="AH102" s="950">
        <f t="shared" si="43"/>
        <v>0</v>
      </c>
    </row>
    <row r="103" spans="1:34" x14ac:dyDescent="0.2">
      <c r="A103" s="943" t="str">
        <f>IF(Personalplanung!B103&lt;&gt;"",Personalplanung!B103,IF(Personalplanung!A103&lt;&gt;"",Personalplanung!A103,""))</f>
        <v/>
      </c>
      <c r="B103" s="943"/>
      <c r="C103" s="943"/>
      <c r="D103" s="944">
        <f>Personalplanung!C103</f>
        <v>0</v>
      </c>
      <c r="E103" s="945">
        <f>Personalplanung!D103</f>
        <v>12</v>
      </c>
      <c r="F103" s="946">
        <f t="shared" si="30"/>
        <v>0</v>
      </c>
      <c r="G103" s="947">
        <v>1</v>
      </c>
      <c r="H103" s="947">
        <v>1</v>
      </c>
      <c r="I103" s="947">
        <v>1</v>
      </c>
      <c r="J103" s="947">
        <v>1</v>
      </c>
      <c r="K103" s="947">
        <v>1</v>
      </c>
      <c r="L103" s="947">
        <v>1</v>
      </c>
      <c r="M103" s="947">
        <v>1</v>
      </c>
      <c r="N103" s="947">
        <v>1</v>
      </c>
      <c r="O103" s="947">
        <v>1</v>
      </c>
      <c r="P103" s="947">
        <v>1</v>
      </c>
      <c r="Q103" s="947">
        <v>1</v>
      </c>
      <c r="R103" s="947">
        <v>1</v>
      </c>
      <c r="U103" s="950">
        <f>Personalplanung!AA103</f>
        <v>0</v>
      </c>
      <c r="V103" s="946">
        <f t="shared" si="31"/>
        <v>0</v>
      </c>
      <c r="W103" s="950">
        <f t="shared" si="32"/>
        <v>0</v>
      </c>
      <c r="X103" s="950">
        <f t="shared" si="33"/>
        <v>0</v>
      </c>
      <c r="Y103" s="950">
        <f t="shared" si="34"/>
        <v>0</v>
      </c>
      <c r="Z103" s="950">
        <f t="shared" si="35"/>
        <v>0</v>
      </c>
      <c r="AA103" s="950">
        <f t="shared" si="36"/>
        <v>0</v>
      </c>
      <c r="AB103" s="950">
        <f t="shared" si="37"/>
        <v>0</v>
      </c>
      <c r="AC103" s="950">
        <f t="shared" si="38"/>
        <v>0</v>
      </c>
      <c r="AD103" s="950">
        <f t="shared" si="39"/>
        <v>0</v>
      </c>
      <c r="AE103" s="950">
        <f t="shared" si="40"/>
        <v>0</v>
      </c>
      <c r="AF103" s="950">
        <f t="shared" si="41"/>
        <v>0</v>
      </c>
      <c r="AG103" s="950">
        <f t="shared" si="42"/>
        <v>0</v>
      </c>
      <c r="AH103" s="950">
        <f t="shared" si="43"/>
        <v>0</v>
      </c>
    </row>
    <row r="104" spans="1:34" x14ac:dyDescent="0.2">
      <c r="A104" s="943" t="str">
        <f>IF(Personalplanung!B104&lt;&gt;"",Personalplanung!B104,IF(Personalplanung!A104&lt;&gt;"",Personalplanung!A104,""))</f>
        <v/>
      </c>
      <c r="B104" s="943"/>
      <c r="C104" s="943"/>
      <c r="D104" s="944">
        <f>Personalplanung!C104</f>
        <v>0</v>
      </c>
      <c r="E104" s="945">
        <f>Personalplanung!D104</f>
        <v>12</v>
      </c>
      <c r="F104" s="946">
        <f t="shared" si="30"/>
        <v>0</v>
      </c>
      <c r="G104" s="947">
        <v>1</v>
      </c>
      <c r="H104" s="947">
        <v>1</v>
      </c>
      <c r="I104" s="947">
        <v>1</v>
      </c>
      <c r="J104" s="947">
        <v>1</v>
      </c>
      <c r="K104" s="947">
        <v>1</v>
      </c>
      <c r="L104" s="947">
        <v>1</v>
      </c>
      <c r="M104" s="947">
        <v>1</v>
      </c>
      <c r="N104" s="947">
        <v>1</v>
      </c>
      <c r="O104" s="947">
        <v>1</v>
      </c>
      <c r="P104" s="947">
        <v>1</v>
      </c>
      <c r="Q104" s="947">
        <v>1</v>
      </c>
      <c r="R104" s="947">
        <v>1</v>
      </c>
      <c r="U104" s="950">
        <f>Personalplanung!AA104</f>
        <v>0</v>
      </c>
      <c r="V104" s="946">
        <f t="shared" si="31"/>
        <v>0</v>
      </c>
      <c r="W104" s="950">
        <f t="shared" si="32"/>
        <v>0</v>
      </c>
      <c r="X104" s="950">
        <f t="shared" si="33"/>
        <v>0</v>
      </c>
      <c r="Y104" s="950">
        <f t="shared" si="34"/>
        <v>0</v>
      </c>
      <c r="Z104" s="950">
        <f t="shared" si="35"/>
        <v>0</v>
      </c>
      <c r="AA104" s="950">
        <f t="shared" si="36"/>
        <v>0</v>
      </c>
      <c r="AB104" s="950">
        <f t="shared" si="37"/>
        <v>0</v>
      </c>
      <c r="AC104" s="950">
        <f t="shared" si="38"/>
        <v>0</v>
      </c>
      <c r="AD104" s="950">
        <f t="shared" si="39"/>
        <v>0</v>
      </c>
      <c r="AE104" s="950">
        <f t="shared" si="40"/>
        <v>0</v>
      </c>
      <c r="AF104" s="950">
        <f t="shared" si="41"/>
        <v>0</v>
      </c>
      <c r="AG104" s="950">
        <f t="shared" si="42"/>
        <v>0</v>
      </c>
      <c r="AH104" s="950">
        <f t="shared" si="43"/>
        <v>0</v>
      </c>
    </row>
    <row r="105" spans="1:34" x14ac:dyDescent="0.2">
      <c r="A105" s="943" t="str">
        <f>IF(Personalplanung!B105&lt;&gt;"",Personalplanung!B105,IF(Personalplanung!A105&lt;&gt;"",Personalplanung!A105,""))</f>
        <v/>
      </c>
      <c r="B105" s="943"/>
      <c r="C105" s="943"/>
      <c r="D105" s="944">
        <f>Personalplanung!C105</f>
        <v>0</v>
      </c>
      <c r="E105" s="945">
        <f>Personalplanung!D105</f>
        <v>12</v>
      </c>
      <c r="F105" s="946">
        <f t="shared" si="30"/>
        <v>0</v>
      </c>
      <c r="G105" s="947">
        <v>1</v>
      </c>
      <c r="H105" s="947">
        <v>1</v>
      </c>
      <c r="I105" s="947">
        <v>1</v>
      </c>
      <c r="J105" s="947">
        <v>1</v>
      </c>
      <c r="K105" s="947">
        <v>1</v>
      </c>
      <c r="L105" s="947">
        <v>1</v>
      </c>
      <c r="M105" s="947">
        <v>1</v>
      </c>
      <c r="N105" s="947">
        <v>1</v>
      </c>
      <c r="O105" s="947">
        <v>1</v>
      </c>
      <c r="P105" s="947">
        <v>1</v>
      </c>
      <c r="Q105" s="947">
        <v>1</v>
      </c>
      <c r="R105" s="947">
        <v>1</v>
      </c>
      <c r="U105" s="950">
        <f>Personalplanung!AA105</f>
        <v>0</v>
      </c>
      <c r="V105" s="946">
        <f t="shared" si="31"/>
        <v>0</v>
      </c>
      <c r="W105" s="950">
        <f t="shared" si="32"/>
        <v>0</v>
      </c>
      <c r="X105" s="950">
        <f t="shared" si="33"/>
        <v>0</v>
      </c>
      <c r="Y105" s="950">
        <f t="shared" si="34"/>
        <v>0</v>
      </c>
      <c r="Z105" s="950">
        <f t="shared" si="35"/>
        <v>0</v>
      </c>
      <c r="AA105" s="950">
        <f t="shared" si="36"/>
        <v>0</v>
      </c>
      <c r="AB105" s="950">
        <f t="shared" si="37"/>
        <v>0</v>
      </c>
      <c r="AC105" s="950">
        <f t="shared" si="38"/>
        <v>0</v>
      </c>
      <c r="AD105" s="950">
        <f t="shared" si="39"/>
        <v>0</v>
      </c>
      <c r="AE105" s="950">
        <f t="shared" si="40"/>
        <v>0</v>
      </c>
      <c r="AF105" s="950">
        <f t="shared" si="41"/>
        <v>0</v>
      </c>
      <c r="AG105" s="950">
        <f t="shared" si="42"/>
        <v>0</v>
      </c>
      <c r="AH105" s="950">
        <f t="shared" si="43"/>
        <v>0</v>
      </c>
    </row>
    <row r="106" spans="1:34" x14ac:dyDescent="0.2">
      <c r="A106" s="943" t="str">
        <f>IF(Personalplanung!B106&lt;&gt;"",Personalplanung!B106,IF(Personalplanung!A106&lt;&gt;"",Personalplanung!A106,""))</f>
        <v/>
      </c>
      <c r="B106" s="943"/>
      <c r="C106" s="943"/>
      <c r="D106" s="944">
        <f>Personalplanung!C106</f>
        <v>0</v>
      </c>
      <c r="E106" s="945">
        <f>Personalplanung!D106</f>
        <v>12</v>
      </c>
      <c r="F106" s="946">
        <f t="shared" si="30"/>
        <v>0</v>
      </c>
      <c r="G106" s="947">
        <v>1</v>
      </c>
      <c r="H106" s="947">
        <v>1</v>
      </c>
      <c r="I106" s="947">
        <v>1</v>
      </c>
      <c r="J106" s="947">
        <v>1</v>
      </c>
      <c r="K106" s="947">
        <v>1</v>
      </c>
      <c r="L106" s="947">
        <v>1</v>
      </c>
      <c r="M106" s="947">
        <v>1</v>
      </c>
      <c r="N106" s="947">
        <v>1</v>
      </c>
      <c r="O106" s="947">
        <v>1</v>
      </c>
      <c r="P106" s="947">
        <v>1</v>
      </c>
      <c r="Q106" s="947">
        <v>1</v>
      </c>
      <c r="R106" s="947">
        <v>1</v>
      </c>
      <c r="U106" s="950">
        <f>Personalplanung!AA106</f>
        <v>0</v>
      </c>
      <c r="V106" s="946">
        <f t="shared" si="31"/>
        <v>0</v>
      </c>
      <c r="W106" s="950">
        <f t="shared" si="32"/>
        <v>0</v>
      </c>
      <c r="X106" s="950">
        <f t="shared" si="33"/>
        <v>0</v>
      </c>
      <c r="Y106" s="950">
        <f t="shared" si="34"/>
        <v>0</v>
      </c>
      <c r="Z106" s="950">
        <f t="shared" si="35"/>
        <v>0</v>
      </c>
      <c r="AA106" s="950">
        <f t="shared" si="36"/>
        <v>0</v>
      </c>
      <c r="AB106" s="950">
        <f t="shared" si="37"/>
        <v>0</v>
      </c>
      <c r="AC106" s="950">
        <f t="shared" si="38"/>
        <v>0</v>
      </c>
      <c r="AD106" s="950">
        <f t="shared" si="39"/>
        <v>0</v>
      </c>
      <c r="AE106" s="950">
        <f t="shared" si="40"/>
        <v>0</v>
      </c>
      <c r="AF106" s="950">
        <f t="shared" si="41"/>
        <v>0</v>
      </c>
      <c r="AG106" s="950">
        <f t="shared" si="42"/>
        <v>0</v>
      </c>
      <c r="AH106" s="950">
        <f t="shared" si="43"/>
        <v>0</v>
      </c>
    </row>
    <row r="107" spans="1:34" s="853" customFormat="1" outlineLevel="1" x14ac:dyDescent="0.2">
      <c r="A107" s="948" t="s">
        <v>937</v>
      </c>
      <c r="B107" s="948"/>
      <c r="C107" s="948"/>
      <c r="D107" s="949"/>
      <c r="E107" s="950">
        <f>SUMIF($D$6:$D$106,$D$1,E$6:E$106)</f>
        <v>0</v>
      </c>
      <c r="F107" s="946">
        <f>SUM(G107:R107)-E107</f>
        <v>0</v>
      </c>
      <c r="G107" s="950">
        <f t="shared" ref="G107:R107" si="44">SUMIF($D$6:$D$106,$D$1,G$6:G$106)</f>
        <v>0</v>
      </c>
      <c r="H107" s="950">
        <f t="shared" si="44"/>
        <v>0</v>
      </c>
      <c r="I107" s="950">
        <f t="shared" si="44"/>
        <v>0</v>
      </c>
      <c r="J107" s="950">
        <f t="shared" si="44"/>
        <v>0</v>
      </c>
      <c r="K107" s="950">
        <f t="shared" si="44"/>
        <v>0</v>
      </c>
      <c r="L107" s="950">
        <f t="shared" si="44"/>
        <v>0</v>
      </c>
      <c r="M107" s="950">
        <f t="shared" si="44"/>
        <v>0</v>
      </c>
      <c r="N107" s="950">
        <f t="shared" si="44"/>
        <v>0</v>
      </c>
      <c r="O107" s="950">
        <f t="shared" si="44"/>
        <v>0</v>
      </c>
      <c r="P107" s="950">
        <f t="shared" si="44"/>
        <v>0</v>
      </c>
      <c r="Q107" s="950">
        <f t="shared" si="44"/>
        <v>0</v>
      </c>
      <c r="R107" s="950">
        <f t="shared" si="44"/>
        <v>0</v>
      </c>
      <c r="U107" s="950">
        <f>SUMIF(Personalplanung!$C$6:$C$107,Monatsplanung!$D$1,Personalplanung!$AA$6:$AA$107)</f>
        <v>0</v>
      </c>
      <c r="V107" s="946">
        <f t="shared" si="2"/>
        <v>0</v>
      </c>
      <c r="W107" s="950">
        <f t="shared" ref="W107:AH107" si="45">SUMIF($D$6:$D$106,$D$1,$W$6:$W$106)</f>
        <v>0</v>
      </c>
      <c r="X107" s="950">
        <f t="shared" si="45"/>
        <v>0</v>
      </c>
      <c r="Y107" s="950">
        <f t="shared" si="45"/>
        <v>0</v>
      </c>
      <c r="Z107" s="950">
        <f t="shared" si="45"/>
        <v>0</v>
      </c>
      <c r="AA107" s="950">
        <f t="shared" si="45"/>
        <v>0</v>
      </c>
      <c r="AB107" s="950">
        <f t="shared" si="45"/>
        <v>0</v>
      </c>
      <c r="AC107" s="950">
        <f t="shared" si="45"/>
        <v>0</v>
      </c>
      <c r="AD107" s="950">
        <f t="shared" si="45"/>
        <v>0</v>
      </c>
      <c r="AE107" s="950">
        <f t="shared" si="45"/>
        <v>0</v>
      </c>
      <c r="AF107" s="950">
        <f t="shared" si="45"/>
        <v>0</v>
      </c>
      <c r="AG107" s="950">
        <f t="shared" si="45"/>
        <v>0</v>
      </c>
      <c r="AH107" s="950">
        <f t="shared" si="45"/>
        <v>0</v>
      </c>
    </row>
    <row r="108" spans="1:34" s="853" customFormat="1" outlineLevel="1" x14ac:dyDescent="0.2">
      <c r="A108" s="93" t="s">
        <v>938</v>
      </c>
      <c r="B108" s="93"/>
      <c r="C108" s="93"/>
      <c r="E108" s="94"/>
      <c r="F108" s="95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U108" s="950">
        <f>SUM(U6:U106)</f>
        <v>748277.53333333344</v>
      </c>
      <c r="V108" s="946">
        <f t="shared" si="2"/>
        <v>0</v>
      </c>
      <c r="W108" s="950">
        <f>SUM(W6:W106)</f>
        <v>63695.419444444444</v>
      </c>
      <c r="X108" s="950">
        <f t="shared" ref="X108:AH108" si="46">SUM(X6:X106)</f>
        <v>63695.419444444444</v>
      </c>
      <c r="Y108" s="950">
        <f t="shared" si="46"/>
        <v>63695.419444444444</v>
      </c>
      <c r="Z108" s="950">
        <f t="shared" si="46"/>
        <v>63695.419444444444</v>
      </c>
      <c r="AA108" s="950">
        <f t="shared" si="46"/>
        <v>67534.481944444444</v>
      </c>
      <c r="AB108" s="950">
        <f t="shared" si="46"/>
        <v>58798.481944444444</v>
      </c>
      <c r="AC108" s="950">
        <f t="shared" si="46"/>
        <v>58798.481944444444</v>
      </c>
      <c r="AD108" s="950">
        <f t="shared" si="46"/>
        <v>61672.881944444445</v>
      </c>
      <c r="AE108" s="950">
        <f t="shared" si="46"/>
        <v>61672.881944444445</v>
      </c>
      <c r="AF108" s="950">
        <f t="shared" si="46"/>
        <v>61672.881944444445</v>
      </c>
      <c r="AG108" s="950">
        <f t="shared" si="46"/>
        <v>61672.881944444445</v>
      </c>
      <c r="AH108" s="950">
        <f t="shared" si="46"/>
        <v>61672.881944444445</v>
      </c>
    </row>
    <row r="111" spans="1:34" s="853" customFormat="1" x14ac:dyDescent="0.2">
      <c r="A111" s="93" t="s">
        <v>250</v>
      </c>
      <c r="B111" s="93"/>
      <c r="C111" s="93"/>
    </row>
    <row r="112" spans="1:34" x14ac:dyDescent="0.2">
      <c r="A112" s="943" t="str">
        <f>Gesamtkostenplanung!B4</f>
        <v>davon Pacht und Miete</v>
      </c>
      <c r="B112" s="943"/>
      <c r="C112" s="943"/>
      <c r="D112" s="944"/>
      <c r="E112" s="951">
        <v>12</v>
      </c>
      <c r="F112" s="946">
        <f t="shared" ref="F112:F123" si="47">IF(SUM(G112:R112)-E112=0,0,"bitte prüfen!")</f>
        <v>0</v>
      </c>
      <c r="G112" s="947">
        <v>1</v>
      </c>
      <c r="H112" s="947">
        <v>1</v>
      </c>
      <c r="I112" s="947">
        <v>1</v>
      </c>
      <c r="J112" s="947">
        <v>1</v>
      </c>
      <c r="K112" s="947">
        <v>1</v>
      </c>
      <c r="L112" s="947">
        <v>1</v>
      </c>
      <c r="M112" s="947">
        <v>1</v>
      </c>
      <c r="N112" s="947">
        <v>1</v>
      </c>
      <c r="O112" s="947">
        <v>1</v>
      </c>
      <c r="P112" s="947">
        <v>1</v>
      </c>
      <c r="Q112" s="947">
        <v>1</v>
      </c>
      <c r="R112" s="947">
        <v>1</v>
      </c>
      <c r="U112" s="950">
        <f>Gesamtkostenplanung!D4</f>
        <v>200</v>
      </c>
      <c r="V112" s="946">
        <f>IF(ROUND(SUM(W112:AH112)-U112,2)=0,0,"bitte prüfen!")</f>
        <v>0</v>
      </c>
      <c r="W112" s="950">
        <f t="shared" ref="W112:AH114" si="48">$U112/$E112*G112</f>
        <v>16.666666666666668</v>
      </c>
      <c r="X112" s="950">
        <f t="shared" si="48"/>
        <v>16.666666666666668</v>
      </c>
      <c r="Y112" s="950">
        <f t="shared" si="48"/>
        <v>16.666666666666668</v>
      </c>
      <c r="Z112" s="950">
        <f t="shared" si="48"/>
        <v>16.666666666666668</v>
      </c>
      <c r="AA112" s="950">
        <f t="shared" si="48"/>
        <v>16.666666666666668</v>
      </c>
      <c r="AB112" s="950">
        <f t="shared" si="48"/>
        <v>16.666666666666668</v>
      </c>
      <c r="AC112" s="950">
        <f t="shared" si="48"/>
        <v>16.666666666666668</v>
      </c>
      <c r="AD112" s="950">
        <f t="shared" si="48"/>
        <v>16.666666666666668</v>
      </c>
      <c r="AE112" s="950">
        <f t="shared" si="48"/>
        <v>16.666666666666668</v>
      </c>
      <c r="AF112" s="950">
        <f t="shared" si="48"/>
        <v>16.666666666666668</v>
      </c>
      <c r="AG112" s="950">
        <f t="shared" si="48"/>
        <v>16.666666666666668</v>
      </c>
      <c r="AH112" s="950">
        <f t="shared" si="48"/>
        <v>16.666666666666668</v>
      </c>
    </row>
    <row r="113" spans="1:34" x14ac:dyDescent="0.2">
      <c r="A113" s="943" t="str">
        <f>Gesamtkostenplanung!B5</f>
        <v>davon Raumnebenkosten</v>
      </c>
      <c r="B113" s="943"/>
      <c r="C113" s="943"/>
      <c r="D113" s="944"/>
      <c r="E113" s="951">
        <v>12</v>
      </c>
      <c r="F113" s="946">
        <f t="shared" si="47"/>
        <v>0</v>
      </c>
      <c r="G113" s="947">
        <v>1</v>
      </c>
      <c r="H113" s="947">
        <v>1</v>
      </c>
      <c r="I113" s="947">
        <v>1</v>
      </c>
      <c r="J113" s="947">
        <v>1</v>
      </c>
      <c r="K113" s="947">
        <v>1</v>
      </c>
      <c r="L113" s="947">
        <v>1</v>
      </c>
      <c r="M113" s="947">
        <v>1</v>
      </c>
      <c r="N113" s="947">
        <v>1</v>
      </c>
      <c r="O113" s="947">
        <v>1</v>
      </c>
      <c r="P113" s="947">
        <v>1</v>
      </c>
      <c r="Q113" s="947">
        <v>1</v>
      </c>
      <c r="R113" s="947">
        <v>1</v>
      </c>
      <c r="U113" s="950">
        <f>Gesamtkostenplanung!D5</f>
        <v>600</v>
      </c>
      <c r="V113" s="946">
        <f t="shared" ref="V113:V123" si="49">IF(ROUND(SUM(W113:AH113)-U113,2)=0,0,"bitte prüfen!")</f>
        <v>0</v>
      </c>
      <c r="W113" s="950">
        <f t="shared" si="48"/>
        <v>50</v>
      </c>
      <c r="X113" s="950">
        <f t="shared" si="48"/>
        <v>50</v>
      </c>
      <c r="Y113" s="950">
        <f t="shared" si="48"/>
        <v>50</v>
      </c>
      <c r="Z113" s="950">
        <f t="shared" si="48"/>
        <v>50</v>
      </c>
      <c r="AA113" s="950">
        <f t="shared" si="48"/>
        <v>50</v>
      </c>
      <c r="AB113" s="950">
        <f t="shared" si="48"/>
        <v>50</v>
      </c>
      <c r="AC113" s="950">
        <f t="shared" si="48"/>
        <v>50</v>
      </c>
      <c r="AD113" s="950">
        <f t="shared" si="48"/>
        <v>50</v>
      </c>
      <c r="AE113" s="950">
        <f t="shared" si="48"/>
        <v>50</v>
      </c>
      <c r="AF113" s="950">
        <f t="shared" si="48"/>
        <v>50</v>
      </c>
      <c r="AG113" s="950">
        <f t="shared" si="48"/>
        <v>50</v>
      </c>
      <c r="AH113" s="950">
        <f t="shared" si="48"/>
        <v>50</v>
      </c>
    </row>
    <row r="114" spans="1:34" x14ac:dyDescent="0.2">
      <c r="A114" s="943" t="s">
        <v>4</v>
      </c>
      <c r="B114" s="943"/>
      <c r="C114" s="943"/>
      <c r="D114" s="944"/>
      <c r="E114" s="951">
        <v>12</v>
      </c>
      <c r="F114" s="946">
        <f t="shared" si="47"/>
        <v>0</v>
      </c>
      <c r="G114" s="947">
        <v>1</v>
      </c>
      <c r="H114" s="947">
        <v>1</v>
      </c>
      <c r="I114" s="947">
        <v>1</v>
      </c>
      <c r="J114" s="947">
        <v>1</v>
      </c>
      <c r="K114" s="947">
        <v>1</v>
      </c>
      <c r="L114" s="947">
        <v>1</v>
      </c>
      <c r="M114" s="947">
        <v>1</v>
      </c>
      <c r="N114" s="947">
        <v>1</v>
      </c>
      <c r="O114" s="947">
        <v>1</v>
      </c>
      <c r="P114" s="947">
        <v>1</v>
      </c>
      <c r="Q114" s="947">
        <v>1</v>
      </c>
      <c r="R114" s="947">
        <v>1</v>
      </c>
      <c r="U114" s="950">
        <f>Gesamtkostenplanung!D7</f>
        <v>300</v>
      </c>
      <c r="V114" s="946">
        <f t="shared" si="49"/>
        <v>0</v>
      </c>
      <c r="W114" s="950">
        <f t="shared" si="48"/>
        <v>25</v>
      </c>
      <c r="X114" s="950">
        <f t="shared" si="48"/>
        <v>25</v>
      </c>
      <c r="Y114" s="950">
        <f t="shared" si="48"/>
        <v>25</v>
      </c>
      <c r="Z114" s="950">
        <f t="shared" si="48"/>
        <v>25</v>
      </c>
      <c r="AA114" s="950">
        <f t="shared" si="48"/>
        <v>25</v>
      </c>
      <c r="AB114" s="950">
        <f t="shared" si="48"/>
        <v>25</v>
      </c>
      <c r="AC114" s="950">
        <f t="shared" si="48"/>
        <v>25</v>
      </c>
      <c r="AD114" s="950">
        <f t="shared" si="48"/>
        <v>25</v>
      </c>
      <c r="AE114" s="950">
        <f t="shared" si="48"/>
        <v>25</v>
      </c>
      <c r="AF114" s="950">
        <f t="shared" si="48"/>
        <v>25</v>
      </c>
      <c r="AG114" s="950">
        <f t="shared" si="48"/>
        <v>25</v>
      </c>
      <c r="AH114" s="950">
        <f t="shared" si="48"/>
        <v>25</v>
      </c>
    </row>
    <row r="115" spans="1:34" x14ac:dyDescent="0.2">
      <c r="A115" s="943" t="s">
        <v>289</v>
      </c>
      <c r="B115" s="943"/>
      <c r="C115" s="943"/>
      <c r="D115" s="944"/>
      <c r="E115" s="951">
        <v>12</v>
      </c>
      <c r="F115" s="946">
        <f t="shared" si="47"/>
        <v>0</v>
      </c>
      <c r="G115" s="947">
        <v>1</v>
      </c>
      <c r="H115" s="947">
        <v>1</v>
      </c>
      <c r="I115" s="947">
        <v>1</v>
      </c>
      <c r="J115" s="947">
        <v>1</v>
      </c>
      <c r="K115" s="947">
        <v>1</v>
      </c>
      <c r="L115" s="947">
        <v>1</v>
      </c>
      <c r="M115" s="947">
        <v>1</v>
      </c>
      <c r="N115" s="947">
        <v>1</v>
      </c>
      <c r="O115" s="947">
        <v>1</v>
      </c>
      <c r="P115" s="947">
        <v>1</v>
      </c>
      <c r="Q115" s="947">
        <v>1</v>
      </c>
      <c r="R115" s="947">
        <v>1</v>
      </c>
      <c r="U115" s="950">
        <f>Gesamtkostenplanung!D9</f>
        <v>2850</v>
      </c>
      <c r="V115" s="946">
        <f t="shared" si="49"/>
        <v>0</v>
      </c>
      <c r="W115" s="950">
        <f t="shared" ref="W115:W123" si="50">$U115/$E115*G115</f>
        <v>237.5</v>
      </c>
      <c r="X115" s="950">
        <f t="shared" ref="X115:X123" si="51">$U115/$E115*H115</f>
        <v>237.5</v>
      </c>
      <c r="Y115" s="950">
        <f t="shared" ref="Y115:Y123" si="52">$U115/$E115*I115</f>
        <v>237.5</v>
      </c>
      <c r="Z115" s="950">
        <f t="shared" ref="Z115:Z123" si="53">$U115/$E115*J115</f>
        <v>237.5</v>
      </c>
      <c r="AA115" s="950">
        <f t="shared" ref="AA115:AA123" si="54">$U115/$E115*K115</f>
        <v>237.5</v>
      </c>
      <c r="AB115" s="950">
        <f t="shared" ref="AB115:AB123" si="55">$U115/$E115*L115</f>
        <v>237.5</v>
      </c>
      <c r="AC115" s="950">
        <f t="shared" ref="AC115:AC123" si="56">$U115/$E115*M115</f>
        <v>237.5</v>
      </c>
      <c r="AD115" s="950">
        <f t="shared" ref="AD115:AD123" si="57">$U115/$E115*N115</f>
        <v>237.5</v>
      </c>
      <c r="AE115" s="950">
        <f t="shared" ref="AE115:AE123" si="58">$U115/$E115*O115</f>
        <v>237.5</v>
      </c>
      <c r="AF115" s="950">
        <f t="shared" ref="AF115:AF123" si="59">$U115/$E115*P115</f>
        <v>237.5</v>
      </c>
      <c r="AG115" s="950">
        <f t="shared" ref="AG115:AG123" si="60">$U115/$E115*Q115</f>
        <v>237.5</v>
      </c>
      <c r="AH115" s="950">
        <f t="shared" ref="AH115:AH123" si="61">$U115/$E115*R115</f>
        <v>237.5</v>
      </c>
    </row>
    <row r="116" spans="1:34" x14ac:dyDescent="0.2">
      <c r="A116" s="943" t="s">
        <v>266</v>
      </c>
      <c r="B116" s="943"/>
      <c r="C116" s="943"/>
      <c r="D116" s="944"/>
      <c r="E116" s="951">
        <v>12</v>
      </c>
      <c r="F116" s="946">
        <f t="shared" si="47"/>
        <v>0</v>
      </c>
      <c r="G116" s="947">
        <v>1</v>
      </c>
      <c r="H116" s="947">
        <v>1</v>
      </c>
      <c r="I116" s="947">
        <v>1</v>
      </c>
      <c r="J116" s="947">
        <v>1</v>
      </c>
      <c r="K116" s="947">
        <v>1</v>
      </c>
      <c r="L116" s="947">
        <v>1</v>
      </c>
      <c r="M116" s="947">
        <v>1</v>
      </c>
      <c r="N116" s="947">
        <v>1</v>
      </c>
      <c r="O116" s="947">
        <v>1</v>
      </c>
      <c r="P116" s="947">
        <v>1</v>
      </c>
      <c r="Q116" s="947">
        <v>1</v>
      </c>
      <c r="R116" s="947">
        <v>1</v>
      </c>
      <c r="U116" s="950">
        <f>Gesamtkostenplanung!D14</f>
        <v>1800</v>
      </c>
      <c r="V116" s="946">
        <f t="shared" si="49"/>
        <v>0</v>
      </c>
      <c r="W116" s="950">
        <f t="shared" si="50"/>
        <v>150</v>
      </c>
      <c r="X116" s="950">
        <f t="shared" si="51"/>
        <v>150</v>
      </c>
      <c r="Y116" s="950">
        <f t="shared" si="52"/>
        <v>150</v>
      </c>
      <c r="Z116" s="950">
        <f t="shared" si="53"/>
        <v>150</v>
      </c>
      <c r="AA116" s="950">
        <f t="shared" si="54"/>
        <v>150</v>
      </c>
      <c r="AB116" s="950">
        <f t="shared" si="55"/>
        <v>150</v>
      </c>
      <c r="AC116" s="950">
        <f t="shared" si="56"/>
        <v>150</v>
      </c>
      <c r="AD116" s="950">
        <f t="shared" si="57"/>
        <v>150</v>
      </c>
      <c r="AE116" s="950">
        <f t="shared" si="58"/>
        <v>150</v>
      </c>
      <c r="AF116" s="950">
        <f t="shared" si="59"/>
        <v>150</v>
      </c>
      <c r="AG116" s="950">
        <f t="shared" si="60"/>
        <v>150</v>
      </c>
      <c r="AH116" s="950">
        <f t="shared" si="61"/>
        <v>150</v>
      </c>
    </row>
    <row r="117" spans="1:34" x14ac:dyDescent="0.2">
      <c r="A117" s="943" t="s">
        <v>290</v>
      </c>
      <c r="B117" s="943"/>
      <c r="C117" s="943"/>
      <c r="D117" s="944"/>
      <c r="E117" s="951">
        <v>12</v>
      </c>
      <c r="F117" s="946">
        <f t="shared" si="47"/>
        <v>0</v>
      </c>
      <c r="G117" s="947">
        <v>1</v>
      </c>
      <c r="H117" s="947">
        <v>1</v>
      </c>
      <c r="I117" s="947">
        <v>1</v>
      </c>
      <c r="J117" s="947">
        <v>1</v>
      </c>
      <c r="K117" s="947">
        <v>1</v>
      </c>
      <c r="L117" s="947">
        <v>1</v>
      </c>
      <c r="M117" s="947">
        <v>1</v>
      </c>
      <c r="N117" s="947">
        <v>1</v>
      </c>
      <c r="O117" s="947">
        <v>1</v>
      </c>
      <c r="P117" s="947">
        <v>1</v>
      </c>
      <c r="Q117" s="947">
        <v>1</v>
      </c>
      <c r="R117" s="947">
        <v>1</v>
      </c>
      <c r="U117" s="950">
        <f>Gesamtkostenplanung!D15</f>
        <v>400</v>
      </c>
      <c r="V117" s="946">
        <f t="shared" si="49"/>
        <v>0</v>
      </c>
      <c r="W117" s="950">
        <f t="shared" si="50"/>
        <v>33.333333333333336</v>
      </c>
      <c r="X117" s="950">
        <f t="shared" si="51"/>
        <v>33.333333333333336</v>
      </c>
      <c r="Y117" s="950">
        <f t="shared" si="52"/>
        <v>33.333333333333336</v>
      </c>
      <c r="Z117" s="950">
        <f t="shared" si="53"/>
        <v>33.333333333333336</v>
      </c>
      <c r="AA117" s="950">
        <f t="shared" si="54"/>
        <v>33.333333333333336</v>
      </c>
      <c r="AB117" s="950">
        <f t="shared" si="55"/>
        <v>33.333333333333336</v>
      </c>
      <c r="AC117" s="950">
        <f t="shared" si="56"/>
        <v>33.333333333333336</v>
      </c>
      <c r="AD117" s="950">
        <f t="shared" si="57"/>
        <v>33.333333333333336</v>
      </c>
      <c r="AE117" s="950">
        <f t="shared" si="58"/>
        <v>33.333333333333336</v>
      </c>
      <c r="AF117" s="950">
        <f t="shared" si="59"/>
        <v>33.333333333333336</v>
      </c>
      <c r="AG117" s="950">
        <f t="shared" si="60"/>
        <v>33.333333333333336</v>
      </c>
      <c r="AH117" s="950">
        <f t="shared" si="61"/>
        <v>33.333333333333336</v>
      </c>
    </row>
    <row r="118" spans="1:34" x14ac:dyDescent="0.2">
      <c r="A118" s="943" t="s">
        <v>291</v>
      </c>
      <c r="B118" s="943"/>
      <c r="C118" s="943"/>
      <c r="D118" s="944"/>
      <c r="E118" s="951">
        <v>12</v>
      </c>
      <c r="F118" s="946">
        <f t="shared" si="47"/>
        <v>0</v>
      </c>
      <c r="G118" s="947">
        <v>1</v>
      </c>
      <c r="H118" s="947">
        <v>1</v>
      </c>
      <c r="I118" s="947">
        <v>1</v>
      </c>
      <c r="J118" s="947">
        <v>1</v>
      </c>
      <c r="K118" s="947">
        <v>1</v>
      </c>
      <c r="L118" s="947">
        <v>1</v>
      </c>
      <c r="M118" s="947">
        <v>1</v>
      </c>
      <c r="N118" s="947">
        <v>1</v>
      </c>
      <c r="O118" s="947">
        <v>1</v>
      </c>
      <c r="P118" s="947">
        <v>1</v>
      </c>
      <c r="Q118" s="947">
        <v>1</v>
      </c>
      <c r="R118" s="947">
        <v>1</v>
      </c>
      <c r="U118" s="950">
        <f>Gesamtkostenplanung!D16</f>
        <v>1300</v>
      </c>
      <c r="V118" s="946">
        <f t="shared" si="49"/>
        <v>0</v>
      </c>
      <c r="W118" s="950">
        <f t="shared" si="50"/>
        <v>108.33333333333333</v>
      </c>
      <c r="X118" s="950">
        <f t="shared" si="51"/>
        <v>108.33333333333333</v>
      </c>
      <c r="Y118" s="950">
        <f t="shared" si="52"/>
        <v>108.33333333333333</v>
      </c>
      <c r="Z118" s="950">
        <f t="shared" si="53"/>
        <v>108.33333333333333</v>
      </c>
      <c r="AA118" s="950">
        <f t="shared" si="54"/>
        <v>108.33333333333333</v>
      </c>
      <c r="AB118" s="950">
        <f t="shared" si="55"/>
        <v>108.33333333333333</v>
      </c>
      <c r="AC118" s="950">
        <f t="shared" si="56"/>
        <v>108.33333333333333</v>
      </c>
      <c r="AD118" s="950">
        <f t="shared" si="57"/>
        <v>108.33333333333333</v>
      </c>
      <c r="AE118" s="950">
        <f t="shared" si="58"/>
        <v>108.33333333333333</v>
      </c>
      <c r="AF118" s="950">
        <f t="shared" si="59"/>
        <v>108.33333333333333</v>
      </c>
      <c r="AG118" s="950">
        <f t="shared" si="60"/>
        <v>108.33333333333333</v>
      </c>
      <c r="AH118" s="950">
        <f t="shared" si="61"/>
        <v>108.33333333333333</v>
      </c>
    </row>
    <row r="119" spans="1:34" x14ac:dyDescent="0.2">
      <c r="A119" s="943" t="s">
        <v>268</v>
      </c>
      <c r="B119" s="943"/>
      <c r="C119" s="943"/>
      <c r="D119" s="944"/>
      <c r="E119" s="951">
        <v>12</v>
      </c>
      <c r="F119" s="946">
        <f t="shared" si="47"/>
        <v>0</v>
      </c>
      <c r="G119" s="947">
        <v>1</v>
      </c>
      <c r="H119" s="947">
        <v>1</v>
      </c>
      <c r="I119" s="947">
        <v>1</v>
      </c>
      <c r="J119" s="947">
        <v>1</v>
      </c>
      <c r="K119" s="947">
        <v>1</v>
      </c>
      <c r="L119" s="947">
        <v>1</v>
      </c>
      <c r="M119" s="947">
        <v>1</v>
      </c>
      <c r="N119" s="947">
        <v>1</v>
      </c>
      <c r="O119" s="947">
        <v>1</v>
      </c>
      <c r="P119" s="947">
        <v>1</v>
      </c>
      <c r="Q119" s="947">
        <v>1</v>
      </c>
      <c r="R119" s="947">
        <v>1</v>
      </c>
      <c r="U119" s="950">
        <f>Gesamtkostenplanung!D20</f>
        <v>2400</v>
      </c>
      <c r="V119" s="946">
        <f t="shared" si="49"/>
        <v>0</v>
      </c>
      <c r="W119" s="950">
        <f t="shared" si="50"/>
        <v>200</v>
      </c>
      <c r="X119" s="950">
        <f t="shared" si="51"/>
        <v>200</v>
      </c>
      <c r="Y119" s="950">
        <f t="shared" si="52"/>
        <v>200</v>
      </c>
      <c r="Z119" s="950">
        <f t="shared" si="53"/>
        <v>200</v>
      </c>
      <c r="AA119" s="950">
        <f t="shared" si="54"/>
        <v>200</v>
      </c>
      <c r="AB119" s="950">
        <f t="shared" si="55"/>
        <v>200</v>
      </c>
      <c r="AC119" s="950">
        <f t="shared" si="56"/>
        <v>200</v>
      </c>
      <c r="AD119" s="950">
        <f t="shared" si="57"/>
        <v>200</v>
      </c>
      <c r="AE119" s="950">
        <f t="shared" si="58"/>
        <v>200</v>
      </c>
      <c r="AF119" s="950">
        <f t="shared" si="59"/>
        <v>200</v>
      </c>
      <c r="AG119" s="950">
        <f t="shared" si="60"/>
        <v>200</v>
      </c>
      <c r="AH119" s="950">
        <f t="shared" si="61"/>
        <v>200</v>
      </c>
    </row>
    <row r="120" spans="1:34" x14ac:dyDescent="0.2">
      <c r="A120" s="943" t="s">
        <v>370</v>
      </c>
      <c r="B120" s="943"/>
      <c r="C120" s="943"/>
      <c r="D120" s="944"/>
      <c r="E120" s="951">
        <v>12</v>
      </c>
      <c r="F120" s="946">
        <f t="shared" si="47"/>
        <v>0</v>
      </c>
      <c r="G120" s="947">
        <v>1</v>
      </c>
      <c r="H120" s="947">
        <v>1</v>
      </c>
      <c r="I120" s="947">
        <v>1</v>
      </c>
      <c r="J120" s="947">
        <v>1</v>
      </c>
      <c r="K120" s="947">
        <v>1</v>
      </c>
      <c r="L120" s="947">
        <v>1</v>
      </c>
      <c r="M120" s="947">
        <v>1</v>
      </c>
      <c r="N120" s="947">
        <v>1</v>
      </c>
      <c r="O120" s="947">
        <v>1</v>
      </c>
      <c r="P120" s="947">
        <v>1</v>
      </c>
      <c r="Q120" s="947">
        <v>1</v>
      </c>
      <c r="R120" s="947">
        <v>1</v>
      </c>
      <c r="U120" s="950">
        <f>Gesamtkostenplanung!D23</f>
        <v>6500</v>
      </c>
      <c r="V120" s="946">
        <f t="shared" si="49"/>
        <v>0</v>
      </c>
      <c r="W120" s="950">
        <f t="shared" si="50"/>
        <v>541.66666666666663</v>
      </c>
      <c r="X120" s="950">
        <f t="shared" si="51"/>
        <v>541.66666666666663</v>
      </c>
      <c r="Y120" s="950">
        <f t="shared" si="52"/>
        <v>541.66666666666663</v>
      </c>
      <c r="Z120" s="950">
        <f t="shared" si="53"/>
        <v>541.66666666666663</v>
      </c>
      <c r="AA120" s="950">
        <f t="shared" si="54"/>
        <v>541.66666666666663</v>
      </c>
      <c r="AB120" s="950">
        <f t="shared" si="55"/>
        <v>541.66666666666663</v>
      </c>
      <c r="AC120" s="950">
        <f t="shared" si="56"/>
        <v>541.66666666666663</v>
      </c>
      <c r="AD120" s="950">
        <f t="shared" si="57"/>
        <v>541.66666666666663</v>
      </c>
      <c r="AE120" s="950">
        <f t="shared" si="58"/>
        <v>541.66666666666663</v>
      </c>
      <c r="AF120" s="950">
        <f t="shared" si="59"/>
        <v>541.66666666666663</v>
      </c>
      <c r="AG120" s="950">
        <f t="shared" si="60"/>
        <v>541.66666666666663</v>
      </c>
      <c r="AH120" s="950">
        <f t="shared" si="61"/>
        <v>541.66666666666663</v>
      </c>
    </row>
    <row r="121" spans="1:34" x14ac:dyDescent="0.2">
      <c r="A121" s="943" t="s">
        <v>269</v>
      </c>
      <c r="B121" s="943"/>
      <c r="C121" s="943"/>
      <c r="D121" s="944"/>
      <c r="E121" s="951">
        <v>12</v>
      </c>
      <c r="F121" s="946">
        <f t="shared" si="47"/>
        <v>0</v>
      </c>
      <c r="G121" s="947">
        <v>1</v>
      </c>
      <c r="H121" s="947">
        <v>1</v>
      </c>
      <c r="I121" s="947">
        <v>1</v>
      </c>
      <c r="J121" s="947">
        <v>1</v>
      </c>
      <c r="K121" s="947">
        <v>1</v>
      </c>
      <c r="L121" s="947">
        <v>1</v>
      </c>
      <c r="M121" s="947">
        <v>1</v>
      </c>
      <c r="N121" s="947">
        <v>1</v>
      </c>
      <c r="O121" s="947">
        <v>1</v>
      </c>
      <c r="P121" s="947">
        <v>1</v>
      </c>
      <c r="Q121" s="947">
        <v>1</v>
      </c>
      <c r="R121" s="947">
        <v>1</v>
      </c>
      <c r="U121" s="950">
        <f>Gesamtkostenplanung!D27</f>
        <v>5310</v>
      </c>
      <c r="V121" s="946">
        <f t="shared" si="49"/>
        <v>0</v>
      </c>
      <c r="W121" s="950">
        <f t="shared" si="50"/>
        <v>442.5</v>
      </c>
      <c r="X121" s="950">
        <f t="shared" si="51"/>
        <v>442.5</v>
      </c>
      <c r="Y121" s="950">
        <f t="shared" si="52"/>
        <v>442.5</v>
      </c>
      <c r="Z121" s="950">
        <f t="shared" si="53"/>
        <v>442.5</v>
      </c>
      <c r="AA121" s="950">
        <f t="shared" si="54"/>
        <v>442.5</v>
      </c>
      <c r="AB121" s="950">
        <f t="shared" si="55"/>
        <v>442.5</v>
      </c>
      <c r="AC121" s="950">
        <f t="shared" si="56"/>
        <v>442.5</v>
      </c>
      <c r="AD121" s="950">
        <f t="shared" si="57"/>
        <v>442.5</v>
      </c>
      <c r="AE121" s="950">
        <f t="shared" si="58"/>
        <v>442.5</v>
      </c>
      <c r="AF121" s="950">
        <f t="shared" si="59"/>
        <v>442.5</v>
      </c>
      <c r="AG121" s="950">
        <f t="shared" si="60"/>
        <v>442.5</v>
      </c>
      <c r="AH121" s="950">
        <f t="shared" si="61"/>
        <v>442.5</v>
      </c>
    </row>
    <row r="122" spans="1:34" x14ac:dyDescent="0.2">
      <c r="A122" s="943" t="s">
        <v>270</v>
      </c>
      <c r="B122" s="943"/>
      <c r="C122" s="943"/>
      <c r="D122" s="944"/>
      <c r="E122" s="951">
        <v>12</v>
      </c>
      <c r="F122" s="946">
        <f>IF(SUM(G122:R122)-E122=0,0,"bitte prüfen!")</f>
        <v>0</v>
      </c>
      <c r="G122" s="947">
        <v>1</v>
      </c>
      <c r="H122" s="947">
        <v>1</v>
      </c>
      <c r="I122" s="947">
        <v>1</v>
      </c>
      <c r="J122" s="947">
        <v>1</v>
      </c>
      <c r="K122" s="947">
        <v>1</v>
      </c>
      <c r="L122" s="947">
        <v>1</v>
      </c>
      <c r="M122" s="947">
        <v>1</v>
      </c>
      <c r="N122" s="947">
        <v>1</v>
      </c>
      <c r="O122" s="947">
        <v>1</v>
      </c>
      <c r="P122" s="947">
        <v>1</v>
      </c>
      <c r="Q122" s="947">
        <v>1</v>
      </c>
      <c r="R122" s="947">
        <v>1</v>
      </c>
      <c r="U122" s="950">
        <f>Gesamtkostenplanung!D37</f>
        <v>750</v>
      </c>
      <c r="V122" s="946">
        <f t="shared" si="49"/>
        <v>0</v>
      </c>
      <c r="W122" s="950">
        <f t="shared" ref="W122:AH122" si="62">$U122/$E122*G122</f>
        <v>62.5</v>
      </c>
      <c r="X122" s="950">
        <f t="shared" si="62"/>
        <v>62.5</v>
      </c>
      <c r="Y122" s="950">
        <f t="shared" si="62"/>
        <v>62.5</v>
      </c>
      <c r="Z122" s="950">
        <f t="shared" si="62"/>
        <v>62.5</v>
      </c>
      <c r="AA122" s="950">
        <f t="shared" si="62"/>
        <v>62.5</v>
      </c>
      <c r="AB122" s="950">
        <f t="shared" si="62"/>
        <v>62.5</v>
      </c>
      <c r="AC122" s="950">
        <f t="shared" si="62"/>
        <v>62.5</v>
      </c>
      <c r="AD122" s="950">
        <f t="shared" si="62"/>
        <v>62.5</v>
      </c>
      <c r="AE122" s="950">
        <f t="shared" si="62"/>
        <v>62.5</v>
      </c>
      <c r="AF122" s="950">
        <f t="shared" si="62"/>
        <v>62.5</v>
      </c>
      <c r="AG122" s="950">
        <f t="shared" si="62"/>
        <v>62.5</v>
      </c>
      <c r="AH122" s="950">
        <f t="shared" si="62"/>
        <v>62.5</v>
      </c>
    </row>
    <row r="123" spans="1:34" x14ac:dyDescent="0.2">
      <c r="A123" s="943" t="s">
        <v>293</v>
      </c>
      <c r="B123" s="943"/>
      <c r="C123" s="943"/>
      <c r="D123" s="944"/>
      <c r="E123" s="951">
        <v>12</v>
      </c>
      <c r="F123" s="946">
        <f t="shared" si="47"/>
        <v>0</v>
      </c>
      <c r="G123" s="947">
        <v>1</v>
      </c>
      <c r="H123" s="947">
        <v>1</v>
      </c>
      <c r="I123" s="947">
        <v>1</v>
      </c>
      <c r="J123" s="947">
        <v>1</v>
      </c>
      <c r="K123" s="947">
        <v>1</v>
      </c>
      <c r="L123" s="947">
        <v>1</v>
      </c>
      <c r="M123" s="947">
        <v>1</v>
      </c>
      <c r="N123" s="947">
        <v>1</v>
      </c>
      <c r="O123" s="947">
        <v>1</v>
      </c>
      <c r="P123" s="947">
        <v>1</v>
      </c>
      <c r="Q123" s="947">
        <v>1</v>
      </c>
      <c r="R123" s="947">
        <v>1</v>
      </c>
      <c r="U123" s="950">
        <f>Gesamtkostenplanung!D38</f>
        <v>1500</v>
      </c>
      <c r="V123" s="946">
        <f t="shared" si="49"/>
        <v>0</v>
      </c>
      <c r="W123" s="950">
        <f t="shared" si="50"/>
        <v>125</v>
      </c>
      <c r="X123" s="950">
        <f t="shared" si="51"/>
        <v>125</v>
      </c>
      <c r="Y123" s="950">
        <f t="shared" si="52"/>
        <v>125</v>
      </c>
      <c r="Z123" s="950">
        <f t="shared" si="53"/>
        <v>125</v>
      </c>
      <c r="AA123" s="950">
        <f t="shared" si="54"/>
        <v>125</v>
      </c>
      <c r="AB123" s="950">
        <f t="shared" si="55"/>
        <v>125</v>
      </c>
      <c r="AC123" s="950">
        <f t="shared" si="56"/>
        <v>125</v>
      </c>
      <c r="AD123" s="950">
        <f t="shared" si="57"/>
        <v>125</v>
      </c>
      <c r="AE123" s="950">
        <f t="shared" si="58"/>
        <v>125</v>
      </c>
      <c r="AF123" s="950">
        <f t="shared" si="59"/>
        <v>125</v>
      </c>
      <c r="AG123" s="950">
        <f t="shared" si="60"/>
        <v>125</v>
      </c>
      <c r="AH123" s="950">
        <f t="shared" si="61"/>
        <v>125</v>
      </c>
    </row>
    <row r="126" spans="1:34" x14ac:dyDescent="0.2">
      <c r="A126" s="943" t="str">
        <f>Gesamtkostenplanung!B42</f>
        <v>Immaterielle Vermögenswerte</v>
      </c>
      <c r="B126" s="943"/>
      <c r="C126" s="943"/>
      <c r="D126" s="944"/>
      <c r="E126" s="951">
        <v>12</v>
      </c>
      <c r="F126" s="946">
        <f t="shared" ref="F126:F131" si="63">IF(SUM(G126:R126)-E126=0,0,"bitte prüfen!")</f>
        <v>0</v>
      </c>
      <c r="G126" s="947">
        <v>1</v>
      </c>
      <c r="H126" s="947">
        <v>1</v>
      </c>
      <c r="I126" s="947">
        <v>1</v>
      </c>
      <c r="J126" s="947">
        <v>1</v>
      </c>
      <c r="K126" s="947">
        <v>1</v>
      </c>
      <c r="L126" s="947">
        <v>1</v>
      </c>
      <c r="M126" s="947">
        <v>1</v>
      </c>
      <c r="N126" s="947">
        <v>1</v>
      </c>
      <c r="O126" s="947">
        <v>1</v>
      </c>
      <c r="P126" s="947">
        <v>1</v>
      </c>
      <c r="Q126" s="947">
        <v>1</v>
      </c>
      <c r="R126" s="947">
        <v>1</v>
      </c>
      <c r="U126" s="950">
        <f>Gesamtkostenplanung!D42</f>
        <v>200</v>
      </c>
      <c r="V126" s="946">
        <f>IF(ROUND(SUM(W126:AH126)-U126,2)=0,0,"bitte prüfen!")</f>
        <v>0</v>
      </c>
      <c r="W126" s="950">
        <f t="shared" ref="W126:W131" si="64">$U126/$E126*G126</f>
        <v>16.666666666666668</v>
      </c>
      <c r="X126" s="950">
        <f t="shared" ref="X126:X131" si="65">$U126/$E126*H126</f>
        <v>16.666666666666668</v>
      </c>
      <c r="Y126" s="950">
        <f t="shared" ref="Y126:Y131" si="66">$U126/$E126*I126</f>
        <v>16.666666666666668</v>
      </c>
      <c r="Z126" s="950">
        <f t="shared" ref="Z126:Z131" si="67">$U126/$E126*J126</f>
        <v>16.666666666666668</v>
      </c>
      <c r="AA126" s="950">
        <f t="shared" ref="AA126:AA131" si="68">$U126/$E126*K126</f>
        <v>16.666666666666668</v>
      </c>
      <c r="AB126" s="950">
        <f t="shared" ref="AB126:AB131" si="69">$U126/$E126*L126</f>
        <v>16.666666666666668</v>
      </c>
      <c r="AC126" s="950">
        <f t="shared" ref="AC126:AC131" si="70">$U126/$E126*M126</f>
        <v>16.666666666666668</v>
      </c>
      <c r="AD126" s="950">
        <f t="shared" ref="AD126:AD131" si="71">$U126/$E126*N126</f>
        <v>16.666666666666668</v>
      </c>
      <c r="AE126" s="950">
        <f t="shared" ref="AE126:AE131" si="72">$U126/$E126*O126</f>
        <v>16.666666666666668</v>
      </c>
      <c r="AF126" s="950">
        <f t="shared" ref="AF126:AF131" si="73">$U126/$E126*P126</f>
        <v>16.666666666666668</v>
      </c>
      <c r="AG126" s="950">
        <f t="shared" ref="AG126:AG131" si="74">$U126/$E126*Q126</f>
        <v>16.666666666666668</v>
      </c>
      <c r="AH126" s="950">
        <f t="shared" ref="AH126:AH131" si="75">$U126/$E126*R126</f>
        <v>16.666666666666668</v>
      </c>
    </row>
    <row r="127" spans="1:34" x14ac:dyDescent="0.2">
      <c r="A127" s="943" t="str">
        <f>Gesamtkostenplanung!B43</f>
        <v>Technische Anlagen</v>
      </c>
      <c r="B127" s="943"/>
      <c r="C127" s="943"/>
      <c r="D127" s="944"/>
      <c r="E127" s="951">
        <v>12</v>
      </c>
      <c r="F127" s="946">
        <f t="shared" si="63"/>
        <v>0</v>
      </c>
      <c r="G127" s="947">
        <v>1</v>
      </c>
      <c r="H127" s="947">
        <v>1</v>
      </c>
      <c r="I127" s="947">
        <v>1</v>
      </c>
      <c r="J127" s="947">
        <v>1</v>
      </c>
      <c r="K127" s="947">
        <v>1</v>
      </c>
      <c r="L127" s="947">
        <v>1</v>
      </c>
      <c r="M127" s="947">
        <v>1</v>
      </c>
      <c r="N127" s="947">
        <v>1</v>
      </c>
      <c r="O127" s="947">
        <v>1</v>
      </c>
      <c r="P127" s="947">
        <v>1</v>
      </c>
      <c r="Q127" s="947">
        <v>1</v>
      </c>
      <c r="R127" s="947">
        <v>1</v>
      </c>
      <c r="U127" s="950">
        <f>Gesamtkostenplanung!D43</f>
        <v>300</v>
      </c>
      <c r="V127" s="946">
        <f t="shared" ref="V127:V132" si="76">IF(ROUND(SUM(W127:AH127)-U127,2)=0,0,"bitte prüfen!")</f>
        <v>0</v>
      </c>
      <c r="W127" s="950">
        <f t="shared" si="64"/>
        <v>25</v>
      </c>
      <c r="X127" s="950">
        <f t="shared" si="65"/>
        <v>25</v>
      </c>
      <c r="Y127" s="950">
        <f t="shared" si="66"/>
        <v>25</v>
      </c>
      <c r="Z127" s="950">
        <f t="shared" si="67"/>
        <v>25</v>
      </c>
      <c r="AA127" s="950">
        <f t="shared" si="68"/>
        <v>25</v>
      </c>
      <c r="AB127" s="950">
        <f t="shared" si="69"/>
        <v>25</v>
      </c>
      <c r="AC127" s="950">
        <f t="shared" si="70"/>
        <v>25</v>
      </c>
      <c r="AD127" s="950">
        <f t="shared" si="71"/>
        <v>25</v>
      </c>
      <c r="AE127" s="950">
        <f t="shared" si="72"/>
        <v>25</v>
      </c>
      <c r="AF127" s="950">
        <f t="shared" si="73"/>
        <v>25</v>
      </c>
      <c r="AG127" s="950">
        <f t="shared" si="74"/>
        <v>25</v>
      </c>
      <c r="AH127" s="950">
        <f t="shared" si="75"/>
        <v>25</v>
      </c>
    </row>
    <row r="128" spans="1:34" x14ac:dyDescent="0.2">
      <c r="A128" s="943" t="str">
        <f>Gesamtkostenplanung!B44</f>
        <v>GWGs</v>
      </c>
      <c r="B128" s="943"/>
      <c r="C128" s="943"/>
      <c r="D128" s="944"/>
      <c r="E128" s="951">
        <v>12</v>
      </c>
      <c r="F128" s="946">
        <f t="shared" si="63"/>
        <v>0</v>
      </c>
      <c r="G128" s="947">
        <v>1</v>
      </c>
      <c r="H128" s="947">
        <v>1</v>
      </c>
      <c r="I128" s="947">
        <v>1</v>
      </c>
      <c r="J128" s="947">
        <v>1</v>
      </c>
      <c r="K128" s="947">
        <v>1</v>
      </c>
      <c r="L128" s="947">
        <v>1</v>
      </c>
      <c r="M128" s="947">
        <v>1</v>
      </c>
      <c r="N128" s="947">
        <v>1</v>
      </c>
      <c r="O128" s="947">
        <v>1</v>
      </c>
      <c r="P128" s="947">
        <v>1</v>
      </c>
      <c r="Q128" s="947">
        <v>1</v>
      </c>
      <c r="R128" s="947">
        <v>1</v>
      </c>
      <c r="U128" s="950">
        <f>Gesamtkostenplanung!D44</f>
        <v>800</v>
      </c>
      <c r="V128" s="946">
        <f t="shared" si="76"/>
        <v>0</v>
      </c>
      <c r="W128" s="950">
        <f t="shared" si="64"/>
        <v>66.666666666666671</v>
      </c>
      <c r="X128" s="950">
        <f t="shared" si="65"/>
        <v>66.666666666666671</v>
      </c>
      <c r="Y128" s="950">
        <f t="shared" si="66"/>
        <v>66.666666666666671</v>
      </c>
      <c r="Z128" s="950">
        <f t="shared" si="67"/>
        <v>66.666666666666671</v>
      </c>
      <c r="AA128" s="950">
        <f t="shared" si="68"/>
        <v>66.666666666666671</v>
      </c>
      <c r="AB128" s="950">
        <f t="shared" si="69"/>
        <v>66.666666666666671</v>
      </c>
      <c r="AC128" s="950">
        <f t="shared" si="70"/>
        <v>66.666666666666671</v>
      </c>
      <c r="AD128" s="950">
        <f t="shared" si="71"/>
        <v>66.666666666666671</v>
      </c>
      <c r="AE128" s="950">
        <f t="shared" si="72"/>
        <v>66.666666666666671</v>
      </c>
      <c r="AF128" s="950">
        <f t="shared" si="73"/>
        <v>66.666666666666671</v>
      </c>
      <c r="AG128" s="950">
        <f t="shared" si="74"/>
        <v>66.666666666666671</v>
      </c>
      <c r="AH128" s="950">
        <f t="shared" si="75"/>
        <v>66.666666666666671</v>
      </c>
    </row>
    <row r="129" spans="1:34" x14ac:dyDescent="0.2">
      <c r="A129" s="943" t="str">
        <f>Gesamtkostenplanung!B45</f>
        <v>LKW+Sprinter</v>
      </c>
      <c r="B129" s="943"/>
      <c r="C129" s="943"/>
      <c r="D129" s="944"/>
      <c r="E129" s="951">
        <v>12</v>
      </c>
      <c r="F129" s="946">
        <f t="shared" si="63"/>
        <v>0</v>
      </c>
      <c r="G129" s="947">
        <v>1</v>
      </c>
      <c r="H129" s="947">
        <v>1</v>
      </c>
      <c r="I129" s="947">
        <v>1</v>
      </c>
      <c r="J129" s="947">
        <v>1</v>
      </c>
      <c r="K129" s="947">
        <v>1</v>
      </c>
      <c r="L129" s="947">
        <v>1</v>
      </c>
      <c r="M129" s="947">
        <v>1</v>
      </c>
      <c r="N129" s="947">
        <v>1</v>
      </c>
      <c r="O129" s="947">
        <v>1</v>
      </c>
      <c r="P129" s="947">
        <v>1</v>
      </c>
      <c r="Q129" s="947">
        <v>1</v>
      </c>
      <c r="R129" s="947">
        <v>1</v>
      </c>
      <c r="U129" s="950">
        <f>Gesamtkostenplanung!D45</f>
        <v>200</v>
      </c>
      <c r="V129" s="946">
        <f t="shared" si="76"/>
        <v>0</v>
      </c>
      <c r="W129" s="950">
        <f t="shared" si="64"/>
        <v>16.666666666666668</v>
      </c>
      <c r="X129" s="950">
        <f t="shared" si="65"/>
        <v>16.666666666666668</v>
      </c>
      <c r="Y129" s="950">
        <f t="shared" si="66"/>
        <v>16.666666666666668</v>
      </c>
      <c r="Z129" s="950">
        <f t="shared" si="67"/>
        <v>16.666666666666668</v>
      </c>
      <c r="AA129" s="950">
        <f t="shared" si="68"/>
        <v>16.666666666666668</v>
      </c>
      <c r="AB129" s="950">
        <f t="shared" si="69"/>
        <v>16.666666666666668</v>
      </c>
      <c r="AC129" s="950">
        <f t="shared" si="70"/>
        <v>16.666666666666668</v>
      </c>
      <c r="AD129" s="950">
        <f t="shared" si="71"/>
        <v>16.666666666666668</v>
      </c>
      <c r="AE129" s="950">
        <f t="shared" si="72"/>
        <v>16.666666666666668</v>
      </c>
      <c r="AF129" s="950">
        <f t="shared" si="73"/>
        <v>16.666666666666668</v>
      </c>
      <c r="AG129" s="950">
        <f t="shared" si="74"/>
        <v>16.666666666666668</v>
      </c>
      <c r="AH129" s="950">
        <f t="shared" si="75"/>
        <v>16.666666666666668</v>
      </c>
    </row>
    <row r="130" spans="1:34" x14ac:dyDescent="0.2">
      <c r="A130" s="943" t="str">
        <f>Gesamtkostenplanung!B46</f>
        <v>Sonstiges</v>
      </c>
      <c r="B130" s="943"/>
      <c r="C130" s="943"/>
      <c r="D130" s="944"/>
      <c r="E130" s="951">
        <v>12</v>
      </c>
      <c r="F130" s="946">
        <f t="shared" si="63"/>
        <v>0</v>
      </c>
      <c r="G130" s="947">
        <v>1</v>
      </c>
      <c r="H130" s="947">
        <v>1</v>
      </c>
      <c r="I130" s="947">
        <v>1</v>
      </c>
      <c r="J130" s="947">
        <v>1</v>
      </c>
      <c r="K130" s="947">
        <v>1</v>
      </c>
      <c r="L130" s="947">
        <v>1</v>
      </c>
      <c r="M130" s="947">
        <v>1</v>
      </c>
      <c r="N130" s="947">
        <v>1</v>
      </c>
      <c r="O130" s="947">
        <v>1</v>
      </c>
      <c r="P130" s="947">
        <v>1</v>
      </c>
      <c r="Q130" s="947">
        <v>1</v>
      </c>
      <c r="R130" s="947">
        <v>1</v>
      </c>
      <c r="U130" s="950">
        <f>Gesamtkostenplanung!D46</f>
        <v>600</v>
      </c>
      <c r="V130" s="946">
        <f t="shared" si="76"/>
        <v>0</v>
      </c>
      <c r="W130" s="950">
        <f t="shared" si="64"/>
        <v>50</v>
      </c>
      <c r="X130" s="950">
        <f t="shared" si="65"/>
        <v>50</v>
      </c>
      <c r="Y130" s="950">
        <f t="shared" si="66"/>
        <v>50</v>
      </c>
      <c r="Z130" s="950">
        <f t="shared" si="67"/>
        <v>50</v>
      </c>
      <c r="AA130" s="950">
        <f t="shared" si="68"/>
        <v>50</v>
      </c>
      <c r="AB130" s="950">
        <f t="shared" si="69"/>
        <v>50</v>
      </c>
      <c r="AC130" s="950">
        <f t="shared" si="70"/>
        <v>50</v>
      </c>
      <c r="AD130" s="950">
        <f t="shared" si="71"/>
        <v>50</v>
      </c>
      <c r="AE130" s="950">
        <f t="shared" si="72"/>
        <v>50</v>
      </c>
      <c r="AF130" s="950">
        <f t="shared" si="73"/>
        <v>50</v>
      </c>
      <c r="AG130" s="950">
        <f t="shared" si="74"/>
        <v>50</v>
      </c>
      <c r="AH130" s="950">
        <f t="shared" si="75"/>
        <v>50</v>
      </c>
    </row>
    <row r="131" spans="1:34" x14ac:dyDescent="0.2">
      <c r="A131" s="943" t="str">
        <f>Gesamtkostenplanung!B47</f>
        <v>Estrichfräse</v>
      </c>
      <c r="B131" s="943"/>
      <c r="C131" s="943"/>
      <c r="D131" s="944"/>
      <c r="E131" s="951">
        <v>12</v>
      </c>
      <c r="F131" s="946">
        <f t="shared" si="63"/>
        <v>0</v>
      </c>
      <c r="G131" s="947">
        <v>1</v>
      </c>
      <c r="H131" s="947">
        <v>1</v>
      </c>
      <c r="I131" s="947">
        <v>1</v>
      </c>
      <c r="J131" s="947">
        <v>1</v>
      </c>
      <c r="K131" s="947">
        <v>1</v>
      </c>
      <c r="L131" s="947">
        <v>1</v>
      </c>
      <c r="M131" s="947">
        <v>1</v>
      </c>
      <c r="N131" s="947">
        <v>1</v>
      </c>
      <c r="O131" s="947">
        <v>1</v>
      </c>
      <c r="P131" s="947">
        <v>1</v>
      </c>
      <c r="Q131" s="947">
        <v>1</v>
      </c>
      <c r="R131" s="947">
        <v>1</v>
      </c>
      <c r="U131" s="950">
        <f>Gesamtkostenplanung!D47</f>
        <v>70</v>
      </c>
      <c r="V131" s="946">
        <f t="shared" si="76"/>
        <v>0</v>
      </c>
      <c r="W131" s="950">
        <f t="shared" si="64"/>
        <v>5.833333333333333</v>
      </c>
      <c r="X131" s="950">
        <f t="shared" si="65"/>
        <v>5.833333333333333</v>
      </c>
      <c r="Y131" s="950">
        <f t="shared" si="66"/>
        <v>5.833333333333333</v>
      </c>
      <c r="Z131" s="950">
        <f t="shared" si="67"/>
        <v>5.833333333333333</v>
      </c>
      <c r="AA131" s="950">
        <f t="shared" si="68"/>
        <v>5.833333333333333</v>
      </c>
      <c r="AB131" s="950">
        <f t="shared" si="69"/>
        <v>5.833333333333333</v>
      </c>
      <c r="AC131" s="950">
        <f t="shared" si="70"/>
        <v>5.833333333333333</v>
      </c>
      <c r="AD131" s="950">
        <f t="shared" si="71"/>
        <v>5.833333333333333</v>
      </c>
      <c r="AE131" s="950">
        <f t="shared" si="72"/>
        <v>5.833333333333333</v>
      </c>
      <c r="AF131" s="950">
        <f t="shared" si="73"/>
        <v>5.833333333333333</v>
      </c>
      <c r="AG131" s="950">
        <f t="shared" si="74"/>
        <v>5.833333333333333</v>
      </c>
      <c r="AH131" s="950">
        <f t="shared" si="75"/>
        <v>5.833333333333333</v>
      </c>
    </row>
    <row r="132" spans="1:34" s="853" customFormat="1" x14ac:dyDescent="0.2">
      <c r="A132" s="93" t="s">
        <v>939</v>
      </c>
      <c r="B132" s="93"/>
      <c r="C132" s="93"/>
      <c r="U132" s="950">
        <f>SUM(U126:U131)</f>
        <v>2170</v>
      </c>
      <c r="V132" s="946">
        <f t="shared" si="76"/>
        <v>0</v>
      </c>
      <c r="W132" s="950">
        <f t="shared" ref="W132:AH132" si="77">SUM(W126:W131)</f>
        <v>180.83333333333334</v>
      </c>
      <c r="X132" s="950">
        <f t="shared" si="77"/>
        <v>180.83333333333334</v>
      </c>
      <c r="Y132" s="950">
        <f t="shared" si="77"/>
        <v>180.83333333333334</v>
      </c>
      <c r="Z132" s="950">
        <f t="shared" si="77"/>
        <v>180.83333333333334</v>
      </c>
      <c r="AA132" s="950">
        <f t="shared" si="77"/>
        <v>180.83333333333334</v>
      </c>
      <c r="AB132" s="950">
        <f t="shared" si="77"/>
        <v>180.83333333333334</v>
      </c>
      <c r="AC132" s="950">
        <f t="shared" si="77"/>
        <v>180.83333333333334</v>
      </c>
      <c r="AD132" s="950">
        <f t="shared" si="77"/>
        <v>180.83333333333334</v>
      </c>
      <c r="AE132" s="950">
        <f t="shared" si="77"/>
        <v>180.83333333333334</v>
      </c>
      <c r="AF132" s="950">
        <f t="shared" si="77"/>
        <v>180.83333333333334</v>
      </c>
      <c r="AG132" s="950">
        <f t="shared" si="77"/>
        <v>180.83333333333334</v>
      </c>
      <c r="AH132" s="950">
        <f t="shared" si="77"/>
        <v>180.83333333333334</v>
      </c>
    </row>
    <row r="136" spans="1:34" s="853" customFormat="1" ht="25.5" x14ac:dyDescent="0.2">
      <c r="A136" s="93" t="s">
        <v>940</v>
      </c>
      <c r="B136" s="853" t="s">
        <v>941</v>
      </c>
      <c r="C136" s="853" t="s">
        <v>925</v>
      </c>
      <c r="D136" s="100" t="s">
        <v>942</v>
      </c>
      <c r="E136" s="853" t="s">
        <v>943</v>
      </c>
    </row>
    <row r="137" spans="1:34" x14ac:dyDescent="0.2">
      <c r="A137" s="943" t="str">
        <f>Auftragsplanung!D4</f>
        <v>Profit Center</v>
      </c>
      <c r="B137" s="953" t="str">
        <f>Auftragsplanung!D$5</f>
        <v>Gesamt</v>
      </c>
      <c r="C137" s="953">
        <f>Auftragsplanung!D15</f>
        <v>13423.441135767493</v>
      </c>
      <c r="D137" s="953">
        <f>Auftragsplanung!D6</f>
        <v>1034186</v>
      </c>
      <c r="E137" s="954">
        <f>Auftragsplanung!D17</f>
        <v>1</v>
      </c>
      <c r="F137" s="946" t="str">
        <f t="shared" ref="F137:F156" si="78">IF(SUM(G137:R137)-E137=0,0,"bitte prüfen!")</f>
        <v>bitte prüfen!</v>
      </c>
      <c r="G137" s="947"/>
      <c r="H137" s="947"/>
      <c r="I137" s="947"/>
      <c r="J137" s="947"/>
      <c r="K137" s="947"/>
      <c r="L137" s="947"/>
      <c r="M137" s="947"/>
      <c r="N137" s="947"/>
      <c r="O137" s="947"/>
      <c r="P137" s="947"/>
      <c r="Q137" s="947"/>
      <c r="R137" s="947"/>
      <c r="U137" s="950">
        <f>E137*D137</f>
        <v>1034186</v>
      </c>
      <c r="V137" s="946" t="str">
        <f>IF(ROUND(SUM(W137:AH137)-U137,2)=0,0,"bitte prüfen!")</f>
        <v>bitte prüfen!</v>
      </c>
      <c r="W137" s="950">
        <f t="shared" ref="W137:W144" si="79">IF($E137=0,0,$U137/$E137*G137)</f>
        <v>0</v>
      </c>
      <c r="X137" s="950">
        <f t="shared" ref="X137:X144" si="80">IF($E137=0,0,$U137/$E137*H137)</f>
        <v>0</v>
      </c>
      <c r="Y137" s="950">
        <f t="shared" ref="Y137:Y144" si="81">IF($E137=0,0,$U137/$E137*I137)</f>
        <v>0</v>
      </c>
      <c r="Z137" s="950">
        <f t="shared" ref="Z137:Z144" si="82">IF($E137=0,0,$U137/$E137*J137)</f>
        <v>0</v>
      </c>
      <c r="AA137" s="950">
        <f t="shared" ref="AA137:AA144" si="83">IF($E137=0,0,$U137/$E137*K137)</f>
        <v>0</v>
      </c>
      <c r="AB137" s="950">
        <f t="shared" ref="AB137:AB144" si="84">IF($E137=0,0,$U137/$E137*L137)</f>
        <v>0</v>
      </c>
      <c r="AC137" s="950">
        <f t="shared" ref="AC137:AC144" si="85">IF($E137=0,0,$U137/$E137*M137)</f>
        <v>0</v>
      </c>
      <c r="AD137" s="950">
        <f t="shared" ref="AD137:AD144" si="86">IF($E137=0,0,$U137/$E137*N137)</f>
        <v>0</v>
      </c>
      <c r="AE137" s="950">
        <f t="shared" ref="AE137:AE144" si="87">IF($E137=0,0,$U137/$E137*O137)</f>
        <v>0</v>
      </c>
      <c r="AF137" s="950">
        <f t="shared" ref="AF137:AF144" si="88">IF($E137=0,0,$U137/$E137*P137)</f>
        <v>0</v>
      </c>
      <c r="AG137" s="950">
        <f t="shared" ref="AG137:AG144" si="89">IF($E137=0,0,$U137/$E137*Q137)</f>
        <v>0</v>
      </c>
      <c r="AH137" s="950">
        <f t="shared" ref="AH137:AH144" si="90">IF($E137=0,0,$U137/$E137*R137)</f>
        <v>0</v>
      </c>
    </row>
    <row r="138" spans="1:34" x14ac:dyDescent="0.2">
      <c r="A138" s="943" t="str">
        <f>Auftragsplanung!E4</f>
        <v>Profit Center</v>
      </c>
      <c r="B138" s="953">
        <f>Auftragsplanung!E$5</f>
        <v>0</v>
      </c>
      <c r="C138" s="953">
        <f>Auftragsplanung!E15</f>
        <v>0</v>
      </c>
      <c r="D138" s="953">
        <f>Auftragsplanung!E6</f>
        <v>0</v>
      </c>
      <c r="E138" s="954">
        <f>Auftragsplanung!E17</f>
        <v>1</v>
      </c>
      <c r="F138" s="946" t="str">
        <f t="shared" si="78"/>
        <v>bitte prüfen!</v>
      </c>
      <c r="G138" s="947"/>
      <c r="H138" s="947"/>
      <c r="I138" s="947"/>
      <c r="J138" s="947"/>
      <c r="K138" s="947"/>
      <c r="L138" s="947"/>
      <c r="M138" s="947"/>
      <c r="N138" s="947"/>
      <c r="O138" s="947"/>
      <c r="P138" s="947"/>
      <c r="Q138" s="947"/>
      <c r="R138" s="947"/>
      <c r="U138" s="950">
        <f t="shared" ref="U138:U150" si="91">E138*D138</f>
        <v>0</v>
      </c>
      <c r="V138" s="946">
        <f t="shared" ref="V138:V153" si="92">IF(ROUND(SUM(W138:AH138)-U138,2)=0,0,"bitte prüfen!")</f>
        <v>0</v>
      </c>
      <c r="W138" s="950">
        <f t="shared" si="79"/>
        <v>0</v>
      </c>
      <c r="X138" s="950">
        <f t="shared" si="80"/>
        <v>0</v>
      </c>
      <c r="Y138" s="950">
        <f t="shared" si="81"/>
        <v>0</v>
      </c>
      <c r="Z138" s="950">
        <f t="shared" si="82"/>
        <v>0</v>
      </c>
      <c r="AA138" s="950">
        <f t="shared" si="83"/>
        <v>0</v>
      </c>
      <c r="AB138" s="950">
        <f t="shared" si="84"/>
        <v>0</v>
      </c>
      <c r="AC138" s="950">
        <f t="shared" si="85"/>
        <v>0</v>
      </c>
      <c r="AD138" s="950">
        <f t="shared" si="86"/>
        <v>0</v>
      </c>
      <c r="AE138" s="950">
        <f t="shared" si="87"/>
        <v>0</v>
      </c>
      <c r="AF138" s="950">
        <f t="shared" si="88"/>
        <v>0</v>
      </c>
      <c r="AG138" s="950">
        <f t="shared" si="89"/>
        <v>0</v>
      </c>
      <c r="AH138" s="950">
        <f t="shared" si="90"/>
        <v>0</v>
      </c>
    </row>
    <row r="139" spans="1:34" x14ac:dyDescent="0.2">
      <c r="A139" s="943">
        <f>Auftragsplanung!F4</f>
        <v>0</v>
      </c>
      <c r="B139" s="953">
        <f>Auftragsplanung!F$5</f>
        <v>0</v>
      </c>
      <c r="C139" s="953">
        <f>Auftragsplanung!F15</f>
        <v>0</v>
      </c>
      <c r="D139" s="953">
        <f>Auftragsplanung!F6</f>
        <v>0</v>
      </c>
      <c r="E139" s="954">
        <f>Auftragsplanung!F17</f>
        <v>0</v>
      </c>
      <c r="F139" s="946">
        <f t="shared" si="78"/>
        <v>0</v>
      </c>
      <c r="G139" s="947"/>
      <c r="H139" s="947"/>
      <c r="I139" s="947"/>
      <c r="J139" s="947"/>
      <c r="K139" s="947"/>
      <c r="L139" s="947"/>
      <c r="M139" s="947"/>
      <c r="N139" s="947"/>
      <c r="O139" s="947"/>
      <c r="P139" s="947"/>
      <c r="Q139" s="947"/>
      <c r="R139" s="947"/>
      <c r="U139" s="950">
        <f t="shared" si="91"/>
        <v>0</v>
      </c>
      <c r="V139" s="946">
        <f t="shared" si="92"/>
        <v>0</v>
      </c>
      <c r="W139" s="950">
        <f t="shared" si="79"/>
        <v>0</v>
      </c>
      <c r="X139" s="950">
        <f t="shared" si="80"/>
        <v>0</v>
      </c>
      <c r="Y139" s="950">
        <f t="shared" si="81"/>
        <v>0</v>
      </c>
      <c r="Z139" s="950">
        <f t="shared" si="82"/>
        <v>0</v>
      </c>
      <c r="AA139" s="950">
        <f t="shared" si="83"/>
        <v>0</v>
      </c>
      <c r="AB139" s="950">
        <f t="shared" si="84"/>
        <v>0</v>
      </c>
      <c r="AC139" s="950">
        <f t="shared" si="85"/>
        <v>0</v>
      </c>
      <c r="AD139" s="950">
        <f t="shared" si="86"/>
        <v>0</v>
      </c>
      <c r="AE139" s="950">
        <f t="shared" si="87"/>
        <v>0</v>
      </c>
      <c r="AF139" s="950">
        <f t="shared" si="88"/>
        <v>0</v>
      </c>
      <c r="AG139" s="950">
        <f t="shared" si="89"/>
        <v>0</v>
      </c>
      <c r="AH139" s="950">
        <f t="shared" si="90"/>
        <v>0</v>
      </c>
    </row>
    <row r="140" spans="1:34" x14ac:dyDescent="0.2">
      <c r="A140" s="943">
        <f>Auftragsplanung!G4</f>
        <v>0</v>
      </c>
      <c r="B140" s="953">
        <f>Auftragsplanung!G$5</f>
        <v>0</v>
      </c>
      <c r="C140" s="953">
        <f>Auftragsplanung!G15</f>
        <v>0</v>
      </c>
      <c r="D140" s="953">
        <f>Auftragsplanung!G6</f>
        <v>0</v>
      </c>
      <c r="E140" s="954">
        <f>Auftragsplanung!G17</f>
        <v>0</v>
      </c>
      <c r="F140" s="946">
        <f t="shared" si="78"/>
        <v>0</v>
      </c>
      <c r="G140" s="947"/>
      <c r="H140" s="947"/>
      <c r="I140" s="947"/>
      <c r="J140" s="947"/>
      <c r="K140" s="947"/>
      <c r="L140" s="947"/>
      <c r="M140" s="947"/>
      <c r="N140" s="947"/>
      <c r="O140" s="947"/>
      <c r="P140" s="947"/>
      <c r="Q140" s="947"/>
      <c r="R140" s="947"/>
      <c r="U140" s="950">
        <f t="shared" si="91"/>
        <v>0</v>
      </c>
      <c r="V140" s="946">
        <f t="shared" si="92"/>
        <v>0</v>
      </c>
      <c r="W140" s="950">
        <f t="shared" si="79"/>
        <v>0</v>
      </c>
      <c r="X140" s="950">
        <f t="shared" si="80"/>
        <v>0</v>
      </c>
      <c r="Y140" s="950">
        <f t="shared" si="81"/>
        <v>0</v>
      </c>
      <c r="Z140" s="950">
        <f t="shared" si="82"/>
        <v>0</v>
      </c>
      <c r="AA140" s="950">
        <f t="shared" si="83"/>
        <v>0</v>
      </c>
      <c r="AB140" s="950">
        <f t="shared" si="84"/>
        <v>0</v>
      </c>
      <c r="AC140" s="950">
        <f t="shared" si="85"/>
        <v>0</v>
      </c>
      <c r="AD140" s="950">
        <f t="shared" si="86"/>
        <v>0</v>
      </c>
      <c r="AE140" s="950">
        <f t="shared" si="87"/>
        <v>0</v>
      </c>
      <c r="AF140" s="950">
        <f t="shared" si="88"/>
        <v>0</v>
      </c>
      <c r="AG140" s="950">
        <f t="shared" si="89"/>
        <v>0</v>
      </c>
      <c r="AH140" s="950">
        <f t="shared" si="90"/>
        <v>0</v>
      </c>
    </row>
    <row r="141" spans="1:34" x14ac:dyDescent="0.2">
      <c r="A141" s="943">
        <f>Auftragsplanung!H4</f>
        <v>0</v>
      </c>
      <c r="B141" s="953">
        <f>Auftragsplanung!H$5</f>
        <v>0</v>
      </c>
      <c r="C141" s="953">
        <f>Auftragsplanung!H15</f>
        <v>0</v>
      </c>
      <c r="D141" s="953">
        <f>Auftragsplanung!H6</f>
        <v>0</v>
      </c>
      <c r="E141" s="954">
        <f>Auftragsplanung!H17</f>
        <v>0</v>
      </c>
      <c r="F141" s="946">
        <f t="shared" si="78"/>
        <v>0</v>
      </c>
      <c r="G141" s="947"/>
      <c r="H141" s="947"/>
      <c r="I141" s="947"/>
      <c r="J141" s="947"/>
      <c r="K141" s="947"/>
      <c r="L141" s="947"/>
      <c r="M141" s="947"/>
      <c r="N141" s="947"/>
      <c r="O141" s="947"/>
      <c r="P141" s="947"/>
      <c r="Q141" s="947"/>
      <c r="R141" s="947"/>
      <c r="U141" s="950">
        <f t="shared" si="91"/>
        <v>0</v>
      </c>
      <c r="V141" s="946">
        <f t="shared" si="92"/>
        <v>0</v>
      </c>
      <c r="W141" s="950">
        <f t="shared" si="79"/>
        <v>0</v>
      </c>
      <c r="X141" s="950">
        <f t="shared" si="80"/>
        <v>0</v>
      </c>
      <c r="Y141" s="950">
        <f t="shared" si="81"/>
        <v>0</v>
      </c>
      <c r="Z141" s="950">
        <f t="shared" si="82"/>
        <v>0</v>
      </c>
      <c r="AA141" s="950">
        <f t="shared" si="83"/>
        <v>0</v>
      </c>
      <c r="AB141" s="950">
        <f t="shared" si="84"/>
        <v>0</v>
      </c>
      <c r="AC141" s="950">
        <f t="shared" si="85"/>
        <v>0</v>
      </c>
      <c r="AD141" s="950">
        <f t="shared" si="86"/>
        <v>0</v>
      </c>
      <c r="AE141" s="950">
        <f t="shared" si="87"/>
        <v>0</v>
      </c>
      <c r="AF141" s="950">
        <f t="shared" si="88"/>
        <v>0</v>
      </c>
      <c r="AG141" s="950">
        <f t="shared" si="89"/>
        <v>0</v>
      </c>
      <c r="AH141" s="950">
        <f t="shared" si="90"/>
        <v>0</v>
      </c>
    </row>
    <row r="142" spans="1:34" x14ac:dyDescent="0.2">
      <c r="A142" s="943">
        <f>Auftragsplanung!I4</f>
        <v>0</v>
      </c>
      <c r="B142" s="953">
        <f>Auftragsplanung!I$5</f>
        <v>0</v>
      </c>
      <c r="C142" s="953">
        <f>Auftragsplanung!I15</f>
        <v>0</v>
      </c>
      <c r="D142" s="953">
        <f>Auftragsplanung!I6</f>
        <v>0</v>
      </c>
      <c r="E142" s="954">
        <f>Auftragsplanung!I17</f>
        <v>0</v>
      </c>
      <c r="F142" s="946">
        <f t="shared" si="78"/>
        <v>0</v>
      </c>
      <c r="G142" s="947"/>
      <c r="H142" s="947"/>
      <c r="I142" s="947"/>
      <c r="J142" s="947"/>
      <c r="K142" s="947"/>
      <c r="L142" s="947"/>
      <c r="M142" s="947"/>
      <c r="N142" s="947"/>
      <c r="O142" s="947"/>
      <c r="P142" s="947"/>
      <c r="Q142" s="947"/>
      <c r="R142" s="947"/>
      <c r="U142" s="950">
        <f t="shared" si="91"/>
        <v>0</v>
      </c>
      <c r="V142" s="946">
        <f t="shared" si="92"/>
        <v>0</v>
      </c>
      <c r="W142" s="950">
        <f t="shared" si="79"/>
        <v>0</v>
      </c>
      <c r="X142" s="950">
        <f t="shared" si="80"/>
        <v>0</v>
      </c>
      <c r="Y142" s="950">
        <f t="shared" si="81"/>
        <v>0</v>
      </c>
      <c r="Z142" s="950">
        <f t="shared" si="82"/>
        <v>0</v>
      </c>
      <c r="AA142" s="950">
        <f t="shared" si="83"/>
        <v>0</v>
      </c>
      <c r="AB142" s="950">
        <f t="shared" si="84"/>
        <v>0</v>
      </c>
      <c r="AC142" s="950">
        <f t="shared" si="85"/>
        <v>0</v>
      </c>
      <c r="AD142" s="950">
        <f t="shared" si="86"/>
        <v>0</v>
      </c>
      <c r="AE142" s="950">
        <f t="shared" si="87"/>
        <v>0</v>
      </c>
      <c r="AF142" s="950">
        <f t="shared" si="88"/>
        <v>0</v>
      </c>
      <c r="AG142" s="950">
        <f t="shared" si="89"/>
        <v>0</v>
      </c>
      <c r="AH142" s="950">
        <f t="shared" si="90"/>
        <v>0</v>
      </c>
    </row>
    <row r="143" spans="1:34" x14ac:dyDescent="0.2">
      <c r="A143" s="943">
        <f>Auftragsplanung!J4</f>
        <v>0</v>
      </c>
      <c r="B143" s="953">
        <f>Auftragsplanung!J$5</f>
        <v>0</v>
      </c>
      <c r="C143" s="953">
        <f>Auftragsplanung!J15</f>
        <v>0</v>
      </c>
      <c r="D143" s="953">
        <f>Auftragsplanung!J6</f>
        <v>0</v>
      </c>
      <c r="E143" s="954">
        <f>Auftragsplanung!J17</f>
        <v>0</v>
      </c>
      <c r="F143" s="946">
        <f t="shared" si="78"/>
        <v>0</v>
      </c>
      <c r="G143" s="947"/>
      <c r="H143" s="947"/>
      <c r="I143" s="947"/>
      <c r="J143" s="947"/>
      <c r="K143" s="947"/>
      <c r="L143" s="947"/>
      <c r="M143" s="947"/>
      <c r="N143" s="947"/>
      <c r="O143" s="947"/>
      <c r="P143" s="947"/>
      <c r="Q143" s="947"/>
      <c r="R143" s="947"/>
      <c r="U143" s="950">
        <f t="shared" si="91"/>
        <v>0</v>
      </c>
      <c r="V143" s="946">
        <f t="shared" si="92"/>
        <v>0</v>
      </c>
      <c r="W143" s="950">
        <f t="shared" si="79"/>
        <v>0</v>
      </c>
      <c r="X143" s="950">
        <f t="shared" si="80"/>
        <v>0</v>
      </c>
      <c r="Y143" s="950">
        <f t="shared" si="81"/>
        <v>0</v>
      </c>
      <c r="Z143" s="950">
        <f t="shared" si="82"/>
        <v>0</v>
      </c>
      <c r="AA143" s="950">
        <f t="shared" si="83"/>
        <v>0</v>
      </c>
      <c r="AB143" s="950">
        <f t="shared" si="84"/>
        <v>0</v>
      </c>
      <c r="AC143" s="950">
        <f t="shared" si="85"/>
        <v>0</v>
      </c>
      <c r="AD143" s="950">
        <f t="shared" si="86"/>
        <v>0</v>
      </c>
      <c r="AE143" s="950">
        <f t="shared" si="87"/>
        <v>0</v>
      </c>
      <c r="AF143" s="950">
        <f t="shared" si="88"/>
        <v>0</v>
      </c>
      <c r="AG143" s="950">
        <f t="shared" si="89"/>
        <v>0</v>
      </c>
      <c r="AH143" s="950">
        <f t="shared" si="90"/>
        <v>0</v>
      </c>
    </row>
    <row r="144" spans="1:34" x14ac:dyDescent="0.2">
      <c r="A144" s="943">
        <f>Auftragsplanung!K4</f>
        <v>0</v>
      </c>
      <c r="B144" s="953">
        <f>Auftragsplanung!K$5</f>
        <v>0</v>
      </c>
      <c r="C144" s="953">
        <f>Auftragsplanung!K15</f>
        <v>0</v>
      </c>
      <c r="D144" s="953">
        <f>Auftragsplanung!K6</f>
        <v>0</v>
      </c>
      <c r="E144" s="954">
        <f>Auftragsplanung!K17</f>
        <v>0</v>
      </c>
      <c r="F144" s="946">
        <f t="shared" si="78"/>
        <v>0</v>
      </c>
      <c r="G144" s="947"/>
      <c r="H144" s="947"/>
      <c r="I144" s="947"/>
      <c r="J144" s="947"/>
      <c r="K144" s="947"/>
      <c r="L144" s="947"/>
      <c r="M144" s="947"/>
      <c r="N144" s="947"/>
      <c r="O144" s="947"/>
      <c r="P144" s="947"/>
      <c r="Q144" s="947"/>
      <c r="R144" s="947"/>
      <c r="U144" s="950">
        <f t="shared" si="91"/>
        <v>0</v>
      </c>
      <c r="V144" s="946">
        <f t="shared" si="92"/>
        <v>0</v>
      </c>
      <c r="W144" s="950">
        <f t="shared" si="79"/>
        <v>0</v>
      </c>
      <c r="X144" s="950">
        <f t="shared" si="80"/>
        <v>0</v>
      </c>
      <c r="Y144" s="950">
        <f t="shared" si="81"/>
        <v>0</v>
      </c>
      <c r="Z144" s="950">
        <f t="shared" si="82"/>
        <v>0</v>
      </c>
      <c r="AA144" s="950">
        <f t="shared" si="83"/>
        <v>0</v>
      </c>
      <c r="AB144" s="950">
        <f t="shared" si="84"/>
        <v>0</v>
      </c>
      <c r="AC144" s="950">
        <f t="shared" si="85"/>
        <v>0</v>
      </c>
      <c r="AD144" s="950">
        <f t="shared" si="86"/>
        <v>0</v>
      </c>
      <c r="AE144" s="950">
        <f t="shared" si="87"/>
        <v>0</v>
      </c>
      <c r="AF144" s="950">
        <f t="shared" si="88"/>
        <v>0</v>
      </c>
      <c r="AG144" s="950">
        <f t="shared" si="89"/>
        <v>0</v>
      </c>
      <c r="AH144" s="950">
        <f t="shared" si="90"/>
        <v>0</v>
      </c>
    </row>
    <row r="145" spans="1:34" x14ac:dyDescent="0.2">
      <c r="A145" s="943">
        <f>Auftragsplanung!L4</f>
        <v>0</v>
      </c>
      <c r="B145" s="953">
        <f>Auftragsplanung!L$5</f>
        <v>0</v>
      </c>
      <c r="C145" s="953">
        <f>Auftragsplanung!L15</f>
        <v>0</v>
      </c>
      <c r="D145" s="953">
        <f>Auftragsplanung!L6</f>
        <v>0</v>
      </c>
      <c r="E145" s="954">
        <f>Auftragsplanung!L17</f>
        <v>0</v>
      </c>
      <c r="F145" s="946">
        <f t="shared" si="78"/>
        <v>0</v>
      </c>
      <c r="G145" s="947"/>
      <c r="H145" s="947"/>
      <c r="I145" s="947"/>
      <c r="J145" s="947"/>
      <c r="K145" s="947"/>
      <c r="L145" s="947"/>
      <c r="M145" s="947"/>
      <c r="N145" s="947"/>
      <c r="O145" s="947"/>
      <c r="P145" s="947"/>
      <c r="Q145" s="947"/>
      <c r="R145" s="947"/>
      <c r="U145" s="950">
        <f t="shared" si="91"/>
        <v>0</v>
      </c>
      <c r="V145" s="946">
        <f t="shared" si="92"/>
        <v>0</v>
      </c>
      <c r="W145" s="950">
        <f t="shared" ref="W145:W150" si="93">IF($E145=0,0,$U145/$E145*G145)</f>
        <v>0</v>
      </c>
      <c r="X145" s="950">
        <f t="shared" ref="X145:AH145" si="94">IF($E145=0,0,$U145/$E145*H145)</f>
        <v>0</v>
      </c>
      <c r="Y145" s="950">
        <f t="shared" si="94"/>
        <v>0</v>
      </c>
      <c r="Z145" s="950">
        <f t="shared" si="94"/>
        <v>0</v>
      </c>
      <c r="AA145" s="950">
        <f t="shared" si="94"/>
        <v>0</v>
      </c>
      <c r="AB145" s="950">
        <f t="shared" si="94"/>
        <v>0</v>
      </c>
      <c r="AC145" s="950">
        <f t="shared" si="94"/>
        <v>0</v>
      </c>
      <c r="AD145" s="950">
        <f t="shared" si="94"/>
        <v>0</v>
      </c>
      <c r="AE145" s="950">
        <f t="shared" si="94"/>
        <v>0</v>
      </c>
      <c r="AF145" s="950">
        <f t="shared" si="94"/>
        <v>0</v>
      </c>
      <c r="AG145" s="950">
        <f t="shared" si="94"/>
        <v>0</v>
      </c>
      <c r="AH145" s="950">
        <f t="shared" si="94"/>
        <v>0</v>
      </c>
    </row>
    <row r="146" spans="1:34" x14ac:dyDescent="0.2">
      <c r="A146" s="943">
        <f>Auftragsplanung!M4</f>
        <v>0</v>
      </c>
      <c r="B146" s="953">
        <f>Auftragsplanung!M$5</f>
        <v>0</v>
      </c>
      <c r="C146" s="953">
        <f>Auftragsplanung!M15</f>
        <v>0</v>
      </c>
      <c r="D146" s="953">
        <f>Auftragsplanung!M6</f>
        <v>0</v>
      </c>
      <c r="E146" s="954">
        <f>Auftragsplanung!M17</f>
        <v>0</v>
      </c>
      <c r="F146" s="946">
        <f t="shared" si="78"/>
        <v>0</v>
      </c>
      <c r="G146" s="947"/>
      <c r="H146" s="947"/>
      <c r="I146" s="947"/>
      <c r="J146" s="947"/>
      <c r="K146" s="947"/>
      <c r="L146" s="947"/>
      <c r="M146" s="947"/>
      <c r="N146" s="947"/>
      <c r="O146" s="947"/>
      <c r="P146" s="947"/>
      <c r="Q146" s="947"/>
      <c r="R146" s="947"/>
      <c r="U146" s="950">
        <f t="shared" si="91"/>
        <v>0</v>
      </c>
      <c r="V146" s="946">
        <f t="shared" si="92"/>
        <v>0</v>
      </c>
      <c r="W146" s="950">
        <f t="shared" si="93"/>
        <v>0</v>
      </c>
      <c r="X146" s="950">
        <f t="shared" ref="X146:AH150" si="95">IF($E146=0,0,$U146/$E146*H146)</f>
        <v>0</v>
      </c>
      <c r="Y146" s="950">
        <f t="shared" si="95"/>
        <v>0</v>
      </c>
      <c r="Z146" s="950">
        <f t="shared" si="95"/>
        <v>0</v>
      </c>
      <c r="AA146" s="950">
        <f t="shared" si="95"/>
        <v>0</v>
      </c>
      <c r="AB146" s="950">
        <f t="shared" si="95"/>
        <v>0</v>
      </c>
      <c r="AC146" s="950">
        <f t="shared" si="95"/>
        <v>0</v>
      </c>
      <c r="AD146" s="950">
        <f t="shared" si="95"/>
        <v>0</v>
      </c>
      <c r="AE146" s="950">
        <f t="shared" si="95"/>
        <v>0</v>
      </c>
      <c r="AF146" s="950">
        <f t="shared" si="95"/>
        <v>0</v>
      </c>
      <c r="AG146" s="950">
        <f t="shared" si="95"/>
        <v>0</v>
      </c>
      <c r="AH146" s="950">
        <f t="shared" si="95"/>
        <v>0</v>
      </c>
    </row>
    <row r="147" spans="1:34" x14ac:dyDescent="0.2">
      <c r="A147" s="943">
        <f>Auftragsplanung!N4</f>
        <v>0</v>
      </c>
      <c r="B147" s="953">
        <f>Auftragsplanung!N$5</f>
        <v>0</v>
      </c>
      <c r="C147" s="953">
        <f>Auftragsplanung!N15</f>
        <v>0</v>
      </c>
      <c r="D147" s="953">
        <f>Auftragsplanung!N6</f>
        <v>0</v>
      </c>
      <c r="E147" s="954">
        <f>Auftragsplanung!N17</f>
        <v>0</v>
      </c>
      <c r="F147" s="946">
        <f t="shared" si="78"/>
        <v>0</v>
      </c>
      <c r="G147" s="947"/>
      <c r="H147" s="947"/>
      <c r="I147" s="947"/>
      <c r="J147" s="947"/>
      <c r="K147" s="947"/>
      <c r="L147" s="947"/>
      <c r="M147" s="947"/>
      <c r="N147" s="947"/>
      <c r="O147" s="947"/>
      <c r="P147" s="947"/>
      <c r="Q147" s="947"/>
      <c r="R147" s="947"/>
      <c r="U147" s="950">
        <f t="shared" si="91"/>
        <v>0</v>
      </c>
      <c r="V147" s="946">
        <f t="shared" si="92"/>
        <v>0</v>
      </c>
      <c r="W147" s="950">
        <f t="shared" si="93"/>
        <v>0</v>
      </c>
      <c r="X147" s="950">
        <f t="shared" si="95"/>
        <v>0</v>
      </c>
      <c r="Y147" s="950">
        <f t="shared" si="95"/>
        <v>0</v>
      </c>
      <c r="Z147" s="950">
        <f t="shared" si="95"/>
        <v>0</v>
      </c>
      <c r="AA147" s="950">
        <f t="shared" si="95"/>
        <v>0</v>
      </c>
      <c r="AB147" s="950">
        <f t="shared" si="95"/>
        <v>0</v>
      </c>
      <c r="AC147" s="950">
        <f t="shared" si="95"/>
        <v>0</v>
      </c>
      <c r="AD147" s="950">
        <f t="shared" si="95"/>
        <v>0</v>
      </c>
      <c r="AE147" s="950">
        <f t="shared" si="95"/>
        <v>0</v>
      </c>
      <c r="AF147" s="950">
        <f t="shared" si="95"/>
        <v>0</v>
      </c>
      <c r="AG147" s="950">
        <f t="shared" si="95"/>
        <v>0</v>
      </c>
      <c r="AH147" s="950">
        <f t="shared" si="95"/>
        <v>0</v>
      </c>
    </row>
    <row r="148" spans="1:34" x14ac:dyDescent="0.2">
      <c r="A148" s="943">
        <f>Auftragsplanung!O4</f>
        <v>0</v>
      </c>
      <c r="B148" s="953">
        <f>Auftragsplanung!O$5</f>
        <v>0</v>
      </c>
      <c r="C148" s="953">
        <f>Auftragsplanung!O15</f>
        <v>0</v>
      </c>
      <c r="D148" s="953">
        <f>Auftragsplanung!O6</f>
        <v>0</v>
      </c>
      <c r="E148" s="954">
        <f>Auftragsplanung!O17</f>
        <v>0</v>
      </c>
      <c r="F148" s="946">
        <f t="shared" si="78"/>
        <v>0</v>
      </c>
      <c r="G148" s="947"/>
      <c r="H148" s="947"/>
      <c r="I148" s="947"/>
      <c r="J148" s="947"/>
      <c r="K148" s="947"/>
      <c r="L148" s="947"/>
      <c r="M148" s="947"/>
      <c r="N148" s="947"/>
      <c r="O148" s="947"/>
      <c r="P148" s="947"/>
      <c r="Q148" s="947"/>
      <c r="R148" s="947"/>
      <c r="U148" s="950">
        <f t="shared" si="91"/>
        <v>0</v>
      </c>
      <c r="V148" s="946">
        <f t="shared" si="92"/>
        <v>0</v>
      </c>
      <c r="W148" s="950">
        <f t="shared" si="93"/>
        <v>0</v>
      </c>
      <c r="X148" s="950">
        <f t="shared" si="95"/>
        <v>0</v>
      </c>
      <c r="Y148" s="950">
        <f t="shared" si="95"/>
        <v>0</v>
      </c>
      <c r="Z148" s="950">
        <f t="shared" si="95"/>
        <v>0</v>
      </c>
      <c r="AA148" s="950">
        <f t="shared" si="95"/>
        <v>0</v>
      </c>
      <c r="AB148" s="950">
        <f t="shared" si="95"/>
        <v>0</v>
      </c>
      <c r="AC148" s="950">
        <f t="shared" si="95"/>
        <v>0</v>
      </c>
      <c r="AD148" s="950">
        <f t="shared" si="95"/>
        <v>0</v>
      </c>
      <c r="AE148" s="950">
        <f t="shared" si="95"/>
        <v>0</v>
      </c>
      <c r="AF148" s="950">
        <f t="shared" si="95"/>
        <v>0</v>
      </c>
      <c r="AG148" s="950">
        <f t="shared" si="95"/>
        <v>0</v>
      </c>
      <c r="AH148" s="950">
        <f t="shared" si="95"/>
        <v>0</v>
      </c>
    </row>
    <row r="149" spans="1:34" x14ac:dyDescent="0.2">
      <c r="A149" s="943">
        <f>Auftragsplanung!P4</f>
        <v>0</v>
      </c>
      <c r="B149" s="953">
        <f>Auftragsplanung!P$5</f>
        <v>0</v>
      </c>
      <c r="C149" s="953">
        <f>Auftragsplanung!P15</f>
        <v>0</v>
      </c>
      <c r="D149" s="953">
        <f>Auftragsplanung!P6</f>
        <v>0</v>
      </c>
      <c r="E149" s="954">
        <f>Auftragsplanung!P17</f>
        <v>0</v>
      </c>
      <c r="F149" s="946">
        <f t="shared" si="78"/>
        <v>0</v>
      </c>
      <c r="G149" s="947"/>
      <c r="H149" s="947"/>
      <c r="I149" s="947"/>
      <c r="J149" s="947"/>
      <c r="K149" s="947"/>
      <c r="L149" s="947"/>
      <c r="M149" s="947"/>
      <c r="N149" s="947"/>
      <c r="O149" s="947"/>
      <c r="P149" s="947"/>
      <c r="Q149" s="947"/>
      <c r="R149" s="947"/>
      <c r="U149" s="950">
        <f t="shared" si="91"/>
        <v>0</v>
      </c>
      <c r="V149" s="946">
        <f t="shared" si="92"/>
        <v>0</v>
      </c>
      <c r="W149" s="950">
        <f t="shared" si="93"/>
        <v>0</v>
      </c>
      <c r="X149" s="950">
        <f t="shared" si="95"/>
        <v>0</v>
      </c>
      <c r="Y149" s="950">
        <f t="shared" si="95"/>
        <v>0</v>
      </c>
      <c r="Z149" s="950">
        <f t="shared" si="95"/>
        <v>0</v>
      </c>
      <c r="AA149" s="950">
        <f t="shared" si="95"/>
        <v>0</v>
      </c>
      <c r="AB149" s="950">
        <f t="shared" si="95"/>
        <v>0</v>
      </c>
      <c r="AC149" s="950">
        <f t="shared" si="95"/>
        <v>0</v>
      </c>
      <c r="AD149" s="950">
        <f t="shared" si="95"/>
        <v>0</v>
      </c>
      <c r="AE149" s="950">
        <f t="shared" si="95"/>
        <v>0</v>
      </c>
      <c r="AF149" s="950">
        <f t="shared" si="95"/>
        <v>0</v>
      </c>
      <c r="AG149" s="950">
        <f t="shared" si="95"/>
        <v>0</v>
      </c>
      <c r="AH149" s="950">
        <f t="shared" si="95"/>
        <v>0</v>
      </c>
    </row>
    <row r="150" spans="1:34" x14ac:dyDescent="0.2">
      <c r="A150" s="943">
        <f>Auftragsplanung!Q4</f>
        <v>0</v>
      </c>
      <c r="B150" s="953">
        <f>Auftragsplanung!Q$5</f>
        <v>0</v>
      </c>
      <c r="C150" s="953">
        <f>Auftragsplanung!Q15</f>
        <v>0</v>
      </c>
      <c r="D150" s="953">
        <f>Auftragsplanung!Q6</f>
        <v>0</v>
      </c>
      <c r="E150" s="954">
        <f>Auftragsplanung!Q17</f>
        <v>0</v>
      </c>
      <c r="F150" s="946">
        <f t="shared" si="78"/>
        <v>0</v>
      </c>
      <c r="G150" s="947"/>
      <c r="H150" s="947"/>
      <c r="I150" s="947"/>
      <c r="J150" s="947"/>
      <c r="K150" s="947"/>
      <c r="L150" s="947"/>
      <c r="M150" s="947"/>
      <c r="N150" s="947"/>
      <c r="O150" s="947"/>
      <c r="P150" s="947"/>
      <c r="Q150" s="947"/>
      <c r="R150" s="947"/>
      <c r="U150" s="950">
        <f t="shared" si="91"/>
        <v>0</v>
      </c>
      <c r="V150" s="946">
        <f t="shared" si="92"/>
        <v>0</v>
      </c>
      <c r="W150" s="950">
        <f t="shared" si="93"/>
        <v>0</v>
      </c>
      <c r="X150" s="950">
        <f t="shared" si="95"/>
        <v>0</v>
      </c>
      <c r="Y150" s="950">
        <f t="shared" si="95"/>
        <v>0</v>
      </c>
      <c r="Z150" s="950">
        <f t="shared" si="95"/>
        <v>0</v>
      </c>
      <c r="AA150" s="950">
        <f t="shared" si="95"/>
        <v>0</v>
      </c>
      <c r="AB150" s="950">
        <f t="shared" si="95"/>
        <v>0</v>
      </c>
      <c r="AC150" s="950">
        <f t="shared" si="95"/>
        <v>0</v>
      </c>
      <c r="AD150" s="950">
        <f t="shared" si="95"/>
        <v>0</v>
      </c>
      <c r="AE150" s="950">
        <f t="shared" si="95"/>
        <v>0</v>
      </c>
      <c r="AF150" s="950">
        <f t="shared" si="95"/>
        <v>0</v>
      </c>
      <c r="AG150" s="950">
        <f t="shared" si="95"/>
        <v>0</v>
      </c>
      <c r="AH150" s="950">
        <f t="shared" si="95"/>
        <v>0</v>
      </c>
    </row>
    <row r="151" spans="1:34" s="941" customFormat="1" x14ac:dyDescent="0.2">
      <c r="A151" s="939"/>
      <c r="B151" s="933"/>
      <c r="C151" s="933"/>
      <c r="D151" s="933"/>
      <c r="E151" s="940"/>
      <c r="F151" s="820"/>
      <c r="G151" s="940"/>
      <c r="H151" s="940"/>
      <c r="I151" s="940"/>
      <c r="J151" s="940"/>
      <c r="K151" s="940"/>
      <c r="L151" s="940"/>
      <c r="M151" s="940"/>
      <c r="N151" s="940"/>
      <c r="O151" s="940"/>
      <c r="P151" s="940"/>
      <c r="Q151" s="940"/>
      <c r="R151" s="940"/>
      <c r="U151" s="821"/>
      <c r="V151" s="820"/>
      <c r="W151" s="821"/>
      <c r="X151" s="821"/>
      <c r="Y151" s="821"/>
      <c r="Z151" s="821"/>
      <c r="AA151" s="821"/>
      <c r="AB151" s="821"/>
      <c r="AC151" s="821"/>
      <c r="AD151" s="821"/>
      <c r="AE151" s="821"/>
      <c r="AF151" s="821"/>
      <c r="AG151" s="821"/>
      <c r="AH151" s="821"/>
    </row>
    <row r="152" spans="1:34" x14ac:dyDescent="0.2">
      <c r="C152" s="937"/>
      <c r="D152" s="94"/>
      <c r="E152" s="952" t="s">
        <v>944</v>
      </c>
      <c r="F152" s="946">
        <f>IF(ROUND(SUM(G152:R152)-1,1)=0,0,"bitte prüfen!")</f>
        <v>0</v>
      </c>
      <c r="G152" s="955">
        <v>0.06</v>
      </c>
      <c r="H152" s="955">
        <v>0.08</v>
      </c>
      <c r="I152" s="955">
        <v>0.1</v>
      </c>
      <c r="J152" s="955">
        <v>7.0000000000000007E-2</v>
      </c>
      <c r="K152" s="955">
        <v>0.08</v>
      </c>
      <c r="L152" s="955">
        <v>0.08</v>
      </c>
      <c r="M152" s="955">
        <v>0.08</v>
      </c>
      <c r="N152" s="955">
        <v>7.0000000000000007E-2</v>
      </c>
      <c r="O152" s="955">
        <v>0.1</v>
      </c>
      <c r="P152" s="955">
        <v>0.1</v>
      </c>
      <c r="Q152" s="955">
        <v>0.09</v>
      </c>
      <c r="R152" s="955">
        <v>0.09</v>
      </c>
      <c r="U152" s="950">
        <f>Auftragsplanung!S6</f>
        <v>1034186</v>
      </c>
      <c r="V152" s="946">
        <f t="shared" si="92"/>
        <v>0</v>
      </c>
      <c r="W152" s="950">
        <f>IF($U152=0,0,$U152*G$152)</f>
        <v>62051.159999999996</v>
      </c>
      <c r="X152" s="950">
        <f t="shared" ref="X152:AH152" si="96">IF($U152=0,0,$U152*H$152)</f>
        <v>82734.880000000005</v>
      </c>
      <c r="Y152" s="950">
        <f t="shared" si="96"/>
        <v>103418.6</v>
      </c>
      <c r="Z152" s="950">
        <f t="shared" si="96"/>
        <v>72393.02</v>
      </c>
      <c r="AA152" s="950">
        <f t="shared" si="96"/>
        <v>82734.880000000005</v>
      </c>
      <c r="AB152" s="950">
        <f t="shared" si="96"/>
        <v>82734.880000000005</v>
      </c>
      <c r="AC152" s="950">
        <f t="shared" si="96"/>
        <v>82734.880000000005</v>
      </c>
      <c r="AD152" s="950">
        <f t="shared" si="96"/>
        <v>72393.02</v>
      </c>
      <c r="AE152" s="950">
        <f t="shared" si="96"/>
        <v>103418.6</v>
      </c>
      <c r="AF152" s="950">
        <f t="shared" si="96"/>
        <v>103418.6</v>
      </c>
      <c r="AG152" s="950">
        <f t="shared" si="96"/>
        <v>93076.739999999991</v>
      </c>
      <c r="AH152" s="950">
        <f t="shared" si="96"/>
        <v>93076.739999999991</v>
      </c>
    </row>
    <row r="153" spans="1:34" s="853" customFormat="1" x14ac:dyDescent="0.2">
      <c r="A153" s="93" t="s">
        <v>945</v>
      </c>
      <c r="B153" s="93"/>
      <c r="C153" s="93"/>
      <c r="U153" s="950">
        <f>IF(SUM(U137:U150)=0,U152,SUM(U137:U150))</f>
        <v>1034186</v>
      </c>
      <c r="V153" s="946">
        <f t="shared" si="92"/>
        <v>0</v>
      </c>
      <c r="W153" s="950">
        <f>IF(SUM($W$137:$AH$150)=0,W152,SUM(W137:W150))</f>
        <v>62051.159999999996</v>
      </c>
      <c r="X153" s="950">
        <f t="shared" ref="X153:AH153" si="97">IF(SUM($W$137:$AH$150)=0,X152,SUM(X137:X150))</f>
        <v>82734.880000000005</v>
      </c>
      <c r="Y153" s="950">
        <f t="shared" si="97"/>
        <v>103418.6</v>
      </c>
      <c r="Z153" s="950">
        <f t="shared" si="97"/>
        <v>72393.02</v>
      </c>
      <c r="AA153" s="950">
        <f t="shared" si="97"/>
        <v>82734.880000000005</v>
      </c>
      <c r="AB153" s="950">
        <f t="shared" si="97"/>
        <v>82734.880000000005</v>
      </c>
      <c r="AC153" s="950">
        <f t="shared" si="97"/>
        <v>82734.880000000005</v>
      </c>
      <c r="AD153" s="950">
        <f t="shared" si="97"/>
        <v>72393.02</v>
      </c>
      <c r="AE153" s="950">
        <f t="shared" si="97"/>
        <v>103418.6</v>
      </c>
      <c r="AF153" s="950">
        <f t="shared" si="97"/>
        <v>103418.6</v>
      </c>
      <c r="AG153" s="950">
        <f t="shared" si="97"/>
        <v>93076.739999999991</v>
      </c>
      <c r="AH153" s="950">
        <f t="shared" si="97"/>
        <v>93076.739999999991</v>
      </c>
    </row>
    <row r="154" spans="1:34" s="853" customFormat="1" x14ac:dyDescent="0.2">
      <c r="A154" s="93" t="s">
        <v>946</v>
      </c>
      <c r="B154" s="93"/>
      <c r="C154" s="93"/>
      <c r="D154" s="949"/>
      <c r="E154" s="950">
        <f>SUM(G154:R154)</f>
        <v>0</v>
      </c>
      <c r="F154" s="946">
        <f t="shared" si="78"/>
        <v>0</v>
      </c>
      <c r="G154" s="950">
        <f t="shared" ref="G154:R154" si="98">($C137*G$137)+($C138*G$138)+($C139*G$139)+($C140*G$140)+($C141*G$141)+($C142*G$142)+($C143*G$143)+($C144*G$144)+($C145*G$145)+($C146*G$146)+($C147*G$147)+($C148*G$148)+($C149*G$149)+($C150*G$150)</f>
        <v>0</v>
      </c>
      <c r="H154" s="950">
        <f t="shared" si="98"/>
        <v>0</v>
      </c>
      <c r="I154" s="950">
        <f t="shared" si="98"/>
        <v>0</v>
      </c>
      <c r="J154" s="950">
        <f t="shared" si="98"/>
        <v>0</v>
      </c>
      <c r="K154" s="950">
        <f t="shared" si="98"/>
        <v>0</v>
      </c>
      <c r="L154" s="950">
        <f t="shared" si="98"/>
        <v>0</v>
      </c>
      <c r="M154" s="950">
        <f t="shared" si="98"/>
        <v>0</v>
      </c>
      <c r="N154" s="950">
        <f t="shared" si="98"/>
        <v>0</v>
      </c>
      <c r="O154" s="950">
        <f t="shared" si="98"/>
        <v>0</v>
      </c>
      <c r="P154" s="950">
        <f t="shared" si="98"/>
        <v>0</v>
      </c>
      <c r="Q154" s="950">
        <f t="shared" si="98"/>
        <v>0</v>
      </c>
      <c r="R154" s="950">
        <f t="shared" si="98"/>
        <v>0</v>
      </c>
      <c r="U154" s="94"/>
      <c r="V154" s="95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</row>
    <row r="155" spans="1:34" s="853" customFormat="1" x14ac:dyDescent="0.2">
      <c r="A155" s="93" t="s">
        <v>947</v>
      </c>
      <c r="B155" s="93"/>
      <c r="C155" s="93"/>
      <c r="D155" s="949" t="s">
        <v>948</v>
      </c>
      <c r="E155" s="950">
        <f>ROUND(Stundencontrolling!AI1355,2)</f>
        <v>4519.76</v>
      </c>
      <c r="F155" s="946">
        <f>IF(ROUND(SUM(G155:R155),2)-E155=0,0,"bitte prüfen!")</f>
        <v>0</v>
      </c>
      <c r="G155" s="950">
        <f>Stundencontrolling!AI107</f>
        <v>1116.5333333333333</v>
      </c>
      <c r="H155" s="950">
        <f>Stundencontrolling!AI211</f>
        <v>1116.5333333333333</v>
      </c>
      <c r="I155" s="950">
        <f>Stundencontrolling!AI315</f>
        <v>222.49333333333334</v>
      </c>
      <c r="J155" s="950">
        <f>Stundencontrolling!AI419</f>
        <v>222.49333333333334</v>
      </c>
      <c r="K155" s="950">
        <f>Stundencontrolling!AI523</f>
        <v>232.84333333333333</v>
      </c>
      <c r="L155" s="950">
        <f>Stundencontrolling!AI627</f>
        <v>221.52333333333334</v>
      </c>
      <c r="M155" s="950">
        <f>Stundencontrolling!AI731</f>
        <v>221.52333333333334</v>
      </c>
      <c r="N155" s="950">
        <f>Stundencontrolling!AI835</f>
        <v>233.16333333333336</v>
      </c>
      <c r="O155" s="950">
        <f>Stundencontrolling!AI939</f>
        <v>233.16333333333336</v>
      </c>
      <c r="P155" s="950">
        <f>Stundencontrolling!AI1043</f>
        <v>233.16333333333336</v>
      </c>
      <c r="Q155" s="950">
        <f>Stundencontrolling!AI1147</f>
        <v>233.16333333333336</v>
      </c>
      <c r="R155" s="950">
        <f>Stundencontrolling!AI1251</f>
        <v>233.16333333333336</v>
      </c>
      <c r="U155" s="94"/>
      <c r="V155" s="95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</row>
    <row r="156" spans="1:34" s="853" customFormat="1" x14ac:dyDescent="0.2">
      <c r="A156" s="93" t="s">
        <v>910</v>
      </c>
      <c r="B156" s="93"/>
      <c r="C156" s="93"/>
      <c r="D156" s="949"/>
      <c r="E156" s="950">
        <f>SUM(G156:R156)</f>
        <v>4519.76</v>
      </c>
      <c r="F156" s="946">
        <f t="shared" si="78"/>
        <v>0</v>
      </c>
      <c r="G156" s="950">
        <f>G155-G154</f>
        <v>1116.5333333333333</v>
      </c>
      <c r="H156" s="950">
        <f t="shared" ref="H156:R156" si="99">H155-H154</f>
        <v>1116.5333333333333</v>
      </c>
      <c r="I156" s="950">
        <f t="shared" si="99"/>
        <v>222.49333333333334</v>
      </c>
      <c r="J156" s="950">
        <f t="shared" si="99"/>
        <v>222.49333333333334</v>
      </c>
      <c r="K156" s="950">
        <f t="shared" si="99"/>
        <v>232.84333333333333</v>
      </c>
      <c r="L156" s="950">
        <f t="shared" si="99"/>
        <v>221.52333333333334</v>
      </c>
      <c r="M156" s="950">
        <f t="shared" si="99"/>
        <v>221.52333333333334</v>
      </c>
      <c r="N156" s="950">
        <f t="shared" si="99"/>
        <v>233.16333333333336</v>
      </c>
      <c r="O156" s="950">
        <f t="shared" si="99"/>
        <v>233.16333333333336</v>
      </c>
      <c r="P156" s="950">
        <f t="shared" si="99"/>
        <v>233.16333333333336</v>
      </c>
      <c r="Q156" s="950">
        <f t="shared" si="99"/>
        <v>233.16333333333336</v>
      </c>
      <c r="R156" s="950">
        <f t="shared" si="99"/>
        <v>233.16333333333336</v>
      </c>
      <c r="U156" s="94"/>
      <c r="V156" s="95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</row>
    <row r="157" spans="1:34" x14ac:dyDescent="0.2">
      <c r="E157" s="942"/>
      <c r="G157" s="937"/>
    </row>
    <row r="158" spans="1:34" outlineLevel="1" x14ac:dyDescent="0.2"/>
    <row r="159" spans="1:34" s="853" customFormat="1" outlineLevel="1" x14ac:dyDescent="0.2">
      <c r="A159" s="948" t="s">
        <v>940</v>
      </c>
      <c r="B159" s="949" t="s">
        <v>941</v>
      </c>
      <c r="C159" s="949"/>
      <c r="D159" s="949" t="s">
        <v>518</v>
      </c>
      <c r="E159" s="949"/>
    </row>
    <row r="160" spans="1:34" outlineLevel="1" x14ac:dyDescent="0.2">
      <c r="A160" s="943" t="str">
        <f t="shared" ref="A160:B173" si="100">A137</f>
        <v>Profit Center</v>
      </c>
      <c r="B160" s="944" t="str">
        <f t="shared" si="100"/>
        <v>Gesamt</v>
      </c>
      <c r="C160" s="944"/>
      <c r="D160" s="953">
        <f>Auftragsplanung!D7</f>
        <v>3000</v>
      </c>
      <c r="E160" s="954">
        <f t="shared" ref="E160:E173" si="101">E137</f>
        <v>1</v>
      </c>
      <c r="U160" s="94">
        <f t="shared" ref="U160:U173" si="102">E160*D160</f>
        <v>3000</v>
      </c>
      <c r="V160" s="95" t="str">
        <f>IF(ROUND(SUM(W160:AH160)-U160,2)=0,0,"bitte prüfen!")</f>
        <v>bitte prüfen!</v>
      </c>
      <c r="W160" s="94">
        <f t="shared" ref="W160:W173" si="103">IF($E160=0,0,$U160/$E160*G137)</f>
        <v>0</v>
      </c>
      <c r="X160" s="94">
        <f t="shared" ref="X160:X173" si="104">IF($E160=0,0,$U160/$E160*H137)</f>
        <v>0</v>
      </c>
      <c r="Y160" s="94">
        <f t="shared" ref="Y160:Y173" si="105">IF($E160=0,0,$U160/$E160*I137)</f>
        <v>0</v>
      </c>
      <c r="Z160" s="94">
        <f t="shared" ref="Z160:Z173" si="106">IF($E160=0,0,$U160/$E160*J137)</f>
        <v>0</v>
      </c>
      <c r="AA160" s="94">
        <f t="shared" ref="AA160:AA173" si="107">IF($E160=0,0,$U160/$E160*K137)</f>
        <v>0</v>
      </c>
      <c r="AB160" s="94">
        <f t="shared" ref="AB160:AB173" si="108">IF($E160=0,0,$U160/$E160*L137)</f>
        <v>0</v>
      </c>
      <c r="AC160" s="94">
        <f t="shared" ref="AC160:AC173" si="109">IF($E160=0,0,$U160/$E160*M137)</f>
        <v>0</v>
      </c>
      <c r="AD160" s="94">
        <f t="shared" ref="AD160:AD173" si="110">IF($E160=0,0,$U160/$E160*N137)</f>
        <v>0</v>
      </c>
      <c r="AE160" s="94">
        <f t="shared" ref="AE160:AE173" si="111">IF($E160=0,0,$U160/$E160*O137)</f>
        <v>0</v>
      </c>
      <c r="AF160" s="94">
        <f t="shared" ref="AF160:AF173" si="112">IF($E160=0,0,$U160/$E160*P137)</f>
        <v>0</v>
      </c>
      <c r="AG160" s="94">
        <f t="shared" ref="AG160:AG173" si="113">IF($E160=0,0,$U160/$E160*Q137)</f>
        <v>0</v>
      </c>
      <c r="AH160" s="94">
        <f t="shared" ref="AH160:AH173" si="114">IF($E160=0,0,$U160/$E160*R137)</f>
        <v>0</v>
      </c>
    </row>
    <row r="161" spans="1:34" outlineLevel="1" x14ac:dyDescent="0.2">
      <c r="A161" s="943" t="str">
        <f t="shared" si="100"/>
        <v>Profit Center</v>
      </c>
      <c r="B161" s="944">
        <f t="shared" si="100"/>
        <v>0</v>
      </c>
      <c r="C161" s="944"/>
      <c r="D161" s="953">
        <f>Auftragsplanung!E7</f>
        <v>0</v>
      </c>
      <c r="E161" s="954">
        <f t="shared" si="101"/>
        <v>1</v>
      </c>
      <c r="U161" s="94">
        <f t="shared" si="102"/>
        <v>0</v>
      </c>
      <c r="V161" s="95">
        <f t="shared" ref="V161:V176" si="115">IF(ROUND(SUM(W161:AH161)-U161,2)=0,0,"bitte prüfen!")</f>
        <v>0</v>
      </c>
      <c r="W161" s="94">
        <f t="shared" si="103"/>
        <v>0</v>
      </c>
      <c r="X161" s="94">
        <f t="shared" si="104"/>
        <v>0</v>
      </c>
      <c r="Y161" s="94">
        <f t="shared" si="105"/>
        <v>0</v>
      </c>
      <c r="Z161" s="94">
        <f t="shared" si="106"/>
        <v>0</v>
      </c>
      <c r="AA161" s="94">
        <f t="shared" si="107"/>
        <v>0</v>
      </c>
      <c r="AB161" s="94">
        <f t="shared" si="108"/>
        <v>0</v>
      </c>
      <c r="AC161" s="94">
        <f t="shared" si="109"/>
        <v>0</v>
      </c>
      <c r="AD161" s="94">
        <f t="shared" si="110"/>
        <v>0</v>
      </c>
      <c r="AE161" s="94">
        <f t="shared" si="111"/>
        <v>0</v>
      </c>
      <c r="AF161" s="94">
        <f t="shared" si="112"/>
        <v>0</v>
      </c>
      <c r="AG161" s="94">
        <f t="shared" si="113"/>
        <v>0</v>
      </c>
      <c r="AH161" s="94">
        <f t="shared" si="114"/>
        <v>0</v>
      </c>
    </row>
    <row r="162" spans="1:34" outlineLevel="1" x14ac:dyDescent="0.2">
      <c r="A162" s="943">
        <f t="shared" si="100"/>
        <v>0</v>
      </c>
      <c r="B162" s="944">
        <f t="shared" si="100"/>
        <v>0</v>
      </c>
      <c r="C162" s="944"/>
      <c r="D162" s="953">
        <f>Auftragsplanung!F7</f>
        <v>0</v>
      </c>
      <c r="E162" s="954">
        <f t="shared" si="101"/>
        <v>0</v>
      </c>
      <c r="U162" s="94">
        <f t="shared" si="102"/>
        <v>0</v>
      </c>
      <c r="V162" s="95">
        <f t="shared" si="115"/>
        <v>0</v>
      </c>
      <c r="W162" s="94">
        <f t="shared" si="103"/>
        <v>0</v>
      </c>
      <c r="X162" s="94">
        <f t="shared" si="104"/>
        <v>0</v>
      </c>
      <c r="Y162" s="94">
        <f t="shared" si="105"/>
        <v>0</v>
      </c>
      <c r="Z162" s="94">
        <f t="shared" si="106"/>
        <v>0</v>
      </c>
      <c r="AA162" s="94">
        <f t="shared" si="107"/>
        <v>0</v>
      </c>
      <c r="AB162" s="94">
        <f t="shared" si="108"/>
        <v>0</v>
      </c>
      <c r="AC162" s="94">
        <f t="shared" si="109"/>
        <v>0</v>
      </c>
      <c r="AD162" s="94">
        <f t="shared" si="110"/>
        <v>0</v>
      </c>
      <c r="AE162" s="94">
        <f t="shared" si="111"/>
        <v>0</v>
      </c>
      <c r="AF162" s="94">
        <f t="shared" si="112"/>
        <v>0</v>
      </c>
      <c r="AG162" s="94">
        <f t="shared" si="113"/>
        <v>0</v>
      </c>
      <c r="AH162" s="94">
        <f t="shared" si="114"/>
        <v>0</v>
      </c>
    </row>
    <row r="163" spans="1:34" outlineLevel="1" x14ac:dyDescent="0.2">
      <c r="A163" s="943">
        <f t="shared" si="100"/>
        <v>0</v>
      </c>
      <c r="B163" s="944">
        <f t="shared" si="100"/>
        <v>0</v>
      </c>
      <c r="C163" s="944"/>
      <c r="D163" s="953">
        <f>Auftragsplanung!G7</f>
        <v>0</v>
      </c>
      <c r="E163" s="954">
        <f t="shared" si="101"/>
        <v>0</v>
      </c>
      <c r="U163" s="94">
        <f t="shared" si="102"/>
        <v>0</v>
      </c>
      <c r="V163" s="95">
        <f t="shared" si="115"/>
        <v>0</v>
      </c>
      <c r="W163" s="94">
        <f t="shared" si="103"/>
        <v>0</v>
      </c>
      <c r="X163" s="94">
        <f t="shared" si="104"/>
        <v>0</v>
      </c>
      <c r="Y163" s="94">
        <f t="shared" si="105"/>
        <v>0</v>
      </c>
      <c r="Z163" s="94">
        <f t="shared" si="106"/>
        <v>0</v>
      </c>
      <c r="AA163" s="94">
        <f t="shared" si="107"/>
        <v>0</v>
      </c>
      <c r="AB163" s="94">
        <f t="shared" si="108"/>
        <v>0</v>
      </c>
      <c r="AC163" s="94">
        <f t="shared" si="109"/>
        <v>0</v>
      </c>
      <c r="AD163" s="94">
        <f t="shared" si="110"/>
        <v>0</v>
      </c>
      <c r="AE163" s="94">
        <f t="shared" si="111"/>
        <v>0</v>
      </c>
      <c r="AF163" s="94">
        <f t="shared" si="112"/>
        <v>0</v>
      </c>
      <c r="AG163" s="94">
        <f t="shared" si="113"/>
        <v>0</v>
      </c>
      <c r="AH163" s="94">
        <f t="shared" si="114"/>
        <v>0</v>
      </c>
    </row>
    <row r="164" spans="1:34" outlineLevel="1" x14ac:dyDescent="0.2">
      <c r="A164" s="943">
        <f t="shared" si="100"/>
        <v>0</v>
      </c>
      <c r="B164" s="944">
        <f t="shared" si="100"/>
        <v>0</v>
      </c>
      <c r="C164" s="944"/>
      <c r="D164" s="953">
        <f>Auftragsplanung!H7</f>
        <v>0</v>
      </c>
      <c r="E164" s="954">
        <f t="shared" si="101"/>
        <v>0</v>
      </c>
      <c r="U164" s="94">
        <f t="shared" si="102"/>
        <v>0</v>
      </c>
      <c r="V164" s="95">
        <f t="shared" si="115"/>
        <v>0</v>
      </c>
      <c r="W164" s="94">
        <f t="shared" si="103"/>
        <v>0</v>
      </c>
      <c r="X164" s="94">
        <f t="shared" si="104"/>
        <v>0</v>
      </c>
      <c r="Y164" s="94">
        <f t="shared" si="105"/>
        <v>0</v>
      </c>
      <c r="Z164" s="94">
        <f t="shared" si="106"/>
        <v>0</v>
      </c>
      <c r="AA164" s="94">
        <f t="shared" si="107"/>
        <v>0</v>
      </c>
      <c r="AB164" s="94">
        <f t="shared" si="108"/>
        <v>0</v>
      </c>
      <c r="AC164" s="94">
        <f t="shared" si="109"/>
        <v>0</v>
      </c>
      <c r="AD164" s="94">
        <f t="shared" si="110"/>
        <v>0</v>
      </c>
      <c r="AE164" s="94">
        <f t="shared" si="111"/>
        <v>0</v>
      </c>
      <c r="AF164" s="94">
        <f t="shared" si="112"/>
        <v>0</v>
      </c>
      <c r="AG164" s="94">
        <f t="shared" si="113"/>
        <v>0</v>
      </c>
      <c r="AH164" s="94">
        <f t="shared" si="114"/>
        <v>0</v>
      </c>
    </row>
    <row r="165" spans="1:34" outlineLevel="1" x14ac:dyDescent="0.2">
      <c r="A165" s="943">
        <f t="shared" si="100"/>
        <v>0</v>
      </c>
      <c r="B165" s="944">
        <f t="shared" si="100"/>
        <v>0</v>
      </c>
      <c r="C165" s="944"/>
      <c r="D165" s="953">
        <f>Auftragsplanung!I7</f>
        <v>0</v>
      </c>
      <c r="E165" s="954">
        <f t="shared" si="101"/>
        <v>0</v>
      </c>
      <c r="U165" s="94">
        <f t="shared" si="102"/>
        <v>0</v>
      </c>
      <c r="V165" s="95">
        <f t="shared" si="115"/>
        <v>0</v>
      </c>
      <c r="W165" s="94">
        <f t="shared" si="103"/>
        <v>0</v>
      </c>
      <c r="X165" s="94">
        <f t="shared" si="104"/>
        <v>0</v>
      </c>
      <c r="Y165" s="94">
        <f t="shared" si="105"/>
        <v>0</v>
      </c>
      <c r="Z165" s="94">
        <f t="shared" si="106"/>
        <v>0</v>
      </c>
      <c r="AA165" s="94">
        <f t="shared" si="107"/>
        <v>0</v>
      </c>
      <c r="AB165" s="94">
        <f t="shared" si="108"/>
        <v>0</v>
      </c>
      <c r="AC165" s="94">
        <f t="shared" si="109"/>
        <v>0</v>
      </c>
      <c r="AD165" s="94">
        <f t="shared" si="110"/>
        <v>0</v>
      </c>
      <c r="AE165" s="94">
        <f t="shared" si="111"/>
        <v>0</v>
      </c>
      <c r="AF165" s="94">
        <f t="shared" si="112"/>
        <v>0</v>
      </c>
      <c r="AG165" s="94">
        <f t="shared" si="113"/>
        <v>0</v>
      </c>
      <c r="AH165" s="94">
        <f t="shared" si="114"/>
        <v>0</v>
      </c>
    </row>
    <row r="166" spans="1:34" outlineLevel="1" x14ac:dyDescent="0.2">
      <c r="A166" s="943">
        <f t="shared" si="100"/>
        <v>0</v>
      </c>
      <c r="B166" s="944">
        <f t="shared" si="100"/>
        <v>0</v>
      </c>
      <c r="C166" s="944"/>
      <c r="D166" s="953">
        <f>Auftragsplanung!J7</f>
        <v>0</v>
      </c>
      <c r="E166" s="954">
        <f t="shared" si="101"/>
        <v>0</v>
      </c>
      <c r="U166" s="94">
        <f t="shared" si="102"/>
        <v>0</v>
      </c>
      <c r="V166" s="95">
        <f t="shared" si="115"/>
        <v>0</v>
      </c>
      <c r="W166" s="94">
        <f t="shared" si="103"/>
        <v>0</v>
      </c>
      <c r="X166" s="94">
        <f t="shared" si="104"/>
        <v>0</v>
      </c>
      <c r="Y166" s="94">
        <f t="shared" si="105"/>
        <v>0</v>
      </c>
      <c r="Z166" s="94">
        <f t="shared" si="106"/>
        <v>0</v>
      </c>
      <c r="AA166" s="94">
        <f t="shared" si="107"/>
        <v>0</v>
      </c>
      <c r="AB166" s="94">
        <f t="shared" si="108"/>
        <v>0</v>
      </c>
      <c r="AC166" s="94">
        <f t="shared" si="109"/>
        <v>0</v>
      </c>
      <c r="AD166" s="94">
        <f t="shared" si="110"/>
        <v>0</v>
      </c>
      <c r="AE166" s="94">
        <f t="shared" si="111"/>
        <v>0</v>
      </c>
      <c r="AF166" s="94">
        <f t="shared" si="112"/>
        <v>0</v>
      </c>
      <c r="AG166" s="94">
        <f t="shared" si="113"/>
        <v>0</v>
      </c>
      <c r="AH166" s="94">
        <f t="shared" si="114"/>
        <v>0</v>
      </c>
    </row>
    <row r="167" spans="1:34" outlineLevel="1" x14ac:dyDescent="0.2">
      <c r="A167" s="943">
        <f t="shared" si="100"/>
        <v>0</v>
      </c>
      <c r="B167" s="944">
        <f t="shared" si="100"/>
        <v>0</v>
      </c>
      <c r="C167" s="944"/>
      <c r="D167" s="953">
        <f>Auftragsplanung!K7</f>
        <v>0</v>
      </c>
      <c r="E167" s="954">
        <f t="shared" si="101"/>
        <v>0</v>
      </c>
      <c r="U167" s="94">
        <f t="shared" si="102"/>
        <v>0</v>
      </c>
      <c r="V167" s="95">
        <f t="shared" si="115"/>
        <v>0</v>
      </c>
      <c r="W167" s="94">
        <f t="shared" si="103"/>
        <v>0</v>
      </c>
      <c r="X167" s="94">
        <f t="shared" si="104"/>
        <v>0</v>
      </c>
      <c r="Y167" s="94">
        <f t="shared" si="105"/>
        <v>0</v>
      </c>
      <c r="Z167" s="94">
        <f t="shared" si="106"/>
        <v>0</v>
      </c>
      <c r="AA167" s="94">
        <f t="shared" si="107"/>
        <v>0</v>
      </c>
      <c r="AB167" s="94">
        <f t="shared" si="108"/>
        <v>0</v>
      </c>
      <c r="AC167" s="94">
        <f t="shared" si="109"/>
        <v>0</v>
      </c>
      <c r="AD167" s="94">
        <f t="shared" si="110"/>
        <v>0</v>
      </c>
      <c r="AE167" s="94">
        <f t="shared" si="111"/>
        <v>0</v>
      </c>
      <c r="AF167" s="94">
        <f t="shared" si="112"/>
        <v>0</v>
      </c>
      <c r="AG167" s="94">
        <f t="shared" si="113"/>
        <v>0</v>
      </c>
      <c r="AH167" s="94">
        <f t="shared" si="114"/>
        <v>0</v>
      </c>
    </row>
    <row r="168" spans="1:34" outlineLevel="1" x14ac:dyDescent="0.2">
      <c r="A168" s="943">
        <f t="shared" si="100"/>
        <v>0</v>
      </c>
      <c r="B168" s="944">
        <f t="shared" si="100"/>
        <v>0</v>
      </c>
      <c r="C168" s="944"/>
      <c r="D168" s="953">
        <f>Auftragsplanung!L7</f>
        <v>0</v>
      </c>
      <c r="E168" s="954">
        <f t="shared" si="101"/>
        <v>0</v>
      </c>
      <c r="U168" s="94">
        <f t="shared" si="102"/>
        <v>0</v>
      </c>
      <c r="V168" s="95">
        <f t="shared" si="115"/>
        <v>0</v>
      </c>
      <c r="W168" s="94">
        <f t="shared" si="103"/>
        <v>0</v>
      </c>
      <c r="X168" s="94">
        <f t="shared" si="104"/>
        <v>0</v>
      </c>
      <c r="Y168" s="94">
        <f t="shared" si="105"/>
        <v>0</v>
      </c>
      <c r="Z168" s="94">
        <f t="shared" si="106"/>
        <v>0</v>
      </c>
      <c r="AA168" s="94">
        <f t="shared" si="107"/>
        <v>0</v>
      </c>
      <c r="AB168" s="94">
        <f t="shared" si="108"/>
        <v>0</v>
      </c>
      <c r="AC168" s="94">
        <f t="shared" si="109"/>
        <v>0</v>
      </c>
      <c r="AD168" s="94">
        <f t="shared" si="110"/>
        <v>0</v>
      </c>
      <c r="AE168" s="94">
        <f t="shared" si="111"/>
        <v>0</v>
      </c>
      <c r="AF168" s="94">
        <f t="shared" si="112"/>
        <v>0</v>
      </c>
      <c r="AG168" s="94">
        <f t="shared" si="113"/>
        <v>0</v>
      </c>
      <c r="AH168" s="94">
        <f t="shared" si="114"/>
        <v>0</v>
      </c>
    </row>
    <row r="169" spans="1:34" outlineLevel="1" x14ac:dyDescent="0.2">
      <c r="A169" s="943">
        <f t="shared" si="100"/>
        <v>0</v>
      </c>
      <c r="B169" s="944">
        <f t="shared" si="100"/>
        <v>0</v>
      </c>
      <c r="C169" s="944"/>
      <c r="D169" s="953">
        <f>Auftragsplanung!M7</f>
        <v>0</v>
      </c>
      <c r="E169" s="954">
        <f t="shared" si="101"/>
        <v>0</v>
      </c>
      <c r="U169" s="94">
        <f t="shared" si="102"/>
        <v>0</v>
      </c>
      <c r="V169" s="95">
        <f t="shared" si="115"/>
        <v>0</v>
      </c>
      <c r="W169" s="94">
        <f t="shared" si="103"/>
        <v>0</v>
      </c>
      <c r="X169" s="94">
        <f t="shared" si="104"/>
        <v>0</v>
      </c>
      <c r="Y169" s="94">
        <f t="shared" si="105"/>
        <v>0</v>
      </c>
      <c r="Z169" s="94">
        <f t="shared" si="106"/>
        <v>0</v>
      </c>
      <c r="AA169" s="94">
        <f t="shared" si="107"/>
        <v>0</v>
      </c>
      <c r="AB169" s="94">
        <f t="shared" si="108"/>
        <v>0</v>
      </c>
      <c r="AC169" s="94">
        <f t="shared" si="109"/>
        <v>0</v>
      </c>
      <c r="AD169" s="94">
        <f t="shared" si="110"/>
        <v>0</v>
      </c>
      <c r="AE169" s="94">
        <f t="shared" si="111"/>
        <v>0</v>
      </c>
      <c r="AF169" s="94">
        <f t="shared" si="112"/>
        <v>0</v>
      </c>
      <c r="AG169" s="94">
        <f t="shared" si="113"/>
        <v>0</v>
      </c>
      <c r="AH169" s="94">
        <f t="shared" si="114"/>
        <v>0</v>
      </c>
    </row>
    <row r="170" spans="1:34" outlineLevel="1" x14ac:dyDescent="0.2">
      <c r="A170" s="943">
        <f t="shared" si="100"/>
        <v>0</v>
      </c>
      <c r="B170" s="944">
        <f t="shared" si="100"/>
        <v>0</v>
      </c>
      <c r="C170" s="944"/>
      <c r="D170" s="953">
        <f>Auftragsplanung!N7</f>
        <v>0</v>
      </c>
      <c r="E170" s="954">
        <f t="shared" si="101"/>
        <v>0</v>
      </c>
      <c r="U170" s="94">
        <f t="shared" si="102"/>
        <v>0</v>
      </c>
      <c r="V170" s="95">
        <f t="shared" si="115"/>
        <v>0</v>
      </c>
      <c r="W170" s="94">
        <f t="shared" si="103"/>
        <v>0</v>
      </c>
      <c r="X170" s="94">
        <f t="shared" si="104"/>
        <v>0</v>
      </c>
      <c r="Y170" s="94">
        <f t="shared" si="105"/>
        <v>0</v>
      </c>
      <c r="Z170" s="94">
        <f t="shared" si="106"/>
        <v>0</v>
      </c>
      <c r="AA170" s="94">
        <f t="shared" si="107"/>
        <v>0</v>
      </c>
      <c r="AB170" s="94">
        <f t="shared" si="108"/>
        <v>0</v>
      </c>
      <c r="AC170" s="94">
        <f t="shared" si="109"/>
        <v>0</v>
      </c>
      <c r="AD170" s="94">
        <f t="shared" si="110"/>
        <v>0</v>
      </c>
      <c r="AE170" s="94">
        <f t="shared" si="111"/>
        <v>0</v>
      </c>
      <c r="AF170" s="94">
        <f t="shared" si="112"/>
        <v>0</v>
      </c>
      <c r="AG170" s="94">
        <f t="shared" si="113"/>
        <v>0</v>
      </c>
      <c r="AH170" s="94">
        <f t="shared" si="114"/>
        <v>0</v>
      </c>
    </row>
    <row r="171" spans="1:34" outlineLevel="1" x14ac:dyDescent="0.2">
      <c r="A171" s="943">
        <f t="shared" si="100"/>
        <v>0</v>
      </c>
      <c r="B171" s="944">
        <f t="shared" si="100"/>
        <v>0</v>
      </c>
      <c r="C171" s="944"/>
      <c r="D171" s="953">
        <f>Auftragsplanung!O7</f>
        <v>0</v>
      </c>
      <c r="E171" s="954">
        <f t="shared" si="101"/>
        <v>0</v>
      </c>
      <c r="U171" s="94">
        <f t="shared" si="102"/>
        <v>0</v>
      </c>
      <c r="V171" s="95">
        <f t="shared" si="115"/>
        <v>0</v>
      </c>
      <c r="W171" s="94">
        <f t="shared" si="103"/>
        <v>0</v>
      </c>
      <c r="X171" s="94">
        <f t="shared" si="104"/>
        <v>0</v>
      </c>
      <c r="Y171" s="94">
        <f t="shared" si="105"/>
        <v>0</v>
      </c>
      <c r="Z171" s="94">
        <f t="shared" si="106"/>
        <v>0</v>
      </c>
      <c r="AA171" s="94">
        <f t="shared" si="107"/>
        <v>0</v>
      </c>
      <c r="AB171" s="94">
        <f t="shared" si="108"/>
        <v>0</v>
      </c>
      <c r="AC171" s="94">
        <f t="shared" si="109"/>
        <v>0</v>
      </c>
      <c r="AD171" s="94">
        <f t="shared" si="110"/>
        <v>0</v>
      </c>
      <c r="AE171" s="94">
        <f t="shared" si="111"/>
        <v>0</v>
      </c>
      <c r="AF171" s="94">
        <f t="shared" si="112"/>
        <v>0</v>
      </c>
      <c r="AG171" s="94">
        <f t="shared" si="113"/>
        <v>0</v>
      </c>
      <c r="AH171" s="94">
        <f t="shared" si="114"/>
        <v>0</v>
      </c>
    </row>
    <row r="172" spans="1:34" outlineLevel="1" x14ac:dyDescent="0.2">
      <c r="A172" s="943">
        <f t="shared" si="100"/>
        <v>0</v>
      </c>
      <c r="B172" s="944">
        <f t="shared" si="100"/>
        <v>0</v>
      </c>
      <c r="C172" s="944"/>
      <c r="D172" s="953">
        <f>Auftragsplanung!P7</f>
        <v>0</v>
      </c>
      <c r="E172" s="954">
        <f t="shared" si="101"/>
        <v>0</v>
      </c>
      <c r="U172" s="94">
        <f t="shared" si="102"/>
        <v>0</v>
      </c>
      <c r="V172" s="95">
        <f t="shared" si="115"/>
        <v>0</v>
      </c>
      <c r="W172" s="94">
        <f t="shared" si="103"/>
        <v>0</v>
      </c>
      <c r="X172" s="94">
        <f t="shared" si="104"/>
        <v>0</v>
      </c>
      <c r="Y172" s="94">
        <f t="shared" si="105"/>
        <v>0</v>
      </c>
      <c r="Z172" s="94">
        <f t="shared" si="106"/>
        <v>0</v>
      </c>
      <c r="AA172" s="94">
        <f t="shared" si="107"/>
        <v>0</v>
      </c>
      <c r="AB172" s="94">
        <f t="shared" si="108"/>
        <v>0</v>
      </c>
      <c r="AC172" s="94">
        <f t="shared" si="109"/>
        <v>0</v>
      </c>
      <c r="AD172" s="94">
        <f t="shared" si="110"/>
        <v>0</v>
      </c>
      <c r="AE172" s="94">
        <f t="shared" si="111"/>
        <v>0</v>
      </c>
      <c r="AF172" s="94">
        <f t="shared" si="112"/>
        <v>0</v>
      </c>
      <c r="AG172" s="94">
        <f t="shared" si="113"/>
        <v>0</v>
      </c>
      <c r="AH172" s="94">
        <f t="shared" si="114"/>
        <v>0</v>
      </c>
    </row>
    <row r="173" spans="1:34" outlineLevel="1" x14ac:dyDescent="0.2">
      <c r="A173" s="943">
        <f t="shared" si="100"/>
        <v>0</v>
      </c>
      <c r="B173" s="944">
        <f t="shared" si="100"/>
        <v>0</v>
      </c>
      <c r="C173" s="944"/>
      <c r="D173" s="953">
        <f>Auftragsplanung!Q7</f>
        <v>0</v>
      </c>
      <c r="E173" s="954">
        <f t="shared" si="101"/>
        <v>0</v>
      </c>
      <c r="U173" s="94">
        <f t="shared" si="102"/>
        <v>0</v>
      </c>
      <c r="V173" s="95">
        <f t="shared" si="115"/>
        <v>0</v>
      </c>
      <c r="W173" s="94">
        <f t="shared" si="103"/>
        <v>0</v>
      </c>
      <c r="X173" s="94">
        <f t="shared" si="104"/>
        <v>0</v>
      </c>
      <c r="Y173" s="94">
        <f t="shared" si="105"/>
        <v>0</v>
      </c>
      <c r="Z173" s="94">
        <f t="shared" si="106"/>
        <v>0</v>
      </c>
      <c r="AA173" s="94">
        <f t="shared" si="107"/>
        <v>0</v>
      </c>
      <c r="AB173" s="94">
        <f t="shared" si="108"/>
        <v>0</v>
      </c>
      <c r="AC173" s="94">
        <f t="shared" si="109"/>
        <v>0</v>
      </c>
      <c r="AD173" s="94">
        <f t="shared" si="110"/>
        <v>0</v>
      </c>
      <c r="AE173" s="94">
        <f t="shared" si="111"/>
        <v>0</v>
      </c>
      <c r="AF173" s="94">
        <f t="shared" si="112"/>
        <v>0</v>
      </c>
      <c r="AG173" s="94">
        <f t="shared" si="113"/>
        <v>0</v>
      </c>
      <c r="AH173" s="94">
        <f t="shared" si="114"/>
        <v>0</v>
      </c>
    </row>
    <row r="174" spans="1:34" outlineLevel="1" x14ac:dyDescent="0.2">
      <c r="B174" s="932"/>
      <c r="C174" s="932"/>
      <c r="D174" s="937"/>
      <c r="E174" s="938"/>
      <c r="U174" s="94"/>
      <c r="V174" s="95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</row>
    <row r="175" spans="1:34" outlineLevel="1" x14ac:dyDescent="0.2">
      <c r="B175" s="932"/>
      <c r="C175" s="932"/>
      <c r="D175" s="937"/>
      <c r="E175" s="938"/>
      <c r="U175" s="94">
        <f>Auftragsplanung!S7</f>
        <v>3000</v>
      </c>
      <c r="V175" s="95">
        <f t="shared" si="115"/>
        <v>0</v>
      </c>
      <c r="W175" s="94">
        <f t="shared" ref="W175:AH175" si="116">IF($U175=0,0,$U175*G$152)</f>
        <v>180</v>
      </c>
      <c r="X175" s="94">
        <f t="shared" si="116"/>
        <v>240</v>
      </c>
      <c r="Y175" s="94">
        <f t="shared" si="116"/>
        <v>300</v>
      </c>
      <c r="Z175" s="94">
        <f t="shared" si="116"/>
        <v>210.00000000000003</v>
      </c>
      <c r="AA175" s="94">
        <f t="shared" si="116"/>
        <v>240</v>
      </c>
      <c r="AB175" s="94">
        <f t="shared" si="116"/>
        <v>240</v>
      </c>
      <c r="AC175" s="94">
        <f t="shared" si="116"/>
        <v>240</v>
      </c>
      <c r="AD175" s="94">
        <f t="shared" si="116"/>
        <v>210.00000000000003</v>
      </c>
      <c r="AE175" s="94">
        <f t="shared" si="116"/>
        <v>300</v>
      </c>
      <c r="AF175" s="94">
        <f t="shared" si="116"/>
        <v>300</v>
      </c>
      <c r="AG175" s="94">
        <f t="shared" si="116"/>
        <v>270</v>
      </c>
      <c r="AH175" s="94">
        <f t="shared" si="116"/>
        <v>270</v>
      </c>
    </row>
    <row r="176" spans="1:34" outlineLevel="1" x14ac:dyDescent="0.2">
      <c r="A176" s="93" t="s">
        <v>949</v>
      </c>
      <c r="B176" s="93"/>
      <c r="C176" s="93"/>
      <c r="U176" s="94">
        <f>SUM(U160:U173)</f>
        <v>3000</v>
      </c>
      <c r="V176" s="95">
        <f t="shared" si="115"/>
        <v>0</v>
      </c>
      <c r="W176" s="94">
        <f>IF(SUM($W$160:$AH$173)=0,W175,SUM(W160:W173))</f>
        <v>180</v>
      </c>
      <c r="X176" s="94">
        <f t="shared" ref="X176:AH176" si="117">IF(SUM($W$160:$AH$173)=0,X175,SUM(X160:X173))</f>
        <v>240</v>
      </c>
      <c r="Y176" s="94">
        <f t="shared" si="117"/>
        <v>300</v>
      </c>
      <c r="Z176" s="94">
        <f t="shared" si="117"/>
        <v>210.00000000000003</v>
      </c>
      <c r="AA176" s="94">
        <f t="shared" si="117"/>
        <v>240</v>
      </c>
      <c r="AB176" s="94">
        <f t="shared" si="117"/>
        <v>240</v>
      </c>
      <c r="AC176" s="94">
        <f t="shared" si="117"/>
        <v>240</v>
      </c>
      <c r="AD176" s="94">
        <f t="shared" si="117"/>
        <v>210.00000000000003</v>
      </c>
      <c r="AE176" s="94">
        <f t="shared" si="117"/>
        <v>300</v>
      </c>
      <c r="AF176" s="94">
        <f t="shared" si="117"/>
        <v>300</v>
      </c>
      <c r="AG176" s="94">
        <f t="shared" si="117"/>
        <v>270</v>
      </c>
      <c r="AH176" s="94">
        <f t="shared" si="117"/>
        <v>270</v>
      </c>
    </row>
    <row r="177" spans="1:34" outlineLevel="1" x14ac:dyDescent="0.2"/>
    <row r="178" spans="1:34" outlineLevel="1" x14ac:dyDescent="0.2"/>
    <row r="179" spans="1:34" outlineLevel="1" x14ac:dyDescent="0.2"/>
    <row r="180" spans="1:34" outlineLevel="1" x14ac:dyDescent="0.2">
      <c r="A180" s="948" t="s">
        <v>940</v>
      </c>
      <c r="B180" s="949" t="s">
        <v>941</v>
      </c>
      <c r="C180" s="949"/>
      <c r="D180" s="949" t="s">
        <v>686</v>
      </c>
      <c r="E180" s="944"/>
    </row>
    <row r="181" spans="1:34" outlineLevel="1" x14ac:dyDescent="0.2">
      <c r="A181" s="943" t="str">
        <f t="shared" ref="A181:B194" si="118">A160</f>
        <v>Profit Center</v>
      </c>
      <c r="B181" s="944" t="str">
        <f t="shared" si="118"/>
        <v>Gesamt</v>
      </c>
      <c r="C181" s="944"/>
      <c r="D181" s="953">
        <f>Auftragsplanung!D10</f>
        <v>400</v>
      </c>
      <c r="E181" s="954">
        <f t="shared" ref="E181:E194" si="119">E160</f>
        <v>1</v>
      </c>
      <c r="U181" s="94">
        <f t="shared" ref="U181:U194" si="120">E181*D181</f>
        <v>400</v>
      </c>
      <c r="V181" s="95" t="str">
        <f>IF(ROUND(SUM(W181:AH181)-U181,2)=0,0,"bitte prüfen!")</f>
        <v>bitte prüfen!</v>
      </c>
      <c r="W181" s="94">
        <f t="shared" ref="W181:AH187" si="121">IF($E181=0,0,$U181/$E181*G137)</f>
        <v>0</v>
      </c>
      <c r="X181" s="94">
        <f t="shared" si="121"/>
        <v>0</v>
      </c>
      <c r="Y181" s="94">
        <f t="shared" si="121"/>
        <v>0</v>
      </c>
      <c r="Z181" s="94">
        <f t="shared" si="121"/>
        <v>0</v>
      </c>
      <c r="AA181" s="94">
        <f t="shared" si="121"/>
        <v>0</v>
      </c>
      <c r="AB181" s="94">
        <f t="shared" si="121"/>
        <v>0</v>
      </c>
      <c r="AC181" s="94">
        <f t="shared" si="121"/>
        <v>0</v>
      </c>
      <c r="AD181" s="94">
        <f t="shared" si="121"/>
        <v>0</v>
      </c>
      <c r="AE181" s="94">
        <f t="shared" si="121"/>
        <v>0</v>
      </c>
      <c r="AF181" s="94">
        <f t="shared" si="121"/>
        <v>0</v>
      </c>
      <c r="AG181" s="94">
        <f t="shared" si="121"/>
        <v>0</v>
      </c>
      <c r="AH181" s="94">
        <f t="shared" si="121"/>
        <v>0</v>
      </c>
    </row>
    <row r="182" spans="1:34" outlineLevel="1" x14ac:dyDescent="0.2">
      <c r="A182" s="943" t="str">
        <f t="shared" si="118"/>
        <v>Profit Center</v>
      </c>
      <c r="B182" s="944">
        <f t="shared" si="118"/>
        <v>0</v>
      </c>
      <c r="C182" s="944"/>
      <c r="D182" s="953">
        <f>Auftragsplanung!E10</f>
        <v>0</v>
      </c>
      <c r="E182" s="954">
        <f t="shared" si="119"/>
        <v>1</v>
      </c>
      <c r="U182" s="94">
        <f t="shared" si="120"/>
        <v>0</v>
      </c>
      <c r="V182" s="95">
        <f t="shared" ref="V182:V197" si="122">IF(ROUND(SUM(W182:AH182)-U182,2)=0,0,"bitte prüfen!")</f>
        <v>0</v>
      </c>
      <c r="W182" s="94">
        <f t="shared" si="121"/>
        <v>0</v>
      </c>
      <c r="X182" s="94">
        <f t="shared" si="121"/>
        <v>0</v>
      </c>
      <c r="Y182" s="94">
        <f t="shared" si="121"/>
        <v>0</v>
      </c>
      <c r="Z182" s="94">
        <f t="shared" si="121"/>
        <v>0</v>
      </c>
      <c r="AA182" s="94">
        <f t="shared" si="121"/>
        <v>0</v>
      </c>
      <c r="AB182" s="94">
        <f t="shared" si="121"/>
        <v>0</v>
      </c>
      <c r="AC182" s="94">
        <f t="shared" si="121"/>
        <v>0</v>
      </c>
      <c r="AD182" s="94">
        <f t="shared" si="121"/>
        <v>0</v>
      </c>
      <c r="AE182" s="94">
        <f t="shared" si="121"/>
        <v>0</v>
      </c>
      <c r="AF182" s="94">
        <f t="shared" si="121"/>
        <v>0</v>
      </c>
      <c r="AG182" s="94">
        <f t="shared" si="121"/>
        <v>0</v>
      </c>
      <c r="AH182" s="94">
        <f t="shared" si="121"/>
        <v>0</v>
      </c>
    </row>
    <row r="183" spans="1:34" outlineLevel="1" x14ac:dyDescent="0.2">
      <c r="A183" s="943">
        <f t="shared" si="118"/>
        <v>0</v>
      </c>
      <c r="B183" s="944">
        <f t="shared" si="118"/>
        <v>0</v>
      </c>
      <c r="C183" s="944"/>
      <c r="D183" s="953">
        <f>Auftragsplanung!F10</f>
        <v>0</v>
      </c>
      <c r="E183" s="954">
        <f t="shared" si="119"/>
        <v>0</v>
      </c>
      <c r="U183" s="94">
        <f t="shared" si="120"/>
        <v>0</v>
      </c>
      <c r="V183" s="95">
        <f t="shared" si="122"/>
        <v>0</v>
      </c>
      <c r="W183" s="94">
        <f t="shared" si="121"/>
        <v>0</v>
      </c>
      <c r="X183" s="94">
        <f t="shared" si="121"/>
        <v>0</v>
      </c>
      <c r="Y183" s="94">
        <f t="shared" si="121"/>
        <v>0</v>
      </c>
      <c r="Z183" s="94">
        <f t="shared" si="121"/>
        <v>0</v>
      </c>
      <c r="AA183" s="94">
        <f t="shared" si="121"/>
        <v>0</v>
      </c>
      <c r="AB183" s="94">
        <f t="shared" si="121"/>
        <v>0</v>
      </c>
      <c r="AC183" s="94">
        <f t="shared" si="121"/>
        <v>0</v>
      </c>
      <c r="AD183" s="94">
        <f t="shared" si="121"/>
        <v>0</v>
      </c>
      <c r="AE183" s="94">
        <f t="shared" si="121"/>
        <v>0</v>
      </c>
      <c r="AF183" s="94">
        <f t="shared" si="121"/>
        <v>0</v>
      </c>
      <c r="AG183" s="94">
        <f t="shared" si="121"/>
        <v>0</v>
      </c>
      <c r="AH183" s="94">
        <f t="shared" si="121"/>
        <v>0</v>
      </c>
    </row>
    <row r="184" spans="1:34" outlineLevel="1" x14ac:dyDescent="0.2">
      <c r="A184" s="943">
        <f t="shared" si="118"/>
        <v>0</v>
      </c>
      <c r="B184" s="944">
        <f t="shared" si="118"/>
        <v>0</v>
      </c>
      <c r="C184" s="944"/>
      <c r="D184" s="953">
        <f>Auftragsplanung!G10</f>
        <v>0</v>
      </c>
      <c r="E184" s="954">
        <f t="shared" si="119"/>
        <v>0</v>
      </c>
      <c r="U184" s="94">
        <f t="shared" si="120"/>
        <v>0</v>
      </c>
      <c r="V184" s="95">
        <f t="shared" si="122"/>
        <v>0</v>
      </c>
      <c r="W184" s="94">
        <f t="shared" si="121"/>
        <v>0</v>
      </c>
      <c r="X184" s="94">
        <f t="shared" si="121"/>
        <v>0</v>
      </c>
      <c r="Y184" s="94">
        <f t="shared" si="121"/>
        <v>0</v>
      </c>
      <c r="Z184" s="94">
        <f t="shared" si="121"/>
        <v>0</v>
      </c>
      <c r="AA184" s="94">
        <f t="shared" si="121"/>
        <v>0</v>
      </c>
      <c r="AB184" s="94">
        <f t="shared" si="121"/>
        <v>0</v>
      </c>
      <c r="AC184" s="94">
        <f t="shared" si="121"/>
        <v>0</v>
      </c>
      <c r="AD184" s="94">
        <f t="shared" si="121"/>
        <v>0</v>
      </c>
      <c r="AE184" s="94">
        <f t="shared" si="121"/>
        <v>0</v>
      </c>
      <c r="AF184" s="94">
        <f t="shared" si="121"/>
        <v>0</v>
      </c>
      <c r="AG184" s="94">
        <f t="shared" si="121"/>
        <v>0</v>
      </c>
      <c r="AH184" s="94">
        <f t="shared" si="121"/>
        <v>0</v>
      </c>
    </row>
    <row r="185" spans="1:34" outlineLevel="1" x14ac:dyDescent="0.2">
      <c r="A185" s="943">
        <f t="shared" si="118"/>
        <v>0</v>
      </c>
      <c r="B185" s="944">
        <f t="shared" si="118"/>
        <v>0</v>
      </c>
      <c r="C185" s="944"/>
      <c r="D185" s="953">
        <f>Auftragsplanung!H10</f>
        <v>0</v>
      </c>
      <c r="E185" s="954">
        <f t="shared" si="119"/>
        <v>0</v>
      </c>
      <c r="U185" s="94">
        <f t="shared" si="120"/>
        <v>0</v>
      </c>
      <c r="V185" s="95">
        <f t="shared" si="122"/>
        <v>0</v>
      </c>
      <c r="W185" s="94">
        <f t="shared" si="121"/>
        <v>0</v>
      </c>
      <c r="X185" s="94">
        <f t="shared" si="121"/>
        <v>0</v>
      </c>
      <c r="Y185" s="94">
        <f t="shared" si="121"/>
        <v>0</v>
      </c>
      <c r="Z185" s="94">
        <f t="shared" si="121"/>
        <v>0</v>
      </c>
      <c r="AA185" s="94">
        <f t="shared" si="121"/>
        <v>0</v>
      </c>
      <c r="AB185" s="94">
        <f t="shared" si="121"/>
        <v>0</v>
      </c>
      <c r="AC185" s="94">
        <f t="shared" si="121"/>
        <v>0</v>
      </c>
      <c r="AD185" s="94">
        <f t="shared" si="121"/>
        <v>0</v>
      </c>
      <c r="AE185" s="94">
        <f t="shared" si="121"/>
        <v>0</v>
      </c>
      <c r="AF185" s="94">
        <f t="shared" si="121"/>
        <v>0</v>
      </c>
      <c r="AG185" s="94">
        <f t="shared" si="121"/>
        <v>0</v>
      </c>
      <c r="AH185" s="94">
        <f t="shared" si="121"/>
        <v>0</v>
      </c>
    </row>
    <row r="186" spans="1:34" outlineLevel="1" x14ac:dyDescent="0.2">
      <c r="A186" s="943">
        <f t="shared" si="118"/>
        <v>0</v>
      </c>
      <c r="B186" s="944">
        <f t="shared" si="118"/>
        <v>0</v>
      </c>
      <c r="C186" s="944"/>
      <c r="D186" s="953">
        <f>Auftragsplanung!I10</f>
        <v>0</v>
      </c>
      <c r="E186" s="954">
        <f t="shared" si="119"/>
        <v>0</v>
      </c>
      <c r="U186" s="94">
        <f t="shared" si="120"/>
        <v>0</v>
      </c>
      <c r="V186" s="95">
        <f t="shared" si="122"/>
        <v>0</v>
      </c>
      <c r="W186" s="94">
        <f t="shared" si="121"/>
        <v>0</v>
      </c>
      <c r="X186" s="94">
        <f t="shared" si="121"/>
        <v>0</v>
      </c>
      <c r="Y186" s="94">
        <f t="shared" si="121"/>
        <v>0</v>
      </c>
      <c r="Z186" s="94">
        <f t="shared" si="121"/>
        <v>0</v>
      </c>
      <c r="AA186" s="94">
        <f t="shared" si="121"/>
        <v>0</v>
      </c>
      <c r="AB186" s="94">
        <f t="shared" si="121"/>
        <v>0</v>
      </c>
      <c r="AC186" s="94">
        <f t="shared" si="121"/>
        <v>0</v>
      </c>
      <c r="AD186" s="94">
        <f t="shared" si="121"/>
        <v>0</v>
      </c>
      <c r="AE186" s="94">
        <f t="shared" si="121"/>
        <v>0</v>
      </c>
      <c r="AF186" s="94">
        <f t="shared" si="121"/>
        <v>0</v>
      </c>
      <c r="AG186" s="94">
        <f t="shared" si="121"/>
        <v>0</v>
      </c>
      <c r="AH186" s="94">
        <f t="shared" si="121"/>
        <v>0</v>
      </c>
    </row>
    <row r="187" spans="1:34" outlineLevel="1" x14ac:dyDescent="0.2">
      <c r="A187" s="943">
        <f t="shared" si="118"/>
        <v>0</v>
      </c>
      <c r="B187" s="944">
        <f t="shared" si="118"/>
        <v>0</v>
      </c>
      <c r="C187" s="944"/>
      <c r="D187" s="953">
        <f>Auftragsplanung!J10</f>
        <v>0</v>
      </c>
      <c r="E187" s="954">
        <f t="shared" si="119"/>
        <v>0</v>
      </c>
      <c r="U187" s="94">
        <f t="shared" si="120"/>
        <v>0</v>
      </c>
      <c r="V187" s="95">
        <f t="shared" si="122"/>
        <v>0</v>
      </c>
      <c r="W187" s="94">
        <f t="shared" si="121"/>
        <v>0</v>
      </c>
      <c r="X187" s="94">
        <f t="shared" si="121"/>
        <v>0</v>
      </c>
      <c r="Y187" s="94">
        <f t="shared" si="121"/>
        <v>0</v>
      </c>
      <c r="Z187" s="94">
        <f t="shared" si="121"/>
        <v>0</v>
      </c>
      <c r="AA187" s="94">
        <f t="shared" si="121"/>
        <v>0</v>
      </c>
      <c r="AB187" s="94">
        <f t="shared" si="121"/>
        <v>0</v>
      </c>
      <c r="AC187" s="94">
        <f t="shared" si="121"/>
        <v>0</v>
      </c>
      <c r="AD187" s="94">
        <f t="shared" si="121"/>
        <v>0</v>
      </c>
      <c r="AE187" s="94">
        <f t="shared" si="121"/>
        <v>0</v>
      </c>
      <c r="AF187" s="94">
        <f t="shared" si="121"/>
        <v>0</v>
      </c>
      <c r="AG187" s="94">
        <f t="shared" si="121"/>
        <v>0</v>
      </c>
      <c r="AH187" s="94">
        <f t="shared" si="121"/>
        <v>0</v>
      </c>
    </row>
    <row r="188" spans="1:34" outlineLevel="1" x14ac:dyDescent="0.2">
      <c r="A188" s="943">
        <f t="shared" si="118"/>
        <v>0</v>
      </c>
      <c r="B188" s="944">
        <f t="shared" si="118"/>
        <v>0</v>
      </c>
      <c r="C188" s="944"/>
      <c r="D188" s="953">
        <f>Auftragsplanung!K10</f>
        <v>0</v>
      </c>
      <c r="E188" s="954">
        <f t="shared" si="119"/>
        <v>0</v>
      </c>
      <c r="U188" s="94">
        <f t="shared" si="120"/>
        <v>0</v>
      </c>
      <c r="V188" s="95">
        <f t="shared" si="122"/>
        <v>0</v>
      </c>
      <c r="W188" s="94">
        <f t="shared" ref="W188:AH188" si="123">IF($E188=0,0,$U188/$E188*G144)</f>
        <v>0</v>
      </c>
      <c r="X188" s="94">
        <f t="shared" si="123"/>
        <v>0</v>
      </c>
      <c r="Y188" s="94">
        <f t="shared" si="123"/>
        <v>0</v>
      </c>
      <c r="Z188" s="94">
        <f t="shared" si="123"/>
        <v>0</v>
      </c>
      <c r="AA188" s="94">
        <f t="shared" si="123"/>
        <v>0</v>
      </c>
      <c r="AB188" s="94">
        <f t="shared" si="123"/>
        <v>0</v>
      </c>
      <c r="AC188" s="94">
        <f t="shared" si="123"/>
        <v>0</v>
      </c>
      <c r="AD188" s="94">
        <f t="shared" si="123"/>
        <v>0</v>
      </c>
      <c r="AE188" s="94">
        <f t="shared" si="123"/>
        <v>0</v>
      </c>
      <c r="AF188" s="94">
        <f t="shared" si="123"/>
        <v>0</v>
      </c>
      <c r="AG188" s="94">
        <f t="shared" si="123"/>
        <v>0</v>
      </c>
      <c r="AH188" s="94">
        <f t="shared" si="123"/>
        <v>0</v>
      </c>
    </row>
    <row r="189" spans="1:34" outlineLevel="1" x14ac:dyDescent="0.2">
      <c r="A189" s="943">
        <f t="shared" si="118"/>
        <v>0</v>
      </c>
      <c r="B189" s="944">
        <f t="shared" si="118"/>
        <v>0</v>
      </c>
      <c r="C189" s="944"/>
      <c r="D189" s="953">
        <f>Auftragsplanung!L10</f>
        <v>0</v>
      </c>
      <c r="E189" s="954">
        <f t="shared" si="119"/>
        <v>0</v>
      </c>
      <c r="U189" s="94">
        <f t="shared" si="120"/>
        <v>0</v>
      </c>
      <c r="V189" s="95">
        <f t="shared" si="122"/>
        <v>0</v>
      </c>
      <c r="W189" s="94">
        <f t="shared" ref="W189:AH194" si="124">IF($E189=0,0,$U189/$E189*G145)</f>
        <v>0</v>
      </c>
      <c r="X189" s="94">
        <f t="shared" si="124"/>
        <v>0</v>
      </c>
      <c r="Y189" s="94">
        <f t="shared" si="124"/>
        <v>0</v>
      </c>
      <c r="Z189" s="94">
        <f t="shared" si="124"/>
        <v>0</v>
      </c>
      <c r="AA189" s="94">
        <f t="shared" si="124"/>
        <v>0</v>
      </c>
      <c r="AB189" s="94">
        <f t="shared" si="124"/>
        <v>0</v>
      </c>
      <c r="AC189" s="94">
        <f t="shared" si="124"/>
        <v>0</v>
      </c>
      <c r="AD189" s="94">
        <f t="shared" si="124"/>
        <v>0</v>
      </c>
      <c r="AE189" s="94">
        <f t="shared" si="124"/>
        <v>0</v>
      </c>
      <c r="AF189" s="94">
        <f t="shared" si="124"/>
        <v>0</v>
      </c>
      <c r="AG189" s="94">
        <f t="shared" si="124"/>
        <v>0</v>
      </c>
      <c r="AH189" s="94">
        <f t="shared" si="124"/>
        <v>0</v>
      </c>
    </row>
    <row r="190" spans="1:34" outlineLevel="1" x14ac:dyDescent="0.2">
      <c r="A190" s="943">
        <f t="shared" si="118"/>
        <v>0</v>
      </c>
      <c r="B190" s="944">
        <f t="shared" si="118"/>
        <v>0</v>
      </c>
      <c r="C190" s="944"/>
      <c r="D190" s="953">
        <f>Auftragsplanung!M10</f>
        <v>0</v>
      </c>
      <c r="E190" s="954">
        <f t="shared" si="119"/>
        <v>0</v>
      </c>
      <c r="U190" s="94">
        <f t="shared" si="120"/>
        <v>0</v>
      </c>
      <c r="V190" s="95">
        <f t="shared" si="122"/>
        <v>0</v>
      </c>
      <c r="W190" s="94">
        <f t="shared" si="124"/>
        <v>0</v>
      </c>
      <c r="X190" s="94">
        <f t="shared" si="124"/>
        <v>0</v>
      </c>
      <c r="Y190" s="94">
        <f t="shared" si="124"/>
        <v>0</v>
      </c>
      <c r="Z190" s="94">
        <f t="shared" si="124"/>
        <v>0</v>
      </c>
      <c r="AA190" s="94">
        <f t="shared" si="124"/>
        <v>0</v>
      </c>
      <c r="AB190" s="94">
        <f t="shared" si="124"/>
        <v>0</v>
      </c>
      <c r="AC190" s="94">
        <f t="shared" si="124"/>
        <v>0</v>
      </c>
      <c r="AD190" s="94">
        <f t="shared" si="124"/>
        <v>0</v>
      </c>
      <c r="AE190" s="94">
        <f t="shared" si="124"/>
        <v>0</v>
      </c>
      <c r="AF190" s="94">
        <f t="shared" si="124"/>
        <v>0</v>
      </c>
      <c r="AG190" s="94">
        <f t="shared" si="124"/>
        <v>0</v>
      </c>
      <c r="AH190" s="94">
        <f t="shared" si="124"/>
        <v>0</v>
      </c>
    </row>
    <row r="191" spans="1:34" outlineLevel="1" x14ac:dyDescent="0.2">
      <c r="A191" s="943">
        <f t="shared" si="118"/>
        <v>0</v>
      </c>
      <c r="B191" s="944">
        <f t="shared" si="118"/>
        <v>0</v>
      </c>
      <c r="C191" s="944"/>
      <c r="D191" s="953">
        <f>Auftragsplanung!N10</f>
        <v>0</v>
      </c>
      <c r="E191" s="954">
        <f t="shared" si="119"/>
        <v>0</v>
      </c>
      <c r="U191" s="94">
        <f t="shared" si="120"/>
        <v>0</v>
      </c>
      <c r="V191" s="95">
        <f t="shared" si="122"/>
        <v>0</v>
      </c>
      <c r="W191" s="94">
        <f t="shared" si="124"/>
        <v>0</v>
      </c>
      <c r="X191" s="94">
        <f t="shared" si="124"/>
        <v>0</v>
      </c>
      <c r="Y191" s="94">
        <f t="shared" si="124"/>
        <v>0</v>
      </c>
      <c r="Z191" s="94">
        <f t="shared" si="124"/>
        <v>0</v>
      </c>
      <c r="AA191" s="94">
        <f t="shared" si="124"/>
        <v>0</v>
      </c>
      <c r="AB191" s="94">
        <f t="shared" si="124"/>
        <v>0</v>
      </c>
      <c r="AC191" s="94">
        <f t="shared" si="124"/>
        <v>0</v>
      </c>
      <c r="AD191" s="94">
        <f t="shared" si="124"/>
        <v>0</v>
      </c>
      <c r="AE191" s="94">
        <f t="shared" si="124"/>
        <v>0</v>
      </c>
      <c r="AF191" s="94">
        <f t="shared" si="124"/>
        <v>0</v>
      </c>
      <c r="AG191" s="94">
        <f t="shared" si="124"/>
        <v>0</v>
      </c>
      <c r="AH191" s="94">
        <f t="shared" si="124"/>
        <v>0</v>
      </c>
    </row>
    <row r="192" spans="1:34" outlineLevel="1" x14ac:dyDescent="0.2">
      <c r="A192" s="943">
        <f t="shared" si="118"/>
        <v>0</v>
      </c>
      <c r="B192" s="944">
        <f t="shared" si="118"/>
        <v>0</v>
      </c>
      <c r="C192" s="944"/>
      <c r="D192" s="953">
        <f>Auftragsplanung!O10</f>
        <v>0</v>
      </c>
      <c r="E192" s="954">
        <f t="shared" si="119"/>
        <v>0</v>
      </c>
      <c r="U192" s="94">
        <f t="shared" si="120"/>
        <v>0</v>
      </c>
      <c r="V192" s="95">
        <f t="shared" si="122"/>
        <v>0</v>
      </c>
      <c r="W192" s="94">
        <f t="shared" si="124"/>
        <v>0</v>
      </c>
      <c r="X192" s="94">
        <f t="shared" si="124"/>
        <v>0</v>
      </c>
      <c r="Y192" s="94">
        <f t="shared" si="124"/>
        <v>0</v>
      </c>
      <c r="Z192" s="94">
        <f t="shared" si="124"/>
        <v>0</v>
      </c>
      <c r="AA192" s="94">
        <f t="shared" si="124"/>
        <v>0</v>
      </c>
      <c r="AB192" s="94">
        <f t="shared" si="124"/>
        <v>0</v>
      </c>
      <c r="AC192" s="94">
        <f t="shared" si="124"/>
        <v>0</v>
      </c>
      <c r="AD192" s="94">
        <f t="shared" si="124"/>
        <v>0</v>
      </c>
      <c r="AE192" s="94">
        <f t="shared" si="124"/>
        <v>0</v>
      </c>
      <c r="AF192" s="94">
        <f t="shared" si="124"/>
        <v>0</v>
      </c>
      <c r="AG192" s="94">
        <f t="shared" si="124"/>
        <v>0</v>
      </c>
      <c r="AH192" s="94">
        <f t="shared" si="124"/>
        <v>0</v>
      </c>
    </row>
    <row r="193" spans="1:34" outlineLevel="1" x14ac:dyDescent="0.2">
      <c r="A193" s="943">
        <f t="shared" si="118"/>
        <v>0</v>
      </c>
      <c r="B193" s="944">
        <f t="shared" si="118"/>
        <v>0</v>
      </c>
      <c r="C193" s="944"/>
      <c r="D193" s="953">
        <f>Auftragsplanung!P10</f>
        <v>0</v>
      </c>
      <c r="E193" s="954">
        <f t="shared" si="119"/>
        <v>0</v>
      </c>
      <c r="U193" s="94">
        <f t="shared" si="120"/>
        <v>0</v>
      </c>
      <c r="V193" s="95">
        <f t="shared" si="122"/>
        <v>0</v>
      </c>
      <c r="W193" s="94">
        <f t="shared" si="124"/>
        <v>0</v>
      </c>
      <c r="X193" s="94">
        <f t="shared" si="124"/>
        <v>0</v>
      </c>
      <c r="Y193" s="94">
        <f t="shared" si="124"/>
        <v>0</v>
      </c>
      <c r="Z193" s="94">
        <f t="shared" si="124"/>
        <v>0</v>
      </c>
      <c r="AA193" s="94">
        <f t="shared" si="124"/>
        <v>0</v>
      </c>
      <c r="AB193" s="94">
        <f t="shared" si="124"/>
        <v>0</v>
      </c>
      <c r="AC193" s="94">
        <f t="shared" si="124"/>
        <v>0</v>
      </c>
      <c r="AD193" s="94">
        <f t="shared" si="124"/>
        <v>0</v>
      </c>
      <c r="AE193" s="94">
        <f t="shared" si="124"/>
        <v>0</v>
      </c>
      <c r="AF193" s="94">
        <f t="shared" si="124"/>
        <v>0</v>
      </c>
      <c r="AG193" s="94">
        <f t="shared" si="124"/>
        <v>0</v>
      </c>
      <c r="AH193" s="94">
        <f t="shared" si="124"/>
        <v>0</v>
      </c>
    </row>
    <row r="194" spans="1:34" outlineLevel="1" x14ac:dyDescent="0.2">
      <c r="A194" s="943">
        <f t="shared" si="118"/>
        <v>0</v>
      </c>
      <c r="B194" s="944">
        <f t="shared" si="118"/>
        <v>0</v>
      </c>
      <c r="C194" s="944"/>
      <c r="D194" s="953">
        <f>Auftragsplanung!Q10</f>
        <v>0</v>
      </c>
      <c r="E194" s="954">
        <f t="shared" si="119"/>
        <v>0</v>
      </c>
      <c r="U194" s="94">
        <f t="shared" si="120"/>
        <v>0</v>
      </c>
      <c r="V194" s="95">
        <f t="shared" si="122"/>
        <v>0</v>
      </c>
      <c r="W194" s="94">
        <f t="shared" si="124"/>
        <v>0</v>
      </c>
      <c r="X194" s="94">
        <f t="shared" si="124"/>
        <v>0</v>
      </c>
      <c r="Y194" s="94">
        <f t="shared" si="124"/>
        <v>0</v>
      </c>
      <c r="Z194" s="94">
        <f t="shared" si="124"/>
        <v>0</v>
      </c>
      <c r="AA194" s="94">
        <f t="shared" si="124"/>
        <v>0</v>
      </c>
      <c r="AB194" s="94">
        <f t="shared" si="124"/>
        <v>0</v>
      </c>
      <c r="AC194" s="94">
        <f t="shared" si="124"/>
        <v>0</v>
      </c>
      <c r="AD194" s="94">
        <f t="shared" si="124"/>
        <v>0</v>
      </c>
      <c r="AE194" s="94">
        <f t="shared" si="124"/>
        <v>0</v>
      </c>
      <c r="AF194" s="94">
        <f t="shared" si="124"/>
        <v>0</v>
      </c>
      <c r="AG194" s="94">
        <f t="shared" si="124"/>
        <v>0</v>
      </c>
      <c r="AH194" s="94">
        <f t="shared" si="124"/>
        <v>0</v>
      </c>
    </row>
    <row r="195" spans="1:34" outlineLevel="1" x14ac:dyDescent="0.2">
      <c r="B195" s="932"/>
      <c r="C195" s="932"/>
      <c r="D195" s="937"/>
      <c r="E195" s="938"/>
      <c r="U195" s="94"/>
      <c r="V195" s="95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</row>
    <row r="196" spans="1:34" outlineLevel="1" x14ac:dyDescent="0.2">
      <c r="B196" s="932"/>
      <c r="C196" s="932"/>
      <c r="D196" s="937"/>
      <c r="E196" s="938"/>
      <c r="U196" s="94">
        <f>Auftragsplanung!S10</f>
        <v>400</v>
      </c>
      <c r="V196" s="95">
        <f t="shared" si="122"/>
        <v>0</v>
      </c>
      <c r="W196" s="94">
        <f t="shared" ref="W196:AH196" si="125">IF($U196=0,0,$U196*G$152)</f>
        <v>24</v>
      </c>
      <c r="X196" s="94">
        <f t="shared" si="125"/>
        <v>32</v>
      </c>
      <c r="Y196" s="94">
        <f t="shared" si="125"/>
        <v>40</v>
      </c>
      <c r="Z196" s="94">
        <f t="shared" si="125"/>
        <v>28.000000000000004</v>
      </c>
      <c r="AA196" s="94">
        <f t="shared" si="125"/>
        <v>32</v>
      </c>
      <c r="AB196" s="94">
        <f t="shared" si="125"/>
        <v>32</v>
      </c>
      <c r="AC196" s="94">
        <f t="shared" si="125"/>
        <v>32</v>
      </c>
      <c r="AD196" s="94">
        <f t="shared" si="125"/>
        <v>28.000000000000004</v>
      </c>
      <c r="AE196" s="94">
        <f t="shared" si="125"/>
        <v>40</v>
      </c>
      <c r="AF196" s="94">
        <f t="shared" si="125"/>
        <v>40</v>
      </c>
      <c r="AG196" s="94">
        <f t="shared" si="125"/>
        <v>36</v>
      </c>
      <c r="AH196" s="94">
        <f t="shared" si="125"/>
        <v>36</v>
      </c>
    </row>
    <row r="197" spans="1:34" outlineLevel="1" x14ac:dyDescent="0.2">
      <c r="A197" s="93" t="s">
        <v>950</v>
      </c>
      <c r="B197" s="93"/>
      <c r="C197" s="93"/>
      <c r="U197" s="94">
        <f>SUM(U181:U194)</f>
        <v>400</v>
      </c>
      <c r="V197" s="95">
        <f t="shared" si="122"/>
        <v>0</v>
      </c>
      <c r="W197" s="94">
        <f>IF(SUM($W$181:$AH$194)=0,W196,SUM(W181:W194))</f>
        <v>24</v>
      </c>
      <c r="X197" s="94">
        <f t="shared" ref="X197:AH197" si="126">IF(SUM($W$181:$AH$194)=0,X196,SUM(X181:X194))</f>
        <v>32</v>
      </c>
      <c r="Y197" s="94">
        <f t="shared" si="126"/>
        <v>40</v>
      </c>
      <c r="Z197" s="94">
        <f t="shared" si="126"/>
        <v>28.000000000000004</v>
      </c>
      <c r="AA197" s="94">
        <f t="shared" si="126"/>
        <v>32</v>
      </c>
      <c r="AB197" s="94">
        <f t="shared" si="126"/>
        <v>32</v>
      </c>
      <c r="AC197" s="94">
        <f t="shared" si="126"/>
        <v>32</v>
      </c>
      <c r="AD197" s="94">
        <f t="shared" si="126"/>
        <v>28.000000000000004</v>
      </c>
      <c r="AE197" s="94">
        <f t="shared" si="126"/>
        <v>40</v>
      </c>
      <c r="AF197" s="94">
        <f t="shared" si="126"/>
        <v>40</v>
      </c>
      <c r="AG197" s="94">
        <f t="shared" si="126"/>
        <v>36</v>
      </c>
      <c r="AH197" s="94">
        <f t="shared" si="126"/>
        <v>36</v>
      </c>
    </row>
    <row r="198" spans="1:34" outlineLevel="1" x14ac:dyDescent="0.2"/>
  </sheetData>
  <pageMargins left="0.7" right="0.7" top="0.78740157499999996" bottom="0.78740157499999996" header="0.3" footer="0.3"/>
  <pageSetup paperSize="9" scale="70"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rgb="FF00B0F0"/>
  </sheetPr>
  <dimension ref="A1:BL108"/>
  <sheetViews>
    <sheetView showGridLines="0" zoomScale="110" zoomScaleNormal="110" workbookViewId="0">
      <pane xSplit="1" ySplit="5" topLeftCell="B6" activePane="bottomRight" state="frozen"/>
      <selection activeCell="Z85" sqref="Z85"/>
      <selection pane="topRight" activeCell="Z85" sqref="Z85"/>
      <selection pane="bottomLeft" activeCell="Z85" sqref="Z85"/>
      <selection pane="bottomRight" activeCell="B6" sqref="B6"/>
    </sheetView>
  </sheetViews>
  <sheetFormatPr baseColWidth="10" defaultColWidth="11.42578125" defaultRowHeight="12.75" outlineLevelRow="1" outlineLevelCol="1" x14ac:dyDescent="0.2"/>
  <cols>
    <col min="1" max="1" width="25.140625" style="85" bestFit="1" customWidth="1"/>
    <col min="2" max="2" width="12.85546875" style="85" customWidth="1"/>
    <col min="3" max="3" width="14.28515625" style="85" bestFit="1" customWidth="1"/>
    <col min="4" max="4" width="11.42578125" style="90" customWidth="1"/>
    <col min="5" max="5" width="12.42578125" style="90" bestFit="1" customWidth="1"/>
    <col min="6" max="6" width="3.42578125" style="90" customWidth="1"/>
    <col min="7" max="7" width="10.7109375" style="85" bestFit="1" customWidth="1"/>
    <col min="8" max="8" width="11.42578125" style="85" bestFit="1" customWidth="1"/>
    <col min="9" max="9" width="3.7109375" style="85" customWidth="1"/>
    <col min="10" max="10" width="19.140625" style="92" customWidth="1"/>
    <col min="11" max="11" width="6.7109375" style="85" hidden="1" customWidth="1"/>
    <col min="12" max="12" width="7.42578125" style="85" hidden="1" customWidth="1"/>
    <col min="13" max="13" width="7.28515625" style="85" hidden="1" customWidth="1"/>
    <col min="14" max="14" width="7" style="85" hidden="1" customWidth="1"/>
    <col min="15" max="15" width="6.28515625" style="85" hidden="1" customWidth="1"/>
    <col min="16" max="16" width="7" style="85" hidden="1" customWidth="1"/>
    <col min="17" max="17" width="11.42578125" style="92" hidden="1" customWidth="1"/>
    <col min="18" max="18" width="8.42578125" style="92" customWidth="1"/>
    <col min="19" max="19" width="24.28515625" style="239" customWidth="1"/>
    <col min="20" max="20" width="5.140625" style="85" hidden="1" customWidth="1" outlineLevel="1" collapsed="1"/>
    <col min="21" max="21" width="17.7109375" style="92" hidden="1" customWidth="1" outlineLevel="1"/>
    <col min="22" max="22" width="5" style="85" hidden="1" customWidth="1" outlineLevel="1"/>
    <col min="23" max="27" width="9.140625" style="85" hidden="1" customWidth="1" outlineLevel="1"/>
    <col min="28" max="28" width="11.5703125" style="92" hidden="1" customWidth="1" outlineLevel="1"/>
    <col min="29" max="29" width="11.5703125" style="85" hidden="1" customWidth="1" outlineLevel="1"/>
    <col min="30" max="30" width="15.7109375" style="92" hidden="1" customWidth="1" outlineLevel="1"/>
    <col min="31" max="31" width="7.28515625" style="92" hidden="1" customWidth="1" outlineLevel="1"/>
    <col min="32" max="32" width="8.140625" style="92" hidden="1" customWidth="1" outlineLevel="1"/>
    <col min="33" max="33" width="8.140625" style="85" hidden="1" customWidth="1" outlineLevel="1"/>
    <col min="34" max="37" width="6.5703125" style="85" hidden="1" customWidth="1" outlineLevel="1"/>
    <col min="38" max="38" width="8.140625" style="85" hidden="1" customWidth="1" outlineLevel="1"/>
    <col min="39" max="39" width="11.42578125" style="92" hidden="1" customWidth="1" outlineLevel="1"/>
    <col min="40" max="40" width="8.140625" style="85" hidden="1" customWidth="1" outlineLevel="1"/>
    <col min="41" max="41" width="22.140625" style="92" hidden="1" customWidth="1" outlineLevel="1"/>
    <col min="42" max="42" width="4" style="85" customWidth="1" collapsed="1"/>
    <col min="43" max="43" width="13.42578125" style="92" customWidth="1"/>
    <col min="44" max="44" width="7.28515625" style="85" hidden="1" customWidth="1"/>
    <col min="45" max="45" width="6.28515625" style="85" hidden="1" customWidth="1"/>
    <col min="46" max="47" width="7" style="85" hidden="1" customWidth="1"/>
    <col min="48" max="48" width="6.28515625" style="85" hidden="1" customWidth="1"/>
    <col min="49" max="49" width="7" style="85" hidden="1" customWidth="1"/>
    <col min="50" max="50" width="11.42578125" style="92" hidden="1" customWidth="1"/>
    <col min="51" max="51" width="15.7109375" style="92" customWidth="1"/>
    <col min="52" max="52" width="11.7109375" style="239" customWidth="1"/>
    <col min="53" max="53" width="3.5703125" style="85" hidden="1" customWidth="1" outlineLevel="1" collapsed="1"/>
    <col min="54" max="54" width="9.140625" style="92" hidden="1" customWidth="1" outlineLevel="1"/>
    <col min="55" max="60" width="9.140625" style="85" hidden="1" customWidth="1" outlineLevel="1"/>
    <col min="61" max="61" width="11.5703125" style="92" hidden="1" customWidth="1" outlineLevel="1"/>
    <col min="62" max="62" width="11.5703125" style="85" hidden="1" customWidth="1" outlineLevel="1"/>
    <col min="63" max="63" width="17.42578125" style="92" hidden="1" customWidth="1" outlineLevel="1"/>
    <col min="64" max="64" width="11.42578125" style="85" customWidth="1" collapsed="1"/>
    <col min="65" max="65" width="11.42578125" style="85" customWidth="1"/>
    <col min="66" max="16384" width="11.42578125" style="85"/>
  </cols>
  <sheetData>
    <row r="1" spans="1:63" x14ac:dyDescent="0.2">
      <c r="A1" s="765"/>
    </row>
    <row r="3" spans="1:63" s="132" customFormat="1" ht="15.75" x14ac:dyDescent="0.25">
      <c r="A3" s="878" t="s">
        <v>951</v>
      </c>
      <c r="C3" s="1358" t="str">
        <f>Grunddaten!B4</f>
        <v>Sample-Data</v>
      </c>
      <c r="D3" s="1359"/>
      <c r="E3" s="1359"/>
      <c r="F3" s="1359"/>
      <c r="G3" s="1359"/>
      <c r="H3" s="1359"/>
      <c r="J3" s="137"/>
      <c r="Q3" s="137"/>
      <c r="R3" s="137"/>
      <c r="S3" s="137"/>
      <c r="U3" s="137"/>
      <c r="AB3" s="137"/>
      <c r="AD3" s="137"/>
      <c r="AE3" s="137"/>
      <c r="AF3" s="137"/>
      <c r="AM3" s="137"/>
      <c r="AO3" s="137"/>
      <c r="AQ3" s="137"/>
      <c r="AX3" s="137"/>
      <c r="AY3" s="137"/>
      <c r="AZ3" s="137"/>
      <c r="BB3" s="137"/>
      <c r="BI3" s="137"/>
      <c r="BK3" s="137"/>
    </row>
    <row r="4" spans="1:63" x14ac:dyDescent="0.2">
      <c r="J4" s="93" t="s">
        <v>952</v>
      </c>
      <c r="K4" s="93"/>
      <c r="L4" s="93"/>
      <c r="M4" s="93"/>
      <c r="N4" s="93"/>
      <c r="O4" s="93"/>
      <c r="P4" s="93"/>
      <c r="Q4" s="93"/>
      <c r="R4" s="93"/>
      <c r="S4" s="853"/>
      <c r="U4" s="972" t="s">
        <v>953</v>
      </c>
      <c r="V4" s="972"/>
      <c r="W4" s="972"/>
      <c r="X4" s="972"/>
      <c r="Y4" s="972"/>
      <c r="Z4" s="972"/>
      <c r="AA4" s="972"/>
      <c r="AB4" s="972"/>
      <c r="AC4" s="972"/>
      <c r="AF4" s="972" t="s">
        <v>954</v>
      </c>
      <c r="AG4" s="972"/>
      <c r="AH4" s="972"/>
      <c r="AI4" s="972"/>
      <c r="AJ4" s="972"/>
      <c r="AK4" s="972"/>
      <c r="AL4" s="972"/>
      <c r="AM4" s="972"/>
      <c r="AN4" s="972"/>
      <c r="AQ4" s="972" t="s">
        <v>955</v>
      </c>
      <c r="AR4" s="972"/>
      <c r="AS4" s="972"/>
      <c r="AT4" s="972"/>
      <c r="AU4" s="972"/>
      <c r="AV4" s="972"/>
      <c r="AW4" s="972"/>
      <c r="AX4" s="972"/>
      <c r="AY4" s="972"/>
      <c r="AZ4" s="853"/>
      <c r="BB4" s="972" t="s">
        <v>955</v>
      </c>
      <c r="BC4" s="972"/>
      <c r="BD4" s="972"/>
      <c r="BE4" s="972"/>
      <c r="BF4" s="972"/>
      <c r="BG4" s="972"/>
      <c r="BH4" s="972"/>
      <c r="BI4" s="972"/>
      <c r="BJ4" s="972"/>
    </row>
    <row r="5" spans="1:63" s="140" customFormat="1" ht="25.5" x14ac:dyDescent="0.2">
      <c r="A5" s="744" t="s">
        <v>482</v>
      </c>
      <c r="B5" s="963" t="s">
        <v>956</v>
      </c>
      <c r="C5" s="963" t="s">
        <v>957</v>
      </c>
      <c r="D5" s="744" t="s">
        <v>958</v>
      </c>
      <c r="E5" s="744" t="s">
        <v>496</v>
      </c>
      <c r="F5" s="744"/>
      <c r="G5" s="963" t="s">
        <v>959</v>
      </c>
      <c r="H5" s="963" t="s">
        <v>960</v>
      </c>
      <c r="I5" s="141"/>
      <c r="J5" s="904" t="str">
        <f>Auftragsplanung!D5</f>
        <v>Gesamt</v>
      </c>
      <c r="K5" s="904">
        <f>Auftragsplanung!E5</f>
        <v>0</v>
      </c>
      <c r="L5" s="904">
        <f>Auftragsplanung!$A$7</f>
        <v>0</v>
      </c>
      <c r="M5" s="904">
        <f>Auftragsplanung!$A$8</f>
        <v>0</v>
      </c>
      <c r="N5" s="904">
        <f>Auftragsplanung!$A$9</f>
        <v>0</v>
      </c>
      <c r="O5" s="904">
        <f>Auftragsplanung!$A$10</f>
        <v>0</v>
      </c>
      <c r="P5" s="904">
        <f>Auftragsplanung!$A$11</f>
        <v>0</v>
      </c>
      <c r="Q5" s="904" t="s">
        <v>961</v>
      </c>
      <c r="R5" s="744" t="s">
        <v>958</v>
      </c>
      <c r="S5" s="967" t="s">
        <v>826</v>
      </c>
      <c r="U5" s="744" t="s">
        <v>962</v>
      </c>
      <c r="V5" s="744" t="s">
        <v>963</v>
      </c>
      <c r="W5" s="744" t="s">
        <v>964</v>
      </c>
      <c r="X5" s="744" t="s">
        <v>965</v>
      </c>
      <c r="Y5" s="744" t="s">
        <v>966</v>
      </c>
      <c r="Z5" s="744" t="s">
        <v>967</v>
      </c>
      <c r="AA5" s="744" t="s">
        <v>968</v>
      </c>
      <c r="AB5" s="744" t="s">
        <v>551</v>
      </c>
      <c r="AC5" s="744" t="s">
        <v>958</v>
      </c>
      <c r="AD5" s="744" t="s">
        <v>826</v>
      </c>
      <c r="AF5" s="744" t="s">
        <v>962</v>
      </c>
      <c r="AG5" s="744" t="s">
        <v>963</v>
      </c>
      <c r="AH5" s="744" t="s">
        <v>964</v>
      </c>
      <c r="AI5" s="744" t="s">
        <v>965</v>
      </c>
      <c r="AJ5" s="744" t="s">
        <v>966</v>
      </c>
      <c r="AK5" s="744" t="s">
        <v>967</v>
      </c>
      <c r="AL5" s="744" t="s">
        <v>968</v>
      </c>
      <c r="AM5" s="744" t="s">
        <v>551</v>
      </c>
      <c r="AN5" s="744" t="s">
        <v>958</v>
      </c>
      <c r="AO5" s="744" t="s">
        <v>826</v>
      </c>
      <c r="AQ5" s="904" t="str">
        <f>Auftragsplanung!$A$5</f>
        <v>Gesamt</v>
      </c>
      <c r="AR5" s="904">
        <f>Auftragsplanung!$A$6</f>
        <v>0</v>
      </c>
      <c r="AS5" s="904">
        <f>Auftragsplanung!$A$7</f>
        <v>0</v>
      </c>
      <c r="AT5" s="904">
        <f>Auftragsplanung!$A$8</f>
        <v>0</v>
      </c>
      <c r="AU5" s="904">
        <f>Auftragsplanung!$A$9</f>
        <v>0</v>
      </c>
      <c r="AV5" s="904">
        <f>Auftragsplanung!$A$10</f>
        <v>0</v>
      </c>
      <c r="AW5" s="904">
        <f>Auftragsplanung!$A$11</f>
        <v>0</v>
      </c>
      <c r="AX5" s="904" t="s">
        <v>961</v>
      </c>
      <c r="AY5" s="744" t="s">
        <v>958</v>
      </c>
      <c r="AZ5" s="744" t="s">
        <v>826</v>
      </c>
      <c r="BB5" s="744" t="s">
        <v>962</v>
      </c>
      <c r="BC5" s="744" t="s">
        <v>963</v>
      </c>
      <c r="BD5" s="744" t="s">
        <v>964</v>
      </c>
      <c r="BE5" s="744" t="s">
        <v>965</v>
      </c>
      <c r="BF5" s="744" t="s">
        <v>966</v>
      </c>
      <c r="BG5" s="744" t="s">
        <v>967</v>
      </c>
      <c r="BH5" s="744" t="s">
        <v>968</v>
      </c>
      <c r="BI5" s="744" t="s">
        <v>551</v>
      </c>
      <c r="BJ5" s="744" t="s">
        <v>958</v>
      </c>
      <c r="BK5" s="744" t="s">
        <v>826</v>
      </c>
    </row>
    <row r="6" spans="1:63" x14ac:dyDescent="0.2">
      <c r="A6" s="101" t="str">
        <f>IF(Personalplanung!B6&lt;&gt;"",Personalplanung!B6,IF(Personalplanung!A6&lt;&gt;"",Personalplanung!A6,""))</f>
        <v>Maxdivers Mustermann</v>
      </c>
      <c r="B6" s="168">
        <f>Personalplanung!AH6</f>
        <v>11266.666666666668</v>
      </c>
      <c r="C6" s="168">
        <f>Personalplanung!AI6</f>
        <v>101400</v>
      </c>
      <c r="D6" s="170">
        <f>B6+C6</f>
        <v>112666.66666666667</v>
      </c>
      <c r="E6" s="960">
        <f>Personalplanung!AG6</f>
        <v>0.1</v>
      </c>
      <c r="F6" s="170"/>
      <c r="G6" s="961">
        <f>Personalplanung!AL6</f>
        <v>268.8</v>
      </c>
      <c r="H6" s="961">
        <f>E6*D6</f>
        <v>11266.666666666668</v>
      </c>
      <c r="I6" s="99"/>
      <c r="J6" s="964">
        <v>0.1</v>
      </c>
      <c r="K6" s="964"/>
      <c r="L6" s="964"/>
      <c r="M6" s="964"/>
      <c r="N6" s="964"/>
      <c r="O6" s="964"/>
      <c r="P6" s="964"/>
      <c r="Q6" s="964"/>
      <c r="R6" s="968">
        <f>SUM(J6:Q6)</f>
        <v>0.1</v>
      </c>
      <c r="S6" s="969" t="str">
        <f t="shared" ref="S6:S37" si="0">IF(E6=0,0,(IF(ROUND(SUM(J6:Q6)-1,0)=0,0,"bitte prüfen!")))</f>
        <v>bitte prüfen!</v>
      </c>
      <c r="U6" s="970">
        <f t="shared" ref="U6:U20" si="1">$H6*J6</f>
        <v>1126.6666666666667</v>
      </c>
      <c r="V6" s="970">
        <f t="shared" ref="V6:V20" si="2">$H6*K6</f>
        <v>0</v>
      </c>
      <c r="W6" s="970">
        <f t="shared" ref="W6:W20" si="3">$H6*L6</f>
        <v>0</v>
      </c>
      <c r="X6" s="970">
        <f t="shared" ref="X6:X20" si="4">$H6*M6</f>
        <v>0</v>
      </c>
      <c r="Y6" s="970">
        <f t="shared" ref="Y6:Y20" si="5">$H6*N6</f>
        <v>0</v>
      </c>
      <c r="Z6" s="970">
        <f t="shared" ref="Z6:Z20" si="6">$H6*O6</f>
        <v>0</v>
      </c>
      <c r="AA6" s="970">
        <f t="shared" ref="AA6:AA20" si="7">$H6*P6</f>
        <v>0</v>
      </c>
      <c r="AB6" s="970">
        <f t="shared" ref="AB6:AB20" si="8">$H6*Q6</f>
        <v>0</v>
      </c>
      <c r="AC6" s="168">
        <f>SUM(U6:AB6)</f>
        <v>1126.6666666666667</v>
      </c>
      <c r="AD6" s="971">
        <f t="shared" ref="AD6:AD37" si="9">AC6-H6</f>
        <v>-10140.000000000002</v>
      </c>
      <c r="AE6" s="136"/>
      <c r="AF6" s="970">
        <f t="shared" ref="AF6:AF37" si="10">$G6*IF($R6=0,0,(J6/$R6))</f>
        <v>268.8</v>
      </c>
      <c r="AG6" s="970">
        <f t="shared" ref="AG6:AG37" si="11">$G6*IF($R6=0,0,(K6/$R6))</f>
        <v>0</v>
      </c>
      <c r="AH6" s="970">
        <f t="shared" ref="AH6:AH37" si="12">$G6*IF($R6=0,0,(L6/$R6))</f>
        <v>0</v>
      </c>
      <c r="AI6" s="970">
        <f t="shared" ref="AI6:AI37" si="13">$G6*IF($R6=0,0,(M6/$R6))</f>
        <v>0</v>
      </c>
      <c r="AJ6" s="970">
        <f t="shared" ref="AJ6:AJ37" si="14">$G6*IF($R6=0,0,(N6/$R6))</f>
        <v>0</v>
      </c>
      <c r="AK6" s="970">
        <f t="shared" ref="AK6:AK37" si="15">$G6*IF($R6=0,0,(O6/$R6))</f>
        <v>0</v>
      </c>
      <c r="AL6" s="970">
        <f t="shared" ref="AL6:AL37" si="16">$G6*IF($R6=0,0,(P6/$R6))</f>
        <v>0</v>
      </c>
      <c r="AM6" s="970">
        <f t="shared" ref="AM6:AM37" si="17">$G6*IF($R6=0,0,(Q6/$R6))</f>
        <v>0</v>
      </c>
      <c r="AN6" s="168">
        <f>SUM(AF6:AM6)</f>
        <v>268.8</v>
      </c>
      <c r="AO6" s="971">
        <f t="shared" ref="AO6:AO37" si="18">AN6-G6</f>
        <v>0</v>
      </c>
      <c r="AQ6" s="964">
        <v>0.9</v>
      </c>
      <c r="AR6" s="964">
        <v>0</v>
      </c>
      <c r="AS6" s="964"/>
      <c r="AT6" s="964"/>
      <c r="AU6" s="964"/>
      <c r="AV6" s="964"/>
      <c r="AW6" s="964"/>
      <c r="AX6" s="964"/>
      <c r="AY6" s="968">
        <f>SUM(AQ6:AX6)</f>
        <v>0.9</v>
      </c>
      <c r="AZ6" s="969">
        <f t="shared" ref="AZ6:AZ37" si="19">IF(A6=0,0,(IF(E6=1,0,IF(ROUND(SUM(AQ6:AX6)-1,0)=0,0,"bitte prüfen!"))))</f>
        <v>0</v>
      </c>
      <c r="BB6" s="970">
        <f>($D6-$H6)*AQ6</f>
        <v>91260</v>
      </c>
      <c r="BC6" s="970">
        <f t="shared" ref="BC6:BI6" si="20">($D6-$H6)*AR6</f>
        <v>0</v>
      </c>
      <c r="BD6" s="970">
        <f t="shared" si="20"/>
        <v>0</v>
      </c>
      <c r="BE6" s="970">
        <f t="shared" si="20"/>
        <v>0</v>
      </c>
      <c r="BF6" s="970">
        <f t="shared" si="20"/>
        <v>0</v>
      </c>
      <c r="BG6" s="970">
        <f t="shared" si="20"/>
        <v>0</v>
      </c>
      <c r="BH6" s="970">
        <f t="shared" si="20"/>
        <v>0</v>
      </c>
      <c r="BI6" s="970">
        <f t="shared" si="20"/>
        <v>0</v>
      </c>
      <c r="BJ6" s="168">
        <f>SUM(BB6:BI6)</f>
        <v>91260</v>
      </c>
      <c r="BK6" s="971">
        <f t="shared" ref="BK6:BK37" si="21">BJ6-(D6-H6)</f>
        <v>-10140</v>
      </c>
    </row>
    <row r="7" spans="1:63" x14ac:dyDescent="0.2">
      <c r="A7" s="101" t="str">
        <f>IF(Personalplanung!B7&lt;&gt;"",Personalplanung!B7,IF(Personalplanung!A7&lt;&gt;"",Personalplanung!A7,""))</f>
        <v>Egon Kaufmann</v>
      </c>
      <c r="B7" s="168">
        <f>Personalplanung!AH7</f>
        <v>0</v>
      </c>
      <c r="C7" s="168">
        <f>Personalplanung!AI7</f>
        <v>83200</v>
      </c>
      <c r="D7" s="170">
        <f t="shared" ref="D7:D20" si="22">B7+C7</f>
        <v>83200</v>
      </c>
      <c r="E7" s="960">
        <f>Personalplanung!AG7</f>
        <v>0</v>
      </c>
      <c r="F7" s="170"/>
      <c r="G7" s="961">
        <f>Personalplanung!AL7</f>
        <v>0</v>
      </c>
      <c r="H7" s="961">
        <f t="shared" ref="H7:H20" si="23">E7*D7</f>
        <v>0</v>
      </c>
      <c r="I7" s="99"/>
      <c r="J7" s="964"/>
      <c r="K7" s="964"/>
      <c r="L7" s="964"/>
      <c r="M7" s="964"/>
      <c r="N7" s="964"/>
      <c r="O7" s="964"/>
      <c r="P7" s="964"/>
      <c r="Q7" s="964"/>
      <c r="R7" s="968">
        <f t="shared" ref="R7:R20" si="24">SUM(J7:Q7)</f>
        <v>0</v>
      </c>
      <c r="S7" s="969">
        <f t="shared" si="0"/>
        <v>0</v>
      </c>
      <c r="U7" s="970">
        <f t="shared" si="1"/>
        <v>0</v>
      </c>
      <c r="V7" s="970">
        <f t="shared" si="2"/>
        <v>0</v>
      </c>
      <c r="W7" s="970">
        <f t="shared" si="3"/>
        <v>0</v>
      </c>
      <c r="X7" s="970">
        <f t="shared" si="4"/>
        <v>0</v>
      </c>
      <c r="Y7" s="970">
        <f t="shared" si="5"/>
        <v>0</v>
      </c>
      <c r="Z7" s="970">
        <f t="shared" si="6"/>
        <v>0</v>
      </c>
      <c r="AA7" s="970">
        <f t="shared" si="7"/>
        <v>0</v>
      </c>
      <c r="AB7" s="970">
        <f t="shared" si="8"/>
        <v>0</v>
      </c>
      <c r="AC7" s="168">
        <f t="shared" ref="AC7:AC20" si="25">SUM(U7:AB7)</f>
        <v>0</v>
      </c>
      <c r="AD7" s="971">
        <f t="shared" si="9"/>
        <v>0</v>
      </c>
      <c r="AE7" s="136"/>
      <c r="AF7" s="970">
        <f t="shared" si="10"/>
        <v>0</v>
      </c>
      <c r="AG7" s="970">
        <f t="shared" si="11"/>
        <v>0</v>
      </c>
      <c r="AH7" s="970">
        <f t="shared" si="12"/>
        <v>0</v>
      </c>
      <c r="AI7" s="970">
        <f t="shared" si="13"/>
        <v>0</v>
      </c>
      <c r="AJ7" s="970">
        <f t="shared" si="14"/>
        <v>0</v>
      </c>
      <c r="AK7" s="970">
        <f t="shared" si="15"/>
        <v>0</v>
      </c>
      <c r="AL7" s="970">
        <f t="shared" si="16"/>
        <v>0</v>
      </c>
      <c r="AM7" s="970">
        <f t="shared" si="17"/>
        <v>0</v>
      </c>
      <c r="AN7" s="168">
        <f t="shared" ref="AN7:AN20" si="26">SUM(AF7:AM7)</f>
        <v>0</v>
      </c>
      <c r="AO7" s="971">
        <f t="shared" si="18"/>
        <v>0</v>
      </c>
      <c r="AQ7" s="964">
        <v>1</v>
      </c>
      <c r="AR7" s="964"/>
      <c r="AS7" s="964"/>
      <c r="AT7" s="964"/>
      <c r="AU7" s="964"/>
      <c r="AV7" s="964"/>
      <c r="AW7" s="964"/>
      <c r="AX7" s="964"/>
      <c r="AY7" s="968">
        <f t="shared" ref="AY7:AY20" si="27">SUM(AQ7:AX7)</f>
        <v>1</v>
      </c>
      <c r="AZ7" s="969">
        <f t="shared" si="19"/>
        <v>0</v>
      </c>
      <c r="BB7" s="970">
        <f t="shared" ref="BB7:BB20" si="28">($D7-$H7)*AQ7</f>
        <v>83200</v>
      </c>
      <c r="BC7" s="970">
        <f t="shared" ref="BC7:BC20" si="29">($D7-$H7)*AR7</f>
        <v>0</v>
      </c>
      <c r="BD7" s="970">
        <f t="shared" ref="BD7:BD20" si="30">($D7-$H7)*AS7</f>
        <v>0</v>
      </c>
      <c r="BE7" s="970">
        <f t="shared" ref="BE7:BE20" si="31">($D7-$H7)*AT7</f>
        <v>0</v>
      </c>
      <c r="BF7" s="970">
        <f t="shared" ref="BF7:BF20" si="32">($D7-$H7)*AU7</f>
        <v>0</v>
      </c>
      <c r="BG7" s="970">
        <f t="shared" ref="BG7:BG20" si="33">($D7-$H7)*AV7</f>
        <v>0</v>
      </c>
      <c r="BH7" s="970">
        <f t="shared" ref="BH7:BH20" si="34">($D7-$H7)*AW7</f>
        <v>0</v>
      </c>
      <c r="BI7" s="970">
        <f t="shared" ref="BI7:BI20" si="35">($D7-$H7)*AX7</f>
        <v>0</v>
      </c>
      <c r="BJ7" s="168">
        <f t="shared" ref="BJ7:BJ20" si="36">SUM(BB7:BI7)</f>
        <v>83200</v>
      </c>
      <c r="BK7" s="971">
        <f t="shared" si="21"/>
        <v>0</v>
      </c>
    </row>
    <row r="8" spans="1:63" x14ac:dyDescent="0.2">
      <c r="A8" s="101" t="str">
        <f>IF(Personalplanung!B8&lt;&gt;"",Personalplanung!B8,IF(Personalplanung!A8&lt;&gt;"",Personalplanung!A8,""))</f>
        <v>Walter Meister</v>
      </c>
      <c r="B8" s="168">
        <f>Personalplanung!AH8</f>
        <v>0</v>
      </c>
      <c r="C8" s="168">
        <f>Personalplanung!AI8</f>
        <v>55466.666666666672</v>
      </c>
      <c r="D8" s="170">
        <f t="shared" si="22"/>
        <v>55466.666666666672</v>
      </c>
      <c r="E8" s="960">
        <f>Personalplanung!AG8</f>
        <v>0</v>
      </c>
      <c r="F8" s="170"/>
      <c r="G8" s="961">
        <f>Personalplanung!AL8</f>
        <v>0</v>
      </c>
      <c r="H8" s="961">
        <f t="shared" si="23"/>
        <v>0</v>
      </c>
      <c r="I8" s="99"/>
      <c r="J8" s="964"/>
      <c r="K8" s="964"/>
      <c r="L8" s="964"/>
      <c r="M8" s="964"/>
      <c r="N8" s="964"/>
      <c r="O8" s="964"/>
      <c r="P8" s="964"/>
      <c r="Q8" s="964"/>
      <c r="R8" s="968">
        <f t="shared" si="24"/>
        <v>0</v>
      </c>
      <c r="S8" s="969">
        <f t="shared" si="0"/>
        <v>0</v>
      </c>
      <c r="U8" s="970">
        <f t="shared" si="1"/>
        <v>0</v>
      </c>
      <c r="V8" s="970">
        <f t="shared" si="2"/>
        <v>0</v>
      </c>
      <c r="W8" s="970">
        <f t="shared" si="3"/>
        <v>0</v>
      </c>
      <c r="X8" s="970">
        <f t="shared" si="4"/>
        <v>0</v>
      </c>
      <c r="Y8" s="970">
        <f t="shared" si="5"/>
        <v>0</v>
      </c>
      <c r="Z8" s="970">
        <f t="shared" si="6"/>
        <v>0</v>
      </c>
      <c r="AA8" s="970">
        <f t="shared" si="7"/>
        <v>0</v>
      </c>
      <c r="AB8" s="970">
        <f t="shared" si="8"/>
        <v>0</v>
      </c>
      <c r="AC8" s="168">
        <f t="shared" si="25"/>
        <v>0</v>
      </c>
      <c r="AD8" s="971">
        <f t="shared" si="9"/>
        <v>0</v>
      </c>
      <c r="AE8" s="136"/>
      <c r="AF8" s="970">
        <f t="shared" si="10"/>
        <v>0</v>
      </c>
      <c r="AG8" s="970">
        <f t="shared" si="11"/>
        <v>0</v>
      </c>
      <c r="AH8" s="970">
        <f t="shared" si="12"/>
        <v>0</v>
      </c>
      <c r="AI8" s="970">
        <f t="shared" si="13"/>
        <v>0</v>
      </c>
      <c r="AJ8" s="970">
        <f t="shared" si="14"/>
        <v>0</v>
      </c>
      <c r="AK8" s="970">
        <f t="shared" si="15"/>
        <v>0</v>
      </c>
      <c r="AL8" s="970">
        <f t="shared" si="16"/>
        <v>0</v>
      </c>
      <c r="AM8" s="970">
        <f t="shared" si="17"/>
        <v>0</v>
      </c>
      <c r="AN8" s="168">
        <f t="shared" si="26"/>
        <v>0</v>
      </c>
      <c r="AO8" s="971">
        <f t="shared" si="18"/>
        <v>0</v>
      </c>
      <c r="AQ8" s="964">
        <v>1</v>
      </c>
      <c r="AR8" s="964"/>
      <c r="AS8" s="964"/>
      <c r="AT8" s="964"/>
      <c r="AU8" s="964"/>
      <c r="AV8" s="964"/>
      <c r="AW8" s="964"/>
      <c r="AX8" s="964"/>
      <c r="AY8" s="968">
        <f t="shared" si="27"/>
        <v>1</v>
      </c>
      <c r="AZ8" s="969">
        <f t="shared" si="19"/>
        <v>0</v>
      </c>
      <c r="BB8" s="970">
        <f t="shared" si="28"/>
        <v>55466.666666666672</v>
      </c>
      <c r="BC8" s="970">
        <f t="shared" si="29"/>
        <v>0</v>
      </c>
      <c r="BD8" s="970">
        <f t="shared" si="30"/>
        <v>0</v>
      </c>
      <c r="BE8" s="970">
        <f t="shared" si="31"/>
        <v>0</v>
      </c>
      <c r="BF8" s="970">
        <f t="shared" si="32"/>
        <v>0</v>
      </c>
      <c r="BG8" s="970">
        <f t="shared" si="33"/>
        <v>0</v>
      </c>
      <c r="BH8" s="970">
        <f t="shared" si="34"/>
        <v>0</v>
      </c>
      <c r="BI8" s="970">
        <f t="shared" si="35"/>
        <v>0</v>
      </c>
      <c r="BJ8" s="168">
        <f t="shared" si="36"/>
        <v>55466.666666666672</v>
      </c>
      <c r="BK8" s="971">
        <f t="shared" si="21"/>
        <v>0</v>
      </c>
    </row>
    <row r="9" spans="1:63" x14ac:dyDescent="0.2">
      <c r="A9" s="101" t="str">
        <f>IF(Personalplanung!B9&lt;&gt;"",Personalplanung!B9,IF(Personalplanung!A9&lt;&gt;"",Personalplanung!A9,""))</f>
        <v>Tom in Technik</v>
      </c>
      <c r="B9" s="168">
        <f>Personalplanung!AH9</f>
        <v>10538.666666666666</v>
      </c>
      <c r="C9" s="168">
        <f>Personalplanung!AI9</f>
        <v>42154.666666666664</v>
      </c>
      <c r="D9" s="170">
        <f t="shared" si="22"/>
        <v>52693.333333333328</v>
      </c>
      <c r="E9" s="960">
        <f>Personalplanung!AG9</f>
        <v>0.2</v>
      </c>
      <c r="F9" s="170"/>
      <c r="G9" s="961">
        <f>Personalplanung!AL9</f>
        <v>356.8</v>
      </c>
      <c r="H9" s="961">
        <f t="shared" si="23"/>
        <v>10538.666666666666</v>
      </c>
      <c r="I9" s="99"/>
      <c r="J9" s="964">
        <v>0.2</v>
      </c>
      <c r="K9" s="964"/>
      <c r="L9" s="964"/>
      <c r="M9" s="964"/>
      <c r="N9" s="964"/>
      <c r="O9" s="964"/>
      <c r="P9" s="964"/>
      <c r="Q9" s="964"/>
      <c r="R9" s="968">
        <f t="shared" si="24"/>
        <v>0.2</v>
      </c>
      <c r="S9" s="969" t="str">
        <f t="shared" si="0"/>
        <v>bitte prüfen!</v>
      </c>
      <c r="U9" s="970">
        <f t="shared" si="1"/>
        <v>2107.7333333333331</v>
      </c>
      <c r="V9" s="970">
        <f t="shared" si="2"/>
        <v>0</v>
      </c>
      <c r="W9" s="970">
        <f t="shared" si="3"/>
        <v>0</v>
      </c>
      <c r="X9" s="970">
        <f t="shared" si="4"/>
        <v>0</v>
      </c>
      <c r="Y9" s="970">
        <f t="shared" si="5"/>
        <v>0</v>
      </c>
      <c r="Z9" s="970">
        <f t="shared" si="6"/>
        <v>0</v>
      </c>
      <c r="AA9" s="970">
        <f t="shared" si="7"/>
        <v>0</v>
      </c>
      <c r="AB9" s="970">
        <f t="shared" si="8"/>
        <v>0</v>
      </c>
      <c r="AC9" s="168">
        <f t="shared" si="25"/>
        <v>2107.7333333333331</v>
      </c>
      <c r="AD9" s="971">
        <f t="shared" si="9"/>
        <v>-8430.9333333333325</v>
      </c>
      <c r="AE9" s="136"/>
      <c r="AF9" s="970">
        <f t="shared" si="10"/>
        <v>356.8</v>
      </c>
      <c r="AG9" s="970">
        <f t="shared" si="11"/>
        <v>0</v>
      </c>
      <c r="AH9" s="970">
        <f t="shared" si="12"/>
        <v>0</v>
      </c>
      <c r="AI9" s="970">
        <f t="shared" si="13"/>
        <v>0</v>
      </c>
      <c r="AJ9" s="970">
        <f t="shared" si="14"/>
        <v>0</v>
      </c>
      <c r="AK9" s="970">
        <f t="shared" si="15"/>
        <v>0</v>
      </c>
      <c r="AL9" s="970">
        <f t="shared" si="16"/>
        <v>0</v>
      </c>
      <c r="AM9" s="970">
        <f t="shared" si="17"/>
        <v>0</v>
      </c>
      <c r="AN9" s="168">
        <f t="shared" si="26"/>
        <v>356.8</v>
      </c>
      <c r="AO9" s="971">
        <f t="shared" si="18"/>
        <v>0</v>
      </c>
      <c r="AQ9" s="964">
        <v>0.8</v>
      </c>
      <c r="AR9" s="964"/>
      <c r="AS9" s="964"/>
      <c r="AT9" s="964"/>
      <c r="AU9" s="964"/>
      <c r="AV9" s="964"/>
      <c r="AW9" s="964"/>
      <c r="AX9" s="964"/>
      <c r="AY9" s="968">
        <f t="shared" si="27"/>
        <v>0.8</v>
      </c>
      <c r="AZ9" s="969">
        <f t="shared" si="19"/>
        <v>0</v>
      </c>
      <c r="BB9" s="970">
        <f t="shared" si="28"/>
        <v>33723.73333333333</v>
      </c>
      <c r="BC9" s="970">
        <f t="shared" si="29"/>
        <v>0</v>
      </c>
      <c r="BD9" s="970">
        <f t="shared" si="30"/>
        <v>0</v>
      </c>
      <c r="BE9" s="970">
        <f t="shared" si="31"/>
        <v>0</v>
      </c>
      <c r="BF9" s="970">
        <f t="shared" si="32"/>
        <v>0</v>
      </c>
      <c r="BG9" s="970">
        <f t="shared" si="33"/>
        <v>0</v>
      </c>
      <c r="BH9" s="970">
        <f t="shared" si="34"/>
        <v>0</v>
      </c>
      <c r="BI9" s="970">
        <f t="shared" si="35"/>
        <v>0</v>
      </c>
      <c r="BJ9" s="168">
        <f t="shared" si="36"/>
        <v>33723.73333333333</v>
      </c>
      <c r="BK9" s="971">
        <f t="shared" si="21"/>
        <v>-8430.9333333333343</v>
      </c>
    </row>
    <row r="10" spans="1:63" x14ac:dyDescent="0.2">
      <c r="A10" s="101" t="str">
        <f>IF(Personalplanung!B10&lt;&gt;"",Personalplanung!B10,IF(Personalplanung!A10&lt;&gt;"",Personalplanung!A10,""))</f>
        <v>Lola Rennt</v>
      </c>
      <c r="B10" s="168">
        <f>Personalplanung!AH10</f>
        <v>0</v>
      </c>
      <c r="C10" s="168">
        <f>Personalplanung!AI10</f>
        <v>34125</v>
      </c>
      <c r="D10" s="170">
        <f t="shared" si="22"/>
        <v>34125</v>
      </c>
      <c r="E10" s="960">
        <f>Personalplanung!AG10</f>
        <v>0</v>
      </c>
      <c r="F10" s="170"/>
      <c r="G10" s="961">
        <f>Personalplanung!AL10</f>
        <v>0</v>
      </c>
      <c r="H10" s="961">
        <f t="shared" si="23"/>
        <v>0</v>
      </c>
      <c r="I10" s="99"/>
      <c r="J10" s="964"/>
      <c r="K10" s="964"/>
      <c r="L10" s="964"/>
      <c r="M10" s="964"/>
      <c r="N10" s="964"/>
      <c r="O10" s="964"/>
      <c r="P10" s="964"/>
      <c r="Q10" s="964"/>
      <c r="R10" s="968">
        <f t="shared" si="24"/>
        <v>0</v>
      </c>
      <c r="S10" s="969">
        <f t="shared" si="0"/>
        <v>0</v>
      </c>
      <c r="U10" s="970">
        <f t="shared" si="1"/>
        <v>0</v>
      </c>
      <c r="V10" s="970">
        <f t="shared" si="2"/>
        <v>0</v>
      </c>
      <c r="W10" s="970">
        <f t="shared" si="3"/>
        <v>0</v>
      </c>
      <c r="X10" s="970">
        <f t="shared" si="4"/>
        <v>0</v>
      </c>
      <c r="Y10" s="970">
        <f t="shared" si="5"/>
        <v>0</v>
      </c>
      <c r="Z10" s="970">
        <f t="shared" si="6"/>
        <v>0</v>
      </c>
      <c r="AA10" s="970">
        <f t="shared" si="7"/>
        <v>0</v>
      </c>
      <c r="AB10" s="970">
        <f t="shared" si="8"/>
        <v>0</v>
      </c>
      <c r="AC10" s="168">
        <f t="shared" si="25"/>
        <v>0</v>
      </c>
      <c r="AD10" s="971">
        <f t="shared" si="9"/>
        <v>0</v>
      </c>
      <c r="AE10" s="136"/>
      <c r="AF10" s="970">
        <f t="shared" si="10"/>
        <v>0</v>
      </c>
      <c r="AG10" s="970">
        <f t="shared" si="11"/>
        <v>0</v>
      </c>
      <c r="AH10" s="970">
        <f t="shared" si="12"/>
        <v>0</v>
      </c>
      <c r="AI10" s="970">
        <f t="shared" si="13"/>
        <v>0</v>
      </c>
      <c r="AJ10" s="970">
        <f t="shared" si="14"/>
        <v>0</v>
      </c>
      <c r="AK10" s="970">
        <f t="shared" si="15"/>
        <v>0</v>
      </c>
      <c r="AL10" s="970">
        <f t="shared" si="16"/>
        <v>0</v>
      </c>
      <c r="AM10" s="970">
        <f t="shared" si="17"/>
        <v>0</v>
      </c>
      <c r="AN10" s="168">
        <f t="shared" si="26"/>
        <v>0</v>
      </c>
      <c r="AO10" s="971">
        <f t="shared" si="18"/>
        <v>0</v>
      </c>
      <c r="AQ10" s="964">
        <v>1</v>
      </c>
      <c r="AR10" s="964"/>
      <c r="AS10" s="964"/>
      <c r="AT10" s="964"/>
      <c r="AU10" s="964"/>
      <c r="AV10" s="964"/>
      <c r="AW10" s="964"/>
      <c r="AX10" s="964"/>
      <c r="AY10" s="968">
        <f t="shared" si="27"/>
        <v>1</v>
      </c>
      <c r="AZ10" s="969">
        <f t="shared" si="19"/>
        <v>0</v>
      </c>
      <c r="BB10" s="970">
        <f t="shared" si="28"/>
        <v>34125</v>
      </c>
      <c r="BC10" s="970">
        <f t="shared" si="29"/>
        <v>0</v>
      </c>
      <c r="BD10" s="970">
        <f t="shared" si="30"/>
        <v>0</v>
      </c>
      <c r="BE10" s="970">
        <f t="shared" si="31"/>
        <v>0</v>
      </c>
      <c r="BF10" s="970">
        <f t="shared" si="32"/>
        <v>0</v>
      </c>
      <c r="BG10" s="970">
        <f t="shared" si="33"/>
        <v>0</v>
      </c>
      <c r="BH10" s="970">
        <f t="shared" si="34"/>
        <v>0</v>
      </c>
      <c r="BI10" s="970">
        <f t="shared" si="35"/>
        <v>0</v>
      </c>
      <c r="BJ10" s="168">
        <f t="shared" si="36"/>
        <v>34125</v>
      </c>
      <c r="BK10" s="971">
        <f t="shared" si="21"/>
        <v>0</v>
      </c>
    </row>
    <row r="11" spans="1:63" x14ac:dyDescent="0.2">
      <c r="A11" s="101" t="str">
        <f>IF(Personalplanung!B11&lt;&gt;"",Personalplanung!B11,IF(Personalplanung!A11&lt;&gt;"",Personalplanung!A11,""))</f>
        <v>Bier Lager</v>
      </c>
      <c r="B11" s="168">
        <f>Personalplanung!AH11</f>
        <v>0</v>
      </c>
      <c r="C11" s="168">
        <f>Personalplanung!AI11</f>
        <v>32760</v>
      </c>
      <c r="D11" s="170">
        <f t="shared" si="22"/>
        <v>32760</v>
      </c>
      <c r="E11" s="960">
        <f>Personalplanung!AG11</f>
        <v>0</v>
      </c>
      <c r="F11" s="170"/>
      <c r="G11" s="961">
        <f>Personalplanung!AL11</f>
        <v>0</v>
      </c>
      <c r="H11" s="961">
        <f t="shared" si="23"/>
        <v>0</v>
      </c>
      <c r="I11" s="99"/>
      <c r="J11" s="964"/>
      <c r="K11" s="964"/>
      <c r="L11" s="964"/>
      <c r="M11" s="964"/>
      <c r="N11" s="964"/>
      <c r="O11" s="964"/>
      <c r="P11" s="964"/>
      <c r="Q11" s="964"/>
      <c r="R11" s="968">
        <f t="shared" si="24"/>
        <v>0</v>
      </c>
      <c r="S11" s="969">
        <f t="shared" si="0"/>
        <v>0</v>
      </c>
      <c r="U11" s="970">
        <f t="shared" si="1"/>
        <v>0</v>
      </c>
      <c r="V11" s="970">
        <f t="shared" si="2"/>
        <v>0</v>
      </c>
      <c r="W11" s="970">
        <f t="shared" si="3"/>
        <v>0</v>
      </c>
      <c r="X11" s="970">
        <f t="shared" si="4"/>
        <v>0</v>
      </c>
      <c r="Y11" s="970">
        <f t="shared" si="5"/>
        <v>0</v>
      </c>
      <c r="Z11" s="970">
        <f t="shared" si="6"/>
        <v>0</v>
      </c>
      <c r="AA11" s="970">
        <f t="shared" si="7"/>
        <v>0</v>
      </c>
      <c r="AB11" s="970">
        <f t="shared" si="8"/>
        <v>0</v>
      </c>
      <c r="AC11" s="168">
        <f t="shared" si="25"/>
        <v>0</v>
      </c>
      <c r="AD11" s="971">
        <f t="shared" si="9"/>
        <v>0</v>
      </c>
      <c r="AE11" s="136"/>
      <c r="AF11" s="970">
        <f t="shared" si="10"/>
        <v>0</v>
      </c>
      <c r="AG11" s="970">
        <f t="shared" si="11"/>
        <v>0</v>
      </c>
      <c r="AH11" s="970">
        <f t="shared" si="12"/>
        <v>0</v>
      </c>
      <c r="AI11" s="970">
        <f t="shared" si="13"/>
        <v>0</v>
      </c>
      <c r="AJ11" s="970">
        <f t="shared" si="14"/>
        <v>0</v>
      </c>
      <c r="AK11" s="970">
        <f t="shared" si="15"/>
        <v>0</v>
      </c>
      <c r="AL11" s="970">
        <f t="shared" si="16"/>
        <v>0</v>
      </c>
      <c r="AM11" s="970">
        <f t="shared" si="17"/>
        <v>0</v>
      </c>
      <c r="AN11" s="168">
        <f t="shared" si="26"/>
        <v>0</v>
      </c>
      <c r="AO11" s="971">
        <f t="shared" si="18"/>
        <v>0</v>
      </c>
      <c r="AQ11" s="964">
        <v>1</v>
      </c>
      <c r="AR11" s="964"/>
      <c r="AS11" s="964"/>
      <c r="AT11" s="964"/>
      <c r="AU11" s="964"/>
      <c r="AV11" s="964"/>
      <c r="AW11" s="964"/>
      <c r="AX11" s="964"/>
      <c r="AY11" s="968">
        <f t="shared" si="27"/>
        <v>1</v>
      </c>
      <c r="AZ11" s="969">
        <f t="shared" si="19"/>
        <v>0</v>
      </c>
      <c r="BB11" s="970">
        <f t="shared" si="28"/>
        <v>32760</v>
      </c>
      <c r="BC11" s="970">
        <f t="shared" si="29"/>
        <v>0</v>
      </c>
      <c r="BD11" s="970">
        <f t="shared" si="30"/>
        <v>0</v>
      </c>
      <c r="BE11" s="970">
        <f t="shared" si="31"/>
        <v>0</v>
      </c>
      <c r="BF11" s="970">
        <f t="shared" si="32"/>
        <v>0</v>
      </c>
      <c r="BG11" s="970">
        <f t="shared" si="33"/>
        <v>0</v>
      </c>
      <c r="BH11" s="970">
        <f t="shared" si="34"/>
        <v>0</v>
      </c>
      <c r="BI11" s="970">
        <f t="shared" si="35"/>
        <v>0</v>
      </c>
      <c r="BJ11" s="168">
        <f t="shared" si="36"/>
        <v>32760</v>
      </c>
      <c r="BK11" s="971">
        <f t="shared" si="21"/>
        <v>0</v>
      </c>
    </row>
    <row r="12" spans="1:63" x14ac:dyDescent="0.2">
      <c r="A12" s="101" t="str">
        <f>IF(Personalplanung!B12&lt;&gt;"",Personalplanung!B12,IF(Personalplanung!A12&lt;&gt;"",Personalplanung!A12,""))</f>
        <v>Heinrich vor Arbeit</v>
      </c>
      <c r="B12" s="168">
        <f>Personalplanung!AH12</f>
        <v>38220</v>
      </c>
      <c r="C12" s="168">
        <f>Personalplanung!AI12</f>
        <v>0</v>
      </c>
      <c r="D12" s="170">
        <f t="shared" si="22"/>
        <v>38220</v>
      </c>
      <c r="E12" s="960">
        <f>Personalplanung!AG12</f>
        <v>1</v>
      </c>
      <c r="F12" s="170"/>
      <c r="G12" s="961">
        <f>Personalplanung!AL12</f>
        <v>1800</v>
      </c>
      <c r="H12" s="961">
        <f t="shared" si="23"/>
        <v>38220</v>
      </c>
      <c r="I12" s="99"/>
      <c r="J12" s="964">
        <v>1</v>
      </c>
      <c r="K12" s="964"/>
      <c r="L12" s="964"/>
      <c r="M12" s="964"/>
      <c r="N12" s="964"/>
      <c r="O12" s="964"/>
      <c r="P12" s="964"/>
      <c r="Q12" s="964"/>
      <c r="R12" s="968">
        <f t="shared" si="24"/>
        <v>1</v>
      </c>
      <c r="S12" s="969">
        <f t="shared" si="0"/>
        <v>0</v>
      </c>
      <c r="U12" s="970">
        <f t="shared" si="1"/>
        <v>38220</v>
      </c>
      <c r="V12" s="970">
        <f t="shared" si="2"/>
        <v>0</v>
      </c>
      <c r="W12" s="970">
        <f t="shared" si="3"/>
        <v>0</v>
      </c>
      <c r="X12" s="970">
        <f t="shared" si="4"/>
        <v>0</v>
      </c>
      <c r="Y12" s="970">
        <f t="shared" si="5"/>
        <v>0</v>
      </c>
      <c r="Z12" s="970">
        <f t="shared" si="6"/>
        <v>0</v>
      </c>
      <c r="AA12" s="970">
        <f t="shared" si="7"/>
        <v>0</v>
      </c>
      <c r="AB12" s="970">
        <f t="shared" si="8"/>
        <v>0</v>
      </c>
      <c r="AC12" s="168">
        <f t="shared" si="25"/>
        <v>38220</v>
      </c>
      <c r="AD12" s="971">
        <f t="shared" si="9"/>
        <v>0</v>
      </c>
      <c r="AE12" s="136"/>
      <c r="AF12" s="970">
        <f t="shared" si="10"/>
        <v>1800</v>
      </c>
      <c r="AG12" s="970">
        <f t="shared" si="11"/>
        <v>0</v>
      </c>
      <c r="AH12" s="970">
        <f t="shared" si="12"/>
        <v>0</v>
      </c>
      <c r="AI12" s="970">
        <f t="shared" si="13"/>
        <v>0</v>
      </c>
      <c r="AJ12" s="970">
        <f t="shared" si="14"/>
        <v>0</v>
      </c>
      <c r="AK12" s="970">
        <f t="shared" si="15"/>
        <v>0</v>
      </c>
      <c r="AL12" s="970">
        <f t="shared" si="16"/>
        <v>0</v>
      </c>
      <c r="AM12" s="970">
        <f t="shared" si="17"/>
        <v>0</v>
      </c>
      <c r="AN12" s="168">
        <f t="shared" si="26"/>
        <v>1800</v>
      </c>
      <c r="AO12" s="971">
        <f t="shared" si="18"/>
        <v>0</v>
      </c>
      <c r="AQ12" s="964"/>
      <c r="AR12" s="964"/>
      <c r="AS12" s="964"/>
      <c r="AT12" s="964"/>
      <c r="AU12" s="964"/>
      <c r="AV12" s="964"/>
      <c r="AW12" s="964"/>
      <c r="AX12" s="964"/>
      <c r="AY12" s="968">
        <f t="shared" si="27"/>
        <v>0</v>
      </c>
      <c r="AZ12" s="969">
        <f t="shared" si="19"/>
        <v>0</v>
      </c>
      <c r="BB12" s="970">
        <f t="shared" si="28"/>
        <v>0</v>
      </c>
      <c r="BC12" s="970">
        <f t="shared" si="29"/>
        <v>0</v>
      </c>
      <c r="BD12" s="970">
        <f t="shared" si="30"/>
        <v>0</v>
      </c>
      <c r="BE12" s="970">
        <f t="shared" si="31"/>
        <v>0</v>
      </c>
      <c r="BF12" s="970">
        <f t="shared" si="32"/>
        <v>0</v>
      </c>
      <c r="BG12" s="970">
        <f t="shared" si="33"/>
        <v>0</v>
      </c>
      <c r="BH12" s="970">
        <f t="shared" si="34"/>
        <v>0</v>
      </c>
      <c r="BI12" s="970">
        <f t="shared" si="35"/>
        <v>0</v>
      </c>
      <c r="BJ12" s="168">
        <f t="shared" si="36"/>
        <v>0</v>
      </c>
      <c r="BK12" s="971">
        <f t="shared" si="21"/>
        <v>0</v>
      </c>
    </row>
    <row r="13" spans="1:63" x14ac:dyDescent="0.2">
      <c r="A13" s="101" t="str">
        <f>IF(Personalplanung!B13&lt;&gt;"",Personalplanung!B13,IF(Personalplanung!A13&lt;&gt;"",Personalplanung!A13,""))</f>
        <v>Voller Geselle</v>
      </c>
      <c r="B13" s="168">
        <f>Personalplanung!AH13</f>
        <v>43680</v>
      </c>
      <c r="C13" s="168">
        <f>Personalplanung!AI13</f>
        <v>0</v>
      </c>
      <c r="D13" s="170">
        <f>B13+C13</f>
        <v>43680</v>
      </c>
      <c r="E13" s="960">
        <f>Personalplanung!AG13</f>
        <v>1</v>
      </c>
      <c r="F13" s="170"/>
      <c r="G13" s="961">
        <f>Personalplanung!AL13</f>
        <v>1776</v>
      </c>
      <c r="H13" s="961">
        <f>E13*D13</f>
        <v>43680</v>
      </c>
      <c r="I13" s="99"/>
      <c r="J13" s="964">
        <v>1</v>
      </c>
      <c r="K13" s="964"/>
      <c r="L13" s="964"/>
      <c r="M13" s="964"/>
      <c r="N13" s="964"/>
      <c r="O13" s="964"/>
      <c r="P13" s="964"/>
      <c r="Q13" s="964"/>
      <c r="R13" s="968">
        <f t="shared" si="24"/>
        <v>1</v>
      </c>
      <c r="S13" s="969">
        <f t="shared" si="0"/>
        <v>0</v>
      </c>
      <c r="U13" s="970">
        <f t="shared" si="1"/>
        <v>43680</v>
      </c>
      <c r="V13" s="970">
        <f t="shared" si="2"/>
        <v>0</v>
      </c>
      <c r="W13" s="970">
        <f t="shared" si="3"/>
        <v>0</v>
      </c>
      <c r="X13" s="970">
        <f t="shared" si="4"/>
        <v>0</v>
      </c>
      <c r="Y13" s="970">
        <f t="shared" si="5"/>
        <v>0</v>
      </c>
      <c r="Z13" s="970">
        <f t="shared" si="6"/>
        <v>0</v>
      </c>
      <c r="AA13" s="970">
        <f t="shared" si="7"/>
        <v>0</v>
      </c>
      <c r="AB13" s="970">
        <f t="shared" si="8"/>
        <v>0</v>
      </c>
      <c r="AC13" s="168">
        <f t="shared" si="25"/>
        <v>43680</v>
      </c>
      <c r="AD13" s="971">
        <f t="shared" si="9"/>
        <v>0</v>
      </c>
      <c r="AE13" s="136"/>
      <c r="AF13" s="970">
        <f t="shared" si="10"/>
        <v>1776</v>
      </c>
      <c r="AG13" s="970">
        <f t="shared" si="11"/>
        <v>0</v>
      </c>
      <c r="AH13" s="970">
        <f t="shared" si="12"/>
        <v>0</v>
      </c>
      <c r="AI13" s="970">
        <f t="shared" si="13"/>
        <v>0</v>
      </c>
      <c r="AJ13" s="970">
        <f t="shared" si="14"/>
        <v>0</v>
      </c>
      <c r="AK13" s="970">
        <f t="shared" si="15"/>
        <v>0</v>
      </c>
      <c r="AL13" s="970">
        <f t="shared" si="16"/>
        <v>0</v>
      </c>
      <c r="AM13" s="970">
        <f t="shared" si="17"/>
        <v>0</v>
      </c>
      <c r="AN13" s="168">
        <f t="shared" si="26"/>
        <v>1776</v>
      </c>
      <c r="AO13" s="971">
        <f t="shared" si="18"/>
        <v>0</v>
      </c>
      <c r="AQ13" s="964"/>
      <c r="AR13" s="964"/>
      <c r="AS13" s="964"/>
      <c r="AT13" s="964"/>
      <c r="AU13" s="964"/>
      <c r="AV13" s="964"/>
      <c r="AW13" s="964"/>
      <c r="AX13" s="964"/>
      <c r="AY13" s="968">
        <f t="shared" si="27"/>
        <v>0</v>
      </c>
      <c r="AZ13" s="969">
        <f t="shared" si="19"/>
        <v>0</v>
      </c>
      <c r="BB13" s="970">
        <f t="shared" si="28"/>
        <v>0</v>
      </c>
      <c r="BC13" s="970">
        <f t="shared" si="29"/>
        <v>0</v>
      </c>
      <c r="BD13" s="970">
        <f t="shared" si="30"/>
        <v>0</v>
      </c>
      <c r="BE13" s="970">
        <f t="shared" si="31"/>
        <v>0</v>
      </c>
      <c r="BF13" s="970">
        <f t="shared" si="32"/>
        <v>0</v>
      </c>
      <c r="BG13" s="970">
        <f t="shared" si="33"/>
        <v>0</v>
      </c>
      <c r="BH13" s="970">
        <f t="shared" si="34"/>
        <v>0</v>
      </c>
      <c r="BI13" s="970">
        <f t="shared" si="35"/>
        <v>0</v>
      </c>
      <c r="BJ13" s="168">
        <f t="shared" si="36"/>
        <v>0</v>
      </c>
      <c r="BK13" s="971">
        <f t="shared" si="21"/>
        <v>0</v>
      </c>
    </row>
    <row r="14" spans="1:63" outlineLevel="1" x14ac:dyDescent="0.2">
      <c r="A14" s="101" t="str">
        <f>IF(Personalplanung!B14&lt;&gt;"",Personalplanung!B14,IF(Personalplanung!A14&lt;&gt;"",Personalplanung!A14,""))</f>
        <v>Thomas Fleißig</v>
      </c>
      <c r="B14" s="168">
        <f>Personalplanung!AH14</f>
        <v>47964</v>
      </c>
      <c r="C14" s="168">
        <f>Personalplanung!AI14</f>
        <v>0</v>
      </c>
      <c r="D14" s="170">
        <f t="shared" si="22"/>
        <v>47964</v>
      </c>
      <c r="E14" s="960">
        <f>Personalplanung!AG14</f>
        <v>1</v>
      </c>
      <c r="F14" s="170"/>
      <c r="G14" s="961">
        <f>Personalplanung!AL14</f>
        <v>1800</v>
      </c>
      <c r="H14" s="961">
        <f t="shared" si="23"/>
        <v>47964</v>
      </c>
      <c r="I14" s="99"/>
      <c r="J14" s="964">
        <v>1</v>
      </c>
      <c r="K14" s="964"/>
      <c r="L14" s="964"/>
      <c r="M14" s="964"/>
      <c r="N14" s="964"/>
      <c r="O14" s="964"/>
      <c r="P14" s="964"/>
      <c r="Q14" s="964"/>
      <c r="R14" s="968">
        <f t="shared" si="24"/>
        <v>1</v>
      </c>
      <c r="S14" s="969">
        <f t="shared" si="0"/>
        <v>0</v>
      </c>
      <c r="U14" s="970">
        <f t="shared" si="1"/>
        <v>47964</v>
      </c>
      <c r="V14" s="970">
        <f t="shared" si="2"/>
        <v>0</v>
      </c>
      <c r="W14" s="970">
        <f t="shared" si="3"/>
        <v>0</v>
      </c>
      <c r="X14" s="970">
        <f t="shared" si="4"/>
        <v>0</v>
      </c>
      <c r="Y14" s="970">
        <f t="shared" si="5"/>
        <v>0</v>
      </c>
      <c r="Z14" s="970">
        <f t="shared" si="6"/>
        <v>0</v>
      </c>
      <c r="AA14" s="970">
        <f t="shared" si="7"/>
        <v>0</v>
      </c>
      <c r="AB14" s="970">
        <f t="shared" si="8"/>
        <v>0</v>
      </c>
      <c r="AC14" s="168">
        <f t="shared" si="25"/>
        <v>47964</v>
      </c>
      <c r="AD14" s="971">
        <f t="shared" si="9"/>
        <v>0</v>
      </c>
      <c r="AE14" s="136"/>
      <c r="AF14" s="970">
        <f t="shared" si="10"/>
        <v>1800</v>
      </c>
      <c r="AG14" s="970">
        <f t="shared" si="11"/>
        <v>0</v>
      </c>
      <c r="AH14" s="970">
        <f t="shared" si="12"/>
        <v>0</v>
      </c>
      <c r="AI14" s="970">
        <f t="shared" si="13"/>
        <v>0</v>
      </c>
      <c r="AJ14" s="970">
        <f t="shared" si="14"/>
        <v>0</v>
      </c>
      <c r="AK14" s="970">
        <f t="shared" si="15"/>
        <v>0</v>
      </c>
      <c r="AL14" s="970">
        <f t="shared" si="16"/>
        <v>0</v>
      </c>
      <c r="AM14" s="970">
        <f t="shared" si="17"/>
        <v>0</v>
      </c>
      <c r="AN14" s="168">
        <f t="shared" si="26"/>
        <v>1800</v>
      </c>
      <c r="AO14" s="971">
        <f t="shared" si="18"/>
        <v>0</v>
      </c>
      <c r="AQ14" s="964"/>
      <c r="AR14" s="964"/>
      <c r="AS14" s="964"/>
      <c r="AT14" s="964"/>
      <c r="AU14" s="964"/>
      <c r="AV14" s="964"/>
      <c r="AW14" s="964"/>
      <c r="AX14" s="964"/>
      <c r="AY14" s="968">
        <f t="shared" si="27"/>
        <v>0</v>
      </c>
      <c r="AZ14" s="969">
        <f t="shared" si="19"/>
        <v>0</v>
      </c>
      <c r="BB14" s="970">
        <f t="shared" si="28"/>
        <v>0</v>
      </c>
      <c r="BC14" s="970">
        <f t="shared" si="29"/>
        <v>0</v>
      </c>
      <c r="BD14" s="970">
        <f t="shared" si="30"/>
        <v>0</v>
      </c>
      <c r="BE14" s="970">
        <f t="shared" si="31"/>
        <v>0</v>
      </c>
      <c r="BF14" s="970">
        <f t="shared" si="32"/>
        <v>0</v>
      </c>
      <c r="BG14" s="970">
        <f t="shared" si="33"/>
        <v>0</v>
      </c>
      <c r="BH14" s="970">
        <f t="shared" si="34"/>
        <v>0</v>
      </c>
      <c r="BI14" s="970">
        <f t="shared" si="35"/>
        <v>0</v>
      </c>
      <c r="BJ14" s="168">
        <f t="shared" si="36"/>
        <v>0</v>
      </c>
      <c r="BK14" s="971">
        <f t="shared" si="21"/>
        <v>0</v>
      </c>
    </row>
    <row r="15" spans="1:63" outlineLevel="1" x14ac:dyDescent="0.2">
      <c r="A15" s="101" t="str">
        <f>IF(Personalplanung!B15&lt;&gt;"",Personalplanung!B15,IF(Personalplanung!A15&lt;&gt;"",Personalplanung!A15,""))</f>
        <v>Facharbeiter</v>
      </c>
      <c r="B15" s="168">
        <f>Personalplanung!AH15</f>
        <v>43680</v>
      </c>
      <c r="C15" s="168">
        <f>Personalplanung!AI15</f>
        <v>0</v>
      </c>
      <c r="D15" s="170">
        <f t="shared" si="22"/>
        <v>43680</v>
      </c>
      <c r="E15" s="960">
        <f>Personalplanung!AG15</f>
        <v>1</v>
      </c>
      <c r="F15" s="170"/>
      <c r="G15" s="961">
        <f>Personalplanung!AL15</f>
        <v>1760</v>
      </c>
      <c r="H15" s="961">
        <f t="shared" si="23"/>
        <v>43680</v>
      </c>
      <c r="I15" s="99"/>
      <c r="J15" s="964">
        <v>1</v>
      </c>
      <c r="K15" s="964"/>
      <c r="L15" s="964"/>
      <c r="M15" s="964"/>
      <c r="N15" s="964"/>
      <c r="O15" s="964"/>
      <c r="P15" s="964"/>
      <c r="Q15" s="964"/>
      <c r="R15" s="968">
        <f t="shared" si="24"/>
        <v>1</v>
      </c>
      <c r="S15" s="969">
        <f t="shared" si="0"/>
        <v>0</v>
      </c>
      <c r="U15" s="970">
        <f t="shared" si="1"/>
        <v>43680</v>
      </c>
      <c r="V15" s="970">
        <f t="shared" si="2"/>
        <v>0</v>
      </c>
      <c r="W15" s="970">
        <f t="shared" si="3"/>
        <v>0</v>
      </c>
      <c r="X15" s="970">
        <f t="shared" si="4"/>
        <v>0</v>
      </c>
      <c r="Y15" s="970">
        <f t="shared" si="5"/>
        <v>0</v>
      </c>
      <c r="Z15" s="970">
        <f t="shared" si="6"/>
        <v>0</v>
      </c>
      <c r="AA15" s="970">
        <f t="shared" si="7"/>
        <v>0</v>
      </c>
      <c r="AB15" s="970">
        <f t="shared" si="8"/>
        <v>0</v>
      </c>
      <c r="AC15" s="168">
        <f t="shared" si="25"/>
        <v>43680</v>
      </c>
      <c r="AD15" s="971">
        <f t="shared" si="9"/>
        <v>0</v>
      </c>
      <c r="AE15" s="136"/>
      <c r="AF15" s="970">
        <f t="shared" si="10"/>
        <v>1760</v>
      </c>
      <c r="AG15" s="970">
        <f t="shared" si="11"/>
        <v>0</v>
      </c>
      <c r="AH15" s="970">
        <f t="shared" si="12"/>
        <v>0</v>
      </c>
      <c r="AI15" s="970">
        <f t="shared" si="13"/>
        <v>0</v>
      </c>
      <c r="AJ15" s="970">
        <f t="shared" si="14"/>
        <v>0</v>
      </c>
      <c r="AK15" s="970">
        <f t="shared" si="15"/>
        <v>0</v>
      </c>
      <c r="AL15" s="970">
        <f t="shared" si="16"/>
        <v>0</v>
      </c>
      <c r="AM15" s="970">
        <f t="shared" si="17"/>
        <v>0</v>
      </c>
      <c r="AN15" s="168">
        <f t="shared" si="26"/>
        <v>1760</v>
      </c>
      <c r="AO15" s="971">
        <f t="shared" si="18"/>
        <v>0</v>
      </c>
      <c r="AQ15" s="964"/>
      <c r="AR15" s="964"/>
      <c r="AS15" s="964"/>
      <c r="AT15" s="964"/>
      <c r="AU15" s="964"/>
      <c r="AV15" s="964"/>
      <c r="AW15" s="964"/>
      <c r="AX15" s="964"/>
      <c r="AY15" s="968">
        <f t="shared" si="27"/>
        <v>0</v>
      </c>
      <c r="AZ15" s="969">
        <f t="shared" si="19"/>
        <v>0</v>
      </c>
      <c r="BB15" s="970">
        <f t="shared" si="28"/>
        <v>0</v>
      </c>
      <c r="BC15" s="970">
        <f t="shared" si="29"/>
        <v>0</v>
      </c>
      <c r="BD15" s="970">
        <f t="shared" si="30"/>
        <v>0</v>
      </c>
      <c r="BE15" s="970">
        <f t="shared" si="31"/>
        <v>0</v>
      </c>
      <c r="BF15" s="970">
        <f t="shared" si="32"/>
        <v>0</v>
      </c>
      <c r="BG15" s="970">
        <f t="shared" si="33"/>
        <v>0</v>
      </c>
      <c r="BH15" s="970">
        <f t="shared" si="34"/>
        <v>0</v>
      </c>
      <c r="BI15" s="970">
        <f t="shared" si="35"/>
        <v>0</v>
      </c>
      <c r="BJ15" s="168">
        <f t="shared" si="36"/>
        <v>0</v>
      </c>
      <c r="BK15" s="971">
        <f t="shared" si="21"/>
        <v>0</v>
      </c>
    </row>
    <row r="16" spans="1:63" outlineLevel="1" x14ac:dyDescent="0.2">
      <c r="A16" s="101" t="str">
        <f>IF(Personalplanung!B16&lt;&gt;"",Personalplanung!B16,IF(Personalplanung!A16&lt;&gt;"",Personalplanung!A16,""))</f>
        <v>Abgänger</v>
      </c>
      <c r="B16" s="168">
        <f>Personalplanung!AH16</f>
        <v>43680</v>
      </c>
      <c r="C16" s="168">
        <f>Personalplanung!AI16</f>
        <v>0</v>
      </c>
      <c r="D16" s="170">
        <f t="shared" si="22"/>
        <v>43680</v>
      </c>
      <c r="E16" s="960">
        <f>Personalplanung!AG16</f>
        <v>1</v>
      </c>
      <c r="F16" s="170"/>
      <c r="G16" s="961">
        <f>Personalplanung!AL16</f>
        <v>566</v>
      </c>
      <c r="H16" s="961">
        <f t="shared" si="23"/>
        <v>43680</v>
      </c>
      <c r="I16" s="99"/>
      <c r="J16" s="964">
        <v>1</v>
      </c>
      <c r="K16" s="964"/>
      <c r="L16" s="964"/>
      <c r="M16" s="964"/>
      <c r="N16" s="964"/>
      <c r="O16" s="964"/>
      <c r="P16" s="964"/>
      <c r="Q16" s="964"/>
      <c r="R16" s="968">
        <f t="shared" si="24"/>
        <v>1</v>
      </c>
      <c r="S16" s="969">
        <f t="shared" si="0"/>
        <v>0</v>
      </c>
      <c r="U16" s="970">
        <f t="shared" si="1"/>
        <v>43680</v>
      </c>
      <c r="V16" s="970">
        <f t="shared" si="2"/>
        <v>0</v>
      </c>
      <c r="W16" s="970">
        <f t="shared" si="3"/>
        <v>0</v>
      </c>
      <c r="X16" s="970">
        <f t="shared" si="4"/>
        <v>0</v>
      </c>
      <c r="Y16" s="970">
        <f t="shared" si="5"/>
        <v>0</v>
      </c>
      <c r="Z16" s="970">
        <f t="shared" si="6"/>
        <v>0</v>
      </c>
      <c r="AA16" s="970">
        <f t="shared" si="7"/>
        <v>0</v>
      </c>
      <c r="AB16" s="970">
        <f t="shared" si="8"/>
        <v>0</v>
      </c>
      <c r="AC16" s="168">
        <f t="shared" si="25"/>
        <v>43680</v>
      </c>
      <c r="AD16" s="971">
        <f t="shared" si="9"/>
        <v>0</v>
      </c>
      <c r="AE16" s="136"/>
      <c r="AF16" s="970">
        <f t="shared" si="10"/>
        <v>566</v>
      </c>
      <c r="AG16" s="970">
        <f t="shared" si="11"/>
        <v>0</v>
      </c>
      <c r="AH16" s="970">
        <f t="shared" si="12"/>
        <v>0</v>
      </c>
      <c r="AI16" s="970">
        <f t="shared" si="13"/>
        <v>0</v>
      </c>
      <c r="AJ16" s="970">
        <f t="shared" si="14"/>
        <v>0</v>
      </c>
      <c r="AK16" s="970">
        <f t="shared" si="15"/>
        <v>0</v>
      </c>
      <c r="AL16" s="970">
        <f t="shared" si="16"/>
        <v>0</v>
      </c>
      <c r="AM16" s="970">
        <f t="shared" si="17"/>
        <v>0</v>
      </c>
      <c r="AN16" s="168">
        <f t="shared" si="26"/>
        <v>566</v>
      </c>
      <c r="AO16" s="971">
        <f t="shared" si="18"/>
        <v>0</v>
      </c>
      <c r="AQ16" s="964"/>
      <c r="AR16" s="964"/>
      <c r="AS16" s="964"/>
      <c r="AT16" s="964"/>
      <c r="AU16" s="964"/>
      <c r="AV16" s="964"/>
      <c r="AW16" s="964"/>
      <c r="AX16" s="964"/>
      <c r="AY16" s="968">
        <f t="shared" si="27"/>
        <v>0</v>
      </c>
      <c r="AZ16" s="969">
        <f t="shared" si="19"/>
        <v>0</v>
      </c>
      <c r="BB16" s="970">
        <f t="shared" si="28"/>
        <v>0</v>
      </c>
      <c r="BC16" s="970">
        <f t="shared" si="29"/>
        <v>0</v>
      </c>
      <c r="BD16" s="970">
        <f t="shared" si="30"/>
        <v>0</v>
      </c>
      <c r="BE16" s="970">
        <f t="shared" si="31"/>
        <v>0</v>
      </c>
      <c r="BF16" s="970">
        <f t="shared" si="32"/>
        <v>0</v>
      </c>
      <c r="BG16" s="970">
        <f t="shared" si="33"/>
        <v>0</v>
      </c>
      <c r="BH16" s="970">
        <f t="shared" si="34"/>
        <v>0</v>
      </c>
      <c r="BI16" s="970">
        <f t="shared" si="35"/>
        <v>0</v>
      </c>
      <c r="BJ16" s="168">
        <f t="shared" si="36"/>
        <v>0</v>
      </c>
      <c r="BK16" s="971">
        <f t="shared" si="21"/>
        <v>0</v>
      </c>
    </row>
    <row r="17" spans="1:63" outlineLevel="1" x14ac:dyDescent="0.2">
      <c r="A17" s="101" t="str">
        <f>IF(Personalplanung!B17&lt;&gt;"",Personalplanung!B17,IF(Personalplanung!A17&lt;&gt;"",Personalplanung!A17,""))</f>
        <v>Facharbeiter</v>
      </c>
      <c r="B17" s="168">
        <f>Personalplanung!AH17</f>
        <v>45045</v>
      </c>
      <c r="C17" s="168">
        <f>Personalplanung!AI17</f>
        <v>0</v>
      </c>
      <c r="D17" s="170">
        <f t="shared" si="22"/>
        <v>45045</v>
      </c>
      <c r="E17" s="960">
        <f>Personalplanung!AG17</f>
        <v>1</v>
      </c>
      <c r="F17" s="170"/>
      <c r="G17" s="961">
        <f>Personalplanung!AL17</f>
        <v>1800</v>
      </c>
      <c r="H17" s="961">
        <f t="shared" si="23"/>
        <v>45045</v>
      </c>
      <c r="I17" s="99"/>
      <c r="J17" s="964">
        <v>1</v>
      </c>
      <c r="K17" s="964"/>
      <c r="L17" s="964"/>
      <c r="M17" s="964"/>
      <c r="N17" s="964"/>
      <c r="O17" s="964"/>
      <c r="P17" s="964"/>
      <c r="Q17" s="964"/>
      <c r="R17" s="968">
        <f t="shared" si="24"/>
        <v>1</v>
      </c>
      <c r="S17" s="969">
        <f t="shared" si="0"/>
        <v>0</v>
      </c>
      <c r="U17" s="970">
        <f t="shared" si="1"/>
        <v>45045</v>
      </c>
      <c r="V17" s="970">
        <f t="shared" si="2"/>
        <v>0</v>
      </c>
      <c r="W17" s="970">
        <f t="shared" si="3"/>
        <v>0</v>
      </c>
      <c r="X17" s="970">
        <f t="shared" si="4"/>
        <v>0</v>
      </c>
      <c r="Y17" s="970">
        <f t="shared" si="5"/>
        <v>0</v>
      </c>
      <c r="Z17" s="970">
        <f t="shared" si="6"/>
        <v>0</v>
      </c>
      <c r="AA17" s="970">
        <f t="shared" si="7"/>
        <v>0</v>
      </c>
      <c r="AB17" s="970">
        <f t="shared" si="8"/>
        <v>0</v>
      </c>
      <c r="AC17" s="168">
        <f t="shared" si="25"/>
        <v>45045</v>
      </c>
      <c r="AD17" s="971">
        <f t="shared" si="9"/>
        <v>0</v>
      </c>
      <c r="AE17" s="136"/>
      <c r="AF17" s="970">
        <f t="shared" si="10"/>
        <v>1800</v>
      </c>
      <c r="AG17" s="970">
        <f t="shared" si="11"/>
        <v>0</v>
      </c>
      <c r="AH17" s="970">
        <f t="shared" si="12"/>
        <v>0</v>
      </c>
      <c r="AI17" s="970">
        <f t="shared" si="13"/>
        <v>0</v>
      </c>
      <c r="AJ17" s="970">
        <f t="shared" si="14"/>
        <v>0</v>
      </c>
      <c r="AK17" s="970">
        <f t="shared" si="15"/>
        <v>0</v>
      </c>
      <c r="AL17" s="970">
        <f t="shared" si="16"/>
        <v>0</v>
      </c>
      <c r="AM17" s="970">
        <f t="shared" si="17"/>
        <v>0</v>
      </c>
      <c r="AN17" s="168">
        <f t="shared" si="26"/>
        <v>1800</v>
      </c>
      <c r="AO17" s="971">
        <f t="shared" si="18"/>
        <v>0</v>
      </c>
      <c r="AQ17" s="964"/>
      <c r="AR17" s="964"/>
      <c r="AS17" s="964"/>
      <c r="AT17" s="964"/>
      <c r="AU17" s="964"/>
      <c r="AV17" s="964"/>
      <c r="AW17" s="964"/>
      <c r="AX17" s="964"/>
      <c r="AY17" s="968">
        <f t="shared" si="27"/>
        <v>0</v>
      </c>
      <c r="AZ17" s="969">
        <f t="shared" si="19"/>
        <v>0</v>
      </c>
      <c r="BB17" s="970">
        <f t="shared" si="28"/>
        <v>0</v>
      </c>
      <c r="BC17" s="970">
        <f t="shared" si="29"/>
        <v>0</v>
      </c>
      <c r="BD17" s="970">
        <f t="shared" si="30"/>
        <v>0</v>
      </c>
      <c r="BE17" s="970">
        <f t="shared" si="31"/>
        <v>0</v>
      </c>
      <c r="BF17" s="970">
        <f t="shared" si="32"/>
        <v>0</v>
      </c>
      <c r="BG17" s="970">
        <f t="shared" si="33"/>
        <v>0</v>
      </c>
      <c r="BH17" s="970">
        <f t="shared" si="34"/>
        <v>0</v>
      </c>
      <c r="BI17" s="970">
        <f t="shared" si="35"/>
        <v>0</v>
      </c>
      <c r="BJ17" s="168">
        <f t="shared" si="36"/>
        <v>0</v>
      </c>
      <c r="BK17" s="971">
        <f t="shared" si="21"/>
        <v>0</v>
      </c>
    </row>
    <row r="18" spans="1:63" outlineLevel="1" x14ac:dyDescent="0.2">
      <c r="A18" s="101" t="str">
        <f>IF(Personalplanung!B18&lt;&gt;"",Personalplanung!B18,IF(Personalplanung!A18&lt;&gt;"",Personalplanung!A18,""))</f>
        <v>Facharbeiter</v>
      </c>
      <c r="B18" s="168">
        <f>Personalplanung!AH18</f>
        <v>46410</v>
      </c>
      <c r="C18" s="168">
        <f>Personalplanung!AI18</f>
        <v>0</v>
      </c>
      <c r="D18" s="170">
        <f t="shared" si="22"/>
        <v>46410</v>
      </c>
      <c r="E18" s="960">
        <f>Personalplanung!AG18</f>
        <v>1</v>
      </c>
      <c r="F18" s="170"/>
      <c r="G18" s="961">
        <f>Personalplanung!AL18</f>
        <v>1768</v>
      </c>
      <c r="H18" s="961">
        <f t="shared" si="23"/>
        <v>46410</v>
      </c>
      <c r="I18" s="99"/>
      <c r="J18" s="964">
        <v>1</v>
      </c>
      <c r="K18" s="964"/>
      <c r="L18" s="964"/>
      <c r="M18" s="964"/>
      <c r="N18" s="964"/>
      <c r="O18" s="964"/>
      <c r="P18" s="964"/>
      <c r="Q18" s="964"/>
      <c r="R18" s="968">
        <f t="shared" si="24"/>
        <v>1</v>
      </c>
      <c r="S18" s="969">
        <f t="shared" si="0"/>
        <v>0</v>
      </c>
      <c r="U18" s="970">
        <f t="shared" si="1"/>
        <v>46410</v>
      </c>
      <c r="V18" s="970">
        <f t="shared" si="2"/>
        <v>0</v>
      </c>
      <c r="W18" s="970">
        <f t="shared" si="3"/>
        <v>0</v>
      </c>
      <c r="X18" s="970">
        <f t="shared" si="4"/>
        <v>0</v>
      </c>
      <c r="Y18" s="970">
        <f t="shared" si="5"/>
        <v>0</v>
      </c>
      <c r="Z18" s="970">
        <f t="shared" si="6"/>
        <v>0</v>
      </c>
      <c r="AA18" s="970">
        <f t="shared" si="7"/>
        <v>0</v>
      </c>
      <c r="AB18" s="970">
        <f t="shared" si="8"/>
        <v>0</v>
      </c>
      <c r="AC18" s="168">
        <f t="shared" si="25"/>
        <v>46410</v>
      </c>
      <c r="AD18" s="971">
        <f t="shared" si="9"/>
        <v>0</v>
      </c>
      <c r="AE18" s="136"/>
      <c r="AF18" s="970">
        <f t="shared" si="10"/>
        <v>1768</v>
      </c>
      <c r="AG18" s="970">
        <f t="shared" si="11"/>
        <v>0</v>
      </c>
      <c r="AH18" s="970">
        <f t="shared" si="12"/>
        <v>0</v>
      </c>
      <c r="AI18" s="970">
        <f t="shared" si="13"/>
        <v>0</v>
      </c>
      <c r="AJ18" s="970">
        <f t="shared" si="14"/>
        <v>0</v>
      </c>
      <c r="AK18" s="970">
        <f t="shared" si="15"/>
        <v>0</v>
      </c>
      <c r="AL18" s="970">
        <f t="shared" si="16"/>
        <v>0</v>
      </c>
      <c r="AM18" s="970">
        <f t="shared" si="17"/>
        <v>0</v>
      </c>
      <c r="AN18" s="168">
        <f t="shared" si="26"/>
        <v>1768</v>
      </c>
      <c r="AO18" s="971">
        <f t="shared" si="18"/>
        <v>0</v>
      </c>
      <c r="AQ18" s="964"/>
      <c r="AR18" s="964"/>
      <c r="AS18" s="964"/>
      <c r="AT18" s="964"/>
      <c r="AU18" s="964"/>
      <c r="AV18" s="964"/>
      <c r="AW18" s="964"/>
      <c r="AX18" s="964"/>
      <c r="AY18" s="968">
        <f t="shared" si="27"/>
        <v>0</v>
      </c>
      <c r="AZ18" s="969">
        <f t="shared" si="19"/>
        <v>0</v>
      </c>
      <c r="BB18" s="970">
        <f t="shared" si="28"/>
        <v>0</v>
      </c>
      <c r="BC18" s="970">
        <f t="shared" si="29"/>
        <v>0</v>
      </c>
      <c r="BD18" s="970">
        <f t="shared" si="30"/>
        <v>0</v>
      </c>
      <c r="BE18" s="970">
        <f t="shared" si="31"/>
        <v>0</v>
      </c>
      <c r="BF18" s="970">
        <f t="shared" si="32"/>
        <v>0</v>
      </c>
      <c r="BG18" s="970">
        <f t="shared" si="33"/>
        <v>0</v>
      </c>
      <c r="BH18" s="970">
        <f t="shared" si="34"/>
        <v>0</v>
      </c>
      <c r="BI18" s="970">
        <f t="shared" si="35"/>
        <v>0</v>
      </c>
      <c r="BJ18" s="168">
        <f t="shared" si="36"/>
        <v>0</v>
      </c>
      <c r="BK18" s="971">
        <f t="shared" si="21"/>
        <v>0</v>
      </c>
    </row>
    <row r="19" spans="1:63" outlineLevel="1" x14ac:dyDescent="0.2">
      <c r="A19" s="101" t="str">
        <f>IF(Personalplanung!B19&lt;&gt;"",Personalplanung!B19,IF(Personalplanung!A19&lt;&gt;"",Personalplanung!A19,""))</f>
        <v>Elternzeit Geselle</v>
      </c>
      <c r="B19" s="168">
        <f>Personalplanung!AH19</f>
        <v>30712.5</v>
      </c>
      <c r="C19" s="168">
        <f>Personalplanung!AI19</f>
        <v>0</v>
      </c>
      <c r="D19" s="170">
        <f t="shared" si="22"/>
        <v>30712.5</v>
      </c>
      <c r="E19" s="960">
        <f>Personalplanung!AG19</f>
        <v>1</v>
      </c>
      <c r="F19" s="170"/>
      <c r="G19" s="961">
        <f>Personalplanung!AL19</f>
        <v>828</v>
      </c>
      <c r="H19" s="961">
        <f t="shared" si="23"/>
        <v>30712.5</v>
      </c>
      <c r="I19" s="99"/>
      <c r="J19" s="964">
        <v>1</v>
      </c>
      <c r="K19" s="964"/>
      <c r="L19" s="964"/>
      <c r="M19" s="964"/>
      <c r="N19" s="964"/>
      <c r="O19" s="964"/>
      <c r="P19" s="964"/>
      <c r="Q19" s="964"/>
      <c r="R19" s="968">
        <f t="shared" si="24"/>
        <v>1</v>
      </c>
      <c r="S19" s="969">
        <f t="shared" si="0"/>
        <v>0</v>
      </c>
      <c r="U19" s="970">
        <f t="shared" si="1"/>
        <v>30712.5</v>
      </c>
      <c r="V19" s="970">
        <f t="shared" si="2"/>
        <v>0</v>
      </c>
      <c r="W19" s="970">
        <f t="shared" si="3"/>
        <v>0</v>
      </c>
      <c r="X19" s="970">
        <f t="shared" si="4"/>
        <v>0</v>
      </c>
      <c r="Y19" s="970">
        <f t="shared" si="5"/>
        <v>0</v>
      </c>
      <c r="Z19" s="970">
        <f t="shared" si="6"/>
        <v>0</v>
      </c>
      <c r="AA19" s="970">
        <f t="shared" si="7"/>
        <v>0</v>
      </c>
      <c r="AB19" s="970">
        <f t="shared" si="8"/>
        <v>0</v>
      </c>
      <c r="AC19" s="168">
        <f t="shared" si="25"/>
        <v>30712.5</v>
      </c>
      <c r="AD19" s="971">
        <f t="shared" si="9"/>
        <v>0</v>
      </c>
      <c r="AE19" s="136"/>
      <c r="AF19" s="970">
        <f t="shared" si="10"/>
        <v>828</v>
      </c>
      <c r="AG19" s="970">
        <f t="shared" si="11"/>
        <v>0</v>
      </c>
      <c r="AH19" s="970">
        <f t="shared" si="12"/>
        <v>0</v>
      </c>
      <c r="AI19" s="970">
        <f t="shared" si="13"/>
        <v>0</v>
      </c>
      <c r="AJ19" s="970">
        <f t="shared" si="14"/>
        <v>0</v>
      </c>
      <c r="AK19" s="970">
        <f t="shared" si="15"/>
        <v>0</v>
      </c>
      <c r="AL19" s="970">
        <f t="shared" si="16"/>
        <v>0</v>
      </c>
      <c r="AM19" s="970">
        <f t="shared" si="17"/>
        <v>0</v>
      </c>
      <c r="AN19" s="168">
        <f t="shared" si="26"/>
        <v>828</v>
      </c>
      <c r="AO19" s="971">
        <f t="shared" si="18"/>
        <v>0</v>
      </c>
      <c r="AQ19" s="964"/>
      <c r="AR19" s="964"/>
      <c r="AS19" s="964"/>
      <c r="AT19" s="964"/>
      <c r="AU19" s="964"/>
      <c r="AV19" s="964"/>
      <c r="AW19" s="964"/>
      <c r="AX19" s="964"/>
      <c r="AY19" s="968">
        <f t="shared" si="27"/>
        <v>0</v>
      </c>
      <c r="AZ19" s="969">
        <f t="shared" si="19"/>
        <v>0</v>
      </c>
      <c r="BB19" s="970">
        <f t="shared" si="28"/>
        <v>0</v>
      </c>
      <c r="BC19" s="970">
        <f t="shared" si="29"/>
        <v>0</v>
      </c>
      <c r="BD19" s="970">
        <f t="shared" si="30"/>
        <v>0</v>
      </c>
      <c r="BE19" s="970">
        <f t="shared" si="31"/>
        <v>0</v>
      </c>
      <c r="BF19" s="970">
        <f t="shared" si="32"/>
        <v>0</v>
      </c>
      <c r="BG19" s="970">
        <f t="shared" si="33"/>
        <v>0</v>
      </c>
      <c r="BH19" s="970">
        <f t="shared" si="34"/>
        <v>0</v>
      </c>
      <c r="BI19" s="970">
        <f t="shared" si="35"/>
        <v>0</v>
      </c>
      <c r="BJ19" s="168">
        <f t="shared" si="36"/>
        <v>0</v>
      </c>
      <c r="BK19" s="971">
        <f t="shared" si="21"/>
        <v>0</v>
      </c>
    </row>
    <row r="20" spans="1:63" outlineLevel="1" x14ac:dyDescent="0.2">
      <c r="A20" s="101" t="str">
        <f>IF(Personalplanung!B20&lt;&gt;"",Personalplanung!B20,IF(Personalplanung!A20&lt;&gt;"",Personalplanung!A20,""))</f>
        <v>A. Zubi</v>
      </c>
      <c r="B20" s="168">
        <f>Personalplanung!AH20</f>
        <v>15600</v>
      </c>
      <c r="C20" s="168">
        <f>Personalplanung!AI20</f>
        <v>0</v>
      </c>
      <c r="D20" s="170">
        <f t="shared" si="22"/>
        <v>15600</v>
      </c>
      <c r="E20" s="960">
        <f>Personalplanung!AG20</f>
        <v>1</v>
      </c>
      <c r="F20" s="170"/>
      <c r="G20" s="961">
        <f>Personalplanung!AL20</f>
        <v>710.40000000000009</v>
      </c>
      <c r="H20" s="961">
        <f t="shared" si="23"/>
        <v>15600</v>
      </c>
      <c r="I20" s="99"/>
      <c r="J20" s="964">
        <v>1</v>
      </c>
      <c r="K20" s="964"/>
      <c r="L20" s="964"/>
      <c r="M20" s="964"/>
      <c r="N20" s="964"/>
      <c r="O20" s="964"/>
      <c r="P20" s="964"/>
      <c r="Q20" s="964"/>
      <c r="R20" s="968">
        <f t="shared" si="24"/>
        <v>1</v>
      </c>
      <c r="S20" s="969">
        <f t="shared" si="0"/>
        <v>0</v>
      </c>
      <c r="U20" s="970">
        <f t="shared" si="1"/>
        <v>15600</v>
      </c>
      <c r="V20" s="970">
        <f t="shared" si="2"/>
        <v>0</v>
      </c>
      <c r="W20" s="970">
        <f t="shared" si="3"/>
        <v>0</v>
      </c>
      <c r="X20" s="970">
        <f t="shared" si="4"/>
        <v>0</v>
      </c>
      <c r="Y20" s="970">
        <f t="shared" si="5"/>
        <v>0</v>
      </c>
      <c r="Z20" s="970">
        <f t="shared" si="6"/>
        <v>0</v>
      </c>
      <c r="AA20" s="970">
        <f t="shared" si="7"/>
        <v>0</v>
      </c>
      <c r="AB20" s="970">
        <f t="shared" si="8"/>
        <v>0</v>
      </c>
      <c r="AC20" s="168">
        <f t="shared" si="25"/>
        <v>15600</v>
      </c>
      <c r="AD20" s="971">
        <f t="shared" si="9"/>
        <v>0</v>
      </c>
      <c r="AE20" s="136"/>
      <c r="AF20" s="970">
        <f t="shared" si="10"/>
        <v>710.40000000000009</v>
      </c>
      <c r="AG20" s="970">
        <f t="shared" si="11"/>
        <v>0</v>
      </c>
      <c r="AH20" s="970">
        <f t="shared" si="12"/>
        <v>0</v>
      </c>
      <c r="AI20" s="970">
        <f t="shared" si="13"/>
        <v>0</v>
      </c>
      <c r="AJ20" s="970">
        <f t="shared" si="14"/>
        <v>0</v>
      </c>
      <c r="AK20" s="970">
        <f t="shared" si="15"/>
        <v>0</v>
      </c>
      <c r="AL20" s="970">
        <f t="shared" si="16"/>
        <v>0</v>
      </c>
      <c r="AM20" s="970">
        <f t="shared" si="17"/>
        <v>0</v>
      </c>
      <c r="AN20" s="168">
        <f t="shared" si="26"/>
        <v>710.40000000000009</v>
      </c>
      <c r="AO20" s="971">
        <f t="shared" si="18"/>
        <v>0</v>
      </c>
      <c r="AQ20" s="964"/>
      <c r="AR20" s="964"/>
      <c r="AS20" s="964"/>
      <c r="AT20" s="964"/>
      <c r="AU20" s="964"/>
      <c r="AV20" s="964"/>
      <c r="AW20" s="964"/>
      <c r="AX20" s="964"/>
      <c r="AY20" s="968">
        <f t="shared" si="27"/>
        <v>0</v>
      </c>
      <c r="AZ20" s="969">
        <f t="shared" si="19"/>
        <v>0</v>
      </c>
      <c r="BB20" s="970">
        <f t="shared" si="28"/>
        <v>0</v>
      </c>
      <c r="BC20" s="970">
        <f t="shared" si="29"/>
        <v>0</v>
      </c>
      <c r="BD20" s="970">
        <f t="shared" si="30"/>
        <v>0</v>
      </c>
      <c r="BE20" s="970">
        <f t="shared" si="31"/>
        <v>0</v>
      </c>
      <c r="BF20" s="970">
        <f t="shared" si="32"/>
        <v>0</v>
      </c>
      <c r="BG20" s="970">
        <f t="shared" si="33"/>
        <v>0</v>
      </c>
      <c r="BH20" s="970">
        <f t="shared" si="34"/>
        <v>0</v>
      </c>
      <c r="BI20" s="970">
        <f t="shared" si="35"/>
        <v>0</v>
      </c>
      <c r="BJ20" s="168">
        <f t="shared" si="36"/>
        <v>0</v>
      </c>
      <c r="BK20" s="971">
        <f t="shared" si="21"/>
        <v>0</v>
      </c>
    </row>
    <row r="21" spans="1:63" outlineLevel="1" x14ac:dyDescent="0.2">
      <c r="A21" s="101" t="str">
        <f>IF(Personalplanung!B21&lt;&gt;"",Personalplanung!B21,IF(Personalplanung!A21&lt;&gt;"",Personalplanung!A21,""))</f>
        <v>Zur Ausbildung</v>
      </c>
      <c r="B21" s="168">
        <f>Personalplanung!AH21</f>
        <v>14372</v>
      </c>
      <c r="C21" s="168">
        <f>Personalplanung!AI21</f>
        <v>0</v>
      </c>
      <c r="D21" s="170">
        <f t="shared" ref="D21:D84" si="37">B21+C21</f>
        <v>14372</v>
      </c>
      <c r="E21" s="960">
        <f>Personalplanung!AG21</f>
        <v>1</v>
      </c>
      <c r="F21" s="170"/>
      <c r="G21" s="961">
        <f>Personalplanung!AL21</f>
        <v>116.4</v>
      </c>
      <c r="H21" s="961">
        <f t="shared" ref="H21:H84" si="38">E21*D21</f>
        <v>14372</v>
      </c>
      <c r="I21" s="99"/>
      <c r="J21" s="964">
        <v>1</v>
      </c>
      <c r="K21" s="964"/>
      <c r="L21" s="964"/>
      <c r="M21" s="964"/>
      <c r="N21" s="964"/>
      <c r="O21" s="964"/>
      <c r="P21" s="964"/>
      <c r="Q21" s="964"/>
      <c r="R21" s="968">
        <f t="shared" ref="R21:R84" si="39">SUM(J21:Q21)</f>
        <v>1</v>
      </c>
      <c r="S21" s="969">
        <f t="shared" si="0"/>
        <v>0</v>
      </c>
      <c r="U21" s="970">
        <f t="shared" ref="U21:U84" si="40">$H21*J21</f>
        <v>14372</v>
      </c>
      <c r="V21" s="970">
        <f t="shared" ref="V21:V84" si="41">$H21*K21</f>
        <v>0</v>
      </c>
      <c r="W21" s="970">
        <f t="shared" ref="W21:W84" si="42">$H21*L21</f>
        <v>0</v>
      </c>
      <c r="X21" s="970">
        <f t="shared" ref="X21:X84" si="43">$H21*M21</f>
        <v>0</v>
      </c>
      <c r="Y21" s="970">
        <f t="shared" ref="Y21:Y84" si="44">$H21*N21</f>
        <v>0</v>
      </c>
      <c r="Z21" s="970">
        <f t="shared" ref="Z21:Z84" si="45">$H21*O21</f>
        <v>0</v>
      </c>
      <c r="AA21" s="970">
        <f t="shared" ref="AA21:AA84" si="46">$H21*P21</f>
        <v>0</v>
      </c>
      <c r="AB21" s="970">
        <f t="shared" ref="AB21:AB84" si="47">$H21*Q21</f>
        <v>0</v>
      </c>
      <c r="AC21" s="168">
        <f t="shared" ref="AC21:AC84" si="48">SUM(U21:AB21)</f>
        <v>14372</v>
      </c>
      <c r="AD21" s="971">
        <f t="shared" si="9"/>
        <v>0</v>
      </c>
      <c r="AE21" s="136"/>
      <c r="AF21" s="970">
        <f t="shared" si="10"/>
        <v>116.4</v>
      </c>
      <c r="AG21" s="970">
        <f t="shared" si="11"/>
        <v>0</v>
      </c>
      <c r="AH21" s="970">
        <f t="shared" si="12"/>
        <v>0</v>
      </c>
      <c r="AI21" s="970">
        <f t="shared" si="13"/>
        <v>0</v>
      </c>
      <c r="AJ21" s="970">
        <f t="shared" si="14"/>
        <v>0</v>
      </c>
      <c r="AK21" s="970">
        <f t="shared" si="15"/>
        <v>0</v>
      </c>
      <c r="AL21" s="970">
        <f t="shared" si="16"/>
        <v>0</v>
      </c>
      <c r="AM21" s="970">
        <f t="shared" si="17"/>
        <v>0</v>
      </c>
      <c r="AN21" s="168">
        <f t="shared" ref="AN21:AN84" si="49">SUM(AF21:AM21)</f>
        <v>116.4</v>
      </c>
      <c r="AO21" s="971">
        <f t="shared" si="18"/>
        <v>0</v>
      </c>
      <c r="AQ21" s="964"/>
      <c r="AR21" s="964"/>
      <c r="AS21" s="964"/>
      <c r="AT21" s="964"/>
      <c r="AU21" s="964"/>
      <c r="AV21" s="964"/>
      <c r="AW21" s="964"/>
      <c r="AX21" s="964"/>
      <c r="AY21" s="968">
        <f t="shared" ref="AY21:AY84" si="50">SUM(AQ21:AX21)</f>
        <v>0</v>
      </c>
      <c r="AZ21" s="969">
        <f t="shared" si="19"/>
        <v>0</v>
      </c>
      <c r="BB21" s="970">
        <f t="shared" ref="BB21:BB84" si="51">($D21-$H21)*AQ21</f>
        <v>0</v>
      </c>
      <c r="BC21" s="970">
        <f t="shared" ref="BC21:BC84" si="52">($D21-$H21)*AR21</f>
        <v>0</v>
      </c>
      <c r="BD21" s="970">
        <f t="shared" ref="BD21:BD84" si="53">($D21-$H21)*AS21</f>
        <v>0</v>
      </c>
      <c r="BE21" s="970">
        <f t="shared" ref="BE21:BE84" si="54">($D21-$H21)*AT21</f>
        <v>0</v>
      </c>
      <c r="BF21" s="970">
        <f t="shared" ref="BF21:BF84" si="55">($D21-$H21)*AU21</f>
        <v>0</v>
      </c>
      <c r="BG21" s="970">
        <f t="shared" ref="BG21:BG84" si="56">($D21-$H21)*AV21</f>
        <v>0</v>
      </c>
      <c r="BH21" s="970">
        <f t="shared" ref="BH21:BH84" si="57">($D21-$H21)*AW21</f>
        <v>0</v>
      </c>
      <c r="BI21" s="970">
        <f t="shared" ref="BI21:BI84" si="58">($D21-$H21)*AX21</f>
        <v>0</v>
      </c>
      <c r="BJ21" s="168">
        <f t="shared" ref="BJ21:BJ84" si="59">SUM(BB21:BI21)</f>
        <v>0</v>
      </c>
      <c r="BK21" s="971">
        <f t="shared" si="21"/>
        <v>0</v>
      </c>
    </row>
    <row r="22" spans="1:63" outlineLevel="1" x14ac:dyDescent="0.2">
      <c r="A22" s="101" t="str">
        <f>IF(Personalplanung!B22&lt;&gt;"",Personalplanung!B22,IF(Personalplanung!A22&lt;&gt;"",Personalplanung!A22,""))</f>
        <v>Reine Putze</v>
      </c>
      <c r="B22" s="168">
        <f>Personalplanung!AH22</f>
        <v>0</v>
      </c>
      <c r="C22" s="168">
        <f>Personalplanung!AI22</f>
        <v>8002.3666666666668</v>
      </c>
      <c r="D22" s="170">
        <f t="shared" si="37"/>
        <v>8002.3666666666668</v>
      </c>
      <c r="E22" s="960">
        <f>Personalplanung!AG22</f>
        <v>0</v>
      </c>
      <c r="F22" s="170"/>
      <c r="G22" s="961">
        <f>Personalplanung!AL22</f>
        <v>0</v>
      </c>
      <c r="H22" s="961">
        <f t="shared" si="38"/>
        <v>0</v>
      </c>
      <c r="I22" s="99"/>
      <c r="J22" s="964">
        <v>1</v>
      </c>
      <c r="K22" s="964"/>
      <c r="L22" s="964"/>
      <c r="M22" s="964"/>
      <c r="N22" s="964"/>
      <c r="O22" s="964"/>
      <c r="P22" s="964"/>
      <c r="Q22" s="964"/>
      <c r="R22" s="968">
        <f t="shared" si="39"/>
        <v>1</v>
      </c>
      <c r="S22" s="969">
        <f t="shared" si="0"/>
        <v>0</v>
      </c>
      <c r="U22" s="970">
        <f t="shared" si="40"/>
        <v>0</v>
      </c>
      <c r="V22" s="970">
        <f t="shared" si="41"/>
        <v>0</v>
      </c>
      <c r="W22" s="970">
        <f t="shared" si="42"/>
        <v>0</v>
      </c>
      <c r="X22" s="970">
        <f t="shared" si="43"/>
        <v>0</v>
      </c>
      <c r="Y22" s="970">
        <f t="shared" si="44"/>
        <v>0</v>
      </c>
      <c r="Z22" s="970">
        <f t="shared" si="45"/>
        <v>0</v>
      </c>
      <c r="AA22" s="970">
        <f t="shared" si="46"/>
        <v>0</v>
      </c>
      <c r="AB22" s="970">
        <f t="shared" si="47"/>
        <v>0</v>
      </c>
      <c r="AC22" s="168">
        <f t="shared" si="48"/>
        <v>0</v>
      </c>
      <c r="AD22" s="971">
        <f t="shared" si="9"/>
        <v>0</v>
      </c>
      <c r="AE22" s="136"/>
      <c r="AF22" s="970">
        <f t="shared" si="10"/>
        <v>0</v>
      </c>
      <c r="AG22" s="970">
        <f t="shared" si="11"/>
        <v>0</v>
      </c>
      <c r="AH22" s="970">
        <f t="shared" si="12"/>
        <v>0</v>
      </c>
      <c r="AI22" s="970">
        <f t="shared" si="13"/>
        <v>0</v>
      </c>
      <c r="AJ22" s="970">
        <f t="shared" si="14"/>
        <v>0</v>
      </c>
      <c r="AK22" s="970">
        <f t="shared" si="15"/>
        <v>0</v>
      </c>
      <c r="AL22" s="970">
        <f t="shared" si="16"/>
        <v>0</v>
      </c>
      <c r="AM22" s="970">
        <f t="shared" si="17"/>
        <v>0</v>
      </c>
      <c r="AN22" s="168">
        <f t="shared" si="49"/>
        <v>0</v>
      </c>
      <c r="AO22" s="971">
        <f t="shared" si="18"/>
        <v>0</v>
      </c>
      <c r="AQ22" s="964"/>
      <c r="AR22" s="964"/>
      <c r="AS22" s="964"/>
      <c r="AT22" s="964"/>
      <c r="AU22" s="964"/>
      <c r="AV22" s="964"/>
      <c r="AW22" s="964"/>
      <c r="AX22" s="964"/>
      <c r="AY22" s="968">
        <f t="shared" si="50"/>
        <v>0</v>
      </c>
      <c r="AZ22" s="969" t="str">
        <f t="shared" si="19"/>
        <v>bitte prüfen!</v>
      </c>
      <c r="BB22" s="970">
        <f t="shared" si="51"/>
        <v>0</v>
      </c>
      <c r="BC22" s="970">
        <f t="shared" si="52"/>
        <v>0</v>
      </c>
      <c r="BD22" s="970">
        <f t="shared" si="53"/>
        <v>0</v>
      </c>
      <c r="BE22" s="970">
        <f t="shared" si="54"/>
        <v>0</v>
      </c>
      <c r="BF22" s="970">
        <f t="shared" si="55"/>
        <v>0</v>
      </c>
      <c r="BG22" s="970">
        <f t="shared" si="56"/>
        <v>0</v>
      </c>
      <c r="BH22" s="970">
        <f t="shared" si="57"/>
        <v>0</v>
      </c>
      <c r="BI22" s="970">
        <f t="shared" si="58"/>
        <v>0</v>
      </c>
      <c r="BJ22" s="168">
        <f t="shared" si="59"/>
        <v>0</v>
      </c>
      <c r="BK22" s="971">
        <f t="shared" si="21"/>
        <v>-8002.3666666666668</v>
      </c>
    </row>
    <row r="23" spans="1:63" outlineLevel="1" x14ac:dyDescent="0.2">
      <c r="A23" s="101" t="str">
        <f>IF(Personalplanung!B23&lt;&gt;"",Personalplanung!B23,IF(Personalplanung!A23&lt;&gt;"",Personalplanung!A23,""))</f>
        <v/>
      </c>
      <c r="B23" s="168">
        <f>Personalplanung!AH23</f>
        <v>0</v>
      </c>
      <c r="C23" s="168">
        <f>Personalplanung!AI23</f>
        <v>0</v>
      </c>
      <c r="D23" s="170">
        <f t="shared" si="37"/>
        <v>0</v>
      </c>
      <c r="E23" s="960">
        <f>Personalplanung!AG23</f>
        <v>0</v>
      </c>
      <c r="F23" s="170"/>
      <c r="G23" s="961">
        <f>Personalplanung!AL23</f>
        <v>0</v>
      </c>
      <c r="H23" s="961">
        <f t="shared" si="38"/>
        <v>0</v>
      </c>
      <c r="I23" s="99"/>
      <c r="J23" s="964">
        <v>1</v>
      </c>
      <c r="K23" s="964"/>
      <c r="L23" s="964"/>
      <c r="M23" s="964"/>
      <c r="N23" s="964"/>
      <c r="O23" s="964"/>
      <c r="P23" s="964"/>
      <c r="Q23" s="964"/>
      <c r="R23" s="968">
        <f t="shared" si="39"/>
        <v>1</v>
      </c>
      <c r="S23" s="969">
        <f t="shared" si="0"/>
        <v>0</v>
      </c>
      <c r="U23" s="970">
        <f t="shared" si="40"/>
        <v>0</v>
      </c>
      <c r="V23" s="970">
        <f t="shared" si="41"/>
        <v>0</v>
      </c>
      <c r="W23" s="970">
        <f t="shared" si="42"/>
        <v>0</v>
      </c>
      <c r="X23" s="970">
        <f t="shared" si="43"/>
        <v>0</v>
      </c>
      <c r="Y23" s="970">
        <f t="shared" si="44"/>
        <v>0</v>
      </c>
      <c r="Z23" s="970">
        <f t="shared" si="45"/>
        <v>0</v>
      </c>
      <c r="AA23" s="970">
        <f t="shared" si="46"/>
        <v>0</v>
      </c>
      <c r="AB23" s="970">
        <f t="shared" si="47"/>
        <v>0</v>
      </c>
      <c r="AC23" s="168">
        <f t="shared" si="48"/>
        <v>0</v>
      </c>
      <c r="AD23" s="971">
        <f t="shared" si="9"/>
        <v>0</v>
      </c>
      <c r="AE23" s="136"/>
      <c r="AF23" s="970">
        <f t="shared" si="10"/>
        <v>0</v>
      </c>
      <c r="AG23" s="970">
        <f t="shared" si="11"/>
        <v>0</v>
      </c>
      <c r="AH23" s="970">
        <f t="shared" si="12"/>
        <v>0</v>
      </c>
      <c r="AI23" s="970">
        <f t="shared" si="13"/>
        <v>0</v>
      </c>
      <c r="AJ23" s="970">
        <f t="shared" si="14"/>
        <v>0</v>
      </c>
      <c r="AK23" s="970">
        <f t="shared" si="15"/>
        <v>0</v>
      </c>
      <c r="AL23" s="970">
        <f t="shared" si="16"/>
        <v>0</v>
      </c>
      <c r="AM23" s="970">
        <f t="shared" si="17"/>
        <v>0</v>
      </c>
      <c r="AN23" s="168">
        <f t="shared" si="49"/>
        <v>0</v>
      </c>
      <c r="AO23" s="971">
        <f t="shared" si="18"/>
        <v>0</v>
      </c>
      <c r="AQ23" s="964"/>
      <c r="AR23" s="964"/>
      <c r="AS23" s="964"/>
      <c r="AT23" s="964"/>
      <c r="AU23" s="964"/>
      <c r="AV23" s="964"/>
      <c r="AW23" s="964"/>
      <c r="AX23" s="964"/>
      <c r="AY23" s="968">
        <f t="shared" si="50"/>
        <v>0</v>
      </c>
      <c r="AZ23" s="969" t="str">
        <f t="shared" si="19"/>
        <v>bitte prüfen!</v>
      </c>
      <c r="BB23" s="970">
        <f t="shared" si="51"/>
        <v>0</v>
      </c>
      <c r="BC23" s="970">
        <f t="shared" si="52"/>
        <v>0</v>
      </c>
      <c r="BD23" s="970">
        <f t="shared" si="53"/>
        <v>0</v>
      </c>
      <c r="BE23" s="970">
        <f t="shared" si="54"/>
        <v>0</v>
      </c>
      <c r="BF23" s="970">
        <f t="shared" si="55"/>
        <v>0</v>
      </c>
      <c r="BG23" s="970">
        <f t="shared" si="56"/>
        <v>0</v>
      </c>
      <c r="BH23" s="970">
        <f t="shared" si="57"/>
        <v>0</v>
      </c>
      <c r="BI23" s="970">
        <f t="shared" si="58"/>
        <v>0</v>
      </c>
      <c r="BJ23" s="168">
        <f t="shared" si="59"/>
        <v>0</v>
      </c>
      <c r="BK23" s="971">
        <f t="shared" si="21"/>
        <v>0</v>
      </c>
    </row>
    <row r="24" spans="1:63" outlineLevel="1" x14ac:dyDescent="0.2">
      <c r="A24" s="101" t="str">
        <f>IF(Personalplanung!B24&lt;&gt;"",Personalplanung!B24,IF(Personalplanung!A24&lt;&gt;"",Personalplanung!A24,""))</f>
        <v/>
      </c>
      <c r="B24" s="168">
        <f>Personalplanung!AH24</f>
        <v>0</v>
      </c>
      <c r="C24" s="168">
        <f>Personalplanung!AI24</f>
        <v>0</v>
      </c>
      <c r="D24" s="170">
        <f t="shared" si="37"/>
        <v>0</v>
      </c>
      <c r="E24" s="960">
        <f>Personalplanung!AG24</f>
        <v>0</v>
      </c>
      <c r="F24" s="170"/>
      <c r="G24" s="961">
        <f>Personalplanung!AL24</f>
        <v>0</v>
      </c>
      <c r="H24" s="961">
        <f t="shared" si="38"/>
        <v>0</v>
      </c>
      <c r="I24" s="99"/>
      <c r="J24" s="964">
        <v>1</v>
      </c>
      <c r="K24" s="964"/>
      <c r="L24" s="964"/>
      <c r="M24" s="964"/>
      <c r="N24" s="964"/>
      <c r="O24" s="964"/>
      <c r="P24" s="964"/>
      <c r="Q24" s="964"/>
      <c r="R24" s="968">
        <f t="shared" si="39"/>
        <v>1</v>
      </c>
      <c r="S24" s="969">
        <f t="shared" si="0"/>
        <v>0</v>
      </c>
      <c r="U24" s="970">
        <f t="shared" si="40"/>
        <v>0</v>
      </c>
      <c r="V24" s="970">
        <f t="shared" si="41"/>
        <v>0</v>
      </c>
      <c r="W24" s="970">
        <f t="shared" si="42"/>
        <v>0</v>
      </c>
      <c r="X24" s="970">
        <f t="shared" si="43"/>
        <v>0</v>
      </c>
      <c r="Y24" s="970">
        <f t="shared" si="44"/>
        <v>0</v>
      </c>
      <c r="Z24" s="970">
        <f t="shared" si="45"/>
        <v>0</v>
      </c>
      <c r="AA24" s="970">
        <f t="shared" si="46"/>
        <v>0</v>
      </c>
      <c r="AB24" s="970">
        <f t="shared" si="47"/>
        <v>0</v>
      </c>
      <c r="AC24" s="168">
        <f t="shared" si="48"/>
        <v>0</v>
      </c>
      <c r="AD24" s="971">
        <f t="shared" si="9"/>
        <v>0</v>
      </c>
      <c r="AE24" s="136"/>
      <c r="AF24" s="970">
        <f t="shared" si="10"/>
        <v>0</v>
      </c>
      <c r="AG24" s="970">
        <f t="shared" si="11"/>
        <v>0</v>
      </c>
      <c r="AH24" s="970">
        <f t="shared" si="12"/>
        <v>0</v>
      </c>
      <c r="AI24" s="970">
        <f t="shared" si="13"/>
        <v>0</v>
      </c>
      <c r="AJ24" s="970">
        <f t="shared" si="14"/>
        <v>0</v>
      </c>
      <c r="AK24" s="970">
        <f t="shared" si="15"/>
        <v>0</v>
      </c>
      <c r="AL24" s="970">
        <f t="shared" si="16"/>
        <v>0</v>
      </c>
      <c r="AM24" s="970">
        <f t="shared" si="17"/>
        <v>0</v>
      </c>
      <c r="AN24" s="168">
        <f t="shared" si="49"/>
        <v>0</v>
      </c>
      <c r="AO24" s="971">
        <f t="shared" si="18"/>
        <v>0</v>
      </c>
      <c r="AQ24" s="964"/>
      <c r="AR24" s="964"/>
      <c r="AS24" s="964"/>
      <c r="AT24" s="964"/>
      <c r="AU24" s="964"/>
      <c r="AV24" s="964"/>
      <c r="AW24" s="964"/>
      <c r="AX24" s="964"/>
      <c r="AY24" s="968">
        <f t="shared" si="50"/>
        <v>0</v>
      </c>
      <c r="AZ24" s="969" t="str">
        <f t="shared" si="19"/>
        <v>bitte prüfen!</v>
      </c>
      <c r="BB24" s="970">
        <f t="shared" si="51"/>
        <v>0</v>
      </c>
      <c r="BC24" s="970">
        <f t="shared" si="52"/>
        <v>0</v>
      </c>
      <c r="BD24" s="970">
        <f t="shared" si="53"/>
        <v>0</v>
      </c>
      <c r="BE24" s="970">
        <f t="shared" si="54"/>
        <v>0</v>
      </c>
      <c r="BF24" s="970">
        <f t="shared" si="55"/>
        <v>0</v>
      </c>
      <c r="BG24" s="970">
        <f t="shared" si="56"/>
        <v>0</v>
      </c>
      <c r="BH24" s="970">
        <f t="shared" si="57"/>
        <v>0</v>
      </c>
      <c r="BI24" s="970">
        <f t="shared" si="58"/>
        <v>0</v>
      </c>
      <c r="BJ24" s="168">
        <f t="shared" si="59"/>
        <v>0</v>
      </c>
      <c r="BK24" s="971">
        <f t="shared" si="21"/>
        <v>0</v>
      </c>
    </row>
    <row r="25" spans="1:63" outlineLevel="1" x14ac:dyDescent="0.2">
      <c r="A25" s="101" t="str">
        <f>IF(Personalplanung!B25&lt;&gt;"",Personalplanung!B25,IF(Personalplanung!A25&lt;&gt;"",Personalplanung!A25,""))</f>
        <v/>
      </c>
      <c r="B25" s="168">
        <f>Personalplanung!AH25</f>
        <v>0</v>
      </c>
      <c r="C25" s="168">
        <f>Personalplanung!AI25</f>
        <v>0</v>
      </c>
      <c r="D25" s="170">
        <f t="shared" si="37"/>
        <v>0</v>
      </c>
      <c r="E25" s="960">
        <f>Personalplanung!AG25</f>
        <v>0</v>
      </c>
      <c r="F25" s="170"/>
      <c r="G25" s="961">
        <f>Personalplanung!AL25</f>
        <v>0</v>
      </c>
      <c r="H25" s="961">
        <f t="shared" si="38"/>
        <v>0</v>
      </c>
      <c r="I25" s="99"/>
      <c r="J25" s="964">
        <v>1</v>
      </c>
      <c r="K25" s="964"/>
      <c r="L25" s="964"/>
      <c r="M25" s="964"/>
      <c r="N25" s="964"/>
      <c r="O25" s="964"/>
      <c r="P25" s="964"/>
      <c r="Q25" s="964"/>
      <c r="R25" s="968">
        <f t="shared" si="39"/>
        <v>1</v>
      </c>
      <c r="S25" s="969">
        <f t="shared" si="0"/>
        <v>0</v>
      </c>
      <c r="U25" s="970">
        <f t="shared" si="40"/>
        <v>0</v>
      </c>
      <c r="V25" s="970">
        <f t="shared" si="41"/>
        <v>0</v>
      </c>
      <c r="W25" s="970">
        <f t="shared" si="42"/>
        <v>0</v>
      </c>
      <c r="X25" s="970">
        <f t="shared" si="43"/>
        <v>0</v>
      </c>
      <c r="Y25" s="970">
        <f t="shared" si="44"/>
        <v>0</v>
      </c>
      <c r="Z25" s="970">
        <f t="shared" si="45"/>
        <v>0</v>
      </c>
      <c r="AA25" s="970">
        <f t="shared" si="46"/>
        <v>0</v>
      </c>
      <c r="AB25" s="970">
        <f t="shared" si="47"/>
        <v>0</v>
      </c>
      <c r="AC25" s="168">
        <f t="shared" si="48"/>
        <v>0</v>
      </c>
      <c r="AD25" s="971">
        <f t="shared" si="9"/>
        <v>0</v>
      </c>
      <c r="AE25" s="136"/>
      <c r="AF25" s="970">
        <f t="shared" si="10"/>
        <v>0</v>
      </c>
      <c r="AG25" s="970">
        <f t="shared" si="11"/>
        <v>0</v>
      </c>
      <c r="AH25" s="970">
        <f t="shared" si="12"/>
        <v>0</v>
      </c>
      <c r="AI25" s="970">
        <f t="shared" si="13"/>
        <v>0</v>
      </c>
      <c r="AJ25" s="970">
        <f t="shared" si="14"/>
        <v>0</v>
      </c>
      <c r="AK25" s="970">
        <f t="shared" si="15"/>
        <v>0</v>
      </c>
      <c r="AL25" s="970">
        <f t="shared" si="16"/>
        <v>0</v>
      </c>
      <c r="AM25" s="970">
        <f t="shared" si="17"/>
        <v>0</v>
      </c>
      <c r="AN25" s="168">
        <f t="shared" si="49"/>
        <v>0</v>
      </c>
      <c r="AO25" s="971">
        <f t="shared" si="18"/>
        <v>0</v>
      </c>
      <c r="AQ25" s="964"/>
      <c r="AR25" s="964"/>
      <c r="AS25" s="964"/>
      <c r="AT25" s="964"/>
      <c r="AU25" s="964"/>
      <c r="AV25" s="964"/>
      <c r="AW25" s="964"/>
      <c r="AX25" s="964"/>
      <c r="AY25" s="968">
        <f t="shared" si="50"/>
        <v>0</v>
      </c>
      <c r="AZ25" s="969" t="str">
        <f t="shared" si="19"/>
        <v>bitte prüfen!</v>
      </c>
      <c r="BB25" s="970">
        <f t="shared" si="51"/>
        <v>0</v>
      </c>
      <c r="BC25" s="970">
        <f t="shared" si="52"/>
        <v>0</v>
      </c>
      <c r="BD25" s="970">
        <f t="shared" si="53"/>
        <v>0</v>
      </c>
      <c r="BE25" s="970">
        <f t="shared" si="54"/>
        <v>0</v>
      </c>
      <c r="BF25" s="970">
        <f t="shared" si="55"/>
        <v>0</v>
      </c>
      <c r="BG25" s="970">
        <f t="shared" si="56"/>
        <v>0</v>
      </c>
      <c r="BH25" s="970">
        <f t="shared" si="57"/>
        <v>0</v>
      </c>
      <c r="BI25" s="970">
        <f t="shared" si="58"/>
        <v>0</v>
      </c>
      <c r="BJ25" s="168">
        <f t="shared" si="59"/>
        <v>0</v>
      </c>
      <c r="BK25" s="971">
        <f t="shared" si="21"/>
        <v>0</v>
      </c>
    </row>
    <row r="26" spans="1:63" outlineLevel="1" x14ac:dyDescent="0.2">
      <c r="A26" s="101" t="str">
        <f>IF(Personalplanung!B26&lt;&gt;"",Personalplanung!B26,IF(Personalplanung!A26&lt;&gt;"",Personalplanung!A26,""))</f>
        <v/>
      </c>
      <c r="B26" s="168">
        <f>Personalplanung!AH26</f>
        <v>0</v>
      </c>
      <c r="C26" s="168">
        <f>Personalplanung!AI26</f>
        <v>0</v>
      </c>
      <c r="D26" s="170">
        <f t="shared" si="37"/>
        <v>0</v>
      </c>
      <c r="E26" s="960">
        <f>Personalplanung!AG26</f>
        <v>0</v>
      </c>
      <c r="F26" s="170"/>
      <c r="G26" s="961">
        <f>Personalplanung!AL26</f>
        <v>0</v>
      </c>
      <c r="H26" s="961">
        <f t="shared" si="38"/>
        <v>0</v>
      </c>
      <c r="I26" s="99"/>
      <c r="J26" s="964">
        <v>1</v>
      </c>
      <c r="K26" s="964"/>
      <c r="L26" s="964"/>
      <c r="M26" s="964"/>
      <c r="N26" s="964"/>
      <c r="O26" s="964"/>
      <c r="P26" s="964"/>
      <c r="Q26" s="964"/>
      <c r="R26" s="968">
        <f t="shared" si="39"/>
        <v>1</v>
      </c>
      <c r="S26" s="969">
        <f t="shared" si="0"/>
        <v>0</v>
      </c>
      <c r="U26" s="970">
        <f t="shared" si="40"/>
        <v>0</v>
      </c>
      <c r="V26" s="970">
        <f t="shared" si="41"/>
        <v>0</v>
      </c>
      <c r="W26" s="970">
        <f t="shared" si="42"/>
        <v>0</v>
      </c>
      <c r="X26" s="970">
        <f t="shared" si="43"/>
        <v>0</v>
      </c>
      <c r="Y26" s="970">
        <f t="shared" si="44"/>
        <v>0</v>
      </c>
      <c r="Z26" s="970">
        <f t="shared" si="45"/>
        <v>0</v>
      </c>
      <c r="AA26" s="970">
        <f t="shared" si="46"/>
        <v>0</v>
      </c>
      <c r="AB26" s="970">
        <f t="shared" si="47"/>
        <v>0</v>
      </c>
      <c r="AC26" s="168">
        <f t="shared" si="48"/>
        <v>0</v>
      </c>
      <c r="AD26" s="971">
        <f t="shared" si="9"/>
        <v>0</v>
      </c>
      <c r="AE26" s="136"/>
      <c r="AF26" s="970">
        <f t="shared" si="10"/>
        <v>0</v>
      </c>
      <c r="AG26" s="970">
        <f t="shared" si="11"/>
        <v>0</v>
      </c>
      <c r="AH26" s="970">
        <f t="shared" si="12"/>
        <v>0</v>
      </c>
      <c r="AI26" s="970">
        <f t="shared" si="13"/>
        <v>0</v>
      </c>
      <c r="AJ26" s="970">
        <f t="shared" si="14"/>
        <v>0</v>
      </c>
      <c r="AK26" s="970">
        <f t="shared" si="15"/>
        <v>0</v>
      </c>
      <c r="AL26" s="970">
        <f t="shared" si="16"/>
        <v>0</v>
      </c>
      <c r="AM26" s="970">
        <f t="shared" si="17"/>
        <v>0</v>
      </c>
      <c r="AN26" s="168">
        <f t="shared" si="49"/>
        <v>0</v>
      </c>
      <c r="AO26" s="971">
        <f t="shared" si="18"/>
        <v>0</v>
      </c>
      <c r="AQ26" s="964"/>
      <c r="AR26" s="964"/>
      <c r="AS26" s="964"/>
      <c r="AT26" s="964"/>
      <c r="AU26" s="964"/>
      <c r="AV26" s="964"/>
      <c r="AW26" s="964"/>
      <c r="AX26" s="964"/>
      <c r="AY26" s="968">
        <f t="shared" si="50"/>
        <v>0</v>
      </c>
      <c r="AZ26" s="969" t="str">
        <f t="shared" si="19"/>
        <v>bitte prüfen!</v>
      </c>
      <c r="BB26" s="970">
        <f t="shared" si="51"/>
        <v>0</v>
      </c>
      <c r="BC26" s="970">
        <f t="shared" si="52"/>
        <v>0</v>
      </c>
      <c r="BD26" s="970">
        <f t="shared" si="53"/>
        <v>0</v>
      </c>
      <c r="BE26" s="970">
        <f t="shared" si="54"/>
        <v>0</v>
      </c>
      <c r="BF26" s="970">
        <f t="shared" si="55"/>
        <v>0</v>
      </c>
      <c r="BG26" s="970">
        <f t="shared" si="56"/>
        <v>0</v>
      </c>
      <c r="BH26" s="970">
        <f t="shared" si="57"/>
        <v>0</v>
      </c>
      <c r="BI26" s="970">
        <f t="shared" si="58"/>
        <v>0</v>
      </c>
      <c r="BJ26" s="168">
        <f t="shared" si="59"/>
        <v>0</v>
      </c>
      <c r="BK26" s="971">
        <f t="shared" si="21"/>
        <v>0</v>
      </c>
    </row>
    <row r="27" spans="1:63" outlineLevel="1" x14ac:dyDescent="0.2">
      <c r="A27" s="101" t="str">
        <f>IF(Personalplanung!B27&lt;&gt;"",Personalplanung!B27,IF(Personalplanung!A27&lt;&gt;"",Personalplanung!A27,""))</f>
        <v/>
      </c>
      <c r="B27" s="168">
        <f>Personalplanung!AH27</f>
        <v>0</v>
      </c>
      <c r="C27" s="168">
        <f>Personalplanung!AI27</f>
        <v>0</v>
      </c>
      <c r="D27" s="170">
        <f t="shared" si="37"/>
        <v>0</v>
      </c>
      <c r="E27" s="960">
        <f>Personalplanung!AG27</f>
        <v>0</v>
      </c>
      <c r="F27" s="170"/>
      <c r="G27" s="961">
        <f>Personalplanung!AL27</f>
        <v>0</v>
      </c>
      <c r="H27" s="961">
        <f t="shared" si="38"/>
        <v>0</v>
      </c>
      <c r="I27" s="99"/>
      <c r="J27" s="964">
        <v>1</v>
      </c>
      <c r="K27" s="964"/>
      <c r="L27" s="964"/>
      <c r="M27" s="964"/>
      <c r="N27" s="964"/>
      <c r="O27" s="964"/>
      <c r="P27" s="964"/>
      <c r="Q27" s="964"/>
      <c r="R27" s="968">
        <f t="shared" si="39"/>
        <v>1</v>
      </c>
      <c r="S27" s="969">
        <f t="shared" si="0"/>
        <v>0</v>
      </c>
      <c r="U27" s="970">
        <f t="shared" si="40"/>
        <v>0</v>
      </c>
      <c r="V27" s="970">
        <f t="shared" si="41"/>
        <v>0</v>
      </c>
      <c r="W27" s="970">
        <f t="shared" si="42"/>
        <v>0</v>
      </c>
      <c r="X27" s="970">
        <f t="shared" si="43"/>
        <v>0</v>
      </c>
      <c r="Y27" s="970">
        <f t="shared" si="44"/>
        <v>0</v>
      </c>
      <c r="Z27" s="970">
        <f t="shared" si="45"/>
        <v>0</v>
      </c>
      <c r="AA27" s="970">
        <f t="shared" si="46"/>
        <v>0</v>
      </c>
      <c r="AB27" s="970">
        <f t="shared" si="47"/>
        <v>0</v>
      </c>
      <c r="AC27" s="168">
        <f t="shared" si="48"/>
        <v>0</v>
      </c>
      <c r="AD27" s="971">
        <f t="shared" si="9"/>
        <v>0</v>
      </c>
      <c r="AE27" s="136"/>
      <c r="AF27" s="970">
        <f t="shared" si="10"/>
        <v>0</v>
      </c>
      <c r="AG27" s="970">
        <f t="shared" si="11"/>
        <v>0</v>
      </c>
      <c r="AH27" s="970">
        <f t="shared" si="12"/>
        <v>0</v>
      </c>
      <c r="AI27" s="970">
        <f t="shared" si="13"/>
        <v>0</v>
      </c>
      <c r="AJ27" s="970">
        <f t="shared" si="14"/>
        <v>0</v>
      </c>
      <c r="AK27" s="970">
        <f t="shared" si="15"/>
        <v>0</v>
      </c>
      <c r="AL27" s="970">
        <f t="shared" si="16"/>
        <v>0</v>
      </c>
      <c r="AM27" s="970">
        <f t="shared" si="17"/>
        <v>0</v>
      </c>
      <c r="AN27" s="168">
        <f t="shared" si="49"/>
        <v>0</v>
      </c>
      <c r="AO27" s="971">
        <f t="shared" si="18"/>
        <v>0</v>
      </c>
      <c r="AQ27" s="964"/>
      <c r="AR27" s="964"/>
      <c r="AS27" s="964"/>
      <c r="AT27" s="964"/>
      <c r="AU27" s="964"/>
      <c r="AV27" s="964"/>
      <c r="AW27" s="964"/>
      <c r="AX27" s="964"/>
      <c r="AY27" s="968">
        <f t="shared" si="50"/>
        <v>0</v>
      </c>
      <c r="AZ27" s="969" t="str">
        <f t="shared" si="19"/>
        <v>bitte prüfen!</v>
      </c>
      <c r="BB27" s="970">
        <f t="shared" si="51"/>
        <v>0</v>
      </c>
      <c r="BC27" s="970">
        <f t="shared" si="52"/>
        <v>0</v>
      </c>
      <c r="BD27" s="970">
        <f t="shared" si="53"/>
        <v>0</v>
      </c>
      <c r="BE27" s="970">
        <f t="shared" si="54"/>
        <v>0</v>
      </c>
      <c r="BF27" s="970">
        <f t="shared" si="55"/>
        <v>0</v>
      </c>
      <c r="BG27" s="970">
        <f t="shared" si="56"/>
        <v>0</v>
      </c>
      <c r="BH27" s="970">
        <f t="shared" si="57"/>
        <v>0</v>
      </c>
      <c r="BI27" s="970">
        <f t="shared" si="58"/>
        <v>0</v>
      </c>
      <c r="BJ27" s="168">
        <f t="shared" si="59"/>
        <v>0</v>
      </c>
      <c r="BK27" s="971">
        <f t="shared" si="21"/>
        <v>0</v>
      </c>
    </row>
    <row r="28" spans="1:63" outlineLevel="1" x14ac:dyDescent="0.2">
      <c r="A28" s="101" t="str">
        <f>IF(Personalplanung!B28&lt;&gt;"",Personalplanung!B28,IF(Personalplanung!A28&lt;&gt;"",Personalplanung!A28,""))</f>
        <v/>
      </c>
      <c r="B28" s="168">
        <f>Personalplanung!AH28</f>
        <v>0</v>
      </c>
      <c r="C28" s="168">
        <f>Personalplanung!AI28</f>
        <v>0</v>
      </c>
      <c r="D28" s="170">
        <f t="shared" si="37"/>
        <v>0</v>
      </c>
      <c r="E28" s="960">
        <f>Personalplanung!AG28</f>
        <v>0</v>
      </c>
      <c r="F28" s="170"/>
      <c r="G28" s="961">
        <f>Personalplanung!AL28</f>
        <v>0</v>
      </c>
      <c r="H28" s="961">
        <f t="shared" si="38"/>
        <v>0</v>
      </c>
      <c r="I28" s="99"/>
      <c r="J28" s="964">
        <v>1</v>
      </c>
      <c r="K28" s="964"/>
      <c r="L28" s="964"/>
      <c r="M28" s="964"/>
      <c r="N28" s="964"/>
      <c r="O28" s="964"/>
      <c r="P28" s="964"/>
      <c r="Q28" s="964"/>
      <c r="R28" s="968">
        <f t="shared" si="39"/>
        <v>1</v>
      </c>
      <c r="S28" s="969">
        <f t="shared" si="0"/>
        <v>0</v>
      </c>
      <c r="U28" s="970">
        <f t="shared" si="40"/>
        <v>0</v>
      </c>
      <c r="V28" s="970">
        <f t="shared" si="41"/>
        <v>0</v>
      </c>
      <c r="W28" s="970">
        <f t="shared" si="42"/>
        <v>0</v>
      </c>
      <c r="X28" s="970">
        <f t="shared" si="43"/>
        <v>0</v>
      </c>
      <c r="Y28" s="970">
        <f t="shared" si="44"/>
        <v>0</v>
      </c>
      <c r="Z28" s="970">
        <f t="shared" si="45"/>
        <v>0</v>
      </c>
      <c r="AA28" s="970">
        <f t="shared" si="46"/>
        <v>0</v>
      </c>
      <c r="AB28" s="970">
        <f t="shared" si="47"/>
        <v>0</v>
      </c>
      <c r="AC28" s="168">
        <f t="shared" si="48"/>
        <v>0</v>
      </c>
      <c r="AD28" s="971">
        <f t="shared" si="9"/>
        <v>0</v>
      </c>
      <c r="AE28" s="136"/>
      <c r="AF28" s="970">
        <f t="shared" si="10"/>
        <v>0</v>
      </c>
      <c r="AG28" s="970">
        <f t="shared" si="11"/>
        <v>0</v>
      </c>
      <c r="AH28" s="970">
        <f t="shared" si="12"/>
        <v>0</v>
      </c>
      <c r="AI28" s="970">
        <f t="shared" si="13"/>
        <v>0</v>
      </c>
      <c r="AJ28" s="970">
        <f t="shared" si="14"/>
        <v>0</v>
      </c>
      <c r="AK28" s="970">
        <f t="shared" si="15"/>
        <v>0</v>
      </c>
      <c r="AL28" s="970">
        <f t="shared" si="16"/>
        <v>0</v>
      </c>
      <c r="AM28" s="970">
        <f t="shared" si="17"/>
        <v>0</v>
      </c>
      <c r="AN28" s="168">
        <f t="shared" si="49"/>
        <v>0</v>
      </c>
      <c r="AO28" s="971">
        <f t="shared" si="18"/>
        <v>0</v>
      </c>
      <c r="AQ28" s="964"/>
      <c r="AR28" s="964"/>
      <c r="AS28" s="964"/>
      <c r="AT28" s="964"/>
      <c r="AU28" s="964"/>
      <c r="AV28" s="964"/>
      <c r="AW28" s="964"/>
      <c r="AX28" s="964"/>
      <c r="AY28" s="968">
        <f t="shared" si="50"/>
        <v>0</v>
      </c>
      <c r="AZ28" s="969" t="str">
        <f t="shared" si="19"/>
        <v>bitte prüfen!</v>
      </c>
      <c r="BB28" s="970">
        <f t="shared" si="51"/>
        <v>0</v>
      </c>
      <c r="BC28" s="970">
        <f t="shared" si="52"/>
        <v>0</v>
      </c>
      <c r="BD28" s="970">
        <f t="shared" si="53"/>
        <v>0</v>
      </c>
      <c r="BE28" s="970">
        <f t="shared" si="54"/>
        <v>0</v>
      </c>
      <c r="BF28" s="970">
        <f t="shared" si="55"/>
        <v>0</v>
      </c>
      <c r="BG28" s="970">
        <f t="shared" si="56"/>
        <v>0</v>
      </c>
      <c r="BH28" s="970">
        <f t="shared" si="57"/>
        <v>0</v>
      </c>
      <c r="BI28" s="970">
        <f t="shared" si="58"/>
        <v>0</v>
      </c>
      <c r="BJ28" s="168">
        <f t="shared" si="59"/>
        <v>0</v>
      </c>
      <c r="BK28" s="971">
        <f t="shared" si="21"/>
        <v>0</v>
      </c>
    </row>
    <row r="29" spans="1:63" outlineLevel="1" x14ac:dyDescent="0.2">
      <c r="A29" s="101" t="str">
        <f>IF(Personalplanung!B29&lt;&gt;"",Personalplanung!B29,IF(Personalplanung!A29&lt;&gt;"",Personalplanung!A29,""))</f>
        <v/>
      </c>
      <c r="B29" s="168">
        <f>Personalplanung!AH29</f>
        <v>0</v>
      </c>
      <c r="C29" s="168">
        <f>Personalplanung!AI29</f>
        <v>0</v>
      </c>
      <c r="D29" s="170">
        <f t="shared" si="37"/>
        <v>0</v>
      </c>
      <c r="E29" s="960">
        <f>Personalplanung!AG29</f>
        <v>0</v>
      </c>
      <c r="F29" s="170"/>
      <c r="G29" s="961">
        <f>Personalplanung!AL29</f>
        <v>0</v>
      </c>
      <c r="H29" s="961">
        <f t="shared" si="38"/>
        <v>0</v>
      </c>
      <c r="I29" s="99"/>
      <c r="J29" s="964">
        <v>1</v>
      </c>
      <c r="K29" s="964"/>
      <c r="L29" s="964"/>
      <c r="M29" s="964"/>
      <c r="N29" s="964"/>
      <c r="O29" s="964"/>
      <c r="P29" s="964"/>
      <c r="Q29" s="964"/>
      <c r="R29" s="968">
        <f t="shared" si="39"/>
        <v>1</v>
      </c>
      <c r="S29" s="969">
        <f t="shared" si="0"/>
        <v>0</v>
      </c>
      <c r="U29" s="970">
        <f t="shared" si="40"/>
        <v>0</v>
      </c>
      <c r="V29" s="970">
        <f t="shared" si="41"/>
        <v>0</v>
      </c>
      <c r="W29" s="970">
        <f t="shared" si="42"/>
        <v>0</v>
      </c>
      <c r="X29" s="970">
        <f t="shared" si="43"/>
        <v>0</v>
      </c>
      <c r="Y29" s="970">
        <f t="shared" si="44"/>
        <v>0</v>
      </c>
      <c r="Z29" s="970">
        <f t="shared" si="45"/>
        <v>0</v>
      </c>
      <c r="AA29" s="970">
        <f t="shared" si="46"/>
        <v>0</v>
      </c>
      <c r="AB29" s="970">
        <f t="shared" si="47"/>
        <v>0</v>
      </c>
      <c r="AC29" s="168">
        <f t="shared" si="48"/>
        <v>0</v>
      </c>
      <c r="AD29" s="971">
        <f t="shared" si="9"/>
        <v>0</v>
      </c>
      <c r="AE29" s="136"/>
      <c r="AF29" s="970">
        <f t="shared" si="10"/>
        <v>0</v>
      </c>
      <c r="AG29" s="970">
        <f t="shared" si="11"/>
        <v>0</v>
      </c>
      <c r="AH29" s="970">
        <f t="shared" si="12"/>
        <v>0</v>
      </c>
      <c r="AI29" s="970">
        <f t="shared" si="13"/>
        <v>0</v>
      </c>
      <c r="AJ29" s="970">
        <f t="shared" si="14"/>
        <v>0</v>
      </c>
      <c r="AK29" s="970">
        <f t="shared" si="15"/>
        <v>0</v>
      </c>
      <c r="AL29" s="970">
        <f t="shared" si="16"/>
        <v>0</v>
      </c>
      <c r="AM29" s="970">
        <f t="shared" si="17"/>
        <v>0</v>
      </c>
      <c r="AN29" s="168">
        <f t="shared" si="49"/>
        <v>0</v>
      </c>
      <c r="AO29" s="971">
        <f t="shared" si="18"/>
        <v>0</v>
      </c>
      <c r="AQ29" s="964"/>
      <c r="AR29" s="964"/>
      <c r="AS29" s="964"/>
      <c r="AT29" s="964"/>
      <c r="AU29" s="964"/>
      <c r="AV29" s="964"/>
      <c r="AW29" s="964"/>
      <c r="AX29" s="964"/>
      <c r="AY29" s="968">
        <f t="shared" si="50"/>
        <v>0</v>
      </c>
      <c r="AZ29" s="969" t="str">
        <f t="shared" si="19"/>
        <v>bitte prüfen!</v>
      </c>
      <c r="BB29" s="970">
        <f t="shared" si="51"/>
        <v>0</v>
      </c>
      <c r="BC29" s="970">
        <f t="shared" si="52"/>
        <v>0</v>
      </c>
      <c r="BD29" s="970">
        <f t="shared" si="53"/>
        <v>0</v>
      </c>
      <c r="BE29" s="970">
        <f t="shared" si="54"/>
        <v>0</v>
      </c>
      <c r="BF29" s="970">
        <f t="shared" si="55"/>
        <v>0</v>
      </c>
      <c r="BG29" s="970">
        <f t="shared" si="56"/>
        <v>0</v>
      </c>
      <c r="BH29" s="970">
        <f t="shared" si="57"/>
        <v>0</v>
      </c>
      <c r="BI29" s="970">
        <f t="shared" si="58"/>
        <v>0</v>
      </c>
      <c r="BJ29" s="168">
        <f t="shared" si="59"/>
        <v>0</v>
      </c>
      <c r="BK29" s="971">
        <f t="shared" si="21"/>
        <v>0</v>
      </c>
    </row>
    <row r="30" spans="1:63" outlineLevel="1" x14ac:dyDescent="0.2">
      <c r="A30" s="101" t="str">
        <f>IF(Personalplanung!B30&lt;&gt;"",Personalplanung!B30,IF(Personalplanung!A30&lt;&gt;"",Personalplanung!A30,""))</f>
        <v/>
      </c>
      <c r="B30" s="168">
        <f>Personalplanung!AH30</f>
        <v>0</v>
      </c>
      <c r="C30" s="168">
        <f>Personalplanung!AI30</f>
        <v>0</v>
      </c>
      <c r="D30" s="170">
        <f t="shared" si="37"/>
        <v>0</v>
      </c>
      <c r="E30" s="960">
        <f>Personalplanung!AG30</f>
        <v>0</v>
      </c>
      <c r="F30" s="170"/>
      <c r="G30" s="961">
        <f>Personalplanung!AL30</f>
        <v>0</v>
      </c>
      <c r="H30" s="961">
        <f t="shared" si="38"/>
        <v>0</v>
      </c>
      <c r="I30" s="99"/>
      <c r="J30" s="964">
        <v>1</v>
      </c>
      <c r="K30" s="964"/>
      <c r="L30" s="964"/>
      <c r="M30" s="964"/>
      <c r="N30" s="964"/>
      <c r="O30" s="964"/>
      <c r="P30" s="964"/>
      <c r="Q30" s="964"/>
      <c r="R30" s="968">
        <f t="shared" si="39"/>
        <v>1</v>
      </c>
      <c r="S30" s="969">
        <f t="shared" si="0"/>
        <v>0</v>
      </c>
      <c r="U30" s="970">
        <f t="shared" si="40"/>
        <v>0</v>
      </c>
      <c r="V30" s="970">
        <f t="shared" si="41"/>
        <v>0</v>
      </c>
      <c r="W30" s="970">
        <f t="shared" si="42"/>
        <v>0</v>
      </c>
      <c r="X30" s="970">
        <f t="shared" si="43"/>
        <v>0</v>
      </c>
      <c r="Y30" s="970">
        <f t="shared" si="44"/>
        <v>0</v>
      </c>
      <c r="Z30" s="970">
        <f t="shared" si="45"/>
        <v>0</v>
      </c>
      <c r="AA30" s="970">
        <f t="shared" si="46"/>
        <v>0</v>
      </c>
      <c r="AB30" s="970">
        <f t="shared" si="47"/>
        <v>0</v>
      </c>
      <c r="AC30" s="168">
        <f t="shared" si="48"/>
        <v>0</v>
      </c>
      <c r="AD30" s="971">
        <f t="shared" si="9"/>
        <v>0</v>
      </c>
      <c r="AE30" s="136"/>
      <c r="AF30" s="970">
        <f t="shared" si="10"/>
        <v>0</v>
      </c>
      <c r="AG30" s="970">
        <f t="shared" si="11"/>
        <v>0</v>
      </c>
      <c r="AH30" s="970">
        <f t="shared" si="12"/>
        <v>0</v>
      </c>
      <c r="AI30" s="970">
        <f t="shared" si="13"/>
        <v>0</v>
      </c>
      <c r="AJ30" s="970">
        <f t="shared" si="14"/>
        <v>0</v>
      </c>
      <c r="AK30" s="970">
        <f t="shared" si="15"/>
        <v>0</v>
      </c>
      <c r="AL30" s="970">
        <f t="shared" si="16"/>
        <v>0</v>
      </c>
      <c r="AM30" s="970">
        <f t="shared" si="17"/>
        <v>0</v>
      </c>
      <c r="AN30" s="168">
        <f t="shared" si="49"/>
        <v>0</v>
      </c>
      <c r="AO30" s="971">
        <f t="shared" si="18"/>
        <v>0</v>
      </c>
      <c r="AQ30" s="964"/>
      <c r="AR30" s="964"/>
      <c r="AS30" s="964"/>
      <c r="AT30" s="964"/>
      <c r="AU30" s="964"/>
      <c r="AV30" s="964"/>
      <c r="AW30" s="964"/>
      <c r="AX30" s="964"/>
      <c r="AY30" s="968">
        <f t="shared" si="50"/>
        <v>0</v>
      </c>
      <c r="AZ30" s="969" t="str">
        <f t="shared" si="19"/>
        <v>bitte prüfen!</v>
      </c>
      <c r="BB30" s="970">
        <f t="shared" si="51"/>
        <v>0</v>
      </c>
      <c r="BC30" s="970">
        <f t="shared" si="52"/>
        <v>0</v>
      </c>
      <c r="BD30" s="970">
        <f t="shared" si="53"/>
        <v>0</v>
      </c>
      <c r="BE30" s="970">
        <f t="shared" si="54"/>
        <v>0</v>
      </c>
      <c r="BF30" s="970">
        <f t="shared" si="55"/>
        <v>0</v>
      </c>
      <c r="BG30" s="970">
        <f t="shared" si="56"/>
        <v>0</v>
      </c>
      <c r="BH30" s="970">
        <f t="shared" si="57"/>
        <v>0</v>
      </c>
      <c r="BI30" s="970">
        <f t="shared" si="58"/>
        <v>0</v>
      </c>
      <c r="BJ30" s="168">
        <f t="shared" si="59"/>
        <v>0</v>
      </c>
      <c r="BK30" s="971">
        <f t="shared" si="21"/>
        <v>0</v>
      </c>
    </row>
    <row r="31" spans="1:63" outlineLevel="1" x14ac:dyDescent="0.2">
      <c r="A31" s="101" t="str">
        <f>IF(Personalplanung!B31&lt;&gt;"",Personalplanung!B31,IF(Personalplanung!A31&lt;&gt;"",Personalplanung!A31,""))</f>
        <v/>
      </c>
      <c r="B31" s="168">
        <f>Personalplanung!AH31</f>
        <v>0</v>
      </c>
      <c r="C31" s="168">
        <f>Personalplanung!AI31</f>
        <v>0</v>
      </c>
      <c r="D31" s="170">
        <f t="shared" si="37"/>
        <v>0</v>
      </c>
      <c r="E31" s="960">
        <f>Personalplanung!AG31</f>
        <v>0</v>
      </c>
      <c r="F31" s="170"/>
      <c r="G31" s="961">
        <f>Personalplanung!AL31</f>
        <v>0</v>
      </c>
      <c r="H31" s="961">
        <f t="shared" si="38"/>
        <v>0</v>
      </c>
      <c r="I31" s="99"/>
      <c r="J31" s="964">
        <v>1</v>
      </c>
      <c r="K31" s="964"/>
      <c r="L31" s="964"/>
      <c r="M31" s="964"/>
      <c r="N31" s="964"/>
      <c r="O31" s="964"/>
      <c r="P31" s="964"/>
      <c r="Q31" s="964"/>
      <c r="R31" s="968">
        <f t="shared" si="39"/>
        <v>1</v>
      </c>
      <c r="S31" s="969">
        <f t="shared" si="0"/>
        <v>0</v>
      </c>
      <c r="U31" s="970">
        <f t="shared" si="40"/>
        <v>0</v>
      </c>
      <c r="V31" s="970">
        <f t="shared" si="41"/>
        <v>0</v>
      </c>
      <c r="W31" s="970">
        <f t="shared" si="42"/>
        <v>0</v>
      </c>
      <c r="X31" s="970">
        <f t="shared" si="43"/>
        <v>0</v>
      </c>
      <c r="Y31" s="970">
        <f t="shared" si="44"/>
        <v>0</v>
      </c>
      <c r="Z31" s="970">
        <f t="shared" si="45"/>
        <v>0</v>
      </c>
      <c r="AA31" s="970">
        <f t="shared" si="46"/>
        <v>0</v>
      </c>
      <c r="AB31" s="970">
        <f t="shared" si="47"/>
        <v>0</v>
      </c>
      <c r="AC31" s="168">
        <f t="shared" si="48"/>
        <v>0</v>
      </c>
      <c r="AD31" s="971">
        <f t="shared" si="9"/>
        <v>0</v>
      </c>
      <c r="AE31" s="136"/>
      <c r="AF31" s="970">
        <f t="shared" si="10"/>
        <v>0</v>
      </c>
      <c r="AG31" s="970">
        <f t="shared" si="11"/>
        <v>0</v>
      </c>
      <c r="AH31" s="970">
        <f t="shared" si="12"/>
        <v>0</v>
      </c>
      <c r="AI31" s="970">
        <f t="shared" si="13"/>
        <v>0</v>
      </c>
      <c r="AJ31" s="970">
        <f t="shared" si="14"/>
        <v>0</v>
      </c>
      <c r="AK31" s="970">
        <f t="shared" si="15"/>
        <v>0</v>
      </c>
      <c r="AL31" s="970">
        <f t="shared" si="16"/>
        <v>0</v>
      </c>
      <c r="AM31" s="970">
        <f t="shared" si="17"/>
        <v>0</v>
      </c>
      <c r="AN31" s="168">
        <f t="shared" si="49"/>
        <v>0</v>
      </c>
      <c r="AO31" s="971">
        <f t="shared" si="18"/>
        <v>0</v>
      </c>
      <c r="AQ31" s="964"/>
      <c r="AR31" s="964"/>
      <c r="AS31" s="964"/>
      <c r="AT31" s="964"/>
      <c r="AU31" s="964"/>
      <c r="AV31" s="964"/>
      <c r="AW31" s="964"/>
      <c r="AX31" s="964"/>
      <c r="AY31" s="968">
        <f t="shared" si="50"/>
        <v>0</v>
      </c>
      <c r="AZ31" s="969" t="str">
        <f t="shared" si="19"/>
        <v>bitte prüfen!</v>
      </c>
      <c r="BB31" s="970">
        <f t="shared" si="51"/>
        <v>0</v>
      </c>
      <c r="BC31" s="970">
        <f t="shared" si="52"/>
        <v>0</v>
      </c>
      <c r="BD31" s="970">
        <f t="shared" si="53"/>
        <v>0</v>
      </c>
      <c r="BE31" s="970">
        <f t="shared" si="54"/>
        <v>0</v>
      </c>
      <c r="BF31" s="970">
        <f t="shared" si="55"/>
        <v>0</v>
      </c>
      <c r="BG31" s="970">
        <f t="shared" si="56"/>
        <v>0</v>
      </c>
      <c r="BH31" s="970">
        <f t="shared" si="57"/>
        <v>0</v>
      </c>
      <c r="BI31" s="970">
        <f t="shared" si="58"/>
        <v>0</v>
      </c>
      <c r="BJ31" s="168">
        <f t="shared" si="59"/>
        <v>0</v>
      </c>
      <c r="BK31" s="971">
        <f t="shared" si="21"/>
        <v>0</v>
      </c>
    </row>
    <row r="32" spans="1:63" outlineLevel="1" x14ac:dyDescent="0.2">
      <c r="A32" s="101" t="str">
        <f>IF(Personalplanung!B32&lt;&gt;"",Personalplanung!B32,IF(Personalplanung!A32&lt;&gt;"",Personalplanung!A32,""))</f>
        <v/>
      </c>
      <c r="B32" s="168">
        <f>Personalplanung!AH32</f>
        <v>0</v>
      </c>
      <c r="C32" s="168">
        <f>Personalplanung!AI32</f>
        <v>0</v>
      </c>
      <c r="D32" s="170">
        <f t="shared" si="37"/>
        <v>0</v>
      </c>
      <c r="E32" s="960">
        <f>Personalplanung!AG32</f>
        <v>0</v>
      </c>
      <c r="F32" s="170"/>
      <c r="G32" s="961">
        <f>Personalplanung!AL32</f>
        <v>0</v>
      </c>
      <c r="H32" s="961">
        <f t="shared" si="38"/>
        <v>0</v>
      </c>
      <c r="I32" s="99"/>
      <c r="J32" s="964">
        <v>1</v>
      </c>
      <c r="K32" s="964"/>
      <c r="L32" s="964"/>
      <c r="M32" s="964"/>
      <c r="N32" s="964"/>
      <c r="O32" s="964"/>
      <c r="P32" s="964"/>
      <c r="Q32" s="964"/>
      <c r="R32" s="968">
        <f t="shared" si="39"/>
        <v>1</v>
      </c>
      <c r="S32" s="969">
        <f t="shared" si="0"/>
        <v>0</v>
      </c>
      <c r="U32" s="970">
        <f t="shared" si="40"/>
        <v>0</v>
      </c>
      <c r="V32" s="970">
        <f t="shared" si="41"/>
        <v>0</v>
      </c>
      <c r="W32" s="970">
        <f t="shared" si="42"/>
        <v>0</v>
      </c>
      <c r="X32" s="970">
        <f t="shared" si="43"/>
        <v>0</v>
      </c>
      <c r="Y32" s="970">
        <f t="shared" si="44"/>
        <v>0</v>
      </c>
      <c r="Z32" s="970">
        <f t="shared" si="45"/>
        <v>0</v>
      </c>
      <c r="AA32" s="970">
        <f t="shared" si="46"/>
        <v>0</v>
      </c>
      <c r="AB32" s="970">
        <f t="shared" si="47"/>
        <v>0</v>
      </c>
      <c r="AC32" s="168">
        <f t="shared" si="48"/>
        <v>0</v>
      </c>
      <c r="AD32" s="971">
        <f t="shared" si="9"/>
        <v>0</v>
      </c>
      <c r="AE32" s="136"/>
      <c r="AF32" s="970">
        <f t="shared" si="10"/>
        <v>0</v>
      </c>
      <c r="AG32" s="970">
        <f t="shared" si="11"/>
        <v>0</v>
      </c>
      <c r="AH32" s="970">
        <f t="shared" si="12"/>
        <v>0</v>
      </c>
      <c r="AI32" s="970">
        <f t="shared" si="13"/>
        <v>0</v>
      </c>
      <c r="AJ32" s="970">
        <f t="shared" si="14"/>
        <v>0</v>
      </c>
      <c r="AK32" s="970">
        <f t="shared" si="15"/>
        <v>0</v>
      </c>
      <c r="AL32" s="970">
        <f t="shared" si="16"/>
        <v>0</v>
      </c>
      <c r="AM32" s="970">
        <f t="shared" si="17"/>
        <v>0</v>
      </c>
      <c r="AN32" s="168">
        <f t="shared" si="49"/>
        <v>0</v>
      </c>
      <c r="AO32" s="971">
        <f t="shared" si="18"/>
        <v>0</v>
      </c>
      <c r="AQ32" s="964"/>
      <c r="AR32" s="964"/>
      <c r="AS32" s="964"/>
      <c r="AT32" s="964"/>
      <c r="AU32" s="964"/>
      <c r="AV32" s="964"/>
      <c r="AW32" s="964"/>
      <c r="AX32" s="964"/>
      <c r="AY32" s="968">
        <f t="shared" si="50"/>
        <v>0</v>
      </c>
      <c r="AZ32" s="969" t="str">
        <f t="shared" si="19"/>
        <v>bitte prüfen!</v>
      </c>
      <c r="BB32" s="970">
        <f t="shared" si="51"/>
        <v>0</v>
      </c>
      <c r="BC32" s="970">
        <f t="shared" si="52"/>
        <v>0</v>
      </c>
      <c r="BD32" s="970">
        <f t="shared" si="53"/>
        <v>0</v>
      </c>
      <c r="BE32" s="970">
        <f t="shared" si="54"/>
        <v>0</v>
      </c>
      <c r="BF32" s="970">
        <f t="shared" si="55"/>
        <v>0</v>
      </c>
      <c r="BG32" s="970">
        <f t="shared" si="56"/>
        <v>0</v>
      </c>
      <c r="BH32" s="970">
        <f t="shared" si="57"/>
        <v>0</v>
      </c>
      <c r="BI32" s="970">
        <f t="shared" si="58"/>
        <v>0</v>
      </c>
      <c r="BJ32" s="168">
        <f t="shared" si="59"/>
        <v>0</v>
      </c>
      <c r="BK32" s="971">
        <f t="shared" si="21"/>
        <v>0</v>
      </c>
    </row>
    <row r="33" spans="1:63" outlineLevel="1" x14ac:dyDescent="0.2">
      <c r="A33" s="101" t="str">
        <f>IF(Personalplanung!B33&lt;&gt;"",Personalplanung!B33,IF(Personalplanung!A33&lt;&gt;"",Personalplanung!A33,""))</f>
        <v/>
      </c>
      <c r="B33" s="168">
        <f>Personalplanung!AH33</f>
        <v>0</v>
      </c>
      <c r="C33" s="168">
        <f>Personalplanung!AI33</f>
        <v>0</v>
      </c>
      <c r="D33" s="170">
        <f t="shared" si="37"/>
        <v>0</v>
      </c>
      <c r="E33" s="960">
        <f>Personalplanung!AG33</f>
        <v>0</v>
      </c>
      <c r="F33" s="170"/>
      <c r="G33" s="961">
        <f>Personalplanung!AL33</f>
        <v>0</v>
      </c>
      <c r="H33" s="961">
        <f t="shared" si="38"/>
        <v>0</v>
      </c>
      <c r="I33" s="99"/>
      <c r="J33" s="964">
        <v>1</v>
      </c>
      <c r="K33" s="964"/>
      <c r="L33" s="964"/>
      <c r="M33" s="964"/>
      <c r="N33" s="964"/>
      <c r="O33" s="964"/>
      <c r="P33" s="964"/>
      <c r="Q33" s="964"/>
      <c r="R33" s="968">
        <f t="shared" si="39"/>
        <v>1</v>
      </c>
      <c r="S33" s="969">
        <f t="shared" si="0"/>
        <v>0</v>
      </c>
      <c r="U33" s="970">
        <f t="shared" si="40"/>
        <v>0</v>
      </c>
      <c r="V33" s="970">
        <f t="shared" si="41"/>
        <v>0</v>
      </c>
      <c r="W33" s="970">
        <f t="shared" si="42"/>
        <v>0</v>
      </c>
      <c r="X33" s="970">
        <f t="shared" si="43"/>
        <v>0</v>
      </c>
      <c r="Y33" s="970">
        <f t="shared" si="44"/>
        <v>0</v>
      </c>
      <c r="Z33" s="970">
        <f t="shared" si="45"/>
        <v>0</v>
      </c>
      <c r="AA33" s="970">
        <f t="shared" si="46"/>
        <v>0</v>
      </c>
      <c r="AB33" s="970">
        <f t="shared" si="47"/>
        <v>0</v>
      </c>
      <c r="AC33" s="168">
        <f t="shared" si="48"/>
        <v>0</v>
      </c>
      <c r="AD33" s="971">
        <f t="shared" si="9"/>
        <v>0</v>
      </c>
      <c r="AE33" s="136"/>
      <c r="AF33" s="970">
        <f t="shared" si="10"/>
        <v>0</v>
      </c>
      <c r="AG33" s="970">
        <f t="shared" si="11"/>
        <v>0</v>
      </c>
      <c r="AH33" s="970">
        <f t="shared" si="12"/>
        <v>0</v>
      </c>
      <c r="AI33" s="970">
        <f t="shared" si="13"/>
        <v>0</v>
      </c>
      <c r="AJ33" s="970">
        <f t="shared" si="14"/>
        <v>0</v>
      </c>
      <c r="AK33" s="970">
        <f t="shared" si="15"/>
        <v>0</v>
      </c>
      <c r="AL33" s="970">
        <f t="shared" si="16"/>
        <v>0</v>
      </c>
      <c r="AM33" s="970">
        <f t="shared" si="17"/>
        <v>0</v>
      </c>
      <c r="AN33" s="168">
        <f t="shared" si="49"/>
        <v>0</v>
      </c>
      <c r="AO33" s="971">
        <f t="shared" si="18"/>
        <v>0</v>
      </c>
      <c r="AQ33" s="964"/>
      <c r="AR33" s="964"/>
      <c r="AS33" s="964"/>
      <c r="AT33" s="964"/>
      <c r="AU33" s="964"/>
      <c r="AV33" s="964"/>
      <c r="AW33" s="964"/>
      <c r="AX33" s="964"/>
      <c r="AY33" s="968">
        <f t="shared" si="50"/>
        <v>0</v>
      </c>
      <c r="AZ33" s="969" t="str">
        <f t="shared" si="19"/>
        <v>bitte prüfen!</v>
      </c>
      <c r="BB33" s="970">
        <f t="shared" si="51"/>
        <v>0</v>
      </c>
      <c r="BC33" s="970">
        <f t="shared" si="52"/>
        <v>0</v>
      </c>
      <c r="BD33" s="970">
        <f t="shared" si="53"/>
        <v>0</v>
      </c>
      <c r="BE33" s="970">
        <f t="shared" si="54"/>
        <v>0</v>
      </c>
      <c r="BF33" s="970">
        <f t="shared" si="55"/>
        <v>0</v>
      </c>
      <c r="BG33" s="970">
        <f t="shared" si="56"/>
        <v>0</v>
      </c>
      <c r="BH33" s="970">
        <f t="shared" si="57"/>
        <v>0</v>
      </c>
      <c r="BI33" s="970">
        <f t="shared" si="58"/>
        <v>0</v>
      </c>
      <c r="BJ33" s="168">
        <f t="shared" si="59"/>
        <v>0</v>
      </c>
      <c r="BK33" s="971">
        <f t="shared" si="21"/>
        <v>0</v>
      </c>
    </row>
    <row r="34" spans="1:63" outlineLevel="1" x14ac:dyDescent="0.2">
      <c r="A34" s="101" t="str">
        <f>IF(Personalplanung!B34&lt;&gt;"",Personalplanung!B34,IF(Personalplanung!A34&lt;&gt;"",Personalplanung!A34,""))</f>
        <v/>
      </c>
      <c r="B34" s="168">
        <f>Personalplanung!AH34</f>
        <v>0</v>
      </c>
      <c r="C34" s="168">
        <f>Personalplanung!AI34</f>
        <v>0</v>
      </c>
      <c r="D34" s="170">
        <f t="shared" si="37"/>
        <v>0</v>
      </c>
      <c r="E34" s="960">
        <f>Personalplanung!AG34</f>
        <v>0</v>
      </c>
      <c r="F34" s="170"/>
      <c r="G34" s="961">
        <f>Personalplanung!AL34</f>
        <v>0</v>
      </c>
      <c r="H34" s="961">
        <f t="shared" si="38"/>
        <v>0</v>
      </c>
      <c r="I34" s="99"/>
      <c r="J34" s="964">
        <v>1</v>
      </c>
      <c r="K34" s="964"/>
      <c r="L34" s="964"/>
      <c r="M34" s="964"/>
      <c r="N34" s="964"/>
      <c r="O34" s="964"/>
      <c r="P34" s="964"/>
      <c r="Q34" s="964"/>
      <c r="R34" s="968">
        <f t="shared" si="39"/>
        <v>1</v>
      </c>
      <c r="S34" s="969">
        <f t="shared" si="0"/>
        <v>0</v>
      </c>
      <c r="U34" s="970">
        <f t="shared" si="40"/>
        <v>0</v>
      </c>
      <c r="V34" s="970">
        <f t="shared" si="41"/>
        <v>0</v>
      </c>
      <c r="W34" s="970">
        <f t="shared" si="42"/>
        <v>0</v>
      </c>
      <c r="X34" s="970">
        <f t="shared" si="43"/>
        <v>0</v>
      </c>
      <c r="Y34" s="970">
        <f t="shared" si="44"/>
        <v>0</v>
      </c>
      <c r="Z34" s="970">
        <f t="shared" si="45"/>
        <v>0</v>
      </c>
      <c r="AA34" s="970">
        <f t="shared" si="46"/>
        <v>0</v>
      </c>
      <c r="AB34" s="970">
        <f t="shared" si="47"/>
        <v>0</v>
      </c>
      <c r="AC34" s="168">
        <f t="shared" si="48"/>
        <v>0</v>
      </c>
      <c r="AD34" s="971">
        <f t="shared" si="9"/>
        <v>0</v>
      </c>
      <c r="AE34" s="136"/>
      <c r="AF34" s="970">
        <f t="shared" si="10"/>
        <v>0</v>
      </c>
      <c r="AG34" s="970">
        <f t="shared" si="11"/>
        <v>0</v>
      </c>
      <c r="AH34" s="970">
        <f t="shared" si="12"/>
        <v>0</v>
      </c>
      <c r="AI34" s="970">
        <f t="shared" si="13"/>
        <v>0</v>
      </c>
      <c r="AJ34" s="970">
        <f t="shared" si="14"/>
        <v>0</v>
      </c>
      <c r="AK34" s="970">
        <f t="shared" si="15"/>
        <v>0</v>
      </c>
      <c r="AL34" s="970">
        <f t="shared" si="16"/>
        <v>0</v>
      </c>
      <c r="AM34" s="970">
        <f t="shared" si="17"/>
        <v>0</v>
      </c>
      <c r="AN34" s="168">
        <f t="shared" si="49"/>
        <v>0</v>
      </c>
      <c r="AO34" s="971">
        <f t="shared" si="18"/>
        <v>0</v>
      </c>
      <c r="AQ34" s="964"/>
      <c r="AR34" s="964"/>
      <c r="AS34" s="964"/>
      <c r="AT34" s="964"/>
      <c r="AU34" s="964"/>
      <c r="AV34" s="964"/>
      <c r="AW34" s="964"/>
      <c r="AX34" s="964"/>
      <c r="AY34" s="968">
        <f t="shared" si="50"/>
        <v>0</v>
      </c>
      <c r="AZ34" s="969" t="str">
        <f t="shared" si="19"/>
        <v>bitte prüfen!</v>
      </c>
      <c r="BB34" s="970">
        <f t="shared" si="51"/>
        <v>0</v>
      </c>
      <c r="BC34" s="970">
        <f t="shared" si="52"/>
        <v>0</v>
      </c>
      <c r="BD34" s="970">
        <f t="shared" si="53"/>
        <v>0</v>
      </c>
      <c r="BE34" s="970">
        <f t="shared" si="54"/>
        <v>0</v>
      </c>
      <c r="BF34" s="970">
        <f t="shared" si="55"/>
        <v>0</v>
      </c>
      <c r="BG34" s="970">
        <f t="shared" si="56"/>
        <v>0</v>
      </c>
      <c r="BH34" s="970">
        <f t="shared" si="57"/>
        <v>0</v>
      </c>
      <c r="BI34" s="970">
        <f t="shared" si="58"/>
        <v>0</v>
      </c>
      <c r="BJ34" s="168">
        <f t="shared" si="59"/>
        <v>0</v>
      </c>
      <c r="BK34" s="971">
        <f t="shared" si="21"/>
        <v>0</v>
      </c>
    </row>
    <row r="35" spans="1:63" outlineLevel="1" x14ac:dyDescent="0.2">
      <c r="A35" s="101" t="str">
        <f>IF(Personalplanung!B35&lt;&gt;"",Personalplanung!B35,IF(Personalplanung!A35&lt;&gt;"",Personalplanung!A35,""))</f>
        <v/>
      </c>
      <c r="B35" s="168">
        <f>Personalplanung!AH35</f>
        <v>0</v>
      </c>
      <c r="C35" s="168">
        <f>Personalplanung!AI35</f>
        <v>0</v>
      </c>
      <c r="D35" s="170">
        <f t="shared" si="37"/>
        <v>0</v>
      </c>
      <c r="E35" s="960">
        <f>Personalplanung!AG35</f>
        <v>0</v>
      </c>
      <c r="F35" s="170"/>
      <c r="G35" s="961">
        <f>Personalplanung!AL35</f>
        <v>0</v>
      </c>
      <c r="H35" s="961">
        <f t="shared" si="38"/>
        <v>0</v>
      </c>
      <c r="I35" s="99"/>
      <c r="J35" s="964">
        <v>1</v>
      </c>
      <c r="K35" s="964"/>
      <c r="L35" s="964"/>
      <c r="M35" s="964"/>
      <c r="N35" s="964"/>
      <c r="O35" s="964"/>
      <c r="P35" s="964"/>
      <c r="Q35" s="964"/>
      <c r="R35" s="968">
        <f t="shared" si="39"/>
        <v>1</v>
      </c>
      <c r="S35" s="969">
        <f t="shared" si="0"/>
        <v>0</v>
      </c>
      <c r="U35" s="970">
        <f t="shared" si="40"/>
        <v>0</v>
      </c>
      <c r="V35" s="970">
        <f t="shared" si="41"/>
        <v>0</v>
      </c>
      <c r="W35" s="970">
        <f t="shared" si="42"/>
        <v>0</v>
      </c>
      <c r="X35" s="970">
        <f t="shared" si="43"/>
        <v>0</v>
      </c>
      <c r="Y35" s="970">
        <f t="shared" si="44"/>
        <v>0</v>
      </c>
      <c r="Z35" s="970">
        <f t="shared" si="45"/>
        <v>0</v>
      </c>
      <c r="AA35" s="970">
        <f t="shared" si="46"/>
        <v>0</v>
      </c>
      <c r="AB35" s="970">
        <f t="shared" si="47"/>
        <v>0</v>
      </c>
      <c r="AC35" s="168">
        <f t="shared" si="48"/>
        <v>0</v>
      </c>
      <c r="AD35" s="971">
        <f t="shared" si="9"/>
        <v>0</v>
      </c>
      <c r="AE35" s="136"/>
      <c r="AF35" s="970">
        <f t="shared" si="10"/>
        <v>0</v>
      </c>
      <c r="AG35" s="970">
        <f t="shared" si="11"/>
        <v>0</v>
      </c>
      <c r="AH35" s="970">
        <f t="shared" si="12"/>
        <v>0</v>
      </c>
      <c r="AI35" s="970">
        <f t="shared" si="13"/>
        <v>0</v>
      </c>
      <c r="AJ35" s="970">
        <f t="shared" si="14"/>
        <v>0</v>
      </c>
      <c r="AK35" s="970">
        <f t="shared" si="15"/>
        <v>0</v>
      </c>
      <c r="AL35" s="970">
        <f t="shared" si="16"/>
        <v>0</v>
      </c>
      <c r="AM35" s="970">
        <f t="shared" si="17"/>
        <v>0</v>
      </c>
      <c r="AN35" s="168">
        <f t="shared" si="49"/>
        <v>0</v>
      </c>
      <c r="AO35" s="971">
        <f t="shared" si="18"/>
        <v>0</v>
      </c>
      <c r="AQ35" s="964"/>
      <c r="AR35" s="964"/>
      <c r="AS35" s="964"/>
      <c r="AT35" s="964"/>
      <c r="AU35" s="964"/>
      <c r="AV35" s="964"/>
      <c r="AW35" s="964"/>
      <c r="AX35" s="964"/>
      <c r="AY35" s="968">
        <f t="shared" si="50"/>
        <v>0</v>
      </c>
      <c r="AZ35" s="969" t="str">
        <f t="shared" si="19"/>
        <v>bitte prüfen!</v>
      </c>
      <c r="BB35" s="970">
        <f t="shared" si="51"/>
        <v>0</v>
      </c>
      <c r="BC35" s="970">
        <f t="shared" si="52"/>
        <v>0</v>
      </c>
      <c r="BD35" s="970">
        <f t="shared" si="53"/>
        <v>0</v>
      </c>
      <c r="BE35" s="970">
        <f t="shared" si="54"/>
        <v>0</v>
      </c>
      <c r="BF35" s="970">
        <f t="shared" si="55"/>
        <v>0</v>
      </c>
      <c r="BG35" s="970">
        <f t="shared" si="56"/>
        <v>0</v>
      </c>
      <c r="BH35" s="970">
        <f t="shared" si="57"/>
        <v>0</v>
      </c>
      <c r="BI35" s="970">
        <f t="shared" si="58"/>
        <v>0</v>
      </c>
      <c r="BJ35" s="168">
        <f t="shared" si="59"/>
        <v>0</v>
      </c>
      <c r="BK35" s="971">
        <f t="shared" si="21"/>
        <v>0</v>
      </c>
    </row>
    <row r="36" spans="1:63" outlineLevel="1" x14ac:dyDescent="0.2">
      <c r="A36" s="101" t="str">
        <f>IF(Personalplanung!B36&lt;&gt;"",Personalplanung!B36,IF(Personalplanung!A36&lt;&gt;"",Personalplanung!A36,""))</f>
        <v/>
      </c>
      <c r="B36" s="168">
        <f>Personalplanung!AH36</f>
        <v>0</v>
      </c>
      <c r="C36" s="168">
        <f>Personalplanung!AI36</f>
        <v>0</v>
      </c>
      <c r="D36" s="170">
        <f t="shared" si="37"/>
        <v>0</v>
      </c>
      <c r="E36" s="960">
        <f>Personalplanung!AG36</f>
        <v>0</v>
      </c>
      <c r="F36" s="170"/>
      <c r="G36" s="961">
        <f>Personalplanung!AL36</f>
        <v>0</v>
      </c>
      <c r="H36" s="961">
        <f t="shared" si="38"/>
        <v>0</v>
      </c>
      <c r="I36" s="99"/>
      <c r="J36" s="964">
        <v>1</v>
      </c>
      <c r="K36" s="964"/>
      <c r="L36" s="964"/>
      <c r="M36" s="964"/>
      <c r="N36" s="964"/>
      <c r="O36" s="964"/>
      <c r="P36" s="964"/>
      <c r="Q36" s="964"/>
      <c r="R36" s="968">
        <f t="shared" si="39"/>
        <v>1</v>
      </c>
      <c r="S36" s="969">
        <f t="shared" si="0"/>
        <v>0</v>
      </c>
      <c r="U36" s="970">
        <f t="shared" si="40"/>
        <v>0</v>
      </c>
      <c r="V36" s="970">
        <f t="shared" si="41"/>
        <v>0</v>
      </c>
      <c r="W36" s="970">
        <f t="shared" si="42"/>
        <v>0</v>
      </c>
      <c r="X36" s="970">
        <f t="shared" si="43"/>
        <v>0</v>
      </c>
      <c r="Y36" s="970">
        <f t="shared" si="44"/>
        <v>0</v>
      </c>
      <c r="Z36" s="970">
        <f t="shared" si="45"/>
        <v>0</v>
      </c>
      <c r="AA36" s="970">
        <f t="shared" si="46"/>
        <v>0</v>
      </c>
      <c r="AB36" s="970">
        <f t="shared" si="47"/>
        <v>0</v>
      </c>
      <c r="AC36" s="168">
        <f t="shared" si="48"/>
        <v>0</v>
      </c>
      <c r="AD36" s="971">
        <f t="shared" si="9"/>
        <v>0</v>
      </c>
      <c r="AE36" s="136"/>
      <c r="AF36" s="970">
        <f t="shared" si="10"/>
        <v>0</v>
      </c>
      <c r="AG36" s="970">
        <f t="shared" si="11"/>
        <v>0</v>
      </c>
      <c r="AH36" s="970">
        <f t="shared" si="12"/>
        <v>0</v>
      </c>
      <c r="AI36" s="970">
        <f t="shared" si="13"/>
        <v>0</v>
      </c>
      <c r="AJ36" s="970">
        <f t="shared" si="14"/>
        <v>0</v>
      </c>
      <c r="AK36" s="970">
        <f t="shared" si="15"/>
        <v>0</v>
      </c>
      <c r="AL36" s="970">
        <f t="shared" si="16"/>
        <v>0</v>
      </c>
      <c r="AM36" s="970">
        <f t="shared" si="17"/>
        <v>0</v>
      </c>
      <c r="AN36" s="168">
        <f t="shared" si="49"/>
        <v>0</v>
      </c>
      <c r="AO36" s="971">
        <f t="shared" si="18"/>
        <v>0</v>
      </c>
      <c r="AQ36" s="964"/>
      <c r="AR36" s="964"/>
      <c r="AS36" s="964"/>
      <c r="AT36" s="964"/>
      <c r="AU36" s="964"/>
      <c r="AV36" s="964"/>
      <c r="AW36" s="964"/>
      <c r="AX36" s="964"/>
      <c r="AY36" s="968">
        <f t="shared" si="50"/>
        <v>0</v>
      </c>
      <c r="AZ36" s="969" t="str">
        <f t="shared" si="19"/>
        <v>bitte prüfen!</v>
      </c>
      <c r="BB36" s="970">
        <f t="shared" si="51"/>
        <v>0</v>
      </c>
      <c r="BC36" s="970">
        <f t="shared" si="52"/>
        <v>0</v>
      </c>
      <c r="BD36" s="970">
        <f t="shared" si="53"/>
        <v>0</v>
      </c>
      <c r="BE36" s="970">
        <f t="shared" si="54"/>
        <v>0</v>
      </c>
      <c r="BF36" s="970">
        <f t="shared" si="55"/>
        <v>0</v>
      </c>
      <c r="BG36" s="970">
        <f t="shared" si="56"/>
        <v>0</v>
      </c>
      <c r="BH36" s="970">
        <f t="shared" si="57"/>
        <v>0</v>
      </c>
      <c r="BI36" s="970">
        <f t="shared" si="58"/>
        <v>0</v>
      </c>
      <c r="BJ36" s="168">
        <f t="shared" si="59"/>
        <v>0</v>
      </c>
      <c r="BK36" s="971">
        <f t="shared" si="21"/>
        <v>0</v>
      </c>
    </row>
    <row r="37" spans="1:63" outlineLevel="1" x14ac:dyDescent="0.2">
      <c r="A37" s="101" t="str">
        <f>IF(Personalplanung!B37&lt;&gt;"",Personalplanung!B37,IF(Personalplanung!A37&lt;&gt;"",Personalplanung!A37,""))</f>
        <v/>
      </c>
      <c r="B37" s="168">
        <f>Personalplanung!AH37</f>
        <v>0</v>
      </c>
      <c r="C37" s="168">
        <f>Personalplanung!AI37</f>
        <v>0</v>
      </c>
      <c r="D37" s="170">
        <f t="shared" si="37"/>
        <v>0</v>
      </c>
      <c r="E37" s="960">
        <f>Personalplanung!AG37</f>
        <v>0</v>
      </c>
      <c r="F37" s="170"/>
      <c r="G37" s="961">
        <f>Personalplanung!AL37</f>
        <v>0</v>
      </c>
      <c r="H37" s="961">
        <f t="shared" si="38"/>
        <v>0</v>
      </c>
      <c r="I37" s="99"/>
      <c r="J37" s="964">
        <v>1</v>
      </c>
      <c r="K37" s="964"/>
      <c r="L37" s="964"/>
      <c r="M37" s="964"/>
      <c r="N37" s="964"/>
      <c r="O37" s="964"/>
      <c r="P37" s="964"/>
      <c r="Q37" s="964"/>
      <c r="R37" s="968">
        <f t="shared" si="39"/>
        <v>1</v>
      </c>
      <c r="S37" s="969">
        <f t="shared" si="0"/>
        <v>0</v>
      </c>
      <c r="U37" s="970">
        <f t="shared" si="40"/>
        <v>0</v>
      </c>
      <c r="V37" s="970">
        <f t="shared" si="41"/>
        <v>0</v>
      </c>
      <c r="W37" s="970">
        <f t="shared" si="42"/>
        <v>0</v>
      </c>
      <c r="X37" s="970">
        <f t="shared" si="43"/>
        <v>0</v>
      </c>
      <c r="Y37" s="970">
        <f t="shared" si="44"/>
        <v>0</v>
      </c>
      <c r="Z37" s="970">
        <f t="shared" si="45"/>
        <v>0</v>
      </c>
      <c r="AA37" s="970">
        <f t="shared" si="46"/>
        <v>0</v>
      </c>
      <c r="AB37" s="970">
        <f t="shared" si="47"/>
        <v>0</v>
      </c>
      <c r="AC37" s="168">
        <f t="shared" si="48"/>
        <v>0</v>
      </c>
      <c r="AD37" s="971">
        <f t="shared" si="9"/>
        <v>0</v>
      </c>
      <c r="AE37" s="136"/>
      <c r="AF37" s="970">
        <f t="shared" si="10"/>
        <v>0</v>
      </c>
      <c r="AG37" s="970">
        <f t="shared" si="11"/>
        <v>0</v>
      </c>
      <c r="AH37" s="970">
        <f t="shared" si="12"/>
        <v>0</v>
      </c>
      <c r="AI37" s="970">
        <f t="shared" si="13"/>
        <v>0</v>
      </c>
      <c r="AJ37" s="970">
        <f t="shared" si="14"/>
        <v>0</v>
      </c>
      <c r="AK37" s="970">
        <f t="shared" si="15"/>
        <v>0</v>
      </c>
      <c r="AL37" s="970">
        <f t="shared" si="16"/>
        <v>0</v>
      </c>
      <c r="AM37" s="970">
        <f t="shared" si="17"/>
        <v>0</v>
      </c>
      <c r="AN37" s="168">
        <f t="shared" si="49"/>
        <v>0</v>
      </c>
      <c r="AO37" s="971">
        <f t="shared" si="18"/>
        <v>0</v>
      </c>
      <c r="AQ37" s="964"/>
      <c r="AR37" s="964"/>
      <c r="AS37" s="964"/>
      <c r="AT37" s="964"/>
      <c r="AU37" s="964"/>
      <c r="AV37" s="964"/>
      <c r="AW37" s="964"/>
      <c r="AX37" s="964"/>
      <c r="AY37" s="968">
        <f t="shared" si="50"/>
        <v>0</v>
      </c>
      <c r="AZ37" s="969" t="str">
        <f t="shared" si="19"/>
        <v>bitte prüfen!</v>
      </c>
      <c r="BB37" s="970">
        <f t="shared" si="51"/>
        <v>0</v>
      </c>
      <c r="BC37" s="970">
        <f t="shared" si="52"/>
        <v>0</v>
      </c>
      <c r="BD37" s="970">
        <f t="shared" si="53"/>
        <v>0</v>
      </c>
      <c r="BE37" s="970">
        <f t="shared" si="54"/>
        <v>0</v>
      </c>
      <c r="BF37" s="970">
        <f t="shared" si="55"/>
        <v>0</v>
      </c>
      <c r="BG37" s="970">
        <f t="shared" si="56"/>
        <v>0</v>
      </c>
      <c r="BH37" s="970">
        <f t="shared" si="57"/>
        <v>0</v>
      </c>
      <c r="BI37" s="970">
        <f t="shared" si="58"/>
        <v>0</v>
      </c>
      <c r="BJ37" s="168">
        <f t="shared" si="59"/>
        <v>0</v>
      </c>
      <c r="BK37" s="971">
        <f t="shared" si="21"/>
        <v>0</v>
      </c>
    </row>
    <row r="38" spans="1:63" outlineLevel="1" x14ac:dyDescent="0.2">
      <c r="A38" s="101" t="str">
        <f>IF(Personalplanung!B38&lt;&gt;"",Personalplanung!B38,IF(Personalplanung!A38&lt;&gt;"",Personalplanung!A38,""))</f>
        <v/>
      </c>
      <c r="B38" s="168">
        <f>Personalplanung!AH38</f>
        <v>0</v>
      </c>
      <c r="C38" s="168">
        <f>Personalplanung!AI38</f>
        <v>0</v>
      </c>
      <c r="D38" s="170">
        <f t="shared" si="37"/>
        <v>0</v>
      </c>
      <c r="E38" s="960">
        <f>Personalplanung!AG38</f>
        <v>0</v>
      </c>
      <c r="F38" s="170"/>
      <c r="G38" s="961">
        <f>Personalplanung!AL38</f>
        <v>0</v>
      </c>
      <c r="H38" s="961">
        <f t="shared" si="38"/>
        <v>0</v>
      </c>
      <c r="I38" s="99"/>
      <c r="J38" s="964">
        <v>1</v>
      </c>
      <c r="K38" s="964"/>
      <c r="L38" s="964"/>
      <c r="M38" s="964"/>
      <c r="N38" s="964"/>
      <c r="O38" s="964"/>
      <c r="P38" s="964"/>
      <c r="Q38" s="964"/>
      <c r="R38" s="968">
        <f t="shared" si="39"/>
        <v>1</v>
      </c>
      <c r="S38" s="969">
        <f t="shared" ref="S38:S69" si="60">IF(E38=0,0,(IF(ROUND(SUM(J38:Q38)-1,0)=0,0,"bitte prüfen!")))</f>
        <v>0</v>
      </c>
      <c r="U38" s="970">
        <f t="shared" si="40"/>
        <v>0</v>
      </c>
      <c r="V38" s="970">
        <f t="shared" si="41"/>
        <v>0</v>
      </c>
      <c r="W38" s="970">
        <f t="shared" si="42"/>
        <v>0</v>
      </c>
      <c r="X38" s="970">
        <f t="shared" si="43"/>
        <v>0</v>
      </c>
      <c r="Y38" s="970">
        <f t="shared" si="44"/>
        <v>0</v>
      </c>
      <c r="Z38" s="970">
        <f t="shared" si="45"/>
        <v>0</v>
      </c>
      <c r="AA38" s="970">
        <f t="shared" si="46"/>
        <v>0</v>
      </c>
      <c r="AB38" s="970">
        <f t="shared" si="47"/>
        <v>0</v>
      </c>
      <c r="AC38" s="168">
        <f t="shared" si="48"/>
        <v>0</v>
      </c>
      <c r="AD38" s="971">
        <f t="shared" ref="AD38:AD69" si="61">AC38-H38</f>
        <v>0</v>
      </c>
      <c r="AE38" s="136"/>
      <c r="AF38" s="970">
        <f t="shared" ref="AF38:AF69" si="62">$G38*IF($R38=0,0,(J38/$R38))</f>
        <v>0</v>
      </c>
      <c r="AG38" s="970">
        <f t="shared" ref="AG38:AG69" si="63">$G38*IF($R38=0,0,(K38/$R38))</f>
        <v>0</v>
      </c>
      <c r="AH38" s="970">
        <f t="shared" ref="AH38:AH69" si="64">$G38*IF($R38=0,0,(L38/$R38))</f>
        <v>0</v>
      </c>
      <c r="AI38" s="970">
        <f t="shared" ref="AI38:AI69" si="65">$G38*IF($R38=0,0,(M38/$R38))</f>
        <v>0</v>
      </c>
      <c r="AJ38" s="970">
        <f t="shared" ref="AJ38:AJ69" si="66">$G38*IF($R38=0,0,(N38/$R38))</f>
        <v>0</v>
      </c>
      <c r="AK38" s="970">
        <f t="shared" ref="AK38:AK69" si="67">$G38*IF($R38=0,0,(O38/$R38))</f>
        <v>0</v>
      </c>
      <c r="AL38" s="970">
        <f t="shared" ref="AL38:AL69" si="68">$G38*IF($R38=0,0,(P38/$R38))</f>
        <v>0</v>
      </c>
      <c r="AM38" s="970">
        <f t="shared" ref="AM38:AM69" si="69">$G38*IF($R38=0,0,(Q38/$R38))</f>
        <v>0</v>
      </c>
      <c r="AN38" s="168">
        <f t="shared" si="49"/>
        <v>0</v>
      </c>
      <c r="AO38" s="971">
        <f t="shared" ref="AO38:AO69" si="70">AN38-G38</f>
        <v>0</v>
      </c>
      <c r="AQ38" s="964"/>
      <c r="AR38" s="964"/>
      <c r="AS38" s="964"/>
      <c r="AT38" s="964"/>
      <c r="AU38" s="964"/>
      <c r="AV38" s="964"/>
      <c r="AW38" s="964"/>
      <c r="AX38" s="964"/>
      <c r="AY38" s="968">
        <f t="shared" si="50"/>
        <v>0</v>
      </c>
      <c r="AZ38" s="969" t="str">
        <f t="shared" ref="AZ38:AZ69" si="71">IF(A38=0,0,(IF(E38=1,0,IF(ROUND(SUM(AQ38:AX38)-1,0)=0,0,"bitte prüfen!"))))</f>
        <v>bitte prüfen!</v>
      </c>
      <c r="BB38" s="970">
        <f t="shared" si="51"/>
        <v>0</v>
      </c>
      <c r="BC38" s="970">
        <f t="shared" si="52"/>
        <v>0</v>
      </c>
      <c r="BD38" s="970">
        <f t="shared" si="53"/>
        <v>0</v>
      </c>
      <c r="BE38" s="970">
        <f t="shared" si="54"/>
        <v>0</v>
      </c>
      <c r="BF38" s="970">
        <f t="shared" si="55"/>
        <v>0</v>
      </c>
      <c r="BG38" s="970">
        <f t="shared" si="56"/>
        <v>0</v>
      </c>
      <c r="BH38" s="970">
        <f t="shared" si="57"/>
        <v>0</v>
      </c>
      <c r="BI38" s="970">
        <f t="shared" si="58"/>
        <v>0</v>
      </c>
      <c r="BJ38" s="168">
        <f t="shared" si="59"/>
        <v>0</v>
      </c>
      <c r="BK38" s="971">
        <f t="shared" ref="BK38:BK69" si="72">BJ38-(D38-H38)</f>
        <v>0</v>
      </c>
    </row>
    <row r="39" spans="1:63" outlineLevel="1" x14ac:dyDescent="0.2">
      <c r="A39" s="101" t="str">
        <f>IF(Personalplanung!B39&lt;&gt;"",Personalplanung!B39,IF(Personalplanung!A39&lt;&gt;"",Personalplanung!A39,""))</f>
        <v/>
      </c>
      <c r="B39" s="168">
        <f>Personalplanung!AH39</f>
        <v>0</v>
      </c>
      <c r="C39" s="168">
        <f>Personalplanung!AI39</f>
        <v>0</v>
      </c>
      <c r="D39" s="170">
        <f t="shared" si="37"/>
        <v>0</v>
      </c>
      <c r="E39" s="960">
        <f>Personalplanung!AG39</f>
        <v>0</v>
      </c>
      <c r="F39" s="170"/>
      <c r="G39" s="961">
        <f>Personalplanung!AL39</f>
        <v>0</v>
      </c>
      <c r="H39" s="961">
        <f t="shared" si="38"/>
        <v>0</v>
      </c>
      <c r="I39" s="99"/>
      <c r="J39" s="964">
        <v>1</v>
      </c>
      <c r="K39" s="964"/>
      <c r="L39" s="964"/>
      <c r="M39" s="964"/>
      <c r="N39" s="964"/>
      <c r="O39" s="964"/>
      <c r="P39" s="964"/>
      <c r="Q39" s="964"/>
      <c r="R39" s="968">
        <f t="shared" si="39"/>
        <v>1</v>
      </c>
      <c r="S39" s="969">
        <f t="shared" si="60"/>
        <v>0</v>
      </c>
      <c r="U39" s="970">
        <f t="shared" si="40"/>
        <v>0</v>
      </c>
      <c r="V39" s="970">
        <f t="shared" si="41"/>
        <v>0</v>
      </c>
      <c r="W39" s="970">
        <f t="shared" si="42"/>
        <v>0</v>
      </c>
      <c r="X39" s="970">
        <f t="shared" si="43"/>
        <v>0</v>
      </c>
      <c r="Y39" s="970">
        <f t="shared" si="44"/>
        <v>0</v>
      </c>
      <c r="Z39" s="970">
        <f t="shared" si="45"/>
        <v>0</v>
      </c>
      <c r="AA39" s="970">
        <f t="shared" si="46"/>
        <v>0</v>
      </c>
      <c r="AB39" s="970">
        <f t="shared" si="47"/>
        <v>0</v>
      </c>
      <c r="AC39" s="168">
        <f t="shared" si="48"/>
        <v>0</v>
      </c>
      <c r="AD39" s="971">
        <f t="shared" si="61"/>
        <v>0</v>
      </c>
      <c r="AE39" s="136"/>
      <c r="AF39" s="970">
        <f t="shared" si="62"/>
        <v>0</v>
      </c>
      <c r="AG39" s="970">
        <f t="shared" si="63"/>
        <v>0</v>
      </c>
      <c r="AH39" s="970">
        <f t="shared" si="64"/>
        <v>0</v>
      </c>
      <c r="AI39" s="970">
        <f t="shared" si="65"/>
        <v>0</v>
      </c>
      <c r="AJ39" s="970">
        <f t="shared" si="66"/>
        <v>0</v>
      </c>
      <c r="AK39" s="970">
        <f t="shared" si="67"/>
        <v>0</v>
      </c>
      <c r="AL39" s="970">
        <f t="shared" si="68"/>
        <v>0</v>
      </c>
      <c r="AM39" s="970">
        <f t="shared" si="69"/>
        <v>0</v>
      </c>
      <c r="AN39" s="168">
        <f t="shared" si="49"/>
        <v>0</v>
      </c>
      <c r="AO39" s="971">
        <f t="shared" si="70"/>
        <v>0</v>
      </c>
      <c r="AQ39" s="964"/>
      <c r="AR39" s="964"/>
      <c r="AS39" s="964"/>
      <c r="AT39" s="964"/>
      <c r="AU39" s="964"/>
      <c r="AV39" s="964"/>
      <c r="AW39" s="964"/>
      <c r="AX39" s="964"/>
      <c r="AY39" s="968">
        <f t="shared" si="50"/>
        <v>0</v>
      </c>
      <c r="AZ39" s="969" t="str">
        <f t="shared" si="71"/>
        <v>bitte prüfen!</v>
      </c>
      <c r="BB39" s="970">
        <f t="shared" si="51"/>
        <v>0</v>
      </c>
      <c r="BC39" s="970">
        <f t="shared" si="52"/>
        <v>0</v>
      </c>
      <c r="BD39" s="970">
        <f t="shared" si="53"/>
        <v>0</v>
      </c>
      <c r="BE39" s="970">
        <f t="shared" si="54"/>
        <v>0</v>
      </c>
      <c r="BF39" s="970">
        <f t="shared" si="55"/>
        <v>0</v>
      </c>
      <c r="BG39" s="970">
        <f t="shared" si="56"/>
        <v>0</v>
      </c>
      <c r="BH39" s="970">
        <f t="shared" si="57"/>
        <v>0</v>
      </c>
      <c r="BI39" s="970">
        <f t="shared" si="58"/>
        <v>0</v>
      </c>
      <c r="BJ39" s="168">
        <f t="shared" si="59"/>
        <v>0</v>
      </c>
      <c r="BK39" s="971">
        <f t="shared" si="72"/>
        <v>0</v>
      </c>
    </row>
    <row r="40" spans="1:63" outlineLevel="1" x14ac:dyDescent="0.2">
      <c r="A40" s="101" t="str">
        <f>IF(Personalplanung!B40&lt;&gt;"",Personalplanung!B40,IF(Personalplanung!A40&lt;&gt;"",Personalplanung!A40,""))</f>
        <v/>
      </c>
      <c r="B40" s="168">
        <f>Personalplanung!AH40</f>
        <v>0</v>
      </c>
      <c r="C40" s="168">
        <f>Personalplanung!AI40</f>
        <v>0</v>
      </c>
      <c r="D40" s="170">
        <f t="shared" si="37"/>
        <v>0</v>
      </c>
      <c r="E40" s="960">
        <f>Personalplanung!AG40</f>
        <v>0</v>
      </c>
      <c r="F40" s="170"/>
      <c r="G40" s="961">
        <f>Personalplanung!AL40</f>
        <v>0</v>
      </c>
      <c r="H40" s="961">
        <f t="shared" si="38"/>
        <v>0</v>
      </c>
      <c r="I40" s="99"/>
      <c r="J40" s="964">
        <v>1</v>
      </c>
      <c r="K40" s="964"/>
      <c r="L40" s="964"/>
      <c r="M40" s="964"/>
      <c r="N40" s="964"/>
      <c r="O40" s="964"/>
      <c r="P40" s="964"/>
      <c r="Q40" s="964"/>
      <c r="R40" s="968">
        <f t="shared" si="39"/>
        <v>1</v>
      </c>
      <c r="S40" s="969">
        <f t="shared" si="60"/>
        <v>0</v>
      </c>
      <c r="U40" s="970">
        <f t="shared" si="40"/>
        <v>0</v>
      </c>
      <c r="V40" s="970">
        <f t="shared" si="41"/>
        <v>0</v>
      </c>
      <c r="W40" s="970">
        <f t="shared" si="42"/>
        <v>0</v>
      </c>
      <c r="X40" s="970">
        <f t="shared" si="43"/>
        <v>0</v>
      </c>
      <c r="Y40" s="970">
        <f t="shared" si="44"/>
        <v>0</v>
      </c>
      <c r="Z40" s="970">
        <f t="shared" si="45"/>
        <v>0</v>
      </c>
      <c r="AA40" s="970">
        <f t="shared" si="46"/>
        <v>0</v>
      </c>
      <c r="AB40" s="970">
        <f t="shared" si="47"/>
        <v>0</v>
      </c>
      <c r="AC40" s="168">
        <f t="shared" si="48"/>
        <v>0</v>
      </c>
      <c r="AD40" s="971">
        <f t="shared" si="61"/>
        <v>0</v>
      </c>
      <c r="AE40" s="136"/>
      <c r="AF40" s="970">
        <f t="shared" si="62"/>
        <v>0</v>
      </c>
      <c r="AG40" s="970">
        <f t="shared" si="63"/>
        <v>0</v>
      </c>
      <c r="AH40" s="970">
        <f t="shared" si="64"/>
        <v>0</v>
      </c>
      <c r="AI40" s="970">
        <f t="shared" si="65"/>
        <v>0</v>
      </c>
      <c r="AJ40" s="970">
        <f t="shared" si="66"/>
        <v>0</v>
      </c>
      <c r="AK40" s="970">
        <f t="shared" si="67"/>
        <v>0</v>
      </c>
      <c r="AL40" s="970">
        <f t="shared" si="68"/>
        <v>0</v>
      </c>
      <c r="AM40" s="970">
        <f t="shared" si="69"/>
        <v>0</v>
      </c>
      <c r="AN40" s="168">
        <f t="shared" si="49"/>
        <v>0</v>
      </c>
      <c r="AO40" s="971">
        <f t="shared" si="70"/>
        <v>0</v>
      </c>
      <c r="AQ40" s="964"/>
      <c r="AR40" s="964"/>
      <c r="AS40" s="964"/>
      <c r="AT40" s="964"/>
      <c r="AU40" s="964"/>
      <c r="AV40" s="964"/>
      <c r="AW40" s="964"/>
      <c r="AX40" s="964"/>
      <c r="AY40" s="968">
        <f t="shared" si="50"/>
        <v>0</v>
      </c>
      <c r="AZ40" s="969" t="str">
        <f t="shared" si="71"/>
        <v>bitte prüfen!</v>
      </c>
      <c r="BB40" s="970">
        <f t="shared" si="51"/>
        <v>0</v>
      </c>
      <c r="BC40" s="970">
        <f t="shared" si="52"/>
        <v>0</v>
      </c>
      <c r="BD40" s="970">
        <f t="shared" si="53"/>
        <v>0</v>
      </c>
      <c r="BE40" s="970">
        <f t="shared" si="54"/>
        <v>0</v>
      </c>
      <c r="BF40" s="970">
        <f t="shared" si="55"/>
        <v>0</v>
      </c>
      <c r="BG40" s="970">
        <f t="shared" si="56"/>
        <v>0</v>
      </c>
      <c r="BH40" s="970">
        <f t="shared" si="57"/>
        <v>0</v>
      </c>
      <c r="BI40" s="970">
        <f t="shared" si="58"/>
        <v>0</v>
      </c>
      <c r="BJ40" s="168">
        <f t="shared" si="59"/>
        <v>0</v>
      </c>
      <c r="BK40" s="971">
        <f t="shared" si="72"/>
        <v>0</v>
      </c>
    </row>
    <row r="41" spans="1:63" outlineLevel="1" x14ac:dyDescent="0.2">
      <c r="A41" s="101" t="str">
        <f>IF(Personalplanung!B41&lt;&gt;"",Personalplanung!B41,IF(Personalplanung!A41&lt;&gt;"",Personalplanung!A41,""))</f>
        <v/>
      </c>
      <c r="B41" s="168">
        <f>Personalplanung!AH41</f>
        <v>0</v>
      </c>
      <c r="C41" s="168">
        <f>Personalplanung!AI41</f>
        <v>0</v>
      </c>
      <c r="D41" s="170">
        <f t="shared" si="37"/>
        <v>0</v>
      </c>
      <c r="E41" s="960">
        <f>Personalplanung!AG41</f>
        <v>0</v>
      </c>
      <c r="F41" s="170"/>
      <c r="G41" s="961">
        <f>Personalplanung!AL41</f>
        <v>0</v>
      </c>
      <c r="H41" s="961">
        <f t="shared" si="38"/>
        <v>0</v>
      </c>
      <c r="I41" s="99"/>
      <c r="J41" s="964">
        <v>1</v>
      </c>
      <c r="K41" s="964"/>
      <c r="L41" s="964"/>
      <c r="M41" s="964"/>
      <c r="N41" s="964"/>
      <c r="O41" s="964"/>
      <c r="P41" s="964"/>
      <c r="Q41" s="964"/>
      <c r="R41" s="968">
        <f t="shared" si="39"/>
        <v>1</v>
      </c>
      <c r="S41" s="969">
        <f t="shared" si="60"/>
        <v>0</v>
      </c>
      <c r="U41" s="970">
        <f t="shared" si="40"/>
        <v>0</v>
      </c>
      <c r="V41" s="970">
        <f t="shared" si="41"/>
        <v>0</v>
      </c>
      <c r="W41" s="970">
        <f t="shared" si="42"/>
        <v>0</v>
      </c>
      <c r="X41" s="970">
        <f t="shared" si="43"/>
        <v>0</v>
      </c>
      <c r="Y41" s="970">
        <f t="shared" si="44"/>
        <v>0</v>
      </c>
      <c r="Z41" s="970">
        <f t="shared" si="45"/>
        <v>0</v>
      </c>
      <c r="AA41" s="970">
        <f t="shared" si="46"/>
        <v>0</v>
      </c>
      <c r="AB41" s="970">
        <f t="shared" si="47"/>
        <v>0</v>
      </c>
      <c r="AC41" s="168">
        <f t="shared" si="48"/>
        <v>0</v>
      </c>
      <c r="AD41" s="971">
        <f t="shared" si="61"/>
        <v>0</v>
      </c>
      <c r="AE41" s="136"/>
      <c r="AF41" s="970">
        <f t="shared" si="62"/>
        <v>0</v>
      </c>
      <c r="AG41" s="970">
        <f t="shared" si="63"/>
        <v>0</v>
      </c>
      <c r="AH41" s="970">
        <f t="shared" si="64"/>
        <v>0</v>
      </c>
      <c r="AI41" s="970">
        <f t="shared" si="65"/>
        <v>0</v>
      </c>
      <c r="AJ41" s="970">
        <f t="shared" si="66"/>
        <v>0</v>
      </c>
      <c r="AK41" s="970">
        <f t="shared" si="67"/>
        <v>0</v>
      </c>
      <c r="AL41" s="970">
        <f t="shared" si="68"/>
        <v>0</v>
      </c>
      <c r="AM41" s="970">
        <f t="shared" si="69"/>
        <v>0</v>
      </c>
      <c r="AN41" s="168">
        <f t="shared" si="49"/>
        <v>0</v>
      </c>
      <c r="AO41" s="971">
        <f t="shared" si="70"/>
        <v>0</v>
      </c>
      <c r="AQ41" s="964"/>
      <c r="AR41" s="964"/>
      <c r="AS41" s="964"/>
      <c r="AT41" s="964"/>
      <c r="AU41" s="964"/>
      <c r="AV41" s="964"/>
      <c r="AW41" s="964"/>
      <c r="AX41" s="964"/>
      <c r="AY41" s="968">
        <f t="shared" si="50"/>
        <v>0</v>
      </c>
      <c r="AZ41" s="969" t="str">
        <f t="shared" si="71"/>
        <v>bitte prüfen!</v>
      </c>
      <c r="BB41" s="970">
        <f t="shared" si="51"/>
        <v>0</v>
      </c>
      <c r="BC41" s="970">
        <f t="shared" si="52"/>
        <v>0</v>
      </c>
      <c r="BD41" s="970">
        <f t="shared" si="53"/>
        <v>0</v>
      </c>
      <c r="BE41" s="970">
        <f t="shared" si="54"/>
        <v>0</v>
      </c>
      <c r="BF41" s="970">
        <f t="shared" si="55"/>
        <v>0</v>
      </c>
      <c r="BG41" s="970">
        <f t="shared" si="56"/>
        <v>0</v>
      </c>
      <c r="BH41" s="970">
        <f t="shared" si="57"/>
        <v>0</v>
      </c>
      <c r="BI41" s="970">
        <f t="shared" si="58"/>
        <v>0</v>
      </c>
      <c r="BJ41" s="168">
        <f t="shared" si="59"/>
        <v>0</v>
      </c>
      <c r="BK41" s="971">
        <f t="shared" si="72"/>
        <v>0</v>
      </c>
    </row>
    <row r="42" spans="1:63" outlineLevel="1" x14ac:dyDescent="0.2">
      <c r="A42" s="101" t="str">
        <f>IF(Personalplanung!B42&lt;&gt;"",Personalplanung!B42,IF(Personalplanung!A42&lt;&gt;"",Personalplanung!A42,""))</f>
        <v/>
      </c>
      <c r="B42" s="168">
        <f>Personalplanung!AH42</f>
        <v>0</v>
      </c>
      <c r="C42" s="168">
        <f>Personalplanung!AI42</f>
        <v>0</v>
      </c>
      <c r="D42" s="170">
        <f t="shared" si="37"/>
        <v>0</v>
      </c>
      <c r="E42" s="960">
        <f>Personalplanung!AG42</f>
        <v>0</v>
      </c>
      <c r="F42" s="170"/>
      <c r="G42" s="961">
        <f>Personalplanung!AL42</f>
        <v>0</v>
      </c>
      <c r="H42" s="961">
        <f t="shared" si="38"/>
        <v>0</v>
      </c>
      <c r="I42" s="99"/>
      <c r="J42" s="964">
        <v>1</v>
      </c>
      <c r="K42" s="964"/>
      <c r="L42" s="964"/>
      <c r="M42" s="964"/>
      <c r="N42" s="964"/>
      <c r="O42" s="964"/>
      <c r="P42" s="964"/>
      <c r="Q42" s="964"/>
      <c r="R42" s="968">
        <f t="shared" si="39"/>
        <v>1</v>
      </c>
      <c r="S42" s="969">
        <f t="shared" si="60"/>
        <v>0</v>
      </c>
      <c r="U42" s="970">
        <f t="shared" si="40"/>
        <v>0</v>
      </c>
      <c r="V42" s="970">
        <f t="shared" si="41"/>
        <v>0</v>
      </c>
      <c r="W42" s="970">
        <f t="shared" si="42"/>
        <v>0</v>
      </c>
      <c r="X42" s="970">
        <f t="shared" si="43"/>
        <v>0</v>
      </c>
      <c r="Y42" s="970">
        <f t="shared" si="44"/>
        <v>0</v>
      </c>
      <c r="Z42" s="970">
        <f t="shared" si="45"/>
        <v>0</v>
      </c>
      <c r="AA42" s="970">
        <f t="shared" si="46"/>
        <v>0</v>
      </c>
      <c r="AB42" s="970">
        <f t="shared" si="47"/>
        <v>0</v>
      </c>
      <c r="AC42" s="168">
        <f t="shared" si="48"/>
        <v>0</v>
      </c>
      <c r="AD42" s="971">
        <f t="shared" si="61"/>
        <v>0</v>
      </c>
      <c r="AE42" s="136"/>
      <c r="AF42" s="970">
        <f t="shared" si="62"/>
        <v>0</v>
      </c>
      <c r="AG42" s="970">
        <f t="shared" si="63"/>
        <v>0</v>
      </c>
      <c r="AH42" s="970">
        <f t="shared" si="64"/>
        <v>0</v>
      </c>
      <c r="AI42" s="970">
        <f t="shared" si="65"/>
        <v>0</v>
      </c>
      <c r="AJ42" s="970">
        <f t="shared" si="66"/>
        <v>0</v>
      </c>
      <c r="AK42" s="970">
        <f t="shared" si="67"/>
        <v>0</v>
      </c>
      <c r="AL42" s="970">
        <f t="shared" si="68"/>
        <v>0</v>
      </c>
      <c r="AM42" s="970">
        <f t="shared" si="69"/>
        <v>0</v>
      </c>
      <c r="AN42" s="168">
        <f t="shared" si="49"/>
        <v>0</v>
      </c>
      <c r="AO42" s="971">
        <f t="shared" si="70"/>
        <v>0</v>
      </c>
      <c r="AQ42" s="964"/>
      <c r="AR42" s="964"/>
      <c r="AS42" s="964"/>
      <c r="AT42" s="964"/>
      <c r="AU42" s="964"/>
      <c r="AV42" s="964"/>
      <c r="AW42" s="964"/>
      <c r="AX42" s="964"/>
      <c r="AY42" s="968">
        <f t="shared" si="50"/>
        <v>0</v>
      </c>
      <c r="AZ42" s="969" t="str">
        <f t="shared" si="71"/>
        <v>bitte prüfen!</v>
      </c>
      <c r="BB42" s="970">
        <f t="shared" si="51"/>
        <v>0</v>
      </c>
      <c r="BC42" s="970">
        <f t="shared" si="52"/>
        <v>0</v>
      </c>
      <c r="BD42" s="970">
        <f t="shared" si="53"/>
        <v>0</v>
      </c>
      <c r="BE42" s="970">
        <f t="shared" si="54"/>
        <v>0</v>
      </c>
      <c r="BF42" s="970">
        <f t="shared" si="55"/>
        <v>0</v>
      </c>
      <c r="BG42" s="970">
        <f t="shared" si="56"/>
        <v>0</v>
      </c>
      <c r="BH42" s="970">
        <f t="shared" si="57"/>
        <v>0</v>
      </c>
      <c r="BI42" s="970">
        <f t="shared" si="58"/>
        <v>0</v>
      </c>
      <c r="BJ42" s="168">
        <f t="shared" si="59"/>
        <v>0</v>
      </c>
      <c r="BK42" s="971">
        <f t="shared" si="72"/>
        <v>0</v>
      </c>
    </row>
    <row r="43" spans="1:63" outlineLevel="1" x14ac:dyDescent="0.2">
      <c r="A43" s="101" t="str">
        <f>IF(Personalplanung!B43&lt;&gt;"",Personalplanung!B43,IF(Personalplanung!A43&lt;&gt;"",Personalplanung!A43,""))</f>
        <v/>
      </c>
      <c r="B43" s="168">
        <f>Personalplanung!AH43</f>
        <v>0</v>
      </c>
      <c r="C43" s="168">
        <f>Personalplanung!AI43</f>
        <v>0</v>
      </c>
      <c r="D43" s="170">
        <f t="shared" si="37"/>
        <v>0</v>
      </c>
      <c r="E43" s="960">
        <f>Personalplanung!AG43</f>
        <v>0</v>
      </c>
      <c r="F43" s="170"/>
      <c r="G43" s="961">
        <f>Personalplanung!AL43</f>
        <v>0</v>
      </c>
      <c r="H43" s="961">
        <f t="shared" si="38"/>
        <v>0</v>
      </c>
      <c r="I43" s="99"/>
      <c r="J43" s="964">
        <v>1</v>
      </c>
      <c r="K43" s="964"/>
      <c r="L43" s="964"/>
      <c r="M43" s="964"/>
      <c r="N43" s="964"/>
      <c r="O43" s="964"/>
      <c r="P43" s="964"/>
      <c r="Q43" s="964"/>
      <c r="R43" s="968">
        <f t="shared" si="39"/>
        <v>1</v>
      </c>
      <c r="S43" s="969">
        <f t="shared" si="60"/>
        <v>0</v>
      </c>
      <c r="U43" s="970">
        <f t="shared" si="40"/>
        <v>0</v>
      </c>
      <c r="V43" s="970">
        <f t="shared" si="41"/>
        <v>0</v>
      </c>
      <c r="W43" s="970">
        <f t="shared" si="42"/>
        <v>0</v>
      </c>
      <c r="X43" s="970">
        <f t="shared" si="43"/>
        <v>0</v>
      </c>
      <c r="Y43" s="970">
        <f t="shared" si="44"/>
        <v>0</v>
      </c>
      <c r="Z43" s="970">
        <f t="shared" si="45"/>
        <v>0</v>
      </c>
      <c r="AA43" s="970">
        <f t="shared" si="46"/>
        <v>0</v>
      </c>
      <c r="AB43" s="970">
        <f t="shared" si="47"/>
        <v>0</v>
      </c>
      <c r="AC43" s="168">
        <f t="shared" si="48"/>
        <v>0</v>
      </c>
      <c r="AD43" s="971">
        <f t="shared" si="61"/>
        <v>0</v>
      </c>
      <c r="AE43" s="136"/>
      <c r="AF43" s="970">
        <f t="shared" si="62"/>
        <v>0</v>
      </c>
      <c r="AG43" s="970">
        <f t="shared" si="63"/>
        <v>0</v>
      </c>
      <c r="AH43" s="970">
        <f t="shared" si="64"/>
        <v>0</v>
      </c>
      <c r="AI43" s="970">
        <f t="shared" si="65"/>
        <v>0</v>
      </c>
      <c r="AJ43" s="970">
        <f t="shared" si="66"/>
        <v>0</v>
      </c>
      <c r="AK43" s="970">
        <f t="shared" si="67"/>
        <v>0</v>
      </c>
      <c r="AL43" s="970">
        <f t="shared" si="68"/>
        <v>0</v>
      </c>
      <c r="AM43" s="970">
        <f t="shared" si="69"/>
        <v>0</v>
      </c>
      <c r="AN43" s="168">
        <f t="shared" si="49"/>
        <v>0</v>
      </c>
      <c r="AO43" s="971">
        <f t="shared" si="70"/>
        <v>0</v>
      </c>
      <c r="AQ43" s="964"/>
      <c r="AR43" s="964"/>
      <c r="AS43" s="964"/>
      <c r="AT43" s="964"/>
      <c r="AU43" s="964"/>
      <c r="AV43" s="964"/>
      <c r="AW43" s="964"/>
      <c r="AX43" s="964"/>
      <c r="AY43" s="968">
        <f t="shared" si="50"/>
        <v>0</v>
      </c>
      <c r="AZ43" s="969" t="str">
        <f t="shared" si="71"/>
        <v>bitte prüfen!</v>
      </c>
      <c r="BB43" s="970">
        <f t="shared" si="51"/>
        <v>0</v>
      </c>
      <c r="BC43" s="970">
        <f t="shared" si="52"/>
        <v>0</v>
      </c>
      <c r="BD43" s="970">
        <f t="shared" si="53"/>
        <v>0</v>
      </c>
      <c r="BE43" s="970">
        <f t="shared" si="54"/>
        <v>0</v>
      </c>
      <c r="BF43" s="970">
        <f t="shared" si="55"/>
        <v>0</v>
      </c>
      <c r="BG43" s="970">
        <f t="shared" si="56"/>
        <v>0</v>
      </c>
      <c r="BH43" s="970">
        <f t="shared" si="57"/>
        <v>0</v>
      </c>
      <c r="BI43" s="970">
        <f t="shared" si="58"/>
        <v>0</v>
      </c>
      <c r="BJ43" s="168">
        <f t="shared" si="59"/>
        <v>0</v>
      </c>
      <c r="BK43" s="971">
        <f t="shared" si="72"/>
        <v>0</v>
      </c>
    </row>
    <row r="44" spans="1:63" outlineLevel="1" x14ac:dyDescent="0.2">
      <c r="A44" s="101" t="str">
        <f>IF(Personalplanung!B44&lt;&gt;"",Personalplanung!B44,IF(Personalplanung!A44&lt;&gt;"",Personalplanung!A44,""))</f>
        <v/>
      </c>
      <c r="B44" s="168">
        <f>Personalplanung!AH44</f>
        <v>0</v>
      </c>
      <c r="C44" s="168">
        <f>Personalplanung!AI44</f>
        <v>0</v>
      </c>
      <c r="D44" s="170">
        <f t="shared" si="37"/>
        <v>0</v>
      </c>
      <c r="E44" s="960">
        <f>Personalplanung!AG44</f>
        <v>0</v>
      </c>
      <c r="F44" s="170"/>
      <c r="G44" s="961">
        <f>Personalplanung!AL44</f>
        <v>0</v>
      </c>
      <c r="H44" s="961">
        <f t="shared" si="38"/>
        <v>0</v>
      </c>
      <c r="I44" s="99"/>
      <c r="J44" s="964">
        <v>1</v>
      </c>
      <c r="K44" s="964"/>
      <c r="L44" s="964"/>
      <c r="M44" s="964"/>
      <c r="N44" s="964"/>
      <c r="O44" s="964"/>
      <c r="P44" s="964"/>
      <c r="Q44" s="964"/>
      <c r="R44" s="968">
        <f t="shared" si="39"/>
        <v>1</v>
      </c>
      <c r="S44" s="969">
        <f t="shared" si="60"/>
        <v>0</v>
      </c>
      <c r="U44" s="970">
        <f t="shared" si="40"/>
        <v>0</v>
      </c>
      <c r="V44" s="970">
        <f t="shared" si="41"/>
        <v>0</v>
      </c>
      <c r="W44" s="970">
        <f t="shared" si="42"/>
        <v>0</v>
      </c>
      <c r="X44" s="970">
        <f t="shared" si="43"/>
        <v>0</v>
      </c>
      <c r="Y44" s="970">
        <f t="shared" si="44"/>
        <v>0</v>
      </c>
      <c r="Z44" s="970">
        <f t="shared" si="45"/>
        <v>0</v>
      </c>
      <c r="AA44" s="970">
        <f t="shared" si="46"/>
        <v>0</v>
      </c>
      <c r="AB44" s="970">
        <f t="shared" si="47"/>
        <v>0</v>
      </c>
      <c r="AC44" s="168">
        <f t="shared" si="48"/>
        <v>0</v>
      </c>
      <c r="AD44" s="971">
        <f t="shared" si="61"/>
        <v>0</v>
      </c>
      <c r="AE44" s="136"/>
      <c r="AF44" s="970">
        <f t="shared" si="62"/>
        <v>0</v>
      </c>
      <c r="AG44" s="970">
        <f t="shared" si="63"/>
        <v>0</v>
      </c>
      <c r="AH44" s="970">
        <f t="shared" si="64"/>
        <v>0</v>
      </c>
      <c r="AI44" s="970">
        <f t="shared" si="65"/>
        <v>0</v>
      </c>
      <c r="AJ44" s="970">
        <f t="shared" si="66"/>
        <v>0</v>
      </c>
      <c r="AK44" s="970">
        <f t="shared" si="67"/>
        <v>0</v>
      </c>
      <c r="AL44" s="970">
        <f t="shared" si="68"/>
        <v>0</v>
      </c>
      <c r="AM44" s="970">
        <f t="shared" si="69"/>
        <v>0</v>
      </c>
      <c r="AN44" s="168">
        <f t="shared" si="49"/>
        <v>0</v>
      </c>
      <c r="AO44" s="971">
        <f t="shared" si="70"/>
        <v>0</v>
      </c>
      <c r="AQ44" s="964"/>
      <c r="AR44" s="964"/>
      <c r="AS44" s="964"/>
      <c r="AT44" s="964"/>
      <c r="AU44" s="964"/>
      <c r="AV44" s="964"/>
      <c r="AW44" s="964"/>
      <c r="AX44" s="964"/>
      <c r="AY44" s="968">
        <f t="shared" si="50"/>
        <v>0</v>
      </c>
      <c r="AZ44" s="969" t="str">
        <f t="shared" si="71"/>
        <v>bitte prüfen!</v>
      </c>
      <c r="BB44" s="970">
        <f t="shared" si="51"/>
        <v>0</v>
      </c>
      <c r="BC44" s="970">
        <f t="shared" si="52"/>
        <v>0</v>
      </c>
      <c r="BD44" s="970">
        <f t="shared" si="53"/>
        <v>0</v>
      </c>
      <c r="BE44" s="970">
        <f t="shared" si="54"/>
        <v>0</v>
      </c>
      <c r="BF44" s="970">
        <f t="shared" si="55"/>
        <v>0</v>
      </c>
      <c r="BG44" s="970">
        <f t="shared" si="56"/>
        <v>0</v>
      </c>
      <c r="BH44" s="970">
        <f t="shared" si="57"/>
        <v>0</v>
      </c>
      <c r="BI44" s="970">
        <f t="shared" si="58"/>
        <v>0</v>
      </c>
      <c r="BJ44" s="168">
        <f t="shared" si="59"/>
        <v>0</v>
      </c>
      <c r="BK44" s="971">
        <f t="shared" si="72"/>
        <v>0</v>
      </c>
    </row>
    <row r="45" spans="1:63" outlineLevel="1" x14ac:dyDescent="0.2">
      <c r="A45" s="101" t="str">
        <f>IF(Personalplanung!B45&lt;&gt;"",Personalplanung!B45,IF(Personalplanung!A45&lt;&gt;"",Personalplanung!A45,""))</f>
        <v/>
      </c>
      <c r="B45" s="168">
        <f>Personalplanung!AH45</f>
        <v>0</v>
      </c>
      <c r="C45" s="168">
        <f>Personalplanung!AI45</f>
        <v>0</v>
      </c>
      <c r="D45" s="170">
        <f t="shared" si="37"/>
        <v>0</v>
      </c>
      <c r="E45" s="960">
        <f>Personalplanung!AG45</f>
        <v>0</v>
      </c>
      <c r="F45" s="170"/>
      <c r="G45" s="961">
        <f>Personalplanung!AL45</f>
        <v>0</v>
      </c>
      <c r="H45" s="961">
        <f t="shared" si="38"/>
        <v>0</v>
      </c>
      <c r="I45" s="99"/>
      <c r="J45" s="964">
        <v>1</v>
      </c>
      <c r="K45" s="964"/>
      <c r="L45" s="964"/>
      <c r="M45" s="964"/>
      <c r="N45" s="964"/>
      <c r="O45" s="964"/>
      <c r="P45" s="964"/>
      <c r="Q45" s="964"/>
      <c r="R45" s="968">
        <f t="shared" si="39"/>
        <v>1</v>
      </c>
      <c r="S45" s="969">
        <f t="shared" si="60"/>
        <v>0</v>
      </c>
      <c r="U45" s="970">
        <f t="shared" si="40"/>
        <v>0</v>
      </c>
      <c r="V45" s="970">
        <f t="shared" si="41"/>
        <v>0</v>
      </c>
      <c r="W45" s="970">
        <f t="shared" si="42"/>
        <v>0</v>
      </c>
      <c r="X45" s="970">
        <f t="shared" si="43"/>
        <v>0</v>
      </c>
      <c r="Y45" s="970">
        <f t="shared" si="44"/>
        <v>0</v>
      </c>
      <c r="Z45" s="970">
        <f t="shared" si="45"/>
        <v>0</v>
      </c>
      <c r="AA45" s="970">
        <f t="shared" si="46"/>
        <v>0</v>
      </c>
      <c r="AB45" s="970">
        <f t="shared" si="47"/>
        <v>0</v>
      </c>
      <c r="AC45" s="168">
        <f t="shared" si="48"/>
        <v>0</v>
      </c>
      <c r="AD45" s="971">
        <f t="shared" si="61"/>
        <v>0</v>
      </c>
      <c r="AE45" s="136"/>
      <c r="AF45" s="970">
        <f t="shared" si="62"/>
        <v>0</v>
      </c>
      <c r="AG45" s="970">
        <f t="shared" si="63"/>
        <v>0</v>
      </c>
      <c r="AH45" s="970">
        <f t="shared" si="64"/>
        <v>0</v>
      </c>
      <c r="AI45" s="970">
        <f t="shared" si="65"/>
        <v>0</v>
      </c>
      <c r="AJ45" s="970">
        <f t="shared" si="66"/>
        <v>0</v>
      </c>
      <c r="AK45" s="970">
        <f t="shared" si="67"/>
        <v>0</v>
      </c>
      <c r="AL45" s="970">
        <f t="shared" si="68"/>
        <v>0</v>
      </c>
      <c r="AM45" s="970">
        <f t="shared" si="69"/>
        <v>0</v>
      </c>
      <c r="AN45" s="168">
        <f t="shared" si="49"/>
        <v>0</v>
      </c>
      <c r="AO45" s="971">
        <f t="shared" si="70"/>
        <v>0</v>
      </c>
      <c r="AQ45" s="964"/>
      <c r="AR45" s="964"/>
      <c r="AS45" s="964"/>
      <c r="AT45" s="964"/>
      <c r="AU45" s="964"/>
      <c r="AV45" s="964"/>
      <c r="AW45" s="964"/>
      <c r="AX45" s="964"/>
      <c r="AY45" s="968">
        <f t="shared" si="50"/>
        <v>0</v>
      </c>
      <c r="AZ45" s="969" t="str">
        <f t="shared" si="71"/>
        <v>bitte prüfen!</v>
      </c>
      <c r="BB45" s="970">
        <f t="shared" si="51"/>
        <v>0</v>
      </c>
      <c r="BC45" s="970">
        <f t="shared" si="52"/>
        <v>0</v>
      </c>
      <c r="BD45" s="970">
        <f t="shared" si="53"/>
        <v>0</v>
      </c>
      <c r="BE45" s="970">
        <f t="shared" si="54"/>
        <v>0</v>
      </c>
      <c r="BF45" s="970">
        <f t="shared" si="55"/>
        <v>0</v>
      </c>
      <c r="BG45" s="970">
        <f t="shared" si="56"/>
        <v>0</v>
      </c>
      <c r="BH45" s="970">
        <f t="shared" si="57"/>
        <v>0</v>
      </c>
      <c r="BI45" s="970">
        <f t="shared" si="58"/>
        <v>0</v>
      </c>
      <c r="BJ45" s="168">
        <f t="shared" si="59"/>
        <v>0</v>
      </c>
      <c r="BK45" s="971">
        <f t="shared" si="72"/>
        <v>0</v>
      </c>
    </row>
    <row r="46" spans="1:63" outlineLevel="1" x14ac:dyDescent="0.2">
      <c r="A46" s="101" t="str">
        <f>IF(Personalplanung!B46&lt;&gt;"",Personalplanung!B46,IF(Personalplanung!A46&lt;&gt;"",Personalplanung!A46,""))</f>
        <v/>
      </c>
      <c r="B46" s="168">
        <f>Personalplanung!AH46</f>
        <v>0</v>
      </c>
      <c r="C46" s="168">
        <f>Personalplanung!AI46</f>
        <v>0</v>
      </c>
      <c r="D46" s="170">
        <f t="shared" si="37"/>
        <v>0</v>
      </c>
      <c r="E46" s="960">
        <f>Personalplanung!AG46</f>
        <v>0</v>
      </c>
      <c r="F46" s="170"/>
      <c r="G46" s="961">
        <f>Personalplanung!AL46</f>
        <v>0</v>
      </c>
      <c r="H46" s="961">
        <f t="shared" si="38"/>
        <v>0</v>
      </c>
      <c r="I46" s="99"/>
      <c r="J46" s="964">
        <v>1</v>
      </c>
      <c r="K46" s="964"/>
      <c r="L46" s="964"/>
      <c r="M46" s="964"/>
      <c r="N46" s="964"/>
      <c r="O46" s="964"/>
      <c r="P46" s="964"/>
      <c r="Q46" s="964"/>
      <c r="R46" s="968">
        <f t="shared" si="39"/>
        <v>1</v>
      </c>
      <c r="S46" s="969">
        <f t="shared" si="60"/>
        <v>0</v>
      </c>
      <c r="U46" s="970">
        <f t="shared" si="40"/>
        <v>0</v>
      </c>
      <c r="V46" s="970">
        <f t="shared" si="41"/>
        <v>0</v>
      </c>
      <c r="W46" s="970">
        <f t="shared" si="42"/>
        <v>0</v>
      </c>
      <c r="X46" s="970">
        <f t="shared" si="43"/>
        <v>0</v>
      </c>
      <c r="Y46" s="970">
        <f t="shared" si="44"/>
        <v>0</v>
      </c>
      <c r="Z46" s="970">
        <f t="shared" si="45"/>
        <v>0</v>
      </c>
      <c r="AA46" s="970">
        <f t="shared" si="46"/>
        <v>0</v>
      </c>
      <c r="AB46" s="970">
        <f t="shared" si="47"/>
        <v>0</v>
      </c>
      <c r="AC46" s="168">
        <f t="shared" si="48"/>
        <v>0</v>
      </c>
      <c r="AD46" s="971">
        <f t="shared" si="61"/>
        <v>0</v>
      </c>
      <c r="AE46" s="136"/>
      <c r="AF46" s="970">
        <f t="shared" si="62"/>
        <v>0</v>
      </c>
      <c r="AG46" s="970">
        <f t="shared" si="63"/>
        <v>0</v>
      </c>
      <c r="AH46" s="970">
        <f t="shared" si="64"/>
        <v>0</v>
      </c>
      <c r="AI46" s="970">
        <f t="shared" si="65"/>
        <v>0</v>
      </c>
      <c r="AJ46" s="970">
        <f t="shared" si="66"/>
        <v>0</v>
      </c>
      <c r="AK46" s="970">
        <f t="shared" si="67"/>
        <v>0</v>
      </c>
      <c r="AL46" s="970">
        <f t="shared" si="68"/>
        <v>0</v>
      </c>
      <c r="AM46" s="970">
        <f t="shared" si="69"/>
        <v>0</v>
      </c>
      <c r="AN46" s="168">
        <f t="shared" si="49"/>
        <v>0</v>
      </c>
      <c r="AO46" s="971">
        <f t="shared" si="70"/>
        <v>0</v>
      </c>
      <c r="AQ46" s="964"/>
      <c r="AR46" s="964"/>
      <c r="AS46" s="964"/>
      <c r="AT46" s="964"/>
      <c r="AU46" s="964"/>
      <c r="AV46" s="964"/>
      <c r="AW46" s="964"/>
      <c r="AX46" s="964"/>
      <c r="AY46" s="968">
        <f t="shared" si="50"/>
        <v>0</v>
      </c>
      <c r="AZ46" s="969" t="str">
        <f t="shared" si="71"/>
        <v>bitte prüfen!</v>
      </c>
      <c r="BB46" s="970">
        <f t="shared" si="51"/>
        <v>0</v>
      </c>
      <c r="BC46" s="970">
        <f t="shared" si="52"/>
        <v>0</v>
      </c>
      <c r="BD46" s="970">
        <f t="shared" si="53"/>
        <v>0</v>
      </c>
      <c r="BE46" s="970">
        <f t="shared" si="54"/>
        <v>0</v>
      </c>
      <c r="BF46" s="970">
        <f t="shared" si="55"/>
        <v>0</v>
      </c>
      <c r="BG46" s="970">
        <f t="shared" si="56"/>
        <v>0</v>
      </c>
      <c r="BH46" s="970">
        <f t="shared" si="57"/>
        <v>0</v>
      </c>
      <c r="BI46" s="970">
        <f t="shared" si="58"/>
        <v>0</v>
      </c>
      <c r="BJ46" s="168">
        <f t="shared" si="59"/>
        <v>0</v>
      </c>
      <c r="BK46" s="971">
        <f t="shared" si="72"/>
        <v>0</v>
      </c>
    </row>
    <row r="47" spans="1:63" outlineLevel="1" x14ac:dyDescent="0.2">
      <c r="A47" s="101" t="str">
        <f>IF(Personalplanung!B47&lt;&gt;"",Personalplanung!B47,IF(Personalplanung!A47&lt;&gt;"",Personalplanung!A47,""))</f>
        <v/>
      </c>
      <c r="B47" s="168">
        <f>Personalplanung!AH47</f>
        <v>0</v>
      </c>
      <c r="C47" s="168">
        <f>Personalplanung!AI47</f>
        <v>0</v>
      </c>
      <c r="D47" s="170">
        <f t="shared" si="37"/>
        <v>0</v>
      </c>
      <c r="E47" s="960">
        <f>Personalplanung!AG47</f>
        <v>0</v>
      </c>
      <c r="F47" s="170"/>
      <c r="G47" s="961">
        <f>Personalplanung!AL47</f>
        <v>0</v>
      </c>
      <c r="H47" s="961">
        <f t="shared" si="38"/>
        <v>0</v>
      </c>
      <c r="I47" s="99"/>
      <c r="J47" s="964">
        <v>1</v>
      </c>
      <c r="K47" s="964"/>
      <c r="L47" s="964"/>
      <c r="M47" s="964"/>
      <c r="N47" s="964"/>
      <c r="O47" s="964"/>
      <c r="P47" s="964"/>
      <c r="Q47" s="964"/>
      <c r="R47" s="968">
        <f t="shared" si="39"/>
        <v>1</v>
      </c>
      <c r="S47" s="969">
        <f t="shared" si="60"/>
        <v>0</v>
      </c>
      <c r="U47" s="970">
        <f t="shared" si="40"/>
        <v>0</v>
      </c>
      <c r="V47" s="970">
        <f t="shared" si="41"/>
        <v>0</v>
      </c>
      <c r="W47" s="970">
        <f t="shared" si="42"/>
        <v>0</v>
      </c>
      <c r="X47" s="970">
        <f t="shared" si="43"/>
        <v>0</v>
      </c>
      <c r="Y47" s="970">
        <f t="shared" si="44"/>
        <v>0</v>
      </c>
      <c r="Z47" s="970">
        <f t="shared" si="45"/>
        <v>0</v>
      </c>
      <c r="AA47" s="970">
        <f t="shared" si="46"/>
        <v>0</v>
      </c>
      <c r="AB47" s="970">
        <f t="shared" si="47"/>
        <v>0</v>
      </c>
      <c r="AC47" s="168">
        <f t="shared" si="48"/>
        <v>0</v>
      </c>
      <c r="AD47" s="971">
        <f t="shared" si="61"/>
        <v>0</v>
      </c>
      <c r="AE47" s="136"/>
      <c r="AF47" s="970">
        <f t="shared" si="62"/>
        <v>0</v>
      </c>
      <c r="AG47" s="970">
        <f t="shared" si="63"/>
        <v>0</v>
      </c>
      <c r="AH47" s="970">
        <f t="shared" si="64"/>
        <v>0</v>
      </c>
      <c r="AI47" s="970">
        <f t="shared" si="65"/>
        <v>0</v>
      </c>
      <c r="AJ47" s="970">
        <f t="shared" si="66"/>
        <v>0</v>
      </c>
      <c r="AK47" s="970">
        <f t="shared" si="67"/>
        <v>0</v>
      </c>
      <c r="AL47" s="970">
        <f t="shared" si="68"/>
        <v>0</v>
      </c>
      <c r="AM47" s="970">
        <f t="shared" si="69"/>
        <v>0</v>
      </c>
      <c r="AN47" s="168">
        <f t="shared" si="49"/>
        <v>0</v>
      </c>
      <c r="AO47" s="971">
        <f t="shared" si="70"/>
        <v>0</v>
      </c>
      <c r="AQ47" s="964"/>
      <c r="AR47" s="964"/>
      <c r="AS47" s="964"/>
      <c r="AT47" s="964"/>
      <c r="AU47" s="964"/>
      <c r="AV47" s="964"/>
      <c r="AW47" s="964"/>
      <c r="AX47" s="964"/>
      <c r="AY47" s="968">
        <f t="shared" si="50"/>
        <v>0</v>
      </c>
      <c r="AZ47" s="969" t="str">
        <f t="shared" si="71"/>
        <v>bitte prüfen!</v>
      </c>
      <c r="BB47" s="970">
        <f t="shared" si="51"/>
        <v>0</v>
      </c>
      <c r="BC47" s="970">
        <f t="shared" si="52"/>
        <v>0</v>
      </c>
      <c r="BD47" s="970">
        <f t="shared" si="53"/>
        <v>0</v>
      </c>
      <c r="BE47" s="970">
        <f t="shared" si="54"/>
        <v>0</v>
      </c>
      <c r="BF47" s="970">
        <f t="shared" si="55"/>
        <v>0</v>
      </c>
      <c r="BG47" s="970">
        <f t="shared" si="56"/>
        <v>0</v>
      </c>
      <c r="BH47" s="970">
        <f t="shared" si="57"/>
        <v>0</v>
      </c>
      <c r="BI47" s="970">
        <f t="shared" si="58"/>
        <v>0</v>
      </c>
      <c r="BJ47" s="168">
        <f t="shared" si="59"/>
        <v>0</v>
      </c>
      <c r="BK47" s="971">
        <f t="shared" si="72"/>
        <v>0</v>
      </c>
    </row>
    <row r="48" spans="1:63" outlineLevel="1" x14ac:dyDescent="0.2">
      <c r="A48" s="101" t="str">
        <f>IF(Personalplanung!B48&lt;&gt;"",Personalplanung!B48,IF(Personalplanung!A48&lt;&gt;"",Personalplanung!A48,""))</f>
        <v/>
      </c>
      <c r="B48" s="168">
        <f>Personalplanung!AH48</f>
        <v>0</v>
      </c>
      <c r="C48" s="168">
        <f>Personalplanung!AI48</f>
        <v>0</v>
      </c>
      <c r="D48" s="170">
        <f t="shared" si="37"/>
        <v>0</v>
      </c>
      <c r="E48" s="960">
        <f>Personalplanung!AG48</f>
        <v>0</v>
      </c>
      <c r="F48" s="170"/>
      <c r="G48" s="961">
        <f>Personalplanung!AL48</f>
        <v>0</v>
      </c>
      <c r="H48" s="961">
        <f t="shared" si="38"/>
        <v>0</v>
      </c>
      <c r="I48" s="99"/>
      <c r="J48" s="964">
        <v>1</v>
      </c>
      <c r="K48" s="964"/>
      <c r="L48" s="964"/>
      <c r="M48" s="964"/>
      <c r="N48" s="964"/>
      <c r="O48" s="964"/>
      <c r="P48" s="964"/>
      <c r="Q48" s="964"/>
      <c r="R48" s="968">
        <f t="shared" si="39"/>
        <v>1</v>
      </c>
      <c r="S48" s="969">
        <f t="shared" si="60"/>
        <v>0</v>
      </c>
      <c r="U48" s="970">
        <f t="shared" si="40"/>
        <v>0</v>
      </c>
      <c r="V48" s="970">
        <f t="shared" si="41"/>
        <v>0</v>
      </c>
      <c r="W48" s="970">
        <f t="shared" si="42"/>
        <v>0</v>
      </c>
      <c r="X48" s="970">
        <f t="shared" si="43"/>
        <v>0</v>
      </c>
      <c r="Y48" s="970">
        <f t="shared" si="44"/>
        <v>0</v>
      </c>
      <c r="Z48" s="970">
        <f t="shared" si="45"/>
        <v>0</v>
      </c>
      <c r="AA48" s="970">
        <f t="shared" si="46"/>
        <v>0</v>
      </c>
      <c r="AB48" s="970">
        <f t="shared" si="47"/>
        <v>0</v>
      </c>
      <c r="AC48" s="168">
        <f t="shared" si="48"/>
        <v>0</v>
      </c>
      <c r="AD48" s="971">
        <f t="shared" si="61"/>
        <v>0</v>
      </c>
      <c r="AE48" s="136"/>
      <c r="AF48" s="970">
        <f t="shared" si="62"/>
        <v>0</v>
      </c>
      <c r="AG48" s="970">
        <f t="shared" si="63"/>
        <v>0</v>
      </c>
      <c r="AH48" s="970">
        <f t="shared" si="64"/>
        <v>0</v>
      </c>
      <c r="AI48" s="970">
        <f t="shared" si="65"/>
        <v>0</v>
      </c>
      <c r="AJ48" s="970">
        <f t="shared" si="66"/>
        <v>0</v>
      </c>
      <c r="AK48" s="970">
        <f t="shared" si="67"/>
        <v>0</v>
      </c>
      <c r="AL48" s="970">
        <f t="shared" si="68"/>
        <v>0</v>
      </c>
      <c r="AM48" s="970">
        <f t="shared" si="69"/>
        <v>0</v>
      </c>
      <c r="AN48" s="168">
        <f t="shared" si="49"/>
        <v>0</v>
      </c>
      <c r="AO48" s="971">
        <f t="shared" si="70"/>
        <v>0</v>
      </c>
      <c r="AQ48" s="964"/>
      <c r="AR48" s="964"/>
      <c r="AS48" s="964"/>
      <c r="AT48" s="964"/>
      <c r="AU48" s="964"/>
      <c r="AV48" s="964"/>
      <c r="AW48" s="964"/>
      <c r="AX48" s="964"/>
      <c r="AY48" s="968">
        <f t="shared" si="50"/>
        <v>0</v>
      </c>
      <c r="AZ48" s="969" t="str">
        <f t="shared" si="71"/>
        <v>bitte prüfen!</v>
      </c>
      <c r="BB48" s="970">
        <f t="shared" si="51"/>
        <v>0</v>
      </c>
      <c r="BC48" s="970">
        <f t="shared" si="52"/>
        <v>0</v>
      </c>
      <c r="BD48" s="970">
        <f t="shared" si="53"/>
        <v>0</v>
      </c>
      <c r="BE48" s="970">
        <f t="shared" si="54"/>
        <v>0</v>
      </c>
      <c r="BF48" s="970">
        <f t="shared" si="55"/>
        <v>0</v>
      </c>
      <c r="BG48" s="970">
        <f t="shared" si="56"/>
        <v>0</v>
      </c>
      <c r="BH48" s="970">
        <f t="shared" si="57"/>
        <v>0</v>
      </c>
      <c r="BI48" s="970">
        <f t="shared" si="58"/>
        <v>0</v>
      </c>
      <c r="BJ48" s="168">
        <f t="shared" si="59"/>
        <v>0</v>
      </c>
      <c r="BK48" s="971">
        <f t="shared" si="72"/>
        <v>0</v>
      </c>
    </row>
    <row r="49" spans="1:63" outlineLevel="1" x14ac:dyDescent="0.2">
      <c r="A49" s="101" t="str">
        <f>IF(Personalplanung!B49&lt;&gt;"",Personalplanung!B49,IF(Personalplanung!A49&lt;&gt;"",Personalplanung!A49,""))</f>
        <v/>
      </c>
      <c r="B49" s="168">
        <f>Personalplanung!AH49</f>
        <v>0</v>
      </c>
      <c r="C49" s="168">
        <f>Personalplanung!AI49</f>
        <v>0</v>
      </c>
      <c r="D49" s="170">
        <f t="shared" si="37"/>
        <v>0</v>
      </c>
      <c r="E49" s="960">
        <f>Personalplanung!AG49</f>
        <v>0</v>
      </c>
      <c r="F49" s="170"/>
      <c r="G49" s="961">
        <f>Personalplanung!AL49</f>
        <v>0</v>
      </c>
      <c r="H49" s="961">
        <f t="shared" si="38"/>
        <v>0</v>
      </c>
      <c r="I49" s="99"/>
      <c r="J49" s="964">
        <v>1</v>
      </c>
      <c r="K49" s="964"/>
      <c r="L49" s="964"/>
      <c r="M49" s="964"/>
      <c r="N49" s="964"/>
      <c r="O49" s="964"/>
      <c r="P49" s="964"/>
      <c r="Q49" s="964"/>
      <c r="R49" s="968">
        <f t="shared" si="39"/>
        <v>1</v>
      </c>
      <c r="S49" s="969">
        <f t="shared" si="60"/>
        <v>0</v>
      </c>
      <c r="U49" s="970">
        <f t="shared" si="40"/>
        <v>0</v>
      </c>
      <c r="V49" s="970">
        <f t="shared" si="41"/>
        <v>0</v>
      </c>
      <c r="W49" s="970">
        <f t="shared" si="42"/>
        <v>0</v>
      </c>
      <c r="X49" s="970">
        <f t="shared" si="43"/>
        <v>0</v>
      </c>
      <c r="Y49" s="970">
        <f t="shared" si="44"/>
        <v>0</v>
      </c>
      <c r="Z49" s="970">
        <f t="shared" si="45"/>
        <v>0</v>
      </c>
      <c r="AA49" s="970">
        <f t="shared" si="46"/>
        <v>0</v>
      </c>
      <c r="AB49" s="970">
        <f t="shared" si="47"/>
        <v>0</v>
      </c>
      <c r="AC49" s="168">
        <f t="shared" si="48"/>
        <v>0</v>
      </c>
      <c r="AD49" s="971">
        <f t="shared" si="61"/>
        <v>0</v>
      </c>
      <c r="AE49" s="136"/>
      <c r="AF49" s="970">
        <f t="shared" si="62"/>
        <v>0</v>
      </c>
      <c r="AG49" s="970">
        <f t="shared" si="63"/>
        <v>0</v>
      </c>
      <c r="AH49" s="970">
        <f t="shared" si="64"/>
        <v>0</v>
      </c>
      <c r="AI49" s="970">
        <f t="shared" si="65"/>
        <v>0</v>
      </c>
      <c r="AJ49" s="970">
        <f t="shared" si="66"/>
        <v>0</v>
      </c>
      <c r="AK49" s="970">
        <f t="shared" si="67"/>
        <v>0</v>
      </c>
      <c r="AL49" s="970">
        <f t="shared" si="68"/>
        <v>0</v>
      </c>
      <c r="AM49" s="970">
        <f t="shared" si="69"/>
        <v>0</v>
      </c>
      <c r="AN49" s="168">
        <f t="shared" si="49"/>
        <v>0</v>
      </c>
      <c r="AO49" s="971">
        <f t="shared" si="70"/>
        <v>0</v>
      </c>
      <c r="AQ49" s="964"/>
      <c r="AR49" s="964"/>
      <c r="AS49" s="964"/>
      <c r="AT49" s="964"/>
      <c r="AU49" s="964"/>
      <c r="AV49" s="964"/>
      <c r="AW49" s="964"/>
      <c r="AX49" s="964"/>
      <c r="AY49" s="968">
        <f t="shared" si="50"/>
        <v>0</v>
      </c>
      <c r="AZ49" s="969" t="str">
        <f t="shared" si="71"/>
        <v>bitte prüfen!</v>
      </c>
      <c r="BB49" s="970">
        <f t="shared" si="51"/>
        <v>0</v>
      </c>
      <c r="BC49" s="970">
        <f t="shared" si="52"/>
        <v>0</v>
      </c>
      <c r="BD49" s="970">
        <f t="shared" si="53"/>
        <v>0</v>
      </c>
      <c r="BE49" s="970">
        <f t="shared" si="54"/>
        <v>0</v>
      </c>
      <c r="BF49" s="970">
        <f t="shared" si="55"/>
        <v>0</v>
      </c>
      <c r="BG49" s="970">
        <f t="shared" si="56"/>
        <v>0</v>
      </c>
      <c r="BH49" s="970">
        <f t="shared" si="57"/>
        <v>0</v>
      </c>
      <c r="BI49" s="970">
        <f t="shared" si="58"/>
        <v>0</v>
      </c>
      <c r="BJ49" s="168">
        <f t="shared" si="59"/>
        <v>0</v>
      </c>
      <c r="BK49" s="971">
        <f t="shared" si="72"/>
        <v>0</v>
      </c>
    </row>
    <row r="50" spans="1:63" outlineLevel="1" x14ac:dyDescent="0.2">
      <c r="A50" s="101" t="str">
        <f>IF(Personalplanung!B50&lt;&gt;"",Personalplanung!B50,IF(Personalplanung!A50&lt;&gt;"",Personalplanung!A50,""))</f>
        <v/>
      </c>
      <c r="B50" s="168">
        <f>Personalplanung!AH50</f>
        <v>0</v>
      </c>
      <c r="C50" s="168">
        <f>Personalplanung!AI50</f>
        <v>0</v>
      </c>
      <c r="D50" s="170">
        <f t="shared" si="37"/>
        <v>0</v>
      </c>
      <c r="E50" s="960">
        <f>Personalplanung!AG50</f>
        <v>0</v>
      </c>
      <c r="F50" s="170"/>
      <c r="G50" s="961">
        <f>Personalplanung!AL50</f>
        <v>0</v>
      </c>
      <c r="H50" s="961">
        <f t="shared" si="38"/>
        <v>0</v>
      </c>
      <c r="I50" s="99"/>
      <c r="J50" s="964">
        <v>1</v>
      </c>
      <c r="K50" s="964"/>
      <c r="L50" s="964"/>
      <c r="M50" s="964"/>
      <c r="N50" s="964"/>
      <c r="O50" s="964"/>
      <c r="P50" s="964"/>
      <c r="Q50" s="964"/>
      <c r="R50" s="968">
        <f t="shared" si="39"/>
        <v>1</v>
      </c>
      <c r="S50" s="969">
        <f t="shared" si="60"/>
        <v>0</v>
      </c>
      <c r="U50" s="970">
        <f t="shared" si="40"/>
        <v>0</v>
      </c>
      <c r="V50" s="970">
        <f t="shared" si="41"/>
        <v>0</v>
      </c>
      <c r="W50" s="970">
        <f t="shared" si="42"/>
        <v>0</v>
      </c>
      <c r="X50" s="970">
        <f t="shared" si="43"/>
        <v>0</v>
      </c>
      <c r="Y50" s="970">
        <f t="shared" si="44"/>
        <v>0</v>
      </c>
      <c r="Z50" s="970">
        <f t="shared" si="45"/>
        <v>0</v>
      </c>
      <c r="AA50" s="970">
        <f t="shared" si="46"/>
        <v>0</v>
      </c>
      <c r="AB50" s="970">
        <f t="shared" si="47"/>
        <v>0</v>
      </c>
      <c r="AC50" s="168">
        <f t="shared" si="48"/>
        <v>0</v>
      </c>
      <c r="AD50" s="971">
        <f t="shared" si="61"/>
        <v>0</v>
      </c>
      <c r="AE50" s="136"/>
      <c r="AF50" s="970">
        <f t="shared" si="62"/>
        <v>0</v>
      </c>
      <c r="AG50" s="970">
        <f t="shared" si="63"/>
        <v>0</v>
      </c>
      <c r="AH50" s="970">
        <f t="shared" si="64"/>
        <v>0</v>
      </c>
      <c r="AI50" s="970">
        <f t="shared" si="65"/>
        <v>0</v>
      </c>
      <c r="AJ50" s="970">
        <f t="shared" si="66"/>
        <v>0</v>
      </c>
      <c r="AK50" s="970">
        <f t="shared" si="67"/>
        <v>0</v>
      </c>
      <c r="AL50" s="970">
        <f t="shared" si="68"/>
        <v>0</v>
      </c>
      <c r="AM50" s="970">
        <f t="shared" si="69"/>
        <v>0</v>
      </c>
      <c r="AN50" s="168">
        <f t="shared" si="49"/>
        <v>0</v>
      </c>
      <c r="AO50" s="971">
        <f t="shared" si="70"/>
        <v>0</v>
      </c>
      <c r="AQ50" s="964"/>
      <c r="AR50" s="964"/>
      <c r="AS50" s="964"/>
      <c r="AT50" s="964"/>
      <c r="AU50" s="964"/>
      <c r="AV50" s="964"/>
      <c r="AW50" s="964"/>
      <c r="AX50" s="964"/>
      <c r="AY50" s="968">
        <f t="shared" si="50"/>
        <v>0</v>
      </c>
      <c r="AZ50" s="969" t="str">
        <f t="shared" si="71"/>
        <v>bitte prüfen!</v>
      </c>
      <c r="BB50" s="970">
        <f t="shared" si="51"/>
        <v>0</v>
      </c>
      <c r="BC50" s="970">
        <f t="shared" si="52"/>
        <v>0</v>
      </c>
      <c r="BD50" s="970">
        <f t="shared" si="53"/>
        <v>0</v>
      </c>
      <c r="BE50" s="970">
        <f t="shared" si="54"/>
        <v>0</v>
      </c>
      <c r="BF50" s="970">
        <f t="shared" si="55"/>
        <v>0</v>
      </c>
      <c r="BG50" s="970">
        <f t="shared" si="56"/>
        <v>0</v>
      </c>
      <c r="BH50" s="970">
        <f t="shared" si="57"/>
        <v>0</v>
      </c>
      <c r="BI50" s="970">
        <f t="shared" si="58"/>
        <v>0</v>
      </c>
      <c r="BJ50" s="168">
        <f t="shared" si="59"/>
        <v>0</v>
      </c>
      <c r="BK50" s="971">
        <f t="shared" si="72"/>
        <v>0</v>
      </c>
    </row>
    <row r="51" spans="1:63" outlineLevel="1" x14ac:dyDescent="0.2">
      <c r="A51" s="101" t="str">
        <f>IF(Personalplanung!B51&lt;&gt;"",Personalplanung!B51,IF(Personalplanung!A51&lt;&gt;"",Personalplanung!A51,""))</f>
        <v/>
      </c>
      <c r="B51" s="168">
        <f>Personalplanung!AH51</f>
        <v>0</v>
      </c>
      <c r="C51" s="168">
        <f>Personalplanung!AI51</f>
        <v>0</v>
      </c>
      <c r="D51" s="170">
        <f t="shared" si="37"/>
        <v>0</v>
      </c>
      <c r="E51" s="960">
        <f>Personalplanung!AG51</f>
        <v>0</v>
      </c>
      <c r="F51" s="170"/>
      <c r="G51" s="961">
        <f>Personalplanung!AL51</f>
        <v>0</v>
      </c>
      <c r="H51" s="961">
        <f t="shared" si="38"/>
        <v>0</v>
      </c>
      <c r="I51" s="99"/>
      <c r="J51" s="964">
        <v>1</v>
      </c>
      <c r="K51" s="964"/>
      <c r="L51" s="964"/>
      <c r="M51" s="964"/>
      <c r="N51" s="964"/>
      <c r="O51" s="964"/>
      <c r="P51" s="964"/>
      <c r="Q51" s="964"/>
      <c r="R51" s="968">
        <f t="shared" si="39"/>
        <v>1</v>
      </c>
      <c r="S51" s="969">
        <f t="shared" si="60"/>
        <v>0</v>
      </c>
      <c r="U51" s="970">
        <f t="shared" si="40"/>
        <v>0</v>
      </c>
      <c r="V51" s="970">
        <f t="shared" si="41"/>
        <v>0</v>
      </c>
      <c r="W51" s="970">
        <f t="shared" si="42"/>
        <v>0</v>
      </c>
      <c r="X51" s="970">
        <f t="shared" si="43"/>
        <v>0</v>
      </c>
      <c r="Y51" s="970">
        <f t="shared" si="44"/>
        <v>0</v>
      </c>
      <c r="Z51" s="970">
        <f t="shared" si="45"/>
        <v>0</v>
      </c>
      <c r="AA51" s="970">
        <f t="shared" si="46"/>
        <v>0</v>
      </c>
      <c r="AB51" s="970">
        <f t="shared" si="47"/>
        <v>0</v>
      </c>
      <c r="AC51" s="168">
        <f t="shared" si="48"/>
        <v>0</v>
      </c>
      <c r="AD51" s="971">
        <f t="shared" si="61"/>
        <v>0</v>
      </c>
      <c r="AE51" s="136"/>
      <c r="AF51" s="970">
        <f t="shared" si="62"/>
        <v>0</v>
      </c>
      <c r="AG51" s="970">
        <f t="shared" si="63"/>
        <v>0</v>
      </c>
      <c r="AH51" s="970">
        <f t="shared" si="64"/>
        <v>0</v>
      </c>
      <c r="AI51" s="970">
        <f t="shared" si="65"/>
        <v>0</v>
      </c>
      <c r="AJ51" s="970">
        <f t="shared" si="66"/>
        <v>0</v>
      </c>
      <c r="AK51" s="970">
        <f t="shared" si="67"/>
        <v>0</v>
      </c>
      <c r="AL51" s="970">
        <f t="shared" si="68"/>
        <v>0</v>
      </c>
      <c r="AM51" s="970">
        <f t="shared" si="69"/>
        <v>0</v>
      </c>
      <c r="AN51" s="168">
        <f t="shared" si="49"/>
        <v>0</v>
      </c>
      <c r="AO51" s="971">
        <f t="shared" si="70"/>
        <v>0</v>
      </c>
      <c r="AQ51" s="964"/>
      <c r="AR51" s="964"/>
      <c r="AS51" s="964"/>
      <c r="AT51" s="964"/>
      <c r="AU51" s="964"/>
      <c r="AV51" s="964"/>
      <c r="AW51" s="964"/>
      <c r="AX51" s="964"/>
      <c r="AY51" s="968">
        <f t="shared" si="50"/>
        <v>0</v>
      </c>
      <c r="AZ51" s="969" t="str">
        <f t="shared" si="71"/>
        <v>bitte prüfen!</v>
      </c>
      <c r="BB51" s="970">
        <f t="shared" si="51"/>
        <v>0</v>
      </c>
      <c r="BC51" s="970">
        <f t="shared" si="52"/>
        <v>0</v>
      </c>
      <c r="BD51" s="970">
        <f t="shared" si="53"/>
        <v>0</v>
      </c>
      <c r="BE51" s="970">
        <f t="shared" si="54"/>
        <v>0</v>
      </c>
      <c r="BF51" s="970">
        <f t="shared" si="55"/>
        <v>0</v>
      </c>
      <c r="BG51" s="970">
        <f t="shared" si="56"/>
        <v>0</v>
      </c>
      <c r="BH51" s="970">
        <f t="shared" si="57"/>
        <v>0</v>
      </c>
      <c r="BI51" s="970">
        <f t="shared" si="58"/>
        <v>0</v>
      </c>
      <c r="BJ51" s="168">
        <f t="shared" si="59"/>
        <v>0</v>
      </c>
      <c r="BK51" s="971">
        <f t="shared" si="72"/>
        <v>0</v>
      </c>
    </row>
    <row r="52" spans="1:63" outlineLevel="1" x14ac:dyDescent="0.2">
      <c r="A52" s="101" t="str">
        <f>IF(Personalplanung!B52&lt;&gt;"",Personalplanung!B52,IF(Personalplanung!A52&lt;&gt;"",Personalplanung!A52,""))</f>
        <v/>
      </c>
      <c r="B52" s="168">
        <f>Personalplanung!AH52</f>
        <v>0</v>
      </c>
      <c r="C52" s="168">
        <f>Personalplanung!AI52</f>
        <v>0</v>
      </c>
      <c r="D52" s="170">
        <f t="shared" si="37"/>
        <v>0</v>
      </c>
      <c r="E52" s="960">
        <f>Personalplanung!AG52</f>
        <v>0</v>
      </c>
      <c r="F52" s="170"/>
      <c r="G52" s="961">
        <f>Personalplanung!AL52</f>
        <v>0</v>
      </c>
      <c r="H52" s="961">
        <f t="shared" si="38"/>
        <v>0</v>
      </c>
      <c r="I52" s="99"/>
      <c r="J52" s="964">
        <v>1</v>
      </c>
      <c r="K52" s="964"/>
      <c r="L52" s="964"/>
      <c r="M52" s="964"/>
      <c r="N52" s="964"/>
      <c r="O52" s="964"/>
      <c r="P52" s="964"/>
      <c r="Q52" s="964"/>
      <c r="R52" s="968">
        <f t="shared" si="39"/>
        <v>1</v>
      </c>
      <c r="S52" s="969">
        <f t="shared" si="60"/>
        <v>0</v>
      </c>
      <c r="U52" s="970">
        <f t="shared" si="40"/>
        <v>0</v>
      </c>
      <c r="V52" s="970">
        <f t="shared" si="41"/>
        <v>0</v>
      </c>
      <c r="W52" s="970">
        <f t="shared" si="42"/>
        <v>0</v>
      </c>
      <c r="X52" s="970">
        <f t="shared" si="43"/>
        <v>0</v>
      </c>
      <c r="Y52" s="970">
        <f t="shared" si="44"/>
        <v>0</v>
      </c>
      <c r="Z52" s="970">
        <f t="shared" si="45"/>
        <v>0</v>
      </c>
      <c r="AA52" s="970">
        <f t="shared" si="46"/>
        <v>0</v>
      </c>
      <c r="AB52" s="970">
        <f t="shared" si="47"/>
        <v>0</v>
      </c>
      <c r="AC52" s="168">
        <f t="shared" si="48"/>
        <v>0</v>
      </c>
      <c r="AD52" s="971">
        <f t="shared" si="61"/>
        <v>0</v>
      </c>
      <c r="AE52" s="136"/>
      <c r="AF52" s="970">
        <f t="shared" si="62"/>
        <v>0</v>
      </c>
      <c r="AG52" s="970">
        <f t="shared" si="63"/>
        <v>0</v>
      </c>
      <c r="AH52" s="970">
        <f t="shared" si="64"/>
        <v>0</v>
      </c>
      <c r="AI52" s="970">
        <f t="shared" si="65"/>
        <v>0</v>
      </c>
      <c r="AJ52" s="970">
        <f t="shared" si="66"/>
        <v>0</v>
      </c>
      <c r="AK52" s="970">
        <f t="shared" si="67"/>
        <v>0</v>
      </c>
      <c r="AL52" s="970">
        <f t="shared" si="68"/>
        <v>0</v>
      </c>
      <c r="AM52" s="970">
        <f t="shared" si="69"/>
        <v>0</v>
      </c>
      <c r="AN52" s="168">
        <f t="shared" si="49"/>
        <v>0</v>
      </c>
      <c r="AO52" s="971">
        <f t="shared" si="70"/>
        <v>0</v>
      </c>
      <c r="AQ52" s="964"/>
      <c r="AR52" s="964"/>
      <c r="AS52" s="964"/>
      <c r="AT52" s="964"/>
      <c r="AU52" s="964"/>
      <c r="AV52" s="964"/>
      <c r="AW52" s="964"/>
      <c r="AX52" s="964"/>
      <c r="AY52" s="968">
        <f t="shared" si="50"/>
        <v>0</v>
      </c>
      <c r="AZ52" s="969" t="str">
        <f t="shared" si="71"/>
        <v>bitte prüfen!</v>
      </c>
      <c r="BB52" s="970">
        <f t="shared" si="51"/>
        <v>0</v>
      </c>
      <c r="BC52" s="970">
        <f t="shared" si="52"/>
        <v>0</v>
      </c>
      <c r="BD52" s="970">
        <f t="shared" si="53"/>
        <v>0</v>
      </c>
      <c r="BE52" s="970">
        <f t="shared" si="54"/>
        <v>0</v>
      </c>
      <c r="BF52" s="970">
        <f t="shared" si="55"/>
        <v>0</v>
      </c>
      <c r="BG52" s="970">
        <f t="shared" si="56"/>
        <v>0</v>
      </c>
      <c r="BH52" s="970">
        <f t="shared" si="57"/>
        <v>0</v>
      </c>
      <c r="BI52" s="970">
        <f t="shared" si="58"/>
        <v>0</v>
      </c>
      <c r="BJ52" s="168">
        <f t="shared" si="59"/>
        <v>0</v>
      </c>
      <c r="BK52" s="971">
        <f t="shared" si="72"/>
        <v>0</v>
      </c>
    </row>
    <row r="53" spans="1:63" outlineLevel="1" x14ac:dyDescent="0.2">
      <c r="A53" s="101" t="str">
        <f>IF(Personalplanung!B53&lt;&gt;"",Personalplanung!B53,IF(Personalplanung!A53&lt;&gt;"",Personalplanung!A53,""))</f>
        <v/>
      </c>
      <c r="B53" s="168">
        <f>Personalplanung!AH53</f>
        <v>0</v>
      </c>
      <c r="C53" s="168">
        <f>Personalplanung!AI53</f>
        <v>0</v>
      </c>
      <c r="D53" s="170">
        <f t="shared" si="37"/>
        <v>0</v>
      </c>
      <c r="E53" s="960">
        <f>Personalplanung!AG53</f>
        <v>0</v>
      </c>
      <c r="F53" s="170"/>
      <c r="G53" s="961">
        <f>Personalplanung!AL53</f>
        <v>0</v>
      </c>
      <c r="H53" s="961">
        <f t="shared" si="38"/>
        <v>0</v>
      </c>
      <c r="I53" s="99"/>
      <c r="J53" s="964">
        <v>1</v>
      </c>
      <c r="K53" s="964"/>
      <c r="L53" s="964"/>
      <c r="M53" s="964"/>
      <c r="N53" s="964"/>
      <c r="O53" s="964"/>
      <c r="P53" s="964"/>
      <c r="Q53" s="964"/>
      <c r="R53" s="968">
        <f t="shared" si="39"/>
        <v>1</v>
      </c>
      <c r="S53" s="969">
        <f t="shared" si="60"/>
        <v>0</v>
      </c>
      <c r="U53" s="970">
        <f t="shared" si="40"/>
        <v>0</v>
      </c>
      <c r="V53" s="970">
        <f t="shared" si="41"/>
        <v>0</v>
      </c>
      <c r="W53" s="970">
        <f t="shared" si="42"/>
        <v>0</v>
      </c>
      <c r="X53" s="970">
        <f t="shared" si="43"/>
        <v>0</v>
      </c>
      <c r="Y53" s="970">
        <f t="shared" si="44"/>
        <v>0</v>
      </c>
      <c r="Z53" s="970">
        <f t="shared" si="45"/>
        <v>0</v>
      </c>
      <c r="AA53" s="970">
        <f t="shared" si="46"/>
        <v>0</v>
      </c>
      <c r="AB53" s="970">
        <f t="shared" si="47"/>
        <v>0</v>
      </c>
      <c r="AC53" s="168">
        <f t="shared" si="48"/>
        <v>0</v>
      </c>
      <c r="AD53" s="971">
        <f t="shared" si="61"/>
        <v>0</v>
      </c>
      <c r="AE53" s="136"/>
      <c r="AF53" s="970">
        <f t="shared" si="62"/>
        <v>0</v>
      </c>
      <c r="AG53" s="970">
        <f t="shared" si="63"/>
        <v>0</v>
      </c>
      <c r="AH53" s="970">
        <f t="shared" si="64"/>
        <v>0</v>
      </c>
      <c r="AI53" s="970">
        <f t="shared" si="65"/>
        <v>0</v>
      </c>
      <c r="AJ53" s="970">
        <f t="shared" si="66"/>
        <v>0</v>
      </c>
      <c r="AK53" s="970">
        <f t="shared" si="67"/>
        <v>0</v>
      </c>
      <c r="AL53" s="970">
        <f t="shared" si="68"/>
        <v>0</v>
      </c>
      <c r="AM53" s="970">
        <f t="shared" si="69"/>
        <v>0</v>
      </c>
      <c r="AN53" s="168">
        <f t="shared" si="49"/>
        <v>0</v>
      </c>
      <c r="AO53" s="971">
        <f t="shared" si="70"/>
        <v>0</v>
      </c>
      <c r="AQ53" s="964"/>
      <c r="AR53" s="964"/>
      <c r="AS53" s="964"/>
      <c r="AT53" s="964"/>
      <c r="AU53" s="964"/>
      <c r="AV53" s="964"/>
      <c r="AW53" s="964"/>
      <c r="AX53" s="964"/>
      <c r="AY53" s="968">
        <f t="shared" si="50"/>
        <v>0</v>
      </c>
      <c r="AZ53" s="969" t="str">
        <f t="shared" si="71"/>
        <v>bitte prüfen!</v>
      </c>
      <c r="BB53" s="970">
        <f t="shared" si="51"/>
        <v>0</v>
      </c>
      <c r="BC53" s="970">
        <f t="shared" si="52"/>
        <v>0</v>
      </c>
      <c r="BD53" s="970">
        <f t="shared" si="53"/>
        <v>0</v>
      </c>
      <c r="BE53" s="970">
        <f t="shared" si="54"/>
        <v>0</v>
      </c>
      <c r="BF53" s="970">
        <f t="shared" si="55"/>
        <v>0</v>
      </c>
      <c r="BG53" s="970">
        <f t="shared" si="56"/>
        <v>0</v>
      </c>
      <c r="BH53" s="970">
        <f t="shared" si="57"/>
        <v>0</v>
      </c>
      <c r="BI53" s="970">
        <f t="shared" si="58"/>
        <v>0</v>
      </c>
      <c r="BJ53" s="168">
        <f t="shared" si="59"/>
        <v>0</v>
      </c>
      <c r="BK53" s="971">
        <f t="shared" si="72"/>
        <v>0</v>
      </c>
    </row>
    <row r="54" spans="1:63" outlineLevel="1" x14ac:dyDescent="0.2">
      <c r="A54" s="101" t="str">
        <f>IF(Personalplanung!B54&lt;&gt;"",Personalplanung!B54,IF(Personalplanung!A54&lt;&gt;"",Personalplanung!A54,""))</f>
        <v/>
      </c>
      <c r="B54" s="168">
        <f>Personalplanung!AH54</f>
        <v>0</v>
      </c>
      <c r="C54" s="168">
        <f>Personalplanung!AI54</f>
        <v>0</v>
      </c>
      <c r="D54" s="170">
        <f t="shared" si="37"/>
        <v>0</v>
      </c>
      <c r="E54" s="960">
        <f>Personalplanung!AG54</f>
        <v>0</v>
      </c>
      <c r="F54" s="170"/>
      <c r="G54" s="961">
        <f>Personalplanung!AL54</f>
        <v>0</v>
      </c>
      <c r="H54" s="961">
        <f t="shared" si="38"/>
        <v>0</v>
      </c>
      <c r="I54" s="99"/>
      <c r="J54" s="964">
        <v>1</v>
      </c>
      <c r="K54" s="964"/>
      <c r="L54" s="964"/>
      <c r="M54" s="964"/>
      <c r="N54" s="964"/>
      <c r="O54" s="964"/>
      <c r="P54" s="964"/>
      <c r="Q54" s="964"/>
      <c r="R54" s="968">
        <f t="shared" si="39"/>
        <v>1</v>
      </c>
      <c r="S54" s="969">
        <f t="shared" si="60"/>
        <v>0</v>
      </c>
      <c r="U54" s="970">
        <f t="shared" si="40"/>
        <v>0</v>
      </c>
      <c r="V54" s="970">
        <f t="shared" si="41"/>
        <v>0</v>
      </c>
      <c r="W54" s="970">
        <f t="shared" si="42"/>
        <v>0</v>
      </c>
      <c r="X54" s="970">
        <f t="shared" si="43"/>
        <v>0</v>
      </c>
      <c r="Y54" s="970">
        <f t="shared" si="44"/>
        <v>0</v>
      </c>
      <c r="Z54" s="970">
        <f t="shared" si="45"/>
        <v>0</v>
      </c>
      <c r="AA54" s="970">
        <f t="shared" si="46"/>
        <v>0</v>
      </c>
      <c r="AB54" s="970">
        <f t="shared" si="47"/>
        <v>0</v>
      </c>
      <c r="AC54" s="168">
        <f t="shared" si="48"/>
        <v>0</v>
      </c>
      <c r="AD54" s="971">
        <f t="shared" si="61"/>
        <v>0</v>
      </c>
      <c r="AE54" s="136"/>
      <c r="AF54" s="970">
        <f t="shared" si="62"/>
        <v>0</v>
      </c>
      <c r="AG54" s="970">
        <f t="shared" si="63"/>
        <v>0</v>
      </c>
      <c r="AH54" s="970">
        <f t="shared" si="64"/>
        <v>0</v>
      </c>
      <c r="AI54" s="970">
        <f t="shared" si="65"/>
        <v>0</v>
      </c>
      <c r="AJ54" s="970">
        <f t="shared" si="66"/>
        <v>0</v>
      </c>
      <c r="AK54" s="970">
        <f t="shared" si="67"/>
        <v>0</v>
      </c>
      <c r="AL54" s="970">
        <f t="shared" si="68"/>
        <v>0</v>
      </c>
      <c r="AM54" s="970">
        <f t="shared" si="69"/>
        <v>0</v>
      </c>
      <c r="AN54" s="168">
        <f t="shared" si="49"/>
        <v>0</v>
      </c>
      <c r="AO54" s="971">
        <f t="shared" si="70"/>
        <v>0</v>
      </c>
      <c r="AQ54" s="964"/>
      <c r="AR54" s="964"/>
      <c r="AS54" s="964"/>
      <c r="AT54" s="964"/>
      <c r="AU54" s="964"/>
      <c r="AV54" s="964"/>
      <c r="AW54" s="964"/>
      <c r="AX54" s="964"/>
      <c r="AY54" s="968">
        <f t="shared" si="50"/>
        <v>0</v>
      </c>
      <c r="AZ54" s="969" t="str">
        <f t="shared" si="71"/>
        <v>bitte prüfen!</v>
      </c>
      <c r="BB54" s="970">
        <f t="shared" si="51"/>
        <v>0</v>
      </c>
      <c r="BC54" s="970">
        <f t="shared" si="52"/>
        <v>0</v>
      </c>
      <c r="BD54" s="970">
        <f t="shared" si="53"/>
        <v>0</v>
      </c>
      <c r="BE54" s="970">
        <f t="shared" si="54"/>
        <v>0</v>
      </c>
      <c r="BF54" s="970">
        <f t="shared" si="55"/>
        <v>0</v>
      </c>
      <c r="BG54" s="970">
        <f t="shared" si="56"/>
        <v>0</v>
      </c>
      <c r="BH54" s="970">
        <f t="shared" si="57"/>
        <v>0</v>
      </c>
      <c r="BI54" s="970">
        <f t="shared" si="58"/>
        <v>0</v>
      </c>
      <c r="BJ54" s="168">
        <f t="shared" si="59"/>
        <v>0</v>
      </c>
      <c r="BK54" s="971">
        <f t="shared" si="72"/>
        <v>0</v>
      </c>
    </row>
    <row r="55" spans="1:63" outlineLevel="1" x14ac:dyDescent="0.2">
      <c r="A55" s="101" t="str">
        <f>IF(Personalplanung!B55&lt;&gt;"",Personalplanung!B55,IF(Personalplanung!A55&lt;&gt;"",Personalplanung!A55,""))</f>
        <v/>
      </c>
      <c r="B55" s="168">
        <f>Personalplanung!AH55</f>
        <v>0</v>
      </c>
      <c r="C55" s="168">
        <f>Personalplanung!AI55</f>
        <v>0</v>
      </c>
      <c r="D55" s="170">
        <f t="shared" si="37"/>
        <v>0</v>
      </c>
      <c r="E55" s="960">
        <f>Personalplanung!AG55</f>
        <v>0</v>
      </c>
      <c r="F55" s="170"/>
      <c r="G55" s="961">
        <f>Personalplanung!AL55</f>
        <v>0</v>
      </c>
      <c r="H55" s="961">
        <f t="shared" si="38"/>
        <v>0</v>
      </c>
      <c r="I55" s="99"/>
      <c r="J55" s="964">
        <v>1</v>
      </c>
      <c r="K55" s="964"/>
      <c r="L55" s="964"/>
      <c r="M55" s="964"/>
      <c r="N55" s="964"/>
      <c r="O55" s="964"/>
      <c r="P55" s="964"/>
      <c r="Q55" s="964"/>
      <c r="R55" s="968">
        <f t="shared" si="39"/>
        <v>1</v>
      </c>
      <c r="S55" s="969">
        <f t="shared" si="60"/>
        <v>0</v>
      </c>
      <c r="U55" s="970">
        <f t="shared" si="40"/>
        <v>0</v>
      </c>
      <c r="V55" s="970">
        <f t="shared" si="41"/>
        <v>0</v>
      </c>
      <c r="W55" s="970">
        <f t="shared" si="42"/>
        <v>0</v>
      </c>
      <c r="X55" s="970">
        <f t="shared" si="43"/>
        <v>0</v>
      </c>
      <c r="Y55" s="970">
        <f t="shared" si="44"/>
        <v>0</v>
      </c>
      <c r="Z55" s="970">
        <f t="shared" si="45"/>
        <v>0</v>
      </c>
      <c r="AA55" s="970">
        <f t="shared" si="46"/>
        <v>0</v>
      </c>
      <c r="AB55" s="970">
        <f t="shared" si="47"/>
        <v>0</v>
      </c>
      <c r="AC55" s="168">
        <f t="shared" si="48"/>
        <v>0</v>
      </c>
      <c r="AD55" s="971">
        <f t="shared" si="61"/>
        <v>0</v>
      </c>
      <c r="AE55" s="136"/>
      <c r="AF55" s="970">
        <f t="shared" si="62"/>
        <v>0</v>
      </c>
      <c r="AG55" s="970">
        <f t="shared" si="63"/>
        <v>0</v>
      </c>
      <c r="AH55" s="970">
        <f t="shared" si="64"/>
        <v>0</v>
      </c>
      <c r="AI55" s="970">
        <f t="shared" si="65"/>
        <v>0</v>
      </c>
      <c r="AJ55" s="970">
        <f t="shared" si="66"/>
        <v>0</v>
      </c>
      <c r="AK55" s="970">
        <f t="shared" si="67"/>
        <v>0</v>
      </c>
      <c r="AL55" s="970">
        <f t="shared" si="68"/>
        <v>0</v>
      </c>
      <c r="AM55" s="970">
        <f t="shared" si="69"/>
        <v>0</v>
      </c>
      <c r="AN55" s="168">
        <f t="shared" si="49"/>
        <v>0</v>
      </c>
      <c r="AO55" s="971">
        <f t="shared" si="70"/>
        <v>0</v>
      </c>
      <c r="AQ55" s="964"/>
      <c r="AR55" s="964"/>
      <c r="AS55" s="964"/>
      <c r="AT55" s="964"/>
      <c r="AU55" s="964"/>
      <c r="AV55" s="964"/>
      <c r="AW55" s="964"/>
      <c r="AX55" s="964"/>
      <c r="AY55" s="968">
        <f t="shared" si="50"/>
        <v>0</v>
      </c>
      <c r="AZ55" s="969" t="str">
        <f t="shared" si="71"/>
        <v>bitte prüfen!</v>
      </c>
      <c r="BB55" s="970">
        <f t="shared" si="51"/>
        <v>0</v>
      </c>
      <c r="BC55" s="970">
        <f t="shared" si="52"/>
        <v>0</v>
      </c>
      <c r="BD55" s="970">
        <f t="shared" si="53"/>
        <v>0</v>
      </c>
      <c r="BE55" s="970">
        <f t="shared" si="54"/>
        <v>0</v>
      </c>
      <c r="BF55" s="970">
        <f t="shared" si="55"/>
        <v>0</v>
      </c>
      <c r="BG55" s="970">
        <f t="shared" si="56"/>
        <v>0</v>
      </c>
      <c r="BH55" s="970">
        <f t="shared" si="57"/>
        <v>0</v>
      </c>
      <c r="BI55" s="970">
        <f t="shared" si="58"/>
        <v>0</v>
      </c>
      <c r="BJ55" s="168">
        <f t="shared" si="59"/>
        <v>0</v>
      </c>
      <c r="BK55" s="971">
        <f t="shared" si="72"/>
        <v>0</v>
      </c>
    </row>
    <row r="56" spans="1:63" outlineLevel="1" x14ac:dyDescent="0.2">
      <c r="A56" s="101" t="str">
        <f>IF(Personalplanung!B56&lt;&gt;"",Personalplanung!B56,IF(Personalplanung!A56&lt;&gt;"",Personalplanung!A56,""))</f>
        <v/>
      </c>
      <c r="B56" s="168">
        <f>Personalplanung!AH56</f>
        <v>0</v>
      </c>
      <c r="C56" s="168">
        <f>Personalplanung!AI56</f>
        <v>0</v>
      </c>
      <c r="D56" s="170">
        <f t="shared" si="37"/>
        <v>0</v>
      </c>
      <c r="E56" s="960">
        <f>Personalplanung!AG56</f>
        <v>0</v>
      </c>
      <c r="F56" s="170"/>
      <c r="G56" s="961">
        <f>Personalplanung!AL56</f>
        <v>0</v>
      </c>
      <c r="H56" s="961">
        <f t="shared" si="38"/>
        <v>0</v>
      </c>
      <c r="I56" s="99"/>
      <c r="J56" s="964">
        <v>1</v>
      </c>
      <c r="K56" s="964"/>
      <c r="L56" s="964"/>
      <c r="M56" s="964"/>
      <c r="N56" s="964"/>
      <c r="O56" s="964"/>
      <c r="P56" s="964"/>
      <c r="Q56" s="964"/>
      <c r="R56" s="968">
        <f t="shared" si="39"/>
        <v>1</v>
      </c>
      <c r="S56" s="969">
        <f t="shared" si="60"/>
        <v>0</v>
      </c>
      <c r="U56" s="970">
        <f t="shared" si="40"/>
        <v>0</v>
      </c>
      <c r="V56" s="970">
        <f t="shared" si="41"/>
        <v>0</v>
      </c>
      <c r="W56" s="970">
        <f t="shared" si="42"/>
        <v>0</v>
      </c>
      <c r="X56" s="970">
        <f t="shared" si="43"/>
        <v>0</v>
      </c>
      <c r="Y56" s="970">
        <f t="shared" si="44"/>
        <v>0</v>
      </c>
      <c r="Z56" s="970">
        <f t="shared" si="45"/>
        <v>0</v>
      </c>
      <c r="AA56" s="970">
        <f t="shared" si="46"/>
        <v>0</v>
      </c>
      <c r="AB56" s="970">
        <f t="shared" si="47"/>
        <v>0</v>
      </c>
      <c r="AC56" s="168">
        <f t="shared" si="48"/>
        <v>0</v>
      </c>
      <c r="AD56" s="971">
        <f t="shared" si="61"/>
        <v>0</v>
      </c>
      <c r="AE56" s="136"/>
      <c r="AF56" s="970">
        <f t="shared" si="62"/>
        <v>0</v>
      </c>
      <c r="AG56" s="970">
        <f t="shared" si="63"/>
        <v>0</v>
      </c>
      <c r="AH56" s="970">
        <f t="shared" si="64"/>
        <v>0</v>
      </c>
      <c r="AI56" s="970">
        <f t="shared" si="65"/>
        <v>0</v>
      </c>
      <c r="AJ56" s="970">
        <f t="shared" si="66"/>
        <v>0</v>
      </c>
      <c r="AK56" s="970">
        <f t="shared" si="67"/>
        <v>0</v>
      </c>
      <c r="AL56" s="970">
        <f t="shared" si="68"/>
        <v>0</v>
      </c>
      <c r="AM56" s="970">
        <f t="shared" si="69"/>
        <v>0</v>
      </c>
      <c r="AN56" s="168">
        <f t="shared" si="49"/>
        <v>0</v>
      </c>
      <c r="AO56" s="971">
        <f t="shared" si="70"/>
        <v>0</v>
      </c>
      <c r="AQ56" s="964"/>
      <c r="AR56" s="964"/>
      <c r="AS56" s="964"/>
      <c r="AT56" s="964"/>
      <c r="AU56" s="964"/>
      <c r="AV56" s="964"/>
      <c r="AW56" s="964"/>
      <c r="AX56" s="964"/>
      <c r="AY56" s="968">
        <f t="shared" si="50"/>
        <v>0</v>
      </c>
      <c r="AZ56" s="969" t="str">
        <f t="shared" si="71"/>
        <v>bitte prüfen!</v>
      </c>
      <c r="BB56" s="970">
        <f t="shared" si="51"/>
        <v>0</v>
      </c>
      <c r="BC56" s="970">
        <f t="shared" si="52"/>
        <v>0</v>
      </c>
      <c r="BD56" s="970">
        <f t="shared" si="53"/>
        <v>0</v>
      </c>
      <c r="BE56" s="970">
        <f t="shared" si="54"/>
        <v>0</v>
      </c>
      <c r="BF56" s="970">
        <f t="shared" si="55"/>
        <v>0</v>
      </c>
      <c r="BG56" s="970">
        <f t="shared" si="56"/>
        <v>0</v>
      </c>
      <c r="BH56" s="970">
        <f t="shared" si="57"/>
        <v>0</v>
      </c>
      <c r="BI56" s="970">
        <f t="shared" si="58"/>
        <v>0</v>
      </c>
      <c r="BJ56" s="168">
        <f t="shared" si="59"/>
        <v>0</v>
      </c>
      <c r="BK56" s="971">
        <f t="shared" si="72"/>
        <v>0</v>
      </c>
    </row>
    <row r="57" spans="1:63" outlineLevel="1" x14ac:dyDescent="0.2">
      <c r="A57" s="101" t="str">
        <f>IF(Personalplanung!B57&lt;&gt;"",Personalplanung!B57,IF(Personalplanung!A57&lt;&gt;"",Personalplanung!A57,""))</f>
        <v/>
      </c>
      <c r="B57" s="168">
        <f>Personalplanung!AH57</f>
        <v>0</v>
      </c>
      <c r="C57" s="168">
        <f>Personalplanung!AI57</f>
        <v>0</v>
      </c>
      <c r="D57" s="170">
        <f t="shared" si="37"/>
        <v>0</v>
      </c>
      <c r="E57" s="960">
        <f>Personalplanung!AG57</f>
        <v>0</v>
      </c>
      <c r="F57" s="170"/>
      <c r="G57" s="961">
        <f>Personalplanung!AL57</f>
        <v>0</v>
      </c>
      <c r="H57" s="961">
        <f t="shared" si="38"/>
        <v>0</v>
      </c>
      <c r="I57" s="99"/>
      <c r="J57" s="964">
        <v>1</v>
      </c>
      <c r="K57" s="964"/>
      <c r="L57" s="964"/>
      <c r="M57" s="964"/>
      <c r="N57" s="964"/>
      <c r="O57" s="964"/>
      <c r="P57" s="964"/>
      <c r="Q57" s="964"/>
      <c r="R57" s="968">
        <f t="shared" si="39"/>
        <v>1</v>
      </c>
      <c r="S57" s="969">
        <f t="shared" si="60"/>
        <v>0</v>
      </c>
      <c r="U57" s="970">
        <f t="shared" si="40"/>
        <v>0</v>
      </c>
      <c r="V57" s="970">
        <f t="shared" si="41"/>
        <v>0</v>
      </c>
      <c r="W57" s="970">
        <f t="shared" si="42"/>
        <v>0</v>
      </c>
      <c r="X57" s="970">
        <f t="shared" si="43"/>
        <v>0</v>
      </c>
      <c r="Y57" s="970">
        <f t="shared" si="44"/>
        <v>0</v>
      </c>
      <c r="Z57" s="970">
        <f t="shared" si="45"/>
        <v>0</v>
      </c>
      <c r="AA57" s="970">
        <f t="shared" si="46"/>
        <v>0</v>
      </c>
      <c r="AB57" s="970">
        <f t="shared" si="47"/>
        <v>0</v>
      </c>
      <c r="AC57" s="168">
        <f t="shared" si="48"/>
        <v>0</v>
      </c>
      <c r="AD57" s="971">
        <f t="shared" si="61"/>
        <v>0</v>
      </c>
      <c r="AE57" s="136"/>
      <c r="AF57" s="970">
        <f t="shared" si="62"/>
        <v>0</v>
      </c>
      <c r="AG57" s="970">
        <f t="shared" si="63"/>
        <v>0</v>
      </c>
      <c r="AH57" s="970">
        <f t="shared" si="64"/>
        <v>0</v>
      </c>
      <c r="AI57" s="970">
        <f t="shared" si="65"/>
        <v>0</v>
      </c>
      <c r="AJ57" s="970">
        <f t="shared" si="66"/>
        <v>0</v>
      </c>
      <c r="AK57" s="970">
        <f t="shared" si="67"/>
        <v>0</v>
      </c>
      <c r="AL57" s="970">
        <f t="shared" si="68"/>
        <v>0</v>
      </c>
      <c r="AM57" s="970">
        <f t="shared" si="69"/>
        <v>0</v>
      </c>
      <c r="AN57" s="168">
        <f t="shared" si="49"/>
        <v>0</v>
      </c>
      <c r="AO57" s="971">
        <f t="shared" si="70"/>
        <v>0</v>
      </c>
      <c r="AQ57" s="964"/>
      <c r="AR57" s="964"/>
      <c r="AS57" s="964"/>
      <c r="AT57" s="964"/>
      <c r="AU57" s="964"/>
      <c r="AV57" s="964"/>
      <c r="AW57" s="964"/>
      <c r="AX57" s="964"/>
      <c r="AY57" s="968">
        <f t="shared" si="50"/>
        <v>0</v>
      </c>
      <c r="AZ57" s="969" t="str">
        <f t="shared" si="71"/>
        <v>bitte prüfen!</v>
      </c>
      <c r="BB57" s="970">
        <f t="shared" si="51"/>
        <v>0</v>
      </c>
      <c r="BC57" s="970">
        <f t="shared" si="52"/>
        <v>0</v>
      </c>
      <c r="BD57" s="970">
        <f t="shared" si="53"/>
        <v>0</v>
      </c>
      <c r="BE57" s="970">
        <f t="shared" si="54"/>
        <v>0</v>
      </c>
      <c r="BF57" s="970">
        <f t="shared" si="55"/>
        <v>0</v>
      </c>
      <c r="BG57" s="970">
        <f t="shared" si="56"/>
        <v>0</v>
      </c>
      <c r="BH57" s="970">
        <f t="shared" si="57"/>
        <v>0</v>
      </c>
      <c r="BI57" s="970">
        <f t="shared" si="58"/>
        <v>0</v>
      </c>
      <c r="BJ57" s="168">
        <f t="shared" si="59"/>
        <v>0</v>
      </c>
      <c r="BK57" s="971">
        <f t="shared" si="72"/>
        <v>0</v>
      </c>
    </row>
    <row r="58" spans="1:63" outlineLevel="1" x14ac:dyDescent="0.2">
      <c r="A58" s="101" t="str">
        <f>IF(Personalplanung!B58&lt;&gt;"",Personalplanung!B58,IF(Personalplanung!A58&lt;&gt;"",Personalplanung!A58,""))</f>
        <v/>
      </c>
      <c r="B58" s="168">
        <f>Personalplanung!AH58</f>
        <v>0</v>
      </c>
      <c r="C58" s="168">
        <f>Personalplanung!AI58</f>
        <v>0</v>
      </c>
      <c r="D58" s="170">
        <f t="shared" si="37"/>
        <v>0</v>
      </c>
      <c r="E58" s="960">
        <f>Personalplanung!AG58</f>
        <v>0</v>
      </c>
      <c r="F58" s="170"/>
      <c r="G58" s="961">
        <f>Personalplanung!AL58</f>
        <v>0</v>
      </c>
      <c r="H58" s="961">
        <f t="shared" si="38"/>
        <v>0</v>
      </c>
      <c r="I58" s="99"/>
      <c r="J58" s="964">
        <v>1</v>
      </c>
      <c r="K58" s="964"/>
      <c r="L58" s="964"/>
      <c r="M58" s="964"/>
      <c r="N58" s="964"/>
      <c r="O58" s="964"/>
      <c r="P58" s="964"/>
      <c r="Q58" s="964"/>
      <c r="R58" s="968">
        <f t="shared" si="39"/>
        <v>1</v>
      </c>
      <c r="S58" s="969">
        <f t="shared" si="60"/>
        <v>0</v>
      </c>
      <c r="U58" s="970">
        <f t="shared" si="40"/>
        <v>0</v>
      </c>
      <c r="V58" s="970">
        <f t="shared" si="41"/>
        <v>0</v>
      </c>
      <c r="W58" s="970">
        <f t="shared" si="42"/>
        <v>0</v>
      </c>
      <c r="X58" s="970">
        <f t="shared" si="43"/>
        <v>0</v>
      </c>
      <c r="Y58" s="970">
        <f t="shared" si="44"/>
        <v>0</v>
      </c>
      <c r="Z58" s="970">
        <f t="shared" si="45"/>
        <v>0</v>
      </c>
      <c r="AA58" s="970">
        <f t="shared" si="46"/>
        <v>0</v>
      </c>
      <c r="AB58" s="970">
        <f t="shared" si="47"/>
        <v>0</v>
      </c>
      <c r="AC58" s="168">
        <f t="shared" si="48"/>
        <v>0</v>
      </c>
      <c r="AD58" s="971">
        <f t="shared" si="61"/>
        <v>0</v>
      </c>
      <c r="AE58" s="136"/>
      <c r="AF58" s="970">
        <f t="shared" si="62"/>
        <v>0</v>
      </c>
      <c r="AG58" s="970">
        <f t="shared" si="63"/>
        <v>0</v>
      </c>
      <c r="AH58" s="970">
        <f t="shared" si="64"/>
        <v>0</v>
      </c>
      <c r="AI58" s="970">
        <f t="shared" si="65"/>
        <v>0</v>
      </c>
      <c r="AJ58" s="970">
        <f t="shared" si="66"/>
        <v>0</v>
      </c>
      <c r="AK58" s="970">
        <f t="shared" si="67"/>
        <v>0</v>
      </c>
      <c r="AL58" s="970">
        <f t="shared" si="68"/>
        <v>0</v>
      </c>
      <c r="AM58" s="970">
        <f t="shared" si="69"/>
        <v>0</v>
      </c>
      <c r="AN58" s="168">
        <f t="shared" si="49"/>
        <v>0</v>
      </c>
      <c r="AO58" s="971">
        <f t="shared" si="70"/>
        <v>0</v>
      </c>
      <c r="AQ58" s="964"/>
      <c r="AR58" s="964"/>
      <c r="AS58" s="964"/>
      <c r="AT58" s="964"/>
      <c r="AU58" s="964"/>
      <c r="AV58" s="964"/>
      <c r="AW58" s="964"/>
      <c r="AX58" s="964"/>
      <c r="AY58" s="968">
        <f t="shared" si="50"/>
        <v>0</v>
      </c>
      <c r="AZ58" s="969" t="str">
        <f t="shared" si="71"/>
        <v>bitte prüfen!</v>
      </c>
      <c r="BB58" s="970">
        <f t="shared" si="51"/>
        <v>0</v>
      </c>
      <c r="BC58" s="970">
        <f t="shared" si="52"/>
        <v>0</v>
      </c>
      <c r="BD58" s="970">
        <f t="shared" si="53"/>
        <v>0</v>
      </c>
      <c r="BE58" s="970">
        <f t="shared" si="54"/>
        <v>0</v>
      </c>
      <c r="BF58" s="970">
        <f t="shared" si="55"/>
        <v>0</v>
      </c>
      <c r="BG58" s="970">
        <f t="shared" si="56"/>
        <v>0</v>
      </c>
      <c r="BH58" s="970">
        <f t="shared" si="57"/>
        <v>0</v>
      </c>
      <c r="BI58" s="970">
        <f t="shared" si="58"/>
        <v>0</v>
      </c>
      <c r="BJ58" s="168">
        <f t="shared" si="59"/>
        <v>0</v>
      </c>
      <c r="BK58" s="971">
        <f t="shared" si="72"/>
        <v>0</v>
      </c>
    </row>
    <row r="59" spans="1:63" outlineLevel="1" x14ac:dyDescent="0.2">
      <c r="A59" s="101" t="str">
        <f>IF(Personalplanung!B59&lt;&gt;"",Personalplanung!B59,IF(Personalplanung!A59&lt;&gt;"",Personalplanung!A59,""))</f>
        <v/>
      </c>
      <c r="B59" s="168">
        <f>Personalplanung!AH59</f>
        <v>0</v>
      </c>
      <c r="C59" s="168">
        <f>Personalplanung!AI59</f>
        <v>0</v>
      </c>
      <c r="D59" s="170">
        <f t="shared" si="37"/>
        <v>0</v>
      </c>
      <c r="E59" s="960">
        <f>Personalplanung!AG59</f>
        <v>0</v>
      </c>
      <c r="F59" s="170"/>
      <c r="G59" s="961">
        <f>Personalplanung!AL59</f>
        <v>0</v>
      </c>
      <c r="H59" s="961">
        <f t="shared" si="38"/>
        <v>0</v>
      </c>
      <c r="I59" s="99"/>
      <c r="J59" s="964">
        <v>1</v>
      </c>
      <c r="K59" s="964"/>
      <c r="L59" s="964"/>
      <c r="M59" s="964"/>
      <c r="N59" s="964"/>
      <c r="O59" s="964"/>
      <c r="P59" s="964"/>
      <c r="Q59" s="964"/>
      <c r="R59" s="968">
        <f t="shared" si="39"/>
        <v>1</v>
      </c>
      <c r="S59" s="969">
        <f t="shared" si="60"/>
        <v>0</v>
      </c>
      <c r="U59" s="970">
        <f t="shared" si="40"/>
        <v>0</v>
      </c>
      <c r="V59" s="970">
        <f t="shared" si="41"/>
        <v>0</v>
      </c>
      <c r="W59" s="970">
        <f t="shared" si="42"/>
        <v>0</v>
      </c>
      <c r="X59" s="970">
        <f t="shared" si="43"/>
        <v>0</v>
      </c>
      <c r="Y59" s="970">
        <f t="shared" si="44"/>
        <v>0</v>
      </c>
      <c r="Z59" s="970">
        <f t="shared" si="45"/>
        <v>0</v>
      </c>
      <c r="AA59" s="970">
        <f t="shared" si="46"/>
        <v>0</v>
      </c>
      <c r="AB59" s="970">
        <f t="shared" si="47"/>
        <v>0</v>
      </c>
      <c r="AC59" s="168">
        <f t="shared" si="48"/>
        <v>0</v>
      </c>
      <c r="AD59" s="971">
        <f t="shared" si="61"/>
        <v>0</v>
      </c>
      <c r="AE59" s="136"/>
      <c r="AF59" s="970">
        <f t="shared" si="62"/>
        <v>0</v>
      </c>
      <c r="AG59" s="970">
        <f t="shared" si="63"/>
        <v>0</v>
      </c>
      <c r="AH59" s="970">
        <f t="shared" si="64"/>
        <v>0</v>
      </c>
      <c r="AI59" s="970">
        <f t="shared" si="65"/>
        <v>0</v>
      </c>
      <c r="AJ59" s="970">
        <f t="shared" si="66"/>
        <v>0</v>
      </c>
      <c r="AK59" s="970">
        <f t="shared" si="67"/>
        <v>0</v>
      </c>
      <c r="AL59" s="970">
        <f t="shared" si="68"/>
        <v>0</v>
      </c>
      <c r="AM59" s="970">
        <f t="shared" si="69"/>
        <v>0</v>
      </c>
      <c r="AN59" s="168">
        <f t="shared" si="49"/>
        <v>0</v>
      </c>
      <c r="AO59" s="971">
        <f t="shared" si="70"/>
        <v>0</v>
      </c>
      <c r="AQ59" s="964"/>
      <c r="AR59" s="964"/>
      <c r="AS59" s="964"/>
      <c r="AT59" s="964"/>
      <c r="AU59" s="964"/>
      <c r="AV59" s="964"/>
      <c r="AW59" s="964"/>
      <c r="AX59" s="964"/>
      <c r="AY59" s="968">
        <f t="shared" si="50"/>
        <v>0</v>
      </c>
      <c r="AZ59" s="969" t="str">
        <f t="shared" si="71"/>
        <v>bitte prüfen!</v>
      </c>
      <c r="BB59" s="970">
        <f t="shared" si="51"/>
        <v>0</v>
      </c>
      <c r="BC59" s="970">
        <f t="shared" si="52"/>
        <v>0</v>
      </c>
      <c r="BD59" s="970">
        <f t="shared" si="53"/>
        <v>0</v>
      </c>
      <c r="BE59" s="970">
        <f t="shared" si="54"/>
        <v>0</v>
      </c>
      <c r="BF59" s="970">
        <f t="shared" si="55"/>
        <v>0</v>
      </c>
      <c r="BG59" s="970">
        <f t="shared" si="56"/>
        <v>0</v>
      </c>
      <c r="BH59" s="970">
        <f t="shared" si="57"/>
        <v>0</v>
      </c>
      <c r="BI59" s="970">
        <f t="shared" si="58"/>
        <v>0</v>
      </c>
      <c r="BJ59" s="168">
        <f t="shared" si="59"/>
        <v>0</v>
      </c>
      <c r="BK59" s="971">
        <f t="shared" si="72"/>
        <v>0</v>
      </c>
    </row>
    <row r="60" spans="1:63" outlineLevel="1" x14ac:dyDescent="0.2">
      <c r="A60" s="101" t="str">
        <f>IF(Personalplanung!B60&lt;&gt;"",Personalplanung!B60,IF(Personalplanung!A60&lt;&gt;"",Personalplanung!A60,""))</f>
        <v/>
      </c>
      <c r="B60" s="168">
        <f>Personalplanung!AH60</f>
        <v>0</v>
      </c>
      <c r="C60" s="168">
        <f>Personalplanung!AI60</f>
        <v>0</v>
      </c>
      <c r="D60" s="170">
        <f t="shared" si="37"/>
        <v>0</v>
      </c>
      <c r="E60" s="960">
        <f>Personalplanung!AG60</f>
        <v>0</v>
      </c>
      <c r="F60" s="170"/>
      <c r="G60" s="961">
        <f>Personalplanung!AL60</f>
        <v>0</v>
      </c>
      <c r="H60" s="961">
        <f t="shared" si="38"/>
        <v>0</v>
      </c>
      <c r="I60" s="99"/>
      <c r="J60" s="964">
        <v>1</v>
      </c>
      <c r="K60" s="964"/>
      <c r="L60" s="964"/>
      <c r="M60" s="964"/>
      <c r="N60" s="964"/>
      <c r="O60" s="964"/>
      <c r="P60" s="964"/>
      <c r="Q60" s="964"/>
      <c r="R60" s="968">
        <f t="shared" si="39"/>
        <v>1</v>
      </c>
      <c r="S60" s="969">
        <f t="shared" si="60"/>
        <v>0</v>
      </c>
      <c r="U60" s="970">
        <f t="shared" si="40"/>
        <v>0</v>
      </c>
      <c r="V60" s="970">
        <f t="shared" si="41"/>
        <v>0</v>
      </c>
      <c r="W60" s="970">
        <f t="shared" si="42"/>
        <v>0</v>
      </c>
      <c r="X60" s="970">
        <f t="shared" si="43"/>
        <v>0</v>
      </c>
      <c r="Y60" s="970">
        <f t="shared" si="44"/>
        <v>0</v>
      </c>
      <c r="Z60" s="970">
        <f t="shared" si="45"/>
        <v>0</v>
      </c>
      <c r="AA60" s="970">
        <f t="shared" si="46"/>
        <v>0</v>
      </c>
      <c r="AB60" s="970">
        <f t="shared" si="47"/>
        <v>0</v>
      </c>
      <c r="AC60" s="168">
        <f t="shared" si="48"/>
        <v>0</v>
      </c>
      <c r="AD60" s="971">
        <f t="shared" si="61"/>
        <v>0</v>
      </c>
      <c r="AE60" s="136"/>
      <c r="AF60" s="970">
        <f t="shared" si="62"/>
        <v>0</v>
      </c>
      <c r="AG60" s="970">
        <f t="shared" si="63"/>
        <v>0</v>
      </c>
      <c r="AH60" s="970">
        <f t="shared" si="64"/>
        <v>0</v>
      </c>
      <c r="AI60" s="970">
        <f t="shared" si="65"/>
        <v>0</v>
      </c>
      <c r="AJ60" s="970">
        <f t="shared" si="66"/>
        <v>0</v>
      </c>
      <c r="AK60" s="970">
        <f t="shared" si="67"/>
        <v>0</v>
      </c>
      <c r="AL60" s="970">
        <f t="shared" si="68"/>
        <v>0</v>
      </c>
      <c r="AM60" s="970">
        <f t="shared" si="69"/>
        <v>0</v>
      </c>
      <c r="AN60" s="168">
        <f t="shared" si="49"/>
        <v>0</v>
      </c>
      <c r="AO60" s="971">
        <f t="shared" si="70"/>
        <v>0</v>
      </c>
      <c r="AQ60" s="964"/>
      <c r="AR60" s="964"/>
      <c r="AS60" s="964"/>
      <c r="AT60" s="964"/>
      <c r="AU60" s="964"/>
      <c r="AV60" s="964"/>
      <c r="AW60" s="964"/>
      <c r="AX60" s="964"/>
      <c r="AY60" s="968">
        <f t="shared" si="50"/>
        <v>0</v>
      </c>
      <c r="AZ60" s="969" t="str">
        <f t="shared" si="71"/>
        <v>bitte prüfen!</v>
      </c>
      <c r="BB60" s="970">
        <f t="shared" si="51"/>
        <v>0</v>
      </c>
      <c r="BC60" s="970">
        <f t="shared" si="52"/>
        <v>0</v>
      </c>
      <c r="BD60" s="970">
        <f t="shared" si="53"/>
        <v>0</v>
      </c>
      <c r="BE60" s="970">
        <f t="shared" si="54"/>
        <v>0</v>
      </c>
      <c r="BF60" s="970">
        <f t="shared" si="55"/>
        <v>0</v>
      </c>
      <c r="BG60" s="970">
        <f t="shared" si="56"/>
        <v>0</v>
      </c>
      <c r="BH60" s="970">
        <f t="shared" si="57"/>
        <v>0</v>
      </c>
      <c r="BI60" s="970">
        <f t="shared" si="58"/>
        <v>0</v>
      </c>
      <c r="BJ60" s="168">
        <f t="shared" si="59"/>
        <v>0</v>
      </c>
      <c r="BK60" s="971">
        <f t="shared" si="72"/>
        <v>0</v>
      </c>
    </row>
    <row r="61" spans="1:63" outlineLevel="1" x14ac:dyDescent="0.2">
      <c r="A61" s="101" t="str">
        <f>IF(Personalplanung!B61&lt;&gt;"",Personalplanung!B61,IF(Personalplanung!A61&lt;&gt;"",Personalplanung!A61,""))</f>
        <v/>
      </c>
      <c r="B61" s="168">
        <f>Personalplanung!AH61</f>
        <v>0</v>
      </c>
      <c r="C61" s="168">
        <f>Personalplanung!AI61</f>
        <v>0</v>
      </c>
      <c r="D61" s="170">
        <f t="shared" si="37"/>
        <v>0</v>
      </c>
      <c r="E61" s="960">
        <f>Personalplanung!AG61</f>
        <v>0</v>
      </c>
      <c r="F61" s="170"/>
      <c r="G61" s="961">
        <f>Personalplanung!AL61</f>
        <v>0</v>
      </c>
      <c r="H61" s="961">
        <f t="shared" si="38"/>
        <v>0</v>
      </c>
      <c r="I61" s="99"/>
      <c r="J61" s="964">
        <v>1</v>
      </c>
      <c r="K61" s="964"/>
      <c r="L61" s="964"/>
      <c r="M61" s="964"/>
      <c r="N61" s="964"/>
      <c r="O61" s="964"/>
      <c r="P61" s="964"/>
      <c r="Q61" s="964"/>
      <c r="R61" s="968">
        <f t="shared" si="39"/>
        <v>1</v>
      </c>
      <c r="S61" s="969">
        <f t="shared" si="60"/>
        <v>0</v>
      </c>
      <c r="U61" s="970">
        <f t="shared" si="40"/>
        <v>0</v>
      </c>
      <c r="V61" s="970">
        <f t="shared" si="41"/>
        <v>0</v>
      </c>
      <c r="W61" s="970">
        <f t="shared" si="42"/>
        <v>0</v>
      </c>
      <c r="X61" s="970">
        <f t="shared" si="43"/>
        <v>0</v>
      </c>
      <c r="Y61" s="970">
        <f t="shared" si="44"/>
        <v>0</v>
      </c>
      <c r="Z61" s="970">
        <f t="shared" si="45"/>
        <v>0</v>
      </c>
      <c r="AA61" s="970">
        <f t="shared" si="46"/>
        <v>0</v>
      </c>
      <c r="AB61" s="970">
        <f t="shared" si="47"/>
        <v>0</v>
      </c>
      <c r="AC61" s="168">
        <f t="shared" si="48"/>
        <v>0</v>
      </c>
      <c r="AD61" s="971">
        <f t="shared" si="61"/>
        <v>0</v>
      </c>
      <c r="AE61" s="136"/>
      <c r="AF61" s="970">
        <f t="shared" si="62"/>
        <v>0</v>
      </c>
      <c r="AG61" s="970">
        <f t="shared" si="63"/>
        <v>0</v>
      </c>
      <c r="AH61" s="970">
        <f t="shared" si="64"/>
        <v>0</v>
      </c>
      <c r="AI61" s="970">
        <f t="shared" si="65"/>
        <v>0</v>
      </c>
      <c r="AJ61" s="970">
        <f t="shared" si="66"/>
        <v>0</v>
      </c>
      <c r="AK61" s="970">
        <f t="shared" si="67"/>
        <v>0</v>
      </c>
      <c r="AL61" s="970">
        <f t="shared" si="68"/>
        <v>0</v>
      </c>
      <c r="AM61" s="970">
        <f t="shared" si="69"/>
        <v>0</v>
      </c>
      <c r="AN61" s="168">
        <f t="shared" si="49"/>
        <v>0</v>
      </c>
      <c r="AO61" s="971">
        <f t="shared" si="70"/>
        <v>0</v>
      </c>
      <c r="AQ61" s="964"/>
      <c r="AR61" s="964"/>
      <c r="AS61" s="964"/>
      <c r="AT61" s="964"/>
      <c r="AU61" s="964"/>
      <c r="AV61" s="964"/>
      <c r="AW61" s="964"/>
      <c r="AX61" s="964"/>
      <c r="AY61" s="968">
        <f t="shared" si="50"/>
        <v>0</v>
      </c>
      <c r="AZ61" s="969" t="str">
        <f t="shared" si="71"/>
        <v>bitte prüfen!</v>
      </c>
      <c r="BB61" s="970">
        <f t="shared" si="51"/>
        <v>0</v>
      </c>
      <c r="BC61" s="970">
        <f t="shared" si="52"/>
        <v>0</v>
      </c>
      <c r="BD61" s="970">
        <f t="shared" si="53"/>
        <v>0</v>
      </c>
      <c r="BE61" s="970">
        <f t="shared" si="54"/>
        <v>0</v>
      </c>
      <c r="BF61" s="970">
        <f t="shared" si="55"/>
        <v>0</v>
      </c>
      <c r="BG61" s="970">
        <f t="shared" si="56"/>
        <v>0</v>
      </c>
      <c r="BH61" s="970">
        <f t="shared" si="57"/>
        <v>0</v>
      </c>
      <c r="BI61" s="970">
        <f t="shared" si="58"/>
        <v>0</v>
      </c>
      <c r="BJ61" s="168">
        <f t="shared" si="59"/>
        <v>0</v>
      </c>
      <c r="BK61" s="971">
        <f t="shared" si="72"/>
        <v>0</v>
      </c>
    </row>
    <row r="62" spans="1:63" outlineLevel="1" x14ac:dyDescent="0.2">
      <c r="A62" s="101" t="str">
        <f>IF(Personalplanung!B62&lt;&gt;"",Personalplanung!B62,IF(Personalplanung!A62&lt;&gt;"",Personalplanung!A62,""))</f>
        <v/>
      </c>
      <c r="B62" s="168">
        <f>Personalplanung!AH62</f>
        <v>0</v>
      </c>
      <c r="C62" s="168">
        <f>Personalplanung!AI62</f>
        <v>0</v>
      </c>
      <c r="D62" s="170">
        <f t="shared" si="37"/>
        <v>0</v>
      </c>
      <c r="E62" s="960">
        <f>Personalplanung!AG62</f>
        <v>0</v>
      </c>
      <c r="F62" s="170"/>
      <c r="G62" s="961">
        <f>Personalplanung!AL62</f>
        <v>0</v>
      </c>
      <c r="H62" s="961">
        <f t="shared" si="38"/>
        <v>0</v>
      </c>
      <c r="I62" s="99"/>
      <c r="J62" s="964">
        <v>1</v>
      </c>
      <c r="K62" s="964"/>
      <c r="L62" s="964"/>
      <c r="M62" s="964"/>
      <c r="N62" s="964"/>
      <c r="O62" s="964"/>
      <c r="P62" s="964"/>
      <c r="Q62" s="964"/>
      <c r="R62" s="968">
        <f t="shared" si="39"/>
        <v>1</v>
      </c>
      <c r="S62" s="969">
        <f t="shared" si="60"/>
        <v>0</v>
      </c>
      <c r="U62" s="970">
        <f t="shared" si="40"/>
        <v>0</v>
      </c>
      <c r="V62" s="970">
        <f t="shared" si="41"/>
        <v>0</v>
      </c>
      <c r="W62" s="970">
        <f t="shared" si="42"/>
        <v>0</v>
      </c>
      <c r="X62" s="970">
        <f t="shared" si="43"/>
        <v>0</v>
      </c>
      <c r="Y62" s="970">
        <f t="shared" si="44"/>
        <v>0</v>
      </c>
      <c r="Z62" s="970">
        <f t="shared" si="45"/>
        <v>0</v>
      </c>
      <c r="AA62" s="970">
        <f t="shared" si="46"/>
        <v>0</v>
      </c>
      <c r="AB62" s="970">
        <f t="shared" si="47"/>
        <v>0</v>
      </c>
      <c r="AC62" s="168">
        <f t="shared" si="48"/>
        <v>0</v>
      </c>
      <c r="AD62" s="971">
        <f t="shared" si="61"/>
        <v>0</v>
      </c>
      <c r="AE62" s="136"/>
      <c r="AF62" s="970">
        <f t="shared" si="62"/>
        <v>0</v>
      </c>
      <c r="AG62" s="970">
        <f t="shared" si="63"/>
        <v>0</v>
      </c>
      <c r="AH62" s="970">
        <f t="shared" si="64"/>
        <v>0</v>
      </c>
      <c r="AI62" s="970">
        <f t="shared" si="65"/>
        <v>0</v>
      </c>
      <c r="AJ62" s="970">
        <f t="shared" si="66"/>
        <v>0</v>
      </c>
      <c r="AK62" s="970">
        <f t="shared" si="67"/>
        <v>0</v>
      </c>
      <c r="AL62" s="970">
        <f t="shared" si="68"/>
        <v>0</v>
      </c>
      <c r="AM62" s="970">
        <f t="shared" si="69"/>
        <v>0</v>
      </c>
      <c r="AN62" s="168">
        <f t="shared" si="49"/>
        <v>0</v>
      </c>
      <c r="AO62" s="971">
        <f t="shared" si="70"/>
        <v>0</v>
      </c>
      <c r="AQ62" s="964"/>
      <c r="AR62" s="964"/>
      <c r="AS62" s="964"/>
      <c r="AT62" s="964"/>
      <c r="AU62" s="964"/>
      <c r="AV62" s="964"/>
      <c r="AW62" s="964"/>
      <c r="AX62" s="964"/>
      <c r="AY62" s="968">
        <f t="shared" si="50"/>
        <v>0</v>
      </c>
      <c r="AZ62" s="969" t="str">
        <f t="shared" si="71"/>
        <v>bitte prüfen!</v>
      </c>
      <c r="BB62" s="970">
        <f t="shared" si="51"/>
        <v>0</v>
      </c>
      <c r="BC62" s="970">
        <f t="shared" si="52"/>
        <v>0</v>
      </c>
      <c r="BD62" s="970">
        <f t="shared" si="53"/>
        <v>0</v>
      </c>
      <c r="BE62" s="970">
        <f t="shared" si="54"/>
        <v>0</v>
      </c>
      <c r="BF62" s="970">
        <f t="shared" si="55"/>
        <v>0</v>
      </c>
      <c r="BG62" s="970">
        <f t="shared" si="56"/>
        <v>0</v>
      </c>
      <c r="BH62" s="970">
        <f t="shared" si="57"/>
        <v>0</v>
      </c>
      <c r="BI62" s="970">
        <f t="shared" si="58"/>
        <v>0</v>
      </c>
      <c r="BJ62" s="168">
        <f t="shared" si="59"/>
        <v>0</v>
      </c>
      <c r="BK62" s="971">
        <f t="shared" si="72"/>
        <v>0</v>
      </c>
    </row>
    <row r="63" spans="1:63" outlineLevel="1" x14ac:dyDescent="0.2">
      <c r="A63" s="101" t="str">
        <f>IF(Personalplanung!B63&lt;&gt;"",Personalplanung!B63,IF(Personalplanung!A63&lt;&gt;"",Personalplanung!A63,""))</f>
        <v/>
      </c>
      <c r="B63" s="168">
        <f>Personalplanung!AH63</f>
        <v>0</v>
      </c>
      <c r="C63" s="168">
        <f>Personalplanung!AI63</f>
        <v>0</v>
      </c>
      <c r="D63" s="170">
        <f t="shared" si="37"/>
        <v>0</v>
      </c>
      <c r="E63" s="960">
        <f>Personalplanung!AG63</f>
        <v>0</v>
      </c>
      <c r="F63" s="170"/>
      <c r="G63" s="961">
        <f>Personalplanung!AL63</f>
        <v>0</v>
      </c>
      <c r="H63" s="961">
        <f t="shared" si="38"/>
        <v>0</v>
      </c>
      <c r="I63" s="99"/>
      <c r="J63" s="964">
        <v>1</v>
      </c>
      <c r="K63" s="964"/>
      <c r="L63" s="964"/>
      <c r="M63" s="964"/>
      <c r="N63" s="964"/>
      <c r="O63" s="964"/>
      <c r="P63" s="964"/>
      <c r="Q63" s="964"/>
      <c r="R63" s="968">
        <f t="shared" si="39"/>
        <v>1</v>
      </c>
      <c r="S63" s="969">
        <f t="shared" si="60"/>
        <v>0</v>
      </c>
      <c r="U63" s="970">
        <f t="shared" si="40"/>
        <v>0</v>
      </c>
      <c r="V63" s="970">
        <f t="shared" si="41"/>
        <v>0</v>
      </c>
      <c r="W63" s="970">
        <f t="shared" si="42"/>
        <v>0</v>
      </c>
      <c r="X63" s="970">
        <f t="shared" si="43"/>
        <v>0</v>
      </c>
      <c r="Y63" s="970">
        <f t="shared" si="44"/>
        <v>0</v>
      </c>
      <c r="Z63" s="970">
        <f t="shared" si="45"/>
        <v>0</v>
      </c>
      <c r="AA63" s="970">
        <f t="shared" si="46"/>
        <v>0</v>
      </c>
      <c r="AB63" s="970">
        <f t="shared" si="47"/>
        <v>0</v>
      </c>
      <c r="AC63" s="168">
        <f t="shared" si="48"/>
        <v>0</v>
      </c>
      <c r="AD63" s="971">
        <f t="shared" si="61"/>
        <v>0</v>
      </c>
      <c r="AE63" s="136"/>
      <c r="AF63" s="970">
        <f t="shared" si="62"/>
        <v>0</v>
      </c>
      <c r="AG63" s="970">
        <f t="shared" si="63"/>
        <v>0</v>
      </c>
      <c r="AH63" s="970">
        <f t="shared" si="64"/>
        <v>0</v>
      </c>
      <c r="AI63" s="970">
        <f t="shared" si="65"/>
        <v>0</v>
      </c>
      <c r="AJ63" s="970">
        <f t="shared" si="66"/>
        <v>0</v>
      </c>
      <c r="AK63" s="970">
        <f t="shared" si="67"/>
        <v>0</v>
      </c>
      <c r="AL63" s="970">
        <f t="shared" si="68"/>
        <v>0</v>
      </c>
      <c r="AM63" s="970">
        <f t="shared" si="69"/>
        <v>0</v>
      </c>
      <c r="AN63" s="168">
        <f t="shared" si="49"/>
        <v>0</v>
      </c>
      <c r="AO63" s="971">
        <f t="shared" si="70"/>
        <v>0</v>
      </c>
      <c r="AQ63" s="964"/>
      <c r="AR63" s="964"/>
      <c r="AS63" s="964"/>
      <c r="AT63" s="964"/>
      <c r="AU63" s="964"/>
      <c r="AV63" s="964"/>
      <c r="AW63" s="964"/>
      <c r="AX63" s="964"/>
      <c r="AY63" s="968">
        <f t="shared" si="50"/>
        <v>0</v>
      </c>
      <c r="AZ63" s="969" t="str">
        <f t="shared" si="71"/>
        <v>bitte prüfen!</v>
      </c>
      <c r="BB63" s="970">
        <f t="shared" si="51"/>
        <v>0</v>
      </c>
      <c r="BC63" s="970">
        <f t="shared" si="52"/>
        <v>0</v>
      </c>
      <c r="BD63" s="970">
        <f t="shared" si="53"/>
        <v>0</v>
      </c>
      <c r="BE63" s="970">
        <f t="shared" si="54"/>
        <v>0</v>
      </c>
      <c r="BF63" s="970">
        <f t="shared" si="55"/>
        <v>0</v>
      </c>
      <c r="BG63" s="970">
        <f t="shared" si="56"/>
        <v>0</v>
      </c>
      <c r="BH63" s="970">
        <f t="shared" si="57"/>
        <v>0</v>
      </c>
      <c r="BI63" s="970">
        <f t="shared" si="58"/>
        <v>0</v>
      </c>
      <c r="BJ63" s="168">
        <f t="shared" si="59"/>
        <v>0</v>
      </c>
      <c r="BK63" s="971">
        <f t="shared" si="72"/>
        <v>0</v>
      </c>
    </row>
    <row r="64" spans="1:63" outlineLevel="1" x14ac:dyDescent="0.2">
      <c r="A64" s="101" t="str">
        <f>IF(Personalplanung!B64&lt;&gt;"",Personalplanung!B64,IF(Personalplanung!A64&lt;&gt;"",Personalplanung!A64,""))</f>
        <v/>
      </c>
      <c r="B64" s="168">
        <f>Personalplanung!AH64</f>
        <v>0</v>
      </c>
      <c r="C64" s="168">
        <f>Personalplanung!AI64</f>
        <v>0</v>
      </c>
      <c r="D64" s="170">
        <f t="shared" si="37"/>
        <v>0</v>
      </c>
      <c r="E64" s="960">
        <f>Personalplanung!AG64</f>
        <v>0</v>
      </c>
      <c r="F64" s="170"/>
      <c r="G64" s="961">
        <f>Personalplanung!AL64</f>
        <v>0</v>
      </c>
      <c r="H64" s="961">
        <f t="shared" si="38"/>
        <v>0</v>
      </c>
      <c r="I64" s="99"/>
      <c r="J64" s="964">
        <v>1</v>
      </c>
      <c r="K64" s="964"/>
      <c r="L64" s="964"/>
      <c r="M64" s="964"/>
      <c r="N64" s="964"/>
      <c r="O64" s="964"/>
      <c r="P64" s="964"/>
      <c r="Q64" s="964"/>
      <c r="R64" s="968">
        <f t="shared" si="39"/>
        <v>1</v>
      </c>
      <c r="S64" s="969">
        <f t="shared" si="60"/>
        <v>0</v>
      </c>
      <c r="U64" s="970">
        <f t="shared" si="40"/>
        <v>0</v>
      </c>
      <c r="V64" s="970">
        <f t="shared" si="41"/>
        <v>0</v>
      </c>
      <c r="W64" s="970">
        <f t="shared" si="42"/>
        <v>0</v>
      </c>
      <c r="X64" s="970">
        <f t="shared" si="43"/>
        <v>0</v>
      </c>
      <c r="Y64" s="970">
        <f t="shared" si="44"/>
        <v>0</v>
      </c>
      <c r="Z64" s="970">
        <f t="shared" si="45"/>
        <v>0</v>
      </c>
      <c r="AA64" s="970">
        <f t="shared" si="46"/>
        <v>0</v>
      </c>
      <c r="AB64" s="970">
        <f t="shared" si="47"/>
        <v>0</v>
      </c>
      <c r="AC64" s="168">
        <f t="shared" si="48"/>
        <v>0</v>
      </c>
      <c r="AD64" s="971">
        <f t="shared" si="61"/>
        <v>0</v>
      </c>
      <c r="AE64" s="136"/>
      <c r="AF64" s="970">
        <f t="shared" si="62"/>
        <v>0</v>
      </c>
      <c r="AG64" s="970">
        <f t="shared" si="63"/>
        <v>0</v>
      </c>
      <c r="AH64" s="970">
        <f t="shared" si="64"/>
        <v>0</v>
      </c>
      <c r="AI64" s="970">
        <f t="shared" si="65"/>
        <v>0</v>
      </c>
      <c r="AJ64" s="970">
        <f t="shared" si="66"/>
        <v>0</v>
      </c>
      <c r="AK64" s="970">
        <f t="shared" si="67"/>
        <v>0</v>
      </c>
      <c r="AL64" s="970">
        <f t="shared" si="68"/>
        <v>0</v>
      </c>
      <c r="AM64" s="970">
        <f t="shared" si="69"/>
        <v>0</v>
      </c>
      <c r="AN64" s="168">
        <f t="shared" si="49"/>
        <v>0</v>
      </c>
      <c r="AO64" s="971">
        <f t="shared" si="70"/>
        <v>0</v>
      </c>
      <c r="AQ64" s="964"/>
      <c r="AR64" s="964"/>
      <c r="AS64" s="964"/>
      <c r="AT64" s="964"/>
      <c r="AU64" s="964"/>
      <c r="AV64" s="964"/>
      <c r="AW64" s="964"/>
      <c r="AX64" s="964"/>
      <c r="AY64" s="968">
        <f t="shared" si="50"/>
        <v>0</v>
      </c>
      <c r="AZ64" s="969" t="str">
        <f t="shared" si="71"/>
        <v>bitte prüfen!</v>
      </c>
      <c r="BB64" s="970">
        <f t="shared" si="51"/>
        <v>0</v>
      </c>
      <c r="BC64" s="970">
        <f t="shared" si="52"/>
        <v>0</v>
      </c>
      <c r="BD64" s="970">
        <f t="shared" si="53"/>
        <v>0</v>
      </c>
      <c r="BE64" s="970">
        <f t="shared" si="54"/>
        <v>0</v>
      </c>
      <c r="BF64" s="970">
        <f t="shared" si="55"/>
        <v>0</v>
      </c>
      <c r="BG64" s="970">
        <f t="shared" si="56"/>
        <v>0</v>
      </c>
      <c r="BH64" s="970">
        <f t="shared" si="57"/>
        <v>0</v>
      </c>
      <c r="BI64" s="970">
        <f t="shared" si="58"/>
        <v>0</v>
      </c>
      <c r="BJ64" s="168">
        <f t="shared" si="59"/>
        <v>0</v>
      </c>
      <c r="BK64" s="971">
        <f t="shared" si="72"/>
        <v>0</v>
      </c>
    </row>
    <row r="65" spans="1:63" outlineLevel="1" x14ac:dyDescent="0.2">
      <c r="A65" s="101" t="str">
        <f>IF(Personalplanung!B65&lt;&gt;"",Personalplanung!B65,IF(Personalplanung!A65&lt;&gt;"",Personalplanung!A65,""))</f>
        <v/>
      </c>
      <c r="B65" s="168">
        <f>Personalplanung!AH65</f>
        <v>0</v>
      </c>
      <c r="C65" s="168">
        <f>Personalplanung!AI65</f>
        <v>0</v>
      </c>
      <c r="D65" s="170">
        <f t="shared" si="37"/>
        <v>0</v>
      </c>
      <c r="E65" s="960">
        <f>Personalplanung!AG65</f>
        <v>0</v>
      </c>
      <c r="F65" s="170"/>
      <c r="G65" s="961">
        <f>Personalplanung!AL65</f>
        <v>0</v>
      </c>
      <c r="H65" s="961">
        <f t="shared" si="38"/>
        <v>0</v>
      </c>
      <c r="I65" s="99"/>
      <c r="J65" s="964">
        <v>1</v>
      </c>
      <c r="K65" s="964"/>
      <c r="L65" s="964"/>
      <c r="M65" s="964"/>
      <c r="N65" s="964"/>
      <c r="O65" s="964"/>
      <c r="P65" s="964"/>
      <c r="Q65" s="964"/>
      <c r="R65" s="968">
        <f t="shared" si="39"/>
        <v>1</v>
      </c>
      <c r="S65" s="969">
        <f t="shared" si="60"/>
        <v>0</v>
      </c>
      <c r="U65" s="970">
        <f t="shared" si="40"/>
        <v>0</v>
      </c>
      <c r="V65" s="970">
        <f t="shared" si="41"/>
        <v>0</v>
      </c>
      <c r="W65" s="970">
        <f t="shared" si="42"/>
        <v>0</v>
      </c>
      <c r="X65" s="970">
        <f t="shared" si="43"/>
        <v>0</v>
      </c>
      <c r="Y65" s="970">
        <f t="shared" si="44"/>
        <v>0</v>
      </c>
      <c r="Z65" s="970">
        <f t="shared" si="45"/>
        <v>0</v>
      </c>
      <c r="AA65" s="970">
        <f t="shared" si="46"/>
        <v>0</v>
      </c>
      <c r="AB65" s="970">
        <f t="shared" si="47"/>
        <v>0</v>
      </c>
      <c r="AC65" s="168">
        <f t="shared" si="48"/>
        <v>0</v>
      </c>
      <c r="AD65" s="971">
        <f t="shared" si="61"/>
        <v>0</v>
      </c>
      <c r="AE65" s="136"/>
      <c r="AF65" s="970">
        <f t="shared" si="62"/>
        <v>0</v>
      </c>
      <c r="AG65" s="970">
        <f t="shared" si="63"/>
        <v>0</v>
      </c>
      <c r="AH65" s="970">
        <f t="shared" si="64"/>
        <v>0</v>
      </c>
      <c r="AI65" s="970">
        <f t="shared" si="65"/>
        <v>0</v>
      </c>
      <c r="AJ65" s="970">
        <f t="shared" si="66"/>
        <v>0</v>
      </c>
      <c r="AK65" s="970">
        <f t="shared" si="67"/>
        <v>0</v>
      </c>
      <c r="AL65" s="970">
        <f t="shared" si="68"/>
        <v>0</v>
      </c>
      <c r="AM65" s="970">
        <f t="shared" si="69"/>
        <v>0</v>
      </c>
      <c r="AN65" s="168">
        <f t="shared" si="49"/>
        <v>0</v>
      </c>
      <c r="AO65" s="971">
        <f t="shared" si="70"/>
        <v>0</v>
      </c>
      <c r="AQ65" s="964"/>
      <c r="AR65" s="964"/>
      <c r="AS65" s="964"/>
      <c r="AT65" s="964"/>
      <c r="AU65" s="964"/>
      <c r="AV65" s="964"/>
      <c r="AW65" s="964"/>
      <c r="AX65" s="964"/>
      <c r="AY65" s="968">
        <f t="shared" si="50"/>
        <v>0</v>
      </c>
      <c r="AZ65" s="969" t="str">
        <f t="shared" si="71"/>
        <v>bitte prüfen!</v>
      </c>
      <c r="BB65" s="970">
        <f t="shared" si="51"/>
        <v>0</v>
      </c>
      <c r="BC65" s="970">
        <f t="shared" si="52"/>
        <v>0</v>
      </c>
      <c r="BD65" s="970">
        <f t="shared" si="53"/>
        <v>0</v>
      </c>
      <c r="BE65" s="970">
        <f t="shared" si="54"/>
        <v>0</v>
      </c>
      <c r="BF65" s="970">
        <f t="shared" si="55"/>
        <v>0</v>
      </c>
      <c r="BG65" s="970">
        <f t="shared" si="56"/>
        <v>0</v>
      </c>
      <c r="BH65" s="970">
        <f t="shared" si="57"/>
        <v>0</v>
      </c>
      <c r="BI65" s="970">
        <f t="shared" si="58"/>
        <v>0</v>
      </c>
      <c r="BJ65" s="168">
        <f t="shared" si="59"/>
        <v>0</v>
      </c>
      <c r="BK65" s="971">
        <f t="shared" si="72"/>
        <v>0</v>
      </c>
    </row>
    <row r="66" spans="1:63" outlineLevel="1" x14ac:dyDescent="0.2">
      <c r="A66" s="101" t="str">
        <f>IF(Personalplanung!B66&lt;&gt;"",Personalplanung!B66,IF(Personalplanung!A66&lt;&gt;"",Personalplanung!A66,""))</f>
        <v/>
      </c>
      <c r="B66" s="168">
        <f>Personalplanung!AH66</f>
        <v>0</v>
      </c>
      <c r="C66" s="168">
        <f>Personalplanung!AI66</f>
        <v>0</v>
      </c>
      <c r="D66" s="170">
        <f t="shared" si="37"/>
        <v>0</v>
      </c>
      <c r="E66" s="960">
        <f>Personalplanung!AG66</f>
        <v>0</v>
      </c>
      <c r="F66" s="170"/>
      <c r="G66" s="961">
        <f>Personalplanung!AL66</f>
        <v>0</v>
      </c>
      <c r="H66" s="961">
        <f t="shared" si="38"/>
        <v>0</v>
      </c>
      <c r="I66" s="99"/>
      <c r="J66" s="964">
        <v>1</v>
      </c>
      <c r="K66" s="964"/>
      <c r="L66" s="964"/>
      <c r="M66" s="964"/>
      <c r="N66" s="964"/>
      <c r="O66" s="964"/>
      <c r="P66" s="964"/>
      <c r="Q66" s="964"/>
      <c r="R66" s="968">
        <f t="shared" si="39"/>
        <v>1</v>
      </c>
      <c r="S66" s="969">
        <f t="shared" si="60"/>
        <v>0</v>
      </c>
      <c r="U66" s="970">
        <f t="shared" si="40"/>
        <v>0</v>
      </c>
      <c r="V66" s="970">
        <f t="shared" si="41"/>
        <v>0</v>
      </c>
      <c r="W66" s="970">
        <f t="shared" si="42"/>
        <v>0</v>
      </c>
      <c r="X66" s="970">
        <f t="shared" si="43"/>
        <v>0</v>
      </c>
      <c r="Y66" s="970">
        <f t="shared" si="44"/>
        <v>0</v>
      </c>
      <c r="Z66" s="970">
        <f t="shared" si="45"/>
        <v>0</v>
      </c>
      <c r="AA66" s="970">
        <f t="shared" si="46"/>
        <v>0</v>
      </c>
      <c r="AB66" s="970">
        <f t="shared" si="47"/>
        <v>0</v>
      </c>
      <c r="AC66" s="168">
        <f t="shared" si="48"/>
        <v>0</v>
      </c>
      <c r="AD66" s="971">
        <f t="shared" si="61"/>
        <v>0</v>
      </c>
      <c r="AE66" s="136"/>
      <c r="AF66" s="970">
        <f t="shared" si="62"/>
        <v>0</v>
      </c>
      <c r="AG66" s="970">
        <f t="shared" si="63"/>
        <v>0</v>
      </c>
      <c r="AH66" s="970">
        <f t="shared" si="64"/>
        <v>0</v>
      </c>
      <c r="AI66" s="970">
        <f t="shared" si="65"/>
        <v>0</v>
      </c>
      <c r="AJ66" s="970">
        <f t="shared" si="66"/>
        <v>0</v>
      </c>
      <c r="AK66" s="970">
        <f t="shared" si="67"/>
        <v>0</v>
      </c>
      <c r="AL66" s="970">
        <f t="shared" si="68"/>
        <v>0</v>
      </c>
      <c r="AM66" s="970">
        <f t="shared" si="69"/>
        <v>0</v>
      </c>
      <c r="AN66" s="168">
        <f t="shared" si="49"/>
        <v>0</v>
      </c>
      <c r="AO66" s="971">
        <f t="shared" si="70"/>
        <v>0</v>
      </c>
      <c r="AQ66" s="964"/>
      <c r="AR66" s="964"/>
      <c r="AS66" s="964"/>
      <c r="AT66" s="964"/>
      <c r="AU66" s="964"/>
      <c r="AV66" s="964"/>
      <c r="AW66" s="964"/>
      <c r="AX66" s="964"/>
      <c r="AY66" s="968">
        <f t="shared" si="50"/>
        <v>0</v>
      </c>
      <c r="AZ66" s="969" t="str">
        <f t="shared" si="71"/>
        <v>bitte prüfen!</v>
      </c>
      <c r="BB66" s="970">
        <f t="shared" si="51"/>
        <v>0</v>
      </c>
      <c r="BC66" s="970">
        <f t="shared" si="52"/>
        <v>0</v>
      </c>
      <c r="BD66" s="970">
        <f t="shared" si="53"/>
        <v>0</v>
      </c>
      <c r="BE66" s="970">
        <f t="shared" si="54"/>
        <v>0</v>
      </c>
      <c r="BF66" s="970">
        <f t="shared" si="55"/>
        <v>0</v>
      </c>
      <c r="BG66" s="970">
        <f t="shared" si="56"/>
        <v>0</v>
      </c>
      <c r="BH66" s="970">
        <f t="shared" si="57"/>
        <v>0</v>
      </c>
      <c r="BI66" s="970">
        <f t="shared" si="58"/>
        <v>0</v>
      </c>
      <c r="BJ66" s="168">
        <f t="shared" si="59"/>
        <v>0</v>
      </c>
      <c r="BK66" s="971">
        <f t="shared" si="72"/>
        <v>0</v>
      </c>
    </row>
    <row r="67" spans="1:63" outlineLevel="1" x14ac:dyDescent="0.2">
      <c r="A67" s="101" t="str">
        <f>IF(Personalplanung!B67&lt;&gt;"",Personalplanung!B67,IF(Personalplanung!A67&lt;&gt;"",Personalplanung!A67,""))</f>
        <v/>
      </c>
      <c r="B67" s="168">
        <f>Personalplanung!AH67</f>
        <v>0</v>
      </c>
      <c r="C67" s="168">
        <f>Personalplanung!AI67</f>
        <v>0</v>
      </c>
      <c r="D67" s="170">
        <f t="shared" si="37"/>
        <v>0</v>
      </c>
      <c r="E67" s="960">
        <f>Personalplanung!AG67</f>
        <v>0</v>
      </c>
      <c r="F67" s="170"/>
      <c r="G67" s="961">
        <f>Personalplanung!AL67</f>
        <v>0</v>
      </c>
      <c r="H67" s="961">
        <f t="shared" si="38"/>
        <v>0</v>
      </c>
      <c r="I67" s="99"/>
      <c r="J67" s="964">
        <v>1</v>
      </c>
      <c r="K67" s="964"/>
      <c r="L67" s="964"/>
      <c r="M67" s="964"/>
      <c r="N67" s="964"/>
      <c r="O67" s="964"/>
      <c r="P67" s="964"/>
      <c r="Q67" s="964"/>
      <c r="R67" s="968">
        <f t="shared" si="39"/>
        <v>1</v>
      </c>
      <c r="S67" s="969">
        <f t="shared" si="60"/>
        <v>0</v>
      </c>
      <c r="U67" s="970">
        <f t="shared" si="40"/>
        <v>0</v>
      </c>
      <c r="V67" s="970">
        <f t="shared" si="41"/>
        <v>0</v>
      </c>
      <c r="W67" s="970">
        <f t="shared" si="42"/>
        <v>0</v>
      </c>
      <c r="X67" s="970">
        <f t="shared" si="43"/>
        <v>0</v>
      </c>
      <c r="Y67" s="970">
        <f t="shared" si="44"/>
        <v>0</v>
      </c>
      <c r="Z67" s="970">
        <f t="shared" si="45"/>
        <v>0</v>
      </c>
      <c r="AA67" s="970">
        <f t="shared" si="46"/>
        <v>0</v>
      </c>
      <c r="AB67" s="970">
        <f t="shared" si="47"/>
        <v>0</v>
      </c>
      <c r="AC67" s="168">
        <f t="shared" si="48"/>
        <v>0</v>
      </c>
      <c r="AD67" s="971">
        <f t="shared" si="61"/>
        <v>0</v>
      </c>
      <c r="AE67" s="136"/>
      <c r="AF67" s="970">
        <f t="shared" si="62"/>
        <v>0</v>
      </c>
      <c r="AG67" s="970">
        <f t="shared" si="63"/>
        <v>0</v>
      </c>
      <c r="AH67" s="970">
        <f t="shared" si="64"/>
        <v>0</v>
      </c>
      <c r="AI67" s="970">
        <f t="shared" si="65"/>
        <v>0</v>
      </c>
      <c r="AJ67" s="970">
        <f t="shared" si="66"/>
        <v>0</v>
      </c>
      <c r="AK67" s="970">
        <f t="shared" si="67"/>
        <v>0</v>
      </c>
      <c r="AL67" s="970">
        <f t="shared" si="68"/>
        <v>0</v>
      </c>
      <c r="AM67" s="970">
        <f t="shared" si="69"/>
        <v>0</v>
      </c>
      <c r="AN67" s="168">
        <f t="shared" si="49"/>
        <v>0</v>
      </c>
      <c r="AO67" s="971">
        <f t="shared" si="70"/>
        <v>0</v>
      </c>
      <c r="AQ67" s="964"/>
      <c r="AR67" s="964"/>
      <c r="AS67" s="964"/>
      <c r="AT67" s="964"/>
      <c r="AU67" s="964"/>
      <c r="AV67" s="964"/>
      <c r="AW67" s="964"/>
      <c r="AX67" s="964"/>
      <c r="AY67" s="968">
        <f t="shared" si="50"/>
        <v>0</v>
      </c>
      <c r="AZ67" s="969" t="str">
        <f t="shared" si="71"/>
        <v>bitte prüfen!</v>
      </c>
      <c r="BB67" s="970">
        <f t="shared" si="51"/>
        <v>0</v>
      </c>
      <c r="BC67" s="970">
        <f t="shared" si="52"/>
        <v>0</v>
      </c>
      <c r="BD67" s="970">
        <f t="shared" si="53"/>
        <v>0</v>
      </c>
      <c r="BE67" s="970">
        <f t="shared" si="54"/>
        <v>0</v>
      </c>
      <c r="BF67" s="970">
        <f t="shared" si="55"/>
        <v>0</v>
      </c>
      <c r="BG67" s="970">
        <f t="shared" si="56"/>
        <v>0</v>
      </c>
      <c r="BH67" s="970">
        <f t="shared" si="57"/>
        <v>0</v>
      </c>
      <c r="BI67" s="970">
        <f t="shared" si="58"/>
        <v>0</v>
      </c>
      <c r="BJ67" s="168">
        <f t="shared" si="59"/>
        <v>0</v>
      </c>
      <c r="BK67" s="971">
        <f t="shared" si="72"/>
        <v>0</v>
      </c>
    </row>
    <row r="68" spans="1:63" outlineLevel="1" x14ac:dyDescent="0.2">
      <c r="A68" s="101" t="str">
        <f>IF(Personalplanung!B68&lt;&gt;"",Personalplanung!B68,IF(Personalplanung!A68&lt;&gt;"",Personalplanung!A68,""))</f>
        <v/>
      </c>
      <c r="B68" s="168">
        <f>Personalplanung!AH68</f>
        <v>0</v>
      </c>
      <c r="C68" s="168">
        <f>Personalplanung!AI68</f>
        <v>0</v>
      </c>
      <c r="D68" s="170">
        <f t="shared" si="37"/>
        <v>0</v>
      </c>
      <c r="E68" s="960">
        <f>Personalplanung!AG68</f>
        <v>0</v>
      </c>
      <c r="F68" s="170"/>
      <c r="G68" s="961">
        <f>Personalplanung!AL68</f>
        <v>0</v>
      </c>
      <c r="H68" s="961">
        <f t="shared" si="38"/>
        <v>0</v>
      </c>
      <c r="I68" s="99"/>
      <c r="J68" s="964">
        <v>1</v>
      </c>
      <c r="K68" s="964"/>
      <c r="L68" s="964"/>
      <c r="M68" s="964"/>
      <c r="N68" s="964"/>
      <c r="O68" s="964"/>
      <c r="P68" s="964"/>
      <c r="Q68" s="964"/>
      <c r="R68" s="968">
        <f t="shared" si="39"/>
        <v>1</v>
      </c>
      <c r="S68" s="969">
        <f t="shared" si="60"/>
        <v>0</v>
      </c>
      <c r="U68" s="970">
        <f t="shared" si="40"/>
        <v>0</v>
      </c>
      <c r="V68" s="970">
        <f t="shared" si="41"/>
        <v>0</v>
      </c>
      <c r="W68" s="970">
        <f t="shared" si="42"/>
        <v>0</v>
      </c>
      <c r="X68" s="970">
        <f t="shared" si="43"/>
        <v>0</v>
      </c>
      <c r="Y68" s="970">
        <f t="shared" si="44"/>
        <v>0</v>
      </c>
      <c r="Z68" s="970">
        <f t="shared" si="45"/>
        <v>0</v>
      </c>
      <c r="AA68" s="970">
        <f t="shared" si="46"/>
        <v>0</v>
      </c>
      <c r="AB68" s="970">
        <f t="shared" si="47"/>
        <v>0</v>
      </c>
      <c r="AC68" s="168">
        <f t="shared" si="48"/>
        <v>0</v>
      </c>
      <c r="AD68" s="971">
        <f t="shared" si="61"/>
        <v>0</v>
      </c>
      <c r="AE68" s="136"/>
      <c r="AF68" s="970">
        <f t="shared" si="62"/>
        <v>0</v>
      </c>
      <c r="AG68" s="970">
        <f t="shared" si="63"/>
        <v>0</v>
      </c>
      <c r="AH68" s="970">
        <f t="shared" si="64"/>
        <v>0</v>
      </c>
      <c r="AI68" s="970">
        <f t="shared" si="65"/>
        <v>0</v>
      </c>
      <c r="AJ68" s="970">
        <f t="shared" si="66"/>
        <v>0</v>
      </c>
      <c r="AK68" s="970">
        <f t="shared" si="67"/>
        <v>0</v>
      </c>
      <c r="AL68" s="970">
        <f t="shared" si="68"/>
        <v>0</v>
      </c>
      <c r="AM68" s="970">
        <f t="shared" si="69"/>
        <v>0</v>
      </c>
      <c r="AN68" s="168">
        <f t="shared" si="49"/>
        <v>0</v>
      </c>
      <c r="AO68" s="971">
        <f t="shared" si="70"/>
        <v>0</v>
      </c>
      <c r="AQ68" s="964"/>
      <c r="AR68" s="964"/>
      <c r="AS68" s="964"/>
      <c r="AT68" s="964"/>
      <c r="AU68" s="964"/>
      <c r="AV68" s="964"/>
      <c r="AW68" s="964"/>
      <c r="AX68" s="964"/>
      <c r="AY68" s="968">
        <f t="shared" si="50"/>
        <v>0</v>
      </c>
      <c r="AZ68" s="969" t="str">
        <f t="shared" si="71"/>
        <v>bitte prüfen!</v>
      </c>
      <c r="BB68" s="970">
        <f t="shared" si="51"/>
        <v>0</v>
      </c>
      <c r="BC68" s="970">
        <f t="shared" si="52"/>
        <v>0</v>
      </c>
      <c r="BD68" s="970">
        <f t="shared" si="53"/>
        <v>0</v>
      </c>
      <c r="BE68" s="970">
        <f t="shared" si="54"/>
        <v>0</v>
      </c>
      <c r="BF68" s="970">
        <f t="shared" si="55"/>
        <v>0</v>
      </c>
      <c r="BG68" s="970">
        <f t="shared" si="56"/>
        <v>0</v>
      </c>
      <c r="BH68" s="970">
        <f t="shared" si="57"/>
        <v>0</v>
      </c>
      <c r="BI68" s="970">
        <f t="shared" si="58"/>
        <v>0</v>
      </c>
      <c r="BJ68" s="168">
        <f t="shared" si="59"/>
        <v>0</v>
      </c>
      <c r="BK68" s="971">
        <f t="shared" si="72"/>
        <v>0</v>
      </c>
    </row>
    <row r="69" spans="1:63" outlineLevel="1" x14ac:dyDescent="0.2">
      <c r="A69" s="101" t="str">
        <f>IF(Personalplanung!B69&lt;&gt;"",Personalplanung!B69,IF(Personalplanung!A69&lt;&gt;"",Personalplanung!A69,""))</f>
        <v/>
      </c>
      <c r="B69" s="168">
        <f>Personalplanung!AH69</f>
        <v>0</v>
      </c>
      <c r="C69" s="168">
        <f>Personalplanung!AI69</f>
        <v>0</v>
      </c>
      <c r="D69" s="170">
        <f t="shared" si="37"/>
        <v>0</v>
      </c>
      <c r="E69" s="960">
        <f>Personalplanung!AG69</f>
        <v>0</v>
      </c>
      <c r="F69" s="170"/>
      <c r="G69" s="961">
        <f>Personalplanung!AL69</f>
        <v>0</v>
      </c>
      <c r="H69" s="961">
        <f t="shared" si="38"/>
        <v>0</v>
      </c>
      <c r="I69" s="99"/>
      <c r="J69" s="964">
        <v>1</v>
      </c>
      <c r="K69" s="964"/>
      <c r="L69" s="964"/>
      <c r="M69" s="964"/>
      <c r="N69" s="964"/>
      <c r="O69" s="964"/>
      <c r="P69" s="964"/>
      <c r="Q69" s="964"/>
      <c r="R69" s="968">
        <f t="shared" si="39"/>
        <v>1</v>
      </c>
      <c r="S69" s="969">
        <f t="shared" si="60"/>
        <v>0</v>
      </c>
      <c r="U69" s="970">
        <f t="shared" si="40"/>
        <v>0</v>
      </c>
      <c r="V69" s="970">
        <f t="shared" si="41"/>
        <v>0</v>
      </c>
      <c r="W69" s="970">
        <f t="shared" si="42"/>
        <v>0</v>
      </c>
      <c r="X69" s="970">
        <f t="shared" si="43"/>
        <v>0</v>
      </c>
      <c r="Y69" s="970">
        <f t="shared" si="44"/>
        <v>0</v>
      </c>
      <c r="Z69" s="970">
        <f t="shared" si="45"/>
        <v>0</v>
      </c>
      <c r="AA69" s="970">
        <f t="shared" si="46"/>
        <v>0</v>
      </c>
      <c r="AB69" s="970">
        <f t="shared" si="47"/>
        <v>0</v>
      </c>
      <c r="AC69" s="168">
        <f t="shared" si="48"/>
        <v>0</v>
      </c>
      <c r="AD69" s="971">
        <f t="shared" si="61"/>
        <v>0</v>
      </c>
      <c r="AE69" s="136"/>
      <c r="AF69" s="970">
        <f t="shared" si="62"/>
        <v>0</v>
      </c>
      <c r="AG69" s="970">
        <f t="shared" si="63"/>
        <v>0</v>
      </c>
      <c r="AH69" s="970">
        <f t="shared" si="64"/>
        <v>0</v>
      </c>
      <c r="AI69" s="970">
        <f t="shared" si="65"/>
        <v>0</v>
      </c>
      <c r="AJ69" s="970">
        <f t="shared" si="66"/>
        <v>0</v>
      </c>
      <c r="AK69" s="970">
        <f t="shared" si="67"/>
        <v>0</v>
      </c>
      <c r="AL69" s="970">
        <f t="shared" si="68"/>
        <v>0</v>
      </c>
      <c r="AM69" s="970">
        <f t="shared" si="69"/>
        <v>0</v>
      </c>
      <c r="AN69" s="168">
        <f t="shared" si="49"/>
        <v>0</v>
      </c>
      <c r="AO69" s="971">
        <f t="shared" si="70"/>
        <v>0</v>
      </c>
      <c r="AQ69" s="964"/>
      <c r="AR69" s="964"/>
      <c r="AS69" s="964"/>
      <c r="AT69" s="964"/>
      <c r="AU69" s="964"/>
      <c r="AV69" s="964"/>
      <c r="AW69" s="964"/>
      <c r="AX69" s="964"/>
      <c r="AY69" s="968">
        <f t="shared" si="50"/>
        <v>0</v>
      </c>
      <c r="AZ69" s="969" t="str">
        <f t="shared" si="71"/>
        <v>bitte prüfen!</v>
      </c>
      <c r="BB69" s="970">
        <f t="shared" si="51"/>
        <v>0</v>
      </c>
      <c r="BC69" s="970">
        <f t="shared" si="52"/>
        <v>0</v>
      </c>
      <c r="BD69" s="970">
        <f t="shared" si="53"/>
        <v>0</v>
      </c>
      <c r="BE69" s="970">
        <f t="shared" si="54"/>
        <v>0</v>
      </c>
      <c r="BF69" s="970">
        <f t="shared" si="55"/>
        <v>0</v>
      </c>
      <c r="BG69" s="970">
        <f t="shared" si="56"/>
        <v>0</v>
      </c>
      <c r="BH69" s="970">
        <f t="shared" si="57"/>
        <v>0</v>
      </c>
      <c r="BI69" s="970">
        <f t="shared" si="58"/>
        <v>0</v>
      </c>
      <c r="BJ69" s="168">
        <f t="shared" si="59"/>
        <v>0</v>
      </c>
      <c r="BK69" s="971">
        <f t="shared" si="72"/>
        <v>0</v>
      </c>
    </row>
    <row r="70" spans="1:63" outlineLevel="1" x14ac:dyDescent="0.2">
      <c r="A70" s="101" t="str">
        <f>IF(Personalplanung!B70&lt;&gt;"",Personalplanung!B70,IF(Personalplanung!A70&lt;&gt;"",Personalplanung!A70,""))</f>
        <v/>
      </c>
      <c r="B70" s="168">
        <f>Personalplanung!AH70</f>
        <v>0</v>
      </c>
      <c r="C70" s="168">
        <f>Personalplanung!AI70</f>
        <v>0</v>
      </c>
      <c r="D70" s="170">
        <f t="shared" si="37"/>
        <v>0</v>
      </c>
      <c r="E70" s="960">
        <f>Personalplanung!AG70</f>
        <v>0</v>
      </c>
      <c r="F70" s="170"/>
      <c r="G70" s="961">
        <f>Personalplanung!AL70</f>
        <v>0</v>
      </c>
      <c r="H70" s="961">
        <f t="shared" si="38"/>
        <v>0</v>
      </c>
      <c r="I70" s="99"/>
      <c r="J70" s="964">
        <v>1</v>
      </c>
      <c r="K70" s="964"/>
      <c r="L70" s="964"/>
      <c r="M70" s="964"/>
      <c r="N70" s="964"/>
      <c r="O70" s="964"/>
      <c r="P70" s="964"/>
      <c r="Q70" s="964"/>
      <c r="R70" s="968">
        <f t="shared" si="39"/>
        <v>1</v>
      </c>
      <c r="S70" s="969">
        <f t="shared" ref="S70:S106" si="73">IF(E70=0,0,(IF(ROUND(SUM(J70:Q70)-1,0)=0,0,"bitte prüfen!")))</f>
        <v>0</v>
      </c>
      <c r="U70" s="970">
        <f t="shared" si="40"/>
        <v>0</v>
      </c>
      <c r="V70" s="970">
        <f t="shared" si="41"/>
        <v>0</v>
      </c>
      <c r="W70" s="970">
        <f t="shared" si="42"/>
        <v>0</v>
      </c>
      <c r="X70" s="970">
        <f t="shared" si="43"/>
        <v>0</v>
      </c>
      <c r="Y70" s="970">
        <f t="shared" si="44"/>
        <v>0</v>
      </c>
      <c r="Z70" s="970">
        <f t="shared" si="45"/>
        <v>0</v>
      </c>
      <c r="AA70" s="970">
        <f t="shared" si="46"/>
        <v>0</v>
      </c>
      <c r="AB70" s="970">
        <f t="shared" si="47"/>
        <v>0</v>
      </c>
      <c r="AC70" s="168">
        <f t="shared" si="48"/>
        <v>0</v>
      </c>
      <c r="AD70" s="971">
        <f t="shared" ref="AD70:AD101" si="74">AC70-H70</f>
        <v>0</v>
      </c>
      <c r="AE70" s="136"/>
      <c r="AF70" s="970">
        <f t="shared" ref="AF70:AF106" si="75">$G70*IF($R70=0,0,(J70/$R70))</f>
        <v>0</v>
      </c>
      <c r="AG70" s="970">
        <f t="shared" ref="AG70:AG106" si="76">$G70*IF($R70=0,0,(K70/$R70))</f>
        <v>0</v>
      </c>
      <c r="AH70" s="970">
        <f t="shared" ref="AH70:AH106" si="77">$G70*IF($R70=0,0,(L70/$R70))</f>
        <v>0</v>
      </c>
      <c r="AI70" s="970">
        <f t="shared" ref="AI70:AI106" si="78">$G70*IF($R70=0,0,(M70/$R70))</f>
        <v>0</v>
      </c>
      <c r="AJ70" s="970">
        <f t="shared" ref="AJ70:AJ106" si="79">$G70*IF($R70=0,0,(N70/$R70))</f>
        <v>0</v>
      </c>
      <c r="AK70" s="970">
        <f t="shared" ref="AK70:AK106" si="80">$G70*IF($R70=0,0,(O70/$R70))</f>
        <v>0</v>
      </c>
      <c r="AL70" s="970">
        <f t="shared" ref="AL70:AL106" si="81">$G70*IF($R70=0,0,(P70/$R70))</f>
        <v>0</v>
      </c>
      <c r="AM70" s="970">
        <f t="shared" ref="AM70:AM106" si="82">$G70*IF($R70=0,0,(Q70/$R70))</f>
        <v>0</v>
      </c>
      <c r="AN70" s="168">
        <f t="shared" si="49"/>
        <v>0</v>
      </c>
      <c r="AO70" s="971">
        <f t="shared" ref="AO70:AO101" si="83">AN70-G70</f>
        <v>0</v>
      </c>
      <c r="AQ70" s="964"/>
      <c r="AR70" s="964"/>
      <c r="AS70" s="964"/>
      <c r="AT70" s="964"/>
      <c r="AU70" s="964"/>
      <c r="AV70" s="964"/>
      <c r="AW70" s="964"/>
      <c r="AX70" s="964"/>
      <c r="AY70" s="968">
        <f t="shared" si="50"/>
        <v>0</v>
      </c>
      <c r="AZ70" s="969" t="str">
        <f t="shared" ref="AZ70:AZ106" si="84">IF(A70=0,0,(IF(E70=1,0,IF(ROUND(SUM(AQ70:AX70)-1,0)=0,0,"bitte prüfen!"))))</f>
        <v>bitte prüfen!</v>
      </c>
      <c r="BB70" s="970">
        <f t="shared" si="51"/>
        <v>0</v>
      </c>
      <c r="BC70" s="970">
        <f t="shared" si="52"/>
        <v>0</v>
      </c>
      <c r="BD70" s="970">
        <f t="shared" si="53"/>
        <v>0</v>
      </c>
      <c r="BE70" s="970">
        <f t="shared" si="54"/>
        <v>0</v>
      </c>
      <c r="BF70" s="970">
        <f t="shared" si="55"/>
        <v>0</v>
      </c>
      <c r="BG70" s="970">
        <f t="shared" si="56"/>
        <v>0</v>
      </c>
      <c r="BH70" s="970">
        <f t="shared" si="57"/>
        <v>0</v>
      </c>
      <c r="BI70" s="970">
        <f t="shared" si="58"/>
        <v>0</v>
      </c>
      <c r="BJ70" s="168">
        <f t="shared" si="59"/>
        <v>0</v>
      </c>
      <c r="BK70" s="971">
        <f t="shared" ref="BK70:BK101" si="85">BJ70-(D70-H70)</f>
        <v>0</v>
      </c>
    </row>
    <row r="71" spans="1:63" outlineLevel="1" x14ac:dyDescent="0.2">
      <c r="A71" s="101" t="str">
        <f>IF(Personalplanung!B71&lt;&gt;"",Personalplanung!B71,IF(Personalplanung!A71&lt;&gt;"",Personalplanung!A71,""))</f>
        <v/>
      </c>
      <c r="B71" s="168">
        <f>Personalplanung!AH71</f>
        <v>0</v>
      </c>
      <c r="C71" s="168">
        <f>Personalplanung!AI71</f>
        <v>0</v>
      </c>
      <c r="D71" s="170">
        <f t="shared" si="37"/>
        <v>0</v>
      </c>
      <c r="E71" s="960">
        <f>Personalplanung!AG71</f>
        <v>0</v>
      </c>
      <c r="F71" s="170"/>
      <c r="G71" s="961">
        <f>Personalplanung!AL71</f>
        <v>0</v>
      </c>
      <c r="H71" s="961">
        <f t="shared" si="38"/>
        <v>0</v>
      </c>
      <c r="I71" s="99"/>
      <c r="J71" s="964">
        <v>1</v>
      </c>
      <c r="K71" s="964"/>
      <c r="L71" s="964"/>
      <c r="M71" s="964"/>
      <c r="N71" s="964"/>
      <c r="O71" s="964"/>
      <c r="P71" s="964"/>
      <c r="Q71" s="964"/>
      <c r="R71" s="968">
        <f t="shared" si="39"/>
        <v>1</v>
      </c>
      <c r="S71" s="969">
        <f t="shared" si="73"/>
        <v>0</v>
      </c>
      <c r="U71" s="970">
        <f t="shared" si="40"/>
        <v>0</v>
      </c>
      <c r="V71" s="970">
        <f t="shared" si="41"/>
        <v>0</v>
      </c>
      <c r="W71" s="970">
        <f t="shared" si="42"/>
        <v>0</v>
      </c>
      <c r="X71" s="970">
        <f t="shared" si="43"/>
        <v>0</v>
      </c>
      <c r="Y71" s="970">
        <f t="shared" si="44"/>
        <v>0</v>
      </c>
      <c r="Z71" s="970">
        <f t="shared" si="45"/>
        <v>0</v>
      </c>
      <c r="AA71" s="970">
        <f t="shared" si="46"/>
        <v>0</v>
      </c>
      <c r="AB71" s="970">
        <f t="shared" si="47"/>
        <v>0</v>
      </c>
      <c r="AC71" s="168">
        <f t="shared" si="48"/>
        <v>0</v>
      </c>
      <c r="AD71" s="971">
        <f t="shared" si="74"/>
        <v>0</v>
      </c>
      <c r="AE71" s="136"/>
      <c r="AF71" s="970">
        <f t="shared" si="75"/>
        <v>0</v>
      </c>
      <c r="AG71" s="970">
        <f t="shared" si="76"/>
        <v>0</v>
      </c>
      <c r="AH71" s="970">
        <f t="shared" si="77"/>
        <v>0</v>
      </c>
      <c r="AI71" s="970">
        <f t="shared" si="78"/>
        <v>0</v>
      </c>
      <c r="AJ71" s="970">
        <f t="shared" si="79"/>
        <v>0</v>
      </c>
      <c r="AK71" s="970">
        <f t="shared" si="80"/>
        <v>0</v>
      </c>
      <c r="AL71" s="970">
        <f t="shared" si="81"/>
        <v>0</v>
      </c>
      <c r="AM71" s="970">
        <f t="shared" si="82"/>
        <v>0</v>
      </c>
      <c r="AN71" s="168">
        <f t="shared" si="49"/>
        <v>0</v>
      </c>
      <c r="AO71" s="971">
        <f t="shared" si="83"/>
        <v>0</v>
      </c>
      <c r="AQ71" s="964"/>
      <c r="AR71" s="964"/>
      <c r="AS71" s="964"/>
      <c r="AT71" s="964"/>
      <c r="AU71" s="964"/>
      <c r="AV71" s="964"/>
      <c r="AW71" s="964"/>
      <c r="AX71" s="964"/>
      <c r="AY71" s="968">
        <f t="shared" si="50"/>
        <v>0</v>
      </c>
      <c r="AZ71" s="969" t="str">
        <f t="shared" si="84"/>
        <v>bitte prüfen!</v>
      </c>
      <c r="BB71" s="970">
        <f t="shared" si="51"/>
        <v>0</v>
      </c>
      <c r="BC71" s="970">
        <f t="shared" si="52"/>
        <v>0</v>
      </c>
      <c r="BD71" s="970">
        <f t="shared" si="53"/>
        <v>0</v>
      </c>
      <c r="BE71" s="970">
        <f t="shared" si="54"/>
        <v>0</v>
      </c>
      <c r="BF71" s="970">
        <f t="shared" si="55"/>
        <v>0</v>
      </c>
      <c r="BG71" s="970">
        <f t="shared" si="56"/>
        <v>0</v>
      </c>
      <c r="BH71" s="970">
        <f t="shared" si="57"/>
        <v>0</v>
      </c>
      <c r="BI71" s="970">
        <f t="shared" si="58"/>
        <v>0</v>
      </c>
      <c r="BJ71" s="168">
        <f t="shared" si="59"/>
        <v>0</v>
      </c>
      <c r="BK71" s="971">
        <f t="shared" si="85"/>
        <v>0</v>
      </c>
    </row>
    <row r="72" spans="1:63" outlineLevel="1" x14ac:dyDescent="0.2">
      <c r="A72" s="101" t="str">
        <f>IF(Personalplanung!B72&lt;&gt;"",Personalplanung!B72,IF(Personalplanung!A72&lt;&gt;"",Personalplanung!A72,""))</f>
        <v/>
      </c>
      <c r="B72" s="168">
        <f>Personalplanung!AH72</f>
        <v>0</v>
      </c>
      <c r="C72" s="168">
        <f>Personalplanung!AI72</f>
        <v>0</v>
      </c>
      <c r="D72" s="170">
        <f t="shared" si="37"/>
        <v>0</v>
      </c>
      <c r="E72" s="960">
        <f>Personalplanung!AG72</f>
        <v>0</v>
      </c>
      <c r="F72" s="170"/>
      <c r="G72" s="961">
        <f>Personalplanung!AL72</f>
        <v>0</v>
      </c>
      <c r="H72" s="961">
        <f t="shared" si="38"/>
        <v>0</v>
      </c>
      <c r="I72" s="99"/>
      <c r="J72" s="964">
        <v>1</v>
      </c>
      <c r="K72" s="964"/>
      <c r="L72" s="964"/>
      <c r="M72" s="964"/>
      <c r="N72" s="964"/>
      <c r="O72" s="964"/>
      <c r="P72" s="964"/>
      <c r="Q72" s="964"/>
      <c r="R72" s="968">
        <f t="shared" si="39"/>
        <v>1</v>
      </c>
      <c r="S72" s="969">
        <f t="shared" si="73"/>
        <v>0</v>
      </c>
      <c r="U72" s="970">
        <f t="shared" si="40"/>
        <v>0</v>
      </c>
      <c r="V72" s="970">
        <f t="shared" si="41"/>
        <v>0</v>
      </c>
      <c r="W72" s="970">
        <f t="shared" si="42"/>
        <v>0</v>
      </c>
      <c r="X72" s="970">
        <f t="shared" si="43"/>
        <v>0</v>
      </c>
      <c r="Y72" s="970">
        <f t="shared" si="44"/>
        <v>0</v>
      </c>
      <c r="Z72" s="970">
        <f t="shared" si="45"/>
        <v>0</v>
      </c>
      <c r="AA72" s="970">
        <f t="shared" si="46"/>
        <v>0</v>
      </c>
      <c r="AB72" s="970">
        <f t="shared" si="47"/>
        <v>0</v>
      </c>
      <c r="AC72" s="168">
        <f t="shared" si="48"/>
        <v>0</v>
      </c>
      <c r="AD72" s="971">
        <f t="shared" si="74"/>
        <v>0</v>
      </c>
      <c r="AE72" s="136"/>
      <c r="AF72" s="970">
        <f t="shared" si="75"/>
        <v>0</v>
      </c>
      <c r="AG72" s="970">
        <f t="shared" si="76"/>
        <v>0</v>
      </c>
      <c r="AH72" s="970">
        <f t="shared" si="77"/>
        <v>0</v>
      </c>
      <c r="AI72" s="970">
        <f t="shared" si="78"/>
        <v>0</v>
      </c>
      <c r="AJ72" s="970">
        <f t="shared" si="79"/>
        <v>0</v>
      </c>
      <c r="AK72" s="970">
        <f t="shared" si="80"/>
        <v>0</v>
      </c>
      <c r="AL72" s="970">
        <f t="shared" si="81"/>
        <v>0</v>
      </c>
      <c r="AM72" s="970">
        <f t="shared" si="82"/>
        <v>0</v>
      </c>
      <c r="AN72" s="168">
        <f t="shared" si="49"/>
        <v>0</v>
      </c>
      <c r="AO72" s="971">
        <f t="shared" si="83"/>
        <v>0</v>
      </c>
      <c r="AQ72" s="964"/>
      <c r="AR72" s="964"/>
      <c r="AS72" s="964"/>
      <c r="AT72" s="964"/>
      <c r="AU72" s="964"/>
      <c r="AV72" s="964"/>
      <c r="AW72" s="964"/>
      <c r="AX72" s="964"/>
      <c r="AY72" s="968">
        <f t="shared" si="50"/>
        <v>0</v>
      </c>
      <c r="AZ72" s="969" t="str">
        <f t="shared" si="84"/>
        <v>bitte prüfen!</v>
      </c>
      <c r="BB72" s="970">
        <f t="shared" si="51"/>
        <v>0</v>
      </c>
      <c r="BC72" s="970">
        <f t="shared" si="52"/>
        <v>0</v>
      </c>
      <c r="BD72" s="970">
        <f t="shared" si="53"/>
        <v>0</v>
      </c>
      <c r="BE72" s="970">
        <f t="shared" si="54"/>
        <v>0</v>
      </c>
      <c r="BF72" s="970">
        <f t="shared" si="55"/>
        <v>0</v>
      </c>
      <c r="BG72" s="970">
        <f t="shared" si="56"/>
        <v>0</v>
      </c>
      <c r="BH72" s="970">
        <f t="shared" si="57"/>
        <v>0</v>
      </c>
      <c r="BI72" s="970">
        <f t="shared" si="58"/>
        <v>0</v>
      </c>
      <c r="BJ72" s="168">
        <f t="shared" si="59"/>
        <v>0</v>
      </c>
      <c r="BK72" s="971">
        <f t="shared" si="85"/>
        <v>0</v>
      </c>
    </row>
    <row r="73" spans="1:63" outlineLevel="1" x14ac:dyDescent="0.2">
      <c r="A73" s="101" t="str">
        <f>IF(Personalplanung!B73&lt;&gt;"",Personalplanung!B73,IF(Personalplanung!A73&lt;&gt;"",Personalplanung!A73,""))</f>
        <v/>
      </c>
      <c r="B73" s="168">
        <f>Personalplanung!AH73</f>
        <v>0</v>
      </c>
      <c r="C73" s="168">
        <f>Personalplanung!AI73</f>
        <v>0</v>
      </c>
      <c r="D73" s="170">
        <f t="shared" si="37"/>
        <v>0</v>
      </c>
      <c r="E73" s="960">
        <f>Personalplanung!AG73</f>
        <v>0</v>
      </c>
      <c r="F73" s="170"/>
      <c r="G73" s="961">
        <f>Personalplanung!AL73</f>
        <v>0</v>
      </c>
      <c r="H73" s="961">
        <f t="shared" si="38"/>
        <v>0</v>
      </c>
      <c r="I73" s="99"/>
      <c r="J73" s="964">
        <v>1</v>
      </c>
      <c r="K73" s="964"/>
      <c r="L73" s="964"/>
      <c r="M73" s="964"/>
      <c r="N73" s="964"/>
      <c r="O73" s="964"/>
      <c r="P73" s="964"/>
      <c r="Q73" s="964"/>
      <c r="R73" s="968">
        <f t="shared" si="39"/>
        <v>1</v>
      </c>
      <c r="S73" s="969">
        <f t="shared" si="73"/>
        <v>0</v>
      </c>
      <c r="U73" s="970">
        <f t="shared" si="40"/>
        <v>0</v>
      </c>
      <c r="V73" s="970">
        <f t="shared" si="41"/>
        <v>0</v>
      </c>
      <c r="W73" s="970">
        <f t="shared" si="42"/>
        <v>0</v>
      </c>
      <c r="X73" s="970">
        <f t="shared" si="43"/>
        <v>0</v>
      </c>
      <c r="Y73" s="970">
        <f t="shared" si="44"/>
        <v>0</v>
      </c>
      <c r="Z73" s="970">
        <f t="shared" si="45"/>
        <v>0</v>
      </c>
      <c r="AA73" s="970">
        <f t="shared" si="46"/>
        <v>0</v>
      </c>
      <c r="AB73" s="970">
        <f t="shared" si="47"/>
        <v>0</v>
      </c>
      <c r="AC73" s="168">
        <f t="shared" si="48"/>
        <v>0</v>
      </c>
      <c r="AD73" s="971">
        <f t="shared" si="74"/>
        <v>0</v>
      </c>
      <c r="AE73" s="136"/>
      <c r="AF73" s="970">
        <f t="shared" si="75"/>
        <v>0</v>
      </c>
      <c r="AG73" s="970">
        <f t="shared" si="76"/>
        <v>0</v>
      </c>
      <c r="AH73" s="970">
        <f t="shared" si="77"/>
        <v>0</v>
      </c>
      <c r="AI73" s="970">
        <f t="shared" si="78"/>
        <v>0</v>
      </c>
      <c r="AJ73" s="970">
        <f t="shared" si="79"/>
        <v>0</v>
      </c>
      <c r="AK73" s="970">
        <f t="shared" si="80"/>
        <v>0</v>
      </c>
      <c r="AL73" s="970">
        <f t="shared" si="81"/>
        <v>0</v>
      </c>
      <c r="AM73" s="970">
        <f t="shared" si="82"/>
        <v>0</v>
      </c>
      <c r="AN73" s="168">
        <f t="shared" si="49"/>
        <v>0</v>
      </c>
      <c r="AO73" s="971">
        <f t="shared" si="83"/>
        <v>0</v>
      </c>
      <c r="AQ73" s="964"/>
      <c r="AR73" s="964"/>
      <c r="AS73" s="964"/>
      <c r="AT73" s="964"/>
      <c r="AU73" s="964"/>
      <c r="AV73" s="964"/>
      <c r="AW73" s="964"/>
      <c r="AX73" s="964"/>
      <c r="AY73" s="968">
        <f t="shared" si="50"/>
        <v>0</v>
      </c>
      <c r="AZ73" s="969" t="str">
        <f t="shared" si="84"/>
        <v>bitte prüfen!</v>
      </c>
      <c r="BB73" s="970">
        <f t="shared" si="51"/>
        <v>0</v>
      </c>
      <c r="BC73" s="970">
        <f t="shared" si="52"/>
        <v>0</v>
      </c>
      <c r="BD73" s="970">
        <f t="shared" si="53"/>
        <v>0</v>
      </c>
      <c r="BE73" s="970">
        <f t="shared" si="54"/>
        <v>0</v>
      </c>
      <c r="BF73" s="970">
        <f t="shared" si="55"/>
        <v>0</v>
      </c>
      <c r="BG73" s="970">
        <f t="shared" si="56"/>
        <v>0</v>
      </c>
      <c r="BH73" s="970">
        <f t="shared" si="57"/>
        <v>0</v>
      </c>
      <c r="BI73" s="970">
        <f t="shared" si="58"/>
        <v>0</v>
      </c>
      <c r="BJ73" s="168">
        <f t="shared" si="59"/>
        <v>0</v>
      </c>
      <c r="BK73" s="971">
        <f t="shared" si="85"/>
        <v>0</v>
      </c>
    </row>
    <row r="74" spans="1:63" outlineLevel="1" x14ac:dyDescent="0.2">
      <c r="A74" s="101" t="str">
        <f>IF(Personalplanung!B74&lt;&gt;"",Personalplanung!B74,IF(Personalplanung!A74&lt;&gt;"",Personalplanung!A74,""))</f>
        <v/>
      </c>
      <c r="B74" s="168">
        <f>Personalplanung!AH74</f>
        <v>0</v>
      </c>
      <c r="C74" s="168">
        <f>Personalplanung!AI74</f>
        <v>0</v>
      </c>
      <c r="D74" s="170">
        <f t="shared" si="37"/>
        <v>0</v>
      </c>
      <c r="E74" s="960">
        <f>Personalplanung!AG74</f>
        <v>0</v>
      </c>
      <c r="F74" s="170"/>
      <c r="G74" s="961">
        <f>Personalplanung!AL74</f>
        <v>0</v>
      </c>
      <c r="H74" s="961">
        <f t="shared" si="38"/>
        <v>0</v>
      </c>
      <c r="I74" s="99"/>
      <c r="J74" s="964">
        <v>1</v>
      </c>
      <c r="K74" s="964"/>
      <c r="L74" s="964"/>
      <c r="M74" s="964"/>
      <c r="N74" s="964"/>
      <c r="O74" s="964"/>
      <c r="P74" s="964"/>
      <c r="Q74" s="964"/>
      <c r="R74" s="968">
        <f t="shared" si="39"/>
        <v>1</v>
      </c>
      <c r="S74" s="969">
        <f t="shared" si="73"/>
        <v>0</v>
      </c>
      <c r="U74" s="970">
        <f t="shared" si="40"/>
        <v>0</v>
      </c>
      <c r="V74" s="970">
        <f t="shared" si="41"/>
        <v>0</v>
      </c>
      <c r="W74" s="970">
        <f t="shared" si="42"/>
        <v>0</v>
      </c>
      <c r="X74" s="970">
        <f t="shared" si="43"/>
        <v>0</v>
      </c>
      <c r="Y74" s="970">
        <f t="shared" si="44"/>
        <v>0</v>
      </c>
      <c r="Z74" s="970">
        <f t="shared" si="45"/>
        <v>0</v>
      </c>
      <c r="AA74" s="970">
        <f t="shared" si="46"/>
        <v>0</v>
      </c>
      <c r="AB74" s="970">
        <f t="shared" si="47"/>
        <v>0</v>
      </c>
      <c r="AC74" s="168">
        <f t="shared" si="48"/>
        <v>0</v>
      </c>
      <c r="AD74" s="971">
        <f t="shared" si="74"/>
        <v>0</v>
      </c>
      <c r="AE74" s="136"/>
      <c r="AF74" s="970">
        <f t="shared" si="75"/>
        <v>0</v>
      </c>
      <c r="AG74" s="970">
        <f t="shared" si="76"/>
        <v>0</v>
      </c>
      <c r="AH74" s="970">
        <f t="shared" si="77"/>
        <v>0</v>
      </c>
      <c r="AI74" s="970">
        <f t="shared" si="78"/>
        <v>0</v>
      </c>
      <c r="AJ74" s="970">
        <f t="shared" si="79"/>
        <v>0</v>
      </c>
      <c r="AK74" s="970">
        <f t="shared" si="80"/>
        <v>0</v>
      </c>
      <c r="AL74" s="970">
        <f t="shared" si="81"/>
        <v>0</v>
      </c>
      <c r="AM74" s="970">
        <f t="shared" si="82"/>
        <v>0</v>
      </c>
      <c r="AN74" s="168">
        <f t="shared" si="49"/>
        <v>0</v>
      </c>
      <c r="AO74" s="971">
        <f t="shared" si="83"/>
        <v>0</v>
      </c>
      <c r="AQ74" s="964"/>
      <c r="AR74" s="964"/>
      <c r="AS74" s="964"/>
      <c r="AT74" s="964"/>
      <c r="AU74" s="964"/>
      <c r="AV74" s="964"/>
      <c r="AW74" s="964"/>
      <c r="AX74" s="964"/>
      <c r="AY74" s="968">
        <f t="shared" si="50"/>
        <v>0</v>
      </c>
      <c r="AZ74" s="969" t="str">
        <f t="shared" si="84"/>
        <v>bitte prüfen!</v>
      </c>
      <c r="BB74" s="970">
        <f t="shared" si="51"/>
        <v>0</v>
      </c>
      <c r="BC74" s="970">
        <f t="shared" si="52"/>
        <v>0</v>
      </c>
      <c r="BD74" s="970">
        <f t="shared" si="53"/>
        <v>0</v>
      </c>
      <c r="BE74" s="970">
        <f t="shared" si="54"/>
        <v>0</v>
      </c>
      <c r="BF74" s="970">
        <f t="shared" si="55"/>
        <v>0</v>
      </c>
      <c r="BG74" s="970">
        <f t="shared" si="56"/>
        <v>0</v>
      </c>
      <c r="BH74" s="970">
        <f t="shared" si="57"/>
        <v>0</v>
      </c>
      <c r="BI74" s="970">
        <f t="shared" si="58"/>
        <v>0</v>
      </c>
      <c r="BJ74" s="168">
        <f t="shared" si="59"/>
        <v>0</v>
      </c>
      <c r="BK74" s="971">
        <f t="shared" si="85"/>
        <v>0</v>
      </c>
    </row>
    <row r="75" spans="1:63" outlineLevel="1" x14ac:dyDescent="0.2">
      <c r="A75" s="101" t="str">
        <f>IF(Personalplanung!B75&lt;&gt;"",Personalplanung!B75,IF(Personalplanung!A75&lt;&gt;"",Personalplanung!A75,""))</f>
        <v/>
      </c>
      <c r="B75" s="168">
        <f>Personalplanung!AH75</f>
        <v>0</v>
      </c>
      <c r="C75" s="168">
        <f>Personalplanung!AI75</f>
        <v>0</v>
      </c>
      <c r="D75" s="170">
        <f t="shared" si="37"/>
        <v>0</v>
      </c>
      <c r="E75" s="960">
        <f>Personalplanung!AG75</f>
        <v>0</v>
      </c>
      <c r="F75" s="170"/>
      <c r="G75" s="961">
        <f>Personalplanung!AL75</f>
        <v>0</v>
      </c>
      <c r="H75" s="961">
        <f t="shared" si="38"/>
        <v>0</v>
      </c>
      <c r="I75" s="99"/>
      <c r="J75" s="964">
        <v>1</v>
      </c>
      <c r="K75" s="964"/>
      <c r="L75" s="964"/>
      <c r="M75" s="964"/>
      <c r="N75" s="964"/>
      <c r="O75" s="964"/>
      <c r="P75" s="964"/>
      <c r="Q75" s="964"/>
      <c r="R75" s="968">
        <f t="shared" si="39"/>
        <v>1</v>
      </c>
      <c r="S75" s="969">
        <f t="shared" si="73"/>
        <v>0</v>
      </c>
      <c r="U75" s="970">
        <f t="shared" si="40"/>
        <v>0</v>
      </c>
      <c r="V75" s="970">
        <f t="shared" si="41"/>
        <v>0</v>
      </c>
      <c r="W75" s="970">
        <f t="shared" si="42"/>
        <v>0</v>
      </c>
      <c r="X75" s="970">
        <f t="shared" si="43"/>
        <v>0</v>
      </c>
      <c r="Y75" s="970">
        <f t="shared" si="44"/>
        <v>0</v>
      </c>
      <c r="Z75" s="970">
        <f t="shared" si="45"/>
        <v>0</v>
      </c>
      <c r="AA75" s="970">
        <f t="shared" si="46"/>
        <v>0</v>
      </c>
      <c r="AB75" s="970">
        <f t="shared" si="47"/>
        <v>0</v>
      </c>
      <c r="AC75" s="168">
        <f t="shared" si="48"/>
        <v>0</v>
      </c>
      <c r="AD75" s="971">
        <f t="shared" si="74"/>
        <v>0</v>
      </c>
      <c r="AE75" s="136"/>
      <c r="AF75" s="970">
        <f t="shared" si="75"/>
        <v>0</v>
      </c>
      <c r="AG75" s="970">
        <f t="shared" si="76"/>
        <v>0</v>
      </c>
      <c r="AH75" s="970">
        <f t="shared" si="77"/>
        <v>0</v>
      </c>
      <c r="AI75" s="970">
        <f t="shared" si="78"/>
        <v>0</v>
      </c>
      <c r="AJ75" s="970">
        <f t="shared" si="79"/>
        <v>0</v>
      </c>
      <c r="AK75" s="970">
        <f t="shared" si="80"/>
        <v>0</v>
      </c>
      <c r="AL75" s="970">
        <f t="shared" si="81"/>
        <v>0</v>
      </c>
      <c r="AM75" s="970">
        <f t="shared" si="82"/>
        <v>0</v>
      </c>
      <c r="AN75" s="168">
        <f t="shared" si="49"/>
        <v>0</v>
      </c>
      <c r="AO75" s="971">
        <f t="shared" si="83"/>
        <v>0</v>
      </c>
      <c r="AQ75" s="964"/>
      <c r="AR75" s="964"/>
      <c r="AS75" s="964"/>
      <c r="AT75" s="964"/>
      <c r="AU75" s="964"/>
      <c r="AV75" s="964"/>
      <c r="AW75" s="964"/>
      <c r="AX75" s="964"/>
      <c r="AY75" s="968">
        <f t="shared" si="50"/>
        <v>0</v>
      </c>
      <c r="AZ75" s="969" t="str">
        <f t="shared" si="84"/>
        <v>bitte prüfen!</v>
      </c>
      <c r="BB75" s="970">
        <f t="shared" si="51"/>
        <v>0</v>
      </c>
      <c r="BC75" s="970">
        <f t="shared" si="52"/>
        <v>0</v>
      </c>
      <c r="BD75" s="970">
        <f t="shared" si="53"/>
        <v>0</v>
      </c>
      <c r="BE75" s="970">
        <f t="shared" si="54"/>
        <v>0</v>
      </c>
      <c r="BF75" s="970">
        <f t="shared" si="55"/>
        <v>0</v>
      </c>
      <c r="BG75" s="970">
        <f t="shared" si="56"/>
        <v>0</v>
      </c>
      <c r="BH75" s="970">
        <f t="shared" si="57"/>
        <v>0</v>
      </c>
      <c r="BI75" s="970">
        <f t="shared" si="58"/>
        <v>0</v>
      </c>
      <c r="BJ75" s="168">
        <f t="shared" si="59"/>
        <v>0</v>
      </c>
      <c r="BK75" s="971">
        <f t="shared" si="85"/>
        <v>0</v>
      </c>
    </row>
    <row r="76" spans="1:63" outlineLevel="1" x14ac:dyDescent="0.2">
      <c r="A76" s="101" t="str">
        <f>IF(Personalplanung!B76&lt;&gt;"",Personalplanung!B76,IF(Personalplanung!A76&lt;&gt;"",Personalplanung!A76,""))</f>
        <v/>
      </c>
      <c r="B76" s="168">
        <f>Personalplanung!AH76</f>
        <v>0</v>
      </c>
      <c r="C76" s="168">
        <f>Personalplanung!AI76</f>
        <v>0</v>
      </c>
      <c r="D76" s="170">
        <f t="shared" si="37"/>
        <v>0</v>
      </c>
      <c r="E76" s="960">
        <f>Personalplanung!AG76</f>
        <v>0</v>
      </c>
      <c r="F76" s="170"/>
      <c r="G76" s="961">
        <f>Personalplanung!AL76</f>
        <v>0</v>
      </c>
      <c r="H76" s="961">
        <f t="shared" si="38"/>
        <v>0</v>
      </c>
      <c r="I76" s="99"/>
      <c r="J76" s="964">
        <v>1</v>
      </c>
      <c r="K76" s="964"/>
      <c r="L76" s="964"/>
      <c r="M76" s="964"/>
      <c r="N76" s="964"/>
      <c r="O76" s="964"/>
      <c r="P76" s="964"/>
      <c r="Q76" s="964"/>
      <c r="R76" s="968">
        <f t="shared" si="39"/>
        <v>1</v>
      </c>
      <c r="S76" s="969">
        <f t="shared" si="73"/>
        <v>0</v>
      </c>
      <c r="U76" s="970">
        <f t="shared" si="40"/>
        <v>0</v>
      </c>
      <c r="V76" s="970">
        <f t="shared" si="41"/>
        <v>0</v>
      </c>
      <c r="W76" s="970">
        <f t="shared" si="42"/>
        <v>0</v>
      </c>
      <c r="X76" s="970">
        <f t="shared" si="43"/>
        <v>0</v>
      </c>
      <c r="Y76" s="970">
        <f t="shared" si="44"/>
        <v>0</v>
      </c>
      <c r="Z76" s="970">
        <f t="shared" si="45"/>
        <v>0</v>
      </c>
      <c r="AA76" s="970">
        <f t="shared" si="46"/>
        <v>0</v>
      </c>
      <c r="AB76" s="970">
        <f t="shared" si="47"/>
        <v>0</v>
      </c>
      <c r="AC76" s="168">
        <f t="shared" si="48"/>
        <v>0</v>
      </c>
      <c r="AD76" s="971">
        <f t="shared" si="74"/>
        <v>0</v>
      </c>
      <c r="AE76" s="136"/>
      <c r="AF76" s="970">
        <f t="shared" si="75"/>
        <v>0</v>
      </c>
      <c r="AG76" s="970">
        <f t="shared" si="76"/>
        <v>0</v>
      </c>
      <c r="AH76" s="970">
        <f t="shared" si="77"/>
        <v>0</v>
      </c>
      <c r="AI76" s="970">
        <f t="shared" si="78"/>
        <v>0</v>
      </c>
      <c r="AJ76" s="970">
        <f t="shared" si="79"/>
        <v>0</v>
      </c>
      <c r="AK76" s="970">
        <f t="shared" si="80"/>
        <v>0</v>
      </c>
      <c r="AL76" s="970">
        <f t="shared" si="81"/>
        <v>0</v>
      </c>
      <c r="AM76" s="970">
        <f t="shared" si="82"/>
        <v>0</v>
      </c>
      <c r="AN76" s="168">
        <f t="shared" si="49"/>
        <v>0</v>
      </c>
      <c r="AO76" s="971">
        <f t="shared" si="83"/>
        <v>0</v>
      </c>
      <c r="AQ76" s="964"/>
      <c r="AR76" s="964"/>
      <c r="AS76" s="964"/>
      <c r="AT76" s="964"/>
      <c r="AU76" s="964"/>
      <c r="AV76" s="964"/>
      <c r="AW76" s="964"/>
      <c r="AX76" s="964"/>
      <c r="AY76" s="968">
        <f t="shared" si="50"/>
        <v>0</v>
      </c>
      <c r="AZ76" s="969" t="str">
        <f t="shared" si="84"/>
        <v>bitte prüfen!</v>
      </c>
      <c r="BB76" s="970">
        <f t="shared" si="51"/>
        <v>0</v>
      </c>
      <c r="BC76" s="970">
        <f t="shared" si="52"/>
        <v>0</v>
      </c>
      <c r="BD76" s="970">
        <f t="shared" si="53"/>
        <v>0</v>
      </c>
      <c r="BE76" s="970">
        <f t="shared" si="54"/>
        <v>0</v>
      </c>
      <c r="BF76" s="970">
        <f t="shared" si="55"/>
        <v>0</v>
      </c>
      <c r="BG76" s="970">
        <f t="shared" si="56"/>
        <v>0</v>
      </c>
      <c r="BH76" s="970">
        <f t="shared" si="57"/>
        <v>0</v>
      </c>
      <c r="BI76" s="970">
        <f t="shared" si="58"/>
        <v>0</v>
      </c>
      <c r="BJ76" s="168">
        <f t="shared" si="59"/>
        <v>0</v>
      </c>
      <c r="BK76" s="971">
        <f t="shared" si="85"/>
        <v>0</v>
      </c>
    </row>
    <row r="77" spans="1:63" outlineLevel="1" x14ac:dyDescent="0.2">
      <c r="A77" s="101" t="str">
        <f>IF(Personalplanung!B77&lt;&gt;"",Personalplanung!B77,IF(Personalplanung!A77&lt;&gt;"",Personalplanung!A77,""))</f>
        <v/>
      </c>
      <c r="B77" s="168">
        <f>Personalplanung!AH77</f>
        <v>0</v>
      </c>
      <c r="C77" s="168">
        <f>Personalplanung!AI77</f>
        <v>0</v>
      </c>
      <c r="D77" s="170">
        <f t="shared" si="37"/>
        <v>0</v>
      </c>
      <c r="E77" s="960">
        <f>Personalplanung!AG77</f>
        <v>0</v>
      </c>
      <c r="F77" s="170"/>
      <c r="G77" s="961">
        <f>Personalplanung!AL77</f>
        <v>0</v>
      </c>
      <c r="H77" s="961">
        <f t="shared" si="38"/>
        <v>0</v>
      </c>
      <c r="I77" s="99"/>
      <c r="J77" s="964">
        <v>1</v>
      </c>
      <c r="K77" s="964"/>
      <c r="L77" s="964"/>
      <c r="M77" s="964"/>
      <c r="N77" s="964"/>
      <c r="O77" s="964"/>
      <c r="P77" s="964"/>
      <c r="Q77" s="964"/>
      <c r="R77" s="968">
        <f t="shared" si="39"/>
        <v>1</v>
      </c>
      <c r="S77" s="969">
        <f t="shared" si="73"/>
        <v>0</v>
      </c>
      <c r="U77" s="970">
        <f t="shared" si="40"/>
        <v>0</v>
      </c>
      <c r="V77" s="970">
        <f t="shared" si="41"/>
        <v>0</v>
      </c>
      <c r="W77" s="970">
        <f t="shared" si="42"/>
        <v>0</v>
      </c>
      <c r="X77" s="970">
        <f t="shared" si="43"/>
        <v>0</v>
      </c>
      <c r="Y77" s="970">
        <f t="shared" si="44"/>
        <v>0</v>
      </c>
      <c r="Z77" s="970">
        <f t="shared" si="45"/>
        <v>0</v>
      </c>
      <c r="AA77" s="970">
        <f t="shared" si="46"/>
        <v>0</v>
      </c>
      <c r="AB77" s="970">
        <f t="shared" si="47"/>
        <v>0</v>
      </c>
      <c r="AC77" s="168">
        <f t="shared" si="48"/>
        <v>0</v>
      </c>
      <c r="AD77" s="971">
        <f t="shared" si="74"/>
        <v>0</v>
      </c>
      <c r="AE77" s="136"/>
      <c r="AF77" s="970">
        <f t="shared" si="75"/>
        <v>0</v>
      </c>
      <c r="AG77" s="970">
        <f t="shared" si="76"/>
        <v>0</v>
      </c>
      <c r="AH77" s="970">
        <f t="shared" si="77"/>
        <v>0</v>
      </c>
      <c r="AI77" s="970">
        <f t="shared" si="78"/>
        <v>0</v>
      </c>
      <c r="AJ77" s="970">
        <f t="shared" si="79"/>
        <v>0</v>
      </c>
      <c r="AK77" s="970">
        <f t="shared" si="80"/>
        <v>0</v>
      </c>
      <c r="AL77" s="970">
        <f t="shared" si="81"/>
        <v>0</v>
      </c>
      <c r="AM77" s="970">
        <f t="shared" si="82"/>
        <v>0</v>
      </c>
      <c r="AN77" s="168">
        <f t="shared" si="49"/>
        <v>0</v>
      </c>
      <c r="AO77" s="971">
        <f t="shared" si="83"/>
        <v>0</v>
      </c>
      <c r="AQ77" s="964"/>
      <c r="AR77" s="964"/>
      <c r="AS77" s="964"/>
      <c r="AT77" s="964"/>
      <c r="AU77" s="964"/>
      <c r="AV77" s="964"/>
      <c r="AW77" s="964"/>
      <c r="AX77" s="964"/>
      <c r="AY77" s="968">
        <f t="shared" si="50"/>
        <v>0</v>
      </c>
      <c r="AZ77" s="969" t="str">
        <f t="shared" si="84"/>
        <v>bitte prüfen!</v>
      </c>
      <c r="BB77" s="970">
        <f t="shared" si="51"/>
        <v>0</v>
      </c>
      <c r="BC77" s="970">
        <f t="shared" si="52"/>
        <v>0</v>
      </c>
      <c r="BD77" s="970">
        <f t="shared" si="53"/>
        <v>0</v>
      </c>
      <c r="BE77" s="970">
        <f t="shared" si="54"/>
        <v>0</v>
      </c>
      <c r="BF77" s="970">
        <f t="shared" si="55"/>
        <v>0</v>
      </c>
      <c r="BG77" s="970">
        <f t="shared" si="56"/>
        <v>0</v>
      </c>
      <c r="BH77" s="970">
        <f t="shared" si="57"/>
        <v>0</v>
      </c>
      <c r="BI77" s="970">
        <f t="shared" si="58"/>
        <v>0</v>
      </c>
      <c r="BJ77" s="168">
        <f t="shared" si="59"/>
        <v>0</v>
      </c>
      <c r="BK77" s="971">
        <f t="shared" si="85"/>
        <v>0</v>
      </c>
    </row>
    <row r="78" spans="1:63" outlineLevel="1" x14ac:dyDescent="0.2">
      <c r="A78" s="101" t="str">
        <f>IF(Personalplanung!B78&lt;&gt;"",Personalplanung!B78,IF(Personalplanung!A78&lt;&gt;"",Personalplanung!A78,""))</f>
        <v/>
      </c>
      <c r="B78" s="168">
        <f>Personalplanung!AH78</f>
        <v>0</v>
      </c>
      <c r="C78" s="168">
        <f>Personalplanung!AI78</f>
        <v>0</v>
      </c>
      <c r="D78" s="170">
        <f t="shared" si="37"/>
        <v>0</v>
      </c>
      <c r="E78" s="960">
        <f>Personalplanung!AG78</f>
        <v>0</v>
      </c>
      <c r="F78" s="170"/>
      <c r="G78" s="961">
        <f>Personalplanung!AL78</f>
        <v>0</v>
      </c>
      <c r="H78" s="961">
        <f t="shared" si="38"/>
        <v>0</v>
      </c>
      <c r="I78" s="99"/>
      <c r="J78" s="964">
        <v>1</v>
      </c>
      <c r="K78" s="964"/>
      <c r="L78" s="964"/>
      <c r="M78" s="964"/>
      <c r="N78" s="964"/>
      <c r="O78" s="964"/>
      <c r="P78" s="964"/>
      <c r="Q78" s="964"/>
      <c r="R78" s="968">
        <f t="shared" si="39"/>
        <v>1</v>
      </c>
      <c r="S78" s="969">
        <f t="shared" si="73"/>
        <v>0</v>
      </c>
      <c r="U78" s="970">
        <f t="shared" si="40"/>
        <v>0</v>
      </c>
      <c r="V78" s="970">
        <f t="shared" si="41"/>
        <v>0</v>
      </c>
      <c r="W78" s="970">
        <f t="shared" si="42"/>
        <v>0</v>
      </c>
      <c r="X78" s="970">
        <f t="shared" si="43"/>
        <v>0</v>
      </c>
      <c r="Y78" s="970">
        <f t="shared" si="44"/>
        <v>0</v>
      </c>
      <c r="Z78" s="970">
        <f t="shared" si="45"/>
        <v>0</v>
      </c>
      <c r="AA78" s="970">
        <f t="shared" si="46"/>
        <v>0</v>
      </c>
      <c r="AB78" s="970">
        <f t="shared" si="47"/>
        <v>0</v>
      </c>
      <c r="AC78" s="168">
        <f t="shared" si="48"/>
        <v>0</v>
      </c>
      <c r="AD78" s="971">
        <f t="shared" si="74"/>
        <v>0</v>
      </c>
      <c r="AE78" s="136"/>
      <c r="AF78" s="970">
        <f t="shared" si="75"/>
        <v>0</v>
      </c>
      <c r="AG78" s="970">
        <f t="shared" si="76"/>
        <v>0</v>
      </c>
      <c r="AH78" s="970">
        <f t="shared" si="77"/>
        <v>0</v>
      </c>
      <c r="AI78" s="970">
        <f t="shared" si="78"/>
        <v>0</v>
      </c>
      <c r="AJ78" s="970">
        <f t="shared" si="79"/>
        <v>0</v>
      </c>
      <c r="AK78" s="970">
        <f t="shared" si="80"/>
        <v>0</v>
      </c>
      <c r="AL78" s="970">
        <f t="shared" si="81"/>
        <v>0</v>
      </c>
      <c r="AM78" s="970">
        <f t="shared" si="82"/>
        <v>0</v>
      </c>
      <c r="AN78" s="168">
        <f t="shared" si="49"/>
        <v>0</v>
      </c>
      <c r="AO78" s="971">
        <f t="shared" si="83"/>
        <v>0</v>
      </c>
      <c r="AQ78" s="964"/>
      <c r="AR78" s="964"/>
      <c r="AS78" s="964"/>
      <c r="AT78" s="964"/>
      <c r="AU78" s="964"/>
      <c r="AV78" s="964"/>
      <c r="AW78" s="964"/>
      <c r="AX78" s="964"/>
      <c r="AY78" s="968">
        <f t="shared" si="50"/>
        <v>0</v>
      </c>
      <c r="AZ78" s="969" t="str">
        <f t="shared" si="84"/>
        <v>bitte prüfen!</v>
      </c>
      <c r="BB78" s="970">
        <f t="shared" si="51"/>
        <v>0</v>
      </c>
      <c r="BC78" s="970">
        <f t="shared" si="52"/>
        <v>0</v>
      </c>
      <c r="BD78" s="970">
        <f t="shared" si="53"/>
        <v>0</v>
      </c>
      <c r="BE78" s="970">
        <f t="shared" si="54"/>
        <v>0</v>
      </c>
      <c r="BF78" s="970">
        <f t="shared" si="55"/>
        <v>0</v>
      </c>
      <c r="BG78" s="970">
        <f t="shared" si="56"/>
        <v>0</v>
      </c>
      <c r="BH78" s="970">
        <f t="shared" si="57"/>
        <v>0</v>
      </c>
      <c r="BI78" s="970">
        <f t="shared" si="58"/>
        <v>0</v>
      </c>
      <c r="BJ78" s="168">
        <f t="shared" si="59"/>
        <v>0</v>
      </c>
      <c r="BK78" s="971">
        <f t="shared" si="85"/>
        <v>0</v>
      </c>
    </row>
    <row r="79" spans="1:63" outlineLevel="1" x14ac:dyDescent="0.2">
      <c r="A79" s="101" t="str">
        <f>IF(Personalplanung!B79&lt;&gt;"",Personalplanung!B79,IF(Personalplanung!A79&lt;&gt;"",Personalplanung!A79,""))</f>
        <v/>
      </c>
      <c r="B79" s="168">
        <f>Personalplanung!AH79</f>
        <v>0</v>
      </c>
      <c r="C79" s="168">
        <f>Personalplanung!AI79</f>
        <v>0</v>
      </c>
      <c r="D79" s="170">
        <f t="shared" si="37"/>
        <v>0</v>
      </c>
      <c r="E79" s="960">
        <f>Personalplanung!AG79</f>
        <v>0</v>
      </c>
      <c r="F79" s="170"/>
      <c r="G79" s="961">
        <f>Personalplanung!AL79</f>
        <v>0</v>
      </c>
      <c r="H79" s="961">
        <f t="shared" si="38"/>
        <v>0</v>
      </c>
      <c r="I79" s="99"/>
      <c r="J79" s="964">
        <v>1</v>
      </c>
      <c r="K79" s="964"/>
      <c r="L79" s="964"/>
      <c r="M79" s="964"/>
      <c r="N79" s="964"/>
      <c r="O79" s="964"/>
      <c r="P79" s="964"/>
      <c r="Q79" s="964"/>
      <c r="R79" s="968">
        <f t="shared" si="39"/>
        <v>1</v>
      </c>
      <c r="S79" s="969">
        <f t="shared" si="73"/>
        <v>0</v>
      </c>
      <c r="U79" s="970">
        <f t="shared" si="40"/>
        <v>0</v>
      </c>
      <c r="V79" s="970">
        <f t="shared" si="41"/>
        <v>0</v>
      </c>
      <c r="W79" s="970">
        <f t="shared" si="42"/>
        <v>0</v>
      </c>
      <c r="X79" s="970">
        <f t="shared" si="43"/>
        <v>0</v>
      </c>
      <c r="Y79" s="970">
        <f t="shared" si="44"/>
        <v>0</v>
      </c>
      <c r="Z79" s="970">
        <f t="shared" si="45"/>
        <v>0</v>
      </c>
      <c r="AA79" s="970">
        <f t="shared" si="46"/>
        <v>0</v>
      </c>
      <c r="AB79" s="970">
        <f t="shared" si="47"/>
        <v>0</v>
      </c>
      <c r="AC79" s="168">
        <f t="shared" si="48"/>
        <v>0</v>
      </c>
      <c r="AD79" s="971">
        <f t="shared" si="74"/>
        <v>0</v>
      </c>
      <c r="AE79" s="136"/>
      <c r="AF79" s="970">
        <f t="shared" si="75"/>
        <v>0</v>
      </c>
      <c r="AG79" s="970">
        <f t="shared" si="76"/>
        <v>0</v>
      </c>
      <c r="AH79" s="970">
        <f t="shared" si="77"/>
        <v>0</v>
      </c>
      <c r="AI79" s="970">
        <f t="shared" si="78"/>
        <v>0</v>
      </c>
      <c r="AJ79" s="970">
        <f t="shared" si="79"/>
        <v>0</v>
      </c>
      <c r="AK79" s="970">
        <f t="shared" si="80"/>
        <v>0</v>
      </c>
      <c r="AL79" s="970">
        <f t="shared" si="81"/>
        <v>0</v>
      </c>
      <c r="AM79" s="970">
        <f t="shared" si="82"/>
        <v>0</v>
      </c>
      <c r="AN79" s="168">
        <f t="shared" si="49"/>
        <v>0</v>
      </c>
      <c r="AO79" s="971">
        <f t="shared" si="83"/>
        <v>0</v>
      </c>
      <c r="AQ79" s="964"/>
      <c r="AR79" s="964"/>
      <c r="AS79" s="964"/>
      <c r="AT79" s="964"/>
      <c r="AU79" s="964"/>
      <c r="AV79" s="964"/>
      <c r="AW79" s="964"/>
      <c r="AX79" s="964"/>
      <c r="AY79" s="968">
        <f t="shared" si="50"/>
        <v>0</v>
      </c>
      <c r="AZ79" s="969" t="str">
        <f t="shared" si="84"/>
        <v>bitte prüfen!</v>
      </c>
      <c r="BB79" s="970">
        <f t="shared" si="51"/>
        <v>0</v>
      </c>
      <c r="BC79" s="970">
        <f t="shared" si="52"/>
        <v>0</v>
      </c>
      <c r="BD79" s="970">
        <f t="shared" si="53"/>
        <v>0</v>
      </c>
      <c r="BE79" s="970">
        <f t="shared" si="54"/>
        <v>0</v>
      </c>
      <c r="BF79" s="970">
        <f t="shared" si="55"/>
        <v>0</v>
      </c>
      <c r="BG79" s="970">
        <f t="shared" si="56"/>
        <v>0</v>
      </c>
      <c r="BH79" s="970">
        <f t="shared" si="57"/>
        <v>0</v>
      </c>
      <c r="BI79" s="970">
        <f t="shared" si="58"/>
        <v>0</v>
      </c>
      <c r="BJ79" s="168">
        <f t="shared" si="59"/>
        <v>0</v>
      </c>
      <c r="BK79" s="971">
        <f t="shared" si="85"/>
        <v>0</v>
      </c>
    </row>
    <row r="80" spans="1:63" outlineLevel="1" x14ac:dyDescent="0.2">
      <c r="A80" s="101" t="str">
        <f>IF(Personalplanung!B80&lt;&gt;"",Personalplanung!B80,IF(Personalplanung!A80&lt;&gt;"",Personalplanung!A80,""))</f>
        <v/>
      </c>
      <c r="B80" s="168">
        <f>Personalplanung!AH80</f>
        <v>0</v>
      </c>
      <c r="C80" s="168">
        <f>Personalplanung!AI80</f>
        <v>0</v>
      </c>
      <c r="D80" s="170">
        <f t="shared" si="37"/>
        <v>0</v>
      </c>
      <c r="E80" s="960">
        <f>Personalplanung!AG80</f>
        <v>0</v>
      </c>
      <c r="F80" s="170"/>
      <c r="G80" s="961">
        <f>Personalplanung!AL80</f>
        <v>0</v>
      </c>
      <c r="H80" s="961">
        <f t="shared" si="38"/>
        <v>0</v>
      </c>
      <c r="I80" s="99"/>
      <c r="J80" s="964">
        <v>1</v>
      </c>
      <c r="K80" s="964"/>
      <c r="L80" s="964"/>
      <c r="M80" s="964"/>
      <c r="N80" s="964"/>
      <c r="O80" s="964"/>
      <c r="P80" s="964"/>
      <c r="Q80" s="964"/>
      <c r="R80" s="968">
        <f t="shared" si="39"/>
        <v>1</v>
      </c>
      <c r="S80" s="969">
        <f t="shared" si="73"/>
        <v>0</v>
      </c>
      <c r="U80" s="970">
        <f t="shared" si="40"/>
        <v>0</v>
      </c>
      <c r="V80" s="970">
        <f t="shared" si="41"/>
        <v>0</v>
      </c>
      <c r="W80" s="970">
        <f t="shared" si="42"/>
        <v>0</v>
      </c>
      <c r="X80" s="970">
        <f t="shared" si="43"/>
        <v>0</v>
      </c>
      <c r="Y80" s="970">
        <f t="shared" si="44"/>
        <v>0</v>
      </c>
      <c r="Z80" s="970">
        <f t="shared" si="45"/>
        <v>0</v>
      </c>
      <c r="AA80" s="970">
        <f t="shared" si="46"/>
        <v>0</v>
      </c>
      <c r="AB80" s="970">
        <f t="shared" si="47"/>
        <v>0</v>
      </c>
      <c r="AC80" s="168">
        <f t="shared" si="48"/>
        <v>0</v>
      </c>
      <c r="AD80" s="971">
        <f t="shared" si="74"/>
        <v>0</v>
      </c>
      <c r="AE80" s="136"/>
      <c r="AF80" s="970">
        <f t="shared" si="75"/>
        <v>0</v>
      </c>
      <c r="AG80" s="970">
        <f t="shared" si="76"/>
        <v>0</v>
      </c>
      <c r="AH80" s="970">
        <f t="shared" si="77"/>
        <v>0</v>
      </c>
      <c r="AI80" s="970">
        <f t="shared" si="78"/>
        <v>0</v>
      </c>
      <c r="AJ80" s="970">
        <f t="shared" si="79"/>
        <v>0</v>
      </c>
      <c r="AK80" s="970">
        <f t="shared" si="80"/>
        <v>0</v>
      </c>
      <c r="AL80" s="970">
        <f t="shared" si="81"/>
        <v>0</v>
      </c>
      <c r="AM80" s="970">
        <f t="shared" si="82"/>
        <v>0</v>
      </c>
      <c r="AN80" s="168">
        <f t="shared" si="49"/>
        <v>0</v>
      </c>
      <c r="AO80" s="971">
        <f t="shared" si="83"/>
        <v>0</v>
      </c>
      <c r="AQ80" s="964"/>
      <c r="AR80" s="964"/>
      <c r="AS80" s="964"/>
      <c r="AT80" s="964"/>
      <c r="AU80" s="964"/>
      <c r="AV80" s="964"/>
      <c r="AW80" s="964"/>
      <c r="AX80" s="964"/>
      <c r="AY80" s="968">
        <f t="shared" si="50"/>
        <v>0</v>
      </c>
      <c r="AZ80" s="969" t="str">
        <f t="shared" si="84"/>
        <v>bitte prüfen!</v>
      </c>
      <c r="BB80" s="970">
        <f t="shared" si="51"/>
        <v>0</v>
      </c>
      <c r="BC80" s="970">
        <f t="shared" si="52"/>
        <v>0</v>
      </c>
      <c r="BD80" s="970">
        <f t="shared" si="53"/>
        <v>0</v>
      </c>
      <c r="BE80" s="970">
        <f t="shared" si="54"/>
        <v>0</v>
      </c>
      <c r="BF80" s="970">
        <f t="shared" si="55"/>
        <v>0</v>
      </c>
      <c r="BG80" s="970">
        <f t="shared" si="56"/>
        <v>0</v>
      </c>
      <c r="BH80" s="970">
        <f t="shared" si="57"/>
        <v>0</v>
      </c>
      <c r="BI80" s="970">
        <f t="shared" si="58"/>
        <v>0</v>
      </c>
      <c r="BJ80" s="168">
        <f t="shared" si="59"/>
        <v>0</v>
      </c>
      <c r="BK80" s="971">
        <f t="shared" si="85"/>
        <v>0</v>
      </c>
    </row>
    <row r="81" spans="1:63" outlineLevel="1" x14ac:dyDescent="0.2">
      <c r="A81" s="101" t="str">
        <f>IF(Personalplanung!B81&lt;&gt;"",Personalplanung!B81,IF(Personalplanung!A81&lt;&gt;"",Personalplanung!A81,""))</f>
        <v/>
      </c>
      <c r="B81" s="168">
        <f>Personalplanung!AH81</f>
        <v>0</v>
      </c>
      <c r="C81" s="168">
        <f>Personalplanung!AI81</f>
        <v>0</v>
      </c>
      <c r="D81" s="170">
        <f t="shared" si="37"/>
        <v>0</v>
      </c>
      <c r="E81" s="960">
        <f>Personalplanung!AG81</f>
        <v>0</v>
      </c>
      <c r="F81" s="170"/>
      <c r="G81" s="961">
        <f>Personalplanung!AL81</f>
        <v>0</v>
      </c>
      <c r="H81" s="961">
        <f t="shared" si="38"/>
        <v>0</v>
      </c>
      <c r="I81" s="99"/>
      <c r="J81" s="964">
        <v>1</v>
      </c>
      <c r="K81" s="964"/>
      <c r="L81" s="964"/>
      <c r="M81" s="964"/>
      <c r="N81" s="964"/>
      <c r="O81" s="964"/>
      <c r="P81" s="964"/>
      <c r="Q81" s="964"/>
      <c r="R81" s="968">
        <f t="shared" si="39"/>
        <v>1</v>
      </c>
      <c r="S81" s="969">
        <f t="shared" si="73"/>
        <v>0</v>
      </c>
      <c r="U81" s="970">
        <f t="shared" si="40"/>
        <v>0</v>
      </c>
      <c r="V81" s="970">
        <f t="shared" si="41"/>
        <v>0</v>
      </c>
      <c r="W81" s="970">
        <f t="shared" si="42"/>
        <v>0</v>
      </c>
      <c r="X81" s="970">
        <f t="shared" si="43"/>
        <v>0</v>
      </c>
      <c r="Y81" s="970">
        <f t="shared" si="44"/>
        <v>0</v>
      </c>
      <c r="Z81" s="970">
        <f t="shared" si="45"/>
        <v>0</v>
      </c>
      <c r="AA81" s="970">
        <f t="shared" si="46"/>
        <v>0</v>
      </c>
      <c r="AB81" s="970">
        <f t="shared" si="47"/>
        <v>0</v>
      </c>
      <c r="AC81" s="168">
        <f t="shared" si="48"/>
        <v>0</v>
      </c>
      <c r="AD81" s="971">
        <f t="shared" si="74"/>
        <v>0</v>
      </c>
      <c r="AE81" s="136"/>
      <c r="AF81" s="970">
        <f t="shared" si="75"/>
        <v>0</v>
      </c>
      <c r="AG81" s="970">
        <f t="shared" si="76"/>
        <v>0</v>
      </c>
      <c r="AH81" s="970">
        <f t="shared" si="77"/>
        <v>0</v>
      </c>
      <c r="AI81" s="970">
        <f t="shared" si="78"/>
        <v>0</v>
      </c>
      <c r="AJ81" s="970">
        <f t="shared" si="79"/>
        <v>0</v>
      </c>
      <c r="AK81" s="970">
        <f t="shared" si="80"/>
        <v>0</v>
      </c>
      <c r="AL81" s="970">
        <f t="shared" si="81"/>
        <v>0</v>
      </c>
      <c r="AM81" s="970">
        <f t="shared" si="82"/>
        <v>0</v>
      </c>
      <c r="AN81" s="168">
        <f t="shared" si="49"/>
        <v>0</v>
      </c>
      <c r="AO81" s="971">
        <f t="shared" si="83"/>
        <v>0</v>
      </c>
      <c r="AQ81" s="964"/>
      <c r="AR81" s="964"/>
      <c r="AS81" s="964"/>
      <c r="AT81" s="964"/>
      <c r="AU81" s="964"/>
      <c r="AV81" s="964"/>
      <c r="AW81" s="964"/>
      <c r="AX81" s="964"/>
      <c r="AY81" s="968">
        <f t="shared" si="50"/>
        <v>0</v>
      </c>
      <c r="AZ81" s="969" t="str">
        <f t="shared" si="84"/>
        <v>bitte prüfen!</v>
      </c>
      <c r="BB81" s="970">
        <f t="shared" si="51"/>
        <v>0</v>
      </c>
      <c r="BC81" s="970">
        <f t="shared" si="52"/>
        <v>0</v>
      </c>
      <c r="BD81" s="970">
        <f t="shared" si="53"/>
        <v>0</v>
      </c>
      <c r="BE81" s="970">
        <f t="shared" si="54"/>
        <v>0</v>
      </c>
      <c r="BF81" s="970">
        <f t="shared" si="55"/>
        <v>0</v>
      </c>
      <c r="BG81" s="970">
        <f t="shared" si="56"/>
        <v>0</v>
      </c>
      <c r="BH81" s="970">
        <f t="shared" si="57"/>
        <v>0</v>
      </c>
      <c r="BI81" s="970">
        <f t="shared" si="58"/>
        <v>0</v>
      </c>
      <c r="BJ81" s="168">
        <f t="shared" si="59"/>
        <v>0</v>
      </c>
      <c r="BK81" s="971">
        <f t="shared" si="85"/>
        <v>0</v>
      </c>
    </row>
    <row r="82" spans="1:63" outlineLevel="1" x14ac:dyDescent="0.2">
      <c r="A82" s="101" t="str">
        <f>IF(Personalplanung!B82&lt;&gt;"",Personalplanung!B82,IF(Personalplanung!A82&lt;&gt;"",Personalplanung!A82,""))</f>
        <v/>
      </c>
      <c r="B82" s="168">
        <f>Personalplanung!AH82</f>
        <v>0</v>
      </c>
      <c r="C82" s="168">
        <f>Personalplanung!AI82</f>
        <v>0</v>
      </c>
      <c r="D82" s="170">
        <f t="shared" si="37"/>
        <v>0</v>
      </c>
      <c r="E82" s="960">
        <f>Personalplanung!AG82</f>
        <v>0</v>
      </c>
      <c r="F82" s="170"/>
      <c r="G82" s="961">
        <f>Personalplanung!AL82</f>
        <v>0</v>
      </c>
      <c r="H82" s="961">
        <f t="shared" si="38"/>
        <v>0</v>
      </c>
      <c r="I82" s="99"/>
      <c r="J82" s="964">
        <v>1</v>
      </c>
      <c r="K82" s="964"/>
      <c r="L82" s="964"/>
      <c r="M82" s="964"/>
      <c r="N82" s="964"/>
      <c r="O82" s="964"/>
      <c r="P82" s="964"/>
      <c r="Q82" s="964"/>
      <c r="R82" s="968">
        <f t="shared" si="39"/>
        <v>1</v>
      </c>
      <c r="S82" s="969">
        <f t="shared" si="73"/>
        <v>0</v>
      </c>
      <c r="U82" s="970">
        <f t="shared" si="40"/>
        <v>0</v>
      </c>
      <c r="V82" s="970">
        <f t="shared" si="41"/>
        <v>0</v>
      </c>
      <c r="W82" s="970">
        <f t="shared" si="42"/>
        <v>0</v>
      </c>
      <c r="X82" s="970">
        <f t="shared" si="43"/>
        <v>0</v>
      </c>
      <c r="Y82" s="970">
        <f t="shared" si="44"/>
        <v>0</v>
      </c>
      <c r="Z82" s="970">
        <f t="shared" si="45"/>
        <v>0</v>
      </c>
      <c r="AA82" s="970">
        <f t="shared" si="46"/>
        <v>0</v>
      </c>
      <c r="AB82" s="970">
        <f t="shared" si="47"/>
        <v>0</v>
      </c>
      <c r="AC82" s="168">
        <f t="shared" si="48"/>
        <v>0</v>
      </c>
      <c r="AD82" s="971">
        <f t="shared" si="74"/>
        <v>0</v>
      </c>
      <c r="AE82" s="136"/>
      <c r="AF82" s="970">
        <f t="shared" si="75"/>
        <v>0</v>
      </c>
      <c r="AG82" s="970">
        <f t="shared" si="76"/>
        <v>0</v>
      </c>
      <c r="AH82" s="970">
        <f t="shared" si="77"/>
        <v>0</v>
      </c>
      <c r="AI82" s="970">
        <f t="shared" si="78"/>
        <v>0</v>
      </c>
      <c r="AJ82" s="970">
        <f t="shared" si="79"/>
        <v>0</v>
      </c>
      <c r="AK82" s="970">
        <f t="shared" si="80"/>
        <v>0</v>
      </c>
      <c r="AL82" s="970">
        <f t="shared" si="81"/>
        <v>0</v>
      </c>
      <c r="AM82" s="970">
        <f t="shared" si="82"/>
        <v>0</v>
      </c>
      <c r="AN82" s="168">
        <f t="shared" si="49"/>
        <v>0</v>
      </c>
      <c r="AO82" s="971">
        <f t="shared" si="83"/>
        <v>0</v>
      </c>
      <c r="AQ82" s="964"/>
      <c r="AR82" s="964"/>
      <c r="AS82" s="964"/>
      <c r="AT82" s="964"/>
      <c r="AU82" s="964"/>
      <c r="AV82" s="964"/>
      <c r="AW82" s="964"/>
      <c r="AX82" s="964"/>
      <c r="AY82" s="968">
        <f t="shared" si="50"/>
        <v>0</v>
      </c>
      <c r="AZ82" s="969" t="str">
        <f t="shared" si="84"/>
        <v>bitte prüfen!</v>
      </c>
      <c r="BB82" s="970">
        <f t="shared" si="51"/>
        <v>0</v>
      </c>
      <c r="BC82" s="970">
        <f t="shared" si="52"/>
        <v>0</v>
      </c>
      <c r="BD82" s="970">
        <f t="shared" si="53"/>
        <v>0</v>
      </c>
      <c r="BE82" s="970">
        <f t="shared" si="54"/>
        <v>0</v>
      </c>
      <c r="BF82" s="970">
        <f t="shared" si="55"/>
        <v>0</v>
      </c>
      <c r="BG82" s="970">
        <f t="shared" si="56"/>
        <v>0</v>
      </c>
      <c r="BH82" s="970">
        <f t="shared" si="57"/>
        <v>0</v>
      </c>
      <c r="BI82" s="970">
        <f t="shared" si="58"/>
        <v>0</v>
      </c>
      <c r="BJ82" s="168">
        <f t="shared" si="59"/>
        <v>0</v>
      </c>
      <c r="BK82" s="971">
        <f t="shared" si="85"/>
        <v>0</v>
      </c>
    </row>
    <row r="83" spans="1:63" outlineLevel="1" x14ac:dyDescent="0.2">
      <c r="A83" s="101" t="str">
        <f>IF(Personalplanung!B83&lt;&gt;"",Personalplanung!B83,IF(Personalplanung!A83&lt;&gt;"",Personalplanung!A83,""))</f>
        <v/>
      </c>
      <c r="B83" s="168">
        <f>Personalplanung!AH83</f>
        <v>0</v>
      </c>
      <c r="C83" s="168">
        <f>Personalplanung!AI83</f>
        <v>0</v>
      </c>
      <c r="D83" s="170">
        <f t="shared" si="37"/>
        <v>0</v>
      </c>
      <c r="E83" s="960">
        <f>Personalplanung!AG83</f>
        <v>0</v>
      </c>
      <c r="F83" s="170"/>
      <c r="G83" s="961">
        <f>Personalplanung!AL83</f>
        <v>0</v>
      </c>
      <c r="H83" s="961">
        <f t="shared" si="38"/>
        <v>0</v>
      </c>
      <c r="I83" s="99"/>
      <c r="J83" s="964">
        <v>1</v>
      </c>
      <c r="K83" s="964"/>
      <c r="L83" s="964"/>
      <c r="M83" s="964"/>
      <c r="N83" s="964"/>
      <c r="O83" s="964"/>
      <c r="P83" s="964"/>
      <c r="Q83" s="964"/>
      <c r="R83" s="968">
        <f t="shared" si="39"/>
        <v>1</v>
      </c>
      <c r="S83" s="969">
        <f t="shared" si="73"/>
        <v>0</v>
      </c>
      <c r="U83" s="970">
        <f t="shared" si="40"/>
        <v>0</v>
      </c>
      <c r="V83" s="970">
        <f t="shared" si="41"/>
        <v>0</v>
      </c>
      <c r="W83" s="970">
        <f t="shared" si="42"/>
        <v>0</v>
      </c>
      <c r="X83" s="970">
        <f t="shared" si="43"/>
        <v>0</v>
      </c>
      <c r="Y83" s="970">
        <f t="shared" si="44"/>
        <v>0</v>
      </c>
      <c r="Z83" s="970">
        <f t="shared" si="45"/>
        <v>0</v>
      </c>
      <c r="AA83" s="970">
        <f t="shared" si="46"/>
        <v>0</v>
      </c>
      <c r="AB83" s="970">
        <f t="shared" si="47"/>
        <v>0</v>
      </c>
      <c r="AC83" s="168">
        <f t="shared" si="48"/>
        <v>0</v>
      </c>
      <c r="AD83" s="971">
        <f t="shared" si="74"/>
        <v>0</v>
      </c>
      <c r="AE83" s="136"/>
      <c r="AF83" s="970">
        <f t="shared" si="75"/>
        <v>0</v>
      </c>
      <c r="AG83" s="970">
        <f t="shared" si="76"/>
        <v>0</v>
      </c>
      <c r="AH83" s="970">
        <f t="shared" si="77"/>
        <v>0</v>
      </c>
      <c r="AI83" s="970">
        <f t="shared" si="78"/>
        <v>0</v>
      </c>
      <c r="AJ83" s="970">
        <f t="shared" si="79"/>
        <v>0</v>
      </c>
      <c r="AK83" s="970">
        <f t="shared" si="80"/>
        <v>0</v>
      </c>
      <c r="AL83" s="970">
        <f t="shared" si="81"/>
        <v>0</v>
      </c>
      <c r="AM83" s="970">
        <f t="shared" si="82"/>
        <v>0</v>
      </c>
      <c r="AN83" s="168">
        <f t="shared" si="49"/>
        <v>0</v>
      </c>
      <c r="AO83" s="971">
        <f t="shared" si="83"/>
        <v>0</v>
      </c>
      <c r="AQ83" s="964"/>
      <c r="AR83" s="964"/>
      <c r="AS83" s="964"/>
      <c r="AT83" s="964"/>
      <c r="AU83" s="964"/>
      <c r="AV83" s="964"/>
      <c r="AW83" s="964"/>
      <c r="AX83" s="964"/>
      <c r="AY83" s="968">
        <f t="shared" si="50"/>
        <v>0</v>
      </c>
      <c r="AZ83" s="969" t="str">
        <f t="shared" si="84"/>
        <v>bitte prüfen!</v>
      </c>
      <c r="BB83" s="970">
        <f t="shared" si="51"/>
        <v>0</v>
      </c>
      <c r="BC83" s="970">
        <f t="shared" si="52"/>
        <v>0</v>
      </c>
      <c r="BD83" s="970">
        <f t="shared" si="53"/>
        <v>0</v>
      </c>
      <c r="BE83" s="970">
        <f t="shared" si="54"/>
        <v>0</v>
      </c>
      <c r="BF83" s="970">
        <f t="shared" si="55"/>
        <v>0</v>
      </c>
      <c r="BG83" s="970">
        <f t="shared" si="56"/>
        <v>0</v>
      </c>
      <c r="BH83" s="970">
        <f t="shared" si="57"/>
        <v>0</v>
      </c>
      <c r="BI83" s="970">
        <f t="shared" si="58"/>
        <v>0</v>
      </c>
      <c r="BJ83" s="168">
        <f t="shared" si="59"/>
        <v>0</v>
      </c>
      <c r="BK83" s="971">
        <f t="shared" si="85"/>
        <v>0</v>
      </c>
    </row>
    <row r="84" spans="1:63" outlineLevel="1" x14ac:dyDescent="0.2">
      <c r="A84" s="101" t="str">
        <f>IF(Personalplanung!B84&lt;&gt;"",Personalplanung!B84,IF(Personalplanung!A84&lt;&gt;"",Personalplanung!A84,""))</f>
        <v/>
      </c>
      <c r="B84" s="168">
        <f>Personalplanung!AH84</f>
        <v>0</v>
      </c>
      <c r="C84" s="168">
        <f>Personalplanung!AI84</f>
        <v>0</v>
      </c>
      <c r="D84" s="170">
        <f t="shared" si="37"/>
        <v>0</v>
      </c>
      <c r="E84" s="960">
        <f>Personalplanung!AG84</f>
        <v>0</v>
      </c>
      <c r="F84" s="170"/>
      <c r="G84" s="961">
        <f>Personalplanung!AL84</f>
        <v>0</v>
      </c>
      <c r="H84" s="961">
        <f t="shared" si="38"/>
        <v>0</v>
      </c>
      <c r="I84" s="99"/>
      <c r="J84" s="964">
        <v>1</v>
      </c>
      <c r="K84" s="964"/>
      <c r="L84" s="964"/>
      <c r="M84" s="964"/>
      <c r="N84" s="964"/>
      <c r="O84" s="964"/>
      <c r="P84" s="964"/>
      <c r="Q84" s="964"/>
      <c r="R84" s="968">
        <f t="shared" si="39"/>
        <v>1</v>
      </c>
      <c r="S84" s="969">
        <f t="shared" si="73"/>
        <v>0</v>
      </c>
      <c r="U84" s="970">
        <f t="shared" si="40"/>
        <v>0</v>
      </c>
      <c r="V84" s="970">
        <f t="shared" si="41"/>
        <v>0</v>
      </c>
      <c r="W84" s="970">
        <f t="shared" si="42"/>
        <v>0</v>
      </c>
      <c r="X84" s="970">
        <f t="shared" si="43"/>
        <v>0</v>
      </c>
      <c r="Y84" s="970">
        <f t="shared" si="44"/>
        <v>0</v>
      </c>
      <c r="Z84" s="970">
        <f t="shared" si="45"/>
        <v>0</v>
      </c>
      <c r="AA84" s="970">
        <f t="shared" si="46"/>
        <v>0</v>
      </c>
      <c r="AB84" s="970">
        <f t="shared" si="47"/>
        <v>0</v>
      </c>
      <c r="AC84" s="168">
        <f t="shared" si="48"/>
        <v>0</v>
      </c>
      <c r="AD84" s="971">
        <f t="shared" si="74"/>
        <v>0</v>
      </c>
      <c r="AE84" s="136"/>
      <c r="AF84" s="970">
        <f t="shared" si="75"/>
        <v>0</v>
      </c>
      <c r="AG84" s="970">
        <f t="shared" si="76"/>
        <v>0</v>
      </c>
      <c r="AH84" s="970">
        <f t="shared" si="77"/>
        <v>0</v>
      </c>
      <c r="AI84" s="970">
        <f t="shared" si="78"/>
        <v>0</v>
      </c>
      <c r="AJ84" s="970">
        <f t="shared" si="79"/>
        <v>0</v>
      </c>
      <c r="AK84" s="970">
        <f t="shared" si="80"/>
        <v>0</v>
      </c>
      <c r="AL84" s="970">
        <f t="shared" si="81"/>
        <v>0</v>
      </c>
      <c r="AM84" s="970">
        <f t="shared" si="82"/>
        <v>0</v>
      </c>
      <c r="AN84" s="168">
        <f t="shared" si="49"/>
        <v>0</v>
      </c>
      <c r="AO84" s="971">
        <f t="shared" si="83"/>
        <v>0</v>
      </c>
      <c r="AQ84" s="964"/>
      <c r="AR84" s="964"/>
      <c r="AS84" s="964"/>
      <c r="AT84" s="964"/>
      <c r="AU84" s="964"/>
      <c r="AV84" s="964"/>
      <c r="AW84" s="964"/>
      <c r="AX84" s="964"/>
      <c r="AY84" s="968">
        <f t="shared" si="50"/>
        <v>0</v>
      </c>
      <c r="AZ84" s="969" t="str">
        <f t="shared" si="84"/>
        <v>bitte prüfen!</v>
      </c>
      <c r="BB84" s="970">
        <f t="shared" si="51"/>
        <v>0</v>
      </c>
      <c r="BC84" s="970">
        <f t="shared" si="52"/>
        <v>0</v>
      </c>
      <c r="BD84" s="970">
        <f t="shared" si="53"/>
        <v>0</v>
      </c>
      <c r="BE84" s="970">
        <f t="shared" si="54"/>
        <v>0</v>
      </c>
      <c r="BF84" s="970">
        <f t="shared" si="55"/>
        <v>0</v>
      </c>
      <c r="BG84" s="970">
        <f t="shared" si="56"/>
        <v>0</v>
      </c>
      <c r="BH84" s="970">
        <f t="shared" si="57"/>
        <v>0</v>
      </c>
      <c r="BI84" s="970">
        <f t="shared" si="58"/>
        <v>0</v>
      </c>
      <c r="BJ84" s="168">
        <f t="shared" si="59"/>
        <v>0</v>
      </c>
      <c r="BK84" s="971">
        <f t="shared" si="85"/>
        <v>0</v>
      </c>
    </row>
    <row r="85" spans="1:63" outlineLevel="1" x14ac:dyDescent="0.2">
      <c r="A85" s="101" t="str">
        <f>IF(Personalplanung!B85&lt;&gt;"",Personalplanung!B85,IF(Personalplanung!A85&lt;&gt;"",Personalplanung!A85,""))</f>
        <v/>
      </c>
      <c r="B85" s="168">
        <f>Personalplanung!AH85</f>
        <v>0</v>
      </c>
      <c r="C85" s="168">
        <f>Personalplanung!AI85</f>
        <v>0</v>
      </c>
      <c r="D85" s="170">
        <f t="shared" ref="D85:D98" si="86">B85+C85</f>
        <v>0</v>
      </c>
      <c r="E85" s="960">
        <f>Personalplanung!AG85</f>
        <v>0</v>
      </c>
      <c r="F85" s="170"/>
      <c r="G85" s="961">
        <f>Personalplanung!AL85</f>
        <v>0</v>
      </c>
      <c r="H85" s="961">
        <f t="shared" ref="H85:H98" si="87">E85*D85</f>
        <v>0</v>
      </c>
      <c r="I85" s="99"/>
      <c r="J85" s="964">
        <v>1</v>
      </c>
      <c r="K85" s="964"/>
      <c r="L85" s="964"/>
      <c r="M85" s="964"/>
      <c r="N85" s="964"/>
      <c r="O85" s="964"/>
      <c r="P85" s="964"/>
      <c r="Q85" s="964"/>
      <c r="R85" s="968">
        <f t="shared" ref="R85:R98" si="88">SUM(J85:Q85)</f>
        <v>1</v>
      </c>
      <c r="S85" s="969">
        <f t="shared" si="73"/>
        <v>0</v>
      </c>
      <c r="U85" s="970">
        <f t="shared" ref="U85:U98" si="89">$H85*J85</f>
        <v>0</v>
      </c>
      <c r="V85" s="970">
        <f t="shared" ref="V85:V98" si="90">$H85*K85</f>
        <v>0</v>
      </c>
      <c r="W85" s="970">
        <f t="shared" ref="W85:W98" si="91">$H85*L85</f>
        <v>0</v>
      </c>
      <c r="X85" s="970">
        <f t="shared" ref="X85:X98" si="92">$H85*M85</f>
        <v>0</v>
      </c>
      <c r="Y85" s="970">
        <f t="shared" ref="Y85:Y98" si="93">$H85*N85</f>
        <v>0</v>
      </c>
      <c r="Z85" s="970">
        <f t="shared" ref="Z85:Z98" si="94">$H85*O85</f>
        <v>0</v>
      </c>
      <c r="AA85" s="970">
        <f t="shared" ref="AA85:AA98" si="95">$H85*P85</f>
        <v>0</v>
      </c>
      <c r="AB85" s="970">
        <f t="shared" ref="AB85:AB98" si="96">$H85*Q85</f>
        <v>0</v>
      </c>
      <c r="AC85" s="168">
        <f t="shared" ref="AC85:AC98" si="97">SUM(U85:AB85)</f>
        <v>0</v>
      </c>
      <c r="AD85" s="971">
        <f t="shared" si="74"/>
        <v>0</v>
      </c>
      <c r="AE85" s="136"/>
      <c r="AF85" s="970">
        <f t="shared" si="75"/>
        <v>0</v>
      </c>
      <c r="AG85" s="970">
        <f t="shared" si="76"/>
        <v>0</v>
      </c>
      <c r="AH85" s="970">
        <f t="shared" si="77"/>
        <v>0</v>
      </c>
      <c r="AI85" s="970">
        <f t="shared" si="78"/>
        <v>0</v>
      </c>
      <c r="AJ85" s="970">
        <f t="shared" si="79"/>
        <v>0</v>
      </c>
      <c r="AK85" s="970">
        <f t="shared" si="80"/>
        <v>0</v>
      </c>
      <c r="AL85" s="970">
        <f t="shared" si="81"/>
        <v>0</v>
      </c>
      <c r="AM85" s="970">
        <f t="shared" si="82"/>
        <v>0</v>
      </c>
      <c r="AN85" s="168">
        <f t="shared" ref="AN85:AN98" si="98">SUM(AF85:AM85)</f>
        <v>0</v>
      </c>
      <c r="AO85" s="971">
        <f t="shared" si="83"/>
        <v>0</v>
      </c>
      <c r="AQ85" s="964"/>
      <c r="AR85" s="964"/>
      <c r="AS85" s="964"/>
      <c r="AT85" s="964"/>
      <c r="AU85" s="964"/>
      <c r="AV85" s="964"/>
      <c r="AW85" s="964"/>
      <c r="AX85" s="964"/>
      <c r="AY85" s="968">
        <f t="shared" ref="AY85:AY98" si="99">SUM(AQ85:AX85)</f>
        <v>0</v>
      </c>
      <c r="AZ85" s="969" t="str">
        <f t="shared" si="84"/>
        <v>bitte prüfen!</v>
      </c>
      <c r="BB85" s="970">
        <f t="shared" ref="BB85:BB98" si="100">($D85-$H85)*AQ85</f>
        <v>0</v>
      </c>
      <c r="BC85" s="970">
        <f t="shared" ref="BC85:BC98" si="101">($D85-$H85)*AR85</f>
        <v>0</v>
      </c>
      <c r="BD85" s="970">
        <f t="shared" ref="BD85:BD98" si="102">($D85-$H85)*AS85</f>
        <v>0</v>
      </c>
      <c r="BE85" s="970">
        <f t="shared" ref="BE85:BE98" si="103">($D85-$H85)*AT85</f>
        <v>0</v>
      </c>
      <c r="BF85" s="970">
        <f t="shared" ref="BF85:BF98" si="104">($D85-$H85)*AU85</f>
        <v>0</v>
      </c>
      <c r="BG85" s="970">
        <f t="shared" ref="BG85:BG98" si="105">($D85-$H85)*AV85</f>
        <v>0</v>
      </c>
      <c r="BH85" s="970">
        <f t="shared" ref="BH85:BH98" si="106">($D85-$H85)*AW85</f>
        <v>0</v>
      </c>
      <c r="BI85" s="970">
        <f t="shared" ref="BI85:BI98" si="107">($D85-$H85)*AX85</f>
        <v>0</v>
      </c>
      <c r="BJ85" s="168">
        <f t="shared" ref="BJ85:BJ98" si="108">SUM(BB85:BI85)</f>
        <v>0</v>
      </c>
      <c r="BK85" s="971">
        <f t="shared" si="85"/>
        <v>0</v>
      </c>
    </row>
    <row r="86" spans="1:63" outlineLevel="1" x14ac:dyDescent="0.2">
      <c r="A86" s="101" t="str">
        <f>IF(Personalplanung!B86&lt;&gt;"",Personalplanung!B86,IF(Personalplanung!A86&lt;&gt;"",Personalplanung!A86,""))</f>
        <v/>
      </c>
      <c r="B86" s="168">
        <f>Personalplanung!AH86</f>
        <v>0</v>
      </c>
      <c r="C86" s="168">
        <f>Personalplanung!AI86</f>
        <v>0</v>
      </c>
      <c r="D86" s="170">
        <f t="shared" si="86"/>
        <v>0</v>
      </c>
      <c r="E86" s="960">
        <f>Personalplanung!AG86</f>
        <v>0</v>
      </c>
      <c r="F86" s="170"/>
      <c r="G86" s="961">
        <f>Personalplanung!AL86</f>
        <v>0</v>
      </c>
      <c r="H86" s="961">
        <f t="shared" si="87"/>
        <v>0</v>
      </c>
      <c r="I86" s="99"/>
      <c r="J86" s="964">
        <v>1</v>
      </c>
      <c r="K86" s="964"/>
      <c r="L86" s="964"/>
      <c r="M86" s="964"/>
      <c r="N86" s="964"/>
      <c r="O86" s="964"/>
      <c r="P86" s="964"/>
      <c r="Q86" s="964"/>
      <c r="R86" s="968">
        <f t="shared" si="88"/>
        <v>1</v>
      </c>
      <c r="S86" s="969">
        <f t="shared" si="73"/>
        <v>0</v>
      </c>
      <c r="U86" s="970">
        <f t="shared" si="89"/>
        <v>0</v>
      </c>
      <c r="V86" s="970">
        <f t="shared" si="90"/>
        <v>0</v>
      </c>
      <c r="W86" s="970">
        <f t="shared" si="91"/>
        <v>0</v>
      </c>
      <c r="X86" s="970">
        <f t="shared" si="92"/>
        <v>0</v>
      </c>
      <c r="Y86" s="970">
        <f t="shared" si="93"/>
        <v>0</v>
      </c>
      <c r="Z86" s="970">
        <f t="shared" si="94"/>
        <v>0</v>
      </c>
      <c r="AA86" s="970">
        <f t="shared" si="95"/>
        <v>0</v>
      </c>
      <c r="AB86" s="970">
        <f t="shared" si="96"/>
        <v>0</v>
      </c>
      <c r="AC86" s="168">
        <f t="shared" si="97"/>
        <v>0</v>
      </c>
      <c r="AD86" s="971">
        <f t="shared" si="74"/>
        <v>0</v>
      </c>
      <c r="AE86" s="136"/>
      <c r="AF86" s="970">
        <f t="shared" si="75"/>
        <v>0</v>
      </c>
      <c r="AG86" s="970">
        <f t="shared" si="76"/>
        <v>0</v>
      </c>
      <c r="AH86" s="970">
        <f t="shared" si="77"/>
        <v>0</v>
      </c>
      <c r="AI86" s="970">
        <f t="shared" si="78"/>
        <v>0</v>
      </c>
      <c r="AJ86" s="970">
        <f t="shared" si="79"/>
        <v>0</v>
      </c>
      <c r="AK86" s="970">
        <f t="shared" si="80"/>
        <v>0</v>
      </c>
      <c r="AL86" s="970">
        <f t="shared" si="81"/>
        <v>0</v>
      </c>
      <c r="AM86" s="970">
        <f t="shared" si="82"/>
        <v>0</v>
      </c>
      <c r="AN86" s="168">
        <f t="shared" si="98"/>
        <v>0</v>
      </c>
      <c r="AO86" s="971">
        <f t="shared" si="83"/>
        <v>0</v>
      </c>
      <c r="AQ86" s="964"/>
      <c r="AR86" s="964"/>
      <c r="AS86" s="964"/>
      <c r="AT86" s="964"/>
      <c r="AU86" s="964"/>
      <c r="AV86" s="964"/>
      <c r="AW86" s="964"/>
      <c r="AX86" s="964"/>
      <c r="AY86" s="968">
        <f t="shared" si="99"/>
        <v>0</v>
      </c>
      <c r="AZ86" s="969" t="str">
        <f t="shared" si="84"/>
        <v>bitte prüfen!</v>
      </c>
      <c r="BB86" s="970">
        <f t="shared" si="100"/>
        <v>0</v>
      </c>
      <c r="BC86" s="970">
        <f t="shared" si="101"/>
        <v>0</v>
      </c>
      <c r="BD86" s="970">
        <f t="shared" si="102"/>
        <v>0</v>
      </c>
      <c r="BE86" s="970">
        <f t="shared" si="103"/>
        <v>0</v>
      </c>
      <c r="BF86" s="970">
        <f t="shared" si="104"/>
        <v>0</v>
      </c>
      <c r="BG86" s="970">
        <f t="shared" si="105"/>
        <v>0</v>
      </c>
      <c r="BH86" s="970">
        <f t="shared" si="106"/>
        <v>0</v>
      </c>
      <c r="BI86" s="970">
        <f t="shared" si="107"/>
        <v>0</v>
      </c>
      <c r="BJ86" s="168">
        <f t="shared" si="108"/>
        <v>0</v>
      </c>
      <c r="BK86" s="971">
        <f t="shared" si="85"/>
        <v>0</v>
      </c>
    </row>
    <row r="87" spans="1:63" outlineLevel="1" x14ac:dyDescent="0.2">
      <c r="A87" s="101" t="str">
        <f>IF(Personalplanung!B87&lt;&gt;"",Personalplanung!B87,IF(Personalplanung!A87&lt;&gt;"",Personalplanung!A87,""))</f>
        <v/>
      </c>
      <c r="B87" s="168">
        <f>Personalplanung!AH87</f>
        <v>0</v>
      </c>
      <c r="C87" s="168">
        <f>Personalplanung!AI87</f>
        <v>0</v>
      </c>
      <c r="D87" s="170">
        <f t="shared" si="86"/>
        <v>0</v>
      </c>
      <c r="E87" s="960">
        <f>Personalplanung!AG87</f>
        <v>0</v>
      </c>
      <c r="F87" s="170"/>
      <c r="G87" s="961">
        <f>Personalplanung!AL87</f>
        <v>0</v>
      </c>
      <c r="H87" s="961">
        <f t="shared" si="87"/>
        <v>0</v>
      </c>
      <c r="I87" s="99"/>
      <c r="J87" s="964">
        <v>1</v>
      </c>
      <c r="K87" s="964"/>
      <c r="L87" s="964"/>
      <c r="M87" s="964"/>
      <c r="N87" s="964"/>
      <c r="O87" s="964"/>
      <c r="P87" s="964"/>
      <c r="Q87" s="964"/>
      <c r="R87" s="968">
        <f t="shared" si="88"/>
        <v>1</v>
      </c>
      <c r="S87" s="969">
        <f t="shared" si="73"/>
        <v>0</v>
      </c>
      <c r="U87" s="970">
        <f t="shared" si="89"/>
        <v>0</v>
      </c>
      <c r="V87" s="970">
        <f t="shared" si="90"/>
        <v>0</v>
      </c>
      <c r="W87" s="970">
        <f t="shared" si="91"/>
        <v>0</v>
      </c>
      <c r="X87" s="970">
        <f t="shared" si="92"/>
        <v>0</v>
      </c>
      <c r="Y87" s="970">
        <f t="shared" si="93"/>
        <v>0</v>
      </c>
      <c r="Z87" s="970">
        <f t="shared" si="94"/>
        <v>0</v>
      </c>
      <c r="AA87" s="970">
        <f t="shared" si="95"/>
        <v>0</v>
      </c>
      <c r="AB87" s="970">
        <f t="shared" si="96"/>
        <v>0</v>
      </c>
      <c r="AC87" s="168">
        <f t="shared" si="97"/>
        <v>0</v>
      </c>
      <c r="AD87" s="971">
        <f t="shared" si="74"/>
        <v>0</v>
      </c>
      <c r="AE87" s="136"/>
      <c r="AF87" s="970">
        <f t="shared" si="75"/>
        <v>0</v>
      </c>
      <c r="AG87" s="970">
        <f t="shared" si="76"/>
        <v>0</v>
      </c>
      <c r="AH87" s="970">
        <f t="shared" si="77"/>
        <v>0</v>
      </c>
      <c r="AI87" s="970">
        <f t="shared" si="78"/>
        <v>0</v>
      </c>
      <c r="AJ87" s="970">
        <f t="shared" si="79"/>
        <v>0</v>
      </c>
      <c r="AK87" s="970">
        <f t="shared" si="80"/>
        <v>0</v>
      </c>
      <c r="AL87" s="970">
        <f t="shared" si="81"/>
        <v>0</v>
      </c>
      <c r="AM87" s="970">
        <f t="shared" si="82"/>
        <v>0</v>
      </c>
      <c r="AN87" s="168">
        <f t="shared" si="98"/>
        <v>0</v>
      </c>
      <c r="AO87" s="971">
        <f t="shared" si="83"/>
        <v>0</v>
      </c>
      <c r="AQ87" s="964"/>
      <c r="AR87" s="964"/>
      <c r="AS87" s="964"/>
      <c r="AT87" s="964"/>
      <c r="AU87" s="964"/>
      <c r="AV87" s="964"/>
      <c r="AW87" s="964"/>
      <c r="AX87" s="964"/>
      <c r="AY87" s="968">
        <f t="shared" si="99"/>
        <v>0</v>
      </c>
      <c r="AZ87" s="969" t="str">
        <f t="shared" si="84"/>
        <v>bitte prüfen!</v>
      </c>
      <c r="BB87" s="970">
        <f t="shared" si="100"/>
        <v>0</v>
      </c>
      <c r="BC87" s="970">
        <f t="shared" si="101"/>
        <v>0</v>
      </c>
      <c r="BD87" s="970">
        <f t="shared" si="102"/>
        <v>0</v>
      </c>
      <c r="BE87" s="970">
        <f t="shared" si="103"/>
        <v>0</v>
      </c>
      <c r="BF87" s="970">
        <f t="shared" si="104"/>
        <v>0</v>
      </c>
      <c r="BG87" s="970">
        <f t="shared" si="105"/>
        <v>0</v>
      </c>
      <c r="BH87" s="970">
        <f t="shared" si="106"/>
        <v>0</v>
      </c>
      <c r="BI87" s="970">
        <f t="shared" si="107"/>
        <v>0</v>
      </c>
      <c r="BJ87" s="168">
        <f t="shared" si="108"/>
        <v>0</v>
      </c>
      <c r="BK87" s="971">
        <f t="shared" si="85"/>
        <v>0</v>
      </c>
    </row>
    <row r="88" spans="1:63" outlineLevel="1" x14ac:dyDescent="0.2">
      <c r="A88" s="101" t="str">
        <f>IF(Personalplanung!B88&lt;&gt;"",Personalplanung!B88,IF(Personalplanung!A88&lt;&gt;"",Personalplanung!A88,""))</f>
        <v/>
      </c>
      <c r="B88" s="168">
        <f>Personalplanung!AH88</f>
        <v>0</v>
      </c>
      <c r="C88" s="168">
        <f>Personalplanung!AI88</f>
        <v>0</v>
      </c>
      <c r="D88" s="170">
        <f t="shared" si="86"/>
        <v>0</v>
      </c>
      <c r="E88" s="960">
        <f>Personalplanung!AG88</f>
        <v>0</v>
      </c>
      <c r="F88" s="170"/>
      <c r="G88" s="961">
        <f>Personalplanung!AL88</f>
        <v>0</v>
      </c>
      <c r="H88" s="961">
        <f t="shared" si="87"/>
        <v>0</v>
      </c>
      <c r="I88" s="99"/>
      <c r="J88" s="964">
        <v>1</v>
      </c>
      <c r="K88" s="964"/>
      <c r="L88" s="964"/>
      <c r="M88" s="964"/>
      <c r="N88" s="964"/>
      <c r="O88" s="964"/>
      <c r="P88" s="964"/>
      <c r="Q88" s="964"/>
      <c r="R88" s="968">
        <f t="shared" si="88"/>
        <v>1</v>
      </c>
      <c r="S88" s="969">
        <f t="shared" si="73"/>
        <v>0</v>
      </c>
      <c r="U88" s="970">
        <f t="shared" si="89"/>
        <v>0</v>
      </c>
      <c r="V88" s="970">
        <f t="shared" si="90"/>
        <v>0</v>
      </c>
      <c r="W88" s="970">
        <f t="shared" si="91"/>
        <v>0</v>
      </c>
      <c r="X88" s="970">
        <f t="shared" si="92"/>
        <v>0</v>
      </c>
      <c r="Y88" s="970">
        <f t="shared" si="93"/>
        <v>0</v>
      </c>
      <c r="Z88" s="970">
        <f t="shared" si="94"/>
        <v>0</v>
      </c>
      <c r="AA88" s="970">
        <f t="shared" si="95"/>
        <v>0</v>
      </c>
      <c r="AB88" s="970">
        <f t="shared" si="96"/>
        <v>0</v>
      </c>
      <c r="AC88" s="168">
        <f t="shared" si="97"/>
        <v>0</v>
      </c>
      <c r="AD88" s="971">
        <f t="shared" si="74"/>
        <v>0</v>
      </c>
      <c r="AE88" s="136"/>
      <c r="AF88" s="970">
        <f t="shared" si="75"/>
        <v>0</v>
      </c>
      <c r="AG88" s="970">
        <f t="shared" si="76"/>
        <v>0</v>
      </c>
      <c r="AH88" s="970">
        <f t="shared" si="77"/>
        <v>0</v>
      </c>
      <c r="AI88" s="970">
        <f t="shared" si="78"/>
        <v>0</v>
      </c>
      <c r="AJ88" s="970">
        <f t="shared" si="79"/>
        <v>0</v>
      </c>
      <c r="AK88" s="970">
        <f t="shared" si="80"/>
        <v>0</v>
      </c>
      <c r="AL88" s="970">
        <f t="shared" si="81"/>
        <v>0</v>
      </c>
      <c r="AM88" s="970">
        <f t="shared" si="82"/>
        <v>0</v>
      </c>
      <c r="AN88" s="168">
        <f t="shared" si="98"/>
        <v>0</v>
      </c>
      <c r="AO88" s="971">
        <f t="shared" si="83"/>
        <v>0</v>
      </c>
      <c r="AQ88" s="964"/>
      <c r="AR88" s="964"/>
      <c r="AS88" s="964"/>
      <c r="AT88" s="964"/>
      <c r="AU88" s="964"/>
      <c r="AV88" s="964"/>
      <c r="AW88" s="964"/>
      <c r="AX88" s="964"/>
      <c r="AY88" s="968">
        <f t="shared" si="99"/>
        <v>0</v>
      </c>
      <c r="AZ88" s="969" t="str">
        <f t="shared" si="84"/>
        <v>bitte prüfen!</v>
      </c>
      <c r="BB88" s="970">
        <f t="shared" si="100"/>
        <v>0</v>
      </c>
      <c r="BC88" s="970">
        <f t="shared" si="101"/>
        <v>0</v>
      </c>
      <c r="BD88" s="970">
        <f t="shared" si="102"/>
        <v>0</v>
      </c>
      <c r="BE88" s="970">
        <f t="shared" si="103"/>
        <v>0</v>
      </c>
      <c r="BF88" s="970">
        <f t="shared" si="104"/>
        <v>0</v>
      </c>
      <c r="BG88" s="970">
        <f t="shared" si="105"/>
        <v>0</v>
      </c>
      <c r="BH88" s="970">
        <f t="shared" si="106"/>
        <v>0</v>
      </c>
      <c r="BI88" s="970">
        <f t="shared" si="107"/>
        <v>0</v>
      </c>
      <c r="BJ88" s="168">
        <f t="shared" si="108"/>
        <v>0</v>
      </c>
      <c r="BK88" s="971">
        <f t="shared" si="85"/>
        <v>0</v>
      </c>
    </row>
    <row r="89" spans="1:63" outlineLevel="1" x14ac:dyDescent="0.2">
      <c r="A89" s="101" t="str">
        <f>IF(Personalplanung!B89&lt;&gt;"",Personalplanung!B89,IF(Personalplanung!A89&lt;&gt;"",Personalplanung!A89,""))</f>
        <v/>
      </c>
      <c r="B89" s="168">
        <f>Personalplanung!AH89</f>
        <v>0</v>
      </c>
      <c r="C89" s="168">
        <f>Personalplanung!AI89</f>
        <v>0</v>
      </c>
      <c r="D89" s="170">
        <f t="shared" si="86"/>
        <v>0</v>
      </c>
      <c r="E89" s="960">
        <f>Personalplanung!AG89</f>
        <v>0</v>
      </c>
      <c r="F89" s="170"/>
      <c r="G89" s="961">
        <f>Personalplanung!AL89</f>
        <v>0</v>
      </c>
      <c r="H89" s="961">
        <f t="shared" si="87"/>
        <v>0</v>
      </c>
      <c r="I89" s="99"/>
      <c r="J89" s="964">
        <v>1</v>
      </c>
      <c r="K89" s="964"/>
      <c r="L89" s="964"/>
      <c r="M89" s="964"/>
      <c r="N89" s="964"/>
      <c r="O89" s="964"/>
      <c r="P89" s="964"/>
      <c r="Q89" s="964"/>
      <c r="R89" s="968">
        <f t="shared" si="88"/>
        <v>1</v>
      </c>
      <c r="S89" s="969">
        <f t="shared" si="73"/>
        <v>0</v>
      </c>
      <c r="U89" s="970">
        <f t="shared" si="89"/>
        <v>0</v>
      </c>
      <c r="V89" s="970">
        <f t="shared" si="90"/>
        <v>0</v>
      </c>
      <c r="W89" s="970">
        <f t="shared" si="91"/>
        <v>0</v>
      </c>
      <c r="X89" s="970">
        <f t="shared" si="92"/>
        <v>0</v>
      </c>
      <c r="Y89" s="970">
        <f t="shared" si="93"/>
        <v>0</v>
      </c>
      <c r="Z89" s="970">
        <f t="shared" si="94"/>
        <v>0</v>
      </c>
      <c r="AA89" s="970">
        <f t="shared" si="95"/>
        <v>0</v>
      </c>
      <c r="AB89" s="970">
        <f t="shared" si="96"/>
        <v>0</v>
      </c>
      <c r="AC89" s="168">
        <f t="shared" si="97"/>
        <v>0</v>
      </c>
      <c r="AD89" s="971">
        <f t="shared" si="74"/>
        <v>0</v>
      </c>
      <c r="AE89" s="136"/>
      <c r="AF89" s="970">
        <f t="shared" si="75"/>
        <v>0</v>
      </c>
      <c r="AG89" s="970">
        <f t="shared" si="76"/>
        <v>0</v>
      </c>
      <c r="AH89" s="970">
        <f t="shared" si="77"/>
        <v>0</v>
      </c>
      <c r="AI89" s="970">
        <f t="shared" si="78"/>
        <v>0</v>
      </c>
      <c r="AJ89" s="970">
        <f t="shared" si="79"/>
        <v>0</v>
      </c>
      <c r="AK89" s="970">
        <f t="shared" si="80"/>
        <v>0</v>
      </c>
      <c r="AL89" s="970">
        <f t="shared" si="81"/>
        <v>0</v>
      </c>
      <c r="AM89" s="970">
        <f t="shared" si="82"/>
        <v>0</v>
      </c>
      <c r="AN89" s="168">
        <f t="shared" si="98"/>
        <v>0</v>
      </c>
      <c r="AO89" s="971">
        <f t="shared" si="83"/>
        <v>0</v>
      </c>
      <c r="AQ89" s="964"/>
      <c r="AR89" s="964"/>
      <c r="AS89" s="964"/>
      <c r="AT89" s="964"/>
      <c r="AU89" s="964"/>
      <c r="AV89" s="964"/>
      <c r="AW89" s="964"/>
      <c r="AX89" s="964"/>
      <c r="AY89" s="968">
        <f t="shared" si="99"/>
        <v>0</v>
      </c>
      <c r="AZ89" s="969" t="str">
        <f t="shared" si="84"/>
        <v>bitte prüfen!</v>
      </c>
      <c r="BB89" s="970">
        <f t="shared" si="100"/>
        <v>0</v>
      </c>
      <c r="BC89" s="970">
        <f t="shared" si="101"/>
        <v>0</v>
      </c>
      <c r="BD89" s="970">
        <f t="shared" si="102"/>
        <v>0</v>
      </c>
      <c r="BE89" s="970">
        <f t="shared" si="103"/>
        <v>0</v>
      </c>
      <c r="BF89" s="970">
        <f t="shared" si="104"/>
        <v>0</v>
      </c>
      <c r="BG89" s="970">
        <f t="shared" si="105"/>
        <v>0</v>
      </c>
      <c r="BH89" s="970">
        <f t="shared" si="106"/>
        <v>0</v>
      </c>
      <c r="BI89" s="970">
        <f t="shared" si="107"/>
        <v>0</v>
      </c>
      <c r="BJ89" s="168">
        <f t="shared" si="108"/>
        <v>0</v>
      </c>
      <c r="BK89" s="971">
        <f t="shared" si="85"/>
        <v>0</v>
      </c>
    </row>
    <row r="90" spans="1:63" outlineLevel="1" x14ac:dyDescent="0.2">
      <c r="A90" s="101" t="str">
        <f>IF(Personalplanung!B90&lt;&gt;"",Personalplanung!B90,IF(Personalplanung!A90&lt;&gt;"",Personalplanung!A90,""))</f>
        <v/>
      </c>
      <c r="B90" s="168">
        <f>Personalplanung!AH90</f>
        <v>0</v>
      </c>
      <c r="C90" s="168">
        <f>Personalplanung!AI90</f>
        <v>0</v>
      </c>
      <c r="D90" s="170">
        <f t="shared" si="86"/>
        <v>0</v>
      </c>
      <c r="E90" s="960">
        <f>Personalplanung!AG90</f>
        <v>0</v>
      </c>
      <c r="F90" s="170"/>
      <c r="G90" s="961">
        <f>Personalplanung!AL90</f>
        <v>0</v>
      </c>
      <c r="H90" s="961">
        <f t="shared" si="87"/>
        <v>0</v>
      </c>
      <c r="I90" s="99"/>
      <c r="J90" s="964">
        <v>1</v>
      </c>
      <c r="K90" s="964"/>
      <c r="L90" s="964"/>
      <c r="M90" s="964"/>
      <c r="N90" s="964"/>
      <c r="O90" s="964"/>
      <c r="P90" s="964"/>
      <c r="Q90" s="964"/>
      <c r="R90" s="968">
        <f t="shared" si="88"/>
        <v>1</v>
      </c>
      <c r="S90" s="969">
        <f t="shared" si="73"/>
        <v>0</v>
      </c>
      <c r="U90" s="970">
        <f t="shared" si="89"/>
        <v>0</v>
      </c>
      <c r="V90" s="970">
        <f t="shared" si="90"/>
        <v>0</v>
      </c>
      <c r="W90" s="970">
        <f t="shared" si="91"/>
        <v>0</v>
      </c>
      <c r="X90" s="970">
        <f t="shared" si="92"/>
        <v>0</v>
      </c>
      <c r="Y90" s="970">
        <f t="shared" si="93"/>
        <v>0</v>
      </c>
      <c r="Z90" s="970">
        <f t="shared" si="94"/>
        <v>0</v>
      </c>
      <c r="AA90" s="970">
        <f t="shared" si="95"/>
        <v>0</v>
      </c>
      <c r="AB90" s="970">
        <f t="shared" si="96"/>
        <v>0</v>
      </c>
      <c r="AC90" s="168">
        <f t="shared" si="97"/>
        <v>0</v>
      </c>
      <c r="AD90" s="971">
        <f t="shared" si="74"/>
        <v>0</v>
      </c>
      <c r="AE90" s="136"/>
      <c r="AF90" s="970">
        <f t="shared" si="75"/>
        <v>0</v>
      </c>
      <c r="AG90" s="970">
        <f t="shared" si="76"/>
        <v>0</v>
      </c>
      <c r="AH90" s="970">
        <f t="shared" si="77"/>
        <v>0</v>
      </c>
      <c r="AI90" s="970">
        <f t="shared" si="78"/>
        <v>0</v>
      </c>
      <c r="AJ90" s="970">
        <f t="shared" si="79"/>
        <v>0</v>
      </c>
      <c r="AK90" s="970">
        <f t="shared" si="80"/>
        <v>0</v>
      </c>
      <c r="AL90" s="970">
        <f t="shared" si="81"/>
        <v>0</v>
      </c>
      <c r="AM90" s="970">
        <f t="shared" si="82"/>
        <v>0</v>
      </c>
      <c r="AN90" s="168">
        <f t="shared" si="98"/>
        <v>0</v>
      </c>
      <c r="AO90" s="971">
        <f t="shared" si="83"/>
        <v>0</v>
      </c>
      <c r="AQ90" s="964"/>
      <c r="AR90" s="964"/>
      <c r="AS90" s="964"/>
      <c r="AT90" s="964"/>
      <c r="AU90" s="964"/>
      <c r="AV90" s="964"/>
      <c r="AW90" s="964"/>
      <c r="AX90" s="964"/>
      <c r="AY90" s="968">
        <f t="shared" si="99"/>
        <v>0</v>
      </c>
      <c r="AZ90" s="969" t="str">
        <f t="shared" si="84"/>
        <v>bitte prüfen!</v>
      </c>
      <c r="BB90" s="970">
        <f t="shared" si="100"/>
        <v>0</v>
      </c>
      <c r="BC90" s="970">
        <f t="shared" si="101"/>
        <v>0</v>
      </c>
      <c r="BD90" s="970">
        <f t="shared" si="102"/>
        <v>0</v>
      </c>
      <c r="BE90" s="970">
        <f t="shared" si="103"/>
        <v>0</v>
      </c>
      <c r="BF90" s="970">
        <f t="shared" si="104"/>
        <v>0</v>
      </c>
      <c r="BG90" s="970">
        <f t="shared" si="105"/>
        <v>0</v>
      </c>
      <c r="BH90" s="970">
        <f t="shared" si="106"/>
        <v>0</v>
      </c>
      <c r="BI90" s="970">
        <f t="shared" si="107"/>
        <v>0</v>
      </c>
      <c r="BJ90" s="168">
        <f t="shared" si="108"/>
        <v>0</v>
      </c>
      <c r="BK90" s="971">
        <f t="shared" si="85"/>
        <v>0</v>
      </c>
    </row>
    <row r="91" spans="1:63" outlineLevel="1" x14ac:dyDescent="0.2">
      <c r="A91" s="101" t="str">
        <f>IF(Personalplanung!B91&lt;&gt;"",Personalplanung!B91,IF(Personalplanung!A91&lt;&gt;"",Personalplanung!A91,""))</f>
        <v/>
      </c>
      <c r="B91" s="168">
        <f>Personalplanung!AH91</f>
        <v>0</v>
      </c>
      <c r="C91" s="168">
        <f>Personalplanung!AI91</f>
        <v>0</v>
      </c>
      <c r="D91" s="170">
        <f t="shared" si="86"/>
        <v>0</v>
      </c>
      <c r="E91" s="960">
        <f>Personalplanung!AG91</f>
        <v>0</v>
      </c>
      <c r="F91" s="170"/>
      <c r="G91" s="961">
        <f>Personalplanung!AL91</f>
        <v>0</v>
      </c>
      <c r="H91" s="961">
        <f t="shared" si="87"/>
        <v>0</v>
      </c>
      <c r="I91" s="99"/>
      <c r="J91" s="964">
        <v>1</v>
      </c>
      <c r="K91" s="964"/>
      <c r="L91" s="964"/>
      <c r="M91" s="964"/>
      <c r="N91" s="964"/>
      <c r="O91" s="964"/>
      <c r="P91" s="964"/>
      <c r="Q91" s="964"/>
      <c r="R91" s="968">
        <f t="shared" si="88"/>
        <v>1</v>
      </c>
      <c r="S91" s="969">
        <f t="shared" si="73"/>
        <v>0</v>
      </c>
      <c r="U91" s="970">
        <f t="shared" si="89"/>
        <v>0</v>
      </c>
      <c r="V91" s="970">
        <f t="shared" si="90"/>
        <v>0</v>
      </c>
      <c r="W91" s="970">
        <f t="shared" si="91"/>
        <v>0</v>
      </c>
      <c r="X91" s="970">
        <f t="shared" si="92"/>
        <v>0</v>
      </c>
      <c r="Y91" s="970">
        <f t="shared" si="93"/>
        <v>0</v>
      </c>
      <c r="Z91" s="970">
        <f t="shared" si="94"/>
        <v>0</v>
      </c>
      <c r="AA91" s="970">
        <f t="shared" si="95"/>
        <v>0</v>
      </c>
      <c r="AB91" s="970">
        <f t="shared" si="96"/>
        <v>0</v>
      </c>
      <c r="AC91" s="168">
        <f t="shared" si="97"/>
        <v>0</v>
      </c>
      <c r="AD91" s="971">
        <f t="shared" si="74"/>
        <v>0</v>
      </c>
      <c r="AE91" s="136"/>
      <c r="AF91" s="970">
        <f t="shared" si="75"/>
        <v>0</v>
      </c>
      <c r="AG91" s="970">
        <f t="shared" si="76"/>
        <v>0</v>
      </c>
      <c r="AH91" s="970">
        <f t="shared" si="77"/>
        <v>0</v>
      </c>
      <c r="AI91" s="970">
        <f t="shared" si="78"/>
        <v>0</v>
      </c>
      <c r="AJ91" s="970">
        <f t="shared" si="79"/>
        <v>0</v>
      </c>
      <c r="AK91" s="970">
        <f t="shared" si="80"/>
        <v>0</v>
      </c>
      <c r="AL91" s="970">
        <f t="shared" si="81"/>
        <v>0</v>
      </c>
      <c r="AM91" s="970">
        <f t="shared" si="82"/>
        <v>0</v>
      </c>
      <c r="AN91" s="168">
        <f t="shared" si="98"/>
        <v>0</v>
      </c>
      <c r="AO91" s="971">
        <f t="shared" si="83"/>
        <v>0</v>
      </c>
      <c r="AQ91" s="964"/>
      <c r="AR91" s="964"/>
      <c r="AS91" s="964"/>
      <c r="AT91" s="964"/>
      <c r="AU91" s="964"/>
      <c r="AV91" s="964"/>
      <c r="AW91" s="964"/>
      <c r="AX91" s="964"/>
      <c r="AY91" s="968">
        <f t="shared" si="99"/>
        <v>0</v>
      </c>
      <c r="AZ91" s="969" t="str">
        <f t="shared" si="84"/>
        <v>bitte prüfen!</v>
      </c>
      <c r="BB91" s="970">
        <f t="shared" si="100"/>
        <v>0</v>
      </c>
      <c r="BC91" s="970">
        <f t="shared" si="101"/>
        <v>0</v>
      </c>
      <c r="BD91" s="970">
        <f t="shared" si="102"/>
        <v>0</v>
      </c>
      <c r="BE91" s="970">
        <f t="shared" si="103"/>
        <v>0</v>
      </c>
      <c r="BF91" s="970">
        <f t="shared" si="104"/>
        <v>0</v>
      </c>
      <c r="BG91" s="970">
        <f t="shared" si="105"/>
        <v>0</v>
      </c>
      <c r="BH91" s="970">
        <f t="shared" si="106"/>
        <v>0</v>
      </c>
      <c r="BI91" s="970">
        <f t="shared" si="107"/>
        <v>0</v>
      </c>
      <c r="BJ91" s="168">
        <f t="shared" si="108"/>
        <v>0</v>
      </c>
      <c r="BK91" s="971">
        <f t="shared" si="85"/>
        <v>0</v>
      </c>
    </row>
    <row r="92" spans="1:63" outlineLevel="1" x14ac:dyDescent="0.2">
      <c r="A92" s="101" t="str">
        <f>IF(Personalplanung!B92&lt;&gt;"",Personalplanung!B92,IF(Personalplanung!A92&lt;&gt;"",Personalplanung!A92,""))</f>
        <v/>
      </c>
      <c r="B92" s="168">
        <f>Personalplanung!AH92</f>
        <v>0</v>
      </c>
      <c r="C92" s="168">
        <f>Personalplanung!AI92</f>
        <v>0</v>
      </c>
      <c r="D92" s="170">
        <f t="shared" si="86"/>
        <v>0</v>
      </c>
      <c r="E92" s="960">
        <f>Personalplanung!AG92</f>
        <v>0</v>
      </c>
      <c r="F92" s="170"/>
      <c r="G92" s="961">
        <f>Personalplanung!AL92</f>
        <v>0</v>
      </c>
      <c r="H92" s="961">
        <f t="shared" si="87"/>
        <v>0</v>
      </c>
      <c r="I92" s="99"/>
      <c r="J92" s="964">
        <v>1</v>
      </c>
      <c r="K92" s="964"/>
      <c r="L92" s="964"/>
      <c r="M92" s="964"/>
      <c r="N92" s="964"/>
      <c r="O92" s="964"/>
      <c r="P92" s="964"/>
      <c r="Q92" s="964"/>
      <c r="R92" s="968">
        <f t="shared" si="88"/>
        <v>1</v>
      </c>
      <c r="S92" s="969">
        <f t="shared" si="73"/>
        <v>0</v>
      </c>
      <c r="U92" s="970">
        <f t="shared" si="89"/>
        <v>0</v>
      </c>
      <c r="V92" s="970">
        <f t="shared" si="90"/>
        <v>0</v>
      </c>
      <c r="W92" s="970">
        <f t="shared" si="91"/>
        <v>0</v>
      </c>
      <c r="X92" s="970">
        <f t="shared" si="92"/>
        <v>0</v>
      </c>
      <c r="Y92" s="970">
        <f t="shared" si="93"/>
        <v>0</v>
      </c>
      <c r="Z92" s="970">
        <f t="shared" si="94"/>
        <v>0</v>
      </c>
      <c r="AA92" s="970">
        <f t="shared" si="95"/>
        <v>0</v>
      </c>
      <c r="AB92" s="970">
        <f t="shared" si="96"/>
        <v>0</v>
      </c>
      <c r="AC92" s="168">
        <f t="shared" si="97"/>
        <v>0</v>
      </c>
      <c r="AD92" s="971">
        <f t="shared" si="74"/>
        <v>0</v>
      </c>
      <c r="AE92" s="136"/>
      <c r="AF92" s="970">
        <f t="shared" si="75"/>
        <v>0</v>
      </c>
      <c r="AG92" s="970">
        <f t="shared" si="76"/>
        <v>0</v>
      </c>
      <c r="AH92" s="970">
        <f t="shared" si="77"/>
        <v>0</v>
      </c>
      <c r="AI92" s="970">
        <f t="shared" si="78"/>
        <v>0</v>
      </c>
      <c r="AJ92" s="970">
        <f t="shared" si="79"/>
        <v>0</v>
      </c>
      <c r="AK92" s="970">
        <f t="shared" si="80"/>
        <v>0</v>
      </c>
      <c r="AL92" s="970">
        <f t="shared" si="81"/>
        <v>0</v>
      </c>
      <c r="AM92" s="970">
        <f t="shared" si="82"/>
        <v>0</v>
      </c>
      <c r="AN92" s="168">
        <f t="shared" si="98"/>
        <v>0</v>
      </c>
      <c r="AO92" s="971">
        <f t="shared" si="83"/>
        <v>0</v>
      </c>
      <c r="AQ92" s="964"/>
      <c r="AR92" s="964"/>
      <c r="AS92" s="964"/>
      <c r="AT92" s="964"/>
      <c r="AU92" s="964"/>
      <c r="AV92" s="964"/>
      <c r="AW92" s="964"/>
      <c r="AX92" s="964"/>
      <c r="AY92" s="968">
        <f t="shared" si="99"/>
        <v>0</v>
      </c>
      <c r="AZ92" s="969" t="str">
        <f t="shared" si="84"/>
        <v>bitte prüfen!</v>
      </c>
      <c r="BB92" s="970">
        <f t="shared" si="100"/>
        <v>0</v>
      </c>
      <c r="BC92" s="970">
        <f t="shared" si="101"/>
        <v>0</v>
      </c>
      <c r="BD92" s="970">
        <f t="shared" si="102"/>
        <v>0</v>
      </c>
      <c r="BE92" s="970">
        <f t="shared" si="103"/>
        <v>0</v>
      </c>
      <c r="BF92" s="970">
        <f t="shared" si="104"/>
        <v>0</v>
      </c>
      <c r="BG92" s="970">
        <f t="shared" si="105"/>
        <v>0</v>
      </c>
      <c r="BH92" s="970">
        <f t="shared" si="106"/>
        <v>0</v>
      </c>
      <c r="BI92" s="970">
        <f t="shared" si="107"/>
        <v>0</v>
      </c>
      <c r="BJ92" s="168">
        <f t="shared" si="108"/>
        <v>0</v>
      </c>
      <c r="BK92" s="971">
        <f t="shared" si="85"/>
        <v>0</v>
      </c>
    </row>
    <row r="93" spans="1:63" outlineLevel="1" x14ac:dyDescent="0.2">
      <c r="A93" s="101" t="str">
        <f>IF(Personalplanung!B93&lt;&gt;"",Personalplanung!B93,IF(Personalplanung!A93&lt;&gt;"",Personalplanung!A93,""))</f>
        <v/>
      </c>
      <c r="B93" s="168">
        <f>Personalplanung!AH93</f>
        <v>0</v>
      </c>
      <c r="C93" s="168">
        <f>Personalplanung!AI93</f>
        <v>0</v>
      </c>
      <c r="D93" s="170">
        <f t="shared" si="86"/>
        <v>0</v>
      </c>
      <c r="E93" s="960">
        <f>Personalplanung!AG93</f>
        <v>0</v>
      </c>
      <c r="F93" s="170"/>
      <c r="G93" s="961">
        <f>Personalplanung!AL93</f>
        <v>0</v>
      </c>
      <c r="H93" s="961">
        <f t="shared" si="87"/>
        <v>0</v>
      </c>
      <c r="I93" s="99"/>
      <c r="J93" s="964">
        <v>1</v>
      </c>
      <c r="K93" s="964"/>
      <c r="L93" s="964"/>
      <c r="M93" s="964"/>
      <c r="N93" s="964"/>
      <c r="O93" s="964"/>
      <c r="P93" s="964"/>
      <c r="Q93" s="964"/>
      <c r="R93" s="968">
        <f t="shared" si="88"/>
        <v>1</v>
      </c>
      <c r="S93" s="969">
        <f t="shared" si="73"/>
        <v>0</v>
      </c>
      <c r="U93" s="970">
        <f t="shared" si="89"/>
        <v>0</v>
      </c>
      <c r="V93" s="970">
        <f t="shared" si="90"/>
        <v>0</v>
      </c>
      <c r="W93" s="970">
        <f t="shared" si="91"/>
        <v>0</v>
      </c>
      <c r="X93" s="970">
        <f t="shared" si="92"/>
        <v>0</v>
      </c>
      <c r="Y93" s="970">
        <f t="shared" si="93"/>
        <v>0</v>
      </c>
      <c r="Z93" s="970">
        <f t="shared" si="94"/>
        <v>0</v>
      </c>
      <c r="AA93" s="970">
        <f t="shared" si="95"/>
        <v>0</v>
      </c>
      <c r="AB93" s="970">
        <f t="shared" si="96"/>
        <v>0</v>
      </c>
      <c r="AC93" s="168">
        <f t="shared" si="97"/>
        <v>0</v>
      </c>
      <c r="AD93" s="971">
        <f t="shared" si="74"/>
        <v>0</v>
      </c>
      <c r="AE93" s="136"/>
      <c r="AF93" s="970">
        <f t="shared" si="75"/>
        <v>0</v>
      </c>
      <c r="AG93" s="970">
        <f t="shared" si="76"/>
        <v>0</v>
      </c>
      <c r="AH93" s="970">
        <f t="shared" si="77"/>
        <v>0</v>
      </c>
      <c r="AI93" s="970">
        <f t="shared" si="78"/>
        <v>0</v>
      </c>
      <c r="AJ93" s="970">
        <f t="shared" si="79"/>
        <v>0</v>
      </c>
      <c r="AK93" s="970">
        <f t="shared" si="80"/>
        <v>0</v>
      </c>
      <c r="AL93" s="970">
        <f t="shared" si="81"/>
        <v>0</v>
      </c>
      <c r="AM93" s="970">
        <f t="shared" si="82"/>
        <v>0</v>
      </c>
      <c r="AN93" s="168">
        <f t="shared" si="98"/>
        <v>0</v>
      </c>
      <c r="AO93" s="971">
        <f t="shared" si="83"/>
        <v>0</v>
      </c>
      <c r="AQ93" s="964"/>
      <c r="AR93" s="964"/>
      <c r="AS93" s="964"/>
      <c r="AT93" s="964"/>
      <c r="AU93" s="964"/>
      <c r="AV93" s="964"/>
      <c r="AW93" s="964"/>
      <c r="AX93" s="964"/>
      <c r="AY93" s="968">
        <f t="shared" si="99"/>
        <v>0</v>
      </c>
      <c r="AZ93" s="969" t="str">
        <f t="shared" si="84"/>
        <v>bitte prüfen!</v>
      </c>
      <c r="BB93" s="970">
        <f t="shared" si="100"/>
        <v>0</v>
      </c>
      <c r="BC93" s="970">
        <f t="shared" si="101"/>
        <v>0</v>
      </c>
      <c r="BD93" s="970">
        <f t="shared" si="102"/>
        <v>0</v>
      </c>
      <c r="BE93" s="970">
        <f t="shared" si="103"/>
        <v>0</v>
      </c>
      <c r="BF93" s="970">
        <f t="shared" si="104"/>
        <v>0</v>
      </c>
      <c r="BG93" s="970">
        <f t="shared" si="105"/>
        <v>0</v>
      </c>
      <c r="BH93" s="970">
        <f t="shared" si="106"/>
        <v>0</v>
      </c>
      <c r="BI93" s="970">
        <f t="shared" si="107"/>
        <v>0</v>
      </c>
      <c r="BJ93" s="168">
        <f t="shared" si="108"/>
        <v>0</v>
      </c>
      <c r="BK93" s="971">
        <f t="shared" si="85"/>
        <v>0</v>
      </c>
    </row>
    <row r="94" spans="1:63" outlineLevel="1" x14ac:dyDescent="0.2">
      <c r="A94" s="101" t="str">
        <f>IF(Personalplanung!B94&lt;&gt;"",Personalplanung!B94,IF(Personalplanung!A94&lt;&gt;"",Personalplanung!A94,""))</f>
        <v/>
      </c>
      <c r="B94" s="168">
        <f>Personalplanung!AH94</f>
        <v>0</v>
      </c>
      <c r="C94" s="168">
        <f>Personalplanung!AI94</f>
        <v>0</v>
      </c>
      <c r="D94" s="170">
        <f t="shared" si="86"/>
        <v>0</v>
      </c>
      <c r="E94" s="960">
        <f>Personalplanung!AG94</f>
        <v>0</v>
      </c>
      <c r="F94" s="170"/>
      <c r="G94" s="961">
        <f>Personalplanung!AL94</f>
        <v>0</v>
      </c>
      <c r="H94" s="961">
        <f t="shared" si="87"/>
        <v>0</v>
      </c>
      <c r="I94" s="99"/>
      <c r="J94" s="964">
        <v>1</v>
      </c>
      <c r="K94" s="964"/>
      <c r="L94" s="964"/>
      <c r="M94" s="964"/>
      <c r="N94" s="964"/>
      <c r="O94" s="964"/>
      <c r="P94" s="964"/>
      <c r="Q94" s="964"/>
      <c r="R94" s="968">
        <f t="shared" si="88"/>
        <v>1</v>
      </c>
      <c r="S94" s="969">
        <f t="shared" si="73"/>
        <v>0</v>
      </c>
      <c r="U94" s="970">
        <f t="shared" si="89"/>
        <v>0</v>
      </c>
      <c r="V94" s="970">
        <f t="shared" si="90"/>
        <v>0</v>
      </c>
      <c r="W94" s="970">
        <f t="shared" si="91"/>
        <v>0</v>
      </c>
      <c r="X94" s="970">
        <f t="shared" si="92"/>
        <v>0</v>
      </c>
      <c r="Y94" s="970">
        <f t="shared" si="93"/>
        <v>0</v>
      </c>
      <c r="Z94" s="970">
        <f t="shared" si="94"/>
        <v>0</v>
      </c>
      <c r="AA94" s="970">
        <f t="shared" si="95"/>
        <v>0</v>
      </c>
      <c r="AB94" s="970">
        <f t="shared" si="96"/>
        <v>0</v>
      </c>
      <c r="AC94" s="168">
        <f t="shared" si="97"/>
        <v>0</v>
      </c>
      <c r="AD94" s="971">
        <f t="shared" si="74"/>
        <v>0</v>
      </c>
      <c r="AE94" s="136"/>
      <c r="AF94" s="970">
        <f t="shared" si="75"/>
        <v>0</v>
      </c>
      <c r="AG94" s="970">
        <f t="shared" si="76"/>
        <v>0</v>
      </c>
      <c r="AH94" s="970">
        <f t="shared" si="77"/>
        <v>0</v>
      </c>
      <c r="AI94" s="970">
        <f t="shared" si="78"/>
        <v>0</v>
      </c>
      <c r="AJ94" s="970">
        <f t="shared" si="79"/>
        <v>0</v>
      </c>
      <c r="AK94" s="970">
        <f t="shared" si="80"/>
        <v>0</v>
      </c>
      <c r="AL94" s="970">
        <f t="shared" si="81"/>
        <v>0</v>
      </c>
      <c r="AM94" s="970">
        <f t="shared" si="82"/>
        <v>0</v>
      </c>
      <c r="AN94" s="168">
        <f t="shared" si="98"/>
        <v>0</v>
      </c>
      <c r="AO94" s="971">
        <f t="shared" si="83"/>
        <v>0</v>
      </c>
      <c r="AQ94" s="964"/>
      <c r="AR94" s="964"/>
      <c r="AS94" s="964"/>
      <c r="AT94" s="964"/>
      <c r="AU94" s="964"/>
      <c r="AV94" s="964"/>
      <c r="AW94" s="964"/>
      <c r="AX94" s="964"/>
      <c r="AY94" s="968">
        <f t="shared" si="99"/>
        <v>0</v>
      </c>
      <c r="AZ94" s="969" t="str">
        <f t="shared" si="84"/>
        <v>bitte prüfen!</v>
      </c>
      <c r="BB94" s="970">
        <f t="shared" si="100"/>
        <v>0</v>
      </c>
      <c r="BC94" s="970">
        <f t="shared" si="101"/>
        <v>0</v>
      </c>
      <c r="BD94" s="970">
        <f t="shared" si="102"/>
        <v>0</v>
      </c>
      <c r="BE94" s="970">
        <f t="shared" si="103"/>
        <v>0</v>
      </c>
      <c r="BF94" s="970">
        <f t="shared" si="104"/>
        <v>0</v>
      </c>
      <c r="BG94" s="970">
        <f t="shared" si="105"/>
        <v>0</v>
      </c>
      <c r="BH94" s="970">
        <f t="shared" si="106"/>
        <v>0</v>
      </c>
      <c r="BI94" s="970">
        <f t="shared" si="107"/>
        <v>0</v>
      </c>
      <c r="BJ94" s="168">
        <f t="shared" si="108"/>
        <v>0</v>
      </c>
      <c r="BK94" s="971">
        <f t="shared" si="85"/>
        <v>0</v>
      </c>
    </row>
    <row r="95" spans="1:63" outlineLevel="1" x14ac:dyDescent="0.2">
      <c r="A95" s="101" t="str">
        <f>IF(Personalplanung!B95&lt;&gt;"",Personalplanung!B95,IF(Personalplanung!A95&lt;&gt;"",Personalplanung!A95,""))</f>
        <v/>
      </c>
      <c r="B95" s="168">
        <f>Personalplanung!AH95</f>
        <v>0</v>
      </c>
      <c r="C95" s="168">
        <f>Personalplanung!AI95</f>
        <v>0</v>
      </c>
      <c r="D95" s="170">
        <f t="shared" si="86"/>
        <v>0</v>
      </c>
      <c r="E95" s="960">
        <f>Personalplanung!AG95</f>
        <v>0</v>
      </c>
      <c r="F95" s="170"/>
      <c r="G95" s="961">
        <f>Personalplanung!AL95</f>
        <v>0</v>
      </c>
      <c r="H95" s="961">
        <f t="shared" si="87"/>
        <v>0</v>
      </c>
      <c r="I95" s="99"/>
      <c r="J95" s="964">
        <v>1</v>
      </c>
      <c r="K95" s="964"/>
      <c r="L95" s="964"/>
      <c r="M95" s="964"/>
      <c r="N95" s="964"/>
      <c r="O95" s="964"/>
      <c r="P95" s="964"/>
      <c r="Q95" s="964"/>
      <c r="R95" s="968">
        <f t="shared" si="88"/>
        <v>1</v>
      </c>
      <c r="S95" s="969">
        <f t="shared" si="73"/>
        <v>0</v>
      </c>
      <c r="U95" s="970">
        <f t="shared" si="89"/>
        <v>0</v>
      </c>
      <c r="V95" s="970">
        <f t="shared" si="90"/>
        <v>0</v>
      </c>
      <c r="W95" s="970">
        <f t="shared" si="91"/>
        <v>0</v>
      </c>
      <c r="X95" s="970">
        <f t="shared" si="92"/>
        <v>0</v>
      </c>
      <c r="Y95" s="970">
        <f t="shared" si="93"/>
        <v>0</v>
      </c>
      <c r="Z95" s="970">
        <f t="shared" si="94"/>
        <v>0</v>
      </c>
      <c r="AA95" s="970">
        <f t="shared" si="95"/>
        <v>0</v>
      </c>
      <c r="AB95" s="970">
        <f t="shared" si="96"/>
        <v>0</v>
      </c>
      <c r="AC95" s="168">
        <f t="shared" si="97"/>
        <v>0</v>
      </c>
      <c r="AD95" s="971">
        <f t="shared" si="74"/>
        <v>0</v>
      </c>
      <c r="AE95" s="136"/>
      <c r="AF95" s="970">
        <f t="shared" si="75"/>
        <v>0</v>
      </c>
      <c r="AG95" s="970">
        <f t="shared" si="76"/>
        <v>0</v>
      </c>
      <c r="AH95" s="970">
        <f t="shared" si="77"/>
        <v>0</v>
      </c>
      <c r="AI95" s="970">
        <f t="shared" si="78"/>
        <v>0</v>
      </c>
      <c r="AJ95" s="970">
        <f t="shared" si="79"/>
        <v>0</v>
      </c>
      <c r="AK95" s="970">
        <f t="shared" si="80"/>
        <v>0</v>
      </c>
      <c r="AL95" s="970">
        <f t="shared" si="81"/>
        <v>0</v>
      </c>
      <c r="AM95" s="970">
        <f t="shared" si="82"/>
        <v>0</v>
      </c>
      <c r="AN95" s="168">
        <f t="shared" si="98"/>
        <v>0</v>
      </c>
      <c r="AO95" s="971">
        <f t="shared" si="83"/>
        <v>0</v>
      </c>
      <c r="AQ95" s="964"/>
      <c r="AR95" s="964"/>
      <c r="AS95" s="964"/>
      <c r="AT95" s="964"/>
      <c r="AU95" s="964"/>
      <c r="AV95" s="964"/>
      <c r="AW95" s="964"/>
      <c r="AX95" s="964"/>
      <c r="AY95" s="968">
        <f t="shared" si="99"/>
        <v>0</v>
      </c>
      <c r="AZ95" s="969" t="str">
        <f t="shared" si="84"/>
        <v>bitte prüfen!</v>
      </c>
      <c r="BB95" s="970">
        <f t="shared" si="100"/>
        <v>0</v>
      </c>
      <c r="BC95" s="970">
        <f t="shared" si="101"/>
        <v>0</v>
      </c>
      <c r="BD95" s="970">
        <f t="shared" si="102"/>
        <v>0</v>
      </c>
      <c r="BE95" s="970">
        <f t="shared" si="103"/>
        <v>0</v>
      </c>
      <c r="BF95" s="970">
        <f t="shared" si="104"/>
        <v>0</v>
      </c>
      <c r="BG95" s="970">
        <f t="shared" si="105"/>
        <v>0</v>
      </c>
      <c r="BH95" s="970">
        <f t="shared" si="106"/>
        <v>0</v>
      </c>
      <c r="BI95" s="970">
        <f t="shared" si="107"/>
        <v>0</v>
      </c>
      <c r="BJ95" s="168">
        <f t="shared" si="108"/>
        <v>0</v>
      </c>
      <c r="BK95" s="971">
        <f t="shared" si="85"/>
        <v>0</v>
      </c>
    </row>
    <row r="96" spans="1:63" outlineLevel="1" x14ac:dyDescent="0.2">
      <c r="A96" s="101" t="str">
        <f>IF(Personalplanung!B96&lt;&gt;"",Personalplanung!B96,IF(Personalplanung!A96&lt;&gt;"",Personalplanung!A96,""))</f>
        <v/>
      </c>
      <c r="B96" s="168">
        <f>Personalplanung!AH96</f>
        <v>0</v>
      </c>
      <c r="C96" s="168">
        <f>Personalplanung!AI96</f>
        <v>0</v>
      </c>
      <c r="D96" s="170">
        <f t="shared" si="86"/>
        <v>0</v>
      </c>
      <c r="E96" s="960">
        <f>Personalplanung!AG96</f>
        <v>0</v>
      </c>
      <c r="F96" s="170"/>
      <c r="G96" s="961">
        <f>Personalplanung!AL96</f>
        <v>0</v>
      </c>
      <c r="H96" s="961">
        <f t="shared" si="87"/>
        <v>0</v>
      </c>
      <c r="I96" s="99"/>
      <c r="J96" s="964">
        <v>1</v>
      </c>
      <c r="K96" s="964"/>
      <c r="L96" s="964"/>
      <c r="M96" s="964"/>
      <c r="N96" s="964"/>
      <c r="O96" s="964"/>
      <c r="P96" s="964"/>
      <c r="Q96" s="964"/>
      <c r="R96" s="968">
        <f t="shared" si="88"/>
        <v>1</v>
      </c>
      <c r="S96" s="969">
        <f t="shared" si="73"/>
        <v>0</v>
      </c>
      <c r="U96" s="970">
        <f t="shared" si="89"/>
        <v>0</v>
      </c>
      <c r="V96" s="970">
        <f t="shared" si="90"/>
        <v>0</v>
      </c>
      <c r="W96" s="970">
        <f t="shared" si="91"/>
        <v>0</v>
      </c>
      <c r="X96" s="970">
        <f t="shared" si="92"/>
        <v>0</v>
      </c>
      <c r="Y96" s="970">
        <f t="shared" si="93"/>
        <v>0</v>
      </c>
      <c r="Z96" s="970">
        <f t="shared" si="94"/>
        <v>0</v>
      </c>
      <c r="AA96" s="970">
        <f t="shared" si="95"/>
        <v>0</v>
      </c>
      <c r="AB96" s="970">
        <f t="shared" si="96"/>
        <v>0</v>
      </c>
      <c r="AC96" s="168">
        <f t="shared" si="97"/>
        <v>0</v>
      </c>
      <c r="AD96" s="971">
        <f t="shared" si="74"/>
        <v>0</v>
      </c>
      <c r="AE96" s="136"/>
      <c r="AF96" s="970">
        <f t="shared" si="75"/>
        <v>0</v>
      </c>
      <c r="AG96" s="970">
        <f t="shared" si="76"/>
        <v>0</v>
      </c>
      <c r="AH96" s="970">
        <f t="shared" si="77"/>
        <v>0</v>
      </c>
      <c r="AI96" s="970">
        <f t="shared" si="78"/>
        <v>0</v>
      </c>
      <c r="AJ96" s="970">
        <f t="shared" si="79"/>
        <v>0</v>
      </c>
      <c r="AK96" s="970">
        <f t="shared" si="80"/>
        <v>0</v>
      </c>
      <c r="AL96" s="970">
        <f t="shared" si="81"/>
        <v>0</v>
      </c>
      <c r="AM96" s="970">
        <f t="shared" si="82"/>
        <v>0</v>
      </c>
      <c r="AN96" s="168">
        <f t="shared" si="98"/>
        <v>0</v>
      </c>
      <c r="AO96" s="971">
        <f t="shared" si="83"/>
        <v>0</v>
      </c>
      <c r="AQ96" s="964"/>
      <c r="AR96" s="964"/>
      <c r="AS96" s="964"/>
      <c r="AT96" s="964"/>
      <c r="AU96" s="964"/>
      <c r="AV96" s="964"/>
      <c r="AW96" s="964"/>
      <c r="AX96" s="964"/>
      <c r="AY96" s="968">
        <f t="shared" si="99"/>
        <v>0</v>
      </c>
      <c r="AZ96" s="969" t="str">
        <f t="shared" si="84"/>
        <v>bitte prüfen!</v>
      </c>
      <c r="BB96" s="970">
        <f t="shared" si="100"/>
        <v>0</v>
      </c>
      <c r="BC96" s="970">
        <f t="shared" si="101"/>
        <v>0</v>
      </c>
      <c r="BD96" s="970">
        <f t="shared" si="102"/>
        <v>0</v>
      </c>
      <c r="BE96" s="970">
        <f t="shared" si="103"/>
        <v>0</v>
      </c>
      <c r="BF96" s="970">
        <f t="shared" si="104"/>
        <v>0</v>
      </c>
      <c r="BG96" s="970">
        <f t="shared" si="105"/>
        <v>0</v>
      </c>
      <c r="BH96" s="970">
        <f t="shared" si="106"/>
        <v>0</v>
      </c>
      <c r="BI96" s="970">
        <f t="shared" si="107"/>
        <v>0</v>
      </c>
      <c r="BJ96" s="168">
        <f t="shared" si="108"/>
        <v>0</v>
      </c>
      <c r="BK96" s="971">
        <f t="shared" si="85"/>
        <v>0</v>
      </c>
    </row>
    <row r="97" spans="1:63" outlineLevel="1" x14ac:dyDescent="0.2">
      <c r="A97" s="101" t="str">
        <f>IF(Personalplanung!B97&lt;&gt;"",Personalplanung!B97,IF(Personalplanung!A97&lt;&gt;"",Personalplanung!A97,""))</f>
        <v/>
      </c>
      <c r="B97" s="168">
        <f>Personalplanung!AH97</f>
        <v>0</v>
      </c>
      <c r="C97" s="168">
        <f>Personalplanung!AI97</f>
        <v>0</v>
      </c>
      <c r="D97" s="170">
        <f t="shared" si="86"/>
        <v>0</v>
      </c>
      <c r="E97" s="960">
        <f>Personalplanung!AG97</f>
        <v>0</v>
      </c>
      <c r="F97" s="170"/>
      <c r="G97" s="961">
        <f>Personalplanung!AL97</f>
        <v>0</v>
      </c>
      <c r="H97" s="961">
        <f t="shared" si="87"/>
        <v>0</v>
      </c>
      <c r="I97" s="99"/>
      <c r="J97" s="964">
        <v>1</v>
      </c>
      <c r="K97" s="964"/>
      <c r="L97" s="964"/>
      <c r="M97" s="964"/>
      <c r="N97" s="964"/>
      <c r="O97" s="964"/>
      <c r="P97" s="964"/>
      <c r="Q97" s="964"/>
      <c r="R97" s="968">
        <f t="shared" si="88"/>
        <v>1</v>
      </c>
      <c r="S97" s="969">
        <f t="shared" si="73"/>
        <v>0</v>
      </c>
      <c r="U97" s="970">
        <f t="shared" si="89"/>
        <v>0</v>
      </c>
      <c r="V97" s="970">
        <f t="shared" si="90"/>
        <v>0</v>
      </c>
      <c r="W97" s="970">
        <f t="shared" si="91"/>
        <v>0</v>
      </c>
      <c r="X97" s="970">
        <f t="shared" si="92"/>
        <v>0</v>
      </c>
      <c r="Y97" s="970">
        <f t="shared" si="93"/>
        <v>0</v>
      </c>
      <c r="Z97" s="970">
        <f t="shared" si="94"/>
        <v>0</v>
      </c>
      <c r="AA97" s="970">
        <f t="shared" si="95"/>
        <v>0</v>
      </c>
      <c r="AB97" s="970">
        <f t="shared" si="96"/>
        <v>0</v>
      </c>
      <c r="AC97" s="168">
        <f t="shared" si="97"/>
        <v>0</v>
      </c>
      <c r="AD97" s="971">
        <f t="shared" si="74"/>
        <v>0</v>
      </c>
      <c r="AE97" s="136"/>
      <c r="AF97" s="970">
        <f t="shared" si="75"/>
        <v>0</v>
      </c>
      <c r="AG97" s="970">
        <f t="shared" si="76"/>
        <v>0</v>
      </c>
      <c r="AH97" s="970">
        <f t="shared" si="77"/>
        <v>0</v>
      </c>
      <c r="AI97" s="970">
        <f t="shared" si="78"/>
        <v>0</v>
      </c>
      <c r="AJ97" s="970">
        <f t="shared" si="79"/>
        <v>0</v>
      </c>
      <c r="AK97" s="970">
        <f t="shared" si="80"/>
        <v>0</v>
      </c>
      <c r="AL97" s="970">
        <f t="shared" si="81"/>
        <v>0</v>
      </c>
      <c r="AM97" s="970">
        <f t="shared" si="82"/>
        <v>0</v>
      </c>
      <c r="AN97" s="168">
        <f t="shared" si="98"/>
        <v>0</v>
      </c>
      <c r="AO97" s="971">
        <f t="shared" si="83"/>
        <v>0</v>
      </c>
      <c r="AQ97" s="964"/>
      <c r="AR97" s="964"/>
      <c r="AS97" s="964"/>
      <c r="AT97" s="964"/>
      <c r="AU97" s="964"/>
      <c r="AV97" s="964"/>
      <c r="AW97" s="964"/>
      <c r="AX97" s="964"/>
      <c r="AY97" s="968">
        <f t="shared" si="99"/>
        <v>0</v>
      </c>
      <c r="AZ97" s="969" t="str">
        <f t="shared" si="84"/>
        <v>bitte prüfen!</v>
      </c>
      <c r="BB97" s="970">
        <f t="shared" si="100"/>
        <v>0</v>
      </c>
      <c r="BC97" s="970">
        <f t="shared" si="101"/>
        <v>0</v>
      </c>
      <c r="BD97" s="970">
        <f t="shared" si="102"/>
        <v>0</v>
      </c>
      <c r="BE97" s="970">
        <f t="shared" si="103"/>
        <v>0</v>
      </c>
      <c r="BF97" s="970">
        <f t="shared" si="104"/>
        <v>0</v>
      </c>
      <c r="BG97" s="970">
        <f t="shared" si="105"/>
        <v>0</v>
      </c>
      <c r="BH97" s="970">
        <f t="shared" si="106"/>
        <v>0</v>
      </c>
      <c r="BI97" s="970">
        <f t="shared" si="107"/>
        <v>0</v>
      </c>
      <c r="BJ97" s="168">
        <f t="shared" si="108"/>
        <v>0</v>
      </c>
      <c r="BK97" s="971">
        <f t="shared" si="85"/>
        <v>0</v>
      </c>
    </row>
    <row r="98" spans="1:63" outlineLevel="1" x14ac:dyDescent="0.2">
      <c r="A98" s="101" t="str">
        <f>IF(Personalplanung!B98&lt;&gt;"",Personalplanung!B98,IF(Personalplanung!A98&lt;&gt;"",Personalplanung!A98,""))</f>
        <v/>
      </c>
      <c r="B98" s="168">
        <f>Personalplanung!AH98</f>
        <v>0</v>
      </c>
      <c r="C98" s="168">
        <f>Personalplanung!AI98</f>
        <v>0</v>
      </c>
      <c r="D98" s="170">
        <f t="shared" si="86"/>
        <v>0</v>
      </c>
      <c r="E98" s="960">
        <f>Personalplanung!AG98</f>
        <v>0</v>
      </c>
      <c r="F98" s="170"/>
      <c r="G98" s="961">
        <f>Personalplanung!AL98</f>
        <v>0</v>
      </c>
      <c r="H98" s="961">
        <f t="shared" si="87"/>
        <v>0</v>
      </c>
      <c r="I98" s="99"/>
      <c r="J98" s="964">
        <v>1</v>
      </c>
      <c r="K98" s="964"/>
      <c r="L98" s="964"/>
      <c r="M98" s="964"/>
      <c r="N98" s="964"/>
      <c r="O98" s="964"/>
      <c r="P98" s="964"/>
      <c r="Q98" s="964"/>
      <c r="R98" s="968">
        <f t="shared" si="88"/>
        <v>1</v>
      </c>
      <c r="S98" s="969">
        <f t="shared" si="73"/>
        <v>0</v>
      </c>
      <c r="U98" s="970">
        <f t="shared" si="89"/>
        <v>0</v>
      </c>
      <c r="V98" s="970">
        <f t="shared" si="90"/>
        <v>0</v>
      </c>
      <c r="W98" s="970">
        <f t="shared" si="91"/>
        <v>0</v>
      </c>
      <c r="X98" s="970">
        <f t="shared" si="92"/>
        <v>0</v>
      </c>
      <c r="Y98" s="970">
        <f t="shared" si="93"/>
        <v>0</v>
      </c>
      <c r="Z98" s="970">
        <f t="shared" si="94"/>
        <v>0</v>
      </c>
      <c r="AA98" s="970">
        <f t="shared" si="95"/>
        <v>0</v>
      </c>
      <c r="AB98" s="970">
        <f t="shared" si="96"/>
        <v>0</v>
      </c>
      <c r="AC98" s="168">
        <f t="shared" si="97"/>
        <v>0</v>
      </c>
      <c r="AD98" s="971">
        <f t="shared" si="74"/>
        <v>0</v>
      </c>
      <c r="AE98" s="136"/>
      <c r="AF98" s="970">
        <f t="shared" si="75"/>
        <v>0</v>
      </c>
      <c r="AG98" s="970">
        <f t="shared" si="76"/>
        <v>0</v>
      </c>
      <c r="AH98" s="970">
        <f t="shared" si="77"/>
        <v>0</v>
      </c>
      <c r="AI98" s="970">
        <f t="shared" si="78"/>
        <v>0</v>
      </c>
      <c r="AJ98" s="970">
        <f t="shared" si="79"/>
        <v>0</v>
      </c>
      <c r="AK98" s="970">
        <f t="shared" si="80"/>
        <v>0</v>
      </c>
      <c r="AL98" s="970">
        <f t="shared" si="81"/>
        <v>0</v>
      </c>
      <c r="AM98" s="970">
        <f t="shared" si="82"/>
        <v>0</v>
      </c>
      <c r="AN98" s="168">
        <f t="shared" si="98"/>
        <v>0</v>
      </c>
      <c r="AO98" s="971">
        <f t="shared" si="83"/>
        <v>0</v>
      </c>
      <c r="AQ98" s="964"/>
      <c r="AR98" s="964"/>
      <c r="AS98" s="964"/>
      <c r="AT98" s="964"/>
      <c r="AU98" s="964"/>
      <c r="AV98" s="964"/>
      <c r="AW98" s="964"/>
      <c r="AX98" s="964"/>
      <c r="AY98" s="968">
        <f t="shared" si="99"/>
        <v>0</v>
      </c>
      <c r="AZ98" s="969" t="str">
        <f t="shared" si="84"/>
        <v>bitte prüfen!</v>
      </c>
      <c r="BB98" s="970">
        <f t="shared" si="100"/>
        <v>0</v>
      </c>
      <c r="BC98" s="970">
        <f t="shared" si="101"/>
        <v>0</v>
      </c>
      <c r="BD98" s="970">
        <f t="shared" si="102"/>
        <v>0</v>
      </c>
      <c r="BE98" s="970">
        <f t="shared" si="103"/>
        <v>0</v>
      </c>
      <c r="BF98" s="970">
        <f t="shared" si="104"/>
        <v>0</v>
      </c>
      <c r="BG98" s="970">
        <f t="shared" si="105"/>
        <v>0</v>
      </c>
      <c r="BH98" s="970">
        <f t="shared" si="106"/>
        <v>0</v>
      </c>
      <c r="BI98" s="970">
        <f t="shared" si="107"/>
        <v>0</v>
      </c>
      <c r="BJ98" s="168">
        <f t="shared" si="108"/>
        <v>0</v>
      </c>
      <c r="BK98" s="971">
        <f t="shared" si="85"/>
        <v>0</v>
      </c>
    </row>
    <row r="99" spans="1:63" outlineLevel="1" x14ac:dyDescent="0.2">
      <c r="A99" s="101" t="str">
        <f>IF(Personalplanung!B99&lt;&gt;"",Personalplanung!B99,IF(Personalplanung!A99&lt;&gt;"",Personalplanung!A99,""))</f>
        <v/>
      </c>
      <c r="B99" s="168">
        <f>Personalplanung!AH99</f>
        <v>0</v>
      </c>
      <c r="C99" s="168">
        <f>Personalplanung!AI99</f>
        <v>0</v>
      </c>
      <c r="D99" s="170">
        <f t="shared" ref="D99:D106" si="109">B99+C99</f>
        <v>0</v>
      </c>
      <c r="E99" s="960">
        <f>Personalplanung!AG99</f>
        <v>0</v>
      </c>
      <c r="F99" s="170"/>
      <c r="G99" s="961">
        <f>Personalplanung!AL99</f>
        <v>0</v>
      </c>
      <c r="H99" s="961">
        <f t="shared" ref="H99:H106" si="110">E99*D99</f>
        <v>0</v>
      </c>
      <c r="I99" s="99"/>
      <c r="J99" s="964">
        <v>1</v>
      </c>
      <c r="K99" s="964"/>
      <c r="L99" s="964"/>
      <c r="M99" s="964"/>
      <c r="N99" s="964"/>
      <c r="O99" s="964"/>
      <c r="P99" s="964"/>
      <c r="Q99" s="964"/>
      <c r="R99" s="968">
        <f t="shared" ref="R99:R106" si="111">SUM(J99:Q99)</f>
        <v>1</v>
      </c>
      <c r="S99" s="969">
        <f t="shared" si="73"/>
        <v>0</v>
      </c>
      <c r="U99" s="970">
        <f t="shared" ref="U99:U106" si="112">$H99*J99</f>
        <v>0</v>
      </c>
      <c r="V99" s="970">
        <f t="shared" ref="V99:V106" si="113">$H99*K99</f>
        <v>0</v>
      </c>
      <c r="W99" s="970">
        <f t="shared" ref="W99:W106" si="114">$H99*L99</f>
        <v>0</v>
      </c>
      <c r="X99" s="970">
        <f t="shared" ref="X99:X106" si="115">$H99*M99</f>
        <v>0</v>
      </c>
      <c r="Y99" s="970">
        <f t="shared" ref="Y99:Y106" si="116">$H99*N99</f>
        <v>0</v>
      </c>
      <c r="Z99" s="970">
        <f t="shared" ref="Z99:Z106" si="117">$H99*O99</f>
        <v>0</v>
      </c>
      <c r="AA99" s="970">
        <f t="shared" ref="AA99:AA106" si="118">$H99*P99</f>
        <v>0</v>
      </c>
      <c r="AB99" s="970">
        <f t="shared" ref="AB99:AB106" si="119">$H99*Q99</f>
        <v>0</v>
      </c>
      <c r="AC99" s="168">
        <f t="shared" ref="AC99:AC106" si="120">SUM(U99:AB99)</f>
        <v>0</v>
      </c>
      <c r="AD99" s="971">
        <f t="shared" si="74"/>
        <v>0</v>
      </c>
      <c r="AE99" s="136"/>
      <c r="AF99" s="970">
        <f t="shared" si="75"/>
        <v>0</v>
      </c>
      <c r="AG99" s="970">
        <f t="shared" si="76"/>
        <v>0</v>
      </c>
      <c r="AH99" s="970">
        <f t="shared" si="77"/>
        <v>0</v>
      </c>
      <c r="AI99" s="970">
        <f t="shared" si="78"/>
        <v>0</v>
      </c>
      <c r="AJ99" s="970">
        <f t="shared" si="79"/>
        <v>0</v>
      </c>
      <c r="AK99" s="970">
        <f t="shared" si="80"/>
        <v>0</v>
      </c>
      <c r="AL99" s="970">
        <f t="shared" si="81"/>
        <v>0</v>
      </c>
      <c r="AM99" s="970">
        <f t="shared" si="82"/>
        <v>0</v>
      </c>
      <c r="AN99" s="168">
        <f t="shared" ref="AN99:AN106" si="121">SUM(AF99:AM99)</f>
        <v>0</v>
      </c>
      <c r="AO99" s="971">
        <f t="shared" si="83"/>
        <v>0</v>
      </c>
      <c r="AQ99" s="964"/>
      <c r="AR99" s="964"/>
      <c r="AS99" s="964"/>
      <c r="AT99" s="964"/>
      <c r="AU99" s="964"/>
      <c r="AV99" s="964"/>
      <c r="AW99" s="964"/>
      <c r="AX99" s="964"/>
      <c r="AY99" s="968">
        <f t="shared" ref="AY99:AY106" si="122">SUM(AQ99:AX99)</f>
        <v>0</v>
      </c>
      <c r="AZ99" s="969" t="str">
        <f t="shared" si="84"/>
        <v>bitte prüfen!</v>
      </c>
      <c r="BB99" s="970">
        <f t="shared" ref="BB99:BB106" si="123">($D99-$H99)*AQ99</f>
        <v>0</v>
      </c>
      <c r="BC99" s="970">
        <f t="shared" ref="BC99:BC106" si="124">($D99-$H99)*AR99</f>
        <v>0</v>
      </c>
      <c r="BD99" s="970">
        <f t="shared" ref="BD99:BD106" si="125">($D99-$H99)*AS99</f>
        <v>0</v>
      </c>
      <c r="BE99" s="970">
        <f t="shared" ref="BE99:BE106" si="126">($D99-$H99)*AT99</f>
        <v>0</v>
      </c>
      <c r="BF99" s="970">
        <f t="shared" ref="BF99:BF106" si="127">($D99-$H99)*AU99</f>
        <v>0</v>
      </c>
      <c r="BG99" s="970">
        <f t="shared" ref="BG99:BG106" si="128">($D99-$H99)*AV99</f>
        <v>0</v>
      </c>
      <c r="BH99" s="970">
        <f t="shared" ref="BH99:BH106" si="129">($D99-$H99)*AW99</f>
        <v>0</v>
      </c>
      <c r="BI99" s="970">
        <f t="shared" ref="BI99:BI106" si="130">($D99-$H99)*AX99</f>
        <v>0</v>
      </c>
      <c r="BJ99" s="168">
        <f t="shared" ref="BJ99:BJ106" si="131">SUM(BB99:BI99)</f>
        <v>0</v>
      </c>
      <c r="BK99" s="971">
        <f t="shared" si="85"/>
        <v>0</v>
      </c>
    </row>
    <row r="100" spans="1:63" outlineLevel="1" x14ac:dyDescent="0.2">
      <c r="A100" s="101" t="str">
        <f>IF(Personalplanung!B100&lt;&gt;"",Personalplanung!B100,IF(Personalplanung!A100&lt;&gt;"",Personalplanung!A100,""))</f>
        <v/>
      </c>
      <c r="B100" s="168">
        <f>Personalplanung!AH100</f>
        <v>0</v>
      </c>
      <c r="C100" s="168">
        <f>Personalplanung!AI100</f>
        <v>0</v>
      </c>
      <c r="D100" s="170">
        <f t="shared" si="109"/>
        <v>0</v>
      </c>
      <c r="E100" s="960">
        <f>Personalplanung!AG100</f>
        <v>0</v>
      </c>
      <c r="F100" s="170"/>
      <c r="G100" s="961">
        <f>Personalplanung!AL100</f>
        <v>0</v>
      </c>
      <c r="H100" s="961">
        <f t="shared" si="110"/>
        <v>0</v>
      </c>
      <c r="I100" s="99"/>
      <c r="J100" s="964">
        <v>1</v>
      </c>
      <c r="K100" s="964"/>
      <c r="L100" s="964"/>
      <c r="M100" s="964"/>
      <c r="N100" s="964"/>
      <c r="O100" s="964"/>
      <c r="P100" s="964"/>
      <c r="Q100" s="964"/>
      <c r="R100" s="968">
        <f t="shared" si="111"/>
        <v>1</v>
      </c>
      <c r="S100" s="969">
        <f t="shared" si="73"/>
        <v>0</v>
      </c>
      <c r="U100" s="970">
        <f t="shared" si="112"/>
        <v>0</v>
      </c>
      <c r="V100" s="970">
        <f t="shared" si="113"/>
        <v>0</v>
      </c>
      <c r="W100" s="970">
        <f t="shared" si="114"/>
        <v>0</v>
      </c>
      <c r="X100" s="970">
        <f t="shared" si="115"/>
        <v>0</v>
      </c>
      <c r="Y100" s="970">
        <f t="shared" si="116"/>
        <v>0</v>
      </c>
      <c r="Z100" s="970">
        <f t="shared" si="117"/>
        <v>0</v>
      </c>
      <c r="AA100" s="970">
        <f t="shared" si="118"/>
        <v>0</v>
      </c>
      <c r="AB100" s="970">
        <f t="shared" si="119"/>
        <v>0</v>
      </c>
      <c r="AC100" s="168">
        <f t="shared" si="120"/>
        <v>0</v>
      </c>
      <c r="AD100" s="971">
        <f t="shared" si="74"/>
        <v>0</v>
      </c>
      <c r="AE100" s="136"/>
      <c r="AF100" s="970">
        <f t="shared" si="75"/>
        <v>0</v>
      </c>
      <c r="AG100" s="970">
        <f t="shared" si="76"/>
        <v>0</v>
      </c>
      <c r="AH100" s="970">
        <f t="shared" si="77"/>
        <v>0</v>
      </c>
      <c r="AI100" s="970">
        <f t="shared" si="78"/>
        <v>0</v>
      </c>
      <c r="AJ100" s="970">
        <f t="shared" si="79"/>
        <v>0</v>
      </c>
      <c r="AK100" s="970">
        <f t="shared" si="80"/>
        <v>0</v>
      </c>
      <c r="AL100" s="970">
        <f t="shared" si="81"/>
        <v>0</v>
      </c>
      <c r="AM100" s="970">
        <f t="shared" si="82"/>
        <v>0</v>
      </c>
      <c r="AN100" s="168">
        <f t="shared" si="121"/>
        <v>0</v>
      </c>
      <c r="AO100" s="971">
        <f t="shared" si="83"/>
        <v>0</v>
      </c>
      <c r="AQ100" s="964"/>
      <c r="AR100" s="964"/>
      <c r="AS100" s="964"/>
      <c r="AT100" s="964"/>
      <c r="AU100" s="964"/>
      <c r="AV100" s="964"/>
      <c r="AW100" s="964"/>
      <c r="AX100" s="964"/>
      <c r="AY100" s="968">
        <f t="shared" si="122"/>
        <v>0</v>
      </c>
      <c r="AZ100" s="969" t="str">
        <f t="shared" si="84"/>
        <v>bitte prüfen!</v>
      </c>
      <c r="BB100" s="970">
        <f t="shared" si="123"/>
        <v>0</v>
      </c>
      <c r="BC100" s="970">
        <f t="shared" si="124"/>
        <v>0</v>
      </c>
      <c r="BD100" s="970">
        <f t="shared" si="125"/>
        <v>0</v>
      </c>
      <c r="BE100" s="970">
        <f t="shared" si="126"/>
        <v>0</v>
      </c>
      <c r="BF100" s="970">
        <f t="shared" si="127"/>
        <v>0</v>
      </c>
      <c r="BG100" s="970">
        <f t="shared" si="128"/>
        <v>0</v>
      </c>
      <c r="BH100" s="970">
        <f t="shared" si="129"/>
        <v>0</v>
      </c>
      <c r="BI100" s="970">
        <f t="shared" si="130"/>
        <v>0</v>
      </c>
      <c r="BJ100" s="168">
        <f t="shared" si="131"/>
        <v>0</v>
      </c>
      <c r="BK100" s="971">
        <f t="shared" si="85"/>
        <v>0</v>
      </c>
    </row>
    <row r="101" spans="1:63" outlineLevel="1" x14ac:dyDescent="0.2">
      <c r="A101" s="101" t="str">
        <f>IF(Personalplanung!B101&lt;&gt;"",Personalplanung!B101,IF(Personalplanung!A101&lt;&gt;"",Personalplanung!A101,""))</f>
        <v/>
      </c>
      <c r="B101" s="168">
        <f>Personalplanung!AH101</f>
        <v>0</v>
      </c>
      <c r="C101" s="168">
        <f>Personalplanung!AI101</f>
        <v>0</v>
      </c>
      <c r="D101" s="170">
        <f t="shared" si="109"/>
        <v>0</v>
      </c>
      <c r="E101" s="960">
        <f>Personalplanung!AG101</f>
        <v>0</v>
      </c>
      <c r="F101" s="170"/>
      <c r="G101" s="961">
        <f>Personalplanung!AL101</f>
        <v>0</v>
      </c>
      <c r="H101" s="961">
        <f t="shared" si="110"/>
        <v>0</v>
      </c>
      <c r="I101" s="99"/>
      <c r="J101" s="964">
        <v>1</v>
      </c>
      <c r="K101" s="964"/>
      <c r="L101" s="964"/>
      <c r="M101" s="964"/>
      <c r="N101" s="964"/>
      <c r="O101" s="964"/>
      <c r="P101" s="964"/>
      <c r="Q101" s="964"/>
      <c r="R101" s="968">
        <f t="shared" si="111"/>
        <v>1</v>
      </c>
      <c r="S101" s="969">
        <f t="shared" si="73"/>
        <v>0</v>
      </c>
      <c r="U101" s="970">
        <f t="shared" si="112"/>
        <v>0</v>
      </c>
      <c r="V101" s="970">
        <f t="shared" si="113"/>
        <v>0</v>
      </c>
      <c r="W101" s="970">
        <f t="shared" si="114"/>
        <v>0</v>
      </c>
      <c r="X101" s="970">
        <f t="shared" si="115"/>
        <v>0</v>
      </c>
      <c r="Y101" s="970">
        <f t="shared" si="116"/>
        <v>0</v>
      </c>
      <c r="Z101" s="970">
        <f t="shared" si="117"/>
        <v>0</v>
      </c>
      <c r="AA101" s="970">
        <f t="shared" si="118"/>
        <v>0</v>
      </c>
      <c r="AB101" s="970">
        <f t="shared" si="119"/>
        <v>0</v>
      </c>
      <c r="AC101" s="168">
        <f t="shared" si="120"/>
        <v>0</v>
      </c>
      <c r="AD101" s="971">
        <f t="shared" si="74"/>
        <v>0</v>
      </c>
      <c r="AE101" s="136"/>
      <c r="AF101" s="970">
        <f t="shared" si="75"/>
        <v>0</v>
      </c>
      <c r="AG101" s="970">
        <f t="shared" si="76"/>
        <v>0</v>
      </c>
      <c r="AH101" s="970">
        <f t="shared" si="77"/>
        <v>0</v>
      </c>
      <c r="AI101" s="970">
        <f t="shared" si="78"/>
        <v>0</v>
      </c>
      <c r="AJ101" s="970">
        <f t="shared" si="79"/>
        <v>0</v>
      </c>
      <c r="AK101" s="970">
        <f t="shared" si="80"/>
        <v>0</v>
      </c>
      <c r="AL101" s="970">
        <f t="shared" si="81"/>
        <v>0</v>
      </c>
      <c r="AM101" s="970">
        <f t="shared" si="82"/>
        <v>0</v>
      </c>
      <c r="AN101" s="168">
        <f t="shared" si="121"/>
        <v>0</v>
      </c>
      <c r="AO101" s="971">
        <f t="shared" si="83"/>
        <v>0</v>
      </c>
      <c r="AQ101" s="964"/>
      <c r="AR101" s="964"/>
      <c r="AS101" s="964"/>
      <c r="AT101" s="964"/>
      <c r="AU101" s="964"/>
      <c r="AV101" s="964"/>
      <c r="AW101" s="964"/>
      <c r="AX101" s="964"/>
      <c r="AY101" s="968">
        <f t="shared" si="122"/>
        <v>0</v>
      </c>
      <c r="AZ101" s="969" t="str">
        <f t="shared" si="84"/>
        <v>bitte prüfen!</v>
      </c>
      <c r="BB101" s="970">
        <f t="shared" si="123"/>
        <v>0</v>
      </c>
      <c r="BC101" s="970">
        <f t="shared" si="124"/>
        <v>0</v>
      </c>
      <c r="BD101" s="970">
        <f t="shared" si="125"/>
        <v>0</v>
      </c>
      <c r="BE101" s="970">
        <f t="shared" si="126"/>
        <v>0</v>
      </c>
      <c r="BF101" s="970">
        <f t="shared" si="127"/>
        <v>0</v>
      </c>
      <c r="BG101" s="970">
        <f t="shared" si="128"/>
        <v>0</v>
      </c>
      <c r="BH101" s="970">
        <f t="shared" si="129"/>
        <v>0</v>
      </c>
      <c r="BI101" s="970">
        <f t="shared" si="130"/>
        <v>0</v>
      </c>
      <c r="BJ101" s="168">
        <f t="shared" si="131"/>
        <v>0</v>
      </c>
      <c r="BK101" s="971">
        <f t="shared" si="85"/>
        <v>0</v>
      </c>
    </row>
    <row r="102" spans="1:63" outlineLevel="1" x14ac:dyDescent="0.2">
      <c r="A102" s="101" t="str">
        <f>IF(Personalplanung!B102&lt;&gt;"",Personalplanung!B102,IF(Personalplanung!A102&lt;&gt;"",Personalplanung!A102,""))</f>
        <v/>
      </c>
      <c r="B102" s="168">
        <f>Personalplanung!AH102</f>
        <v>0</v>
      </c>
      <c r="C102" s="168">
        <f>Personalplanung!AI102</f>
        <v>0</v>
      </c>
      <c r="D102" s="170">
        <f t="shared" si="109"/>
        <v>0</v>
      </c>
      <c r="E102" s="960">
        <f>Personalplanung!AG102</f>
        <v>0</v>
      </c>
      <c r="F102" s="170"/>
      <c r="G102" s="961">
        <f>Personalplanung!AL102</f>
        <v>0</v>
      </c>
      <c r="H102" s="961">
        <f t="shared" si="110"/>
        <v>0</v>
      </c>
      <c r="I102" s="99"/>
      <c r="J102" s="964">
        <v>1</v>
      </c>
      <c r="K102" s="964"/>
      <c r="L102" s="964"/>
      <c r="M102" s="964"/>
      <c r="N102" s="964"/>
      <c r="O102" s="964"/>
      <c r="P102" s="964"/>
      <c r="Q102" s="964"/>
      <c r="R102" s="968">
        <f t="shared" si="111"/>
        <v>1</v>
      </c>
      <c r="S102" s="969">
        <f t="shared" si="73"/>
        <v>0</v>
      </c>
      <c r="U102" s="970">
        <f t="shared" si="112"/>
        <v>0</v>
      </c>
      <c r="V102" s="970">
        <f t="shared" si="113"/>
        <v>0</v>
      </c>
      <c r="W102" s="970">
        <f t="shared" si="114"/>
        <v>0</v>
      </c>
      <c r="X102" s="970">
        <f t="shared" si="115"/>
        <v>0</v>
      </c>
      <c r="Y102" s="970">
        <f t="shared" si="116"/>
        <v>0</v>
      </c>
      <c r="Z102" s="970">
        <f t="shared" si="117"/>
        <v>0</v>
      </c>
      <c r="AA102" s="970">
        <f t="shared" si="118"/>
        <v>0</v>
      </c>
      <c r="AB102" s="970">
        <f t="shared" si="119"/>
        <v>0</v>
      </c>
      <c r="AC102" s="168">
        <f t="shared" si="120"/>
        <v>0</v>
      </c>
      <c r="AD102" s="971">
        <f t="shared" ref="AD102:AD106" si="132">AC102-H102</f>
        <v>0</v>
      </c>
      <c r="AE102" s="136"/>
      <c r="AF102" s="970">
        <f t="shared" si="75"/>
        <v>0</v>
      </c>
      <c r="AG102" s="970">
        <f t="shared" si="76"/>
        <v>0</v>
      </c>
      <c r="AH102" s="970">
        <f t="shared" si="77"/>
        <v>0</v>
      </c>
      <c r="AI102" s="970">
        <f t="shared" si="78"/>
        <v>0</v>
      </c>
      <c r="AJ102" s="970">
        <f t="shared" si="79"/>
        <v>0</v>
      </c>
      <c r="AK102" s="970">
        <f t="shared" si="80"/>
        <v>0</v>
      </c>
      <c r="AL102" s="970">
        <f t="shared" si="81"/>
        <v>0</v>
      </c>
      <c r="AM102" s="970">
        <f t="shared" si="82"/>
        <v>0</v>
      </c>
      <c r="AN102" s="168">
        <f t="shared" si="121"/>
        <v>0</v>
      </c>
      <c r="AO102" s="971">
        <f t="shared" ref="AO102:AO106" si="133">AN102-G102</f>
        <v>0</v>
      </c>
      <c r="AQ102" s="964"/>
      <c r="AR102" s="964"/>
      <c r="AS102" s="964"/>
      <c r="AT102" s="964"/>
      <c r="AU102" s="964"/>
      <c r="AV102" s="964"/>
      <c r="AW102" s="964"/>
      <c r="AX102" s="964"/>
      <c r="AY102" s="968">
        <f t="shared" si="122"/>
        <v>0</v>
      </c>
      <c r="AZ102" s="969" t="str">
        <f t="shared" si="84"/>
        <v>bitte prüfen!</v>
      </c>
      <c r="BB102" s="970">
        <f t="shared" si="123"/>
        <v>0</v>
      </c>
      <c r="BC102" s="970">
        <f t="shared" si="124"/>
        <v>0</v>
      </c>
      <c r="BD102" s="970">
        <f t="shared" si="125"/>
        <v>0</v>
      </c>
      <c r="BE102" s="970">
        <f t="shared" si="126"/>
        <v>0</v>
      </c>
      <c r="BF102" s="970">
        <f t="shared" si="127"/>
        <v>0</v>
      </c>
      <c r="BG102" s="970">
        <f t="shared" si="128"/>
        <v>0</v>
      </c>
      <c r="BH102" s="970">
        <f t="shared" si="129"/>
        <v>0</v>
      </c>
      <c r="BI102" s="970">
        <f t="shared" si="130"/>
        <v>0</v>
      </c>
      <c r="BJ102" s="168">
        <f t="shared" si="131"/>
        <v>0</v>
      </c>
      <c r="BK102" s="971">
        <f t="shared" ref="BK102:BK106" si="134">BJ102-(D102-H102)</f>
        <v>0</v>
      </c>
    </row>
    <row r="103" spans="1:63" outlineLevel="1" x14ac:dyDescent="0.2">
      <c r="A103" s="101" t="str">
        <f>IF(Personalplanung!B103&lt;&gt;"",Personalplanung!B103,IF(Personalplanung!A103&lt;&gt;"",Personalplanung!A103,""))</f>
        <v/>
      </c>
      <c r="B103" s="168">
        <f>Personalplanung!AH103</f>
        <v>0</v>
      </c>
      <c r="C103" s="168">
        <f>Personalplanung!AI103</f>
        <v>0</v>
      </c>
      <c r="D103" s="170">
        <f t="shared" si="109"/>
        <v>0</v>
      </c>
      <c r="E103" s="960">
        <f>Personalplanung!AG103</f>
        <v>0</v>
      </c>
      <c r="F103" s="170"/>
      <c r="G103" s="961">
        <f>Personalplanung!AL103</f>
        <v>0</v>
      </c>
      <c r="H103" s="961">
        <f t="shared" si="110"/>
        <v>0</v>
      </c>
      <c r="I103" s="99"/>
      <c r="J103" s="964">
        <v>1</v>
      </c>
      <c r="K103" s="964"/>
      <c r="L103" s="964"/>
      <c r="M103" s="964"/>
      <c r="N103" s="964"/>
      <c r="O103" s="964"/>
      <c r="P103" s="964"/>
      <c r="Q103" s="964"/>
      <c r="R103" s="968">
        <f t="shared" si="111"/>
        <v>1</v>
      </c>
      <c r="S103" s="969">
        <f t="shared" si="73"/>
        <v>0</v>
      </c>
      <c r="U103" s="970">
        <f t="shared" si="112"/>
        <v>0</v>
      </c>
      <c r="V103" s="970">
        <f t="shared" si="113"/>
        <v>0</v>
      </c>
      <c r="W103" s="970">
        <f t="shared" si="114"/>
        <v>0</v>
      </c>
      <c r="X103" s="970">
        <f t="shared" si="115"/>
        <v>0</v>
      </c>
      <c r="Y103" s="970">
        <f t="shared" si="116"/>
        <v>0</v>
      </c>
      <c r="Z103" s="970">
        <f t="shared" si="117"/>
        <v>0</v>
      </c>
      <c r="AA103" s="970">
        <f t="shared" si="118"/>
        <v>0</v>
      </c>
      <c r="AB103" s="970">
        <f t="shared" si="119"/>
        <v>0</v>
      </c>
      <c r="AC103" s="168">
        <f t="shared" si="120"/>
        <v>0</v>
      </c>
      <c r="AD103" s="971">
        <f t="shared" si="132"/>
        <v>0</v>
      </c>
      <c r="AE103" s="136"/>
      <c r="AF103" s="970">
        <f t="shared" si="75"/>
        <v>0</v>
      </c>
      <c r="AG103" s="970">
        <f t="shared" si="76"/>
        <v>0</v>
      </c>
      <c r="AH103" s="970">
        <f t="shared" si="77"/>
        <v>0</v>
      </c>
      <c r="AI103" s="970">
        <f t="shared" si="78"/>
        <v>0</v>
      </c>
      <c r="AJ103" s="970">
        <f t="shared" si="79"/>
        <v>0</v>
      </c>
      <c r="AK103" s="970">
        <f t="shared" si="80"/>
        <v>0</v>
      </c>
      <c r="AL103" s="970">
        <f t="shared" si="81"/>
        <v>0</v>
      </c>
      <c r="AM103" s="970">
        <f t="shared" si="82"/>
        <v>0</v>
      </c>
      <c r="AN103" s="168">
        <f t="shared" si="121"/>
        <v>0</v>
      </c>
      <c r="AO103" s="971">
        <f t="shared" si="133"/>
        <v>0</v>
      </c>
      <c r="AQ103" s="964"/>
      <c r="AR103" s="964"/>
      <c r="AS103" s="964"/>
      <c r="AT103" s="964"/>
      <c r="AU103" s="964"/>
      <c r="AV103" s="964"/>
      <c r="AW103" s="964"/>
      <c r="AX103" s="964"/>
      <c r="AY103" s="968">
        <f t="shared" si="122"/>
        <v>0</v>
      </c>
      <c r="AZ103" s="969" t="str">
        <f t="shared" si="84"/>
        <v>bitte prüfen!</v>
      </c>
      <c r="BB103" s="970">
        <f t="shared" si="123"/>
        <v>0</v>
      </c>
      <c r="BC103" s="970">
        <f t="shared" si="124"/>
        <v>0</v>
      </c>
      <c r="BD103" s="970">
        <f t="shared" si="125"/>
        <v>0</v>
      </c>
      <c r="BE103" s="970">
        <f t="shared" si="126"/>
        <v>0</v>
      </c>
      <c r="BF103" s="970">
        <f t="shared" si="127"/>
        <v>0</v>
      </c>
      <c r="BG103" s="970">
        <f t="shared" si="128"/>
        <v>0</v>
      </c>
      <c r="BH103" s="970">
        <f t="shared" si="129"/>
        <v>0</v>
      </c>
      <c r="BI103" s="970">
        <f t="shared" si="130"/>
        <v>0</v>
      </c>
      <c r="BJ103" s="168">
        <f t="shared" si="131"/>
        <v>0</v>
      </c>
      <c r="BK103" s="971">
        <f t="shared" si="134"/>
        <v>0</v>
      </c>
    </row>
    <row r="104" spans="1:63" outlineLevel="1" x14ac:dyDescent="0.2">
      <c r="A104" s="101" t="str">
        <f>IF(Personalplanung!B104&lt;&gt;"",Personalplanung!B104,IF(Personalplanung!A104&lt;&gt;"",Personalplanung!A104,""))</f>
        <v/>
      </c>
      <c r="B104" s="168">
        <f>Personalplanung!AH104</f>
        <v>0</v>
      </c>
      <c r="C104" s="168">
        <f>Personalplanung!AI104</f>
        <v>0</v>
      </c>
      <c r="D104" s="170">
        <f t="shared" si="109"/>
        <v>0</v>
      </c>
      <c r="E104" s="960">
        <f>Personalplanung!AG104</f>
        <v>0</v>
      </c>
      <c r="F104" s="170"/>
      <c r="G104" s="961">
        <f>Personalplanung!AL104</f>
        <v>0</v>
      </c>
      <c r="H104" s="961">
        <f t="shared" si="110"/>
        <v>0</v>
      </c>
      <c r="I104" s="99"/>
      <c r="J104" s="964">
        <v>1</v>
      </c>
      <c r="K104" s="964"/>
      <c r="L104" s="964"/>
      <c r="M104" s="964"/>
      <c r="N104" s="964"/>
      <c r="O104" s="964"/>
      <c r="P104" s="964"/>
      <c r="Q104" s="964"/>
      <c r="R104" s="968">
        <f t="shared" si="111"/>
        <v>1</v>
      </c>
      <c r="S104" s="969">
        <f t="shared" si="73"/>
        <v>0</v>
      </c>
      <c r="U104" s="970">
        <f t="shared" si="112"/>
        <v>0</v>
      </c>
      <c r="V104" s="970">
        <f t="shared" si="113"/>
        <v>0</v>
      </c>
      <c r="W104" s="970">
        <f t="shared" si="114"/>
        <v>0</v>
      </c>
      <c r="X104" s="970">
        <f t="shared" si="115"/>
        <v>0</v>
      </c>
      <c r="Y104" s="970">
        <f t="shared" si="116"/>
        <v>0</v>
      </c>
      <c r="Z104" s="970">
        <f t="shared" si="117"/>
        <v>0</v>
      </c>
      <c r="AA104" s="970">
        <f t="shared" si="118"/>
        <v>0</v>
      </c>
      <c r="AB104" s="970">
        <f t="shared" si="119"/>
        <v>0</v>
      </c>
      <c r="AC104" s="168">
        <f t="shared" si="120"/>
        <v>0</v>
      </c>
      <c r="AD104" s="971">
        <f t="shared" si="132"/>
        <v>0</v>
      </c>
      <c r="AE104" s="136"/>
      <c r="AF104" s="970">
        <f t="shared" si="75"/>
        <v>0</v>
      </c>
      <c r="AG104" s="970">
        <f t="shared" si="76"/>
        <v>0</v>
      </c>
      <c r="AH104" s="970">
        <f t="shared" si="77"/>
        <v>0</v>
      </c>
      <c r="AI104" s="970">
        <f t="shared" si="78"/>
        <v>0</v>
      </c>
      <c r="AJ104" s="970">
        <f t="shared" si="79"/>
        <v>0</v>
      </c>
      <c r="AK104" s="970">
        <f t="shared" si="80"/>
        <v>0</v>
      </c>
      <c r="AL104" s="970">
        <f t="shared" si="81"/>
        <v>0</v>
      </c>
      <c r="AM104" s="970">
        <f t="shared" si="82"/>
        <v>0</v>
      </c>
      <c r="AN104" s="168">
        <f t="shared" si="121"/>
        <v>0</v>
      </c>
      <c r="AO104" s="971">
        <f t="shared" si="133"/>
        <v>0</v>
      </c>
      <c r="AQ104" s="964"/>
      <c r="AR104" s="964"/>
      <c r="AS104" s="964"/>
      <c r="AT104" s="964"/>
      <c r="AU104" s="964"/>
      <c r="AV104" s="964"/>
      <c r="AW104" s="964"/>
      <c r="AX104" s="964"/>
      <c r="AY104" s="968">
        <f t="shared" si="122"/>
        <v>0</v>
      </c>
      <c r="AZ104" s="969" t="str">
        <f t="shared" si="84"/>
        <v>bitte prüfen!</v>
      </c>
      <c r="BB104" s="970">
        <f t="shared" si="123"/>
        <v>0</v>
      </c>
      <c r="BC104" s="970">
        <f t="shared" si="124"/>
        <v>0</v>
      </c>
      <c r="BD104" s="970">
        <f t="shared" si="125"/>
        <v>0</v>
      </c>
      <c r="BE104" s="970">
        <f t="shared" si="126"/>
        <v>0</v>
      </c>
      <c r="BF104" s="970">
        <f t="shared" si="127"/>
        <v>0</v>
      </c>
      <c r="BG104" s="970">
        <f t="shared" si="128"/>
        <v>0</v>
      </c>
      <c r="BH104" s="970">
        <f t="shared" si="129"/>
        <v>0</v>
      </c>
      <c r="BI104" s="970">
        <f t="shared" si="130"/>
        <v>0</v>
      </c>
      <c r="BJ104" s="168">
        <f t="shared" si="131"/>
        <v>0</v>
      </c>
      <c r="BK104" s="971">
        <f t="shared" si="134"/>
        <v>0</v>
      </c>
    </row>
    <row r="105" spans="1:63" outlineLevel="1" x14ac:dyDescent="0.2">
      <c r="A105" s="101" t="str">
        <f>IF(Personalplanung!B105&lt;&gt;"",Personalplanung!B105,IF(Personalplanung!A105&lt;&gt;"",Personalplanung!A105,""))</f>
        <v/>
      </c>
      <c r="B105" s="168">
        <f>Personalplanung!AH105</f>
        <v>0</v>
      </c>
      <c r="C105" s="168">
        <f>Personalplanung!AI105</f>
        <v>0</v>
      </c>
      <c r="D105" s="170">
        <f t="shared" si="109"/>
        <v>0</v>
      </c>
      <c r="E105" s="960">
        <f>Personalplanung!AG105</f>
        <v>0</v>
      </c>
      <c r="F105" s="170"/>
      <c r="G105" s="961">
        <f>Personalplanung!AL105</f>
        <v>0</v>
      </c>
      <c r="H105" s="961">
        <f t="shared" si="110"/>
        <v>0</v>
      </c>
      <c r="I105" s="99"/>
      <c r="J105" s="964">
        <v>1</v>
      </c>
      <c r="K105" s="964"/>
      <c r="L105" s="964"/>
      <c r="M105" s="964"/>
      <c r="N105" s="964"/>
      <c r="O105" s="964"/>
      <c r="P105" s="964"/>
      <c r="Q105" s="964"/>
      <c r="R105" s="968">
        <f t="shared" si="111"/>
        <v>1</v>
      </c>
      <c r="S105" s="969">
        <f t="shared" si="73"/>
        <v>0</v>
      </c>
      <c r="U105" s="970">
        <f t="shared" si="112"/>
        <v>0</v>
      </c>
      <c r="V105" s="970">
        <f t="shared" si="113"/>
        <v>0</v>
      </c>
      <c r="W105" s="970">
        <f t="shared" si="114"/>
        <v>0</v>
      </c>
      <c r="X105" s="970">
        <f t="shared" si="115"/>
        <v>0</v>
      </c>
      <c r="Y105" s="970">
        <f t="shared" si="116"/>
        <v>0</v>
      </c>
      <c r="Z105" s="970">
        <f t="shared" si="117"/>
        <v>0</v>
      </c>
      <c r="AA105" s="970">
        <f t="shared" si="118"/>
        <v>0</v>
      </c>
      <c r="AB105" s="970">
        <f t="shared" si="119"/>
        <v>0</v>
      </c>
      <c r="AC105" s="168">
        <f t="shared" si="120"/>
        <v>0</v>
      </c>
      <c r="AD105" s="971">
        <f t="shared" si="132"/>
        <v>0</v>
      </c>
      <c r="AE105" s="136"/>
      <c r="AF105" s="970">
        <f t="shared" si="75"/>
        <v>0</v>
      </c>
      <c r="AG105" s="970">
        <f t="shared" si="76"/>
        <v>0</v>
      </c>
      <c r="AH105" s="970">
        <f t="shared" si="77"/>
        <v>0</v>
      </c>
      <c r="AI105" s="970">
        <f t="shared" si="78"/>
        <v>0</v>
      </c>
      <c r="AJ105" s="970">
        <f t="shared" si="79"/>
        <v>0</v>
      </c>
      <c r="AK105" s="970">
        <f t="shared" si="80"/>
        <v>0</v>
      </c>
      <c r="AL105" s="970">
        <f t="shared" si="81"/>
        <v>0</v>
      </c>
      <c r="AM105" s="970">
        <f t="shared" si="82"/>
        <v>0</v>
      </c>
      <c r="AN105" s="168">
        <f t="shared" si="121"/>
        <v>0</v>
      </c>
      <c r="AO105" s="971">
        <f t="shared" si="133"/>
        <v>0</v>
      </c>
      <c r="AQ105" s="964"/>
      <c r="AR105" s="964"/>
      <c r="AS105" s="964"/>
      <c r="AT105" s="964"/>
      <c r="AU105" s="964"/>
      <c r="AV105" s="964"/>
      <c r="AW105" s="964"/>
      <c r="AX105" s="964"/>
      <c r="AY105" s="968">
        <f t="shared" si="122"/>
        <v>0</v>
      </c>
      <c r="AZ105" s="969" t="str">
        <f t="shared" si="84"/>
        <v>bitte prüfen!</v>
      </c>
      <c r="BB105" s="970">
        <f t="shared" si="123"/>
        <v>0</v>
      </c>
      <c r="BC105" s="970">
        <f t="shared" si="124"/>
        <v>0</v>
      </c>
      <c r="BD105" s="970">
        <f t="shared" si="125"/>
        <v>0</v>
      </c>
      <c r="BE105" s="970">
        <f t="shared" si="126"/>
        <v>0</v>
      </c>
      <c r="BF105" s="970">
        <f t="shared" si="127"/>
        <v>0</v>
      </c>
      <c r="BG105" s="970">
        <f t="shared" si="128"/>
        <v>0</v>
      </c>
      <c r="BH105" s="970">
        <f t="shared" si="129"/>
        <v>0</v>
      </c>
      <c r="BI105" s="970">
        <f t="shared" si="130"/>
        <v>0</v>
      </c>
      <c r="BJ105" s="168">
        <f t="shared" si="131"/>
        <v>0</v>
      </c>
      <c r="BK105" s="971">
        <f t="shared" si="134"/>
        <v>0</v>
      </c>
    </row>
    <row r="106" spans="1:63" outlineLevel="1" x14ac:dyDescent="0.2">
      <c r="A106" s="101" t="str">
        <f>IF(Personalplanung!B106&lt;&gt;"",Personalplanung!B106,IF(Personalplanung!A106&lt;&gt;"",Personalplanung!A106,""))</f>
        <v/>
      </c>
      <c r="B106" s="168">
        <f>Personalplanung!AH106</f>
        <v>0</v>
      </c>
      <c r="C106" s="168">
        <f>Personalplanung!AI106</f>
        <v>0</v>
      </c>
      <c r="D106" s="170">
        <f t="shared" si="109"/>
        <v>0</v>
      </c>
      <c r="E106" s="960">
        <f>Personalplanung!AG106</f>
        <v>0</v>
      </c>
      <c r="F106" s="170"/>
      <c r="G106" s="961">
        <f>Personalplanung!AL106</f>
        <v>0</v>
      </c>
      <c r="H106" s="961">
        <f t="shared" si="110"/>
        <v>0</v>
      </c>
      <c r="I106" s="99"/>
      <c r="J106" s="964">
        <v>1</v>
      </c>
      <c r="K106" s="964"/>
      <c r="L106" s="964"/>
      <c r="M106" s="964"/>
      <c r="N106" s="964"/>
      <c r="O106" s="964"/>
      <c r="P106" s="964"/>
      <c r="Q106" s="964"/>
      <c r="R106" s="968">
        <f t="shared" si="111"/>
        <v>1</v>
      </c>
      <c r="S106" s="969">
        <f t="shared" si="73"/>
        <v>0</v>
      </c>
      <c r="U106" s="970">
        <f t="shared" si="112"/>
        <v>0</v>
      </c>
      <c r="V106" s="970">
        <f t="shared" si="113"/>
        <v>0</v>
      </c>
      <c r="W106" s="970">
        <f t="shared" si="114"/>
        <v>0</v>
      </c>
      <c r="X106" s="970">
        <f t="shared" si="115"/>
        <v>0</v>
      </c>
      <c r="Y106" s="970">
        <f t="shared" si="116"/>
        <v>0</v>
      </c>
      <c r="Z106" s="970">
        <f t="shared" si="117"/>
        <v>0</v>
      </c>
      <c r="AA106" s="970">
        <f t="shared" si="118"/>
        <v>0</v>
      </c>
      <c r="AB106" s="970">
        <f t="shared" si="119"/>
        <v>0</v>
      </c>
      <c r="AC106" s="168">
        <f t="shared" si="120"/>
        <v>0</v>
      </c>
      <c r="AD106" s="971">
        <f t="shared" si="132"/>
        <v>0</v>
      </c>
      <c r="AE106" s="136"/>
      <c r="AF106" s="970">
        <f t="shared" si="75"/>
        <v>0</v>
      </c>
      <c r="AG106" s="970">
        <f t="shared" si="76"/>
        <v>0</v>
      </c>
      <c r="AH106" s="970">
        <f t="shared" si="77"/>
        <v>0</v>
      </c>
      <c r="AI106" s="970">
        <f t="shared" si="78"/>
        <v>0</v>
      </c>
      <c r="AJ106" s="970">
        <f t="shared" si="79"/>
        <v>0</v>
      </c>
      <c r="AK106" s="970">
        <f t="shared" si="80"/>
        <v>0</v>
      </c>
      <c r="AL106" s="970">
        <f t="shared" si="81"/>
        <v>0</v>
      </c>
      <c r="AM106" s="970">
        <f t="shared" si="82"/>
        <v>0</v>
      </c>
      <c r="AN106" s="168">
        <f t="shared" si="121"/>
        <v>0</v>
      </c>
      <c r="AO106" s="971">
        <f t="shared" si="133"/>
        <v>0</v>
      </c>
      <c r="AQ106" s="964"/>
      <c r="AR106" s="964"/>
      <c r="AS106" s="964"/>
      <c r="AT106" s="964"/>
      <c r="AU106" s="964"/>
      <c r="AV106" s="964"/>
      <c r="AW106" s="964"/>
      <c r="AX106" s="964"/>
      <c r="AY106" s="968">
        <f t="shared" si="122"/>
        <v>0</v>
      </c>
      <c r="AZ106" s="969" t="str">
        <f t="shared" si="84"/>
        <v>bitte prüfen!</v>
      </c>
      <c r="BB106" s="970">
        <f t="shared" si="123"/>
        <v>0</v>
      </c>
      <c r="BC106" s="970">
        <f t="shared" si="124"/>
        <v>0</v>
      </c>
      <c r="BD106" s="970">
        <f t="shared" si="125"/>
        <v>0</v>
      </c>
      <c r="BE106" s="970">
        <f t="shared" si="126"/>
        <v>0</v>
      </c>
      <c r="BF106" s="970">
        <f t="shared" si="127"/>
        <v>0</v>
      </c>
      <c r="BG106" s="970">
        <f t="shared" si="128"/>
        <v>0</v>
      </c>
      <c r="BH106" s="970">
        <f t="shared" si="129"/>
        <v>0</v>
      </c>
      <c r="BI106" s="970">
        <f t="shared" si="130"/>
        <v>0</v>
      </c>
      <c r="BJ106" s="168">
        <f t="shared" si="131"/>
        <v>0</v>
      </c>
      <c r="BK106" s="971">
        <f t="shared" si="134"/>
        <v>0</v>
      </c>
    </row>
    <row r="107" spans="1:63" s="90" customFormat="1" x14ac:dyDescent="0.2">
      <c r="A107" s="962" t="str">
        <f>Personalplanung!B107</f>
        <v>Summe</v>
      </c>
      <c r="B107" s="170">
        <f>SUM(B6:B106)</f>
        <v>391168.83333333337</v>
      </c>
      <c r="C107" s="170">
        <f>SUM(C6:C106)</f>
        <v>357108.7</v>
      </c>
      <c r="D107" s="170">
        <f>SUM(D6:D106)</f>
        <v>748277.53333333344</v>
      </c>
      <c r="E107" s="960">
        <f>SUM(E6:E106)</f>
        <v>10.3</v>
      </c>
      <c r="F107" s="170"/>
      <c r="G107" s="950">
        <f>SUM(G6:G106)</f>
        <v>13550.4</v>
      </c>
      <c r="H107" s="950">
        <f>SUM(H6:H106)</f>
        <v>391168.83333333337</v>
      </c>
      <c r="I107" s="94"/>
      <c r="J107" s="965">
        <f t="shared" ref="J107:R107" si="135">SUM(J6:J106)</f>
        <v>95.3</v>
      </c>
      <c r="K107" s="965">
        <f t="shared" si="135"/>
        <v>0</v>
      </c>
      <c r="L107" s="965">
        <f t="shared" si="135"/>
        <v>0</v>
      </c>
      <c r="M107" s="965">
        <f t="shared" si="135"/>
        <v>0</v>
      </c>
      <c r="N107" s="965">
        <f t="shared" si="135"/>
        <v>0</v>
      </c>
      <c r="O107" s="965">
        <f t="shared" si="135"/>
        <v>0</v>
      </c>
      <c r="P107" s="965">
        <f t="shared" si="135"/>
        <v>0</v>
      </c>
      <c r="Q107" s="966">
        <f t="shared" si="135"/>
        <v>0</v>
      </c>
      <c r="R107" s="966">
        <f t="shared" si="135"/>
        <v>95.3</v>
      </c>
      <c r="S107" s="969">
        <f>IF(ROUND(SUM(S6:S106),0)=0,0,"bitte prüfen!")</f>
        <v>0</v>
      </c>
      <c r="U107" s="170">
        <f t="shared" ref="U107:AD107" si="136">SUM(U6:U106)</f>
        <v>372597.9</v>
      </c>
      <c r="V107" s="170">
        <f t="shared" si="136"/>
        <v>0</v>
      </c>
      <c r="W107" s="170">
        <f t="shared" si="136"/>
        <v>0</v>
      </c>
      <c r="X107" s="170">
        <f t="shared" si="136"/>
        <v>0</v>
      </c>
      <c r="Y107" s="170">
        <f t="shared" si="136"/>
        <v>0</v>
      </c>
      <c r="Z107" s="170">
        <f t="shared" si="136"/>
        <v>0</v>
      </c>
      <c r="AA107" s="170">
        <f t="shared" si="136"/>
        <v>0</v>
      </c>
      <c r="AB107" s="950">
        <f t="shared" si="136"/>
        <v>0</v>
      </c>
      <c r="AC107" s="170">
        <f t="shared" si="136"/>
        <v>372597.9</v>
      </c>
      <c r="AD107" s="946">
        <f t="shared" si="136"/>
        <v>-18570.933333333334</v>
      </c>
      <c r="AE107" s="95"/>
      <c r="AF107" s="950">
        <f t="shared" ref="AF107:AO107" si="137">SUM(AF6:AF106)</f>
        <v>13550.4</v>
      </c>
      <c r="AG107" s="950">
        <f t="shared" si="137"/>
        <v>0</v>
      </c>
      <c r="AH107" s="950">
        <f t="shared" si="137"/>
        <v>0</v>
      </c>
      <c r="AI107" s="950">
        <f t="shared" si="137"/>
        <v>0</v>
      </c>
      <c r="AJ107" s="950">
        <f t="shared" si="137"/>
        <v>0</v>
      </c>
      <c r="AK107" s="950">
        <f t="shared" si="137"/>
        <v>0</v>
      </c>
      <c r="AL107" s="950">
        <f t="shared" si="137"/>
        <v>0</v>
      </c>
      <c r="AM107" s="950">
        <f t="shared" si="137"/>
        <v>0</v>
      </c>
      <c r="AN107" s="170">
        <f t="shared" si="137"/>
        <v>13550.4</v>
      </c>
      <c r="AO107" s="946">
        <f t="shared" si="137"/>
        <v>0</v>
      </c>
      <c r="AQ107" s="965">
        <f t="shared" ref="AQ107:AY107" si="138">SUM(AQ6:AQ106)</f>
        <v>5.7</v>
      </c>
      <c r="AR107" s="965">
        <f t="shared" si="138"/>
        <v>0</v>
      </c>
      <c r="AS107" s="965">
        <f t="shared" si="138"/>
        <v>0</v>
      </c>
      <c r="AT107" s="965">
        <f t="shared" si="138"/>
        <v>0</v>
      </c>
      <c r="AU107" s="965">
        <f t="shared" si="138"/>
        <v>0</v>
      </c>
      <c r="AV107" s="965">
        <f t="shared" si="138"/>
        <v>0</v>
      </c>
      <c r="AW107" s="965">
        <f t="shared" si="138"/>
        <v>0</v>
      </c>
      <c r="AX107" s="966">
        <f t="shared" si="138"/>
        <v>0</v>
      </c>
      <c r="AY107" s="966">
        <f t="shared" si="138"/>
        <v>5.7</v>
      </c>
      <c r="AZ107" s="969" t="str">
        <f>IF(ISERROR(MATCH("bitte prüfen!",AZ6:AZ106,0)),0,"bitte prüfen!")</f>
        <v>bitte prüfen!</v>
      </c>
      <c r="BB107" s="170">
        <f t="shared" ref="BB107:BK107" si="139">SUM(BB6:BB106)</f>
        <v>330535.40000000002</v>
      </c>
      <c r="BC107" s="170">
        <f t="shared" si="139"/>
        <v>0</v>
      </c>
      <c r="BD107" s="170">
        <f t="shared" si="139"/>
        <v>0</v>
      </c>
      <c r="BE107" s="170">
        <f t="shared" si="139"/>
        <v>0</v>
      </c>
      <c r="BF107" s="170">
        <f t="shared" si="139"/>
        <v>0</v>
      </c>
      <c r="BG107" s="170">
        <f t="shared" si="139"/>
        <v>0</v>
      </c>
      <c r="BH107" s="170">
        <f t="shared" si="139"/>
        <v>0</v>
      </c>
      <c r="BI107" s="950">
        <f t="shared" si="139"/>
        <v>0</v>
      </c>
      <c r="BJ107" s="170">
        <f t="shared" si="139"/>
        <v>330535.40000000002</v>
      </c>
      <c r="BK107" s="946">
        <f t="shared" si="139"/>
        <v>-26573.300000000003</v>
      </c>
    </row>
    <row r="108" spans="1:63" outlineLevel="1" x14ac:dyDescent="0.2">
      <c r="D108" s="135">
        <f>D107-Personalplanung!AH107-Personalplanung!AI107</f>
        <v>0</v>
      </c>
      <c r="E108" s="135"/>
      <c r="F108" s="135"/>
      <c r="G108" s="95">
        <f>G107-Personalplanung!AL107</f>
        <v>0</v>
      </c>
      <c r="H108" s="95" t="e">
        <f>H107-Stundencontrolling!AC1355</f>
        <v>#DIV/0!</v>
      </c>
      <c r="I108" s="95"/>
      <c r="AC108" s="134">
        <f>AC107-H107</f>
        <v>-18570.933333333349</v>
      </c>
      <c r="AN108" s="134">
        <f>AN107-G107</f>
        <v>0</v>
      </c>
      <c r="BJ108" s="134">
        <f>BJ107-(D107-H107)</f>
        <v>-26573.300000000047</v>
      </c>
    </row>
  </sheetData>
  <mergeCells count="1">
    <mergeCell ref="C3:H3"/>
  </mergeCells>
  <conditionalFormatting sqref="E6">
    <cfRule type="cellIs" dxfId="3255" priority="86" operator="equal">
      <formula>1</formula>
    </cfRule>
    <cfRule type="cellIs" dxfId="3254" priority="87" operator="equal">
      <formula>1</formula>
    </cfRule>
  </conditionalFormatting>
  <conditionalFormatting sqref="AR6:AX6">
    <cfRule type="expression" dxfId="3253" priority="43">
      <formula>IF($E6=1,TRUE(),FALSE())</formula>
    </cfRule>
  </conditionalFormatting>
  <conditionalFormatting sqref="J6:Q6">
    <cfRule type="expression" dxfId="3252" priority="83">
      <formula>IF($E6=0,TRUE(),FALSE())</formula>
    </cfRule>
  </conditionalFormatting>
  <conditionalFormatting sqref="J7:Q7">
    <cfRule type="expression" dxfId="3251" priority="82">
      <formula>IF($E7=0,TRUE(),FALSE())</formula>
    </cfRule>
  </conditionalFormatting>
  <conditionalFormatting sqref="J8:Q8">
    <cfRule type="expression" dxfId="3250" priority="81">
      <formula>IF($E8=0,TRUE(),FALSE())</formula>
    </cfRule>
  </conditionalFormatting>
  <conditionalFormatting sqref="J9:Q9">
    <cfRule type="expression" dxfId="3249" priority="80">
      <formula>IF($E9=0,TRUE(),FALSE())</formula>
    </cfRule>
  </conditionalFormatting>
  <conditionalFormatting sqref="J10:Q10">
    <cfRule type="expression" dxfId="3248" priority="79">
      <formula>IF($E10=0,TRUE(),FALSE())</formula>
    </cfRule>
  </conditionalFormatting>
  <conditionalFormatting sqref="J11:Q11">
    <cfRule type="expression" dxfId="3247" priority="78">
      <formula>IF($E11=0,TRUE(),FALSE())</formula>
    </cfRule>
  </conditionalFormatting>
  <conditionalFormatting sqref="J12:Q12">
    <cfRule type="expression" dxfId="3246" priority="77">
      <formula>IF($E12=0,TRUE(),FALSE())</formula>
    </cfRule>
  </conditionalFormatting>
  <conditionalFormatting sqref="K13:Q13">
    <cfRule type="expression" dxfId="3245" priority="76">
      <formula>IF($E13=0,TRUE(),FALSE())</formula>
    </cfRule>
  </conditionalFormatting>
  <conditionalFormatting sqref="K14:Q14">
    <cfRule type="expression" dxfId="3244" priority="75">
      <formula>IF($E14=0,TRUE(),FALSE())</formula>
    </cfRule>
  </conditionalFormatting>
  <conditionalFormatting sqref="K15:Q15">
    <cfRule type="expression" dxfId="3243" priority="74">
      <formula>IF($E15=0,TRUE(),FALSE())</formula>
    </cfRule>
  </conditionalFormatting>
  <conditionalFormatting sqref="K16:Q16">
    <cfRule type="expression" dxfId="3242" priority="73">
      <formula>IF($E16=0,TRUE(),FALSE())</formula>
    </cfRule>
  </conditionalFormatting>
  <conditionalFormatting sqref="K17:Q17">
    <cfRule type="expression" dxfId="3241" priority="72">
      <formula>IF($E17=0,TRUE(),FALSE())</formula>
    </cfRule>
  </conditionalFormatting>
  <conditionalFormatting sqref="K18:Q18">
    <cfRule type="expression" dxfId="3240" priority="71">
      <formula>IF($E18=0,TRUE(),FALSE())</formula>
    </cfRule>
  </conditionalFormatting>
  <conditionalFormatting sqref="K19:Q19">
    <cfRule type="expression" dxfId="3239" priority="70">
      <formula>IF($E19=0,TRUE(),FALSE())</formula>
    </cfRule>
  </conditionalFormatting>
  <conditionalFormatting sqref="K20:Q106">
    <cfRule type="expression" dxfId="3238" priority="69">
      <formula>IF($E20=0,TRUE(),FALSE())</formula>
    </cfRule>
  </conditionalFormatting>
  <conditionalFormatting sqref="K21:Q106">
    <cfRule type="expression" dxfId="3237" priority="68">
      <formula>IF($E21=0,TRUE(),FALSE())</formula>
    </cfRule>
  </conditionalFormatting>
  <conditionalFormatting sqref="J100:Q100">
    <cfRule type="expression" dxfId="3236" priority="67">
      <formula>IF($E100=0,TRUE(),FALSE())</formula>
    </cfRule>
  </conditionalFormatting>
  <conditionalFormatting sqref="J101:Q101">
    <cfRule type="expression" dxfId="3235" priority="66">
      <formula>IF($E101=0,TRUE(),FALSE())</formula>
    </cfRule>
  </conditionalFormatting>
  <conditionalFormatting sqref="J102:Q102">
    <cfRule type="expression" dxfId="3234" priority="65">
      <formula>IF($E102=0,TRUE(),FALSE())</formula>
    </cfRule>
  </conditionalFormatting>
  <conditionalFormatting sqref="J103:Q103">
    <cfRule type="expression" dxfId="3233" priority="64">
      <formula>IF($E103=0,TRUE(),FALSE())</formula>
    </cfRule>
  </conditionalFormatting>
  <conditionalFormatting sqref="J104:Q104">
    <cfRule type="expression" dxfId="3232" priority="63">
      <formula>IF($E104=0,TRUE(),FALSE())</formula>
    </cfRule>
  </conditionalFormatting>
  <conditionalFormatting sqref="J105:Q105">
    <cfRule type="expression" dxfId="3231" priority="62">
      <formula>IF($E105=0,TRUE(),FALSE())</formula>
    </cfRule>
  </conditionalFormatting>
  <conditionalFormatting sqref="J106:Q106">
    <cfRule type="expression" dxfId="3230" priority="61">
      <formula>IF($E106=0,TRUE(),FALSE())</formula>
    </cfRule>
  </conditionalFormatting>
  <conditionalFormatting sqref="AR7:AX7">
    <cfRule type="expression" dxfId="3229" priority="42">
      <formula>IF($E7=1,TRUE(),FALSE())</formula>
    </cfRule>
  </conditionalFormatting>
  <conditionalFormatting sqref="AR8:AX8">
    <cfRule type="expression" dxfId="3228" priority="41">
      <formula>IF($E8=1,TRUE(),FALSE())</formula>
    </cfRule>
  </conditionalFormatting>
  <conditionalFormatting sqref="AR9:AX9">
    <cfRule type="expression" dxfId="3227" priority="40">
      <formula>IF($E9=1,TRUE(),FALSE())</formula>
    </cfRule>
  </conditionalFormatting>
  <conditionalFormatting sqref="AR10:AX10">
    <cfRule type="expression" dxfId="3226" priority="39">
      <formula>IF($E10=1,TRUE(),FALSE())</formula>
    </cfRule>
  </conditionalFormatting>
  <conditionalFormatting sqref="AR11:AX11">
    <cfRule type="expression" dxfId="3225" priority="38">
      <formula>IF($E11=1,TRUE(),FALSE())</formula>
    </cfRule>
  </conditionalFormatting>
  <conditionalFormatting sqref="AQ12:AX12">
    <cfRule type="expression" dxfId="3224" priority="37">
      <formula>IF($E12=1,TRUE(),FALSE())</formula>
    </cfRule>
  </conditionalFormatting>
  <conditionalFormatting sqref="AQ13:AX13">
    <cfRule type="expression" dxfId="3223" priority="36">
      <formula>IF($E13=1,TRUE(),FALSE())</formula>
    </cfRule>
  </conditionalFormatting>
  <conditionalFormatting sqref="AQ14:AX14">
    <cfRule type="expression" dxfId="3222" priority="35">
      <formula>IF($E14=1,TRUE(),FALSE())</formula>
    </cfRule>
  </conditionalFormatting>
  <conditionalFormatting sqref="AQ15:AX15">
    <cfRule type="expression" dxfId="3221" priority="34">
      <formula>IF($E15=1,TRUE(),FALSE())</formula>
    </cfRule>
  </conditionalFormatting>
  <conditionalFormatting sqref="AQ16:AX16">
    <cfRule type="expression" dxfId="3220" priority="33">
      <formula>IF($E16=1,TRUE(),FALSE())</formula>
    </cfRule>
  </conditionalFormatting>
  <conditionalFormatting sqref="AQ17:AX17">
    <cfRule type="expression" dxfId="3219" priority="32">
      <formula>IF($E17=1,TRUE(),FALSE())</formula>
    </cfRule>
  </conditionalFormatting>
  <conditionalFormatting sqref="AQ18:AX18">
    <cfRule type="expression" dxfId="3218" priority="31">
      <formula>IF($E18=1,TRUE(),FALSE())</formula>
    </cfRule>
  </conditionalFormatting>
  <conditionalFormatting sqref="AQ19:AX19">
    <cfRule type="expression" dxfId="3217" priority="30">
      <formula>IF($E19=1,TRUE(),FALSE())</formula>
    </cfRule>
  </conditionalFormatting>
  <conditionalFormatting sqref="AQ20:AX106">
    <cfRule type="expression" dxfId="3216" priority="29">
      <formula>IF($E20=1,TRUE(),FALSE())</formula>
    </cfRule>
  </conditionalFormatting>
  <conditionalFormatting sqref="AQ21:AX106">
    <cfRule type="expression" dxfId="3215" priority="28">
      <formula>IF($E21=1,TRUE(),FALSE())</formula>
    </cfRule>
  </conditionalFormatting>
  <conditionalFormatting sqref="AQ100:AX100">
    <cfRule type="expression" dxfId="3214" priority="27">
      <formula>IF($E100=1,TRUE(),FALSE())</formula>
    </cfRule>
  </conditionalFormatting>
  <conditionalFormatting sqref="AQ101:AX101">
    <cfRule type="expression" dxfId="3213" priority="26">
      <formula>IF($E101=1,TRUE(),FALSE())</formula>
    </cfRule>
  </conditionalFormatting>
  <conditionalFormatting sqref="AQ102:AX102">
    <cfRule type="expression" dxfId="3212" priority="25">
      <formula>IF($E102=1,TRUE(),FALSE())</formula>
    </cfRule>
  </conditionalFormatting>
  <conditionalFormatting sqref="AQ103:AX103">
    <cfRule type="expression" dxfId="3211" priority="24">
      <formula>IF($E103=1,TRUE(),FALSE())</formula>
    </cfRule>
  </conditionalFormatting>
  <conditionalFormatting sqref="AQ104:AX104">
    <cfRule type="expression" dxfId="3210" priority="23">
      <formula>IF($E104=1,TRUE(),FALSE())</formula>
    </cfRule>
  </conditionalFormatting>
  <conditionalFormatting sqref="AQ105:AX105">
    <cfRule type="expression" dxfId="3209" priority="22">
      <formula>IF($E105=1,TRUE(),FALSE())</formula>
    </cfRule>
  </conditionalFormatting>
  <conditionalFormatting sqref="AQ106:AX106">
    <cfRule type="expression" dxfId="3208" priority="21">
      <formula>IF($E106=1,TRUE(),FALSE())</formula>
    </cfRule>
  </conditionalFormatting>
  <conditionalFormatting sqref="J13:J106">
    <cfRule type="expression" dxfId="3207" priority="3">
      <formula>IF($E13=0,TRUE(),FALSE())</formula>
    </cfRule>
  </conditionalFormatting>
  <conditionalFormatting sqref="AQ6:AQ11">
    <cfRule type="expression" dxfId="3206" priority="1">
      <formula>IF($E6=0,TRUE(),FALSE())</formula>
    </cfRule>
  </conditionalFormatting>
  <pageMargins left="0.7" right="0.7" top="0.78740157499999996" bottom="0.78740157499999996" header="0.3" footer="0.3"/>
  <pageSetup paperSize="9" scale="62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>
    <tabColor rgb="FF00B0F0"/>
  </sheetPr>
  <dimension ref="A1:R41"/>
  <sheetViews>
    <sheetView showGridLines="0" zoomScaleNormal="100" workbookViewId="0">
      <pane xSplit="2" ySplit="6" topLeftCell="C7" activePane="bottomRight" state="frozen"/>
      <selection activeCell="R63" sqref="R63"/>
      <selection pane="topRight" activeCell="R63" sqref="R63"/>
      <selection pane="bottomLeft" activeCell="R63" sqref="R63"/>
      <selection pane="bottomRight" activeCell="F16" sqref="F16"/>
    </sheetView>
  </sheetViews>
  <sheetFormatPr baseColWidth="10" defaultColWidth="11.42578125" defaultRowHeight="12.75" x14ac:dyDescent="0.2"/>
  <cols>
    <col min="1" max="1" width="11.85546875" style="490" bestFit="1" customWidth="1"/>
    <col min="2" max="6" width="11.42578125" style="490" customWidth="1"/>
    <col min="7" max="7" width="10.28515625" style="490" bestFit="1" customWidth="1"/>
    <col min="8" max="18" width="11.42578125" style="486" customWidth="1"/>
    <col min="19" max="19" width="11.42578125" style="490" customWidth="1"/>
    <col min="20" max="16384" width="11.42578125" style="490"/>
  </cols>
  <sheetData>
    <row r="1" spans="1:7" x14ac:dyDescent="0.2">
      <c r="A1" s="1366" t="s">
        <v>873</v>
      </c>
      <c r="B1" s="1366"/>
      <c r="G1" s="1080" t="str">
        <f>Grunddaten!B4</f>
        <v>Sample-Data</v>
      </c>
    </row>
    <row r="2" spans="1:7" x14ac:dyDescent="0.2">
      <c r="A2" s="1055"/>
      <c r="B2" s="1055"/>
      <c r="G2" s="1081" t="str">
        <f>Grunddaten!$E$5</f>
        <v>2019</v>
      </c>
    </row>
    <row r="3" spans="1:7" x14ac:dyDescent="0.2">
      <c r="A3" s="486"/>
      <c r="B3" s="486"/>
      <c r="C3" s="486"/>
      <c r="D3" s="486"/>
      <c r="E3" s="486"/>
      <c r="F3" s="486"/>
      <c r="G3" s="486"/>
    </row>
    <row r="4" spans="1:7" x14ac:dyDescent="0.2">
      <c r="A4" s="486"/>
      <c r="B4" s="1360" t="s">
        <v>874</v>
      </c>
      <c r="C4" s="1361"/>
      <c r="D4" s="1361"/>
      <c r="E4" s="1361"/>
      <c r="F4" s="1361"/>
      <c r="G4" s="1362"/>
    </row>
    <row r="5" spans="1:7" x14ac:dyDescent="0.2">
      <c r="A5" s="486"/>
      <c r="B5" s="495"/>
      <c r="C5" s="491"/>
      <c r="D5" s="491"/>
      <c r="E5" s="491"/>
      <c r="F5" s="491"/>
      <c r="G5" s="496"/>
    </row>
    <row r="6" spans="1:7" x14ac:dyDescent="0.2">
      <c r="A6" s="486"/>
      <c r="B6" s="526" t="s">
        <v>31</v>
      </c>
      <c r="C6" s="509" t="s">
        <v>875</v>
      </c>
      <c r="D6" s="527" t="s">
        <v>876</v>
      </c>
      <c r="E6" s="509" t="s">
        <v>877</v>
      </c>
      <c r="F6" s="509" t="s">
        <v>878</v>
      </c>
      <c r="G6" s="528" t="s">
        <v>879</v>
      </c>
    </row>
    <row r="7" spans="1:7" x14ac:dyDescent="0.2">
      <c r="A7" s="486"/>
      <c r="B7" s="529">
        <f>EOMONTH(Grunddaten!$H$2,0)</f>
        <v>43496</v>
      </c>
      <c r="C7" s="537">
        <v>500</v>
      </c>
      <c r="D7" s="537">
        <f>'Bestandsveränderungen Vorjahr'!C18</f>
        <v>60</v>
      </c>
      <c r="E7" s="530">
        <f t="shared" ref="E7:E18" si="0">C7-D7</f>
        <v>440</v>
      </c>
      <c r="F7" s="537"/>
      <c r="G7" s="531">
        <f t="shared" ref="G7:G18" si="1">C7-F7</f>
        <v>500</v>
      </c>
    </row>
    <row r="8" spans="1:7" x14ac:dyDescent="0.2">
      <c r="A8" s="486"/>
      <c r="B8" s="529">
        <f>EOMONTH(B7+1,0)</f>
        <v>43524</v>
      </c>
      <c r="C8" s="537">
        <v>200</v>
      </c>
      <c r="D8" s="532">
        <f t="shared" ref="D8:D18" si="2">C7</f>
        <v>500</v>
      </c>
      <c r="E8" s="530">
        <f t="shared" si="0"/>
        <v>-300</v>
      </c>
      <c r="F8" s="537"/>
      <c r="G8" s="531">
        <f t="shared" si="1"/>
        <v>200</v>
      </c>
    </row>
    <row r="9" spans="1:7" x14ac:dyDescent="0.2">
      <c r="A9" s="486"/>
      <c r="B9" s="529">
        <f t="shared" ref="B9:B18" si="3">EOMONTH(B8+1,0)</f>
        <v>43555</v>
      </c>
      <c r="C9" s="537">
        <v>520</v>
      </c>
      <c r="D9" s="532">
        <f t="shared" si="2"/>
        <v>200</v>
      </c>
      <c r="E9" s="530">
        <f t="shared" si="0"/>
        <v>320</v>
      </c>
      <c r="F9" s="537"/>
      <c r="G9" s="531">
        <f t="shared" si="1"/>
        <v>520</v>
      </c>
    </row>
    <row r="10" spans="1:7" x14ac:dyDescent="0.2">
      <c r="A10" s="486"/>
      <c r="B10" s="529">
        <f t="shared" si="3"/>
        <v>43585</v>
      </c>
      <c r="C10" s="537">
        <v>64</v>
      </c>
      <c r="D10" s="532">
        <f t="shared" si="2"/>
        <v>520</v>
      </c>
      <c r="E10" s="530">
        <f t="shared" si="0"/>
        <v>-456</v>
      </c>
      <c r="F10" s="537"/>
      <c r="G10" s="531">
        <f t="shared" si="1"/>
        <v>64</v>
      </c>
    </row>
    <row r="11" spans="1:7" x14ac:dyDescent="0.2">
      <c r="A11" s="486"/>
      <c r="B11" s="529">
        <f t="shared" si="3"/>
        <v>43616</v>
      </c>
      <c r="C11" s="537">
        <v>57</v>
      </c>
      <c r="D11" s="532">
        <f t="shared" si="2"/>
        <v>64</v>
      </c>
      <c r="E11" s="530">
        <f t="shared" si="0"/>
        <v>-7</v>
      </c>
      <c r="F11" s="537"/>
      <c r="G11" s="531">
        <f t="shared" si="1"/>
        <v>57</v>
      </c>
    </row>
    <row r="12" spans="1:7" x14ac:dyDescent="0.2">
      <c r="A12" s="486"/>
      <c r="B12" s="529">
        <f t="shared" si="3"/>
        <v>43646</v>
      </c>
      <c r="C12" s="537">
        <v>87</v>
      </c>
      <c r="D12" s="532">
        <f t="shared" si="2"/>
        <v>57</v>
      </c>
      <c r="E12" s="530">
        <f t="shared" si="0"/>
        <v>30</v>
      </c>
      <c r="F12" s="537"/>
      <c r="G12" s="531">
        <f t="shared" si="1"/>
        <v>87</v>
      </c>
    </row>
    <row r="13" spans="1:7" x14ac:dyDescent="0.2">
      <c r="A13" s="486"/>
      <c r="B13" s="529">
        <f t="shared" si="3"/>
        <v>43677</v>
      </c>
      <c r="C13" s="537">
        <v>877</v>
      </c>
      <c r="D13" s="532">
        <f t="shared" si="2"/>
        <v>87</v>
      </c>
      <c r="E13" s="530">
        <f t="shared" si="0"/>
        <v>790</v>
      </c>
      <c r="F13" s="537">
        <v>600</v>
      </c>
      <c r="G13" s="531">
        <f t="shared" si="1"/>
        <v>277</v>
      </c>
    </row>
    <row r="14" spans="1:7" x14ac:dyDescent="0.2">
      <c r="A14" s="486"/>
      <c r="B14" s="529">
        <f t="shared" si="3"/>
        <v>43708</v>
      </c>
      <c r="C14" s="537">
        <v>164</v>
      </c>
      <c r="D14" s="532">
        <f t="shared" si="2"/>
        <v>877</v>
      </c>
      <c r="E14" s="530">
        <f t="shared" si="0"/>
        <v>-713</v>
      </c>
      <c r="F14" s="537">
        <v>20</v>
      </c>
      <c r="G14" s="531">
        <f t="shared" si="1"/>
        <v>144</v>
      </c>
    </row>
    <row r="15" spans="1:7" x14ac:dyDescent="0.2">
      <c r="A15" s="486"/>
      <c r="B15" s="529">
        <f t="shared" si="3"/>
        <v>43738</v>
      </c>
      <c r="C15" s="537">
        <v>40</v>
      </c>
      <c r="D15" s="532">
        <f t="shared" si="2"/>
        <v>164</v>
      </c>
      <c r="E15" s="530">
        <f t="shared" si="0"/>
        <v>-124</v>
      </c>
      <c r="F15" s="537"/>
      <c r="G15" s="531">
        <f t="shared" si="1"/>
        <v>40</v>
      </c>
    </row>
    <row r="16" spans="1:7" x14ac:dyDescent="0.2">
      <c r="A16" s="486"/>
      <c r="B16" s="529">
        <f t="shared" si="3"/>
        <v>43769</v>
      </c>
      <c r="C16" s="537">
        <v>200</v>
      </c>
      <c r="D16" s="532">
        <f t="shared" si="2"/>
        <v>40</v>
      </c>
      <c r="E16" s="530">
        <f t="shared" si="0"/>
        <v>160</v>
      </c>
      <c r="F16" s="537"/>
      <c r="G16" s="531">
        <f t="shared" si="1"/>
        <v>200</v>
      </c>
    </row>
    <row r="17" spans="1:7" x14ac:dyDescent="0.2">
      <c r="A17" s="486"/>
      <c r="B17" s="529">
        <f t="shared" si="3"/>
        <v>43799</v>
      </c>
      <c r="C17" s="537">
        <v>30</v>
      </c>
      <c r="D17" s="532">
        <f t="shared" si="2"/>
        <v>200</v>
      </c>
      <c r="E17" s="530">
        <f t="shared" si="0"/>
        <v>-170</v>
      </c>
      <c r="F17" s="537"/>
      <c r="G17" s="531">
        <f t="shared" si="1"/>
        <v>30</v>
      </c>
    </row>
    <row r="18" spans="1:7" x14ac:dyDescent="0.2">
      <c r="A18" s="486"/>
      <c r="B18" s="533">
        <f t="shared" si="3"/>
        <v>43830</v>
      </c>
      <c r="C18" s="538">
        <v>62</v>
      </c>
      <c r="D18" s="534">
        <f t="shared" si="2"/>
        <v>30</v>
      </c>
      <c r="E18" s="535">
        <f t="shared" si="0"/>
        <v>32</v>
      </c>
      <c r="F18" s="538">
        <v>55</v>
      </c>
      <c r="G18" s="536">
        <f t="shared" si="1"/>
        <v>7</v>
      </c>
    </row>
    <row r="19" spans="1:7" s="486" customFormat="1" x14ac:dyDescent="0.2"/>
    <row r="20" spans="1:7" s="486" customFormat="1" x14ac:dyDescent="0.2"/>
    <row r="21" spans="1:7" s="486" customFormat="1" x14ac:dyDescent="0.2">
      <c r="B21" s="1363" t="s">
        <v>880</v>
      </c>
      <c r="C21" s="1364"/>
      <c r="D21" s="1364"/>
      <c r="E21" s="1365"/>
    </row>
    <row r="22" spans="1:7" s="486" customFormat="1" x14ac:dyDescent="0.2">
      <c r="B22" s="495"/>
      <c r="C22" s="491"/>
      <c r="D22" s="491"/>
      <c r="E22" s="496"/>
    </row>
    <row r="23" spans="1:7" s="486" customFormat="1" x14ac:dyDescent="0.2">
      <c r="B23" s="526" t="s">
        <v>31</v>
      </c>
      <c r="C23" s="509" t="s">
        <v>875</v>
      </c>
      <c r="D23" s="527" t="s">
        <v>876</v>
      </c>
      <c r="E23" s="528" t="s">
        <v>877</v>
      </c>
    </row>
    <row r="24" spans="1:7" s="486" customFormat="1" x14ac:dyDescent="0.2">
      <c r="B24" s="529">
        <f>EOMONTH(Grunddaten!$H$2,0)</f>
        <v>43496</v>
      </c>
      <c r="C24" s="537">
        <v>1000</v>
      </c>
      <c r="D24" s="537">
        <f>'Bestandsveränderungen Vorjahr'!C35</f>
        <v>588</v>
      </c>
      <c r="E24" s="531">
        <f t="shared" ref="E24:E35" si="4">C24-D24</f>
        <v>412</v>
      </c>
    </row>
    <row r="25" spans="1:7" s="486" customFormat="1" x14ac:dyDescent="0.2">
      <c r="B25" s="529">
        <f>EOMONTH(B24+1,0)</f>
        <v>43524</v>
      </c>
      <c r="C25" s="537">
        <v>2000</v>
      </c>
      <c r="D25" s="532">
        <f>C24</f>
        <v>1000</v>
      </c>
      <c r="E25" s="531">
        <f t="shared" si="4"/>
        <v>1000</v>
      </c>
    </row>
    <row r="26" spans="1:7" s="486" customFormat="1" x14ac:dyDescent="0.2">
      <c r="B26" s="529">
        <f t="shared" ref="B26:B35" si="5">EOMONTH(B25+1,0)</f>
        <v>43555</v>
      </c>
      <c r="C26" s="537">
        <v>0</v>
      </c>
      <c r="D26" s="532">
        <f t="shared" ref="D26:D35" si="6">C25</f>
        <v>2000</v>
      </c>
      <c r="E26" s="531">
        <f t="shared" si="4"/>
        <v>-2000</v>
      </c>
    </row>
    <row r="27" spans="1:7" s="486" customFormat="1" x14ac:dyDescent="0.2">
      <c r="B27" s="529">
        <f t="shared" si="5"/>
        <v>43585</v>
      </c>
      <c r="C27" s="537">
        <v>5000</v>
      </c>
      <c r="D27" s="532">
        <f t="shared" si="6"/>
        <v>0</v>
      </c>
      <c r="E27" s="531">
        <f t="shared" si="4"/>
        <v>5000</v>
      </c>
    </row>
    <row r="28" spans="1:7" s="486" customFormat="1" x14ac:dyDescent="0.2">
      <c r="B28" s="529">
        <f t="shared" si="5"/>
        <v>43616</v>
      </c>
      <c r="C28" s="537">
        <v>654</v>
      </c>
      <c r="D28" s="532">
        <f t="shared" si="6"/>
        <v>5000</v>
      </c>
      <c r="E28" s="531">
        <f t="shared" si="4"/>
        <v>-4346</v>
      </c>
    </row>
    <row r="29" spans="1:7" s="486" customFormat="1" x14ac:dyDescent="0.2">
      <c r="B29" s="529">
        <f t="shared" si="5"/>
        <v>43646</v>
      </c>
      <c r="C29" s="537">
        <v>50</v>
      </c>
      <c r="D29" s="532">
        <f t="shared" si="6"/>
        <v>654</v>
      </c>
      <c r="E29" s="531">
        <f t="shared" si="4"/>
        <v>-604</v>
      </c>
    </row>
    <row r="30" spans="1:7" s="486" customFormat="1" x14ac:dyDescent="0.2">
      <c r="B30" s="529">
        <f t="shared" si="5"/>
        <v>43677</v>
      </c>
      <c r="C30" s="537">
        <v>6578</v>
      </c>
      <c r="D30" s="532">
        <f t="shared" si="6"/>
        <v>50</v>
      </c>
      <c r="E30" s="531">
        <f t="shared" si="4"/>
        <v>6528</v>
      </c>
    </row>
    <row r="31" spans="1:7" s="486" customFormat="1" x14ac:dyDescent="0.2">
      <c r="B31" s="529">
        <f t="shared" si="5"/>
        <v>43708</v>
      </c>
      <c r="C31" s="537">
        <v>405</v>
      </c>
      <c r="D31" s="532">
        <f t="shared" si="6"/>
        <v>6578</v>
      </c>
      <c r="E31" s="531">
        <f t="shared" si="4"/>
        <v>-6173</v>
      </c>
    </row>
    <row r="32" spans="1:7" s="486" customFormat="1" x14ac:dyDescent="0.2">
      <c r="B32" s="529">
        <f t="shared" si="5"/>
        <v>43738</v>
      </c>
      <c r="C32" s="537">
        <v>87</v>
      </c>
      <c r="D32" s="532">
        <f t="shared" si="6"/>
        <v>405</v>
      </c>
      <c r="E32" s="531">
        <f t="shared" si="4"/>
        <v>-318</v>
      </c>
    </row>
    <row r="33" spans="2:5" s="486" customFormat="1" x14ac:dyDescent="0.2">
      <c r="B33" s="529">
        <f t="shared" si="5"/>
        <v>43769</v>
      </c>
      <c r="C33" s="537">
        <v>7887</v>
      </c>
      <c r="D33" s="532">
        <f t="shared" si="6"/>
        <v>87</v>
      </c>
      <c r="E33" s="531">
        <f t="shared" si="4"/>
        <v>7800</v>
      </c>
    </row>
    <row r="34" spans="2:5" s="486" customFormat="1" x14ac:dyDescent="0.2">
      <c r="B34" s="529">
        <f t="shared" si="5"/>
        <v>43799</v>
      </c>
      <c r="C34" s="537">
        <v>564</v>
      </c>
      <c r="D34" s="532">
        <f t="shared" si="6"/>
        <v>7887</v>
      </c>
      <c r="E34" s="531">
        <f t="shared" si="4"/>
        <v>-7323</v>
      </c>
    </row>
    <row r="35" spans="2:5" s="486" customFormat="1" x14ac:dyDescent="0.2">
      <c r="B35" s="533">
        <f t="shared" si="5"/>
        <v>43830</v>
      </c>
      <c r="C35" s="538">
        <v>87</v>
      </c>
      <c r="D35" s="534">
        <f t="shared" si="6"/>
        <v>564</v>
      </c>
      <c r="E35" s="536">
        <f t="shared" si="4"/>
        <v>-477</v>
      </c>
    </row>
    <row r="36" spans="2:5" s="486" customFormat="1" x14ac:dyDescent="0.2"/>
    <row r="37" spans="2:5" s="486" customFormat="1" x14ac:dyDescent="0.2"/>
    <row r="38" spans="2:5" s="486" customFormat="1" x14ac:dyDescent="0.2"/>
    <row r="39" spans="2:5" s="486" customFormat="1" x14ac:dyDescent="0.2"/>
    <row r="40" spans="2:5" s="486" customFormat="1" x14ac:dyDescent="0.2"/>
    <row r="41" spans="2:5" s="486" customFormat="1" x14ac:dyDescent="0.2"/>
  </sheetData>
  <mergeCells count="3">
    <mergeCell ref="B4:G4"/>
    <mergeCell ref="B21:E21"/>
    <mergeCell ref="A1:B1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>
    <tabColor rgb="FF00B0F0"/>
  </sheetPr>
  <dimension ref="A1:R41"/>
  <sheetViews>
    <sheetView showGridLines="0" zoomScaleNormal="100" workbookViewId="0">
      <pane xSplit="2" ySplit="6" topLeftCell="C7" activePane="bottomRight" state="frozen"/>
      <selection activeCell="R63" sqref="R63"/>
      <selection pane="topRight" activeCell="R63" sqref="R63"/>
      <selection pane="bottomLeft" activeCell="R63" sqref="R63"/>
      <selection pane="bottomRight" activeCell="D7" sqref="D7"/>
    </sheetView>
  </sheetViews>
  <sheetFormatPr baseColWidth="10" defaultColWidth="11.42578125" defaultRowHeight="12.75" x14ac:dyDescent="0.2"/>
  <cols>
    <col min="1" max="1" width="11.85546875" style="490" bestFit="1" customWidth="1"/>
    <col min="2" max="6" width="11.42578125" style="490" customWidth="1"/>
    <col min="7" max="7" width="10.28515625" style="490" bestFit="1" customWidth="1"/>
    <col min="8" max="18" width="11.42578125" style="486" customWidth="1"/>
    <col min="19" max="19" width="11.42578125" style="490" customWidth="1"/>
    <col min="20" max="16384" width="11.42578125" style="490"/>
  </cols>
  <sheetData>
    <row r="1" spans="1:7" x14ac:dyDescent="0.2">
      <c r="A1" s="1366" t="s">
        <v>873</v>
      </c>
      <c r="B1" s="1366"/>
      <c r="G1" s="1080" t="str">
        <f>Grunddaten!B4</f>
        <v>Sample-Data</v>
      </c>
    </row>
    <row r="2" spans="1:7" s="486" customFormat="1" x14ac:dyDescent="0.2">
      <c r="G2" s="1081" t="str">
        <f>Grunddaten!$E$8</f>
        <v>2018</v>
      </c>
    </row>
    <row r="3" spans="1:7" s="486" customFormat="1" x14ac:dyDescent="0.2">
      <c r="G3" s="1081"/>
    </row>
    <row r="4" spans="1:7" s="486" customFormat="1" x14ac:dyDescent="0.2">
      <c r="B4" s="1360" t="s">
        <v>874</v>
      </c>
      <c r="C4" s="1361"/>
      <c r="D4" s="1361"/>
      <c r="E4" s="1361"/>
      <c r="F4" s="1361"/>
      <c r="G4" s="1362"/>
    </row>
    <row r="5" spans="1:7" s="486" customFormat="1" x14ac:dyDescent="0.2">
      <c r="B5" s="495"/>
      <c r="C5" s="491"/>
      <c r="D5" s="491"/>
      <c r="E5" s="491"/>
      <c r="F5" s="491"/>
      <c r="G5" s="496"/>
    </row>
    <row r="6" spans="1:7" s="486" customFormat="1" x14ac:dyDescent="0.2">
      <c r="B6" s="526" t="s">
        <v>31</v>
      </c>
      <c r="C6" s="509" t="s">
        <v>875</v>
      </c>
      <c r="D6" s="527" t="s">
        <v>876</v>
      </c>
      <c r="E6" s="509" t="s">
        <v>877</v>
      </c>
      <c r="F6" s="509" t="s">
        <v>878</v>
      </c>
      <c r="G6" s="528" t="s">
        <v>879</v>
      </c>
    </row>
    <row r="7" spans="1:7" s="486" customFormat="1" x14ac:dyDescent="0.2">
      <c r="B7" s="529">
        <f>EOMONTH(Grunddaten!$H$2-365,0)</f>
        <v>43131</v>
      </c>
      <c r="C7" s="537">
        <v>200</v>
      </c>
      <c r="D7" s="537">
        <v>20</v>
      </c>
      <c r="E7" s="530">
        <f t="shared" ref="E7:E18" si="0">C7-D7</f>
        <v>180</v>
      </c>
      <c r="F7" s="537">
        <v>2000</v>
      </c>
      <c r="G7" s="531">
        <f t="shared" ref="G7:G18" si="1">C7-F7</f>
        <v>-1800</v>
      </c>
    </row>
    <row r="8" spans="1:7" s="486" customFormat="1" x14ac:dyDescent="0.2">
      <c r="B8" s="529">
        <f>EOMONTH(B7+1,0)</f>
        <v>43159</v>
      </c>
      <c r="C8" s="537">
        <v>54</v>
      </c>
      <c r="D8" s="532">
        <f t="shared" ref="D8:D18" si="2">C7</f>
        <v>200</v>
      </c>
      <c r="E8" s="530">
        <f t="shared" si="0"/>
        <v>-146</v>
      </c>
      <c r="F8" s="537"/>
      <c r="G8" s="531">
        <f t="shared" si="1"/>
        <v>54</v>
      </c>
    </row>
    <row r="9" spans="1:7" s="486" customFormat="1" x14ac:dyDescent="0.2">
      <c r="B9" s="529">
        <f t="shared" ref="B9:B18" si="3">EOMONTH(B8+1,0)</f>
        <v>43190</v>
      </c>
      <c r="C9" s="537">
        <v>0</v>
      </c>
      <c r="D9" s="532">
        <f t="shared" si="2"/>
        <v>54</v>
      </c>
      <c r="E9" s="530">
        <f t="shared" si="0"/>
        <v>-54</v>
      </c>
      <c r="F9" s="537"/>
      <c r="G9" s="531">
        <f t="shared" si="1"/>
        <v>0</v>
      </c>
    </row>
    <row r="10" spans="1:7" s="486" customFormat="1" x14ac:dyDescent="0.2">
      <c r="B10" s="529">
        <f t="shared" si="3"/>
        <v>43220</v>
      </c>
      <c r="C10" s="537"/>
      <c r="D10" s="532">
        <f t="shared" si="2"/>
        <v>0</v>
      </c>
      <c r="E10" s="530">
        <f t="shared" si="0"/>
        <v>0</v>
      </c>
      <c r="F10" s="537"/>
      <c r="G10" s="531">
        <f t="shared" si="1"/>
        <v>0</v>
      </c>
    </row>
    <row r="11" spans="1:7" s="486" customFormat="1" x14ac:dyDescent="0.2">
      <c r="B11" s="529">
        <f t="shared" si="3"/>
        <v>43251</v>
      </c>
      <c r="C11" s="537">
        <v>45</v>
      </c>
      <c r="D11" s="532">
        <f t="shared" si="2"/>
        <v>0</v>
      </c>
      <c r="E11" s="530">
        <f t="shared" si="0"/>
        <v>45</v>
      </c>
      <c r="F11" s="537"/>
      <c r="G11" s="531">
        <f t="shared" si="1"/>
        <v>45</v>
      </c>
    </row>
    <row r="12" spans="1:7" s="486" customFormat="1" x14ac:dyDescent="0.2">
      <c r="B12" s="529">
        <f t="shared" si="3"/>
        <v>43281</v>
      </c>
      <c r="C12" s="537">
        <v>4504</v>
      </c>
      <c r="D12" s="532">
        <f t="shared" si="2"/>
        <v>45</v>
      </c>
      <c r="E12" s="530">
        <f t="shared" si="0"/>
        <v>4459</v>
      </c>
      <c r="F12" s="537"/>
      <c r="G12" s="531">
        <f t="shared" si="1"/>
        <v>4504</v>
      </c>
    </row>
    <row r="13" spans="1:7" s="486" customFormat="1" x14ac:dyDescent="0.2">
      <c r="B13" s="529">
        <f t="shared" si="3"/>
        <v>43312</v>
      </c>
      <c r="C13" s="537">
        <v>4</v>
      </c>
      <c r="D13" s="532">
        <f t="shared" si="2"/>
        <v>4504</v>
      </c>
      <c r="E13" s="530">
        <f t="shared" si="0"/>
        <v>-4500</v>
      </c>
      <c r="F13" s="537">
        <v>4000</v>
      </c>
      <c r="G13" s="531">
        <f t="shared" si="1"/>
        <v>-3996</v>
      </c>
    </row>
    <row r="14" spans="1:7" s="486" customFormat="1" x14ac:dyDescent="0.2">
      <c r="B14" s="529">
        <f t="shared" si="3"/>
        <v>43343</v>
      </c>
      <c r="C14" s="537">
        <v>20</v>
      </c>
      <c r="D14" s="532">
        <f t="shared" si="2"/>
        <v>4</v>
      </c>
      <c r="E14" s="530">
        <f t="shared" si="0"/>
        <v>16</v>
      </c>
      <c r="F14" s="537"/>
      <c r="G14" s="531">
        <f t="shared" si="1"/>
        <v>20</v>
      </c>
    </row>
    <row r="15" spans="1:7" s="486" customFormat="1" x14ac:dyDescent="0.2">
      <c r="B15" s="529">
        <f t="shared" si="3"/>
        <v>43373</v>
      </c>
      <c r="C15" s="537">
        <v>54</v>
      </c>
      <c r="D15" s="532">
        <f t="shared" si="2"/>
        <v>20</v>
      </c>
      <c r="E15" s="530">
        <f t="shared" si="0"/>
        <v>34</v>
      </c>
      <c r="F15" s="537"/>
      <c r="G15" s="531">
        <f t="shared" si="1"/>
        <v>54</v>
      </c>
    </row>
    <row r="16" spans="1:7" s="486" customFormat="1" x14ac:dyDescent="0.2">
      <c r="B16" s="529">
        <f t="shared" si="3"/>
        <v>43404</v>
      </c>
      <c r="C16" s="537">
        <v>897</v>
      </c>
      <c r="D16" s="532">
        <f t="shared" si="2"/>
        <v>54</v>
      </c>
      <c r="E16" s="530">
        <f t="shared" si="0"/>
        <v>843</v>
      </c>
      <c r="F16" s="537"/>
      <c r="G16" s="531">
        <f t="shared" si="1"/>
        <v>897</v>
      </c>
    </row>
    <row r="17" spans="2:7" s="486" customFormat="1" x14ac:dyDescent="0.2">
      <c r="B17" s="529">
        <f t="shared" si="3"/>
        <v>43434</v>
      </c>
      <c r="C17" s="537">
        <v>57</v>
      </c>
      <c r="D17" s="532">
        <f t="shared" si="2"/>
        <v>897</v>
      </c>
      <c r="E17" s="530">
        <f t="shared" si="0"/>
        <v>-840</v>
      </c>
      <c r="F17" s="537"/>
      <c r="G17" s="531">
        <f t="shared" si="1"/>
        <v>57</v>
      </c>
    </row>
    <row r="18" spans="2:7" s="486" customFormat="1" x14ac:dyDescent="0.2">
      <c r="B18" s="533">
        <f t="shared" si="3"/>
        <v>43465</v>
      </c>
      <c r="C18" s="538">
        <v>60</v>
      </c>
      <c r="D18" s="534">
        <f t="shared" si="2"/>
        <v>57</v>
      </c>
      <c r="E18" s="535">
        <f t="shared" si="0"/>
        <v>3</v>
      </c>
      <c r="F18" s="538"/>
      <c r="G18" s="536">
        <f t="shared" si="1"/>
        <v>60</v>
      </c>
    </row>
    <row r="19" spans="2:7" s="486" customFormat="1" x14ac:dyDescent="0.2"/>
    <row r="20" spans="2:7" s="486" customFormat="1" x14ac:dyDescent="0.2"/>
    <row r="21" spans="2:7" s="486" customFormat="1" x14ac:dyDescent="0.2">
      <c r="B21" s="1363" t="s">
        <v>880</v>
      </c>
      <c r="C21" s="1364"/>
      <c r="D21" s="1364"/>
      <c r="E21" s="1365"/>
    </row>
    <row r="22" spans="2:7" s="486" customFormat="1" x14ac:dyDescent="0.2">
      <c r="B22" s="495"/>
      <c r="C22" s="491"/>
      <c r="D22" s="491"/>
      <c r="E22" s="496"/>
    </row>
    <row r="23" spans="2:7" s="486" customFormat="1" x14ac:dyDescent="0.2">
      <c r="B23" s="526" t="s">
        <v>31</v>
      </c>
      <c r="C23" s="509" t="s">
        <v>875</v>
      </c>
      <c r="D23" s="527" t="s">
        <v>876</v>
      </c>
      <c r="E23" s="528" t="s">
        <v>877</v>
      </c>
    </row>
    <row r="24" spans="2:7" s="486" customFormat="1" x14ac:dyDescent="0.2">
      <c r="B24" s="529">
        <f>EOMONTH(Grunddaten!$H$2-365,0)</f>
        <v>43131</v>
      </c>
      <c r="C24" s="537">
        <v>5640</v>
      </c>
      <c r="D24" s="537">
        <v>567</v>
      </c>
      <c r="E24" s="531">
        <f t="shared" ref="E24:E35" si="4">C24-D24</f>
        <v>5073</v>
      </c>
    </row>
    <row r="25" spans="2:7" s="486" customFormat="1" x14ac:dyDescent="0.2">
      <c r="B25" s="529">
        <f>EOMONTH(B24+1,0)</f>
        <v>43159</v>
      </c>
      <c r="C25" s="537">
        <v>45</v>
      </c>
      <c r="D25" s="532">
        <f>C24</f>
        <v>5640</v>
      </c>
      <c r="E25" s="531">
        <f t="shared" si="4"/>
        <v>-5595</v>
      </c>
    </row>
    <row r="26" spans="2:7" s="486" customFormat="1" x14ac:dyDescent="0.2">
      <c r="B26" s="529">
        <f t="shared" ref="B26:B35" si="5">EOMONTH(B25+1,0)</f>
        <v>43190</v>
      </c>
      <c r="C26" s="537">
        <v>0</v>
      </c>
      <c r="D26" s="532">
        <f t="shared" ref="D26:D35" si="6">C25</f>
        <v>45</v>
      </c>
      <c r="E26" s="531">
        <f t="shared" si="4"/>
        <v>-45</v>
      </c>
    </row>
    <row r="27" spans="2:7" s="486" customFormat="1" x14ac:dyDescent="0.2">
      <c r="B27" s="529">
        <f t="shared" si="5"/>
        <v>43220</v>
      </c>
      <c r="C27" s="537">
        <v>52</v>
      </c>
      <c r="D27" s="532">
        <f t="shared" si="6"/>
        <v>0</v>
      </c>
      <c r="E27" s="531">
        <f t="shared" si="4"/>
        <v>52</v>
      </c>
    </row>
    <row r="28" spans="2:7" s="486" customFormat="1" x14ac:dyDescent="0.2">
      <c r="B28" s="529">
        <f t="shared" si="5"/>
        <v>43251</v>
      </c>
      <c r="C28" s="537">
        <v>5447</v>
      </c>
      <c r="D28" s="532">
        <f t="shared" si="6"/>
        <v>52</v>
      </c>
      <c r="E28" s="531">
        <f t="shared" si="4"/>
        <v>5395</v>
      </c>
    </row>
    <row r="29" spans="2:7" s="486" customFormat="1" x14ac:dyDescent="0.2">
      <c r="B29" s="529">
        <f t="shared" si="5"/>
        <v>43281</v>
      </c>
      <c r="C29" s="537">
        <v>545</v>
      </c>
      <c r="D29" s="532">
        <f t="shared" si="6"/>
        <v>5447</v>
      </c>
      <c r="E29" s="531">
        <f t="shared" si="4"/>
        <v>-4902</v>
      </c>
    </row>
    <row r="30" spans="2:7" s="486" customFormat="1" x14ac:dyDescent="0.2">
      <c r="B30" s="529">
        <f t="shared" si="5"/>
        <v>43312</v>
      </c>
      <c r="C30" s="537">
        <v>40</v>
      </c>
      <c r="D30" s="532">
        <f t="shared" si="6"/>
        <v>545</v>
      </c>
      <c r="E30" s="531">
        <f t="shared" si="4"/>
        <v>-505</v>
      </c>
    </row>
    <row r="31" spans="2:7" s="486" customFormat="1" x14ac:dyDescent="0.2">
      <c r="B31" s="529">
        <f t="shared" si="5"/>
        <v>43343</v>
      </c>
      <c r="C31" s="537">
        <v>4</v>
      </c>
      <c r="D31" s="532">
        <f t="shared" si="6"/>
        <v>40</v>
      </c>
      <c r="E31" s="531">
        <f t="shared" si="4"/>
        <v>-36</v>
      </c>
    </row>
    <row r="32" spans="2:7" s="486" customFormat="1" x14ac:dyDescent="0.2">
      <c r="B32" s="529">
        <f t="shared" si="5"/>
        <v>43373</v>
      </c>
      <c r="C32" s="537">
        <v>7</v>
      </c>
      <c r="D32" s="532">
        <f t="shared" si="6"/>
        <v>4</v>
      </c>
      <c r="E32" s="531">
        <f t="shared" si="4"/>
        <v>3</v>
      </c>
    </row>
    <row r="33" spans="2:5" s="486" customFormat="1" x14ac:dyDescent="0.2">
      <c r="B33" s="529">
        <f t="shared" si="5"/>
        <v>43404</v>
      </c>
      <c r="C33" s="537">
        <v>578</v>
      </c>
      <c r="D33" s="532">
        <f t="shared" si="6"/>
        <v>7</v>
      </c>
      <c r="E33" s="531">
        <f t="shared" si="4"/>
        <v>571</v>
      </c>
    </row>
    <row r="34" spans="2:5" s="486" customFormat="1" x14ac:dyDescent="0.2">
      <c r="B34" s="529">
        <f t="shared" si="5"/>
        <v>43434</v>
      </c>
      <c r="C34" s="537">
        <v>54</v>
      </c>
      <c r="D34" s="532">
        <f t="shared" si="6"/>
        <v>578</v>
      </c>
      <c r="E34" s="531">
        <f t="shared" si="4"/>
        <v>-524</v>
      </c>
    </row>
    <row r="35" spans="2:5" s="486" customFormat="1" x14ac:dyDescent="0.2">
      <c r="B35" s="533">
        <f t="shared" si="5"/>
        <v>43465</v>
      </c>
      <c r="C35" s="538">
        <v>588</v>
      </c>
      <c r="D35" s="534">
        <f t="shared" si="6"/>
        <v>54</v>
      </c>
      <c r="E35" s="536">
        <f t="shared" si="4"/>
        <v>534</v>
      </c>
    </row>
    <row r="36" spans="2:5" s="486" customFormat="1" x14ac:dyDescent="0.2"/>
    <row r="37" spans="2:5" s="486" customFormat="1" x14ac:dyDescent="0.2"/>
    <row r="38" spans="2:5" s="486" customFormat="1" x14ac:dyDescent="0.2"/>
    <row r="39" spans="2:5" s="486" customFormat="1" x14ac:dyDescent="0.2"/>
    <row r="40" spans="2:5" s="486" customFormat="1" x14ac:dyDescent="0.2"/>
    <row r="41" spans="2:5" s="486" customFormat="1" x14ac:dyDescent="0.2"/>
  </sheetData>
  <mergeCells count="3">
    <mergeCell ref="A1:B1"/>
    <mergeCell ref="B4:G4"/>
    <mergeCell ref="B21:E21"/>
  </mergeCells>
  <pageMargins left="0.78740157499999996" right="0.78740157499999996" top="0.984251969" bottom="0.984251969" header="0.4921259845" footer="0.492125984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4">
    <tabColor rgb="FFEBE600"/>
    <pageSetUpPr fitToPage="1"/>
  </sheetPr>
  <dimension ref="A1:FW62"/>
  <sheetViews>
    <sheetView showGridLines="0" zoomScale="85" zoomScaleNormal="85" workbookViewId="0">
      <pane xSplit="5" ySplit="11" topLeftCell="F12" activePane="bottomRight" state="frozen"/>
      <selection activeCell="G11" sqref="G11"/>
      <selection pane="topRight" activeCell="G11" sqref="G11"/>
      <selection pane="bottomLeft" activeCell="G11" sqref="G11"/>
      <selection pane="bottomRight" activeCell="F12" sqref="F12"/>
    </sheetView>
  </sheetViews>
  <sheetFormatPr baseColWidth="10" defaultColWidth="11.28515625" defaultRowHeight="12.75" outlineLevelRow="1" outlineLevelCol="1" x14ac:dyDescent="0.2"/>
  <cols>
    <col min="1" max="1" width="4.7109375" style="490" bestFit="1" customWidth="1"/>
    <col min="2" max="2" width="57" style="490" bestFit="1" customWidth="1"/>
    <col min="3" max="5" width="12.140625" style="490" customWidth="1"/>
    <col min="6" max="6" width="12.140625" style="1054" customWidth="1" outlineLevel="1"/>
    <col min="7" max="7" width="7.85546875" style="1109" customWidth="1" outlineLevel="1"/>
    <col min="8" max="9" width="7.85546875" style="1107" customWidth="1" outlineLevel="1"/>
    <col min="10" max="12" width="12.140625" style="490" customWidth="1"/>
    <col min="13" max="13" width="12.140625" style="1054" customWidth="1" outlineLevel="1"/>
    <col min="14" max="14" width="7.85546875" style="1109" customWidth="1" outlineLevel="1"/>
    <col min="15" max="16" width="7.85546875" style="1107" customWidth="1" outlineLevel="1"/>
    <col min="17" max="19" width="12.140625" style="490" customWidth="1"/>
    <col min="20" max="20" width="12.140625" style="1107" customWidth="1" outlineLevel="1"/>
    <col min="21" max="21" width="7.85546875" style="1109" customWidth="1" outlineLevel="1"/>
    <col min="22" max="23" width="7.85546875" style="1107" customWidth="1" outlineLevel="1"/>
    <col min="24" max="26" width="12.140625" style="490" customWidth="1"/>
    <col min="27" max="27" width="12.140625" style="1054" customWidth="1" outlineLevel="1"/>
    <col min="28" max="28" width="7.85546875" style="1109" customWidth="1" outlineLevel="1"/>
    <col min="29" max="30" width="7.85546875" style="51" customWidth="1" outlineLevel="1"/>
    <col min="31" max="33" width="12.140625" style="490" customWidth="1"/>
    <col min="34" max="34" width="12.140625" style="51" customWidth="1" outlineLevel="1"/>
    <col min="35" max="35" width="7.85546875" style="1109" customWidth="1" outlineLevel="1"/>
    <col min="36" max="37" width="7.85546875" style="51" customWidth="1" outlineLevel="1"/>
    <col min="38" max="40" width="12.140625" style="490" customWidth="1"/>
    <col min="41" max="41" width="12.140625" style="1054" customWidth="1" outlineLevel="1"/>
    <col min="42" max="42" width="7.85546875" style="1109" customWidth="1" outlineLevel="1"/>
    <col min="43" max="44" width="7.85546875" style="51" customWidth="1" outlineLevel="1"/>
    <col min="45" max="47" width="12.140625" style="490" customWidth="1"/>
    <col min="48" max="48" width="12.140625" style="51" customWidth="1" outlineLevel="1"/>
    <col min="49" max="49" width="7.85546875" style="1109" customWidth="1" outlineLevel="1"/>
    <col min="50" max="51" width="7.85546875" style="51" customWidth="1" outlineLevel="1"/>
    <col min="52" max="54" width="12.140625" style="490" customWidth="1"/>
    <col min="55" max="55" width="12.140625" style="1054" customWidth="1" outlineLevel="1"/>
    <col min="56" max="56" width="7.85546875" style="1109" customWidth="1" outlineLevel="1"/>
    <col min="57" max="57" width="7.85546875" style="51" customWidth="1" outlineLevel="1"/>
    <col min="58" max="58" width="8.5703125" style="51" customWidth="1" outlineLevel="1"/>
    <col min="59" max="61" width="12.140625" style="490" customWidth="1"/>
    <col min="62" max="62" width="12.140625" style="51" customWidth="1" outlineLevel="1"/>
    <col min="63" max="63" width="7.85546875" style="1109" customWidth="1" outlineLevel="1"/>
    <col min="64" max="65" width="7.85546875" style="51" customWidth="1" outlineLevel="1"/>
    <col min="66" max="68" width="12.140625" style="490" customWidth="1"/>
    <col min="69" max="69" width="12.140625" style="1054" customWidth="1" outlineLevel="1"/>
    <col min="70" max="70" width="7.85546875" style="1109" customWidth="1" outlineLevel="1"/>
    <col min="71" max="72" width="7.85546875" style="51" customWidth="1" outlineLevel="1"/>
    <col min="73" max="75" width="12.140625" style="490" customWidth="1"/>
    <col min="76" max="76" width="12.140625" style="51" customWidth="1" outlineLevel="1"/>
    <col min="77" max="77" width="7.85546875" style="1109" customWidth="1" outlineLevel="1"/>
    <col min="78" max="79" width="7.85546875" style="51" customWidth="1" outlineLevel="1"/>
    <col min="80" max="82" width="12.140625" style="490" customWidth="1"/>
    <col min="83" max="83" width="12.140625" style="1054" customWidth="1" outlineLevel="1"/>
    <col min="84" max="84" width="7.85546875" style="1109" customWidth="1" outlineLevel="1"/>
    <col min="85" max="86" width="7.85546875" style="51" customWidth="1" outlineLevel="1"/>
    <col min="87" max="89" width="12.140625" style="490" customWidth="1"/>
    <col min="90" max="90" width="12.140625" style="51" customWidth="1" outlineLevel="1"/>
    <col min="91" max="91" width="7.85546875" style="1109" customWidth="1" outlineLevel="1"/>
    <col min="92" max="93" width="7.85546875" style="51" customWidth="1" outlineLevel="1"/>
    <col min="94" max="96" width="12.140625" style="490" customWidth="1"/>
    <col min="97" max="97" width="12.140625" style="1054" customWidth="1" outlineLevel="1"/>
    <col min="98" max="98" width="7.85546875" style="1109" customWidth="1" outlineLevel="1"/>
    <col min="99" max="100" width="7.85546875" style="51" customWidth="1" outlineLevel="1"/>
    <col min="101" max="103" width="12.140625" style="490" customWidth="1"/>
    <col min="104" max="104" width="12.140625" style="51" customWidth="1" outlineLevel="1"/>
    <col min="105" max="105" width="7.85546875" style="1109" customWidth="1" outlineLevel="1"/>
    <col min="106" max="107" width="7.85546875" style="51" customWidth="1" outlineLevel="1"/>
    <col min="108" max="110" width="12.140625" style="490" customWidth="1"/>
    <col min="111" max="111" width="12.140625" style="1054" customWidth="1" outlineLevel="1"/>
    <col min="112" max="112" width="7.85546875" style="1109" customWidth="1" outlineLevel="1"/>
    <col min="113" max="114" width="7.85546875" style="51" customWidth="1" outlineLevel="1"/>
    <col min="115" max="117" width="12.140625" style="490" customWidth="1"/>
    <col min="118" max="118" width="12.140625" style="51" customWidth="1" outlineLevel="1"/>
    <col min="119" max="119" width="7.85546875" style="1109" customWidth="1" outlineLevel="1"/>
    <col min="120" max="121" width="7.85546875" style="51" customWidth="1" outlineLevel="1"/>
    <col min="122" max="124" width="12.140625" style="490" customWidth="1"/>
    <col min="125" max="125" width="12.140625" style="1054" customWidth="1" outlineLevel="1"/>
    <col min="126" max="126" width="7.85546875" style="1109" customWidth="1" outlineLevel="1"/>
    <col min="127" max="128" width="7.85546875" style="51" customWidth="1" outlineLevel="1"/>
    <col min="129" max="131" width="12.140625" style="490" customWidth="1"/>
    <col min="132" max="132" width="12.7109375" style="51" bestFit="1" customWidth="1" outlineLevel="1"/>
    <col min="133" max="133" width="7.85546875" style="1109" customWidth="1" outlineLevel="1"/>
    <col min="134" max="135" width="7.85546875" style="51" customWidth="1" outlineLevel="1"/>
    <col min="136" max="138" width="12.140625" style="490" customWidth="1"/>
    <col min="139" max="139" width="12.7109375" style="1054" bestFit="1" customWidth="1" outlineLevel="1"/>
    <col min="140" max="140" width="7.85546875" style="1109" customWidth="1"/>
    <col min="141" max="142" width="7.85546875" style="51" customWidth="1"/>
    <col min="143" max="145" width="12.140625" style="490" customWidth="1"/>
    <col min="146" max="146" width="12.140625" style="51" customWidth="1" outlineLevel="1"/>
    <col min="147" max="147" width="7.85546875" style="1109" customWidth="1" outlineLevel="1"/>
    <col min="148" max="149" width="7.85546875" style="51" customWidth="1" outlineLevel="1"/>
    <col min="150" max="153" width="12.140625" style="490" customWidth="1"/>
    <col min="154" max="156" width="7.85546875" style="490" customWidth="1"/>
    <col min="157" max="159" width="12.140625" style="490" customWidth="1"/>
    <col min="160" max="160" width="12.7109375" style="490" customWidth="1"/>
    <col min="161" max="163" width="7.85546875" style="490" customWidth="1"/>
    <col min="164" max="166" width="12.140625" style="490" customWidth="1"/>
    <col min="167" max="167" width="12.7109375" style="490" customWidth="1"/>
    <col min="168" max="170" width="7.85546875" style="490" customWidth="1"/>
    <col min="171" max="174" width="12.140625" style="490" customWidth="1"/>
    <col min="175" max="177" width="7.85546875" style="490" customWidth="1"/>
    <col min="178" max="178" width="11.28515625" style="490" customWidth="1"/>
    <col min="179" max="179" width="12.140625" style="490" customWidth="1"/>
    <col min="180" max="180" width="11.28515625" style="490" customWidth="1"/>
    <col min="181" max="16384" width="11.28515625" style="490"/>
  </cols>
  <sheetData>
    <row r="1" spans="1:179" s="486" customFormat="1" x14ac:dyDescent="0.2">
      <c r="F1" s="50"/>
      <c r="G1" s="1108"/>
      <c r="H1" s="1106"/>
      <c r="I1" s="1106"/>
      <c r="M1" s="50"/>
      <c r="N1" s="1108"/>
      <c r="O1" s="1106"/>
      <c r="P1" s="1106"/>
      <c r="T1" s="1106"/>
      <c r="U1" s="1108"/>
      <c r="V1" s="1106"/>
      <c r="W1" s="1106"/>
      <c r="AA1" s="50"/>
      <c r="AB1" s="1108"/>
      <c r="AC1" s="50"/>
      <c r="AD1" s="50"/>
      <c r="AH1" s="50"/>
      <c r="AI1" s="1108"/>
      <c r="AJ1" s="50"/>
      <c r="AK1" s="50"/>
      <c r="AO1" s="50"/>
      <c r="AP1" s="1108"/>
      <c r="AQ1" s="50"/>
      <c r="AR1" s="50"/>
      <c r="AV1" s="50"/>
      <c r="AW1" s="1108"/>
      <c r="AX1" s="50"/>
      <c r="AY1" s="50"/>
      <c r="BC1" s="50"/>
      <c r="BD1" s="1108"/>
      <c r="BE1" s="50"/>
      <c r="BF1" s="50"/>
      <c r="BJ1" s="50"/>
      <c r="BK1" s="1108"/>
      <c r="BL1" s="50"/>
      <c r="BM1" s="50"/>
      <c r="BQ1" s="50"/>
      <c r="BR1" s="1108"/>
      <c r="BS1" s="50"/>
      <c r="BT1" s="50"/>
      <c r="BX1" s="50"/>
      <c r="BY1" s="1108"/>
      <c r="BZ1" s="50"/>
      <c r="CA1" s="50"/>
      <c r="CE1" s="50"/>
      <c r="CF1" s="1108"/>
      <c r="CG1" s="50"/>
      <c r="CH1" s="50"/>
      <c r="CL1" s="50"/>
      <c r="CM1" s="1108"/>
      <c r="CN1" s="50"/>
      <c r="CO1" s="50"/>
      <c r="CS1" s="50"/>
      <c r="CT1" s="1108"/>
      <c r="CU1" s="50"/>
      <c r="CV1" s="50"/>
      <c r="CZ1" s="50"/>
      <c r="DA1" s="1108"/>
      <c r="DB1" s="50"/>
      <c r="DC1" s="50"/>
      <c r="DG1" s="50"/>
      <c r="DH1" s="1108"/>
      <c r="DI1" s="50"/>
      <c r="DJ1" s="50"/>
      <c r="DN1" s="50"/>
      <c r="DO1" s="1108"/>
      <c r="DP1" s="50"/>
      <c r="DQ1" s="50"/>
      <c r="DU1" s="50"/>
      <c r="DV1" s="1108"/>
      <c r="DW1" s="50"/>
      <c r="DX1" s="50"/>
      <c r="EB1" s="50"/>
      <c r="EC1" s="1108"/>
      <c r="ED1" s="50"/>
      <c r="EE1" s="50"/>
      <c r="EI1" s="50"/>
      <c r="EJ1" s="1108"/>
      <c r="EK1" s="50"/>
      <c r="EL1" s="50"/>
      <c r="EP1" s="50"/>
      <c r="EQ1" s="1108"/>
      <c r="ER1" s="50"/>
      <c r="ES1" s="50"/>
      <c r="EW1" s="50"/>
      <c r="EX1" s="1108"/>
      <c r="EY1" s="50"/>
      <c r="EZ1" s="50"/>
      <c r="FD1" s="50"/>
      <c r="FE1" s="1108"/>
      <c r="FF1" s="50"/>
      <c r="FG1" s="50"/>
      <c r="FK1" s="50"/>
      <c r="FL1" s="1108"/>
      <c r="FM1" s="50"/>
      <c r="FN1" s="50"/>
      <c r="FR1" s="50"/>
      <c r="FS1" s="1108"/>
      <c r="FT1" s="50"/>
      <c r="FU1" s="50"/>
      <c r="FW1" s="50"/>
    </row>
    <row r="2" spans="1:179" s="486" customFormat="1" x14ac:dyDescent="0.2">
      <c r="B2" s="494"/>
      <c r="F2" s="50"/>
      <c r="G2" s="1108"/>
      <c r="H2" s="1106"/>
      <c r="I2" s="1106"/>
      <c r="M2" s="50"/>
      <c r="N2" s="1108"/>
      <c r="O2" s="1106"/>
      <c r="P2" s="1106"/>
      <c r="T2" s="1106"/>
      <c r="U2" s="1108"/>
      <c r="V2" s="1106"/>
      <c r="W2" s="1106"/>
      <c r="AA2" s="50"/>
      <c r="AB2" s="1108"/>
      <c r="AC2" s="50"/>
      <c r="AD2" s="50"/>
      <c r="AH2" s="50"/>
      <c r="AI2" s="1108"/>
      <c r="AJ2" s="50"/>
      <c r="AK2" s="50"/>
      <c r="AO2" s="50"/>
      <c r="AP2" s="1108"/>
      <c r="AQ2" s="50"/>
      <c r="AR2" s="50"/>
      <c r="AV2" s="50"/>
      <c r="AW2" s="1108"/>
      <c r="AX2" s="50"/>
      <c r="AY2" s="50"/>
      <c r="BC2" s="50"/>
      <c r="BD2" s="1108"/>
      <c r="BE2" s="50"/>
      <c r="BF2" s="50"/>
      <c r="BJ2" s="50"/>
      <c r="BK2" s="1108"/>
      <c r="BL2" s="50"/>
      <c r="BM2" s="50"/>
      <c r="BQ2" s="50"/>
      <c r="BR2" s="1108"/>
      <c r="BS2" s="50"/>
      <c r="BT2" s="50"/>
      <c r="BX2" s="50"/>
      <c r="BY2" s="1108"/>
      <c r="BZ2" s="50"/>
      <c r="CA2" s="50"/>
      <c r="CE2" s="50"/>
      <c r="CF2" s="1108"/>
      <c r="CG2" s="50"/>
      <c r="CH2" s="50"/>
      <c r="CL2" s="50"/>
      <c r="CM2" s="1108"/>
      <c r="CN2" s="50"/>
      <c r="CO2" s="50"/>
      <c r="CS2" s="50"/>
      <c r="CT2" s="1108"/>
      <c r="CU2" s="50"/>
      <c r="CV2" s="50"/>
      <c r="CZ2" s="50"/>
      <c r="DA2" s="1108"/>
      <c r="DB2" s="50"/>
      <c r="DC2" s="50"/>
      <c r="DG2" s="50"/>
      <c r="DH2" s="1108"/>
      <c r="DI2" s="50"/>
      <c r="DJ2" s="50"/>
      <c r="DN2" s="50"/>
      <c r="DO2" s="1108"/>
      <c r="DP2" s="50"/>
      <c r="DQ2" s="50"/>
      <c r="DU2" s="50"/>
      <c r="DV2" s="1108"/>
      <c r="DW2" s="50"/>
      <c r="DX2" s="50"/>
      <c r="EB2" s="50"/>
      <c r="EC2" s="1108"/>
      <c r="ED2" s="50"/>
      <c r="EE2" s="50"/>
      <c r="EI2" s="50"/>
      <c r="EJ2" s="1108"/>
      <c r="EK2" s="50"/>
      <c r="EL2" s="50"/>
      <c r="EP2" s="50"/>
      <c r="EQ2" s="1108"/>
      <c r="ER2" s="50"/>
      <c r="ES2" s="50"/>
      <c r="EW2" s="50"/>
      <c r="EX2" s="1108"/>
      <c r="EY2" s="50"/>
      <c r="EZ2" s="50"/>
      <c r="FD2" s="50"/>
      <c r="FE2" s="1108"/>
      <c r="FF2" s="50"/>
      <c r="FG2" s="50"/>
      <c r="FK2" s="50"/>
      <c r="FL2" s="1108"/>
      <c r="FM2" s="50"/>
      <c r="FN2" s="50"/>
      <c r="FR2" s="50"/>
      <c r="FS2" s="1108"/>
      <c r="FT2" s="50"/>
      <c r="FU2" s="50"/>
      <c r="FW2" s="50"/>
    </row>
    <row r="3" spans="1:179" s="486" customFormat="1" x14ac:dyDescent="0.2">
      <c r="B3" s="494"/>
      <c r="F3" s="50"/>
      <c r="G3" s="1108"/>
      <c r="H3" s="1106"/>
      <c r="I3" s="1106"/>
      <c r="M3" s="50"/>
      <c r="N3" s="1108"/>
      <c r="O3" s="1106"/>
      <c r="P3" s="1106"/>
      <c r="T3" s="1106"/>
      <c r="U3" s="1108"/>
      <c r="V3" s="1106"/>
      <c r="W3" s="1106"/>
      <c r="AA3" s="50"/>
      <c r="AB3" s="1108"/>
      <c r="AC3" s="50"/>
      <c r="AD3" s="50"/>
      <c r="AH3" s="50"/>
      <c r="AI3" s="1108"/>
      <c r="AJ3" s="50"/>
      <c r="AK3" s="50"/>
      <c r="AO3" s="50"/>
      <c r="AP3" s="1108"/>
      <c r="AQ3" s="50"/>
      <c r="AR3" s="50"/>
      <c r="AV3" s="50"/>
      <c r="AW3" s="1108"/>
      <c r="AX3" s="50"/>
      <c r="AY3" s="50"/>
      <c r="BC3" s="50"/>
      <c r="BD3" s="1108"/>
      <c r="BE3" s="50"/>
      <c r="BF3" s="50"/>
      <c r="BJ3" s="50"/>
      <c r="BK3" s="1108"/>
      <c r="BL3" s="50"/>
      <c r="BM3" s="50"/>
      <c r="BQ3" s="50"/>
      <c r="BR3" s="1108"/>
      <c r="BS3" s="50"/>
      <c r="BT3" s="50"/>
      <c r="BX3" s="50"/>
      <c r="BY3" s="1108"/>
      <c r="BZ3" s="50"/>
      <c r="CA3" s="50"/>
      <c r="CE3" s="50"/>
      <c r="CF3" s="1108"/>
      <c r="CG3" s="50"/>
      <c r="CH3" s="50"/>
      <c r="CL3" s="50"/>
      <c r="CM3" s="1108"/>
      <c r="CN3" s="50"/>
      <c r="CO3" s="50"/>
      <c r="CS3" s="50"/>
      <c r="CT3" s="1108"/>
      <c r="CU3" s="50"/>
      <c r="CV3" s="50"/>
      <c r="CZ3" s="50"/>
      <c r="DA3" s="1108"/>
      <c r="DB3" s="50"/>
      <c r="DC3" s="50"/>
      <c r="DG3" s="50"/>
      <c r="DH3" s="1108"/>
      <c r="DI3" s="50"/>
      <c r="DJ3" s="50"/>
      <c r="DN3" s="50"/>
      <c r="DO3" s="1108"/>
      <c r="DP3" s="50"/>
      <c r="DQ3" s="50"/>
      <c r="DU3" s="50"/>
      <c r="DV3" s="1108"/>
      <c r="DW3" s="50"/>
      <c r="DX3" s="50"/>
      <c r="EB3" s="50"/>
      <c r="EC3" s="1108"/>
      <c r="ED3" s="50"/>
      <c r="EE3" s="50"/>
      <c r="EI3" s="50"/>
      <c r="EJ3" s="1108"/>
      <c r="EK3" s="50"/>
      <c r="EL3" s="50"/>
      <c r="EP3" s="50"/>
      <c r="EQ3" s="1108"/>
      <c r="ER3" s="50"/>
      <c r="ES3" s="50"/>
      <c r="EW3" s="50"/>
      <c r="EX3" s="1108"/>
      <c r="EY3" s="50"/>
      <c r="EZ3" s="50"/>
      <c r="FD3" s="50"/>
      <c r="FE3" s="1108"/>
      <c r="FF3" s="50"/>
      <c r="FG3" s="50"/>
      <c r="FK3" s="50"/>
      <c r="FL3" s="1108"/>
      <c r="FM3" s="50"/>
      <c r="FN3" s="50"/>
      <c r="FR3" s="50"/>
      <c r="FS3" s="1108"/>
      <c r="FT3" s="50"/>
      <c r="FU3" s="50"/>
      <c r="FW3" s="50"/>
    </row>
    <row r="4" spans="1:179" s="486" customFormat="1" ht="15.75" x14ac:dyDescent="0.2">
      <c r="A4" s="878" t="s">
        <v>869</v>
      </c>
      <c r="F4" s="50"/>
      <c r="G4" s="1108"/>
      <c r="H4" s="1106"/>
      <c r="I4" s="1106"/>
      <c r="M4" s="50"/>
      <c r="N4" s="1108"/>
      <c r="O4" s="1106"/>
      <c r="P4" s="1106"/>
      <c r="T4" s="1106"/>
      <c r="U4" s="1108"/>
      <c r="V4" s="1106"/>
      <c r="W4" s="1106"/>
      <c r="AA4" s="50"/>
      <c r="AB4" s="1108"/>
      <c r="AC4" s="50"/>
      <c r="AD4" s="50"/>
      <c r="AH4" s="50"/>
      <c r="AI4" s="1108"/>
      <c r="AJ4" s="50"/>
      <c r="AK4" s="50"/>
      <c r="AO4" s="50"/>
      <c r="AP4" s="1108"/>
      <c r="AQ4" s="50"/>
      <c r="AR4" s="50"/>
      <c r="AV4" s="50"/>
      <c r="AW4" s="1108"/>
      <c r="AX4" s="50"/>
      <c r="AY4" s="50"/>
      <c r="BC4" s="50"/>
      <c r="BD4" s="1108"/>
      <c r="BE4" s="50"/>
      <c r="BF4" s="50"/>
      <c r="BJ4" s="50"/>
      <c r="BK4" s="1108"/>
      <c r="BL4" s="50"/>
      <c r="BM4" s="50"/>
      <c r="BQ4" s="50"/>
      <c r="BR4" s="1108"/>
      <c r="BS4" s="50"/>
      <c r="BT4" s="50"/>
      <c r="BX4" s="50"/>
      <c r="BY4" s="1108"/>
      <c r="BZ4" s="50"/>
      <c r="CA4" s="50"/>
      <c r="CE4" s="50"/>
      <c r="CF4" s="1108"/>
      <c r="CG4" s="50"/>
      <c r="CH4" s="50"/>
      <c r="CL4" s="50"/>
      <c r="CM4" s="1108"/>
      <c r="CN4" s="50"/>
      <c r="CO4" s="50"/>
      <c r="CS4" s="50"/>
      <c r="CT4" s="1108"/>
      <c r="CU4" s="50"/>
      <c r="CV4" s="50"/>
      <c r="CZ4" s="50"/>
      <c r="DA4" s="1108"/>
      <c r="DB4" s="50"/>
      <c r="DC4" s="50"/>
      <c r="DG4" s="50"/>
      <c r="DH4" s="1108"/>
      <c r="DI4" s="50"/>
      <c r="DJ4" s="50"/>
      <c r="DN4" s="50"/>
      <c r="DO4" s="1108"/>
      <c r="DP4" s="50"/>
      <c r="DQ4" s="50"/>
      <c r="DU4" s="50"/>
      <c r="DV4" s="1108"/>
      <c r="DW4" s="50"/>
      <c r="DX4" s="50"/>
      <c r="EB4" s="50"/>
      <c r="EC4" s="1108"/>
      <c r="ED4" s="50"/>
      <c r="EE4" s="50"/>
      <c r="EI4" s="50"/>
      <c r="EJ4" s="1108"/>
      <c r="EK4" s="50"/>
      <c r="EL4" s="50"/>
      <c r="EP4" s="50"/>
      <c r="EQ4" s="1108"/>
      <c r="ER4" s="50"/>
      <c r="ES4" s="50"/>
      <c r="EW4" s="50"/>
      <c r="EX4" s="1108"/>
      <c r="EY4" s="50"/>
      <c r="EZ4" s="50"/>
      <c r="FD4" s="50"/>
      <c r="FE4" s="1108"/>
      <c r="FF4" s="50"/>
      <c r="FG4" s="50"/>
      <c r="FK4" s="50"/>
      <c r="FL4" s="1108"/>
      <c r="FM4" s="50"/>
      <c r="FN4" s="50"/>
      <c r="FR4" s="50"/>
      <c r="FS4" s="1108"/>
      <c r="FT4" s="50"/>
      <c r="FU4" s="50"/>
      <c r="FW4" s="50"/>
    </row>
    <row r="5" spans="1:179" s="486" customFormat="1" x14ac:dyDescent="0.2">
      <c r="F5" s="50"/>
      <c r="G5" s="1108"/>
      <c r="H5" s="1106"/>
      <c r="I5" s="1106"/>
      <c r="M5" s="50"/>
      <c r="N5" s="1108"/>
      <c r="O5" s="1106"/>
      <c r="P5" s="1106"/>
      <c r="T5" s="1106"/>
      <c r="U5" s="1108"/>
      <c r="V5" s="1106"/>
      <c r="W5" s="1106"/>
      <c r="AA5" s="50"/>
      <c r="AB5" s="1108"/>
      <c r="AC5" s="50"/>
      <c r="AD5" s="50"/>
      <c r="AH5" s="50"/>
      <c r="AI5" s="1108"/>
      <c r="AJ5" s="50"/>
      <c r="AK5" s="50"/>
      <c r="AO5" s="50"/>
      <c r="AP5" s="1108"/>
      <c r="AQ5" s="50"/>
      <c r="AR5" s="50"/>
      <c r="AV5" s="50"/>
      <c r="AW5" s="1108"/>
      <c r="AX5" s="50"/>
      <c r="AY5" s="50"/>
      <c r="BC5" s="50"/>
      <c r="BD5" s="1108"/>
      <c r="BE5" s="50"/>
      <c r="BF5" s="50"/>
      <c r="BJ5" s="50"/>
      <c r="BK5" s="1108"/>
      <c r="BL5" s="50"/>
      <c r="BM5" s="50"/>
      <c r="BQ5" s="50"/>
      <c r="BR5" s="1108"/>
      <c r="BS5" s="50"/>
      <c r="BT5" s="50"/>
      <c r="BX5" s="50"/>
      <c r="BY5" s="1108"/>
      <c r="BZ5" s="50"/>
      <c r="CA5" s="50"/>
      <c r="CE5" s="50"/>
      <c r="CF5" s="1108"/>
      <c r="CG5" s="50"/>
      <c r="CH5" s="50"/>
      <c r="CL5" s="50"/>
      <c r="CM5" s="1108"/>
      <c r="CN5" s="50"/>
      <c r="CO5" s="50"/>
      <c r="CS5" s="50"/>
      <c r="CT5" s="1108"/>
      <c r="CU5" s="50"/>
      <c r="CV5" s="50"/>
      <c r="CZ5" s="50"/>
      <c r="DA5" s="1108"/>
      <c r="DB5" s="50"/>
      <c r="DC5" s="50"/>
      <c r="DG5" s="50"/>
      <c r="DH5" s="1108"/>
      <c r="DI5" s="50"/>
      <c r="DJ5" s="50"/>
      <c r="DN5" s="50"/>
      <c r="DO5" s="1108"/>
      <c r="DP5" s="50"/>
      <c r="DQ5" s="50"/>
      <c r="DU5" s="50"/>
      <c r="DV5" s="1108"/>
      <c r="DW5" s="50"/>
      <c r="DX5" s="50"/>
      <c r="EB5" s="50"/>
      <c r="EC5" s="1108"/>
      <c r="ED5" s="50"/>
      <c r="EE5" s="50"/>
      <c r="EI5" s="50"/>
      <c r="EJ5" s="1108"/>
      <c r="EK5" s="50"/>
      <c r="EL5" s="50"/>
      <c r="EP5" s="50"/>
      <c r="EQ5" s="1108"/>
      <c r="ER5" s="50"/>
      <c r="ES5" s="50"/>
      <c r="EW5" s="50"/>
      <c r="EX5" s="1108"/>
      <c r="EY5" s="50"/>
      <c r="EZ5" s="50"/>
      <c r="FD5" s="50"/>
      <c r="FE5" s="1108"/>
      <c r="FF5" s="50"/>
      <c r="FG5" s="50"/>
      <c r="FK5" s="50"/>
      <c r="FL5" s="1108"/>
      <c r="FM5" s="50"/>
      <c r="FN5" s="50"/>
      <c r="FR5" s="50"/>
      <c r="FS5" s="1108"/>
      <c r="FT5" s="50"/>
      <c r="FU5" s="50"/>
      <c r="FW5" s="50"/>
    </row>
    <row r="6" spans="1:179" s="486" customFormat="1" ht="15.75" x14ac:dyDescent="0.2">
      <c r="A6" s="1018" t="str">
        <f>Grunddaten!$B$4</f>
        <v>Sample-Data</v>
      </c>
      <c r="F6" s="50"/>
      <c r="G6" s="1108"/>
      <c r="H6" s="1106"/>
      <c r="I6" s="1106"/>
      <c r="M6" s="50"/>
      <c r="N6" s="1108"/>
      <c r="O6" s="1106"/>
      <c r="P6" s="1106"/>
      <c r="T6" s="1106"/>
      <c r="U6" s="1108"/>
      <c r="V6" s="1106"/>
      <c r="W6" s="1106"/>
      <c r="AA6" s="50"/>
      <c r="AB6" s="1108"/>
      <c r="AC6" s="50"/>
      <c r="AD6" s="50"/>
      <c r="AH6" s="50"/>
      <c r="AI6" s="1108"/>
      <c r="AJ6" s="50"/>
      <c r="AK6" s="50"/>
      <c r="AO6" s="50"/>
      <c r="AP6" s="1108"/>
      <c r="AQ6" s="50"/>
      <c r="AR6" s="50"/>
      <c r="AV6" s="50"/>
      <c r="AW6" s="1108"/>
      <c r="AX6" s="50"/>
      <c r="AY6" s="50"/>
      <c r="BC6" s="50"/>
      <c r="BD6" s="1108"/>
      <c r="BE6" s="50"/>
      <c r="BF6" s="50"/>
      <c r="BJ6" s="50"/>
      <c r="BK6" s="1108"/>
      <c r="BL6" s="50"/>
      <c r="BM6" s="50"/>
      <c r="BQ6" s="50"/>
      <c r="BR6" s="1108"/>
      <c r="BS6" s="50"/>
      <c r="BT6" s="50"/>
      <c r="BX6" s="50"/>
      <c r="BY6" s="1108"/>
      <c r="BZ6" s="50"/>
      <c r="CA6" s="50"/>
      <c r="CE6" s="50"/>
      <c r="CF6" s="1108"/>
      <c r="CG6" s="50"/>
      <c r="CH6" s="50"/>
      <c r="CL6" s="50"/>
      <c r="CM6" s="1108"/>
      <c r="CN6" s="50"/>
      <c r="CO6" s="50"/>
      <c r="CS6" s="50"/>
      <c r="CT6" s="1108"/>
      <c r="CU6" s="50"/>
      <c r="CV6" s="50"/>
      <c r="CZ6" s="50"/>
      <c r="DA6" s="1108"/>
      <c r="DB6" s="50"/>
      <c r="DC6" s="50"/>
      <c r="DG6" s="50"/>
      <c r="DH6" s="1108"/>
      <c r="DI6" s="50"/>
      <c r="DJ6" s="50"/>
      <c r="DN6" s="50"/>
      <c r="DO6" s="1108"/>
      <c r="DP6" s="50"/>
      <c r="DQ6" s="50"/>
      <c r="DU6" s="50"/>
      <c r="DV6" s="1108"/>
      <c r="DW6" s="50"/>
      <c r="DX6" s="50"/>
      <c r="EB6" s="50"/>
      <c r="EC6" s="1108"/>
      <c r="ED6" s="50"/>
      <c r="EE6" s="50"/>
      <c r="EI6" s="50"/>
      <c r="EJ6" s="1108"/>
      <c r="EK6" s="50"/>
      <c r="EL6" s="50"/>
      <c r="EP6" s="50"/>
      <c r="EQ6" s="1108"/>
      <c r="ER6" s="50"/>
      <c r="ES6" s="50"/>
      <c r="EW6" s="50"/>
      <c r="EX6" s="1108"/>
      <c r="EY6" s="50"/>
      <c r="EZ6" s="50"/>
      <c r="FD6" s="50"/>
      <c r="FE6" s="1108"/>
      <c r="FF6" s="50"/>
      <c r="FG6" s="50"/>
      <c r="FK6" s="50"/>
      <c r="FL6" s="1108"/>
      <c r="FM6" s="50"/>
      <c r="FN6" s="50"/>
      <c r="FR6" s="50"/>
      <c r="FS6" s="1108"/>
      <c r="FT6" s="50"/>
      <c r="FU6" s="50"/>
      <c r="FW6" s="50"/>
    </row>
    <row r="7" spans="1:179" s="486" customFormat="1" ht="15.75" x14ac:dyDescent="0.2">
      <c r="A7" s="1018" t="str">
        <f>Grunddaten!$E$5</f>
        <v>2019</v>
      </c>
      <c r="F7" s="50"/>
      <c r="G7" s="1108"/>
      <c r="H7" s="1106"/>
      <c r="I7" s="1106"/>
      <c r="M7" s="50"/>
      <c r="N7" s="1108"/>
      <c r="O7" s="1106"/>
      <c r="P7" s="1106"/>
      <c r="T7" s="1106"/>
      <c r="U7" s="1108"/>
      <c r="V7" s="1106"/>
      <c r="W7" s="1106"/>
      <c r="AA7" s="50"/>
      <c r="AB7" s="1108"/>
      <c r="AC7" s="50"/>
      <c r="AD7" s="50"/>
      <c r="AH7" s="50"/>
      <c r="AI7" s="1108"/>
      <c r="AJ7" s="50"/>
      <c r="AK7" s="50"/>
      <c r="AO7" s="50"/>
      <c r="AP7" s="1108"/>
      <c r="AQ7" s="50"/>
      <c r="AR7" s="50"/>
      <c r="AV7" s="50"/>
      <c r="AW7" s="1108"/>
      <c r="AX7" s="50"/>
      <c r="AY7" s="50"/>
      <c r="BC7" s="50"/>
      <c r="BD7" s="1108"/>
      <c r="BE7" s="50"/>
      <c r="BF7" s="50"/>
      <c r="BJ7" s="50"/>
      <c r="BK7" s="1108"/>
      <c r="BL7" s="50"/>
      <c r="BM7" s="50"/>
      <c r="BQ7" s="50"/>
      <c r="BR7" s="1108"/>
      <c r="BS7" s="50"/>
      <c r="BT7" s="50"/>
      <c r="BX7" s="50"/>
      <c r="BY7" s="1108"/>
      <c r="BZ7" s="50"/>
      <c r="CA7" s="50"/>
      <c r="CE7" s="50"/>
      <c r="CF7" s="1108"/>
      <c r="CG7" s="50"/>
      <c r="CH7" s="50"/>
      <c r="CL7" s="50"/>
      <c r="CM7" s="1108"/>
      <c r="CN7" s="50"/>
      <c r="CO7" s="50"/>
      <c r="CS7" s="50"/>
      <c r="CT7" s="1108"/>
      <c r="CU7" s="50"/>
      <c r="CV7" s="50"/>
      <c r="CZ7" s="50"/>
      <c r="DA7" s="1108"/>
      <c r="DB7" s="50"/>
      <c r="DC7" s="50"/>
      <c r="DG7" s="50"/>
      <c r="DH7" s="1108"/>
      <c r="DI7" s="50"/>
      <c r="DJ7" s="50"/>
      <c r="DN7" s="50"/>
      <c r="DO7" s="1108"/>
      <c r="DP7" s="50"/>
      <c r="DQ7" s="50"/>
      <c r="DU7" s="50"/>
      <c r="DV7" s="1108"/>
      <c r="DW7" s="50"/>
      <c r="DX7" s="50"/>
      <c r="EB7" s="50"/>
      <c r="EC7" s="1108"/>
      <c r="ED7" s="50"/>
      <c r="EE7" s="50"/>
      <c r="EI7" s="50"/>
      <c r="EJ7" s="1108"/>
      <c r="EK7" s="50"/>
      <c r="EL7" s="50"/>
      <c r="EP7" s="50"/>
      <c r="EQ7" s="1108"/>
      <c r="ER7" s="50"/>
      <c r="ES7" s="50"/>
      <c r="EW7" s="50"/>
      <c r="EX7" s="1108"/>
      <c r="EY7" s="50"/>
      <c r="EZ7" s="50"/>
      <c r="FD7" s="50"/>
      <c r="FE7" s="1108"/>
      <c r="FF7" s="50"/>
      <c r="FG7" s="50"/>
      <c r="FK7" s="50"/>
      <c r="FL7" s="1108"/>
      <c r="FM7" s="50"/>
      <c r="FN7" s="50"/>
      <c r="FR7" s="50"/>
      <c r="FS7" s="1108"/>
      <c r="FT7" s="50"/>
      <c r="FU7" s="50"/>
      <c r="FW7" s="50"/>
    </row>
    <row r="8" spans="1:179" s="486" customFormat="1" x14ac:dyDescent="0.2">
      <c r="A8" s="497" t="s">
        <v>64</v>
      </c>
      <c r="D8" s="1111">
        <f>Grunddaten!$B$19</f>
        <v>0.3</v>
      </c>
      <c r="F8" s="50"/>
      <c r="G8" s="1108"/>
      <c r="H8" s="1106"/>
      <c r="I8" s="1106"/>
      <c r="M8" s="50"/>
      <c r="N8" s="1108"/>
      <c r="O8" s="1106"/>
      <c r="P8" s="1106"/>
      <c r="T8" s="1106"/>
      <c r="U8" s="1108"/>
      <c r="V8" s="1106"/>
      <c r="W8" s="1106"/>
      <c r="AA8" s="50"/>
      <c r="AB8" s="1108"/>
      <c r="AC8" s="50"/>
      <c r="AD8" s="50"/>
      <c r="AH8" s="50"/>
      <c r="AI8" s="1108"/>
      <c r="AJ8" s="50"/>
      <c r="AK8" s="50"/>
      <c r="AO8" s="50"/>
      <c r="AP8" s="1108"/>
      <c r="AQ8" s="50"/>
      <c r="AR8" s="50"/>
      <c r="AV8" s="50"/>
      <c r="AW8" s="1108"/>
      <c r="AX8" s="50"/>
      <c r="AY8" s="50"/>
      <c r="BC8" s="50"/>
      <c r="BD8" s="1108"/>
      <c r="BE8" s="50"/>
      <c r="BF8" s="50"/>
      <c r="BJ8" s="50"/>
      <c r="BK8" s="1108"/>
      <c r="BL8" s="50"/>
      <c r="BM8" s="50"/>
      <c r="BQ8" s="50"/>
      <c r="BR8" s="1108"/>
      <c r="BS8" s="50"/>
      <c r="BT8" s="50"/>
      <c r="BX8" s="50"/>
      <c r="BY8" s="1108"/>
      <c r="BZ8" s="50"/>
      <c r="CA8" s="50"/>
      <c r="CE8" s="50"/>
      <c r="CF8" s="1108"/>
      <c r="CG8" s="50"/>
      <c r="CH8" s="50"/>
      <c r="CL8" s="50"/>
      <c r="CM8" s="1108"/>
      <c r="CN8" s="50"/>
      <c r="CO8" s="50"/>
      <c r="CS8" s="50"/>
      <c r="CT8" s="1108"/>
      <c r="CU8" s="50"/>
      <c r="CV8" s="50"/>
      <c r="CZ8" s="50"/>
      <c r="DA8" s="1108"/>
      <c r="DB8" s="50"/>
      <c r="DC8" s="50"/>
      <c r="DG8" s="50"/>
      <c r="DH8" s="1108"/>
      <c r="DI8" s="50"/>
      <c r="DJ8" s="50"/>
      <c r="DN8" s="50"/>
      <c r="DO8" s="1108"/>
      <c r="DP8" s="50"/>
      <c r="DQ8" s="50"/>
      <c r="DU8" s="50"/>
      <c r="DV8" s="1108"/>
      <c r="DW8" s="50"/>
      <c r="DX8" s="50"/>
      <c r="EB8" s="50"/>
      <c r="EC8" s="1108"/>
      <c r="ED8" s="50"/>
      <c r="EE8" s="50"/>
      <c r="EI8" s="50"/>
      <c r="EJ8" s="1108"/>
      <c r="EK8" s="50"/>
      <c r="EL8" s="50"/>
      <c r="EP8" s="50"/>
      <c r="EQ8" s="1108"/>
      <c r="ER8" s="50"/>
      <c r="ES8" s="50"/>
      <c r="EW8" s="50"/>
      <c r="EX8" s="1108"/>
      <c r="EY8" s="50"/>
      <c r="EZ8" s="50"/>
      <c r="FD8" s="50"/>
      <c r="FE8" s="1108"/>
      <c r="FF8" s="50"/>
      <c r="FG8" s="50"/>
      <c r="FK8" s="50"/>
      <c r="FL8" s="1108"/>
      <c r="FM8" s="50"/>
      <c r="FN8" s="50"/>
      <c r="FR8" s="50"/>
      <c r="FS8" s="1108"/>
      <c r="FT8" s="50"/>
      <c r="FU8" s="50"/>
      <c r="FW8" s="50"/>
    </row>
    <row r="9" spans="1:179" s="849" customFormat="1" x14ac:dyDescent="0.2">
      <c r="E9" s="849" t="s">
        <v>693</v>
      </c>
      <c r="G9" s="849" t="s">
        <v>696</v>
      </c>
      <c r="H9" s="849" t="s">
        <v>696</v>
      </c>
      <c r="I9" s="849" t="s">
        <v>697</v>
      </c>
      <c r="K9" s="849" t="s">
        <v>694</v>
      </c>
      <c r="L9" s="849" t="s">
        <v>695</v>
      </c>
      <c r="N9" s="849" t="s">
        <v>696</v>
      </c>
      <c r="O9" s="849" t="s">
        <v>696</v>
      </c>
      <c r="P9" s="849" t="s">
        <v>697</v>
      </c>
      <c r="R9" s="849" t="s">
        <v>698</v>
      </c>
      <c r="S9" s="849" t="s">
        <v>699</v>
      </c>
      <c r="U9" s="849" t="s">
        <v>696</v>
      </c>
      <c r="V9" s="849" t="s">
        <v>696</v>
      </c>
      <c r="W9" s="849" t="s">
        <v>697</v>
      </c>
      <c r="Y9" s="849" t="s">
        <v>700</v>
      </c>
      <c r="Z9" s="849" t="s">
        <v>701</v>
      </c>
      <c r="AB9" s="849" t="s">
        <v>702</v>
      </c>
      <c r="AC9" s="849" t="s">
        <v>702</v>
      </c>
      <c r="AD9" s="849" t="s">
        <v>703</v>
      </c>
      <c r="AF9" s="849" t="s">
        <v>704</v>
      </c>
      <c r="AG9" s="849" t="s">
        <v>705</v>
      </c>
      <c r="AI9" s="849" t="s">
        <v>706</v>
      </c>
      <c r="AJ9" s="849" t="s">
        <v>706</v>
      </c>
      <c r="AK9" s="849" t="s">
        <v>707</v>
      </c>
      <c r="AM9" s="849" t="s">
        <v>708</v>
      </c>
      <c r="AN9" s="849" t="s">
        <v>709</v>
      </c>
      <c r="AP9" s="849" t="s">
        <v>710</v>
      </c>
      <c r="AQ9" s="849" t="s">
        <v>710</v>
      </c>
      <c r="AR9" s="849" t="s">
        <v>711</v>
      </c>
      <c r="AT9" s="849" t="s">
        <v>712</v>
      </c>
      <c r="AU9" s="849" t="s">
        <v>713</v>
      </c>
      <c r="AW9" s="849" t="s">
        <v>714</v>
      </c>
      <c r="AX9" s="849" t="s">
        <v>714</v>
      </c>
      <c r="AY9" s="849" t="s">
        <v>715</v>
      </c>
      <c r="BA9" s="849" t="s">
        <v>716</v>
      </c>
      <c r="BB9" s="849" t="s">
        <v>717</v>
      </c>
      <c r="BD9" s="849" t="s">
        <v>718</v>
      </c>
      <c r="BE9" s="849" t="s">
        <v>718</v>
      </c>
      <c r="BF9" s="849" t="s">
        <v>719</v>
      </c>
      <c r="BH9" s="849" t="s">
        <v>720</v>
      </c>
      <c r="BI9" s="849" t="s">
        <v>721</v>
      </c>
      <c r="BK9" s="849" t="s">
        <v>722</v>
      </c>
      <c r="BL9" s="849" t="s">
        <v>722</v>
      </c>
      <c r="BM9" s="849" t="s">
        <v>723</v>
      </c>
      <c r="BO9" s="849" t="s">
        <v>724</v>
      </c>
      <c r="BP9" s="849" t="s">
        <v>725</v>
      </c>
      <c r="BR9" s="849" t="s">
        <v>726</v>
      </c>
      <c r="BS9" s="849" t="s">
        <v>726</v>
      </c>
      <c r="BT9" s="849" t="s">
        <v>727</v>
      </c>
      <c r="BV9" s="849" t="s">
        <v>728</v>
      </c>
      <c r="BW9" s="849" t="s">
        <v>729</v>
      </c>
      <c r="BY9" s="849" t="s">
        <v>730</v>
      </c>
      <c r="BZ9" s="849" t="s">
        <v>730</v>
      </c>
      <c r="CA9" s="849" t="s">
        <v>731</v>
      </c>
      <c r="CC9" s="849" t="s">
        <v>732</v>
      </c>
      <c r="CD9" s="849" t="s">
        <v>733</v>
      </c>
      <c r="CF9" s="849" t="s">
        <v>734</v>
      </c>
      <c r="CG9" s="849" t="s">
        <v>734</v>
      </c>
      <c r="CH9" s="849" t="s">
        <v>735</v>
      </c>
      <c r="CJ9" s="849" t="s">
        <v>736</v>
      </c>
      <c r="CK9" s="849" t="s">
        <v>737</v>
      </c>
      <c r="CM9" s="849" t="s">
        <v>738</v>
      </c>
      <c r="CN9" s="849" t="s">
        <v>738</v>
      </c>
      <c r="CO9" s="849" t="s">
        <v>739</v>
      </c>
      <c r="CQ9" s="849" t="s">
        <v>740</v>
      </c>
      <c r="CR9" s="849" t="s">
        <v>741</v>
      </c>
      <c r="CT9" s="849" t="s">
        <v>742</v>
      </c>
      <c r="CU9" s="849" t="s">
        <v>742</v>
      </c>
      <c r="CV9" s="849" t="s">
        <v>743</v>
      </c>
      <c r="CX9" s="849" t="s">
        <v>744</v>
      </c>
      <c r="CY9" s="849" t="s">
        <v>745</v>
      </c>
      <c r="DA9" s="849" t="s">
        <v>746</v>
      </c>
      <c r="DB9" s="849" t="s">
        <v>746</v>
      </c>
      <c r="DC9" s="849" t="s">
        <v>747</v>
      </c>
      <c r="DE9" s="849" t="s">
        <v>748</v>
      </c>
      <c r="DF9" s="849" t="s">
        <v>749</v>
      </c>
      <c r="DH9" s="849" t="s">
        <v>750</v>
      </c>
      <c r="DI9" s="849" t="s">
        <v>750</v>
      </c>
      <c r="DJ9" s="849" t="s">
        <v>751</v>
      </c>
      <c r="DL9" s="849" t="s">
        <v>752</v>
      </c>
      <c r="DM9" s="849" t="s">
        <v>753</v>
      </c>
      <c r="DO9" s="849" t="s">
        <v>754</v>
      </c>
      <c r="DP9" s="849" t="s">
        <v>754</v>
      </c>
      <c r="DQ9" s="849" t="s">
        <v>755</v>
      </c>
      <c r="DS9" s="849" t="s">
        <v>756</v>
      </c>
      <c r="DT9" s="849" t="s">
        <v>757</v>
      </c>
      <c r="DV9" s="849" t="s">
        <v>758</v>
      </c>
      <c r="DW9" s="849" t="s">
        <v>758</v>
      </c>
      <c r="DX9" s="849" t="s">
        <v>759</v>
      </c>
      <c r="DZ9" s="849" t="s">
        <v>760</v>
      </c>
      <c r="EA9" s="849" t="s">
        <v>761</v>
      </c>
      <c r="EC9" s="849" t="s">
        <v>762</v>
      </c>
      <c r="ED9" s="849" t="s">
        <v>762</v>
      </c>
      <c r="EE9" s="849" t="s">
        <v>763</v>
      </c>
      <c r="EG9" s="849" t="s">
        <v>764</v>
      </c>
      <c r="EH9" s="849" t="s">
        <v>765</v>
      </c>
      <c r="EJ9" s="849" t="s">
        <v>766</v>
      </c>
      <c r="EK9" s="849" t="s">
        <v>766</v>
      </c>
      <c r="EL9" s="849" t="s">
        <v>767</v>
      </c>
      <c r="EN9" s="849" t="s">
        <v>768</v>
      </c>
      <c r="EO9" s="849" t="s">
        <v>769</v>
      </c>
      <c r="EQ9" s="849" t="s">
        <v>770</v>
      </c>
      <c r="ER9" s="849" t="s">
        <v>770</v>
      </c>
      <c r="ES9" s="849" t="s">
        <v>771</v>
      </c>
      <c r="EU9" s="849" t="s">
        <v>772</v>
      </c>
      <c r="EV9" s="849" t="s">
        <v>773</v>
      </c>
      <c r="EX9" s="849" t="s">
        <v>774</v>
      </c>
      <c r="EY9" s="849" t="s">
        <v>774</v>
      </c>
      <c r="EZ9" s="849" t="s">
        <v>775</v>
      </c>
      <c r="FB9" s="849" t="s">
        <v>776</v>
      </c>
      <c r="FC9" s="849" t="s">
        <v>777</v>
      </c>
      <c r="FE9" s="849" t="s">
        <v>778</v>
      </c>
      <c r="FF9" s="849" t="s">
        <v>778</v>
      </c>
      <c r="FG9" s="849" t="s">
        <v>779</v>
      </c>
      <c r="FI9" s="849" t="s">
        <v>780</v>
      </c>
      <c r="FJ9" s="849" t="s">
        <v>781</v>
      </c>
      <c r="FL9" s="849" t="s">
        <v>782</v>
      </c>
      <c r="FM9" s="849" t="s">
        <v>782</v>
      </c>
      <c r="FN9" s="849" t="s">
        <v>783</v>
      </c>
      <c r="FP9" s="849" t="s">
        <v>784</v>
      </c>
      <c r="FQ9" s="849" t="s">
        <v>785</v>
      </c>
      <c r="FS9" s="849" t="s">
        <v>786</v>
      </c>
      <c r="FT9" s="849" t="s">
        <v>786</v>
      </c>
      <c r="FU9" s="849" t="s">
        <v>787</v>
      </c>
    </row>
    <row r="10" spans="1:179" s="958" customFormat="1" ht="16.5" customHeight="1" x14ac:dyDescent="0.2">
      <c r="A10" s="1156" t="s">
        <v>788</v>
      </c>
      <c r="B10" s="1156" t="s">
        <v>789</v>
      </c>
      <c r="C10" s="1367" t="s">
        <v>134</v>
      </c>
      <c r="D10" s="1368" t="s">
        <v>134</v>
      </c>
      <c r="E10" s="1369"/>
      <c r="F10" s="1157" t="s">
        <v>790</v>
      </c>
      <c r="G10" s="1370" t="s">
        <v>791</v>
      </c>
      <c r="H10" s="1371"/>
      <c r="I10" s="1372"/>
      <c r="J10" s="1367">
        <f>DATE(Grunddaten!$B$5,Grunddaten!$B$6-1+1,1)</f>
        <v>43466</v>
      </c>
      <c r="K10" s="1368"/>
      <c r="L10" s="1369"/>
      <c r="M10" s="1157" t="s">
        <v>790</v>
      </c>
      <c r="N10" s="1370" t="s">
        <v>791</v>
      </c>
      <c r="O10" s="1371"/>
      <c r="P10" s="1372"/>
      <c r="Q10" s="1370" t="str">
        <f>"Summe " &amp; TEXT($J10,"MMM. JJ") &amp; " - " &amp; TEXT(J10,"MMM. JJ")</f>
        <v>Summe Jan. 19 - Jan. 19</v>
      </c>
      <c r="R10" s="1371"/>
      <c r="S10" s="1372"/>
      <c r="T10" s="1157" t="s">
        <v>790</v>
      </c>
      <c r="U10" s="1370" t="s">
        <v>791</v>
      </c>
      <c r="V10" s="1371"/>
      <c r="W10" s="1372"/>
      <c r="X10" s="1367">
        <f>DATE(Grunddaten!$B$5,Grunddaten!$B$6-1+2,1)</f>
        <v>43497</v>
      </c>
      <c r="Y10" s="1368"/>
      <c r="Z10" s="1369"/>
      <c r="AA10" s="1157" t="s">
        <v>790</v>
      </c>
      <c r="AB10" s="1370" t="s">
        <v>791</v>
      </c>
      <c r="AC10" s="1371"/>
      <c r="AD10" s="1372"/>
      <c r="AE10" s="1370" t="str">
        <f>"Summe " &amp; TEXT($J10,"MMM. JJ") &amp; " - " &amp; TEXT(X10,"MMM. JJ")</f>
        <v>Summe Jan. 19 - Feb. 19</v>
      </c>
      <c r="AF10" s="1371"/>
      <c r="AG10" s="1372"/>
      <c r="AH10" s="1157" t="s">
        <v>790</v>
      </c>
      <c r="AI10" s="1370" t="s">
        <v>791</v>
      </c>
      <c r="AJ10" s="1371"/>
      <c r="AK10" s="1372"/>
      <c r="AL10" s="1367">
        <f>DATE(Grunddaten!$B$5,Grunddaten!$B$6-1+3,1)</f>
        <v>43525</v>
      </c>
      <c r="AM10" s="1368"/>
      <c r="AN10" s="1369"/>
      <c r="AO10" s="1157" t="s">
        <v>790</v>
      </c>
      <c r="AP10" s="1370" t="s">
        <v>791</v>
      </c>
      <c r="AQ10" s="1371"/>
      <c r="AR10" s="1372"/>
      <c r="AS10" s="1370" t="str">
        <f>"Summe " &amp; TEXT($J10,"MMM. JJ") &amp; " - " &amp; TEXT(AL10,"MMM. JJ")</f>
        <v>Summe Jan. 19 - Mrz. 19</v>
      </c>
      <c r="AT10" s="1371"/>
      <c r="AU10" s="1372"/>
      <c r="AV10" s="1157" t="s">
        <v>790</v>
      </c>
      <c r="AW10" s="1370" t="s">
        <v>791</v>
      </c>
      <c r="AX10" s="1371"/>
      <c r="AY10" s="1372"/>
      <c r="AZ10" s="1367">
        <f>DATE(Grunddaten!$B$5,Grunddaten!$B$6-1+4,1)</f>
        <v>43556</v>
      </c>
      <c r="BA10" s="1368"/>
      <c r="BB10" s="1369"/>
      <c r="BC10" s="1157" t="s">
        <v>790</v>
      </c>
      <c r="BD10" s="1370" t="s">
        <v>791</v>
      </c>
      <c r="BE10" s="1371"/>
      <c r="BF10" s="1372"/>
      <c r="BG10" s="1370" t="str">
        <f>"Summe " &amp; TEXT($J10,"MMM. JJ") &amp; " - " &amp; TEXT(AZ10,"MMM. JJ")</f>
        <v>Summe Jan. 19 - Apr. 19</v>
      </c>
      <c r="BH10" s="1371"/>
      <c r="BI10" s="1372"/>
      <c r="BJ10" s="1157" t="s">
        <v>790</v>
      </c>
      <c r="BK10" s="1370" t="s">
        <v>791</v>
      </c>
      <c r="BL10" s="1371"/>
      <c r="BM10" s="1372"/>
      <c r="BN10" s="1367">
        <f>DATE(Grunddaten!$B$5,Grunddaten!$B$6-1+5,1)</f>
        <v>43586</v>
      </c>
      <c r="BO10" s="1368"/>
      <c r="BP10" s="1369"/>
      <c r="BQ10" s="1157" t="s">
        <v>790</v>
      </c>
      <c r="BR10" s="1370" t="s">
        <v>791</v>
      </c>
      <c r="BS10" s="1371"/>
      <c r="BT10" s="1372"/>
      <c r="BU10" s="1370" t="str">
        <f>"Summe " &amp; TEXT($J10,"MMM. JJ") &amp; " - " &amp; TEXT(BN10,"MMM. JJ")</f>
        <v>Summe Jan. 19 - Mai. 19</v>
      </c>
      <c r="BV10" s="1371"/>
      <c r="BW10" s="1372"/>
      <c r="BX10" s="1157" t="s">
        <v>790</v>
      </c>
      <c r="BY10" s="1370" t="s">
        <v>791</v>
      </c>
      <c r="BZ10" s="1371"/>
      <c r="CA10" s="1372"/>
      <c r="CB10" s="1367">
        <f>DATE(Grunddaten!$B$5,Grunddaten!$B$6-1+6,1)</f>
        <v>43617</v>
      </c>
      <c r="CC10" s="1368"/>
      <c r="CD10" s="1369"/>
      <c r="CE10" s="1157" t="s">
        <v>790</v>
      </c>
      <c r="CF10" s="1370" t="s">
        <v>791</v>
      </c>
      <c r="CG10" s="1371"/>
      <c r="CH10" s="1372"/>
      <c r="CI10" s="1370" t="str">
        <f>"Summe " &amp; TEXT($J10,"MMM. JJ") &amp; " - " &amp; TEXT(CB10,"MMM. JJ")</f>
        <v>Summe Jan. 19 - Jun. 19</v>
      </c>
      <c r="CJ10" s="1371"/>
      <c r="CK10" s="1372"/>
      <c r="CL10" s="1157" t="s">
        <v>790</v>
      </c>
      <c r="CM10" s="1370" t="s">
        <v>791</v>
      </c>
      <c r="CN10" s="1371"/>
      <c r="CO10" s="1372"/>
      <c r="CP10" s="1367">
        <f>DATE(Grunddaten!$B$5,Grunddaten!$B$6-1+7,1)</f>
        <v>43647</v>
      </c>
      <c r="CQ10" s="1368"/>
      <c r="CR10" s="1369"/>
      <c r="CS10" s="1157" t="s">
        <v>790</v>
      </c>
      <c r="CT10" s="1370" t="s">
        <v>791</v>
      </c>
      <c r="CU10" s="1371"/>
      <c r="CV10" s="1372"/>
      <c r="CW10" s="1370" t="str">
        <f>"Summe " &amp; TEXT($J10,"MMM. JJ") &amp; " - " &amp; TEXT(CP10,"MMM. JJ")</f>
        <v>Summe Jan. 19 - Jul. 19</v>
      </c>
      <c r="CX10" s="1371"/>
      <c r="CY10" s="1372"/>
      <c r="CZ10" s="1157" t="s">
        <v>790</v>
      </c>
      <c r="DA10" s="1370" t="s">
        <v>791</v>
      </c>
      <c r="DB10" s="1371"/>
      <c r="DC10" s="1372"/>
      <c r="DD10" s="1367">
        <f>DATE(Grunddaten!$B$5,Grunddaten!$B$6-1+8,1)</f>
        <v>43678</v>
      </c>
      <c r="DE10" s="1368"/>
      <c r="DF10" s="1369"/>
      <c r="DG10" s="1157" t="s">
        <v>790</v>
      </c>
      <c r="DH10" s="1370" t="s">
        <v>791</v>
      </c>
      <c r="DI10" s="1371"/>
      <c r="DJ10" s="1372"/>
      <c r="DK10" s="1370" t="str">
        <f>"Summe " &amp; TEXT($J10,"MMM. JJ") &amp; " - " &amp; TEXT(DD10,"MMM. JJ")</f>
        <v>Summe Jan. 19 - Aug. 19</v>
      </c>
      <c r="DL10" s="1371"/>
      <c r="DM10" s="1372"/>
      <c r="DN10" s="1157" t="s">
        <v>790</v>
      </c>
      <c r="DO10" s="1370" t="s">
        <v>791</v>
      </c>
      <c r="DP10" s="1371"/>
      <c r="DQ10" s="1372"/>
      <c r="DR10" s="1367">
        <f>DATE(Grunddaten!$B$5,Grunddaten!$B$6-1+9,1)</f>
        <v>43709</v>
      </c>
      <c r="DS10" s="1368"/>
      <c r="DT10" s="1369"/>
      <c r="DU10" s="1157" t="s">
        <v>790</v>
      </c>
      <c r="DV10" s="1370" t="s">
        <v>791</v>
      </c>
      <c r="DW10" s="1371"/>
      <c r="DX10" s="1372"/>
      <c r="DY10" s="1370" t="str">
        <f>"Summe " &amp; TEXT($J10,"MMM. JJ") &amp; " - " &amp; TEXT(DR10,"MMM. JJ")</f>
        <v>Summe Jan. 19 - Sep. 19</v>
      </c>
      <c r="DZ10" s="1371"/>
      <c r="EA10" s="1372"/>
      <c r="EB10" s="1157" t="s">
        <v>790</v>
      </c>
      <c r="EC10" s="1370" t="s">
        <v>791</v>
      </c>
      <c r="ED10" s="1371"/>
      <c r="EE10" s="1372"/>
      <c r="EF10" s="1367">
        <f>DATE(Grunddaten!$B$5,Grunddaten!$B$6-1+10,1)</f>
        <v>43739</v>
      </c>
      <c r="EG10" s="1368"/>
      <c r="EH10" s="1369"/>
      <c r="EI10" s="1157" t="s">
        <v>790</v>
      </c>
      <c r="EJ10" s="1370" t="s">
        <v>791</v>
      </c>
      <c r="EK10" s="1371"/>
      <c r="EL10" s="1372"/>
      <c r="EM10" s="1370" t="str">
        <f>"Summe " &amp; TEXT($J10,"MMM. JJ") &amp; " - " &amp; TEXT(EF10,"MMM. JJ")</f>
        <v>Summe Jan. 19 - Okt. 19</v>
      </c>
      <c r="EN10" s="1371"/>
      <c r="EO10" s="1372"/>
      <c r="EP10" s="1157" t="s">
        <v>790</v>
      </c>
      <c r="EQ10" s="1370" t="s">
        <v>791</v>
      </c>
      <c r="ER10" s="1371"/>
      <c r="ES10" s="1372"/>
      <c r="ET10" s="1367">
        <f>DATE(Grunddaten!$B$5,Grunddaten!$B$6-1+11,1)</f>
        <v>43770</v>
      </c>
      <c r="EU10" s="1368"/>
      <c r="EV10" s="1369"/>
      <c r="EW10" s="1157" t="s">
        <v>790</v>
      </c>
      <c r="EX10" s="1370" t="s">
        <v>791</v>
      </c>
      <c r="EY10" s="1371"/>
      <c r="EZ10" s="1372"/>
      <c r="FA10" s="1370" t="str">
        <f>"Summe " &amp; TEXT($J10,"MMM. JJ") &amp; " - " &amp; TEXT(ET10,"MMM. JJ")</f>
        <v>Summe Jan. 19 - Nov. 19</v>
      </c>
      <c r="FB10" s="1371"/>
      <c r="FC10" s="1372"/>
      <c r="FD10" s="1157" t="s">
        <v>790</v>
      </c>
      <c r="FE10" s="1370" t="s">
        <v>791</v>
      </c>
      <c r="FF10" s="1371"/>
      <c r="FG10" s="1372"/>
      <c r="FH10" s="1367">
        <f>DATE(Grunddaten!$B$5,Grunddaten!$B$6-1+12,1)</f>
        <v>43800</v>
      </c>
      <c r="FI10" s="1368"/>
      <c r="FJ10" s="1369"/>
      <c r="FK10" s="1157" t="s">
        <v>790</v>
      </c>
      <c r="FL10" s="1370" t="s">
        <v>791</v>
      </c>
      <c r="FM10" s="1371"/>
      <c r="FN10" s="1372"/>
      <c r="FO10" s="1370" t="str">
        <f>"Summe " &amp; TEXT($J10,"MMM. JJ") &amp; " - " &amp; TEXT(FH10,"MMM. JJ")</f>
        <v>Summe Jan. 19 - Dez. 19</v>
      </c>
      <c r="FP10" s="1371"/>
      <c r="FQ10" s="1372"/>
      <c r="FR10" s="1157" t="s">
        <v>790</v>
      </c>
      <c r="FS10" s="1370" t="s">
        <v>791</v>
      </c>
      <c r="FT10" s="1371"/>
      <c r="FU10" s="1372"/>
      <c r="FV10" s="1158"/>
      <c r="FW10" s="1157"/>
    </row>
    <row r="11" spans="1:179" s="958" customFormat="1" ht="16.5" customHeight="1" x14ac:dyDescent="0.2">
      <c r="A11" s="1156"/>
      <c r="B11" s="1156"/>
      <c r="C11" s="1159" t="s">
        <v>50</v>
      </c>
      <c r="D11" s="1159" t="s">
        <v>205</v>
      </c>
      <c r="E11" s="1159" t="s">
        <v>206</v>
      </c>
      <c r="F11" s="1159" t="s">
        <v>792</v>
      </c>
      <c r="G11" s="1159" t="s">
        <v>50</v>
      </c>
      <c r="H11" s="1159" t="s">
        <v>205</v>
      </c>
      <c r="I11" s="1159" t="s">
        <v>206</v>
      </c>
      <c r="J11" s="1159" t="s">
        <v>50</v>
      </c>
      <c r="K11" s="1159" t="s">
        <v>793</v>
      </c>
      <c r="L11" s="1159" t="s">
        <v>206</v>
      </c>
      <c r="M11" s="1159" t="s">
        <v>792</v>
      </c>
      <c r="N11" s="1159" t="s">
        <v>50</v>
      </c>
      <c r="O11" s="1159" t="s">
        <v>205</v>
      </c>
      <c r="P11" s="1159" t="s">
        <v>206</v>
      </c>
      <c r="Q11" s="1159" t="s">
        <v>50</v>
      </c>
      <c r="R11" s="1159" t="s">
        <v>205</v>
      </c>
      <c r="S11" s="1157" t="s">
        <v>206</v>
      </c>
      <c r="T11" s="1159" t="s">
        <v>792</v>
      </c>
      <c r="U11" s="1159" t="s">
        <v>50</v>
      </c>
      <c r="V11" s="1159" t="s">
        <v>205</v>
      </c>
      <c r="W11" s="1159" t="s">
        <v>206</v>
      </c>
      <c r="X11" s="1159" t="s">
        <v>50</v>
      </c>
      <c r="Y11" s="1159" t="s">
        <v>205</v>
      </c>
      <c r="Z11" s="1157" t="s">
        <v>206</v>
      </c>
      <c r="AA11" s="1159" t="s">
        <v>792</v>
      </c>
      <c r="AB11" s="1159" t="s">
        <v>50</v>
      </c>
      <c r="AC11" s="1159" t="s">
        <v>205</v>
      </c>
      <c r="AD11" s="1159" t="s">
        <v>206</v>
      </c>
      <c r="AE11" s="1159" t="s">
        <v>50</v>
      </c>
      <c r="AF11" s="1159" t="s">
        <v>205</v>
      </c>
      <c r="AG11" s="1157" t="s">
        <v>206</v>
      </c>
      <c r="AH11" s="1159" t="s">
        <v>792</v>
      </c>
      <c r="AI11" s="1159" t="s">
        <v>50</v>
      </c>
      <c r="AJ11" s="1159" t="s">
        <v>205</v>
      </c>
      <c r="AK11" s="1159" t="s">
        <v>206</v>
      </c>
      <c r="AL11" s="1159" t="s">
        <v>50</v>
      </c>
      <c r="AM11" s="1159" t="s">
        <v>205</v>
      </c>
      <c r="AN11" s="1157" t="s">
        <v>206</v>
      </c>
      <c r="AO11" s="1159" t="s">
        <v>792</v>
      </c>
      <c r="AP11" s="1159" t="s">
        <v>50</v>
      </c>
      <c r="AQ11" s="1159" t="s">
        <v>205</v>
      </c>
      <c r="AR11" s="1159" t="s">
        <v>206</v>
      </c>
      <c r="AS11" s="1159" t="s">
        <v>50</v>
      </c>
      <c r="AT11" s="1159" t="s">
        <v>205</v>
      </c>
      <c r="AU11" s="1157" t="s">
        <v>206</v>
      </c>
      <c r="AV11" s="1159" t="s">
        <v>792</v>
      </c>
      <c r="AW11" s="1159" t="s">
        <v>50</v>
      </c>
      <c r="AX11" s="1159" t="s">
        <v>205</v>
      </c>
      <c r="AY11" s="1159" t="s">
        <v>206</v>
      </c>
      <c r="AZ11" s="1159" t="s">
        <v>50</v>
      </c>
      <c r="BA11" s="1159" t="s">
        <v>205</v>
      </c>
      <c r="BB11" s="1157" t="s">
        <v>206</v>
      </c>
      <c r="BC11" s="1159" t="s">
        <v>792</v>
      </c>
      <c r="BD11" s="1159" t="s">
        <v>50</v>
      </c>
      <c r="BE11" s="1159" t="s">
        <v>205</v>
      </c>
      <c r="BF11" s="1159" t="s">
        <v>206</v>
      </c>
      <c r="BG11" s="1159" t="s">
        <v>50</v>
      </c>
      <c r="BH11" s="1159" t="s">
        <v>205</v>
      </c>
      <c r="BI11" s="1157" t="s">
        <v>206</v>
      </c>
      <c r="BJ11" s="1159" t="s">
        <v>792</v>
      </c>
      <c r="BK11" s="1159" t="s">
        <v>50</v>
      </c>
      <c r="BL11" s="1159" t="s">
        <v>205</v>
      </c>
      <c r="BM11" s="1159" t="s">
        <v>206</v>
      </c>
      <c r="BN11" s="1159" t="s">
        <v>50</v>
      </c>
      <c r="BO11" s="1159" t="s">
        <v>205</v>
      </c>
      <c r="BP11" s="1157" t="s">
        <v>206</v>
      </c>
      <c r="BQ11" s="1159" t="s">
        <v>792</v>
      </c>
      <c r="BR11" s="1159" t="s">
        <v>50</v>
      </c>
      <c r="BS11" s="1159" t="s">
        <v>205</v>
      </c>
      <c r="BT11" s="1159" t="s">
        <v>206</v>
      </c>
      <c r="BU11" s="1159" t="s">
        <v>50</v>
      </c>
      <c r="BV11" s="1159" t="s">
        <v>205</v>
      </c>
      <c r="BW11" s="1157" t="s">
        <v>206</v>
      </c>
      <c r="BX11" s="1159" t="s">
        <v>792</v>
      </c>
      <c r="BY11" s="1159" t="s">
        <v>50</v>
      </c>
      <c r="BZ11" s="1159" t="s">
        <v>205</v>
      </c>
      <c r="CA11" s="1159" t="s">
        <v>206</v>
      </c>
      <c r="CB11" s="1159" t="s">
        <v>50</v>
      </c>
      <c r="CC11" s="1159" t="s">
        <v>205</v>
      </c>
      <c r="CD11" s="1157" t="s">
        <v>206</v>
      </c>
      <c r="CE11" s="1159" t="s">
        <v>792</v>
      </c>
      <c r="CF11" s="1159" t="s">
        <v>50</v>
      </c>
      <c r="CG11" s="1157" t="s">
        <v>205</v>
      </c>
      <c r="CH11" s="1157" t="s">
        <v>206</v>
      </c>
      <c r="CI11" s="1159" t="s">
        <v>50</v>
      </c>
      <c r="CJ11" s="1159" t="s">
        <v>205</v>
      </c>
      <c r="CK11" s="1157" t="s">
        <v>206</v>
      </c>
      <c r="CL11" s="1159" t="s">
        <v>792</v>
      </c>
      <c r="CM11" s="1159" t="s">
        <v>50</v>
      </c>
      <c r="CN11" s="1159" t="s">
        <v>205</v>
      </c>
      <c r="CO11" s="1159" t="s">
        <v>206</v>
      </c>
      <c r="CP11" s="1159" t="s">
        <v>50</v>
      </c>
      <c r="CQ11" s="1159" t="s">
        <v>205</v>
      </c>
      <c r="CR11" s="1157" t="s">
        <v>206</v>
      </c>
      <c r="CS11" s="1159" t="s">
        <v>792</v>
      </c>
      <c r="CT11" s="1159" t="s">
        <v>50</v>
      </c>
      <c r="CU11" s="1159" t="s">
        <v>205</v>
      </c>
      <c r="CV11" s="1159" t="s">
        <v>206</v>
      </c>
      <c r="CW11" s="1159" t="s">
        <v>50</v>
      </c>
      <c r="CX11" s="1159" t="s">
        <v>205</v>
      </c>
      <c r="CY11" s="1157" t="s">
        <v>206</v>
      </c>
      <c r="CZ11" s="1159" t="s">
        <v>792</v>
      </c>
      <c r="DA11" s="1159" t="s">
        <v>50</v>
      </c>
      <c r="DB11" s="1159" t="s">
        <v>205</v>
      </c>
      <c r="DC11" s="1159" t="s">
        <v>206</v>
      </c>
      <c r="DD11" s="1159" t="s">
        <v>50</v>
      </c>
      <c r="DE11" s="1159" t="s">
        <v>205</v>
      </c>
      <c r="DF11" s="1157" t="s">
        <v>206</v>
      </c>
      <c r="DG11" s="1159" t="s">
        <v>792</v>
      </c>
      <c r="DH11" s="1159" t="s">
        <v>50</v>
      </c>
      <c r="DI11" s="1159" t="s">
        <v>205</v>
      </c>
      <c r="DJ11" s="1159" t="s">
        <v>206</v>
      </c>
      <c r="DK11" s="1159" t="s">
        <v>50</v>
      </c>
      <c r="DL11" s="1159" t="s">
        <v>205</v>
      </c>
      <c r="DM11" s="1157" t="s">
        <v>206</v>
      </c>
      <c r="DN11" s="1159" t="s">
        <v>792</v>
      </c>
      <c r="DO11" s="1159" t="s">
        <v>50</v>
      </c>
      <c r="DP11" s="1159" t="s">
        <v>205</v>
      </c>
      <c r="DQ11" s="1159" t="s">
        <v>206</v>
      </c>
      <c r="DR11" s="1159" t="s">
        <v>50</v>
      </c>
      <c r="DS11" s="1159" t="s">
        <v>205</v>
      </c>
      <c r="DT11" s="1157" t="s">
        <v>206</v>
      </c>
      <c r="DU11" s="1159" t="s">
        <v>792</v>
      </c>
      <c r="DV11" s="1159" t="s">
        <v>50</v>
      </c>
      <c r="DW11" s="1159" t="s">
        <v>205</v>
      </c>
      <c r="DX11" s="1159" t="s">
        <v>206</v>
      </c>
      <c r="DY11" s="1159" t="s">
        <v>50</v>
      </c>
      <c r="DZ11" s="1159" t="s">
        <v>205</v>
      </c>
      <c r="EA11" s="1157" t="s">
        <v>206</v>
      </c>
      <c r="EB11" s="1159" t="s">
        <v>792</v>
      </c>
      <c r="EC11" s="1159" t="s">
        <v>50</v>
      </c>
      <c r="ED11" s="1159" t="s">
        <v>205</v>
      </c>
      <c r="EE11" s="1159" t="s">
        <v>206</v>
      </c>
      <c r="EF11" s="1159" t="s">
        <v>50</v>
      </c>
      <c r="EG11" s="1159" t="s">
        <v>205</v>
      </c>
      <c r="EH11" s="1157" t="s">
        <v>206</v>
      </c>
      <c r="EI11" s="1159" t="s">
        <v>792</v>
      </c>
      <c r="EJ11" s="1159" t="s">
        <v>50</v>
      </c>
      <c r="EK11" s="1159" t="s">
        <v>205</v>
      </c>
      <c r="EL11" s="1159" t="s">
        <v>206</v>
      </c>
      <c r="EM11" s="1159" t="s">
        <v>50</v>
      </c>
      <c r="EN11" s="1159" t="s">
        <v>205</v>
      </c>
      <c r="EO11" s="1157" t="s">
        <v>206</v>
      </c>
      <c r="EP11" s="1159" t="s">
        <v>792</v>
      </c>
      <c r="EQ11" s="1159" t="s">
        <v>50</v>
      </c>
      <c r="ER11" s="1159" t="s">
        <v>205</v>
      </c>
      <c r="ES11" s="1159" t="s">
        <v>206</v>
      </c>
      <c r="ET11" s="1159" t="s">
        <v>50</v>
      </c>
      <c r="EU11" s="1159" t="s">
        <v>205</v>
      </c>
      <c r="EV11" s="1157" t="s">
        <v>206</v>
      </c>
      <c r="EW11" s="1159" t="s">
        <v>792</v>
      </c>
      <c r="EX11" s="1159" t="s">
        <v>50</v>
      </c>
      <c r="EY11" s="1159" t="s">
        <v>205</v>
      </c>
      <c r="EZ11" s="1159" t="s">
        <v>206</v>
      </c>
      <c r="FA11" s="1159" t="s">
        <v>50</v>
      </c>
      <c r="FB11" s="1159" t="s">
        <v>205</v>
      </c>
      <c r="FC11" s="1157" t="s">
        <v>206</v>
      </c>
      <c r="FD11" s="1159" t="s">
        <v>792</v>
      </c>
      <c r="FE11" s="1159" t="s">
        <v>50</v>
      </c>
      <c r="FF11" s="1159" t="s">
        <v>205</v>
      </c>
      <c r="FG11" s="1159" t="s">
        <v>206</v>
      </c>
      <c r="FH11" s="1157" t="s">
        <v>50</v>
      </c>
      <c r="FI11" s="1159" t="s">
        <v>205</v>
      </c>
      <c r="FJ11" s="1157" t="s">
        <v>206</v>
      </c>
      <c r="FK11" s="1159" t="s">
        <v>792</v>
      </c>
      <c r="FL11" s="1159" t="s">
        <v>50</v>
      </c>
      <c r="FM11" s="1159" t="s">
        <v>205</v>
      </c>
      <c r="FN11" s="1159" t="s">
        <v>206</v>
      </c>
      <c r="FO11" s="1159" t="s">
        <v>50</v>
      </c>
      <c r="FP11" s="1159" t="s">
        <v>205</v>
      </c>
      <c r="FQ11" s="1157" t="s">
        <v>206</v>
      </c>
      <c r="FR11" s="1159" t="s">
        <v>792</v>
      </c>
      <c r="FS11" s="1159" t="s">
        <v>50</v>
      </c>
      <c r="FT11" s="1159" t="s">
        <v>205</v>
      </c>
      <c r="FU11" s="1159" t="s">
        <v>206</v>
      </c>
      <c r="FV11" s="1160"/>
      <c r="FW11" s="1159" t="s">
        <v>206</v>
      </c>
    </row>
    <row r="12" spans="1:179" s="883" customFormat="1" x14ac:dyDescent="0.2">
      <c r="A12" s="1247">
        <v>1</v>
      </c>
      <c r="B12" s="1248" t="str">
        <f>'Struktur Aktuell'!B9</f>
        <v>Umsatz</v>
      </c>
      <c r="C12" s="1173">
        <f t="shared" ref="C12:E14" ca="1" si="0">J12+X12+AL12+AZ12+BN12+CB12+CP12+DD12+DR12+EF12+ET12+FH12</f>
        <v>158438.84000000003</v>
      </c>
      <c r="D12" s="1174">
        <f t="shared" si="0"/>
        <v>1034186</v>
      </c>
      <c r="E12" s="1187">
        <f t="shared" ca="1" si="0"/>
        <v>158438.84000000003</v>
      </c>
      <c r="F12" s="1249">
        <f t="shared" ref="F12:F58" ca="1" si="1">E12-D12</f>
        <v>-875747.15999999992</v>
      </c>
      <c r="G12" s="1250"/>
      <c r="H12" s="1250"/>
      <c r="I12" s="1250"/>
      <c r="J12" s="1173">
        <f ca="1">SUMIF('Struktur Vorjahr'!$A:$A,'Planzahlen Rentabilität'!$A12,'Struktur Vorjahr'!G:G)</f>
        <v>10751.77</v>
      </c>
      <c r="K12" s="1174">
        <f>Monatsplanung!$W$153</f>
        <v>62051.159999999996</v>
      </c>
      <c r="L12" s="1187">
        <f ca="1">SUMIF('Struktur Aktuell'!$A:$A,'Planzahlen Rentabilität'!$A12,'Struktur Aktuell'!G:G)</f>
        <v>10751.77</v>
      </c>
      <c r="M12" s="1249">
        <f t="shared" ref="M12:M58" ca="1" si="2">L12-K12</f>
        <v>-51299.39</v>
      </c>
      <c r="N12" s="1250"/>
      <c r="O12" s="1250"/>
      <c r="P12" s="1250"/>
      <c r="Q12" s="1173">
        <f t="shared" ref="Q12:Q43" ca="1" si="3">J12</f>
        <v>10751.77</v>
      </c>
      <c r="R12" s="1174">
        <f t="shared" ref="R12:R43" si="4">K12</f>
        <v>62051.159999999996</v>
      </c>
      <c r="S12" s="1187">
        <f t="shared" ref="S12:S43" ca="1" si="5">L12</f>
        <v>10751.77</v>
      </c>
      <c r="T12" s="1249">
        <f t="shared" ref="T12:T58" ca="1" si="6">S12-R12</f>
        <v>-51299.39</v>
      </c>
      <c r="U12" s="1250"/>
      <c r="V12" s="1250"/>
      <c r="W12" s="1250"/>
      <c r="X12" s="1173">
        <f ca="1">SUMIF('Struktur Vorjahr'!$A:$A,'Planzahlen Rentabilität'!$A12,'Struktur Vorjahr'!H:H)</f>
        <v>12178.650000000001</v>
      </c>
      <c r="Y12" s="1174">
        <f>Monatsplanung!$X$153</f>
        <v>82734.880000000005</v>
      </c>
      <c r="Z12" s="1187">
        <f ca="1">SUMIF('Struktur Aktuell'!$A:$A,'Planzahlen Rentabilität'!$A12,'Struktur Aktuell'!H:H)</f>
        <v>12178.650000000001</v>
      </c>
      <c r="AA12" s="1249">
        <f t="shared" ref="AA12:AA58" ca="1" si="7">Z12-Y12</f>
        <v>-70556.23000000001</v>
      </c>
      <c r="AB12" s="1250"/>
      <c r="AC12" s="1250"/>
      <c r="AD12" s="1250"/>
      <c r="AE12" s="1173">
        <f t="shared" ref="AE12:AE43" ca="1" si="8">Q12+X12</f>
        <v>22930.420000000002</v>
      </c>
      <c r="AF12" s="1174">
        <f t="shared" ref="AF12:AF43" si="9">R12+Y12</f>
        <v>144786.04</v>
      </c>
      <c r="AG12" s="1187">
        <f t="shared" ref="AG12:AG43" ca="1" si="10">S12+Z12</f>
        <v>22930.420000000002</v>
      </c>
      <c r="AH12" s="1249">
        <f t="shared" ref="AH12:AH58" ca="1" si="11">AG12-AF12</f>
        <v>-121855.62000000001</v>
      </c>
      <c r="AI12" s="1250"/>
      <c r="AJ12" s="1250"/>
      <c r="AK12" s="1250"/>
      <c r="AL12" s="1173">
        <v>0</v>
      </c>
      <c r="AM12" s="1174">
        <f>Monatsplanung!$Y$153</f>
        <v>103418.6</v>
      </c>
      <c r="AN12" s="1187">
        <v>0</v>
      </c>
      <c r="AO12" s="1249">
        <f t="shared" ref="AO12:AO58" si="12">AN12-AM12</f>
        <v>-103418.6</v>
      </c>
      <c r="AP12" s="1250"/>
      <c r="AQ12" s="1250"/>
      <c r="AR12" s="1250"/>
      <c r="AS12" s="1173">
        <f t="shared" ref="AS12:AS43" ca="1" si="13">AE12+AL12</f>
        <v>22930.420000000002</v>
      </c>
      <c r="AT12" s="1174">
        <f t="shared" ref="AT12:AT43" si="14">AF12+AM12</f>
        <v>248204.64</v>
      </c>
      <c r="AU12" s="1187">
        <f t="shared" ref="AU12:AU43" ca="1" si="15">AG12+AN12</f>
        <v>22930.420000000002</v>
      </c>
      <c r="AV12" s="1249">
        <f t="shared" ref="AV12:AV58" ca="1" si="16">AU12-AT12</f>
        <v>-225274.22</v>
      </c>
      <c r="AW12" s="1250"/>
      <c r="AX12" s="1250"/>
      <c r="AY12" s="1250"/>
      <c r="AZ12" s="1173">
        <f ca="1">SUMIF('Struktur Vorjahr'!$A:$A,'Planzahlen Rentabilität'!$A12,'Struktur Vorjahr'!J:J)</f>
        <v>13432.21</v>
      </c>
      <c r="BA12" s="1174">
        <f>Monatsplanung!$Z$153</f>
        <v>72393.02</v>
      </c>
      <c r="BB12" s="1187">
        <f ca="1">SUMIF('Struktur Aktuell'!$A:$A,'Planzahlen Rentabilität'!$A12,'Struktur Aktuell'!J:J)</f>
        <v>13432.21</v>
      </c>
      <c r="BC12" s="1249">
        <f t="shared" ref="BC12:BC58" ca="1" si="17">BB12-BA12</f>
        <v>-58960.810000000005</v>
      </c>
      <c r="BD12" s="1250"/>
      <c r="BE12" s="1250"/>
      <c r="BF12" s="1250"/>
      <c r="BG12" s="1173">
        <f t="shared" ref="BG12:BG43" ca="1" si="18">AS12+AZ12</f>
        <v>36362.630000000005</v>
      </c>
      <c r="BH12" s="1174">
        <f t="shared" ref="BH12:BH43" si="19">AT12+BA12</f>
        <v>320597.66000000003</v>
      </c>
      <c r="BI12" s="1187">
        <f t="shared" ref="BI12:BI43" ca="1" si="20">AU12+BB12</f>
        <v>36362.630000000005</v>
      </c>
      <c r="BJ12" s="1249">
        <f t="shared" ref="BJ12:BJ58" ca="1" si="21">BI12-BH12</f>
        <v>-284235.03000000003</v>
      </c>
      <c r="BK12" s="1250"/>
      <c r="BL12" s="1250"/>
      <c r="BM12" s="1250"/>
      <c r="BN12" s="1173">
        <f ca="1">SUMIF('Struktur Vorjahr'!$A:$A,'Planzahlen Rentabilität'!$A12,'Struktur Vorjahr'!K:K)</f>
        <v>7765.1100000000006</v>
      </c>
      <c r="BO12" s="1174">
        <f>Monatsplanung!$AA$153</f>
        <v>82734.880000000005</v>
      </c>
      <c r="BP12" s="1187">
        <f ca="1">SUMIF('Struktur Aktuell'!$A:$A,'Planzahlen Rentabilität'!$A12,'Struktur Aktuell'!K:K)</f>
        <v>7765.1100000000006</v>
      </c>
      <c r="BQ12" s="1249">
        <f t="shared" ref="BQ12:BQ58" ca="1" si="22">BP12-BO12</f>
        <v>-74969.77</v>
      </c>
      <c r="BR12" s="1250"/>
      <c r="BS12" s="1250"/>
      <c r="BT12" s="1250"/>
      <c r="BU12" s="1173">
        <f t="shared" ref="BU12:BU43" ca="1" si="23">BG12+BN12</f>
        <v>44127.740000000005</v>
      </c>
      <c r="BV12" s="1174">
        <f t="shared" ref="BV12:BV43" si="24">BH12+BO12</f>
        <v>403332.54000000004</v>
      </c>
      <c r="BW12" s="1187">
        <f t="shared" ref="BW12:BW43" ca="1" si="25">BI12+BP12</f>
        <v>44127.740000000005</v>
      </c>
      <c r="BX12" s="1249">
        <f t="shared" ref="BX12:BX58" ca="1" si="26">BW12-BV12</f>
        <v>-359204.80000000005</v>
      </c>
      <c r="BY12" s="1250"/>
      <c r="BZ12" s="1250"/>
      <c r="CA12" s="1250"/>
      <c r="CB12" s="1173">
        <v>0</v>
      </c>
      <c r="CC12" s="1174">
        <f>Monatsplanung!$AB$153</f>
        <v>82734.880000000005</v>
      </c>
      <c r="CD12" s="1187">
        <v>0</v>
      </c>
      <c r="CE12" s="1249">
        <f t="shared" ref="CE12:CE58" si="27">CD12-CC12</f>
        <v>-82734.880000000005</v>
      </c>
      <c r="CF12" s="1250"/>
      <c r="CG12" s="1250"/>
      <c r="CH12" s="1250"/>
      <c r="CI12" s="1173">
        <f t="shared" ref="CI12:CI43" ca="1" si="28">BU12+CB12</f>
        <v>44127.740000000005</v>
      </c>
      <c r="CJ12" s="1174">
        <f t="shared" ref="CJ12:CJ43" si="29">BV12+CC12</f>
        <v>486067.42000000004</v>
      </c>
      <c r="CK12" s="1187">
        <f t="shared" ref="CK12:CK43" ca="1" si="30">BW12+CD12</f>
        <v>44127.740000000005</v>
      </c>
      <c r="CL12" s="1249">
        <f t="shared" ref="CL12:CL43" ca="1" si="31">CK12-CJ12</f>
        <v>-441939.68000000005</v>
      </c>
      <c r="CM12" s="1250"/>
      <c r="CN12" s="1250"/>
      <c r="CO12" s="1250"/>
      <c r="CP12" s="1173">
        <f ca="1">SUMIF('Struktur Vorjahr'!$A:$A,'Planzahlen Rentabilität'!$A12,'Struktur Vorjahr'!M:M)</f>
        <v>50778.380000000005</v>
      </c>
      <c r="CQ12" s="1174">
        <f>Monatsplanung!$AC$153</f>
        <v>82734.880000000005</v>
      </c>
      <c r="CR12" s="1187">
        <f ca="1">SUMIF('Struktur Aktuell'!$A:$A,'Planzahlen Rentabilität'!$A12,'Struktur Aktuell'!M:M)</f>
        <v>50778.380000000005</v>
      </c>
      <c r="CS12" s="1249">
        <f t="shared" ref="CS12:CS43" ca="1" si="32">CR12-CQ12</f>
        <v>-31956.5</v>
      </c>
      <c r="CT12" s="1250"/>
      <c r="CU12" s="1250"/>
      <c r="CV12" s="1250"/>
      <c r="CW12" s="1173">
        <f t="shared" ref="CW12:CW43" ca="1" si="33">CI12+CP12</f>
        <v>94906.12000000001</v>
      </c>
      <c r="CX12" s="1174">
        <f t="shared" ref="CX12:CX43" si="34">CJ12+CQ12</f>
        <v>568802.30000000005</v>
      </c>
      <c r="CY12" s="1187">
        <f t="shared" ref="CY12:CY43" ca="1" si="35">CK12+CR12</f>
        <v>94906.12000000001</v>
      </c>
      <c r="CZ12" s="1249">
        <f t="shared" ref="CZ12:CZ58" ca="1" si="36">CY12-CX12</f>
        <v>-473896.18000000005</v>
      </c>
      <c r="DA12" s="1250"/>
      <c r="DB12" s="1250"/>
      <c r="DC12" s="1250"/>
      <c r="DD12" s="1173">
        <f ca="1">SUMIF('Struktur Vorjahr'!$A:$A,'Planzahlen Rentabilität'!$A12,'Struktur Vorjahr'!N:N)</f>
        <v>20043.71</v>
      </c>
      <c r="DE12" s="1174">
        <f>Monatsplanung!$AD$153</f>
        <v>72393.02</v>
      </c>
      <c r="DF12" s="1187">
        <f ca="1">SUMIF('Struktur Aktuell'!$A:$A,'Planzahlen Rentabilität'!$A12,'Struktur Aktuell'!N:N)</f>
        <v>20043.71</v>
      </c>
      <c r="DG12" s="1249">
        <f t="shared" ref="DG12:DG58" ca="1" si="37">DF12-DE12</f>
        <v>-52349.310000000005</v>
      </c>
      <c r="DH12" s="1250"/>
      <c r="DI12" s="1250"/>
      <c r="DJ12" s="1250"/>
      <c r="DK12" s="1173">
        <f t="shared" ref="DK12:DK43" ca="1" si="38">CW12+DD12</f>
        <v>114949.83000000002</v>
      </c>
      <c r="DL12" s="1174">
        <f t="shared" ref="DL12:DL43" si="39">CX12+DE12</f>
        <v>641195.32000000007</v>
      </c>
      <c r="DM12" s="1187">
        <f t="shared" ref="DM12:DM43" ca="1" si="40">CY12+DF12</f>
        <v>114949.83000000002</v>
      </c>
      <c r="DN12" s="1249">
        <f t="shared" ref="DN12:DN43" ca="1" si="41">DM12-DL12</f>
        <v>-526245.49</v>
      </c>
      <c r="DO12" s="1250"/>
      <c r="DP12" s="1250"/>
      <c r="DQ12" s="1250"/>
      <c r="DR12" s="1173">
        <f ca="1">SUMIF('Struktur Vorjahr'!$A:$A,'Planzahlen Rentabilität'!$A12,'Struktur Vorjahr'!O:O)</f>
        <v>10928.890000000001</v>
      </c>
      <c r="DS12" s="1174">
        <f>Monatsplanung!$AE$153</f>
        <v>103418.6</v>
      </c>
      <c r="DT12" s="1187">
        <f ca="1">SUMIF('Struktur Aktuell'!$A:$A,'Planzahlen Rentabilität'!$A12,'Struktur Aktuell'!O:O)</f>
        <v>10928.890000000001</v>
      </c>
      <c r="DU12" s="1249">
        <f t="shared" ref="DU12:DU43" ca="1" si="42">DT12-DS12</f>
        <v>-92489.71</v>
      </c>
      <c r="DV12" s="1250"/>
      <c r="DW12" s="1250"/>
      <c r="DX12" s="1250"/>
      <c r="DY12" s="1173">
        <f t="shared" ref="DY12:DY43" ca="1" si="43">DK12+DR12</f>
        <v>125878.72000000002</v>
      </c>
      <c r="DZ12" s="1174">
        <f t="shared" ref="DZ12:DZ43" si="44">DL12+DS12</f>
        <v>744613.92</v>
      </c>
      <c r="EA12" s="1187">
        <f t="shared" ref="EA12:EA43" ca="1" si="45">DM12+DT12</f>
        <v>125878.72000000002</v>
      </c>
      <c r="EB12" s="1249">
        <f t="shared" ref="EB12:EB43" ca="1" si="46">EA12-DZ12</f>
        <v>-618735.20000000007</v>
      </c>
      <c r="EC12" s="1250"/>
      <c r="ED12" s="1250"/>
      <c r="EE12" s="1250"/>
      <c r="EF12" s="1173">
        <f ca="1">SUMIF('Struktur Vorjahr'!$A:$A,'Planzahlen Rentabilität'!$A12,'Struktur Vorjahr'!P:P)</f>
        <v>32560.12</v>
      </c>
      <c r="EG12" s="1174">
        <f>Monatsplanung!$AF$153</f>
        <v>103418.6</v>
      </c>
      <c r="EH12" s="1187">
        <f ca="1">SUMIF('Struktur Aktuell'!$A:$A,'Planzahlen Rentabilität'!$A12,'Struktur Aktuell'!P:P)</f>
        <v>32560.12</v>
      </c>
      <c r="EI12" s="1249">
        <f t="shared" ref="EI12:EI43" ca="1" si="47">EH12-EG12</f>
        <v>-70858.48000000001</v>
      </c>
      <c r="EJ12" s="1250"/>
      <c r="EK12" s="1250"/>
      <c r="EL12" s="1250"/>
      <c r="EM12" s="1173">
        <f t="shared" ref="EM12:EM43" ca="1" si="48">DY12+EF12</f>
        <v>158438.84000000003</v>
      </c>
      <c r="EN12" s="1174">
        <f t="shared" ref="EN12:EN43" si="49">DZ12+EG12</f>
        <v>848032.52</v>
      </c>
      <c r="EO12" s="1187">
        <f t="shared" ref="EO12:EO43" ca="1" si="50">EA12+EH12</f>
        <v>158438.84000000003</v>
      </c>
      <c r="EP12" s="1249">
        <f t="shared" ref="EP12:EP43" ca="1" si="51">EO12-EN12</f>
        <v>-689593.67999999993</v>
      </c>
      <c r="EQ12" s="1250"/>
      <c r="ER12" s="1250"/>
      <c r="ES12" s="1250"/>
      <c r="ET12" s="1173">
        <f ca="1">SUMIF('Struktur Vorjahr'!$A:$A,'Planzahlen Rentabilität'!$A12,'Struktur Vorjahr'!Q:Q)</f>
        <v>0</v>
      </c>
      <c r="EU12" s="1174">
        <f>Monatsplanung!$AG$153</f>
        <v>93076.739999999991</v>
      </c>
      <c r="EV12" s="1187">
        <f ca="1">SUMIF('Struktur Aktuell'!$A:$A,'Planzahlen Rentabilität'!$A12,'Struktur Aktuell'!Q:Q)</f>
        <v>0</v>
      </c>
      <c r="EW12" s="1249">
        <f t="shared" ref="EW12:EW43" ca="1" si="52">EV12-EU12</f>
        <v>-93076.739999999991</v>
      </c>
      <c r="EX12" s="1250"/>
      <c r="EY12" s="1250"/>
      <c r="EZ12" s="1250"/>
      <c r="FA12" s="1173">
        <f t="shared" ref="FA12:FA57" ca="1" si="53">EM12+ET12</f>
        <v>158438.84000000003</v>
      </c>
      <c r="FB12" s="1174">
        <f t="shared" ref="FB12:FB57" si="54">EN12+EU12</f>
        <v>941109.26</v>
      </c>
      <c r="FC12" s="1187">
        <f t="shared" ref="FC12:FC57" ca="1" si="55">EO12+EV12</f>
        <v>158438.84000000003</v>
      </c>
      <c r="FD12" s="1249">
        <f t="shared" ref="FD12:FD58" ca="1" si="56">FC12-FB12</f>
        <v>-782670.41999999993</v>
      </c>
      <c r="FE12" s="1250"/>
      <c r="FF12" s="1250"/>
      <c r="FG12" s="1250"/>
      <c r="FH12" s="1173">
        <f ca="1">SUMIF('Struktur Vorjahr'!$A:$A,'Planzahlen Rentabilität'!$A12,'Struktur Vorjahr'!R:R)</f>
        <v>0</v>
      </c>
      <c r="FI12" s="1174">
        <f>Monatsplanung!$AH$153</f>
        <v>93076.739999999991</v>
      </c>
      <c r="FJ12" s="1187">
        <f ca="1">SUMIF('Struktur Aktuell'!$A:$A,'Planzahlen Rentabilität'!$A12,'Struktur Aktuell'!R:R)</f>
        <v>0</v>
      </c>
      <c r="FK12" s="1249">
        <f t="shared" ref="FK12:FK58" ca="1" si="57">FJ12-FI12</f>
        <v>-93076.739999999991</v>
      </c>
      <c r="FL12" s="1250"/>
      <c r="FM12" s="1250"/>
      <c r="FN12" s="1250"/>
      <c r="FO12" s="1173">
        <f t="shared" ref="FO12:FO57" ca="1" si="58">FA12+FH12</f>
        <v>158438.84000000003</v>
      </c>
      <c r="FP12" s="1174">
        <f t="shared" ref="FP12:FP57" si="59">FB12+FI12</f>
        <v>1034186</v>
      </c>
      <c r="FQ12" s="1187">
        <f t="shared" ref="FQ12:FQ57" ca="1" si="60">FC12+FJ12</f>
        <v>158438.84000000003</v>
      </c>
      <c r="FR12" s="1249">
        <f t="shared" ref="FR12:FR58" ca="1" si="61">FQ12-FP12</f>
        <v>-875747.15999999992</v>
      </c>
      <c r="FS12" s="1250"/>
      <c r="FT12" s="1250"/>
      <c r="FU12" s="1250"/>
      <c r="FV12" s="1171"/>
      <c r="FW12" s="1249">
        <v>0</v>
      </c>
    </row>
    <row r="13" spans="1:179" s="883" customFormat="1" x14ac:dyDescent="0.2">
      <c r="A13" s="1251">
        <v>2</v>
      </c>
      <c r="B13" s="1252" t="str">
        <f>'Struktur Aktuell'!B26</f>
        <v>Bestandsveränderung Halbfertige Arbeiten</v>
      </c>
      <c r="C13" s="1173">
        <f t="shared" ca="1" si="0"/>
        <v>-4453</v>
      </c>
      <c r="D13" s="1174">
        <f t="shared" si="0"/>
        <v>0</v>
      </c>
      <c r="E13" s="1175">
        <f t="shared" ca="1" si="0"/>
        <v>96</v>
      </c>
      <c r="F13" s="1249">
        <f t="shared" ca="1" si="1"/>
        <v>96</v>
      </c>
      <c r="G13" s="1250"/>
      <c r="H13" s="1250"/>
      <c r="I13" s="1250"/>
      <c r="J13" s="1173">
        <f ca="1">SUMIF('Struktur Vorjahr'!$A:$A,'Planzahlen Rentabilität'!$A13,'Struktur Vorjahr'!G:G)+'Bestandsveränderungen Vorjahr'!E7</f>
        <v>180</v>
      </c>
      <c r="K13" s="1174"/>
      <c r="L13" s="1175">
        <f ca="1">SUMIF('Struktur Aktuell'!$A:$A,'Planzahlen Rentabilität'!$A13,'Struktur Aktuell'!G:G)+'Bestandsveränderungen Aktuell'!E7</f>
        <v>440</v>
      </c>
      <c r="M13" s="1249">
        <f t="shared" ca="1" si="2"/>
        <v>440</v>
      </c>
      <c r="N13" s="1250"/>
      <c r="O13" s="1250"/>
      <c r="P13" s="1250"/>
      <c r="Q13" s="1173">
        <f t="shared" ca="1" si="3"/>
        <v>180</v>
      </c>
      <c r="R13" s="1174">
        <f t="shared" si="4"/>
        <v>0</v>
      </c>
      <c r="S13" s="1175">
        <f t="shared" ca="1" si="5"/>
        <v>440</v>
      </c>
      <c r="T13" s="1249">
        <f t="shared" ca="1" si="6"/>
        <v>440</v>
      </c>
      <c r="U13" s="1250"/>
      <c r="V13" s="1250"/>
      <c r="W13" s="1250"/>
      <c r="X13" s="1173">
        <f ca="1">SUMIF('Struktur Vorjahr'!$A:$A,'Planzahlen Rentabilität'!$A13,'Struktur Vorjahr'!H:H)+'Bestandsveränderungen Vorjahr'!E8</f>
        <v>-146</v>
      </c>
      <c r="Y13" s="1174">
        <f>K13</f>
        <v>0</v>
      </c>
      <c r="Z13" s="1175">
        <f ca="1">SUMIF('Struktur Aktuell'!$A:$A,'Planzahlen Rentabilität'!$A13,'Struktur Aktuell'!H:H)+'Bestandsveränderungen Aktuell'!E8</f>
        <v>-300</v>
      </c>
      <c r="AA13" s="1249">
        <f t="shared" ca="1" si="7"/>
        <v>-300</v>
      </c>
      <c r="AB13" s="1250"/>
      <c r="AC13" s="1250"/>
      <c r="AD13" s="1250"/>
      <c r="AE13" s="1173">
        <f t="shared" ca="1" si="8"/>
        <v>34</v>
      </c>
      <c r="AF13" s="1174">
        <f t="shared" si="9"/>
        <v>0</v>
      </c>
      <c r="AG13" s="1175">
        <f t="shared" ca="1" si="10"/>
        <v>140</v>
      </c>
      <c r="AH13" s="1249">
        <f t="shared" ca="1" si="11"/>
        <v>140</v>
      </c>
      <c r="AI13" s="1250"/>
      <c r="AJ13" s="1250"/>
      <c r="AK13" s="1250"/>
      <c r="AL13" s="1173">
        <f ca="1">SUMIF('Struktur Vorjahr'!$A:$A,'Planzahlen Rentabilität'!$A13,'Struktur Vorjahr'!I:I)+'Bestandsveränderungen Vorjahr'!E9</f>
        <v>-54</v>
      </c>
      <c r="AM13" s="1174">
        <f>Y13</f>
        <v>0</v>
      </c>
      <c r="AN13" s="1175">
        <f ca="1">SUMIF('Struktur Aktuell'!$A:$A,'Planzahlen Rentabilität'!$A13,'Struktur Aktuell'!I:I)+'Bestandsveränderungen Aktuell'!E9</f>
        <v>320</v>
      </c>
      <c r="AO13" s="1249">
        <f t="shared" ca="1" si="12"/>
        <v>320</v>
      </c>
      <c r="AP13" s="1250"/>
      <c r="AQ13" s="1250"/>
      <c r="AR13" s="1250"/>
      <c r="AS13" s="1173">
        <f t="shared" ca="1" si="13"/>
        <v>-20</v>
      </c>
      <c r="AT13" s="1174">
        <f t="shared" si="14"/>
        <v>0</v>
      </c>
      <c r="AU13" s="1175">
        <f t="shared" ca="1" si="15"/>
        <v>460</v>
      </c>
      <c r="AV13" s="1249">
        <f t="shared" ca="1" si="16"/>
        <v>460</v>
      </c>
      <c r="AW13" s="1250"/>
      <c r="AX13" s="1250"/>
      <c r="AY13" s="1250"/>
      <c r="AZ13" s="1173">
        <f ca="1">SUMIF('Struktur Vorjahr'!$A:$A,'Planzahlen Rentabilität'!$A13,'Struktur Vorjahr'!J:J)+'Bestandsveränderungen Vorjahr'!E10</f>
        <v>0</v>
      </c>
      <c r="BA13" s="1174">
        <f>AM13</f>
        <v>0</v>
      </c>
      <c r="BB13" s="1175">
        <f ca="1">SUMIF('Struktur Aktuell'!$A:$A,'Planzahlen Rentabilität'!$A13,'Struktur Aktuell'!J:J)+'Bestandsveränderungen Aktuell'!E10</f>
        <v>-456</v>
      </c>
      <c r="BC13" s="1249">
        <f t="shared" ca="1" si="17"/>
        <v>-456</v>
      </c>
      <c r="BD13" s="1250"/>
      <c r="BE13" s="1250"/>
      <c r="BF13" s="1250"/>
      <c r="BG13" s="1173">
        <f t="shared" ca="1" si="18"/>
        <v>-20</v>
      </c>
      <c r="BH13" s="1174">
        <f t="shared" si="19"/>
        <v>0</v>
      </c>
      <c r="BI13" s="1175">
        <f t="shared" ca="1" si="20"/>
        <v>4</v>
      </c>
      <c r="BJ13" s="1249">
        <f t="shared" ca="1" si="21"/>
        <v>4</v>
      </c>
      <c r="BK13" s="1250"/>
      <c r="BL13" s="1250"/>
      <c r="BM13" s="1250"/>
      <c r="BN13" s="1173">
        <f ca="1">SUMIF('Struktur Vorjahr'!$A:$A,'Planzahlen Rentabilität'!$A13,'Struktur Vorjahr'!K:K)+'Bestandsveränderungen Vorjahr'!E11</f>
        <v>45</v>
      </c>
      <c r="BO13" s="1174">
        <f>BA13</f>
        <v>0</v>
      </c>
      <c r="BP13" s="1175">
        <f ca="1">SUMIF('Struktur Aktuell'!$A:$A,'Planzahlen Rentabilität'!$A13,'Struktur Aktuell'!K:K)+'Bestandsveränderungen Aktuell'!E11</f>
        <v>-7</v>
      </c>
      <c r="BQ13" s="1249">
        <f t="shared" ca="1" si="22"/>
        <v>-7</v>
      </c>
      <c r="BR13" s="1250"/>
      <c r="BS13" s="1250"/>
      <c r="BT13" s="1250"/>
      <c r="BU13" s="1173">
        <f t="shared" ca="1" si="23"/>
        <v>25</v>
      </c>
      <c r="BV13" s="1174">
        <f t="shared" si="24"/>
        <v>0</v>
      </c>
      <c r="BW13" s="1175">
        <f t="shared" ca="1" si="25"/>
        <v>-3</v>
      </c>
      <c r="BX13" s="1249">
        <f t="shared" ca="1" si="26"/>
        <v>-3</v>
      </c>
      <c r="BY13" s="1250"/>
      <c r="BZ13" s="1250"/>
      <c r="CA13" s="1250"/>
      <c r="CB13" s="1173">
        <v>0</v>
      </c>
      <c r="CC13" s="1174">
        <f>BO13</f>
        <v>0</v>
      </c>
      <c r="CD13" s="1175">
        <v>0</v>
      </c>
      <c r="CE13" s="1249">
        <f t="shared" si="27"/>
        <v>0</v>
      </c>
      <c r="CF13" s="1250"/>
      <c r="CG13" s="1250"/>
      <c r="CH13" s="1250"/>
      <c r="CI13" s="1173">
        <f t="shared" ca="1" si="28"/>
        <v>25</v>
      </c>
      <c r="CJ13" s="1174">
        <f t="shared" si="29"/>
        <v>0</v>
      </c>
      <c r="CK13" s="1175">
        <f t="shared" ca="1" si="30"/>
        <v>-3</v>
      </c>
      <c r="CL13" s="1249">
        <f t="shared" ca="1" si="31"/>
        <v>-3</v>
      </c>
      <c r="CM13" s="1250"/>
      <c r="CN13" s="1250"/>
      <c r="CO13" s="1250"/>
      <c r="CP13" s="1173">
        <f ca="1">SUMIF('Struktur Vorjahr'!$A:$A,'Planzahlen Rentabilität'!$A13,'Struktur Vorjahr'!M:M)+'Bestandsveränderungen Vorjahr'!E13</f>
        <v>-4500</v>
      </c>
      <c r="CQ13" s="1174">
        <f>CC13</f>
        <v>0</v>
      </c>
      <c r="CR13" s="1175">
        <f ca="1">SUMIF('Struktur Aktuell'!$A:$A,'Planzahlen Rentabilität'!$A13,'Struktur Aktuell'!M:M)+'Bestandsveränderungen Aktuell'!E13</f>
        <v>790</v>
      </c>
      <c r="CS13" s="1249">
        <f t="shared" ca="1" si="32"/>
        <v>790</v>
      </c>
      <c r="CT13" s="1250"/>
      <c r="CU13" s="1250"/>
      <c r="CV13" s="1250"/>
      <c r="CW13" s="1173">
        <f t="shared" ca="1" si="33"/>
        <v>-4475</v>
      </c>
      <c r="CX13" s="1174">
        <f t="shared" si="34"/>
        <v>0</v>
      </c>
      <c r="CY13" s="1175">
        <f t="shared" ca="1" si="35"/>
        <v>787</v>
      </c>
      <c r="CZ13" s="1249">
        <f t="shared" ca="1" si="36"/>
        <v>787</v>
      </c>
      <c r="DA13" s="1250"/>
      <c r="DB13" s="1250"/>
      <c r="DC13" s="1250"/>
      <c r="DD13" s="1173">
        <f ca="1">SUMIF('Struktur Vorjahr'!$A:$A,'Planzahlen Rentabilität'!$A13,'Struktur Vorjahr'!N:N)+'Bestandsveränderungen Vorjahr'!E14</f>
        <v>16</v>
      </c>
      <c r="DE13" s="1174">
        <f>CQ13</f>
        <v>0</v>
      </c>
      <c r="DF13" s="1175">
        <f ca="1">SUMIF('Struktur Aktuell'!$A:$A,'Planzahlen Rentabilität'!$A13,'Struktur Aktuell'!N:N)+'Bestandsveränderungen Aktuell'!E14</f>
        <v>-713</v>
      </c>
      <c r="DG13" s="1249">
        <f t="shared" ca="1" si="37"/>
        <v>-713</v>
      </c>
      <c r="DH13" s="1250"/>
      <c r="DI13" s="1250"/>
      <c r="DJ13" s="1250"/>
      <c r="DK13" s="1173">
        <f t="shared" ca="1" si="38"/>
        <v>-4459</v>
      </c>
      <c r="DL13" s="1174">
        <f t="shared" si="39"/>
        <v>0</v>
      </c>
      <c r="DM13" s="1175">
        <f t="shared" ca="1" si="40"/>
        <v>74</v>
      </c>
      <c r="DN13" s="1249">
        <f t="shared" ca="1" si="41"/>
        <v>74</v>
      </c>
      <c r="DO13" s="1250"/>
      <c r="DP13" s="1250"/>
      <c r="DQ13" s="1250"/>
      <c r="DR13" s="1173">
        <f ca="1">SUMIF('Struktur Vorjahr'!$A:$A,'Planzahlen Rentabilität'!$A13,'Struktur Vorjahr'!O:O)+'Bestandsveränderungen Vorjahr'!N14</f>
        <v>0</v>
      </c>
      <c r="DS13" s="1174">
        <f>DE13</f>
        <v>0</v>
      </c>
      <c r="DT13" s="1175">
        <f ca="1">SUMIF('Struktur Aktuell'!$A:$A,'Planzahlen Rentabilität'!$A13,'Struktur Aktuell'!O:O)+'Bestandsveränderungen Aktuell'!N14</f>
        <v>0</v>
      </c>
      <c r="DU13" s="1249">
        <f t="shared" ca="1" si="42"/>
        <v>0</v>
      </c>
      <c r="DV13" s="1250"/>
      <c r="DW13" s="1250"/>
      <c r="DX13" s="1250"/>
      <c r="DY13" s="1173">
        <f t="shared" ca="1" si="43"/>
        <v>-4459</v>
      </c>
      <c r="DZ13" s="1174">
        <f t="shared" si="44"/>
        <v>0</v>
      </c>
      <c r="EA13" s="1175">
        <f t="shared" ca="1" si="45"/>
        <v>74</v>
      </c>
      <c r="EB13" s="1249">
        <f t="shared" ca="1" si="46"/>
        <v>74</v>
      </c>
      <c r="EC13" s="1250"/>
      <c r="ED13" s="1250"/>
      <c r="EE13" s="1250"/>
      <c r="EF13" s="1173">
        <f ca="1">SUMIF('Struktur Vorjahr'!$A:$A,'Planzahlen Rentabilität'!$A13,'Struktur Vorjahr'!P:P)+'Bestandsveränderungen Vorjahr'!E16</f>
        <v>843</v>
      </c>
      <c r="EG13" s="1174">
        <f>DS13</f>
        <v>0</v>
      </c>
      <c r="EH13" s="1175">
        <f ca="1">SUMIF('Struktur Aktuell'!$A:$A,'Planzahlen Rentabilität'!$A13,'Struktur Aktuell'!P:P)+'Bestandsveränderungen Aktuell'!E16</f>
        <v>160</v>
      </c>
      <c r="EI13" s="1249">
        <f t="shared" ca="1" si="47"/>
        <v>160</v>
      </c>
      <c r="EJ13" s="1250"/>
      <c r="EK13" s="1250"/>
      <c r="EL13" s="1250"/>
      <c r="EM13" s="1173">
        <f t="shared" ca="1" si="48"/>
        <v>-3616</v>
      </c>
      <c r="EN13" s="1174">
        <f t="shared" si="49"/>
        <v>0</v>
      </c>
      <c r="EO13" s="1175">
        <f t="shared" ca="1" si="50"/>
        <v>234</v>
      </c>
      <c r="EP13" s="1249">
        <f t="shared" ca="1" si="51"/>
        <v>234</v>
      </c>
      <c r="EQ13" s="1250"/>
      <c r="ER13" s="1250"/>
      <c r="ES13" s="1250"/>
      <c r="ET13" s="1173">
        <f ca="1">SUMIF('Struktur Vorjahr'!$A:$A,'Planzahlen Rentabilität'!$A13,'Struktur Vorjahr'!Q:Q)+'Bestandsveränderungen Vorjahr'!E17</f>
        <v>-840</v>
      </c>
      <c r="EU13" s="1174">
        <f>EG13</f>
        <v>0</v>
      </c>
      <c r="EV13" s="1175">
        <f ca="1">SUMIF('Struktur Aktuell'!$A:$A,'Planzahlen Rentabilität'!$A13,'Struktur Aktuell'!Q:Q)+'Bestandsveränderungen Aktuell'!E17</f>
        <v>-170</v>
      </c>
      <c r="EW13" s="1249">
        <f t="shared" ca="1" si="52"/>
        <v>-170</v>
      </c>
      <c r="EX13" s="1250"/>
      <c r="EY13" s="1250"/>
      <c r="EZ13" s="1250"/>
      <c r="FA13" s="1173">
        <f t="shared" ca="1" si="53"/>
        <v>-4456</v>
      </c>
      <c r="FB13" s="1174">
        <f t="shared" si="54"/>
        <v>0</v>
      </c>
      <c r="FC13" s="1175">
        <f t="shared" ca="1" si="55"/>
        <v>64</v>
      </c>
      <c r="FD13" s="1249">
        <f t="shared" ca="1" si="56"/>
        <v>64</v>
      </c>
      <c r="FE13" s="1250"/>
      <c r="FF13" s="1250"/>
      <c r="FG13" s="1250"/>
      <c r="FH13" s="1173">
        <f ca="1">SUMIF('Struktur Vorjahr'!$A:$A,'Planzahlen Rentabilität'!$A13,'Struktur Vorjahr'!R:R)+'Bestandsveränderungen Vorjahr'!E18</f>
        <v>3</v>
      </c>
      <c r="FI13" s="1174">
        <f t="shared" ref="FI13:FI14" si="62">EU13</f>
        <v>0</v>
      </c>
      <c r="FJ13" s="1175">
        <f ca="1">SUMIF('Struktur Aktuell'!$A:$A,'Planzahlen Rentabilität'!$A13,'Struktur Aktuell'!R:R)+'Bestandsveränderungen Aktuell'!E18</f>
        <v>32</v>
      </c>
      <c r="FK13" s="1249">
        <f t="shared" ca="1" si="57"/>
        <v>32</v>
      </c>
      <c r="FL13" s="1250"/>
      <c r="FM13" s="1250"/>
      <c r="FN13" s="1250"/>
      <c r="FO13" s="1173">
        <f t="shared" ca="1" si="58"/>
        <v>-4453</v>
      </c>
      <c r="FP13" s="1174">
        <f t="shared" si="59"/>
        <v>0</v>
      </c>
      <c r="FQ13" s="1175">
        <f t="shared" ca="1" si="60"/>
        <v>96</v>
      </c>
      <c r="FR13" s="1249">
        <f t="shared" ca="1" si="61"/>
        <v>96</v>
      </c>
      <c r="FS13" s="1250"/>
      <c r="FT13" s="1250"/>
      <c r="FU13" s="1250"/>
      <c r="FV13" s="1171"/>
      <c r="FW13" s="1249">
        <v>0</v>
      </c>
    </row>
    <row r="14" spans="1:179" s="959" customFormat="1" x14ac:dyDescent="0.2">
      <c r="A14" s="1160">
        <v>3</v>
      </c>
      <c r="B14" s="1160" t="str">
        <f>'Struktur Aktuell'!B35</f>
        <v>Sonstige betriebliche Erträge</v>
      </c>
      <c r="C14" s="1173">
        <f t="shared" ca="1" si="0"/>
        <v>0</v>
      </c>
      <c r="D14" s="1174">
        <f t="shared" si="0"/>
        <v>0</v>
      </c>
      <c r="E14" s="1253">
        <f t="shared" ca="1" si="0"/>
        <v>0</v>
      </c>
      <c r="F14" s="1254">
        <f t="shared" ca="1" si="1"/>
        <v>0</v>
      </c>
      <c r="G14" s="1255"/>
      <c r="H14" s="1255"/>
      <c r="I14" s="1255"/>
      <c r="J14" s="1173">
        <f ca="1">SUMIF('Struktur Vorjahr'!$A:$A,'Planzahlen Rentabilität'!$A14,'Struktur Vorjahr'!G:G)</f>
        <v>0</v>
      </c>
      <c r="K14" s="1174"/>
      <c r="L14" s="1253">
        <f ca="1">SUMIF('Struktur Aktuell'!$A:$A,'Planzahlen Rentabilität'!$A14,'Struktur Aktuell'!G:G)</f>
        <v>0</v>
      </c>
      <c r="M14" s="1254">
        <f t="shared" ca="1" si="2"/>
        <v>0</v>
      </c>
      <c r="N14" s="1255"/>
      <c r="O14" s="1255"/>
      <c r="P14" s="1255"/>
      <c r="Q14" s="1173">
        <f t="shared" ca="1" si="3"/>
        <v>0</v>
      </c>
      <c r="R14" s="1174">
        <f t="shared" si="4"/>
        <v>0</v>
      </c>
      <c r="S14" s="1177">
        <f t="shared" ca="1" si="5"/>
        <v>0</v>
      </c>
      <c r="T14" s="1254">
        <f t="shared" ca="1" si="6"/>
        <v>0</v>
      </c>
      <c r="U14" s="1255"/>
      <c r="V14" s="1255"/>
      <c r="W14" s="1255"/>
      <c r="X14" s="1173">
        <f ca="1">SUMIF('Struktur Vorjahr'!$A:$A,'Planzahlen Rentabilität'!$A14,'Struktur Vorjahr'!H:H)</f>
        <v>0</v>
      </c>
      <c r="Y14" s="1174">
        <f>K14</f>
        <v>0</v>
      </c>
      <c r="Z14" s="1177">
        <f ca="1">SUMIF('Struktur Aktuell'!$A:$A,'Planzahlen Rentabilität'!$A14,'Struktur Aktuell'!H:H)</f>
        <v>0</v>
      </c>
      <c r="AA14" s="1254">
        <f t="shared" ca="1" si="7"/>
        <v>0</v>
      </c>
      <c r="AB14" s="1255"/>
      <c r="AC14" s="1255"/>
      <c r="AD14" s="1255"/>
      <c r="AE14" s="1173">
        <f t="shared" ca="1" si="8"/>
        <v>0</v>
      </c>
      <c r="AF14" s="1174">
        <f t="shared" si="9"/>
        <v>0</v>
      </c>
      <c r="AG14" s="1177">
        <f t="shared" ca="1" si="10"/>
        <v>0</v>
      </c>
      <c r="AH14" s="1254">
        <f t="shared" ca="1" si="11"/>
        <v>0</v>
      </c>
      <c r="AI14" s="1255"/>
      <c r="AJ14" s="1255"/>
      <c r="AK14" s="1255"/>
      <c r="AL14" s="1173">
        <v>0</v>
      </c>
      <c r="AM14" s="1174">
        <f>Y14</f>
        <v>0</v>
      </c>
      <c r="AN14" s="1177">
        <v>0</v>
      </c>
      <c r="AO14" s="1254">
        <f t="shared" si="12"/>
        <v>0</v>
      </c>
      <c r="AP14" s="1255"/>
      <c r="AQ14" s="1255"/>
      <c r="AR14" s="1255"/>
      <c r="AS14" s="1173">
        <f t="shared" ca="1" si="13"/>
        <v>0</v>
      </c>
      <c r="AT14" s="1174">
        <f t="shared" si="14"/>
        <v>0</v>
      </c>
      <c r="AU14" s="1177">
        <f t="shared" ca="1" si="15"/>
        <v>0</v>
      </c>
      <c r="AV14" s="1254">
        <f t="shared" ca="1" si="16"/>
        <v>0</v>
      </c>
      <c r="AW14" s="1255"/>
      <c r="AX14" s="1255"/>
      <c r="AY14" s="1255"/>
      <c r="AZ14" s="1173">
        <f ca="1">SUMIF('Struktur Vorjahr'!$A:$A,'Planzahlen Rentabilität'!$A14,'Struktur Vorjahr'!J:J)</f>
        <v>0</v>
      </c>
      <c r="BA14" s="1174">
        <f>AM14</f>
        <v>0</v>
      </c>
      <c r="BB14" s="1177">
        <f ca="1">SUMIF('Struktur Aktuell'!$A:$A,'Planzahlen Rentabilität'!$A14,'Struktur Aktuell'!J:J)</f>
        <v>0</v>
      </c>
      <c r="BC14" s="1254">
        <f t="shared" ca="1" si="17"/>
        <v>0</v>
      </c>
      <c r="BD14" s="1255"/>
      <c r="BE14" s="1255"/>
      <c r="BF14" s="1255"/>
      <c r="BG14" s="1173">
        <f t="shared" ca="1" si="18"/>
        <v>0</v>
      </c>
      <c r="BH14" s="1174">
        <f t="shared" si="19"/>
        <v>0</v>
      </c>
      <c r="BI14" s="1177">
        <f t="shared" ca="1" si="20"/>
        <v>0</v>
      </c>
      <c r="BJ14" s="1254">
        <f t="shared" ca="1" si="21"/>
        <v>0</v>
      </c>
      <c r="BK14" s="1255"/>
      <c r="BL14" s="1255"/>
      <c r="BM14" s="1255"/>
      <c r="BN14" s="1173">
        <f ca="1">SUMIF('Struktur Vorjahr'!$A:$A,'Planzahlen Rentabilität'!$A14,'Struktur Vorjahr'!K:K)</f>
        <v>0</v>
      </c>
      <c r="BO14" s="1174">
        <f>BA14</f>
        <v>0</v>
      </c>
      <c r="BP14" s="1177">
        <f ca="1">SUMIF('Struktur Aktuell'!$A:$A,'Planzahlen Rentabilität'!$A14,'Struktur Aktuell'!K:K)</f>
        <v>0</v>
      </c>
      <c r="BQ14" s="1254">
        <f t="shared" ca="1" si="22"/>
        <v>0</v>
      </c>
      <c r="BR14" s="1255"/>
      <c r="BS14" s="1255"/>
      <c r="BT14" s="1255"/>
      <c r="BU14" s="1173">
        <f t="shared" ca="1" si="23"/>
        <v>0</v>
      </c>
      <c r="BV14" s="1174">
        <f t="shared" si="24"/>
        <v>0</v>
      </c>
      <c r="BW14" s="1177">
        <f t="shared" ca="1" si="25"/>
        <v>0</v>
      </c>
      <c r="BX14" s="1254">
        <f t="shared" ca="1" si="26"/>
        <v>0</v>
      </c>
      <c r="BY14" s="1255"/>
      <c r="BZ14" s="1255"/>
      <c r="CA14" s="1255"/>
      <c r="CB14" s="1173">
        <v>0</v>
      </c>
      <c r="CC14" s="1174">
        <f>BO14</f>
        <v>0</v>
      </c>
      <c r="CD14" s="1177">
        <v>0</v>
      </c>
      <c r="CE14" s="1254">
        <f t="shared" si="27"/>
        <v>0</v>
      </c>
      <c r="CF14" s="1255"/>
      <c r="CG14" s="1255"/>
      <c r="CH14" s="1255"/>
      <c r="CI14" s="1173">
        <f t="shared" ca="1" si="28"/>
        <v>0</v>
      </c>
      <c r="CJ14" s="1174">
        <f t="shared" si="29"/>
        <v>0</v>
      </c>
      <c r="CK14" s="1177">
        <f t="shared" ca="1" si="30"/>
        <v>0</v>
      </c>
      <c r="CL14" s="1254">
        <f t="shared" ca="1" si="31"/>
        <v>0</v>
      </c>
      <c r="CM14" s="1255"/>
      <c r="CN14" s="1255"/>
      <c r="CO14" s="1255"/>
      <c r="CP14" s="1173">
        <f ca="1">SUMIF('Struktur Vorjahr'!$A:$A,'Planzahlen Rentabilität'!$A14,'Struktur Vorjahr'!M:M)</f>
        <v>0</v>
      </c>
      <c r="CQ14" s="1174">
        <f>CC14</f>
        <v>0</v>
      </c>
      <c r="CR14" s="1177">
        <f ca="1">SUMIF('Struktur Aktuell'!$A:$A,'Planzahlen Rentabilität'!$A14,'Struktur Aktuell'!M:M)</f>
        <v>0</v>
      </c>
      <c r="CS14" s="1254">
        <f t="shared" ca="1" si="32"/>
        <v>0</v>
      </c>
      <c r="CT14" s="1255"/>
      <c r="CU14" s="1255"/>
      <c r="CV14" s="1255"/>
      <c r="CW14" s="1173">
        <f t="shared" ca="1" si="33"/>
        <v>0</v>
      </c>
      <c r="CX14" s="1174">
        <f t="shared" si="34"/>
        <v>0</v>
      </c>
      <c r="CY14" s="1177">
        <f t="shared" ca="1" si="35"/>
        <v>0</v>
      </c>
      <c r="CZ14" s="1254">
        <f t="shared" ca="1" si="36"/>
        <v>0</v>
      </c>
      <c r="DA14" s="1255"/>
      <c r="DB14" s="1255"/>
      <c r="DC14" s="1255"/>
      <c r="DD14" s="1173">
        <f ca="1">SUMIF('Struktur Vorjahr'!$A:$A,'Planzahlen Rentabilität'!$A14,'Struktur Vorjahr'!N:N)</f>
        <v>0</v>
      </c>
      <c r="DE14" s="1174">
        <f>CQ14</f>
        <v>0</v>
      </c>
      <c r="DF14" s="1177">
        <f ca="1">SUMIF('Struktur Aktuell'!$A:$A,'Planzahlen Rentabilität'!$A14,'Struktur Aktuell'!N:N)</f>
        <v>0</v>
      </c>
      <c r="DG14" s="1254">
        <f t="shared" ca="1" si="37"/>
        <v>0</v>
      </c>
      <c r="DH14" s="1255"/>
      <c r="DI14" s="1255"/>
      <c r="DJ14" s="1255"/>
      <c r="DK14" s="1173">
        <f t="shared" ca="1" si="38"/>
        <v>0</v>
      </c>
      <c r="DL14" s="1174">
        <f t="shared" si="39"/>
        <v>0</v>
      </c>
      <c r="DM14" s="1177">
        <f t="shared" ca="1" si="40"/>
        <v>0</v>
      </c>
      <c r="DN14" s="1254">
        <f t="shared" ca="1" si="41"/>
        <v>0</v>
      </c>
      <c r="DO14" s="1255"/>
      <c r="DP14" s="1255"/>
      <c r="DQ14" s="1255"/>
      <c r="DR14" s="1173">
        <f ca="1">SUMIF('Struktur Vorjahr'!$A:$A,'Planzahlen Rentabilität'!$A14,'Struktur Vorjahr'!O:O)</f>
        <v>0</v>
      </c>
      <c r="DS14" s="1174">
        <f>DE14</f>
        <v>0</v>
      </c>
      <c r="DT14" s="1177">
        <f ca="1">SUMIF('Struktur Aktuell'!$A:$A,'Planzahlen Rentabilität'!$A14,'Struktur Aktuell'!O:O)</f>
        <v>0</v>
      </c>
      <c r="DU14" s="1254">
        <f t="shared" ca="1" si="42"/>
        <v>0</v>
      </c>
      <c r="DV14" s="1255"/>
      <c r="DW14" s="1255"/>
      <c r="DX14" s="1255"/>
      <c r="DY14" s="1173">
        <f t="shared" ca="1" si="43"/>
        <v>0</v>
      </c>
      <c r="DZ14" s="1174">
        <f t="shared" si="44"/>
        <v>0</v>
      </c>
      <c r="EA14" s="1177">
        <f t="shared" ca="1" si="45"/>
        <v>0</v>
      </c>
      <c r="EB14" s="1254">
        <f t="shared" ca="1" si="46"/>
        <v>0</v>
      </c>
      <c r="EC14" s="1255"/>
      <c r="ED14" s="1255"/>
      <c r="EE14" s="1255"/>
      <c r="EF14" s="1173">
        <f ca="1">SUMIF('Struktur Vorjahr'!$A:$A,'Planzahlen Rentabilität'!$A14,'Struktur Vorjahr'!P:P)</f>
        <v>0</v>
      </c>
      <c r="EG14" s="1174">
        <f>DS14</f>
        <v>0</v>
      </c>
      <c r="EH14" s="1177">
        <f ca="1">SUMIF('Struktur Aktuell'!$A:$A,'Planzahlen Rentabilität'!$A14,'Struktur Aktuell'!P:P)</f>
        <v>0</v>
      </c>
      <c r="EI14" s="1254">
        <f t="shared" ca="1" si="47"/>
        <v>0</v>
      </c>
      <c r="EJ14" s="1255"/>
      <c r="EK14" s="1255"/>
      <c r="EL14" s="1255"/>
      <c r="EM14" s="1173">
        <f t="shared" ca="1" si="48"/>
        <v>0</v>
      </c>
      <c r="EN14" s="1174">
        <f t="shared" si="49"/>
        <v>0</v>
      </c>
      <c r="EO14" s="1177">
        <f t="shared" ca="1" si="50"/>
        <v>0</v>
      </c>
      <c r="EP14" s="1254">
        <f t="shared" ca="1" si="51"/>
        <v>0</v>
      </c>
      <c r="EQ14" s="1255"/>
      <c r="ER14" s="1255"/>
      <c r="ES14" s="1255"/>
      <c r="ET14" s="1173">
        <f ca="1">SUMIF('Struktur Vorjahr'!$A:$A,'Planzahlen Rentabilität'!$A14,'Struktur Vorjahr'!Q:Q)</f>
        <v>0</v>
      </c>
      <c r="EU14" s="1174">
        <f>EG14</f>
        <v>0</v>
      </c>
      <c r="EV14" s="1177">
        <f ca="1">SUMIF('Struktur Aktuell'!$A:$A,'Planzahlen Rentabilität'!$A14,'Struktur Aktuell'!Q:Q)</f>
        <v>0</v>
      </c>
      <c r="EW14" s="1254">
        <f t="shared" ca="1" si="52"/>
        <v>0</v>
      </c>
      <c r="EX14" s="1255"/>
      <c r="EY14" s="1255"/>
      <c r="EZ14" s="1255"/>
      <c r="FA14" s="1173">
        <f t="shared" ca="1" si="53"/>
        <v>0</v>
      </c>
      <c r="FB14" s="1174">
        <f t="shared" si="54"/>
        <v>0</v>
      </c>
      <c r="FC14" s="1177">
        <f t="shared" ca="1" si="55"/>
        <v>0</v>
      </c>
      <c r="FD14" s="1254">
        <f t="shared" ca="1" si="56"/>
        <v>0</v>
      </c>
      <c r="FE14" s="1255"/>
      <c r="FF14" s="1255"/>
      <c r="FG14" s="1255"/>
      <c r="FH14" s="1173">
        <f ca="1">SUMIF('Struktur Vorjahr'!$A:$A,'Planzahlen Rentabilität'!$A14,'Struktur Vorjahr'!R:R)</f>
        <v>0</v>
      </c>
      <c r="FI14" s="1174">
        <f t="shared" si="62"/>
        <v>0</v>
      </c>
      <c r="FJ14" s="1177">
        <f ca="1">SUMIF('Struktur Aktuell'!$A:$A,'Planzahlen Rentabilität'!$A14,'Struktur Aktuell'!R:R)</f>
        <v>0</v>
      </c>
      <c r="FK14" s="1254">
        <f t="shared" ca="1" si="57"/>
        <v>0</v>
      </c>
      <c r="FL14" s="1255"/>
      <c r="FM14" s="1255"/>
      <c r="FN14" s="1255"/>
      <c r="FO14" s="1173">
        <f t="shared" ca="1" si="58"/>
        <v>0</v>
      </c>
      <c r="FP14" s="1174">
        <f t="shared" si="59"/>
        <v>0</v>
      </c>
      <c r="FQ14" s="1177">
        <f t="shared" ca="1" si="60"/>
        <v>0</v>
      </c>
      <c r="FR14" s="1254">
        <f t="shared" ca="1" si="61"/>
        <v>0</v>
      </c>
      <c r="FS14" s="1255"/>
      <c r="FT14" s="1255"/>
      <c r="FU14" s="1255"/>
      <c r="FV14" s="1171"/>
      <c r="FW14" s="1249">
        <v>0</v>
      </c>
    </row>
    <row r="15" spans="1:179" s="883" customFormat="1" ht="16.5" customHeight="1" x14ac:dyDescent="0.2">
      <c r="A15" s="1179" t="s">
        <v>213</v>
      </c>
      <c r="B15" s="1167" t="str">
        <f>'Struktur Aktuell'!B46</f>
        <v>Gesamtleistung</v>
      </c>
      <c r="C15" s="1180">
        <f ca="1">C12+C13+C14</f>
        <v>153985.84000000003</v>
      </c>
      <c r="D15" s="1180">
        <f>D12+D13+D14</f>
        <v>1034186</v>
      </c>
      <c r="E15" s="1180">
        <f ca="1">E12+E13+E14</f>
        <v>158534.84000000003</v>
      </c>
      <c r="F15" s="1181">
        <f t="shared" ca="1" si="1"/>
        <v>-875651.15999999992</v>
      </c>
      <c r="G15" s="1182">
        <v>1</v>
      </c>
      <c r="H15" s="1182">
        <v>1</v>
      </c>
      <c r="I15" s="1182">
        <v>1</v>
      </c>
      <c r="J15" s="1180">
        <f ca="1">J12+J13+J14</f>
        <v>10931.77</v>
      </c>
      <c r="K15" s="1180">
        <f>K12+K13+K14</f>
        <v>62051.159999999996</v>
      </c>
      <c r="L15" s="1180">
        <f ca="1">L12+L13+L14</f>
        <v>11191.77</v>
      </c>
      <c r="M15" s="1181">
        <f t="shared" ca="1" si="2"/>
        <v>-50859.39</v>
      </c>
      <c r="N15" s="1182">
        <v>1</v>
      </c>
      <c r="O15" s="1182">
        <v>1</v>
      </c>
      <c r="P15" s="1182">
        <v>1</v>
      </c>
      <c r="Q15" s="1180">
        <f t="shared" ca="1" si="3"/>
        <v>10931.77</v>
      </c>
      <c r="R15" s="1180">
        <f t="shared" si="4"/>
        <v>62051.159999999996</v>
      </c>
      <c r="S15" s="1180">
        <f t="shared" ca="1" si="5"/>
        <v>11191.77</v>
      </c>
      <c r="T15" s="1181">
        <f t="shared" ca="1" si="6"/>
        <v>-50859.39</v>
      </c>
      <c r="U15" s="1182">
        <v>1</v>
      </c>
      <c r="V15" s="1182">
        <v>1</v>
      </c>
      <c r="W15" s="1182">
        <v>1</v>
      </c>
      <c r="X15" s="1180">
        <f ca="1">X12+X13+X14</f>
        <v>12032.650000000001</v>
      </c>
      <c r="Y15" s="1180">
        <f>Y12+Y13+Y14</f>
        <v>82734.880000000005</v>
      </c>
      <c r="Z15" s="1180">
        <f ca="1">Z12+Z13+Z14</f>
        <v>11878.650000000001</v>
      </c>
      <c r="AA15" s="1181">
        <f t="shared" ca="1" si="7"/>
        <v>-70856.23000000001</v>
      </c>
      <c r="AB15" s="1182">
        <v>1</v>
      </c>
      <c r="AC15" s="1182">
        <v>1</v>
      </c>
      <c r="AD15" s="1182">
        <v>1</v>
      </c>
      <c r="AE15" s="1180">
        <f t="shared" ca="1" si="8"/>
        <v>22964.420000000002</v>
      </c>
      <c r="AF15" s="1180">
        <f t="shared" si="9"/>
        <v>144786.04</v>
      </c>
      <c r="AG15" s="1180">
        <f t="shared" ca="1" si="10"/>
        <v>23070.420000000002</v>
      </c>
      <c r="AH15" s="1181">
        <f t="shared" ca="1" si="11"/>
        <v>-121715.62000000001</v>
      </c>
      <c r="AI15" s="1182">
        <v>1</v>
      </c>
      <c r="AJ15" s="1182">
        <v>1</v>
      </c>
      <c r="AK15" s="1182">
        <v>1</v>
      </c>
      <c r="AL15" s="1180">
        <f ca="1">AL12+AL13+AL14</f>
        <v>-54</v>
      </c>
      <c r="AM15" s="1180">
        <f>AM12+AM13+AM14</f>
        <v>103418.6</v>
      </c>
      <c r="AN15" s="1180">
        <f ca="1">AN12+AN13+AN14</f>
        <v>320</v>
      </c>
      <c r="AO15" s="1181">
        <f t="shared" ca="1" si="12"/>
        <v>-103098.6</v>
      </c>
      <c r="AP15" s="1182">
        <v>1</v>
      </c>
      <c r="AQ15" s="1182">
        <v>1</v>
      </c>
      <c r="AR15" s="1182">
        <v>1</v>
      </c>
      <c r="AS15" s="1180">
        <f t="shared" ca="1" si="13"/>
        <v>22910.420000000002</v>
      </c>
      <c r="AT15" s="1180">
        <f t="shared" si="14"/>
        <v>248204.64</v>
      </c>
      <c r="AU15" s="1180">
        <f t="shared" ca="1" si="15"/>
        <v>23390.420000000002</v>
      </c>
      <c r="AV15" s="1181">
        <f t="shared" ca="1" si="16"/>
        <v>-224814.22</v>
      </c>
      <c r="AW15" s="1182">
        <v>1</v>
      </c>
      <c r="AX15" s="1182">
        <v>1</v>
      </c>
      <c r="AY15" s="1182">
        <v>1</v>
      </c>
      <c r="AZ15" s="1180">
        <f ca="1">AZ12+AZ13+AZ14</f>
        <v>13432.21</v>
      </c>
      <c r="BA15" s="1180">
        <f>BA12+BA13+BA14</f>
        <v>72393.02</v>
      </c>
      <c r="BB15" s="1180">
        <f ca="1">BB12+BB13+BB14</f>
        <v>12976.21</v>
      </c>
      <c r="BC15" s="1181">
        <f t="shared" ca="1" si="17"/>
        <v>-59416.810000000005</v>
      </c>
      <c r="BD15" s="1182">
        <v>1</v>
      </c>
      <c r="BE15" s="1182">
        <v>1</v>
      </c>
      <c r="BF15" s="1182">
        <v>1</v>
      </c>
      <c r="BG15" s="1180">
        <f t="shared" ca="1" si="18"/>
        <v>36342.630000000005</v>
      </c>
      <c r="BH15" s="1180">
        <f t="shared" si="19"/>
        <v>320597.66000000003</v>
      </c>
      <c r="BI15" s="1180">
        <f t="shared" ca="1" si="20"/>
        <v>36366.630000000005</v>
      </c>
      <c r="BJ15" s="1181">
        <f t="shared" ca="1" si="21"/>
        <v>-284231.03000000003</v>
      </c>
      <c r="BK15" s="1182">
        <v>1</v>
      </c>
      <c r="BL15" s="1182">
        <v>1</v>
      </c>
      <c r="BM15" s="1182">
        <v>1</v>
      </c>
      <c r="BN15" s="1180">
        <f ca="1">BN12+BN13+BN14</f>
        <v>7810.1100000000006</v>
      </c>
      <c r="BO15" s="1180">
        <f>BO12+BO13+BO14</f>
        <v>82734.880000000005</v>
      </c>
      <c r="BP15" s="1180">
        <f ca="1">BP12+BP13+BP14</f>
        <v>7758.1100000000006</v>
      </c>
      <c r="BQ15" s="1181">
        <f t="shared" ca="1" si="22"/>
        <v>-74976.77</v>
      </c>
      <c r="BR15" s="1182">
        <v>1</v>
      </c>
      <c r="BS15" s="1182">
        <v>1</v>
      </c>
      <c r="BT15" s="1182">
        <v>1</v>
      </c>
      <c r="BU15" s="1180">
        <f t="shared" ca="1" si="23"/>
        <v>44152.740000000005</v>
      </c>
      <c r="BV15" s="1180">
        <f t="shared" si="24"/>
        <v>403332.54000000004</v>
      </c>
      <c r="BW15" s="1180">
        <f t="shared" ca="1" si="25"/>
        <v>44124.740000000005</v>
      </c>
      <c r="BX15" s="1181">
        <f t="shared" ca="1" si="26"/>
        <v>-359207.80000000005</v>
      </c>
      <c r="BY15" s="1182">
        <v>1</v>
      </c>
      <c r="BZ15" s="1182">
        <v>1</v>
      </c>
      <c r="CA15" s="1182">
        <v>1</v>
      </c>
      <c r="CB15" s="1180">
        <f>CB12+CB13+CB14</f>
        <v>0</v>
      </c>
      <c r="CC15" s="1180">
        <f>CC12+CC13+CC14</f>
        <v>82734.880000000005</v>
      </c>
      <c r="CD15" s="1180">
        <f>CD12+CD13+CD14</f>
        <v>0</v>
      </c>
      <c r="CE15" s="1181">
        <f t="shared" si="27"/>
        <v>-82734.880000000005</v>
      </c>
      <c r="CF15" s="1182">
        <v>1</v>
      </c>
      <c r="CG15" s="1182">
        <v>1</v>
      </c>
      <c r="CH15" s="1182">
        <v>1</v>
      </c>
      <c r="CI15" s="1180">
        <f t="shared" ca="1" si="28"/>
        <v>44152.740000000005</v>
      </c>
      <c r="CJ15" s="1180">
        <f t="shared" si="29"/>
        <v>486067.42000000004</v>
      </c>
      <c r="CK15" s="1180">
        <f t="shared" ca="1" si="30"/>
        <v>44124.740000000005</v>
      </c>
      <c r="CL15" s="1181">
        <f t="shared" ca="1" si="31"/>
        <v>-441942.68000000005</v>
      </c>
      <c r="CM15" s="1182">
        <v>1</v>
      </c>
      <c r="CN15" s="1182">
        <v>1</v>
      </c>
      <c r="CO15" s="1182">
        <v>1</v>
      </c>
      <c r="CP15" s="1180">
        <f ca="1">CP12+CP13+CP14</f>
        <v>46278.380000000005</v>
      </c>
      <c r="CQ15" s="1180">
        <f>CQ12+CQ13+CQ14</f>
        <v>82734.880000000005</v>
      </c>
      <c r="CR15" s="1180">
        <f ca="1">CR12+CR13+CR14</f>
        <v>51568.380000000005</v>
      </c>
      <c r="CS15" s="1181">
        <f t="shared" ca="1" si="32"/>
        <v>-31166.5</v>
      </c>
      <c r="CT15" s="1182">
        <v>1</v>
      </c>
      <c r="CU15" s="1182">
        <v>1</v>
      </c>
      <c r="CV15" s="1182">
        <v>1</v>
      </c>
      <c r="CW15" s="1180">
        <f t="shared" ca="1" si="33"/>
        <v>90431.12000000001</v>
      </c>
      <c r="CX15" s="1180">
        <f t="shared" si="34"/>
        <v>568802.30000000005</v>
      </c>
      <c r="CY15" s="1180">
        <f t="shared" ca="1" si="35"/>
        <v>95693.12000000001</v>
      </c>
      <c r="CZ15" s="1181">
        <f t="shared" ca="1" si="36"/>
        <v>-473109.18000000005</v>
      </c>
      <c r="DA15" s="1182">
        <v>1</v>
      </c>
      <c r="DB15" s="1182">
        <v>1</v>
      </c>
      <c r="DC15" s="1182">
        <v>1</v>
      </c>
      <c r="DD15" s="1180">
        <f ca="1">DD12+DD13+DD14</f>
        <v>20059.71</v>
      </c>
      <c r="DE15" s="1180">
        <f>DE12+DE13+DE14</f>
        <v>72393.02</v>
      </c>
      <c r="DF15" s="1180">
        <f ca="1">DF12+DF13+DF14</f>
        <v>19330.71</v>
      </c>
      <c r="DG15" s="1181">
        <f t="shared" ca="1" si="37"/>
        <v>-53062.310000000005</v>
      </c>
      <c r="DH15" s="1182">
        <v>1</v>
      </c>
      <c r="DI15" s="1182">
        <v>1</v>
      </c>
      <c r="DJ15" s="1182">
        <v>1</v>
      </c>
      <c r="DK15" s="1180">
        <f t="shared" ca="1" si="38"/>
        <v>110490.83000000002</v>
      </c>
      <c r="DL15" s="1180">
        <f t="shared" si="39"/>
        <v>641195.32000000007</v>
      </c>
      <c r="DM15" s="1180">
        <f t="shared" ca="1" si="40"/>
        <v>115023.83000000002</v>
      </c>
      <c r="DN15" s="1181">
        <f t="shared" ca="1" si="41"/>
        <v>-526171.49</v>
      </c>
      <c r="DO15" s="1182">
        <v>1</v>
      </c>
      <c r="DP15" s="1182">
        <v>1</v>
      </c>
      <c r="DQ15" s="1182">
        <v>1</v>
      </c>
      <c r="DR15" s="1180">
        <f ca="1">DR12+DR13+DR14</f>
        <v>10928.890000000001</v>
      </c>
      <c r="DS15" s="1180">
        <f>DS12+DS13+DS14</f>
        <v>103418.6</v>
      </c>
      <c r="DT15" s="1180">
        <f ca="1">DT12+DT13+DT14</f>
        <v>10928.890000000001</v>
      </c>
      <c r="DU15" s="1181">
        <f t="shared" ca="1" si="42"/>
        <v>-92489.71</v>
      </c>
      <c r="DV15" s="1182">
        <v>1</v>
      </c>
      <c r="DW15" s="1182">
        <v>1</v>
      </c>
      <c r="DX15" s="1182">
        <v>1</v>
      </c>
      <c r="DY15" s="1180">
        <f t="shared" ca="1" si="43"/>
        <v>121419.72000000002</v>
      </c>
      <c r="DZ15" s="1180">
        <f t="shared" si="44"/>
        <v>744613.92</v>
      </c>
      <c r="EA15" s="1180">
        <f t="shared" ca="1" si="45"/>
        <v>125952.72000000002</v>
      </c>
      <c r="EB15" s="1181">
        <f t="shared" ca="1" si="46"/>
        <v>-618661.20000000007</v>
      </c>
      <c r="EC15" s="1182">
        <v>1</v>
      </c>
      <c r="ED15" s="1182">
        <v>1</v>
      </c>
      <c r="EE15" s="1182">
        <v>1</v>
      </c>
      <c r="EF15" s="1180">
        <f ca="1">EF12+EF13+EF14</f>
        <v>33403.119999999995</v>
      </c>
      <c r="EG15" s="1180">
        <f>EG12+EG13+EG14</f>
        <v>103418.6</v>
      </c>
      <c r="EH15" s="1180">
        <f ca="1">EH12+EH13+EH14</f>
        <v>32720.12</v>
      </c>
      <c r="EI15" s="1181">
        <f t="shared" ca="1" si="47"/>
        <v>-70698.48000000001</v>
      </c>
      <c r="EJ15" s="1182">
        <v>1</v>
      </c>
      <c r="EK15" s="1182">
        <v>1</v>
      </c>
      <c r="EL15" s="1182">
        <v>1</v>
      </c>
      <c r="EM15" s="1180">
        <f t="shared" ca="1" si="48"/>
        <v>154822.84000000003</v>
      </c>
      <c r="EN15" s="1180">
        <f t="shared" si="49"/>
        <v>848032.52</v>
      </c>
      <c r="EO15" s="1180">
        <f t="shared" ca="1" si="50"/>
        <v>158672.84000000003</v>
      </c>
      <c r="EP15" s="1181">
        <f t="shared" ca="1" si="51"/>
        <v>-689359.67999999993</v>
      </c>
      <c r="EQ15" s="1182">
        <v>1</v>
      </c>
      <c r="ER15" s="1182">
        <v>1</v>
      </c>
      <c r="ES15" s="1182">
        <v>1</v>
      </c>
      <c r="ET15" s="1180">
        <f ca="1">ET12+ET13+ET14</f>
        <v>-840</v>
      </c>
      <c r="EU15" s="1180">
        <f>EU12+EU13+EU14</f>
        <v>93076.739999999991</v>
      </c>
      <c r="EV15" s="1180">
        <f ca="1">EV12+EV13+EV14</f>
        <v>-170</v>
      </c>
      <c r="EW15" s="1181">
        <f t="shared" ca="1" si="52"/>
        <v>-93246.739999999991</v>
      </c>
      <c r="EX15" s="1182">
        <v>1</v>
      </c>
      <c r="EY15" s="1182">
        <v>1</v>
      </c>
      <c r="EZ15" s="1182">
        <v>1</v>
      </c>
      <c r="FA15" s="1180">
        <f t="shared" ca="1" si="53"/>
        <v>153982.84000000003</v>
      </c>
      <c r="FB15" s="1180">
        <f t="shared" si="54"/>
        <v>941109.26</v>
      </c>
      <c r="FC15" s="1180">
        <f t="shared" ca="1" si="55"/>
        <v>158502.84000000003</v>
      </c>
      <c r="FD15" s="1181">
        <f t="shared" ca="1" si="56"/>
        <v>-782606.41999999993</v>
      </c>
      <c r="FE15" s="1182">
        <v>1</v>
      </c>
      <c r="FF15" s="1182">
        <v>1</v>
      </c>
      <c r="FG15" s="1182">
        <v>1</v>
      </c>
      <c r="FH15" s="1180">
        <f ca="1">FH12+FH13+FH14</f>
        <v>3</v>
      </c>
      <c r="FI15" s="1180">
        <f>FI12+FI13+FI14</f>
        <v>93076.739999999991</v>
      </c>
      <c r="FJ15" s="1180">
        <f ca="1">FJ12+FJ13+FJ14</f>
        <v>32</v>
      </c>
      <c r="FK15" s="1181">
        <f t="shared" ca="1" si="57"/>
        <v>-93044.739999999991</v>
      </c>
      <c r="FL15" s="1182">
        <v>1</v>
      </c>
      <c r="FM15" s="1182">
        <v>1</v>
      </c>
      <c r="FN15" s="1182">
        <v>1</v>
      </c>
      <c r="FO15" s="1180">
        <f t="shared" ca="1" si="58"/>
        <v>153985.84000000003</v>
      </c>
      <c r="FP15" s="1180">
        <f t="shared" si="59"/>
        <v>1034186</v>
      </c>
      <c r="FQ15" s="1180">
        <f t="shared" ca="1" si="60"/>
        <v>158534.84000000003</v>
      </c>
      <c r="FR15" s="1181">
        <f t="shared" ca="1" si="61"/>
        <v>-875651.15999999992</v>
      </c>
      <c r="FS15" s="1182">
        <v>1</v>
      </c>
      <c r="FT15" s="1182">
        <v>1</v>
      </c>
      <c r="FU15" s="1182">
        <v>1</v>
      </c>
      <c r="FV15" s="1171"/>
      <c r="FW15" s="1183">
        <v>0</v>
      </c>
    </row>
    <row r="16" spans="1:179" s="883" customFormat="1" x14ac:dyDescent="0.2">
      <c r="A16" s="1247">
        <v>4</v>
      </c>
      <c r="B16" s="1248" t="str">
        <f>'Struktur Aktuell'!B47</f>
        <v xml:space="preserve">Material-Einzelkosten bzw. Wareneinsatz </v>
      </c>
      <c r="C16" s="1173">
        <f t="shared" ref="C16:E21" ca="1" si="63">J16+X16+AL16+AZ16+BN16+CB16+CP16+DD16+DR16+EF16+ET16+FH16</f>
        <v>0</v>
      </c>
      <c r="D16" s="1174">
        <f t="shared" si="63"/>
        <v>3000</v>
      </c>
      <c r="E16" s="1187">
        <f t="shared" ca="1" si="63"/>
        <v>0</v>
      </c>
      <c r="F16" s="1249">
        <f t="shared" ca="1" si="1"/>
        <v>-3000</v>
      </c>
      <c r="G16" s="1250"/>
      <c r="H16" s="1250"/>
      <c r="I16" s="1250"/>
      <c r="J16" s="1173">
        <f ca="1">SUMIF('Struktur Vorjahr'!$A:$A,'Planzahlen Rentabilität'!$A16,'Struktur Vorjahr'!G:G)</f>
        <v>0</v>
      </c>
      <c r="K16" s="1174">
        <f>Monatsplanung!$W$176</f>
        <v>180</v>
      </c>
      <c r="L16" s="1187">
        <f ca="1">SUMIF('Struktur Aktuell'!$A:$A,'Planzahlen Rentabilität'!$A16,'Struktur Aktuell'!G:G)</f>
        <v>0</v>
      </c>
      <c r="M16" s="1249">
        <f t="shared" ca="1" si="2"/>
        <v>-180</v>
      </c>
      <c r="N16" s="1250"/>
      <c r="O16" s="1250"/>
      <c r="P16" s="1250"/>
      <c r="Q16" s="1173">
        <f t="shared" ca="1" si="3"/>
        <v>0</v>
      </c>
      <c r="R16" s="1174">
        <f t="shared" si="4"/>
        <v>180</v>
      </c>
      <c r="S16" s="1187">
        <f t="shared" ca="1" si="5"/>
        <v>0</v>
      </c>
      <c r="T16" s="1249">
        <f t="shared" ca="1" si="6"/>
        <v>-180</v>
      </c>
      <c r="U16" s="1250"/>
      <c r="V16" s="1250"/>
      <c r="W16" s="1250"/>
      <c r="X16" s="1173">
        <f ca="1">SUMIF('Struktur Vorjahr'!$A:$A,'Planzahlen Rentabilität'!$A16,'Struktur Vorjahr'!H:H)</f>
        <v>0</v>
      </c>
      <c r="Y16" s="1174">
        <f>Monatsplanung!$X$176</f>
        <v>240</v>
      </c>
      <c r="Z16" s="1187">
        <f ca="1">SUMIF('Struktur Aktuell'!$A:$A,'Planzahlen Rentabilität'!$A16,'Struktur Aktuell'!H:H)</f>
        <v>0</v>
      </c>
      <c r="AA16" s="1249">
        <f t="shared" ca="1" si="7"/>
        <v>-240</v>
      </c>
      <c r="AB16" s="1250"/>
      <c r="AC16" s="1250"/>
      <c r="AD16" s="1250"/>
      <c r="AE16" s="1173">
        <f t="shared" ca="1" si="8"/>
        <v>0</v>
      </c>
      <c r="AF16" s="1174">
        <f t="shared" si="9"/>
        <v>420</v>
      </c>
      <c r="AG16" s="1187">
        <f t="shared" ca="1" si="10"/>
        <v>0</v>
      </c>
      <c r="AH16" s="1249">
        <f t="shared" ca="1" si="11"/>
        <v>-420</v>
      </c>
      <c r="AI16" s="1250"/>
      <c r="AJ16" s="1250"/>
      <c r="AK16" s="1250"/>
      <c r="AL16" s="1173">
        <v>0</v>
      </c>
      <c r="AM16" s="1174">
        <f>Monatsplanung!$Y$176</f>
        <v>300</v>
      </c>
      <c r="AN16" s="1187">
        <v>0</v>
      </c>
      <c r="AO16" s="1249">
        <f t="shared" si="12"/>
        <v>-300</v>
      </c>
      <c r="AP16" s="1250"/>
      <c r="AQ16" s="1250"/>
      <c r="AR16" s="1250"/>
      <c r="AS16" s="1173">
        <f t="shared" ca="1" si="13"/>
        <v>0</v>
      </c>
      <c r="AT16" s="1174">
        <f t="shared" si="14"/>
        <v>720</v>
      </c>
      <c r="AU16" s="1187">
        <f t="shared" ca="1" si="15"/>
        <v>0</v>
      </c>
      <c r="AV16" s="1249">
        <f t="shared" ca="1" si="16"/>
        <v>-720</v>
      </c>
      <c r="AW16" s="1250"/>
      <c r="AX16" s="1250"/>
      <c r="AY16" s="1250"/>
      <c r="AZ16" s="1173">
        <f ca="1">SUMIF('Struktur Vorjahr'!$A:$A,'Planzahlen Rentabilität'!$A16,'Struktur Vorjahr'!J:J)</f>
        <v>0</v>
      </c>
      <c r="BA16" s="1174">
        <f>Monatsplanung!$Z$176</f>
        <v>210.00000000000003</v>
      </c>
      <c r="BB16" s="1187">
        <f ca="1">SUMIF('Struktur Aktuell'!$A:$A,'Planzahlen Rentabilität'!$A16,'Struktur Aktuell'!J:J)</f>
        <v>0</v>
      </c>
      <c r="BC16" s="1249">
        <f t="shared" ca="1" si="17"/>
        <v>-210.00000000000003</v>
      </c>
      <c r="BD16" s="1250"/>
      <c r="BE16" s="1250"/>
      <c r="BF16" s="1250"/>
      <c r="BG16" s="1173">
        <f t="shared" ca="1" si="18"/>
        <v>0</v>
      </c>
      <c r="BH16" s="1174">
        <f t="shared" si="19"/>
        <v>930</v>
      </c>
      <c r="BI16" s="1187">
        <f t="shared" ca="1" si="20"/>
        <v>0</v>
      </c>
      <c r="BJ16" s="1249">
        <f t="shared" ca="1" si="21"/>
        <v>-930</v>
      </c>
      <c r="BK16" s="1250"/>
      <c r="BL16" s="1250"/>
      <c r="BM16" s="1250"/>
      <c r="BN16" s="1173">
        <f ca="1">SUMIF('Struktur Vorjahr'!$A:$A,'Planzahlen Rentabilität'!$A16,'Struktur Vorjahr'!K:K)</f>
        <v>0</v>
      </c>
      <c r="BO16" s="1174">
        <f>Monatsplanung!$AA$176</f>
        <v>240</v>
      </c>
      <c r="BP16" s="1187">
        <f ca="1">SUMIF('Struktur Aktuell'!$A:$A,'Planzahlen Rentabilität'!$A16,'Struktur Aktuell'!K:K)</f>
        <v>0</v>
      </c>
      <c r="BQ16" s="1249">
        <f t="shared" ca="1" si="22"/>
        <v>-240</v>
      </c>
      <c r="BR16" s="1250"/>
      <c r="BS16" s="1250"/>
      <c r="BT16" s="1250"/>
      <c r="BU16" s="1173">
        <f t="shared" ca="1" si="23"/>
        <v>0</v>
      </c>
      <c r="BV16" s="1174">
        <f t="shared" si="24"/>
        <v>1170</v>
      </c>
      <c r="BW16" s="1187">
        <f t="shared" ca="1" si="25"/>
        <v>0</v>
      </c>
      <c r="BX16" s="1249">
        <f t="shared" ca="1" si="26"/>
        <v>-1170</v>
      </c>
      <c r="BY16" s="1250"/>
      <c r="BZ16" s="1250"/>
      <c r="CA16" s="1250"/>
      <c r="CB16" s="1173">
        <v>0</v>
      </c>
      <c r="CC16" s="1174">
        <f>Monatsplanung!$AB$176</f>
        <v>240</v>
      </c>
      <c r="CD16" s="1187">
        <v>0</v>
      </c>
      <c r="CE16" s="1249">
        <f t="shared" si="27"/>
        <v>-240</v>
      </c>
      <c r="CF16" s="1250"/>
      <c r="CG16" s="1250"/>
      <c r="CH16" s="1250"/>
      <c r="CI16" s="1173">
        <f t="shared" ca="1" si="28"/>
        <v>0</v>
      </c>
      <c r="CJ16" s="1174">
        <f t="shared" si="29"/>
        <v>1410</v>
      </c>
      <c r="CK16" s="1187">
        <f t="shared" ca="1" si="30"/>
        <v>0</v>
      </c>
      <c r="CL16" s="1249">
        <f t="shared" ca="1" si="31"/>
        <v>-1410</v>
      </c>
      <c r="CM16" s="1250"/>
      <c r="CN16" s="1250"/>
      <c r="CO16" s="1250"/>
      <c r="CP16" s="1173">
        <f ca="1">SUMIF('Struktur Vorjahr'!$A:$A,'Planzahlen Rentabilität'!$A16,'Struktur Vorjahr'!M:M)</f>
        <v>0</v>
      </c>
      <c r="CQ16" s="1174">
        <f>Monatsplanung!$AC$176</f>
        <v>240</v>
      </c>
      <c r="CR16" s="1187">
        <f ca="1">SUMIF('Struktur Aktuell'!$A:$A,'Planzahlen Rentabilität'!$A16,'Struktur Aktuell'!M:M)</f>
        <v>0</v>
      </c>
      <c r="CS16" s="1249">
        <f t="shared" ca="1" si="32"/>
        <v>-240</v>
      </c>
      <c r="CT16" s="1250"/>
      <c r="CU16" s="1250"/>
      <c r="CV16" s="1250"/>
      <c r="CW16" s="1173">
        <f t="shared" ca="1" si="33"/>
        <v>0</v>
      </c>
      <c r="CX16" s="1174">
        <f t="shared" si="34"/>
        <v>1650</v>
      </c>
      <c r="CY16" s="1187">
        <f t="shared" ca="1" si="35"/>
        <v>0</v>
      </c>
      <c r="CZ16" s="1249">
        <f t="shared" ca="1" si="36"/>
        <v>-1650</v>
      </c>
      <c r="DA16" s="1250"/>
      <c r="DB16" s="1250"/>
      <c r="DC16" s="1250"/>
      <c r="DD16" s="1173">
        <f ca="1">SUMIF('Struktur Vorjahr'!$A:$A,'Planzahlen Rentabilität'!$A16,'Struktur Vorjahr'!N:N)</f>
        <v>0</v>
      </c>
      <c r="DE16" s="1174">
        <f>Monatsplanung!$AD$176</f>
        <v>210.00000000000003</v>
      </c>
      <c r="DF16" s="1187">
        <f ca="1">SUMIF('Struktur Aktuell'!$A:$A,'Planzahlen Rentabilität'!$A16,'Struktur Aktuell'!N:N)</f>
        <v>0</v>
      </c>
      <c r="DG16" s="1249">
        <f t="shared" ca="1" si="37"/>
        <v>-210.00000000000003</v>
      </c>
      <c r="DH16" s="1250"/>
      <c r="DI16" s="1250"/>
      <c r="DJ16" s="1250"/>
      <c r="DK16" s="1173">
        <f t="shared" ca="1" si="38"/>
        <v>0</v>
      </c>
      <c r="DL16" s="1174">
        <f t="shared" si="39"/>
        <v>1860</v>
      </c>
      <c r="DM16" s="1187">
        <f t="shared" ca="1" si="40"/>
        <v>0</v>
      </c>
      <c r="DN16" s="1249">
        <f t="shared" ca="1" si="41"/>
        <v>-1860</v>
      </c>
      <c r="DO16" s="1250"/>
      <c r="DP16" s="1250"/>
      <c r="DQ16" s="1250"/>
      <c r="DR16" s="1173">
        <f ca="1">SUMIF('Struktur Vorjahr'!$A:$A,'Planzahlen Rentabilität'!$A16,'Struktur Vorjahr'!O:O)</f>
        <v>0</v>
      </c>
      <c r="DS16" s="1174">
        <f>Monatsplanung!$AE$176</f>
        <v>300</v>
      </c>
      <c r="DT16" s="1187">
        <f ca="1">SUMIF('Struktur Aktuell'!$A:$A,'Planzahlen Rentabilität'!$A16,'Struktur Aktuell'!O:O)</f>
        <v>0</v>
      </c>
      <c r="DU16" s="1249">
        <f t="shared" ca="1" si="42"/>
        <v>-300</v>
      </c>
      <c r="DV16" s="1250"/>
      <c r="DW16" s="1250"/>
      <c r="DX16" s="1250"/>
      <c r="DY16" s="1173">
        <f t="shared" ca="1" si="43"/>
        <v>0</v>
      </c>
      <c r="DZ16" s="1174">
        <f t="shared" si="44"/>
        <v>2160</v>
      </c>
      <c r="EA16" s="1187">
        <f t="shared" ca="1" si="45"/>
        <v>0</v>
      </c>
      <c r="EB16" s="1249">
        <f t="shared" ca="1" si="46"/>
        <v>-2160</v>
      </c>
      <c r="EC16" s="1250"/>
      <c r="ED16" s="1250"/>
      <c r="EE16" s="1250"/>
      <c r="EF16" s="1173">
        <f ca="1">SUMIF('Struktur Vorjahr'!$A:$A,'Planzahlen Rentabilität'!$A16,'Struktur Vorjahr'!P:P)</f>
        <v>0</v>
      </c>
      <c r="EG16" s="1174">
        <f>Monatsplanung!$AF$176</f>
        <v>300</v>
      </c>
      <c r="EH16" s="1187">
        <f ca="1">SUMIF('Struktur Aktuell'!$A:$A,'Planzahlen Rentabilität'!$A16,'Struktur Aktuell'!P:P)</f>
        <v>0</v>
      </c>
      <c r="EI16" s="1249">
        <f t="shared" ca="1" si="47"/>
        <v>-300</v>
      </c>
      <c r="EJ16" s="1250"/>
      <c r="EK16" s="1250"/>
      <c r="EL16" s="1250"/>
      <c r="EM16" s="1173">
        <f t="shared" ca="1" si="48"/>
        <v>0</v>
      </c>
      <c r="EN16" s="1174">
        <f t="shared" si="49"/>
        <v>2460</v>
      </c>
      <c r="EO16" s="1187">
        <f t="shared" ca="1" si="50"/>
        <v>0</v>
      </c>
      <c r="EP16" s="1249">
        <f t="shared" ca="1" si="51"/>
        <v>-2460</v>
      </c>
      <c r="EQ16" s="1250"/>
      <c r="ER16" s="1250"/>
      <c r="ES16" s="1250"/>
      <c r="ET16" s="1173">
        <f ca="1">SUMIF('Struktur Vorjahr'!$A:$A,'Planzahlen Rentabilität'!$A16,'Struktur Vorjahr'!Q:Q)</f>
        <v>0</v>
      </c>
      <c r="EU16" s="1174">
        <f>Monatsplanung!$AG$176</f>
        <v>270</v>
      </c>
      <c r="EV16" s="1187">
        <f ca="1">SUMIF('Struktur Aktuell'!$A:$A,'Planzahlen Rentabilität'!$A16,'Struktur Aktuell'!Q:Q)</f>
        <v>0</v>
      </c>
      <c r="EW16" s="1249">
        <f t="shared" ca="1" si="52"/>
        <v>-270</v>
      </c>
      <c r="EX16" s="1250"/>
      <c r="EY16" s="1250"/>
      <c r="EZ16" s="1250"/>
      <c r="FA16" s="1173">
        <f t="shared" ca="1" si="53"/>
        <v>0</v>
      </c>
      <c r="FB16" s="1174">
        <f t="shared" si="54"/>
        <v>2730</v>
      </c>
      <c r="FC16" s="1187">
        <f t="shared" ca="1" si="55"/>
        <v>0</v>
      </c>
      <c r="FD16" s="1249">
        <f t="shared" ca="1" si="56"/>
        <v>-2730</v>
      </c>
      <c r="FE16" s="1250"/>
      <c r="FF16" s="1250"/>
      <c r="FG16" s="1250"/>
      <c r="FH16" s="1173">
        <f ca="1">SUMIF('Struktur Vorjahr'!$A:$A,'Planzahlen Rentabilität'!$A16,'Struktur Vorjahr'!R:R)</f>
        <v>0</v>
      </c>
      <c r="FI16" s="1174">
        <f>Monatsplanung!$AH$176</f>
        <v>270</v>
      </c>
      <c r="FJ16" s="1187">
        <f ca="1">SUMIF('Struktur Aktuell'!$A:$A,'Planzahlen Rentabilität'!$A16,'Struktur Aktuell'!R:R)</f>
        <v>0</v>
      </c>
      <c r="FK16" s="1249">
        <f t="shared" ca="1" si="57"/>
        <v>-270</v>
      </c>
      <c r="FL16" s="1250"/>
      <c r="FM16" s="1250"/>
      <c r="FN16" s="1250"/>
      <c r="FO16" s="1173">
        <f t="shared" ca="1" si="58"/>
        <v>0</v>
      </c>
      <c r="FP16" s="1174">
        <f t="shared" si="59"/>
        <v>3000</v>
      </c>
      <c r="FQ16" s="1187">
        <f t="shared" ca="1" si="60"/>
        <v>0</v>
      </c>
      <c r="FR16" s="1249">
        <f t="shared" ca="1" si="61"/>
        <v>-3000</v>
      </c>
      <c r="FS16" s="1250"/>
      <c r="FT16" s="1250"/>
      <c r="FU16" s="1250"/>
      <c r="FV16" s="1171"/>
      <c r="FW16" s="1249">
        <v>0</v>
      </c>
    </row>
    <row r="17" spans="1:179" s="883" customFormat="1" x14ac:dyDescent="0.2">
      <c r="A17" s="1251">
        <v>5</v>
      </c>
      <c r="B17" s="1252" t="str">
        <f>'Struktur Aktuell'!B62</f>
        <v>Lagerbestandsveränderungen</v>
      </c>
      <c r="C17" s="1173">
        <f t="shared" ca="1" si="63"/>
        <v>18</v>
      </c>
      <c r="D17" s="1174">
        <f t="shared" si="63"/>
        <v>0</v>
      </c>
      <c r="E17" s="1175">
        <f t="shared" ca="1" si="63"/>
        <v>-183</v>
      </c>
      <c r="F17" s="1249">
        <f t="shared" ca="1" si="1"/>
        <v>-183</v>
      </c>
      <c r="G17" s="1250"/>
      <c r="H17" s="1250"/>
      <c r="I17" s="1250"/>
      <c r="J17" s="1173">
        <f ca="1">SUMIF('Struktur Vorjahr'!$A:$A,'Planzahlen Rentabilität'!$A17,'Struktur Vorjahr'!G:G)+'Bestandsveränderungen Vorjahr'!E24</f>
        <v>5073</v>
      </c>
      <c r="K17" s="1174"/>
      <c r="L17" s="1175">
        <f ca="1">SUMIF('Struktur Aktuell'!$A:$A,'Planzahlen Rentabilität'!$A17,'Struktur Aktuell'!G:G)+'Bestandsveränderungen Aktuell'!E24</f>
        <v>412</v>
      </c>
      <c r="M17" s="1249">
        <f t="shared" ca="1" si="2"/>
        <v>412</v>
      </c>
      <c r="N17" s="1250"/>
      <c r="O17" s="1250"/>
      <c r="P17" s="1250"/>
      <c r="Q17" s="1173">
        <f t="shared" ca="1" si="3"/>
        <v>5073</v>
      </c>
      <c r="R17" s="1174">
        <f t="shared" si="4"/>
        <v>0</v>
      </c>
      <c r="S17" s="1175">
        <f t="shared" ca="1" si="5"/>
        <v>412</v>
      </c>
      <c r="T17" s="1249">
        <f t="shared" ca="1" si="6"/>
        <v>412</v>
      </c>
      <c r="U17" s="1250"/>
      <c r="V17" s="1250"/>
      <c r="W17" s="1250"/>
      <c r="X17" s="1173">
        <f ca="1">SUMIF('Struktur Vorjahr'!$A:$A,'Planzahlen Rentabilität'!$A17,'Struktur Vorjahr'!H:H)+'Bestandsveränderungen Vorjahr'!E25</f>
        <v>-5595</v>
      </c>
      <c r="Y17" s="1174">
        <f>K17</f>
        <v>0</v>
      </c>
      <c r="Z17" s="1175">
        <f ca="1">SUMIF('Struktur Aktuell'!$A:$A,'Planzahlen Rentabilität'!$A17,'Struktur Aktuell'!H:H)+'Bestandsveränderungen Aktuell'!E25</f>
        <v>1000</v>
      </c>
      <c r="AA17" s="1249">
        <f t="shared" ca="1" si="7"/>
        <v>1000</v>
      </c>
      <c r="AB17" s="1250"/>
      <c r="AC17" s="1250"/>
      <c r="AD17" s="1250"/>
      <c r="AE17" s="1173">
        <f t="shared" ca="1" si="8"/>
        <v>-522</v>
      </c>
      <c r="AF17" s="1174">
        <f t="shared" si="9"/>
        <v>0</v>
      </c>
      <c r="AG17" s="1175">
        <f t="shared" ca="1" si="10"/>
        <v>1412</v>
      </c>
      <c r="AH17" s="1249">
        <f t="shared" ca="1" si="11"/>
        <v>1412</v>
      </c>
      <c r="AI17" s="1250"/>
      <c r="AJ17" s="1250"/>
      <c r="AK17" s="1250"/>
      <c r="AL17" s="1173">
        <f ca="1">SUMIF('Struktur Vorjahr'!$A:$A,'Planzahlen Rentabilität'!$A17,'Struktur Vorjahr'!H:H)+'Bestandsveränderungen Vorjahr'!E26</f>
        <v>-45</v>
      </c>
      <c r="AM17" s="1174">
        <f>Y17</f>
        <v>0</v>
      </c>
      <c r="AN17" s="1175">
        <f ca="1">SUMIF('Struktur Aktuell'!$A:$A,'Planzahlen Rentabilität'!$A17,'Struktur Aktuell'!H:H)+'Bestandsveränderungen Aktuell'!E26</f>
        <v>-2000</v>
      </c>
      <c r="AO17" s="1249">
        <f t="shared" ca="1" si="12"/>
        <v>-2000</v>
      </c>
      <c r="AP17" s="1250"/>
      <c r="AQ17" s="1250"/>
      <c r="AR17" s="1250"/>
      <c r="AS17" s="1173">
        <f t="shared" ca="1" si="13"/>
        <v>-567</v>
      </c>
      <c r="AT17" s="1174">
        <f t="shared" si="14"/>
        <v>0</v>
      </c>
      <c r="AU17" s="1175">
        <f t="shared" ca="1" si="15"/>
        <v>-588</v>
      </c>
      <c r="AV17" s="1249">
        <f t="shared" ca="1" si="16"/>
        <v>-588</v>
      </c>
      <c r="AW17" s="1250"/>
      <c r="AX17" s="1250"/>
      <c r="AY17" s="1250"/>
      <c r="AZ17" s="1173">
        <f ca="1">SUMIF('Struktur Vorjahr'!$A:$A,'Planzahlen Rentabilität'!$A17,'Struktur Vorjahr'!J:J)+'Bestandsveränderungen Vorjahr'!E27</f>
        <v>52</v>
      </c>
      <c r="BA17" s="1174">
        <f>AM17</f>
        <v>0</v>
      </c>
      <c r="BB17" s="1175">
        <f ca="1">SUMIF('Struktur Aktuell'!$A:$A,'Planzahlen Rentabilität'!$A17,'Struktur Aktuell'!J:J)+'Bestandsveränderungen Aktuell'!E27</f>
        <v>5000</v>
      </c>
      <c r="BC17" s="1249">
        <f t="shared" ca="1" si="17"/>
        <v>5000</v>
      </c>
      <c r="BD17" s="1250"/>
      <c r="BE17" s="1250"/>
      <c r="BF17" s="1250"/>
      <c r="BG17" s="1173">
        <f t="shared" ca="1" si="18"/>
        <v>-515</v>
      </c>
      <c r="BH17" s="1174">
        <f t="shared" si="19"/>
        <v>0</v>
      </c>
      <c r="BI17" s="1175">
        <f t="shared" ca="1" si="20"/>
        <v>4412</v>
      </c>
      <c r="BJ17" s="1249">
        <f t="shared" ca="1" si="21"/>
        <v>4412</v>
      </c>
      <c r="BK17" s="1250"/>
      <c r="BL17" s="1250"/>
      <c r="BM17" s="1250"/>
      <c r="BN17" s="1173">
        <f ca="1">SUMIF('Struktur Vorjahr'!$A:$A,'Planzahlen Rentabilität'!$A17,'Struktur Vorjahr'!K:K)+'Bestandsveränderungen Vorjahr'!E28</f>
        <v>5395</v>
      </c>
      <c r="BO17" s="1174">
        <f>BA17</f>
        <v>0</v>
      </c>
      <c r="BP17" s="1175">
        <f ca="1">SUMIF('Struktur Aktuell'!$A:$A,'Planzahlen Rentabilität'!$A17,'Struktur Aktuell'!K:K)+'Bestandsveränderungen Aktuell'!E28</f>
        <v>-4346</v>
      </c>
      <c r="BQ17" s="1249">
        <f t="shared" ca="1" si="22"/>
        <v>-4346</v>
      </c>
      <c r="BR17" s="1250"/>
      <c r="BS17" s="1250"/>
      <c r="BT17" s="1250"/>
      <c r="BU17" s="1173">
        <f t="shared" ca="1" si="23"/>
        <v>4880</v>
      </c>
      <c r="BV17" s="1174">
        <f t="shared" si="24"/>
        <v>0</v>
      </c>
      <c r="BW17" s="1175">
        <f t="shared" ca="1" si="25"/>
        <v>66</v>
      </c>
      <c r="BX17" s="1249">
        <f t="shared" ca="1" si="26"/>
        <v>66</v>
      </c>
      <c r="BY17" s="1250"/>
      <c r="BZ17" s="1250"/>
      <c r="CA17" s="1250"/>
      <c r="CB17" s="1173">
        <f ca="1">SUMIF('Struktur Vorjahr'!$A:$A,'Planzahlen Rentabilität'!$A17,'Struktur Vorjahr'!L:L)+'Bestandsveränderungen Vorjahr'!E29</f>
        <v>-4902</v>
      </c>
      <c r="CC17" s="1174">
        <f>BO17</f>
        <v>0</v>
      </c>
      <c r="CD17" s="1175">
        <f ca="1">SUMIF('Struktur Aktuell'!$A:$A,'Planzahlen Rentabilität'!$A17,'Struktur Aktuell'!L:L)+'Bestandsveränderungen Aktuell'!E29</f>
        <v>-604</v>
      </c>
      <c r="CE17" s="1249">
        <f t="shared" ca="1" si="27"/>
        <v>-604</v>
      </c>
      <c r="CF17" s="1250"/>
      <c r="CG17" s="1250"/>
      <c r="CH17" s="1250"/>
      <c r="CI17" s="1173">
        <f t="shared" ca="1" si="28"/>
        <v>-22</v>
      </c>
      <c r="CJ17" s="1174">
        <f t="shared" si="29"/>
        <v>0</v>
      </c>
      <c r="CK17" s="1175">
        <f t="shared" ca="1" si="30"/>
        <v>-538</v>
      </c>
      <c r="CL17" s="1249">
        <f t="shared" ca="1" si="31"/>
        <v>-538</v>
      </c>
      <c r="CM17" s="1250"/>
      <c r="CN17" s="1250"/>
      <c r="CO17" s="1250"/>
      <c r="CP17" s="1173">
        <f ca="1">SUMIF('Struktur Vorjahr'!$A:$A,'Planzahlen Rentabilität'!$A17,'Struktur Vorjahr'!M:M)+'Bestandsveränderungen Vorjahr'!E30</f>
        <v>-505</v>
      </c>
      <c r="CQ17" s="1174">
        <f>CC17</f>
        <v>0</v>
      </c>
      <c r="CR17" s="1175">
        <f ca="1">SUMIF('Struktur Aktuell'!$A:$A,'Planzahlen Rentabilität'!$A17,'Struktur Aktuell'!M:M)+'Bestandsveränderungen Aktuell'!E30</f>
        <v>6528</v>
      </c>
      <c r="CS17" s="1249">
        <f t="shared" ca="1" si="32"/>
        <v>6528</v>
      </c>
      <c r="CT17" s="1250"/>
      <c r="CU17" s="1250"/>
      <c r="CV17" s="1250"/>
      <c r="CW17" s="1173">
        <f t="shared" ca="1" si="33"/>
        <v>-527</v>
      </c>
      <c r="CX17" s="1174">
        <f t="shared" si="34"/>
        <v>0</v>
      </c>
      <c r="CY17" s="1175">
        <f t="shared" ca="1" si="35"/>
        <v>5990</v>
      </c>
      <c r="CZ17" s="1249">
        <f t="shared" ca="1" si="36"/>
        <v>5990</v>
      </c>
      <c r="DA17" s="1250"/>
      <c r="DB17" s="1250"/>
      <c r="DC17" s="1250"/>
      <c r="DD17" s="1173">
        <f ca="1">SUMIF('Struktur Vorjahr'!$A:$A,'Planzahlen Rentabilität'!$A17,'Struktur Vorjahr'!N:N)+'Bestandsveränderungen Vorjahr'!E31</f>
        <v>-36</v>
      </c>
      <c r="DE17" s="1174">
        <f>CQ17</f>
        <v>0</v>
      </c>
      <c r="DF17" s="1175">
        <f ca="1">SUMIF('Struktur Aktuell'!$A:$A,'Planzahlen Rentabilität'!$A17,'Struktur Aktuell'!N:N)+'Bestandsveränderungen Aktuell'!E31</f>
        <v>-6173</v>
      </c>
      <c r="DG17" s="1249">
        <f t="shared" ca="1" si="37"/>
        <v>-6173</v>
      </c>
      <c r="DH17" s="1250"/>
      <c r="DI17" s="1250"/>
      <c r="DJ17" s="1250"/>
      <c r="DK17" s="1173">
        <f t="shared" ca="1" si="38"/>
        <v>-563</v>
      </c>
      <c r="DL17" s="1174">
        <f t="shared" si="39"/>
        <v>0</v>
      </c>
      <c r="DM17" s="1175">
        <f t="shared" ca="1" si="40"/>
        <v>-183</v>
      </c>
      <c r="DN17" s="1249">
        <f t="shared" ca="1" si="41"/>
        <v>-183</v>
      </c>
      <c r="DO17" s="1250"/>
      <c r="DP17" s="1250"/>
      <c r="DQ17" s="1250"/>
      <c r="DR17" s="1173">
        <f ca="1">SUMIF('Struktur Vorjahr'!$A:$A,'Planzahlen Rentabilität'!$A17,'Struktur Vorjahr'!O:O)+'Bestandsveränderungen Vorjahr'!N31</f>
        <v>0</v>
      </c>
      <c r="DS17" s="1174">
        <f>DE17</f>
        <v>0</v>
      </c>
      <c r="DT17" s="1175">
        <f ca="1">SUMIF('Struktur Aktuell'!$A:$A,'Planzahlen Rentabilität'!$A17,'Struktur Aktuell'!O:O)+'Bestandsveränderungen Aktuell'!N31</f>
        <v>0</v>
      </c>
      <c r="DU17" s="1249">
        <f t="shared" ca="1" si="42"/>
        <v>0</v>
      </c>
      <c r="DV17" s="1250"/>
      <c r="DW17" s="1250"/>
      <c r="DX17" s="1250"/>
      <c r="DY17" s="1173">
        <f t="shared" ca="1" si="43"/>
        <v>-563</v>
      </c>
      <c r="DZ17" s="1174">
        <f t="shared" si="44"/>
        <v>0</v>
      </c>
      <c r="EA17" s="1175">
        <f t="shared" ca="1" si="45"/>
        <v>-183</v>
      </c>
      <c r="EB17" s="1249">
        <f t="shared" ca="1" si="46"/>
        <v>-183</v>
      </c>
      <c r="EC17" s="1250"/>
      <c r="ED17" s="1250"/>
      <c r="EE17" s="1250"/>
      <c r="EF17" s="1173">
        <f ca="1">SUMIF('Struktur Vorjahr'!$A:$A,'Planzahlen Rentabilität'!$A17,'Struktur Vorjahr'!P:P)+'Bestandsveränderungen Vorjahr'!E33</f>
        <v>571</v>
      </c>
      <c r="EG17" s="1174">
        <f>DS17</f>
        <v>0</v>
      </c>
      <c r="EH17" s="1175">
        <f ca="1">SUMIF('Struktur Aktuell'!$A:$A,'Planzahlen Rentabilität'!$A17,'Struktur Aktuell'!P:P)+'Bestandsveränderungen Aktuell'!E33</f>
        <v>7800</v>
      </c>
      <c r="EI17" s="1249">
        <f t="shared" ca="1" si="47"/>
        <v>7800</v>
      </c>
      <c r="EJ17" s="1250"/>
      <c r="EK17" s="1250"/>
      <c r="EL17" s="1250"/>
      <c r="EM17" s="1173">
        <f t="shared" ca="1" si="48"/>
        <v>8</v>
      </c>
      <c r="EN17" s="1174">
        <f t="shared" si="49"/>
        <v>0</v>
      </c>
      <c r="EO17" s="1175">
        <f t="shared" ca="1" si="50"/>
        <v>7617</v>
      </c>
      <c r="EP17" s="1249">
        <f t="shared" ca="1" si="51"/>
        <v>7617</v>
      </c>
      <c r="EQ17" s="1250"/>
      <c r="ER17" s="1250"/>
      <c r="ES17" s="1250"/>
      <c r="ET17" s="1173">
        <f ca="1">SUMIF('Struktur Vorjahr'!$A:$A,'Planzahlen Rentabilität'!$A17,'Struktur Vorjahr'!Q:Q)+'Bestandsveränderungen Vorjahr'!E34</f>
        <v>-524</v>
      </c>
      <c r="EU17" s="1174">
        <f>EG17</f>
        <v>0</v>
      </c>
      <c r="EV17" s="1175">
        <f ca="1">SUMIF('Struktur Aktuell'!$A:$A,'Planzahlen Rentabilität'!$A17,'Struktur Aktuell'!Q:Q)+'Bestandsveränderungen Aktuell'!E34</f>
        <v>-7323</v>
      </c>
      <c r="EW17" s="1249">
        <f t="shared" ca="1" si="52"/>
        <v>-7323</v>
      </c>
      <c r="EX17" s="1250"/>
      <c r="EY17" s="1250"/>
      <c r="EZ17" s="1250"/>
      <c r="FA17" s="1173">
        <f t="shared" ca="1" si="53"/>
        <v>-516</v>
      </c>
      <c r="FB17" s="1174">
        <f t="shared" si="54"/>
        <v>0</v>
      </c>
      <c r="FC17" s="1175">
        <f t="shared" ca="1" si="55"/>
        <v>294</v>
      </c>
      <c r="FD17" s="1249">
        <f t="shared" ca="1" si="56"/>
        <v>294</v>
      </c>
      <c r="FE17" s="1250"/>
      <c r="FF17" s="1250"/>
      <c r="FG17" s="1250"/>
      <c r="FH17" s="1173">
        <f ca="1">SUMIF('Struktur Vorjahr'!$A:$A,'Planzahlen Rentabilität'!$A17,'Struktur Vorjahr'!R:R)+'Bestandsveränderungen Vorjahr'!E35</f>
        <v>534</v>
      </c>
      <c r="FI17" s="1174">
        <f>EU17</f>
        <v>0</v>
      </c>
      <c r="FJ17" s="1175">
        <f ca="1">SUMIF('Struktur Aktuell'!$A:$A,'Planzahlen Rentabilität'!$A17,'Struktur Aktuell'!R:R)+'Bestandsveränderungen Aktuell'!E35</f>
        <v>-477</v>
      </c>
      <c r="FK17" s="1249">
        <f t="shared" ca="1" si="57"/>
        <v>-477</v>
      </c>
      <c r="FL17" s="1250"/>
      <c r="FM17" s="1250"/>
      <c r="FN17" s="1250"/>
      <c r="FO17" s="1173">
        <f t="shared" ca="1" si="58"/>
        <v>18</v>
      </c>
      <c r="FP17" s="1174">
        <f t="shared" si="59"/>
        <v>0</v>
      </c>
      <c r="FQ17" s="1175">
        <f t="shared" ca="1" si="60"/>
        <v>-183</v>
      </c>
      <c r="FR17" s="1249">
        <f t="shared" ca="1" si="61"/>
        <v>-183</v>
      </c>
      <c r="FS17" s="1250"/>
      <c r="FT17" s="1250"/>
      <c r="FU17" s="1250"/>
      <c r="FV17" s="1171"/>
      <c r="FW17" s="1249">
        <v>0</v>
      </c>
    </row>
    <row r="18" spans="1:179" s="883" customFormat="1" x14ac:dyDescent="0.2">
      <c r="A18" s="1251">
        <v>6</v>
      </c>
      <c r="B18" s="1252" t="str">
        <f>'Struktur Aktuell'!B71</f>
        <v>Bezugskosten / Verkäuferprovisionen</v>
      </c>
      <c r="C18" s="1173">
        <f t="shared" ca="1" si="63"/>
        <v>0</v>
      </c>
      <c r="D18" s="1174">
        <f t="shared" si="63"/>
        <v>0</v>
      </c>
      <c r="E18" s="1175">
        <f t="shared" ca="1" si="63"/>
        <v>0</v>
      </c>
      <c r="F18" s="1249">
        <f t="shared" ca="1" si="1"/>
        <v>0</v>
      </c>
      <c r="G18" s="1250"/>
      <c r="H18" s="1250"/>
      <c r="I18" s="1250"/>
      <c r="J18" s="1173">
        <f ca="1">SUMIF('Struktur Vorjahr'!$A:$A,'Planzahlen Rentabilität'!$A18,'Struktur Vorjahr'!G:G)</f>
        <v>0</v>
      </c>
      <c r="K18" s="1174"/>
      <c r="L18" s="1175">
        <f ca="1">SUMIF('Struktur Aktuell'!$A:$A,'Planzahlen Rentabilität'!$A18,'Struktur Aktuell'!G:G)</f>
        <v>0</v>
      </c>
      <c r="M18" s="1249">
        <f t="shared" ca="1" si="2"/>
        <v>0</v>
      </c>
      <c r="N18" s="1250"/>
      <c r="O18" s="1250"/>
      <c r="P18" s="1250"/>
      <c r="Q18" s="1173">
        <f t="shared" ca="1" si="3"/>
        <v>0</v>
      </c>
      <c r="R18" s="1174">
        <f t="shared" si="4"/>
        <v>0</v>
      </c>
      <c r="S18" s="1175">
        <f t="shared" ca="1" si="5"/>
        <v>0</v>
      </c>
      <c r="T18" s="1249">
        <f t="shared" ca="1" si="6"/>
        <v>0</v>
      </c>
      <c r="U18" s="1250"/>
      <c r="V18" s="1250"/>
      <c r="W18" s="1250"/>
      <c r="X18" s="1173">
        <f ca="1">SUMIF('Struktur Vorjahr'!$A:$A,'Planzahlen Rentabilität'!$A18,'Struktur Vorjahr'!H:H)</f>
        <v>0</v>
      </c>
      <c r="Y18" s="1174">
        <f>K18</f>
        <v>0</v>
      </c>
      <c r="Z18" s="1175">
        <f ca="1">SUMIF('Struktur Aktuell'!$A:$A,'Planzahlen Rentabilität'!$A18,'Struktur Aktuell'!H:H)</f>
        <v>0</v>
      </c>
      <c r="AA18" s="1249">
        <f t="shared" ca="1" si="7"/>
        <v>0</v>
      </c>
      <c r="AB18" s="1250"/>
      <c r="AC18" s="1250"/>
      <c r="AD18" s="1250"/>
      <c r="AE18" s="1173">
        <f t="shared" ca="1" si="8"/>
        <v>0</v>
      </c>
      <c r="AF18" s="1174">
        <f t="shared" si="9"/>
        <v>0</v>
      </c>
      <c r="AG18" s="1175">
        <f t="shared" ca="1" si="10"/>
        <v>0</v>
      </c>
      <c r="AH18" s="1249">
        <f t="shared" ca="1" si="11"/>
        <v>0</v>
      </c>
      <c r="AI18" s="1250"/>
      <c r="AJ18" s="1250"/>
      <c r="AK18" s="1250"/>
      <c r="AL18" s="1173">
        <f ca="1">SUMIF('Struktur Vorjahr'!$A:$A,'Planzahlen Rentabilität'!$A18,'Struktur Vorjahr'!I:I)</f>
        <v>0</v>
      </c>
      <c r="AM18" s="1174">
        <f>Y18</f>
        <v>0</v>
      </c>
      <c r="AN18" s="1175">
        <f ca="1">SUMIF('Struktur Aktuell'!$A:$A,'Planzahlen Rentabilität'!$A18,'Struktur Aktuell'!I:I)</f>
        <v>0</v>
      </c>
      <c r="AO18" s="1249">
        <f t="shared" ca="1" si="12"/>
        <v>0</v>
      </c>
      <c r="AP18" s="1250"/>
      <c r="AQ18" s="1250"/>
      <c r="AR18" s="1250"/>
      <c r="AS18" s="1173">
        <f t="shared" ca="1" si="13"/>
        <v>0</v>
      </c>
      <c r="AT18" s="1174">
        <f t="shared" si="14"/>
        <v>0</v>
      </c>
      <c r="AU18" s="1175">
        <f t="shared" ca="1" si="15"/>
        <v>0</v>
      </c>
      <c r="AV18" s="1249">
        <f t="shared" ca="1" si="16"/>
        <v>0</v>
      </c>
      <c r="AW18" s="1250"/>
      <c r="AX18" s="1250"/>
      <c r="AY18" s="1250"/>
      <c r="AZ18" s="1173">
        <f ca="1">SUMIF('Struktur Vorjahr'!$A:$A,'Planzahlen Rentabilität'!$A18,'Struktur Vorjahr'!J:J)</f>
        <v>0</v>
      </c>
      <c r="BA18" s="1174">
        <f>AM18</f>
        <v>0</v>
      </c>
      <c r="BB18" s="1175">
        <f ca="1">SUMIF('Struktur Aktuell'!$A:$A,'Planzahlen Rentabilität'!$A18,'Struktur Aktuell'!J:J)</f>
        <v>0</v>
      </c>
      <c r="BC18" s="1249">
        <f t="shared" ca="1" si="17"/>
        <v>0</v>
      </c>
      <c r="BD18" s="1250"/>
      <c r="BE18" s="1250"/>
      <c r="BF18" s="1250"/>
      <c r="BG18" s="1173">
        <f t="shared" ca="1" si="18"/>
        <v>0</v>
      </c>
      <c r="BH18" s="1174">
        <f t="shared" si="19"/>
        <v>0</v>
      </c>
      <c r="BI18" s="1175">
        <f t="shared" ca="1" si="20"/>
        <v>0</v>
      </c>
      <c r="BJ18" s="1249">
        <f t="shared" ca="1" si="21"/>
        <v>0</v>
      </c>
      <c r="BK18" s="1250"/>
      <c r="BL18" s="1250"/>
      <c r="BM18" s="1250"/>
      <c r="BN18" s="1173">
        <f ca="1">SUMIF('Struktur Vorjahr'!$A:$A,'Planzahlen Rentabilität'!$A18,'Struktur Vorjahr'!K:K)</f>
        <v>0</v>
      </c>
      <c r="BO18" s="1174">
        <f>BA18</f>
        <v>0</v>
      </c>
      <c r="BP18" s="1175">
        <f ca="1">SUMIF('Struktur Aktuell'!$A:$A,'Planzahlen Rentabilität'!$A18,'Struktur Aktuell'!K:K)</f>
        <v>0</v>
      </c>
      <c r="BQ18" s="1249">
        <f t="shared" ca="1" si="22"/>
        <v>0</v>
      </c>
      <c r="BR18" s="1250"/>
      <c r="BS18" s="1250"/>
      <c r="BT18" s="1250"/>
      <c r="BU18" s="1173">
        <f t="shared" ca="1" si="23"/>
        <v>0</v>
      </c>
      <c r="BV18" s="1174">
        <f t="shared" si="24"/>
        <v>0</v>
      </c>
      <c r="BW18" s="1175">
        <f t="shared" ca="1" si="25"/>
        <v>0</v>
      </c>
      <c r="BX18" s="1249">
        <f t="shared" ca="1" si="26"/>
        <v>0</v>
      </c>
      <c r="BY18" s="1250"/>
      <c r="BZ18" s="1250"/>
      <c r="CA18" s="1250"/>
      <c r="CB18" s="1173">
        <f ca="1">SUMIF('Struktur Vorjahr'!$A:$A,'Planzahlen Rentabilität'!$A18,'Struktur Vorjahr'!L:L)</f>
        <v>0</v>
      </c>
      <c r="CC18" s="1174">
        <f>BO18</f>
        <v>0</v>
      </c>
      <c r="CD18" s="1175">
        <f ca="1">SUMIF('Struktur Aktuell'!$A:$A,'Planzahlen Rentabilität'!$A18,'Struktur Aktuell'!L:L)</f>
        <v>0</v>
      </c>
      <c r="CE18" s="1249">
        <f t="shared" ca="1" si="27"/>
        <v>0</v>
      </c>
      <c r="CF18" s="1250"/>
      <c r="CG18" s="1250"/>
      <c r="CH18" s="1250"/>
      <c r="CI18" s="1173">
        <f t="shared" ca="1" si="28"/>
        <v>0</v>
      </c>
      <c r="CJ18" s="1174">
        <f t="shared" si="29"/>
        <v>0</v>
      </c>
      <c r="CK18" s="1175">
        <f t="shared" ca="1" si="30"/>
        <v>0</v>
      </c>
      <c r="CL18" s="1249">
        <f t="shared" ca="1" si="31"/>
        <v>0</v>
      </c>
      <c r="CM18" s="1250"/>
      <c r="CN18" s="1250"/>
      <c r="CO18" s="1250"/>
      <c r="CP18" s="1173">
        <f ca="1">SUMIF('Struktur Vorjahr'!$A:$A,'Planzahlen Rentabilität'!$A18,'Struktur Vorjahr'!M:M)</f>
        <v>0</v>
      </c>
      <c r="CQ18" s="1174">
        <f>CC18</f>
        <v>0</v>
      </c>
      <c r="CR18" s="1175">
        <f ca="1">SUMIF('Struktur Aktuell'!$A:$A,'Planzahlen Rentabilität'!$A18,'Struktur Aktuell'!M:M)</f>
        <v>0</v>
      </c>
      <c r="CS18" s="1249">
        <f t="shared" ca="1" si="32"/>
        <v>0</v>
      </c>
      <c r="CT18" s="1250"/>
      <c r="CU18" s="1250"/>
      <c r="CV18" s="1250"/>
      <c r="CW18" s="1173">
        <f t="shared" ca="1" si="33"/>
        <v>0</v>
      </c>
      <c r="CX18" s="1174">
        <f t="shared" si="34"/>
        <v>0</v>
      </c>
      <c r="CY18" s="1175">
        <f t="shared" ca="1" si="35"/>
        <v>0</v>
      </c>
      <c r="CZ18" s="1249">
        <f t="shared" ca="1" si="36"/>
        <v>0</v>
      </c>
      <c r="DA18" s="1250"/>
      <c r="DB18" s="1250"/>
      <c r="DC18" s="1250"/>
      <c r="DD18" s="1173">
        <f ca="1">SUMIF('Struktur Vorjahr'!$A:$A,'Planzahlen Rentabilität'!$A18,'Struktur Vorjahr'!N:N)</f>
        <v>0</v>
      </c>
      <c r="DE18" s="1174">
        <f>CQ18</f>
        <v>0</v>
      </c>
      <c r="DF18" s="1175">
        <f ca="1">SUMIF('Struktur Aktuell'!$A:$A,'Planzahlen Rentabilität'!$A18,'Struktur Aktuell'!N:N)</f>
        <v>0</v>
      </c>
      <c r="DG18" s="1249">
        <f t="shared" ca="1" si="37"/>
        <v>0</v>
      </c>
      <c r="DH18" s="1250"/>
      <c r="DI18" s="1250"/>
      <c r="DJ18" s="1250"/>
      <c r="DK18" s="1173">
        <f t="shared" ca="1" si="38"/>
        <v>0</v>
      </c>
      <c r="DL18" s="1174">
        <f t="shared" si="39"/>
        <v>0</v>
      </c>
      <c r="DM18" s="1175">
        <f t="shared" ca="1" si="40"/>
        <v>0</v>
      </c>
      <c r="DN18" s="1249">
        <f t="shared" ca="1" si="41"/>
        <v>0</v>
      </c>
      <c r="DO18" s="1250"/>
      <c r="DP18" s="1250"/>
      <c r="DQ18" s="1250"/>
      <c r="DR18" s="1173">
        <f ca="1">SUMIF('Struktur Vorjahr'!$A:$A,'Planzahlen Rentabilität'!$A18,'Struktur Vorjahr'!O:O)</f>
        <v>0</v>
      </c>
      <c r="DS18" s="1174">
        <f>DE18</f>
        <v>0</v>
      </c>
      <c r="DT18" s="1175">
        <f ca="1">SUMIF('Struktur Aktuell'!$A:$A,'Planzahlen Rentabilität'!$A18,'Struktur Aktuell'!O:O)</f>
        <v>0</v>
      </c>
      <c r="DU18" s="1249">
        <f t="shared" ca="1" si="42"/>
        <v>0</v>
      </c>
      <c r="DV18" s="1250"/>
      <c r="DW18" s="1250"/>
      <c r="DX18" s="1250"/>
      <c r="DY18" s="1173">
        <f t="shared" ca="1" si="43"/>
        <v>0</v>
      </c>
      <c r="DZ18" s="1174">
        <f t="shared" si="44"/>
        <v>0</v>
      </c>
      <c r="EA18" s="1175">
        <f t="shared" ca="1" si="45"/>
        <v>0</v>
      </c>
      <c r="EB18" s="1249">
        <f t="shared" ca="1" si="46"/>
        <v>0</v>
      </c>
      <c r="EC18" s="1250"/>
      <c r="ED18" s="1250"/>
      <c r="EE18" s="1250"/>
      <c r="EF18" s="1173">
        <f ca="1">SUMIF('Struktur Vorjahr'!$A:$A,'Planzahlen Rentabilität'!$A18,'Struktur Vorjahr'!P:P)</f>
        <v>0</v>
      </c>
      <c r="EG18" s="1174">
        <f>DS18</f>
        <v>0</v>
      </c>
      <c r="EH18" s="1175">
        <f ca="1">SUMIF('Struktur Aktuell'!$A:$A,'Planzahlen Rentabilität'!$A18,'Struktur Aktuell'!P:P)</f>
        <v>0</v>
      </c>
      <c r="EI18" s="1249">
        <f t="shared" ca="1" si="47"/>
        <v>0</v>
      </c>
      <c r="EJ18" s="1250"/>
      <c r="EK18" s="1250"/>
      <c r="EL18" s="1250"/>
      <c r="EM18" s="1173">
        <f t="shared" ca="1" si="48"/>
        <v>0</v>
      </c>
      <c r="EN18" s="1174">
        <f t="shared" si="49"/>
        <v>0</v>
      </c>
      <c r="EO18" s="1175">
        <f t="shared" ca="1" si="50"/>
        <v>0</v>
      </c>
      <c r="EP18" s="1249">
        <f t="shared" ca="1" si="51"/>
        <v>0</v>
      </c>
      <c r="EQ18" s="1250"/>
      <c r="ER18" s="1250"/>
      <c r="ES18" s="1250"/>
      <c r="ET18" s="1173">
        <f ca="1">SUMIF('Struktur Vorjahr'!$A:$A,'Planzahlen Rentabilität'!$A18,'Struktur Vorjahr'!Q:Q)</f>
        <v>0</v>
      </c>
      <c r="EU18" s="1174">
        <f>EG18</f>
        <v>0</v>
      </c>
      <c r="EV18" s="1175">
        <f ca="1">SUMIF('Struktur Aktuell'!$A:$A,'Planzahlen Rentabilität'!$A18,'Struktur Aktuell'!Q:Q)</f>
        <v>0</v>
      </c>
      <c r="EW18" s="1249">
        <f t="shared" ca="1" si="52"/>
        <v>0</v>
      </c>
      <c r="EX18" s="1250"/>
      <c r="EY18" s="1250"/>
      <c r="EZ18" s="1250"/>
      <c r="FA18" s="1173">
        <f t="shared" ca="1" si="53"/>
        <v>0</v>
      </c>
      <c r="FB18" s="1174">
        <f t="shared" si="54"/>
        <v>0</v>
      </c>
      <c r="FC18" s="1175">
        <f t="shared" ca="1" si="55"/>
        <v>0</v>
      </c>
      <c r="FD18" s="1249">
        <f t="shared" ca="1" si="56"/>
        <v>0</v>
      </c>
      <c r="FE18" s="1250"/>
      <c r="FF18" s="1250"/>
      <c r="FG18" s="1250"/>
      <c r="FH18" s="1173">
        <f ca="1">SUMIF('Struktur Vorjahr'!$A:$A,'Planzahlen Rentabilität'!$A18,'Struktur Vorjahr'!R:R)</f>
        <v>0</v>
      </c>
      <c r="FI18" s="1174">
        <f>EU18</f>
        <v>0</v>
      </c>
      <c r="FJ18" s="1175">
        <f ca="1">SUMIF('Struktur Aktuell'!$A:$A,'Planzahlen Rentabilität'!$A18,'Struktur Aktuell'!R:R)</f>
        <v>0</v>
      </c>
      <c r="FK18" s="1249">
        <f t="shared" ca="1" si="57"/>
        <v>0</v>
      </c>
      <c r="FL18" s="1250"/>
      <c r="FM18" s="1250"/>
      <c r="FN18" s="1250"/>
      <c r="FO18" s="1173">
        <f t="shared" ca="1" si="58"/>
        <v>0</v>
      </c>
      <c r="FP18" s="1174">
        <f t="shared" si="59"/>
        <v>0</v>
      </c>
      <c r="FQ18" s="1175">
        <f t="shared" ca="1" si="60"/>
        <v>0</v>
      </c>
      <c r="FR18" s="1249">
        <f t="shared" ca="1" si="61"/>
        <v>0</v>
      </c>
      <c r="FS18" s="1250"/>
      <c r="FT18" s="1250"/>
      <c r="FU18" s="1250"/>
      <c r="FV18" s="1171"/>
      <c r="FW18" s="1249">
        <v>0</v>
      </c>
    </row>
    <row r="19" spans="1:179" s="883" customFormat="1" ht="12.75" customHeight="1" x14ac:dyDescent="0.2">
      <c r="A19" s="1251">
        <v>7</v>
      </c>
      <c r="B19" s="1252" t="str">
        <f>'Struktur Aktuell'!B80</f>
        <v>Baustellenabhängige Entsorgungskosten und Miet- / Leasingkosten</v>
      </c>
      <c r="C19" s="1173">
        <f t="shared" ca="1" si="63"/>
        <v>0</v>
      </c>
      <c r="D19" s="1174">
        <f t="shared" si="63"/>
        <v>0</v>
      </c>
      <c r="E19" s="1175">
        <f t="shared" ca="1" si="63"/>
        <v>0</v>
      </c>
      <c r="F19" s="1249">
        <f t="shared" ca="1" si="1"/>
        <v>0</v>
      </c>
      <c r="G19" s="1250"/>
      <c r="H19" s="1250"/>
      <c r="I19" s="1250"/>
      <c r="J19" s="1173">
        <f ca="1">SUMIF('Struktur Vorjahr'!$A:$A,'Planzahlen Rentabilität'!$A19,'Struktur Vorjahr'!G:G)</f>
        <v>0</v>
      </c>
      <c r="K19" s="1174"/>
      <c r="L19" s="1175">
        <f ca="1">SUMIF('Struktur Aktuell'!$A:$A,'Planzahlen Rentabilität'!$A19,'Struktur Aktuell'!G:G)</f>
        <v>0</v>
      </c>
      <c r="M19" s="1249">
        <f t="shared" ca="1" si="2"/>
        <v>0</v>
      </c>
      <c r="N19" s="1250"/>
      <c r="O19" s="1250"/>
      <c r="P19" s="1250"/>
      <c r="Q19" s="1173">
        <f t="shared" ca="1" si="3"/>
        <v>0</v>
      </c>
      <c r="R19" s="1174">
        <f t="shared" si="4"/>
        <v>0</v>
      </c>
      <c r="S19" s="1175">
        <f t="shared" ca="1" si="5"/>
        <v>0</v>
      </c>
      <c r="T19" s="1249">
        <f t="shared" ca="1" si="6"/>
        <v>0</v>
      </c>
      <c r="U19" s="1250"/>
      <c r="V19" s="1250"/>
      <c r="W19" s="1250"/>
      <c r="X19" s="1173">
        <f ca="1">SUMIF('Struktur Vorjahr'!$A:$A,'Planzahlen Rentabilität'!$A19,'Struktur Vorjahr'!H:H)</f>
        <v>0</v>
      </c>
      <c r="Y19" s="1174">
        <f>K19</f>
        <v>0</v>
      </c>
      <c r="Z19" s="1175">
        <f ca="1">SUMIF('Struktur Aktuell'!$A:$A,'Planzahlen Rentabilität'!$A19,'Struktur Aktuell'!H:H)</f>
        <v>0</v>
      </c>
      <c r="AA19" s="1249">
        <f t="shared" ca="1" si="7"/>
        <v>0</v>
      </c>
      <c r="AB19" s="1250"/>
      <c r="AC19" s="1250"/>
      <c r="AD19" s="1250"/>
      <c r="AE19" s="1173">
        <f t="shared" ca="1" si="8"/>
        <v>0</v>
      </c>
      <c r="AF19" s="1174">
        <f t="shared" si="9"/>
        <v>0</v>
      </c>
      <c r="AG19" s="1175">
        <f t="shared" ca="1" si="10"/>
        <v>0</v>
      </c>
      <c r="AH19" s="1249">
        <f t="shared" ca="1" si="11"/>
        <v>0</v>
      </c>
      <c r="AI19" s="1250"/>
      <c r="AJ19" s="1250"/>
      <c r="AK19" s="1250"/>
      <c r="AL19" s="1173">
        <f ca="1">SUMIF('Struktur Vorjahr'!$A:$A,'Planzahlen Rentabilität'!$A19,'Struktur Vorjahr'!I:I)</f>
        <v>0</v>
      </c>
      <c r="AM19" s="1174">
        <f>Y19</f>
        <v>0</v>
      </c>
      <c r="AN19" s="1175">
        <f ca="1">SUMIF('Struktur Aktuell'!$A:$A,'Planzahlen Rentabilität'!$A19,'Struktur Aktuell'!I:I)</f>
        <v>0</v>
      </c>
      <c r="AO19" s="1249">
        <f t="shared" ca="1" si="12"/>
        <v>0</v>
      </c>
      <c r="AP19" s="1250"/>
      <c r="AQ19" s="1250"/>
      <c r="AR19" s="1250"/>
      <c r="AS19" s="1173">
        <f t="shared" ca="1" si="13"/>
        <v>0</v>
      </c>
      <c r="AT19" s="1174">
        <f t="shared" si="14"/>
        <v>0</v>
      </c>
      <c r="AU19" s="1175">
        <f t="shared" ca="1" si="15"/>
        <v>0</v>
      </c>
      <c r="AV19" s="1249">
        <f t="shared" ca="1" si="16"/>
        <v>0</v>
      </c>
      <c r="AW19" s="1250"/>
      <c r="AX19" s="1250"/>
      <c r="AY19" s="1250"/>
      <c r="AZ19" s="1173">
        <f ca="1">SUMIF('Struktur Vorjahr'!$A:$A,'Planzahlen Rentabilität'!$A19,'Struktur Vorjahr'!J:J)</f>
        <v>0</v>
      </c>
      <c r="BA19" s="1174">
        <f>AM19</f>
        <v>0</v>
      </c>
      <c r="BB19" s="1175">
        <f ca="1">SUMIF('Struktur Aktuell'!$A:$A,'Planzahlen Rentabilität'!$A19,'Struktur Aktuell'!J:J)</f>
        <v>0</v>
      </c>
      <c r="BC19" s="1249">
        <f t="shared" ca="1" si="17"/>
        <v>0</v>
      </c>
      <c r="BD19" s="1250"/>
      <c r="BE19" s="1250"/>
      <c r="BF19" s="1250"/>
      <c r="BG19" s="1173">
        <f t="shared" ca="1" si="18"/>
        <v>0</v>
      </c>
      <c r="BH19" s="1174">
        <f t="shared" si="19"/>
        <v>0</v>
      </c>
      <c r="BI19" s="1175">
        <f t="shared" ca="1" si="20"/>
        <v>0</v>
      </c>
      <c r="BJ19" s="1249">
        <f t="shared" ca="1" si="21"/>
        <v>0</v>
      </c>
      <c r="BK19" s="1250"/>
      <c r="BL19" s="1250"/>
      <c r="BM19" s="1250"/>
      <c r="BN19" s="1173">
        <f ca="1">SUMIF('Struktur Vorjahr'!$A:$A,'Planzahlen Rentabilität'!$A19,'Struktur Vorjahr'!K:K)</f>
        <v>0</v>
      </c>
      <c r="BO19" s="1174">
        <f>BA19</f>
        <v>0</v>
      </c>
      <c r="BP19" s="1175">
        <f ca="1">SUMIF('Struktur Aktuell'!$A:$A,'Planzahlen Rentabilität'!$A19,'Struktur Aktuell'!K:K)</f>
        <v>0</v>
      </c>
      <c r="BQ19" s="1249">
        <f t="shared" ca="1" si="22"/>
        <v>0</v>
      </c>
      <c r="BR19" s="1250"/>
      <c r="BS19" s="1250"/>
      <c r="BT19" s="1250"/>
      <c r="BU19" s="1173">
        <f t="shared" ca="1" si="23"/>
        <v>0</v>
      </c>
      <c r="BV19" s="1174">
        <f t="shared" si="24"/>
        <v>0</v>
      </c>
      <c r="BW19" s="1175">
        <f t="shared" ca="1" si="25"/>
        <v>0</v>
      </c>
      <c r="BX19" s="1249">
        <f t="shared" ca="1" si="26"/>
        <v>0</v>
      </c>
      <c r="BY19" s="1250"/>
      <c r="BZ19" s="1250"/>
      <c r="CA19" s="1250"/>
      <c r="CB19" s="1173">
        <f ca="1">SUMIF('Struktur Vorjahr'!$A:$A,'Planzahlen Rentabilität'!$A19,'Struktur Vorjahr'!L:L)</f>
        <v>0</v>
      </c>
      <c r="CC19" s="1174">
        <f>BO19</f>
        <v>0</v>
      </c>
      <c r="CD19" s="1175">
        <f ca="1">SUMIF('Struktur Aktuell'!$A:$A,'Planzahlen Rentabilität'!$A19,'Struktur Aktuell'!L:L)</f>
        <v>0</v>
      </c>
      <c r="CE19" s="1249">
        <f t="shared" ca="1" si="27"/>
        <v>0</v>
      </c>
      <c r="CF19" s="1250"/>
      <c r="CG19" s="1250"/>
      <c r="CH19" s="1250"/>
      <c r="CI19" s="1173">
        <f t="shared" ca="1" si="28"/>
        <v>0</v>
      </c>
      <c r="CJ19" s="1174">
        <f t="shared" si="29"/>
        <v>0</v>
      </c>
      <c r="CK19" s="1175">
        <f t="shared" ca="1" si="30"/>
        <v>0</v>
      </c>
      <c r="CL19" s="1249">
        <f t="shared" ca="1" si="31"/>
        <v>0</v>
      </c>
      <c r="CM19" s="1250"/>
      <c r="CN19" s="1250"/>
      <c r="CO19" s="1250"/>
      <c r="CP19" s="1173">
        <f ca="1">SUMIF('Struktur Vorjahr'!$A:$A,'Planzahlen Rentabilität'!$A19,'Struktur Vorjahr'!M:M)</f>
        <v>0</v>
      </c>
      <c r="CQ19" s="1174">
        <f>CC19</f>
        <v>0</v>
      </c>
      <c r="CR19" s="1175">
        <f ca="1">SUMIF('Struktur Aktuell'!$A:$A,'Planzahlen Rentabilität'!$A19,'Struktur Aktuell'!M:M)</f>
        <v>0</v>
      </c>
      <c r="CS19" s="1249">
        <f t="shared" ca="1" si="32"/>
        <v>0</v>
      </c>
      <c r="CT19" s="1250"/>
      <c r="CU19" s="1250"/>
      <c r="CV19" s="1250"/>
      <c r="CW19" s="1173">
        <f t="shared" ca="1" si="33"/>
        <v>0</v>
      </c>
      <c r="CX19" s="1174">
        <f t="shared" si="34"/>
        <v>0</v>
      </c>
      <c r="CY19" s="1175">
        <f t="shared" ca="1" si="35"/>
        <v>0</v>
      </c>
      <c r="CZ19" s="1249">
        <f t="shared" ca="1" si="36"/>
        <v>0</v>
      </c>
      <c r="DA19" s="1250"/>
      <c r="DB19" s="1250"/>
      <c r="DC19" s="1250"/>
      <c r="DD19" s="1173">
        <f ca="1">SUMIF('Struktur Vorjahr'!$A:$A,'Planzahlen Rentabilität'!$A19,'Struktur Vorjahr'!N:N)</f>
        <v>0</v>
      </c>
      <c r="DE19" s="1174">
        <f>CQ19</f>
        <v>0</v>
      </c>
      <c r="DF19" s="1175">
        <f ca="1">SUMIF('Struktur Aktuell'!$A:$A,'Planzahlen Rentabilität'!$A19,'Struktur Aktuell'!N:N)</f>
        <v>0</v>
      </c>
      <c r="DG19" s="1249">
        <f t="shared" ca="1" si="37"/>
        <v>0</v>
      </c>
      <c r="DH19" s="1250"/>
      <c r="DI19" s="1250"/>
      <c r="DJ19" s="1250"/>
      <c r="DK19" s="1173">
        <f t="shared" ca="1" si="38"/>
        <v>0</v>
      </c>
      <c r="DL19" s="1174">
        <f t="shared" si="39"/>
        <v>0</v>
      </c>
      <c r="DM19" s="1175">
        <f t="shared" ca="1" si="40"/>
        <v>0</v>
      </c>
      <c r="DN19" s="1249">
        <f t="shared" ca="1" si="41"/>
        <v>0</v>
      </c>
      <c r="DO19" s="1250"/>
      <c r="DP19" s="1250"/>
      <c r="DQ19" s="1250"/>
      <c r="DR19" s="1173">
        <f ca="1">SUMIF('Struktur Vorjahr'!$A:$A,'Planzahlen Rentabilität'!$A19,'Struktur Vorjahr'!O:O)</f>
        <v>0</v>
      </c>
      <c r="DS19" s="1174">
        <f>DE19</f>
        <v>0</v>
      </c>
      <c r="DT19" s="1175">
        <f ca="1">SUMIF('Struktur Aktuell'!$A:$A,'Planzahlen Rentabilität'!$A19,'Struktur Aktuell'!O:O)</f>
        <v>0</v>
      </c>
      <c r="DU19" s="1249">
        <f t="shared" ca="1" si="42"/>
        <v>0</v>
      </c>
      <c r="DV19" s="1250"/>
      <c r="DW19" s="1250"/>
      <c r="DX19" s="1250"/>
      <c r="DY19" s="1173">
        <f t="shared" ca="1" si="43"/>
        <v>0</v>
      </c>
      <c r="DZ19" s="1174">
        <f t="shared" si="44"/>
        <v>0</v>
      </c>
      <c r="EA19" s="1175">
        <f t="shared" ca="1" si="45"/>
        <v>0</v>
      </c>
      <c r="EB19" s="1249">
        <f t="shared" ca="1" si="46"/>
        <v>0</v>
      </c>
      <c r="EC19" s="1250"/>
      <c r="ED19" s="1250"/>
      <c r="EE19" s="1250"/>
      <c r="EF19" s="1173">
        <f ca="1">SUMIF('Struktur Vorjahr'!$A:$A,'Planzahlen Rentabilität'!$A19,'Struktur Vorjahr'!P:P)</f>
        <v>0</v>
      </c>
      <c r="EG19" s="1174">
        <f>DS19</f>
        <v>0</v>
      </c>
      <c r="EH19" s="1175">
        <f ca="1">SUMIF('Struktur Aktuell'!$A:$A,'Planzahlen Rentabilität'!$A19,'Struktur Aktuell'!P:P)</f>
        <v>0</v>
      </c>
      <c r="EI19" s="1249">
        <f t="shared" ca="1" si="47"/>
        <v>0</v>
      </c>
      <c r="EJ19" s="1250"/>
      <c r="EK19" s="1250"/>
      <c r="EL19" s="1250"/>
      <c r="EM19" s="1173">
        <f t="shared" ca="1" si="48"/>
        <v>0</v>
      </c>
      <c r="EN19" s="1174">
        <f t="shared" si="49"/>
        <v>0</v>
      </c>
      <c r="EO19" s="1175">
        <f t="shared" ca="1" si="50"/>
        <v>0</v>
      </c>
      <c r="EP19" s="1249">
        <f t="shared" ca="1" si="51"/>
        <v>0</v>
      </c>
      <c r="EQ19" s="1250"/>
      <c r="ER19" s="1250"/>
      <c r="ES19" s="1250"/>
      <c r="ET19" s="1173">
        <f ca="1">SUMIF('Struktur Vorjahr'!$A:$A,'Planzahlen Rentabilität'!$A19,'Struktur Vorjahr'!Q:Q)</f>
        <v>0</v>
      </c>
      <c r="EU19" s="1174">
        <f>EG19</f>
        <v>0</v>
      </c>
      <c r="EV19" s="1175">
        <f ca="1">SUMIF('Struktur Aktuell'!$A:$A,'Planzahlen Rentabilität'!$A19,'Struktur Aktuell'!Q:Q)</f>
        <v>0</v>
      </c>
      <c r="EW19" s="1249">
        <f t="shared" ca="1" si="52"/>
        <v>0</v>
      </c>
      <c r="EX19" s="1250"/>
      <c r="EY19" s="1250"/>
      <c r="EZ19" s="1250"/>
      <c r="FA19" s="1173">
        <f t="shared" ca="1" si="53"/>
        <v>0</v>
      </c>
      <c r="FB19" s="1174">
        <f t="shared" si="54"/>
        <v>0</v>
      </c>
      <c r="FC19" s="1175">
        <f t="shared" ca="1" si="55"/>
        <v>0</v>
      </c>
      <c r="FD19" s="1249">
        <f t="shared" ca="1" si="56"/>
        <v>0</v>
      </c>
      <c r="FE19" s="1250"/>
      <c r="FF19" s="1250"/>
      <c r="FG19" s="1250"/>
      <c r="FH19" s="1173">
        <f ca="1">SUMIF('Struktur Vorjahr'!$A:$A,'Planzahlen Rentabilität'!$A19,'Struktur Vorjahr'!R:R)</f>
        <v>0</v>
      </c>
      <c r="FI19" s="1174">
        <f>EU19</f>
        <v>0</v>
      </c>
      <c r="FJ19" s="1175">
        <f ca="1">SUMIF('Struktur Aktuell'!$A:$A,'Planzahlen Rentabilität'!$A19,'Struktur Aktuell'!R:R)</f>
        <v>0</v>
      </c>
      <c r="FK19" s="1249">
        <f t="shared" ca="1" si="57"/>
        <v>0</v>
      </c>
      <c r="FL19" s="1250"/>
      <c r="FM19" s="1250"/>
      <c r="FN19" s="1250"/>
      <c r="FO19" s="1173">
        <f t="shared" ca="1" si="58"/>
        <v>0</v>
      </c>
      <c r="FP19" s="1174">
        <f t="shared" si="59"/>
        <v>0</v>
      </c>
      <c r="FQ19" s="1175">
        <f t="shared" ca="1" si="60"/>
        <v>0</v>
      </c>
      <c r="FR19" s="1249">
        <f t="shared" ca="1" si="61"/>
        <v>0</v>
      </c>
      <c r="FS19" s="1250"/>
      <c r="FT19" s="1250"/>
      <c r="FU19" s="1250"/>
      <c r="FV19" s="1171"/>
      <c r="FW19" s="1249">
        <v>0</v>
      </c>
    </row>
    <row r="20" spans="1:179" s="883" customFormat="1" x14ac:dyDescent="0.2">
      <c r="A20" s="1251">
        <v>8</v>
      </c>
      <c r="B20" s="1252" t="str">
        <f>'Struktur Aktuell'!B89</f>
        <v>Lieferantenskonti / -boni</v>
      </c>
      <c r="C20" s="1173">
        <f t="shared" ca="1" si="63"/>
        <v>0.83</v>
      </c>
      <c r="D20" s="1174">
        <f t="shared" si="63"/>
        <v>0</v>
      </c>
      <c r="E20" s="1175">
        <f t="shared" ca="1" si="63"/>
        <v>0.83</v>
      </c>
      <c r="F20" s="1249">
        <f t="shared" ca="1" si="1"/>
        <v>0.83</v>
      </c>
      <c r="G20" s="1250"/>
      <c r="H20" s="1250"/>
      <c r="I20" s="1250"/>
      <c r="J20" s="1173">
        <f ca="1">SUMIF('Struktur Vorjahr'!$A:$A,'Planzahlen Rentabilität'!$A20,'Struktur Vorjahr'!G:G)</f>
        <v>0</v>
      </c>
      <c r="K20" s="1174">
        <v>0</v>
      </c>
      <c r="L20" s="1175">
        <f ca="1">SUMIF('Struktur Aktuell'!$A:$A,'Planzahlen Rentabilität'!$A20,'Struktur Aktuell'!G:G)</f>
        <v>0</v>
      </c>
      <c r="M20" s="1249">
        <f t="shared" ca="1" si="2"/>
        <v>0</v>
      </c>
      <c r="N20" s="1250"/>
      <c r="O20" s="1250"/>
      <c r="P20" s="1250"/>
      <c r="Q20" s="1173">
        <f t="shared" ca="1" si="3"/>
        <v>0</v>
      </c>
      <c r="R20" s="1174">
        <f t="shared" si="4"/>
        <v>0</v>
      </c>
      <c r="S20" s="1175">
        <f t="shared" ca="1" si="5"/>
        <v>0</v>
      </c>
      <c r="T20" s="1249">
        <f t="shared" ca="1" si="6"/>
        <v>0</v>
      </c>
      <c r="U20" s="1250"/>
      <c r="V20" s="1250"/>
      <c r="W20" s="1250"/>
      <c r="X20" s="1173">
        <f ca="1">SUMIF('Struktur Vorjahr'!$A:$A,'Planzahlen Rentabilität'!$A20,'Struktur Vorjahr'!H:H)</f>
        <v>0</v>
      </c>
      <c r="Y20" s="1174">
        <f>$K$20</f>
        <v>0</v>
      </c>
      <c r="Z20" s="1175">
        <f ca="1">SUMIF('Struktur Aktuell'!$A:$A,'Planzahlen Rentabilität'!$A20,'Struktur Aktuell'!H:H)</f>
        <v>0</v>
      </c>
      <c r="AA20" s="1249">
        <f t="shared" ca="1" si="7"/>
        <v>0</v>
      </c>
      <c r="AB20" s="1250"/>
      <c r="AC20" s="1250"/>
      <c r="AD20" s="1250"/>
      <c r="AE20" s="1173">
        <f t="shared" ca="1" si="8"/>
        <v>0</v>
      </c>
      <c r="AF20" s="1174">
        <f t="shared" si="9"/>
        <v>0</v>
      </c>
      <c r="AG20" s="1175">
        <f t="shared" ca="1" si="10"/>
        <v>0</v>
      </c>
      <c r="AH20" s="1249">
        <f t="shared" ca="1" si="11"/>
        <v>0</v>
      </c>
      <c r="AI20" s="1250"/>
      <c r="AJ20" s="1250"/>
      <c r="AK20" s="1250"/>
      <c r="AL20" s="1173">
        <f ca="1">SUMIF('Struktur Vorjahr'!$A:$A,'Planzahlen Rentabilität'!$A20,'Struktur Vorjahr'!I:I)</f>
        <v>0.01</v>
      </c>
      <c r="AM20" s="1174">
        <f>$K$20</f>
        <v>0</v>
      </c>
      <c r="AN20" s="1175">
        <f ca="1">SUMIF('Struktur Aktuell'!$A:$A,'Planzahlen Rentabilität'!$A20,'Struktur Aktuell'!I:I)</f>
        <v>0.01</v>
      </c>
      <c r="AO20" s="1249">
        <f t="shared" ca="1" si="12"/>
        <v>0.01</v>
      </c>
      <c r="AP20" s="1250"/>
      <c r="AQ20" s="1250"/>
      <c r="AR20" s="1250"/>
      <c r="AS20" s="1173">
        <f t="shared" ca="1" si="13"/>
        <v>0.01</v>
      </c>
      <c r="AT20" s="1174">
        <f t="shared" si="14"/>
        <v>0</v>
      </c>
      <c r="AU20" s="1175">
        <f t="shared" ca="1" si="15"/>
        <v>0.01</v>
      </c>
      <c r="AV20" s="1249">
        <f t="shared" ca="1" si="16"/>
        <v>0.01</v>
      </c>
      <c r="AW20" s="1250"/>
      <c r="AX20" s="1250"/>
      <c r="AY20" s="1250"/>
      <c r="AZ20" s="1173">
        <f ca="1">SUMIF('Struktur Vorjahr'!$A:$A,'Planzahlen Rentabilität'!$A20,'Struktur Vorjahr'!J:J)</f>
        <v>0.82</v>
      </c>
      <c r="BA20" s="1174">
        <f>$K$20</f>
        <v>0</v>
      </c>
      <c r="BB20" s="1175">
        <f ca="1">SUMIF('Struktur Aktuell'!$A:$A,'Planzahlen Rentabilität'!$A20,'Struktur Aktuell'!J:J)</f>
        <v>0.82</v>
      </c>
      <c r="BC20" s="1249">
        <f t="shared" ca="1" si="17"/>
        <v>0.82</v>
      </c>
      <c r="BD20" s="1250"/>
      <c r="BE20" s="1250"/>
      <c r="BF20" s="1250"/>
      <c r="BG20" s="1173">
        <f t="shared" ca="1" si="18"/>
        <v>0.83</v>
      </c>
      <c r="BH20" s="1174">
        <f t="shared" si="19"/>
        <v>0</v>
      </c>
      <c r="BI20" s="1175">
        <f t="shared" ca="1" si="20"/>
        <v>0.83</v>
      </c>
      <c r="BJ20" s="1249">
        <f t="shared" ca="1" si="21"/>
        <v>0.83</v>
      </c>
      <c r="BK20" s="1250"/>
      <c r="BL20" s="1250"/>
      <c r="BM20" s="1250"/>
      <c r="BN20" s="1173">
        <f ca="1">SUMIF('Struktur Vorjahr'!$A:$A,'Planzahlen Rentabilität'!$A20,'Struktur Vorjahr'!K:K)</f>
        <v>0</v>
      </c>
      <c r="BO20" s="1174">
        <f>$K$20</f>
        <v>0</v>
      </c>
      <c r="BP20" s="1175">
        <f ca="1">SUMIF('Struktur Aktuell'!$A:$A,'Planzahlen Rentabilität'!$A20,'Struktur Aktuell'!K:K)</f>
        <v>0</v>
      </c>
      <c r="BQ20" s="1249">
        <f t="shared" ca="1" si="22"/>
        <v>0</v>
      </c>
      <c r="BR20" s="1250"/>
      <c r="BS20" s="1250"/>
      <c r="BT20" s="1250"/>
      <c r="BU20" s="1173">
        <f t="shared" ca="1" si="23"/>
        <v>0.83</v>
      </c>
      <c r="BV20" s="1174">
        <f t="shared" si="24"/>
        <v>0</v>
      </c>
      <c r="BW20" s="1175">
        <f t="shared" ca="1" si="25"/>
        <v>0.83</v>
      </c>
      <c r="BX20" s="1249">
        <f t="shared" ca="1" si="26"/>
        <v>0.83</v>
      </c>
      <c r="BY20" s="1250"/>
      <c r="BZ20" s="1250"/>
      <c r="CA20" s="1250"/>
      <c r="CB20" s="1173">
        <v>0</v>
      </c>
      <c r="CC20" s="1174">
        <f>$K$20</f>
        <v>0</v>
      </c>
      <c r="CD20" s="1175">
        <v>0</v>
      </c>
      <c r="CE20" s="1249">
        <f t="shared" si="27"/>
        <v>0</v>
      </c>
      <c r="CF20" s="1250"/>
      <c r="CG20" s="1250"/>
      <c r="CH20" s="1250"/>
      <c r="CI20" s="1173">
        <f t="shared" ca="1" si="28"/>
        <v>0.83</v>
      </c>
      <c r="CJ20" s="1174">
        <f t="shared" si="29"/>
        <v>0</v>
      </c>
      <c r="CK20" s="1175">
        <f t="shared" ca="1" si="30"/>
        <v>0.83</v>
      </c>
      <c r="CL20" s="1249">
        <f t="shared" ca="1" si="31"/>
        <v>0.83</v>
      </c>
      <c r="CM20" s="1250"/>
      <c r="CN20" s="1250"/>
      <c r="CO20" s="1250"/>
      <c r="CP20" s="1173">
        <f ca="1">SUMIF('Struktur Vorjahr'!$A:$A,'Planzahlen Rentabilität'!$A20,'Struktur Vorjahr'!M:M)</f>
        <v>0</v>
      </c>
      <c r="CQ20" s="1174">
        <f>$K$20</f>
        <v>0</v>
      </c>
      <c r="CR20" s="1175">
        <f ca="1">SUMIF('Struktur Aktuell'!$A:$A,'Planzahlen Rentabilität'!$A20,'Struktur Aktuell'!M:M)</f>
        <v>0</v>
      </c>
      <c r="CS20" s="1249">
        <f t="shared" ca="1" si="32"/>
        <v>0</v>
      </c>
      <c r="CT20" s="1250"/>
      <c r="CU20" s="1250"/>
      <c r="CV20" s="1250"/>
      <c r="CW20" s="1173">
        <f t="shared" ca="1" si="33"/>
        <v>0.83</v>
      </c>
      <c r="CX20" s="1174">
        <f t="shared" si="34"/>
        <v>0</v>
      </c>
      <c r="CY20" s="1175">
        <f t="shared" ca="1" si="35"/>
        <v>0.83</v>
      </c>
      <c r="CZ20" s="1249">
        <f t="shared" ca="1" si="36"/>
        <v>0.83</v>
      </c>
      <c r="DA20" s="1250"/>
      <c r="DB20" s="1250"/>
      <c r="DC20" s="1250"/>
      <c r="DD20" s="1173">
        <f ca="1">SUMIF('Struktur Vorjahr'!$A:$A,'Planzahlen Rentabilität'!$A20,'Struktur Vorjahr'!N:N)</f>
        <v>0</v>
      </c>
      <c r="DE20" s="1174">
        <f>$K$20</f>
        <v>0</v>
      </c>
      <c r="DF20" s="1175">
        <f ca="1">SUMIF('Struktur Aktuell'!$A:$A,'Planzahlen Rentabilität'!$A20,'Struktur Aktuell'!N:N)</f>
        <v>0</v>
      </c>
      <c r="DG20" s="1249">
        <f t="shared" ca="1" si="37"/>
        <v>0</v>
      </c>
      <c r="DH20" s="1250"/>
      <c r="DI20" s="1250"/>
      <c r="DJ20" s="1250"/>
      <c r="DK20" s="1173">
        <f t="shared" ca="1" si="38"/>
        <v>0.83</v>
      </c>
      <c r="DL20" s="1174">
        <f t="shared" si="39"/>
        <v>0</v>
      </c>
      <c r="DM20" s="1175">
        <f t="shared" ca="1" si="40"/>
        <v>0.83</v>
      </c>
      <c r="DN20" s="1249">
        <f t="shared" ca="1" si="41"/>
        <v>0.83</v>
      </c>
      <c r="DO20" s="1250"/>
      <c r="DP20" s="1250"/>
      <c r="DQ20" s="1250"/>
      <c r="DR20" s="1173">
        <f ca="1">SUMIF('Struktur Vorjahr'!$A:$A,'Planzahlen Rentabilität'!$A20,'Struktur Vorjahr'!O:O)</f>
        <v>0</v>
      </c>
      <c r="DS20" s="1174">
        <f>$K$20</f>
        <v>0</v>
      </c>
      <c r="DT20" s="1175">
        <f ca="1">SUMIF('Struktur Aktuell'!$A:$A,'Planzahlen Rentabilität'!$A20,'Struktur Aktuell'!O:O)</f>
        <v>0</v>
      </c>
      <c r="DU20" s="1249">
        <f t="shared" ca="1" si="42"/>
        <v>0</v>
      </c>
      <c r="DV20" s="1250"/>
      <c r="DW20" s="1250"/>
      <c r="DX20" s="1250"/>
      <c r="DY20" s="1173">
        <f t="shared" ca="1" si="43"/>
        <v>0.83</v>
      </c>
      <c r="DZ20" s="1174">
        <f t="shared" si="44"/>
        <v>0</v>
      </c>
      <c r="EA20" s="1175">
        <f t="shared" ca="1" si="45"/>
        <v>0.83</v>
      </c>
      <c r="EB20" s="1249">
        <f t="shared" ca="1" si="46"/>
        <v>0.83</v>
      </c>
      <c r="EC20" s="1250"/>
      <c r="ED20" s="1250"/>
      <c r="EE20" s="1250"/>
      <c r="EF20" s="1173">
        <f ca="1">SUMIF('Struktur Vorjahr'!$A:$A,'Planzahlen Rentabilität'!$A20,'Struktur Vorjahr'!P:P)</f>
        <v>0</v>
      </c>
      <c r="EG20" s="1174">
        <f>$K$20</f>
        <v>0</v>
      </c>
      <c r="EH20" s="1175">
        <f ca="1">SUMIF('Struktur Aktuell'!$A:$A,'Planzahlen Rentabilität'!$A20,'Struktur Aktuell'!P:P)</f>
        <v>0</v>
      </c>
      <c r="EI20" s="1249">
        <f t="shared" ca="1" si="47"/>
        <v>0</v>
      </c>
      <c r="EJ20" s="1250"/>
      <c r="EK20" s="1250"/>
      <c r="EL20" s="1250"/>
      <c r="EM20" s="1173">
        <f t="shared" ca="1" si="48"/>
        <v>0.83</v>
      </c>
      <c r="EN20" s="1174">
        <f t="shared" si="49"/>
        <v>0</v>
      </c>
      <c r="EO20" s="1175">
        <f t="shared" ca="1" si="50"/>
        <v>0.83</v>
      </c>
      <c r="EP20" s="1249">
        <f t="shared" ca="1" si="51"/>
        <v>0.83</v>
      </c>
      <c r="EQ20" s="1250"/>
      <c r="ER20" s="1250"/>
      <c r="ES20" s="1250"/>
      <c r="ET20" s="1173">
        <f ca="1">SUMIF('Struktur Vorjahr'!$A:$A,'Planzahlen Rentabilität'!$A20,'Struktur Vorjahr'!Q:Q)</f>
        <v>0</v>
      </c>
      <c r="EU20" s="1174">
        <f>$K$20</f>
        <v>0</v>
      </c>
      <c r="EV20" s="1175">
        <f ca="1">SUMIF('Struktur Aktuell'!$A:$A,'Planzahlen Rentabilität'!$A20,'Struktur Aktuell'!Q:Q)</f>
        <v>0</v>
      </c>
      <c r="EW20" s="1249">
        <f t="shared" ca="1" si="52"/>
        <v>0</v>
      </c>
      <c r="EX20" s="1250"/>
      <c r="EY20" s="1250"/>
      <c r="EZ20" s="1250"/>
      <c r="FA20" s="1173">
        <f t="shared" ca="1" si="53"/>
        <v>0.83</v>
      </c>
      <c r="FB20" s="1174">
        <f t="shared" si="54"/>
        <v>0</v>
      </c>
      <c r="FC20" s="1175">
        <f t="shared" ca="1" si="55"/>
        <v>0.83</v>
      </c>
      <c r="FD20" s="1249">
        <f t="shared" ca="1" si="56"/>
        <v>0.83</v>
      </c>
      <c r="FE20" s="1250"/>
      <c r="FF20" s="1250"/>
      <c r="FG20" s="1250"/>
      <c r="FH20" s="1173">
        <f ca="1">SUMIF('Struktur Vorjahr'!$A:$A,'Planzahlen Rentabilität'!$A20,'Struktur Vorjahr'!R:R)</f>
        <v>0</v>
      </c>
      <c r="FI20" s="1174">
        <f>$K$20</f>
        <v>0</v>
      </c>
      <c r="FJ20" s="1175">
        <f ca="1">SUMIF('Struktur Aktuell'!$A:$A,'Planzahlen Rentabilität'!$A20,'Struktur Aktuell'!R:R)</f>
        <v>0</v>
      </c>
      <c r="FK20" s="1249">
        <f t="shared" ca="1" si="57"/>
        <v>0</v>
      </c>
      <c r="FL20" s="1250"/>
      <c r="FM20" s="1250"/>
      <c r="FN20" s="1250"/>
      <c r="FO20" s="1173">
        <f t="shared" ca="1" si="58"/>
        <v>0.83</v>
      </c>
      <c r="FP20" s="1174">
        <f t="shared" si="59"/>
        <v>0</v>
      </c>
      <c r="FQ20" s="1175">
        <f t="shared" ca="1" si="60"/>
        <v>0.83</v>
      </c>
      <c r="FR20" s="1249">
        <f t="shared" ca="1" si="61"/>
        <v>0.83</v>
      </c>
      <c r="FS20" s="1250"/>
      <c r="FT20" s="1250"/>
      <c r="FU20" s="1250"/>
      <c r="FV20" s="1171"/>
      <c r="FW20" s="1249">
        <v>0</v>
      </c>
    </row>
    <row r="21" spans="1:179" s="883" customFormat="1" x14ac:dyDescent="0.2">
      <c r="A21" s="1256">
        <v>9</v>
      </c>
      <c r="B21" s="1256" t="str">
        <f>'Struktur Aktuell'!B98</f>
        <v>Fremdleistungen (Subunternehmer)</v>
      </c>
      <c r="C21" s="1173">
        <f t="shared" ca="1" si="63"/>
        <v>3326.67</v>
      </c>
      <c r="D21" s="1174">
        <f t="shared" si="63"/>
        <v>400</v>
      </c>
      <c r="E21" s="1177">
        <f t="shared" ca="1" si="63"/>
        <v>3326.67</v>
      </c>
      <c r="F21" s="1249">
        <f t="shared" ca="1" si="1"/>
        <v>2926.67</v>
      </c>
      <c r="G21" s="1250"/>
      <c r="H21" s="1250"/>
      <c r="I21" s="1250"/>
      <c r="J21" s="1173">
        <f ca="1">SUMIF('Struktur Vorjahr'!$A:$A,'Planzahlen Rentabilität'!$A21,'Struktur Vorjahr'!G:G)</f>
        <v>451.78999999999996</v>
      </c>
      <c r="K21" s="1174">
        <f>Monatsplanung!$W$197</f>
        <v>24</v>
      </c>
      <c r="L21" s="1177">
        <f ca="1">SUMIF('Struktur Aktuell'!$A:$A,'Planzahlen Rentabilität'!$A21,'Struktur Aktuell'!G:G)</f>
        <v>451.78999999999996</v>
      </c>
      <c r="M21" s="1249">
        <f t="shared" ca="1" si="2"/>
        <v>427.78999999999996</v>
      </c>
      <c r="N21" s="1250"/>
      <c r="O21" s="1250"/>
      <c r="P21" s="1250"/>
      <c r="Q21" s="1173">
        <f t="shared" ca="1" si="3"/>
        <v>451.78999999999996</v>
      </c>
      <c r="R21" s="1174">
        <f t="shared" si="4"/>
        <v>24</v>
      </c>
      <c r="S21" s="1177">
        <f t="shared" ca="1" si="5"/>
        <v>451.78999999999996</v>
      </c>
      <c r="T21" s="1249">
        <f t="shared" ca="1" si="6"/>
        <v>427.78999999999996</v>
      </c>
      <c r="U21" s="1250"/>
      <c r="V21" s="1250"/>
      <c r="W21" s="1250"/>
      <c r="X21" s="1173">
        <f ca="1">SUMIF('Struktur Vorjahr'!$A:$A,'Planzahlen Rentabilität'!$A21,'Struktur Vorjahr'!H:H)</f>
        <v>212.62</v>
      </c>
      <c r="Y21" s="1174">
        <f>Monatsplanung!$X$197</f>
        <v>32</v>
      </c>
      <c r="Z21" s="1177">
        <f ca="1">SUMIF('Struktur Aktuell'!$A:$A,'Planzahlen Rentabilität'!$A21,'Struktur Aktuell'!H:H)</f>
        <v>212.62</v>
      </c>
      <c r="AA21" s="1249">
        <f t="shared" ca="1" si="7"/>
        <v>180.62</v>
      </c>
      <c r="AB21" s="1250"/>
      <c r="AC21" s="1250"/>
      <c r="AD21" s="1250"/>
      <c r="AE21" s="1173">
        <f t="shared" ca="1" si="8"/>
        <v>664.41</v>
      </c>
      <c r="AF21" s="1174">
        <f t="shared" si="9"/>
        <v>56</v>
      </c>
      <c r="AG21" s="1177">
        <f t="shared" ca="1" si="10"/>
        <v>664.41</v>
      </c>
      <c r="AH21" s="1249">
        <f t="shared" ca="1" si="11"/>
        <v>608.41</v>
      </c>
      <c r="AI21" s="1250"/>
      <c r="AJ21" s="1250"/>
      <c r="AK21" s="1250"/>
      <c r="AL21" s="1173">
        <v>0</v>
      </c>
      <c r="AM21" s="1174">
        <f>Monatsplanung!$Y$197</f>
        <v>40</v>
      </c>
      <c r="AN21" s="1177">
        <v>0</v>
      </c>
      <c r="AO21" s="1249">
        <f t="shared" si="12"/>
        <v>-40</v>
      </c>
      <c r="AP21" s="1250"/>
      <c r="AQ21" s="1250"/>
      <c r="AR21" s="1250"/>
      <c r="AS21" s="1173">
        <f t="shared" ca="1" si="13"/>
        <v>664.41</v>
      </c>
      <c r="AT21" s="1174">
        <f t="shared" si="14"/>
        <v>96</v>
      </c>
      <c r="AU21" s="1177">
        <f t="shared" ca="1" si="15"/>
        <v>664.41</v>
      </c>
      <c r="AV21" s="1249">
        <f t="shared" ca="1" si="16"/>
        <v>568.41</v>
      </c>
      <c r="AW21" s="1250"/>
      <c r="AX21" s="1250"/>
      <c r="AY21" s="1250"/>
      <c r="AZ21" s="1173">
        <f ca="1">SUMIF('Struktur Vorjahr'!$A:$A,'Planzahlen Rentabilität'!$A21,'Struktur Vorjahr'!J:J)</f>
        <v>245.23</v>
      </c>
      <c r="BA21" s="1174">
        <f>Monatsplanung!$Z$197</f>
        <v>28.000000000000004</v>
      </c>
      <c r="BB21" s="1177">
        <f ca="1">SUMIF('Struktur Aktuell'!$A:$A,'Planzahlen Rentabilität'!$A21,'Struktur Aktuell'!J:J)</f>
        <v>245.23</v>
      </c>
      <c r="BC21" s="1249">
        <f t="shared" ca="1" si="17"/>
        <v>217.23</v>
      </c>
      <c r="BD21" s="1250"/>
      <c r="BE21" s="1250"/>
      <c r="BF21" s="1250"/>
      <c r="BG21" s="1173">
        <f t="shared" ca="1" si="18"/>
        <v>909.64</v>
      </c>
      <c r="BH21" s="1174">
        <f t="shared" si="19"/>
        <v>124</v>
      </c>
      <c r="BI21" s="1177">
        <f t="shared" ca="1" si="20"/>
        <v>909.64</v>
      </c>
      <c r="BJ21" s="1249">
        <f t="shared" ca="1" si="21"/>
        <v>785.64</v>
      </c>
      <c r="BK21" s="1250"/>
      <c r="BL21" s="1250"/>
      <c r="BM21" s="1250"/>
      <c r="BN21" s="1173">
        <f ca="1">SUMIF('Struktur Vorjahr'!$A:$A,'Planzahlen Rentabilität'!$A21,'Struktur Vorjahr'!K:K)</f>
        <v>888.78</v>
      </c>
      <c r="BO21" s="1174">
        <f>Monatsplanung!$AA$197</f>
        <v>32</v>
      </c>
      <c r="BP21" s="1177">
        <f ca="1">SUMIF('Struktur Aktuell'!$A:$A,'Planzahlen Rentabilität'!$A21,'Struktur Aktuell'!K:K)</f>
        <v>888.78</v>
      </c>
      <c r="BQ21" s="1249">
        <f t="shared" ca="1" si="22"/>
        <v>856.78</v>
      </c>
      <c r="BR21" s="1250"/>
      <c r="BS21" s="1250"/>
      <c r="BT21" s="1250"/>
      <c r="BU21" s="1173">
        <f t="shared" ca="1" si="23"/>
        <v>1798.42</v>
      </c>
      <c r="BV21" s="1174">
        <f t="shared" si="24"/>
        <v>156</v>
      </c>
      <c r="BW21" s="1177">
        <f t="shared" ca="1" si="25"/>
        <v>1798.42</v>
      </c>
      <c r="BX21" s="1249">
        <f t="shared" ca="1" si="26"/>
        <v>1642.42</v>
      </c>
      <c r="BY21" s="1250"/>
      <c r="BZ21" s="1250"/>
      <c r="CA21" s="1250"/>
      <c r="CB21" s="1173">
        <v>0</v>
      </c>
      <c r="CC21" s="1174">
        <f>Monatsplanung!$AB$197</f>
        <v>32</v>
      </c>
      <c r="CD21" s="1177">
        <v>0</v>
      </c>
      <c r="CE21" s="1249">
        <f t="shared" si="27"/>
        <v>-32</v>
      </c>
      <c r="CF21" s="1250"/>
      <c r="CG21" s="1250"/>
      <c r="CH21" s="1250"/>
      <c r="CI21" s="1173">
        <f t="shared" ca="1" si="28"/>
        <v>1798.42</v>
      </c>
      <c r="CJ21" s="1174">
        <f t="shared" si="29"/>
        <v>188</v>
      </c>
      <c r="CK21" s="1177">
        <f t="shared" ca="1" si="30"/>
        <v>1798.42</v>
      </c>
      <c r="CL21" s="1249">
        <f t="shared" ca="1" si="31"/>
        <v>1610.42</v>
      </c>
      <c r="CM21" s="1250"/>
      <c r="CN21" s="1250"/>
      <c r="CO21" s="1250"/>
      <c r="CP21" s="1173">
        <f ca="1">SUMIF('Struktur Vorjahr'!$A:$A,'Planzahlen Rentabilität'!$A21,'Struktur Vorjahr'!M:M)</f>
        <v>302.62</v>
      </c>
      <c r="CQ21" s="1174">
        <f>Monatsplanung!$AC$197</f>
        <v>32</v>
      </c>
      <c r="CR21" s="1177">
        <f ca="1">SUMIF('Struktur Aktuell'!$A:$A,'Planzahlen Rentabilität'!$A21,'Struktur Aktuell'!M:M)</f>
        <v>302.62</v>
      </c>
      <c r="CS21" s="1249">
        <f t="shared" ca="1" si="32"/>
        <v>270.62</v>
      </c>
      <c r="CT21" s="1250"/>
      <c r="CU21" s="1250"/>
      <c r="CV21" s="1250"/>
      <c r="CW21" s="1173">
        <f t="shared" ca="1" si="33"/>
        <v>2101.04</v>
      </c>
      <c r="CX21" s="1174">
        <f t="shared" si="34"/>
        <v>220</v>
      </c>
      <c r="CY21" s="1177">
        <f t="shared" ca="1" si="35"/>
        <v>2101.04</v>
      </c>
      <c r="CZ21" s="1249">
        <f t="shared" ca="1" si="36"/>
        <v>1881.04</v>
      </c>
      <c r="DA21" s="1250"/>
      <c r="DB21" s="1250"/>
      <c r="DC21" s="1250"/>
      <c r="DD21" s="1173">
        <f ca="1">SUMIF('Struktur Vorjahr'!$A:$A,'Planzahlen Rentabilität'!$A21,'Struktur Vorjahr'!N:N)</f>
        <v>802.06999999999994</v>
      </c>
      <c r="DE21" s="1174">
        <f>Monatsplanung!$AD$197</f>
        <v>28.000000000000004</v>
      </c>
      <c r="DF21" s="1177">
        <f ca="1">SUMIF('Struktur Aktuell'!$A:$A,'Planzahlen Rentabilität'!$A21,'Struktur Aktuell'!N:N)</f>
        <v>802.06999999999994</v>
      </c>
      <c r="DG21" s="1249">
        <f t="shared" ca="1" si="37"/>
        <v>774.06999999999994</v>
      </c>
      <c r="DH21" s="1250"/>
      <c r="DI21" s="1250"/>
      <c r="DJ21" s="1250"/>
      <c r="DK21" s="1173">
        <f t="shared" ca="1" si="38"/>
        <v>2903.1099999999997</v>
      </c>
      <c r="DL21" s="1174">
        <f t="shared" si="39"/>
        <v>248</v>
      </c>
      <c r="DM21" s="1177">
        <f t="shared" ca="1" si="40"/>
        <v>2903.1099999999997</v>
      </c>
      <c r="DN21" s="1249">
        <f t="shared" ca="1" si="41"/>
        <v>2655.1099999999997</v>
      </c>
      <c r="DO21" s="1250"/>
      <c r="DP21" s="1250"/>
      <c r="DQ21" s="1250"/>
      <c r="DR21" s="1173">
        <f ca="1">SUMIF('Struktur Vorjahr'!$A:$A,'Planzahlen Rentabilität'!$A21,'Struktur Vorjahr'!O:O)</f>
        <v>211.78</v>
      </c>
      <c r="DS21" s="1174">
        <f>Monatsplanung!$AE$197</f>
        <v>40</v>
      </c>
      <c r="DT21" s="1177">
        <f ca="1">SUMIF('Struktur Aktuell'!$A:$A,'Planzahlen Rentabilität'!$A21,'Struktur Aktuell'!O:O)</f>
        <v>211.78</v>
      </c>
      <c r="DU21" s="1249">
        <f t="shared" ca="1" si="42"/>
        <v>171.78</v>
      </c>
      <c r="DV21" s="1250"/>
      <c r="DW21" s="1250"/>
      <c r="DX21" s="1250"/>
      <c r="DY21" s="1173">
        <f t="shared" ca="1" si="43"/>
        <v>3114.89</v>
      </c>
      <c r="DZ21" s="1174">
        <f t="shared" si="44"/>
        <v>288</v>
      </c>
      <c r="EA21" s="1177">
        <f t="shared" ca="1" si="45"/>
        <v>3114.89</v>
      </c>
      <c r="EB21" s="1249">
        <f t="shared" ca="1" si="46"/>
        <v>2826.89</v>
      </c>
      <c r="EC21" s="1250"/>
      <c r="ED21" s="1250"/>
      <c r="EE21" s="1250"/>
      <c r="EF21" s="1173">
        <f ca="1">SUMIF('Struktur Vorjahr'!$A:$A,'Planzahlen Rentabilität'!$A21,'Struktur Vorjahr'!P:P)</f>
        <v>211.78</v>
      </c>
      <c r="EG21" s="1174">
        <f>Monatsplanung!$AF$197</f>
        <v>40</v>
      </c>
      <c r="EH21" s="1177">
        <f ca="1">SUMIF('Struktur Aktuell'!$A:$A,'Planzahlen Rentabilität'!$A21,'Struktur Aktuell'!P:P)</f>
        <v>211.78</v>
      </c>
      <c r="EI21" s="1249">
        <f t="shared" ca="1" si="47"/>
        <v>171.78</v>
      </c>
      <c r="EJ21" s="1250"/>
      <c r="EK21" s="1250"/>
      <c r="EL21" s="1250"/>
      <c r="EM21" s="1173">
        <f t="shared" ca="1" si="48"/>
        <v>3326.67</v>
      </c>
      <c r="EN21" s="1174">
        <f t="shared" si="49"/>
        <v>328</v>
      </c>
      <c r="EO21" s="1177">
        <f t="shared" ca="1" si="50"/>
        <v>3326.67</v>
      </c>
      <c r="EP21" s="1249">
        <f t="shared" ca="1" si="51"/>
        <v>2998.67</v>
      </c>
      <c r="EQ21" s="1250"/>
      <c r="ER21" s="1250"/>
      <c r="ES21" s="1250"/>
      <c r="ET21" s="1173">
        <f ca="1">SUMIF('Struktur Vorjahr'!$A:$A,'Planzahlen Rentabilität'!$A21,'Struktur Vorjahr'!Q:Q)</f>
        <v>0</v>
      </c>
      <c r="EU21" s="1174">
        <f>Monatsplanung!$AG$197</f>
        <v>36</v>
      </c>
      <c r="EV21" s="1177">
        <f ca="1">SUMIF('Struktur Aktuell'!$A:$A,'Planzahlen Rentabilität'!$A21,'Struktur Aktuell'!Q:Q)</f>
        <v>0</v>
      </c>
      <c r="EW21" s="1249">
        <f t="shared" ca="1" si="52"/>
        <v>-36</v>
      </c>
      <c r="EX21" s="1250"/>
      <c r="EY21" s="1250"/>
      <c r="EZ21" s="1250"/>
      <c r="FA21" s="1173">
        <f t="shared" ca="1" si="53"/>
        <v>3326.67</v>
      </c>
      <c r="FB21" s="1174">
        <f t="shared" si="54"/>
        <v>364</v>
      </c>
      <c r="FC21" s="1177">
        <f t="shared" ca="1" si="55"/>
        <v>3326.67</v>
      </c>
      <c r="FD21" s="1249">
        <f t="shared" ca="1" si="56"/>
        <v>2962.67</v>
      </c>
      <c r="FE21" s="1250"/>
      <c r="FF21" s="1250"/>
      <c r="FG21" s="1250"/>
      <c r="FH21" s="1173">
        <f ca="1">SUMIF('Struktur Vorjahr'!$A:$A,'Planzahlen Rentabilität'!$A21,'Struktur Vorjahr'!R:R)</f>
        <v>0</v>
      </c>
      <c r="FI21" s="1174">
        <f>Monatsplanung!$AH$197</f>
        <v>36</v>
      </c>
      <c r="FJ21" s="1177">
        <f ca="1">SUMIF('Struktur Aktuell'!$A:$A,'Planzahlen Rentabilität'!$A21,'Struktur Aktuell'!R:R)</f>
        <v>0</v>
      </c>
      <c r="FK21" s="1249">
        <f t="shared" ca="1" si="57"/>
        <v>-36</v>
      </c>
      <c r="FL21" s="1250"/>
      <c r="FM21" s="1250"/>
      <c r="FN21" s="1250"/>
      <c r="FO21" s="1173">
        <f t="shared" ca="1" si="58"/>
        <v>3326.67</v>
      </c>
      <c r="FP21" s="1174">
        <f t="shared" si="59"/>
        <v>400</v>
      </c>
      <c r="FQ21" s="1177">
        <f t="shared" ca="1" si="60"/>
        <v>3326.67</v>
      </c>
      <c r="FR21" s="1249">
        <f t="shared" ca="1" si="61"/>
        <v>2926.67</v>
      </c>
      <c r="FS21" s="1250"/>
      <c r="FT21" s="1250"/>
      <c r="FU21" s="1250"/>
      <c r="FV21" s="1171"/>
      <c r="FW21" s="1249">
        <v>0</v>
      </c>
    </row>
    <row r="22" spans="1:179" s="883" customFormat="1" ht="16.5" customHeight="1" x14ac:dyDescent="0.2">
      <c r="A22" s="1179" t="s">
        <v>216</v>
      </c>
      <c r="B22" s="1167" t="str">
        <f>'Struktur Aktuell'!B107</f>
        <v>Rohgewinn / Deckungsbeitrag</v>
      </c>
      <c r="C22" s="1180">
        <f ca="1">C15-C16-C17-C18-C19+C20-C21</f>
        <v>150642</v>
      </c>
      <c r="D22" s="1180">
        <f>D15-D16-D17-D18-D19+D20-D21</f>
        <v>1030786</v>
      </c>
      <c r="E22" s="1180">
        <f ca="1">E15-E16-E17-E18-E19+E20-E21</f>
        <v>155392</v>
      </c>
      <c r="F22" s="1181">
        <f t="shared" ca="1" si="1"/>
        <v>-875394</v>
      </c>
      <c r="G22" s="1182">
        <f t="shared" ref="G22:I23" ca="1" si="64">C22/C$15</f>
        <v>0.97828475657242231</v>
      </c>
      <c r="H22" s="1182">
        <f t="shared" si="64"/>
        <v>0.99671239022767666</v>
      </c>
      <c r="I22" s="1182">
        <f t="shared" ca="1" si="64"/>
        <v>0.98017571405755333</v>
      </c>
      <c r="J22" s="1180">
        <f ca="1">J15-J16-J17-J18-J19+J20-J21</f>
        <v>5406.9800000000005</v>
      </c>
      <c r="K22" s="1180">
        <f>K15-K16-K17-K18-K19+K20-K21</f>
        <v>61847.159999999996</v>
      </c>
      <c r="L22" s="1180">
        <f ca="1">L15-L16-L17-L18-L19+L20-L21</f>
        <v>10327.98</v>
      </c>
      <c r="M22" s="1181">
        <f t="shared" ca="1" si="2"/>
        <v>-51519.179999999993</v>
      </c>
      <c r="N22" s="1182">
        <f t="shared" ref="N22:P23" ca="1" si="65">J22/J$15</f>
        <v>0.49461157708221087</v>
      </c>
      <c r="O22" s="1182">
        <f t="shared" si="65"/>
        <v>0.99671239022767666</v>
      </c>
      <c r="P22" s="1182">
        <f t="shared" ca="1" si="65"/>
        <v>0.9228191787358031</v>
      </c>
      <c r="Q22" s="1180">
        <f t="shared" ca="1" si="3"/>
        <v>5406.9800000000005</v>
      </c>
      <c r="R22" s="1180">
        <f t="shared" si="4"/>
        <v>61847.159999999996</v>
      </c>
      <c r="S22" s="1180">
        <f t="shared" ca="1" si="5"/>
        <v>10327.98</v>
      </c>
      <c r="T22" s="1181">
        <f t="shared" ca="1" si="6"/>
        <v>-51519.179999999993</v>
      </c>
      <c r="U22" s="1182">
        <f t="shared" ref="U22:W23" ca="1" si="66">Q22/Q$15</f>
        <v>0.49461157708221087</v>
      </c>
      <c r="V22" s="1182">
        <f t="shared" si="66"/>
        <v>0.99671239022767666</v>
      </c>
      <c r="W22" s="1182">
        <f t="shared" ca="1" si="66"/>
        <v>0.9228191787358031</v>
      </c>
      <c r="X22" s="1180">
        <f ca="1">X15-X16-X17-X18-X19+X20-X21</f>
        <v>17415.030000000002</v>
      </c>
      <c r="Y22" s="1180">
        <f>Y15-Y16-Y17-Y18-Y19+Y20-Y21</f>
        <v>82462.880000000005</v>
      </c>
      <c r="Z22" s="1180">
        <f ca="1">Z15-Z16-Z17-Z18-Z19+Z20-Z21</f>
        <v>10666.03</v>
      </c>
      <c r="AA22" s="1181">
        <f t="shared" ca="1" si="7"/>
        <v>-71796.850000000006</v>
      </c>
      <c r="AB22" s="1182">
        <f ca="1">X22/$Y$15</f>
        <v>0.21049199563714846</v>
      </c>
      <c r="AC22" s="1182">
        <f>Y22/$Y$15</f>
        <v>0.99671239022767666</v>
      </c>
      <c r="AD22" s="1182">
        <f ca="1">Z22/$Z$15</f>
        <v>0.89791600897408375</v>
      </c>
      <c r="AE22" s="1180">
        <f t="shared" ca="1" si="8"/>
        <v>22822.010000000002</v>
      </c>
      <c r="AF22" s="1180">
        <f t="shared" si="9"/>
        <v>144310.04</v>
      </c>
      <c r="AG22" s="1180">
        <f t="shared" ca="1" si="10"/>
        <v>20994.010000000002</v>
      </c>
      <c r="AH22" s="1181">
        <f t="shared" ca="1" si="11"/>
        <v>-123316.03</v>
      </c>
      <c r="AI22" s="1182">
        <f ca="1">AE22/$AF$15</f>
        <v>0.15762576281525484</v>
      </c>
      <c r="AJ22" s="1182">
        <f>AF22/$AF$15</f>
        <v>0.99671239022767666</v>
      </c>
      <c r="AK22" s="1182">
        <f ca="1">AG22/$AG$15</f>
        <v>0.90999687045142652</v>
      </c>
      <c r="AL22" s="1180">
        <f ca="1">AL15-AL16-AL17-AL18-AL19+AL20-AL21</f>
        <v>-8.99</v>
      </c>
      <c r="AM22" s="1180">
        <f>AM15-AM16-AM17-AM18-AM19+AM20-AM21</f>
        <v>103078.6</v>
      </c>
      <c r="AN22" s="1180">
        <f ca="1">AN15-AN16-AN17-AN18-AN19+AN20-AN21</f>
        <v>2320.0100000000002</v>
      </c>
      <c r="AO22" s="1181">
        <f t="shared" ca="1" si="12"/>
        <v>-100758.59000000001</v>
      </c>
      <c r="AP22" s="1182">
        <f ca="1">AL22/$AM$15</f>
        <v>-8.692827015643221E-5</v>
      </c>
      <c r="AQ22" s="1182">
        <f>AM22/$AM$15</f>
        <v>0.99671239022767666</v>
      </c>
      <c r="AR22" s="1182">
        <f ca="1">AN22/$AN$15</f>
        <v>7.250031250000001</v>
      </c>
      <c r="AS22" s="1180">
        <f t="shared" ca="1" si="13"/>
        <v>22813.02</v>
      </c>
      <c r="AT22" s="1180">
        <f t="shared" si="14"/>
        <v>247388.64</v>
      </c>
      <c r="AU22" s="1180">
        <f t="shared" ca="1" si="15"/>
        <v>23314.020000000004</v>
      </c>
      <c r="AV22" s="1181">
        <f t="shared" ca="1" si="16"/>
        <v>-224074.62</v>
      </c>
      <c r="AW22" s="1182">
        <f ca="1">AS22/$AT$15</f>
        <v>9.1912141529666813E-2</v>
      </c>
      <c r="AX22" s="1182">
        <f>AT22/$AT$15</f>
        <v>0.99671239022767666</v>
      </c>
      <c r="AY22" s="1182">
        <f ca="1">AU22/$AU$15</f>
        <v>0.99673370550849461</v>
      </c>
      <c r="AZ22" s="1180">
        <f ca="1">AZ15-AZ16-AZ17-AZ18-AZ19+AZ20-AZ21</f>
        <v>13135.8</v>
      </c>
      <c r="BA22" s="1180">
        <f>BA15-BA16-BA17-BA18-BA19+BA20-BA21</f>
        <v>72155.02</v>
      </c>
      <c r="BB22" s="1180">
        <f ca="1">BB15-BB16-BB17-BB18-BB19+BB20-BB21</f>
        <v>7731.7999999999993</v>
      </c>
      <c r="BC22" s="1181">
        <f t="shared" ca="1" si="17"/>
        <v>-64423.22</v>
      </c>
      <c r="BD22" s="1182">
        <f ca="1">AZ22/$BA$15</f>
        <v>0.18145119515666011</v>
      </c>
      <c r="BE22" s="1182">
        <f>BA22/$BA$15</f>
        <v>0.99671239022767666</v>
      </c>
      <c r="BF22" s="1182">
        <f ca="1">BB22/$BB$15</f>
        <v>0.59584424111508671</v>
      </c>
      <c r="BG22" s="1180">
        <f t="shared" ca="1" si="18"/>
        <v>35948.82</v>
      </c>
      <c r="BH22" s="1180">
        <f t="shared" si="19"/>
        <v>319543.66000000003</v>
      </c>
      <c r="BI22" s="1180">
        <f t="shared" ca="1" si="20"/>
        <v>31045.820000000003</v>
      </c>
      <c r="BJ22" s="1181">
        <f t="shared" ca="1" si="21"/>
        <v>-288497.84000000003</v>
      </c>
      <c r="BK22" s="1182">
        <f ca="1">BG22/$BH$15</f>
        <v>0.11213063750995561</v>
      </c>
      <c r="BL22" s="1182">
        <f>BH22/$BH$15</f>
        <v>0.99671239022767666</v>
      </c>
      <c r="BM22" s="1182">
        <f ca="1">BI22/$BI$15</f>
        <v>0.8536897699896856</v>
      </c>
      <c r="BN22" s="1180">
        <f ca="1">BN15-BN16-BN17-BN18-BN19+BN20-BN21</f>
        <v>1526.3300000000006</v>
      </c>
      <c r="BO22" s="1180">
        <f>BO15-BO16-BO17-BO18-BO19+BO20-BO21</f>
        <v>82462.880000000005</v>
      </c>
      <c r="BP22" s="1180">
        <f ca="1">BP15-BP16-BP17-BP18-BP19+BP20-BP21</f>
        <v>11215.33</v>
      </c>
      <c r="BQ22" s="1181">
        <f t="shared" ca="1" si="22"/>
        <v>-71247.55</v>
      </c>
      <c r="BR22" s="1182">
        <f ca="1">BN22/$BO$15</f>
        <v>1.8448446410993774E-2</v>
      </c>
      <c r="BS22" s="1182">
        <f>BO22/$BO$15</f>
        <v>0.99671239022767666</v>
      </c>
      <c r="BT22" s="1182">
        <f ca="1">BP22/$BP$15</f>
        <v>1.4456265765759959</v>
      </c>
      <c r="BU22" s="1180">
        <f t="shared" ca="1" si="23"/>
        <v>37475.15</v>
      </c>
      <c r="BV22" s="1180">
        <f t="shared" si="24"/>
        <v>402006.54000000004</v>
      </c>
      <c r="BW22" s="1180">
        <f t="shared" ca="1" si="25"/>
        <v>42261.15</v>
      </c>
      <c r="BX22" s="1181">
        <f t="shared" ca="1" si="26"/>
        <v>-359745.39</v>
      </c>
      <c r="BY22" s="1182">
        <f ca="1">BU22/$BV$15</f>
        <v>9.2913777797348066E-2</v>
      </c>
      <c r="BZ22" s="1182">
        <f>BV22/$BV$15</f>
        <v>0.99671239022767666</v>
      </c>
      <c r="CA22" s="1182">
        <f ca="1">BW22/$BW$15</f>
        <v>0.95776541686137973</v>
      </c>
      <c r="CB22" s="1180">
        <f ca="1">CB15-CB16-CB17-CB18-CB19+CB20-CB21</f>
        <v>4902</v>
      </c>
      <c r="CC22" s="1180">
        <f>CC15-CC16-CC17-CC18-CC19+CC20-CC21</f>
        <v>82462.880000000005</v>
      </c>
      <c r="CD22" s="1180">
        <f ca="1">CD15-CD16-CD17-CD18-CD19+CD20-CD21</f>
        <v>604</v>
      </c>
      <c r="CE22" s="1181">
        <f t="shared" ca="1" si="27"/>
        <v>-81858.880000000005</v>
      </c>
      <c r="CF22" s="1182">
        <f ca="1">CB22/$CC$15</f>
        <v>5.9249496705621615E-2</v>
      </c>
      <c r="CG22" s="1182">
        <f>CC22/$CC$15</f>
        <v>0.99671239022767666</v>
      </c>
      <c r="CH22" s="1182" t="e">
        <f ca="1">CD22/$CD$15</f>
        <v>#DIV/0!</v>
      </c>
      <c r="CI22" s="1180">
        <f t="shared" ca="1" si="28"/>
        <v>42377.15</v>
      </c>
      <c r="CJ22" s="1180">
        <f t="shared" si="29"/>
        <v>484469.42000000004</v>
      </c>
      <c r="CK22" s="1180">
        <f t="shared" ca="1" si="30"/>
        <v>42865.15</v>
      </c>
      <c r="CL22" s="1181">
        <f t="shared" ca="1" si="31"/>
        <v>-441604.27</v>
      </c>
      <c r="CM22" s="1182">
        <f ca="1">CI22/$CJ$15</f>
        <v>8.7183687398756329E-2</v>
      </c>
      <c r="CN22" s="1182">
        <f>CJ22/$CJ$15</f>
        <v>0.99671239022767666</v>
      </c>
      <c r="CO22" s="1182">
        <f ca="1">CK22/$CK$15</f>
        <v>0.97145388278775113</v>
      </c>
      <c r="CP22" s="1180">
        <f ca="1">CP15-CP16-CP17-CP18-CP19+CP20-CP21</f>
        <v>46480.76</v>
      </c>
      <c r="CQ22" s="1180">
        <f>CQ15-CQ16-CQ17-CQ18-CQ19+CQ20-CQ21</f>
        <v>82462.880000000005</v>
      </c>
      <c r="CR22" s="1180">
        <f ca="1">CR15-CR16-CR17-CR18-CR19+CR20-CR21</f>
        <v>44737.760000000002</v>
      </c>
      <c r="CS22" s="1181">
        <f t="shared" ca="1" si="32"/>
        <v>-37725.120000000003</v>
      </c>
      <c r="CT22" s="1182">
        <f ca="1">CP22/$CQ$15</f>
        <v>0.56180367941550169</v>
      </c>
      <c r="CU22" s="1182">
        <f>CQ22/$CQ$15</f>
        <v>0.99671239022767666</v>
      </c>
      <c r="CV22" s="1182">
        <f ca="1">CR22/$CR$15</f>
        <v>0.86754247467149437</v>
      </c>
      <c r="CW22" s="1180">
        <f t="shared" ca="1" si="33"/>
        <v>88857.91</v>
      </c>
      <c r="CX22" s="1180">
        <f t="shared" si="34"/>
        <v>566932.30000000005</v>
      </c>
      <c r="CY22" s="1180">
        <f t="shared" ca="1" si="35"/>
        <v>87602.91</v>
      </c>
      <c r="CZ22" s="1181">
        <f t="shared" ca="1" si="36"/>
        <v>-479329.39</v>
      </c>
      <c r="DA22" s="1182">
        <f ca="1">CW22/$CX$15</f>
        <v>0.15621932260119201</v>
      </c>
      <c r="DB22" s="1182">
        <f>CX22/$CX$15</f>
        <v>0.99671239022767666</v>
      </c>
      <c r="DC22" s="1182">
        <f ca="1">CY22/$CY$15</f>
        <v>0.91545672248955823</v>
      </c>
      <c r="DD22" s="1180">
        <f ca="1">DD15-DD16-DD17-DD18-DD19+DD20-DD21</f>
        <v>19293.64</v>
      </c>
      <c r="DE22" s="1180">
        <f>DE15-DE16-DE17-DE18-DE19+DE20-DE21</f>
        <v>72155.02</v>
      </c>
      <c r="DF22" s="1180">
        <f ca="1">DF15-DF16-DF17-DF18-DF19+DF20-DF21</f>
        <v>24701.64</v>
      </c>
      <c r="DG22" s="1181">
        <f t="shared" ca="1" si="37"/>
        <v>-47453.380000000005</v>
      </c>
      <c r="DH22" s="1182">
        <f ca="1">DD22/$DE$15</f>
        <v>0.26651243448608719</v>
      </c>
      <c r="DI22" s="1182">
        <f>DE22/$DE$15</f>
        <v>0.99671239022767666</v>
      </c>
      <c r="DJ22" s="1182">
        <f ca="1">DF22/$DF$15</f>
        <v>1.2778444247521172</v>
      </c>
      <c r="DK22" s="1180">
        <f t="shared" ca="1" si="38"/>
        <v>108151.55</v>
      </c>
      <c r="DL22" s="1180">
        <f t="shared" si="39"/>
        <v>639087.32000000007</v>
      </c>
      <c r="DM22" s="1180">
        <f t="shared" ca="1" si="40"/>
        <v>112304.55</v>
      </c>
      <c r="DN22" s="1181">
        <f t="shared" ca="1" si="41"/>
        <v>-526782.77</v>
      </c>
      <c r="DO22" s="1182">
        <f ca="1">DK22/$DL$15</f>
        <v>0.16867177071722855</v>
      </c>
      <c r="DP22" s="1182">
        <f>DL22/$DL$15</f>
        <v>0.99671239022767666</v>
      </c>
      <c r="DQ22" s="1182">
        <f ca="1">DM22/$DM$15</f>
        <v>0.97635898578581493</v>
      </c>
      <c r="DR22" s="1180">
        <f ca="1">DR15-DR16-DR17-DR18-DR19+DR20-DR21</f>
        <v>10717.11</v>
      </c>
      <c r="DS22" s="1180">
        <f>DS15-DS16-DS17-DS18-DS19+DS20-DS21</f>
        <v>103078.6</v>
      </c>
      <c r="DT22" s="1180">
        <f ca="1">DT15-DT16-DT17-DT18-DT19+DT20-DT21</f>
        <v>10717.11</v>
      </c>
      <c r="DU22" s="1181">
        <f t="shared" ca="1" si="42"/>
        <v>-92361.49</v>
      </c>
      <c r="DV22" s="1182">
        <f ca="1">DR22/$DS$15</f>
        <v>0.10362845755018923</v>
      </c>
      <c r="DW22" s="1182">
        <f>DS22/$DS$15</f>
        <v>0.99671239022767666</v>
      </c>
      <c r="DX22" s="1182">
        <f ca="1">DT22/$DT$15</f>
        <v>0.98062200278344824</v>
      </c>
      <c r="DY22" s="1180">
        <f t="shared" ca="1" si="43"/>
        <v>118868.66</v>
      </c>
      <c r="DZ22" s="1180">
        <f t="shared" si="44"/>
        <v>742165.92</v>
      </c>
      <c r="EA22" s="1180">
        <f t="shared" ca="1" si="45"/>
        <v>123021.66</v>
      </c>
      <c r="EB22" s="1181">
        <f t="shared" ca="1" si="46"/>
        <v>-619144.26</v>
      </c>
      <c r="EC22" s="1182">
        <f ca="1">DY22/$DZ$15</f>
        <v>0.15963797722180642</v>
      </c>
      <c r="ED22" s="1182">
        <f>DZ22/$DZ$15</f>
        <v>0.99671239022767666</v>
      </c>
      <c r="EE22" s="1182">
        <f ca="1">EA22/$EA$15</f>
        <v>0.97672888683944248</v>
      </c>
      <c r="EF22" s="1180">
        <f ca="1">EF15-EF16-EF17-EF18-EF19+EF20-EF21</f>
        <v>32620.339999999997</v>
      </c>
      <c r="EG22" s="1180">
        <f>EG15-EG16-EG17-EG18-EG19+EG20-EG21</f>
        <v>103078.6</v>
      </c>
      <c r="EH22" s="1180">
        <f ca="1">EH15-EH16-EH17-EH18-EH19+EH20-EH21</f>
        <v>24708.34</v>
      </c>
      <c r="EI22" s="1181">
        <f t="shared" ca="1" si="47"/>
        <v>-78370.260000000009</v>
      </c>
      <c r="EJ22" s="1182">
        <f ca="1">EF22/$EG$15</f>
        <v>0.31542043694267757</v>
      </c>
      <c r="EK22" s="1182">
        <f>EG22/$EG$15</f>
        <v>0.99671239022767666</v>
      </c>
      <c r="EL22" s="1182">
        <f ca="1">EH22/$EH$15</f>
        <v>0.75514209605588245</v>
      </c>
      <c r="EM22" s="1180">
        <f t="shared" ca="1" si="48"/>
        <v>151489</v>
      </c>
      <c r="EN22" s="1180">
        <f t="shared" si="49"/>
        <v>845244.52</v>
      </c>
      <c r="EO22" s="1180">
        <f t="shared" ca="1" si="50"/>
        <v>147730</v>
      </c>
      <c r="EP22" s="1181">
        <f t="shared" ca="1" si="51"/>
        <v>-697514.52</v>
      </c>
      <c r="EQ22" s="1182">
        <f ca="1">EM22/$EN$15</f>
        <v>0.17863583816337608</v>
      </c>
      <c r="ER22" s="1182">
        <f>EN22/$EN$15</f>
        <v>0.99671239022767666</v>
      </c>
      <c r="ES22" s="1182">
        <f ca="1">EO22/$EO$15</f>
        <v>0.93103520426053998</v>
      </c>
      <c r="ET22" s="1180">
        <f ca="1">ET15-ET16-ET17-ET18-ET19+ET20-ET21</f>
        <v>-316</v>
      </c>
      <c r="EU22" s="1180">
        <f>EU15-EU16-EU17-EU18-EU19+EU20-EU21</f>
        <v>92770.739999999991</v>
      </c>
      <c r="EV22" s="1180">
        <f ca="1">EV15-EV16-EV17-EV18-EV19+EV20-EV21</f>
        <v>7153</v>
      </c>
      <c r="EW22" s="1181">
        <f t="shared" ca="1" si="52"/>
        <v>-85617.739999999991</v>
      </c>
      <c r="EX22" s="1182">
        <f ca="1">ET22/$EU$15</f>
        <v>-3.3950480001770584E-3</v>
      </c>
      <c r="EY22" s="1182">
        <f>EU22/$EU$15</f>
        <v>0.99671239022767666</v>
      </c>
      <c r="EZ22" s="1182">
        <f ca="1">EV22/$EV$15</f>
        <v>-42.076470588235296</v>
      </c>
      <c r="FA22" s="1180">
        <f t="shared" ca="1" si="53"/>
        <v>151173</v>
      </c>
      <c r="FB22" s="1180">
        <f t="shared" si="54"/>
        <v>938015.26</v>
      </c>
      <c r="FC22" s="1180">
        <f t="shared" ca="1" si="55"/>
        <v>154883</v>
      </c>
      <c r="FD22" s="1181">
        <f t="shared" ca="1" si="56"/>
        <v>-783132.26</v>
      </c>
      <c r="FE22" s="1182">
        <f ca="1">FA22/$FB$15</f>
        <v>0.16063278348785984</v>
      </c>
      <c r="FF22" s="1182">
        <f>FB22/$FB$15</f>
        <v>0.99671239022767666</v>
      </c>
      <c r="FG22" s="1182">
        <f ca="1">FC22/$FC$15</f>
        <v>0.97716230194992071</v>
      </c>
      <c r="FH22" s="1180">
        <f ca="1">FH15-FH16-FH17-FH18-FH19+FH20-FH21</f>
        <v>-531</v>
      </c>
      <c r="FI22" s="1180">
        <f>FI15-FI16-FI17-FI18-FI19+FI20-FI21</f>
        <v>92770.739999999991</v>
      </c>
      <c r="FJ22" s="1180">
        <f ca="1">FJ15-FJ16-FJ17-FJ18-FJ19+FJ20-FJ21</f>
        <v>509</v>
      </c>
      <c r="FK22" s="1181">
        <f t="shared" ca="1" si="57"/>
        <v>-92261.739999999991</v>
      </c>
      <c r="FL22" s="1182">
        <f ca="1">FH22/$FI$15</f>
        <v>-5.7049698990317031E-3</v>
      </c>
      <c r="FM22" s="1182">
        <f>FI22/$FI$15</f>
        <v>0.99671239022767666</v>
      </c>
      <c r="FN22" s="1182">
        <f ca="1">FJ22/$FJ$15</f>
        <v>15.90625</v>
      </c>
      <c r="FO22" s="1180">
        <f t="shared" ca="1" si="58"/>
        <v>150642</v>
      </c>
      <c r="FP22" s="1180">
        <f t="shared" si="59"/>
        <v>1030786</v>
      </c>
      <c r="FQ22" s="1180">
        <f t="shared" ca="1" si="60"/>
        <v>155392</v>
      </c>
      <c r="FR22" s="1181">
        <f t="shared" ca="1" si="61"/>
        <v>-875394</v>
      </c>
      <c r="FS22" s="1182">
        <f ca="1">FO22/$FP$15</f>
        <v>0.1456623856830396</v>
      </c>
      <c r="FT22" s="1182">
        <f>FP22/$FP$15</f>
        <v>0.99671239022767666</v>
      </c>
      <c r="FU22" s="1182">
        <f ca="1">FQ22/$FQ$15</f>
        <v>0.98017571405755333</v>
      </c>
      <c r="FV22" s="1171"/>
      <c r="FW22" s="1183">
        <v>0</v>
      </c>
    </row>
    <row r="23" spans="1:179" s="883" customFormat="1" x14ac:dyDescent="0.2">
      <c r="A23" s="1191" t="s">
        <v>253</v>
      </c>
      <c r="B23" s="1192" t="str">
        <f>'Struktur Aktuell'!B108</f>
        <v>Personalkosten</v>
      </c>
      <c r="C23" s="1193">
        <f ca="1">SUM(C24:C28)</f>
        <v>132487.94999999998</v>
      </c>
      <c r="D23" s="1193">
        <f>SUM(D24:D28)</f>
        <v>748277.53333333356</v>
      </c>
      <c r="E23" s="1193">
        <f ca="1">SUM(E24:E28)</f>
        <v>132487.94999999998</v>
      </c>
      <c r="F23" s="1194">
        <f t="shared" ca="1" si="1"/>
        <v>-615789.5833333336</v>
      </c>
      <c r="G23" s="1195">
        <f t="shared" ca="1" si="64"/>
        <v>0.86039047486444187</v>
      </c>
      <c r="H23" s="1195">
        <f t="shared" si="64"/>
        <v>0.72354250911667106</v>
      </c>
      <c r="I23" s="1195">
        <f t="shared" ca="1" si="64"/>
        <v>0.8357024235177577</v>
      </c>
      <c r="J23" s="1193">
        <f ca="1">SUM(J24:J28)</f>
        <v>16736.91</v>
      </c>
      <c r="K23" s="1193">
        <f>SUM(K24:K28)</f>
        <v>63695.419444444444</v>
      </c>
      <c r="L23" s="1193">
        <f ca="1">SUM(L24:L28)</f>
        <v>16736.91</v>
      </c>
      <c r="M23" s="1194">
        <f t="shared" ca="1" si="2"/>
        <v>-46958.50944444444</v>
      </c>
      <c r="N23" s="1195">
        <f t="shared" ca="1" si="65"/>
        <v>1.5310338581949674</v>
      </c>
      <c r="O23" s="1195">
        <f t="shared" si="65"/>
        <v>1.0264984481264241</v>
      </c>
      <c r="P23" s="1195">
        <f t="shared" ca="1" si="65"/>
        <v>1.4954658646487553</v>
      </c>
      <c r="Q23" s="1193">
        <f t="shared" ca="1" si="3"/>
        <v>16736.91</v>
      </c>
      <c r="R23" s="1193">
        <f t="shared" si="4"/>
        <v>63695.419444444444</v>
      </c>
      <c r="S23" s="1193">
        <f t="shared" ca="1" si="5"/>
        <v>16736.91</v>
      </c>
      <c r="T23" s="1194">
        <f t="shared" ca="1" si="6"/>
        <v>-46958.50944444444</v>
      </c>
      <c r="U23" s="1195">
        <f t="shared" ca="1" si="66"/>
        <v>1.5310338581949674</v>
      </c>
      <c r="V23" s="1195">
        <f t="shared" si="66"/>
        <v>1.0264984481264241</v>
      </c>
      <c r="W23" s="1195">
        <f t="shared" ca="1" si="66"/>
        <v>1.4954658646487553</v>
      </c>
      <c r="X23" s="1193">
        <f ca="1">SUM(X24:X28)</f>
        <v>16707.68</v>
      </c>
      <c r="Y23" s="1193">
        <f>SUM(Y24:Y28)</f>
        <v>63695.419444444444</v>
      </c>
      <c r="Z23" s="1193">
        <f ca="1">SUM(Z24:Z28)</f>
        <v>16707.68</v>
      </c>
      <c r="AA23" s="1194">
        <f t="shared" ca="1" si="7"/>
        <v>-46987.739444444444</v>
      </c>
      <c r="AB23" s="1195">
        <f ca="1">X23/$Y$15</f>
        <v>0.20194239720901269</v>
      </c>
      <c r="AC23" s="1195">
        <f>Y23/$Y$15</f>
        <v>0.76987383609481808</v>
      </c>
      <c r="AD23" s="1195">
        <f ca="1">Z23/$Z$15</f>
        <v>1.4065302033480234</v>
      </c>
      <c r="AE23" s="1193">
        <f t="shared" ca="1" si="8"/>
        <v>33444.589999999997</v>
      </c>
      <c r="AF23" s="1193">
        <f t="shared" si="9"/>
        <v>127390.83888888889</v>
      </c>
      <c r="AG23" s="1193">
        <f t="shared" ca="1" si="10"/>
        <v>33444.589999999997</v>
      </c>
      <c r="AH23" s="1194">
        <f t="shared" ca="1" si="11"/>
        <v>-93946.248888888891</v>
      </c>
      <c r="AI23" s="1195">
        <f ca="1">AE23/$AF$15</f>
        <v>0.23099319520031072</v>
      </c>
      <c r="AJ23" s="1195">
        <f>AF23/$AF$15</f>
        <v>0.87985581267979207</v>
      </c>
      <c r="AK23" s="1195">
        <f ca="1">AG23/$AG$15</f>
        <v>1.4496740848237697</v>
      </c>
      <c r="AL23" s="1193">
        <f ca="1">SUM(AL24:AL28)</f>
        <v>500.02</v>
      </c>
      <c r="AM23" s="1193">
        <f>SUM(AM24:AM28)</f>
        <v>63695.419444444444</v>
      </c>
      <c r="AN23" s="1193">
        <f ca="1">SUM(AN24:AN28)</f>
        <v>500.02</v>
      </c>
      <c r="AO23" s="1194">
        <f t="shared" ca="1" si="12"/>
        <v>-63195.399444444447</v>
      </c>
      <c r="AP23" s="1195">
        <f ca="1">AL23/$AM$15</f>
        <v>4.8349136422268331E-3</v>
      </c>
      <c r="AQ23" s="1195">
        <f>AM23/$AM$15</f>
        <v>0.61589906887585444</v>
      </c>
      <c r="AR23" s="1195">
        <f ca="1">AN23/$AN$15</f>
        <v>1.5625624999999999</v>
      </c>
      <c r="AS23" s="1193">
        <f t="shared" ca="1" si="13"/>
        <v>33944.609999999993</v>
      </c>
      <c r="AT23" s="1193">
        <f t="shared" si="14"/>
        <v>191086.25833333333</v>
      </c>
      <c r="AU23" s="1193">
        <f t="shared" ca="1" si="15"/>
        <v>33944.609999999993</v>
      </c>
      <c r="AV23" s="1194">
        <f t="shared" ca="1" si="16"/>
        <v>-157141.64833333335</v>
      </c>
      <c r="AW23" s="1195">
        <f ca="1">AS23/$AT$15</f>
        <v>0.1367605778844424</v>
      </c>
      <c r="AX23" s="1195">
        <f>AT23/$AT$15</f>
        <v>0.76987383609481808</v>
      </c>
      <c r="AY23" s="1195">
        <f ca="1">AU23/$AU$15</f>
        <v>1.4512184903050047</v>
      </c>
      <c r="AZ23" s="1193">
        <f ca="1">SUM(AZ24:AZ28)</f>
        <v>17859.550000000003</v>
      </c>
      <c r="BA23" s="1193">
        <f>SUM(BA24:BA28)</f>
        <v>63695.419444444444</v>
      </c>
      <c r="BB23" s="1193">
        <f ca="1">SUM(BB24:BB28)</f>
        <v>17859.550000000003</v>
      </c>
      <c r="BC23" s="1194">
        <f t="shared" ca="1" si="17"/>
        <v>-45835.869444444441</v>
      </c>
      <c r="BD23" s="1195">
        <f ca="1">AZ23/$BA$15</f>
        <v>0.24670265171973765</v>
      </c>
      <c r="BE23" s="1195">
        <f>BA23/$BA$15</f>
        <v>0.87985581267979207</v>
      </c>
      <c r="BF23" s="1195">
        <f ca="1">BB23/$BB$15</f>
        <v>1.3763302227692065</v>
      </c>
      <c r="BG23" s="1193">
        <f t="shared" ca="1" si="18"/>
        <v>51804.159999999996</v>
      </c>
      <c r="BH23" s="1193">
        <f t="shared" si="19"/>
        <v>254781.67777777778</v>
      </c>
      <c r="BI23" s="1193">
        <f t="shared" ca="1" si="20"/>
        <v>51804.159999999996</v>
      </c>
      <c r="BJ23" s="1194">
        <f t="shared" ca="1" si="21"/>
        <v>-202977.51777777777</v>
      </c>
      <c r="BK23" s="1195">
        <f ca="1">BG23/$BH$15</f>
        <v>0.16158620746015423</v>
      </c>
      <c r="BL23" s="1195">
        <f>BH23/$BH$15</f>
        <v>0.79470847596884442</v>
      </c>
      <c r="BM23" s="1195">
        <f ca="1">BI23/$BI$15</f>
        <v>1.4244971282739145</v>
      </c>
      <c r="BN23" s="1193">
        <f ca="1">SUM(BN24:BN28)</f>
        <v>16386.12</v>
      </c>
      <c r="BO23" s="1193">
        <f>SUM(BO24:BO28)</f>
        <v>67534.481944444444</v>
      </c>
      <c r="BP23" s="1193">
        <f ca="1">SUM(BP24:BP28)</f>
        <v>16386.12</v>
      </c>
      <c r="BQ23" s="1194">
        <f t="shared" ca="1" si="22"/>
        <v>-51148.361944444448</v>
      </c>
      <c r="BR23" s="1195">
        <f ca="1">BN23/$BO$15</f>
        <v>0.19805576559729099</v>
      </c>
      <c r="BS23" s="1195">
        <f>BO23/$BO$15</f>
        <v>0.81627581915202441</v>
      </c>
      <c r="BT23" s="1195">
        <f ca="1">BP23/$BP$15</f>
        <v>2.1121278249470552</v>
      </c>
      <c r="BU23" s="1193">
        <f t="shared" ca="1" si="23"/>
        <v>68190.28</v>
      </c>
      <c r="BV23" s="1193">
        <f t="shared" si="24"/>
        <v>322316.15972222225</v>
      </c>
      <c r="BW23" s="1193">
        <f t="shared" ca="1" si="25"/>
        <v>68190.28</v>
      </c>
      <c r="BX23" s="1194">
        <f t="shared" ca="1" si="26"/>
        <v>-254125.87972222225</v>
      </c>
      <c r="BY23" s="1195">
        <f ca="1">BU23/$BV$15</f>
        <v>0.16906714246264384</v>
      </c>
      <c r="BZ23" s="1195">
        <f>BV23/$BV$15</f>
        <v>0.79913254636539421</v>
      </c>
      <c r="CA23" s="1195">
        <f ca="1">BW23/$BW$15</f>
        <v>1.545397887896903</v>
      </c>
      <c r="CB23" s="1193">
        <f ca="1">SUM(CB24:CB28)</f>
        <v>106.37</v>
      </c>
      <c r="CC23" s="1193">
        <f>SUM(CC24:CC28)</f>
        <v>58798.481944444444</v>
      </c>
      <c r="CD23" s="1193">
        <f ca="1">SUM(CD24:CD28)</f>
        <v>106.37</v>
      </c>
      <c r="CE23" s="1194">
        <f t="shared" ca="1" si="27"/>
        <v>-58692.111944444441</v>
      </c>
      <c r="CF23" s="1195">
        <f ca="1">CB23/$CC$15</f>
        <v>1.2856729833898351E-3</v>
      </c>
      <c r="CG23" s="1195">
        <f>CC23/$CC$15</f>
        <v>0.71068552881740377</v>
      </c>
      <c r="CH23" s="1195" t="e">
        <f ca="1">CD23/$CD$15</f>
        <v>#DIV/0!</v>
      </c>
      <c r="CI23" s="1193">
        <f t="shared" ca="1" si="28"/>
        <v>68296.649999999994</v>
      </c>
      <c r="CJ23" s="1193">
        <f t="shared" si="29"/>
        <v>381114.64166666672</v>
      </c>
      <c r="CK23" s="1193">
        <f t="shared" ca="1" si="30"/>
        <v>68296.649999999994</v>
      </c>
      <c r="CL23" s="1194">
        <f t="shared" ca="1" si="31"/>
        <v>-312817.9916666667</v>
      </c>
      <c r="CM23" s="1195">
        <f ca="1">CI23/$CJ$15</f>
        <v>0.14050859446617506</v>
      </c>
      <c r="CN23" s="1195">
        <f>CJ23/$CJ$15</f>
        <v>0.78407773486786403</v>
      </c>
      <c r="CO23" s="1195">
        <f ca="1">CK23/$CK$15</f>
        <v>1.5478085536594659</v>
      </c>
      <c r="CP23" s="1193">
        <f ca="1">SUM(CP24:CP28)</f>
        <v>18197.36</v>
      </c>
      <c r="CQ23" s="1193">
        <f>SUM(CQ24:CQ28)</f>
        <v>58798.481944444444</v>
      </c>
      <c r="CR23" s="1193">
        <f ca="1">SUM(CR24:CR28)</f>
        <v>18197.36</v>
      </c>
      <c r="CS23" s="1194">
        <f t="shared" ca="1" si="32"/>
        <v>-40601.121944444443</v>
      </c>
      <c r="CT23" s="1195">
        <f ca="1">CP23/$CQ$15</f>
        <v>0.21994786237678715</v>
      </c>
      <c r="CU23" s="1195">
        <f>CQ23/$CQ$15</f>
        <v>0.71068552881740377</v>
      </c>
      <c r="CV23" s="1195">
        <f ca="1">CR23/$CR$15</f>
        <v>0.35287825601657447</v>
      </c>
      <c r="CW23" s="1193">
        <f t="shared" ca="1" si="33"/>
        <v>86494.01</v>
      </c>
      <c r="CX23" s="1193">
        <f t="shared" si="34"/>
        <v>439913.12361111119</v>
      </c>
      <c r="CY23" s="1193">
        <f t="shared" ca="1" si="35"/>
        <v>86494.01</v>
      </c>
      <c r="CZ23" s="1194">
        <f t="shared" ca="1" si="36"/>
        <v>-353419.11361111118</v>
      </c>
      <c r="DA23" s="1195">
        <f ca="1">CW23/$CX$15</f>
        <v>0.15206339707135499</v>
      </c>
      <c r="DB23" s="1195">
        <f>CX23/$CX$15</f>
        <v>0.773402504896888</v>
      </c>
      <c r="DC23" s="1195">
        <f ca="1">CY23/$CY$15</f>
        <v>0.90386863757812463</v>
      </c>
      <c r="DD23" s="1193">
        <f ca="1">SUM(DD24:DD28)</f>
        <v>14484.689999999999</v>
      </c>
      <c r="DE23" s="1193">
        <f>SUM(DE24:DE28)</f>
        <v>61672.881944444445</v>
      </c>
      <c r="DF23" s="1193">
        <f ca="1">SUM(DF24:DF28)</f>
        <v>14484.689999999999</v>
      </c>
      <c r="DG23" s="1194">
        <f t="shared" ca="1" si="37"/>
        <v>-47188.19194444445</v>
      </c>
      <c r="DH23" s="1195">
        <f ca="1">DD23/$DE$15</f>
        <v>0.20008406887846367</v>
      </c>
      <c r="DI23" s="1195">
        <f>DE23/$DE$15</f>
        <v>0.85191751835252127</v>
      </c>
      <c r="DJ23" s="1195">
        <f ca="1">DF23/$DF$15</f>
        <v>0.74930977703353885</v>
      </c>
      <c r="DK23" s="1193">
        <f t="shared" ca="1" si="38"/>
        <v>100978.7</v>
      </c>
      <c r="DL23" s="1193">
        <f t="shared" si="39"/>
        <v>501586.00555555563</v>
      </c>
      <c r="DM23" s="1193">
        <f t="shared" ca="1" si="40"/>
        <v>100978.7</v>
      </c>
      <c r="DN23" s="1194">
        <f t="shared" ca="1" si="41"/>
        <v>-400607.30555555562</v>
      </c>
      <c r="DO23" s="1195">
        <f ca="1">DK23/$DL$15</f>
        <v>0.15748508582377049</v>
      </c>
      <c r="DP23" s="1195">
        <f>DL23/$DL$15</f>
        <v>0.78226710319026593</v>
      </c>
      <c r="DQ23" s="1195">
        <f ca="1">DM23/$DM$15</f>
        <v>0.87789373732382225</v>
      </c>
      <c r="DR23" s="1193">
        <f ca="1">SUM(DR24:DR28)</f>
        <v>15727.039999999999</v>
      </c>
      <c r="DS23" s="1193">
        <f>SUM(DS24:DS28)</f>
        <v>61672.881944444445</v>
      </c>
      <c r="DT23" s="1193">
        <f ca="1">SUM(DT24:DT28)</f>
        <v>15727.039999999999</v>
      </c>
      <c r="DU23" s="1194">
        <f t="shared" ca="1" si="42"/>
        <v>-45945.841944444444</v>
      </c>
      <c r="DV23" s="1195">
        <f ca="1">DR23/$DS$15</f>
        <v>0.15207167762858903</v>
      </c>
      <c r="DW23" s="1195">
        <f>DS23/$DS$15</f>
        <v>0.59634226284676495</v>
      </c>
      <c r="DX23" s="1195">
        <f ca="1">DT23/$DT$15</f>
        <v>1.4390336072556313</v>
      </c>
      <c r="DY23" s="1193">
        <f t="shared" ca="1" si="43"/>
        <v>116705.73999999999</v>
      </c>
      <c r="DZ23" s="1193">
        <f t="shared" si="44"/>
        <v>563258.88750000007</v>
      </c>
      <c r="EA23" s="1193">
        <f t="shared" ca="1" si="45"/>
        <v>116705.73999999999</v>
      </c>
      <c r="EB23" s="1194">
        <f t="shared" ca="1" si="46"/>
        <v>-446553.14750000008</v>
      </c>
      <c r="EC23" s="1195">
        <f ca="1">DY23/$DZ$15</f>
        <v>0.15673322357443972</v>
      </c>
      <c r="ED23" s="1195">
        <f>DZ23/$DZ$15</f>
        <v>0.75644420869811302</v>
      </c>
      <c r="EE23" s="1195">
        <f ca="1">EA23/$EA$15</f>
        <v>0.92658372125667454</v>
      </c>
      <c r="EF23" s="1193">
        <f ca="1">SUM(EF24:EF28)</f>
        <v>15782.21</v>
      </c>
      <c r="EG23" s="1193">
        <f>SUM(EG24:EG28)</f>
        <v>61672.881944444445</v>
      </c>
      <c r="EH23" s="1193">
        <f ca="1">SUM(EH24:EH28)</f>
        <v>15782.21</v>
      </c>
      <c r="EI23" s="1194">
        <f t="shared" ca="1" si="47"/>
        <v>-45890.671944444446</v>
      </c>
      <c r="EJ23" s="1195">
        <f ca="1">EF23/$EG$15</f>
        <v>0.15260514066135103</v>
      </c>
      <c r="EK23" s="1195">
        <f>EG23/$EG$15</f>
        <v>0.59634226284676495</v>
      </c>
      <c r="EL23" s="1195">
        <f ca="1">EH23/$EH$15</f>
        <v>0.48233961244640911</v>
      </c>
      <c r="EM23" s="1193">
        <f t="shared" ca="1" si="48"/>
        <v>132487.94999999998</v>
      </c>
      <c r="EN23" s="1193">
        <f t="shared" si="49"/>
        <v>624931.76944444457</v>
      </c>
      <c r="EO23" s="1193">
        <f t="shared" ca="1" si="50"/>
        <v>132487.94999999998</v>
      </c>
      <c r="EP23" s="1194">
        <f t="shared" ca="1" si="51"/>
        <v>-492443.81944444461</v>
      </c>
      <c r="EQ23" s="1195">
        <f ca="1">EM23/$EN$15</f>
        <v>0.15622979882894111</v>
      </c>
      <c r="ER23" s="1195">
        <f>EN23/$EN$15</f>
        <v>0.73691958115526579</v>
      </c>
      <c r="ES23" s="1195">
        <f ca="1">EO23/$EO$15</f>
        <v>0.83497560136945903</v>
      </c>
      <c r="ET23" s="1193">
        <f ca="1">SUM(ET24:ET28)</f>
        <v>0</v>
      </c>
      <c r="EU23" s="1193">
        <f>SUM(EU24:EU28)</f>
        <v>61672.881944444445</v>
      </c>
      <c r="EV23" s="1193">
        <f ca="1">SUM(EV24:EV28)</f>
        <v>0</v>
      </c>
      <c r="EW23" s="1194">
        <f t="shared" ca="1" si="52"/>
        <v>-61672.881944444445</v>
      </c>
      <c r="EX23" s="1195">
        <f ca="1">ET23/$EU$15</f>
        <v>0</v>
      </c>
      <c r="EY23" s="1195">
        <f>EU23/$EU$15</f>
        <v>0.66260251427418337</v>
      </c>
      <c r="EZ23" s="1195">
        <f ca="1">EV23/$EV$15</f>
        <v>0</v>
      </c>
      <c r="FA23" s="1193">
        <f t="shared" ca="1" si="53"/>
        <v>132487.94999999998</v>
      </c>
      <c r="FB23" s="1193">
        <f t="shared" si="54"/>
        <v>686604.65138888906</v>
      </c>
      <c r="FC23" s="1193">
        <f t="shared" ca="1" si="55"/>
        <v>132487.94999999998</v>
      </c>
      <c r="FD23" s="1194">
        <f t="shared" ca="1" si="56"/>
        <v>-554116.70138888911</v>
      </c>
      <c r="FE23" s="1195">
        <f ca="1">FA23/$FB$15</f>
        <v>0.14077850004366121</v>
      </c>
      <c r="FF23" s="1195">
        <f>FB23/$FB$15</f>
        <v>0.72956954157362031</v>
      </c>
      <c r="FG23" s="1195">
        <f ca="1">FC23/$FC$15</f>
        <v>0.83587114275050189</v>
      </c>
      <c r="FH23" s="1193">
        <f ca="1">SUM(FH24:FH28)</f>
        <v>0</v>
      </c>
      <c r="FI23" s="1193">
        <f>SUM(FI24:FI28)</f>
        <v>61672.881944444445</v>
      </c>
      <c r="FJ23" s="1193">
        <f ca="1">SUM(FJ24:FJ28)</f>
        <v>0</v>
      </c>
      <c r="FK23" s="1194">
        <f t="shared" ca="1" si="57"/>
        <v>-61672.881944444445</v>
      </c>
      <c r="FL23" s="1195">
        <f ca="1">FH23/$FI$15</f>
        <v>0</v>
      </c>
      <c r="FM23" s="1195">
        <f>FI23/$FI$15</f>
        <v>0.66260251427418337</v>
      </c>
      <c r="FN23" s="1195">
        <f ca="1">FJ23/$FJ$15</f>
        <v>0</v>
      </c>
      <c r="FO23" s="1193">
        <f t="shared" ca="1" si="58"/>
        <v>132487.94999999998</v>
      </c>
      <c r="FP23" s="1193">
        <f t="shared" si="59"/>
        <v>748277.53333333356</v>
      </c>
      <c r="FQ23" s="1193">
        <f t="shared" ca="1" si="60"/>
        <v>132487.94999999998</v>
      </c>
      <c r="FR23" s="1194">
        <f t="shared" ca="1" si="61"/>
        <v>-615789.5833333336</v>
      </c>
      <c r="FS23" s="1195">
        <f ca="1">FO23/$FP$15</f>
        <v>0.12810843503973171</v>
      </c>
      <c r="FT23" s="1195">
        <f>FP23/$FP$15</f>
        <v>0.72354250911667106</v>
      </c>
      <c r="FU23" s="1195">
        <f ca="1">FQ23/$FQ$15</f>
        <v>0.8357024235177577</v>
      </c>
      <c r="FV23" s="1171"/>
      <c r="FW23" s="1196">
        <v>0</v>
      </c>
    </row>
    <row r="24" spans="1:179" s="883" customFormat="1" x14ac:dyDescent="0.2">
      <c r="A24" s="1160">
        <v>10</v>
      </c>
      <c r="B24" s="1160" t="str">
        <f>'Struktur Aktuell'!B109</f>
        <v>Löhne und Gehälter</v>
      </c>
      <c r="C24" s="1173">
        <f t="shared" ref="C24:E28" ca="1" si="67">J24+X24+AL24+AZ24+BN24+CB24+CP24+DD24+DR24+EF24+ET24+FH24</f>
        <v>108517.84999999999</v>
      </c>
      <c r="D24" s="1174">
        <f t="shared" si="67"/>
        <v>748277.53333333356</v>
      </c>
      <c r="E24" s="1187">
        <f t="shared" ca="1" si="67"/>
        <v>108517.84999999999</v>
      </c>
      <c r="F24" s="1169">
        <f t="shared" ca="1" si="1"/>
        <v>-639759.68333333358</v>
      </c>
      <c r="G24" s="1170"/>
      <c r="H24" s="1170"/>
      <c r="I24" s="1170"/>
      <c r="J24" s="1173">
        <f ca="1">SUMIF('Struktur Vorjahr'!$A:$A,'Planzahlen Rentabilität'!$A24,'Struktur Vorjahr'!G:G)</f>
        <v>14169.970000000001</v>
      </c>
      <c r="K24" s="1174">
        <f>Monatsplanung!$W$108-'Planzahlen Liquidität'!K29</f>
        <v>63695.419444444444</v>
      </c>
      <c r="L24" s="1187">
        <f ca="1">SUMIF('Struktur Aktuell'!$A:$A,'Planzahlen Rentabilität'!$A24,'Struktur Aktuell'!G:G)</f>
        <v>14169.970000000001</v>
      </c>
      <c r="M24" s="1169">
        <f t="shared" ca="1" si="2"/>
        <v>-49525.449444444443</v>
      </c>
      <c r="N24" s="1170"/>
      <c r="O24" s="1170"/>
      <c r="P24" s="1170"/>
      <c r="Q24" s="1173">
        <f t="shared" ca="1" si="3"/>
        <v>14169.970000000001</v>
      </c>
      <c r="R24" s="1174">
        <f t="shared" si="4"/>
        <v>63695.419444444444</v>
      </c>
      <c r="S24" s="1187">
        <f t="shared" ca="1" si="5"/>
        <v>14169.970000000001</v>
      </c>
      <c r="T24" s="1169">
        <f t="shared" ca="1" si="6"/>
        <v>-49525.449444444443</v>
      </c>
      <c r="U24" s="1170"/>
      <c r="V24" s="1170"/>
      <c r="W24" s="1170"/>
      <c r="X24" s="1173">
        <f ca="1">SUMIF('Struktur Vorjahr'!$A:$A,'Planzahlen Rentabilität'!$A24,'Struktur Vorjahr'!H:H)</f>
        <v>14169.970000000001</v>
      </c>
      <c r="Y24" s="1174">
        <f>Monatsplanung!$X$108-'Planzahlen Liquidität'!Y29</f>
        <v>63695.419444444444</v>
      </c>
      <c r="Z24" s="1187">
        <f ca="1">SUMIF('Struktur Aktuell'!$A:$A,'Planzahlen Rentabilität'!$A24,'Struktur Aktuell'!H:H)</f>
        <v>14169.970000000001</v>
      </c>
      <c r="AA24" s="1169">
        <f t="shared" ca="1" si="7"/>
        <v>-49525.449444444443</v>
      </c>
      <c r="AB24" s="1170"/>
      <c r="AC24" s="1170"/>
      <c r="AD24" s="1170"/>
      <c r="AE24" s="1173">
        <f t="shared" ca="1" si="8"/>
        <v>28339.940000000002</v>
      </c>
      <c r="AF24" s="1174">
        <f t="shared" si="9"/>
        <v>127390.83888888889</v>
      </c>
      <c r="AG24" s="1187">
        <f t="shared" ca="1" si="10"/>
        <v>28339.940000000002</v>
      </c>
      <c r="AH24" s="1169">
        <f t="shared" ca="1" si="11"/>
        <v>-99050.898888888885</v>
      </c>
      <c r="AI24" s="1170"/>
      <c r="AJ24" s="1170"/>
      <c r="AK24" s="1170"/>
      <c r="AL24" s="1173">
        <v>0</v>
      </c>
      <c r="AM24" s="1174">
        <f>Monatsplanung!$Y$108-'Planzahlen Liquidität'!AM29</f>
        <v>63695.419444444444</v>
      </c>
      <c r="AN24" s="1187">
        <v>0</v>
      </c>
      <c r="AO24" s="1169">
        <f t="shared" si="12"/>
        <v>-63695.419444444444</v>
      </c>
      <c r="AP24" s="1170"/>
      <c r="AQ24" s="1170"/>
      <c r="AR24" s="1170"/>
      <c r="AS24" s="1173">
        <f t="shared" ca="1" si="13"/>
        <v>28339.940000000002</v>
      </c>
      <c r="AT24" s="1174">
        <f t="shared" si="14"/>
        <v>191086.25833333333</v>
      </c>
      <c r="AU24" s="1187">
        <f t="shared" ca="1" si="15"/>
        <v>28339.940000000002</v>
      </c>
      <c r="AV24" s="1169">
        <f t="shared" ca="1" si="16"/>
        <v>-162746.31833333333</v>
      </c>
      <c r="AW24" s="1170"/>
      <c r="AX24" s="1170"/>
      <c r="AY24" s="1170"/>
      <c r="AZ24" s="1173">
        <f ca="1">SUMIF('Struktur Vorjahr'!$A:$A,'Planzahlen Rentabilität'!$A24,'Struktur Vorjahr'!J:J)</f>
        <v>14893.350000000002</v>
      </c>
      <c r="BA24" s="1174">
        <f>Monatsplanung!$Z$108-'Planzahlen Liquidität'!BA29</f>
        <v>63695.419444444444</v>
      </c>
      <c r="BB24" s="1187">
        <f ca="1">SUMIF('Struktur Aktuell'!$A:$A,'Planzahlen Rentabilität'!$A24,'Struktur Aktuell'!J:J)</f>
        <v>14893.350000000002</v>
      </c>
      <c r="BC24" s="1169">
        <f t="shared" ca="1" si="17"/>
        <v>-48802.069444444438</v>
      </c>
      <c r="BD24" s="1170"/>
      <c r="BE24" s="1170"/>
      <c r="BF24" s="1170"/>
      <c r="BG24" s="1173">
        <f t="shared" ca="1" si="18"/>
        <v>43233.290000000008</v>
      </c>
      <c r="BH24" s="1174">
        <f t="shared" si="19"/>
        <v>254781.67777777778</v>
      </c>
      <c r="BI24" s="1187">
        <f t="shared" ca="1" si="20"/>
        <v>43233.290000000008</v>
      </c>
      <c r="BJ24" s="1169">
        <f t="shared" ca="1" si="21"/>
        <v>-211548.38777777777</v>
      </c>
      <c r="BK24" s="1170"/>
      <c r="BL24" s="1170"/>
      <c r="BM24" s="1170"/>
      <c r="BN24" s="1173">
        <f ca="1">SUMIF('Struktur Vorjahr'!$A:$A,'Planzahlen Rentabilität'!$A24,'Struktur Vorjahr'!K:K)</f>
        <v>13888.02</v>
      </c>
      <c r="BO24" s="1174">
        <f>Monatsplanung!$AA$108-'Planzahlen Liquidität'!BO29</f>
        <v>67534.481944444444</v>
      </c>
      <c r="BP24" s="1187">
        <f ca="1">SUMIF('Struktur Aktuell'!$A:$A,'Planzahlen Rentabilität'!$A24,'Struktur Aktuell'!K:K)</f>
        <v>13888.02</v>
      </c>
      <c r="BQ24" s="1169">
        <f t="shared" ca="1" si="22"/>
        <v>-53646.46194444444</v>
      </c>
      <c r="BR24" s="1170"/>
      <c r="BS24" s="1170"/>
      <c r="BT24" s="1170"/>
      <c r="BU24" s="1173">
        <f t="shared" ca="1" si="23"/>
        <v>57121.310000000012</v>
      </c>
      <c r="BV24" s="1174">
        <f t="shared" si="24"/>
        <v>322316.15972222225</v>
      </c>
      <c r="BW24" s="1187">
        <f t="shared" ca="1" si="25"/>
        <v>57121.310000000012</v>
      </c>
      <c r="BX24" s="1169">
        <f t="shared" ca="1" si="26"/>
        <v>-265194.84972222225</v>
      </c>
      <c r="BY24" s="1170"/>
      <c r="BZ24" s="1170"/>
      <c r="CA24" s="1170"/>
      <c r="CB24" s="1173">
        <v>0</v>
      </c>
      <c r="CC24" s="1174">
        <f>Monatsplanung!$AB$108-'Planzahlen Liquidität'!CC29</f>
        <v>58798.481944444444</v>
      </c>
      <c r="CD24" s="1187">
        <v>0</v>
      </c>
      <c r="CE24" s="1169">
        <f t="shared" si="27"/>
        <v>-58798.481944444444</v>
      </c>
      <c r="CF24" s="1170"/>
      <c r="CG24" s="1170"/>
      <c r="CH24" s="1170"/>
      <c r="CI24" s="1173">
        <f t="shared" ca="1" si="28"/>
        <v>57121.310000000012</v>
      </c>
      <c r="CJ24" s="1174">
        <f t="shared" si="29"/>
        <v>381114.64166666672</v>
      </c>
      <c r="CK24" s="1187">
        <f t="shared" ca="1" si="30"/>
        <v>57121.310000000012</v>
      </c>
      <c r="CL24" s="1169">
        <f t="shared" ca="1" si="31"/>
        <v>-323993.33166666672</v>
      </c>
      <c r="CM24" s="1170"/>
      <c r="CN24" s="1170"/>
      <c r="CO24" s="1170"/>
      <c r="CP24" s="1173">
        <f ca="1">SUMIF('Struktur Vorjahr'!$A:$A,'Planzahlen Rentabilität'!$A24,'Struktur Vorjahr'!M:M)</f>
        <v>12716.759999999998</v>
      </c>
      <c r="CQ24" s="1174">
        <f>Monatsplanung!$AC$108-'Planzahlen Liquidität'!CQ29</f>
        <v>58798.481944444444</v>
      </c>
      <c r="CR24" s="1187">
        <f ca="1">SUMIF('Struktur Aktuell'!$A:$A,'Planzahlen Rentabilität'!$A24,'Struktur Aktuell'!M:M)</f>
        <v>12716.759999999998</v>
      </c>
      <c r="CS24" s="1169">
        <f t="shared" ca="1" si="32"/>
        <v>-46081.721944444449</v>
      </c>
      <c r="CT24" s="1170"/>
      <c r="CU24" s="1170"/>
      <c r="CV24" s="1170"/>
      <c r="CW24" s="1173">
        <f t="shared" ca="1" si="33"/>
        <v>69838.070000000007</v>
      </c>
      <c r="CX24" s="1174">
        <f t="shared" si="34"/>
        <v>439913.12361111119</v>
      </c>
      <c r="CY24" s="1187">
        <f t="shared" ca="1" si="35"/>
        <v>69838.070000000007</v>
      </c>
      <c r="CZ24" s="1169">
        <f t="shared" ca="1" si="36"/>
        <v>-370075.05361111119</v>
      </c>
      <c r="DA24" s="1170"/>
      <c r="DB24" s="1170"/>
      <c r="DC24" s="1170"/>
      <c r="DD24" s="1173">
        <f ca="1">SUMIF('Struktur Vorjahr'!$A:$A,'Planzahlen Rentabilität'!$A24,'Struktur Vorjahr'!N:N)</f>
        <v>12313.259999999998</v>
      </c>
      <c r="DE24" s="1174">
        <f>Monatsplanung!$AD$108-'Planzahlen Liquidität'!DE29</f>
        <v>61672.881944444445</v>
      </c>
      <c r="DF24" s="1187">
        <f ca="1">SUMIF('Struktur Aktuell'!$A:$A,'Planzahlen Rentabilität'!$A24,'Struktur Aktuell'!N:N)</f>
        <v>12313.259999999998</v>
      </c>
      <c r="DG24" s="1169">
        <f t="shared" ca="1" si="37"/>
        <v>-49359.621944444443</v>
      </c>
      <c r="DH24" s="1170"/>
      <c r="DI24" s="1170"/>
      <c r="DJ24" s="1170"/>
      <c r="DK24" s="1173">
        <f t="shared" ca="1" si="38"/>
        <v>82151.33</v>
      </c>
      <c r="DL24" s="1174">
        <f t="shared" si="39"/>
        <v>501586.00555555563</v>
      </c>
      <c r="DM24" s="1187">
        <f t="shared" ca="1" si="40"/>
        <v>82151.33</v>
      </c>
      <c r="DN24" s="1169">
        <f t="shared" ca="1" si="41"/>
        <v>-419434.67555555562</v>
      </c>
      <c r="DO24" s="1170"/>
      <c r="DP24" s="1170"/>
      <c r="DQ24" s="1170"/>
      <c r="DR24" s="1173">
        <f ca="1">SUMIF('Struktur Vorjahr'!$A:$A,'Planzahlen Rentabilität'!$A24,'Struktur Vorjahr'!O:O)</f>
        <v>13213.259999999998</v>
      </c>
      <c r="DS24" s="1174">
        <f>Monatsplanung!$AE$108-'Planzahlen Liquidität'!DS29</f>
        <v>61672.881944444445</v>
      </c>
      <c r="DT24" s="1187">
        <f ca="1">SUMIF('Struktur Aktuell'!$A:$A,'Planzahlen Rentabilität'!$A24,'Struktur Aktuell'!O:O)</f>
        <v>13213.259999999998</v>
      </c>
      <c r="DU24" s="1169">
        <f t="shared" ca="1" si="42"/>
        <v>-48459.621944444443</v>
      </c>
      <c r="DV24" s="1170"/>
      <c r="DW24" s="1170"/>
      <c r="DX24" s="1170"/>
      <c r="DY24" s="1173">
        <f t="shared" ca="1" si="43"/>
        <v>95364.59</v>
      </c>
      <c r="DZ24" s="1174">
        <f t="shared" si="44"/>
        <v>563258.88750000007</v>
      </c>
      <c r="EA24" s="1187">
        <f t="shared" ca="1" si="45"/>
        <v>95364.59</v>
      </c>
      <c r="EB24" s="1169">
        <f t="shared" ca="1" si="46"/>
        <v>-467894.2975000001</v>
      </c>
      <c r="EC24" s="1170"/>
      <c r="ED24" s="1170"/>
      <c r="EE24" s="1170"/>
      <c r="EF24" s="1173">
        <f ca="1">SUMIF('Struktur Vorjahr'!$A:$A,'Planzahlen Rentabilität'!$A24,'Struktur Vorjahr'!P:P)</f>
        <v>13153.259999999998</v>
      </c>
      <c r="EG24" s="1174">
        <f>Monatsplanung!$AF$108-'Planzahlen Liquidität'!EG29</f>
        <v>61672.881944444445</v>
      </c>
      <c r="EH24" s="1187">
        <f ca="1">SUMIF('Struktur Aktuell'!$A:$A,'Planzahlen Rentabilität'!$A24,'Struktur Aktuell'!P:P)</f>
        <v>13153.259999999998</v>
      </c>
      <c r="EI24" s="1169">
        <f t="shared" ca="1" si="47"/>
        <v>-48519.621944444443</v>
      </c>
      <c r="EJ24" s="1170"/>
      <c r="EK24" s="1170"/>
      <c r="EL24" s="1170"/>
      <c r="EM24" s="1173">
        <f t="shared" ca="1" si="48"/>
        <v>108517.84999999999</v>
      </c>
      <c r="EN24" s="1174">
        <f t="shared" si="49"/>
        <v>624931.76944444457</v>
      </c>
      <c r="EO24" s="1187">
        <f t="shared" ca="1" si="50"/>
        <v>108517.84999999999</v>
      </c>
      <c r="EP24" s="1169">
        <f t="shared" ca="1" si="51"/>
        <v>-516413.91944444459</v>
      </c>
      <c r="EQ24" s="1170"/>
      <c r="ER24" s="1170"/>
      <c r="ES24" s="1170"/>
      <c r="ET24" s="1173">
        <f ca="1">SUMIF('Struktur Vorjahr'!$A:$A,'Planzahlen Rentabilität'!$A24,'Struktur Vorjahr'!Q:Q)</f>
        <v>0</v>
      </c>
      <c r="EU24" s="1174">
        <f>Monatsplanung!$AG$108-'Planzahlen Liquidität'!EU29</f>
        <v>61672.881944444445</v>
      </c>
      <c r="EV24" s="1187">
        <f ca="1">SUMIF('Struktur Aktuell'!$A:$A,'Planzahlen Rentabilität'!$A24,'Struktur Aktuell'!Q:Q)</f>
        <v>0</v>
      </c>
      <c r="EW24" s="1169">
        <f t="shared" ca="1" si="52"/>
        <v>-61672.881944444445</v>
      </c>
      <c r="EX24" s="1170"/>
      <c r="EY24" s="1170"/>
      <c r="EZ24" s="1170"/>
      <c r="FA24" s="1173">
        <f t="shared" ca="1" si="53"/>
        <v>108517.84999999999</v>
      </c>
      <c r="FB24" s="1174">
        <f t="shared" si="54"/>
        <v>686604.65138888906</v>
      </c>
      <c r="FC24" s="1187">
        <f t="shared" ca="1" si="55"/>
        <v>108517.84999999999</v>
      </c>
      <c r="FD24" s="1169">
        <f t="shared" ca="1" si="56"/>
        <v>-578086.80138888909</v>
      </c>
      <c r="FE24" s="1170"/>
      <c r="FF24" s="1170"/>
      <c r="FG24" s="1170"/>
      <c r="FH24" s="1173">
        <f ca="1">SUMIF('Struktur Vorjahr'!$A:$A,'Planzahlen Rentabilität'!$A24,'Struktur Vorjahr'!R:R)</f>
        <v>0</v>
      </c>
      <c r="FI24" s="1174">
        <f>Monatsplanung!$AH$108-'Planzahlen Liquidität'!FI29</f>
        <v>61672.881944444445</v>
      </c>
      <c r="FJ24" s="1187">
        <f ca="1">SUMIF('Struktur Aktuell'!$A:$A,'Planzahlen Rentabilität'!$A24,'Struktur Aktuell'!R:R)</f>
        <v>0</v>
      </c>
      <c r="FK24" s="1169">
        <f t="shared" ca="1" si="57"/>
        <v>-61672.881944444445</v>
      </c>
      <c r="FL24" s="1170"/>
      <c r="FM24" s="1170"/>
      <c r="FN24" s="1170"/>
      <c r="FO24" s="1173">
        <f t="shared" ca="1" si="58"/>
        <v>108517.84999999999</v>
      </c>
      <c r="FP24" s="1174">
        <f t="shared" si="59"/>
        <v>748277.53333333356</v>
      </c>
      <c r="FQ24" s="1187">
        <f t="shared" ca="1" si="60"/>
        <v>108517.84999999999</v>
      </c>
      <c r="FR24" s="1169">
        <f t="shared" ca="1" si="61"/>
        <v>-639759.68333333358</v>
      </c>
      <c r="FS24" s="1170"/>
      <c r="FT24" s="1170"/>
      <c r="FU24" s="1170"/>
      <c r="FV24" s="1171"/>
      <c r="FW24" s="1169">
        <v>0</v>
      </c>
    </row>
    <row r="25" spans="1:179" s="883" customFormat="1" outlineLevel="1" x14ac:dyDescent="0.2">
      <c r="A25" s="1160">
        <v>11</v>
      </c>
      <c r="B25" s="1160" t="str">
        <f>'Struktur Aktuell'!B127</f>
        <v>Gesetzl. Sozialaufwendungen + Beitr. zur s. A.</v>
      </c>
      <c r="C25" s="1173">
        <f t="shared" ca="1" si="67"/>
        <v>21938.480000000003</v>
      </c>
      <c r="D25" s="1174">
        <f t="shared" si="67"/>
        <v>0</v>
      </c>
      <c r="E25" s="1175">
        <f t="shared" ca="1" si="67"/>
        <v>21938.480000000003</v>
      </c>
      <c r="F25" s="1169">
        <f t="shared" ca="1" si="1"/>
        <v>21938.480000000003</v>
      </c>
      <c r="G25" s="1170"/>
      <c r="H25" s="1170"/>
      <c r="I25" s="1170"/>
      <c r="J25" s="1173">
        <f ca="1">SUMIF('Struktur Vorjahr'!$A:$A,'Planzahlen Rentabilität'!$A25,'Struktur Vorjahr'!G:G)</f>
        <v>2537.67</v>
      </c>
      <c r="K25" s="1174"/>
      <c r="L25" s="1175">
        <f ca="1">SUMIF('Struktur Aktuell'!$A:$A,'Planzahlen Rentabilität'!$A25,'Struktur Aktuell'!G:G)</f>
        <v>2537.67</v>
      </c>
      <c r="M25" s="1169">
        <f t="shared" ca="1" si="2"/>
        <v>2537.67</v>
      </c>
      <c r="N25" s="1170"/>
      <c r="O25" s="1170"/>
      <c r="P25" s="1170"/>
      <c r="Q25" s="1173">
        <f t="shared" ca="1" si="3"/>
        <v>2537.67</v>
      </c>
      <c r="R25" s="1174">
        <f t="shared" si="4"/>
        <v>0</v>
      </c>
      <c r="S25" s="1175">
        <f t="shared" ca="1" si="5"/>
        <v>2537.67</v>
      </c>
      <c r="T25" s="1169">
        <f t="shared" ca="1" si="6"/>
        <v>2537.67</v>
      </c>
      <c r="U25" s="1170"/>
      <c r="V25" s="1170"/>
      <c r="W25" s="1170"/>
      <c r="X25" s="1173">
        <f ca="1">SUMIF('Struktur Vorjahr'!$A:$A,'Planzahlen Rentabilität'!$A25,'Struktur Vorjahr'!H:H)</f>
        <v>2527.3399999999997</v>
      </c>
      <c r="Y25" s="1174">
        <f>K25</f>
        <v>0</v>
      </c>
      <c r="Z25" s="1175">
        <f ca="1">SUMIF('Struktur Aktuell'!$A:$A,'Planzahlen Rentabilität'!$A25,'Struktur Aktuell'!H:H)</f>
        <v>2527.3399999999997</v>
      </c>
      <c r="AA25" s="1169">
        <f t="shared" ca="1" si="7"/>
        <v>2527.3399999999997</v>
      </c>
      <c r="AB25" s="1170"/>
      <c r="AC25" s="1170"/>
      <c r="AD25" s="1170"/>
      <c r="AE25" s="1173">
        <f t="shared" ca="1" si="8"/>
        <v>5065.01</v>
      </c>
      <c r="AF25" s="1174">
        <f t="shared" si="9"/>
        <v>0</v>
      </c>
      <c r="AG25" s="1175">
        <f t="shared" ca="1" si="10"/>
        <v>5065.01</v>
      </c>
      <c r="AH25" s="1169">
        <f t="shared" ca="1" si="11"/>
        <v>5065.01</v>
      </c>
      <c r="AI25" s="1170"/>
      <c r="AJ25" s="1170"/>
      <c r="AK25" s="1170"/>
      <c r="AL25" s="1173">
        <v>0</v>
      </c>
      <c r="AM25" s="1174">
        <f>Y25</f>
        <v>0</v>
      </c>
      <c r="AN25" s="1175">
        <v>0</v>
      </c>
      <c r="AO25" s="1169">
        <f t="shared" si="12"/>
        <v>0</v>
      </c>
      <c r="AP25" s="1170"/>
      <c r="AQ25" s="1170"/>
      <c r="AR25" s="1170"/>
      <c r="AS25" s="1173">
        <f t="shared" ca="1" si="13"/>
        <v>5065.01</v>
      </c>
      <c r="AT25" s="1174">
        <f t="shared" si="14"/>
        <v>0</v>
      </c>
      <c r="AU25" s="1175">
        <f t="shared" ca="1" si="15"/>
        <v>5065.01</v>
      </c>
      <c r="AV25" s="1169">
        <f t="shared" ca="1" si="16"/>
        <v>5065.01</v>
      </c>
      <c r="AW25" s="1170"/>
      <c r="AX25" s="1170"/>
      <c r="AY25" s="1170"/>
      <c r="AZ25" s="1173">
        <f ca="1">SUMIF('Struktur Vorjahr'!$A:$A,'Planzahlen Rentabilität'!$A25,'Struktur Vorjahr'!J:J)</f>
        <v>2816.55</v>
      </c>
      <c r="BA25" s="1174">
        <f>AM25</f>
        <v>0</v>
      </c>
      <c r="BB25" s="1175">
        <f ca="1">SUMIF('Struktur Aktuell'!$A:$A,'Planzahlen Rentabilität'!$A25,'Struktur Aktuell'!J:J)</f>
        <v>2816.55</v>
      </c>
      <c r="BC25" s="1169">
        <f t="shared" ca="1" si="17"/>
        <v>2816.55</v>
      </c>
      <c r="BD25" s="1170"/>
      <c r="BE25" s="1170"/>
      <c r="BF25" s="1170"/>
      <c r="BG25" s="1173">
        <f t="shared" ca="1" si="18"/>
        <v>7881.56</v>
      </c>
      <c r="BH25" s="1174">
        <f t="shared" si="19"/>
        <v>0</v>
      </c>
      <c r="BI25" s="1175">
        <f t="shared" ca="1" si="20"/>
        <v>7881.56</v>
      </c>
      <c r="BJ25" s="1169">
        <f t="shared" ca="1" si="21"/>
        <v>7881.56</v>
      </c>
      <c r="BK25" s="1170"/>
      <c r="BL25" s="1170"/>
      <c r="BM25" s="1170"/>
      <c r="BN25" s="1173">
        <f ca="1">SUMIF('Struktur Vorjahr'!$A:$A,'Planzahlen Rentabilität'!$A25,'Struktur Vorjahr'!K:K)</f>
        <v>2442.4300000000003</v>
      </c>
      <c r="BO25" s="1174">
        <f>BA25</f>
        <v>0</v>
      </c>
      <c r="BP25" s="1175">
        <f ca="1">SUMIF('Struktur Aktuell'!$A:$A,'Planzahlen Rentabilität'!$A25,'Struktur Aktuell'!K:K)</f>
        <v>2442.4300000000003</v>
      </c>
      <c r="BQ25" s="1169">
        <f t="shared" ca="1" si="22"/>
        <v>2442.4300000000003</v>
      </c>
      <c r="BR25" s="1170"/>
      <c r="BS25" s="1170"/>
      <c r="BT25" s="1170"/>
      <c r="BU25" s="1173">
        <f t="shared" ca="1" si="23"/>
        <v>10323.990000000002</v>
      </c>
      <c r="BV25" s="1174">
        <f t="shared" si="24"/>
        <v>0</v>
      </c>
      <c r="BW25" s="1175">
        <f t="shared" ca="1" si="25"/>
        <v>10323.990000000002</v>
      </c>
      <c r="BX25" s="1169">
        <f t="shared" ca="1" si="26"/>
        <v>10323.990000000002</v>
      </c>
      <c r="BY25" s="1170"/>
      <c r="BZ25" s="1170"/>
      <c r="CA25" s="1170"/>
      <c r="CB25" s="1173">
        <v>0</v>
      </c>
      <c r="CC25" s="1174">
        <f>BO25</f>
        <v>0</v>
      </c>
      <c r="CD25" s="1175">
        <v>0</v>
      </c>
      <c r="CE25" s="1169">
        <f t="shared" si="27"/>
        <v>0</v>
      </c>
      <c r="CF25" s="1170"/>
      <c r="CG25" s="1170"/>
      <c r="CH25" s="1170"/>
      <c r="CI25" s="1173">
        <f t="shared" ca="1" si="28"/>
        <v>10323.990000000002</v>
      </c>
      <c r="CJ25" s="1174">
        <f t="shared" si="29"/>
        <v>0</v>
      </c>
      <c r="CK25" s="1175">
        <f t="shared" ca="1" si="30"/>
        <v>10323.990000000002</v>
      </c>
      <c r="CL25" s="1169">
        <f t="shared" ca="1" si="31"/>
        <v>10323.990000000002</v>
      </c>
      <c r="CM25" s="1170"/>
      <c r="CN25" s="1170"/>
      <c r="CO25" s="1170"/>
      <c r="CP25" s="1173">
        <f ca="1">SUMIF('Struktur Vorjahr'!$A:$A,'Planzahlen Rentabilität'!$A25,'Struktur Vorjahr'!M:M)</f>
        <v>4831.4900000000007</v>
      </c>
      <c r="CQ25" s="1174">
        <f>CC25</f>
        <v>0</v>
      </c>
      <c r="CR25" s="1175">
        <f ca="1">SUMIF('Struktur Aktuell'!$A:$A,'Planzahlen Rentabilität'!$A25,'Struktur Aktuell'!M:M)</f>
        <v>4831.4900000000007</v>
      </c>
      <c r="CS25" s="1169">
        <f t="shared" ca="1" si="32"/>
        <v>4831.4900000000007</v>
      </c>
      <c r="CT25" s="1170"/>
      <c r="CU25" s="1170"/>
      <c r="CV25" s="1170"/>
      <c r="CW25" s="1173">
        <f t="shared" ca="1" si="33"/>
        <v>15155.480000000003</v>
      </c>
      <c r="CX25" s="1174">
        <f t="shared" si="34"/>
        <v>0</v>
      </c>
      <c r="CY25" s="1175">
        <f t="shared" ca="1" si="35"/>
        <v>15155.480000000003</v>
      </c>
      <c r="CZ25" s="1169">
        <f t="shared" ca="1" si="36"/>
        <v>15155.480000000003</v>
      </c>
      <c r="DA25" s="1170"/>
      <c r="DB25" s="1170"/>
      <c r="DC25" s="1170"/>
      <c r="DD25" s="1173">
        <f ca="1">SUMIF('Struktur Vorjahr'!$A:$A,'Planzahlen Rentabilität'!$A25,'Struktur Vorjahr'!N:N)</f>
        <v>2080.23</v>
      </c>
      <c r="DE25" s="1174">
        <f>CQ25</f>
        <v>0</v>
      </c>
      <c r="DF25" s="1175">
        <f ca="1">SUMIF('Struktur Aktuell'!$A:$A,'Planzahlen Rentabilität'!$A25,'Struktur Aktuell'!N:N)</f>
        <v>2080.23</v>
      </c>
      <c r="DG25" s="1169">
        <f t="shared" ca="1" si="37"/>
        <v>2080.23</v>
      </c>
      <c r="DH25" s="1170"/>
      <c r="DI25" s="1170"/>
      <c r="DJ25" s="1170"/>
      <c r="DK25" s="1173">
        <f t="shared" ca="1" si="38"/>
        <v>17235.710000000003</v>
      </c>
      <c r="DL25" s="1174">
        <f t="shared" si="39"/>
        <v>0</v>
      </c>
      <c r="DM25" s="1175">
        <f t="shared" ca="1" si="40"/>
        <v>17235.710000000003</v>
      </c>
      <c r="DN25" s="1169">
        <f t="shared" ca="1" si="41"/>
        <v>17235.710000000003</v>
      </c>
      <c r="DO25" s="1170"/>
      <c r="DP25" s="1170"/>
      <c r="DQ25" s="1170"/>
      <c r="DR25" s="1173">
        <f ca="1">SUMIF('Struktur Vorjahr'!$A:$A,'Planzahlen Rentabilität'!$A25,'Struktur Vorjahr'!O:O)</f>
        <v>2414.1799999999998</v>
      </c>
      <c r="DS25" s="1174">
        <f>DE25</f>
        <v>0</v>
      </c>
      <c r="DT25" s="1175">
        <f ca="1">SUMIF('Struktur Aktuell'!$A:$A,'Planzahlen Rentabilität'!$A25,'Struktur Aktuell'!O:O)</f>
        <v>2414.1799999999998</v>
      </c>
      <c r="DU25" s="1169">
        <f t="shared" ca="1" si="42"/>
        <v>2414.1799999999998</v>
      </c>
      <c r="DV25" s="1170"/>
      <c r="DW25" s="1170"/>
      <c r="DX25" s="1170"/>
      <c r="DY25" s="1173">
        <f t="shared" ca="1" si="43"/>
        <v>19649.890000000003</v>
      </c>
      <c r="DZ25" s="1174">
        <f t="shared" si="44"/>
        <v>0</v>
      </c>
      <c r="EA25" s="1175">
        <f t="shared" ca="1" si="45"/>
        <v>19649.890000000003</v>
      </c>
      <c r="EB25" s="1169">
        <f t="shared" ca="1" si="46"/>
        <v>19649.890000000003</v>
      </c>
      <c r="EC25" s="1170"/>
      <c r="ED25" s="1170"/>
      <c r="EE25" s="1170"/>
      <c r="EF25" s="1173">
        <f ca="1">SUMIF('Struktur Vorjahr'!$A:$A,'Planzahlen Rentabilität'!$A25,'Struktur Vorjahr'!P:P)</f>
        <v>2288.59</v>
      </c>
      <c r="EG25" s="1174">
        <f>DS25</f>
        <v>0</v>
      </c>
      <c r="EH25" s="1175">
        <f ca="1">SUMIF('Struktur Aktuell'!$A:$A,'Planzahlen Rentabilität'!$A25,'Struktur Aktuell'!P:P)</f>
        <v>2288.59</v>
      </c>
      <c r="EI25" s="1169">
        <f t="shared" ca="1" si="47"/>
        <v>2288.59</v>
      </c>
      <c r="EJ25" s="1170"/>
      <c r="EK25" s="1170"/>
      <c r="EL25" s="1170"/>
      <c r="EM25" s="1173">
        <f t="shared" ca="1" si="48"/>
        <v>21938.480000000003</v>
      </c>
      <c r="EN25" s="1174">
        <f t="shared" si="49"/>
        <v>0</v>
      </c>
      <c r="EO25" s="1175">
        <f t="shared" ca="1" si="50"/>
        <v>21938.480000000003</v>
      </c>
      <c r="EP25" s="1169">
        <f t="shared" ca="1" si="51"/>
        <v>21938.480000000003</v>
      </c>
      <c r="EQ25" s="1170"/>
      <c r="ER25" s="1170"/>
      <c r="ES25" s="1170"/>
      <c r="ET25" s="1173">
        <f ca="1">SUMIF('Struktur Vorjahr'!$A:$A,'Planzahlen Rentabilität'!$A25,'Struktur Vorjahr'!Q:Q)</f>
        <v>0</v>
      </c>
      <c r="EU25" s="1174">
        <f>EG25</f>
        <v>0</v>
      </c>
      <c r="EV25" s="1175">
        <f ca="1">SUMIF('Struktur Aktuell'!$A:$A,'Planzahlen Rentabilität'!$A25,'Struktur Aktuell'!Q:Q)</f>
        <v>0</v>
      </c>
      <c r="EW25" s="1169">
        <f t="shared" ca="1" si="52"/>
        <v>0</v>
      </c>
      <c r="EX25" s="1170"/>
      <c r="EY25" s="1170"/>
      <c r="EZ25" s="1170"/>
      <c r="FA25" s="1173">
        <f t="shared" ca="1" si="53"/>
        <v>21938.480000000003</v>
      </c>
      <c r="FB25" s="1174">
        <f t="shared" si="54"/>
        <v>0</v>
      </c>
      <c r="FC25" s="1175">
        <f t="shared" ca="1" si="55"/>
        <v>21938.480000000003</v>
      </c>
      <c r="FD25" s="1169">
        <f t="shared" ca="1" si="56"/>
        <v>21938.480000000003</v>
      </c>
      <c r="FE25" s="1170"/>
      <c r="FF25" s="1170"/>
      <c r="FG25" s="1170"/>
      <c r="FH25" s="1173">
        <f ca="1">SUMIF('Struktur Vorjahr'!$A:$A,'Planzahlen Rentabilität'!$A25,'Struktur Vorjahr'!R:R)</f>
        <v>0</v>
      </c>
      <c r="FI25" s="1174">
        <f>EU25</f>
        <v>0</v>
      </c>
      <c r="FJ25" s="1175">
        <f ca="1">SUMIF('Struktur Aktuell'!$A:$A,'Planzahlen Rentabilität'!$A25,'Struktur Aktuell'!R:R)</f>
        <v>0</v>
      </c>
      <c r="FK25" s="1169">
        <f t="shared" ca="1" si="57"/>
        <v>0</v>
      </c>
      <c r="FL25" s="1170"/>
      <c r="FM25" s="1170"/>
      <c r="FN25" s="1170"/>
      <c r="FO25" s="1173">
        <f t="shared" ca="1" si="58"/>
        <v>21938.480000000003</v>
      </c>
      <c r="FP25" s="1174">
        <f t="shared" si="59"/>
        <v>0</v>
      </c>
      <c r="FQ25" s="1175">
        <f t="shared" ca="1" si="60"/>
        <v>21938.480000000003</v>
      </c>
      <c r="FR25" s="1169">
        <f t="shared" ca="1" si="61"/>
        <v>21938.480000000003</v>
      </c>
      <c r="FS25" s="1170"/>
      <c r="FT25" s="1170"/>
      <c r="FU25" s="1170"/>
      <c r="FV25" s="1171"/>
      <c r="FW25" s="1169">
        <v>0</v>
      </c>
    </row>
    <row r="26" spans="1:179" s="883" customFormat="1" outlineLevel="1" x14ac:dyDescent="0.2">
      <c r="A26" s="1160">
        <v>12</v>
      </c>
      <c r="B26" s="1160" t="str">
        <f>'Struktur Aktuell'!B136</f>
        <v>Vermögenswirksame Leistungen</v>
      </c>
      <c r="C26" s="1173">
        <f t="shared" ca="1" si="67"/>
        <v>0</v>
      </c>
      <c r="D26" s="1174">
        <f t="shared" si="67"/>
        <v>0</v>
      </c>
      <c r="E26" s="1175">
        <f t="shared" ca="1" si="67"/>
        <v>0</v>
      </c>
      <c r="F26" s="1169">
        <f t="shared" ca="1" si="1"/>
        <v>0</v>
      </c>
      <c r="G26" s="1170"/>
      <c r="H26" s="1170"/>
      <c r="I26" s="1170"/>
      <c r="J26" s="1173">
        <f ca="1">SUMIF('Struktur Vorjahr'!$A:$A,'Planzahlen Rentabilität'!$A26,'Struktur Vorjahr'!G:G)</f>
        <v>0</v>
      </c>
      <c r="K26" s="1174"/>
      <c r="L26" s="1175">
        <f ca="1">SUMIF('Struktur Aktuell'!$A:$A,'Planzahlen Rentabilität'!$A26,'Struktur Aktuell'!G:G)</f>
        <v>0</v>
      </c>
      <c r="M26" s="1169">
        <f t="shared" ca="1" si="2"/>
        <v>0</v>
      </c>
      <c r="N26" s="1170"/>
      <c r="O26" s="1170"/>
      <c r="P26" s="1170"/>
      <c r="Q26" s="1173">
        <f t="shared" ca="1" si="3"/>
        <v>0</v>
      </c>
      <c r="R26" s="1174">
        <f t="shared" si="4"/>
        <v>0</v>
      </c>
      <c r="S26" s="1175">
        <f t="shared" ca="1" si="5"/>
        <v>0</v>
      </c>
      <c r="T26" s="1169">
        <f t="shared" ca="1" si="6"/>
        <v>0</v>
      </c>
      <c r="U26" s="1170"/>
      <c r="V26" s="1170"/>
      <c r="W26" s="1170"/>
      <c r="X26" s="1173">
        <f ca="1">SUMIF('Struktur Vorjahr'!$A:$A,'Planzahlen Rentabilität'!$A26,'Struktur Vorjahr'!H:H)</f>
        <v>0</v>
      </c>
      <c r="Y26" s="1174">
        <f>K26</f>
        <v>0</v>
      </c>
      <c r="Z26" s="1175">
        <f ca="1">SUMIF('Struktur Aktuell'!$A:$A,'Planzahlen Rentabilität'!$A26,'Struktur Aktuell'!H:H)</f>
        <v>0</v>
      </c>
      <c r="AA26" s="1169">
        <f t="shared" ca="1" si="7"/>
        <v>0</v>
      </c>
      <c r="AB26" s="1170"/>
      <c r="AC26" s="1170"/>
      <c r="AD26" s="1170"/>
      <c r="AE26" s="1173">
        <f t="shared" ca="1" si="8"/>
        <v>0</v>
      </c>
      <c r="AF26" s="1174">
        <f t="shared" si="9"/>
        <v>0</v>
      </c>
      <c r="AG26" s="1175">
        <f t="shared" ca="1" si="10"/>
        <v>0</v>
      </c>
      <c r="AH26" s="1169">
        <f t="shared" ca="1" si="11"/>
        <v>0</v>
      </c>
      <c r="AI26" s="1170"/>
      <c r="AJ26" s="1170"/>
      <c r="AK26" s="1170"/>
      <c r="AL26" s="1173">
        <f ca="1">SUMIF('Struktur Vorjahr'!$A:$A,'Planzahlen Rentabilität'!$A26,'Struktur Vorjahr'!I:I)</f>
        <v>0</v>
      </c>
      <c r="AM26" s="1174">
        <f>Y26</f>
        <v>0</v>
      </c>
      <c r="AN26" s="1175">
        <f ca="1">SUMIF('Struktur Aktuell'!$A:$A,'Planzahlen Rentabilität'!$A26,'Struktur Aktuell'!I:I)</f>
        <v>0</v>
      </c>
      <c r="AO26" s="1169">
        <f t="shared" ca="1" si="12"/>
        <v>0</v>
      </c>
      <c r="AP26" s="1170"/>
      <c r="AQ26" s="1170"/>
      <c r="AR26" s="1170"/>
      <c r="AS26" s="1173">
        <f t="shared" ca="1" si="13"/>
        <v>0</v>
      </c>
      <c r="AT26" s="1174">
        <f t="shared" si="14"/>
        <v>0</v>
      </c>
      <c r="AU26" s="1175">
        <f t="shared" ca="1" si="15"/>
        <v>0</v>
      </c>
      <c r="AV26" s="1169">
        <f t="shared" ca="1" si="16"/>
        <v>0</v>
      </c>
      <c r="AW26" s="1170"/>
      <c r="AX26" s="1170"/>
      <c r="AY26" s="1170"/>
      <c r="AZ26" s="1173">
        <f ca="1">SUMIF('Struktur Vorjahr'!$A:$A,'Planzahlen Rentabilität'!$A26,'Struktur Vorjahr'!J:J)</f>
        <v>0</v>
      </c>
      <c r="BA26" s="1174">
        <f>AM26</f>
        <v>0</v>
      </c>
      <c r="BB26" s="1175">
        <f ca="1">SUMIF('Struktur Aktuell'!$A:$A,'Planzahlen Rentabilität'!$A26,'Struktur Aktuell'!J:J)</f>
        <v>0</v>
      </c>
      <c r="BC26" s="1169">
        <f t="shared" ca="1" si="17"/>
        <v>0</v>
      </c>
      <c r="BD26" s="1170"/>
      <c r="BE26" s="1170"/>
      <c r="BF26" s="1170"/>
      <c r="BG26" s="1173">
        <f t="shared" ca="1" si="18"/>
        <v>0</v>
      </c>
      <c r="BH26" s="1174">
        <f t="shared" si="19"/>
        <v>0</v>
      </c>
      <c r="BI26" s="1175">
        <f t="shared" ca="1" si="20"/>
        <v>0</v>
      </c>
      <c r="BJ26" s="1169">
        <f t="shared" ca="1" si="21"/>
        <v>0</v>
      </c>
      <c r="BK26" s="1170"/>
      <c r="BL26" s="1170"/>
      <c r="BM26" s="1170"/>
      <c r="BN26" s="1173">
        <f ca="1">SUMIF('Struktur Vorjahr'!$A:$A,'Planzahlen Rentabilität'!$A26,'Struktur Vorjahr'!K:K)</f>
        <v>0</v>
      </c>
      <c r="BO26" s="1174">
        <f>BA26</f>
        <v>0</v>
      </c>
      <c r="BP26" s="1175">
        <f ca="1">SUMIF('Struktur Aktuell'!$A:$A,'Planzahlen Rentabilität'!$A26,'Struktur Aktuell'!K:K)</f>
        <v>0</v>
      </c>
      <c r="BQ26" s="1169">
        <f t="shared" ca="1" si="22"/>
        <v>0</v>
      </c>
      <c r="BR26" s="1170"/>
      <c r="BS26" s="1170"/>
      <c r="BT26" s="1170"/>
      <c r="BU26" s="1173">
        <f t="shared" ca="1" si="23"/>
        <v>0</v>
      </c>
      <c r="BV26" s="1174">
        <f t="shared" si="24"/>
        <v>0</v>
      </c>
      <c r="BW26" s="1175">
        <f t="shared" ca="1" si="25"/>
        <v>0</v>
      </c>
      <c r="BX26" s="1169">
        <f t="shared" ca="1" si="26"/>
        <v>0</v>
      </c>
      <c r="BY26" s="1170"/>
      <c r="BZ26" s="1170"/>
      <c r="CA26" s="1170"/>
      <c r="CB26" s="1173">
        <f ca="1">SUMIF('Struktur Vorjahr'!$A:$A,'Planzahlen Rentabilität'!$A26,'Struktur Vorjahr'!L:L)</f>
        <v>0</v>
      </c>
      <c r="CC26" s="1174">
        <f>BO26</f>
        <v>0</v>
      </c>
      <c r="CD26" s="1175">
        <f ca="1">SUMIF('Struktur Aktuell'!$A:$A,'Planzahlen Rentabilität'!$A26,'Struktur Aktuell'!L:L)</f>
        <v>0</v>
      </c>
      <c r="CE26" s="1169">
        <f t="shared" ca="1" si="27"/>
        <v>0</v>
      </c>
      <c r="CF26" s="1170"/>
      <c r="CG26" s="1170"/>
      <c r="CH26" s="1170"/>
      <c r="CI26" s="1173">
        <f t="shared" ca="1" si="28"/>
        <v>0</v>
      </c>
      <c r="CJ26" s="1174">
        <f t="shared" si="29"/>
        <v>0</v>
      </c>
      <c r="CK26" s="1175">
        <f t="shared" ca="1" si="30"/>
        <v>0</v>
      </c>
      <c r="CL26" s="1169">
        <f t="shared" ca="1" si="31"/>
        <v>0</v>
      </c>
      <c r="CM26" s="1170"/>
      <c r="CN26" s="1170"/>
      <c r="CO26" s="1170"/>
      <c r="CP26" s="1173">
        <f ca="1">SUMIF('Struktur Vorjahr'!$A:$A,'Planzahlen Rentabilität'!$A26,'Struktur Vorjahr'!M:M)</f>
        <v>0</v>
      </c>
      <c r="CQ26" s="1174">
        <f>CC26</f>
        <v>0</v>
      </c>
      <c r="CR26" s="1175">
        <f ca="1">SUMIF('Struktur Aktuell'!$A:$A,'Planzahlen Rentabilität'!$A26,'Struktur Aktuell'!M:M)</f>
        <v>0</v>
      </c>
      <c r="CS26" s="1169">
        <f t="shared" ca="1" si="32"/>
        <v>0</v>
      </c>
      <c r="CT26" s="1170"/>
      <c r="CU26" s="1170"/>
      <c r="CV26" s="1170"/>
      <c r="CW26" s="1173">
        <f t="shared" ca="1" si="33"/>
        <v>0</v>
      </c>
      <c r="CX26" s="1174">
        <f t="shared" si="34"/>
        <v>0</v>
      </c>
      <c r="CY26" s="1175">
        <f t="shared" ca="1" si="35"/>
        <v>0</v>
      </c>
      <c r="CZ26" s="1169">
        <f t="shared" ca="1" si="36"/>
        <v>0</v>
      </c>
      <c r="DA26" s="1170"/>
      <c r="DB26" s="1170"/>
      <c r="DC26" s="1170"/>
      <c r="DD26" s="1173">
        <f ca="1">SUMIF('Struktur Vorjahr'!$A:$A,'Planzahlen Rentabilität'!$A26,'Struktur Vorjahr'!N:N)</f>
        <v>0</v>
      </c>
      <c r="DE26" s="1174">
        <f>CQ26</f>
        <v>0</v>
      </c>
      <c r="DF26" s="1175">
        <f ca="1">SUMIF('Struktur Aktuell'!$A:$A,'Planzahlen Rentabilität'!$A26,'Struktur Aktuell'!N:N)</f>
        <v>0</v>
      </c>
      <c r="DG26" s="1169">
        <f t="shared" ca="1" si="37"/>
        <v>0</v>
      </c>
      <c r="DH26" s="1170"/>
      <c r="DI26" s="1170"/>
      <c r="DJ26" s="1170"/>
      <c r="DK26" s="1173">
        <f t="shared" ca="1" si="38"/>
        <v>0</v>
      </c>
      <c r="DL26" s="1174">
        <f t="shared" si="39"/>
        <v>0</v>
      </c>
      <c r="DM26" s="1175">
        <f t="shared" ca="1" si="40"/>
        <v>0</v>
      </c>
      <c r="DN26" s="1169">
        <f t="shared" ca="1" si="41"/>
        <v>0</v>
      </c>
      <c r="DO26" s="1170"/>
      <c r="DP26" s="1170"/>
      <c r="DQ26" s="1170"/>
      <c r="DR26" s="1173">
        <f ca="1">SUMIF('Struktur Vorjahr'!$A:$A,'Planzahlen Rentabilität'!$A26,'Struktur Vorjahr'!O:O)</f>
        <v>0</v>
      </c>
      <c r="DS26" s="1174">
        <f>DE26</f>
        <v>0</v>
      </c>
      <c r="DT26" s="1175">
        <f ca="1">SUMIF('Struktur Aktuell'!$A:$A,'Planzahlen Rentabilität'!$A26,'Struktur Aktuell'!O:O)</f>
        <v>0</v>
      </c>
      <c r="DU26" s="1169">
        <f t="shared" ca="1" si="42"/>
        <v>0</v>
      </c>
      <c r="DV26" s="1170"/>
      <c r="DW26" s="1170"/>
      <c r="DX26" s="1170"/>
      <c r="DY26" s="1173">
        <f t="shared" ca="1" si="43"/>
        <v>0</v>
      </c>
      <c r="DZ26" s="1174">
        <f t="shared" si="44"/>
        <v>0</v>
      </c>
      <c r="EA26" s="1175">
        <f t="shared" ca="1" si="45"/>
        <v>0</v>
      </c>
      <c r="EB26" s="1169">
        <f t="shared" ca="1" si="46"/>
        <v>0</v>
      </c>
      <c r="EC26" s="1170"/>
      <c r="ED26" s="1170"/>
      <c r="EE26" s="1170"/>
      <c r="EF26" s="1173">
        <f ca="1">SUMIF('Struktur Vorjahr'!$A:$A,'Planzahlen Rentabilität'!$A26,'Struktur Vorjahr'!P:P)</f>
        <v>0</v>
      </c>
      <c r="EG26" s="1174">
        <f>DS26</f>
        <v>0</v>
      </c>
      <c r="EH26" s="1175">
        <f ca="1">SUMIF('Struktur Aktuell'!$A:$A,'Planzahlen Rentabilität'!$A26,'Struktur Aktuell'!P:P)</f>
        <v>0</v>
      </c>
      <c r="EI26" s="1169">
        <f t="shared" ca="1" si="47"/>
        <v>0</v>
      </c>
      <c r="EJ26" s="1170"/>
      <c r="EK26" s="1170"/>
      <c r="EL26" s="1170"/>
      <c r="EM26" s="1173">
        <f t="shared" ca="1" si="48"/>
        <v>0</v>
      </c>
      <c r="EN26" s="1174">
        <f t="shared" si="49"/>
        <v>0</v>
      </c>
      <c r="EO26" s="1175">
        <f t="shared" ca="1" si="50"/>
        <v>0</v>
      </c>
      <c r="EP26" s="1169">
        <f t="shared" ca="1" si="51"/>
        <v>0</v>
      </c>
      <c r="EQ26" s="1170"/>
      <c r="ER26" s="1170"/>
      <c r="ES26" s="1170"/>
      <c r="ET26" s="1173">
        <f ca="1">SUMIF('Struktur Vorjahr'!$A:$A,'Planzahlen Rentabilität'!$A26,'Struktur Vorjahr'!Q:Q)</f>
        <v>0</v>
      </c>
      <c r="EU26" s="1174">
        <f>EG26</f>
        <v>0</v>
      </c>
      <c r="EV26" s="1175">
        <f ca="1">SUMIF('Struktur Aktuell'!$A:$A,'Planzahlen Rentabilität'!$A26,'Struktur Aktuell'!Q:Q)</f>
        <v>0</v>
      </c>
      <c r="EW26" s="1169">
        <f t="shared" ca="1" si="52"/>
        <v>0</v>
      </c>
      <c r="EX26" s="1170"/>
      <c r="EY26" s="1170"/>
      <c r="EZ26" s="1170"/>
      <c r="FA26" s="1173">
        <f t="shared" ca="1" si="53"/>
        <v>0</v>
      </c>
      <c r="FB26" s="1174">
        <f t="shared" si="54"/>
        <v>0</v>
      </c>
      <c r="FC26" s="1175">
        <f t="shared" ca="1" si="55"/>
        <v>0</v>
      </c>
      <c r="FD26" s="1169">
        <f t="shared" ca="1" si="56"/>
        <v>0</v>
      </c>
      <c r="FE26" s="1170"/>
      <c r="FF26" s="1170"/>
      <c r="FG26" s="1170"/>
      <c r="FH26" s="1173">
        <f ca="1">SUMIF('Struktur Vorjahr'!$A:$A,'Planzahlen Rentabilität'!$A26,'Struktur Vorjahr'!R:R)</f>
        <v>0</v>
      </c>
      <c r="FI26" s="1174">
        <f>EU26</f>
        <v>0</v>
      </c>
      <c r="FJ26" s="1175">
        <f ca="1">SUMIF('Struktur Aktuell'!$A:$A,'Planzahlen Rentabilität'!$A26,'Struktur Aktuell'!R:R)</f>
        <v>0</v>
      </c>
      <c r="FK26" s="1169">
        <f t="shared" ca="1" si="57"/>
        <v>0</v>
      </c>
      <c r="FL26" s="1170"/>
      <c r="FM26" s="1170"/>
      <c r="FN26" s="1170"/>
      <c r="FO26" s="1173">
        <f t="shared" ca="1" si="58"/>
        <v>0</v>
      </c>
      <c r="FP26" s="1174">
        <f t="shared" si="59"/>
        <v>0</v>
      </c>
      <c r="FQ26" s="1175">
        <f t="shared" ca="1" si="60"/>
        <v>0</v>
      </c>
      <c r="FR26" s="1169">
        <f t="shared" ca="1" si="61"/>
        <v>0</v>
      </c>
      <c r="FS26" s="1170"/>
      <c r="FT26" s="1170"/>
      <c r="FU26" s="1170"/>
      <c r="FV26" s="1171"/>
      <c r="FW26" s="1169">
        <v>0</v>
      </c>
    </row>
    <row r="27" spans="1:179" s="883" customFormat="1" outlineLevel="1" x14ac:dyDescent="0.2">
      <c r="A27" s="1160">
        <v>13</v>
      </c>
      <c r="B27" s="1160" t="str">
        <f>'Struktur Aktuell'!B144</f>
        <v>Lohnsteuer</v>
      </c>
      <c r="C27" s="1173">
        <f t="shared" ca="1" si="67"/>
        <v>2031.62</v>
      </c>
      <c r="D27" s="1174">
        <f t="shared" si="67"/>
        <v>0</v>
      </c>
      <c r="E27" s="1175">
        <f t="shared" ca="1" si="67"/>
        <v>2031.62</v>
      </c>
      <c r="F27" s="1169">
        <f t="shared" ca="1" si="1"/>
        <v>2031.62</v>
      </c>
      <c r="G27" s="1170"/>
      <c r="H27" s="1170"/>
      <c r="I27" s="1170"/>
      <c r="J27" s="1173">
        <f ca="1">SUMIF('Struktur Vorjahr'!$A:$A,'Planzahlen Rentabilität'!$A27,'Struktur Vorjahr'!G:G)</f>
        <v>29.269999999999996</v>
      </c>
      <c r="K27" s="1174"/>
      <c r="L27" s="1175">
        <f ca="1">SUMIF('Struktur Aktuell'!$A:$A,'Planzahlen Rentabilität'!$A27,'Struktur Aktuell'!G:G)</f>
        <v>29.269999999999996</v>
      </c>
      <c r="M27" s="1169">
        <f t="shared" ca="1" si="2"/>
        <v>29.269999999999996</v>
      </c>
      <c r="N27" s="1170"/>
      <c r="O27" s="1170"/>
      <c r="P27" s="1170"/>
      <c r="Q27" s="1173">
        <f t="shared" ca="1" si="3"/>
        <v>29.269999999999996</v>
      </c>
      <c r="R27" s="1174">
        <f t="shared" si="4"/>
        <v>0</v>
      </c>
      <c r="S27" s="1175">
        <f t="shared" ca="1" si="5"/>
        <v>29.269999999999996</v>
      </c>
      <c r="T27" s="1169">
        <f t="shared" ca="1" si="6"/>
        <v>29.269999999999996</v>
      </c>
      <c r="U27" s="1170"/>
      <c r="V27" s="1170"/>
      <c r="W27" s="1170"/>
      <c r="X27" s="1173">
        <f ca="1">SUMIF('Struktur Vorjahr'!$A:$A,'Planzahlen Rentabilität'!$A27,'Struktur Vorjahr'!H:H)</f>
        <v>10.37</v>
      </c>
      <c r="Y27" s="1174">
        <f>K27</f>
        <v>0</v>
      </c>
      <c r="Z27" s="1175">
        <f ca="1">SUMIF('Struktur Aktuell'!$A:$A,'Planzahlen Rentabilität'!$A27,'Struktur Aktuell'!H:H)</f>
        <v>10.37</v>
      </c>
      <c r="AA27" s="1169">
        <f t="shared" ca="1" si="7"/>
        <v>10.37</v>
      </c>
      <c r="AB27" s="1170"/>
      <c r="AC27" s="1170"/>
      <c r="AD27" s="1170"/>
      <c r="AE27" s="1173">
        <f t="shared" ca="1" si="8"/>
        <v>39.639999999999993</v>
      </c>
      <c r="AF27" s="1174">
        <f t="shared" si="9"/>
        <v>0</v>
      </c>
      <c r="AG27" s="1175">
        <f t="shared" ca="1" si="10"/>
        <v>39.639999999999993</v>
      </c>
      <c r="AH27" s="1169">
        <f t="shared" ca="1" si="11"/>
        <v>39.639999999999993</v>
      </c>
      <c r="AI27" s="1170"/>
      <c r="AJ27" s="1170"/>
      <c r="AK27" s="1170"/>
      <c r="AL27" s="1173">
        <f ca="1">SUMIF('Struktur Vorjahr'!$A:$A,'Planzahlen Rentabilität'!$A27,'Struktur Vorjahr'!I:I)</f>
        <v>500.02</v>
      </c>
      <c r="AM27" s="1174">
        <f>Y27</f>
        <v>0</v>
      </c>
      <c r="AN27" s="1175">
        <f ca="1">SUMIF('Struktur Aktuell'!$A:$A,'Planzahlen Rentabilität'!$A27,'Struktur Aktuell'!I:I)</f>
        <v>500.02</v>
      </c>
      <c r="AO27" s="1169">
        <f t="shared" ca="1" si="12"/>
        <v>500.02</v>
      </c>
      <c r="AP27" s="1170"/>
      <c r="AQ27" s="1170"/>
      <c r="AR27" s="1170"/>
      <c r="AS27" s="1173">
        <f t="shared" ca="1" si="13"/>
        <v>539.66</v>
      </c>
      <c r="AT27" s="1174">
        <f t="shared" si="14"/>
        <v>0</v>
      </c>
      <c r="AU27" s="1175">
        <f t="shared" ca="1" si="15"/>
        <v>539.66</v>
      </c>
      <c r="AV27" s="1169">
        <f t="shared" ca="1" si="16"/>
        <v>539.66</v>
      </c>
      <c r="AW27" s="1170"/>
      <c r="AX27" s="1170"/>
      <c r="AY27" s="1170"/>
      <c r="AZ27" s="1173">
        <f ca="1">SUMIF('Struktur Vorjahr'!$A:$A,'Planzahlen Rentabilität'!$A27,'Struktur Vorjahr'!J:J)</f>
        <v>149.65</v>
      </c>
      <c r="BA27" s="1174">
        <f>AM27</f>
        <v>0</v>
      </c>
      <c r="BB27" s="1175">
        <f ca="1">SUMIF('Struktur Aktuell'!$A:$A,'Planzahlen Rentabilität'!$A27,'Struktur Aktuell'!J:J)</f>
        <v>149.65</v>
      </c>
      <c r="BC27" s="1169">
        <f t="shared" ca="1" si="17"/>
        <v>149.65</v>
      </c>
      <c r="BD27" s="1170"/>
      <c r="BE27" s="1170"/>
      <c r="BF27" s="1170"/>
      <c r="BG27" s="1173">
        <f t="shared" ca="1" si="18"/>
        <v>689.31</v>
      </c>
      <c r="BH27" s="1174">
        <f t="shared" si="19"/>
        <v>0</v>
      </c>
      <c r="BI27" s="1175">
        <f t="shared" ca="1" si="20"/>
        <v>689.31</v>
      </c>
      <c r="BJ27" s="1169">
        <f t="shared" ca="1" si="21"/>
        <v>689.31</v>
      </c>
      <c r="BK27" s="1170"/>
      <c r="BL27" s="1170"/>
      <c r="BM27" s="1170"/>
      <c r="BN27" s="1173">
        <f ca="1">SUMIF('Struktur Vorjahr'!$A:$A,'Planzahlen Rentabilität'!$A27,'Struktur Vorjahr'!K:K)</f>
        <v>55.669999999999995</v>
      </c>
      <c r="BO27" s="1174">
        <f>BA27</f>
        <v>0</v>
      </c>
      <c r="BP27" s="1175">
        <f ca="1">SUMIF('Struktur Aktuell'!$A:$A,'Planzahlen Rentabilität'!$A27,'Struktur Aktuell'!K:K)</f>
        <v>55.669999999999995</v>
      </c>
      <c r="BQ27" s="1169">
        <f t="shared" ca="1" si="22"/>
        <v>55.669999999999995</v>
      </c>
      <c r="BR27" s="1170"/>
      <c r="BS27" s="1170"/>
      <c r="BT27" s="1170"/>
      <c r="BU27" s="1173">
        <f t="shared" ca="1" si="23"/>
        <v>744.9799999999999</v>
      </c>
      <c r="BV27" s="1174">
        <f t="shared" si="24"/>
        <v>0</v>
      </c>
      <c r="BW27" s="1175">
        <f t="shared" ca="1" si="25"/>
        <v>744.9799999999999</v>
      </c>
      <c r="BX27" s="1169">
        <f t="shared" ca="1" si="26"/>
        <v>744.9799999999999</v>
      </c>
      <c r="BY27" s="1170"/>
      <c r="BZ27" s="1170"/>
      <c r="CA27" s="1170"/>
      <c r="CB27" s="1173">
        <f ca="1">SUMIF('Struktur Vorjahr'!$A:$A,'Planzahlen Rentabilität'!$A27,'Struktur Vorjahr'!L:L)</f>
        <v>106.37</v>
      </c>
      <c r="CC27" s="1174">
        <f>BO27</f>
        <v>0</v>
      </c>
      <c r="CD27" s="1175">
        <f ca="1">SUMIF('Struktur Aktuell'!$A:$A,'Planzahlen Rentabilität'!$A27,'Struktur Aktuell'!L:L)</f>
        <v>106.37</v>
      </c>
      <c r="CE27" s="1169">
        <f t="shared" ca="1" si="27"/>
        <v>106.37</v>
      </c>
      <c r="CF27" s="1170"/>
      <c r="CG27" s="1170"/>
      <c r="CH27" s="1170"/>
      <c r="CI27" s="1173">
        <f t="shared" ca="1" si="28"/>
        <v>851.34999999999991</v>
      </c>
      <c r="CJ27" s="1174">
        <f t="shared" si="29"/>
        <v>0</v>
      </c>
      <c r="CK27" s="1175">
        <f t="shared" ca="1" si="30"/>
        <v>851.34999999999991</v>
      </c>
      <c r="CL27" s="1169">
        <f t="shared" ca="1" si="31"/>
        <v>851.34999999999991</v>
      </c>
      <c r="CM27" s="1170"/>
      <c r="CN27" s="1170"/>
      <c r="CO27" s="1170"/>
      <c r="CP27" s="1173">
        <f ca="1">SUMIF('Struktur Vorjahr'!$A:$A,'Planzahlen Rentabilität'!$A27,'Struktur Vorjahr'!M:M)</f>
        <v>649.11</v>
      </c>
      <c r="CQ27" s="1174">
        <f>CC27</f>
        <v>0</v>
      </c>
      <c r="CR27" s="1175">
        <f ca="1">SUMIF('Struktur Aktuell'!$A:$A,'Planzahlen Rentabilität'!$A27,'Struktur Aktuell'!M:M)</f>
        <v>649.11</v>
      </c>
      <c r="CS27" s="1169">
        <f t="shared" ca="1" si="32"/>
        <v>649.11</v>
      </c>
      <c r="CT27" s="1170"/>
      <c r="CU27" s="1170"/>
      <c r="CV27" s="1170"/>
      <c r="CW27" s="1173">
        <f t="shared" ca="1" si="33"/>
        <v>1500.46</v>
      </c>
      <c r="CX27" s="1174">
        <f t="shared" si="34"/>
        <v>0</v>
      </c>
      <c r="CY27" s="1175">
        <f t="shared" ca="1" si="35"/>
        <v>1500.46</v>
      </c>
      <c r="CZ27" s="1169">
        <f t="shared" ca="1" si="36"/>
        <v>1500.46</v>
      </c>
      <c r="DA27" s="1170"/>
      <c r="DB27" s="1170"/>
      <c r="DC27" s="1170"/>
      <c r="DD27" s="1173">
        <f ca="1">SUMIF('Struktur Vorjahr'!$A:$A,'Planzahlen Rentabilität'!$A27,'Struktur Vorjahr'!N:N)</f>
        <v>91.2</v>
      </c>
      <c r="DE27" s="1174">
        <f>CQ27</f>
        <v>0</v>
      </c>
      <c r="DF27" s="1175">
        <f ca="1">SUMIF('Struktur Aktuell'!$A:$A,'Planzahlen Rentabilität'!$A27,'Struktur Aktuell'!N:N)</f>
        <v>91.2</v>
      </c>
      <c r="DG27" s="1169">
        <f t="shared" ca="1" si="37"/>
        <v>91.2</v>
      </c>
      <c r="DH27" s="1170"/>
      <c r="DI27" s="1170"/>
      <c r="DJ27" s="1170"/>
      <c r="DK27" s="1173">
        <f t="shared" ca="1" si="38"/>
        <v>1591.66</v>
      </c>
      <c r="DL27" s="1174">
        <f t="shared" si="39"/>
        <v>0</v>
      </c>
      <c r="DM27" s="1175">
        <f t="shared" ca="1" si="40"/>
        <v>1591.66</v>
      </c>
      <c r="DN27" s="1169">
        <f t="shared" ca="1" si="41"/>
        <v>1591.66</v>
      </c>
      <c r="DO27" s="1170"/>
      <c r="DP27" s="1170"/>
      <c r="DQ27" s="1170"/>
      <c r="DR27" s="1173">
        <f ca="1">SUMIF('Struktur Vorjahr'!$A:$A,'Planzahlen Rentabilität'!$A27,'Struktur Vorjahr'!O:O)</f>
        <v>99.600000000000009</v>
      </c>
      <c r="DS27" s="1174">
        <f>DE27</f>
        <v>0</v>
      </c>
      <c r="DT27" s="1175">
        <f ca="1">SUMIF('Struktur Aktuell'!$A:$A,'Planzahlen Rentabilität'!$A27,'Struktur Aktuell'!O:O)</f>
        <v>99.600000000000009</v>
      </c>
      <c r="DU27" s="1169">
        <f t="shared" ca="1" si="42"/>
        <v>99.600000000000009</v>
      </c>
      <c r="DV27" s="1170"/>
      <c r="DW27" s="1170"/>
      <c r="DX27" s="1170"/>
      <c r="DY27" s="1173">
        <f t="shared" ca="1" si="43"/>
        <v>1691.26</v>
      </c>
      <c r="DZ27" s="1174">
        <f t="shared" si="44"/>
        <v>0</v>
      </c>
      <c r="EA27" s="1175">
        <f t="shared" ca="1" si="45"/>
        <v>1691.26</v>
      </c>
      <c r="EB27" s="1169">
        <f t="shared" ca="1" si="46"/>
        <v>1691.26</v>
      </c>
      <c r="EC27" s="1170"/>
      <c r="ED27" s="1170"/>
      <c r="EE27" s="1170"/>
      <c r="EF27" s="1173">
        <f ca="1">SUMIF('Struktur Vorjahr'!$A:$A,'Planzahlen Rentabilität'!$A27,'Struktur Vorjahr'!P:P)</f>
        <v>340.36</v>
      </c>
      <c r="EG27" s="1174">
        <f>DS27</f>
        <v>0</v>
      </c>
      <c r="EH27" s="1175">
        <f ca="1">SUMIF('Struktur Aktuell'!$A:$A,'Planzahlen Rentabilität'!$A27,'Struktur Aktuell'!P:P)</f>
        <v>340.36</v>
      </c>
      <c r="EI27" s="1169">
        <f t="shared" ca="1" si="47"/>
        <v>340.36</v>
      </c>
      <c r="EJ27" s="1170"/>
      <c r="EK27" s="1170"/>
      <c r="EL27" s="1170"/>
      <c r="EM27" s="1173">
        <f t="shared" ca="1" si="48"/>
        <v>2031.62</v>
      </c>
      <c r="EN27" s="1174">
        <f t="shared" si="49"/>
        <v>0</v>
      </c>
      <c r="EO27" s="1175">
        <f t="shared" ca="1" si="50"/>
        <v>2031.62</v>
      </c>
      <c r="EP27" s="1169">
        <f t="shared" ca="1" si="51"/>
        <v>2031.62</v>
      </c>
      <c r="EQ27" s="1170"/>
      <c r="ER27" s="1170"/>
      <c r="ES27" s="1170"/>
      <c r="ET27" s="1173">
        <f ca="1">SUMIF('Struktur Vorjahr'!$A:$A,'Planzahlen Rentabilität'!$A27,'Struktur Vorjahr'!Q:Q)</f>
        <v>0</v>
      </c>
      <c r="EU27" s="1174">
        <f>EG27</f>
        <v>0</v>
      </c>
      <c r="EV27" s="1175">
        <f ca="1">SUMIF('Struktur Aktuell'!$A:$A,'Planzahlen Rentabilität'!$A27,'Struktur Aktuell'!Q:Q)</f>
        <v>0</v>
      </c>
      <c r="EW27" s="1169">
        <f t="shared" ca="1" si="52"/>
        <v>0</v>
      </c>
      <c r="EX27" s="1170"/>
      <c r="EY27" s="1170"/>
      <c r="EZ27" s="1170"/>
      <c r="FA27" s="1173">
        <f t="shared" ca="1" si="53"/>
        <v>2031.62</v>
      </c>
      <c r="FB27" s="1174">
        <f t="shared" si="54"/>
        <v>0</v>
      </c>
      <c r="FC27" s="1175">
        <f t="shared" ca="1" si="55"/>
        <v>2031.62</v>
      </c>
      <c r="FD27" s="1169">
        <f t="shared" ca="1" si="56"/>
        <v>2031.62</v>
      </c>
      <c r="FE27" s="1170"/>
      <c r="FF27" s="1170"/>
      <c r="FG27" s="1170"/>
      <c r="FH27" s="1173">
        <f ca="1">SUMIF('Struktur Vorjahr'!$A:$A,'Planzahlen Rentabilität'!$A27,'Struktur Vorjahr'!R:R)</f>
        <v>0</v>
      </c>
      <c r="FI27" s="1174">
        <f>EU27</f>
        <v>0</v>
      </c>
      <c r="FJ27" s="1175">
        <f ca="1">SUMIF('Struktur Aktuell'!$A:$A,'Planzahlen Rentabilität'!$A27,'Struktur Aktuell'!R:R)</f>
        <v>0</v>
      </c>
      <c r="FK27" s="1169">
        <f t="shared" ca="1" si="57"/>
        <v>0</v>
      </c>
      <c r="FL27" s="1170"/>
      <c r="FM27" s="1170"/>
      <c r="FN27" s="1170"/>
      <c r="FO27" s="1173">
        <f t="shared" ca="1" si="58"/>
        <v>2031.62</v>
      </c>
      <c r="FP27" s="1174">
        <f t="shared" si="59"/>
        <v>0</v>
      </c>
      <c r="FQ27" s="1175">
        <f t="shared" ca="1" si="60"/>
        <v>2031.62</v>
      </c>
      <c r="FR27" s="1169">
        <f t="shared" ca="1" si="61"/>
        <v>2031.62</v>
      </c>
      <c r="FS27" s="1170"/>
      <c r="FT27" s="1170"/>
      <c r="FU27" s="1170"/>
      <c r="FV27" s="1171"/>
      <c r="FW27" s="1169">
        <v>0</v>
      </c>
    </row>
    <row r="28" spans="1:179" s="883" customFormat="1" outlineLevel="1" x14ac:dyDescent="0.2">
      <c r="A28" s="1160">
        <v>14</v>
      </c>
      <c r="B28" s="1160" t="str">
        <f>'Struktur Aktuell'!B153</f>
        <v>Fremdleistungen (Leiharbeiter)</v>
      </c>
      <c r="C28" s="1173">
        <f t="shared" ca="1" si="67"/>
        <v>0</v>
      </c>
      <c r="D28" s="1174">
        <f t="shared" si="67"/>
        <v>0</v>
      </c>
      <c r="E28" s="1177">
        <f t="shared" ca="1" si="67"/>
        <v>0</v>
      </c>
      <c r="F28" s="1169">
        <f t="shared" ca="1" si="1"/>
        <v>0</v>
      </c>
      <c r="G28" s="1170"/>
      <c r="H28" s="1170"/>
      <c r="I28" s="1170"/>
      <c r="J28" s="1173">
        <f ca="1">SUMIF('Struktur Vorjahr'!$A:$A,'Planzahlen Rentabilität'!$A28,'Struktur Vorjahr'!G:G)</f>
        <v>0</v>
      </c>
      <c r="K28" s="1174"/>
      <c r="L28" s="1177">
        <f ca="1">SUMIF('Struktur Aktuell'!$A:$A,'Planzahlen Rentabilität'!$A28,'Struktur Aktuell'!G:G)</f>
        <v>0</v>
      </c>
      <c r="M28" s="1169">
        <f t="shared" ca="1" si="2"/>
        <v>0</v>
      </c>
      <c r="N28" s="1170"/>
      <c r="O28" s="1170"/>
      <c r="P28" s="1170"/>
      <c r="Q28" s="1173">
        <f t="shared" ca="1" si="3"/>
        <v>0</v>
      </c>
      <c r="R28" s="1174">
        <f t="shared" si="4"/>
        <v>0</v>
      </c>
      <c r="S28" s="1177">
        <f t="shared" ca="1" si="5"/>
        <v>0</v>
      </c>
      <c r="T28" s="1169">
        <f t="shared" ca="1" si="6"/>
        <v>0</v>
      </c>
      <c r="U28" s="1170"/>
      <c r="V28" s="1170"/>
      <c r="W28" s="1170"/>
      <c r="X28" s="1173">
        <f ca="1">SUMIF('Struktur Vorjahr'!$A:$A,'Planzahlen Rentabilität'!$A28,'Struktur Vorjahr'!H:H)</f>
        <v>0</v>
      </c>
      <c r="Y28" s="1174">
        <f>K28</f>
        <v>0</v>
      </c>
      <c r="Z28" s="1177">
        <f ca="1">SUMIF('Struktur Aktuell'!$A:$A,'Planzahlen Rentabilität'!$A28,'Struktur Aktuell'!H:H)</f>
        <v>0</v>
      </c>
      <c r="AA28" s="1169">
        <f t="shared" ca="1" si="7"/>
        <v>0</v>
      </c>
      <c r="AB28" s="1170"/>
      <c r="AC28" s="1170"/>
      <c r="AD28" s="1170"/>
      <c r="AE28" s="1173">
        <f t="shared" ca="1" si="8"/>
        <v>0</v>
      </c>
      <c r="AF28" s="1174">
        <f t="shared" si="9"/>
        <v>0</v>
      </c>
      <c r="AG28" s="1177">
        <f t="shared" ca="1" si="10"/>
        <v>0</v>
      </c>
      <c r="AH28" s="1169">
        <f t="shared" ca="1" si="11"/>
        <v>0</v>
      </c>
      <c r="AI28" s="1170"/>
      <c r="AJ28" s="1170"/>
      <c r="AK28" s="1170"/>
      <c r="AL28" s="1173">
        <f ca="1">SUMIF('Struktur Vorjahr'!$A:$A,'Planzahlen Rentabilität'!$A28,'Struktur Vorjahr'!I:I)</f>
        <v>0</v>
      </c>
      <c r="AM28" s="1174">
        <f>Y28</f>
        <v>0</v>
      </c>
      <c r="AN28" s="1177">
        <f ca="1">SUMIF('Struktur Aktuell'!$A:$A,'Planzahlen Rentabilität'!$A28,'Struktur Aktuell'!I:I)</f>
        <v>0</v>
      </c>
      <c r="AO28" s="1169">
        <f t="shared" ca="1" si="12"/>
        <v>0</v>
      </c>
      <c r="AP28" s="1170"/>
      <c r="AQ28" s="1170"/>
      <c r="AR28" s="1170"/>
      <c r="AS28" s="1173">
        <f t="shared" ca="1" si="13"/>
        <v>0</v>
      </c>
      <c r="AT28" s="1174">
        <f t="shared" si="14"/>
        <v>0</v>
      </c>
      <c r="AU28" s="1177">
        <f t="shared" ca="1" si="15"/>
        <v>0</v>
      </c>
      <c r="AV28" s="1169">
        <f t="shared" ca="1" si="16"/>
        <v>0</v>
      </c>
      <c r="AW28" s="1170"/>
      <c r="AX28" s="1170"/>
      <c r="AY28" s="1170"/>
      <c r="AZ28" s="1173">
        <f ca="1">SUMIF('Struktur Vorjahr'!$A:$A,'Planzahlen Rentabilität'!$A28,'Struktur Vorjahr'!J:J)</f>
        <v>0</v>
      </c>
      <c r="BA28" s="1174">
        <f>AM28</f>
        <v>0</v>
      </c>
      <c r="BB28" s="1177">
        <f ca="1">SUMIF('Struktur Aktuell'!$A:$A,'Planzahlen Rentabilität'!$A28,'Struktur Aktuell'!J:J)</f>
        <v>0</v>
      </c>
      <c r="BC28" s="1169">
        <f t="shared" ca="1" si="17"/>
        <v>0</v>
      </c>
      <c r="BD28" s="1170"/>
      <c r="BE28" s="1170"/>
      <c r="BF28" s="1170"/>
      <c r="BG28" s="1173">
        <f t="shared" ca="1" si="18"/>
        <v>0</v>
      </c>
      <c r="BH28" s="1174">
        <f t="shared" si="19"/>
        <v>0</v>
      </c>
      <c r="BI28" s="1177">
        <f t="shared" ca="1" si="20"/>
        <v>0</v>
      </c>
      <c r="BJ28" s="1169">
        <f t="shared" ca="1" si="21"/>
        <v>0</v>
      </c>
      <c r="BK28" s="1170"/>
      <c r="BL28" s="1170"/>
      <c r="BM28" s="1170"/>
      <c r="BN28" s="1173">
        <f ca="1">SUMIF('Struktur Vorjahr'!$A:$A,'Planzahlen Rentabilität'!$A28,'Struktur Vorjahr'!K:K)</f>
        <v>0</v>
      </c>
      <c r="BO28" s="1174">
        <f>BA28</f>
        <v>0</v>
      </c>
      <c r="BP28" s="1177">
        <f ca="1">SUMIF('Struktur Aktuell'!$A:$A,'Planzahlen Rentabilität'!$A28,'Struktur Aktuell'!K:K)</f>
        <v>0</v>
      </c>
      <c r="BQ28" s="1169">
        <f t="shared" ca="1" si="22"/>
        <v>0</v>
      </c>
      <c r="BR28" s="1170"/>
      <c r="BS28" s="1170"/>
      <c r="BT28" s="1170"/>
      <c r="BU28" s="1173">
        <f t="shared" ca="1" si="23"/>
        <v>0</v>
      </c>
      <c r="BV28" s="1174">
        <f t="shared" si="24"/>
        <v>0</v>
      </c>
      <c r="BW28" s="1177">
        <f t="shared" ca="1" si="25"/>
        <v>0</v>
      </c>
      <c r="BX28" s="1169">
        <f t="shared" ca="1" si="26"/>
        <v>0</v>
      </c>
      <c r="BY28" s="1170"/>
      <c r="BZ28" s="1170"/>
      <c r="CA28" s="1170"/>
      <c r="CB28" s="1173">
        <f ca="1">SUMIF('Struktur Vorjahr'!$A:$A,'Planzahlen Rentabilität'!$A28,'Struktur Vorjahr'!L:L)</f>
        <v>0</v>
      </c>
      <c r="CC28" s="1174">
        <f>BO28</f>
        <v>0</v>
      </c>
      <c r="CD28" s="1177">
        <f ca="1">SUMIF('Struktur Aktuell'!$A:$A,'Planzahlen Rentabilität'!$A28,'Struktur Aktuell'!L:L)</f>
        <v>0</v>
      </c>
      <c r="CE28" s="1169">
        <f t="shared" ca="1" si="27"/>
        <v>0</v>
      </c>
      <c r="CF28" s="1170"/>
      <c r="CG28" s="1170"/>
      <c r="CH28" s="1170"/>
      <c r="CI28" s="1173">
        <f t="shared" ca="1" si="28"/>
        <v>0</v>
      </c>
      <c r="CJ28" s="1174">
        <f t="shared" si="29"/>
        <v>0</v>
      </c>
      <c r="CK28" s="1177">
        <f t="shared" ca="1" si="30"/>
        <v>0</v>
      </c>
      <c r="CL28" s="1169">
        <f t="shared" ca="1" si="31"/>
        <v>0</v>
      </c>
      <c r="CM28" s="1170"/>
      <c r="CN28" s="1170"/>
      <c r="CO28" s="1170"/>
      <c r="CP28" s="1173">
        <f ca="1">SUMIF('Struktur Vorjahr'!$A:$A,'Planzahlen Rentabilität'!$A28,'Struktur Vorjahr'!M:M)</f>
        <v>0</v>
      </c>
      <c r="CQ28" s="1174">
        <f>CC28</f>
        <v>0</v>
      </c>
      <c r="CR28" s="1177">
        <f ca="1">SUMIF('Struktur Aktuell'!$A:$A,'Planzahlen Rentabilität'!$A28,'Struktur Aktuell'!M:M)</f>
        <v>0</v>
      </c>
      <c r="CS28" s="1169">
        <f t="shared" ca="1" si="32"/>
        <v>0</v>
      </c>
      <c r="CT28" s="1170"/>
      <c r="CU28" s="1170"/>
      <c r="CV28" s="1170"/>
      <c r="CW28" s="1173">
        <f t="shared" ca="1" si="33"/>
        <v>0</v>
      </c>
      <c r="CX28" s="1174">
        <f t="shared" si="34"/>
        <v>0</v>
      </c>
      <c r="CY28" s="1177">
        <f t="shared" ca="1" si="35"/>
        <v>0</v>
      </c>
      <c r="CZ28" s="1169">
        <f t="shared" ca="1" si="36"/>
        <v>0</v>
      </c>
      <c r="DA28" s="1170"/>
      <c r="DB28" s="1170"/>
      <c r="DC28" s="1170"/>
      <c r="DD28" s="1173">
        <f ca="1">SUMIF('Struktur Vorjahr'!$A:$A,'Planzahlen Rentabilität'!$A28,'Struktur Vorjahr'!N:N)</f>
        <v>0</v>
      </c>
      <c r="DE28" s="1174">
        <f>CQ28</f>
        <v>0</v>
      </c>
      <c r="DF28" s="1177">
        <f ca="1">SUMIF('Struktur Aktuell'!$A:$A,'Planzahlen Rentabilität'!$A28,'Struktur Aktuell'!N:N)</f>
        <v>0</v>
      </c>
      <c r="DG28" s="1169">
        <f t="shared" ca="1" si="37"/>
        <v>0</v>
      </c>
      <c r="DH28" s="1170"/>
      <c r="DI28" s="1170"/>
      <c r="DJ28" s="1170"/>
      <c r="DK28" s="1173">
        <f t="shared" ca="1" si="38"/>
        <v>0</v>
      </c>
      <c r="DL28" s="1174">
        <f t="shared" si="39"/>
        <v>0</v>
      </c>
      <c r="DM28" s="1177">
        <f t="shared" ca="1" si="40"/>
        <v>0</v>
      </c>
      <c r="DN28" s="1169">
        <f t="shared" ca="1" si="41"/>
        <v>0</v>
      </c>
      <c r="DO28" s="1170"/>
      <c r="DP28" s="1170"/>
      <c r="DQ28" s="1170"/>
      <c r="DR28" s="1173">
        <f ca="1">SUMIF('Struktur Vorjahr'!$A:$A,'Planzahlen Rentabilität'!$A28,'Struktur Vorjahr'!O:O)</f>
        <v>0</v>
      </c>
      <c r="DS28" s="1174">
        <f>DE28</f>
        <v>0</v>
      </c>
      <c r="DT28" s="1177">
        <f ca="1">SUMIF('Struktur Aktuell'!$A:$A,'Planzahlen Rentabilität'!$A28,'Struktur Aktuell'!O:O)</f>
        <v>0</v>
      </c>
      <c r="DU28" s="1169">
        <f t="shared" ca="1" si="42"/>
        <v>0</v>
      </c>
      <c r="DV28" s="1170"/>
      <c r="DW28" s="1170"/>
      <c r="DX28" s="1170"/>
      <c r="DY28" s="1173">
        <f t="shared" ca="1" si="43"/>
        <v>0</v>
      </c>
      <c r="DZ28" s="1174">
        <f t="shared" si="44"/>
        <v>0</v>
      </c>
      <c r="EA28" s="1177">
        <f t="shared" ca="1" si="45"/>
        <v>0</v>
      </c>
      <c r="EB28" s="1169">
        <f t="shared" ca="1" si="46"/>
        <v>0</v>
      </c>
      <c r="EC28" s="1170"/>
      <c r="ED28" s="1170"/>
      <c r="EE28" s="1170"/>
      <c r="EF28" s="1173">
        <f ca="1">SUMIF('Struktur Vorjahr'!$A:$A,'Planzahlen Rentabilität'!$A28,'Struktur Vorjahr'!P:P)</f>
        <v>0</v>
      </c>
      <c r="EG28" s="1174">
        <f>DS28</f>
        <v>0</v>
      </c>
      <c r="EH28" s="1177">
        <f ca="1">SUMIF('Struktur Aktuell'!$A:$A,'Planzahlen Rentabilität'!$A28,'Struktur Aktuell'!P:P)</f>
        <v>0</v>
      </c>
      <c r="EI28" s="1169">
        <f t="shared" ca="1" si="47"/>
        <v>0</v>
      </c>
      <c r="EJ28" s="1170"/>
      <c r="EK28" s="1170"/>
      <c r="EL28" s="1170"/>
      <c r="EM28" s="1173">
        <f t="shared" ca="1" si="48"/>
        <v>0</v>
      </c>
      <c r="EN28" s="1174">
        <f t="shared" si="49"/>
        <v>0</v>
      </c>
      <c r="EO28" s="1177">
        <f t="shared" ca="1" si="50"/>
        <v>0</v>
      </c>
      <c r="EP28" s="1169">
        <f t="shared" ca="1" si="51"/>
        <v>0</v>
      </c>
      <c r="EQ28" s="1170"/>
      <c r="ER28" s="1170"/>
      <c r="ES28" s="1170"/>
      <c r="ET28" s="1173">
        <f ca="1">SUMIF('Struktur Vorjahr'!$A:$A,'Planzahlen Rentabilität'!$A28,'Struktur Vorjahr'!Q:Q)</f>
        <v>0</v>
      </c>
      <c r="EU28" s="1174">
        <f>EG28</f>
        <v>0</v>
      </c>
      <c r="EV28" s="1177">
        <f ca="1">SUMIF('Struktur Aktuell'!$A:$A,'Planzahlen Rentabilität'!$A28,'Struktur Aktuell'!Q:Q)</f>
        <v>0</v>
      </c>
      <c r="EW28" s="1169">
        <f t="shared" ca="1" si="52"/>
        <v>0</v>
      </c>
      <c r="EX28" s="1170"/>
      <c r="EY28" s="1170"/>
      <c r="EZ28" s="1170"/>
      <c r="FA28" s="1173">
        <f t="shared" ca="1" si="53"/>
        <v>0</v>
      </c>
      <c r="FB28" s="1174">
        <f t="shared" si="54"/>
        <v>0</v>
      </c>
      <c r="FC28" s="1177">
        <f t="shared" ca="1" si="55"/>
        <v>0</v>
      </c>
      <c r="FD28" s="1169">
        <f t="shared" ca="1" si="56"/>
        <v>0</v>
      </c>
      <c r="FE28" s="1170"/>
      <c r="FF28" s="1170"/>
      <c r="FG28" s="1170"/>
      <c r="FH28" s="1173">
        <f ca="1">SUMIF('Struktur Vorjahr'!$A:$A,'Planzahlen Rentabilität'!$A28,'Struktur Vorjahr'!R:R)</f>
        <v>0</v>
      </c>
      <c r="FI28" s="1174">
        <f>EU28</f>
        <v>0</v>
      </c>
      <c r="FJ28" s="1177">
        <f ca="1">SUMIF('Struktur Aktuell'!$A:$A,'Planzahlen Rentabilität'!$A28,'Struktur Aktuell'!R:R)</f>
        <v>0</v>
      </c>
      <c r="FK28" s="1169">
        <f t="shared" ca="1" si="57"/>
        <v>0</v>
      </c>
      <c r="FL28" s="1170"/>
      <c r="FM28" s="1170"/>
      <c r="FN28" s="1170"/>
      <c r="FO28" s="1173">
        <f t="shared" ca="1" si="58"/>
        <v>0</v>
      </c>
      <c r="FP28" s="1174">
        <f t="shared" si="59"/>
        <v>0</v>
      </c>
      <c r="FQ28" s="1177">
        <f t="shared" ca="1" si="60"/>
        <v>0</v>
      </c>
      <c r="FR28" s="1169">
        <f t="shared" ca="1" si="61"/>
        <v>0</v>
      </c>
      <c r="FS28" s="1170"/>
      <c r="FT28" s="1170"/>
      <c r="FU28" s="1170"/>
      <c r="FV28" s="1171"/>
      <c r="FW28" s="1169">
        <v>0</v>
      </c>
    </row>
    <row r="29" spans="1:179" s="883" customFormat="1" ht="16.5" customHeight="1" x14ac:dyDescent="0.2">
      <c r="A29" s="1179" t="s">
        <v>219</v>
      </c>
      <c r="B29" s="1167" t="str">
        <f>'Struktur Aktuell'!B156</f>
        <v>Liquidität I / Deckungsbeitrag II</v>
      </c>
      <c r="C29" s="1168">
        <f ca="1">C22-C23</f>
        <v>18154.050000000017</v>
      </c>
      <c r="D29" s="1168">
        <f>D22-D23</f>
        <v>282508.46666666644</v>
      </c>
      <c r="E29" s="1168">
        <f ca="1">E22-E23</f>
        <v>22904.050000000017</v>
      </c>
      <c r="F29" s="1181">
        <f t="shared" ca="1" si="1"/>
        <v>-259604.41666666642</v>
      </c>
      <c r="G29" s="1182">
        <f t="shared" ref="G29:I30" ca="1" si="68">C29/C$15</f>
        <v>0.11789428170798051</v>
      </c>
      <c r="H29" s="1182">
        <f t="shared" si="68"/>
        <v>0.2731698811110056</v>
      </c>
      <c r="I29" s="1182">
        <f t="shared" ca="1" si="68"/>
        <v>0.14447329053979563</v>
      </c>
      <c r="J29" s="1168">
        <f ca="1">J22-J23</f>
        <v>-11329.93</v>
      </c>
      <c r="K29" s="1168">
        <f>K22-K23</f>
        <v>-1848.2594444444476</v>
      </c>
      <c r="L29" s="1168">
        <f ca="1">L22-L23</f>
        <v>-6408.93</v>
      </c>
      <c r="M29" s="1181">
        <f t="shared" ca="1" si="2"/>
        <v>-4560.6705555555527</v>
      </c>
      <c r="N29" s="1182">
        <f t="shared" ref="N29:P30" ca="1" si="69">J29/J$15</f>
        <v>-1.0364222811127566</v>
      </c>
      <c r="O29" s="1182">
        <f t="shared" si="69"/>
        <v>-2.9786057898747546E-2</v>
      </c>
      <c r="P29" s="1182">
        <f t="shared" ca="1" si="69"/>
        <v>-0.57264668591295209</v>
      </c>
      <c r="Q29" s="1168">
        <f t="shared" ca="1" si="3"/>
        <v>-11329.93</v>
      </c>
      <c r="R29" s="1168">
        <f t="shared" si="4"/>
        <v>-1848.2594444444476</v>
      </c>
      <c r="S29" s="1168">
        <f t="shared" ca="1" si="5"/>
        <v>-6408.93</v>
      </c>
      <c r="T29" s="1181">
        <f t="shared" ca="1" si="6"/>
        <v>-4560.6705555555527</v>
      </c>
      <c r="U29" s="1182">
        <f t="shared" ref="U29:W30" ca="1" si="70">Q29/Q$15</f>
        <v>-1.0364222811127566</v>
      </c>
      <c r="V29" s="1182">
        <f t="shared" si="70"/>
        <v>-2.9786057898747546E-2</v>
      </c>
      <c r="W29" s="1182">
        <f t="shared" ca="1" si="70"/>
        <v>-0.57264668591295209</v>
      </c>
      <c r="X29" s="1168">
        <f ca="1">X22-X23</f>
        <v>707.35000000000218</v>
      </c>
      <c r="Y29" s="1168">
        <f>Y22-Y23</f>
        <v>18767.460555555561</v>
      </c>
      <c r="Z29" s="1168">
        <f ca="1">Z22-Z23</f>
        <v>-6041.65</v>
      </c>
      <c r="AA29" s="1181">
        <f t="shared" ca="1" si="7"/>
        <v>-24809.110555555562</v>
      </c>
      <c r="AB29" s="1182">
        <f ca="1">X29/$Y$15</f>
        <v>8.5495984281357771E-3</v>
      </c>
      <c r="AC29" s="1182">
        <f>Y29/$Y$15</f>
        <v>0.22683855413285858</v>
      </c>
      <c r="AD29" s="1182">
        <f ca="1">Z29/$Z$15</f>
        <v>-0.50861419437393973</v>
      </c>
      <c r="AE29" s="1168">
        <f t="shared" ca="1" si="8"/>
        <v>-10622.579999999998</v>
      </c>
      <c r="AF29" s="1168">
        <f t="shared" si="9"/>
        <v>16919.201111111113</v>
      </c>
      <c r="AG29" s="1168">
        <f t="shared" ca="1" si="10"/>
        <v>-12450.58</v>
      </c>
      <c r="AH29" s="1181">
        <f t="shared" ca="1" si="11"/>
        <v>-29369.781111111115</v>
      </c>
      <c r="AI29" s="1182">
        <f ca="1">AE29/$AF$15</f>
        <v>-7.3367432385055886E-2</v>
      </c>
      <c r="AJ29" s="1182">
        <f>AF29/$AF$15</f>
        <v>0.11685657754788453</v>
      </c>
      <c r="AK29" s="1182">
        <f ca="1">AG29/$AG$15</f>
        <v>-0.53967721437234339</v>
      </c>
      <c r="AL29" s="1168">
        <f ca="1">AL22-AL23</f>
        <v>-509.01</v>
      </c>
      <c r="AM29" s="1168">
        <f>AM22-AM23</f>
        <v>39383.180555555562</v>
      </c>
      <c r="AN29" s="1168">
        <f ca="1">AN22-AN23</f>
        <v>1819.9900000000002</v>
      </c>
      <c r="AO29" s="1181">
        <f t="shared" ca="1" si="12"/>
        <v>-37563.190555555564</v>
      </c>
      <c r="AP29" s="1182">
        <f ca="1">AL29/$AM$15</f>
        <v>-4.921841912383265E-3</v>
      </c>
      <c r="AQ29" s="1182">
        <f>AM29/$AM$15</f>
        <v>0.38081332135182222</v>
      </c>
      <c r="AR29" s="1182">
        <f ca="1">AN29/$AN$15</f>
        <v>5.6874687500000007</v>
      </c>
      <c r="AS29" s="1168">
        <f t="shared" ca="1" si="13"/>
        <v>-11131.589999999998</v>
      </c>
      <c r="AT29" s="1168">
        <f t="shared" si="14"/>
        <v>56302.381666666675</v>
      </c>
      <c r="AU29" s="1168">
        <f t="shared" ca="1" si="15"/>
        <v>-10630.59</v>
      </c>
      <c r="AV29" s="1181">
        <f t="shared" ca="1" si="16"/>
        <v>-66932.971666666679</v>
      </c>
      <c r="AW29" s="1182">
        <f ca="1">AS29/$AT$15</f>
        <v>-4.4848436354775631E-2</v>
      </c>
      <c r="AX29" s="1182">
        <f>AT29/$AT$15</f>
        <v>0.22683855413285856</v>
      </c>
      <c r="AY29" s="1182">
        <f ca="1">AU29/$AU$15</f>
        <v>-0.45448478479651067</v>
      </c>
      <c r="AZ29" s="1168">
        <f ca="1">AZ22-AZ23</f>
        <v>-4723.7500000000036</v>
      </c>
      <c r="BA29" s="1168">
        <f>BA22-BA23</f>
        <v>8459.6005555555603</v>
      </c>
      <c r="BB29" s="1168">
        <f ca="1">BB22-BB23</f>
        <v>-10127.750000000004</v>
      </c>
      <c r="BC29" s="1181">
        <f t="shared" ca="1" si="17"/>
        <v>-18587.350555555564</v>
      </c>
      <c r="BD29" s="1182">
        <f ca="1">AZ29/$BA$15</f>
        <v>-6.5251456563077542E-2</v>
      </c>
      <c r="BE29" s="1182">
        <f>BA29/$BA$15</f>
        <v>0.11685657754788459</v>
      </c>
      <c r="BF29" s="1182">
        <f ca="1">BB29/$BB$15</f>
        <v>-0.78048598165411964</v>
      </c>
      <c r="BG29" s="1168">
        <f t="shared" ca="1" si="18"/>
        <v>-15855.340000000002</v>
      </c>
      <c r="BH29" s="1168">
        <f t="shared" si="19"/>
        <v>64761.982222222236</v>
      </c>
      <c r="BI29" s="1168">
        <f t="shared" ca="1" si="20"/>
        <v>-20758.340000000004</v>
      </c>
      <c r="BJ29" s="1181">
        <f t="shared" ca="1" si="21"/>
        <v>-85520.322222222239</v>
      </c>
      <c r="BK29" s="1182">
        <f ca="1">BG29/$BH$15</f>
        <v>-4.945556995019864E-2</v>
      </c>
      <c r="BL29" s="1182">
        <f>BH29/$BH$15</f>
        <v>0.20200391425883218</v>
      </c>
      <c r="BM29" s="1182">
        <f ca="1">BI29/$BI$15</f>
        <v>-0.57080735828422924</v>
      </c>
      <c r="BN29" s="1168">
        <f ca="1">BN22-BN23</f>
        <v>-14859.789999999999</v>
      </c>
      <c r="BO29" s="1168">
        <f>BO22-BO23</f>
        <v>14928.398055555561</v>
      </c>
      <c r="BP29" s="1168">
        <f ca="1">BP22-BP23</f>
        <v>-5170.7899999999991</v>
      </c>
      <c r="BQ29" s="1181">
        <f t="shared" ca="1" si="22"/>
        <v>-20099.188055555562</v>
      </c>
      <c r="BR29" s="1182">
        <f ca="1">BN29/$BO$15</f>
        <v>-0.17960731918629722</v>
      </c>
      <c r="BS29" s="1182">
        <f>BO29/$BO$15</f>
        <v>0.18043657107565225</v>
      </c>
      <c r="BT29" s="1182">
        <f ca="1">BP29/$BP$15</f>
        <v>-0.66650124837105928</v>
      </c>
      <c r="BU29" s="1168">
        <f t="shared" ca="1" si="23"/>
        <v>-30715.13</v>
      </c>
      <c r="BV29" s="1168">
        <f t="shared" si="24"/>
        <v>79690.380277777789</v>
      </c>
      <c r="BW29" s="1168">
        <f t="shared" ca="1" si="25"/>
        <v>-25929.130000000005</v>
      </c>
      <c r="BX29" s="1181">
        <f t="shared" ca="1" si="26"/>
        <v>-105619.51027777779</v>
      </c>
      <c r="BY29" s="1182">
        <f ca="1">BU29/$BV$15</f>
        <v>-7.6153364665295778E-2</v>
      </c>
      <c r="BZ29" s="1182">
        <f>BV29/$BV$15</f>
        <v>0.19757984386228242</v>
      </c>
      <c r="CA29" s="1182">
        <f ca="1">BW29/$BW$15</f>
        <v>-0.58763247103552341</v>
      </c>
      <c r="CB29" s="1168">
        <f ca="1">CB22-CB23</f>
        <v>4795.63</v>
      </c>
      <c r="CC29" s="1168">
        <f>CC22-CC23</f>
        <v>23664.398055555561</v>
      </c>
      <c r="CD29" s="1168">
        <f ca="1">CD22-CD23</f>
        <v>497.63</v>
      </c>
      <c r="CE29" s="1181">
        <f t="shared" ca="1" si="27"/>
        <v>-23166.76805555556</v>
      </c>
      <c r="CF29" s="1182">
        <f ca="1">CB29/$CC$15</f>
        <v>5.7963823722231779E-2</v>
      </c>
      <c r="CG29" s="1182">
        <f>CC29/$CC$15</f>
        <v>0.28602686141027289</v>
      </c>
      <c r="CH29" s="1182" t="e">
        <f ca="1">CD29/$CD$15</f>
        <v>#DIV/0!</v>
      </c>
      <c r="CI29" s="1168">
        <f t="shared" ca="1" si="28"/>
        <v>-25919.5</v>
      </c>
      <c r="CJ29" s="1168">
        <f t="shared" si="29"/>
        <v>103354.77833333335</v>
      </c>
      <c r="CK29" s="1168">
        <f t="shared" ca="1" si="30"/>
        <v>-25431.500000000004</v>
      </c>
      <c r="CL29" s="1181">
        <f t="shared" ca="1" si="31"/>
        <v>-128786.27833333335</v>
      </c>
      <c r="CM29" s="1182">
        <f ca="1">CI29/$CJ$15</f>
        <v>-5.3324907067418749E-2</v>
      </c>
      <c r="CN29" s="1182">
        <f>CJ29/$CJ$15</f>
        <v>0.21263465535981271</v>
      </c>
      <c r="CO29" s="1182">
        <f ca="1">CK29/$CK$15</f>
        <v>-0.5763546708717151</v>
      </c>
      <c r="CP29" s="1168">
        <f ca="1">CP22-CP23</f>
        <v>28283.4</v>
      </c>
      <c r="CQ29" s="1168">
        <f>CQ22-CQ23</f>
        <v>23664.398055555561</v>
      </c>
      <c r="CR29" s="1168">
        <f ca="1">CR22-CR23</f>
        <v>26540.400000000001</v>
      </c>
      <c r="CS29" s="1181">
        <f t="shared" ca="1" si="32"/>
        <v>2876.0019444444406</v>
      </c>
      <c r="CT29" s="1182">
        <f ca="1">CP29/$CQ$15</f>
        <v>0.34185581703871448</v>
      </c>
      <c r="CU29" s="1182">
        <f>CQ29/$CQ$15</f>
        <v>0.28602686141027289</v>
      </c>
      <c r="CV29" s="1182">
        <f ca="1">CR29/$CR$15</f>
        <v>0.51466421865491996</v>
      </c>
      <c r="CW29" s="1168">
        <f t="shared" ca="1" si="33"/>
        <v>2363.9000000000015</v>
      </c>
      <c r="CX29" s="1168">
        <f t="shared" si="34"/>
        <v>127019.17638888891</v>
      </c>
      <c r="CY29" s="1168">
        <f t="shared" ca="1" si="35"/>
        <v>1108.8999999999978</v>
      </c>
      <c r="CZ29" s="1181">
        <f t="shared" ca="1" si="36"/>
        <v>-125910.27638888892</v>
      </c>
      <c r="DA29" s="1182">
        <f ca="1">CW29/$CX$15</f>
        <v>4.155925529836995E-3</v>
      </c>
      <c r="DB29" s="1182">
        <f>CX29/$CX$15</f>
        <v>0.22330988533078874</v>
      </c>
      <c r="DC29" s="1182">
        <f ca="1">CY29/$CY$15</f>
        <v>1.1588084911433524E-2</v>
      </c>
      <c r="DD29" s="1168">
        <f ca="1">DD22-DD23</f>
        <v>4808.9500000000007</v>
      </c>
      <c r="DE29" s="1168">
        <f>DE22-DE23</f>
        <v>10482.138055555559</v>
      </c>
      <c r="DF29" s="1168">
        <f ca="1">DF22-DF23</f>
        <v>10216.950000000001</v>
      </c>
      <c r="DG29" s="1181">
        <f t="shared" ca="1" si="37"/>
        <v>-265.18805555555809</v>
      </c>
      <c r="DH29" s="1182">
        <f ca="1">DD29/$DE$15</f>
        <v>6.642836560762351E-2</v>
      </c>
      <c r="DI29" s="1182">
        <f>DE29/$DE$15</f>
        <v>0.14479487187515536</v>
      </c>
      <c r="DJ29" s="1182">
        <f ca="1">DF29/$DF$15</f>
        <v>0.52853464771857839</v>
      </c>
      <c r="DK29" s="1168">
        <f t="shared" ca="1" si="38"/>
        <v>7172.8500000000022</v>
      </c>
      <c r="DL29" s="1168">
        <f t="shared" si="39"/>
        <v>137501.31444444446</v>
      </c>
      <c r="DM29" s="1168">
        <f t="shared" ca="1" si="40"/>
        <v>11325.849999999999</v>
      </c>
      <c r="DN29" s="1181">
        <f t="shared" ca="1" si="41"/>
        <v>-126175.46444444446</v>
      </c>
      <c r="DO29" s="1182">
        <f ca="1">DK29/$DL$15</f>
        <v>1.1186684893458051E-2</v>
      </c>
      <c r="DP29" s="1182">
        <f>DL29/$DL$15</f>
        <v>0.21444528703741075</v>
      </c>
      <c r="DQ29" s="1182">
        <f ca="1">DM29/$DM$15</f>
        <v>9.8465248461992588E-2</v>
      </c>
      <c r="DR29" s="1168">
        <f ca="1">DR22-DR23</f>
        <v>-5009.9299999999985</v>
      </c>
      <c r="DS29" s="1168">
        <f>DS22-DS23</f>
        <v>41405.718055555561</v>
      </c>
      <c r="DT29" s="1168">
        <f ca="1">DT22-DT23</f>
        <v>-5009.9299999999985</v>
      </c>
      <c r="DU29" s="1181">
        <f t="shared" ca="1" si="42"/>
        <v>-46415.648055555561</v>
      </c>
      <c r="DV29" s="1182">
        <f ca="1">DR29/$DS$15</f>
        <v>-4.844322007839981E-2</v>
      </c>
      <c r="DW29" s="1182">
        <f>DS29/$DS$15</f>
        <v>0.40037012738091171</v>
      </c>
      <c r="DX29" s="1182">
        <f ca="1">DT29/$DT$15</f>
        <v>-0.45841160447218315</v>
      </c>
      <c r="DY29" s="1168">
        <f t="shared" ca="1" si="43"/>
        <v>2162.9200000000037</v>
      </c>
      <c r="DZ29" s="1168">
        <f t="shared" si="44"/>
        <v>178907.03250000003</v>
      </c>
      <c r="EA29" s="1168">
        <f t="shared" ca="1" si="45"/>
        <v>6315.92</v>
      </c>
      <c r="EB29" s="1181">
        <f t="shared" ca="1" si="46"/>
        <v>-172591.11250000002</v>
      </c>
      <c r="EC29" s="1182">
        <f ca="1">DY29/$DZ$15</f>
        <v>2.9047536473666832E-3</v>
      </c>
      <c r="ED29" s="1182">
        <f>DZ29/$DZ$15</f>
        <v>0.2402681815295637</v>
      </c>
      <c r="EE29" s="1182">
        <f ca="1">EA29/$EA$15</f>
        <v>5.0145165582767874E-2</v>
      </c>
      <c r="EF29" s="1168">
        <f ca="1">EF22-EF23</f>
        <v>16838.129999999997</v>
      </c>
      <c r="EG29" s="1168">
        <f>EG22-EG23</f>
        <v>41405.718055555561</v>
      </c>
      <c r="EH29" s="1168">
        <f ca="1">EH22-EH23</f>
        <v>8926.130000000001</v>
      </c>
      <c r="EI29" s="1181">
        <f t="shared" ca="1" si="47"/>
        <v>-32479.58805555556</v>
      </c>
      <c r="EJ29" s="1182">
        <f ca="1">EF29/$EG$15</f>
        <v>0.16281529628132654</v>
      </c>
      <c r="EK29" s="1182">
        <f>EG29/$EG$15</f>
        <v>0.40037012738091171</v>
      </c>
      <c r="EL29" s="1182">
        <f ca="1">EH29/$EH$15</f>
        <v>0.27280248360947335</v>
      </c>
      <c r="EM29" s="1168">
        <f t="shared" ca="1" si="48"/>
        <v>19001.050000000003</v>
      </c>
      <c r="EN29" s="1168">
        <f t="shared" si="49"/>
        <v>220312.7505555556</v>
      </c>
      <c r="EO29" s="1168">
        <f t="shared" ca="1" si="50"/>
        <v>15242.050000000001</v>
      </c>
      <c r="EP29" s="1181">
        <f t="shared" ca="1" si="51"/>
        <v>-205070.70055555561</v>
      </c>
      <c r="EQ29" s="1182">
        <f ca="1">EM29/$EN$15</f>
        <v>2.2406039334434961E-2</v>
      </c>
      <c r="ER29" s="1182">
        <f>EN29/$EN$15</f>
        <v>0.25979280907241104</v>
      </c>
      <c r="ES29" s="1182">
        <f ca="1">EO29/$EO$15</f>
        <v>9.6059602891080786E-2</v>
      </c>
      <c r="ET29" s="1168">
        <f ca="1">ET22-ET23</f>
        <v>-316</v>
      </c>
      <c r="EU29" s="1168">
        <f>EU22-EU23</f>
        <v>31097.858055555545</v>
      </c>
      <c r="EV29" s="1168">
        <f ca="1">EV22-EV23</f>
        <v>7153</v>
      </c>
      <c r="EW29" s="1181">
        <f t="shared" ca="1" si="52"/>
        <v>-23944.858055555545</v>
      </c>
      <c r="EX29" s="1182">
        <f ca="1">ET29/$EU$15</f>
        <v>-3.3950480001770584E-3</v>
      </c>
      <c r="EY29" s="1182">
        <f>EU29/$EU$15</f>
        <v>0.33410987595349328</v>
      </c>
      <c r="EZ29" s="1182">
        <f ca="1">EV29/$EV$15</f>
        <v>-42.076470588235296</v>
      </c>
      <c r="FA29" s="1168">
        <f t="shared" ca="1" si="53"/>
        <v>18685.050000000003</v>
      </c>
      <c r="FB29" s="1168">
        <f t="shared" si="54"/>
        <v>251410.60861111115</v>
      </c>
      <c r="FC29" s="1168">
        <f t="shared" ca="1" si="55"/>
        <v>22395.050000000003</v>
      </c>
      <c r="FD29" s="1181">
        <f t="shared" ca="1" si="56"/>
        <v>-229015.55861111113</v>
      </c>
      <c r="FE29" s="1182">
        <f ca="1">FA29/$FB$15</f>
        <v>1.9854283444198609E-2</v>
      </c>
      <c r="FF29" s="1182">
        <f>FB29/$FB$15</f>
        <v>0.26714284865405652</v>
      </c>
      <c r="FG29" s="1182">
        <f ca="1">FC29/$FC$15</f>
        <v>0.14129115919941876</v>
      </c>
      <c r="FH29" s="1168">
        <f ca="1">FH22-FH23</f>
        <v>-531</v>
      </c>
      <c r="FI29" s="1168">
        <f>FI22-FI23</f>
        <v>31097.858055555545</v>
      </c>
      <c r="FJ29" s="1168">
        <f ca="1">FJ22-FJ23</f>
        <v>509</v>
      </c>
      <c r="FK29" s="1181">
        <f t="shared" ca="1" si="57"/>
        <v>-30588.858055555545</v>
      </c>
      <c r="FL29" s="1182">
        <f ca="1">FH29/$FI$15</f>
        <v>-5.7049698990317031E-3</v>
      </c>
      <c r="FM29" s="1182">
        <f>FI29/$FI$15</f>
        <v>0.33410987595349328</v>
      </c>
      <c r="FN29" s="1182">
        <f ca="1">FJ29/$FJ$15</f>
        <v>15.90625</v>
      </c>
      <c r="FO29" s="1168">
        <f t="shared" ca="1" si="58"/>
        <v>18154.050000000003</v>
      </c>
      <c r="FP29" s="1168">
        <f t="shared" si="59"/>
        <v>282508.46666666667</v>
      </c>
      <c r="FQ29" s="1168">
        <f t="shared" ca="1" si="60"/>
        <v>22904.050000000003</v>
      </c>
      <c r="FR29" s="1181">
        <f t="shared" ca="1" si="61"/>
        <v>-259604.41666666669</v>
      </c>
      <c r="FS29" s="1182">
        <f ca="1">FO29/$FP$15</f>
        <v>1.7553950643307881E-2</v>
      </c>
      <c r="FT29" s="1182">
        <f>FP29/$FP$15</f>
        <v>0.27316988111100582</v>
      </c>
      <c r="FU29" s="1182">
        <f ca="1">FQ29/$FQ$15</f>
        <v>0.14447329053979555</v>
      </c>
      <c r="FV29" s="1171"/>
      <c r="FW29" s="1169">
        <v>0</v>
      </c>
    </row>
    <row r="30" spans="1:179" s="883" customFormat="1" x14ac:dyDescent="0.2">
      <c r="A30" s="1191" t="s">
        <v>255</v>
      </c>
      <c r="B30" s="1192" t="str">
        <f>'Struktur Aktuell'!B157</f>
        <v>Raumkosten</v>
      </c>
      <c r="C30" s="1193">
        <f ca="1">SUM(C31:C32)</f>
        <v>16452.91</v>
      </c>
      <c r="D30" s="1193">
        <f>SUM(D31:D32)</f>
        <v>800</v>
      </c>
      <c r="E30" s="1193">
        <f ca="1">SUM(E31:E32)</f>
        <v>16452.91</v>
      </c>
      <c r="F30" s="1194">
        <f t="shared" ca="1" si="1"/>
        <v>15652.91</v>
      </c>
      <c r="G30" s="1195">
        <f t="shared" ca="1" si="68"/>
        <v>0.10684690228659983</v>
      </c>
      <c r="H30" s="1195">
        <f t="shared" si="68"/>
        <v>7.7355524054667144E-4</v>
      </c>
      <c r="I30" s="1195">
        <f t="shared" ca="1" si="68"/>
        <v>0.10378103639553297</v>
      </c>
      <c r="J30" s="1193">
        <f ca="1">J31+J32</f>
        <v>1761.74</v>
      </c>
      <c r="K30" s="1193">
        <f>K31+K32</f>
        <v>66.666666666666671</v>
      </c>
      <c r="L30" s="1193">
        <f ca="1">L31+L32</f>
        <v>1761.74</v>
      </c>
      <c r="M30" s="1194">
        <f t="shared" ca="1" si="2"/>
        <v>1695.0733333333333</v>
      </c>
      <c r="N30" s="1195">
        <f t="shared" ca="1" si="69"/>
        <v>0.16115779969757871</v>
      </c>
      <c r="O30" s="1195">
        <f t="shared" si="69"/>
        <v>1.0743822785370439E-3</v>
      </c>
      <c r="P30" s="1195">
        <f t="shared" ca="1" si="69"/>
        <v>0.15741388538184756</v>
      </c>
      <c r="Q30" s="1193">
        <f t="shared" ca="1" si="3"/>
        <v>1761.74</v>
      </c>
      <c r="R30" s="1193">
        <f t="shared" si="4"/>
        <v>66.666666666666671</v>
      </c>
      <c r="S30" s="1193">
        <f t="shared" ca="1" si="5"/>
        <v>1761.74</v>
      </c>
      <c r="T30" s="1194">
        <f t="shared" ca="1" si="6"/>
        <v>1695.0733333333333</v>
      </c>
      <c r="U30" s="1195">
        <f t="shared" ca="1" si="70"/>
        <v>0.16115779969757871</v>
      </c>
      <c r="V30" s="1195">
        <f t="shared" si="70"/>
        <v>1.0743822785370439E-3</v>
      </c>
      <c r="W30" s="1195">
        <f t="shared" ca="1" si="70"/>
        <v>0.15741388538184756</v>
      </c>
      <c r="X30" s="1193">
        <f ca="1">X31+X32</f>
        <v>1543.45</v>
      </c>
      <c r="Y30" s="1193">
        <f>Y31+Y32</f>
        <v>66.666666666666671</v>
      </c>
      <c r="Z30" s="1193">
        <f ca="1">Z31+Z32</f>
        <v>1543.45</v>
      </c>
      <c r="AA30" s="1194">
        <f t="shared" ca="1" si="7"/>
        <v>1476.7833333333333</v>
      </c>
      <c r="AB30" s="1195">
        <f ca="1">X30/$Y$15</f>
        <v>1.865537243784E-2</v>
      </c>
      <c r="AC30" s="1195">
        <f>Y30/$Y$15</f>
        <v>8.0578670890278279E-4</v>
      </c>
      <c r="AD30" s="1195">
        <f ca="1">Z30/$Z$15</f>
        <v>0.12993479898810048</v>
      </c>
      <c r="AE30" s="1193">
        <f t="shared" ca="1" si="8"/>
        <v>3305.19</v>
      </c>
      <c r="AF30" s="1193">
        <f t="shared" si="9"/>
        <v>133.33333333333334</v>
      </c>
      <c r="AG30" s="1193">
        <f t="shared" ca="1" si="10"/>
        <v>3305.19</v>
      </c>
      <c r="AH30" s="1194">
        <f t="shared" ca="1" si="11"/>
        <v>3171.8566666666666</v>
      </c>
      <c r="AI30" s="1195">
        <f ca="1">AE30/$AF$15</f>
        <v>2.2828098620557617E-2</v>
      </c>
      <c r="AJ30" s="1195">
        <f>AF30/$AF$15</f>
        <v>9.2089909588889468E-4</v>
      </c>
      <c r="AK30" s="1195">
        <f ca="1">AG30/$AG$15</f>
        <v>0.14326527215369289</v>
      </c>
      <c r="AL30" s="1193">
        <f ca="1">AL31+AL32</f>
        <v>1538.74</v>
      </c>
      <c r="AM30" s="1193">
        <f>AM31+AM32</f>
        <v>66.666666666666671</v>
      </c>
      <c r="AN30" s="1193">
        <f ca="1">AN31+AN32</f>
        <v>1538.74</v>
      </c>
      <c r="AO30" s="1194">
        <f t="shared" ca="1" si="12"/>
        <v>1472.0733333333333</v>
      </c>
      <c r="AP30" s="1195">
        <f ca="1">AL30/$AM$15</f>
        <v>1.4878754885484815E-2</v>
      </c>
      <c r="AQ30" s="1195">
        <f>AM30/$AM$15</f>
        <v>6.4462936712222625E-4</v>
      </c>
      <c r="AR30" s="1195">
        <f ca="1">AN30/$AN$15</f>
        <v>4.8085624999999999</v>
      </c>
      <c r="AS30" s="1193">
        <f t="shared" ca="1" si="13"/>
        <v>4843.93</v>
      </c>
      <c r="AT30" s="1193">
        <f t="shared" si="14"/>
        <v>200</v>
      </c>
      <c r="AU30" s="1193">
        <f t="shared" ca="1" si="15"/>
        <v>4843.93</v>
      </c>
      <c r="AV30" s="1194">
        <f t="shared" ca="1" si="16"/>
        <v>4643.93</v>
      </c>
      <c r="AW30" s="1195">
        <f ca="1">AS30/$AT$15</f>
        <v>1.9515872064277285E-2</v>
      </c>
      <c r="AX30" s="1195">
        <f>AT30/$AT$15</f>
        <v>8.0578670890278279E-4</v>
      </c>
      <c r="AY30" s="1195">
        <f ca="1">AU30/$AU$15</f>
        <v>0.20709033869421753</v>
      </c>
      <c r="AZ30" s="1193">
        <f ca="1">AZ31+AZ32</f>
        <v>1581.49</v>
      </c>
      <c r="BA30" s="1193">
        <f>BA31+BA32</f>
        <v>66.666666666666671</v>
      </c>
      <c r="BB30" s="1193">
        <f ca="1">BB31+BB32</f>
        <v>1581.49</v>
      </c>
      <c r="BC30" s="1194">
        <f t="shared" ca="1" si="17"/>
        <v>1514.8233333333333</v>
      </c>
      <c r="BD30" s="1195">
        <f ca="1">AZ30/$BA$15</f>
        <v>2.1845890667359917E-2</v>
      </c>
      <c r="BE30" s="1195">
        <f>BA30/$BA$15</f>
        <v>9.2089909588889468E-4</v>
      </c>
      <c r="BF30" s="1195">
        <f ca="1">BB30/$BB$15</f>
        <v>0.12187611020475163</v>
      </c>
      <c r="BG30" s="1193">
        <f t="shared" ca="1" si="18"/>
        <v>6425.42</v>
      </c>
      <c r="BH30" s="1193">
        <f t="shared" si="19"/>
        <v>266.66666666666669</v>
      </c>
      <c r="BI30" s="1193">
        <f t="shared" ca="1" si="20"/>
        <v>6425.42</v>
      </c>
      <c r="BJ30" s="1194">
        <f t="shared" ca="1" si="21"/>
        <v>6158.7533333333331</v>
      </c>
      <c r="BK30" s="1195">
        <f ca="1">BG30/$BH$15</f>
        <v>2.0042005297231425E-2</v>
      </c>
      <c r="BL30" s="1195">
        <f>BH30/$BH$15</f>
        <v>8.31779828544808E-4</v>
      </c>
      <c r="BM30" s="1195">
        <f ca="1">BI30/$BI$15</f>
        <v>0.17668450444817127</v>
      </c>
      <c r="BN30" s="1193">
        <f ca="1">BN31+BN32</f>
        <v>2107.02</v>
      </c>
      <c r="BO30" s="1193">
        <f>BO31+BO32</f>
        <v>66.666666666666671</v>
      </c>
      <c r="BP30" s="1193">
        <f ca="1">BP31+BP32</f>
        <v>2107.02</v>
      </c>
      <c r="BQ30" s="1194">
        <f t="shared" ca="1" si="22"/>
        <v>2040.3533333333332</v>
      </c>
      <c r="BR30" s="1195">
        <f ca="1">BN30/$BO$15</f>
        <v>2.5467130670885119E-2</v>
      </c>
      <c r="BS30" s="1195">
        <f>BO30/$BO$15</f>
        <v>8.0578670890278279E-4</v>
      </c>
      <c r="BT30" s="1195">
        <f ca="1">BP30/$BP$15</f>
        <v>0.27158934328077328</v>
      </c>
      <c r="BU30" s="1193">
        <f t="shared" ca="1" si="23"/>
        <v>8532.44</v>
      </c>
      <c r="BV30" s="1193">
        <f t="shared" si="24"/>
        <v>333.33333333333337</v>
      </c>
      <c r="BW30" s="1193">
        <f t="shared" ca="1" si="25"/>
        <v>8532.44</v>
      </c>
      <c r="BX30" s="1194">
        <f t="shared" ca="1" si="26"/>
        <v>8199.1066666666666</v>
      </c>
      <c r="BY30" s="1195">
        <f ca="1">BU30/$BV$15</f>
        <v>2.1154851527724491E-2</v>
      </c>
      <c r="BZ30" s="1195">
        <f>BV30/$BV$15</f>
        <v>8.2644790656695671E-4</v>
      </c>
      <c r="CA30" s="1195">
        <f ca="1">BW30/$BW$15</f>
        <v>0.19337088445167042</v>
      </c>
      <c r="CB30" s="1193">
        <f ca="1">CB31+CB32</f>
        <v>585.28</v>
      </c>
      <c r="CC30" s="1193">
        <f>CC31+CC32</f>
        <v>66.666666666666671</v>
      </c>
      <c r="CD30" s="1193">
        <f ca="1">CD31+CD32</f>
        <v>585.28</v>
      </c>
      <c r="CE30" s="1194">
        <f t="shared" ca="1" si="27"/>
        <v>518.61333333333334</v>
      </c>
      <c r="CF30" s="1195">
        <f ca="1">CB30/$CC$15</f>
        <v>7.0741626747993103E-3</v>
      </c>
      <c r="CG30" s="1195">
        <f>CC30/$CC$15</f>
        <v>8.0578670890278279E-4</v>
      </c>
      <c r="CH30" s="1195" t="e">
        <f ca="1">CD30/$CD$15</f>
        <v>#DIV/0!</v>
      </c>
      <c r="CI30" s="1193">
        <f t="shared" ca="1" si="28"/>
        <v>9117.7200000000012</v>
      </c>
      <c r="CJ30" s="1193">
        <f t="shared" si="29"/>
        <v>400.00000000000006</v>
      </c>
      <c r="CK30" s="1193">
        <f t="shared" ca="1" si="30"/>
        <v>9117.7200000000012</v>
      </c>
      <c r="CL30" s="1194">
        <f t="shared" ca="1" si="31"/>
        <v>8717.7200000000012</v>
      </c>
      <c r="CM30" s="1195">
        <f ca="1">CI30/$CJ$15</f>
        <v>1.8758138531481908E-2</v>
      </c>
      <c r="CN30" s="1195">
        <f>CJ30/$CJ$15</f>
        <v>8.2293110696454415E-4</v>
      </c>
      <c r="CO30" s="1195">
        <f ca="1">CK30/$CK$15</f>
        <v>0.2066350985864166</v>
      </c>
      <c r="CP30" s="1193">
        <f ca="1">CP31+CP32</f>
        <v>2648.0299999999997</v>
      </c>
      <c r="CQ30" s="1193">
        <f>CQ31+CQ32</f>
        <v>66.666666666666671</v>
      </c>
      <c r="CR30" s="1193">
        <f ca="1">CR31+CR32</f>
        <v>2648.0299999999997</v>
      </c>
      <c r="CS30" s="1194">
        <f t="shared" ca="1" si="32"/>
        <v>2581.3633333333332</v>
      </c>
      <c r="CT30" s="1195">
        <f ca="1">CP30/$CQ$15</f>
        <v>3.2006210681637531E-2</v>
      </c>
      <c r="CU30" s="1195">
        <f>CQ30/$CQ$15</f>
        <v>8.0578670890278279E-4</v>
      </c>
      <c r="CV30" s="1195">
        <f ca="1">CR30/$CR$15</f>
        <v>5.1349877580020922E-2</v>
      </c>
      <c r="CW30" s="1193">
        <f t="shared" ca="1" si="33"/>
        <v>11765.75</v>
      </c>
      <c r="CX30" s="1193">
        <f t="shared" si="34"/>
        <v>466.66666666666674</v>
      </c>
      <c r="CY30" s="1193">
        <f t="shared" ca="1" si="35"/>
        <v>11765.75</v>
      </c>
      <c r="CZ30" s="1194">
        <f t="shared" ca="1" si="36"/>
        <v>11299.083333333334</v>
      </c>
      <c r="DA30" s="1195">
        <f ca="1">CW30/$CX$15</f>
        <v>2.0685130844231816E-2</v>
      </c>
      <c r="DB30" s="1195">
        <f>CX30/$CX$15</f>
        <v>8.2043737633737894E-4</v>
      </c>
      <c r="DC30" s="1195">
        <f ca="1">CY30/$CY$15</f>
        <v>0.12295293538344239</v>
      </c>
      <c r="DD30" s="1193">
        <f ca="1">DD31+DD32</f>
        <v>2058.58</v>
      </c>
      <c r="DE30" s="1193">
        <f>DE31+DE32</f>
        <v>66.666666666666671</v>
      </c>
      <c r="DF30" s="1193">
        <f ca="1">DF31+DF32</f>
        <v>2058.58</v>
      </c>
      <c r="DG30" s="1194">
        <f t="shared" ca="1" si="37"/>
        <v>1991.9133333333332</v>
      </c>
      <c r="DH30" s="1195">
        <f ca="1">DD30/$DE$15</f>
        <v>2.8436166912224409E-2</v>
      </c>
      <c r="DI30" s="1195">
        <f>DE30/$DE$15</f>
        <v>9.2089909588889468E-4</v>
      </c>
      <c r="DJ30" s="1195">
        <f ca="1">DF30/$DF$15</f>
        <v>0.1064927258233143</v>
      </c>
      <c r="DK30" s="1193">
        <f t="shared" ca="1" si="38"/>
        <v>13824.33</v>
      </c>
      <c r="DL30" s="1193">
        <f t="shared" si="39"/>
        <v>533.33333333333337</v>
      </c>
      <c r="DM30" s="1193">
        <f t="shared" ca="1" si="40"/>
        <v>13824.33</v>
      </c>
      <c r="DN30" s="1194">
        <f t="shared" ca="1" si="41"/>
        <v>13290.996666666666</v>
      </c>
      <c r="DO30" s="1195">
        <f ca="1">DK30/$DL$15</f>
        <v>2.1560247819650335E-2</v>
      </c>
      <c r="DP30" s="1195">
        <f>DL30/$DL$15</f>
        <v>8.31779828544808E-4</v>
      </c>
      <c r="DQ30" s="1195">
        <f ca="1">DM30/$DM$15</f>
        <v>0.12018666045114301</v>
      </c>
      <c r="DR30" s="1193">
        <f ca="1">DR31+DR32</f>
        <v>1314.29</v>
      </c>
      <c r="DS30" s="1193">
        <f>DS31+DS32</f>
        <v>66.666666666666671</v>
      </c>
      <c r="DT30" s="1193">
        <f ca="1">DT31+DT32</f>
        <v>1314.29</v>
      </c>
      <c r="DU30" s="1194">
        <f t="shared" ca="1" si="42"/>
        <v>1247.6233333333332</v>
      </c>
      <c r="DV30" s="1195">
        <f ca="1">DR30/$DS$15</f>
        <v>1.270844896372606E-2</v>
      </c>
      <c r="DW30" s="1195">
        <f>DS30/$DS$15</f>
        <v>6.4462936712222625E-4</v>
      </c>
      <c r="DX30" s="1195">
        <f ca="1">DT30/$DT$15</f>
        <v>0.12025832449590029</v>
      </c>
      <c r="DY30" s="1193">
        <f t="shared" ca="1" si="43"/>
        <v>15138.619999999999</v>
      </c>
      <c r="DZ30" s="1193">
        <f t="shared" si="44"/>
        <v>600</v>
      </c>
      <c r="EA30" s="1193">
        <f t="shared" ca="1" si="45"/>
        <v>15138.619999999999</v>
      </c>
      <c r="EB30" s="1194">
        <f t="shared" ca="1" si="46"/>
        <v>14538.619999999999</v>
      </c>
      <c r="EC30" s="1195">
        <f ca="1">DY30/$DZ$15</f>
        <v>2.0330831311883072E-2</v>
      </c>
      <c r="ED30" s="1195">
        <f>DZ30/$DZ$15</f>
        <v>8.0578670890278279E-4</v>
      </c>
      <c r="EE30" s="1195">
        <f ca="1">EA30/$EA$15</f>
        <v>0.12019287872465158</v>
      </c>
      <c r="EF30" s="1193">
        <f ca="1">EF31+EF32</f>
        <v>1314.29</v>
      </c>
      <c r="EG30" s="1193">
        <f>EG31+EG32</f>
        <v>66.666666666666671</v>
      </c>
      <c r="EH30" s="1193">
        <f ca="1">EH31+EH32</f>
        <v>1314.29</v>
      </c>
      <c r="EI30" s="1194">
        <f t="shared" ca="1" si="47"/>
        <v>1247.6233333333332</v>
      </c>
      <c r="EJ30" s="1195">
        <f ca="1">EF30/$EG$15</f>
        <v>1.270844896372606E-2</v>
      </c>
      <c r="EK30" s="1195">
        <f>EG30/$EG$15</f>
        <v>6.4462936712222625E-4</v>
      </c>
      <c r="EL30" s="1195">
        <f ca="1">EH30/$EH$15</f>
        <v>4.0167639971980543E-2</v>
      </c>
      <c r="EM30" s="1193">
        <f t="shared" ca="1" si="48"/>
        <v>16452.91</v>
      </c>
      <c r="EN30" s="1193">
        <f t="shared" si="49"/>
        <v>666.66666666666663</v>
      </c>
      <c r="EO30" s="1193">
        <f t="shared" ca="1" si="50"/>
        <v>16452.91</v>
      </c>
      <c r="EP30" s="1194">
        <f t="shared" ca="1" si="51"/>
        <v>15786.243333333334</v>
      </c>
      <c r="EQ30" s="1195">
        <f ca="1">EM30/$EN$15</f>
        <v>1.94012724889371E-2</v>
      </c>
      <c r="ER30" s="1195">
        <f>EN30/$EN$15</f>
        <v>7.8613337453930024E-4</v>
      </c>
      <c r="ES30" s="1195">
        <f ca="1">EO30/$EO$15</f>
        <v>0.10369077656894524</v>
      </c>
      <c r="ET30" s="1193">
        <f ca="1">ET31+ET32</f>
        <v>0</v>
      </c>
      <c r="EU30" s="1193">
        <f>EU31+EU32</f>
        <v>66.666666666666671</v>
      </c>
      <c r="EV30" s="1193">
        <f ca="1">EV31+EV32</f>
        <v>0</v>
      </c>
      <c r="EW30" s="1194">
        <f t="shared" ca="1" si="52"/>
        <v>-66.666666666666671</v>
      </c>
      <c r="EX30" s="1195">
        <f ca="1">ET30/$K$15</f>
        <v>0</v>
      </c>
      <c r="EY30" s="1195">
        <f>EU30/$K$15</f>
        <v>1.0743822785370439E-3</v>
      </c>
      <c r="EZ30" s="1195">
        <f ca="1">EV30/$EV$15</f>
        <v>0</v>
      </c>
      <c r="FA30" s="1193">
        <f t="shared" ca="1" si="53"/>
        <v>16452.91</v>
      </c>
      <c r="FB30" s="1193">
        <f t="shared" si="54"/>
        <v>733.33333333333326</v>
      </c>
      <c r="FC30" s="1193">
        <f t="shared" ca="1" si="55"/>
        <v>16452.91</v>
      </c>
      <c r="FD30" s="1194">
        <f t="shared" ca="1" si="56"/>
        <v>15719.576666666666</v>
      </c>
      <c r="FE30" s="1195">
        <f ca="1">FA30/$FB$15</f>
        <v>1.7482465319701559E-2</v>
      </c>
      <c r="FF30" s="1195">
        <f>FB30/$FB$15</f>
        <v>7.7922231190598768E-4</v>
      </c>
      <c r="FG30" s="1195">
        <f ca="1">FC30/$FC$15</f>
        <v>0.10380198865837355</v>
      </c>
      <c r="FH30" s="1193">
        <f ca="1">FH31+FH32</f>
        <v>0</v>
      </c>
      <c r="FI30" s="1193">
        <f>FI31+FI32</f>
        <v>66.666666666666671</v>
      </c>
      <c r="FJ30" s="1193">
        <f ca="1">FJ31+FJ32</f>
        <v>0</v>
      </c>
      <c r="FK30" s="1194">
        <f t="shared" ca="1" si="57"/>
        <v>-66.666666666666671</v>
      </c>
      <c r="FL30" s="1195">
        <f ca="1">FH30/$FI$15</f>
        <v>0</v>
      </c>
      <c r="FM30" s="1195">
        <f>FI30/$FI$15</f>
        <v>7.1625485235802925E-4</v>
      </c>
      <c r="FN30" s="1195">
        <f ca="1">FJ30/$FJ$15</f>
        <v>0</v>
      </c>
      <c r="FO30" s="1193">
        <f t="shared" ca="1" si="58"/>
        <v>16452.91</v>
      </c>
      <c r="FP30" s="1193">
        <f t="shared" si="59"/>
        <v>799.99999999999989</v>
      </c>
      <c r="FQ30" s="1193">
        <f t="shared" ca="1" si="60"/>
        <v>16452.91</v>
      </c>
      <c r="FR30" s="1194">
        <f t="shared" ca="1" si="61"/>
        <v>15652.91</v>
      </c>
      <c r="FS30" s="1195">
        <f ca="1">FO30/$FP$15</f>
        <v>1.590904344092842E-2</v>
      </c>
      <c r="FT30" s="1195">
        <f>FP30/$FP$15</f>
        <v>7.7355524054667133E-4</v>
      </c>
      <c r="FU30" s="1195">
        <f ca="1">FQ30/$FQ$15</f>
        <v>0.10378103639553297</v>
      </c>
      <c r="FV30" s="1171"/>
      <c r="FW30" s="1196">
        <v>0</v>
      </c>
    </row>
    <row r="31" spans="1:179" s="883" customFormat="1" outlineLevel="1" x14ac:dyDescent="0.2">
      <c r="A31" s="1160">
        <v>15</v>
      </c>
      <c r="B31" s="1160" t="str">
        <f>'Struktur Aktuell'!B158</f>
        <v>Pacht und Miete</v>
      </c>
      <c r="C31" s="1173">
        <f t="shared" ref="C31:E32" ca="1" si="71">J31+X31+AL31+AZ31+BN31+CB31+CP31+DD31+DR31+EF31+ET31+FH31</f>
        <v>14514.279999999999</v>
      </c>
      <c r="D31" s="1174">
        <f t="shared" si="71"/>
        <v>199.99999999999997</v>
      </c>
      <c r="E31" s="1187">
        <f t="shared" ca="1" si="71"/>
        <v>14514.279999999999</v>
      </c>
      <c r="F31" s="1169">
        <f t="shared" ca="1" si="1"/>
        <v>14314.279999999999</v>
      </c>
      <c r="G31" s="1170"/>
      <c r="H31" s="1170"/>
      <c r="I31" s="1170"/>
      <c r="J31" s="1173">
        <f ca="1">SUMIF('Struktur Vorjahr'!$A:$A,'Planzahlen Rentabilität'!$A31,'Struktur Vorjahr'!G:G)</f>
        <v>1538.74</v>
      </c>
      <c r="K31" s="1174">
        <f>Monatsplanung!$W112</f>
        <v>16.666666666666668</v>
      </c>
      <c r="L31" s="1187">
        <f ca="1">SUMIF('Struktur Aktuell'!$A:$A,'Planzahlen Rentabilität'!$A31,'Struktur Aktuell'!G:G)</f>
        <v>1538.74</v>
      </c>
      <c r="M31" s="1169">
        <f t="shared" ca="1" si="2"/>
        <v>1522.0733333333333</v>
      </c>
      <c r="N31" s="1170"/>
      <c r="O31" s="1170"/>
      <c r="P31" s="1170"/>
      <c r="Q31" s="1173">
        <f t="shared" ca="1" si="3"/>
        <v>1538.74</v>
      </c>
      <c r="R31" s="1174">
        <f t="shared" si="4"/>
        <v>16.666666666666668</v>
      </c>
      <c r="S31" s="1187">
        <f t="shared" ca="1" si="5"/>
        <v>1538.74</v>
      </c>
      <c r="T31" s="1169">
        <f t="shared" ca="1" si="6"/>
        <v>1522.0733333333333</v>
      </c>
      <c r="U31" s="1170"/>
      <c r="V31" s="1170"/>
      <c r="W31" s="1170"/>
      <c r="X31" s="1173">
        <f ca="1">SUMIF('Struktur Vorjahr'!$A:$A,'Planzahlen Rentabilität'!$A31,'Struktur Vorjahr'!H:H)</f>
        <v>1538.74</v>
      </c>
      <c r="Y31" s="1174">
        <f>Monatsplanung!$X112</f>
        <v>16.666666666666668</v>
      </c>
      <c r="Z31" s="1187">
        <f ca="1">SUMIF('Struktur Aktuell'!$A:$A,'Planzahlen Rentabilität'!$A31,'Struktur Aktuell'!H:H)</f>
        <v>1538.74</v>
      </c>
      <c r="AA31" s="1169">
        <f t="shared" ca="1" si="7"/>
        <v>1522.0733333333333</v>
      </c>
      <c r="AB31" s="1170"/>
      <c r="AC31" s="1170"/>
      <c r="AD31" s="1170"/>
      <c r="AE31" s="1173">
        <f t="shared" ca="1" si="8"/>
        <v>3077.48</v>
      </c>
      <c r="AF31" s="1174">
        <f t="shared" si="9"/>
        <v>33.333333333333336</v>
      </c>
      <c r="AG31" s="1187">
        <f t="shared" ca="1" si="10"/>
        <v>3077.48</v>
      </c>
      <c r="AH31" s="1169">
        <f t="shared" ca="1" si="11"/>
        <v>3044.1466666666665</v>
      </c>
      <c r="AI31" s="1170"/>
      <c r="AJ31" s="1170"/>
      <c r="AK31" s="1170"/>
      <c r="AL31" s="1173">
        <f ca="1">SUMIF('Struktur Vorjahr'!$A:$A,'Planzahlen Rentabilität'!$A31,'Struktur Vorjahr'!I:I)</f>
        <v>1538.74</v>
      </c>
      <c r="AM31" s="1174">
        <f>Monatsplanung!$Y112</f>
        <v>16.666666666666668</v>
      </c>
      <c r="AN31" s="1187">
        <f ca="1">SUMIF('Struktur Aktuell'!$A:$A,'Planzahlen Rentabilität'!$A31,'Struktur Aktuell'!I:I)</f>
        <v>1538.74</v>
      </c>
      <c r="AO31" s="1169">
        <f t="shared" ca="1" si="12"/>
        <v>1522.0733333333333</v>
      </c>
      <c r="AP31" s="1170"/>
      <c r="AQ31" s="1170"/>
      <c r="AR31" s="1170"/>
      <c r="AS31" s="1173">
        <f t="shared" ca="1" si="13"/>
        <v>4616.22</v>
      </c>
      <c r="AT31" s="1174">
        <f t="shared" si="14"/>
        <v>50</v>
      </c>
      <c r="AU31" s="1187">
        <f t="shared" ca="1" si="15"/>
        <v>4616.22</v>
      </c>
      <c r="AV31" s="1169">
        <f t="shared" ca="1" si="16"/>
        <v>4566.22</v>
      </c>
      <c r="AW31" s="1170"/>
      <c r="AX31" s="1170"/>
      <c r="AY31" s="1170"/>
      <c r="AZ31" s="1173">
        <f ca="1">SUMIF('Struktur Vorjahr'!$A:$A,'Planzahlen Rentabilität'!$A31,'Struktur Vorjahr'!J:J)</f>
        <v>1538.74</v>
      </c>
      <c r="BA31" s="1174">
        <f>Monatsplanung!$Z112</f>
        <v>16.666666666666668</v>
      </c>
      <c r="BB31" s="1187">
        <f ca="1">SUMIF('Struktur Aktuell'!$A:$A,'Planzahlen Rentabilität'!$A31,'Struktur Aktuell'!J:J)</f>
        <v>1538.74</v>
      </c>
      <c r="BC31" s="1169">
        <f t="shared" ca="1" si="17"/>
        <v>1522.0733333333333</v>
      </c>
      <c r="BD31" s="1170"/>
      <c r="BE31" s="1170"/>
      <c r="BF31" s="1170"/>
      <c r="BG31" s="1173">
        <f t="shared" ca="1" si="18"/>
        <v>6154.96</v>
      </c>
      <c r="BH31" s="1174">
        <f t="shared" si="19"/>
        <v>66.666666666666671</v>
      </c>
      <c r="BI31" s="1187">
        <f t="shared" ca="1" si="20"/>
        <v>6154.96</v>
      </c>
      <c r="BJ31" s="1169">
        <f t="shared" ca="1" si="21"/>
        <v>6088.2933333333331</v>
      </c>
      <c r="BK31" s="1170"/>
      <c r="BL31" s="1170"/>
      <c r="BM31" s="1170"/>
      <c r="BN31" s="1173">
        <f ca="1">SUMIF('Struktur Vorjahr'!$A:$A,'Planzahlen Rentabilität'!$A31,'Struktur Vorjahr'!K:K)</f>
        <v>1538.74</v>
      </c>
      <c r="BO31" s="1174">
        <f>Monatsplanung!$AA112</f>
        <v>16.666666666666668</v>
      </c>
      <c r="BP31" s="1187">
        <f ca="1">SUMIF('Struktur Aktuell'!$A:$A,'Planzahlen Rentabilität'!$A31,'Struktur Aktuell'!K:K)</f>
        <v>1538.74</v>
      </c>
      <c r="BQ31" s="1169">
        <f t="shared" ca="1" si="22"/>
        <v>1522.0733333333333</v>
      </c>
      <c r="BR31" s="1170"/>
      <c r="BS31" s="1170"/>
      <c r="BT31" s="1170"/>
      <c r="BU31" s="1173">
        <f t="shared" ca="1" si="23"/>
        <v>7693.7</v>
      </c>
      <c r="BV31" s="1174">
        <f t="shared" si="24"/>
        <v>83.333333333333343</v>
      </c>
      <c r="BW31" s="1187">
        <f t="shared" ca="1" si="25"/>
        <v>7693.7</v>
      </c>
      <c r="BX31" s="1169">
        <f t="shared" ca="1" si="26"/>
        <v>7610.3666666666668</v>
      </c>
      <c r="BY31" s="1170"/>
      <c r="BZ31" s="1170"/>
      <c r="CA31" s="1170"/>
      <c r="CB31" s="1173">
        <f ca="1">SUMIF('Struktur Vorjahr'!$A:$A,'Planzahlen Rentabilität'!$A31,'Struktur Vorjahr'!L:L)</f>
        <v>585.28</v>
      </c>
      <c r="CC31" s="1174">
        <f>Monatsplanung!$AB112</f>
        <v>16.666666666666668</v>
      </c>
      <c r="CD31" s="1187">
        <f ca="1">SUMIF('Struktur Aktuell'!$A:$A,'Planzahlen Rentabilität'!$A31,'Struktur Aktuell'!L:L)</f>
        <v>585.28</v>
      </c>
      <c r="CE31" s="1169">
        <f t="shared" ca="1" si="27"/>
        <v>568.61333333333334</v>
      </c>
      <c r="CF31" s="1170"/>
      <c r="CG31" s="1170"/>
      <c r="CH31" s="1170"/>
      <c r="CI31" s="1173">
        <f t="shared" ca="1" si="28"/>
        <v>8278.98</v>
      </c>
      <c r="CJ31" s="1174">
        <f t="shared" si="29"/>
        <v>100.00000000000001</v>
      </c>
      <c r="CK31" s="1187">
        <f t="shared" ca="1" si="30"/>
        <v>8278.98</v>
      </c>
      <c r="CL31" s="1169">
        <f t="shared" ca="1" si="31"/>
        <v>8178.98</v>
      </c>
      <c r="CM31" s="1170"/>
      <c r="CN31" s="1170"/>
      <c r="CO31" s="1170"/>
      <c r="CP31" s="1173">
        <f ca="1">SUMIF('Struktur Vorjahr'!$A:$A,'Planzahlen Rentabilität'!$A31,'Struktur Vorjahr'!M:M)</f>
        <v>2078.14</v>
      </c>
      <c r="CQ31" s="1174">
        <f>Monatsplanung!$AC112</f>
        <v>16.666666666666668</v>
      </c>
      <c r="CR31" s="1187">
        <f ca="1">SUMIF('Struktur Aktuell'!$A:$A,'Planzahlen Rentabilität'!$A31,'Struktur Aktuell'!M:M)</f>
        <v>2078.14</v>
      </c>
      <c r="CS31" s="1169">
        <f t="shared" ca="1" si="32"/>
        <v>2061.4733333333334</v>
      </c>
      <c r="CT31" s="1170"/>
      <c r="CU31" s="1170"/>
      <c r="CV31" s="1170"/>
      <c r="CW31" s="1173">
        <f t="shared" ca="1" si="33"/>
        <v>10357.119999999999</v>
      </c>
      <c r="CX31" s="1174">
        <f t="shared" si="34"/>
        <v>116.66666666666669</v>
      </c>
      <c r="CY31" s="1187">
        <f t="shared" ca="1" si="35"/>
        <v>10357.119999999999</v>
      </c>
      <c r="CZ31" s="1169">
        <f t="shared" ca="1" si="36"/>
        <v>10240.453333333333</v>
      </c>
      <c r="DA31" s="1170"/>
      <c r="DB31" s="1170"/>
      <c r="DC31" s="1170"/>
      <c r="DD31" s="1173">
        <f ca="1">SUMIF('Struktur Vorjahr'!$A:$A,'Planzahlen Rentabilität'!$A31,'Struktur Vorjahr'!N:N)</f>
        <v>1528.58</v>
      </c>
      <c r="DE31" s="1174">
        <f>Monatsplanung!$AD112</f>
        <v>16.666666666666668</v>
      </c>
      <c r="DF31" s="1187">
        <f ca="1">SUMIF('Struktur Aktuell'!$A:$A,'Planzahlen Rentabilität'!$A31,'Struktur Aktuell'!N:N)</f>
        <v>1528.58</v>
      </c>
      <c r="DG31" s="1169">
        <f t="shared" ca="1" si="37"/>
        <v>1511.9133333333332</v>
      </c>
      <c r="DH31" s="1170"/>
      <c r="DI31" s="1170"/>
      <c r="DJ31" s="1170"/>
      <c r="DK31" s="1173">
        <f t="shared" ca="1" si="38"/>
        <v>11885.699999999999</v>
      </c>
      <c r="DL31" s="1174">
        <f t="shared" si="39"/>
        <v>133.33333333333334</v>
      </c>
      <c r="DM31" s="1187">
        <f t="shared" ca="1" si="40"/>
        <v>11885.699999999999</v>
      </c>
      <c r="DN31" s="1169">
        <f t="shared" ca="1" si="41"/>
        <v>11752.366666666665</v>
      </c>
      <c r="DO31" s="1170"/>
      <c r="DP31" s="1170"/>
      <c r="DQ31" s="1170"/>
      <c r="DR31" s="1173">
        <f ca="1">SUMIF('Struktur Vorjahr'!$A:$A,'Planzahlen Rentabilität'!$A31,'Struktur Vorjahr'!O:O)</f>
        <v>1314.29</v>
      </c>
      <c r="DS31" s="1174">
        <f>Monatsplanung!$AE112</f>
        <v>16.666666666666668</v>
      </c>
      <c r="DT31" s="1187">
        <f ca="1">SUMIF('Struktur Aktuell'!$A:$A,'Planzahlen Rentabilität'!$A31,'Struktur Aktuell'!O:O)</f>
        <v>1314.29</v>
      </c>
      <c r="DU31" s="1169">
        <f t="shared" ca="1" si="42"/>
        <v>1297.6233333333332</v>
      </c>
      <c r="DV31" s="1170"/>
      <c r="DW31" s="1170"/>
      <c r="DX31" s="1170"/>
      <c r="DY31" s="1173">
        <f t="shared" ca="1" si="43"/>
        <v>13199.989999999998</v>
      </c>
      <c r="DZ31" s="1174">
        <f t="shared" si="44"/>
        <v>150</v>
      </c>
      <c r="EA31" s="1187">
        <f t="shared" ca="1" si="45"/>
        <v>13199.989999999998</v>
      </c>
      <c r="EB31" s="1169">
        <f t="shared" ca="1" si="46"/>
        <v>13049.989999999998</v>
      </c>
      <c r="EC31" s="1170"/>
      <c r="ED31" s="1170"/>
      <c r="EE31" s="1170"/>
      <c r="EF31" s="1173">
        <f ca="1">SUMIF('Struktur Vorjahr'!$A:$A,'Planzahlen Rentabilität'!$A31,'Struktur Vorjahr'!P:P)</f>
        <v>1314.29</v>
      </c>
      <c r="EG31" s="1174">
        <f>Monatsplanung!$AF112</f>
        <v>16.666666666666668</v>
      </c>
      <c r="EH31" s="1187">
        <f ca="1">SUMIF('Struktur Aktuell'!$A:$A,'Planzahlen Rentabilität'!$A31,'Struktur Aktuell'!P:P)</f>
        <v>1314.29</v>
      </c>
      <c r="EI31" s="1169">
        <f t="shared" ca="1" si="47"/>
        <v>1297.6233333333332</v>
      </c>
      <c r="EJ31" s="1170"/>
      <c r="EK31" s="1170"/>
      <c r="EL31" s="1170"/>
      <c r="EM31" s="1173">
        <f t="shared" ca="1" si="48"/>
        <v>14514.279999999999</v>
      </c>
      <c r="EN31" s="1174">
        <f t="shared" si="49"/>
        <v>166.66666666666666</v>
      </c>
      <c r="EO31" s="1187">
        <f t="shared" ca="1" si="50"/>
        <v>14514.279999999999</v>
      </c>
      <c r="EP31" s="1169">
        <f t="shared" ca="1" si="51"/>
        <v>14347.613333333333</v>
      </c>
      <c r="EQ31" s="1170"/>
      <c r="ER31" s="1170"/>
      <c r="ES31" s="1170"/>
      <c r="ET31" s="1173">
        <f ca="1">SUMIF('Struktur Vorjahr'!$A:$A,'Planzahlen Rentabilität'!$A31,'Struktur Vorjahr'!Q:Q)</f>
        <v>0</v>
      </c>
      <c r="EU31" s="1174">
        <f>Monatsplanung!$AG112</f>
        <v>16.666666666666668</v>
      </c>
      <c r="EV31" s="1187">
        <f ca="1">SUMIF('Struktur Aktuell'!$A:$A,'Planzahlen Rentabilität'!$A31,'Struktur Aktuell'!Q:Q)</f>
        <v>0</v>
      </c>
      <c r="EW31" s="1169">
        <f t="shared" ca="1" si="52"/>
        <v>-16.666666666666668</v>
      </c>
      <c r="EX31" s="1170"/>
      <c r="EY31" s="1170"/>
      <c r="EZ31" s="1170"/>
      <c r="FA31" s="1173">
        <f t="shared" ca="1" si="53"/>
        <v>14514.279999999999</v>
      </c>
      <c r="FB31" s="1174">
        <f t="shared" si="54"/>
        <v>183.33333333333331</v>
      </c>
      <c r="FC31" s="1187">
        <f t="shared" ca="1" si="55"/>
        <v>14514.279999999999</v>
      </c>
      <c r="FD31" s="1169">
        <f t="shared" ca="1" si="56"/>
        <v>14330.946666666665</v>
      </c>
      <c r="FE31" s="1170"/>
      <c r="FF31" s="1170"/>
      <c r="FG31" s="1170"/>
      <c r="FH31" s="1173">
        <f ca="1">SUMIF('Struktur Vorjahr'!$A:$A,'Planzahlen Rentabilität'!$A31,'Struktur Vorjahr'!R:R)</f>
        <v>0</v>
      </c>
      <c r="FI31" s="1174">
        <f>Monatsplanung!$AH112</f>
        <v>16.666666666666668</v>
      </c>
      <c r="FJ31" s="1187">
        <f ca="1">SUMIF('Struktur Aktuell'!$A:$A,'Planzahlen Rentabilität'!$A31,'Struktur Aktuell'!R:R)</f>
        <v>0</v>
      </c>
      <c r="FK31" s="1169">
        <f t="shared" ca="1" si="57"/>
        <v>-16.666666666666668</v>
      </c>
      <c r="FL31" s="1170"/>
      <c r="FM31" s="1170"/>
      <c r="FN31" s="1170"/>
      <c r="FO31" s="1173">
        <f t="shared" ca="1" si="58"/>
        <v>14514.279999999999</v>
      </c>
      <c r="FP31" s="1174">
        <f t="shared" si="59"/>
        <v>199.99999999999997</v>
      </c>
      <c r="FQ31" s="1187">
        <f t="shared" ca="1" si="60"/>
        <v>14514.279999999999</v>
      </c>
      <c r="FR31" s="1169">
        <f t="shared" ca="1" si="61"/>
        <v>14314.279999999999</v>
      </c>
      <c r="FS31" s="1170"/>
      <c r="FT31" s="1170"/>
      <c r="FU31" s="1170"/>
      <c r="FV31" s="1171"/>
      <c r="FW31" s="1169">
        <v>0</v>
      </c>
    </row>
    <row r="32" spans="1:179" s="883" customFormat="1" outlineLevel="1" x14ac:dyDescent="0.2">
      <c r="A32" s="1160">
        <v>16</v>
      </c>
      <c r="B32" s="1160" t="str">
        <f>'Struktur Aktuell'!B168</f>
        <v>Raumnebenkosten</v>
      </c>
      <c r="C32" s="1173">
        <f t="shared" ca="1" si="71"/>
        <v>1938.63</v>
      </c>
      <c r="D32" s="1174">
        <f t="shared" si="71"/>
        <v>600</v>
      </c>
      <c r="E32" s="1177">
        <f t="shared" ca="1" si="71"/>
        <v>1938.63</v>
      </c>
      <c r="F32" s="1169">
        <f t="shared" ca="1" si="1"/>
        <v>1338.63</v>
      </c>
      <c r="G32" s="1170"/>
      <c r="H32" s="1170"/>
      <c r="I32" s="1170"/>
      <c r="J32" s="1173">
        <f ca="1">SUMIF('Struktur Vorjahr'!$A:$A,'Planzahlen Rentabilität'!$A32,'Struktur Vorjahr'!G:G)</f>
        <v>223</v>
      </c>
      <c r="K32" s="1174">
        <f>Monatsplanung!$W113</f>
        <v>50</v>
      </c>
      <c r="L32" s="1177">
        <f ca="1">SUMIF('Struktur Aktuell'!$A:$A,'Planzahlen Rentabilität'!$A32,'Struktur Aktuell'!G:G)</f>
        <v>223</v>
      </c>
      <c r="M32" s="1169">
        <f t="shared" ca="1" si="2"/>
        <v>173</v>
      </c>
      <c r="N32" s="1170"/>
      <c r="O32" s="1170"/>
      <c r="P32" s="1170"/>
      <c r="Q32" s="1173">
        <f t="shared" ca="1" si="3"/>
        <v>223</v>
      </c>
      <c r="R32" s="1174">
        <f t="shared" si="4"/>
        <v>50</v>
      </c>
      <c r="S32" s="1177">
        <f t="shared" ca="1" si="5"/>
        <v>223</v>
      </c>
      <c r="T32" s="1169">
        <f t="shared" ca="1" si="6"/>
        <v>173</v>
      </c>
      <c r="U32" s="1170"/>
      <c r="V32" s="1170"/>
      <c r="W32" s="1170"/>
      <c r="X32" s="1173">
        <f ca="1">SUMIF('Struktur Vorjahr'!$A:$A,'Planzahlen Rentabilität'!$A32,'Struktur Vorjahr'!H:H)</f>
        <v>4.71</v>
      </c>
      <c r="Y32" s="1174">
        <f>Monatsplanung!$X113</f>
        <v>50</v>
      </c>
      <c r="Z32" s="1177">
        <f ca="1">SUMIF('Struktur Aktuell'!$A:$A,'Planzahlen Rentabilität'!$A32,'Struktur Aktuell'!H:H)</f>
        <v>4.71</v>
      </c>
      <c r="AA32" s="1169">
        <f t="shared" ca="1" si="7"/>
        <v>-45.29</v>
      </c>
      <c r="AB32" s="1170"/>
      <c r="AC32" s="1170"/>
      <c r="AD32" s="1170"/>
      <c r="AE32" s="1173">
        <f t="shared" ca="1" si="8"/>
        <v>227.71</v>
      </c>
      <c r="AF32" s="1174">
        <f t="shared" si="9"/>
        <v>100</v>
      </c>
      <c r="AG32" s="1177">
        <f t="shared" ca="1" si="10"/>
        <v>227.71</v>
      </c>
      <c r="AH32" s="1169">
        <f t="shared" ca="1" si="11"/>
        <v>127.71000000000001</v>
      </c>
      <c r="AI32" s="1170"/>
      <c r="AJ32" s="1170"/>
      <c r="AK32" s="1170"/>
      <c r="AL32" s="1173">
        <v>0</v>
      </c>
      <c r="AM32" s="1174">
        <f>Monatsplanung!$Y113</f>
        <v>50</v>
      </c>
      <c r="AN32" s="1177">
        <v>0</v>
      </c>
      <c r="AO32" s="1169">
        <f t="shared" si="12"/>
        <v>-50</v>
      </c>
      <c r="AP32" s="1170"/>
      <c r="AQ32" s="1170"/>
      <c r="AR32" s="1170"/>
      <c r="AS32" s="1173">
        <f t="shared" ca="1" si="13"/>
        <v>227.71</v>
      </c>
      <c r="AT32" s="1174">
        <f t="shared" si="14"/>
        <v>150</v>
      </c>
      <c r="AU32" s="1177">
        <f t="shared" ca="1" si="15"/>
        <v>227.71</v>
      </c>
      <c r="AV32" s="1169">
        <f t="shared" ca="1" si="16"/>
        <v>77.710000000000008</v>
      </c>
      <c r="AW32" s="1170"/>
      <c r="AX32" s="1170"/>
      <c r="AY32" s="1170"/>
      <c r="AZ32" s="1173">
        <f ca="1">SUMIF('Struktur Vorjahr'!$A:$A,'Planzahlen Rentabilität'!$A32,'Struktur Vorjahr'!J:J)</f>
        <v>42.75</v>
      </c>
      <c r="BA32" s="1174">
        <f>Monatsplanung!$Z113</f>
        <v>50</v>
      </c>
      <c r="BB32" s="1177">
        <f ca="1">SUMIF('Struktur Aktuell'!$A:$A,'Planzahlen Rentabilität'!$A32,'Struktur Aktuell'!J:J)</f>
        <v>42.75</v>
      </c>
      <c r="BC32" s="1169">
        <f t="shared" ca="1" si="17"/>
        <v>-7.25</v>
      </c>
      <c r="BD32" s="1170"/>
      <c r="BE32" s="1170"/>
      <c r="BF32" s="1170"/>
      <c r="BG32" s="1173">
        <f t="shared" ca="1" si="18"/>
        <v>270.46000000000004</v>
      </c>
      <c r="BH32" s="1174">
        <f t="shared" si="19"/>
        <v>200</v>
      </c>
      <c r="BI32" s="1177">
        <f t="shared" ca="1" si="20"/>
        <v>270.46000000000004</v>
      </c>
      <c r="BJ32" s="1169">
        <f t="shared" ca="1" si="21"/>
        <v>70.460000000000036</v>
      </c>
      <c r="BK32" s="1170"/>
      <c r="BL32" s="1170"/>
      <c r="BM32" s="1170"/>
      <c r="BN32" s="1173">
        <f ca="1">SUMIF('Struktur Vorjahr'!$A:$A,'Planzahlen Rentabilität'!$A32,'Struktur Vorjahr'!K:K)</f>
        <v>568.28</v>
      </c>
      <c r="BO32" s="1174">
        <f>Monatsplanung!$AA113</f>
        <v>50</v>
      </c>
      <c r="BP32" s="1177">
        <f ca="1">SUMIF('Struktur Aktuell'!$A:$A,'Planzahlen Rentabilität'!$A32,'Struktur Aktuell'!K:K)</f>
        <v>568.28</v>
      </c>
      <c r="BQ32" s="1169">
        <f t="shared" ca="1" si="22"/>
        <v>518.28</v>
      </c>
      <c r="BR32" s="1170"/>
      <c r="BS32" s="1170"/>
      <c r="BT32" s="1170"/>
      <c r="BU32" s="1173">
        <f t="shared" ca="1" si="23"/>
        <v>838.74</v>
      </c>
      <c r="BV32" s="1174">
        <f t="shared" si="24"/>
        <v>250</v>
      </c>
      <c r="BW32" s="1177">
        <f t="shared" ca="1" si="25"/>
        <v>838.74</v>
      </c>
      <c r="BX32" s="1169">
        <f t="shared" ca="1" si="26"/>
        <v>588.74</v>
      </c>
      <c r="BY32" s="1170"/>
      <c r="BZ32" s="1170"/>
      <c r="CA32" s="1170"/>
      <c r="CB32" s="1173">
        <v>0</v>
      </c>
      <c r="CC32" s="1174">
        <f>Monatsplanung!$AB113</f>
        <v>50</v>
      </c>
      <c r="CD32" s="1177">
        <v>0</v>
      </c>
      <c r="CE32" s="1169">
        <f t="shared" si="27"/>
        <v>-50</v>
      </c>
      <c r="CF32" s="1170"/>
      <c r="CG32" s="1170"/>
      <c r="CH32" s="1170"/>
      <c r="CI32" s="1173">
        <f t="shared" ca="1" si="28"/>
        <v>838.74</v>
      </c>
      <c r="CJ32" s="1174">
        <f t="shared" si="29"/>
        <v>300</v>
      </c>
      <c r="CK32" s="1177">
        <f t="shared" ca="1" si="30"/>
        <v>838.74</v>
      </c>
      <c r="CL32" s="1169">
        <f t="shared" ca="1" si="31"/>
        <v>538.74</v>
      </c>
      <c r="CM32" s="1170"/>
      <c r="CN32" s="1170"/>
      <c r="CO32" s="1170"/>
      <c r="CP32" s="1173">
        <f ca="1">SUMIF('Struktur Vorjahr'!$A:$A,'Planzahlen Rentabilität'!$A32,'Struktur Vorjahr'!M:M)</f>
        <v>569.89</v>
      </c>
      <c r="CQ32" s="1174">
        <f>Monatsplanung!$AC113</f>
        <v>50</v>
      </c>
      <c r="CR32" s="1177">
        <f ca="1">SUMIF('Struktur Aktuell'!$A:$A,'Planzahlen Rentabilität'!$A32,'Struktur Aktuell'!M:M)</f>
        <v>569.89</v>
      </c>
      <c r="CS32" s="1169">
        <f t="shared" ca="1" si="32"/>
        <v>519.89</v>
      </c>
      <c r="CT32" s="1170"/>
      <c r="CU32" s="1170"/>
      <c r="CV32" s="1170"/>
      <c r="CW32" s="1173">
        <f t="shared" ca="1" si="33"/>
        <v>1408.63</v>
      </c>
      <c r="CX32" s="1174">
        <f t="shared" si="34"/>
        <v>350</v>
      </c>
      <c r="CY32" s="1177">
        <f t="shared" ca="1" si="35"/>
        <v>1408.63</v>
      </c>
      <c r="CZ32" s="1169">
        <f t="shared" ca="1" si="36"/>
        <v>1058.6300000000001</v>
      </c>
      <c r="DA32" s="1170"/>
      <c r="DB32" s="1170"/>
      <c r="DC32" s="1170"/>
      <c r="DD32" s="1173">
        <f ca="1">SUMIF('Struktur Vorjahr'!$A:$A,'Planzahlen Rentabilität'!$A32,'Struktur Vorjahr'!N:N)</f>
        <v>530</v>
      </c>
      <c r="DE32" s="1174">
        <f>Monatsplanung!$AD113</f>
        <v>50</v>
      </c>
      <c r="DF32" s="1177">
        <f ca="1">SUMIF('Struktur Aktuell'!$A:$A,'Planzahlen Rentabilität'!$A32,'Struktur Aktuell'!N:N)</f>
        <v>530</v>
      </c>
      <c r="DG32" s="1169">
        <f t="shared" ca="1" si="37"/>
        <v>480</v>
      </c>
      <c r="DH32" s="1170"/>
      <c r="DI32" s="1170"/>
      <c r="DJ32" s="1170"/>
      <c r="DK32" s="1173">
        <f t="shared" ca="1" si="38"/>
        <v>1938.63</v>
      </c>
      <c r="DL32" s="1174">
        <f t="shared" si="39"/>
        <v>400</v>
      </c>
      <c r="DM32" s="1177">
        <f t="shared" ca="1" si="40"/>
        <v>1938.63</v>
      </c>
      <c r="DN32" s="1169">
        <f t="shared" ca="1" si="41"/>
        <v>1538.63</v>
      </c>
      <c r="DO32" s="1170"/>
      <c r="DP32" s="1170"/>
      <c r="DQ32" s="1170"/>
      <c r="DR32" s="1173">
        <f ca="1">SUMIF('Struktur Vorjahr'!$A:$A,'Planzahlen Rentabilität'!$A32,'Struktur Vorjahr'!O:O)</f>
        <v>0</v>
      </c>
      <c r="DS32" s="1174">
        <f>Monatsplanung!$AE113</f>
        <v>50</v>
      </c>
      <c r="DT32" s="1177">
        <f ca="1">SUMIF('Struktur Aktuell'!$A:$A,'Planzahlen Rentabilität'!$A32,'Struktur Aktuell'!O:O)</f>
        <v>0</v>
      </c>
      <c r="DU32" s="1169">
        <f t="shared" ca="1" si="42"/>
        <v>-50</v>
      </c>
      <c r="DV32" s="1170"/>
      <c r="DW32" s="1170"/>
      <c r="DX32" s="1170"/>
      <c r="DY32" s="1173">
        <f t="shared" ca="1" si="43"/>
        <v>1938.63</v>
      </c>
      <c r="DZ32" s="1174">
        <f t="shared" si="44"/>
        <v>450</v>
      </c>
      <c r="EA32" s="1177">
        <f t="shared" ca="1" si="45"/>
        <v>1938.63</v>
      </c>
      <c r="EB32" s="1169">
        <f t="shared" ca="1" si="46"/>
        <v>1488.63</v>
      </c>
      <c r="EC32" s="1170"/>
      <c r="ED32" s="1170"/>
      <c r="EE32" s="1170"/>
      <c r="EF32" s="1173">
        <f ca="1">SUMIF('Struktur Vorjahr'!$A:$A,'Planzahlen Rentabilität'!$A32,'Struktur Vorjahr'!P:P)</f>
        <v>0</v>
      </c>
      <c r="EG32" s="1174">
        <f>Monatsplanung!$AF113</f>
        <v>50</v>
      </c>
      <c r="EH32" s="1177">
        <f ca="1">SUMIF('Struktur Aktuell'!$A:$A,'Planzahlen Rentabilität'!$A32,'Struktur Aktuell'!P:P)</f>
        <v>0</v>
      </c>
      <c r="EI32" s="1169">
        <f t="shared" ca="1" si="47"/>
        <v>-50</v>
      </c>
      <c r="EJ32" s="1170"/>
      <c r="EK32" s="1170"/>
      <c r="EL32" s="1170"/>
      <c r="EM32" s="1173">
        <f t="shared" ca="1" si="48"/>
        <v>1938.63</v>
      </c>
      <c r="EN32" s="1174">
        <f t="shared" si="49"/>
        <v>500</v>
      </c>
      <c r="EO32" s="1177">
        <f t="shared" ca="1" si="50"/>
        <v>1938.63</v>
      </c>
      <c r="EP32" s="1169">
        <f t="shared" ca="1" si="51"/>
        <v>1438.63</v>
      </c>
      <c r="EQ32" s="1170"/>
      <c r="ER32" s="1170"/>
      <c r="ES32" s="1170"/>
      <c r="ET32" s="1173">
        <f ca="1">SUMIF('Struktur Vorjahr'!$A:$A,'Planzahlen Rentabilität'!$A32,'Struktur Vorjahr'!Q:Q)</f>
        <v>0</v>
      </c>
      <c r="EU32" s="1174">
        <f>Monatsplanung!$AG113</f>
        <v>50</v>
      </c>
      <c r="EV32" s="1177">
        <f ca="1">SUMIF('Struktur Aktuell'!$A:$A,'Planzahlen Rentabilität'!$A32,'Struktur Aktuell'!Q:Q)</f>
        <v>0</v>
      </c>
      <c r="EW32" s="1169">
        <f t="shared" ca="1" si="52"/>
        <v>-50</v>
      </c>
      <c r="EX32" s="1170"/>
      <c r="EY32" s="1170"/>
      <c r="EZ32" s="1170"/>
      <c r="FA32" s="1173">
        <f t="shared" ca="1" si="53"/>
        <v>1938.63</v>
      </c>
      <c r="FB32" s="1174">
        <f t="shared" si="54"/>
        <v>550</v>
      </c>
      <c r="FC32" s="1177">
        <f t="shared" ca="1" si="55"/>
        <v>1938.63</v>
      </c>
      <c r="FD32" s="1169">
        <f t="shared" ca="1" si="56"/>
        <v>1388.63</v>
      </c>
      <c r="FE32" s="1170"/>
      <c r="FF32" s="1170"/>
      <c r="FG32" s="1170"/>
      <c r="FH32" s="1173">
        <f ca="1">SUMIF('Struktur Vorjahr'!$A:$A,'Planzahlen Rentabilität'!$A32,'Struktur Vorjahr'!R:R)</f>
        <v>0</v>
      </c>
      <c r="FI32" s="1174">
        <f>Monatsplanung!$AH113</f>
        <v>50</v>
      </c>
      <c r="FJ32" s="1177">
        <f ca="1">SUMIF('Struktur Aktuell'!$A:$A,'Planzahlen Rentabilität'!$A32,'Struktur Aktuell'!R:R)</f>
        <v>0</v>
      </c>
      <c r="FK32" s="1169">
        <f t="shared" ca="1" si="57"/>
        <v>-50</v>
      </c>
      <c r="FL32" s="1170"/>
      <c r="FM32" s="1170"/>
      <c r="FN32" s="1170"/>
      <c r="FO32" s="1173">
        <f t="shared" ca="1" si="58"/>
        <v>1938.63</v>
      </c>
      <c r="FP32" s="1174">
        <f t="shared" si="59"/>
        <v>600</v>
      </c>
      <c r="FQ32" s="1177">
        <f t="shared" ca="1" si="60"/>
        <v>1938.63</v>
      </c>
      <c r="FR32" s="1169">
        <f t="shared" ca="1" si="61"/>
        <v>1338.63</v>
      </c>
      <c r="FS32" s="1170"/>
      <c r="FT32" s="1170"/>
      <c r="FU32" s="1170"/>
      <c r="FV32" s="1171"/>
      <c r="FW32" s="1169">
        <v>0</v>
      </c>
    </row>
    <row r="33" spans="1:179" s="883" customFormat="1" x14ac:dyDescent="0.2">
      <c r="A33" s="1191" t="s">
        <v>257</v>
      </c>
      <c r="B33" s="1192" t="str">
        <f>'Struktur Aktuell'!B177</f>
        <v>Betriebliche Kosten</v>
      </c>
      <c r="C33" s="1193">
        <f ca="1">SUM(C34:C43)</f>
        <v>15013.560000000001</v>
      </c>
      <c r="D33" s="1193">
        <f>SUM(D34:D43)</f>
        <v>23110</v>
      </c>
      <c r="E33" s="1193">
        <f ca="1">SUM(E34:E43)</f>
        <v>15013.560000000001</v>
      </c>
      <c r="F33" s="1194">
        <f t="shared" ca="1" si="1"/>
        <v>-8096.4399999999987</v>
      </c>
      <c r="G33" s="1195">
        <f ca="1">C33/C$15</f>
        <v>9.7499614250245337E-2</v>
      </c>
      <c r="H33" s="1195">
        <f>D33/D$15</f>
        <v>2.2346077011291973E-2</v>
      </c>
      <c r="I33" s="1195">
        <f ca="1">E33/E$15</f>
        <v>9.4701959518803558E-2</v>
      </c>
      <c r="J33" s="1193">
        <f ca="1">SUM(J34:J43)</f>
        <v>1130.45</v>
      </c>
      <c r="K33" s="1193">
        <f>SUM(K34:K43)</f>
        <v>1925.8333333333333</v>
      </c>
      <c r="L33" s="1193">
        <f ca="1">SUM(L34:L43)</f>
        <v>1130.45</v>
      </c>
      <c r="M33" s="1194">
        <f t="shared" ca="1" si="2"/>
        <v>-795.38333333333321</v>
      </c>
      <c r="N33" s="1195">
        <f ca="1">J33/J$15</f>
        <v>0.10340960338536212</v>
      </c>
      <c r="O33" s="1195">
        <f>K33/K$15</f>
        <v>3.1036218071238852E-2</v>
      </c>
      <c r="P33" s="1195">
        <f ca="1">L33/L$15</f>
        <v>0.10100725801191411</v>
      </c>
      <c r="Q33" s="1193">
        <f t="shared" ca="1" si="3"/>
        <v>1130.45</v>
      </c>
      <c r="R33" s="1193">
        <f t="shared" si="4"/>
        <v>1925.8333333333333</v>
      </c>
      <c r="S33" s="1193">
        <f t="shared" ca="1" si="5"/>
        <v>1130.45</v>
      </c>
      <c r="T33" s="1194">
        <f t="shared" ca="1" si="6"/>
        <v>-795.38333333333321</v>
      </c>
      <c r="U33" s="1195">
        <f ca="1">Q33/Q$15</f>
        <v>0.10340960338536212</v>
      </c>
      <c r="V33" s="1195">
        <f>R33/R$15</f>
        <v>3.1036218071238852E-2</v>
      </c>
      <c r="W33" s="1195">
        <f ca="1">S33/S$15</f>
        <v>0.10100725801191411</v>
      </c>
      <c r="X33" s="1193">
        <f ca="1">SUM(X34:X43)</f>
        <v>2232.3599999999997</v>
      </c>
      <c r="Y33" s="1193">
        <f>SUM(Y34:Y43)</f>
        <v>1925.8333333333333</v>
      </c>
      <c r="Z33" s="1193">
        <f ca="1">SUM(Z34:Z43)</f>
        <v>2232.3599999999997</v>
      </c>
      <c r="AA33" s="1194">
        <f t="shared" ca="1" si="7"/>
        <v>306.52666666666642</v>
      </c>
      <c r="AB33" s="1195">
        <f ca="1">X33/$Y$15</f>
        <v>2.6982090262293236E-2</v>
      </c>
      <c r="AC33" s="1195">
        <f>Y33/$Y$15</f>
        <v>2.3277163553429136E-2</v>
      </c>
      <c r="AD33" s="1195">
        <f ca="1">Z33/$Z$15</f>
        <v>0.18793044664166378</v>
      </c>
      <c r="AE33" s="1193">
        <f t="shared" ca="1" si="8"/>
        <v>3362.8099999999995</v>
      </c>
      <c r="AF33" s="1193">
        <f t="shared" si="9"/>
        <v>3851.6666666666665</v>
      </c>
      <c r="AG33" s="1193">
        <f t="shared" ca="1" si="10"/>
        <v>3362.8099999999995</v>
      </c>
      <c r="AH33" s="1194">
        <f t="shared" ca="1" si="11"/>
        <v>-488.85666666666702</v>
      </c>
      <c r="AI33" s="1195">
        <f ca="1">AE33/$AF$15</f>
        <v>2.3226065164845999E-2</v>
      </c>
      <c r="AJ33" s="1195">
        <f>AF33/$AF$15</f>
        <v>2.6602472632490441E-2</v>
      </c>
      <c r="AK33" s="1195">
        <f ca="1">AG33/$AG$15</f>
        <v>0.14576284263572137</v>
      </c>
      <c r="AL33" s="1193">
        <f>SUM(AL34:AL43)</f>
        <v>0</v>
      </c>
      <c r="AM33" s="1193">
        <f>SUM(AM34:AM43)</f>
        <v>1925.8333333333333</v>
      </c>
      <c r="AN33" s="1193">
        <f>SUM(AN34:AN43)</f>
        <v>0</v>
      </c>
      <c r="AO33" s="1194">
        <f t="shared" si="12"/>
        <v>-1925.8333333333333</v>
      </c>
      <c r="AP33" s="1195">
        <f>AL33/$AM$15</f>
        <v>0</v>
      </c>
      <c r="AQ33" s="1195">
        <f>AM33/$AM$15</f>
        <v>1.8621730842743309E-2</v>
      </c>
      <c r="AR33" s="1195">
        <f ca="1">AN33/$L$15</f>
        <v>0</v>
      </c>
      <c r="AS33" s="1193">
        <f t="shared" ca="1" si="13"/>
        <v>3362.8099999999995</v>
      </c>
      <c r="AT33" s="1193">
        <f t="shared" si="14"/>
        <v>5777.5</v>
      </c>
      <c r="AU33" s="1193">
        <f t="shared" ca="1" si="15"/>
        <v>3362.8099999999995</v>
      </c>
      <c r="AV33" s="1194">
        <f t="shared" ca="1" si="16"/>
        <v>-2414.6900000000005</v>
      </c>
      <c r="AW33" s="1195">
        <f ca="1">AS33/$AT$15</f>
        <v>1.3548538012826832E-2</v>
      </c>
      <c r="AX33" s="1195">
        <f>AT33/$AT$15</f>
        <v>2.3277163553429136E-2</v>
      </c>
      <c r="AY33" s="1195">
        <f ca="1">AU33/$AU$15</f>
        <v>0.14376868820653924</v>
      </c>
      <c r="AZ33" s="1193">
        <f ca="1">SUM(AZ34:AZ43)</f>
        <v>3104.4</v>
      </c>
      <c r="BA33" s="1193">
        <f>SUM(BA34:BA43)</f>
        <v>1925.8333333333333</v>
      </c>
      <c r="BB33" s="1193">
        <f ca="1">SUM(BB34:BB43)</f>
        <v>3104.4</v>
      </c>
      <c r="BC33" s="1194">
        <f t="shared" ca="1" si="17"/>
        <v>1178.5666666666668</v>
      </c>
      <c r="BD33" s="1195">
        <f ca="1">AZ33/$BA$15</f>
        <v>4.2882587299162264E-2</v>
      </c>
      <c r="BE33" s="1195">
        <f>BA33/$BA$15</f>
        <v>2.6602472632490441E-2</v>
      </c>
      <c r="BF33" s="1195">
        <f ca="1">BB33/$BB$15</f>
        <v>0.23923780518348581</v>
      </c>
      <c r="BG33" s="1193">
        <f t="shared" ca="1" si="18"/>
        <v>6467.2099999999991</v>
      </c>
      <c r="BH33" s="1193">
        <f t="shared" si="19"/>
        <v>7703.333333333333</v>
      </c>
      <c r="BI33" s="1193">
        <f t="shared" ca="1" si="20"/>
        <v>6467.2099999999991</v>
      </c>
      <c r="BJ33" s="1194">
        <f t="shared" ca="1" si="21"/>
        <v>-1236.1233333333339</v>
      </c>
      <c r="BK33" s="1195">
        <f ca="1">BG33/$BH$15</f>
        <v>2.0172355593612249E-2</v>
      </c>
      <c r="BL33" s="1195">
        <f>BH33/$BH$15</f>
        <v>2.402803979708814E-2</v>
      </c>
      <c r="BM33" s="1195">
        <f ca="1">BI33/$BI$15</f>
        <v>0.17783363484601125</v>
      </c>
      <c r="BN33" s="1193">
        <f ca="1">SUM(BN34:BN43)</f>
        <v>3460.9599999999996</v>
      </c>
      <c r="BO33" s="1193">
        <f>SUM(BO34:BO43)</f>
        <v>1925.8333333333333</v>
      </c>
      <c r="BP33" s="1193">
        <f ca="1">SUM(BP34:BP43)</f>
        <v>3460.9599999999996</v>
      </c>
      <c r="BQ33" s="1194">
        <f t="shared" ca="1" si="22"/>
        <v>1535.1266666666663</v>
      </c>
      <c r="BR33" s="1195">
        <f ca="1">BN33/$BO$15</f>
        <v>4.1831933520662619E-2</v>
      </c>
      <c r="BS33" s="1195">
        <f>BO33/$BO$15</f>
        <v>2.3277163553429136E-2</v>
      </c>
      <c r="BT33" s="1195">
        <f ca="1">BP33/$BP$15</f>
        <v>0.44610865275176548</v>
      </c>
      <c r="BU33" s="1193">
        <f t="shared" ca="1" si="23"/>
        <v>9928.1699999999983</v>
      </c>
      <c r="BV33" s="1193">
        <f t="shared" si="24"/>
        <v>9629.1666666666661</v>
      </c>
      <c r="BW33" s="1193">
        <f t="shared" ca="1" si="25"/>
        <v>9928.1699999999983</v>
      </c>
      <c r="BX33" s="1194">
        <f t="shared" ca="1" si="26"/>
        <v>299.00333333333219</v>
      </c>
      <c r="BY33" s="1195">
        <f ca="1">BU33/$BV$15</f>
        <v>2.4615345937622581E-2</v>
      </c>
      <c r="BZ33" s="1195">
        <f>BV33/$BV$15</f>
        <v>2.3874013900952958E-2</v>
      </c>
      <c r="CA33" s="1195">
        <f ca="1">BW33/$BW$15</f>
        <v>0.22500234562288632</v>
      </c>
      <c r="CB33" s="1193">
        <f>SUM(CB34:CB43)</f>
        <v>0</v>
      </c>
      <c r="CC33" s="1193">
        <f>SUM(CC34:CC43)</f>
        <v>1925.8333333333333</v>
      </c>
      <c r="CD33" s="1193">
        <f>SUM(CD34:CD43)</f>
        <v>0</v>
      </c>
      <c r="CE33" s="1194">
        <f t="shared" si="27"/>
        <v>-1925.8333333333333</v>
      </c>
      <c r="CF33" s="1195">
        <f>CB33/$CC$15</f>
        <v>0</v>
      </c>
      <c r="CG33" s="1195">
        <f>CC33/$CC$15</f>
        <v>2.3277163553429136E-2</v>
      </c>
      <c r="CH33" s="1195" t="e">
        <f>CD33/$CD$15</f>
        <v>#DIV/0!</v>
      </c>
      <c r="CI33" s="1193">
        <f t="shared" ca="1" si="28"/>
        <v>9928.1699999999983</v>
      </c>
      <c r="CJ33" s="1193">
        <f t="shared" si="29"/>
        <v>11555</v>
      </c>
      <c r="CK33" s="1193">
        <f t="shared" ca="1" si="30"/>
        <v>9928.1699999999983</v>
      </c>
      <c r="CL33" s="1194">
        <f t="shared" ca="1" si="31"/>
        <v>-1626.8300000000017</v>
      </c>
      <c r="CM33" s="1195">
        <f ca="1">CI33/$CJ$15</f>
        <v>2.042549982058044E-2</v>
      </c>
      <c r="CN33" s="1195">
        <f>CJ33/$CJ$15</f>
        <v>2.3772422352438267E-2</v>
      </c>
      <c r="CO33" s="1195">
        <f ca="1">CK33/$CK$15</f>
        <v>0.22500234562288632</v>
      </c>
      <c r="CP33" s="1193">
        <f ca="1">SUM(CP34:CP43)</f>
        <v>1492.42</v>
      </c>
      <c r="CQ33" s="1193">
        <f>SUM(CQ34:CQ43)</f>
        <v>1925.8333333333333</v>
      </c>
      <c r="CR33" s="1193">
        <f ca="1">SUM(CR34:CR43)</f>
        <v>1492.42</v>
      </c>
      <c r="CS33" s="1194">
        <f t="shared" ca="1" si="32"/>
        <v>-433.41333333333318</v>
      </c>
      <c r="CT33" s="1195">
        <f ca="1">CP33/$CQ$15</f>
        <v>1.8038583001510365E-2</v>
      </c>
      <c r="CU33" s="1195">
        <f>CQ33/$CQ$15</f>
        <v>2.3277163553429136E-2</v>
      </c>
      <c r="CV33" s="1195">
        <f ca="1">CR33/$CR$15</f>
        <v>2.8940602749204066E-2</v>
      </c>
      <c r="CW33" s="1193">
        <f t="shared" ca="1" si="33"/>
        <v>11420.589999999998</v>
      </c>
      <c r="CX33" s="1193">
        <f t="shared" si="34"/>
        <v>13480.833333333334</v>
      </c>
      <c r="CY33" s="1193">
        <f t="shared" ca="1" si="35"/>
        <v>11420.589999999998</v>
      </c>
      <c r="CZ33" s="1194">
        <f t="shared" ca="1" si="36"/>
        <v>-2060.2433333333356</v>
      </c>
      <c r="DA33" s="1195">
        <f ca="1">CW33/$CX$15</f>
        <v>2.0078311919624794E-2</v>
      </c>
      <c r="DB33" s="1195">
        <f>CX33/$CX$15</f>
        <v>2.3700384708946032E-2</v>
      </c>
      <c r="DC33" s="1195">
        <f ca="1">CY33/$CY$15</f>
        <v>0.11934598850993673</v>
      </c>
      <c r="DD33" s="1193">
        <f ca="1">SUM(DD34:DD43)</f>
        <v>1458.5199999999998</v>
      </c>
      <c r="DE33" s="1193">
        <f>SUM(DE34:DE43)</f>
        <v>1925.8333333333333</v>
      </c>
      <c r="DF33" s="1193">
        <f ca="1">SUM(DF34:DF43)</f>
        <v>1458.5199999999998</v>
      </c>
      <c r="DG33" s="1194">
        <f t="shared" ca="1" si="37"/>
        <v>-467.3133333333335</v>
      </c>
      <c r="DH33" s="1195">
        <f ca="1">DD33/$DE$15</f>
        <v>2.0147246240038056E-2</v>
      </c>
      <c r="DI33" s="1195">
        <f>DE33/$DE$15</f>
        <v>2.6602472632490441E-2</v>
      </c>
      <c r="DJ33" s="1195">
        <f ca="1">DF33/$DF$15</f>
        <v>7.5450927565516204E-2</v>
      </c>
      <c r="DK33" s="1193">
        <f t="shared" ca="1" si="38"/>
        <v>12879.109999999999</v>
      </c>
      <c r="DL33" s="1193">
        <f t="shared" si="39"/>
        <v>15406.666666666668</v>
      </c>
      <c r="DM33" s="1193">
        <f t="shared" ca="1" si="40"/>
        <v>12879.109999999999</v>
      </c>
      <c r="DN33" s="1194">
        <f t="shared" ca="1" si="41"/>
        <v>-2527.5566666666691</v>
      </c>
      <c r="DO33" s="1195">
        <f ca="1">DK33/$DL$15</f>
        <v>2.0086094826768226E-2</v>
      </c>
      <c r="DP33" s="1195">
        <f>DL33/$DL$15</f>
        <v>2.4028039797088143E-2</v>
      </c>
      <c r="DQ33" s="1195">
        <f ca="1">DM33/$DM$15</f>
        <v>0.11196905893326624</v>
      </c>
      <c r="DR33" s="1193">
        <f ca="1">SUM(DR34:DR43)</f>
        <v>872.1400000000001</v>
      </c>
      <c r="DS33" s="1193">
        <f>SUM(DS34:DS43)</f>
        <v>1925.8333333333333</v>
      </c>
      <c r="DT33" s="1193">
        <f ca="1">SUM(DT34:DT43)</f>
        <v>872.1400000000001</v>
      </c>
      <c r="DU33" s="1194">
        <f t="shared" ca="1" si="42"/>
        <v>-1053.6933333333332</v>
      </c>
      <c r="DV33" s="1195">
        <f ca="1">DR33/$DS$15</f>
        <v>8.4331058436296763E-3</v>
      </c>
      <c r="DW33" s="1195">
        <f>DS33/$DS$15</f>
        <v>1.8621730842743309E-2</v>
      </c>
      <c r="DX33" s="1195">
        <f ca="1">DT33/$DT$15</f>
        <v>7.9801333895757026E-2</v>
      </c>
      <c r="DY33" s="1193">
        <f t="shared" ca="1" si="43"/>
        <v>13751.249999999998</v>
      </c>
      <c r="DZ33" s="1193">
        <f t="shared" si="44"/>
        <v>17332.5</v>
      </c>
      <c r="EA33" s="1193">
        <f t="shared" ca="1" si="45"/>
        <v>13751.249999999998</v>
      </c>
      <c r="EB33" s="1194">
        <f t="shared" ca="1" si="46"/>
        <v>-3581.2500000000018</v>
      </c>
      <c r="EC33" s="1195">
        <f ca="1">DY33/$DZ$15</f>
        <v>1.8467624134665649E-2</v>
      </c>
      <c r="ED33" s="1195">
        <f>DZ33/$DZ$15</f>
        <v>2.3277163553429136E-2</v>
      </c>
      <c r="EE33" s="1195">
        <f ca="1">EA33/$EA$15</f>
        <v>0.10917787245880832</v>
      </c>
      <c r="EF33" s="1193">
        <f ca="1">SUM(EF34:EF43)</f>
        <v>1262.31</v>
      </c>
      <c r="EG33" s="1193">
        <f>SUM(EG34:EG43)</f>
        <v>1925.8333333333333</v>
      </c>
      <c r="EH33" s="1193">
        <f ca="1">SUM(EH34:EH43)</f>
        <v>1262.31</v>
      </c>
      <c r="EI33" s="1194">
        <f t="shared" ca="1" si="47"/>
        <v>-663.52333333333331</v>
      </c>
      <c r="EJ33" s="1195">
        <f ca="1">EF33/$EG$15</f>
        <v>1.220583144618086E-2</v>
      </c>
      <c r="EK33" s="1195">
        <f>EG33/$EG$15</f>
        <v>1.8621730842743309E-2</v>
      </c>
      <c r="EL33" s="1195">
        <f ca="1">EH33/$EH$15</f>
        <v>3.8579014991387564E-2</v>
      </c>
      <c r="EM33" s="1193">
        <f t="shared" ca="1" si="48"/>
        <v>15013.559999999998</v>
      </c>
      <c r="EN33" s="1193">
        <f t="shared" si="49"/>
        <v>19258.333333333332</v>
      </c>
      <c r="EO33" s="1193">
        <f t="shared" ca="1" si="50"/>
        <v>15013.559999999998</v>
      </c>
      <c r="EP33" s="1194">
        <f t="shared" ca="1" si="51"/>
        <v>-4244.7733333333344</v>
      </c>
      <c r="EQ33" s="1195">
        <f ca="1">EM33/$EN$15</f>
        <v>1.7703990879972382E-2</v>
      </c>
      <c r="ER33" s="1195">
        <f>EN33/$EN$15</f>
        <v>2.2709427857004034E-2</v>
      </c>
      <c r="ES33" s="1195">
        <f ca="1">EO33/$EO$15</f>
        <v>9.4619595893033717E-2</v>
      </c>
      <c r="ET33" s="1193">
        <f ca="1">SUM(ET34:ET43)</f>
        <v>0</v>
      </c>
      <c r="EU33" s="1193">
        <f>SUM(EU34:EU43)</f>
        <v>1925.8333333333333</v>
      </c>
      <c r="EV33" s="1193">
        <f ca="1">SUM(EV34:EV43)</f>
        <v>0</v>
      </c>
      <c r="EW33" s="1194">
        <f t="shared" ca="1" si="52"/>
        <v>-1925.8333333333333</v>
      </c>
      <c r="EX33" s="1195">
        <f ca="1">ET33/$K$15</f>
        <v>0</v>
      </c>
      <c r="EY33" s="1195">
        <f>EU33/$K$15</f>
        <v>3.1036218071238852E-2</v>
      </c>
      <c r="EZ33" s="1195">
        <f ca="1">EV33/$EV$15</f>
        <v>0</v>
      </c>
      <c r="FA33" s="1193">
        <f t="shared" ca="1" si="53"/>
        <v>15013.559999999998</v>
      </c>
      <c r="FB33" s="1193">
        <f t="shared" si="54"/>
        <v>21184.166666666664</v>
      </c>
      <c r="FC33" s="1193">
        <f t="shared" ca="1" si="55"/>
        <v>15013.559999999998</v>
      </c>
      <c r="FD33" s="1194">
        <f t="shared" ca="1" si="56"/>
        <v>-6170.6066666666666</v>
      </c>
      <c r="FE33" s="1195">
        <f ca="1">FA33/$FB$15</f>
        <v>1.5953046727008081E-2</v>
      </c>
      <c r="FF33" s="1195">
        <f>FB33/$FB$15</f>
        <v>2.2509784535184218E-2</v>
      </c>
      <c r="FG33" s="1195">
        <f ca="1">FC33/$FC$15</f>
        <v>9.4721078814739193E-2</v>
      </c>
      <c r="FH33" s="1193">
        <f ca="1">SUM(FH34:FH43)</f>
        <v>0</v>
      </c>
      <c r="FI33" s="1193">
        <f>SUM(FI34:FI43)</f>
        <v>1925.8333333333333</v>
      </c>
      <c r="FJ33" s="1193">
        <f ca="1">SUM(FJ34:FJ43)</f>
        <v>0</v>
      </c>
      <c r="FK33" s="1194">
        <f t="shared" ca="1" si="57"/>
        <v>-1925.8333333333333</v>
      </c>
      <c r="FL33" s="1195">
        <f ca="1">FH33/$FI$15</f>
        <v>0</v>
      </c>
      <c r="FM33" s="1195">
        <f>FI33/$FI$15</f>
        <v>2.0690812047492568E-2</v>
      </c>
      <c r="FN33" s="1195">
        <f ca="1">FJ33/$FJ$15</f>
        <v>0</v>
      </c>
      <c r="FO33" s="1193">
        <f t="shared" ca="1" si="58"/>
        <v>15013.559999999998</v>
      </c>
      <c r="FP33" s="1193">
        <f t="shared" si="59"/>
        <v>23109.999999999996</v>
      </c>
      <c r="FQ33" s="1193">
        <f t="shared" ca="1" si="60"/>
        <v>15013.559999999998</v>
      </c>
      <c r="FR33" s="1194">
        <f t="shared" ca="1" si="61"/>
        <v>-8096.4399999999987</v>
      </c>
      <c r="FS33" s="1195">
        <f ca="1">FO33/$FP$15</f>
        <v>1.4517272521577354E-2</v>
      </c>
      <c r="FT33" s="1195">
        <f>FP33/$FP$15</f>
        <v>2.234607701129197E-2</v>
      </c>
      <c r="FU33" s="1195">
        <f ca="1">FQ33/$FQ$15</f>
        <v>9.470195951880353E-2</v>
      </c>
      <c r="FV33" s="1171"/>
      <c r="FW33" s="1196">
        <v>0</v>
      </c>
    </row>
    <row r="34" spans="1:179" s="883" customFormat="1" outlineLevel="1" x14ac:dyDescent="0.2">
      <c r="A34" s="1256">
        <v>17</v>
      </c>
      <c r="B34" s="1256" t="str">
        <f>'Struktur Aktuell'!B178</f>
        <v>Werbung</v>
      </c>
      <c r="C34" s="1173">
        <f t="shared" ref="C34:C43" ca="1" si="72">J34+X34+AL34+AZ34+BN34+CB34+CP34+DD34+DR34+EF34+ET34+FH34</f>
        <v>595.31999999999994</v>
      </c>
      <c r="D34" s="1174">
        <f t="shared" ref="D34:D43" si="73">K34+Y34+AM34+BA34+BO34+CC34+CQ34+DE34+DS34+EG34+EU34+FI34</f>
        <v>300</v>
      </c>
      <c r="E34" s="1187">
        <f t="shared" ref="E34:E43" ca="1" si="74">L34+Z34+AN34+BB34+BP34+CD34+CR34+DF34+DT34+EH34+EV34+FJ34</f>
        <v>595.31999999999994</v>
      </c>
      <c r="F34" s="1169">
        <f t="shared" ca="1" si="1"/>
        <v>295.31999999999994</v>
      </c>
      <c r="G34" s="1170"/>
      <c r="H34" s="1170"/>
      <c r="I34" s="1170"/>
      <c r="J34" s="1173">
        <f ca="1">SUMIF('Struktur Vorjahr'!$A:$A,'Planzahlen Rentabilität'!$A34,'Struktur Vorjahr'!G:G)</f>
        <v>16.41</v>
      </c>
      <c r="K34" s="1174">
        <f>Monatsplanung!$W114</f>
        <v>25</v>
      </c>
      <c r="L34" s="1187">
        <f ca="1">SUMIF('Struktur Aktuell'!$A:$A,'Planzahlen Rentabilität'!$A34,'Struktur Aktuell'!G:G)</f>
        <v>16.41</v>
      </c>
      <c r="M34" s="1169">
        <f t="shared" ca="1" si="2"/>
        <v>-8.59</v>
      </c>
      <c r="N34" s="1170"/>
      <c r="O34" s="1170"/>
      <c r="P34" s="1170"/>
      <c r="Q34" s="1173">
        <f t="shared" ca="1" si="3"/>
        <v>16.41</v>
      </c>
      <c r="R34" s="1174">
        <f t="shared" si="4"/>
        <v>25</v>
      </c>
      <c r="S34" s="1187">
        <f t="shared" ca="1" si="5"/>
        <v>16.41</v>
      </c>
      <c r="T34" s="1169">
        <f t="shared" ca="1" si="6"/>
        <v>-8.59</v>
      </c>
      <c r="U34" s="1170"/>
      <c r="V34" s="1170"/>
      <c r="W34" s="1170"/>
      <c r="X34" s="1173">
        <f ca="1">SUMIF('Struktur Vorjahr'!$A:$A,'Planzahlen Rentabilität'!$A34,'Struktur Vorjahr'!H:H)</f>
        <v>31.85</v>
      </c>
      <c r="Y34" s="1174">
        <f>Monatsplanung!$X114</f>
        <v>25</v>
      </c>
      <c r="Z34" s="1187">
        <f ca="1">SUMIF('Struktur Aktuell'!$A:$A,'Planzahlen Rentabilität'!$A34,'Struktur Aktuell'!H:H)</f>
        <v>31.85</v>
      </c>
      <c r="AA34" s="1169">
        <f t="shared" ca="1" si="7"/>
        <v>6.8500000000000014</v>
      </c>
      <c r="AB34" s="1170"/>
      <c r="AC34" s="1170"/>
      <c r="AD34" s="1170"/>
      <c r="AE34" s="1173">
        <f t="shared" ca="1" si="8"/>
        <v>48.260000000000005</v>
      </c>
      <c r="AF34" s="1174">
        <f t="shared" si="9"/>
        <v>50</v>
      </c>
      <c r="AG34" s="1187">
        <f t="shared" ca="1" si="10"/>
        <v>48.260000000000005</v>
      </c>
      <c r="AH34" s="1169">
        <f t="shared" ca="1" si="11"/>
        <v>-1.7399999999999949</v>
      </c>
      <c r="AI34" s="1170"/>
      <c r="AJ34" s="1170"/>
      <c r="AK34" s="1170"/>
      <c r="AL34" s="1173">
        <v>0</v>
      </c>
      <c r="AM34" s="1174">
        <f>Monatsplanung!$Y114</f>
        <v>25</v>
      </c>
      <c r="AN34" s="1187">
        <v>0</v>
      </c>
      <c r="AO34" s="1169">
        <f t="shared" si="12"/>
        <v>-25</v>
      </c>
      <c r="AP34" s="1170"/>
      <c r="AQ34" s="1170"/>
      <c r="AR34" s="1170"/>
      <c r="AS34" s="1173">
        <f t="shared" ca="1" si="13"/>
        <v>48.260000000000005</v>
      </c>
      <c r="AT34" s="1174">
        <f t="shared" si="14"/>
        <v>75</v>
      </c>
      <c r="AU34" s="1187">
        <f t="shared" ca="1" si="15"/>
        <v>48.260000000000005</v>
      </c>
      <c r="AV34" s="1169">
        <f t="shared" ca="1" si="16"/>
        <v>-26.739999999999995</v>
      </c>
      <c r="AW34" s="1170"/>
      <c r="AX34" s="1170"/>
      <c r="AY34" s="1170"/>
      <c r="AZ34" s="1173">
        <f ca="1">SUMIF('Struktur Vorjahr'!$A:$A,'Planzahlen Rentabilität'!$A34,'Struktur Vorjahr'!J:J)</f>
        <v>200.76</v>
      </c>
      <c r="BA34" s="1174">
        <f>Monatsplanung!$Z114</f>
        <v>25</v>
      </c>
      <c r="BB34" s="1187">
        <f ca="1">SUMIF('Struktur Aktuell'!$A:$A,'Planzahlen Rentabilität'!$A34,'Struktur Aktuell'!J:J)</f>
        <v>200.76</v>
      </c>
      <c r="BC34" s="1169">
        <f t="shared" ca="1" si="17"/>
        <v>175.76</v>
      </c>
      <c r="BD34" s="1170"/>
      <c r="BE34" s="1170"/>
      <c r="BF34" s="1170"/>
      <c r="BG34" s="1173">
        <f t="shared" ca="1" si="18"/>
        <v>249.01999999999998</v>
      </c>
      <c r="BH34" s="1174">
        <f t="shared" si="19"/>
        <v>100</v>
      </c>
      <c r="BI34" s="1187">
        <f t="shared" ca="1" si="20"/>
        <v>249.01999999999998</v>
      </c>
      <c r="BJ34" s="1169">
        <f t="shared" ca="1" si="21"/>
        <v>149.01999999999998</v>
      </c>
      <c r="BK34" s="1170"/>
      <c r="BL34" s="1170"/>
      <c r="BM34" s="1170"/>
      <c r="BN34" s="1173">
        <f ca="1">SUMIF('Struktur Vorjahr'!$A:$A,'Planzahlen Rentabilität'!$A34,'Struktur Vorjahr'!K:K)</f>
        <v>16.489999999999998</v>
      </c>
      <c r="BO34" s="1174">
        <f>Monatsplanung!$AA114</f>
        <v>25</v>
      </c>
      <c r="BP34" s="1187">
        <f ca="1">SUMIF('Struktur Aktuell'!$A:$A,'Planzahlen Rentabilität'!$A34,'Struktur Aktuell'!K:K)</f>
        <v>16.489999999999998</v>
      </c>
      <c r="BQ34" s="1169">
        <f t="shared" ca="1" si="22"/>
        <v>-8.5100000000000016</v>
      </c>
      <c r="BR34" s="1170"/>
      <c r="BS34" s="1170"/>
      <c r="BT34" s="1170"/>
      <c r="BU34" s="1173">
        <f t="shared" ca="1" si="23"/>
        <v>265.51</v>
      </c>
      <c r="BV34" s="1174">
        <f t="shared" si="24"/>
        <v>125</v>
      </c>
      <c r="BW34" s="1187">
        <f t="shared" ca="1" si="25"/>
        <v>265.51</v>
      </c>
      <c r="BX34" s="1169">
        <f t="shared" ca="1" si="26"/>
        <v>140.51</v>
      </c>
      <c r="BY34" s="1170"/>
      <c r="BZ34" s="1170"/>
      <c r="CA34" s="1170"/>
      <c r="CB34" s="1173">
        <v>0</v>
      </c>
      <c r="CC34" s="1174">
        <f>Monatsplanung!$AB114</f>
        <v>25</v>
      </c>
      <c r="CD34" s="1187">
        <v>0</v>
      </c>
      <c r="CE34" s="1169">
        <f t="shared" si="27"/>
        <v>-25</v>
      </c>
      <c r="CF34" s="1170"/>
      <c r="CG34" s="1170"/>
      <c r="CH34" s="1170"/>
      <c r="CI34" s="1173">
        <f t="shared" ca="1" si="28"/>
        <v>265.51</v>
      </c>
      <c r="CJ34" s="1174">
        <f t="shared" si="29"/>
        <v>150</v>
      </c>
      <c r="CK34" s="1187">
        <f t="shared" ca="1" si="30"/>
        <v>265.51</v>
      </c>
      <c r="CL34" s="1169">
        <f t="shared" ca="1" si="31"/>
        <v>115.50999999999999</v>
      </c>
      <c r="CM34" s="1170"/>
      <c r="CN34" s="1170"/>
      <c r="CO34" s="1170"/>
      <c r="CP34" s="1173">
        <f ca="1">SUMIF('Struktur Vorjahr'!$A:$A,'Planzahlen Rentabilität'!$A34,'Struktur Vorjahr'!M:M)</f>
        <v>254.24</v>
      </c>
      <c r="CQ34" s="1174">
        <f>Monatsplanung!$AC114</f>
        <v>25</v>
      </c>
      <c r="CR34" s="1187">
        <f ca="1">SUMIF('Struktur Aktuell'!$A:$A,'Planzahlen Rentabilität'!$A34,'Struktur Aktuell'!M:M)</f>
        <v>254.24</v>
      </c>
      <c r="CS34" s="1169">
        <f t="shared" ca="1" si="32"/>
        <v>229.24</v>
      </c>
      <c r="CT34" s="1170"/>
      <c r="CU34" s="1170"/>
      <c r="CV34" s="1170"/>
      <c r="CW34" s="1173">
        <f t="shared" ca="1" si="33"/>
        <v>519.75</v>
      </c>
      <c r="CX34" s="1174">
        <f t="shared" si="34"/>
        <v>175</v>
      </c>
      <c r="CY34" s="1187">
        <f t="shared" ca="1" si="35"/>
        <v>519.75</v>
      </c>
      <c r="CZ34" s="1169">
        <f t="shared" ca="1" si="36"/>
        <v>344.75</v>
      </c>
      <c r="DA34" s="1170"/>
      <c r="DB34" s="1170"/>
      <c r="DC34" s="1170"/>
      <c r="DD34" s="1173">
        <f ca="1">SUMIF('Struktur Vorjahr'!$A:$A,'Planzahlen Rentabilität'!$A34,'Struktur Vorjahr'!N:N)</f>
        <v>25.63</v>
      </c>
      <c r="DE34" s="1174">
        <f>Monatsplanung!$AD114</f>
        <v>25</v>
      </c>
      <c r="DF34" s="1187">
        <f ca="1">SUMIF('Struktur Aktuell'!$A:$A,'Planzahlen Rentabilität'!$A34,'Struktur Aktuell'!N:N)</f>
        <v>25.63</v>
      </c>
      <c r="DG34" s="1169">
        <f t="shared" ca="1" si="37"/>
        <v>0.62999999999999901</v>
      </c>
      <c r="DH34" s="1170"/>
      <c r="DI34" s="1170"/>
      <c r="DJ34" s="1170"/>
      <c r="DK34" s="1173">
        <f t="shared" ca="1" si="38"/>
        <v>545.38</v>
      </c>
      <c r="DL34" s="1174">
        <f t="shared" si="39"/>
        <v>200</v>
      </c>
      <c r="DM34" s="1187">
        <f t="shared" ca="1" si="40"/>
        <v>545.38</v>
      </c>
      <c r="DN34" s="1169">
        <f t="shared" ca="1" si="41"/>
        <v>345.38</v>
      </c>
      <c r="DO34" s="1170"/>
      <c r="DP34" s="1170"/>
      <c r="DQ34" s="1170"/>
      <c r="DR34" s="1173">
        <f ca="1">SUMIF('Struktur Vorjahr'!$A:$A,'Planzahlen Rentabilität'!$A34,'Struktur Vorjahr'!O:O)</f>
        <v>0</v>
      </c>
      <c r="DS34" s="1174">
        <f>Monatsplanung!$AE114</f>
        <v>25</v>
      </c>
      <c r="DT34" s="1187">
        <f ca="1">SUMIF('Struktur Aktuell'!$A:$A,'Planzahlen Rentabilität'!$A34,'Struktur Aktuell'!O:O)</f>
        <v>0</v>
      </c>
      <c r="DU34" s="1169">
        <f t="shared" ca="1" si="42"/>
        <v>-25</v>
      </c>
      <c r="DV34" s="1170"/>
      <c r="DW34" s="1170"/>
      <c r="DX34" s="1170"/>
      <c r="DY34" s="1173">
        <f t="shared" ca="1" si="43"/>
        <v>545.38</v>
      </c>
      <c r="DZ34" s="1174">
        <f t="shared" si="44"/>
        <v>225</v>
      </c>
      <c r="EA34" s="1187">
        <f t="shared" ca="1" si="45"/>
        <v>545.38</v>
      </c>
      <c r="EB34" s="1169">
        <f t="shared" ca="1" si="46"/>
        <v>320.38</v>
      </c>
      <c r="EC34" s="1170"/>
      <c r="ED34" s="1170"/>
      <c r="EE34" s="1170"/>
      <c r="EF34" s="1173">
        <f ca="1">SUMIF('Struktur Vorjahr'!$A:$A,'Planzahlen Rentabilität'!$A34,'Struktur Vorjahr'!P:P)</f>
        <v>49.94</v>
      </c>
      <c r="EG34" s="1174">
        <f>Monatsplanung!$AF114</f>
        <v>25</v>
      </c>
      <c r="EH34" s="1187">
        <f ca="1">SUMIF('Struktur Aktuell'!$A:$A,'Planzahlen Rentabilität'!$A34,'Struktur Aktuell'!P:P)</f>
        <v>49.94</v>
      </c>
      <c r="EI34" s="1169">
        <f t="shared" ca="1" si="47"/>
        <v>24.939999999999998</v>
      </c>
      <c r="EJ34" s="1170"/>
      <c r="EK34" s="1170"/>
      <c r="EL34" s="1170"/>
      <c r="EM34" s="1173">
        <f t="shared" ca="1" si="48"/>
        <v>595.31999999999994</v>
      </c>
      <c r="EN34" s="1174">
        <f t="shared" si="49"/>
        <v>250</v>
      </c>
      <c r="EO34" s="1187">
        <f t="shared" ca="1" si="50"/>
        <v>595.31999999999994</v>
      </c>
      <c r="EP34" s="1169">
        <f t="shared" ca="1" si="51"/>
        <v>345.31999999999994</v>
      </c>
      <c r="EQ34" s="1170"/>
      <c r="ER34" s="1170"/>
      <c r="ES34" s="1170"/>
      <c r="ET34" s="1173">
        <f ca="1">SUMIF('Struktur Vorjahr'!$A:$A,'Planzahlen Rentabilität'!$A34,'Struktur Vorjahr'!Q:Q)</f>
        <v>0</v>
      </c>
      <c r="EU34" s="1174">
        <f>Monatsplanung!$AG114</f>
        <v>25</v>
      </c>
      <c r="EV34" s="1187">
        <f ca="1">SUMIF('Struktur Aktuell'!$A:$A,'Planzahlen Rentabilität'!$A34,'Struktur Aktuell'!Q:Q)</f>
        <v>0</v>
      </c>
      <c r="EW34" s="1169">
        <f t="shared" ca="1" si="52"/>
        <v>-25</v>
      </c>
      <c r="EX34" s="1170"/>
      <c r="EY34" s="1170"/>
      <c r="EZ34" s="1170"/>
      <c r="FA34" s="1173">
        <f t="shared" ca="1" si="53"/>
        <v>595.31999999999994</v>
      </c>
      <c r="FB34" s="1174">
        <f t="shared" si="54"/>
        <v>275</v>
      </c>
      <c r="FC34" s="1187">
        <f t="shared" ca="1" si="55"/>
        <v>595.31999999999994</v>
      </c>
      <c r="FD34" s="1169">
        <f t="shared" ca="1" si="56"/>
        <v>320.31999999999994</v>
      </c>
      <c r="FE34" s="1170"/>
      <c r="FF34" s="1170"/>
      <c r="FG34" s="1170"/>
      <c r="FH34" s="1173">
        <f ca="1">SUMIF('Struktur Vorjahr'!$A:$A,'Planzahlen Rentabilität'!$A34,'Struktur Vorjahr'!R:R)</f>
        <v>0</v>
      </c>
      <c r="FI34" s="1174">
        <f>Monatsplanung!$AH114</f>
        <v>25</v>
      </c>
      <c r="FJ34" s="1187">
        <f ca="1">SUMIF('Struktur Aktuell'!$A:$A,'Planzahlen Rentabilität'!$A34,'Struktur Aktuell'!R:R)</f>
        <v>0</v>
      </c>
      <c r="FK34" s="1169">
        <f t="shared" ca="1" si="57"/>
        <v>-25</v>
      </c>
      <c r="FL34" s="1170"/>
      <c r="FM34" s="1170"/>
      <c r="FN34" s="1170"/>
      <c r="FO34" s="1173">
        <f t="shared" ca="1" si="58"/>
        <v>595.31999999999994</v>
      </c>
      <c r="FP34" s="1174">
        <f t="shared" si="59"/>
        <v>300</v>
      </c>
      <c r="FQ34" s="1187">
        <f t="shared" ca="1" si="60"/>
        <v>595.31999999999994</v>
      </c>
      <c r="FR34" s="1169">
        <f t="shared" ca="1" si="61"/>
        <v>295.31999999999994</v>
      </c>
      <c r="FS34" s="1170"/>
      <c r="FT34" s="1170"/>
      <c r="FU34" s="1170"/>
      <c r="FV34" s="1171"/>
      <c r="FW34" s="1169">
        <v>0</v>
      </c>
    </row>
    <row r="35" spans="1:179" s="883" customFormat="1" outlineLevel="1" x14ac:dyDescent="0.2">
      <c r="A35" s="1160">
        <v>18</v>
      </c>
      <c r="B35" s="1160" t="str">
        <f>'Struktur Aktuell'!B188</f>
        <v>KFZ-Kosten (inkl. Steuer)</v>
      </c>
      <c r="C35" s="1173">
        <f t="shared" ca="1" si="72"/>
        <v>44.65</v>
      </c>
      <c r="D35" s="1174">
        <f t="shared" si="73"/>
        <v>2850</v>
      </c>
      <c r="E35" s="1175">
        <f t="shared" ca="1" si="74"/>
        <v>44.65</v>
      </c>
      <c r="F35" s="1169">
        <f t="shared" ca="1" si="1"/>
        <v>-2805.35</v>
      </c>
      <c r="G35" s="1170"/>
      <c r="H35" s="1170"/>
      <c r="I35" s="1170"/>
      <c r="J35" s="1173">
        <f ca="1">SUMIF('Struktur Vorjahr'!$A:$A,'Planzahlen Rentabilität'!$A35,'Struktur Vorjahr'!G:G)</f>
        <v>0</v>
      </c>
      <c r="K35" s="1174">
        <f>Monatsplanung!$W115</f>
        <v>237.5</v>
      </c>
      <c r="L35" s="1175">
        <f ca="1">SUMIF('Struktur Aktuell'!$A:$A,'Planzahlen Rentabilität'!$A35,'Struktur Aktuell'!G:G)</f>
        <v>0</v>
      </c>
      <c r="M35" s="1169">
        <f t="shared" ca="1" si="2"/>
        <v>-237.5</v>
      </c>
      <c r="N35" s="1170"/>
      <c r="O35" s="1170"/>
      <c r="P35" s="1170"/>
      <c r="Q35" s="1173">
        <f t="shared" ca="1" si="3"/>
        <v>0</v>
      </c>
      <c r="R35" s="1174">
        <f t="shared" si="4"/>
        <v>237.5</v>
      </c>
      <c r="S35" s="1175">
        <f t="shared" ca="1" si="5"/>
        <v>0</v>
      </c>
      <c r="T35" s="1169">
        <f t="shared" ca="1" si="6"/>
        <v>-237.5</v>
      </c>
      <c r="U35" s="1170"/>
      <c r="V35" s="1170"/>
      <c r="W35" s="1170"/>
      <c r="X35" s="1173">
        <f ca="1">SUMIF('Struktur Vorjahr'!$A:$A,'Planzahlen Rentabilität'!$A35,'Struktur Vorjahr'!H:H)</f>
        <v>0</v>
      </c>
      <c r="Y35" s="1174">
        <f>Monatsplanung!$X115</f>
        <v>237.5</v>
      </c>
      <c r="Z35" s="1175">
        <f ca="1">SUMIF('Struktur Aktuell'!$A:$A,'Planzahlen Rentabilität'!$A35,'Struktur Aktuell'!H:H)</f>
        <v>0</v>
      </c>
      <c r="AA35" s="1169">
        <f t="shared" ca="1" si="7"/>
        <v>-237.5</v>
      </c>
      <c r="AB35" s="1170"/>
      <c r="AC35" s="1170"/>
      <c r="AD35" s="1170"/>
      <c r="AE35" s="1173">
        <f t="shared" ca="1" si="8"/>
        <v>0</v>
      </c>
      <c r="AF35" s="1174">
        <f t="shared" si="9"/>
        <v>475</v>
      </c>
      <c r="AG35" s="1175">
        <f t="shared" ca="1" si="10"/>
        <v>0</v>
      </c>
      <c r="AH35" s="1169">
        <f t="shared" ca="1" si="11"/>
        <v>-475</v>
      </c>
      <c r="AI35" s="1170"/>
      <c r="AJ35" s="1170"/>
      <c r="AK35" s="1170"/>
      <c r="AL35" s="1173">
        <v>0</v>
      </c>
      <c r="AM35" s="1174">
        <f>Monatsplanung!$Y115</f>
        <v>237.5</v>
      </c>
      <c r="AN35" s="1175">
        <v>0</v>
      </c>
      <c r="AO35" s="1169">
        <f t="shared" si="12"/>
        <v>-237.5</v>
      </c>
      <c r="AP35" s="1170"/>
      <c r="AQ35" s="1170"/>
      <c r="AR35" s="1170"/>
      <c r="AS35" s="1173">
        <f t="shared" ca="1" si="13"/>
        <v>0</v>
      </c>
      <c r="AT35" s="1174">
        <f t="shared" si="14"/>
        <v>712.5</v>
      </c>
      <c r="AU35" s="1175">
        <f t="shared" ca="1" si="15"/>
        <v>0</v>
      </c>
      <c r="AV35" s="1169">
        <f t="shared" ca="1" si="16"/>
        <v>-712.5</v>
      </c>
      <c r="AW35" s="1170"/>
      <c r="AX35" s="1170"/>
      <c r="AY35" s="1170"/>
      <c r="AZ35" s="1173">
        <f ca="1">SUMIF('Struktur Vorjahr'!$A:$A,'Planzahlen Rentabilität'!$A35,'Struktur Vorjahr'!J:J)</f>
        <v>0</v>
      </c>
      <c r="BA35" s="1174">
        <f>Monatsplanung!$Z115</f>
        <v>237.5</v>
      </c>
      <c r="BB35" s="1175">
        <f ca="1">SUMIF('Struktur Aktuell'!$A:$A,'Planzahlen Rentabilität'!$A35,'Struktur Aktuell'!J:J)</f>
        <v>0</v>
      </c>
      <c r="BC35" s="1169">
        <f t="shared" ca="1" si="17"/>
        <v>-237.5</v>
      </c>
      <c r="BD35" s="1170"/>
      <c r="BE35" s="1170"/>
      <c r="BF35" s="1170"/>
      <c r="BG35" s="1173">
        <f t="shared" ca="1" si="18"/>
        <v>0</v>
      </c>
      <c r="BH35" s="1174">
        <f t="shared" si="19"/>
        <v>950</v>
      </c>
      <c r="BI35" s="1175">
        <f t="shared" ca="1" si="20"/>
        <v>0</v>
      </c>
      <c r="BJ35" s="1169">
        <f t="shared" ca="1" si="21"/>
        <v>-950</v>
      </c>
      <c r="BK35" s="1170"/>
      <c r="BL35" s="1170"/>
      <c r="BM35" s="1170"/>
      <c r="BN35" s="1173">
        <f ca="1">SUMIF('Struktur Vorjahr'!$A:$A,'Planzahlen Rentabilität'!$A35,'Struktur Vorjahr'!K:K)</f>
        <v>0</v>
      </c>
      <c r="BO35" s="1174">
        <f>Monatsplanung!$AA115</f>
        <v>237.5</v>
      </c>
      <c r="BP35" s="1175">
        <f ca="1">SUMIF('Struktur Aktuell'!$A:$A,'Planzahlen Rentabilität'!$A35,'Struktur Aktuell'!K:K)</f>
        <v>0</v>
      </c>
      <c r="BQ35" s="1169">
        <f t="shared" ca="1" si="22"/>
        <v>-237.5</v>
      </c>
      <c r="BR35" s="1170"/>
      <c r="BS35" s="1170"/>
      <c r="BT35" s="1170"/>
      <c r="BU35" s="1173">
        <f t="shared" ca="1" si="23"/>
        <v>0</v>
      </c>
      <c r="BV35" s="1174">
        <f t="shared" si="24"/>
        <v>1187.5</v>
      </c>
      <c r="BW35" s="1175">
        <f t="shared" ca="1" si="25"/>
        <v>0</v>
      </c>
      <c r="BX35" s="1169">
        <f t="shared" ca="1" si="26"/>
        <v>-1187.5</v>
      </c>
      <c r="BY35" s="1170"/>
      <c r="BZ35" s="1170"/>
      <c r="CA35" s="1170"/>
      <c r="CB35" s="1173">
        <v>0</v>
      </c>
      <c r="CC35" s="1174">
        <f>Monatsplanung!$AB115</f>
        <v>237.5</v>
      </c>
      <c r="CD35" s="1175">
        <v>0</v>
      </c>
      <c r="CE35" s="1169">
        <f t="shared" si="27"/>
        <v>-237.5</v>
      </c>
      <c r="CF35" s="1170"/>
      <c r="CG35" s="1170"/>
      <c r="CH35" s="1170"/>
      <c r="CI35" s="1173">
        <f t="shared" ca="1" si="28"/>
        <v>0</v>
      </c>
      <c r="CJ35" s="1174">
        <f t="shared" si="29"/>
        <v>1425</v>
      </c>
      <c r="CK35" s="1175">
        <f t="shared" ca="1" si="30"/>
        <v>0</v>
      </c>
      <c r="CL35" s="1169">
        <f t="shared" ca="1" si="31"/>
        <v>-1425</v>
      </c>
      <c r="CM35" s="1170"/>
      <c r="CN35" s="1170"/>
      <c r="CO35" s="1170"/>
      <c r="CP35" s="1173">
        <f ca="1">SUMIF('Struktur Vorjahr'!$A:$A,'Planzahlen Rentabilität'!$A35,'Struktur Vorjahr'!M:M)</f>
        <v>0</v>
      </c>
      <c r="CQ35" s="1174">
        <f>Monatsplanung!$AC115</f>
        <v>237.5</v>
      </c>
      <c r="CR35" s="1175">
        <f ca="1">SUMIF('Struktur Aktuell'!$A:$A,'Planzahlen Rentabilität'!$A35,'Struktur Aktuell'!M:M)</f>
        <v>0</v>
      </c>
      <c r="CS35" s="1169">
        <f t="shared" ca="1" si="32"/>
        <v>-237.5</v>
      </c>
      <c r="CT35" s="1170"/>
      <c r="CU35" s="1170"/>
      <c r="CV35" s="1170"/>
      <c r="CW35" s="1173">
        <f t="shared" ca="1" si="33"/>
        <v>0</v>
      </c>
      <c r="CX35" s="1174">
        <f t="shared" si="34"/>
        <v>1662.5</v>
      </c>
      <c r="CY35" s="1175">
        <f t="shared" ca="1" si="35"/>
        <v>0</v>
      </c>
      <c r="CZ35" s="1169">
        <f t="shared" ca="1" si="36"/>
        <v>-1662.5</v>
      </c>
      <c r="DA35" s="1170"/>
      <c r="DB35" s="1170"/>
      <c r="DC35" s="1170"/>
      <c r="DD35" s="1173">
        <f ca="1">SUMIF('Struktur Vorjahr'!$A:$A,'Planzahlen Rentabilität'!$A35,'Struktur Vorjahr'!N:N)</f>
        <v>15.65</v>
      </c>
      <c r="DE35" s="1174">
        <f>Monatsplanung!$AD115</f>
        <v>237.5</v>
      </c>
      <c r="DF35" s="1175">
        <f ca="1">SUMIF('Struktur Aktuell'!$A:$A,'Planzahlen Rentabilität'!$A35,'Struktur Aktuell'!N:N)</f>
        <v>15.65</v>
      </c>
      <c r="DG35" s="1169">
        <f t="shared" ca="1" si="37"/>
        <v>-221.85</v>
      </c>
      <c r="DH35" s="1170"/>
      <c r="DI35" s="1170"/>
      <c r="DJ35" s="1170"/>
      <c r="DK35" s="1173">
        <f t="shared" ca="1" si="38"/>
        <v>15.65</v>
      </c>
      <c r="DL35" s="1174">
        <f t="shared" si="39"/>
        <v>1900</v>
      </c>
      <c r="DM35" s="1175">
        <f t="shared" ca="1" si="40"/>
        <v>15.65</v>
      </c>
      <c r="DN35" s="1169">
        <f t="shared" ca="1" si="41"/>
        <v>-1884.35</v>
      </c>
      <c r="DO35" s="1170"/>
      <c r="DP35" s="1170"/>
      <c r="DQ35" s="1170"/>
      <c r="DR35" s="1173">
        <f ca="1">SUMIF('Struktur Vorjahr'!$A:$A,'Planzahlen Rentabilität'!$A35,'Struktur Vorjahr'!O:O)</f>
        <v>0</v>
      </c>
      <c r="DS35" s="1174">
        <f>Monatsplanung!$AE115</f>
        <v>237.5</v>
      </c>
      <c r="DT35" s="1175">
        <f ca="1">SUMIF('Struktur Aktuell'!$A:$A,'Planzahlen Rentabilität'!$A35,'Struktur Aktuell'!O:O)</f>
        <v>0</v>
      </c>
      <c r="DU35" s="1169">
        <f t="shared" ca="1" si="42"/>
        <v>-237.5</v>
      </c>
      <c r="DV35" s="1170"/>
      <c r="DW35" s="1170"/>
      <c r="DX35" s="1170"/>
      <c r="DY35" s="1173">
        <f t="shared" ca="1" si="43"/>
        <v>15.65</v>
      </c>
      <c r="DZ35" s="1174">
        <f t="shared" si="44"/>
        <v>2137.5</v>
      </c>
      <c r="EA35" s="1175">
        <f t="shared" ca="1" si="45"/>
        <v>15.65</v>
      </c>
      <c r="EB35" s="1169">
        <f t="shared" ca="1" si="46"/>
        <v>-2121.85</v>
      </c>
      <c r="EC35" s="1170"/>
      <c r="ED35" s="1170"/>
      <c r="EE35" s="1170"/>
      <c r="EF35" s="1173">
        <f ca="1">SUMIF('Struktur Vorjahr'!$A:$A,'Planzahlen Rentabilität'!$A35,'Struktur Vorjahr'!P:P)</f>
        <v>29</v>
      </c>
      <c r="EG35" s="1174">
        <f>Monatsplanung!$AF115</f>
        <v>237.5</v>
      </c>
      <c r="EH35" s="1175">
        <f ca="1">SUMIF('Struktur Aktuell'!$A:$A,'Planzahlen Rentabilität'!$A35,'Struktur Aktuell'!P:P)</f>
        <v>29</v>
      </c>
      <c r="EI35" s="1169">
        <f t="shared" ca="1" si="47"/>
        <v>-208.5</v>
      </c>
      <c r="EJ35" s="1170"/>
      <c r="EK35" s="1170"/>
      <c r="EL35" s="1170"/>
      <c r="EM35" s="1173">
        <f t="shared" ca="1" si="48"/>
        <v>44.65</v>
      </c>
      <c r="EN35" s="1174">
        <f t="shared" si="49"/>
        <v>2375</v>
      </c>
      <c r="EO35" s="1175">
        <f t="shared" ca="1" si="50"/>
        <v>44.65</v>
      </c>
      <c r="EP35" s="1169">
        <f t="shared" ca="1" si="51"/>
        <v>-2330.35</v>
      </c>
      <c r="EQ35" s="1170"/>
      <c r="ER35" s="1170"/>
      <c r="ES35" s="1170"/>
      <c r="ET35" s="1173">
        <f ca="1">SUMIF('Struktur Vorjahr'!$A:$A,'Planzahlen Rentabilität'!$A35,'Struktur Vorjahr'!Q:Q)</f>
        <v>0</v>
      </c>
      <c r="EU35" s="1174">
        <f>Monatsplanung!$AG115</f>
        <v>237.5</v>
      </c>
      <c r="EV35" s="1175">
        <f ca="1">SUMIF('Struktur Aktuell'!$A:$A,'Planzahlen Rentabilität'!$A35,'Struktur Aktuell'!Q:Q)</f>
        <v>0</v>
      </c>
      <c r="EW35" s="1169">
        <f t="shared" ca="1" si="52"/>
        <v>-237.5</v>
      </c>
      <c r="EX35" s="1170"/>
      <c r="EY35" s="1170"/>
      <c r="EZ35" s="1170"/>
      <c r="FA35" s="1173">
        <f t="shared" ca="1" si="53"/>
        <v>44.65</v>
      </c>
      <c r="FB35" s="1174">
        <f t="shared" si="54"/>
        <v>2612.5</v>
      </c>
      <c r="FC35" s="1175">
        <f t="shared" ca="1" si="55"/>
        <v>44.65</v>
      </c>
      <c r="FD35" s="1169">
        <f t="shared" ca="1" si="56"/>
        <v>-2567.85</v>
      </c>
      <c r="FE35" s="1170"/>
      <c r="FF35" s="1170"/>
      <c r="FG35" s="1170"/>
      <c r="FH35" s="1173">
        <f ca="1">SUMIF('Struktur Vorjahr'!$A:$A,'Planzahlen Rentabilität'!$A35,'Struktur Vorjahr'!R:R)</f>
        <v>0</v>
      </c>
      <c r="FI35" s="1174">
        <f>Monatsplanung!$AH115</f>
        <v>237.5</v>
      </c>
      <c r="FJ35" s="1175">
        <f ca="1">SUMIF('Struktur Aktuell'!$A:$A,'Planzahlen Rentabilität'!$A35,'Struktur Aktuell'!R:R)</f>
        <v>0</v>
      </c>
      <c r="FK35" s="1169">
        <f t="shared" ca="1" si="57"/>
        <v>-237.5</v>
      </c>
      <c r="FL35" s="1170"/>
      <c r="FM35" s="1170"/>
      <c r="FN35" s="1170"/>
      <c r="FO35" s="1173">
        <f t="shared" ca="1" si="58"/>
        <v>44.65</v>
      </c>
      <c r="FP35" s="1174">
        <f t="shared" si="59"/>
        <v>2850</v>
      </c>
      <c r="FQ35" s="1175">
        <f t="shared" ca="1" si="60"/>
        <v>44.65</v>
      </c>
      <c r="FR35" s="1169">
        <f t="shared" ca="1" si="61"/>
        <v>-2805.35</v>
      </c>
      <c r="FS35" s="1170"/>
      <c r="FT35" s="1170"/>
      <c r="FU35" s="1170"/>
      <c r="FV35" s="1171"/>
      <c r="FW35" s="1169">
        <v>0</v>
      </c>
    </row>
    <row r="36" spans="1:179" s="883" customFormat="1" outlineLevel="1" x14ac:dyDescent="0.2">
      <c r="A36" s="1160">
        <v>19</v>
      </c>
      <c r="B36" s="1160" t="str">
        <f>'Struktur Aktuell'!B208</f>
        <v>Reisekosten</v>
      </c>
      <c r="C36" s="1173">
        <f t="shared" ca="1" si="72"/>
        <v>875.03</v>
      </c>
      <c r="D36" s="1174">
        <f t="shared" si="73"/>
        <v>1800</v>
      </c>
      <c r="E36" s="1175">
        <f t="shared" ca="1" si="74"/>
        <v>875.03</v>
      </c>
      <c r="F36" s="1169">
        <f t="shared" ca="1" si="1"/>
        <v>-924.97</v>
      </c>
      <c r="G36" s="1170"/>
      <c r="H36" s="1170"/>
      <c r="I36" s="1170"/>
      <c r="J36" s="1173">
        <f ca="1">SUMIF('Struktur Vorjahr'!$A:$A,'Planzahlen Rentabilität'!$A36,'Struktur Vorjahr'!G:G)</f>
        <v>224.81</v>
      </c>
      <c r="K36" s="1174">
        <f>Monatsplanung!$W116</f>
        <v>150</v>
      </c>
      <c r="L36" s="1175">
        <f ca="1">SUMIF('Struktur Aktuell'!$A:$A,'Planzahlen Rentabilität'!$A36,'Struktur Aktuell'!G:G)</f>
        <v>224.81</v>
      </c>
      <c r="M36" s="1169">
        <f t="shared" ca="1" si="2"/>
        <v>74.81</v>
      </c>
      <c r="N36" s="1170"/>
      <c r="O36" s="1170"/>
      <c r="P36" s="1170"/>
      <c r="Q36" s="1173">
        <f t="shared" ca="1" si="3"/>
        <v>224.81</v>
      </c>
      <c r="R36" s="1174">
        <f t="shared" si="4"/>
        <v>150</v>
      </c>
      <c r="S36" s="1175">
        <f t="shared" ca="1" si="5"/>
        <v>224.81</v>
      </c>
      <c r="T36" s="1169">
        <f t="shared" ca="1" si="6"/>
        <v>74.81</v>
      </c>
      <c r="U36" s="1170"/>
      <c r="V36" s="1170"/>
      <c r="W36" s="1170"/>
      <c r="X36" s="1173">
        <f ca="1">SUMIF('Struktur Vorjahr'!$A:$A,'Planzahlen Rentabilität'!$A36,'Struktur Vorjahr'!H:H)</f>
        <v>27</v>
      </c>
      <c r="Y36" s="1174">
        <f>Monatsplanung!$X116</f>
        <v>150</v>
      </c>
      <c r="Z36" s="1175">
        <f ca="1">SUMIF('Struktur Aktuell'!$A:$A,'Planzahlen Rentabilität'!$A36,'Struktur Aktuell'!H:H)</f>
        <v>27</v>
      </c>
      <c r="AA36" s="1169">
        <f t="shared" ca="1" si="7"/>
        <v>-123</v>
      </c>
      <c r="AB36" s="1170"/>
      <c r="AC36" s="1170"/>
      <c r="AD36" s="1170"/>
      <c r="AE36" s="1173">
        <f t="shared" ca="1" si="8"/>
        <v>251.81</v>
      </c>
      <c r="AF36" s="1174">
        <f t="shared" si="9"/>
        <v>300</v>
      </c>
      <c r="AG36" s="1175">
        <f t="shared" ca="1" si="10"/>
        <v>251.81</v>
      </c>
      <c r="AH36" s="1169">
        <f t="shared" ca="1" si="11"/>
        <v>-48.19</v>
      </c>
      <c r="AI36" s="1170"/>
      <c r="AJ36" s="1170"/>
      <c r="AK36" s="1170"/>
      <c r="AL36" s="1173">
        <v>0</v>
      </c>
      <c r="AM36" s="1174">
        <f>Monatsplanung!$Y116</f>
        <v>150</v>
      </c>
      <c r="AN36" s="1175">
        <v>0</v>
      </c>
      <c r="AO36" s="1169">
        <f t="shared" si="12"/>
        <v>-150</v>
      </c>
      <c r="AP36" s="1170"/>
      <c r="AQ36" s="1170"/>
      <c r="AR36" s="1170"/>
      <c r="AS36" s="1173">
        <f t="shared" ca="1" si="13"/>
        <v>251.81</v>
      </c>
      <c r="AT36" s="1174">
        <f t="shared" si="14"/>
        <v>450</v>
      </c>
      <c r="AU36" s="1175">
        <f t="shared" ca="1" si="15"/>
        <v>251.81</v>
      </c>
      <c r="AV36" s="1169">
        <f t="shared" ca="1" si="16"/>
        <v>-198.19</v>
      </c>
      <c r="AW36" s="1170"/>
      <c r="AX36" s="1170"/>
      <c r="AY36" s="1170"/>
      <c r="AZ36" s="1173">
        <f ca="1">SUMIF('Struktur Vorjahr'!$A:$A,'Planzahlen Rentabilität'!$A36,'Struktur Vorjahr'!J:J)</f>
        <v>1.2</v>
      </c>
      <c r="BA36" s="1174">
        <f>Monatsplanung!$Z116</f>
        <v>150</v>
      </c>
      <c r="BB36" s="1175">
        <f ca="1">SUMIF('Struktur Aktuell'!$A:$A,'Planzahlen Rentabilität'!$A36,'Struktur Aktuell'!J:J)</f>
        <v>1.2</v>
      </c>
      <c r="BC36" s="1169">
        <f t="shared" ca="1" si="17"/>
        <v>-148.80000000000001</v>
      </c>
      <c r="BD36" s="1170"/>
      <c r="BE36" s="1170"/>
      <c r="BF36" s="1170"/>
      <c r="BG36" s="1173">
        <f t="shared" ca="1" si="18"/>
        <v>253.01</v>
      </c>
      <c r="BH36" s="1174">
        <f t="shared" si="19"/>
        <v>600</v>
      </c>
      <c r="BI36" s="1175">
        <f t="shared" ca="1" si="20"/>
        <v>253.01</v>
      </c>
      <c r="BJ36" s="1169">
        <f t="shared" ca="1" si="21"/>
        <v>-346.99</v>
      </c>
      <c r="BK36" s="1170"/>
      <c r="BL36" s="1170"/>
      <c r="BM36" s="1170"/>
      <c r="BN36" s="1173">
        <f ca="1">SUMIF('Struktur Vorjahr'!$A:$A,'Planzahlen Rentabilität'!$A36,'Struktur Vorjahr'!K:K)</f>
        <v>215.1</v>
      </c>
      <c r="BO36" s="1174">
        <f>Monatsplanung!$AA116</f>
        <v>150</v>
      </c>
      <c r="BP36" s="1175">
        <f ca="1">SUMIF('Struktur Aktuell'!$A:$A,'Planzahlen Rentabilität'!$A36,'Struktur Aktuell'!K:K)</f>
        <v>215.1</v>
      </c>
      <c r="BQ36" s="1169">
        <f t="shared" ca="1" si="22"/>
        <v>65.099999999999994</v>
      </c>
      <c r="BR36" s="1170"/>
      <c r="BS36" s="1170"/>
      <c r="BT36" s="1170"/>
      <c r="BU36" s="1173">
        <f t="shared" ca="1" si="23"/>
        <v>468.11</v>
      </c>
      <c r="BV36" s="1174">
        <f t="shared" si="24"/>
        <v>750</v>
      </c>
      <c r="BW36" s="1175">
        <f t="shared" ca="1" si="25"/>
        <v>468.11</v>
      </c>
      <c r="BX36" s="1169">
        <f t="shared" ca="1" si="26"/>
        <v>-281.89</v>
      </c>
      <c r="BY36" s="1170"/>
      <c r="BZ36" s="1170"/>
      <c r="CA36" s="1170"/>
      <c r="CB36" s="1173">
        <v>0</v>
      </c>
      <c r="CC36" s="1174">
        <f>Monatsplanung!$AB116</f>
        <v>150</v>
      </c>
      <c r="CD36" s="1175">
        <v>0</v>
      </c>
      <c r="CE36" s="1169">
        <f t="shared" si="27"/>
        <v>-150</v>
      </c>
      <c r="CF36" s="1170"/>
      <c r="CG36" s="1170"/>
      <c r="CH36" s="1170"/>
      <c r="CI36" s="1173">
        <f t="shared" ca="1" si="28"/>
        <v>468.11</v>
      </c>
      <c r="CJ36" s="1174">
        <f t="shared" si="29"/>
        <v>900</v>
      </c>
      <c r="CK36" s="1175">
        <f t="shared" ca="1" si="30"/>
        <v>468.11</v>
      </c>
      <c r="CL36" s="1169">
        <f t="shared" ca="1" si="31"/>
        <v>-431.89</v>
      </c>
      <c r="CM36" s="1170"/>
      <c r="CN36" s="1170"/>
      <c r="CO36" s="1170"/>
      <c r="CP36" s="1173">
        <f ca="1">SUMIF('Struktur Vorjahr'!$A:$A,'Planzahlen Rentabilität'!$A36,'Struktur Vorjahr'!M:M)</f>
        <v>187.92000000000002</v>
      </c>
      <c r="CQ36" s="1174">
        <f>Monatsplanung!$AC116</f>
        <v>150</v>
      </c>
      <c r="CR36" s="1175">
        <f ca="1">SUMIF('Struktur Aktuell'!$A:$A,'Planzahlen Rentabilität'!$A36,'Struktur Aktuell'!M:M)</f>
        <v>187.92000000000002</v>
      </c>
      <c r="CS36" s="1169">
        <f t="shared" ca="1" si="32"/>
        <v>37.920000000000016</v>
      </c>
      <c r="CT36" s="1170"/>
      <c r="CU36" s="1170"/>
      <c r="CV36" s="1170"/>
      <c r="CW36" s="1173">
        <f t="shared" ca="1" si="33"/>
        <v>656.03</v>
      </c>
      <c r="CX36" s="1174">
        <f t="shared" si="34"/>
        <v>1050</v>
      </c>
      <c r="CY36" s="1175">
        <f t="shared" ca="1" si="35"/>
        <v>656.03</v>
      </c>
      <c r="CZ36" s="1169">
        <f t="shared" ca="1" si="36"/>
        <v>-393.97</v>
      </c>
      <c r="DA36" s="1170"/>
      <c r="DB36" s="1170"/>
      <c r="DC36" s="1170"/>
      <c r="DD36" s="1173">
        <f ca="1">SUMIF('Struktur Vorjahr'!$A:$A,'Planzahlen Rentabilität'!$A36,'Struktur Vorjahr'!N:N)</f>
        <v>52.5</v>
      </c>
      <c r="DE36" s="1174">
        <f>Monatsplanung!$AD116</f>
        <v>150</v>
      </c>
      <c r="DF36" s="1175">
        <f ca="1">SUMIF('Struktur Aktuell'!$A:$A,'Planzahlen Rentabilität'!$A36,'Struktur Aktuell'!N:N)</f>
        <v>52.5</v>
      </c>
      <c r="DG36" s="1169">
        <f t="shared" ca="1" si="37"/>
        <v>-97.5</v>
      </c>
      <c r="DH36" s="1170"/>
      <c r="DI36" s="1170"/>
      <c r="DJ36" s="1170"/>
      <c r="DK36" s="1173">
        <f t="shared" ca="1" si="38"/>
        <v>708.53</v>
      </c>
      <c r="DL36" s="1174">
        <f t="shared" si="39"/>
        <v>1200</v>
      </c>
      <c r="DM36" s="1175">
        <f t="shared" ca="1" si="40"/>
        <v>708.53</v>
      </c>
      <c r="DN36" s="1169">
        <f t="shared" ca="1" si="41"/>
        <v>-491.47</v>
      </c>
      <c r="DO36" s="1170"/>
      <c r="DP36" s="1170"/>
      <c r="DQ36" s="1170"/>
      <c r="DR36" s="1173">
        <f ca="1">SUMIF('Struktur Vorjahr'!$A:$A,'Planzahlen Rentabilität'!$A36,'Struktur Vorjahr'!O:O)</f>
        <v>0</v>
      </c>
      <c r="DS36" s="1174">
        <f>Monatsplanung!$AE116</f>
        <v>150</v>
      </c>
      <c r="DT36" s="1175">
        <f ca="1">SUMIF('Struktur Aktuell'!$A:$A,'Planzahlen Rentabilität'!$A36,'Struktur Aktuell'!O:O)</f>
        <v>0</v>
      </c>
      <c r="DU36" s="1169">
        <f t="shared" ca="1" si="42"/>
        <v>-150</v>
      </c>
      <c r="DV36" s="1170"/>
      <c r="DW36" s="1170"/>
      <c r="DX36" s="1170"/>
      <c r="DY36" s="1173">
        <f t="shared" ca="1" si="43"/>
        <v>708.53</v>
      </c>
      <c r="DZ36" s="1174">
        <f t="shared" si="44"/>
        <v>1350</v>
      </c>
      <c r="EA36" s="1175">
        <f t="shared" ca="1" si="45"/>
        <v>708.53</v>
      </c>
      <c r="EB36" s="1169">
        <f t="shared" ca="1" si="46"/>
        <v>-641.47</v>
      </c>
      <c r="EC36" s="1170"/>
      <c r="ED36" s="1170"/>
      <c r="EE36" s="1170"/>
      <c r="EF36" s="1173">
        <f ca="1">SUMIF('Struktur Vorjahr'!$A:$A,'Planzahlen Rentabilität'!$A36,'Struktur Vorjahr'!P:P)</f>
        <v>166.5</v>
      </c>
      <c r="EG36" s="1174">
        <f>Monatsplanung!$AF116</f>
        <v>150</v>
      </c>
      <c r="EH36" s="1175">
        <f ca="1">SUMIF('Struktur Aktuell'!$A:$A,'Planzahlen Rentabilität'!$A36,'Struktur Aktuell'!P:P)</f>
        <v>166.5</v>
      </c>
      <c r="EI36" s="1169">
        <f t="shared" ca="1" si="47"/>
        <v>16.5</v>
      </c>
      <c r="EJ36" s="1170"/>
      <c r="EK36" s="1170"/>
      <c r="EL36" s="1170"/>
      <c r="EM36" s="1173">
        <f t="shared" ca="1" si="48"/>
        <v>875.03</v>
      </c>
      <c r="EN36" s="1174">
        <f t="shared" si="49"/>
        <v>1500</v>
      </c>
      <c r="EO36" s="1175">
        <f t="shared" ca="1" si="50"/>
        <v>875.03</v>
      </c>
      <c r="EP36" s="1169">
        <f t="shared" ca="1" si="51"/>
        <v>-624.97</v>
      </c>
      <c r="EQ36" s="1170"/>
      <c r="ER36" s="1170"/>
      <c r="ES36" s="1170"/>
      <c r="ET36" s="1173">
        <f ca="1">SUMIF('Struktur Vorjahr'!$A:$A,'Planzahlen Rentabilität'!$A36,'Struktur Vorjahr'!Q:Q)</f>
        <v>0</v>
      </c>
      <c r="EU36" s="1174">
        <f>Monatsplanung!$AG116</f>
        <v>150</v>
      </c>
      <c r="EV36" s="1175">
        <f ca="1">SUMIF('Struktur Aktuell'!$A:$A,'Planzahlen Rentabilität'!$A36,'Struktur Aktuell'!Q:Q)</f>
        <v>0</v>
      </c>
      <c r="EW36" s="1169">
        <f t="shared" ca="1" si="52"/>
        <v>-150</v>
      </c>
      <c r="EX36" s="1170"/>
      <c r="EY36" s="1170"/>
      <c r="EZ36" s="1170"/>
      <c r="FA36" s="1173">
        <f t="shared" ca="1" si="53"/>
        <v>875.03</v>
      </c>
      <c r="FB36" s="1174">
        <f t="shared" si="54"/>
        <v>1650</v>
      </c>
      <c r="FC36" s="1175">
        <f t="shared" ca="1" si="55"/>
        <v>875.03</v>
      </c>
      <c r="FD36" s="1169">
        <f t="shared" ca="1" si="56"/>
        <v>-774.97</v>
      </c>
      <c r="FE36" s="1170"/>
      <c r="FF36" s="1170"/>
      <c r="FG36" s="1170"/>
      <c r="FH36" s="1173">
        <f ca="1">SUMIF('Struktur Vorjahr'!$A:$A,'Planzahlen Rentabilität'!$A36,'Struktur Vorjahr'!R:R)</f>
        <v>0</v>
      </c>
      <c r="FI36" s="1174">
        <f>Monatsplanung!$AH116</f>
        <v>150</v>
      </c>
      <c r="FJ36" s="1175">
        <f ca="1">SUMIF('Struktur Aktuell'!$A:$A,'Planzahlen Rentabilität'!$A36,'Struktur Aktuell'!R:R)</f>
        <v>0</v>
      </c>
      <c r="FK36" s="1169">
        <f t="shared" ca="1" si="57"/>
        <v>-150</v>
      </c>
      <c r="FL36" s="1170"/>
      <c r="FM36" s="1170"/>
      <c r="FN36" s="1170"/>
      <c r="FO36" s="1173">
        <f t="shared" ca="1" si="58"/>
        <v>875.03</v>
      </c>
      <c r="FP36" s="1174">
        <f t="shared" si="59"/>
        <v>1800</v>
      </c>
      <c r="FQ36" s="1175">
        <f t="shared" ca="1" si="60"/>
        <v>875.03</v>
      </c>
      <c r="FR36" s="1169">
        <f t="shared" ca="1" si="61"/>
        <v>-924.97</v>
      </c>
      <c r="FS36" s="1170"/>
      <c r="FT36" s="1170"/>
      <c r="FU36" s="1170"/>
      <c r="FV36" s="1171"/>
      <c r="FW36" s="1169">
        <v>0</v>
      </c>
    </row>
    <row r="37" spans="1:179" s="883" customFormat="1" outlineLevel="1" x14ac:dyDescent="0.2">
      <c r="A37" s="1160">
        <v>20</v>
      </c>
      <c r="B37" s="1160" t="str">
        <f>'Struktur Aktuell'!B219</f>
        <v>Telefon, Fax, Internet</v>
      </c>
      <c r="C37" s="1173">
        <f t="shared" ca="1" si="72"/>
        <v>2800.2399999999993</v>
      </c>
      <c r="D37" s="1174">
        <f t="shared" si="73"/>
        <v>399.99999999999994</v>
      </c>
      <c r="E37" s="1175">
        <f t="shared" ca="1" si="74"/>
        <v>2800.2399999999993</v>
      </c>
      <c r="F37" s="1169">
        <f t="shared" ca="1" si="1"/>
        <v>2400.2399999999993</v>
      </c>
      <c r="G37" s="1170"/>
      <c r="H37" s="1170"/>
      <c r="I37" s="1170"/>
      <c r="J37" s="1173">
        <f ca="1">SUMIF('Struktur Vorjahr'!$A:$A,'Planzahlen Rentabilität'!$A37,'Struktur Vorjahr'!G:G)</f>
        <v>308.99</v>
      </c>
      <c r="K37" s="1174">
        <f>Monatsplanung!$W117</f>
        <v>33.333333333333336</v>
      </c>
      <c r="L37" s="1175">
        <f ca="1">SUMIF('Struktur Aktuell'!$A:$A,'Planzahlen Rentabilität'!$A37,'Struktur Aktuell'!G:G)</f>
        <v>308.99</v>
      </c>
      <c r="M37" s="1169">
        <f t="shared" ca="1" si="2"/>
        <v>275.65666666666669</v>
      </c>
      <c r="N37" s="1170"/>
      <c r="O37" s="1170"/>
      <c r="P37" s="1170"/>
      <c r="Q37" s="1173">
        <f t="shared" ca="1" si="3"/>
        <v>308.99</v>
      </c>
      <c r="R37" s="1174">
        <f t="shared" si="4"/>
        <v>33.333333333333336</v>
      </c>
      <c r="S37" s="1175">
        <f t="shared" ca="1" si="5"/>
        <v>308.99</v>
      </c>
      <c r="T37" s="1169">
        <f t="shared" ca="1" si="6"/>
        <v>275.65666666666669</v>
      </c>
      <c r="U37" s="1170"/>
      <c r="V37" s="1170"/>
      <c r="W37" s="1170"/>
      <c r="X37" s="1173">
        <f ca="1">SUMIF('Struktur Vorjahr'!$A:$A,'Planzahlen Rentabilität'!$A37,'Struktur Vorjahr'!H:H)</f>
        <v>264.36</v>
      </c>
      <c r="Y37" s="1174">
        <f>Monatsplanung!$X117</f>
        <v>33.333333333333336</v>
      </c>
      <c r="Z37" s="1175">
        <f ca="1">SUMIF('Struktur Aktuell'!$A:$A,'Planzahlen Rentabilität'!$A37,'Struktur Aktuell'!H:H)</f>
        <v>264.36</v>
      </c>
      <c r="AA37" s="1169">
        <f t="shared" ca="1" si="7"/>
        <v>231.02666666666667</v>
      </c>
      <c r="AB37" s="1170"/>
      <c r="AC37" s="1170"/>
      <c r="AD37" s="1170"/>
      <c r="AE37" s="1173">
        <f t="shared" ca="1" si="8"/>
        <v>573.35</v>
      </c>
      <c r="AF37" s="1174">
        <f t="shared" si="9"/>
        <v>66.666666666666671</v>
      </c>
      <c r="AG37" s="1175">
        <f t="shared" ca="1" si="10"/>
        <v>573.35</v>
      </c>
      <c r="AH37" s="1169">
        <f t="shared" ca="1" si="11"/>
        <v>506.68333333333334</v>
      </c>
      <c r="AI37" s="1170"/>
      <c r="AJ37" s="1170"/>
      <c r="AK37" s="1170"/>
      <c r="AL37" s="1173">
        <v>0</v>
      </c>
      <c r="AM37" s="1174">
        <f>Monatsplanung!$Y117</f>
        <v>33.333333333333336</v>
      </c>
      <c r="AN37" s="1175">
        <v>0</v>
      </c>
      <c r="AO37" s="1169">
        <f t="shared" si="12"/>
        <v>-33.333333333333336</v>
      </c>
      <c r="AP37" s="1170"/>
      <c r="AQ37" s="1170"/>
      <c r="AR37" s="1170"/>
      <c r="AS37" s="1173">
        <f t="shared" ca="1" si="13"/>
        <v>573.35</v>
      </c>
      <c r="AT37" s="1174">
        <f t="shared" si="14"/>
        <v>100</v>
      </c>
      <c r="AU37" s="1175">
        <f t="shared" ca="1" si="15"/>
        <v>573.35</v>
      </c>
      <c r="AV37" s="1169">
        <f t="shared" ca="1" si="16"/>
        <v>473.35</v>
      </c>
      <c r="AW37" s="1170"/>
      <c r="AX37" s="1170"/>
      <c r="AY37" s="1170"/>
      <c r="AZ37" s="1173">
        <f ca="1">SUMIF('Struktur Vorjahr'!$A:$A,'Planzahlen Rentabilität'!$A37,'Struktur Vorjahr'!J:J)</f>
        <v>291.2</v>
      </c>
      <c r="BA37" s="1174">
        <f>Monatsplanung!$Z117</f>
        <v>33.333333333333336</v>
      </c>
      <c r="BB37" s="1175">
        <f ca="1">SUMIF('Struktur Aktuell'!$A:$A,'Planzahlen Rentabilität'!$A37,'Struktur Aktuell'!J:J)</f>
        <v>291.2</v>
      </c>
      <c r="BC37" s="1169">
        <f t="shared" ca="1" si="17"/>
        <v>257.86666666666667</v>
      </c>
      <c r="BD37" s="1170"/>
      <c r="BE37" s="1170"/>
      <c r="BF37" s="1170"/>
      <c r="BG37" s="1173">
        <f t="shared" ca="1" si="18"/>
        <v>864.55</v>
      </c>
      <c r="BH37" s="1174">
        <f t="shared" si="19"/>
        <v>133.33333333333334</v>
      </c>
      <c r="BI37" s="1175">
        <f t="shared" ca="1" si="20"/>
        <v>864.55</v>
      </c>
      <c r="BJ37" s="1169">
        <f t="shared" ca="1" si="21"/>
        <v>731.21666666666658</v>
      </c>
      <c r="BK37" s="1170"/>
      <c r="BL37" s="1170"/>
      <c r="BM37" s="1170"/>
      <c r="BN37" s="1173">
        <f ca="1">SUMIF('Struktur Vorjahr'!$A:$A,'Planzahlen Rentabilität'!$A37,'Struktur Vorjahr'!K:K)</f>
        <v>399.4</v>
      </c>
      <c r="BO37" s="1174">
        <f>Monatsplanung!$AA117</f>
        <v>33.333333333333336</v>
      </c>
      <c r="BP37" s="1175">
        <f ca="1">SUMIF('Struktur Aktuell'!$A:$A,'Planzahlen Rentabilität'!$A37,'Struktur Aktuell'!K:K)</f>
        <v>399.4</v>
      </c>
      <c r="BQ37" s="1169">
        <f t="shared" ca="1" si="22"/>
        <v>366.06666666666666</v>
      </c>
      <c r="BR37" s="1170"/>
      <c r="BS37" s="1170"/>
      <c r="BT37" s="1170"/>
      <c r="BU37" s="1173">
        <f t="shared" ca="1" si="23"/>
        <v>1263.9499999999998</v>
      </c>
      <c r="BV37" s="1174">
        <f t="shared" si="24"/>
        <v>166.66666666666669</v>
      </c>
      <c r="BW37" s="1175">
        <f t="shared" ca="1" si="25"/>
        <v>1263.9499999999998</v>
      </c>
      <c r="BX37" s="1169">
        <f t="shared" ca="1" si="26"/>
        <v>1097.2833333333331</v>
      </c>
      <c r="BY37" s="1170"/>
      <c r="BZ37" s="1170"/>
      <c r="CA37" s="1170"/>
      <c r="CB37" s="1173">
        <v>0</v>
      </c>
      <c r="CC37" s="1174">
        <f>Monatsplanung!$AB117</f>
        <v>33.333333333333336</v>
      </c>
      <c r="CD37" s="1175">
        <v>0</v>
      </c>
      <c r="CE37" s="1169">
        <f t="shared" si="27"/>
        <v>-33.333333333333336</v>
      </c>
      <c r="CF37" s="1170"/>
      <c r="CG37" s="1170"/>
      <c r="CH37" s="1170"/>
      <c r="CI37" s="1173">
        <f t="shared" ca="1" si="28"/>
        <v>1263.9499999999998</v>
      </c>
      <c r="CJ37" s="1174">
        <f t="shared" si="29"/>
        <v>200.00000000000003</v>
      </c>
      <c r="CK37" s="1175">
        <f t="shared" ca="1" si="30"/>
        <v>1263.9499999999998</v>
      </c>
      <c r="CL37" s="1169">
        <f t="shared" ca="1" si="31"/>
        <v>1063.9499999999998</v>
      </c>
      <c r="CM37" s="1170"/>
      <c r="CN37" s="1170"/>
      <c r="CO37" s="1170"/>
      <c r="CP37" s="1173">
        <f ca="1">SUMIF('Struktur Vorjahr'!$A:$A,'Planzahlen Rentabilität'!$A37,'Struktur Vorjahr'!M:M)</f>
        <v>431.73</v>
      </c>
      <c r="CQ37" s="1174">
        <f>Monatsplanung!$AC117</f>
        <v>33.333333333333336</v>
      </c>
      <c r="CR37" s="1175">
        <f ca="1">SUMIF('Struktur Aktuell'!$A:$A,'Planzahlen Rentabilität'!$A37,'Struktur Aktuell'!M:M)</f>
        <v>431.73</v>
      </c>
      <c r="CS37" s="1169">
        <f t="shared" ca="1" si="32"/>
        <v>398.3966666666667</v>
      </c>
      <c r="CT37" s="1170"/>
      <c r="CU37" s="1170"/>
      <c r="CV37" s="1170"/>
      <c r="CW37" s="1173">
        <f t="shared" ca="1" si="33"/>
        <v>1695.6799999999998</v>
      </c>
      <c r="CX37" s="1174">
        <f t="shared" si="34"/>
        <v>233.33333333333337</v>
      </c>
      <c r="CY37" s="1175">
        <f t="shared" ca="1" si="35"/>
        <v>1695.6799999999998</v>
      </c>
      <c r="CZ37" s="1169">
        <f t="shared" ca="1" si="36"/>
        <v>1462.3466666666664</v>
      </c>
      <c r="DA37" s="1170"/>
      <c r="DB37" s="1170"/>
      <c r="DC37" s="1170"/>
      <c r="DD37" s="1173">
        <f ca="1">SUMIF('Struktur Vorjahr'!$A:$A,'Planzahlen Rentabilität'!$A37,'Struktur Vorjahr'!N:N)</f>
        <v>393.17999999999995</v>
      </c>
      <c r="DE37" s="1174">
        <f>Monatsplanung!$AD117</f>
        <v>33.333333333333336</v>
      </c>
      <c r="DF37" s="1175">
        <f ca="1">SUMIF('Struktur Aktuell'!$A:$A,'Planzahlen Rentabilität'!$A37,'Struktur Aktuell'!N:N)</f>
        <v>393.17999999999995</v>
      </c>
      <c r="DG37" s="1169">
        <f t="shared" ca="1" si="37"/>
        <v>359.84666666666664</v>
      </c>
      <c r="DH37" s="1170"/>
      <c r="DI37" s="1170"/>
      <c r="DJ37" s="1170"/>
      <c r="DK37" s="1173">
        <f t="shared" ca="1" si="38"/>
        <v>2088.8599999999997</v>
      </c>
      <c r="DL37" s="1174">
        <f t="shared" si="39"/>
        <v>266.66666666666669</v>
      </c>
      <c r="DM37" s="1175">
        <f t="shared" ca="1" si="40"/>
        <v>2088.8599999999997</v>
      </c>
      <c r="DN37" s="1169">
        <f t="shared" ca="1" si="41"/>
        <v>1822.1933333333329</v>
      </c>
      <c r="DO37" s="1170"/>
      <c r="DP37" s="1170"/>
      <c r="DQ37" s="1170"/>
      <c r="DR37" s="1173">
        <f ca="1">SUMIF('Struktur Vorjahr'!$A:$A,'Planzahlen Rentabilität'!$A37,'Struktur Vorjahr'!O:O)</f>
        <v>252.72</v>
      </c>
      <c r="DS37" s="1174">
        <f>Monatsplanung!$AE117</f>
        <v>33.333333333333336</v>
      </c>
      <c r="DT37" s="1175">
        <f ca="1">SUMIF('Struktur Aktuell'!$A:$A,'Planzahlen Rentabilität'!$A37,'Struktur Aktuell'!O:O)</f>
        <v>252.72</v>
      </c>
      <c r="DU37" s="1169">
        <f t="shared" ca="1" si="42"/>
        <v>219.38666666666666</v>
      </c>
      <c r="DV37" s="1170"/>
      <c r="DW37" s="1170"/>
      <c r="DX37" s="1170"/>
      <c r="DY37" s="1173">
        <f t="shared" ca="1" si="43"/>
        <v>2341.5799999999995</v>
      </c>
      <c r="DZ37" s="1174">
        <f t="shared" si="44"/>
        <v>300</v>
      </c>
      <c r="EA37" s="1175">
        <f t="shared" ca="1" si="45"/>
        <v>2341.5799999999995</v>
      </c>
      <c r="EB37" s="1169">
        <f t="shared" ca="1" si="46"/>
        <v>2041.5799999999995</v>
      </c>
      <c r="EC37" s="1170"/>
      <c r="ED37" s="1170"/>
      <c r="EE37" s="1170"/>
      <c r="EF37" s="1173">
        <f ca="1">SUMIF('Struktur Vorjahr'!$A:$A,'Planzahlen Rentabilität'!$A37,'Struktur Vorjahr'!P:P)</f>
        <v>458.66</v>
      </c>
      <c r="EG37" s="1174">
        <f>Monatsplanung!$AF117</f>
        <v>33.333333333333336</v>
      </c>
      <c r="EH37" s="1175">
        <f ca="1">SUMIF('Struktur Aktuell'!$A:$A,'Planzahlen Rentabilität'!$A37,'Struktur Aktuell'!P:P)</f>
        <v>458.66</v>
      </c>
      <c r="EI37" s="1169">
        <f t="shared" ca="1" si="47"/>
        <v>425.32666666666671</v>
      </c>
      <c r="EJ37" s="1170"/>
      <c r="EK37" s="1170"/>
      <c r="EL37" s="1170"/>
      <c r="EM37" s="1173">
        <f t="shared" ca="1" si="48"/>
        <v>2800.2399999999993</v>
      </c>
      <c r="EN37" s="1174">
        <f t="shared" si="49"/>
        <v>333.33333333333331</v>
      </c>
      <c r="EO37" s="1175">
        <f t="shared" ca="1" si="50"/>
        <v>2800.2399999999993</v>
      </c>
      <c r="EP37" s="1169">
        <f t="shared" ca="1" si="51"/>
        <v>2466.9066666666658</v>
      </c>
      <c r="EQ37" s="1170"/>
      <c r="ER37" s="1170"/>
      <c r="ES37" s="1170"/>
      <c r="ET37" s="1173">
        <f ca="1">SUMIF('Struktur Vorjahr'!$A:$A,'Planzahlen Rentabilität'!$A37,'Struktur Vorjahr'!Q:Q)</f>
        <v>0</v>
      </c>
      <c r="EU37" s="1174">
        <f>Monatsplanung!$AG117</f>
        <v>33.333333333333336</v>
      </c>
      <c r="EV37" s="1175">
        <f ca="1">SUMIF('Struktur Aktuell'!$A:$A,'Planzahlen Rentabilität'!$A37,'Struktur Aktuell'!Q:Q)</f>
        <v>0</v>
      </c>
      <c r="EW37" s="1169">
        <f t="shared" ca="1" si="52"/>
        <v>-33.333333333333336</v>
      </c>
      <c r="EX37" s="1170"/>
      <c r="EY37" s="1170"/>
      <c r="EZ37" s="1170"/>
      <c r="FA37" s="1173">
        <f t="shared" ca="1" si="53"/>
        <v>2800.2399999999993</v>
      </c>
      <c r="FB37" s="1174">
        <f t="shared" si="54"/>
        <v>366.66666666666663</v>
      </c>
      <c r="FC37" s="1175">
        <f t="shared" ca="1" si="55"/>
        <v>2800.2399999999993</v>
      </c>
      <c r="FD37" s="1169">
        <f t="shared" ca="1" si="56"/>
        <v>2433.5733333333328</v>
      </c>
      <c r="FE37" s="1170"/>
      <c r="FF37" s="1170"/>
      <c r="FG37" s="1170"/>
      <c r="FH37" s="1173">
        <f ca="1">SUMIF('Struktur Vorjahr'!$A:$A,'Planzahlen Rentabilität'!$A37,'Struktur Vorjahr'!R:R)</f>
        <v>0</v>
      </c>
      <c r="FI37" s="1174">
        <f>Monatsplanung!$AH117</f>
        <v>33.333333333333336</v>
      </c>
      <c r="FJ37" s="1175">
        <f ca="1">SUMIF('Struktur Aktuell'!$A:$A,'Planzahlen Rentabilität'!$A37,'Struktur Aktuell'!R:R)</f>
        <v>0</v>
      </c>
      <c r="FK37" s="1169">
        <f t="shared" ca="1" si="57"/>
        <v>-33.333333333333336</v>
      </c>
      <c r="FL37" s="1170"/>
      <c r="FM37" s="1170"/>
      <c r="FN37" s="1170"/>
      <c r="FO37" s="1173">
        <f t="shared" ca="1" si="58"/>
        <v>2800.2399999999993</v>
      </c>
      <c r="FP37" s="1174">
        <f t="shared" si="59"/>
        <v>399.99999999999994</v>
      </c>
      <c r="FQ37" s="1175">
        <f t="shared" ca="1" si="60"/>
        <v>2800.2399999999993</v>
      </c>
      <c r="FR37" s="1169">
        <f t="shared" ca="1" si="61"/>
        <v>2400.2399999999993</v>
      </c>
      <c r="FS37" s="1170"/>
      <c r="FT37" s="1170"/>
      <c r="FU37" s="1170"/>
      <c r="FV37" s="1171"/>
      <c r="FW37" s="1169">
        <v>0</v>
      </c>
    </row>
    <row r="38" spans="1:179" s="883" customFormat="1" outlineLevel="1" x14ac:dyDescent="0.2">
      <c r="A38" s="1160">
        <v>21</v>
      </c>
      <c r="B38" s="1160" t="str">
        <f>'Struktur Aktuell'!B228</f>
        <v>Versicherungen und Beiträge</v>
      </c>
      <c r="C38" s="1173">
        <f t="shared" ca="1" si="72"/>
        <v>2890.7300000000005</v>
      </c>
      <c r="D38" s="1174">
        <f t="shared" si="73"/>
        <v>1300</v>
      </c>
      <c r="E38" s="1175">
        <f t="shared" ca="1" si="74"/>
        <v>2890.7300000000005</v>
      </c>
      <c r="F38" s="1169">
        <f t="shared" ca="1" si="1"/>
        <v>1590.7300000000005</v>
      </c>
      <c r="G38" s="1170"/>
      <c r="H38" s="1170"/>
      <c r="I38" s="1170"/>
      <c r="J38" s="1173">
        <f ca="1">SUMIF('Struktur Vorjahr'!$A:$A,'Planzahlen Rentabilität'!$A38,'Struktur Vorjahr'!G:G)</f>
        <v>320.04000000000002</v>
      </c>
      <c r="K38" s="1174">
        <f>Monatsplanung!$W118</f>
        <v>108.33333333333333</v>
      </c>
      <c r="L38" s="1175">
        <f ca="1">SUMIF('Struktur Aktuell'!$A:$A,'Planzahlen Rentabilität'!$A38,'Struktur Aktuell'!G:G)</f>
        <v>320.04000000000002</v>
      </c>
      <c r="M38" s="1169">
        <f t="shared" ca="1" si="2"/>
        <v>211.70666666666671</v>
      </c>
      <c r="N38" s="1170"/>
      <c r="O38" s="1170"/>
      <c r="P38" s="1170"/>
      <c r="Q38" s="1173">
        <f t="shared" ca="1" si="3"/>
        <v>320.04000000000002</v>
      </c>
      <c r="R38" s="1174">
        <f t="shared" si="4"/>
        <v>108.33333333333333</v>
      </c>
      <c r="S38" s="1175">
        <f t="shared" ca="1" si="5"/>
        <v>320.04000000000002</v>
      </c>
      <c r="T38" s="1169">
        <f t="shared" ca="1" si="6"/>
        <v>211.70666666666671</v>
      </c>
      <c r="U38" s="1170"/>
      <c r="V38" s="1170"/>
      <c r="W38" s="1170"/>
      <c r="X38" s="1173">
        <f ca="1">SUMIF('Struktur Vorjahr'!$A:$A,'Planzahlen Rentabilität'!$A38,'Struktur Vorjahr'!H:H)</f>
        <v>913.2700000000001</v>
      </c>
      <c r="Y38" s="1174">
        <f>Monatsplanung!$X118</f>
        <v>108.33333333333333</v>
      </c>
      <c r="Z38" s="1175">
        <f ca="1">SUMIF('Struktur Aktuell'!$A:$A,'Planzahlen Rentabilität'!$A38,'Struktur Aktuell'!H:H)</f>
        <v>913.2700000000001</v>
      </c>
      <c r="AA38" s="1169">
        <f t="shared" ca="1" si="7"/>
        <v>804.93666666666672</v>
      </c>
      <c r="AB38" s="1170"/>
      <c r="AC38" s="1170"/>
      <c r="AD38" s="1170"/>
      <c r="AE38" s="1173">
        <f t="shared" ca="1" si="8"/>
        <v>1233.3100000000002</v>
      </c>
      <c r="AF38" s="1174">
        <f t="shared" si="9"/>
        <v>216.66666666666666</v>
      </c>
      <c r="AG38" s="1175">
        <f t="shared" ca="1" si="10"/>
        <v>1233.3100000000002</v>
      </c>
      <c r="AH38" s="1169">
        <f t="shared" ca="1" si="11"/>
        <v>1016.6433333333335</v>
      </c>
      <c r="AI38" s="1170"/>
      <c r="AJ38" s="1170"/>
      <c r="AK38" s="1170"/>
      <c r="AL38" s="1173">
        <v>0</v>
      </c>
      <c r="AM38" s="1174">
        <f>Monatsplanung!$Y118</f>
        <v>108.33333333333333</v>
      </c>
      <c r="AN38" s="1175">
        <v>0</v>
      </c>
      <c r="AO38" s="1169">
        <f t="shared" si="12"/>
        <v>-108.33333333333333</v>
      </c>
      <c r="AP38" s="1170"/>
      <c r="AQ38" s="1170"/>
      <c r="AR38" s="1170"/>
      <c r="AS38" s="1173">
        <f t="shared" ca="1" si="13"/>
        <v>1233.3100000000002</v>
      </c>
      <c r="AT38" s="1174">
        <f t="shared" si="14"/>
        <v>325</v>
      </c>
      <c r="AU38" s="1175">
        <f t="shared" ca="1" si="15"/>
        <v>1233.3100000000002</v>
      </c>
      <c r="AV38" s="1169">
        <f t="shared" ca="1" si="16"/>
        <v>908.31000000000017</v>
      </c>
      <c r="AW38" s="1170"/>
      <c r="AX38" s="1170"/>
      <c r="AY38" s="1170"/>
      <c r="AZ38" s="1173">
        <f ca="1">SUMIF('Struktur Vorjahr'!$A:$A,'Planzahlen Rentabilität'!$A38,'Struktur Vorjahr'!J:J)</f>
        <v>1756.8400000000001</v>
      </c>
      <c r="BA38" s="1174">
        <f>Monatsplanung!$Z118</f>
        <v>108.33333333333333</v>
      </c>
      <c r="BB38" s="1175">
        <f ca="1">SUMIF('Struktur Aktuell'!$A:$A,'Planzahlen Rentabilität'!$A38,'Struktur Aktuell'!J:J)</f>
        <v>1756.8400000000001</v>
      </c>
      <c r="BC38" s="1169">
        <f t="shared" ca="1" si="17"/>
        <v>1648.5066666666669</v>
      </c>
      <c r="BD38" s="1170"/>
      <c r="BE38" s="1170"/>
      <c r="BF38" s="1170"/>
      <c r="BG38" s="1173">
        <f t="shared" ca="1" si="18"/>
        <v>2990.1500000000005</v>
      </c>
      <c r="BH38" s="1174">
        <f t="shared" si="19"/>
        <v>433.33333333333331</v>
      </c>
      <c r="BI38" s="1175">
        <f t="shared" ca="1" si="20"/>
        <v>2990.1500000000005</v>
      </c>
      <c r="BJ38" s="1169">
        <f t="shared" ca="1" si="21"/>
        <v>2556.8166666666671</v>
      </c>
      <c r="BK38" s="1170"/>
      <c r="BL38" s="1170"/>
      <c r="BM38" s="1170"/>
      <c r="BN38" s="1173">
        <f ca="1">SUMIF('Struktur Vorjahr'!$A:$A,'Planzahlen Rentabilität'!$A38,'Struktur Vorjahr'!K:K)</f>
        <v>0</v>
      </c>
      <c r="BO38" s="1174">
        <f>Monatsplanung!$AA118</f>
        <v>108.33333333333333</v>
      </c>
      <c r="BP38" s="1175">
        <f ca="1">SUMIF('Struktur Aktuell'!$A:$A,'Planzahlen Rentabilität'!$A38,'Struktur Aktuell'!K:K)</f>
        <v>0</v>
      </c>
      <c r="BQ38" s="1169">
        <f t="shared" ca="1" si="22"/>
        <v>-108.33333333333333</v>
      </c>
      <c r="BR38" s="1170"/>
      <c r="BS38" s="1170"/>
      <c r="BT38" s="1170"/>
      <c r="BU38" s="1173">
        <f t="shared" ca="1" si="23"/>
        <v>2990.1500000000005</v>
      </c>
      <c r="BV38" s="1174">
        <f t="shared" si="24"/>
        <v>541.66666666666663</v>
      </c>
      <c r="BW38" s="1175">
        <f t="shared" ca="1" si="25"/>
        <v>2990.1500000000005</v>
      </c>
      <c r="BX38" s="1169">
        <f t="shared" ca="1" si="26"/>
        <v>2448.483333333334</v>
      </c>
      <c r="BY38" s="1170"/>
      <c r="BZ38" s="1170"/>
      <c r="CA38" s="1170"/>
      <c r="CB38" s="1173">
        <v>0</v>
      </c>
      <c r="CC38" s="1174">
        <f>Monatsplanung!$AB118</f>
        <v>108.33333333333333</v>
      </c>
      <c r="CD38" s="1175">
        <v>0</v>
      </c>
      <c r="CE38" s="1169">
        <f t="shared" si="27"/>
        <v>-108.33333333333333</v>
      </c>
      <c r="CF38" s="1170"/>
      <c r="CG38" s="1170"/>
      <c r="CH38" s="1170"/>
      <c r="CI38" s="1173">
        <f t="shared" ca="1" si="28"/>
        <v>2990.1500000000005</v>
      </c>
      <c r="CJ38" s="1174">
        <f t="shared" si="29"/>
        <v>650</v>
      </c>
      <c r="CK38" s="1175">
        <f t="shared" ca="1" si="30"/>
        <v>2990.1500000000005</v>
      </c>
      <c r="CL38" s="1169">
        <f t="shared" ca="1" si="31"/>
        <v>2340.1500000000005</v>
      </c>
      <c r="CM38" s="1170"/>
      <c r="CN38" s="1170"/>
      <c r="CO38" s="1170"/>
      <c r="CP38" s="1173">
        <f ca="1">SUMIF('Struktur Vorjahr'!$A:$A,'Planzahlen Rentabilität'!$A38,'Struktur Vorjahr'!M:M)</f>
        <v>-423.27000000000004</v>
      </c>
      <c r="CQ38" s="1174">
        <f>Monatsplanung!$AC118</f>
        <v>108.33333333333333</v>
      </c>
      <c r="CR38" s="1175">
        <f ca="1">SUMIF('Struktur Aktuell'!$A:$A,'Planzahlen Rentabilität'!$A38,'Struktur Aktuell'!M:M)</f>
        <v>-423.27000000000004</v>
      </c>
      <c r="CS38" s="1169">
        <f t="shared" ca="1" si="32"/>
        <v>-531.60333333333335</v>
      </c>
      <c r="CT38" s="1170"/>
      <c r="CU38" s="1170"/>
      <c r="CV38" s="1170"/>
      <c r="CW38" s="1173">
        <f t="shared" ca="1" si="33"/>
        <v>2566.8800000000006</v>
      </c>
      <c r="CX38" s="1174">
        <f t="shared" si="34"/>
        <v>758.33333333333337</v>
      </c>
      <c r="CY38" s="1175">
        <f t="shared" ca="1" si="35"/>
        <v>2566.8800000000006</v>
      </c>
      <c r="CZ38" s="1169">
        <f t="shared" ca="1" si="36"/>
        <v>1808.5466666666671</v>
      </c>
      <c r="DA38" s="1170"/>
      <c r="DB38" s="1170"/>
      <c r="DC38" s="1170"/>
      <c r="DD38" s="1173">
        <f ca="1">SUMIF('Struktur Vorjahr'!$A:$A,'Planzahlen Rentabilität'!$A38,'Struktur Vorjahr'!N:N)</f>
        <v>300</v>
      </c>
      <c r="DE38" s="1174">
        <f>Monatsplanung!$AD118</f>
        <v>108.33333333333333</v>
      </c>
      <c r="DF38" s="1175">
        <f ca="1">SUMIF('Struktur Aktuell'!$A:$A,'Planzahlen Rentabilität'!$A38,'Struktur Aktuell'!N:N)</f>
        <v>300</v>
      </c>
      <c r="DG38" s="1169">
        <f t="shared" ca="1" si="37"/>
        <v>191.66666666666669</v>
      </c>
      <c r="DH38" s="1170"/>
      <c r="DI38" s="1170"/>
      <c r="DJ38" s="1170"/>
      <c r="DK38" s="1173">
        <f t="shared" ca="1" si="38"/>
        <v>2866.8800000000006</v>
      </c>
      <c r="DL38" s="1174">
        <f t="shared" si="39"/>
        <v>866.66666666666674</v>
      </c>
      <c r="DM38" s="1175">
        <f t="shared" ca="1" si="40"/>
        <v>2866.8800000000006</v>
      </c>
      <c r="DN38" s="1169">
        <f t="shared" ca="1" si="41"/>
        <v>2000.2133333333338</v>
      </c>
      <c r="DO38" s="1170"/>
      <c r="DP38" s="1170"/>
      <c r="DQ38" s="1170"/>
      <c r="DR38" s="1173">
        <f ca="1">SUMIF('Struktur Vorjahr'!$A:$A,'Planzahlen Rentabilität'!$A38,'Struktur Vorjahr'!O:O)</f>
        <v>0</v>
      </c>
      <c r="DS38" s="1174">
        <f>Monatsplanung!$AE118</f>
        <v>108.33333333333333</v>
      </c>
      <c r="DT38" s="1175">
        <f ca="1">SUMIF('Struktur Aktuell'!$A:$A,'Planzahlen Rentabilität'!$A38,'Struktur Aktuell'!O:O)</f>
        <v>0</v>
      </c>
      <c r="DU38" s="1169">
        <f t="shared" ca="1" si="42"/>
        <v>-108.33333333333333</v>
      </c>
      <c r="DV38" s="1170"/>
      <c r="DW38" s="1170"/>
      <c r="DX38" s="1170"/>
      <c r="DY38" s="1173">
        <f t="shared" ca="1" si="43"/>
        <v>2866.8800000000006</v>
      </c>
      <c r="DZ38" s="1174">
        <f t="shared" si="44"/>
        <v>975.00000000000011</v>
      </c>
      <c r="EA38" s="1175">
        <f t="shared" ca="1" si="45"/>
        <v>2866.8800000000006</v>
      </c>
      <c r="EB38" s="1169">
        <f t="shared" ca="1" si="46"/>
        <v>1891.8800000000006</v>
      </c>
      <c r="EC38" s="1170"/>
      <c r="ED38" s="1170"/>
      <c r="EE38" s="1170"/>
      <c r="EF38" s="1173">
        <f ca="1">SUMIF('Struktur Vorjahr'!$A:$A,'Planzahlen Rentabilität'!$A38,'Struktur Vorjahr'!P:P)</f>
        <v>23.85</v>
      </c>
      <c r="EG38" s="1174">
        <f>Monatsplanung!$AF118</f>
        <v>108.33333333333333</v>
      </c>
      <c r="EH38" s="1175">
        <f ca="1">SUMIF('Struktur Aktuell'!$A:$A,'Planzahlen Rentabilität'!$A38,'Struktur Aktuell'!P:P)</f>
        <v>23.85</v>
      </c>
      <c r="EI38" s="1169">
        <f t="shared" ca="1" si="47"/>
        <v>-84.48333333333332</v>
      </c>
      <c r="EJ38" s="1170"/>
      <c r="EK38" s="1170"/>
      <c r="EL38" s="1170"/>
      <c r="EM38" s="1173">
        <f t="shared" ca="1" si="48"/>
        <v>2890.7300000000005</v>
      </c>
      <c r="EN38" s="1174">
        <f t="shared" si="49"/>
        <v>1083.3333333333335</v>
      </c>
      <c r="EO38" s="1175">
        <f t="shared" ca="1" si="50"/>
        <v>2890.7300000000005</v>
      </c>
      <c r="EP38" s="1169">
        <f t="shared" ca="1" si="51"/>
        <v>1807.396666666667</v>
      </c>
      <c r="EQ38" s="1170"/>
      <c r="ER38" s="1170"/>
      <c r="ES38" s="1170"/>
      <c r="ET38" s="1173">
        <f ca="1">SUMIF('Struktur Vorjahr'!$A:$A,'Planzahlen Rentabilität'!$A38,'Struktur Vorjahr'!Q:Q)</f>
        <v>0</v>
      </c>
      <c r="EU38" s="1174">
        <f>Monatsplanung!$AG118</f>
        <v>108.33333333333333</v>
      </c>
      <c r="EV38" s="1175">
        <f ca="1">SUMIF('Struktur Aktuell'!$A:$A,'Planzahlen Rentabilität'!$A38,'Struktur Aktuell'!Q:Q)</f>
        <v>0</v>
      </c>
      <c r="EW38" s="1169">
        <f t="shared" ca="1" si="52"/>
        <v>-108.33333333333333</v>
      </c>
      <c r="EX38" s="1170"/>
      <c r="EY38" s="1170"/>
      <c r="EZ38" s="1170"/>
      <c r="FA38" s="1173">
        <f t="shared" ca="1" si="53"/>
        <v>2890.7300000000005</v>
      </c>
      <c r="FB38" s="1174">
        <f t="shared" si="54"/>
        <v>1191.6666666666667</v>
      </c>
      <c r="FC38" s="1175">
        <f t="shared" ca="1" si="55"/>
        <v>2890.7300000000005</v>
      </c>
      <c r="FD38" s="1169">
        <f t="shared" ca="1" si="56"/>
        <v>1699.0633333333337</v>
      </c>
      <c r="FE38" s="1170"/>
      <c r="FF38" s="1170"/>
      <c r="FG38" s="1170"/>
      <c r="FH38" s="1173">
        <f ca="1">SUMIF('Struktur Vorjahr'!$A:$A,'Planzahlen Rentabilität'!$A38,'Struktur Vorjahr'!R:R)</f>
        <v>0</v>
      </c>
      <c r="FI38" s="1174">
        <f>Monatsplanung!$AH118</f>
        <v>108.33333333333333</v>
      </c>
      <c r="FJ38" s="1175">
        <f ca="1">SUMIF('Struktur Aktuell'!$A:$A,'Planzahlen Rentabilität'!$A38,'Struktur Aktuell'!R:R)</f>
        <v>0</v>
      </c>
      <c r="FK38" s="1169">
        <f t="shared" ca="1" si="57"/>
        <v>-108.33333333333333</v>
      </c>
      <c r="FL38" s="1170"/>
      <c r="FM38" s="1170"/>
      <c r="FN38" s="1170"/>
      <c r="FO38" s="1173">
        <f t="shared" ca="1" si="58"/>
        <v>2890.7300000000005</v>
      </c>
      <c r="FP38" s="1174">
        <f t="shared" si="59"/>
        <v>1300</v>
      </c>
      <c r="FQ38" s="1175">
        <f t="shared" ca="1" si="60"/>
        <v>2890.7300000000005</v>
      </c>
      <c r="FR38" s="1169">
        <f t="shared" ca="1" si="61"/>
        <v>1590.7300000000005</v>
      </c>
      <c r="FS38" s="1170"/>
      <c r="FT38" s="1170"/>
      <c r="FU38" s="1170"/>
      <c r="FV38" s="1171"/>
      <c r="FW38" s="1169">
        <v>0</v>
      </c>
    </row>
    <row r="39" spans="1:179" s="883" customFormat="1" outlineLevel="1" x14ac:dyDescent="0.2">
      <c r="A39" s="1160">
        <v>22</v>
      </c>
      <c r="B39" s="1160" t="str">
        <f>'Struktur Aktuell'!B238</f>
        <v>Leasing</v>
      </c>
      <c r="C39" s="1173">
        <f t="shared" ca="1" si="72"/>
        <v>0</v>
      </c>
      <c r="D39" s="1174">
        <f t="shared" si="73"/>
        <v>2400</v>
      </c>
      <c r="E39" s="1175">
        <f t="shared" ca="1" si="74"/>
        <v>0</v>
      </c>
      <c r="F39" s="1169">
        <f t="shared" ca="1" si="1"/>
        <v>-2400</v>
      </c>
      <c r="G39" s="1170"/>
      <c r="H39" s="1170"/>
      <c r="I39" s="1170"/>
      <c r="J39" s="1173">
        <f ca="1">SUMIF('Struktur Vorjahr'!$A:$A,'Planzahlen Rentabilität'!$A39,'Struktur Vorjahr'!G:G)</f>
        <v>0</v>
      </c>
      <c r="K39" s="1174">
        <f>Monatsplanung!$W119</f>
        <v>200</v>
      </c>
      <c r="L39" s="1175">
        <f ca="1">SUMIF('Struktur Aktuell'!$A:$A,'Planzahlen Rentabilität'!$A39,'Struktur Aktuell'!G:G)</f>
        <v>0</v>
      </c>
      <c r="M39" s="1169">
        <f t="shared" ca="1" si="2"/>
        <v>-200</v>
      </c>
      <c r="N39" s="1170"/>
      <c r="O39" s="1170"/>
      <c r="P39" s="1170"/>
      <c r="Q39" s="1173">
        <f t="shared" ca="1" si="3"/>
        <v>0</v>
      </c>
      <c r="R39" s="1174">
        <f t="shared" si="4"/>
        <v>200</v>
      </c>
      <c r="S39" s="1175">
        <f t="shared" ca="1" si="5"/>
        <v>0</v>
      </c>
      <c r="T39" s="1169">
        <f t="shared" ca="1" si="6"/>
        <v>-200</v>
      </c>
      <c r="U39" s="1170"/>
      <c r="V39" s="1170"/>
      <c r="W39" s="1170"/>
      <c r="X39" s="1173">
        <f ca="1">SUMIF('Struktur Vorjahr'!$A:$A,'Planzahlen Rentabilität'!$A39,'Struktur Vorjahr'!H:H)</f>
        <v>0</v>
      </c>
      <c r="Y39" s="1174">
        <f>Monatsplanung!$X119</f>
        <v>200</v>
      </c>
      <c r="Z39" s="1175">
        <f ca="1">SUMIF('Struktur Aktuell'!$A:$A,'Planzahlen Rentabilität'!$A39,'Struktur Aktuell'!H:H)</f>
        <v>0</v>
      </c>
      <c r="AA39" s="1169">
        <f t="shared" ca="1" si="7"/>
        <v>-200</v>
      </c>
      <c r="AB39" s="1170"/>
      <c r="AC39" s="1170"/>
      <c r="AD39" s="1170"/>
      <c r="AE39" s="1173">
        <f t="shared" ca="1" si="8"/>
        <v>0</v>
      </c>
      <c r="AF39" s="1174">
        <f t="shared" si="9"/>
        <v>400</v>
      </c>
      <c r="AG39" s="1175">
        <f t="shared" ca="1" si="10"/>
        <v>0</v>
      </c>
      <c r="AH39" s="1169">
        <f t="shared" ca="1" si="11"/>
        <v>-400</v>
      </c>
      <c r="AI39" s="1170"/>
      <c r="AJ39" s="1170"/>
      <c r="AK39" s="1170"/>
      <c r="AL39" s="1173">
        <v>0</v>
      </c>
      <c r="AM39" s="1174">
        <f>Monatsplanung!$Y119</f>
        <v>200</v>
      </c>
      <c r="AN39" s="1175">
        <v>0</v>
      </c>
      <c r="AO39" s="1169">
        <f t="shared" si="12"/>
        <v>-200</v>
      </c>
      <c r="AP39" s="1170"/>
      <c r="AQ39" s="1170"/>
      <c r="AR39" s="1170"/>
      <c r="AS39" s="1173">
        <f t="shared" ca="1" si="13"/>
        <v>0</v>
      </c>
      <c r="AT39" s="1174">
        <f t="shared" si="14"/>
        <v>600</v>
      </c>
      <c r="AU39" s="1175">
        <f t="shared" ca="1" si="15"/>
        <v>0</v>
      </c>
      <c r="AV39" s="1169">
        <f t="shared" ca="1" si="16"/>
        <v>-600</v>
      </c>
      <c r="AW39" s="1170"/>
      <c r="AX39" s="1170"/>
      <c r="AY39" s="1170"/>
      <c r="AZ39" s="1173">
        <f ca="1">SUMIF('Struktur Vorjahr'!$A:$A,'Planzahlen Rentabilität'!$A39,'Struktur Vorjahr'!J:J)</f>
        <v>0</v>
      </c>
      <c r="BA39" s="1174">
        <f>Monatsplanung!$Z119</f>
        <v>200</v>
      </c>
      <c r="BB39" s="1175">
        <f ca="1">SUMIF('Struktur Aktuell'!$A:$A,'Planzahlen Rentabilität'!$A39,'Struktur Aktuell'!J:J)</f>
        <v>0</v>
      </c>
      <c r="BC39" s="1169">
        <f t="shared" ca="1" si="17"/>
        <v>-200</v>
      </c>
      <c r="BD39" s="1170"/>
      <c r="BE39" s="1170"/>
      <c r="BF39" s="1170"/>
      <c r="BG39" s="1173">
        <f t="shared" ca="1" si="18"/>
        <v>0</v>
      </c>
      <c r="BH39" s="1174">
        <f t="shared" si="19"/>
        <v>800</v>
      </c>
      <c r="BI39" s="1175">
        <f t="shared" ca="1" si="20"/>
        <v>0</v>
      </c>
      <c r="BJ39" s="1169">
        <f t="shared" ca="1" si="21"/>
        <v>-800</v>
      </c>
      <c r="BK39" s="1170"/>
      <c r="BL39" s="1170"/>
      <c r="BM39" s="1170"/>
      <c r="BN39" s="1173">
        <f ca="1">SUMIF('Struktur Vorjahr'!$A:$A,'Planzahlen Rentabilität'!$A39,'Struktur Vorjahr'!K:K)</f>
        <v>0</v>
      </c>
      <c r="BO39" s="1174">
        <f>Monatsplanung!$AA119</f>
        <v>200</v>
      </c>
      <c r="BP39" s="1175">
        <f ca="1">SUMIF('Struktur Aktuell'!$A:$A,'Planzahlen Rentabilität'!$A39,'Struktur Aktuell'!K:K)</f>
        <v>0</v>
      </c>
      <c r="BQ39" s="1169">
        <f t="shared" ca="1" si="22"/>
        <v>-200</v>
      </c>
      <c r="BR39" s="1170"/>
      <c r="BS39" s="1170"/>
      <c r="BT39" s="1170"/>
      <c r="BU39" s="1173">
        <f t="shared" ca="1" si="23"/>
        <v>0</v>
      </c>
      <c r="BV39" s="1174">
        <f t="shared" si="24"/>
        <v>1000</v>
      </c>
      <c r="BW39" s="1175">
        <f t="shared" ca="1" si="25"/>
        <v>0</v>
      </c>
      <c r="BX39" s="1169">
        <f t="shared" ca="1" si="26"/>
        <v>-1000</v>
      </c>
      <c r="BY39" s="1170"/>
      <c r="BZ39" s="1170"/>
      <c r="CA39" s="1170"/>
      <c r="CB39" s="1173">
        <v>0</v>
      </c>
      <c r="CC39" s="1174">
        <f>Monatsplanung!$AB119</f>
        <v>200</v>
      </c>
      <c r="CD39" s="1175">
        <v>0</v>
      </c>
      <c r="CE39" s="1169">
        <f t="shared" si="27"/>
        <v>-200</v>
      </c>
      <c r="CF39" s="1170"/>
      <c r="CG39" s="1170"/>
      <c r="CH39" s="1170"/>
      <c r="CI39" s="1173">
        <f t="shared" ca="1" si="28"/>
        <v>0</v>
      </c>
      <c r="CJ39" s="1174">
        <f t="shared" si="29"/>
        <v>1200</v>
      </c>
      <c r="CK39" s="1175">
        <f t="shared" ca="1" si="30"/>
        <v>0</v>
      </c>
      <c r="CL39" s="1169">
        <f t="shared" ca="1" si="31"/>
        <v>-1200</v>
      </c>
      <c r="CM39" s="1170"/>
      <c r="CN39" s="1170"/>
      <c r="CO39" s="1170"/>
      <c r="CP39" s="1173">
        <f ca="1">SUMIF('Struktur Vorjahr'!$A:$A,'Planzahlen Rentabilität'!$A39,'Struktur Vorjahr'!M:M)</f>
        <v>0</v>
      </c>
      <c r="CQ39" s="1174">
        <f>Monatsplanung!$AC119</f>
        <v>200</v>
      </c>
      <c r="CR39" s="1175">
        <f ca="1">SUMIF('Struktur Aktuell'!$A:$A,'Planzahlen Rentabilität'!$A39,'Struktur Aktuell'!M:M)</f>
        <v>0</v>
      </c>
      <c r="CS39" s="1169">
        <f t="shared" ca="1" si="32"/>
        <v>-200</v>
      </c>
      <c r="CT39" s="1170"/>
      <c r="CU39" s="1170"/>
      <c r="CV39" s="1170"/>
      <c r="CW39" s="1173">
        <f t="shared" ca="1" si="33"/>
        <v>0</v>
      </c>
      <c r="CX39" s="1174">
        <f t="shared" si="34"/>
        <v>1400</v>
      </c>
      <c r="CY39" s="1175">
        <f t="shared" ca="1" si="35"/>
        <v>0</v>
      </c>
      <c r="CZ39" s="1169">
        <f t="shared" ca="1" si="36"/>
        <v>-1400</v>
      </c>
      <c r="DA39" s="1170"/>
      <c r="DB39" s="1170"/>
      <c r="DC39" s="1170"/>
      <c r="DD39" s="1173">
        <f ca="1">SUMIF('Struktur Vorjahr'!$A:$A,'Planzahlen Rentabilität'!$A39,'Struktur Vorjahr'!N:N)</f>
        <v>0</v>
      </c>
      <c r="DE39" s="1174">
        <f>Monatsplanung!$AD119</f>
        <v>200</v>
      </c>
      <c r="DF39" s="1175">
        <f ca="1">SUMIF('Struktur Aktuell'!$A:$A,'Planzahlen Rentabilität'!$A39,'Struktur Aktuell'!N:N)</f>
        <v>0</v>
      </c>
      <c r="DG39" s="1169">
        <f t="shared" ca="1" si="37"/>
        <v>-200</v>
      </c>
      <c r="DH39" s="1170"/>
      <c r="DI39" s="1170"/>
      <c r="DJ39" s="1170"/>
      <c r="DK39" s="1173">
        <f t="shared" ca="1" si="38"/>
        <v>0</v>
      </c>
      <c r="DL39" s="1174">
        <f t="shared" si="39"/>
        <v>1600</v>
      </c>
      <c r="DM39" s="1175">
        <f t="shared" ca="1" si="40"/>
        <v>0</v>
      </c>
      <c r="DN39" s="1169">
        <f t="shared" ca="1" si="41"/>
        <v>-1600</v>
      </c>
      <c r="DO39" s="1170"/>
      <c r="DP39" s="1170"/>
      <c r="DQ39" s="1170"/>
      <c r="DR39" s="1173">
        <f ca="1">SUMIF('Struktur Vorjahr'!$A:$A,'Planzahlen Rentabilität'!$A39,'Struktur Vorjahr'!O:O)</f>
        <v>0</v>
      </c>
      <c r="DS39" s="1174">
        <f>Monatsplanung!$AE119</f>
        <v>200</v>
      </c>
      <c r="DT39" s="1175">
        <f ca="1">SUMIF('Struktur Aktuell'!$A:$A,'Planzahlen Rentabilität'!$A39,'Struktur Aktuell'!O:O)</f>
        <v>0</v>
      </c>
      <c r="DU39" s="1169">
        <f t="shared" ca="1" si="42"/>
        <v>-200</v>
      </c>
      <c r="DV39" s="1170"/>
      <c r="DW39" s="1170"/>
      <c r="DX39" s="1170"/>
      <c r="DY39" s="1173">
        <f t="shared" ca="1" si="43"/>
        <v>0</v>
      </c>
      <c r="DZ39" s="1174">
        <f t="shared" si="44"/>
        <v>1800</v>
      </c>
      <c r="EA39" s="1175">
        <f t="shared" ca="1" si="45"/>
        <v>0</v>
      </c>
      <c r="EB39" s="1169">
        <f t="shared" ca="1" si="46"/>
        <v>-1800</v>
      </c>
      <c r="EC39" s="1170"/>
      <c r="ED39" s="1170"/>
      <c r="EE39" s="1170"/>
      <c r="EF39" s="1173">
        <f ca="1">SUMIF('Struktur Vorjahr'!$A:$A,'Planzahlen Rentabilität'!$A39,'Struktur Vorjahr'!P:P)</f>
        <v>0</v>
      </c>
      <c r="EG39" s="1174">
        <f>Monatsplanung!$AF119</f>
        <v>200</v>
      </c>
      <c r="EH39" s="1175">
        <f ca="1">SUMIF('Struktur Aktuell'!$A:$A,'Planzahlen Rentabilität'!$A39,'Struktur Aktuell'!P:P)</f>
        <v>0</v>
      </c>
      <c r="EI39" s="1169">
        <f t="shared" ca="1" si="47"/>
        <v>-200</v>
      </c>
      <c r="EJ39" s="1170"/>
      <c r="EK39" s="1170"/>
      <c r="EL39" s="1170"/>
      <c r="EM39" s="1173">
        <f t="shared" ca="1" si="48"/>
        <v>0</v>
      </c>
      <c r="EN39" s="1174">
        <f t="shared" si="49"/>
        <v>2000</v>
      </c>
      <c r="EO39" s="1175">
        <f t="shared" ca="1" si="50"/>
        <v>0</v>
      </c>
      <c r="EP39" s="1169">
        <f t="shared" ca="1" si="51"/>
        <v>-2000</v>
      </c>
      <c r="EQ39" s="1170"/>
      <c r="ER39" s="1170"/>
      <c r="ES39" s="1170"/>
      <c r="ET39" s="1173">
        <f ca="1">SUMIF('Struktur Vorjahr'!$A:$A,'Planzahlen Rentabilität'!$A39,'Struktur Vorjahr'!Q:Q)</f>
        <v>0</v>
      </c>
      <c r="EU39" s="1174">
        <f>Monatsplanung!$AG119</f>
        <v>200</v>
      </c>
      <c r="EV39" s="1175">
        <f ca="1">SUMIF('Struktur Aktuell'!$A:$A,'Planzahlen Rentabilität'!$A39,'Struktur Aktuell'!Q:Q)</f>
        <v>0</v>
      </c>
      <c r="EW39" s="1169">
        <f t="shared" ca="1" si="52"/>
        <v>-200</v>
      </c>
      <c r="EX39" s="1170"/>
      <c r="EY39" s="1170"/>
      <c r="EZ39" s="1170"/>
      <c r="FA39" s="1173">
        <f t="shared" ca="1" si="53"/>
        <v>0</v>
      </c>
      <c r="FB39" s="1174">
        <f t="shared" si="54"/>
        <v>2200</v>
      </c>
      <c r="FC39" s="1175">
        <f t="shared" ca="1" si="55"/>
        <v>0</v>
      </c>
      <c r="FD39" s="1169">
        <f t="shared" ca="1" si="56"/>
        <v>-2200</v>
      </c>
      <c r="FE39" s="1170"/>
      <c r="FF39" s="1170"/>
      <c r="FG39" s="1170"/>
      <c r="FH39" s="1173">
        <f ca="1">SUMIF('Struktur Vorjahr'!$A:$A,'Planzahlen Rentabilität'!$A39,'Struktur Vorjahr'!R:R)</f>
        <v>0</v>
      </c>
      <c r="FI39" s="1174">
        <f>Monatsplanung!$AH119</f>
        <v>200</v>
      </c>
      <c r="FJ39" s="1175">
        <f ca="1">SUMIF('Struktur Aktuell'!$A:$A,'Planzahlen Rentabilität'!$A39,'Struktur Aktuell'!R:R)</f>
        <v>0</v>
      </c>
      <c r="FK39" s="1169">
        <f t="shared" ca="1" si="57"/>
        <v>-200</v>
      </c>
      <c r="FL39" s="1170"/>
      <c r="FM39" s="1170"/>
      <c r="FN39" s="1170"/>
      <c r="FO39" s="1173">
        <f t="shared" ca="1" si="58"/>
        <v>0</v>
      </c>
      <c r="FP39" s="1174">
        <f t="shared" si="59"/>
        <v>2400</v>
      </c>
      <c r="FQ39" s="1175">
        <f t="shared" ca="1" si="60"/>
        <v>0</v>
      </c>
      <c r="FR39" s="1169">
        <f t="shared" ca="1" si="61"/>
        <v>-2400</v>
      </c>
      <c r="FS39" s="1170"/>
      <c r="FT39" s="1170"/>
      <c r="FU39" s="1170"/>
      <c r="FV39" s="1171"/>
      <c r="FW39" s="1169">
        <v>0</v>
      </c>
    </row>
    <row r="40" spans="1:179" s="883" customFormat="1" outlineLevel="1" x14ac:dyDescent="0.2">
      <c r="A40" s="1160">
        <v>23</v>
      </c>
      <c r="B40" s="1160" t="str">
        <f>'Struktur Aktuell'!B256</f>
        <v>Buchführungs- / Beratungs- / Fortbildungskosten</v>
      </c>
      <c r="C40" s="1173">
        <f t="shared" ca="1" si="72"/>
        <v>4304.3</v>
      </c>
      <c r="D40" s="1174">
        <f t="shared" si="73"/>
        <v>6500.0000000000009</v>
      </c>
      <c r="E40" s="1175">
        <f t="shared" ca="1" si="74"/>
        <v>4304.3</v>
      </c>
      <c r="F40" s="1169">
        <f t="shared" ca="1" si="1"/>
        <v>-2195.7000000000007</v>
      </c>
      <c r="G40" s="1170"/>
      <c r="H40" s="1170"/>
      <c r="I40" s="1170"/>
      <c r="J40" s="1173">
        <f ca="1">SUMIF('Struktur Vorjahr'!$A:$A,'Planzahlen Rentabilität'!$A40,'Struktur Vorjahr'!G:G)</f>
        <v>0</v>
      </c>
      <c r="K40" s="1174">
        <f>Monatsplanung!$W120</f>
        <v>541.66666666666663</v>
      </c>
      <c r="L40" s="1175">
        <f ca="1">SUMIF('Struktur Aktuell'!$A:$A,'Planzahlen Rentabilität'!$A40,'Struktur Aktuell'!G:G)</f>
        <v>0</v>
      </c>
      <c r="M40" s="1169">
        <f t="shared" ca="1" si="2"/>
        <v>-541.66666666666663</v>
      </c>
      <c r="N40" s="1170"/>
      <c r="O40" s="1170"/>
      <c r="P40" s="1170"/>
      <c r="Q40" s="1173">
        <f t="shared" ca="1" si="3"/>
        <v>0</v>
      </c>
      <c r="R40" s="1174">
        <f t="shared" si="4"/>
        <v>541.66666666666663</v>
      </c>
      <c r="S40" s="1175">
        <f t="shared" ca="1" si="5"/>
        <v>0</v>
      </c>
      <c r="T40" s="1169">
        <f t="shared" ca="1" si="6"/>
        <v>-541.66666666666663</v>
      </c>
      <c r="U40" s="1170"/>
      <c r="V40" s="1170"/>
      <c r="W40" s="1170"/>
      <c r="X40" s="1173">
        <f ca="1">SUMIF('Struktur Vorjahr'!$A:$A,'Planzahlen Rentabilität'!$A40,'Struktur Vorjahr'!H:H)</f>
        <v>530.53</v>
      </c>
      <c r="Y40" s="1174">
        <f>Monatsplanung!$X120</f>
        <v>541.66666666666663</v>
      </c>
      <c r="Z40" s="1175">
        <f ca="1">SUMIF('Struktur Aktuell'!$A:$A,'Planzahlen Rentabilität'!$A40,'Struktur Aktuell'!H:H)</f>
        <v>530.53</v>
      </c>
      <c r="AA40" s="1169">
        <f t="shared" ca="1" si="7"/>
        <v>-11.136666666666656</v>
      </c>
      <c r="AB40" s="1170"/>
      <c r="AC40" s="1170"/>
      <c r="AD40" s="1170"/>
      <c r="AE40" s="1173">
        <f t="shared" ca="1" si="8"/>
        <v>530.53</v>
      </c>
      <c r="AF40" s="1174">
        <f t="shared" si="9"/>
        <v>1083.3333333333333</v>
      </c>
      <c r="AG40" s="1175">
        <f t="shared" ca="1" si="10"/>
        <v>530.53</v>
      </c>
      <c r="AH40" s="1169">
        <f t="shared" ca="1" si="11"/>
        <v>-552.80333333333328</v>
      </c>
      <c r="AI40" s="1170"/>
      <c r="AJ40" s="1170"/>
      <c r="AK40" s="1170"/>
      <c r="AL40" s="1173">
        <v>0</v>
      </c>
      <c r="AM40" s="1174">
        <f>Monatsplanung!$Y120</f>
        <v>541.66666666666663</v>
      </c>
      <c r="AN40" s="1175">
        <v>0</v>
      </c>
      <c r="AO40" s="1169">
        <f t="shared" si="12"/>
        <v>-541.66666666666663</v>
      </c>
      <c r="AP40" s="1170"/>
      <c r="AQ40" s="1170"/>
      <c r="AR40" s="1170"/>
      <c r="AS40" s="1173">
        <f t="shared" ca="1" si="13"/>
        <v>530.53</v>
      </c>
      <c r="AT40" s="1174">
        <f t="shared" si="14"/>
        <v>1625</v>
      </c>
      <c r="AU40" s="1175">
        <f t="shared" ca="1" si="15"/>
        <v>530.53</v>
      </c>
      <c r="AV40" s="1169">
        <f t="shared" ca="1" si="16"/>
        <v>-1094.47</v>
      </c>
      <c r="AW40" s="1170"/>
      <c r="AX40" s="1170"/>
      <c r="AY40" s="1170"/>
      <c r="AZ40" s="1173">
        <f ca="1">SUMIF('Struktur Vorjahr'!$A:$A,'Planzahlen Rentabilität'!$A40,'Struktur Vorjahr'!J:J)</f>
        <v>223</v>
      </c>
      <c r="BA40" s="1174">
        <f>Monatsplanung!$Z120</f>
        <v>541.66666666666663</v>
      </c>
      <c r="BB40" s="1175">
        <f ca="1">SUMIF('Struktur Aktuell'!$A:$A,'Planzahlen Rentabilität'!$A40,'Struktur Aktuell'!J:J)</f>
        <v>223</v>
      </c>
      <c r="BC40" s="1169">
        <f t="shared" ca="1" si="17"/>
        <v>-318.66666666666663</v>
      </c>
      <c r="BD40" s="1170"/>
      <c r="BE40" s="1170"/>
      <c r="BF40" s="1170"/>
      <c r="BG40" s="1173">
        <f t="shared" ca="1" si="18"/>
        <v>753.53</v>
      </c>
      <c r="BH40" s="1174">
        <f t="shared" si="19"/>
        <v>2166.6666666666665</v>
      </c>
      <c r="BI40" s="1175">
        <f t="shared" ca="1" si="20"/>
        <v>753.53</v>
      </c>
      <c r="BJ40" s="1169">
        <f t="shared" ca="1" si="21"/>
        <v>-1413.1366666666665</v>
      </c>
      <c r="BK40" s="1170"/>
      <c r="BL40" s="1170"/>
      <c r="BM40" s="1170"/>
      <c r="BN40" s="1173">
        <f ca="1">SUMIF('Struktur Vorjahr'!$A:$A,'Planzahlen Rentabilität'!$A40,'Struktur Vorjahr'!K:K)</f>
        <v>2491.34</v>
      </c>
      <c r="BO40" s="1174">
        <f>Monatsplanung!$AA120</f>
        <v>541.66666666666663</v>
      </c>
      <c r="BP40" s="1175">
        <f ca="1">SUMIF('Struktur Aktuell'!$A:$A,'Planzahlen Rentabilität'!$A40,'Struktur Aktuell'!K:K)</f>
        <v>2491.34</v>
      </c>
      <c r="BQ40" s="1169">
        <f t="shared" ca="1" si="22"/>
        <v>1949.6733333333336</v>
      </c>
      <c r="BR40" s="1170"/>
      <c r="BS40" s="1170"/>
      <c r="BT40" s="1170"/>
      <c r="BU40" s="1173">
        <f t="shared" ca="1" si="23"/>
        <v>3244.87</v>
      </c>
      <c r="BV40" s="1174">
        <f t="shared" si="24"/>
        <v>2708.333333333333</v>
      </c>
      <c r="BW40" s="1175">
        <f t="shared" ca="1" si="25"/>
        <v>3244.87</v>
      </c>
      <c r="BX40" s="1169">
        <f t="shared" ca="1" si="26"/>
        <v>536.53666666666686</v>
      </c>
      <c r="BY40" s="1170"/>
      <c r="BZ40" s="1170"/>
      <c r="CA40" s="1170"/>
      <c r="CB40" s="1173">
        <v>0</v>
      </c>
      <c r="CC40" s="1174">
        <f>Monatsplanung!$AB120</f>
        <v>541.66666666666663</v>
      </c>
      <c r="CD40" s="1175">
        <v>0</v>
      </c>
      <c r="CE40" s="1169">
        <f t="shared" si="27"/>
        <v>-541.66666666666663</v>
      </c>
      <c r="CF40" s="1170"/>
      <c r="CG40" s="1170"/>
      <c r="CH40" s="1170"/>
      <c r="CI40" s="1173">
        <f t="shared" ca="1" si="28"/>
        <v>3244.87</v>
      </c>
      <c r="CJ40" s="1174">
        <f t="shared" si="29"/>
        <v>3249.9999999999995</v>
      </c>
      <c r="CK40" s="1175">
        <f t="shared" ca="1" si="30"/>
        <v>3244.87</v>
      </c>
      <c r="CL40" s="1169">
        <f t="shared" ca="1" si="31"/>
        <v>-5.1299999999996544</v>
      </c>
      <c r="CM40" s="1170"/>
      <c r="CN40" s="1170"/>
      <c r="CO40" s="1170"/>
      <c r="CP40" s="1173">
        <f ca="1">SUMIF('Struktur Vorjahr'!$A:$A,'Planzahlen Rentabilität'!$A40,'Struktur Vorjahr'!M:M)</f>
        <v>318.08000000000004</v>
      </c>
      <c r="CQ40" s="1174">
        <f>Monatsplanung!$AC120</f>
        <v>541.66666666666663</v>
      </c>
      <c r="CR40" s="1175">
        <f ca="1">SUMIF('Struktur Aktuell'!$A:$A,'Planzahlen Rentabilität'!$A40,'Struktur Aktuell'!M:M)</f>
        <v>318.08000000000004</v>
      </c>
      <c r="CS40" s="1169">
        <f t="shared" ca="1" si="32"/>
        <v>-223.58666666666659</v>
      </c>
      <c r="CT40" s="1170"/>
      <c r="CU40" s="1170"/>
      <c r="CV40" s="1170"/>
      <c r="CW40" s="1173">
        <f t="shared" ca="1" si="33"/>
        <v>3562.95</v>
      </c>
      <c r="CX40" s="1174">
        <f t="shared" si="34"/>
        <v>3791.6666666666661</v>
      </c>
      <c r="CY40" s="1175">
        <f t="shared" ca="1" si="35"/>
        <v>3562.95</v>
      </c>
      <c r="CZ40" s="1169">
        <f t="shared" ca="1" si="36"/>
        <v>-228.71666666666624</v>
      </c>
      <c r="DA40" s="1170"/>
      <c r="DB40" s="1170"/>
      <c r="DC40" s="1170"/>
      <c r="DD40" s="1173">
        <f ca="1">SUMIF('Struktur Vorjahr'!$A:$A,'Planzahlen Rentabilität'!$A40,'Struktur Vorjahr'!N:N)</f>
        <v>158</v>
      </c>
      <c r="DE40" s="1174">
        <f>Monatsplanung!$AD120</f>
        <v>541.66666666666663</v>
      </c>
      <c r="DF40" s="1175">
        <f ca="1">SUMIF('Struktur Aktuell'!$A:$A,'Planzahlen Rentabilität'!$A40,'Struktur Aktuell'!N:N)</f>
        <v>158</v>
      </c>
      <c r="DG40" s="1169">
        <f t="shared" ca="1" si="37"/>
        <v>-383.66666666666663</v>
      </c>
      <c r="DH40" s="1170"/>
      <c r="DI40" s="1170"/>
      <c r="DJ40" s="1170"/>
      <c r="DK40" s="1173">
        <f t="shared" ca="1" si="38"/>
        <v>3720.95</v>
      </c>
      <c r="DL40" s="1174">
        <f t="shared" si="39"/>
        <v>4333.333333333333</v>
      </c>
      <c r="DM40" s="1175">
        <f t="shared" ca="1" si="40"/>
        <v>3720.95</v>
      </c>
      <c r="DN40" s="1169">
        <f t="shared" ca="1" si="41"/>
        <v>-612.38333333333321</v>
      </c>
      <c r="DO40" s="1170"/>
      <c r="DP40" s="1170"/>
      <c r="DQ40" s="1170"/>
      <c r="DR40" s="1173">
        <f ca="1">SUMIF('Struktur Vorjahr'!$A:$A,'Planzahlen Rentabilität'!$A40,'Struktur Vorjahr'!O:O)</f>
        <v>433.35</v>
      </c>
      <c r="DS40" s="1174">
        <f>Monatsplanung!$AE120</f>
        <v>541.66666666666663</v>
      </c>
      <c r="DT40" s="1175">
        <f ca="1">SUMIF('Struktur Aktuell'!$A:$A,'Planzahlen Rentabilität'!$A40,'Struktur Aktuell'!O:O)</f>
        <v>433.35</v>
      </c>
      <c r="DU40" s="1169">
        <f t="shared" ca="1" si="42"/>
        <v>-108.31666666666661</v>
      </c>
      <c r="DV40" s="1170"/>
      <c r="DW40" s="1170"/>
      <c r="DX40" s="1170"/>
      <c r="DY40" s="1173">
        <f t="shared" ca="1" si="43"/>
        <v>4154.3</v>
      </c>
      <c r="DZ40" s="1174">
        <f t="shared" si="44"/>
        <v>4875</v>
      </c>
      <c r="EA40" s="1175">
        <f t="shared" ca="1" si="45"/>
        <v>4154.3</v>
      </c>
      <c r="EB40" s="1169">
        <f t="shared" ca="1" si="46"/>
        <v>-720.69999999999982</v>
      </c>
      <c r="EC40" s="1170"/>
      <c r="ED40" s="1170"/>
      <c r="EE40" s="1170"/>
      <c r="EF40" s="1173">
        <f ca="1">SUMIF('Struktur Vorjahr'!$A:$A,'Planzahlen Rentabilität'!$A40,'Struktur Vorjahr'!P:P)</f>
        <v>150</v>
      </c>
      <c r="EG40" s="1174">
        <f>Monatsplanung!$AF120</f>
        <v>541.66666666666663</v>
      </c>
      <c r="EH40" s="1175">
        <f ca="1">SUMIF('Struktur Aktuell'!$A:$A,'Planzahlen Rentabilität'!$A40,'Struktur Aktuell'!P:P)</f>
        <v>150</v>
      </c>
      <c r="EI40" s="1169">
        <f t="shared" ca="1" si="47"/>
        <v>-391.66666666666663</v>
      </c>
      <c r="EJ40" s="1170"/>
      <c r="EK40" s="1170"/>
      <c r="EL40" s="1170"/>
      <c r="EM40" s="1173">
        <f t="shared" ca="1" si="48"/>
        <v>4304.3</v>
      </c>
      <c r="EN40" s="1174">
        <f t="shared" si="49"/>
        <v>5416.666666666667</v>
      </c>
      <c r="EO40" s="1175">
        <f t="shared" ca="1" si="50"/>
        <v>4304.3</v>
      </c>
      <c r="EP40" s="1169">
        <f t="shared" ca="1" si="51"/>
        <v>-1112.3666666666668</v>
      </c>
      <c r="EQ40" s="1170"/>
      <c r="ER40" s="1170"/>
      <c r="ES40" s="1170"/>
      <c r="ET40" s="1173">
        <f ca="1">SUMIF('Struktur Vorjahr'!$A:$A,'Planzahlen Rentabilität'!$A40,'Struktur Vorjahr'!Q:Q)</f>
        <v>0</v>
      </c>
      <c r="EU40" s="1174">
        <f>Monatsplanung!$AG120</f>
        <v>541.66666666666663</v>
      </c>
      <c r="EV40" s="1175">
        <f ca="1">SUMIF('Struktur Aktuell'!$A:$A,'Planzahlen Rentabilität'!$A40,'Struktur Aktuell'!Q:Q)</f>
        <v>0</v>
      </c>
      <c r="EW40" s="1169">
        <f t="shared" ca="1" si="52"/>
        <v>-541.66666666666663</v>
      </c>
      <c r="EX40" s="1170"/>
      <c r="EY40" s="1170"/>
      <c r="EZ40" s="1170"/>
      <c r="FA40" s="1173">
        <f t="shared" ca="1" si="53"/>
        <v>4304.3</v>
      </c>
      <c r="FB40" s="1174">
        <f t="shared" si="54"/>
        <v>5958.3333333333339</v>
      </c>
      <c r="FC40" s="1175">
        <f t="shared" ca="1" si="55"/>
        <v>4304.3</v>
      </c>
      <c r="FD40" s="1169">
        <f t="shared" ca="1" si="56"/>
        <v>-1654.0333333333338</v>
      </c>
      <c r="FE40" s="1170"/>
      <c r="FF40" s="1170"/>
      <c r="FG40" s="1170"/>
      <c r="FH40" s="1173">
        <f ca="1">SUMIF('Struktur Vorjahr'!$A:$A,'Planzahlen Rentabilität'!$A40,'Struktur Vorjahr'!R:R)</f>
        <v>0</v>
      </c>
      <c r="FI40" s="1174">
        <f>Monatsplanung!$AH120</f>
        <v>541.66666666666663</v>
      </c>
      <c r="FJ40" s="1175">
        <f ca="1">SUMIF('Struktur Aktuell'!$A:$A,'Planzahlen Rentabilität'!$A40,'Struktur Aktuell'!R:R)</f>
        <v>0</v>
      </c>
      <c r="FK40" s="1169">
        <f t="shared" ca="1" si="57"/>
        <v>-541.66666666666663</v>
      </c>
      <c r="FL40" s="1170"/>
      <c r="FM40" s="1170"/>
      <c r="FN40" s="1170"/>
      <c r="FO40" s="1173">
        <f t="shared" ca="1" si="58"/>
        <v>4304.3</v>
      </c>
      <c r="FP40" s="1174">
        <f t="shared" si="59"/>
        <v>6500.0000000000009</v>
      </c>
      <c r="FQ40" s="1175">
        <f t="shared" ca="1" si="60"/>
        <v>4304.3</v>
      </c>
      <c r="FR40" s="1169">
        <f t="shared" ca="1" si="61"/>
        <v>-2195.7000000000007</v>
      </c>
      <c r="FS40" s="1170"/>
      <c r="FT40" s="1170"/>
      <c r="FU40" s="1170"/>
      <c r="FV40" s="1171"/>
      <c r="FW40" s="1169">
        <v>0</v>
      </c>
    </row>
    <row r="41" spans="1:179" s="883" customFormat="1" outlineLevel="1" x14ac:dyDescent="0.2">
      <c r="A41" s="1160">
        <v>24</v>
      </c>
      <c r="B41" s="1160" t="str">
        <f>'Struktur Aktuell'!B267</f>
        <v>Sonstige Kosten</v>
      </c>
      <c r="C41" s="1173">
        <f t="shared" ca="1" si="72"/>
        <v>2300.5699999999997</v>
      </c>
      <c r="D41" s="1174">
        <f t="shared" si="73"/>
        <v>5310</v>
      </c>
      <c r="E41" s="1175">
        <f t="shared" ca="1" si="74"/>
        <v>2300.5699999999997</v>
      </c>
      <c r="F41" s="1169">
        <f t="shared" ca="1" si="1"/>
        <v>-3009.4300000000003</v>
      </c>
      <c r="G41" s="1170"/>
      <c r="H41" s="1170"/>
      <c r="I41" s="1170"/>
      <c r="J41" s="1173">
        <f ca="1">SUMIF('Struktur Vorjahr'!$A:$A,'Planzahlen Rentabilität'!$A41,'Struktur Vorjahr'!G:G)</f>
        <v>168.98</v>
      </c>
      <c r="K41" s="1174">
        <f>Monatsplanung!$W121</f>
        <v>442.5</v>
      </c>
      <c r="L41" s="1175">
        <f ca="1">SUMIF('Struktur Aktuell'!$A:$A,'Planzahlen Rentabilität'!$A41,'Struktur Aktuell'!G:G)</f>
        <v>168.98</v>
      </c>
      <c r="M41" s="1169">
        <f t="shared" ca="1" si="2"/>
        <v>-273.52</v>
      </c>
      <c r="N41" s="1170"/>
      <c r="O41" s="1170"/>
      <c r="P41" s="1170"/>
      <c r="Q41" s="1173">
        <f t="shared" ca="1" si="3"/>
        <v>168.98</v>
      </c>
      <c r="R41" s="1174">
        <f t="shared" si="4"/>
        <v>442.5</v>
      </c>
      <c r="S41" s="1175">
        <f t="shared" ca="1" si="5"/>
        <v>168.98</v>
      </c>
      <c r="T41" s="1169">
        <f t="shared" ca="1" si="6"/>
        <v>-273.52</v>
      </c>
      <c r="U41" s="1170"/>
      <c r="V41" s="1170"/>
      <c r="W41" s="1170"/>
      <c r="X41" s="1173">
        <f ca="1">SUMIF('Struktur Vorjahr'!$A:$A,'Planzahlen Rentabilität'!$A41,'Struktur Vorjahr'!H:H)</f>
        <v>393.48</v>
      </c>
      <c r="Y41" s="1174">
        <f>Monatsplanung!$X121</f>
        <v>442.5</v>
      </c>
      <c r="Z41" s="1175">
        <f ca="1">SUMIF('Struktur Aktuell'!$A:$A,'Planzahlen Rentabilität'!$A41,'Struktur Aktuell'!H:H)</f>
        <v>393.48</v>
      </c>
      <c r="AA41" s="1169">
        <f t="shared" ca="1" si="7"/>
        <v>-49.019999999999982</v>
      </c>
      <c r="AB41" s="1170"/>
      <c r="AC41" s="1170"/>
      <c r="AD41" s="1170"/>
      <c r="AE41" s="1173">
        <f t="shared" ca="1" si="8"/>
        <v>562.46</v>
      </c>
      <c r="AF41" s="1174">
        <f t="shared" si="9"/>
        <v>885</v>
      </c>
      <c r="AG41" s="1175">
        <f t="shared" ca="1" si="10"/>
        <v>562.46</v>
      </c>
      <c r="AH41" s="1169">
        <f t="shared" ca="1" si="11"/>
        <v>-322.53999999999996</v>
      </c>
      <c r="AI41" s="1170"/>
      <c r="AJ41" s="1170"/>
      <c r="AK41" s="1170"/>
      <c r="AL41" s="1173">
        <v>0</v>
      </c>
      <c r="AM41" s="1174">
        <f>Monatsplanung!$Y121</f>
        <v>442.5</v>
      </c>
      <c r="AN41" s="1175">
        <v>0</v>
      </c>
      <c r="AO41" s="1169">
        <f t="shared" si="12"/>
        <v>-442.5</v>
      </c>
      <c r="AP41" s="1170"/>
      <c r="AQ41" s="1170"/>
      <c r="AR41" s="1170"/>
      <c r="AS41" s="1173">
        <f t="shared" ca="1" si="13"/>
        <v>562.46</v>
      </c>
      <c r="AT41" s="1174">
        <f t="shared" si="14"/>
        <v>1327.5</v>
      </c>
      <c r="AU41" s="1175">
        <f t="shared" ca="1" si="15"/>
        <v>562.46</v>
      </c>
      <c r="AV41" s="1169">
        <f t="shared" ca="1" si="16"/>
        <v>-765.04</v>
      </c>
      <c r="AW41" s="1170"/>
      <c r="AX41" s="1170"/>
      <c r="AY41" s="1170"/>
      <c r="AZ41" s="1173">
        <f ca="1">SUMIF('Struktur Vorjahr'!$A:$A,'Planzahlen Rentabilität'!$A41,'Struktur Vorjahr'!J:J)</f>
        <v>277.83</v>
      </c>
      <c r="BA41" s="1174">
        <f>Monatsplanung!$Z121</f>
        <v>442.5</v>
      </c>
      <c r="BB41" s="1175">
        <f ca="1">SUMIF('Struktur Aktuell'!$A:$A,'Planzahlen Rentabilität'!$A41,'Struktur Aktuell'!J:J)</f>
        <v>277.83</v>
      </c>
      <c r="BC41" s="1169">
        <f t="shared" ca="1" si="17"/>
        <v>-164.67000000000002</v>
      </c>
      <c r="BD41" s="1170"/>
      <c r="BE41" s="1170"/>
      <c r="BF41" s="1170"/>
      <c r="BG41" s="1173">
        <f t="shared" ca="1" si="18"/>
        <v>840.29</v>
      </c>
      <c r="BH41" s="1174">
        <f t="shared" si="19"/>
        <v>1770</v>
      </c>
      <c r="BI41" s="1175">
        <f t="shared" ca="1" si="20"/>
        <v>840.29</v>
      </c>
      <c r="BJ41" s="1169">
        <f t="shared" ca="1" si="21"/>
        <v>-929.71</v>
      </c>
      <c r="BK41" s="1170"/>
      <c r="BL41" s="1170"/>
      <c r="BM41" s="1170"/>
      <c r="BN41" s="1173">
        <f ca="1">SUMIF('Struktur Vorjahr'!$A:$A,'Planzahlen Rentabilität'!$A41,'Struktur Vorjahr'!K:K)</f>
        <v>293.74</v>
      </c>
      <c r="BO41" s="1174">
        <f>Monatsplanung!$AA121</f>
        <v>442.5</v>
      </c>
      <c r="BP41" s="1175">
        <f ca="1">SUMIF('Struktur Aktuell'!$A:$A,'Planzahlen Rentabilität'!$A41,'Struktur Aktuell'!K:K)</f>
        <v>293.74</v>
      </c>
      <c r="BQ41" s="1169">
        <f t="shared" ca="1" si="22"/>
        <v>-148.76</v>
      </c>
      <c r="BR41" s="1170"/>
      <c r="BS41" s="1170"/>
      <c r="BT41" s="1170"/>
      <c r="BU41" s="1173">
        <f t="shared" ca="1" si="23"/>
        <v>1134.03</v>
      </c>
      <c r="BV41" s="1174">
        <f t="shared" si="24"/>
        <v>2212.5</v>
      </c>
      <c r="BW41" s="1175">
        <f t="shared" ca="1" si="25"/>
        <v>1134.03</v>
      </c>
      <c r="BX41" s="1169">
        <f t="shared" ca="1" si="26"/>
        <v>-1078.47</v>
      </c>
      <c r="BY41" s="1170"/>
      <c r="BZ41" s="1170"/>
      <c r="CA41" s="1170"/>
      <c r="CB41" s="1173">
        <v>0</v>
      </c>
      <c r="CC41" s="1174">
        <f>Monatsplanung!$AB121</f>
        <v>442.5</v>
      </c>
      <c r="CD41" s="1175">
        <v>0</v>
      </c>
      <c r="CE41" s="1169">
        <f t="shared" si="27"/>
        <v>-442.5</v>
      </c>
      <c r="CF41" s="1170"/>
      <c r="CG41" s="1170"/>
      <c r="CH41" s="1170"/>
      <c r="CI41" s="1173">
        <f t="shared" ca="1" si="28"/>
        <v>1134.03</v>
      </c>
      <c r="CJ41" s="1174">
        <f t="shared" si="29"/>
        <v>2655</v>
      </c>
      <c r="CK41" s="1175">
        <f t="shared" ca="1" si="30"/>
        <v>1134.03</v>
      </c>
      <c r="CL41" s="1169">
        <f t="shared" ca="1" si="31"/>
        <v>-1520.97</v>
      </c>
      <c r="CM41" s="1170"/>
      <c r="CN41" s="1170"/>
      <c r="CO41" s="1170"/>
      <c r="CP41" s="1173">
        <f ca="1">SUMIF('Struktur Vorjahr'!$A:$A,'Planzahlen Rentabilität'!$A41,'Struktur Vorjahr'!M:M)</f>
        <v>315.00000000000006</v>
      </c>
      <c r="CQ41" s="1174">
        <f>Monatsplanung!$AC121</f>
        <v>442.5</v>
      </c>
      <c r="CR41" s="1175">
        <f ca="1">SUMIF('Struktur Aktuell'!$A:$A,'Planzahlen Rentabilität'!$A41,'Struktur Aktuell'!M:M)</f>
        <v>315.00000000000006</v>
      </c>
      <c r="CS41" s="1169">
        <f t="shared" ca="1" si="32"/>
        <v>-127.49999999999994</v>
      </c>
      <c r="CT41" s="1170"/>
      <c r="CU41" s="1170"/>
      <c r="CV41" s="1170"/>
      <c r="CW41" s="1173">
        <f t="shared" ca="1" si="33"/>
        <v>1449.03</v>
      </c>
      <c r="CX41" s="1174">
        <f t="shared" si="34"/>
        <v>3097.5</v>
      </c>
      <c r="CY41" s="1175">
        <f t="shared" ca="1" si="35"/>
        <v>1449.03</v>
      </c>
      <c r="CZ41" s="1169">
        <f t="shared" ca="1" si="36"/>
        <v>-1648.47</v>
      </c>
      <c r="DA41" s="1170"/>
      <c r="DB41" s="1170"/>
      <c r="DC41" s="1170"/>
      <c r="DD41" s="1173">
        <f ca="1">SUMIF('Struktur Vorjahr'!$A:$A,'Planzahlen Rentabilität'!$A41,'Struktur Vorjahr'!N:N)</f>
        <v>450.22</v>
      </c>
      <c r="DE41" s="1174">
        <f>Monatsplanung!$AD121</f>
        <v>442.5</v>
      </c>
      <c r="DF41" s="1175">
        <f ca="1">SUMIF('Struktur Aktuell'!$A:$A,'Planzahlen Rentabilität'!$A41,'Struktur Aktuell'!N:N)</f>
        <v>450.22</v>
      </c>
      <c r="DG41" s="1169">
        <f t="shared" ca="1" si="37"/>
        <v>7.7200000000000273</v>
      </c>
      <c r="DH41" s="1170"/>
      <c r="DI41" s="1170"/>
      <c r="DJ41" s="1170"/>
      <c r="DK41" s="1173">
        <f t="shared" ca="1" si="38"/>
        <v>1899.25</v>
      </c>
      <c r="DL41" s="1174">
        <f t="shared" si="39"/>
        <v>3540</v>
      </c>
      <c r="DM41" s="1175">
        <f t="shared" ca="1" si="40"/>
        <v>1899.25</v>
      </c>
      <c r="DN41" s="1169">
        <f t="shared" ca="1" si="41"/>
        <v>-1640.75</v>
      </c>
      <c r="DO41" s="1170"/>
      <c r="DP41" s="1170"/>
      <c r="DQ41" s="1170"/>
      <c r="DR41" s="1173">
        <f ca="1">SUMIF('Struktur Vorjahr'!$A:$A,'Planzahlen Rentabilität'!$A41,'Struktur Vorjahr'!O:O)</f>
        <v>127.83000000000001</v>
      </c>
      <c r="DS41" s="1174">
        <f>Monatsplanung!$AE121</f>
        <v>442.5</v>
      </c>
      <c r="DT41" s="1175">
        <f ca="1">SUMIF('Struktur Aktuell'!$A:$A,'Planzahlen Rentabilität'!$A41,'Struktur Aktuell'!O:O)</f>
        <v>127.83000000000001</v>
      </c>
      <c r="DU41" s="1169">
        <f t="shared" ca="1" si="42"/>
        <v>-314.66999999999996</v>
      </c>
      <c r="DV41" s="1170"/>
      <c r="DW41" s="1170"/>
      <c r="DX41" s="1170"/>
      <c r="DY41" s="1173">
        <f t="shared" ca="1" si="43"/>
        <v>2027.08</v>
      </c>
      <c r="DZ41" s="1174">
        <f t="shared" si="44"/>
        <v>3982.5</v>
      </c>
      <c r="EA41" s="1175">
        <f t="shared" ca="1" si="45"/>
        <v>2027.08</v>
      </c>
      <c r="EB41" s="1169">
        <f t="shared" ca="1" si="46"/>
        <v>-1955.42</v>
      </c>
      <c r="EC41" s="1170"/>
      <c r="ED41" s="1170"/>
      <c r="EE41" s="1170"/>
      <c r="EF41" s="1173">
        <f ca="1">SUMIF('Struktur Vorjahr'!$A:$A,'Planzahlen Rentabilität'!$A41,'Struktur Vorjahr'!P:P)</f>
        <v>273.48999999999995</v>
      </c>
      <c r="EG41" s="1174">
        <f>Monatsplanung!$AF121</f>
        <v>442.5</v>
      </c>
      <c r="EH41" s="1175">
        <f ca="1">SUMIF('Struktur Aktuell'!$A:$A,'Planzahlen Rentabilität'!$A41,'Struktur Aktuell'!P:P)</f>
        <v>273.48999999999995</v>
      </c>
      <c r="EI41" s="1169">
        <f t="shared" ca="1" si="47"/>
        <v>-169.01000000000005</v>
      </c>
      <c r="EJ41" s="1170"/>
      <c r="EK41" s="1170"/>
      <c r="EL41" s="1170"/>
      <c r="EM41" s="1173">
        <f t="shared" ca="1" si="48"/>
        <v>2300.5699999999997</v>
      </c>
      <c r="EN41" s="1174">
        <f t="shared" si="49"/>
        <v>4425</v>
      </c>
      <c r="EO41" s="1175">
        <f t="shared" ca="1" si="50"/>
        <v>2300.5699999999997</v>
      </c>
      <c r="EP41" s="1169">
        <f t="shared" ca="1" si="51"/>
        <v>-2124.4300000000003</v>
      </c>
      <c r="EQ41" s="1170"/>
      <c r="ER41" s="1170"/>
      <c r="ES41" s="1170"/>
      <c r="ET41" s="1173">
        <f ca="1">SUMIF('Struktur Vorjahr'!$A:$A,'Planzahlen Rentabilität'!$A41,'Struktur Vorjahr'!Q:Q)</f>
        <v>0</v>
      </c>
      <c r="EU41" s="1174">
        <f>Monatsplanung!$AG121</f>
        <v>442.5</v>
      </c>
      <c r="EV41" s="1175">
        <f ca="1">SUMIF('Struktur Aktuell'!$A:$A,'Planzahlen Rentabilität'!$A41,'Struktur Aktuell'!Q:Q)</f>
        <v>0</v>
      </c>
      <c r="EW41" s="1169">
        <f t="shared" ca="1" si="52"/>
        <v>-442.5</v>
      </c>
      <c r="EX41" s="1170"/>
      <c r="EY41" s="1170"/>
      <c r="EZ41" s="1170"/>
      <c r="FA41" s="1173">
        <f t="shared" ca="1" si="53"/>
        <v>2300.5699999999997</v>
      </c>
      <c r="FB41" s="1174">
        <f t="shared" si="54"/>
        <v>4867.5</v>
      </c>
      <c r="FC41" s="1175">
        <f t="shared" ca="1" si="55"/>
        <v>2300.5699999999997</v>
      </c>
      <c r="FD41" s="1169">
        <f t="shared" ca="1" si="56"/>
        <v>-2566.9300000000003</v>
      </c>
      <c r="FE41" s="1170"/>
      <c r="FF41" s="1170"/>
      <c r="FG41" s="1170"/>
      <c r="FH41" s="1173">
        <f ca="1">SUMIF('Struktur Vorjahr'!$A:$A,'Planzahlen Rentabilität'!$A41,'Struktur Vorjahr'!R:R)</f>
        <v>0</v>
      </c>
      <c r="FI41" s="1174">
        <f>Monatsplanung!$AH121</f>
        <v>442.5</v>
      </c>
      <c r="FJ41" s="1175">
        <f ca="1">SUMIF('Struktur Aktuell'!$A:$A,'Planzahlen Rentabilität'!$A41,'Struktur Aktuell'!R:R)</f>
        <v>0</v>
      </c>
      <c r="FK41" s="1169">
        <f t="shared" ca="1" si="57"/>
        <v>-442.5</v>
      </c>
      <c r="FL41" s="1170"/>
      <c r="FM41" s="1170"/>
      <c r="FN41" s="1170"/>
      <c r="FO41" s="1173">
        <f t="shared" ca="1" si="58"/>
        <v>2300.5699999999997</v>
      </c>
      <c r="FP41" s="1174">
        <f t="shared" si="59"/>
        <v>5310</v>
      </c>
      <c r="FQ41" s="1175">
        <f t="shared" ca="1" si="60"/>
        <v>2300.5699999999997</v>
      </c>
      <c r="FR41" s="1169">
        <f t="shared" ca="1" si="61"/>
        <v>-3009.4300000000003</v>
      </c>
      <c r="FS41" s="1170"/>
      <c r="FT41" s="1170"/>
      <c r="FU41" s="1170"/>
      <c r="FV41" s="1171"/>
      <c r="FW41" s="1169">
        <v>0</v>
      </c>
    </row>
    <row r="42" spans="1:179" s="883" customFormat="1" outlineLevel="1" x14ac:dyDescent="0.2">
      <c r="A42" s="1160">
        <v>25</v>
      </c>
      <c r="B42" s="1160" t="str">
        <f>'Struktur Aktuell'!B286</f>
        <v>Wartungen und Instandhaltungen</v>
      </c>
      <c r="C42" s="1173">
        <f t="shared" ca="1" si="72"/>
        <v>1138.44</v>
      </c>
      <c r="D42" s="1174">
        <f t="shared" si="73"/>
        <v>750</v>
      </c>
      <c r="E42" s="1175">
        <f t="shared" ca="1" si="74"/>
        <v>1138.44</v>
      </c>
      <c r="F42" s="1169">
        <f t="shared" ca="1" si="1"/>
        <v>388.44000000000005</v>
      </c>
      <c r="G42" s="1170"/>
      <c r="H42" s="1170"/>
      <c r="I42" s="1170"/>
      <c r="J42" s="1173">
        <f ca="1">SUMIF('Struktur Vorjahr'!$A:$A,'Planzahlen Rentabilität'!$A42,'Struktur Vorjahr'!G:G)</f>
        <v>91.22</v>
      </c>
      <c r="K42" s="1174">
        <f>Monatsplanung!$W122</f>
        <v>62.5</v>
      </c>
      <c r="L42" s="1175">
        <f ca="1">SUMIF('Struktur Aktuell'!$A:$A,'Planzahlen Rentabilität'!$A42,'Struktur Aktuell'!G:G)</f>
        <v>91.22</v>
      </c>
      <c r="M42" s="1169">
        <f t="shared" ca="1" si="2"/>
        <v>28.72</v>
      </c>
      <c r="N42" s="1170"/>
      <c r="O42" s="1170"/>
      <c r="P42" s="1170"/>
      <c r="Q42" s="1173">
        <f t="shared" ca="1" si="3"/>
        <v>91.22</v>
      </c>
      <c r="R42" s="1174">
        <f t="shared" si="4"/>
        <v>62.5</v>
      </c>
      <c r="S42" s="1175">
        <f t="shared" ca="1" si="5"/>
        <v>91.22</v>
      </c>
      <c r="T42" s="1169">
        <f t="shared" ca="1" si="6"/>
        <v>28.72</v>
      </c>
      <c r="U42" s="1170"/>
      <c r="V42" s="1170"/>
      <c r="W42" s="1170"/>
      <c r="X42" s="1173">
        <f ca="1">SUMIF('Struktur Vorjahr'!$A:$A,'Planzahlen Rentabilität'!$A42,'Struktur Vorjahr'!H:H)</f>
        <v>71.87</v>
      </c>
      <c r="Y42" s="1174">
        <f>Monatsplanung!$X122</f>
        <v>62.5</v>
      </c>
      <c r="Z42" s="1175">
        <f ca="1">SUMIF('Struktur Aktuell'!$A:$A,'Planzahlen Rentabilität'!$A42,'Struktur Aktuell'!H:H)</f>
        <v>71.87</v>
      </c>
      <c r="AA42" s="1169">
        <f t="shared" ca="1" si="7"/>
        <v>9.3700000000000045</v>
      </c>
      <c r="AB42" s="1170"/>
      <c r="AC42" s="1170"/>
      <c r="AD42" s="1170"/>
      <c r="AE42" s="1173">
        <f t="shared" ca="1" si="8"/>
        <v>163.09</v>
      </c>
      <c r="AF42" s="1174">
        <f t="shared" si="9"/>
        <v>125</v>
      </c>
      <c r="AG42" s="1175">
        <f t="shared" ca="1" si="10"/>
        <v>163.09</v>
      </c>
      <c r="AH42" s="1169">
        <f t="shared" ca="1" si="11"/>
        <v>38.090000000000003</v>
      </c>
      <c r="AI42" s="1170"/>
      <c r="AJ42" s="1170"/>
      <c r="AK42" s="1170"/>
      <c r="AL42" s="1173">
        <v>0</v>
      </c>
      <c r="AM42" s="1174">
        <f>Monatsplanung!$Y122</f>
        <v>62.5</v>
      </c>
      <c r="AN42" s="1175">
        <v>0</v>
      </c>
      <c r="AO42" s="1169">
        <f t="shared" si="12"/>
        <v>-62.5</v>
      </c>
      <c r="AP42" s="1170"/>
      <c r="AQ42" s="1170"/>
      <c r="AR42" s="1170"/>
      <c r="AS42" s="1173">
        <f t="shared" ca="1" si="13"/>
        <v>163.09</v>
      </c>
      <c r="AT42" s="1174">
        <f t="shared" si="14"/>
        <v>187.5</v>
      </c>
      <c r="AU42" s="1175">
        <f t="shared" ca="1" si="15"/>
        <v>163.09</v>
      </c>
      <c r="AV42" s="1169">
        <f t="shared" ca="1" si="16"/>
        <v>-24.409999999999997</v>
      </c>
      <c r="AW42" s="1170"/>
      <c r="AX42" s="1170"/>
      <c r="AY42" s="1170"/>
      <c r="AZ42" s="1173">
        <f ca="1">SUMIF('Struktur Vorjahr'!$A:$A,'Planzahlen Rentabilität'!$A42,'Struktur Vorjahr'!J:J)</f>
        <v>353.57</v>
      </c>
      <c r="BA42" s="1174">
        <f>Monatsplanung!$Z122</f>
        <v>62.5</v>
      </c>
      <c r="BB42" s="1175">
        <f ca="1">SUMIF('Struktur Aktuell'!$A:$A,'Planzahlen Rentabilität'!$A42,'Struktur Aktuell'!J:J)</f>
        <v>353.57</v>
      </c>
      <c r="BC42" s="1169">
        <f t="shared" ca="1" si="17"/>
        <v>291.07</v>
      </c>
      <c r="BD42" s="1170"/>
      <c r="BE42" s="1170"/>
      <c r="BF42" s="1170"/>
      <c r="BG42" s="1173">
        <f t="shared" ca="1" si="18"/>
        <v>516.66</v>
      </c>
      <c r="BH42" s="1174">
        <f t="shared" si="19"/>
        <v>250</v>
      </c>
      <c r="BI42" s="1175">
        <f t="shared" ca="1" si="20"/>
        <v>516.66</v>
      </c>
      <c r="BJ42" s="1169">
        <f t="shared" ca="1" si="21"/>
        <v>266.65999999999997</v>
      </c>
      <c r="BK42" s="1170"/>
      <c r="BL42" s="1170"/>
      <c r="BM42" s="1170"/>
      <c r="BN42" s="1173">
        <f ca="1">SUMIF('Struktur Vorjahr'!$A:$A,'Planzahlen Rentabilität'!$A42,'Struktur Vorjahr'!K:K)</f>
        <v>44.89</v>
      </c>
      <c r="BO42" s="1174">
        <f>Monatsplanung!$AA122</f>
        <v>62.5</v>
      </c>
      <c r="BP42" s="1175">
        <f ca="1">SUMIF('Struktur Aktuell'!$A:$A,'Planzahlen Rentabilität'!$A42,'Struktur Aktuell'!K:K)</f>
        <v>44.89</v>
      </c>
      <c r="BQ42" s="1169">
        <f t="shared" ca="1" si="22"/>
        <v>-17.61</v>
      </c>
      <c r="BR42" s="1170"/>
      <c r="BS42" s="1170"/>
      <c r="BT42" s="1170"/>
      <c r="BU42" s="1173">
        <f t="shared" ca="1" si="23"/>
        <v>561.54999999999995</v>
      </c>
      <c r="BV42" s="1174">
        <f t="shared" si="24"/>
        <v>312.5</v>
      </c>
      <c r="BW42" s="1175">
        <f t="shared" ca="1" si="25"/>
        <v>561.54999999999995</v>
      </c>
      <c r="BX42" s="1169">
        <f t="shared" ca="1" si="26"/>
        <v>249.04999999999995</v>
      </c>
      <c r="BY42" s="1170"/>
      <c r="BZ42" s="1170"/>
      <c r="CA42" s="1170"/>
      <c r="CB42" s="1173">
        <v>0</v>
      </c>
      <c r="CC42" s="1174">
        <f>Monatsplanung!$AB122</f>
        <v>62.5</v>
      </c>
      <c r="CD42" s="1175">
        <v>0</v>
      </c>
      <c r="CE42" s="1169">
        <f t="shared" si="27"/>
        <v>-62.5</v>
      </c>
      <c r="CF42" s="1170"/>
      <c r="CG42" s="1170"/>
      <c r="CH42" s="1170"/>
      <c r="CI42" s="1173">
        <f t="shared" ca="1" si="28"/>
        <v>561.54999999999995</v>
      </c>
      <c r="CJ42" s="1174">
        <f t="shared" si="29"/>
        <v>375</v>
      </c>
      <c r="CK42" s="1175">
        <f t="shared" ca="1" si="30"/>
        <v>561.54999999999995</v>
      </c>
      <c r="CL42" s="1169">
        <f t="shared" ca="1" si="31"/>
        <v>186.54999999999995</v>
      </c>
      <c r="CM42" s="1170"/>
      <c r="CN42" s="1170"/>
      <c r="CO42" s="1170"/>
      <c r="CP42" s="1173">
        <f ca="1">SUMIF('Struktur Vorjahr'!$A:$A,'Planzahlen Rentabilität'!$A42,'Struktur Vorjahr'!M:M)</f>
        <v>344.44</v>
      </c>
      <c r="CQ42" s="1174">
        <f>Monatsplanung!$AC122</f>
        <v>62.5</v>
      </c>
      <c r="CR42" s="1175">
        <f ca="1">SUMIF('Struktur Aktuell'!$A:$A,'Planzahlen Rentabilität'!$A42,'Struktur Aktuell'!M:M)</f>
        <v>344.44</v>
      </c>
      <c r="CS42" s="1169">
        <f t="shared" ca="1" si="32"/>
        <v>281.94</v>
      </c>
      <c r="CT42" s="1170"/>
      <c r="CU42" s="1170"/>
      <c r="CV42" s="1170"/>
      <c r="CW42" s="1173">
        <f t="shared" ca="1" si="33"/>
        <v>905.99</v>
      </c>
      <c r="CX42" s="1174">
        <f t="shared" si="34"/>
        <v>437.5</v>
      </c>
      <c r="CY42" s="1175">
        <f t="shared" ca="1" si="35"/>
        <v>905.99</v>
      </c>
      <c r="CZ42" s="1169">
        <f t="shared" ca="1" si="36"/>
        <v>468.49</v>
      </c>
      <c r="DA42" s="1170"/>
      <c r="DB42" s="1170"/>
      <c r="DC42" s="1170"/>
      <c r="DD42" s="1173">
        <f ca="1">SUMIF('Struktur Vorjahr'!$A:$A,'Planzahlen Rentabilität'!$A42,'Struktur Vorjahr'!N:N)</f>
        <v>63.34</v>
      </c>
      <c r="DE42" s="1174">
        <f>Monatsplanung!$AD122</f>
        <v>62.5</v>
      </c>
      <c r="DF42" s="1175">
        <f ca="1">SUMIF('Struktur Aktuell'!$A:$A,'Planzahlen Rentabilität'!$A42,'Struktur Aktuell'!N:N)</f>
        <v>63.34</v>
      </c>
      <c r="DG42" s="1169">
        <f t="shared" ca="1" si="37"/>
        <v>0.84000000000000341</v>
      </c>
      <c r="DH42" s="1170"/>
      <c r="DI42" s="1170"/>
      <c r="DJ42" s="1170"/>
      <c r="DK42" s="1173">
        <f t="shared" ca="1" si="38"/>
        <v>969.33</v>
      </c>
      <c r="DL42" s="1174">
        <f t="shared" si="39"/>
        <v>500</v>
      </c>
      <c r="DM42" s="1175">
        <f t="shared" ca="1" si="40"/>
        <v>969.33</v>
      </c>
      <c r="DN42" s="1169">
        <f t="shared" ca="1" si="41"/>
        <v>469.33000000000004</v>
      </c>
      <c r="DO42" s="1170"/>
      <c r="DP42" s="1170"/>
      <c r="DQ42" s="1170"/>
      <c r="DR42" s="1173">
        <f ca="1">SUMIF('Struktur Vorjahr'!$A:$A,'Planzahlen Rentabilität'!$A42,'Struktur Vorjahr'!O:O)</f>
        <v>58.24</v>
      </c>
      <c r="DS42" s="1174">
        <f>Monatsplanung!$AE122</f>
        <v>62.5</v>
      </c>
      <c r="DT42" s="1175">
        <f ca="1">SUMIF('Struktur Aktuell'!$A:$A,'Planzahlen Rentabilität'!$A42,'Struktur Aktuell'!O:O)</f>
        <v>58.24</v>
      </c>
      <c r="DU42" s="1169">
        <f t="shared" ca="1" si="42"/>
        <v>-4.259999999999998</v>
      </c>
      <c r="DV42" s="1170"/>
      <c r="DW42" s="1170"/>
      <c r="DX42" s="1170"/>
      <c r="DY42" s="1173">
        <f t="shared" ca="1" si="43"/>
        <v>1027.57</v>
      </c>
      <c r="DZ42" s="1174">
        <f t="shared" si="44"/>
        <v>562.5</v>
      </c>
      <c r="EA42" s="1175">
        <f t="shared" ca="1" si="45"/>
        <v>1027.57</v>
      </c>
      <c r="EB42" s="1169">
        <f t="shared" ca="1" si="46"/>
        <v>465.06999999999994</v>
      </c>
      <c r="EC42" s="1170"/>
      <c r="ED42" s="1170"/>
      <c r="EE42" s="1170"/>
      <c r="EF42" s="1173">
        <f ca="1">SUMIF('Struktur Vorjahr'!$A:$A,'Planzahlen Rentabilität'!$A42,'Struktur Vorjahr'!P:P)</f>
        <v>110.87</v>
      </c>
      <c r="EG42" s="1174">
        <f>Monatsplanung!$AF122</f>
        <v>62.5</v>
      </c>
      <c r="EH42" s="1175">
        <f ca="1">SUMIF('Struktur Aktuell'!$A:$A,'Planzahlen Rentabilität'!$A42,'Struktur Aktuell'!P:P)</f>
        <v>110.87</v>
      </c>
      <c r="EI42" s="1169">
        <f t="shared" ca="1" si="47"/>
        <v>48.370000000000005</v>
      </c>
      <c r="EJ42" s="1170"/>
      <c r="EK42" s="1170"/>
      <c r="EL42" s="1170"/>
      <c r="EM42" s="1173">
        <f t="shared" ca="1" si="48"/>
        <v>1138.44</v>
      </c>
      <c r="EN42" s="1174">
        <f t="shared" si="49"/>
        <v>625</v>
      </c>
      <c r="EO42" s="1175">
        <f t="shared" ca="1" si="50"/>
        <v>1138.44</v>
      </c>
      <c r="EP42" s="1169">
        <f t="shared" ca="1" si="51"/>
        <v>513.44000000000005</v>
      </c>
      <c r="EQ42" s="1170"/>
      <c r="ER42" s="1170"/>
      <c r="ES42" s="1170"/>
      <c r="ET42" s="1173">
        <f ca="1">SUMIF('Struktur Vorjahr'!$A:$A,'Planzahlen Rentabilität'!$A42,'Struktur Vorjahr'!Q:Q)</f>
        <v>0</v>
      </c>
      <c r="EU42" s="1174">
        <f>Monatsplanung!$AG122</f>
        <v>62.5</v>
      </c>
      <c r="EV42" s="1175">
        <f ca="1">SUMIF('Struktur Aktuell'!$A:$A,'Planzahlen Rentabilität'!$A42,'Struktur Aktuell'!Q:Q)</f>
        <v>0</v>
      </c>
      <c r="EW42" s="1169">
        <f t="shared" ca="1" si="52"/>
        <v>-62.5</v>
      </c>
      <c r="EX42" s="1170"/>
      <c r="EY42" s="1170"/>
      <c r="EZ42" s="1170"/>
      <c r="FA42" s="1173">
        <f t="shared" ca="1" si="53"/>
        <v>1138.44</v>
      </c>
      <c r="FB42" s="1174">
        <f t="shared" si="54"/>
        <v>687.5</v>
      </c>
      <c r="FC42" s="1175">
        <f t="shared" ca="1" si="55"/>
        <v>1138.44</v>
      </c>
      <c r="FD42" s="1169">
        <f t="shared" ca="1" si="56"/>
        <v>450.94000000000005</v>
      </c>
      <c r="FE42" s="1170"/>
      <c r="FF42" s="1170"/>
      <c r="FG42" s="1170"/>
      <c r="FH42" s="1173">
        <f ca="1">SUMIF('Struktur Vorjahr'!$A:$A,'Planzahlen Rentabilität'!$A42,'Struktur Vorjahr'!R:R)</f>
        <v>0</v>
      </c>
      <c r="FI42" s="1174">
        <f>Monatsplanung!$AH122</f>
        <v>62.5</v>
      </c>
      <c r="FJ42" s="1175">
        <f ca="1">SUMIF('Struktur Aktuell'!$A:$A,'Planzahlen Rentabilität'!$A42,'Struktur Aktuell'!R:R)</f>
        <v>0</v>
      </c>
      <c r="FK42" s="1169">
        <f t="shared" ca="1" si="57"/>
        <v>-62.5</v>
      </c>
      <c r="FL42" s="1170"/>
      <c r="FM42" s="1170"/>
      <c r="FN42" s="1170"/>
      <c r="FO42" s="1173">
        <f t="shared" ca="1" si="58"/>
        <v>1138.44</v>
      </c>
      <c r="FP42" s="1174">
        <f t="shared" si="59"/>
        <v>750</v>
      </c>
      <c r="FQ42" s="1175">
        <f t="shared" ca="1" si="60"/>
        <v>1138.44</v>
      </c>
      <c r="FR42" s="1169">
        <f t="shared" ca="1" si="61"/>
        <v>388.44000000000005</v>
      </c>
      <c r="FS42" s="1170"/>
      <c r="FT42" s="1170"/>
      <c r="FU42" s="1170"/>
      <c r="FV42" s="1171"/>
      <c r="FW42" s="1169">
        <v>0</v>
      </c>
    </row>
    <row r="43" spans="1:179" s="883" customFormat="1" outlineLevel="1" x14ac:dyDescent="0.2">
      <c r="A43" s="1160">
        <v>26</v>
      </c>
      <c r="B43" s="1160" t="str">
        <f>'Struktur Aktuell'!B293</f>
        <v>Abraum- / Abfallbeseitigung</v>
      </c>
      <c r="C43" s="1173">
        <f t="shared" ca="1" si="72"/>
        <v>64.28</v>
      </c>
      <c r="D43" s="1174">
        <f t="shared" si="73"/>
        <v>1500</v>
      </c>
      <c r="E43" s="1177">
        <f t="shared" ca="1" si="74"/>
        <v>64.28</v>
      </c>
      <c r="F43" s="1169">
        <f t="shared" ca="1" si="1"/>
        <v>-1435.72</v>
      </c>
      <c r="G43" s="1170"/>
      <c r="H43" s="1170"/>
      <c r="I43" s="1170"/>
      <c r="J43" s="1173">
        <f ca="1">SUMIF('Struktur Vorjahr'!$A:$A,'Planzahlen Rentabilität'!$A43,'Struktur Vorjahr'!G:G)</f>
        <v>0</v>
      </c>
      <c r="K43" s="1174">
        <f>Monatsplanung!$W123</f>
        <v>125</v>
      </c>
      <c r="L43" s="1177">
        <f ca="1">SUMIF('Struktur Aktuell'!$A:$A,'Planzahlen Rentabilität'!$A43,'Struktur Aktuell'!G:G)</f>
        <v>0</v>
      </c>
      <c r="M43" s="1169">
        <f t="shared" ca="1" si="2"/>
        <v>-125</v>
      </c>
      <c r="N43" s="1170"/>
      <c r="O43" s="1170"/>
      <c r="P43" s="1170"/>
      <c r="Q43" s="1173">
        <f t="shared" ca="1" si="3"/>
        <v>0</v>
      </c>
      <c r="R43" s="1174">
        <f t="shared" si="4"/>
        <v>125</v>
      </c>
      <c r="S43" s="1177">
        <f t="shared" ca="1" si="5"/>
        <v>0</v>
      </c>
      <c r="T43" s="1169">
        <f t="shared" ca="1" si="6"/>
        <v>-125</v>
      </c>
      <c r="U43" s="1170"/>
      <c r="V43" s="1170"/>
      <c r="W43" s="1170"/>
      <c r="X43" s="1173">
        <f ca="1">SUMIF('Struktur Vorjahr'!$A:$A,'Planzahlen Rentabilität'!$A43,'Struktur Vorjahr'!H:H)</f>
        <v>0</v>
      </c>
      <c r="Y43" s="1174">
        <f>Monatsplanung!$X123</f>
        <v>125</v>
      </c>
      <c r="Z43" s="1177">
        <f ca="1">SUMIF('Struktur Aktuell'!$A:$A,'Planzahlen Rentabilität'!$A43,'Struktur Aktuell'!H:H)</f>
        <v>0</v>
      </c>
      <c r="AA43" s="1169">
        <f t="shared" ca="1" si="7"/>
        <v>-125</v>
      </c>
      <c r="AB43" s="1170"/>
      <c r="AC43" s="1170"/>
      <c r="AD43" s="1170"/>
      <c r="AE43" s="1173">
        <f t="shared" ca="1" si="8"/>
        <v>0</v>
      </c>
      <c r="AF43" s="1174">
        <f t="shared" si="9"/>
        <v>250</v>
      </c>
      <c r="AG43" s="1177">
        <f t="shared" ca="1" si="10"/>
        <v>0</v>
      </c>
      <c r="AH43" s="1169">
        <f t="shared" ca="1" si="11"/>
        <v>-250</v>
      </c>
      <c r="AI43" s="1170"/>
      <c r="AJ43" s="1170"/>
      <c r="AK43" s="1170"/>
      <c r="AL43" s="1173">
        <v>0</v>
      </c>
      <c r="AM43" s="1174">
        <f>Monatsplanung!$Y123</f>
        <v>125</v>
      </c>
      <c r="AN43" s="1177">
        <v>0</v>
      </c>
      <c r="AO43" s="1169">
        <f t="shared" si="12"/>
        <v>-125</v>
      </c>
      <c r="AP43" s="1170"/>
      <c r="AQ43" s="1170"/>
      <c r="AR43" s="1170"/>
      <c r="AS43" s="1173">
        <f t="shared" ca="1" si="13"/>
        <v>0</v>
      </c>
      <c r="AT43" s="1174">
        <f t="shared" si="14"/>
        <v>375</v>
      </c>
      <c r="AU43" s="1177">
        <f t="shared" ca="1" si="15"/>
        <v>0</v>
      </c>
      <c r="AV43" s="1169">
        <f t="shared" ca="1" si="16"/>
        <v>-375</v>
      </c>
      <c r="AW43" s="1170"/>
      <c r="AX43" s="1170"/>
      <c r="AY43" s="1170"/>
      <c r="AZ43" s="1173">
        <f ca="1">SUMIF('Struktur Vorjahr'!$A:$A,'Planzahlen Rentabilität'!$A43,'Struktur Vorjahr'!J:J)</f>
        <v>0</v>
      </c>
      <c r="BA43" s="1174">
        <f>Monatsplanung!$Z123</f>
        <v>125</v>
      </c>
      <c r="BB43" s="1177">
        <f ca="1">SUMIF('Struktur Aktuell'!$A:$A,'Planzahlen Rentabilität'!$A43,'Struktur Aktuell'!J:J)</f>
        <v>0</v>
      </c>
      <c r="BC43" s="1169">
        <f t="shared" ca="1" si="17"/>
        <v>-125</v>
      </c>
      <c r="BD43" s="1170"/>
      <c r="BE43" s="1170"/>
      <c r="BF43" s="1170"/>
      <c r="BG43" s="1173">
        <f t="shared" ca="1" si="18"/>
        <v>0</v>
      </c>
      <c r="BH43" s="1174">
        <f t="shared" si="19"/>
        <v>500</v>
      </c>
      <c r="BI43" s="1177">
        <f t="shared" ca="1" si="20"/>
        <v>0</v>
      </c>
      <c r="BJ43" s="1169">
        <f t="shared" ca="1" si="21"/>
        <v>-500</v>
      </c>
      <c r="BK43" s="1170"/>
      <c r="BL43" s="1170"/>
      <c r="BM43" s="1170"/>
      <c r="BN43" s="1173">
        <f ca="1">SUMIF('Struktur Vorjahr'!$A:$A,'Planzahlen Rentabilität'!$A43,'Struktur Vorjahr'!K:K)</f>
        <v>0</v>
      </c>
      <c r="BO43" s="1174">
        <f>Monatsplanung!$AA123</f>
        <v>125</v>
      </c>
      <c r="BP43" s="1177">
        <f ca="1">SUMIF('Struktur Aktuell'!$A:$A,'Planzahlen Rentabilität'!$A43,'Struktur Aktuell'!K:K)</f>
        <v>0</v>
      </c>
      <c r="BQ43" s="1169">
        <f t="shared" ca="1" si="22"/>
        <v>-125</v>
      </c>
      <c r="BR43" s="1170"/>
      <c r="BS43" s="1170"/>
      <c r="BT43" s="1170"/>
      <c r="BU43" s="1173">
        <f t="shared" ca="1" si="23"/>
        <v>0</v>
      </c>
      <c r="BV43" s="1174">
        <f t="shared" si="24"/>
        <v>625</v>
      </c>
      <c r="BW43" s="1177">
        <f t="shared" ca="1" si="25"/>
        <v>0</v>
      </c>
      <c r="BX43" s="1169">
        <f t="shared" ca="1" si="26"/>
        <v>-625</v>
      </c>
      <c r="BY43" s="1170"/>
      <c r="BZ43" s="1170"/>
      <c r="CA43" s="1170"/>
      <c r="CB43" s="1173">
        <v>0</v>
      </c>
      <c r="CC43" s="1174">
        <f>Monatsplanung!$AB123</f>
        <v>125</v>
      </c>
      <c r="CD43" s="1177">
        <v>0</v>
      </c>
      <c r="CE43" s="1169">
        <f t="shared" si="27"/>
        <v>-125</v>
      </c>
      <c r="CF43" s="1170"/>
      <c r="CG43" s="1170"/>
      <c r="CH43" s="1170"/>
      <c r="CI43" s="1173">
        <f t="shared" ca="1" si="28"/>
        <v>0</v>
      </c>
      <c r="CJ43" s="1174">
        <f t="shared" si="29"/>
        <v>750</v>
      </c>
      <c r="CK43" s="1177">
        <f t="shared" ca="1" si="30"/>
        <v>0</v>
      </c>
      <c r="CL43" s="1169">
        <f t="shared" ca="1" si="31"/>
        <v>-750</v>
      </c>
      <c r="CM43" s="1170"/>
      <c r="CN43" s="1170"/>
      <c r="CO43" s="1170"/>
      <c r="CP43" s="1173">
        <f ca="1">SUMIF('Struktur Vorjahr'!$A:$A,'Planzahlen Rentabilität'!$A43,'Struktur Vorjahr'!M:M)</f>
        <v>64.28</v>
      </c>
      <c r="CQ43" s="1174">
        <f>Monatsplanung!$AC123</f>
        <v>125</v>
      </c>
      <c r="CR43" s="1177">
        <f ca="1">SUMIF('Struktur Aktuell'!$A:$A,'Planzahlen Rentabilität'!$A43,'Struktur Aktuell'!M:M)</f>
        <v>64.28</v>
      </c>
      <c r="CS43" s="1169">
        <f t="shared" ca="1" si="32"/>
        <v>-60.72</v>
      </c>
      <c r="CT43" s="1170"/>
      <c r="CU43" s="1170"/>
      <c r="CV43" s="1170"/>
      <c r="CW43" s="1173">
        <f t="shared" ca="1" si="33"/>
        <v>64.28</v>
      </c>
      <c r="CX43" s="1174">
        <f t="shared" si="34"/>
        <v>875</v>
      </c>
      <c r="CY43" s="1177">
        <f t="shared" ca="1" si="35"/>
        <v>64.28</v>
      </c>
      <c r="CZ43" s="1169">
        <f t="shared" ca="1" si="36"/>
        <v>-810.72</v>
      </c>
      <c r="DA43" s="1170"/>
      <c r="DB43" s="1170"/>
      <c r="DC43" s="1170"/>
      <c r="DD43" s="1173">
        <f ca="1">SUMIF('Struktur Vorjahr'!$A:$A,'Planzahlen Rentabilität'!$A43,'Struktur Vorjahr'!N:N)</f>
        <v>0</v>
      </c>
      <c r="DE43" s="1174">
        <f>Monatsplanung!$AD123</f>
        <v>125</v>
      </c>
      <c r="DF43" s="1177">
        <f ca="1">SUMIF('Struktur Aktuell'!$A:$A,'Planzahlen Rentabilität'!$A43,'Struktur Aktuell'!N:N)</f>
        <v>0</v>
      </c>
      <c r="DG43" s="1169">
        <f t="shared" ca="1" si="37"/>
        <v>-125</v>
      </c>
      <c r="DH43" s="1170"/>
      <c r="DI43" s="1170"/>
      <c r="DJ43" s="1170"/>
      <c r="DK43" s="1173">
        <f t="shared" ca="1" si="38"/>
        <v>64.28</v>
      </c>
      <c r="DL43" s="1174">
        <f t="shared" si="39"/>
        <v>1000</v>
      </c>
      <c r="DM43" s="1177">
        <f t="shared" ca="1" si="40"/>
        <v>64.28</v>
      </c>
      <c r="DN43" s="1169">
        <f t="shared" ca="1" si="41"/>
        <v>-935.72</v>
      </c>
      <c r="DO43" s="1170"/>
      <c r="DP43" s="1170"/>
      <c r="DQ43" s="1170"/>
      <c r="DR43" s="1173">
        <f ca="1">SUMIF('Struktur Vorjahr'!$A:$A,'Planzahlen Rentabilität'!$A43,'Struktur Vorjahr'!O:O)</f>
        <v>0</v>
      </c>
      <c r="DS43" s="1174">
        <f>Monatsplanung!$AE123</f>
        <v>125</v>
      </c>
      <c r="DT43" s="1177">
        <f ca="1">SUMIF('Struktur Aktuell'!$A:$A,'Planzahlen Rentabilität'!$A43,'Struktur Aktuell'!O:O)</f>
        <v>0</v>
      </c>
      <c r="DU43" s="1169">
        <f t="shared" ca="1" si="42"/>
        <v>-125</v>
      </c>
      <c r="DV43" s="1170"/>
      <c r="DW43" s="1170"/>
      <c r="DX43" s="1170"/>
      <c r="DY43" s="1173">
        <f t="shared" ca="1" si="43"/>
        <v>64.28</v>
      </c>
      <c r="DZ43" s="1174">
        <f t="shared" si="44"/>
        <v>1125</v>
      </c>
      <c r="EA43" s="1177">
        <f t="shared" ca="1" si="45"/>
        <v>64.28</v>
      </c>
      <c r="EB43" s="1169">
        <f t="shared" ca="1" si="46"/>
        <v>-1060.72</v>
      </c>
      <c r="EC43" s="1170"/>
      <c r="ED43" s="1170"/>
      <c r="EE43" s="1170"/>
      <c r="EF43" s="1173">
        <f ca="1">SUMIF('Struktur Vorjahr'!$A:$A,'Planzahlen Rentabilität'!$A43,'Struktur Vorjahr'!P:P)</f>
        <v>0</v>
      </c>
      <c r="EG43" s="1174">
        <f>Monatsplanung!$AF123</f>
        <v>125</v>
      </c>
      <c r="EH43" s="1177">
        <f ca="1">SUMIF('Struktur Aktuell'!$A:$A,'Planzahlen Rentabilität'!$A43,'Struktur Aktuell'!P:P)</f>
        <v>0</v>
      </c>
      <c r="EI43" s="1169">
        <f t="shared" ca="1" si="47"/>
        <v>-125</v>
      </c>
      <c r="EJ43" s="1170"/>
      <c r="EK43" s="1170"/>
      <c r="EL43" s="1170"/>
      <c r="EM43" s="1173">
        <f t="shared" ca="1" si="48"/>
        <v>64.28</v>
      </c>
      <c r="EN43" s="1174">
        <f t="shared" si="49"/>
        <v>1250</v>
      </c>
      <c r="EO43" s="1177">
        <f t="shared" ca="1" si="50"/>
        <v>64.28</v>
      </c>
      <c r="EP43" s="1169">
        <f t="shared" ca="1" si="51"/>
        <v>-1185.72</v>
      </c>
      <c r="EQ43" s="1170"/>
      <c r="ER43" s="1170"/>
      <c r="ES43" s="1170"/>
      <c r="ET43" s="1173">
        <f ca="1">SUMIF('Struktur Vorjahr'!$A:$A,'Planzahlen Rentabilität'!$A43,'Struktur Vorjahr'!Q:Q)</f>
        <v>0</v>
      </c>
      <c r="EU43" s="1174">
        <f>Monatsplanung!$AG123</f>
        <v>125</v>
      </c>
      <c r="EV43" s="1177">
        <f ca="1">SUMIF('Struktur Aktuell'!$A:$A,'Planzahlen Rentabilität'!$A43,'Struktur Aktuell'!Q:Q)</f>
        <v>0</v>
      </c>
      <c r="EW43" s="1169">
        <f t="shared" ca="1" si="52"/>
        <v>-125</v>
      </c>
      <c r="EX43" s="1170"/>
      <c r="EY43" s="1170"/>
      <c r="EZ43" s="1170"/>
      <c r="FA43" s="1173">
        <f t="shared" ca="1" si="53"/>
        <v>64.28</v>
      </c>
      <c r="FB43" s="1174">
        <f t="shared" si="54"/>
        <v>1375</v>
      </c>
      <c r="FC43" s="1177">
        <f t="shared" ca="1" si="55"/>
        <v>64.28</v>
      </c>
      <c r="FD43" s="1169">
        <f t="shared" ca="1" si="56"/>
        <v>-1310.72</v>
      </c>
      <c r="FE43" s="1170"/>
      <c r="FF43" s="1170"/>
      <c r="FG43" s="1170"/>
      <c r="FH43" s="1173">
        <f ca="1">SUMIF('Struktur Vorjahr'!$A:$A,'Planzahlen Rentabilität'!$A43,'Struktur Vorjahr'!R:R)</f>
        <v>0</v>
      </c>
      <c r="FI43" s="1174">
        <f>Monatsplanung!$AH123</f>
        <v>125</v>
      </c>
      <c r="FJ43" s="1177">
        <f ca="1">SUMIF('Struktur Aktuell'!$A:$A,'Planzahlen Rentabilität'!$A43,'Struktur Aktuell'!R:R)</f>
        <v>0</v>
      </c>
      <c r="FK43" s="1169">
        <f t="shared" ca="1" si="57"/>
        <v>-125</v>
      </c>
      <c r="FL43" s="1170"/>
      <c r="FM43" s="1170"/>
      <c r="FN43" s="1170"/>
      <c r="FO43" s="1173">
        <f t="shared" ca="1" si="58"/>
        <v>64.28</v>
      </c>
      <c r="FP43" s="1174">
        <f t="shared" si="59"/>
        <v>1500</v>
      </c>
      <c r="FQ43" s="1177">
        <f t="shared" ca="1" si="60"/>
        <v>64.28</v>
      </c>
      <c r="FR43" s="1169">
        <f t="shared" ca="1" si="61"/>
        <v>-1435.72</v>
      </c>
      <c r="FS43" s="1170"/>
      <c r="FT43" s="1170"/>
      <c r="FU43" s="1170"/>
      <c r="FV43" s="1171"/>
      <c r="FW43" s="1169">
        <v>0</v>
      </c>
    </row>
    <row r="44" spans="1:179" s="883" customFormat="1" ht="16.5" customHeight="1" x14ac:dyDescent="0.2">
      <c r="A44" s="1179" t="s">
        <v>870</v>
      </c>
      <c r="B44" s="1167" t="str">
        <f>'Struktur Aktuell'!B300</f>
        <v>Betriebsergebnis</v>
      </c>
      <c r="C44" s="1180">
        <f ca="1">C22-C23-C30-C33</f>
        <v>-13312.419999999984</v>
      </c>
      <c r="D44" s="1180">
        <f>D22-D23-D30-D33</f>
        <v>258598.46666666644</v>
      </c>
      <c r="E44" s="1180">
        <f ca="1">E22-E23-E30-E33</f>
        <v>-8562.4199999999837</v>
      </c>
      <c r="F44" s="1181">
        <f t="shared" ca="1" si="1"/>
        <v>-267160.88666666643</v>
      </c>
      <c r="G44" s="1182">
        <f ca="1">C44/C$15</f>
        <v>-8.645223482886466E-2</v>
      </c>
      <c r="H44" s="1182">
        <f>D44/D$15</f>
        <v>0.25005024885916693</v>
      </c>
      <c r="I44" s="1182">
        <f ca="1">E44/E$15</f>
        <v>-5.4009705374540903E-2</v>
      </c>
      <c r="J44" s="1180">
        <f ca="1">J22-J23-J30-J33</f>
        <v>-14222.12</v>
      </c>
      <c r="K44" s="1180">
        <f>K22-K23-K30-K33</f>
        <v>-3840.7594444444476</v>
      </c>
      <c r="L44" s="1180">
        <f ca="1">L22-L23-L30-L33</f>
        <v>-9301.1200000000008</v>
      </c>
      <c r="M44" s="1181">
        <f t="shared" ca="1" si="2"/>
        <v>-5460.3605555555532</v>
      </c>
      <c r="N44" s="1182">
        <f ca="1">J44/J$15</f>
        <v>-1.3009896841956976</v>
      </c>
      <c r="O44" s="1182">
        <f>K44/K$15</f>
        <v>-6.1896658248523438E-2</v>
      </c>
      <c r="P44" s="1182">
        <f ca="1">L44/L$15</f>
        <v>-0.83106782930671386</v>
      </c>
      <c r="Q44" s="1180">
        <f t="shared" ref="Q44:Q62" ca="1" si="75">J44</f>
        <v>-14222.12</v>
      </c>
      <c r="R44" s="1180">
        <f t="shared" ref="R44:R62" si="76">K44</f>
        <v>-3840.7594444444476</v>
      </c>
      <c r="S44" s="1180">
        <f t="shared" ref="S44:S62" ca="1" si="77">L44</f>
        <v>-9301.1200000000008</v>
      </c>
      <c r="T44" s="1181">
        <f t="shared" ca="1" si="6"/>
        <v>-5460.3605555555532</v>
      </c>
      <c r="U44" s="1182">
        <f ca="1">Q44/Q$15</f>
        <v>-1.3009896841956976</v>
      </c>
      <c r="V44" s="1182">
        <f>R44/R$15</f>
        <v>-6.1896658248523438E-2</v>
      </c>
      <c r="W44" s="1182">
        <f ca="1">S44/S$15</f>
        <v>-0.83106782930671386</v>
      </c>
      <c r="X44" s="1180">
        <f ca="1">X22-X23-X30-X33</f>
        <v>-3068.4599999999973</v>
      </c>
      <c r="Y44" s="1180">
        <f>Y22-Y23-Y30-Y33</f>
        <v>16774.960555555561</v>
      </c>
      <c r="Z44" s="1180">
        <f ca="1">Z22-Z23-Z30-Z33</f>
        <v>-9817.4599999999991</v>
      </c>
      <c r="AA44" s="1181">
        <f t="shared" ca="1" si="7"/>
        <v>-26592.42055555556</v>
      </c>
      <c r="AB44" s="1182">
        <f ca="1">X44/$Y$15</f>
        <v>-3.7087864271997457E-2</v>
      </c>
      <c r="AC44" s="1182">
        <f>Y44/$Y$15</f>
        <v>0.20275560387052668</v>
      </c>
      <c r="AD44" s="1182">
        <f ca="1">Z44/$Z$15</f>
        <v>-0.82647944000370399</v>
      </c>
      <c r="AE44" s="1180">
        <f t="shared" ref="AE44:AE62" ca="1" si="78">Q44+X44</f>
        <v>-17290.579999999998</v>
      </c>
      <c r="AF44" s="1180">
        <f t="shared" ref="AF44:AF62" si="79">R44+Y44</f>
        <v>12934.201111111113</v>
      </c>
      <c r="AG44" s="1180">
        <f t="shared" ref="AG44:AG62" ca="1" si="80">S44+Z44</f>
        <v>-19118.580000000002</v>
      </c>
      <c r="AH44" s="1181">
        <f t="shared" ca="1" si="11"/>
        <v>-32052.781111111115</v>
      </c>
      <c r="AI44" s="1182">
        <f ca="1">AE44/$AF$15</f>
        <v>-0.11942159617045951</v>
      </c>
      <c r="AJ44" s="1182">
        <f>AF44/$AF$15</f>
        <v>8.9333205819505199E-2</v>
      </c>
      <c r="AK44" s="1182">
        <f ca="1">AG44/$AG$15</f>
        <v>-0.82870532916175776</v>
      </c>
      <c r="AL44" s="1180">
        <f ca="1">AL22-AL23-AL30-AL33</f>
        <v>-2047.75</v>
      </c>
      <c r="AM44" s="1180">
        <f>AM22-AM23-AM30-AM33</f>
        <v>37390.680555555562</v>
      </c>
      <c r="AN44" s="1180">
        <f ca="1">AN22-AN23-AN30-AN33</f>
        <v>281.25000000000023</v>
      </c>
      <c r="AO44" s="1181">
        <f t="shared" ca="1" si="12"/>
        <v>-37109.430555555562</v>
      </c>
      <c r="AP44" s="1182">
        <f ca="1">AL44/$AM$15</f>
        <v>-1.9800596797868081E-2</v>
      </c>
      <c r="AQ44" s="1182">
        <f>AM44/$AM$15</f>
        <v>0.36154696114195667</v>
      </c>
      <c r="AR44" s="1182">
        <f ca="1">AN44/$AN$15</f>
        <v>0.87890625000000067</v>
      </c>
      <c r="AS44" s="1180">
        <f t="shared" ref="AS44:AS62" ca="1" si="81">AE44+AL44</f>
        <v>-19338.329999999998</v>
      </c>
      <c r="AT44" s="1180">
        <f t="shared" ref="AT44:AT62" si="82">AF44+AM44</f>
        <v>50324.881666666675</v>
      </c>
      <c r="AU44" s="1180">
        <f t="shared" ref="AU44:AU62" ca="1" si="83">AG44+AN44</f>
        <v>-18837.330000000002</v>
      </c>
      <c r="AV44" s="1181">
        <f t="shared" ca="1" si="16"/>
        <v>-69162.21166666667</v>
      </c>
      <c r="AW44" s="1182">
        <f ca="1">AS44/$AT$15</f>
        <v>-7.7912846431879748E-2</v>
      </c>
      <c r="AX44" s="1182">
        <f>AT44/$AT$15</f>
        <v>0.20275560387052666</v>
      </c>
      <c r="AY44" s="1182">
        <f ca="1">AU44/$AU$15</f>
        <v>-0.80534381169726754</v>
      </c>
      <c r="AZ44" s="1180">
        <f ca="1">AZ22-AZ23-AZ30-AZ33</f>
        <v>-9409.6400000000031</v>
      </c>
      <c r="BA44" s="1180">
        <f>BA22-BA23-BA30-BA33</f>
        <v>6467.1005555555612</v>
      </c>
      <c r="BB44" s="1180">
        <f ca="1">BB22-BB23-BB30-BB33</f>
        <v>-14813.640000000003</v>
      </c>
      <c r="BC44" s="1181">
        <f t="shared" ca="1" si="17"/>
        <v>-21280.740555555563</v>
      </c>
      <c r="BD44" s="1182">
        <f ca="1">AZ44/$BA$15</f>
        <v>-0.12997993452959972</v>
      </c>
      <c r="BE44" s="1182">
        <f>BA44/$BA$15</f>
        <v>8.9333205819505268E-2</v>
      </c>
      <c r="BF44" s="1182">
        <f ca="1">BB44/$BB$15</f>
        <v>-1.1415998970423571</v>
      </c>
      <c r="BG44" s="1180">
        <f t="shared" ref="BG44:BG62" ca="1" si="84">AS44+AZ44</f>
        <v>-28747.97</v>
      </c>
      <c r="BH44" s="1180">
        <f t="shared" ref="BH44:BH62" si="85">AT44+BA44</f>
        <v>56791.982222222236</v>
      </c>
      <c r="BI44" s="1180">
        <f t="shared" ref="BI44:BI62" ca="1" si="86">AU44+BB44</f>
        <v>-33650.97</v>
      </c>
      <c r="BJ44" s="1181">
        <f t="shared" ca="1" si="21"/>
        <v>-90442.952222222229</v>
      </c>
      <c r="BK44" s="1182">
        <f ca="1">BG44/$BH$15</f>
        <v>-8.9669930841042314E-2</v>
      </c>
      <c r="BL44" s="1182">
        <f>BH44/$BH$15</f>
        <v>0.17714409463319922</v>
      </c>
      <c r="BM44" s="1182">
        <f ca="1">BI44/$BI$15</f>
        <v>-0.92532549757841176</v>
      </c>
      <c r="BN44" s="1180">
        <f ca="1">BN22-BN23-BN30-BN33</f>
        <v>-20427.769999999997</v>
      </c>
      <c r="BO44" s="1180">
        <f>BO22-BO23-BO30-BO33</f>
        <v>12935.898055555561</v>
      </c>
      <c r="BP44" s="1180">
        <f ca="1">BP22-BP23-BP30-BP33</f>
        <v>-10738.769999999999</v>
      </c>
      <c r="BQ44" s="1181">
        <f t="shared" ca="1" si="22"/>
        <v>-23674.668055555558</v>
      </c>
      <c r="BR44" s="1182">
        <f ca="1">BN44/$BO$15</f>
        <v>-0.24690638337784493</v>
      </c>
      <c r="BS44" s="1182">
        <f>BO44/$BO$15</f>
        <v>0.15635362081332033</v>
      </c>
      <c r="BT44" s="1182">
        <f ca="1">BP44/$BP$15</f>
        <v>-1.384199244403598</v>
      </c>
      <c r="BU44" s="1180">
        <f t="shared" ref="BU44:BU62" ca="1" si="87">BG44+BN44</f>
        <v>-49175.74</v>
      </c>
      <c r="BV44" s="1180">
        <f t="shared" ref="BV44:BV62" si="88">BH44+BO44</f>
        <v>69727.880277777789</v>
      </c>
      <c r="BW44" s="1180">
        <f t="shared" ref="BW44:BW62" ca="1" si="89">BI44+BP44</f>
        <v>-44389.74</v>
      </c>
      <c r="BX44" s="1181">
        <f t="shared" ca="1" si="26"/>
        <v>-114117.62027777778</v>
      </c>
      <c r="BY44" s="1182">
        <f ca="1">BU44/$BV$15</f>
        <v>-0.12192356213064286</v>
      </c>
      <c r="BZ44" s="1182">
        <f>BV44/$BV$15</f>
        <v>0.1728793820547625</v>
      </c>
      <c r="CA44" s="1182">
        <f ca="1">BW44/$BW$15</f>
        <v>-1.00600570111008</v>
      </c>
      <c r="CB44" s="1180">
        <f ca="1">CB22-CB23-CB30-CB33</f>
        <v>4210.3500000000004</v>
      </c>
      <c r="CC44" s="1180">
        <f>CC22-CC23-CC30-CC33</f>
        <v>21671.898055555561</v>
      </c>
      <c r="CD44" s="1180">
        <f ca="1">CD22-CD23-CD30-CD33</f>
        <v>-87.649999999999977</v>
      </c>
      <c r="CE44" s="1181">
        <f t="shared" ca="1" si="27"/>
        <v>-21759.548055555562</v>
      </c>
      <c r="CF44" s="1182">
        <f ca="1">CB44/$CC$15</f>
        <v>5.0889661047432477E-2</v>
      </c>
      <c r="CG44" s="1182">
        <f>CC44/$CC$15</f>
        <v>0.26194391114794097</v>
      </c>
      <c r="CH44" s="1182" t="e">
        <f ca="1">CD44/$CD$15</f>
        <v>#DIV/0!</v>
      </c>
      <c r="CI44" s="1180">
        <f t="shared" ref="CI44:CI62" ca="1" si="90">BU44+CB44</f>
        <v>-44965.39</v>
      </c>
      <c r="CJ44" s="1180">
        <f t="shared" ref="CJ44:CJ62" si="91">BV44+CC44</f>
        <v>91399.77833333335</v>
      </c>
      <c r="CK44" s="1180">
        <f t="shared" ref="CK44:CK62" ca="1" si="92">BW44+CD44</f>
        <v>-44477.39</v>
      </c>
      <c r="CL44" s="1181">
        <f t="shared" ref="CL44:CL62" ca="1" si="93">CK44-CJ44</f>
        <v>-135877.16833333333</v>
      </c>
      <c r="CM44" s="1182">
        <f ca="1">CI44/$CJ$15</f>
        <v>-9.25085454194811E-2</v>
      </c>
      <c r="CN44" s="1182">
        <f>CJ44/$CJ$15</f>
        <v>0.18803930190040991</v>
      </c>
      <c r="CO44" s="1182">
        <f ca="1">CK44/$CK$15</f>
        <v>-1.0079921150810178</v>
      </c>
      <c r="CP44" s="1180">
        <f ca="1">CP22-CP23-CP30-CP33</f>
        <v>24142.950000000004</v>
      </c>
      <c r="CQ44" s="1180">
        <f>CQ22-CQ23-CQ30-CQ33</f>
        <v>21671.898055555561</v>
      </c>
      <c r="CR44" s="1180">
        <f ca="1">CR22-CR23-CR30-CR33</f>
        <v>22399.950000000004</v>
      </c>
      <c r="CS44" s="1181">
        <f t="shared" ref="CS44:CS62" ca="1" si="94">CR44-CQ44</f>
        <v>728.05194444444351</v>
      </c>
      <c r="CT44" s="1182">
        <f ca="1">CP44/$CQ$15</f>
        <v>0.29181102335556663</v>
      </c>
      <c r="CU44" s="1182">
        <f>CQ44/$CQ$15</f>
        <v>0.26194391114794097</v>
      </c>
      <c r="CV44" s="1182">
        <f ca="1">CR44/$CR$15</f>
        <v>0.43437373832569498</v>
      </c>
      <c r="CW44" s="1180">
        <f t="shared" ref="CW44:CW62" ca="1" si="95">CI44+CP44</f>
        <v>-20822.439999999995</v>
      </c>
      <c r="CX44" s="1180">
        <f t="shared" ref="CX44:CX62" si="96">CJ44+CQ44</f>
        <v>113071.67638888891</v>
      </c>
      <c r="CY44" s="1180">
        <f t="shared" ref="CY44:CY62" ca="1" si="97">CK44+CR44</f>
        <v>-22077.439999999995</v>
      </c>
      <c r="CZ44" s="1181">
        <f t="shared" ca="1" si="36"/>
        <v>-135149.11638888891</v>
      </c>
      <c r="DA44" s="1182">
        <f ca="1">CW44/$CX$15</f>
        <v>-3.6607517234019608E-2</v>
      </c>
      <c r="DB44" s="1182">
        <f>CX44/$CX$15</f>
        <v>0.19878906324550533</v>
      </c>
      <c r="DC44" s="1182">
        <f ca="1">CY44/$CY$15</f>
        <v>-0.23071083898194555</v>
      </c>
      <c r="DD44" s="1180">
        <f ca="1">DD22-DD23-DD30-DD33</f>
        <v>1291.850000000001</v>
      </c>
      <c r="DE44" s="1180">
        <f>DE22-DE23-DE30-DE33</f>
        <v>8489.6380555555588</v>
      </c>
      <c r="DF44" s="1180">
        <f ca="1">DF22-DF23-DF30-DF33</f>
        <v>6699.8500000000013</v>
      </c>
      <c r="DG44" s="1181">
        <f t="shared" ca="1" si="37"/>
        <v>-1789.7880555555575</v>
      </c>
      <c r="DH44" s="1182">
        <f ca="1">DD44/$DE$15</f>
        <v>1.7844952455361041E-2</v>
      </c>
      <c r="DI44" s="1182">
        <f>DE44/$DE$15</f>
        <v>0.11727150014677601</v>
      </c>
      <c r="DJ44" s="1182">
        <f ca="1">DF44/$DF$15</f>
        <v>0.34659099432974794</v>
      </c>
      <c r="DK44" s="1180">
        <f t="shared" ref="DK44:DK62" ca="1" si="98">CW44+DD44</f>
        <v>-19530.589999999993</v>
      </c>
      <c r="DL44" s="1180">
        <f t="shared" ref="DL44:DL62" si="99">CX44+DE44</f>
        <v>121561.31444444446</v>
      </c>
      <c r="DM44" s="1180">
        <f t="shared" ref="DM44:DM62" ca="1" si="100">CY44+DF44</f>
        <v>-15377.589999999993</v>
      </c>
      <c r="DN44" s="1181">
        <f t="shared" ref="DN44:DN62" ca="1" si="101">DM44-DL44</f>
        <v>-136938.90444444446</v>
      </c>
      <c r="DO44" s="1182">
        <f ca="1">DK44/$DL$15</f>
        <v>-3.0459657752960504E-2</v>
      </c>
      <c r="DP44" s="1182">
        <f>DL44/$DL$15</f>
        <v>0.18958546741177781</v>
      </c>
      <c r="DQ44" s="1182">
        <f ca="1">DM44/$DM$15</f>
        <v>-0.13369047092241659</v>
      </c>
      <c r="DR44" s="1180">
        <f ca="1">DR22-DR23-DR30-DR33</f>
        <v>-7196.3599999999988</v>
      </c>
      <c r="DS44" s="1180">
        <f>DS22-DS23-DS30-DS33</f>
        <v>39413.218055555561</v>
      </c>
      <c r="DT44" s="1180">
        <f ca="1">DT22-DT23-DT30-DT33</f>
        <v>-7196.3599999999988</v>
      </c>
      <c r="DU44" s="1181">
        <f t="shared" ref="DU44:DU62" ca="1" si="102">DT44-DS44</f>
        <v>-46609.578055555561</v>
      </c>
      <c r="DV44" s="1182">
        <f ca="1">DR44/$DS$15</f>
        <v>-6.958477488575554E-2</v>
      </c>
      <c r="DW44" s="1182">
        <f>DS44/$DS$15</f>
        <v>0.38110376717104621</v>
      </c>
      <c r="DX44" s="1182">
        <f ca="1">DT44/$DT$15</f>
        <v>-0.6584712628638405</v>
      </c>
      <c r="DY44" s="1180">
        <f t="shared" ref="DY44:DY62" ca="1" si="103">DK44+DR44</f>
        <v>-26726.94999999999</v>
      </c>
      <c r="DZ44" s="1180">
        <f t="shared" ref="DZ44:DZ62" si="104">DL44+DS44</f>
        <v>160974.53250000003</v>
      </c>
      <c r="EA44" s="1180">
        <f t="shared" ref="EA44:EA62" ca="1" si="105">DM44+DT44</f>
        <v>-22573.94999999999</v>
      </c>
      <c r="EB44" s="1181">
        <f t="shared" ref="EB44:EB62" ca="1" si="106">EA44-DZ44</f>
        <v>-183548.48250000001</v>
      </c>
      <c r="EC44" s="1182">
        <f ca="1">DY44/$DZ$15</f>
        <v>-3.5893701799182033E-2</v>
      </c>
      <c r="ED44" s="1182">
        <f>DZ44/$DZ$15</f>
        <v>0.21618523126723177</v>
      </c>
      <c r="EE44" s="1182">
        <f ca="1">EA44/$EA$15</f>
        <v>-0.17922558560069196</v>
      </c>
      <c r="EF44" s="1180">
        <f ca="1">EF22-EF23-EF30-EF33</f>
        <v>14261.529999999997</v>
      </c>
      <c r="EG44" s="1180">
        <f>EG22-EG23-EG30-EG33</f>
        <v>39413.218055555561</v>
      </c>
      <c r="EH44" s="1180">
        <f ca="1">EH22-EH23-EH30-EH33</f>
        <v>6349.5300000000007</v>
      </c>
      <c r="EI44" s="1181">
        <f t="shared" ref="EI44:EI62" ca="1" si="107">EH44-EG44</f>
        <v>-33063.688055555562</v>
      </c>
      <c r="EJ44" s="1182">
        <f ca="1">EF44/$EG$15</f>
        <v>0.13790101587141962</v>
      </c>
      <c r="EK44" s="1182">
        <f>EG44/$EG$15</f>
        <v>0.38110376717104621</v>
      </c>
      <c r="EL44" s="1182">
        <f ca="1">EH44/$EH$15</f>
        <v>0.19405582864610524</v>
      </c>
      <c r="EM44" s="1180">
        <f t="shared" ref="EM44:EM62" ca="1" si="108">DY44+EF44</f>
        <v>-12465.419999999993</v>
      </c>
      <c r="EN44" s="1180">
        <f t="shared" ref="EN44:EN62" si="109">DZ44+EG44</f>
        <v>200387.7505555556</v>
      </c>
      <c r="EO44" s="1180">
        <f t="shared" ref="EO44:EO62" ca="1" si="110">EA44+EH44</f>
        <v>-16224.419999999989</v>
      </c>
      <c r="EP44" s="1181">
        <f t="shared" ref="EP44:EP62" ca="1" si="111">EO44-EN44</f>
        <v>-216612.17055555558</v>
      </c>
      <c r="EQ44" s="1182">
        <f ca="1">EM44/$EN$15</f>
        <v>-1.4699224034474517E-2</v>
      </c>
      <c r="ER44" s="1182">
        <f>EN44/$EN$15</f>
        <v>0.2362972478408677</v>
      </c>
      <c r="ES44" s="1182">
        <f ca="1">EO44/$EO$15</f>
        <v>-0.10225076957089813</v>
      </c>
      <c r="ET44" s="1180">
        <f ca="1">ET22-ET23-ET30-ET33</f>
        <v>-316</v>
      </c>
      <c r="EU44" s="1180">
        <f>EU22-EU23-EU30-EU33</f>
        <v>29105.358055555545</v>
      </c>
      <c r="EV44" s="1180">
        <f ca="1">EV22-EV23-EV30-EV33</f>
        <v>7153</v>
      </c>
      <c r="EW44" s="1181">
        <f t="shared" ref="EW44:EW62" ca="1" si="112">EV44-EU44</f>
        <v>-21952.358055555545</v>
      </c>
      <c r="EX44" s="1182">
        <f ca="1">ET44/$K$15</f>
        <v>-5.092572000265588E-3</v>
      </c>
      <c r="EY44" s="1182">
        <f>EU44/$K$15</f>
        <v>0.46905421358046406</v>
      </c>
      <c r="EZ44" s="1182">
        <f ca="1">EV44/$EV$15</f>
        <v>-42.076470588235296</v>
      </c>
      <c r="FA44" s="1180">
        <f t="shared" ca="1" si="53"/>
        <v>-12781.419999999993</v>
      </c>
      <c r="FB44" s="1180">
        <f t="shared" si="54"/>
        <v>229493.10861111115</v>
      </c>
      <c r="FC44" s="1180">
        <f t="shared" ca="1" si="55"/>
        <v>-9071.4199999999892</v>
      </c>
      <c r="FD44" s="1181">
        <f t="shared" ca="1" si="56"/>
        <v>-238564.52861111113</v>
      </c>
      <c r="FE44" s="1182">
        <f ca="1">FA44/$FB$15</f>
        <v>-1.3581228602511033E-2</v>
      </c>
      <c r="FF44" s="1182">
        <f>FB44/$FB$15</f>
        <v>0.24385384180696634</v>
      </c>
      <c r="FG44" s="1182">
        <f ca="1">FC44/$FC$15</f>
        <v>-5.7231908273693947E-2</v>
      </c>
      <c r="FH44" s="1180">
        <f ca="1">FH22-FH23-FH30-FH33</f>
        <v>-531</v>
      </c>
      <c r="FI44" s="1180">
        <f>FI22-FI23-FI30-FI33</f>
        <v>29105.358055555545</v>
      </c>
      <c r="FJ44" s="1180">
        <f ca="1">FJ22-FJ23-FJ30-FJ33</f>
        <v>509</v>
      </c>
      <c r="FK44" s="1181">
        <f t="shared" ca="1" si="57"/>
        <v>-28596.358055555545</v>
      </c>
      <c r="FL44" s="1182">
        <f ca="1">FH44/$FI$15</f>
        <v>-5.7049698990317031E-3</v>
      </c>
      <c r="FM44" s="1182">
        <f>FI44/$FI$15</f>
        <v>0.31270280905364273</v>
      </c>
      <c r="FN44" s="1182">
        <f ca="1">FJ44/$FJ$15</f>
        <v>15.90625</v>
      </c>
      <c r="FO44" s="1180">
        <f t="shared" ca="1" si="58"/>
        <v>-13312.419999999993</v>
      </c>
      <c r="FP44" s="1180">
        <f t="shared" si="59"/>
        <v>258598.4666666667</v>
      </c>
      <c r="FQ44" s="1180">
        <f t="shared" ca="1" si="60"/>
        <v>-8562.4199999999892</v>
      </c>
      <c r="FR44" s="1181">
        <f t="shared" ca="1" si="61"/>
        <v>-267160.88666666672</v>
      </c>
      <c r="FS44" s="1182">
        <f ca="1">FO44/$FP$15</f>
        <v>-1.2872365319197894E-2</v>
      </c>
      <c r="FT44" s="1182">
        <f>FP44/$FP$15</f>
        <v>0.25005024885916721</v>
      </c>
      <c r="FU44" s="1182">
        <f ca="1">FQ44/$FQ$15</f>
        <v>-5.4009705374540938E-2</v>
      </c>
      <c r="FV44" s="1171"/>
      <c r="FW44" s="1183">
        <v>0</v>
      </c>
    </row>
    <row r="45" spans="1:179" s="883" customFormat="1" x14ac:dyDescent="0.2">
      <c r="A45" s="1160">
        <v>27</v>
      </c>
      <c r="B45" s="1160" t="str">
        <f>'Struktur Aktuell'!B301</f>
        <v>Zinsertrag</v>
      </c>
      <c r="C45" s="1173">
        <f t="shared" ref="C45:E46" ca="1" si="113">J45+X45+AL45+AZ45+BN45+CB45+CP45+DD45+DR45+EF45+ET45+FH45</f>
        <v>0</v>
      </c>
      <c r="D45" s="1174">
        <f t="shared" si="113"/>
        <v>0</v>
      </c>
      <c r="E45" s="1187">
        <f t="shared" ca="1" si="113"/>
        <v>0</v>
      </c>
      <c r="F45" s="1169">
        <f t="shared" ca="1" si="1"/>
        <v>0</v>
      </c>
      <c r="G45" s="1170"/>
      <c r="H45" s="1170"/>
      <c r="I45" s="1170"/>
      <c r="J45" s="1173">
        <f ca="1">SUMIF('Struktur Vorjahr'!$A:$A,'Planzahlen Rentabilität'!$A45,'Struktur Vorjahr'!G:G)</f>
        <v>0</v>
      </c>
      <c r="K45" s="1174"/>
      <c r="L45" s="1187">
        <f ca="1">SUMIF('Struktur Aktuell'!$A:$A,'Planzahlen Rentabilität'!$A45,'Struktur Aktuell'!G:G)</f>
        <v>0</v>
      </c>
      <c r="M45" s="1169">
        <f t="shared" ca="1" si="2"/>
        <v>0</v>
      </c>
      <c r="N45" s="1170"/>
      <c r="O45" s="1170"/>
      <c r="P45" s="1170"/>
      <c r="Q45" s="1173">
        <f t="shared" ca="1" si="75"/>
        <v>0</v>
      </c>
      <c r="R45" s="1174">
        <f t="shared" si="76"/>
        <v>0</v>
      </c>
      <c r="S45" s="1187">
        <f t="shared" ca="1" si="77"/>
        <v>0</v>
      </c>
      <c r="T45" s="1169">
        <f t="shared" ca="1" si="6"/>
        <v>0</v>
      </c>
      <c r="U45" s="1170"/>
      <c r="V45" s="1170"/>
      <c r="W45" s="1170"/>
      <c r="X45" s="1173">
        <f ca="1">SUMIF('Struktur Vorjahr'!$A:$A,'Planzahlen Rentabilität'!$A45,'Struktur Vorjahr'!H:H)</f>
        <v>0</v>
      </c>
      <c r="Y45" s="1174">
        <f>K45</f>
        <v>0</v>
      </c>
      <c r="Z45" s="1187">
        <f ca="1">SUMIF('Struktur Aktuell'!$A:$A,'Planzahlen Rentabilität'!$A45,'Struktur Aktuell'!H:H)</f>
        <v>0</v>
      </c>
      <c r="AA45" s="1169">
        <f t="shared" ca="1" si="7"/>
        <v>0</v>
      </c>
      <c r="AB45" s="1170"/>
      <c r="AC45" s="1170"/>
      <c r="AD45" s="1170"/>
      <c r="AE45" s="1173">
        <f t="shared" ca="1" si="78"/>
        <v>0</v>
      </c>
      <c r="AF45" s="1174">
        <f t="shared" si="79"/>
        <v>0</v>
      </c>
      <c r="AG45" s="1187">
        <f t="shared" ca="1" si="80"/>
        <v>0</v>
      </c>
      <c r="AH45" s="1169">
        <f t="shared" ca="1" si="11"/>
        <v>0</v>
      </c>
      <c r="AI45" s="1170"/>
      <c r="AJ45" s="1170"/>
      <c r="AK45" s="1170"/>
      <c r="AL45" s="1173">
        <f ca="1">SUMIF('Struktur Vorjahr'!$A:$A,'Planzahlen Rentabilität'!$A45,'Struktur Vorjahr'!I:I)</f>
        <v>0</v>
      </c>
      <c r="AM45" s="1174">
        <f>Y45</f>
        <v>0</v>
      </c>
      <c r="AN45" s="1187">
        <f ca="1">SUMIF('Struktur Aktuell'!$A:$A,'Planzahlen Rentabilität'!$A45,'Struktur Aktuell'!I:I)</f>
        <v>0</v>
      </c>
      <c r="AO45" s="1169">
        <f t="shared" ca="1" si="12"/>
        <v>0</v>
      </c>
      <c r="AP45" s="1170"/>
      <c r="AQ45" s="1170"/>
      <c r="AR45" s="1170"/>
      <c r="AS45" s="1173">
        <f t="shared" ca="1" si="81"/>
        <v>0</v>
      </c>
      <c r="AT45" s="1174">
        <f t="shared" si="82"/>
        <v>0</v>
      </c>
      <c r="AU45" s="1187">
        <f t="shared" ca="1" si="83"/>
        <v>0</v>
      </c>
      <c r="AV45" s="1169">
        <f t="shared" ca="1" si="16"/>
        <v>0</v>
      </c>
      <c r="AW45" s="1170"/>
      <c r="AX45" s="1170"/>
      <c r="AY45" s="1170"/>
      <c r="AZ45" s="1173">
        <f ca="1">SUMIF('Struktur Vorjahr'!$A:$A,'Planzahlen Rentabilität'!$A45,'Struktur Vorjahr'!J:J)</f>
        <v>0</v>
      </c>
      <c r="BA45" s="1174">
        <f>AM45</f>
        <v>0</v>
      </c>
      <c r="BB45" s="1187">
        <f ca="1">SUMIF('Struktur Aktuell'!$A:$A,'Planzahlen Rentabilität'!$A45,'Struktur Aktuell'!J:J)</f>
        <v>0</v>
      </c>
      <c r="BC45" s="1169">
        <f t="shared" ca="1" si="17"/>
        <v>0</v>
      </c>
      <c r="BD45" s="1170"/>
      <c r="BE45" s="1170"/>
      <c r="BF45" s="1170"/>
      <c r="BG45" s="1173">
        <f t="shared" ca="1" si="84"/>
        <v>0</v>
      </c>
      <c r="BH45" s="1174">
        <f t="shared" si="85"/>
        <v>0</v>
      </c>
      <c r="BI45" s="1187">
        <f t="shared" ca="1" si="86"/>
        <v>0</v>
      </c>
      <c r="BJ45" s="1169">
        <f t="shared" ca="1" si="21"/>
        <v>0</v>
      </c>
      <c r="BK45" s="1170"/>
      <c r="BL45" s="1170"/>
      <c r="BM45" s="1170"/>
      <c r="BN45" s="1173">
        <f ca="1">SUMIF('Struktur Vorjahr'!$A:$A,'Planzahlen Rentabilität'!$A45,'Struktur Vorjahr'!K:K)</f>
        <v>0</v>
      </c>
      <c r="BO45" s="1174">
        <f>BA45</f>
        <v>0</v>
      </c>
      <c r="BP45" s="1187">
        <f ca="1">SUMIF('Struktur Aktuell'!$A:$A,'Planzahlen Rentabilität'!$A45,'Struktur Aktuell'!K:K)</f>
        <v>0</v>
      </c>
      <c r="BQ45" s="1169">
        <f t="shared" ca="1" si="22"/>
        <v>0</v>
      </c>
      <c r="BR45" s="1170"/>
      <c r="BS45" s="1170"/>
      <c r="BT45" s="1170"/>
      <c r="BU45" s="1173">
        <f t="shared" ca="1" si="87"/>
        <v>0</v>
      </c>
      <c r="BV45" s="1174">
        <f t="shared" si="88"/>
        <v>0</v>
      </c>
      <c r="BW45" s="1187">
        <f t="shared" ca="1" si="89"/>
        <v>0</v>
      </c>
      <c r="BX45" s="1169">
        <f t="shared" ca="1" si="26"/>
        <v>0</v>
      </c>
      <c r="BY45" s="1170"/>
      <c r="BZ45" s="1170"/>
      <c r="CA45" s="1170"/>
      <c r="CB45" s="1173">
        <f ca="1">SUMIF('Struktur Vorjahr'!$A:$A,'Planzahlen Rentabilität'!$A45,'Struktur Vorjahr'!L:L)</f>
        <v>0</v>
      </c>
      <c r="CC45" s="1174">
        <f>BO45</f>
        <v>0</v>
      </c>
      <c r="CD45" s="1187">
        <f ca="1">SUMIF('Struktur Aktuell'!$A:$A,'Planzahlen Rentabilität'!$A45,'Struktur Aktuell'!L:L)</f>
        <v>0</v>
      </c>
      <c r="CE45" s="1169">
        <f t="shared" ca="1" si="27"/>
        <v>0</v>
      </c>
      <c r="CF45" s="1170"/>
      <c r="CG45" s="1170"/>
      <c r="CH45" s="1170"/>
      <c r="CI45" s="1173">
        <f t="shared" ca="1" si="90"/>
        <v>0</v>
      </c>
      <c r="CJ45" s="1174">
        <f t="shared" si="91"/>
        <v>0</v>
      </c>
      <c r="CK45" s="1187">
        <f t="shared" ca="1" si="92"/>
        <v>0</v>
      </c>
      <c r="CL45" s="1169">
        <f t="shared" ca="1" si="93"/>
        <v>0</v>
      </c>
      <c r="CM45" s="1170"/>
      <c r="CN45" s="1170"/>
      <c r="CO45" s="1170"/>
      <c r="CP45" s="1173">
        <f ca="1">SUMIF('Struktur Vorjahr'!$A:$A,'Planzahlen Rentabilität'!$A45,'Struktur Vorjahr'!M:M)</f>
        <v>0</v>
      </c>
      <c r="CQ45" s="1174">
        <f>CC45</f>
        <v>0</v>
      </c>
      <c r="CR45" s="1187">
        <f ca="1">SUMIF('Struktur Aktuell'!$A:$A,'Planzahlen Rentabilität'!$A45,'Struktur Aktuell'!M:M)</f>
        <v>0</v>
      </c>
      <c r="CS45" s="1169">
        <f t="shared" ca="1" si="94"/>
        <v>0</v>
      </c>
      <c r="CT45" s="1170"/>
      <c r="CU45" s="1170"/>
      <c r="CV45" s="1170"/>
      <c r="CW45" s="1173">
        <f t="shared" ca="1" si="95"/>
        <v>0</v>
      </c>
      <c r="CX45" s="1174">
        <f t="shared" si="96"/>
        <v>0</v>
      </c>
      <c r="CY45" s="1187">
        <f t="shared" ca="1" si="97"/>
        <v>0</v>
      </c>
      <c r="CZ45" s="1169">
        <f t="shared" ca="1" si="36"/>
        <v>0</v>
      </c>
      <c r="DA45" s="1170"/>
      <c r="DB45" s="1170"/>
      <c r="DC45" s="1170"/>
      <c r="DD45" s="1173">
        <f ca="1">SUMIF('Struktur Vorjahr'!$A:$A,'Planzahlen Rentabilität'!$A45,'Struktur Vorjahr'!N:N)</f>
        <v>0</v>
      </c>
      <c r="DE45" s="1174">
        <f>CQ45</f>
        <v>0</v>
      </c>
      <c r="DF45" s="1187">
        <f ca="1">SUMIF('Struktur Aktuell'!$A:$A,'Planzahlen Rentabilität'!$A45,'Struktur Aktuell'!N:N)</f>
        <v>0</v>
      </c>
      <c r="DG45" s="1169">
        <f t="shared" ca="1" si="37"/>
        <v>0</v>
      </c>
      <c r="DH45" s="1170"/>
      <c r="DI45" s="1170"/>
      <c r="DJ45" s="1170"/>
      <c r="DK45" s="1173">
        <f t="shared" ca="1" si="98"/>
        <v>0</v>
      </c>
      <c r="DL45" s="1174">
        <f t="shared" si="99"/>
        <v>0</v>
      </c>
      <c r="DM45" s="1187">
        <f t="shared" ca="1" si="100"/>
        <v>0</v>
      </c>
      <c r="DN45" s="1169">
        <f t="shared" ca="1" si="101"/>
        <v>0</v>
      </c>
      <c r="DO45" s="1170"/>
      <c r="DP45" s="1170"/>
      <c r="DQ45" s="1170"/>
      <c r="DR45" s="1173">
        <f ca="1">SUMIF('Struktur Vorjahr'!$A:$A,'Planzahlen Rentabilität'!$A45,'Struktur Vorjahr'!O:O)</f>
        <v>0</v>
      </c>
      <c r="DS45" s="1174">
        <f>DE45</f>
        <v>0</v>
      </c>
      <c r="DT45" s="1187">
        <f ca="1">SUMIF('Struktur Aktuell'!$A:$A,'Planzahlen Rentabilität'!$A45,'Struktur Aktuell'!O:O)</f>
        <v>0</v>
      </c>
      <c r="DU45" s="1169">
        <f t="shared" ca="1" si="102"/>
        <v>0</v>
      </c>
      <c r="DV45" s="1170"/>
      <c r="DW45" s="1170"/>
      <c r="DX45" s="1170"/>
      <c r="DY45" s="1173">
        <f t="shared" ca="1" si="103"/>
        <v>0</v>
      </c>
      <c r="DZ45" s="1174">
        <f t="shared" si="104"/>
        <v>0</v>
      </c>
      <c r="EA45" s="1187">
        <f t="shared" ca="1" si="105"/>
        <v>0</v>
      </c>
      <c r="EB45" s="1169">
        <f t="shared" ca="1" si="106"/>
        <v>0</v>
      </c>
      <c r="EC45" s="1170"/>
      <c r="ED45" s="1170"/>
      <c r="EE45" s="1170"/>
      <c r="EF45" s="1173">
        <f ca="1">SUMIF('Struktur Vorjahr'!$A:$A,'Planzahlen Rentabilität'!$A45,'Struktur Vorjahr'!P:P)</f>
        <v>0</v>
      </c>
      <c r="EG45" s="1174">
        <f>DS45</f>
        <v>0</v>
      </c>
      <c r="EH45" s="1187">
        <f ca="1">SUMIF('Struktur Aktuell'!$A:$A,'Planzahlen Rentabilität'!$A45,'Struktur Aktuell'!P:P)</f>
        <v>0</v>
      </c>
      <c r="EI45" s="1169">
        <f t="shared" ca="1" si="107"/>
        <v>0</v>
      </c>
      <c r="EJ45" s="1170"/>
      <c r="EK45" s="1170"/>
      <c r="EL45" s="1170"/>
      <c r="EM45" s="1173">
        <f t="shared" ca="1" si="108"/>
        <v>0</v>
      </c>
      <c r="EN45" s="1174">
        <f t="shared" si="109"/>
        <v>0</v>
      </c>
      <c r="EO45" s="1187">
        <f t="shared" ca="1" si="110"/>
        <v>0</v>
      </c>
      <c r="EP45" s="1169">
        <f t="shared" ca="1" si="111"/>
        <v>0</v>
      </c>
      <c r="EQ45" s="1170"/>
      <c r="ER45" s="1170"/>
      <c r="ES45" s="1170"/>
      <c r="ET45" s="1173">
        <f ca="1">SUMIF('Struktur Vorjahr'!$A:$A,'Planzahlen Rentabilität'!$A45,'Struktur Vorjahr'!Q:Q)</f>
        <v>0</v>
      </c>
      <c r="EU45" s="1174">
        <f>EG45</f>
        <v>0</v>
      </c>
      <c r="EV45" s="1187">
        <f ca="1">SUMIF('Struktur Aktuell'!$A:$A,'Planzahlen Rentabilität'!$A45,'Struktur Aktuell'!Q:Q)</f>
        <v>0</v>
      </c>
      <c r="EW45" s="1169">
        <f t="shared" ca="1" si="112"/>
        <v>0</v>
      </c>
      <c r="EX45" s="1170"/>
      <c r="EY45" s="1170"/>
      <c r="EZ45" s="1170"/>
      <c r="FA45" s="1173">
        <f t="shared" ca="1" si="53"/>
        <v>0</v>
      </c>
      <c r="FB45" s="1174">
        <f t="shared" si="54"/>
        <v>0</v>
      </c>
      <c r="FC45" s="1187">
        <f t="shared" ca="1" si="55"/>
        <v>0</v>
      </c>
      <c r="FD45" s="1169">
        <f t="shared" ca="1" si="56"/>
        <v>0</v>
      </c>
      <c r="FE45" s="1170"/>
      <c r="FF45" s="1170"/>
      <c r="FG45" s="1170"/>
      <c r="FH45" s="1173">
        <f ca="1">SUMIF('Struktur Vorjahr'!$A:$A,'Planzahlen Rentabilität'!$A45,'Struktur Vorjahr'!R:R)</f>
        <v>0</v>
      </c>
      <c r="FI45" s="1174">
        <f>EU45</f>
        <v>0</v>
      </c>
      <c r="FJ45" s="1187">
        <f ca="1">SUMIF('Struktur Aktuell'!$A:$A,'Planzahlen Rentabilität'!$A45,'Struktur Aktuell'!R:R)</f>
        <v>0</v>
      </c>
      <c r="FK45" s="1169">
        <f t="shared" ca="1" si="57"/>
        <v>0</v>
      </c>
      <c r="FL45" s="1170"/>
      <c r="FM45" s="1170"/>
      <c r="FN45" s="1170"/>
      <c r="FO45" s="1173">
        <f t="shared" ca="1" si="58"/>
        <v>0</v>
      </c>
      <c r="FP45" s="1174">
        <f t="shared" si="59"/>
        <v>0</v>
      </c>
      <c r="FQ45" s="1187">
        <f t="shared" ca="1" si="60"/>
        <v>0</v>
      </c>
      <c r="FR45" s="1169">
        <f t="shared" ca="1" si="61"/>
        <v>0</v>
      </c>
      <c r="FS45" s="1170"/>
      <c r="FT45" s="1170"/>
      <c r="FU45" s="1170"/>
      <c r="FV45" s="1171"/>
      <c r="FW45" s="1169">
        <v>0</v>
      </c>
    </row>
    <row r="46" spans="1:179" s="883" customFormat="1" x14ac:dyDescent="0.2">
      <c r="A46" s="1160">
        <v>28</v>
      </c>
      <c r="B46" s="1160" t="str">
        <f>'Struktur Aktuell'!B306</f>
        <v>Zinsaufwand</v>
      </c>
      <c r="C46" s="1173">
        <f t="shared" ca="1" si="113"/>
        <v>0</v>
      </c>
      <c r="D46" s="1174">
        <f t="shared" si="113"/>
        <v>57.333333333333314</v>
      </c>
      <c r="E46" s="1177">
        <f t="shared" ca="1" si="113"/>
        <v>0</v>
      </c>
      <c r="F46" s="1169">
        <f t="shared" ca="1" si="1"/>
        <v>-57.333333333333314</v>
      </c>
      <c r="G46" s="1170"/>
      <c r="H46" s="1170"/>
      <c r="I46" s="1170"/>
      <c r="J46" s="1173">
        <f ca="1">SUMIF('Struktur Vorjahr'!$A:$A,'Planzahlen Rentabilität'!$A46,'Struktur Vorjahr'!G:G)</f>
        <v>0</v>
      </c>
      <c r="K46" s="1174">
        <f>Finanzplanung!$AE$22</f>
        <v>3</v>
      </c>
      <c r="L46" s="1177">
        <f ca="1">SUMIF('Struktur Aktuell'!$A:$A,'Planzahlen Rentabilität'!$A46,'Struktur Aktuell'!G:G)</f>
        <v>0</v>
      </c>
      <c r="M46" s="1169">
        <f t="shared" ca="1" si="2"/>
        <v>-3</v>
      </c>
      <c r="N46" s="1170"/>
      <c r="O46" s="1170"/>
      <c r="P46" s="1170"/>
      <c r="Q46" s="1173">
        <f t="shared" ca="1" si="75"/>
        <v>0</v>
      </c>
      <c r="R46" s="1174">
        <f t="shared" si="76"/>
        <v>3</v>
      </c>
      <c r="S46" s="1177">
        <f t="shared" ca="1" si="77"/>
        <v>0</v>
      </c>
      <c r="T46" s="1169">
        <f t="shared" ca="1" si="6"/>
        <v>-3</v>
      </c>
      <c r="U46" s="1170"/>
      <c r="V46" s="1170"/>
      <c r="W46" s="1170"/>
      <c r="X46" s="1173">
        <f ca="1">SUMIF('Struktur Vorjahr'!$A:$A,'Planzahlen Rentabilität'!$A46,'Struktur Vorjahr'!H:H)</f>
        <v>0</v>
      </c>
      <c r="Y46" s="1174">
        <f>Finanzplanung!$AF$22</f>
        <v>3</v>
      </c>
      <c r="Z46" s="1177">
        <f ca="1">SUMIF('Struktur Aktuell'!$A:$A,'Planzahlen Rentabilität'!$A46,'Struktur Aktuell'!H:H)</f>
        <v>0</v>
      </c>
      <c r="AA46" s="1169">
        <f t="shared" ca="1" si="7"/>
        <v>-3</v>
      </c>
      <c r="AB46" s="1170"/>
      <c r="AC46" s="1170"/>
      <c r="AD46" s="1170"/>
      <c r="AE46" s="1173">
        <f t="shared" ca="1" si="78"/>
        <v>0</v>
      </c>
      <c r="AF46" s="1174">
        <f t="shared" si="79"/>
        <v>6</v>
      </c>
      <c r="AG46" s="1177">
        <f t="shared" ca="1" si="80"/>
        <v>0</v>
      </c>
      <c r="AH46" s="1169">
        <f t="shared" ca="1" si="11"/>
        <v>-6</v>
      </c>
      <c r="AI46" s="1170"/>
      <c r="AJ46" s="1170"/>
      <c r="AK46" s="1170"/>
      <c r="AL46" s="1173">
        <v>0</v>
      </c>
      <c r="AM46" s="1174">
        <f>Finanzplanung!$AG$22</f>
        <v>3</v>
      </c>
      <c r="AN46" s="1177">
        <v>0</v>
      </c>
      <c r="AO46" s="1169">
        <f t="shared" si="12"/>
        <v>-3</v>
      </c>
      <c r="AP46" s="1170"/>
      <c r="AQ46" s="1170"/>
      <c r="AR46" s="1170"/>
      <c r="AS46" s="1173">
        <f t="shared" ca="1" si="81"/>
        <v>0</v>
      </c>
      <c r="AT46" s="1174">
        <f t="shared" si="82"/>
        <v>9</v>
      </c>
      <c r="AU46" s="1177">
        <f t="shared" ca="1" si="83"/>
        <v>0</v>
      </c>
      <c r="AV46" s="1169">
        <f t="shared" ca="1" si="16"/>
        <v>-9</v>
      </c>
      <c r="AW46" s="1170"/>
      <c r="AX46" s="1170"/>
      <c r="AY46" s="1170"/>
      <c r="AZ46" s="1173">
        <f ca="1">SUMIF('Struktur Vorjahr'!$A:$A,'Planzahlen Rentabilität'!$A46,'Struktur Vorjahr'!J:J)</f>
        <v>0</v>
      </c>
      <c r="BA46" s="1174">
        <f>Finanzplanung!$AH$22</f>
        <v>3</v>
      </c>
      <c r="BB46" s="1177">
        <f ca="1">SUMIF('Struktur Aktuell'!$A:$A,'Planzahlen Rentabilität'!$A46,'Struktur Aktuell'!J:J)</f>
        <v>0</v>
      </c>
      <c r="BC46" s="1169">
        <f t="shared" ca="1" si="17"/>
        <v>-3</v>
      </c>
      <c r="BD46" s="1170"/>
      <c r="BE46" s="1170"/>
      <c r="BF46" s="1170"/>
      <c r="BG46" s="1173">
        <f t="shared" ca="1" si="84"/>
        <v>0</v>
      </c>
      <c r="BH46" s="1174">
        <f t="shared" si="85"/>
        <v>12</v>
      </c>
      <c r="BI46" s="1177">
        <f t="shared" ca="1" si="86"/>
        <v>0</v>
      </c>
      <c r="BJ46" s="1169">
        <f t="shared" ca="1" si="21"/>
        <v>-12</v>
      </c>
      <c r="BK46" s="1170"/>
      <c r="BL46" s="1170"/>
      <c r="BM46" s="1170"/>
      <c r="BN46" s="1173">
        <f ca="1">SUMIF('Struktur Vorjahr'!$A:$A,'Planzahlen Rentabilität'!$A46,'Struktur Vorjahr'!K:K)</f>
        <v>0</v>
      </c>
      <c r="BO46" s="1174">
        <f>Finanzplanung!$AI$22</f>
        <v>5.6666666666666661</v>
      </c>
      <c r="BP46" s="1177">
        <f ca="1">SUMIF('Struktur Aktuell'!$A:$A,'Planzahlen Rentabilität'!$A46,'Struktur Aktuell'!K:K)</f>
        <v>0</v>
      </c>
      <c r="BQ46" s="1169">
        <f t="shared" ca="1" si="22"/>
        <v>-5.6666666666666661</v>
      </c>
      <c r="BR46" s="1170"/>
      <c r="BS46" s="1170"/>
      <c r="BT46" s="1170"/>
      <c r="BU46" s="1173">
        <f t="shared" ca="1" si="87"/>
        <v>0</v>
      </c>
      <c r="BV46" s="1174">
        <f t="shared" si="88"/>
        <v>17.666666666666664</v>
      </c>
      <c r="BW46" s="1177">
        <f t="shared" ca="1" si="89"/>
        <v>0</v>
      </c>
      <c r="BX46" s="1169">
        <f t="shared" ca="1" si="26"/>
        <v>-17.666666666666664</v>
      </c>
      <c r="BY46" s="1170"/>
      <c r="BZ46" s="1170"/>
      <c r="CA46" s="1170"/>
      <c r="CB46" s="1173">
        <v>0</v>
      </c>
      <c r="CC46" s="1174">
        <f>Finanzplanung!$AJ$22</f>
        <v>5.6666666666666661</v>
      </c>
      <c r="CD46" s="1177">
        <v>0</v>
      </c>
      <c r="CE46" s="1169">
        <f t="shared" si="27"/>
        <v>-5.6666666666666661</v>
      </c>
      <c r="CF46" s="1170"/>
      <c r="CG46" s="1170"/>
      <c r="CH46" s="1170"/>
      <c r="CI46" s="1173">
        <f t="shared" ca="1" si="90"/>
        <v>0</v>
      </c>
      <c r="CJ46" s="1174">
        <f t="shared" si="91"/>
        <v>23.333333333333329</v>
      </c>
      <c r="CK46" s="1177">
        <f t="shared" ca="1" si="92"/>
        <v>0</v>
      </c>
      <c r="CL46" s="1169">
        <f t="shared" ca="1" si="93"/>
        <v>-23.333333333333329</v>
      </c>
      <c r="CM46" s="1170"/>
      <c r="CN46" s="1170"/>
      <c r="CO46" s="1170"/>
      <c r="CP46" s="1173">
        <f ca="1">SUMIF('Struktur Vorjahr'!$A:$A,'Planzahlen Rentabilität'!$A46,'Struktur Vorjahr'!M:M)</f>
        <v>0</v>
      </c>
      <c r="CQ46" s="1174">
        <f>Finanzplanung!$AK$22</f>
        <v>5.6666666666666661</v>
      </c>
      <c r="CR46" s="1177">
        <f ca="1">SUMIF('Struktur Aktuell'!$A:$A,'Planzahlen Rentabilität'!$A46,'Struktur Aktuell'!M:M)</f>
        <v>0</v>
      </c>
      <c r="CS46" s="1169">
        <f t="shared" ca="1" si="94"/>
        <v>-5.6666666666666661</v>
      </c>
      <c r="CT46" s="1170"/>
      <c r="CU46" s="1170"/>
      <c r="CV46" s="1170"/>
      <c r="CW46" s="1173">
        <f t="shared" ca="1" si="95"/>
        <v>0</v>
      </c>
      <c r="CX46" s="1174">
        <f t="shared" si="96"/>
        <v>28.999999999999993</v>
      </c>
      <c r="CY46" s="1177">
        <f t="shared" ca="1" si="97"/>
        <v>0</v>
      </c>
      <c r="CZ46" s="1169">
        <f t="shared" ca="1" si="36"/>
        <v>-28.999999999999993</v>
      </c>
      <c r="DA46" s="1170"/>
      <c r="DB46" s="1170"/>
      <c r="DC46" s="1170"/>
      <c r="DD46" s="1173">
        <f ca="1">SUMIF('Struktur Vorjahr'!$A:$A,'Planzahlen Rentabilität'!$A46,'Struktur Vorjahr'!N:N)</f>
        <v>0</v>
      </c>
      <c r="DE46" s="1174">
        <f>Finanzplanung!$AL$22</f>
        <v>5.6666666666666661</v>
      </c>
      <c r="DF46" s="1177">
        <f ca="1">SUMIF('Struktur Aktuell'!$A:$A,'Planzahlen Rentabilität'!$A46,'Struktur Aktuell'!N:N)</f>
        <v>0</v>
      </c>
      <c r="DG46" s="1169">
        <f t="shared" ca="1" si="37"/>
        <v>-5.6666666666666661</v>
      </c>
      <c r="DH46" s="1170"/>
      <c r="DI46" s="1170"/>
      <c r="DJ46" s="1170"/>
      <c r="DK46" s="1173">
        <f t="shared" ca="1" si="98"/>
        <v>0</v>
      </c>
      <c r="DL46" s="1174">
        <f t="shared" si="99"/>
        <v>34.666666666666657</v>
      </c>
      <c r="DM46" s="1177">
        <f t="shared" ca="1" si="100"/>
        <v>0</v>
      </c>
      <c r="DN46" s="1169">
        <f t="shared" ca="1" si="101"/>
        <v>-34.666666666666657</v>
      </c>
      <c r="DO46" s="1170"/>
      <c r="DP46" s="1170"/>
      <c r="DQ46" s="1170"/>
      <c r="DR46" s="1173">
        <f ca="1">SUMIF('Struktur Vorjahr'!$A:$A,'Planzahlen Rentabilität'!$A46,'Struktur Vorjahr'!O:O)</f>
        <v>0</v>
      </c>
      <c r="DS46" s="1174">
        <f>Finanzplanung!$AM$22</f>
        <v>5.6666666666666661</v>
      </c>
      <c r="DT46" s="1177">
        <f ca="1">SUMIF('Struktur Aktuell'!$A:$A,'Planzahlen Rentabilität'!$A46,'Struktur Aktuell'!O:O)</f>
        <v>0</v>
      </c>
      <c r="DU46" s="1169">
        <f t="shared" ca="1" si="102"/>
        <v>-5.6666666666666661</v>
      </c>
      <c r="DV46" s="1170"/>
      <c r="DW46" s="1170"/>
      <c r="DX46" s="1170"/>
      <c r="DY46" s="1173">
        <f t="shared" ca="1" si="103"/>
        <v>0</v>
      </c>
      <c r="DZ46" s="1174">
        <f t="shared" si="104"/>
        <v>40.333333333333321</v>
      </c>
      <c r="EA46" s="1177">
        <f t="shared" ca="1" si="105"/>
        <v>0</v>
      </c>
      <c r="EB46" s="1169">
        <f t="shared" ca="1" si="106"/>
        <v>-40.333333333333321</v>
      </c>
      <c r="EC46" s="1170"/>
      <c r="ED46" s="1170"/>
      <c r="EE46" s="1170"/>
      <c r="EF46" s="1173">
        <f ca="1">SUMIF('Struktur Vorjahr'!$A:$A,'Planzahlen Rentabilität'!$A46,'Struktur Vorjahr'!P:P)</f>
        <v>0</v>
      </c>
      <c r="EG46" s="1174">
        <f>Finanzplanung!$AN$22</f>
        <v>5.6666666666666661</v>
      </c>
      <c r="EH46" s="1177">
        <f ca="1">SUMIF('Struktur Aktuell'!$A:$A,'Planzahlen Rentabilität'!$A46,'Struktur Aktuell'!P:P)</f>
        <v>0</v>
      </c>
      <c r="EI46" s="1169">
        <f t="shared" ca="1" si="107"/>
        <v>-5.6666666666666661</v>
      </c>
      <c r="EJ46" s="1170"/>
      <c r="EK46" s="1170"/>
      <c r="EL46" s="1170"/>
      <c r="EM46" s="1173">
        <f t="shared" ca="1" si="108"/>
        <v>0</v>
      </c>
      <c r="EN46" s="1174">
        <f t="shared" si="109"/>
        <v>45.999999999999986</v>
      </c>
      <c r="EO46" s="1177">
        <f t="shared" ca="1" si="110"/>
        <v>0</v>
      </c>
      <c r="EP46" s="1169">
        <f t="shared" ca="1" si="111"/>
        <v>-45.999999999999986</v>
      </c>
      <c r="EQ46" s="1170"/>
      <c r="ER46" s="1170"/>
      <c r="ES46" s="1170"/>
      <c r="ET46" s="1173">
        <f ca="1">SUMIF('Struktur Vorjahr'!$A:$A,'Planzahlen Rentabilität'!$A46,'Struktur Vorjahr'!Q:Q)</f>
        <v>0</v>
      </c>
      <c r="EU46" s="1174">
        <f>Finanzplanung!$AO$22</f>
        <v>5.6666666666666661</v>
      </c>
      <c r="EV46" s="1177">
        <f ca="1">SUMIF('Struktur Aktuell'!$A:$A,'Planzahlen Rentabilität'!$A46,'Struktur Aktuell'!Q:Q)</f>
        <v>0</v>
      </c>
      <c r="EW46" s="1169">
        <f t="shared" ca="1" si="112"/>
        <v>-5.6666666666666661</v>
      </c>
      <c r="EX46" s="1170"/>
      <c r="EY46" s="1170"/>
      <c r="EZ46" s="1170"/>
      <c r="FA46" s="1173">
        <f t="shared" ca="1" si="53"/>
        <v>0</v>
      </c>
      <c r="FB46" s="1174">
        <f t="shared" si="54"/>
        <v>51.66666666666665</v>
      </c>
      <c r="FC46" s="1177">
        <f t="shared" ca="1" si="55"/>
        <v>0</v>
      </c>
      <c r="FD46" s="1169">
        <f t="shared" ca="1" si="56"/>
        <v>-51.66666666666665</v>
      </c>
      <c r="FE46" s="1170"/>
      <c r="FF46" s="1170"/>
      <c r="FG46" s="1170"/>
      <c r="FH46" s="1173">
        <f ca="1">SUMIF('Struktur Vorjahr'!$A:$A,'Planzahlen Rentabilität'!$A46,'Struktur Vorjahr'!R:R)</f>
        <v>0</v>
      </c>
      <c r="FI46" s="1174">
        <f>Finanzplanung!$AP$22</f>
        <v>5.6666666666666661</v>
      </c>
      <c r="FJ46" s="1177">
        <f ca="1">SUMIF('Struktur Aktuell'!$A:$A,'Planzahlen Rentabilität'!$A46,'Struktur Aktuell'!R:R)</f>
        <v>0</v>
      </c>
      <c r="FK46" s="1169">
        <f t="shared" ca="1" si="57"/>
        <v>-5.6666666666666661</v>
      </c>
      <c r="FL46" s="1170"/>
      <c r="FM46" s="1170"/>
      <c r="FN46" s="1170"/>
      <c r="FO46" s="1173">
        <f t="shared" ca="1" si="58"/>
        <v>0</v>
      </c>
      <c r="FP46" s="1174">
        <f t="shared" si="59"/>
        <v>57.333333333333314</v>
      </c>
      <c r="FQ46" s="1177">
        <f t="shared" ca="1" si="60"/>
        <v>0</v>
      </c>
      <c r="FR46" s="1169">
        <f t="shared" ca="1" si="61"/>
        <v>-57.333333333333314</v>
      </c>
      <c r="FS46" s="1170"/>
      <c r="FT46" s="1170"/>
      <c r="FU46" s="1170"/>
      <c r="FV46" s="1171"/>
      <c r="FW46" s="1169">
        <v>0</v>
      </c>
    </row>
    <row r="47" spans="1:179" s="883" customFormat="1" x14ac:dyDescent="0.2">
      <c r="A47" s="1191" t="s">
        <v>259</v>
      </c>
      <c r="B47" s="1192" t="str">
        <f>'Struktur Aktuell'!B313</f>
        <v>Finanzergebnis</v>
      </c>
      <c r="C47" s="1193">
        <f ca="1">C45-C46</f>
        <v>0</v>
      </c>
      <c r="D47" s="1193">
        <f>D45-D46</f>
        <v>-57.333333333333314</v>
      </c>
      <c r="E47" s="1193">
        <f ca="1">E45-E46</f>
        <v>0</v>
      </c>
      <c r="F47" s="1194">
        <f t="shared" ca="1" si="1"/>
        <v>57.333333333333314</v>
      </c>
      <c r="G47" s="1195">
        <f ca="1">C47/C$15</f>
        <v>0</v>
      </c>
      <c r="H47" s="1195">
        <f>D47/D$15</f>
        <v>-5.5438125572511441E-5</v>
      </c>
      <c r="I47" s="1195">
        <f ca="1">E47/E$15</f>
        <v>0</v>
      </c>
      <c r="J47" s="1193">
        <f ca="1">J45-J46</f>
        <v>0</v>
      </c>
      <c r="K47" s="1193">
        <f>K45-K46</f>
        <v>-3</v>
      </c>
      <c r="L47" s="1193">
        <f ca="1">L45-L46</f>
        <v>0</v>
      </c>
      <c r="M47" s="1194">
        <f t="shared" ca="1" si="2"/>
        <v>3</v>
      </c>
      <c r="N47" s="1195">
        <f ca="1">J47/J$15</f>
        <v>0</v>
      </c>
      <c r="O47" s="1195">
        <f>K47/K$15</f>
        <v>-4.8347202534166972E-5</v>
      </c>
      <c r="P47" s="1195">
        <f ca="1">L47/L$15</f>
        <v>0</v>
      </c>
      <c r="Q47" s="1193">
        <f t="shared" ca="1" si="75"/>
        <v>0</v>
      </c>
      <c r="R47" s="1193">
        <f t="shared" si="76"/>
        <v>-3</v>
      </c>
      <c r="S47" s="1193">
        <f t="shared" ca="1" si="77"/>
        <v>0</v>
      </c>
      <c r="T47" s="1194">
        <f t="shared" ca="1" si="6"/>
        <v>3</v>
      </c>
      <c r="U47" s="1195">
        <f ca="1">Q47/Q$15</f>
        <v>0</v>
      </c>
      <c r="V47" s="1195">
        <f>R47/R$15</f>
        <v>-4.8347202534166972E-5</v>
      </c>
      <c r="W47" s="1195">
        <f ca="1">S47/S$15</f>
        <v>0</v>
      </c>
      <c r="X47" s="1193">
        <f ca="1">X45-X46</f>
        <v>0</v>
      </c>
      <c r="Y47" s="1193">
        <f>Y45-Y46</f>
        <v>-3</v>
      </c>
      <c r="Z47" s="1193">
        <f ca="1">Z45-Z46</f>
        <v>0</v>
      </c>
      <c r="AA47" s="1194">
        <f t="shared" ca="1" si="7"/>
        <v>3</v>
      </c>
      <c r="AB47" s="1195">
        <f ca="1">X47/$Y$15</f>
        <v>0</v>
      </c>
      <c r="AC47" s="1195">
        <f>Y47/$Y$15</f>
        <v>-3.6260401900625222E-5</v>
      </c>
      <c r="AD47" s="1195">
        <f ca="1">Z47/$Z$15</f>
        <v>0</v>
      </c>
      <c r="AE47" s="1193">
        <f t="shared" ca="1" si="78"/>
        <v>0</v>
      </c>
      <c r="AF47" s="1193">
        <f t="shared" si="79"/>
        <v>-6</v>
      </c>
      <c r="AG47" s="1193">
        <f t="shared" ca="1" si="80"/>
        <v>0</v>
      </c>
      <c r="AH47" s="1194">
        <f t="shared" ca="1" si="11"/>
        <v>6</v>
      </c>
      <c r="AI47" s="1195">
        <f ca="1">AE47/$AF$15</f>
        <v>0</v>
      </c>
      <c r="AJ47" s="1195">
        <f>AF47/$AF$15</f>
        <v>-4.1440459315000256E-5</v>
      </c>
      <c r="AK47" s="1195">
        <f ca="1">AG47/$AG$15</f>
        <v>0</v>
      </c>
      <c r="AL47" s="1193">
        <f ca="1">AL45-AL46</f>
        <v>0</v>
      </c>
      <c r="AM47" s="1193">
        <f>AM45-AM46</f>
        <v>-3</v>
      </c>
      <c r="AN47" s="1193">
        <f ca="1">AN45-AN46</f>
        <v>0</v>
      </c>
      <c r="AO47" s="1194">
        <f t="shared" ca="1" si="12"/>
        <v>3</v>
      </c>
      <c r="AP47" s="1195">
        <f ca="1">AL47/$AM$15</f>
        <v>0</v>
      </c>
      <c r="AQ47" s="1195">
        <f>AM47/$AM$15</f>
        <v>-2.900832152050018E-5</v>
      </c>
      <c r="AR47" s="1195">
        <f ca="1">AN47/$AN$15</f>
        <v>0</v>
      </c>
      <c r="AS47" s="1193">
        <f t="shared" ca="1" si="81"/>
        <v>0</v>
      </c>
      <c r="AT47" s="1193">
        <f t="shared" si="82"/>
        <v>-9</v>
      </c>
      <c r="AU47" s="1193">
        <f t="shared" ca="1" si="83"/>
        <v>0</v>
      </c>
      <c r="AV47" s="1194">
        <f t="shared" ca="1" si="16"/>
        <v>9</v>
      </c>
      <c r="AW47" s="1195">
        <f ca="1">AS47/$AT$15</f>
        <v>0</v>
      </c>
      <c r="AX47" s="1195">
        <f>AT47/$AT$15</f>
        <v>-3.6260401900625222E-5</v>
      </c>
      <c r="AY47" s="1195">
        <f ca="1">AU47/$AU$15</f>
        <v>0</v>
      </c>
      <c r="AZ47" s="1193">
        <f ca="1">AZ45-AZ46</f>
        <v>0</v>
      </c>
      <c r="BA47" s="1193">
        <f>BA45-BA46</f>
        <v>-3</v>
      </c>
      <c r="BB47" s="1193">
        <f ca="1">BB45-BB46</f>
        <v>0</v>
      </c>
      <c r="BC47" s="1194">
        <f t="shared" ca="1" si="17"/>
        <v>3</v>
      </c>
      <c r="BD47" s="1195">
        <f ca="1">AZ47/$BA$15</f>
        <v>0</v>
      </c>
      <c r="BE47" s="1195">
        <f>BA47/$BA$15</f>
        <v>-4.1440459315000256E-5</v>
      </c>
      <c r="BF47" s="1195">
        <f ca="1">BB47/$BB$15</f>
        <v>0</v>
      </c>
      <c r="BG47" s="1193">
        <f t="shared" ca="1" si="84"/>
        <v>0</v>
      </c>
      <c r="BH47" s="1193">
        <f t="shared" si="85"/>
        <v>-12</v>
      </c>
      <c r="BI47" s="1193">
        <f t="shared" ca="1" si="86"/>
        <v>0</v>
      </c>
      <c r="BJ47" s="1194">
        <f t="shared" ca="1" si="21"/>
        <v>12</v>
      </c>
      <c r="BK47" s="1195">
        <f ca="1">BG47/$BH$15</f>
        <v>0</v>
      </c>
      <c r="BL47" s="1195">
        <f>BH47/$BH$15</f>
        <v>-3.7430092284516359E-5</v>
      </c>
      <c r="BM47" s="1195">
        <f ca="1">BI47/$BI$15</f>
        <v>0</v>
      </c>
      <c r="BN47" s="1193">
        <f ca="1">BN45-BN46</f>
        <v>0</v>
      </c>
      <c r="BO47" s="1193">
        <f>BO45-BO46</f>
        <v>-5.6666666666666661</v>
      </c>
      <c r="BP47" s="1193">
        <f ca="1">BP45-BP46</f>
        <v>0</v>
      </c>
      <c r="BQ47" s="1194">
        <f t="shared" ca="1" si="22"/>
        <v>5.6666666666666661</v>
      </c>
      <c r="BR47" s="1195">
        <f ca="1">BN47/$BO$15</f>
        <v>0</v>
      </c>
      <c r="BS47" s="1195">
        <f>BO47/$BO$15</f>
        <v>-6.8491870256736525E-5</v>
      </c>
      <c r="BT47" s="1195">
        <f ca="1">BP47/$BP$15</f>
        <v>0</v>
      </c>
      <c r="BU47" s="1193">
        <f t="shared" ca="1" si="87"/>
        <v>0</v>
      </c>
      <c r="BV47" s="1193">
        <f t="shared" si="88"/>
        <v>-17.666666666666664</v>
      </c>
      <c r="BW47" s="1193">
        <f t="shared" ca="1" si="89"/>
        <v>0</v>
      </c>
      <c r="BX47" s="1194">
        <f t="shared" ca="1" si="26"/>
        <v>17.666666666666664</v>
      </c>
      <c r="BY47" s="1195">
        <f ca="1">BU47/$BV$15</f>
        <v>0</v>
      </c>
      <c r="BZ47" s="1195">
        <f>BV47/$BV$15</f>
        <v>-4.3801739048048694E-5</v>
      </c>
      <c r="CA47" s="1195">
        <f ca="1">BW47/$BW$15</f>
        <v>0</v>
      </c>
      <c r="CB47" s="1193">
        <f ca="1">CB45-CB46</f>
        <v>0</v>
      </c>
      <c r="CC47" s="1193">
        <f>CC45-CC46</f>
        <v>-5.6666666666666661</v>
      </c>
      <c r="CD47" s="1193">
        <f ca="1">CD45-CD46</f>
        <v>0</v>
      </c>
      <c r="CE47" s="1194">
        <f t="shared" ca="1" si="27"/>
        <v>5.6666666666666661</v>
      </c>
      <c r="CF47" s="1195">
        <f ca="1">CB47/$CC$15</f>
        <v>0</v>
      </c>
      <c r="CG47" s="1195">
        <f>CC47/$CC$15</f>
        <v>-6.8491870256736525E-5</v>
      </c>
      <c r="CH47" s="1195" t="e">
        <f ca="1">CD47/$CD$15</f>
        <v>#DIV/0!</v>
      </c>
      <c r="CI47" s="1193">
        <f t="shared" ca="1" si="90"/>
        <v>0</v>
      </c>
      <c r="CJ47" s="1193">
        <f t="shared" si="91"/>
        <v>-23.333333333333329</v>
      </c>
      <c r="CK47" s="1193">
        <f t="shared" ca="1" si="92"/>
        <v>0</v>
      </c>
      <c r="CL47" s="1194">
        <f t="shared" ca="1" si="93"/>
        <v>23.333333333333329</v>
      </c>
      <c r="CM47" s="1195">
        <f ca="1">CI47/$CJ$15</f>
        <v>0</v>
      </c>
      <c r="CN47" s="1195">
        <f>CJ47/$CJ$15</f>
        <v>-4.8004314572931726E-5</v>
      </c>
      <c r="CO47" s="1195">
        <f ca="1">CK47/$CK$15</f>
        <v>0</v>
      </c>
      <c r="CP47" s="1193">
        <f ca="1">CP45-CP46</f>
        <v>0</v>
      </c>
      <c r="CQ47" s="1193">
        <f>CQ45-CQ46</f>
        <v>-5.6666666666666661</v>
      </c>
      <c r="CR47" s="1193">
        <f ca="1">CR45-CR46</f>
        <v>0</v>
      </c>
      <c r="CS47" s="1194">
        <f t="shared" ca="1" si="94"/>
        <v>5.6666666666666661</v>
      </c>
      <c r="CT47" s="1195">
        <f ca="1">CP47/$CQ$15</f>
        <v>0</v>
      </c>
      <c r="CU47" s="1195">
        <f>CQ47/$CQ$15</f>
        <v>-6.8491870256736525E-5</v>
      </c>
      <c r="CV47" s="1195">
        <f ca="1">CR47/$CR$15</f>
        <v>0</v>
      </c>
      <c r="CW47" s="1193">
        <f t="shared" ca="1" si="95"/>
        <v>0</v>
      </c>
      <c r="CX47" s="1193">
        <f t="shared" si="96"/>
        <v>-28.999999999999993</v>
      </c>
      <c r="CY47" s="1193">
        <f t="shared" ca="1" si="97"/>
        <v>0</v>
      </c>
      <c r="CZ47" s="1194">
        <f t="shared" ca="1" si="36"/>
        <v>28.999999999999993</v>
      </c>
      <c r="DA47" s="1195">
        <f ca="1">CW47/$CX$15</f>
        <v>0</v>
      </c>
      <c r="DB47" s="1195">
        <f>CX47/$CX$15</f>
        <v>-5.0984322672394241E-5</v>
      </c>
      <c r="DC47" s="1195">
        <f ca="1">CY47/$CY$15</f>
        <v>0</v>
      </c>
      <c r="DD47" s="1193">
        <f ca="1">DD45-DD46</f>
        <v>0</v>
      </c>
      <c r="DE47" s="1193">
        <f>DE45-DE46</f>
        <v>-5.6666666666666661</v>
      </c>
      <c r="DF47" s="1193">
        <f ca="1">DF45-DF46</f>
        <v>0</v>
      </c>
      <c r="DG47" s="1194">
        <f t="shared" ca="1" si="37"/>
        <v>5.6666666666666661</v>
      </c>
      <c r="DH47" s="1195">
        <f ca="1">DD47/$DE$15</f>
        <v>0</v>
      </c>
      <c r="DI47" s="1195">
        <f>DE47/$DE$15</f>
        <v>-7.8276423150556025E-5</v>
      </c>
      <c r="DJ47" s="1195">
        <f ca="1">DF47/$DF$15</f>
        <v>0</v>
      </c>
      <c r="DK47" s="1193">
        <f t="shared" ca="1" si="98"/>
        <v>0</v>
      </c>
      <c r="DL47" s="1193">
        <f t="shared" si="99"/>
        <v>-34.666666666666657</v>
      </c>
      <c r="DM47" s="1193">
        <f t="shared" ca="1" si="100"/>
        <v>0</v>
      </c>
      <c r="DN47" s="1194">
        <f t="shared" ca="1" si="101"/>
        <v>34.666666666666657</v>
      </c>
      <c r="DO47" s="1195">
        <f ca="1">DK47/$DL$15</f>
        <v>0</v>
      </c>
      <c r="DP47" s="1195">
        <f>DL47/$DL$15</f>
        <v>-5.4065688855412502E-5</v>
      </c>
      <c r="DQ47" s="1195">
        <f ca="1">DM47/$DM$15</f>
        <v>0</v>
      </c>
      <c r="DR47" s="1193">
        <f ca="1">DR45-DR46</f>
        <v>0</v>
      </c>
      <c r="DS47" s="1193">
        <f>DS45-DS46</f>
        <v>-5.6666666666666661</v>
      </c>
      <c r="DT47" s="1193">
        <f ca="1">DT45-DT46</f>
        <v>0</v>
      </c>
      <c r="DU47" s="1194">
        <f t="shared" ca="1" si="102"/>
        <v>5.6666666666666661</v>
      </c>
      <c r="DV47" s="1195">
        <f ca="1">DR47/$DS$15</f>
        <v>0</v>
      </c>
      <c r="DW47" s="1195">
        <f>DS47/$DS$15</f>
        <v>-5.4793496205389219E-5</v>
      </c>
      <c r="DX47" s="1195">
        <f ca="1">DT47/$DT$15</f>
        <v>0</v>
      </c>
      <c r="DY47" s="1193">
        <f t="shared" ca="1" si="103"/>
        <v>0</v>
      </c>
      <c r="DZ47" s="1193">
        <f t="shared" si="104"/>
        <v>-40.333333333333321</v>
      </c>
      <c r="EA47" s="1193">
        <f t="shared" ca="1" si="105"/>
        <v>0</v>
      </c>
      <c r="EB47" s="1194">
        <f t="shared" ca="1" si="106"/>
        <v>40.333333333333321</v>
      </c>
      <c r="EC47" s="1195">
        <f ca="1">DY47/$DZ$15</f>
        <v>0</v>
      </c>
      <c r="ED47" s="1195">
        <f>DZ47/$DZ$15</f>
        <v>-5.4166773209575938E-5</v>
      </c>
      <c r="EE47" s="1195">
        <f ca="1">EA47/$EA$15</f>
        <v>0</v>
      </c>
      <c r="EF47" s="1193">
        <f ca="1">EF45-EF46</f>
        <v>0</v>
      </c>
      <c r="EG47" s="1193">
        <f>EG45-EG46</f>
        <v>-5.6666666666666661</v>
      </c>
      <c r="EH47" s="1193">
        <f ca="1">EH45-EH46</f>
        <v>0</v>
      </c>
      <c r="EI47" s="1194">
        <f t="shared" ca="1" si="107"/>
        <v>5.6666666666666661</v>
      </c>
      <c r="EJ47" s="1195">
        <f ca="1">EF47/$EG$15</f>
        <v>0</v>
      </c>
      <c r="EK47" s="1195">
        <f>EG47/$EG$15</f>
        <v>-5.4793496205389219E-5</v>
      </c>
      <c r="EL47" s="1195">
        <f ca="1">EH47/$EH$15</f>
        <v>0</v>
      </c>
      <c r="EM47" s="1193">
        <f t="shared" ca="1" si="108"/>
        <v>0</v>
      </c>
      <c r="EN47" s="1193">
        <f t="shared" si="109"/>
        <v>-45.999999999999986</v>
      </c>
      <c r="EO47" s="1193">
        <f t="shared" ca="1" si="110"/>
        <v>0</v>
      </c>
      <c r="EP47" s="1194">
        <f t="shared" ca="1" si="111"/>
        <v>45.999999999999986</v>
      </c>
      <c r="EQ47" s="1195">
        <f ca="1">EM47/$EN$15</f>
        <v>0</v>
      </c>
      <c r="ER47" s="1195">
        <f>EN47/$EN$15</f>
        <v>-5.4243202843211705E-5</v>
      </c>
      <c r="ES47" s="1195">
        <f ca="1">EO47/$EO$15</f>
        <v>0</v>
      </c>
      <c r="ET47" s="1193">
        <f ca="1">ET45-ET46</f>
        <v>0</v>
      </c>
      <c r="EU47" s="1193">
        <f>EU45-EU46</f>
        <v>-5.6666666666666661</v>
      </c>
      <c r="EV47" s="1193">
        <f ca="1">EV45-EV46</f>
        <v>0</v>
      </c>
      <c r="EW47" s="1194">
        <f t="shared" ca="1" si="112"/>
        <v>5.6666666666666661</v>
      </c>
      <c r="EX47" s="1195">
        <f ca="1">ET47/$K$15</f>
        <v>0</v>
      </c>
      <c r="EY47" s="1195">
        <f>EU47/$K$15</f>
        <v>-9.1322493675648718E-5</v>
      </c>
      <c r="EZ47" s="1195">
        <f ca="1">EV47/$EV$15</f>
        <v>0</v>
      </c>
      <c r="FA47" s="1193">
        <f t="shared" ca="1" si="53"/>
        <v>0</v>
      </c>
      <c r="FB47" s="1193">
        <f t="shared" si="54"/>
        <v>-51.66666666666665</v>
      </c>
      <c r="FC47" s="1193">
        <f t="shared" ca="1" si="55"/>
        <v>0</v>
      </c>
      <c r="FD47" s="1194">
        <f t="shared" ca="1" si="56"/>
        <v>51.66666666666665</v>
      </c>
      <c r="FE47" s="1195">
        <f ca="1">FA47/$FB$15</f>
        <v>0</v>
      </c>
      <c r="FF47" s="1195">
        <f>FB47/$FB$15</f>
        <v>-5.4899753793376396E-5</v>
      </c>
      <c r="FG47" s="1195">
        <f ca="1">FC47/$FC$15</f>
        <v>0</v>
      </c>
      <c r="FH47" s="1193">
        <f ca="1">FH45-FH46</f>
        <v>0</v>
      </c>
      <c r="FI47" s="1193">
        <f>FI45-FI46</f>
        <v>-5.6666666666666661</v>
      </c>
      <c r="FJ47" s="1193">
        <f ca="1">FJ45-FJ46</f>
        <v>0</v>
      </c>
      <c r="FK47" s="1194">
        <f t="shared" ca="1" si="57"/>
        <v>5.6666666666666661</v>
      </c>
      <c r="FL47" s="1195">
        <f ca="1">FH47/$FI$15</f>
        <v>0</v>
      </c>
      <c r="FM47" s="1195">
        <f>FI47/$FI$15</f>
        <v>-6.0881662450432477E-5</v>
      </c>
      <c r="FN47" s="1195">
        <f ca="1">FJ47/$FJ$15</f>
        <v>0</v>
      </c>
      <c r="FO47" s="1193">
        <f t="shared" ca="1" si="58"/>
        <v>0</v>
      </c>
      <c r="FP47" s="1193">
        <f t="shared" si="59"/>
        <v>-57.333333333333314</v>
      </c>
      <c r="FQ47" s="1193">
        <f t="shared" ca="1" si="60"/>
        <v>0</v>
      </c>
      <c r="FR47" s="1194">
        <f t="shared" ca="1" si="61"/>
        <v>57.333333333333314</v>
      </c>
      <c r="FS47" s="1195">
        <f ca="1">FO47/$FP$15</f>
        <v>0</v>
      </c>
      <c r="FT47" s="1195">
        <f>FP47/$FP$15</f>
        <v>-5.5438125572511441E-5</v>
      </c>
      <c r="FU47" s="1195">
        <f ca="1">FQ47/$FQ$15</f>
        <v>0</v>
      </c>
      <c r="FV47" s="1171"/>
      <c r="FW47" s="1196">
        <v>0</v>
      </c>
    </row>
    <row r="48" spans="1:179" s="883" customFormat="1" ht="16.5" customHeight="1" x14ac:dyDescent="0.2">
      <c r="A48" s="1179" t="s">
        <v>871</v>
      </c>
      <c r="B48" s="1167" t="str">
        <f>'Struktur Aktuell'!B314</f>
        <v>Liquidität II</v>
      </c>
      <c r="C48" s="1168">
        <f ca="1">C29-C30-C33-C46+C45</f>
        <v>-13312.419999999984</v>
      </c>
      <c r="D48" s="1168">
        <f>D29-D30-D33-D46+D45</f>
        <v>258541.1333333331</v>
      </c>
      <c r="E48" s="1168">
        <f ca="1">E29-E30-E33-E46+E45</f>
        <v>-8562.4199999999837</v>
      </c>
      <c r="F48" s="1169">
        <f t="shared" ca="1" si="1"/>
        <v>-267103.55333333311</v>
      </c>
      <c r="G48" s="1170"/>
      <c r="H48" s="1170"/>
      <c r="I48" s="1170"/>
      <c r="J48" s="1168">
        <f ca="1">J29-J30-J33-J46+J45</f>
        <v>-14222.12</v>
      </c>
      <c r="K48" s="1168">
        <f>K29-K30-K33-K46+K45</f>
        <v>-3843.7594444444476</v>
      </c>
      <c r="L48" s="1168">
        <f ca="1">L29-L30-L33-L46+L45</f>
        <v>-9301.1200000000008</v>
      </c>
      <c r="M48" s="1169">
        <f t="shared" ca="1" si="2"/>
        <v>-5457.3605555555532</v>
      </c>
      <c r="N48" s="1170"/>
      <c r="O48" s="1170"/>
      <c r="P48" s="1170"/>
      <c r="Q48" s="1168">
        <f t="shared" ca="1" si="75"/>
        <v>-14222.12</v>
      </c>
      <c r="R48" s="1168">
        <f t="shared" si="76"/>
        <v>-3843.7594444444476</v>
      </c>
      <c r="S48" s="1168">
        <f t="shared" ca="1" si="77"/>
        <v>-9301.1200000000008</v>
      </c>
      <c r="T48" s="1169">
        <f t="shared" ca="1" si="6"/>
        <v>-5457.3605555555532</v>
      </c>
      <c r="U48" s="1170"/>
      <c r="V48" s="1170"/>
      <c r="W48" s="1170"/>
      <c r="X48" s="1168">
        <f ca="1">X29-X30-X33-X46+X45</f>
        <v>-3068.4599999999973</v>
      </c>
      <c r="Y48" s="1168">
        <f>Y29-Y30-Y33-Y46+Y45</f>
        <v>16771.960555555561</v>
      </c>
      <c r="Z48" s="1168">
        <f ca="1">Z29-Z30-Z33-Z46+Z45</f>
        <v>-9817.4599999999991</v>
      </c>
      <c r="AA48" s="1169">
        <f t="shared" ca="1" si="7"/>
        <v>-26589.42055555556</v>
      </c>
      <c r="AB48" s="1170"/>
      <c r="AC48" s="1170"/>
      <c r="AD48" s="1170"/>
      <c r="AE48" s="1168">
        <f t="shared" ca="1" si="78"/>
        <v>-17290.579999999998</v>
      </c>
      <c r="AF48" s="1168">
        <f t="shared" si="79"/>
        <v>12928.201111111113</v>
      </c>
      <c r="AG48" s="1168">
        <f t="shared" ca="1" si="80"/>
        <v>-19118.580000000002</v>
      </c>
      <c r="AH48" s="1169">
        <f t="shared" ca="1" si="11"/>
        <v>-32046.781111111115</v>
      </c>
      <c r="AI48" s="1170"/>
      <c r="AJ48" s="1170"/>
      <c r="AK48" s="1170"/>
      <c r="AL48" s="1168">
        <f ca="1">AL29-AL30-AL33-AL46+AL45</f>
        <v>-2047.75</v>
      </c>
      <c r="AM48" s="1168">
        <f>AM29-AM30-AM33-AM46+AM45</f>
        <v>37387.680555555562</v>
      </c>
      <c r="AN48" s="1168">
        <f ca="1">AN29-AN30-AN33-AN46+AN45</f>
        <v>281.25000000000023</v>
      </c>
      <c r="AO48" s="1169">
        <f t="shared" ca="1" si="12"/>
        <v>-37106.430555555562</v>
      </c>
      <c r="AP48" s="1170"/>
      <c r="AQ48" s="1170"/>
      <c r="AR48" s="1170"/>
      <c r="AS48" s="1168">
        <f t="shared" ca="1" si="81"/>
        <v>-19338.329999999998</v>
      </c>
      <c r="AT48" s="1168">
        <f t="shared" si="82"/>
        <v>50315.881666666675</v>
      </c>
      <c r="AU48" s="1168">
        <f t="shared" ca="1" si="83"/>
        <v>-18837.330000000002</v>
      </c>
      <c r="AV48" s="1169">
        <f t="shared" ca="1" si="16"/>
        <v>-69153.21166666667</v>
      </c>
      <c r="AW48" s="1170"/>
      <c r="AX48" s="1170"/>
      <c r="AY48" s="1170"/>
      <c r="AZ48" s="1168">
        <f ca="1">AZ29-AZ30-AZ33-AZ46+AZ45</f>
        <v>-9409.6400000000031</v>
      </c>
      <c r="BA48" s="1168">
        <f>BA29-BA30-BA33-BA46+BA45</f>
        <v>6464.1005555555612</v>
      </c>
      <c r="BB48" s="1168">
        <f ca="1">BB29-BB30-BB33-BB46+BB45</f>
        <v>-14813.640000000003</v>
      </c>
      <c r="BC48" s="1169">
        <f t="shared" ca="1" si="17"/>
        <v>-21277.740555555563</v>
      </c>
      <c r="BD48" s="1170"/>
      <c r="BE48" s="1170"/>
      <c r="BF48" s="1170"/>
      <c r="BG48" s="1168">
        <f t="shared" ca="1" si="84"/>
        <v>-28747.97</v>
      </c>
      <c r="BH48" s="1168">
        <f t="shared" si="85"/>
        <v>56779.982222222236</v>
      </c>
      <c r="BI48" s="1168">
        <f t="shared" ca="1" si="86"/>
        <v>-33650.97</v>
      </c>
      <c r="BJ48" s="1169">
        <f t="shared" ca="1" si="21"/>
        <v>-90430.952222222229</v>
      </c>
      <c r="BK48" s="1170"/>
      <c r="BL48" s="1170"/>
      <c r="BM48" s="1170"/>
      <c r="BN48" s="1168">
        <f ca="1">BN29-BN30-BN33-BN46+BN45</f>
        <v>-20427.769999999997</v>
      </c>
      <c r="BO48" s="1168">
        <f>BO29-BO30-BO33-BO46+BO45</f>
        <v>12930.231388888895</v>
      </c>
      <c r="BP48" s="1168">
        <f ca="1">BP29-BP30-BP33-BP46+BP45</f>
        <v>-10738.769999999999</v>
      </c>
      <c r="BQ48" s="1169">
        <f t="shared" ca="1" si="22"/>
        <v>-23669.001388888893</v>
      </c>
      <c r="BR48" s="1170"/>
      <c r="BS48" s="1170"/>
      <c r="BT48" s="1170"/>
      <c r="BU48" s="1168">
        <f t="shared" ca="1" si="87"/>
        <v>-49175.74</v>
      </c>
      <c r="BV48" s="1168">
        <f t="shared" si="88"/>
        <v>69710.213611111132</v>
      </c>
      <c r="BW48" s="1168">
        <f t="shared" ca="1" si="89"/>
        <v>-44389.74</v>
      </c>
      <c r="BX48" s="1169">
        <f t="shared" ca="1" si="26"/>
        <v>-114099.95361111112</v>
      </c>
      <c r="BY48" s="1170"/>
      <c r="BZ48" s="1170"/>
      <c r="CA48" s="1170"/>
      <c r="CB48" s="1168">
        <f ca="1">CB29-CB30-CB33-CB46+CB45</f>
        <v>4210.3500000000004</v>
      </c>
      <c r="CC48" s="1168">
        <f>CC29-CC30-CC33-CC46+CC45</f>
        <v>21666.231388888893</v>
      </c>
      <c r="CD48" s="1168">
        <f ca="1">CD29-CD30-CD33-CD46+CD45</f>
        <v>-87.649999999999977</v>
      </c>
      <c r="CE48" s="1169">
        <f t="shared" ca="1" si="27"/>
        <v>-21753.881388888894</v>
      </c>
      <c r="CF48" s="1170"/>
      <c r="CG48" s="1170"/>
      <c r="CH48" s="1170"/>
      <c r="CI48" s="1168">
        <f t="shared" ca="1" si="90"/>
        <v>-44965.39</v>
      </c>
      <c r="CJ48" s="1168">
        <f t="shared" si="91"/>
        <v>91376.445000000022</v>
      </c>
      <c r="CK48" s="1168">
        <f t="shared" ca="1" si="92"/>
        <v>-44477.39</v>
      </c>
      <c r="CL48" s="1169">
        <f t="shared" ca="1" si="93"/>
        <v>-135853.83500000002</v>
      </c>
      <c r="CM48" s="1170"/>
      <c r="CN48" s="1170"/>
      <c r="CO48" s="1170"/>
      <c r="CP48" s="1168">
        <f ca="1">CP29-CP30-CP33-CP46+CP45</f>
        <v>24142.950000000004</v>
      </c>
      <c r="CQ48" s="1168">
        <f>CQ29-CQ30-CQ33-CQ46+CQ45</f>
        <v>21666.231388888893</v>
      </c>
      <c r="CR48" s="1168">
        <f ca="1">CR29-CR30-CR33-CR46+CR45</f>
        <v>22399.950000000004</v>
      </c>
      <c r="CS48" s="1169">
        <f t="shared" ca="1" si="94"/>
        <v>733.71861111111139</v>
      </c>
      <c r="CT48" s="1170"/>
      <c r="CU48" s="1170"/>
      <c r="CV48" s="1170"/>
      <c r="CW48" s="1168">
        <f t="shared" ca="1" si="95"/>
        <v>-20822.439999999995</v>
      </c>
      <c r="CX48" s="1168">
        <f t="shared" si="96"/>
        <v>113042.67638888891</v>
      </c>
      <c r="CY48" s="1168">
        <f t="shared" ca="1" si="97"/>
        <v>-22077.439999999995</v>
      </c>
      <c r="CZ48" s="1169">
        <f t="shared" ca="1" si="36"/>
        <v>-135120.11638888891</v>
      </c>
      <c r="DA48" s="1170"/>
      <c r="DB48" s="1170"/>
      <c r="DC48" s="1170"/>
      <c r="DD48" s="1168">
        <f ca="1">DD29-DD30-DD33-DD46+DD45</f>
        <v>1291.850000000001</v>
      </c>
      <c r="DE48" s="1168">
        <f>DE29-DE30-DE33-DE46+DE45</f>
        <v>8483.9713888888928</v>
      </c>
      <c r="DF48" s="1168">
        <f ca="1">DF29-DF30-DF33-DF46+DF45</f>
        <v>6699.8500000000013</v>
      </c>
      <c r="DG48" s="1169">
        <f t="shared" ca="1" si="37"/>
        <v>-1784.1213888888915</v>
      </c>
      <c r="DH48" s="1170"/>
      <c r="DI48" s="1170"/>
      <c r="DJ48" s="1170"/>
      <c r="DK48" s="1168">
        <f t="shared" ca="1" si="98"/>
        <v>-19530.589999999993</v>
      </c>
      <c r="DL48" s="1168">
        <f t="shared" si="99"/>
        <v>121526.64777777781</v>
      </c>
      <c r="DM48" s="1168">
        <f t="shared" ca="1" si="100"/>
        <v>-15377.589999999993</v>
      </c>
      <c r="DN48" s="1169">
        <f t="shared" ca="1" si="101"/>
        <v>-136904.2377777778</v>
      </c>
      <c r="DO48" s="1170"/>
      <c r="DP48" s="1170"/>
      <c r="DQ48" s="1170"/>
      <c r="DR48" s="1168">
        <f ca="1">DR29-DR30-DR33-DR46+DR45</f>
        <v>-7196.3599999999988</v>
      </c>
      <c r="DS48" s="1168">
        <f>DS29-DS30-DS33-DS46+DS45</f>
        <v>39407.551388888896</v>
      </c>
      <c r="DT48" s="1168">
        <f ca="1">DT29-DT30-DT33-DT46+DT45</f>
        <v>-7196.3599999999988</v>
      </c>
      <c r="DU48" s="1169">
        <f t="shared" ca="1" si="102"/>
        <v>-46603.911388888897</v>
      </c>
      <c r="DV48" s="1170"/>
      <c r="DW48" s="1170"/>
      <c r="DX48" s="1170"/>
      <c r="DY48" s="1168">
        <f t="shared" ca="1" si="103"/>
        <v>-26726.94999999999</v>
      </c>
      <c r="DZ48" s="1168">
        <f t="shared" si="104"/>
        <v>160934.19916666672</v>
      </c>
      <c r="EA48" s="1168">
        <f t="shared" ca="1" si="105"/>
        <v>-22573.94999999999</v>
      </c>
      <c r="EB48" s="1169">
        <f t="shared" ca="1" si="106"/>
        <v>-183508.1491666667</v>
      </c>
      <c r="EC48" s="1170"/>
      <c r="ED48" s="1170"/>
      <c r="EE48" s="1170"/>
      <c r="EF48" s="1168">
        <f ca="1">EF29-EF30-EF33-EF46+EF45</f>
        <v>14261.529999999997</v>
      </c>
      <c r="EG48" s="1168">
        <f>EG29-EG30-EG33-EG46+EG45</f>
        <v>39407.551388888896</v>
      </c>
      <c r="EH48" s="1168">
        <f ca="1">EH29-EH30-EH33-EH46+EH45</f>
        <v>6349.5300000000007</v>
      </c>
      <c r="EI48" s="1169">
        <f t="shared" ca="1" si="107"/>
        <v>-33058.021388888897</v>
      </c>
      <c r="EJ48" s="1170"/>
      <c r="EK48" s="1170"/>
      <c r="EL48" s="1170"/>
      <c r="EM48" s="1168">
        <f t="shared" ca="1" si="108"/>
        <v>-12465.419999999993</v>
      </c>
      <c r="EN48" s="1168">
        <f t="shared" si="109"/>
        <v>200341.75055555563</v>
      </c>
      <c r="EO48" s="1168">
        <f t="shared" ca="1" si="110"/>
        <v>-16224.419999999989</v>
      </c>
      <c r="EP48" s="1169">
        <f t="shared" ca="1" si="111"/>
        <v>-216566.17055555561</v>
      </c>
      <c r="EQ48" s="1170"/>
      <c r="ER48" s="1170"/>
      <c r="ES48" s="1170"/>
      <c r="ET48" s="1168">
        <f ca="1">ET29-ET30-ET33-ET46+ET45</f>
        <v>-316</v>
      </c>
      <c r="EU48" s="1168">
        <f>EU29-EU30-EU33-EU46+EU45</f>
        <v>29099.691388888878</v>
      </c>
      <c r="EV48" s="1168">
        <f ca="1">EV29-EV30-EV33-EV46+EV45</f>
        <v>7153</v>
      </c>
      <c r="EW48" s="1169">
        <f t="shared" ca="1" si="112"/>
        <v>-21946.691388888878</v>
      </c>
      <c r="EX48" s="1170"/>
      <c r="EY48" s="1170"/>
      <c r="EZ48" s="1170"/>
      <c r="FA48" s="1168">
        <f t="shared" ca="1" si="53"/>
        <v>-12781.419999999993</v>
      </c>
      <c r="FB48" s="1168">
        <f t="shared" si="54"/>
        <v>229441.44194444449</v>
      </c>
      <c r="FC48" s="1168">
        <f t="shared" ca="1" si="55"/>
        <v>-9071.4199999999892</v>
      </c>
      <c r="FD48" s="1169">
        <f t="shared" ca="1" si="56"/>
        <v>-238512.86194444448</v>
      </c>
      <c r="FE48" s="1170"/>
      <c r="FF48" s="1170"/>
      <c r="FG48" s="1170"/>
      <c r="FH48" s="1168">
        <f ca="1">FH29-FH30-FH33-FH46+FH45</f>
        <v>-531</v>
      </c>
      <c r="FI48" s="1168">
        <f>FI29-FI30-FI33-FI46+FI45</f>
        <v>29099.691388888878</v>
      </c>
      <c r="FJ48" s="1168">
        <f ca="1">FJ29-FJ30-FJ33-FJ46+FJ45</f>
        <v>509</v>
      </c>
      <c r="FK48" s="1169">
        <f t="shared" ca="1" si="57"/>
        <v>-28590.691388888878</v>
      </c>
      <c r="FL48" s="1170"/>
      <c r="FM48" s="1170"/>
      <c r="FN48" s="1170"/>
      <c r="FO48" s="1168">
        <f t="shared" ca="1" si="58"/>
        <v>-13312.419999999993</v>
      </c>
      <c r="FP48" s="1168">
        <f t="shared" si="59"/>
        <v>258541.13333333336</v>
      </c>
      <c r="FQ48" s="1168">
        <f t="shared" ca="1" si="60"/>
        <v>-8562.4199999999892</v>
      </c>
      <c r="FR48" s="1169">
        <f t="shared" ca="1" si="61"/>
        <v>-267103.55333333334</v>
      </c>
      <c r="FS48" s="1170"/>
      <c r="FT48" s="1170"/>
      <c r="FU48" s="1170"/>
      <c r="FV48" s="1171"/>
      <c r="FW48" s="1169">
        <v>0</v>
      </c>
    </row>
    <row r="49" spans="1:179" s="883" customFormat="1" x14ac:dyDescent="0.2">
      <c r="A49" s="1257">
        <v>29</v>
      </c>
      <c r="B49" s="1257" t="str">
        <f>'Struktur Aktuell'!B315</f>
        <v>Abschreibungen</v>
      </c>
      <c r="C49" s="1258">
        <f t="shared" ref="C49:E54" ca="1" si="114">J49+X49+AL49+AZ49+BN49+CB49+CP49+DD49+DR49+EF49+ET49+FH49</f>
        <v>3109.6999999999994</v>
      </c>
      <c r="D49" s="1259">
        <f t="shared" si="114"/>
        <v>3000</v>
      </c>
      <c r="E49" s="1260">
        <f t="shared" ca="1" si="114"/>
        <v>3109.6999999999994</v>
      </c>
      <c r="F49" s="1169">
        <f t="shared" ca="1" si="1"/>
        <v>109.69999999999936</v>
      </c>
      <c r="G49" s="1170"/>
      <c r="H49" s="1170"/>
      <c r="I49" s="1170"/>
      <c r="J49" s="1258">
        <f ca="1">SUMIF('Struktur Vorjahr'!$A:$A,'Planzahlen Rentabilität'!$A49,'Struktur Vorjahr'!G:G)</f>
        <v>232.46</v>
      </c>
      <c r="K49" s="1259">
        <f>Gesamtkostenplanung!$D$39/12</f>
        <v>250</v>
      </c>
      <c r="L49" s="1260">
        <f ca="1">SUMIF('Struktur Aktuell'!$A:$A,'Planzahlen Rentabilität'!$A49,'Struktur Aktuell'!G:G)</f>
        <v>232.46</v>
      </c>
      <c r="M49" s="1169">
        <f t="shared" ca="1" si="2"/>
        <v>-17.539999999999992</v>
      </c>
      <c r="N49" s="1170"/>
      <c r="O49" s="1170"/>
      <c r="P49" s="1170"/>
      <c r="Q49" s="1258">
        <f t="shared" ca="1" si="75"/>
        <v>232.46</v>
      </c>
      <c r="R49" s="1174">
        <f t="shared" si="76"/>
        <v>250</v>
      </c>
      <c r="S49" s="1175">
        <f t="shared" ca="1" si="77"/>
        <v>232.46</v>
      </c>
      <c r="T49" s="1169">
        <f t="shared" ca="1" si="6"/>
        <v>-17.539999999999992</v>
      </c>
      <c r="U49" s="1170"/>
      <c r="V49" s="1170"/>
      <c r="W49" s="1170"/>
      <c r="X49" s="1258">
        <f ca="1">SUMIF('Struktur Vorjahr'!$A:$A,'Planzahlen Rentabilität'!$A49,'Struktur Vorjahr'!H:H)</f>
        <v>232.51999999999998</v>
      </c>
      <c r="Y49" s="1174">
        <f>Gesamtkostenplanung!$D$39/12</f>
        <v>250</v>
      </c>
      <c r="Z49" s="1175">
        <f ca="1">SUMIF('Struktur Aktuell'!$A:$A,'Planzahlen Rentabilität'!$A49,'Struktur Aktuell'!H:H)</f>
        <v>232.51999999999998</v>
      </c>
      <c r="AA49" s="1169">
        <f t="shared" ca="1" si="7"/>
        <v>-17.480000000000018</v>
      </c>
      <c r="AB49" s="1170"/>
      <c r="AC49" s="1170"/>
      <c r="AD49" s="1170"/>
      <c r="AE49" s="1258">
        <f t="shared" ca="1" si="78"/>
        <v>464.98</v>
      </c>
      <c r="AF49" s="1174">
        <f t="shared" si="79"/>
        <v>500</v>
      </c>
      <c r="AG49" s="1175">
        <f t="shared" ca="1" si="80"/>
        <v>464.98</v>
      </c>
      <c r="AH49" s="1169">
        <f t="shared" ca="1" si="11"/>
        <v>-35.019999999999982</v>
      </c>
      <c r="AI49" s="1170"/>
      <c r="AJ49" s="1170"/>
      <c r="AK49" s="1170"/>
      <c r="AL49" s="1258">
        <v>0</v>
      </c>
      <c r="AM49" s="1174">
        <f>Gesamtkostenplanung!$D$39/12</f>
        <v>250</v>
      </c>
      <c r="AN49" s="1175">
        <v>0</v>
      </c>
      <c r="AO49" s="1169">
        <f t="shared" si="12"/>
        <v>-250</v>
      </c>
      <c r="AP49" s="1170"/>
      <c r="AQ49" s="1170"/>
      <c r="AR49" s="1170"/>
      <c r="AS49" s="1258">
        <f t="shared" ca="1" si="81"/>
        <v>464.98</v>
      </c>
      <c r="AT49" s="1174">
        <f t="shared" si="82"/>
        <v>750</v>
      </c>
      <c r="AU49" s="1175">
        <f t="shared" ca="1" si="83"/>
        <v>464.98</v>
      </c>
      <c r="AV49" s="1169">
        <f t="shared" ca="1" si="16"/>
        <v>-285.02</v>
      </c>
      <c r="AW49" s="1170"/>
      <c r="AX49" s="1170"/>
      <c r="AY49" s="1170"/>
      <c r="AZ49" s="1258">
        <f ca="1">SUMIF('Struktur Vorjahr'!$A:$A,'Planzahlen Rentabilität'!$A49,'Struktur Vorjahr'!J:J)</f>
        <v>346.14</v>
      </c>
      <c r="BA49" s="1174">
        <f>Gesamtkostenplanung!$D$39/12</f>
        <v>250</v>
      </c>
      <c r="BB49" s="1175">
        <f ca="1">SUMIF('Struktur Aktuell'!$A:$A,'Planzahlen Rentabilität'!$A49,'Struktur Aktuell'!J:J)</f>
        <v>346.14</v>
      </c>
      <c r="BC49" s="1169">
        <f t="shared" ca="1" si="17"/>
        <v>96.139999999999986</v>
      </c>
      <c r="BD49" s="1170"/>
      <c r="BE49" s="1170"/>
      <c r="BF49" s="1170"/>
      <c r="BG49" s="1258">
        <f t="shared" ca="1" si="84"/>
        <v>811.12</v>
      </c>
      <c r="BH49" s="1174">
        <f t="shared" si="85"/>
        <v>1000</v>
      </c>
      <c r="BI49" s="1175">
        <f t="shared" ca="1" si="86"/>
        <v>811.12</v>
      </c>
      <c r="BJ49" s="1169">
        <f t="shared" ca="1" si="21"/>
        <v>-188.88</v>
      </c>
      <c r="BK49" s="1170"/>
      <c r="BL49" s="1170"/>
      <c r="BM49" s="1170"/>
      <c r="BN49" s="1258">
        <f ca="1">SUMIF('Struktur Vorjahr'!$A:$A,'Planzahlen Rentabilität'!$A49,'Struktur Vorjahr'!K:K)</f>
        <v>740.75</v>
      </c>
      <c r="BO49" s="1174">
        <f>Gesamtkostenplanung!$D$39/12</f>
        <v>250</v>
      </c>
      <c r="BP49" s="1175">
        <f ca="1">SUMIF('Struktur Aktuell'!$A:$A,'Planzahlen Rentabilität'!$A49,'Struktur Aktuell'!K:K)</f>
        <v>740.75</v>
      </c>
      <c r="BQ49" s="1169">
        <f t="shared" ca="1" si="22"/>
        <v>490.75</v>
      </c>
      <c r="BR49" s="1170"/>
      <c r="BS49" s="1170"/>
      <c r="BT49" s="1170"/>
      <c r="BU49" s="1258">
        <f t="shared" ca="1" si="87"/>
        <v>1551.87</v>
      </c>
      <c r="BV49" s="1174">
        <f t="shared" si="88"/>
        <v>1250</v>
      </c>
      <c r="BW49" s="1175">
        <f t="shared" ca="1" si="89"/>
        <v>1551.87</v>
      </c>
      <c r="BX49" s="1169">
        <f t="shared" ca="1" si="26"/>
        <v>301.86999999999989</v>
      </c>
      <c r="BY49" s="1170"/>
      <c r="BZ49" s="1170"/>
      <c r="CA49" s="1170"/>
      <c r="CB49" s="1258">
        <v>0</v>
      </c>
      <c r="CC49" s="1174">
        <f>Gesamtkostenplanung!$D$39/12</f>
        <v>250</v>
      </c>
      <c r="CD49" s="1175">
        <v>0</v>
      </c>
      <c r="CE49" s="1169">
        <f t="shared" si="27"/>
        <v>-250</v>
      </c>
      <c r="CF49" s="1170"/>
      <c r="CG49" s="1170"/>
      <c r="CH49" s="1170"/>
      <c r="CI49" s="1258">
        <f t="shared" ca="1" si="90"/>
        <v>1551.87</v>
      </c>
      <c r="CJ49" s="1174">
        <f t="shared" si="91"/>
        <v>1500</v>
      </c>
      <c r="CK49" s="1175">
        <f t="shared" ca="1" si="92"/>
        <v>1551.87</v>
      </c>
      <c r="CL49" s="1169">
        <f t="shared" ca="1" si="93"/>
        <v>51.869999999999891</v>
      </c>
      <c r="CM49" s="1170"/>
      <c r="CN49" s="1170"/>
      <c r="CO49" s="1170"/>
      <c r="CP49" s="1258">
        <f ca="1">SUMIF('Struktur Vorjahr'!$A:$A,'Planzahlen Rentabilität'!$A49,'Struktur Vorjahr'!M:M)</f>
        <v>687.79</v>
      </c>
      <c r="CQ49" s="1174">
        <f>Gesamtkostenplanung!$D$39/12</f>
        <v>250</v>
      </c>
      <c r="CR49" s="1175">
        <f ca="1">SUMIF('Struktur Aktuell'!$A:$A,'Planzahlen Rentabilität'!$A49,'Struktur Aktuell'!M:M)</f>
        <v>687.79</v>
      </c>
      <c r="CS49" s="1169">
        <f t="shared" ca="1" si="94"/>
        <v>437.78999999999996</v>
      </c>
      <c r="CT49" s="1170"/>
      <c r="CU49" s="1170"/>
      <c r="CV49" s="1170"/>
      <c r="CW49" s="1258">
        <f t="shared" ca="1" si="95"/>
        <v>2239.66</v>
      </c>
      <c r="CX49" s="1174">
        <f t="shared" si="96"/>
        <v>1750</v>
      </c>
      <c r="CY49" s="1175">
        <f t="shared" ca="1" si="97"/>
        <v>2239.66</v>
      </c>
      <c r="CZ49" s="1169">
        <f t="shared" ca="1" si="36"/>
        <v>489.65999999999985</v>
      </c>
      <c r="DA49" s="1170"/>
      <c r="DB49" s="1170"/>
      <c r="DC49" s="1170"/>
      <c r="DD49" s="1258">
        <f ca="1">SUMIF('Struktur Vorjahr'!$A:$A,'Planzahlen Rentabilität'!$A49,'Struktur Vorjahr'!N:N)</f>
        <v>324.77999999999997</v>
      </c>
      <c r="DE49" s="1174">
        <f>Gesamtkostenplanung!$D$39/12</f>
        <v>250</v>
      </c>
      <c r="DF49" s="1175">
        <f ca="1">SUMIF('Struktur Aktuell'!$A:$A,'Planzahlen Rentabilität'!$A49,'Struktur Aktuell'!N:N)</f>
        <v>324.77999999999997</v>
      </c>
      <c r="DG49" s="1169">
        <f t="shared" ca="1" si="37"/>
        <v>74.779999999999973</v>
      </c>
      <c r="DH49" s="1170"/>
      <c r="DI49" s="1170"/>
      <c r="DJ49" s="1170"/>
      <c r="DK49" s="1258">
        <f t="shared" ca="1" si="98"/>
        <v>2564.4399999999996</v>
      </c>
      <c r="DL49" s="1174">
        <f t="shared" si="99"/>
        <v>2000</v>
      </c>
      <c r="DM49" s="1175">
        <f t="shared" ca="1" si="100"/>
        <v>2564.4399999999996</v>
      </c>
      <c r="DN49" s="1169">
        <f t="shared" ca="1" si="101"/>
        <v>564.4399999999996</v>
      </c>
      <c r="DO49" s="1170"/>
      <c r="DP49" s="1170"/>
      <c r="DQ49" s="1170"/>
      <c r="DR49" s="1258">
        <f ca="1">SUMIF('Struktur Vorjahr'!$A:$A,'Planzahlen Rentabilität'!$A49,'Struktur Vorjahr'!O:O)</f>
        <v>272.60000000000002</v>
      </c>
      <c r="DS49" s="1174">
        <f>Gesamtkostenplanung!$D$39/12</f>
        <v>250</v>
      </c>
      <c r="DT49" s="1175">
        <f ca="1">SUMIF('Struktur Aktuell'!$A:$A,'Planzahlen Rentabilität'!$A49,'Struktur Aktuell'!O:O)</f>
        <v>272.60000000000002</v>
      </c>
      <c r="DU49" s="1169">
        <f t="shared" ca="1" si="102"/>
        <v>22.600000000000023</v>
      </c>
      <c r="DV49" s="1170"/>
      <c r="DW49" s="1170"/>
      <c r="DX49" s="1170"/>
      <c r="DY49" s="1258">
        <f t="shared" ca="1" si="103"/>
        <v>2837.0399999999995</v>
      </c>
      <c r="DZ49" s="1174">
        <f t="shared" si="104"/>
        <v>2250</v>
      </c>
      <c r="EA49" s="1175">
        <f t="shared" ca="1" si="105"/>
        <v>2837.0399999999995</v>
      </c>
      <c r="EB49" s="1169">
        <f t="shared" ca="1" si="106"/>
        <v>587.03999999999951</v>
      </c>
      <c r="EC49" s="1170"/>
      <c r="ED49" s="1170"/>
      <c r="EE49" s="1170"/>
      <c r="EF49" s="1258">
        <f ca="1">SUMIF('Struktur Vorjahr'!$A:$A,'Planzahlen Rentabilität'!$A49,'Struktur Vorjahr'!P:P)</f>
        <v>272.66000000000003</v>
      </c>
      <c r="EG49" s="1174">
        <f>Gesamtkostenplanung!$D$39/12</f>
        <v>250</v>
      </c>
      <c r="EH49" s="1175">
        <f ca="1">SUMIF('Struktur Aktuell'!$A:$A,'Planzahlen Rentabilität'!$A49,'Struktur Aktuell'!P:P)</f>
        <v>272.66000000000003</v>
      </c>
      <c r="EI49" s="1169">
        <f t="shared" ca="1" si="107"/>
        <v>22.660000000000025</v>
      </c>
      <c r="EJ49" s="1170"/>
      <c r="EK49" s="1170"/>
      <c r="EL49" s="1170"/>
      <c r="EM49" s="1258">
        <f t="shared" ca="1" si="108"/>
        <v>3109.6999999999994</v>
      </c>
      <c r="EN49" s="1174">
        <f t="shared" si="109"/>
        <v>2500</v>
      </c>
      <c r="EO49" s="1175">
        <f t="shared" ca="1" si="110"/>
        <v>3109.6999999999994</v>
      </c>
      <c r="EP49" s="1169">
        <f t="shared" ca="1" si="111"/>
        <v>609.69999999999936</v>
      </c>
      <c r="EQ49" s="1170"/>
      <c r="ER49" s="1170"/>
      <c r="ES49" s="1170"/>
      <c r="ET49" s="1258">
        <f ca="1">SUMIF('Struktur Vorjahr'!$A:$A,'Planzahlen Rentabilität'!$A49,'Struktur Vorjahr'!Q:Q)</f>
        <v>0</v>
      </c>
      <c r="EU49" s="1174">
        <f>Gesamtkostenplanung!$D$39/12</f>
        <v>250</v>
      </c>
      <c r="EV49" s="1175">
        <f ca="1">SUMIF('Struktur Aktuell'!$A:$A,'Planzahlen Rentabilität'!$A49,'Struktur Aktuell'!Q:Q)</f>
        <v>0</v>
      </c>
      <c r="EW49" s="1169">
        <f t="shared" ca="1" si="112"/>
        <v>-250</v>
      </c>
      <c r="EX49" s="1170"/>
      <c r="EY49" s="1170"/>
      <c r="EZ49" s="1170"/>
      <c r="FA49" s="1258">
        <f t="shared" ca="1" si="53"/>
        <v>3109.6999999999994</v>
      </c>
      <c r="FB49" s="1174">
        <f t="shared" si="54"/>
        <v>2750</v>
      </c>
      <c r="FC49" s="1175">
        <f t="shared" ca="1" si="55"/>
        <v>3109.6999999999994</v>
      </c>
      <c r="FD49" s="1169">
        <f t="shared" ca="1" si="56"/>
        <v>359.69999999999936</v>
      </c>
      <c r="FE49" s="1170"/>
      <c r="FF49" s="1170"/>
      <c r="FG49" s="1170"/>
      <c r="FH49" s="1258">
        <f ca="1">SUMIF('Struktur Vorjahr'!$A:$A,'Planzahlen Rentabilität'!$A49,'Struktur Vorjahr'!R:R)</f>
        <v>0</v>
      </c>
      <c r="FI49" s="1174">
        <f>Gesamtkostenplanung!$D$39/12</f>
        <v>250</v>
      </c>
      <c r="FJ49" s="1175">
        <f ca="1">SUMIF('Struktur Aktuell'!$A:$A,'Planzahlen Rentabilität'!$A49,'Struktur Aktuell'!R:R)</f>
        <v>0</v>
      </c>
      <c r="FK49" s="1169">
        <f t="shared" ca="1" si="57"/>
        <v>-250</v>
      </c>
      <c r="FL49" s="1170"/>
      <c r="FM49" s="1170"/>
      <c r="FN49" s="1170"/>
      <c r="FO49" s="1258">
        <f t="shared" ca="1" si="58"/>
        <v>3109.6999999999994</v>
      </c>
      <c r="FP49" s="1174">
        <f t="shared" si="59"/>
        <v>3000</v>
      </c>
      <c r="FQ49" s="1175">
        <f t="shared" ca="1" si="60"/>
        <v>3109.6999999999994</v>
      </c>
      <c r="FR49" s="1169">
        <f t="shared" ca="1" si="61"/>
        <v>109.69999999999936</v>
      </c>
      <c r="FS49" s="1170"/>
      <c r="FT49" s="1170"/>
      <c r="FU49" s="1170"/>
      <c r="FV49" s="1171"/>
      <c r="FW49" s="1169">
        <v>0</v>
      </c>
    </row>
    <row r="50" spans="1:179" s="883" customFormat="1" x14ac:dyDescent="0.2">
      <c r="A50" s="1160">
        <v>30</v>
      </c>
      <c r="B50" s="1160" t="str">
        <f>'Struktur Aktuell'!B321</f>
        <v>Sonstige a.o. Aufwendungen (EWB / PWB)</v>
      </c>
      <c r="C50" s="1173">
        <f t="shared" ca="1" si="114"/>
        <v>0</v>
      </c>
      <c r="D50" s="1174">
        <f t="shared" si="114"/>
        <v>0</v>
      </c>
      <c r="E50" s="1175">
        <f t="shared" ca="1" si="114"/>
        <v>0</v>
      </c>
      <c r="F50" s="1261">
        <f t="shared" ca="1" si="1"/>
        <v>0</v>
      </c>
      <c r="G50" s="1170"/>
      <c r="H50" s="1170"/>
      <c r="I50" s="1170"/>
      <c r="J50" s="1173">
        <f ca="1">SUMIF('Struktur Vorjahr'!$A:$A,'Planzahlen Rentabilität'!$A50,'Struktur Vorjahr'!G:G)</f>
        <v>0</v>
      </c>
      <c r="K50" s="1174"/>
      <c r="L50" s="1175">
        <f ca="1">SUMIF('Struktur Aktuell'!$A:$A,'Planzahlen Rentabilität'!$A50,'Struktur Aktuell'!G:G)</f>
        <v>0</v>
      </c>
      <c r="M50" s="1261">
        <f t="shared" ca="1" si="2"/>
        <v>0</v>
      </c>
      <c r="N50" s="1170"/>
      <c r="O50" s="1170"/>
      <c r="P50" s="1170"/>
      <c r="Q50" s="1173">
        <f t="shared" ca="1" si="75"/>
        <v>0</v>
      </c>
      <c r="R50" s="1186">
        <f t="shared" si="76"/>
        <v>0</v>
      </c>
      <c r="S50" s="1187">
        <f t="shared" ca="1" si="77"/>
        <v>0</v>
      </c>
      <c r="T50" s="1261">
        <f t="shared" ca="1" si="6"/>
        <v>0</v>
      </c>
      <c r="U50" s="1170"/>
      <c r="V50" s="1170"/>
      <c r="W50" s="1170"/>
      <c r="X50" s="1173">
        <f ca="1">SUMIF('Struktur Vorjahr'!$A:$A,'Planzahlen Rentabilität'!$A50,'Struktur Vorjahr'!H:H)</f>
        <v>0</v>
      </c>
      <c r="Y50" s="1186">
        <f>K50</f>
        <v>0</v>
      </c>
      <c r="Z50" s="1187">
        <f ca="1">SUMIF('Struktur Aktuell'!$A:$A,'Planzahlen Rentabilität'!$A50,'Struktur Aktuell'!H:H)</f>
        <v>0</v>
      </c>
      <c r="AA50" s="1261">
        <f t="shared" ca="1" si="7"/>
        <v>0</v>
      </c>
      <c r="AB50" s="1170"/>
      <c r="AC50" s="1170"/>
      <c r="AD50" s="1170"/>
      <c r="AE50" s="1173">
        <f t="shared" ca="1" si="78"/>
        <v>0</v>
      </c>
      <c r="AF50" s="1186">
        <f t="shared" si="79"/>
        <v>0</v>
      </c>
      <c r="AG50" s="1187">
        <f t="shared" ca="1" si="80"/>
        <v>0</v>
      </c>
      <c r="AH50" s="1261">
        <f t="shared" ca="1" si="11"/>
        <v>0</v>
      </c>
      <c r="AI50" s="1170"/>
      <c r="AJ50" s="1170"/>
      <c r="AK50" s="1170"/>
      <c r="AL50" s="1173">
        <v>0</v>
      </c>
      <c r="AM50" s="1186">
        <f>Y50</f>
        <v>0</v>
      </c>
      <c r="AN50" s="1187">
        <v>0</v>
      </c>
      <c r="AO50" s="1261">
        <f t="shared" si="12"/>
        <v>0</v>
      </c>
      <c r="AP50" s="1170"/>
      <c r="AQ50" s="1170"/>
      <c r="AR50" s="1170"/>
      <c r="AS50" s="1173">
        <f t="shared" ca="1" si="81"/>
        <v>0</v>
      </c>
      <c r="AT50" s="1186">
        <f t="shared" si="82"/>
        <v>0</v>
      </c>
      <c r="AU50" s="1187">
        <f t="shared" ca="1" si="83"/>
        <v>0</v>
      </c>
      <c r="AV50" s="1261">
        <f t="shared" ca="1" si="16"/>
        <v>0</v>
      </c>
      <c r="AW50" s="1170"/>
      <c r="AX50" s="1170"/>
      <c r="AY50" s="1170"/>
      <c r="AZ50" s="1173">
        <f ca="1">SUMIF('Struktur Vorjahr'!$A:$A,'Planzahlen Rentabilität'!$A50,'Struktur Vorjahr'!J:J)</f>
        <v>0</v>
      </c>
      <c r="BA50" s="1186">
        <f>AM50</f>
        <v>0</v>
      </c>
      <c r="BB50" s="1187">
        <f ca="1">SUMIF('Struktur Aktuell'!$A:$A,'Planzahlen Rentabilität'!$A50,'Struktur Aktuell'!J:J)</f>
        <v>0</v>
      </c>
      <c r="BC50" s="1261">
        <f t="shared" ca="1" si="17"/>
        <v>0</v>
      </c>
      <c r="BD50" s="1170"/>
      <c r="BE50" s="1170"/>
      <c r="BF50" s="1170"/>
      <c r="BG50" s="1173">
        <f t="shared" ca="1" si="84"/>
        <v>0</v>
      </c>
      <c r="BH50" s="1186">
        <f t="shared" si="85"/>
        <v>0</v>
      </c>
      <c r="BI50" s="1187">
        <f t="shared" ca="1" si="86"/>
        <v>0</v>
      </c>
      <c r="BJ50" s="1261">
        <f t="shared" ca="1" si="21"/>
        <v>0</v>
      </c>
      <c r="BK50" s="1170"/>
      <c r="BL50" s="1170"/>
      <c r="BM50" s="1170"/>
      <c r="BN50" s="1173">
        <f ca="1">SUMIF('Struktur Vorjahr'!$A:$A,'Planzahlen Rentabilität'!$A50,'Struktur Vorjahr'!K:K)</f>
        <v>0</v>
      </c>
      <c r="BO50" s="1186">
        <f>BA50</f>
        <v>0</v>
      </c>
      <c r="BP50" s="1187">
        <f ca="1">SUMIF('Struktur Aktuell'!$A:$A,'Planzahlen Rentabilität'!$A50,'Struktur Aktuell'!K:K)</f>
        <v>0</v>
      </c>
      <c r="BQ50" s="1261">
        <f t="shared" ca="1" si="22"/>
        <v>0</v>
      </c>
      <c r="BR50" s="1170"/>
      <c r="BS50" s="1170"/>
      <c r="BT50" s="1170"/>
      <c r="BU50" s="1173">
        <f t="shared" ca="1" si="87"/>
        <v>0</v>
      </c>
      <c r="BV50" s="1186">
        <f t="shared" si="88"/>
        <v>0</v>
      </c>
      <c r="BW50" s="1187">
        <f t="shared" ca="1" si="89"/>
        <v>0</v>
      </c>
      <c r="BX50" s="1261">
        <f t="shared" ca="1" si="26"/>
        <v>0</v>
      </c>
      <c r="BY50" s="1170"/>
      <c r="BZ50" s="1170"/>
      <c r="CA50" s="1170"/>
      <c r="CB50" s="1173">
        <v>0</v>
      </c>
      <c r="CC50" s="1186">
        <f>BO50</f>
        <v>0</v>
      </c>
      <c r="CD50" s="1187">
        <v>0</v>
      </c>
      <c r="CE50" s="1261">
        <f t="shared" si="27"/>
        <v>0</v>
      </c>
      <c r="CF50" s="1170"/>
      <c r="CG50" s="1170"/>
      <c r="CH50" s="1170"/>
      <c r="CI50" s="1173">
        <f t="shared" ca="1" si="90"/>
        <v>0</v>
      </c>
      <c r="CJ50" s="1186">
        <f t="shared" si="91"/>
        <v>0</v>
      </c>
      <c r="CK50" s="1187">
        <f t="shared" ca="1" si="92"/>
        <v>0</v>
      </c>
      <c r="CL50" s="1261">
        <f t="shared" ca="1" si="93"/>
        <v>0</v>
      </c>
      <c r="CM50" s="1170"/>
      <c r="CN50" s="1170"/>
      <c r="CO50" s="1170"/>
      <c r="CP50" s="1173">
        <f ca="1">SUMIF('Struktur Vorjahr'!$A:$A,'Planzahlen Rentabilität'!$A50,'Struktur Vorjahr'!M:M)</f>
        <v>0</v>
      </c>
      <c r="CQ50" s="1186">
        <f>CC50</f>
        <v>0</v>
      </c>
      <c r="CR50" s="1187">
        <f ca="1">SUMIF('Struktur Aktuell'!$A:$A,'Planzahlen Rentabilität'!$A50,'Struktur Aktuell'!M:M)</f>
        <v>0</v>
      </c>
      <c r="CS50" s="1261">
        <f t="shared" ca="1" si="94"/>
        <v>0</v>
      </c>
      <c r="CT50" s="1170"/>
      <c r="CU50" s="1170"/>
      <c r="CV50" s="1170"/>
      <c r="CW50" s="1173">
        <f t="shared" ca="1" si="95"/>
        <v>0</v>
      </c>
      <c r="CX50" s="1186">
        <f t="shared" si="96"/>
        <v>0</v>
      </c>
      <c r="CY50" s="1187">
        <f t="shared" ca="1" si="97"/>
        <v>0</v>
      </c>
      <c r="CZ50" s="1261">
        <f t="shared" ca="1" si="36"/>
        <v>0</v>
      </c>
      <c r="DA50" s="1170"/>
      <c r="DB50" s="1170"/>
      <c r="DC50" s="1170"/>
      <c r="DD50" s="1173">
        <f ca="1">SUMIF('Struktur Vorjahr'!$A:$A,'Planzahlen Rentabilität'!$A50,'Struktur Vorjahr'!N:N)</f>
        <v>0</v>
      </c>
      <c r="DE50" s="1186">
        <f>CQ50</f>
        <v>0</v>
      </c>
      <c r="DF50" s="1187">
        <f ca="1">SUMIF('Struktur Aktuell'!$A:$A,'Planzahlen Rentabilität'!$A50,'Struktur Aktuell'!N:N)</f>
        <v>0</v>
      </c>
      <c r="DG50" s="1261">
        <f t="shared" ca="1" si="37"/>
        <v>0</v>
      </c>
      <c r="DH50" s="1170"/>
      <c r="DI50" s="1170"/>
      <c r="DJ50" s="1170"/>
      <c r="DK50" s="1173">
        <f t="shared" ca="1" si="98"/>
        <v>0</v>
      </c>
      <c r="DL50" s="1186">
        <f t="shared" si="99"/>
        <v>0</v>
      </c>
      <c r="DM50" s="1187">
        <f t="shared" ca="1" si="100"/>
        <v>0</v>
      </c>
      <c r="DN50" s="1261">
        <f t="shared" ca="1" si="101"/>
        <v>0</v>
      </c>
      <c r="DO50" s="1170"/>
      <c r="DP50" s="1170"/>
      <c r="DQ50" s="1170"/>
      <c r="DR50" s="1173">
        <f ca="1">SUMIF('Struktur Vorjahr'!$A:$A,'Planzahlen Rentabilität'!$A50,'Struktur Vorjahr'!O:O)</f>
        <v>0</v>
      </c>
      <c r="DS50" s="1186">
        <f>DE50</f>
        <v>0</v>
      </c>
      <c r="DT50" s="1187">
        <f ca="1">SUMIF('Struktur Aktuell'!$A:$A,'Planzahlen Rentabilität'!$A50,'Struktur Aktuell'!O:O)</f>
        <v>0</v>
      </c>
      <c r="DU50" s="1261">
        <f t="shared" ca="1" si="102"/>
        <v>0</v>
      </c>
      <c r="DV50" s="1170"/>
      <c r="DW50" s="1170"/>
      <c r="DX50" s="1170"/>
      <c r="DY50" s="1173">
        <f t="shared" ca="1" si="103"/>
        <v>0</v>
      </c>
      <c r="DZ50" s="1186">
        <f t="shared" si="104"/>
        <v>0</v>
      </c>
      <c r="EA50" s="1187">
        <f t="shared" ca="1" si="105"/>
        <v>0</v>
      </c>
      <c r="EB50" s="1261">
        <f t="shared" ca="1" si="106"/>
        <v>0</v>
      </c>
      <c r="EC50" s="1170"/>
      <c r="ED50" s="1170"/>
      <c r="EE50" s="1170"/>
      <c r="EF50" s="1173">
        <f ca="1">SUMIF('Struktur Vorjahr'!$A:$A,'Planzahlen Rentabilität'!$A50,'Struktur Vorjahr'!P:P)</f>
        <v>0</v>
      </c>
      <c r="EG50" s="1186">
        <f>DS50</f>
        <v>0</v>
      </c>
      <c r="EH50" s="1187">
        <f ca="1">SUMIF('Struktur Aktuell'!$A:$A,'Planzahlen Rentabilität'!$A50,'Struktur Aktuell'!P:P)</f>
        <v>0</v>
      </c>
      <c r="EI50" s="1261">
        <f t="shared" ca="1" si="107"/>
        <v>0</v>
      </c>
      <c r="EJ50" s="1170"/>
      <c r="EK50" s="1170"/>
      <c r="EL50" s="1170"/>
      <c r="EM50" s="1173">
        <f t="shared" ca="1" si="108"/>
        <v>0</v>
      </c>
      <c r="EN50" s="1186">
        <f t="shared" si="109"/>
        <v>0</v>
      </c>
      <c r="EO50" s="1187">
        <f t="shared" ca="1" si="110"/>
        <v>0</v>
      </c>
      <c r="EP50" s="1261">
        <f t="shared" ca="1" si="111"/>
        <v>0</v>
      </c>
      <c r="EQ50" s="1170"/>
      <c r="ER50" s="1170"/>
      <c r="ES50" s="1170"/>
      <c r="ET50" s="1173">
        <f ca="1">SUMIF('Struktur Vorjahr'!$A:$A,'Planzahlen Rentabilität'!$A50,'Struktur Vorjahr'!Q:Q)</f>
        <v>0</v>
      </c>
      <c r="EU50" s="1186">
        <f>EG50</f>
        <v>0</v>
      </c>
      <c r="EV50" s="1187">
        <f ca="1">SUMIF('Struktur Aktuell'!$A:$A,'Planzahlen Rentabilität'!$A50,'Struktur Aktuell'!Q:Q)</f>
        <v>0</v>
      </c>
      <c r="EW50" s="1261">
        <f t="shared" ca="1" si="112"/>
        <v>0</v>
      </c>
      <c r="EX50" s="1170"/>
      <c r="EY50" s="1170"/>
      <c r="EZ50" s="1170"/>
      <c r="FA50" s="1173">
        <f t="shared" ca="1" si="53"/>
        <v>0</v>
      </c>
      <c r="FB50" s="1186">
        <f t="shared" si="54"/>
        <v>0</v>
      </c>
      <c r="FC50" s="1187">
        <f t="shared" ca="1" si="55"/>
        <v>0</v>
      </c>
      <c r="FD50" s="1261">
        <f t="shared" ca="1" si="56"/>
        <v>0</v>
      </c>
      <c r="FE50" s="1170"/>
      <c r="FF50" s="1170"/>
      <c r="FG50" s="1170"/>
      <c r="FH50" s="1173">
        <f ca="1">SUMIF('Struktur Vorjahr'!$A:$A,'Planzahlen Rentabilität'!$A50,'Struktur Vorjahr'!R:R)</f>
        <v>0</v>
      </c>
      <c r="FI50" s="1186">
        <f>EU50</f>
        <v>0</v>
      </c>
      <c r="FJ50" s="1187">
        <f ca="1">SUMIF('Struktur Aktuell'!$A:$A,'Planzahlen Rentabilität'!$A50,'Struktur Aktuell'!R:R)</f>
        <v>0</v>
      </c>
      <c r="FK50" s="1261">
        <f t="shared" ca="1" si="57"/>
        <v>0</v>
      </c>
      <c r="FL50" s="1170"/>
      <c r="FM50" s="1170"/>
      <c r="FN50" s="1170"/>
      <c r="FO50" s="1173">
        <f t="shared" ca="1" si="58"/>
        <v>0</v>
      </c>
      <c r="FP50" s="1186">
        <f t="shared" si="59"/>
        <v>0</v>
      </c>
      <c r="FQ50" s="1187">
        <f t="shared" ca="1" si="60"/>
        <v>0</v>
      </c>
      <c r="FR50" s="1261">
        <f t="shared" ca="1" si="61"/>
        <v>0</v>
      </c>
      <c r="FS50" s="1170"/>
      <c r="FT50" s="1170"/>
      <c r="FU50" s="1170"/>
      <c r="FV50" s="1171"/>
      <c r="FW50" s="1261">
        <v>0</v>
      </c>
    </row>
    <row r="51" spans="1:179" s="883" customFormat="1" x14ac:dyDescent="0.2">
      <c r="A51" s="1208">
        <v>31</v>
      </c>
      <c r="B51" s="1208" t="str">
        <f>'Struktur Aktuell'!B328</f>
        <v>Übrige sonstige a.o. Aufwendungen</v>
      </c>
      <c r="C51" s="1178">
        <f t="shared" ca="1" si="114"/>
        <v>0</v>
      </c>
      <c r="D51" s="1203">
        <f t="shared" si="114"/>
        <v>0</v>
      </c>
      <c r="E51" s="1177">
        <f t="shared" ca="1" si="114"/>
        <v>0</v>
      </c>
      <c r="F51" s="1262">
        <f t="shared" ca="1" si="1"/>
        <v>0</v>
      </c>
      <c r="G51" s="1170"/>
      <c r="H51" s="1170"/>
      <c r="I51" s="1170"/>
      <c r="J51" s="1178">
        <f ca="1">SUMIF('Struktur Vorjahr'!$A:$A,'Planzahlen Rentabilität'!$A51,'Struktur Vorjahr'!G:G)</f>
        <v>0</v>
      </c>
      <c r="K51" s="1203"/>
      <c r="L51" s="1177">
        <f ca="1">SUMIF('Struktur Aktuell'!$A:$A,'Planzahlen Rentabilität'!$A51,'Struktur Aktuell'!G:G)</f>
        <v>0</v>
      </c>
      <c r="M51" s="1262">
        <f t="shared" ca="1" si="2"/>
        <v>0</v>
      </c>
      <c r="N51" s="1170"/>
      <c r="O51" s="1170"/>
      <c r="P51" s="1170"/>
      <c r="Q51" s="1178">
        <f t="shared" ca="1" si="75"/>
        <v>0</v>
      </c>
      <c r="R51" s="1203">
        <f t="shared" si="76"/>
        <v>0</v>
      </c>
      <c r="S51" s="1177">
        <f t="shared" ca="1" si="77"/>
        <v>0</v>
      </c>
      <c r="T51" s="1262">
        <f t="shared" ca="1" si="6"/>
        <v>0</v>
      </c>
      <c r="U51" s="1170"/>
      <c r="V51" s="1170"/>
      <c r="W51" s="1170"/>
      <c r="X51" s="1178">
        <f ca="1">SUMIF('Struktur Vorjahr'!$A:$A,'Planzahlen Rentabilität'!$A51,'Struktur Vorjahr'!H:H)</f>
        <v>0</v>
      </c>
      <c r="Y51" s="1203">
        <f>K51</f>
        <v>0</v>
      </c>
      <c r="Z51" s="1177">
        <f ca="1">SUMIF('Struktur Aktuell'!$A:$A,'Planzahlen Rentabilität'!$A51,'Struktur Aktuell'!H:H)</f>
        <v>0</v>
      </c>
      <c r="AA51" s="1262">
        <f t="shared" ca="1" si="7"/>
        <v>0</v>
      </c>
      <c r="AB51" s="1170"/>
      <c r="AC51" s="1170"/>
      <c r="AD51" s="1170"/>
      <c r="AE51" s="1178">
        <f t="shared" ca="1" si="78"/>
        <v>0</v>
      </c>
      <c r="AF51" s="1203">
        <f t="shared" si="79"/>
        <v>0</v>
      </c>
      <c r="AG51" s="1177">
        <f t="shared" ca="1" si="80"/>
        <v>0</v>
      </c>
      <c r="AH51" s="1262">
        <f t="shared" ca="1" si="11"/>
        <v>0</v>
      </c>
      <c r="AI51" s="1170"/>
      <c r="AJ51" s="1170"/>
      <c r="AK51" s="1170"/>
      <c r="AL51" s="1178">
        <f ca="1">SUMIF('Struktur Vorjahr'!$A:$A,'Planzahlen Rentabilität'!$A51,'Struktur Vorjahr'!I:I)</f>
        <v>0</v>
      </c>
      <c r="AM51" s="1203">
        <f>Y51</f>
        <v>0</v>
      </c>
      <c r="AN51" s="1177">
        <f ca="1">SUMIF('Struktur Aktuell'!$A:$A,'Planzahlen Rentabilität'!$A51,'Struktur Aktuell'!I:I)</f>
        <v>0</v>
      </c>
      <c r="AO51" s="1262">
        <f t="shared" ca="1" si="12"/>
        <v>0</v>
      </c>
      <c r="AP51" s="1170"/>
      <c r="AQ51" s="1170"/>
      <c r="AR51" s="1170"/>
      <c r="AS51" s="1178">
        <f t="shared" ca="1" si="81"/>
        <v>0</v>
      </c>
      <c r="AT51" s="1203">
        <f t="shared" si="82"/>
        <v>0</v>
      </c>
      <c r="AU51" s="1177">
        <f t="shared" ca="1" si="83"/>
        <v>0</v>
      </c>
      <c r="AV51" s="1262">
        <f t="shared" ca="1" si="16"/>
        <v>0</v>
      </c>
      <c r="AW51" s="1170"/>
      <c r="AX51" s="1170"/>
      <c r="AY51" s="1170"/>
      <c r="AZ51" s="1178">
        <f ca="1">SUMIF('Struktur Vorjahr'!$A:$A,'Planzahlen Rentabilität'!$A51,'Struktur Vorjahr'!J:J)</f>
        <v>0</v>
      </c>
      <c r="BA51" s="1203">
        <f>AM51</f>
        <v>0</v>
      </c>
      <c r="BB51" s="1177">
        <f ca="1">SUMIF('Struktur Aktuell'!$A:$A,'Planzahlen Rentabilität'!$A51,'Struktur Aktuell'!J:J)</f>
        <v>0</v>
      </c>
      <c r="BC51" s="1262">
        <f t="shared" ca="1" si="17"/>
        <v>0</v>
      </c>
      <c r="BD51" s="1170"/>
      <c r="BE51" s="1170"/>
      <c r="BF51" s="1170"/>
      <c r="BG51" s="1178">
        <f t="shared" ca="1" si="84"/>
        <v>0</v>
      </c>
      <c r="BH51" s="1203">
        <f t="shared" si="85"/>
        <v>0</v>
      </c>
      <c r="BI51" s="1177">
        <f t="shared" ca="1" si="86"/>
        <v>0</v>
      </c>
      <c r="BJ51" s="1262">
        <f t="shared" ca="1" si="21"/>
        <v>0</v>
      </c>
      <c r="BK51" s="1170"/>
      <c r="BL51" s="1170"/>
      <c r="BM51" s="1170"/>
      <c r="BN51" s="1178">
        <f ca="1">SUMIF('Struktur Vorjahr'!$A:$A,'Planzahlen Rentabilität'!$A51,'Struktur Vorjahr'!K:K)</f>
        <v>0</v>
      </c>
      <c r="BO51" s="1203">
        <f>BA51</f>
        <v>0</v>
      </c>
      <c r="BP51" s="1177">
        <f ca="1">SUMIF('Struktur Aktuell'!$A:$A,'Planzahlen Rentabilität'!$A51,'Struktur Aktuell'!K:K)</f>
        <v>0</v>
      </c>
      <c r="BQ51" s="1262">
        <f t="shared" ca="1" si="22"/>
        <v>0</v>
      </c>
      <c r="BR51" s="1170"/>
      <c r="BS51" s="1170"/>
      <c r="BT51" s="1170"/>
      <c r="BU51" s="1178">
        <f t="shared" ca="1" si="87"/>
        <v>0</v>
      </c>
      <c r="BV51" s="1203">
        <f t="shared" si="88"/>
        <v>0</v>
      </c>
      <c r="BW51" s="1177">
        <f t="shared" ca="1" si="89"/>
        <v>0</v>
      </c>
      <c r="BX51" s="1262">
        <f t="shared" ca="1" si="26"/>
        <v>0</v>
      </c>
      <c r="BY51" s="1170"/>
      <c r="BZ51" s="1170"/>
      <c r="CA51" s="1170"/>
      <c r="CB51" s="1178">
        <v>0</v>
      </c>
      <c r="CC51" s="1203">
        <f>BO51</f>
        <v>0</v>
      </c>
      <c r="CD51" s="1177">
        <v>0</v>
      </c>
      <c r="CE51" s="1262">
        <f t="shared" si="27"/>
        <v>0</v>
      </c>
      <c r="CF51" s="1170"/>
      <c r="CG51" s="1170"/>
      <c r="CH51" s="1170"/>
      <c r="CI51" s="1178">
        <f t="shared" ca="1" si="90"/>
        <v>0</v>
      </c>
      <c r="CJ51" s="1203">
        <f t="shared" si="91"/>
        <v>0</v>
      </c>
      <c r="CK51" s="1177">
        <f t="shared" ca="1" si="92"/>
        <v>0</v>
      </c>
      <c r="CL51" s="1262">
        <f t="shared" ca="1" si="93"/>
        <v>0</v>
      </c>
      <c r="CM51" s="1170"/>
      <c r="CN51" s="1170"/>
      <c r="CO51" s="1170"/>
      <c r="CP51" s="1178">
        <f ca="1">SUMIF('Struktur Vorjahr'!$A:$A,'Planzahlen Rentabilität'!$A51,'Struktur Vorjahr'!M:M)</f>
        <v>0</v>
      </c>
      <c r="CQ51" s="1203">
        <f>CC51</f>
        <v>0</v>
      </c>
      <c r="CR51" s="1177">
        <f ca="1">SUMIF('Struktur Aktuell'!$A:$A,'Planzahlen Rentabilität'!$A51,'Struktur Aktuell'!M:M)</f>
        <v>0</v>
      </c>
      <c r="CS51" s="1262">
        <f t="shared" ca="1" si="94"/>
        <v>0</v>
      </c>
      <c r="CT51" s="1170"/>
      <c r="CU51" s="1170"/>
      <c r="CV51" s="1170"/>
      <c r="CW51" s="1178">
        <f t="shared" ca="1" si="95"/>
        <v>0</v>
      </c>
      <c r="CX51" s="1203">
        <f t="shared" si="96"/>
        <v>0</v>
      </c>
      <c r="CY51" s="1177">
        <f t="shared" ca="1" si="97"/>
        <v>0</v>
      </c>
      <c r="CZ51" s="1262">
        <f t="shared" ca="1" si="36"/>
        <v>0</v>
      </c>
      <c r="DA51" s="1170"/>
      <c r="DB51" s="1170"/>
      <c r="DC51" s="1170"/>
      <c r="DD51" s="1178">
        <f ca="1">SUMIF('Struktur Vorjahr'!$A:$A,'Planzahlen Rentabilität'!$A51,'Struktur Vorjahr'!N:N)</f>
        <v>0</v>
      </c>
      <c r="DE51" s="1203">
        <f>CQ51</f>
        <v>0</v>
      </c>
      <c r="DF51" s="1177">
        <f ca="1">SUMIF('Struktur Aktuell'!$A:$A,'Planzahlen Rentabilität'!$A51,'Struktur Aktuell'!N:N)</f>
        <v>0</v>
      </c>
      <c r="DG51" s="1262">
        <f t="shared" ca="1" si="37"/>
        <v>0</v>
      </c>
      <c r="DH51" s="1170"/>
      <c r="DI51" s="1170"/>
      <c r="DJ51" s="1170"/>
      <c r="DK51" s="1178">
        <f t="shared" ca="1" si="98"/>
        <v>0</v>
      </c>
      <c r="DL51" s="1203">
        <f t="shared" si="99"/>
        <v>0</v>
      </c>
      <c r="DM51" s="1177">
        <f t="shared" ca="1" si="100"/>
        <v>0</v>
      </c>
      <c r="DN51" s="1262">
        <f t="shared" ca="1" si="101"/>
        <v>0</v>
      </c>
      <c r="DO51" s="1170"/>
      <c r="DP51" s="1170"/>
      <c r="DQ51" s="1170"/>
      <c r="DR51" s="1178">
        <f ca="1">SUMIF('Struktur Vorjahr'!$A:$A,'Planzahlen Rentabilität'!$A51,'Struktur Vorjahr'!O:O)</f>
        <v>0</v>
      </c>
      <c r="DS51" s="1203">
        <f>DE51</f>
        <v>0</v>
      </c>
      <c r="DT51" s="1177">
        <f ca="1">SUMIF('Struktur Aktuell'!$A:$A,'Planzahlen Rentabilität'!$A51,'Struktur Aktuell'!O:O)</f>
        <v>0</v>
      </c>
      <c r="DU51" s="1262">
        <f t="shared" ca="1" si="102"/>
        <v>0</v>
      </c>
      <c r="DV51" s="1170"/>
      <c r="DW51" s="1170"/>
      <c r="DX51" s="1170"/>
      <c r="DY51" s="1178">
        <f t="shared" ca="1" si="103"/>
        <v>0</v>
      </c>
      <c r="DZ51" s="1203">
        <f t="shared" si="104"/>
        <v>0</v>
      </c>
      <c r="EA51" s="1177">
        <f t="shared" ca="1" si="105"/>
        <v>0</v>
      </c>
      <c r="EB51" s="1262">
        <f t="shared" ca="1" si="106"/>
        <v>0</v>
      </c>
      <c r="EC51" s="1170"/>
      <c r="ED51" s="1170"/>
      <c r="EE51" s="1170"/>
      <c r="EF51" s="1178">
        <f ca="1">SUMIF('Struktur Vorjahr'!$A:$A,'Planzahlen Rentabilität'!$A51,'Struktur Vorjahr'!P:P)</f>
        <v>0</v>
      </c>
      <c r="EG51" s="1203">
        <f>DS51</f>
        <v>0</v>
      </c>
      <c r="EH51" s="1177">
        <f ca="1">SUMIF('Struktur Aktuell'!$A:$A,'Planzahlen Rentabilität'!$A51,'Struktur Aktuell'!P:P)</f>
        <v>0</v>
      </c>
      <c r="EI51" s="1262">
        <f t="shared" ca="1" si="107"/>
        <v>0</v>
      </c>
      <c r="EJ51" s="1170"/>
      <c r="EK51" s="1170"/>
      <c r="EL51" s="1170"/>
      <c r="EM51" s="1178">
        <f t="shared" ca="1" si="108"/>
        <v>0</v>
      </c>
      <c r="EN51" s="1203">
        <f t="shared" si="109"/>
        <v>0</v>
      </c>
      <c r="EO51" s="1177">
        <f t="shared" ca="1" si="110"/>
        <v>0</v>
      </c>
      <c r="EP51" s="1262">
        <f t="shared" ca="1" si="111"/>
        <v>0</v>
      </c>
      <c r="EQ51" s="1170"/>
      <c r="ER51" s="1170"/>
      <c r="ES51" s="1170"/>
      <c r="ET51" s="1178">
        <f ca="1">SUMIF('Struktur Vorjahr'!$A:$A,'Planzahlen Rentabilität'!$A51,'Struktur Vorjahr'!Q:Q)</f>
        <v>0</v>
      </c>
      <c r="EU51" s="1203">
        <f>EG51</f>
        <v>0</v>
      </c>
      <c r="EV51" s="1177">
        <f ca="1">SUMIF('Struktur Aktuell'!$A:$A,'Planzahlen Rentabilität'!$A51,'Struktur Aktuell'!Q:Q)</f>
        <v>0</v>
      </c>
      <c r="EW51" s="1262">
        <f t="shared" ca="1" si="112"/>
        <v>0</v>
      </c>
      <c r="EX51" s="1170"/>
      <c r="EY51" s="1170"/>
      <c r="EZ51" s="1170"/>
      <c r="FA51" s="1178">
        <f t="shared" ca="1" si="53"/>
        <v>0</v>
      </c>
      <c r="FB51" s="1203">
        <f t="shared" si="54"/>
        <v>0</v>
      </c>
      <c r="FC51" s="1177">
        <f t="shared" ca="1" si="55"/>
        <v>0</v>
      </c>
      <c r="FD51" s="1262">
        <f t="shared" ca="1" si="56"/>
        <v>0</v>
      </c>
      <c r="FE51" s="1170"/>
      <c r="FF51" s="1170"/>
      <c r="FG51" s="1170"/>
      <c r="FH51" s="1178">
        <f ca="1">SUMIF('Struktur Vorjahr'!$A:$A,'Planzahlen Rentabilität'!$A51,'Struktur Vorjahr'!R:R)</f>
        <v>0</v>
      </c>
      <c r="FI51" s="1203">
        <f>EU51</f>
        <v>0</v>
      </c>
      <c r="FJ51" s="1177">
        <f ca="1">SUMIF('Struktur Aktuell'!$A:$A,'Planzahlen Rentabilität'!$A51,'Struktur Aktuell'!R:R)</f>
        <v>0</v>
      </c>
      <c r="FK51" s="1262">
        <f t="shared" ca="1" si="57"/>
        <v>0</v>
      </c>
      <c r="FL51" s="1170"/>
      <c r="FM51" s="1170"/>
      <c r="FN51" s="1170"/>
      <c r="FO51" s="1178">
        <f t="shared" ca="1" si="58"/>
        <v>0</v>
      </c>
      <c r="FP51" s="1203">
        <f t="shared" si="59"/>
        <v>0</v>
      </c>
      <c r="FQ51" s="1177">
        <f t="shared" ca="1" si="60"/>
        <v>0</v>
      </c>
      <c r="FR51" s="1262">
        <f t="shared" ca="1" si="61"/>
        <v>0</v>
      </c>
      <c r="FS51" s="1170"/>
      <c r="FT51" s="1170"/>
      <c r="FU51" s="1170"/>
      <c r="FV51" s="1171"/>
      <c r="FW51" s="1262">
        <v>0</v>
      </c>
    </row>
    <row r="52" spans="1:179" s="883" customFormat="1" x14ac:dyDescent="0.2">
      <c r="A52" s="1160">
        <v>32</v>
      </c>
      <c r="B52" s="1160" t="str">
        <f>'Struktur Aktuell'!B333</f>
        <v>Sonstige a.o. Erträge (EWB / PWB)</v>
      </c>
      <c r="C52" s="1173">
        <f t="shared" ca="1" si="114"/>
        <v>1255.8399999999999</v>
      </c>
      <c r="D52" s="1174">
        <f t="shared" si="114"/>
        <v>0</v>
      </c>
      <c r="E52" s="1175">
        <f t="shared" ca="1" si="114"/>
        <v>1255.8399999999999</v>
      </c>
      <c r="F52" s="1169">
        <f t="shared" ca="1" si="1"/>
        <v>1255.8399999999999</v>
      </c>
      <c r="G52" s="1170"/>
      <c r="H52" s="1170"/>
      <c r="I52" s="1170"/>
      <c r="J52" s="1173">
        <f ca="1">SUMIF('Struktur Vorjahr'!$A:$A,'Planzahlen Rentabilität'!$A52,'Struktur Vorjahr'!G:G)</f>
        <v>234.92</v>
      </c>
      <c r="K52" s="1174"/>
      <c r="L52" s="1175">
        <f ca="1">SUMIF('Struktur Aktuell'!$A:$A,'Planzahlen Rentabilität'!$A52,'Struktur Aktuell'!G:G)</f>
        <v>234.92</v>
      </c>
      <c r="M52" s="1169">
        <f t="shared" ca="1" si="2"/>
        <v>234.92</v>
      </c>
      <c r="N52" s="1170"/>
      <c r="O52" s="1170"/>
      <c r="P52" s="1170"/>
      <c r="Q52" s="1173">
        <f t="shared" ca="1" si="75"/>
        <v>234.92</v>
      </c>
      <c r="R52" s="1174">
        <f t="shared" si="76"/>
        <v>0</v>
      </c>
      <c r="S52" s="1175">
        <f t="shared" ca="1" si="77"/>
        <v>234.92</v>
      </c>
      <c r="T52" s="1169">
        <f t="shared" ca="1" si="6"/>
        <v>234.92</v>
      </c>
      <c r="U52" s="1170"/>
      <c r="V52" s="1170"/>
      <c r="W52" s="1170"/>
      <c r="X52" s="1173">
        <f ca="1">SUMIF('Struktur Vorjahr'!$A:$A,'Planzahlen Rentabilität'!$A52,'Struktur Vorjahr'!H:H)</f>
        <v>0</v>
      </c>
      <c r="Y52" s="1174">
        <f>K52</f>
        <v>0</v>
      </c>
      <c r="Z52" s="1175">
        <f ca="1">SUMIF('Struktur Aktuell'!$A:$A,'Planzahlen Rentabilität'!$A52,'Struktur Aktuell'!H:H)</f>
        <v>0</v>
      </c>
      <c r="AA52" s="1169">
        <f t="shared" ca="1" si="7"/>
        <v>0</v>
      </c>
      <c r="AB52" s="1170"/>
      <c r="AC52" s="1170"/>
      <c r="AD52" s="1170"/>
      <c r="AE52" s="1173">
        <f t="shared" ca="1" si="78"/>
        <v>234.92</v>
      </c>
      <c r="AF52" s="1174">
        <f t="shared" si="79"/>
        <v>0</v>
      </c>
      <c r="AG52" s="1175">
        <f t="shared" ca="1" si="80"/>
        <v>234.92</v>
      </c>
      <c r="AH52" s="1169">
        <f t="shared" ca="1" si="11"/>
        <v>234.92</v>
      </c>
      <c r="AI52" s="1170"/>
      <c r="AJ52" s="1170"/>
      <c r="AK52" s="1170"/>
      <c r="AL52" s="1173">
        <f ca="1">SUMIF('Struktur Vorjahr'!$A:$A,'Planzahlen Rentabilität'!$A52,'Struktur Vorjahr'!I:I)</f>
        <v>0</v>
      </c>
      <c r="AM52" s="1174">
        <f>Y52</f>
        <v>0</v>
      </c>
      <c r="AN52" s="1175">
        <f ca="1">SUMIF('Struktur Aktuell'!$A:$A,'Planzahlen Rentabilität'!$A52,'Struktur Aktuell'!I:I)</f>
        <v>0</v>
      </c>
      <c r="AO52" s="1169">
        <f t="shared" ca="1" si="12"/>
        <v>0</v>
      </c>
      <c r="AP52" s="1170"/>
      <c r="AQ52" s="1170"/>
      <c r="AR52" s="1170"/>
      <c r="AS52" s="1173">
        <f t="shared" ca="1" si="81"/>
        <v>234.92</v>
      </c>
      <c r="AT52" s="1174">
        <f t="shared" si="82"/>
        <v>0</v>
      </c>
      <c r="AU52" s="1175">
        <f t="shared" ca="1" si="83"/>
        <v>234.92</v>
      </c>
      <c r="AV52" s="1169">
        <f t="shared" ca="1" si="16"/>
        <v>234.92</v>
      </c>
      <c r="AW52" s="1170"/>
      <c r="AX52" s="1170"/>
      <c r="AY52" s="1170"/>
      <c r="AZ52" s="1173">
        <f ca="1">SUMIF('Struktur Vorjahr'!$A:$A,'Planzahlen Rentabilität'!$A52,'Struktur Vorjahr'!J:J)</f>
        <v>0</v>
      </c>
      <c r="BA52" s="1174">
        <f>AM52</f>
        <v>0</v>
      </c>
      <c r="BB52" s="1175">
        <f ca="1">SUMIF('Struktur Aktuell'!$A:$A,'Planzahlen Rentabilität'!$A52,'Struktur Aktuell'!J:J)</f>
        <v>0</v>
      </c>
      <c r="BC52" s="1169">
        <f t="shared" ca="1" si="17"/>
        <v>0</v>
      </c>
      <c r="BD52" s="1170"/>
      <c r="BE52" s="1170"/>
      <c r="BF52" s="1170"/>
      <c r="BG52" s="1173">
        <f t="shared" ca="1" si="84"/>
        <v>234.92</v>
      </c>
      <c r="BH52" s="1174">
        <f t="shared" si="85"/>
        <v>0</v>
      </c>
      <c r="BI52" s="1175">
        <f t="shared" ca="1" si="86"/>
        <v>234.92</v>
      </c>
      <c r="BJ52" s="1169">
        <f t="shared" ca="1" si="21"/>
        <v>234.92</v>
      </c>
      <c r="BK52" s="1170"/>
      <c r="BL52" s="1170"/>
      <c r="BM52" s="1170"/>
      <c r="BN52" s="1173">
        <f ca="1">SUMIF('Struktur Vorjahr'!$A:$A,'Planzahlen Rentabilität'!$A52,'Struktur Vorjahr'!K:K)</f>
        <v>0</v>
      </c>
      <c r="BO52" s="1174">
        <f>BA52</f>
        <v>0</v>
      </c>
      <c r="BP52" s="1175">
        <f ca="1">SUMIF('Struktur Aktuell'!$A:$A,'Planzahlen Rentabilität'!$A52,'Struktur Aktuell'!K:K)</f>
        <v>0</v>
      </c>
      <c r="BQ52" s="1169">
        <f t="shared" ca="1" si="22"/>
        <v>0</v>
      </c>
      <c r="BR52" s="1170"/>
      <c r="BS52" s="1170"/>
      <c r="BT52" s="1170"/>
      <c r="BU52" s="1173">
        <f t="shared" ca="1" si="87"/>
        <v>234.92</v>
      </c>
      <c r="BV52" s="1174">
        <f t="shared" si="88"/>
        <v>0</v>
      </c>
      <c r="BW52" s="1175">
        <f t="shared" ca="1" si="89"/>
        <v>234.92</v>
      </c>
      <c r="BX52" s="1169">
        <f t="shared" ca="1" si="26"/>
        <v>234.92</v>
      </c>
      <c r="BY52" s="1170"/>
      <c r="BZ52" s="1170"/>
      <c r="CA52" s="1170"/>
      <c r="CB52" s="1173">
        <f ca="1">SUMIF('Struktur Vorjahr'!$A:$A,'Planzahlen Rentabilität'!$A52,'Struktur Vorjahr'!L:L)</f>
        <v>234.92</v>
      </c>
      <c r="CC52" s="1174">
        <f>BO52</f>
        <v>0</v>
      </c>
      <c r="CD52" s="1175">
        <f ca="1">SUMIF('Struktur Aktuell'!$A:$A,'Planzahlen Rentabilität'!$A52,'Struktur Aktuell'!L:L)</f>
        <v>234.92</v>
      </c>
      <c r="CE52" s="1169">
        <f t="shared" ca="1" si="27"/>
        <v>234.92</v>
      </c>
      <c r="CF52" s="1170"/>
      <c r="CG52" s="1170"/>
      <c r="CH52" s="1170"/>
      <c r="CI52" s="1173">
        <f t="shared" ca="1" si="90"/>
        <v>469.84</v>
      </c>
      <c r="CJ52" s="1174">
        <f t="shared" si="91"/>
        <v>0</v>
      </c>
      <c r="CK52" s="1175">
        <f t="shared" ca="1" si="92"/>
        <v>469.84</v>
      </c>
      <c r="CL52" s="1169">
        <f t="shared" ca="1" si="93"/>
        <v>469.84</v>
      </c>
      <c r="CM52" s="1170"/>
      <c r="CN52" s="1170"/>
      <c r="CO52" s="1170"/>
      <c r="CP52" s="1173">
        <f ca="1">SUMIF('Struktur Vorjahr'!$A:$A,'Planzahlen Rentabilität'!$A52,'Struktur Vorjahr'!M:M)</f>
        <v>518.17000000000007</v>
      </c>
      <c r="CQ52" s="1174">
        <f>CC52</f>
        <v>0</v>
      </c>
      <c r="CR52" s="1175">
        <f ca="1">SUMIF('Struktur Aktuell'!$A:$A,'Planzahlen Rentabilität'!$A52,'Struktur Aktuell'!M:M)</f>
        <v>518.17000000000007</v>
      </c>
      <c r="CS52" s="1169">
        <f t="shared" ca="1" si="94"/>
        <v>518.17000000000007</v>
      </c>
      <c r="CT52" s="1170"/>
      <c r="CU52" s="1170"/>
      <c r="CV52" s="1170"/>
      <c r="CW52" s="1173">
        <f t="shared" ca="1" si="95"/>
        <v>988.01</v>
      </c>
      <c r="CX52" s="1174">
        <f t="shared" si="96"/>
        <v>0</v>
      </c>
      <c r="CY52" s="1175">
        <f t="shared" ca="1" si="97"/>
        <v>988.01</v>
      </c>
      <c r="CZ52" s="1169">
        <f t="shared" ca="1" si="36"/>
        <v>988.01</v>
      </c>
      <c r="DA52" s="1170"/>
      <c r="DB52" s="1170"/>
      <c r="DC52" s="1170"/>
      <c r="DD52" s="1173">
        <f ca="1">SUMIF('Struktur Vorjahr'!$A:$A,'Planzahlen Rentabilität'!$A52,'Struktur Vorjahr'!N:N)</f>
        <v>176.74</v>
      </c>
      <c r="DE52" s="1174">
        <f>CQ52</f>
        <v>0</v>
      </c>
      <c r="DF52" s="1175">
        <f ca="1">SUMIF('Struktur Aktuell'!$A:$A,'Planzahlen Rentabilität'!$A52,'Struktur Aktuell'!N:N)</f>
        <v>176.74</v>
      </c>
      <c r="DG52" s="1169">
        <f t="shared" ca="1" si="37"/>
        <v>176.74</v>
      </c>
      <c r="DH52" s="1170"/>
      <c r="DI52" s="1170"/>
      <c r="DJ52" s="1170"/>
      <c r="DK52" s="1173">
        <f t="shared" ca="1" si="98"/>
        <v>1164.75</v>
      </c>
      <c r="DL52" s="1174">
        <f t="shared" si="99"/>
        <v>0</v>
      </c>
      <c r="DM52" s="1175">
        <f t="shared" ca="1" si="100"/>
        <v>1164.75</v>
      </c>
      <c r="DN52" s="1169">
        <f t="shared" ca="1" si="101"/>
        <v>1164.75</v>
      </c>
      <c r="DO52" s="1170"/>
      <c r="DP52" s="1170"/>
      <c r="DQ52" s="1170"/>
      <c r="DR52" s="1173">
        <f ca="1">SUMIF('Struktur Vorjahr'!$A:$A,'Planzahlen Rentabilität'!$A52,'Struktur Vorjahr'!O:O)</f>
        <v>91.09</v>
      </c>
      <c r="DS52" s="1174">
        <f>DE52</f>
        <v>0</v>
      </c>
      <c r="DT52" s="1175">
        <f ca="1">SUMIF('Struktur Aktuell'!$A:$A,'Planzahlen Rentabilität'!$A52,'Struktur Aktuell'!O:O)</f>
        <v>91.09</v>
      </c>
      <c r="DU52" s="1169">
        <f t="shared" ca="1" si="102"/>
        <v>91.09</v>
      </c>
      <c r="DV52" s="1170"/>
      <c r="DW52" s="1170"/>
      <c r="DX52" s="1170"/>
      <c r="DY52" s="1173">
        <f t="shared" ca="1" si="103"/>
        <v>1255.8399999999999</v>
      </c>
      <c r="DZ52" s="1174">
        <f t="shared" si="104"/>
        <v>0</v>
      </c>
      <c r="EA52" s="1175">
        <f t="shared" ca="1" si="105"/>
        <v>1255.8399999999999</v>
      </c>
      <c r="EB52" s="1169">
        <f t="shared" ca="1" si="106"/>
        <v>1255.8399999999999</v>
      </c>
      <c r="EC52" s="1170"/>
      <c r="ED52" s="1170"/>
      <c r="EE52" s="1170"/>
      <c r="EF52" s="1173">
        <f ca="1">SUMIF('Struktur Vorjahr'!$A:$A,'Planzahlen Rentabilität'!$A52,'Struktur Vorjahr'!P:P)</f>
        <v>0</v>
      </c>
      <c r="EG52" s="1174">
        <f>DS52</f>
        <v>0</v>
      </c>
      <c r="EH52" s="1175">
        <f ca="1">SUMIF('Struktur Aktuell'!$A:$A,'Planzahlen Rentabilität'!$A52,'Struktur Aktuell'!P:P)</f>
        <v>0</v>
      </c>
      <c r="EI52" s="1169">
        <f t="shared" ca="1" si="107"/>
        <v>0</v>
      </c>
      <c r="EJ52" s="1170"/>
      <c r="EK52" s="1170"/>
      <c r="EL52" s="1170"/>
      <c r="EM52" s="1173">
        <f t="shared" ca="1" si="108"/>
        <v>1255.8399999999999</v>
      </c>
      <c r="EN52" s="1174">
        <f t="shared" si="109"/>
        <v>0</v>
      </c>
      <c r="EO52" s="1175">
        <f t="shared" ca="1" si="110"/>
        <v>1255.8399999999999</v>
      </c>
      <c r="EP52" s="1169">
        <f t="shared" ca="1" si="111"/>
        <v>1255.8399999999999</v>
      </c>
      <c r="EQ52" s="1170"/>
      <c r="ER52" s="1170"/>
      <c r="ES52" s="1170"/>
      <c r="ET52" s="1173">
        <f ca="1">SUMIF('Struktur Vorjahr'!$A:$A,'Planzahlen Rentabilität'!$A52,'Struktur Vorjahr'!Q:Q)</f>
        <v>0</v>
      </c>
      <c r="EU52" s="1174">
        <f>EG52</f>
        <v>0</v>
      </c>
      <c r="EV52" s="1175">
        <f ca="1">SUMIF('Struktur Aktuell'!$A:$A,'Planzahlen Rentabilität'!$A52,'Struktur Aktuell'!Q:Q)</f>
        <v>0</v>
      </c>
      <c r="EW52" s="1169">
        <f t="shared" ca="1" si="112"/>
        <v>0</v>
      </c>
      <c r="EX52" s="1170"/>
      <c r="EY52" s="1170"/>
      <c r="EZ52" s="1170"/>
      <c r="FA52" s="1173">
        <f t="shared" ca="1" si="53"/>
        <v>1255.8399999999999</v>
      </c>
      <c r="FB52" s="1174">
        <f t="shared" si="54"/>
        <v>0</v>
      </c>
      <c r="FC52" s="1175">
        <f t="shared" ca="1" si="55"/>
        <v>1255.8399999999999</v>
      </c>
      <c r="FD52" s="1169">
        <f t="shared" ca="1" si="56"/>
        <v>1255.8399999999999</v>
      </c>
      <c r="FE52" s="1170"/>
      <c r="FF52" s="1170"/>
      <c r="FG52" s="1170"/>
      <c r="FH52" s="1173">
        <f ca="1">SUMIF('Struktur Vorjahr'!$A:$A,'Planzahlen Rentabilität'!$A52,'Struktur Vorjahr'!R:R)</f>
        <v>0</v>
      </c>
      <c r="FI52" s="1174">
        <f>EU52</f>
        <v>0</v>
      </c>
      <c r="FJ52" s="1175">
        <f ca="1">SUMIF('Struktur Aktuell'!$A:$A,'Planzahlen Rentabilität'!$A52,'Struktur Aktuell'!R:R)</f>
        <v>0</v>
      </c>
      <c r="FK52" s="1169">
        <f t="shared" ca="1" si="57"/>
        <v>0</v>
      </c>
      <c r="FL52" s="1170"/>
      <c r="FM52" s="1170"/>
      <c r="FN52" s="1170"/>
      <c r="FO52" s="1173">
        <f t="shared" ca="1" si="58"/>
        <v>1255.8399999999999</v>
      </c>
      <c r="FP52" s="1174">
        <f t="shared" si="59"/>
        <v>0</v>
      </c>
      <c r="FQ52" s="1175">
        <f t="shared" ca="1" si="60"/>
        <v>1255.8399999999999</v>
      </c>
      <c r="FR52" s="1169">
        <f t="shared" ca="1" si="61"/>
        <v>1255.8399999999999</v>
      </c>
      <c r="FS52" s="1170"/>
      <c r="FT52" s="1170"/>
      <c r="FU52" s="1170"/>
      <c r="FV52" s="1171"/>
      <c r="FW52" s="1169">
        <v>0</v>
      </c>
    </row>
    <row r="53" spans="1:179" s="883" customFormat="1" x14ac:dyDescent="0.2">
      <c r="A53" s="1160">
        <v>33</v>
      </c>
      <c r="B53" s="1160" t="str">
        <f>'Struktur Aktuell'!B340</f>
        <v>Übrige sonstige a.o. Erträge (Erstattungen Aufwendungsausgleich)</v>
      </c>
      <c r="C53" s="1173">
        <f t="shared" ca="1" si="114"/>
        <v>0</v>
      </c>
      <c r="D53" s="1174">
        <f t="shared" si="114"/>
        <v>0</v>
      </c>
      <c r="E53" s="1175">
        <f t="shared" ca="1" si="114"/>
        <v>0</v>
      </c>
      <c r="F53" s="1169">
        <f t="shared" ca="1" si="1"/>
        <v>0</v>
      </c>
      <c r="G53" s="1170"/>
      <c r="H53" s="1170"/>
      <c r="I53" s="1170"/>
      <c r="J53" s="1173">
        <f ca="1">SUMIF('Struktur Vorjahr'!$A:$A,'Planzahlen Rentabilität'!$A53,'Struktur Vorjahr'!G:G)</f>
        <v>0</v>
      </c>
      <c r="K53" s="1174">
        <v>0</v>
      </c>
      <c r="L53" s="1175">
        <f ca="1">SUMIF('Struktur Aktuell'!$A:$A,'Planzahlen Rentabilität'!$A53,'Struktur Aktuell'!G:G)</f>
        <v>0</v>
      </c>
      <c r="M53" s="1169">
        <f t="shared" ca="1" si="2"/>
        <v>0</v>
      </c>
      <c r="N53" s="1170"/>
      <c r="O53" s="1170"/>
      <c r="P53" s="1170"/>
      <c r="Q53" s="1173">
        <f t="shared" ca="1" si="75"/>
        <v>0</v>
      </c>
      <c r="R53" s="1174">
        <f t="shared" si="76"/>
        <v>0</v>
      </c>
      <c r="S53" s="1175">
        <f t="shared" ca="1" si="77"/>
        <v>0</v>
      </c>
      <c r="T53" s="1169">
        <f t="shared" ca="1" si="6"/>
        <v>0</v>
      </c>
      <c r="U53" s="1170"/>
      <c r="V53" s="1170"/>
      <c r="W53" s="1170"/>
      <c r="X53" s="1173">
        <f ca="1">SUMIF('Struktur Vorjahr'!$A:$A,'Planzahlen Rentabilität'!$A53,'Struktur Vorjahr'!H:H)</f>
        <v>0</v>
      </c>
      <c r="Y53" s="1174">
        <f>K53</f>
        <v>0</v>
      </c>
      <c r="Z53" s="1175">
        <f ca="1">SUMIF('Struktur Aktuell'!$A:$A,'Planzahlen Rentabilität'!$A53,'Struktur Aktuell'!H:H)</f>
        <v>0</v>
      </c>
      <c r="AA53" s="1169">
        <f t="shared" ca="1" si="7"/>
        <v>0</v>
      </c>
      <c r="AB53" s="1170"/>
      <c r="AC53" s="1170"/>
      <c r="AD53" s="1170"/>
      <c r="AE53" s="1173">
        <f t="shared" ca="1" si="78"/>
        <v>0</v>
      </c>
      <c r="AF53" s="1174">
        <f t="shared" si="79"/>
        <v>0</v>
      </c>
      <c r="AG53" s="1175">
        <f t="shared" ca="1" si="80"/>
        <v>0</v>
      </c>
      <c r="AH53" s="1169">
        <f t="shared" ca="1" si="11"/>
        <v>0</v>
      </c>
      <c r="AI53" s="1170"/>
      <c r="AJ53" s="1170"/>
      <c r="AK53" s="1170"/>
      <c r="AL53" s="1173">
        <f ca="1">SUMIF('Struktur Vorjahr'!$A:$A,'Planzahlen Rentabilität'!$A53,'Struktur Vorjahr'!I:I)</f>
        <v>0</v>
      </c>
      <c r="AM53" s="1174">
        <f>Y53</f>
        <v>0</v>
      </c>
      <c r="AN53" s="1175">
        <f ca="1">SUMIF('Struktur Aktuell'!$A:$A,'Planzahlen Rentabilität'!$A53,'Struktur Aktuell'!I:I)</f>
        <v>0</v>
      </c>
      <c r="AO53" s="1169">
        <f t="shared" ca="1" si="12"/>
        <v>0</v>
      </c>
      <c r="AP53" s="1170"/>
      <c r="AQ53" s="1170"/>
      <c r="AR53" s="1170"/>
      <c r="AS53" s="1173">
        <f t="shared" ca="1" si="81"/>
        <v>0</v>
      </c>
      <c r="AT53" s="1174">
        <f t="shared" si="82"/>
        <v>0</v>
      </c>
      <c r="AU53" s="1175">
        <f t="shared" ca="1" si="83"/>
        <v>0</v>
      </c>
      <c r="AV53" s="1169">
        <f t="shared" ca="1" si="16"/>
        <v>0</v>
      </c>
      <c r="AW53" s="1170"/>
      <c r="AX53" s="1170"/>
      <c r="AY53" s="1170"/>
      <c r="AZ53" s="1173">
        <f ca="1">SUMIF('Struktur Vorjahr'!$A:$A,'Planzahlen Rentabilität'!$A53,'Struktur Vorjahr'!J:J)</f>
        <v>0</v>
      </c>
      <c r="BA53" s="1174">
        <f>AM53</f>
        <v>0</v>
      </c>
      <c r="BB53" s="1175">
        <f ca="1">SUMIF('Struktur Aktuell'!$A:$A,'Planzahlen Rentabilität'!$A53,'Struktur Aktuell'!J:J)</f>
        <v>0</v>
      </c>
      <c r="BC53" s="1169">
        <f t="shared" ca="1" si="17"/>
        <v>0</v>
      </c>
      <c r="BD53" s="1170"/>
      <c r="BE53" s="1170"/>
      <c r="BF53" s="1170"/>
      <c r="BG53" s="1173">
        <f t="shared" ca="1" si="84"/>
        <v>0</v>
      </c>
      <c r="BH53" s="1174">
        <f t="shared" si="85"/>
        <v>0</v>
      </c>
      <c r="BI53" s="1175">
        <f t="shared" ca="1" si="86"/>
        <v>0</v>
      </c>
      <c r="BJ53" s="1169">
        <f t="shared" ca="1" si="21"/>
        <v>0</v>
      </c>
      <c r="BK53" s="1170"/>
      <c r="BL53" s="1170"/>
      <c r="BM53" s="1170"/>
      <c r="BN53" s="1173">
        <f ca="1">SUMIF('Struktur Vorjahr'!$A:$A,'Planzahlen Rentabilität'!$A53,'Struktur Vorjahr'!K:K)</f>
        <v>0</v>
      </c>
      <c r="BO53" s="1174">
        <f>BA53</f>
        <v>0</v>
      </c>
      <c r="BP53" s="1175">
        <f ca="1">SUMIF('Struktur Aktuell'!$A:$A,'Planzahlen Rentabilität'!$A53,'Struktur Aktuell'!K:K)</f>
        <v>0</v>
      </c>
      <c r="BQ53" s="1169">
        <f t="shared" ca="1" si="22"/>
        <v>0</v>
      </c>
      <c r="BR53" s="1170"/>
      <c r="BS53" s="1170"/>
      <c r="BT53" s="1170"/>
      <c r="BU53" s="1173">
        <f t="shared" ca="1" si="87"/>
        <v>0</v>
      </c>
      <c r="BV53" s="1174">
        <f t="shared" si="88"/>
        <v>0</v>
      </c>
      <c r="BW53" s="1175">
        <f t="shared" ca="1" si="89"/>
        <v>0</v>
      </c>
      <c r="BX53" s="1169">
        <f t="shared" ca="1" si="26"/>
        <v>0</v>
      </c>
      <c r="BY53" s="1170"/>
      <c r="BZ53" s="1170"/>
      <c r="CA53" s="1170"/>
      <c r="CB53" s="1173">
        <f ca="1">SUMIF('Struktur Vorjahr'!$A:$A,'Planzahlen Rentabilität'!$A53,'Struktur Vorjahr'!L:L)</f>
        <v>0</v>
      </c>
      <c r="CC53" s="1174">
        <f>BO53</f>
        <v>0</v>
      </c>
      <c r="CD53" s="1175">
        <f ca="1">SUMIF('Struktur Aktuell'!$A:$A,'Planzahlen Rentabilität'!$A53,'Struktur Aktuell'!L:L)</f>
        <v>0</v>
      </c>
      <c r="CE53" s="1169">
        <f t="shared" ca="1" si="27"/>
        <v>0</v>
      </c>
      <c r="CF53" s="1170"/>
      <c r="CG53" s="1170"/>
      <c r="CH53" s="1170"/>
      <c r="CI53" s="1173">
        <f t="shared" ca="1" si="90"/>
        <v>0</v>
      </c>
      <c r="CJ53" s="1174">
        <f t="shared" si="91"/>
        <v>0</v>
      </c>
      <c r="CK53" s="1175">
        <f t="shared" ca="1" si="92"/>
        <v>0</v>
      </c>
      <c r="CL53" s="1169">
        <f t="shared" ca="1" si="93"/>
        <v>0</v>
      </c>
      <c r="CM53" s="1170"/>
      <c r="CN53" s="1170"/>
      <c r="CO53" s="1170"/>
      <c r="CP53" s="1173">
        <f ca="1">SUMIF('Struktur Vorjahr'!$A:$A,'Planzahlen Rentabilität'!$A53,'Struktur Vorjahr'!M:M)</f>
        <v>0</v>
      </c>
      <c r="CQ53" s="1174">
        <f>CC53</f>
        <v>0</v>
      </c>
      <c r="CR53" s="1175">
        <f ca="1">SUMIF('Struktur Aktuell'!$A:$A,'Planzahlen Rentabilität'!$A53,'Struktur Aktuell'!M:M)</f>
        <v>0</v>
      </c>
      <c r="CS53" s="1169">
        <f t="shared" ca="1" si="94"/>
        <v>0</v>
      </c>
      <c r="CT53" s="1170"/>
      <c r="CU53" s="1170"/>
      <c r="CV53" s="1170"/>
      <c r="CW53" s="1173">
        <f t="shared" ca="1" si="95"/>
        <v>0</v>
      </c>
      <c r="CX53" s="1174">
        <f t="shared" si="96"/>
        <v>0</v>
      </c>
      <c r="CY53" s="1175">
        <f t="shared" ca="1" si="97"/>
        <v>0</v>
      </c>
      <c r="CZ53" s="1169">
        <f t="shared" ca="1" si="36"/>
        <v>0</v>
      </c>
      <c r="DA53" s="1170"/>
      <c r="DB53" s="1170"/>
      <c r="DC53" s="1170"/>
      <c r="DD53" s="1173">
        <f ca="1">SUMIF('Struktur Vorjahr'!$A:$A,'Planzahlen Rentabilität'!$A53,'Struktur Vorjahr'!N:N)</f>
        <v>0</v>
      </c>
      <c r="DE53" s="1174">
        <f>CQ53</f>
        <v>0</v>
      </c>
      <c r="DF53" s="1175">
        <f ca="1">SUMIF('Struktur Aktuell'!$A:$A,'Planzahlen Rentabilität'!$A53,'Struktur Aktuell'!N:N)</f>
        <v>0</v>
      </c>
      <c r="DG53" s="1169">
        <f t="shared" ca="1" si="37"/>
        <v>0</v>
      </c>
      <c r="DH53" s="1170"/>
      <c r="DI53" s="1170"/>
      <c r="DJ53" s="1170"/>
      <c r="DK53" s="1173">
        <f t="shared" ca="1" si="98"/>
        <v>0</v>
      </c>
      <c r="DL53" s="1174">
        <f t="shared" si="99"/>
        <v>0</v>
      </c>
      <c r="DM53" s="1175">
        <f t="shared" ca="1" si="100"/>
        <v>0</v>
      </c>
      <c r="DN53" s="1169">
        <f t="shared" ca="1" si="101"/>
        <v>0</v>
      </c>
      <c r="DO53" s="1170"/>
      <c r="DP53" s="1170"/>
      <c r="DQ53" s="1170"/>
      <c r="DR53" s="1173">
        <f ca="1">SUMIF('Struktur Vorjahr'!$A:$A,'Planzahlen Rentabilität'!$A53,'Struktur Vorjahr'!O:O)</f>
        <v>0</v>
      </c>
      <c r="DS53" s="1174">
        <f>DE53</f>
        <v>0</v>
      </c>
      <c r="DT53" s="1175">
        <f ca="1">SUMIF('Struktur Aktuell'!$A:$A,'Planzahlen Rentabilität'!$A53,'Struktur Aktuell'!O:O)</f>
        <v>0</v>
      </c>
      <c r="DU53" s="1169">
        <f t="shared" ca="1" si="102"/>
        <v>0</v>
      </c>
      <c r="DV53" s="1170"/>
      <c r="DW53" s="1170"/>
      <c r="DX53" s="1170"/>
      <c r="DY53" s="1173">
        <f t="shared" ca="1" si="103"/>
        <v>0</v>
      </c>
      <c r="DZ53" s="1174">
        <f t="shared" si="104"/>
        <v>0</v>
      </c>
      <c r="EA53" s="1175">
        <f t="shared" ca="1" si="105"/>
        <v>0</v>
      </c>
      <c r="EB53" s="1169">
        <f t="shared" ca="1" si="106"/>
        <v>0</v>
      </c>
      <c r="EC53" s="1170"/>
      <c r="ED53" s="1170"/>
      <c r="EE53" s="1170"/>
      <c r="EF53" s="1173">
        <f ca="1">SUMIF('Struktur Vorjahr'!$A:$A,'Planzahlen Rentabilität'!$A53,'Struktur Vorjahr'!P:P)</f>
        <v>0</v>
      </c>
      <c r="EG53" s="1174">
        <f>DS53</f>
        <v>0</v>
      </c>
      <c r="EH53" s="1175">
        <f ca="1">SUMIF('Struktur Aktuell'!$A:$A,'Planzahlen Rentabilität'!$A53,'Struktur Aktuell'!P:P)</f>
        <v>0</v>
      </c>
      <c r="EI53" s="1169">
        <f t="shared" ca="1" si="107"/>
        <v>0</v>
      </c>
      <c r="EJ53" s="1170"/>
      <c r="EK53" s="1170"/>
      <c r="EL53" s="1170"/>
      <c r="EM53" s="1173">
        <f t="shared" ca="1" si="108"/>
        <v>0</v>
      </c>
      <c r="EN53" s="1174">
        <f t="shared" si="109"/>
        <v>0</v>
      </c>
      <c r="EO53" s="1175">
        <f t="shared" ca="1" si="110"/>
        <v>0</v>
      </c>
      <c r="EP53" s="1169">
        <f t="shared" ca="1" si="111"/>
        <v>0</v>
      </c>
      <c r="EQ53" s="1170"/>
      <c r="ER53" s="1170"/>
      <c r="ES53" s="1170"/>
      <c r="ET53" s="1173">
        <f ca="1">SUMIF('Struktur Vorjahr'!$A:$A,'Planzahlen Rentabilität'!$A53,'Struktur Vorjahr'!Q:Q)</f>
        <v>0</v>
      </c>
      <c r="EU53" s="1174">
        <f>EG53</f>
        <v>0</v>
      </c>
      <c r="EV53" s="1175">
        <f ca="1">SUMIF('Struktur Aktuell'!$A:$A,'Planzahlen Rentabilität'!$A53,'Struktur Aktuell'!Q:Q)</f>
        <v>0</v>
      </c>
      <c r="EW53" s="1169">
        <f t="shared" ca="1" si="112"/>
        <v>0</v>
      </c>
      <c r="EX53" s="1170"/>
      <c r="EY53" s="1170"/>
      <c r="EZ53" s="1170"/>
      <c r="FA53" s="1173">
        <f t="shared" ca="1" si="53"/>
        <v>0</v>
      </c>
      <c r="FB53" s="1174">
        <f t="shared" si="54"/>
        <v>0</v>
      </c>
      <c r="FC53" s="1175">
        <f t="shared" ca="1" si="55"/>
        <v>0</v>
      </c>
      <c r="FD53" s="1169">
        <f t="shared" ca="1" si="56"/>
        <v>0</v>
      </c>
      <c r="FE53" s="1170"/>
      <c r="FF53" s="1170"/>
      <c r="FG53" s="1170"/>
      <c r="FH53" s="1173">
        <f ca="1">SUMIF('Struktur Vorjahr'!$A:$A,'Planzahlen Rentabilität'!$A53,'Struktur Vorjahr'!R:R)</f>
        <v>0</v>
      </c>
      <c r="FI53" s="1174">
        <f>EU53</f>
        <v>0</v>
      </c>
      <c r="FJ53" s="1175">
        <f ca="1">SUMIF('Struktur Aktuell'!$A:$A,'Planzahlen Rentabilität'!$A53,'Struktur Aktuell'!R:R)</f>
        <v>0</v>
      </c>
      <c r="FK53" s="1169">
        <f t="shared" ca="1" si="57"/>
        <v>0</v>
      </c>
      <c r="FL53" s="1170"/>
      <c r="FM53" s="1170"/>
      <c r="FN53" s="1170"/>
      <c r="FO53" s="1173">
        <f t="shared" ca="1" si="58"/>
        <v>0</v>
      </c>
      <c r="FP53" s="1174">
        <f t="shared" si="59"/>
        <v>0</v>
      </c>
      <c r="FQ53" s="1175">
        <f t="shared" ca="1" si="60"/>
        <v>0</v>
      </c>
      <c r="FR53" s="1169">
        <f t="shared" ca="1" si="61"/>
        <v>0</v>
      </c>
      <c r="FS53" s="1170"/>
      <c r="FT53" s="1170"/>
      <c r="FU53" s="1170"/>
      <c r="FV53" s="1171"/>
      <c r="FW53" s="1169">
        <v>0</v>
      </c>
    </row>
    <row r="54" spans="1:179" s="883" customFormat="1" x14ac:dyDescent="0.2">
      <c r="A54" s="1160">
        <v>34</v>
      </c>
      <c r="B54" s="1160" t="str">
        <f>'Struktur Aktuell'!B347</f>
        <v>Sonstige a.o. Erträge aus 1%-Regelung</v>
      </c>
      <c r="C54" s="1173">
        <f t="shared" ca="1" si="114"/>
        <v>0</v>
      </c>
      <c r="D54" s="1174">
        <f t="shared" si="114"/>
        <v>0</v>
      </c>
      <c r="E54" s="1175">
        <f t="shared" ca="1" si="114"/>
        <v>0</v>
      </c>
      <c r="F54" s="1169">
        <f t="shared" ca="1" si="1"/>
        <v>0</v>
      </c>
      <c r="G54" s="1170"/>
      <c r="H54" s="1170"/>
      <c r="I54" s="1170"/>
      <c r="J54" s="1173">
        <f ca="1">SUMIF('Struktur Vorjahr'!$A:$A,'Planzahlen Rentabilität'!$A54,'Struktur Vorjahr'!G:G)</f>
        <v>0</v>
      </c>
      <c r="K54" s="1174"/>
      <c r="L54" s="1175">
        <f ca="1">SUMIF('Struktur Aktuell'!$A:$A,'Planzahlen Rentabilität'!$A54,'Struktur Aktuell'!G:G)</f>
        <v>0</v>
      </c>
      <c r="M54" s="1169">
        <f t="shared" ca="1" si="2"/>
        <v>0</v>
      </c>
      <c r="N54" s="1170"/>
      <c r="O54" s="1170"/>
      <c r="P54" s="1170"/>
      <c r="Q54" s="1173">
        <f t="shared" ca="1" si="75"/>
        <v>0</v>
      </c>
      <c r="R54" s="1174">
        <f t="shared" si="76"/>
        <v>0</v>
      </c>
      <c r="S54" s="1175">
        <f t="shared" ca="1" si="77"/>
        <v>0</v>
      </c>
      <c r="T54" s="1169">
        <f t="shared" ca="1" si="6"/>
        <v>0</v>
      </c>
      <c r="U54" s="1170"/>
      <c r="V54" s="1170"/>
      <c r="W54" s="1170"/>
      <c r="X54" s="1173">
        <f ca="1">SUMIF('Struktur Vorjahr'!$A:$A,'Planzahlen Rentabilität'!$A54,'Struktur Vorjahr'!H:H)</f>
        <v>0</v>
      </c>
      <c r="Y54" s="1174">
        <f>K54</f>
        <v>0</v>
      </c>
      <c r="Z54" s="1175">
        <f ca="1">SUMIF('Struktur Aktuell'!$A:$A,'Planzahlen Rentabilität'!$A54,'Struktur Aktuell'!H:H)</f>
        <v>0</v>
      </c>
      <c r="AA54" s="1169">
        <f t="shared" ca="1" si="7"/>
        <v>0</v>
      </c>
      <c r="AB54" s="1170"/>
      <c r="AC54" s="1170"/>
      <c r="AD54" s="1170"/>
      <c r="AE54" s="1173">
        <f t="shared" ca="1" si="78"/>
        <v>0</v>
      </c>
      <c r="AF54" s="1174">
        <f t="shared" si="79"/>
        <v>0</v>
      </c>
      <c r="AG54" s="1175">
        <f t="shared" ca="1" si="80"/>
        <v>0</v>
      </c>
      <c r="AH54" s="1169">
        <f t="shared" ca="1" si="11"/>
        <v>0</v>
      </c>
      <c r="AI54" s="1170"/>
      <c r="AJ54" s="1170"/>
      <c r="AK54" s="1170"/>
      <c r="AL54" s="1173">
        <f ca="1">SUMIF('Struktur Vorjahr'!$A:$A,'Planzahlen Rentabilität'!$A54,'Struktur Vorjahr'!I:I)</f>
        <v>0</v>
      </c>
      <c r="AM54" s="1174">
        <f>Y54</f>
        <v>0</v>
      </c>
      <c r="AN54" s="1175">
        <f ca="1">SUMIF('Struktur Aktuell'!$A:$A,'Planzahlen Rentabilität'!$A54,'Struktur Aktuell'!I:I)</f>
        <v>0</v>
      </c>
      <c r="AO54" s="1169">
        <f t="shared" ca="1" si="12"/>
        <v>0</v>
      </c>
      <c r="AP54" s="1170"/>
      <c r="AQ54" s="1170"/>
      <c r="AR54" s="1170"/>
      <c r="AS54" s="1173">
        <f t="shared" ca="1" si="81"/>
        <v>0</v>
      </c>
      <c r="AT54" s="1174">
        <f t="shared" si="82"/>
        <v>0</v>
      </c>
      <c r="AU54" s="1175">
        <f t="shared" ca="1" si="83"/>
        <v>0</v>
      </c>
      <c r="AV54" s="1169">
        <f t="shared" ca="1" si="16"/>
        <v>0</v>
      </c>
      <c r="AW54" s="1170"/>
      <c r="AX54" s="1170"/>
      <c r="AY54" s="1170"/>
      <c r="AZ54" s="1173">
        <f ca="1">SUMIF('Struktur Vorjahr'!$A:$A,'Planzahlen Rentabilität'!$A54,'Struktur Vorjahr'!J:J)</f>
        <v>0</v>
      </c>
      <c r="BA54" s="1174">
        <f>AM54</f>
        <v>0</v>
      </c>
      <c r="BB54" s="1175">
        <f ca="1">SUMIF('Struktur Aktuell'!$A:$A,'Planzahlen Rentabilität'!$A54,'Struktur Aktuell'!J:J)</f>
        <v>0</v>
      </c>
      <c r="BC54" s="1169">
        <f t="shared" ca="1" si="17"/>
        <v>0</v>
      </c>
      <c r="BD54" s="1170"/>
      <c r="BE54" s="1170"/>
      <c r="BF54" s="1170"/>
      <c r="BG54" s="1173">
        <f t="shared" ca="1" si="84"/>
        <v>0</v>
      </c>
      <c r="BH54" s="1174">
        <f t="shared" si="85"/>
        <v>0</v>
      </c>
      <c r="BI54" s="1175">
        <f t="shared" ca="1" si="86"/>
        <v>0</v>
      </c>
      <c r="BJ54" s="1169">
        <f t="shared" ca="1" si="21"/>
        <v>0</v>
      </c>
      <c r="BK54" s="1170"/>
      <c r="BL54" s="1170"/>
      <c r="BM54" s="1170"/>
      <c r="BN54" s="1173">
        <f ca="1">SUMIF('Struktur Vorjahr'!$A:$A,'Planzahlen Rentabilität'!$A54,'Struktur Vorjahr'!K:K)</f>
        <v>0</v>
      </c>
      <c r="BO54" s="1174">
        <f>BA54</f>
        <v>0</v>
      </c>
      <c r="BP54" s="1175">
        <f ca="1">SUMIF('Struktur Aktuell'!$A:$A,'Planzahlen Rentabilität'!$A54,'Struktur Aktuell'!K:K)</f>
        <v>0</v>
      </c>
      <c r="BQ54" s="1169">
        <f t="shared" ca="1" si="22"/>
        <v>0</v>
      </c>
      <c r="BR54" s="1170"/>
      <c r="BS54" s="1170"/>
      <c r="BT54" s="1170"/>
      <c r="BU54" s="1173">
        <f t="shared" ca="1" si="87"/>
        <v>0</v>
      </c>
      <c r="BV54" s="1174">
        <f t="shared" si="88"/>
        <v>0</v>
      </c>
      <c r="BW54" s="1175">
        <f t="shared" ca="1" si="89"/>
        <v>0</v>
      </c>
      <c r="BX54" s="1169">
        <f t="shared" ca="1" si="26"/>
        <v>0</v>
      </c>
      <c r="BY54" s="1170"/>
      <c r="BZ54" s="1170"/>
      <c r="CA54" s="1170"/>
      <c r="CB54" s="1173">
        <f ca="1">SUMIF('Struktur Vorjahr'!$A:$A,'Planzahlen Rentabilität'!$A54,'Struktur Vorjahr'!L:L)</f>
        <v>0</v>
      </c>
      <c r="CC54" s="1174">
        <f>BO54</f>
        <v>0</v>
      </c>
      <c r="CD54" s="1175">
        <f ca="1">SUMIF('Struktur Aktuell'!$A:$A,'Planzahlen Rentabilität'!$A54,'Struktur Aktuell'!L:L)</f>
        <v>0</v>
      </c>
      <c r="CE54" s="1169">
        <f t="shared" ca="1" si="27"/>
        <v>0</v>
      </c>
      <c r="CF54" s="1170"/>
      <c r="CG54" s="1170"/>
      <c r="CH54" s="1170"/>
      <c r="CI54" s="1173">
        <f t="shared" ca="1" si="90"/>
        <v>0</v>
      </c>
      <c r="CJ54" s="1174">
        <f t="shared" si="91"/>
        <v>0</v>
      </c>
      <c r="CK54" s="1175">
        <f t="shared" ca="1" si="92"/>
        <v>0</v>
      </c>
      <c r="CL54" s="1169">
        <f t="shared" ca="1" si="93"/>
        <v>0</v>
      </c>
      <c r="CM54" s="1170"/>
      <c r="CN54" s="1170"/>
      <c r="CO54" s="1170"/>
      <c r="CP54" s="1173">
        <f ca="1">SUMIF('Struktur Vorjahr'!$A:$A,'Planzahlen Rentabilität'!$A54,'Struktur Vorjahr'!M:M)</f>
        <v>0</v>
      </c>
      <c r="CQ54" s="1174">
        <f>CC54</f>
        <v>0</v>
      </c>
      <c r="CR54" s="1175">
        <f ca="1">SUMIF('Struktur Aktuell'!$A:$A,'Planzahlen Rentabilität'!$A54,'Struktur Aktuell'!M:M)</f>
        <v>0</v>
      </c>
      <c r="CS54" s="1169">
        <f t="shared" ca="1" si="94"/>
        <v>0</v>
      </c>
      <c r="CT54" s="1170"/>
      <c r="CU54" s="1170"/>
      <c r="CV54" s="1170"/>
      <c r="CW54" s="1173">
        <f t="shared" ca="1" si="95"/>
        <v>0</v>
      </c>
      <c r="CX54" s="1174">
        <f t="shared" si="96"/>
        <v>0</v>
      </c>
      <c r="CY54" s="1175">
        <f t="shared" ca="1" si="97"/>
        <v>0</v>
      </c>
      <c r="CZ54" s="1169">
        <f t="shared" ca="1" si="36"/>
        <v>0</v>
      </c>
      <c r="DA54" s="1170"/>
      <c r="DB54" s="1170"/>
      <c r="DC54" s="1170"/>
      <c r="DD54" s="1173">
        <f ca="1">SUMIF('Struktur Vorjahr'!$A:$A,'Planzahlen Rentabilität'!$A54,'Struktur Vorjahr'!N:N)</f>
        <v>0</v>
      </c>
      <c r="DE54" s="1174">
        <f>CQ54</f>
        <v>0</v>
      </c>
      <c r="DF54" s="1175">
        <f ca="1">SUMIF('Struktur Aktuell'!$A:$A,'Planzahlen Rentabilität'!$A54,'Struktur Aktuell'!N:N)</f>
        <v>0</v>
      </c>
      <c r="DG54" s="1169">
        <f t="shared" ca="1" si="37"/>
        <v>0</v>
      </c>
      <c r="DH54" s="1170"/>
      <c r="DI54" s="1170"/>
      <c r="DJ54" s="1170"/>
      <c r="DK54" s="1173">
        <f t="shared" ca="1" si="98"/>
        <v>0</v>
      </c>
      <c r="DL54" s="1174">
        <f t="shared" si="99"/>
        <v>0</v>
      </c>
      <c r="DM54" s="1175">
        <f t="shared" ca="1" si="100"/>
        <v>0</v>
      </c>
      <c r="DN54" s="1169">
        <f t="shared" ca="1" si="101"/>
        <v>0</v>
      </c>
      <c r="DO54" s="1170"/>
      <c r="DP54" s="1170"/>
      <c r="DQ54" s="1170"/>
      <c r="DR54" s="1173">
        <f ca="1">SUMIF('Struktur Vorjahr'!$A:$A,'Planzahlen Rentabilität'!$A54,'Struktur Vorjahr'!O:O)</f>
        <v>0</v>
      </c>
      <c r="DS54" s="1174">
        <f>DE54</f>
        <v>0</v>
      </c>
      <c r="DT54" s="1175">
        <f ca="1">SUMIF('Struktur Aktuell'!$A:$A,'Planzahlen Rentabilität'!$A54,'Struktur Aktuell'!O:O)</f>
        <v>0</v>
      </c>
      <c r="DU54" s="1169">
        <f t="shared" ca="1" si="102"/>
        <v>0</v>
      </c>
      <c r="DV54" s="1170"/>
      <c r="DW54" s="1170"/>
      <c r="DX54" s="1170"/>
      <c r="DY54" s="1173">
        <f t="shared" ca="1" si="103"/>
        <v>0</v>
      </c>
      <c r="DZ54" s="1174">
        <f t="shared" si="104"/>
        <v>0</v>
      </c>
      <c r="EA54" s="1175">
        <f t="shared" ca="1" si="105"/>
        <v>0</v>
      </c>
      <c r="EB54" s="1169">
        <f t="shared" ca="1" si="106"/>
        <v>0</v>
      </c>
      <c r="EC54" s="1170"/>
      <c r="ED54" s="1170"/>
      <c r="EE54" s="1170"/>
      <c r="EF54" s="1173">
        <f ca="1">SUMIF('Struktur Vorjahr'!$A:$A,'Planzahlen Rentabilität'!$A54,'Struktur Vorjahr'!P:P)</f>
        <v>0</v>
      </c>
      <c r="EG54" s="1174">
        <f>DS54</f>
        <v>0</v>
      </c>
      <c r="EH54" s="1175">
        <f ca="1">SUMIF('Struktur Aktuell'!$A:$A,'Planzahlen Rentabilität'!$A54,'Struktur Aktuell'!P:P)</f>
        <v>0</v>
      </c>
      <c r="EI54" s="1169">
        <f t="shared" ca="1" si="107"/>
        <v>0</v>
      </c>
      <c r="EJ54" s="1170"/>
      <c r="EK54" s="1170"/>
      <c r="EL54" s="1170"/>
      <c r="EM54" s="1173">
        <f t="shared" ca="1" si="108"/>
        <v>0</v>
      </c>
      <c r="EN54" s="1174">
        <f t="shared" si="109"/>
        <v>0</v>
      </c>
      <c r="EO54" s="1175">
        <f t="shared" ca="1" si="110"/>
        <v>0</v>
      </c>
      <c r="EP54" s="1169">
        <f t="shared" ca="1" si="111"/>
        <v>0</v>
      </c>
      <c r="EQ54" s="1170"/>
      <c r="ER54" s="1170"/>
      <c r="ES54" s="1170"/>
      <c r="ET54" s="1173">
        <f ca="1">SUMIF('Struktur Vorjahr'!$A:$A,'Planzahlen Rentabilität'!$A54,'Struktur Vorjahr'!Q:Q)</f>
        <v>0</v>
      </c>
      <c r="EU54" s="1174">
        <f>EG54</f>
        <v>0</v>
      </c>
      <c r="EV54" s="1175">
        <f ca="1">SUMIF('Struktur Aktuell'!$A:$A,'Planzahlen Rentabilität'!$A54,'Struktur Aktuell'!Q:Q)</f>
        <v>0</v>
      </c>
      <c r="EW54" s="1169">
        <f t="shared" ca="1" si="112"/>
        <v>0</v>
      </c>
      <c r="EX54" s="1170"/>
      <c r="EY54" s="1170"/>
      <c r="EZ54" s="1170"/>
      <c r="FA54" s="1173">
        <f t="shared" ca="1" si="53"/>
        <v>0</v>
      </c>
      <c r="FB54" s="1174">
        <f t="shared" si="54"/>
        <v>0</v>
      </c>
      <c r="FC54" s="1175">
        <f t="shared" ca="1" si="55"/>
        <v>0</v>
      </c>
      <c r="FD54" s="1169">
        <f t="shared" ca="1" si="56"/>
        <v>0</v>
      </c>
      <c r="FE54" s="1170"/>
      <c r="FF54" s="1170"/>
      <c r="FG54" s="1170"/>
      <c r="FH54" s="1173">
        <f ca="1">SUMIF('Struktur Vorjahr'!$A:$A,'Planzahlen Rentabilität'!$A54,'Struktur Vorjahr'!R:R)</f>
        <v>0</v>
      </c>
      <c r="FI54" s="1174">
        <f>EU54</f>
        <v>0</v>
      </c>
      <c r="FJ54" s="1175">
        <f ca="1">SUMIF('Struktur Aktuell'!$A:$A,'Planzahlen Rentabilität'!$A54,'Struktur Aktuell'!R:R)</f>
        <v>0</v>
      </c>
      <c r="FK54" s="1169">
        <f t="shared" ca="1" si="57"/>
        <v>0</v>
      </c>
      <c r="FL54" s="1170"/>
      <c r="FM54" s="1170"/>
      <c r="FN54" s="1170"/>
      <c r="FO54" s="1173">
        <f t="shared" ca="1" si="58"/>
        <v>0</v>
      </c>
      <c r="FP54" s="1174">
        <f t="shared" si="59"/>
        <v>0</v>
      </c>
      <c r="FQ54" s="1175">
        <f t="shared" ca="1" si="60"/>
        <v>0</v>
      </c>
      <c r="FR54" s="1169">
        <f t="shared" ca="1" si="61"/>
        <v>0</v>
      </c>
      <c r="FS54" s="1170"/>
      <c r="FT54" s="1170"/>
      <c r="FU54" s="1170"/>
      <c r="FV54" s="1171"/>
      <c r="FW54" s="1169">
        <v>0</v>
      </c>
    </row>
    <row r="55" spans="1:179" s="883" customFormat="1" x14ac:dyDescent="0.2">
      <c r="A55" s="1191" t="s">
        <v>261</v>
      </c>
      <c r="B55" s="1192" t="str">
        <f>'Struktur Aktuell'!B354</f>
        <v>AO Ergebnis</v>
      </c>
      <c r="C55" s="1193">
        <f ca="1">C54+C53+C52-C51-C50-C49</f>
        <v>-1853.8599999999994</v>
      </c>
      <c r="D55" s="1193">
        <f>D54+D53+D52-D51-D50-D49</f>
        <v>-3000</v>
      </c>
      <c r="E55" s="1193">
        <f ca="1">E54+E53+E52-E51-E50-E49</f>
        <v>-1853.8599999999994</v>
      </c>
      <c r="F55" s="1194">
        <f t="shared" ca="1" si="1"/>
        <v>1146.1400000000006</v>
      </c>
      <c r="G55" s="1195">
        <f t="shared" ref="G55:I56" ca="1" si="115">C55/C$15</f>
        <v>-1.2039158925262214E-2</v>
      </c>
      <c r="H55" s="1195">
        <f t="shared" si="115"/>
        <v>-2.9008321520500179E-3</v>
      </c>
      <c r="I55" s="1195">
        <f t="shared" ca="1" si="115"/>
        <v>-1.1693707200259572E-2</v>
      </c>
      <c r="J55" s="1193">
        <f ca="1">J54+J53+J52-J51-J50-J49</f>
        <v>2.4599999999999795</v>
      </c>
      <c r="K55" s="1193">
        <f>K54+K53+K52-K51-K50-K49</f>
        <v>-250</v>
      </c>
      <c r="L55" s="1193">
        <f ca="1">L54+L53+L52-L51-L50-L49</f>
        <v>2.4599999999999795</v>
      </c>
      <c r="M55" s="1194">
        <f t="shared" ca="1" si="2"/>
        <v>252.45999999999998</v>
      </c>
      <c r="N55" s="1195">
        <f t="shared" ref="N55:P56" ca="1" si="116">J55/J$15</f>
        <v>2.2503217685699382E-4</v>
      </c>
      <c r="O55" s="1195">
        <f t="shared" si="116"/>
        <v>-4.0289335445139142E-3</v>
      </c>
      <c r="P55" s="1195">
        <f t="shared" ca="1" si="116"/>
        <v>2.1980437410704288E-4</v>
      </c>
      <c r="Q55" s="1193">
        <f t="shared" ca="1" si="75"/>
        <v>2.4599999999999795</v>
      </c>
      <c r="R55" s="1193">
        <f t="shared" si="76"/>
        <v>-250</v>
      </c>
      <c r="S55" s="1193">
        <f t="shared" ca="1" si="77"/>
        <v>2.4599999999999795</v>
      </c>
      <c r="T55" s="1194">
        <f t="shared" ca="1" si="6"/>
        <v>252.45999999999998</v>
      </c>
      <c r="U55" s="1195">
        <f t="shared" ref="U55:W56" ca="1" si="117">Q55/Q$15</f>
        <v>2.2503217685699382E-4</v>
      </c>
      <c r="V55" s="1195">
        <f t="shared" si="117"/>
        <v>-4.0289335445139142E-3</v>
      </c>
      <c r="W55" s="1195">
        <f t="shared" ca="1" si="117"/>
        <v>2.1980437410704288E-4</v>
      </c>
      <c r="X55" s="1193">
        <f ca="1">X54+X53+X52-X51-X50-X49</f>
        <v>-232.51999999999998</v>
      </c>
      <c r="Y55" s="1193">
        <f>Y54+Y53+Y52-Y51-Y50-Y49</f>
        <v>-250</v>
      </c>
      <c r="Z55" s="1193">
        <f ca="1">Z54+Z53+Z52-Z51-Z50-Z49</f>
        <v>-232.51999999999998</v>
      </c>
      <c r="AA55" s="1194">
        <f t="shared" ca="1" si="7"/>
        <v>17.480000000000018</v>
      </c>
      <c r="AB55" s="1195">
        <f ca="1">X55/$Y$15</f>
        <v>-2.8104228833111256E-3</v>
      </c>
      <c r="AC55" s="1195">
        <f>Y55/$Y$15</f>
        <v>-3.0217001583854354E-3</v>
      </c>
      <c r="AD55" s="1195">
        <f ca="1">Z55/$Z$15</f>
        <v>-1.9574614960454255E-2</v>
      </c>
      <c r="AE55" s="1193">
        <f t="shared" ca="1" si="78"/>
        <v>-230.06</v>
      </c>
      <c r="AF55" s="1193">
        <f t="shared" si="79"/>
        <v>-500</v>
      </c>
      <c r="AG55" s="1193">
        <f t="shared" ca="1" si="80"/>
        <v>-230.06</v>
      </c>
      <c r="AH55" s="1194">
        <f t="shared" ca="1" si="11"/>
        <v>269.94</v>
      </c>
      <c r="AI55" s="1195">
        <f ca="1">AE55/$AF$15</f>
        <v>-1.5889653450014932E-3</v>
      </c>
      <c r="AJ55" s="1195">
        <f>AF55/$AF$15</f>
        <v>-3.4533716095833545E-3</v>
      </c>
      <c r="AK55" s="1195">
        <f ca="1">AG55/$AG$15</f>
        <v>-9.9720767979083157E-3</v>
      </c>
      <c r="AL55" s="1193">
        <f ca="1">AL54+AL53+AL52-AL51-AL50-AL49</f>
        <v>0</v>
      </c>
      <c r="AM55" s="1193">
        <f>AM54+AM53+AM52-AM51-AM50-AM49</f>
        <v>-250</v>
      </c>
      <c r="AN55" s="1193">
        <f ca="1">AN54+AN53+AN52-AN51-AN50-AN49</f>
        <v>0</v>
      </c>
      <c r="AO55" s="1194">
        <f t="shared" ca="1" si="12"/>
        <v>250</v>
      </c>
      <c r="AP55" s="1195">
        <f ca="1">AL55/$AM$15</f>
        <v>0</v>
      </c>
      <c r="AQ55" s="1195">
        <f>AM55/$AM$15</f>
        <v>-2.4173601267083481E-3</v>
      </c>
      <c r="AR55" s="1195">
        <f ca="1">AN55/$AN$15</f>
        <v>0</v>
      </c>
      <c r="AS55" s="1193">
        <f t="shared" ca="1" si="81"/>
        <v>-230.06</v>
      </c>
      <c r="AT55" s="1193">
        <f t="shared" si="82"/>
        <v>-750</v>
      </c>
      <c r="AU55" s="1193">
        <f t="shared" ca="1" si="83"/>
        <v>-230.06</v>
      </c>
      <c r="AV55" s="1194">
        <f t="shared" ca="1" si="16"/>
        <v>519.94000000000005</v>
      </c>
      <c r="AW55" s="1195">
        <f ca="1">AS55/$AT$15</f>
        <v>-9.2689645125087106E-4</v>
      </c>
      <c r="AX55" s="1195">
        <f>AT55/$AT$15</f>
        <v>-3.0217001583854354E-3</v>
      </c>
      <c r="AY55" s="1195">
        <f ca="1">AU55/$AU$15</f>
        <v>-9.8356506638187756E-3</v>
      </c>
      <c r="AZ55" s="1193">
        <f ca="1">AZ54+AZ53+AZ52-AZ51-AZ50-AZ49</f>
        <v>-346.14</v>
      </c>
      <c r="BA55" s="1193">
        <f>BA54+BA53+BA52-BA51-BA50-BA49</f>
        <v>-250</v>
      </c>
      <c r="BB55" s="1193">
        <f ca="1">BB54+BB53+BB52-BB51-BB50-BB49</f>
        <v>-346.14</v>
      </c>
      <c r="BC55" s="1194">
        <f t="shared" ca="1" si="17"/>
        <v>-96.139999999999986</v>
      </c>
      <c r="BD55" s="1195">
        <f ca="1">AZ55/$BA$15</f>
        <v>-4.781400195764729E-3</v>
      </c>
      <c r="BE55" s="1195">
        <f>BA55/$BA$15</f>
        <v>-3.4533716095833545E-3</v>
      </c>
      <c r="BF55" s="1195">
        <f ca="1">BB55/$BB$15</f>
        <v>-2.6674969039496125E-2</v>
      </c>
      <c r="BG55" s="1193">
        <f t="shared" ca="1" si="84"/>
        <v>-576.20000000000005</v>
      </c>
      <c r="BH55" s="1193">
        <f t="shared" si="85"/>
        <v>-1000</v>
      </c>
      <c r="BI55" s="1193">
        <f t="shared" ca="1" si="86"/>
        <v>-576.20000000000005</v>
      </c>
      <c r="BJ55" s="1194">
        <f t="shared" ca="1" si="21"/>
        <v>423.79999999999995</v>
      </c>
      <c r="BK55" s="1195">
        <f ca="1">BG55/$BH$15</f>
        <v>-1.7972682645281939E-3</v>
      </c>
      <c r="BL55" s="1195">
        <f>BH55/$BH$15</f>
        <v>-3.1191743570430299E-3</v>
      </c>
      <c r="BM55" s="1195">
        <f ca="1">BI55/$BI$15</f>
        <v>-1.5844195626595038E-2</v>
      </c>
      <c r="BN55" s="1193">
        <f ca="1">BN54+BN53+BN52-BN51-BN50-BN49</f>
        <v>-740.75</v>
      </c>
      <c r="BO55" s="1193">
        <f>BO54+BO53+BO52-BO51-BO50-BO49</f>
        <v>-250</v>
      </c>
      <c r="BP55" s="1193">
        <f ca="1">BP54+BP53+BP52-BP51-BP50-BP49</f>
        <v>-740.75</v>
      </c>
      <c r="BQ55" s="1194">
        <f t="shared" ca="1" si="22"/>
        <v>-490.75</v>
      </c>
      <c r="BR55" s="1195">
        <f ca="1">BN55/$BO$15</f>
        <v>-8.953297569296045E-3</v>
      </c>
      <c r="BS55" s="1195">
        <f>BO55/$BO$15</f>
        <v>-3.0217001583854354E-3</v>
      </c>
      <c r="BT55" s="1195">
        <f ca="1">BP55/$BP$15</f>
        <v>-9.5480729198219663E-2</v>
      </c>
      <c r="BU55" s="1193">
        <f t="shared" ca="1" si="87"/>
        <v>-1316.95</v>
      </c>
      <c r="BV55" s="1193">
        <f t="shared" si="88"/>
        <v>-1250</v>
      </c>
      <c r="BW55" s="1193">
        <f t="shared" ca="1" si="89"/>
        <v>-1316.95</v>
      </c>
      <c r="BX55" s="1194">
        <f t="shared" ca="1" si="26"/>
        <v>-66.950000000000045</v>
      </c>
      <c r="BY55" s="1195">
        <f ca="1">BU55/$BV$15</f>
        <v>-3.2651717116600606E-3</v>
      </c>
      <c r="BZ55" s="1195">
        <f>BV55/$BV$15</f>
        <v>-3.0991796496260874E-3</v>
      </c>
      <c r="CA55" s="1195">
        <f ca="1">BW55/$BW$15</f>
        <v>-2.9846068214792878E-2</v>
      </c>
      <c r="CB55" s="1193">
        <f ca="1">CB54+CB53+CB52-CB51-CB50-CB49</f>
        <v>234.92</v>
      </c>
      <c r="CC55" s="1193">
        <f>CC54+CC53+CC52-CC51-CC50-CC49</f>
        <v>-250</v>
      </c>
      <c r="CD55" s="1193">
        <f ca="1">CD54+CD53+CD52-CD51-CD50-CD49</f>
        <v>234.92</v>
      </c>
      <c r="CE55" s="1194">
        <f t="shared" ca="1" si="27"/>
        <v>484.91999999999996</v>
      </c>
      <c r="CF55" s="1195">
        <f ca="1">CB55/$CC$15</f>
        <v>2.8394312048316255E-3</v>
      </c>
      <c r="CG55" s="1195">
        <f>CC55/$CC$15</f>
        <v>-3.0217001583854354E-3</v>
      </c>
      <c r="CH55" s="1195" t="e">
        <f ca="1">CD55/$CD$15</f>
        <v>#DIV/0!</v>
      </c>
      <c r="CI55" s="1193">
        <f t="shared" ca="1" si="90"/>
        <v>-1082.03</v>
      </c>
      <c r="CJ55" s="1193">
        <f t="shared" si="91"/>
        <v>-1500</v>
      </c>
      <c r="CK55" s="1193">
        <f t="shared" ca="1" si="92"/>
        <v>-1082.03</v>
      </c>
      <c r="CL55" s="1194">
        <f t="shared" ca="1" si="93"/>
        <v>417.97</v>
      </c>
      <c r="CM55" s="1195">
        <f ca="1">CI55/$CJ$15</f>
        <v>-2.2260903641721139E-3</v>
      </c>
      <c r="CN55" s="1195">
        <f>CJ55/$CJ$15</f>
        <v>-3.0859916511170402E-3</v>
      </c>
      <c r="CO55" s="1195">
        <f ca="1">CK55/$CK$15</f>
        <v>-2.4522070838264427E-2</v>
      </c>
      <c r="CP55" s="1193">
        <f ca="1">CP54+CP53+CP52-CP51-CP50-CP49</f>
        <v>-169.61999999999989</v>
      </c>
      <c r="CQ55" s="1193">
        <f>CQ54+CQ53+CQ52-CQ51-CQ50-CQ49</f>
        <v>-250</v>
      </c>
      <c r="CR55" s="1193">
        <f ca="1">CR54+CR53+CR52-CR51-CR50-CR49</f>
        <v>-169.61999999999989</v>
      </c>
      <c r="CS55" s="1194">
        <f t="shared" ca="1" si="94"/>
        <v>80.380000000000109</v>
      </c>
      <c r="CT55" s="1195">
        <f ca="1">CP55/$CQ$15</f>
        <v>-2.050163123461349E-3</v>
      </c>
      <c r="CU55" s="1195">
        <f>CQ55/$CQ$15</f>
        <v>-3.0217001583854354E-3</v>
      </c>
      <c r="CV55" s="1195">
        <f ca="1">CR55/$CR$15</f>
        <v>-3.2892249087522214E-3</v>
      </c>
      <c r="CW55" s="1193">
        <f t="shared" ca="1" si="95"/>
        <v>-1251.6499999999999</v>
      </c>
      <c r="CX55" s="1193">
        <f t="shared" si="96"/>
        <v>-1750</v>
      </c>
      <c r="CY55" s="1193">
        <f t="shared" ca="1" si="97"/>
        <v>-1251.6499999999999</v>
      </c>
      <c r="CZ55" s="1194">
        <f t="shared" ca="1" si="36"/>
        <v>498.35000000000014</v>
      </c>
      <c r="DA55" s="1195">
        <f ca="1">CW55/$CX$15</f>
        <v>-2.2005009473414572E-3</v>
      </c>
      <c r="DB55" s="1195">
        <f>CX55/$CX$15</f>
        <v>-3.0766401612651703E-3</v>
      </c>
      <c r="DC55" s="1195">
        <f ca="1">CY55/$CY$15</f>
        <v>-1.3079832698526287E-2</v>
      </c>
      <c r="DD55" s="1193">
        <f ca="1">DD54+DD53+DD52-DD51-DD50-DD49</f>
        <v>-148.03999999999996</v>
      </c>
      <c r="DE55" s="1193">
        <f>DE54+DE53+DE52-DE51-DE50-DE49</f>
        <v>-250</v>
      </c>
      <c r="DF55" s="1193">
        <f ca="1">DF54+DF53+DF52-DF51-DF50-DF49</f>
        <v>-148.03999999999996</v>
      </c>
      <c r="DG55" s="1194">
        <f t="shared" ca="1" si="37"/>
        <v>101.96000000000004</v>
      </c>
      <c r="DH55" s="1195">
        <f ca="1">DD55/$DE$15</f>
        <v>-2.0449485323308786E-3</v>
      </c>
      <c r="DI55" s="1195">
        <f>DE55/$DE$15</f>
        <v>-3.4533716095833545E-3</v>
      </c>
      <c r="DJ55" s="1195">
        <f ca="1">DF55/$DF$15</f>
        <v>-7.6582805287545037E-3</v>
      </c>
      <c r="DK55" s="1193">
        <f t="shared" ca="1" si="98"/>
        <v>-1399.6899999999998</v>
      </c>
      <c r="DL55" s="1193">
        <f t="shared" si="99"/>
        <v>-2000</v>
      </c>
      <c r="DM55" s="1193">
        <f t="shared" ca="1" si="100"/>
        <v>-1399.6899999999998</v>
      </c>
      <c r="DN55" s="1194">
        <f t="shared" ca="1" si="101"/>
        <v>600.31000000000017</v>
      </c>
      <c r="DO55" s="1195">
        <f ca="1">DK55/$DL$15</f>
        <v>-2.1829385779047789E-3</v>
      </c>
      <c r="DP55" s="1195">
        <f>DL55/$DL$15</f>
        <v>-3.1191743570430299E-3</v>
      </c>
      <c r="DQ55" s="1195">
        <f ca="1">DM55/$DM$15</f>
        <v>-1.2168695825899726E-2</v>
      </c>
      <c r="DR55" s="1193">
        <f ca="1">DR54+DR53+DR52-DR51-DR50-DR49</f>
        <v>-181.51000000000002</v>
      </c>
      <c r="DS55" s="1193">
        <f>DS54+DS53+DS52-DS51-DS50-DS49</f>
        <v>-250</v>
      </c>
      <c r="DT55" s="1193">
        <f ca="1">DT54+DT53+DT52-DT51-DT50-DT49</f>
        <v>-181.51000000000002</v>
      </c>
      <c r="DU55" s="1194">
        <f t="shared" ca="1" si="102"/>
        <v>68.489999999999981</v>
      </c>
      <c r="DV55" s="1195">
        <f ca="1">DR55/$DS$15</f>
        <v>-1.7551001463953293E-3</v>
      </c>
      <c r="DW55" s="1195">
        <f>DS55/$DS$15</f>
        <v>-2.4173601267083481E-3</v>
      </c>
      <c r="DX55" s="1195">
        <f ca="1">DT55/$DT$15</f>
        <v>-1.6608274033319027E-2</v>
      </c>
      <c r="DY55" s="1193">
        <f t="shared" ca="1" si="103"/>
        <v>-1581.1999999999998</v>
      </c>
      <c r="DZ55" s="1193">
        <f t="shared" si="104"/>
        <v>-2250</v>
      </c>
      <c r="EA55" s="1193">
        <f t="shared" ca="1" si="105"/>
        <v>-1581.1999999999998</v>
      </c>
      <c r="EB55" s="1194">
        <f t="shared" ca="1" si="106"/>
        <v>668.80000000000018</v>
      </c>
      <c r="EC55" s="1195">
        <f ca="1">DY55/$DZ$15</f>
        <v>-2.1235165735284667E-3</v>
      </c>
      <c r="ED55" s="1195">
        <f>DZ55/$DZ$15</f>
        <v>-3.0217001583854354E-3</v>
      </c>
      <c r="EE55" s="1195">
        <f ca="1">EA55/$EA$15</f>
        <v>-1.2553917057130642E-2</v>
      </c>
      <c r="EF55" s="1193">
        <f ca="1">EF54+EF53+EF52-EF51-EF50-EF49</f>
        <v>-272.66000000000003</v>
      </c>
      <c r="EG55" s="1193">
        <f>EG54+EG53+EG52-EG51-EG50-EG49</f>
        <v>-250</v>
      </c>
      <c r="EH55" s="1193">
        <f ca="1">EH54+EH53+EH52-EH51-EH50-EH49</f>
        <v>-272.66000000000003</v>
      </c>
      <c r="EI55" s="1194">
        <f t="shared" ca="1" si="107"/>
        <v>-22.660000000000025</v>
      </c>
      <c r="EJ55" s="1195">
        <f ca="1">EF55/$EG$15</f>
        <v>-2.6364696485931933E-3</v>
      </c>
      <c r="EK55" s="1195">
        <f>EG55/$EG$15</f>
        <v>-2.4173601267083481E-3</v>
      </c>
      <c r="EL55" s="1195">
        <f ca="1">EH55/$EH$15</f>
        <v>-8.333099022864221E-3</v>
      </c>
      <c r="EM55" s="1193">
        <f t="shared" ca="1" si="108"/>
        <v>-1853.86</v>
      </c>
      <c r="EN55" s="1193">
        <f t="shared" si="109"/>
        <v>-2500</v>
      </c>
      <c r="EO55" s="1193">
        <f t="shared" ca="1" si="110"/>
        <v>-1853.86</v>
      </c>
      <c r="EP55" s="1194">
        <f t="shared" ca="1" si="111"/>
        <v>646.1400000000001</v>
      </c>
      <c r="EQ55" s="1195">
        <f ca="1">EM55/$EN$15</f>
        <v>-2.1860718265851405E-3</v>
      </c>
      <c r="ER55" s="1195">
        <f>EN55/$EN$15</f>
        <v>-2.9480001545223759E-3</v>
      </c>
      <c r="ES55" s="1195">
        <f ca="1">EO55/$EO$15</f>
        <v>-1.1683537018685741E-2</v>
      </c>
      <c r="ET55" s="1193">
        <f ca="1">ET54+ET53+ET52-ET51-ET50-ET49</f>
        <v>0</v>
      </c>
      <c r="EU55" s="1193">
        <f>EU54+EU53+EU52-EU51-EU50-EU49</f>
        <v>-250</v>
      </c>
      <c r="EV55" s="1193">
        <f ca="1">EV54+EV53+EV52-EV51-EV50-EV49</f>
        <v>0</v>
      </c>
      <c r="EW55" s="1194">
        <f t="shared" ca="1" si="112"/>
        <v>250</v>
      </c>
      <c r="EX55" s="1195">
        <f ca="1">ET55/$K$15</f>
        <v>0</v>
      </c>
      <c r="EY55" s="1195">
        <f>EU55/$K$15</f>
        <v>-4.0289335445139142E-3</v>
      </c>
      <c r="EZ55" s="1195">
        <f ca="1">EV55/$EV$15</f>
        <v>0</v>
      </c>
      <c r="FA55" s="1193">
        <f t="shared" ca="1" si="53"/>
        <v>-1853.86</v>
      </c>
      <c r="FB55" s="1193">
        <f t="shared" si="54"/>
        <v>-2750</v>
      </c>
      <c r="FC55" s="1193">
        <f t="shared" ca="1" si="55"/>
        <v>-1853.86</v>
      </c>
      <c r="FD55" s="1194">
        <f t="shared" ca="1" si="56"/>
        <v>896.1400000000001</v>
      </c>
      <c r="FE55" s="1195">
        <f ca="1">FA55/$FB$15</f>
        <v>-1.9698669206591377E-3</v>
      </c>
      <c r="FF55" s="1195">
        <f>FB55/$FB$15</f>
        <v>-2.922083669647454E-3</v>
      </c>
      <c r="FG55" s="1195">
        <f ca="1">FC55/$FC$15</f>
        <v>-1.1696068032598025E-2</v>
      </c>
      <c r="FH55" s="1193">
        <f ca="1">FH54+FH53+FH52-FH51-FH50-FH49</f>
        <v>0</v>
      </c>
      <c r="FI55" s="1193">
        <f>FI54+FI53+FI52-FI51-FI50-FI49</f>
        <v>-250</v>
      </c>
      <c r="FJ55" s="1193">
        <f ca="1">FJ54+FJ53+FJ52-FJ51-FJ50-FJ49</f>
        <v>0</v>
      </c>
      <c r="FK55" s="1194">
        <f t="shared" ca="1" si="57"/>
        <v>250</v>
      </c>
      <c r="FL55" s="1195">
        <f ca="1">FH55/$FI$15</f>
        <v>0</v>
      </c>
      <c r="FM55" s="1195">
        <f>FI55/$FI$15</f>
        <v>-2.6859556963426097E-3</v>
      </c>
      <c r="FN55" s="1195">
        <f ca="1">FJ55/$FJ$15</f>
        <v>0</v>
      </c>
      <c r="FO55" s="1193">
        <f t="shared" ca="1" si="58"/>
        <v>-1853.86</v>
      </c>
      <c r="FP55" s="1193">
        <f t="shared" si="59"/>
        <v>-3000</v>
      </c>
      <c r="FQ55" s="1193">
        <f t="shared" ca="1" si="60"/>
        <v>-1853.86</v>
      </c>
      <c r="FR55" s="1194">
        <f t="shared" ca="1" si="61"/>
        <v>1146.1400000000001</v>
      </c>
      <c r="FS55" s="1195">
        <f ca="1">FO55/$FP$15</f>
        <v>-1.7925788977998154E-3</v>
      </c>
      <c r="FT55" s="1195">
        <f>FP55/$FP$15</f>
        <v>-2.9008321520500179E-3</v>
      </c>
      <c r="FU55" s="1195">
        <f ca="1">FQ55/$FQ$15</f>
        <v>-1.1693707200259574E-2</v>
      </c>
      <c r="FV55" s="1171"/>
      <c r="FW55" s="1196">
        <v>0</v>
      </c>
    </row>
    <row r="56" spans="1:179" s="883" customFormat="1" ht="16.5" customHeight="1" x14ac:dyDescent="0.2">
      <c r="A56" s="1179" t="s">
        <v>263</v>
      </c>
      <c r="B56" s="1167" t="str">
        <f>'Struktur Aktuell'!B355</f>
        <v>Vorläufiges Ergebnis vor Steuern</v>
      </c>
      <c r="C56" s="1180">
        <f ca="1">C44+C47+C55</f>
        <v>-15166.279999999982</v>
      </c>
      <c r="D56" s="1180">
        <f>D44+D47+D55</f>
        <v>255541.1333333331</v>
      </c>
      <c r="E56" s="1180">
        <f ca="1">E44+E47+E55</f>
        <v>-10416.279999999982</v>
      </c>
      <c r="F56" s="1181">
        <f t="shared" ca="1" si="1"/>
        <v>-265957.4133333331</v>
      </c>
      <c r="G56" s="1182">
        <f t="shared" ca="1" si="115"/>
        <v>-9.8491393754126869E-2</v>
      </c>
      <c r="H56" s="1182">
        <f t="shared" si="115"/>
        <v>0.24709397858154442</v>
      </c>
      <c r="I56" s="1182">
        <f t="shared" ca="1" si="115"/>
        <v>-6.5703412574800474E-2</v>
      </c>
      <c r="J56" s="1180">
        <f ca="1">J44+J47+J55</f>
        <v>-14219.660000000002</v>
      </c>
      <c r="K56" s="1180">
        <f>K44+K47+K55</f>
        <v>-4093.7594444444476</v>
      </c>
      <c r="L56" s="1180">
        <f ca="1">L44+L47+L55</f>
        <v>-9298.6600000000017</v>
      </c>
      <c r="M56" s="1181">
        <f t="shared" ca="1" si="2"/>
        <v>-5204.9005555555541</v>
      </c>
      <c r="N56" s="1182">
        <f t="shared" ca="1" si="116"/>
        <v>-1.3007646520188405</v>
      </c>
      <c r="O56" s="1182">
        <f t="shared" si="116"/>
        <v>-6.5973938995571524E-2</v>
      </c>
      <c r="P56" s="1182">
        <f t="shared" ca="1" si="116"/>
        <v>-0.8308480249326069</v>
      </c>
      <c r="Q56" s="1180">
        <f t="shared" ca="1" si="75"/>
        <v>-14219.660000000002</v>
      </c>
      <c r="R56" s="1180">
        <f t="shared" si="76"/>
        <v>-4093.7594444444476</v>
      </c>
      <c r="S56" s="1180">
        <f t="shared" ca="1" si="77"/>
        <v>-9298.6600000000017</v>
      </c>
      <c r="T56" s="1181">
        <f t="shared" ca="1" si="6"/>
        <v>-5204.9005555555541</v>
      </c>
      <c r="U56" s="1182">
        <f t="shared" ca="1" si="117"/>
        <v>-1.3007646520188405</v>
      </c>
      <c r="V56" s="1182">
        <f t="shared" si="117"/>
        <v>-6.5973938995571524E-2</v>
      </c>
      <c r="W56" s="1182">
        <f t="shared" ca="1" si="117"/>
        <v>-0.8308480249326069</v>
      </c>
      <c r="X56" s="1180">
        <f ca="1">X44+X47+X55</f>
        <v>-3300.9799999999973</v>
      </c>
      <c r="Y56" s="1180">
        <f>Y44+Y47+Y55</f>
        <v>16521.960555555561</v>
      </c>
      <c r="Z56" s="1180">
        <f ca="1">Z44+Z47+Z55</f>
        <v>-10049.98</v>
      </c>
      <c r="AA56" s="1181">
        <f t="shared" ca="1" si="7"/>
        <v>-26571.94055555556</v>
      </c>
      <c r="AB56" s="1182">
        <f ca="1">X56/$Y$15</f>
        <v>-3.9898287155308583E-2</v>
      </c>
      <c r="AC56" s="1182">
        <f>Y56/$Y$15</f>
        <v>0.19969764331024062</v>
      </c>
      <c r="AD56" s="1182">
        <f ca="1">Z56/$Z$15</f>
        <v>-0.8460540549641582</v>
      </c>
      <c r="AE56" s="1180">
        <f t="shared" ca="1" si="78"/>
        <v>-17520.64</v>
      </c>
      <c r="AF56" s="1180">
        <f t="shared" si="79"/>
        <v>12428.201111111113</v>
      </c>
      <c r="AG56" s="1180">
        <f t="shared" ca="1" si="80"/>
        <v>-19348.64</v>
      </c>
      <c r="AH56" s="1181">
        <f t="shared" ca="1" si="11"/>
        <v>-31776.841111111113</v>
      </c>
      <c r="AI56" s="1182">
        <f ca="1">AE56/$AF$15</f>
        <v>-0.12101056151546101</v>
      </c>
      <c r="AJ56" s="1182">
        <f>AF56/$AF$15</f>
        <v>8.583839375060684E-2</v>
      </c>
      <c r="AK56" s="1182">
        <f ca="1">AG56/$AG$15</f>
        <v>-0.838677405959666</v>
      </c>
      <c r="AL56" s="1180">
        <f ca="1">AL44+AL47+AL55</f>
        <v>-2047.75</v>
      </c>
      <c r="AM56" s="1180">
        <f>AM44+AM47+AM55</f>
        <v>37137.680555555562</v>
      </c>
      <c r="AN56" s="1180">
        <f ca="1">AN44+AN47+AN55</f>
        <v>281.25000000000023</v>
      </c>
      <c r="AO56" s="1181">
        <f t="shared" ca="1" si="12"/>
        <v>-36856.430555555562</v>
      </c>
      <c r="AP56" s="1182">
        <f ca="1">AL56/$AM$15</f>
        <v>-1.9800596797868081E-2</v>
      </c>
      <c r="AQ56" s="1182">
        <f>AM56/$AM$15</f>
        <v>0.35910059269372779</v>
      </c>
      <c r="AR56" s="1182">
        <f ca="1">AN56/$AN$15</f>
        <v>0.87890625000000067</v>
      </c>
      <c r="AS56" s="1180">
        <f t="shared" ca="1" si="81"/>
        <v>-19568.39</v>
      </c>
      <c r="AT56" s="1180">
        <f t="shared" si="82"/>
        <v>49565.881666666675</v>
      </c>
      <c r="AU56" s="1180">
        <f t="shared" ca="1" si="83"/>
        <v>-19067.39</v>
      </c>
      <c r="AV56" s="1181">
        <f t="shared" ca="1" si="16"/>
        <v>-68633.271666666667</v>
      </c>
      <c r="AW56" s="1182">
        <f ca="1">AS56/$AT$15</f>
        <v>-7.8839742883130629E-2</v>
      </c>
      <c r="AX56" s="1182">
        <f>AT56/$AT$15</f>
        <v>0.19969764331024059</v>
      </c>
      <c r="AY56" s="1182">
        <f ca="1">AU56/$AU$15</f>
        <v>-0.81517946236108618</v>
      </c>
      <c r="AZ56" s="1180">
        <f ca="1">AZ44+AZ47+AZ55</f>
        <v>-9755.7800000000025</v>
      </c>
      <c r="BA56" s="1180">
        <f>BA44+BA47+BA55</f>
        <v>6214.1005555555612</v>
      </c>
      <c r="BB56" s="1180">
        <f ca="1">BB44+BB47+BB55</f>
        <v>-15159.780000000002</v>
      </c>
      <c r="BC56" s="1181">
        <f t="shared" ca="1" si="17"/>
        <v>-21373.880555555563</v>
      </c>
      <c r="BD56" s="1182">
        <f ca="1">AZ56/$BA$15</f>
        <v>-0.13476133472536445</v>
      </c>
      <c r="BE56" s="1182">
        <f>BA56/$BA$15</f>
        <v>8.5838393750606909E-2</v>
      </c>
      <c r="BF56" s="1182">
        <f ca="1">BB56/$BB$15</f>
        <v>-1.1682748660818532</v>
      </c>
      <c r="BG56" s="1180">
        <f t="shared" ca="1" si="84"/>
        <v>-29324.170000000002</v>
      </c>
      <c r="BH56" s="1180">
        <f t="shared" si="85"/>
        <v>55779.982222222236</v>
      </c>
      <c r="BI56" s="1180">
        <f t="shared" ca="1" si="86"/>
        <v>-34227.17</v>
      </c>
      <c r="BJ56" s="1181">
        <f t="shared" ca="1" si="21"/>
        <v>-90007.152222222241</v>
      </c>
      <c r="BK56" s="1182">
        <f ca="1">BG56/$BH$15</f>
        <v>-9.146719910557051E-2</v>
      </c>
      <c r="BL56" s="1182">
        <f>BH56/$BH$15</f>
        <v>0.17398749018387169</v>
      </c>
      <c r="BM56" s="1182">
        <f ca="1">BI56/$BI$15</f>
        <v>-0.94116969320500676</v>
      </c>
      <c r="BN56" s="1180">
        <f ca="1">BN44+BN47+BN55</f>
        <v>-21168.519999999997</v>
      </c>
      <c r="BO56" s="1180">
        <f>BO44+BO47+BO55</f>
        <v>12680.231388888895</v>
      </c>
      <c r="BP56" s="1180">
        <f ca="1">BP44+BP47+BP55</f>
        <v>-11479.519999999999</v>
      </c>
      <c r="BQ56" s="1181">
        <f t="shared" ca="1" si="22"/>
        <v>-24159.751388888893</v>
      </c>
      <c r="BR56" s="1182">
        <f ca="1">BN56/$BO$15</f>
        <v>-0.25585968094714101</v>
      </c>
      <c r="BS56" s="1182">
        <f>BO56/$BO$15</f>
        <v>0.15326342878467816</v>
      </c>
      <c r="BT56" s="1182">
        <f ca="1">BP56/$BP$15</f>
        <v>-1.4796799736018176</v>
      </c>
      <c r="BU56" s="1180">
        <f t="shared" ca="1" si="87"/>
        <v>-50492.69</v>
      </c>
      <c r="BV56" s="1180">
        <f t="shared" si="88"/>
        <v>68460.213611111132</v>
      </c>
      <c r="BW56" s="1180">
        <f t="shared" ca="1" si="89"/>
        <v>-45706.689999999995</v>
      </c>
      <c r="BX56" s="1181">
        <f t="shared" ca="1" si="26"/>
        <v>-114166.90361111113</v>
      </c>
      <c r="BY56" s="1182">
        <f ca="1">BU56/$BV$15</f>
        <v>-0.12518873384230292</v>
      </c>
      <c r="BZ56" s="1182">
        <f>BV56/$BV$15</f>
        <v>0.16973640066608839</v>
      </c>
      <c r="CA56" s="1182">
        <f ca="1">BW56/$BW$15</f>
        <v>-1.0358517693248728</v>
      </c>
      <c r="CB56" s="1180">
        <f ca="1">CB44+CB47+CB55</f>
        <v>4445.2700000000004</v>
      </c>
      <c r="CC56" s="1180">
        <f>CC44+CC47+CC55</f>
        <v>21416.231388888893</v>
      </c>
      <c r="CD56" s="1180">
        <f ca="1">CD44+CD47+CD55</f>
        <v>147.27000000000001</v>
      </c>
      <c r="CE56" s="1181">
        <f t="shared" ca="1" si="27"/>
        <v>-21268.961388888893</v>
      </c>
      <c r="CF56" s="1182">
        <f ca="1">CB56/$CC$15</f>
        <v>5.3729092252264105E-2</v>
      </c>
      <c r="CG56" s="1182">
        <f>CC56/$CC$15</f>
        <v>0.25885371911929878</v>
      </c>
      <c r="CH56" s="1182" t="e">
        <f ca="1">CD56/$CD$15</f>
        <v>#DIV/0!</v>
      </c>
      <c r="CI56" s="1180">
        <f t="shared" ca="1" si="90"/>
        <v>-46047.42</v>
      </c>
      <c r="CJ56" s="1180">
        <f t="shared" si="91"/>
        <v>89876.445000000022</v>
      </c>
      <c r="CK56" s="1180">
        <f t="shared" ca="1" si="92"/>
        <v>-45559.42</v>
      </c>
      <c r="CL56" s="1181">
        <f t="shared" ca="1" si="93"/>
        <v>-135435.86500000002</v>
      </c>
      <c r="CM56" s="1182">
        <f ca="1">CI56/$CJ$15</f>
        <v>-9.4734635783653209E-2</v>
      </c>
      <c r="CN56" s="1182">
        <f>CJ56/$CJ$15</f>
        <v>0.18490530593471996</v>
      </c>
      <c r="CO56" s="1182">
        <f ca="1">CK56/$CK$15</f>
        <v>-1.0325141859192823</v>
      </c>
      <c r="CP56" s="1180">
        <f ca="1">CP44+CP47+CP55</f>
        <v>23973.330000000005</v>
      </c>
      <c r="CQ56" s="1180">
        <f>CQ44+CQ47+CQ55</f>
        <v>21416.231388888893</v>
      </c>
      <c r="CR56" s="1180">
        <f ca="1">CR44+CR47+CR55</f>
        <v>22230.330000000005</v>
      </c>
      <c r="CS56" s="1181">
        <f t="shared" ca="1" si="94"/>
        <v>814.0986111111124</v>
      </c>
      <c r="CT56" s="1182">
        <f ca="1">CP56/$CQ$15</f>
        <v>0.28976086023210529</v>
      </c>
      <c r="CU56" s="1182">
        <f>CQ56/$CQ$15</f>
        <v>0.25885371911929878</v>
      </c>
      <c r="CV56" s="1182">
        <f ca="1">CR56/$CR$15</f>
        <v>0.43108451341694276</v>
      </c>
      <c r="CW56" s="1180">
        <f t="shared" ca="1" si="95"/>
        <v>-22074.089999999993</v>
      </c>
      <c r="CX56" s="1180">
        <f t="shared" si="96"/>
        <v>111292.67638888891</v>
      </c>
      <c r="CY56" s="1180">
        <f t="shared" ca="1" si="97"/>
        <v>-23329.089999999993</v>
      </c>
      <c r="CZ56" s="1181">
        <f t="shared" ca="1" si="36"/>
        <v>-134621.76638888891</v>
      </c>
      <c r="DA56" s="1182">
        <f ca="1">CW56/$CX$15</f>
        <v>-3.8808018181361065E-2</v>
      </c>
      <c r="DB56" s="1182">
        <f>CX56/$CX$15</f>
        <v>0.19566143876156777</v>
      </c>
      <c r="DC56" s="1182">
        <f ca="1">CY56/$CY$15</f>
        <v>-0.2437906716804718</v>
      </c>
      <c r="DD56" s="1180">
        <f ca="1">DD44+DD47+DD55</f>
        <v>1143.8100000000011</v>
      </c>
      <c r="DE56" s="1180">
        <f>DE44+DE47+DE55</f>
        <v>8233.9713888888928</v>
      </c>
      <c r="DF56" s="1180">
        <f ca="1">DF44+DF47+DF55</f>
        <v>6551.8100000000013</v>
      </c>
      <c r="DG56" s="1181">
        <f t="shared" ca="1" si="37"/>
        <v>-1682.1613888888915</v>
      </c>
      <c r="DH56" s="1182">
        <f ca="1">DD56/$DE$15</f>
        <v>1.5800003923030163E-2</v>
      </c>
      <c r="DI56" s="1182">
        <f>DE56/$DE$15</f>
        <v>0.1137398521140421</v>
      </c>
      <c r="DJ56" s="1182">
        <f ca="1">DF56/$DF$15</f>
        <v>0.33893271380099343</v>
      </c>
      <c r="DK56" s="1180">
        <f t="shared" ca="1" si="98"/>
        <v>-20930.279999999992</v>
      </c>
      <c r="DL56" s="1180">
        <f t="shared" si="99"/>
        <v>119526.64777777781</v>
      </c>
      <c r="DM56" s="1180">
        <f t="shared" ca="1" si="100"/>
        <v>-16777.279999999992</v>
      </c>
      <c r="DN56" s="1181">
        <f t="shared" ca="1" si="101"/>
        <v>-136303.9277777778</v>
      </c>
      <c r="DO56" s="1182">
        <f ca="1">DK56/$DL$15</f>
        <v>-3.2642596330865283E-2</v>
      </c>
      <c r="DP56" s="1182">
        <f>DL56/$DL$15</f>
        <v>0.1864122273658794</v>
      </c>
      <c r="DQ56" s="1182">
        <f ca="1">DM56/$DM$15</f>
        <v>-0.14585916674831631</v>
      </c>
      <c r="DR56" s="1180">
        <f ca="1">DR44+DR47+DR55</f>
        <v>-7377.869999999999</v>
      </c>
      <c r="DS56" s="1180">
        <f>DS44+DS47+DS55</f>
        <v>39157.551388888896</v>
      </c>
      <c r="DT56" s="1180">
        <f ca="1">DT44+DT47+DT55</f>
        <v>-7377.869999999999</v>
      </c>
      <c r="DU56" s="1181">
        <f t="shared" ca="1" si="102"/>
        <v>-46535.421388888892</v>
      </c>
      <c r="DV56" s="1182">
        <f ca="1">DR56/$DS$15</f>
        <v>-7.1339875032150876E-2</v>
      </c>
      <c r="DW56" s="1182">
        <f>DS56/$DS$15</f>
        <v>0.37863161354813246</v>
      </c>
      <c r="DX56" s="1182">
        <f ca="1">DT56/$DT$15</f>
        <v>-0.6750795368971596</v>
      </c>
      <c r="DY56" s="1180">
        <f t="shared" ca="1" si="103"/>
        <v>-28308.149999999991</v>
      </c>
      <c r="DZ56" s="1180">
        <f t="shared" si="104"/>
        <v>158684.19916666672</v>
      </c>
      <c r="EA56" s="1180">
        <f t="shared" ca="1" si="105"/>
        <v>-24155.149999999991</v>
      </c>
      <c r="EB56" s="1181">
        <f t="shared" ca="1" si="106"/>
        <v>-182839.34916666671</v>
      </c>
      <c r="EC56" s="1182">
        <f ca="1">DY56/$DZ$15</f>
        <v>-3.8017218372710507E-2</v>
      </c>
      <c r="ED56" s="1182">
        <f>DZ56/$DZ$15</f>
        <v>0.21310936433563679</v>
      </c>
      <c r="EE56" s="1182">
        <f ca="1">EA56/$EA$15</f>
        <v>-0.19177950265782262</v>
      </c>
      <c r="EF56" s="1180">
        <f ca="1">EF44+EF47+EF55</f>
        <v>13988.869999999997</v>
      </c>
      <c r="EG56" s="1180">
        <f>EG44+EG47+EG55</f>
        <v>39157.551388888896</v>
      </c>
      <c r="EH56" s="1180">
        <f ca="1">EH44+EH47+EH55</f>
        <v>6076.8700000000008</v>
      </c>
      <c r="EI56" s="1181">
        <f t="shared" ca="1" si="107"/>
        <v>-33080.681388888894</v>
      </c>
      <c r="EJ56" s="1182">
        <f ca="1">EF56/$EG$15</f>
        <v>0.13526454622282641</v>
      </c>
      <c r="EK56" s="1182">
        <f>EG56/$EG$15</f>
        <v>0.37863161354813246</v>
      </c>
      <c r="EL56" s="1182">
        <f ca="1">EH56/$EH$15</f>
        <v>0.18572272962324102</v>
      </c>
      <c r="EM56" s="1180">
        <f t="shared" ca="1" si="108"/>
        <v>-14319.279999999993</v>
      </c>
      <c r="EN56" s="1180">
        <f t="shared" si="109"/>
        <v>197841.75055555563</v>
      </c>
      <c r="EO56" s="1180">
        <f t="shared" ca="1" si="110"/>
        <v>-18078.279999999992</v>
      </c>
      <c r="EP56" s="1181">
        <f t="shared" ca="1" si="111"/>
        <v>-215920.03055555563</v>
      </c>
      <c r="EQ56" s="1182">
        <f ca="1">EM56/$EN$15</f>
        <v>-1.6885295861059659E-2</v>
      </c>
      <c r="ER56" s="1182">
        <f>EN56/$EN$15</f>
        <v>0.23329500448350216</v>
      </c>
      <c r="ES56" s="1182">
        <f ca="1">EO56/$EO$15</f>
        <v>-0.11393430658958388</v>
      </c>
      <c r="ET56" s="1180">
        <f ca="1">ET44+ET47+ET55</f>
        <v>-316</v>
      </c>
      <c r="EU56" s="1180">
        <f>EU44+EU47+EU55</f>
        <v>28849.691388888878</v>
      </c>
      <c r="EV56" s="1180">
        <f ca="1">EV44+EV47+EV55</f>
        <v>7153</v>
      </c>
      <c r="EW56" s="1181">
        <f t="shared" ca="1" si="112"/>
        <v>-21696.691388888878</v>
      </c>
      <c r="EX56" s="1182">
        <f ca="1">ET56/$K$15</f>
        <v>-5.092572000265588E-3</v>
      </c>
      <c r="EY56" s="1182">
        <f>EU56/$K$15</f>
        <v>0.46493395754227446</v>
      </c>
      <c r="EZ56" s="1182">
        <f ca="1">EV56/$EV$15</f>
        <v>-42.076470588235296</v>
      </c>
      <c r="FA56" s="1180">
        <f t="shared" ca="1" si="53"/>
        <v>-14635.279999999993</v>
      </c>
      <c r="FB56" s="1180">
        <f t="shared" si="54"/>
        <v>226691.44194444449</v>
      </c>
      <c r="FC56" s="1180">
        <f t="shared" ca="1" si="55"/>
        <v>-10925.279999999992</v>
      </c>
      <c r="FD56" s="1181">
        <f t="shared" ca="1" si="56"/>
        <v>-237616.72194444449</v>
      </c>
      <c r="FE56" s="1182">
        <f ca="1">FA56/$FB$15</f>
        <v>-1.5551095523170171E-2</v>
      </c>
      <c r="FF56" s="1182">
        <f>FB56/$FB$15</f>
        <v>0.24087685838352552</v>
      </c>
      <c r="FG56" s="1182">
        <f ca="1">FC56/$FC$15</f>
        <v>-6.8927976306291994E-2</v>
      </c>
      <c r="FH56" s="1180">
        <f ca="1">FH44+FH47+FH55</f>
        <v>-531</v>
      </c>
      <c r="FI56" s="1180">
        <f>FI44+FI47+FI55</f>
        <v>28849.691388888878</v>
      </c>
      <c r="FJ56" s="1180">
        <f ca="1">FJ44+FJ47+FJ55</f>
        <v>509</v>
      </c>
      <c r="FK56" s="1181">
        <f t="shared" ca="1" si="57"/>
        <v>-28340.691388888878</v>
      </c>
      <c r="FL56" s="1182">
        <f ca="1">FH56/$FI$15</f>
        <v>-5.7049698990317031E-3</v>
      </c>
      <c r="FM56" s="1182">
        <f>FI56/$FI$15</f>
        <v>0.30995597169484967</v>
      </c>
      <c r="FN56" s="1182">
        <f ca="1">FJ56/$FJ$15</f>
        <v>15.90625</v>
      </c>
      <c r="FO56" s="1180">
        <f t="shared" ca="1" si="58"/>
        <v>-15166.279999999993</v>
      </c>
      <c r="FP56" s="1180">
        <f t="shared" si="59"/>
        <v>255541.13333333336</v>
      </c>
      <c r="FQ56" s="1180">
        <f t="shared" ca="1" si="60"/>
        <v>-10416.279999999992</v>
      </c>
      <c r="FR56" s="1181">
        <f t="shared" ca="1" si="61"/>
        <v>-265957.41333333333</v>
      </c>
      <c r="FS56" s="1182">
        <f ca="1">FO56/$FP$15</f>
        <v>-1.4664944216997709E-2</v>
      </c>
      <c r="FT56" s="1182">
        <f>FP56/$FP$15</f>
        <v>0.24709397858154467</v>
      </c>
      <c r="FU56" s="1182">
        <f ca="1">FQ56/$FQ$15</f>
        <v>-6.5703412574800529E-2</v>
      </c>
      <c r="FV56" s="1171"/>
      <c r="FW56" s="1183">
        <v>0</v>
      </c>
    </row>
    <row r="57" spans="1:179" s="883" customFormat="1" x14ac:dyDescent="0.2">
      <c r="A57" s="1160">
        <v>35</v>
      </c>
      <c r="B57" s="1160" t="str">
        <f>'Struktur Aktuell'!B356</f>
        <v>Steuern aus Einkommen und Ertrag</v>
      </c>
      <c r="C57" s="1173">
        <f t="shared" ref="C57:E58" ca="1" si="118">J57+X57+AL57+AZ57+BN57+CB57+CP57+DD57+DR57+EF57+ET57+FH57</f>
        <v>0</v>
      </c>
      <c r="D57" s="1174">
        <f t="shared" si="118"/>
        <v>76662.340000000011</v>
      </c>
      <c r="E57" s="1187">
        <f t="shared" ca="1" si="118"/>
        <v>0</v>
      </c>
      <c r="F57" s="1249">
        <f t="shared" ca="1" si="1"/>
        <v>-76662.340000000011</v>
      </c>
      <c r="G57" s="1250"/>
      <c r="H57" s="1250"/>
      <c r="I57" s="1250"/>
      <c r="J57" s="1173">
        <f ca="1">SUMIF('Struktur Vorjahr'!$A:$A,'Planzahlen Rentabilität'!$A57,'Struktur Vorjahr'!G:G)</f>
        <v>0</v>
      </c>
      <c r="K57" s="1174">
        <f>K56*$D$8</f>
        <v>-1228.1278333333341</v>
      </c>
      <c r="L57" s="1187">
        <f ca="1">SUMIF('Struktur Aktuell'!$A:$A,'Planzahlen Rentabilität'!$A57,'Struktur Aktuell'!G:G)</f>
        <v>0</v>
      </c>
      <c r="M57" s="1249">
        <f t="shared" ca="1" si="2"/>
        <v>1228.1278333333341</v>
      </c>
      <c r="N57" s="1250"/>
      <c r="O57" s="1250"/>
      <c r="P57" s="1250"/>
      <c r="Q57" s="1173">
        <f t="shared" ca="1" si="75"/>
        <v>0</v>
      </c>
      <c r="R57" s="1174">
        <f t="shared" si="76"/>
        <v>-1228.1278333333341</v>
      </c>
      <c r="S57" s="1175">
        <f t="shared" ca="1" si="77"/>
        <v>0</v>
      </c>
      <c r="T57" s="1249">
        <f t="shared" ca="1" si="6"/>
        <v>1228.1278333333341</v>
      </c>
      <c r="U57" s="1250"/>
      <c r="V57" s="1250"/>
      <c r="W57" s="1250"/>
      <c r="X57" s="1173">
        <f ca="1">SUMIF('Struktur Vorjahr'!$A:$A,'Planzahlen Rentabilität'!$A57,'Struktur Vorjahr'!H:H)</f>
        <v>93</v>
      </c>
      <c r="Y57" s="1174">
        <f>Y56*$D$8</f>
        <v>4956.5881666666683</v>
      </c>
      <c r="Z57" s="1175">
        <f ca="1">SUMIF('Struktur Aktuell'!$A:$A,'Planzahlen Rentabilität'!$A57,'Struktur Aktuell'!H:H)</f>
        <v>93</v>
      </c>
      <c r="AA57" s="1249">
        <f t="shared" ca="1" si="7"/>
        <v>-4863.5881666666683</v>
      </c>
      <c r="AB57" s="1250"/>
      <c r="AC57" s="1250"/>
      <c r="AD57" s="1250"/>
      <c r="AE57" s="1173">
        <f t="shared" ca="1" si="78"/>
        <v>93</v>
      </c>
      <c r="AF57" s="1174">
        <f t="shared" si="79"/>
        <v>3728.4603333333343</v>
      </c>
      <c r="AG57" s="1175">
        <f t="shared" ca="1" si="80"/>
        <v>93</v>
      </c>
      <c r="AH57" s="1249">
        <f t="shared" ca="1" si="11"/>
        <v>-3635.4603333333343</v>
      </c>
      <c r="AI57" s="1250"/>
      <c r="AJ57" s="1250"/>
      <c r="AK57" s="1250"/>
      <c r="AL57" s="1173">
        <v>0</v>
      </c>
      <c r="AM57" s="1174">
        <f>AM56*$D$8</f>
        <v>11141.304166666669</v>
      </c>
      <c r="AN57" s="1175">
        <v>0</v>
      </c>
      <c r="AO57" s="1249">
        <f t="shared" si="12"/>
        <v>-11141.304166666669</v>
      </c>
      <c r="AP57" s="1250"/>
      <c r="AQ57" s="1250"/>
      <c r="AR57" s="1250"/>
      <c r="AS57" s="1173">
        <f t="shared" ca="1" si="81"/>
        <v>93</v>
      </c>
      <c r="AT57" s="1174">
        <f t="shared" si="82"/>
        <v>14869.764500000003</v>
      </c>
      <c r="AU57" s="1175">
        <f t="shared" ca="1" si="83"/>
        <v>93</v>
      </c>
      <c r="AV57" s="1249">
        <f t="shared" ca="1" si="16"/>
        <v>-14776.764500000003</v>
      </c>
      <c r="AW57" s="1250"/>
      <c r="AX57" s="1250"/>
      <c r="AY57" s="1250"/>
      <c r="AZ57" s="1173">
        <f ca="1">SUMIF('Struktur Vorjahr'!$A:$A,'Planzahlen Rentabilität'!$A57,'Struktur Vorjahr'!J:J)</f>
        <v>0</v>
      </c>
      <c r="BA57" s="1174">
        <f>BA56*$D$8</f>
        <v>1864.2301666666683</v>
      </c>
      <c r="BB57" s="1175">
        <f ca="1">SUMIF('Struktur Aktuell'!$A:$A,'Planzahlen Rentabilität'!$A57,'Struktur Aktuell'!J:J)</f>
        <v>0</v>
      </c>
      <c r="BC57" s="1249">
        <f t="shared" ca="1" si="17"/>
        <v>-1864.2301666666683</v>
      </c>
      <c r="BD57" s="1250"/>
      <c r="BE57" s="1250"/>
      <c r="BF57" s="1250"/>
      <c r="BG57" s="1173">
        <f t="shared" ca="1" si="84"/>
        <v>93</v>
      </c>
      <c r="BH57" s="1174">
        <f t="shared" si="85"/>
        <v>16733.994666666673</v>
      </c>
      <c r="BI57" s="1175">
        <f t="shared" ca="1" si="86"/>
        <v>93</v>
      </c>
      <c r="BJ57" s="1249">
        <f t="shared" ca="1" si="21"/>
        <v>-16640.994666666673</v>
      </c>
      <c r="BK57" s="1250"/>
      <c r="BL57" s="1250"/>
      <c r="BM57" s="1250"/>
      <c r="BN57" s="1173">
        <f ca="1">SUMIF('Struktur Vorjahr'!$A:$A,'Planzahlen Rentabilität'!$A57,'Struktur Vorjahr'!K:K)</f>
        <v>5416.5</v>
      </c>
      <c r="BO57" s="1174">
        <f>BO56*$D$8</f>
        <v>3804.0694166666681</v>
      </c>
      <c r="BP57" s="1175">
        <f ca="1">SUMIF('Struktur Aktuell'!$A:$A,'Planzahlen Rentabilität'!$A57,'Struktur Aktuell'!K:K)</f>
        <v>5416.5</v>
      </c>
      <c r="BQ57" s="1249">
        <f t="shared" ca="1" si="22"/>
        <v>1612.4305833333319</v>
      </c>
      <c r="BR57" s="1250"/>
      <c r="BS57" s="1250"/>
      <c r="BT57" s="1250"/>
      <c r="BU57" s="1173">
        <f t="shared" ca="1" si="87"/>
        <v>5509.5</v>
      </c>
      <c r="BV57" s="1174">
        <f t="shared" si="88"/>
        <v>20538.064083333342</v>
      </c>
      <c r="BW57" s="1175">
        <f t="shared" ca="1" si="89"/>
        <v>5509.5</v>
      </c>
      <c r="BX57" s="1249">
        <f t="shared" ca="1" si="26"/>
        <v>-15028.564083333342</v>
      </c>
      <c r="BY57" s="1250"/>
      <c r="BZ57" s="1250"/>
      <c r="CA57" s="1250"/>
      <c r="CB57" s="1173">
        <v>0</v>
      </c>
      <c r="CC57" s="1174">
        <f>CC56*$D$8</f>
        <v>6424.8694166666673</v>
      </c>
      <c r="CD57" s="1175">
        <v>0</v>
      </c>
      <c r="CE57" s="1249">
        <f t="shared" si="27"/>
        <v>-6424.8694166666673</v>
      </c>
      <c r="CF57" s="1250"/>
      <c r="CG57" s="1250"/>
      <c r="CH57" s="1250"/>
      <c r="CI57" s="1173">
        <f t="shared" ca="1" si="90"/>
        <v>5509.5</v>
      </c>
      <c r="CJ57" s="1174">
        <f t="shared" si="91"/>
        <v>26962.93350000001</v>
      </c>
      <c r="CK57" s="1175">
        <f t="shared" ca="1" si="92"/>
        <v>5509.5</v>
      </c>
      <c r="CL57" s="1249">
        <f t="shared" ca="1" si="93"/>
        <v>-21453.43350000001</v>
      </c>
      <c r="CM57" s="1250"/>
      <c r="CN57" s="1250"/>
      <c r="CO57" s="1250"/>
      <c r="CP57" s="1173">
        <f ca="1">SUMIF('Struktur Vorjahr'!$A:$A,'Planzahlen Rentabilität'!$A57,'Struktur Vorjahr'!M:M)</f>
        <v>0</v>
      </c>
      <c r="CQ57" s="1174">
        <f>CQ56*$D$8</f>
        <v>6424.8694166666673</v>
      </c>
      <c r="CR57" s="1175">
        <f ca="1">SUMIF('Struktur Aktuell'!$A:$A,'Planzahlen Rentabilität'!$A57,'Struktur Aktuell'!M:M)</f>
        <v>0</v>
      </c>
      <c r="CS57" s="1249">
        <f t="shared" ca="1" si="94"/>
        <v>-6424.8694166666673</v>
      </c>
      <c r="CT57" s="1250"/>
      <c r="CU57" s="1250"/>
      <c r="CV57" s="1250"/>
      <c r="CW57" s="1173">
        <f t="shared" ca="1" si="95"/>
        <v>5509.5</v>
      </c>
      <c r="CX57" s="1174">
        <f t="shared" si="96"/>
        <v>33387.802916666675</v>
      </c>
      <c r="CY57" s="1175">
        <f t="shared" ca="1" si="97"/>
        <v>5509.5</v>
      </c>
      <c r="CZ57" s="1249">
        <f t="shared" ca="1" si="36"/>
        <v>-27878.302916666675</v>
      </c>
      <c r="DA57" s="1250"/>
      <c r="DB57" s="1250"/>
      <c r="DC57" s="1250"/>
      <c r="DD57" s="1173">
        <f ca="1">SUMIF('Struktur Vorjahr'!$A:$A,'Planzahlen Rentabilität'!$A57,'Struktur Vorjahr'!N:N)</f>
        <v>0</v>
      </c>
      <c r="DE57" s="1174">
        <f>DE56*$D$8</f>
        <v>2470.1914166666679</v>
      </c>
      <c r="DF57" s="1175">
        <f ca="1">SUMIF('Struktur Aktuell'!$A:$A,'Planzahlen Rentabilität'!$A57,'Struktur Aktuell'!N:N)</f>
        <v>0</v>
      </c>
      <c r="DG57" s="1249">
        <f t="shared" ca="1" si="37"/>
        <v>-2470.1914166666679</v>
      </c>
      <c r="DH57" s="1250"/>
      <c r="DI57" s="1250"/>
      <c r="DJ57" s="1250"/>
      <c r="DK57" s="1173">
        <f t="shared" ca="1" si="98"/>
        <v>5509.5</v>
      </c>
      <c r="DL57" s="1174">
        <f t="shared" si="99"/>
        <v>35857.994333333343</v>
      </c>
      <c r="DM57" s="1175">
        <f t="shared" ca="1" si="100"/>
        <v>5509.5</v>
      </c>
      <c r="DN57" s="1249">
        <f t="shared" ca="1" si="101"/>
        <v>-30348.494333333343</v>
      </c>
      <c r="DO57" s="1250"/>
      <c r="DP57" s="1250"/>
      <c r="DQ57" s="1250"/>
      <c r="DR57" s="1173">
        <f ca="1">SUMIF('Struktur Vorjahr'!$A:$A,'Planzahlen Rentabilität'!$A57,'Struktur Vorjahr'!O:O)</f>
        <v>0</v>
      </c>
      <c r="DS57" s="1174">
        <f>DS56*$D$8</f>
        <v>11747.265416666669</v>
      </c>
      <c r="DT57" s="1175">
        <f ca="1">SUMIF('Struktur Aktuell'!$A:$A,'Planzahlen Rentabilität'!$A57,'Struktur Aktuell'!O:O)</f>
        <v>0</v>
      </c>
      <c r="DU57" s="1249">
        <f t="shared" ca="1" si="102"/>
        <v>-11747.265416666669</v>
      </c>
      <c r="DV57" s="1250"/>
      <c r="DW57" s="1250"/>
      <c r="DX57" s="1250"/>
      <c r="DY57" s="1173">
        <f t="shared" ca="1" si="103"/>
        <v>5509.5</v>
      </c>
      <c r="DZ57" s="1174">
        <f t="shared" si="104"/>
        <v>47605.259750000012</v>
      </c>
      <c r="EA57" s="1175">
        <f t="shared" ca="1" si="105"/>
        <v>5509.5</v>
      </c>
      <c r="EB57" s="1249">
        <f t="shared" ca="1" si="106"/>
        <v>-42095.759750000012</v>
      </c>
      <c r="EC57" s="1250"/>
      <c r="ED57" s="1250"/>
      <c r="EE57" s="1250"/>
      <c r="EF57" s="1173">
        <f ca="1">SUMIF('Struktur Vorjahr'!$A:$A,'Planzahlen Rentabilität'!$A57,'Struktur Vorjahr'!P:P)</f>
        <v>-5509.5</v>
      </c>
      <c r="EG57" s="1174">
        <f>EG56*$D$8</f>
        <v>11747.265416666669</v>
      </c>
      <c r="EH57" s="1175">
        <f ca="1">SUMIF('Struktur Aktuell'!$A:$A,'Planzahlen Rentabilität'!$A57,'Struktur Aktuell'!P:P)</f>
        <v>-5509.5</v>
      </c>
      <c r="EI57" s="1249">
        <f t="shared" ca="1" si="107"/>
        <v>-17256.765416666669</v>
      </c>
      <c r="EJ57" s="1250"/>
      <c r="EK57" s="1250"/>
      <c r="EL57" s="1250"/>
      <c r="EM57" s="1173">
        <f t="shared" ca="1" si="108"/>
        <v>0</v>
      </c>
      <c r="EN57" s="1174">
        <f t="shared" si="109"/>
        <v>59352.525166666681</v>
      </c>
      <c r="EO57" s="1175">
        <f t="shared" ca="1" si="110"/>
        <v>0</v>
      </c>
      <c r="EP57" s="1249">
        <f t="shared" ca="1" si="111"/>
        <v>-59352.525166666681</v>
      </c>
      <c r="EQ57" s="1250"/>
      <c r="ER57" s="1250"/>
      <c r="ES57" s="1250"/>
      <c r="ET57" s="1173">
        <f ca="1">SUMIF('Struktur Vorjahr'!$A:$A,'Planzahlen Rentabilität'!$A57,'Struktur Vorjahr'!Q:Q)</f>
        <v>0</v>
      </c>
      <c r="EU57" s="1174">
        <f>EU56*$D$8</f>
        <v>8654.9074166666633</v>
      </c>
      <c r="EV57" s="1175">
        <f ca="1">SUMIF('Struktur Aktuell'!$A:$A,'Planzahlen Rentabilität'!$A57,'Struktur Aktuell'!Q:Q)</f>
        <v>0</v>
      </c>
      <c r="EW57" s="1249">
        <f t="shared" ca="1" si="112"/>
        <v>-8654.9074166666633</v>
      </c>
      <c r="EX57" s="1250"/>
      <c r="EY57" s="1250"/>
      <c r="EZ57" s="1250"/>
      <c r="FA57" s="1173">
        <f t="shared" ca="1" si="53"/>
        <v>0</v>
      </c>
      <c r="FB57" s="1174">
        <f t="shared" si="54"/>
        <v>68007.432583333342</v>
      </c>
      <c r="FC57" s="1175">
        <f t="shared" ca="1" si="55"/>
        <v>0</v>
      </c>
      <c r="FD57" s="1249">
        <f t="shared" ca="1" si="56"/>
        <v>-68007.432583333342</v>
      </c>
      <c r="FE57" s="1250"/>
      <c r="FF57" s="1250"/>
      <c r="FG57" s="1250"/>
      <c r="FH57" s="1173">
        <f ca="1">SUMIF('Struktur Vorjahr'!$A:$A,'Planzahlen Rentabilität'!$A57,'Struktur Vorjahr'!R:R)</f>
        <v>0</v>
      </c>
      <c r="FI57" s="1174">
        <f>FI56*$D$8</f>
        <v>8654.9074166666633</v>
      </c>
      <c r="FJ57" s="1175">
        <f ca="1">SUMIF('Struktur Aktuell'!$A:$A,'Planzahlen Rentabilität'!$A57,'Struktur Aktuell'!R:R)</f>
        <v>0</v>
      </c>
      <c r="FK57" s="1249">
        <f t="shared" ca="1" si="57"/>
        <v>-8654.9074166666633</v>
      </c>
      <c r="FL57" s="1250"/>
      <c r="FM57" s="1250"/>
      <c r="FN57" s="1250"/>
      <c r="FO57" s="1173">
        <f t="shared" ca="1" si="58"/>
        <v>0</v>
      </c>
      <c r="FP57" s="1174">
        <f t="shared" si="59"/>
        <v>76662.340000000011</v>
      </c>
      <c r="FQ57" s="1175">
        <f t="shared" ca="1" si="60"/>
        <v>0</v>
      </c>
      <c r="FR57" s="1249">
        <f t="shared" ca="1" si="61"/>
        <v>-76662.340000000011</v>
      </c>
      <c r="FS57" s="1250"/>
      <c r="FT57" s="1250"/>
      <c r="FU57" s="1250"/>
      <c r="FV57" s="1171"/>
      <c r="FW57" s="1249">
        <v>0</v>
      </c>
    </row>
    <row r="58" spans="1:179" s="883" customFormat="1" x14ac:dyDescent="0.2">
      <c r="A58" s="1160">
        <v>35.1</v>
      </c>
      <c r="B58" s="1263" t="str">
        <f>'Struktur Aktuell'!B366</f>
        <v>davon Privatsteuern</v>
      </c>
      <c r="C58" s="1173">
        <f t="shared" ca="1" si="118"/>
        <v>197.27999999999975</v>
      </c>
      <c r="D58" s="1174">
        <f t="shared" si="118"/>
        <v>0</v>
      </c>
      <c r="E58" s="1175">
        <f t="shared" ca="1" si="118"/>
        <v>197.27999999999975</v>
      </c>
      <c r="F58" s="1249">
        <f t="shared" ca="1" si="1"/>
        <v>197.27999999999975</v>
      </c>
      <c r="G58" s="1250"/>
      <c r="H58" s="1250"/>
      <c r="I58" s="1250"/>
      <c r="J58" s="1173">
        <f ca="1">SUMIF('Struktur Vorjahr'!$A:$A,'Planzahlen Rentabilität'!$A58,'Struktur Vorjahr'!G:G)</f>
        <v>0</v>
      </c>
      <c r="K58" s="1174"/>
      <c r="L58" s="1175">
        <f ca="1">SUMIF('Struktur Aktuell'!$A:$A,'Planzahlen Rentabilität'!$A58,'Struktur Aktuell'!G:G)</f>
        <v>0</v>
      </c>
      <c r="M58" s="1249">
        <f t="shared" ca="1" si="2"/>
        <v>0</v>
      </c>
      <c r="N58" s="1250"/>
      <c r="O58" s="1250"/>
      <c r="P58" s="1250"/>
      <c r="Q58" s="1173">
        <f t="shared" ca="1" si="75"/>
        <v>0</v>
      </c>
      <c r="R58" s="1174">
        <f t="shared" si="76"/>
        <v>0</v>
      </c>
      <c r="S58" s="1175">
        <f t="shared" ca="1" si="77"/>
        <v>0</v>
      </c>
      <c r="T58" s="1249">
        <f t="shared" ca="1" si="6"/>
        <v>0</v>
      </c>
      <c r="U58" s="1250"/>
      <c r="V58" s="1250"/>
      <c r="W58" s="1250"/>
      <c r="X58" s="1173">
        <f ca="1">SUMIF('Struktur Vorjahr'!$A:$A,'Planzahlen Rentabilität'!$A58,'Struktur Vorjahr'!H:H)</f>
        <v>93</v>
      </c>
      <c r="Y58" s="1174">
        <f>K58</f>
        <v>0</v>
      </c>
      <c r="Z58" s="1175">
        <f ca="1">SUMIF('Struktur Aktuell'!$A:$A,'Planzahlen Rentabilität'!$A58,'Struktur Aktuell'!H:H)</f>
        <v>93</v>
      </c>
      <c r="AA58" s="1249">
        <f t="shared" ca="1" si="7"/>
        <v>93</v>
      </c>
      <c r="AB58" s="1250"/>
      <c r="AC58" s="1250"/>
      <c r="AD58" s="1250"/>
      <c r="AE58" s="1173">
        <f t="shared" ca="1" si="78"/>
        <v>93</v>
      </c>
      <c r="AF58" s="1174">
        <f t="shared" si="79"/>
        <v>0</v>
      </c>
      <c r="AG58" s="1175">
        <f t="shared" ca="1" si="80"/>
        <v>93</v>
      </c>
      <c r="AH58" s="1249">
        <f t="shared" ca="1" si="11"/>
        <v>93</v>
      </c>
      <c r="AI58" s="1250"/>
      <c r="AJ58" s="1250"/>
      <c r="AK58" s="1250"/>
      <c r="AL58" s="1173">
        <f ca="1">SUMIF('Struktur Vorjahr'!$A:$A,'Planzahlen Rentabilität'!$A58,'Struktur Vorjahr'!I:I)</f>
        <v>197.28</v>
      </c>
      <c r="AM58" s="1174">
        <f>Y58</f>
        <v>0</v>
      </c>
      <c r="AN58" s="1175">
        <f ca="1">SUMIF('Struktur Aktuell'!$A:$A,'Planzahlen Rentabilität'!$A58,'Struktur Aktuell'!I:I)</f>
        <v>197.28</v>
      </c>
      <c r="AO58" s="1249">
        <f t="shared" ca="1" si="12"/>
        <v>197.28</v>
      </c>
      <c r="AP58" s="1250"/>
      <c r="AQ58" s="1250"/>
      <c r="AR58" s="1250"/>
      <c r="AS58" s="1173">
        <f t="shared" ca="1" si="81"/>
        <v>290.27999999999997</v>
      </c>
      <c r="AT58" s="1174">
        <f t="shared" si="82"/>
        <v>0</v>
      </c>
      <c r="AU58" s="1175">
        <f t="shared" ca="1" si="83"/>
        <v>290.27999999999997</v>
      </c>
      <c r="AV58" s="1249">
        <f t="shared" ca="1" si="16"/>
        <v>290.27999999999997</v>
      </c>
      <c r="AW58" s="1250"/>
      <c r="AX58" s="1250"/>
      <c r="AY58" s="1250"/>
      <c r="AZ58" s="1173">
        <f ca="1">SUMIF('Struktur Vorjahr'!$A:$A,'Planzahlen Rentabilität'!$A58,'Struktur Vorjahr'!J:J)</f>
        <v>0</v>
      </c>
      <c r="BA58" s="1174">
        <f>AM58</f>
        <v>0</v>
      </c>
      <c r="BB58" s="1175">
        <f ca="1">SUMIF('Struktur Aktuell'!$A:$A,'Planzahlen Rentabilität'!$A58,'Struktur Aktuell'!J:J)</f>
        <v>0</v>
      </c>
      <c r="BC58" s="1249">
        <f t="shared" ca="1" si="17"/>
        <v>0</v>
      </c>
      <c r="BD58" s="1250"/>
      <c r="BE58" s="1250"/>
      <c r="BF58" s="1250"/>
      <c r="BG58" s="1173">
        <f t="shared" ca="1" si="84"/>
        <v>290.27999999999997</v>
      </c>
      <c r="BH58" s="1174">
        <f t="shared" si="85"/>
        <v>0</v>
      </c>
      <c r="BI58" s="1175">
        <f t="shared" ca="1" si="86"/>
        <v>290.27999999999997</v>
      </c>
      <c r="BJ58" s="1249">
        <f t="shared" ca="1" si="21"/>
        <v>290.27999999999997</v>
      </c>
      <c r="BK58" s="1250"/>
      <c r="BL58" s="1250"/>
      <c r="BM58" s="1250"/>
      <c r="BN58" s="1173">
        <f ca="1">SUMIF('Struktur Vorjahr'!$A:$A,'Planzahlen Rentabilität'!$A58,'Struktur Vorjahr'!K:K)</f>
        <v>5416.5</v>
      </c>
      <c r="BO58" s="1174">
        <f>BA58</f>
        <v>0</v>
      </c>
      <c r="BP58" s="1175">
        <f ca="1">SUMIF('Struktur Aktuell'!$A:$A,'Planzahlen Rentabilität'!$A58,'Struktur Aktuell'!K:K)</f>
        <v>5416.5</v>
      </c>
      <c r="BQ58" s="1249">
        <f t="shared" ca="1" si="22"/>
        <v>5416.5</v>
      </c>
      <c r="BR58" s="1250"/>
      <c r="BS58" s="1250"/>
      <c r="BT58" s="1250"/>
      <c r="BU58" s="1173">
        <f t="shared" ca="1" si="87"/>
        <v>5706.78</v>
      </c>
      <c r="BV58" s="1174">
        <f t="shared" si="88"/>
        <v>0</v>
      </c>
      <c r="BW58" s="1175">
        <f t="shared" ca="1" si="89"/>
        <v>5706.78</v>
      </c>
      <c r="BX58" s="1249">
        <f t="shared" ca="1" si="26"/>
        <v>5706.78</v>
      </c>
      <c r="BY58" s="1250"/>
      <c r="BZ58" s="1250"/>
      <c r="CA58" s="1250"/>
      <c r="CB58" s="1173">
        <f ca="1">SUMIF('Struktur Vorjahr'!$A:$A,'Planzahlen Rentabilität'!$A58,'Struktur Vorjahr'!L:L)</f>
        <v>0</v>
      </c>
      <c r="CC58" s="1174">
        <f>BO58</f>
        <v>0</v>
      </c>
      <c r="CD58" s="1175">
        <f ca="1">SUMIF('Struktur Aktuell'!$A:$A,'Planzahlen Rentabilität'!$A58,'Struktur Aktuell'!L:L)</f>
        <v>0</v>
      </c>
      <c r="CE58" s="1249">
        <f t="shared" ca="1" si="27"/>
        <v>0</v>
      </c>
      <c r="CF58" s="1250"/>
      <c r="CG58" s="1250"/>
      <c r="CH58" s="1250"/>
      <c r="CI58" s="1173">
        <f t="shared" ca="1" si="90"/>
        <v>5706.78</v>
      </c>
      <c r="CJ58" s="1174">
        <f t="shared" si="91"/>
        <v>0</v>
      </c>
      <c r="CK58" s="1175">
        <f t="shared" ca="1" si="92"/>
        <v>5706.78</v>
      </c>
      <c r="CL58" s="1249">
        <f t="shared" ca="1" si="93"/>
        <v>5706.78</v>
      </c>
      <c r="CM58" s="1250"/>
      <c r="CN58" s="1250"/>
      <c r="CO58" s="1250"/>
      <c r="CP58" s="1173">
        <f ca="1">SUMIF('Struktur Vorjahr'!$A:$A,'Planzahlen Rentabilität'!$A58,'Struktur Vorjahr'!M:M)</f>
        <v>0</v>
      </c>
      <c r="CQ58" s="1174">
        <f>CC58</f>
        <v>0</v>
      </c>
      <c r="CR58" s="1175">
        <f ca="1">SUMIF('Struktur Aktuell'!$A:$A,'Planzahlen Rentabilität'!$A58,'Struktur Aktuell'!M:M)</f>
        <v>0</v>
      </c>
      <c r="CS58" s="1249">
        <f t="shared" ca="1" si="94"/>
        <v>0</v>
      </c>
      <c r="CT58" s="1250"/>
      <c r="CU58" s="1250"/>
      <c r="CV58" s="1250"/>
      <c r="CW58" s="1173">
        <f t="shared" ca="1" si="95"/>
        <v>5706.78</v>
      </c>
      <c r="CX58" s="1174">
        <f t="shared" si="96"/>
        <v>0</v>
      </c>
      <c r="CY58" s="1175">
        <f t="shared" ca="1" si="97"/>
        <v>5706.78</v>
      </c>
      <c r="CZ58" s="1249">
        <f t="shared" ca="1" si="36"/>
        <v>5706.78</v>
      </c>
      <c r="DA58" s="1250"/>
      <c r="DB58" s="1250"/>
      <c r="DC58" s="1250"/>
      <c r="DD58" s="1173">
        <f ca="1">SUMIF('Struktur Vorjahr'!$A:$A,'Planzahlen Rentabilität'!$A58,'Struktur Vorjahr'!N:N)</f>
        <v>0</v>
      </c>
      <c r="DE58" s="1174">
        <f>CQ58</f>
        <v>0</v>
      </c>
      <c r="DF58" s="1175">
        <f ca="1">SUMIF('Struktur Aktuell'!$A:$A,'Planzahlen Rentabilität'!$A58,'Struktur Aktuell'!N:N)</f>
        <v>0</v>
      </c>
      <c r="DG58" s="1249">
        <f t="shared" ca="1" si="37"/>
        <v>0</v>
      </c>
      <c r="DH58" s="1250"/>
      <c r="DI58" s="1250"/>
      <c r="DJ58" s="1250"/>
      <c r="DK58" s="1173">
        <f t="shared" ca="1" si="98"/>
        <v>5706.78</v>
      </c>
      <c r="DL58" s="1174">
        <f t="shared" si="99"/>
        <v>0</v>
      </c>
      <c r="DM58" s="1175">
        <f t="shared" ca="1" si="100"/>
        <v>5706.78</v>
      </c>
      <c r="DN58" s="1249">
        <f t="shared" ca="1" si="101"/>
        <v>5706.78</v>
      </c>
      <c r="DO58" s="1250"/>
      <c r="DP58" s="1250"/>
      <c r="DQ58" s="1250"/>
      <c r="DR58" s="1173">
        <f ca="1">SUMIF('Struktur Vorjahr'!$A:$A,'Planzahlen Rentabilität'!$A58,'Struktur Vorjahr'!O:O)</f>
        <v>0</v>
      </c>
      <c r="DS58" s="1174">
        <f>DE58</f>
        <v>0</v>
      </c>
      <c r="DT58" s="1175">
        <f ca="1">SUMIF('Struktur Aktuell'!$A:$A,'Planzahlen Rentabilität'!$A58,'Struktur Aktuell'!O:O)</f>
        <v>0</v>
      </c>
      <c r="DU58" s="1249">
        <f t="shared" ca="1" si="102"/>
        <v>0</v>
      </c>
      <c r="DV58" s="1250"/>
      <c r="DW58" s="1250"/>
      <c r="DX58" s="1250"/>
      <c r="DY58" s="1173">
        <f t="shared" ca="1" si="103"/>
        <v>5706.78</v>
      </c>
      <c r="DZ58" s="1174">
        <f t="shared" si="104"/>
        <v>0</v>
      </c>
      <c r="EA58" s="1175">
        <f t="shared" ca="1" si="105"/>
        <v>5706.78</v>
      </c>
      <c r="EB58" s="1249">
        <f t="shared" ca="1" si="106"/>
        <v>5706.78</v>
      </c>
      <c r="EC58" s="1250"/>
      <c r="ED58" s="1250"/>
      <c r="EE58" s="1250"/>
      <c r="EF58" s="1173">
        <f ca="1">SUMIF('Struktur Vorjahr'!$A:$A,'Planzahlen Rentabilität'!$A58,'Struktur Vorjahr'!P:P)</f>
        <v>-5509.5</v>
      </c>
      <c r="EG58" s="1174">
        <f>DS58</f>
        <v>0</v>
      </c>
      <c r="EH58" s="1175">
        <f ca="1">SUMIF('Struktur Aktuell'!$A:$A,'Planzahlen Rentabilität'!$A58,'Struktur Aktuell'!P:P)</f>
        <v>-5509.5</v>
      </c>
      <c r="EI58" s="1249">
        <f t="shared" ca="1" si="107"/>
        <v>-5509.5</v>
      </c>
      <c r="EJ58" s="1250"/>
      <c r="EK58" s="1250"/>
      <c r="EL58" s="1250"/>
      <c r="EM58" s="1173">
        <f t="shared" ca="1" si="108"/>
        <v>197.27999999999975</v>
      </c>
      <c r="EN58" s="1174">
        <f t="shared" si="109"/>
        <v>0</v>
      </c>
      <c r="EO58" s="1175">
        <f t="shared" ca="1" si="110"/>
        <v>197.27999999999975</v>
      </c>
      <c r="EP58" s="1249">
        <f t="shared" ca="1" si="111"/>
        <v>197.27999999999975</v>
      </c>
      <c r="EQ58" s="1250"/>
      <c r="ER58" s="1250"/>
      <c r="ES58" s="1250"/>
      <c r="ET58" s="1173">
        <f ca="1">SUMIF('Struktur Vorjahr'!$A:$A,'Planzahlen Rentabilität'!$A58,'Struktur Vorjahr'!Q:Q)</f>
        <v>0</v>
      </c>
      <c r="EU58" s="1174">
        <f>EG58</f>
        <v>0</v>
      </c>
      <c r="EV58" s="1175">
        <f ca="1">SUMIF('Struktur Aktuell'!$A:$A,'Planzahlen Rentabilität'!$A58,'Struktur Aktuell'!Q:Q)</f>
        <v>0</v>
      </c>
      <c r="EW58" s="1249">
        <f t="shared" ca="1" si="112"/>
        <v>0</v>
      </c>
      <c r="EX58" s="1250"/>
      <c r="EY58" s="1250"/>
      <c r="EZ58" s="1250"/>
      <c r="FA58" s="1173">
        <v>0</v>
      </c>
      <c r="FB58" s="1174">
        <v>0</v>
      </c>
      <c r="FC58" s="1175">
        <v>0</v>
      </c>
      <c r="FD58" s="1249">
        <f t="shared" si="56"/>
        <v>0</v>
      </c>
      <c r="FE58" s="1250"/>
      <c r="FF58" s="1250"/>
      <c r="FG58" s="1250"/>
      <c r="FH58" s="1173">
        <f ca="1">SUMIF('Struktur Vorjahr'!$A:$A,'Planzahlen Rentabilität'!$A58,'Struktur Vorjahr'!R:R)</f>
        <v>0</v>
      </c>
      <c r="FI58" s="1174">
        <f>EU58</f>
        <v>0</v>
      </c>
      <c r="FJ58" s="1175">
        <f ca="1">SUMIF('Struktur Aktuell'!$A:$A,'Planzahlen Rentabilität'!$A58,'Struktur Aktuell'!R:R)</f>
        <v>0</v>
      </c>
      <c r="FK58" s="1249">
        <f t="shared" ca="1" si="57"/>
        <v>0</v>
      </c>
      <c r="FL58" s="1250"/>
      <c r="FM58" s="1250"/>
      <c r="FN58" s="1250"/>
      <c r="FO58" s="1173">
        <v>0</v>
      </c>
      <c r="FP58" s="1174">
        <v>0</v>
      </c>
      <c r="FQ58" s="1175">
        <v>0</v>
      </c>
      <c r="FR58" s="1249">
        <f t="shared" si="61"/>
        <v>0</v>
      </c>
      <c r="FS58" s="1250"/>
      <c r="FT58" s="1250"/>
      <c r="FU58" s="1250"/>
      <c r="FV58" s="1171"/>
      <c r="FW58" s="1249">
        <v>0</v>
      </c>
    </row>
    <row r="59" spans="1:179" s="883" customFormat="1" ht="16.5" customHeight="1" x14ac:dyDescent="0.2">
      <c r="A59" s="1179" t="s">
        <v>872</v>
      </c>
      <c r="B59" s="1167" t="str">
        <f>'Struktur Aktuell'!B376</f>
        <v>Jahresüberschuss / -fehlbetrag</v>
      </c>
      <c r="C59" s="1180">
        <f ca="1">C56-C57</f>
        <v>-15166.279999999982</v>
      </c>
      <c r="D59" s="1180">
        <f>D56-D57</f>
        <v>178878.7933333331</v>
      </c>
      <c r="E59" s="1180">
        <f ca="1">E56-E57</f>
        <v>-10416.279999999982</v>
      </c>
      <c r="F59" s="1181">
        <f ca="1">E59-D59</f>
        <v>-189295.07333333307</v>
      </c>
      <c r="G59" s="1182">
        <f ca="1">C59/C$15</f>
        <v>-9.8491393754126869E-2</v>
      </c>
      <c r="H59" s="1182">
        <f>D59/D$15</f>
        <v>0.17296578500708104</v>
      </c>
      <c r="I59" s="1182">
        <f ca="1">E59/E$15</f>
        <v>-6.5703412574800474E-2</v>
      </c>
      <c r="J59" s="1180">
        <f ca="1">J56-J57</f>
        <v>-14219.660000000002</v>
      </c>
      <c r="K59" s="1180">
        <f>K56-K57</f>
        <v>-2865.6316111111137</v>
      </c>
      <c r="L59" s="1180">
        <f ca="1">L56-L57</f>
        <v>-9298.6600000000017</v>
      </c>
      <c r="M59" s="1181">
        <f ca="1">L59-K59</f>
        <v>-6433.028388888888</v>
      </c>
      <c r="N59" s="1182">
        <f ca="1">J59/J$15</f>
        <v>-1.3007646520188405</v>
      </c>
      <c r="O59" s="1182">
        <f>K59/K$15</f>
        <v>-4.6181757296900071E-2</v>
      </c>
      <c r="P59" s="1182">
        <f ca="1">L59/L$15</f>
        <v>-0.8308480249326069</v>
      </c>
      <c r="Q59" s="1180">
        <f t="shared" ca="1" si="75"/>
        <v>-14219.660000000002</v>
      </c>
      <c r="R59" s="1180">
        <f t="shared" si="76"/>
        <v>-2865.6316111111137</v>
      </c>
      <c r="S59" s="1180">
        <f t="shared" ca="1" si="77"/>
        <v>-9298.6600000000017</v>
      </c>
      <c r="T59" s="1181">
        <f ca="1">S59-R59</f>
        <v>-6433.028388888888</v>
      </c>
      <c r="U59" s="1182">
        <f ca="1">Q59/Q$15</f>
        <v>-1.3007646520188405</v>
      </c>
      <c r="V59" s="1182">
        <f>R59/R$15</f>
        <v>-4.6181757296900071E-2</v>
      </c>
      <c r="W59" s="1182">
        <f ca="1">S59/S$15</f>
        <v>-0.8308480249326069</v>
      </c>
      <c r="X59" s="1180">
        <f ca="1">X56-X57</f>
        <v>-3393.9799999999973</v>
      </c>
      <c r="Y59" s="1180">
        <f>Y56-Y57</f>
        <v>11565.372388888893</v>
      </c>
      <c r="Z59" s="1180">
        <f ca="1">Z56-Z57</f>
        <v>-10142.98</v>
      </c>
      <c r="AA59" s="1181">
        <f ca="1">Z59-Y59</f>
        <v>-21708.352388888892</v>
      </c>
      <c r="AB59" s="1182">
        <f ca="1">X59/$Y$15</f>
        <v>-4.1022359614227968E-2</v>
      </c>
      <c r="AC59" s="1182">
        <f>Y59/$Y$15</f>
        <v>0.13978835031716844</v>
      </c>
      <c r="AD59" s="1182">
        <f ca="1">Z59/$Z$15</f>
        <v>-0.8538832274711351</v>
      </c>
      <c r="AE59" s="1180">
        <f t="shared" ca="1" si="78"/>
        <v>-17613.64</v>
      </c>
      <c r="AF59" s="1180">
        <f t="shared" si="79"/>
        <v>8699.7407777777789</v>
      </c>
      <c r="AG59" s="1180">
        <f t="shared" ca="1" si="80"/>
        <v>-19441.64</v>
      </c>
      <c r="AH59" s="1181">
        <f ca="1">AG59-AF59</f>
        <v>-28141.380777777777</v>
      </c>
      <c r="AI59" s="1182">
        <f ca="1">AE59/$AF$15</f>
        <v>-0.12165288863484351</v>
      </c>
      <c r="AJ59" s="1182">
        <f>AF59/$AF$15</f>
        <v>6.0086875625424786E-2</v>
      </c>
      <c r="AK59" s="1182">
        <f ca="1">AG59/$AG$15</f>
        <v>-0.84270854193378353</v>
      </c>
      <c r="AL59" s="1180">
        <f ca="1">AL56-AL57</f>
        <v>-2047.75</v>
      </c>
      <c r="AM59" s="1180">
        <f>AM56-AM57</f>
        <v>25996.376388888893</v>
      </c>
      <c r="AN59" s="1180">
        <f ca="1">AN56-AN57</f>
        <v>281.25000000000023</v>
      </c>
      <c r="AO59" s="1181">
        <f ca="1">AN59-AM59</f>
        <v>-25715.126388888893</v>
      </c>
      <c r="AP59" s="1182">
        <f ca="1">AL59/$AM$15</f>
        <v>-1.9800596797868081E-2</v>
      </c>
      <c r="AQ59" s="1182">
        <f>AM59/$AM$15</f>
        <v>0.25137041488560946</v>
      </c>
      <c r="AR59" s="1182">
        <f ca="1">AN59/$AN$15</f>
        <v>0.87890625000000067</v>
      </c>
      <c r="AS59" s="1180">
        <f t="shared" ca="1" si="81"/>
        <v>-19661.39</v>
      </c>
      <c r="AT59" s="1180">
        <f t="shared" si="82"/>
        <v>34696.117166666671</v>
      </c>
      <c r="AU59" s="1180">
        <f t="shared" ca="1" si="83"/>
        <v>-19160.39</v>
      </c>
      <c r="AV59" s="1181">
        <f ca="1">AU59-AT59</f>
        <v>-53856.50716666667</v>
      </c>
      <c r="AW59" s="1182">
        <f ca="1">AS59/$AT$15</f>
        <v>-7.9214433702770412E-2</v>
      </c>
      <c r="AX59" s="1182">
        <f>AT59/$AT$15</f>
        <v>0.13978835031716841</v>
      </c>
      <c r="AY59" s="1182">
        <f ca="1">AU59/$AU$15</f>
        <v>-0.81915544911121718</v>
      </c>
      <c r="AZ59" s="1180">
        <f ca="1">AZ56-AZ57</f>
        <v>-9755.7800000000025</v>
      </c>
      <c r="BA59" s="1180">
        <f>BA56-BA57</f>
        <v>4349.8703888888931</v>
      </c>
      <c r="BB59" s="1180">
        <f ca="1">BB56-BB57</f>
        <v>-15159.780000000002</v>
      </c>
      <c r="BC59" s="1181">
        <f ca="1">BB59-BA59</f>
        <v>-19509.650388888895</v>
      </c>
      <c r="BD59" s="1182">
        <f ca="1">AZ59/$BA$15</f>
        <v>-0.13476133472536445</v>
      </c>
      <c r="BE59" s="1182">
        <f>BA59/$BA$15</f>
        <v>6.0086875625424842E-2</v>
      </c>
      <c r="BF59" s="1182">
        <f ca="1">BB59/$BB$15</f>
        <v>-1.1682748660818532</v>
      </c>
      <c r="BG59" s="1180">
        <f t="shared" ca="1" si="84"/>
        <v>-29417.170000000002</v>
      </c>
      <c r="BH59" s="1180">
        <f t="shared" si="85"/>
        <v>39045.987555555563</v>
      </c>
      <c r="BI59" s="1180">
        <f t="shared" ca="1" si="86"/>
        <v>-34320.17</v>
      </c>
      <c r="BJ59" s="1181">
        <f ca="1">BI59-BH59</f>
        <v>-73366.157555555561</v>
      </c>
      <c r="BK59" s="1182">
        <f ca="1">BG59/$BH$15</f>
        <v>-9.1757282320775513E-2</v>
      </c>
      <c r="BL59" s="1182">
        <f>BH59/$BH$15</f>
        <v>0.12179124312871017</v>
      </c>
      <c r="BM59" s="1182">
        <f ca="1">BI59/$BI$15</f>
        <v>-0.94372698267615107</v>
      </c>
      <c r="BN59" s="1180">
        <f ca="1">BN56-BN57</f>
        <v>-26585.019999999997</v>
      </c>
      <c r="BO59" s="1180">
        <f>BO56-BO57</f>
        <v>8876.1619722222276</v>
      </c>
      <c r="BP59" s="1180">
        <f ca="1">BP56-BP57</f>
        <v>-16896.019999999997</v>
      </c>
      <c r="BQ59" s="1181">
        <f ca="1">BP59-BO59</f>
        <v>-25772.181972222224</v>
      </c>
      <c r="BR59" s="1182">
        <f ca="1">BN59/$BO$15</f>
        <v>-0.32132783657871983</v>
      </c>
      <c r="BS59" s="1182">
        <f>BO59/$BO$15</f>
        <v>0.10728440014927473</v>
      </c>
      <c r="BT59" s="1182">
        <f ca="1">BP59/$BP$15</f>
        <v>-2.177852595541955</v>
      </c>
      <c r="BU59" s="1180">
        <f t="shared" ca="1" si="87"/>
        <v>-56002.19</v>
      </c>
      <c r="BV59" s="1180">
        <f t="shared" si="88"/>
        <v>47922.149527777787</v>
      </c>
      <c r="BW59" s="1180">
        <f t="shared" ca="1" si="89"/>
        <v>-51216.189999999995</v>
      </c>
      <c r="BX59" s="1181">
        <f ca="1">BW59-BV59</f>
        <v>-99138.339527777774</v>
      </c>
      <c r="BY59" s="1182">
        <f ca="1">BU59/$BV$15</f>
        <v>-0.13884867806599488</v>
      </c>
      <c r="BZ59" s="1182">
        <f>BV59/$BV$15</f>
        <v>0.11881548046626186</v>
      </c>
      <c r="CA59" s="1182">
        <f ca="1">BW59/$BW$15</f>
        <v>-1.1607136948568986</v>
      </c>
      <c r="CB59" s="1180">
        <f ca="1">CB56-CB57</f>
        <v>4445.2700000000004</v>
      </c>
      <c r="CC59" s="1180">
        <f>CC56-CC57</f>
        <v>14991.361972222225</v>
      </c>
      <c r="CD59" s="1180">
        <f ca="1">CD56-CD57</f>
        <v>147.27000000000001</v>
      </c>
      <c r="CE59" s="1181">
        <f ca="1">CD59-CC59</f>
        <v>-14844.091972222224</v>
      </c>
      <c r="CF59" s="1182">
        <f ca="1">CB59/$CC$15</f>
        <v>5.3729092252264105E-2</v>
      </c>
      <c r="CG59" s="1182">
        <f>CC59/$CC$15</f>
        <v>0.18119760338350915</v>
      </c>
      <c r="CH59" s="1182" t="e">
        <f ca="1">CD59/$CD$15</f>
        <v>#DIV/0!</v>
      </c>
      <c r="CI59" s="1180">
        <f t="shared" ca="1" si="90"/>
        <v>-51556.92</v>
      </c>
      <c r="CJ59" s="1180">
        <f t="shared" si="91"/>
        <v>62913.511500000008</v>
      </c>
      <c r="CK59" s="1180">
        <f t="shared" ca="1" si="92"/>
        <v>-51068.92</v>
      </c>
      <c r="CL59" s="1181">
        <f t="shared" ca="1" si="93"/>
        <v>-113982.43150000001</v>
      </c>
      <c r="CM59" s="1182">
        <f ca="1">CI59/$CJ$15</f>
        <v>-0.1060694831182061</v>
      </c>
      <c r="CN59" s="1182">
        <f>CJ59/$CJ$15</f>
        <v>0.12943371415430394</v>
      </c>
      <c r="CO59" s="1182">
        <f ca="1">CK59/$CK$15</f>
        <v>-1.1573761114513081</v>
      </c>
      <c r="CP59" s="1180">
        <f ca="1">CP56-CP57</f>
        <v>23973.330000000005</v>
      </c>
      <c r="CQ59" s="1180">
        <f>CQ56-CQ57</f>
        <v>14991.361972222225</v>
      </c>
      <c r="CR59" s="1180">
        <f ca="1">CR56-CR57</f>
        <v>22230.330000000005</v>
      </c>
      <c r="CS59" s="1181">
        <f t="shared" ca="1" si="94"/>
        <v>7238.9680277777807</v>
      </c>
      <c r="CT59" s="1182">
        <f ca="1">CP59/$CQ$15</f>
        <v>0.28976086023210529</v>
      </c>
      <c r="CU59" s="1182">
        <f>CQ59/$CQ$15</f>
        <v>0.18119760338350915</v>
      </c>
      <c r="CV59" s="1182">
        <f ca="1">CR59/$CR$15</f>
        <v>0.43108451341694276</v>
      </c>
      <c r="CW59" s="1180">
        <f t="shared" ca="1" si="95"/>
        <v>-27583.589999999993</v>
      </c>
      <c r="CX59" s="1180">
        <f t="shared" si="96"/>
        <v>77904.873472222229</v>
      </c>
      <c r="CY59" s="1180">
        <f t="shared" ca="1" si="97"/>
        <v>-28838.589999999993</v>
      </c>
      <c r="CZ59" s="1181">
        <f ca="1">CY59-CX59</f>
        <v>-106743.46347222223</v>
      </c>
      <c r="DA59" s="1182">
        <f ca="1">CW59/$CX$15</f>
        <v>-4.8494160449069901E-2</v>
      </c>
      <c r="DB59" s="1182">
        <f>CX59/$CX$15</f>
        <v>0.13696300713309742</v>
      </c>
      <c r="DC59" s="1182">
        <f ca="1">CY59/$CY$15</f>
        <v>-0.30136534371541018</v>
      </c>
      <c r="DD59" s="1180">
        <f ca="1">DD56-DD57</f>
        <v>1143.8100000000011</v>
      </c>
      <c r="DE59" s="1180">
        <f>DE56-DE57</f>
        <v>5763.7799722222244</v>
      </c>
      <c r="DF59" s="1180">
        <f ca="1">DF56-DF57</f>
        <v>6551.8100000000013</v>
      </c>
      <c r="DG59" s="1181">
        <f ca="1">DF59-DE59</f>
        <v>788.03002777777692</v>
      </c>
      <c r="DH59" s="1182">
        <f ca="1">DD59/$DE$15</f>
        <v>1.5800003923030163E-2</v>
      </c>
      <c r="DI59" s="1182">
        <f>DE59/$DE$15</f>
        <v>7.9617896479829461E-2</v>
      </c>
      <c r="DJ59" s="1182">
        <f ca="1">DF59/$DF$15</f>
        <v>0.33893271380099343</v>
      </c>
      <c r="DK59" s="1180">
        <f t="shared" ca="1" si="98"/>
        <v>-26439.779999999992</v>
      </c>
      <c r="DL59" s="1180">
        <f t="shared" si="99"/>
        <v>83668.653444444455</v>
      </c>
      <c r="DM59" s="1180">
        <f t="shared" ca="1" si="100"/>
        <v>-22286.779999999992</v>
      </c>
      <c r="DN59" s="1181">
        <f t="shared" ca="1" si="101"/>
        <v>-105955.43344444444</v>
      </c>
      <c r="DO59" s="1182">
        <f ca="1">DK59/$DL$15</f>
        <v>-4.1235141890929569E-2</v>
      </c>
      <c r="DP59" s="1182">
        <f>DL59/$DL$15</f>
        <v>0.13048855915611557</v>
      </c>
      <c r="DQ59" s="1182">
        <f ca="1">DM59/$DM$15</f>
        <v>-0.19375793694228394</v>
      </c>
      <c r="DR59" s="1180">
        <f ca="1">DR56-DR57</f>
        <v>-7377.869999999999</v>
      </c>
      <c r="DS59" s="1180">
        <f>DS56-DS57</f>
        <v>27410.285972222227</v>
      </c>
      <c r="DT59" s="1180">
        <f ca="1">DT56-DT57</f>
        <v>-7377.869999999999</v>
      </c>
      <c r="DU59" s="1181">
        <f t="shared" ca="1" si="102"/>
        <v>-34788.15597222223</v>
      </c>
      <c r="DV59" s="1182">
        <f ca="1">DR59/$DS$15</f>
        <v>-7.1339875032150876E-2</v>
      </c>
      <c r="DW59" s="1182">
        <f>DS59/$DS$15</f>
        <v>0.26504212948369271</v>
      </c>
      <c r="DX59" s="1182">
        <f ca="1">DT59/$DT$15</f>
        <v>-0.6750795368971596</v>
      </c>
      <c r="DY59" s="1180">
        <f t="shared" ca="1" si="103"/>
        <v>-33817.649999999994</v>
      </c>
      <c r="DZ59" s="1180">
        <f t="shared" si="104"/>
        <v>111078.93941666669</v>
      </c>
      <c r="EA59" s="1180">
        <f t="shared" ca="1" si="105"/>
        <v>-29664.649999999991</v>
      </c>
      <c r="EB59" s="1181">
        <f t="shared" ca="1" si="106"/>
        <v>-140743.58941666668</v>
      </c>
      <c r="EC59" s="1182">
        <f ca="1">DY59/$DZ$15</f>
        <v>-4.5416354827210313E-2</v>
      </c>
      <c r="ED59" s="1182">
        <f>DZ59/$DZ$15</f>
        <v>0.14917655503494573</v>
      </c>
      <c r="EE59" s="1182">
        <f ca="1">EA59/$EA$15</f>
        <v>-0.23552210702555679</v>
      </c>
      <c r="EF59" s="1180">
        <f ca="1">EF56-EF57</f>
        <v>19498.369999999995</v>
      </c>
      <c r="EG59" s="1180">
        <f>EG56-EG57</f>
        <v>27410.285972222227</v>
      </c>
      <c r="EH59" s="1180">
        <f ca="1">EH56-EH57</f>
        <v>11586.37</v>
      </c>
      <c r="EI59" s="1181">
        <f t="shared" ca="1" si="107"/>
        <v>-15823.915972222227</v>
      </c>
      <c r="EJ59" s="1182">
        <f ca="1">EF59/$EG$15</f>
        <v>0.18853832869522499</v>
      </c>
      <c r="EK59" s="1182">
        <f>EG59/$EG$15</f>
        <v>0.26504212948369271</v>
      </c>
      <c r="EL59" s="1182">
        <f ca="1">EH59/$EH$15</f>
        <v>0.35410536391675829</v>
      </c>
      <c r="EM59" s="1180">
        <f t="shared" ca="1" si="108"/>
        <v>-14319.279999999999</v>
      </c>
      <c r="EN59" s="1180">
        <f t="shared" si="109"/>
        <v>138489.22538888891</v>
      </c>
      <c r="EO59" s="1180">
        <f t="shared" ca="1" si="110"/>
        <v>-18078.279999999992</v>
      </c>
      <c r="EP59" s="1181">
        <f t="shared" ca="1" si="111"/>
        <v>-156567.50538888891</v>
      </c>
      <c r="EQ59" s="1182">
        <f ca="1">EM59/$EN$15</f>
        <v>-1.6885295861059666E-2</v>
      </c>
      <c r="ER59" s="1182">
        <f>EN59/$EN$15</f>
        <v>0.16330650313845146</v>
      </c>
      <c r="ES59" s="1182">
        <f ca="1">EO59/$EO$15</f>
        <v>-0.11393430658958388</v>
      </c>
      <c r="ET59" s="1180">
        <f ca="1">ET56-ET57</f>
        <v>-316</v>
      </c>
      <c r="EU59" s="1180">
        <f>EU56-EU57</f>
        <v>20194.783972222212</v>
      </c>
      <c r="EV59" s="1180">
        <f ca="1">EV56-EV57</f>
        <v>7153</v>
      </c>
      <c r="EW59" s="1181">
        <f t="shared" ca="1" si="112"/>
        <v>-13041.783972222212</v>
      </c>
      <c r="EX59" s="1182">
        <f ca="1">ET59/$K$15</f>
        <v>-5.092572000265588E-3</v>
      </c>
      <c r="EY59" s="1182">
        <f>EU59/$K$15</f>
        <v>0.3254537702795921</v>
      </c>
      <c r="EZ59" s="1182">
        <f ca="1">EV59/$EV$15</f>
        <v>-42.076470588235296</v>
      </c>
      <c r="FA59" s="1180">
        <f t="shared" ref="FA59:FC62" ca="1" si="119">EM59+ET59</f>
        <v>-14635.279999999999</v>
      </c>
      <c r="FB59" s="1180">
        <f t="shared" si="119"/>
        <v>158684.00936111112</v>
      </c>
      <c r="FC59" s="1180">
        <f t="shared" ca="1" si="119"/>
        <v>-10925.279999999992</v>
      </c>
      <c r="FD59" s="1181">
        <f ca="1">FC59-FB59</f>
        <v>-169609.28936111112</v>
      </c>
      <c r="FE59" s="1182">
        <f ca="1">FA59/$FB$15</f>
        <v>-1.5551095523170178E-2</v>
      </c>
      <c r="FF59" s="1182">
        <f>FB59/$FB$15</f>
        <v>0.16861380086846783</v>
      </c>
      <c r="FG59" s="1182">
        <f ca="1">FC59/$FC$15</f>
        <v>-6.8927976306291994E-2</v>
      </c>
      <c r="FH59" s="1180">
        <f ca="1">FH56-FH57</f>
        <v>-531</v>
      </c>
      <c r="FI59" s="1180">
        <f>FI56-FI57</f>
        <v>20194.783972222212</v>
      </c>
      <c r="FJ59" s="1180">
        <f ca="1">FJ56-FJ57</f>
        <v>509</v>
      </c>
      <c r="FK59" s="1181">
        <f ca="1">FJ59-FI59</f>
        <v>-19685.783972222212</v>
      </c>
      <c r="FL59" s="1182">
        <f ca="1">FH59/$FI$15</f>
        <v>-5.7049698990317031E-3</v>
      </c>
      <c r="FM59" s="1182">
        <f>FI59/$FI$15</f>
        <v>0.21696918018639474</v>
      </c>
      <c r="FN59" s="1182">
        <f ca="1">FJ59/$FJ$15</f>
        <v>15.90625</v>
      </c>
      <c r="FO59" s="1180">
        <f t="shared" ref="FO59:FQ62" ca="1" si="120">FA59+FH59</f>
        <v>-15166.279999999999</v>
      </c>
      <c r="FP59" s="1180">
        <f t="shared" si="120"/>
        <v>178878.79333333333</v>
      </c>
      <c r="FQ59" s="1180">
        <f t="shared" ca="1" si="120"/>
        <v>-10416.279999999992</v>
      </c>
      <c r="FR59" s="1181">
        <f ca="1">FQ59-FP59</f>
        <v>-189295.07333333333</v>
      </c>
      <c r="FS59" s="1182">
        <f ca="1">FO59/$FP$15</f>
        <v>-1.4664944216997714E-2</v>
      </c>
      <c r="FT59" s="1182">
        <f>FP59/$FP$15</f>
        <v>0.17296578500708126</v>
      </c>
      <c r="FU59" s="1182">
        <f ca="1">FQ59/$FQ$15</f>
        <v>-6.5703412574800529E-2</v>
      </c>
      <c r="FV59" s="1171"/>
      <c r="FW59" s="1183">
        <v>0</v>
      </c>
    </row>
    <row r="60" spans="1:179" s="883" customFormat="1" x14ac:dyDescent="0.2">
      <c r="A60" s="1160">
        <v>36</v>
      </c>
      <c r="B60" s="1160" t="str">
        <f>'Struktur Aktuell'!B377</f>
        <v>Ausschüttungen</v>
      </c>
      <c r="C60" s="1173">
        <f t="shared" ref="C60:E61" ca="1" si="121">J60+X60+AL60+AZ60+BN60+CB60+CP60+DD60+DR60+EF60+ET60+FH60</f>
        <v>0</v>
      </c>
      <c r="D60" s="1174">
        <f t="shared" si="121"/>
        <v>0</v>
      </c>
      <c r="E60" s="1175">
        <f t="shared" ca="1" si="121"/>
        <v>0</v>
      </c>
      <c r="F60" s="1169">
        <f ca="1">E60-D60</f>
        <v>0</v>
      </c>
      <c r="G60" s="1170"/>
      <c r="H60" s="1170"/>
      <c r="I60" s="1170"/>
      <c r="J60" s="1173">
        <f ca="1">SUMIF('Struktur Vorjahr'!$A:$A,'Planzahlen Rentabilität'!$A60,'Struktur Vorjahr'!G:G)</f>
        <v>0</v>
      </c>
      <c r="K60" s="1174"/>
      <c r="L60" s="1175">
        <f ca="1">SUMIF('Struktur Aktuell'!$A:$A,'Planzahlen Rentabilität'!$A60,'Struktur Aktuell'!G:G)</f>
        <v>0</v>
      </c>
      <c r="M60" s="1169">
        <f ca="1">L60-K60</f>
        <v>0</v>
      </c>
      <c r="N60" s="1170"/>
      <c r="O60" s="1170"/>
      <c r="P60" s="1170"/>
      <c r="Q60" s="1173">
        <f t="shared" ca="1" si="75"/>
        <v>0</v>
      </c>
      <c r="R60" s="1174">
        <f t="shared" si="76"/>
        <v>0</v>
      </c>
      <c r="S60" s="1175">
        <f t="shared" ca="1" si="77"/>
        <v>0</v>
      </c>
      <c r="T60" s="1169">
        <f ca="1">S60-R60</f>
        <v>0</v>
      </c>
      <c r="U60" s="1170"/>
      <c r="V60" s="1170"/>
      <c r="W60" s="1170"/>
      <c r="X60" s="1173">
        <f ca="1">SUMIF('Struktur Vorjahr'!$A:$A,'Planzahlen Rentabilität'!$A60,'Struktur Vorjahr'!H:H)</f>
        <v>0</v>
      </c>
      <c r="Y60" s="1174">
        <f>K60</f>
        <v>0</v>
      </c>
      <c r="Z60" s="1175">
        <f ca="1">SUMIF('Struktur Aktuell'!$A:$A,'Planzahlen Rentabilität'!$A60,'Struktur Aktuell'!H:H)</f>
        <v>0</v>
      </c>
      <c r="AA60" s="1169">
        <f ca="1">Z60-Y60</f>
        <v>0</v>
      </c>
      <c r="AB60" s="1170"/>
      <c r="AC60" s="1170"/>
      <c r="AD60" s="1170"/>
      <c r="AE60" s="1173">
        <f t="shared" ca="1" si="78"/>
        <v>0</v>
      </c>
      <c r="AF60" s="1174">
        <f t="shared" si="79"/>
        <v>0</v>
      </c>
      <c r="AG60" s="1175">
        <f t="shared" ca="1" si="80"/>
        <v>0</v>
      </c>
      <c r="AH60" s="1169">
        <f ca="1">AG60-AF60</f>
        <v>0</v>
      </c>
      <c r="AI60" s="1170"/>
      <c r="AJ60" s="1170"/>
      <c r="AK60" s="1170"/>
      <c r="AL60" s="1173">
        <f ca="1">SUMIF('Struktur Vorjahr'!$A:$A,'Planzahlen Rentabilität'!$A60,'Struktur Vorjahr'!I:I)</f>
        <v>0</v>
      </c>
      <c r="AM60" s="1174">
        <f>Y60</f>
        <v>0</v>
      </c>
      <c r="AN60" s="1175">
        <f ca="1">SUMIF('Struktur Aktuell'!$A:$A,'Planzahlen Rentabilität'!$A60,'Struktur Aktuell'!I:I)</f>
        <v>0</v>
      </c>
      <c r="AO60" s="1169">
        <f ca="1">AN60-AM60</f>
        <v>0</v>
      </c>
      <c r="AP60" s="1170"/>
      <c r="AQ60" s="1170"/>
      <c r="AR60" s="1170"/>
      <c r="AS60" s="1173">
        <f t="shared" ca="1" si="81"/>
        <v>0</v>
      </c>
      <c r="AT60" s="1174">
        <f t="shared" si="82"/>
        <v>0</v>
      </c>
      <c r="AU60" s="1175">
        <f t="shared" ca="1" si="83"/>
        <v>0</v>
      </c>
      <c r="AV60" s="1169">
        <f ca="1">AU60-AT60</f>
        <v>0</v>
      </c>
      <c r="AW60" s="1170"/>
      <c r="AX60" s="1170"/>
      <c r="AY60" s="1170"/>
      <c r="AZ60" s="1173">
        <f ca="1">SUMIF('Struktur Vorjahr'!$A:$A,'Planzahlen Rentabilität'!$A60,'Struktur Vorjahr'!J:J)</f>
        <v>0</v>
      </c>
      <c r="BA60" s="1174">
        <f>AM60</f>
        <v>0</v>
      </c>
      <c r="BB60" s="1175">
        <f ca="1">SUMIF('Struktur Aktuell'!$A:$A,'Planzahlen Rentabilität'!$A60,'Struktur Aktuell'!J:J)</f>
        <v>0</v>
      </c>
      <c r="BC60" s="1169">
        <f ca="1">BB60-BA60</f>
        <v>0</v>
      </c>
      <c r="BD60" s="1170"/>
      <c r="BE60" s="1170"/>
      <c r="BF60" s="1170"/>
      <c r="BG60" s="1173">
        <f t="shared" ca="1" si="84"/>
        <v>0</v>
      </c>
      <c r="BH60" s="1174">
        <f t="shared" si="85"/>
        <v>0</v>
      </c>
      <c r="BI60" s="1175">
        <f t="shared" ca="1" si="86"/>
        <v>0</v>
      </c>
      <c r="BJ60" s="1169">
        <f ca="1">BI60-BH60</f>
        <v>0</v>
      </c>
      <c r="BK60" s="1170"/>
      <c r="BL60" s="1170"/>
      <c r="BM60" s="1170"/>
      <c r="BN60" s="1173">
        <f ca="1">SUMIF('Struktur Vorjahr'!$A:$A,'Planzahlen Rentabilität'!$A60,'Struktur Vorjahr'!K:K)</f>
        <v>0</v>
      </c>
      <c r="BO60" s="1174">
        <f>BA60</f>
        <v>0</v>
      </c>
      <c r="BP60" s="1175">
        <f ca="1">SUMIF('Struktur Aktuell'!$A:$A,'Planzahlen Rentabilität'!$A60,'Struktur Aktuell'!K:K)</f>
        <v>0</v>
      </c>
      <c r="BQ60" s="1169">
        <f ca="1">BP60-BO60</f>
        <v>0</v>
      </c>
      <c r="BR60" s="1170"/>
      <c r="BS60" s="1170"/>
      <c r="BT60" s="1170"/>
      <c r="BU60" s="1173">
        <f t="shared" ca="1" si="87"/>
        <v>0</v>
      </c>
      <c r="BV60" s="1174">
        <f t="shared" si="88"/>
        <v>0</v>
      </c>
      <c r="BW60" s="1175">
        <f t="shared" ca="1" si="89"/>
        <v>0</v>
      </c>
      <c r="BX60" s="1169">
        <f ca="1">BW60-BV60</f>
        <v>0</v>
      </c>
      <c r="BY60" s="1170"/>
      <c r="BZ60" s="1170"/>
      <c r="CA60" s="1170"/>
      <c r="CB60" s="1173">
        <f ca="1">SUMIF('Struktur Vorjahr'!$A:$A,'Planzahlen Rentabilität'!$A60,'Struktur Vorjahr'!L:L)</f>
        <v>0</v>
      </c>
      <c r="CC60" s="1174">
        <f>BO60</f>
        <v>0</v>
      </c>
      <c r="CD60" s="1175">
        <f ca="1">SUMIF('Struktur Aktuell'!$A:$A,'Planzahlen Rentabilität'!$A60,'Struktur Aktuell'!L:L)</f>
        <v>0</v>
      </c>
      <c r="CE60" s="1169">
        <f ca="1">CD60-CC60</f>
        <v>0</v>
      </c>
      <c r="CF60" s="1170"/>
      <c r="CG60" s="1170"/>
      <c r="CH60" s="1170"/>
      <c r="CI60" s="1173">
        <f t="shared" ca="1" si="90"/>
        <v>0</v>
      </c>
      <c r="CJ60" s="1174">
        <f t="shared" si="91"/>
        <v>0</v>
      </c>
      <c r="CK60" s="1175">
        <f t="shared" ca="1" si="92"/>
        <v>0</v>
      </c>
      <c r="CL60" s="1169">
        <f t="shared" ca="1" si="93"/>
        <v>0</v>
      </c>
      <c r="CM60" s="1170"/>
      <c r="CN60" s="1170"/>
      <c r="CO60" s="1170"/>
      <c r="CP60" s="1173">
        <f ca="1">SUMIF('Struktur Vorjahr'!$A:$A,'Planzahlen Rentabilität'!$A60,'Struktur Vorjahr'!M:M)</f>
        <v>0</v>
      </c>
      <c r="CQ60" s="1174">
        <f>CC60</f>
        <v>0</v>
      </c>
      <c r="CR60" s="1175">
        <f ca="1">SUMIF('Struktur Aktuell'!$A:$A,'Planzahlen Rentabilität'!$A60,'Struktur Aktuell'!M:M)</f>
        <v>0</v>
      </c>
      <c r="CS60" s="1169">
        <f t="shared" ca="1" si="94"/>
        <v>0</v>
      </c>
      <c r="CT60" s="1170"/>
      <c r="CU60" s="1170"/>
      <c r="CV60" s="1170"/>
      <c r="CW60" s="1173">
        <f t="shared" ca="1" si="95"/>
        <v>0</v>
      </c>
      <c r="CX60" s="1174">
        <f t="shared" si="96"/>
        <v>0</v>
      </c>
      <c r="CY60" s="1175">
        <f t="shared" ca="1" si="97"/>
        <v>0</v>
      </c>
      <c r="CZ60" s="1169">
        <f ca="1">CY60-CX60</f>
        <v>0</v>
      </c>
      <c r="DA60" s="1170"/>
      <c r="DB60" s="1170"/>
      <c r="DC60" s="1170"/>
      <c r="DD60" s="1173">
        <f ca="1">SUMIF('Struktur Vorjahr'!$A:$A,'Planzahlen Rentabilität'!$A60,'Struktur Vorjahr'!N:N)</f>
        <v>0</v>
      </c>
      <c r="DE60" s="1174">
        <f>CQ60</f>
        <v>0</v>
      </c>
      <c r="DF60" s="1175">
        <f ca="1">SUMIF('Struktur Aktuell'!$A:$A,'Planzahlen Rentabilität'!$A60,'Struktur Aktuell'!N:N)</f>
        <v>0</v>
      </c>
      <c r="DG60" s="1169">
        <f ca="1">DF60-DE60</f>
        <v>0</v>
      </c>
      <c r="DH60" s="1170"/>
      <c r="DI60" s="1170"/>
      <c r="DJ60" s="1170"/>
      <c r="DK60" s="1173">
        <f t="shared" ca="1" si="98"/>
        <v>0</v>
      </c>
      <c r="DL60" s="1174">
        <f t="shared" si="99"/>
        <v>0</v>
      </c>
      <c r="DM60" s="1175">
        <f t="shared" ca="1" si="100"/>
        <v>0</v>
      </c>
      <c r="DN60" s="1169">
        <f t="shared" ca="1" si="101"/>
        <v>0</v>
      </c>
      <c r="DO60" s="1170"/>
      <c r="DP60" s="1170"/>
      <c r="DQ60" s="1170"/>
      <c r="DR60" s="1173">
        <f ca="1">SUMIF('Struktur Vorjahr'!$A:$A,'Planzahlen Rentabilität'!$A60,'Struktur Vorjahr'!O:O)</f>
        <v>0</v>
      </c>
      <c r="DS60" s="1174">
        <f>DE60</f>
        <v>0</v>
      </c>
      <c r="DT60" s="1175">
        <f ca="1">SUMIF('Struktur Aktuell'!$A:$A,'Planzahlen Rentabilität'!$A60,'Struktur Aktuell'!O:O)</f>
        <v>0</v>
      </c>
      <c r="DU60" s="1169">
        <f t="shared" ca="1" si="102"/>
        <v>0</v>
      </c>
      <c r="DV60" s="1170"/>
      <c r="DW60" s="1170"/>
      <c r="DX60" s="1170"/>
      <c r="DY60" s="1173">
        <f t="shared" ca="1" si="103"/>
        <v>0</v>
      </c>
      <c r="DZ60" s="1174">
        <f t="shared" si="104"/>
        <v>0</v>
      </c>
      <c r="EA60" s="1175">
        <f t="shared" ca="1" si="105"/>
        <v>0</v>
      </c>
      <c r="EB60" s="1169">
        <f t="shared" ca="1" si="106"/>
        <v>0</v>
      </c>
      <c r="EC60" s="1170"/>
      <c r="ED60" s="1170"/>
      <c r="EE60" s="1170"/>
      <c r="EF60" s="1173">
        <f ca="1">SUMIF('Struktur Vorjahr'!$A:$A,'Planzahlen Rentabilität'!$A60,'Struktur Vorjahr'!P:P)</f>
        <v>0</v>
      </c>
      <c r="EG60" s="1174">
        <f>DS60</f>
        <v>0</v>
      </c>
      <c r="EH60" s="1175">
        <f ca="1">SUMIF('Struktur Aktuell'!$A:$A,'Planzahlen Rentabilität'!$A60,'Struktur Aktuell'!P:P)</f>
        <v>0</v>
      </c>
      <c r="EI60" s="1169">
        <f t="shared" ca="1" si="107"/>
        <v>0</v>
      </c>
      <c r="EJ60" s="1170"/>
      <c r="EK60" s="1170"/>
      <c r="EL60" s="1170"/>
      <c r="EM60" s="1173">
        <f t="shared" ca="1" si="108"/>
        <v>0</v>
      </c>
      <c r="EN60" s="1174">
        <f t="shared" si="109"/>
        <v>0</v>
      </c>
      <c r="EO60" s="1175">
        <f t="shared" ca="1" si="110"/>
        <v>0</v>
      </c>
      <c r="EP60" s="1169">
        <f t="shared" ca="1" si="111"/>
        <v>0</v>
      </c>
      <c r="EQ60" s="1170"/>
      <c r="ER60" s="1170"/>
      <c r="ES60" s="1170"/>
      <c r="ET60" s="1173">
        <f ca="1">SUMIF('Struktur Vorjahr'!$A:$A,'Planzahlen Rentabilität'!$A60,'Struktur Vorjahr'!Q:Q)</f>
        <v>0</v>
      </c>
      <c r="EU60" s="1174">
        <f>EG60</f>
        <v>0</v>
      </c>
      <c r="EV60" s="1175">
        <f ca="1">SUMIF('Struktur Aktuell'!$A:$A,'Planzahlen Rentabilität'!$A60,'Struktur Aktuell'!Q:Q)</f>
        <v>0</v>
      </c>
      <c r="EW60" s="1169">
        <f t="shared" ca="1" si="112"/>
        <v>0</v>
      </c>
      <c r="EX60" s="1170"/>
      <c r="EY60" s="1170"/>
      <c r="EZ60" s="1170"/>
      <c r="FA60" s="1173">
        <f t="shared" ca="1" si="119"/>
        <v>0</v>
      </c>
      <c r="FB60" s="1174">
        <f t="shared" si="119"/>
        <v>0</v>
      </c>
      <c r="FC60" s="1175">
        <f t="shared" ca="1" si="119"/>
        <v>0</v>
      </c>
      <c r="FD60" s="1169">
        <f ca="1">FC60-FB60</f>
        <v>0</v>
      </c>
      <c r="FE60" s="1170"/>
      <c r="FF60" s="1170"/>
      <c r="FG60" s="1170"/>
      <c r="FH60" s="1173">
        <f ca="1">SUMIF('Struktur Vorjahr'!$A:$A,'Planzahlen Rentabilität'!$A60,'Struktur Vorjahr'!R:R)</f>
        <v>0</v>
      </c>
      <c r="FI60" s="1174">
        <f>EU60</f>
        <v>0</v>
      </c>
      <c r="FJ60" s="1175">
        <f ca="1">SUMIF('Struktur Aktuell'!$A:$A,'Planzahlen Rentabilität'!$A60,'Struktur Aktuell'!R:R)</f>
        <v>0</v>
      </c>
      <c r="FK60" s="1169">
        <f ca="1">FJ60-FI60</f>
        <v>0</v>
      </c>
      <c r="FL60" s="1170"/>
      <c r="FM60" s="1170"/>
      <c r="FN60" s="1170"/>
      <c r="FO60" s="1173">
        <f t="shared" ca="1" si="120"/>
        <v>0</v>
      </c>
      <c r="FP60" s="1174">
        <f t="shared" si="120"/>
        <v>0</v>
      </c>
      <c r="FQ60" s="1175">
        <f t="shared" ca="1" si="120"/>
        <v>0</v>
      </c>
      <c r="FR60" s="1169">
        <f ca="1">FQ60-FP60</f>
        <v>0</v>
      </c>
      <c r="FS60" s="1170"/>
      <c r="FT60" s="1170"/>
      <c r="FU60" s="1170"/>
      <c r="FV60" s="1171"/>
      <c r="FW60" s="1169">
        <v>0</v>
      </c>
    </row>
    <row r="61" spans="1:179" s="883" customFormat="1" x14ac:dyDescent="0.2">
      <c r="A61" s="1160">
        <v>37</v>
      </c>
      <c r="B61" s="1160" t="str">
        <f>'Struktur Aktuell'!B382</f>
        <v>Rücklagen</v>
      </c>
      <c r="C61" s="1173">
        <f t="shared" ca="1" si="121"/>
        <v>0</v>
      </c>
      <c r="D61" s="1174">
        <f t="shared" si="121"/>
        <v>0</v>
      </c>
      <c r="E61" s="1177">
        <f t="shared" ca="1" si="121"/>
        <v>0</v>
      </c>
      <c r="F61" s="1169">
        <f ca="1">E61-D61</f>
        <v>0</v>
      </c>
      <c r="G61" s="1170"/>
      <c r="H61" s="1170"/>
      <c r="I61" s="1170"/>
      <c r="J61" s="1173">
        <f ca="1">SUMIF('Struktur Vorjahr'!$A:$A,'Planzahlen Rentabilität'!$A61,'Struktur Vorjahr'!G:G)</f>
        <v>0</v>
      </c>
      <c r="K61" s="1174"/>
      <c r="L61" s="1177">
        <f ca="1">SUMIF('Struktur Aktuell'!$A:$A,'Planzahlen Rentabilität'!$A61,'Struktur Aktuell'!G:G)</f>
        <v>0</v>
      </c>
      <c r="M61" s="1169">
        <f ca="1">L61-K61</f>
        <v>0</v>
      </c>
      <c r="N61" s="1170"/>
      <c r="O61" s="1170"/>
      <c r="P61" s="1170"/>
      <c r="Q61" s="1173">
        <f t="shared" ca="1" si="75"/>
        <v>0</v>
      </c>
      <c r="R61" s="1174">
        <f t="shared" si="76"/>
        <v>0</v>
      </c>
      <c r="S61" s="1177">
        <f t="shared" ca="1" si="77"/>
        <v>0</v>
      </c>
      <c r="T61" s="1169">
        <f ca="1">S61-R61</f>
        <v>0</v>
      </c>
      <c r="U61" s="1170"/>
      <c r="V61" s="1170"/>
      <c r="W61" s="1170"/>
      <c r="X61" s="1173">
        <f ca="1">SUMIF('Struktur Vorjahr'!$A:$A,'Planzahlen Rentabilität'!$A61,'Struktur Vorjahr'!H:H)</f>
        <v>0</v>
      </c>
      <c r="Y61" s="1174">
        <f>K61</f>
        <v>0</v>
      </c>
      <c r="Z61" s="1177">
        <f ca="1">SUMIF('Struktur Aktuell'!$A:$A,'Planzahlen Rentabilität'!$A61,'Struktur Aktuell'!H:H)</f>
        <v>0</v>
      </c>
      <c r="AA61" s="1169">
        <f ca="1">Z61-Y61</f>
        <v>0</v>
      </c>
      <c r="AB61" s="1170"/>
      <c r="AC61" s="1170"/>
      <c r="AD61" s="1170"/>
      <c r="AE61" s="1173">
        <f t="shared" ca="1" si="78"/>
        <v>0</v>
      </c>
      <c r="AF61" s="1174">
        <f t="shared" si="79"/>
        <v>0</v>
      </c>
      <c r="AG61" s="1177">
        <f t="shared" ca="1" si="80"/>
        <v>0</v>
      </c>
      <c r="AH61" s="1169">
        <f ca="1">AG61-AF61</f>
        <v>0</v>
      </c>
      <c r="AI61" s="1170"/>
      <c r="AJ61" s="1170"/>
      <c r="AK61" s="1170"/>
      <c r="AL61" s="1173">
        <f ca="1">SUMIF('Struktur Vorjahr'!$A:$A,'Planzahlen Rentabilität'!$A61,'Struktur Vorjahr'!I:I)</f>
        <v>0</v>
      </c>
      <c r="AM61" s="1174">
        <f>Y61</f>
        <v>0</v>
      </c>
      <c r="AN61" s="1177">
        <f ca="1">SUMIF('Struktur Aktuell'!$A:$A,'Planzahlen Rentabilität'!$A61,'Struktur Aktuell'!I:I)</f>
        <v>0</v>
      </c>
      <c r="AO61" s="1169">
        <f ca="1">AN61-AM61</f>
        <v>0</v>
      </c>
      <c r="AP61" s="1170"/>
      <c r="AQ61" s="1170"/>
      <c r="AR61" s="1170"/>
      <c r="AS61" s="1173">
        <f t="shared" ca="1" si="81"/>
        <v>0</v>
      </c>
      <c r="AT61" s="1174">
        <f t="shared" si="82"/>
        <v>0</v>
      </c>
      <c r="AU61" s="1177">
        <f t="shared" ca="1" si="83"/>
        <v>0</v>
      </c>
      <c r="AV61" s="1169">
        <f ca="1">AU61-AT61</f>
        <v>0</v>
      </c>
      <c r="AW61" s="1170"/>
      <c r="AX61" s="1170"/>
      <c r="AY61" s="1170"/>
      <c r="AZ61" s="1173">
        <f ca="1">SUMIF('Struktur Vorjahr'!$A:$A,'Planzahlen Rentabilität'!$A61,'Struktur Vorjahr'!J:J)</f>
        <v>0</v>
      </c>
      <c r="BA61" s="1174">
        <f>AM61</f>
        <v>0</v>
      </c>
      <c r="BB61" s="1177">
        <f ca="1">SUMIF('Struktur Aktuell'!$A:$A,'Planzahlen Rentabilität'!$A61,'Struktur Aktuell'!J:J)</f>
        <v>0</v>
      </c>
      <c r="BC61" s="1169">
        <f ca="1">BB61-BA61</f>
        <v>0</v>
      </c>
      <c r="BD61" s="1170"/>
      <c r="BE61" s="1170"/>
      <c r="BF61" s="1170"/>
      <c r="BG61" s="1173">
        <f t="shared" ca="1" si="84"/>
        <v>0</v>
      </c>
      <c r="BH61" s="1174">
        <f t="shared" si="85"/>
        <v>0</v>
      </c>
      <c r="BI61" s="1177">
        <f t="shared" ca="1" si="86"/>
        <v>0</v>
      </c>
      <c r="BJ61" s="1169">
        <f ca="1">BI61-BH61</f>
        <v>0</v>
      </c>
      <c r="BK61" s="1170"/>
      <c r="BL61" s="1170"/>
      <c r="BM61" s="1170"/>
      <c r="BN61" s="1173">
        <f ca="1">SUMIF('Struktur Vorjahr'!$A:$A,'Planzahlen Rentabilität'!$A61,'Struktur Vorjahr'!K:K)</f>
        <v>0</v>
      </c>
      <c r="BO61" s="1174">
        <f>BA61</f>
        <v>0</v>
      </c>
      <c r="BP61" s="1177">
        <f ca="1">SUMIF('Struktur Aktuell'!$A:$A,'Planzahlen Rentabilität'!$A61,'Struktur Aktuell'!K:K)</f>
        <v>0</v>
      </c>
      <c r="BQ61" s="1169">
        <f ca="1">BP61-BO61</f>
        <v>0</v>
      </c>
      <c r="BR61" s="1170"/>
      <c r="BS61" s="1170"/>
      <c r="BT61" s="1170"/>
      <c r="BU61" s="1173">
        <f t="shared" ca="1" si="87"/>
        <v>0</v>
      </c>
      <c r="BV61" s="1174">
        <f t="shared" si="88"/>
        <v>0</v>
      </c>
      <c r="BW61" s="1177">
        <f t="shared" ca="1" si="89"/>
        <v>0</v>
      </c>
      <c r="BX61" s="1169">
        <f ca="1">BW61-BV61</f>
        <v>0</v>
      </c>
      <c r="BY61" s="1170"/>
      <c r="BZ61" s="1170"/>
      <c r="CA61" s="1170"/>
      <c r="CB61" s="1173">
        <f ca="1">SUMIF('Struktur Vorjahr'!$A:$A,'Planzahlen Rentabilität'!$A61,'Struktur Vorjahr'!L:L)</f>
        <v>0</v>
      </c>
      <c r="CC61" s="1174">
        <f>BO61</f>
        <v>0</v>
      </c>
      <c r="CD61" s="1177">
        <f ca="1">SUMIF('Struktur Aktuell'!$A:$A,'Planzahlen Rentabilität'!$A61,'Struktur Aktuell'!L:L)</f>
        <v>0</v>
      </c>
      <c r="CE61" s="1169">
        <f ca="1">CD61-CC61</f>
        <v>0</v>
      </c>
      <c r="CF61" s="1170"/>
      <c r="CG61" s="1170"/>
      <c r="CH61" s="1170"/>
      <c r="CI61" s="1173">
        <f t="shared" ca="1" si="90"/>
        <v>0</v>
      </c>
      <c r="CJ61" s="1174">
        <f t="shared" si="91"/>
        <v>0</v>
      </c>
      <c r="CK61" s="1177">
        <f t="shared" ca="1" si="92"/>
        <v>0</v>
      </c>
      <c r="CL61" s="1169">
        <f t="shared" ca="1" si="93"/>
        <v>0</v>
      </c>
      <c r="CM61" s="1170"/>
      <c r="CN61" s="1170"/>
      <c r="CO61" s="1170"/>
      <c r="CP61" s="1173">
        <f ca="1">SUMIF('Struktur Vorjahr'!$A:$A,'Planzahlen Rentabilität'!$A61,'Struktur Vorjahr'!M:M)</f>
        <v>0</v>
      </c>
      <c r="CQ61" s="1174">
        <f>CC61</f>
        <v>0</v>
      </c>
      <c r="CR61" s="1177">
        <f ca="1">SUMIF('Struktur Aktuell'!$A:$A,'Planzahlen Rentabilität'!$A61,'Struktur Aktuell'!M:M)</f>
        <v>0</v>
      </c>
      <c r="CS61" s="1169">
        <f t="shared" ca="1" si="94"/>
        <v>0</v>
      </c>
      <c r="CT61" s="1170"/>
      <c r="CU61" s="1170"/>
      <c r="CV61" s="1170"/>
      <c r="CW61" s="1173">
        <f t="shared" ca="1" si="95"/>
        <v>0</v>
      </c>
      <c r="CX61" s="1174">
        <f t="shared" si="96"/>
        <v>0</v>
      </c>
      <c r="CY61" s="1177">
        <f t="shared" ca="1" si="97"/>
        <v>0</v>
      </c>
      <c r="CZ61" s="1169">
        <f ca="1">CY61-CX61</f>
        <v>0</v>
      </c>
      <c r="DA61" s="1170"/>
      <c r="DB61" s="1170"/>
      <c r="DC61" s="1170"/>
      <c r="DD61" s="1173">
        <f ca="1">SUMIF('Struktur Vorjahr'!$A:$A,'Planzahlen Rentabilität'!$A61,'Struktur Vorjahr'!N:N)</f>
        <v>0</v>
      </c>
      <c r="DE61" s="1174">
        <f>CQ61</f>
        <v>0</v>
      </c>
      <c r="DF61" s="1177">
        <f ca="1">SUMIF('Struktur Aktuell'!$A:$A,'Planzahlen Rentabilität'!$A61,'Struktur Aktuell'!N:N)</f>
        <v>0</v>
      </c>
      <c r="DG61" s="1169">
        <f ca="1">DF61-DE61</f>
        <v>0</v>
      </c>
      <c r="DH61" s="1170"/>
      <c r="DI61" s="1170"/>
      <c r="DJ61" s="1170"/>
      <c r="DK61" s="1173">
        <f t="shared" ca="1" si="98"/>
        <v>0</v>
      </c>
      <c r="DL61" s="1174">
        <f t="shared" si="99"/>
        <v>0</v>
      </c>
      <c r="DM61" s="1177">
        <f t="shared" ca="1" si="100"/>
        <v>0</v>
      </c>
      <c r="DN61" s="1169">
        <f t="shared" ca="1" si="101"/>
        <v>0</v>
      </c>
      <c r="DO61" s="1170"/>
      <c r="DP61" s="1170"/>
      <c r="DQ61" s="1170"/>
      <c r="DR61" s="1173">
        <f ca="1">SUMIF('Struktur Vorjahr'!$A:$A,'Planzahlen Rentabilität'!$A61,'Struktur Vorjahr'!O:O)</f>
        <v>0</v>
      </c>
      <c r="DS61" s="1174">
        <f>DE61</f>
        <v>0</v>
      </c>
      <c r="DT61" s="1177">
        <f ca="1">SUMIF('Struktur Aktuell'!$A:$A,'Planzahlen Rentabilität'!$A61,'Struktur Aktuell'!O:O)</f>
        <v>0</v>
      </c>
      <c r="DU61" s="1169">
        <f t="shared" ca="1" si="102"/>
        <v>0</v>
      </c>
      <c r="DV61" s="1170"/>
      <c r="DW61" s="1170"/>
      <c r="DX61" s="1170"/>
      <c r="DY61" s="1173">
        <f t="shared" ca="1" si="103"/>
        <v>0</v>
      </c>
      <c r="DZ61" s="1174">
        <f t="shared" si="104"/>
        <v>0</v>
      </c>
      <c r="EA61" s="1177">
        <f t="shared" ca="1" si="105"/>
        <v>0</v>
      </c>
      <c r="EB61" s="1169">
        <f t="shared" ca="1" si="106"/>
        <v>0</v>
      </c>
      <c r="EC61" s="1170"/>
      <c r="ED61" s="1170"/>
      <c r="EE61" s="1170"/>
      <c r="EF61" s="1173">
        <f ca="1">SUMIF('Struktur Vorjahr'!$A:$A,'Planzahlen Rentabilität'!$A61,'Struktur Vorjahr'!P:P)</f>
        <v>0</v>
      </c>
      <c r="EG61" s="1174">
        <f>DS61</f>
        <v>0</v>
      </c>
      <c r="EH61" s="1177">
        <f ca="1">SUMIF('Struktur Aktuell'!$A:$A,'Planzahlen Rentabilität'!$A61,'Struktur Aktuell'!P:P)</f>
        <v>0</v>
      </c>
      <c r="EI61" s="1169">
        <f t="shared" ca="1" si="107"/>
        <v>0</v>
      </c>
      <c r="EJ61" s="1170"/>
      <c r="EK61" s="1170"/>
      <c r="EL61" s="1170"/>
      <c r="EM61" s="1173">
        <f t="shared" ca="1" si="108"/>
        <v>0</v>
      </c>
      <c r="EN61" s="1174">
        <f t="shared" si="109"/>
        <v>0</v>
      </c>
      <c r="EO61" s="1177">
        <f t="shared" ca="1" si="110"/>
        <v>0</v>
      </c>
      <c r="EP61" s="1169">
        <f t="shared" ca="1" si="111"/>
        <v>0</v>
      </c>
      <c r="EQ61" s="1170"/>
      <c r="ER61" s="1170"/>
      <c r="ES61" s="1170"/>
      <c r="ET61" s="1173">
        <f ca="1">SUMIF('Struktur Vorjahr'!$A:$A,'Planzahlen Rentabilität'!$A61,'Struktur Vorjahr'!Q:Q)</f>
        <v>0</v>
      </c>
      <c r="EU61" s="1174">
        <f>EG61</f>
        <v>0</v>
      </c>
      <c r="EV61" s="1177">
        <f ca="1">SUMIF('Struktur Aktuell'!$A:$A,'Planzahlen Rentabilität'!$A61,'Struktur Aktuell'!Q:Q)</f>
        <v>0</v>
      </c>
      <c r="EW61" s="1169">
        <f t="shared" ca="1" si="112"/>
        <v>0</v>
      </c>
      <c r="EX61" s="1170"/>
      <c r="EY61" s="1170"/>
      <c r="EZ61" s="1170"/>
      <c r="FA61" s="1173">
        <f t="shared" ca="1" si="119"/>
        <v>0</v>
      </c>
      <c r="FB61" s="1174">
        <f t="shared" si="119"/>
        <v>0</v>
      </c>
      <c r="FC61" s="1177">
        <f t="shared" ca="1" si="119"/>
        <v>0</v>
      </c>
      <c r="FD61" s="1169">
        <f ca="1">FC61-FB61</f>
        <v>0</v>
      </c>
      <c r="FE61" s="1170"/>
      <c r="FF61" s="1170"/>
      <c r="FG61" s="1170"/>
      <c r="FH61" s="1173">
        <f ca="1">SUMIF('Struktur Vorjahr'!$A:$A,'Planzahlen Rentabilität'!$A61,'Struktur Vorjahr'!R:R)</f>
        <v>0</v>
      </c>
      <c r="FI61" s="1174">
        <f>EU61</f>
        <v>0</v>
      </c>
      <c r="FJ61" s="1177">
        <f ca="1">SUMIF('Struktur Aktuell'!$A:$A,'Planzahlen Rentabilität'!$A61,'Struktur Aktuell'!R:R)</f>
        <v>0</v>
      </c>
      <c r="FK61" s="1169">
        <f ca="1">FJ61-FI61</f>
        <v>0</v>
      </c>
      <c r="FL61" s="1170"/>
      <c r="FM61" s="1170"/>
      <c r="FN61" s="1170"/>
      <c r="FO61" s="1173">
        <f t="shared" ca="1" si="120"/>
        <v>0</v>
      </c>
      <c r="FP61" s="1174">
        <f t="shared" si="120"/>
        <v>0</v>
      </c>
      <c r="FQ61" s="1177">
        <f t="shared" ca="1" si="120"/>
        <v>0</v>
      </c>
      <c r="FR61" s="1169">
        <f ca="1">FQ61-FP61</f>
        <v>0</v>
      </c>
      <c r="FS61" s="1170"/>
      <c r="FT61" s="1170"/>
      <c r="FU61" s="1170"/>
      <c r="FV61" s="1171"/>
      <c r="FW61" s="1169">
        <v>0</v>
      </c>
    </row>
    <row r="62" spans="1:179" s="883" customFormat="1" ht="16.5" customHeight="1" x14ac:dyDescent="0.2">
      <c r="A62" s="1179" t="s">
        <v>273</v>
      </c>
      <c r="B62" s="1167" t="str">
        <f>'Struktur Aktuell'!B387</f>
        <v>Bilanzergebnis</v>
      </c>
      <c r="C62" s="1180">
        <f ca="1">C59-C60-C61</f>
        <v>-15166.279999999982</v>
      </c>
      <c r="D62" s="1180">
        <f>D59-D60-D61</f>
        <v>178878.7933333331</v>
      </c>
      <c r="E62" s="1180">
        <f ca="1">E59-E60-E61</f>
        <v>-10416.279999999982</v>
      </c>
      <c r="F62" s="1181">
        <f ca="1">E62-D62</f>
        <v>-189295.07333333307</v>
      </c>
      <c r="G62" s="1182">
        <f ca="1">C62/C$15</f>
        <v>-9.8491393754126869E-2</v>
      </c>
      <c r="H62" s="1182">
        <f>D62/D$15</f>
        <v>0.17296578500708104</v>
      </c>
      <c r="I62" s="1182">
        <f ca="1">E62/E$15</f>
        <v>-6.5703412574800474E-2</v>
      </c>
      <c r="J62" s="1180">
        <f ca="1">J59-J60-J61</f>
        <v>-14219.660000000002</v>
      </c>
      <c r="K62" s="1180">
        <f>K59-K60-K61</f>
        <v>-2865.6316111111137</v>
      </c>
      <c r="L62" s="1180">
        <f ca="1">L59-L60-L61</f>
        <v>-9298.6600000000017</v>
      </c>
      <c r="M62" s="1181">
        <f ca="1">L62-K62</f>
        <v>-6433.028388888888</v>
      </c>
      <c r="N62" s="1182">
        <f ca="1">J62/J$15</f>
        <v>-1.3007646520188405</v>
      </c>
      <c r="O62" s="1182">
        <f>K62/K$15</f>
        <v>-4.6181757296900071E-2</v>
      </c>
      <c r="P62" s="1182">
        <f ca="1">L62/L$15</f>
        <v>-0.8308480249326069</v>
      </c>
      <c r="Q62" s="1180">
        <f t="shared" ca="1" si="75"/>
        <v>-14219.660000000002</v>
      </c>
      <c r="R62" s="1180">
        <f t="shared" si="76"/>
        <v>-2865.6316111111137</v>
      </c>
      <c r="S62" s="1180">
        <f t="shared" ca="1" si="77"/>
        <v>-9298.6600000000017</v>
      </c>
      <c r="T62" s="1181">
        <f ca="1">S62-R62</f>
        <v>-6433.028388888888</v>
      </c>
      <c r="U62" s="1182">
        <f ca="1">Q62/Q$15</f>
        <v>-1.3007646520188405</v>
      </c>
      <c r="V62" s="1182">
        <f>R62/R$15</f>
        <v>-4.6181757296900071E-2</v>
      </c>
      <c r="W62" s="1182">
        <f ca="1">S62/S$15</f>
        <v>-0.8308480249326069</v>
      </c>
      <c r="X62" s="1180">
        <f ca="1">X59-X60-X61</f>
        <v>-3393.9799999999973</v>
      </c>
      <c r="Y62" s="1180">
        <f>Y59-Y60-Y61</f>
        <v>11565.372388888893</v>
      </c>
      <c r="Z62" s="1180">
        <f ca="1">Z59-Z60-Z61</f>
        <v>-10142.98</v>
      </c>
      <c r="AA62" s="1181">
        <f ca="1">Z62-Y62</f>
        <v>-21708.352388888892</v>
      </c>
      <c r="AB62" s="1182">
        <f ca="1">X62/$Y$15</f>
        <v>-4.1022359614227968E-2</v>
      </c>
      <c r="AC62" s="1182">
        <f>Y62/$Y$15</f>
        <v>0.13978835031716844</v>
      </c>
      <c r="AD62" s="1182">
        <f ca="1">Z62/$Z$15</f>
        <v>-0.8538832274711351</v>
      </c>
      <c r="AE62" s="1180">
        <f t="shared" ca="1" si="78"/>
        <v>-17613.64</v>
      </c>
      <c r="AF62" s="1180">
        <f t="shared" si="79"/>
        <v>8699.7407777777789</v>
      </c>
      <c r="AG62" s="1180">
        <f t="shared" ca="1" si="80"/>
        <v>-19441.64</v>
      </c>
      <c r="AH62" s="1181">
        <f ca="1">AG62-AF62</f>
        <v>-28141.380777777777</v>
      </c>
      <c r="AI62" s="1182">
        <f ca="1">AE62/$AF$15</f>
        <v>-0.12165288863484351</v>
      </c>
      <c r="AJ62" s="1182">
        <f>AF62/$AF$15</f>
        <v>6.0086875625424786E-2</v>
      </c>
      <c r="AK62" s="1182">
        <f ca="1">AG62/$AG$15</f>
        <v>-0.84270854193378353</v>
      </c>
      <c r="AL62" s="1180">
        <f ca="1">AL59-AL60-AL61</f>
        <v>-2047.75</v>
      </c>
      <c r="AM62" s="1180">
        <f>AM59-AM60-AM61</f>
        <v>25996.376388888893</v>
      </c>
      <c r="AN62" s="1180">
        <f ca="1">AN59-AN60-AN61</f>
        <v>281.25000000000023</v>
      </c>
      <c r="AO62" s="1181">
        <f ca="1">AN62-AM62</f>
        <v>-25715.126388888893</v>
      </c>
      <c r="AP62" s="1182">
        <f ca="1">AL62/$AM$15</f>
        <v>-1.9800596797868081E-2</v>
      </c>
      <c r="AQ62" s="1182">
        <f>AM62/$AM$15</f>
        <v>0.25137041488560946</v>
      </c>
      <c r="AR62" s="1182">
        <f ca="1">AN62/$AN$15</f>
        <v>0.87890625000000067</v>
      </c>
      <c r="AS62" s="1180">
        <f t="shared" ca="1" si="81"/>
        <v>-19661.39</v>
      </c>
      <c r="AT62" s="1180">
        <f t="shared" si="82"/>
        <v>34696.117166666671</v>
      </c>
      <c r="AU62" s="1180">
        <f t="shared" ca="1" si="83"/>
        <v>-19160.39</v>
      </c>
      <c r="AV62" s="1181">
        <f ca="1">AU62-AT62</f>
        <v>-53856.50716666667</v>
      </c>
      <c r="AW62" s="1182">
        <f ca="1">AS62/$AT$15</f>
        <v>-7.9214433702770412E-2</v>
      </c>
      <c r="AX62" s="1182">
        <f>AT62/$AT$15</f>
        <v>0.13978835031716841</v>
      </c>
      <c r="AY62" s="1182">
        <f ca="1">AU62/$AU$15</f>
        <v>-0.81915544911121718</v>
      </c>
      <c r="AZ62" s="1180">
        <f ca="1">AZ59-AZ60-AZ61</f>
        <v>-9755.7800000000025</v>
      </c>
      <c r="BA62" s="1180">
        <f>BA59-BA60-BA61</f>
        <v>4349.8703888888931</v>
      </c>
      <c r="BB62" s="1180">
        <f ca="1">BB59-BB60-BB61</f>
        <v>-15159.780000000002</v>
      </c>
      <c r="BC62" s="1181">
        <f ca="1">BB62-BA62</f>
        <v>-19509.650388888895</v>
      </c>
      <c r="BD62" s="1182">
        <f ca="1">AZ62/$BA$15</f>
        <v>-0.13476133472536445</v>
      </c>
      <c r="BE62" s="1182">
        <f>BA62/$BA$15</f>
        <v>6.0086875625424842E-2</v>
      </c>
      <c r="BF62" s="1182">
        <f ca="1">BB62/$BB$15</f>
        <v>-1.1682748660818532</v>
      </c>
      <c r="BG62" s="1180">
        <f t="shared" ca="1" si="84"/>
        <v>-29417.170000000002</v>
      </c>
      <c r="BH62" s="1180">
        <f t="shared" si="85"/>
        <v>39045.987555555563</v>
      </c>
      <c r="BI62" s="1180">
        <f t="shared" ca="1" si="86"/>
        <v>-34320.17</v>
      </c>
      <c r="BJ62" s="1181">
        <f ca="1">BI62-BH62</f>
        <v>-73366.157555555561</v>
      </c>
      <c r="BK62" s="1182">
        <f ca="1">BG62/$BH$15</f>
        <v>-9.1757282320775513E-2</v>
      </c>
      <c r="BL62" s="1182">
        <f>BH62/$BH$15</f>
        <v>0.12179124312871017</v>
      </c>
      <c r="BM62" s="1182">
        <f ca="1">BI62/$BI$15</f>
        <v>-0.94372698267615107</v>
      </c>
      <c r="BN62" s="1180">
        <f ca="1">BN59-BN60-BN61</f>
        <v>-26585.019999999997</v>
      </c>
      <c r="BO62" s="1180">
        <f>BO59-BO60-BO61</f>
        <v>8876.1619722222276</v>
      </c>
      <c r="BP62" s="1180">
        <f ca="1">BP59-BP60-BP61</f>
        <v>-16896.019999999997</v>
      </c>
      <c r="BQ62" s="1181">
        <f ca="1">BP62-BO62</f>
        <v>-25772.181972222224</v>
      </c>
      <c r="BR62" s="1182">
        <f ca="1">BN62/$BO$15</f>
        <v>-0.32132783657871983</v>
      </c>
      <c r="BS62" s="1182">
        <f>BO62/$BO$15</f>
        <v>0.10728440014927473</v>
      </c>
      <c r="BT62" s="1182">
        <f ca="1">BP62/$BP$15</f>
        <v>-2.177852595541955</v>
      </c>
      <c r="BU62" s="1180">
        <f t="shared" ca="1" si="87"/>
        <v>-56002.19</v>
      </c>
      <c r="BV62" s="1180">
        <f t="shared" si="88"/>
        <v>47922.149527777787</v>
      </c>
      <c r="BW62" s="1180">
        <f t="shared" ca="1" si="89"/>
        <v>-51216.189999999995</v>
      </c>
      <c r="BX62" s="1181">
        <f ca="1">BW62-BV62</f>
        <v>-99138.339527777774</v>
      </c>
      <c r="BY62" s="1182">
        <f ca="1">BU62/$BV$15</f>
        <v>-0.13884867806599488</v>
      </c>
      <c r="BZ62" s="1182">
        <f>BV62/$BV$15</f>
        <v>0.11881548046626186</v>
      </c>
      <c r="CA62" s="1182">
        <f ca="1">BW62/$BW$15</f>
        <v>-1.1607136948568986</v>
      </c>
      <c r="CB62" s="1180">
        <f ca="1">CB59-CB60-CB61</f>
        <v>4445.2700000000004</v>
      </c>
      <c r="CC62" s="1180">
        <f>CC59-CC60-CC61</f>
        <v>14991.361972222225</v>
      </c>
      <c r="CD62" s="1180">
        <f ca="1">CD59-CD60-CD61</f>
        <v>147.27000000000001</v>
      </c>
      <c r="CE62" s="1181">
        <f ca="1">CD62-CC62</f>
        <v>-14844.091972222224</v>
      </c>
      <c r="CF62" s="1182">
        <f ca="1">CB62/$CC$15</f>
        <v>5.3729092252264105E-2</v>
      </c>
      <c r="CG62" s="1182">
        <f>CC62/$CC$15</f>
        <v>0.18119760338350915</v>
      </c>
      <c r="CH62" s="1182" t="e">
        <f ca="1">CD62/$CD$15</f>
        <v>#DIV/0!</v>
      </c>
      <c r="CI62" s="1180">
        <f t="shared" ca="1" si="90"/>
        <v>-51556.92</v>
      </c>
      <c r="CJ62" s="1180">
        <f t="shared" si="91"/>
        <v>62913.511500000008</v>
      </c>
      <c r="CK62" s="1180">
        <f t="shared" ca="1" si="92"/>
        <v>-51068.92</v>
      </c>
      <c r="CL62" s="1181">
        <f t="shared" ca="1" si="93"/>
        <v>-113982.43150000001</v>
      </c>
      <c r="CM62" s="1182">
        <f ca="1">CI62/$CJ$15</f>
        <v>-0.1060694831182061</v>
      </c>
      <c r="CN62" s="1182">
        <f>CJ62/$CJ$15</f>
        <v>0.12943371415430394</v>
      </c>
      <c r="CO62" s="1182">
        <f ca="1">CK62/$CK$15</f>
        <v>-1.1573761114513081</v>
      </c>
      <c r="CP62" s="1180">
        <f ca="1">CP59-CP60-CP61</f>
        <v>23973.330000000005</v>
      </c>
      <c r="CQ62" s="1180">
        <f>CQ59-CQ60-CQ61</f>
        <v>14991.361972222225</v>
      </c>
      <c r="CR62" s="1180">
        <f ca="1">CR59-CR60-CR61</f>
        <v>22230.330000000005</v>
      </c>
      <c r="CS62" s="1181">
        <f t="shared" ca="1" si="94"/>
        <v>7238.9680277777807</v>
      </c>
      <c r="CT62" s="1182">
        <f ca="1">CP62/$CQ$15</f>
        <v>0.28976086023210529</v>
      </c>
      <c r="CU62" s="1182">
        <f>CQ62/$CQ$15</f>
        <v>0.18119760338350915</v>
      </c>
      <c r="CV62" s="1182">
        <f ca="1">CR62/$CR$15</f>
        <v>0.43108451341694276</v>
      </c>
      <c r="CW62" s="1180">
        <f t="shared" ca="1" si="95"/>
        <v>-27583.589999999993</v>
      </c>
      <c r="CX62" s="1180">
        <f t="shared" si="96"/>
        <v>77904.873472222229</v>
      </c>
      <c r="CY62" s="1180">
        <f t="shared" ca="1" si="97"/>
        <v>-28838.589999999993</v>
      </c>
      <c r="CZ62" s="1181">
        <f ca="1">CY62-CX62</f>
        <v>-106743.46347222223</v>
      </c>
      <c r="DA62" s="1182">
        <f ca="1">CW62/$CX$15</f>
        <v>-4.8494160449069901E-2</v>
      </c>
      <c r="DB62" s="1182">
        <f>CX62/$CX$15</f>
        <v>0.13696300713309742</v>
      </c>
      <c r="DC62" s="1182">
        <f ca="1">CY62/$CY$15</f>
        <v>-0.30136534371541018</v>
      </c>
      <c r="DD62" s="1180">
        <f ca="1">DD59-DD60-DD61</f>
        <v>1143.8100000000011</v>
      </c>
      <c r="DE62" s="1180">
        <f>DE59-DE60-DE61</f>
        <v>5763.7799722222244</v>
      </c>
      <c r="DF62" s="1180">
        <f ca="1">DF59-DF60-DF61</f>
        <v>6551.8100000000013</v>
      </c>
      <c r="DG62" s="1181">
        <f ca="1">DF62-DE62</f>
        <v>788.03002777777692</v>
      </c>
      <c r="DH62" s="1182">
        <f ca="1">DD62/$DE$15</f>
        <v>1.5800003923030163E-2</v>
      </c>
      <c r="DI62" s="1182">
        <f>DE62/$DE$15</f>
        <v>7.9617896479829461E-2</v>
      </c>
      <c r="DJ62" s="1182">
        <f ca="1">DF62/$DF$15</f>
        <v>0.33893271380099343</v>
      </c>
      <c r="DK62" s="1180">
        <f t="shared" ca="1" si="98"/>
        <v>-26439.779999999992</v>
      </c>
      <c r="DL62" s="1180">
        <f t="shared" si="99"/>
        <v>83668.653444444455</v>
      </c>
      <c r="DM62" s="1180">
        <f t="shared" ca="1" si="100"/>
        <v>-22286.779999999992</v>
      </c>
      <c r="DN62" s="1181">
        <f t="shared" ca="1" si="101"/>
        <v>-105955.43344444444</v>
      </c>
      <c r="DO62" s="1182">
        <f ca="1">DK62/$DL$15</f>
        <v>-4.1235141890929569E-2</v>
      </c>
      <c r="DP62" s="1182">
        <f>DL62/$DL$15</f>
        <v>0.13048855915611557</v>
      </c>
      <c r="DQ62" s="1182">
        <f ca="1">DM62/$DM$15</f>
        <v>-0.19375793694228394</v>
      </c>
      <c r="DR62" s="1180">
        <f ca="1">DR59-DR60-DR61</f>
        <v>-7377.869999999999</v>
      </c>
      <c r="DS62" s="1180">
        <f>DS59-DS60-DS61</f>
        <v>27410.285972222227</v>
      </c>
      <c r="DT62" s="1180">
        <f ca="1">DT59-DT60-DT61</f>
        <v>-7377.869999999999</v>
      </c>
      <c r="DU62" s="1181">
        <f t="shared" ca="1" si="102"/>
        <v>-34788.15597222223</v>
      </c>
      <c r="DV62" s="1182">
        <f ca="1">DR62/$DS$15</f>
        <v>-7.1339875032150876E-2</v>
      </c>
      <c r="DW62" s="1182">
        <f>DS62/$DS$15</f>
        <v>0.26504212948369271</v>
      </c>
      <c r="DX62" s="1182">
        <f ca="1">DT62/$DT$15</f>
        <v>-0.6750795368971596</v>
      </c>
      <c r="DY62" s="1180">
        <f t="shared" ca="1" si="103"/>
        <v>-33817.649999999994</v>
      </c>
      <c r="DZ62" s="1180">
        <f t="shared" si="104"/>
        <v>111078.93941666669</v>
      </c>
      <c r="EA62" s="1180">
        <f t="shared" ca="1" si="105"/>
        <v>-29664.649999999991</v>
      </c>
      <c r="EB62" s="1181">
        <f t="shared" ca="1" si="106"/>
        <v>-140743.58941666668</v>
      </c>
      <c r="EC62" s="1182">
        <f ca="1">DY62/$DZ$15</f>
        <v>-4.5416354827210313E-2</v>
      </c>
      <c r="ED62" s="1182">
        <f>DZ62/$DZ$15</f>
        <v>0.14917655503494573</v>
      </c>
      <c r="EE62" s="1182">
        <f ca="1">EA62/$EA$15</f>
        <v>-0.23552210702555679</v>
      </c>
      <c r="EF62" s="1180">
        <f ca="1">EF59-EF60-EF61</f>
        <v>19498.369999999995</v>
      </c>
      <c r="EG62" s="1180">
        <f>EG59-EG60-EG61</f>
        <v>27410.285972222227</v>
      </c>
      <c r="EH62" s="1180">
        <f ca="1">EH59-EH60-EH61</f>
        <v>11586.37</v>
      </c>
      <c r="EI62" s="1181">
        <f t="shared" ca="1" si="107"/>
        <v>-15823.915972222227</v>
      </c>
      <c r="EJ62" s="1182">
        <f ca="1">EF62/$EG$15</f>
        <v>0.18853832869522499</v>
      </c>
      <c r="EK62" s="1182">
        <f>EG62/$EG$15</f>
        <v>0.26504212948369271</v>
      </c>
      <c r="EL62" s="1182">
        <f ca="1">EH62/$EH$15</f>
        <v>0.35410536391675829</v>
      </c>
      <c r="EM62" s="1180">
        <f t="shared" ca="1" si="108"/>
        <v>-14319.279999999999</v>
      </c>
      <c r="EN62" s="1180">
        <f t="shared" si="109"/>
        <v>138489.22538888891</v>
      </c>
      <c r="EO62" s="1180">
        <f t="shared" ca="1" si="110"/>
        <v>-18078.279999999992</v>
      </c>
      <c r="EP62" s="1181">
        <f t="shared" ca="1" si="111"/>
        <v>-156567.50538888891</v>
      </c>
      <c r="EQ62" s="1182">
        <f ca="1">EM62/$EN$15</f>
        <v>-1.6885295861059666E-2</v>
      </c>
      <c r="ER62" s="1182">
        <f>EN62/$EN$15</f>
        <v>0.16330650313845146</v>
      </c>
      <c r="ES62" s="1182">
        <f ca="1">EO62/$EO$15</f>
        <v>-0.11393430658958388</v>
      </c>
      <c r="ET62" s="1180">
        <f ca="1">ET59-ET60-ET61</f>
        <v>-316</v>
      </c>
      <c r="EU62" s="1180">
        <f>EU59-EU60-EU61</f>
        <v>20194.783972222212</v>
      </c>
      <c r="EV62" s="1180">
        <f ca="1">EV59-EV60-EV61</f>
        <v>7153</v>
      </c>
      <c r="EW62" s="1181">
        <f t="shared" ca="1" si="112"/>
        <v>-13041.783972222212</v>
      </c>
      <c r="EX62" s="1182">
        <f ca="1">ET62/$K$15</f>
        <v>-5.092572000265588E-3</v>
      </c>
      <c r="EY62" s="1182">
        <f>EU62/$K$15</f>
        <v>0.3254537702795921</v>
      </c>
      <c r="EZ62" s="1182">
        <f ca="1">EV62/$EV$15</f>
        <v>-42.076470588235296</v>
      </c>
      <c r="FA62" s="1180">
        <f t="shared" ca="1" si="119"/>
        <v>-14635.279999999999</v>
      </c>
      <c r="FB62" s="1180">
        <f t="shared" si="119"/>
        <v>158684.00936111112</v>
      </c>
      <c r="FC62" s="1180">
        <f t="shared" ca="1" si="119"/>
        <v>-10925.279999999992</v>
      </c>
      <c r="FD62" s="1181">
        <f ca="1">FC62-FB62</f>
        <v>-169609.28936111112</v>
      </c>
      <c r="FE62" s="1182">
        <f ca="1">FA62/$FB$15</f>
        <v>-1.5551095523170178E-2</v>
      </c>
      <c r="FF62" s="1182">
        <f>FB62/$FB$15</f>
        <v>0.16861380086846783</v>
      </c>
      <c r="FG62" s="1182">
        <f ca="1">FC62/$FC$15</f>
        <v>-6.8927976306291994E-2</v>
      </c>
      <c r="FH62" s="1180">
        <f ca="1">FH59-FH60-FH61</f>
        <v>-531</v>
      </c>
      <c r="FI62" s="1180">
        <f>FI59-FI60-FI61</f>
        <v>20194.783972222212</v>
      </c>
      <c r="FJ62" s="1180">
        <f ca="1">FJ59-FJ60-FJ61</f>
        <v>509</v>
      </c>
      <c r="FK62" s="1181">
        <f ca="1">FJ62-FI62</f>
        <v>-19685.783972222212</v>
      </c>
      <c r="FL62" s="1182">
        <f ca="1">FH62/$FI$15</f>
        <v>-5.7049698990317031E-3</v>
      </c>
      <c r="FM62" s="1182">
        <f>FI62/$FI$15</f>
        <v>0.21696918018639474</v>
      </c>
      <c r="FN62" s="1182">
        <f ca="1">FJ62/$FJ$15</f>
        <v>15.90625</v>
      </c>
      <c r="FO62" s="1180">
        <f t="shared" ca="1" si="120"/>
        <v>-15166.279999999999</v>
      </c>
      <c r="FP62" s="1180">
        <f t="shared" si="120"/>
        <v>178878.79333333333</v>
      </c>
      <c r="FQ62" s="1180">
        <f t="shared" ca="1" si="120"/>
        <v>-10416.279999999992</v>
      </c>
      <c r="FR62" s="1181">
        <f ca="1">FQ62-FP62</f>
        <v>-189295.07333333333</v>
      </c>
      <c r="FS62" s="1182">
        <f ca="1">FO62/$FP$15</f>
        <v>-1.4664944216997714E-2</v>
      </c>
      <c r="FT62" s="1182">
        <f>FP62/$FP$15</f>
        <v>0.17296578500708126</v>
      </c>
      <c r="FU62" s="1182">
        <f ca="1">FQ62/$FQ$15</f>
        <v>-6.5703412574800529E-2</v>
      </c>
      <c r="FV62" s="1171"/>
      <c r="FW62" s="1183">
        <v>0</v>
      </c>
    </row>
  </sheetData>
  <mergeCells count="50">
    <mergeCell ref="FS10:FU10"/>
    <mergeCell ref="EQ10:ES10"/>
    <mergeCell ref="EX10:EZ10"/>
    <mergeCell ref="FA10:FC10"/>
    <mergeCell ref="FE10:FG10"/>
    <mergeCell ref="FL10:FN10"/>
    <mergeCell ref="FH10:FJ10"/>
    <mergeCell ref="ET10:EV10"/>
    <mergeCell ref="EC10:EE10"/>
    <mergeCell ref="EJ10:EL10"/>
    <mergeCell ref="EM10:EO10"/>
    <mergeCell ref="EF10:EH10"/>
    <mergeCell ref="FO10:FQ10"/>
    <mergeCell ref="CF10:CH10"/>
    <mergeCell ref="CI10:CK10"/>
    <mergeCell ref="CM10:CO10"/>
    <mergeCell ref="DV10:DX10"/>
    <mergeCell ref="DY10:EA10"/>
    <mergeCell ref="DR10:DT10"/>
    <mergeCell ref="DH10:DJ10"/>
    <mergeCell ref="DK10:DM10"/>
    <mergeCell ref="DO10:DQ10"/>
    <mergeCell ref="CP10:CR10"/>
    <mergeCell ref="DD10:DF10"/>
    <mergeCell ref="CT10:CV10"/>
    <mergeCell ref="CW10:CY10"/>
    <mergeCell ref="DA10:DC10"/>
    <mergeCell ref="AS10:AU10"/>
    <mergeCell ref="G10:I10"/>
    <mergeCell ref="N10:P10"/>
    <mergeCell ref="Q10:S10"/>
    <mergeCell ref="U10:W10"/>
    <mergeCell ref="X10:Z10"/>
    <mergeCell ref="J10:L10"/>
    <mergeCell ref="C10:E10"/>
    <mergeCell ref="AL10:AN10"/>
    <mergeCell ref="AZ10:BB10"/>
    <mergeCell ref="BN10:BP10"/>
    <mergeCell ref="CB10:CD10"/>
    <mergeCell ref="BU10:BW10"/>
    <mergeCell ref="BY10:CA10"/>
    <mergeCell ref="AW10:AY10"/>
    <mergeCell ref="BD10:BF10"/>
    <mergeCell ref="BG10:BI10"/>
    <mergeCell ref="BK10:BM10"/>
    <mergeCell ref="BR10:BT10"/>
    <mergeCell ref="AB10:AD10"/>
    <mergeCell ref="AE10:AG10"/>
    <mergeCell ref="AI10:AK10"/>
    <mergeCell ref="AP10:AR10"/>
  </mergeCells>
  <phoneticPr fontId="0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10" orientation="portrait"/>
  <headerFooter alignWithMargins="0">
    <oddHeader>&amp;A</oddHeader>
    <oddFooter>&amp;LVertraulich&amp;C&amp;D&amp;RSeite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5">
    <tabColor rgb="FFEBE600"/>
    <pageSetUpPr fitToPage="1"/>
  </sheetPr>
  <dimension ref="A1:FW49"/>
  <sheetViews>
    <sheetView showGridLines="0" zoomScale="85" zoomScaleNormal="85" workbookViewId="0">
      <pane xSplit="5" ySplit="13" topLeftCell="F14" activePane="bottomRight" state="frozen"/>
      <selection activeCell="G11" sqref="G11"/>
      <selection pane="topRight" activeCell="G11" sqref="G11"/>
      <selection pane="bottomLeft" activeCell="G11" sqref="G11"/>
      <selection pane="bottomRight" activeCell="F14" sqref="F14"/>
    </sheetView>
  </sheetViews>
  <sheetFormatPr baseColWidth="10" defaultColWidth="11.28515625" defaultRowHeight="12.75" outlineLevelCol="1" x14ac:dyDescent="0.2"/>
  <cols>
    <col min="1" max="1" width="4.7109375" style="490" bestFit="1" customWidth="1"/>
    <col min="2" max="2" width="57" style="490" bestFit="1" customWidth="1"/>
    <col min="3" max="5" width="12.140625" style="490" customWidth="1"/>
    <col min="6" max="6" width="12.140625" style="1054" customWidth="1" outlineLevel="1"/>
    <col min="7" max="7" width="7.85546875" style="1109" customWidth="1"/>
    <col min="8" max="9" width="7.85546875" style="1054" customWidth="1"/>
    <col min="10" max="12" width="12.140625" style="490" customWidth="1"/>
    <col min="13" max="13" width="12.140625" style="1054" customWidth="1" outlineLevel="1"/>
    <col min="14" max="14" width="7.85546875" style="1109" customWidth="1" outlineLevel="1"/>
    <col min="15" max="16" width="7.85546875" style="1054" customWidth="1" outlineLevel="1"/>
    <col min="17" max="19" width="12.140625" style="490" customWidth="1"/>
    <col min="20" max="20" width="12.140625" style="1107" customWidth="1" outlineLevel="1"/>
    <col min="21" max="21" width="7.85546875" style="1109" customWidth="1" outlineLevel="1"/>
    <col min="22" max="23" width="7.85546875" style="1107" customWidth="1" outlineLevel="1"/>
    <col min="24" max="26" width="12.140625" style="490" customWidth="1"/>
    <col min="27" max="27" width="12.140625" style="1054" customWidth="1" outlineLevel="1"/>
    <col min="28" max="28" width="7.85546875" style="1109" customWidth="1" outlineLevel="1"/>
    <col min="29" max="30" width="7.85546875" style="1054" customWidth="1" outlineLevel="1"/>
    <col min="31" max="33" width="12.140625" style="490" customWidth="1"/>
    <col min="34" max="34" width="12.140625" style="1054" customWidth="1" outlineLevel="1"/>
    <col min="35" max="35" width="7.85546875" style="1109" customWidth="1" outlineLevel="1"/>
    <col min="36" max="37" width="7.85546875" style="1054" customWidth="1" outlineLevel="1"/>
    <col min="38" max="40" width="12.140625" style="490" customWidth="1"/>
    <col min="41" max="41" width="12.140625" style="1054" customWidth="1" outlineLevel="1"/>
    <col min="42" max="42" width="7.85546875" style="1109" customWidth="1" outlineLevel="1"/>
    <col min="43" max="44" width="7.85546875" style="1054" customWidth="1" outlineLevel="1"/>
    <col min="45" max="47" width="12.140625" style="490" customWidth="1"/>
    <col min="48" max="48" width="12.140625" style="1054" customWidth="1" outlineLevel="1"/>
    <col min="49" max="49" width="7.85546875" style="1109" customWidth="1" outlineLevel="1"/>
    <col min="50" max="51" width="7.85546875" style="1054" customWidth="1" outlineLevel="1"/>
    <col min="52" max="54" width="12.140625" style="490" customWidth="1"/>
    <col min="55" max="55" width="12.140625" style="1054" customWidth="1" outlineLevel="1"/>
    <col min="56" max="56" width="7.85546875" style="1109" customWidth="1" outlineLevel="1"/>
    <col min="57" max="57" width="7.85546875" style="1054" customWidth="1" outlineLevel="1"/>
    <col min="58" max="58" width="8.5703125" style="1054" customWidth="1" outlineLevel="1"/>
    <col min="59" max="61" width="12.140625" style="490" customWidth="1"/>
    <col min="62" max="62" width="12.140625" style="1054" customWidth="1" outlineLevel="1"/>
    <col min="63" max="63" width="7.85546875" style="1109" customWidth="1" outlineLevel="1"/>
    <col min="64" max="65" width="7.85546875" style="1054" customWidth="1" outlineLevel="1"/>
    <col min="66" max="68" width="12.140625" style="490" customWidth="1"/>
    <col min="69" max="69" width="12.140625" style="1054" customWidth="1" outlineLevel="1"/>
    <col min="70" max="70" width="7.85546875" style="1109" customWidth="1" outlineLevel="1"/>
    <col min="71" max="72" width="7.85546875" style="1054" customWidth="1" outlineLevel="1"/>
    <col min="73" max="75" width="12.140625" style="490" customWidth="1"/>
    <col min="76" max="76" width="12.140625" style="1054" customWidth="1" outlineLevel="1"/>
    <col min="77" max="77" width="7.85546875" style="1109" customWidth="1" outlineLevel="1"/>
    <col min="78" max="79" width="7.85546875" style="1054" customWidth="1" outlineLevel="1"/>
    <col min="80" max="82" width="12.140625" style="490" customWidth="1"/>
    <col min="83" max="83" width="12.140625" style="1054" customWidth="1" outlineLevel="1"/>
    <col min="84" max="84" width="7.85546875" style="1109" customWidth="1" outlineLevel="1"/>
    <col min="85" max="86" width="7.85546875" style="1054" customWidth="1" outlineLevel="1"/>
    <col min="87" max="89" width="12.140625" style="490" customWidth="1"/>
    <col min="90" max="90" width="12.140625" style="1054" customWidth="1" outlineLevel="1"/>
    <col min="91" max="91" width="7.85546875" style="1109" customWidth="1" outlineLevel="1"/>
    <col min="92" max="93" width="7.85546875" style="1054" customWidth="1" outlineLevel="1"/>
    <col min="94" max="96" width="12.140625" style="490" customWidth="1"/>
    <col min="97" max="97" width="12.140625" style="1054" customWidth="1" outlineLevel="1"/>
    <col min="98" max="98" width="7.85546875" style="1109" customWidth="1" outlineLevel="1"/>
    <col min="99" max="100" width="7.85546875" style="1054" customWidth="1" outlineLevel="1"/>
    <col min="101" max="103" width="12.140625" style="490" customWidth="1"/>
    <col min="104" max="104" width="12.140625" style="1054" customWidth="1" outlineLevel="1"/>
    <col min="105" max="105" width="7.85546875" style="1109" customWidth="1" outlineLevel="1"/>
    <col min="106" max="107" width="7.85546875" style="1054" customWidth="1" outlineLevel="1"/>
    <col min="108" max="110" width="12.140625" style="490" customWidth="1"/>
    <col min="111" max="111" width="12.140625" style="1054" customWidth="1" outlineLevel="1"/>
    <col min="112" max="112" width="7.85546875" style="1109" customWidth="1" outlineLevel="1"/>
    <col min="113" max="114" width="7.85546875" style="1054" customWidth="1" outlineLevel="1"/>
    <col min="115" max="117" width="12.140625" style="490" customWidth="1"/>
    <col min="118" max="118" width="12.140625" style="1054" customWidth="1" outlineLevel="1"/>
    <col min="119" max="119" width="7.85546875" style="1109" customWidth="1" outlineLevel="1"/>
    <col min="120" max="121" width="7.85546875" style="1054" customWidth="1" outlineLevel="1"/>
    <col min="122" max="124" width="12.140625" style="490" customWidth="1"/>
    <col min="125" max="125" width="12.140625" style="1054" customWidth="1" outlineLevel="1"/>
    <col min="126" max="126" width="7.85546875" style="1109" customWidth="1" outlineLevel="1"/>
    <col min="127" max="128" width="7.85546875" style="1054" customWidth="1" outlineLevel="1"/>
    <col min="129" max="131" width="12.140625" style="490" customWidth="1"/>
    <col min="132" max="132" width="12.7109375" style="1054" bestFit="1" customWidth="1" outlineLevel="1"/>
    <col min="133" max="133" width="7.85546875" style="1109" customWidth="1" outlineLevel="1"/>
    <col min="134" max="135" width="7.85546875" style="1054" customWidth="1" outlineLevel="1"/>
    <col min="136" max="138" width="12.140625" style="490" customWidth="1"/>
    <col min="139" max="139" width="12.7109375" style="1054" bestFit="1" customWidth="1" outlineLevel="1"/>
    <col min="140" max="140" width="7.85546875" style="1109" customWidth="1"/>
    <col min="141" max="142" width="7.85546875" style="1054" customWidth="1"/>
    <col min="143" max="145" width="12.140625" style="490" customWidth="1"/>
    <col min="146" max="146" width="12.140625" style="1054" customWidth="1" outlineLevel="1"/>
    <col min="147" max="147" width="7.85546875" style="1109" customWidth="1" outlineLevel="1"/>
    <col min="148" max="149" width="7.85546875" style="1054" customWidth="1" outlineLevel="1"/>
    <col min="150" max="153" width="12.140625" style="490" customWidth="1"/>
    <col min="154" max="156" width="7.85546875" style="490" customWidth="1"/>
    <col min="157" max="159" width="12.140625" style="490" customWidth="1"/>
    <col min="160" max="160" width="12.7109375" style="490" customWidth="1"/>
    <col min="161" max="163" width="7.85546875" style="490" customWidth="1"/>
    <col min="164" max="166" width="12.140625" style="490" customWidth="1"/>
    <col min="167" max="167" width="12.7109375" style="490" customWidth="1"/>
    <col min="168" max="170" width="7.85546875" style="490" customWidth="1"/>
    <col min="171" max="174" width="12.140625" style="490" customWidth="1"/>
    <col min="175" max="177" width="7.85546875" style="490" customWidth="1"/>
    <col min="178" max="178" width="11.28515625" style="490" customWidth="1"/>
    <col min="179" max="179" width="12.140625" style="490" customWidth="1"/>
    <col min="180" max="180" width="11.28515625" style="490" customWidth="1"/>
    <col min="181" max="16384" width="11.28515625" style="490"/>
  </cols>
  <sheetData>
    <row r="1" spans="1:179" s="486" customFormat="1" x14ac:dyDescent="0.2">
      <c r="F1" s="50"/>
      <c r="G1" s="1108"/>
      <c r="H1" s="50"/>
      <c r="I1" s="50"/>
      <c r="M1" s="50"/>
      <c r="N1" s="1108"/>
      <c r="O1" s="50"/>
      <c r="P1" s="50"/>
      <c r="T1" s="1106"/>
      <c r="U1" s="1108"/>
      <c r="V1" s="1106"/>
      <c r="W1" s="1106"/>
      <c r="AA1" s="50"/>
      <c r="AB1" s="1108"/>
      <c r="AC1" s="50"/>
      <c r="AD1" s="50"/>
      <c r="AH1" s="50"/>
      <c r="AI1" s="1108"/>
      <c r="AJ1" s="50"/>
      <c r="AK1" s="50"/>
      <c r="AO1" s="50"/>
      <c r="AP1" s="1108"/>
      <c r="AQ1" s="50"/>
      <c r="AR1" s="50"/>
      <c r="AV1" s="50"/>
      <c r="AW1" s="1108"/>
      <c r="AX1" s="50"/>
      <c r="AY1" s="50"/>
      <c r="BC1" s="50"/>
      <c r="BD1" s="1108"/>
      <c r="BE1" s="50"/>
      <c r="BF1" s="50"/>
      <c r="BJ1" s="50"/>
      <c r="BK1" s="1108"/>
      <c r="BL1" s="50"/>
      <c r="BM1" s="50"/>
      <c r="BQ1" s="50"/>
      <c r="BR1" s="1108"/>
      <c r="BS1" s="50"/>
      <c r="BT1" s="50"/>
      <c r="BX1" s="50"/>
      <c r="BY1" s="1108"/>
      <c r="BZ1" s="50"/>
      <c r="CA1" s="50"/>
      <c r="CE1" s="50"/>
      <c r="CF1" s="1108"/>
      <c r="CG1" s="50"/>
      <c r="CH1" s="50"/>
      <c r="CL1" s="50"/>
      <c r="CM1" s="1108"/>
      <c r="CN1" s="50"/>
      <c r="CO1" s="50"/>
      <c r="CS1" s="50"/>
      <c r="CT1" s="1108"/>
      <c r="CU1" s="50"/>
      <c r="CV1" s="50"/>
      <c r="CZ1" s="50"/>
      <c r="DA1" s="1108"/>
      <c r="DB1" s="50"/>
      <c r="DC1" s="50"/>
      <c r="DG1" s="50"/>
      <c r="DH1" s="1108"/>
      <c r="DI1" s="50"/>
      <c r="DJ1" s="50"/>
      <c r="DN1" s="50"/>
      <c r="DO1" s="1108"/>
      <c r="DP1" s="50"/>
      <c r="DQ1" s="50"/>
      <c r="DU1" s="50"/>
      <c r="DV1" s="1108"/>
      <c r="DW1" s="50"/>
      <c r="DX1" s="50"/>
      <c r="EB1" s="50"/>
      <c r="EC1" s="1108"/>
      <c r="ED1" s="50"/>
      <c r="EE1" s="50"/>
      <c r="EI1" s="50"/>
      <c r="EJ1" s="1108"/>
      <c r="EK1" s="50"/>
      <c r="EL1" s="50"/>
      <c r="EP1" s="50"/>
      <c r="EQ1" s="1108"/>
      <c r="ER1" s="50"/>
      <c r="ES1" s="50"/>
      <c r="EW1" s="50"/>
      <c r="EX1" s="1108"/>
      <c r="EY1" s="50"/>
      <c r="EZ1" s="50"/>
      <c r="FD1" s="50"/>
      <c r="FE1" s="1108"/>
      <c r="FF1" s="50"/>
      <c r="FG1" s="50"/>
      <c r="FK1" s="50"/>
      <c r="FL1" s="1108"/>
      <c r="FM1" s="50"/>
      <c r="FN1" s="50"/>
      <c r="FR1" s="50"/>
      <c r="FS1" s="1108"/>
      <c r="FT1" s="50"/>
      <c r="FU1" s="50"/>
      <c r="FW1" s="50"/>
    </row>
    <row r="2" spans="1:179" s="486" customFormat="1" x14ac:dyDescent="0.2">
      <c r="B2" s="494"/>
      <c r="F2" s="50"/>
      <c r="G2" s="1108"/>
      <c r="H2" s="50"/>
      <c r="I2" s="50"/>
      <c r="M2" s="50"/>
      <c r="N2" s="1108"/>
      <c r="O2" s="50"/>
      <c r="P2" s="50"/>
      <c r="T2" s="1106"/>
      <c r="U2" s="1108"/>
      <c r="V2" s="1106"/>
      <c r="W2" s="1106"/>
      <c r="AA2" s="50"/>
      <c r="AB2" s="1108"/>
      <c r="AC2" s="50"/>
      <c r="AD2" s="50"/>
      <c r="AH2" s="50"/>
      <c r="AI2" s="1108"/>
      <c r="AJ2" s="50"/>
      <c r="AK2" s="50"/>
      <c r="AO2" s="50"/>
      <c r="AP2" s="1108"/>
      <c r="AQ2" s="50"/>
      <c r="AR2" s="50"/>
      <c r="AV2" s="50"/>
      <c r="AW2" s="1108"/>
      <c r="AX2" s="50"/>
      <c r="AY2" s="50"/>
      <c r="BC2" s="50"/>
      <c r="BD2" s="1108"/>
      <c r="BE2" s="50"/>
      <c r="BF2" s="50"/>
      <c r="BJ2" s="50"/>
      <c r="BK2" s="1108"/>
      <c r="BL2" s="50"/>
      <c r="BM2" s="50"/>
      <c r="BQ2" s="50"/>
      <c r="BR2" s="1108"/>
      <c r="BS2" s="50"/>
      <c r="BT2" s="50"/>
      <c r="BX2" s="50"/>
      <c r="BY2" s="1108"/>
      <c r="BZ2" s="50"/>
      <c r="CA2" s="50"/>
      <c r="CE2" s="50"/>
      <c r="CF2" s="1108"/>
      <c r="CG2" s="50"/>
      <c r="CH2" s="50"/>
      <c r="CL2" s="50"/>
      <c r="CM2" s="1108"/>
      <c r="CN2" s="50"/>
      <c r="CO2" s="50"/>
      <c r="CS2" s="50"/>
      <c r="CT2" s="1108"/>
      <c r="CU2" s="50"/>
      <c r="CV2" s="50"/>
      <c r="CZ2" s="50"/>
      <c r="DA2" s="1108"/>
      <c r="DB2" s="50"/>
      <c r="DC2" s="50"/>
      <c r="DG2" s="50"/>
      <c r="DH2" s="1108"/>
      <c r="DI2" s="50"/>
      <c r="DJ2" s="50"/>
      <c r="DN2" s="50"/>
      <c r="DO2" s="1108"/>
      <c r="DP2" s="50"/>
      <c r="DQ2" s="50"/>
      <c r="DU2" s="50"/>
      <c r="DV2" s="1108"/>
      <c r="DW2" s="50"/>
      <c r="DX2" s="50"/>
      <c r="EB2" s="50"/>
      <c r="EC2" s="1108"/>
      <c r="ED2" s="50"/>
      <c r="EE2" s="50"/>
      <c r="EI2" s="50"/>
      <c r="EJ2" s="1108"/>
      <c r="EK2" s="50"/>
      <c r="EL2" s="50"/>
      <c r="EP2" s="50"/>
      <c r="EQ2" s="1108"/>
      <c r="ER2" s="50"/>
      <c r="ES2" s="50"/>
      <c r="EW2" s="50"/>
      <c r="EX2" s="1108"/>
      <c r="EY2" s="50"/>
      <c r="EZ2" s="50"/>
      <c r="FD2" s="50"/>
      <c r="FE2" s="1108"/>
      <c r="FF2" s="50"/>
      <c r="FG2" s="50"/>
      <c r="FK2" s="50"/>
      <c r="FL2" s="1108"/>
      <c r="FM2" s="50"/>
      <c r="FN2" s="50"/>
      <c r="FR2" s="50"/>
      <c r="FS2" s="1108"/>
      <c r="FT2" s="50"/>
      <c r="FU2" s="50"/>
      <c r="FW2" s="50"/>
    </row>
    <row r="3" spans="1:179" s="486" customFormat="1" x14ac:dyDescent="0.2">
      <c r="B3" s="494"/>
      <c r="F3" s="50"/>
      <c r="G3" s="1108"/>
      <c r="H3" s="50"/>
      <c r="I3" s="50"/>
      <c r="M3" s="50"/>
      <c r="N3" s="1108"/>
      <c r="O3" s="50"/>
      <c r="P3" s="50"/>
      <c r="T3" s="1106"/>
      <c r="U3" s="1108"/>
      <c r="V3" s="1106"/>
      <c r="W3" s="1106"/>
      <c r="AA3" s="50"/>
      <c r="AB3" s="1108"/>
      <c r="AC3" s="50"/>
      <c r="AD3" s="50"/>
      <c r="AH3" s="50"/>
      <c r="AI3" s="1108"/>
      <c r="AJ3" s="50"/>
      <c r="AK3" s="50"/>
      <c r="AO3" s="50"/>
      <c r="AP3" s="1108"/>
      <c r="AQ3" s="50"/>
      <c r="AR3" s="50"/>
      <c r="AV3" s="50"/>
      <c r="AW3" s="1108"/>
      <c r="AX3" s="50"/>
      <c r="AY3" s="50"/>
      <c r="BC3" s="50"/>
      <c r="BD3" s="1108"/>
      <c r="BE3" s="50"/>
      <c r="BF3" s="50"/>
      <c r="BJ3" s="50"/>
      <c r="BK3" s="1108"/>
      <c r="BL3" s="50"/>
      <c r="BM3" s="50"/>
      <c r="BQ3" s="50"/>
      <c r="BR3" s="1108"/>
      <c r="BS3" s="50"/>
      <c r="BT3" s="50"/>
      <c r="BX3" s="50"/>
      <c r="BY3" s="1108"/>
      <c r="BZ3" s="50"/>
      <c r="CA3" s="50"/>
      <c r="CE3" s="50"/>
      <c r="CF3" s="1108"/>
      <c r="CG3" s="50"/>
      <c r="CH3" s="50"/>
      <c r="CL3" s="50"/>
      <c r="CM3" s="1108"/>
      <c r="CN3" s="50"/>
      <c r="CO3" s="50"/>
      <c r="CS3" s="50"/>
      <c r="CT3" s="1108"/>
      <c r="CU3" s="50"/>
      <c r="CV3" s="50"/>
      <c r="CZ3" s="50"/>
      <c r="DA3" s="1108"/>
      <c r="DB3" s="50"/>
      <c r="DC3" s="50"/>
      <c r="DG3" s="50"/>
      <c r="DH3" s="1108"/>
      <c r="DI3" s="50"/>
      <c r="DJ3" s="50"/>
      <c r="DN3" s="50"/>
      <c r="DO3" s="1108"/>
      <c r="DP3" s="50"/>
      <c r="DQ3" s="50"/>
      <c r="DU3" s="50"/>
      <c r="DV3" s="1108"/>
      <c r="DW3" s="50"/>
      <c r="DX3" s="50"/>
      <c r="EB3" s="50"/>
      <c r="EC3" s="1108"/>
      <c r="ED3" s="50"/>
      <c r="EE3" s="50"/>
      <c r="EI3" s="50"/>
      <c r="EJ3" s="1108"/>
      <c r="EK3" s="50"/>
      <c r="EL3" s="50"/>
      <c r="EP3" s="50"/>
      <c r="EQ3" s="1108"/>
      <c r="ER3" s="50"/>
      <c r="ES3" s="50"/>
      <c r="EW3" s="50"/>
      <c r="EX3" s="1108"/>
      <c r="EY3" s="50"/>
      <c r="EZ3" s="50"/>
      <c r="FD3" s="50"/>
      <c r="FE3" s="1108"/>
      <c r="FF3" s="50"/>
      <c r="FG3" s="50"/>
      <c r="FK3" s="50"/>
      <c r="FL3" s="1108"/>
      <c r="FM3" s="50"/>
      <c r="FN3" s="50"/>
      <c r="FR3" s="50"/>
      <c r="FS3" s="1108"/>
      <c r="FT3" s="50"/>
      <c r="FU3" s="50"/>
      <c r="FW3" s="50"/>
    </row>
    <row r="4" spans="1:179" s="486" customFormat="1" ht="15.75" x14ac:dyDescent="0.2">
      <c r="A4" s="878" t="s">
        <v>692</v>
      </c>
      <c r="F4" s="50"/>
      <c r="G4" s="1108"/>
      <c r="H4" s="50"/>
      <c r="I4" s="50"/>
      <c r="M4" s="50"/>
      <c r="N4" s="1108"/>
      <c r="O4" s="50"/>
      <c r="P4" s="50"/>
      <c r="T4" s="1106"/>
      <c r="U4" s="1108"/>
      <c r="V4" s="1106"/>
      <c r="W4" s="1106"/>
      <c r="AA4" s="50"/>
      <c r="AB4" s="1108"/>
      <c r="AC4" s="50"/>
      <c r="AD4" s="50"/>
      <c r="AH4" s="50"/>
      <c r="AI4" s="1108"/>
      <c r="AJ4" s="50"/>
      <c r="AK4" s="50"/>
      <c r="AO4" s="50"/>
      <c r="AP4" s="1108"/>
      <c r="AQ4" s="50"/>
      <c r="AR4" s="50"/>
      <c r="AV4" s="50"/>
      <c r="AW4" s="1108"/>
      <c r="AX4" s="50"/>
      <c r="AY4" s="50"/>
      <c r="BC4" s="50"/>
      <c r="BD4" s="1108"/>
      <c r="BE4" s="50"/>
      <c r="BF4" s="50"/>
      <c r="BJ4" s="50"/>
      <c r="BK4" s="1108"/>
      <c r="BL4" s="50"/>
      <c r="BM4" s="50"/>
      <c r="BQ4" s="50"/>
      <c r="BR4" s="1108"/>
      <c r="BS4" s="50"/>
      <c r="BT4" s="50"/>
      <c r="BX4" s="50"/>
      <c r="BY4" s="1108"/>
      <c r="BZ4" s="50"/>
      <c r="CA4" s="50"/>
      <c r="CE4" s="50"/>
      <c r="CF4" s="1108"/>
      <c r="CG4" s="50"/>
      <c r="CH4" s="50"/>
      <c r="CL4" s="50"/>
      <c r="CM4" s="1108"/>
      <c r="CN4" s="50"/>
      <c r="CO4" s="50"/>
      <c r="CS4" s="50"/>
      <c r="CT4" s="1108"/>
      <c r="CU4" s="50"/>
      <c r="CV4" s="50"/>
      <c r="CZ4" s="50"/>
      <c r="DA4" s="1108"/>
      <c r="DB4" s="50"/>
      <c r="DC4" s="50"/>
      <c r="DG4" s="50"/>
      <c r="DH4" s="1108"/>
      <c r="DI4" s="50"/>
      <c r="DJ4" s="50"/>
      <c r="DN4" s="50"/>
      <c r="DO4" s="1108"/>
      <c r="DP4" s="50"/>
      <c r="DQ4" s="50"/>
      <c r="DU4" s="50"/>
      <c r="DV4" s="1108"/>
      <c r="DW4" s="50"/>
      <c r="DX4" s="50"/>
      <c r="EB4" s="50"/>
      <c r="EC4" s="1108"/>
      <c r="ED4" s="50"/>
      <c r="EE4" s="50"/>
      <c r="EI4" s="50"/>
      <c r="EJ4" s="1108"/>
      <c r="EK4" s="50"/>
      <c r="EL4" s="50"/>
      <c r="EP4" s="50"/>
      <c r="EQ4" s="1108"/>
      <c r="ER4" s="50"/>
      <c r="ES4" s="50"/>
      <c r="EW4" s="50"/>
      <c r="EX4" s="1108"/>
      <c r="EY4" s="50"/>
      <c r="EZ4" s="50"/>
      <c r="FD4" s="50"/>
      <c r="FE4" s="1108"/>
      <c r="FF4" s="50"/>
      <c r="FG4" s="50"/>
      <c r="FK4" s="50"/>
      <c r="FL4" s="1108"/>
      <c r="FM4" s="50"/>
      <c r="FN4" s="50"/>
      <c r="FR4" s="50"/>
      <c r="FS4" s="1108"/>
      <c r="FT4" s="50"/>
      <c r="FU4" s="50"/>
      <c r="FW4" s="50"/>
    </row>
    <row r="5" spans="1:179" s="486" customFormat="1" x14ac:dyDescent="0.2">
      <c r="F5" s="50"/>
      <c r="G5" s="1108"/>
      <c r="H5" s="50"/>
      <c r="I5" s="50"/>
      <c r="M5" s="50"/>
      <c r="N5" s="1108"/>
      <c r="O5" s="50"/>
      <c r="P5" s="50"/>
      <c r="T5" s="1106"/>
      <c r="U5" s="1108"/>
      <c r="V5" s="1106"/>
      <c r="W5" s="1106"/>
      <c r="AA5" s="50"/>
      <c r="AB5" s="1108"/>
      <c r="AC5" s="50"/>
      <c r="AD5" s="50"/>
      <c r="AH5" s="50"/>
      <c r="AI5" s="1108"/>
      <c r="AJ5" s="50"/>
      <c r="AK5" s="50"/>
      <c r="AO5" s="50"/>
      <c r="AP5" s="1108"/>
      <c r="AQ5" s="50"/>
      <c r="AR5" s="50"/>
      <c r="AV5" s="50"/>
      <c r="AW5" s="1108"/>
      <c r="AX5" s="50"/>
      <c r="AY5" s="50"/>
      <c r="BC5" s="50"/>
      <c r="BD5" s="1108"/>
      <c r="BE5" s="50"/>
      <c r="BF5" s="50"/>
      <c r="BJ5" s="50"/>
      <c r="BK5" s="1108"/>
      <c r="BL5" s="50"/>
      <c r="BM5" s="50"/>
      <c r="BQ5" s="50"/>
      <c r="BR5" s="1108"/>
      <c r="BS5" s="50"/>
      <c r="BT5" s="50"/>
      <c r="BX5" s="50"/>
      <c r="BY5" s="1108"/>
      <c r="BZ5" s="50"/>
      <c r="CA5" s="50"/>
      <c r="CE5" s="50"/>
      <c r="CF5" s="1108"/>
      <c r="CG5" s="50"/>
      <c r="CH5" s="50"/>
      <c r="CL5" s="50"/>
      <c r="CM5" s="1108"/>
      <c r="CN5" s="50"/>
      <c r="CO5" s="50"/>
      <c r="CS5" s="50"/>
      <c r="CT5" s="1108"/>
      <c r="CU5" s="50"/>
      <c r="CV5" s="50"/>
      <c r="CZ5" s="50"/>
      <c r="DA5" s="1108"/>
      <c r="DB5" s="50"/>
      <c r="DC5" s="50"/>
      <c r="DG5" s="50"/>
      <c r="DH5" s="1108"/>
      <c r="DI5" s="50"/>
      <c r="DJ5" s="50"/>
      <c r="DN5" s="50"/>
      <c r="DO5" s="1108"/>
      <c r="DP5" s="50"/>
      <c r="DQ5" s="50"/>
      <c r="DU5" s="50"/>
      <c r="DV5" s="1108"/>
      <c r="DW5" s="50"/>
      <c r="DX5" s="50"/>
      <c r="EB5" s="50"/>
      <c r="EC5" s="1108"/>
      <c r="ED5" s="50"/>
      <c r="EE5" s="50"/>
      <c r="EI5" s="50"/>
      <c r="EJ5" s="1108"/>
      <c r="EK5" s="50"/>
      <c r="EL5" s="50"/>
      <c r="EP5" s="50"/>
      <c r="EQ5" s="1108"/>
      <c r="ER5" s="50"/>
      <c r="ES5" s="50"/>
      <c r="EW5" s="50"/>
      <c r="EX5" s="1108"/>
      <c r="EY5" s="50"/>
      <c r="EZ5" s="50"/>
      <c r="FD5" s="50"/>
      <c r="FE5" s="1108"/>
      <c r="FF5" s="50"/>
      <c r="FG5" s="50"/>
      <c r="FK5" s="50"/>
      <c r="FL5" s="1108"/>
      <c r="FM5" s="50"/>
      <c r="FN5" s="50"/>
      <c r="FR5" s="50"/>
      <c r="FS5" s="1108"/>
      <c r="FT5" s="50"/>
      <c r="FU5" s="50"/>
      <c r="FW5" s="50"/>
    </row>
    <row r="6" spans="1:179" s="486" customFormat="1" ht="15.75" x14ac:dyDescent="0.2">
      <c r="A6" s="1018" t="str">
        <f>Grunddaten!$B$4</f>
        <v>Sample-Data</v>
      </c>
      <c r="F6" s="50"/>
      <c r="G6" s="1108"/>
      <c r="H6" s="50"/>
      <c r="I6" s="488"/>
      <c r="M6" s="50"/>
      <c r="N6" s="1108"/>
      <c r="O6" s="50"/>
      <c r="P6" s="50"/>
      <c r="T6" s="1106"/>
      <c r="U6" s="1108"/>
      <c r="V6" s="1106"/>
      <c r="W6" s="1106"/>
      <c r="AA6" s="50"/>
      <c r="AB6" s="1108"/>
      <c r="AC6" s="50"/>
      <c r="AD6" s="50"/>
      <c r="AH6" s="50"/>
      <c r="AI6" s="1108"/>
      <c r="AJ6" s="50"/>
      <c r="AK6" s="50"/>
      <c r="AO6" s="50"/>
      <c r="AP6" s="1108"/>
      <c r="AQ6" s="50"/>
      <c r="AR6" s="50"/>
      <c r="AV6" s="50"/>
      <c r="AW6" s="1108"/>
      <c r="AX6" s="50"/>
      <c r="AY6" s="50"/>
      <c r="BC6" s="50"/>
      <c r="BD6" s="1108"/>
      <c r="BE6" s="50"/>
      <c r="BF6" s="50"/>
      <c r="BJ6" s="50"/>
      <c r="BK6" s="1108"/>
      <c r="BL6" s="50"/>
      <c r="BM6" s="50"/>
      <c r="BQ6" s="50"/>
      <c r="BR6" s="1108"/>
      <c r="BS6" s="50"/>
      <c r="BT6" s="50"/>
      <c r="BX6" s="50"/>
      <c r="BY6" s="1108"/>
      <c r="BZ6" s="50"/>
      <c r="CA6" s="50"/>
      <c r="CE6" s="50"/>
      <c r="CF6" s="1108"/>
      <c r="CG6" s="50"/>
      <c r="CH6" s="50"/>
      <c r="CL6" s="50"/>
      <c r="CM6" s="1108"/>
      <c r="CN6" s="50"/>
      <c r="CO6" s="50"/>
      <c r="CS6" s="50"/>
      <c r="CT6" s="1108"/>
      <c r="CU6" s="50"/>
      <c r="CV6" s="50"/>
      <c r="CZ6" s="50"/>
      <c r="DA6" s="1108"/>
      <c r="DB6" s="50"/>
      <c r="DC6" s="50"/>
      <c r="DG6" s="50"/>
      <c r="DH6" s="1108"/>
      <c r="DI6" s="50"/>
      <c r="DJ6" s="50"/>
      <c r="DN6" s="50"/>
      <c r="DO6" s="1108"/>
      <c r="DP6" s="50"/>
      <c r="DQ6" s="50"/>
      <c r="DU6" s="50"/>
      <c r="DV6" s="1108"/>
      <c r="DW6" s="50"/>
      <c r="DX6" s="50"/>
      <c r="EB6" s="50"/>
      <c r="EC6" s="1108"/>
      <c r="ED6" s="50"/>
      <c r="EE6" s="50"/>
      <c r="EI6" s="50"/>
      <c r="EJ6" s="1108"/>
      <c r="EK6" s="50"/>
      <c r="EL6" s="50"/>
      <c r="EP6" s="50"/>
      <c r="EQ6" s="1108"/>
      <c r="ER6" s="50"/>
      <c r="ES6" s="50"/>
      <c r="EW6" s="50"/>
      <c r="EX6" s="1108"/>
      <c r="EY6" s="50"/>
      <c r="EZ6" s="50"/>
      <c r="FD6" s="50"/>
      <c r="FE6" s="1108"/>
      <c r="FF6" s="50"/>
      <c r="FG6" s="50"/>
      <c r="FK6" s="50"/>
      <c r="FL6" s="1108"/>
      <c r="FM6" s="50"/>
      <c r="FN6" s="50"/>
      <c r="FR6" s="50"/>
      <c r="FS6" s="1108"/>
      <c r="FT6" s="50"/>
      <c r="FU6" s="50"/>
      <c r="FW6" s="50"/>
    </row>
    <row r="7" spans="1:179" s="486" customFormat="1" ht="15.75" x14ac:dyDescent="0.2">
      <c r="A7" s="1018" t="str">
        <f>Grunddaten!$E$5</f>
        <v>2019</v>
      </c>
      <c r="F7" s="50"/>
      <c r="G7" s="1108"/>
      <c r="H7" s="50"/>
      <c r="I7" s="50"/>
      <c r="M7" s="50"/>
      <c r="N7" s="1108"/>
      <c r="O7" s="50"/>
      <c r="P7" s="50"/>
      <c r="T7" s="1106"/>
      <c r="U7" s="1108"/>
      <c r="V7" s="1106"/>
      <c r="W7" s="1106"/>
      <c r="AA7" s="50"/>
      <c r="AB7" s="1108"/>
      <c r="AC7" s="50"/>
      <c r="AD7" s="50"/>
      <c r="AH7" s="50"/>
      <c r="AI7" s="1108"/>
      <c r="AJ7" s="50"/>
      <c r="AK7" s="50"/>
      <c r="AO7" s="50"/>
      <c r="AP7" s="1108"/>
      <c r="AQ7" s="50"/>
      <c r="AR7" s="50"/>
      <c r="AV7" s="50"/>
      <c r="AW7" s="1108"/>
      <c r="AX7" s="50"/>
      <c r="AY7" s="50"/>
      <c r="BC7" s="50"/>
      <c r="BD7" s="1108"/>
      <c r="BE7" s="50"/>
      <c r="BF7" s="50"/>
      <c r="BJ7" s="50"/>
      <c r="BK7" s="1108"/>
      <c r="BL7" s="50"/>
      <c r="BM7" s="50"/>
      <c r="BQ7" s="50"/>
      <c r="BR7" s="1108"/>
      <c r="BS7" s="50"/>
      <c r="BT7" s="50"/>
      <c r="BX7" s="50"/>
      <c r="BY7" s="1108"/>
      <c r="BZ7" s="50"/>
      <c r="CA7" s="50"/>
      <c r="CE7" s="50"/>
      <c r="CF7" s="1108"/>
      <c r="CG7" s="50"/>
      <c r="CH7" s="50"/>
      <c r="CL7" s="50"/>
      <c r="CM7" s="1108"/>
      <c r="CN7" s="50"/>
      <c r="CO7" s="50"/>
      <c r="CS7" s="50"/>
      <c r="CT7" s="1108"/>
      <c r="CU7" s="50"/>
      <c r="CV7" s="50"/>
      <c r="CZ7" s="50"/>
      <c r="DA7" s="1108"/>
      <c r="DB7" s="50"/>
      <c r="DC7" s="50"/>
      <c r="DG7" s="50"/>
      <c r="DH7" s="1108"/>
      <c r="DI7" s="50"/>
      <c r="DJ7" s="50"/>
      <c r="DN7" s="50"/>
      <c r="DO7" s="1108"/>
      <c r="DP7" s="50"/>
      <c r="DQ7" s="50"/>
      <c r="DU7" s="50"/>
      <c r="DV7" s="1108"/>
      <c r="DW7" s="50"/>
      <c r="DX7" s="50"/>
      <c r="EB7" s="50"/>
      <c r="EC7" s="1108"/>
      <c r="ED7" s="50"/>
      <c r="EE7" s="50"/>
      <c r="EI7" s="50"/>
      <c r="EJ7" s="1108"/>
      <c r="EK7" s="50"/>
      <c r="EL7" s="50"/>
      <c r="EP7" s="50"/>
      <c r="EQ7" s="1108"/>
      <c r="ER7" s="50"/>
      <c r="ES7" s="50"/>
      <c r="EW7" s="50"/>
      <c r="EX7" s="1108"/>
      <c r="EY7" s="50"/>
      <c r="EZ7" s="50"/>
      <c r="FD7" s="50"/>
      <c r="FE7" s="1108"/>
      <c r="FF7" s="50"/>
      <c r="FG7" s="50"/>
      <c r="FK7" s="50"/>
      <c r="FL7" s="1108"/>
      <c r="FM7" s="50"/>
      <c r="FN7" s="50"/>
      <c r="FR7" s="50"/>
      <c r="FS7" s="1108"/>
      <c r="FT7" s="50"/>
      <c r="FU7" s="50"/>
      <c r="FW7" s="50"/>
    </row>
    <row r="8" spans="1:179" s="486" customFormat="1" x14ac:dyDescent="0.2">
      <c r="A8" s="497" t="s">
        <v>66</v>
      </c>
      <c r="C8" s="822"/>
      <c r="D8" s="1136">
        <f>Grunddaten!$B$20</f>
        <v>0.3</v>
      </c>
      <c r="F8" s="50"/>
      <c r="G8" s="1108"/>
      <c r="H8" s="50"/>
      <c r="I8" s="50"/>
      <c r="M8" s="50"/>
      <c r="N8" s="1108"/>
      <c r="O8" s="50"/>
      <c r="P8" s="50"/>
      <c r="T8" s="1106"/>
      <c r="U8" s="1108"/>
      <c r="V8" s="1106"/>
      <c r="W8" s="1106"/>
      <c r="AA8" s="50"/>
      <c r="AB8" s="1108"/>
      <c r="AC8" s="50"/>
      <c r="AD8" s="50"/>
      <c r="AH8" s="50"/>
      <c r="AI8" s="1108"/>
      <c r="AJ8" s="50"/>
      <c r="AK8" s="50"/>
      <c r="AO8" s="50"/>
      <c r="AP8" s="1108"/>
      <c r="AQ8" s="50"/>
      <c r="AR8" s="50"/>
      <c r="AV8" s="50"/>
      <c r="AW8" s="1108"/>
      <c r="AX8" s="50"/>
      <c r="AY8" s="50"/>
      <c r="BC8" s="50"/>
      <c r="BD8" s="1108"/>
      <c r="BE8" s="50"/>
      <c r="BF8" s="50"/>
      <c r="BJ8" s="50"/>
      <c r="BK8" s="1108"/>
      <c r="BL8" s="50"/>
      <c r="BM8" s="50"/>
      <c r="BQ8" s="50"/>
      <c r="BR8" s="1108"/>
      <c r="BS8" s="50"/>
      <c r="BT8" s="50"/>
      <c r="BX8" s="50"/>
      <c r="BY8" s="1108"/>
      <c r="BZ8" s="50"/>
      <c r="CA8" s="50"/>
      <c r="CE8" s="50"/>
      <c r="CF8" s="1108"/>
      <c r="CG8" s="50"/>
      <c r="CH8" s="50"/>
      <c r="CL8" s="50"/>
      <c r="CM8" s="1108"/>
      <c r="CN8" s="50"/>
      <c r="CO8" s="50"/>
      <c r="CS8" s="50"/>
      <c r="CT8" s="1108"/>
      <c r="CU8" s="50"/>
      <c r="CV8" s="50"/>
      <c r="CZ8" s="50"/>
      <c r="DA8" s="1108"/>
      <c r="DB8" s="50"/>
      <c r="DC8" s="50"/>
      <c r="DG8" s="50"/>
      <c r="DH8" s="1108"/>
      <c r="DI8" s="50"/>
      <c r="DJ8" s="50"/>
      <c r="DN8" s="50"/>
      <c r="DO8" s="1108"/>
      <c r="DP8" s="50"/>
      <c r="DQ8" s="50"/>
      <c r="DU8" s="50"/>
      <c r="DV8" s="1108"/>
      <c r="DW8" s="50"/>
      <c r="DX8" s="50"/>
      <c r="EB8" s="50"/>
      <c r="EC8" s="1108"/>
      <c r="ED8" s="50"/>
      <c r="EE8" s="50"/>
      <c r="EI8" s="50"/>
      <c r="EJ8" s="1108"/>
      <c r="EK8" s="50"/>
      <c r="EL8" s="50"/>
      <c r="EP8" s="50"/>
      <c r="EQ8" s="1108"/>
      <c r="ER8" s="50"/>
      <c r="ES8" s="50"/>
      <c r="EW8" s="50"/>
      <c r="EX8" s="1108"/>
      <c r="EY8" s="50"/>
      <c r="EZ8" s="50"/>
      <c r="FD8" s="50"/>
      <c r="FE8" s="1108"/>
      <c r="FF8" s="50"/>
      <c r="FG8" s="50"/>
      <c r="FK8" s="50"/>
      <c r="FL8" s="1108"/>
      <c r="FM8" s="50"/>
      <c r="FN8" s="50"/>
      <c r="FR8" s="50"/>
      <c r="FS8" s="1108"/>
      <c r="FT8" s="50"/>
      <c r="FU8" s="50"/>
      <c r="FW8" s="50"/>
    </row>
    <row r="9" spans="1:179" s="486" customFormat="1" x14ac:dyDescent="0.2">
      <c r="A9" s="497" t="s">
        <v>67</v>
      </c>
      <c r="C9" s="822"/>
      <c r="D9" s="1136">
        <f>Grunddaten!$B$21</f>
        <v>0.3</v>
      </c>
      <c r="F9" s="50"/>
      <c r="G9" s="1108"/>
      <c r="H9" s="50"/>
      <c r="I9" s="50"/>
      <c r="M9" s="50"/>
      <c r="N9" s="1108"/>
      <c r="O9" s="50"/>
      <c r="P9" s="50"/>
      <c r="T9" s="1106"/>
      <c r="U9" s="1108"/>
      <c r="V9" s="1106"/>
      <c r="W9" s="1106"/>
      <c r="AA9" s="50"/>
      <c r="AB9" s="1108"/>
      <c r="AC9" s="50"/>
      <c r="AD9" s="50"/>
      <c r="AH9" s="50"/>
      <c r="AI9" s="1108"/>
      <c r="AJ9" s="50"/>
      <c r="AK9" s="50"/>
      <c r="AO9" s="50"/>
      <c r="AP9" s="1108"/>
      <c r="AQ9" s="50"/>
      <c r="AR9" s="50"/>
      <c r="AV9" s="50"/>
      <c r="AW9" s="1108"/>
      <c r="AX9" s="50"/>
      <c r="AY9" s="50"/>
      <c r="BC9" s="50"/>
      <c r="BD9" s="1108"/>
      <c r="BE9" s="50"/>
      <c r="BF9" s="50"/>
      <c r="BJ9" s="50"/>
      <c r="BK9" s="1108"/>
      <c r="BL9" s="50"/>
      <c r="BM9" s="50"/>
      <c r="BQ9" s="50"/>
      <c r="BR9" s="1108"/>
      <c r="BS9" s="50"/>
      <c r="BT9" s="50"/>
      <c r="BX9" s="50"/>
      <c r="BY9" s="1108"/>
      <c r="BZ9" s="50"/>
      <c r="CA9" s="50"/>
      <c r="CE9" s="50"/>
      <c r="CF9" s="1108"/>
      <c r="CG9" s="50"/>
      <c r="CH9" s="50"/>
      <c r="CL9" s="50"/>
      <c r="CM9" s="1108"/>
      <c r="CN9" s="50"/>
      <c r="CO9" s="50"/>
      <c r="CS9" s="50"/>
      <c r="CT9" s="1108"/>
      <c r="CU9" s="50"/>
      <c r="CV9" s="50"/>
      <c r="CZ9" s="50"/>
      <c r="DA9" s="1108"/>
      <c r="DB9" s="50"/>
      <c r="DC9" s="50"/>
      <c r="DG9" s="50"/>
      <c r="DH9" s="1108"/>
      <c r="DI9" s="50"/>
      <c r="DJ9" s="50"/>
      <c r="DN9" s="50"/>
      <c r="DO9" s="1108"/>
      <c r="DP9" s="50"/>
      <c r="DQ9" s="50"/>
      <c r="DU9" s="50"/>
      <c r="DV9" s="1108"/>
      <c r="DW9" s="50"/>
      <c r="DX9" s="50"/>
      <c r="EB9" s="50"/>
      <c r="EC9" s="1108"/>
      <c r="ED9" s="50"/>
      <c r="EE9" s="50"/>
      <c r="EI9" s="50"/>
      <c r="EJ9" s="1108"/>
      <c r="EK9" s="50"/>
      <c r="EL9" s="50"/>
      <c r="EP9" s="50"/>
      <c r="EQ9" s="1108"/>
      <c r="ER9" s="50"/>
      <c r="ES9" s="50"/>
      <c r="EW9" s="50"/>
      <c r="EX9" s="1108"/>
      <c r="EY9" s="50"/>
      <c r="EZ9" s="50"/>
      <c r="FD9" s="50"/>
      <c r="FE9" s="1108"/>
      <c r="FF9" s="50"/>
      <c r="FG9" s="50"/>
      <c r="FK9" s="50"/>
      <c r="FL9" s="1108"/>
      <c r="FM9" s="50"/>
      <c r="FN9" s="50"/>
      <c r="FR9" s="50"/>
      <c r="FS9" s="1108"/>
      <c r="FT9" s="50"/>
      <c r="FU9" s="50"/>
      <c r="FW9" s="50"/>
    </row>
    <row r="10" spans="1:179" s="486" customFormat="1" x14ac:dyDescent="0.2">
      <c r="A10" s="822" t="s">
        <v>59</v>
      </c>
      <c r="C10" s="1137">
        <f>Grunddaten!$B$16</f>
        <v>-15000</v>
      </c>
      <c r="D10" s="822"/>
      <c r="F10" s="50"/>
      <c r="G10" s="1108"/>
      <c r="H10" s="50"/>
      <c r="I10" s="50"/>
      <c r="M10" s="50"/>
      <c r="N10" s="1108"/>
      <c r="O10" s="50"/>
      <c r="P10" s="50"/>
      <c r="T10" s="1106"/>
      <c r="U10" s="1108"/>
      <c r="V10" s="1106"/>
      <c r="W10" s="1106"/>
      <c r="AA10" s="50"/>
      <c r="AB10" s="1108"/>
      <c r="AC10" s="50"/>
      <c r="AD10" s="50"/>
      <c r="AH10" s="50"/>
      <c r="AI10" s="1108"/>
      <c r="AJ10" s="50"/>
      <c r="AK10" s="50"/>
      <c r="AO10" s="50"/>
      <c r="AP10" s="1108"/>
      <c r="AQ10" s="50"/>
      <c r="AR10" s="50"/>
      <c r="AV10" s="50"/>
      <c r="AW10" s="1108"/>
      <c r="AX10" s="50"/>
      <c r="AY10" s="50"/>
      <c r="BC10" s="50"/>
      <c r="BD10" s="1108"/>
      <c r="BE10" s="50"/>
      <c r="BF10" s="50"/>
      <c r="BJ10" s="50"/>
      <c r="BK10" s="1108"/>
      <c r="BL10" s="50"/>
      <c r="BM10" s="50"/>
      <c r="BQ10" s="50"/>
      <c r="BR10" s="1108"/>
      <c r="BS10" s="50"/>
      <c r="BT10" s="50"/>
      <c r="BX10" s="50"/>
      <c r="BY10" s="1108"/>
      <c r="BZ10" s="50"/>
      <c r="CA10" s="50"/>
      <c r="CE10" s="50"/>
      <c r="CF10" s="1108"/>
      <c r="CG10" s="50"/>
      <c r="CH10" s="50"/>
      <c r="CL10" s="50"/>
      <c r="CM10" s="1108"/>
      <c r="CN10" s="50"/>
      <c r="CO10" s="50"/>
      <c r="CS10" s="50"/>
      <c r="CT10" s="1108"/>
      <c r="CU10" s="50"/>
      <c r="CV10" s="50"/>
      <c r="CZ10" s="50"/>
      <c r="DA10" s="1108"/>
      <c r="DB10" s="50"/>
      <c r="DC10" s="50"/>
      <c r="DG10" s="50"/>
      <c r="DH10" s="1108"/>
      <c r="DI10" s="50"/>
      <c r="DJ10" s="50"/>
      <c r="DN10" s="50"/>
      <c r="DO10" s="1108"/>
      <c r="DP10" s="50"/>
      <c r="DQ10" s="50"/>
      <c r="DU10" s="50"/>
      <c r="DV10" s="1108"/>
      <c r="DW10" s="50"/>
      <c r="DX10" s="50"/>
      <c r="EB10" s="50"/>
      <c r="EC10" s="1108"/>
      <c r="ED10" s="50"/>
      <c r="EE10" s="50"/>
      <c r="EI10" s="50"/>
      <c r="EJ10" s="1108"/>
      <c r="EK10" s="50"/>
      <c r="EL10" s="50"/>
      <c r="EP10" s="50"/>
      <c r="EQ10" s="1108"/>
      <c r="ER10" s="50"/>
      <c r="ES10" s="50"/>
      <c r="EW10" s="50"/>
      <c r="EX10" s="1108"/>
      <c r="EY10" s="50"/>
      <c r="EZ10" s="50"/>
      <c r="FD10" s="50"/>
      <c r="FE10" s="1108"/>
      <c r="FF10" s="50"/>
      <c r="FG10" s="50"/>
      <c r="FH10" s="1373"/>
      <c r="FI10" s="1373"/>
      <c r="FJ10" s="1373"/>
      <c r="FK10" s="50"/>
      <c r="FL10" s="1108"/>
      <c r="FM10" s="50"/>
      <c r="FN10" s="50"/>
      <c r="FR10" s="50"/>
      <c r="FS10" s="1108"/>
      <c r="FT10" s="50"/>
      <c r="FU10" s="50"/>
      <c r="FW10" s="50"/>
    </row>
    <row r="11" spans="1:179" s="849" customFormat="1" x14ac:dyDescent="0.2">
      <c r="E11" s="849" t="s">
        <v>693</v>
      </c>
      <c r="K11" s="849" t="s">
        <v>694</v>
      </c>
      <c r="L11" s="849" t="s">
        <v>695</v>
      </c>
      <c r="N11" s="849" t="s">
        <v>696</v>
      </c>
      <c r="O11" s="849" t="s">
        <v>696</v>
      </c>
      <c r="P11" s="849" t="s">
        <v>697</v>
      </c>
      <c r="R11" s="849" t="s">
        <v>698</v>
      </c>
      <c r="S11" s="849" t="s">
        <v>699</v>
      </c>
      <c r="U11" s="849" t="s">
        <v>696</v>
      </c>
      <c r="V11" s="849" t="s">
        <v>696</v>
      </c>
      <c r="W11" s="849" t="s">
        <v>697</v>
      </c>
      <c r="Y11" s="849" t="s">
        <v>700</v>
      </c>
      <c r="Z11" s="849" t="s">
        <v>701</v>
      </c>
      <c r="AB11" s="849" t="s">
        <v>702</v>
      </c>
      <c r="AC11" s="849" t="s">
        <v>702</v>
      </c>
      <c r="AD11" s="849" t="s">
        <v>703</v>
      </c>
      <c r="AF11" s="849" t="s">
        <v>704</v>
      </c>
      <c r="AG11" s="849" t="s">
        <v>705</v>
      </c>
      <c r="AI11" s="849" t="s">
        <v>706</v>
      </c>
      <c r="AJ11" s="849" t="s">
        <v>706</v>
      </c>
      <c r="AK11" s="849" t="s">
        <v>707</v>
      </c>
      <c r="AM11" s="849" t="s">
        <v>708</v>
      </c>
      <c r="AN11" s="849" t="s">
        <v>709</v>
      </c>
      <c r="AP11" s="849" t="s">
        <v>710</v>
      </c>
      <c r="AQ11" s="849" t="s">
        <v>710</v>
      </c>
      <c r="AR11" s="849" t="s">
        <v>711</v>
      </c>
      <c r="AT11" s="849" t="s">
        <v>712</v>
      </c>
      <c r="AU11" s="849" t="s">
        <v>713</v>
      </c>
      <c r="AW11" s="849" t="s">
        <v>714</v>
      </c>
      <c r="AX11" s="849" t="s">
        <v>714</v>
      </c>
      <c r="AY11" s="849" t="s">
        <v>715</v>
      </c>
      <c r="BA11" s="849" t="s">
        <v>716</v>
      </c>
      <c r="BB11" s="849" t="s">
        <v>717</v>
      </c>
      <c r="BD11" s="849" t="s">
        <v>718</v>
      </c>
      <c r="BE11" s="849" t="s">
        <v>718</v>
      </c>
      <c r="BF11" s="849" t="s">
        <v>719</v>
      </c>
      <c r="BH11" s="849" t="s">
        <v>720</v>
      </c>
      <c r="BI11" s="849" t="s">
        <v>721</v>
      </c>
      <c r="BK11" s="849" t="s">
        <v>722</v>
      </c>
      <c r="BL11" s="849" t="s">
        <v>722</v>
      </c>
      <c r="BM11" s="849" t="s">
        <v>723</v>
      </c>
      <c r="BO11" s="849" t="s">
        <v>724</v>
      </c>
      <c r="BP11" s="849" t="s">
        <v>725</v>
      </c>
      <c r="BR11" s="849" t="s">
        <v>726</v>
      </c>
      <c r="BS11" s="849" t="s">
        <v>726</v>
      </c>
      <c r="BT11" s="849" t="s">
        <v>727</v>
      </c>
      <c r="BV11" s="849" t="s">
        <v>728</v>
      </c>
      <c r="BW11" s="849" t="s">
        <v>729</v>
      </c>
      <c r="BY11" s="849" t="s">
        <v>730</v>
      </c>
      <c r="BZ11" s="849" t="s">
        <v>730</v>
      </c>
      <c r="CA11" s="849" t="s">
        <v>731</v>
      </c>
      <c r="CC11" s="849" t="s">
        <v>732</v>
      </c>
      <c r="CD11" s="849" t="s">
        <v>733</v>
      </c>
      <c r="CF11" s="849" t="s">
        <v>734</v>
      </c>
      <c r="CG11" s="849" t="s">
        <v>734</v>
      </c>
      <c r="CH11" s="849" t="s">
        <v>735</v>
      </c>
      <c r="CJ11" s="849" t="s">
        <v>736</v>
      </c>
      <c r="CK11" s="849" t="s">
        <v>737</v>
      </c>
      <c r="CM11" s="849" t="s">
        <v>738</v>
      </c>
      <c r="CN11" s="849" t="s">
        <v>738</v>
      </c>
      <c r="CO11" s="849" t="s">
        <v>739</v>
      </c>
      <c r="CQ11" s="849" t="s">
        <v>740</v>
      </c>
      <c r="CR11" s="849" t="s">
        <v>741</v>
      </c>
      <c r="CT11" s="849" t="s">
        <v>742</v>
      </c>
      <c r="CU11" s="849" t="s">
        <v>742</v>
      </c>
      <c r="CV11" s="849" t="s">
        <v>743</v>
      </c>
      <c r="CX11" s="849" t="s">
        <v>744</v>
      </c>
      <c r="CY11" s="849" t="s">
        <v>745</v>
      </c>
      <c r="DA11" s="849" t="s">
        <v>746</v>
      </c>
      <c r="DB11" s="849" t="s">
        <v>746</v>
      </c>
      <c r="DC11" s="849" t="s">
        <v>747</v>
      </c>
      <c r="DE11" s="849" t="s">
        <v>748</v>
      </c>
      <c r="DF11" s="849" t="s">
        <v>749</v>
      </c>
      <c r="DH11" s="849" t="s">
        <v>750</v>
      </c>
      <c r="DI11" s="849" t="s">
        <v>750</v>
      </c>
      <c r="DJ11" s="849" t="s">
        <v>751</v>
      </c>
      <c r="DL11" s="849" t="s">
        <v>752</v>
      </c>
      <c r="DM11" s="849" t="s">
        <v>753</v>
      </c>
      <c r="DO11" s="849" t="s">
        <v>754</v>
      </c>
      <c r="DP11" s="849" t="s">
        <v>754</v>
      </c>
      <c r="DQ11" s="849" t="s">
        <v>755</v>
      </c>
      <c r="DS11" s="849" t="s">
        <v>756</v>
      </c>
      <c r="DT11" s="849" t="s">
        <v>757</v>
      </c>
      <c r="DV11" s="849" t="s">
        <v>758</v>
      </c>
      <c r="DW11" s="849" t="s">
        <v>758</v>
      </c>
      <c r="DX11" s="849" t="s">
        <v>759</v>
      </c>
      <c r="DZ11" s="849" t="s">
        <v>760</v>
      </c>
      <c r="EA11" s="849" t="s">
        <v>761</v>
      </c>
      <c r="EC11" s="849" t="s">
        <v>762</v>
      </c>
      <c r="ED11" s="849" t="s">
        <v>762</v>
      </c>
      <c r="EE11" s="849" t="s">
        <v>763</v>
      </c>
      <c r="EG11" s="849" t="s">
        <v>764</v>
      </c>
      <c r="EH11" s="849" t="s">
        <v>765</v>
      </c>
      <c r="EJ11" s="849" t="s">
        <v>766</v>
      </c>
      <c r="EK11" s="849" t="s">
        <v>766</v>
      </c>
      <c r="EL11" s="849" t="s">
        <v>767</v>
      </c>
      <c r="EN11" s="849" t="s">
        <v>768</v>
      </c>
      <c r="EO11" s="849" t="s">
        <v>769</v>
      </c>
      <c r="EQ11" s="849" t="s">
        <v>770</v>
      </c>
      <c r="ER11" s="849" t="s">
        <v>770</v>
      </c>
      <c r="ES11" s="849" t="s">
        <v>771</v>
      </c>
      <c r="EU11" s="849" t="s">
        <v>772</v>
      </c>
      <c r="EV11" s="849" t="s">
        <v>773</v>
      </c>
      <c r="EX11" s="849" t="s">
        <v>774</v>
      </c>
      <c r="EY11" s="849" t="s">
        <v>774</v>
      </c>
      <c r="EZ11" s="849" t="s">
        <v>775</v>
      </c>
      <c r="FB11" s="849" t="s">
        <v>776</v>
      </c>
      <c r="FC11" s="849" t="s">
        <v>777</v>
      </c>
      <c r="FE11" s="849" t="s">
        <v>778</v>
      </c>
      <c r="FF11" s="849" t="s">
        <v>778</v>
      </c>
      <c r="FG11" s="849" t="s">
        <v>779</v>
      </c>
      <c r="FI11" s="849" t="s">
        <v>780</v>
      </c>
      <c r="FJ11" s="849" t="s">
        <v>781</v>
      </c>
      <c r="FL11" s="849" t="s">
        <v>782</v>
      </c>
      <c r="FM11" s="849" t="s">
        <v>782</v>
      </c>
      <c r="FN11" s="849" t="s">
        <v>783</v>
      </c>
      <c r="FP11" s="849" t="s">
        <v>784</v>
      </c>
      <c r="FQ11" s="849" t="s">
        <v>785</v>
      </c>
      <c r="FS11" s="849" t="s">
        <v>786</v>
      </c>
      <c r="FT11" s="849" t="s">
        <v>786</v>
      </c>
      <c r="FU11" s="849" t="s">
        <v>787</v>
      </c>
    </row>
    <row r="12" spans="1:179" s="958" customFormat="1" ht="16.5" customHeight="1" x14ac:dyDescent="0.2">
      <c r="A12" s="1156" t="s">
        <v>788</v>
      </c>
      <c r="B12" s="1156" t="s">
        <v>789</v>
      </c>
      <c r="C12" s="1367" t="s">
        <v>134</v>
      </c>
      <c r="D12" s="1368" t="s">
        <v>134</v>
      </c>
      <c r="E12" s="1369"/>
      <c r="F12" s="1157" t="s">
        <v>790</v>
      </c>
      <c r="G12" s="1370" t="s">
        <v>791</v>
      </c>
      <c r="H12" s="1371"/>
      <c r="I12" s="1372"/>
      <c r="J12" s="1367">
        <f>DATE(Grunddaten!$B$5,Grunddaten!$B$6-1+1,1)</f>
        <v>43466</v>
      </c>
      <c r="K12" s="1368"/>
      <c r="L12" s="1369"/>
      <c r="M12" s="1157" t="s">
        <v>790</v>
      </c>
      <c r="N12" s="1370" t="s">
        <v>791</v>
      </c>
      <c r="O12" s="1371"/>
      <c r="P12" s="1372"/>
      <c r="Q12" s="1370" t="str">
        <f>"Summe " &amp; TEXT($J12,"MMM. JJ") &amp; " - " &amp; TEXT(J12,"MMM. JJ")</f>
        <v>Summe Jan. 19 - Jan. 19</v>
      </c>
      <c r="R12" s="1371"/>
      <c r="S12" s="1372"/>
      <c r="T12" s="1157" t="s">
        <v>790</v>
      </c>
      <c r="U12" s="1370" t="s">
        <v>791</v>
      </c>
      <c r="V12" s="1371"/>
      <c r="W12" s="1372"/>
      <c r="X12" s="1367">
        <f>DATE(Grunddaten!$B$5,Grunddaten!$B$6-1+2,1)</f>
        <v>43497</v>
      </c>
      <c r="Y12" s="1368"/>
      <c r="Z12" s="1369"/>
      <c r="AA12" s="1157" t="s">
        <v>790</v>
      </c>
      <c r="AB12" s="1370" t="s">
        <v>791</v>
      </c>
      <c r="AC12" s="1371"/>
      <c r="AD12" s="1372"/>
      <c r="AE12" s="1370" t="str">
        <f>"Summe " &amp; TEXT($J12,"MMM. JJ") &amp; " - " &amp; TEXT(X12,"MMM. JJ")</f>
        <v>Summe Jan. 19 - Feb. 19</v>
      </c>
      <c r="AF12" s="1371"/>
      <c r="AG12" s="1372"/>
      <c r="AH12" s="1157" t="s">
        <v>790</v>
      </c>
      <c r="AI12" s="1370" t="s">
        <v>791</v>
      </c>
      <c r="AJ12" s="1371"/>
      <c r="AK12" s="1372"/>
      <c r="AL12" s="1367">
        <f>DATE(Grunddaten!$B$5,Grunddaten!$B$6-1+3,1)</f>
        <v>43525</v>
      </c>
      <c r="AM12" s="1368"/>
      <c r="AN12" s="1369"/>
      <c r="AO12" s="1157" t="s">
        <v>790</v>
      </c>
      <c r="AP12" s="1370" t="s">
        <v>791</v>
      </c>
      <c r="AQ12" s="1371"/>
      <c r="AR12" s="1372"/>
      <c r="AS12" s="1370" t="str">
        <f>"Summe " &amp; TEXT($J12,"MMM. JJ") &amp; " - " &amp; TEXT(AL12,"MMM. JJ")</f>
        <v>Summe Jan. 19 - Mrz. 19</v>
      </c>
      <c r="AT12" s="1371"/>
      <c r="AU12" s="1372"/>
      <c r="AV12" s="1157" t="s">
        <v>790</v>
      </c>
      <c r="AW12" s="1370" t="s">
        <v>791</v>
      </c>
      <c r="AX12" s="1371"/>
      <c r="AY12" s="1372"/>
      <c r="AZ12" s="1367">
        <f>DATE(Grunddaten!$B$5,Grunddaten!$B$6-1+4,1)</f>
        <v>43556</v>
      </c>
      <c r="BA12" s="1368"/>
      <c r="BB12" s="1369"/>
      <c r="BC12" s="1157" t="s">
        <v>790</v>
      </c>
      <c r="BD12" s="1370" t="s">
        <v>791</v>
      </c>
      <c r="BE12" s="1371"/>
      <c r="BF12" s="1372"/>
      <c r="BG12" s="1370" t="str">
        <f>"Summe " &amp; TEXT($J12,"MMM. JJ") &amp; " - " &amp; TEXT(AZ12,"MMM. JJ")</f>
        <v>Summe Jan. 19 - Apr. 19</v>
      </c>
      <c r="BH12" s="1371"/>
      <c r="BI12" s="1372"/>
      <c r="BJ12" s="1157" t="s">
        <v>790</v>
      </c>
      <c r="BK12" s="1370" t="s">
        <v>791</v>
      </c>
      <c r="BL12" s="1371"/>
      <c r="BM12" s="1372"/>
      <c r="BN12" s="1367">
        <f>DATE(Grunddaten!$B$5,Grunddaten!$B$6-1+5,1)</f>
        <v>43586</v>
      </c>
      <c r="BO12" s="1368"/>
      <c r="BP12" s="1369"/>
      <c r="BQ12" s="1157" t="s">
        <v>790</v>
      </c>
      <c r="BR12" s="1370" t="s">
        <v>791</v>
      </c>
      <c r="BS12" s="1371"/>
      <c r="BT12" s="1372"/>
      <c r="BU12" s="1370" t="str">
        <f>"Summe " &amp; TEXT($J12,"MMM. JJ") &amp; " - " &amp; TEXT(BN12,"MMM. JJ")</f>
        <v>Summe Jan. 19 - Mai. 19</v>
      </c>
      <c r="BV12" s="1371"/>
      <c r="BW12" s="1372"/>
      <c r="BX12" s="1157" t="s">
        <v>790</v>
      </c>
      <c r="BY12" s="1370" t="s">
        <v>791</v>
      </c>
      <c r="BZ12" s="1371"/>
      <c r="CA12" s="1372"/>
      <c r="CB12" s="1367">
        <f>DATE(Grunddaten!$B$5,Grunddaten!$B$6-1+6,1)</f>
        <v>43617</v>
      </c>
      <c r="CC12" s="1368"/>
      <c r="CD12" s="1369"/>
      <c r="CE12" s="1157" t="s">
        <v>790</v>
      </c>
      <c r="CF12" s="1370" t="s">
        <v>791</v>
      </c>
      <c r="CG12" s="1371"/>
      <c r="CH12" s="1372"/>
      <c r="CI12" s="1370" t="str">
        <f>"Summe " &amp; TEXT($J12,"MMM. JJ") &amp; " - " &amp; TEXT(CB12,"MMM. JJ")</f>
        <v>Summe Jan. 19 - Jun. 19</v>
      </c>
      <c r="CJ12" s="1371"/>
      <c r="CK12" s="1372"/>
      <c r="CL12" s="1157" t="s">
        <v>790</v>
      </c>
      <c r="CM12" s="1370" t="s">
        <v>791</v>
      </c>
      <c r="CN12" s="1371"/>
      <c r="CO12" s="1372"/>
      <c r="CP12" s="1367">
        <f>DATE(Grunddaten!$B$5,Grunddaten!$B$6-1+7,1)</f>
        <v>43647</v>
      </c>
      <c r="CQ12" s="1368"/>
      <c r="CR12" s="1369"/>
      <c r="CS12" s="1157" t="s">
        <v>790</v>
      </c>
      <c r="CT12" s="1370" t="s">
        <v>791</v>
      </c>
      <c r="CU12" s="1371"/>
      <c r="CV12" s="1372"/>
      <c r="CW12" s="1370" t="str">
        <f>"Summe " &amp; TEXT($J12,"MMM. JJ") &amp; " - " &amp; TEXT(CP12,"MMM. JJ")</f>
        <v>Summe Jan. 19 - Jul. 19</v>
      </c>
      <c r="CX12" s="1371"/>
      <c r="CY12" s="1372"/>
      <c r="CZ12" s="1157" t="s">
        <v>790</v>
      </c>
      <c r="DA12" s="1370" t="s">
        <v>791</v>
      </c>
      <c r="DB12" s="1371"/>
      <c r="DC12" s="1372"/>
      <c r="DD12" s="1367">
        <f>DATE(Grunddaten!$B$5,Grunddaten!$B$6-1+8,1)</f>
        <v>43678</v>
      </c>
      <c r="DE12" s="1368"/>
      <c r="DF12" s="1369"/>
      <c r="DG12" s="1157" t="s">
        <v>790</v>
      </c>
      <c r="DH12" s="1370" t="s">
        <v>791</v>
      </c>
      <c r="DI12" s="1371"/>
      <c r="DJ12" s="1372"/>
      <c r="DK12" s="1370" t="str">
        <f>"Summe " &amp; TEXT($J12,"MMM. JJ") &amp; " - " &amp; TEXT(DD12,"MMM. JJ")</f>
        <v>Summe Jan. 19 - Aug. 19</v>
      </c>
      <c r="DL12" s="1371"/>
      <c r="DM12" s="1372"/>
      <c r="DN12" s="1157" t="s">
        <v>790</v>
      </c>
      <c r="DO12" s="1370" t="s">
        <v>791</v>
      </c>
      <c r="DP12" s="1371"/>
      <c r="DQ12" s="1372"/>
      <c r="DR12" s="1367">
        <f>DATE(Grunddaten!$B$5,Grunddaten!$B$6-1+9,1)</f>
        <v>43709</v>
      </c>
      <c r="DS12" s="1368"/>
      <c r="DT12" s="1369"/>
      <c r="DU12" s="1157" t="s">
        <v>790</v>
      </c>
      <c r="DV12" s="1370" t="s">
        <v>791</v>
      </c>
      <c r="DW12" s="1371"/>
      <c r="DX12" s="1372"/>
      <c r="DY12" s="1370" t="str">
        <f>"Summe " &amp; TEXT($J12,"MMM. JJ") &amp; " - " &amp; TEXT(DR12,"MMM. JJ")</f>
        <v>Summe Jan. 19 - Sep. 19</v>
      </c>
      <c r="DZ12" s="1371"/>
      <c r="EA12" s="1372"/>
      <c r="EB12" s="1157" t="s">
        <v>790</v>
      </c>
      <c r="EC12" s="1370" t="s">
        <v>791</v>
      </c>
      <c r="ED12" s="1371"/>
      <c r="EE12" s="1372"/>
      <c r="EF12" s="1367">
        <f>DATE(Grunddaten!$B$5,Grunddaten!$B$6-1+10,1)</f>
        <v>43739</v>
      </c>
      <c r="EG12" s="1368"/>
      <c r="EH12" s="1369"/>
      <c r="EI12" s="1157" t="s">
        <v>790</v>
      </c>
      <c r="EJ12" s="1370" t="s">
        <v>791</v>
      </c>
      <c r="EK12" s="1371"/>
      <c r="EL12" s="1372"/>
      <c r="EM12" s="1370" t="str">
        <f>"Summe " &amp; TEXT($J12,"MMM. JJ") &amp; " - " &amp; TEXT(EF12,"MMM. JJ")</f>
        <v>Summe Jan. 19 - Okt. 19</v>
      </c>
      <c r="EN12" s="1371"/>
      <c r="EO12" s="1372"/>
      <c r="EP12" s="1157" t="s">
        <v>790</v>
      </c>
      <c r="EQ12" s="1370" t="s">
        <v>791</v>
      </c>
      <c r="ER12" s="1371"/>
      <c r="ES12" s="1372"/>
      <c r="ET12" s="1367">
        <f>DATE(Grunddaten!$B$5,Grunddaten!$B$6-1+11,1)</f>
        <v>43770</v>
      </c>
      <c r="EU12" s="1368"/>
      <c r="EV12" s="1369"/>
      <c r="EW12" s="1157" t="s">
        <v>790</v>
      </c>
      <c r="EX12" s="1370" t="s">
        <v>791</v>
      </c>
      <c r="EY12" s="1371"/>
      <c r="EZ12" s="1372"/>
      <c r="FA12" s="1370" t="str">
        <f>"Summe " &amp; TEXT($J12,"MMM. JJ") &amp; " - " &amp; TEXT(ET12,"MMM. JJ")</f>
        <v>Summe Jan. 19 - Nov. 19</v>
      </c>
      <c r="FB12" s="1371"/>
      <c r="FC12" s="1372"/>
      <c r="FD12" s="1157" t="s">
        <v>790</v>
      </c>
      <c r="FE12" s="1370" t="s">
        <v>791</v>
      </c>
      <c r="FF12" s="1371"/>
      <c r="FG12" s="1372"/>
      <c r="FH12" s="1367">
        <f>DATE(Grunddaten!$B$5,Grunddaten!$B$6-1+12,1)</f>
        <v>43800</v>
      </c>
      <c r="FI12" s="1368"/>
      <c r="FJ12" s="1369"/>
      <c r="FK12" s="1157" t="s">
        <v>790</v>
      </c>
      <c r="FL12" s="1370" t="s">
        <v>791</v>
      </c>
      <c r="FM12" s="1371"/>
      <c r="FN12" s="1372"/>
      <c r="FO12" s="1370" t="str">
        <f>"Summe " &amp; TEXT($J12,"MMM. JJ") &amp; " - " &amp; TEXT(FH12,"MMM. JJ")</f>
        <v>Summe Jan. 19 - Dez. 19</v>
      </c>
      <c r="FP12" s="1371"/>
      <c r="FQ12" s="1372"/>
      <c r="FR12" s="1157" t="s">
        <v>790</v>
      </c>
      <c r="FS12" s="1370" t="s">
        <v>791</v>
      </c>
      <c r="FT12" s="1371"/>
      <c r="FU12" s="1372"/>
      <c r="FV12" s="1158"/>
      <c r="FW12" s="1157"/>
    </row>
    <row r="13" spans="1:179" s="958" customFormat="1" ht="16.5" customHeight="1" x14ac:dyDescent="0.2">
      <c r="A13" s="1156"/>
      <c r="B13" s="1156"/>
      <c r="C13" s="1159" t="s">
        <v>50</v>
      </c>
      <c r="D13" s="1159" t="s">
        <v>205</v>
      </c>
      <c r="E13" s="1159" t="s">
        <v>206</v>
      </c>
      <c r="F13" s="1159" t="s">
        <v>792</v>
      </c>
      <c r="G13" s="1159" t="s">
        <v>50</v>
      </c>
      <c r="H13" s="1159" t="s">
        <v>205</v>
      </c>
      <c r="I13" s="1159" t="s">
        <v>206</v>
      </c>
      <c r="J13" s="1159" t="s">
        <v>50</v>
      </c>
      <c r="K13" s="1159" t="s">
        <v>793</v>
      </c>
      <c r="L13" s="1159" t="s">
        <v>206</v>
      </c>
      <c r="M13" s="1159" t="s">
        <v>792</v>
      </c>
      <c r="N13" s="1159" t="s">
        <v>50</v>
      </c>
      <c r="O13" s="1159" t="s">
        <v>205</v>
      </c>
      <c r="P13" s="1159" t="s">
        <v>206</v>
      </c>
      <c r="Q13" s="1159" t="s">
        <v>50</v>
      </c>
      <c r="R13" s="1159" t="s">
        <v>205</v>
      </c>
      <c r="S13" s="1157" t="s">
        <v>206</v>
      </c>
      <c r="T13" s="1159" t="s">
        <v>792</v>
      </c>
      <c r="U13" s="1159" t="s">
        <v>50</v>
      </c>
      <c r="V13" s="1159" t="s">
        <v>205</v>
      </c>
      <c r="W13" s="1159" t="s">
        <v>206</v>
      </c>
      <c r="X13" s="1159" t="s">
        <v>50</v>
      </c>
      <c r="Y13" s="1159" t="s">
        <v>205</v>
      </c>
      <c r="Z13" s="1157" t="s">
        <v>206</v>
      </c>
      <c r="AA13" s="1159" t="s">
        <v>792</v>
      </c>
      <c r="AB13" s="1159" t="s">
        <v>50</v>
      </c>
      <c r="AC13" s="1159" t="s">
        <v>205</v>
      </c>
      <c r="AD13" s="1159" t="s">
        <v>206</v>
      </c>
      <c r="AE13" s="1159" t="s">
        <v>50</v>
      </c>
      <c r="AF13" s="1159" t="s">
        <v>205</v>
      </c>
      <c r="AG13" s="1157" t="s">
        <v>206</v>
      </c>
      <c r="AH13" s="1159" t="s">
        <v>792</v>
      </c>
      <c r="AI13" s="1159" t="s">
        <v>50</v>
      </c>
      <c r="AJ13" s="1159" t="s">
        <v>205</v>
      </c>
      <c r="AK13" s="1159" t="s">
        <v>206</v>
      </c>
      <c r="AL13" s="1159" t="s">
        <v>50</v>
      </c>
      <c r="AM13" s="1159" t="s">
        <v>205</v>
      </c>
      <c r="AN13" s="1157" t="s">
        <v>206</v>
      </c>
      <c r="AO13" s="1159" t="s">
        <v>792</v>
      </c>
      <c r="AP13" s="1159" t="s">
        <v>50</v>
      </c>
      <c r="AQ13" s="1159" t="s">
        <v>205</v>
      </c>
      <c r="AR13" s="1159" t="s">
        <v>206</v>
      </c>
      <c r="AS13" s="1159" t="s">
        <v>50</v>
      </c>
      <c r="AT13" s="1159" t="s">
        <v>205</v>
      </c>
      <c r="AU13" s="1157" t="s">
        <v>206</v>
      </c>
      <c r="AV13" s="1159" t="s">
        <v>792</v>
      </c>
      <c r="AW13" s="1159" t="s">
        <v>50</v>
      </c>
      <c r="AX13" s="1159" t="s">
        <v>205</v>
      </c>
      <c r="AY13" s="1159" t="s">
        <v>206</v>
      </c>
      <c r="AZ13" s="1159" t="s">
        <v>50</v>
      </c>
      <c r="BA13" s="1159" t="s">
        <v>205</v>
      </c>
      <c r="BB13" s="1157" t="s">
        <v>206</v>
      </c>
      <c r="BC13" s="1159" t="s">
        <v>792</v>
      </c>
      <c r="BD13" s="1159" t="s">
        <v>50</v>
      </c>
      <c r="BE13" s="1159" t="s">
        <v>205</v>
      </c>
      <c r="BF13" s="1159" t="s">
        <v>206</v>
      </c>
      <c r="BG13" s="1159" t="s">
        <v>50</v>
      </c>
      <c r="BH13" s="1159" t="s">
        <v>205</v>
      </c>
      <c r="BI13" s="1157" t="s">
        <v>206</v>
      </c>
      <c r="BJ13" s="1159" t="s">
        <v>792</v>
      </c>
      <c r="BK13" s="1159" t="s">
        <v>50</v>
      </c>
      <c r="BL13" s="1159" t="s">
        <v>205</v>
      </c>
      <c r="BM13" s="1159" t="s">
        <v>206</v>
      </c>
      <c r="BN13" s="1159" t="s">
        <v>50</v>
      </c>
      <c r="BO13" s="1159" t="s">
        <v>205</v>
      </c>
      <c r="BP13" s="1157" t="s">
        <v>206</v>
      </c>
      <c r="BQ13" s="1159" t="s">
        <v>792</v>
      </c>
      <c r="BR13" s="1159" t="s">
        <v>50</v>
      </c>
      <c r="BS13" s="1159" t="s">
        <v>205</v>
      </c>
      <c r="BT13" s="1159" t="s">
        <v>206</v>
      </c>
      <c r="BU13" s="1159" t="s">
        <v>50</v>
      </c>
      <c r="BV13" s="1159" t="s">
        <v>205</v>
      </c>
      <c r="BW13" s="1157" t="s">
        <v>206</v>
      </c>
      <c r="BX13" s="1159" t="s">
        <v>792</v>
      </c>
      <c r="BY13" s="1159" t="s">
        <v>50</v>
      </c>
      <c r="BZ13" s="1159" t="s">
        <v>205</v>
      </c>
      <c r="CA13" s="1159" t="s">
        <v>206</v>
      </c>
      <c r="CB13" s="1159" t="s">
        <v>50</v>
      </c>
      <c r="CC13" s="1159" t="s">
        <v>205</v>
      </c>
      <c r="CD13" s="1157" t="s">
        <v>206</v>
      </c>
      <c r="CE13" s="1159" t="s">
        <v>792</v>
      </c>
      <c r="CF13" s="1159" t="s">
        <v>50</v>
      </c>
      <c r="CG13" s="1157" t="s">
        <v>205</v>
      </c>
      <c r="CH13" s="1157" t="s">
        <v>206</v>
      </c>
      <c r="CI13" s="1159" t="s">
        <v>50</v>
      </c>
      <c r="CJ13" s="1159" t="s">
        <v>205</v>
      </c>
      <c r="CK13" s="1157" t="s">
        <v>206</v>
      </c>
      <c r="CL13" s="1159" t="s">
        <v>792</v>
      </c>
      <c r="CM13" s="1159" t="s">
        <v>50</v>
      </c>
      <c r="CN13" s="1159" t="s">
        <v>205</v>
      </c>
      <c r="CO13" s="1159" t="s">
        <v>206</v>
      </c>
      <c r="CP13" s="1159" t="s">
        <v>50</v>
      </c>
      <c r="CQ13" s="1159" t="s">
        <v>205</v>
      </c>
      <c r="CR13" s="1157" t="s">
        <v>206</v>
      </c>
      <c r="CS13" s="1159" t="s">
        <v>792</v>
      </c>
      <c r="CT13" s="1159" t="s">
        <v>50</v>
      </c>
      <c r="CU13" s="1159" t="s">
        <v>205</v>
      </c>
      <c r="CV13" s="1159" t="s">
        <v>206</v>
      </c>
      <c r="CW13" s="1159" t="s">
        <v>50</v>
      </c>
      <c r="CX13" s="1159" t="s">
        <v>205</v>
      </c>
      <c r="CY13" s="1157" t="s">
        <v>206</v>
      </c>
      <c r="CZ13" s="1159" t="s">
        <v>792</v>
      </c>
      <c r="DA13" s="1159" t="s">
        <v>50</v>
      </c>
      <c r="DB13" s="1159" t="s">
        <v>205</v>
      </c>
      <c r="DC13" s="1159" t="s">
        <v>206</v>
      </c>
      <c r="DD13" s="1159" t="s">
        <v>50</v>
      </c>
      <c r="DE13" s="1159" t="s">
        <v>205</v>
      </c>
      <c r="DF13" s="1157" t="s">
        <v>206</v>
      </c>
      <c r="DG13" s="1159" t="s">
        <v>792</v>
      </c>
      <c r="DH13" s="1159" t="s">
        <v>50</v>
      </c>
      <c r="DI13" s="1159" t="s">
        <v>205</v>
      </c>
      <c r="DJ13" s="1159" t="s">
        <v>206</v>
      </c>
      <c r="DK13" s="1159" t="s">
        <v>50</v>
      </c>
      <c r="DL13" s="1159" t="s">
        <v>205</v>
      </c>
      <c r="DM13" s="1157" t="s">
        <v>206</v>
      </c>
      <c r="DN13" s="1159" t="s">
        <v>792</v>
      </c>
      <c r="DO13" s="1159" t="s">
        <v>50</v>
      </c>
      <c r="DP13" s="1159" t="s">
        <v>205</v>
      </c>
      <c r="DQ13" s="1159" t="s">
        <v>206</v>
      </c>
      <c r="DR13" s="1159" t="s">
        <v>50</v>
      </c>
      <c r="DS13" s="1159" t="s">
        <v>205</v>
      </c>
      <c r="DT13" s="1157" t="s">
        <v>206</v>
      </c>
      <c r="DU13" s="1159" t="s">
        <v>792</v>
      </c>
      <c r="DV13" s="1159" t="s">
        <v>50</v>
      </c>
      <c r="DW13" s="1159" t="s">
        <v>205</v>
      </c>
      <c r="DX13" s="1159" t="s">
        <v>206</v>
      </c>
      <c r="DY13" s="1159" t="s">
        <v>50</v>
      </c>
      <c r="DZ13" s="1159" t="s">
        <v>205</v>
      </c>
      <c r="EA13" s="1157" t="s">
        <v>206</v>
      </c>
      <c r="EB13" s="1159" t="s">
        <v>792</v>
      </c>
      <c r="EC13" s="1159" t="s">
        <v>50</v>
      </c>
      <c r="ED13" s="1159" t="s">
        <v>205</v>
      </c>
      <c r="EE13" s="1159" t="s">
        <v>206</v>
      </c>
      <c r="EF13" s="1159" t="s">
        <v>50</v>
      </c>
      <c r="EG13" s="1159" t="s">
        <v>205</v>
      </c>
      <c r="EH13" s="1157" t="s">
        <v>206</v>
      </c>
      <c r="EI13" s="1159" t="s">
        <v>792</v>
      </c>
      <c r="EJ13" s="1159" t="s">
        <v>50</v>
      </c>
      <c r="EK13" s="1159" t="s">
        <v>205</v>
      </c>
      <c r="EL13" s="1159" t="s">
        <v>206</v>
      </c>
      <c r="EM13" s="1159" t="s">
        <v>50</v>
      </c>
      <c r="EN13" s="1159" t="s">
        <v>205</v>
      </c>
      <c r="EO13" s="1157" t="s">
        <v>206</v>
      </c>
      <c r="EP13" s="1159" t="s">
        <v>792</v>
      </c>
      <c r="EQ13" s="1159" t="s">
        <v>50</v>
      </c>
      <c r="ER13" s="1159" t="s">
        <v>205</v>
      </c>
      <c r="ES13" s="1159" t="s">
        <v>206</v>
      </c>
      <c r="ET13" s="1159" t="s">
        <v>50</v>
      </c>
      <c r="EU13" s="1159" t="s">
        <v>205</v>
      </c>
      <c r="EV13" s="1157" t="s">
        <v>206</v>
      </c>
      <c r="EW13" s="1159" t="s">
        <v>792</v>
      </c>
      <c r="EX13" s="1159" t="s">
        <v>50</v>
      </c>
      <c r="EY13" s="1159" t="s">
        <v>205</v>
      </c>
      <c r="EZ13" s="1159" t="s">
        <v>206</v>
      </c>
      <c r="FA13" s="1159" t="s">
        <v>50</v>
      </c>
      <c r="FB13" s="1159" t="s">
        <v>205</v>
      </c>
      <c r="FC13" s="1157" t="s">
        <v>206</v>
      </c>
      <c r="FD13" s="1159" t="s">
        <v>792</v>
      </c>
      <c r="FE13" s="1159" t="s">
        <v>50</v>
      </c>
      <c r="FF13" s="1159" t="s">
        <v>205</v>
      </c>
      <c r="FG13" s="1159" t="s">
        <v>206</v>
      </c>
      <c r="FH13" s="1157" t="s">
        <v>50</v>
      </c>
      <c r="FI13" s="1159" t="s">
        <v>205</v>
      </c>
      <c r="FJ13" s="1157" t="s">
        <v>206</v>
      </c>
      <c r="FK13" s="1159" t="s">
        <v>792</v>
      </c>
      <c r="FL13" s="1159" t="s">
        <v>50</v>
      </c>
      <c r="FM13" s="1159" t="s">
        <v>205</v>
      </c>
      <c r="FN13" s="1159" t="s">
        <v>206</v>
      </c>
      <c r="FO13" s="1159" t="s">
        <v>50</v>
      </c>
      <c r="FP13" s="1159" t="s">
        <v>205</v>
      </c>
      <c r="FQ13" s="1157" t="s">
        <v>206</v>
      </c>
      <c r="FR13" s="1159" t="s">
        <v>792</v>
      </c>
      <c r="FS13" s="1159" t="s">
        <v>50</v>
      </c>
      <c r="FT13" s="1159" t="s">
        <v>205</v>
      </c>
      <c r="FU13" s="1159" t="s">
        <v>206</v>
      </c>
      <c r="FV13" s="1160"/>
      <c r="FW13" s="1159" t="s">
        <v>206</v>
      </c>
    </row>
    <row r="14" spans="1:179" s="883" customFormat="1" x14ac:dyDescent="0.2">
      <c r="A14" s="1158"/>
      <c r="B14" s="1158"/>
      <c r="C14" s="1158"/>
      <c r="D14" s="1158"/>
      <c r="E14" s="1158"/>
      <c r="F14" s="1161"/>
      <c r="G14" s="1161"/>
      <c r="H14" s="1161"/>
      <c r="I14" s="1161"/>
      <c r="J14" s="1158"/>
      <c r="K14" s="1158"/>
      <c r="L14" s="1158"/>
      <c r="M14" s="1161"/>
      <c r="N14" s="1161"/>
      <c r="O14" s="1161"/>
      <c r="P14" s="1161"/>
      <c r="Q14" s="1158"/>
      <c r="R14" s="1158"/>
      <c r="S14" s="1158"/>
      <c r="T14" s="1161"/>
      <c r="U14" s="1161"/>
      <c r="V14" s="1161"/>
      <c r="W14" s="1161"/>
      <c r="X14" s="1158"/>
      <c r="Y14" s="1158"/>
      <c r="Z14" s="1158"/>
      <c r="AA14" s="1161"/>
      <c r="AB14" s="1161"/>
      <c r="AC14" s="1161"/>
      <c r="AD14" s="1161"/>
      <c r="AE14" s="1158"/>
      <c r="AF14" s="1158"/>
      <c r="AG14" s="1158"/>
      <c r="AH14" s="1161"/>
      <c r="AI14" s="1161"/>
      <c r="AJ14" s="1161"/>
      <c r="AK14" s="1161"/>
      <c r="AL14" s="1158"/>
      <c r="AM14" s="1158"/>
      <c r="AN14" s="1158"/>
      <c r="AO14" s="1161"/>
      <c r="AP14" s="1161"/>
      <c r="AQ14" s="1161"/>
      <c r="AR14" s="1161"/>
      <c r="AS14" s="1158"/>
      <c r="AT14" s="1158"/>
      <c r="AU14" s="1158"/>
      <c r="AV14" s="1161"/>
      <c r="AW14" s="1161"/>
      <c r="AX14" s="1161"/>
      <c r="AY14" s="1161"/>
      <c r="AZ14" s="1158"/>
      <c r="BA14" s="1158"/>
      <c r="BB14" s="1158"/>
      <c r="BC14" s="1161"/>
      <c r="BD14" s="1161"/>
      <c r="BE14" s="1161"/>
      <c r="BF14" s="1161"/>
      <c r="BG14" s="1158"/>
      <c r="BH14" s="1158"/>
      <c r="BI14" s="1158"/>
      <c r="BJ14" s="1161"/>
      <c r="BK14" s="1161"/>
      <c r="BL14" s="1161"/>
      <c r="BM14" s="1161"/>
      <c r="BN14" s="1158"/>
      <c r="BO14" s="1158"/>
      <c r="BP14" s="1158"/>
      <c r="BQ14" s="1161"/>
      <c r="BR14" s="1161"/>
      <c r="BS14" s="1161"/>
      <c r="BT14" s="1161"/>
      <c r="BU14" s="1158"/>
      <c r="BV14" s="1158"/>
      <c r="BW14" s="1158"/>
      <c r="BX14" s="1161"/>
      <c r="BY14" s="1161"/>
      <c r="BZ14" s="1161"/>
      <c r="CA14" s="1161"/>
      <c r="CB14" s="1158"/>
      <c r="CC14" s="1158"/>
      <c r="CD14" s="1158"/>
      <c r="CE14" s="1161"/>
      <c r="CF14" s="1161"/>
      <c r="CG14" s="1161"/>
      <c r="CH14" s="1161"/>
      <c r="CI14" s="1158"/>
      <c r="CJ14" s="1158"/>
      <c r="CK14" s="1158"/>
      <c r="CL14" s="1161"/>
      <c r="CM14" s="1161"/>
      <c r="CN14" s="1161"/>
      <c r="CO14" s="1161"/>
      <c r="CP14" s="1158"/>
      <c r="CQ14" s="1158"/>
      <c r="CR14" s="1158"/>
      <c r="CS14" s="1161"/>
      <c r="CT14" s="1161"/>
      <c r="CU14" s="1161"/>
      <c r="CV14" s="1161"/>
      <c r="CW14" s="1158"/>
      <c r="CX14" s="1158"/>
      <c r="CY14" s="1158"/>
      <c r="CZ14" s="1161"/>
      <c r="DA14" s="1161"/>
      <c r="DB14" s="1161"/>
      <c r="DC14" s="1161"/>
      <c r="DD14" s="1158"/>
      <c r="DE14" s="1158"/>
      <c r="DF14" s="1158"/>
      <c r="DG14" s="1161"/>
      <c r="DH14" s="1161"/>
      <c r="DI14" s="1161"/>
      <c r="DJ14" s="1161"/>
      <c r="DK14" s="1158"/>
      <c r="DL14" s="1158"/>
      <c r="DM14" s="1158"/>
      <c r="DN14" s="1161"/>
      <c r="DO14" s="1161"/>
      <c r="DP14" s="1161"/>
      <c r="DQ14" s="1161"/>
      <c r="DR14" s="1158"/>
      <c r="DS14" s="1158"/>
      <c r="DT14" s="1158"/>
      <c r="DU14" s="1161"/>
      <c r="DV14" s="1161"/>
      <c r="DW14" s="1161"/>
      <c r="DX14" s="1161"/>
      <c r="DY14" s="1158"/>
      <c r="DZ14" s="1158"/>
      <c r="EA14" s="1158"/>
      <c r="EB14" s="1161"/>
      <c r="EC14" s="1161"/>
      <c r="ED14" s="1161"/>
      <c r="EE14" s="1161"/>
      <c r="EF14" s="1158"/>
      <c r="EG14" s="1158"/>
      <c r="EH14" s="1158"/>
      <c r="EI14" s="1161"/>
      <c r="EJ14" s="1161"/>
      <c r="EK14" s="1161"/>
      <c r="EL14" s="1161"/>
      <c r="EM14" s="1158"/>
      <c r="EN14" s="1158"/>
      <c r="EO14" s="1158"/>
      <c r="EP14" s="1161"/>
      <c r="EQ14" s="1161"/>
      <c r="ER14" s="1161"/>
      <c r="ES14" s="1161"/>
      <c r="ET14" s="1158"/>
      <c r="EU14" s="1158"/>
      <c r="EV14" s="1158"/>
      <c r="EW14" s="1161"/>
      <c r="EX14" s="1161"/>
      <c r="EY14" s="1161"/>
      <c r="EZ14" s="1161"/>
      <c r="FA14" s="1158"/>
      <c r="FB14" s="1158"/>
      <c r="FC14" s="1158"/>
      <c r="FD14" s="1161"/>
      <c r="FE14" s="1161"/>
      <c r="FF14" s="1161"/>
      <c r="FG14" s="1161"/>
      <c r="FH14" s="1158"/>
      <c r="FI14" s="1158"/>
      <c r="FJ14" s="1158"/>
      <c r="FK14" s="1161"/>
      <c r="FL14" s="1161"/>
      <c r="FM14" s="1161"/>
      <c r="FN14" s="1161"/>
      <c r="FO14" s="1158"/>
      <c r="FP14" s="1158"/>
      <c r="FQ14" s="1158"/>
      <c r="FR14" s="1161"/>
      <c r="FS14" s="1161"/>
      <c r="FT14" s="1161"/>
      <c r="FU14" s="1161"/>
      <c r="FV14" s="1158"/>
      <c r="FW14" s="1161"/>
    </row>
    <row r="15" spans="1:179" s="883" customFormat="1" x14ac:dyDescent="0.2">
      <c r="A15" s="1162"/>
      <c r="B15" s="1162" t="s">
        <v>794</v>
      </c>
      <c r="C15" s="1158"/>
      <c r="D15" s="1158"/>
      <c r="E15" s="1158"/>
      <c r="F15" s="1161"/>
      <c r="G15" s="1161"/>
      <c r="H15" s="1161"/>
      <c r="I15" s="1161"/>
      <c r="J15" s="1158"/>
      <c r="K15" s="1158"/>
      <c r="L15" s="1158"/>
      <c r="M15" s="1161"/>
      <c r="N15" s="1161"/>
      <c r="O15" s="1161"/>
      <c r="P15" s="1161"/>
      <c r="Q15" s="1158"/>
      <c r="R15" s="1158"/>
      <c r="S15" s="1158"/>
      <c r="T15" s="1161"/>
      <c r="U15" s="1161"/>
      <c r="V15" s="1161"/>
      <c r="W15" s="1161"/>
      <c r="X15" s="1158"/>
      <c r="Y15" s="1158"/>
      <c r="Z15" s="1158"/>
      <c r="AA15" s="1161"/>
      <c r="AB15" s="1161"/>
      <c r="AC15" s="1161"/>
      <c r="AD15" s="1161"/>
      <c r="AE15" s="1158"/>
      <c r="AF15" s="1158"/>
      <c r="AG15" s="1158"/>
      <c r="AH15" s="1161"/>
      <c r="AI15" s="1161"/>
      <c r="AJ15" s="1161"/>
      <c r="AK15" s="1161"/>
      <c r="AL15" s="1158"/>
      <c r="AM15" s="1158"/>
      <c r="AN15" s="1158"/>
      <c r="AO15" s="1161"/>
      <c r="AP15" s="1161"/>
      <c r="AQ15" s="1161"/>
      <c r="AR15" s="1161"/>
      <c r="AS15" s="1158"/>
      <c r="AT15" s="1158"/>
      <c r="AU15" s="1158"/>
      <c r="AV15" s="1161"/>
      <c r="AW15" s="1161"/>
      <c r="AX15" s="1161"/>
      <c r="AY15" s="1161"/>
      <c r="AZ15" s="1158"/>
      <c r="BA15" s="1158"/>
      <c r="BB15" s="1158"/>
      <c r="BC15" s="1161"/>
      <c r="BD15" s="1161"/>
      <c r="BE15" s="1161"/>
      <c r="BF15" s="1161"/>
      <c r="BG15" s="1158"/>
      <c r="BH15" s="1158"/>
      <c r="BI15" s="1158"/>
      <c r="BJ15" s="1161"/>
      <c r="BK15" s="1161"/>
      <c r="BL15" s="1161"/>
      <c r="BM15" s="1161"/>
      <c r="BN15" s="1158"/>
      <c r="BO15" s="1158"/>
      <c r="BP15" s="1158"/>
      <c r="BQ15" s="1161"/>
      <c r="BR15" s="1161"/>
      <c r="BS15" s="1161"/>
      <c r="BT15" s="1161"/>
      <c r="BU15" s="1158"/>
      <c r="BV15" s="1158"/>
      <c r="BW15" s="1158"/>
      <c r="BX15" s="1161"/>
      <c r="BY15" s="1161"/>
      <c r="BZ15" s="1161"/>
      <c r="CA15" s="1161"/>
      <c r="CB15" s="1158"/>
      <c r="CC15" s="1158"/>
      <c r="CD15" s="1158"/>
      <c r="CE15" s="1161"/>
      <c r="CF15" s="1161"/>
      <c r="CG15" s="1161"/>
      <c r="CH15" s="1161"/>
      <c r="CI15" s="1158"/>
      <c r="CJ15" s="1158"/>
      <c r="CK15" s="1158"/>
      <c r="CL15" s="1161"/>
      <c r="CM15" s="1161"/>
      <c r="CN15" s="1161"/>
      <c r="CO15" s="1161"/>
      <c r="CP15" s="1158"/>
      <c r="CQ15" s="1158"/>
      <c r="CR15" s="1158"/>
      <c r="CS15" s="1161"/>
      <c r="CT15" s="1161"/>
      <c r="CU15" s="1161"/>
      <c r="CV15" s="1161"/>
      <c r="CW15" s="1158"/>
      <c r="CX15" s="1158"/>
      <c r="CY15" s="1158"/>
      <c r="CZ15" s="1161"/>
      <c r="DA15" s="1161"/>
      <c r="DB15" s="1161"/>
      <c r="DC15" s="1161"/>
      <c r="DD15" s="1158"/>
      <c r="DE15" s="1158"/>
      <c r="DF15" s="1158"/>
      <c r="DG15" s="1161"/>
      <c r="DH15" s="1161"/>
      <c r="DI15" s="1161"/>
      <c r="DJ15" s="1161"/>
      <c r="DK15" s="1158"/>
      <c r="DL15" s="1158"/>
      <c r="DM15" s="1158"/>
      <c r="DN15" s="1161"/>
      <c r="DO15" s="1161"/>
      <c r="DP15" s="1161"/>
      <c r="DQ15" s="1161"/>
      <c r="DR15" s="1158"/>
      <c r="DS15" s="1158"/>
      <c r="DT15" s="1158"/>
      <c r="DU15" s="1161"/>
      <c r="DV15" s="1161"/>
      <c r="DW15" s="1161"/>
      <c r="DX15" s="1161"/>
      <c r="DY15" s="1158"/>
      <c r="DZ15" s="1158"/>
      <c r="EA15" s="1158"/>
      <c r="EB15" s="1161"/>
      <c r="EC15" s="1161"/>
      <c r="ED15" s="1161"/>
      <c r="EE15" s="1161"/>
      <c r="EF15" s="1158"/>
      <c r="EG15" s="1158"/>
      <c r="EH15" s="1158"/>
      <c r="EI15" s="1161"/>
      <c r="EJ15" s="1161"/>
      <c r="EK15" s="1161"/>
      <c r="EL15" s="1161"/>
      <c r="EM15" s="1158"/>
      <c r="EN15" s="1158"/>
      <c r="EO15" s="1158"/>
      <c r="EP15" s="1161"/>
      <c r="EQ15" s="1161"/>
      <c r="ER15" s="1161"/>
      <c r="ES15" s="1161"/>
      <c r="ET15" s="1158"/>
      <c r="EU15" s="1158"/>
      <c r="EV15" s="1158"/>
      <c r="EW15" s="1161"/>
      <c r="EX15" s="1161"/>
      <c r="EY15" s="1161"/>
      <c r="EZ15" s="1161"/>
      <c r="FA15" s="1158"/>
      <c r="FB15" s="1158"/>
      <c r="FC15" s="1158"/>
      <c r="FD15" s="1161"/>
      <c r="FE15" s="1161"/>
      <c r="FF15" s="1161"/>
      <c r="FG15" s="1161"/>
      <c r="FH15" s="1158"/>
      <c r="FI15" s="1158"/>
      <c r="FJ15" s="1158"/>
      <c r="FK15" s="1161"/>
      <c r="FL15" s="1161"/>
      <c r="FM15" s="1161"/>
      <c r="FN15" s="1161"/>
      <c r="FO15" s="1158"/>
      <c r="FP15" s="1158"/>
      <c r="FQ15" s="1158"/>
      <c r="FR15" s="1161"/>
      <c r="FS15" s="1161"/>
      <c r="FT15" s="1161"/>
      <c r="FU15" s="1161"/>
      <c r="FV15" s="1158"/>
      <c r="FW15" s="1161"/>
    </row>
    <row r="16" spans="1:179" s="883" customFormat="1" x14ac:dyDescent="0.2">
      <c r="A16" s="1158"/>
      <c r="B16" s="1158"/>
      <c r="C16" s="1163"/>
      <c r="D16" s="1163"/>
      <c r="E16" s="1163"/>
      <c r="F16" s="1164"/>
      <c r="G16" s="1165"/>
      <c r="H16" s="1165"/>
      <c r="I16" s="1165"/>
      <c r="J16" s="1163"/>
      <c r="K16" s="1163"/>
      <c r="L16" s="1163"/>
      <c r="M16" s="1164"/>
      <c r="N16" s="1165"/>
      <c r="O16" s="1165"/>
      <c r="P16" s="1165"/>
      <c r="Q16" s="1163"/>
      <c r="R16" s="1163"/>
      <c r="S16" s="1163"/>
      <c r="T16" s="1164"/>
      <c r="U16" s="1165"/>
      <c r="V16" s="1165"/>
      <c r="W16" s="1165"/>
      <c r="X16" s="1163"/>
      <c r="Y16" s="1163"/>
      <c r="Z16" s="1163"/>
      <c r="AA16" s="1164"/>
      <c r="AB16" s="1165"/>
      <c r="AC16" s="1165"/>
      <c r="AD16" s="1165"/>
      <c r="AE16" s="1163"/>
      <c r="AF16" s="1163"/>
      <c r="AG16" s="1163"/>
      <c r="AH16" s="1164"/>
      <c r="AI16" s="1165"/>
      <c r="AJ16" s="1165"/>
      <c r="AK16" s="1165"/>
      <c r="AL16" s="1163"/>
      <c r="AM16" s="1163"/>
      <c r="AN16" s="1163"/>
      <c r="AO16" s="1164"/>
      <c r="AP16" s="1165"/>
      <c r="AQ16" s="1165"/>
      <c r="AR16" s="1165"/>
      <c r="AS16" s="1163"/>
      <c r="AT16" s="1163"/>
      <c r="AU16" s="1163"/>
      <c r="AV16" s="1164"/>
      <c r="AW16" s="1165"/>
      <c r="AX16" s="1165"/>
      <c r="AY16" s="1165"/>
      <c r="AZ16" s="1163"/>
      <c r="BA16" s="1163"/>
      <c r="BB16" s="1163"/>
      <c r="BC16" s="1164"/>
      <c r="BD16" s="1165"/>
      <c r="BE16" s="1165"/>
      <c r="BF16" s="1165"/>
      <c r="BG16" s="1163"/>
      <c r="BH16" s="1163"/>
      <c r="BI16" s="1163"/>
      <c r="BJ16" s="1164"/>
      <c r="BK16" s="1165"/>
      <c r="BL16" s="1165"/>
      <c r="BM16" s="1165"/>
      <c r="BN16" s="1163"/>
      <c r="BO16" s="1163"/>
      <c r="BP16" s="1163"/>
      <c r="BQ16" s="1164"/>
      <c r="BR16" s="1165"/>
      <c r="BS16" s="1165"/>
      <c r="BT16" s="1165"/>
      <c r="BU16" s="1163"/>
      <c r="BV16" s="1163"/>
      <c r="BW16" s="1163"/>
      <c r="BX16" s="1164"/>
      <c r="BY16" s="1165"/>
      <c r="BZ16" s="1165"/>
      <c r="CA16" s="1165"/>
      <c r="CB16" s="1163"/>
      <c r="CC16" s="1163"/>
      <c r="CD16" s="1163"/>
      <c r="CE16" s="1164"/>
      <c r="CF16" s="1165"/>
      <c r="CG16" s="1165"/>
      <c r="CH16" s="1165"/>
      <c r="CI16" s="1163"/>
      <c r="CJ16" s="1163"/>
      <c r="CK16" s="1163"/>
      <c r="CL16" s="1164">
        <f t="shared" ref="CL16:CL35" si="0">CK16-CJ16</f>
        <v>0</v>
      </c>
      <c r="CM16" s="1165"/>
      <c r="CN16" s="1165"/>
      <c r="CO16" s="1165"/>
      <c r="CP16" s="1163"/>
      <c r="CQ16" s="1163"/>
      <c r="CR16" s="1163"/>
      <c r="CS16" s="1164">
        <f t="shared" ref="CS16:CS35" si="1">CR16-CQ16</f>
        <v>0</v>
      </c>
      <c r="CT16" s="1165"/>
      <c r="CU16" s="1165"/>
      <c r="CV16" s="1165"/>
      <c r="CW16" s="1163"/>
      <c r="CX16" s="1163"/>
      <c r="CY16" s="1163"/>
      <c r="CZ16" s="1164"/>
      <c r="DA16" s="1165"/>
      <c r="DB16" s="1165"/>
      <c r="DC16" s="1165"/>
      <c r="DD16" s="1163"/>
      <c r="DE16" s="1163"/>
      <c r="DF16" s="1163"/>
      <c r="DG16" s="1164"/>
      <c r="DH16" s="1165"/>
      <c r="DI16" s="1165"/>
      <c r="DJ16" s="1165"/>
      <c r="DK16" s="1163"/>
      <c r="DL16" s="1163"/>
      <c r="DM16" s="1163"/>
      <c r="DN16" s="1164"/>
      <c r="DO16" s="1165"/>
      <c r="DP16" s="1165"/>
      <c r="DQ16" s="1165"/>
      <c r="DR16" s="1163"/>
      <c r="DS16" s="1163"/>
      <c r="DT16" s="1163"/>
      <c r="DU16" s="1164"/>
      <c r="DV16" s="1165"/>
      <c r="DW16" s="1165"/>
      <c r="DX16" s="1165"/>
      <c r="DY16" s="1163"/>
      <c r="DZ16" s="1163"/>
      <c r="EA16" s="1163"/>
      <c r="EB16" s="1164"/>
      <c r="EC16" s="1165"/>
      <c r="ED16" s="1165"/>
      <c r="EE16" s="1165"/>
      <c r="EF16" s="1163"/>
      <c r="EG16" s="1163"/>
      <c r="EH16" s="1163"/>
      <c r="EI16" s="1164"/>
      <c r="EJ16" s="1165"/>
      <c r="EK16" s="1165"/>
      <c r="EL16" s="1165"/>
      <c r="EM16" s="1163"/>
      <c r="EN16" s="1163"/>
      <c r="EO16" s="1163"/>
      <c r="EP16" s="1164"/>
      <c r="EQ16" s="1165"/>
      <c r="ER16" s="1165"/>
      <c r="ES16" s="1165"/>
      <c r="ET16" s="1163"/>
      <c r="EU16" s="1163"/>
      <c r="EV16" s="1163"/>
      <c r="EW16" s="1164"/>
      <c r="EX16" s="1165"/>
      <c r="EY16" s="1165"/>
      <c r="EZ16" s="1165"/>
      <c r="FA16" s="1163"/>
      <c r="FB16" s="1163"/>
      <c r="FC16" s="1163"/>
      <c r="FD16" s="1164"/>
      <c r="FE16" s="1165"/>
      <c r="FF16" s="1165"/>
      <c r="FG16" s="1165"/>
      <c r="FH16" s="1163"/>
      <c r="FI16" s="1163"/>
      <c r="FJ16" s="1163"/>
      <c r="FK16" s="1164"/>
      <c r="FL16" s="1165"/>
      <c r="FM16" s="1165"/>
      <c r="FN16" s="1165"/>
      <c r="FO16" s="1163"/>
      <c r="FP16" s="1163"/>
      <c r="FQ16" s="1163"/>
      <c r="FR16" s="1164"/>
      <c r="FS16" s="1165"/>
      <c r="FT16" s="1165"/>
      <c r="FU16" s="1165"/>
      <c r="FV16" s="1166"/>
      <c r="FW16" s="1164"/>
    </row>
    <row r="17" spans="1:179" s="883" customFormat="1" ht="16.5" customHeight="1" x14ac:dyDescent="0.2">
      <c r="A17" s="1167"/>
      <c r="B17" s="1167" t="str">
        <f>'Struktur Aktuell'!B391</f>
        <v>Jahresüberschuss / -fehlbetrag</v>
      </c>
      <c r="C17" s="1168">
        <f ca="1">'Planzahlen Rentabilität'!C59</f>
        <v>-15166.279999999982</v>
      </c>
      <c r="D17" s="1168">
        <f>'Planzahlen Rentabilität'!D59</f>
        <v>178878.7933333331</v>
      </c>
      <c r="E17" s="1168">
        <f ca="1">'Planzahlen Rentabilität'!E59</f>
        <v>-10416.279999999982</v>
      </c>
      <c r="F17" s="1169">
        <f t="shared" ref="F17:F35" ca="1" si="2">E17-D17</f>
        <v>-189295.07333333307</v>
      </c>
      <c r="G17" s="1170"/>
      <c r="H17" s="1170"/>
      <c r="I17" s="1170"/>
      <c r="J17" s="1168">
        <f ca="1">'Planzahlen Rentabilität'!J59</f>
        <v>-14219.660000000002</v>
      </c>
      <c r="K17" s="1168">
        <f>'Planzahlen Rentabilität'!K59</f>
        <v>-2865.6316111111137</v>
      </c>
      <c r="L17" s="1168">
        <f ca="1">'Planzahlen Rentabilität'!L59</f>
        <v>-9298.6600000000017</v>
      </c>
      <c r="M17" s="1169">
        <f t="shared" ref="M17:M35" ca="1" si="3">L17-K17</f>
        <v>-6433.028388888888</v>
      </c>
      <c r="N17" s="1170"/>
      <c r="O17" s="1170"/>
      <c r="P17" s="1170"/>
      <c r="Q17" s="1168">
        <f ca="1">'Planzahlen Rentabilität'!Q59</f>
        <v>-14219.660000000002</v>
      </c>
      <c r="R17" s="1168">
        <f>'Planzahlen Rentabilität'!R59</f>
        <v>-2865.6316111111137</v>
      </c>
      <c r="S17" s="1168">
        <f ca="1">'Planzahlen Rentabilität'!S59</f>
        <v>-9298.6600000000017</v>
      </c>
      <c r="T17" s="1169">
        <f t="shared" ref="T17:T35" ca="1" si="4">S17-R17</f>
        <v>-6433.028388888888</v>
      </c>
      <c r="U17" s="1170"/>
      <c r="V17" s="1170"/>
      <c r="W17" s="1170"/>
      <c r="X17" s="1168">
        <f ca="1">'Planzahlen Rentabilität'!X59</f>
        <v>-3393.9799999999973</v>
      </c>
      <c r="Y17" s="1168">
        <f>'Planzahlen Rentabilität'!Y59</f>
        <v>11565.372388888893</v>
      </c>
      <c r="Z17" s="1168">
        <f ca="1">'Planzahlen Rentabilität'!Z59</f>
        <v>-10142.98</v>
      </c>
      <c r="AA17" s="1169">
        <f t="shared" ref="AA17:AA35" ca="1" si="5">Z17-Y17</f>
        <v>-21708.352388888892</v>
      </c>
      <c r="AB17" s="1170"/>
      <c r="AC17" s="1170"/>
      <c r="AD17" s="1170"/>
      <c r="AE17" s="1168">
        <f ca="1">'Planzahlen Rentabilität'!AE59</f>
        <v>-17613.64</v>
      </c>
      <c r="AF17" s="1168">
        <f>'Planzahlen Rentabilität'!AF59</f>
        <v>8699.7407777777789</v>
      </c>
      <c r="AG17" s="1168">
        <f ca="1">'Planzahlen Rentabilität'!AG59</f>
        <v>-19441.64</v>
      </c>
      <c r="AH17" s="1169">
        <f t="shared" ref="AH17:AH35" ca="1" si="6">AG17-AF17</f>
        <v>-28141.380777777777</v>
      </c>
      <c r="AI17" s="1170"/>
      <c r="AJ17" s="1170"/>
      <c r="AK17" s="1170"/>
      <c r="AL17" s="1168">
        <f ca="1">'Planzahlen Rentabilität'!AL59</f>
        <v>-2047.75</v>
      </c>
      <c r="AM17" s="1168">
        <f>'Planzahlen Rentabilität'!AM59</f>
        <v>25996.376388888893</v>
      </c>
      <c r="AN17" s="1168">
        <f ca="1">'Planzahlen Rentabilität'!AN59</f>
        <v>281.25000000000023</v>
      </c>
      <c r="AO17" s="1169">
        <f t="shared" ref="AO17:AO35" ca="1" si="7">AN17-AM17</f>
        <v>-25715.126388888893</v>
      </c>
      <c r="AP17" s="1170"/>
      <c r="AQ17" s="1170"/>
      <c r="AR17" s="1170"/>
      <c r="AS17" s="1168">
        <f ca="1">'Planzahlen Rentabilität'!AS59</f>
        <v>-19661.39</v>
      </c>
      <c r="AT17" s="1168">
        <f>'Planzahlen Rentabilität'!AT59</f>
        <v>34696.117166666671</v>
      </c>
      <c r="AU17" s="1168">
        <f ca="1">'Planzahlen Rentabilität'!AU59</f>
        <v>-19160.39</v>
      </c>
      <c r="AV17" s="1169">
        <f t="shared" ref="AV17:AV35" ca="1" si="8">AU17-AT17</f>
        <v>-53856.50716666667</v>
      </c>
      <c r="AW17" s="1170"/>
      <c r="AX17" s="1170"/>
      <c r="AY17" s="1170"/>
      <c r="AZ17" s="1168">
        <f ca="1">'Planzahlen Rentabilität'!AZ59</f>
        <v>-9755.7800000000025</v>
      </c>
      <c r="BA17" s="1168">
        <f>'Planzahlen Rentabilität'!BA59</f>
        <v>4349.8703888888931</v>
      </c>
      <c r="BB17" s="1168">
        <f ca="1">'Planzahlen Rentabilität'!BB59</f>
        <v>-15159.780000000002</v>
      </c>
      <c r="BC17" s="1169">
        <f t="shared" ref="BC17:BC35" ca="1" si="9">BB17-BA17</f>
        <v>-19509.650388888895</v>
      </c>
      <c r="BD17" s="1170"/>
      <c r="BE17" s="1170"/>
      <c r="BF17" s="1170"/>
      <c r="BG17" s="1168">
        <f ca="1">'Planzahlen Rentabilität'!BG59</f>
        <v>-29417.170000000002</v>
      </c>
      <c r="BH17" s="1168">
        <f>'Planzahlen Rentabilität'!BH59</f>
        <v>39045.987555555563</v>
      </c>
      <c r="BI17" s="1168">
        <f ca="1">'Planzahlen Rentabilität'!BI59</f>
        <v>-34320.17</v>
      </c>
      <c r="BJ17" s="1169">
        <f t="shared" ref="BJ17:BJ35" ca="1" si="10">BI17-BH17</f>
        <v>-73366.157555555561</v>
      </c>
      <c r="BK17" s="1170"/>
      <c r="BL17" s="1170"/>
      <c r="BM17" s="1170"/>
      <c r="BN17" s="1168">
        <f ca="1">'Planzahlen Rentabilität'!BN59</f>
        <v>-26585.019999999997</v>
      </c>
      <c r="BO17" s="1168">
        <f>'Planzahlen Rentabilität'!BO59</f>
        <v>8876.1619722222276</v>
      </c>
      <c r="BP17" s="1168">
        <f ca="1">'Planzahlen Rentabilität'!BP59</f>
        <v>-16896.019999999997</v>
      </c>
      <c r="BQ17" s="1169">
        <f t="shared" ref="BQ17:BQ35" ca="1" si="11">BP17-BO17</f>
        <v>-25772.181972222224</v>
      </c>
      <c r="BR17" s="1170"/>
      <c r="BS17" s="1170"/>
      <c r="BT17" s="1170"/>
      <c r="BU17" s="1168">
        <f ca="1">'Planzahlen Rentabilität'!BU59</f>
        <v>-56002.19</v>
      </c>
      <c r="BV17" s="1168">
        <f>'Planzahlen Rentabilität'!BV59</f>
        <v>47922.149527777787</v>
      </c>
      <c r="BW17" s="1168">
        <f ca="1">'Planzahlen Rentabilität'!BW59</f>
        <v>-51216.189999999995</v>
      </c>
      <c r="BX17" s="1169">
        <f t="shared" ref="BX17:BX35" ca="1" si="12">BW17-BV17</f>
        <v>-99138.339527777774</v>
      </c>
      <c r="BY17" s="1170"/>
      <c r="BZ17" s="1170"/>
      <c r="CA17" s="1170"/>
      <c r="CB17" s="1168">
        <f ca="1">'Planzahlen Rentabilität'!CB59</f>
        <v>4445.2700000000004</v>
      </c>
      <c r="CC17" s="1168">
        <f>'Planzahlen Rentabilität'!CC59</f>
        <v>14991.361972222225</v>
      </c>
      <c r="CD17" s="1168">
        <f ca="1">'Planzahlen Rentabilität'!CD59</f>
        <v>147.27000000000001</v>
      </c>
      <c r="CE17" s="1169">
        <f t="shared" ref="CE17:CE35" ca="1" si="13">CD17-CC17</f>
        <v>-14844.091972222224</v>
      </c>
      <c r="CF17" s="1170"/>
      <c r="CG17" s="1170"/>
      <c r="CH17" s="1170"/>
      <c r="CI17" s="1168">
        <f ca="1">'Planzahlen Rentabilität'!CI59</f>
        <v>-51556.92</v>
      </c>
      <c r="CJ17" s="1168">
        <f>'Planzahlen Rentabilität'!CJ59</f>
        <v>62913.511500000008</v>
      </c>
      <c r="CK17" s="1168">
        <f ca="1">'Planzahlen Rentabilität'!CK59</f>
        <v>-51068.92</v>
      </c>
      <c r="CL17" s="1169">
        <f t="shared" ca="1" si="0"/>
        <v>-113982.43150000001</v>
      </c>
      <c r="CM17" s="1170"/>
      <c r="CN17" s="1170"/>
      <c r="CO17" s="1170"/>
      <c r="CP17" s="1168">
        <f ca="1">'Planzahlen Rentabilität'!CP59</f>
        <v>23973.330000000005</v>
      </c>
      <c r="CQ17" s="1168">
        <f>'Planzahlen Rentabilität'!CQ59</f>
        <v>14991.361972222225</v>
      </c>
      <c r="CR17" s="1168">
        <f ca="1">'Planzahlen Rentabilität'!CR59</f>
        <v>22230.330000000005</v>
      </c>
      <c r="CS17" s="1169">
        <f t="shared" ca="1" si="1"/>
        <v>7238.9680277777807</v>
      </c>
      <c r="CT17" s="1170"/>
      <c r="CU17" s="1170"/>
      <c r="CV17" s="1170"/>
      <c r="CW17" s="1168">
        <f ca="1">'Planzahlen Rentabilität'!CW59</f>
        <v>-27583.589999999993</v>
      </c>
      <c r="CX17" s="1168">
        <f>'Planzahlen Rentabilität'!CX59</f>
        <v>77904.873472222229</v>
      </c>
      <c r="CY17" s="1168">
        <f ca="1">'Planzahlen Rentabilität'!CY59</f>
        <v>-28838.589999999993</v>
      </c>
      <c r="CZ17" s="1169">
        <f t="shared" ref="CZ17:CZ35" ca="1" si="14">CY17-CX17</f>
        <v>-106743.46347222223</v>
      </c>
      <c r="DA17" s="1170"/>
      <c r="DB17" s="1170"/>
      <c r="DC17" s="1170"/>
      <c r="DD17" s="1168">
        <f ca="1">'Planzahlen Rentabilität'!DD59</f>
        <v>1143.8100000000011</v>
      </c>
      <c r="DE17" s="1168">
        <f>'Planzahlen Rentabilität'!DE59</f>
        <v>5763.7799722222244</v>
      </c>
      <c r="DF17" s="1168">
        <f ca="1">'Planzahlen Rentabilität'!DF59</f>
        <v>6551.8100000000013</v>
      </c>
      <c r="DG17" s="1169">
        <f t="shared" ref="DG17:DG35" ca="1" si="15">DF17-DE17</f>
        <v>788.03002777777692</v>
      </c>
      <c r="DH17" s="1170"/>
      <c r="DI17" s="1170"/>
      <c r="DJ17" s="1170"/>
      <c r="DK17" s="1168">
        <f ca="1">'Planzahlen Rentabilität'!DK59</f>
        <v>-26439.779999999992</v>
      </c>
      <c r="DL17" s="1168">
        <f>'Planzahlen Rentabilität'!DL59</f>
        <v>83668.653444444455</v>
      </c>
      <c r="DM17" s="1168">
        <f ca="1">'Planzahlen Rentabilität'!DM59</f>
        <v>-22286.779999999992</v>
      </c>
      <c r="DN17" s="1169">
        <f t="shared" ref="DN17:DN35" ca="1" si="16">DM17-DL17</f>
        <v>-105955.43344444444</v>
      </c>
      <c r="DO17" s="1170"/>
      <c r="DP17" s="1170"/>
      <c r="DQ17" s="1170"/>
      <c r="DR17" s="1168">
        <f ca="1">'Planzahlen Rentabilität'!DR59</f>
        <v>-7377.869999999999</v>
      </c>
      <c r="DS17" s="1168">
        <f>'Planzahlen Rentabilität'!DS59</f>
        <v>27410.285972222227</v>
      </c>
      <c r="DT17" s="1168">
        <f ca="1">'Planzahlen Rentabilität'!DT59</f>
        <v>-7377.869999999999</v>
      </c>
      <c r="DU17" s="1169">
        <f t="shared" ref="DU17:DU35" ca="1" si="17">DT17-DS17</f>
        <v>-34788.15597222223</v>
      </c>
      <c r="DV17" s="1170"/>
      <c r="DW17" s="1170"/>
      <c r="DX17" s="1170"/>
      <c r="DY17" s="1168">
        <f ca="1">'Planzahlen Rentabilität'!DY59</f>
        <v>-33817.649999999994</v>
      </c>
      <c r="DZ17" s="1168">
        <f>'Planzahlen Rentabilität'!DZ59</f>
        <v>111078.93941666669</v>
      </c>
      <c r="EA17" s="1168">
        <f ca="1">'Planzahlen Rentabilität'!EA59</f>
        <v>-29664.649999999991</v>
      </c>
      <c r="EB17" s="1169">
        <f t="shared" ref="EB17:EB35" ca="1" si="18">EA17-DZ17</f>
        <v>-140743.58941666668</v>
      </c>
      <c r="EC17" s="1170"/>
      <c r="ED17" s="1170"/>
      <c r="EE17" s="1170"/>
      <c r="EF17" s="1168">
        <f ca="1">'Planzahlen Rentabilität'!EF59</f>
        <v>19498.369999999995</v>
      </c>
      <c r="EG17" s="1168">
        <f>'Planzahlen Rentabilität'!EG59</f>
        <v>27410.285972222227</v>
      </c>
      <c r="EH17" s="1168">
        <f ca="1">'Planzahlen Rentabilität'!EH59</f>
        <v>11586.37</v>
      </c>
      <c r="EI17" s="1169">
        <f t="shared" ref="EI17:EI35" ca="1" si="19">EH17-EG17</f>
        <v>-15823.915972222227</v>
      </c>
      <c r="EJ17" s="1170"/>
      <c r="EK17" s="1170"/>
      <c r="EL17" s="1170"/>
      <c r="EM17" s="1168">
        <f ca="1">'Planzahlen Rentabilität'!EM59</f>
        <v>-14319.279999999999</v>
      </c>
      <c r="EN17" s="1168">
        <f>'Planzahlen Rentabilität'!EN59</f>
        <v>138489.22538888891</v>
      </c>
      <c r="EO17" s="1168">
        <f ca="1">'Planzahlen Rentabilität'!EO59</f>
        <v>-18078.279999999992</v>
      </c>
      <c r="EP17" s="1169">
        <f t="shared" ref="EP17:EP35" ca="1" si="20">EO17-EN17</f>
        <v>-156567.50538888891</v>
      </c>
      <c r="EQ17" s="1170"/>
      <c r="ER17" s="1170"/>
      <c r="ES17" s="1170"/>
      <c r="ET17" s="1168">
        <f ca="1">'Planzahlen Rentabilität'!ET59</f>
        <v>-316</v>
      </c>
      <c r="EU17" s="1168">
        <f>'Planzahlen Rentabilität'!EU59</f>
        <v>20194.783972222212</v>
      </c>
      <c r="EV17" s="1168">
        <f ca="1">'Planzahlen Rentabilität'!EV59</f>
        <v>7153</v>
      </c>
      <c r="EW17" s="1169">
        <f t="shared" ref="EW17:EW35" ca="1" si="21">EV17-EU17</f>
        <v>-13041.783972222212</v>
      </c>
      <c r="EX17" s="1170"/>
      <c r="EY17" s="1170"/>
      <c r="EZ17" s="1170"/>
      <c r="FA17" s="1168">
        <f ca="1">'Planzahlen Rentabilität'!FA59</f>
        <v>-14635.279999999999</v>
      </c>
      <c r="FB17" s="1168">
        <f>'Planzahlen Rentabilität'!FB59</f>
        <v>158684.00936111112</v>
      </c>
      <c r="FC17" s="1168">
        <f ca="1">'Planzahlen Rentabilität'!FC59</f>
        <v>-10925.279999999992</v>
      </c>
      <c r="FD17" s="1169">
        <f t="shared" ref="FD17:FD35" ca="1" si="22">FC17-FB17</f>
        <v>-169609.28936111112</v>
      </c>
      <c r="FE17" s="1170"/>
      <c r="FF17" s="1170"/>
      <c r="FG17" s="1170"/>
      <c r="FH17" s="1168">
        <f ca="1">'Planzahlen Rentabilität'!FH59</f>
        <v>-531</v>
      </c>
      <c r="FI17" s="1168">
        <f>'Planzahlen Rentabilität'!FI59</f>
        <v>20194.783972222212</v>
      </c>
      <c r="FJ17" s="1168">
        <f ca="1">'Planzahlen Rentabilität'!FJ59</f>
        <v>509</v>
      </c>
      <c r="FK17" s="1169">
        <f t="shared" ref="FK17:FK35" ca="1" si="23">FJ17-FI17</f>
        <v>-19685.783972222212</v>
      </c>
      <c r="FL17" s="1170"/>
      <c r="FM17" s="1170"/>
      <c r="FN17" s="1170"/>
      <c r="FO17" s="1168">
        <f ca="1">'Planzahlen Rentabilität'!FO59</f>
        <v>-15166.279999999999</v>
      </c>
      <c r="FP17" s="1168">
        <f>'Planzahlen Rentabilität'!FP59</f>
        <v>178878.79333333333</v>
      </c>
      <c r="FQ17" s="1168">
        <f ca="1">'Planzahlen Rentabilität'!FQ59</f>
        <v>-10416.279999999992</v>
      </c>
      <c r="FR17" s="1169">
        <f t="shared" ref="FR17:FR34" ca="1" si="24">FQ17-FP17</f>
        <v>-189295.07333333333</v>
      </c>
      <c r="FS17" s="1170"/>
      <c r="FT17" s="1170"/>
      <c r="FU17" s="1170"/>
      <c r="FV17" s="1171"/>
      <c r="FW17" s="1169">
        <v>0</v>
      </c>
    </row>
    <row r="18" spans="1:179" s="883" customFormat="1" x14ac:dyDescent="0.2">
      <c r="A18" s="1172"/>
      <c r="B18" s="1172" t="str">
        <f>'Struktur Aktuell'!B392</f>
        <v>Abschreibungen</v>
      </c>
      <c r="C18" s="1173">
        <f ca="1">'Planzahlen Rentabilität'!C49</f>
        <v>3109.6999999999994</v>
      </c>
      <c r="D18" s="1174">
        <f>'Planzahlen Rentabilität'!D49</f>
        <v>3000</v>
      </c>
      <c r="E18" s="1175">
        <f ca="1">'Planzahlen Rentabilität'!E49</f>
        <v>3109.6999999999994</v>
      </c>
      <c r="F18" s="1169">
        <f t="shared" ca="1" si="2"/>
        <v>109.69999999999936</v>
      </c>
      <c r="G18" s="1176"/>
      <c r="H18" s="1176"/>
      <c r="I18" s="1176"/>
      <c r="J18" s="1173">
        <f ca="1">'Planzahlen Rentabilität'!J49</f>
        <v>232.46</v>
      </c>
      <c r="K18" s="1174">
        <f>'Planzahlen Rentabilität'!K49</f>
        <v>250</v>
      </c>
      <c r="L18" s="1175">
        <f ca="1">'Planzahlen Rentabilität'!L49</f>
        <v>232.46</v>
      </c>
      <c r="M18" s="1169">
        <f t="shared" ca="1" si="3"/>
        <v>-17.539999999999992</v>
      </c>
      <c r="N18" s="1176"/>
      <c r="O18" s="1176"/>
      <c r="P18" s="1176"/>
      <c r="Q18" s="1173">
        <f t="shared" ref="Q18:Q35" ca="1" si="25">J18</f>
        <v>232.46</v>
      </c>
      <c r="R18" s="1174">
        <f t="shared" ref="R18:R35" si="26">K18</f>
        <v>250</v>
      </c>
      <c r="S18" s="1175">
        <f t="shared" ref="S18:S35" ca="1" si="27">L18</f>
        <v>232.46</v>
      </c>
      <c r="T18" s="1169">
        <f t="shared" ca="1" si="4"/>
        <v>-17.539999999999992</v>
      </c>
      <c r="U18" s="1176"/>
      <c r="V18" s="1176"/>
      <c r="W18" s="1176"/>
      <c r="X18" s="1173">
        <f ca="1">'Planzahlen Rentabilität'!X49</f>
        <v>232.51999999999998</v>
      </c>
      <c r="Y18" s="1174">
        <f>'Planzahlen Rentabilität'!Y49</f>
        <v>250</v>
      </c>
      <c r="Z18" s="1175">
        <f ca="1">'Planzahlen Rentabilität'!Z49</f>
        <v>232.51999999999998</v>
      </c>
      <c r="AA18" s="1169">
        <f t="shared" ca="1" si="5"/>
        <v>-17.480000000000018</v>
      </c>
      <c r="AB18" s="1176"/>
      <c r="AC18" s="1176"/>
      <c r="AD18" s="1176"/>
      <c r="AE18" s="1173">
        <f t="shared" ref="AE18:AE35" ca="1" si="28">Q18+X18</f>
        <v>464.98</v>
      </c>
      <c r="AF18" s="1174">
        <f t="shared" ref="AF18:AF35" si="29">R18+Y18</f>
        <v>500</v>
      </c>
      <c r="AG18" s="1175">
        <f t="shared" ref="AG18:AG35" ca="1" si="30">S18+Z18</f>
        <v>464.98</v>
      </c>
      <c r="AH18" s="1169">
        <f t="shared" ca="1" si="6"/>
        <v>-35.019999999999982</v>
      </c>
      <c r="AI18" s="1176"/>
      <c r="AJ18" s="1176"/>
      <c r="AK18" s="1176"/>
      <c r="AL18" s="1173">
        <f>'Planzahlen Rentabilität'!AL49</f>
        <v>0</v>
      </c>
      <c r="AM18" s="1174">
        <f>'Planzahlen Rentabilität'!AM49</f>
        <v>250</v>
      </c>
      <c r="AN18" s="1175">
        <f>'Planzahlen Rentabilität'!AN49</f>
        <v>0</v>
      </c>
      <c r="AO18" s="1169">
        <f t="shared" si="7"/>
        <v>-250</v>
      </c>
      <c r="AP18" s="1176"/>
      <c r="AQ18" s="1176"/>
      <c r="AR18" s="1176"/>
      <c r="AS18" s="1173">
        <f t="shared" ref="AS18:AS35" ca="1" si="31">AE18+AL18</f>
        <v>464.98</v>
      </c>
      <c r="AT18" s="1174">
        <f t="shared" ref="AT18:AT35" si="32">AF18+AM18</f>
        <v>750</v>
      </c>
      <c r="AU18" s="1175">
        <f t="shared" ref="AU18:AU35" ca="1" si="33">AG18+AN18</f>
        <v>464.98</v>
      </c>
      <c r="AV18" s="1169">
        <f t="shared" ca="1" si="8"/>
        <v>-285.02</v>
      </c>
      <c r="AW18" s="1176"/>
      <c r="AX18" s="1176"/>
      <c r="AY18" s="1176"/>
      <c r="AZ18" s="1173">
        <f ca="1">'Planzahlen Rentabilität'!AZ49</f>
        <v>346.14</v>
      </c>
      <c r="BA18" s="1174">
        <f>'Planzahlen Rentabilität'!BA49</f>
        <v>250</v>
      </c>
      <c r="BB18" s="1175">
        <f ca="1">'Planzahlen Rentabilität'!BB49</f>
        <v>346.14</v>
      </c>
      <c r="BC18" s="1169">
        <f t="shared" ca="1" si="9"/>
        <v>96.139999999999986</v>
      </c>
      <c r="BD18" s="1176"/>
      <c r="BE18" s="1176"/>
      <c r="BF18" s="1176"/>
      <c r="BG18" s="1173">
        <f t="shared" ref="BG18:BG35" ca="1" si="34">AS18+AZ18</f>
        <v>811.12</v>
      </c>
      <c r="BH18" s="1174">
        <f t="shared" ref="BH18:BH35" si="35">AT18+BA18</f>
        <v>1000</v>
      </c>
      <c r="BI18" s="1175">
        <f t="shared" ref="BI18:BI35" ca="1" si="36">AU18+BB18</f>
        <v>811.12</v>
      </c>
      <c r="BJ18" s="1169">
        <f t="shared" ca="1" si="10"/>
        <v>-188.88</v>
      </c>
      <c r="BK18" s="1176"/>
      <c r="BL18" s="1176"/>
      <c r="BM18" s="1176"/>
      <c r="BN18" s="1173">
        <f ca="1">'Planzahlen Rentabilität'!BN49</f>
        <v>740.75</v>
      </c>
      <c r="BO18" s="1174">
        <f>'Planzahlen Rentabilität'!BO49</f>
        <v>250</v>
      </c>
      <c r="BP18" s="1175">
        <f ca="1">'Planzahlen Rentabilität'!BP49</f>
        <v>740.75</v>
      </c>
      <c r="BQ18" s="1169">
        <f t="shared" ca="1" si="11"/>
        <v>490.75</v>
      </c>
      <c r="BR18" s="1176"/>
      <c r="BS18" s="1176"/>
      <c r="BT18" s="1176"/>
      <c r="BU18" s="1173">
        <f t="shared" ref="BU18:BU35" ca="1" si="37">BG18+BN18</f>
        <v>1551.87</v>
      </c>
      <c r="BV18" s="1174">
        <f t="shared" ref="BV18:BV35" si="38">BH18+BO18</f>
        <v>1250</v>
      </c>
      <c r="BW18" s="1175">
        <f t="shared" ref="BW18:BW35" ca="1" si="39">BI18+BP18</f>
        <v>1551.87</v>
      </c>
      <c r="BX18" s="1169">
        <f t="shared" ca="1" si="12"/>
        <v>301.86999999999989</v>
      </c>
      <c r="BY18" s="1176"/>
      <c r="BZ18" s="1176"/>
      <c r="CA18" s="1176"/>
      <c r="CB18" s="1173">
        <f>'Planzahlen Rentabilität'!CB49</f>
        <v>0</v>
      </c>
      <c r="CC18" s="1174">
        <f>'Planzahlen Rentabilität'!CC49</f>
        <v>250</v>
      </c>
      <c r="CD18" s="1175">
        <f>'Planzahlen Rentabilität'!CD49</f>
        <v>0</v>
      </c>
      <c r="CE18" s="1169">
        <f t="shared" si="13"/>
        <v>-250</v>
      </c>
      <c r="CF18" s="1176"/>
      <c r="CG18" s="1176"/>
      <c r="CH18" s="1176"/>
      <c r="CI18" s="1173">
        <f t="shared" ref="CI18:CI35" ca="1" si="40">BU18+CB18</f>
        <v>1551.87</v>
      </c>
      <c r="CJ18" s="1174">
        <f t="shared" ref="CJ18:CJ35" si="41">BV18+CC18</f>
        <v>1500</v>
      </c>
      <c r="CK18" s="1175">
        <f t="shared" ref="CK18:CK35" ca="1" si="42">BW18+CD18</f>
        <v>1551.87</v>
      </c>
      <c r="CL18" s="1169">
        <f t="shared" ca="1" si="0"/>
        <v>51.869999999999891</v>
      </c>
      <c r="CM18" s="1176"/>
      <c r="CN18" s="1176"/>
      <c r="CO18" s="1176"/>
      <c r="CP18" s="1173">
        <f ca="1">'Planzahlen Rentabilität'!CP49</f>
        <v>687.79</v>
      </c>
      <c r="CQ18" s="1174">
        <f>'Planzahlen Rentabilität'!CQ49</f>
        <v>250</v>
      </c>
      <c r="CR18" s="1175">
        <f ca="1">'Planzahlen Rentabilität'!CR49</f>
        <v>687.79</v>
      </c>
      <c r="CS18" s="1169">
        <f t="shared" ca="1" si="1"/>
        <v>437.78999999999996</v>
      </c>
      <c r="CT18" s="1176"/>
      <c r="CU18" s="1176"/>
      <c r="CV18" s="1176"/>
      <c r="CW18" s="1173">
        <f t="shared" ref="CW18:CW35" ca="1" si="43">CI18+CP18</f>
        <v>2239.66</v>
      </c>
      <c r="CX18" s="1174">
        <f t="shared" ref="CX18:CX35" si="44">CJ18+CQ18</f>
        <v>1750</v>
      </c>
      <c r="CY18" s="1175">
        <f t="shared" ref="CY18:CY35" ca="1" si="45">CK18+CR18</f>
        <v>2239.66</v>
      </c>
      <c r="CZ18" s="1169">
        <f t="shared" ca="1" si="14"/>
        <v>489.65999999999985</v>
      </c>
      <c r="DA18" s="1176"/>
      <c r="DB18" s="1176"/>
      <c r="DC18" s="1176"/>
      <c r="DD18" s="1173">
        <f ca="1">'Planzahlen Rentabilität'!DD49</f>
        <v>324.77999999999997</v>
      </c>
      <c r="DE18" s="1174">
        <f>'Planzahlen Rentabilität'!DE49</f>
        <v>250</v>
      </c>
      <c r="DF18" s="1175">
        <f ca="1">'Planzahlen Rentabilität'!DF49</f>
        <v>324.77999999999997</v>
      </c>
      <c r="DG18" s="1169">
        <f t="shared" ca="1" si="15"/>
        <v>74.779999999999973</v>
      </c>
      <c r="DH18" s="1176"/>
      <c r="DI18" s="1176"/>
      <c r="DJ18" s="1176"/>
      <c r="DK18" s="1173">
        <f t="shared" ref="DK18:DK35" ca="1" si="46">CW18+DD18</f>
        <v>2564.4399999999996</v>
      </c>
      <c r="DL18" s="1174">
        <f t="shared" ref="DL18:DL35" si="47">CX18+DE18</f>
        <v>2000</v>
      </c>
      <c r="DM18" s="1175">
        <f t="shared" ref="DM18:DM35" ca="1" si="48">CY18+DF18</f>
        <v>2564.4399999999996</v>
      </c>
      <c r="DN18" s="1169">
        <f t="shared" ca="1" si="16"/>
        <v>564.4399999999996</v>
      </c>
      <c r="DO18" s="1176"/>
      <c r="DP18" s="1176"/>
      <c r="DQ18" s="1176"/>
      <c r="DR18" s="1173">
        <f ca="1">'Planzahlen Rentabilität'!DR49</f>
        <v>272.60000000000002</v>
      </c>
      <c r="DS18" s="1174">
        <f>'Planzahlen Rentabilität'!DS49</f>
        <v>250</v>
      </c>
      <c r="DT18" s="1175">
        <f ca="1">'Planzahlen Rentabilität'!DT49</f>
        <v>272.60000000000002</v>
      </c>
      <c r="DU18" s="1169">
        <f t="shared" ca="1" si="17"/>
        <v>22.600000000000023</v>
      </c>
      <c r="DV18" s="1176"/>
      <c r="DW18" s="1176"/>
      <c r="DX18" s="1176"/>
      <c r="DY18" s="1173">
        <f t="shared" ref="DY18:DY35" ca="1" si="49">DK18+DR18</f>
        <v>2837.0399999999995</v>
      </c>
      <c r="DZ18" s="1174">
        <f t="shared" ref="DZ18:DZ35" si="50">DL18+DS18</f>
        <v>2250</v>
      </c>
      <c r="EA18" s="1175">
        <f t="shared" ref="EA18:EA35" ca="1" si="51">DM18+DT18</f>
        <v>2837.0399999999995</v>
      </c>
      <c r="EB18" s="1169">
        <f t="shared" ca="1" si="18"/>
        <v>587.03999999999951</v>
      </c>
      <c r="EC18" s="1176"/>
      <c r="ED18" s="1176"/>
      <c r="EE18" s="1176"/>
      <c r="EF18" s="1173">
        <f ca="1">'Planzahlen Rentabilität'!EF49</f>
        <v>272.66000000000003</v>
      </c>
      <c r="EG18" s="1174">
        <f>'Planzahlen Rentabilität'!EG49</f>
        <v>250</v>
      </c>
      <c r="EH18" s="1175">
        <f ca="1">'Planzahlen Rentabilität'!EH49</f>
        <v>272.66000000000003</v>
      </c>
      <c r="EI18" s="1169">
        <f t="shared" ca="1" si="19"/>
        <v>22.660000000000025</v>
      </c>
      <c r="EJ18" s="1176"/>
      <c r="EK18" s="1176"/>
      <c r="EL18" s="1176"/>
      <c r="EM18" s="1173">
        <f t="shared" ref="EM18:EM35" ca="1" si="52">DY18+EF18</f>
        <v>3109.6999999999994</v>
      </c>
      <c r="EN18" s="1174">
        <f t="shared" ref="EN18:EN35" si="53">DZ18+EG18</f>
        <v>2500</v>
      </c>
      <c r="EO18" s="1175">
        <f t="shared" ref="EO18:EO35" ca="1" si="54">EA18+EH18</f>
        <v>3109.6999999999994</v>
      </c>
      <c r="EP18" s="1169">
        <f t="shared" ca="1" si="20"/>
        <v>609.69999999999936</v>
      </c>
      <c r="EQ18" s="1176"/>
      <c r="ER18" s="1176"/>
      <c r="ES18" s="1176"/>
      <c r="ET18" s="1173">
        <f ca="1">'Planzahlen Rentabilität'!ET49</f>
        <v>0</v>
      </c>
      <c r="EU18" s="1174">
        <f>'Planzahlen Rentabilität'!EU49</f>
        <v>250</v>
      </c>
      <c r="EV18" s="1175">
        <f ca="1">'Planzahlen Rentabilität'!EV49</f>
        <v>0</v>
      </c>
      <c r="EW18" s="1169">
        <f t="shared" ca="1" si="21"/>
        <v>-250</v>
      </c>
      <c r="EX18" s="1176"/>
      <c r="EY18" s="1176"/>
      <c r="EZ18" s="1176"/>
      <c r="FA18" s="1173">
        <f t="shared" ref="FA18:FA35" ca="1" si="55">EM18+ET18</f>
        <v>3109.6999999999994</v>
      </c>
      <c r="FB18" s="1174">
        <f t="shared" ref="FB18:FB35" si="56">EN18+EU18</f>
        <v>2750</v>
      </c>
      <c r="FC18" s="1175">
        <f t="shared" ref="FC18:FC35" ca="1" si="57">EO18+EV18</f>
        <v>3109.6999999999994</v>
      </c>
      <c r="FD18" s="1169">
        <f t="shared" ca="1" si="22"/>
        <v>359.69999999999936</v>
      </c>
      <c r="FE18" s="1176"/>
      <c r="FF18" s="1176"/>
      <c r="FG18" s="1176"/>
      <c r="FH18" s="1173">
        <f ca="1">'Planzahlen Rentabilität'!FH49</f>
        <v>0</v>
      </c>
      <c r="FI18" s="1174">
        <f>'Planzahlen Rentabilität'!FI49</f>
        <v>250</v>
      </c>
      <c r="FJ18" s="1175">
        <f ca="1">'Planzahlen Rentabilität'!FJ49</f>
        <v>0</v>
      </c>
      <c r="FK18" s="1169">
        <f t="shared" ca="1" si="23"/>
        <v>-250</v>
      </c>
      <c r="FL18" s="1176"/>
      <c r="FM18" s="1176"/>
      <c r="FN18" s="1176"/>
      <c r="FO18" s="1173">
        <f t="shared" ref="FO18:FO35" ca="1" si="58">FA18+FH18</f>
        <v>3109.6999999999994</v>
      </c>
      <c r="FP18" s="1174">
        <f t="shared" ref="FP18:FP35" si="59">FB18+FI18</f>
        <v>3000</v>
      </c>
      <c r="FQ18" s="1175">
        <f t="shared" ref="FQ18:FQ35" ca="1" si="60">FC18+FJ18</f>
        <v>3109.6999999999994</v>
      </c>
      <c r="FR18" s="1169">
        <f t="shared" ca="1" si="24"/>
        <v>109.69999999999936</v>
      </c>
      <c r="FS18" s="1176"/>
      <c r="FT18" s="1176"/>
      <c r="FU18" s="1176"/>
      <c r="FV18" s="1171"/>
      <c r="FW18" s="1169">
        <v>0</v>
      </c>
    </row>
    <row r="19" spans="1:179" s="883" customFormat="1" x14ac:dyDescent="0.2">
      <c r="A19" s="1172">
        <v>29.1</v>
      </c>
      <c r="B19" s="1172" t="str">
        <f>'Struktur Aktuell'!B393</f>
        <v>Veränderung der Rückstellungen</v>
      </c>
      <c r="C19" s="1173">
        <f ca="1">J19+X19+AL19+AZ19+BN19+CB19+CP19+DD19+DR19+EF19+ET19+FH19</f>
        <v>8665.369999999999</v>
      </c>
      <c r="D19" s="1174">
        <f>K19+Y19+AM19+BA19+BO19+CC19+CQ19+DE19+DS19+EG19+EU19+FI19</f>
        <v>0</v>
      </c>
      <c r="E19" s="1175">
        <f ca="1">L19+Z19+AN19+BB19+BP19+CD19+CR19+DF19+DT19+EH19+EV19+FJ19</f>
        <v>8665.369999999999</v>
      </c>
      <c r="F19" s="1169">
        <f t="shared" ca="1" si="2"/>
        <v>8665.369999999999</v>
      </c>
      <c r="G19" s="1176"/>
      <c r="H19" s="1176"/>
      <c r="I19" s="1176"/>
      <c r="J19" s="1173">
        <f ca="1">SUMIF('Struktur Vorjahr'!$A:$A,'Planzahlen Liquidität'!$A19,'Struktur Vorjahr'!G:G)</f>
        <v>232.46</v>
      </c>
      <c r="K19" s="1174"/>
      <c r="L19" s="1175">
        <f ca="1">SUMIF('Struktur Aktuell'!$A:$A,'Planzahlen Liquidität'!$A19,'Struktur Aktuell'!G:G)</f>
        <v>232.46</v>
      </c>
      <c r="M19" s="1169">
        <f t="shared" ca="1" si="3"/>
        <v>232.46</v>
      </c>
      <c r="N19" s="1176"/>
      <c r="O19" s="1176"/>
      <c r="P19" s="1176"/>
      <c r="Q19" s="1173">
        <f t="shared" ca="1" si="25"/>
        <v>232.46</v>
      </c>
      <c r="R19" s="1174">
        <f t="shared" si="26"/>
        <v>0</v>
      </c>
      <c r="S19" s="1177">
        <f t="shared" ca="1" si="27"/>
        <v>232.46</v>
      </c>
      <c r="T19" s="1169">
        <f t="shared" ca="1" si="4"/>
        <v>232.46</v>
      </c>
      <c r="U19" s="1176"/>
      <c r="V19" s="1176"/>
      <c r="W19" s="1176"/>
      <c r="X19" s="1173">
        <f ca="1">SUMIF('Struktur Vorjahr'!$A:$A,'Planzahlen Liquidität'!$A19,'Struktur Vorjahr'!H:H)</f>
        <v>232.51999999999998</v>
      </c>
      <c r="Y19" s="1174">
        <f>K19</f>
        <v>0</v>
      </c>
      <c r="Z19" s="1177">
        <f ca="1">SUMIF('Struktur Aktuell'!$A:$A,'Planzahlen Liquidität'!$A19,'Struktur Aktuell'!H:H)</f>
        <v>232.51999999999998</v>
      </c>
      <c r="AA19" s="1169">
        <f t="shared" ca="1" si="5"/>
        <v>232.51999999999998</v>
      </c>
      <c r="AB19" s="1176"/>
      <c r="AC19" s="1176"/>
      <c r="AD19" s="1176"/>
      <c r="AE19" s="1173">
        <f t="shared" ca="1" si="28"/>
        <v>464.98</v>
      </c>
      <c r="AF19" s="1174">
        <f t="shared" si="29"/>
        <v>0</v>
      </c>
      <c r="AG19" s="1177">
        <f t="shared" ca="1" si="30"/>
        <v>464.98</v>
      </c>
      <c r="AH19" s="1169">
        <f t="shared" ca="1" si="6"/>
        <v>464.98</v>
      </c>
      <c r="AI19" s="1176"/>
      <c r="AJ19" s="1176"/>
      <c r="AK19" s="1176"/>
      <c r="AL19" s="1173">
        <f ca="1">SUMIF('Struktur Vorjahr'!$A:$A,'Planzahlen Liquidität'!$A19,'Struktur Vorjahr'!I:I)</f>
        <v>400.51</v>
      </c>
      <c r="AM19" s="1174">
        <f>Y19</f>
        <v>0</v>
      </c>
      <c r="AN19" s="1177">
        <f ca="1">SUMIF('Struktur Aktuell'!$A:$A,'Planzahlen Liquidität'!$A19,'Struktur Aktuell'!I:I)</f>
        <v>400.51</v>
      </c>
      <c r="AO19" s="1169">
        <f t="shared" ca="1" si="7"/>
        <v>400.51</v>
      </c>
      <c r="AP19" s="1176"/>
      <c r="AQ19" s="1176"/>
      <c r="AR19" s="1176"/>
      <c r="AS19" s="1173">
        <f t="shared" ca="1" si="31"/>
        <v>865.49</v>
      </c>
      <c r="AT19" s="1174">
        <f t="shared" si="32"/>
        <v>0</v>
      </c>
      <c r="AU19" s="1177">
        <f t="shared" ca="1" si="33"/>
        <v>865.49</v>
      </c>
      <c r="AV19" s="1169">
        <f t="shared" ca="1" si="8"/>
        <v>865.49</v>
      </c>
      <c r="AW19" s="1176"/>
      <c r="AX19" s="1176"/>
      <c r="AY19" s="1176"/>
      <c r="AZ19" s="1173">
        <f ca="1">SUMIF('Struktur Vorjahr'!$A:$A,'Planzahlen Liquidität'!$A19,'Struktur Vorjahr'!J:J)</f>
        <v>346.14</v>
      </c>
      <c r="BA19" s="1174">
        <f>AM19</f>
        <v>0</v>
      </c>
      <c r="BB19" s="1177">
        <f ca="1">SUMIF('Struktur Aktuell'!$A:$A,'Planzahlen Liquidität'!$A19,'Struktur Aktuell'!J:J)</f>
        <v>346.14</v>
      </c>
      <c r="BC19" s="1169">
        <f t="shared" ca="1" si="9"/>
        <v>346.14</v>
      </c>
      <c r="BD19" s="1176"/>
      <c r="BE19" s="1176"/>
      <c r="BF19" s="1176"/>
      <c r="BG19" s="1173">
        <f t="shared" ca="1" si="34"/>
        <v>1211.6300000000001</v>
      </c>
      <c r="BH19" s="1174">
        <f t="shared" si="35"/>
        <v>0</v>
      </c>
      <c r="BI19" s="1177">
        <f t="shared" ca="1" si="36"/>
        <v>1211.6300000000001</v>
      </c>
      <c r="BJ19" s="1169">
        <f t="shared" ca="1" si="10"/>
        <v>1211.6300000000001</v>
      </c>
      <c r="BK19" s="1176"/>
      <c r="BL19" s="1176"/>
      <c r="BM19" s="1176"/>
      <c r="BN19" s="1173">
        <f ca="1">SUMIF('Struktur Vorjahr'!$A:$A,'Planzahlen Liquidität'!$A19,'Struktur Vorjahr'!K:K)</f>
        <v>740.75</v>
      </c>
      <c r="BO19" s="1174">
        <f>BA19</f>
        <v>0</v>
      </c>
      <c r="BP19" s="1177">
        <f ca="1">SUMIF('Struktur Aktuell'!$A:$A,'Planzahlen Liquidität'!$A19,'Struktur Aktuell'!K:K)</f>
        <v>740.75</v>
      </c>
      <c r="BQ19" s="1169">
        <f t="shared" ca="1" si="11"/>
        <v>740.75</v>
      </c>
      <c r="BR19" s="1176"/>
      <c r="BS19" s="1176"/>
      <c r="BT19" s="1176"/>
      <c r="BU19" s="1173">
        <f t="shared" ca="1" si="37"/>
        <v>1952.38</v>
      </c>
      <c r="BV19" s="1174">
        <f t="shared" si="38"/>
        <v>0</v>
      </c>
      <c r="BW19" s="1177">
        <f t="shared" ca="1" si="39"/>
        <v>1952.38</v>
      </c>
      <c r="BX19" s="1169">
        <f t="shared" ca="1" si="12"/>
        <v>1952.38</v>
      </c>
      <c r="BY19" s="1176"/>
      <c r="BZ19" s="1176"/>
      <c r="CA19" s="1176"/>
      <c r="CB19" s="1173">
        <f ca="1">SUMIF('Struktur Vorjahr'!$A:$A,'Planzahlen Liquidität'!$A19,'Struktur Vorjahr'!L:L)</f>
        <v>651.68000000000006</v>
      </c>
      <c r="CC19" s="1174">
        <f>BO19</f>
        <v>0</v>
      </c>
      <c r="CD19" s="1177">
        <f ca="1">SUMIF('Struktur Aktuell'!$A:$A,'Planzahlen Liquidität'!$A19,'Struktur Aktuell'!L:L)</f>
        <v>651.68000000000006</v>
      </c>
      <c r="CE19" s="1169">
        <f t="shared" ca="1" si="13"/>
        <v>651.68000000000006</v>
      </c>
      <c r="CF19" s="1176"/>
      <c r="CG19" s="1176"/>
      <c r="CH19" s="1176"/>
      <c r="CI19" s="1173">
        <f t="shared" ca="1" si="40"/>
        <v>2604.0600000000004</v>
      </c>
      <c r="CJ19" s="1174">
        <f t="shared" si="41"/>
        <v>0</v>
      </c>
      <c r="CK19" s="1177">
        <f t="shared" ca="1" si="42"/>
        <v>2604.0600000000004</v>
      </c>
      <c r="CL19" s="1169">
        <f t="shared" ca="1" si="0"/>
        <v>2604.0600000000004</v>
      </c>
      <c r="CM19" s="1176"/>
      <c r="CN19" s="1176"/>
      <c r="CO19" s="1176"/>
      <c r="CP19" s="1173">
        <f ca="1">SUMIF('Struktur Vorjahr'!$A:$A,'Planzahlen Liquidität'!$A19,'Struktur Vorjahr'!M:M)</f>
        <v>687.79</v>
      </c>
      <c r="CQ19" s="1174">
        <f>CC19</f>
        <v>0</v>
      </c>
      <c r="CR19" s="1177">
        <f ca="1">SUMIF('Struktur Aktuell'!$A:$A,'Planzahlen Liquidität'!$A19,'Struktur Aktuell'!M:M)</f>
        <v>687.79</v>
      </c>
      <c r="CS19" s="1169">
        <f t="shared" ca="1" si="1"/>
        <v>687.79</v>
      </c>
      <c r="CT19" s="1176"/>
      <c r="CU19" s="1176"/>
      <c r="CV19" s="1176"/>
      <c r="CW19" s="1173">
        <f t="shared" ca="1" si="43"/>
        <v>3291.8500000000004</v>
      </c>
      <c r="CX19" s="1174">
        <f t="shared" si="44"/>
        <v>0</v>
      </c>
      <c r="CY19" s="1177">
        <f t="shared" ca="1" si="45"/>
        <v>3291.8500000000004</v>
      </c>
      <c r="CZ19" s="1169">
        <f t="shared" ca="1" si="14"/>
        <v>3291.8500000000004</v>
      </c>
      <c r="DA19" s="1176"/>
      <c r="DB19" s="1176"/>
      <c r="DC19" s="1176"/>
      <c r="DD19" s="1173">
        <f ca="1">SUMIF('Struktur Vorjahr'!$A:$A,'Planzahlen Liquidität'!$A19,'Struktur Vorjahr'!N:N)</f>
        <v>324.77999999999997</v>
      </c>
      <c r="DE19" s="1174">
        <f>CQ19</f>
        <v>0</v>
      </c>
      <c r="DF19" s="1177">
        <f ca="1">SUMIF('Struktur Aktuell'!$A:$A,'Planzahlen Liquidität'!$A19,'Struktur Aktuell'!N:N)</f>
        <v>324.77999999999997</v>
      </c>
      <c r="DG19" s="1169">
        <f t="shared" ca="1" si="15"/>
        <v>324.77999999999997</v>
      </c>
      <c r="DH19" s="1176"/>
      <c r="DI19" s="1176"/>
      <c r="DJ19" s="1176"/>
      <c r="DK19" s="1173">
        <f t="shared" ca="1" si="46"/>
        <v>3616.63</v>
      </c>
      <c r="DL19" s="1174">
        <f t="shared" si="47"/>
        <v>0</v>
      </c>
      <c r="DM19" s="1177">
        <f t="shared" ca="1" si="48"/>
        <v>3616.63</v>
      </c>
      <c r="DN19" s="1169">
        <f t="shared" ca="1" si="16"/>
        <v>3616.63</v>
      </c>
      <c r="DO19" s="1176"/>
      <c r="DP19" s="1176"/>
      <c r="DQ19" s="1176"/>
      <c r="DR19" s="1173">
        <f ca="1">SUMIF('Struktur Vorjahr'!$A:$A,'Planzahlen Liquidität'!$A19,'Struktur Vorjahr'!O:O)</f>
        <v>272.60000000000002</v>
      </c>
      <c r="DS19" s="1174">
        <f>DE19</f>
        <v>0</v>
      </c>
      <c r="DT19" s="1177">
        <f ca="1">SUMIF('Struktur Aktuell'!$A:$A,'Planzahlen Liquidität'!$A19,'Struktur Aktuell'!O:O)</f>
        <v>272.60000000000002</v>
      </c>
      <c r="DU19" s="1169">
        <f t="shared" ca="1" si="17"/>
        <v>272.60000000000002</v>
      </c>
      <c r="DV19" s="1176"/>
      <c r="DW19" s="1176"/>
      <c r="DX19" s="1176"/>
      <c r="DY19" s="1173">
        <f t="shared" ca="1" si="49"/>
        <v>3889.23</v>
      </c>
      <c r="DZ19" s="1174">
        <f t="shared" si="50"/>
        <v>0</v>
      </c>
      <c r="EA19" s="1177">
        <f t="shared" ca="1" si="51"/>
        <v>3889.23</v>
      </c>
      <c r="EB19" s="1169">
        <f t="shared" ca="1" si="18"/>
        <v>3889.23</v>
      </c>
      <c r="EC19" s="1176"/>
      <c r="ED19" s="1176"/>
      <c r="EE19" s="1176"/>
      <c r="EF19" s="1173">
        <f ca="1">SUMIF('Struktur Vorjahr'!$A:$A,'Planzahlen Liquidität'!$A19,'Struktur Vorjahr'!P:P)</f>
        <v>272.66000000000003</v>
      </c>
      <c r="EG19" s="1174">
        <f>DS19</f>
        <v>0</v>
      </c>
      <c r="EH19" s="1177">
        <f ca="1">SUMIF('Struktur Aktuell'!$A:$A,'Planzahlen Liquidität'!$A19,'Struktur Aktuell'!P:P)</f>
        <v>272.66000000000003</v>
      </c>
      <c r="EI19" s="1169">
        <f t="shared" ca="1" si="19"/>
        <v>272.66000000000003</v>
      </c>
      <c r="EJ19" s="1176"/>
      <c r="EK19" s="1176"/>
      <c r="EL19" s="1176"/>
      <c r="EM19" s="1173">
        <f t="shared" ca="1" si="52"/>
        <v>4161.8900000000003</v>
      </c>
      <c r="EN19" s="1174">
        <f t="shared" si="53"/>
        <v>0</v>
      </c>
      <c r="EO19" s="1177">
        <f t="shared" ca="1" si="54"/>
        <v>4161.8900000000003</v>
      </c>
      <c r="EP19" s="1169">
        <f t="shared" ca="1" si="20"/>
        <v>4161.8900000000003</v>
      </c>
      <c r="EQ19" s="1176"/>
      <c r="ER19" s="1176"/>
      <c r="ES19" s="1176"/>
      <c r="ET19" s="1173">
        <f ca="1">SUMIF('Struktur Vorjahr'!$A:$A,'Planzahlen Liquidität'!$A19,'Struktur Vorjahr'!Y:Y)</f>
        <v>3291.85</v>
      </c>
      <c r="EU19" s="1174">
        <f>EG19</f>
        <v>0</v>
      </c>
      <c r="EV19" s="1177">
        <f ca="1">SUMIF('Struktur Aktuell'!$A:$A,'Planzahlen Liquidität'!$A19,'Struktur Aktuell'!Y:Y)</f>
        <v>3291.85</v>
      </c>
      <c r="EW19" s="1169">
        <f t="shared" ca="1" si="21"/>
        <v>3291.85</v>
      </c>
      <c r="EX19" s="1176"/>
      <c r="EY19" s="1176"/>
      <c r="EZ19" s="1176"/>
      <c r="FA19" s="1173">
        <f t="shared" ca="1" si="55"/>
        <v>7453.74</v>
      </c>
      <c r="FB19" s="1174">
        <f t="shared" si="56"/>
        <v>0</v>
      </c>
      <c r="FC19" s="1177">
        <f t="shared" ca="1" si="57"/>
        <v>7453.74</v>
      </c>
      <c r="FD19" s="1169">
        <f t="shared" ca="1" si="22"/>
        <v>7453.74</v>
      </c>
      <c r="FE19" s="1176"/>
      <c r="FF19" s="1176"/>
      <c r="FG19" s="1176"/>
      <c r="FH19" s="1178">
        <f ca="1">SUMIF('Struktur Vorjahr'!$A:$A,'Planzahlen Liquidität'!$A19,'Struktur Vorjahr'!AH:AH)</f>
        <v>1211.6299999999999</v>
      </c>
      <c r="FI19" s="1174">
        <f>EU19</f>
        <v>0</v>
      </c>
      <c r="FJ19" s="1177">
        <f ca="1">SUMIF('Struktur Aktuell'!$A:$A,'Planzahlen Liquidität'!$A19,'Struktur Aktuell'!AH:AH)</f>
        <v>1211.6299999999999</v>
      </c>
      <c r="FK19" s="1169">
        <f t="shared" ca="1" si="23"/>
        <v>1211.6299999999999</v>
      </c>
      <c r="FL19" s="1176"/>
      <c r="FM19" s="1176"/>
      <c r="FN19" s="1176"/>
      <c r="FO19" s="1173">
        <f t="shared" ca="1" si="58"/>
        <v>8665.369999999999</v>
      </c>
      <c r="FP19" s="1174">
        <f t="shared" si="59"/>
        <v>0</v>
      </c>
      <c r="FQ19" s="1177">
        <f t="shared" ca="1" si="60"/>
        <v>8665.369999999999</v>
      </c>
      <c r="FR19" s="1169">
        <f t="shared" ca="1" si="24"/>
        <v>8665.369999999999</v>
      </c>
      <c r="FS19" s="1176"/>
      <c r="FT19" s="1176"/>
      <c r="FU19" s="1176"/>
      <c r="FV19" s="1171"/>
      <c r="FW19" s="1169"/>
    </row>
    <row r="20" spans="1:179" s="883" customFormat="1" ht="16.5" customHeight="1" x14ac:dyDescent="0.2">
      <c r="A20" s="1179" t="s">
        <v>795</v>
      </c>
      <c r="B20" s="1167" t="str">
        <f>'Struktur Aktuell'!B398</f>
        <v>Cash Flow</v>
      </c>
      <c r="C20" s="1180">
        <f ca="1">C17+C18+C19</f>
        <v>-3391.2099999999846</v>
      </c>
      <c r="D20" s="1180">
        <f>D17+D18+D19</f>
        <v>181878.7933333331</v>
      </c>
      <c r="E20" s="1180">
        <f ca="1">E17+E18+E19</f>
        <v>1358.7900000000154</v>
      </c>
      <c r="F20" s="1181">
        <f t="shared" ca="1" si="2"/>
        <v>-180520.00333333309</v>
      </c>
      <c r="G20" s="1182">
        <f ca="1">C20/'Planzahlen Rentabilität'!C$15</f>
        <v>-2.2022869115757553E-2</v>
      </c>
      <c r="H20" s="1182">
        <f>D20/'Planzahlen Rentabilität'!D$15</f>
        <v>0.17586661715913104</v>
      </c>
      <c r="I20" s="1182">
        <f ca="1">E20/'Planzahlen Rentabilität'!E$15</f>
        <v>8.5709235900450348E-3</v>
      </c>
      <c r="J20" s="1180">
        <f ca="1">J17+J18+J19</f>
        <v>-13754.740000000003</v>
      </c>
      <c r="K20" s="1180">
        <f>K17+K18+K19</f>
        <v>-2615.6316111111137</v>
      </c>
      <c r="L20" s="1180">
        <f ca="1">L17+L18+L19</f>
        <v>-8833.7400000000034</v>
      </c>
      <c r="M20" s="1181">
        <f t="shared" ca="1" si="3"/>
        <v>-6218.1083888888897</v>
      </c>
      <c r="N20" s="1182">
        <f ca="1">J20/'Planzahlen Rentabilität'!J$15</f>
        <v>-1.2582354001227618</v>
      </c>
      <c r="O20" s="1182">
        <f>K20/'Planzahlen Rentabilität'!K$15</f>
        <v>-4.2152823752386159E-2</v>
      </c>
      <c r="P20" s="1182">
        <f ca="1">L20/'Planzahlen Rentabilität'!L$15</f>
        <v>-0.78930678525380726</v>
      </c>
      <c r="Q20" s="1180">
        <f t="shared" ca="1" si="25"/>
        <v>-13754.740000000003</v>
      </c>
      <c r="R20" s="1180">
        <f t="shared" si="26"/>
        <v>-2615.6316111111137</v>
      </c>
      <c r="S20" s="1180">
        <f t="shared" ca="1" si="27"/>
        <v>-8833.7400000000034</v>
      </c>
      <c r="T20" s="1181">
        <f t="shared" ca="1" si="4"/>
        <v>-6218.1083888888897</v>
      </c>
      <c r="U20" s="1182">
        <f ca="1">Q20/'Planzahlen Rentabilität'!Q$15</f>
        <v>-1.2582354001227618</v>
      </c>
      <c r="V20" s="1182">
        <f>R20/'Planzahlen Rentabilität'!R$15</f>
        <v>-4.2152823752386159E-2</v>
      </c>
      <c r="W20" s="1182">
        <f ca="1">S20/'Planzahlen Rentabilität'!S$15</f>
        <v>-0.78930678525380726</v>
      </c>
      <c r="X20" s="1180">
        <f ca="1">X17+X18+X19</f>
        <v>-2928.9399999999973</v>
      </c>
      <c r="Y20" s="1180">
        <f>Y17+Y18+Y19</f>
        <v>11815.372388888893</v>
      </c>
      <c r="Z20" s="1180">
        <f ca="1">Z17+Z18+Z19</f>
        <v>-9677.9399999999987</v>
      </c>
      <c r="AA20" s="1181">
        <f t="shared" ca="1" si="5"/>
        <v>-21493.312388888891</v>
      </c>
      <c r="AB20" s="1182">
        <f ca="1">X20/'Planzahlen Rentabilität'!$Y$15</f>
        <v>-3.5401513847605717E-2</v>
      </c>
      <c r="AC20" s="1182">
        <f>Y20/'Planzahlen Rentabilität'!$Y$15</f>
        <v>0.14281005047555387</v>
      </c>
      <c r="AD20" s="1182">
        <f ca="1">Z20/'Planzahlen Rentabilität'!$Z$15</f>
        <v>-0.81473399755022646</v>
      </c>
      <c r="AE20" s="1180">
        <f t="shared" ca="1" si="28"/>
        <v>-16683.68</v>
      </c>
      <c r="AF20" s="1180">
        <f t="shared" si="29"/>
        <v>9199.7407777777789</v>
      </c>
      <c r="AG20" s="1180">
        <f t="shared" ca="1" si="30"/>
        <v>-18511.68</v>
      </c>
      <c r="AH20" s="1181">
        <f t="shared" ca="1" si="6"/>
        <v>-27711.420777777777</v>
      </c>
      <c r="AI20" s="1182">
        <f ca="1">AE20/'Planzahlen Rentabilität'!$AF$15</f>
        <v>-0.11522989371074725</v>
      </c>
      <c r="AJ20" s="1182">
        <f>AF20/'Planzahlen Rentabilität'!$AF$15</f>
        <v>6.3540247235008146E-2</v>
      </c>
      <c r="AK20" s="1182">
        <f ca="1">AG20/'Planzahlen Rentabilität'!$AG$15</f>
        <v>-0.80239891601453284</v>
      </c>
      <c r="AL20" s="1180">
        <f ca="1">AL17+AL18+AL19</f>
        <v>-1647.24</v>
      </c>
      <c r="AM20" s="1180">
        <f>AM17+AM18+AM19</f>
        <v>26246.376388888893</v>
      </c>
      <c r="AN20" s="1180">
        <f ca="1">AN17+AN18+AN19</f>
        <v>681.76000000000022</v>
      </c>
      <c r="AO20" s="1181">
        <f t="shared" ca="1" si="7"/>
        <v>-25564.616388888891</v>
      </c>
      <c r="AP20" s="1182">
        <f ca="1">AL20/'Planzahlen Rentabilität'!$AM$15</f>
        <v>-1.5927889180476239E-2</v>
      </c>
      <c r="AQ20" s="1182">
        <f>AM20/'Planzahlen Rentabilität'!$AM$15</f>
        <v>0.25378777501231781</v>
      </c>
      <c r="AR20" s="1182">
        <f ca="1">AN20/'Planzahlen Rentabilität'!$AN$15</f>
        <v>2.1305000000000005</v>
      </c>
      <c r="AS20" s="1180">
        <f t="shared" ca="1" si="31"/>
        <v>-18330.920000000002</v>
      </c>
      <c r="AT20" s="1180">
        <f t="shared" si="32"/>
        <v>35446.117166666671</v>
      </c>
      <c r="AU20" s="1180">
        <f t="shared" ca="1" si="33"/>
        <v>-17829.919999999998</v>
      </c>
      <c r="AV20" s="1181">
        <f t="shared" ca="1" si="8"/>
        <v>-53276.037166666669</v>
      </c>
      <c r="AW20" s="1182">
        <f ca="1">AS20/'Planzahlen Rentabilität'!$AT$15</f>
        <v>-7.3854058489801006E-2</v>
      </c>
      <c r="AX20" s="1182">
        <f>AT20/'Planzahlen Rentabilität'!$AT$15</f>
        <v>0.14281005047555384</v>
      </c>
      <c r="AY20" s="1182">
        <f ca="1">AU20/'Planzahlen Rentabilität'!$AU$15</f>
        <v>-0.76227446963329415</v>
      </c>
      <c r="AZ20" s="1180">
        <f ca="1">AZ17+AZ18+AZ19</f>
        <v>-9063.5000000000036</v>
      </c>
      <c r="BA20" s="1180">
        <f>BA17+BA18+BA19</f>
        <v>4599.8703888888931</v>
      </c>
      <c r="BB20" s="1180">
        <f ca="1">BB17+BB18+BB19</f>
        <v>-14467.500000000004</v>
      </c>
      <c r="BC20" s="1181">
        <f t="shared" ca="1" si="9"/>
        <v>-19067.370388888896</v>
      </c>
      <c r="BD20" s="1182">
        <f ca="1">AZ20/'Planzahlen Rentabilität'!$BA$15</f>
        <v>-0.12519853433383499</v>
      </c>
      <c r="BE20" s="1182">
        <f>BA20/'Planzahlen Rentabilität'!$BA$15</f>
        <v>6.3540247235008188E-2</v>
      </c>
      <c r="BF20" s="1182">
        <f ca="1">BB20/'Planzahlen Rentabilität'!$BB$15</f>
        <v>-1.114924928002861</v>
      </c>
      <c r="BG20" s="1180">
        <f t="shared" ca="1" si="34"/>
        <v>-27394.420000000006</v>
      </c>
      <c r="BH20" s="1180">
        <f t="shared" si="35"/>
        <v>40045.987555555563</v>
      </c>
      <c r="BI20" s="1180">
        <f t="shared" ca="1" si="36"/>
        <v>-32297.420000000002</v>
      </c>
      <c r="BJ20" s="1181">
        <f t="shared" ca="1" si="10"/>
        <v>-72343.407555555561</v>
      </c>
      <c r="BK20" s="1182">
        <f ca="1">BG20/'Planzahlen Rentabilität'!$BH$15</f>
        <v>-8.544797239006674E-2</v>
      </c>
      <c r="BL20" s="1182">
        <f>BH20/'Planzahlen Rentabilität'!$BH$15</f>
        <v>0.1249104174857532</v>
      </c>
      <c r="BM20" s="1182">
        <f ca="1">BI20/'Planzahlen Rentabilität'!$BI$15</f>
        <v>-0.88810593667876281</v>
      </c>
      <c r="BN20" s="1180">
        <f ca="1">BN17+BN18+BN19</f>
        <v>-25103.519999999997</v>
      </c>
      <c r="BO20" s="1180">
        <f>BO17+BO18+BO19</f>
        <v>9126.1619722222276</v>
      </c>
      <c r="BP20" s="1180">
        <f ca="1">BP17+BP18+BP19</f>
        <v>-15414.519999999997</v>
      </c>
      <c r="BQ20" s="1181">
        <f t="shared" ca="1" si="11"/>
        <v>-24540.681972222224</v>
      </c>
      <c r="BR20" s="1182">
        <f ca="1">BN20/'Planzahlen Rentabilität'!$BO$15</f>
        <v>-0.30342124144012772</v>
      </c>
      <c r="BS20" s="1182">
        <f>BO20/'Planzahlen Rentabilität'!$BO$15</f>
        <v>0.11030610030766017</v>
      </c>
      <c r="BT20" s="1182">
        <f ca="1">BP20/'Planzahlen Rentabilität'!$BP$15</f>
        <v>-1.9868911371455156</v>
      </c>
      <c r="BU20" s="1180">
        <f t="shared" ca="1" si="37"/>
        <v>-52497.94</v>
      </c>
      <c r="BV20" s="1180">
        <f t="shared" si="38"/>
        <v>49172.149527777787</v>
      </c>
      <c r="BW20" s="1180">
        <f t="shared" ca="1" si="39"/>
        <v>-47711.94</v>
      </c>
      <c r="BX20" s="1181">
        <f t="shared" ca="1" si="12"/>
        <v>-96884.089527777789</v>
      </c>
      <c r="BY20" s="1182">
        <f ca="1">BU20/'Planzahlen Rentabilität'!$BV$15</f>
        <v>-0.1301604378362331</v>
      </c>
      <c r="BZ20" s="1182">
        <f>BV20/'Planzahlen Rentabilität'!$BV$15</f>
        <v>0.12191466011588795</v>
      </c>
      <c r="CA20" s="1182">
        <f ca="1">BW20/'Planzahlen Rentabilität'!$BW$15</f>
        <v>-1.0812967963097346</v>
      </c>
      <c r="CB20" s="1180">
        <f ca="1">CB17+CB18+CB19</f>
        <v>5096.9500000000007</v>
      </c>
      <c r="CC20" s="1180">
        <f>CC17+CC18+CC19</f>
        <v>15241.361972222225</v>
      </c>
      <c r="CD20" s="1180">
        <f ca="1">CD17+CD18+CD19</f>
        <v>798.95</v>
      </c>
      <c r="CE20" s="1181">
        <f t="shared" ca="1" si="13"/>
        <v>-14442.411972222224</v>
      </c>
      <c r="CF20" s="1182">
        <f ca="1">CB20/'Planzahlen Rentabilität'!$CC$15</f>
        <v>6.160581848913059E-2</v>
      </c>
      <c r="CG20" s="1182">
        <f>CC20/'Planzahlen Rentabilität'!$CC$15</f>
        <v>0.18421930354189459</v>
      </c>
      <c r="CH20" s="1182" t="e">
        <f ca="1">CD20/'Planzahlen Rentabilität'!$CD$15</f>
        <v>#DIV/0!</v>
      </c>
      <c r="CI20" s="1180">
        <f t="shared" ca="1" si="40"/>
        <v>-47400.990000000005</v>
      </c>
      <c r="CJ20" s="1180">
        <f t="shared" si="41"/>
        <v>64413.511500000008</v>
      </c>
      <c r="CK20" s="1180">
        <f t="shared" ca="1" si="42"/>
        <v>-46912.990000000005</v>
      </c>
      <c r="CL20" s="1181">
        <f t="shared" ca="1" si="0"/>
        <v>-111326.50150000001</v>
      </c>
      <c r="CM20" s="1182">
        <f ca="1">CI20/'Planzahlen Rentabilität'!$CJ$15</f>
        <v>-9.7519372929788226E-2</v>
      </c>
      <c r="CN20" s="1182">
        <f>CJ20/'Planzahlen Rentabilität'!$CJ$15</f>
        <v>0.132519705805421</v>
      </c>
      <c r="CO20" s="1182">
        <f ca="1">CK20/'Planzahlen Rentabilität'!$CK$15</f>
        <v>-1.0631901740384193</v>
      </c>
      <c r="CP20" s="1180">
        <f ca="1">CP17+CP18+CP19</f>
        <v>25348.910000000007</v>
      </c>
      <c r="CQ20" s="1180">
        <f>CQ17+CQ18+CQ19</f>
        <v>15241.361972222225</v>
      </c>
      <c r="CR20" s="1180">
        <f ca="1">CR17+CR18+CR19</f>
        <v>23605.910000000007</v>
      </c>
      <c r="CS20" s="1181">
        <f t="shared" ca="1" si="1"/>
        <v>8364.5480277777824</v>
      </c>
      <c r="CT20" s="1182">
        <f ca="1">CP20/'Planzahlen Rentabilität'!$CQ$15</f>
        <v>0.30638722144759267</v>
      </c>
      <c r="CU20" s="1182">
        <f>CQ20/'Planzahlen Rentabilität'!$CQ$15</f>
        <v>0.18421930354189459</v>
      </c>
      <c r="CV20" s="1182">
        <f ca="1">CR20/'Planzahlen Rentabilität'!$CR$15</f>
        <v>0.45775938666291255</v>
      </c>
      <c r="CW20" s="1180">
        <f t="shared" ca="1" si="43"/>
        <v>-22052.079999999998</v>
      </c>
      <c r="CX20" s="1180">
        <f t="shared" si="44"/>
        <v>79654.873472222229</v>
      </c>
      <c r="CY20" s="1180">
        <f t="shared" ca="1" si="45"/>
        <v>-23307.079999999998</v>
      </c>
      <c r="CZ20" s="1181">
        <f t="shared" ca="1" si="14"/>
        <v>-102961.95347222223</v>
      </c>
      <c r="DA20" s="1182">
        <f ca="1">CW20/'Planzahlen Rentabilität'!$CX$15</f>
        <v>-3.8769322838532821E-2</v>
      </c>
      <c r="DB20" s="1182">
        <f>CX20/'Planzahlen Rentabilität'!$CX$15</f>
        <v>0.14003964729436261</v>
      </c>
      <c r="DC20" s="1182">
        <f ca="1">CY20/'Planzahlen Rentabilität'!$CY$15</f>
        <v>-0.24356066559434988</v>
      </c>
      <c r="DD20" s="1180">
        <f ca="1">DD17+DD18+DD19</f>
        <v>1793.370000000001</v>
      </c>
      <c r="DE20" s="1180">
        <f>DE17+DE18+DE19</f>
        <v>6013.7799722222244</v>
      </c>
      <c r="DF20" s="1180">
        <f ca="1">DF17+DF18+DF19</f>
        <v>7201.3700000000008</v>
      </c>
      <c r="DG20" s="1181">
        <f t="shared" ca="1" si="15"/>
        <v>1187.5900277777764</v>
      </c>
      <c r="DH20" s="1182">
        <f ca="1">DD20/'Planzahlen Rentabilität'!$DE$15</f>
        <v>2.4772692173914018E-2</v>
      </c>
      <c r="DI20" s="1182">
        <f>DE20/'Planzahlen Rentabilität'!$DE$15</f>
        <v>8.3071268089412814E-2</v>
      </c>
      <c r="DJ20" s="1182">
        <f ca="1">DF20/'Planzahlen Rentabilität'!$DF$15</f>
        <v>0.37253520434583109</v>
      </c>
      <c r="DK20" s="1180">
        <f t="shared" ca="1" si="46"/>
        <v>-20258.709999999995</v>
      </c>
      <c r="DL20" s="1180">
        <f t="shared" si="47"/>
        <v>85668.653444444455</v>
      </c>
      <c r="DM20" s="1180">
        <f t="shared" ca="1" si="48"/>
        <v>-16105.709999999997</v>
      </c>
      <c r="DN20" s="1181">
        <f t="shared" ca="1" si="16"/>
        <v>-101774.36344444445</v>
      </c>
      <c r="DO20" s="1182">
        <f ca="1">DK20/'Planzahlen Rentabilität'!$DL$15</f>
        <v>-3.159522436938559E-2</v>
      </c>
      <c r="DP20" s="1182">
        <f>DL20/'Planzahlen Rentabilität'!$DL$15</f>
        <v>0.13360773351315858</v>
      </c>
      <c r="DQ20" s="1182">
        <f ca="1">DM20/'Planzahlen Rentabilität'!$DM$15</f>
        <v>-0.14002063746268922</v>
      </c>
      <c r="DR20" s="1180">
        <f ca="1">DR17+DR18+DR19</f>
        <v>-6832.6699999999983</v>
      </c>
      <c r="DS20" s="1180">
        <f>DS17+DS18+DS19</f>
        <v>27660.285972222227</v>
      </c>
      <c r="DT20" s="1180">
        <f ca="1">DT17+DT18+DT19</f>
        <v>-6832.6699999999983</v>
      </c>
      <c r="DU20" s="1181">
        <f t="shared" ca="1" si="17"/>
        <v>-34492.955972222226</v>
      </c>
      <c r="DV20" s="1182">
        <f ca="1">DR20/'Planzahlen Rentabilität'!$DS$15</f>
        <v>-6.6068096067825308E-2</v>
      </c>
      <c r="DW20" s="1182">
        <f>DS20/'Planzahlen Rentabilität'!$DS$15</f>
        <v>0.26745948961040111</v>
      </c>
      <c r="DX20" s="1182">
        <f ca="1">DT20/'Planzahlen Rentabilität'!$DT$15</f>
        <v>-0.62519340939473245</v>
      </c>
      <c r="DY20" s="1180">
        <f t="shared" ca="1" si="49"/>
        <v>-27091.379999999994</v>
      </c>
      <c r="DZ20" s="1180">
        <f t="shared" si="50"/>
        <v>113328.93941666669</v>
      </c>
      <c r="EA20" s="1180">
        <f t="shared" ca="1" si="51"/>
        <v>-22938.379999999997</v>
      </c>
      <c r="EB20" s="1181">
        <f t="shared" ca="1" si="18"/>
        <v>-136267.31941666669</v>
      </c>
      <c r="EC20" s="1182">
        <f ca="1">DY20/'Planzahlen Rentabilität'!$DZ$15</f>
        <v>-3.638312321639111E-2</v>
      </c>
      <c r="ED20" s="1182">
        <f>DZ20/'Planzahlen Rentabilität'!$DZ$15</f>
        <v>0.15219825519333116</v>
      </c>
      <c r="EE20" s="1182">
        <f ca="1">EA20/'Planzahlen Rentabilität'!$EA$15</f>
        <v>-0.18211897289713153</v>
      </c>
      <c r="EF20" s="1180">
        <f ca="1">EF17+EF18+EF19</f>
        <v>20043.689999999995</v>
      </c>
      <c r="EG20" s="1180">
        <f>EG17+EG18+EG19</f>
        <v>27660.285972222227</v>
      </c>
      <c r="EH20" s="1180">
        <f ca="1">EH17+EH18+EH19</f>
        <v>12131.69</v>
      </c>
      <c r="EI20" s="1181">
        <f t="shared" ca="1" si="19"/>
        <v>-15528.595972222227</v>
      </c>
      <c r="EJ20" s="1182">
        <f ca="1">EF20/'Planzahlen Rentabilität'!$EG$15</f>
        <v>0.19381126799241136</v>
      </c>
      <c r="EK20" s="1182">
        <f>EG20/'Planzahlen Rentabilität'!$EG$15</f>
        <v>0.26745948961040111</v>
      </c>
      <c r="EL20" s="1182">
        <f ca="1">EH20/'Planzahlen Rentabilität'!$EH$15</f>
        <v>0.37077156196248673</v>
      </c>
      <c r="EM20" s="1180">
        <f t="shared" ca="1" si="52"/>
        <v>-7047.6899999999987</v>
      </c>
      <c r="EN20" s="1180">
        <f t="shared" si="53"/>
        <v>140989.22538888891</v>
      </c>
      <c r="EO20" s="1180">
        <f t="shared" ca="1" si="54"/>
        <v>-10806.689999999997</v>
      </c>
      <c r="EP20" s="1181">
        <f t="shared" ca="1" si="20"/>
        <v>-151795.91538888891</v>
      </c>
      <c r="EQ20" s="1182">
        <f ca="1">EM20/'Planzahlen Rentabilität'!$EN$15</f>
        <v>-8.3106364836103199E-3</v>
      </c>
      <c r="ER20" s="1182">
        <f>EN20/'Planzahlen Rentabilität'!$EN$15</f>
        <v>0.16625450329297384</v>
      </c>
      <c r="ES20" s="1182">
        <f ca="1">EO20/'Planzahlen Rentabilität'!$EO$15</f>
        <v>-6.8106740888988909E-2</v>
      </c>
      <c r="ET20" s="1180">
        <f ca="1">ET17+ET18+ET19</f>
        <v>2975.85</v>
      </c>
      <c r="EU20" s="1180">
        <f>EU17+EU18+EU19</f>
        <v>20444.783972222212</v>
      </c>
      <c r="EV20" s="1180">
        <f ca="1">EV17+EV18+EV19</f>
        <v>10444.85</v>
      </c>
      <c r="EW20" s="1181">
        <f t="shared" ca="1" si="21"/>
        <v>-9999.9339722222121</v>
      </c>
      <c r="EX20" s="1182">
        <f ca="1">ET20/'Planzahlen Rentabilität'!$K$15</f>
        <v>4.7958007553766925E-2</v>
      </c>
      <c r="EY20" s="1182">
        <f>EU20/'Planzahlen Rentabilität'!$K$15</f>
        <v>0.32948270382410599</v>
      </c>
      <c r="EZ20" s="1182">
        <f ca="1">EV20/'Planzahlen Rentabilität'!$EV$15</f>
        <v>-61.440294117647063</v>
      </c>
      <c r="FA20" s="1180">
        <f t="shared" ca="1" si="55"/>
        <v>-4071.8399999999988</v>
      </c>
      <c r="FB20" s="1180">
        <f t="shared" si="56"/>
        <v>161434.00936111112</v>
      </c>
      <c r="FC20" s="1180">
        <f t="shared" ca="1" si="57"/>
        <v>-361.83999999999651</v>
      </c>
      <c r="FD20" s="1181">
        <f t="shared" ca="1" si="22"/>
        <v>-161795.84936111112</v>
      </c>
      <c r="FE20" s="1182">
        <f ca="1">FA20/'Planzahlen Rentabilität'!$FB$15</f>
        <v>-4.3266389706971952E-3</v>
      </c>
      <c r="FF20" s="1182">
        <f>FB20/'Planzahlen Rentabilität'!$FB$15</f>
        <v>0.1715358845381153</v>
      </c>
      <c r="FG20" s="1182">
        <f ca="1">FC20/'Planzahlen Rentabilität'!$FC$15</f>
        <v>-2.2828613039362353E-3</v>
      </c>
      <c r="FH20" s="1180">
        <f ca="1">FH17+FH18+FH19</f>
        <v>680.62999999999988</v>
      </c>
      <c r="FI20" s="1180">
        <f>FI17+FI18+FI19</f>
        <v>20444.783972222212</v>
      </c>
      <c r="FJ20" s="1180">
        <f ca="1">FJ17+FJ18+FJ19</f>
        <v>1720.6299999999999</v>
      </c>
      <c r="FK20" s="1181">
        <f t="shared" ca="1" si="23"/>
        <v>-18724.153972222211</v>
      </c>
      <c r="FL20" s="1182">
        <f ca="1">FH20/'Planzahlen Rentabilität'!$FI$15</f>
        <v>7.3125681024066806E-3</v>
      </c>
      <c r="FM20" s="1182">
        <f>FI20/'Planzahlen Rentabilität'!$FI$15</f>
        <v>0.21965513588273736</v>
      </c>
      <c r="FN20" s="1182">
        <f ca="1">FJ20/'Planzahlen Rentabilität'!$FJ$15</f>
        <v>53.769687499999996</v>
      </c>
      <c r="FO20" s="1180">
        <f t="shared" ca="1" si="58"/>
        <v>-3391.2099999999991</v>
      </c>
      <c r="FP20" s="1180">
        <f t="shared" si="59"/>
        <v>181878.79333333333</v>
      </c>
      <c r="FQ20" s="1180">
        <f t="shared" ca="1" si="60"/>
        <v>1358.7900000000034</v>
      </c>
      <c r="FR20" s="1181">
        <f t="shared" ca="1" si="24"/>
        <v>-180520.00333333333</v>
      </c>
      <c r="FS20" s="1182">
        <f ca="1">FO20/'Planzahlen Rentabilität'!$FP$15</f>
        <v>-3.2791103341178462E-3</v>
      </c>
      <c r="FT20" s="1182">
        <f>FP20/'Planzahlen Rentabilität'!$FP$15</f>
        <v>0.17586661715913127</v>
      </c>
      <c r="FU20" s="1182">
        <f ca="1">FQ20/'Planzahlen Rentabilität'!$FQ$15</f>
        <v>8.5709235900449585E-3</v>
      </c>
      <c r="FV20" s="1171"/>
      <c r="FW20" s="1183">
        <v>0</v>
      </c>
    </row>
    <row r="21" spans="1:179" s="883" customFormat="1" x14ac:dyDescent="0.2">
      <c r="A21" s="1184">
        <v>38</v>
      </c>
      <c r="B21" s="1184" t="str">
        <f>'Struktur Aktuell'!B399</f>
        <v>Investitionen - Deinvestitionen</v>
      </c>
      <c r="C21" s="1185">
        <f t="shared" ref="C21:E30" ca="1" si="61">J21+X21+AL21+AZ21+BN21+CB21+CP21+DD21+DR21+EF21+ET21+FH21</f>
        <v>6595.7200000000012</v>
      </c>
      <c r="D21" s="1186">
        <f t="shared" ref="D21:D30" si="62">K21+Y21+AM21+BA21+BO21+CC21+CQ21+DE21+DS21+EG21+EU21+FI21</f>
        <v>2169.9999999999995</v>
      </c>
      <c r="E21" s="1187">
        <f t="shared" ca="1" si="61"/>
        <v>6595.7200000000012</v>
      </c>
      <c r="F21" s="1188">
        <f t="shared" ca="1" si="2"/>
        <v>4425.7200000000012</v>
      </c>
      <c r="G21" s="1189"/>
      <c r="H21" s="1189"/>
      <c r="I21" s="1189"/>
      <c r="J21" s="1185">
        <f ca="1">SUMIF('Struktur Vorjahr'!$A:$A,'Planzahlen Liquidität'!$A21,'Struktur Vorjahr'!G:G)</f>
        <v>0</v>
      </c>
      <c r="K21" s="1186">
        <f>Monatsplanung!W132</f>
        <v>180.83333333333334</v>
      </c>
      <c r="L21" s="1187">
        <f ca="1">SUMIF('Struktur Aktuell'!$A:$A,'Planzahlen Liquidität'!$A21,'Struktur Aktuell'!G:G)</f>
        <v>0</v>
      </c>
      <c r="M21" s="1188">
        <f t="shared" ca="1" si="3"/>
        <v>-180.83333333333334</v>
      </c>
      <c r="N21" s="1189"/>
      <c r="O21" s="1189"/>
      <c r="P21" s="1189"/>
      <c r="Q21" s="1185">
        <f t="shared" ca="1" si="25"/>
        <v>0</v>
      </c>
      <c r="R21" s="1186">
        <f t="shared" si="26"/>
        <v>180.83333333333334</v>
      </c>
      <c r="S21" s="1175">
        <f t="shared" ca="1" si="27"/>
        <v>0</v>
      </c>
      <c r="T21" s="1188">
        <f t="shared" ca="1" si="4"/>
        <v>-180.83333333333334</v>
      </c>
      <c r="U21" s="1189"/>
      <c r="V21" s="1189"/>
      <c r="W21" s="1189"/>
      <c r="X21" s="1185">
        <f ca="1">SUMIF('Struktur Vorjahr'!$A:$A,'Planzahlen Liquidität'!$A21,'Struktur Vorjahr'!H:H)</f>
        <v>168.04999999999998</v>
      </c>
      <c r="Y21" s="1186">
        <f>Monatsplanung!X132</f>
        <v>180.83333333333334</v>
      </c>
      <c r="Z21" s="1175">
        <f ca="1">SUMIF('Struktur Aktuell'!$A:$A,'Planzahlen Liquidität'!$A21,'Struktur Aktuell'!H:H)</f>
        <v>168.04999999999998</v>
      </c>
      <c r="AA21" s="1188">
        <f t="shared" ca="1" si="5"/>
        <v>-12.78333333333336</v>
      </c>
      <c r="AB21" s="1189"/>
      <c r="AC21" s="1189"/>
      <c r="AD21" s="1189"/>
      <c r="AE21" s="1185">
        <f t="shared" ca="1" si="28"/>
        <v>168.04999999999998</v>
      </c>
      <c r="AF21" s="1186">
        <f t="shared" si="29"/>
        <v>361.66666666666669</v>
      </c>
      <c r="AG21" s="1175">
        <f t="shared" ca="1" si="30"/>
        <v>168.04999999999998</v>
      </c>
      <c r="AH21" s="1188">
        <f t="shared" ca="1" si="6"/>
        <v>-193.6166666666667</v>
      </c>
      <c r="AI21" s="1189"/>
      <c r="AJ21" s="1189"/>
      <c r="AK21" s="1189"/>
      <c r="AL21" s="1185">
        <f ca="1">SUMIF('Struktur Vorjahr'!$A:$A,'Planzahlen Liquidität'!$A21,'Struktur Vorjahr'!I:I)</f>
        <v>0</v>
      </c>
      <c r="AM21" s="1186">
        <f>Monatsplanung!Y132</f>
        <v>180.83333333333334</v>
      </c>
      <c r="AN21" s="1175">
        <f ca="1">SUMIF('Struktur Aktuell'!$A:$A,'Planzahlen Liquidität'!$A21,'Struktur Aktuell'!I:I)</f>
        <v>0</v>
      </c>
      <c r="AO21" s="1188">
        <f t="shared" ca="1" si="7"/>
        <v>-180.83333333333334</v>
      </c>
      <c r="AP21" s="1189"/>
      <c r="AQ21" s="1189"/>
      <c r="AR21" s="1189"/>
      <c r="AS21" s="1185">
        <f t="shared" ca="1" si="31"/>
        <v>168.04999999999998</v>
      </c>
      <c r="AT21" s="1186">
        <f t="shared" si="32"/>
        <v>542.5</v>
      </c>
      <c r="AU21" s="1175">
        <f t="shared" ca="1" si="33"/>
        <v>168.04999999999998</v>
      </c>
      <c r="AV21" s="1188">
        <f t="shared" ca="1" si="8"/>
        <v>-374.45000000000005</v>
      </c>
      <c r="AW21" s="1189"/>
      <c r="AX21" s="1189"/>
      <c r="AY21" s="1189"/>
      <c r="AZ21" s="1185">
        <f ca="1">SUMIF('Struktur Vorjahr'!$A:$A,'Planzahlen Liquidität'!$A21,'Struktur Vorjahr'!J:J)</f>
        <v>5321.7400000000007</v>
      </c>
      <c r="BA21" s="1186">
        <f>Monatsplanung!Z132</f>
        <v>180.83333333333334</v>
      </c>
      <c r="BB21" s="1175">
        <f ca="1">SUMIF('Struktur Aktuell'!$A:$A,'Planzahlen Liquidität'!$A21,'Struktur Aktuell'!J:J)</f>
        <v>5321.7400000000007</v>
      </c>
      <c r="BC21" s="1188">
        <f t="shared" ca="1" si="9"/>
        <v>5140.9066666666677</v>
      </c>
      <c r="BD21" s="1189"/>
      <c r="BE21" s="1189"/>
      <c r="BF21" s="1189"/>
      <c r="BG21" s="1185">
        <f t="shared" ca="1" si="34"/>
        <v>5489.7900000000009</v>
      </c>
      <c r="BH21" s="1186">
        <f t="shared" si="35"/>
        <v>723.33333333333337</v>
      </c>
      <c r="BI21" s="1175">
        <f t="shared" ca="1" si="36"/>
        <v>5489.7900000000009</v>
      </c>
      <c r="BJ21" s="1188">
        <f t="shared" ca="1" si="10"/>
        <v>4766.4566666666678</v>
      </c>
      <c r="BK21" s="1189"/>
      <c r="BL21" s="1189"/>
      <c r="BM21" s="1189"/>
      <c r="BN21" s="1185">
        <f ca="1">SUMIF('Struktur Vorjahr'!$A:$A,'Planzahlen Liquidität'!$A21,'Struktur Vorjahr'!K:K)</f>
        <v>415.96999999999997</v>
      </c>
      <c r="BO21" s="1186">
        <f>Monatsplanung!AA132</f>
        <v>180.83333333333334</v>
      </c>
      <c r="BP21" s="1175">
        <f ca="1">SUMIF('Struktur Aktuell'!$A:$A,'Planzahlen Liquidität'!$A21,'Struktur Aktuell'!K:K)</f>
        <v>415.96999999999997</v>
      </c>
      <c r="BQ21" s="1188">
        <f t="shared" ca="1" si="11"/>
        <v>235.13666666666663</v>
      </c>
      <c r="BR21" s="1189"/>
      <c r="BS21" s="1189"/>
      <c r="BT21" s="1189"/>
      <c r="BU21" s="1185">
        <f t="shared" ca="1" si="37"/>
        <v>5905.7600000000011</v>
      </c>
      <c r="BV21" s="1186">
        <f t="shared" si="38"/>
        <v>904.16666666666674</v>
      </c>
      <c r="BW21" s="1175">
        <f t="shared" ca="1" si="39"/>
        <v>5905.7600000000011</v>
      </c>
      <c r="BX21" s="1188">
        <f t="shared" ca="1" si="12"/>
        <v>5001.5933333333342</v>
      </c>
      <c r="BY21" s="1189"/>
      <c r="BZ21" s="1189"/>
      <c r="CA21" s="1189"/>
      <c r="CB21" s="1185">
        <f ca="1">SUMIF('Struktur Vorjahr'!$A:$A,'Planzahlen Liquidität'!$A21,'Struktur Vorjahr'!L:L)</f>
        <v>326.96000000000009</v>
      </c>
      <c r="CC21" s="1186">
        <f>Monatsplanung!AB132</f>
        <v>180.83333333333334</v>
      </c>
      <c r="CD21" s="1175">
        <f ca="1">SUMIF('Struktur Aktuell'!$A:$A,'Planzahlen Liquidität'!$A21,'Struktur Aktuell'!L:L)</f>
        <v>326.96000000000009</v>
      </c>
      <c r="CE21" s="1188">
        <f t="shared" ca="1" si="13"/>
        <v>146.12666666666675</v>
      </c>
      <c r="CF21" s="1189"/>
      <c r="CG21" s="1189"/>
      <c r="CH21" s="1189"/>
      <c r="CI21" s="1185">
        <f t="shared" ca="1" si="40"/>
        <v>6232.7200000000012</v>
      </c>
      <c r="CJ21" s="1186">
        <f t="shared" si="41"/>
        <v>1085</v>
      </c>
      <c r="CK21" s="1175">
        <f t="shared" ca="1" si="42"/>
        <v>6232.7200000000012</v>
      </c>
      <c r="CL21" s="1188">
        <f t="shared" ca="1" si="0"/>
        <v>5147.7200000000012</v>
      </c>
      <c r="CM21" s="1189"/>
      <c r="CN21" s="1189"/>
      <c r="CO21" s="1189"/>
      <c r="CP21" s="1185">
        <f ca="1">SUMIF('Struktur Vorjahr'!$A:$A,'Planzahlen Liquidität'!$A21,'Struktur Vorjahr'!M:M)</f>
        <v>362.99999999999994</v>
      </c>
      <c r="CQ21" s="1186">
        <f>Monatsplanung!AC132</f>
        <v>180.83333333333334</v>
      </c>
      <c r="CR21" s="1175">
        <f ca="1">SUMIF('Struktur Aktuell'!$A:$A,'Planzahlen Liquidität'!$A21,'Struktur Aktuell'!M:M)</f>
        <v>362.99999999999994</v>
      </c>
      <c r="CS21" s="1188">
        <f t="shared" ca="1" si="1"/>
        <v>182.1666666666666</v>
      </c>
      <c r="CT21" s="1189"/>
      <c r="CU21" s="1189"/>
      <c r="CV21" s="1189"/>
      <c r="CW21" s="1185">
        <f t="shared" ca="1" si="43"/>
        <v>6595.7200000000012</v>
      </c>
      <c r="CX21" s="1186">
        <f t="shared" si="44"/>
        <v>1265.8333333333333</v>
      </c>
      <c r="CY21" s="1175">
        <f t="shared" ca="1" si="45"/>
        <v>6595.7200000000012</v>
      </c>
      <c r="CZ21" s="1188">
        <f t="shared" ca="1" si="14"/>
        <v>5329.8866666666681</v>
      </c>
      <c r="DA21" s="1189"/>
      <c r="DB21" s="1189"/>
      <c r="DC21" s="1189"/>
      <c r="DD21" s="1185">
        <f ca="1">SUMIF('Struktur Vorjahr'!$A:$A,'Planzahlen Liquidität'!$A21,'Struktur Vorjahr'!N:N)</f>
        <v>0</v>
      </c>
      <c r="DE21" s="1186">
        <f>Monatsplanung!AD132</f>
        <v>180.83333333333334</v>
      </c>
      <c r="DF21" s="1175">
        <f ca="1">SUMIF('Struktur Aktuell'!$A:$A,'Planzahlen Liquidität'!$A21,'Struktur Aktuell'!N:N)</f>
        <v>0</v>
      </c>
      <c r="DG21" s="1188">
        <f t="shared" ca="1" si="15"/>
        <v>-180.83333333333334</v>
      </c>
      <c r="DH21" s="1189"/>
      <c r="DI21" s="1189"/>
      <c r="DJ21" s="1189"/>
      <c r="DK21" s="1185">
        <f t="shared" ca="1" si="46"/>
        <v>6595.7200000000012</v>
      </c>
      <c r="DL21" s="1186">
        <f t="shared" si="47"/>
        <v>1446.6666666666665</v>
      </c>
      <c r="DM21" s="1175">
        <f t="shared" ca="1" si="48"/>
        <v>6595.7200000000012</v>
      </c>
      <c r="DN21" s="1188">
        <f t="shared" ca="1" si="16"/>
        <v>5149.0533333333351</v>
      </c>
      <c r="DO21" s="1189"/>
      <c r="DP21" s="1189"/>
      <c r="DQ21" s="1189"/>
      <c r="DR21" s="1185">
        <f ca="1">SUMIF('Struktur Vorjahr'!$A:$A,'Planzahlen Liquidität'!$A21,'Struktur Vorjahr'!O:O)</f>
        <v>0</v>
      </c>
      <c r="DS21" s="1186">
        <f>Monatsplanung!AE132</f>
        <v>180.83333333333334</v>
      </c>
      <c r="DT21" s="1175">
        <f ca="1">SUMIF('Struktur Aktuell'!$A:$A,'Planzahlen Liquidität'!$A21,'Struktur Aktuell'!O:O)</f>
        <v>0</v>
      </c>
      <c r="DU21" s="1188">
        <f t="shared" ca="1" si="17"/>
        <v>-180.83333333333334</v>
      </c>
      <c r="DV21" s="1189"/>
      <c r="DW21" s="1189"/>
      <c r="DX21" s="1189"/>
      <c r="DY21" s="1185">
        <f t="shared" ca="1" si="49"/>
        <v>6595.7200000000012</v>
      </c>
      <c r="DZ21" s="1186">
        <f t="shared" si="50"/>
        <v>1627.4999999999998</v>
      </c>
      <c r="EA21" s="1175">
        <f t="shared" ca="1" si="51"/>
        <v>6595.7200000000012</v>
      </c>
      <c r="EB21" s="1188">
        <f t="shared" ca="1" si="18"/>
        <v>4968.2200000000012</v>
      </c>
      <c r="EC21" s="1189"/>
      <c r="ED21" s="1189"/>
      <c r="EE21" s="1189"/>
      <c r="EF21" s="1185">
        <f ca="1">SUMIF('Struktur Vorjahr'!$A:$A,'Planzahlen Liquidität'!$A21,'Struktur Vorjahr'!P:P)</f>
        <v>0</v>
      </c>
      <c r="EG21" s="1186">
        <f>Monatsplanung!AF132</f>
        <v>180.83333333333334</v>
      </c>
      <c r="EH21" s="1175">
        <f ca="1">SUMIF('Struktur Aktuell'!$A:$A,'Planzahlen Liquidität'!$A21,'Struktur Aktuell'!P:P)</f>
        <v>0</v>
      </c>
      <c r="EI21" s="1188">
        <f t="shared" ca="1" si="19"/>
        <v>-180.83333333333334</v>
      </c>
      <c r="EJ21" s="1189"/>
      <c r="EK21" s="1189"/>
      <c r="EL21" s="1189"/>
      <c r="EM21" s="1185">
        <f t="shared" ca="1" si="52"/>
        <v>6595.7200000000012</v>
      </c>
      <c r="EN21" s="1186">
        <f t="shared" si="53"/>
        <v>1808.333333333333</v>
      </c>
      <c r="EO21" s="1175">
        <f t="shared" ca="1" si="54"/>
        <v>6595.7200000000012</v>
      </c>
      <c r="EP21" s="1188">
        <f t="shared" ca="1" si="20"/>
        <v>4787.3866666666681</v>
      </c>
      <c r="EQ21" s="1189"/>
      <c r="ER21" s="1189"/>
      <c r="ES21" s="1189"/>
      <c r="ET21" s="1185">
        <f ca="1">SUMIF('Struktur Vorjahr'!$A:$A,'Planzahlen Liquidität'!$A21,'Struktur Vorjahr'!Q:Q)</f>
        <v>0</v>
      </c>
      <c r="EU21" s="1186">
        <f>Monatsplanung!AG132</f>
        <v>180.83333333333334</v>
      </c>
      <c r="EV21" s="1175">
        <f ca="1">SUMIF('Struktur Aktuell'!$A:$A,'Planzahlen Liquidität'!$A21,'Struktur Aktuell'!Q:Q)</f>
        <v>0</v>
      </c>
      <c r="EW21" s="1188">
        <f t="shared" ca="1" si="21"/>
        <v>-180.83333333333334</v>
      </c>
      <c r="EX21" s="1189"/>
      <c r="EY21" s="1189"/>
      <c r="EZ21" s="1189"/>
      <c r="FA21" s="1185">
        <f t="shared" ca="1" si="55"/>
        <v>6595.7200000000012</v>
      </c>
      <c r="FB21" s="1186">
        <f t="shared" si="56"/>
        <v>1989.1666666666663</v>
      </c>
      <c r="FC21" s="1175">
        <f t="shared" ca="1" si="57"/>
        <v>6595.7200000000012</v>
      </c>
      <c r="FD21" s="1188">
        <f t="shared" ca="1" si="22"/>
        <v>4606.5533333333351</v>
      </c>
      <c r="FE21" s="1189"/>
      <c r="FF21" s="1189"/>
      <c r="FG21" s="1189"/>
      <c r="FH21" s="1185">
        <f ca="1">SUMIF('Struktur Vorjahr'!$A:$A,'Planzahlen Liquidität'!$A21,'Struktur Vorjahr'!R:R)</f>
        <v>0</v>
      </c>
      <c r="FI21" s="1186">
        <f>Monatsplanung!AH132</f>
        <v>180.83333333333334</v>
      </c>
      <c r="FJ21" s="1175">
        <f ca="1">SUMIF('Struktur Aktuell'!$A:$A,'Planzahlen Liquidität'!$A21,'Struktur Aktuell'!R:R)</f>
        <v>0</v>
      </c>
      <c r="FK21" s="1188">
        <f t="shared" ca="1" si="23"/>
        <v>-180.83333333333334</v>
      </c>
      <c r="FL21" s="1189"/>
      <c r="FM21" s="1189"/>
      <c r="FN21" s="1189"/>
      <c r="FO21" s="1185">
        <f t="shared" ca="1" si="58"/>
        <v>6595.7200000000012</v>
      </c>
      <c r="FP21" s="1186">
        <f t="shared" si="59"/>
        <v>2169.9999999999995</v>
      </c>
      <c r="FQ21" s="1175">
        <f t="shared" ca="1" si="60"/>
        <v>6595.7200000000012</v>
      </c>
      <c r="FR21" s="1188">
        <f t="shared" ca="1" si="24"/>
        <v>4425.7200000000012</v>
      </c>
      <c r="FS21" s="1189"/>
      <c r="FT21" s="1189"/>
      <c r="FU21" s="1189"/>
      <c r="FV21" s="1171"/>
      <c r="FW21" s="1169">
        <v>0</v>
      </c>
    </row>
    <row r="22" spans="1:179" s="883" customFormat="1" x14ac:dyDescent="0.2">
      <c r="A22" s="1190">
        <v>39</v>
      </c>
      <c r="B22" s="1190" t="str">
        <f>'Struktur Aktuell'!B416</f>
        <v>Kreditaufnahme für Investitionen / Gewinnverwendung</v>
      </c>
      <c r="C22" s="1173">
        <f t="shared" ca="1" si="61"/>
        <v>0</v>
      </c>
      <c r="D22" s="1174">
        <f t="shared" si="62"/>
        <v>0</v>
      </c>
      <c r="E22" s="1175">
        <f t="shared" ca="1" si="61"/>
        <v>0</v>
      </c>
      <c r="F22" s="1169">
        <f t="shared" ca="1" si="2"/>
        <v>0</v>
      </c>
      <c r="G22" s="1176"/>
      <c r="H22" s="1176"/>
      <c r="I22" s="1176"/>
      <c r="J22" s="1173">
        <f ca="1">SUMIF('Struktur Vorjahr'!$A:$A,'Planzahlen Liquidität'!$A22,'Struktur Vorjahr'!G:G)</f>
        <v>0</v>
      </c>
      <c r="K22" s="1174"/>
      <c r="L22" s="1175">
        <f ca="1">SUMIF('Struktur Aktuell'!$A:$A,'Planzahlen Liquidität'!$A22,'Struktur Aktuell'!G:G)</f>
        <v>0</v>
      </c>
      <c r="M22" s="1169">
        <f t="shared" ca="1" si="3"/>
        <v>0</v>
      </c>
      <c r="N22" s="1176"/>
      <c r="O22" s="1176"/>
      <c r="P22" s="1176"/>
      <c r="Q22" s="1173">
        <f t="shared" ca="1" si="25"/>
        <v>0</v>
      </c>
      <c r="R22" s="1174">
        <f t="shared" si="26"/>
        <v>0</v>
      </c>
      <c r="S22" s="1175">
        <f t="shared" ca="1" si="27"/>
        <v>0</v>
      </c>
      <c r="T22" s="1169">
        <f t="shared" ca="1" si="4"/>
        <v>0</v>
      </c>
      <c r="U22" s="1176"/>
      <c r="V22" s="1176"/>
      <c r="W22" s="1176"/>
      <c r="X22" s="1173">
        <f ca="1">SUMIF('Struktur Vorjahr'!$A:$A,'Planzahlen Liquidität'!$A22,'Struktur Vorjahr'!H:H)</f>
        <v>0</v>
      </c>
      <c r="Y22" s="1174">
        <f>K22</f>
        <v>0</v>
      </c>
      <c r="Z22" s="1175">
        <f ca="1">SUMIF('Struktur Aktuell'!$A:$A,'Planzahlen Liquidität'!$A22,'Struktur Aktuell'!H:H)</f>
        <v>0</v>
      </c>
      <c r="AA22" s="1169">
        <f t="shared" ca="1" si="5"/>
        <v>0</v>
      </c>
      <c r="AB22" s="1176"/>
      <c r="AC22" s="1176"/>
      <c r="AD22" s="1176"/>
      <c r="AE22" s="1173">
        <f t="shared" ca="1" si="28"/>
        <v>0</v>
      </c>
      <c r="AF22" s="1174">
        <f t="shared" si="29"/>
        <v>0</v>
      </c>
      <c r="AG22" s="1175">
        <f t="shared" ca="1" si="30"/>
        <v>0</v>
      </c>
      <c r="AH22" s="1169">
        <f t="shared" ca="1" si="6"/>
        <v>0</v>
      </c>
      <c r="AI22" s="1176"/>
      <c r="AJ22" s="1176"/>
      <c r="AK22" s="1176"/>
      <c r="AL22" s="1173">
        <v>0</v>
      </c>
      <c r="AM22" s="1174">
        <f>Y22</f>
        <v>0</v>
      </c>
      <c r="AN22" s="1175">
        <v>0</v>
      </c>
      <c r="AO22" s="1169">
        <f t="shared" si="7"/>
        <v>0</v>
      </c>
      <c r="AP22" s="1176"/>
      <c r="AQ22" s="1176"/>
      <c r="AR22" s="1176"/>
      <c r="AS22" s="1173">
        <f t="shared" ca="1" si="31"/>
        <v>0</v>
      </c>
      <c r="AT22" s="1174">
        <f t="shared" si="32"/>
        <v>0</v>
      </c>
      <c r="AU22" s="1175">
        <f t="shared" ca="1" si="33"/>
        <v>0</v>
      </c>
      <c r="AV22" s="1169">
        <f t="shared" ca="1" si="8"/>
        <v>0</v>
      </c>
      <c r="AW22" s="1176"/>
      <c r="AX22" s="1176"/>
      <c r="AY22" s="1176"/>
      <c r="AZ22" s="1173">
        <f ca="1">SUMIF('Struktur Vorjahr'!$A:$A,'Planzahlen Liquidität'!$A22,'Struktur Vorjahr'!J:J)</f>
        <v>0</v>
      </c>
      <c r="BA22" s="1174">
        <f>AM22</f>
        <v>0</v>
      </c>
      <c r="BB22" s="1175">
        <f ca="1">SUMIF('Struktur Aktuell'!$A:$A,'Planzahlen Liquidität'!$A22,'Struktur Aktuell'!J:J)</f>
        <v>0</v>
      </c>
      <c r="BC22" s="1169">
        <f t="shared" ca="1" si="9"/>
        <v>0</v>
      </c>
      <c r="BD22" s="1176"/>
      <c r="BE22" s="1176"/>
      <c r="BF22" s="1176"/>
      <c r="BG22" s="1173">
        <f t="shared" ca="1" si="34"/>
        <v>0</v>
      </c>
      <c r="BH22" s="1174">
        <f t="shared" si="35"/>
        <v>0</v>
      </c>
      <c r="BI22" s="1175">
        <f t="shared" ca="1" si="36"/>
        <v>0</v>
      </c>
      <c r="BJ22" s="1169">
        <f t="shared" ca="1" si="10"/>
        <v>0</v>
      </c>
      <c r="BK22" s="1176"/>
      <c r="BL22" s="1176"/>
      <c r="BM22" s="1176"/>
      <c r="BN22" s="1173">
        <f ca="1">SUMIF('Struktur Vorjahr'!$A:$A,'Planzahlen Liquidität'!$A22,'Struktur Vorjahr'!K:K)</f>
        <v>0</v>
      </c>
      <c r="BO22" s="1174">
        <f>BA22</f>
        <v>0</v>
      </c>
      <c r="BP22" s="1175">
        <f ca="1">SUMIF('Struktur Aktuell'!$A:$A,'Planzahlen Liquidität'!$A22,'Struktur Aktuell'!K:K)</f>
        <v>0</v>
      </c>
      <c r="BQ22" s="1169">
        <f t="shared" ca="1" si="11"/>
        <v>0</v>
      </c>
      <c r="BR22" s="1176"/>
      <c r="BS22" s="1176"/>
      <c r="BT22" s="1176"/>
      <c r="BU22" s="1173">
        <f t="shared" ca="1" si="37"/>
        <v>0</v>
      </c>
      <c r="BV22" s="1174">
        <f t="shared" si="38"/>
        <v>0</v>
      </c>
      <c r="BW22" s="1175">
        <f t="shared" ca="1" si="39"/>
        <v>0</v>
      </c>
      <c r="BX22" s="1169">
        <f t="shared" ca="1" si="12"/>
        <v>0</v>
      </c>
      <c r="BY22" s="1176"/>
      <c r="BZ22" s="1176"/>
      <c r="CA22" s="1176"/>
      <c r="CB22" s="1173">
        <f ca="1">SUMIF('Struktur Vorjahr'!$A:$A,'Planzahlen Liquidität'!$A22,'Struktur Vorjahr'!L:L)</f>
        <v>0</v>
      </c>
      <c r="CC22" s="1174">
        <f>BO22</f>
        <v>0</v>
      </c>
      <c r="CD22" s="1175">
        <f ca="1">SUMIF('Struktur Aktuell'!$A:$A,'Planzahlen Liquidität'!$A22,'Struktur Aktuell'!L:L)</f>
        <v>0</v>
      </c>
      <c r="CE22" s="1169">
        <f t="shared" ca="1" si="13"/>
        <v>0</v>
      </c>
      <c r="CF22" s="1176"/>
      <c r="CG22" s="1176"/>
      <c r="CH22" s="1176"/>
      <c r="CI22" s="1173">
        <f t="shared" ca="1" si="40"/>
        <v>0</v>
      </c>
      <c r="CJ22" s="1174">
        <f t="shared" si="41"/>
        <v>0</v>
      </c>
      <c r="CK22" s="1175">
        <f t="shared" ca="1" si="42"/>
        <v>0</v>
      </c>
      <c r="CL22" s="1169">
        <f t="shared" ca="1" si="0"/>
        <v>0</v>
      </c>
      <c r="CM22" s="1176"/>
      <c r="CN22" s="1176"/>
      <c r="CO22" s="1176"/>
      <c r="CP22" s="1173">
        <f ca="1">SUMIF('Struktur Vorjahr'!$A:$A,'Planzahlen Liquidität'!$A22,'Struktur Vorjahr'!M:M)</f>
        <v>0</v>
      </c>
      <c r="CQ22" s="1174">
        <f>CC22</f>
        <v>0</v>
      </c>
      <c r="CR22" s="1175">
        <f ca="1">SUMIF('Struktur Aktuell'!$A:$A,'Planzahlen Liquidität'!$A22,'Struktur Aktuell'!M:M)</f>
        <v>0</v>
      </c>
      <c r="CS22" s="1169">
        <f t="shared" ca="1" si="1"/>
        <v>0</v>
      </c>
      <c r="CT22" s="1176"/>
      <c r="CU22" s="1176"/>
      <c r="CV22" s="1176"/>
      <c r="CW22" s="1173">
        <f t="shared" ca="1" si="43"/>
        <v>0</v>
      </c>
      <c r="CX22" s="1174">
        <f t="shared" si="44"/>
        <v>0</v>
      </c>
      <c r="CY22" s="1175">
        <f t="shared" ca="1" si="45"/>
        <v>0</v>
      </c>
      <c r="CZ22" s="1169">
        <f t="shared" ca="1" si="14"/>
        <v>0</v>
      </c>
      <c r="DA22" s="1176"/>
      <c r="DB22" s="1176"/>
      <c r="DC22" s="1176"/>
      <c r="DD22" s="1173">
        <f ca="1">SUMIF('Struktur Vorjahr'!$A:$A,'Planzahlen Liquidität'!$A22,'Struktur Vorjahr'!N:N)</f>
        <v>0</v>
      </c>
      <c r="DE22" s="1174">
        <f>CQ22</f>
        <v>0</v>
      </c>
      <c r="DF22" s="1175">
        <f ca="1">SUMIF('Struktur Aktuell'!$A:$A,'Planzahlen Liquidität'!$A22,'Struktur Aktuell'!N:N)</f>
        <v>0</v>
      </c>
      <c r="DG22" s="1169">
        <f t="shared" ca="1" si="15"/>
        <v>0</v>
      </c>
      <c r="DH22" s="1176"/>
      <c r="DI22" s="1176"/>
      <c r="DJ22" s="1176"/>
      <c r="DK22" s="1173">
        <f t="shared" ca="1" si="46"/>
        <v>0</v>
      </c>
      <c r="DL22" s="1174">
        <f t="shared" si="47"/>
        <v>0</v>
      </c>
      <c r="DM22" s="1175">
        <f t="shared" ca="1" si="48"/>
        <v>0</v>
      </c>
      <c r="DN22" s="1169">
        <f t="shared" ca="1" si="16"/>
        <v>0</v>
      </c>
      <c r="DO22" s="1176"/>
      <c r="DP22" s="1176"/>
      <c r="DQ22" s="1176"/>
      <c r="DR22" s="1173">
        <f ca="1">SUMIF('Struktur Vorjahr'!$A:$A,'Planzahlen Liquidität'!$A22,'Struktur Vorjahr'!O:O)</f>
        <v>0</v>
      </c>
      <c r="DS22" s="1174">
        <f>DE22</f>
        <v>0</v>
      </c>
      <c r="DT22" s="1175">
        <f ca="1">SUMIF('Struktur Aktuell'!$A:$A,'Planzahlen Liquidität'!$A22,'Struktur Aktuell'!O:O)</f>
        <v>0</v>
      </c>
      <c r="DU22" s="1169">
        <f t="shared" ca="1" si="17"/>
        <v>0</v>
      </c>
      <c r="DV22" s="1176"/>
      <c r="DW22" s="1176"/>
      <c r="DX22" s="1176"/>
      <c r="DY22" s="1173">
        <f t="shared" ca="1" si="49"/>
        <v>0</v>
      </c>
      <c r="DZ22" s="1174">
        <f t="shared" si="50"/>
        <v>0</v>
      </c>
      <c r="EA22" s="1175">
        <f t="shared" ca="1" si="51"/>
        <v>0</v>
      </c>
      <c r="EB22" s="1169">
        <f t="shared" ca="1" si="18"/>
        <v>0</v>
      </c>
      <c r="EC22" s="1176"/>
      <c r="ED22" s="1176"/>
      <c r="EE22" s="1176"/>
      <c r="EF22" s="1173">
        <f ca="1">SUMIF('Struktur Vorjahr'!$A:$A,'Planzahlen Liquidität'!$A22,'Struktur Vorjahr'!P:P)</f>
        <v>0</v>
      </c>
      <c r="EG22" s="1174">
        <f>DS22</f>
        <v>0</v>
      </c>
      <c r="EH22" s="1175">
        <f ca="1">SUMIF('Struktur Aktuell'!$A:$A,'Planzahlen Liquidität'!$A22,'Struktur Aktuell'!P:P)</f>
        <v>0</v>
      </c>
      <c r="EI22" s="1169">
        <f t="shared" ca="1" si="19"/>
        <v>0</v>
      </c>
      <c r="EJ22" s="1176"/>
      <c r="EK22" s="1176"/>
      <c r="EL22" s="1176"/>
      <c r="EM22" s="1173">
        <f t="shared" ca="1" si="52"/>
        <v>0</v>
      </c>
      <c r="EN22" s="1174">
        <f t="shared" si="53"/>
        <v>0</v>
      </c>
      <c r="EO22" s="1175">
        <f t="shared" ca="1" si="54"/>
        <v>0</v>
      </c>
      <c r="EP22" s="1169">
        <f t="shared" ca="1" si="20"/>
        <v>0</v>
      </c>
      <c r="EQ22" s="1176"/>
      <c r="ER22" s="1176"/>
      <c r="ES22" s="1176"/>
      <c r="ET22" s="1173">
        <f ca="1">SUMIF('Struktur Vorjahr'!$A:$A,'Planzahlen Liquidität'!$A22,'Struktur Vorjahr'!Q:Q)</f>
        <v>0</v>
      </c>
      <c r="EU22" s="1174">
        <f>EG22</f>
        <v>0</v>
      </c>
      <c r="EV22" s="1175">
        <f ca="1">SUMIF('Struktur Aktuell'!$A:$A,'Planzahlen Liquidität'!$A22,'Struktur Aktuell'!Q:Q)</f>
        <v>0</v>
      </c>
      <c r="EW22" s="1169">
        <f t="shared" ca="1" si="21"/>
        <v>0</v>
      </c>
      <c r="EX22" s="1176"/>
      <c r="EY22" s="1176"/>
      <c r="EZ22" s="1176"/>
      <c r="FA22" s="1173">
        <f t="shared" ca="1" si="55"/>
        <v>0</v>
      </c>
      <c r="FB22" s="1174">
        <f t="shared" si="56"/>
        <v>0</v>
      </c>
      <c r="FC22" s="1175">
        <f t="shared" ca="1" si="57"/>
        <v>0</v>
      </c>
      <c r="FD22" s="1169">
        <f t="shared" ca="1" si="22"/>
        <v>0</v>
      </c>
      <c r="FE22" s="1176"/>
      <c r="FF22" s="1176"/>
      <c r="FG22" s="1176"/>
      <c r="FH22" s="1173">
        <f ca="1">SUMIF('Struktur Vorjahr'!$A:$A,'Planzahlen Liquidität'!$A22,'Struktur Vorjahr'!R:R)</f>
        <v>0</v>
      </c>
      <c r="FI22" s="1174">
        <f>EU22</f>
        <v>0</v>
      </c>
      <c r="FJ22" s="1175">
        <f ca="1">SUMIF('Struktur Aktuell'!$A:$A,'Planzahlen Liquidität'!$A22,'Struktur Aktuell'!R:R)</f>
        <v>0</v>
      </c>
      <c r="FK22" s="1169">
        <f t="shared" ca="1" si="23"/>
        <v>0</v>
      </c>
      <c r="FL22" s="1176"/>
      <c r="FM22" s="1176"/>
      <c r="FN22" s="1176"/>
      <c r="FO22" s="1173">
        <f t="shared" ca="1" si="58"/>
        <v>0</v>
      </c>
      <c r="FP22" s="1174">
        <f t="shared" si="59"/>
        <v>0</v>
      </c>
      <c r="FQ22" s="1175">
        <f t="shared" ca="1" si="60"/>
        <v>0</v>
      </c>
      <c r="FR22" s="1169">
        <f t="shared" ca="1" si="24"/>
        <v>0</v>
      </c>
      <c r="FS22" s="1176"/>
      <c r="FT22" s="1176"/>
      <c r="FU22" s="1176"/>
      <c r="FV22" s="1171"/>
      <c r="FW22" s="1169">
        <v>0</v>
      </c>
    </row>
    <row r="23" spans="1:179" s="883" customFormat="1" x14ac:dyDescent="0.2">
      <c r="A23" s="1191" t="s">
        <v>796</v>
      </c>
      <c r="B23" s="1192" t="s">
        <v>797</v>
      </c>
      <c r="C23" s="1193">
        <f t="shared" ca="1" si="61"/>
        <v>6595.7200000000012</v>
      </c>
      <c r="D23" s="1193">
        <f t="shared" si="62"/>
        <v>2169.9999999999995</v>
      </c>
      <c r="E23" s="1193">
        <f t="shared" ca="1" si="61"/>
        <v>6595.7200000000012</v>
      </c>
      <c r="F23" s="1194">
        <f t="shared" ca="1" si="2"/>
        <v>4425.7200000000012</v>
      </c>
      <c r="G23" s="1195">
        <f ca="1">C23/'Planzahlen Rentabilität'!C$15</f>
        <v>4.2833289086840712E-2</v>
      </c>
      <c r="H23" s="1195">
        <f>D23/'Planzahlen Rentabilität'!D$15</f>
        <v>2.0982685899828459E-3</v>
      </c>
      <c r="I23" s="1195">
        <f ca="1">E23/'Planzahlen Rentabilität'!E$15</f>
        <v>4.1604230338265082E-2</v>
      </c>
      <c r="J23" s="1193">
        <f ca="1">J21-J22</f>
        <v>0</v>
      </c>
      <c r="K23" s="1193">
        <f>K21-K22</f>
        <v>180.83333333333334</v>
      </c>
      <c r="L23" s="1193">
        <f ca="1">L21-L22</f>
        <v>0</v>
      </c>
      <c r="M23" s="1194">
        <f t="shared" ca="1" si="3"/>
        <v>-180.83333333333334</v>
      </c>
      <c r="N23" s="1195">
        <f ca="1">J23/'Planzahlen Rentabilität'!J$15</f>
        <v>0</v>
      </c>
      <c r="O23" s="1195">
        <f>K23/'Planzahlen Rentabilität'!K$15</f>
        <v>2.9142619305317316E-3</v>
      </c>
      <c r="P23" s="1195">
        <f ca="1">L23/'Planzahlen Rentabilität'!L$15</f>
        <v>0</v>
      </c>
      <c r="Q23" s="1193">
        <f t="shared" ca="1" si="25"/>
        <v>0</v>
      </c>
      <c r="R23" s="1193">
        <f t="shared" si="26"/>
        <v>180.83333333333334</v>
      </c>
      <c r="S23" s="1193">
        <f t="shared" ca="1" si="27"/>
        <v>0</v>
      </c>
      <c r="T23" s="1194">
        <f t="shared" ca="1" si="4"/>
        <v>-180.83333333333334</v>
      </c>
      <c r="U23" s="1195">
        <f ca="1">Q23/'Planzahlen Rentabilität'!Q$15</f>
        <v>0</v>
      </c>
      <c r="V23" s="1195">
        <f>R23/'Planzahlen Rentabilität'!R$15</f>
        <v>2.9142619305317316E-3</v>
      </c>
      <c r="W23" s="1195">
        <f ca="1">S23/'Planzahlen Rentabilität'!S$15</f>
        <v>0</v>
      </c>
      <c r="X23" s="1193">
        <f ca="1">X21-X22</f>
        <v>168.04999999999998</v>
      </c>
      <c r="Y23" s="1193">
        <f>Y21-Y22</f>
        <v>180.83333333333334</v>
      </c>
      <c r="Z23" s="1193">
        <f ca="1">Z21-Z22</f>
        <v>168.04999999999998</v>
      </c>
      <c r="AA23" s="1194">
        <f t="shared" ca="1" si="5"/>
        <v>-12.78333333333336</v>
      </c>
      <c r="AB23" s="1195">
        <f ca="1">X23/'Planzahlen Rentabilität'!$Y$15</f>
        <v>2.0311868464666896E-3</v>
      </c>
      <c r="AC23" s="1195">
        <f>Y23/'Planzahlen Rentabilität'!$Y$15</f>
        <v>2.1856964478987983E-3</v>
      </c>
      <c r="AD23" s="1195">
        <f ca="1">Z23/'Planzahlen Rentabilität'!$Z$15</f>
        <v>1.4147230535456468E-2</v>
      </c>
      <c r="AE23" s="1193">
        <f t="shared" ca="1" si="28"/>
        <v>168.04999999999998</v>
      </c>
      <c r="AF23" s="1193">
        <f t="shared" si="29"/>
        <v>361.66666666666669</v>
      </c>
      <c r="AG23" s="1193">
        <f t="shared" ca="1" si="30"/>
        <v>168.04999999999998</v>
      </c>
      <c r="AH23" s="1194">
        <f t="shared" ca="1" si="6"/>
        <v>-193.6166666666667</v>
      </c>
      <c r="AI23" s="1195">
        <f ca="1">AE23/'Planzahlen Rentabilität'!$AF$15</f>
        <v>1.1606781979809654E-3</v>
      </c>
      <c r="AJ23" s="1195">
        <f>AF23/'Planzahlen Rentabilität'!$AF$15</f>
        <v>2.4979387975986268E-3</v>
      </c>
      <c r="AK23" s="1195">
        <f ca="1">AG23/'Planzahlen Rentabilität'!$AG$15</f>
        <v>7.2842193596822239E-3</v>
      </c>
      <c r="AL23" s="1193">
        <f ca="1">AL21-AL22</f>
        <v>0</v>
      </c>
      <c r="AM23" s="1193">
        <f>AM21-AM22</f>
        <v>180.83333333333334</v>
      </c>
      <c r="AN23" s="1193">
        <f ca="1">AN21-AN22</f>
        <v>0</v>
      </c>
      <c r="AO23" s="1194">
        <f t="shared" ca="1" si="7"/>
        <v>-180.83333333333334</v>
      </c>
      <c r="AP23" s="1195">
        <f ca="1">AL23/'Planzahlen Rentabilität'!$AM$15</f>
        <v>0</v>
      </c>
      <c r="AQ23" s="1195">
        <f>AM23/'Planzahlen Rentabilität'!$AM$15</f>
        <v>1.7485571583190386E-3</v>
      </c>
      <c r="AR23" s="1195">
        <f ca="1">AN23/'Planzahlen Rentabilität'!$AN$15</f>
        <v>0</v>
      </c>
      <c r="AS23" s="1193">
        <f t="shared" ca="1" si="31"/>
        <v>168.04999999999998</v>
      </c>
      <c r="AT23" s="1193">
        <f t="shared" si="32"/>
        <v>542.5</v>
      </c>
      <c r="AU23" s="1193">
        <f t="shared" ca="1" si="33"/>
        <v>168.04999999999998</v>
      </c>
      <c r="AV23" s="1194">
        <f t="shared" ca="1" si="8"/>
        <v>-374.45000000000005</v>
      </c>
      <c r="AW23" s="1195">
        <f ca="1">AS23/'Planzahlen Rentabilität'!$AT$15</f>
        <v>6.770622821555631E-4</v>
      </c>
      <c r="AX23" s="1195">
        <f>AT23/'Planzahlen Rentabilität'!$AT$15</f>
        <v>2.1856964478987983E-3</v>
      </c>
      <c r="AY23" s="1195">
        <f ca="1">AU23/'Planzahlen Rentabilität'!$AU$15</f>
        <v>7.1845653049410815E-3</v>
      </c>
      <c r="AZ23" s="1193">
        <f ca="1">AZ21-AZ22</f>
        <v>5321.7400000000007</v>
      </c>
      <c r="BA23" s="1193">
        <f>BA21-BA22</f>
        <v>180.83333333333334</v>
      </c>
      <c r="BB23" s="1193">
        <f ca="1">BB21-BB22</f>
        <v>5321.7400000000007</v>
      </c>
      <c r="BC23" s="1194">
        <f t="shared" ca="1" si="9"/>
        <v>5140.9066666666677</v>
      </c>
      <c r="BD23" s="1195">
        <f ca="1">AZ23/'Planzahlen Rentabilität'!$BA$15</f>
        <v>7.3511783318336493E-2</v>
      </c>
      <c r="BE23" s="1195">
        <f>BA23/'Planzahlen Rentabilität'!$BA$15</f>
        <v>2.4979387975986268E-3</v>
      </c>
      <c r="BF23" s="1195">
        <f ca="1">BB23/'Planzahlen Rentabilität'!$BB$15</f>
        <v>0.41011512606531497</v>
      </c>
      <c r="BG23" s="1193">
        <f t="shared" ca="1" si="34"/>
        <v>5489.7900000000009</v>
      </c>
      <c r="BH23" s="1193">
        <f t="shared" si="35"/>
        <v>723.33333333333337</v>
      </c>
      <c r="BI23" s="1193">
        <f t="shared" ca="1" si="36"/>
        <v>5489.7900000000009</v>
      </c>
      <c r="BJ23" s="1194">
        <f t="shared" ca="1" si="10"/>
        <v>4766.4566666666678</v>
      </c>
      <c r="BK23" s="1195">
        <f ca="1">BG23/'Planzahlen Rentabilität'!$BH$15</f>
        <v>1.7123612193551258E-2</v>
      </c>
      <c r="BL23" s="1195">
        <f>BH23/'Planzahlen Rentabilität'!$BH$15</f>
        <v>2.2562027849277917E-3</v>
      </c>
      <c r="BM23" s="1195">
        <f ca="1">BI23/'Planzahlen Rentabilität'!$BI$15</f>
        <v>0.15095679748164734</v>
      </c>
      <c r="BN23" s="1193">
        <f ca="1">BN21-BN22</f>
        <v>415.96999999999997</v>
      </c>
      <c r="BO23" s="1193">
        <f>BO21-BO22</f>
        <v>180.83333333333334</v>
      </c>
      <c r="BP23" s="1193">
        <f ca="1">BP21-BP22</f>
        <v>415.96999999999997</v>
      </c>
      <c r="BQ23" s="1194">
        <f t="shared" ca="1" si="11"/>
        <v>235.13666666666663</v>
      </c>
      <c r="BR23" s="1195">
        <f ca="1">BN23/'Planzahlen Rentabilität'!$BO$15</f>
        <v>5.0277464595343581E-3</v>
      </c>
      <c r="BS23" s="1195">
        <f>BO23/'Planzahlen Rentabilität'!$BO$15</f>
        <v>2.1856964478987983E-3</v>
      </c>
      <c r="BT23" s="1195">
        <f ca="1">BP23/'Planzahlen Rentabilität'!$BP$15</f>
        <v>5.3617440330183501E-2</v>
      </c>
      <c r="BU23" s="1193">
        <f t="shared" ca="1" si="37"/>
        <v>5905.7600000000011</v>
      </c>
      <c r="BV23" s="1193">
        <f t="shared" si="38"/>
        <v>904.16666666666674</v>
      </c>
      <c r="BW23" s="1193">
        <f t="shared" ca="1" si="39"/>
        <v>5905.7600000000011</v>
      </c>
      <c r="BX23" s="1194">
        <f t="shared" ca="1" si="12"/>
        <v>5001.5933333333342</v>
      </c>
      <c r="BY23" s="1195">
        <f ca="1">BU23/'Planzahlen Rentabilität'!$BV$15</f>
        <v>1.4642408966060613E-2</v>
      </c>
      <c r="BZ23" s="1195">
        <f>BV23/'Planzahlen Rentabilität'!$BV$15</f>
        <v>2.2417399465628702E-3</v>
      </c>
      <c r="CA23" s="1195">
        <f ca="1">BW23/'Planzahlen Rentabilität'!$BW$15</f>
        <v>0.13384237504855553</v>
      </c>
      <c r="CB23" s="1193">
        <f ca="1">CB21-CB22</f>
        <v>326.96000000000009</v>
      </c>
      <c r="CC23" s="1193">
        <f>CC21-CC22</f>
        <v>180.83333333333334</v>
      </c>
      <c r="CD23" s="1193">
        <f ca="1">CD21-CD22</f>
        <v>326.96000000000009</v>
      </c>
      <c r="CE23" s="1194">
        <f t="shared" ca="1" si="13"/>
        <v>146.12666666666675</v>
      </c>
      <c r="CF23" s="1195">
        <f ca="1">CB23/'Planzahlen Rentabilität'!$CC$15</f>
        <v>3.9519003351428088E-3</v>
      </c>
      <c r="CG23" s="1195">
        <f>CC23/'Planzahlen Rentabilität'!$CC$15</f>
        <v>2.1856964478987983E-3</v>
      </c>
      <c r="CH23" s="1195" t="e">
        <f ca="1">CD23/'Planzahlen Rentabilität'!$CD$15</f>
        <v>#DIV/0!</v>
      </c>
      <c r="CI23" s="1193">
        <f t="shared" ca="1" si="40"/>
        <v>6232.7200000000012</v>
      </c>
      <c r="CJ23" s="1193">
        <f t="shared" si="41"/>
        <v>1085</v>
      </c>
      <c r="CK23" s="1193">
        <f t="shared" ca="1" si="42"/>
        <v>6232.7200000000012</v>
      </c>
      <c r="CL23" s="1194">
        <f t="shared" ca="1" si="0"/>
        <v>5147.7200000000012</v>
      </c>
      <c r="CM23" s="1195">
        <f ca="1">CI23/'Planzahlen Rentabilität'!$CJ$15</f>
        <v>1.2822747922500136E-2</v>
      </c>
      <c r="CN23" s="1195">
        <f>CJ23/'Planzahlen Rentabilität'!$CJ$15</f>
        <v>2.2322006276413258E-3</v>
      </c>
      <c r="CO23" s="1195">
        <f ca="1">CK23/'Planzahlen Rentabilität'!$CK$15</f>
        <v>0.14125227706724167</v>
      </c>
      <c r="CP23" s="1193">
        <f ca="1">CP21-CP22</f>
        <v>362.99999999999994</v>
      </c>
      <c r="CQ23" s="1193">
        <f>CQ21-CQ22</f>
        <v>180.83333333333334</v>
      </c>
      <c r="CR23" s="1193">
        <f ca="1">CR21-CR22</f>
        <v>362.99999999999994</v>
      </c>
      <c r="CS23" s="1194">
        <f t="shared" ca="1" si="1"/>
        <v>182.1666666666666</v>
      </c>
      <c r="CT23" s="1195">
        <f ca="1">CP23/'Planzahlen Rentabilität'!$CQ$15</f>
        <v>4.3875086299756515E-3</v>
      </c>
      <c r="CU23" s="1195">
        <f>CQ23/'Planzahlen Rentabilität'!$CQ$15</f>
        <v>2.1856964478987983E-3</v>
      </c>
      <c r="CV23" s="1195">
        <f ca="1">CR23/'Planzahlen Rentabilität'!$CR$15</f>
        <v>7.0391972755397764E-3</v>
      </c>
      <c r="CW23" s="1193">
        <f t="shared" ca="1" si="43"/>
        <v>6595.7200000000012</v>
      </c>
      <c r="CX23" s="1193">
        <f t="shared" si="44"/>
        <v>1265.8333333333333</v>
      </c>
      <c r="CY23" s="1193">
        <f t="shared" ca="1" si="45"/>
        <v>6595.7200000000012</v>
      </c>
      <c r="CZ23" s="1194">
        <f t="shared" ca="1" si="14"/>
        <v>5329.8866666666681</v>
      </c>
      <c r="DA23" s="1195">
        <f ca="1">CW23/'Planzahlen Rentabilität'!$CX$15</f>
        <v>1.1595804025405665E-2</v>
      </c>
      <c r="DB23" s="1195">
        <f>CX23/'Planzahlen Rentabilität'!$CX$15</f>
        <v>2.22543638331514E-3</v>
      </c>
      <c r="DC23" s="1195">
        <f ca="1">CY23/'Planzahlen Rentabilität'!$CY$15</f>
        <v>6.8925749311967266E-2</v>
      </c>
      <c r="DD23" s="1193">
        <f ca="1">DD21-DD22</f>
        <v>0</v>
      </c>
      <c r="DE23" s="1193">
        <f>DE21-DE22</f>
        <v>180.83333333333334</v>
      </c>
      <c r="DF23" s="1193">
        <f ca="1">DF21-DF22</f>
        <v>0</v>
      </c>
      <c r="DG23" s="1194">
        <f t="shared" ca="1" si="15"/>
        <v>-180.83333333333334</v>
      </c>
      <c r="DH23" s="1195">
        <f ca="1">DD23/'Planzahlen Rentabilität'!$DE$15</f>
        <v>0</v>
      </c>
      <c r="DI23" s="1195">
        <f>DE23/'Planzahlen Rentabilität'!$DE$15</f>
        <v>2.4979387975986268E-3</v>
      </c>
      <c r="DJ23" s="1195">
        <f ca="1">DF23/'Planzahlen Rentabilität'!$DF$15</f>
        <v>0</v>
      </c>
      <c r="DK23" s="1193">
        <f t="shared" ca="1" si="46"/>
        <v>6595.7200000000012</v>
      </c>
      <c r="DL23" s="1193">
        <f t="shared" si="47"/>
        <v>1446.6666666666665</v>
      </c>
      <c r="DM23" s="1193">
        <f t="shared" ca="1" si="48"/>
        <v>6595.7200000000012</v>
      </c>
      <c r="DN23" s="1194">
        <f t="shared" ca="1" si="16"/>
        <v>5149.0533333333351</v>
      </c>
      <c r="DO23" s="1195">
        <f ca="1">DK23/'Planzahlen Rentabilität'!$DL$15</f>
        <v>1.0286600345117929E-2</v>
      </c>
      <c r="DP23" s="1195">
        <f>DL23/'Planzahlen Rentabilität'!$DL$15</f>
        <v>2.2562027849277913E-3</v>
      </c>
      <c r="DQ23" s="1195">
        <f ca="1">DM23/'Planzahlen Rentabilität'!$DM$15</f>
        <v>5.7342204654461604E-2</v>
      </c>
      <c r="DR23" s="1193">
        <f ca="1">DR21-DR22</f>
        <v>0</v>
      </c>
      <c r="DS23" s="1193">
        <f>DS21-DS22</f>
        <v>180.83333333333334</v>
      </c>
      <c r="DT23" s="1193">
        <f ca="1">DT21-DT22</f>
        <v>0</v>
      </c>
      <c r="DU23" s="1194">
        <f t="shared" ca="1" si="17"/>
        <v>-180.83333333333334</v>
      </c>
      <c r="DV23" s="1195">
        <f ca="1">DR23/'Planzahlen Rentabilität'!$DS$15</f>
        <v>0</v>
      </c>
      <c r="DW23" s="1195">
        <f>DS23/'Planzahlen Rentabilität'!$DS$15</f>
        <v>1.7485571583190386E-3</v>
      </c>
      <c r="DX23" s="1195">
        <f ca="1">DT23/'Planzahlen Rentabilität'!$DT$15</f>
        <v>0</v>
      </c>
      <c r="DY23" s="1193">
        <f t="shared" ca="1" si="49"/>
        <v>6595.7200000000012</v>
      </c>
      <c r="DZ23" s="1193">
        <f t="shared" si="50"/>
        <v>1627.4999999999998</v>
      </c>
      <c r="EA23" s="1193">
        <f t="shared" ca="1" si="51"/>
        <v>6595.7200000000012</v>
      </c>
      <c r="EB23" s="1194">
        <f t="shared" ca="1" si="18"/>
        <v>4968.2200000000012</v>
      </c>
      <c r="EC23" s="1195">
        <f ca="1">DY23/'Planzahlen Rentabilität'!$DZ$15</f>
        <v>8.8579058527404383E-3</v>
      </c>
      <c r="ED23" s="1195">
        <f>DZ23/'Planzahlen Rentabilität'!$DZ$15</f>
        <v>2.1856964478987979E-3</v>
      </c>
      <c r="EE23" s="1195">
        <f ca="1">EA23/'Planzahlen Rentabilität'!$EA$15</f>
        <v>5.2366634083011468E-2</v>
      </c>
      <c r="EF23" s="1193">
        <f ca="1">EF21-EF22</f>
        <v>0</v>
      </c>
      <c r="EG23" s="1193">
        <f>EG21-EG22</f>
        <v>180.83333333333334</v>
      </c>
      <c r="EH23" s="1193">
        <f ca="1">EH21-EH22</f>
        <v>0</v>
      </c>
      <c r="EI23" s="1194">
        <f t="shared" ca="1" si="19"/>
        <v>-180.83333333333334</v>
      </c>
      <c r="EJ23" s="1195">
        <f ca="1">EF23/'Planzahlen Rentabilität'!$EG$15</f>
        <v>0</v>
      </c>
      <c r="EK23" s="1195">
        <f>EG23/'Planzahlen Rentabilität'!$EG$15</f>
        <v>1.7485571583190386E-3</v>
      </c>
      <c r="EL23" s="1195">
        <f ca="1">EH23/'Planzahlen Rentabilität'!$EH$15</f>
        <v>0</v>
      </c>
      <c r="EM23" s="1193">
        <f t="shared" ca="1" si="52"/>
        <v>6595.7200000000012</v>
      </c>
      <c r="EN23" s="1193">
        <f t="shared" si="53"/>
        <v>1808.333333333333</v>
      </c>
      <c r="EO23" s="1193">
        <f t="shared" ca="1" si="54"/>
        <v>6595.7200000000012</v>
      </c>
      <c r="EP23" s="1194">
        <f t="shared" ca="1" si="20"/>
        <v>4787.3866666666681</v>
      </c>
      <c r="EQ23" s="1195">
        <f ca="1">EM23/'Planzahlen Rentabilität'!$EN$15</f>
        <v>7.7776734316745318E-3</v>
      </c>
      <c r="ER23" s="1195">
        <f>EN23/'Planzahlen Rentabilität'!$EN$15</f>
        <v>2.1323867784378515E-3</v>
      </c>
      <c r="ES23" s="1195">
        <f ca="1">EO23/'Planzahlen Rentabilität'!$EO$15</f>
        <v>4.156804655415508E-2</v>
      </c>
      <c r="ET23" s="1193">
        <f ca="1">ET21-ET22</f>
        <v>0</v>
      </c>
      <c r="EU23" s="1193">
        <f>EU21-EU22</f>
        <v>180.83333333333334</v>
      </c>
      <c r="EV23" s="1193">
        <f ca="1">EV21-EV22</f>
        <v>0</v>
      </c>
      <c r="EW23" s="1194">
        <f t="shared" ca="1" si="21"/>
        <v>-180.83333333333334</v>
      </c>
      <c r="EX23" s="1195">
        <f ca="1">ET23/'Planzahlen Rentabilität'!$K$15</f>
        <v>0</v>
      </c>
      <c r="EY23" s="1195">
        <f>EU23/'Planzahlen Rentabilität'!$K$15</f>
        <v>2.9142619305317316E-3</v>
      </c>
      <c r="EZ23" s="1195">
        <f ca="1">EV23/'Planzahlen Rentabilität'!$EV$15</f>
        <v>0</v>
      </c>
      <c r="FA23" s="1193">
        <f t="shared" ca="1" si="55"/>
        <v>6595.7200000000012</v>
      </c>
      <c r="FB23" s="1193">
        <f t="shared" si="56"/>
        <v>1989.1666666666663</v>
      </c>
      <c r="FC23" s="1193">
        <f t="shared" ca="1" si="57"/>
        <v>6595.7200000000012</v>
      </c>
      <c r="FD23" s="1194">
        <f t="shared" ca="1" si="22"/>
        <v>4606.5533333333351</v>
      </c>
      <c r="FE23" s="1195">
        <f ca="1">FA23/'Planzahlen Rentabilität'!$FB$15</f>
        <v>7.0084529823880399E-3</v>
      </c>
      <c r="FF23" s="1195">
        <f>FB23/'Planzahlen Rentabilität'!$FB$15</f>
        <v>2.1136405210449914E-3</v>
      </c>
      <c r="FG23" s="1195">
        <f ca="1">FC23/'Planzahlen Rentabilität'!$FC$15</f>
        <v>4.1612629780008993E-2</v>
      </c>
      <c r="FH23" s="1193">
        <f ca="1">FH21-FH22</f>
        <v>0</v>
      </c>
      <c r="FI23" s="1193">
        <f>FI21-FI22</f>
        <v>180.83333333333334</v>
      </c>
      <c r="FJ23" s="1193">
        <f ca="1">FJ21-FJ22</f>
        <v>0</v>
      </c>
      <c r="FK23" s="1194">
        <f t="shared" ca="1" si="23"/>
        <v>-180.83333333333334</v>
      </c>
      <c r="FL23" s="1195">
        <f ca="1">FH23/'Planzahlen Rentabilität'!$FI$15</f>
        <v>0</v>
      </c>
      <c r="FM23" s="1195">
        <f>FI23/'Planzahlen Rentabilität'!$FI$15</f>
        <v>1.9428412870211543E-3</v>
      </c>
      <c r="FN23" s="1195">
        <f ca="1">FJ23/'Planzahlen Rentabilität'!$FJ$15</f>
        <v>0</v>
      </c>
      <c r="FO23" s="1193">
        <f t="shared" ca="1" si="58"/>
        <v>6595.7200000000012</v>
      </c>
      <c r="FP23" s="1193">
        <f t="shared" si="59"/>
        <v>2169.9999999999995</v>
      </c>
      <c r="FQ23" s="1193">
        <f t="shared" ca="1" si="60"/>
        <v>6595.7200000000012</v>
      </c>
      <c r="FR23" s="1194">
        <f t="shared" ca="1" si="24"/>
        <v>4425.7200000000012</v>
      </c>
      <c r="FS23" s="1195">
        <f ca="1">FO23/'Planzahlen Rentabilität'!$FP$15</f>
        <v>6.377692213973116E-3</v>
      </c>
      <c r="FT23" s="1195">
        <f>FP23/'Planzahlen Rentabilität'!$FP$15</f>
        <v>2.0982685899828459E-3</v>
      </c>
      <c r="FU23" s="1195">
        <f ca="1">FQ23/'Planzahlen Rentabilität'!$FQ$15</f>
        <v>4.1604230338265082E-2</v>
      </c>
      <c r="FV23" s="1171"/>
      <c r="FW23" s="1196">
        <v>0</v>
      </c>
    </row>
    <row r="24" spans="1:179" s="883" customFormat="1" x14ac:dyDescent="0.2">
      <c r="A24" s="1197">
        <v>40</v>
      </c>
      <c r="B24" s="1190" t="str">
        <f>'Struktur Aktuell'!B429</f>
        <v>Tilgung</v>
      </c>
      <c r="C24" s="1173">
        <f t="shared" ca="1" si="61"/>
        <v>0</v>
      </c>
      <c r="D24" s="1174">
        <f t="shared" si="62"/>
        <v>982.66666666666697</v>
      </c>
      <c r="E24" s="1175">
        <f t="shared" ca="1" si="61"/>
        <v>0</v>
      </c>
      <c r="F24" s="1169">
        <f t="shared" ca="1" si="2"/>
        <v>-982.66666666666697</v>
      </c>
      <c r="G24" s="1198"/>
      <c r="H24" s="1198"/>
      <c r="I24" s="1176"/>
      <c r="J24" s="1173">
        <f ca="1">SUMIF('Struktur Vorjahr'!$A:$A,'Planzahlen Liquidität'!$A24,'Struktur Vorjahr'!G:G)</f>
        <v>0</v>
      </c>
      <c r="K24" s="1174">
        <f>Finanzplanung!$AT$22</f>
        <v>57</v>
      </c>
      <c r="L24" s="1175">
        <f ca="1">SUMIF('Struktur Aktuell'!$A:$A,'Planzahlen Liquidität'!$A24,'Struktur Aktuell'!G:G)</f>
        <v>0</v>
      </c>
      <c r="M24" s="1169">
        <f t="shared" ca="1" si="3"/>
        <v>-57</v>
      </c>
      <c r="N24" s="1176"/>
      <c r="O24" s="1176"/>
      <c r="P24" s="1176"/>
      <c r="Q24" s="1173">
        <f t="shared" ca="1" si="25"/>
        <v>0</v>
      </c>
      <c r="R24" s="1174">
        <f t="shared" si="26"/>
        <v>57</v>
      </c>
      <c r="S24" s="1175">
        <f t="shared" ca="1" si="27"/>
        <v>0</v>
      </c>
      <c r="T24" s="1169">
        <f t="shared" ca="1" si="4"/>
        <v>-57</v>
      </c>
      <c r="U24" s="1176"/>
      <c r="V24" s="1176"/>
      <c r="W24" s="1176"/>
      <c r="X24" s="1173">
        <f ca="1">SUMIF('Struktur Vorjahr'!$A:$A,'Planzahlen Liquidität'!$A24,'Struktur Vorjahr'!H:H)</f>
        <v>0</v>
      </c>
      <c r="Y24" s="1174">
        <f>Finanzplanung!$AU$22</f>
        <v>57</v>
      </c>
      <c r="Z24" s="1175">
        <f ca="1">SUMIF('Struktur Aktuell'!$A:$A,'Planzahlen Liquidität'!$A24,'Struktur Aktuell'!H:H)</f>
        <v>0</v>
      </c>
      <c r="AA24" s="1169">
        <f t="shared" ca="1" si="5"/>
        <v>-57</v>
      </c>
      <c r="AB24" s="1176"/>
      <c r="AC24" s="1176"/>
      <c r="AD24" s="1176"/>
      <c r="AE24" s="1173">
        <f t="shared" ca="1" si="28"/>
        <v>0</v>
      </c>
      <c r="AF24" s="1174">
        <f t="shared" si="29"/>
        <v>114</v>
      </c>
      <c r="AG24" s="1175">
        <f t="shared" ca="1" si="30"/>
        <v>0</v>
      </c>
      <c r="AH24" s="1169">
        <f t="shared" ca="1" si="6"/>
        <v>-114</v>
      </c>
      <c r="AI24" s="1176"/>
      <c r="AJ24" s="1176"/>
      <c r="AK24" s="1176"/>
      <c r="AL24" s="1173">
        <v>0</v>
      </c>
      <c r="AM24" s="1174">
        <f>Finanzplanung!$AV$22</f>
        <v>57</v>
      </c>
      <c r="AN24" s="1175">
        <v>0</v>
      </c>
      <c r="AO24" s="1169">
        <f t="shared" si="7"/>
        <v>-57</v>
      </c>
      <c r="AP24" s="1176"/>
      <c r="AQ24" s="1176"/>
      <c r="AR24" s="1176"/>
      <c r="AS24" s="1173">
        <f t="shared" ca="1" si="31"/>
        <v>0</v>
      </c>
      <c r="AT24" s="1174">
        <f t="shared" si="32"/>
        <v>171</v>
      </c>
      <c r="AU24" s="1175">
        <f t="shared" ca="1" si="33"/>
        <v>0</v>
      </c>
      <c r="AV24" s="1169">
        <f t="shared" ca="1" si="8"/>
        <v>-171</v>
      </c>
      <c r="AW24" s="1176"/>
      <c r="AX24" s="1176"/>
      <c r="AY24" s="1176"/>
      <c r="AZ24" s="1173">
        <f ca="1">SUMIF('Struktur Vorjahr'!$A:$A,'Planzahlen Liquidität'!$A24,'Struktur Vorjahr'!J:J)</f>
        <v>0</v>
      </c>
      <c r="BA24" s="1174">
        <f>Finanzplanung!$AW$22</f>
        <v>57</v>
      </c>
      <c r="BB24" s="1175">
        <f ca="1">SUMIF('Struktur Aktuell'!$A:$A,'Planzahlen Liquidität'!$A24,'Struktur Aktuell'!J:J)</f>
        <v>0</v>
      </c>
      <c r="BC24" s="1169">
        <f t="shared" ca="1" si="9"/>
        <v>-57</v>
      </c>
      <c r="BD24" s="1176"/>
      <c r="BE24" s="1176"/>
      <c r="BF24" s="1176"/>
      <c r="BG24" s="1173">
        <f t="shared" ca="1" si="34"/>
        <v>0</v>
      </c>
      <c r="BH24" s="1174">
        <f t="shared" si="35"/>
        <v>228</v>
      </c>
      <c r="BI24" s="1175">
        <f t="shared" ca="1" si="36"/>
        <v>0</v>
      </c>
      <c r="BJ24" s="1169">
        <f t="shared" ca="1" si="10"/>
        <v>-228</v>
      </c>
      <c r="BK24" s="1176"/>
      <c r="BL24" s="1176"/>
      <c r="BM24" s="1176"/>
      <c r="BN24" s="1173">
        <f ca="1">SUMIF('Struktur Vorjahr'!$A:$A,'Planzahlen Liquidität'!$A24,'Struktur Vorjahr'!K:K)</f>
        <v>0</v>
      </c>
      <c r="BO24" s="1174">
        <f>Finanzplanung!$AX$22</f>
        <v>94.333333333333343</v>
      </c>
      <c r="BP24" s="1175">
        <f ca="1">SUMIF('Struktur Aktuell'!$A:$A,'Planzahlen Liquidität'!$A24,'Struktur Aktuell'!K:K)</f>
        <v>0</v>
      </c>
      <c r="BQ24" s="1169">
        <f t="shared" ca="1" si="11"/>
        <v>-94.333333333333343</v>
      </c>
      <c r="BR24" s="1176"/>
      <c r="BS24" s="1176"/>
      <c r="BT24" s="1176"/>
      <c r="BU24" s="1173">
        <f t="shared" ca="1" si="37"/>
        <v>0</v>
      </c>
      <c r="BV24" s="1174">
        <f t="shared" si="38"/>
        <v>322.33333333333337</v>
      </c>
      <c r="BW24" s="1175">
        <f t="shared" ca="1" si="39"/>
        <v>0</v>
      </c>
      <c r="BX24" s="1169">
        <f t="shared" ca="1" si="12"/>
        <v>-322.33333333333337</v>
      </c>
      <c r="BY24" s="1176"/>
      <c r="BZ24" s="1176"/>
      <c r="CA24" s="1176"/>
      <c r="CB24" s="1173">
        <f ca="1">SUMIF('Struktur Vorjahr'!$A:$A,'Planzahlen Liquidität'!$A24,'Struktur Vorjahr'!L:L)</f>
        <v>0</v>
      </c>
      <c r="CC24" s="1174">
        <f>Finanzplanung!$AY$22</f>
        <v>94.333333333333343</v>
      </c>
      <c r="CD24" s="1175">
        <f ca="1">SUMIF('Struktur Aktuell'!$A:$A,'Planzahlen Liquidität'!$A24,'Struktur Aktuell'!L:L)</f>
        <v>0</v>
      </c>
      <c r="CE24" s="1169">
        <f t="shared" ca="1" si="13"/>
        <v>-94.333333333333343</v>
      </c>
      <c r="CF24" s="1176"/>
      <c r="CG24" s="1176"/>
      <c r="CH24" s="1176"/>
      <c r="CI24" s="1173">
        <f t="shared" ca="1" si="40"/>
        <v>0</v>
      </c>
      <c r="CJ24" s="1174">
        <f t="shared" si="41"/>
        <v>416.66666666666674</v>
      </c>
      <c r="CK24" s="1175">
        <f t="shared" ca="1" si="42"/>
        <v>0</v>
      </c>
      <c r="CL24" s="1169">
        <f t="shared" ca="1" si="0"/>
        <v>-416.66666666666674</v>
      </c>
      <c r="CM24" s="1176"/>
      <c r="CN24" s="1176"/>
      <c r="CO24" s="1176"/>
      <c r="CP24" s="1173">
        <f ca="1">SUMIF('Struktur Vorjahr'!$A:$A,'Planzahlen Liquidität'!$A24,'Struktur Vorjahr'!M:M)</f>
        <v>0</v>
      </c>
      <c r="CQ24" s="1174">
        <f>Finanzplanung!$AZ$22</f>
        <v>94.333333333333343</v>
      </c>
      <c r="CR24" s="1175">
        <f ca="1">SUMIF('Struktur Aktuell'!$A:$A,'Planzahlen Liquidität'!$A24,'Struktur Aktuell'!M:M)</f>
        <v>0</v>
      </c>
      <c r="CS24" s="1169">
        <f t="shared" ca="1" si="1"/>
        <v>-94.333333333333343</v>
      </c>
      <c r="CT24" s="1176"/>
      <c r="CU24" s="1176"/>
      <c r="CV24" s="1176"/>
      <c r="CW24" s="1173">
        <f t="shared" ca="1" si="43"/>
        <v>0</v>
      </c>
      <c r="CX24" s="1174">
        <f t="shared" si="44"/>
        <v>511.00000000000011</v>
      </c>
      <c r="CY24" s="1175">
        <f t="shared" ca="1" si="45"/>
        <v>0</v>
      </c>
      <c r="CZ24" s="1169">
        <f t="shared" ca="1" si="14"/>
        <v>-511.00000000000011</v>
      </c>
      <c r="DA24" s="1176"/>
      <c r="DB24" s="1176"/>
      <c r="DC24" s="1176"/>
      <c r="DD24" s="1173">
        <f ca="1">SUMIF('Struktur Vorjahr'!$A:$A,'Planzahlen Liquidität'!$A24,'Struktur Vorjahr'!N:N)</f>
        <v>0</v>
      </c>
      <c r="DE24" s="1174">
        <f>Finanzplanung!$BA$22</f>
        <v>94.333333333333343</v>
      </c>
      <c r="DF24" s="1175">
        <f ca="1">SUMIF('Struktur Aktuell'!$A:$A,'Planzahlen Liquidität'!$A24,'Struktur Aktuell'!N:N)</f>
        <v>0</v>
      </c>
      <c r="DG24" s="1169">
        <f t="shared" ca="1" si="15"/>
        <v>-94.333333333333343</v>
      </c>
      <c r="DH24" s="1176"/>
      <c r="DI24" s="1176"/>
      <c r="DJ24" s="1176"/>
      <c r="DK24" s="1173">
        <f t="shared" ca="1" si="46"/>
        <v>0</v>
      </c>
      <c r="DL24" s="1174">
        <f t="shared" si="47"/>
        <v>605.33333333333348</v>
      </c>
      <c r="DM24" s="1175">
        <f t="shared" ca="1" si="48"/>
        <v>0</v>
      </c>
      <c r="DN24" s="1169">
        <f t="shared" ca="1" si="16"/>
        <v>-605.33333333333348</v>
      </c>
      <c r="DO24" s="1176"/>
      <c r="DP24" s="1176"/>
      <c r="DQ24" s="1176"/>
      <c r="DR24" s="1173">
        <f ca="1">SUMIF('Struktur Vorjahr'!$A:$A,'Planzahlen Liquidität'!$A24,'Struktur Vorjahr'!O:O)</f>
        <v>0</v>
      </c>
      <c r="DS24" s="1174">
        <f>Finanzplanung!$BB$22</f>
        <v>94.333333333333343</v>
      </c>
      <c r="DT24" s="1175">
        <f ca="1">SUMIF('Struktur Aktuell'!$A:$A,'Planzahlen Liquidität'!$A24,'Struktur Aktuell'!O:O)</f>
        <v>0</v>
      </c>
      <c r="DU24" s="1169">
        <f t="shared" ca="1" si="17"/>
        <v>-94.333333333333343</v>
      </c>
      <c r="DV24" s="1176"/>
      <c r="DW24" s="1176"/>
      <c r="DX24" s="1176"/>
      <c r="DY24" s="1173">
        <f t="shared" ca="1" si="49"/>
        <v>0</v>
      </c>
      <c r="DZ24" s="1174">
        <f t="shared" si="50"/>
        <v>699.66666666666686</v>
      </c>
      <c r="EA24" s="1175">
        <f t="shared" ca="1" si="51"/>
        <v>0</v>
      </c>
      <c r="EB24" s="1169">
        <f t="shared" ca="1" si="18"/>
        <v>-699.66666666666686</v>
      </c>
      <c r="EC24" s="1176"/>
      <c r="ED24" s="1176"/>
      <c r="EE24" s="1176"/>
      <c r="EF24" s="1173">
        <f ca="1">SUMIF('Struktur Vorjahr'!$A:$A,'Planzahlen Liquidität'!$A24,'Struktur Vorjahr'!P:P)</f>
        <v>0</v>
      </c>
      <c r="EG24" s="1174">
        <f>Finanzplanung!$BC$22</f>
        <v>94.333333333333343</v>
      </c>
      <c r="EH24" s="1175">
        <f ca="1">SUMIF('Struktur Aktuell'!$A:$A,'Planzahlen Liquidität'!$A24,'Struktur Aktuell'!P:P)</f>
        <v>0</v>
      </c>
      <c r="EI24" s="1169">
        <f t="shared" ca="1" si="19"/>
        <v>-94.333333333333343</v>
      </c>
      <c r="EJ24" s="1176"/>
      <c r="EK24" s="1176"/>
      <c r="EL24" s="1176"/>
      <c r="EM24" s="1173">
        <f t="shared" ca="1" si="52"/>
        <v>0</v>
      </c>
      <c r="EN24" s="1174">
        <f t="shared" si="53"/>
        <v>794.00000000000023</v>
      </c>
      <c r="EO24" s="1175">
        <f t="shared" ca="1" si="54"/>
        <v>0</v>
      </c>
      <c r="EP24" s="1169">
        <f t="shared" ca="1" si="20"/>
        <v>-794.00000000000023</v>
      </c>
      <c r="EQ24" s="1176"/>
      <c r="ER24" s="1176"/>
      <c r="ES24" s="1176"/>
      <c r="ET24" s="1173">
        <f ca="1">SUMIF('Struktur Vorjahr'!$A:$A,'Planzahlen Liquidität'!$A24,'Struktur Vorjahr'!Q:Q)</f>
        <v>0</v>
      </c>
      <c r="EU24" s="1174">
        <f>Finanzplanung!$BD$22</f>
        <v>94.333333333333343</v>
      </c>
      <c r="EV24" s="1175">
        <f ca="1">SUMIF('Struktur Aktuell'!$A:$A,'Planzahlen Liquidität'!$A24,'Struktur Aktuell'!Q:Q)</f>
        <v>0</v>
      </c>
      <c r="EW24" s="1169">
        <f t="shared" ca="1" si="21"/>
        <v>-94.333333333333343</v>
      </c>
      <c r="EX24" s="1176"/>
      <c r="EY24" s="1176"/>
      <c r="EZ24" s="1176"/>
      <c r="FA24" s="1173">
        <f t="shared" ca="1" si="55"/>
        <v>0</v>
      </c>
      <c r="FB24" s="1174">
        <f t="shared" si="56"/>
        <v>888.3333333333336</v>
      </c>
      <c r="FC24" s="1175">
        <f t="shared" ca="1" si="57"/>
        <v>0</v>
      </c>
      <c r="FD24" s="1169">
        <f t="shared" ca="1" si="22"/>
        <v>-888.3333333333336</v>
      </c>
      <c r="FE24" s="1176"/>
      <c r="FF24" s="1176"/>
      <c r="FG24" s="1176"/>
      <c r="FH24" s="1173">
        <f ca="1">SUMIF('Struktur Vorjahr'!$A:$A,'Planzahlen Liquidität'!$A24,'Struktur Vorjahr'!R:R)</f>
        <v>0</v>
      </c>
      <c r="FI24" s="1174">
        <f>Finanzplanung!$BE$22</f>
        <v>94.333333333333343</v>
      </c>
      <c r="FJ24" s="1175">
        <f ca="1">SUMIF('Struktur Aktuell'!$A:$A,'Planzahlen Liquidität'!$A24,'Struktur Aktuell'!R:R)</f>
        <v>0</v>
      </c>
      <c r="FK24" s="1169">
        <f t="shared" ca="1" si="23"/>
        <v>-94.333333333333343</v>
      </c>
      <c r="FL24" s="1176"/>
      <c r="FM24" s="1176"/>
      <c r="FN24" s="1176"/>
      <c r="FO24" s="1173">
        <f t="shared" ca="1" si="58"/>
        <v>0</v>
      </c>
      <c r="FP24" s="1174">
        <f t="shared" si="59"/>
        <v>982.66666666666697</v>
      </c>
      <c r="FQ24" s="1175">
        <f t="shared" ca="1" si="60"/>
        <v>0</v>
      </c>
      <c r="FR24" s="1169">
        <f t="shared" ca="1" si="24"/>
        <v>-982.66666666666697</v>
      </c>
      <c r="FS24" s="1176"/>
      <c r="FT24" s="1176"/>
      <c r="FU24" s="1176"/>
      <c r="FV24" s="1171"/>
      <c r="FW24" s="1169">
        <v>0</v>
      </c>
    </row>
    <row r="25" spans="1:179" s="883" customFormat="1" x14ac:dyDescent="0.2">
      <c r="A25" s="1190"/>
      <c r="B25" s="1199" t="s">
        <v>798</v>
      </c>
      <c r="C25" s="1173">
        <f t="shared" si="61"/>
        <v>0</v>
      </c>
      <c r="D25" s="1174">
        <f t="shared" si="62"/>
        <v>0</v>
      </c>
      <c r="E25" s="1175">
        <f t="shared" si="61"/>
        <v>0</v>
      </c>
      <c r="F25" s="1169">
        <f t="shared" si="2"/>
        <v>0</v>
      </c>
      <c r="G25" s="1176"/>
      <c r="H25" s="1176"/>
      <c r="I25" s="1176"/>
      <c r="J25" s="1173">
        <f>SUMIF('Struktur Vorjahr'!$A:$A,'Planzahlen Liquidität'!$A25,'Struktur Vorjahr'!G:G)</f>
        <v>0</v>
      </c>
      <c r="K25" s="1174"/>
      <c r="L25" s="1175">
        <f>SUMIF('Struktur Aktuell'!$A:$A,'Planzahlen Liquidität'!$A25,'Struktur Aktuell'!G:G)</f>
        <v>0</v>
      </c>
      <c r="M25" s="1169">
        <f t="shared" si="3"/>
        <v>0</v>
      </c>
      <c r="N25" s="1176"/>
      <c r="O25" s="1176"/>
      <c r="P25" s="1176"/>
      <c r="Q25" s="1173">
        <f t="shared" si="25"/>
        <v>0</v>
      </c>
      <c r="R25" s="1174">
        <f t="shared" si="26"/>
        <v>0</v>
      </c>
      <c r="S25" s="1175">
        <f t="shared" si="27"/>
        <v>0</v>
      </c>
      <c r="T25" s="1169">
        <f t="shared" si="4"/>
        <v>0</v>
      </c>
      <c r="U25" s="1176"/>
      <c r="V25" s="1176"/>
      <c r="W25" s="1176"/>
      <c r="X25" s="1173">
        <f>SUMIF('Struktur Vorjahr'!$A:$A,'Planzahlen Liquidität'!$A25,'Struktur Vorjahr'!H:H)</f>
        <v>0</v>
      </c>
      <c r="Y25" s="1174">
        <f>K25</f>
        <v>0</v>
      </c>
      <c r="Z25" s="1175">
        <f>SUMIF('Struktur Aktuell'!$A:$A,'Planzahlen Liquidität'!$A25,'Struktur Aktuell'!H:H)</f>
        <v>0</v>
      </c>
      <c r="AA25" s="1169">
        <f t="shared" si="5"/>
        <v>0</v>
      </c>
      <c r="AB25" s="1176"/>
      <c r="AC25" s="1176"/>
      <c r="AD25" s="1176"/>
      <c r="AE25" s="1173">
        <f t="shared" si="28"/>
        <v>0</v>
      </c>
      <c r="AF25" s="1174">
        <f t="shared" si="29"/>
        <v>0</v>
      </c>
      <c r="AG25" s="1175">
        <f t="shared" si="30"/>
        <v>0</v>
      </c>
      <c r="AH25" s="1169">
        <f t="shared" si="6"/>
        <v>0</v>
      </c>
      <c r="AI25" s="1176"/>
      <c r="AJ25" s="1176"/>
      <c r="AK25" s="1176"/>
      <c r="AL25" s="1173">
        <f>SUMIF('Struktur Vorjahr'!$A:$A,'Planzahlen Liquidität'!$A25,'Struktur Vorjahr'!I:I)</f>
        <v>0</v>
      </c>
      <c r="AM25" s="1174">
        <f>Y25</f>
        <v>0</v>
      </c>
      <c r="AN25" s="1175">
        <f>SUMIF('Struktur Aktuell'!$A:$A,'Planzahlen Liquidität'!$A25,'Struktur Aktuell'!I:I)</f>
        <v>0</v>
      </c>
      <c r="AO25" s="1169">
        <f t="shared" si="7"/>
        <v>0</v>
      </c>
      <c r="AP25" s="1176"/>
      <c r="AQ25" s="1176"/>
      <c r="AR25" s="1176"/>
      <c r="AS25" s="1173">
        <f t="shared" si="31"/>
        <v>0</v>
      </c>
      <c r="AT25" s="1174">
        <f t="shared" si="32"/>
        <v>0</v>
      </c>
      <c r="AU25" s="1175">
        <f t="shared" si="33"/>
        <v>0</v>
      </c>
      <c r="AV25" s="1169">
        <f t="shared" si="8"/>
        <v>0</v>
      </c>
      <c r="AW25" s="1176"/>
      <c r="AX25" s="1176"/>
      <c r="AY25" s="1176"/>
      <c r="AZ25" s="1173">
        <f>SUMIF('Struktur Vorjahr'!$A:$A,'Planzahlen Liquidität'!$A25,'Struktur Vorjahr'!J:J)</f>
        <v>0</v>
      </c>
      <c r="BA25" s="1174">
        <f>AM25</f>
        <v>0</v>
      </c>
      <c r="BB25" s="1175">
        <f>SUMIF('Struktur Aktuell'!$A:$A,'Planzahlen Liquidität'!$A25,'Struktur Aktuell'!J:J)</f>
        <v>0</v>
      </c>
      <c r="BC25" s="1169">
        <f t="shared" si="9"/>
        <v>0</v>
      </c>
      <c r="BD25" s="1176"/>
      <c r="BE25" s="1176"/>
      <c r="BF25" s="1176"/>
      <c r="BG25" s="1173">
        <f t="shared" si="34"/>
        <v>0</v>
      </c>
      <c r="BH25" s="1174">
        <f t="shared" si="35"/>
        <v>0</v>
      </c>
      <c r="BI25" s="1175">
        <f t="shared" si="36"/>
        <v>0</v>
      </c>
      <c r="BJ25" s="1169">
        <f t="shared" si="10"/>
        <v>0</v>
      </c>
      <c r="BK25" s="1176"/>
      <c r="BL25" s="1176"/>
      <c r="BM25" s="1176"/>
      <c r="BN25" s="1173">
        <f>SUMIF('Struktur Vorjahr'!$A:$A,'Planzahlen Liquidität'!$A25,'Struktur Vorjahr'!K:K)</f>
        <v>0</v>
      </c>
      <c r="BO25" s="1174">
        <f>BA25</f>
        <v>0</v>
      </c>
      <c r="BP25" s="1175">
        <f>SUMIF('Struktur Aktuell'!$A:$A,'Planzahlen Liquidität'!$A25,'Struktur Aktuell'!K:K)</f>
        <v>0</v>
      </c>
      <c r="BQ25" s="1169">
        <f t="shared" si="11"/>
        <v>0</v>
      </c>
      <c r="BR25" s="1176"/>
      <c r="BS25" s="1176"/>
      <c r="BT25" s="1176"/>
      <c r="BU25" s="1173">
        <f t="shared" si="37"/>
        <v>0</v>
      </c>
      <c r="BV25" s="1174">
        <f t="shared" si="38"/>
        <v>0</v>
      </c>
      <c r="BW25" s="1175">
        <f t="shared" si="39"/>
        <v>0</v>
      </c>
      <c r="BX25" s="1169">
        <f t="shared" si="12"/>
        <v>0</v>
      </c>
      <c r="BY25" s="1176"/>
      <c r="BZ25" s="1176"/>
      <c r="CA25" s="1176"/>
      <c r="CB25" s="1173">
        <f>SUMIF('Struktur Vorjahr'!$A:$A,'Planzahlen Liquidität'!$A25,'Struktur Vorjahr'!L:L)</f>
        <v>0</v>
      </c>
      <c r="CC25" s="1174">
        <f>BO25</f>
        <v>0</v>
      </c>
      <c r="CD25" s="1175">
        <f>SUMIF('Struktur Aktuell'!$A:$A,'Planzahlen Liquidität'!$A25,'Struktur Aktuell'!L:L)</f>
        <v>0</v>
      </c>
      <c r="CE25" s="1169">
        <f t="shared" si="13"/>
        <v>0</v>
      </c>
      <c r="CF25" s="1176"/>
      <c r="CG25" s="1176"/>
      <c r="CH25" s="1176"/>
      <c r="CI25" s="1173">
        <f t="shared" si="40"/>
        <v>0</v>
      </c>
      <c r="CJ25" s="1174">
        <f t="shared" si="41"/>
        <v>0</v>
      </c>
      <c r="CK25" s="1175">
        <f t="shared" si="42"/>
        <v>0</v>
      </c>
      <c r="CL25" s="1169">
        <f t="shared" si="0"/>
        <v>0</v>
      </c>
      <c r="CM25" s="1176"/>
      <c r="CN25" s="1176"/>
      <c r="CO25" s="1176"/>
      <c r="CP25" s="1173">
        <f>SUMIF('Struktur Vorjahr'!$A:$A,'Planzahlen Liquidität'!$A25,'Struktur Vorjahr'!M:M)</f>
        <v>0</v>
      </c>
      <c r="CQ25" s="1174">
        <f>CC25</f>
        <v>0</v>
      </c>
      <c r="CR25" s="1175">
        <f>SUMIF('Struktur Aktuell'!$A:$A,'Planzahlen Liquidität'!$A25,'Struktur Aktuell'!M:M)</f>
        <v>0</v>
      </c>
      <c r="CS25" s="1169">
        <f t="shared" si="1"/>
        <v>0</v>
      </c>
      <c r="CT25" s="1176"/>
      <c r="CU25" s="1176"/>
      <c r="CV25" s="1176"/>
      <c r="CW25" s="1173">
        <f t="shared" si="43"/>
        <v>0</v>
      </c>
      <c r="CX25" s="1174">
        <f t="shared" si="44"/>
        <v>0</v>
      </c>
      <c r="CY25" s="1175">
        <f t="shared" si="45"/>
        <v>0</v>
      </c>
      <c r="CZ25" s="1169">
        <f t="shared" si="14"/>
        <v>0</v>
      </c>
      <c r="DA25" s="1176"/>
      <c r="DB25" s="1176"/>
      <c r="DC25" s="1176"/>
      <c r="DD25" s="1173">
        <f>SUMIF('Struktur Vorjahr'!$A:$A,'Planzahlen Liquidität'!$A25,'Struktur Vorjahr'!N:N)</f>
        <v>0</v>
      </c>
      <c r="DE25" s="1174">
        <f>CQ25</f>
        <v>0</v>
      </c>
      <c r="DF25" s="1175">
        <f>SUMIF('Struktur Aktuell'!$A:$A,'Planzahlen Liquidität'!$A25,'Struktur Aktuell'!N:N)</f>
        <v>0</v>
      </c>
      <c r="DG25" s="1169">
        <f t="shared" si="15"/>
        <v>0</v>
      </c>
      <c r="DH25" s="1176"/>
      <c r="DI25" s="1176"/>
      <c r="DJ25" s="1176"/>
      <c r="DK25" s="1173">
        <f t="shared" si="46"/>
        <v>0</v>
      </c>
      <c r="DL25" s="1174">
        <f t="shared" si="47"/>
        <v>0</v>
      </c>
      <c r="DM25" s="1175">
        <f t="shared" si="48"/>
        <v>0</v>
      </c>
      <c r="DN25" s="1169">
        <f t="shared" si="16"/>
        <v>0</v>
      </c>
      <c r="DO25" s="1176"/>
      <c r="DP25" s="1176"/>
      <c r="DQ25" s="1176"/>
      <c r="DR25" s="1173">
        <f>SUMIF('Struktur Vorjahr'!$A:$A,'Planzahlen Liquidität'!$A25,'Struktur Vorjahr'!O:O)</f>
        <v>0</v>
      </c>
      <c r="DS25" s="1174">
        <f>DE25</f>
        <v>0</v>
      </c>
      <c r="DT25" s="1175">
        <f>SUMIF('Struktur Aktuell'!$A:$A,'Planzahlen Liquidität'!$A25,'Struktur Aktuell'!O:O)</f>
        <v>0</v>
      </c>
      <c r="DU25" s="1169">
        <f t="shared" si="17"/>
        <v>0</v>
      </c>
      <c r="DV25" s="1176"/>
      <c r="DW25" s="1176"/>
      <c r="DX25" s="1176"/>
      <c r="DY25" s="1173">
        <f t="shared" si="49"/>
        <v>0</v>
      </c>
      <c r="DZ25" s="1174">
        <f t="shared" si="50"/>
        <v>0</v>
      </c>
      <c r="EA25" s="1175">
        <f t="shared" si="51"/>
        <v>0</v>
      </c>
      <c r="EB25" s="1169">
        <f t="shared" si="18"/>
        <v>0</v>
      </c>
      <c r="EC25" s="1176"/>
      <c r="ED25" s="1176"/>
      <c r="EE25" s="1176"/>
      <c r="EF25" s="1173">
        <f>SUMIF('Struktur Vorjahr'!$A:$A,'Planzahlen Liquidität'!$A25,'Struktur Vorjahr'!P:P)</f>
        <v>0</v>
      </c>
      <c r="EG25" s="1174">
        <f>DS25</f>
        <v>0</v>
      </c>
      <c r="EH25" s="1175">
        <f>SUMIF('Struktur Aktuell'!$A:$A,'Planzahlen Liquidität'!$A25,'Struktur Aktuell'!P:P)</f>
        <v>0</v>
      </c>
      <c r="EI25" s="1169">
        <f t="shared" si="19"/>
        <v>0</v>
      </c>
      <c r="EJ25" s="1176"/>
      <c r="EK25" s="1176"/>
      <c r="EL25" s="1176"/>
      <c r="EM25" s="1173">
        <f t="shared" si="52"/>
        <v>0</v>
      </c>
      <c r="EN25" s="1174">
        <f t="shared" si="53"/>
        <v>0</v>
      </c>
      <c r="EO25" s="1175">
        <f t="shared" si="54"/>
        <v>0</v>
      </c>
      <c r="EP25" s="1169">
        <f t="shared" si="20"/>
        <v>0</v>
      </c>
      <c r="EQ25" s="1176"/>
      <c r="ER25" s="1176"/>
      <c r="ES25" s="1176"/>
      <c r="ET25" s="1173">
        <f>SUMIF('Struktur Vorjahr'!$A:$A,'Planzahlen Liquidität'!$A25,'Struktur Vorjahr'!Q:Q)</f>
        <v>0</v>
      </c>
      <c r="EU25" s="1174">
        <f>EG25</f>
        <v>0</v>
      </c>
      <c r="EV25" s="1175">
        <f>SUMIF('Struktur Aktuell'!$A:$A,'Planzahlen Liquidität'!$A25,'Struktur Aktuell'!Q:Q)</f>
        <v>0</v>
      </c>
      <c r="EW25" s="1169">
        <f t="shared" si="21"/>
        <v>0</v>
      </c>
      <c r="EX25" s="1176"/>
      <c r="EY25" s="1176"/>
      <c r="EZ25" s="1176"/>
      <c r="FA25" s="1173">
        <f t="shared" si="55"/>
        <v>0</v>
      </c>
      <c r="FB25" s="1174">
        <f t="shared" si="56"/>
        <v>0</v>
      </c>
      <c r="FC25" s="1175">
        <f t="shared" si="57"/>
        <v>0</v>
      </c>
      <c r="FD25" s="1169">
        <f t="shared" si="22"/>
        <v>0</v>
      </c>
      <c r="FE25" s="1176"/>
      <c r="FF25" s="1176"/>
      <c r="FG25" s="1176"/>
      <c r="FH25" s="1173">
        <f>SUMIF('Struktur Vorjahr'!$A:$A,'Planzahlen Liquidität'!$A25,'Struktur Vorjahr'!R:R)</f>
        <v>0</v>
      </c>
      <c r="FI25" s="1174">
        <f>EU25</f>
        <v>0</v>
      </c>
      <c r="FJ25" s="1175">
        <f>SUMIF('Struktur Aktuell'!$A:$A,'Planzahlen Liquidität'!$A25,'Struktur Aktuell'!R:R)</f>
        <v>0</v>
      </c>
      <c r="FK25" s="1169">
        <f t="shared" si="23"/>
        <v>0</v>
      </c>
      <c r="FL25" s="1176"/>
      <c r="FM25" s="1176"/>
      <c r="FN25" s="1176"/>
      <c r="FO25" s="1173">
        <f t="shared" si="58"/>
        <v>0</v>
      </c>
      <c r="FP25" s="1174">
        <f t="shared" si="59"/>
        <v>0</v>
      </c>
      <c r="FQ25" s="1175">
        <f t="shared" si="60"/>
        <v>0</v>
      </c>
      <c r="FR25" s="1169">
        <f t="shared" si="24"/>
        <v>0</v>
      </c>
      <c r="FS25" s="1176"/>
      <c r="FT25" s="1176"/>
      <c r="FU25" s="1176"/>
      <c r="FV25" s="1171"/>
      <c r="FW25" s="1169"/>
    </row>
    <row r="26" spans="1:179" s="883" customFormat="1" x14ac:dyDescent="0.2">
      <c r="A26" s="1200">
        <v>41</v>
      </c>
      <c r="B26" s="1200" t="str">
        <f>'Struktur Aktuell'!B442</f>
        <v>Privatentnahmen</v>
      </c>
      <c r="C26" s="1185">
        <f t="shared" ca="1" si="61"/>
        <v>0</v>
      </c>
      <c r="D26" s="1186">
        <f t="shared" si="62"/>
        <v>0</v>
      </c>
      <c r="E26" s="1187">
        <f t="shared" ca="1" si="61"/>
        <v>0</v>
      </c>
      <c r="F26" s="1169">
        <f t="shared" ca="1" si="2"/>
        <v>0</v>
      </c>
      <c r="G26" s="1176"/>
      <c r="H26" s="1176"/>
      <c r="I26" s="1176"/>
      <c r="J26" s="1185">
        <f ca="1">SUMIF('Struktur Vorjahr'!$A:$A,'Planzahlen Liquidität'!$A26,'Struktur Vorjahr'!G:G)</f>
        <v>0</v>
      </c>
      <c r="K26" s="1186">
        <f>Monatsplanung!$W$107</f>
        <v>0</v>
      </c>
      <c r="L26" s="1187">
        <f ca="1">SUMIF('Struktur Aktuell'!$A:$A,'Planzahlen Liquidität'!$A26,'Struktur Aktuell'!G:G)</f>
        <v>0</v>
      </c>
      <c r="M26" s="1169">
        <f t="shared" ca="1" si="3"/>
        <v>0</v>
      </c>
      <c r="N26" s="1176"/>
      <c r="O26" s="1176"/>
      <c r="P26" s="1176"/>
      <c r="Q26" s="1185">
        <f t="shared" ca="1" si="25"/>
        <v>0</v>
      </c>
      <c r="R26" s="1186">
        <f t="shared" si="26"/>
        <v>0</v>
      </c>
      <c r="S26" s="1187">
        <f t="shared" ca="1" si="27"/>
        <v>0</v>
      </c>
      <c r="T26" s="1169">
        <f t="shared" ca="1" si="4"/>
        <v>0</v>
      </c>
      <c r="U26" s="1176"/>
      <c r="V26" s="1176"/>
      <c r="W26" s="1176"/>
      <c r="X26" s="1185">
        <f ca="1">SUMIF('Struktur Vorjahr'!$A:$A,'Planzahlen Liquidität'!$A26,'Struktur Vorjahr'!H:H)</f>
        <v>0</v>
      </c>
      <c r="Y26" s="1186">
        <f>Monatsplanung!$X$107</f>
        <v>0</v>
      </c>
      <c r="Z26" s="1187">
        <f ca="1">SUMIF('Struktur Aktuell'!$A:$A,'Planzahlen Liquidität'!$A26,'Struktur Aktuell'!H:H)</f>
        <v>0</v>
      </c>
      <c r="AA26" s="1169">
        <f t="shared" ca="1" si="5"/>
        <v>0</v>
      </c>
      <c r="AB26" s="1176"/>
      <c r="AC26" s="1176"/>
      <c r="AD26" s="1176"/>
      <c r="AE26" s="1185">
        <f t="shared" ca="1" si="28"/>
        <v>0</v>
      </c>
      <c r="AF26" s="1186">
        <f t="shared" si="29"/>
        <v>0</v>
      </c>
      <c r="AG26" s="1187">
        <f t="shared" ca="1" si="30"/>
        <v>0</v>
      </c>
      <c r="AH26" s="1169">
        <f t="shared" ca="1" si="6"/>
        <v>0</v>
      </c>
      <c r="AI26" s="1176"/>
      <c r="AJ26" s="1176"/>
      <c r="AK26" s="1176"/>
      <c r="AL26" s="1185">
        <v>0</v>
      </c>
      <c r="AM26" s="1186">
        <f>Monatsplanung!$Y$107</f>
        <v>0</v>
      </c>
      <c r="AN26" s="1187">
        <v>0</v>
      </c>
      <c r="AO26" s="1169">
        <f t="shared" si="7"/>
        <v>0</v>
      </c>
      <c r="AP26" s="1176"/>
      <c r="AQ26" s="1176"/>
      <c r="AR26" s="1176"/>
      <c r="AS26" s="1185">
        <f t="shared" ca="1" si="31"/>
        <v>0</v>
      </c>
      <c r="AT26" s="1186">
        <f t="shared" si="32"/>
        <v>0</v>
      </c>
      <c r="AU26" s="1187">
        <f t="shared" ca="1" si="33"/>
        <v>0</v>
      </c>
      <c r="AV26" s="1169">
        <f t="shared" ca="1" si="8"/>
        <v>0</v>
      </c>
      <c r="AW26" s="1176"/>
      <c r="AX26" s="1176"/>
      <c r="AY26" s="1176"/>
      <c r="AZ26" s="1185">
        <f ca="1">SUMIF('Struktur Vorjahr'!$A:$A,'Planzahlen Liquidität'!$A26,'Struktur Vorjahr'!J:J)</f>
        <v>0</v>
      </c>
      <c r="BA26" s="1186">
        <f>Monatsplanung!$Z$107</f>
        <v>0</v>
      </c>
      <c r="BB26" s="1187">
        <f ca="1">SUMIF('Struktur Aktuell'!$A:$A,'Planzahlen Liquidität'!$A26,'Struktur Aktuell'!J:J)</f>
        <v>0</v>
      </c>
      <c r="BC26" s="1169">
        <f t="shared" ca="1" si="9"/>
        <v>0</v>
      </c>
      <c r="BD26" s="1176"/>
      <c r="BE26" s="1176"/>
      <c r="BF26" s="1176"/>
      <c r="BG26" s="1185">
        <f t="shared" ca="1" si="34"/>
        <v>0</v>
      </c>
      <c r="BH26" s="1186">
        <f t="shared" si="35"/>
        <v>0</v>
      </c>
      <c r="BI26" s="1187">
        <f t="shared" ca="1" si="36"/>
        <v>0</v>
      </c>
      <c r="BJ26" s="1169">
        <f t="shared" ca="1" si="10"/>
        <v>0</v>
      </c>
      <c r="BK26" s="1176"/>
      <c r="BL26" s="1176"/>
      <c r="BM26" s="1176"/>
      <c r="BN26" s="1185">
        <f ca="1">SUMIF('Struktur Vorjahr'!$A:$A,'Planzahlen Liquidität'!$A26,'Struktur Vorjahr'!K:K)</f>
        <v>0</v>
      </c>
      <c r="BO26" s="1186">
        <f>Monatsplanung!$AA$107</f>
        <v>0</v>
      </c>
      <c r="BP26" s="1187">
        <f ca="1">SUMIF('Struktur Aktuell'!$A:$A,'Planzahlen Liquidität'!$A26,'Struktur Aktuell'!K:K)</f>
        <v>0</v>
      </c>
      <c r="BQ26" s="1169">
        <f t="shared" ca="1" si="11"/>
        <v>0</v>
      </c>
      <c r="BR26" s="1176"/>
      <c r="BS26" s="1176"/>
      <c r="BT26" s="1176"/>
      <c r="BU26" s="1185">
        <f t="shared" ca="1" si="37"/>
        <v>0</v>
      </c>
      <c r="BV26" s="1186">
        <f t="shared" si="38"/>
        <v>0</v>
      </c>
      <c r="BW26" s="1187">
        <f t="shared" ca="1" si="39"/>
        <v>0</v>
      </c>
      <c r="BX26" s="1169">
        <f t="shared" ca="1" si="12"/>
        <v>0</v>
      </c>
      <c r="BY26" s="1176"/>
      <c r="BZ26" s="1176"/>
      <c r="CA26" s="1176"/>
      <c r="CB26" s="1185">
        <f ca="1">SUMIF('Struktur Vorjahr'!$A:$A,'Planzahlen Liquidität'!$A26,'Struktur Vorjahr'!L:L)</f>
        <v>0</v>
      </c>
      <c r="CC26" s="1186">
        <f>Monatsplanung!$AB$107</f>
        <v>0</v>
      </c>
      <c r="CD26" s="1187">
        <f ca="1">SUMIF('Struktur Aktuell'!$A:$A,'Planzahlen Liquidität'!$A26,'Struktur Aktuell'!L:L)</f>
        <v>0</v>
      </c>
      <c r="CE26" s="1169">
        <f t="shared" ca="1" si="13"/>
        <v>0</v>
      </c>
      <c r="CF26" s="1176"/>
      <c r="CG26" s="1176"/>
      <c r="CH26" s="1176"/>
      <c r="CI26" s="1185">
        <f t="shared" ca="1" si="40"/>
        <v>0</v>
      </c>
      <c r="CJ26" s="1186">
        <f t="shared" si="41"/>
        <v>0</v>
      </c>
      <c r="CK26" s="1187">
        <f t="shared" ca="1" si="42"/>
        <v>0</v>
      </c>
      <c r="CL26" s="1169">
        <f t="shared" ca="1" si="0"/>
        <v>0</v>
      </c>
      <c r="CM26" s="1176"/>
      <c r="CN26" s="1176"/>
      <c r="CO26" s="1176"/>
      <c r="CP26" s="1185">
        <f ca="1">SUMIF('Struktur Vorjahr'!$A:$A,'Planzahlen Liquidität'!$A26,'Struktur Vorjahr'!M:M)</f>
        <v>0</v>
      </c>
      <c r="CQ26" s="1186">
        <f>Monatsplanung!$AC$107</f>
        <v>0</v>
      </c>
      <c r="CR26" s="1187">
        <f ca="1">SUMIF('Struktur Aktuell'!$A:$A,'Planzahlen Liquidität'!$A26,'Struktur Aktuell'!M:M)</f>
        <v>0</v>
      </c>
      <c r="CS26" s="1169">
        <f t="shared" ca="1" si="1"/>
        <v>0</v>
      </c>
      <c r="CT26" s="1176"/>
      <c r="CU26" s="1176"/>
      <c r="CV26" s="1176"/>
      <c r="CW26" s="1185">
        <f t="shared" ca="1" si="43"/>
        <v>0</v>
      </c>
      <c r="CX26" s="1186">
        <f t="shared" si="44"/>
        <v>0</v>
      </c>
      <c r="CY26" s="1187">
        <f t="shared" ca="1" si="45"/>
        <v>0</v>
      </c>
      <c r="CZ26" s="1169">
        <f t="shared" ca="1" si="14"/>
        <v>0</v>
      </c>
      <c r="DA26" s="1176"/>
      <c r="DB26" s="1176"/>
      <c r="DC26" s="1176"/>
      <c r="DD26" s="1185">
        <f ca="1">SUMIF('Struktur Vorjahr'!$A:$A,'Planzahlen Liquidität'!$A26,'Struktur Vorjahr'!N:N)</f>
        <v>0</v>
      </c>
      <c r="DE26" s="1186">
        <f>Monatsplanung!$AD$107</f>
        <v>0</v>
      </c>
      <c r="DF26" s="1187">
        <f ca="1">SUMIF('Struktur Aktuell'!$A:$A,'Planzahlen Liquidität'!$A26,'Struktur Aktuell'!N:N)</f>
        <v>0</v>
      </c>
      <c r="DG26" s="1169">
        <f t="shared" ca="1" si="15"/>
        <v>0</v>
      </c>
      <c r="DH26" s="1176"/>
      <c r="DI26" s="1176"/>
      <c r="DJ26" s="1176"/>
      <c r="DK26" s="1185">
        <f t="shared" ca="1" si="46"/>
        <v>0</v>
      </c>
      <c r="DL26" s="1186">
        <f t="shared" si="47"/>
        <v>0</v>
      </c>
      <c r="DM26" s="1187">
        <f t="shared" ca="1" si="48"/>
        <v>0</v>
      </c>
      <c r="DN26" s="1169">
        <f t="shared" ca="1" si="16"/>
        <v>0</v>
      </c>
      <c r="DO26" s="1176"/>
      <c r="DP26" s="1176"/>
      <c r="DQ26" s="1176"/>
      <c r="DR26" s="1185">
        <f ca="1">SUMIF('Struktur Vorjahr'!$A:$A,'Planzahlen Liquidität'!$A26,'Struktur Vorjahr'!O:O)</f>
        <v>0</v>
      </c>
      <c r="DS26" s="1186">
        <f>Monatsplanung!$AE$107</f>
        <v>0</v>
      </c>
      <c r="DT26" s="1187">
        <f ca="1">SUMIF('Struktur Aktuell'!$A:$A,'Planzahlen Liquidität'!$A26,'Struktur Aktuell'!O:O)</f>
        <v>0</v>
      </c>
      <c r="DU26" s="1169">
        <f t="shared" ca="1" si="17"/>
        <v>0</v>
      </c>
      <c r="DV26" s="1176"/>
      <c r="DW26" s="1176"/>
      <c r="DX26" s="1176"/>
      <c r="DY26" s="1185">
        <f t="shared" ca="1" si="49"/>
        <v>0</v>
      </c>
      <c r="DZ26" s="1186">
        <f t="shared" si="50"/>
        <v>0</v>
      </c>
      <c r="EA26" s="1187">
        <f t="shared" ca="1" si="51"/>
        <v>0</v>
      </c>
      <c r="EB26" s="1169">
        <f t="shared" ca="1" si="18"/>
        <v>0</v>
      </c>
      <c r="EC26" s="1176"/>
      <c r="ED26" s="1176"/>
      <c r="EE26" s="1176"/>
      <c r="EF26" s="1185">
        <f ca="1">SUMIF('Struktur Vorjahr'!$A:$A,'Planzahlen Liquidität'!$A26,'Struktur Vorjahr'!P:P)</f>
        <v>0</v>
      </c>
      <c r="EG26" s="1186">
        <f>Monatsplanung!$AF$107</f>
        <v>0</v>
      </c>
      <c r="EH26" s="1187">
        <f ca="1">SUMIF('Struktur Aktuell'!$A:$A,'Planzahlen Liquidität'!$A26,'Struktur Aktuell'!P:P)</f>
        <v>0</v>
      </c>
      <c r="EI26" s="1169">
        <f t="shared" ca="1" si="19"/>
        <v>0</v>
      </c>
      <c r="EJ26" s="1176"/>
      <c r="EK26" s="1176"/>
      <c r="EL26" s="1176"/>
      <c r="EM26" s="1185">
        <f t="shared" ca="1" si="52"/>
        <v>0</v>
      </c>
      <c r="EN26" s="1186">
        <f t="shared" si="53"/>
        <v>0</v>
      </c>
      <c r="EO26" s="1187">
        <f t="shared" ca="1" si="54"/>
        <v>0</v>
      </c>
      <c r="EP26" s="1169">
        <f t="shared" ca="1" si="20"/>
        <v>0</v>
      </c>
      <c r="EQ26" s="1176"/>
      <c r="ER26" s="1176"/>
      <c r="ES26" s="1176"/>
      <c r="ET26" s="1185">
        <f ca="1">SUMIF('Struktur Vorjahr'!$A:$A,'Planzahlen Liquidität'!$A26,'Struktur Vorjahr'!Q:Q)</f>
        <v>0</v>
      </c>
      <c r="EU26" s="1186">
        <f>Monatsplanung!$AG$107</f>
        <v>0</v>
      </c>
      <c r="EV26" s="1187">
        <f ca="1">SUMIF('Struktur Aktuell'!$A:$A,'Planzahlen Liquidität'!$A26,'Struktur Aktuell'!Q:Q)</f>
        <v>0</v>
      </c>
      <c r="EW26" s="1169">
        <f t="shared" ca="1" si="21"/>
        <v>0</v>
      </c>
      <c r="EX26" s="1176"/>
      <c r="EY26" s="1176"/>
      <c r="EZ26" s="1176"/>
      <c r="FA26" s="1185">
        <f t="shared" ca="1" si="55"/>
        <v>0</v>
      </c>
      <c r="FB26" s="1186">
        <f t="shared" si="56"/>
        <v>0</v>
      </c>
      <c r="FC26" s="1187">
        <f t="shared" ca="1" si="57"/>
        <v>0</v>
      </c>
      <c r="FD26" s="1169">
        <f t="shared" ca="1" si="22"/>
        <v>0</v>
      </c>
      <c r="FE26" s="1176"/>
      <c r="FF26" s="1176"/>
      <c r="FG26" s="1176"/>
      <c r="FH26" s="1185">
        <f ca="1">SUMIF('Struktur Vorjahr'!$A:$A,'Planzahlen Liquidität'!$A26,'Struktur Vorjahr'!R:R)</f>
        <v>0</v>
      </c>
      <c r="FI26" s="1186">
        <f>Monatsplanung!$AH$107</f>
        <v>0</v>
      </c>
      <c r="FJ26" s="1187">
        <f ca="1">SUMIF('Struktur Aktuell'!$A:$A,'Planzahlen Liquidität'!$A26,'Struktur Aktuell'!R:R)</f>
        <v>0</v>
      </c>
      <c r="FK26" s="1169">
        <f t="shared" ca="1" si="23"/>
        <v>0</v>
      </c>
      <c r="FL26" s="1176"/>
      <c r="FM26" s="1176"/>
      <c r="FN26" s="1176"/>
      <c r="FO26" s="1185">
        <f t="shared" ca="1" si="58"/>
        <v>0</v>
      </c>
      <c r="FP26" s="1186">
        <f t="shared" si="59"/>
        <v>0</v>
      </c>
      <c r="FQ26" s="1187">
        <f t="shared" ca="1" si="60"/>
        <v>0</v>
      </c>
      <c r="FR26" s="1169">
        <f t="shared" ca="1" si="24"/>
        <v>0</v>
      </c>
      <c r="FS26" s="1176"/>
      <c r="FT26" s="1176"/>
      <c r="FU26" s="1176"/>
      <c r="FV26" s="1171"/>
      <c r="FW26" s="1169">
        <v>0</v>
      </c>
    </row>
    <row r="27" spans="1:179" s="883" customFormat="1" x14ac:dyDescent="0.2">
      <c r="A27" s="1190">
        <v>41.1</v>
      </c>
      <c r="B27" s="1201" t="str">
        <f>'Struktur Aktuell'!B459</f>
        <v>davon reine Privatentnahmen</v>
      </c>
      <c r="C27" s="1173">
        <f t="shared" ca="1" si="61"/>
        <v>0</v>
      </c>
      <c r="D27" s="1174">
        <f t="shared" si="62"/>
        <v>0</v>
      </c>
      <c r="E27" s="1175">
        <f t="shared" ca="1" si="61"/>
        <v>0</v>
      </c>
      <c r="F27" s="1169">
        <f t="shared" ca="1" si="2"/>
        <v>0</v>
      </c>
      <c r="G27" s="1176"/>
      <c r="H27" s="1176"/>
      <c r="I27" s="1176"/>
      <c r="J27" s="1173">
        <f ca="1">SUMIF('Struktur Vorjahr'!$A:$A,'Planzahlen Liquidität'!$A27,'Struktur Vorjahr'!G:G)</f>
        <v>0</v>
      </c>
      <c r="K27" s="1174"/>
      <c r="L27" s="1175">
        <f ca="1">SUMIF('Struktur Aktuell'!$A:$A,'Planzahlen Liquidität'!$A27,'Struktur Aktuell'!G:G)</f>
        <v>0</v>
      </c>
      <c r="M27" s="1169">
        <f t="shared" ca="1" si="3"/>
        <v>0</v>
      </c>
      <c r="N27" s="1176"/>
      <c r="O27" s="1176"/>
      <c r="P27" s="1176"/>
      <c r="Q27" s="1173">
        <f t="shared" ca="1" si="25"/>
        <v>0</v>
      </c>
      <c r="R27" s="1174">
        <f t="shared" si="26"/>
        <v>0</v>
      </c>
      <c r="S27" s="1175">
        <f t="shared" ca="1" si="27"/>
        <v>0</v>
      </c>
      <c r="T27" s="1169">
        <f t="shared" ca="1" si="4"/>
        <v>0</v>
      </c>
      <c r="U27" s="1176"/>
      <c r="V27" s="1176"/>
      <c r="W27" s="1176"/>
      <c r="X27" s="1173">
        <f ca="1">SUMIF('Struktur Vorjahr'!$A:$A,'Planzahlen Liquidität'!$A27,'Struktur Vorjahr'!H:H)</f>
        <v>0</v>
      </c>
      <c r="Y27" s="1174">
        <f>K27</f>
        <v>0</v>
      </c>
      <c r="Z27" s="1175">
        <f ca="1">SUMIF('Struktur Aktuell'!$A:$A,'Planzahlen Liquidität'!$A27,'Struktur Aktuell'!H:H)</f>
        <v>0</v>
      </c>
      <c r="AA27" s="1169">
        <f t="shared" ca="1" si="5"/>
        <v>0</v>
      </c>
      <c r="AB27" s="1176"/>
      <c r="AC27" s="1176"/>
      <c r="AD27" s="1176"/>
      <c r="AE27" s="1173">
        <f t="shared" ca="1" si="28"/>
        <v>0</v>
      </c>
      <c r="AF27" s="1174">
        <f t="shared" si="29"/>
        <v>0</v>
      </c>
      <c r="AG27" s="1175">
        <f t="shared" ca="1" si="30"/>
        <v>0</v>
      </c>
      <c r="AH27" s="1169">
        <f t="shared" ca="1" si="6"/>
        <v>0</v>
      </c>
      <c r="AI27" s="1176"/>
      <c r="AJ27" s="1176"/>
      <c r="AK27" s="1176"/>
      <c r="AL27" s="1173">
        <f ca="1">SUMIF('Struktur Vorjahr'!$A:$A,'Planzahlen Liquidität'!$A27,'Struktur Vorjahr'!I:I)</f>
        <v>0</v>
      </c>
      <c r="AM27" s="1174">
        <f>Y27</f>
        <v>0</v>
      </c>
      <c r="AN27" s="1175">
        <f ca="1">SUMIF('Struktur Aktuell'!$A:$A,'Planzahlen Liquidität'!$A27,'Struktur Aktuell'!I:I)</f>
        <v>0</v>
      </c>
      <c r="AO27" s="1169">
        <f t="shared" ca="1" si="7"/>
        <v>0</v>
      </c>
      <c r="AP27" s="1176"/>
      <c r="AQ27" s="1176"/>
      <c r="AR27" s="1176"/>
      <c r="AS27" s="1173">
        <f t="shared" ca="1" si="31"/>
        <v>0</v>
      </c>
      <c r="AT27" s="1174">
        <f t="shared" si="32"/>
        <v>0</v>
      </c>
      <c r="AU27" s="1175">
        <f t="shared" ca="1" si="33"/>
        <v>0</v>
      </c>
      <c r="AV27" s="1169">
        <f t="shared" ca="1" si="8"/>
        <v>0</v>
      </c>
      <c r="AW27" s="1176"/>
      <c r="AX27" s="1176"/>
      <c r="AY27" s="1176"/>
      <c r="AZ27" s="1173">
        <f ca="1">SUMIF('Struktur Vorjahr'!$A:$A,'Planzahlen Liquidität'!$A27,'Struktur Vorjahr'!J:J)</f>
        <v>0</v>
      </c>
      <c r="BA27" s="1174">
        <f>AM27</f>
        <v>0</v>
      </c>
      <c r="BB27" s="1175">
        <f ca="1">SUMIF('Struktur Aktuell'!$A:$A,'Planzahlen Liquidität'!$A27,'Struktur Aktuell'!J:J)</f>
        <v>0</v>
      </c>
      <c r="BC27" s="1169">
        <f t="shared" ca="1" si="9"/>
        <v>0</v>
      </c>
      <c r="BD27" s="1176"/>
      <c r="BE27" s="1176"/>
      <c r="BF27" s="1176"/>
      <c r="BG27" s="1173">
        <f t="shared" ca="1" si="34"/>
        <v>0</v>
      </c>
      <c r="BH27" s="1174">
        <f t="shared" si="35"/>
        <v>0</v>
      </c>
      <c r="BI27" s="1175">
        <f t="shared" ca="1" si="36"/>
        <v>0</v>
      </c>
      <c r="BJ27" s="1169">
        <f t="shared" ca="1" si="10"/>
        <v>0</v>
      </c>
      <c r="BK27" s="1176"/>
      <c r="BL27" s="1176"/>
      <c r="BM27" s="1176"/>
      <c r="BN27" s="1173">
        <f ca="1">SUMIF('Struktur Vorjahr'!$A:$A,'Planzahlen Liquidität'!$A27,'Struktur Vorjahr'!K:K)</f>
        <v>0</v>
      </c>
      <c r="BO27" s="1174">
        <f>BA27</f>
        <v>0</v>
      </c>
      <c r="BP27" s="1175">
        <f ca="1">SUMIF('Struktur Aktuell'!$A:$A,'Planzahlen Liquidität'!$A27,'Struktur Aktuell'!K:K)</f>
        <v>0</v>
      </c>
      <c r="BQ27" s="1169">
        <f t="shared" ca="1" si="11"/>
        <v>0</v>
      </c>
      <c r="BR27" s="1176"/>
      <c r="BS27" s="1176"/>
      <c r="BT27" s="1176"/>
      <c r="BU27" s="1173">
        <f t="shared" ca="1" si="37"/>
        <v>0</v>
      </c>
      <c r="BV27" s="1174">
        <f t="shared" si="38"/>
        <v>0</v>
      </c>
      <c r="BW27" s="1175">
        <f t="shared" ca="1" si="39"/>
        <v>0</v>
      </c>
      <c r="BX27" s="1169">
        <f t="shared" ca="1" si="12"/>
        <v>0</v>
      </c>
      <c r="BY27" s="1176"/>
      <c r="BZ27" s="1176"/>
      <c r="CA27" s="1176"/>
      <c r="CB27" s="1173">
        <f ca="1">SUMIF('Struktur Vorjahr'!$A:$A,'Planzahlen Liquidität'!$A27,'Struktur Vorjahr'!L:L)</f>
        <v>0</v>
      </c>
      <c r="CC27" s="1174">
        <f>BO27</f>
        <v>0</v>
      </c>
      <c r="CD27" s="1175">
        <f ca="1">SUMIF('Struktur Aktuell'!$A:$A,'Planzahlen Liquidität'!$A27,'Struktur Aktuell'!L:L)</f>
        <v>0</v>
      </c>
      <c r="CE27" s="1169">
        <f t="shared" ca="1" si="13"/>
        <v>0</v>
      </c>
      <c r="CF27" s="1176"/>
      <c r="CG27" s="1176"/>
      <c r="CH27" s="1176"/>
      <c r="CI27" s="1173">
        <f t="shared" ca="1" si="40"/>
        <v>0</v>
      </c>
      <c r="CJ27" s="1174">
        <f t="shared" si="41"/>
        <v>0</v>
      </c>
      <c r="CK27" s="1175">
        <f t="shared" ca="1" si="42"/>
        <v>0</v>
      </c>
      <c r="CL27" s="1169">
        <f t="shared" ca="1" si="0"/>
        <v>0</v>
      </c>
      <c r="CM27" s="1176"/>
      <c r="CN27" s="1176"/>
      <c r="CO27" s="1176"/>
      <c r="CP27" s="1173">
        <f ca="1">SUMIF('Struktur Vorjahr'!$A:$A,'Planzahlen Liquidität'!$A27,'Struktur Vorjahr'!M:M)</f>
        <v>0</v>
      </c>
      <c r="CQ27" s="1174">
        <f>CC27</f>
        <v>0</v>
      </c>
      <c r="CR27" s="1175">
        <f ca="1">SUMIF('Struktur Aktuell'!$A:$A,'Planzahlen Liquidität'!$A27,'Struktur Aktuell'!M:M)</f>
        <v>0</v>
      </c>
      <c r="CS27" s="1169">
        <f t="shared" ca="1" si="1"/>
        <v>0</v>
      </c>
      <c r="CT27" s="1176"/>
      <c r="CU27" s="1176"/>
      <c r="CV27" s="1176"/>
      <c r="CW27" s="1173">
        <f t="shared" ca="1" si="43"/>
        <v>0</v>
      </c>
      <c r="CX27" s="1174">
        <f t="shared" si="44"/>
        <v>0</v>
      </c>
      <c r="CY27" s="1175">
        <f t="shared" ca="1" si="45"/>
        <v>0</v>
      </c>
      <c r="CZ27" s="1169">
        <f t="shared" ca="1" si="14"/>
        <v>0</v>
      </c>
      <c r="DA27" s="1176"/>
      <c r="DB27" s="1176"/>
      <c r="DC27" s="1176"/>
      <c r="DD27" s="1173">
        <f ca="1">SUMIF('Struktur Vorjahr'!$A:$A,'Planzahlen Liquidität'!$A27,'Struktur Vorjahr'!N:N)</f>
        <v>0</v>
      </c>
      <c r="DE27" s="1174">
        <f>CQ27</f>
        <v>0</v>
      </c>
      <c r="DF27" s="1175">
        <f ca="1">SUMIF('Struktur Aktuell'!$A:$A,'Planzahlen Liquidität'!$A27,'Struktur Aktuell'!N:N)</f>
        <v>0</v>
      </c>
      <c r="DG27" s="1169">
        <f t="shared" ca="1" si="15"/>
        <v>0</v>
      </c>
      <c r="DH27" s="1176"/>
      <c r="DI27" s="1176"/>
      <c r="DJ27" s="1176"/>
      <c r="DK27" s="1173">
        <f t="shared" ca="1" si="46"/>
        <v>0</v>
      </c>
      <c r="DL27" s="1174">
        <f t="shared" si="47"/>
        <v>0</v>
      </c>
      <c r="DM27" s="1175">
        <f t="shared" ca="1" si="48"/>
        <v>0</v>
      </c>
      <c r="DN27" s="1169">
        <f t="shared" ca="1" si="16"/>
        <v>0</v>
      </c>
      <c r="DO27" s="1176"/>
      <c r="DP27" s="1176"/>
      <c r="DQ27" s="1176"/>
      <c r="DR27" s="1173">
        <f ca="1">SUMIF('Struktur Vorjahr'!$A:$A,'Planzahlen Liquidität'!$A27,'Struktur Vorjahr'!O:O)</f>
        <v>0</v>
      </c>
      <c r="DS27" s="1174">
        <f>DE27</f>
        <v>0</v>
      </c>
      <c r="DT27" s="1175">
        <f ca="1">SUMIF('Struktur Aktuell'!$A:$A,'Planzahlen Liquidität'!$A27,'Struktur Aktuell'!O:O)</f>
        <v>0</v>
      </c>
      <c r="DU27" s="1169">
        <f t="shared" ca="1" si="17"/>
        <v>0</v>
      </c>
      <c r="DV27" s="1176"/>
      <c r="DW27" s="1176"/>
      <c r="DX27" s="1176"/>
      <c r="DY27" s="1173">
        <f t="shared" ca="1" si="49"/>
        <v>0</v>
      </c>
      <c r="DZ27" s="1174">
        <f t="shared" si="50"/>
        <v>0</v>
      </c>
      <c r="EA27" s="1175">
        <f t="shared" ca="1" si="51"/>
        <v>0</v>
      </c>
      <c r="EB27" s="1169">
        <f t="shared" ca="1" si="18"/>
        <v>0</v>
      </c>
      <c r="EC27" s="1176"/>
      <c r="ED27" s="1176"/>
      <c r="EE27" s="1176"/>
      <c r="EF27" s="1173">
        <f ca="1">SUMIF('Struktur Vorjahr'!$A:$A,'Planzahlen Liquidität'!$A27,'Struktur Vorjahr'!P:P)</f>
        <v>0</v>
      </c>
      <c r="EG27" s="1174">
        <f>DS27</f>
        <v>0</v>
      </c>
      <c r="EH27" s="1175">
        <f ca="1">SUMIF('Struktur Aktuell'!$A:$A,'Planzahlen Liquidität'!$A27,'Struktur Aktuell'!P:P)</f>
        <v>0</v>
      </c>
      <c r="EI27" s="1169">
        <f t="shared" ca="1" si="19"/>
        <v>0</v>
      </c>
      <c r="EJ27" s="1176"/>
      <c r="EK27" s="1176"/>
      <c r="EL27" s="1176"/>
      <c r="EM27" s="1173">
        <f t="shared" ca="1" si="52"/>
        <v>0</v>
      </c>
      <c r="EN27" s="1174">
        <f t="shared" si="53"/>
        <v>0</v>
      </c>
      <c r="EO27" s="1175">
        <f t="shared" ca="1" si="54"/>
        <v>0</v>
      </c>
      <c r="EP27" s="1169">
        <f t="shared" ca="1" si="20"/>
        <v>0</v>
      </c>
      <c r="EQ27" s="1176"/>
      <c r="ER27" s="1176"/>
      <c r="ES27" s="1176"/>
      <c r="ET27" s="1173">
        <f ca="1">SUMIF('Struktur Vorjahr'!$A:$A,'Planzahlen Liquidität'!$A27,'Struktur Vorjahr'!Q:Q)</f>
        <v>0</v>
      </c>
      <c r="EU27" s="1174">
        <f>EG27</f>
        <v>0</v>
      </c>
      <c r="EV27" s="1175">
        <f ca="1">SUMIF('Struktur Aktuell'!$A:$A,'Planzahlen Liquidität'!$A27,'Struktur Aktuell'!Q:Q)</f>
        <v>0</v>
      </c>
      <c r="EW27" s="1169">
        <f t="shared" ca="1" si="21"/>
        <v>0</v>
      </c>
      <c r="EX27" s="1176"/>
      <c r="EY27" s="1176"/>
      <c r="EZ27" s="1176"/>
      <c r="FA27" s="1173">
        <f t="shared" ca="1" si="55"/>
        <v>0</v>
      </c>
      <c r="FB27" s="1174">
        <f t="shared" si="56"/>
        <v>0</v>
      </c>
      <c r="FC27" s="1175">
        <f t="shared" ca="1" si="57"/>
        <v>0</v>
      </c>
      <c r="FD27" s="1169">
        <f t="shared" ca="1" si="22"/>
        <v>0</v>
      </c>
      <c r="FE27" s="1176"/>
      <c r="FF27" s="1176"/>
      <c r="FG27" s="1176"/>
      <c r="FH27" s="1173">
        <f ca="1">SUMIF('Struktur Vorjahr'!$A:$A,'Planzahlen Liquidität'!$A27,'Struktur Vorjahr'!R:R)</f>
        <v>0</v>
      </c>
      <c r="FI27" s="1174">
        <f>EU27</f>
        <v>0</v>
      </c>
      <c r="FJ27" s="1175">
        <f ca="1">SUMIF('Struktur Aktuell'!$A:$A,'Planzahlen Liquidität'!$A27,'Struktur Aktuell'!R:R)</f>
        <v>0</v>
      </c>
      <c r="FK27" s="1169">
        <f t="shared" ca="1" si="23"/>
        <v>0</v>
      </c>
      <c r="FL27" s="1176"/>
      <c r="FM27" s="1176"/>
      <c r="FN27" s="1176"/>
      <c r="FO27" s="1173">
        <f t="shared" ca="1" si="58"/>
        <v>0</v>
      </c>
      <c r="FP27" s="1174">
        <f t="shared" si="59"/>
        <v>0</v>
      </c>
      <c r="FQ27" s="1175">
        <f t="shared" ca="1" si="60"/>
        <v>0</v>
      </c>
      <c r="FR27" s="1169">
        <f t="shared" ca="1" si="24"/>
        <v>0</v>
      </c>
      <c r="FS27" s="1176"/>
      <c r="FT27" s="1176"/>
      <c r="FU27" s="1176"/>
      <c r="FV27" s="1171"/>
      <c r="FW27" s="1169">
        <v>0</v>
      </c>
    </row>
    <row r="28" spans="1:179" s="883" customFormat="1" x14ac:dyDescent="0.2">
      <c r="A28" s="1202">
        <v>42</v>
      </c>
      <c r="B28" s="1202" t="str">
        <f>'Struktur Aktuell'!B469</f>
        <v>Privateinlagen</v>
      </c>
      <c r="C28" s="1178">
        <f t="shared" ca="1" si="61"/>
        <v>0</v>
      </c>
      <c r="D28" s="1203">
        <f t="shared" si="62"/>
        <v>0</v>
      </c>
      <c r="E28" s="1177">
        <f t="shared" ca="1" si="61"/>
        <v>0</v>
      </c>
      <c r="F28" s="1169">
        <f t="shared" ca="1" si="2"/>
        <v>0</v>
      </c>
      <c r="G28" s="1176"/>
      <c r="H28" s="1176"/>
      <c r="I28" s="1176"/>
      <c r="J28" s="1178">
        <f ca="1">SUMIF('Struktur Vorjahr'!$A:$A,'Planzahlen Liquidität'!$A28,'Struktur Vorjahr'!G:G)</f>
        <v>0</v>
      </c>
      <c r="K28" s="1203"/>
      <c r="L28" s="1177">
        <f ca="1">SUMIF('Struktur Aktuell'!$A:$A,'Planzahlen Liquidität'!$A28,'Struktur Aktuell'!G:G)</f>
        <v>0</v>
      </c>
      <c r="M28" s="1169">
        <f t="shared" ca="1" si="3"/>
        <v>0</v>
      </c>
      <c r="N28" s="1176"/>
      <c r="O28" s="1176"/>
      <c r="P28" s="1176"/>
      <c r="Q28" s="1178">
        <f t="shared" ca="1" si="25"/>
        <v>0</v>
      </c>
      <c r="R28" s="1203">
        <f t="shared" si="26"/>
        <v>0</v>
      </c>
      <c r="S28" s="1177">
        <f t="shared" ca="1" si="27"/>
        <v>0</v>
      </c>
      <c r="T28" s="1169">
        <f t="shared" ca="1" si="4"/>
        <v>0</v>
      </c>
      <c r="U28" s="1176"/>
      <c r="V28" s="1176"/>
      <c r="W28" s="1176"/>
      <c r="X28" s="1178">
        <f ca="1">SUMIF('Struktur Vorjahr'!$A:$A,'Planzahlen Liquidität'!$A28,'Struktur Vorjahr'!H:H)</f>
        <v>0</v>
      </c>
      <c r="Y28" s="1203">
        <f>K28</f>
        <v>0</v>
      </c>
      <c r="Z28" s="1177">
        <f ca="1">SUMIF('Struktur Aktuell'!$A:$A,'Planzahlen Liquidität'!$A28,'Struktur Aktuell'!H:H)</f>
        <v>0</v>
      </c>
      <c r="AA28" s="1169">
        <f t="shared" ca="1" si="5"/>
        <v>0</v>
      </c>
      <c r="AB28" s="1176"/>
      <c r="AC28" s="1176"/>
      <c r="AD28" s="1176"/>
      <c r="AE28" s="1178">
        <f t="shared" ca="1" si="28"/>
        <v>0</v>
      </c>
      <c r="AF28" s="1203">
        <f t="shared" si="29"/>
        <v>0</v>
      </c>
      <c r="AG28" s="1177">
        <f t="shared" ca="1" si="30"/>
        <v>0</v>
      </c>
      <c r="AH28" s="1169">
        <f t="shared" ca="1" si="6"/>
        <v>0</v>
      </c>
      <c r="AI28" s="1176"/>
      <c r="AJ28" s="1176"/>
      <c r="AK28" s="1176"/>
      <c r="AL28" s="1178">
        <v>0</v>
      </c>
      <c r="AM28" s="1203">
        <f>Y28</f>
        <v>0</v>
      </c>
      <c r="AN28" s="1177">
        <v>0</v>
      </c>
      <c r="AO28" s="1169">
        <f t="shared" si="7"/>
        <v>0</v>
      </c>
      <c r="AP28" s="1176"/>
      <c r="AQ28" s="1176"/>
      <c r="AR28" s="1176"/>
      <c r="AS28" s="1178">
        <f t="shared" ca="1" si="31"/>
        <v>0</v>
      </c>
      <c r="AT28" s="1203">
        <f t="shared" si="32"/>
        <v>0</v>
      </c>
      <c r="AU28" s="1177">
        <f t="shared" ca="1" si="33"/>
        <v>0</v>
      </c>
      <c r="AV28" s="1169">
        <f t="shared" ca="1" si="8"/>
        <v>0</v>
      </c>
      <c r="AW28" s="1176"/>
      <c r="AX28" s="1176"/>
      <c r="AY28" s="1176"/>
      <c r="AZ28" s="1178">
        <f ca="1">SUMIF('Struktur Vorjahr'!$A:$A,'Planzahlen Liquidität'!$A28,'Struktur Vorjahr'!J:J)</f>
        <v>0</v>
      </c>
      <c r="BA28" s="1203">
        <f>AM28</f>
        <v>0</v>
      </c>
      <c r="BB28" s="1177">
        <f ca="1">SUMIF('Struktur Aktuell'!$A:$A,'Planzahlen Liquidität'!$A28,'Struktur Aktuell'!J:J)</f>
        <v>0</v>
      </c>
      <c r="BC28" s="1169">
        <f t="shared" ca="1" si="9"/>
        <v>0</v>
      </c>
      <c r="BD28" s="1176"/>
      <c r="BE28" s="1176"/>
      <c r="BF28" s="1176"/>
      <c r="BG28" s="1178">
        <f t="shared" ca="1" si="34"/>
        <v>0</v>
      </c>
      <c r="BH28" s="1203">
        <f t="shared" si="35"/>
        <v>0</v>
      </c>
      <c r="BI28" s="1177">
        <f t="shared" ca="1" si="36"/>
        <v>0</v>
      </c>
      <c r="BJ28" s="1169">
        <f t="shared" ca="1" si="10"/>
        <v>0</v>
      </c>
      <c r="BK28" s="1176"/>
      <c r="BL28" s="1176"/>
      <c r="BM28" s="1176"/>
      <c r="BN28" s="1178">
        <f ca="1">SUMIF('Struktur Vorjahr'!$A:$A,'Planzahlen Liquidität'!$A28,'Struktur Vorjahr'!K:K)</f>
        <v>0</v>
      </c>
      <c r="BO28" s="1203">
        <f>BA28</f>
        <v>0</v>
      </c>
      <c r="BP28" s="1177">
        <f ca="1">SUMIF('Struktur Aktuell'!$A:$A,'Planzahlen Liquidität'!$A28,'Struktur Aktuell'!K:K)</f>
        <v>0</v>
      </c>
      <c r="BQ28" s="1169">
        <f t="shared" ca="1" si="11"/>
        <v>0</v>
      </c>
      <c r="BR28" s="1176"/>
      <c r="BS28" s="1176"/>
      <c r="BT28" s="1176"/>
      <c r="BU28" s="1178">
        <f t="shared" ca="1" si="37"/>
        <v>0</v>
      </c>
      <c r="BV28" s="1203">
        <f t="shared" si="38"/>
        <v>0</v>
      </c>
      <c r="BW28" s="1177">
        <f t="shared" ca="1" si="39"/>
        <v>0</v>
      </c>
      <c r="BX28" s="1169">
        <f t="shared" ca="1" si="12"/>
        <v>0</v>
      </c>
      <c r="BY28" s="1176"/>
      <c r="BZ28" s="1176"/>
      <c r="CA28" s="1176"/>
      <c r="CB28" s="1178">
        <f ca="1">SUMIF('Struktur Vorjahr'!$A:$A,'Planzahlen Liquidität'!$A28,'Struktur Vorjahr'!L:L)</f>
        <v>0</v>
      </c>
      <c r="CC28" s="1203">
        <f>BO28</f>
        <v>0</v>
      </c>
      <c r="CD28" s="1177">
        <f ca="1">SUMIF('Struktur Aktuell'!$A:$A,'Planzahlen Liquidität'!$A28,'Struktur Aktuell'!L:L)</f>
        <v>0</v>
      </c>
      <c r="CE28" s="1169">
        <f t="shared" ca="1" si="13"/>
        <v>0</v>
      </c>
      <c r="CF28" s="1176"/>
      <c r="CG28" s="1176"/>
      <c r="CH28" s="1176"/>
      <c r="CI28" s="1178">
        <f t="shared" ca="1" si="40"/>
        <v>0</v>
      </c>
      <c r="CJ28" s="1203">
        <f t="shared" si="41"/>
        <v>0</v>
      </c>
      <c r="CK28" s="1177">
        <f t="shared" ca="1" si="42"/>
        <v>0</v>
      </c>
      <c r="CL28" s="1169">
        <f t="shared" ca="1" si="0"/>
        <v>0</v>
      </c>
      <c r="CM28" s="1176"/>
      <c r="CN28" s="1176"/>
      <c r="CO28" s="1176"/>
      <c r="CP28" s="1178">
        <f ca="1">SUMIF('Struktur Vorjahr'!$A:$A,'Planzahlen Liquidität'!$A28,'Struktur Vorjahr'!M:M)</f>
        <v>0</v>
      </c>
      <c r="CQ28" s="1203">
        <f>CC28</f>
        <v>0</v>
      </c>
      <c r="CR28" s="1177">
        <f ca="1">SUMIF('Struktur Aktuell'!$A:$A,'Planzahlen Liquidität'!$A28,'Struktur Aktuell'!M:M)</f>
        <v>0</v>
      </c>
      <c r="CS28" s="1169">
        <f t="shared" ca="1" si="1"/>
        <v>0</v>
      </c>
      <c r="CT28" s="1176"/>
      <c r="CU28" s="1176"/>
      <c r="CV28" s="1176"/>
      <c r="CW28" s="1178">
        <f t="shared" ca="1" si="43"/>
        <v>0</v>
      </c>
      <c r="CX28" s="1203">
        <f t="shared" si="44"/>
        <v>0</v>
      </c>
      <c r="CY28" s="1177">
        <f t="shared" ca="1" si="45"/>
        <v>0</v>
      </c>
      <c r="CZ28" s="1169">
        <f t="shared" ca="1" si="14"/>
        <v>0</v>
      </c>
      <c r="DA28" s="1176"/>
      <c r="DB28" s="1176"/>
      <c r="DC28" s="1176"/>
      <c r="DD28" s="1178">
        <f ca="1">SUMIF('Struktur Vorjahr'!$A:$A,'Planzahlen Liquidität'!$A28,'Struktur Vorjahr'!N:N)</f>
        <v>0</v>
      </c>
      <c r="DE28" s="1203">
        <f>CQ28</f>
        <v>0</v>
      </c>
      <c r="DF28" s="1177">
        <f ca="1">SUMIF('Struktur Aktuell'!$A:$A,'Planzahlen Liquidität'!$A28,'Struktur Aktuell'!N:N)</f>
        <v>0</v>
      </c>
      <c r="DG28" s="1169">
        <f t="shared" ca="1" si="15"/>
        <v>0</v>
      </c>
      <c r="DH28" s="1176"/>
      <c r="DI28" s="1176"/>
      <c r="DJ28" s="1176"/>
      <c r="DK28" s="1178">
        <f t="shared" ca="1" si="46"/>
        <v>0</v>
      </c>
      <c r="DL28" s="1203">
        <f t="shared" si="47"/>
        <v>0</v>
      </c>
      <c r="DM28" s="1177">
        <f t="shared" ca="1" si="48"/>
        <v>0</v>
      </c>
      <c r="DN28" s="1169">
        <f t="shared" ca="1" si="16"/>
        <v>0</v>
      </c>
      <c r="DO28" s="1176"/>
      <c r="DP28" s="1176"/>
      <c r="DQ28" s="1176"/>
      <c r="DR28" s="1178">
        <f ca="1">SUMIF('Struktur Vorjahr'!$A:$A,'Planzahlen Liquidität'!$A28,'Struktur Vorjahr'!O:O)</f>
        <v>0</v>
      </c>
      <c r="DS28" s="1203">
        <f>DE28</f>
        <v>0</v>
      </c>
      <c r="DT28" s="1177">
        <f ca="1">SUMIF('Struktur Aktuell'!$A:$A,'Planzahlen Liquidität'!$A28,'Struktur Aktuell'!O:O)</f>
        <v>0</v>
      </c>
      <c r="DU28" s="1169">
        <f t="shared" ca="1" si="17"/>
        <v>0</v>
      </c>
      <c r="DV28" s="1176"/>
      <c r="DW28" s="1176"/>
      <c r="DX28" s="1176"/>
      <c r="DY28" s="1178">
        <f t="shared" ca="1" si="49"/>
        <v>0</v>
      </c>
      <c r="DZ28" s="1203">
        <f t="shared" si="50"/>
        <v>0</v>
      </c>
      <c r="EA28" s="1177">
        <f t="shared" ca="1" si="51"/>
        <v>0</v>
      </c>
      <c r="EB28" s="1169">
        <f t="shared" ca="1" si="18"/>
        <v>0</v>
      </c>
      <c r="EC28" s="1176"/>
      <c r="ED28" s="1176"/>
      <c r="EE28" s="1176"/>
      <c r="EF28" s="1178">
        <f ca="1">SUMIF('Struktur Vorjahr'!$A:$A,'Planzahlen Liquidität'!$A28,'Struktur Vorjahr'!P:P)</f>
        <v>0</v>
      </c>
      <c r="EG28" s="1203">
        <f>DS28</f>
        <v>0</v>
      </c>
      <c r="EH28" s="1177">
        <f ca="1">SUMIF('Struktur Aktuell'!$A:$A,'Planzahlen Liquidität'!$A28,'Struktur Aktuell'!P:P)</f>
        <v>0</v>
      </c>
      <c r="EI28" s="1169">
        <f t="shared" ca="1" si="19"/>
        <v>0</v>
      </c>
      <c r="EJ28" s="1176"/>
      <c r="EK28" s="1176"/>
      <c r="EL28" s="1176"/>
      <c r="EM28" s="1178">
        <f t="shared" ca="1" si="52"/>
        <v>0</v>
      </c>
      <c r="EN28" s="1203">
        <f t="shared" si="53"/>
        <v>0</v>
      </c>
      <c r="EO28" s="1177">
        <f t="shared" ca="1" si="54"/>
        <v>0</v>
      </c>
      <c r="EP28" s="1169">
        <f t="shared" ca="1" si="20"/>
        <v>0</v>
      </c>
      <c r="EQ28" s="1176"/>
      <c r="ER28" s="1176"/>
      <c r="ES28" s="1176"/>
      <c r="ET28" s="1178">
        <f ca="1">SUMIF('Struktur Vorjahr'!$A:$A,'Planzahlen Liquidität'!$A28,'Struktur Vorjahr'!Q:Q)</f>
        <v>0</v>
      </c>
      <c r="EU28" s="1203">
        <f>EG28</f>
        <v>0</v>
      </c>
      <c r="EV28" s="1177">
        <f ca="1">SUMIF('Struktur Aktuell'!$A:$A,'Planzahlen Liquidität'!$A28,'Struktur Aktuell'!Q:Q)</f>
        <v>0</v>
      </c>
      <c r="EW28" s="1169">
        <f t="shared" ca="1" si="21"/>
        <v>0</v>
      </c>
      <c r="EX28" s="1176"/>
      <c r="EY28" s="1176"/>
      <c r="EZ28" s="1176"/>
      <c r="FA28" s="1178">
        <f t="shared" ca="1" si="55"/>
        <v>0</v>
      </c>
      <c r="FB28" s="1203">
        <f t="shared" si="56"/>
        <v>0</v>
      </c>
      <c r="FC28" s="1177">
        <f t="shared" ca="1" si="57"/>
        <v>0</v>
      </c>
      <c r="FD28" s="1169">
        <f t="shared" ca="1" si="22"/>
        <v>0</v>
      </c>
      <c r="FE28" s="1176"/>
      <c r="FF28" s="1176"/>
      <c r="FG28" s="1176"/>
      <c r="FH28" s="1178">
        <f ca="1">SUMIF('Struktur Vorjahr'!$A:$A,'Planzahlen Liquidität'!$A28,'Struktur Vorjahr'!R:R)</f>
        <v>0</v>
      </c>
      <c r="FI28" s="1203">
        <f>EU28</f>
        <v>0</v>
      </c>
      <c r="FJ28" s="1177">
        <f ca="1">SUMIF('Struktur Aktuell'!$A:$A,'Planzahlen Liquidität'!$A28,'Struktur Aktuell'!R:R)</f>
        <v>0</v>
      </c>
      <c r="FK28" s="1169">
        <f t="shared" ca="1" si="23"/>
        <v>0</v>
      </c>
      <c r="FL28" s="1176"/>
      <c r="FM28" s="1176"/>
      <c r="FN28" s="1176"/>
      <c r="FO28" s="1178">
        <f t="shared" ca="1" si="58"/>
        <v>0</v>
      </c>
      <c r="FP28" s="1203">
        <f t="shared" si="59"/>
        <v>0</v>
      </c>
      <c r="FQ28" s="1177">
        <f t="shared" ca="1" si="60"/>
        <v>0</v>
      </c>
      <c r="FR28" s="1169">
        <f t="shared" ca="1" si="24"/>
        <v>0</v>
      </c>
      <c r="FS28" s="1176"/>
      <c r="FT28" s="1176"/>
      <c r="FU28" s="1176"/>
      <c r="FV28" s="1171"/>
      <c r="FW28" s="1169">
        <v>0</v>
      </c>
    </row>
    <row r="29" spans="1:179" s="883" customFormat="1" x14ac:dyDescent="0.2">
      <c r="A29" s="1191" t="s">
        <v>799</v>
      </c>
      <c r="B29" s="1192" t="s">
        <v>800</v>
      </c>
      <c r="C29" s="1193">
        <f t="shared" ca="1" si="61"/>
        <v>0</v>
      </c>
      <c r="D29" s="1193">
        <f t="shared" si="62"/>
        <v>0</v>
      </c>
      <c r="E29" s="1193">
        <f t="shared" ca="1" si="61"/>
        <v>0</v>
      </c>
      <c r="F29" s="1194">
        <f t="shared" ca="1" si="2"/>
        <v>0</v>
      </c>
      <c r="G29" s="1195">
        <f ca="1">C29/'Planzahlen Rentabilität'!C$15</f>
        <v>0</v>
      </c>
      <c r="H29" s="1195">
        <f>D29/'Planzahlen Rentabilität'!D$15</f>
        <v>0</v>
      </c>
      <c r="I29" s="1195">
        <f ca="1">E29/'Planzahlen Rentabilität'!E$15</f>
        <v>0</v>
      </c>
      <c r="J29" s="1193">
        <f ca="1">J26-J28</f>
        <v>0</v>
      </c>
      <c r="K29" s="1193">
        <f>K26-K28</f>
        <v>0</v>
      </c>
      <c r="L29" s="1193">
        <f ca="1">L26-L28</f>
        <v>0</v>
      </c>
      <c r="M29" s="1194">
        <f t="shared" ca="1" si="3"/>
        <v>0</v>
      </c>
      <c r="N29" s="1195">
        <f ca="1">J29/'Planzahlen Rentabilität'!J$15</f>
        <v>0</v>
      </c>
      <c r="O29" s="1195">
        <f>K29/'Planzahlen Rentabilität'!K$15</f>
        <v>0</v>
      </c>
      <c r="P29" s="1195">
        <f ca="1">L29/'Planzahlen Rentabilität'!L$15</f>
        <v>0</v>
      </c>
      <c r="Q29" s="1193">
        <f t="shared" ca="1" si="25"/>
        <v>0</v>
      </c>
      <c r="R29" s="1193">
        <f t="shared" si="26"/>
        <v>0</v>
      </c>
      <c r="S29" s="1193">
        <f t="shared" ca="1" si="27"/>
        <v>0</v>
      </c>
      <c r="T29" s="1194">
        <f t="shared" ca="1" si="4"/>
        <v>0</v>
      </c>
      <c r="U29" s="1195">
        <f ca="1">Q29/'Planzahlen Rentabilität'!Q$15</f>
        <v>0</v>
      </c>
      <c r="V29" s="1195">
        <f>R29/'Planzahlen Rentabilität'!R$15</f>
        <v>0</v>
      </c>
      <c r="W29" s="1195">
        <f ca="1">S29/'Planzahlen Rentabilität'!S$15</f>
        <v>0</v>
      </c>
      <c r="X29" s="1193">
        <f ca="1">X26-X28</f>
        <v>0</v>
      </c>
      <c r="Y29" s="1193">
        <f>Y26-Y28</f>
        <v>0</v>
      </c>
      <c r="Z29" s="1193">
        <f ca="1">Z26-Z28</f>
        <v>0</v>
      </c>
      <c r="AA29" s="1194">
        <f t="shared" ca="1" si="5"/>
        <v>0</v>
      </c>
      <c r="AB29" s="1195">
        <f ca="1">X29/'Planzahlen Rentabilität'!$Y$15</f>
        <v>0</v>
      </c>
      <c r="AC29" s="1195">
        <f>Y29/'Planzahlen Rentabilität'!$Y$15</f>
        <v>0</v>
      </c>
      <c r="AD29" s="1195">
        <f ca="1">Z29/'Planzahlen Rentabilität'!$Z$15</f>
        <v>0</v>
      </c>
      <c r="AE29" s="1193">
        <f t="shared" ca="1" si="28"/>
        <v>0</v>
      </c>
      <c r="AF29" s="1193">
        <f t="shared" si="29"/>
        <v>0</v>
      </c>
      <c r="AG29" s="1193">
        <f t="shared" ca="1" si="30"/>
        <v>0</v>
      </c>
      <c r="AH29" s="1194">
        <f t="shared" ca="1" si="6"/>
        <v>0</v>
      </c>
      <c r="AI29" s="1195">
        <f ca="1">AE29/'Planzahlen Rentabilität'!$AF$15</f>
        <v>0</v>
      </c>
      <c r="AJ29" s="1195">
        <f>AF29/'Planzahlen Rentabilität'!$AF$15</f>
        <v>0</v>
      </c>
      <c r="AK29" s="1195">
        <f ca="1">AG29/'Planzahlen Rentabilität'!$AG$15</f>
        <v>0</v>
      </c>
      <c r="AL29" s="1193">
        <f>AL26-AL28</f>
        <v>0</v>
      </c>
      <c r="AM29" s="1193">
        <f>AM26-AM28</f>
        <v>0</v>
      </c>
      <c r="AN29" s="1193">
        <f>AN26-AN28</f>
        <v>0</v>
      </c>
      <c r="AO29" s="1194">
        <f t="shared" si="7"/>
        <v>0</v>
      </c>
      <c r="AP29" s="1195">
        <f>AL29/'Planzahlen Rentabilität'!$AM$15</f>
        <v>0</v>
      </c>
      <c r="AQ29" s="1195">
        <f>AM29/'Planzahlen Rentabilität'!$AM$15</f>
        <v>0</v>
      </c>
      <c r="AR29" s="1195">
        <f ca="1">AN29/'Planzahlen Rentabilität'!$AN$15</f>
        <v>0</v>
      </c>
      <c r="AS29" s="1193">
        <f t="shared" ca="1" si="31"/>
        <v>0</v>
      </c>
      <c r="AT29" s="1193">
        <f t="shared" si="32"/>
        <v>0</v>
      </c>
      <c r="AU29" s="1193">
        <f t="shared" ca="1" si="33"/>
        <v>0</v>
      </c>
      <c r="AV29" s="1194">
        <f t="shared" ca="1" si="8"/>
        <v>0</v>
      </c>
      <c r="AW29" s="1195">
        <f ca="1">AS29/'Planzahlen Rentabilität'!$AT$15</f>
        <v>0</v>
      </c>
      <c r="AX29" s="1195">
        <f>AT29/'Planzahlen Rentabilität'!$AT$15</f>
        <v>0</v>
      </c>
      <c r="AY29" s="1195">
        <f ca="1">AU29/'Planzahlen Rentabilität'!$AU$15</f>
        <v>0</v>
      </c>
      <c r="AZ29" s="1193">
        <f ca="1">AZ26-AZ28</f>
        <v>0</v>
      </c>
      <c r="BA29" s="1193">
        <f>BA26-BA28</f>
        <v>0</v>
      </c>
      <c r="BB29" s="1193">
        <f ca="1">BB26-BB28</f>
        <v>0</v>
      </c>
      <c r="BC29" s="1194">
        <f t="shared" ca="1" si="9"/>
        <v>0</v>
      </c>
      <c r="BD29" s="1195">
        <f ca="1">AZ29/'Planzahlen Rentabilität'!$BA$15</f>
        <v>0</v>
      </c>
      <c r="BE29" s="1195">
        <f>BA29/'Planzahlen Rentabilität'!$BA$15</f>
        <v>0</v>
      </c>
      <c r="BF29" s="1195">
        <f ca="1">BB29/'Planzahlen Rentabilität'!$BB$15</f>
        <v>0</v>
      </c>
      <c r="BG29" s="1193">
        <f t="shared" ca="1" si="34"/>
        <v>0</v>
      </c>
      <c r="BH29" s="1193">
        <f t="shared" si="35"/>
        <v>0</v>
      </c>
      <c r="BI29" s="1193">
        <f t="shared" ca="1" si="36"/>
        <v>0</v>
      </c>
      <c r="BJ29" s="1194">
        <f t="shared" ca="1" si="10"/>
        <v>0</v>
      </c>
      <c r="BK29" s="1195">
        <f ca="1">BG29/'Planzahlen Rentabilität'!$BH$15</f>
        <v>0</v>
      </c>
      <c r="BL29" s="1195">
        <f>BH29/'Planzahlen Rentabilität'!$BH$15</f>
        <v>0</v>
      </c>
      <c r="BM29" s="1195">
        <f ca="1">BI29/'Planzahlen Rentabilität'!$BI$15</f>
        <v>0</v>
      </c>
      <c r="BN29" s="1193">
        <f ca="1">BN26-BN28</f>
        <v>0</v>
      </c>
      <c r="BO29" s="1193">
        <f>BO26-BO28</f>
        <v>0</v>
      </c>
      <c r="BP29" s="1193">
        <f ca="1">BP26-BP28</f>
        <v>0</v>
      </c>
      <c r="BQ29" s="1194">
        <f t="shared" ca="1" si="11"/>
        <v>0</v>
      </c>
      <c r="BR29" s="1195">
        <f ca="1">BN29/'Planzahlen Rentabilität'!$BO$15</f>
        <v>0</v>
      </c>
      <c r="BS29" s="1195">
        <f>BO29/'Planzahlen Rentabilität'!$BO$15</f>
        <v>0</v>
      </c>
      <c r="BT29" s="1195">
        <f ca="1">BP29/'Planzahlen Rentabilität'!$BP$15</f>
        <v>0</v>
      </c>
      <c r="BU29" s="1193">
        <f t="shared" ca="1" si="37"/>
        <v>0</v>
      </c>
      <c r="BV29" s="1193">
        <f t="shared" si="38"/>
        <v>0</v>
      </c>
      <c r="BW29" s="1193">
        <f t="shared" ca="1" si="39"/>
        <v>0</v>
      </c>
      <c r="BX29" s="1194">
        <f t="shared" ca="1" si="12"/>
        <v>0</v>
      </c>
      <c r="BY29" s="1195">
        <f ca="1">BU29/'Planzahlen Rentabilität'!$BV$15</f>
        <v>0</v>
      </c>
      <c r="BZ29" s="1195">
        <f>BV29/'Planzahlen Rentabilität'!$BV$15</f>
        <v>0</v>
      </c>
      <c r="CA29" s="1195">
        <f ca="1">BW29/'Planzahlen Rentabilität'!$BW$15</f>
        <v>0</v>
      </c>
      <c r="CB29" s="1193">
        <f ca="1">CB26-CB28</f>
        <v>0</v>
      </c>
      <c r="CC29" s="1193">
        <f>CC26-CC28</f>
        <v>0</v>
      </c>
      <c r="CD29" s="1193">
        <f ca="1">CD26-CD28</f>
        <v>0</v>
      </c>
      <c r="CE29" s="1194">
        <f t="shared" ca="1" si="13"/>
        <v>0</v>
      </c>
      <c r="CF29" s="1195">
        <f ca="1">CB29/'Planzahlen Rentabilität'!$CC$15</f>
        <v>0</v>
      </c>
      <c r="CG29" s="1195">
        <f>CC29/'Planzahlen Rentabilität'!$CC$15</f>
        <v>0</v>
      </c>
      <c r="CH29" s="1195" t="e">
        <f ca="1">CD29/'Planzahlen Rentabilität'!$CD$15</f>
        <v>#DIV/0!</v>
      </c>
      <c r="CI29" s="1193">
        <f t="shared" ca="1" si="40"/>
        <v>0</v>
      </c>
      <c r="CJ29" s="1193">
        <f t="shared" si="41"/>
        <v>0</v>
      </c>
      <c r="CK29" s="1193">
        <f t="shared" ca="1" si="42"/>
        <v>0</v>
      </c>
      <c r="CL29" s="1194">
        <f t="shared" ca="1" si="0"/>
        <v>0</v>
      </c>
      <c r="CM29" s="1195">
        <f ca="1">CI29/'Planzahlen Rentabilität'!$CJ$15</f>
        <v>0</v>
      </c>
      <c r="CN29" s="1195">
        <f>CJ29/'Planzahlen Rentabilität'!$CJ$15</f>
        <v>0</v>
      </c>
      <c r="CO29" s="1195">
        <f ca="1">CK29/'Planzahlen Rentabilität'!$CK$15</f>
        <v>0</v>
      </c>
      <c r="CP29" s="1193">
        <f ca="1">CP26-CP28</f>
        <v>0</v>
      </c>
      <c r="CQ29" s="1193">
        <f>CQ26-CQ28</f>
        <v>0</v>
      </c>
      <c r="CR29" s="1193">
        <f ca="1">CR26-CR28</f>
        <v>0</v>
      </c>
      <c r="CS29" s="1194">
        <f t="shared" ca="1" si="1"/>
        <v>0</v>
      </c>
      <c r="CT29" s="1195">
        <f ca="1">CP29/'Planzahlen Rentabilität'!$CQ$15</f>
        <v>0</v>
      </c>
      <c r="CU29" s="1195">
        <f>CQ29/'Planzahlen Rentabilität'!$CQ$15</f>
        <v>0</v>
      </c>
      <c r="CV29" s="1195">
        <f ca="1">CR29/'Planzahlen Rentabilität'!$CR$15</f>
        <v>0</v>
      </c>
      <c r="CW29" s="1193">
        <f t="shared" ca="1" si="43"/>
        <v>0</v>
      </c>
      <c r="CX29" s="1193">
        <f t="shared" si="44"/>
        <v>0</v>
      </c>
      <c r="CY29" s="1193">
        <f t="shared" ca="1" si="45"/>
        <v>0</v>
      </c>
      <c r="CZ29" s="1194">
        <f t="shared" ca="1" si="14"/>
        <v>0</v>
      </c>
      <c r="DA29" s="1195">
        <f ca="1">CW29/'Planzahlen Rentabilität'!$CX$15</f>
        <v>0</v>
      </c>
      <c r="DB29" s="1195">
        <f>CX29/'Planzahlen Rentabilität'!$CX$15</f>
        <v>0</v>
      </c>
      <c r="DC29" s="1195">
        <f ca="1">CY29/'Planzahlen Rentabilität'!$CY$15</f>
        <v>0</v>
      </c>
      <c r="DD29" s="1193">
        <f ca="1">DD26-DD28</f>
        <v>0</v>
      </c>
      <c r="DE29" s="1193">
        <f>DE26-DE28</f>
        <v>0</v>
      </c>
      <c r="DF29" s="1193">
        <f ca="1">DF26-DF28</f>
        <v>0</v>
      </c>
      <c r="DG29" s="1194">
        <f t="shared" ca="1" si="15"/>
        <v>0</v>
      </c>
      <c r="DH29" s="1195">
        <f ca="1">DD29/'Planzahlen Rentabilität'!$DE$15</f>
        <v>0</v>
      </c>
      <c r="DI29" s="1195">
        <f>DE29/'Planzahlen Rentabilität'!$DE$15</f>
        <v>0</v>
      </c>
      <c r="DJ29" s="1195">
        <f ca="1">DF29/'Planzahlen Rentabilität'!$DF$15</f>
        <v>0</v>
      </c>
      <c r="DK29" s="1193">
        <f t="shared" ca="1" si="46"/>
        <v>0</v>
      </c>
      <c r="DL29" s="1193">
        <f t="shared" si="47"/>
        <v>0</v>
      </c>
      <c r="DM29" s="1193">
        <f t="shared" ca="1" si="48"/>
        <v>0</v>
      </c>
      <c r="DN29" s="1194">
        <f t="shared" ca="1" si="16"/>
        <v>0</v>
      </c>
      <c r="DO29" s="1195">
        <f ca="1">DK29/'Planzahlen Rentabilität'!$DL$15</f>
        <v>0</v>
      </c>
      <c r="DP29" s="1195">
        <f>DL29/'Planzahlen Rentabilität'!$DL$15</f>
        <v>0</v>
      </c>
      <c r="DQ29" s="1195">
        <f ca="1">DM29/'Planzahlen Rentabilität'!$DM$15</f>
        <v>0</v>
      </c>
      <c r="DR29" s="1193">
        <f ca="1">DR26-DR28</f>
        <v>0</v>
      </c>
      <c r="DS29" s="1193">
        <f>DS26-DS28</f>
        <v>0</v>
      </c>
      <c r="DT29" s="1193">
        <f ca="1">DT26-DT28</f>
        <v>0</v>
      </c>
      <c r="DU29" s="1194">
        <f t="shared" ca="1" si="17"/>
        <v>0</v>
      </c>
      <c r="DV29" s="1195">
        <f ca="1">DR29/'Planzahlen Rentabilität'!$DS$15</f>
        <v>0</v>
      </c>
      <c r="DW29" s="1195">
        <f>DS29/'Planzahlen Rentabilität'!$DS$15</f>
        <v>0</v>
      </c>
      <c r="DX29" s="1195">
        <f ca="1">DT29/'Planzahlen Rentabilität'!$DT$15</f>
        <v>0</v>
      </c>
      <c r="DY29" s="1193">
        <f t="shared" ca="1" si="49"/>
        <v>0</v>
      </c>
      <c r="DZ29" s="1193">
        <f t="shared" si="50"/>
        <v>0</v>
      </c>
      <c r="EA29" s="1193">
        <f t="shared" ca="1" si="51"/>
        <v>0</v>
      </c>
      <c r="EB29" s="1194">
        <f t="shared" ca="1" si="18"/>
        <v>0</v>
      </c>
      <c r="EC29" s="1195">
        <f ca="1">DY29/'Planzahlen Rentabilität'!$DZ$15</f>
        <v>0</v>
      </c>
      <c r="ED29" s="1195">
        <f>DZ29/'Planzahlen Rentabilität'!$DZ$15</f>
        <v>0</v>
      </c>
      <c r="EE29" s="1195">
        <f ca="1">EA29/'Planzahlen Rentabilität'!$EA$15</f>
        <v>0</v>
      </c>
      <c r="EF29" s="1193">
        <f ca="1">EF26-EF28</f>
        <v>0</v>
      </c>
      <c r="EG29" s="1193">
        <f>EG26-EG28</f>
        <v>0</v>
      </c>
      <c r="EH29" s="1193">
        <f ca="1">EH26-EH28</f>
        <v>0</v>
      </c>
      <c r="EI29" s="1194">
        <f t="shared" ca="1" si="19"/>
        <v>0</v>
      </c>
      <c r="EJ29" s="1195">
        <f ca="1">EF29/'Planzahlen Rentabilität'!$EG$15</f>
        <v>0</v>
      </c>
      <c r="EK29" s="1195">
        <f>EG29/'Planzahlen Rentabilität'!$EG$15</f>
        <v>0</v>
      </c>
      <c r="EL29" s="1195">
        <f ca="1">EH29/'Planzahlen Rentabilität'!$EH$15</f>
        <v>0</v>
      </c>
      <c r="EM29" s="1193">
        <f t="shared" ca="1" si="52"/>
        <v>0</v>
      </c>
      <c r="EN29" s="1193">
        <f t="shared" si="53"/>
        <v>0</v>
      </c>
      <c r="EO29" s="1193">
        <f t="shared" ca="1" si="54"/>
        <v>0</v>
      </c>
      <c r="EP29" s="1194">
        <f t="shared" ca="1" si="20"/>
        <v>0</v>
      </c>
      <c r="EQ29" s="1195">
        <f ca="1">EM29/'Planzahlen Rentabilität'!$EN$15</f>
        <v>0</v>
      </c>
      <c r="ER29" s="1195">
        <f>EN29/'Planzahlen Rentabilität'!$EN$15</f>
        <v>0</v>
      </c>
      <c r="ES29" s="1195">
        <f ca="1">EO29/'Planzahlen Rentabilität'!$EO$15</f>
        <v>0</v>
      </c>
      <c r="ET29" s="1193">
        <f ca="1">ET26-ET28</f>
        <v>0</v>
      </c>
      <c r="EU29" s="1193">
        <f>EU26-EU28</f>
        <v>0</v>
      </c>
      <c r="EV29" s="1193">
        <f ca="1">EV26-EV28</f>
        <v>0</v>
      </c>
      <c r="EW29" s="1194">
        <f t="shared" ca="1" si="21"/>
        <v>0</v>
      </c>
      <c r="EX29" s="1195">
        <f ca="1">ET29/'Planzahlen Rentabilität'!$K$15</f>
        <v>0</v>
      </c>
      <c r="EY29" s="1195">
        <f>EU29/'Planzahlen Rentabilität'!$K$15</f>
        <v>0</v>
      </c>
      <c r="EZ29" s="1195">
        <f ca="1">EV29/'Planzahlen Rentabilität'!$EV$15</f>
        <v>0</v>
      </c>
      <c r="FA29" s="1193">
        <f t="shared" ca="1" si="55"/>
        <v>0</v>
      </c>
      <c r="FB29" s="1193">
        <f t="shared" si="56"/>
        <v>0</v>
      </c>
      <c r="FC29" s="1193">
        <f t="shared" ca="1" si="57"/>
        <v>0</v>
      </c>
      <c r="FD29" s="1194">
        <f t="shared" ca="1" si="22"/>
        <v>0</v>
      </c>
      <c r="FE29" s="1195">
        <f ca="1">FA29/'Planzahlen Rentabilität'!$FB$15</f>
        <v>0</v>
      </c>
      <c r="FF29" s="1195">
        <f>FB29/'Planzahlen Rentabilität'!$FB$15</f>
        <v>0</v>
      </c>
      <c r="FG29" s="1195">
        <f ca="1">FC29/'Planzahlen Rentabilität'!$FC$15</f>
        <v>0</v>
      </c>
      <c r="FH29" s="1193">
        <f ca="1">FH26-FH28</f>
        <v>0</v>
      </c>
      <c r="FI29" s="1193">
        <f>FI26-FI28</f>
        <v>0</v>
      </c>
      <c r="FJ29" s="1193">
        <f ca="1">FJ26-FJ28</f>
        <v>0</v>
      </c>
      <c r="FK29" s="1194">
        <f t="shared" ca="1" si="23"/>
        <v>0</v>
      </c>
      <c r="FL29" s="1195">
        <f ca="1">FH29/'Planzahlen Rentabilität'!$FI$15</f>
        <v>0</v>
      </c>
      <c r="FM29" s="1195">
        <f>FI29/'Planzahlen Rentabilität'!$FI$15</f>
        <v>0</v>
      </c>
      <c r="FN29" s="1195">
        <f ca="1">FJ29/'Planzahlen Rentabilität'!$FJ$15</f>
        <v>0</v>
      </c>
      <c r="FO29" s="1193">
        <f t="shared" ca="1" si="58"/>
        <v>0</v>
      </c>
      <c r="FP29" s="1193">
        <f t="shared" si="59"/>
        <v>0</v>
      </c>
      <c r="FQ29" s="1193">
        <f t="shared" ca="1" si="60"/>
        <v>0</v>
      </c>
      <c r="FR29" s="1194">
        <f t="shared" ca="1" si="24"/>
        <v>0</v>
      </c>
      <c r="FS29" s="1195">
        <f ca="1">FO29/'Planzahlen Rentabilität'!$FP$15</f>
        <v>0</v>
      </c>
      <c r="FT29" s="1195">
        <f>FP29/'Planzahlen Rentabilität'!$FP$15</f>
        <v>0</v>
      </c>
      <c r="FU29" s="1195">
        <f ca="1">FQ29/'Planzahlen Rentabilität'!$FQ$15</f>
        <v>0</v>
      </c>
      <c r="FV29" s="1171"/>
      <c r="FW29" s="1196">
        <v>0</v>
      </c>
    </row>
    <row r="30" spans="1:179" s="958" customFormat="1" x14ac:dyDescent="0.2">
      <c r="A30" s="1204">
        <v>43</v>
      </c>
      <c r="B30" s="1204" t="str">
        <f>'Struktur Aktuell'!B476</f>
        <v>Gewinnbeteiligung</v>
      </c>
      <c r="C30" s="1173">
        <f t="shared" ca="1" si="61"/>
        <v>0</v>
      </c>
      <c r="D30" s="1174">
        <f t="shared" si="62"/>
        <v>0</v>
      </c>
      <c r="E30" s="1175">
        <f t="shared" ca="1" si="61"/>
        <v>0</v>
      </c>
      <c r="F30" s="1205">
        <f t="shared" ca="1" si="2"/>
        <v>0</v>
      </c>
      <c r="G30" s="1206"/>
      <c r="H30" s="1206"/>
      <c r="I30" s="1206"/>
      <c r="J30" s="1173">
        <f ca="1">SUMIF('Struktur Vorjahr'!$A:$A,'Planzahlen Liquidität'!$A30,'Struktur Vorjahr'!G:G)</f>
        <v>0</v>
      </c>
      <c r="K30" s="1174"/>
      <c r="L30" s="1175">
        <f ca="1">SUMIF('Struktur Aktuell'!$A:$A,'Planzahlen Liquidität'!$A30,'Struktur Aktuell'!G:G)</f>
        <v>0</v>
      </c>
      <c r="M30" s="1205">
        <f t="shared" ca="1" si="3"/>
        <v>0</v>
      </c>
      <c r="N30" s="1206"/>
      <c r="O30" s="1206"/>
      <c r="P30" s="1206"/>
      <c r="Q30" s="1173">
        <f t="shared" ca="1" si="25"/>
        <v>0</v>
      </c>
      <c r="R30" s="1174">
        <f t="shared" si="26"/>
        <v>0</v>
      </c>
      <c r="S30" s="1175">
        <f t="shared" ca="1" si="27"/>
        <v>0</v>
      </c>
      <c r="T30" s="1205">
        <f t="shared" ca="1" si="4"/>
        <v>0</v>
      </c>
      <c r="U30" s="1206"/>
      <c r="V30" s="1206"/>
      <c r="W30" s="1206"/>
      <c r="X30" s="1173">
        <f ca="1">SUMIF('Struktur Vorjahr'!$A:$A,'Planzahlen Liquidität'!$A30,'Struktur Vorjahr'!H:H)</f>
        <v>0</v>
      </c>
      <c r="Y30" s="1174">
        <f>K30</f>
        <v>0</v>
      </c>
      <c r="Z30" s="1175">
        <f ca="1">SUMIF('Struktur Aktuell'!$A:$A,'Planzahlen Liquidität'!$A30,'Struktur Aktuell'!H:H)</f>
        <v>0</v>
      </c>
      <c r="AA30" s="1205">
        <f t="shared" ca="1" si="5"/>
        <v>0</v>
      </c>
      <c r="AB30" s="1206"/>
      <c r="AC30" s="1206"/>
      <c r="AD30" s="1206"/>
      <c r="AE30" s="1173">
        <f t="shared" ca="1" si="28"/>
        <v>0</v>
      </c>
      <c r="AF30" s="1174">
        <f t="shared" si="29"/>
        <v>0</v>
      </c>
      <c r="AG30" s="1175">
        <f t="shared" ca="1" si="30"/>
        <v>0</v>
      </c>
      <c r="AH30" s="1205">
        <f t="shared" ca="1" si="6"/>
        <v>0</v>
      </c>
      <c r="AI30" s="1206"/>
      <c r="AJ30" s="1206"/>
      <c r="AK30" s="1206"/>
      <c r="AL30" s="1173">
        <f ca="1">SUMIF('Struktur Vorjahr'!$A:$A,'Planzahlen Liquidität'!$A30,'Struktur Vorjahr'!I:I)</f>
        <v>0</v>
      </c>
      <c r="AM30" s="1174">
        <f>Y30</f>
        <v>0</v>
      </c>
      <c r="AN30" s="1175">
        <f ca="1">SUMIF('Struktur Aktuell'!$A:$A,'Planzahlen Liquidität'!$A30,'Struktur Aktuell'!I:I)</f>
        <v>0</v>
      </c>
      <c r="AO30" s="1205">
        <f t="shared" ca="1" si="7"/>
        <v>0</v>
      </c>
      <c r="AP30" s="1206"/>
      <c r="AQ30" s="1206"/>
      <c r="AR30" s="1206"/>
      <c r="AS30" s="1173">
        <f t="shared" ca="1" si="31"/>
        <v>0</v>
      </c>
      <c r="AT30" s="1174">
        <f t="shared" si="32"/>
        <v>0</v>
      </c>
      <c r="AU30" s="1175">
        <f t="shared" ca="1" si="33"/>
        <v>0</v>
      </c>
      <c r="AV30" s="1205">
        <f t="shared" ca="1" si="8"/>
        <v>0</v>
      </c>
      <c r="AW30" s="1206"/>
      <c r="AX30" s="1206"/>
      <c r="AY30" s="1206"/>
      <c r="AZ30" s="1173">
        <f ca="1">SUMIF('Struktur Vorjahr'!$A:$A,'Planzahlen Liquidität'!$A30,'Struktur Vorjahr'!J:J)</f>
        <v>0</v>
      </c>
      <c r="BA30" s="1174">
        <f>AM30</f>
        <v>0</v>
      </c>
      <c r="BB30" s="1175">
        <f ca="1">SUMIF('Struktur Aktuell'!$A:$A,'Planzahlen Liquidität'!$A30,'Struktur Aktuell'!J:J)</f>
        <v>0</v>
      </c>
      <c r="BC30" s="1205">
        <f t="shared" ca="1" si="9"/>
        <v>0</v>
      </c>
      <c r="BD30" s="1206"/>
      <c r="BE30" s="1206"/>
      <c r="BF30" s="1206"/>
      <c r="BG30" s="1173">
        <f t="shared" ca="1" si="34"/>
        <v>0</v>
      </c>
      <c r="BH30" s="1174">
        <f t="shared" si="35"/>
        <v>0</v>
      </c>
      <c r="BI30" s="1175">
        <f t="shared" ca="1" si="36"/>
        <v>0</v>
      </c>
      <c r="BJ30" s="1205">
        <f t="shared" ca="1" si="10"/>
        <v>0</v>
      </c>
      <c r="BK30" s="1206"/>
      <c r="BL30" s="1206"/>
      <c r="BM30" s="1206"/>
      <c r="BN30" s="1173">
        <f ca="1">SUMIF('Struktur Vorjahr'!$A:$A,'Planzahlen Liquidität'!$A30,'Struktur Vorjahr'!K:K)</f>
        <v>0</v>
      </c>
      <c r="BO30" s="1174">
        <f>BA30</f>
        <v>0</v>
      </c>
      <c r="BP30" s="1175">
        <f ca="1">SUMIF('Struktur Aktuell'!$A:$A,'Planzahlen Liquidität'!$A30,'Struktur Aktuell'!K:K)</f>
        <v>0</v>
      </c>
      <c r="BQ30" s="1205">
        <f t="shared" ca="1" si="11"/>
        <v>0</v>
      </c>
      <c r="BR30" s="1206"/>
      <c r="BS30" s="1206"/>
      <c r="BT30" s="1206"/>
      <c r="BU30" s="1173">
        <f t="shared" ca="1" si="37"/>
        <v>0</v>
      </c>
      <c r="BV30" s="1174">
        <f t="shared" si="38"/>
        <v>0</v>
      </c>
      <c r="BW30" s="1175">
        <f t="shared" ca="1" si="39"/>
        <v>0</v>
      </c>
      <c r="BX30" s="1205">
        <f t="shared" ca="1" si="12"/>
        <v>0</v>
      </c>
      <c r="BY30" s="1206"/>
      <c r="BZ30" s="1206"/>
      <c r="CA30" s="1206"/>
      <c r="CB30" s="1173">
        <f ca="1">SUMIF('Struktur Vorjahr'!$A:$A,'Planzahlen Liquidität'!$A30,'Struktur Vorjahr'!L:L)</f>
        <v>0</v>
      </c>
      <c r="CC30" s="1174">
        <f>BO30</f>
        <v>0</v>
      </c>
      <c r="CD30" s="1175">
        <f ca="1">SUMIF('Struktur Aktuell'!$A:$A,'Planzahlen Liquidität'!$A30,'Struktur Aktuell'!L:L)</f>
        <v>0</v>
      </c>
      <c r="CE30" s="1205">
        <f t="shared" ca="1" si="13"/>
        <v>0</v>
      </c>
      <c r="CF30" s="1206"/>
      <c r="CG30" s="1206"/>
      <c r="CH30" s="1206"/>
      <c r="CI30" s="1173">
        <f t="shared" ca="1" si="40"/>
        <v>0</v>
      </c>
      <c r="CJ30" s="1174">
        <f t="shared" si="41"/>
        <v>0</v>
      </c>
      <c r="CK30" s="1175">
        <f t="shared" ca="1" si="42"/>
        <v>0</v>
      </c>
      <c r="CL30" s="1205">
        <f t="shared" ca="1" si="0"/>
        <v>0</v>
      </c>
      <c r="CM30" s="1206"/>
      <c r="CN30" s="1206"/>
      <c r="CO30" s="1206"/>
      <c r="CP30" s="1173">
        <f ca="1">SUMIF('Struktur Vorjahr'!$A:$A,'Planzahlen Liquidität'!$A30,'Struktur Vorjahr'!M:M)</f>
        <v>0</v>
      </c>
      <c r="CQ30" s="1174">
        <f>CC30</f>
        <v>0</v>
      </c>
      <c r="CR30" s="1175">
        <f ca="1">SUMIF('Struktur Aktuell'!$A:$A,'Planzahlen Liquidität'!$A30,'Struktur Aktuell'!M:M)</f>
        <v>0</v>
      </c>
      <c r="CS30" s="1205">
        <f t="shared" ca="1" si="1"/>
        <v>0</v>
      </c>
      <c r="CT30" s="1206"/>
      <c r="CU30" s="1206"/>
      <c r="CV30" s="1206"/>
      <c r="CW30" s="1173">
        <f t="shared" ca="1" si="43"/>
        <v>0</v>
      </c>
      <c r="CX30" s="1174">
        <f t="shared" si="44"/>
        <v>0</v>
      </c>
      <c r="CY30" s="1175">
        <f t="shared" ca="1" si="45"/>
        <v>0</v>
      </c>
      <c r="CZ30" s="1205">
        <f t="shared" ca="1" si="14"/>
        <v>0</v>
      </c>
      <c r="DA30" s="1206"/>
      <c r="DB30" s="1206"/>
      <c r="DC30" s="1206"/>
      <c r="DD30" s="1173">
        <f ca="1">SUMIF('Struktur Vorjahr'!$A:$A,'Planzahlen Liquidität'!$A30,'Struktur Vorjahr'!N:N)</f>
        <v>0</v>
      </c>
      <c r="DE30" s="1174">
        <f>CQ30</f>
        <v>0</v>
      </c>
      <c r="DF30" s="1175">
        <f ca="1">SUMIF('Struktur Aktuell'!$A:$A,'Planzahlen Liquidität'!$A30,'Struktur Aktuell'!N:N)</f>
        <v>0</v>
      </c>
      <c r="DG30" s="1205">
        <f t="shared" ca="1" si="15"/>
        <v>0</v>
      </c>
      <c r="DH30" s="1206"/>
      <c r="DI30" s="1206"/>
      <c r="DJ30" s="1206"/>
      <c r="DK30" s="1173">
        <f t="shared" ca="1" si="46"/>
        <v>0</v>
      </c>
      <c r="DL30" s="1174">
        <f t="shared" si="47"/>
        <v>0</v>
      </c>
      <c r="DM30" s="1175">
        <f t="shared" ca="1" si="48"/>
        <v>0</v>
      </c>
      <c r="DN30" s="1205">
        <f t="shared" ca="1" si="16"/>
        <v>0</v>
      </c>
      <c r="DO30" s="1206"/>
      <c r="DP30" s="1206"/>
      <c r="DQ30" s="1206"/>
      <c r="DR30" s="1173">
        <f ca="1">SUMIF('Struktur Vorjahr'!$A:$A,'Planzahlen Liquidität'!$A30,'Struktur Vorjahr'!O:O)</f>
        <v>0</v>
      </c>
      <c r="DS30" s="1174">
        <f>DE30</f>
        <v>0</v>
      </c>
      <c r="DT30" s="1175">
        <f ca="1">SUMIF('Struktur Aktuell'!$A:$A,'Planzahlen Liquidität'!$A30,'Struktur Aktuell'!O:O)</f>
        <v>0</v>
      </c>
      <c r="DU30" s="1205">
        <f t="shared" ca="1" si="17"/>
        <v>0</v>
      </c>
      <c r="DV30" s="1206"/>
      <c r="DW30" s="1206"/>
      <c r="DX30" s="1206"/>
      <c r="DY30" s="1173">
        <f t="shared" ca="1" si="49"/>
        <v>0</v>
      </c>
      <c r="DZ30" s="1174">
        <f t="shared" si="50"/>
        <v>0</v>
      </c>
      <c r="EA30" s="1175">
        <f t="shared" ca="1" si="51"/>
        <v>0</v>
      </c>
      <c r="EB30" s="1205">
        <f t="shared" ca="1" si="18"/>
        <v>0</v>
      </c>
      <c r="EC30" s="1206"/>
      <c r="ED30" s="1206"/>
      <c r="EE30" s="1206"/>
      <c r="EF30" s="1173">
        <f ca="1">SUMIF('Struktur Vorjahr'!$A:$A,'Planzahlen Liquidität'!$A30,'Struktur Vorjahr'!P:P)</f>
        <v>0</v>
      </c>
      <c r="EG30" s="1174">
        <f>DS30</f>
        <v>0</v>
      </c>
      <c r="EH30" s="1175">
        <f ca="1">SUMIF('Struktur Aktuell'!$A:$A,'Planzahlen Liquidität'!$A30,'Struktur Aktuell'!P:P)</f>
        <v>0</v>
      </c>
      <c r="EI30" s="1205">
        <f t="shared" ca="1" si="19"/>
        <v>0</v>
      </c>
      <c r="EJ30" s="1206"/>
      <c r="EK30" s="1206"/>
      <c r="EL30" s="1206"/>
      <c r="EM30" s="1173">
        <f t="shared" ca="1" si="52"/>
        <v>0</v>
      </c>
      <c r="EN30" s="1174">
        <f t="shared" si="53"/>
        <v>0</v>
      </c>
      <c r="EO30" s="1175">
        <f t="shared" ca="1" si="54"/>
        <v>0</v>
      </c>
      <c r="EP30" s="1205">
        <f t="shared" ca="1" si="20"/>
        <v>0</v>
      </c>
      <c r="EQ30" s="1206"/>
      <c r="ER30" s="1206"/>
      <c r="ES30" s="1206"/>
      <c r="ET30" s="1173">
        <f ca="1">SUMIF('Struktur Vorjahr'!$A:$A,'Planzahlen Liquidität'!$A30,'Struktur Vorjahr'!Q:Q)</f>
        <v>0</v>
      </c>
      <c r="EU30" s="1174">
        <f>EG30</f>
        <v>0</v>
      </c>
      <c r="EV30" s="1175">
        <f ca="1">SUMIF('Struktur Aktuell'!$A:$A,'Planzahlen Liquidität'!$A30,'Struktur Aktuell'!Q:Q)</f>
        <v>0</v>
      </c>
      <c r="EW30" s="1205">
        <f t="shared" ca="1" si="21"/>
        <v>0</v>
      </c>
      <c r="EX30" s="1206"/>
      <c r="EY30" s="1206"/>
      <c r="EZ30" s="1206"/>
      <c r="FA30" s="1173">
        <f t="shared" ca="1" si="55"/>
        <v>0</v>
      </c>
      <c r="FB30" s="1174">
        <f t="shared" si="56"/>
        <v>0</v>
      </c>
      <c r="FC30" s="1175">
        <f t="shared" ca="1" si="57"/>
        <v>0</v>
      </c>
      <c r="FD30" s="1205">
        <f t="shared" ca="1" si="22"/>
        <v>0</v>
      </c>
      <c r="FE30" s="1206"/>
      <c r="FF30" s="1206"/>
      <c r="FG30" s="1206"/>
      <c r="FH30" s="1173">
        <f ca="1">SUMIF('Struktur Vorjahr'!$A:$A,'Planzahlen Liquidität'!$A30,'Struktur Vorjahr'!R:R)</f>
        <v>0</v>
      </c>
      <c r="FI30" s="1174">
        <f>EU30</f>
        <v>0</v>
      </c>
      <c r="FJ30" s="1175">
        <f ca="1">SUMIF('Struktur Aktuell'!$A:$A,'Planzahlen Liquidität'!$A30,'Struktur Aktuell'!R:R)</f>
        <v>0</v>
      </c>
      <c r="FK30" s="1205">
        <f t="shared" ca="1" si="23"/>
        <v>0</v>
      </c>
      <c r="FL30" s="1206"/>
      <c r="FM30" s="1206"/>
      <c r="FN30" s="1206"/>
      <c r="FO30" s="1173">
        <f t="shared" ca="1" si="58"/>
        <v>0</v>
      </c>
      <c r="FP30" s="1174">
        <f t="shared" si="59"/>
        <v>0</v>
      </c>
      <c r="FQ30" s="1175">
        <f t="shared" ca="1" si="60"/>
        <v>0</v>
      </c>
      <c r="FR30" s="1205">
        <f t="shared" ca="1" si="24"/>
        <v>0</v>
      </c>
      <c r="FS30" s="1206"/>
      <c r="FT30" s="1206"/>
      <c r="FU30" s="1206"/>
      <c r="FV30" s="1207"/>
      <c r="FW30" s="1205">
        <v>0</v>
      </c>
    </row>
    <row r="31" spans="1:179" s="883" customFormat="1" ht="16.5" customHeight="1" x14ac:dyDescent="0.2">
      <c r="A31" s="1179" t="s">
        <v>280</v>
      </c>
      <c r="B31" s="1167" t="str">
        <f>'Struktur Aktuell'!B481</f>
        <v>Liqui-Ergebnis I (Geldvermögen)</v>
      </c>
      <c r="C31" s="1180">
        <f ca="1">C20-C23-C24-C29-C30</f>
        <v>-9986.9299999999857</v>
      </c>
      <c r="D31" s="1180">
        <f>D20-D23-D24-D29-D30</f>
        <v>178726.12666666645</v>
      </c>
      <c r="E31" s="1180">
        <f ca="1">E20-E23-E24-E29-E30</f>
        <v>-5236.9299999999857</v>
      </c>
      <c r="F31" s="1181">
        <f t="shared" ca="1" si="2"/>
        <v>-183963.05666666644</v>
      </c>
      <c r="G31" s="1182">
        <f ca="1">C31/'Planzahlen Rentabilität'!C$15</f>
        <v>-6.4856158202598269E-2</v>
      </c>
      <c r="H31" s="1182">
        <f>D31/'Planzahlen Rentabilität'!D$15</f>
        <v>0.17281816488201004</v>
      </c>
      <c r="I31" s="1182">
        <f ca="1">E31/'Planzahlen Rentabilität'!E$15</f>
        <v>-3.3033306748220047E-2</v>
      </c>
      <c r="J31" s="1180">
        <f ca="1">J20-J23-J24-J29-J30</f>
        <v>-13754.740000000003</v>
      </c>
      <c r="K31" s="1180">
        <f>K20-K23-K24-K29-K30</f>
        <v>-2853.4649444444472</v>
      </c>
      <c r="L31" s="1180">
        <f ca="1">L20-L23-L24-L29-L30</f>
        <v>-8833.7400000000034</v>
      </c>
      <c r="M31" s="1181">
        <f t="shared" ca="1" si="3"/>
        <v>-5980.2750555555558</v>
      </c>
      <c r="N31" s="1182">
        <f ca="1">J31/'Planzahlen Rentabilität'!J$15</f>
        <v>-1.2582354001227618</v>
      </c>
      <c r="O31" s="1182">
        <f>K31/'Planzahlen Rentabilität'!K$15</f>
        <v>-4.5985682531067065E-2</v>
      </c>
      <c r="P31" s="1182">
        <f ca="1">L31/'Planzahlen Rentabilität'!L$15</f>
        <v>-0.78930678525380726</v>
      </c>
      <c r="Q31" s="1180">
        <f t="shared" ca="1" si="25"/>
        <v>-13754.740000000003</v>
      </c>
      <c r="R31" s="1180">
        <f t="shared" si="26"/>
        <v>-2853.4649444444472</v>
      </c>
      <c r="S31" s="1180">
        <f t="shared" ca="1" si="27"/>
        <v>-8833.7400000000034</v>
      </c>
      <c r="T31" s="1181">
        <f t="shared" ca="1" si="4"/>
        <v>-5980.2750555555558</v>
      </c>
      <c r="U31" s="1182">
        <f ca="1">Q31/'Planzahlen Rentabilität'!Q$15</f>
        <v>-1.2582354001227618</v>
      </c>
      <c r="V31" s="1182">
        <f>R31/'Planzahlen Rentabilität'!R$15</f>
        <v>-4.5985682531067065E-2</v>
      </c>
      <c r="W31" s="1182">
        <f ca="1">S31/'Planzahlen Rentabilität'!S$15</f>
        <v>-0.78930678525380726</v>
      </c>
      <c r="X31" s="1180">
        <f ca="1">X20-X23-X24-X29-X30</f>
        <v>-3096.9899999999975</v>
      </c>
      <c r="Y31" s="1180">
        <f>Y20-Y23-Y24-Y29-Y30</f>
        <v>11577.539055555559</v>
      </c>
      <c r="Z31" s="1180">
        <f ca="1">Z20-Z23-Z24-Z29-Z30</f>
        <v>-9845.989999999998</v>
      </c>
      <c r="AA31" s="1181">
        <f t="shared" ca="1" si="5"/>
        <v>-21423.529055555555</v>
      </c>
      <c r="AB31" s="1182">
        <f ca="1">X31/'Planzahlen Rentabilität'!$Y$15</f>
        <v>-3.743270069407241E-2</v>
      </c>
      <c r="AC31" s="1182">
        <f>Y31/'Planzahlen Rentabilität'!$Y$15</f>
        <v>0.13993540639154317</v>
      </c>
      <c r="AD31" s="1182">
        <f ca="1">Z31/'Planzahlen Rentabilität'!$Z$15</f>
        <v>-0.82888122808568288</v>
      </c>
      <c r="AE31" s="1180">
        <f t="shared" ca="1" si="28"/>
        <v>-16851.73</v>
      </c>
      <c r="AF31" s="1180">
        <f t="shared" si="29"/>
        <v>8724.0741111111111</v>
      </c>
      <c r="AG31" s="1180">
        <f t="shared" ca="1" si="30"/>
        <v>-18679.730000000003</v>
      </c>
      <c r="AH31" s="1181">
        <f t="shared" ca="1" si="6"/>
        <v>-27403.804111111116</v>
      </c>
      <c r="AI31" s="1182">
        <f ca="1">AE31/'Planzahlen Rentabilität'!$AF$15</f>
        <v>-0.1163905719087282</v>
      </c>
      <c r="AJ31" s="1182">
        <f>AF31/'Planzahlen Rentabilität'!$AF$15</f>
        <v>6.0254939710424504E-2</v>
      </c>
      <c r="AK31" s="1182">
        <f ca="1">AG31/'Planzahlen Rentabilität'!$AG$15</f>
        <v>-0.80968313537421521</v>
      </c>
      <c r="AL31" s="1180">
        <f ca="1">AL20-AL23-AL24-AL29-AL30</f>
        <v>-1647.24</v>
      </c>
      <c r="AM31" s="1180">
        <f>AM20-AM23-AM24-AM29-AM30</f>
        <v>26008.543055555561</v>
      </c>
      <c r="AN31" s="1180">
        <f ca="1">AN20-AN23-AN24-AN29-AN30</f>
        <v>681.76000000000022</v>
      </c>
      <c r="AO31" s="1181">
        <f t="shared" ca="1" si="7"/>
        <v>-25326.783055555563</v>
      </c>
      <c r="AP31" s="1182">
        <f ca="1">AL31/'Planzahlen Rentabilität'!$AM$15</f>
        <v>-1.5927889180476239E-2</v>
      </c>
      <c r="AQ31" s="1182">
        <f>AM31/'Planzahlen Rentabilität'!$AM$15</f>
        <v>0.25148805974510929</v>
      </c>
      <c r="AR31" s="1182">
        <f ca="1">AN31/'Planzahlen Rentabilität'!$AN$15</f>
        <v>2.1305000000000005</v>
      </c>
      <c r="AS31" s="1180">
        <f t="shared" ca="1" si="31"/>
        <v>-18498.97</v>
      </c>
      <c r="AT31" s="1180">
        <f t="shared" si="32"/>
        <v>34732.617166666671</v>
      </c>
      <c r="AU31" s="1180">
        <f t="shared" ca="1" si="33"/>
        <v>-17997.97</v>
      </c>
      <c r="AV31" s="1181">
        <f t="shared" ca="1" si="8"/>
        <v>-52730.587166666672</v>
      </c>
      <c r="AW31" s="1182">
        <f ca="1">AS31/'Planzahlen Rentabilität'!$AT$15</f>
        <v>-7.453112077195656E-2</v>
      </c>
      <c r="AX31" s="1182">
        <f>AT31/'Planzahlen Rentabilität'!$AT$15</f>
        <v>0.13993540639154317</v>
      </c>
      <c r="AY31" s="1182">
        <f ca="1">AU31/'Planzahlen Rentabilität'!$AU$15</f>
        <v>-0.76945903493823542</v>
      </c>
      <c r="AZ31" s="1180">
        <f ca="1">AZ20-AZ23-AZ24-AZ29-AZ30</f>
        <v>-14385.240000000005</v>
      </c>
      <c r="BA31" s="1180">
        <f>BA20-BA23-BA24-BA29-BA30</f>
        <v>4362.0370555555601</v>
      </c>
      <c r="BB31" s="1180">
        <f ca="1">BB20-BB23-BB24-BB29-BB30</f>
        <v>-19789.240000000005</v>
      </c>
      <c r="BC31" s="1181">
        <f t="shared" ca="1" si="9"/>
        <v>-24151.277055555565</v>
      </c>
      <c r="BD31" s="1182">
        <f ca="1">AZ31/'Planzahlen Rentabilität'!$BA$15</f>
        <v>-0.19871031765217151</v>
      </c>
      <c r="BE31" s="1182">
        <f>BA31/'Planzahlen Rentabilität'!$BA$15</f>
        <v>6.0254939710424567E-2</v>
      </c>
      <c r="BF31" s="1182">
        <f ca="1">BB31/'Planzahlen Rentabilität'!$BB$15</f>
        <v>-1.5250400540681761</v>
      </c>
      <c r="BG31" s="1180">
        <f t="shared" ca="1" si="34"/>
        <v>-32884.210000000006</v>
      </c>
      <c r="BH31" s="1180">
        <f t="shared" si="35"/>
        <v>39094.654222222234</v>
      </c>
      <c r="BI31" s="1180">
        <f t="shared" ca="1" si="36"/>
        <v>-37787.210000000006</v>
      </c>
      <c r="BJ31" s="1181">
        <f t="shared" ca="1" si="10"/>
        <v>-76881.864222222241</v>
      </c>
      <c r="BK31" s="1182">
        <f ca="1">BG31/'Planzahlen Rentabilität'!$BH$15</f>
        <v>-0.10257158458361799</v>
      </c>
      <c r="BL31" s="1182">
        <f>BH31/'Planzahlen Rentabilität'!$BH$15</f>
        <v>0.12194304294741962</v>
      </c>
      <c r="BM31" s="1182">
        <f ca="1">BI31/'Planzahlen Rentabilität'!$BI$15</f>
        <v>-1.0390627341604104</v>
      </c>
      <c r="BN31" s="1180">
        <f ca="1">BN20-BN23-BN24-BN29-BN30</f>
        <v>-25519.489999999998</v>
      </c>
      <c r="BO31" s="1180">
        <f>BO20-BO23-BO24-BO29-BO30</f>
        <v>8850.9953055555598</v>
      </c>
      <c r="BP31" s="1180">
        <f ca="1">BP20-BP23-BP24-BP29-BP30</f>
        <v>-15830.489999999996</v>
      </c>
      <c r="BQ31" s="1181">
        <f t="shared" ca="1" si="11"/>
        <v>-24681.485305555558</v>
      </c>
      <c r="BR31" s="1182">
        <f ca="1">BN31/'Planzahlen Rentabilität'!$BO$15</f>
        <v>-0.30844898789966213</v>
      </c>
      <c r="BS31" s="1182">
        <f>BO31/'Planzahlen Rentabilität'!$BO$15</f>
        <v>0.10698021566666392</v>
      </c>
      <c r="BT31" s="1182">
        <f ca="1">BP31/'Planzahlen Rentabilität'!$BP$15</f>
        <v>-2.0405085774756988</v>
      </c>
      <c r="BU31" s="1180">
        <f t="shared" ca="1" si="37"/>
        <v>-58403.700000000004</v>
      </c>
      <c r="BV31" s="1180">
        <f t="shared" si="38"/>
        <v>47945.649527777794</v>
      </c>
      <c r="BW31" s="1180">
        <f t="shared" ca="1" si="39"/>
        <v>-53617.700000000004</v>
      </c>
      <c r="BX31" s="1181">
        <f t="shared" ca="1" si="12"/>
        <v>-101563.3495277778</v>
      </c>
      <c r="BY31" s="1182">
        <f ca="1">BU31/'Planzahlen Rentabilität'!$BV$15</f>
        <v>-0.14480284680229372</v>
      </c>
      <c r="BZ31" s="1182">
        <f>BV31/'Planzahlen Rentabilität'!$BV$15</f>
        <v>0.11887374504367486</v>
      </c>
      <c r="CA31" s="1182">
        <f ca="1">BW31/'Planzahlen Rentabilität'!$BW$15</f>
        <v>-1.2151391713582902</v>
      </c>
      <c r="CB31" s="1180">
        <f ca="1">CB20-CB23-CB24-CB29-CB30</f>
        <v>4769.9900000000007</v>
      </c>
      <c r="CC31" s="1180">
        <f>CC20-CC23-CC24-CC29-CC30</f>
        <v>14966.195305555557</v>
      </c>
      <c r="CD31" s="1180">
        <f ca="1">CD20-CD23-CD24-CD29-CD30</f>
        <v>471.98999999999995</v>
      </c>
      <c r="CE31" s="1181">
        <f t="shared" ca="1" si="13"/>
        <v>-14494.205305555557</v>
      </c>
      <c r="CF31" s="1182">
        <f ca="1">CB31/'Planzahlen Rentabilität'!$CC$15</f>
        <v>5.7653918153987779E-2</v>
      </c>
      <c r="CG31" s="1182">
        <f>CC31/'Planzahlen Rentabilität'!$CC$15</f>
        <v>0.18089341890089833</v>
      </c>
      <c r="CH31" s="1182" t="e">
        <f ca="1">CD31/'Planzahlen Rentabilität'!$CD$15</f>
        <v>#DIV/0!</v>
      </c>
      <c r="CI31" s="1180">
        <f t="shared" ca="1" si="40"/>
        <v>-53633.710000000006</v>
      </c>
      <c r="CJ31" s="1180">
        <f t="shared" si="41"/>
        <v>62911.844833333351</v>
      </c>
      <c r="CK31" s="1180">
        <f t="shared" ca="1" si="42"/>
        <v>-53145.710000000006</v>
      </c>
      <c r="CL31" s="1181">
        <f t="shared" ca="1" si="0"/>
        <v>-116057.55483333336</v>
      </c>
      <c r="CM31" s="1182">
        <f ca="1">CI31/'Planzahlen Rentabilität'!$CJ$15</f>
        <v>-0.11034212085228835</v>
      </c>
      <c r="CN31" s="1182">
        <f>CJ31/'Planzahlen Rentabilität'!$CJ$15</f>
        <v>0.12943028527469161</v>
      </c>
      <c r="CO31" s="1182">
        <f ca="1">CK31/'Planzahlen Rentabilität'!$CK$15</f>
        <v>-1.2044424511056608</v>
      </c>
      <c r="CP31" s="1180">
        <f ca="1">CP20-CP23-CP24-CP29-CP30</f>
        <v>24985.910000000007</v>
      </c>
      <c r="CQ31" s="1180">
        <f>CQ20-CQ23-CQ24-CQ29-CQ30</f>
        <v>14966.195305555557</v>
      </c>
      <c r="CR31" s="1180">
        <f ca="1">CR20-CR23-CR24-CR29-CR30</f>
        <v>23242.910000000007</v>
      </c>
      <c r="CS31" s="1181">
        <f t="shared" ca="1" si="1"/>
        <v>8276.7146944444503</v>
      </c>
      <c r="CT31" s="1182">
        <f ca="1">CP31/'Planzahlen Rentabilität'!$CQ$15</f>
        <v>0.30199971281761701</v>
      </c>
      <c r="CU31" s="1182">
        <f>CQ31/'Planzahlen Rentabilität'!$CQ$15</f>
        <v>0.18089341890089833</v>
      </c>
      <c r="CV31" s="1182">
        <f ca="1">CR31/'Planzahlen Rentabilität'!$CR$15</f>
        <v>0.45072018938737274</v>
      </c>
      <c r="CW31" s="1180">
        <f t="shared" ca="1" si="43"/>
        <v>-28647.8</v>
      </c>
      <c r="CX31" s="1180">
        <f t="shared" si="44"/>
        <v>77878.0401388889</v>
      </c>
      <c r="CY31" s="1180">
        <f t="shared" ca="1" si="45"/>
        <v>-29902.799999999999</v>
      </c>
      <c r="CZ31" s="1181">
        <f t="shared" ca="1" si="14"/>
        <v>-107780.8401388889</v>
      </c>
      <c r="DA31" s="1182">
        <f ca="1">CW31/'Planzahlen Rentabilität'!$CX$15</f>
        <v>-5.0365126863938486E-2</v>
      </c>
      <c r="DB31" s="1182">
        <f>CX31/'Planzahlen Rentabilität'!$CX$15</f>
        <v>0.13691583198395804</v>
      </c>
      <c r="DC31" s="1182">
        <f ca="1">CY31/'Planzahlen Rentabilität'!$CY$15</f>
        <v>-0.31248641490631718</v>
      </c>
      <c r="DD31" s="1180">
        <f ca="1">DD20-DD23-DD24-DD29-DD30</f>
        <v>1793.370000000001</v>
      </c>
      <c r="DE31" s="1180">
        <f>DE20-DE23-DE24-DE29-DE30</f>
        <v>5738.6133055555583</v>
      </c>
      <c r="DF31" s="1180">
        <f ca="1">DF20-DF23-DF24-DF29-DF30</f>
        <v>7201.3700000000008</v>
      </c>
      <c r="DG31" s="1181">
        <f t="shared" ca="1" si="15"/>
        <v>1462.7566944444425</v>
      </c>
      <c r="DH31" s="1182">
        <f ca="1">DD31/'Planzahlen Rentabilität'!$DE$15</f>
        <v>2.4772692173914018E-2</v>
      </c>
      <c r="DI31" s="1182">
        <f>DE31/'Planzahlen Rentabilität'!$DE$15</f>
        <v>7.9270257071131417E-2</v>
      </c>
      <c r="DJ31" s="1182">
        <f ca="1">DF31/'Planzahlen Rentabilität'!$DF$15</f>
        <v>0.37253520434583109</v>
      </c>
      <c r="DK31" s="1180">
        <f t="shared" ca="1" si="46"/>
        <v>-26854.429999999997</v>
      </c>
      <c r="DL31" s="1180">
        <f t="shared" si="47"/>
        <v>83616.653444444455</v>
      </c>
      <c r="DM31" s="1180">
        <f t="shared" ca="1" si="48"/>
        <v>-22701.43</v>
      </c>
      <c r="DN31" s="1181">
        <f t="shared" ca="1" si="16"/>
        <v>-106318.08344444446</v>
      </c>
      <c r="DO31" s="1182">
        <f ca="1">DK31/'Planzahlen Rentabilität'!$DL$15</f>
        <v>-4.1881824714503524E-2</v>
      </c>
      <c r="DP31" s="1182">
        <f>DL31/'Planzahlen Rentabilität'!$DL$15</f>
        <v>0.13040746062283246</v>
      </c>
      <c r="DQ31" s="1182">
        <f ca="1">DM31/'Planzahlen Rentabilität'!$DM$15</f>
        <v>-0.19736284211715083</v>
      </c>
      <c r="DR31" s="1180">
        <f ca="1">DR20-DR23-DR24-DR29-DR30</f>
        <v>-6832.6699999999983</v>
      </c>
      <c r="DS31" s="1180">
        <f>DS20-DS23-DS24-DS29-DS30</f>
        <v>27385.119305555563</v>
      </c>
      <c r="DT31" s="1180">
        <f ca="1">DT20-DT23-DT24-DT29-DT30</f>
        <v>-6832.6699999999983</v>
      </c>
      <c r="DU31" s="1181">
        <f t="shared" ca="1" si="17"/>
        <v>-34217.789305555561</v>
      </c>
      <c r="DV31" s="1182">
        <f ca="1">DR31/'Planzahlen Rentabilität'!$DS$15</f>
        <v>-6.6068096067825308E-2</v>
      </c>
      <c r="DW31" s="1182">
        <f>DS31/'Planzahlen Rentabilität'!$DS$15</f>
        <v>0.26479878189760414</v>
      </c>
      <c r="DX31" s="1182">
        <f ca="1">DT31/'Planzahlen Rentabilität'!$DT$15</f>
        <v>-0.62519340939473245</v>
      </c>
      <c r="DY31" s="1180">
        <f t="shared" ca="1" si="49"/>
        <v>-33687.099999999991</v>
      </c>
      <c r="DZ31" s="1180">
        <f t="shared" si="50"/>
        <v>111001.77275000002</v>
      </c>
      <c r="EA31" s="1180">
        <f t="shared" ca="1" si="51"/>
        <v>-29534.1</v>
      </c>
      <c r="EB31" s="1181">
        <f t="shared" ca="1" si="18"/>
        <v>-140535.87275000001</v>
      </c>
      <c r="EC31" s="1182">
        <f ca="1">DY31/'Planzahlen Rentabilität'!$DZ$15</f>
        <v>-4.5241029069131543E-2</v>
      </c>
      <c r="ED31" s="1182">
        <f>DZ31/'Planzahlen Rentabilität'!$DZ$15</f>
        <v>0.14907292191099519</v>
      </c>
      <c r="EE31" s="1182">
        <f ca="1">EA31/'Planzahlen Rentabilität'!$EA$15</f>
        <v>-0.23448560698014298</v>
      </c>
      <c r="EF31" s="1180">
        <f ca="1">EF20-EF23-EF24-EF29-EF30</f>
        <v>20043.689999999995</v>
      </c>
      <c r="EG31" s="1180">
        <f>EG20-EG23-EG24-EG29-EG30</f>
        <v>27385.119305555563</v>
      </c>
      <c r="EH31" s="1180">
        <f ca="1">EH20-EH23-EH24-EH29-EH30</f>
        <v>12131.69</v>
      </c>
      <c r="EI31" s="1181">
        <f t="shared" ca="1" si="19"/>
        <v>-15253.429305555563</v>
      </c>
      <c r="EJ31" s="1182">
        <f ca="1">EF31/'Planzahlen Rentabilität'!$EG$15</f>
        <v>0.19381126799241136</v>
      </c>
      <c r="EK31" s="1182">
        <f>EG31/'Planzahlen Rentabilität'!$EG$15</f>
        <v>0.26479878189760414</v>
      </c>
      <c r="EL31" s="1182">
        <f ca="1">EH31/'Planzahlen Rentabilität'!$EH$15</f>
        <v>0.37077156196248673</v>
      </c>
      <c r="EM31" s="1180">
        <f t="shared" ca="1" si="52"/>
        <v>-13643.409999999996</v>
      </c>
      <c r="EN31" s="1180">
        <f t="shared" si="53"/>
        <v>138386.8920555556</v>
      </c>
      <c r="EO31" s="1180">
        <f t="shared" ca="1" si="54"/>
        <v>-17402.409999999996</v>
      </c>
      <c r="EP31" s="1181">
        <f t="shared" ca="1" si="20"/>
        <v>-155789.3020555556</v>
      </c>
      <c r="EQ31" s="1182">
        <f ca="1">EM31/'Planzahlen Rentabilität'!$EN$15</f>
        <v>-1.6088309915284846E-2</v>
      </c>
      <c r="ER31" s="1182">
        <f>EN31/'Planzahlen Rentabilität'!$EN$15</f>
        <v>0.16318583166545972</v>
      </c>
      <c r="ES31" s="1182">
        <f ca="1">EO31/'Planzahlen Rentabilität'!$EO$15</f>
        <v>-0.10967478744314398</v>
      </c>
      <c r="ET31" s="1180">
        <f ca="1">ET20-ET23-ET24-ET29-ET30</f>
        <v>2975.85</v>
      </c>
      <c r="EU31" s="1180">
        <f>EU20-EU23-EU24-EU29-EU30</f>
        <v>20169.617305555548</v>
      </c>
      <c r="EV31" s="1180">
        <f ca="1">EV20-EV23-EV24-EV29-EV30</f>
        <v>10444.85</v>
      </c>
      <c r="EW31" s="1181">
        <f t="shared" ca="1" si="21"/>
        <v>-9724.7673055555479</v>
      </c>
      <c r="EX31" s="1182">
        <f ca="1">ET31/'Planzahlen Rentabilität'!$K$15</f>
        <v>4.7958007553766925E-2</v>
      </c>
      <c r="EY31" s="1182">
        <f>EU31/'Planzahlen Rentabilität'!$K$15</f>
        <v>0.32504819096944437</v>
      </c>
      <c r="EZ31" s="1182">
        <f ca="1">EV31/'Planzahlen Rentabilität'!$EV$15</f>
        <v>-61.440294117647063</v>
      </c>
      <c r="FA31" s="1180">
        <f t="shared" ca="1" si="55"/>
        <v>-10667.559999999996</v>
      </c>
      <c r="FB31" s="1180">
        <f t="shared" si="56"/>
        <v>158556.50936111115</v>
      </c>
      <c r="FC31" s="1180">
        <f t="shared" ca="1" si="57"/>
        <v>-6957.5599999999959</v>
      </c>
      <c r="FD31" s="1181">
        <f t="shared" ca="1" si="22"/>
        <v>-165514.06936111115</v>
      </c>
      <c r="FE31" s="1182">
        <f ca="1">FA31/'Planzahlen Rentabilität'!$FB$15</f>
        <v>-1.1335091953085231E-2</v>
      </c>
      <c r="FF31" s="1182">
        <f>FB31/'Planzahlen Rentabilität'!$FB$15</f>
        <v>0.16847832244378422</v>
      </c>
      <c r="FG31" s="1182">
        <f ca="1">FC31/'Planzahlen Rentabilität'!$FC$15</f>
        <v>-4.3895491083945214E-2</v>
      </c>
      <c r="FH31" s="1180">
        <f ca="1">FH20-FH23-FH24-FH29-FH30</f>
        <v>680.62999999999988</v>
      </c>
      <c r="FI31" s="1180">
        <f>FI20-FI23-FI24-FI29-FI30</f>
        <v>20169.617305555548</v>
      </c>
      <c r="FJ31" s="1180">
        <f ca="1">FJ20-FJ23-FJ24-FJ29-FJ30</f>
        <v>1720.6299999999999</v>
      </c>
      <c r="FK31" s="1181">
        <f t="shared" ca="1" si="23"/>
        <v>-18448.987305555547</v>
      </c>
      <c r="FL31" s="1182">
        <f ca="1">FH31/'Planzahlen Rentabilität'!$FI$15</f>
        <v>7.3125681024066806E-3</v>
      </c>
      <c r="FM31" s="1182">
        <f>FI31/'Planzahlen Rentabilität'!$FI$15</f>
        <v>0.2166987939796296</v>
      </c>
      <c r="FN31" s="1182">
        <f ca="1">FJ31/'Planzahlen Rentabilität'!$FJ$15</f>
        <v>53.769687499999996</v>
      </c>
      <c r="FO31" s="1180">
        <f t="shared" ca="1" si="58"/>
        <v>-9986.9299999999967</v>
      </c>
      <c r="FP31" s="1180">
        <f t="shared" si="59"/>
        <v>178726.12666666671</v>
      </c>
      <c r="FQ31" s="1180">
        <f t="shared" ca="1" si="60"/>
        <v>-5236.9299999999957</v>
      </c>
      <c r="FR31" s="1181">
        <f t="shared" ca="1" si="24"/>
        <v>-183963.0566666667</v>
      </c>
      <c r="FS31" s="1182">
        <f ca="1">FO31/'Planzahlen Rentabilität'!$FP$15</f>
        <v>-9.6568025480909588E-3</v>
      </c>
      <c r="FT31" s="1182">
        <f>FP31/'Planzahlen Rentabilität'!$FP$15</f>
        <v>0.17281816488201029</v>
      </c>
      <c r="FU31" s="1182">
        <f ca="1">FQ31/'Planzahlen Rentabilität'!$FQ$15</f>
        <v>-3.3033306748220109E-2</v>
      </c>
      <c r="FV31" s="1171"/>
      <c r="FW31" s="1183">
        <v>0</v>
      </c>
    </row>
    <row r="32" spans="1:179" s="883" customFormat="1" x14ac:dyDescent="0.2">
      <c r="A32" s="1160">
        <v>44</v>
      </c>
      <c r="B32" s="1160" t="str">
        <f>'Struktur Aktuell'!B482</f>
        <v>Nettokreditaufnahme für Umschuldung (abzüglich Sondertilgungen)</v>
      </c>
      <c r="C32" s="1173">
        <f t="shared" ref="C32:E34" ca="1" si="63">J32+X32+AL32+AZ32+BN32+CB32+CP32+DD32+DR32+EF32+ET32+FH32</f>
        <v>0</v>
      </c>
      <c r="D32" s="1174">
        <f t="shared" si="63"/>
        <v>0</v>
      </c>
      <c r="E32" s="1175">
        <f t="shared" ca="1" si="63"/>
        <v>0</v>
      </c>
      <c r="F32" s="1169">
        <f t="shared" ca="1" si="2"/>
        <v>0</v>
      </c>
      <c r="G32" s="1170"/>
      <c r="H32" s="1170"/>
      <c r="I32" s="1170"/>
      <c r="J32" s="1173">
        <f ca="1">SUMIF('Struktur Vorjahr'!$A:$A,'Planzahlen Liquidität'!$A32,'Struktur Vorjahr'!G:G)</f>
        <v>0</v>
      </c>
      <c r="K32" s="1174"/>
      <c r="L32" s="1175">
        <f ca="1">SUMIF('Struktur Aktuell'!$A:$A,'Planzahlen Liquidität'!$A32,'Struktur Aktuell'!G:G)</f>
        <v>0</v>
      </c>
      <c r="M32" s="1169">
        <f t="shared" ca="1" si="3"/>
        <v>0</v>
      </c>
      <c r="N32" s="1170"/>
      <c r="O32" s="1170"/>
      <c r="P32" s="1170"/>
      <c r="Q32" s="1173">
        <f t="shared" ca="1" si="25"/>
        <v>0</v>
      </c>
      <c r="R32" s="1174">
        <f t="shared" si="26"/>
        <v>0</v>
      </c>
      <c r="S32" s="1175">
        <f t="shared" ca="1" si="27"/>
        <v>0</v>
      </c>
      <c r="T32" s="1169">
        <f t="shared" ca="1" si="4"/>
        <v>0</v>
      </c>
      <c r="U32" s="1170"/>
      <c r="V32" s="1170"/>
      <c r="W32" s="1170"/>
      <c r="X32" s="1173">
        <f ca="1">SUMIF('Struktur Vorjahr'!$A:$A,'Planzahlen Liquidität'!$A32,'Struktur Vorjahr'!H:H)</f>
        <v>0</v>
      </c>
      <c r="Y32" s="1174">
        <f>K32</f>
        <v>0</v>
      </c>
      <c r="Z32" s="1175">
        <f ca="1">SUMIF('Struktur Aktuell'!$A:$A,'Planzahlen Liquidität'!$A32,'Struktur Aktuell'!H:H)</f>
        <v>0</v>
      </c>
      <c r="AA32" s="1169">
        <f t="shared" ca="1" si="5"/>
        <v>0</v>
      </c>
      <c r="AB32" s="1170"/>
      <c r="AC32" s="1170"/>
      <c r="AD32" s="1170"/>
      <c r="AE32" s="1173">
        <f t="shared" ca="1" si="28"/>
        <v>0</v>
      </c>
      <c r="AF32" s="1174">
        <f t="shared" si="29"/>
        <v>0</v>
      </c>
      <c r="AG32" s="1175">
        <f t="shared" ca="1" si="30"/>
        <v>0</v>
      </c>
      <c r="AH32" s="1169">
        <f t="shared" ca="1" si="6"/>
        <v>0</v>
      </c>
      <c r="AI32" s="1170"/>
      <c r="AJ32" s="1170"/>
      <c r="AK32" s="1170"/>
      <c r="AL32" s="1173">
        <f ca="1">SUMIF('Struktur Vorjahr'!$A:$A,'Planzahlen Liquidität'!$A32,'Struktur Vorjahr'!I:I)</f>
        <v>0</v>
      </c>
      <c r="AM32" s="1174">
        <f>Y32</f>
        <v>0</v>
      </c>
      <c r="AN32" s="1175">
        <f ca="1">SUMIF('Struktur Aktuell'!$A:$A,'Planzahlen Liquidität'!$A32,'Struktur Aktuell'!I:I)</f>
        <v>0</v>
      </c>
      <c r="AO32" s="1169">
        <f t="shared" ca="1" si="7"/>
        <v>0</v>
      </c>
      <c r="AP32" s="1170"/>
      <c r="AQ32" s="1170"/>
      <c r="AR32" s="1170"/>
      <c r="AS32" s="1173">
        <f t="shared" ca="1" si="31"/>
        <v>0</v>
      </c>
      <c r="AT32" s="1174">
        <f t="shared" si="32"/>
        <v>0</v>
      </c>
      <c r="AU32" s="1175">
        <f t="shared" ca="1" si="33"/>
        <v>0</v>
      </c>
      <c r="AV32" s="1169">
        <f t="shared" ca="1" si="8"/>
        <v>0</v>
      </c>
      <c r="AW32" s="1170"/>
      <c r="AX32" s="1170"/>
      <c r="AY32" s="1170"/>
      <c r="AZ32" s="1173">
        <f ca="1">SUMIF('Struktur Vorjahr'!$A:$A,'Planzahlen Liquidität'!$A32,'Struktur Vorjahr'!J:J)</f>
        <v>0</v>
      </c>
      <c r="BA32" s="1174">
        <f>AM32</f>
        <v>0</v>
      </c>
      <c r="BB32" s="1175">
        <f ca="1">SUMIF('Struktur Aktuell'!$A:$A,'Planzahlen Liquidität'!$A32,'Struktur Aktuell'!J:J)</f>
        <v>0</v>
      </c>
      <c r="BC32" s="1169">
        <f t="shared" ca="1" si="9"/>
        <v>0</v>
      </c>
      <c r="BD32" s="1170"/>
      <c r="BE32" s="1170"/>
      <c r="BF32" s="1170"/>
      <c r="BG32" s="1173">
        <f t="shared" ca="1" si="34"/>
        <v>0</v>
      </c>
      <c r="BH32" s="1174">
        <f t="shared" si="35"/>
        <v>0</v>
      </c>
      <c r="BI32" s="1175">
        <f t="shared" ca="1" si="36"/>
        <v>0</v>
      </c>
      <c r="BJ32" s="1169">
        <f t="shared" ca="1" si="10"/>
        <v>0</v>
      </c>
      <c r="BK32" s="1170"/>
      <c r="BL32" s="1170"/>
      <c r="BM32" s="1170"/>
      <c r="BN32" s="1173">
        <f ca="1">SUMIF('Struktur Vorjahr'!$A:$A,'Planzahlen Liquidität'!$A32,'Struktur Vorjahr'!K:K)</f>
        <v>0</v>
      </c>
      <c r="BO32" s="1174">
        <f>BA32</f>
        <v>0</v>
      </c>
      <c r="BP32" s="1175">
        <f ca="1">SUMIF('Struktur Aktuell'!$A:$A,'Planzahlen Liquidität'!$A32,'Struktur Aktuell'!K:K)</f>
        <v>0</v>
      </c>
      <c r="BQ32" s="1169">
        <f t="shared" ca="1" si="11"/>
        <v>0</v>
      </c>
      <c r="BR32" s="1170"/>
      <c r="BS32" s="1170"/>
      <c r="BT32" s="1170"/>
      <c r="BU32" s="1173">
        <f t="shared" ca="1" si="37"/>
        <v>0</v>
      </c>
      <c r="BV32" s="1174">
        <f t="shared" si="38"/>
        <v>0</v>
      </c>
      <c r="BW32" s="1175">
        <f t="shared" ca="1" si="39"/>
        <v>0</v>
      </c>
      <c r="BX32" s="1169">
        <f t="shared" ca="1" si="12"/>
        <v>0</v>
      </c>
      <c r="BY32" s="1170"/>
      <c r="BZ32" s="1170"/>
      <c r="CA32" s="1170"/>
      <c r="CB32" s="1173">
        <f ca="1">SUMIF('Struktur Vorjahr'!$A:$A,'Planzahlen Liquidität'!$A32,'Struktur Vorjahr'!L:L)</f>
        <v>0</v>
      </c>
      <c r="CC32" s="1174">
        <f>BO32</f>
        <v>0</v>
      </c>
      <c r="CD32" s="1175">
        <f ca="1">SUMIF('Struktur Aktuell'!$A:$A,'Planzahlen Liquidität'!$A32,'Struktur Aktuell'!L:L)</f>
        <v>0</v>
      </c>
      <c r="CE32" s="1169">
        <f t="shared" ca="1" si="13"/>
        <v>0</v>
      </c>
      <c r="CF32" s="1170"/>
      <c r="CG32" s="1170"/>
      <c r="CH32" s="1170"/>
      <c r="CI32" s="1173">
        <f t="shared" ca="1" si="40"/>
        <v>0</v>
      </c>
      <c r="CJ32" s="1174">
        <f t="shared" si="41"/>
        <v>0</v>
      </c>
      <c r="CK32" s="1175">
        <f t="shared" ca="1" si="42"/>
        <v>0</v>
      </c>
      <c r="CL32" s="1169">
        <f t="shared" ca="1" si="0"/>
        <v>0</v>
      </c>
      <c r="CM32" s="1170"/>
      <c r="CN32" s="1170"/>
      <c r="CO32" s="1170"/>
      <c r="CP32" s="1173">
        <f ca="1">SUMIF('Struktur Vorjahr'!$A:$A,'Planzahlen Liquidität'!$A32,'Struktur Vorjahr'!M:M)</f>
        <v>0</v>
      </c>
      <c r="CQ32" s="1174">
        <f>CC32</f>
        <v>0</v>
      </c>
      <c r="CR32" s="1175">
        <f ca="1">SUMIF('Struktur Aktuell'!$A:$A,'Planzahlen Liquidität'!$A32,'Struktur Aktuell'!M:M)</f>
        <v>0</v>
      </c>
      <c r="CS32" s="1169">
        <f t="shared" ca="1" si="1"/>
        <v>0</v>
      </c>
      <c r="CT32" s="1170"/>
      <c r="CU32" s="1170"/>
      <c r="CV32" s="1170"/>
      <c r="CW32" s="1173">
        <f t="shared" ca="1" si="43"/>
        <v>0</v>
      </c>
      <c r="CX32" s="1174">
        <f t="shared" si="44"/>
        <v>0</v>
      </c>
      <c r="CY32" s="1175">
        <f t="shared" ca="1" si="45"/>
        <v>0</v>
      </c>
      <c r="CZ32" s="1169">
        <f t="shared" ca="1" si="14"/>
        <v>0</v>
      </c>
      <c r="DA32" s="1170"/>
      <c r="DB32" s="1170"/>
      <c r="DC32" s="1170"/>
      <c r="DD32" s="1173">
        <f ca="1">SUMIF('Struktur Vorjahr'!$A:$A,'Planzahlen Liquidität'!$A32,'Struktur Vorjahr'!N:N)</f>
        <v>0</v>
      </c>
      <c r="DE32" s="1174">
        <f>CQ32</f>
        <v>0</v>
      </c>
      <c r="DF32" s="1175">
        <f ca="1">SUMIF('Struktur Aktuell'!$A:$A,'Planzahlen Liquidität'!$A32,'Struktur Aktuell'!N:N)</f>
        <v>0</v>
      </c>
      <c r="DG32" s="1169">
        <f t="shared" ca="1" si="15"/>
        <v>0</v>
      </c>
      <c r="DH32" s="1170"/>
      <c r="DI32" s="1170"/>
      <c r="DJ32" s="1170"/>
      <c r="DK32" s="1173">
        <f t="shared" ca="1" si="46"/>
        <v>0</v>
      </c>
      <c r="DL32" s="1174">
        <f t="shared" si="47"/>
        <v>0</v>
      </c>
      <c r="DM32" s="1175">
        <f t="shared" ca="1" si="48"/>
        <v>0</v>
      </c>
      <c r="DN32" s="1169">
        <f t="shared" ca="1" si="16"/>
        <v>0</v>
      </c>
      <c r="DO32" s="1170"/>
      <c r="DP32" s="1170"/>
      <c r="DQ32" s="1170"/>
      <c r="DR32" s="1173">
        <f ca="1">SUMIF('Struktur Vorjahr'!$A:$A,'Planzahlen Liquidität'!$A32,'Struktur Vorjahr'!O:O)</f>
        <v>0</v>
      </c>
      <c r="DS32" s="1174">
        <f>DE32</f>
        <v>0</v>
      </c>
      <c r="DT32" s="1175">
        <f ca="1">SUMIF('Struktur Aktuell'!$A:$A,'Planzahlen Liquidität'!$A32,'Struktur Aktuell'!O:O)</f>
        <v>0</v>
      </c>
      <c r="DU32" s="1169">
        <f t="shared" ca="1" si="17"/>
        <v>0</v>
      </c>
      <c r="DV32" s="1170"/>
      <c r="DW32" s="1170"/>
      <c r="DX32" s="1170"/>
      <c r="DY32" s="1173">
        <f t="shared" ca="1" si="49"/>
        <v>0</v>
      </c>
      <c r="DZ32" s="1174">
        <f t="shared" si="50"/>
        <v>0</v>
      </c>
      <c r="EA32" s="1175">
        <f t="shared" ca="1" si="51"/>
        <v>0</v>
      </c>
      <c r="EB32" s="1169">
        <f t="shared" ca="1" si="18"/>
        <v>0</v>
      </c>
      <c r="EC32" s="1170"/>
      <c r="ED32" s="1170"/>
      <c r="EE32" s="1170"/>
      <c r="EF32" s="1173">
        <f ca="1">SUMIF('Struktur Vorjahr'!$A:$A,'Planzahlen Liquidität'!$A32,'Struktur Vorjahr'!P:P)</f>
        <v>0</v>
      </c>
      <c r="EG32" s="1174">
        <f>DS32</f>
        <v>0</v>
      </c>
      <c r="EH32" s="1175">
        <f ca="1">SUMIF('Struktur Aktuell'!$A:$A,'Planzahlen Liquidität'!$A32,'Struktur Aktuell'!P:P)</f>
        <v>0</v>
      </c>
      <c r="EI32" s="1169">
        <f t="shared" ca="1" si="19"/>
        <v>0</v>
      </c>
      <c r="EJ32" s="1170"/>
      <c r="EK32" s="1170"/>
      <c r="EL32" s="1170"/>
      <c r="EM32" s="1173">
        <f t="shared" ca="1" si="52"/>
        <v>0</v>
      </c>
      <c r="EN32" s="1174">
        <f t="shared" si="53"/>
        <v>0</v>
      </c>
      <c r="EO32" s="1175">
        <f t="shared" ca="1" si="54"/>
        <v>0</v>
      </c>
      <c r="EP32" s="1169">
        <f t="shared" ca="1" si="20"/>
        <v>0</v>
      </c>
      <c r="EQ32" s="1170"/>
      <c r="ER32" s="1170"/>
      <c r="ES32" s="1170"/>
      <c r="ET32" s="1173">
        <f ca="1">SUMIF('Struktur Vorjahr'!$A:$A,'Planzahlen Liquidität'!$A32,'Struktur Vorjahr'!Q:Q)</f>
        <v>0</v>
      </c>
      <c r="EU32" s="1174">
        <f>EG32</f>
        <v>0</v>
      </c>
      <c r="EV32" s="1175">
        <f ca="1">SUMIF('Struktur Aktuell'!$A:$A,'Planzahlen Liquidität'!$A32,'Struktur Aktuell'!Q:Q)</f>
        <v>0</v>
      </c>
      <c r="EW32" s="1169">
        <f t="shared" ca="1" si="21"/>
        <v>0</v>
      </c>
      <c r="EX32" s="1170"/>
      <c r="EY32" s="1170"/>
      <c r="EZ32" s="1170"/>
      <c r="FA32" s="1173">
        <f t="shared" ca="1" si="55"/>
        <v>0</v>
      </c>
      <c r="FB32" s="1174">
        <f t="shared" si="56"/>
        <v>0</v>
      </c>
      <c r="FC32" s="1175">
        <f t="shared" ca="1" si="57"/>
        <v>0</v>
      </c>
      <c r="FD32" s="1169">
        <f t="shared" ca="1" si="22"/>
        <v>0</v>
      </c>
      <c r="FE32" s="1170"/>
      <c r="FF32" s="1170"/>
      <c r="FG32" s="1170"/>
      <c r="FH32" s="1173">
        <f ca="1">SUMIF('Struktur Vorjahr'!$A:$A,'Planzahlen Liquidität'!$A32,'Struktur Vorjahr'!R:R)</f>
        <v>0</v>
      </c>
      <c r="FI32" s="1174">
        <f>EU32</f>
        <v>0</v>
      </c>
      <c r="FJ32" s="1175">
        <f ca="1">SUMIF('Struktur Aktuell'!$A:$A,'Planzahlen Liquidität'!$A32,'Struktur Aktuell'!R:R)</f>
        <v>0</v>
      </c>
      <c r="FK32" s="1169">
        <f t="shared" ca="1" si="23"/>
        <v>0</v>
      </c>
      <c r="FL32" s="1170"/>
      <c r="FM32" s="1170"/>
      <c r="FN32" s="1170"/>
      <c r="FO32" s="1173">
        <f t="shared" ca="1" si="58"/>
        <v>0</v>
      </c>
      <c r="FP32" s="1174">
        <f t="shared" si="59"/>
        <v>0</v>
      </c>
      <c r="FQ32" s="1175">
        <f t="shared" ca="1" si="60"/>
        <v>0</v>
      </c>
      <c r="FR32" s="1169">
        <f t="shared" ca="1" si="24"/>
        <v>0</v>
      </c>
      <c r="FS32" s="1170"/>
      <c r="FT32" s="1170"/>
      <c r="FU32" s="1170"/>
      <c r="FV32" s="1171"/>
      <c r="FW32" s="1169">
        <v>0</v>
      </c>
    </row>
    <row r="33" spans="1:179" s="883" customFormat="1" x14ac:dyDescent="0.2">
      <c r="A33" s="1160">
        <v>45</v>
      </c>
      <c r="B33" s="1160" t="str">
        <f>'Struktur Aktuell'!B487</f>
        <v>Veränderung sonstiges Aktiva</v>
      </c>
      <c r="C33" s="1173">
        <f t="shared" ca="1" si="63"/>
        <v>-23295.550000000003</v>
      </c>
      <c r="D33" s="1174">
        <f t="shared" si="63"/>
        <v>0</v>
      </c>
      <c r="E33" s="1175">
        <f t="shared" ca="1" si="63"/>
        <v>-23295.550000000003</v>
      </c>
      <c r="F33" s="1169">
        <f t="shared" ca="1" si="2"/>
        <v>-23295.550000000003</v>
      </c>
      <c r="G33" s="1170"/>
      <c r="H33" s="1170"/>
      <c r="I33" s="1170"/>
      <c r="J33" s="1173">
        <f ca="1">SUMIF('Struktur Vorjahr'!$A:$A,'Planzahlen Liquidität'!$A33,'Struktur Vorjahr'!G:G)</f>
        <v>-52668.81</v>
      </c>
      <c r="K33" s="1174"/>
      <c r="L33" s="1175">
        <f ca="1">SUMIF('Struktur Aktuell'!$A:$A,'Planzahlen Liquidität'!$A33,'Struktur Aktuell'!G:G)</f>
        <v>-52668.81</v>
      </c>
      <c r="M33" s="1169">
        <f t="shared" ca="1" si="3"/>
        <v>-52668.81</v>
      </c>
      <c r="N33" s="1170"/>
      <c r="O33" s="1170"/>
      <c r="P33" s="1170"/>
      <c r="Q33" s="1173">
        <f t="shared" ca="1" si="25"/>
        <v>-52668.81</v>
      </c>
      <c r="R33" s="1174">
        <f t="shared" si="26"/>
        <v>0</v>
      </c>
      <c r="S33" s="1175">
        <f t="shared" ca="1" si="27"/>
        <v>-52668.81</v>
      </c>
      <c r="T33" s="1169">
        <f t="shared" ca="1" si="4"/>
        <v>-52668.81</v>
      </c>
      <c r="U33" s="1170"/>
      <c r="V33" s="1170"/>
      <c r="W33" s="1170"/>
      <c r="X33" s="1173">
        <f ca="1">SUMIF('Struktur Vorjahr'!$A:$A,'Planzahlen Liquidität'!$A33,'Struktur Vorjahr'!H:H)</f>
        <v>-488.82999999999981</v>
      </c>
      <c r="Y33" s="1174">
        <f>K33</f>
        <v>0</v>
      </c>
      <c r="Z33" s="1175">
        <f ca="1">SUMIF('Struktur Aktuell'!$A:$A,'Planzahlen Liquidität'!$A33,'Struktur Aktuell'!H:H)</f>
        <v>-488.82999999999981</v>
      </c>
      <c r="AA33" s="1169">
        <f t="shared" ca="1" si="5"/>
        <v>-488.82999999999981</v>
      </c>
      <c r="AB33" s="1170"/>
      <c r="AC33" s="1170"/>
      <c r="AD33" s="1170"/>
      <c r="AE33" s="1173">
        <f t="shared" ca="1" si="28"/>
        <v>-53157.64</v>
      </c>
      <c r="AF33" s="1174">
        <f t="shared" si="29"/>
        <v>0</v>
      </c>
      <c r="AG33" s="1175">
        <f t="shared" ca="1" si="30"/>
        <v>-53157.64</v>
      </c>
      <c r="AH33" s="1169">
        <f t="shared" ca="1" si="6"/>
        <v>-53157.64</v>
      </c>
      <c r="AI33" s="1170"/>
      <c r="AJ33" s="1170"/>
      <c r="AK33" s="1170"/>
      <c r="AL33" s="1173">
        <f ca="1">SUMIF('Struktur Vorjahr'!$A:$A,'Planzahlen Liquidität'!$A33,'Struktur Vorjahr'!I:I)</f>
        <v>-7316.6000000000013</v>
      </c>
      <c r="AM33" s="1174">
        <f>Y33</f>
        <v>0</v>
      </c>
      <c r="AN33" s="1175">
        <f ca="1">SUMIF('Struktur Aktuell'!$A:$A,'Planzahlen Liquidität'!$A33,'Struktur Aktuell'!I:I)</f>
        <v>-7316.6000000000013</v>
      </c>
      <c r="AO33" s="1169">
        <f t="shared" ca="1" si="7"/>
        <v>-7316.6000000000013</v>
      </c>
      <c r="AP33" s="1170"/>
      <c r="AQ33" s="1170"/>
      <c r="AR33" s="1170"/>
      <c r="AS33" s="1173">
        <f t="shared" ca="1" si="31"/>
        <v>-60474.239999999998</v>
      </c>
      <c r="AT33" s="1174">
        <f t="shared" si="32"/>
        <v>0</v>
      </c>
      <c r="AU33" s="1175">
        <f t="shared" ca="1" si="33"/>
        <v>-60474.239999999998</v>
      </c>
      <c r="AV33" s="1169">
        <f t="shared" ca="1" si="8"/>
        <v>-60474.239999999998</v>
      </c>
      <c r="AW33" s="1170"/>
      <c r="AX33" s="1170"/>
      <c r="AY33" s="1170"/>
      <c r="AZ33" s="1173">
        <f ca="1">SUMIF('Struktur Vorjahr'!$A:$A,'Planzahlen Liquidität'!$A33,'Struktur Vorjahr'!J:J)</f>
        <v>6624.63</v>
      </c>
      <c r="BA33" s="1174">
        <f>AM33</f>
        <v>0</v>
      </c>
      <c r="BB33" s="1175">
        <f ca="1">SUMIF('Struktur Aktuell'!$A:$A,'Planzahlen Liquidität'!$A33,'Struktur Aktuell'!J:J)</f>
        <v>6624.63</v>
      </c>
      <c r="BC33" s="1169">
        <f t="shared" ca="1" si="9"/>
        <v>6624.63</v>
      </c>
      <c r="BD33" s="1170"/>
      <c r="BE33" s="1170"/>
      <c r="BF33" s="1170"/>
      <c r="BG33" s="1173">
        <f t="shared" ca="1" si="34"/>
        <v>-53849.61</v>
      </c>
      <c r="BH33" s="1174">
        <f t="shared" si="35"/>
        <v>0</v>
      </c>
      <c r="BI33" s="1175">
        <f t="shared" ca="1" si="36"/>
        <v>-53849.61</v>
      </c>
      <c r="BJ33" s="1169">
        <f t="shared" ca="1" si="10"/>
        <v>-53849.61</v>
      </c>
      <c r="BK33" s="1170"/>
      <c r="BL33" s="1170"/>
      <c r="BM33" s="1170"/>
      <c r="BN33" s="1173">
        <f ca="1">SUMIF('Struktur Vorjahr'!$A:$A,'Planzahlen Liquidität'!$A33,'Struktur Vorjahr'!K:K)</f>
        <v>-6529.54</v>
      </c>
      <c r="BO33" s="1174">
        <f>BA33</f>
        <v>0</v>
      </c>
      <c r="BP33" s="1175">
        <f ca="1">SUMIF('Struktur Aktuell'!$A:$A,'Planzahlen Liquidität'!$A33,'Struktur Aktuell'!K:K)</f>
        <v>-6529.54</v>
      </c>
      <c r="BQ33" s="1169">
        <f t="shared" ca="1" si="11"/>
        <v>-6529.54</v>
      </c>
      <c r="BR33" s="1170"/>
      <c r="BS33" s="1170"/>
      <c r="BT33" s="1170"/>
      <c r="BU33" s="1173">
        <f t="shared" ca="1" si="37"/>
        <v>-60379.15</v>
      </c>
      <c r="BV33" s="1174">
        <f t="shared" si="38"/>
        <v>0</v>
      </c>
      <c r="BW33" s="1175">
        <f t="shared" ca="1" si="39"/>
        <v>-60379.15</v>
      </c>
      <c r="BX33" s="1169">
        <f t="shared" ca="1" si="12"/>
        <v>-60379.15</v>
      </c>
      <c r="BY33" s="1170"/>
      <c r="BZ33" s="1170"/>
      <c r="CA33" s="1170"/>
      <c r="CB33" s="1173">
        <f ca="1">SUMIF('Struktur Vorjahr'!$A:$A,'Planzahlen Liquidität'!$A33,'Struktur Vorjahr'!L:L)</f>
        <v>3897.7000000000003</v>
      </c>
      <c r="CC33" s="1174">
        <f>BO33</f>
        <v>0</v>
      </c>
      <c r="CD33" s="1175">
        <f ca="1">SUMIF('Struktur Aktuell'!$A:$A,'Planzahlen Liquidität'!$A33,'Struktur Aktuell'!L:L)</f>
        <v>3897.7000000000003</v>
      </c>
      <c r="CE33" s="1169">
        <f t="shared" ca="1" si="13"/>
        <v>3897.7000000000003</v>
      </c>
      <c r="CF33" s="1170"/>
      <c r="CG33" s="1170"/>
      <c r="CH33" s="1170"/>
      <c r="CI33" s="1173">
        <f t="shared" ca="1" si="40"/>
        <v>-56481.450000000004</v>
      </c>
      <c r="CJ33" s="1174">
        <f t="shared" si="41"/>
        <v>0</v>
      </c>
      <c r="CK33" s="1175">
        <f t="shared" ca="1" si="42"/>
        <v>-56481.450000000004</v>
      </c>
      <c r="CL33" s="1169">
        <f t="shared" ca="1" si="0"/>
        <v>-56481.450000000004</v>
      </c>
      <c r="CM33" s="1170"/>
      <c r="CN33" s="1170"/>
      <c r="CO33" s="1170"/>
      <c r="CP33" s="1173">
        <f ca="1">SUMIF('Struktur Vorjahr'!$A:$A,'Planzahlen Liquidität'!$A33,'Struktur Vorjahr'!M:M)</f>
        <v>44866.16</v>
      </c>
      <c r="CQ33" s="1174">
        <f>CC33</f>
        <v>0</v>
      </c>
      <c r="CR33" s="1175">
        <f ca="1">SUMIF('Struktur Aktuell'!$A:$A,'Planzahlen Liquidität'!$A33,'Struktur Aktuell'!M:M)</f>
        <v>44866.16</v>
      </c>
      <c r="CS33" s="1169">
        <f t="shared" ca="1" si="1"/>
        <v>44866.16</v>
      </c>
      <c r="CT33" s="1170"/>
      <c r="CU33" s="1170"/>
      <c r="CV33" s="1170"/>
      <c r="CW33" s="1173">
        <f t="shared" ca="1" si="43"/>
        <v>-11615.29</v>
      </c>
      <c r="CX33" s="1174">
        <f t="shared" si="44"/>
        <v>0</v>
      </c>
      <c r="CY33" s="1175">
        <f t="shared" ca="1" si="45"/>
        <v>-11615.29</v>
      </c>
      <c r="CZ33" s="1169">
        <f t="shared" ca="1" si="14"/>
        <v>-11615.29</v>
      </c>
      <c r="DA33" s="1170"/>
      <c r="DB33" s="1170"/>
      <c r="DC33" s="1170"/>
      <c r="DD33" s="1173">
        <f ca="1">SUMIF('Struktur Vorjahr'!$A:$A,'Planzahlen Liquidität'!$A33,'Struktur Vorjahr'!N:N)</f>
        <v>-35874.280000000006</v>
      </c>
      <c r="DE33" s="1174">
        <f>CQ33</f>
        <v>0</v>
      </c>
      <c r="DF33" s="1175">
        <f ca="1">SUMIF('Struktur Aktuell'!$A:$A,'Planzahlen Liquidität'!$A33,'Struktur Aktuell'!N:N)</f>
        <v>-35874.280000000006</v>
      </c>
      <c r="DG33" s="1169">
        <f t="shared" ca="1" si="15"/>
        <v>-35874.280000000006</v>
      </c>
      <c r="DH33" s="1170"/>
      <c r="DI33" s="1170"/>
      <c r="DJ33" s="1170"/>
      <c r="DK33" s="1173">
        <f t="shared" ca="1" si="46"/>
        <v>-47489.570000000007</v>
      </c>
      <c r="DL33" s="1174">
        <f t="shared" si="47"/>
        <v>0</v>
      </c>
      <c r="DM33" s="1175">
        <f t="shared" ca="1" si="48"/>
        <v>-47489.570000000007</v>
      </c>
      <c r="DN33" s="1169">
        <f t="shared" ca="1" si="16"/>
        <v>-47489.570000000007</v>
      </c>
      <c r="DO33" s="1170"/>
      <c r="DP33" s="1170"/>
      <c r="DQ33" s="1170"/>
      <c r="DR33" s="1173">
        <f ca="1">SUMIF('Struktur Vorjahr'!$A:$A,'Planzahlen Liquidität'!$A33,'Struktur Vorjahr'!O:O)</f>
        <v>-2328.09</v>
      </c>
      <c r="DS33" s="1174">
        <f>DE33</f>
        <v>0</v>
      </c>
      <c r="DT33" s="1175">
        <f ca="1">SUMIF('Struktur Aktuell'!$A:$A,'Planzahlen Liquidität'!$A33,'Struktur Aktuell'!O:O)</f>
        <v>-2328.09</v>
      </c>
      <c r="DU33" s="1169">
        <f t="shared" ca="1" si="17"/>
        <v>-2328.09</v>
      </c>
      <c r="DV33" s="1170"/>
      <c r="DW33" s="1170"/>
      <c r="DX33" s="1170"/>
      <c r="DY33" s="1173">
        <f t="shared" ca="1" si="49"/>
        <v>-49817.66</v>
      </c>
      <c r="DZ33" s="1174">
        <f t="shared" si="50"/>
        <v>0</v>
      </c>
      <c r="EA33" s="1175">
        <f t="shared" ca="1" si="51"/>
        <v>-49817.66</v>
      </c>
      <c r="EB33" s="1169">
        <f t="shared" ca="1" si="18"/>
        <v>-49817.66</v>
      </c>
      <c r="EC33" s="1170"/>
      <c r="ED33" s="1170"/>
      <c r="EE33" s="1170"/>
      <c r="EF33" s="1173">
        <f ca="1">SUMIF('Struktur Vorjahr'!$A:$A,'Planzahlen Liquidität'!$A33,'Struktur Vorjahr'!P:P)</f>
        <v>26522.11</v>
      </c>
      <c r="EG33" s="1174">
        <f>DS33</f>
        <v>0</v>
      </c>
      <c r="EH33" s="1175">
        <f ca="1">SUMIF('Struktur Aktuell'!$A:$A,'Planzahlen Liquidität'!$A33,'Struktur Aktuell'!P:P)</f>
        <v>26522.11</v>
      </c>
      <c r="EI33" s="1169">
        <f t="shared" ca="1" si="19"/>
        <v>26522.11</v>
      </c>
      <c r="EJ33" s="1170"/>
      <c r="EK33" s="1170"/>
      <c r="EL33" s="1170"/>
      <c r="EM33" s="1173">
        <f t="shared" ca="1" si="52"/>
        <v>-23295.550000000003</v>
      </c>
      <c r="EN33" s="1174">
        <f t="shared" si="53"/>
        <v>0</v>
      </c>
      <c r="EO33" s="1175">
        <f t="shared" ca="1" si="54"/>
        <v>-23295.550000000003</v>
      </c>
      <c r="EP33" s="1169">
        <f t="shared" ca="1" si="20"/>
        <v>-23295.550000000003</v>
      </c>
      <c r="EQ33" s="1170"/>
      <c r="ER33" s="1170"/>
      <c r="ES33" s="1170"/>
      <c r="ET33" s="1173">
        <f ca="1">SUMIF('Struktur Vorjahr'!$A:$A,'Planzahlen Liquidität'!$A33,'Struktur Vorjahr'!Q:Q)</f>
        <v>0</v>
      </c>
      <c r="EU33" s="1174">
        <f>EG33</f>
        <v>0</v>
      </c>
      <c r="EV33" s="1175">
        <f ca="1">SUMIF('Struktur Aktuell'!$A:$A,'Planzahlen Liquidität'!$A33,'Struktur Aktuell'!Q:Q)</f>
        <v>0</v>
      </c>
      <c r="EW33" s="1169">
        <f t="shared" ca="1" si="21"/>
        <v>0</v>
      </c>
      <c r="EX33" s="1170"/>
      <c r="EY33" s="1170"/>
      <c r="EZ33" s="1170"/>
      <c r="FA33" s="1173">
        <f t="shared" ca="1" si="55"/>
        <v>-23295.550000000003</v>
      </c>
      <c r="FB33" s="1174">
        <f t="shared" si="56"/>
        <v>0</v>
      </c>
      <c r="FC33" s="1175">
        <f t="shared" ca="1" si="57"/>
        <v>-23295.550000000003</v>
      </c>
      <c r="FD33" s="1169">
        <f t="shared" ca="1" si="22"/>
        <v>-23295.550000000003</v>
      </c>
      <c r="FE33" s="1170"/>
      <c r="FF33" s="1170"/>
      <c r="FG33" s="1170"/>
      <c r="FH33" s="1173">
        <f ca="1">SUMIF('Struktur Vorjahr'!$A:$A,'Planzahlen Liquidität'!$A33,'Struktur Vorjahr'!R:R)</f>
        <v>0</v>
      </c>
      <c r="FI33" s="1174">
        <f>EU33</f>
        <v>0</v>
      </c>
      <c r="FJ33" s="1175">
        <f ca="1">SUMIF('Struktur Aktuell'!$A:$A,'Planzahlen Liquidität'!$A33,'Struktur Aktuell'!R:R)</f>
        <v>0</v>
      </c>
      <c r="FK33" s="1169">
        <f t="shared" ca="1" si="23"/>
        <v>0</v>
      </c>
      <c r="FL33" s="1170"/>
      <c r="FM33" s="1170"/>
      <c r="FN33" s="1170"/>
      <c r="FO33" s="1173">
        <f t="shared" ca="1" si="58"/>
        <v>-23295.550000000003</v>
      </c>
      <c r="FP33" s="1174">
        <f t="shared" si="59"/>
        <v>0</v>
      </c>
      <c r="FQ33" s="1175">
        <f t="shared" ca="1" si="60"/>
        <v>-23295.550000000003</v>
      </c>
      <c r="FR33" s="1169">
        <f t="shared" ca="1" si="24"/>
        <v>-23295.550000000003</v>
      </c>
      <c r="FS33" s="1170"/>
      <c r="FT33" s="1170"/>
      <c r="FU33" s="1170"/>
      <c r="FV33" s="1171"/>
      <c r="FW33" s="1169">
        <v>0</v>
      </c>
    </row>
    <row r="34" spans="1:179" s="883" customFormat="1" x14ac:dyDescent="0.2">
      <c r="A34" s="1208">
        <v>46</v>
      </c>
      <c r="B34" s="1208" t="str">
        <f>'Struktur Aktuell'!B506</f>
        <v>Veränderung sonstiges Passiva</v>
      </c>
      <c r="C34" s="1178">
        <f t="shared" ca="1" si="63"/>
        <v>-34696.05999999999</v>
      </c>
      <c r="D34" s="1203">
        <f t="shared" si="63"/>
        <v>0</v>
      </c>
      <c r="E34" s="1177">
        <f t="shared" ca="1" si="63"/>
        <v>-34696.05999999999</v>
      </c>
      <c r="F34" s="1209">
        <f t="shared" ca="1" si="2"/>
        <v>-34696.05999999999</v>
      </c>
      <c r="G34" s="1210"/>
      <c r="H34" s="1210"/>
      <c r="I34" s="1211"/>
      <c r="J34" s="1178">
        <f ca="1">SUMIF('Struktur Vorjahr'!$A:$A,'Planzahlen Liquidität'!$A34,'Struktur Vorjahr'!G:G)</f>
        <v>1878.94</v>
      </c>
      <c r="K34" s="1203"/>
      <c r="L34" s="1177">
        <f ca="1">SUMIF('Struktur Aktuell'!$A:$A,'Planzahlen Liquidität'!$A34,'Struktur Aktuell'!G:G)</f>
        <v>1878.94</v>
      </c>
      <c r="M34" s="1209">
        <f t="shared" ca="1" si="3"/>
        <v>1878.94</v>
      </c>
      <c r="N34" s="1211"/>
      <c r="O34" s="1211"/>
      <c r="P34" s="1211"/>
      <c r="Q34" s="1178">
        <f t="shared" ca="1" si="25"/>
        <v>1878.94</v>
      </c>
      <c r="R34" s="1203">
        <f t="shared" si="26"/>
        <v>0</v>
      </c>
      <c r="S34" s="1177">
        <f t="shared" ca="1" si="27"/>
        <v>1878.94</v>
      </c>
      <c r="T34" s="1209">
        <f t="shared" ca="1" si="4"/>
        <v>1878.94</v>
      </c>
      <c r="U34" s="1211"/>
      <c r="V34" s="1211"/>
      <c r="W34" s="1211"/>
      <c r="X34" s="1178">
        <f ca="1">SUMIF('Struktur Vorjahr'!$A:$A,'Planzahlen Liquidität'!$A34,'Struktur Vorjahr'!H:H)</f>
        <v>-5604.4</v>
      </c>
      <c r="Y34" s="1203">
        <f>K34</f>
        <v>0</v>
      </c>
      <c r="Z34" s="1177">
        <f ca="1">SUMIF('Struktur Aktuell'!$A:$A,'Planzahlen Liquidität'!$A34,'Struktur Aktuell'!H:H)</f>
        <v>-5604.4</v>
      </c>
      <c r="AA34" s="1209">
        <f t="shared" ca="1" si="5"/>
        <v>-5604.4</v>
      </c>
      <c r="AB34" s="1211"/>
      <c r="AC34" s="1211"/>
      <c r="AD34" s="1211"/>
      <c r="AE34" s="1178">
        <f t="shared" ca="1" si="28"/>
        <v>-3725.4599999999996</v>
      </c>
      <c r="AF34" s="1203">
        <f t="shared" si="29"/>
        <v>0</v>
      </c>
      <c r="AG34" s="1177">
        <f t="shared" ca="1" si="30"/>
        <v>-3725.4599999999996</v>
      </c>
      <c r="AH34" s="1209">
        <f t="shared" ca="1" si="6"/>
        <v>-3725.4599999999996</v>
      </c>
      <c r="AI34" s="1211"/>
      <c r="AJ34" s="1211"/>
      <c r="AK34" s="1211"/>
      <c r="AL34" s="1178">
        <f ca="1">SUMIF('Struktur Vorjahr'!$A:$A,'Planzahlen Liquidität'!$A34,'Struktur Vorjahr'!I:I)</f>
        <v>1744.3499999999997</v>
      </c>
      <c r="AM34" s="1203">
        <f>Y34</f>
        <v>0</v>
      </c>
      <c r="AN34" s="1177">
        <f ca="1">SUMIF('Struktur Aktuell'!$A:$A,'Planzahlen Liquidität'!$A34,'Struktur Aktuell'!I:I)</f>
        <v>1744.3499999999997</v>
      </c>
      <c r="AO34" s="1209">
        <f t="shared" ca="1" si="7"/>
        <v>1744.3499999999997</v>
      </c>
      <c r="AP34" s="1211"/>
      <c r="AQ34" s="1211"/>
      <c r="AR34" s="1211"/>
      <c r="AS34" s="1178">
        <f t="shared" ca="1" si="31"/>
        <v>-1981.11</v>
      </c>
      <c r="AT34" s="1203">
        <f t="shared" si="32"/>
        <v>0</v>
      </c>
      <c r="AU34" s="1177">
        <f t="shared" ca="1" si="33"/>
        <v>-1981.11</v>
      </c>
      <c r="AV34" s="1209">
        <f t="shared" ca="1" si="8"/>
        <v>-1981.11</v>
      </c>
      <c r="AW34" s="1211"/>
      <c r="AX34" s="1211"/>
      <c r="AY34" s="1211"/>
      <c r="AZ34" s="1178">
        <f ca="1">SUMIF('Struktur Vorjahr'!$A:$A,'Planzahlen Liquidität'!$A34,'Struktur Vorjahr'!J:J)</f>
        <v>1002.6899999999998</v>
      </c>
      <c r="BA34" s="1203">
        <f>AM34</f>
        <v>0</v>
      </c>
      <c r="BB34" s="1177">
        <f ca="1">SUMIF('Struktur Aktuell'!$A:$A,'Planzahlen Liquidität'!$A34,'Struktur Aktuell'!J:J)</f>
        <v>1002.6899999999998</v>
      </c>
      <c r="BC34" s="1209">
        <f t="shared" ca="1" si="9"/>
        <v>1002.6899999999998</v>
      </c>
      <c r="BD34" s="1211"/>
      <c r="BE34" s="1211"/>
      <c r="BF34" s="1211"/>
      <c r="BG34" s="1178">
        <f t="shared" ca="1" si="34"/>
        <v>-978.42000000000007</v>
      </c>
      <c r="BH34" s="1203">
        <f t="shared" si="35"/>
        <v>0</v>
      </c>
      <c r="BI34" s="1177">
        <f t="shared" ca="1" si="36"/>
        <v>-978.42000000000007</v>
      </c>
      <c r="BJ34" s="1209">
        <f t="shared" ca="1" si="10"/>
        <v>-978.42000000000007</v>
      </c>
      <c r="BK34" s="1211"/>
      <c r="BL34" s="1211"/>
      <c r="BM34" s="1211"/>
      <c r="BN34" s="1178">
        <f ca="1">SUMIF('Struktur Vorjahr'!$A:$A,'Planzahlen Liquidität'!$A34,'Struktur Vorjahr'!K:K)</f>
        <v>-35963.18</v>
      </c>
      <c r="BO34" s="1203">
        <f>BA34</f>
        <v>0</v>
      </c>
      <c r="BP34" s="1177">
        <f ca="1">SUMIF('Struktur Aktuell'!$A:$A,'Planzahlen Liquidität'!$A34,'Struktur Aktuell'!K:K)</f>
        <v>-35963.18</v>
      </c>
      <c r="BQ34" s="1209">
        <f t="shared" ca="1" si="11"/>
        <v>-35963.18</v>
      </c>
      <c r="BR34" s="1211"/>
      <c r="BS34" s="1211"/>
      <c r="BT34" s="1211"/>
      <c r="BU34" s="1178">
        <f t="shared" ca="1" si="37"/>
        <v>-36941.599999999999</v>
      </c>
      <c r="BV34" s="1203">
        <f t="shared" si="38"/>
        <v>0</v>
      </c>
      <c r="BW34" s="1177">
        <f t="shared" ca="1" si="39"/>
        <v>-36941.599999999999</v>
      </c>
      <c r="BX34" s="1209">
        <f t="shared" ca="1" si="12"/>
        <v>-36941.599999999999</v>
      </c>
      <c r="BY34" s="1211"/>
      <c r="BZ34" s="1211"/>
      <c r="CA34" s="1211"/>
      <c r="CB34" s="1178">
        <f ca="1">SUMIF('Struktur Vorjahr'!$A:$A,'Planzahlen Liquidität'!$A34,'Struktur Vorjahr'!L:L)</f>
        <v>-562.33999999999992</v>
      </c>
      <c r="CC34" s="1203">
        <f>BO34</f>
        <v>0</v>
      </c>
      <c r="CD34" s="1177">
        <f ca="1">SUMIF('Struktur Aktuell'!$A:$A,'Planzahlen Liquidität'!$A34,'Struktur Aktuell'!L:L)</f>
        <v>-562.33999999999992</v>
      </c>
      <c r="CE34" s="1209">
        <f t="shared" ca="1" si="13"/>
        <v>-562.33999999999992</v>
      </c>
      <c r="CF34" s="1211"/>
      <c r="CG34" s="1211"/>
      <c r="CH34" s="1211"/>
      <c r="CI34" s="1178">
        <f t="shared" ca="1" si="40"/>
        <v>-37503.939999999995</v>
      </c>
      <c r="CJ34" s="1203">
        <f t="shared" si="41"/>
        <v>0</v>
      </c>
      <c r="CK34" s="1177">
        <f t="shared" ca="1" si="42"/>
        <v>-37503.939999999995</v>
      </c>
      <c r="CL34" s="1209">
        <f t="shared" ca="1" si="0"/>
        <v>-37503.939999999995</v>
      </c>
      <c r="CM34" s="1211"/>
      <c r="CN34" s="1211"/>
      <c r="CO34" s="1211"/>
      <c r="CP34" s="1178">
        <f ca="1">SUMIF('Struktur Vorjahr'!$A:$A,'Planzahlen Liquidität'!$A34,'Struktur Vorjahr'!M:M)</f>
        <v>10350.39</v>
      </c>
      <c r="CQ34" s="1203">
        <f>CC34</f>
        <v>0</v>
      </c>
      <c r="CR34" s="1177">
        <f ca="1">SUMIF('Struktur Aktuell'!$A:$A,'Planzahlen Liquidität'!$A34,'Struktur Aktuell'!M:M)</f>
        <v>10350.39</v>
      </c>
      <c r="CS34" s="1209">
        <f t="shared" ca="1" si="1"/>
        <v>10350.39</v>
      </c>
      <c r="CT34" s="1211"/>
      <c r="CU34" s="1211"/>
      <c r="CV34" s="1211"/>
      <c r="CW34" s="1178">
        <f t="shared" ca="1" si="43"/>
        <v>-27153.549999999996</v>
      </c>
      <c r="CX34" s="1203">
        <f t="shared" si="44"/>
        <v>0</v>
      </c>
      <c r="CY34" s="1177">
        <f t="shared" ca="1" si="45"/>
        <v>-27153.549999999996</v>
      </c>
      <c r="CZ34" s="1209">
        <f t="shared" ca="1" si="14"/>
        <v>-27153.549999999996</v>
      </c>
      <c r="DA34" s="1211"/>
      <c r="DB34" s="1211"/>
      <c r="DC34" s="1211"/>
      <c r="DD34" s="1178">
        <f ca="1">SUMIF('Struktur Vorjahr'!$A:$A,'Planzahlen Liquidität'!$A34,'Struktur Vorjahr'!N:N)</f>
        <v>2335.58</v>
      </c>
      <c r="DE34" s="1203">
        <f>CQ34</f>
        <v>0</v>
      </c>
      <c r="DF34" s="1177">
        <f ca="1">SUMIF('Struktur Aktuell'!$A:$A,'Planzahlen Liquidität'!$A34,'Struktur Aktuell'!N:N)</f>
        <v>2335.58</v>
      </c>
      <c r="DG34" s="1209">
        <f t="shared" ca="1" si="15"/>
        <v>2335.58</v>
      </c>
      <c r="DH34" s="1211"/>
      <c r="DI34" s="1211"/>
      <c r="DJ34" s="1211"/>
      <c r="DK34" s="1178">
        <f t="shared" ca="1" si="46"/>
        <v>-24817.969999999994</v>
      </c>
      <c r="DL34" s="1203">
        <f t="shared" si="47"/>
        <v>0</v>
      </c>
      <c r="DM34" s="1177">
        <f t="shared" ca="1" si="48"/>
        <v>-24817.969999999994</v>
      </c>
      <c r="DN34" s="1209">
        <f t="shared" ca="1" si="16"/>
        <v>-24817.969999999994</v>
      </c>
      <c r="DO34" s="1211"/>
      <c r="DP34" s="1211"/>
      <c r="DQ34" s="1211"/>
      <c r="DR34" s="1178">
        <f ca="1">SUMIF('Struktur Vorjahr'!$A:$A,'Planzahlen Liquidität'!$A34,'Struktur Vorjahr'!O:O)</f>
        <v>-7541.66</v>
      </c>
      <c r="DS34" s="1203">
        <f>DE34</f>
        <v>0</v>
      </c>
      <c r="DT34" s="1177">
        <f ca="1">SUMIF('Struktur Aktuell'!$A:$A,'Planzahlen Liquidität'!$A34,'Struktur Aktuell'!O:O)</f>
        <v>-7541.66</v>
      </c>
      <c r="DU34" s="1209">
        <f t="shared" ca="1" si="17"/>
        <v>-7541.66</v>
      </c>
      <c r="DV34" s="1211"/>
      <c r="DW34" s="1211"/>
      <c r="DX34" s="1211"/>
      <c r="DY34" s="1178">
        <f t="shared" ca="1" si="49"/>
        <v>-32359.629999999994</v>
      </c>
      <c r="DZ34" s="1203">
        <f t="shared" si="50"/>
        <v>0</v>
      </c>
      <c r="EA34" s="1177">
        <f t="shared" ca="1" si="51"/>
        <v>-32359.629999999994</v>
      </c>
      <c r="EB34" s="1209">
        <f t="shared" ca="1" si="18"/>
        <v>-32359.629999999994</v>
      </c>
      <c r="EC34" s="1211"/>
      <c r="ED34" s="1211"/>
      <c r="EE34" s="1211"/>
      <c r="EF34" s="1178">
        <f ca="1">SUMIF('Struktur Vorjahr'!$A:$A,'Planzahlen Liquidität'!$A34,'Struktur Vorjahr'!P:P)</f>
        <v>-2336.4299999999998</v>
      </c>
      <c r="EG34" s="1203">
        <f>DS34</f>
        <v>0</v>
      </c>
      <c r="EH34" s="1177">
        <f ca="1">SUMIF('Struktur Aktuell'!$A:$A,'Planzahlen Liquidität'!$A34,'Struktur Aktuell'!P:P)</f>
        <v>-2336.4299999999998</v>
      </c>
      <c r="EI34" s="1209">
        <f t="shared" ca="1" si="19"/>
        <v>-2336.4299999999998</v>
      </c>
      <c r="EJ34" s="1211"/>
      <c r="EK34" s="1211"/>
      <c r="EL34" s="1211"/>
      <c r="EM34" s="1178">
        <f t="shared" ca="1" si="52"/>
        <v>-34696.05999999999</v>
      </c>
      <c r="EN34" s="1203">
        <f t="shared" si="53"/>
        <v>0</v>
      </c>
      <c r="EO34" s="1177">
        <f t="shared" ca="1" si="54"/>
        <v>-34696.05999999999</v>
      </c>
      <c r="EP34" s="1209">
        <f t="shared" ca="1" si="20"/>
        <v>-34696.05999999999</v>
      </c>
      <c r="EQ34" s="1211"/>
      <c r="ER34" s="1211"/>
      <c r="ES34" s="1211"/>
      <c r="ET34" s="1178">
        <f ca="1">SUMIF('Struktur Vorjahr'!$A:$A,'Planzahlen Liquidität'!$A34,'Struktur Vorjahr'!Q:Q)</f>
        <v>0</v>
      </c>
      <c r="EU34" s="1203">
        <f>EG34</f>
        <v>0</v>
      </c>
      <c r="EV34" s="1177">
        <f ca="1">SUMIF('Struktur Aktuell'!$A:$A,'Planzahlen Liquidität'!$A34,'Struktur Aktuell'!Q:Q)</f>
        <v>0</v>
      </c>
      <c r="EW34" s="1209">
        <f t="shared" ca="1" si="21"/>
        <v>0</v>
      </c>
      <c r="EX34" s="1211"/>
      <c r="EY34" s="1211"/>
      <c r="EZ34" s="1211"/>
      <c r="FA34" s="1178">
        <f t="shared" ca="1" si="55"/>
        <v>-34696.05999999999</v>
      </c>
      <c r="FB34" s="1203">
        <f t="shared" si="56"/>
        <v>0</v>
      </c>
      <c r="FC34" s="1177">
        <f t="shared" ca="1" si="57"/>
        <v>-34696.05999999999</v>
      </c>
      <c r="FD34" s="1209">
        <f t="shared" ca="1" si="22"/>
        <v>-34696.05999999999</v>
      </c>
      <c r="FE34" s="1211"/>
      <c r="FF34" s="1211"/>
      <c r="FG34" s="1211"/>
      <c r="FH34" s="1178">
        <f ca="1">SUMIF('Struktur Vorjahr'!$A:$A,'Planzahlen Liquidität'!$A34,'Struktur Vorjahr'!R:R)</f>
        <v>0</v>
      </c>
      <c r="FI34" s="1203">
        <f>EU34</f>
        <v>0</v>
      </c>
      <c r="FJ34" s="1177">
        <f ca="1">SUMIF('Struktur Aktuell'!$A:$A,'Planzahlen Liquidität'!$A34,'Struktur Aktuell'!R:R)</f>
        <v>0</v>
      </c>
      <c r="FK34" s="1209">
        <f t="shared" ca="1" si="23"/>
        <v>0</v>
      </c>
      <c r="FL34" s="1211"/>
      <c r="FM34" s="1211"/>
      <c r="FN34" s="1211"/>
      <c r="FO34" s="1178">
        <f t="shared" ca="1" si="58"/>
        <v>-34696.05999999999</v>
      </c>
      <c r="FP34" s="1203">
        <f t="shared" si="59"/>
        <v>0</v>
      </c>
      <c r="FQ34" s="1177">
        <f t="shared" ca="1" si="60"/>
        <v>-34696.05999999999</v>
      </c>
      <c r="FR34" s="1209">
        <f t="shared" ca="1" si="24"/>
        <v>-34696.05999999999</v>
      </c>
      <c r="FS34" s="1211"/>
      <c r="FT34" s="1211"/>
      <c r="FU34" s="1211"/>
      <c r="FV34" s="1171"/>
      <c r="FW34" s="1169">
        <v>0</v>
      </c>
    </row>
    <row r="35" spans="1:179" s="883" customFormat="1" ht="16.5" customHeight="1" x14ac:dyDescent="0.2">
      <c r="A35" s="1212" t="s">
        <v>801</v>
      </c>
      <c r="B35" s="1213" t="str">
        <f>'Struktur Aktuell'!B527</f>
        <v>Liqui-Ergebnis II (Barliquidität)</v>
      </c>
      <c r="C35" s="1214">
        <f ca="1">+C31+C32-C33+C34</f>
        <v>-21387.439999999973</v>
      </c>
      <c r="D35" s="1214">
        <f>+D31+D32-D33+D34</f>
        <v>178726.12666666645</v>
      </c>
      <c r="E35" s="1214">
        <f ca="1">+E31+E32-E33+E34</f>
        <v>-16637.439999999973</v>
      </c>
      <c r="F35" s="1215">
        <f t="shared" ca="1" si="2"/>
        <v>-195363.56666666642</v>
      </c>
      <c r="G35" s="1216"/>
      <c r="H35" s="1216"/>
      <c r="I35" s="1216"/>
      <c r="J35" s="1214">
        <f ca="1">+J31+J32-J33+J34</f>
        <v>40793.009999999995</v>
      </c>
      <c r="K35" s="1214">
        <f>+K31+K32-K33+K34</f>
        <v>-2853.4649444444472</v>
      </c>
      <c r="L35" s="1214">
        <f ca="1">+L31+L32-L33+L34</f>
        <v>45714.009999999995</v>
      </c>
      <c r="M35" s="1215">
        <f t="shared" ca="1" si="3"/>
        <v>48567.474944444439</v>
      </c>
      <c r="N35" s="1216"/>
      <c r="O35" s="1216"/>
      <c r="P35" s="1216"/>
      <c r="Q35" s="1214">
        <f t="shared" ca="1" si="25"/>
        <v>40793.009999999995</v>
      </c>
      <c r="R35" s="1214">
        <f t="shared" si="26"/>
        <v>-2853.4649444444472</v>
      </c>
      <c r="S35" s="1214">
        <f t="shared" ca="1" si="27"/>
        <v>45714.009999999995</v>
      </c>
      <c r="T35" s="1215">
        <f t="shared" ca="1" si="4"/>
        <v>48567.474944444439</v>
      </c>
      <c r="U35" s="1216"/>
      <c r="V35" s="1216"/>
      <c r="W35" s="1216"/>
      <c r="X35" s="1214">
        <f ca="1">+X31+X32-X33+X34</f>
        <v>-8212.5599999999977</v>
      </c>
      <c r="Y35" s="1214">
        <f>+Y31+Y32-Y33+Y34</f>
        <v>11577.539055555559</v>
      </c>
      <c r="Z35" s="1214">
        <f ca="1">+Z31+Z32-Z33+Z34</f>
        <v>-14961.559999999998</v>
      </c>
      <c r="AA35" s="1215">
        <f t="shared" ca="1" si="5"/>
        <v>-26539.099055555555</v>
      </c>
      <c r="AB35" s="1216"/>
      <c r="AC35" s="1216"/>
      <c r="AD35" s="1216"/>
      <c r="AE35" s="1214">
        <f t="shared" ca="1" si="28"/>
        <v>32580.449999999997</v>
      </c>
      <c r="AF35" s="1214">
        <f t="shared" si="29"/>
        <v>8724.0741111111111</v>
      </c>
      <c r="AG35" s="1214">
        <f t="shared" ca="1" si="30"/>
        <v>30752.449999999997</v>
      </c>
      <c r="AH35" s="1215">
        <f t="shared" ca="1" si="6"/>
        <v>22028.375888888884</v>
      </c>
      <c r="AI35" s="1216"/>
      <c r="AJ35" s="1216"/>
      <c r="AK35" s="1216"/>
      <c r="AL35" s="1214">
        <f ca="1">+AL31+AL32-AL33+AL34</f>
        <v>7413.7100000000009</v>
      </c>
      <c r="AM35" s="1214">
        <f>+AM31+AM32-AM33+AM34</f>
        <v>26008.543055555561</v>
      </c>
      <c r="AN35" s="1214">
        <f ca="1">+AN31+AN32-AN33+AN34</f>
        <v>9742.7100000000009</v>
      </c>
      <c r="AO35" s="1215">
        <f t="shared" ca="1" si="7"/>
        <v>-16265.83305555556</v>
      </c>
      <c r="AP35" s="1216"/>
      <c r="AQ35" s="1216"/>
      <c r="AR35" s="1216"/>
      <c r="AS35" s="1214">
        <f t="shared" ca="1" si="31"/>
        <v>39994.159999999996</v>
      </c>
      <c r="AT35" s="1214">
        <f t="shared" si="32"/>
        <v>34732.617166666671</v>
      </c>
      <c r="AU35" s="1214">
        <f t="shared" ca="1" si="33"/>
        <v>40495.159999999996</v>
      </c>
      <c r="AV35" s="1215">
        <f t="shared" ca="1" si="8"/>
        <v>5762.5428333333257</v>
      </c>
      <c r="AW35" s="1216"/>
      <c r="AX35" s="1216"/>
      <c r="AY35" s="1216"/>
      <c r="AZ35" s="1214">
        <f ca="1">+AZ31+AZ32-AZ33+AZ34</f>
        <v>-20007.180000000008</v>
      </c>
      <c r="BA35" s="1214">
        <f>+BA31+BA32-BA33+BA34</f>
        <v>4362.0370555555601</v>
      </c>
      <c r="BB35" s="1214">
        <f ca="1">+BB31+BB32-BB33+BB34</f>
        <v>-25411.180000000008</v>
      </c>
      <c r="BC35" s="1215">
        <f t="shared" ca="1" si="9"/>
        <v>-29773.217055555568</v>
      </c>
      <c r="BD35" s="1216"/>
      <c r="BE35" s="1216"/>
      <c r="BF35" s="1216"/>
      <c r="BG35" s="1214">
        <f t="shared" ca="1" si="34"/>
        <v>19986.979999999989</v>
      </c>
      <c r="BH35" s="1214">
        <f t="shared" si="35"/>
        <v>39094.654222222234</v>
      </c>
      <c r="BI35" s="1214">
        <f t="shared" ca="1" si="36"/>
        <v>15083.979999999989</v>
      </c>
      <c r="BJ35" s="1215">
        <f t="shared" ca="1" si="10"/>
        <v>-24010.674222222246</v>
      </c>
      <c r="BK35" s="1216"/>
      <c r="BL35" s="1216"/>
      <c r="BM35" s="1216"/>
      <c r="BN35" s="1214">
        <f ca="1">+BN31+BN32-BN33+BN34</f>
        <v>-54953.13</v>
      </c>
      <c r="BO35" s="1214">
        <f>+BO31+BO32-BO33+BO34</f>
        <v>8850.9953055555598</v>
      </c>
      <c r="BP35" s="1214">
        <f ca="1">+BP31+BP32-BP33+BP34</f>
        <v>-45264.13</v>
      </c>
      <c r="BQ35" s="1215">
        <f t="shared" ca="1" si="11"/>
        <v>-54115.125305555557</v>
      </c>
      <c r="BR35" s="1216"/>
      <c r="BS35" s="1216"/>
      <c r="BT35" s="1216"/>
      <c r="BU35" s="1214">
        <f t="shared" ca="1" si="37"/>
        <v>-34966.150000000009</v>
      </c>
      <c r="BV35" s="1214">
        <f t="shared" si="38"/>
        <v>47945.649527777794</v>
      </c>
      <c r="BW35" s="1214">
        <f t="shared" ca="1" si="39"/>
        <v>-30180.150000000009</v>
      </c>
      <c r="BX35" s="1215">
        <f t="shared" ca="1" si="12"/>
        <v>-78125.799527777795</v>
      </c>
      <c r="BY35" s="1216"/>
      <c r="BZ35" s="1216"/>
      <c r="CA35" s="1216"/>
      <c r="CB35" s="1214">
        <f ca="1">+CB31+CB32-CB33+CB34</f>
        <v>309.9500000000005</v>
      </c>
      <c r="CC35" s="1214">
        <f>+CC31+CC32-CC33+CC34</f>
        <v>14966.195305555557</v>
      </c>
      <c r="CD35" s="1214">
        <f ca="1">+CD31+CD32-CD33+CD34</f>
        <v>-3988.05</v>
      </c>
      <c r="CE35" s="1215">
        <f t="shared" ca="1" si="13"/>
        <v>-18954.245305555556</v>
      </c>
      <c r="CF35" s="1216"/>
      <c r="CG35" s="1216"/>
      <c r="CH35" s="1216"/>
      <c r="CI35" s="1214">
        <f t="shared" ca="1" si="40"/>
        <v>-34656.200000000012</v>
      </c>
      <c r="CJ35" s="1214">
        <f t="shared" si="41"/>
        <v>62911.844833333351</v>
      </c>
      <c r="CK35" s="1214">
        <f t="shared" ca="1" si="42"/>
        <v>-34168.200000000012</v>
      </c>
      <c r="CL35" s="1215">
        <f t="shared" ca="1" si="0"/>
        <v>-97080.044833333362</v>
      </c>
      <c r="CM35" s="1216"/>
      <c r="CN35" s="1216"/>
      <c r="CO35" s="1216"/>
      <c r="CP35" s="1214">
        <f ca="1">+CP31+CP32-CP33+CP34</f>
        <v>-9529.8599999999969</v>
      </c>
      <c r="CQ35" s="1214">
        <f>+CQ31+CQ32-CQ33+CQ34</f>
        <v>14966.195305555557</v>
      </c>
      <c r="CR35" s="1214">
        <f ca="1">+CR31+CR32-CR33+CR34</f>
        <v>-11272.859999999997</v>
      </c>
      <c r="CS35" s="1215">
        <f t="shared" ca="1" si="1"/>
        <v>-26239.055305555554</v>
      </c>
      <c r="CT35" s="1216"/>
      <c r="CU35" s="1216"/>
      <c r="CV35" s="1216"/>
      <c r="CW35" s="1214">
        <f t="shared" ca="1" si="43"/>
        <v>-44186.060000000012</v>
      </c>
      <c r="CX35" s="1214">
        <f t="shared" si="44"/>
        <v>77878.0401388889</v>
      </c>
      <c r="CY35" s="1214">
        <f t="shared" ca="1" si="45"/>
        <v>-45441.060000000012</v>
      </c>
      <c r="CZ35" s="1215">
        <f t="shared" ca="1" si="14"/>
        <v>-123319.10013888891</v>
      </c>
      <c r="DA35" s="1216"/>
      <c r="DB35" s="1216"/>
      <c r="DC35" s="1216"/>
      <c r="DD35" s="1214">
        <f ca="1">+DD31+DD32-DD33+DD34</f>
        <v>40003.23000000001</v>
      </c>
      <c r="DE35" s="1214">
        <f>+DE31+DE32-DE33+DE34</f>
        <v>5738.6133055555583</v>
      </c>
      <c r="DF35" s="1214">
        <f ca="1">+DF31+DF32-DF33+DF34</f>
        <v>45411.23000000001</v>
      </c>
      <c r="DG35" s="1215">
        <f t="shared" ca="1" si="15"/>
        <v>39672.616694444456</v>
      </c>
      <c r="DH35" s="1216"/>
      <c r="DI35" s="1216"/>
      <c r="DJ35" s="1216"/>
      <c r="DK35" s="1214">
        <f t="shared" ca="1" si="46"/>
        <v>-4182.8300000000017</v>
      </c>
      <c r="DL35" s="1214">
        <f t="shared" si="47"/>
        <v>83616.653444444455</v>
      </c>
      <c r="DM35" s="1214">
        <f t="shared" ca="1" si="48"/>
        <v>-29.830000000001746</v>
      </c>
      <c r="DN35" s="1215">
        <f t="shared" ca="1" si="16"/>
        <v>-83646.483444444457</v>
      </c>
      <c r="DO35" s="1216"/>
      <c r="DP35" s="1216"/>
      <c r="DQ35" s="1216"/>
      <c r="DR35" s="1214">
        <f ca="1">+DR31+DR32-DR33+DR34</f>
        <v>-12046.239999999998</v>
      </c>
      <c r="DS35" s="1214">
        <f>+DS31+DS32-DS33+DS34</f>
        <v>27385.119305555563</v>
      </c>
      <c r="DT35" s="1214">
        <f ca="1">+DT31+DT32-DT33+DT34</f>
        <v>-12046.239999999998</v>
      </c>
      <c r="DU35" s="1215">
        <f t="shared" ca="1" si="17"/>
        <v>-39431.359305555561</v>
      </c>
      <c r="DV35" s="1216"/>
      <c r="DW35" s="1216"/>
      <c r="DX35" s="1216"/>
      <c r="DY35" s="1214">
        <f t="shared" ca="1" si="49"/>
        <v>-16229.07</v>
      </c>
      <c r="DZ35" s="1214">
        <f t="shared" si="50"/>
        <v>111001.77275000002</v>
      </c>
      <c r="EA35" s="1214">
        <f t="shared" ca="1" si="51"/>
        <v>-12076.07</v>
      </c>
      <c r="EB35" s="1215">
        <f t="shared" ca="1" si="18"/>
        <v>-123077.84275000001</v>
      </c>
      <c r="EC35" s="1216"/>
      <c r="ED35" s="1216"/>
      <c r="EE35" s="1216"/>
      <c r="EF35" s="1214">
        <f ca="1">+EF31+EF32-EF33+EF34</f>
        <v>-8814.8500000000058</v>
      </c>
      <c r="EG35" s="1214">
        <f>+EG31+EG32-EG33+EG34</f>
        <v>27385.119305555563</v>
      </c>
      <c r="EH35" s="1214">
        <f ca="1">+EH31+EH32-EH33+EH34</f>
        <v>-16726.849999999999</v>
      </c>
      <c r="EI35" s="1215">
        <f t="shared" ca="1" si="19"/>
        <v>-44111.969305555562</v>
      </c>
      <c r="EJ35" s="1216"/>
      <c r="EK35" s="1216"/>
      <c r="EL35" s="1216"/>
      <c r="EM35" s="1214">
        <f t="shared" ca="1" si="52"/>
        <v>-25043.920000000006</v>
      </c>
      <c r="EN35" s="1214">
        <f t="shared" si="53"/>
        <v>138386.8920555556</v>
      </c>
      <c r="EO35" s="1214">
        <f t="shared" ca="1" si="54"/>
        <v>-28802.92</v>
      </c>
      <c r="EP35" s="1215">
        <f t="shared" ca="1" si="20"/>
        <v>-167189.81205555558</v>
      </c>
      <c r="EQ35" s="1216"/>
      <c r="ER35" s="1216"/>
      <c r="ES35" s="1216"/>
      <c r="ET35" s="1214">
        <f ca="1">+ET31+ET32-ET33+ET34</f>
        <v>2975.85</v>
      </c>
      <c r="EU35" s="1214">
        <f>+EU31+EU32-EU33+EU34</f>
        <v>20169.617305555548</v>
      </c>
      <c r="EV35" s="1214">
        <f ca="1">+EV31+EV32-EV33+EV34</f>
        <v>10444.85</v>
      </c>
      <c r="EW35" s="1215">
        <f t="shared" ca="1" si="21"/>
        <v>-9724.7673055555479</v>
      </c>
      <c r="EX35" s="1216"/>
      <c r="EY35" s="1216"/>
      <c r="EZ35" s="1216"/>
      <c r="FA35" s="1214">
        <f t="shared" ca="1" si="55"/>
        <v>-22068.070000000007</v>
      </c>
      <c r="FB35" s="1214">
        <f t="shared" si="56"/>
        <v>158556.50936111115</v>
      </c>
      <c r="FC35" s="1214">
        <f t="shared" ca="1" si="57"/>
        <v>-18358.07</v>
      </c>
      <c r="FD35" s="1215">
        <f t="shared" ca="1" si="22"/>
        <v>-176914.57936111116</v>
      </c>
      <c r="FE35" s="1216"/>
      <c r="FF35" s="1216"/>
      <c r="FG35" s="1216"/>
      <c r="FH35" s="1214">
        <f ca="1">+FH31+FH32-FH33+FH34</f>
        <v>680.62999999999988</v>
      </c>
      <c r="FI35" s="1214">
        <f>+FI31+FI32-FI33+FI34</f>
        <v>20169.617305555548</v>
      </c>
      <c r="FJ35" s="1214">
        <f ca="1">+FJ31+FJ32-FJ33+FJ34</f>
        <v>1720.6299999999999</v>
      </c>
      <c r="FK35" s="1215">
        <f t="shared" ca="1" si="23"/>
        <v>-18448.987305555547</v>
      </c>
      <c r="FL35" s="1216"/>
      <c r="FM35" s="1216"/>
      <c r="FN35" s="1216"/>
      <c r="FO35" s="1214">
        <f t="shared" ca="1" si="58"/>
        <v>-21387.440000000006</v>
      </c>
      <c r="FP35" s="1214">
        <f t="shared" si="59"/>
        <v>178726.12666666671</v>
      </c>
      <c r="FQ35" s="1214">
        <f t="shared" ca="1" si="60"/>
        <v>-16637.439999999999</v>
      </c>
      <c r="FR35" s="1215"/>
      <c r="FS35" s="1216"/>
      <c r="FT35" s="1216"/>
      <c r="FU35" s="1216"/>
      <c r="FV35" s="1171"/>
      <c r="FW35" s="1181"/>
    </row>
    <row r="36" spans="1:179" s="883" customFormat="1" ht="16.5" customHeight="1" x14ac:dyDescent="0.2">
      <c r="A36" s="1212" t="s">
        <v>802</v>
      </c>
      <c r="B36" s="1213" t="s">
        <v>803</v>
      </c>
      <c r="C36" s="1180">
        <f ca="1">$C$10+C35</f>
        <v>-36387.439999999973</v>
      </c>
      <c r="D36" s="1180"/>
      <c r="E36" s="1180">
        <f ca="1">E35+$FH36</f>
        <v>-53024.879999999983</v>
      </c>
      <c r="F36" s="1209"/>
      <c r="G36" s="1217"/>
      <c r="H36" s="1217"/>
      <c r="I36" s="1217"/>
      <c r="J36" s="1180">
        <f ca="1">J35+$C10</f>
        <v>25793.009999999995</v>
      </c>
      <c r="K36" s="1180">
        <f ca="1">K35+$FH36</f>
        <v>-39240.904944444454</v>
      </c>
      <c r="L36" s="1180">
        <f ca="1">L35+$FH36</f>
        <v>9326.5699999999852</v>
      </c>
      <c r="M36" s="1209"/>
      <c r="N36" s="1217"/>
      <c r="O36" s="1217"/>
      <c r="P36" s="1217"/>
      <c r="Q36" s="1180"/>
      <c r="R36" s="1180"/>
      <c r="S36" s="1180"/>
      <c r="T36" s="1209"/>
      <c r="U36" s="1217"/>
      <c r="V36" s="1217"/>
      <c r="W36" s="1217"/>
      <c r="X36" s="1180">
        <f ca="1">J36+X35</f>
        <v>17580.449999999997</v>
      </c>
      <c r="Y36" s="1180">
        <f ca="1">K36+Y35</f>
        <v>-27663.365888888897</v>
      </c>
      <c r="Z36" s="1180">
        <f ca="1">L36+Z35</f>
        <v>-5634.9900000000125</v>
      </c>
      <c r="AA36" s="1209"/>
      <c r="AB36" s="1217"/>
      <c r="AC36" s="1217"/>
      <c r="AD36" s="1217"/>
      <c r="AE36" s="1180"/>
      <c r="AF36" s="1180"/>
      <c r="AG36" s="1180"/>
      <c r="AH36" s="1209"/>
      <c r="AI36" s="1217"/>
      <c r="AJ36" s="1217"/>
      <c r="AK36" s="1217"/>
      <c r="AL36" s="1180">
        <f ca="1">X36+AL35</f>
        <v>24994.159999999996</v>
      </c>
      <c r="AM36" s="1180">
        <f ca="1">Y36+AM35</f>
        <v>-1654.8228333333354</v>
      </c>
      <c r="AN36" s="1180">
        <f ca="1">Z36+AN35</f>
        <v>4107.7199999999884</v>
      </c>
      <c r="AO36" s="1209"/>
      <c r="AP36" s="1217"/>
      <c r="AQ36" s="1217"/>
      <c r="AR36" s="1217"/>
      <c r="AS36" s="1180"/>
      <c r="AT36" s="1180"/>
      <c r="AU36" s="1180"/>
      <c r="AV36" s="1209"/>
      <c r="AW36" s="1217"/>
      <c r="AX36" s="1217"/>
      <c r="AY36" s="1217"/>
      <c r="AZ36" s="1180">
        <f ca="1">AL36+AZ35</f>
        <v>4986.9799999999886</v>
      </c>
      <c r="BA36" s="1180">
        <f ca="1">AM36+BA35</f>
        <v>2707.2142222222246</v>
      </c>
      <c r="BB36" s="1180">
        <f ca="1">AN36+BB35</f>
        <v>-21303.460000000021</v>
      </c>
      <c r="BC36" s="1218"/>
      <c r="BD36" s="1217"/>
      <c r="BE36" s="1217"/>
      <c r="BF36" s="1217"/>
      <c r="BG36" s="1180"/>
      <c r="BH36" s="1180"/>
      <c r="BI36" s="1180"/>
      <c r="BJ36" s="1218"/>
      <c r="BK36" s="1219"/>
      <c r="BL36" s="1219"/>
      <c r="BM36" s="1219"/>
      <c r="BN36" s="1180">
        <f ca="1">AZ36+BN35</f>
        <v>-49966.150000000009</v>
      </c>
      <c r="BO36" s="1180">
        <f ca="1">BA36+BO35</f>
        <v>11558.209527777784</v>
      </c>
      <c r="BP36" s="1180">
        <f ca="1">BB36+BP35</f>
        <v>-66567.590000000026</v>
      </c>
      <c r="BQ36" s="1218"/>
      <c r="BR36" s="1219"/>
      <c r="BS36" s="1219"/>
      <c r="BT36" s="1219"/>
      <c r="BU36" s="1180"/>
      <c r="BV36" s="1180"/>
      <c r="BW36" s="1180"/>
      <c r="BX36" s="1218"/>
      <c r="BY36" s="1219"/>
      <c r="BZ36" s="1219"/>
      <c r="CA36" s="1219"/>
      <c r="CB36" s="1180">
        <f ca="1">BN36+CB35</f>
        <v>-49656.200000000012</v>
      </c>
      <c r="CC36" s="1180">
        <f ca="1">BO36+CC35</f>
        <v>26524.404833333341</v>
      </c>
      <c r="CD36" s="1180">
        <f ca="1">BP36+CD35</f>
        <v>-70555.640000000029</v>
      </c>
      <c r="CE36" s="1218"/>
      <c r="CF36" s="1219"/>
      <c r="CG36" s="1219"/>
      <c r="CH36" s="1219"/>
      <c r="CI36" s="1180"/>
      <c r="CJ36" s="1180"/>
      <c r="CK36" s="1180"/>
      <c r="CL36" s="1218"/>
      <c r="CM36" s="1219"/>
      <c r="CN36" s="1219"/>
      <c r="CO36" s="1219"/>
      <c r="CP36" s="1180">
        <f ca="1">CB36+CP35</f>
        <v>-59186.060000000012</v>
      </c>
      <c r="CQ36" s="1180">
        <f ca="1">CC36+CQ35</f>
        <v>41490.600138888898</v>
      </c>
      <c r="CR36" s="1180">
        <f ca="1">CD36+CR35</f>
        <v>-81828.500000000029</v>
      </c>
      <c r="CS36" s="1218"/>
      <c r="CT36" s="1219"/>
      <c r="CU36" s="1219"/>
      <c r="CV36" s="1219"/>
      <c r="CW36" s="1180"/>
      <c r="CX36" s="1180"/>
      <c r="CY36" s="1180"/>
      <c r="CZ36" s="1218"/>
      <c r="DA36" s="1219"/>
      <c r="DB36" s="1219"/>
      <c r="DC36" s="1219"/>
      <c r="DD36" s="1180">
        <f ca="1">CP36+DD35</f>
        <v>-19182.830000000002</v>
      </c>
      <c r="DE36" s="1180">
        <f ca="1">CQ36+DE35</f>
        <v>47229.213444444453</v>
      </c>
      <c r="DF36" s="1180">
        <f ca="1">CR36+DF35</f>
        <v>-36417.270000000019</v>
      </c>
      <c r="DG36" s="1218"/>
      <c r="DH36" s="1219"/>
      <c r="DI36" s="1219"/>
      <c r="DJ36" s="1219"/>
      <c r="DK36" s="1180"/>
      <c r="DL36" s="1180"/>
      <c r="DM36" s="1180"/>
      <c r="DN36" s="1218"/>
      <c r="DO36" s="1219"/>
      <c r="DP36" s="1219"/>
      <c r="DQ36" s="1219"/>
      <c r="DR36" s="1180">
        <f ca="1">DD36+DR35</f>
        <v>-31229.07</v>
      </c>
      <c r="DS36" s="1180">
        <f ca="1">DE36+DS35</f>
        <v>74614.332750000016</v>
      </c>
      <c r="DT36" s="1180">
        <f ca="1">DF36+DT35</f>
        <v>-48463.510000000017</v>
      </c>
      <c r="DU36" s="1218"/>
      <c r="DV36" s="1219"/>
      <c r="DW36" s="1219"/>
      <c r="DX36" s="1219"/>
      <c r="DY36" s="1180"/>
      <c r="DZ36" s="1180"/>
      <c r="EA36" s="1180"/>
      <c r="EB36" s="1218"/>
      <c r="EC36" s="1219"/>
      <c r="ED36" s="1219"/>
      <c r="EE36" s="1219"/>
      <c r="EF36" s="1180">
        <f ca="1">DR36+EF35</f>
        <v>-40043.920000000006</v>
      </c>
      <c r="EG36" s="1180">
        <f ca="1">DS36+EG35</f>
        <v>101999.45205555558</v>
      </c>
      <c r="EH36" s="1180">
        <f ca="1">DT36+EH35</f>
        <v>-65190.360000000015</v>
      </c>
      <c r="EI36" s="1218"/>
      <c r="EJ36" s="1219"/>
      <c r="EK36" s="1219"/>
      <c r="EL36" s="1219"/>
      <c r="EM36" s="1180"/>
      <c r="EN36" s="1180"/>
      <c r="EO36" s="1180"/>
      <c r="EP36" s="1218"/>
      <c r="EQ36" s="1219"/>
      <c r="ER36" s="1219"/>
      <c r="ES36" s="1219"/>
      <c r="ET36" s="1180">
        <f ca="1">EF36+ET35</f>
        <v>-37068.070000000007</v>
      </c>
      <c r="EU36" s="1180">
        <f ca="1">EG36+EU35</f>
        <v>122169.06936111112</v>
      </c>
      <c r="EV36" s="1180">
        <f ca="1">EH36+EV35</f>
        <v>-54745.510000000017</v>
      </c>
      <c r="EW36" s="1218"/>
      <c r="EX36" s="1219"/>
      <c r="EY36" s="1219"/>
      <c r="EZ36" s="1219"/>
      <c r="FA36" s="1180"/>
      <c r="FB36" s="1180"/>
      <c r="FC36" s="1180"/>
      <c r="FD36" s="1218"/>
      <c r="FE36" s="1219"/>
      <c r="FF36" s="1219"/>
      <c r="FG36" s="1219"/>
      <c r="FH36" s="1180">
        <f ca="1">ET36+FH35</f>
        <v>-36387.44000000001</v>
      </c>
      <c r="FI36" s="1180">
        <f ca="1">EU36+FI35</f>
        <v>142338.68666666668</v>
      </c>
      <c r="FJ36" s="1180">
        <f ca="1">EV36+FJ35</f>
        <v>-53024.880000000019</v>
      </c>
      <c r="FK36" s="1218"/>
      <c r="FL36" s="1219"/>
      <c r="FM36" s="1219"/>
      <c r="FN36" s="1219"/>
      <c r="FO36" s="1180"/>
      <c r="FP36" s="1180"/>
      <c r="FQ36" s="1180"/>
      <c r="FR36" s="1218"/>
      <c r="FS36" s="1219"/>
      <c r="FT36" s="1219"/>
      <c r="FU36" s="1219"/>
      <c r="FV36" s="1171"/>
      <c r="FW36" s="1218"/>
    </row>
    <row r="37" spans="1:179" s="883" customFormat="1" x14ac:dyDescent="0.2">
      <c r="A37" s="1158">
        <v>47</v>
      </c>
      <c r="B37" s="1158" t="s">
        <v>804</v>
      </c>
      <c r="C37" s="1220"/>
      <c r="D37" s="1158"/>
      <c r="E37" s="1220"/>
      <c r="F37" s="1161"/>
      <c r="G37" s="1161"/>
      <c r="H37" s="1161"/>
      <c r="I37" s="1161"/>
      <c r="J37" s="1220">
        <f ca="1">SUMIF('Struktur Vorjahr'!$A:$A,'Planzahlen Liquidität'!$A37,'Struktur Vorjahr'!G:G)-J35</f>
        <v>4660.5400000000081</v>
      </c>
      <c r="K37" s="1158"/>
      <c r="L37" s="1220">
        <f ca="1">SUMIF('Struktur Aktuell'!$A:$A,'Planzahlen Liquidität'!$A37,'Struktur Aktuell'!G:G)-L35</f>
        <v>-260.45999999999185</v>
      </c>
      <c r="M37" s="1161"/>
      <c r="N37" s="1161"/>
      <c r="O37" s="1161"/>
      <c r="P37" s="1161"/>
      <c r="Q37" s="1158"/>
      <c r="R37" s="1158"/>
      <c r="S37" s="1220"/>
      <c r="T37" s="1161"/>
      <c r="U37" s="1161"/>
      <c r="V37" s="1161"/>
      <c r="W37" s="1161"/>
      <c r="X37" s="1220">
        <f ca="1">SUMIF('Struktur Vorjahr'!$A:$A,'Planzahlen Liquidität'!$A37,'Struktur Vorjahr'!H:H)-X35</f>
        <v>-5681.5200000000023</v>
      </c>
      <c r="Y37" s="1158"/>
      <c r="Z37" s="1220">
        <f ca="1">SUMIF('Struktur Aktuell'!$A:$A,'Planzahlen Liquidität'!$A37,'Struktur Aktuell'!H:H)-Z35</f>
        <v>1067.4799999999977</v>
      </c>
      <c r="AA37" s="1161"/>
      <c r="AB37" s="1161"/>
      <c r="AC37" s="1161"/>
      <c r="AD37" s="1161"/>
      <c r="AE37" s="1158"/>
      <c r="AF37" s="1158"/>
      <c r="AG37" s="1220"/>
      <c r="AH37" s="1161"/>
      <c r="AI37" s="1161"/>
      <c r="AJ37" s="1161"/>
      <c r="AK37" s="1161"/>
      <c r="AL37" s="1220">
        <f ca="1">SUMIF('Struktur Vorjahr'!$A:$A,'Planzahlen Liquidität'!$A37,'Struktur Vorjahr'!I:I)-AL35</f>
        <v>-15840.150000000001</v>
      </c>
      <c r="AM37" s="1158"/>
      <c r="AN37" s="1220">
        <f ca="1">SUMIF('Struktur Aktuell'!$A:$A,'Planzahlen Liquidität'!$A37,'Struktur Aktuell'!I:I)-AN35</f>
        <v>-18169.150000000001</v>
      </c>
      <c r="AO37" s="1161"/>
      <c r="AP37" s="1161"/>
      <c r="AQ37" s="1161"/>
      <c r="AR37" s="1161"/>
      <c r="AS37" s="1158"/>
      <c r="AT37" s="1158"/>
      <c r="AU37" s="1220"/>
      <c r="AV37" s="1161"/>
      <c r="AW37" s="1161"/>
      <c r="AX37" s="1161"/>
      <c r="AY37" s="1161"/>
      <c r="AZ37" s="1220">
        <f ca="1">SUMIF('Struktur Vorjahr'!$A:$A,'Planzahlen Liquidität'!$A37,'Struktur Vorjahr'!J:J)-AZ35</f>
        <v>-294.13999999999578</v>
      </c>
      <c r="BA37" s="1158"/>
      <c r="BB37" s="1220">
        <f ca="1">SUMIF('Struktur Aktuell'!$A:$A,'Planzahlen Liquidität'!$A37,'Struktur Aktuell'!J:J)-BB35</f>
        <v>5109.8600000000042</v>
      </c>
      <c r="BC37" s="1161"/>
      <c r="BD37" s="1161"/>
      <c r="BE37" s="1161"/>
      <c r="BF37" s="1161"/>
      <c r="BG37" s="1158"/>
      <c r="BH37" s="1158"/>
      <c r="BI37" s="1220"/>
      <c r="BJ37" s="1161"/>
      <c r="BK37" s="1161"/>
      <c r="BL37" s="1161"/>
      <c r="BM37" s="1161"/>
      <c r="BN37" s="1220">
        <f ca="1">SUMIF('Struktur Vorjahr'!$A:$A,'Planzahlen Liquidität'!$A37,'Struktur Vorjahr'!K:K)-BN35</f>
        <v>4609.25</v>
      </c>
      <c r="BO37" s="1158"/>
      <c r="BP37" s="1220">
        <f ca="1">SUMIF('Struktur Aktuell'!$A:$A,'Planzahlen Liquidität'!$A37,'Struktur Aktuell'!K:K)-BP35</f>
        <v>-5079.75</v>
      </c>
      <c r="BQ37" s="1161"/>
      <c r="BR37" s="1161"/>
      <c r="BS37" s="1161"/>
      <c r="BT37" s="1161"/>
      <c r="BU37" s="1158"/>
      <c r="BV37" s="1158"/>
      <c r="BW37" s="1220"/>
      <c r="BX37" s="1161"/>
      <c r="BY37" s="1161"/>
      <c r="BZ37" s="1161"/>
      <c r="CA37" s="1161"/>
      <c r="CB37" s="1220">
        <f ca="1">SUMIF('Struktur Vorjahr'!$A:$A,'Planzahlen Liquidität'!$A37,'Struktur Vorjahr'!L:L)-CB35</f>
        <v>-13930.720000000001</v>
      </c>
      <c r="CC37" s="1158"/>
      <c r="CD37" s="1220">
        <f ca="1">SUMIF('Struktur Aktuell'!$A:$A,'Planzahlen Liquidität'!$A37,'Struktur Aktuell'!L:L)-CD35</f>
        <v>-9632.7200000000012</v>
      </c>
      <c r="CE37" s="1161"/>
      <c r="CF37" s="1161"/>
      <c r="CG37" s="1161"/>
      <c r="CH37" s="1161"/>
      <c r="CI37" s="1158"/>
      <c r="CJ37" s="1158"/>
      <c r="CK37" s="1220"/>
      <c r="CL37" s="1161"/>
      <c r="CM37" s="1161"/>
      <c r="CN37" s="1161"/>
      <c r="CO37" s="1161"/>
      <c r="CP37" s="1220">
        <f ca="1">SUMIF('Struktur Vorjahr'!$A:$A,'Planzahlen Liquidität'!$A37,'Struktur Vorjahr'!M:M)-CP35</f>
        <v>3307.2099999999973</v>
      </c>
      <c r="CQ37" s="1158"/>
      <c r="CR37" s="1220">
        <f ca="1">SUMIF('Struktur Aktuell'!$A:$A,'Planzahlen Liquidität'!$A37,'Struktur Aktuell'!M:M)-CR35</f>
        <v>5050.2099999999973</v>
      </c>
      <c r="CS37" s="1161"/>
      <c r="CT37" s="1161"/>
      <c r="CU37" s="1161"/>
      <c r="CV37" s="1161"/>
      <c r="CW37" s="1158"/>
      <c r="CX37" s="1158"/>
      <c r="CY37" s="1220"/>
      <c r="CZ37" s="1161"/>
      <c r="DA37" s="1161"/>
      <c r="DB37" s="1161"/>
      <c r="DC37" s="1161"/>
      <c r="DD37" s="1220">
        <f ca="1">SUMIF('Struktur Vorjahr'!$A:$A,'Planzahlen Liquidität'!$A37,'Struktur Vorjahr'!N:N)-DD35</f>
        <v>-376.78000000000611</v>
      </c>
      <c r="DE37" s="1158"/>
      <c r="DF37" s="1220">
        <f ca="1">SUMIF('Struktur Aktuell'!$A:$A,'Planzahlen Liquidität'!$A37,'Struktur Aktuell'!N:N)-DF35</f>
        <v>-5784.7800000000061</v>
      </c>
      <c r="DG37" s="1161"/>
      <c r="DH37" s="1161"/>
      <c r="DI37" s="1161"/>
      <c r="DJ37" s="1161"/>
      <c r="DK37" s="1158"/>
      <c r="DL37" s="1158"/>
      <c r="DM37" s="1220"/>
      <c r="DN37" s="1161"/>
      <c r="DO37" s="1161"/>
      <c r="DP37" s="1161"/>
      <c r="DQ37" s="1161"/>
      <c r="DR37" s="1220">
        <f ca="1">SUMIF('Struktur Vorjahr'!$A:$A,'Planzahlen Liquidität'!$A37,'Struktur Vorjahr'!O:O)-DR35</f>
        <v>-272.60000000000218</v>
      </c>
      <c r="DS37" s="1158"/>
      <c r="DT37" s="1220">
        <f ca="1">SUMIF('Struktur Aktuell'!$A:$A,'Planzahlen Liquidität'!$A37,'Struktur Aktuell'!O:O)-DT35</f>
        <v>-272.60000000000218</v>
      </c>
      <c r="DU37" s="1161"/>
      <c r="DV37" s="1161"/>
      <c r="DW37" s="1161"/>
      <c r="DX37" s="1161"/>
      <c r="DY37" s="1158"/>
      <c r="DZ37" s="1158"/>
      <c r="EA37" s="1220"/>
      <c r="EB37" s="1161"/>
      <c r="EC37" s="1161"/>
      <c r="ED37" s="1161"/>
      <c r="EE37" s="1161"/>
      <c r="EF37" s="1220">
        <f ca="1">SUMIF('Struktur Vorjahr'!$A:$A,'Planzahlen Liquidität'!$A37,'Struktur Vorjahr'!P:P)-EF35</f>
        <v>-544.6599999999944</v>
      </c>
      <c r="EG37" s="1158"/>
      <c r="EH37" s="1220">
        <f ca="1">SUMIF('Struktur Aktuell'!$A:$A,'Planzahlen Liquidität'!$A37,'Struktur Aktuell'!P:P)-EH35</f>
        <v>7367.3399999999983</v>
      </c>
      <c r="EI37" s="1161"/>
      <c r="EJ37" s="1161"/>
      <c r="EK37" s="1161"/>
      <c r="EL37" s="1161"/>
      <c r="EM37" s="1158"/>
      <c r="EN37" s="1158"/>
      <c r="EO37" s="1220"/>
      <c r="EP37" s="1161"/>
      <c r="EQ37" s="1161"/>
      <c r="ER37" s="1161"/>
      <c r="ES37" s="1161"/>
      <c r="ET37" s="1220">
        <f ca="1">SUMIF('Struktur Vorjahr'!$A:$A,'Planzahlen Liquidität'!$A37,'Struktur Vorjahr'!Q:Q)-ET35</f>
        <v>-2975.85</v>
      </c>
      <c r="EU37" s="1158"/>
      <c r="EV37" s="1220">
        <f ca="1">SUMIF('Struktur Aktuell'!$A:$A,'Planzahlen Liquidität'!$A37,'Struktur Aktuell'!Q:Q)-EV35</f>
        <v>-10444.85</v>
      </c>
      <c r="EW37" s="1161"/>
      <c r="EX37" s="1161"/>
      <c r="EY37" s="1161"/>
      <c r="EZ37" s="1161"/>
      <c r="FA37" s="1158"/>
      <c r="FB37" s="1158"/>
      <c r="FC37" s="1220"/>
      <c r="FD37" s="1161"/>
      <c r="FE37" s="1161"/>
      <c r="FF37" s="1161"/>
      <c r="FG37" s="1161"/>
      <c r="FH37" s="1220">
        <f ca="1">SUMIF('Struktur Vorjahr'!$A:$A,'Planzahlen Liquidität'!$A37,'Struktur Vorjahr'!R:R)-FH35</f>
        <v>-680.62999999999988</v>
      </c>
      <c r="FI37" s="1158"/>
      <c r="FJ37" s="1220">
        <f ca="1">SUMIF('Struktur Aktuell'!$A:$A,'Planzahlen Liquidität'!$A37,'Struktur Aktuell'!R:R)-FJ35</f>
        <v>-1720.6299999999999</v>
      </c>
      <c r="FK37" s="1161"/>
      <c r="FL37" s="1161"/>
      <c r="FM37" s="1161"/>
      <c r="FN37" s="1161"/>
      <c r="FO37" s="1158"/>
      <c r="FP37" s="1158"/>
      <c r="FQ37" s="1220"/>
      <c r="FR37" s="1161"/>
      <c r="FS37" s="1161"/>
      <c r="FT37" s="1161"/>
      <c r="FU37" s="1161"/>
      <c r="FV37" s="1158"/>
      <c r="FW37" s="1161"/>
    </row>
    <row r="38" spans="1:179" s="883" customFormat="1" x14ac:dyDescent="0.2">
      <c r="A38" s="1158"/>
      <c r="B38" s="1158"/>
      <c r="C38" s="1158"/>
      <c r="D38" s="1158"/>
      <c r="E38" s="1158"/>
      <c r="F38" s="1161"/>
      <c r="G38" s="1161"/>
      <c r="H38" s="1161"/>
      <c r="I38" s="1161"/>
      <c r="J38" s="1158"/>
      <c r="K38" s="1158"/>
      <c r="L38" s="1158"/>
      <c r="M38" s="1161"/>
      <c r="N38" s="1161"/>
      <c r="O38" s="1161"/>
      <c r="P38" s="1161"/>
      <c r="Q38" s="1158"/>
      <c r="R38" s="1158"/>
      <c r="S38" s="1158"/>
      <c r="T38" s="1161"/>
      <c r="U38" s="1161"/>
      <c r="V38" s="1161"/>
      <c r="W38" s="1161"/>
      <c r="X38" s="1158"/>
      <c r="Y38" s="1158"/>
      <c r="Z38" s="1158"/>
      <c r="AA38" s="1161"/>
      <c r="AB38" s="1161"/>
      <c r="AC38" s="1161"/>
      <c r="AD38" s="1161"/>
      <c r="AE38" s="1158"/>
      <c r="AF38" s="1158"/>
      <c r="AG38" s="1158"/>
      <c r="AH38" s="1161"/>
      <c r="AI38" s="1161"/>
      <c r="AJ38" s="1161"/>
      <c r="AK38" s="1161"/>
      <c r="AL38" s="1158"/>
      <c r="AM38" s="1158"/>
      <c r="AN38" s="1158"/>
      <c r="AO38" s="1161"/>
      <c r="AP38" s="1161"/>
      <c r="AQ38" s="1161"/>
      <c r="AR38" s="1161"/>
      <c r="AS38" s="1158"/>
      <c r="AT38" s="1158"/>
      <c r="AU38" s="1158"/>
      <c r="AV38" s="1161"/>
      <c r="AW38" s="1161"/>
      <c r="AX38" s="1161"/>
      <c r="AY38" s="1161"/>
      <c r="AZ38" s="1158"/>
      <c r="BA38" s="1158"/>
      <c r="BB38" s="1158"/>
      <c r="BC38" s="1161"/>
      <c r="BD38" s="1161"/>
      <c r="BE38" s="1161"/>
      <c r="BF38" s="1161"/>
      <c r="BG38" s="1158"/>
      <c r="BH38" s="1158"/>
      <c r="BI38" s="1158"/>
      <c r="BJ38" s="1161"/>
      <c r="BK38" s="1161"/>
      <c r="BL38" s="1161"/>
      <c r="BM38" s="1161"/>
      <c r="BN38" s="1158"/>
      <c r="BO38" s="1158"/>
      <c r="BP38" s="1158"/>
      <c r="BQ38" s="1161"/>
      <c r="BR38" s="1161"/>
      <c r="BS38" s="1161"/>
      <c r="BT38" s="1161"/>
      <c r="BU38" s="1158"/>
      <c r="BV38" s="1158"/>
      <c r="BW38" s="1158"/>
      <c r="BX38" s="1161"/>
      <c r="BY38" s="1161"/>
      <c r="BZ38" s="1161"/>
      <c r="CA38" s="1161"/>
      <c r="CB38" s="1158"/>
      <c r="CC38" s="1158"/>
      <c r="CD38" s="1158"/>
      <c r="CE38" s="1161"/>
      <c r="CF38" s="1161"/>
      <c r="CG38" s="1161"/>
      <c r="CH38" s="1161"/>
      <c r="CI38" s="1158"/>
      <c r="CJ38" s="1158"/>
      <c r="CK38" s="1158"/>
      <c r="CL38" s="1161"/>
      <c r="CM38" s="1161"/>
      <c r="CN38" s="1161"/>
      <c r="CO38" s="1161"/>
      <c r="CP38" s="1158"/>
      <c r="CQ38" s="1158"/>
      <c r="CR38" s="1158"/>
      <c r="CS38" s="1161"/>
      <c r="CT38" s="1161"/>
      <c r="CU38" s="1161"/>
      <c r="CV38" s="1161"/>
      <c r="CW38" s="1158"/>
      <c r="CX38" s="1158"/>
      <c r="CY38" s="1158"/>
      <c r="CZ38" s="1161"/>
      <c r="DA38" s="1161"/>
      <c r="DB38" s="1161"/>
      <c r="DC38" s="1161"/>
      <c r="DD38" s="1158"/>
      <c r="DE38" s="1158"/>
      <c r="DF38" s="1158"/>
      <c r="DG38" s="1161"/>
      <c r="DH38" s="1161"/>
      <c r="DI38" s="1161"/>
      <c r="DJ38" s="1161"/>
      <c r="DK38" s="1158"/>
      <c r="DL38" s="1158"/>
      <c r="DM38" s="1158"/>
      <c r="DN38" s="1161"/>
      <c r="DO38" s="1161"/>
      <c r="DP38" s="1161"/>
      <c r="DQ38" s="1161"/>
      <c r="DR38" s="1158"/>
      <c r="DS38" s="1158"/>
      <c r="DT38" s="1158"/>
      <c r="DU38" s="1161"/>
      <c r="DV38" s="1161"/>
      <c r="DW38" s="1161"/>
      <c r="DX38" s="1161"/>
      <c r="DY38" s="1158"/>
      <c r="DZ38" s="1158"/>
      <c r="EA38" s="1158"/>
      <c r="EB38" s="1161"/>
      <c r="EC38" s="1161"/>
      <c r="ED38" s="1161"/>
      <c r="EE38" s="1161"/>
      <c r="EF38" s="1158"/>
      <c r="EG38" s="1158"/>
      <c r="EH38" s="1158"/>
      <c r="EI38" s="1161"/>
      <c r="EJ38" s="1161"/>
      <c r="EK38" s="1161"/>
      <c r="EL38" s="1161"/>
      <c r="EM38" s="1158"/>
      <c r="EN38" s="1158"/>
      <c r="EO38" s="1158"/>
      <c r="EP38" s="1161"/>
      <c r="EQ38" s="1161"/>
      <c r="ER38" s="1161"/>
      <c r="ES38" s="1161"/>
      <c r="ET38" s="1158"/>
      <c r="EU38" s="1158"/>
      <c r="EV38" s="1158"/>
      <c r="EW38" s="1161"/>
      <c r="EX38" s="1161"/>
      <c r="EY38" s="1161"/>
      <c r="EZ38" s="1161"/>
      <c r="FA38" s="1158"/>
      <c r="FB38" s="1158"/>
      <c r="FC38" s="1158"/>
      <c r="FD38" s="1161"/>
      <c r="FE38" s="1161"/>
      <c r="FF38" s="1161"/>
      <c r="FG38" s="1161"/>
      <c r="FH38" s="1158"/>
      <c r="FI38" s="1158"/>
      <c r="FJ38" s="1158"/>
      <c r="FK38" s="1161"/>
      <c r="FL38" s="1161"/>
      <c r="FM38" s="1161"/>
      <c r="FN38" s="1161"/>
      <c r="FO38" s="1158"/>
      <c r="FP38" s="1158"/>
      <c r="FQ38" s="1158"/>
      <c r="FR38" s="1161"/>
      <c r="FS38" s="1161"/>
      <c r="FT38" s="1161"/>
      <c r="FU38" s="1161"/>
      <c r="FV38" s="1158"/>
      <c r="FW38" s="1161"/>
    </row>
    <row r="39" spans="1:179" s="883" customFormat="1" x14ac:dyDescent="0.2">
      <c r="A39" s="1162"/>
      <c r="B39" s="1162" t="s">
        <v>233</v>
      </c>
      <c r="C39" s="1158"/>
      <c r="D39" s="1158"/>
      <c r="E39" s="1158"/>
      <c r="F39" s="1161"/>
      <c r="G39" s="1161"/>
      <c r="H39" s="1161"/>
      <c r="I39" s="1161"/>
      <c r="J39" s="1158"/>
      <c r="K39" s="1158"/>
      <c r="L39" s="1158"/>
      <c r="M39" s="1161"/>
      <c r="N39" s="1161"/>
      <c r="O39" s="1161"/>
      <c r="P39" s="1161"/>
      <c r="Q39" s="1158"/>
      <c r="R39" s="1158"/>
      <c r="S39" s="1158"/>
      <c r="T39" s="1161"/>
      <c r="U39" s="1161"/>
      <c r="V39" s="1161"/>
      <c r="W39" s="1161"/>
      <c r="X39" s="1158"/>
      <c r="Y39" s="1158"/>
      <c r="Z39" s="1158"/>
      <c r="AA39" s="1161"/>
      <c r="AB39" s="1161"/>
      <c r="AC39" s="1161"/>
      <c r="AD39" s="1161"/>
      <c r="AE39" s="1158"/>
      <c r="AF39" s="1158"/>
      <c r="AG39" s="1158"/>
      <c r="AH39" s="1161"/>
      <c r="AI39" s="1161"/>
      <c r="AJ39" s="1161"/>
      <c r="AK39" s="1161"/>
      <c r="AL39" s="1158"/>
      <c r="AM39" s="1158"/>
      <c r="AN39" s="1158"/>
      <c r="AO39" s="1161"/>
      <c r="AP39" s="1161"/>
      <c r="AQ39" s="1161"/>
      <c r="AR39" s="1161"/>
      <c r="AS39" s="1158"/>
      <c r="AT39" s="1158"/>
      <c r="AU39" s="1158"/>
      <c r="AV39" s="1161"/>
      <c r="AW39" s="1161"/>
      <c r="AX39" s="1161"/>
      <c r="AY39" s="1161"/>
      <c r="AZ39" s="1158"/>
      <c r="BA39" s="1158"/>
      <c r="BB39" s="1158"/>
      <c r="BC39" s="1161"/>
      <c r="BD39" s="1161"/>
      <c r="BE39" s="1161"/>
      <c r="BF39" s="1161"/>
      <c r="BG39" s="1158"/>
      <c r="BH39" s="1158"/>
      <c r="BI39" s="1158"/>
      <c r="BJ39" s="1161"/>
      <c r="BK39" s="1161"/>
      <c r="BL39" s="1161"/>
      <c r="BM39" s="1161"/>
      <c r="BN39" s="1158"/>
      <c r="BO39" s="1158"/>
      <c r="BP39" s="1158"/>
      <c r="BQ39" s="1161"/>
      <c r="BR39" s="1161"/>
      <c r="BS39" s="1161"/>
      <c r="BT39" s="1161"/>
      <c r="BU39" s="1158"/>
      <c r="BV39" s="1158"/>
      <c r="BW39" s="1158"/>
      <c r="BX39" s="1161"/>
      <c r="BY39" s="1161"/>
      <c r="BZ39" s="1161"/>
      <c r="CA39" s="1161"/>
      <c r="CB39" s="1158"/>
      <c r="CC39" s="1158"/>
      <c r="CD39" s="1158"/>
      <c r="CE39" s="1161"/>
      <c r="CF39" s="1161"/>
      <c r="CG39" s="1161"/>
      <c r="CH39" s="1161"/>
      <c r="CI39" s="1158"/>
      <c r="CJ39" s="1158"/>
      <c r="CK39" s="1158"/>
      <c r="CL39" s="1161"/>
      <c r="CM39" s="1161"/>
      <c r="CN39" s="1161"/>
      <c r="CO39" s="1161"/>
      <c r="CP39" s="1158"/>
      <c r="CQ39" s="1158"/>
      <c r="CR39" s="1158"/>
      <c r="CS39" s="1161"/>
      <c r="CT39" s="1161"/>
      <c r="CU39" s="1161"/>
      <c r="CV39" s="1161"/>
      <c r="CW39" s="1158"/>
      <c r="CX39" s="1158"/>
      <c r="CY39" s="1158"/>
      <c r="CZ39" s="1161"/>
      <c r="DA39" s="1161"/>
      <c r="DB39" s="1161"/>
      <c r="DC39" s="1161"/>
      <c r="DD39" s="1158"/>
      <c r="DE39" s="1158"/>
      <c r="DF39" s="1158"/>
      <c r="DG39" s="1161"/>
      <c r="DH39" s="1161"/>
      <c r="DI39" s="1161"/>
      <c r="DJ39" s="1161"/>
      <c r="DK39" s="1158"/>
      <c r="DL39" s="1158"/>
      <c r="DM39" s="1158"/>
      <c r="DN39" s="1161"/>
      <c r="DO39" s="1161"/>
      <c r="DP39" s="1161"/>
      <c r="DQ39" s="1161"/>
      <c r="DR39" s="1158"/>
      <c r="DS39" s="1158"/>
      <c r="DT39" s="1158"/>
      <c r="DU39" s="1161"/>
      <c r="DV39" s="1161"/>
      <c r="DW39" s="1161"/>
      <c r="DX39" s="1161"/>
      <c r="DY39" s="1158"/>
      <c r="DZ39" s="1158"/>
      <c r="EA39" s="1158"/>
      <c r="EB39" s="1161"/>
      <c r="EC39" s="1161"/>
      <c r="ED39" s="1161"/>
      <c r="EE39" s="1161"/>
      <c r="EF39" s="1158"/>
      <c r="EG39" s="1158"/>
      <c r="EH39" s="1158"/>
      <c r="EI39" s="1161"/>
      <c r="EJ39" s="1161"/>
      <c r="EK39" s="1161"/>
      <c r="EL39" s="1161"/>
      <c r="EM39" s="1158"/>
      <c r="EN39" s="1158"/>
      <c r="EO39" s="1158"/>
      <c r="EP39" s="1161"/>
      <c r="EQ39" s="1161"/>
      <c r="ER39" s="1161"/>
      <c r="ES39" s="1161"/>
      <c r="ET39" s="1158"/>
      <c r="EU39" s="1158"/>
      <c r="EV39" s="1158"/>
      <c r="EW39" s="1161"/>
      <c r="EX39" s="1161"/>
      <c r="EY39" s="1161"/>
      <c r="EZ39" s="1161"/>
      <c r="FA39" s="1158"/>
      <c r="FB39" s="1158"/>
      <c r="FC39" s="1158"/>
      <c r="FD39" s="1161"/>
      <c r="FE39" s="1161"/>
      <c r="FF39" s="1161"/>
      <c r="FG39" s="1161"/>
      <c r="FH39" s="1158"/>
      <c r="FI39" s="1158"/>
      <c r="FJ39" s="1158"/>
      <c r="FK39" s="1161"/>
      <c r="FL39" s="1161"/>
      <c r="FM39" s="1161"/>
      <c r="FN39" s="1161"/>
      <c r="FO39" s="1158"/>
      <c r="FP39" s="1158"/>
      <c r="FQ39" s="1158"/>
      <c r="FR39" s="1161"/>
      <c r="FS39" s="1161"/>
      <c r="FT39" s="1161"/>
      <c r="FU39" s="1161"/>
      <c r="FV39" s="1158"/>
      <c r="FW39" s="1161"/>
    </row>
    <row r="40" spans="1:179" s="883" customFormat="1" x14ac:dyDescent="0.2">
      <c r="A40" s="1158"/>
      <c r="B40" s="1158"/>
      <c r="C40" s="1158"/>
      <c r="D40" s="1158"/>
      <c r="E40" s="1158"/>
      <c r="F40" s="1161"/>
      <c r="G40" s="1161"/>
      <c r="H40" s="1161"/>
      <c r="I40" s="1161"/>
      <c r="J40" s="1158"/>
      <c r="K40" s="1158"/>
      <c r="L40" s="1158"/>
      <c r="M40" s="1161"/>
      <c r="N40" s="1161"/>
      <c r="O40" s="1161"/>
      <c r="P40" s="1161"/>
      <c r="Q40" s="1158"/>
      <c r="R40" s="1158"/>
      <c r="S40" s="1158"/>
      <c r="T40" s="1161"/>
      <c r="U40" s="1161"/>
      <c r="V40" s="1161"/>
      <c r="W40" s="1161"/>
      <c r="X40" s="1158"/>
      <c r="Y40" s="1158"/>
      <c r="Z40" s="1158"/>
      <c r="AA40" s="1161"/>
      <c r="AB40" s="1161"/>
      <c r="AC40" s="1161"/>
      <c r="AD40" s="1161"/>
      <c r="AE40" s="1158"/>
      <c r="AF40" s="1158"/>
      <c r="AG40" s="1158"/>
      <c r="AH40" s="1161"/>
      <c r="AI40" s="1161"/>
      <c r="AJ40" s="1161"/>
      <c r="AK40" s="1161"/>
      <c r="AL40" s="1158"/>
      <c r="AM40" s="1158"/>
      <c r="AN40" s="1158"/>
      <c r="AO40" s="1161"/>
      <c r="AP40" s="1161"/>
      <c r="AQ40" s="1161"/>
      <c r="AR40" s="1161"/>
      <c r="AS40" s="1158"/>
      <c r="AT40" s="1158"/>
      <c r="AU40" s="1158"/>
      <c r="AV40" s="1161"/>
      <c r="AW40" s="1161"/>
      <c r="AX40" s="1161"/>
      <c r="AY40" s="1161"/>
      <c r="AZ40" s="1158"/>
      <c r="BA40" s="1158"/>
      <c r="BB40" s="1158"/>
      <c r="BC40" s="1161"/>
      <c r="BD40" s="1161"/>
      <c r="BE40" s="1161"/>
      <c r="BF40" s="1161"/>
      <c r="BG40" s="1158"/>
      <c r="BH40" s="1158"/>
      <c r="BI40" s="1158"/>
      <c r="BJ40" s="1161"/>
      <c r="BK40" s="1161"/>
      <c r="BL40" s="1161"/>
      <c r="BM40" s="1161"/>
      <c r="BN40" s="1158"/>
      <c r="BO40" s="1158"/>
      <c r="BP40" s="1158"/>
      <c r="BQ40" s="1161"/>
      <c r="BR40" s="1161"/>
      <c r="BS40" s="1161"/>
      <c r="BT40" s="1161"/>
      <c r="BU40" s="1158"/>
      <c r="BV40" s="1158"/>
      <c r="BW40" s="1158"/>
      <c r="BX40" s="1161"/>
      <c r="BY40" s="1161"/>
      <c r="BZ40" s="1161"/>
      <c r="CA40" s="1161"/>
      <c r="CB40" s="1158"/>
      <c r="CC40" s="1158"/>
      <c r="CD40" s="1158"/>
      <c r="CE40" s="1161"/>
      <c r="CF40" s="1161"/>
      <c r="CG40" s="1161"/>
      <c r="CH40" s="1161"/>
      <c r="CI40" s="1158"/>
      <c r="CJ40" s="1158"/>
      <c r="CK40" s="1158"/>
      <c r="CL40" s="1161"/>
      <c r="CM40" s="1161"/>
      <c r="CN40" s="1161"/>
      <c r="CO40" s="1161"/>
      <c r="CP40" s="1158"/>
      <c r="CQ40" s="1158"/>
      <c r="CR40" s="1158"/>
      <c r="CS40" s="1161"/>
      <c r="CT40" s="1161"/>
      <c r="CU40" s="1161"/>
      <c r="CV40" s="1161"/>
      <c r="CW40" s="1158"/>
      <c r="CX40" s="1158"/>
      <c r="CY40" s="1158"/>
      <c r="CZ40" s="1161"/>
      <c r="DA40" s="1161"/>
      <c r="DB40" s="1161"/>
      <c r="DC40" s="1161"/>
      <c r="DD40" s="1158"/>
      <c r="DE40" s="1158"/>
      <c r="DF40" s="1158"/>
      <c r="DG40" s="1161"/>
      <c r="DH40" s="1161"/>
      <c r="DI40" s="1161"/>
      <c r="DJ40" s="1161"/>
      <c r="DK40" s="1158"/>
      <c r="DL40" s="1158"/>
      <c r="DM40" s="1158"/>
      <c r="DN40" s="1161"/>
      <c r="DO40" s="1161"/>
      <c r="DP40" s="1161"/>
      <c r="DQ40" s="1161"/>
      <c r="DR40" s="1158"/>
      <c r="DS40" s="1158"/>
      <c r="DT40" s="1158"/>
      <c r="DU40" s="1161"/>
      <c r="DV40" s="1161"/>
      <c r="DW40" s="1161"/>
      <c r="DX40" s="1161"/>
      <c r="DY40" s="1158"/>
      <c r="DZ40" s="1158"/>
      <c r="EA40" s="1158"/>
      <c r="EB40" s="1161"/>
      <c r="EC40" s="1161"/>
      <c r="ED40" s="1161"/>
      <c r="EE40" s="1161"/>
      <c r="EF40" s="1158"/>
      <c r="EG40" s="1158"/>
      <c r="EH40" s="1158"/>
      <c r="EI40" s="1161"/>
      <c r="EJ40" s="1161"/>
      <c r="EK40" s="1161"/>
      <c r="EL40" s="1161"/>
      <c r="EM40" s="1158"/>
      <c r="EN40" s="1158"/>
      <c r="EO40" s="1158"/>
      <c r="EP40" s="1161"/>
      <c r="EQ40" s="1161"/>
      <c r="ER40" s="1161"/>
      <c r="ES40" s="1161"/>
      <c r="ET40" s="1158"/>
      <c r="EU40" s="1158"/>
      <c r="EV40" s="1158"/>
      <c r="EW40" s="1161"/>
      <c r="EX40" s="1161"/>
      <c r="EY40" s="1161"/>
      <c r="EZ40" s="1161"/>
      <c r="FA40" s="1158"/>
      <c r="FB40" s="1158"/>
      <c r="FC40" s="1158"/>
      <c r="FD40" s="1161"/>
      <c r="FE40" s="1161"/>
      <c r="FF40" s="1161"/>
      <c r="FG40" s="1161"/>
      <c r="FH40" s="1158"/>
      <c r="FI40" s="1158"/>
      <c r="FJ40" s="1158"/>
      <c r="FK40" s="1161"/>
      <c r="FL40" s="1161"/>
      <c r="FM40" s="1161"/>
      <c r="FN40" s="1161"/>
      <c r="FO40" s="1158"/>
      <c r="FP40" s="1158"/>
      <c r="FQ40" s="1158"/>
      <c r="FR40" s="1161"/>
      <c r="FS40" s="1161"/>
      <c r="FT40" s="1161"/>
      <c r="FU40" s="1161"/>
      <c r="FV40" s="1166"/>
      <c r="FW40" s="1161"/>
    </row>
    <row r="41" spans="1:179" s="883" customFormat="1" ht="13.5" customHeight="1" x14ac:dyDescent="0.2">
      <c r="A41" s="1221"/>
      <c r="B41" s="1221" t="s">
        <v>805</v>
      </c>
      <c r="C41" s="1222">
        <f t="shared" ref="C41:E44" ca="1" si="64">J41+X41+AL41+AZ41+BN41+CB41+CP41+DD41+DR41+EF41+ET41+FH41</f>
        <v>-4549.8839999999973</v>
      </c>
      <c r="D41" s="1222">
        <f t="shared" si="64"/>
        <v>76662.340000000011</v>
      </c>
      <c r="E41" s="1223">
        <f t="shared" ca="1" si="64"/>
        <v>-3124.8839999999987</v>
      </c>
      <c r="F41" s="1223">
        <f ca="1">E41-D41</f>
        <v>-79787.224000000017</v>
      </c>
      <c r="G41" s="1224"/>
      <c r="H41" s="1224"/>
      <c r="I41" s="1225"/>
      <c r="J41" s="1222">
        <f ca="1">'Planzahlen Rentabilität'!J56*$D$8</f>
        <v>-4265.8980000000001</v>
      </c>
      <c r="K41" s="1222">
        <f>'Planzahlen Rentabilität'!K56*$D$9</f>
        <v>-1228.1278333333341</v>
      </c>
      <c r="L41" s="1223">
        <f ca="1">'Planzahlen Rentabilität'!L56*$D$8</f>
        <v>-2789.5980000000004</v>
      </c>
      <c r="M41" s="1223">
        <f ca="1">L41-K41</f>
        <v>-1561.4701666666663</v>
      </c>
      <c r="N41" s="1224"/>
      <c r="O41" s="1224"/>
      <c r="P41" s="1225"/>
      <c r="Q41" s="1222">
        <f t="shared" ref="Q41:S44" ca="1" si="65">J41</f>
        <v>-4265.8980000000001</v>
      </c>
      <c r="R41" s="1222">
        <f t="shared" si="65"/>
        <v>-1228.1278333333341</v>
      </c>
      <c r="S41" s="1223">
        <f t="shared" ca="1" si="65"/>
        <v>-2789.5980000000004</v>
      </c>
      <c r="T41" s="1223">
        <f ca="1">S41-R41</f>
        <v>-1561.4701666666663</v>
      </c>
      <c r="U41" s="1224"/>
      <c r="V41" s="1224"/>
      <c r="W41" s="1225"/>
      <c r="X41" s="1222">
        <f ca="1">'Planzahlen Rentabilität'!X56*$D$8</f>
        <v>-990.29399999999919</v>
      </c>
      <c r="Y41" s="1222">
        <f>'Planzahlen Rentabilität'!Y56*$D$9</f>
        <v>4956.5881666666683</v>
      </c>
      <c r="Z41" s="1223">
        <f ca="1">'Planzahlen Rentabilität'!Z56*$D$8</f>
        <v>-3014.9939999999997</v>
      </c>
      <c r="AA41" s="1223">
        <f ca="1">Z41-Y41</f>
        <v>-7971.5821666666679</v>
      </c>
      <c r="AB41" s="1224"/>
      <c r="AC41" s="1224"/>
      <c r="AD41" s="1225"/>
      <c r="AE41" s="1222">
        <f t="shared" ref="AE41:AG44" ca="1" si="66">Q41+X41</f>
        <v>-5256.1919999999991</v>
      </c>
      <c r="AF41" s="1222">
        <f t="shared" si="66"/>
        <v>3728.4603333333343</v>
      </c>
      <c r="AG41" s="1223">
        <f t="shared" ca="1" si="66"/>
        <v>-5804.5920000000006</v>
      </c>
      <c r="AH41" s="1223">
        <f ca="1">AG41-AF41</f>
        <v>-9533.0523333333349</v>
      </c>
      <c r="AI41" s="1224"/>
      <c r="AJ41" s="1224"/>
      <c r="AK41" s="1225"/>
      <c r="AL41" s="1222">
        <f ca="1">'Planzahlen Rentabilität'!AL56*$D$8</f>
        <v>-614.32499999999993</v>
      </c>
      <c r="AM41" s="1222">
        <f>'Planzahlen Rentabilität'!AM56*$D$9</f>
        <v>11141.304166666669</v>
      </c>
      <c r="AN41" s="1223">
        <f ca="1">'Planzahlen Rentabilität'!AN56*$D$8</f>
        <v>84.375000000000071</v>
      </c>
      <c r="AO41" s="1223">
        <f ca="1">AN41-AM41</f>
        <v>-11056.929166666669</v>
      </c>
      <c r="AP41" s="1225"/>
      <c r="AQ41" s="1225"/>
      <c r="AR41" s="1224"/>
      <c r="AS41" s="1222">
        <f t="shared" ref="AS41:AU44" ca="1" si="67">AE41+AL41</f>
        <v>-5870.5169999999989</v>
      </c>
      <c r="AT41" s="1222">
        <f t="shared" si="67"/>
        <v>14869.764500000003</v>
      </c>
      <c r="AU41" s="1223">
        <f t="shared" ca="1" si="67"/>
        <v>-5720.2170000000006</v>
      </c>
      <c r="AV41" s="1223">
        <f ca="1">AU41-AT41</f>
        <v>-20589.981500000002</v>
      </c>
      <c r="AW41" s="1225"/>
      <c r="AX41" s="1225"/>
      <c r="AY41" s="1224"/>
      <c r="AZ41" s="1222">
        <f ca="1">'Planzahlen Rentabilität'!AZ56*$D$8</f>
        <v>-2926.7340000000008</v>
      </c>
      <c r="BA41" s="1222">
        <f>'Planzahlen Rentabilität'!BA56*$D$9</f>
        <v>1864.2301666666683</v>
      </c>
      <c r="BB41" s="1223">
        <f ca="1">'Planzahlen Rentabilität'!BB56*$D$8</f>
        <v>-4547.9340000000002</v>
      </c>
      <c r="BC41" s="1223">
        <f ca="1">BB41-BA41</f>
        <v>-6412.1641666666683</v>
      </c>
      <c r="BD41" s="1224"/>
      <c r="BE41" s="1224"/>
      <c r="BF41" s="1225"/>
      <c r="BG41" s="1222">
        <f t="shared" ref="BG41:BI44" ca="1" si="68">AS41+AZ41</f>
        <v>-8797.2510000000002</v>
      </c>
      <c r="BH41" s="1222">
        <f t="shared" si="68"/>
        <v>16733.994666666673</v>
      </c>
      <c r="BI41" s="1223">
        <f t="shared" ca="1" si="68"/>
        <v>-10268.151000000002</v>
      </c>
      <c r="BJ41" s="1223">
        <f ca="1">BI41-BH41</f>
        <v>-27002.145666666675</v>
      </c>
      <c r="BK41" s="1226"/>
      <c r="BL41" s="1226"/>
      <c r="BM41" s="1225"/>
      <c r="BN41" s="1222">
        <f ca="1">'Planzahlen Rentabilität'!BN56*$D$8</f>
        <v>-6350.5559999999987</v>
      </c>
      <c r="BO41" s="1222">
        <f>'Planzahlen Rentabilität'!BO56*$D$9</f>
        <v>3804.0694166666681</v>
      </c>
      <c r="BP41" s="1223">
        <f ca="1">'Planzahlen Rentabilität'!BP56*$D$8</f>
        <v>-3443.8559999999993</v>
      </c>
      <c r="BQ41" s="1223">
        <f ca="1">BP41-BO41</f>
        <v>-7247.9254166666669</v>
      </c>
      <c r="BR41" s="1225"/>
      <c r="BS41" s="1225"/>
      <c r="BT41" s="1224"/>
      <c r="BU41" s="1222">
        <f t="shared" ref="BU41:BW44" ca="1" si="69">BG41+BN41</f>
        <v>-15147.806999999999</v>
      </c>
      <c r="BV41" s="1222">
        <f t="shared" si="69"/>
        <v>20538.064083333342</v>
      </c>
      <c r="BW41" s="1223">
        <f t="shared" ca="1" si="69"/>
        <v>-13712.007000000001</v>
      </c>
      <c r="BX41" s="1223">
        <f ca="1">BW41-BV41</f>
        <v>-34250.071083333343</v>
      </c>
      <c r="BY41" s="1225"/>
      <c r="BZ41" s="1225"/>
      <c r="CA41" s="1224"/>
      <c r="CB41" s="1222">
        <f ca="1">'Planzahlen Rentabilität'!CB56*$D$8</f>
        <v>1333.5810000000001</v>
      </c>
      <c r="CC41" s="1222">
        <f>'Planzahlen Rentabilität'!CC56*$D$9</f>
        <v>6424.8694166666673</v>
      </c>
      <c r="CD41" s="1223">
        <f ca="1">'Planzahlen Rentabilität'!CD56*$D$8</f>
        <v>44.181000000000004</v>
      </c>
      <c r="CE41" s="1223">
        <f ca="1">CD41-CC41</f>
        <v>-6380.6884166666678</v>
      </c>
      <c r="CF41" s="1224"/>
      <c r="CG41" s="1224"/>
      <c r="CH41" s="1225"/>
      <c r="CI41" s="1222">
        <f t="shared" ref="CI41:CK44" ca="1" si="70">BU41+CB41</f>
        <v>-13814.225999999999</v>
      </c>
      <c r="CJ41" s="1222">
        <f t="shared" si="70"/>
        <v>26962.93350000001</v>
      </c>
      <c r="CK41" s="1223">
        <f t="shared" ca="1" si="70"/>
        <v>-13667.826000000001</v>
      </c>
      <c r="CL41" s="1223">
        <f ca="1">CK41-CJ41</f>
        <v>-40630.759500000015</v>
      </c>
      <c r="CM41" s="1224"/>
      <c r="CN41" s="1224"/>
      <c r="CO41" s="1225"/>
      <c r="CP41" s="1222">
        <f ca="1">'Planzahlen Rentabilität'!CP56*$D$8</f>
        <v>7191.9990000000016</v>
      </c>
      <c r="CQ41" s="1222">
        <f>'Planzahlen Rentabilität'!CQ56*$D$9</f>
        <v>6424.8694166666673</v>
      </c>
      <c r="CR41" s="1223">
        <f ca="1">'Planzahlen Rentabilität'!CR56*$D$8</f>
        <v>6669.0990000000011</v>
      </c>
      <c r="CS41" s="1223">
        <f ca="1">CR41-CQ41</f>
        <v>244.22958333333372</v>
      </c>
      <c r="CT41" s="1225"/>
      <c r="CU41" s="1225"/>
      <c r="CV41" s="1226"/>
      <c r="CW41" s="1222">
        <f t="shared" ref="CW41:CY44" ca="1" si="71">CI41+CP41</f>
        <v>-6622.2269999999971</v>
      </c>
      <c r="CX41" s="1222">
        <f t="shared" si="71"/>
        <v>33387.802916666675</v>
      </c>
      <c r="CY41" s="1223">
        <f t="shared" ca="1" si="71"/>
        <v>-6998.7269999999999</v>
      </c>
      <c r="CZ41" s="1223">
        <f ca="1">CY41-CX41</f>
        <v>-40386.529916666674</v>
      </c>
      <c r="DA41" s="1225"/>
      <c r="DB41" s="1225"/>
      <c r="DC41" s="1224"/>
      <c r="DD41" s="1222">
        <f ca="1">'Planzahlen Rentabilität'!DD56*$D$8</f>
        <v>343.14300000000031</v>
      </c>
      <c r="DE41" s="1222">
        <f>'Planzahlen Rentabilität'!DE56*$D$9</f>
        <v>2470.1914166666679</v>
      </c>
      <c r="DF41" s="1223">
        <f ca="1">'Planzahlen Rentabilität'!DF56*$D$8</f>
        <v>1965.5430000000003</v>
      </c>
      <c r="DG41" s="1223">
        <f ca="1">DF41-DE41</f>
        <v>-504.64841666666757</v>
      </c>
      <c r="DH41" s="1224"/>
      <c r="DI41" s="1224"/>
      <c r="DJ41" s="1225"/>
      <c r="DK41" s="1222">
        <f t="shared" ref="DK41:DM44" ca="1" si="72">CW41+DD41</f>
        <v>-6279.0839999999971</v>
      </c>
      <c r="DL41" s="1222">
        <f t="shared" si="72"/>
        <v>35857.994333333343</v>
      </c>
      <c r="DM41" s="1223">
        <f t="shared" ca="1" si="72"/>
        <v>-5033.1839999999993</v>
      </c>
      <c r="DN41" s="1223">
        <f ca="1">DM41-DL41</f>
        <v>-40891.178333333344</v>
      </c>
      <c r="DO41" s="1224"/>
      <c r="DP41" s="1224"/>
      <c r="DQ41" s="1225"/>
      <c r="DR41" s="1222">
        <f ca="1">'Planzahlen Rentabilität'!DR56*$D$8</f>
        <v>-2213.3609999999994</v>
      </c>
      <c r="DS41" s="1222">
        <f>'Planzahlen Rentabilität'!DS56*$D$9</f>
        <v>11747.265416666669</v>
      </c>
      <c r="DT41" s="1223">
        <f ca="1">'Planzahlen Rentabilität'!DT56*$D$8</f>
        <v>-2213.3609999999994</v>
      </c>
      <c r="DU41" s="1223">
        <f ca="1">DT41-DS41</f>
        <v>-13960.626416666668</v>
      </c>
      <c r="DV41" s="1225"/>
      <c r="DW41" s="1225"/>
      <c r="DX41" s="1224"/>
      <c r="DY41" s="1222">
        <f t="shared" ref="DY41:EA44" ca="1" si="73">DK41+DR41</f>
        <v>-8492.4449999999961</v>
      </c>
      <c r="DZ41" s="1222">
        <f t="shared" si="73"/>
        <v>47605.259750000012</v>
      </c>
      <c r="EA41" s="1223">
        <f t="shared" ca="1" si="73"/>
        <v>-7246.5449999999983</v>
      </c>
      <c r="EB41" s="1223">
        <f ca="1">EA41-DZ41</f>
        <v>-54851.80475000001</v>
      </c>
      <c r="EC41" s="1225"/>
      <c r="ED41" s="1225"/>
      <c r="EE41" s="1224"/>
      <c r="EF41" s="1222">
        <f ca="1">'Planzahlen Rentabilität'!EF56*$D$8</f>
        <v>4196.6609999999991</v>
      </c>
      <c r="EG41" s="1222">
        <f>'Planzahlen Rentabilität'!EG56*$D$9</f>
        <v>11747.265416666669</v>
      </c>
      <c r="EH41" s="1223">
        <f ca="1">'Planzahlen Rentabilität'!EH56*$D$8</f>
        <v>1823.0610000000001</v>
      </c>
      <c r="EI41" s="1223">
        <f ca="1">EH41-EG41</f>
        <v>-9924.2044166666692</v>
      </c>
      <c r="EJ41" s="1224"/>
      <c r="EK41" s="1224"/>
      <c r="EL41" s="1225"/>
      <c r="EM41" s="1222">
        <f t="shared" ref="EM41:EO44" ca="1" si="74">DY41+EF41</f>
        <v>-4295.7839999999969</v>
      </c>
      <c r="EN41" s="1222">
        <f t="shared" si="74"/>
        <v>59352.525166666681</v>
      </c>
      <c r="EO41" s="1223">
        <f t="shared" ca="1" si="74"/>
        <v>-5423.4839999999986</v>
      </c>
      <c r="EP41" s="1223">
        <f ca="1">EO41-EN41</f>
        <v>-64776.009166666678</v>
      </c>
      <c r="EQ41" s="1224"/>
      <c r="ER41" s="1224"/>
      <c r="ES41" s="1225"/>
      <c r="ET41" s="1222">
        <f ca="1">'Planzahlen Rentabilität'!ET56*$D$8</f>
        <v>-94.8</v>
      </c>
      <c r="EU41" s="1222">
        <f>'Planzahlen Rentabilität'!EU56*$D$9</f>
        <v>8654.9074166666633</v>
      </c>
      <c r="EV41" s="1223">
        <f ca="1">'Planzahlen Rentabilität'!EV56*$D$8</f>
        <v>2145.9</v>
      </c>
      <c r="EW41" s="1223">
        <f ca="1">EV41-EU41</f>
        <v>-6509.0074166666636</v>
      </c>
      <c r="EX41" s="1225"/>
      <c r="EY41" s="1225"/>
      <c r="EZ41" s="1224"/>
      <c r="FA41" s="1222">
        <f t="shared" ref="FA41:FC44" ca="1" si="75">EM41+ET41</f>
        <v>-4390.5839999999971</v>
      </c>
      <c r="FB41" s="1222">
        <f t="shared" si="75"/>
        <v>68007.432583333342</v>
      </c>
      <c r="FC41" s="1223">
        <f t="shared" ca="1" si="75"/>
        <v>-3277.5839999999985</v>
      </c>
      <c r="FD41" s="1223">
        <f ca="1">FC41-FB41</f>
        <v>-71285.016583333345</v>
      </c>
      <c r="FE41" s="1225"/>
      <c r="FF41" s="1225"/>
      <c r="FG41" s="1224"/>
      <c r="FH41" s="1223">
        <f ca="1">'Planzahlen Rentabilität'!FH56*$D$8</f>
        <v>-159.29999999999998</v>
      </c>
      <c r="FI41" s="1222">
        <f>'Planzahlen Rentabilität'!FI56*$D$9</f>
        <v>8654.9074166666633</v>
      </c>
      <c r="FJ41" s="1223">
        <f ca="1">'Planzahlen Rentabilität'!FJ56*$D$8</f>
        <v>152.69999999999999</v>
      </c>
      <c r="FK41" s="1223">
        <f ca="1">FJ41-FI41</f>
        <v>-8502.2074166666625</v>
      </c>
      <c r="FL41" s="1224"/>
      <c r="FM41" s="1224"/>
      <c r="FN41" s="1225"/>
      <c r="FO41" s="1222">
        <f t="shared" ref="FO41:FQ44" ca="1" si="76">FA41+FH41</f>
        <v>-4549.8839999999973</v>
      </c>
      <c r="FP41" s="1222">
        <f t="shared" si="76"/>
        <v>76662.340000000011</v>
      </c>
      <c r="FQ41" s="1223">
        <f t="shared" ca="1" si="76"/>
        <v>-3124.8839999999987</v>
      </c>
      <c r="FR41" s="1223">
        <f ca="1">FQ41-FP41</f>
        <v>-79787.224000000017</v>
      </c>
      <c r="FS41" s="1226"/>
      <c r="FT41" s="1226"/>
      <c r="FU41" s="1225"/>
      <c r="FV41" s="1227"/>
      <c r="FW41" s="1223"/>
    </row>
    <row r="42" spans="1:179" s="883" customFormat="1" ht="13.5" customHeight="1" x14ac:dyDescent="0.2">
      <c r="A42" s="1228"/>
      <c r="B42" s="1228" t="s">
        <v>806</v>
      </c>
      <c r="C42" s="1229">
        <f t="shared" ca="1" si="64"/>
        <v>0</v>
      </c>
      <c r="D42" s="1229">
        <f t="shared" si="64"/>
        <v>-76662.340000000011</v>
      </c>
      <c r="E42" s="1230">
        <f t="shared" ca="1" si="64"/>
        <v>0</v>
      </c>
      <c r="F42" s="1230">
        <f ca="1">E42-D42</f>
        <v>76662.340000000011</v>
      </c>
      <c r="G42" s="1165"/>
      <c r="H42" s="1165"/>
      <c r="I42" s="1231"/>
      <c r="J42" s="1229">
        <f ca="1">-'Planzahlen Rentabilität'!J57</f>
        <v>0</v>
      </c>
      <c r="K42" s="1229">
        <f>-'Planzahlen Rentabilität'!K57</f>
        <v>1228.1278333333341</v>
      </c>
      <c r="L42" s="1230">
        <f ca="1">-'Planzahlen Rentabilität'!L57</f>
        <v>0</v>
      </c>
      <c r="M42" s="1230">
        <f ca="1">L42-K42</f>
        <v>-1228.1278333333341</v>
      </c>
      <c r="N42" s="1232"/>
      <c r="O42" s="1232"/>
      <c r="P42" s="1231"/>
      <c r="Q42" s="1229">
        <f t="shared" ca="1" si="65"/>
        <v>0</v>
      </c>
      <c r="R42" s="1229">
        <f t="shared" si="65"/>
        <v>1228.1278333333341</v>
      </c>
      <c r="S42" s="1230">
        <f t="shared" ca="1" si="65"/>
        <v>0</v>
      </c>
      <c r="T42" s="1230">
        <f ca="1">S42-R42</f>
        <v>-1228.1278333333341</v>
      </c>
      <c r="U42" s="1232"/>
      <c r="V42" s="1232"/>
      <c r="W42" s="1231"/>
      <c r="X42" s="1229">
        <f ca="1">-'Planzahlen Rentabilität'!X57</f>
        <v>-93</v>
      </c>
      <c r="Y42" s="1229">
        <f>-'Planzahlen Rentabilität'!Y57</f>
        <v>-4956.5881666666683</v>
      </c>
      <c r="Z42" s="1230">
        <f ca="1">-'Planzahlen Rentabilität'!Z57</f>
        <v>-93</v>
      </c>
      <c r="AA42" s="1230">
        <f ca="1">Z42-Y42</f>
        <v>4863.5881666666683</v>
      </c>
      <c r="AB42" s="1232"/>
      <c r="AC42" s="1232"/>
      <c r="AD42" s="1231"/>
      <c r="AE42" s="1229">
        <f t="shared" ca="1" si="66"/>
        <v>-93</v>
      </c>
      <c r="AF42" s="1229">
        <f t="shared" si="66"/>
        <v>-3728.4603333333343</v>
      </c>
      <c r="AG42" s="1230">
        <f t="shared" ca="1" si="66"/>
        <v>-93</v>
      </c>
      <c r="AH42" s="1230">
        <f ca="1">AG42-AF42</f>
        <v>3635.4603333333343</v>
      </c>
      <c r="AI42" s="1232"/>
      <c r="AJ42" s="1232"/>
      <c r="AK42" s="1231"/>
      <c r="AL42" s="1229">
        <f>-'Planzahlen Rentabilität'!AL57</f>
        <v>0</v>
      </c>
      <c r="AM42" s="1229">
        <f>-'Planzahlen Rentabilität'!AM57</f>
        <v>-11141.304166666669</v>
      </c>
      <c r="AN42" s="1230">
        <f>-'Planzahlen Rentabilität'!AN57</f>
        <v>0</v>
      </c>
      <c r="AO42" s="1230">
        <f>AN42-AM42</f>
        <v>11141.304166666669</v>
      </c>
      <c r="AP42" s="1231"/>
      <c r="AQ42" s="1231"/>
      <c r="AR42" s="1232"/>
      <c r="AS42" s="1229">
        <f t="shared" ca="1" si="67"/>
        <v>-93</v>
      </c>
      <c r="AT42" s="1229">
        <f t="shared" si="67"/>
        <v>-14869.764500000003</v>
      </c>
      <c r="AU42" s="1230">
        <f t="shared" ca="1" si="67"/>
        <v>-93</v>
      </c>
      <c r="AV42" s="1230">
        <f ca="1">AU42-AT42</f>
        <v>14776.764500000003</v>
      </c>
      <c r="AW42" s="1231"/>
      <c r="AX42" s="1231"/>
      <c r="AY42" s="1232"/>
      <c r="AZ42" s="1229">
        <f ca="1">-'Planzahlen Rentabilität'!AZ57</f>
        <v>0</v>
      </c>
      <c r="BA42" s="1229">
        <f>-'Planzahlen Rentabilität'!BA57</f>
        <v>-1864.2301666666683</v>
      </c>
      <c r="BB42" s="1230">
        <f ca="1">-'Planzahlen Rentabilität'!BB57</f>
        <v>0</v>
      </c>
      <c r="BC42" s="1230">
        <f ca="1">BB42-BA42</f>
        <v>1864.2301666666683</v>
      </c>
      <c r="BD42" s="1232"/>
      <c r="BE42" s="1232"/>
      <c r="BF42" s="1231"/>
      <c r="BG42" s="1229">
        <f t="shared" ca="1" si="68"/>
        <v>-93</v>
      </c>
      <c r="BH42" s="1229">
        <f t="shared" si="68"/>
        <v>-16733.994666666673</v>
      </c>
      <c r="BI42" s="1230">
        <f t="shared" ca="1" si="68"/>
        <v>-93</v>
      </c>
      <c r="BJ42" s="1230">
        <f ca="1">BI42-BH42</f>
        <v>16640.994666666673</v>
      </c>
      <c r="BK42" s="1227"/>
      <c r="BL42" s="1227"/>
      <c r="BM42" s="1231"/>
      <c r="BN42" s="1229">
        <f ca="1">-'Planzahlen Rentabilität'!BN57</f>
        <v>-5416.5</v>
      </c>
      <c r="BO42" s="1229">
        <f>-'Planzahlen Rentabilität'!BO57</f>
        <v>-3804.0694166666681</v>
      </c>
      <c r="BP42" s="1230">
        <f ca="1">-'Planzahlen Rentabilität'!BP57</f>
        <v>-5416.5</v>
      </c>
      <c r="BQ42" s="1230">
        <f ca="1">BP42-BO42</f>
        <v>-1612.4305833333319</v>
      </c>
      <c r="BR42" s="1231"/>
      <c r="BS42" s="1231"/>
      <c r="BT42" s="1232"/>
      <c r="BU42" s="1229">
        <f t="shared" ca="1" si="69"/>
        <v>-5509.5</v>
      </c>
      <c r="BV42" s="1229">
        <f t="shared" si="69"/>
        <v>-20538.064083333342</v>
      </c>
      <c r="BW42" s="1230">
        <f t="shared" ca="1" si="69"/>
        <v>-5509.5</v>
      </c>
      <c r="BX42" s="1230">
        <f ca="1">BW42-BV42</f>
        <v>15028.564083333342</v>
      </c>
      <c r="BY42" s="1231"/>
      <c r="BZ42" s="1231"/>
      <c r="CA42" s="1232"/>
      <c r="CB42" s="1229">
        <f>-'Planzahlen Rentabilität'!CB57</f>
        <v>0</v>
      </c>
      <c r="CC42" s="1229">
        <f>-'Planzahlen Rentabilität'!CC57</f>
        <v>-6424.8694166666673</v>
      </c>
      <c r="CD42" s="1230">
        <f>-'Planzahlen Rentabilität'!CD57</f>
        <v>0</v>
      </c>
      <c r="CE42" s="1230">
        <f>CD42-CC42</f>
        <v>6424.8694166666673</v>
      </c>
      <c r="CF42" s="1232"/>
      <c r="CG42" s="1232"/>
      <c r="CH42" s="1231"/>
      <c r="CI42" s="1229">
        <f t="shared" ca="1" si="70"/>
        <v>-5509.5</v>
      </c>
      <c r="CJ42" s="1229">
        <f t="shared" si="70"/>
        <v>-26962.93350000001</v>
      </c>
      <c r="CK42" s="1230">
        <f t="shared" ca="1" si="70"/>
        <v>-5509.5</v>
      </c>
      <c r="CL42" s="1230">
        <f ca="1">CK42-CJ42</f>
        <v>21453.43350000001</v>
      </c>
      <c r="CM42" s="1232"/>
      <c r="CN42" s="1232"/>
      <c r="CO42" s="1231"/>
      <c r="CP42" s="1229">
        <f ca="1">-'Planzahlen Rentabilität'!CP57</f>
        <v>0</v>
      </c>
      <c r="CQ42" s="1229">
        <f>-'Planzahlen Rentabilität'!CQ57</f>
        <v>-6424.8694166666673</v>
      </c>
      <c r="CR42" s="1230">
        <f ca="1">-'Planzahlen Rentabilität'!CR57</f>
        <v>0</v>
      </c>
      <c r="CS42" s="1230">
        <f ca="1">CR42-CQ42</f>
        <v>6424.8694166666673</v>
      </c>
      <c r="CT42" s="1231"/>
      <c r="CU42" s="1231"/>
      <c r="CV42" s="1227"/>
      <c r="CW42" s="1229">
        <f t="shared" ca="1" si="71"/>
        <v>-5509.5</v>
      </c>
      <c r="CX42" s="1229">
        <f t="shared" si="71"/>
        <v>-33387.802916666675</v>
      </c>
      <c r="CY42" s="1230">
        <f t="shared" ca="1" si="71"/>
        <v>-5509.5</v>
      </c>
      <c r="CZ42" s="1230">
        <f ca="1">CY42-CX42</f>
        <v>27878.302916666675</v>
      </c>
      <c r="DA42" s="1231"/>
      <c r="DB42" s="1231"/>
      <c r="DC42" s="1232"/>
      <c r="DD42" s="1229">
        <f ca="1">-'Planzahlen Rentabilität'!DD57</f>
        <v>0</v>
      </c>
      <c r="DE42" s="1229">
        <f>-'Planzahlen Rentabilität'!DE57</f>
        <v>-2470.1914166666679</v>
      </c>
      <c r="DF42" s="1230">
        <f ca="1">-'Planzahlen Rentabilität'!DF57</f>
        <v>0</v>
      </c>
      <c r="DG42" s="1230">
        <f ca="1">DF42-DE42</f>
        <v>2470.1914166666679</v>
      </c>
      <c r="DH42" s="1232"/>
      <c r="DI42" s="1232"/>
      <c r="DJ42" s="1231"/>
      <c r="DK42" s="1229">
        <f t="shared" ca="1" si="72"/>
        <v>-5509.5</v>
      </c>
      <c r="DL42" s="1229">
        <f t="shared" si="72"/>
        <v>-35857.994333333343</v>
      </c>
      <c r="DM42" s="1230">
        <f t="shared" ca="1" si="72"/>
        <v>-5509.5</v>
      </c>
      <c r="DN42" s="1230">
        <f ca="1">DM42-DL42</f>
        <v>30348.494333333343</v>
      </c>
      <c r="DO42" s="1232"/>
      <c r="DP42" s="1232"/>
      <c r="DQ42" s="1231"/>
      <c r="DR42" s="1229">
        <f ca="1">-'Planzahlen Rentabilität'!DR57</f>
        <v>0</v>
      </c>
      <c r="DS42" s="1229">
        <f>-'Planzahlen Rentabilität'!DS57</f>
        <v>-11747.265416666669</v>
      </c>
      <c r="DT42" s="1230">
        <f ca="1">-'Planzahlen Rentabilität'!DT57</f>
        <v>0</v>
      </c>
      <c r="DU42" s="1230">
        <f ca="1">DT42-DS42</f>
        <v>11747.265416666669</v>
      </c>
      <c r="DV42" s="1231"/>
      <c r="DW42" s="1231"/>
      <c r="DX42" s="1232"/>
      <c r="DY42" s="1229">
        <f t="shared" ca="1" si="73"/>
        <v>-5509.5</v>
      </c>
      <c r="DZ42" s="1229">
        <f t="shared" si="73"/>
        <v>-47605.259750000012</v>
      </c>
      <c r="EA42" s="1230">
        <f t="shared" ca="1" si="73"/>
        <v>-5509.5</v>
      </c>
      <c r="EB42" s="1230">
        <f ca="1">EA42-DZ42</f>
        <v>42095.759750000012</v>
      </c>
      <c r="EC42" s="1231"/>
      <c r="ED42" s="1231"/>
      <c r="EE42" s="1232"/>
      <c r="EF42" s="1229">
        <f ca="1">-'Planzahlen Rentabilität'!EF57</f>
        <v>5509.5</v>
      </c>
      <c r="EG42" s="1229">
        <f>-'Planzahlen Rentabilität'!EG57</f>
        <v>-11747.265416666669</v>
      </c>
      <c r="EH42" s="1230">
        <f ca="1">-'Planzahlen Rentabilität'!EH57</f>
        <v>5509.5</v>
      </c>
      <c r="EI42" s="1230">
        <f ca="1">EH42-EG42</f>
        <v>17256.765416666669</v>
      </c>
      <c r="EJ42" s="1232"/>
      <c r="EK42" s="1232"/>
      <c r="EL42" s="1231"/>
      <c r="EM42" s="1229">
        <f t="shared" ca="1" si="74"/>
        <v>0</v>
      </c>
      <c r="EN42" s="1229">
        <f t="shared" si="74"/>
        <v>-59352.525166666681</v>
      </c>
      <c r="EO42" s="1230">
        <f t="shared" ca="1" si="74"/>
        <v>0</v>
      </c>
      <c r="EP42" s="1230">
        <f ca="1">EO42-EN42</f>
        <v>59352.525166666681</v>
      </c>
      <c r="EQ42" s="1232"/>
      <c r="ER42" s="1232"/>
      <c r="ES42" s="1231"/>
      <c r="ET42" s="1229">
        <f ca="1">-'Planzahlen Rentabilität'!ET57</f>
        <v>0</v>
      </c>
      <c r="EU42" s="1229">
        <f>-'Planzahlen Rentabilität'!EU57</f>
        <v>-8654.9074166666633</v>
      </c>
      <c r="EV42" s="1230">
        <f ca="1">-'Planzahlen Rentabilität'!EV57</f>
        <v>0</v>
      </c>
      <c r="EW42" s="1230">
        <f ca="1">EV42-EU42</f>
        <v>8654.9074166666633</v>
      </c>
      <c r="EX42" s="1231"/>
      <c r="EY42" s="1231"/>
      <c r="EZ42" s="1232"/>
      <c r="FA42" s="1229">
        <f t="shared" ca="1" si="75"/>
        <v>0</v>
      </c>
      <c r="FB42" s="1229">
        <f t="shared" si="75"/>
        <v>-68007.432583333342</v>
      </c>
      <c r="FC42" s="1230">
        <f t="shared" ca="1" si="75"/>
        <v>0</v>
      </c>
      <c r="FD42" s="1230">
        <f ca="1">FC42-FB42</f>
        <v>68007.432583333342</v>
      </c>
      <c r="FE42" s="1231"/>
      <c r="FF42" s="1231"/>
      <c r="FG42" s="1232"/>
      <c r="FH42" s="1230">
        <f ca="1">-'Planzahlen Rentabilität'!FH57</f>
        <v>0</v>
      </c>
      <c r="FI42" s="1229">
        <f>-'Planzahlen Rentabilität'!FI57</f>
        <v>-8654.9074166666633</v>
      </c>
      <c r="FJ42" s="1230">
        <f ca="1">-'Planzahlen Rentabilität'!FJ57</f>
        <v>0</v>
      </c>
      <c r="FK42" s="1230">
        <f ca="1">FJ42-FI42</f>
        <v>8654.9074166666633</v>
      </c>
      <c r="FL42" s="1232"/>
      <c r="FM42" s="1232"/>
      <c r="FN42" s="1231"/>
      <c r="FO42" s="1229">
        <f t="shared" ca="1" si="76"/>
        <v>0</v>
      </c>
      <c r="FP42" s="1229">
        <f t="shared" si="76"/>
        <v>-76662.340000000011</v>
      </c>
      <c r="FQ42" s="1230">
        <f t="shared" ca="1" si="76"/>
        <v>0</v>
      </c>
      <c r="FR42" s="1230">
        <f ca="1">FQ42-FP42</f>
        <v>76662.340000000011</v>
      </c>
      <c r="FS42" s="1227"/>
      <c r="FT42" s="1227"/>
      <c r="FU42" s="1231"/>
      <c r="FV42" s="1227"/>
      <c r="FW42" s="1230"/>
    </row>
    <row r="43" spans="1:179" s="883" customFormat="1" ht="13.5" customHeight="1" x14ac:dyDescent="0.2">
      <c r="A43" s="1233"/>
      <c r="B43" s="1233" t="s">
        <v>807</v>
      </c>
      <c r="C43" s="1234">
        <f t="shared" ca="1" si="64"/>
        <v>0</v>
      </c>
      <c r="D43" s="1234">
        <f t="shared" si="64"/>
        <v>0</v>
      </c>
      <c r="E43" s="1223">
        <f t="shared" ca="1" si="64"/>
        <v>0</v>
      </c>
      <c r="F43" s="1223">
        <f ca="1">E43-D43</f>
        <v>0</v>
      </c>
      <c r="G43" s="1232"/>
      <c r="H43" s="1232"/>
      <c r="I43" s="1225"/>
      <c r="J43" s="1234">
        <f ca="1">'Planzahlen Rentabilität'!J51</f>
        <v>0</v>
      </c>
      <c r="K43" s="1234">
        <f>'Planzahlen Rentabilität'!K51</f>
        <v>0</v>
      </c>
      <c r="L43" s="1223">
        <f ca="1">'Planzahlen Rentabilität'!L51</f>
        <v>0</v>
      </c>
      <c r="M43" s="1223">
        <f ca="1">L43-K43</f>
        <v>0</v>
      </c>
      <c r="N43" s="1224"/>
      <c r="O43" s="1224"/>
      <c r="P43" s="1225"/>
      <c r="Q43" s="1234">
        <f t="shared" ca="1" si="65"/>
        <v>0</v>
      </c>
      <c r="R43" s="1234">
        <f t="shared" si="65"/>
        <v>0</v>
      </c>
      <c r="S43" s="1223">
        <f t="shared" ca="1" si="65"/>
        <v>0</v>
      </c>
      <c r="T43" s="1223">
        <f ca="1">S43-R43</f>
        <v>0</v>
      </c>
      <c r="U43" s="1224"/>
      <c r="V43" s="1224"/>
      <c r="W43" s="1225"/>
      <c r="X43" s="1234">
        <f ca="1">'Planzahlen Rentabilität'!X51</f>
        <v>0</v>
      </c>
      <c r="Y43" s="1234">
        <f>'Planzahlen Rentabilität'!Y51</f>
        <v>0</v>
      </c>
      <c r="Z43" s="1223">
        <f ca="1">'Planzahlen Rentabilität'!Z51</f>
        <v>0</v>
      </c>
      <c r="AA43" s="1223">
        <f ca="1">Z43-Y43</f>
        <v>0</v>
      </c>
      <c r="AB43" s="1224"/>
      <c r="AC43" s="1224"/>
      <c r="AD43" s="1225"/>
      <c r="AE43" s="1234">
        <f t="shared" ca="1" si="66"/>
        <v>0</v>
      </c>
      <c r="AF43" s="1234">
        <f t="shared" si="66"/>
        <v>0</v>
      </c>
      <c r="AG43" s="1223">
        <f t="shared" ca="1" si="66"/>
        <v>0</v>
      </c>
      <c r="AH43" s="1223">
        <f ca="1">AG43-AF43</f>
        <v>0</v>
      </c>
      <c r="AI43" s="1224"/>
      <c r="AJ43" s="1224"/>
      <c r="AK43" s="1225"/>
      <c r="AL43" s="1234">
        <f ca="1">'Planzahlen Rentabilität'!AL51</f>
        <v>0</v>
      </c>
      <c r="AM43" s="1234">
        <f>'Planzahlen Rentabilität'!AM51</f>
        <v>0</v>
      </c>
      <c r="AN43" s="1223">
        <f ca="1">'Planzahlen Rentabilität'!AN51</f>
        <v>0</v>
      </c>
      <c r="AO43" s="1223">
        <f ca="1">AN43-AM43</f>
        <v>0</v>
      </c>
      <c r="AP43" s="1225"/>
      <c r="AQ43" s="1225"/>
      <c r="AR43" s="1224"/>
      <c r="AS43" s="1234">
        <f t="shared" ca="1" si="67"/>
        <v>0</v>
      </c>
      <c r="AT43" s="1234">
        <f t="shared" si="67"/>
        <v>0</v>
      </c>
      <c r="AU43" s="1223">
        <f t="shared" ca="1" si="67"/>
        <v>0</v>
      </c>
      <c r="AV43" s="1223">
        <f ca="1">AU43-AT43</f>
        <v>0</v>
      </c>
      <c r="AW43" s="1225"/>
      <c r="AX43" s="1225"/>
      <c r="AY43" s="1224"/>
      <c r="AZ43" s="1234">
        <f ca="1">'Planzahlen Rentabilität'!AZ51</f>
        <v>0</v>
      </c>
      <c r="BA43" s="1234">
        <f>'Planzahlen Rentabilität'!BA51</f>
        <v>0</v>
      </c>
      <c r="BB43" s="1223">
        <f ca="1">'Planzahlen Rentabilität'!BB51</f>
        <v>0</v>
      </c>
      <c r="BC43" s="1223">
        <f ca="1">BB43-BA43</f>
        <v>0</v>
      </c>
      <c r="BD43" s="1224"/>
      <c r="BE43" s="1224"/>
      <c r="BF43" s="1225"/>
      <c r="BG43" s="1234">
        <f t="shared" ca="1" si="68"/>
        <v>0</v>
      </c>
      <c r="BH43" s="1234">
        <f t="shared" si="68"/>
        <v>0</v>
      </c>
      <c r="BI43" s="1223">
        <f t="shared" ca="1" si="68"/>
        <v>0</v>
      </c>
      <c r="BJ43" s="1223">
        <f ca="1">BI43-BH43</f>
        <v>0</v>
      </c>
      <c r="BK43" s="1226"/>
      <c r="BL43" s="1226"/>
      <c r="BM43" s="1225"/>
      <c r="BN43" s="1234">
        <f ca="1">'Planzahlen Rentabilität'!BN51</f>
        <v>0</v>
      </c>
      <c r="BO43" s="1234">
        <f>'Planzahlen Rentabilität'!BO51</f>
        <v>0</v>
      </c>
      <c r="BP43" s="1223">
        <f ca="1">'Planzahlen Rentabilität'!BP51</f>
        <v>0</v>
      </c>
      <c r="BQ43" s="1223">
        <f ca="1">BP43-BO43</f>
        <v>0</v>
      </c>
      <c r="BR43" s="1225"/>
      <c r="BS43" s="1225"/>
      <c r="BT43" s="1224"/>
      <c r="BU43" s="1234">
        <f t="shared" ca="1" si="69"/>
        <v>0</v>
      </c>
      <c r="BV43" s="1234">
        <f t="shared" si="69"/>
        <v>0</v>
      </c>
      <c r="BW43" s="1223">
        <f t="shared" ca="1" si="69"/>
        <v>0</v>
      </c>
      <c r="BX43" s="1223">
        <f ca="1">BW43-BV43</f>
        <v>0</v>
      </c>
      <c r="BY43" s="1225"/>
      <c r="BZ43" s="1225"/>
      <c r="CA43" s="1224"/>
      <c r="CB43" s="1234">
        <f>'Planzahlen Rentabilität'!CB51</f>
        <v>0</v>
      </c>
      <c r="CC43" s="1234">
        <f>'Planzahlen Rentabilität'!CC51</f>
        <v>0</v>
      </c>
      <c r="CD43" s="1223">
        <f>'Planzahlen Rentabilität'!CD51</f>
        <v>0</v>
      </c>
      <c r="CE43" s="1223">
        <f>CD43-CC43</f>
        <v>0</v>
      </c>
      <c r="CF43" s="1224"/>
      <c r="CG43" s="1224"/>
      <c r="CH43" s="1225"/>
      <c r="CI43" s="1234">
        <f t="shared" ca="1" si="70"/>
        <v>0</v>
      </c>
      <c r="CJ43" s="1234">
        <f t="shared" si="70"/>
        <v>0</v>
      </c>
      <c r="CK43" s="1223">
        <f t="shared" ca="1" si="70"/>
        <v>0</v>
      </c>
      <c r="CL43" s="1223">
        <f ca="1">CK43-CJ43</f>
        <v>0</v>
      </c>
      <c r="CM43" s="1224"/>
      <c r="CN43" s="1224"/>
      <c r="CO43" s="1225"/>
      <c r="CP43" s="1234">
        <f ca="1">'Planzahlen Rentabilität'!CP51</f>
        <v>0</v>
      </c>
      <c r="CQ43" s="1234">
        <f>'Planzahlen Rentabilität'!CQ51</f>
        <v>0</v>
      </c>
      <c r="CR43" s="1223">
        <f ca="1">'Planzahlen Rentabilität'!CR51</f>
        <v>0</v>
      </c>
      <c r="CS43" s="1223">
        <f ca="1">CR43-CQ43</f>
        <v>0</v>
      </c>
      <c r="CT43" s="1225"/>
      <c r="CU43" s="1225"/>
      <c r="CV43" s="1226"/>
      <c r="CW43" s="1234">
        <f t="shared" ca="1" si="71"/>
        <v>0</v>
      </c>
      <c r="CX43" s="1234">
        <f t="shared" si="71"/>
        <v>0</v>
      </c>
      <c r="CY43" s="1223">
        <f t="shared" ca="1" si="71"/>
        <v>0</v>
      </c>
      <c r="CZ43" s="1223">
        <f ca="1">CY43-CX43</f>
        <v>0</v>
      </c>
      <c r="DA43" s="1225"/>
      <c r="DB43" s="1225"/>
      <c r="DC43" s="1224"/>
      <c r="DD43" s="1234">
        <f ca="1">'Planzahlen Rentabilität'!DD51</f>
        <v>0</v>
      </c>
      <c r="DE43" s="1234">
        <f>'Planzahlen Rentabilität'!DE51</f>
        <v>0</v>
      </c>
      <c r="DF43" s="1223">
        <f ca="1">'Planzahlen Rentabilität'!DF51</f>
        <v>0</v>
      </c>
      <c r="DG43" s="1223">
        <f ca="1">DF43-DE43</f>
        <v>0</v>
      </c>
      <c r="DH43" s="1224"/>
      <c r="DI43" s="1224"/>
      <c r="DJ43" s="1225"/>
      <c r="DK43" s="1234">
        <f t="shared" ca="1" si="72"/>
        <v>0</v>
      </c>
      <c r="DL43" s="1234">
        <f t="shared" si="72"/>
        <v>0</v>
      </c>
      <c r="DM43" s="1223">
        <f t="shared" ca="1" si="72"/>
        <v>0</v>
      </c>
      <c r="DN43" s="1223">
        <f ca="1">DM43-DL43</f>
        <v>0</v>
      </c>
      <c r="DO43" s="1224"/>
      <c r="DP43" s="1224"/>
      <c r="DQ43" s="1225"/>
      <c r="DR43" s="1234">
        <f ca="1">'Planzahlen Rentabilität'!DR51</f>
        <v>0</v>
      </c>
      <c r="DS43" s="1234">
        <f>'Planzahlen Rentabilität'!DS51</f>
        <v>0</v>
      </c>
      <c r="DT43" s="1223">
        <f ca="1">'Planzahlen Rentabilität'!DT51</f>
        <v>0</v>
      </c>
      <c r="DU43" s="1223">
        <f ca="1">DT43-DS43</f>
        <v>0</v>
      </c>
      <c r="DV43" s="1225"/>
      <c r="DW43" s="1225"/>
      <c r="DX43" s="1224"/>
      <c r="DY43" s="1234">
        <f t="shared" ca="1" si="73"/>
        <v>0</v>
      </c>
      <c r="DZ43" s="1234">
        <f t="shared" si="73"/>
        <v>0</v>
      </c>
      <c r="EA43" s="1223">
        <f t="shared" ca="1" si="73"/>
        <v>0</v>
      </c>
      <c r="EB43" s="1223">
        <f ca="1">EA43-DZ43</f>
        <v>0</v>
      </c>
      <c r="EC43" s="1225"/>
      <c r="ED43" s="1225"/>
      <c r="EE43" s="1224"/>
      <c r="EF43" s="1234">
        <f ca="1">'Planzahlen Rentabilität'!EF51</f>
        <v>0</v>
      </c>
      <c r="EG43" s="1234">
        <f>'Planzahlen Rentabilität'!EG51</f>
        <v>0</v>
      </c>
      <c r="EH43" s="1223">
        <f ca="1">'Planzahlen Rentabilität'!EH51</f>
        <v>0</v>
      </c>
      <c r="EI43" s="1223">
        <f ca="1">EH43-EG43</f>
        <v>0</v>
      </c>
      <c r="EJ43" s="1224"/>
      <c r="EK43" s="1224"/>
      <c r="EL43" s="1225"/>
      <c r="EM43" s="1234">
        <f t="shared" ca="1" si="74"/>
        <v>0</v>
      </c>
      <c r="EN43" s="1234">
        <f t="shared" si="74"/>
        <v>0</v>
      </c>
      <c r="EO43" s="1223">
        <f t="shared" ca="1" si="74"/>
        <v>0</v>
      </c>
      <c r="EP43" s="1223">
        <f ca="1">EO43-EN43</f>
        <v>0</v>
      </c>
      <c r="EQ43" s="1224"/>
      <c r="ER43" s="1224"/>
      <c r="ES43" s="1225"/>
      <c r="ET43" s="1234">
        <f ca="1">'Planzahlen Rentabilität'!ET51</f>
        <v>0</v>
      </c>
      <c r="EU43" s="1234">
        <f>'Planzahlen Rentabilität'!EU51</f>
        <v>0</v>
      </c>
      <c r="EV43" s="1223">
        <f ca="1">'Planzahlen Rentabilität'!EV51</f>
        <v>0</v>
      </c>
      <c r="EW43" s="1223">
        <f ca="1">EV43-EU43</f>
        <v>0</v>
      </c>
      <c r="EX43" s="1225"/>
      <c r="EY43" s="1225"/>
      <c r="EZ43" s="1224"/>
      <c r="FA43" s="1234">
        <f t="shared" ca="1" si="75"/>
        <v>0</v>
      </c>
      <c r="FB43" s="1234">
        <f t="shared" si="75"/>
        <v>0</v>
      </c>
      <c r="FC43" s="1223">
        <f t="shared" ca="1" si="75"/>
        <v>0</v>
      </c>
      <c r="FD43" s="1223">
        <f ca="1">FC43-FB43</f>
        <v>0</v>
      </c>
      <c r="FE43" s="1225"/>
      <c r="FF43" s="1225"/>
      <c r="FG43" s="1224"/>
      <c r="FH43" s="1223">
        <f ca="1">'Planzahlen Rentabilität'!FH51</f>
        <v>0</v>
      </c>
      <c r="FI43" s="1234">
        <f>'Planzahlen Rentabilität'!FI51</f>
        <v>0</v>
      </c>
      <c r="FJ43" s="1223">
        <f ca="1">'Planzahlen Rentabilität'!FJ51</f>
        <v>0</v>
      </c>
      <c r="FK43" s="1223">
        <f ca="1">FJ43-FI43</f>
        <v>0</v>
      </c>
      <c r="FL43" s="1224"/>
      <c r="FM43" s="1224"/>
      <c r="FN43" s="1225"/>
      <c r="FO43" s="1234">
        <f t="shared" ca="1" si="76"/>
        <v>0</v>
      </c>
      <c r="FP43" s="1234">
        <f t="shared" si="76"/>
        <v>0</v>
      </c>
      <c r="FQ43" s="1223">
        <f t="shared" ca="1" si="76"/>
        <v>0</v>
      </c>
      <c r="FR43" s="1223">
        <f ca="1">FQ43-FP43</f>
        <v>0</v>
      </c>
      <c r="FS43" s="1226"/>
      <c r="FT43" s="1226"/>
      <c r="FU43" s="1225"/>
      <c r="FV43" s="1231"/>
      <c r="FW43" s="1225"/>
    </row>
    <row r="44" spans="1:179" s="883" customFormat="1" ht="13.5" customHeight="1" x14ac:dyDescent="0.2">
      <c r="A44" s="1228"/>
      <c r="B44" s="1228" t="s">
        <v>808</v>
      </c>
      <c r="C44" s="1235">
        <f t="shared" ca="1" si="64"/>
        <v>0</v>
      </c>
      <c r="D44" s="1235">
        <f t="shared" si="64"/>
        <v>0</v>
      </c>
      <c r="E44" s="1230">
        <f t="shared" ca="1" si="64"/>
        <v>0</v>
      </c>
      <c r="F44" s="1230">
        <f ca="1">E44-D44</f>
        <v>0</v>
      </c>
      <c r="G44" s="1165"/>
      <c r="H44" s="1165"/>
      <c r="I44" s="1210"/>
      <c r="J44" s="1235">
        <f ca="1">-'Planzahlen Rentabilität'!J53</f>
        <v>0</v>
      </c>
      <c r="K44" s="1235">
        <f>-'Planzahlen Rentabilität'!K53</f>
        <v>0</v>
      </c>
      <c r="L44" s="1230">
        <f ca="1">-'Planzahlen Rentabilität'!L53</f>
        <v>0</v>
      </c>
      <c r="M44" s="1230">
        <f ca="1">L44-K44</f>
        <v>0</v>
      </c>
      <c r="N44" s="1165"/>
      <c r="O44" s="1165"/>
      <c r="P44" s="1210"/>
      <c r="Q44" s="1235">
        <f t="shared" ca="1" si="65"/>
        <v>0</v>
      </c>
      <c r="R44" s="1235">
        <f t="shared" si="65"/>
        <v>0</v>
      </c>
      <c r="S44" s="1230">
        <f t="shared" ca="1" si="65"/>
        <v>0</v>
      </c>
      <c r="T44" s="1230">
        <f ca="1">S44-R44</f>
        <v>0</v>
      </c>
      <c r="U44" s="1165"/>
      <c r="V44" s="1165"/>
      <c r="W44" s="1210"/>
      <c r="X44" s="1235">
        <f ca="1">-'Planzahlen Rentabilität'!X53</f>
        <v>0</v>
      </c>
      <c r="Y44" s="1235">
        <f>-'Planzahlen Rentabilität'!Y53</f>
        <v>0</v>
      </c>
      <c r="Z44" s="1230">
        <f ca="1">-'Planzahlen Rentabilität'!Z53</f>
        <v>0</v>
      </c>
      <c r="AA44" s="1230">
        <f ca="1">Z44-Y44</f>
        <v>0</v>
      </c>
      <c r="AB44" s="1165"/>
      <c r="AC44" s="1165"/>
      <c r="AD44" s="1210"/>
      <c r="AE44" s="1235">
        <f t="shared" ca="1" si="66"/>
        <v>0</v>
      </c>
      <c r="AF44" s="1235">
        <f t="shared" si="66"/>
        <v>0</v>
      </c>
      <c r="AG44" s="1230">
        <f t="shared" ca="1" si="66"/>
        <v>0</v>
      </c>
      <c r="AH44" s="1230">
        <f ca="1">AG44-AF44</f>
        <v>0</v>
      </c>
      <c r="AI44" s="1165"/>
      <c r="AJ44" s="1165"/>
      <c r="AK44" s="1210"/>
      <c r="AL44" s="1235">
        <f ca="1">-'Planzahlen Rentabilität'!AL53</f>
        <v>0</v>
      </c>
      <c r="AM44" s="1235">
        <f>-'Planzahlen Rentabilität'!AM53</f>
        <v>0</v>
      </c>
      <c r="AN44" s="1230">
        <f ca="1">-'Planzahlen Rentabilität'!AN53</f>
        <v>0</v>
      </c>
      <c r="AO44" s="1230">
        <f ca="1">AN44-AM44</f>
        <v>0</v>
      </c>
      <c r="AP44" s="1210"/>
      <c r="AQ44" s="1210"/>
      <c r="AR44" s="1165"/>
      <c r="AS44" s="1235">
        <f t="shared" ca="1" si="67"/>
        <v>0</v>
      </c>
      <c r="AT44" s="1235">
        <f t="shared" si="67"/>
        <v>0</v>
      </c>
      <c r="AU44" s="1230">
        <f t="shared" ca="1" si="67"/>
        <v>0</v>
      </c>
      <c r="AV44" s="1230">
        <f ca="1">AU44-AT44</f>
        <v>0</v>
      </c>
      <c r="AW44" s="1210"/>
      <c r="AX44" s="1210"/>
      <c r="AY44" s="1165"/>
      <c r="AZ44" s="1235">
        <f ca="1">-'Planzahlen Rentabilität'!AZ53</f>
        <v>0</v>
      </c>
      <c r="BA44" s="1235">
        <f>-'Planzahlen Rentabilität'!BA53</f>
        <v>0</v>
      </c>
      <c r="BB44" s="1230">
        <f ca="1">-'Planzahlen Rentabilität'!BB53</f>
        <v>0</v>
      </c>
      <c r="BC44" s="1230">
        <f ca="1">BB44-BA44</f>
        <v>0</v>
      </c>
      <c r="BD44" s="1165"/>
      <c r="BE44" s="1165"/>
      <c r="BF44" s="1210"/>
      <c r="BG44" s="1235">
        <f t="shared" ca="1" si="68"/>
        <v>0</v>
      </c>
      <c r="BH44" s="1235">
        <f t="shared" si="68"/>
        <v>0</v>
      </c>
      <c r="BI44" s="1230">
        <f t="shared" ca="1" si="68"/>
        <v>0</v>
      </c>
      <c r="BJ44" s="1230">
        <f ca="1">BI44-BH44</f>
        <v>0</v>
      </c>
      <c r="BK44" s="1236"/>
      <c r="BL44" s="1236"/>
      <c r="BM44" s="1210"/>
      <c r="BN44" s="1235">
        <f ca="1">-'Planzahlen Rentabilität'!BN53</f>
        <v>0</v>
      </c>
      <c r="BO44" s="1235">
        <f>-'Planzahlen Rentabilität'!BO53</f>
        <v>0</v>
      </c>
      <c r="BP44" s="1230">
        <f ca="1">-'Planzahlen Rentabilität'!BP53</f>
        <v>0</v>
      </c>
      <c r="BQ44" s="1230">
        <f ca="1">BP44-BO44</f>
        <v>0</v>
      </c>
      <c r="BR44" s="1210"/>
      <c r="BS44" s="1210"/>
      <c r="BT44" s="1165"/>
      <c r="BU44" s="1235">
        <f t="shared" ca="1" si="69"/>
        <v>0</v>
      </c>
      <c r="BV44" s="1235">
        <f t="shared" si="69"/>
        <v>0</v>
      </c>
      <c r="BW44" s="1230">
        <f t="shared" ca="1" si="69"/>
        <v>0</v>
      </c>
      <c r="BX44" s="1230">
        <f ca="1">BW44-BV44</f>
        <v>0</v>
      </c>
      <c r="BY44" s="1210"/>
      <c r="BZ44" s="1210"/>
      <c r="CA44" s="1165"/>
      <c r="CB44" s="1235">
        <f ca="1">-'Planzahlen Rentabilität'!CB53</f>
        <v>0</v>
      </c>
      <c r="CC44" s="1235">
        <f>-'Planzahlen Rentabilität'!CC53</f>
        <v>0</v>
      </c>
      <c r="CD44" s="1230">
        <f ca="1">-'Planzahlen Rentabilität'!CD53</f>
        <v>0</v>
      </c>
      <c r="CE44" s="1230">
        <f ca="1">CD44-CC44</f>
        <v>0</v>
      </c>
      <c r="CF44" s="1165"/>
      <c r="CG44" s="1165"/>
      <c r="CH44" s="1210"/>
      <c r="CI44" s="1235">
        <f t="shared" ca="1" si="70"/>
        <v>0</v>
      </c>
      <c r="CJ44" s="1235">
        <f t="shared" si="70"/>
        <v>0</v>
      </c>
      <c r="CK44" s="1230">
        <f t="shared" ca="1" si="70"/>
        <v>0</v>
      </c>
      <c r="CL44" s="1230">
        <f ca="1">CK44-CJ44</f>
        <v>0</v>
      </c>
      <c r="CM44" s="1165"/>
      <c r="CN44" s="1165"/>
      <c r="CO44" s="1210"/>
      <c r="CP44" s="1235">
        <f ca="1">-'Planzahlen Rentabilität'!CP53</f>
        <v>0</v>
      </c>
      <c r="CQ44" s="1235">
        <f>-'Planzahlen Rentabilität'!CQ53</f>
        <v>0</v>
      </c>
      <c r="CR44" s="1230">
        <f ca="1">-'Planzahlen Rentabilität'!CR53</f>
        <v>0</v>
      </c>
      <c r="CS44" s="1230">
        <f ca="1">CR44-CQ44</f>
        <v>0</v>
      </c>
      <c r="CT44" s="1210"/>
      <c r="CU44" s="1210"/>
      <c r="CV44" s="1236"/>
      <c r="CW44" s="1235">
        <f t="shared" ca="1" si="71"/>
        <v>0</v>
      </c>
      <c r="CX44" s="1235">
        <f t="shared" si="71"/>
        <v>0</v>
      </c>
      <c r="CY44" s="1230">
        <f t="shared" ca="1" si="71"/>
        <v>0</v>
      </c>
      <c r="CZ44" s="1230">
        <f ca="1">CY44-CX44</f>
        <v>0</v>
      </c>
      <c r="DA44" s="1210"/>
      <c r="DB44" s="1210"/>
      <c r="DC44" s="1165"/>
      <c r="DD44" s="1235">
        <f ca="1">-'Planzahlen Rentabilität'!DD53</f>
        <v>0</v>
      </c>
      <c r="DE44" s="1235">
        <f>-'Planzahlen Rentabilität'!DE53</f>
        <v>0</v>
      </c>
      <c r="DF44" s="1230">
        <f ca="1">-'Planzahlen Rentabilität'!DF53</f>
        <v>0</v>
      </c>
      <c r="DG44" s="1230">
        <f ca="1">DF44-DE44</f>
        <v>0</v>
      </c>
      <c r="DH44" s="1165"/>
      <c r="DI44" s="1165"/>
      <c r="DJ44" s="1210"/>
      <c r="DK44" s="1235">
        <f t="shared" ca="1" si="72"/>
        <v>0</v>
      </c>
      <c r="DL44" s="1235">
        <f t="shared" si="72"/>
        <v>0</v>
      </c>
      <c r="DM44" s="1230">
        <f t="shared" ca="1" si="72"/>
        <v>0</v>
      </c>
      <c r="DN44" s="1230">
        <f ca="1">DM44-DL44</f>
        <v>0</v>
      </c>
      <c r="DO44" s="1165"/>
      <c r="DP44" s="1165"/>
      <c r="DQ44" s="1210"/>
      <c r="DR44" s="1235">
        <f ca="1">-'Planzahlen Rentabilität'!DR53</f>
        <v>0</v>
      </c>
      <c r="DS44" s="1235">
        <f>-'Planzahlen Rentabilität'!DS53</f>
        <v>0</v>
      </c>
      <c r="DT44" s="1230">
        <f ca="1">-'Planzahlen Rentabilität'!DT53</f>
        <v>0</v>
      </c>
      <c r="DU44" s="1230">
        <f ca="1">DT44-DS44</f>
        <v>0</v>
      </c>
      <c r="DV44" s="1210"/>
      <c r="DW44" s="1210"/>
      <c r="DX44" s="1165"/>
      <c r="DY44" s="1235">
        <f t="shared" ca="1" si="73"/>
        <v>0</v>
      </c>
      <c r="DZ44" s="1235">
        <f t="shared" si="73"/>
        <v>0</v>
      </c>
      <c r="EA44" s="1230">
        <f t="shared" ca="1" si="73"/>
        <v>0</v>
      </c>
      <c r="EB44" s="1230">
        <f ca="1">EA44-DZ44</f>
        <v>0</v>
      </c>
      <c r="EC44" s="1210"/>
      <c r="ED44" s="1210"/>
      <c r="EE44" s="1165"/>
      <c r="EF44" s="1235">
        <f ca="1">-'Planzahlen Rentabilität'!EF53</f>
        <v>0</v>
      </c>
      <c r="EG44" s="1235">
        <f>-'Planzahlen Rentabilität'!EG53</f>
        <v>0</v>
      </c>
      <c r="EH44" s="1230">
        <f ca="1">-'Planzahlen Rentabilität'!EH53</f>
        <v>0</v>
      </c>
      <c r="EI44" s="1230">
        <f ca="1">EH44-EG44</f>
        <v>0</v>
      </c>
      <c r="EJ44" s="1165"/>
      <c r="EK44" s="1165"/>
      <c r="EL44" s="1210"/>
      <c r="EM44" s="1235">
        <f t="shared" ca="1" si="74"/>
        <v>0</v>
      </c>
      <c r="EN44" s="1235">
        <f t="shared" si="74"/>
        <v>0</v>
      </c>
      <c r="EO44" s="1230">
        <f t="shared" ca="1" si="74"/>
        <v>0</v>
      </c>
      <c r="EP44" s="1230">
        <f ca="1">EO44-EN44</f>
        <v>0</v>
      </c>
      <c r="EQ44" s="1165"/>
      <c r="ER44" s="1165"/>
      <c r="ES44" s="1210"/>
      <c r="ET44" s="1235">
        <f ca="1">-'Planzahlen Rentabilität'!ET53</f>
        <v>0</v>
      </c>
      <c r="EU44" s="1235">
        <f>-'Planzahlen Rentabilität'!EU53</f>
        <v>0</v>
      </c>
      <c r="EV44" s="1230">
        <f ca="1">-'Planzahlen Rentabilität'!EV53</f>
        <v>0</v>
      </c>
      <c r="EW44" s="1230">
        <f ca="1">EV44-EU44</f>
        <v>0</v>
      </c>
      <c r="EX44" s="1210"/>
      <c r="EY44" s="1210"/>
      <c r="EZ44" s="1165"/>
      <c r="FA44" s="1235">
        <f t="shared" ca="1" si="75"/>
        <v>0</v>
      </c>
      <c r="FB44" s="1235">
        <f t="shared" si="75"/>
        <v>0</v>
      </c>
      <c r="FC44" s="1230">
        <f t="shared" ca="1" si="75"/>
        <v>0</v>
      </c>
      <c r="FD44" s="1230">
        <f ca="1">FC44-FB44</f>
        <v>0</v>
      </c>
      <c r="FE44" s="1210"/>
      <c r="FF44" s="1210"/>
      <c r="FG44" s="1165"/>
      <c r="FH44" s="1230">
        <f ca="1">-'Planzahlen Rentabilität'!FH53</f>
        <v>0</v>
      </c>
      <c r="FI44" s="1235">
        <f>-'Planzahlen Rentabilität'!FI53</f>
        <v>0</v>
      </c>
      <c r="FJ44" s="1230">
        <f ca="1">-'Planzahlen Rentabilität'!FJ53</f>
        <v>0</v>
      </c>
      <c r="FK44" s="1230">
        <f ca="1">FJ44-FI44</f>
        <v>0</v>
      </c>
      <c r="FL44" s="1165"/>
      <c r="FM44" s="1165"/>
      <c r="FN44" s="1210"/>
      <c r="FO44" s="1235">
        <f t="shared" ca="1" si="76"/>
        <v>0</v>
      </c>
      <c r="FP44" s="1235">
        <f t="shared" si="76"/>
        <v>0</v>
      </c>
      <c r="FQ44" s="1230">
        <f t="shared" ca="1" si="76"/>
        <v>0</v>
      </c>
      <c r="FR44" s="1230">
        <f ca="1">FQ44-FP44</f>
        <v>0</v>
      </c>
      <c r="FS44" s="1236"/>
      <c r="FT44" s="1236"/>
      <c r="FU44" s="1210"/>
      <c r="FV44" s="1231"/>
      <c r="FW44" s="1210"/>
    </row>
    <row r="45" spans="1:179" s="524" customFormat="1" ht="13.5" customHeight="1" x14ac:dyDescent="0.2">
      <c r="A45" s="1237" t="s">
        <v>809</v>
      </c>
      <c r="B45" s="1238" t="s">
        <v>810</v>
      </c>
      <c r="C45" s="1239">
        <f ca="1">-SUM(C41:C44)</f>
        <v>4549.8839999999973</v>
      </c>
      <c r="D45" s="1239">
        <f>-SUM(D41:D44)</f>
        <v>0</v>
      </c>
      <c r="E45" s="1240">
        <f ca="1">-SUM(E41:E44)</f>
        <v>3124.8839999999987</v>
      </c>
      <c r="F45" s="1239"/>
      <c r="G45" s="1241"/>
      <c r="H45" s="1241"/>
      <c r="I45" s="1242"/>
      <c r="J45" s="1239">
        <f ca="1">-SUM(J41:J44)</f>
        <v>4265.8980000000001</v>
      </c>
      <c r="K45" s="1239">
        <f>-SUM(K41:K44)</f>
        <v>0</v>
      </c>
      <c r="L45" s="1240">
        <f ca="1">-SUM(L41:L44)</f>
        <v>2789.5980000000004</v>
      </c>
      <c r="M45" s="1239"/>
      <c r="N45" s="1243"/>
      <c r="O45" s="1243"/>
      <c r="P45" s="1242"/>
      <c r="Q45" s="1239">
        <f t="shared" ref="Q45:Z45" ca="1" si="77">-SUM(Q41:Q44)</f>
        <v>4265.8980000000001</v>
      </c>
      <c r="R45" s="1239">
        <f t="shared" si="77"/>
        <v>0</v>
      </c>
      <c r="S45" s="1239">
        <f t="shared" ca="1" si="77"/>
        <v>2789.5980000000004</v>
      </c>
      <c r="T45" s="1239"/>
      <c r="U45" s="1243"/>
      <c r="V45" s="1243"/>
      <c r="W45" s="1242"/>
      <c r="X45" s="1239">
        <f t="shared" ca="1" si="77"/>
        <v>1083.2939999999992</v>
      </c>
      <c r="Y45" s="1239">
        <f t="shared" si="77"/>
        <v>0</v>
      </c>
      <c r="Z45" s="1239">
        <f t="shared" ca="1" si="77"/>
        <v>3107.9939999999997</v>
      </c>
      <c r="AA45" s="1239"/>
      <c r="AB45" s="1243"/>
      <c r="AC45" s="1243"/>
      <c r="AD45" s="1242"/>
      <c r="AE45" s="1239">
        <f ca="1">-SUM(AE41:AE44)</f>
        <v>5349.1919999999991</v>
      </c>
      <c r="AF45" s="1239">
        <f>-SUM(AF41:AF44)</f>
        <v>0</v>
      </c>
      <c r="AG45" s="1239">
        <f ca="1">-SUM(AG41:AG44)</f>
        <v>5897.5920000000006</v>
      </c>
      <c r="AH45" s="1239"/>
      <c r="AI45" s="1241"/>
      <c r="AJ45" s="1241"/>
      <c r="AK45" s="1242"/>
      <c r="AL45" s="1239">
        <f ca="1">-SUM(AL41:AL44)</f>
        <v>614.32499999999993</v>
      </c>
      <c r="AM45" s="1239">
        <f>-SUM(AM41:AM44)</f>
        <v>0</v>
      </c>
      <c r="AN45" s="1239">
        <f ca="1">-SUM(AN41:AN44)</f>
        <v>-84.375000000000071</v>
      </c>
      <c r="AO45" s="1244"/>
      <c r="AP45" s="1242"/>
      <c r="AQ45" s="1242"/>
      <c r="AR45" s="1243"/>
      <c r="AS45" s="1239">
        <f ca="1">-SUM(AS41:AS44)</f>
        <v>5963.5169999999989</v>
      </c>
      <c r="AT45" s="1239">
        <f>-SUM(AT41:AT44)</f>
        <v>0</v>
      </c>
      <c r="AU45" s="1239">
        <f ca="1">-SUM(AU41:AU44)</f>
        <v>5813.2170000000006</v>
      </c>
      <c r="AV45" s="1244"/>
      <c r="AW45" s="1242"/>
      <c r="AX45" s="1242"/>
      <c r="AY45" s="1243"/>
      <c r="AZ45" s="1239">
        <f ca="1">-SUM(AZ41:AZ44)</f>
        <v>2926.7340000000008</v>
      </c>
      <c r="BA45" s="1239">
        <f>-SUM(BA41:BA44)</f>
        <v>0</v>
      </c>
      <c r="BB45" s="1239">
        <f ca="1">-SUM(BB41:BB44)</f>
        <v>4547.9340000000002</v>
      </c>
      <c r="BC45" s="1244"/>
      <c r="BD45" s="1241"/>
      <c r="BE45" s="1241"/>
      <c r="BF45" s="1242"/>
      <c r="BG45" s="1239">
        <f ca="1">-SUM(BG41:BG44)</f>
        <v>8890.2510000000002</v>
      </c>
      <c r="BH45" s="1239">
        <f>-SUM(BH41:BH44)</f>
        <v>0</v>
      </c>
      <c r="BI45" s="1239">
        <f ca="1">-SUM(BI41:BI44)</f>
        <v>10361.151000000002</v>
      </c>
      <c r="BJ45" s="1244"/>
      <c r="BK45" s="1245"/>
      <c r="BL45" s="1245"/>
      <c r="BM45" s="1242"/>
      <c r="BN45" s="1239">
        <f ca="1">-SUM(BN41:BN44)</f>
        <v>11767.055999999999</v>
      </c>
      <c r="BO45" s="1239">
        <f>-SUM(BO41:BO44)</f>
        <v>0</v>
      </c>
      <c r="BP45" s="1239">
        <f ca="1">-SUM(BP41:BP44)</f>
        <v>8860.3559999999998</v>
      </c>
      <c r="BQ45" s="1244"/>
      <c r="BR45" s="1242"/>
      <c r="BS45" s="1242"/>
      <c r="BT45" s="1243"/>
      <c r="BU45" s="1239">
        <f ca="1">-SUM(BU41:BU44)</f>
        <v>20657.307000000001</v>
      </c>
      <c r="BV45" s="1239">
        <f>-SUM(BV41:BV44)</f>
        <v>0</v>
      </c>
      <c r="BW45" s="1239">
        <f ca="1">-SUM(BW41:BW44)</f>
        <v>19221.507000000001</v>
      </c>
      <c r="BX45" s="1244"/>
      <c r="BY45" s="1242"/>
      <c r="BZ45" s="1242"/>
      <c r="CA45" s="1243"/>
      <c r="CB45" s="1239">
        <f ca="1">-SUM(CB41:CB44)</f>
        <v>-1333.5810000000001</v>
      </c>
      <c r="CC45" s="1239">
        <f>-SUM(CC41:CC44)</f>
        <v>0</v>
      </c>
      <c r="CD45" s="1239">
        <f ca="1">-SUM(CD41:CD44)</f>
        <v>-44.181000000000004</v>
      </c>
      <c r="CE45" s="1244"/>
      <c r="CF45" s="1241"/>
      <c r="CG45" s="1241"/>
      <c r="CH45" s="1242"/>
      <c r="CI45" s="1239">
        <f ca="1">-SUM(CI41:CI44)</f>
        <v>19323.725999999999</v>
      </c>
      <c r="CJ45" s="1239">
        <f>-SUM(CJ41:CJ44)</f>
        <v>0</v>
      </c>
      <c r="CK45" s="1239">
        <f ca="1">-SUM(CK41:CK44)</f>
        <v>19177.326000000001</v>
      </c>
      <c r="CL45" s="1244"/>
      <c r="CM45" s="1241"/>
      <c r="CN45" s="1241"/>
      <c r="CO45" s="1242"/>
      <c r="CP45" s="1239">
        <f ca="1">-SUM(CP41:CP44)</f>
        <v>-7191.9990000000016</v>
      </c>
      <c r="CQ45" s="1239">
        <f>-SUM(CQ41:CQ44)</f>
        <v>0</v>
      </c>
      <c r="CR45" s="1239">
        <f ca="1">-SUM(CR41:CR44)</f>
        <v>-6669.0990000000011</v>
      </c>
      <c r="CS45" s="1244"/>
      <c r="CT45" s="1242"/>
      <c r="CU45" s="1242"/>
      <c r="CV45" s="1245"/>
      <c r="CW45" s="1239">
        <f ca="1">-SUM(CW41:CW44)</f>
        <v>12131.726999999997</v>
      </c>
      <c r="CX45" s="1239">
        <f>-SUM(CX41:CX44)</f>
        <v>0</v>
      </c>
      <c r="CY45" s="1239">
        <f ca="1">-SUM(CY41:CY44)</f>
        <v>12508.226999999999</v>
      </c>
      <c r="CZ45" s="1244"/>
      <c r="DA45" s="1242"/>
      <c r="DB45" s="1242"/>
      <c r="DC45" s="1243"/>
      <c r="DD45" s="1239">
        <f ca="1">-SUM(DD41:DD44)</f>
        <v>-343.14300000000031</v>
      </c>
      <c r="DE45" s="1239">
        <f>-SUM(DE41:DE44)</f>
        <v>0</v>
      </c>
      <c r="DF45" s="1239">
        <f ca="1">-SUM(DF41:DF44)</f>
        <v>-1965.5430000000003</v>
      </c>
      <c r="DG45" s="1244"/>
      <c r="DH45" s="1241"/>
      <c r="DI45" s="1241"/>
      <c r="DJ45" s="1242"/>
      <c r="DK45" s="1239">
        <f ca="1">-SUM(DK41:DK44)</f>
        <v>11788.583999999997</v>
      </c>
      <c r="DL45" s="1239">
        <f>-SUM(DL41:DL44)</f>
        <v>0</v>
      </c>
      <c r="DM45" s="1239">
        <f ca="1">-SUM(DM41:DM44)</f>
        <v>10542.683999999999</v>
      </c>
      <c r="DN45" s="1244"/>
      <c r="DO45" s="1243"/>
      <c r="DP45" s="1243"/>
      <c r="DQ45" s="1242"/>
      <c r="DR45" s="1239">
        <f ca="1">-SUM(DR41:DR44)</f>
        <v>2213.3609999999994</v>
      </c>
      <c r="DS45" s="1239">
        <f>-SUM(DS41:DS44)</f>
        <v>0</v>
      </c>
      <c r="DT45" s="1239">
        <f ca="1">-SUM(DT41:DT44)</f>
        <v>2213.3609999999994</v>
      </c>
      <c r="DU45" s="1244"/>
      <c r="DV45" s="1242"/>
      <c r="DW45" s="1242"/>
      <c r="DX45" s="1243"/>
      <c r="DY45" s="1239">
        <f ca="1">-SUM(DY41:DY44)</f>
        <v>14001.944999999996</v>
      </c>
      <c r="DZ45" s="1239">
        <f>-SUM(DZ41:DZ44)</f>
        <v>0</v>
      </c>
      <c r="EA45" s="1239">
        <f ca="1">-SUM(EA41:EA44)</f>
        <v>12756.044999999998</v>
      </c>
      <c r="EB45" s="1244"/>
      <c r="EC45" s="1242"/>
      <c r="ED45" s="1242"/>
      <c r="EE45" s="1243"/>
      <c r="EF45" s="1239">
        <f ca="1">-SUM(EF41:EF44)</f>
        <v>-9706.1610000000001</v>
      </c>
      <c r="EG45" s="1239">
        <f>-SUM(EG41:EG44)</f>
        <v>0</v>
      </c>
      <c r="EH45" s="1239">
        <f ca="1">-SUM(EH41:EH44)</f>
        <v>-7332.5609999999997</v>
      </c>
      <c r="EI45" s="1244"/>
      <c r="EJ45" s="1241"/>
      <c r="EK45" s="1241"/>
      <c r="EL45" s="1242"/>
      <c r="EM45" s="1239">
        <f ca="1">-SUM(EM41:EM44)</f>
        <v>4295.7839999999969</v>
      </c>
      <c r="EN45" s="1239">
        <f>-SUM(EN41:EN44)</f>
        <v>0</v>
      </c>
      <c r="EO45" s="1239">
        <f ca="1">-SUM(EO41:EO44)</f>
        <v>5423.4839999999986</v>
      </c>
      <c r="EP45" s="1244"/>
      <c r="EQ45" s="1241"/>
      <c r="ER45" s="1241"/>
      <c r="ES45" s="1242"/>
      <c r="ET45" s="1239">
        <f ca="1">-SUM(ET41:ET44)</f>
        <v>94.8</v>
      </c>
      <c r="EU45" s="1239">
        <f>-SUM(EU41:EU44)</f>
        <v>0</v>
      </c>
      <c r="EV45" s="1239">
        <f ca="1">-SUM(EV41:EV44)</f>
        <v>-2145.9</v>
      </c>
      <c r="EW45" s="1244"/>
      <c r="EX45" s="1242"/>
      <c r="EY45" s="1242"/>
      <c r="EZ45" s="1243"/>
      <c r="FA45" s="1239">
        <f ca="1">-SUM(FA41:FA44)</f>
        <v>4390.5839999999971</v>
      </c>
      <c r="FB45" s="1239">
        <f>-SUM(FB41:FB44)</f>
        <v>0</v>
      </c>
      <c r="FC45" s="1239">
        <f ca="1">-SUM(FC41:FC44)</f>
        <v>3277.5839999999985</v>
      </c>
      <c r="FD45" s="1244"/>
      <c r="FE45" s="1242"/>
      <c r="FF45" s="1242"/>
      <c r="FG45" s="1243"/>
      <c r="FH45" s="1239">
        <f ca="1">-SUM(FH41:FH44)</f>
        <v>159.29999999999998</v>
      </c>
      <c r="FI45" s="1239">
        <f>-SUM(FI41:FI44)</f>
        <v>0</v>
      </c>
      <c r="FJ45" s="1239">
        <f ca="1">-SUM(FJ41:FJ44)</f>
        <v>-152.69999999999999</v>
      </c>
      <c r="FK45" s="1244"/>
      <c r="FL45" s="1241"/>
      <c r="FM45" s="1241"/>
      <c r="FN45" s="1242"/>
      <c r="FO45" s="1239">
        <f ca="1">-SUM(FO41:FO44)</f>
        <v>4549.8839999999973</v>
      </c>
      <c r="FP45" s="1239">
        <f>-SUM(FP41:FP44)</f>
        <v>0</v>
      </c>
      <c r="FQ45" s="1239">
        <f ca="1">-SUM(FQ41:FQ44)</f>
        <v>3124.8839999999987</v>
      </c>
      <c r="FR45" s="1244"/>
      <c r="FS45" s="1245"/>
      <c r="FT45" s="1245"/>
      <c r="FU45" s="1242"/>
      <c r="FV45" s="1246"/>
      <c r="FW45" s="1242"/>
    </row>
    <row r="46" spans="1:179" s="883" customFormat="1" ht="16.5" customHeight="1" x14ac:dyDescent="0.2">
      <c r="A46" s="1179" t="s">
        <v>232</v>
      </c>
      <c r="B46" s="1167" t="s">
        <v>811</v>
      </c>
      <c r="C46" s="1180">
        <f ca="1">C31-SUM(C41:C44)</f>
        <v>-5437.0459999999885</v>
      </c>
      <c r="D46" s="1180">
        <f>D31-SUM(D41:D44)</f>
        <v>178726.12666666645</v>
      </c>
      <c r="E46" s="1180">
        <f ca="1">E31-SUM(E41:E44)</f>
        <v>-2112.0459999999871</v>
      </c>
      <c r="F46" s="1181"/>
      <c r="G46" s="1182"/>
      <c r="H46" s="1182"/>
      <c r="I46" s="1182"/>
      <c r="J46" s="1180">
        <f ca="1">J31-SUM(J41:J44)</f>
        <v>-9488.8420000000042</v>
      </c>
      <c r="K46" s="1180">
        <f>K31-SUM(K41:K44)</f>
        <v>-2853.4649444444472</v>
      </c>
      <c r="L46" s="1180">
        <f ca="1">L31-SUM(L41:L44)</f>
        <v>-6044.1420000000035</v>
      </c>
      <c r="M46" s="1181"/>
      <c r="N46" s="1182"/>
      <c r="O46" s="1182"/>
      <c r="P46" s="1182"/>
      <c r="Q46" s="1180">
        <f t="shared" ref="Q46:Z46" ca="1" si="78">Q31-SUM(Q41:Q44)</f>
        <v>-9488.8420000000042</v>
      </c>
      <c r="R46" s="1180">
        <f t="shared" si="78"/>
        <v>-2853.4649444444472</v>
      </c>
      <c r="S46" s="1180">
        <f t="shared" ca="1" si="78"/>
        <v>-6044.1420000000035</v>
      </c>
      <c r="T46" s="1181"/>
      <c r="U46" s="1182"/>
      <c r="V46" s="1182"/>
      <c r="W46" s="1182"/>
      <c r="X46" s="1180">
        <f t="shared" ca="1" si="78"/>
        <v>-2013.6959999999983</v>
      </c>
      <c r="Y46" s="1180">
        <f t="shared" si="78"/>
        <v>11577.539055555559</v>
      </c>
      <c r="Z46" s="1180">
        <f t="shared" ca="1" si="78"/>
        <v>-6737.9959999999983</v>
      </c>
      <c r="AA46" s="1181"/>
      <c r="AB46" s="1182"/>
      <c r="AC46" s="1182"/>
      <c r="AD46" s="1182"/>
      <c r="AE46" s="1180">
        <f ca="1">AE31-SUM(AE41:AE44)</f>
        <v>-11502.538</v>
      </c>
      <c r="AF46" s="1180">
        <f>AF31-SUM(AF41:AF44)</f>
        <v>8724.0741111111111</v>
      </c>
      <c r="AG46" s="1180">
        <f ca="1">AG31-SUM(AG41:AG44)</f>
        <v>-12782.138000000003</v>
      </c>
      <c r="AH46" s="1181"/>
      <c r="AI46" s="1182"/>
      <c r="AJ46" s="1182"/>
      <c r="AK46" s="1182"/>
      <c r="AL46" s="1180">
        <f ca="1">AL31-SUM(AL41:AL44)</f>
        <v>-1032.915</v>
      </c>
      <c r="AM46" s="1180">
        <f>AM31-SUM(AM41:AM44)</f>
        <v>26008.543055555561</v>
      </c>
      <c r="AN46" s="1180">
        <f ca="1">AN31-SUM(AN41:AN44)</f>
        <v>597.3850000000001</v>
      </c>
      <c r="AO46" s="1181"/>
      <c r="AP46" s="1182"/>
      <c r="AQ46" s="1182"/>
      <c r="AR46" s="1182"/>
      <c r="AS46" s="1180">
        <f ca="1">AS31-SUM(AS41:AS44)</f>
        <v>-12535.453000000001</v>
      </c>
      <c r="AT46" s="1180">
        <f>AT31-SUM(AT41:AT44)</f>
        <v>34732.617166666671</v>
      </c>
      <c r="AU46" s="1180">
        <f ca="1">AU31-SUM(AU41:AU44)</f>
        <v>-12184.753000000001</v>
      </c>
      <c r="AV46" s="1181"/>
      <c r="AW46" s="1182"/>
      <c r="AX46" s="1182"/>
      <c r="AY46" s="1182"/>
      <c r="AZ46" s="1180">
        <f ca="1">AZ31-SUM(AZ41:AZ44)</f>
        <v>-11458.506000000005</v>
      </c>
      <c r="BA46" s="1180">
        <f>BA31-SUM(BA41:BA44)</f>
        <v>4362.0370555555601</v>
      </c>
      <c r="BB46" s="1180">
        <f ca="1">BB31-SUM(BB41:BB44)</f>
        <v>-15241.306000000004</v>
      </c>
      <c r="BC46" s="1181"/>
      <c r="BD46" s="1182"/>
      <c r="BE46" s="1182"/>
      <c r="BF46" s="1182"/>
      <c r="BG46" s="1180">
        <f ca="1">BG31-SUM(BG41:BG44)</f>
        <v>-23993.959000000006</v>
      </c>
      <c r="BH46" s="1180">
        <f>BH31-SUM(BH41:BH44)</f>
        <v>39094.654222222234</v>
      </c>
      <c r="BI46" s="1180">
        <f ca="1">BI31-SUM(BI41:BI44)</f>
        <v>-27426.059000000005</v>
      </c>
      <c r="BJ46" s="1181"/>
      <c r="BK46" s="1182"/>
      <c r="BL46" s="1182"/>
      <c r="BM46" s="1182"/>
      <c r="BN46" s="1180">
        <f ca="1">BN31-SUM(BN41:BN44)</f>
        <v>-13752.433999999999</v>
      </c>
      <c r="BO46" s="1180">
        <f>BO31-SUM(BO41:BO44)</f>
        <v>8850.9953055555598</v>
      </c>
      <c r="BP46" s="1180">
        <f ca="1">BP31-SUM(BP41:BP44)</f>
        <v>-6970.1339999999964</v>
      </c>
      <c r="BQ46" s="1181"/>
      <c r="BR46" s="1182"/>
      <c r="BS46" s="1182"/>
      <c r="BT46" s="1182"/>
      <c r="BU46" s="1180">
        <f ca="1">BU31-SUM(BU41:BU44)</f>
        <v>-37746.393000000004</v>
      </c>
      <c r="BV46" s="1180">
        <f>BV31-SUM(BV41:BV44)</f>
        <v>47945.649527777794</v>
      </c>
      <c r="BW46" s="1180">
        <f ca="1">BW31-SUM(BW41:BW44)</f>
        <v>-34396.192999999999</v>
      </c>
      <c r="BX46" s="1181"/>
      <c r="BY46" s="1182"/>
      <c r="BZ46" s="1182"/>
      <c r="CA46" s="1182"/>
      <c r="CB46" s="1180">
        <f ca="1">CB31-SUM(CB41:CB44)</f>
        <v>3436.4090000000006</v>
      </c>
      <c r="CC46" s="1180">
        <f>CC31-SUM(CC41:CC44)</f>
        <v>14966.195305555557</v>
      </c>
      <c r="CD46" s="1180">
        <f ca="1">CD31-SUM(CD41:CD44)</f>
        <v>427.80899999999997</v>
      </c>
      <c r="CE46" s="1181"/>
      <c r="CF46" s="1182"/>
      <c r="CG46" s="1182"/>
      <c r="CH46" s="1182"/>
      <c r="CI46" s="1180">
        <f ca="1">CI31-SUM(CI41:CI44)</f>
        <v>-34309.984000000011</v>
      </c>
      <c r="CJ46" s="1180">
        <f>CJ31-SUM(CJ41:CJ44)</f>
        <v>62911.844833333351</v>
      </c>
      <c r="CK46" s="1180">
        <f ca="1">CK31-SUM(CK41:CK44)</f>
        <v>-33968.384000000005</v>
      </c>
      <c r="CL46" s="1181"/>
      <c r="CM46" s="1182"/>
      <c r="CN46" s="1182"/>
      <c r="CO46" s="1182"/>
      <c r="CP46" s="1180">
        <f ca="1">CP31-SUM(CP41:CP44)</f>
        <v>17793.911000000007</v>
      </c>
      <c r="CQ46" s="1180">
        <f>CQ31-SUM(CQ41:CQ44)</f>
        <v>14966.195305555557</v>
      </c>
      <c r="CR46" s="1180">
        <f ca="1">CR31-SUM(CR41:CR44)</f>
        <v>16573.811000000005</v>
      </c>
      <c r="CS46" s="1181"/>
      <c r="CT46" s="1182"/>
      <c r="CU46" s="1182"/>
      <c r="CV46" s="1182"/>
      <c r="CW46" s="1180">
        <f ca="1">CW31-SUM(CW41:CW44)</f>
        <v>-16516.073000000004</v>
      </c>
      <c r="CX46" s="1180">
        <f>CX31-SUM(CX41:CX44)</f>
        <v>77878.0401388889</v>
      </c>
      <c r="CY46" s="1180">
        <f ca="1">CY31-SUM(CY41:CY44)</f>
        <v>-17394.573</v>
      </c>
      <c r="CZ46" s="1181"/>
      <c r="DA46" s="1182"/>
      <c r="DB46" s="1182"/>
      <c r="DC46" s="1182"/>
      <c r="DD46" s="1180">
        <f ca="1">DD31-SUM(DD41:DD44)</f>
        <v>1450.2270000000008</v>
      </c>
      <c r="DE46" s="1180">
        <f>DE31-SUM(DE41:DE44)</f>
        <v>5738.6133055555583</v>
      </c>
      <c r="DF46" s="1180">
        <f ca="1">DF31-SUM(DF41:DF44)</f>
        <v>5235.8270000000002</v>
      </c>
      <c r="DG46" s="1181"/>
      <c r="DH46" s="1182"/>
      <c r="DI46" s="1182"/>
      <c r="DJ46" s="1182"/>
      <c r="DK46" s="1180">
        <f ca="1">DK31-SUM(DK41:DK44)</f>
        <v>-15065.846</v>
      </c>
      <c r="DL46" s="1180">
        <f>DL31-SUM(DL41:DL44)</f>
        <v>83616.653444444455</v>
      </c>
      <c r="DM46" s="1180">
        <f ca="1">DM31-SUM(DM41:DM44)</f>
        <v>-12158.746000000001</v>
      </c>
      <c r="DN46" s="1181"/>
      <c r="DO46" s="1182"/>
      <c r="DP46" s="1182"/>
      <c r="DQ46" s="1182"/>
      <c r="DR46" s="1180">
        <f ca="1">DR31-SUM(DR41:DR44)</f>
        <v>-4619.3089999999993</v>
      </c>
      <c r="DS46" s="1180">
        <f>DS31-SUM(DS41:DS44)</f>
        <v>27385.119305555563</v>
      </c>
      <c r="DT46" s="1180">
        <f ca="1">DT31-SUM(DT41:DT44)</f>
        <v>-4619.3089999999993</v>
      </c>
      <c r="DU46" s="1181"/>
      <c r="DV46" s="1182"/>
      <c r="DW46" s="1182"/>
      <c r="DX46" s="1182"/>
      <c r="DY46" s="1180">
        <f ca="1">DY31-SUM(DY41:DY44)</f>
        <v>-19685.154999999995</v>
      </c>
      <c r="DZ46" s="1180">
        <f>DZ31-SUM(DZ41:DZ44)</f>
        <v>111001.77275000002</v>
      </c>
      <c r="EA46" s="1180">
        <f ca="1">EA31-SUM(EA41:EA44)</f>
        <v>-16778.055</v>
      </c>
      <c r="EB46" s="1181"/>
      <c r="EC46" s="1182"/>
      <c r="ED46" s="1182"/>
      <c r="EE46" s="1182"/>
      <c r="EF46" s="1180">
        <f ca="1">EF31-SUM(EF41:EF44)</f>
        <v>10337.528999999995</v>
      </c>
      <c r="EG46" s="1180">
        <f>EG31-SUM(EG41:EG44)</f>
        <v>27385.119305555563</v>
      </c>
      <c r="EH46" s="1180">
        <f ca="1">EH31-SUM(EH41:EH44)</f>
        <v>4799.1290000000008</v>
      </c>
      <c r="EI46" s="1181"/>
      <c r="EJ46" s="1182"/>
      <c r="EK46" s="1182"/>
      <c r="EL46" s="1182"/>
      <c r="EM46" s="1180">
        <f ca="1">EM31-SUM(EM41:EM44)</f>
        <v>-9347.6260000000002</v>
      </c>
      <c r="EN46" s="1180">
        <f>EN31-SUM(EN41:EN44)</f>
        <v>138386.8920555556</v>
      </c>
      <c r="EO46" s="1180">
        <f ca="1">EO31-SUM(EO41:EO44)</f>
        <v>-11978.925999999998</v>
      </c>
      <c r="EP46" s="1181"/>
      <c r="EQ46" s="1182"/>
      <c r="ER46" s="1182"/>
      <c r="ES46" s="1182"/>
      <c r="ET46" s="1180">
        <f ca="1">ET31-SUM(ET41:ET44)</f>
        <v>3070.65</v>
      </c>
      <c r="EU46" s="1180">
        <f>EU31-SUM(EU41:EU44)</f>
        <v>20169.617305555548</v>
      </c>
      <c r="EV46" s="1180">
        <f ca="1">EV31-SUM(EV41:EV44)</f>
        <v>8298.9500000000007</v>
      </c>
      <c r="EW46" s="1181"/>
      <c r="EX46" s="1182"/>
      <c r="EY46" s="1182"/>
      <c r="EZ46" s="1182"/>
      <c r="FA46" s="1180">
        <f ca="1">FA31-SUM(FA41:FA44)</f>
        <v>-6276.9759999999987</v>
      </c>
      <c r="FB46" s="1180">
        <f>FB31-SUM(FB41:FB44)</f>
        <v>158556.50936111115</v>
      </c>
      <c r="FC46" s="1180">
        <f ca="1">FC31-SUM(FC41:FC44)</f>
        <v>-3679.9759999999974</v>
      </c>
      <c r="FD46" s="1181"/>
      <c r="FE46" s="1182"/>
      <c r="FF46" s="1182"/>
      <c r="FG46" s="1182"/>
      <c r="FH46" s="1180">
        <f ca="1">FH31-SUM(FH41:FH44)</f>
        <v>839.92999999999984</v>
      </c>
      <c r="FI46" s="1180">
        <f>FI31-SUM(FI41:FI44)</f>
        <v>20169.617305555548</v>
      </c>
      <c r="FJ46" s="1180">
        <f ca="1">FJ31-SUM(FJ41:FJ44)</f>
        <v>1567.9299999999998</v>
      </c>
      <c r="FK46" s="1181"/>
      <c r="FL46" s="1182"/>
      <c r="FM46" s="1182"/>
      <c r="FN46" s="1182"/>
      <c r="FO46" s="1180">
        <f ca="1">FO31-SUM(FO41:FO44)</f>
        <v>-5437.0459999999994</v>
      </c>
      <c r="FP46" s="1180">
        <f>FP31-SUM(FP41:FP44)</f>
        <v>178726.12666666671</v>
      </c>
      <c r="FQ46" s="1180">
        <f ca="1">FQ31-SUM(FQ41:FQ44)</f>
        <v>-2112.0459999999971</v>
      </c>
      <c r="FR46" s="1181"/>
      <c r="FS46" s="1182"/>
      <c r="FT46" s="1182"/>
      <c r="FU46" s="1182"/>
      <c r="FV46" s="1158"/>
      <c r="FW46" s="1181"/>
    </row>
    <row r="47" spans="1:179" s="883" customFormat="1" ht="13.5" customHeight="1" x14ac:dyDescent="0.2">
      <c r="A47" s="1233"/>
      <c r="B47" s="1233" t="s">
        <v>812</v>
      </c>
      <c r="C47" s="1234">
        <f ca="1">C21</f>
        <v>6595.7200000000012</v>
      </c>
      <c r="D47" s="1234">
        <f t="shared" ref="D47:E47" si="79">D21</f>
        <v>2169.9999999999995</v>
      </c>
      <c r="E47" s="1223">
        <f t="shared" ca="1" si="79"/>
        <v>6595.7200000000012</v>
      </c>
      <c r="F47" s="1223"/>
      <c r="G47" s="1232"/>
      <c r="H47" s="1232"/>
      <c r="I47" s="1225"/>
      <c r="J47" s="1234">
        <f t="shared" ref="J47:L47" ca="1" si="80">J21</f>
        <v>0</v>
      </c>
      <c r="K47" s="1234">
        <f t="shared" si="80"/>
        <v>180.83333333333334</v>
      </c>
      <c r="L47" s="1223">
        <f t="shared" ca="1" si="80"/>
        <v>0</v>
      </c>
      <c r="M47" s="1223"/>
      <c r="N47" s="1224"/>
      <c r="O47" s="1224"/>
      <c r="P47" s="1225"/>
      <c r="Q47" s="1234">
        <f t="shared" ref="Q47:S47" ca="1" si="81">Q21</f>
        <v>0</v>
      </c>
      <c r="R47" s="1234">
        <f t="shared" si="81"/>
        <v>180.83333333333334</v>
      </c>
      <c r="S47" s="1223">
        <f t="shared" ca="1" si="81"/>
        <v>0</v>
      </c>
      <c r="T47" s="1223"/>
      <c r="U47" s="1224"/>
      <c r="V47" s="1224"/>
      <c r="W47" s="1225"/>
      <c r="X47" s="1234">
        <f t="shared" ref="X47:Z47" ca="1" si="82">X21</f>
        <v>168.04999999999998</v>
      </c>
      <c r="Y47" s="1234">
        <f t="shared" si="82"/>
        <v>180.83333333333334</v>
      </c>
      <c r="Z47" s="1223">
        <f t="shared" ca="1" si="82"/>
        <v>168.04999999999998</v>
      </c>
      <c r="AA47" s="1223"/>
      <c r="AB47" s="1224"/>
      <c r="AC47" s="1224"/>
      <c r="AD47" s="1225"/>
      <c r="AE47" s="1234">
        <f t="shared" ref="AE47:AG47" ca="1" si="83">AE21</f>
        <v>168.04999999999998</v>
      </c>
      <c r="AF47" s="1234">
        <f t="shared" si="83"/>
        <v>361.66666666666669</v>
      </c>
      <c r="AG47" s="1223">
        <f t="shared" ca="1" si="83"/>
        <v>168.04999999999998</v>
      </c>
      <c r="AH47" s="1223"/>
      <c r="AI47" s="1224"/>
      <c r="AJ47" s="1224"/>
      <c r="AK47" s="1225"/>
      <c r="AL47" s="1234">
        <f t="shared" ref="AL47:AN47" ca="1" si="84">AL21</f>
        <v>0</v>
      </c>
      <c r="AM47" s="1234">
        <f t="shared" si="84"/>
        <v>180.83333333333334</v>
      </c>
      <c r="AN47" s="1223">
        <f t="shared" ca="1" si="84"/>
        <v>0</v>
      </c>
      <c r="AO47" s="1223"/>
      <c r="AP47" s="1225"/>
      <c r="AQ47" s="1225"/>
      <c r="AR47" s="1224"/>
      <c r="AS47" s="1234">
        <f t="shared" ref="AS47:AU47" ca="1" si="85">AS21</f>
        <v>168.04999999999998</v>
      </c>
      <c r="AT47" s="1234">
        <f t="shared" si="85"/>
        <v>542.5</v>
      </c>
      <c r="AU47" s="1223">
        <f t="shared" ca="1" si="85"/>
        <v>168.04999999999998</v>
      </c>
      <c r="AV47" s="1223"/>
      <c r="AW47" s="1225"/>
      <c r="AX47" s="1225"/>
      <c r="AY47" s="1224"/>
      <c r="AZ47" s="1234">
        <f t="shared" ref="AZ47:BB47" ca="1" si="86">AZ21</f>
        <v>5321.7400000000007</v>
      </c>
      <c r="BA47" s="1234">
        <f t="shared" si="86"/>
        <v>180.83333333333334</v>
      </c>
      <c r="BB47" s="1223">
        <f t="shared" ca="1" si="86"/>
        <v>5321.7400000000007</v>
      </c>
      <c r="BC47" s="1223"/>
      <c r="BD47" s="1224"/>
      <c r="BE47" s="1224"/>
      <c r="BF47" s="1225"/>
      <c r="BG47" s="1234">
        <f t="shared" ref="BG47:BI47" ca="1" si="87">BG21</f>
        <v>5489.7900000000009</v>
      </c>
      <c r="BH47" s="1234">
        <f t="shared" si="87"/>
        <v>723.33333333333337</v>
      </c>
      <c r="BI47" s="1223">
        <f t="shared" ca="1" si="87"/>
        <v>5489.7900000000009</v>
      </c>
      <c r="BJ47" s="1223"/>
      <c r="BK47" s="1226"/>
      <c r="BL47" s="1226"/>
      <c r="BM47" s="1225"/>
      <c r="BN47" s="1234">
        <f t="shared" ref="BN47:BP47" ca="1" si="88">BN21</f>
        <v>415.96999999999997</v>
      </c>
      <c r="BO47" s="1234">
        <f t="shared" si="88"/>
        <v>180.83333333333334</v>
      </c>
      <c r="BP47" s="1223">
        <f t="shared" ca="1" si="88"/>
        <v>415.96999999999997</v>
      </c>
      <c r="BQ47" s="1223"/>
      <c r="BR47" s="1225"/>
      <c r="BS47" s="1225"/>
      <c r="BT47" s="1224"/>
      <c r="BU47" s="1234">
        <f t="shared" ref="BU47:BW47" ca="1" si="89">BU21</f>
        <v>5905.7600000000011</v>
      </c>
      <c r="BV47" s="1234">
        <f t="shared" si="89"/>
        <v>904.16666666666674</v>
      </c>
      <c r="BW47" s="1223">
        <f t="shared" ca="1" si="89"/>
        <v>5905.7600000000011</v>
      </c>
      <c r="BX47" s="1223"/>
      <c r="BY47" s="1225"/>
      <c r="BZ47" s="1225"/>
      <c r="CA47" s="1224"/>
      <c r="CB47" s="1234">
        <f t="shared" ref="CB47:CD47" ca="1" si="90">CB21</f>
        <v>326.96000000000009</v>
      </c>
      <c r="CC47" s="1234">
        <f t="shared" si="90"/>
        <v>180.83333333333334</v>
      </c>
      <c r="CD47" s="1223">
        <f t="shared" ca="1" si="90"/>
        <v>326.96000000000009</v>
      </c>
      <c r="CE47" s="1223"/>
      <c r="CF47" s="1224"/>
      <c r="CG47" s="1224"/>
      <c r="CH47" s="1225"/>
      <c r="CI47" s="1234">
        <f t="shared" ref="CI47:CK47" ca="1" si="91">CI21</f>
        <v>6232.7200000000012</v>
      </c>
      <c r="CJ47" s="1234">
        <f t="shared" si="91"/>
        <v>1085</v>
      </c>
      <c r="CK47" s="1223">
        <f t="shared" ca="1" si="91"/>
        <v>6232.7200000000012</v>
      </c>
      <c r="CL47" s="1223"/>
      <c r="CM47" s="1224"/>
      <c r="CN47" s="1224"/>
      <c r="CO47" s="1225"/>
      <c r="CP47" s="1234">
        <f t="shared" ref="CP47:CR47" ca="1" si="92">CP21</f>
        <v>362.99999999999994</v>
      </c>
      <c r="CQ47" s="1234">
        <f t="shared" si="92"/>
        <v>180.83333333333334</v>
      </c>
      <c r="CR47" s="1223">
        <f t="shared" ca="1" si="92"/>
        <v>362.99999999999994</v>
      </c>
      <c r="CS47" s="1223"/>
      <c r="CT47" s="1225"/>
      <c r="CU47" s="1225"/>
      <c r="CV47" s="1226"/>
      <c r="CW47" s="1234">
        <f t="shared" ref="CW47:CY47" ca="1" si="93">CW21</f>
        <v>6595.7200000000012</v>
      </c>
      <c r="CX47" s="1234">
        <f t="shared" si="93"/>
        <v>1265.8333333333333</v>
      </c>
      <c r="CY47" s="1223">
        <f t="shared" ca="1" si="93"/>
        <v>6595.7200000000012</v>
      </c>
      <c r="CZ47" s="1223"/>
      <c r="DA47" s="1225"/>
      <c r="DB47" s="1225"/>
      <c r="DC47" s="1224"/>
      <c r="DD47" s="1234">
        <f t="shared" ref="DD47:DF47" ca="1" si="94">DD21</f>
        <v>0</v>
      </c>
      <c r="DE47" s="1234">
        <f t="shared" si="94"/>
        <v>180.83333333333334</v>
      </c>
      <c r="DF47" s="1223">
        <f t="shared" ca="1" si="94"/>
        <v>0</v>
      </c>
      <c r="DG47" s="1223"/>
      <c r="DH47" s="1224"/>
      <c r="DI47" s="1224"/>
      <c r="DJ47" s="1225"/>
      <c r="DK47" s="1234">
        <f t="shared" ref="DK47:DM47" ca="1" si="95">DK21</f>
        <v>6595.7200000000012</v>
      </c>
      <c r="DL47" s="1234">
        <f t="shared" si="95"/>
        <v>1446.6666666666665</v>
      </c>
      <c r="DM47" s="1223">
        <f t="shared" ca="1" si="95"/>
        <v>6595.7200000000012</v>
      </c>
      <c r="DN47" s="1223"/>
      <c r="DO47" s="1224"/>
      <c r="DP47" s="1224"/>
      <c r="DQ47" s="1225"/>
      <c r="DR47" s="1234">
        <f t="shared" ref="DR47:DT47" ca="1" si="96">DR21</f>
        <v>0</v>
      </c>
      <c r="DS47" s="1234">
        <f t="shared" si="96"/>
        <v>180.83333333333334</v>
      </c>
      <c r="DT47" s="1223">
        <f t="shared" ca="1" si="96"/>
        <v>0</v>
      </c>
      <c r="DU47" s="1223"/>
      <c r="DV47" s="1225"/>
      <c r="DW47" s="1225"/>
      <c r="DX47" s="1224"/>
      <c r="DY47" s="1234">
        <f t="shared" ref="DY47:EA47" ca="1" si="97">DY21</f>
        <v>6595.7200000000012</v>
      </c>
      <c r="DZ47" s="1234">
        <f t="shared" si="97"/>
        <v>1627.4999999999998</v>
      </c>
      <c r="EA47" s="1223">
        <f t="shared" ca="1" si="97"/>
        <v>6595.7200000000012</v>
      </c>
      <c r="EB47" s="1223"/>
      <c r="EC47" s="1225"/>
      <c r="ED47" s="1225"/>
      <c r="EE47" s="1224"/>
      <c r="EF47" s="1234">
        <f t="shared" ref="EF47:EH47" ca="1" si="98">EF21</f>
        <v>0</v>
      </c>
      <c r="EG47" s="1234">
        <f t="shared" si="98"/>
        <v>180.83333333333334</v>
      </c>
      <c r="EH47" s="1223">
        <f t="shared" ca="1" si="98"/>
        <v>0</v>
      </c>
      <c r="EI47" s="1223"/>
      <c r="EJ47" s="1224"/>
      <c r="EK47" s="1224"/>
      <c r="EL47" s="1225"/>
      <c r="EM47" s="1234">
        <f t="shared" ref="EM47:EO47" ca="1" si="99">EM21</f>
        <v>6595.7200000000012</v>
      </c>
      <c r="EN47" s="1234">
        <f t="shared" si="99"/>
        <v>1808.333333333333</v>
      </c>
      <c r="EO47" s="1223">
        <f t="shared" ca="1" si="99"/>
        <v>6595.7200000000012</v>
      </c>
      <c r="EP47" s="1223"/>
      <c r="EQ47" s="1224"/>
      <c r="ER47" s="1224"/>
      <c r="ES47" s="1225"/>
      <c r="ET47" s="1234">
        <f t="shared" ref="ET47:EV47" ca="1" si="100">ET21</f>
        <v>0</v>
      </c>
      <c r="EU47" s="1234">
        <f t="shared" si="100"/>
        <v>180.83333333333334</v>
      </c>
      <c r="EV47" s="1223">
        <f t="shared" ca="1" si="100"/>
        <v>0</v>
      </c>
      <c r="EW47" s="1223"/>
      <c r="EX47" s="1225"/>
      <c r="EY47" s="1225"/>
      <c r="EZ47" s="1224"/>
      <c r="FA47" s="1234">
        <f t="shared" ref="FA47:FC47" ca="1" si="101">FA21</f>
        <v>6595.7200000000012</v>
      </c>
      <c r="FB47" s="1234">
        <f t="shared" si="101"/>
        <v>1989.1666666666663</v>
      </c>
      <c r="FC47" s="1223">
        <f t="shared" ca="1" si="101"/>
        <v>6595.7200000000012</v>
      </c>
      <c r="FD47" s="1223"/>
      <c r="FE47" s="1225"/>
      <c r="FF47" s="1225"/>
      <c r="FG47" s="1224"/>
      <c r="FH47" s="1223">
        <f t="shared" ref="FH47:FJ47" ca="1" si="102">FH21</f>
        <v>0</v>
      </c>
      <c r="FI47" s="1234">
        <f t="shared" si="102"/>
        <v>180.83333333333334</v>
      </c>
      <c r="FJ47" s="1223">
        <f t="shared" ca="1" si="102"/>
        <v>0</v>
      </c>
      <c r="FK47" s="1223"/>
      <c r="FL47" s="1224"/>
      <c r="FM47" s="1224"/>
      <c r="FN47" s="1225"/>
      <c r="FO47" s="1234">
        <f t="shared" ref="FO47:FQ47" ca="1" si="103">FO21</f>
        <v>6595.7200000000012</v>
      </c>
      <c r="FP47" s="1234">
        <f t="shared" si="103"/>
        <v>2169.9999999999995</v>
      </c>
      <c r="FQ47" s="1223">
        <f t="shared" ca="1" si="103"/>
        <v>6595.7200000000012</v>
      </c>
      <c r="FR47" s="1223"/>
      <c r="FS47" s="1226"/>
      <c r="FT47" s="1226"/>
      <c r="FU47" s="1225"/>
      <c r="FV47" s="1231"/>
      <c r="FW47" s="1225"/>
    </row>
    <row r="48" spans="1:179" s="883" customFormat="1" ht="13.5" customHeight="1" x14ac:dyDescent="0.2">
      <c r="A48" s="1228"/>
      <c r="B48" s="1228" t="s">
        <v>813</v>
      </c>
      <c r="C48" s="1235">
        <f ca="1">-C18</f>
        <v>-3109.6999999999994</v>
      </c>
      <c r="D48" s="1235">
        <f t="shared" ref="D48:E48" si="104">-D18</f>
        <v>-3000</v>
      </c>
      <c r="E48" s="1230">
        <f t="shared" ca="1" si="104"/>
        <v>-3109.6999999999994</v>
      </c>
      <c r="F48" s="1230"/>
      <c r="G48" s="1165"/>
      <c r="H48" s="1165"/>
      <c r="I48" s="1210"/>
      <c r="J48" s="1235">
        <f t="shared" ref="J48:L48" ca="1" si="105">-J18</f>
        <v>-232.46</v>
      </c>
      <c r="K48" s="1235">
        <f t="shared" si="105"/>
        <v>-250</v>
      </c>
      <c r="L48" s="1230">
        <f t="shared" ca="1" si="105"/>
        <v>-232.46</v>
      </c>
      <c r="M48" s="1230"/>
      <c r="N48" s="1165"/>
      <c r="O48" s="1165"/>
      <c r="P48" s="1210"/>
      <c r="Q48" s="1235">
        <f t="shared" ref="Q48:S48" ca="1" si="106">-Q18</f>
        <v>-232.46</v>
      </c>
      <c r="R48" s="1235">
        <f t="shared" si="106"/>
        <v>-250</v>
      </c>
      <c r="S48" s="1230">
        <f t="shared" ca="1" si="106"/>
        <v>-232.46</v>
      </c>
      <c r="T48" s="1230"/>
      <c r="U48" s="1165"/>
      <c r="V48" s="1165"/>
      <c r="W48" s="1210"/>
      <c r="X48" s="1235">
        <f t="shared" ref="X48:Z48" ca="1" si="107">-X18</f>
        <v>-232.51999999999998</v>
      </c>
      <c r="Y48" s="1235">
        <f t="shared" si="107"/>
        <v>-250</v>
      </c>
      <c r="Z48" s="1230">
        <f t="shared" ca="1" si="107"/>
        <v>-232.51999999999998</v>
      </c>
      <c r="AA48" s="1230"/>
      <c r="AB48" s="1165"/>
      <c r="AC48" s="1165"/>
      <c r="AD48" s="1210"/>
      <c r="AE48" s="1235">
        <f t="shared" ref="AE48:AG48" ca="1" si="108">-AE18</f>
        <v>-464.98</v>
      </c>
      <c r="AF48" s="1235">
        <f t="shared" si="108"/>
        <v>-500</v>
      </c>
      <c r="AG48" s="1230">
        <f t="shared" ca="1" si="108"/>
        <v>-464.98</v>
      </c>
      <c r="AH48" s="1230"/>
      <c r="AI48" s="1165"/>
      <c r="AJ48" s="1165"/>
      <c r="AK48" s="1210"/>
      <c r="AL48" s="1235">
        <f t="shared" ref="AL48:AN48" si="109">-AL18</f>
        <v>0</v>
      </c>
      <c r="AM48" s="1235">
        <f t="shared" si="109"/>
        <v>-250</v>
      </c>
      <c r="AN48" s="1230">
        <f t="shared" si="109"/>
        <v>0</v>
      </c>
      <c r="AO48" s="1230"/>
      <c r="AP48" s="1210"/>
      <c r="AQ48" s="1210"/>
      <c r="AR48" s="1165"/>
      <c r="AS48" s="1235">
        <f t="shared" ref="AS48:AU48" ca="1" si="110">-AS18</f>
        <v>-464.98</v>
      </c>
      <c r="AT48" s="1235">
        <f t="shared" si="110"/>
        <v>-750</v>
      </c>
      <c r="AU48" s="1230">
        <f t="shared" ca="1" si="110"/>
        <v>-464.98</v>
      </c>
      <c r="AV48" s="1230"/>
      <c r="AW48" s="1210"/>
      <c r="AX48" s="1210"/>
      <c r="AY48" s="1165"/>
      <c r="AZ48" s="1235">
        <f t="shared" ref="AZ48:BB48" ca="1" si="111">-AZ18</f>
        <v>-346.14</v>
      </c>
      <c r="BA48" s="1235">
        <f t="shared" si="111"/>
        <v>-250</v>
      </c>
      <c r="BB48" s="1230">
        <f t="shared" ca="1" si="111"/>
        <v>-346.14</v>
      </c>
      <c r="BC48" s="1230"/>
      <c r="BD48" s="1165"/>
      <c r="BE48" s="1165"/>
      <c r="BF48" s="1210"/>
      <c r="BG48" s="1235">
        <f t="shared" ref="BG48:BI48" ca="1" si="112">-BG18</f>
        <v>-811.12</v>
      </c>
      <c r="BH48" s="1235">
        <f t="shared" si="112"/>
        <v>-1000</v>
      </c>
      <c r="BI48" s="1230">
        <f t="shared" ca="1" si="112"/>
        <v>-811.12</v>
      </c>
      <c r="BJ48" s="1230"/>
      <c r="BK48" s="1236"/>
      <c r="BL48" s="1236"/>
      <c r="BM48" s="1210"/>
      <c r="BN48" s="1235">
        <f t="shared" ref="BN48:BP48" ca="1" si="113">-BN18</f>
        <v>-740.75</v>
      </c>
      <c r="BO48" s="1235">
        <f t="shared" si="113"/>
        <v>-250</v>
      </c>
      <c r="BP48" s="1230">
        <f t="shared" ca="1" si="113"/>
        <v>-740.75</v>
      </c>
      <c r="BQ48" s="1230"/>
      <c r="BR48" s="1210"/>
      <c r="BS48" s="1210"/>
      <c r="BT48" s="1165"/>
      <c r="BU48" s="1235">
        <f t="shared" ref="BU48:BW48" ca="1" si="114">-BU18</f>
        <v>-1551.87</v>
      </c>
      <c r="BV48" s="1235">
        <f t="shared" si="114"/>
        <v>-1250</v>
      </c>
      <c r="BW48" s="1230">
        <f t="shared" ca="1" si="114"/>
        <v>-1551.87</v>
      </c>
      <c r="BX48" s="1230"/>
      <c r="BY48" s="1210"/>
      <c r="BZ48" s="1210"/>
      <c r="CA48" s="1165"/>
      <c r="CB48" s="1235">
        <f t="shared" ref="CB48:CD48" si="115">-CB18</f>
        <v>0</v>
      </c>
      <c r="CC48" s="1235">
        <f t="shared" si="115"/>
        <v>-250</v>
      </c>
      <c r="CD48" s="1230">
        <f t="shared" si="115"/>
        <v>0</v>
      </c>
      <c r="CE48" s="1230"/>
      <c r="CF48" s="1165"/>
      <c r="CG48" s="1165"/>
      <c r="CH48" s="1210"/>
      <c r="CI48" s="1235">
        <f t="shared" ref="CI48:CK48" ca="1" si="116">-CI18</f>
        <v>-1551.87</v>
      </c>
      <c r="CJ48" s="1235">
        <f t="shared" si="116"/>
        <v>-1500</v>
      </c>
      <c r="CK48" s="1230">
        <f t="shared" ca="1" si="116"/>
        <v>-1551.87</v>
      </c>
      <c r="CL48" s="1230"/>
      <c r="CM48" s="1165"/>
      <c r="CN48" s="1165"/>
      <c r="CO48" s="1210"/>
      <c r="CP48" s="1235">
        <f t="shared" ref="CP48:CR48" ca="1" si="117">-CP18</f>
        <v>-687.79</v>
      </c>
      <c r="CQ48" s="1235">
        <f t="shared" si="117"/>
        <v>-250</v>
      </c>
      <c r="CR48" s="1230">
        <f t="shared" ca="1" si="117"/>
        <v>-687.79</v>
      </c>
      <c r="CS48" s="1230"/>
      <c r="CT48" s="1210"/>
      <c r="CU48" s="1210"/>
      <c r="CV48" s="1236"/>
      <c r="CW48" s="1235">
        <f t="shared" ref="CW48:CY48" ca="1" si="118">-CW18</f>
        <v>-2239.66</v>
      </c>
      <c r="CX48" s="1235">
        <f t="shared" si="118"/>
        <v>-1750</v>
      </c>
      <c r="CY48" s="1230">
        <f t="shared" ca="1" si="118"/>
        <v>-2239.66</v>
      </c>
      <c r="CZ48" s="1230"/>
      <c r="DA48" s="1210"/>
      <c r="DB48" s="1210"/>
      <c r="DC48" s="1165"/>
      <c r="DD48" s="1235">
        <f t="shared" ref="DD48:DF48" ca="1" si="119">-DD18</f>
        <v>-324.77999999999997</v>
      </c>
      <c r="DE48" s="1235">
        <f t="shared" si="119"/>
        <v>-250</v>
      </c>
      <c r="DF48" s="1230">
        <f t="shared" ca="1" si="119"/>
        <v>-324.77999999999997</v>
      </c>
      <c r="DG48" s="1230"/>
      <c r="DH48" s="1165"/>
      <c r="DI48" s="1165"/>
      <c r="DJ48" s="1210"/>
      <c r="DK48" s="1235">
        <f t="shared" ref="DK48:DM48" ca="1" si="120">-DK18</f>
        <v>-2564.4399999999996</v>
      </c>
      <c r="DL48" s="1235">
        <f t="shared" si="120"/>
        <v>-2000</v>
      </c>
      <c r="DM48" s="1230">
        <f t="shared" ca="1" si="120"/>
        <v>-2564.4399999999996</v>
      </c>
      <c r="DN48" s="1230"/>
      <c r="DO48" s="1165"/>
      <c r="DP48" s="1165"/>
      <c r="DQ48" s="1210"/>
      <c r="DR48" s="1235">
        <f t="shared" ref="DR48:DT48" ca="1" si="121">-DR18</f>
        <v>-272.60000000000002</v>
      </c>
      <c r="DS48" s="1235">
        <f t="shared" si="121"/>
        <v>-250</v>
      </c>
      <c r="DT48" s="1230">
        <f t="shared" ca="1" si="121"/>
        <v>-272.60000000000002</v>
      </c>
      <c r="DU48" s="1230"/>
      <c r="DV48" s="1210"/>
      <c r="DW48" s="1210"/>
      <c r="DX48" s="1165"/>
      <c r="DY48" s="1235">
        <f t="shared" ref="DY48:EA48" ca="1" si="122">-DY18</f>
        <v>-2837.0399999999995</v>
      </c>
      <c r="DZ48" s="1235">
        <f t="shared" si="122"/>
        <v>-2250</v>
      </c>
      <c r="EA48" s="1230">
        <f t="shared" ca="1" si="122"/>
        <v>-2837.0399999999995</v>
      </c>
      <c r="EB48" s="1230"/>
      <c r="EC48" s="1210"/>
      <c r="ED48" s="1210"/>
      <c r="EE48" s="1165"/>
      <c r="EF48" s="1235">
        <f t="shared" ref="EF48:EH48" ca="1" si="123">-EF18</f>
        <v>-272.66000000000003</v>
      </c>
      <c r="EG48" s="1235">
        <f t="shared" si="123"/>
        <v>-250</v>
      </c>
      <c r="EH48" s="1230">
        <f t="shared" ca="1" si="123"/>
        <v>-272.66000000000003</v>
      </c>
      <c r="EI48" s="1230"/>
      <c r="EJ48" s="1165"/>
      <c r="EK48" s="1165"/>
      <c r="EL48" s="1210"/>
      <c r="EM48" s="1235">
        <f t="shared" ref="EM48:EO48" ca="1" si="124">-EM18</f>
        <v>-3109.6999999999994</v>
      </c>
      <c r="EN48" s="1235">
        <f t="shared" si="124"/>
        <v>-2500</v>
      </c>
      <c r="EO48" s="1230">
        <f t="shared" ca="1" si="124"/>
        <v>-3109.6999999999994</v>
      </c>
      <c r="EP48" s="1230"/>
      <c r="EQ48" s="1165"/>
      <c r="ER48" s="1165"/>
      <c r="ES48" s="1210"/>
      <c r="ET48" s="1235">
        <f t="shared" ref="ET48:EV48" ca="1" si="125">-ET18</f>
        <v>0</v>
      </c>
      <c r="EU48" s="1235">
        <f t="shared" si="125"/>
        <v>-250</v>
      </c>
      <c r="EV48" s="1230">
        <f t="shared" ca="1" si="125"/>
        <v>0</v>
      </c>
      <c r="EW48" s="1230"/>
      <c r="EX48" s="1210"/>
      <c r="EY48" s="1210"/>
      <c r="EZ48" s="1165"/>
      <c r="FA48" s="1235">
        <f t="shared" ref="FA48:FC48" ca="1" si="126">-FA18</f>
        <v>-3109.6999999999994</v>
      </c>
      <c r="FB48" s="1235">
        <f t="shared" si="126"/>
        <v>-2750</v>
      </c>
      <c r="FC48" s="1230">
        <f t="shared" ca="1" si="126"/>
        <v>-3109.6999999999994</v>
      </c>
      <c r="FD48" s="1230"/>
      <c r="FE48" s="1210"/>
      <c r="FF48" s="1210"/>
      <c r="FG48" s="1165"/>
      <c r="FH48" s="1230">
        <f t="shared" ref="FH48:FJ48" ca="1" si="127">-FH18</f>
        <v>0</v>
      </c>
      <c r="FI48" s="1235">
        <f t="shared" si="127"/>
        <v>-250</v>
      </c>
      <c r="FJ48" s="1230">
        <f t="shared" ca="1" si="127"/>
        <v>0</v>
      </c>
      <c r="FK48" s="1230"/>
      <c r="FL48" s="1165"/>
      <c r="FM48" s="1165"/>
      <c r="FN48" s="1210"/>
      <c r="FO48" s="1235">
        <f t="shared" ref="FO48:FQ48" ca="1" si="128">-FO18</f>
        <v>-3109.6999999999994</v>
      </c>
      <c r="FP48" s="1235">
        <f t="shared" si="128"/>
        <v>-3000</v>
      </c>
      <c r="FQ48" s="1230">
        <f t="shared" ca="1" si="128"/>
        <v>-3109.6999999999994</v>
      </c>
      <c r="FR48" s="1230"/>
      <c r="FS48" s="1236"/>
      <c r="FT48" s="1236"/>
      <c r="FU48" s="1210"/>
      <c r="FV48" s="1231"/>
      <c r="FW48" s="1210"/>
    </row>
    <row r="49" spans="1:179" s="883" customFormat="1" ht="16.5" customHeight="1" x14ac:dyDescent="0.2">
      <c r="A49" s="1179"/>
      <c r="B49" s="1167" t="s">
        <v>814</v>
      </c>
      <c r="C49" s="1180">
        <f t="shared" ref="C49:E49" ca="1" si="129">SUM(C46:C48)</f>
        <v>-1951.0259999999867</v>
      </c>
      <c r="D49" s="1180">
        <f t="shared" si="129"/>
        <v>177896.12666666645</v>
      </c>
      <c r="E49" s="1180">
        <f t="shared" ca="1" si="129"/>
        <v>1373.9740000000143</v>
      </c>
      <c r="F49" s="1181"/>
      <c r="G49" s="1182"/>
      <c r="H49" s="1182"/>
      <c r="I49" s="1182"/>
      <c r="J49" s="1180">
        <f t="shared" ref="J49:L49" ca="1" si="130">SUM(J46:J48)</f>
        <v>-9721.3020000000033</v>
      </c>
      <c r="K49" s="1180">
        <f t="shared" si="130"/>
        <v>-2922.6316111111137</v>
      </c>
      <c r="L49" s="1180">
        <f t="shared" ca="1" si="130"/>
        <v>-6276.6020000000035</v>
      </c>
      <c r="M49" s="1181"/>
      <c r="N49" s="1182"/>
      <c r="O49" s="1182"/>
      <c r="P49" s="1182"/>
      <c r="Q49" s="1180">
        <f t="shared" ref="Q49:S49" ca="1" si="131">SUM(Q46:Q48)</f>
        <v>-9721.3020000000033</v>
      </c>
      <c r="R49" s="1180">
        <f t="shared" si="131"/>
        <v>-2922.6316111111137</v>
      </c>
      <c r="S49" s="1180">
        <f t="shared" ca="1" si="131"/>
        <v>-6276.6020000000035</v>
      </c>
      <c r="T49" s="1181"/>
      <c r="U49" s="1182"/>
      <c r="V49" s="1182"/>
      <c r="W49" s="1182"/>
      <c r="X49" s="1180">
        <f t="shared" ref="X49:Z49" ca="1" si="132">SUM(X46:X48)</f>
        <v>-2078.1659999999983</v>
      </c>
      <c r="Y49" s="1180">
        <f t="shared" si="132"/>
        <v>11508.372388888893</v>
      </c>
      <c r="Z49" s="1180">
        <f t="shared" ca="1" si="132"/>
        <v>-6802.4659999999985</v>
      </c>
      <c r="AA49" s="1181"/>
      <c r="AB49" s="1182"/>
      <c r="AC49" s="1182"/>
      <c r="AD49" s="1182"/>
      <c r="AE49" s="1180">
        <f t="shared" ref="AE49:AG49" ca="1" si="133">SUM(AE46:AE48)</f>
        <v>-11799.468000000001</v>
      </c>
      <c r="AF49" s="1180">
        <f t="shared" si="133"/>
        <v>8585.7407777777771</v>
      </c>
      <c r="AG49" s="1180">
        <f t="shared" ca="1" si="133"/>
        <v>-13079.068000000003</v>
      </c>
      <c r="AH49" s="1181"/>
      <c r="AI49" s="1182"/>
      <c r="AJ49" s="1182"/>
      <c r="AK49" s="1182"/>
      <c r="AL49" s="1180">
        <f t="shared" ref="AL49:AN49" ca="1" si="134">SUM(AL46:AL48)</f>
        <v>-1032.915</v>
      </c>
      <c r="AM49" s="1180">
        <f t="shared" si="134"/>
        <v>25939.376388888893</v>
      </c>
      <c r="AN49" s="1180">
        <f t="shared" ca="1" si="134"/>
        <v>597.3850000000001</v>
      </c>
      <c r="AO49" s="1181"/>
      <c r="AP49" s="1182"/>
      <c r="AQ49" s="1182"/>
      <c r="AR49" s="1182"/>
      <c r="AS49" s="1180">
        <f t="shared" ref="AS49:AU49" ca="1" si="135">SUM(AS46:AS48)</f>
        <v>-12832.383000000002</v>
      </c>
      <c r="AT49" s="1180">
        <f t="shared" si="135"/>
        <v>34525.117166666671</v>
      </c>
      <c r="AU49" s="1180">
        <f t="shared" ca="1" si="135"/>
        <v>-12481.683000000001</v>
      </c>
      <c r="AV49" s="1181"/>
      <c r="AW49" s="1182"/>
      <c r="AX49" s="1182"/>
      <c r="AY49" s="1182"/>
      <c r="AZ49" s="1180">
        <f t="shared" ref="AZ49:BB49" ca="1" si="136">SUM(AZ46:AZ48)</f>
        <v>-6482.9060000000045</v>
      </c>
      <c r="BA49" s="1180">
        <f t="shared" si="136"/>
        <v>4292.8703888888931</v>
      </c>
      <c r="BB49" s="1180">
        <f t="shared" ca="1" si="136"/>
        <v>-10265.706000000002</v>
      </c>
      <c r="BC49" s="1181"/>
      <c r="BD49" s="1182"/>
      <c r="BE49" s="1182"/>
      <c r="BF49" s="1182"/>
      <c r="BG49" s="1180">
        <f t="shared" ref="BG49:BI49" ca="1" si="137">SUM(BG46:BG48)</f>
        <v>-19315.289000000004</v>
      </c>
      <c r="BH49" s="1180">
        <f t="shared" si="137"/>
        <v>38817.98755555557</v>
      </c>
      <c r="BI49" s="1180">
        <f t="shared" ca="1" si="137"/>
        <v>-22747.389000000003</v>
      </c>
      <c r="BJ49" s="1181"/>
      <c r="BK49" s="1182"/>
      <c r="BL49" s="1182"/>
      <c r="BM49" s="1182"/>
      <c r="BN49" s="1180">
        <f t="shared" ref="BN49:BP49" ca="1" si="138">SUM(BN46:BN48)</f>
        <v>-14077.214</v>
      </c>
      <c r="BO49" s="1180">
        <f t="shared" si="138"/>
        <v>8781.8286388888937</v>
      </c>
      <c r="BP49" s="1180">
        <f t="shared" ca="1" si="138"/>
        <v>-7294.9139999999961</v>
      </c>
      <c r="BQ49" s="1181"/>
      <c r="BR49" s="1182"/>
      <c r="BS49" s="1182"/>
      <c r="BT49" s="1182"/>
      <c r="BU49" s="1180">
        <f t="shared" ref="BU49:BW49" ca="1" si="139">SUM(BU46:BU48)</f>
        <v>-33392.503000000004</v>
      </c>
      <c r="BV49" s="1180">
        <f t="shared" si="139"/>
        <v>47599.816194444458</v>
      </c>
      <c r="BW49" s="1180">
        <f t="shared" ca="1" si="139"/>
        <v>-30042.302999999996</v>
      </c>
      <c r="BX49" s="1181"/>
      <c r="BY49" s="1182"/>
      <c r="BZ49" s="1182"/>
      <c r="CA49" s="1182"/>
      <c r="CB49" s="1180">
        <f t="shared" ref="CB49:CD49" ca="1" si="140">SUM(CB46:CB48)</f>
        <v>3763.3690000000006</v>
      </c>
      <c r="CC49" s="1180">
        <f t="shared" si="140"/>
        <v>14897.028638888891</v>
      </c>
      <c r="CD49" s="1180">
        <f t="shared" ca="1" si="140"/>
        <v>754.76900000000001</v>
      </c>
      <c r="CE49" s="1181"/>
      <c r="CF49" s="1182"/>
      <c r="CG49" s="1182"/>
      <c r="CH49" s="1182"/>
      <c r="CI49" s="1180">
        <f t="shared" ref="CI49:CK49" ca="1" si="141">SUM(CI46:CI48)</f>
        <v>-29629.134000000009</v>
      </c>
      <c r="CJ49" s="1180">
        <f t="shared" si="141"/>
        <v>62496.844833333351</v>
      </c>
      <c r="CK49" s="1180">
        <f t="shared" ca="1" si="141"/>
        <v>-29287.534000000003</v>
      </c>
      <c r="CL49" s="1181"/>
      <c r="CM49" s="1182"/>
      <c r="CN49" s="1182"/>
      <c r="CO49" s="1182"/>
      <c r="CP49" s="1180">
        <f t="shared" ref="CP49:CR49" ca="1" si="142">SUM(CP46:CP48)</f>
        <v>17469.121000000006</v>
      </c>
      <c r="CQ49" s="1180">
        <f t="shared" si="142"/>
        <v>14897.028638888891</v>
      </c>
      <c r="CR49" s="1180">
        <f t="shared" ca="1" si="142"/>
        <v>16249.021000000004</v>
      </c>
      <c r="CS49" s="1181"/>
      <c r="CT49" s="1182"/>
      <c r="CU49" s="1182"/>
      <c r="CV49" s="1182"/>
      <c r="CW49" s="1180">
        <f t="shared" ref="CW49:CY49" ca="1" si="143">SUM(CW46:CW48)</f>
        <v>-12160.013000000003</v>
      </c>
      <c r="CX49" s="1180">
        <f t="shared" si="143"/>
        <v>77393.873472222229</v>
      </c>
      <c r="CY49" s="1180">
        <f t="shared" ca="1" si="143"/>
        <v>-13038.512999999999</v>
      </c>
      <c r="CZ49" s="1181"/>
      <c r="DA49" s="1182"/>
      <c r="DB49" s="1182"/>
      <c r="DC49" s="1182"/>
      <c r="DD49" s="1180">
        <f t="shared" ref="DD49:DF49" ca="1" si="144">SUM(DD46:DD48)</f>
        <v>1125.4470000000008</v>
      </c>
      <c r="DE49" s="1180">
        <f t="shared" si="144"/>
        <v>5669.4466388888914</v>
      </c>
      <c r="DF49" s="1180">
        <f t="shared" ca="1" si="144"/>
        <v>4911.0470000000005</v>
      </c>
      <c r="DG49" s="1181"/>
      <c r="DH49" s="1182"/>
      <c r="DI49" s="1182"/>
      <c r="DJ49" s="1182"/>
      <c r="DK49" s="1180">
        <f t="shared" ref="DK49:DM49" ca="1" si="145">SUM(DK46:DK48)</f>
        <v>-11034.565999999999</v>
      </c>
      <c r="DL49" s="1180">
        <f t="shared" si="145"/>
        <v>83063.320111111127</v>
      </c>
      <c r="DM49" s="1180">
        <f t="shared" ca="1" si="145"/>
        <v>-8127.4659999999994</v>
      </c>
      <c r="DN49" s="1181"/>
      <c r="DO49" s="1182"/>
      <c r="DP49" s="1182"/>
      <c r="DQ49" s="1182"/>
      <c r="DR49" s="1180">
        <f t="shared" ref="DR49:DT49" ca="1" si="146">SUM(DR46:DR48)</f>
        <v>-4891.9089999999997</v>
      </c>
      <c r="DS49" s="1180">
        <f t="shared" si="146"/>
        <v>27315.952638888895</v>
      </c>
      <c r="DT49" s="1180">
        <f t="shared" ca="1" si="146"/>
        <v>-4891.9089999999997</v>
      </c>
      <c r="DU49" s="1181"/>
      <c r="DV49" s="1182"/>
      <c r="DW49" s="1182"/>
      <c r="DX49" s="1182"/>
      <c r="DY49" s="1180">
        <f t="shared" ref="DY49:EA49" ca="1" si="147">SUM(DY46:DY48)</f>
        <v>-15926.474999999993</v>
      </c>
      <c r="DZ49" s="1180">
        <f t="shared" si="147"/>
        <v>110379.27275000002</v>
      </c>
      <c r="EA49" s="1180">
        <f t="shared" ca="1" si="147"/>
        <v>-13019.374999999998</v>
      </c>
      <c r="EB49" s="1181"/>
      <c r="EC49" s="1182"/>
      <c r="ED49" s="1182"/>
      <c r="EE49" s="1182"/>
      <c r="EF49" s="1180">
        <f t="shared" ref="EF49:EH49" ca="1" si="148">SUM(EF46:EF48)</f>
        <v>10064.868999999995</v>
      </c>
      <c r="EG49" s="1180">
        <f t="shared" si="148"/>
        <v>27315.952638888895</v>
      </c>
      <c r="EH49" s="1180">
        <f t="shared" ca="1" si="148"/>
        <v>4526.469000000001</v>
      </c>
      <c r="EI49" s="1181"/>
      <c r="EJ49" s="1182"/>
      <c r="EK49" s="1182"/>
      <c r="EL49" s="1182"/>
      <c r="EM49" s="1180">
        <f t="shared" ref="EM49:EO49" ca="1" si="149">SUM(EM46:EM48)</f>
        <v>-5861.6059999999979</v>
      </c>
      <c r="EN49" s="1180">
        <f t="shared" si="149"/>
        <v>137695.22538888894</v>
      </c>
      <c r="EO49" s="1180">
        <f t="shared" ca="1" si="149"/>
        <v>-8492.9059999999954</v>
      </c>
      <c r="EP49" s="1181"/>
      <c r="EQ49" s="1182"/>
      <c r="ER49" s="1182"/>
      <c r="ES49" s="1182"/>
      <c r="ET49" s="1180">
        <f t="shared" ref="ET49:EV49" ca="1" si="150">SUM(ET46:ET48)</f>
        <v>3070.65</v>
      </c>
      <c r="EU49" s="1180">
        <f t="shared" si="150"/>
        <v>20100.45063888888</v>
      </c>
      <c r="EV49" s="1180">
        <f t="shared" ca="1" si="150"/>
        <v>8298.9500000000007</v>
      </c>
      <c r="EW49" s="1181"/>
      <c r="EX49" s="1182"/>
      <c r="EY49" s="1182"/>
      <c r="EZ49" s="1182"/>
      <c r="FA49" s="1180">
        <f t="shared" ref="FA49:FC49" ca="1" si="151">SUM(FA46:FA48)</f>
        <v>-2790.9559999999969</v>
      </c>
      <c r="FB49" s="1180">
        <f t="shared" si="151"/>
        <v>157795.67602777781</v>
      </c>
      <c r="FC49" s="1180">
        <f t="shared" ca="1" si="151"/>
        <v>-193.95599999999558</v>
      </c>
      <c r="FD49" s="1181"/>
      <c r="FE49" s="1182"/>
      <c r="FF49" s="1182"/>
      <c r="FG49" s="1182"/>
      <c r="FH49" s="1180">
        <f t="shared" ref="FH49:FJ49" ca="1" si="152">SUM(FH46:FH48)</f>
        <v>839.92999999999984</v>
      </c>
      <c r="FI49" s="1180">
        <f t="shared" si="152"/>
        <v>20100.45063888888</v>
      </c>
      <c r="FJ49" s="1180">
        <f t="shared" ca="1" si="152"/>
        <v>1567.9299999999998</v>
      </c>
      <c r="FK49" s="1181"/>
      <c r="FL49" s="1182"/>
      <c r="FM49" s="1182"/>
      <c r="FN49" s="1182"/>
      <c r="FO49" s="1180">
        <f t="shared" ref="FO49:FQ49" ca="1" si="153">SUM(FO46:FO48)</f>
        <v>-1951.0259999999976</v>
      </c>
      <c r="FP49" s="1180">
        <f t="shared" si="153"/>
        <v>177896.12666666671</v>
      </c>
      <c r="FQ49" s="1180">
        <f t="shared" ca="1" si="153"/>
        <v>1373.9740000000052</v>
      </c>
      <c r="FR49" s="1181"/>
      <c r="FS49" s="1182"/>
      <c r="FT49" s="1182"/>
      <c r="FU49" s="1182"/>
      <c r="FV49" s="1158"/>
      <c r="FW49" s="1181"/>
    </row>
  </sheetData>
  <mergeCells count="51">
    <mergeCell ref="BR12:BT12"/>
    <mergeCell ref="BK12:BM12"/>
    <mergeCell ref="BG12:BI12"/>
    <mergeCell ref="BD12:BF12"/>
    <mergeCell ref="AW12:AY12"/>
    <mergeCell ref="AP12:AR12"/>
    <mergeCell ref="AI12:AK12"/>
    <mergeCell ref="AL12:AN12"/>
    <mergeCell ref="AZ12:BB12"/>
    <mergeCell ref="BN12:BP12"/>
    <mergeCell ref="AS12:AU12"/>
    <mergeCell ref="FH10:FJ10"/>
    <mergeCell ref="FH12:FJ12"/>
    <mergeCell ref="FS12:FU12"/>
    <mergeCell ref="FO12:FQ12"/>
    <mergeCell ref="FL12:FN12"/>
    <mergeCell ref="FA12:FC12"/>
    <mergeCell ref="FE12:FG12"/>
    <mergeCell ref="EF12:EH12"/>
    <mergeCell ref="ET12:EV12"/>
    <mergeCell ref="EX12:EZ12"/>
    <mergeCell ref="EQ12:ES12"/>
    <mergeCell ref="EJ12:EL12"/>
    <mergeCell ref="EM12:EO12"/>
    <mergeCell ref="EC12:EE12"/>
    <mergeCell ref="DY12:EA12"/>
    <mergeCell ref="DV12:DX12"/>
    <mergeCell ref="DO12:DQ12"/>
    <mergeCell ref="DK12:DM12"/>
    <mergeCell ref="DR12:DT12"/>
    <mergeCell ref="DD12:DF12"/>
    <mergeCell ref="DH12:DJ12"/>
    <mergeCell ref="CF12:CH12"/>
    <mergeCell ref="BY12:CA12"/>
    <mergeCell ref="BU12:BW12"/>
    <mergeCell ref="DA12:DC12"/>
    <mergeCell ref="CW12:CY12"/>
    <mergeCell ref="CT12:CV12"/>
    <mergeCell ref="CM12:CO12"/>
    <mergeCell ref="CI12:CK12"/>
    <mergeCell ref="CB12:CD12"/>
    <mergeCell ref="CP12:CR12"/>
    <mergeCell ref="AE12:AG12"/>
    <mergeCell ref="AB12:AD12"/>
    <mergeCell ref="U12:W12"/>
    <mergeCell ref="X12:Z12"/>
    <mergeCell ref="C12:E12"/>
    <mergeCell ref="J12:L12"/>
    <mergeCell ref="Q12:S12"/>
    <mergeCell ref="N12:P12"/>
    <mergeCell ref="G12:I12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10" orientation="portrait"/>
  <headerFooter alignWithMargins="0">
    <oddHeader>&amp;A</oddHeader>
    <oddFooter>&amp;LVertraulich&amp;C&amp;D&amp;RSeite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8">
    <tabColor rgb="FFEBE600"/>
  </sheetPr>
  <dimension ref="A1:N81"/>
  <sheetViews>
    <sheetView showGridLines="0" zoomScale="175" zoomScaleNormal="175" workbookViewId="0">
      <pane ySplit="4" topLeftCell="A5" activePane="bottomLeft" state="frozen"/>
      <selection activeCell="B73" sqref="B73"/>
      <selection pane="bottomLeft" activeCell="A5" sqref="A5"/>
    </sheetView>
  </sheetViews>
  <sheetFormatPr baseColWidth="10" defaultColWidth="11.28515625" defaultRowHeight="12.75" outlineLevelRow="1" x14ac:dyDescent="0.2"/>
  <cols>
    <col min="1" max="1" width="3.5703125" style="1332" customWidth="1"/>
    <col min="2" max="2" width="37.5703125" style="1332" customWidth="1"/>
    <col min="3" max="5" width="8.140625" style="1332" customWidth="1"/>
    <col min="6" max="10" width="8.140625" style="1333" customWidth="1"/>
    <col min="11" max="11" width="11.28515625" style="1303" customWidth="1"/>
    <col min="12" max="12" width="10.28515625" style="1303" bestFit="1" customWidth="1"/>
    <col min="13" max="13" width="22.140625" style="1303" bestFit="1" customWidth="1"/>
    <col min="14" max="14" width="14.5703125" style="1303" bestFit="1" customWidth="1"/>
    <col min="15" max="15" width="11.28515625" style="1303" customWidth="1"/>
    <col min="16" max="16384" width="11.28515625" style="1303"/>
  </cols>
  <sheetData>
    <row r="1" spans="1:14" s="1304" customFormat="1" ht="30" x14ac:dyDescent="0.2">
      <c r="A1" s="1374" t="s">
        <v>815</v>
      </c>
      <c r="B1" s="1375" t="s">
        <v>816</v>
      </c>
      <c r="C1" s="1376" t="s">
        <v>816</v>
      </c>
      <c r="D1" s="1376" t="s">
        <v>816</v>
      </c>
      <c r="E1" s="1376" t="s">
        <v>816</v>
      </c>
      <c r="F1" s="1376" t="s">
        <v>816</v>
      </c>
      <c r="G1" s="1376" t="s">
        <v>816</v>
      </c>
      <c r="H1" s="1376" t="s">
        <v>816</v>
      </c>
      <c r="I1" s="1376" t="s">
        <v>816</v>
      </c>
      <c r="J1" s="1376" t="s">
        <v>816</v>
      </c>
      <c r="M1" s="1305" t="s">
        <v>349</v>
      </c>
      <c r="N1" s="1306">
        <f>Grunddaten!$B$7</f>
        <v>10</v>
      </c>
    </row>
    <row r="2" spans="1:14" s="1307" customFormat="1" ht="11.25" customHeight="1" x14ac:dyDescent="0.2">
      <c r="A2" s="1264" t="s">
        <v>816</v>
      </c>
      <c r="B2" s="1265" t="s">
        <v>816</v>
      </c>
      <c r="C2" s="1265" t="s">
        <v>816</v>
      </c>
      <c r="D2" s="1265" t="s">
        <v>816</v>
      </c>
      <c r="E2" s="1265" t="s">
        <v>693</v>
      </c>
      <c r="F2" s="1265" t="s">
        <v>816</v>
      </c>
      <c r="G2" s="1265" t="s">
        <v>696</v>
      </c>
      <c r="H2" s="1265" t="s">
        <v>696</v>
      </c>
      <c r="I2" s="1265" t="s">
        <v>697</v>
      </c>
      <c r="J2" s="1265" t="s">
        <v>816</v>
      </c>
      <c r="M2" s="1308" t="s">
        <v>817</v>
      </c>
      <c r="N2" s="1306">
        <f>INDEX(N5:N16,MATCH(N1,L5:L16,0))</f>
        <v>136</v>
      </c>
    </row>
    <row r="3" spans="1:14" s="1309" customFormat="1" ht="11.25" customHeight="1" x14ac:dyDescent="0.2">
      <c r="A3" s="1266" t="str">
        <f>IF(ISBLANK('Planzahlen Rentabilität'!A10),"",'Planzahlen Rentabilität'!A10)</f>
        <v>Nr.</v>
      </c>
      <c r="B3" s="1267" t="str">
        <f>IF(ISBLANK('Planzahlen Rentabilität'!B10),"",'Planzahlen Rentabilität'!B10)</f>
        <v>Kontenposition</v>
      </c>
      <c r="C3" s="1377">
        <f>INDEX('Planzahlen Rentabilität'!$A:$GZ,ROW(C3)+7,COLUMN(C3)-3+$N$2)</f>
        <v>43739</v>
      </c>
      <c r="D3" s="1377" t="s">
        <v>134</v>
      </c>
      <c r="E3" s="1377" t="s">
        <v>816</v>
      </c>
      <c r="F3" s="1378" t="s">
        <v>790</v>
      </c>
      <c r="G3" s="1378"/>
      <c r="H3" s="1378" t="s">
        <v>791</v>
      </c>
      <c r="I3" s="1378"/>
      <c r="J3" s="1378"/>
    </row>
    <row r="4" spans="1:14" s="1309" customFormat="1" ht="11.25" customHeight="1" x14ac:dyDescent="0.2">
      <c r="A4" s="1266" t="str">
        <f>IF(ISBLANK('Planzahlen Rentabilität'!A11),"",'Planzahlen Rentabilität'!A11)</f>
        <v/>
      </c>
      <c r="B4" s="1267" t="str">
        <f>IF(ISBLANK('Planzahlen Rentabilität'!B11),"",'Planzahlen Rentabilität'!B11)</f>
        <v/>
      </c>
      <c r="C4" s="1266" t="str">
        <f>INDEX('Planzahlen Rentabilität'!$A:$GZ,ROW(C4)+7,COLUMN(C4)-3+$N$2)</f>
        <v>Vorjahr</v>
      </c>
      <c r="D4" s="1266" t="str">
        <f>INDEX('Planzahlen Rentabilität'!$A:$GZ,ROW(D4)+7,COLUMN(D4)-3+$N$2)</f>
        <v>Plan</v>
      </c>
      <c r="E4" s="1266" t="str">
        <f>INDEX('Planzahlen Rentabilität'!$A:$GZ,ROW(E4)+7,COLUMN(E4)-3+$N$2)</f>
        <v>Ist</v>
      </c>
      <c r="F4" s="1266" t="s">
        <v>818</v>
      </c>
      <c r="G4" s="1266" t="s">
        <v>819</v>
      </c>
      <c r="H4" s="1266" t="s">
        <v>50</v>
      </c>
      <c r="I4" s="1266" t="s">
        <v>205</v>
      </c>
      <c r="J4" s="1266" t="s">
        <v>206</v>
      </c>
      <c r="L4" s="1306" t="s">
        <v>36</v>
      </c>
      <c r="M4" s="1306" t="s">
        <v>37</v>
      </c>
      <c r="N4" s="1306" t="s">
        <v>820</v>
      </c>
    </row>
    <row r="5" spans="1:14" s="1309" customFormat="1" ht="11.25" customHeight="1" x14ac:dyDescent="0.2">
      <c r="A5" s="1268">
        <f>IF(ISBLANK('Planzahlen Rentabilität'!A12),"",'Planzahlen Rentabilität'!A12)</f>
        <v>1</v>
      </c>
      <c r="B5" s="1269" t="str">
        <f>IF(ISBLANK('Planzahlen Rentabilität'!B12),"",'Planzahlen Rentabilität'!B12)</f>
        <v>Umsatz</v>
      </c>
      <c r="C5" s="1270">
        <f ca="1">INDEX('Planzahlen Rentabilität'!$A:$GZ,ROW(C5)+7,COLUMN(C5)-3+$N$2)</f>
        <v>32560.12</v>
      </c>
      <c r="D5" s="1271">
        <f>INDEX('Planzahlen Rentabilität'!$A:$GZ,ROW(D5)+7,COLUMN(D5)-3+$N$2)</f>
        <v>103418.6</v>
      </c>
      <c r="E5" s="1272">
        <f ca="1">INDEX('Planzahlen Rentabilität'!$A:$GZ,ROW(E5)+7,COLUMN(E5)-3+$N$2)</f>
        <v>32560.12</v>
      </c>
      <c r="F5" s="1273">
        <f ca="1">E5-C5</f>
        <v>0</v>
      </c>
      <c r="G5" s="1273">
        <f t="shared" ref="G5:G51" ca="1" si="0">E5-D5</f>
        <v>-70858.48000000001</v>
      </c>
      <c r="H5" s="1274"/>
      <c r="I5" s="1274"/>
      <c r="J5" s="1274"/>
      <c r="L5" s="1310">
        <v>1</v>
      </c>
      <c r="M5" s="1311">
        <f>'Planzahlen Rentabilität'!J$10</f>
        <v>43466</v>
      </c>
      <c r="N5" s="1310">
        <f>COLUMN('Planzahlen Rentabilität'!J$10)</f>
        <v>10</v>
      </c>
    </row>
    <row r="6" spans="1:14" s="1309" customFormat="1" ht="11.25" customHeight="1" x14ac:dyDescent="0.2">
      <c r="A6" s="1275">
        <f>IF(ISBLANK('Planzahlen Rentabilität'!A13),"",'Planzahlen Rentabilität'!A13)</f>
        <v>2</v>
      </c>
      <c r="B6" s="1276" t="str">
        <f>IF(ISBLANK('Planzahlen Rentabilität'!B13),"",'Planzahlen Rentabilität'!B13)</f>
        <v>Bestandsveränderung Halbfertige Arbeiten</v>
      </c>
      <c r="C6" s="1270">
        <f ca="1">INDEX('Planzahlen Rentabilität'!$A:$GZ,ROW(C6)+7,COLUMN(C6)-3+$N$2)</f>
        <v>843</v>
      </c>
      <c r="D6" s="1271">
        <f>INDEX('Planzahlen Rentabilität'!$A:$GZ,ROW(D6)+7,COLUMN(D6)-3+$N$2)</f>
        <v>0</v>
      </c>
      <c r="E6" s="1272">
        <f ca="1">INDEX('Planzahlen Rentabilität'!$A:$GZ,ROW(E6)+7,COLUMN(E6)-3+$N$2)</f>
        <v>160</v>
      </c>
      <c r="F6" s="1273">
        <f t="shared" ref="F6:F55" ca="1" si="1">E6-C6</f>
        <v>-683</v>
      </c>
      <c r="G6" s="1273">
        <f t="shared" ca="1" si="0"/>
        <v>160</v>
      </c>
      <c r="H6" s="1274"/>
      <c r="I6" s="1274"/>
      <c r="J6" s="1274"/>
      <c r="L6" s="1310">
        <f>L5+1</f>
        <v>2</v>
      </c>
      <c r="M6" s="1311">
        <f>'Planzahlen Rentabilität'!X$10</f>
        <v>43497</v>
      </c>
      <c r="N6" s="1310">
        <f>COLUMN('Planzahlen Rentabilität'!X$10)</f>
        <v>24</v>
      </c>
    </row>
    <row r="7" spans="1:14" s="1309" customFormat="1" ht="11.25" customHeight="1" x14ac:dyDescent="0.2">
      <c r="A7" s="1277">
        <f>IF(ISBLANK('Planzahlen Rentabilität'!A14),"",'Planzahlen Rentabilität'!A14)</f>
        <v>3</v>
      </c>
      <c r="B7" s="1278" t="str">
        <f>IF(ISBLANK('Planzahlen Rentabilität'!B14),"",'Planzahlen Rentabilität'!B14)</f>
        <v>Sonstige betriebliche Erträge</v>
      </c>
      <c r="C7" s="1270">
        <f ca="1">INDEX('Planzahlen Rentabilität'!$A:$GZ,ROW(C7)+7,COLUMN(C7)-3+$N$2)</f>
        <v>0</v>
      </c>
      <c r="D7" s="1271">
        <f>INDEX('Planzahlen Rentabilität'!$A:$GZ,ROW(D7)+7,COLUMN(D7)-3+$N$2)</f>
        <v>0</v>
      </c>
      <c r="E7" s="1272">
        <f ca="1">INDEX('Planzahlen Rentabilität'!$A:$GZ,ROW(E7)+7,COLUMN(E7)-3+$N$2)</f>
        <v>0</v>
      </c>
      <c r="F7" s="1273">
        <f t="shared" ca="1" si="1"/>
        <v>0</v>
      </c>
      <c r="G7" s="1273">
        <f t="shared" ca="1" si="0"/>
        <v>0</v>
      </c>
      <c r="H7" s="1279"/>
      <c r="I7" s="1279"/>
      <c r="J7" s="1279"/>
      <c r="L7" s="1310">
        <f t="shared" ref="L7:L16" si="2">L6+1</f>
        <v>3</v>
      </c>
      <c r="M7" s="1311">
        <f>'Planzahlen Rentabilität'!AL$10</f>
        <v>43525</v>
      </c>
      <c r="N7" s="1310">
        <f>COLUMN('Planzahlen Rentabilität'!AL$10)</f>
        <v>38</v>
      </c>
    </row>
    <row r="8" spans="1:14" s="1309" customFormat="1" ht="11.25" customHeight="1" x14ac:dyDescent="0.2">
      <c r="A8" s="1266" t="str">
        <f>IF(ISBLANK('Planzahlen Rentabilität'!A15),"",'Planzahlen Rentabilität'!A15)</f>
        <v>I</v>
      </c>
      <c r="B8" s="1267" t="str">
        <f>IF(ISBLANK('Planzahlen Rentabilität'!B15),"",'Planzahlen Rentabilität'!B15)</f>
        <v>Gesamtleistung</v>
      </c>
      <c r="C8" s="1280">
        <f ca="1">INDEX('Planzahlen Rentabilität'!$A:$GZ,ROW(C8)+7,COLUMN(C8)-3+$N$2)</f>
        <v>33403.119999999995</v>
      </c>
      <c r="D8" s="1280">
        <f>INDEX('Planzahlen Rentabilität'!$A:$GZ,ROW(D8)+7,COLUMN(D8)-3+$N$2)</f>
        <v>103418.6</v>
      </c>
      <c r="E8" s="1280">
        <f ca="1">INDEX('Planzahlen Rentabilität'!$A:$GZ,ROW(E8)+7,COLUMN(E8)-3+$N$2)</f>
        <v>32720.12</v>
      </c>
      <c r="F8" s="1281">
        <f t="shared" ca="1" si="1"/>
        <v>-682.99999999999636</v>
      </c>
      <c r="G8" s="1281">
        <f t="shared" ca="1" si="0"/>
        <v>-70698.48000000001</v>
      </c>
      <c r="H8" s="1282">
        <v>1</v>
      </c>
      <c r="I8" s="1282">
        <v>1</v>
      </c>
      <c r="J8" s="1282">
        <v>1</v>
      </c>
      <c r="L8" s="1310">
        <f t="shared" si="2"/>
        <v>4</v>
      </c>
      <c r="M8" s="1311">
        <f>'Planzahlen Rentabilität'!AZ$10</f>
        <v>43556</v>
      </c>
      <c r="N8" s="1310">
        <f>COLUMN('Planzahlen Rentabilität'!AZ$10)</f>
        <v>52</v>
      </c>
    </row>
    <row r="9" spans="1:14" s="1309" customFormat="1" ht="11.25" customHeight="1" x14ac:dyDescent="0.2">
      <c r="A9" s="1268">
        <f>IF(ISBLANK('Planzahlen Rentabilität'!A16),"",'Planzahlen Rentabilität'!A16)</f>
        <v>4</v>
      </c>
      <c r="B9" s="1269" t="str">
        <f>IF(ISBLANK('Planzahlen Rentabilität'!B16),"",'Planzahlen Rentabilität'!B16)</f>
        <v xml:space="preserve">Material-Einzelkosten bzw. Wareneinsatz </v>
      </c>
      <c r="C9" s="1270">
        <f ca="1">INDEX('Planzahlen Rentabilität'!$A:$GZ,ROW(C9)+7,COLUMN(C9)-3+$N$2)</f>
        <v>0</v>
      </c>
      <c r="D9" s="1271">
        <f>INDEX('Planzahlen Rentabilität'!$A:$GZ,ROW(D9)+7,COLUMN(D9)-3+$N$2)</f>
        <v>300</v>
      </c>
      <c r="E9" s="1272">
        <f ca="1">INDEX('Planzahlen Rentabilität'!$A:$GZ,ROW(E9)+7,COLUMN(E9)-3+$N$2)</f>
        <v>0</v>
      </c>
      <c r="F9" s="1273">
        <f t="shared" ca="1" si="1"/>
        <v>0</v>
      </c>
      <c r="G9" s="1273">
        <f t="shared" ca="1" si="0"/>
        <v>-300</v>
      </c>
      <c r="H9" s="1274"/>
      <c r="I9" s="1274"/>
      <c r="J9" s="1274"/>
      <c r="L9" s="1310">
        <f t="shared" si="2"/>
        <v>5</v>
      </c>
      <c r="M9" s="1311">
        <f>'Planzahlen Rentabilität'!BN$10</f>
        <v>43586</v>
      </c>
      <c r="N9" s="1310">
        <f>COLUMN('Planzahlen Rentabilität'!BN$10)</f>
        <v>66</v>
      </c>
    </row>
    <row r="10" spans="1:14" s="1309" customFormat="1" ht="11.25" customHeight="1" x14ac:dyDescent="0.2">
      <c r="A10" s="1275">
        <f>IF(ISBLANK('Planzahlen Rentabilität'!A17),"",'Planzahlen Rentabilität'!A17)</f>
        <v>5</v>
      </c>
      <c r="B10" s="1276" t="str">
        <f>IF(ISBLANK('Planzahlen Rentabilität'!B17),"",'Planzahlen Rentabilität'!B17)</f>
        <v>Lagerbestandsveränderungen</v>
      </c>
      <c r="C10" s="1270">
        <f ca="1">INDEX('Planzahlen Rentabilität'!$A:$GZ,ROW(C10)+7,COLUMN(C10)-3+$N$2)</f>
        <v>571</v>
      </c>
      <c r="D10" s="1271">
        <f>INDEX('Planzahlen Rentabilität'!$A:$GZ,ROW(D10)+7,COLUMN(D10)-3+$N$2)</f>
        <v>0</v>
      </c>
      <c r="E10" s="1272">
        <f ca="1">INDEX('Planzahlen Rentabilität'!$A:$GZ,ROW(E10)+7,COLUMN(E10)-3+$N$2)</f>
        <v>7800</v>
      </c>
      <c r="F10" s="1273">
        <f t="shared" ca="1" si="1"/>
        <v>7229</v>
      </c>
      <c r="G10" s="1273">
        <f t="shared" ca="1" si="0"/>
        <v>7800</v>
      </c>
      <c r="H10" s="1274"/>
      <c r="I10" s="1274"/>
      <c r="J10" s="1274"/>
      <c r="L10" s="1310">
        <f t="shared" si="2"/>
        <v>6</v>
      </c>
      <c r="M10" s="1311">
        <f>'Planzahlen Rentabilität'!CB$10</f>
        <v>43617</v>
      </c>
      <c r="N10" s="1310">
        <f>COLUMN('Planzahlen Rentabilität'!CB$10)</f>
        <v>80</v>
      </c>
    </row>
    <row r="11" spans="1:14" s="1309" customFormat="1" ht="11.25" customHeight="1" x14ac:dyDescent="0.2">
      <c r="A11" s="1275">
        <f>IF(ISBLANK('Planzahlen Rentabilität'!A18),"",'Planzahlen Rentabilität'!A18)</f>
        <v>6</v>
      </c>
      <c r="B11" s="1276" t="str">
        <f>IF(ISBLANK('Planzahlen Rentabilität'!B18),"",'Planzahlen Rentabilität'!B18)</f>
        <v>Bezugskosten / Verkäuferprovisionen</v>
      </c>
      <c r="C11" s="1270">
        <f ca="1">INDEX('Planzahlen Rentabilität'!$A:$GZ,ROW(C11)+7,COLUMN(C11)-3+$N$2)</f>
        <v>0</v>
      </c>
      <c r="D11" s="1271">
        <f>INDEX('Planzahlen Rentabilität'!$A:$GZ,ROW(D11)+7,COLUMN(D11)-3+$N$2)</f>
        <v>0</v>
      </c>
      <c r="E11" s="1272">
        <f ca="1">INDEX('Planzahlen Rentabilität'!$A:$GZ,ROW(E11)+7,COLUMN(E11)-3+$N$2)</f>
        <v>0</v>
      </c>
      <c r="F11" s="1273">
        <f t="shared" ca="1" si="1"/>
        <v>0</v>
      </c>
      <c r="G11" s="1273">
        <f t="shared" ca="1" si="0"/>
        <v>0</v>
      </c>
      <c r="H11" s="1274"/>
      <c r="I11" s="1274"/>
      <c r="J11" s="1274"/>
      <c r="L11" s="1310">
        <f t="shared" si="2"/>
        <v>7</v>
      </c>
      <c r="M11" s="1311">
        <f>'Planzahlen Rentabilität'!CP$10</f>
        <v>43647</v>
      </c>
      <c r="N11" s="1310">
        <f>COLUMN('Planzahlen Rentabilität'!CP$10)</f>
        <v>94</v>
      </c>
    </row>
    <row r="12" spans="1:14" s="1309" customFormat="1" ht="11.25" customHeight="1" x14ac:dyDescent="0.2">
      <c r="A12" s="1275">
        <f>IF(ISBLANK('Planzahlen Rentabilität'!A19),"",'Planzahlen Rentabilität'!A19)</f>
        <v>7</v>
      </c>
      <c r="B12" s="1276" t="str">
        <f>IF(ISBLANK('Planzahlen Rentabilität'!B19),"",'Planzahlen Rentabilität'!B19)</f>
        <v>Baustellenabhängige Entsorgungskosten und Miet- / Leasingkosten</v>
      </c>
      <c r="C12" s="1270">
        <f ca="1">INDEX('Planzahlen Rentabilität'!$A:$GZ,ROW(C12)+7,COLUMN(C12)-3+$N$2)</f>
        <v>0</v>
      </c>
      <c r="D12" s="1271">
        <f>INDEX('Planzahlen Rentabilität'!$A:$GZ,ROW(D12)+7,COLUMN(D12)-3+$N$2)</f>
        <v>0</v>
      </c>
      <c r="E12" s="1272">
        <f ca="1">INDEX('Planzahlen Rentabilität'!$A:$GZ,ROW(E12)+7,COLUMN(E12)-3+$N$2)</f>
        <v>0</v>
      </c>
      <c r="F12" s="1273">
        <f t="shared" ca="1" si="1"/>
        <v>0</v>
      </c>
      <c r="G12" s="1273">
        <f t="shared" ca="1" si="0"/>
        <v>0</v>
      </c>
      <c r="H12" s="1274"/>
      <c r="I12" s="1274"/>
      <c r="J12" s="1274"/>
      <c r="L12" s="1310">
        <f t="shared" si="2"/>
        <v>8</v>
      </c>
      <c r="M12" s="1311">
        <f>'Planzahlen Rentabilität'!DD$10</f>
        <v>43678</v>
      </c>
      <c r="N12" s="1310">
        <f>COLUMN('Planzahlen Rentabilität'!DD$10)</f>
        <v>108</v>
      </c>
    </row>
    <row r="13" spans="1:14" s="1309" customFormat="1" ht="11.25" customHeight="1" x14ac:dyDescent="0.2">
      <c r="A13" s="1275">
        <f>IF(ISBLANK('Planzahlen Rentabilität'!A20),"",'Planzahlen Rentabilität'!A20)</f>
        <v>8</v>
      </c>
      <c r="B13" s="1276" t="str">
        <f>IF(ISBLANK('Planzahlen Rentabilität'!B20),"",'Planzahlen Rentabilität'!B20)</f>
        <v>Lieferantenskonti / -boni</v>
      </c>
      <c r="C13" s="1270">
        <f ca="1">INDEX('Planzahlen Rentabilität'!$A:$GZ,ROW(C13)+7,COLUMN(C13)-3+$N$2)</f>
        <v>0</v>
      </c>
      <c r="D13" s="1271">
        <f>INDEX('Planzahlen Rentabilität'!$A:$GZ,ROW(D13)+7,COLUMN(D13)-3+$N$2)</f>
        <v>0</v>
      </c>
      <c r="E13" s="1272">
        <f ca="1">INDEX('Planzahlen Rentabilität'!$A:$GZ,ROW(E13)+7,COLUMN(E13)-3+$N$2)</f>
        <v>0</v>
      </c>
      <c r="F13" s="1273">
        <f t="shared" ca="1" si="1"/>
        <v>0</v>
      </c>
      <c r="G13" s="1273">
        <f t="shared" ca="1" si="0"/>
        <v>0</v>
      </c>
      <c r="H13" s="1274"/>
      <c r="I13" s="1274"/>
      <c r="J13" s="1274"/>
      <c r="L13" s="1310">
        <f t="shared" si="2"/>
        <v>9</v>
      </c>
      <c r="M13" s="1311">
        <f>'Planzahlen Rentabilität'!DR$10</f>
        <v>43709</v>
      </c>
      <c r="N13" s="1310">
        <f>COLUMN('Planzahlen Rentabilität'!DR$10)</f>
        <v>122</v>
      </c>
    </row>
    <row r="14" spans="1:14" s="1309" customFormat="1" ht="11.25" customHeight="1" x14ac:dyDescent="0.2">
      <c r="A14" s="1283">
        <f>IF(ISBLANK('Planzahlen Rentabilität'!A21),"",'Planzahlen Rentabilität'!A21)</f>
        <v>9</v>
      </c>
      <c r="B14" s="1284" t="str">
        <f>IF(ISBLANK('Planzahlen Rentabilität'!B21),"",'Planzahlen Rentabilität'!B21)</f>
        <v>Fremdleistungen (Subunternehmer)</v>
      </c>
      <c r="C14" s="1270">
        <f ca="1">INDEX('Planzahlen Rentabilität'!$A:$GZ,ROW(C14)+7,COLUMN(C14)-3+$N$2)</f>
        <v>211.78</v>
      </c>
      <c r="D14" s="1271">
        <f>INDEX('Planzahlen Rentabilität'!$A:$GZ,ROW(D14)+7,COLUMN(D14)-3+$N$2)</f>
        <v>40</v>
      </c>
      <c r="E14" s="1285">
        <f ca="1">INDEX('Planzahlen Rentabilität'!$A:$GZ,ROW(E14)+7,COLUMN(E14)-3+$N$2)</f>
        <v>211.78</v>
      </c>
      <c r="F14" s="1273">
        <f t="shared" ca="1" si="1"/>
        <v>0</v>
      </c>
      <c r="G14" s="1273">
        <f t="shared" ca="1" si="0"/>
        <v>171.78</v>
      </c>
      <c r="H14" s="1274"/>
      <c r="I14" s="1274"/>
      <c r="J14" s="1274"/>
      <c r="L14" s="1310">
        <f t="shared" si="2"/>
        <v>10</v>
      </c>
      <c r="M14" s="1311">
        <f>'Planzahlen Rentabilität'!EF$10</f>
        <v>43739</v>
      </c>
      <c r="N14" s="1310">
        <f>COLUMN('Planzahlen Rentabilität'!EF$10)</f>
        <v>136</v>
      </c>
    </row>
    <row r="15" spans="1:14" s="1309" customFormat="1" ht="11.25" customHeight="1" x14ac:dyDescent="0.2">
      <c r="A15" s="1266" t="str">
        <f>IF(ISBLANK('Planzahlen Rentabilität'!A22),"",'Planzahlen Rentabilität'!A22)</f>
        <v>II</v>
      </c>
      <c r="B15" s="1267" t="str">
        <f>IF(ISBLANK('Planzahlen Rentabilität'!B22),"",'Planzahlen Rentabilität'!B22)</f>
        <v>Rohgewinn / Deckungsbeitrag</v>
      </c>
      <c r="C15" s="1280">
        <f ca="1">INDEX('Planzahlen Rentabilität'!$A:$GZ,ROW(C15)+7,COLUMN(C15)-3+$N$2)</f>
        <v>32620.339999999997</v>
      </c>
      <c r="D15" s="1280">
        <f>INDEX('Planzahlen Rentabilität'!$A:$GZ,ROW(D15)+7,COLUMN(D15)-3+$N$2)</f>
        <v>103078.6</v>
      </c>
      <c r="E15" s="1286">
        <f ca="1">INDEX('Planzahlen Rentabilität'!$A:$GZ,ROW(E15)+7,COLUMN(E15)-3+$N$2)</f>
        <v>24708.34</v>
      </c>
      <c r="F15" s="1281">
        <f t="shared" ca="1" si="1"/>
        <v>-7911.9999999999964</v>
      </c>
      <c r="G15" s="1281">
        <f t="shared" ca="1" si="0"/>
        <v>-78370.260000000009</v>
      </c>
      <c r="H15" s="1287">
        <f t="shared" ref="H15:J16" ca="1" si="3">C15/C$8</f>
        <v>0.97656566212976514</v>
      </c>
      <c r="I15" s="1287">
        <f t="shared" si="3"/>
        <v>0.99671239022767666</v>
      </c>
      <c r="J15" s="1287">
        <f t="shared" ca="1" si="3"/>
        <v>0.75514209605588245</v>
      </c>
      <c r="L15" s="1310">
        <f t="shared" si="2"/>
        <v>11</v>
      </c>
      <c r="M15" s="1311">
        <f>'Planzahlen Rentabilität'!ET$10</f>
        <v>43770</v>
      </c>
      <c r="N15" s="1310">
        <f>COLUMN('Planzahlen Rentabilität'!ET$10)</f>
        <v>150</v>
      </c>
    </row>
    <row r="16" spans="1:14" s="1309" customFormat="1" ht="11.25" customHeight="1" x14ac:dyDescent="0.2">
      <c r="A16" s="1288" t="str">
        <f>IF(ISBLANK('Planzahlen Rentabilität'!A23),"",'Planzahlen Rentabilität'!A23)</f>
        <v>III</v>
      </c>
      <c r="B16" s="1289" t="str">
        <f>IF(ISBLANK('Planzahlen Rentabilität'!B23),"",'Planzahlen Rentabilität'!B23)</f>
        <v>Personalkosten</v>
      </c>
      <c r="C16" s="1290">
        <f ca="1">INDEX('Planzahlen Rentabilität'!$A:$GZ,ROW(C16)+7,COLUMN(C16)-3+$N$2)</f>
        <v>15782.21</v>
      </c>
      <c r="D16" s="1290">
        <f>INDEX('Planzahlen Rentabilität'!$A:$GZ,ROW(D16)+7,COLUMN(D16)-3+$N$2)</f>
        <v>61672.881944444445</v>
      </c>
      <c r="E16" s="1290">
        <f ca="1">INDEX('Planzahlen Rentabilität'!$A:$GZ,ROW(E16)+7,COLUMN(E16)-3+$N$2)</f>
        <v>15782.21</v>
      </c>
      <c r="F16" s="1291">
        <f t="shared" ca="1" si="1"/>
        <v>0</v>
      </c>
      <c r="G16" s="1291">
        <f t="shared" ca="1" si="0"/>
        <v>-45890.671944444446</v>
      </c>
      <c r="H16" s="1292">
        <f t="shared" ca="1" si="3"/>
        <v>0.47247712189759522</v>
      </c>
      <c r="I16" s="1292">
        <f t="shared" si="3"/>
        <v>0.59634226284676495</v>
      </c>
      <c r="J16" s="1292">
        <f t="shared" ca="1" si="3"/>
        <v>0.48233961244640911</v>
      </c>
      <c r="L16" s="1310">
        <f t="shared" si="2"/>
        <v>12</v>
      </c>
      <c r="M16" s="1311">
        <f>'Planzahlen Rentabilität'!FH$10</f>
        <v>43800</v>
      </c>
      <c r="N16" s="1310">
        <f>COLUMN('Planzahlen Rentabilität'!FH$10)</f>
        <v>164</v>
      </c>
    </row>
    <row r="17" spans="1:10" s="1309" customFormat="1" ht="11.25" customHeight="1" x14ac:dyDescent="0.2">
      <c r="A17" s="1277">
        <f>IF(ISBLANK('Planzahlen Rentabilität'!A24),"",'Planzahlen Rentabilität'!A24)</f>
        <v>10</v>
      </c>
      <c r="B17" s="1278" t="str">
        <f>IF(ISBLANK('Planzahlen Rentabilität'!B24),"",'Planzahlen Rentabilität'!B24)</f>
        <v>Löhne und Gehälter</v>
      </c>
      <c r="C17" s="1270">
        <f ca="1">INDEX('Planzahlen Rentabilität'!$A:$GZ,ROW(C17)+7,COLUMN(C17)-3+$N$2)</f>
        <v>13153.259999999998</v>
      </c>
      <c r="D17" s="1271">
        <f>INDEX('Planzahlen Rentabilität'!$A:$GZ,ROW(D17)+7,COLUMN(D17)-3+$N$2)</f>
        <v>61672.881944444445</v>
      </c>
      <c r="E17" s="1272">
        <f ca="1">INDEX('Planzahlen Rentabilität'!$A:$GZ,ROW(E17)+7,COLUMN(E17)-3+$N$2)</f>
        <v>13153.259999999998</v>
      </c>
      <c r="F17" s="1293">
        <f t="shared" ca="1" si="1"/>
        <v>0</v>
      </c>
      <c r="G17" s="1293">
        <f t="shared" ca="1" si="0"/>
        <v>-48519.621944444443</v>
      </c>
      <c r="H17" s="1294"/>
      <c r="I17" s="1294"/>
      <c r="J17" s="1294"/>
    </row>
    <row r="18" spans="1:10" s="1309" customFormat="1" ht="11.25" customHeight="1" outlineLevel="1" x14ac:dyDescent="0.2">
      <c r="A18" s="1277">
        <f>IF(ISBLANK('Planzahlen Rentabilität'!A25),"",'Planzahlen Rentabilität'!A25)</f>
        <v>11</v>
      </c>
      <c r="B18" s="1278" t="str">
        <f>IF(ISBLANK('Planzahlen Rentabilität'!B25),"",'Planzahlen Rentabilität'!B25)</f>
        <v>Gesetzl. Sozialaufwendungen + Beitr. zur s. A.</v>
      </c>
      <c r="C18" s="1270">
        <f ca="1">INDEX('Planzahlen Rentabilität'!$A:$GZ,ROW(C18)+7,COLUMN(C18)-3+$N$2)</f>
        <v>2288.59</v>
      </c>
      <c r="D18" s="1271">
        <f>INDEX('Planzahlen Rentabilität'!$A:$GZ,ROW(D18)+7,COLUMN(D18)-3+$N$2)</f>
        <v>0</v>
      </c>
      <c r="E18" s="1272">
        <f ca="1">INDEX('Planzahlen Rentabilität'!$A:$GZ,ROW(E18)+7,COLUMN(E18)-3+$N$2)</f>
        <v>2288.59</v>
      </c>
      <c r="F18" s="1293">
        <f t="shared" ca="1" si="1"/>
        <v>0</v>
      </c>
      <c r="G18" s="1293">
        <f t="shared" ca="1" si="0"/>
        <v>2288.59</v>
      </c>
      <c r="H18" s="1294"/>
      <c r="I18" s="1294"/>
      <c r="J18" s="1294"/>
    </row>
    <row r="19" spans="1:10" s="1309" customFormat="1" ht="11.25" customHeight="1" outlineLevel="1" x14ac:dyDescent="0.2">
      <c r="A19" s="1277">
        <f>IF(ISBLANK('Planzahlen Rentabilität'!A26),"",'Planzahlen Rentabilität'!A26)</f>
        <v>12</v>
      </c>
      <c r="B19" s="1278" t="str">
        <f>IF(ISBLANK('Planzahlen Rentabilität'!B26),"",'Planzahlen Rentabilität'!B26)</f>
        <v>Vermögenswirksame Leistungen</v>
      </c>
      <c r="C19" s="1270">
        <f ca="1">INDEX('Planzahlen Rentabilität'!$A:$GZ,ROW(C19)+7,COLUMN(C19)-3+$N$2)</f>
        <v>0</v>
      </c>
      <c r="D19" s="1271">
        <f>INDEX('Planzahlen Rentabilität'!$A:$GZ,ROW(D19)+7,COLUMN(D19)-3+$N$2)</f>
        <v>0</v>
      </c>
      <c r="E19" s="1272">
        <f ca="1">INDEX('Planzahlen Rentabilität'!$A:$GZ,ROW(E19)+7,COLUMN(E19)-3+$N$2)</f>
        <v>0</v>
      </c>
      <c r="F19" s="1293">
        <f t="shared" ca="1" si="1"/>
        <v>0</v>
      </c>
      <c r="G19" s="1293">
        <f t="shared" ca="1" si="0"/>
        <v>0</v>
      </c>
      <c r="H19" s="1294"/>
      <c r="I19" s="1294"/>
      <c r="J19" s="1294"/>
    </row>
    <row r="20" spans="1:10" s="1309" customFormat="1" ht="11.25" customHeight="1" outlineLevel="1" x14ac:dyDescent="0.2">
      <c r="A20" s="1277">
        <f>IF(ISBLANK('Planzahlen Rentabilität'!A27),"",'Planzahlen Rentabilität'!A27)</f>
        <v>13</v>
      </c>
      <c r="B20" s="1278" t="str">
        <f>IF(ISBLANK('Planzahlen Rentabilität'!B27),"",'Planzahlen Rentabilität'!B27)</f>
        <v>Lohnsteuer</v>
      </c>
      <c r="C20" s="1270">
        <f ca="1">INDEX('Planzahlen Rentabilität'!$A:$GZ,ROW(C20)+7,COLUMN(C20)-3+$N$2)</f>
        <v>340.36</v>
      </c>
      <c r="D20" s="1271">
        <f>INDEX('Planzahlen Rentabilität'!$A:$GZ,ROW(D20)+7,COLUMN(D20)-3+$N$2)</f>
        <v>0</v>
      </c>
      <c r="E20" s="1272">
        <f ca="1">INDEX('Planzahlen Rentabilität'!$A:$GZ,ROW(E20)+7,COLUMN(E20)-3+$N$2)</f>
        <v>340.36</v>
      </c>
      <c r="F20" s="1293">
        <f t="shared" ca="1" si="1"/>
        <v>0</v>
      </c>
      <c r="G20" s="1293">
        <f t="shared" ca="1" si="0"/>
        <v>340.36</v>
      </c>
      <c r="H20" s="1294"/>
      <c r="I20" s="1294"/>
      <c r="J20" s="1294"/>
    </row>
    <row r="21" spans="1:10" s="1309" customFormat="1" ht="11.25" customHeight="1" outlineLevel="1" x14ac:dyDescent="0.2">
      <c r="A21" s="1277">
        <f>IF(ISBLANK('Planzahlen Rentabilität'!A28),"",'Planzahlen Rentabilität'!A28)</f>
        <v>14</v>
      </c>
      <c r="B21" s="1278" t="str">
        <f>IF(ISBLANK('Planzahlen Rentabilität'!B28),"",'Planzahlen Rentabilität'!B28)</f>
        <v>Fremdleistungen (Leiharbeiter)</v>
      </c>
      <c r="C21" s="1270">
        <f ca="1">INDEX('Planzahlen Rentabilität'!$A:$GZ,ROW(C21)+7,COLUMN(C21)-3+$N$2)</f>
        <v>0</v>
      </c>
      <c r="D21" s="1271">
        <f>INDEX('Planzahlen Rentabilität'!$A:$GZ,ROW(D21)+7,COLUMN(D21)-3+$N$2)</f>
        <v>0</v>
      </c>
      <c r="E21" s="1285">
        <f ca="1">INDEX('Planzahlen Rentabilität'!$A:$GZ,ROW(E21)+7,COLUMN(E21)-3+$N$2)</f>
        <v>0</v>
      </c>
      <c r="F21" s="1293">
        <f t="shared" ca="1" si="1"/>
        <v>0</v>
      </c>
      <c r="G21" s="1293">
        <f t="shared" ca="1" si="0"/>
        <v>0</v>
      </c>
      <c r="H21" s="1294"/>
      <c r="I21" s="1294"/>
      <c r="J21" s="1294"/>
    </row>
    <row r="22" spans="1:10" s="1309" customFormat="1" ht="11.25" customHeight="1" x14ac:dyDescent="0.2">
      <c r="A22" s="1266" t="str">
        <f>IF(ISBLANK('Planzahlen Rentabilität'!A29),"",'Planzahlen Rentabilität'!A29)</f>
        <v>IV</v>
      </c>
      <c r="B22" s="1267" t="str">
        <f>IF(ISBLANK('Planzahlen Rentabilität'!B29),"",'Planzahlen Rentabilität'!B29)</f>
        <v>Liquidität I / Deckungsbeitrag II</v>
      </c>
      <c r="C22" s="1280">
        <f ca="1">INDEX('Planzahlen Rentabilität'!$A:$GZ,ROW(C22)+7,COLUMN(C22)-3+$N$2)</f>
        <v>16838.129999999997</v>
      </c>
      <c r="D22" s="1280">
        <f>INDEX('Planzahlen Rentabilität'!$A:$GZ,ROW(D22)+7,COLUMN(D22)-3+$N$2)</f>
        <v>41405.718055555561</v>
      </c>
      <c r="E22" s="1286">
        <f ca="1">INDEX('Planzahlen Rentabilität'!$A:$GZ,ROW(E22)+7,COLUMN(E22)-3+$N$2)</f>
        <v>8926.130000000001</v>
      </c>
      <c r="F22" s="1281">
        <f t="shared" ca="1" si="1"/>
        <v>-7911.9999999999964</v>
      </c>
      <c r="G22" s="1281">
        <f t="shared" ca="1" si="0"/>
        <v>-32479.58805555556</v>
      </c>
      <c r="H22" s="1287">
        <f t="shared" ref="H22:J23" ca="1" si="4">C22/C$8</f>
        <v>0.50408854023216987</v>
      </c>
      <c r="I22" s="1287">
        <f t="shared" si="4"/>
        <v>0.40037012738091171</v>
      </c>
      <c r="J22" s="1287">
        <f t="shared" ca="1" si="4"/>
        <v>0.27280248360947335</v>
      </c>
    </row>
    <row r="23" spans="1:10" s="1309" customFormat="1" ht="11.25" customHeight="1" x14ac:dyDescent="0.2">
      <c r="A23" s="1288" t="str">
        <f>IF(ISBLANK('Planzahlen Rentabilität'!A30),"",'Planzahlen Rentabilität'!A30)</f>
        <v>V</v>
      </c>
      <c r="B23" s="1289" t="str">
        <f>IF(ISBLANK('Planzahlen Rentabilität'!B30),"",'Planzahlen Rentabilität'!B30)</f>
        <v>Raumkosten</v>
      </c>
      <c r="C23" s="1290">
        <f ca="1">INDEX('Planzahlen Rentabilität'!$A:$GZ,ROW(C23)+7,COLUMN(C23)-3+$N$2)</f>
        <v>1314.29</v>
      </c>
      <c r="D23" s="1290">
        <f>INDEX('Planzahlen Rentabilität'!$A:$GZ,ROW(D23)+7,COLUMN(D23)-3+$N$2)</f>
        <v>66.666666666666671</v>
      </c>
      <c r="E23" s="1290">
        <f ca="1">INDEX('Planzahlen Rentabilität'!$A:$GZ,ROW(E23)+7,COLUMN(E23)-3+$N$2)</f>
        <v>1314.29</v>
      </c>
      <c r="F23" s="1291">
        <f t="shared" ca="1" si="1"/>
        <v>0</v>
      </c>
      <c r="G23" s="1291">
        <f t="shared" ca="1" si="0"/>
        <v>1247.6233333333332</v>
      </c>
      <c r="H23" s="1292">
        <f t="shared" ca="1" si="4"/>
        <v>3.9346324534953625E-2</v>
      </c>
      <c r="I23" s="1292">
        <f t="shared" si="4"/>
        <v>6.4462936712222625E-4</v>
      </c>
      <c r="J23" s="1292">
        <f t="shared" ca="1" si="4"/>
        <v>4.0167639971980543E-2</v>
      </c>
    </row>
    <row r="24" spans="1:10" s="1309" customFormat="1" ht="11.25" customHeight="1" outlineLevel="1" x14ac:dyDescent="0.2">
      <c r="A24" s="1277">
        <f>IF(ISBLANK('Planzahlen Rentabilität'!A31),"",'Planzahlen Rentabilität'!A31)</f>
        <v>15</v>
      </c>
      <c r="B24" s="1278" t="str">
        <f>IF(ISBLANK('Planzahlen Rentabilität'!B31),"",'Planzahlen Rentabilität'!B31)</f>
        <v>Pacht und Miete</v>
      </c>
      <c r="C24" s="1270">
        <f ca="1">INDEX('Planzahlen Rentabilität'!$A:$GZ,ROW(C24)+7,COLUMN(C24)-3+$N$2)</f>
        <v>1314.29</v>
      </c>
      <c r="D24" s="1271">
        <f>INDEX('Planzahlen Rentabilität'!$A:$GZ,ROW(D24)+7,COLUMN(D24)-3+$N$2)</f>
        <v>16.666666666666668</v>
      </c>
      <c r="E24" s="1272">
        <f ca="1">INDEX('Planzahlen Rentabilität'!$A:$GZ,ROW(E24)+7,COLUMN(E24)-3+$N$2)</f>
        <v>1314.29</v>
      </c>
      <c r="F24" s="1293">
        <f t="shared" ca="1" si="1"/>
        <v>0</v>
      </c>
      <c r="G24" s="1293">
        <f t="shared" ca="1" si="0"/>
        <v>1297.6233333333332</v>
      </c>
      <c r="H24" s="1294"/>
      <c r="I24" s="1294"/>
      <c r="J24" s="1294"/>
    </row>
    <row r="25" spans="1:10" s="1309" customFormat="1" ht="11.25" customHeight="1" outlineLevel="1" x14ac:dyDescent="0.2">
      <c r="A25" s="1277">
        <f>IF(ISBLANK('Planzahlen Rentabilität'!A32),"",'Planzahlen Rentabilität'!A32)</f>
        <v>16</v>
      </c>
      <c r="B25" s="1278" t="str">
        <f>IF(ISBLANK('Planzahlen Rentabilität'!B32),"",'Planzahlen Rentabilität'!B32)</f>
        <v>Raumnebenkosten</v>
      </c>
      <c r="C25" s="1270">
        <f ca="1">INDEX('Planzahlen Rentabilität'!$A:$GZ,ROW(C25)+7,COLUMN(C25)-3+$N$2)</f>
        <v>0</v>
      </c>
      <c r="D25" s="1271">
        <f>INDEX('Planzahlen Rentabilität'!$A:$GZ,ROW(D25)+7,COLUMN(D25)-3+$N$2)</f>
        <v>50</v>
      </c>
      <c r="E25" s="1285">
        <f ca="1">INDEX('Planzahlen Rentabilität'!$A:$GZ,ROW(E25)+7,COLUMN(E25)-3+$N$2)</f>
        <v>0</v>
      </c>
      <c r="F25" s="1293">
        <f t="shared" ca="1" si="1"/>
        <v>0</v>
      </c>
      <c r="G25" s="1293">
        <f t="shared" ca="1" si="0"/>
        <v>-50</v>
      </c>
      <c r="H25" s="1294"/>
      <c r="I25" s="1294"/>
      <c r="J25" s="1294"/>
    </row>
    <row r="26" spans="1:10" s="1309" customFormat="1" ht="11.25" customHeight="1" x14ac:dyDescent="0.2">
      <c r="A26" s="1288" t="str">
        <f>IF(ISBLANK('Planzahlen Rentabilität'!A33),"",'Planzahlen Rentabilität'!A33)</f>
        <v>VI</v>
      </c>
      <c r="B26" s="1289" t="str">
        <f>IF(ISBLANK('Planzahlen Rentabilität'!B33),"",'Planzahlen Rentabilität'!B33)</f>
        <v>Betriebliche Kosten</v>
      </c>
      <c r="C26" s="1290">
        <f ca="1">INDEX('Planzahlen Rentabilität'!$A:$GZ,ROW(C26)+7,COLUMN(C26)-3+$N$2)</f>
        <v>1262.31</v>
      </c>
      <c r="D26" s="1290">
        <f>INDEX('Planzahlen Rentabilität'!$A:$GZ,ROW(D26)+7,COLUMN(D26)-3+$N$2)</f>
        <v>1925.8333333333333</v>
      </c>
      <c r="E26" s="1295">
        <f ca="1">INDEX('Planzahlen Rentabilität'!$A:$GZ,ROW(E26)+7,COLUMN(E26)-3+$N$2)</f>
        <v>1262.31</v>
      </c>
      <c r="F26" s="1291">
        <f t="shared" ca="1" si="1"/>
        <v>0</v>
      </c>
      <c r="G26" s="1291">
        <f t="shared" ca="1" si="0"/>
        <v>-663.52333333333331</v>
      </c>
      <c r="H26" s="1292">
        <f ca="1">C26/C$8</f>
        <v>3.7790182473972492E-2</v>
      </c>
      <c r="I26" s="1292">
        <f>D26/D$8</f>
        <v>1.8621730842743309E-2</v>
      </c>
      <c r="J26" s="1292">
        <f ca="1">E26/E$8</f>
        <v>3.8579014991387564E-2</v>
      </c>
    </row>
    <row r="27" spans="1:10" s="1309" customFormat="1" ht="11.25" customHeight="1" outlineLevel="1" x14ac:dyDescent="0.2">
      <c r="A27" s="1283">
        <f>IF(ISBLANK('Planzahlen Rentabilität'!A34),"",'Planzahlen Rentabilität'!A34)</f>
        <v>17</v>
      </c>
      <c r="B27" s="1284" t="str">
        <f>IF(ISBLANK('Planzahlen Rentabilität'!B34),"",'Planzahlen Rentabilität'!B34)</f>
        <v>Werbung</v>
      </c>
      <c r="C27" s="1270">
        <f ca="1">INDEX('Planzahlen Rentabilität'!$A:$GZ,ROW(C27)+7,COLUMN(C27)-3+$N$2)</f>
        <v>49.94</v>
      </c>
      <c r="D27" s="1271">
        <f>INDEX('Planzahlen Rentabilität'!$A:$GZ,ROW(D27)+7,COLUMN(D27)-3+$N$2)</f>
        <v>25</v>
      </c>
      <c r="E27" s="1272">
        <f ca="1">INDEX('Planzahlen Rentabilität'!$A:$GZ,ROW(E27)+7,COLUMN(E27)-3+$N$2)</f>
        <v>49.94</v>
      </c>
      <c r="F27" s="1293">
        <f t="shared" ca="1" si="1"/>
        <v>0</v>
      </c>
      <c r="G27" s="1293">
        <f t="shared" ca="1" si="0"/>
        <v>24.939999999999998</v>
      </c>
      <c r="H27" s="1294"/>
      <c r="I27" s="1294"/>
      <c r="J27" s="1294"/>
    </row>
    <row r="28" spans="1:10" s="1309" customFormat="1" ht="11.25" customHeight="1" outlineLevel="1" x14ac:dyDescent="0.2">
      <c r="A28" s="1277">
        <f>IF(ISBLANK('Planzahlen Rentabilität'!A35),"",'Planzahlen Rentabilität'!A35)</f>
        <v>18</v>
      </c>
      <c r="B28" s="1278" t="str">
        <f>IF(ISBLANK('Planzahlen Rentabilität'!B35),"",'Planzahlen Rentabilität'!B35)</f>
        <v>KFZ-Kosten (inkl. Steuer)</v>
      </c>
      <c r="C28" s="1270">
        <f ca="1">INDEX('Planzahlen Rentabilität'!$A:$GZ,ROW(C28)+7,COLUMN(C28)-3+$N$2)</f>
        <v>29</v>
      </c>
      <c r="D28" s="1271">
        <f>INDEX('Planzahlen Rentabilität'!$A:$GZ,ROW(D28)+7,COLUMN(D28)-3+$N$2)</f>
        <v>237.5</v>
      </c>
      <c r="E28" s="1272">
        <f ca="1">INDEX('Planzahlen Rentabilität'!$A:$GZ,ROW(E28)+7,COLUMN(E28)-3+$N$2)</f>
        <v>29</v>
      </c>
      <c r="F28" s="1293">
        <f t="shared" ca="1" si="1"/>
        <v>0</v>
      </c>
      <c r="G28" s="1293">
        <f t="shared" ca="1" si="0"/>
        <v>-208.5</v>
      </c>
      <c r="H28" s="1294"/>
      <c r="I28" s="1294"/>
      <c r="J28" s="1294"/>
    </row>
    <row r="29" spans="1:10" s="1309" customFormat="1" ht="11.25" customHeight="1" outlineLevel="1" x14ac:dyDescent="0.2">
      <c r="A29" s="1277">
        <f>IF(ISBLANK('Planzahlen Rentabilität'!A36),"",'Planzahlen Rentabilität'!A36)</f>
        <v>19</v>
      </c>
      <c r="B29" s="1278" t="str">
        <f>IF(ISBLANK('Planzahlen Rentabilität'!B36),"",'Planzahlen Rentabilität'!B36)</f>
        <v>Reisekosten</v>
      </c>
      <c r="C29" s="1270">
        <f ca="1">INDEX('Planzahlen Rentabilität'!$A:$GZ,ROW(C29)+7,COLUMN(C29)-3+$N$2)</f>
        <v>166.5</v>
      </c>
      <c r="D29" s="1271">
        <f>INDEX('Planzahlen Rentabilität'!$A:$GZ,ROW(D29)+7,COLUMN(D29)-3+$N$2)</f>
        <v>150</v>
      </c>
      <c r="E29" s="1272">
        <f ca="1">INDEX('Planzahlen Rentabilität'!$A:$GZ,ROW(E29)+7,COLUMN(E29)-3+$N$2)</f>
        <v>166.5</v>
      </c>
      <c r="F29" s="1293">
        <f t="shared" ca="1" si="1"/>
        <v>0</v>
      </c>
      <c r="G29" s="1293">
        <f t="shared" ca="1" si="0"/>
        <v>16.5</v>
      </c>
      <c r="H29" s="1294"/>
      <c r="I29" s="1294"/>
      <c r="J29" s="1294"/>
    </row>
    <row r="30" spans="1:10" s="1309" customFormat="1" ht="11.25" customHeight="1" outlineLevel="1" x14ac:dyDescent="0.2">
      <c r="A30" s="1277">
        <f>IF(ISBLANK('Planzahlen Rentabilität'!A37),"",'Planzahlen Rentabilität'!A37)</f>
        <v>20</v>
      </c>
      <c r="B30" s="1278" t="str">
        <f>IF(ISBLANK('Planzahlen Rentabilität'!B37),"",'Planzahlen Rentabilität'!B37)</f>
        <v>Telefon, Fax, Internet</v>
      </c>
      <c r="C30" s="1270">
        <f ca="1">INDEX('Planzahlen Rentabilität'!$A:$GZ,ROW(C30)+7,COLUMN(C30)-3+$N$2)</f>
        <v>458.66</v>
      </c>
      <c r="D30" s="1271">
        <f>INDEX('Planzahlen Rentabilität'!$A:$GZ,ROW(D30)+7,COLUMN(D30)-3+$N$2)</f>
        <v>33.333333333333336</v>
      </c>
      <c r="E30" s="1272">
        <f ca="1">INDEX('Planzahlen Rentabilität'!$A:$GZ,ROW(E30)+7,COLUMN(E30)-3+$N$2)</f>
        <v>458.66</v>
      </c>
      <c r="F30" s="1293">
        <f t="shared" ca="1" si="1"/>
        <v>0</v>
      </c>
      <c r="G30" s="1293">
        <f t="shared" ca="1" si="0"/>
        <v>425.32666666666671</v>
      </c>
      <c r="H30" s="1294"/>
      <c r="I30" s="1294"/>
      <c r="J30" s="1294"/>
    </row>
    <row r="31" spans="1:10" s="1309" customFormat="1" ht="11.25" customHeight="1" outlineLevel="1" x14ac:dyDescent="0.2">
      <c r="A31" s="1277">
        <f>IF(ISBLANK('Planzahlen Rentabilität'!A38),"",'Planzahlen Rentabilität'!A38)</f>
        <v>21</v>
      </c>
      <c r="B31" s="1278" t="str">
        <f>IF(ISBLANK('Planzahlen Rentabilität'!B38),"",'Planzahlen Rentabilität'!B38)</f>
        <v>Versicherungen und Beiträge</v>
      </c>
      <c r="C31" s="1270">
        <f ca="1">INDEX('Planzahlen Rentabilität'!$A:$GZ,ROW(C31)+7,COLUMN(C31)-3+$N$2)</f>
        <v>23.85</v>
      </c>
      <c r="D31" s="1271">
        <f>INDEX('Planzahlen Rentabilität'!$A:$GZ,ROW(D31)+7,COLUMN(D31)-3+$N$2)</f>
        <v>108.33333333333333</v>
      </c>
      <c r="E31" s="1272">
        <f ca="1">INDEX('Planzahlen Rentabilität'!$A:$GZ,ROW(E31)+7,COLUMN(E31)-3+$N$2)</f>
        <v>23.85</v>
      </c>
      <c r="F31" s="1293">
        <f t="shared" ca="1" si="1"/>
        <v>0</v>
      </c>
      <c r="G31" s="1293">
        <f t="shared" ca="1" si="0"/>
        <v>-84.48333333333332</v>
      </c>
      <c r="H31" s="1294"/>
      <c r="I31" s="1294"/>
      <c r="J31" s="1294"/>
    </row>
    <row r="32" spans="1:10" s="1309" customFormat="1" ht="11.25" customHeight="1" outlineLevel="1" x14ac:dyDescent="0.2">
      <c r="A32" s="1277">
        <f>IF(ISBLANK('Planzahlen Rentabilität'!A39),"",'Planzahlen Rentabilität'!A39)</f>
        <v>22</v>
      </c>
      <c r="B32" s="1278" t="str">
        <f>IF(ISBLANK('Planzahlen Rentabilität'!B39),"",'Planzahlen Rentabilität'!B39)</f>
        <v>Leasing</v>
      </c>
      <c r="C32" s="1270">
        <f ca="1">INDEX('Planzahlen Rentabilität'!$A:$GZ,ROW(C32)+7,COLUMN(C32)-3+$N$2)</f>
        <v>0</v>
      </c>
      <c r="D32" s="1271">
        <f>INDEX('Planzahlen Rentabilität'!$A:$GZ,ROW(D32)+7,COLUMN(D32)-3+$N$2)</f>
        <v>200</v>
      </c>
      <c r="E32" s="1272">
        <f ca="1">INDEX('Planzahlen Rentabilität'!$A:$GZ,ROW(E32)+7,COLUMN(E32)-3+$N$2)</f>
        <v>0</v>
      </c>
      <c r="F32" s="1293">
        <f t="shared" ca="1" si="1"/>
        <v>0</v>
      </c>
      <c r="G32" s="1293">
        <f t="shared" ca="1" si="0"/>
        <v>-200</v>
      </c>
      <c r="H32" s="1294"/>
      <c r="I32" s="1294"/>
      <c r="J32" s="1294"/>
    </row>
    <row r="33" spans="1:10" s="1309" customFormat="1" ht="11.25" customHeight="1" outlineLevel="1" x14ac:dyDescent="0.2">
      <c r="A33" s="1277">
        <f>IF(ISBLANK('Planzahlen Rentabilität'!A40),"",'Planzahlen Rentabilität'!A40)</f>
        <v>23</v>
      </c>
      <c r="B33" s="1278" t="str">
        <f>IF(ISBLANK('Planzahlen Rentabilität'!B40),"",'Planzahlen Rentabilität'!B40)</f>
        <v>Buchführungs- / Beratungs- / Fortbildungskosten</v>
      </c>
      <c r="C33" s="1270">
        <f ca="1">INDEX('Planzahlen Rentabilität'!$A:$GZ,ROW(C33)+7,COLUMN(C33)-3+$N$2)</f>
        <v>150</v>
      </c>
      <c r="D33" s="1271">
        <f>INDEX('Planzahlen Rentabilität'!$A:$GZ,ROW(D33)+7,COLUMN(D33)-3+$N$2)</f>
        <v>541.66666666666663</v>
      </c>
      <c r="E33" s="1272">
        <f ca="1">INDEX('Planzahlen Rentabilität'!$A:$GZ,ROW(E33)+7,COLUMN(E33)-3+$N$2)</f>
        <v>150</v>
      </c>
      <c r="F33" s="1293">
        <f t="shared" ca="1" si="1"/>
        <v>0</v>
      </c>
      <c r="G33" s="1293">
        <f t="shared" ca="1" si="0"/>
        <v>-391.66666666666663</v>
      </c>
      <c r="H33" s="1294"/>
      <c r="I33" s="1294"/>
      <c r="J33" s="1294"/>
    </row>
    <row r="34" spans="1:10" s="1309" customFormat="1" ht="11.25" customHeight="1" outlineLevel="1" x14ac:dyDescent="0.2">
      <c r="A34" s="1277">
        <f>IF(ISBLANK('Planzahlen Rentabilität'!A41),"",'Planzahlen Rentabilität'!A41)</f>
        <v>24</v>
      </c>
      <c r="B34" s="1278" t="str">
        <f>IF(ISBLANK('Planzahlen Rentabilität'!B41),"",'Planzahlen Rentabilität'!B41)</f>
        <v>Sonstige Kosten</v>
      </c>
      <c r="C34" s="1270">
        <f ca="1">INDEX('Planzahlen Rentabilität'!$A:$GZ,ROW(C34)+7,COLUMN(C34)-3+$N$2)</f>
        <v>273.48999999999995</v>
      </c>
      <c r="D34" s="1271">
        <f>INDEX('Planzahlen Rentabilität'!$A:$GZ,ROW(D34)+7,COLUMN(D34)-3+$N$2)</f>
        <v>442.5</v>
      </c>
      <c r="E34" s="1272">
        <f ca="1">INDEX('Planzahlen Rentabilität'!$A:$GZ,ROW(E34)+7,COLUMN(E34)-3+$N$2)</f>
        <v>273.48999999999995</v>
      </c>
      <c r="F34" s="1293">
        <f t="shared" ca="1" si="1"/>
        <v>0</v>
      </c>
      <c r="G34" s="1293">
        <f t="shared" ca="1" si="0"/>
        <v>-169.01000000000005</v>
      </c>
      <c r="H34" s="1294"/>
      <c r="I34" s="1294"/>
      <c r="J34" s="1294"/>
    </row>
    <row r="35" spans="1:10" s="1309" customFormat="1" ht="11.25" customHeight="1" outlineLevel="1" x14ac:dyDescent="0.2">
      <c r="A35" s="1277">
        <f>IF(ISBLANK('Planzahlen Rentabilität'!A42),"",'Planzahlen Rentabilität'!A42)</f>
        <v>25</v>
      </c>
      <c r="B35" s="1278" t="str">
        <f>IF(ISBLANK('Planzahlen Rentabilität'!B42),"",'Planzahlen Rentabilität'!B42)</f>
        <v>Wartungen und Instandhaltungen</v>
      </c>
      <c r="C35" s="1270">
        <f ca="1">INDEX('Planzahlen Rentabilität'!$A:$GZ,ROW(C35)+7,COLUMN(C35)-3+$N$2)</f>
        <v>110.87</v>
      </c>
      <c r="D35" s="1271">
        <f>INDEX('Planzahlen Rentabilität'!$A:$GZ,ROW(D35)+7,COLUMN(D35)-3+$N$2)</f>
        <v>62.5</v>
      </c>
      <c r="E35" s="1272">
        <f ca="1">INDEX('Planzahlen Rentabilität'!$A:$GZ,ROW(E35)+7,COLUMN(E35)-3+$N$2)</f>
        <v>110.87</v>
      </c>
      <c r="F35" s="1293">
        <f t="shared" ca="1" si="1"/>
        <v>0</v>
      </c>
      <c r="G35" s="1293">
        <f t="shared" ca="1" si="0"/>
        <v>48.370000000000005</v>
      </c>
      <c r="H35" s="1294"/>
      <c r="I35" s="1294"/>
      <c r="J35" s="1294"/>
    </row>
    <row r="36" spans="1:10" s="1309" customFormat="1" ht="11.25" customHeight="1" outlineLevel="1" x14ac:dyDescent="0.2">
      <c r="A36" s="1277">
        <f>IF(ISBLANK('Planzahlen Rentabilität'!A43),"",'Planzahlen Rentabilität'!A43)</f>
        <v>26</v>
      </c>
      <c r="B36" s="1278" t="str">
        <f>IF(ISBLANK('Planzahlen Rentabilität'!B43),"",'Planzahlen Rentabilität'!B43)</f>
        <v>Abraum- / Abfallbeseitigung</v>
      </c>
      <c r="C36" s="1270">
        <f ca="1">INDEX('Planzahlen Rentabilität'!$A:$GZ,ROW(C36)+7,COLUMN(C36)-3+$N$2)</f>
        <v>0</v>
      </c>
      <c r="D36" s="1271">
        <f>INDEX('Planzahlen Rentabilität'!$A:$GZ,ROW(D36)+7,COLUMN(D36)-3+$N$2)</f>
        <v>125</v>
      </c>
      <c r="E36" s="1285">
        <f ca="1">INDEX('Planzahlen Rentabilität'!$A:$GZ,ROW(E36)+7,COLUMN(E36)-3+$N$2)</f>
        <v>0</v>
      </c>
      <c r="F36" s="1293">
        <f t="shared" ca="1" si="1"/>
        <v>0</v>
      </c>
      <c r="G36" s="1293">
        <f t="shared" ca="1" si="0"/>
        <v>-125</v>
      </c>
      <c r="H36" s="1294"/>
      <c r="I36" s="1294"/>
      <c r="J36" s="1294"/>
    </row>
    <row r="37" spans="1:10" s="1309" customFormat="1" ht="11.25" customHeight="1" x14ac:dyDescent="0.2">
      <c r="A37" s="1266" t="str">
        <f>IF(ISBLANK('Planzahlen Rentabilität'!A44),"",'Planzahlen Rentabilität'!A44)</f>
        <v>VII</v>
      </c>
      <c r="B37" s="1267" t="str">
        <f>IF(ISBLANK('Planzahlen Rentabilität'!B44),"",'Planzahlen Rentabilität'!B44)</f>
        <v>Betriebsergebnis</v>
      </c>
      <c r="C37" s="1280">
        <f ca="1">INDEX('Planzahlen Rentabilität'!$A:$GZ,ROW(C37)+7,COLUMN(C37)-3+$N$2)</f>
        <v>14261.529999999997</v>
      </c>
      <c r="D37" s="1280">
        <f>INDEX('Planzahlen Rentabilität'!$A:$GZ,ROW(D37)+7,COLUMN(D37)-3+$N$2)</f>
        <v>39413.218055555561</v>
      </c>
      <c r="E37" s="1286">
        <f ca="1">INDEX('Planzahlen Rentabilität'!$A:$GZ,ROW(E37)+7,COLUMN(E37)-3+$N$2)</f>
        <v>6349.5300000000007</v>
      </c>
      <c r="F37" s="1281">
        <f t="shared" ca="1" si="1"/>
        <v>-7911.9999999999964</v>
      </c>
      <c r="G37" s="1281">
        <f t="shared" ca="1" si="0"/>
        <v>-33063.688055555562</v>
      </c>
      <c r="H37" s="1287">
        <f ca="1">C37/C$8</f>
        <v>0.42695203322324377</v>
      </c>
      <c r="I37" s="1287">
        <f>D37/D$8</f>
        <v>0.38110376717104621</v>
      </c>
      <c r="J37" s="1287">
        <f ca="1">E37/E$8</f>
        <v>0.19405582864610524</v>
      </c>
    </row>
    <row r="38" spans="1:10" s="1309" customFormat="1" ht="11.25" customHeight="1" x14ac:dyDescent="0.2">
      <c r="A38" s="1277">
        <f>IF(ISBLANK('Planzahlen Rentabilität'!A45),"",'Planzahlen Rentabilität'!A45)</f>
        <v>27</v>
      </c>
      <c r="B38" s="1278" t="str">
        <f>IF(ISBLANK('Planzahlen Rentabilität'!B45),"",'Planzahlen Rentabilität'!B45)</f>
        <v>Zinsertrag</v>
      </c>
      <c r="C38" s="1270">
        <f ca="1">INDEX('Planzahlen Rentabilität'!$A:$GZ,ROW(C38)+7,COLUMN(C38)-3+$N$2)</f>
        <v>0</v>
      </c>
      <c r="D38" s="1271">
        <f>INDEX('Planzahlen Rentabilität'!$A:$GZ,ROW(D38)+7,COLUMN(D38)-3+$N$2)</f>
        <v>0</v>
      </c>
      <c r="E38" s="1272">
        <f ca="1">INDEX('Planzahlen Rentabilität'!$A:$GZ,ROW(E38)+7,COLUMN(E38)-3+$N$2)</f>
        <v>0</v>
      </c>
      <c r="F38" s="1293">
        <f t="shared" ca="1" si="1"/>
        <v>0</v>
      </c>
      <c r="G38" s="1293">
        <f t="shared" ca="1" si="0"/>
        <v>0</v>
      </c>
      <c r="H38" s="1294"/>
      <c r="I38" s="1294"/>
      <c r="J38" s="1294"/>
    </row>
    <row r="39" spans="1:10" s="1309" customFormat="1" ht="11.25" customHeight="1" x14ac:dyDescent="0.2">
      <c r="A39" s="1277">
        <f>IF(ISBLANK('Planzahlen Rentabilität'!A46),"",'Planzahlen Rentabilität'!A46)</f>
        <v>28</v>
      </c>
      <c r="B39" s="1278" t="str">
        <f>IF(ISBLANK('Planzahlen Rentabilität'!B46),"",'Planzahlen Rentabilität'!B46)</f>
        <v>Zinsaufwand</v>
      </c>
      <c r="C39" s="1270">
        <f ca="1">INDEX('Planzahlen Rentabilität'!$A:$GZ,ROW(C39)+7,COLUMN(C39)-3+$N$2)</f>
        <v>0</v>
      </c>
      <c r="D39" s="1271">
        <f>INDEX('Planzahlen Rentabilität'!$A:$GZ,ROW(D39)+7,COLUMN(D39)-3+$N$2)</f>
        <v>5.6666666666666661</v>
      </c>
      <c r="E39" s="1285">
        <f ca="1">INDEX('Planzahlen Rentabilität'!$A:$GZ,ROW(E39)+7,COLUMN(E39)-3+$N$2)</f>
        <v>0</v>
      </c>
      <c r="F39" s="1293">
        <f t="shared" ca="1" si="1"/>
        <v>0</v>
      </c>
      <c r="G39" s="1293">
        <f t="shared" ca="1" si="0"/>
        <v>-5.6666666666666661</v>
      </c>
      <c r="H39" s="1294"/>
      <c r="I39" s="1294"/>
      <c r="J39" s="1294"/>
    </row>
    <row r="40" spans="1:10" s="1309" customFormat="1" ht="11.25" customHeight="1" x14ac:dyDescent="0.2">
      <c r="A40" s="1288" t="str">
        <f>IF(ISBLANK('Planzahlen Rentabilität'!A47),"",'Planzahlen Rentabilität'!A47)</f>
        <v>VIII</v>
      </c>
      <c r="B40" s="1289" t="str">
        <f>IF(ISBLANK('Planzahlen Rentabilität'!B47),"",'Planzahlen Rentabilität'!B47)</f>
        <v>Finanzergebnis</v>
      </c>
      <c r="C40" s="1290">
        <f ca="1">INDEX('Planzahlen Rentabilität'!$A:$GZ,ROW(C40)+7,COLUMN(C40)-3+$N$2)</f>
        <v>0</v>
      </c>
      <c r="D40" s="1290">
        <f>INDEX('Planzahlen Rentabilität'!$A:$GZ,ROW(D40)+7,COLUMN(D40)-3+$N$2)</f>
        <v>-5.6666666666666661</v>
      </c>
      <c r="E40" s="1295">
        <f ca="1">INDEX('Planzahlen Rentabilität'!$A:$GZ,ROW(E40)+7,COLUMN(E40)-3+$N$2)</f>
        <v>0</v>
      </c>
      <c r="F40" s="1291">
        <f t="shared" ca="1" si="1"/>
        <v>0</v>
      </c>
      <c r="G40" s="1291">
        <f t="shared" ca="1" si="0"/>
        <v>5.6666666666666661</v>
      </c>
      <c r="H40" s="1292">
        <f ca="1">C40/C$8</f>
        <v>0</v>
      </c>
      <c r="I40" s="1292">
        <f>D40/D$8</f>
        <v>-5.4793496205389219E-5</v>
      </c>
      <c r="J40" s="1292">
        <f ca="1">E40/E$8</f>
        <v>0</v>
      </c>
    </row>
    <row r="41" spans="1:10" s="1309" customFormat="1" ht="11.25" customHeight="1" x14ac:dyDescent="0.2">
      <c r="A41" s="1266" t="str">
        <f>IF(ISBLANK('Planzahlen Rentabilität'!A48),"",'Planzahlen Rentabilität'!A48)</f>
        <v>IX</v>
      </c>
      <c r="B41" s="1267" t="str">
        <f>IF(ISBLANK('Planzahlen Rentabilität'!B48),"",'Planzahlen Rentabilität'!B48)</f>
        <v>Liquidität II</v>
      </c>
      <c r="C41" s="1296">
        <f ca="1">INDEX('Planzahlen Rentabilität'!$A:$GZ,ROW(C41)+7,COLUMN(C41)-3+$N$2)</f>
        <v>14261.529999999997</v>
      </c>
      <c r="D41" s="1296">
        <f>INDEX('Planzahlen Rentabilität'!$A:$GZ,ROW(D41)+7,COLUMN(D41)-3+$N$2)</f>
        <v>39407.551388888896</v>
      </c>
      <c r="E41" s="1296">
        <f ca="1">INDEX('Planzahlen Rentabilität'!$A:$GZ,ROW(E41)+7,COLUMN(E41)-3+$N$2)</f>
        <v>6349.5300000000007</v>
      </c>
      <c r="F41" s="1296">
        <f t="shared" ca="1" si="1"/>
        <v>-7911.9999999999964</v>
      </c>
      <c r="G41" s="1296">
        <f t="shared" ca="1" si="0"/>
        <v>-33058.021388888897</v>
      </c>
      <c r="H41" s="1287"/>
      <c r="I41" s="1287"/>
      <c r="J41" s="1287"/>
    </row>
    <row r="42" spans="1:10" s="1309" customFormat="1" ht="11.25" customHeight="1" x14ac:dyDescent="0.2">
      <c r="A42" s="1297">
        <f>IF(ISBLANK('Planzahlen Rentabilität'!A49),"",'Planzahlen Rentabilität'!A49)</f>
        <v>29</v>
      </c>
      <c r="B42" s="1298" t="str">
        <f>IF(ISBLANK('Planzahlen Rentabilität'!B49),"",'Planzahlen Rentabilität'!B49)</f>
        <v>Abschreibungen</v>
      </c>
      <c r="C42" s="1299">
        <f ca="1">INDEX('Planzahlen Rentabilität'!$A:$GZ,ROW(C42)+7,COLUMN(C42)-3+$N$2)</f>
        <v>272.66000000000003</v>
      </c>
      <c r="D42" s="1300">
        <f>INDEX('Planzahlen Rentabilität'!$A:$GZ,ROW(D42)+7,COLUMN(D42)-3+$N$2)</f>
        <v>250</v>
      </c>
      <c r="E42" s="1285">
        <f ca="1">INDEX('Planzahlen Rentabilität'!$A:$GZ,ROW(E42)+7,COLUMN(E42)-3+$N$2)</f>
        <v>272.66000000000003</v>
      </c>
      <c r="F42" s="1301">
        <f t="shared" ca="1" si="1"/>
        <v>0</v>
      </c>
      <c r="G42" s="1301">
        <f t="shared" ca="1" si="0"/>
        <v>22.660000000000025</v>
      </c>
      <c r="H42" s="1294"/>
      <c r="I42" s="1294"/>
      <c r="J42" s="1294"/>
    </row>
    <row r="43" spans="1:10" s="1309" customFormat="1" ht="11.25" customHeight="1" x14ac:dyDescent="0.2">
      <c r="A43" s="1277">
        <f>IF(ISBLANK('Planzahlen Rentabilität'!A50),"",'Planzahlen Rentabilität'!A50)</f>
        <v>30</v>
      </c>
      <c r="B43" s="1278" t="str">
        <f>IF(ISBLANK('Planzahlen Rentabilität'!B50),"",'Planzahlen Rentabilität'!B50)</f>
        <v>Sonstige a.o. Aufwendungen (EWB / PWB)</v>
      </c>
      <c r="C43" s="1270">
        <f ca="1">INDEX('Planzahlen Rentabilität'!$A:$GZ,ROW(C43)+7,COLUMN(C43)-3+$N$2)</f>
        <v>0</v>
      </c>
      <c r="D43" s="1271">
        <f>INDEX('Planzahlen Rentabilität'!$A:$GZ,ROW(D43)+7,COLUMN(D43)-3+$N$2)</f>
        <v>0</v>
      </c>
      <c r="E43" s="1272">
        <f ca="1">INDEX('Planzahlen Rentabilität'!$A:$GZ,ROW(E43)+7,COLUMN(E43)-3+$N$2)</f>
        <v>0</v>
      </c>
      <c r="F43" s="1293">
        <f t="shared" ca="1" si="1"/>
        <v>0</v>
      </c>
      <c r="G43" s="1293">
        <f t="shared" ca="1" si="0"/>
        <v>0</v>
      </c>
      <c r="H43" s="1294"/>
      <c r="I43" s="1294"/>
      <c r="J43" s="1294"/>
    </row>
    <row r="44" spans="1:10" s="1309" customFormat="1" ht="11.25" customHeight="1" x14ac:dyDescent="0.2">
      <c r="A44" s="1297">
        <f>IF(ISBLANK('Planzahlen Rentabilität'!A51),"",'Planzahlen Rentabilität'!A51)</f>
        <v>31</v>
      </c>
      <c r="B44" s="1298" t="str">
        <f>IF(ISBLANK('Planzahlen Rentabilität'!B51),"",'Planzahlen Rentabilität'!B51)</f>
        <v>Übrige sonstige a.o. Aufwendungen</v>
      </c>
      <c r="C44" s="1299">
        <f ca="1">INDEX('Planzahlen Rentabilität'!$A:$GZ,ROW(C44)+7,COLUMN(C44)-3+$N$2)</f>
        <v>0</v>
      </c>
      <c r="D44" s="1300">
        <f>INDEX('Planzahlen Rentabilität'!$A:$GZ,ROW(D44)+7,COLUMN(D44)-3+$N$2)</f>
        <v>0</v>
      </c>
      <c r="E44" s="1285">
        <f ca="1">INDEX('Planzahlen Rentabilität'!$A:$GZ,ROW(E44)+7,COLUMN(E44)-3+$N$2)</f>
        <v>0</v>
      </c>
      <c r="F44" s="1301">
        <f t="shared" ca="1" si="1"/>
        <v>0</v>
      </c>
      <c r="G44" s="1301">
        <f t="shared" ca="1" si="0"/>
        <v>0</v>
      </c>
      <c r="H44" s="1294"/>
      <c r="I44" s="1294"/>
      <c r="J44" s="1294"/>
    </row>
    <row r="45" spans="1:10" s="1309" customFormat="1" ht="11.25" customHeight="1" x14ac:dyDescent="0.2">
      <c r="A45" s="1277">
        <f>IF(ISBLANK('Planzahlen Rentabilität'!A52),"",'Planzahlen Rentabilität'!A52)</f>
        <v>32</v>
      </c>
      <c r="B45" s="1278" t="str">
        <f>IF(ISBLANK('Planzahlen Rentabilität'!B52),"",'Planzahlen Rentabilität'!B52)</f>
        <v>Sonstige a.o. Erträge (EWB / PWB)</v>
      </c>
      <c r="C45" s="1270">
        <f ca="1">INDEX('Planzahlen Rentabilität'!$A:$GZ,ROW(C45)+7,COLUMN(C45)-3+$N$2)</f>
        <v>0</v>
      </c>
      <c r="D45" s="1271">
        <f>INDEX('Planzahlen Rentabilität'!$A:$GZ,ROW(D45)+7,COLUMN(D45)-3+$N$2)</f>
        <v>0</v>
      </c>
      <c r="E45" s="1272">
        <f ca="1">INDEX('Planzahlen Rentabilität'!$A:$GZ,ROW(E45)+7,COLUMN(E45)-3+$N$2)</f>
        <v>0</v>
      </c>
      <c r="F45" s="1293">
        <f t="shared" ca="1" si="1"/>
        <v>0</v>
      </c>
      <c r="G45" s="1293">
        <f t="shared" ca="1" si="0"/>
        <v>0</v>
      </c>
      <c r="H45" s="1294"/>
      <c r="I45" s="1294"/>
      <c r="J45" s="1294"/>
    </row>
    <row r="46" spans="1:10" s="1309" customFormat="1" ht="11.25" customHeight="1" x14ac:dyDescent="0.2">
      <c r="A46" s="1277">
        <f>IF(ISBLANK('Planzahlen Rentabilität'!A53),"",'Planzahlen Rentabilität'!A53)</f>
        <v>33</v>
      </c>
      <c r="B46" s="1278" t="str">
        <f>IF(ISBLANK('Planzahlen Rentabilität'!B53),"",'Planzahlen Rentabilität'!B53)</f>
        <v>Übrige sonstige a.o. Erträge (Erstattungen Aufwendungsausgleich)</v>
      </c>
      <c r="C46" s="1270">
        <f ca="1">INDEX('Planzahlen Rentabilität'!$A:$GZ,ROW(C46)+7,COLUMN(C46)-3+$N$2)</f>
        <v>0</v>
      </c>
      <c r="D46" s="1271">
        <f>INDEX('Planzahlen Rentabilität'!$A:$GZ,ROW(D46)+7,COLUMN(D46)-3+$N$2)</f>
        <v>0</v>
      </c>
      <c r="E46" s="1272">
        <f ca="1">INDEX('Planzahlen Rentabilität'!$A:$GZ,ROW(E46)+7,COLUMN(E46)-3+$N$2)</f>
        <v>0</v>
      </c>
      <c r="F46" s="1293">
        <f t="shared" ca="1" si="1"/>
        <v>0</v>
      </c>
      <c r="G46" s="1293">
        <f t="shared" ca="1" si="0"/>
        <v>0</v>
      </c>
      <c r="H46" s="1294"/>
      <c r="I46" s="1294"/>
      <c r="J46" s="1294"/>
    </row>
    <row r="47" spans="1:10" s="1309" customFormat="1" ht="11.25" customHeight="1" x14ac:dyDescent="0.2">
      <c r="A47" s="1277">
        <f>IF(ISBLANK('Planzahlen Rentabilität'!A54),"",'Planzahlen Rentabilität'!A54)</f>
        <v>34</v>
      </c>
      <c r="B47" s="1278" t="str">
        <f>IF(ISBLANK('Planzahlen Rentabilität'!B54),"",'Planzahlen Rentabilität'!B54)</f>
        <v>Sonstige a.o. Erträge aus 1%-Regelung</v>
      </c>
      <c r="C47" s="1270">
        <f ca="1">INDEX('Planzahlen Rentabilität'!$A:$GZ,ROW(C47)+7,COLUMN(C47)-3+$N$2)</f>
        <v>0</v>
      </c>
      <c r="D47" s="1271">
        <f>INDEX('Planzahlen Rentabilität'!$A:$GZ,ROW(D47)+7,COLUMN(D47)-3+$N$2)</f>
        <v>0</v>
      </c>
      <c r="E47" s="1272">
        <f ca="1">INDEX('Planzahlen Rentabilität'!$A:$GZ,ROW(E47)+7,COLUMN(E47)-3+$N$2)</f>
        <v>0</v>
      </c>
      <c r="F47" s="1293">
        <f t="shared" ca="1" si="1"/>
        <v>0</v>
      </c>
      <c r="G47" s="1293">
        <f t="shared" ca="1" si="0"/>
        <v>0</v>
      </c>
      <c r="H47" s="1294"/>
      <c r="I47" s="1294"/>
      <c r="J47" s="1294"/>
    </row>
    <row r="48" spans="1:10" s="1309" customFormat="1" ht="11.25" customHeight="1" x14ac:dyDescent="0.2">
      <c r="A48" s="1288" t="str">
        <f>IF(ISBLANK('Planzahlen Rentabilität'!A55),"",'Planzahlen Rentabilität'!A55)</f>
        <v>X</v>
      </c>
      <c r="B48" s="1289" t="str">
        <f>IF(ISBLANK('Planzahlen Rentabilität'!B55),"",'Planzahlen Rentabilität'!B55)</f>
        <v>AO Ergebnis</v>
      </c>
      <c r="C48" s="1290">
        <f ca="1">INDEX('Planzahlen Rentabilität'!$A:$GZ,ROW(C48)+7,COLUMN(C48)-3+$N$2)</f>
        <v>-272.66000000000003</v>
      </c>
      <c r="D48" s="1290">
        <f>INDEX('Planzahlen Rentabilität'!$A:$GZ,ROW(D48)+7,COLUMN(D48)-3+$N$2)</f>
        <v>-250</v>
      </c>
      <c r="E48" s="1290">
        <f ca="1">INDEX('Planzahlen Rentabilität'!$A:$GZ,ROW(E48)+7,COLUMN(E48)-3+$N$2)</f>
        <v>-272.66000000000003</v>
      </c>
      <c r="F48" s="1291">
        <f t="shared" ca="1" si="1"/>
        <v>0</v>
      </c>
      <c r="G48" s="1291">
        <f t="shared" ca="1" si="0"/>
        <v>-22.660000000000025</v>
      </c>
      <c r="H48" s="1292">
        <f t="shared" ref="H48:J49" ca="1" si="5">C48/C$8</f>
        <v>-8.1627105491942093E-3</v>
      </c>
      <c r="I48" s="1292">
        <f t="shared" si="5"/>
        <v>-2.4173601267083481E-3</v>
      </c>
      <c r="J48" s="1292">
        <f t="shared" ca="1" si="5"/>
        <v>-8.333099022864221E-3</v>
      </c>
    </row>
    <row r="49" spans="1:10" s="1309" customFormat="1" ht="11.25" customHeight="1" x14ac:dyDescent="0.2">
      <c r="A49" s="1266" t="str">
        <f>IF(ISBLANK('Planzahlen Rentabilität'!A56),"",'Planzahlen Rentabilität'!A56)</f>
        <v>XI</v>
      </c>
      <c r="B49" s="1267" t="str">
        <f>IF(ISBLANK('Planzahlen Rentabilität'!B56),"",'Planzahlen Rentabilität'!B56)</f>
        <v>Vorläufiges Ergebnis vor Steuern</v>
      </c>
      <c r="C49" s="1280">
        <f ca="1">INDEX('Planzahlen Rentabilität'!$A:$GZ,ROW(C49)+7,COLUMN(C49)-3+$N$2)</f>
        <v>13988.869999999997</v>
      </c>
      <c r="D49" s="1280">
        <f>INDEX('Planzahlen Rentabilität'!$A:$GZ,ROW(D49)+7,COLUMN(D49)-3+$N$2)</f>
        <v>39157.551388888896</v>
      </c>
      <c r="E49" s="1280">
        <f ca="1">INDEX('Planzahlen Rentabilität'!$A:$GZ,ROW(E49)+7,COLUMN(E49)-3+$N$2)</f>
        <v>6076.8700000000008</v>
      </c>
      <c r="F49" s="1281">
        <f t="shared" ca="1" si="1"/>
        <v>-7911.9999999999964</v>
      </c>
      <c r="G49" s="1281">
        <f t="shared" ca="1" si="0"/>
        <v>-33080.681388888894</v>
      </c>
      <c r="H49" s="1287">
        <f t="shared" ca="1" si="5"/>
        <v>0.41878932267404956</v>
      </c>
      <c r="I49" s="1287">
        <f t="shared" si="5"/>
        <v>0.37863161354813246</v>
      </c>
      <c r="J49" s="1287">
        <f t="shared" ca="1" si="5"/>
        <v>0.18572272962324102</v>
      </c>
    </row>
    <row r="50" spans="1:10" s="1309" customFormat="1" ht="11.25" customHeight="1" x14ac:dyDescent="0.2">
      <c r="A50" s="1277">
        <f>IF(ISBLANK('Planzahlen Rentabilität'!A57),"",'Planzahlen Rentabilität'!A57)</f>
        <v>35</v>
      </c>
      <c r="B50" s="1278" t="str">
        <f>IF(ISBLANK('Planzahlen Rentabilität'!B57),"",'Planzahlen Rentabilität'!B57)</f>
        <v>Steuern aus Einkommen und Ertrag</v>
      </c>
      <c r="C50" s="1270">
        <f ca="1">INDEX('Planzahlen Rentabilität'!$A:$GZ,ROW(C50)+7,COLUMN(C50)-3+$N$2)</f>
        <v>-5509.5</v>
      </c>
      <c r="D50" s="1271">
        <f>INDEX('Planzahlen Rentabilität'!$A:$GZ,ROW(D50)+7,COLUMN(D50)-3+$N$2)</f>
        <v>11747.265416666669</v>
      </c>
      <c r="E50" s="1272">
        <f ca="1">INDEX('Planzahlen Rentabilität'!$A:$GZ,ROW(E50)+7,COLUMN(E50)-3+$N$2)</f>
        <v>-5509.5</v>
      </c>
      <c r="F50" s="1273">
        <f t="shared" ca="1" si="1"/>
        <v>0</v>
      </c>
      <c r="G50" s="1273">
        <f t="shared" ca="1" si="0"/>
        <v>-17256.765416666669</v>
      </c>
      <c r="H50" s="1274"/>
      <c r="I50" s="1274"/>
      <c r="J50" s="1274"/>
    </row>
    <row r="51" spans="1:10" s="1309" customFormat="1" ht="11.25" customHeight="1" x14ac:dyDescent="0.2">
      <c r="A51" s="1277">
        <f>IF(ISBLANK('Planzahlen Rentabilität'!A58),"",'Planzahlen Rentabilität'!A58)</f>
        <v>35.1</v>
      </c>
      <c r="B51" s="1302" t="str">
        <f>IF(ISBLANK('Planzahlen Rentabilität'!B58),"",'Planzahlen Rentabilität'!B58)</f>
        <v>davon Privatsteuern</v>
      </c>
      <c r="C51" s="1270">
        <f ca="1">INDEX('Planzahlen Rentabilität'!$A:$GZ,ROW(C51)+7,COLUMN(C51)-3+$N$2)</f>
        <v>-5509.5</v>
      </c>
      <c r="D51" s="1271">
        <f>INDEX('Planzahlen Rentabilität'!$A:$GZ,ROW(D51)+7,COLUMN(D51)-3+$N$2)</f>
        <v>0</v>
      </c>
      <c r="E51" s="1272">
        <f ca="1">INDEX('Planzahlen Rentabilität'!$A:$GZ,ROW(E51)+7,COLUMN(E51)-3+$N$2)</f>
        <v>-5509.5</v>
      </c>
      <c r="F51" s="1273">
        <f t="shared" ca="1" si="1"/>
        <v>0</v>
      </c>
      <c r="G51" s="1273">
        <f t="shared" ca="1" si="0"/>
        <v>-5509.5</v>
      </c>
      <c r="H51" s="1274"/>
      <c r="I51" s="1274"/>
      <c r="J51" s="1274"/>
    </row>
    <row r="52" spans="1:10" s="1309" customFormat="1" ht="11.25" customHeight="1" x14ac:dyDescent="0.2">
      <c r="A52" s="1266" t="str">
        <f>IF(ISBLANK('Planzahlen Rentabilität'!A59),"",'Planzahlen Rentabilität'!A59)</f>
        <v>XII</v>
      </c>
      <c r="B52" s="1267" t="str">
        <f>IF(ISBLANK('Planzahlen Rentabilität'!B59),"",'Planzahlen Rentabilität'!B59)</f>
        <v>Jahresüberschuss / -fehlbetrag</v>
      </c>
      <c r="C52" s="1280">
        <f ca="1">INDEX('Planzahlen Rentabilität'!$A:$GZ,ROW(C52)+7,COLUMN(C52)-3+$N$2)</f>
        <v>19498.369999999995</v>
      </c>
      <c r="D52" s="1280">
        <f>INDEX('Planzahlen Rentabilität'!$A:$GZ,ROW(D52)+7,COLUMN(D52)-3+$N$2)</f>
        <v>27410.285972222227</v>
      </c>
      <c r="E52" s="1280">
        <f ca="1">INDEX('Planzahlen Rentabilität'!$A:$GZ,ROW(E52)+7,COLUMN(E52)-3+$N$2)</f>
        <v>11586.37</v>
      </c>
      <c r="F52" s="1281">
        <f t="shared" ca="1" si="1"/>
        <v>-7911.9999999999945</v>
      </c>
      <c r="G52" s="1281">
        <f ca="1">E52-D52</f>
        <v>-15823.915972222227</v>
      </c>
      <c r="H52" s="1287">
        <f ca="1">C52/C$8</f>
        <v>0.58372900495522573</v>
      </c>
      <c r="I52" s="1287">
        <f>D52/D$8</f>
        <v>0.26504212948369271</v>
      </c>
      <c r="J52" s="1287">
        <f ca="1">E52/E$8</f>
        <v>0.35410536391675829</v>
      </c>
    </row>
    <row r="53" spans="1:10" s="1309" customFormat="1" ht="11.25" customHeight="1" x14ac:dyDescent="0.2">
      <c r="A53" s="1277">
        <f>IF(ISBLANK('Planzahlen Rentabilität'!A60),"",'Planzahlen Rentabilität'!A60)</f>
        <v>36</v>
      </c>
      <c r="B53" s="1278" t="str">
        <f>IF(ISBLANK('Planzahlen Rentabilität'!B60),"",'Planzahlen Rentabilität'!B60)</f>
        <v>Ausschüttungen</v>
      </c>
      <c r="C53" s="1270">
        <f ca="1">INDEX('Planzahlen Rentabilität'!$A:$GZ,ROW(C53)+7,COLUMN(C53)-3+$N$2)</f>
        <v>0</v>
      </c>
      <c r="D53" s="1271">
        <f>INDEX('Planzahlen Rentabilität'!$A:$GZ,ROW(D53)+7,COLUMN(D53)-3+$N$2)</f>
        <v>0</v>
      </c>
      <c r="E53" s="1272">
        <f ca="1">INDEX('Planzahlen Rentabilität'!$A:$GZ,ROW(E53)+7,COLUMN(E53)-3+$N$2)</f>
        <v>0</v>
      </c>
      <c r="F53" s="1293">
        <f t="shared" ca="1" si="1"/>
        <v>0</v>
      </c>
      <c r="G53" s="1293">
        <f ca="1">E53-D53</f>
        <v>0</v>
      </c>
      <c r="H53" s="1294"/>
      <c r="I53" s="1294"/>
      <c r="J53" s="1294"/>
    </row>
    <row r="54" spans="1:10" s="1309" customFormat="1" ht="11.25" customHeight="1" x14ac:dyDescent="0.2">
      <c r="A54" s="1277">
        <f>IF(ISBLANK('Planzahlen Rentabilität'!A61),"",'Planzahlen Rentabilität'!A61)</f>
        <v>37</v>
      </c>
      <c r="B54" s="1278" t="str">
        <f>IF(ISBLANK('Planzahlen Rentabilität'!B61),"",'Planzahlen Rentabilität'!B61)</f>
        <v>Rücklagen</v>
      </c>
      <c r="C54" s="1270">
        <f ca="1">INDEX('Planzahlen Rentabilität'!$A:$GZ,ROW(C54)+7,COLUMN(C54)-3+$N$2)</f>
        <v>0</v>
      </c>
      <c r="D54" s="1271">
        <f>INDEX('Planzahlen Rentabilität'!$A:$GZ,ROW(D54)+7,COLUMN(D54)-3+$N$2)</f>
        <v>0</v>
      </c>
      <c r="E54" s="1285">
        <f ca="1">INDEX('Planzahlen Rentabilität'!$A:$GZ,ROW(E54)+7,COLUMN(E54)-3+$N$2)</f>
        <v>0</v>
      </c>
      <c r="F54" s="1293">
        <f t="shared" ca="1" si="1"/>
        <v>0</v>
      </c>
      <c r="G54" s="1293">
        <f ca="1">E54-D54</f>
        <v>0</v>
      </c>
      <c r="H54" s="1294"/>
      <c r="I54" s="1294"/>
      <c r="J54" s="1294"/>
    </row>
    <row r="55" spans="1:10" s="1309" customFormat="1" ht="11.25" customHeight="1" x14ac:dyDescent="0.2">
      <c r="A55" s="1266" t="str">
        <f>IF(ISBLANK('Planzahlen Rentabilität'!A62),"",'Planzahlen Rentabilität'!A62)</f>
        <v>XIII</v>
      </c>
      <c r="B55" s="1267" t="str">
        <f>IF(ISBLANK('Planzahlen Rentabilität'!B62),"",'Planzahlen Rentabilität'!B62)</f>
        <v>Bilanzergebnis</v>
      </c>
      <c r="C55" s="1280">
        <f ca="1">INDEX('Planzahlen Rentabilität'!$A:$GZ,ROW(C55)+7,COLUMN(C55)-3+$N$2)</f>
        <v>19498.369999999995</v>
      </c>
      <c r="D55" s="1280">
        <f>INDEX('Planzahlen Rentabilität'!$A:$GZ,ROW(D55)+7,COLUMN(D55)-3+$N$2)</f>
        <v>27410.285972222227</v>
      </c>
      <c r="E55" s="1286">
        <f ca="1">INDEX('Planzahlen Rentabilität'!$A:$GZ,ROW(E55)+7,COLUMN(E55)-3+$N$2)</f>
        <v>11586.37</v>
      </c>
      <c r="F55" s="1281">
        <f t="shared" ca="1" si="1"/>
        <v>-7911.9999999999945</v>
      </c>
      <c r="G55" s="1281">
        <f ca="1">E55-D55</f>
        <v>-15823.915972222227</v>
      </c>
      <c r="H55" s="1287">
        <f ca="1">C55/C$8</f>
        <v>0.58372900495522573</v>
      </c>
      <c r="I55" s="1287">
        <f>D55/D$8</f>
        <v>0.26504212948369271</v>
      </c>
      <c r="J55" s="1287">
        <f ca="1">E55/E$8</f>
        <v>0.35410536391675829</v>
      </c>
    </row>
    <row r="56" spans="1:10" ht="11.25" customHeight="1" x14ac:dyDescent="0.2">
      <c r="A56" s="1312"/>
      <c r="B56" s="1312"/>
      <c r="C56" s="1312"/>
      <c r="D56" s="1312"/>
      <c r="E56" s="1312"/>
      <c r="F56" s="1313"/>
      <c r="G56" s="1313"/>
      <c r="H56" s="1313"/>
      <c r="I56" s="1313"/>
      <c r="J56" s="1313"/>
    </row>
    <row r="57" spans="1:10" s="1304" customFormat="1" ht="30" x14ac:dyDescent="0.2">
      <c r="A57" s="1374" t="s">
        <v>821</v>
      </c>
      <c r="B57" s="1375" t="e">
        <f>IF(ISBLANK(#REF!),"",#REF!)</f>
        <v>#REF!</v>
      </c>
      <c r="C57" s="1376" t="e">
        <f>IF(ISBLANK(#REF!),"",#REF!)</f>
        <v>#REF!</v>
      </c>
      <c r="D57" s="1376" t="e">
        <f>IF(ISBLANK(#REF!),"",#REF!)</f>
        <v>#REF!</v>
      </c>
      <c r="E57" s="1376" t="e">
        <f>IF(ISBLANK(#REF!),"",#REF!)</f>
        <v>#REF!</v>
      </c>
      <c r="F57" s="1376" t="e">
        <f>IF(ISBLANK(#REF!),"",#REF!)</f>
        <v>#REF!</v>
      </c>
      <c r="G57" s="1376" t="e">
        <f>IF(ISBLANK(#REF!),"",#REF!)</f>
        <v>#REF!</v>
      </c>
      <c r="H57" s="1376" t="e">
        <f>IF(ISBLANK(#REF!),"",#REF!)</f>
        <v>#REF!</v>
      </c>
      <c r="I57" s="1376" t="e">
        <f>IF(ISBLANK(#REF!),"",#REF!)</f>
        <v>#REF!</v>
      </c>
      <c r="J57" s="1376" t="e">
        <f>IF(ISBLANK(#REF!),"",#REF!)</f>
        <v>#REF!</v>
      </c>
    </row>
    <row r="58" spans="1:10" ht="11.25" customHeight="1" x14ac:dyDescent="0.2">
      <c r="A58" s="1264"/>
      <c r="B58" s="1265"/>
      <c r="C58" s="1265"/>
      <c r="D58" s="1265"/>
      <c r="E58" s="1265"/>
      <c r="F58" s="1265"/>
      <c r="G58" s="1265"/>
      <c r="H58" s="1265"/>
      <c r="I58" s="1265"/>
      <c r="J58" s="1265"/>
    </row>
    <row r="59" spans="1:10" ht="11.25" customHeight="1" x14ac:dyDescent="0.2">
      <c r="A59" s="1266" t="str">
        <f>IF(ISBLANK('Planzahlen Liquidität'!A12),"",'Planzahlen Liquidität'!A12)</f>
        <v>Nr.</v>
      </c>
      <c r="B59" s="1267" t="str">
        <f>IF(ISBLANK('Planzahlen Liquidität'!B12),"",'Planzahlen Liquidität'!B12)</f>
        <v>Kontenposition</v>
      </c>
      <c r="C59" s="1377">
        <f>INDEX('Planzahlen Liquidität'!$A:$GZ,ROW(C59)-47,COLUMN(C59)-3+$N$2)</f>
        <v>43739</v>
      </c>
      <c r="D59" s="1377" t="s">
        <v>134</v>
      </c>
      <c r="E59" s="1377" t="s">
        <v>816</v>
      </c>
      <c r="F59" s="1378" t="s">
        <v>790</v>
      </c>
      <c r="G59" s="1378" t="s">
        <v>816</v>
      </c>
      <c r="H59" s="1378" t="s">
        <v>791</v>
      </c>
      <c r="I59" s="1378" t="s">
        <v>816</v>
      </c>
      <c r="J59" s="1378" t="s">
        <v>816</v>
      </c>
    </row>
    <row r="60" spans="1:10" ht="11.25" customHeight="1" x14ac:dyDescent="0.2">
      <c r="A60" s="1266" t="str">
        <f>IF(ISBLANK('Planzahlen Liquidität'!A13),"",'Planzahlen Liquidität'!A13)</f>
        <v/>
      </c>
      <c r="B60" s="1267" t="str">
        <f>IF(ISBLANK('Planzahlen Liquidität'!B13),"",'Planzahlen Liquidität'!B13)</f>
        <v/>
      </c>
      <c r="C60" s="1266" t="str">
        <f>INDEX('Planzahlen Liquidität'!$A:$GZ,ROW(C60)-47,COLUMN(C60)-3+$N$2)</f>
        <v>Vorjahr</v>
      </c>
      <c r="D60" s="1266" t="str">
        <f>INDEX('Planzahlen Liquidität'!$A:$GZ,ROW(D60)-47,COLUMN(D60)-3+$N$2)</f>
        <v>Plan</v>
      </c>
      <c r="E60" s="1266" t="str">
        <f>INDEX('Planzahlen Liquidität'!$A:$GZ,ROW(E60)-47,COLUMN(E60)-3+$N$2)</f>
        <v>Ist</v>
      </c>
      <c r="F60" s="1266" t="s">
        <v>822</v>
      </c>
      <c r="G60" s="1266" t="s">
        <v>823</v>
      </c>
      <c r="H60" s="1266" t="s">
        <v>50</v>
      </c>
      <c r="I60" s="1266" t="s">
        <v>205</v>
      </c>
      <c r="J60" s="1266" t="s">
        <v>206</v>
      </c>
    </row>
    <row r="61" spans="1:10" ht="11.25" customHeight="1" x14ac:dyDescent="0.2">
      <c r="A61" s="1266" t="str">
        <f>IF(ISBLANK('Planzahlen Liquidität'!A17),"",'Planzahlen Liquidität'!A17)</f>
        <v/>
      </c>
      <c r="B61" s="1267" t="str">
        <f>IF(ISBLANK('Planzahlen Liquidität'!B17),"",'Planzahlen Liquidität'!B17)</f>
        <v>Jahresüberschuss / -fehlbetrag</v>
      </c>
      <c r="C61" s="1280">
        <f ca="1">INDEX('Planzahlen Liquidität'!$A:$GZ,ROW(C61)-47+3,COLUMN(C61)-3+$N$2)</f>
        <v>19498.369999999995</v>
      </c>
      <c r="D61" s="1280">
        <f>INDEX('Planzahlen Liquidität'!$A:$GZ,ROW(D61)-47+3,COLUMN(D61)-3+$N$2)</f>
        <v>27410.285972222227</v>
      </c>
      <c r="E61" s="1280">
        <f ca="1">INDEX('Planzahlen Liquidität'!$A:$GZ,ROW(E61)-47+3,COLUMN(E61)-3+$N$2)</f>
        <v>11586.37</v>
      </c>
      <c r="F61" s="1280">
        <f t="shared" ref="F61:F80" ca="1" si="6">E61-C61</f>
        <v>-7911.9999999999945</v>
      </c>
      <c r="G61" s="1280">
        <f t="shared" ref="G61:G80" ca="1" si="7">E61-D61</f>
        <v>-15823.915972222227</v>
      </c>
      <c r="H61" s="1287">
        <f ca="1">C61/C$8</f>
        <v>0.58372900495522573</v>
      </c>
      <c r="I61" s="1287">
        <f>D61/D$8</f>
        <v>0.26504212948369271</v>
      </c>
      <c r="J61" s="1287">
        <f ca="1">E61/E$8</f>
        <v>0.35410536391675829</v>
      </c>
    </row>
    <row r="62" spans="1:10" ht="11.25" customHeight="1" x14ac:dyDescent="0.2">
      <c r="A62" s="1277" t="str">
        <f>IF(ISBLANK('Planzahlen Liquidität'!A18),"",'Planzahlen Liquidität'!A18)</f>
        <v/>
      </c>
      <c r="B62" s="1278" t="str">
        <f>IF(ISBLANK('Planzahlen Liquidität'!B18),"",'Planzahlen Liquidität'!B18)</f>
        <v>Abschreibungen</v>
      </c>
      <c r="C62" s="1270">
        <f ca="1">INDEX('Planzahlen Liquidität'!$A:$GZ,ROW(C62)-47+3,COLUMN(C62)-3+$N$2)</f>
        <v>272.66000000000003</v>
      </c>
      <c r="D62" s="1271">
        <f>INDEX('Planzahlen Liquidität'!$A:$GZ,ROW(D62)-47+3,COLUMN(D62)-3+$N$2)</f>
        <v>250</v>
      </c>
      <c r="E62" s="1272">
        <f ca="1">INDEX('Planzahlen Liquidität'!$A:$GZ,ROW(E62)-47+3,COLUMN(E62)-3+$N$2)</f>
        <v>272.66000000000003</v>
      </c>
      <c r="F62" s="1293">
        <f t="shared" ca="1" si="6"/>
        <v>0</v>
      </c>
      <c r="G62" s="1293">
        <f t="shared" ca="1" si="7"/>
        <v>22.660000000000025</v>
      </c>
      <c r="H62" s="1314"/>
      <c r="I62" s="1314"/>
      <c r="J62" s="1314"/>
    </row>
    <row r="63" spans="1:10" ht="11.25" customHeight="1" x14ac:dyDescent="0.2">
      <c r="A63" s="1277">
        <f>IF(ISBLANK('Planzahlen Liquidität'!A19),"",'Planzahlen Liquidität'!A19)</f>
        <v>29.1</v>
      </c>
      <c r="B63" s="1278" t="str">
        <f>IF(ISBLANK('Planzahlen Liquidität'!B19),"",'Planzahlen Liquidität'!B19)</f>
        <v>Veränderung der Rückstellungen</v>
      </c>
      <c r="C63" s="1270">
        <f ca="1">INDEX('Planzahlen Liquidität'!$A:$GZ,ROW(C63)-47+3,COLUMN(C63)-3+$N$2)</f>
        <v>272.66000000000003</v>
      </c>
      <c r="D63" s="1271">
        <f>INDEX('Planzahlen Liquidität'!$A:$GZ,ROW(D63)-47+3,COLUMN(D63)-3+$N$2)</f>
        <v>0</v>
      </c>
      <c r="E63" s="1272">
        <f ca="1">INDEX('Planzahlen Liquidität'!$A:$GZ,ROW(E63)-47+3,COLUMN(E63)-3+$N$2)</f>
        <v>272.66000000000003</v>
      </c>
      <c r="F63" s="1293">
        <f t="shared" ca="1" si="6"/>
        <v>0</v>
      </c>
      <c r="G63" s="1293">
        <f t="shared" ca="1" si="7"/>
        <v>272.66000000000003</v>
      </c>
      <c r="H63" s="1314"/>
      <c r="I63" s="1314"/>
      <c r="J63" s="1314"/>
    </row>
    <row r="64" spans="1:10" ht="11.25" customHeight="1" x14ac:dyDescent="0.2">
      <c r="A64" s="1266" t="str">
        <f>IF(ISBLANK('Planzahlen Liquidität'!A20),"",'Planzahlen Liquidität'!A20)</f>
        <v>XIV</v>
      </c>
      <c r="B64" s="1267" t="str">
        <f>IF(ISBLANK('Planzahlen Liquidität'!B20),"",'Planzahlen Liquidität'!B20)</f>
        <v>Cash Flow</v>
      </c>
      <c r="C64" s="1280">
        <f ca="1">INDEX('Planzahlen Liquidität'!$A:$GZ,ROW(C64)-47+3,COLUMN(C64)-3+$N$2)</f>
        <v>20043.689999999995</v>
      </c>
      <c r="D64" s="1280">
        <f>INDEX('Planzahlen Liquidität'!$A:$GZ,ROW(D64)-47+3,COLUMN(D64)-3+$N$2)</f>
        <v>27660.285972222227</v>
      </c>
      <c r="E64" s="1280">
        <f ca="1">INDEX('Planzahlen Liquidität'!$A:$GZ,ROW(E64)-47+3,COLUMN(E64)-3+$N$2)</f>
        <v>12131.69</v>
      </c>
      <c r="F64" s="1281">
        <f t="shared" ca="1" si="6"/>
        <v>-7911.9999999999945</v>
      </c>
      <c r="G64" s="1281">
        <f t="shared" ca="1" si="7"/>
        <v>-15528.595972222227</v>
      </c>
      <c r="H64" s="1287">
        <f ca="1">C64/C$8</f>
        <v>0.60005442605361414</v>
      </c>
      <c r="I64" s="1287">
        <f>D64/D$8</f>
        <v>0.26745948961040111</v>
      </c>
      <c r="J64" s="1287">
        <f ca="1">E64/E$8</f>
        <v>0.37077156196248673</v>
      </c>
    </row>
    <row r="65" spans="1:10" ht="11.25" customHeight="1" x14ac:dyDescent="0.2">
      <c r="A65" s="1283">
        <f>IF(ISBLANK('Planzahlen Liquidität'!A21),"",'Planzahlen Liquidität'!A21)</f>
        <v>38</v>
      </c>
      <c r="B65" s="1284" t="str">
        <f>IF(ISBLANK('Planzahlen Liquidität'!B21),"",'Planzahlen Liquidität'!B21)</f>
        <v>Investitionen - Deinvestitionen</v>
      </c>
      <c r="C65" s="1270">
        <f ca="1">INDEX('Planzahlen Liquidität'!$A:$GZ,ROW(C65)-47+3,COLUMN(C65)-3+$N$2)</f>
        <v>0</v>
      </c>
      <c r="D65" s="1271">
        <f>INDEX('Planzahlen Liquidität'!$A:$GZ,ROW(D65)-47+3,COLUMN(D65)-3+$N$2)</f>
        <v>180.83333333333334</v>
      </c>
      <c r="E65" s="1272">
        <f ca="1">INDEX('Planzahlen Liquidität'!$A:$GZ,ROW(E65)-47+3,COLUMN(E65)-3+$N$2)</f>
        <v>0</v>
      </c>
      <c r="F65" s="1293">
        <f t="shared" ca="1" si="6"/>
        <v>0</v>
      </c>
      <c r="G65" s="1293">
        <f t="shared" ca="1" si="7"/>
        <v>-180.83333333333334</v>
      </c>
      <c r="H65" s="1314"/>
      <c r="I65" s="1314"/>
      <c r="J65" s="1314"/>
    </row>
    <row r="66" spans="1:10" ht="11.25" customHeight="1" x14ac:dyDescent="0.2">
      <c r="A66" s="1315">
        <f>IF(ISBLANK('Planzahlen Liquidität'!A22),"",'Planzahlen Liquidität'!A22)</f>
        <v>39</v>
      </c>
      <c r="B66" s="1316" t="str">
        <f>IF(ISBLANK('Planzahlen Liquidität'!B22),"",'Planzahlen Liquidität'!B22)</f>
        <v>Kreditaufnahme für Investitionen / Gewinnverwendung</v>
      </c>
      <c r="C66" s="1270">
        <f ca="1">INDEX('Planzahlen Liquidität'!$A:$GZ,ROW(C66)-47+3,COLUMN(C66)-3+$N$2)</f>
        <v>0</v>
      </c>
      <c r="D66" s="1271">
        <f>INDEX('Planzahlen Liquidität'!$A:$GZ,ROW(D66)-47+3,COLUMN(D66)-3+$N$2)</f>
        <v>0</v>
      </c>
      <c r="E66" s="1272">
        <f ca="1">INDEX('Planzahlen Liquidität'!$A:$GZ,ROW(E66)-47+3,COLUMN(E66)-3+$N$2)</f>
        <v>0</v>
      </c>
      <c r="F66" s="1293">
        <f t="shared" ca="1" si="6"/>
        <v>0</v>
      </c>
      <c r="G66" s="1293">
        <f t="shared" ca="1" si="7"/>
        <v>0</v>
      </c>
      <c r="H66" s="1314"/>
      <c r="I66" s="1314"/>
      <c r="J66" s="1314"/>
    </row>
    <row r="67" spans="1:10" ht="11.25" customHeight="1" x14ac:dyDescent="0.2">
      <c r="A67" s="1288" t="str">
        <f>IF(ISBLANK('Planzahlen Liquidität'!A23),"",'Planzahlen Liquidität'!A23)</f>
        <v>XV</v>
      </c>
      <c r="B67" s="1289" t="str">
        <f>IF(ISBLANK('Planzahlen Liquidität'!B23),"",'Planzahlen Liquidität'!B23)</f>
        <v>Eigenanteil an Nettoinvestitionen (Investition-Kreditaufnahmen)</v>
      </c>
      <c r="C67" s="1290">
        <f ca="1">INDEX('Planzahlen Liquidität'!$A:$GZ,ROW(C67)-47+3,COLUMN(C67)-3+$N$2)</f>
        <v>0</v>
      </c>
      <c r="D67" s="1290">
        <f>INDEX('Planzahlen Liquidität'!$A:$GZ,ROW(D67)-47+3,COLUMN(D67)-3+$N$2)</f>
        <v>180.83333333333334</v>
      </c>
      <c r="E67" s="1290">
        <f ca="1">INDEX('Planzahlen Liquidität'!$A:$GZ,ROW(E67)-47+3,COLUMN(E67)-3+$N$2)</f>
        <v>0</v>
      </c>
      <c r="F67" s="1291">
        <f t="shared" ca="1" si="6"/>
        <v>0</v>
      </c>
      <c r="G67" s="1291">
        <f t="shared" ca="1" si="7"/>
        <v>-180.83333333333334</v>
      </c>
      <c r="H67" s="1292">
        <f ca="1">C67/C$8</f>
        <v>0</v>
      </c>
      <c r="I67" s="1292">
        <f>D67/D$8</f>
        <v>1.7485571583190386E-3</v>
      </c>
      <c r="J67" s="1292">
        <f ca="1">E67/E$8</f>
        <v>0</v>
      </c>
    </row>
    <row r="68" spans="1:10" ht="11.25" customHeight="1" x14ac:dyDescent="0.2">
      <c r="A68" s="1315">
        <f>IF(ISBLANK('Planzahlen Liquidität'!A24),"",'Planzahlen Liquidität'!A24)</f>
        <v>40</v>
      </c>
      <c r="B68" s="1316" t="str">
        <f>IF(ISBLANK('Planzahlen Liquidität'!B24),"",'Planzahlen Liquidität'!B24)</f>
        <v>Tilgung</v>
      </c>
      <c r="C68" s="1270">
        <f ca="1">INDEX('Planzahlen Liquidität'!$A:$GZ,ROW(C68)-47+3,COLUMN(C68)-3+$N$2)</f>
        <v>0</v>
      </c>
      <c r="D68" s="1271">
        <f>INDEX('Planzahlen Liquidität'!$A:$GZ,ROW(D68)-47+3,COLUMN(D68)-3+$N$2)</f>
        <v>94.333333333333343</v>
      </c>
      <c r="E68" s="1272">
        <f ca="1">INDEX('Planzahlen Liquidität'!$A:$GZ,ROW(E68)-47+3,COLUMN(E68)-3+$N$2)</f>
        <v>0</v>
      </c>
      <c r="F68" s="1293">
        <f t="shared" ca="1" si="6"/>
        <v>0</v>
      </c>
      <c r="G68" s="1293">
        <f t="shared" ca="1" si="7"/>
        <v>-94.333333333333343</v>
      </c>
      <c r="H68" s="1314"/>
      <c r="I68" s="1314"/>
      <c r="J68" s="1314"/>
    </row>
    <row r="69" spans="1:10" ht="11.25" customHeight="1" x14ac:dyDescent="0.2">
      <c r="A69" s="1317" t="str">
        <f>IF(ISBLANK('Planzahlen Liquidität'!A25),"",'Planzahlen Liquidität'!A25)</f>
        <v/>
      </c>
      <c r="B69" s="1318" t="str">
        <f>IF(ISBLANK('Planzahlen Liquidität'!B25),"",'Planzahlen Liquidität'!B25)</f>
        <v>davon Zinskorrekturen</v>
      </c>
      <c r="C69" s="1299">
        <f>INDEX('Planzahlen Liquidität'!$A:$GZ,ROW(C69)-47+3,COLUMN(C69)-3+$N$2)</f>
        <v>0</v>
      </c>
      <c r="D69" s="1300">
        <f>INDEX('Planzahlen Liquidität'!$A:$GZ,ROW(D69)-47+3,COLUMN(D69)-3+$N$2)</f>
        <v>0</v>
      </c>
      <c r="E69" s="1285">
        <f>INDEX('Planzahlen Liquidität'!$A:$GZ,ROW(E69)-47+3,COLUMN(E69)-3+$N$2)</f>
        <v>0</v>
      </c>
      <c r="F69" s="1301">
        <f t="shared" si="6"/>
        <v>0</v>
      </c>
      <c r="G69" s="1301">
        <f t="shared" si="7"/>
        <v>0</v>
      </c>
      <c r="H69" s="1314"/>
      <c r="I69" s="1314"/>
      <c r="J69" s="1314"/>
    </row>
    <row r="70" spans="1:10" ht="11.25" customHeight="1" x14ac:dyDescent="0.2">
      <c r="A70" s="1315">
        <f>IF(ISBLANK('Planzahlen Liquidität'!A26),"",'Planzahlen Liquidität'!A26)</f>
        <v>41</v>
      </c>
      <c r="B70" s="1316" t="str">
        <f>IF(ISBLANK('Planzahlen Liquidität'!B26),"",'Planzahlen Liquidität'!B26)</f>
        <v>Privatentnahmen</v>
      </c>
      <c r="C70" s="1270">
        <f ca="1">INDEX('Planzahlen Liquidität'!$A:$GZ,ROW(C70)-47+3,COLUMN(C70)-3+$N$2)</f>
        <v>0</v>
      </c>
      <c r="D70" s="1271">
        <f>INDEX('Planzahlen Liquidität'!$A:$GZ,ROW(D70)-47+3,COLUMN(D70)-3+$N$2)</f>
        <v>0</v>
      </c>
      <c r="E70" s="1272">
        <f ca="1">INDEX('Planzahlen Liquidität'!$A:$GZ,ROW(E70)-47+3,COLUMN(E70)-3+$N$2)</f>
        <v>0</v>
      </c>
      <c r="F70" s="1293">
        <f t="shared" ca="1" si="6"/>
        <v>0</v>
      </c>
      <c r="G70" s="1293">
        <f t="shared" ca="1" si="7"/>
        <v>0</v>
      </c>
      <c r="H70" s="1314"/>
      <c r="I70" s="1314"/>
      <c r="J70" s="1314"/>
    </row>
    <row r="71" spans="1:10" ht="11.25" customHeight="1" x14ac:dyDescent="0.2">
      <c r="A71" s="1315">
        <f>IF(ISBLANK('Planzahlen Liquidität'!A27),"",'Planzahlen Liquidität'!A27)</f>
        <v>41.1</v>
      </c>
      <c r="B71" s="1302" t="str">
        <f>IF(ISBLANK('Planzahlen Liquidität'!B27),"",'Planzahlen Liquidität'!B27)</f>
        <v>davon reine Privatentnahmen</v>
      </c>
      <c r="C71" s="1270">
        <f ca="1">INDEX('Planzahlen Liquidität'!$A:$GZ,ROW(C71)-47+3,COLUMN(C71)-3+$N$2)</f>
        <v>0</v>
      </c>
      <c r="D71" s="1271">
        <f>INDEX('Planzahlen Liquidität'!$A:$GZ,ROW(D71)-47+3,COLUMN(D71)-3+$N$2)</f>
        <v>0</v>
      </c>
      <c r="E71" s="1272">
        <f ca="1">INDEX('Planzahlen Liquidität'!$A:$GZ,ROW(E71)-47+3,COLUMN(E71)-3+$N$2)</f>
        <v>0</v>
      </c>
      <c r="F71" s="1293">
        <f t="shared" ca="1" si="6"/>
        <v>0</v>
      </c>
      <c r="G71" s="1293">
        <f t="shared" ca="1" si="7"/>
        <v>0</v>
      </c>
      <c r="H71" s="1314"/>
      <c r="I71" s="1314"/>
      <c r="J71" s="1314"/>
    </row>
    <row r="72" spans="1:10" ht="11.25" customHeight="1" x14ac:dyDescent="0.2">
      <c r="A72" s="1317">
        <f>IF(ISBLANK('Planzahlen Liquidität'!A28),"",'Planzahlen Liquidität'!A28)</f>
        <v>42</v>
      </c>
      <c r="B72" s="1319" t="str">
        <f>IF(ISBLANK('Planzahlen Liquidität'!B28),"",'Planzahlen Liquidität'!B28)</f>
        <v>Privateinlagen</v>
      </c>
      <c r="C72" s="1299">
        <f ca="1">INDEX('Planzahlen Liquidität'!$A:$GZ,ROW(C72)-47+3,COLUMN(C72)-3+$N$2)</f>
        <v>0</v>
      </c>
      <c r="D72" s="1300">
        <f>INDEX('Planzahlen Liquidität'!$A:$GZ,ROW(D72)-47+3,COLUMN(D72)-3+$N$2)</f>
        <v>0</v>
      </c>
      <c r="E72" s="1285">
        <f ca="1">INDEX('Planzahlen Liquidität'!$A:$GZ,ROW(E72)-47+3,COLUMN(E72)-3+$N$2)</f>
        <v>0</v>
      </c>
      <c r="F72" s="1293">
        <f t="shared" ca="1" si="6"/>
        <v>0</v>
      </c>
      <c r="G72" s="1293">
        <f t="shared" ca="1" si="7"/>
        <v>0</v>
      </c>
      <c r="H72" s="1314"/>
      <c r="I72" s="1314"/>
      <c r="J72" s="1314"/>
    </row>
    <row r="73" spans="1:10" ht="11.25" customHeight="1" x14ac:dyDescent="0.2">
      <c r="A73" s="1320" t="str">
        <f>IF(ISBLANK('Planzahlen Liquidität'!A29),"",'Planzahlen Liquidität'!A29)</f>
        <v>XVI</v>
      </c>
      <c r="B73" s="1321" t="str">
        <f>IF(ISBLANK('Planzahlen Liquidität'!B29),"",'Planzahlen Liquidität'!B29)</f>
        <v>Unternehmerlohn</v>
      </c>
      <c r="C73" s="1295">
        <f ca="1">INDEX('Planzahlen Liquidität'!$A:$GZ,ROW(C73)-47+3,COLUMN(C73)-3+$N$2)</f>
        <v>0</v>
      </c>
      <c r="D73" s="1295">
        <f>INDEX('Planzahlen Liquidität'!$A:$GZ,ROW(D73)-47+3,COLUMN(D73)-3+$N$2)</f>
        <v>0</v>
      </c>
      <c r="E73" s="1295">
        <f ca="1">INDEX('Planzahlen Liquidität'!$A:$GZ,ROW(E73)-47+3,COLUMN(E73)-3+$N$2)</f>
        <v>0</v>
      </c>
      <c r="F73" s="1291">
        <f t="shared" ca="1" si="6"/>
        <v>0</v>
      </c>
      <c r="G73" s="1291">
        <f t="shared" ca="1" si="7"/>
        <v>0</v>
      </c>
      <c r="H73" s="1292">
        <f ca="1">C73/C$8</f>
        <v>0</v>
      </c>
      <c r="I73" s="1292">
        <f>D73/D$8</f>
        <v>0</v>
      </c>
      <c r="J73" s="1292">
        <f ca="1">E73/E$8</f>
        <v>0</v>
      </c>
    </row>
    <row r="74" spans="1:10" ht="11.25" customHeight="1" x14ac:dyDescent="0.2">
      <c r="A74" s="1322">
        <f>IF(ISBLANK('Planzahlen Liquidität'!A30),"",'Planzahlen Liquidität'!A30)</f>
        <v>43</v>
      </c>
      <c r="B74" s="1323" t="str">
        <f>IF(ISBLANK('Planzahlen Liquidität'!B30),"",'Planzahlen Liquidität'!B30)</f>
        <v>Gewinnbeteiligung</v>
      </c>
      <c r="C74" s="1270">
        <f ca="1">INDEX('Planzahlen Liquidität'!$A:$GZ,ROW(C74)-47+3,COLUMN(C74)-3+$N$2)</f>
        <v>0</v>
      </c>
      <c r="D74" s="1271">
        <f>INDEX('Planzahlen Liquidität'!$A:$GZ,ROW(D74)-47+3,COLUMN(D74)-3+$N$2)</f>
        <v>0</v>
      </c>
      <c r="E74" s="1272">
        <f ca="1">INDEX('Planzahlen Liquidität'!$A:$GZ,ROW(E74)-47+3,COLUMN(E74)-3+$N$2)</f>
        <v>0</v>
      </c>
      <c r="F74" s="1273">
        <f t="shared" ca="1" si="6"/>
        <v>0</v>
      </c>
      <c r="G74" s="1273">
        <f t="shared" ca="1" si="7"/>
        <v>0</v>
      </c>
      <c r="H74" s="1324"/>
      <c r="I74" s="1324"/>
      <c r="J74" s="1324"/>
    </row>
    <row r="75" spans="1:10" ht="11.25" customHeight="1" x14ac:dyDescent="0.2">
      <c r="A75" s="1325" t="str">
        <f>IF(ISBLANK('Planzahlen Liquidität'!A31),"",'Planzahlen Liquidität'!A31)</f>
        <v>XVII</v>
      </c>
      <c r="B75" s="1326" t="str">
        <f>IF(ISBLANK('Planzahlen Liquidität'!B31),"",'Planzahlen Liquidität'!B31)</f>
        <v>Liqui-Ergebnis I (Geldvermögen)</v>
      </c>
      <c r="C75" s="1280">
        <f ca="1">INDEX('Planzahlen Liquidität'!$A:$GZ,ROW(C75)-47+3,COLUMN(C75)-3+$N$2)</f>
        <v>20043.689999999995</v>
      </c>
      <c r="D75" s="1280">
        <f>INDEX('Planzahlen Liquidität'!$A:$GZ,ROW(D75)-47+3,COLUMN(D75)-3+$N$2)</f>
        <v>27385.119305555563</v>
      </c>
      <c r="E75" s="1280">
        <f ca="1">INDEX('Planzahlen Liquidität'!$A:$GZ,ROW(E75)-47+3,COLUMN(E75)-3+$N$2)</f>
        <v>12131.69</v>
      </c>
      <c r="F75" s="1281">
        <f t="shared" ca="1" si="6"/>
        <v>-7911.9999999999945</v>
      </c>
      <c r="G75" s="1281">
        <f t="shared" ca="1" si="7"/>
        <v>-15253.429305555563</v>
      </c>
      <c r="H75" s="1287">
        <f ca="1">C75/C$8</f>
        <v>0.60005442605361414</v>
      </c>
      <c r="I75" s="1287">
        <f>D75/D$8</f>
        <v>0.26479878189760414</v>
      </c>
      <c r="J75" s="1287">
        <f ca="1">E75/E$8</f>
        <v>0.37077156196248673</v>
      </c>
    </row>
    <row r="76" spans="1:10" ht="11.25" customHeight="1" x14ac:dyDescent="0.2">
      <c r="A76" s="1277">
        <f>IF(ISBLANK('Planzahlen Liquidität'!A32),"",'Planzahlen Liquidität'!A32)</f>
        <v>44</v>
      </c>
      <c r="B76" s="1278" t="str">
        <f>IF(ISBLANK('Planzahlen Liquidität'!B32),"",'Planzahlen Liquidität'!B32)</f>
        <v>Nettokreditaufnahme für Umschuldung (abzüglich Sondertilgungen)</v>
      </c>
      <c r="C76" s="1270">
        <f ca="1">INDEX('Planzahlen Liquidität'!$A:$GZ,ROW(C76)-47+3,COLUMN(C76)-3+$N$2)</f>
        <v>0</v>
      </c>
      <c r="D76" s="1271">
        <f>INDEX('Planzahlen Liquidität'!$A:$GZ,ROW(D76)-47+3,COLUMN(D76)-3+$N$2)</f>
        <v>0</v>
      </c>
      <c r="E76" s="1272">
        <f ca="1">INDEX('Planzahlen Liquidität'!$A:$GZ,ROW(E76)-47+3,COLUMN(E76)-3+$N$2)</f>
        <v>0</v>
      </c>
      <c r="F76" s="1293">
        <f t="shared" ca="1" si="6"/>
        <v>0</v>
      </c>
      <c r="G76" s="1293">
        <f t="shared" ca="1" si="7"/>
        <v>0</v>
      </c>
      <c r="H76" s="1294"/>
      <c r="I76" s="1294"/>
      <c r="J76" s="1294"/>
    </row>
    <row r="77" spans="1:10" ht="11.25" customHeight="1" x14ac:dyDescent="0.2">
      <c r="A77" s="1277">
        <f>IF(ISBLANK('Planzahlen Liquidität'!A33),"",'Planzahlen Liquidität'!A33)</f>
        <v>45</v>
      </c>
      <c r="B77" s="1278" t="str">
        <f>IF(ISBLANK('Planzahlen Liquidität'!B33),"",'Planzahlen Liquidität'!B33)</f>
        <v>Veränderung sonstiges Aktiva</v>
      </c>
      <c r="C77" s="1270">
        <f ca="1">INDEX('Planzahlen Liquidität'!$A:$GZ,ROW(C77)-47+3,COLUMN(C77)-3+$N$2)</f>
        <v>26522.11</v>
      </c>
      <c r="D77" s="1271">
        <f>INDEX('Planzahlen Liquidität'!$A:$GZ,ROW(D77)-47+3,COLUMN(D77)-3+$N$2)</f>
        <v>0</v>
      </c>
      <c r="E77" s="1272">
        <f ca="1">INDEX('Planzahlen Liquidität'!$A:$GZ,ROW(E77)-47+3,COLUMN(E77)-3+$N$2)</f>
        <v>26522.11</v>
      </c>
      <c r="F77" s="1293">
        <f t="shared" ca="1" si="6"/>
        <v>0</v>
      </c>
      <c r="G77" s="1293">
        <f t="shared" ca="1" si="7"/>
        <v>26522.11</v>
      </c>
      <c r="H77" s="1294"/>
      <c r="I77" s="1294"/>
      <c r="J77" s="1294"/>
    </row>
    <row r="78" spans="1:10" ht="11.25" customHeight="1" x14ac:dyDescent="0.2">
      <c r="A78" s="1297">
        <f>IF(ISBLANK('Planzahlen Liquidität'!A34),"",'Planzahlen Liquidität'!A34)</f>
        <v>46</v>
      </c>
      <c r="B78" s="1298" t="str">
        <f>IF(ISBLANK('Planzahlen Liquidität'!B34),"",'Planzahlen Liquidität'!B34)</f>
        <v>Veränderung sonstiges Passiva</v>
      </c>
      <c r="C78" s="1299">
        <f ca="1">INDEX('Planzahlen Liquidität'!$A:$GZ,ROW(C78)-47+3,COLUMN(C78)-3+$N$2)</f>
        <v>-2336.4299999999998</v>
      </c>
      <c r="D78" s="1300">
        <f>INDEX('Planzahlen Liquidität'!$A:$GZ,ROW(D78)-47+3,COLUMN(D78)-3+$N$2)</f>
        <v>0</v>
      </c>
      <c r="E78" s="1285">
        <f ca="1">INDEX('Planzahlen Liquidität'!$A:$GZ,ROW(E78)-47+3,COLUMN(E78)-3+$N$2)</f>
        <v>-2336.4299999999998</v>
      </c>
      <c r="F78" s="1301">
        <f t="shared" ca="1" si="6"/>
        <v>0</v>
      </c>
      <c r="G78" s="1301">
        <f t="shared" ca="1" si="7"/>
        <v>-2336.4299999999998</v>
      </c>
      <c r="H78" s="1327"/>
      <c r="I78" s="1327"/>
      <c r="J78" s="1327"/>
    </row>
    <row r="79" spans="1:10" ht="11.25" customHeight="1" x14ac:dyDescent="0.2">
      <c r="A79" s="1325" t="str">
        <f>IF(ISBLANK('Planzahlen Liquidität'!A35),"",'Planzahlen Liquidität'!A35)</f>
        <v>XVIII</v>
      </c>
      <c r="B79" s="1326" t="str">
        <f>IF(ISBLANK('Planzahlen Liquidität'!B35),"",'Planzahlen Liquidität'!B35)</f>
        <v>Liqui-Ergebnis II (Barliquidität)</v>
      </c>
      <c r="C79" s="1286">
        <f ca="1">INDEX('Planzahlen Liquidität'!$A:$GZ,ROW(C79)-47+3,COLUMN(C79)-3+$N$2)</f>
        <v>-8814.8500000000058</v>
      </c>
      <c r="D79" s="1286">
        <f>INDEX('Planzahlen Liquidität'!$A:$GZ,ROW(D79)-47+3,COLUMN(D79)-3+$N$2)</f>
        <v>27385.119305555563</v>
      </c>
      <c r="E79" s="1286">
        <f ca="1">INDEX('Planzahlen Liquidität'!$A:$GZ,ROW(E79)-47+3,COLUMN(E79)-3+$N$2)</f>
        <v>-16726.849999999999</v>
      </c>
      <c r="F79" s="1328">
        <f t="shared" ca="1" si="6"/>
        <v>-7911.9999999999927</v>
      </c>
      <c r="G79" s="1328">
        <f t="shared" ca="1" si="7"/>
        <v>-44111.969305555562</v>
      </c>
      <c r="H79" s="1282">
        <f ca="1">C79/C$8</f>
        <v>-0.26389301358675499</v>
      </c>
      <c r="I79" s="1282">
        <f>D79/D$8</f>
        <v>0.26479878189760414</v>
      </c>
      <c r="J79" s="1282">
        <f ca="1">E79/E$8</f>
        <v>-0.51120992221299921</v>
      </c>
    </row>
    <row r="80" spans="1:10" ht="11.25" customHeight="1" x14ac:dyDescent="0.2">
      <c r="A80" s="1266" t="str">
        <f>IF(ISBLANK('Planzahlen Liquidität'!A36),"",'Planzahlen Liquidität'!A36)</f>
        <v>L</v>
      </c>
      <c r="B80" s="1267" t="str">
        <f>IF(ISBLANK('Planzahlen Liquidität'!B36),"",'Planzahlen Liquidität'!B36)</f>
        <v>Kumulierte Liquidität (Kontoentwicklung)</v>
      </c>
      <c r="C80" s="1280">
        <f ca="1">INDEX('Planzahlen Liquidität'!$A:$GZ,ROW(C80)-47+3,COLUMN(C80)-3+$N$2)</f>
        <v>-40043.920000000006</v>
      </c>
      <c r="D80" s="1280">
        <f ca="1">INDEX('Planzahlen Liquidität'!$A:$GZ,ROW(D80)-47+3,COLUMN(D80)-3+$N$2)</f>
        <v>101999.45205555558</v>
      </c>
      <c r="E80" s="1280">
        <f ca="1">INDEX('Planzahlen Liquidität'!$A:$GZ,ROW(E80)-47+3,COLUMN(E80)-3+$N$2)</f>
        <v>-65190.360000000015</v>
      </c>
      <c r="F80" s="1328">
        <f t="shared" ca="1" si="6"/>
        <v>-25146.44000000001</v>
      </c>
      <c r="G80" s="1328">
        <f t="shared" ca="1" si="7"/>
        <v>-167189.81205555558</v>
      </c>
      <c r="H80" s="1329"/>
      <c r="I80" s="1329"/>
      <c r="J80" s="1329"/>
    </row>
    <row r="81" spans="1:10" x14ac:dyDescent="0.2">
      <c r="A81" s="1330"/>
      <c r="B81" s="1330"/>
      <c r="C81" s="1330"/>
      <c r="D81" s="1330"/>
      <c r="E81" s="1330"/>
      <c r="F81" s="1331"/>
      <c r="G81" s="1331"/>
      <c r="H81" s="1331"/>
      <c r="I81" s="1331"/>
      <c r="J81" s="1331"/>
    </row>
  </sheetData>
  <mergeCells count="8">
    <mergeCell ref="A1:J1"/>
    <mergeCell ref="C3:E3"/>
    <mergeCell ref="F3:G3"/>
    <mergeCell ref="H3:J3"/>
    <mergeCell ref="C59:E59"/>
    <mergeCell ref="F59:G59"/>
    <mergeCell ref="H59:J59"/>
    <mergeCell ref="A57:J57"/>
  </mergeCells>
  <pageMargins left="0.98425196850393704" right="0.98425196850393704" top="1.5748031496062993" bottom="0.39370078740157483" header="0.6692913385826772" footer="0.27559055118110237"/>
  <pageSetup paperSize="9" orientation="portrait"/>
  <headerFooter alignWithMargins="0">
    <oddHeader>&amp;C&amp;G</oddHeader>
  </headerFooter>
  <rowBreaks count="1" manualBreakCount="1">
    <brk id="56" max="1048575" man="1"/>
  </rowBreaks>
  <legacyDrawingHF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6">
    <tabColor theme="8" tint="-0.249977111117893"/>
  </sheetPr>
  <dimension ref="A1:IV57"/>
  <sheetViews>
    <sheetView showGridLines="0" zoomScale="150" zoomScaleNormal="150" workbookViewId="0">
      <pane xSplit="3" ySplit="3" topLeftCell="D4" activePane="bottomRight" state="frozen"/>
      <selection activeCell="F26" sqref="F26"/>
      <selection pane="topRight" activeCell="F26" sqref="F26"/>
      <selection pane="bottomLeft" activeCell="F26" sqref="F26"/>
      <selection pane="bottomRight" activeCell="E7" sqref="E7"/>
    </sheetView>
  </sheetViews>
  <sheetFormatPr baseColWidth="10" defaultColWidth="11.5703125" defaultRowHeight="12.75" outlineLevelCol="1" x14ac:dyDescent="0.2"/>
  <cols>
    <col min="1" max="1" width="3.5703125" style="88" customWidth="1"/>
    <col min="2" max="2" width="34.5703125" style="32" bestFit="1" customWidth="1"/>
    <col min="3" max="3" width="12.42578125" style="32" bestFit="1" customWidth="1"/>
    <col min="4" max="4" width="12.28515625" style="32" customWidth="1"/>
    <col min="5" max="5" width="12.140625" style="32" customWidth="1"/>
    <col min="6" max="6" width="11.42578125" style="11" customWidth="1"/>
    <col min="7" max="7" width="16.85546875" style="11" customWidth="1"/>
    <col min="8" max="8" width="12.85546875" style="11" customWidth="1"/>
    <col min="9" max="9" width="14.5703125" style="11" hidden="1" customWidth="1"/>
    <col min="10" max="11" width="11.42578125" style="11" hidden="1" customWidth="1" outlineLevel="1"/>
    <col min="12" max="12" width="14.7109375" style="11" hidden="1" customWidth="1"/>
    <col min="13" max="14" width="11.42578125" style="11" hidden="1" customWidth="1" outlineLevel="1"/>
    <col min="15" max="15" width="11.5703125" style="11" hidden="1" customWidth="1"/>
    <col min="16" max="17" width="11.42578125" style="11" hidden="1" customWidth="1" outlineLevel="1"/>
    <col min="18" max="18" width="11.5703125" style="11" hidden="1" customWidth="1"/>
    <col min="19" max="20" width="11.42578125" style="11" hidden="1" customWidth="1" outlineLevel="1"/>
    <col min="21" max="21" width="11.5703125" style="11" hidden="1" customWidth="1"/>
    <col min="22" max="23" width="11.42578125" style="11" hidden="1" customWidth="1" outlineLevel="1"/>
    <col min="24" max="24" width="11.5703125" style="11" hidden="1" customWidth="1"/>
    <col min="25" max="26" width="11.42578125" style="11" hidden="1" customWidth="1" outlineLevel="1"/>
    <col min="27" max="27" width="0" style="11" hidden="1" customWidth="1"/>
    <col min="28" max="28" width="11.42578125" style="11" hidden="1" customWidth="1" outlineLevel="1"/>
    <col min="29" max="29" width="11.42578125" style="32" hidden="1" customWidth="1" outlineLevel="1"/>
    <col min="30" max="30" width="11.5703125" style="32" customWidth="1" collapsed="1"/>
    <col min="31" max="31" width="11.5703125" style="32" customWidth="1"/>
    <col min="32" max="16384" width="11.5703125" style="32"/>
  </cols>
  <sheetData>
    <row r="1" spans="2:29" s="88" customFormat="1" ht="15.75" x14ac:dyDescent="0.2">
      <c r="B1" s="878" t="s">
        <v>824</v>
      </c>
      <c r="C1" s="979" t="str">
        <f>Mitarbeiterverteilung!C3</f>
        <v>Sample-Data</v>
      </c>
    </row>
    <row r="2" spans="2:29" s="980" customFormat="1" x14ac:dyDescent="0.2">
      <c r="F2" s="1379" t="str">
        <f>IF(Auftragsplanung!$A$5="","PC-1",Auftragsplanung!$A$5)</f>
        <v>Gesamt</v>
      </c>
      <c r="G2" s="1380"/>
      <c r="H2" s="1381"/>
      <c r="I2" s="1379" t="str">
        <f>IF(Auftragsplanung!$A$6="","PC-2",Auftragsplanung!$A$6)</f>
        <v>PC-2</v>
      </c>
      <c r="J2" s="1380"/>
      <c r="K2" s="1381"/>
      <c r="L2" s="1379" t="str">
        <f>IF(Auftragsplanung!$A$7="","PC-3",Auftragsplanung!$A$7)</f>
        <v>PC-3</v>
      </c>
      <c r="M2" s="1380"/>
      <c r="N2" s="1381"/>
      <c r="O2" s="1379" t="str">
        <f>IF(Auftragsplanung!$A$8="","PC-4",Auftragsplanung!$A$8)</f>
        <v>PC-4</v>
      </c>
      <c r="P2" s="1380"/>
      <c r="Q2" s="1381"/>
      <c r="R2" s="1379" t="str">
        <f>IF(Auftragsplanung!$A$9="","PC-5",Auftragsplanung!$A$9)</f>
        <v>PC-5</v>
      </c>
      <c r="S2" s="1380"/>
      <c r="T2" s="1381"/>
      <c r="U2" s="1379" t="str">
        <f>IF(Auftragsplanung!$A$10="","PC-6",Auftragsplanung!$A$10)</f>
        <v>PC-6</v>
      </c>
      <c r="V2" s="1380"/>
      <c r="W2" s="1381"/>
      <c r="X2" s="1379" t="str">
        <f>IF(Auftragsplanung!$A$11="","PC-7",Auftragsplanung!$A$11)</f>
        <v>PC-7</v>
      </c>
      <c r="Y2" s="1380"/>
      <c r="Z2" s="1381"/>
      <c r="AA2" s="1379" t="s">
        <v>825</v>
      </c>
      <c r="AB2" s="1380"/>
      <c r="AC2" s="1381"/>
    </row>
    <row r="3" spans="2:29" x14ac:dyDescent="0.2">
      <c r="B3" s="992" t="s">
        <v>1</v>
      </c>
      <c r="C3" s="993" t="s">
        <v>509</v>
      </c>
      <c r="D3" s="1013" t="s">
        <v>826</v>
      </c>
      <c r="E3" s="994" t="s">
        <v>510</v>
      </c>
      <c r="F3" s="1008" t="s">
        <v>827</v>
      </c>
      <c r="G3" s="993" t="s">
        <v>512</v>
      </c>
      <c r="H3" s="995" t="s">
        <v>513</v>
      </c>
      <c r="I3" s="1008" t="s">
        <v>827</v>
      </c>
      <c r="J3" s="993" t="s">
        <v>512</v>
      </c>
      <c r="K3" s="995" t="s">
        <v>513</v>
      </c>
      <c r="L3" s="1008" t="s">
        <v>827</v>
      </c>
      <c r="M3" s="993" t="s">
        <v>512</v>
      </c>
      <c r="N3" s="995" t="s">
        <v>513</v>
      </c>
      <c r="O3" s="1008" t="s">
        <v>827</v>
      </c>
      <c r="P3" s="993" t="s">
        <v>512</v>
      </c>
      <c r="Q3" s="995" t="s">
        <v>513</v>
      </c>
      <c r="R3" s="1008" t="s">
        <v>827</v>
      </c>
      <c r="S3" s="993" t="s">
        <v>512</v>
      </c>
      <c r="T3" s="995" t="s">
        <v>513</v>
      </c>
      <c r="U3" s="1008" t="s">
        <v>827</v>
      </c>
      <c r="V3" s="993" t="s">
        <v>512</v>
      </c>
      <c r="W3" s="995" t="s">
        <v>513</v>
      </c>
      <c r="X3" s="1008" t="s">
        <v>827</v>
      </c>
      <c r="Y3" s="993" t="s">
        <v>512</v>
      </c>
      <c r="Z3" s="995" t="s">
        <v>513</v>
      </c>
      <c r="AA3" s="1008" t="s">
        <v>827</v>
      </c>
      <c r="AB3" s="993" t="s">
        <v>512</v>
      </c>
      <c r="AC3" s="995" t="s">
        <v>513</v>
      </c>
    </row>
    <row r="4" spans="2:29" x14ac:dyDescent="0.2">
      <c r="B4" s="1009" t="str">
        <f>+Gesamtkostenplanung!B3</f>
        <v>Raumkosten</v>
      </c>
      <c r="C4" s="976">
        <f>+Gesamtkostenplanung!D3</f>
        <v>800</v>
      </c>
      <c r="D4" s="977">
        <f>F4+I4+L4+O4+R4+U4+X4+AA4-C4</f>
        <v>0</v>
      </c>
      <c r="E4" s="1126">
        <v>100</v>
      </c>
      <c r="F4" s="996">
        <f>$C$4*H4</f>
        <v>800</v>
      </c>
      <c r="G4" s="1125">
        <v>100</v>
      </c>
      <c r="H4" s="256">
        <f>IF(ISERROR(G4/$E4),0,G4/$E4)</f>
        <v>1</v>
      </c>
      <c r="I4" s="996">
        <f>$C$4*K4</f>
        <v>0</v>
      </c>
      <c r="J4" s="978">
        <v>0</v>
      </c>
      <c r="K4" s="256">
        <f>IF(ISERROR(J4/$E4),0,J4/$E4)</f>
        <v>0</v>
      </c>
      <c r="L4" s="996">
        <f>$C$4*N4</f>
        <v>0</v>
      </c>
      <c r="M4" s="978"/>
      <c r="N4" s="256">
        <f>IF(ISERROR(M4/$E4),0,M4/$E4)</f>
        <v>0</v>
      </c>
      <c r="O4" s="996">
        <f>$C$4*Q4</f>
        <v>0</v>
      </c>
      <c r="P4" s="978"/>
      <c r="Q4" s="256">
        <f>IF(ISERROR(P4/$E4),0,P4/$E4)</f>
        <v>0</v>
      </c>
      <c r="R4" s="996">
        <f>$C$4*T4</f>
        <v>0</v>
      </c>
      <c r="S4" s="978"/>
      <c r="T4" s="256">
        <f>IF(ISERROR(S4/$E4),0,S4/$E4)</f>
        <v>0</v>
      </c>
      <c r="U4" s="996">
        <f>$C$4*W4</f>
        <v>0</v>
      </c>
      <c r="V4" s="978"/>
      <c r="W4" s="256">
        <f>IF(ISERROR(V4/$E4),0,V4/$E4)</f>
        <v>0</v>
      </c>
      <c r="X4" s="996">
        <f>$C$4*Z4</f>
        <v>0</v>
      </c>
      <c r="Y4" s="978"/>
      <c r="Z4" s="256">
        <f>IF(ISERROR(Y4/$E4),0,Y4/$E4)</f>
        <v>0</v>
      </c>
      <c r="AA4" s="1002">
        <f>$C$4*AC4</f>
        <v>0</v>
      </c>
      <c r="AB4" s="978">
        <v>0</v>
      </c>
      <c r="AC4" s="256">
        <f>IF(ISERROR(AB4/$E4),0,AB4/$E4)</f>
        <v>0</v>
      </c>
    </row>
    <row r="5" spans="2:29" x14ac:dyDescent="0.2">
      <c r="B5" s="1010" t="str">
        <f>+Gesamtkostenplanung!B7</f>
        <v>Werbung</v>
      </c>
      <c r="C5" s="976">
        <f>+Gesamtkostenplanung!D7</f>
        <v>300</v>
      </c>
      <c r="D5" s="977">
        <f t="shared" ref="D5:D18" si="0">F5+I5+L5+O5+R5+U5+X5+AA5-C5</f>
        <v>0</v>
      </c>
      <c r="E5" s="1126">
        <v>100</v>
      </c>
      <c r="F5" s="996">
        <f>$C$5*H5</f>
        <v>300</v>
      </c>
      <c r="G5" s="1125">
        <v>100</v>
      </c>
      <c r="H5" s="256">
        <f t="shared" ref="H5:H15" si="1">IF(ISERROR(G5/$E5),0,G5/$E5)</f>
        <v>1</v>
      </c>
      <c r="I5" s="996">
        <f>$C$5*K5</f>
        <v>0</v>
      </c>
      <c r="J5" s="978">
        <v>0</v>
      </c>
      <c r="K5" s="256">
        <f t="shared" ref="K5:K15" si="2">IF(ISERROR(J5/$E5),0,J5/$E5)</f>
        <v>0</v>
      </c>
      <c r="L5" s="996">
        <f>$C$5*N5</f>
        <v>0</v>
      </c>
      <c r="M5" s="978"/>
      <c r="N5" s="256">
        <f t="shared" ref="N5:N15" si="3">IF(ISERROR(M5/$E5),0,M5/$E5)</f>
        <v>0</v>
      </c>
      <c r="O5" s="996">
        <f>$C$5*Q5</f>
        <v>0</v>
      </c>
      <c r="P5" s="978"/>
      <c r="Q5" s="256">
        <f t="shared" ref="Q5:Q15" si="4">IF(ISERROR(P5/$E5),0,P5/$E5)</f>
        <v>0</v>
      </c>
      <c r="R5" s="996">
        <f>$C$5*T5</f>
        <v>0</v>
      </c>
      <c r="S5" s="978"/>
      <c r="T5" s="256">
        <f t="shared" ref="T5:T15" si="5">IF(ISERROR(S5/$E5),0,S5/$E5)</f>
        <v>0</v>
      </c>
      <c r="U5" s="996">
        <f>$C$5*W5</f>
        <v>0</v>
      </c>
      <c r="V5" s="978"/>
      <c r="W5" s="256">
        <f t="shared" ref="W5:W15" si="6">IF(ISERROR(V5/$E5),0,V5/$E5)</f>
        <v>0</v>
      </c>
      <c r="X5" s="996">
        <f>$C$5*Z5</f>
        <v>0</v>
      </c>
      <c r="Y5" s="978"/>
      <c r="Z5" s="256">
        <f t="shared" ref="Z5:Z15" si="7">IF(ISERROR(Y5/$E5),0,Y5/$E5)</f>
        <v>0</v>
      </c>
      <c r="AA5" s="1002">
        <f>IF(ISERROR($C5*AC5),0,$C5*AC5)</f>
        <v>0</v>
      </c>
      <c r="AB5" s="978">
        <v>0</v>
      </c>
      <c r="AC5" s="256">
        <f t="shared" ref="AC5:AC15" si="8">IF(ISERROR(AB5/$E5),0,AB5/$E5)</f>
        <v>0</v>
      </c>
    </row>
    <row r="6" spans="2:29" x14ac:dyDescent="0.2">
      <c r="B6" s="1011" t="str">
        <f>+Gesamtkostenplanung!B9</f>
        <v>KFZ-Kosten (inkl. Steuer)</v>
      </c>
      <c r="C6" s="976">
        <f>+Gesamtkostenplanung!D9</f>
        <v>2850</v>
      </c>
      <c r="D6" s="977">
        <f t="shared" si="0"/>
        <v>0</v>
      </c>
      <c r="E6" s="1126">
        <v>100</v>
      </c>
      <c r="F6" s="996">
        <f>$C$6*H6</f>
        <v>2850</v>
      </c>
      <c r="G6" s="1125">
        <v>100</v>
      </c>
      <c r="H6" s="256">
        <f t="shared" si="1"/>
        <v>1</v>
      </c>
      <c r="I6" s="996">
        <f>$C$6*K6</f>
        <v>0</v>
      </c>
      <c r="J6" s="978">
        <v>0</v>
      </c>
      <c r="K6" s="256">
        <f t="shared" si="2"/>
        <v>0</v>
      </c>
      <c r="L6" s="996">
        <f>$C$6*N6</f>
        <v>0</v>
      </c>
      <c r="M6" s="978"/>
      <c r="N6" s="256">
        <f t="shared" si="3"/>
        <v>0</v>
      </c>
      <c r="O6" s="996">
        <f>$C$6*Q6</f>
        <v>0</v>
      </c>
      <c r="P6" s="978"/>
      <c r="Q6" s="256">
        <f t="shared" si="4"/>
        <v>0</v>
      </c>
      <c r="R6" s="996">
        <f>$C$6*T6</f>
        <v>0</v>
      </c>
      <c r="S6" s="978"/>
      <c r="T6" s="256">
        <f t="shared" si="5"/>
        <v>0</v>
      </c>
      <c r="U6" s="996">
        <f>$C$6*W6</f>
        <v>0</v>
      </c>
      <c r="V6" s="978"/>
      <c r="W6" s="256">
        <f t="shared" si="6"/>
        <v>0</v>
      </c>
      <c r="X6" s="996">
        <f>$C$6*Z6</f>
        <v>0</v>
      </c>
      <c r="Y6" s="978"/>
      <c r="Z6" s="256">
        <f t="shared" si="7"/>
        <v>0</v>
      </c>
      <c r="AA6" s="1002">
        <f t="shared" ref="AA6:AA18" si="9">IF(ISERROR($C6*AC6),0,$C6*AC6)</f>
        <v>0</v>
      </c>
      <c r="AB6" s="978">
        <v>0</v>
      </c>
      <c r="AC6" s="256">
        <f t="shared" si="8"/>
        <v>0</v>
      </c>
    </row>
    <row r="7" spans="2:29" x14ac:dyDescent="0.2">
      <c r="B7" s="1010" t="str">
        <f>+Gesamtkostenplanung!B14</f>
        <v>Reisekosten</v>
      </c>
      <c r="C7" s="976">
        <f>+Gesamtkostenplanung!D14</f>
        <v>1800</v>
      </c>
      <c r="D7" s="977">
        <f t="shared" si="0"/>
        <v>0</v>
      </c>
      <c r="E7" s="1126">
        <v>100</v>
      </c>
      <c r="F7" s="996">
        <f>$C$7*H7</f>
        <v>1800</v>
      </c>
      <c r="G7" s="1125">
        <v>100</v>
      </c>
      <c r="H7" s="256">
        <f t="shared" si="1"/>
        <v>1</v>
      </c>
      <c r="I7" s="996">
        <f>$C$7*K7</f>
        <v>0</v>
      </c>
      <c r="J7" s="978">
        <v>0</v>
      </c>
      <c r="K7" s="256">
        <f t="shared" si="2"/>
        <v>0</v>
      </c>
      <c r="L7" s="996">
        <f>$C$7*N7</f>
        <v>0</v>
      </c>
      <c r="M7" s="978"/>
      <c r="N7" s="256">
        <f t="shared" si="3"/>
        <v>0</v>
      </c>
      <c r="O7" s="996">
        <f>$C$7*Q7</f>
        <v>0</v>
      </c>
      <c r="P7" s="978"/>
      <c r="Q7" s="256">
        <f t="shared" si="4"/>
        <v>0</v>
      </c>
      <c r="R7" s="996">
        <f>$C$7*T7</f>
        <v>0</v>
      </c>
      <c r="S7" s="978"/>
      <c r="T7" s="256">
        <f t="shared" si="5"/>
        <v>0</v>
      </c>
      <c r="U7" s="996">
        <f>$C$7*W7</f>
        <v>0</v>
      </c>
      <c r="V7" s="978"/>
      <c r="W7" s="256">
        <f t="shared" si="6"/>
        <v>0</v>
      </c>
      <c r="X7" s="996">
        <f>$C$7*Z7</f>
        <v>0</v>
      </c>
      <c r="Y7" s="978"/>
      <c r="Z7" s="256">
        <f t="shared" si="7"/>
        <v>0</v>
      </c>
      <c r="AA7" s="1002">
        <f t="shared" si="9"/>
        <v>0</v>
      </c>
      <c r="AB7" s="978">
        <v>0</v>
      </c>
      <c r="AC7" s="256">
        <f t="shared" si="8"/>
        <v>0</v>
      </c>
    </row>
    <row r="8" spans="2:29" x14ac:dyDescent="0.2">
      <c r="B8" s="1011" t="str">
        <f>+Gesamtkostenplanung!B15</f>
        <v>Telefon, Fax, Internet</v>
      </c>
      <c r="C8" s="976">
        <f>+Gesamtkostenplanung!D15</f>
        <v>400</v>
      </c>
      <c r="D8" s="977">
        <f t="shared" si="0"/>
        <v>0</v>
      </c>
      <c r="E8" s="1126">
        <v>100</v>
      </c>
      <c r="F8" s="996">
        <f>$C$8*H8</f>
        <v>400</v>
      </c>
      <c r="G8" s="1125">
        <v>100</v>
      </c>
      <c r="H8" s="256">
        <f t="shared" si="1"/>
        <v>1</v>
      </c>
      <c r="I8" s="996">
        <f>$C$8*K8</f>
        <v>0</v>
      </c>
      <c r="J8" s="978">
        <v>0</v>
      </c>
      <c r="K8" s="256">
        <f t="shared" si="2"/>
        <v>0</v>
      </c>
      <c r="L8" s="996">
        <f>$C$8*N8</f>
        <v>0</v>
      </c>
      <c r="M8" s="978"/>
      <c r="N8" s="256">
        <f t="shared" si="3"/>
        <v>0</v>
      </c>
      <c r="O8" s="996">
        <f>$C$8*Q8</f>
        <v>0</v>
      </c>
      <c r="P8" s="978"/>
      <c r="Q8" s="256">
        <f t="shared" si="4"/>
        <v>0</v>
      </c>
      <c r="R8" s="996">
        <f>$C$8*T8</f>
        <v>0</v>
      </c>
      <c r="S8" s="978"/>
      <c r="T8" s="256">
        <f t="shared" si="5"/>
        <v>0</v>
      </c>
      <c r="U8" s="996">
        <f>$C$8*W8</f>
        <v>0</v>
      </c>
      <c r="V8" s="978"/>
      <c r="W8" s="256">
        <f t="shared" si="6"/>
        <v>0</v>
      </c>
      <c r="X8" s="996">
        <f>$C$8*Z8</f>
        <v>0</v>
      </c>
      <c r="Y8" s="978"/>
      <c r="Z8" s="256">
        <f t="shared" si="7"/>
        <v>0</v>
      </c>
      <c r="AA8" s="1002">
        <f t="shared" si="9"/>
        <v>0</v>
      </c>
      <c r="AB8" s="978">
        <v>0</v>
      </c>
      <c r="AC8" s="256">
        <f t="shared" si="8"/>
        <v>0</v>
      </c>
    </row>
    <row r="9" spans="2:29" x14ac:dyDescent="0.2">
      <c r="B9" s="1010" t="str">
        <f>+Gesamtkostenplanung!B16</f>
        <v>Versicherungen und Beiträge</v>
      </c>
      <c r="C9" s="976">
        <f>+Gesamtkostenplanung!D16</f>
        <v>1300</v>
      </c>
      <c r="D9" s="977">
        <f t="shared" si="0"/>
        <v>0</v>
      </c>
      <c r="E9" s="1126">
        <v>100</v>
      </c>
      <c r="F9" s="996">
        <f>$C$9*H9</f>
        <v>1300</v>
      </c>
      <c r="G9" s="1125">
        <v>100</v>
      </c>
      <c r="H9" s="256">
        <f t="shared" si="1"/>
        <v>1</v>
      </c>
      <c r="I9" s="996">
        <f>$C$9*K9</f>
        <v>0</v>
      </c>
      <c r="J9" s="978">
        <v>0</v>
      </c>
      <c r="K9" s="256">
        <f t="shared" si="2"/>
        <v>0</v>
      </c>
      <c r="L9" s="996">
        <f>$C$9*N9</f>
        <v>0</v>
      </c>
      <c r="M9" s="978"/>
      <c r="N9" s="256">
        <f t="shared" si="3"/>
        <v>0</v>
      </c>
      <c r="O9" s="996">
        <f>$C$9*Q9</f>
        <v>0</v>
      </c>
      <c r="P9" s="978"/>
      <c r="Q9" s="256">
        <f t="shared" si="4"/>
        <v>0</v>
      </c>
      <c r="R9" s="996">
        <f>$C$9*T9</f>
        <v>0</v>
      </c>
      <c r="S9" s="978"/>
      <c r="T9" s="256">
        <f t="shared" si="5"/>
        <v>0</v>
      </c>
      <c r="U9" s="996">
        <f>$C$9*W9</f>
        <v>0</v>
      </c>
      <c r="V9" s="978"/>
      <c r="W9" s="256">
        <f t="shared" si="6"/>
        <v>0</v>
      </c>
      <c r="X9" s="996">
        <f>$C$9*Z9</f>
        <v>0</v>
      </c>
      <c r="Y9" s="978"/>
      <c r="Z9" s="256">
        <f t="shared" si="7"/>
        <v>0</v>
      </c>
      <c r="AA9" s="1002">
        <f t="shared" si="9"/>
        <v>0</v>
      </c>
      <c r="AB9" s="978">
        <v>0</v>
      </c>
      <c r="AC9" s="256">
        <f t="shared" si="8"/>
        <v>0</v>
      </c>
    </row>
    <row r="10" spans="2:29" x14ac:dyDescent="0.2">
      <c r="B10" s="1011" t="str">
        <f>+Gesamtkostenplanung!B20</f>
        <v>Leasing</v>
      </c>
      <c r="C10" s="976">
        <f>+Gesamtkostenplanung!D20</f>
        <v>2400</v>
      </c>
      <c r="D10" s="977">
        <f t="shared" si="0"/>
        <v>0</v>
      </c>
      <c r="E10" s="1126">
        <v>100</v>
      </c>
      <c r="F10" s="996">
        <f>$C$10*H10</f>
        <v>2400</v>
      </c>
      <c r="G10" s="1125">
        <v>100</v>
      </c>
      <c r="H10" s="256">
        <f t="shared" si="1"/>
        <v>1</v>
      </c>
      <c r="I10" s="996">
        <f>$C$10*K10</f>
        <v>0</v>
      </c>
      <c r="J10" s="978">
        <v>0</v>
      </c>
      <c r="K10" s="256">
        <f t="shared" si="2"/>
        <v>0</v>
      </c>
      <c r="L10" s="996">
        <f>$C$10*N10</f>
        <v>0</v>
      </c>
      <c r="M10" s="978"/>
      <c r="N10" s="256">
        <f t="shared" si="3"/>
        <v>0</v>
      </c>
      <c r="O10" s="996">
        <f>$C$10*Q10</f>
        <v>0</v>
      </c>
      <c r="P10" s="978"/>
      <c r="Q10" s="256">
        <f t="shared" si="4"/>
        <v>0</v>
      </c>
      <c r="R10" s="996">
        <f>$C$10*T10</f>
        <v>0</v>
      </c>
      <c r="S10" s="978"/>
      <c r="T10" s="256">
        <f t="shared" si="5"/>
        <v>0</v>
      </c>
      <c r="U10" s="996">
        <f>$C$10*W10</f>
        <v>0</v>
      </c>
      <c r="V10" s="978"/>
      <c r="W10" s="256">
        <f t="shared" si="6"/>
        <v>0</v>
      </c>
      <c r="X10" s="996">
        <f>$C$10*Z10</f>
        <v>0</v>
      </c>
      <c r="Y10" s="978"/>
      <c r="Z10" s="256">
        <f t="shared" si="7"/>
        <v>0</v>
      </c>
      <c r="AA10" s="1002">
        <f t="shared" si="9"/>
        <v>0</v>
      </c>
      <c r="AB10" s="978">
        <v>0</v>
      </c>
      <c r="AC10" s="256">
        <f t="shared" si="8"/>
        <v>0</v>
      </c>
    </row>
    <row r="11" spans="2:29" x14ac:dyDescent="0.2">
      <c r="B11" s="1010" t="str">
        <f>+Gesamtkostenplanung!B23</f>
        <v>Buchführungs- / Beratungs- / Fortbildungskosten</v>
      </c>
      <c r="C11" s="976">
        <f>+Gesamtkostenplanung!D23</f>
        <v>6500</v>
      </c>
      <c r="D11" s="977">
        <f t="shared" si="0"/>
        <v>0</v>
      </c>
      <c r="E11" s="1126">
        <v>100</v>
      </c>
      <c r="F11" s="996">
        <f>$C$11*H11</f>
        <v>6500</v>
      </c>
      <c r="G11" s="1125">
        <v>100</v>
      </c>
      <c r="H11" s="256">
        <f t="shared" si="1"/>
        <v>1</v>
      </c>
      <c r="I11" s="996">
        <f>$C$11*K11</f>
        <v>0</v>
      </c>
      <c r="J11" s="978">
        <v>0</v>
      </c>
      <c r="K11" s="256">
        <f t="shared" si="2"/>
        <v>0</v>
      </c>
      <c r="L11" s="996">
        <f>$C$11*N11</f>
        <v>0</v>
      </c>
      <c r="M11" s="978"/>
      <c r="N11" s="256">
        <f t="shared" si="3"/>
        <v>0</v>
      </c>
      <c r="O11" s="996">
        <f>$C$11*Q11</f>
        <v>0</v>
      </c>
      <c r="P11" s="978"/>
      <c r="Q11" s="256">
        <f t="shared" si="4"/>
        <v>0</v>
      </c>
      <c r="R11" s="996">
        <f>$C$11*T11</f>
        <v>0</v>
      </c>
      <c r="S11" s="978"/>
      <c r="T11" s="256">
        <f t="shared" si="5"/>
        <v>0</v>
      </c>
      <c r="U11" s="996">
        <f>$C$11*W11</f>
        <v>0</v>
      </c>
      <c r="V11" s="978"/>
      <c r="W11" s="256">
        <f t="shared" si="6"/>
        <v>0</v>
      </c>
      <c r="X11" s="996">
        <f>$C$11*Z11</f>
        <v>0</v>
      </c>
      <c r="Y11" s="978"/>
      <c r="Z11" s="256">
        <f t="shared" si="7"/>
        <v>0</v>
      </c>
      <c r="AA11" s="1002">
        <f t="shared" si="9"/>
        <v>0</v>
      </c>
      <c r="AB11" s="978">
        <v>0</v>
      </c>
      <c r="AC11" s="256">
        <f t="shared" si="8"/>
        <v>0</v>
      </c>
    </row>
    <row r="12" spans="2:29" x14ac:dyDescent="0.2">
      <c r="B12" s="1011" t="str">
        <f>+Gesamtkostenplanung!B27</f>
        <v>Sonstige Kosten</v>
      </c>
      <c r="C12" s="976">
        <f>+Gesamtkostenplanung!D27</f>
        <v>5310</v>
      </c>
      <c r="D12" s="977">
        <f t="shared" si="0"/>
        <v>0</v>
      </c>
      <c r="E12" s="1126">
        <v>100</v>
      </c>
      <c r="F12" s="996">
        <f>$C$12*H12</f>
        <v>5310</v>
      </c>
      <c r="G12" s="1125">
        <v>100</v>
      </c>
      <c r="H12" s="256">
        <f t="shared" si="1"/>
        <v>1</v>
      </c>
      <c r="I12" s="996">
        <f>$C$12*K12</f>
        <v>0</v>
      </c>
      <c r="J12" s="978">
        <v>0</v>
      </c>
      <c r="K12" s="256">
        <f t="shared" si="2"/>
        <v>0</v>
      </c>
      <c r="L12" s="996">
        <f>$C$12*N12</f>
        <v>0</v>
      </c>
      <c r="M12" s="978"/>
      <c r="N12" s="256">
        <f t="shared" si="3"/>
        <v>0</v>
      </c>
      <c r="O12" s="996">
        <f>$C$12*Q12</f>
        <v>0</v>
      </c>
      <c r="P12" s="978"/>
      <c r="Q12" s="256">
        <f t="shared" si="4"/>
        <v>0</v>
      </c>
      <c r="R12" s="996">
        <f>$C$12*T12</f>
        <v>0</v>
      </c>
      <c r="S12" s="978"/>
      <c r="T12" s="256">
        <f t="shared" si="5"/>
        <v>0</v>
      </c>
      <c r="U12" s="996">
        <f>$C$12*W12</f>
        <v>0</v>
      </c>
      <c r="V12" s="978"/>
      <c r="W12" s="256">
        <f t="shared" si="6"/>
        <v>0</v>
      </c>
      <c r="X12" s="996">
        <f>$C$12*Z12</f>
        <v>0</v>
      </c>
      <c r="Y12" s="978"/>
      <c r="Z12" s="256">
        <f t="shared" si="7"/>
        <v>0</v>
      </c>
      <c r="AA12" s="1002">
        <f t="shared" si="9"/>
        <v>0</v>
      </c>
      <c r="AB12" s="978">
        <v>0</v>
      </c>
      <c r="AC12" s="256">
        <f t="shared" si="8"/>
        <v>0</v>
      </c>
    </row>
    <row r="13" spans="2:29" x14ac:dyDescent="0.2">
      <c r="B13" s="1011" t="str">
        <f>+Gesamtkostenplanung!B37</f>
        <v>Wartungen und Instandhaltungen</v>
      </c>
      <c r="C13" s="976">
        <f>+Gesamtkostenplanung!D37</f>
        <v>750</v>
      </c>
      <c r="D13" s="977">
        <f>F13+I13+L13+O13+R13+U13+X13+AA13-C13</f>
        <v>0</v>
      </c>
      <c r="E13" s="1126">
        <v>100</v>
      </c>
      <c r="F13" s="996">
        <f>$C$13*H13</f>
        <v>750</v>
      </c>
      <c r="G13" s="1125">
        <v>100</v>
      </c>
      <c r="H13" s="256">
        <f t="shared" si="1"/>
        <v>1</v>
      </c>
      <c r="I13" s="996">
        <f>$C$13*K13</f>
        <v>0</v>
      </c>
      <c r="J13" s="978">
        <v>0</v>
      </c>
      <c r="K13" s="256">
        <f>IF(ISERROR(J13/$E13),0,J13/$E13)</f>
        <v>0</v>
      </c>
      <c r="L13" s="996">
        <f>$C$13*N13</f>
        <v>0</v>
      </c>
      <c r="M13" s="978"/>
      <c r="N13" s="256">
        <f>IF(ISERROR(M13/$E13),0,M13/$E13)</f>
        <v>0</v>
      </c>
      <c r="O13" s="996">
        <f>$C$13*Q13</f>
        <v>0</v>
      </c>
      <c r="P13" s="978"/>
      <c r="Q13" s="256">
        <f>IF(ISERROR(P13/$E13),0,P13/$E13)</f>
        <v>0</v>
      </c>
      <c r="R13" s="996">
        <f>$C$13*T13</f>
        <v>0</v>
      </c>
      <c r="S13" s="978"/>
      <c r="T13" s="256">
        <f>IF(ISERROR(S13/$E13),0,S13/$E13)</f>
        <v>0</v>
      </c>
      <c r="U13" s="996">
        <f>$C$13*W13</f>
        <v>0</v>
      </c>
      <c r="V13" s="978"/>
      <c r="W13" s="256">
        <f>IF(ISERROR(V13/$E13),0,V13/$E13)</f>
        <v>0</v>
      </c>
      <c r="X13" s="996">
        <f>$C$13*Z13</f>
        <v>0</v>
      </c>
      <c r="Y13" s="978"/>
      <c r="Z13" s="256">
        <f>IF(ISERROR(Y13/$E13),0,Y13/$E13)</f>
        <v>0</v>
      </c>
      <c r="AA13" s="1002">
        <f>IF(ISERROR($C13*AC13),0,$C13*AC13)</f>
        <v>0</v>
      </c>
      <c r="AB13" s="978">
        <v>0</v>
      </c>
      <c r="AC13" s="256">
        <f>IF(ISERROR(AB13/$E13),0,AB13/$E13)</f>
        <v>0</v>
      </c>
    </row>
    <row r="14" spans="2:29" x14ac:dyDescent="0.2">
      <c r="B14" s="1010" t="str">
        <f>+Gesamtkostenplanung!B38</f>
        <v>Abraum- / Abfallbeseitigung</v>
      </c>
      <c r="C14" s="976">
        <f>+Gesamtkostenplanung!D38</f>
        <v>1500</v>
      </c>
      <c r="D14" s="977">
        <f t="shared" si="0"/>
        <v>0</v>
      </c>
      <c r="E14" s="1126">
        <v>100</v>
      </c>
      <c r="F14" s="996">
        <f>$C$14*H14</f>
        <v>1500</v>
      </c>
      <c r="G14" s="1125">
        <v>100</v>
      </c>
      <c r="H14" s="256">
        <f t="shared" si="1"/>
        <v>1</v>
      </c>
      <c r="I14" s="996">
        <f>$C$14*K14</f>
        <v>0</v>
      </c>
      <c r="J14" s="978">
        <v>0</v>
      </c>
      <c r="K14" s="256">
        <f t="shared" si="2"/>
        <v>0</v>
      </c>
      <c r="L14" s="996">
        <f>$C$14*N14</f>
        <v>0</v>
      </c>
      <c r="M14" s="978"/>
      <c r="N14" s="256">
        <f t="shared" si="3"/>
        <v>0</v>
      </c>
      <c r="O14" s="996">
        <f>$C$14*Q14</f>
        <v>0</v>
      </c>
      <c r="P14" s="978"/>
      <c r="Q14" s="256">
        <f t="shared" si="4"/>
        <v>0</v>
      </c>
      <c r="R14" s="996">
        <f>$C$14*T14</f>
        <v>0</v>
      </c>
      <c r="S14" s="978"/>
      <c r="T14" s="256">
        <f t="shared" si="5"/>
        <v>0</v>
      </c>
      <c r="U14" s="996">
        <f>$C$14*W14</f>
        <v>0</v>
      </c>
      <c r="V14" s="978"/>
      <c r="W14" s="256">
        <f t="shared" si="6"/>
        <v>0</v>
      </c>
      <c r="X14" s="996">
        <f>$C$14*Z14</f>
        <v>0</v>
      </c>
      <c r="Y14" s="978"/>
      <c r="Z14" s="256">
        <f t="shared" si="7"/>
        <v>0</v>
      </c>
      <c r="AA14" s="1002">
        <f t="shared" si="9"/>
        <v>0</v>
      </c>
      <c r="AB14" s="978">
        <v>0</v>
      </c>
      <c r="AC14" s="256">
        <f t="shared" si="8"/>
        <v>0</v>
      </c>
    </row>
    <row r="15" spans="2:29" x14ac:dyDescent="0.2">
      <c r="B15" s="1011" t="str">
        <f>+Gesamtkostenplanung!B39</f>
        <v>Abschreibungen</v>
      </c>
      <c r="C15" s="976">
        <f>+Gesamtkostenplanung!D39</f>
        <v>3000</v>
      </c>
      <c r="D15" s="977">
        <f t="shared" si="0"/>
        <v>0</v>
      </c>
      <c r="E15" s="1126">
        <v>100</v>
      </c>
      <c r="F15" s="996">
        <f>$C$15*H15</f>
        <v>3000</v>
      </c>
      <c r="G15" s="1125">
        <v>100</v>
      </c>
      <c r="H15" s="256">
        <f t="shared" si="1"/>
        <v>1</v>
      </c>
      <c r="I15" s="996">
        <f>$C$15*K15</f>
        <v>0</v>
      </c>
      <c r="J15" s="978">
        <v>0</v>
      </c>
      <c r="K15" s="256">
        <f t="shared" si="2"/>
        <v>0</v>
      </c>
      <c r="L15" s="996">
        <f>$C$15*N15</f>
        <v>0</v>
      </c>
      <c r="M15" s="978"/>
      <c r="N15" s="256">
        <f t="shared" si="3"/>
        <v>0</v>
      </c>
      <c r="O15" s="996">
        <f>$C$15*Q15</f>
        <v>0</v>
      </c>
      <c r="P15" s="978"/>
      <c r="Q15" s="256">
        <f t="shared" si="4"/>
        <v>0</v>
      </c>
      <c r="R15" s="996">
        <f>$C$15*T15</f>
        <v>0</v>
      </c>
      <c r="S15" s="978"/>
      <c r="T15" s="256">
        <f t="shared" si="5"/>
        <v>0</v>
      </c>
      <c r="U15" s="996">
        <f>$C$15*W15</f>
        <v>0</v>
      </c>
      <c r="V15" s="978"/>
      <c r="W15" s="256">
        <f t="shared" si="6"/>
        <v>0</v>
      </c>
      <c r="X15" s="996">
        <f>$C$15*Z15</f>
        <v>0</v>
      </c>
      <c r="Y15" s="978"/>
      <c r="Z15" s="256">
        <f t="shared" si="7"/>
        <v>0</v>
      </c>
      <c r="AA15" s="1002">
        <f t="shared" si="9"/>
        <v>0</v>
      </c>
      <c r="AB15" s="978">
        <v>0</v>
      </c>
      <c r="AC15" s="256">
        <f t="shared" si="8"/>
        <v>0</v>
      </c>
    </row>
    <row r="16" spans="2:29" x14ac:dyDescent="0.2">
      <c r="B16" s="1012"/>
      <c r="C16" s="11"/>
      <c r="D16" s="11"/>
      <c r="E16" s="11"/>
      <c r="F16" s="19"/>
      <c r="H16" s="997"/>
      <c r="I16" s="19"/>
      <c r="K16" s="997"/>
      <c r="L16" s="19"/>
      <c r="N16" s="997"/>
      <c r="O16" s="19"/>
      <c r="Q16" s="997"/>
      <c r="R16" s="19"/>
      <c r="T16" s="997"/>
      <c r="U16" s="19"/>
      <c r="W16" s="997"/>
      <c r="X16" s="19"/>
      <c r="Z16" s="997"/>
      <c r="AA16" s="1003"/>
      <c r="AC16" s="1004"/>
    </row>
    <row r="17" spans="1:256" x14ac:dyDescent="0.2">
      <c r="B17" s="1011" t="s">
        <v>828</v>
      </c>
      <c r="C17" s="48">
        <f>+'Planzahlen Rentabilität'!D46+'Planzahlen Liquidität'!D24</f>
        <v>1040.0000000000002</v>
      </c>
      <c r="D17" s="977">
        <f t="shared" si="0"/>
        <v>0</v>
      </c>
      <c r="E17" s="1126">
        <v>100</v>
      </c>
      <c r="F17" s="998">
        <f>$C$17*H17</f>
        <v>1040.0000000000002</v>
      </c>
      <c r="G17" s="1125">
        <v>100</v>
      </c>
      <c r="H17" s="256">
        <f t="shared" ref="H17:H18" si="10">IF(ISERROR(G17/$E17),0,G17/$E17)</f>
        <v>1</v>
      </c>
      <c r="I17" s="998">
        <f>$C$17*K17</f>
        <v>0</v>
      </c>
      <c r="J17" s="978">
        <v>0</v>
      </c>
      <c r="K17" s="256">
        <f t="shared" ref="K17:K18" si="11">IF(ISERROR(J17/$E17),0,J17/$E17)</f>
        <v>0</v>
      </c>
      <c r="L17" s="998">
        <f>$C$17*N17</f>
        <v>0</v>
      </c>
      <c r="M17" s="978"/>
      <c r="N17" s="256">
        <f t="shared" ref="N17:N18" si="12">IF(ISERROR(M17/$E17),0,M17/$E17)</f>
        <v>0</v>
      </c>
      <c r="O17" s="998">
        <f>$C$17*Q17</f>
        <v>0</v>
      </c>
      <c r="P17" s="978"/>
      <c r="Q17" s="256">
        <f t="shared" ref="Q17:Q18" si="13">IF(ISERROR(P17/$E17),0,P17/$E17)</f>
        <v>0</v>
      </c>
      <c r="R17" s="998">
        <f>$C$17*T17</f>
        <v>0</v>
      </c>
      <c r="S17" s="978"/>
      <c r="T17" s="256">
        <f t="shared" ref="T17:T18" si="14">IF(ISERROR(S17/$E17),0,S17/$E17)</f>
        <v>0</v>
      </c>
      <c r="U17" s="998">
        <f>$C$17*W17</f>
        <v>0</v>
      </c>
      <c r="V17" s="978"/>
      <c r="W17" s="256">
        <f t="shared" ref="W17:W18" si="15">IF(ISERROR(V17/$E17),0,V17/$E17)</f>
        <v>0</v>
      </c>
      <c r="X17" s="998">
        <f>$C$17*Z17</f>
        <v>0</v>
      </c>
      <c r="Y17" s="978"/>
      <c r="Z17" s="256">
        <f t="shared" ref="Z17:Z18" si="16">IF(ISERROR(Y17/$E17),0,Y17/$E17)</f>
        <v>0</v>
      </c>
      <c r="AA17" s="1005">
        <f t="shared" si="9"/>
        <v>0</v>
      </c>
      <c r="AB17" s="978">
        <v>0</v>
      </c>
      <c r="AC17" s="256">
        <f t="shared" ref="AC17:AC18" si="17">IF(ISERROR(AB17/$E17),0,AB17/$E17)</f>
        <v>0</v>
      </c>
    </row>
    <row r="18" spans="1:256" x14ac:dyDescent="0.2">
      <c r="B18" s="1011" t="s">
        <v>829</v>
      </c>
      <c r="C18" s="1128"/>
      <c r="D18" s="977">
        <f t="shared" si="0"/>
        <v>0</v>
      </c>
      <c r="E18" s="1126"/>
      <c r="F18" s="999">
        <f>$C$18*H18</f>
        <v>0</v>
      </c>
      <c r="G18" s="1127"/>
      <c r="H18" s="1001">
        <f t="shared" si="10"/>
        <v>0</v>
      </c>
      <c r="I18" s="999">
        <f>$C$18*K18</f>
        <v>0</v>
      </c>
      <c r="J18" s="1000"/>
      <c r="K18" s="1001">
        <f t="shared" si="11"/>
        <v>0</v>
      </c>
      <c r="L18" s="999">
        <f>$C$18*N18</f>
        <v>0</v>
      </c>
      <c r="M18" s="1000"/>
      <c r="N18" s="1001">
        <f t="shared" si="12"/>
        <v>0</v>
      </c>
      <c r="O18" s="999">
        <f>$C$18*Q18</f>
        <v>0</v>
      </c>
      <c r="P18" s="1000"/>
      <c r="Q18" s="1001">
        <f t="shared" si="13"/>
        <v>0</v>
      </c>
      <c r="R18" s="999">
        <f>$C$18*T18</f>
        <v>0</v>
      </c>
      <c r="S18" s="1000"/>
      <c r="T18" s="1001">
        <f t="shared" si="14"/>
        <v>0</v>
      </c>
      <c r="U18" s="999">
        <f>$C$18*W18</f>
        <v>0</v>
      </c>
      <c r="V18" s="1000"/>
      <c r="W18" s="1001">
        <f t="shared" si="15"/>
        <v>0</v>
      </c>
      <c r="X18" s="999">
        <f>$C$18*Z18</f>
        <v>0</v>
      </c>
      <c r="Y18" s="1000"/>
      <c r="Z18" s="1001">
        <f t="shared" si="16"/>
        <v>0</v>
      </c>
      <c r="AA18" s="1006">
        <f t="shared" si="9"/>
        <v>0</v>
      </c>
      <c r="AB18" s="1000"/>
      <c r="AC18" s="1001">
        <f t="shared" si="17"/>
        <v>0</v>
      </c>
    </row>
    <row r="19" spans="1:256" x14ac:dyDescent="0.2">
      <c r="B19" s="11"/>
      <c r="C19" s="11"/>
      <c r="D19" s="11"/>
      <c r="E19" s="11"/>
      <c r="AC19" s="88"/>
    </row>
    <row r="20" spans="1:256" s="11" customFormat="1" x14ac:dyDescent="0.2">
      <c r="A20" s="980"/>
      <c r="C20" s="143"/>
      <c r="F20" s="761"/>
      <c r="G20" s="762"/>
      <c r="H20" s="762"/>
      <c r="I20" s="761"/>
      <c r="J20" s="762"/>
      <c r="K20" s="762"/>
      <c r="L20" s="761"/>
      <c r="M20" s="762"/>
      <c r="N20" s="762"/>
      <c r="O20" s="761"/>
      <c r="P20" s="762"/>
      <c r="Q20" s="762"/>
      <c r="R20" s="761"/>
      <c r="S20" s="762"/>
      <c r="T20" s="762"/>
      <c r="U20" s="761"/>
      <c r="V20" s="762"/>
      <c r="W20" s="762"/>
      <c r="X20" s="761"/>
      <c r="Y20" s="762"/>
      <c r="Z20" s="762"/>
      <c r="AA20" s="762"/>
      <c r="AB20" s="762"/>
      <c r="AC20" s="983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</row>
    <row r="21" spans="1:256" x14ac:dyDescent="0.2">
      <c r="B21" s="11" t="s">
        <v>830</v>
      </c>
      <c r="C21" s="45">
        <f>Mitarbeiterverteilung!C107</f>
        <v>357108.7</v>
      </c>
      <c r="D21" s="982">
        <f>SUM(F21,I21,L21,O21,R21,U21,X21,AA21)-C21</f>
        <v>-26573.299999999988</v>
      </c>
      <c r="E21" s="11"/>
      <c r="F21" s="984">
        <f>Mitarbeiterverteilung!BB107</f>
        <v>330535.40000000002</v>
      </c>
      <c r="G21" s="762"/>
      <c r="H21" s="762"/>
      <c r="I21" s="984">
        <f>Mitarbeiterverteilung!BC107</f>
        <v>0</v>
      </c>
      <c r="J21" s="762"/>
      <c r="K21" s="762"/>
      <c r="L21" s="984">
        <f>Mitarbeiterverteilung!BD107</f>
        <v>0</v>
      </c>
      <c r="M21" s="762"/>
      <c r="N21" s="762"/>
      <c r="O21" s="984">
        <f>Mitarbeiterverteilung!BE107</f>
        <v>0</v>
      </c>
      <c r="P21" s="762"/>
      <c r="Q21" s="762"/>
      <c r="R21" s="984">
        <f>Mitarbeiterverteilung!BF107</f>
        <v>0</v>
      </c>
      <c r="S21" s="762"/>
      <c r="T21" s="762"/>
      <c r="U21" s="984">
        <f>Mitarbeiterverteilung!BG107</f>
        <v>0</v>
      </c>
      <c r="V21" s="762"/>
      <c r="W21" s="762"/>
      <c r="X21" s="984">
        <f>Mitarbeiterverteilung!BH107</f>
        <v>0</v>
      </c>
      <c r="Y21" s="762"/>
      <c r="Z21" s="762"/>
      <c r="AA21" s="984">
        <f>Mitarbeiterverteilung!BI107</f>
        <v>0</v>
      </c>
      <c r="AB21" s="762"/>
      <c r="AC21" s="983"/>
    </row>
    <row r="22" spans="1:256" x14ac:dyDescent="0.2">
      <c r="B22" s="11"/>
      <c r="C22" s="11"/>
      <c r="D22" s="11"/>
      <c r="E22" s="11"/>
      <c r="F22" s="762"/>
      <c r="G22" s="762"/>
      <c r="H22" s="762"/>
      <c r="I22" s="762"/>
      <c r="J22" s="762"/>
      <c r="K22" s="762"/>
      <c r="L22" s="762"/>
      <c r="M22" s="762"/>
      <c r="N22" s="762"/>
      <c r="O22" s="762"/>
      <c r="P22" s="762"/>
      <c r="Q22" s="762"/>
      <c r="R22" s="762"/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983"/>
    </row>
    <row r="23" spans="1:256" x14ac:dyDescent="0.2">
      <c r="B23" s="11" t="s">
        <v>831</v>
      </c>
      <c r="C23" s="45">
        <f>Mitarbeiterverteilung!AC107</f>
        <v>372597.9</v>
      </c>
      <c r="D23" s="982">
        <f>SUM(F23,I23,L23,O23,R23,U23,X23,AA23)-C23</f>
        <v>0</v>
      </c>
      <c r="E23" s="11"/>
      <c r="F23" s="984">
        <f>Mitarbeiterverteilung!U107</f>
        <v>372597.9</v>
      </c>
      <c r="G23" s="762"/>
      <c r="H23" s="762"/>
      <c r="I23" s="984">
        <f>Mitarbeiterverteilung!V107</f>
        <v>0</v>
      </c>
      <c r="J23" s="762"/>
      <c r="K23" s="762"/>
      <c r="L23" s="984">
        <f>Mitarbeiterverteilung!W107</f>
        <v>0</v>
      </c>
      <c r="M23" s="762"/>
      <c r="N23" s="762"/>
      <c r="O23" s="984">
        <f>Mitarbeiterverteilung!X107</f>
        <v>0</v>
      </c>
      <c r="P23" s="762"/>
      <c r="Q23" s="762"/>
      <c r="R23" s="984">
        <f>Mitarbeiterverteilung!Y107</f>
        <v>0</v>
      </c>
      <c r="S23" s="762"/>
      <c r="T23" s="762"/>
      <c r="U23" s="984">
        <f>Mitarbeiterverteilung!Z107</f>
        <v>0</v>
      </c>
      <c r="V23" s="762"/>
      <c r="W23" s="762"/>
      <c r="X23" s="984">
        <f>Mitarbeiterverteilung!AA107</f>
        <v>0</v>
      </c>
      <c r="Y23" s="762"/>
      <c r="Z23" s="762"/>
      <c r="AA23" s="984">
        <f>Mitarbeiterverteilung!AB107</f>
        <v>0</v>
      </c>
      <c r="AB23" s="762"/>
      <c r="AC23" s="983"/>
    </row>
    <row r="24" spans="1:256" x14ac:dyDescent="0.2">
      <c r="B24" s="11"/>
      <c r="C24" s="11"/>
      <c r="D24" s="11"/>
      <c r="E24" s="11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983"/>
    </row>
    <row r="25" spans="1:256" s="11" customFormat="1" x14ac:dyDescent="0.2">
      <c r="A25" s="88"/>
      <c r="B25" s="11" t="s">
        <v>518</v>
      </c>
      <c r="C25" s="45">
        <f>'Planzahlen Rentabilität'!D16</f>
        <v>3000</v>
      </c>
      <c r="D25" s="982">
        <f>F25+I25+L25+O25+R25+U25+X25+AA25-C25</f>
        <v>0</v>
      </c>
      <c r="F25" s="984">
        <f>'DB I + DB II pro LC'!$C$9</f>
        <v>3000</v>
      </c>
      <c r="G25" s="760"/>
      <c r="H25" s="760"/>
      <c r="I25" s="984">
        <f>'DB I + DB II pro LC'!$C$25</f>
        <v>0</v>
      </c>
      <c r="J25" s="760"/>
      <c r="K25" s="760"/>
      <c r="L25" s="984">
        <f>'DB I + DB II pro LC'!$C$41</f>
        <v>0</v>
      </c>
      <c r="M25" s="760"/>
      <c r="N25" s="760"/>
      <c r="O25" s="984">
        <f>'DB I + DB II pro LC'!$C$57</f>
        <v>0</v>
      </c>
      <c r="P25" s="760"/>
      <c r="Q25" s="760"/>
      <c r="R25" s="984">
        <f>'DB I + DB II pro LC'!$C$73</f>
        <v>0</v>
      </c>
      <c r="S25" s="760"/>
      <c r="T25" s="760"/>
      <c r="U25" s="984">
        <f>'DB I + DB II pro LC'!$C$89</f>
        <v>0</v>
      </c>
      <c r="V25" s="760"/>
      <c r="W25" s="760"/>
      <c r="X25" s="984">
        <f>'DB I + DB II pro LC'!$C$105</f>
        <v>0</v>
      </c>
      <c r="Y25" s="760"/>
      <c r="Z25" s="760"/>
      <c r="AA25" s="762"/>
      <c r="AB25" s="762"/>
      <c r="AC25" s="983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/>
      <c r="HY25" s="32"/>
      <c r="HZ25" s="32"/>
      <c r="IA25" s="32"/>
      <c r="IB25" s="32"/>
      <c r="IC25" s="32"/>
      <c r="ID25" s="32"/>
      <c r="IE25" s="32"/>
      <c r="IF25" s="32"/>
      <c r="IG25" s="32"/>
      <c r="IH25" s="32"/>
      <c r="II25" s="32"/>
      <c r="IJ25" s="32"/>
      <c r="IK25" s="32"/>
      <c r="IL25" s="32"/>
      <c r="IM25" s="32"/>
      <c r="IN25" s="32"/>
      <c r="IO25" s="32"/>
      <c r="IP25" s="32"/>
      <c r="IQ25" s="32"/>
      <c r="IR25" s="32"/>
      <c r="IS25" s="32"/>
      <c r="IT25" s="32"/>
      <c r="IU25" s="32"/>
      <c r="IV25" s="32"/>
    </row>
    <row r="26" spans="1:256" s="11" customFormat="1" x14ac:dyDescent="0.2">
      <c r="A26" s="88"/>
      <c r="D26" s="45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983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</row>
    <row r="27" spans="1:256" s="11" customFormat="1" x14ac:dyDescent="0.2">
      <c r="A27" s="88"/>
      <c r="B27" s="11" t="s">
        <v>832</v>
      </c>
      <c r="C27" s="45">
        <f>'Planzahlen Rentabilität'!D21</f>
        <v>400</v>
      </c>
      <c r="D27" s="982">
        <f>F27+I27+L27+O27+R27+U27+X27+AA27-C27</f>
        <v>0</v>
      </c>
      <c r="F27" s="984">
        <f>'DB I + DB II pro LC'!$C$10</f>
        <v>400</v>
      </c>
      <c r="G27" s="760"/>
      <c r="H27" s="760"/>
      <c r="I27" s="984">
        <f>'DB I + DB II pro LC'!$C$26</f>
        <v>0</v>
      </c>
      <c r="J27" s="760"/>
      <c r="K27" s="760"/>
      <c r="L27" s="984">
        <f>'DB I + DB II pro LC'!$C$42</f>
        <v>0</v>
      </c>
      <c r="M27" s="760"/>
      <c r="N27" s="760"/>
      <c r="O27" s="984">
        <f>'DB I + DB II pro LC'!$C$58</f>
        <v>0</v>
      </c>
      <c r="P27" s="760"/>
      <c r="Q27" s="760"/>
      <c r="R27" s="984">
        <f>'DB I + DB II pro LC'!$C$74</f>
        <v>0</v>
      </c>
      <c r="S27" s="760"/>
      <c r="T27" s="760"/>
      <c r="U27" s="984">
        <f>'DB I + DB II pro LC'!$C$90</f>
        <v>0</v>
      </c>
      <c r="V27" s="760"/>
      <c r="W27" s="760"/>
      <c r="X27" s="984">
        <f>'DB I + DB II pro LC'!$C$106</f>
        <v>0</v>
      </c>
      <c r="Y27" s="760"/>
      <c r="Z27" s="760"/>
      <c r="AA27" s="762"/>
      <c r="AB27" s="762"/>
      <c r="AC27" s="983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2"/>
      <c r="HI27" s="32"/>
      <c r="HJ27" s="32"/>
      <c r="HK27" s="32"/>
      <c r="HL27" s="32"/>
      <c r="HM27" s="32"/>
      <c r="HN27" s="32"/>
      <c r="HO27" s="32"/>
      <c r="HP27" s="32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2"/>
      <c r="IP27" s="32"/>
      <c r="IQ27" s="32"/>
      <c r="IR27" s="32"/>
      <c r="IS27" s="32"/>
      <c r="IT27" s="32"/>
      <c r="IU27" s="32"/>
      <c r="IV27" s="32"/>
    </row>
    <row r="28" spans="1:256" s="11" customFormat="1" x14ac:dyDescent="0.2">
      <c r="A28" s="88"/>
      <c r="F28" s="762"/>
      <c r="G28" s="762"/>
      <c r="H28" s="762"/>
      <c r="I28" s="762"/>
      <c r="J28" s="762"/>
      <c r="K28" s="762"/>
      <c r="L28" s="762"/>
      <c r="M28" s="762"/>
      <c r="N28" s="762"/>
      <c r="O28" s="762"/>
      <c r="P28" s="762"/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983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  <c r="HF28" s="32"/>
      <c r="HG28" s="32"/>
      <c r="HH28" s="32"/>
      <c r="HI28" s="32"/>
      <c r="HJ28" s="32"/>
      <c r="HK28" s="32"/>
      <c r="HL28" s="32"/>
      <c r="HM28" s="32"/>
      <c r="HN28" s="32"/>
      <c r="HO28" s="32"/>
      <c r="HP28" s="32"/>
      <c r="HQ28" s="32"/>
      <c r="HR28" s="32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2"/>
      <c r="ID28" s="32"/>
      <c r="IE28" s="32"/>
      <c r="IF28" s="32"/>
      <c r="IG28" s="32"/>
      <c r="IH28" s="32"/>
      <c r="II28" s="32"/>
      <c r="IJ28" s="32"/>
      <c r="IK28" s="32"/>
      <c r="IL28" s="32"/>
      <c r="IM28" s="32"/>
      <c r="IN28" s="32"/>
      <c r="IO28" s="32"/>
      <c r="IP28" s="32"/>
      <c r="IQ28" s="32"/>
      <c r="IR28" s="32"/>
      <c r="IS28" s="32"/>
      <c r="IT28" s="32"/>
      <c r="IU28" s="32"/>
      <c r="IV28" s="32"/>
    </row>
    <row r="29" spans="1:256" s="11" customFormat="1" x14ac:dyDescent="0.2">
      <c r="A29" s="88"/>
      <c r="F29" s="762"/>
      <c r="G29" s="762"/>
      <c r="H29" s="762"/>
      <c r="I29" s="762"/>
      <c r="J29" s="762"/>
      <c r="K29" s="762"/>
      <c r="L29" s="762"/>
      <c r="M29" s="762"/>
      <c r="N29" s="762"/>
      <c r="O29" s="762"/>
      <c r="P29" s="762"/>
      <c r="Q29" s="762"/>
      <c r="R29" s="762"/>
      <c r="S29" s="762"/>
      <c r="T29" s="762"/>
      <c r="U29" s="762"/>
      <c r="V29" s="762"/>
      <c r="W29" s="762"/>
      <c r="X29" s="762"/>
      <c r="Y29" s="762"/>
      <c r="Z29" s="762"/>
      <c r="AA29" s="762"/>
      <c r="AB29" s="762"/>
      <c r="AC29" s="983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  <c r="GR29" s="32"/>
      <c r="GS29" s="32"/>
      <c r="GT29" s="32"/>
      <c r="GU29" s="32"/>
      <c r="GV29" s="32"/>
      <c r="GW29" s="32"/>
      <c r="GX29" s="32"/>
      <c r="GY29" s="32"/>
      <c r="GZ29" s="32"/>
      <c r="HA29" s="32"/>
      <c r="HB29" s="32"/>
      <c r="HC29" s="32"/>
      <c r="HD29" s="32"/>
      <c r="HE29" s="32"/>
      <c r="HF29" s="32"/>
      <c r="HG29" s="32"/>
      <c r="HH29" s="32"/>
      <c r="HI29" s="32"/>
      <c r="HJ29" s="32"/>
      <c r="HK29" s="32"/>
      <c r="HL29" s="32"/>
      <c r="HM29" s="32"/>
      <c r="HN29" s="32"/>
      <c r="HO29" s="32"/>
      <c r="HP29" s="32"/>
      <c r="HQ29" s="32"/>
      <c r="HR29" s="32"/>
      <c r="HS29" s="32"/>
      <c r="HT29" s="32"/>
      <c r="HU29" s="32"/>
      <c r="HV29" s="32"/>
      <c r="HW29" s="32"/>
      <c r="HX29" s="32"/>
      <c r="HY29" s="32"/>
      <c r="HZ29" s="32"/>
      <c r="IA29" s="32"/>
      <c r="IB29" s="32"/>
      <c r="IC29" s="32"/>
      <c r="ID29" s="32"/>
      <c r="IE29" s="32"/>
      <c r="IF29" s="32"/>
      <c r="IG29" s="32"/>
      <c r="IH29" s="32"/>
      <c r="II29" s="32"/>
      <c r="IJ29" s="32"/>
      <c r="IK29" s="32"/>
      <c r="IL29" s="32"/>
      <c r="IM29" s="32"/>
      <c r="IN29" s="32"/>
      <c r="IO29" s="32"/>
      <c r="IP29" s="32"/>
      <c r="IQ29" s="32"/>
      <c r="IR29" s="32"/>
      <c r="IS29" s="32"/>
      <c r="IT29" s="32"/>
      <c r="IU29" s="32"/>
      <c r="IV29" s="32"/>
    </row>
    <row r="30" spans="1:256" s="11" customFormat="1" x14ac:dyDescent="0.2">
      <c r="A30" s="88"/>
      <c r="B30" s="11" t="s">
        <v>833</v>
      </c>
      <c r="C30" s="45">
        <f>+C23+C25+C27</f>
        <v>375997.9</v>
      </c>
      <c r="D30" s="982">
        <f>F30+I30+L30+O30+R30+U30+X30+AA30-C30</f>
        <v>0</v>
      </c>
      <c r="F30" s="984">
        <f>+F23+F25+F27</f>
        <v>375997.9</v>
      </c>
      <c r="G30" s="760"/>
      <c r="H30" s="760"/>
      <c r="I30" s="984">
        <f>+I23+I25+I27</f>
        <v>0</v>
      </c>
      <c r="J30" s="760"/>
      <c r="K30" s="760"/>
      <c r="L30" s="984">
        <f>+L23+L25+L27</f>
        <v>0</v>
      </c>
      <c r="M30" s="760"/>
      <c r="N30" s="760"/>
      <c r="O30" s="984">
        <f>+O23+O25+O27</f>
        <v>0</v>
      </c>
      <c r="P30" s="760"/>
      <c r="Q30" s="760"/>
      <c r="R30" s="984">
        <f>+R23+R25+R27</f>
        <v>0</v>
      </c>
      <c r="S30" s="760"/>
      <c r="T30" s="760"/>
      <c r="U30" s="984">
        <f>+U23+U25+U27</f>
        <v>0</v>
      </c>
      <c r="V30" s="760"/>
      <c r="W30" s="760"/>
      <c r="X30" s="984">
        <f>+X23+X25+X27</f>
        <v>0</v>
      </c>
      <c r="Y30" s="760"/>
      <c r="Z30" s="760"/>
      <c r="AA30" s="762"/>
      <c r="AB30" s="762"/>
      <c r="AC30" s="983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32"/>
      <c r="FX30" s="32"/>
      <c r="FY30" s="32"/>
      <c r="FZ30" s="32"/>
      <c r="GA30" s="32"/>
      <c r="GB30" s="32"/>
      <c r="GC30" s="32"/>
      <c r="GD30" s="32"/>
      <c r="GE30" s="32"/>
      <c r="GF30" s="32"/>
      <c r="GG30" s="32"/>
      <c r="GH30" s="32"/>
      <c r="GI30" s="32"/>
      <c r="GJ30" s="32"/>
      <c r="GK30" s="32"/>
      <c r="GL30" s="32"/>
      <c r="GM30" s="32"/>
      <c r="GN30" s="32"/>
      <c r="GO30" s="32"/>
      <c r="GP30" s="32"/>
      <c r="GQ30" s="32"/>
      <c r="GR30" s="32"/>
      <c r="GS30" s="32"/>
      <c r="GT30" s="32"/>
      <c r="GU30" s="32"/>
      <c r="GV30" s="32"/>
      <c r="GW30" s="32"/>
      <c r="GX30" s="32"/>
      <c r="GY30" s="32"/>
      <c r="GZ30" s="32"/>
      <c r="HA30" s="32"/>
      <c r="HB30" s="32"/>
      <c r="HC30" s="32"/>
      <c r="HD30" s="32"/>
      <c r="HE30" s="32"/>
      <c r="HF30" s="32"/>
      <c r="HG30" s="32"/>
      <c r="HH30" s="32"/>
      <c r="HI30" s="32"/>
      <c r="HJ30" s="32"/>
      <c r="HK30" s="32"/>
      <c r="HL30" s="32"/>
      <c r="HM30" s="32"/>
      <c r="HN30" s="32"/>
      <c r="HO30" s="32"/>
      <c r="HP30" s="32"/>
      <c r="HQ30" s="32"/>
      <c r="HR30" s="32"/>
      <c r="HS30" s="32"/>
      <c r="HT30" s="32"/>
      <c r="HU30" s="32"/>
      <c r="HV30" s="32"/>
      <c r="HW30" s="32"/>
      <c r="HX30" s="32"/>
      <c r="HY30" s="32"/>
      <c r="HZ30" s="32"/>
      <c r="IA30" s="32"/>
      <c r="IB30" s="32"/>
      <c r="IC30" s="32"/>
      <c r="ID30" s="32"/>
      <c r="IE30" s="32"/>
      <c r="IF30" s="32"/>
      <c r="IG30" s="32"/>
      <c r="IH30" s="32"/>
      <c r="II30" s="32"/>
      <c r="IJ30" s="32"/>
      <c r="IK30" s="32"/>
      <c r="IL30" s="32"/>
      <c r="IM30" s="32"/>
      <c r="IN30" s="32"/>
      <c r="IO30" s="32"/>
      <c r="IP30" s="32"/>
      <c r="IQ30" s="32"/>
      <c r="IR30" s="32"/>
      <c r="IS30" s="32"/>
      <c r="IT30" s="32"/>
      <c r="IU30" s="32"/>
      <c r="IV30" s="32"/>
    </row>
    <row r="31" spans="1:256" s="11" customFormat="1" x14ac:dyDescent="0.2">
      <c r="A31" s="88"/>
      <c r="F31" s="762"/>
      <c r="G31" s="762"/>
      <c r="H31" s="762"/>
      <c r="I31" s="762"/>
      <c r="J31" s="762"/>
      <c r="K31" s="762"/>
      <c r="L31" s="762"/>
      <c r="M31" s="762"/>
      <c r="N31" s="762"/>
      <c r="O31" s="762"/>
      <c r="P31" s="762"/>
      <c r="Q31" s="762"/>
      <c r="R31" s="762"/>
      <c r="S31" s="762"/>
      <c r="T31" s="762"/>
      <c r="U31" s="762"/>
      <c r="V31" s="762"/>
      <c r="W31" s="762"/>
      <c r="X31" s="762"/>
      <c r="Y31" s="762"/>
      <c r="Z31" s="762"/>
      <c r="AA31" s="762"/>
      <c r="AB31" s="762"/>
      <c r="AC31" s="983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  <c r="FQ31" s="32"/>
      <c r="FR31" s="32"/>
      <c r="FS31" s="32"/>
      <c r="FT31" s="32"/>
      <c r="FU31" s="32"/>
      <c r="FV31" s="32"/>
      <c r="FW31" s="32"/>
      <c r="FX31" s="32"/>
      <c r="FY31" s="32"/>
      <c r="FZ31" s="32"/>
      <c r="GA31" s="32"/>
      <c r="GB31" s="32"/>
      <c r="GC31" s="32"/>
      <c r="GD31" s="32"/>
      <c r="GE31" s="32"/>
      <c r="GF31" s="32"/>
      <c r="GG31" s="32"/>
      <c r="GH31" s="32"/>
      <c r="GI31" s="32"/>
      <c r="GJ31" s="32"/>
      <c r="GK31" s="32"/>
      <c r="GL31" s="32"/>
      <c r="GM31" s="32"/>
      <c r="GN31" s="32"/>
      <c r="GO31" s="32"/>
      <c r="GP31" s="32"/>
      <c r="GQ31" s="32"/>
      <c r="GR31" s="32"/>
      <c r="GS31" s="32"/>
      <c r="GT31" s="32"/>
      <c r="GU31" s="32"/>
      <c r="GV31" s="32"/>
      <c r="GW31" s="32"/>
      <c r="GX31" s="32"/>
      <c r="GY31" s="32"/>
      <c r="GZ31" s="32"/>
      <c r="HA31" s="32"/>
      <c r="HB31" s="32"/>
      <c r="HC31" s="32"/>
      <c r="HD31" s="32"/>
      <c r="HE31" s="32"/>
      <c r="HF31" s="32"/>
      <c r="HG31" s="32"/>
      <c r="HH31" s="32"/>
      <c r="HI31" s="32"/>
      <c r="HJ31" s="32"/>
      <c r="HK31" s="32"/>
      <c r="HL31" s="32"/>
      <c r="HM31" s="32"/>
      <c r="HN31" s="32"/>
      <c r="HO31" s="32"/>
      <c r="HP31" s="32"/>
      <c r="HQ31" s="32"/>
      <c r="HR31" s="32"/>
      <c r="HS31" s="32"/>
      <c r="HT31" s="32"/>
      <c r="HU31" s="32"/>
      <c r="HV31" s="32"/>
      <c r="HW31" s="32"/>
      <c r="HX31" s="32"/>
      <c r="HY31" s="32"/>
      <c r="HZ31" s="32"/>
      <c r="IA31" s="32"/>
      <c r="IB31" s="32"/>
      <c r="IC31" s="32"/>
      <c r="ID31" s="32"/>
      <c r="IE31" s="32"/>
      <c r="IF31" s="32"/>
      <c r="IG31" s="32"/>
      <c r="IH31" s="32"/>
      <c r="II31" s="32"/>
      <c r="IJ31" s="32"/>
      <c r="IK31" s="32"/>
      <c r="IL31" s="32"/>
      <c r="IM31" s="32"/>
      <c r="IN31" s="32"/>
      <c r="IO31" s="32"/>
      <c r="IP31" s="32"/>
      <c r="IQ31" s="32"/>
      <c r="IR31" s="32"/>
      <c r="IS31" s="32"/>
      <c r="IT31" s="32"/>
      <c r="IU31" s="32"/>
      <c r="IV31" s="32"/>
    </row>
    <row r="32" spans="1:256" s="11" customFormat="1" x14ac:dyDescent="0.2">
      <c r="A32" s="88"/>
      <c r="F32" s="762"/>
      <c r="G32" s="762"/>
      <c r="H32" s="762"/>
      <c r="I32" s="762"/>
      <c r="J32" s="762"/>
      <c r="K32" s="762"/>
      <c r="L32" s="762"/>
      <c r="M32" s="762"/>
      <c r="N32" s="762"/>
      <c r="O32" s="762"/>
      <c r="P32" s="762"/>
      <c r="Q32" s="762"/>
      <c r="R32" s="762"/>
      <c r="S32" s="762"/>
      <c r="T32" s="762"/>
      <c r="U32" s="762"/>
      <c r="V32" s="762"/>
      <c r="W32" s="762"/>
      <c r="X32" s="762"/>
      <c r="Y32" s="762"/>
      <c r="Z32" s="762"/>
      <c r="AA32" s="762"/>
      <c r="AB32" s="762"/>
      <c r="AC32" s="983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32"/>
      <c r="FX32" s="32"/>
      <c r="FY32" s="32"/>
      <c r="FZ32" s="32"/>
      <c r="GA32" s="32"/>
      <c r="GB32" s="32"/>
      <c r="GC32" s="32"/>
      <c r="GD32" s="32"/>
      <c r="GE32" s="32"/>
      <c r="GF32" s="32"/>
      <c r="GG32" s="32"/>
      <c r="GH32" s="32"/>
      <c r="GI32" s="32"/>
      <c r="GJ32" s="32"/>
      <c r="GK32" s="32"/>
      <c r="GL32" s="32"/>
      <c r="GM32" s="32"/>
      <c r="GN32" s="32"/>
      <c r="GO32" s="32"/>
      <c r="GP32" s="32"/>
      <c r="GQ32" s="32"/>
      <c r="GR32" s="32"/>
      <c r="GS32" s="32"/>
      <c r="GT32" s="32"/>
      <c r="GU32" s="32"/>
      <c r="GV32" s="32"/>
      <c r="GW32" s="32"/>
      <c r="GX32" s="32"/>
      <c r="GY32" s="32"/>
      <c r="GZ32" s="32"/>
      <c r="HA32" s="32"/>
      <c r="HB32" s="32"/>
      <c r="HC32" s="32"/>
      <c r="HD32" s="32"/>
      <c r="HE32" s="32"/>
      <c r="HF32" s="32"/>
      <c r="HG32" s="32"/>
      <c r="HH32" s="32"/>
      <c r="HI32" s="32"/>
      <c r="HJ32" s="32"/>
      <c r="HK32" s="32"/>
      <c r="HL32" s="32"/>
      <c r="HM32" s="32"/>
      <c r="HN32" s="32"/>
      <c r="HO32" s="32"/>
      <c r="HP32" s="32"/>
      <c r="HQ32" s="32"/>
      <c r="HR32" s="32"/>
      <c r="HS32" s="32"/>
      <c r="HT32" s="32"/>
      <c r="HU32" s="32"/>
      <c r="HV32" s="32"/>
      <c r="HW32" s="32"/>
      <c r="HX32" s="32"/>
      <c r="HY32" s="32"/>
      <c r="HZ32" s="32"/>
      <c r="IA32" s="32"/>
      <c r="IB32" s="32"/>
      <c r="IC32" s="32"/>
      <c r="ID32" s="32"/>
      <c r="IE32" s="32"/>
      <c r="IF32" s="32"/>
      <c r="IG32" s="32"/>
      <c r="IH32" s="32"/>
      <c r="II32" s="32"/>
      <c r="IJ32" s="32"/>
      <c r="IK32" s="32"/>
      <c r="IL32" s="32"/>
      <c r="IM32" s="32"/>
      <c r="IN32" s="32"/>
      <c r="IO32" s="32"/>
      <c r="IP32" s="32"/>
      <c r="IQ32" s="32"/>
      <c r="IR32" s="32"/>
      <c r="IS32" s="32"/>
      <c r="IT32" s="32"/>
      <c r="IU32" s="32"/>
      <c r="IV32" s="32"/>
    </row>
    <row r="33" spans="1:256" s="11" customFormat="1" x14ac:dyDescent="0.2">
      <c r="A33" s="88"/>
      <c r="B33" s="11" t="s">
        <v>834</v>
      </c>
      <c r="C33" s="984">
        <f>SUM(F33:X33)</f>
        <v>358485.4</v>
      </c>
      <c r="D33" s="982">
        <f>F33+I33+L33+O33+R33+U33+X33+AA33-C33</f>
        <v>0</v>
      </c>
      <c r="E33" s="119"/>
      <c r="F33" s="984">
        <f>SUM(F4:F15,F17,F18,F21)</f>
        <v>358485.4</v>
      </c>
      <c r="G33" s="985"/>
      <c r="H33" s="985"/>
      <c r="I33" s="984">
        <f>SUM(I4:I15,I17,I18,I21)</f>
        <v>0</v>
      </c>
      <c r="J33" s="985"/>
      <c r="K33" s="985"/>
      <c r="L33" s="984">
        <f>SUM(L4:L15,L17,L18,L21)</f>
        <v>0</v>
      </c>
      <c r="M33" s="985"/>
      <c r="N33" s="985"/>
      <c r="O33" s="984">
        <f>SUM(O4:O15,O17,O18,O21)</f>
        <v>0</v>
      </c>
      <c r="P33" s="985"/>
      <c r="Q33" s="985"/>
      <c r="R33" s="984">
        <f>SUM(R4:R15,R17,R18,R21)</f>
        <v>0</v>
      </c>
      <c r="S33" s="985"/>
      <c r="T33" s="985"/>
      <c r="U33" s="984">
        <f>SUM(U4:U15,U17,U18,U21)</f>
        <v>0</v>
      </c>
      <c r="V33" s="985"/>
      <c r="W33" s="985"/>
      <c r="X33" s="984">
        <f>SUM(X4:X15,X17,X18,X21)</f>
        <v>0</v>
      </c>
      <c r="Y33" s="985"/>
      <c r="Z33" s="985"/>
      <c r="AA33" s="762"/>
      <c r="AB33" s="762"/>
      <c r="AC33" s="983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  <c r="GR33" s="32"/>
      <c r="GS33" s="32"/>
      <c r="GT33" s="32"/>
      <c r="GU33" s="32"/>
      <c r="GV33" s="32"/>
      <c r="GW33" s="32"/>
      <c r="GX33" s="32"/>
      <c r="GY33" s="32"/>
      <c r="GZ33" s="32"/>
      <c r="HA33" s="32"/>
      <c r="HB33" s="32"/>
      <c r="HC33" s="32"/>
      <c r="HD33" s="32"/>
      <c r="HE33" s="32"/>
      <c r="HF33" s="32"/>
      <c r="HG33" s="32"/>
      <c r="HH33" s="32"/>
      <c r="HI33" s="32"/>
      <c r="HJ33" s="32"/>
      <c r="HK33" s="32"/>
      <c r="HL33" s="32"/>
      <c r="HM33" s="32"/>
      <c r="HN33" s="32"/>
      <c r="HO33" s="32"/>
      <c r="HP33" s="32"/>
      <c r="HQ33" s="32"/>
      <c r="HR33" s="32"/>
      <c r="HS33" s="32"/>
      <c r="HT33" s="32"/>
      <c r="HU33" s="32"/>
      <c r="HV33" s="32"/>
      <c r="HW33" s="32"/>
      <c r="HX33" s="32"/>
      <c r="HY33" s="32"/>
      <c r="HZ33" s="32"/>
      <c r="IA33" s="32"/>
      <c r="IB33" s="32"/>
      <c r="IC33" s="32"/>
      <c r="ID33" s="32"/>
      <c r="IE33" s="32"/>
      <c r="IF33" s="32"/>
      <c r="IG33" s="32"/>
      <c r="IH33" s="32"/>
      <c r="II33" s="32"/>
      <c r="IJ33" s="32"/>
      <c r="IK33" s="32"/>
      <c r="IL33" s="32"/>
      <c r="IM33" s="32"/>
      <c r="IN33" s="32"/>
      <c r="IO33" s="32"/>
      <c r="IP33" s="32"/>
      <c r="IQ33" s="32"/>
      <c r="IR33" s="32"/>
      <c r="IS33" s="32"/>
      <c r="IT33" s="32"/>
      <c r="IU33" s="32"/>
      <c r="IV33" s="32"/>
    </row>
    <row r="34" spans="1:256" s="11" customFormat="1" x14ac:dyDescent="0.2">
      <c r="A34" s="88"/>
      <c r="C34" s="760"/>
      <c r="F34" s="761"/>
      <c r="G34" s="762"/>
      <c r="H34" s="762"/>
      <c r="I34" s="761"/>
      <c r="J34" s="762"/>
      <c r="K34" s="762"/>
      <c r="L34" s="761"/>
      <c r="M34" s="762"/>
      <c r="N34" s="762"/>
      <c r="O34" s="761"/>
      <c r="P34" s="762"/>
      <c r="Q34" s="762"/>
      <c r="R34" s="761"/>
      <c r="S34" s="762"/>
      <c r="T34" s="762"/>
      <c r="U34" s="761"/>
      <c r="V34" s="762"/>
      <c r="W34" s="762"/>
      <c r="X34" s="761"/>
      <c r="Y34" s="762"/>
      <c r="Z34" s="762"/>
      <c r="AA34" s="762"/>
      <c r="AB34" s="762"/>
      <c r="AC34" s="983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  <c r="FQ34" s="32"/>
      <c r="FR34" s="32"/>
      <c r="FS34" s="32"/>
      <c r="FT34" s="32"/>
      <c r="FU34" s="32"/>
      <c r="FV34" s="32"/>
      <c r="FW34" s="32"/>
      <c r="FX34" s="32"/>
      <c r="FY34" s="32"/>
      <c r="FZ34" s="32"/>
      <c r="GA34" s="32"/>
      <c r="GB34" s="32"/>
      <c r="GC34" s="32"/>
      <c r="GD34" s="32"/>
      <c r="GE34" s="32"/>
      <c r="GF34" s="32"/>
      <c r="GG34" s="32"/>
      <c r="GH34" s="32"/>
      <c r="GI34" s="32"/>
      <c r="GJ34" s="32"/>
      <c r="GK34" s="32"/>
      <c r="GL34" s="32"/>
      <c r="GM34" s="32"/>
      <c r="GN34" s="32"/>
      <c r="GO34" s="32"/>
      <c r="GP34" s="32"/>
      <c r="GQ34" s="32"/>
      <c r="GR34" s="32"/>
      <c r="GS34" s="32"/>
      <c r="GT34" s="32"/>
      <c r="GU34" s="32"/>
      <c r="GV34" s="32"/>
      <c r="GW34" s="32"/>
      <c r="GX34" s="32"/>
      <c r="GY34" s="32"/>
      <c r="GZ34" s="32"/>
      <c r="HA34" s="32"/>
      <c r="HB34" s="32"/>
      <c r="HC34" s="32"/>
      <c r="HD34" s="32"/>
      <c r="HE34" s="32"/>
      <c r="HF34" s="32"/>
      <c r="HG34" s="32"/>
      <c r="HH34" s="32"/>
      <c r="HI34" s="32"/>
      <c r="HJ34" s="32"/>
      <c r="HK34" s="32"/>
      <c r="HL34" s="32"/>
      <c r="HM34" s="32"/>
      <c r="HN34" s="32"/>
      <c r="HO34" s="32"/>
      <c r="HP34" s="32"/>
      <c r="HQ34" s="32"/>
      <c r="HR34" s="32"/>
      <c r="HS34" s="32"/>
      <c r="HT34" s="32"/>
      <c r="HU34" s="32"/>
      <c r="HV34" s="32"/>
      <c r="HW34" s="32"/>
      <c r="HX34" s="32"/>
      <c r="HY34" s="32"/>
      <c r="HZ34" s="32"/>
      <c r="IA34" s="32"/>
      <c r="IB34" s="32"/>
      <c r="IC34" s="32"/>
      <c r="ID34" s="32"/>
      <c r="IE34" s="32"/>
      <c r="IF34" s="32"/>
      <c r="IG34" s="32"/>
      <c r="IH34" s="32"/>
      <c r="II34" s="32"/>
      <c r="IJ34" s="32"/>
      <c r="IK34" s="32"/>
      <c r="IL34" s="32"/>
      <c r="IM34" s="32"/>
      <c r="IN34" s="32"/>
      <c r="IO34" s="32"/>
      <c r="IP34" s="32"/>
      <c r="IQ34" s="32"/>
      <c r="IR34" s="32"/>
      <c r="IS34" s="32"/>
      <c r="IT34" s="32"/>
      <c r="IU34" s="32"/>
      <c r="IV34" s="32"/>
    </row>
    <row r="35" spans="1:256" s="11" customFormat="1" x14ac:dyDescent="0.2">
      <c r="A35" s="88"/>
      <c r="B35" s="11" t="s">
        <v>624</v>
      </c>
      <c r="C35" s="984">
        <f>+C30+C33</f>
        <v>734483.3</v>
      </c>
      <c r="D35" s="982">
        <f>F35+I35+L35+O35+R35+U35+X35+AA35-C35</f>
        <v>0</v>
      </c>
      <c r="F35" s="984">
        <f>+F30+F33</f>
        <v>734483.3</v>
      </c>
      <c r="G35" s="760"/>
      <c r="H35" s="760"/>
      <c r="I35" s="984">
        <f>+I30+I33</f>
        <v>0</v>
      </c>
      <c r="J35" s="760"/>
      <c r="K35" s="760"/>
      <c r="L35" s="984">
        <f>+L30+L33</f>
        <v>0</v>
      </c>
      <c r="M35" s="760"/>
      <c r="N35" s="760"/>
      <c r="O35" s="984">
        <f>+O30+O33</f>
        <v>0</v>
      </c>
      <c r="P35" s="760"/>
      <c r="Q35" s="760"/>
      <c r="R35" s="984">
        <f>+R30+R33</f>
        <v>0</v>
      </c>
      <c r="S35" s="760"/>
      <c r="T35" s="760"/>
      <c r="U35" s="984">
        <f>+U30+U33</f>
        <v>0</v>
      </c>
      <c r="V35" s="760"/>
      <c r="W35" s="760"/>
      <c r="X35" s="984">
        <f>+X30+X33</f>
        <v>0</v>
      </c>
      <c r="Y35" s="760"/>
      <c r="Z35" s="760"/>
      <c r="AA35" s="762"/>
      <c r="AB35" s="762"/>
      <c r="AC35" s="983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32"/>
      <c r="FX35" s="32"/>
      <c r="FY35" s="32"/>
      <c r="FZ35" s="32"/>
      <c r="GA35" s="32"/>
      <c r="GB35" s="32"/>
      <c r="GC35" s="32"/>
      <c r="GD35" s="32"/>
      <c r="GE35" s="32"/>
      <c r="GF35" s="32"/>
      <c r="GG35" s="32"/>
      <c r="GH35" s="32"/>
      <c r="GI35" s="32"/>
      <c r="GJ35" s="32"/>
      <c r="GK35" s="32"/>
      <c r="GL35" s="32"/>
      <c r="GM35" s="32"/>
      <c r="GN35" s="32"/>
      <c r="GO35" s="32"/>
      <c r="GP35" s="32"/>
      <c r="GQ35" s="32"/>
      <c r="GR35" s="32"/>
      <c r="GS35" s="32"/>
      <c r="GT35" s="32"/>
      <c r="GU35" s="32"/>
      <c r="GV35" s="32"/>
      <c r="GW35" s="32"/>
      <c r="GX35" s="32"/>
      <c r="GY35" s="32"/>
      <c r="GZ35" s="32"/>
      <c r="HA35" s="32"/>
      <c r="HB35" s="32"/>
      <c r="HC35" s="32"/>
      <c r="HD35" s="32"/>
      <c r="HE35" s="32"/>
      <c r="HF35" s="32"/>
      <c r="HG35" s="32"/>
      <c r="HH35" s="32"/>
      <c r="HI35" s="32"/>
      <c r="HJ35" s="32"/>
      <c r="HK35" s="32"/>
      <c r="HL35" s="32"/>
      <c r="HM35" s="32"/>
      <c r="HN35" s="32"/>
      <c r="HO35" s="32"/>
      <c r="HP35" s="32"/>
      <c r="HQ35" s="32"/>
      <c r="HR35" s="32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2"/>
      <c r="ID35" s="32"/>
      <c r="IE35" s="32"/>
      <c r="IF35" s="32"/>
      <c r="IG35" s="32"/>
      <c r="IH35" s="32"/>
      <c r="II35" s="32"/>
      <c r="IJ35" s="32"/>
      <c r="IK35" s="32"/>
      <c r="IL35" s="32"/>
      <c r="IM35" s="32"/>
      <c r="IN35" s="32"/>
      <c r="IO35" s="32"/>
      <c r="IP35" s="32"/>
      <c r="IQ35" s="32"/>
      <c r="IR35" s="32"/>
      <c r="IS35" s="32"/>
      <c r="IT35" s="32"/>
      <c r="IU35" s="32"/>
      <c r="IV35" s="32"/>
    </row>
    <row r="36" spans="1:256" x14ac:dyDescent="0.2">
      <c r="B36" s="88"/>
      <c r="C36" s="983"/>
      <c r="D36" s="88"/>
      <c r="E36" s="88"/>
      <c r="F36" s="762"/>
      <c r="G36" s="762"/>
      <c r="H36" s="762"/>
      <c r="I36" s="762"/>
      <c r="J36" s="762"/>
      <c r="K36" s="762"/>
      <c r="L36" s="762"/>
      <c r="M36" s="762"/>
      <c r="N36" s="762"/>
      <c r="O36" s="762"/>
      <c r="P36" s="762"/>
      <c r="Q36" s="762"/>
      <c r="R36" s="762"/>
      <c r="S36" s="762"/>
      <c r="T36" s="762"/>
      <c r="U36" s="762"/>
      <c r="V36" s="762"/>
      <c r="W36" s="762"/>
      <c r="X36" s="762"/>
      <c r="Y36" s="762"/>
      <c r="Z36" s="762"/>
      <c r="AA36" s="762"/>
      <c r="AB36" s="762"/>
      <c r="AC36" s="983"/>
    </row>
    <row r="37" spans="1:256" x14ac:dyDescent="0.2">
      <c r="B37" s="981" t="s">
        <v>835</v>
      </c>
      <c r="C37" s="763">
        <f>IF(ISERROR(+(C35/C30)-1),0,+(C35/C30)-1)</f>
        <v>0.95342394199542069</v>
      </c>
      <c r="D37" s="88"/>
      <c r="E37" s="88"/>
      <c r="F37" s="763">
        <f>IF(ISERROR(+(F35/F30)-1),0,+(F35/F30)-1)</f>
        <v>0.95342394199542069</v>
      </c>
      <c r="G37" s="762"/>
      <c r="H37" s="762"/>
      <c r="I37" s="763">
        <f>IF(ISERROR(+(I35/I30)-1),0,+(I35/I30)-1)</f>
        <v>0</v>
      </c>
      <c r="J37" s="762"/>
      <c r="K37" s="762"/>
      <c r="L37" s="763">
        <f>IF(ISERROR(+(L35/L30)-1),0,+(L35/L30)-1)</f>
        <v>0</v>
      </c>
      <c r="M37" s="762"/>
      <c r="N37" s="762"/>
      <c r="O37" s="763">
        <f>IF(ISERROR(+(O35/O30)-1),0,+(O35/O30)-1)</f>
        <v>0</v>
      </c>
      <c r="P37" s="762"/>
      <c r="Q37" s="762"/>
      <c r="R37" s="763">
        <f>IF(ISERROR(+(R35/R30)-1),0,+(R35/R30)-1)</f>
        <v>0</v>
      </c>
      <c r="S37" s="762"/>
      <c r="T37" s="762"/>
      <c r="U37" s="763">
        <f>IF(ISERROR(+(U35/U30)-1),0,+(U35/U30)-1)</f>
        <v>0</v>
      </c>
      <c r="V37" s="762"/>
      <c r="W37" s="762"/>
      <c r="X37" s="763">
        <f>IF(ISERROR(+(X35/X30)-1),0,+(X35/X30)-1)</f>
        <v>0</v>
      </c>
      <c r="Y37" s="762"/>
      <c r="Z37" s="762"/>
      <c r="AA37" s="762"/>
      <c r="AB37" s="762"/>
      <c r="AC37" s="983"/>
    </row>
    <row r="38" spans="1:256" x14ac:dyDescent="0.2">
      <c r="B38" s="88"/>
      <c r="C38" s="983"/>
      <c r="D38" s="88"/>
      <c r="E38" s="88"/>
      <c r="F38" s="762"/>
      <c r="G38" s="762"/>
      <c r="H38" s="762"/>
      <c r="I38" s="762"/>
      <c r="J38" s="762"/>
      <c r="K38" s="762"/>
      <c r="L38" s="762"/>
      <c r="M38" s="762"/>
      <c r="N38" s="762"/>
      <c r="O38" s="762"/>
      <c r="P38" s="762"/>
      <c r="Q38" s="762"/>
      <c r="R38" s="762"/>
      <c r="S38" s="762"/>
      <c r="T38" s="762"/>
      <c r="U38" s="762"/>
      <c r="V38" s="762"/>
      <c r="W38" s="762"/>
      <c r="X38" s="762"/>
      <c r="Y38" s="762"/>
      <c r="Z38" s="762"/>
      <c r="AA38" s="762"/>
      <c r="AB38" s="762"/>
      <c r="AC38" s="983"/>
    </row>
    <row r="39" spans="1:256" x14ac:dyDescent="0.2">
      <c r="B39" s="88" t="s">
        <v>836</v>
      </c>
      <c r="C39" s="986">
        <f>SUM(AA21,AA18,AA17,AA4:AA15)</f>
        <v>0</v>
      </c>
      <c r="D39" s="987">
        <f>F39+I39+L39+O39+R39+U39+X39-C39</f>
        <v>0</v>
      </c>
      <c r="E39" s="988"/>
      <c r="F39" s="986">
        <f>+F35*$C$41</f>
        <v>0</v>
      </c>
      <c r="G39" s="989"/>
      <c r="H39" s="989"/>
      <c r="I39" s="986">
        <f>+I35*$C$41</f>
        <v>0</v>
      </c>
      <c r="J39" s="989"/>
      <c r="K39" s="989"/>
      <c r="L39" s="986">
        <f>+L35*$C$41</f>
        <v>0</v>
      </c>
      <c r="M39" s="989"/>
      <c r="N39" s="989"/>
      <c r="O39" s="986">
        <f>+O35*$C$41</f>
        <v>0</v>
      </c>
      <c r="P39" s="989"/>
      <c r="Q39" s="989"/>
      <c r="R39" s="986">
        <f>+R35*$C$41</f>
        <v>0</v>
      </c>
      <c r="S39" s="989"/>
      <c r="T39" s="989"/>
      <c r="U39" s="986">
        <f>+U35*$C$41</f>
        <v>0</v>
      </c>
      <c r="V39" s="989"/>
      <c r="W39" s="989"/>
      <c r="X39" s="986">
        <f>+X35*$C$41</f>
        <v>0</v>
      </c>
      <c r="Y39" s="989"/>
      <c r="Z39" s="989"/>
      <c r="AA39" s="985"/>
      <c r="AB39" s="762"/>
      <c r="AC39" s="983"/>
    </row>
    <row r="40" spans="1:256" x14ac:dyDescent="0.2">
      <c r="B40" s="88"/>
      <c r="C40" s="983"/>
      <c r="D40" s="88"/>
      <c r="E40" s="88"/>
      <c r="F40" s="762"/>
      <c r="G40" s="762"/>
      <c r="H40" s="762"/>
      <c r="I40" s="762"/>
      <c r="J40" s="762"/>
      <c r="K40" s="762"/>
      <c r="L40" s="762"/>
      <c r="M40" s="762"/>
      <c r="N40" s="762"/>
      <c r="O40" s="762"/>
      <c r="P40" s="762"/>
      <c r="Q40" s="762"/>
      <c r="R40" s="762"/>
      <c r="S40" s="762"/>
      <c r="T40" s="762"/>
      <c r="U40" s="762"/>
      <c r="V40" s="762"/>
      <c r="W40" s="762"/>
      <c r="X40" s="762"/>
      <c r="Y40" s="762"/>
      <c r="Z40" s="762"/>
      <c r="AA40" s="762"/>
      <c r="AB40" s="762"/>
      <c r="AC40" s="983"/>
    </row>
    <row r="41" spans="1:256" x14ac:dyDescent="0.2">
      <c r="B41" s="88" t="s">
        <v>837</v>
      </c>
      <c r="C41" s="763">
        <f>IF(ISERROR(+C39/C35),0,+C39/C35)</f>
        <v>0</v>
      </c>
      <c r="D41" s="88"/>
      <c r="E41" s="88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983"/>
    </row>
    <row r="42" spans="1:256" x14ac:dyDescent="0.2">
      <c r="B42" s="88"/>
      <c r="C42" s="983"/>
      <c r="D42" s="88"/>
      <c r="E42" s="88"/>
      <c r="F42" s="763"/>
      <c r="G42" s="762"/>
      <c r="H42" s="762"/>
      <c r="I42" s="763"/>
      <c r="J42" s="762"/>
      <c r="K42" s="762"/>
      <c r="L42" s="763"/>
      <c r="M42" s="762"/>
      <c r="N42" s="762"/>
      <c r="O42" s="763"/>
      <c r="P42" s="762"/>
      <c r="Q42" s="762"/>
      <c r="R42" s="763"/>
      <c r="S42" s="762"/>
      <c r="T42" s="762"/>
      <c r="U42" s="763"/>
      <c r="V42" s="762"/>
      <c r="W42" s="762"/>
      <c r="X42" s="763"/>
      <c r="Y42" s="762"/>
      <c r="Z42" s="762"/>
      <c r="AA42" s="762"/>
      <c r="AB42" s="762"/>
      <c r="AC42" s="983"/>
    </row>
    <row r="43" spans="1:256" x14ac:dyDescent="0.2">
      <c r="B43" s="980" t="s">
        <v>838</v>
      </c>
      <c r="C43" s="1007">
        <f>SUM(C4:C15,C17,C18,C21,C23)</f>
        <v>757656.60000000009</v>
      </c>
      <c r="D43" s="982">
        <f>F43+I43+L43+O43+R43+U43+X43+AA43-C43</f>
        <v>-26573.300000000047</v>
      </c>
      <c r="E43" s="120"/>
      <c r="F43" s="984">
        <f>+F39+F35-F27-F25</f>
        <v>731083.3</v>
      </c>
      <c r="G43" s="985"/>
      <c r="H43" s="985"/>
      <c r="I43" s="984">
        <f>+I39+I35-I27-I25</f>
        <v>0</v>
      </c>
      <c r="J43" s="985"/>
      <c r="K43" s="985"/>
      <c r="L43" s="984">
        <f>+L39+L35-L27-L25</f>
        <v>0</v>
      </c>
      <c r="M43" s="985"/>
      <c r="N43" s="985"/>
      <c r="O43" s="984">
        <f>+O39+O35-O27-O25</f>
        <v>0</v>
      </c>
      <c r="P43" s="985"/>
      <c r="Q43" s="985"/>
      <c r="R43" s="984">
        <f>+R39+R35-R27-R25</f>
        <v>0</v>
      </c>
      <c r="S43" s="985"/>
      <c r="T43" s="985"/>
      <c r="U43" s="984">
        <f>+U39+U35-U27-U25</f>
        <v>0</v>
      </c>
      <c r="V43" s="985"/>
      <c r="W43" s="985"/>
      <c r="X43" s="984">
        <f>+X39+X35-X27-X25</f>
        <v>0</v>
      </c>
      <c r="Y43" s="985"/>
      <c r="Z43" s="985"/>
      <c r="AA43" s="985"/>
      <c r="AB43" s="762"/>
      <c r="AC43" s="983"/>
    </row>
    <row r="44" spans="1:256" x14ac:dyDescent="0.2">
      <c r="B44" s="88"/>
      <c r="C44" s="983"/>
      <c r="D44" s="88"/>
      <c r="E44" s="88"/>
      <c r="F44" s="762"/>
      <c r="G44" s="762"/>
      <c r="H44" s="762"/>
      <c r="I44" s="762"/>
      <c r="J44" s="762"/>
      <c r="K44" s="762"/>
      <c r="L44" s="762"/>
      <c r="M44" s="762"/>
      <c r="N44" s="762"/>
      <c r="O44" s="762"/>
      <c r="P44" s="762"/>
      <c r="Q44" s="762"/>
      <c r="R44" s="762"/>
      <c r="S44" s="762"/>
      <c r="T44" s="762"/>
      <c r="U44" s="762"/>
      <c r="V44" s="762"/>
      <c r="W44" s="762"/>
      <c r="X44" s="762"/>
      <c r="Y44" s="762"/>
      <c r="Z44" s="762"/>
      <c r="AA44" s="762"/>
      <c r="AB44" s="762"/>
      <c r="AC44" s="983"/>
    </row>
    <row r="45" spans="1:256" x14ac:dyDescent="0.2">
      <c r="B45" s="981" t="s">
        <v>839</v>
      </c>
      <c r="C45" s="984">
        <f>Mitarbeiterverteilung!AN107</f>
        <v>13550.4</v>
      </c>
      <c r="D45" s="982">
        <f>F45+I45+L45+O45+R45+U45+X45+AA45-C45</f>
        <v>0</v>
      </c>
      <c r="E45" s="120"/>
      <c r="F45" s="984">
        <f>Mitarbeiterverteilung!AF107</f>
        <v>13550.4</v>
      </c>
      <c r="G45" s="985"/>
      <c r="H45" s="985"/>
      <c r="I45" s="984">
        <f>Mitarbeiterverteilung!AG107</f>
        <v>0</v>
      </c>
      <c r="J45" s="985"/>
      <c r="K45" s="985"/>
      <c r="L45" s="984">
        <f>Mitarbeiterverteilung!AH107</f>
        <v>0</v>
      </c>
      <c r="M45" s="985"/>
      <c r="N45" s="985"/>
      <c r="O45" s="984">
        <f>Mitarbeiterverteilung!AI107</f>
        <v>0</v>
      </c>
      <c r="P45" s="985"/>
      <c r="Q45" s="985"/>
      <c r="R45" s="984">
        <f>Mitarbeiterverteilung!AJ107</f>
        <v>0</v>
      </c>
      <c r="S45" s="985"/>
      <c r="T45" s="985"/>
      <c r="U45" s="984">
        <f>Mitarbeiterverteilung!AK107</f>
        <v>0</v>
      </c>
      <c r="V45" s="985"/>
      <c r="W45" s="985"/>
      <c r="X45" s="984">
        <f>Mitarbeiterverteilung!AL107</f>
        <v>0</v>
      </c>
      <c r="Y45" s="985"/>
      <c r="Z45" s="985"/>
      <c r="AA45" s="762"/>
      <c r="AB45" s="762"/>
      <c r="AC45" s="983"/>
    </row>
    <row r="46" spans="1:256" x14ac:dyDescent="0.2">
      <c r="B46" s="88"/>
      <c r="C46" s="983"/>
      <c r="D46" s="88"/>
      <c r="E46" s="88"/>
      <c r="F46" s="762"/>
      <c r="G46" s="762"/>
      <c r="H46" s="762"/>
      <c r="I46" s="762"/>
      <c r="J46" s="762"/>
      <c r="K46" s="762"/>
      <c r="L46" s="762"/>
      <c r="M46" s="762"/>
      <c r="N46" s="762"/>
      <c r="O46" s="762"/>
      <c r="P46" s="762"/>
      <c r="Q46" s="762"/>
      <c r="R46" s="762"/>
      <c r="S46" s="762"/>
      <c r="T46" s="762"/>
      <c r="U46" s="762"/>
      <c r="V46" s="762"/>
      <c r="W46" s="762"/>
      <c r="X46" s="762"/>
      <c r="Y46" s="762"/>
      <c r="Z46" s="762"/>
      <c r="AA46" s="762"/>
      <c r="AB46" s="762"/>
      <c r="AC46" s="983"/>
    </row>
    <row r="47" spans="1:256" x14ac:dyDescent="0.2">
      <c r="B47" s="980" t="s">
        <v>840</v>
      </c>
      <c r="C47" s="990">
        <f>IF(ISERROR(+C43/C45),0,+C43/C45)</f>
        <v>55.913965639390725</v>
      </c>
      <c r="D47" s="991"/>
      <c r="E47" s="991"/>
      <c r="F47" s="990">
        <f>IF(ISERROR(+F43/F45),0,+F43/F45)</f>
        <v>53.952894379501714</v>
      </c>
      <c r="G47" s="760"/>
      <c r="H47" s="760"/>
      <c r="I47" s="990">
        <f>IF(ISERROR(+I43/I45),0,+I43/I45)</f>
        <v>0</v>
      </c>
      <c r="J47" s="760"/>
      <c r="K47" s="760"/>
      <c r="L47" s="984">
        <f>IF(ISERROR(+L43/L45),0,+L43/L45)</f>
        <v>0</v>
      </c>
      <c r="M47" s="760"/>
      <c r="N47" s="760"/>
      <c r="O47" s="984">
        <f>IF(ISERROR(+O43/O45),0,+O43/O45)</f>
        <v>0</v>
      </c>
      <c r="P47" s="760"/>
      <c r="Q47" s="760"/>
      <c r="R47" s="984">
        <f>IF(ISERROR(+R43/R45),0,+R43/R45)</f>
        <v>0</v>
      </c>
      <c r="S47" s="760"/>
      <c r="T47" s="762"/>
      <c r="U47" s="984">
        <f>IF(ISERROR(+U43/U45),0,+U43/U45)</f>
        <v>0</v>
      </c>
      <c r="V47" s="760"/>
      <c r="W47" s="762"/>
      <c r="X47" s="984">
        <f>IF(ISERROR(+X43/X45),0,+X43/X45)</f>
        <v>0</v>
      </c>
      <c r="Y47" s="760"/>
      <c r="Z47" s="762"/>
      <c r="AA47" s="762"/>
      <c r="AB47" s="762"/>
      <c r="AC47" s="983"/>
    </row>
    <row r="48" spans="1:256" x14ac:dyDescent="0.2">
      <c r="B48" s="88"/>
      <c r="C48" s="984"/>
      <c r="D48" s="991"/>
      <c r="E48" s="991"/>
      <c r="F48" s="984"/>
      <c r="G48" s="760"/>
      <c r="H48" s="760"/>
      <c r="I48" s="984"/>
      <c r="J48" s="760"/>
      <c r="K48" s="760"/>
      <c r="L48" s="984"/>
      <c r="M48" s="760"/>
      <c r="N48" s="760"/>
      <c r="O48" s="984"/>
      <c r="P48" s="760"/>
      <c r="Q48" s="760"/>
      <c r="R48" s="984"/>
      <c r="S48" s="760"/>
      <c r="T48" s="762"/>
      <c r="U48" s="984"/>
      <c r="V48" s="760"/>
      <c r="W48" s="762"/>
      <c r="X48" s="984"/>
      <c r="Y48" s="760"/>
      <c r="Z48" s="762"/>
      <c r="AA48" s="762"/>
      <c r="AB48" s="762"/>
      <c r="AC48" s="983"/>
    </row>
    <row r="49" spans="2:29" x14ac:dyDescent="0.2">
      <c r="B49" s="981" t="s">
        <v>841</v>
      </c>
      <c r="C49" s="984">
        <f>IF(ISERROR(+C23/C45),0,+C23/C45)</f>
        <v>27.497188274884877</v>
      </c>
      <c r="D49" s="991"/>
      <c r="E49" s="991"/>
      <c r="F49" s="984">
        <f>IF(ISERROR(+F23/F45),0,+F23/F45)</f>
        <v>27.497188274884877</v>
      </c>
      <c r="G49" s="760"/>
      <c r="H49" s="760"/>
      <c r="I49" s="984">
        <f>IF(ISERROR(+I23/I45),0,+I23/I45)</f>
        <v>0</v>
      </c>
      <c r="J49" s="760"/>
      <c r="K49" s="760"/>
      <c r="L49" s="984">
        <f>IF(ISERROR(+L23/L45),0,+L23/L45)</f>
        <v>0</v>
      </c>
      <c r="M49" s="760"/>
      <c r="N49" s="760"/>
      <c r="O49" s="984">
        <f>IF(ISERROR(+O23/O45),0,+O23/O45)</f>
        <v>0</v>
      </c>
      <c r="P49" s="760"/>
      <c r="Q49" s="760"/>
      <c r="R49" s="984">
        <f>IF(ISERROR(+R23/R45),0,+R23/R45)</f>
        <v>0</v>
      </c>
      <c r="S49" s="760"/>
      <c r="T49" s="762"/>
      <c r="U49" s="984">
        <f>IF(ISERROR(+U23/U45),0,+U23/U45)</f>
        <v>0</v>
      </c>
      <c r="V49" s="760"/>
      <c r="W49" s="762"/>
      <c r="X49" s="984">
        <f>IF(ISERROR(+X23/X45),0,+X23/X45)</f>
        <v>0</v>
      </c>
      <c r="Y49" s="760"/>
      <c r="Z49" s="762"/>
      <c r="AA49" s="762"/>
      <c r="AB49" s="762"/>
      <c r="AC49" s="983"/>
    </row>
    <row r="50" spans="2:29" x14ac:dyDescent="0.2">
      <c r="B50" s="88"/>
      <c r="C50" s="984"/>
      <c r="D50" s="991"/>
      <c r="E50" s="991"/>
      <c r="F50" s="984"/>
      <c r="G50" s="760"/>
      <c r="H50" s="760"/>
      <c r="I50" s="984"/>
      <c r="J50" s="760"/>
      <c r="K50" s="760"/>
      <c r="L50" s="984"/>
      <c r="M50" s="760"/>
      <c r="N50" s="760"/>
      <c r="O50" s="984"/>
      <c r="P50" s="760"/>
      <c r="Q50" s="760"/>
      <c r="R50" s="984"/>
      <c r="S50" s="760"/>
      <c r="T50" s="762"/>
      <c r="U50" s="984"/>
      <c r="V50" s="760"/>
      <c r="W50" s="762"/>
      <c r="X50" s="984"/>
      <c r="Y50" s="760"/>
      <c r="Z50" s="762"/>
      <c r="AA50" s="762"/>
      <c r="AB50" s="762"/>
      <c r="AC50" s="983"/>
    </row>
    <row r="51" spans="2:29" x14ac:dyDescent="0.2">
      <c r="B51" s="981" t="s">
        <v>842</v>
      </c>
      <c r="C51" s="984">
        <f>+C47-C49</f>
        <v>28.416777364505847</v>
      </c>
      <c r="D51" s="991"/>
      <c r="E51" s="991"/>
      <c r="F51" s="984">
        <f>+F47-F49</f>
        <v>26.455706104616837</v>
      </c>
      <c r="G51" s="760"/>
      <c r="H51" s="760"/>
      <c r="I51" s="984">
        <f>+I47-I49</f>
        <v>0</v>
      </c>
      <c r="J51" s="760"/>
      <c r="K51" s="760"/>
      <c r="L51" s="984">
        <f>+L47-L49</f>
        <v>0</v>
      </c>
      <c r="M51" s="760"/>
      <c r="N51" s="760"/>
      <c r="O51" s="984">
        <f>+O47-O49</f>
        <v>0</v>
      </c>
      <c r="P51" s="760"/>
      <c r="Q51" s="760"/>
      <c r="R51" s="984">
        <f>+R47-R49</f>
        <v>0</v>
      </c>
      <c r="S51" s="760"/>
      <c r="T51" s="762"/>
      <c r="U51" s="984">
        <f>+U47-U49</f>
        <v>0</v>
      </c>
      <c r="V51" s="760"/>
      <c r="W51" s="762"/>
      <c r="X51" s="984">
        <f>+X47-X49</f>
        <v>0</v>
      </c>
      <c r="Y51" s="760"/>
      <c r="Z51" s="762"/>
      <c r="AA51" s="762"/>
      <c r="AB51" s="762"/>
      <c r="AC51" s="983"/>
    </row>
    <row r="52" spans="2:29" x14ac:dyDescent="0.2">
      <c r="B52" s="88"/>
      <c r="C52" s="983"/>
      <c r="D52" s="88"/>
      <c r="E52" s="88"/>
      <c r="F52" s="762"/>
      <c r="G52" s="762"/>
      <c r="H52" s="762"/>
      <c r="I52" s="762"/>
      <c r="J52" s="762"/>
      <c r="K52" s="762"/>
      <c r="L52" s="762"/>
      <c r="M52" s="762"/>
      <c r="N52" s="762"/>
      <c r="O52" s="762"/>
      <c r="P52" s="762"/>
      <c r="Q52" s="762"/>
      <c r="R52" s="762"/>
      <c r="S52" s="762"/>
      <c r="T52" s="762"/>
      <c r="U52" s="762"/>
      <c r="V52" s="762"/>
      <c r="W52" s="762"/>
      <c r="X52" s="762"/>
      <c r="Y52" s="762"/>
      <c r="Z52" s="762"/>
      <c r="AA52" s="762"/>
      <c r="AB52" s="762"/>
      <c r="AC52" s="983"/>
    </row>
    <row r="53" spans="2:29" x14ac:dyDescent="0.2">
      <c r="B53" s="981" t="s">
        <v>843</v>
      </c>
      <c r="C53" s="984">
        <f>C43-C23</f>
        <v>385058.70000000007</v>
      </c>
      <c r="D53" s="982">
        <f>F53+I53+L53+O53+R53+U53+X53+AA53-C53</f>
        <v>-26573.300000000047</v>
      </c>
      <c r="E53" s="120"/>
      <c r="F53" s="984">
        <f>F43-F23</f>
        <v>358485.4</v>
      </c>
      <c r="G53" s="985"/>
      <c r="H53" s="985"/>
      <c r="I53" s="984">
        <f>I43-I23</f>
        <v>0</v>
      </c>
      <c r="J53" s="985"/>
      <c r="K53" s="985"/>
      <c r="L53" s="984">
        <f>L43-L23</f>
        <v>0</v>
      </c>
      <c r="M53" s="985"/>
      <c r="N53" s="985"/>
      <c r="O53" s="984">
        <f>O43-O23</f>
        <v>0</v>
      </c>
      <c r="P53" s="985"/>
      <c r="Q53" s="985"/>
      <c r="R53" s="984">
        <f>R43-R23</f>
        <v>0</v>
      </c>
      <c r="S53" s="985"/>
      <c r="T53" s="985"/>
      <c r="U53" s="984">
        <f>U43-U23</f>
        <v>0</v>
      </c>
      <c r="V53" s="985"/>
      <c r="W53" s="985"/>
      <c r="X53" s="984">
        <f>X43-X23</f>
        <v>0</v>
      </c>
      <c r="Y53" s="985"/>
      <c r="Z53" s="985"/>
      <c r="AA53" s="985"/>
      <c r="AB53" s="762"/>
      <c r="AC53" s="983"/>
    </row>
    <row r="54" spans="2:29" x14ac:dyDescent="0.2">
      <c r="B54" s="88"/>
      <c r="C54" s="88"/>
      <c r="D54" s="88"/>
      <c r="E54" s="88"/>
      <c r="AC54" s="88"/>
    </row>
    <row r="55" spans="2:29" x14ac:dyDescent="0.2">
      <c r="B55" s="980" t="s">
        <v>844</v>
      </c>
      <c r="C55" s="990">
        <f>C47*1.1</f>
        <v>61.505362203329803</v>
      </c>
      <c r="D55" s="991"/>
      <c r="E55" s="991"/>
      <c r="F55" s="990">
        <f>F47*1.05</f>
        <v>56.650539098476806</v>
      </c>
      <c r="G55" s="760"/>
      <c r="H55" s="760"/>
      <c r="I55" s="990">
        <f>I47*1.05</f>
        <v>0</v>
      </c>
      <c r="J55" s="760"/>
      <c r="K55" s="760"/>
      <c r="L55" s="984">
        <f>IF(ISERROR(+L51/L53),0,+L51/L53)</f>
        <v>0</v>
      </c>
      <c r="M55" s="760"/>
      <c r="N55" s="760"/>
      <c r="O55" s="984">
        <f>IF(ISERROR(+O51/O53),0,+O51/O53)</f>
        <v>0</v>
      </c>
      <c r="P55" s="760"/>
      <c r="Q55" s="760"/>
      <c r="R55" s="984">
        <f>IF(ISERROR(+R51/R53),0,+R51/R53)</f>
        <v>0</v>
      </c>
      <c r="S55" s="760"/>
      <c r="T55" s="762"/>
      <c r="U55" s="984">
        <f>IF(ISERROR(+U51/U53),0,+U51/U53)</f>
        <v>0</v>
      </c>
      <c r="V55" s="760"/>
      <c r="W55" s="762"/>
      <c r="X55" s="984">
        <f>IF(ISERROR(+X51/X53),0,+X51/X53)</f>
        <v>0</v>
      </c>
      <c r="Y55" s="760"/>
      <c r="Z55" s="762"/>
      <c r="AA55" s="762"/>
      <c r="AB55" s="762"/>
      <c r="AC55" s="983"/>
    </row>
    <row r="56" spans="2:29" x14ac:dyDescent="0.2">
      <c r="B56" s="88"/>
      <c r="C56" s="88"/>
      <c r="D56" s="88"/>
      <c r="E56" s="88"/>
      <c r="AC56" s="88"/>
    </row>
    <row r="57" spans="2:29" x14ac:dyDescent="0.2">
      <c r="B57" s="88"/>
      <c r="C57" s="991"/>
      <c r="D57" s="88"/>
      <c r="E57" s="88"/>
      <c r="AC57" s="88"/>
    </row>
  </sheetData>
  <mergeCells count="8">
    <mergeCell ref="AA2:AC2"/>
    <mergeCell ref="X2:Z2"/>
    <mergeCell ref="F2:H2"/>
    <mergeCell ref="I2:K2"/>
    <mergeCell ref="L2:N2"/>
    <mergeCell ref="O2:Q2"/>
    <mergeCell ref="R2:T2"/>
    <mergeCell ref="U2:W2"/>
  </mergeCells>
  <pageMargins left="0.7" right="0.7" top="0.78740157499999996" bottom="0.78740157499999996" header="0.3" footer="0.3"/>
  <pageSetup paperSize="9" scale="65" orientation="landscape" horizontalDpi="4294967293" verticalDpi="429496729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7">
    <tabColor theme="8" tint="-0.249977111117893"/>
    <pageSetUpPr fitToPage="1"/>
  </sheetPr>
  <dimension ref="B1:H26"/>
  <sheetViews>
    <sheetView workbookViewId="0">
      <selection activeCell="E16" sqref="E16"/>
    </sheetView>
  </sheetViews>
  <sheetFormatPr baseColWidth="10" defaultRowHeight="15" x14ac:dyDescent="0.25"/>
  <cols>
    <col min="1" max="1" width="0.7109375" style="1082" customWidth="1"/>
    <col min="2" max="2" width="11.42578125" style="1082" customWidth="1"/>
    <col min="3" max="3" width="16.7109375" style="1082" customWidth="1"/>
    <col min="4" max="4" width="2.42578125" style="1082" customWidth="1"/>
    <col min="5" max="5" width="16.7109375" style="1082" customWidth="1"/>
    <col min="6" max="6" width="2.42578125" style="1082" customWidth="1"/>
    <col min="7" max="7" width="16.7109375" style="1082" customWidth="1"/>
    <col min="8" max="8" width="11.42578125" style="1082" customWidth="1"/>
    <col min="9" max="9" width="0.7109375" style="1082" customWidth="1"/>
    <col min="10" max="10" width="11.42578125" style="1082" customWidth="1"/>
    <col min="11" max="16384" width="11.42578125" style="1082"/>
  </cols>
  <sheetData>
    <row r="1" spans="2:8" ht="31.5" x14ac:dyDescent="0.5">
      <c r="B1" s="1384" t="str">
        <f>Grunddaten!$B$4</f>
        <v>Sample-Data</v>
      </c>
      <c r="C1" s="1384"/>
      <c r="D1" s="1384"/>
      <c r="E1" s="1384"/>
      <c r="F1" s="1384"/>
      <c r="G1" s="1384"/>
      <c r="H1" s="1384"/>
    </row>
    <row r="2" spans="2:8" x14ac:dyDescent="0.25">
      <c r="B2" s="1383" t="str">
        <f>Grunddaten!$E$7 &amp; " " &amp; Grunddaten!$B$5</f>
        <v>Oktober 2019</v>
      </c>
      <c r="C2" s="1383"/>
      <c r="D2" s="1383"/>
      <c r="E2" s="1383"/>
      <c r="F2" s="1383"/>
      <c r="G2" s="1383"/>
      <c r="H2" s="1383"/>
    </row>
    <row r="4" spans="2:8" x14ac:dyDescent="0.25">
      <c r="B4" s="1083"/>
      <c r="C4" s="1084"/>
      <c r="D4" s="1084"/>
      <c r="E4" s="1084"/>
      <c r="F4" s="1084"/>
      <c r="G4" s="1084"/>
      <c r="H4" s="1085"/>
    </row>
    <row r="5" spans="2:8" x14ac:dyDescent="0.25">
      <c r="B5" s="1086"/>
      <c r="C5" s="1087"/>
      <c r="D5" s="1087"/>
      <c r="E5" s="1087"/>
      <c r="F5" s="1087"/>
      <c r="G5" s="1087"/>
      <c r="H5" s="1088"/>
    </row>
    <row r="6" spans="2:8" x14ac:dyDescent="0.25">
      <c r="B6" s="1086"/>
      <c r="C6" s="1087"/>
      <c r="D6" s="1087"/>
      <c r="E6" s="1087"/>
      <c r="F6" s="1087"/>
      <c r="G6" s="1087"/>
      <c r="H6" s="1088"/>
    </row>
    <row r="7" spans="2:8" x14ac:dyDescent="0.25">
      <c r="B7" s="1086"/>
      <c r="C7" s="1087"/>
      <c r="D7" s="1087"/>
      <c r="E7" s="1087"/>
      <c r="F7" s="1087"/>
      <c r="G7" s="1087"/>
      <c r="H7" s="1088"/>
    </row>
    <row r="8" spans="2:8" x14ac:dyDescent="0.25">
      <c r="B8" s="1086"/>
      <c r="C8" s="1087"/>
      <c r="D8" s="1087"/>
      <c r="E8" s="1087"/>
      <c r="F8" s="1087"/>
      <c r="G8" s="1087"/>
      <c r="H8" s="1088"/>
    </row>
    <row r="9" spans="2:8" x14ac:dyDescent="0.25">
      <c r="B9" s="1086"/>
      <c r="C9" s="1087"/>
      <c r="D9" s="1087"/>
      <c r="E9" s="1087"/>
      <c r="F9" s="1087"/>
      <c r="G9" s="1087"/>
      <c r="H9" s="1088"/>
    </row>
    <row r="10" spans="2:8" x14ac:dyDescent="0.25">
      <c r="B10" s="1086"/>
      <c r="C10" s="1087"/>
      <c r="D10" s="1087"/>
      <c r="E10" s="1087"/>
      <c r="F10" s="1087"/>
      <c r="G10" s="1087"/>
      <c r="H10" s="1088"/>
    </row>
    <row r="11" spans="2:8" x14ac:dyDescent="0.25">
      <c r="B11" s="1086"/>
      <c r="C11" s="1087"/>
      <c r="D11" s="1087"/>
      <c r="E11" s="1087"/>
      <c r="F11" s="1087"/>
      <c r="G11" s="1087"/>
      <c r="H11" s="1088"/>
    </row>
    <row r="12" spans="2:8" ht="21" x14ac:dyDescent="0.35">
      <c r="B12" s="1086"/>
      <c r="C12" s="1382" t="s">
        <v>845</v>
      </c>
      <c r="D12" s="1382"/>
      <c r="E12" s="1382"/>
      <c r="F12" s="1382"/>
      <c r="G12" s="1382"/>
      <c r="H12" s="1088"/>
    </row>
    <row r="13" spans="2:8" ht="21" x14ac:dyDescent="0.35">
      <c r="B13" s="1086"/>
      <c r="C13" s="1385" t="s">
        <v>846</v>
      </c>
      <c r="D13" s="1385"/>
      <c r="E13" s="1385"/>
      <c r="F13" s="1385"/>
      <c r="G13" s="1385"/>
      <c r="H13" s="1088"/>
    </row>
    <row r="14" spans="2:8" x14ac:dyDescent="0.25">
      <c r="B14" s="1086"/>
      <c r="C14" s="1089"/>
      <c r="D14" s="1089"/>
      <c r="E14" s="1089"/>
      <c r="F14" s="1089"/>
      <c r="G14" s="1089"/>
      <c r="H14" s="1088"/>
    </row>
    <row r="15" spans="2:8" x14ac:dyDescent="0.25">
      <c r="B15" s="1086"/>
      <c r="C15" s="1087"/>
      <c r="D15" s="1087"/>
      <c r="E15" s="1087"/>
      <c r="F15" s="1087"/>
      <c r="G15" s="1087"/>
      <c r="H15" s="1088"/>
    </row>
    <row r="16" spans="2:8" s="1095" customFormat="1" ht="18.75" x14ac:dyDescent="0.2">
      <c r="B16" s="1090"/>
      <c r="C16" s="1130">
        <f>Kostenverteilung!C43</f>
        <v>757656.60000000009</v>
      </c>
      <c r="D16" s="1091" t="s">
        <v>847</v>
      </c>
      <c r="E16" s="1129">
        <f>Kostenverteilung!C45</f>
        <v>13550.4</v>
      </c>
      <c r="F16" s="1092" t="s">
        <v>848</v>
      </c>
      <c r="G16" s="1093">
        <f>C16/E16</f>
        <v>55.913965639390725</v>
      </c>
      <c r="H16" s="1094"/>
    </row>
    <row r="17" spans="2:8" s="1101" customFormat="1" ht="30" x14ac:dyDescent="0.2">
      <c r="B17" s="1096"/>
      <c r="C17" s="1097" t="s">
        <v>849</v>
      </c>
      <c r="D17" s="1098"/>
      <c r="E17" s="1099" t="s">
        <v>850</v>
      </c>
      <c r="F17" s="1098"/>
      <c r="G17" s="1099" t="s">
        <v>851</v>
      </c>
      <c r="H17" s="1100"/>
    </row>
    <row r="18" spans="2:8" x14ac:dyDescent="0.25">
      <c r="B18" s="1086"/>
      <c r="C18" s="1087"/>
      <c r="D18" s="1087"/>
      <c r="E18" s="1087"/>
      <c r="F18" s="1087"/>
      <c r="G18" s="1087"/>
      <c r="H18" s="1088"/>
    </row>
    <row r="19" spans="2:8" x14ac:dyDescent="0.25">
      <c r="B19" s="1086"/>
      <c r="C19" s="1087"/>
      <c r="D19" s="1087"/>
      <c r="E19" s="1087"/>
      <c r="F19" s="1087"/>
      <c r="G19" s="1087"/>
      <c r="H19" s="1088"/>
    </row>
    <row r="20" spans="2:8" x14ac:dyDescent="0.25">
      <c r="B20" s="1086"/>
      <c r="C20" s="1087"/>
      <c r="D20" s="1087"/>
      <c r="E20" s="1087"/>
      <c r="F20" s="1087"/>
      <c r="G20" s="1087"/>
      <c r="H20" s="1088"/>
    </row>
    <row r="21" spans="2:8" x14ac:dyDescent="0.25">
      <c r="B21" s="1086"/>
      <c r="C21" s="1087"/>
      <c r="D21" s="1087"/>
      <c r="E21" s="1087"/>
      <c r="F21" s="1087"/>
      <c r="G21" s="1087"/>
      <c r="H21" s="1088"/>
    </row>
    <row r="22" spans="2:8" ht="21" x14ac:dyDescent="0.35">
      <c r="B22" s="1086"/>
      <c r="C22" s="1382" t="s">
        <v>852</v>
      </c>
      <c r="D22" s="1382"/>
      <c r="E22" s="1382"/>
      <c r="F22" s="1382"/>
      <c r="G22" s="1382"/>
      <c r="H22" s="1088"/>
    </row>
    <row r="23" spans="2:8" x14ac:dyDescent="0.25">
      <c r="B23" s="1086"/>
      <c r="C23" s="1087"/>
      <c r="D23" s="1087"/>
      <c r="E23" s="1087"/>
      <c r="F23" s="1087"/>
      <c r="G23" s="1087"/>
      <c r="H23" s="1088"/>
    </row>
    <row r="24" spans="2:8" x14ac:dyDescent="0.25">
      <c r="B24" s="1102"/>
      <c r="C24" s="1103"/>
      <c r="D24" s="1103"/>
      <c r="E24" s="1103"/>
      <c r="F24" s="1103"/>
      <c r="G24" s="1103"/>
      <c r="H24" s="1104"/>
    </row>
    <row r="26" spans="2:8" x14ac:dyDescent="0.25">
      <c r="B26" s="1105"/>
      <c r="C26" s="1105"/>
      <c r="D26" s="1105"/>
      <c r="E26" s="1105"/>
      <c r="F26" s="1105"/>
      <c r="G26" s="1105"/>
      <c r="H26" s="1105"/>
    </row>
  </sheetData>
  <mergeCells count="5">
    <mergeCell ref="C22:G22"/>
    <mergeCell ref="B2:H2"/>
    <mergeCell ref="B1:H1"/>
    <mergeCell ref="C12:G12"/>
    <mergeCell ref="C13:G13"/>
  </mergeCells>
  <printOptions horizontalCentered="1" verticalCentered="1"/>
  <pageMargins left="0.70866141732283472" right="0.70866141732283472" top="0.78740157480314965" bottom="0.78740157480314965" header="0.31496062992125984" footer="0.31496062992125984"/>
  <pageSetup paperSize="9" orientation="landscape"/>
  <headerFooter>
    <oddHeader>&amp;C&amp;"-,Fett"&amp;16&amp;A</oddHeader>
    <oddFooter>&amp;L&amp;8&amp;D &amp;T&amp;R&amp;8&amp;G</oddFooter>
  </headerFooter>
  <drawing r:id="rId1"/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7">
    <tabColor theme="8" tint="-0.249977111117893"/>
    <pageSetUpPr fitToPage="1"/>
  </sheetPr>
  <dimension ref="A1:BN882"/>
  <sheetViews>
    <sheetView showGridLines="0" workbookViewId="0">
      <pane xSplit="5" ySplit="25" topLeftCell="F26" activePane="bottomRight" state="frozen"/>
      <selection activeCell="F26" sqref="F26"/>
      <selection pane="topRight" activeCell="F26" sqref="F26"/>
      <selection pane="bottomLeft" activeCell="F26" sqref="F26"/>
      <selection pane="bottomRight" activeCell="D16" sqref="D16"/>
    </sheetView>
  </sheetViews>
  <sheetFormatPr baseColWidth="10" defaultRowHeight="12.75" x14ac:dyDescent="0.2"/>
  <cols>
    <col min="1" max="1" width="2.85546875" style="4" customWidth="1"/>
    <col min="2" max="2" width="3.5703125" style="4" customWidth="1"/>
    <col min="3" max="3" width="21.7109375" style="3" bestFit="1" customWidth="1"/>
    <col min="4" max="4" width="11.5703125" style="3" bestFit="1" customWidth="1"/>
    <col min="5" max="5" width="11.42578125" style="4" customWidth="1"/>
    <col min="6" max="6" width="12.5703125" style="3" bestFit="1" customWidth="1"/>
    <col min="7" max="7" width="2" style="3" hidden="1" customWidth="1"/>
    <col min="8" max="8" width="10.7109375" style="3" bestFit="1" customWidth="1"/>
    <col min="9" max="9" width="8.140625" style="3" bestFit="1" customWidth="1"/>
    <col min="10" max="10" width="7.140625" style="3" bestFit="1" customWidth="1"/>
    <col min="11" max="11" width="9.140625" style="3" bestFit="1" customWidth="1"/>
    <col min="12" max="12" width="3.5703125" style="4" customWidth="1"/>
    <col min="13" max="13" width="2.85546875" style="4" customWidth="1"/>
    <col min="14" max="66" width="11.42578125" style="4" customWidth="1"/>
  </cols>
  <sheetData>
    <row r="1" spans="2:18" x14ac:dyDescent="0.2">
      <c r="C1" s="544" t="s">
        <v>853</v>
      </c>
    </row>
    <row r="2" spans="2:18" x14ac:dyDescent="0.2">
      <c r="C2" s="4"/>
      <c r="D2" s="4"/>
      <c r="F2" s="4"/>
      <c r="G2" s="4"/>
      <c r="H2" s="4"/>
      <c r="I2" s="4"/>
      <c r="J2" s="4"/>
      <c r="K2" s="4"/>
    </row>
    <row r="3" spans="2:18" ht="18.75" customHeight="1" x14ac:dyDescent="0.2">
      <c r="B3" s="16"/>
      <c r="C3" s="17"/>
      <c r="D3" s="17"/>
      <c r="E3" s="17"/>
      <c r="F3" s="17"/>
      <c r="G3" s="17"/>
      <c r="H3" s="17"/>
      <c r="I3" s="17"/>
      <c r="J3" s="17"/>
      <c r="K3" s="17"/>
      <c r="L3" s="18"/>
    </row>
    <row r="4" spans="2:18" x14ac:dyDescent="0.2">
      <c r="B4" s="19"/>
      <c r="C4" s="20" t="s">
        <v>854</v>
      </c>
      <c r="D4" s="11"/>
      <c r="E4" s="11"/>
      <c r="F4" s="20" t="s">
        <v>855</v>
      </c>
      <c r="G4" s="20"/>
      <c r="H4" s="11"/>
      <c r="I4" s="11"/>
      <c r="J4" s="11"/>
      <c r="K4" s="11"/>
      <c r="L4" s="21"/>
    </row>
    <row r="5" spans="2:18" x14ac:dyDescent="0.2">
      <c r="B5" s="19"/>
      <c r="C5" s="11"/>
      <c r="D5" s="11"/>
      <c r="E5" s="11"/>
      <c r="F5" s="11"/>
      <c r="G5" s="11"/>
      <c r="H5" s="11"/>
      <c r="I5" s="11"/>
      <c r="J5" s="11"/>
      <c r="K5" s="11"/>
      <c r="L5" s="21"/>
    </row>
    <row r="6" spans="2:18" x14ac:dyDescent="0.2">
      <c r="B6" s="19"/>
      <c r="C6" s="22" t="s">
        <v>856</v>
      </c>
      <c r="D6" s="545"/>
      <c r="E6" s="11"/>
      <c r="F6" s="541" t="s">
        <v>31</v>
      </c>
      <c r="G6" s="542"/>
      <c r="H6" s="543" t="s">
        <v>857</v>
      </c>
      <c r="I6" s="543" t="s">
        <v>858</v>
      </c>
      <c r="J6" s="543" t="s">
        <v>593</v>
      </c>
      <c r="K6" s="485" t="s">
        <v>859</v>
      </c>
      <c r="L6" s="21"/>
      <c r="P6" s="23"/>
    </row>
    <row r="7" spans="2:18" x14ac:dyDescent="0.2">
      <c r="B7" s="19"/>
      <c r="C7" s="19"/>
      <c r="D7" s="21"/>
      <c r="E7" s="11"/>
      <c r="F7" s="24">
        <f>D12</f>
        <v>0</v>
      </c>
      <c r="G7" s="25"/>
      <c r="H7" s="26">
        <f>D6</f>
        <v>0</v>
      </c>
      <c r="I7" s="26">
        <f t="shared" ref="I7:I70" si="0">$D$10</f>
        <v>0</v>
      </c>
      <c r="J7" s="26">
        <f t="shared" ref="J7:J70" si="1">(H7*$D$8)/12</f>
        <v>0</v>
      </c>
      <c r="K7" s="27">
        <f t="shared" ref="K7:K70" si="2">I7-J7</f>
        <v>0</v>
      </c>
      <c r="L7" s="21"/>
      <c r="N7" s="28"/>
    </row>
    <row r="8" spans="2:18" x14ac:dyDescent="0.2">
      <c r="B8" s="19"/>
      <c r="C8" s="29" t="s">
        <v>860</v>
      </c>
      <c r="D8" s="546"/>
      <c r="E8" s="11"/>
      <c r="F8" s="24">
        <f t="shared" ref="F8:F71" si="3">EOMONTH(F7,1)</f>
        <v>59</v>
      </c>
      <c r="G8" s="25">
        <v>1</v>
      </c>
      <c r="H8" s="26">
        <f t="shared" ref="H8:H71" si="4">H7-K7</f>
        <v>0</v>
      </c>
      <c r="I8" s="26">
        <f t="shared" si="0"/>
        <v>0</v>
      </c>
      <c r="J8" s="26">
        <f t="shared" si="1"/>
        <v>0</v>
      </c>
      <c r="K8" s="27">
        <f t="shared" si="2"/>
        <v>0</v>
      </c>
      <c r="L8" s="21"/>
      <c r="M8" s="28"/>
      <c r="N8" s="30"/>
      <c r="P8" s="31"/>
    </row>
    <row r="9" spans="2:18" x14ac:dyDescent="0.2">
      <c r="B9" s="19"/>
      <c r="C9" s="19"/>
      <c r="D9" s="21"/>
      <c r="E9" s="11"/>
      <c r="F9" s="24">
        <f t="shared" si="3"/>
        <v>91</v>
      </c>
      <c r="G9" s="25">
        <v>1</v>
      </c>
      <c r="H9" s="26">
        <f t="shared" si="4"/>
        <v>0</v>
      </c>
      <c r="I9" s="26">
        <f t="shared" si="0"/>
        <v>0</v>
      </c>
      <c r="J9" s="26">
        <f t="shared" si="1"/>
        <v>0</v>
      </c>
      <c r="K9" s="27">
        <f t="shared" si="2"/>
        <v>0</v>
      </c>
      <c r="L9" s="21"/>
      <c r="N9" s="28"/>
    </row>
    <row r="10" spans="2:18" x14ac:dyDescent="0.2">
      <c r="B10" s="19"/>
      <c r="C10" s="29" t="s">
        <v>861</v>
      </c>
      <c r="D10" s="547"/>
      <c r="E10" s="11"/>
      <c r="F10" s="24">
        <f t="shared" si="3"/>
        <v>121</v>
      </c>
      <c r="G10" s="32">
        <v>1</v>
      </c>
      <c r="H10" s="26">
        <f t="shared" si="4"/>
        <v>0</v>
      </c>
      <c r="I10" s="26">
        <f t="shared" si="0"/>
        <v>0</v>
      </c>
      <c r="J10" s="26">
        <f t="shared" si="1"/>
        <v>0</v>
      </c>
      <c r="K10" s="27">
        <f t="shared" si="2"/>
        <v>0</v>
      </c>
      <c r="L10" s="21"/>
      <c r="N10" s="28"/>
      <c r="Q10" s="33"/>
      <c r="R10" s="34"/>
    </row>
    <row r="11" spans="2:18" x14ac:dyDescent="0.2">
      <c r="B11" s="19"/>
      <c r="C11" s="19"/>
      <c r="D11" s="21"/>
      <c r="E11" s="11"/>
      <c r="F11" s="24">
        <f t="shared" si="3"/>
        <v>152</v>
      </c>
      <c r="G11" s="25">
        <v>1</v>
      </c>
      <c r="H11" s="26">
        <f t="shared" si="4"/>
        <v>0</v>
      </c>
      <c r="I11" s="26">
        <f t="shared" si="0"/>
        <v>0</v>
      </c>
      <c r="J11" s="26">
        <f t="shared" si="1"/>
        <v>0</v>
      </c>
      <c r="K11" s="27">
        <f t="shared" si="2"/>
        <v>0</v>
      </c>
      <c r="L11" s="21"/>
      <c r="N11" s="30"/>
    </row>
    <row r="12" spans="2:18" x14ac:dyDescent="0.2">
      <c r="B12" s="19"/>
      <c r="C12" s="29" t="s">
        <v>862</v>
      </c>
      <c r="D12" s="548"/>
      <c r="E12" s="11"/>
      <c r="F12" s="24">
        <f t="shared" si="3"/>
        <v>182</v>
      </c>
      <c r="G12" s="32">
        <v>1</v>
      </c>
      <c r="H12" s="26">
        <f t="shared" si="4"/>
        <v>0</v>
      </c>
      <c r="I12" s="26">
        <f t="shared" si="0"/>
        <v>0</v>
      </c>
      <c r="J12" s="26">
        <f t="shared" si="1"/>
        <v>0</v>
      </c>
      <c r="K12" s="27">
        <f t="shared" si="2"/>
        <v>0</v>
      </c>
      <c r="L12" s="21"/>
      <c r="P12" s="28"/>
    </row>
    <row r="13" spans="2:18" x14ac:dyDescent="0.2">
      <c r="B13" s="19"/>
      <c r="C13" s="19"/>
      <c r="D13" s="21"/>
      <c r="E13" s="11"/>
      <c r="F13" s="24">
        <f t="shared" si="3"/>
        <v>213</v>
      </c>
      <c r="G13" s="25">
        <v>1</v>
      </c>
      <c r="H13" s="26">
        <f t="shared" si="4"/>
        <v>0</v>
      </c>
      <c r="I13" s="26">
        <f t="shared" si="0"/>
        <v>0</v>
      </c>
      <c r="J13" s="26">
        <f t="shared" si="1"/>
        <v>0</v>
      </c>
      <c r="K13" s="27">
        <f t="shared" si="2"/>
        <v>0</v>
      </c>
      <c r="L13" s="21"/>
    </row>
    <row r="14" spans="2:18" x14ac:dyDescent="0.2">
      <c r="B14" s="19"/>
      <c r="C14" s="19" t="s">
        <v>863</v>
      </c>
      <c r="D14" s="549"/>
      <c r="E14" s="11"/>
      <c r="F14" s="24">
        <f t="shared" si="3"/>
        <v>244</v>
      </c>
      <c r="G14" s="32">
        <v>1</v>
      </c>
      <c r="H14" s="26">
        <f t="shared" si="4"/>
        <v>0</v>
      </c>
      <c r="I14" s="26">
        <f t="shared" si="0"/>
        <v>0</v>
      </c>
      <c r="J14" s="26">
        <f t="shared" si="1"/>
        <v>0</v>
      </c>
      <c r="K14" s="27">
        <f t="shared" si="2"/>
        <v>0</v>
      </c>
      <c r="L14" s="21"/>
    </row>
    <row r="15" spans="2:18" x14ac:dyDescent="0.2">
      <c r="B15" s="19"/>
      <c r="C15" s="19"/>
      <c r="D15" s="21"/>
      <c r="E15" s="11"/>
      <c r="F15" s="24">
        <f t="shared" si="3"/>
        <v>274</v>
      </c>
      <c r="G15" s="25">
        <v>1</v>
      </c>
      <c r="H15" s="26">
        <f t="shared" si="4"/>
        <v>0</v>
      </c>
      <c r="I15" s="26">
        <f t="shared" si="0"/>
        <v>0</v>
      </c>
      <c r="J15" s="26">
        <f t="shared" si="1"/>
        <v>0</v>
      </c>
      <c r="K15" s="27">
        <f t="shared" si="2"/>
        <v>0</v>
      </c>
      <c r="L15" s="21"/>
    </row>
    <row r="16" spans="2:18" x14ac:dyDescent="0.2">
      <c r="B16" s="19"/>
      <c r="C16" s="19" t="s">
        <v>864</v>
      </c>
      <c r="D16" s="550">
        <f>EOMONTH(D12,D14*12)</f>
        <v>31</v>
      </c>
      <c r="E16" s="11"/>
      <c r="F16" s="24">
        <f t="shared" si="3"/>
        <v>305</v>
      </c>
      <c r="G16" s="32">
        <v>1</v>
      </c>
      <c r="H16" s="26">
        <f t="shared" si="4"/>
        <v>0</v>
      </c>
      <c r="I16" s="26">
        <f t="shared" si="0"/>
        <v>0</v>
      </c>
      <c r="J16" s="26">
        <f t="shared" si="1"/>
        <v>0</v>
      </c>
      <c r="K16" s="27">
        <f t="shared" si="2"/>
        <v>0</v>
      </c>
      <c r="L16" s="21"/>
      <c r="P16" s="28"/>
    </row>
    <row r="17" spans="2:16" x14ac:dyDescent="0.2">
      <c r="B17" s="19"/>
      <c r="C17" s="19"/>
      <c r="D17" s="21"/>
      <c r="E17" s="11"/>
      <c r="F17" s="24">
        <f t="shared" si="3"/>
        <v>335</v>
      </c>
      <c r="G17" s="25">
        <v>1</v>
      </c>
      <c r="H17" s="26">
        <f t="shared" si="4"/>
        <v>0</v>
      </c>
      <c r="I17" s="26">
        <f t="shared" si="0"/>
        <v>0</v>
      </c>
      <c r="J17" s="26">
        <f t="shared" si="1"/>
        <v>0</v>
      </c>
      <c r="K17" s="27">
        <f t="shared" si="2"/>
        <v>0</v>
      </c>
      <c r="L17" s="21"/>
    </row>
    <row r="18" spans="2:16" x14ac:dyDescent="0.2">
      <c r="B18" s="19"/>
      <c r="C18" s="19" t="s">
        <v>865</v>
      </c>
      <c r="D18" s="551">
        <f>SUMIF(F7:F495,D16,H7:H495)</f>
        <v>0</v>
      </c>
      <c r="E18" s="11"/>
      <c r="F18" s="24">
        <f t="shared" si="3"/>
        <v>366</v>
      </c>
      <c r="G18" s="32">
        <v>1</v>
      </c>
      <c r="H18" s="26">
        <f t="shared" si="4"/>
        <v>0</v>
      </c>
      <c r="I18" s="26">
        <f t="shared" si="0"/>
        <v>0</v>
      </c>
      <c r="J18" s="26">
        <f t="shared" si="1"/>
        <v>0</v>
      </c>
      <c r="K18" s="27">
        <f t="shared" si="2"/>
        <v>0</v>
      </c>
      <c r="L18" s="21"/>
      <c r="P18" s="23"/>
    </row>
    <row r="19" spans="2:16" x14ac:dyDescent="0.2">
      <c r="B19" s="19"/>
      <c r="C19" s="19"/>
      <c r="D19" s="35"/>
      <c r="E19" s="11"/>
      <c r="F19" s="24">
        <f t="shared" si="3"/>
        <v>397</v>
      </c>
      <c r="G19" s="25">
        <v>1</v>
      </c>
      <c r="H19" s="26">
        <f t="shared" si="4"/>
        <v>0</v>
      </c>
      <c r="I19" s="26">
        <f t="shared" si="0"/>
        <v>0</v>
      </c>
      <c r="J19" s="26">
        <f t="shared" si="1"/>
        <v>0</v>
      </c>
      <c r="K19" s="27">
        <f t="shared" si="2"/>
        <v>0</v>
      </c>
      <c r="L19" s="21"/>
    </row>
    <row r="20" spans="2:16" x14ac:dyDescent="0.2">
      <c r="B20" s="19"/>
      <c r="C20" s="19" t="s">
        <v>866</v>
      </c>
      <c r="D20" s="550">
        <f>EOMONTH(D12,D22*12)</f>
        <v>14884</v>
      </c>
      <c r="E20" s="11"/>
      <c r="F20" s="24">
        <f t="shared" si="3"/>
        <v>425</v>
      </c>
      <c r="G20" s="32">
        <v>1</v>
      </c>
      <c r="H20" s="26">
        <f t="shared" si="4"/>
        <v>0</v>
      </c>
      <c r="I20" s="26">
        <f t="shared" si="0"/>
        <v>0</v>
      </c>
      <c r="J20" s="26">
        <f t="shared" si="1"/>
        <v>0</v>
      </c>
      <c r="K20" s="27">
        <f t="shared" si="2"/>
        <v>0</v>
      </c>
      <c r="L20" s="21"/>
      <c r="P20" s="28"/>
    </row>
    <row r="21" spans="2:16" x14ac:dyDescent="0.2">
      <c r="B21" s="19"/>
      <c r="C21" s="19"/>
      <c r="D21" s="21"/>
      <c r="E21" s="11"/>
      <c r="F21" s="24">
        <f t="shared" si="3"/>
        <v>456</v>
      </c>
      <c r="G21" s="25">
        <v>1</v>
      </c>
      <c r="H21" s="26">
        <f t="shared" si="4"/>
        <v>0</v>
      </c>
      <c r="I21" s="26">
        <f t="shared" si="0"/>
        <v>0</v>
      </c>
      <c r="J21" s="26">
        <f t="shared" si="1"/>
        <v>0</v>
      </c>
      <c r="K21" s="27">
        <f t="shared" si="2"/>
        <v>0</v>
      </c>
      <c r="L21" s="21"/>
    </row>
    <row r="22" spans="2:16" x14ac:dyDescent="0.2">
      <c r="B22" s="19"/>
      <c r="C22" s="29" t="s">
        <v>867</v>
      </c>
      <c r="D22" s="552">
        <f>(SUMIF(H7:H495,"&gt;=0",G7:G495))/12</f>
        <v>40.666666666666664</v>
      </c>
      <c r="E22" s="11"/>
      <c r="F22" s="24">
        <f t="shared" si="3"/>
        <v>486</v>
      </c>
      <c r="G22" s="32">
        <v>1</v>
      </c>
      <c r="H22" s="26">
        <f t="shared" si="4"/>
        <v>0</v>
      </c>
      <c r="I22" s="26">
        <f t="shared" si="0"/>
        <v>0</v>
      </c>
      <c r="J22" s="26">
        <f t="shared" si="1"/>
        <v>0</v>
      </c>
      <c r="K22" s="27">
        <f t="shared" si="2"/>
        <v>0</v>
      </c>
      <c r="L22" s="21"/>
    </row>
    <row r="23" spans="2:16" x14ac:dyDescent="0.2">
      <c r="B23" s="19"/>
      <c r="C23" s="19"/>
      <c r="D23" s="21"/>
      <c r="E23" s="11"/>
      <c r="F23" s="24">
        <f t="shared" si="3"/>
        <v>517</v>
      </c>
      <c r="G23" s="25">
        <v>1</v>
      </c>
      <c r="H23" s="26">
        <f t="shared" si="4"/>
        <v>0</v>
      </c>
      <c r="I23" s="26">
        <f t="shared" si="0"/>
        <v>0</v>
      </c>
      <c r="J23" s="26">
        <f t="shared" si="1"/>
        <v>0</v>
      </c>
      <c r="K23" s="27">
        <f t="shared" si="2"/>
        <v>0</v>
      </c>
      <c r="L23" s="21"/>
    </row>
    <row r="24" spans="2:16" x14ac:dyDescent="0.2">
      <c r="B24" s="19"/>
      <c r="C24" s="36" t="s">
        <v>868</v>
      </c>
      <c r="D24" s="553" t="e">
        <f>(K7*12)/$D$6</f>
        <v>#DIV/0!</v>
      </c>
      <c r="E24" s="11"/>
      <c r="F24" s="24">
        <f t="shared" si="3"/>
        <v>547</v>
      </c>
      <c r="G24" s="32">
        <v>1</v>
      </c>
      <c r="H24" s="26">
        <f t="shared" si="4"/>
        <v>0</v>
      </c>
      <c r="I24" s="26">
        <f t="shared" si="0"/>
        <v>0</v>
      </c>
      <c r="J24" s="26">
        <f t="shared" si="1"/>
        <v>0</v>
      </c>
      <c r="K24" s="27">
        <f t="shared" si="2"/>
        <v>0</v>
      </c>
      <c r="L24" s="21"/>
      <c r="P24" s="31"/>
    </row>
    <row r="25" spans="2:16" x14ac:dyDescent="0.2">
      <c r="B25" s="19"/>
      <c r="C25" s="11"/>
      <c r="D25" s="11"/>
      <c r="E25" s="11"/>
      <c r="F25" s="24">
        <f t="shared" si="3"/>
        <v>578</v>
      </c>
      <c r="G25" s="25">
        <v>1</v>
      </c>
      <c r="H25" s="26">
        <f t="shared" si="4"/>
        <v>0</v>
      </c>
      <c r="I25" s="26">
        <f t="shared" si="0"/>
        <v>0</v>
      </c>
      <c r="J25" s="26">
        <f t="shared" si="1"/>
        <v>0</v>
      </c>
      <c r="K25" s="27">
        <f t="shared" si="2"/>
        <v>0</v>
      </c>
      <c r="L25" s="21"/>
    </row>
    <row r="26" spans="2:16" x14ac:dyDescent="0.2">
      <c r="B26" s="19"/>
      <c r="C26" s="11"/>
      <c r="D26" s="11"/>
      <c r="E26" s="11"/>
      <c r="F26" s="24">
        <f t="shared" si="3"/>
        <v>609</v>
      </c>
      <c r="G26" s="32">
        <v>1</v>
      </c>
      <c r="H26" s="26">
        <f t="shared" si="4"/>
        <v>0</v>
      </c>
      <c r="I26" s="26">
        <f t="shared" si="0"/>
        <v>0</v>
      </c>
      <c r="J26" s="26">
        <f t="shared" si="1"/>
        <v>0</v>
      </c>
      <c r="K26" s="27">
        <f t="shared" si="2"/>
        <v>0</v>
      </c>
      <c r="L26" s="21"/>
    </row>
    <row r="27" spans="2:16" x14ac:dyDescent="0.2">
      <c r="B27" s="19"/>
      <c r="C27" s="11"/>
      <c r="D27" s="11"/>
      <c r="E27" s="11"/>
      <c r="F27" s="24">
        <f t="shared" si="3"/>
        <v>639</v>
      </c>
      <c r="G27" s="25">
        <v>1</v>
      </c>
      <c r="H27" s="26">
        <f t="shared" si="4"/>
        <v>0</v>
      </c>
      <c r="I27" s="26">
        <f t="shared" si="0"/>
        <v>0</v>
      </c>
      <c r="J27" s="26">
        <f t="shared" si="1"/>
        <v>0</v>
      </c>
      <c r="K27" s="27">
        <f t="shared" si="2"/>
        <v>0</v>
      </c>
      <c r="L27" s="21"/>
    </row>
    <row r="28" spans="2:16" x14ac:dyDescent="0.2">
      <c r="B28" s="19"/>
      <c r="C28" s="11"/>
      <c r="D28" s="11"/>
      <c r="E28" s="11"/>
      <c r="F28" s="24">
        <f t="shared" si="3"/>
        <v>670</v>
      </c>
      <c r="G28" s="32">
        <v>1</v>
      </c>
      <c r="H28" s="26">
        <f t="shared" si="4"/>
        <v>0</v>
      </c>
      <c r="I28" s="26">
        <f t="shared" si="0"/>
        <v>0</v>
      </c>
      <c r="J28" s="26">
        <f t="shared" si="1"/>
        <v>0</v>
      </c>
      <c r="K28" s="27">
        <f t="shared" si="2"/>
        <v>0</v>
      </c>
      <c r="L28" s="21"/>
    </row>
    <row r="29" spans="2:16" x14ac:dyDescent="0.2">
      <c r="B29" s="19"/>
      <c r="C29" s="11"/>
      <c r="D29" s="11"/>
      <c r="E29" s="11"/>
      <c r="F29" s="24">
        <f t="shared" si="3"/>
        <v>700</v>
      </c>
      <c r="G29" s="25">
        <v>1</v>
      </c>
      <c r="H29" s="26">
        <f t="shared" si="4"/>
        <v>0</v>
      </c>
      <c r="I29" s="26">
        <f t="shared" si="0"/>
        <v>0</v>
      </c>
      <c r="J29" s="26">
        <f t="shared" si="1"/>
        <v>0</v>
      </c>
      <c r="K29" s="27">
        <f t="shared" si="2"/>
        <v>0</v>
      </c>
      <c r="L29" s="21"/>
    </row>
    <row r="30" spans="2:16" x14ac:dyDescent="0.2">
      <c r="B30" s="19"/>
      <c r="C30" s="11"/>
      <c r="D30" s="11"/>
      <c r="E30" s="11"/>
      <c r="F30" s="24">
        <f t="shared" si="3"/>
        <v>731</v>
      </c>
      <c r="G30" s="32">
        <v>1</v>
      </c>
      <c r="H30" s="26">
        <f t="shared" si="4"/>
        <v>0</v>
      </c>
      <c r="I30" s="26">
        <f t="shared" si="0"/>
        <v>0</v>
      </c>
      <c r="J30" s="26">
        <f t="shared" si="1"/>
        <v>0</v>
      </c>
      <c r="K30" s="27">
        <f t="shared" si="2"/>
        <v>0</v>
      </c>
      <c r="L30" s="21"/>
    </row>
    <row r="31" spans="2:16" x14ac:dyDescent="0.2">
      <c r="B31" s="19"/>
      <c r="C31" s="11"/>
      <c r="D31" s="11"/>
      <c r="E31" s="11"/>
      <c r="F31" s="24">
        <f t="shared" si="3"/>
        <v>762</v>
      </c>
      <c r="G31" s="25">
        <v>1</v>
      </c>
      <c r="H31" s="26">
        <f t="shared" si="4"/>
        <v>0</v>
      </c>
      <c r="I31" s="26">
        <f t="shared" si="0"/>
        <v>0</v>
      </c>
      <c r="J31" s="26">
        <f t="shared" si="1"/>
        <v>0</v>
      </c>
      <c r="K31" s="27">
        <f t="shared" si="2"/>
        <v>0</v>
      </c>
      <c r="L31" s="21"/>
    </row>
    <row r="32" spans="2:16" x14ac:dyDescent="0.2">
      <c r="B32" s="19"/>
      <c r="C32" s="11"/>
      <c r="D32" s="11"/>
      <c r="E32" s="11"/>
      <c r="F32" s="24">
        <f t="shared" si="3"/>
        <v>790</v>
      </c>
      <c r="G32" s="32">
        <v>1</v>
      </c>
      <c r="H32" s="26">
        <f t="shared" si="4"/>
        <v>0</v>
      </c>
      <c r="I32" s="26">
        <f t="shared" si="0"/>
        <v>0</v>
      </c>
      <c r="J32" s="26">
        <f t="shared" si="1"/>
        <v>0</v>
      </c>
      <c r="K32" s="27">
        <f t="shared" si="2"/>
        <v>0</v>
      </c>
      <c r="L32" s="21"/>
    </row>
    <row r="33" spans="2:12" x14ac:dyDescent="0.2">
      <c r="B33" s="19"/>
      <c r="C33" s="11"/>
      <c r="D33" s="11"/>
      <c r="E33" s="11"/>
      <c r="F33" s="24">
        <f t="shared" si="3"/>
        <v>821</v>
      </c>
      <c r="G33" s="25">
        <v>1</v>
      </c>
      <c r="H33" s="26">
        <f t="shared" si="4"/>
        <v>0</v>
      </c>
      <c r="I33" s="26">
        <f t="shared" si="0"/>
        <v>0</v>
      </c>
      <c r="J33" s="26">
        <f t="shared" si="1"/>
        <v>0</v>
      </c>
      <c r="K33" s="27">
        <f t="shared" si="2"/>
        <v>0</v>
      </c>
      <c r="L33" s="21"/>
    </row>
    <row r="34" spans="2:12" x14ac:dyDescent="0.2">
      <c r="B34" s="19"/>
      <c r="C34" s="11"/>
      <c r="D34" s="11"/>
      <c r="E34" s="11"/>
      <c r="F34" s="24">
        <f t="shared" si="3"/>
        <v>851</v>
      </c>
      <c r="G34" s="32">
        <v>1</v>
      </c>
      <c r="H34" s="26">
        <f t="shared" si="4"/>
        <v>0</v>
      </c>
      <c r="I34" s="26">
        <f t="shared" si="0"/>
        <v>0</v>
      </c>
      <c r="J34" s="26">
        <f t="shared" si="1"/>
        <v>0</v>
      </c>
      <c r="K34" s="27">
        <f t="shared" si="2"/>
        <v>0</v>
      </c>
      <c r="L34" s="21"/>
    </row>
    <row r="35" spans="2:12" x14ac:dyDescent="0.2">
      <c r="B35" s="19"/>
      <c r="C35" s="11"/>
      <c r="D35" s="11"/>
      <c r="E35" s="11"/>
      <c r="F35" s="24">
        <f t="shared" si="3"/>
        <v>882</v>
      </c>
      <c r="G35" s="25">
        <v>1</v>
      </c>
      <c r="H35" s="26">
        <f t="shared" si="4"/>
        <v>0</v>
      </c>
      <c r="I35" s="26">
        <f t="shared" si="0"/>
        <v>0</v>
      </c>
      <c r="J35" s="26">
        <f t="shared" si="1"/>
        <v>0</v>
      </c>
      <c r="K35" s="27">
        <f t="shared" si="2"/>
        <v>0</v>
      </c>
      <c r="L35" s="21"/>
    </row>
    <row r="36" spans="2:12" x14ac:dyDescent="0.2">
      <c r="B36" s="19"/>
      <c r="C36" s="11"/>
      <c r="D36" s="11"/>
      <c r="E36" s="11"/>
      <c r="F36" s="24">
        <f t="shared" si="3"/>
        <v>912</v>
      </c>
      <c r="G36" s="32">
        <v>1</v>
      </c>
      <c r="H36" s="26">
        <f t="shared" si="4"/>
        <v>0</v>
      </c>
      <c r="I36" s="26">
        <f t="shared" si="0"/>
        <v>0</v>
      </c>
      <c r="J36" s="26">
        <f t="shared" si="1"/>
        <v>0</v>
      </c>
      <c r="K36" s="27">
        <f t="shared" si="2"/>
        <v>0</v>
      </c>
      <c r="L36" s="21"/>
    </row>
    <row r="37" spans="2:12" x14ac:dyDescent="0.2">
      <c r="B37" s="19"/>
      <c r="C37" s="11"/>
      <c r="D37" s="11"/>
      <c r="E37" s="11"/>
      <c r="F37" s="24">
        <f t="shared" si="3"/>
        <v>943</v>
      </c>
      <c r="G37" s="25">
        <v>1</v>
      </c>
      <c r="H37" s="26">
        <f t="shared" si="4"/>
        <v>0</v>
      </c>
      <c r="I37" s="26">
        <f t="shared" si="0"/>
        <v>0</v>
      </c>
      <c r="J37" s="26">
        <f t="shared" si="1"/>
        <v>0</v>
      </c>
      <c r="K37" s="27">
        <f t="shared" si="2"/>
        <v>0</v>
      </c>
      <c r="L37" s="21"/>
    </row>
    <row r="38" spans="2:12" x14ac:dyDescent="0.2">
      <c r="B38" s="19"/>
      <c r="C38" s="11"/>
      <c r="D38" s="11"/>
      <c r="E38" s="11"/>
      <c r="F38" s="24">
        <f t="shared" si="3"/>
        <v>974</v>
      </c>
      <c r="G38" s="32">
        <v>1</v>
      </c>
      <c r="H38" s="26">
        <f t="shared" si="4"/>
        <v>0</v>
      </c>
      <c r="I38" s="26">
        <f t="shared" si="0"/>
        <v>0</v>
      </c>
      <c r="J38" s="26">
        <f t="shared" si="1"/>
        <v>0</v>
      </c>
      <c r="K38" s="27">
        <f t="shared" si="2"/>
        <v>0</v>
      </c>
      <c r="L38" s="21"/>
    </row>
    <row r="39" spans="2:12" x14ac:dyDescent="0.2">
      <c r="B39" s="19"/>
      <c r="C39" s="11"/>
      <c r="D39" s="11"/>
      <c r="E39" s="11"/>
      <c r="F39" s="24">
        <f t="shared" si="3"/>
        <v>1004</v>
      </c>
      <c r="G39" s="25">
        <v>1</v>
      </c>
      <c r="H39" s="26">
        <f t="shared" si="4"/>
        <v>0</v>
      </c>
      <c r="I39" s="26">
        <f t="shared" si="0"/>
        <v>0</v>
      </c>
      <c r="J39" s="26">
        <f t="shared" si="1"/>
        <v>0</v>
      </c>
      <c r="K39" s="27">
        <f t="shared" si="2"/>
        <v>0</v>
      </c>
      <c r="L39" s="21"/>
    </row>
    <row r="40" spans="2:12" x14ac:dyDescent="0.2">
      <c r="B40" s="19"/>
      <c r="C40" s="11"/>
      <c r="D40" s="11"/>
      <c r="E40" s="11"/>
      <c r="F40" s="24">
        <f t="shared" si="3"/>
        <v>1035</v>
      </c>
      <c r="G40" s="32">
        <v>1</v>
      </c>
      <c r="H40" s="26">
        <f t="shared" si="4"/>
        <v>0</v>
      </c>
      <c r="I40" s="26">
        <f t="shared" si="0"/>
        <v>0</v>
      </c>
      <c r="J40" s="26">
        <f t="shared" si="1"/>
        <v>0</v>
      </c>
      <c r="K40" s="27">
        <f t="shared" si="2"/>
        <v>0</v>
      </c>
      <c r="L40" s="21"/>
    </row>
    <row r="41" spans="2:12" x14ac:dyDescent="0.2">
      <c r="B41" s="19"/>
      <c r="C41" s="11"/>
      <c r="D41" s="11"/>
      <c r="E41" s="11"/>
      <c r="F41" s="24">
        <f t="shared" si="3"/>
        <v>1065</v>
      </c>
      <c r="G41" s="25">
        <v>1</v>
      </c>
      <c r="H41" s="26">
        <f t="shared" si="4"/>
        <v>0</v>
      </c>
      <c r="I41" s="26">
        <f t="shared" si="0"/>
        <v>0</v>
      </c>
      <c r="J41" s="26">
        <f t="shared" si="1"/>
        <v>0</v>
      </c>
      <c r="K41" s="27">
        <f t="shared" si="2"/>
        <v>0</v>
      </c>
      <c r="L41" s="21"/>
    </row>
    <row r="42" spans="2:12" x14ac:dyDescent="0.2">
      <c r="B42" s="19"/>
      <c r="C42" s="11"/>
      <c r="D42" s="11"/>
      <c r="E42" s="11"/>
      <c r="F42" s="24">
        <f t="shared" si="3"/>
        <v>1096</v>
      </c>
      <c r="G42" s="32">
        <v>1</v>
      </c>
      <c r="H42" s="26">
        <f t="shared" si="4"/>
        <v>0</v>
      </c>
      <c r="I42" s="26">
        <f t="shared" si="0"/>
        <v>0</v>
      </c>
      <c r="J42" s="26">
        <f t="shared" si="1"/>
        <v>0</v>
      </c>
      <c r="K42" s="27">
        <f t="shared" si="2"/>
        <v>0</v>
      </c>
      <c r="L42" s="21"/>
    </row>
    <row r="43" spans="2:12" x14ac:dyDescent="0.2">
      <c r="B43" s="19"/>
      <c r="C43" s="11"/>
      <c r="D43" s="11"/>
      <c r="E43" s="11"/>
      <c r="F43" s="24">
        <f t="shared" si="3"/>
        <v>1127</v>
      </c>
      <c r="G43" s="25">
        <v>1</v>
      </c>
      <c r="H43" s="26">
        <f t="shared" si="4"/>
        <v>0</v>
      </c>
      <c r="I43" s="26">
        <f t="shared" si="0"/>
        <v>0</v>
      </c>
      <c r="J43" s="26">
        <f t="shared" si="1"/>
        <v>0</v>
      </c>
      <c r="K43" s="27">
        <f t="shared" si="2"/>
        <v>0</v>
      </c>
      <c r="L43" s="21"/>
    </row>
    <row r="44" spans="2:12" x14ac:dyDescent="0.2">
      <c r="B44" s="19"/>
      <c r="C44" s="11"/>
      <c r="D44" s="11"/>
      <c r="E44" s="11"/>
      <c r="F44" s="24">
        <f t="shared" si="3"/>
        <v>1155</v>
      </c>
      <c r="G44" s="32">
        <v>1</v>
      </c>
      <c r="H44" s="26">
        <f t="shared" si="4"/>
        <v>0</v>
      </c>
      <c r="I44" s="26">
        <f t="shared" si="0"/>
        <v>0</v>
      </c>
      <c r="J44" s="26">
        <f t="shared" si="1"/>
        <v>0</v>
      </c>
      <c r="K44" s="27">
        <f t="shared" si="2"/>
        <v>0</v>
      </c>
      <c r="L44" s="21"/>
    </row>
    <row r="45" spans="2:12" x14ac:dyDescent="0.2">
      <c r="B45" s="19"/>
      <c r="C45" s="11"/>
      <c r="D45" s="11"/>
      <c r="E45" s="11"/>
      <c r="F45" s="24">
        <f t="shared" si="3"/>
        <v>1186</v>
      </c>
      <c r="G45" s="25">
        <v>1</v>
      </c>
      <c r="H45" s="26">
        <f t="shared" si="4"/>
        <v>0</v>
      </c>
      <c r="I45" s="26">
        <f t="shared" si="0"/>
        <v>0</v>
      </c>
      <c r="J45" s="26">
        <f t="shared" si="1"/>
        <v>0</v>
      </c>
      <c r="K45" s="27">
        <f t="shared" si="2"/>
        <v>0</v>
      </c>
      <c r="L45" s="21"/>
    </row>
    <row r="46" spans="2:12" x14ac:dyDescent="0.2">
      <c r="B46" s="19"/>
      <c r="C46" s="11"/>
      <c r="D46" s="11"/>
      <c r="E46" s="11"/>
      <c r="F46" s="24">
        <f t="shared" si="3"/>
        <v>1216</v>
      </c>
      <c r="G46" s="32">
        <v>1</v>
      </c>
      <c r="H46" s="26">
        <f t="shared" si="4"/>
        <v>0</v>
      </c>
      <c r="I46" s="26">
        <f t="shared" si="0"/>
        <v>0</v>
      </c>
      <c r="J46" s="26">
        <f t="shared" si="1"/>
        <v>0</v>
      </c>
      <c r="K46" s="27">
        <f t="shared" si="2"/>
        <v>0</v>
      </c>
      <c r="L46" s="21"/>
    </row>
    <row r="47" spans="2:12" x14ac:dyDescent="0.2">
      <c r="B47" s="19"/>
      <c r="C47" s="11"/>
      <c r="D47" s="11"/>
      <c r="E47" s="11"/>
      <c r="F47" s="24">
        <f t="shared" si="3"/>
        <v>1247</v>
      </c>
      <c r="G47" s="25">
        <v>1</v>
      </c>
      <c r="H47" s="26">
        <f t="shared" si="4"/>
        <v>0</v>
      </c>
      <c r="I47" s="26">
        <f t="shared" si="0"/>
        <v>0</v>
      </c>
      <c r="J47" s="26">
        <f t="shared" si="1"/>
        <v>0</v>
      </c>
      <c r="K47" s="27">
        <f t="shared" si="2"/>
        <v>0</v>
      </c>
      <c r="L47" s="21"/>
    </row>
    <row r="48" spans="2:12" x14ac:dyDescent="0.2">
      <c r="B48" s="19"/>
      <c r="C48" s="11"/>
      <c r="D48" s="11"/>
      <c r="E48" s="11"/>
      <c r="F48" s="24">
        <f t="shared" si="3"/>
        <v>1277</v>
      </c>
      <c r="G48" s="32">
        <v>1</v>
      </c>
      <c r="H48" s="26">
        <f t="shared" si="4"/>
        <v>0</v>
      </c>
      <c r="I48" s="26">
        <f t="shared" si="0"/>
        <v>0</v>
      </c>
      <c r="J48" s="26">
        <f t="shared" si="1"/>
        <v>0</v>
      </c>
      <c r="K48" s="27">
        <f t="shared" si="2"/>
        <v>0</v>
      </c>
      <c r="L48" s="21"/>
    </row>
    <row r="49" spans="2:12" x14ac:dyDescent="0.2">
      <c r="B49" s="19"/>
      <c r="C49" s="11"/>
      <c r="D49" s="11"/>
      <c r="E49" s="11"/>
      <c r="F49" s="24">
        <f t="shared" si="3"/>
        <v>1308</v>
      </c>
      <c r="G49" s="25">
        <v>1</v>
      </c>
      <c r="H49" s="26">
        <f t="shared" si="4"/>
        <v>0</v>
      </c>
      <c r="I49" s="26">
        <f t="shared" si="0"/>
        <v>0</v>
      </c>
      <c r="J49" s="26">
        <f t="shared" si="1"/>
        <v>0</v>
      </c>
      <c r="K49" s="27">
        <f t="shared" si="2"/>
        <v>0</v>
      </c>
      <c r="L49" s="21"/>
    </row>
    <row r="50" spans="2:12" x14ac:dyDescent="0.2">
      <c r="B50" s="19"/>
      <c r="C50" s="11"/>
      <c r="D50" s="11"/>
      <c r="E50" s="11"/>
      <c r="F50" s="24">
        <f t="shared" si="3"/>
        <v>1339</v>
      </c>
      <c r="G50" s="32">
        <v>1</v>
      </c>
      <c r="H50" s="26">
        <f t="shared" si="4"/>
        <v>0</v>
      </c>
      <c r="I50" s="26">
        <f t="shared" si="0"/>
        <v>0</v>
      </c>
      <c r="J50" s="26">
        <f t="shared" si="1"/>
        <v>0</v>
      </c>
      <c r="K50" s="27">
        <f t="shared" si="2"/>
        <v>0</v>
      </c>
      <c r="L50" s="21"/>
    </row>
    <row r="51" spans="2:12" x14ac:dyDescent="0.2">
      <c r="B51" s="19"/>
      <c r="C51" s="11"/>
      <c r="D51" s="11"/>
      <c r="E51" s="11"/>
      <c r="F51" s="24">
        <f t="shared" si="3"/>
        <v>1369</v>
      </c>
      <c r="G51" s="25">
        <v>1</v>
      </c>
      <c r="H51" s="26">
        <f t="shared" si="4"/>
        <v>0</v>
      </c>
      <c r="I51" s="26">
        <f t="shared" si="0"/>
        <v>0</v>
      </c>
      <c r="J51" s="26">
        <f t="shared" si="1"/>
        <v>0</v>
      </c>
      <c r="K51" s="27">
        <f t="shared" si="2"/>
        <v>0</v>
      </c>
      <c r="L51" s="21"/>
    </row>
    <row r="52" spans="2:12" x14ac:dyDescent="0.2">
      <c r="B52" s="19"/>
      <c r="C52" s="11"/>
      <c r="D52" s="11"/>
      <c r="E52" s="11"/>
      <c r="F52" s="24">
        <f t="shared" si="3"/>
        <v>1400</v>
      </c>
      <c r="G52" s="32">
        <v>1</v>
      </c>
      <c r="H52" s="26">
        <f t="shared" si="4"/>
        <v>0</v>
      </c>
      <c r="I52" s="26">
        <f t="shared" si="0"/>
        <v>0</v>
      </c>
      <c r="J52" s="26">
        <f t="shared" si="1"/>
        <v>0</v>
      </c>
      <c r="K52" s="27">
        <f t="shared" si="2"/>
        <v>0</v>
      </c>
      <c r="L52" s="21"/>
    </row>
    <row r="53" spans="2:12" x14ac:dyDescent="0.2">
      <c r="B53" s="19"/>
      <c r="C53" s="11"/>
      <c r="D53" s="11"/>
      <c r="E53" s="11"/>
      <c r="F53" s="24">
        <f t="shared" si="3"/>
        <v>1430</v>
      </c>
      <c r="G53" s="25">
        <v>1</v>
      </c>
      <c r="H53" s="26">
        <f t="shared" si="4"/>
        <v>0</v>
      </c>
      <c r="I53" s="26">
        <f t="shared" si="0"/>
        <v>0</v>
      </c>
      <c r="J53" s="26">
        <f t="shared" si="1"/>
        <v>0</v>
      </c>
      <c r="K53" s="27">
        <f t="shared" si="2"/>
        <v>0</v>
      </c>
      <c r="L53" s="21"/>
    </row>
    <row r="54" spans="2:12" x14ac:dyDescent="0.2">
      <c r="B54" s="19"/>
      <c r="C54" s="11"/>
      <c r="D54" s="11"/>
      <c r="E54" s="11"/>
      <c r="F54" s="24">
        <f t="shared" si="3"/>
        <v>1461</v>
      </c>
      <c r="G54" s="32">
        <v>1</v>
      </c>
      <c r="H54" s="26">
        <f t="shared" si="4"/>
        <v>0</v>
      </c>
      <c r="I54" s="26">
        <f t="shared" si="0"/>
        <v>0</v>
      </c>
      <c r="J54" s="26">
        <f t="shared" si="1"/>
        <v>0</v>
      </c>
      <c r="K54" s="27">
        <f t="shared" si="2"/>
        <v>0</v>
      </c>
      <c r="L54" s="21"/>
    </row>
    <row r="55" spans="2:12" x14ac:dyDescent="0.2">
      <c r="B55" s="19"/>
      <c r="C55" s="11"/>
      <c r="D55" s="11"/>
      <c r="E55" s="11"/>
      <c r="F55" s="24">
        <f t="shared" si="3"/>
        <v>1492</v>
      </c>
      <c r="G55" s="25">
        <v>1</v>
      </c>
      <c r="H55" s="26">
        <f t="shared" si="4"/>
        <v>0</v>
      </c>
      <c r="I55" s="26">
        <f t="shared" si="0"/>
        <v>0</v>
      </c>
      <c r="J55" s="26">
        <f t="shared" si="1"/>
        <v>0</v>
      </c>
      <c r="K55" s="27">
        <f t="shared" si="2"/>
        <v>0</v>
      </c>
      <c r="L55" s="21"/>
    </row>
    <row r="56" spans="2:12" x14ac:dyDescent="0.2">
      <c r="B56" s="19"/>
      <c r="C56" s="11"/>
      <c r="D56" s="11"/>
      <c r="E56" s="11"/>
      <c r="F56" s="24">
        <f t="shared" si="3"/>
        <v>1521</v>
      </c>
      <c r="G56" s="32">
        <v>1</v>
      </c>
      <c r="H56" s="26">
        <f t="shared" si="4"/>
        <v>0</v>
      </c>
      <c r="I56" s="26">
        <f t="shared" si="0"/>
        <v>0</v>
      </c>
      <c r="J56" s="26">
        <f t="shared" si="1"/>
        <v>0</v>
      </c>
      <c r="K56" s="27">
        <f t="shared" si="2"/>
        <v>0</v>
      </c>
      <c r="L56" s="21"/>
    </row>
    <row r="57" spans="2:12" x14ac:dyDescent="0.2">
      <c r="B57" s="19"/>
      <c r="C57" s="11"/>
      <c r="D57" s="11"/>
      <c r="E57" s="11"/>
      <c r="F57" s="24">
        <f t="shared" si="3"/>
        <v>1552</v>
      </c>
      <c r="G57" s="25">
        <v>1</v>
      </c>
      <c r="H57" s="26">
        <f t="shared" si="4"/>
        <v>0</v>
      </c>
      <c r="I57" s="26">
        <f t="shared" si="0"/>
        <v>0</v>
      </c>
      <c r="J57" s="26">
        <f t="shared" si="1"/>
        <v>0</v>
      </c>
      <c r="K57" s="27">
        <f t="shared" si="2"/>
        <v>0</v>
      </c>
      <c r="L57" s="21"/>
    </row>
    <row r="58" spans="2:12" x14ac:dyDescent="0.2">
      <c r="B58" s="19"/>
      <c r="C58" s="11"/>
      <c r="D58" s="11"/>
      <c r="E58" s="11"/>
      <c r="F58" s="24">
        <f t="shared" si="3"/>
        <v>1582</v>
      </c>
      <c r="G58" s="32">
        <v>1</v>
      </c>
      <c r="H58" s="26">
        <f t="shared" si="4"/>
        <v>0</v>
      </c>
      <c r="I58" s="26">
        <f t="shared" si="0"/>
        <v>0</v>
      </c>
      <c r="J58" s="26">
        <f t="shared" si="1"/>
        <v>0</v>
      </c>
      <c r="K58" s="27">
        <f t="shared" si="2"/>
        <v>0</v>
      </c>
      <c r="L58" s="21"/>
    </row>
    <row r="59" spans="2:12" x14ac:dyDescent="0.2">
      <c r="B59" s="19"/>
      <c r="C59" s="11"/>
      <c r="D59" s="11"/>
      <c r="E59" s="11"/>
      <c r="F59" s="24">
        <f t="shared" si="3"/>
        <v>1613</v>
      </c>
      <c r="G59" s="25">
        <v>1</v>
      </c>
      <c r="H59" s="26">
        <f t="shared" si="4"/>
        <v>0</v>
      </c>
      <c r="I59" s="26">
        <f t="shared" si="0"/>
        <v>0</v>
      </c>
      <c r="J59" s="26">
        <f t="shared" si="1"/>
        <v>0</v>
      </c>
      <c r="K59" s="27">
        <f t="shared" si="2"/>
        <v>0</v>
      </c>
      <c r="L59" s="21"/>
    </row>
    <row r="60" spans="2:12" x14ac:dyDescent="0.2">
      <c r="B60" s="19"/>
      <c r="C60" s="11"/>
      <c r="D60" s="11"/>
      <c r="E60" s="11"/>
      <c r="F60" s="24">
        <f t="shared" si="3"/>
        <v>1643</v>
      </c>
      <c r="G60" s="32">
        <v>1</v>
      </c>
      <c r="H60" s="26">
        <f t="shared" si="4"/>
        <v>0</v>
      </c>
      <c r="I60" s="26">
        <f t="shared" si="0"/>
        <v>0</v>
      </c>
      <c r="J60" s="26">
        <f t="shared" si="1"/>
        <v>0</v>
      </c>
      <c r="K60" s="27">
        <f t="shared" si="2"/>
        <v>0</v>
      </c>
      <c r="L60" s="21"/>
    </row>
    <row r="61" spans="2:12" x14ac:dyDescent="0.2">
      <c r="B61" s="19"/>
      <c r="C61" s="11"/>
      <c r="D61" s="11"/>
      <c r="E61" s="11"/>
      <c r="F61" s="24">
        <f t="shared" si="3"/>
        <v>1674</v>
      </c>
      <c r="G61" s="25">
        <v>1</v>
      </c>
      <c r="H61" s="26">
        <f t="shared" si="4"/>
        <v>0</v>
      </c>
      <c r="I61" s="26">
        <f t="shared" si="0"/>
        <v>0</v>
      </c>
      <c r="J61" s="26">
        <f t="shared" si="1"/>
        <v>0</v>
      </c>
      <c r="K61" s="27">
        <f t="shared" si="2"/>
        <v>0</v>
      </c>
      <c r="L61" s="21"/>
    </row>
    <row r="62" spans="2:12" x14ac:dyDescent="0.2">
      <c r="B62" s="19"/>
      <c r="C62" s="11"/>
      <c r="D62" s="11"/>
      <c r="E62" s="11"/>
      <c r="F62" s="24">
        <f t="shared" si="3"/>
        <v>1705</v>
      </c>
      <c r="G62" s="32">
        <v>1</v>
      </c>
      <c r="H62" s="26">
        <f t="shared" si="4"/>
        <v>0</v>
      </c>
      <c r="I62" s="26">
        <f t="shared" si="0"/>
        <v>0</v>
      </c>
      <c r="J62" s="26">
        <f t="shared" si="1"/>
        <v>0</v>
      </c>
      <c r="K62" s="27">
        <f t="shared" si="2"/>
        <v>0</v>
      </c>
      <c r="L62" s="21"/>
    </row>
    <row r="63" spans="2:12" x14ac:dyDescent="0.2">
      <c r="B63" s="19"/>
      <c r="C63" s="11"/>
      <c r="D63" s="11"/>
      <c r="E63" s="11"/>
      <c r="F63" s="24">
        <f t="shared" si="3"/>
        <v>1735</v>
      </c>
      <c r="G63" s="25">
        <v>1</v>
      </c>
      <c r="H63" s="26">
        <f t="shared" si="4"/>
        <v>0</v>
      </c>
      <c r="I63" s="26">
        <f t="shared" si="0"/>
        <v>0</v>
      </c>
      <c r="J63" s="26">
        <f t="shared" si="1"/>
        <v>0</v>
      </c>
      <c r="K63" s="27">
        <f t="shared" si="2"/>
        <v>0</v>
      </c>
      <c r="L63" s="21"/>
    </row>
    <row r="64" spans="2:12" x14ac:dyDescent="0.2">
      <c r="B64" s="19"/>
      <c r="C64" s="11"/>
      <c r="D64" s="11"/>
      <c r="E64" s="11"/>
      <c r="F64" s="24">
        <f t="shared" si="3"/>
        <v>1766</v>
      </c>
      <c r="G64" s="32">
        <v>1</v>
      </c>
      <c r="H64" s="26">
        <f t="shared" si="4"/>
        <v>0</v>
      </c>
      <c r="I64" s="26">
        <f t="shared" si="0"/>
        <v>0</v>
      </c>
      <c r="J64" s="26">
        <f t="shared" si="1"/>
        <v>0</v>
      </c>
      <c r="K64" s="27">
        <f t="shared" si="2"/>
        <v>0</v>
      </c>
      <c r="L64" s="21"/>
    </row>
    <row r="65" spans="2:12" x14ac:dyDescent="0.2">
      <c r="B65" s="19"/>
      <c r="C65" s="11"/>
      <c r="D65" s="11"/>
      <c r="E65" s="11"/>
      <c r="F65" s="24">
        <f t="shared" si="3"/>
        <v>1796</v>
      </c>
      <c r="G65" s="25">
        <v>1</v>
      </c>
      <c r="H65" s="26">
        <f t="shared" si="4"/>
        <v>0</v>
      </c>
      <c r="I65" s="26">
        <f t="shared" si="0"/>
        <v>0</v>
      </c>
      <c r="J65" s="26">
        <f t="shared" si="1"/>
        <v>0</v>
      </c>
      <c r="K65" s="27">
        <f t="shared" si="2"/>
        <v>0</v>
      </c>
      <c r="L65" s="21"/>
    </row>
    <row r="66" spans="2:12" x14ac:dyDescent="0.2">
      <c r="B66" s="19"/>
      <c r="C66" s="11"/>
      <c r="D66" s="11"/>
      <c r="E66" s="11"/>
      <c r="F66" s="24">
        <f t="shared" si="3"/>
        <v>1827</v>
      </c>
      <c r="G66" s="32">
        <v>1</v>
      </c>
      <c r="H66" s="26">
        <f t="shared" si="4"/>
        <v>0</v>
      </c>
      <c r="I66" s="26">
        <f t="shared" si="0"/>
        <v>0</v>
      </c>
      <c r="J66" s="26">
        <f t="shared" si="1"/>
        <v>0</v>
      </c>
      <c r="K66" s="27">
        <f t="shared" si="2"/>
        <v>0</v>
      </c>
      <c r="L66" s="21"/>
    </row>
    <row r="67" spans="2:12" x14ac:dyDescent="0.2">
      <c r="B67" s="19"/>
      <c r="C67" s="11"/>
      <c r="D67" s="11"/>
      <c r="E67" s="11"/>
      <c r="F67" s="24">
        <f t="shared" si="3"/>
        <v>1858</v>
      </c>
      <c r="G67" s="25">
        <v>1</v>
      </c>
      <c r="H67" s="26">
        <f t="shared" si="4"/>
        <v>0</v>
      </c>
      <c r="I67" s="26">
        <f t="shared" si="0"/>
        <v>0</v>
      </c>
      <c r="J67" s="26">
        <f t="shared" si="1"/>
        <v>0</v>
      </c>
      <c r="K67" s="27">
        <f t="shared" si="2"/>
        <v>0</v>
      </c>
      <c r="L67" s="21"/>
    </row>
    <row r="68" spans="2:12" x14ac:dyDescent="0.2">
      <c r="B68" s="19"/>
      <c r="C68" s="11"/>
      <c r="D68" s="11"/>
      <c r="E68" s="11"/>
      <c r="F68" s="24">
        <f t="shared" si="3"/>
        <v>1886</v>
      </c>
      <c r="G68" s="32">
        <v>1</v>
      </c>
      <c r="H68" s="26">
        <f t="shared" si="4"/>
        <v>0</v>
      </c>
      <c r="I68" s="26">
        <f t="shared" si="0"/>
        <v>0</v>
      </c>
      <c r="J68" s="26">
        <f t="shared" si="1"/>
        <v>0</v>
      </c>
      <c r="K68" s="27">
        <f t="shared" si="2"/>
        <v>0</v>
      </c>
      <c r="L68" s="21"/>
    </row>
    <row r="69" spans="2:12" x14ac:dyDescent="0.2">
      <c r="B69" s="19"/>
      <c r="C69" s="11"/>
      <c r="D69" s="11"/>
      <c r="E69" s="11"/>
      <c r="F69" s="24">
        <f t="shared" si="3"/>
        <v>1917</v>
      </c>
      <c r="G69" s="25">
        <v>1</v>
      </c>
      <c r="H69" s="26">
        <f t="shared" si="4"/>
        <v>0</v>
      </c>
      <c r="I69" s="26">
        <f t="shared" si="0"/>
        <v>0</v>
      </c>
      <c r="J69" s="26">
        <f t="shared" si="1"/>
        <v>0</v>
      </c>
      <c r="K69" s="27">
        <f t="shared" si="2"/>
        <v>0</v>
      </c>
      <c r="L69" s="21"/>
    </row>
    <row r="70" spans="2:12" x14ac:dyDescent="0.2">
      <c r="B70" s="19"/>
      <c r="C70" s="11"/>
      <c r="D70" s="11"/>
      <c r="E70" s="11"/>
      <c r="F70" s="24">
        <f t="shared" si="3"/>
        <v>1947</v>
      </c>
      <c r="G70" s="32">
        <v>1</v>
      </c>
      <c r="H70" s="26">
        <f t="shared" si="4"/>
        <v>0</v>
      </c>
      <c r="I70" s="26">
        <f t="shared" si="0"/>
        <v>0</v>
      </c>
      <c r="J70" s="26">
        <f t="shared" si="1"/>
        <v>0</v>
      </c>
      <c r="K70" s="27">
        <f t="shared" si="2"/>
        <v>0</v>
      </c>
      <c r="L70" s="21"/>
    </row>
    <row r="71" spans="2:12" x14ac:dyDescent="0.2">
      <c r="B71" s="19"/>
      <c r="C71" s="11"/>
      <c r="D71" s="11"/>
      <c r="E71" s="11"/>
      <c r="F71" s="24">
        <f t="shared" si="3"/>
        <v>1978</v>
      </c>
      <c r="G71" s="25">
        <v>1</v>
      </c>
      <c r="H71" s="26">
        <f t="shared" si="4"/>
        <v>0</v>
      </c>
      <c r="I71" s="26">
        <f t="shared" ref="I71:I134" si="5">$D$10</f>
        <v>0</v>
      </c>
      <c r="J71" s="26">
        <f t="shared" ref="J71:J134" si="6">(H71*$D$8)/12</f>
        <v>0</v>
      </c>
      <c r="K71" s="27">
        <f t="shared" ref="K71:K134" si="7">I71-J71</f>
        <v>0</v>
      </c>
      <c r="L71" s="21"/>
    </row>
    <row r="72" spans="2:12" x14ac:dyDescent="0.2">
      <c r="B72" s="19"/>
      <c r="C72" s="11"/>
      <c r="D72" s="11"/>
      <c r="E72" s="11"/>
      <c r="F72" s="24">
        <f t="shared" ref="F72:F135" si="8">EOMONTH(F71,1)</f>
        <v>2008</v>
      </c>
      <c r="G72" s="32">
        <v>1</v>
      </c>
      <c r="H72" s="26">
        <f t="shared" ref="H72:H135" si="9">H71-K71</f>
        <v>0</v>
      </c>
      <c r="I72" s="26">
        <f t="shared" si="5"/>
        <v>0</v>
      </c>
      <c r="J72" s="26">
        <f t="shared" si="6"/>
        <v>0</v>
      </c>
      <c r="K72" s="27">
        <f t="shared" si="7"/>
        <v>0</v>
      </c>
      <c r="L72" s="21"/>
    </row>
    <row r="73" spans="2:12" x14ac:dyDescent="0.2">
      <c r="B73" s="19"/>
      <c r="C73" s="11"/>
      <c r="D73" s="11"/>
      <c r="E73" s="11"/>
      <c r="F73" s="24">
        <f t="shared" si="8"/>
        <v>2039</v>
      </c>
      <c r="G73" s="25">
        <v>1</v>
      </c>
      <c r="H73" s="26">
        <f t="shared" si="9"/>
        <v>0</v>
      </c>
      <c r="I73" s="26">
        <f t="shared" si="5"/>
        <v>0</v>
      </c>
      <c r="J73" s="26">
        <f t="shared" si="6"/>
        <v>0</v>
      </c>
      <c r="K73" s="27">
        <f t="shared" si="7"/>
        <v>0</v>
      </c>
      <c r="L73" s="21"/>
    </row>
    <row r="74" spans="2:12" x14ac:dyDescent="0.2">
      <c r="B74" s="19"/>
      <c r="C74" s="11"/>
      <c r="D74" s="11"/>
      <c r="E74" s="11"/>
      <c r="F74" s="24">
        <f t="shared" si="8"/>
        <v>2070</v>
      </c>
      <c r="G74" s="32">
        <v>1</v>
      </c>
      <c r="H74" s="26">
        <f t="shared" si="9"/>
        <v>0</v>
      </c>
      <c r="I74" s="26">
        <f t="shared" si="5"/>
        <v>0</v>
      </c>
      <c r="J74" s="26">
        <f t="shared" si="6"/>
        <v>0</v>
      </c>
      <c r="K74" s="27">
        <f t="shared" si="7"/>
        <v>0</v>
      </c>
      <c r="L74" s="21"/>
    </row>
    <row r="75" spans="2:12" x14ac:dyDescent="0.2">
      <c r="B75" s="19"/>
      <c r="C75" s="11"/>
      <c r="D75" s="11"/>
      <c r="E75" s="11"/>
      <c r="F75" s="24">
        <f t="shared" si="8"/>
        <v>2100</v>
      </c>
      <c r="G75" s="25">
        <v>1</v>
      </c>
      <c r="H75" s="26">
        <f t="shared" si="9"/>
        <v>0</v>
      </c>
      <c r="I75" s="26">
        <f t="shared" si="5"/>
        <v>0</v>
      </c>
      <c r="J75" s="26">
        <f t="shared" si="6"/>
        <v>0</v>
      </c>
      <c r="K75" s="27">
        <f t="shared" si="7"/>
        <v>0</v>
      </c>
      <c r="L75" s="21"/>
    </row>
    <row r="76" spans="2:12" x14ac:dyDescent="0.2">
      <c r="B76" s="19"/>
      <c r="C76" s="11"/>
      <c r="D76" s="11"/>
      <c r="E76" s="11"/>
      <c r="F76" s="24">
        <f t="shared" si="8"/>
        <v>2131</v>
      </c>
      <c r="G76" s="32">
        <v>1</v>
      </c>
      <c r="H76" s="26">
        <f t="shared" si="9"/>
        <v>0</v>
      </c>
      <c r="I76" s="26">
        <f t="shared" si="5"/>
        <v>0</v>
      </c>
      <c r="J76" s="26">
        <f t="shared" si="6"/>
        <v>0</v>
      </c>
      <c r="K76" s="27">
        <f t="shared" si="7"/>
        <v>0</v>
      </c>
      <c r="L76" s="21"/>
    </row>
    <row r="77" spans="2:12" x14ac:dyDescent="0.2">
      <c r="B77" s="19"/>
      <c r="C77" s="11"/>
      <c r="D77" s="11"/>
      <c r="E77" s="11"/>
      <c r="F77" s="24">
        <f t="shared" si="8"/>
        <v>2161</v>
      </c>
      <c r="G77" s="25">
        <v>1</v>
      </c>
      <c r="H77" s="26">
        <f t="shared" si="9"/>
        <v>0</v>
      </c>
      <c r="I77" s="26">
        <f t="shared" si="5"/>
        <v>0</v>
      </c>
      <c r="J77" s="26">
        <f t="shared" si="6"/>
        <v>0</v>
      </c>
      <c r="K77" s="27">
        <f t="shared" si="7"/>
        <v>0</v>
      </c>
      <c r="L77" s="21"/>
    </row>
    <row r="78" spans="2:12" x14ac:dyDescent="0.2">
      <c r="B78" s="19"/>
      <c r="C78" s="11"/>
      <c r="D78" s="11"/>
      <c r="E78" s="11"/>
      <c r="F78" s="24">
        <f t="shared" si="8"/>
        <v>2192</v>
      </c>
      <c r="G78" s="32">
        <v>1</v>
      </c>
      <c r="H78" s="26">
        <f t="shared" si="9"/>
        <v>0</v>
      </c>
      <c r="I78" s="26">
        <f t="shared" si="5"/>
        <v>0</v>
      </c>
      <c r="J78" s="26">
        <f t="shared" si="6"/>
        <v>0</v>
      </c>
      <c r="K78" s="27">
        <f t="shared" si="7"/>
        <v>0</v>
      </c>
      <c r="L78" s="21"/>
    </row>
    <row r="79" spans="2:12" x14ac:dyDescent="0.2">
      <c r="B79" s="19"/>
      <c r="C79" s="11"/>
      <c r="D79" s="11"/>
      <c r="E79" s="11"/>
      <c r="F79" s="24">
        <f t="shared" si="8"/>
        <v>2223</v>
      </c>
      <c r="G79" s="25">
        <v>1</v>
      </c>
      <c r="H79" s="26">
        <f t="shared" si="9"/>
        <v>0</v>
      </c>
      <c r="I79" s="26">
        <f t="shared" si="5"/>
        <v>0</v>
      </c>
      <c r="J79" s="26">
        <f t="shared" si="6"/>
        <v>0</v>
      </c>
      <c r="K79" s="27">
        <f t="shared" si="7"/>
        <v>0</v>
      </c>
      <c r="L79" s="21"/>
    </row>
    <row r="80" spans="2:12" x14ac:dyDescent="0.2">
      <c r="B80" s="19"/>
      <c r="C80" s="11"/>
      <c r="D80" s="11"/>
      <c r="E80" s="11"/>
      <c r="F80" s="24">
        <f t="shared" si="8"/>
        <v>2251</v>
      </c>
      <c r="G80" s="32">
        <v>1</v>
      </c>
      <c r="H80" s="26">
        <f t="shared" si="9"/>
        <v>0</v>
      </c>
      <c r="I80" s="26">
        <f t="shared" si="5"/>
        <v>0</v>
      </c>
      <c r="J80" s="26">
        <f t="shared" si="6"/>
        <v>0</v>
      </c>
      <c r="K80" s="27">
        <f t="shared" si="7"/>
        <v>0</v>
      </c>
      <c r="L80" s="21"/>
    </row>
    <row r="81" spans="2:12" x14ac:dyDescent="0.2">
      <c r="B81" s="19"/>
      <c r="C81" s="11"/>
      <c r="D81" s="11"/>
      <c r="E81" s="11"/>
      <c r="F81" s="24">
        <f t="shared" si="8"/>
        <v>2282</v>
      </c>
      <c r="G81" s="25">
        <v>1</v>
      </c>
      <c r="H81" s="26">
        <f t="shared" si="9"/>
        <v>0</v>
      </c>
      <c r="I81" s="26">
        <f t="shared" si="5"/>
        <v>0</v>
      </c>
      <c r="J81" s="26">
        <f t="shared" si="6"/>
        <v>0</v>
      </c>
      <c r="K81" s="27">
        <f t="shared" si="7"/>
        <v>0</v>
      </c>
      <c r="L81" s="21"/>
    </row>
    <row r="82" spans="2:12" x14ac:dyDescent="0.2">
      <c r="B82" s="19"/>
      <c r="C82" s="11"/>
      <c r="D82" s="11"/>
      <c r="E82" s="11"/>
      <c r="F82" s="24">
        <f t="shared" si="8"/>
        <v>2312</v>
      </c>
      <c r="G82" s="32">
        <v>1</v>
      </c>
      <c r="H82" s="26">
        <f t="shared" si="9"/>
        <v>0</v>
      </c>
      <c r="I82" s="26">
        <f t="shared" si="5"/>
        <v>0</v>
      </c>
      <c r="J82" s="26">
        <f t="shared" si="6"/>
        <v>0</v>
      </c>
      <c r="K82" s="27">
        <f t="shared" si="7"/>
        <v>0</v>
      </c>
      <c r="L82" s="21"/>
    </row>
    <row r="83" spans="2:12" x14ac:dyDescent="0.2">
      <c r="B83" s="19"/>
      <c r="C83" s="11"/>
      <c r="D83" s="11"/>
      <c r="E83" s="11"/>
      <c r="F83" s="24">
        <f t="shared" si="8"/>
        <v>2343</v>
      </c>
      <c r="G83" s="25">
        <v>1</v>
      </c>
      <c r="H83" s="26">
        <f t="shared" si="9"/>
        <v>0</v>
      </c>
      <c r="I83" s="26">
        <f t="shared" si="5"/>
        <v>0</v>
      </c>
      <c r="J83" s="26">
        <f t="shared" si="6"/>
        <v>0</v>
      </c>
      <c r="K83" s="27">
        <f t="shared" si="7"/>
        <v>0</v>
      </c>
      <c r="L83" s="21"/>
    </row>
    <row r="84" spans="2:12" x14ac:dyDescent="0.2">
      <c r="B84" s="19"/>
      <c r="C84" s="11"/>
      <c r="D84" s="11"/>
      <c r="E84" s="11"/>
      <c r="F84" s="24">
        <f t="shared" si="8"/>
        <v>2373</v>
      </c>
      <c r="G84" s="32">
        <v>1</v>
      </c>
      <c r="H84" s="26">
        <f t="shared" si="9"/>
        <v>0</v>
      </c>
      <c r="I84" s="26">
        <f t="shared" si="5"/>
        <v>0</v>
      </c>
      <c r="J84" s="26">
        <f t="shared" si="6"/>
        <v>0</v>
      </c>
      <c r="K84" s="27">
        <f t="shared" si="7"/>
        <v>0</v>
      </c>
      <c r="L84" s="21"/>
    </row>
    <row r="85" spans="2:12" x14ac:dyDescent="0.2">
      <c r="B85" s="19"/>
      <c r="C85" s="11"/>
      <c r="D85" s="11"/>
      <c r="E85" s="11"/>
      <c r="F85" s="24">
        <f t="shared" si="8"/>
        <v>2404</v>
      </c>
      <c r="G85" s="25">
        <v>1</v>
      </c>
      <c r="H85" s="26">
        <f t="shared" si="9"/>
        <v>0</v>
      </c>
      <c r="I85" s="26">
        <f t="shared" si="5"/>
        <v>0</v>
      </c>
      <c r="J85" s="26">
        <f t="shared" si="6"/>
        <v>0</v>
      </c>
      <c r="K85" s="27">
        <f t="shared" si="7"/>
        <v>0</v>
      </c>
      <c r="L85" s="21"/>
    </row>
    <row r="86" spans="2:12" x14ac:dyDescent="0.2">
      <c r="B86" s="19"/>
      <c r="C86" s="11"/>
      <c r="D86" s="11"/>
      <c r="E86" s="11"/>
      <c r="F86" s="24">
        <f t="shared" si="8"/>
        <v>2435</v>
      </c>
      <c r="G86" s="32">
        <v>1</v>
      </c>
      <c r="H86" s="26">
        <f t="shared" si="9"/>
        <v>0</v>
      </c>
      <c r="I86" s="26">
        <f t="shared" si="5"/>
        <v>0</v>
      </c>
      <c r="J86" s="26">
        <f t="shared" si="6"/>
        <v>0</v>
      </c>
      <c r="K86" s="27">
        <f t="shared" si="7"/>
        <v>0</v>
      </c>
      <c r="L86" s="21"/>
    </row>
    <row r="87" spans="2:12" x14ac:dyDescent="0.2">
      <c r="B87" s="19"/>
      <c r="C87" s="11"/>
      <c r="D87" s="11"/>
      <c r="E87" s="11"/>
      <c r="F87" s="24">
        <f t="shared" si="8"/>
        <v>2465</v>
      </c>
      <c r="G87" s="25">
        <v>1</v>
      </c>
      <c r="H87" s="26">
        <f t="shared" si="9"/>
        <v>0</v>
      </c>
      <c r="I87" s="26">
        <f t="shared" si="5"/>
        <v>0</v>
      </c>
      <c r="J87" s="26">
        <f t="shared" si="6"/>
        <v>0</v>
      </c>
      <c r="K87" s="27">
        <f t="shared" si="7"/>
        <v>0</v>
      </c>
      <c r="L87" s="21"/>
    </row>
    <row r="88" spans="2:12" x14ac:dyDescent="0.2">
      <c r="B88" s="19"/>
      <c r="C88" s="11"/>
      <c r="D88" s="11"/>
      <c r="E88" s="11"/>
      <c r="F88" s="24">
        <f t="shared" si="8"/>
        <v>2496</v>
      </c>
      <c r="G88" s="32">
        <v>1</v>
      </c>
      <c r="H88" s="26">
        <f t="shared" si="9"/>
        <v>0</v>
      </c>
      <c r="I88" s="26">
        <f t="shared" si="5"/>
        <v>0</v>
      </c>
      <c r="J88" s="26">
        <f t="shared" si="6"/>
        <v>0</v>
      </c>
      <c r="K88" s="27">
        <f t="shared" si="7"/>
        <v>0</v>
      </c>
      <c r="L88" s="21"/>
    </row>
    <row r="89" spans="2:12" x14ac:dyDescent="0.2">
      <c r="B89" s="19"/>
      <c r="C89" s="11"/>
      <c r="D89" s="11"/>
      <c r="E89" s="11"/>
      <c r="F89" s="24">
        <f t="shared" si="8"/>
        <v>2526</v>
      </c>
      <c r="G89" s="25">
        <v>1</v>
      </c>
      <c r="H89" s="26">
        <f t="shared" si="9"/>
        <v>0</v>
      </c>
      <c r="I89" s="26">
        <f t="shared" si="5"/>
        <v>0</v>
      </c>
      <c r="J89" s="26">
        <f t="shared" si="6"/>
        <v>0</v>
      </c>
      <c r="K89" s="27">
        <f t="shared" si="7"/>
        <v>0</v>
      </c>
      <c r="L89" s="21"/>
    </row>
    <row r="90" spans="2:12" x14ac:dyDescent="0.2">
      <c r="B90" s="19"/>
      <c r="C90" s="11"/>
      <c r="D90" s="11"/>
      <c r="E90" s="11"/>
      <c r="F90" s="24">
        <f t="shared" si="8"/>
        <v>2557</v>
      </c>
      <c r="G90" s="32">
        <v>1</v>
      </c>
      <c r="H90" s="26">
        <f t="shared" si="9"/>
        <v>0</v>
      </c>
      <c r="I90" s="26">
        <f t="shared" si="5"/>
        <v>0</v>
      </c>
      <c r="J90" s="26">
        <f t="shared" si="6"/>
        <v>0</v>
      </c>
      <c r="K90" s="27">
        <f t="shared" si="7"/>
        <v>0</v>
      </c>
      <c r="L90" s="21"/>
    </row>
    <row r="91" spans="2:12" x14ac:dyDescent="0.2">
      <c r="B91" s="19"/>
      <c r="C91" s="11"/>
      <c r="D91" s="11"/>
      <c r="E91" s="11"/>
      <c r="F91" s="24">
        <f t="shared" si="8"/>
        <v>2588</v>
      </c>
      <c r="G91" s="25">
        <v>1</v>
      </c>
      <c r="H91" s="26">
        <f t="shared" si="9"/>
        <v>0</v>
      </c>
      <c r="I91" s="26">
        <f t="shared" si="5"/>
        <v>0</v>
      </c>
      <c r="J91" s="26">
        <f t="shared" si="6"/>
        <v>0</v>
      </c>
      <c r="K91" s="27">
        <f t="shared" si="7"/>
        <v>0</v>
      </c>
      <c r="L91" s="21"/>
    </row>
    <row r="92" spans="2:12" x14ac:dyDescent="0.2">
      <c r="B92" s="19"/>
      <c r="C92" s="11"/>
      <c r="D92" s="11"/>
      <c r="E92" s="11"/>
      <c r="F92" s="24">
        <f t="shared" si="8"/>
        <v>2616</v>
      </c>
      <c r="G92" s="32">
        <v>1</v>
      </c>
      <c r="H92" s="26">
        <f t="shared" si="9"/>
        <v>0</v>
      </c>
      <c r="I92" s="26">
        <f t="shared" si="5"/>
        <v>0</v>
      </c>
      <c r="J92" s="26">
        <f t="shared" si="6"/>
        <v>0</v>
      </c>
      <c r="K92" s="27">
        <f t="shared" si="7"/>
        <v>0</v>
      </c>
      <c r="L92" s="21"/>
    </row>
    <row r="93" spans="2:12" x14ac:dyDescent="0.2">
      <c r="B93" s="19"/>
      <c r="C93" s="11"/>
      <c r="D93" s="11"/>
      <c r="E93" s="11"/>
      <c r="F93" s="24">
        <f t="shared" si="8"/>
        <v>2647</v>
      </c>
      <c r="G93" s="25">
        <v>1</v>
      </c>
      <c r="H93" s="26">
        <f t="shared" si="9"/>
        <v>0</v>
      </c>
      <c r="I93" s="26">
        <f t="shared" si="5"/>
        <v>0</v>
      </c>
      <c r="J93" s="26">
        <f t="shared" si="6"/>
        <v>0</v>
      </c>
      <c r="K93" s="27">
        <f t="shared" si="7"/>
        <v>0</v>
      </c>
      <c r="L93" s="21"/>
    </row>
    <row r="94" spans="2:12" x14ac:dyDescent="0.2">
      <c r="B94" s="19"/>
      <c r="C94" s="11"/>
      <c r="D94" s="11"/>
      <c r="E94" s="11"/>
      <c r="F94" s="24">
        <f t="shared" si="8"/>
        <v>2677</v>
      </c>
      <c r="G94" s="32">
        <v>1</v>
      </c>
      <c r="H94" s="26">
        <f t="shared" si="9"/>
        <v>0</v>
      </c>
      <c r="I94" s="26">
        <f t="shared" si="5"/>
        <v>0</v>
      </c>
      <c r="J94" s="26">
        <f t="shared" si="6"/>
        <v>0</v>
      </c>
      <c r="K94" s="27">
        <f t="shared" si="7"/>
        <v>0</v>
      </c>
      <c r="L94" s="21"/>
    </row>
    <row r="95" spans="2:12" x14ac:dyDescent="0.2">
      <c r="B95" s="19"/>
      <c r="C95" s="11"/>
      <c r="D95" s="11"/>
      <c r="E95" s="11"/>
      <c r="F95" s="24">
        <f t="shared" si="8"/>
        <v>2708</v>
      </c>
      <c r="G95" s="25">
        <v>1</v>
      </c>
      <c r="H95" s="26">
        <f t="shared" si="9"/>
        <v>0</v>
      </c>
      <c r="I95" s="26">
        <f t="shared" si="5"/>
        <v>0</v>
      </c>
      <c r="J95" s="26">
        <f t="shared" si="6"/>
        <v>0</v>
      </c>
      <c r="K95" s="27">
        <f t="shared" si="7"/>
        <v>0</v>
      </c>
      <c r="L95" s="21"/>
    </row>
    <row r="96" spans="2:12" x14ac:dyDescent="0.2">
      <c r="B96" s="19"/>
      <c r="C96" s="11"/>
      <c r="D96" s="11"/>
      <c r="E96" s="11"/>
      <c r="F96" s="24">
        <f t="shared" si="8"/>
        <v>2738</v>
      </c>
      <c r="G96" s="32">
        <v>1</v>
      </c>
      <c r="H96" s="26">
        <f t="shared" si="9"/>
        <v>0</v>
      </c>
      <c r="I96" s="26">
        <f t="shared" si="5"/>
        <v>0</v>
      </c>
      <c r="J96" s="26">
        <f t="shared" si="6"/>
        <v>0</v>
      </c>
      <c r="K96" s="27">
        <f t="shared" si="7"/>
        <v>0</v>
      </c>
      <c r="L96" s="21"/>
    </row>
    <row r="97" spans="2:12" x14ac:dyDescent="0.2">
      <c r="B97" s="19"/>
      <c r="C97" s="11"/>
      <c r="D97" s="11"/>
      <c r="E97" s="11"/>
      <c r="F97" s="24">
        <f t="shared" si="8"/>
        <v>2769</v>
      </c>
      <c r="G97" s="25">
        <v>1</v>
      </c>
      <c r="H97" s="26">
        <f t="shared" si="9"/>
        <v>0</v>
      </c>
      <c r="I97" s="26">
        <f t="shared" si="5"/>
        <v>0</v>
      </c>
      <c r="J97" s="26">
        <f t="shared" si="6"/>
        <v>0</v>
      </c>
      <c r="K97" s="27">
        <f t="shared" si="7"/>
        <v>0</v>
      </c>
      <c r="L97" s="21"/>
    </row>
    <row r="98" spans="2:12" x14ac:dyDescent="0.2">
      <c r="B98" s="19"/>
      <c r="C98" s="11"/>
      <c r="D98" s="11"/>
      <c r="E98" s="11"/>
      <c r="F98" s="24">
        <f t="shared" si="8"/>
        <v>2800</v>
      </c>
      <c r="G98" s="32">
        <v>1</v>
      </c>
      <c r="H98" s="26">
        <f t="shared" si="9"/>
        <v>0</v>
      </c>
      <c r="I98" s="26">
        <f t="shared" si="5"/>
        <v>0</v>
      </c>
      <c r="J98" s="26">
        <f t="shared" si="6"/>
        <v>0</v>
      </c>
      <c r="K98" s="27">
        <f t="shared" si="7"/>
        <v>0</v>
      </c>
      <c r="L98" s="21"/>
    </row>
    <row r="99" spans="2:12" x14ac:dyDescent="0.2">
      <c r="B99" s="19"/>
      <c r="C99" s="11"/>
      <c r="D99" s="11"/>
      <c r="E99" s="11"/>
      <c r="F99" s="24">
        <f t="shared" si="8"/>
        <v>2830</v>
      </c>
      <c r="G99" s="25">
        <v>1</v>
      </c>
      <c r="H99" s="26">
        <f t="shared" si="9"/>
        <v>0</v>
      </c>
      <c r="I99" s="26">
        <f t="shared" si="5"/>
        <v>0</v>
      </c>
      <c r="J99" s="26">
        <f t="shared" si="6"/>
        <v>0</v>
      </c>
      <c r="K99" s="27">
        <f t="shared" si="7"/>
        <v>0</v>
      </c>
      <c r="L99" s="21"/>
    </row>
    <row r="100" spans="2:12" x14ac:dyDescent="0.2">
      <c r="B100" s="19"/>
      <c r="C100" s="11"/>
      <c r="D100" s="11"/>
      <c r="E100" s="11"/>
      <c r="F100" s="24">
        <f t="shared" si="8"/>
        <v>2861</v>
      </c>
      <c r="G100" s="32">
        <v>1</v>
      </c>
      <c r="H100" s="26">
        <f t="shared" si="9"/>
        <v>0</v>
      </c>
      <c r="I100" s="26">
        <f t="shared" si="5"/>
        <v>0</v>
      </c>
      <c r="J100" s="26">
        <f t="shared" si="6"/>
        <v>0</v>
      </c>
      <c r="K100" s="27">
        <f t="shared" si="7"/>
        <v>0</v>
      </c>
      <c r="L100" s="21"/>
    </row>
    <row r="101" spans="2:12" x14ac:dyDescent="0.2">
      <c r="B101" s="19"/>
      <c r="C101" s="11"/>
      <c r="D101" s="11"/>
      <c r="E101" s="11"/>
      <c r="F101" s="24">
        <f t="shared" si="8"/>
        <v>2891</v>
      </c>
      <c r="G101" s="25">
        <v>1</v>
      </c>
      <c r="H101" s="26">
        <f t="shared" si="9"/>
        <v>0</v>
      </c>
      <c r="I101" s="26">
        <f t="shared" si="5"/>
        <v>0</v>
      </c>
      <c r="J101" s="26">
        <f t="shared" si="6"/>
        <v>0</v>
      </c>
      <c r="K101" s="27">
        <f t="shared" si="7"/>
        <v>0</v>
      </c>
      <c r="L101" s="21"/>
    </row>
    <row r="102" spans="2:12" x14ac:dyDescent="0.2">
      <c r="B102" s="19"/>
      <c r="C102" s="11"/>
      <c r="D102" s="11"/>
      <c r="E102" s="11"/>
      <c r="F102" s="24">
        <f t="shared" si="8"/>
        <v>2922</v>
      </c>
      <c r="G102" s="32">
        <v>1</v>
      </c>
      <c r="H102" s="26">
        <f t="shared" si="9"/>
        <v>0</v>
      </c>
      <c r="I102" s="26">
        <f t="shared" si="5"/>
        <v>0</v>
      </c>
      <c r="J102" s="26">
        <f t="shared" si="6"/>
        <v>0</v>
      </c>
      <c r="K102" s="27">
        <f t="shared" si="7"/>
        <v>0</v>
      </c>
      <c r="L102" s="21"/>
    </row>
    <row r="103" spans="2:12" x14ac:dyDescent="0.2">
      <c r="B103" s="19"/>
      <c r="C103" s="11"/>
      <c r="D103" s="11"/>
      <c r="E103" s="11"/>
      <c r="F103" s="24">
        <f t="shared" si="8"/>
        <v>2953</v>
      </c>
      <c r="G103" s="25">
        <v>1</v>
      </c>
      <c r="H103" s="26">
        <f t="shared" si="9"/>
        <v>0</v>
      </c>
      <c r="I103" s="26">
        <f t="shared" si="5"/>
        <v>0</v>
      </c>
      <c r="J103" s="26">
        <f t="shared" si="6"/>
        <v>0</v>
      </c>
      <c r="K103" s="27">
        <f t="shared" si="7"/>
        <v>0</v>
      </c>
      <c r="L103" s="21"/>
    </row>
    <row r="104" spans="2:12" x14ac:dyDescent="0.2">
      <c r="B104" s="19"/>
      <c r="C104" s="11"/>
      <c r="D104" s="11"/>
      <c r="E104" s="11"/>
      <c r="F104" s="24">
        <f t="shared" si="8"/>
        <v>2982</v>
      </c>
      <c r="G104" s="32">
        <v>1</v>
      </c>
      <c r="H104" s="26">
        <f t="shared" si="9"/>
        <v>0</v>
      </c>
      <c r="I104" s="26">
        <f t="shared" si="5"/>
        <v>0</v>
      </c>
      <c r="J104" s="26">
        <f t="shared" si="6"/>
        <v>0</v>
      </c>
      <c r="K104" s="27">
        <f t="shared" si="7"/>
        <v>0</v>
      </c>
      <c r="L104" s="21"/>
    </row>
    <row r="105" spans="2:12" x14ac:dyDescent="0.2">
      <c r="B105" s="19"/>
      <c r="C105" s="11"/>
      <c r="D105" s="11"/>
      <c r="E105" s="11"/>
      <c r="F105" s="24">
        <f t="shared" si="8"/>
        <v>3013</v>
      </c>
      <c r="G105" s="25">
        <v>1</v>
      </c>
      <c r="H105" s="26">
        <f t="shared" si="9"/>
        <v>0</v>
      </c>
      <c r="I105" s="26">
        <f t="shared" si="5"/>
        <v>0</v>
      </c>
      <c r="J105" s="26">
        <f t="shared" si="6"/>
        <v>0</v>
      </c>
      <c r="K105" s="27">
        <f t="shared" si="7"/>
        <v>0</v>
      </c>
      <c r="L105" s="21"/>
    </row>
    <row r="106" spans="2:12" x14ac:dyDescent="0.2">
      <c r="B106" s="19"/>
      <c r="C106" s="11"/>
      <c r="D106" s="11"/>
      <c r="E106" s="11"/>
      <c r="F106" s="24">
        <f t="shared" si="8"/>
        <v>3043</v>
      </c>
      <c r="G106" s="32">
        <v>1</v>
      </c>
      <c r="H106" s="26">
        <f t="shared" si="9"/>
        <v>0</v>
      </c>
      <c r="I106" s="26">
        <f t="shared" si="5"/>
        <v>0</v>
      </c>
      <c r="J106" s="26">
        <f t="shared" si="6"/>
        <v>0</v>
      </c>
      <c r="K106" s="27">
        <f t="shared" si="7"/>
        <v>0</v>
      </c>
      <c r="L106" s="21"/>
    </row>
    <row r="107" spans="2:12" x14ac:dyDescent="0.2">
      <c r="B107" s="19"/>
      <c r="C107" s="11"/>
      <c r="D107" s="11"/>
      <c r="E107" s="11"/>
      <c r="F107" s="24">
        <f t="shared" si="8"/>
        <v>3074</v>
      </c>
      <c r="G107" s="25">
        <v>1</v>
      </c>
      <c r="H107" s="26">
        <f t="shared" si="9"/>
        <v>0</v>
      </c>
      <c r="I107" s="26">
        <f t="shared" si="5"/>
        <v>0</v>
      </c>
      <c r="J107" s="26">
        <f t="shared" si="6"/>
        <v>0</v>
      </c>
      <c r="K107" s="27">
        <f t="shared" si="7"/>
        <v>0</v>
      </c>
      <c r="L107" s="21"/>
    </row>
    <row r="108" spans="2:12" x14ac:dyDescent="0.2">
      <c r="B108" s="19"/>
      <c r="C108" s="11"/>
      <c r="D108" s="11"/>
      <c r="E108" s="11"/>
      <c r="F108" s="24">
        <f t="shared" si="8"/>
        <v>3104</v>
      </c>
      <c r="G108" s="32">
        <v>1</v>
      </c>
      <c r="H108" s="26">
        <f t="shared" si="9"/>
        <v>0</v>
      </c>
      <c r="I108" s="26">
        <f t="shared" si="5"/>
        <v>0</v>
      </c>
      <c r="J108" s="26">
        <f t="shared" si="6"/>
        <v>0</v>
      </c>
      <c r="K108" s="27">
        <f t="shared" si="7"/>
        <v>0</v>
      </c>
      <c r="L108" s="21"/>
    </row>
    <row r="109" spans="2:12" x14ac:dyDescent="0.2">
      <c r="B109" s="19"/>
      <c r="C109" s="11"/>
      <c r="D109" s="11"/>
      <c r="E109" s="11"/>
      <c r="F109" s="24">
        <f t="shared" si="8"/>
        <v>3135</v>
      </c>
      <c r="G109" s="25">
        <v>1</v>
      </c>
      <c r="H109" s="26">
        <f t="shared" si="9"/>
        <v>0</v>
      </c>
      <c r="I109" s="26">
        <f t="shared" si="5"/>
        <v>0</v>
      </c>
      <c r="J109" s="26">
        <f t="shared" si="6"/>
        <v>0</v>
      </c>
      <c r="K109" s="27">
        <f t="shared" si="7"/>
        <v>0</v>
      </c>
      <c r="L109" s="21"/>
    </row>
    <row r="110" spans="2:12" x14ac:dyDescent="0.2">
      <c r="B110" s="19"/>
      <c r="C110" s="11"/>
      <c r="D110" s="11"/>
      <c r="E110" s="11"/>
      <c r="F110" s="24">
        <f t="shared" si="8"/>
        <v>3166</v>
      </c>
      <c r="G110" s="32">
        <v>1</v>
      </c>
      <c r="H110" s="26">
        <f t="shared" si="9"/>
        <v>0</v>
      </c>
      <c r="I110" s="26">
        <f t="shared" si="5"/>
        <v>0</v>
      </c>
      <c r="J110" s="26">
        <f t="shared" si="6"/>
        <v>0</v>
      </c>
      <c r="K110" s="27">
        <f t="shared" si="7"/>
        <v>0</v>
      </c>
      <c r="L110" s="21"/>
    </row>
    <row r="111" spans="2:12" x14ac:dyDescent="0.2">
      <c r="B111" s="19"/>
      <c r="C111" s="11"/>
      <c r="D111" s="11"/>
      <c r="E111" s="11"/>
      <c r="F111" s="24">
        <f t="shared" si="8"/>
        <v>3196</v>
      </c>
      <c r="G111" s="25">
        <v>1</v>
      </c>
      <c r="H111" s="26">
        <f t="shared" si="9"/>
        <v>0</v>
      </c>
      <c r="I111" s="26">
        <f t="shared" si="5"/>
        <v>0</v>
      </c>
      <c r="J111" s="26">
        <f t="shared" si="6"/>
        <v>0</v>
      </c>
      <c r="K111" s="27">
        <f t="shared" si="7"/>
        <v>0</v>
      </c>
      <c r="L111" s="21"/>
    </row>
    <row r="112" spans="2:12" x14ac:dyDescent="0.2">
      <c r="B112" s="19"/>
      <c r="C112" s="11"/>
      <c r="D112" s="11"/>
      <c r="E112" s="11"/>
      <c r="F112" s="24">
        <f t="shared" si="8"/>
        <v>3227</v>
      </c>
      <c r="G112" s="32">
        <v>1</v>
      </c>
      <c r="H112" s="26">
        <f t="shared" si="9"/>
        <v>0</v>
      </c>
      <c r="I112" s="26">
        <f t="shared" si="5"/>
        <v>0</v>
      </c>
      <c r="J112" s="26">
        <f t="shared" si="6"/>
        <v>0</v>
      </c>
      <c r="K112" s="27">
        <f t="shared" si="7"/>
        <v>0</v>
      </c>
      <c r="L112" s="21"/>
    </row>
    <row r="113" spans="2:12" x14ac:dyDescent="0.2">
      <c r="B113" s="19"/>
      <c r="C113" s="11"/>
      <c r="D113" s="11"/>
      <c r="E113" s="11"/>
      <c r="F113" s="24">
        <f t="shared" si="8"/>
        <v>3257</v>
      </c>
      <c r="G113" s="25">
        <v>1</v>
      </c>
      <c r="H113" s="26">
        <f t="shared" si="9"/>
        <v>0</v>
      </c>
      <c r="I113" s="26">
        <f t="shared" si="5"/>
        <v>0</v>
      </c>
      <c r="J113" s="26">
        <f t="shared" si="6"/>
        <v>0</v>
      </c>
      <c r="K113" s="27">
        <f t="shared" si="7"/>
        <v>0</v>
      </c>
      <c r="L113" s="21"/>
    </row>
    <row r="114" spans="2:12" x14ac:dyDescent="0.2">
      <c r="B114" s="19"/>
      <c r="C114" s="11"/>
      <c r="D114" s="11"/>
      <c r="E114" s="11"/>
      <c r="F114" s="24">
        <f t="shared" si="8"/>
        <v>3288</v>
      </c>
      <c r="G114" s="32">
        <v>1</v>
      </c>
      <c r="H114" s="26">
        <f t="shared" si="9"/>
        <v>0</v>
      </c>
      <c r="I114" s="26">
        <f t="shared" si="5"/>
        <v>0</v>
      </c>
      <c r="J114" s="26">
        <f t="shared" si="6"/>
        <v>0</v>
      </c>
      <c r="K114" s="27">
        <f t="shared" si="7"/>
        <v>0</v>
      </c>
      <c r="L114" s="21"/>
    </row>
    <row r="115" spans="2:12" x14ac:dyDescent="0.2">
      <c r="B115" s="19"/>
      <c r="C115" s="11"/>
      <c r="D115" s="11"/>
      <c r="E115" s="11"/>
      <c r="F115" s="24">
        <f t="shared" si="8"/>
        <v>3319</v>
      </c>
      <c r="G115" s="25">
        <v>1</v>
      </c>
      <c r="H115" s="26">
        <f t="shared" si="9"/>
        <v>0</v>
      </c>
      <c r="I115" s="26">
        <f t="shared" si="5"/>
        <v>0</v>
      </c>
      <c r="J115" s="26">
        <f t="shared" si="6"/>
        <v>0</v>
      </c>
      <c r="K115" s="27">
        <f t="shared" si="7"/>
        <v>0</v>
      </c>
      <c r="L115" s="21"/>
    </row>
    <row r="116" spans="2:12" x14ac:dyDescent="0.2">
      <c r="B116" s="19"/>
      <c r="C116" s="11"/>
      <c r="D116" s="11"/>
      <c r="E116" s="11"/>
      <c r="F116" s="24">
        <f t="shared" si="8"/>
        <v>3347</v>
      </c>
      <c r="G116" s="32">
        <v>1</v>
      </c>
      <c r="H116" s="26">
        <f t="shared" si="9"/>
        <v>0</v>
      </c>
      <c r="I116" s="26">
        <f t="shared" si="5"/>
        <v>0</v>
      </c>
      <c r="J116" s="26">
        <f t="shared" si="6"/>
        <v>0</v>
      </c>
      <c r="K116" s="27">
        <f t="shared" si="7"/>
        <v>0</v>
      </c>
      <c r="L116" s="21"/>
    </row>
    <row r="117" spans="2:12" x14ac:dyDescent="0.2">
      <c r="B117" s="19"/>
      <c r="C117" s="11"/>
      <c r="D117" s="11"/>
      <c r="E117" s="11"/>
      <c r="F117" s="24">
        <f t="shared" si="8"/>
        <v>3378</v>
      </c>
      <c r="G117" s="25">
        <v>1</v>
      </c>
      <c r="H117" s="26">
        <f t="shared" si="9"/>
        <v>0</v>
      </c>
      <c r="I117" s="26">
        <f t="shared" si="5"/>
        <v>0</v>
      </c>
      <c r="J117" s="26">
        <f t="shared" si="6"/>
        <v>0</v>
      </c>
      <c r="K117" s="27">
        <f t="shared" si="7"/>
        <v>0</v>
      </c>
      <c r="L117" s="21"/>
    </row>
    <row r="118" spans="2:12" x14ac:dyDescent="0.2">
      <c r="B118" s="19"/>
      <c r="C118" s="11"/>
      <c r="D118" s="11"/>
      <c r="E118" s="11"/>
      <c r="F118" s="24">
        <f t="shared" si="8"/>
        <v>3408</v>
      </c>
      <c r="G118" s="32">
        <v>1</v>
      </c>
      <c r="H118" s="26">
        <f t="shared" si="9"/>
        <v>0</v>
      </c>
      <c r="I118" s="26">
        <f t="shared" si="5"/>
        <v>0</v>
      </c>
      <c r="J118" s="26">
        <f t="shared" si="6"/>
        <v>0</v>
      </c>
      <c r="K118" s="27">
        <f t="shared" si="7"/>
        <v>0</v>
      </c>
      <c r="L118" s="21"/>
    </row>
    <row r="119" spans="2:12" x14ac:dyDescent="0.2">
      <c r="B119" s="19"/>
      <c r="C119" s="11"/>
      <c r="D119" s="11"/>
      <c r="E119" s="11"/>
      <c r="F119" s="24">
        <f t="shared" si="8"/>
        <v>3439</v>
      </c>
      <c r="G119" s="25">
        <v>1</v>
      </c>
      <c r="H119" s="26">
        <f t="shared" si="9"/>
        <v>0</v>
      </c>
      <c r="I119" s="26">
        <f t="shared" si="5"/>
        <v>0</v>
      </c>
      <c r="J119" s="26">
        <f t="shared" si="6"/>
        <v>0</v>
      </c>
      <c r="K119" s="27">
        <f t="shared" si="7"/>
        <v>0</v>
      </c>
      <c r="L119" s="21"/>
    </row>
    <row r="120" spans="2:12" x14ac:dyDescent="0.2">
      <c r="B120" s="19"/>
      <c r="C120" s="11"/>
      <c r="D120" s="11"/>
      <c r="E120" s="11"/>
      <c r="F120" s="24">
        <f t="shared" si="8"/>
        <v>3469</v>
      </c>
      <c r="G120" s="32">
        <v>1</v>
      </c>
      <c r="H120" s="26">
        <f t="shared" si="9"/>
        <v>0</v>
      </c>
      <c r="I120" s="26">
        <f t="shared" si="5"/>
        <v>0</v>
      </c>
      <c r="J120" s="26">
        <f t="shared" si="6"/>
        <v>0</v>
      </c>
      <c r="K120" s="27">
        <f t="shared" si="7"/>
        <v>0</v>
      </c>
      <c r="L120" s="21"/>
    </row>
    <row r="121" spans="2:12" x14ac:dyDescent="0.2">
      <c r="B121" s="19"/>
      <c r="C121" s="11"/>
      <c r="D121" s="11"/>
      <c r="E121" s="11"/>
      <c r="F121" s="24">
        <f t="shared" si="8"/>
        <v>3500</v>
      </c>
      <c r="G121" s="25">
        <v>1</v>
      </c>
      <c r="H121" s="26">
        <f t="shared" si="9"/>
        <v>0</v>
      </c>
      <c r="I121" s="26">
        <f t="shared" si="5"/>
        <v>0</v>
      </c>
      <c r="J121" s="26">
        <f t="shared" si="6"/>
        <v>0</v>
      </c>
      <c r="K121" s="27">
        <f t="shared" si="7"/>
        <v>0</v>
      </c>
      <c r="L121" s="21"/>
    </row>
    <row r="122" spans="2:12" x14ac:dyDescent="0.2">
      <c r="B122" s="19"/>
      <c r="C122" s="11"/>
      <c r="D122" s="11"/>
      <c r="E122" s="11"/>
      <c r="F122" s="24">
        <f t="shared" si="8"/>
        <v>3531</v>
      </c>
      <c r="G122" s="32">
        <v>1</v>
      </c>
      <c r="H122" s="26">
        <f t="shared" si="9"/>
        <v>0</v>
      </c>
      <c r="I122" s="26">
        <f t="shared" si="5"/>
        <v>0</v>
      </c>
      <c r="J122" s="26">
        <f t="shared" si="6"/>
        <v>0</v>
      </c>
      <c r="K122" s="27">
        <f t="shared" si="7"/>
        <v>0</v>
      </c>
      <c r="L122" s="21"/>
    </row>
    <row r="123" spans="2:12" x14ac:dyDescent="0.2">
      <c r="B123" s="19"/>
      <c r="C123" s="11"/>
      <c r="D123" s="11"/>
      <c r="E123" s="11"/>
      <c r="F123" s="24">
        <f t="shared" si="8"/>
        <v>3561</v>
      </c>
      <c r="G123" s="25">
        <v>1</v>
      </c>
      <c r="H123" s="26">
        <f t="shared" si="9"/>
        <v>0</v>
      </c>
      <c r="I123" s="26">
        <f t="shared" si="5"/>
        <v>0</v>
      </c>
      <c r="J123" s="26">
        <f t="shared" si="6"/>
        <v>0</v>
      </c>
      <c r="K123" s="27">
        <f t="shared" si="7"/>
        <v>0</v>
      </c>
      <c r="L123" s="21"/>
    </row>
    <row r="124" spans="2:12" x14ac:dyDescent="0.2">
      <c r="B124" s="19"/>
      <c r="C124" s="11"/>
      <c r="D124" s="11"/>
      <c r="E124" s="11"/>
      <c r="F124" s="24">
        <f t="shared" si="8"/>
        <v>3592</v>
      </c>
      <c r="G124" s="32">
        <v>1</v>
      </c>
      <c r="H124" s="26">
        <f t="shared" si="9"/>
        <v>0</v>
      </c>
      <c r="I124" s="26">
        <f t="shared" si="5"/>
        <v>0</v>
      </c>
      <c r="J124" s="26">
        <f t="shared" si="6"/>
        <v>0</v>
      </c>
      <c r="K124" s="27">
        <f t="shared" si="7"/>
        <v>0</v>
      </c>
      <c r="L124" s="21"/>
    </row>
    <row r="125" spans="2:12" x14ac:dyDescent="0.2">
      <c r="B125" s="19"/>
      <c r="C125" s="11"/>
      <c r="D125" s="11"/>
      <c r="E125" s="11"/>
      <c r="F125" s="24">
        <f t="shared" si="8"/>
        <v>3622</v>
      </c>
      <c r="G125" s="25">
        <v>1</v>
      </c>
      <c r="H125" s="26">
        <f t="shared" si="9"/>
        <v>0</v>
      </c>
      <c r="I125" s="26">
        <f t="shared" si="5"/>
        <v>0</v>
      </c>
      <c r="J125" s="26">
        <f t="shared" si="6"/>
        <v>0</v>
      </c>
      <c r="K125" s="27">
        <f t="shared" si="7"/>
        <v>0</v>
      </c>
      <c r="L125" s="21"/>
    </row>
    <row r="126" spans="2:12" x14ac:dyDescent="0.2">
      <c r="B126" s="19"/>
      <c r="C126" s="11"/>
      <c r="D126" s="11"/>
      <c r="E126" s="11"/>
      <c r="F126" s="24">
        <f t="shared" si="8"/>
        <v>3653</v>
      </c>
      <c r="G126" s="32">
        <v>1</v>
      </c>
      <c r="H126" s="26">
        <f t="shared" si="9"/>
        <v>0</v>
      </c>
      <c r="I126" s="26">
        <f t="shared" si="5"/>
        <v>0</v>
      </c>
      <c r="J126" s="26">
        <f t="shared" si="6"/>
        <v>0</v>
      </c>
      <c r="K126" s="27">
        <f t="shared" si="7"/>
        <v>0</v>
      </c>
      <c r="L126" s="21"/>
    </row>
    <row r="127" spans="2:12" x14ac:dyDescent="0.2">
      <c r="B127" s="19"/>
      <c r="C127" s="11"/>
      <c r="D127" s="11"/>
      <c r="E127" s="11"/>
      <c r="F127" s="24">
        <f t="shared" si="8"/>
        <v>3684</v>
      </c>
      <c r="G127" s="25">
        <v>1</v>
      </c>
      <c r="H127" s="26">
        <f t="shared" si="9"/>
        <v>0</v>
      </c>
      <c r="I127" s="26">
        <f t="shared" si="5"/>
        <v>0</v>
      </c>
      <c r="J127" s="26">
        <f t="shared" si="6"/>
        <v>0</v>
      </c>
      <c r="K127" s="27">
        <f t="shared" si="7"/>
        <v>0</v>
      </c>
      <c r="L127" s="21"/>
    </row>
    <row r="128" spans="2:12" x14ac:dyDescent="0.2">
      <c r="B128" s="19"/>
      <c r="C128" s="11"/>
      <c r="D128" s="11"/>
      <c r="E128" s="11"/>
      <c r="F128" s="24">
        <f t="shared" si="8"/>
        <v>3712</v>
      </c>
      <c r="G128" s="32">
        <v>1</v>
      </c>
      <c r="H128" s="26">
        <f t="shared" si="9"/>
        <v>0</v>
      </c>
      <c r="I128" s="26">
        <f t="shared" si="5"/>
        <v>0</v>
      </c>
      <c r="J128" s="26">
        <f t="shared" si="6"/>
        <v>0</v>
      </c>
      <c r="K128" s="27">
        <f t="shared" si="7"/>
        <v>0</v>
      </c>
      <c r="L128" s="21"/>
    </row>
    <row r="129" spans="2:12" x14ac:dyDescent="0.2">
      <c r="B129" s="19"/>
      <c r="C129" s="11"/>
      <c r="D129" s="11"/>
      <c r="E129" s="11"/>
      <c r="F129" s="24">
        <f t="shared" si="8"/>
        <v>3743</v>
      </c>
      <c r="G129" s="25">
        <v>1</v>
      </c>
      <c r="H129" s="26">
        <f t="shared" si="9"/>
        <v>0</v>
      </c>
      <c r="I129" s="26">
        <f t="shared" si="5"/>
        <v>0</v>
      </c>
      <c r="J129" s="26">
        <f t="shared" si="6"/>
        <v>0</v>
      </c>
      <c r="K129" s="27">
        <f t="shared" si="7"/>
        <v>0</v>
      </c>
      <c r="L129" s="21"/>
    </row>
    <row r="130" spans="2:12" x14ac:dyDescent="0.2">
      <c r="B130" s="19"/>
      <c r="C130" s="11"/>
      <c r="D130" s="11"/>
      <c r="E130" s="11"/>
      <c r="F130" s="24">
        <f t="shared" si="8"/>
        <v>3773</v>
      </c>
      <c r="G130" s="32">
        <v>1</v>
      </c>
      <c r="H130" s="26">
        <f t="shared" si="9"/>
        <v>0</v>
      </c>
      <c r="I130" s="26">
        <f t="shared" si="5"/>
        <v>0</v>
      </c>
      <c r="J130" s="26">
        <f t="shared" si="6"/>
        <v>0</v>
      </c>
      <c r="K130" s="27">
        <f t="shared" si="7"/>
        <v>0</v>
      </c>
      <c r="L130" s="21"/>
    </row>
    <row r="131" spans="2:12" x14ac:dyDescent="0.2">
      <c r="B131" s="19"/>
      <c r="C131" s="11"/>
      <c r="D131" s="11"/>
      <c r="E131" s="11"/>
      <c r="F131" s="24">
        <f t="shared" si="8"/>
        <v>3804</v>
      </c>
      <c r="G131" s="25">
        <v>1</v>
      </c>
      <c r="H131" s="26">
        <f t="shared" si="9"/>
        <v>0</v>
      </c>
      <c r="I131" s="26">
        <f t="shared" si="5"/>
        <v>0</v>
      </c>
      <c r="J131" s="26">
        <f t="shared" si="6"/>
        <v>0</v>
      </c>
      <c r="K131" s="27">
        <f t="shared" si="7"/>
        <v>0</v>
      </c>
      <c r="L131" s="21"/>
    </row>
    <row r="132" spans="2:12" x14ac:dyDescent="0.2">
      <c r="B132" s="19"/>
      <c r="C132" s="11"/>
      <c r="D132" s="11"/>
      <c r="E132" s="11"/>
      <c r="F132" s="24">
        <f t="shared" si="8"/>
        <v>3834</v>
      </c>
      <c r="G132" s="32">
        <v>1</v>
      </c>
      <c r="H132" s="26">
        <f t="shared" si="9"/>
        <v>0</v>
      </c>
      <c r="I132" s="26">
        <f t="shared" si="5"/>
        <v>0</v>
      </c>
      <c r="J132" s="26">
        <f t="shared" si="6"/>
        <v>0</v>
      </c>
      <c r="K132" s="27">
        <f t="shared" si="7"/>
        <v>0</v>
      </c>
      <c r="L132" s="21"/>
    </row>
    <row r="133" spans="2:12" x14ac:dyDescent="0.2">
      <c r="B133" s="19"/>
      <c r="C133" s="11"/>
      <c r="D133" s="11"/>
      <c r="E133" s="11"/>
      <c r="F133" s="24">
        <f t="shared" si="8"/>
        <v>3865</v>
      </c>
      <c r="G133" s="25">
        <v>1</v>
      </c>
      <c r="H133" s="26">
        <f t="shared" si="9"/>
        <v>0</v>
      </c>
      <c r="I133" s="26">
        <f t="shared" si="5"/>
        <v>0</v>
      </c>
      <c r="J133" s="26">
        <f t="shared" si="6"/>
        <v>0</v>
      </c>
      <c r="K133" s="27">
        <f t="shared" si="7"/>
        <v>0</v>
      </c>
      <c r="L133" s="21"/>
    </row>
    <row r="134" spans="2:12" x14ac:dyDescent="0.2">
      <c r="B134" s="19"/>
      <c r="C134" s="11"/>
      <c r="D134" s="11"/>
      <c r="E134" s="11"/>
      <c r="F134" s="24">
        <f t="shared" si="8"/>
        <v>3896</v>
      </c>
      <c r="G134" s="32">
        <v>1</v>
      </c>
      <c r="H134" s="26">
        <f t="shared" si="9"/>
        <v>0</v>
      </c>
      <c r="I134" s="26">
        <f t="shared" si="5"/>
        <v>0</v>
      </c>
      <c r="J134" s="26">
        <f t="shared" si="6"/>
        <v>0</v>
      </c>
      <c r="K134" s="27">
        <f t="shared" si="7"/>
        <v>0</v>
      </c>
      <c r="L134" s="21"/>
    </row>
    <row r="135" spans="2:12" x14ac:dyDescent="0.2">
      <c r="B135" s="19"/>
      <c r="C135" s="11"/>
      <c r="D135" s="11"/>
      <c r="E135" s="11"/>
      <c r="F135" s="24">
        <f t="shared" si="8"/>
        <v>3926</v>
      </c>
      <c r="G135" s="25">
        <v>1</v>
      </c>
      <c r="H135" s="26">
        <f t="shared" si="9"/>
        <v>0</v>
      </c>
      <c r="I135" s="26">
        <f t="shared" ref="I135:I198" si="10">$D$10</f>
        <v>0</v>
      </c>
      <c r="J135" s="26">
        <f t="shared" ref="J135:J198" si="11">(H135*$D$8)/12</f>
        <v>0</v>
      </c>
      <c r="K135" s="27">
        <f t="shared" ref="K135:K198" si="12">I135-J135</f>
        <v>0</v>
      </c>
      <c r="L135" s="21"/>
    </row>
    <row r="136" spans="2:12" x14ac:dyDescent="0.2">
      <c r="B136" s="19"/>
      <c r="C136" s="11"/>
      <c r="D136" s="11"/>
      <c r="E136" s="11"/>
      <c r="F136" s="24">
        <f t="shared" ref="F136:F199" si="13">EOMONTH(F135,1)</f>
        <v>3957</v>
      </c>
      <c r="G136" s="32">
        <v>1</v>
      </c>
      <c r="H136" s="26">
        <f t="shared" ref="H136:H199" si="14">H135-K135</f>
        <v>0</v>
      </c>
      <c r="I136" s="26">
        <f t="shared" si="10"/>
        <v>0</v>
      </c>
      <c r="J136" s="26">
        <f t="shared" si="11"/>
        <v>0</v>
      </c>
      <c r="K136" s="27">
        <f t="shared" si="12"/>
        <v>0</v>
      </c>
      <c r="L136" s="21"/>
    </row>
    <row r="137" spans="2:12" x14ac:dyDescent="0.2">
      <c r="B137" s="19"/>
      <c r="C137" s="11"/>
      <c r="D137" s="11"/>
      <c r="E137" s="11"/>
      <c r="F137" s="24">
        <f t="shared" si="13"/>
        <v>3987</v>
      </c>
      <c r="G137" s="25">
        <v>1</v>
      </c>
      <c r="H137" s="26">
        <f t="shared" si="14"/>
        <v>0</v>
      </c>
      <c r="I137" s="26">
        <f t="shared" si="10"/>
        <v>0</v>
      </c>
      <c r="J137" s="26">
        <f t="shared" si="11"/>
        <v>0</v>
      </c>
      <c r="K137" s="27">
        <f t="shared" si="12"/>
        <v>0</v>
      </c>
      <c r="L137" s="21"/>
    </row>
    <row r="138" spans="2:12" x14ac:dyDescent="0.2">
      <c r="B138" s="19"/>
      <c r="C138" s="11"/>
      <c r="D138" s="11"/>
      <c r="E138" s="11"/>
      <c r="F138" s="24">
        <f t="shared" si="13"/>
        <v>4018</v>
      </c>
      <c r="G138" s="32">
        <v>1</v>
      </c>
      <c r="H138" s="26">
        <f t="shared" si="14"/>
        <v>0</v>
      </c>
      <c r="I138" s="26">
        <f t="shared" si="10"/>
        <v>0</v>
      </c>
      <c r="J138" s="26">
        <f t="shared" si="11"/>
        <v>0</v>
      </c>
      <c r="K138" s="27">
        <f t="shared" si="12"/>
        <v>0</v>
      </c>
      <c r="L138" s="21"/>
    </row>
    <row r="139" spans="2:12" x14ac:dyDescent="0.2">
      <c r="B139" s="19"/>
      <c r="C139" s="11"/>
      <c r="D139" s="11"/>
      <c r="E139" s="11"/>
      <c r="F139" s="24">
        <f t="shared" si="13"/>
        <v>4049</v>
      </c>
      <c r="G139" s="25">
        <v>1</v>
      </c>
      <c r="H139" s="26">
        <f t="shared" si="14"/>
        <v>0</v>
      </c>
      <c r="I139" s="26">
        <f t="shared" si="10"/>
        <v>0</v>
      </c>
      <c r="J139" s="26">
        <f t="shared" si="11"/>
        <v>0</v>
      </c>
      <c r="K139" s="27">
        <f t="shared" si="12"/>
        <v>0</v>
      </c>
      <c r="L139" s="21"/>
    </row>
    <row r="140" spans="2:12" x14ac:dyDescent="0.2">
      <c r="B140" s="19"/>
      <c r="C140" s="11"/>
      <c r="D140" s="11"/>
      <c r="E140" s="11"/>
      <c r="F140" s="24">
        <f t="shared" si="13"/>
        <v>4077</v>
      </c>
      <c r="G140" s="32">
        <v>1</v>
      </c>
      <c r="H140" s="26">
        <f t="shared" si="14"/>
        <v>0</v>
      </c>
      <c r="I140" s="26">
        <f t="shared" si="10"/>
        <v>0</v>
      </c>
      <c r="J140" s="26">
        <f t="shared" si="11"/>
        <v>0</v>
      </c>
      <c r="K140" s="27">
        <f t="shared" si="12"/>
        <v>0</v>
      </c>
      <c r="L140" s="21"/>
    </row>
    <row r="141" spans="2:12" x14ac:dyDescent="0.2">
      <c r="B141" s="19"/>
      <c r="C141" s="11"/>
      <c r="D141" s="11"/>
      <c r="E141" s="11"/>
      <c r="F141" s="24">
        <f t="shared" si="13"/>
        <v>4108</v>
      </c>
      <c r="G141" s="25">
        <v>1</v>
      </c>
      <c r="H141" s="26">
        <f t="shared" si="14"/>
        <v>0</v>
      </c>
      <c r="I141" s="26">
        <f t="shared" si="10"/>
        <v>0</v>
      </c>
      <c r="J141" s="26">
        <f t="shared" si="11"/>
        <v>0</v>
      </c>
      <c r="K141" s="27">
        <f t="shared" si="12"/>
        <v>0</v>
      </c>
      <c r="L141" s="21"/>
    </row>
    <row r="142" spans="2:12" x14ac:dyDescent="0.2">
      <c r="B142" s="19"/>
      <c r="C142" s="11"/>
      <c r="D142" s="11"/>
      <c r="E142" s="11"/>
      <c r="F142" s="24">
        <f t="shared" si="13"/>
        <v>4138</v>
      </c>
      <c r="G142" s="32">
        <v>1</v>
      </c>
      <c r="H142" s="26">
        <f t="shared" si="14"/>
        <v>0</v>
      </c>
      <c r="I142" s="26">
        <f t="shared" si="10"/>
        <v>0</v>
      </c>
      <c r="J142" s="26">
        <f t="shared" si="11"/>
        <v>0</v>
      </c>
      <c r="K142" s="27">
        <f t="shared" si="12"/>
        <v>0</v>
      </c>
      <c r="L142" s="21"/>
    </row>
    <row r="143" spans="2:12" x14ac:dyDescent="0.2">
      <c r="B143" s="19"/>
      <c r="C143" s="11"/>
      <c r="D143" s="11"/>
      <c r="E143" s="11"/>
      <c r="F143" s="24">
        <f t="shared" si="13"/>
        <v>4169</v>
      </c>
      <c r="G143" s="25">
        <v>1</v>
      </c>
      <c r="H143" s="26">
        <f t="shared" si="14"/>
        <v>0</v>
      </c>
      <c r="I143" s="26">
        <f t="shared" si="10"/>
        <v>0</v>
      </c>
      <c r="J143" s="26">
        <f t="shared" si="11"/>
        <v>0</v>
      </c>
      <c r="K143" s="27">
        <f t="shared" si="12"/>
        <v>0</v>
      </c>
      <c r="L143" s="21"/>
    </row>
    <row r="144" spans="2:12" x14ac:dyDescent="0.2">
      <c r="B144" s="19"/>
      <c r="C144" s="11"/>
      <c r="D144" s="11"/>
      <c r="E144" s="11"/>
      <c r="F144" s="24">
        <f t="shared" si="13"/>
        <v>4199</v>
      </c>
      <c r="G144" s="32">
        <v>1</v>
      </c>
      <c r="H144" s="26">
        <f t="shared" si="14"/>
        <v>0</v>
      </c>
      <c r="I144" s="26">
        <f t="shared" si="10"/>
        <v>0</v>
      </c>
      <c r="J144" s="26">
        <f t="shared" si="11"/>
        <v>0</v>
      </c>
      <c r="K144" s="27">
        <f t="shared" si="12"/>
        <v>0</v>
      </c>
      <c r="L144" s="21"/>
    </row>
    <row r="145" spans="2:12" x14ac:dyDescent="0.2">
      <c r="B145" s="19"/>
      <c r="C145" s="11"/>
      <c r="D145" s="11"/>
      <c r="E145" s="11"/>
      <c r="F145" s="24">
        <f t="shared" si="13"/>
        <v>4230</v>
      </c>
      <c r="G145" s="25">
        <v>1</v>
      </c>
      <c r="H145" s="26">
        <f t="shared" si="14"/>
        <v>0</v>
      </c>
      <c r="I145" s="26">
        <f t="shared" si="10"/>
        <v>0</v>
      </c>
      <c r="J145" s="26">
        <f t="shared" si="11"/>
        <v>0</v>
      </c>
      <c r="K145" s="27">
        <f t="shared" si="12"/>
        <v>0</v>
      </c>
      <c r="L145" s="21"/>
    </row>
    <row r="146" spans="2:12" x14ac:dyDescent="0.2">
      <c r="B146" s="19"/>
      <c r="C146" s="11"/>
      <c r="D146" s="11"/>
      <c r="E146" s="11"/>
      <c r="F146" s="24">
        <f t="shared" si="13"/>
        <v>4261</v>
      </c>
      <c r="G146" s="32">
        <v>1</v>
      </c>
      <c r="H146" s="26">
        <f t="shared" si="14"/>
        <v>0</v>
      </c>
      <c r="I146" s="26">
        <f t="shared" si="10"/>
        <v>0</v>
      </c>
      <c r="J146" s="26">
        <f t="shared" si="11"/>
        <v>0</v>
      </c>
      <c r="K146" s="27">
        <f t="shared" si="12"/>
        <v>0</v>
      </c>
      <c r="L146" s="21"/>
    </row>
    <row r="147" spans="2:12" x14ac:dyDescent="0.2">
      <c r="B147" s="19"/>
      <c r="C147" s="11"/>
      <c r="D147" s="11"/>
      <c r="E147" s="11"/>
      <c r="F147" s="24">
        <f t="shared" si="13"/>
        <v>4291</v>
      </c>
      <c r="G147" s="25">
        <v>1</v>
      </c>
      <c r="H147" s="26">
        <f t="shared" si="14"/>
        <v>0</v>
      </c>
      <c r="I147" s="26">
        <f t="shared" si="10"/>
        <v>0</v>
      </c>
      <c r="J147" s="26">
        <f t="shared" si="11"/>
        <v>0</v>
      </c>
      <c r="K147" s="27">
        <f t="shared" si="12"/>
        <v>0</v>
      </c>
      <c r="L147" s="21"/>
    </row>
    <row r="148" spans="2:12" x14ac:dyDescent="0.2">
      <c r="B148" s="19"/>
      <c r="C148" s="11"/>
      <c r="D148" s="11"/>
      <c r="E148" s="11"/>
      <c r="F148" s="24">
        <f t="shared" si="13"/>
        <v>4322</v>
      </c>
      <c r="G148" s="32">
        <v>1</v>
      </c>
      <c r="H148" s="26">
        <f t="shared" si="14"/>
        <v>0</v>
      </c>
      <c r="I148" s="26">
        <f t="shared" si="10"/>
        <v>0</v>
      </c>
      <c r="J148" s="26">
        <f t="shared" si="11"/>
        <v>0</v>
      </c>
      <c r="K148" s="27">
        <f t="shared" si="12"/>
        <v>0</v>
      </c>
      <c r="L148" s="21"/>
    </row>
    <row r="149" spans="2:12" x14ac:dyDescent="0.2">
      <c r="B149" s="19"/>
      <c r="C149" s="11"/>
      <c r="D149" s="11"/>
      <c r="E149" s="11"/>
      <c r="F149" s="24">
        <f t="shared" si="13"/>
        <v>4352</v>
      </c>
      <c r="G149" s="25">
        <v>1</v>
      </c>
      <c r="H149" s="26">
        <f t="shared" si="14"/>
        <v>0</v>
      </c>
      <c r="I149" s="26">
        <f t="shared" si="10"/>
        <v>0</v>
      </c>
      <c r="J149" s="26">
        <f t="shared" si="11"/>
        <v>0</v>
      </c>
      <c r="K149" s="27">
        <f t="shared" si="12"/>
        <v>0</v>
      </c>
      <c r="L149" s="21"/>
    </row>
    <row r="150" spans="2:12" x14ac:dyDescent="0.2">
      <c r="B150" s="19"/>
      <c r="C150" s="11"/>
      <c r="D150" s="11"/>
      <c r="E150" s="11"/>
      <c r="F150" s="24">
        <f t="shared" si="13"/>
        <v>4383</v>
      </c>
      <c r="G150" s="32">
        <v>1</v>
      </c>
      <c r="H150" s="26">
        <f t="shared" si="14"/>
        <v>0</v>
      </c>
      <c r="I150" s="26">
        <f t="shared" si="10"/>
        <v>0</v>
      </c>
      <c r="J150" s="26">
        <f t="shared" si="11"/>
        <v>0</v>
      </c>
      <c r="K150" s="27">
        <f t="shared" si="12"/>
        <v>0</v>
      </c>
      <c r="L150" s="21"/>
    </row>
    <row r="151" spans="2:12" x14ac:dyDescent="0.2">
      <c r="B151" s="19"/>
      <c r="C151" s="11"/>
      <c r="D151" s="11"/>
      <c r="E151" s="11"/>
      <c r="F151" s="24">
        <f t="shared" si="13"/>
        <v>4414</v>
      </c>
      <c r="G151" s="25">
        <v>1</v>
      </c>
      <c r="H151" s="26">
        <f t="shared" si="14"/>
        <v>0</v>
      </c>
      <c r="I151" s="26">
        <f t="shared" si="10"/>
        <v>0</v>
      </c>
      <c r="J151" s="26">
        <f t="shared" si="11"/>
        <v>0</v>
      </c>
      <c r="K151" s="27">
        <f t="shared" si="12"/>
        <v>0</v>
      </c>
      <c r="L151" s="21"/>
    </row>
    <row r="152" spans="2:12" x14ac:dyDescent="0.2">
      <c r="B152" s="19"/>
      <c r="C152" s="11"/>
      <c r="D152" s="11"/>
      <c r="E152" s="11"/>
      <c r="F152" s="24">
        <f t="shared" si="13"/>
        <v>4443</v>
      </c>
      <c r="G152" s="32">
        <v>1</v>
      </c>
      <c r="H152" s="26">
        <f t="shared" si="14"/>
        <v>0</v>
      </c>
      <c r="I152" s="26">
        <f t="shared" si="10"/>
        <v>0</v>
      </c>
      <c r="J152" s="26">
        <f t="shared" si="11"/>
        <v>0</v>
      </c>
      <c r="K152" s="27">
        <f t="shared" si="12"/>
        <v>0</v>
      </c>
      <c r="L152" s="21"/>
    </row>
    <row r="153" spans="2:12" x14ac:dyDescent="0.2">
      <c r="B153" s="19"/>
      <c r="C153" s="11"/>
      <c r="D153" s="11"/>
      <c r="E153" s="11"/>
      <c r="F153" s="24">
        <f t="shared" si="13"/>
        <v>4474</v>
      </c>
      <c r="G153" s="25">
        <v>1</v>
      </c>
      <c r="H153" s="26">
        <f t="shared" si="14"/>
        <v>0</v>
      </c>
      <c r="I153" s="26">
        <f t="shared" si="10"/>
        <v>0</v>
      </c>
      <c r="J153" s="26">
        <f t="shared" si="11"/>
        <v>0</v>
      </c>
      <c r="K153" s="27">
        <f t="shared" si="12"/>
        <v>0</v>
      </c>
      <c r="L153" s="21"/>
    </row>
    <row r="154" spans="2:12" x14ac:dyDescent="0.2">
      <c r="B154" s="19"/>
      <c r="C154" s="11"/>
      <c r="D154" s="11"/>
      <c r="E154" s="11"/>
      <c r="F154" s="24">
        <f t="shared" si="13"/>
        <v>4504</v>
      </c>
      <c r="G154" s="32">
        <v>1</v>
      </c>
      <c r="H154" s="26">
        <f t="shared" si="14"/>
        <v>0</v>
      </c>
      <c r="I154" s="26">
        <f t="shared" si="10"/>
        <v>0</v>
      </c>
      <c r="J154" s="26">
        <f t="shared" si="11"/>
        <v>0</v>
      </c>
      <c r="K154" s="27">
        <f t="shared" si="12"/>
        <v>0</v>
      </c>
      <c r="L154" s="21"/>
    </row>
    <row r="155" spans="2:12" x14ac:dyDescent="0.2">
      <c r="B155" s="19"/>
      <c r="C155" s="11"/>
      <c r="D155" s="11"/>
      <c r="E155" s="11"/>
      <c r="F155" s="24">
        <f t="shared" si="13"/>
        <v>4535</v>
      </c>
      <c r="G155" s="25">
        <v>1</v>
      </c>
      <c r="H155" s="26">
        <f t="shared" si="14"/>
        <v>0</v>
      </c>
      <c r="I155" s="26">
        <f t="shared" si="10"/>
        <v>0</v>
      </c>
      <c r="J155" s="26">
        <f t="shared" si="11"/>
        <v>0</v>
      </c>
      <c r="K155" s="27">
        <f t="shared" si="12"/>
        <v>0</v>
      </c>
      <c r="L155" s="21"/>
    </row>
    <row r="156" spans="2:12" x14ac:dyDescent="0.2">
      <c r="B156" s="19"/>
      <c r="C156" s="11"/>
      <c r="D156" s="11"/>
      <c r="E156" s="11"/>
      <c r="F156" s="24">
        <f t="shared" si="13"/>
        <v>4565</v>
      </c>
      <c r="G156" s="32">
        <v>1</v>
      </c>
      <c r="H156" s="26">
        <f t="shared" si="14"/>
        <v>0</v>
      </c>
      <c r="I156" s="26">
        <f t="shared" si="10"/>
        <v>0</v>
      </c>
      <c r="J156" s="26">
        <f t="shared" si="11"/>
        <v>0</v>
      </c>
      <c r="K156" s="27">
        <f t="shared" si="12"/>
        <v>0</v>
      </c>
      <c r="L156" s="21"/>
    </row>
    <row r="157" spans="2:12" x14ac:dyDescent="0.2">
      <c r="B157" s="19"/>
      <c r="C157" s="11"/>
      <c r="D157" s="11"/>
      <c r="E157" s="11"/>
      <c r="F157" s="24">
        <f t="shared" si="13"/>
        <v>4596</v>
      </c>
      <c r="G157" s="25">
        <v>1</v>
      </c>
      <c r="H157" s="26">
        <f t="shared" si="14"/>
        <v>0</v>
      </c>
      <c r="I157" s="26">
        <f t="shared" si="10"/>
        <v>0</v>
      </c>
      <c r="J157" s="26">
        <f t="shared" si="11"/>
        <v>0</v>
      </c>
      <c r="K157" s="27">
        <f t="shared" si="12"/>
        <v>0</v>
      </c>
      <c r="L157" s="21"/>
    </row>
    <row r="158" spans="2:12" x14ac:dyDescent="0.2">
      <c r="B158" s="19"/>
      <c r="C158" s="11"/>
      <c r="D158" s="11"/>
      <c r="E158" s="11"/>
      <c r="F158" s="24">
        <f t="shared" si="13"/>
        <v>4627</v>
      </c>
      <c r="G158" s="32">
        <v>1</v>
      </c>
      <c r="H158" s="26">
        <f t="shared" si="14"/>
        <v>0</v>
      </c>
      <c r="I158" s="26">
        <f t="shared" si="10"/>
        <v>0</v>
      </c>
      <c r="J158" s="26">
        <f t="shared" si="11"/>
        <v>0</v>
      </c>
      <c r="K158" s="27">
        <f t="shared" si="12"/>
        <v>0</v>
      </c>
      <c r="L158" s="21"/>
    </row>
    <row r="159" spans="2:12" x14ac:dyDescent="0.2">
      <c r="B159" s="19"/>
      <c r="C159" s="11"/>
      <c r="D159" s="11"/>
      <c r="E159" s="11"/>
      <c r="F159" s="24">
        <f t="shared" si="13"/>
        <v>4657</v>
      </c>
      <c r="G159" s="25">
        <v>1</v>
      </c>
      <c r="H159" s="26">
        <f t="shared" si="14"/>
        <v>0</v>
      </c>
      <c r="I159" s="26">
        <f t="shared" si="10"/>
        <v>0</v>
      </c>
      <c r="J159" s="26">
        <f t="shared" si="11"/>
        <v>0</v>
      </c>
      <c r="K159" s="27">
        <f t="shared" si="12"/>
        <v>0</v>
      </c>
      <c r="L159" s="21"/>
    </row>
    <row r="160" spans="2:12" x14ac:dyDescent="0.2">
      <c r="B160" s="19"/>
      <c r="C160" s="11"/>
      <c r="D160" s="11"/>
      <c r="E160" s="11"/>
      <c r="F160" s="24">
        <f t="shared" si="13"/>
        <v>4688</v>
      </c>
      <c r="G160" s="32">
        <v>1</v>
      </c>
      <c r="H160" s="26">
        <f t="shared" si="14"/>
        <v>0</v>
      </c>
      <c r="I160" s="26">
        <f t="shared" si="10"/>
        <v>0</v>
      </c>
      <c r="J160" s="26">
        <f t="shared" si="11"/>
        <v>0</v>
      </c>
      <c r="K160" s="27">
        <f t="shared" si="12"/>
        <v>0</v>
      </c>
      <c r="L160" s="21"/>
    </row>
    <row r="161" spans="2:12" x14ac:dyDescent="0.2">
      <c r="B161" s="19"/>
      <c r="C161" s="11"/>
      <c r="D161" s="11"/>
      <c r="E161" s="11"/>
      <c r="F161" s="24">
        <f t="shared" si="13"/>
        <v>4718</v>
      </c>
      <c r="G161" s="25">
        <v>1</v>
      </c>
      <c r="H161" s="26">
        <f t="shared" si="14"/>
        <v>0</v>
      </c>
      <c r="I161" s="26">
        <f t="shared" si="10"/>
        <v>0</v>
      </c>
      <c r="J161" s="26">
        <f t="shared" si="11"/>
        <v>0</v>
      </c>
      <c r="K161" s="27">
        <f t="shared" si="12"/>
        <v>0</v>
      </c>
      <c r="L161" s="21"/>
    </row>
    <row r="162" spans="2:12" x14ac:dyDescent="0.2">
      <c r="B162" s="19"/>
      <c r="C162" s="11"/>
      <c r="D162" s="11"/>
      <c r="E162" s="11"/>
      <c r="F162" s="24">
        <f t="shared" si="13"/>
        <v>4749</v>
      </c>
      <c r="G162" s="32">
        <v>1</v>
      </c>
      <c r="H162" s="26">
        <f t="shared" si="14"/>
        <v>0</v>
      </c>
      <c r="I162" s="26">
        <f t="shared" si="10"/>
        <v>0</v>
      </c>
      <c r="J162" s="26">
        <f t="shared" si="11"/>
        <v>0</v>
      </c>
      <c r="K162" s="27">
        <f t="shared" si="12"/>
        <v>0</v>
      </c>
      <c r="L162" s="21"/>
    </row>
    <row r="163" spans="2:12" x14ac:dyDescent="0.2">
      <c r="B163" s="19"/>
      <c r="C163" s="11"/>
      <c r="D163" s="11"/>
      <c r="E163" s="11"/>
      <c r="F163" s="24">
        <f t="shared" si="13"/>
        <v>4780</v>
      </c>
      <c r="G163" s="25">
        <v>1</v>
      </c>
      <c r="H163" s="26">
        <f t="shared" si="14"/>
        <v>0</v>
      </c>
      <c r="I163" s="26">
        <f t="shared" si="10"/>
        <v>0</v>
      </c>
      <c r="J163" s="26">
        <f t="shared" si="11"/>
        <v>0</v>
      </c>
      <c r="K163" s="27">
        <f t="shared" si="12"/>
        <v>0</v>
      </c>
      <c r="L163" s="21"/>
    </row>
    <row r="164" spans="2:12" x14ac:dyDescent="0.2">
      <c r="B164" s="19"/>
      <c r="C164" s="11"/>
      <c r="D164" s="11"/>
      <c r="E164" s="11"/>
      <c r="F164" s="24">
        <f t="shared" si="13"/>
        <v>4808</v>
      </c>
      <c r="G164" s="32">
        <v>1</v>
      </c>
      <c r="H164" s="26">
        <f t="shared" si="14"/>
        <v>0</v>
      </c>
      <c r="I164" s="26">
        <f t="shared" si="10"/>
        <v>0</v>
      </c>
      <c r="J164" s="26">
        <f t="shared" si="11"/>
        <v>0</v>
      </c>
      <c r="K164" s="27">
        <f t="shared" si="12"/>
        <v>0</v>
      </c>
      <c r="L164" s="21"/>
    </row>
    <row r="165" spans="2:12" x14ac:dyDescent="0.2">
      <c r="B165" s="19"/>
      <c r="C165" s="11"/>
      <c r="D165" s="11"/>
      <c r="E165" s="11"/>
      <c r="F165" s="24">
        <f t="shared" si="13"/>
        <v>4839</v>
      </c>
      <c r="G165" s="25">
        <v>1</v>
      </c>
      <c r="H165" s="26">
        <f t="shared" si="14"/>
        <v>0</v>
      </c>
      <c r="I165" s="26">
        <f t="shared" si="10"/>
        <v>0</v>
      </c>
      <c r="J165" s="26">
        <f t="shared" si="11"/>
        <v>0</v>
      </c>
      <c r="K165" s="27">
        <f t="shared" si="12"/>
        <v>0</v>
      </c>
      <c r="L165" s="21"/>
    </row>
    <row r="166" spans="2:12" x14ac:dyDescent="0.2">
      <c r="B166" s="19"/>
      <c r="C166" s="11"/>
      <c r="D166" s="11"/>
      <c r="E166" s="11"/>
      <c r="F166" s="24">
        <f t="shared" si="13"/>
        <v>4869</v>
      </c>
      <c r="G166" s="32">
        <v>1</v>
      </c>
      <c r="H166" s="26">
        <f t="shared" si="14"/>
        <v>0</v>
      </c>
      <c r="I166" s="26">
        <f t="shared" si="10"/>
        <v>0</v>
      </c>
      <c r="J166" s="26">
        <f t="shared" si="11"/>
        <v>0</v>
      </c>
      <c r="K166" s="27">
        <f t="shared" si="12"/>
        <v>0</v>
      </c>
      <c r="L166" s="21"/>
    </row>
    <row r="167" spans="2:12" x14ac:dyDescent="0.2">
      <c r="B167" s="19"/>
      <c r="C167" s="11"/>
      <c r="D167" s="11"/>
      <c r="E167" s="11"/>
      <c r="F167" s="24">
        <f t="shared" si="13"/>
        <v>4900</v>
      </c>
      <c r="G167" s="25">
        <v>1</v>
      </c>
      <c r="H167" s="26">
        <f t="shared" si="14"/>
        <v>0</v>
      </c>
      <c r="I167" s="26">
        <f t="shared" si="10"/>
        <v>0</v>
      </c>
      <c r="J167" s="26">
        <f t="shared" si="11"/>
        <v>0</v>
      </c>
      <c r="K167" s="27">
        <f t="shared" si="12"/>
        <v>0</v>
      </c>
      <c r="L167" s="21"/>
    </row>
    <row r="168" spans="2:12" x14ac:dyDescent="0.2">
      <c r="B168" s="19"/>
      <c r="C168" s="11"/>
      <c r="D168" s="11"/>
      <c r="E168" s="11"/>
      <c r="F168" s="24">
        <f t="shared" si="13"/>
        <v>4930</v>
      </c>
      <c r="G168" s="32">
        <v>1</v>
      </c>
      <c r="H168" s="26">
        <f t="shared" si="14"/>
        <v>0</v>
      </c>
      <c r="I168" s="26">
        <f t="shared" si="10"/>
        <v>0</v>
      </c>
      <c r="J168" s="26">
        <f t="shared" si="11"/>
        <v>0</v>
      </c>
      <c r="K168" s="27">
        <f t="shared" si="12"/>
        <v>0</v>
      </c>
      <c r="L168" s="21"/>
    </row>
    <row r="169" spans="2:12" x14ac:dyDescent="0.2">
      <c r="B169" s="19"/>
      <c r="C169" s="11"/>
      <c r="D169" s="11"/>
      <c r="E169" s="11"/>
      <c r="F169" s="24">
        <f t="shared" si="13"/>
        <v>4961</v>
      </c>
      <c r="G169" s="25">
        <v>1</v>
      </c>
      <c r="H169" s="26">
        <f t="shared" si="14"/>
        <v>0</v>
      </c>
      <c r="I169" s="26">
        <f t="shared" si="10"/>
        <v>0</v>
      </c>
      <c r="J169" s="26">
        <f t="shared" si="11"/>
        <v>0</v>
      </c>
      <c r="K169" s="27">
        <f t="shared" si="12"/>
        <v>0</v>
      </c>
      <c r="L169" s="21"/>
    </row>
    <row r="170" spans="2:12" x14ac:dyDescent="0.2">
      <c r="B170" s="19"/>
      <c r="C170" s="11"/>
      <c r="D170" s="11"/>
      <c r="E170" s="11"/>
      <c r="F170" s="24">
        <f t="shared" si="13"/>
        <v>4992</v>
      </c>
      <c r="G170" s="32">
        <v>1</v>
      </c>
      <c r="H170" s="26">
        <f t="shared" si="14"/>
        <v>0</v>
      </c>
      <c r="I170" s="26">
        <f t="shared" si="10"/>
        <v>0</v>
      </c>
      <c r="J170" s="26">
        <f t="shared" si="11"/>
        <v>0</v>
      </c>
      <c r="K170" s="27">
        <f t="shared" si="12"/>
        <v>0</v>
      </c>
      <c r="L170" s="21"/>
    </row>
    <row r="171" spans="2:12" x14ac:dyDescent="0.2">
      <c r="B171" s="19"/>
      <c r="C171" s="11"/>
      <c r="D171" s="11"/>
      <c r="E171" s="11"/>
      <c r="F171" s="24">
        <f t="shared" si="13"/>
        <v>5022</v>
      </c>
      <c r="G171" s="25">
        <v>1</v>
      </c>
      <c r="H171" s="26">
        <f t="shared" si="14"/>
        <v>0</v>
      </c>
      <c r="I171" s="26">
        <f t="shared" si="10"/>
        <v>0</v>
      </c>
      <c r="J171" s="26">
        <f t="shared" si="11"/>
        <v>0</v>
      </c>
      <c r="K171" s="27">
        <f t="shared" si="12"/>
        <v>0</v>
      </c>
      <c r="L171" s="21"/>
    </row>
    <row r="172" spans="2:12" x14ac:dyDescent="0.2">
      <c r="B172" s="19"/>
      <c r="C172" s="11"/>
      <c r="D172" s="11"/>
      <c r="E172" s="11"/>
      <c r="F172" s="24">
        <f t="shared" si="13"/>
        <v>5053</v>
      </c>
      <c r="G172" s="32">
        <v>1</v>
      </c>
      <c r="H172" s="26">
        <f t="shared" si="14"/>
        <v>0</v>
      </c>
      <c r="I172" s="26">
        <f t="shared" si="10"/>
        <v>0</v>
      </c>
      <c r="J172" s="26">
        <f t="shared" si="11"/>
        <v>0</v>
      </c>
      <c r="K172" s="27">
        <f t="shared" si="12"/>
        <v>0</v>
      </c>
      <c r="L172" s="21"/>
    </row>
    <row r="173" spans="2:12" x14ac:dyDescent="0.2">
      <c r="B173" s="19"/>
      <c r="C173" s="11"/>
      <c r="D173" s="11"/>
      <c r="E173" s="11"/>
      <c r="F173" s="24">
        <f t="shared" si="13"/>
        <v>5083</v>
      </c>
      <c r="G173" s="25">
        <v>1</v>
      </c>
      <c r="H173" s="26">
        <f t="shared" si="14"/>
        <v>0</v>
      </c>
      <c r="I173" s="26">
        <f t="shared" si="10"/>
        <v>0</v>
      </c>
      <c r="J173" s="26">
        <f t="shared" si="11"/>
        <v>0</v>
      </c>
      <c r="K173" s="27">
        <f t="shared" si="12"/>
        <v>0</v>
      </c>
      <c r="L173" s="21"/>
    </row>
    <row r="174" spans="2:12" x14ac:dyDescent="0.2">
      <c r="B174" s="19"/>
      <c r="C174" s="11"/>
      <c r="D174" s="11"/>
      <c r="E174" s="11"/>
      <c r="F174" s="24">
        <f t="shared" si="13"/>
        <v>5114</v>
      </c>
      <c r="G174" s="32">
        <v>1</v>
      </c>
      <c r="H174" s="26">
        <f t="shared" si="14"/>
        <v>0</v>
      </c>
      <c r="I174" s="26">
        <f t="shared" si="10"/>
        <v>0</v>
      </c>
      <c r="J174" s="26">
        <f t="shared" si="11"/>
        <v>0</v>
      </c>
      <c r="K174" s="27">
        <f t="shared" si="12"/>
        <v>0</v>
      </c>
      <c r="L174" s="21"/>
    </row>
    <row r="175" spans="2:12" x14ac:dyDescent="0.2">
      <c r="B175" s="19"/>
      <c r="C175" s="11"/>
      <c r="D175" s="11"/>
      <c r="E175" s="11"/>
      <c r="F175" s="24">
        <f t="shared" si="13"/>
        <v>5145</v>
      </c>
      <c r="G175" s="25">
        <v>1</v>
      </c>
      <c r="H175" s="26">
        <f t="shared" si="14"/>
        <v>0</v>
      </c>
      <c r="I175" s="26">
        <f t="shared" si="10"/>
        <v>0</v>
      </c>
      <c r="J175" s="26">
        <f t="shared" si="11"/>
        <v>0</v>
      </c>
      <c r="K175" s="27">
        <f t="shared" si="12"/>
        <v>0</v>
      </c>
      <c r="L175" s="21"/>
    </row>
    <row r="176" spans="2:12" x14ac:dyDescent="0.2">
      <c r="B176" s="19"/>
      <c r="C176" s="11"/>
      <c r="D176" s="11"/>
      <c r="E176" s="11"/>
      <c r="F176" s="24">
        <f t="shared" si="13"/>
        <v>5173</v>
      </c>
      <c r="G176" s="32">
        <v>1</v>
      </c>
      <c r="H176" s="26">
        <f t="shared" si="14"/>
        <v>0</v>
      </c>
      <c r="I176" s="26">
        <f t="shared" si="10"/>
        <v>0</v>
      </c>
      <c r="J176" s="26">
        <f t="shared" si="11"/>
        <v>0</v>
      </c>
      <c r="K176" s="27">
        <f t="shared" si="12"/>
        <v>0</v>
      </c>
      <c r="L176" s="21"/>
    </row>
    <row r="177" spans="2:12" x14ac:dyDescent="0.2">
      <c r="B177" s="19"/>
      <c r="C177" s="11"/>
      <c r="D177" s="11"/>
      <c r="E177" s="11"/>
      <c r="F177" s="24">
        <f t="shared" si="13"/>
        <v>5204</v>
      </c>
      <c r="G177" s="25">
        <v>1</v>
      </c>
      <c r="H177" s="26">
        <f t="shared" si="14"/>
        <v>0</v>
      </c>
      <c r="I177" s="26">
        <f t="shared" si="10"/>
        <v>0</v>
      </c>
      <c r="J177" s="26">
        <f t="shared" si="11"/>
        <v>0</v>
      </c>
      <c r="K177" s="27">
        <f t="shared" si="12"/>
        <v>0</v>
      </c>
      <c r="L177" s="21"/>
    </row>
    <row r="178" spans="2:12" x14ac:dyDescent="0.2">
      <c r="B178" s="19"/>
      <c r="C178" s="11"/>
      <c r="D178" s="11"/>
      <c r="E178" s="11"/>
      <c r="F178" s="24">
        <f t="shared" si="13"/>
        <v>5234</v>
      </c>
      <c r="G178" s="32">
        <v>1</v>
      </c>
      <c r="H178" s="26">
        <f t="shared" si="14"/>
        <v>0</v>
      </c>
      <c r="I178" s="26">
        <f t="shared" si="10"/>
        <v>0</v>
      </c>
      <c r="J178" s="26">
        <f t="shared" si="11"/>
        <v>0</v>
      </c>
      <c r="K178" s="27">
        <f t="shared" si="12"/>
        <v>0</v>
      </c>
      <c r="L178" s="21"/>
    </row>
    <row r="179" spans="2:12" x14ac:dyDescent="0.2">
      <c r="B179" s="19"/>
      <c r="C179" s="11"/>
      <c r="D179" s="11"/>
      <c r="E179" s="11"/>
      <c r="F179" s="24">
        <f t="shared" si="13"/>
        <v>5265</v>
      </c>
      <c r="G179" s="25">
        <v>1</v>
      </c>
      <c r="H179" s="26">
        <f t="shared" si="14"/>
        <v>0</v>
      </c>
      <c r="I179" s="26">
        <f t="shared" si="10"/>
        <v>0</v>
      </c>
      <c r="J179" s="26">
        <f t="shared" si="11"/>
        <v>0</v>
      </c>
      <c r="K179" s="27">
        <f t="shared" si="12"/>
        <v>0</v>
      </c>
      <c r="L179" s="21"/>
    </row>
    <row r="180" spans="2:12" x14ac:dyDescent="0.2">
      <c r="B180" s="19"/>
      <c r="C180" s="11"/>
      <c r="D180" s="11"/>
      <c r="E180" s="11"/>
      <c r="F180" s="24">
        <f t="shared" si="13"/>
        <v>5295</v>
      </c>
      <c r="G180" s="32">
        <v>1</v>
      </c>
      <c r="H180" s="26">
        <f t="shared" si="14"/>
        <v>0</v>
      </c>
      <c r="I180" s="26">
        <f t="shared" si="10"/>
        <v>0</v>
      </c>
      <c r="J180" s="26">
        <f t="shared" si="11"/>
        <v>0</v>
      </c>
      <c r="K180" s="27">
        <f t="shared" si="12"/>
        <v>0</v>
      </c>
      <c r="L180" s="21"/>
    </row>
    <row r="181" spans="2:12" x14ac:dyDescent="0.2">
      <c r="B181" s="19"/>
      <c r="C181" s="11"/>
      <c r="D181" s="11"/>
      <c r="E181" s="11"/>
      <c r="F181" s="24">
        <f t="shared" si="13"/>
        <v>5326</v>
      </c>
      <c r="G181" s="25">
        <v>1</v>
      </c>
      <c r="H181" s="26">
        <f t="shared" si="14"/>
        <v>0</v>
      </c>
      <c r="I181" s="26">
        <f t="shared" si="10"/>
        <v>0</v>
      </c>
      <c r="J181" s="26">
        <f t="shared" si="11"/>
        <v>0</v>
      </c>
      <c r="K181" s="27">
        <f t="shared" si="12"/>
        <v>0</v>
      </c>
      <c r="L181" s="21"/>
    </row>
    <row r="182" spans="2:12" x14ac:dyDescent="0.2">
      <c r="B182" s="19"/>
      <c r="C182" s="11"/>
      <c r="D182" s="11"/>
      <c r="E182" s="11"/>
      <c r="F182" s="24">
        <f t="shared" si="13"/>
        <v>5357</v>
      </c>
      <c r="G182" s="32">
        <v>1</v>
      </c>
      <c r="H182" s="26">
        <f t="shared" si="14"/>
        <v>0</v>
      </c>
      <c r="I182" s="26">
        <f t="shared" si="10"/>
        <v>0</v>
      </c>
      <c r="J182" s="26">
        <f t="shared" si="11"/>
        <v>0</v>
      </c>
      <c r="K182" s="27">
        <f t="shared" si="12"/>
        <v>0</v>
      </c>
      <c r="L182" s="21"/>
    </row>
    <row r="183" spans="2:12" x14ac:dyDescent="0.2">
      <c r="B183" s="19"/>
      <c r="C183" s="11"/>
      <c r="D183" s="11"/>
      <c r="E183" s="11"/>
      <c r="F183" s="24">
        <f t="shared" si="13"/>
        <v>5387</v>
      </c>
      <c r="G183" s="25">
        <v>1</v>
      </c>
      <c r="H183" s="26">
        <f t="shared" si="14"/>
        <v>0</v>
      </c>
      <c r="I183" s="26">
        <f t="shared" si="10"/>
        <v>0</v>
      </c>
      <c r="J183" s="26">
        <f t="shared" si="11"/>
        <v>0</v>
      </c>
      <c r="K183" s="27">
        <f t="shared" si="12"/>
        <v>0</v>
      </c>
      <c r="L183" s="21"/>
    </row>
    <row r="184" spans="2:12" x14ac:dyDescent="0.2">
      <c r="B184" s="19"/>
      <c r="C184" s="11"/>
      <c r="D184" s="11"/>
      <c r="E184" s="11"/>
      <c r="F184" s="24">
        <f t="shared" si="13"/>
        <v>5418</v>
      </c>
      <c r="G184" s="32">
        <v>1</v>
      </c>
      <c r="H184" s="26">
        <f t="shared" si="14"/>
        <v>0</v>
      </c>
      <c r="I184" s="26">
        <f t="shared" si="10"/>
        <v>0</v>
      </c>
      <c r="J184" s="26">
        <f t="shared" si="11"/>
        <v>0</v>
      </c>
      <c r="K184" s="27">
        <f t="shared" si="12"/>
        <v>0</v>
      </c>
      <c r="L184" s="21"/>
    </row>
    <row r="185" spans="2:12" x14ac:dyDescent="0.2">
      <c r="B185" s="19"/>
      <c r="C185" s="11"/>
      <c r="D185" s="11"/>
      <c r="E185" s="11"/>
      <c r="F185" s="24">
        <f t="shared" si="13"/>
        <v>5448</v>
      </c>
      <c r="G185" s="25">
        <v>1</v>
      </c>
      <c r="H185" s="26">
        <f t="shared" si="14"/>
        <v>0</v>
      </c>
      <c r="I185" s="26">
        <f t="shared" si="10"/>
        <v>0</v>
      </c>
      <c r="J185" s="26">
        <f t="shared" si="11"/>
        <v>0</v>
      </c>
      <c r="K185" s="27">
        <f t="shared" si="12"/>
        <v>0</v>
      </c>
      <c r="L185" s="21"/>
    </row>
    <row r="186" spans="2:12" x14ac:dyDescent="0.2">
      <c r="B186" s="19"/>
      <c r="C186" s="11"/>
      <c r="D186" s="11"/>
      <c r="E186" s="11"/>
      <c r="F186" s="24">
        <f t="shared" si="13"/>
        <v>5479</v>
      </c>
      <c r="G186" s="32">
        <v>1</v>
      </c>
      <c r="H186" s="26">
        <f t="shared" si="14"/>
        <v>0</v>
      </c>
      <c r="I186" s="26">
        <f t="shared" si="10"/>
        <v>0</v>
      </c>
      <c r="J186" s="26">
        <f t="shared" si="11"/>
        <v>0</v>
      </c>
      <c r="K186" s="27">
        <f t="shared" si="12"/>
        <v>0</v>
      </c>
      <c r="L186" s="21"/>
    </row>
    <row r="187" spans="2:12" x14ac:dyDescent="0.2">
      <c r="B187" s="19"/>
      <c r="C187" s="11"/>
      <c r="D187" s="11"/>
      <c r="E187" s="11"/>
      <c r="F187" s="24">
        <f t="shared" si="13"/>
        <v>5510</v>
      </c>
      <c r="G187" s="25">
        <v>1</v>
      </c>
      <c r="H187" s="26">
        <f t="shared" si="14"/>
        <v>0</v>
      </c>
      <c r="I187" s="26">
        <f t="shared" si="10"/>
        <v>0</v>
      </c>
      <c r="J187" s="26">
        <f t="shared" si="11"/>
        <v>0</v>
      </c>
      <c r="K187" s="27">
        <f t="shared" si="12"/>
        <v>0</v>
      </c>
      <c r="L187" s="21"/>
    </row>
    <row r="188" spans="2:12" x14ac:dyDescent="0.2">
      <c r="B188" s="19"/>
      <c r="C188" s="11"/>
      <c r="D188" s="11"/>
      <c r="E188" s="11"/>
      <c r="F188" s="24">
        <f t="shared" si="13"/>
        <v>5538</v>
      </c>
      <c r="G188" s="32">
        <v>1</v>
      </c>
      <c r="H188" s="26">
        <f t="shared" si="14"/>
        <v>0</v>
      </c>
      <c r="I188" s="26">
        <f t="shared" si="10"/>
        <v>0</v>
      </c>
      <c r="J188" s="26">
        <f t="shared" si="11"/>
        <v>0</v>
      </c>
      <c r="K188" s="27">
        <f t="shared" si="12"/>
        <v>0</v>
      </c>
      <c r="L188" s="21"/>
    </row>
    <row r="189" spans="2:12" x14ac:dyDescent="0.2">
      <c r="B189" s="19"/>
      <c r="C189" s="11"/>
      <c r="D189" s="11"/>
      <c r="E189" s="11"/>
      <c r="F189" s="24">
        <f t="shared" si="13"/>
        <v>5569</v>
      </c>
      <c r="G189" s="25">
        <v>1</v>
      </c>
      <c r="H189" s="26">
        <f t="shared" si="14"/>
        <v>0</v>
      </c>
      <c r="I189" s="26">
        <f t="shared" si="10"/>
        <v>0</v>
      </c>
      <c r="J189" s="26">
        <f t="shared" si="11"/>
        <v>0</v>
      </c>
      <c r="K189" s="27">
        <f t="shared" si="12"/>
        <v>0</v>
      </c>
      <c r="L189" s="21"/>
    </row>
    <row r="190" spans="2:12" x14ac:dyDescent="0.2">
      <c r="B190" s="19"/>
      <c r="C190" s="11"/>
      <c r="D190" s="11"/>
      <c r="E190" s="11"/>
      <c r="F190" s="24">
        <f t="shared" si="13"/>
        <v>5599</v>
      </c>
      <c r="G190" s="32">
        <v>1</v>
      </c>
      <c r="H190" s="26">
        <f t="shared" si="14"/>
        <v>0</v>
      </c>
      <c r="I190" s="26">
        <f t="shared" si="10"/>
        <v>0</v>
      </c>
      <c r="J190" s="26">
        <f t="shared" si="11"/>
        <v>0</v>
      </c>
      <c r="K190" s="27">
        <f t="shared" si="12"/>
        <v>0</v>
      </c>
      <c r="L190" s="21"/>
    </row>
    <row r="191" spans="2:12" x14ac:dyDescent="0.2">
      <c r="B191" s="19"/>
      <c r="C191" s="11"/>
      <c r="D191" s="11"/>
      <c r="E191" s="11"/>
      <c r="F191" s="24">
        <f t="shared" si="13"/>
        <v>5630</v>
      </c>
      <c r="G191" s="25">
        <v>1</v>
      </c>
      <c r="H191" s="26">
        <f t="shared" si="14"/>
        <v>0</v>
      </c>
      <c r="I191" s="26">
        <f t="shared" si="10"/>
        <v>0</v>
      </c>
      <c r="J191" s="26">
        <f t="shared" si="11"/>
        <v>0</v>
      </c>
      <c r="K191" s="27">
        <f t="shared" si="12"/>
        <v>0</v>
      </c>
      <c r="L191" s="21"/>
    </row>
    <row r="192" spans="2:12" x14ac:dyDescent="0.2">
      <c r="B192" s="19"/>
      <c r="C192" s="11"/>
      <c r="D192" s="11"/>
      <c r="E192" s="11"/>
      <c r="F192" s="24">
        <f t="shared" si="13"/>
        <v>5660</v>
      </c>
      <c r="G192" s="32">
        <v>1</v>
      </c>
      <c r="H192" s="26">
        <f t="shared" si="14"/>
        <v>0</v>
      </c>
      <c r="I192" s="26">
        <f t="shared" si="10"/>
        <v>0</v>
      </c>
      <c r="J192" s="26">
        <f t="shared" si="11"/>
        <v>0</v>
      </c>
      <c r="K192" s="27">
        <f t="shared" si="12"/>
        <v>0</v>
      </c>
      <c r="L192" s="21"/>
    </row>
    <row r="193" spans="2:12" x14ac:dyDescent="0.2">
      <c r="B193" s="19"/>
      <c r="C193" s="11"/>
      <c r="D193" s="11"/>
      <c r="E193" s="11"/>
      <c r="F193" s="24">
        <f t="shared" si="13"/>
        <v>5691</v>
      </c>
      <c r="G193" s="25">
        <v>1</v>
      </c>
      <c r="H193" s="26">
        <f t="shared" si="14"/>
        <v>0</v>
      </c>
      <c r="I193" s="26">
        <f t="shared" si="10"/>
        <v>0</v>
      </c>
      <c r="J193" s="26">
        <f t="shared" si="11"/>
        <v>0</v>
      </c>
      <c r="K193" s="27">
        <f t="shared" si="12"/>
        <v>0</v>
      </c>
      <c r="L193" s="21"/>
    </row>
    <row r="194" spans="2:12" x14ac:dyDescent="0.2">
      <c r="B194" s="19"/>
      <c r="C194" s="11"/>
      <c r="D194" s="11"/>
      <c r="E194" s="11"/>
      <c r="F194" s="24">
        <f t="shared" si="13"/>
        <v>5722</v>
      </c>
      <c r="G194" s="32">
        <v>1</v>
      </c>
      <c r="H194" s="26">
        <f t="shared" si="14"/>
        <v>0</v>
      </c>
      <c r="I194" s="26">
        <f t="shared" si="10"/>
        <v>0</v>
      </c>
      <c r="J194" s="26">
        <f t="shared" si="11"/>
        <v>0</v>
      </c>
      <c r="K194" s="27">
        <f t="shared" si="12"/>
        <v>0</v>
      </c>
      <c r="L194" s="21"/>
    </row>
    <row r="195" spans="2:12" x14ac:dyDescent="0.2">
      <c r="B195" s="19"/>
      <c r="C195" s="11"/>
      <c r="D195" s="11"/>
      <c r="E195" s="11"/>
      <c r="F195" s="24">
        <f t="shared" si="13"/>
        <v>5752</v>
      </c>
      <c r="G195" s="25">
        <v>1</v>
      </c>
      <c r="H195" s="26">
        <f t="shared" si="14"/>
        <v>0</v>
      </c>
      <c r="I195" s="26">
        <f t="shared" si="10"/>
        <v>0</v>
      </c>
      <c r="J195" s="26">
        <f t="shared" si="11"/>
        <v>0</v>
      </c>
      <c r="K195" s="27">
        <f t="shared" si="12"/>
        <v>0</v>
      </c>
      <c r="L195" s="21"/>
    </row>
    <row r="196" spans="2:12" x14ac:dyDescent="0.2">
      <c r="B196" s="19"/>
      <c r="C196" s="11"/>
      <c r="D196" s="11"/>
      <c r="E196" s="11"/>
      <c r="F196" s="24">
        <f t="shared" si="13"/>
        <v>5783</v>
      </c>
      <c r="G196" s="32">
        <v>1</v>
      </c>
      <c r="H196" s="26">
        <f t="shared" si="14"/>
        <v>0</v>
      </c>
      <c r="I196" s="26">
        <f t="shared" si="10"/>
        <v>0</v>
      </c>
      <c r="J196" s="26">
        <f t="shared" si="11"/>
        <v>0</v>
      </c>
      <c r="K196" s="27">
        <f t="shared" si="12"/>
        <v>0</v>
      </c>
      <c r="L196" s="21"/>
    </row>
    <row r="197" spans="2:12" x14ac:dyDescent="0.2">
      <c r="B197" s="19"/>
      <c r="C197" s="11"/>
      <c r="D197" s="11"/>
      <c r="E197" s="11"/>
      <c r="F197" s="24">
        <f t="shared" si="13"/>
        <v>5813</v>
      </c>
      <c r="G197" s="25">
        <v>1</v>
      </c>
      <c r="H197" s="26">
        <f t="shared" si="14"/>
        <v>0</v>
      </c>
      <c r="I197" s="26">
        <f t="shared" si="10"/>
        <v>0</v>
      </c>
      <c r="J197" s="26">
        <f t="shared" si="11"/>
        <v>0</v>
      </c>
      <c r="K197" s="27">
        <f t="shared" si="12"/>
        <v>0</v>
      </c>
      <c r="L197" s="21"/>
    </row>
    <row r="198" spans="2:12" x14ac:dyDescent="0.2">
      <c r="B198" s="19"/>
      <c r="C198" s="11"/>
      <c r="D198" s="11"/>
      <c r="E198" s="11"/>
      <c r="F198" s="24">
        <f t="shared" si="13"/>
        <v>5844</v>
      </c>
      <c r="G198" s="32">
        <v>1</v>
      </c>
      <c r="H198" s="26">
        <f t="shared" si="14"/>
        <v>0</v>
      </c>
      <c r="I198" s="26">
        <f t="shared" si="10"/>
        <v>0</v>
      </c>
      <c r="J198" s="26">
        <f t="shared" si="11"/>
        <v>0</v>
      </c>
      <c r="K198" s="27">
        <f t="shared" si="12"/>
        <v>0</v>
      </c>
      <c r="L198" s="21"/>
    </row>
    <row r="199" spans="2:12" x14ac:dyDescent="0.2">
      <c r="B199" s="19"/>
      <c r="C199" s="11"/>
      <c r="D199" s="11"/>
      <c r="E199" s="11"/>
      <c r="F199" s="24">
        <f t="shared" si="13"/>
        <v>5875</v>
      </c>
      <c r="G199" s="25">
        <v>1</v>
      </c>
      <c r="H199" s="26">
        <f t="shared" si="14"/>
        <v>0</v>
      </c>
      <c r="I199" s="26">
        <f t="shared" ref="I199:I262" si="15">$D$10</f>
        <v>0</v>
      </c>
      <c r="J199" s="26">
        <f t="shared" ref="J199:J262" si="16">(H199*$D$8)/12</f>
        <v>0</v>
      </c>
      <c r="K199" s="27">
        <f t="shared" ref="K199:K262" si="17">I199-J199</f>
        <v>0</v>
      </c>
      <c r="L199" s="21"/>
    </row>
    <row r="200" spans="2:12" x14ac:dyDescent="0.2">
      <c r="B200" s="19"/>
      <c r="C200" s="11"/>
      <c r="D200" s="11"/>
      <c r="E200" s="11"/>
      <c r="F200" s="24">
        <f t="shared" ref="F200:F263" si="18">EOMONTH(F199,1)</f>
        <v>5904</v>
      </c>
      <c r="G200" s="32">
        <v>1</v>
      </c>
      <c r="H200" s="26">
        <f t="shared" ref="H200:H263" si="19">H199-K199</f>
        <v>0</v>
      </c>
      <c r="I200" s="26">
        <f t="shared" si="15"/>
        <v>0</v>
      </c>
      <c r="J200" s="26">
        <f t="shared" si="16"/>
        <v>0</v>
      </c>
      <c r="K200" s="27">
        <f t="shared" si="17"/>
        <v>0</v>
      </c>
      <c r="L200" s="21"/>
    </row>
    <row r="201" spans="2:12" x14ac:dyDescent="0.2">
      <c r="B201" s="19"/>
      <c r="C201" s="11"/>
      <c r="D201" s="11"/>
      <c r="E201" s="11"/>
      <c r="F201" s="24">
        <f t="shared" si="18"/>
        <v>5935</v>
      </c>
      <c r="G201" s="25">
        <v>1</v>
      </c>
      <c r="H201" s="26">
        <f t="shared" si="19"/>
        <v>0</v>
      </c>
      <c r="I201" s="26">
        <f t="shared" si="15"/>
        <v>0</v>
      </c>
      <c r="J201" s="26">
        <f t="shared" si="16"/>
        <v>0</v>
      </c>
      <c r="K201" s="27">
        <f t="shared" si="17"/>
        <v>0</v>
      </c>
      <c r="L201" s="21"/>
    </row>
    <row r="202" spans="2:12" x14ac:dyDescent="0.2">
      <c r="B202" s="19"/>
      <c r="C202" s="11"/>
      <c r="D202" s="11"/>
      <c r="E202" s="11"/>
      <c r="F202" s="24">
        <f t="shared" si="18"/>
        <v>5965</v>
      </c>
      <c r="G202" s="32">
        <v>1</v>
      </c>
      <c r="H202" s="26">
        <f t="shared" si="19"/>
        <v>0</v>
      </c>
      <c r="I202" s="26">
        <f t="shared" si="15"/>
        <v>0</v>
      </c>
      <c r="J202" s="26">
        <f t="shared" si="16"/>
        <v>0</v>
      </c>
      <c r="K202" s="27">
        <f t="shared" si="17"/>
        <v>0</v>
      </c>
      <c r="L202" s="21"/>
    </row>
    <row r="203" spans="2:12" x14ac:dyDescent="0.2">
      <c r="B203" s="19"/>
      <c r="C203" s="11"/>
      <c r="D203" s="11"/>
      <c r="E203" s="11"/>
      <c r="F203" s="24">
        <f t="shared" si="18"/>
        <v>5996</v>
      </c>
      <c r="G203" s="25">
        <v>1</v>
      </c>
      <c r="H203" s="26">
        <f t="shared" si="19"/>
        <v>0</v>
      </c>
      <c r="I203" s="26">
        <f t="shared" si="15"/>
        <v>0</v>
      </c>
      <c r="J203" s="26">
        <f t="shared" si="16"/>
        <v>0</v>
      </c>
      <c r="K203" s="27">
        <f t="shared" si="17"/>
        <v>0</v>
      </c>
      <c r="L203" s="21"/>
    </row>
    <row r="204" spans="2:12" x14ac:dyDescent="0.2">
      <c r="B204" s="19"/>
      <c r="C204" s="11"/>
      <c r="D204" s="11"/>
      <c r="E204" s="11"/>
      <c r="F204" s="24">
        <f t="shared" si="18"/>
        <v>6026</v>
      </c>
      <c r="G204" s="32">
        <v>1</v>
      </c>
      <c r="H204" s="26">
        <f t="shared" si="19"/>
        <v>0</v>
      </c>
      <c r="I204" s="26">
        <f t="shared" si="15"/>
        <v>0</v>
      </c>
      <c r="J204" s="26">
        <f t="shared" si="16"/>
        <v>0</v>
      </c>
      <c r="K204" s="27">
        <f t="shared" si="17"/>
        <v>0</v>
      </c>
      <c r="L204" s="21"/>
    </row>
    <row r="205" spans="2:12" x14ac:dyDescent="0.2">
      <c r="B205" s="19"/>
      <c r="C205" s="11"/>
      <c r="D205" s="11"/>
      <c r="E205" s="11"/>
      <c r="F205" s="24">
        <f t="shared" si="18"/>
        <v>6057</v>
      </c>
      <c r="G205" s="25">
        <v>1</v>
      </c>
      <c r="H205" s="26">
        <f t="shared" si="19"/>
        <v>0</v>
      </c>
      <c r="I205" s="26">
        <f t="shared" si="15"/>
        <v>0</v>
      </c>
      <c r="J205" s="26">
        <f t="shared" si="16"/>
        <v>0</v>
      </c>
      <c r="K205" s="27">
        <f t="shared" si="17"/>
        <v>0</v>
      </c>
      <c r="L205" s="21"/>
    </row>
    <row r="206" spans="2:12" x14ac:dyDescent="0.2">
      <c r="B206" s="19"/>
      <c r="C206" s="11"/>
      <c r="D206" s="11"/>
      <c r="E206" s="11"/>
      <c r="F206" s="24">
        <f t="shared" si="18"/>
        <v>6088</v>
      </c>
      <c r="G206" s="32">
        <v>1</v>
      </c>
      <c r="H206" s="26">
        <f t="shared" si="19"/>
        <v>0</v>
      </c>
      <c r="I206" s="26">
        <f t="shared" si="15"/>
        <v>0</v>
      </c>
      <c r="J206" s="26">
        <f t="shared" si="16"/>
        <v>0</v>
      </c>
      <c r="K206" s="27">
        <f t="shared" si="17"/>
        <v>0</v>
      </c>
      <c r="L206" s="21"/>
    </row>
    <row r="207" spans="2:12" x14ac:dyDescent="0.2">
      <c r="B207" s="19"/>
      <c r="C207" s="11"/>
      <c r="D207" s="11"/>
      <c r="E207" s="11"/>
      <c r="F207" s="24">
        <f t="shared" si="18"/>
        <v>6118</v>
      </c>
      <c r="G207" s="25">
        <v>1</v>
      </c>
      <c r="H207" s="26">
        <f t="shared" si="19"/>
        <v>0</v>
      </c>
      <c r="I207" s="26">
        <f t="shared" si="15"/>
        <v>0</v>
      </c>
      <c r="J207" s="26">
        <f t="shared" si="16"/>
        <v>0</v>
      </c>
      <c r="K207" s="27">
        <f t="shared" si="17"/>
        <v>0</v>
      </c>
      <c r="L207" s="21"/>
    </row>
    <row r="208" spans="2:12" x14ac:dyDescent="0.2">
      <c r="B208" s="19"/>
      <c r="C208" s="11"/>
      <c r="D208" s="11"/>
      <c r="E208" s="11"/>
      <c r="F208" s="24">
        <f t="shared" si="18"/>
        <v>6149</v>
      </c>
      <c r="G208" s="32">
        <v>1</v>
      </c>
      <c r="H208" s="26">
        <f t="shared" si="19"/>
        <v>0</v>
      </c>
      <c r="I208" s="26">
        <f t="shared" si="15"/>
        <v>0</v>
      </c>
      <c r="J208" s="26">
        <f t="shared" si="16"/>
        <v>0</v>
      </c>
      <c r="K208" s="27">
        <f t="shared" si="17"/>
        <v>0</v>
      </c>
      <c r="L208" s="21"/>
    </row>
    <row r="209" spans="2:12" x14ac:dyDescent="0.2">
      <c r="B209" s="19"/>
      <c r="C209" s="11"/>
      <c r="D209" s="11"/>
      <c r="E209" s="11"/>
      <c r="F209" s="24">
        <f t="shared" si="18"/>
        <v>6179</v>
      </c>
      <c r="G209" s="25">
        <v>1</v>
      </c>
      <c r="H209" s="26">
        <f t="shared" si="19"/>
        <v>0</v>
      </c>
      <c r="I209" s="26">
        <f t="shared" si="15"/>
        <v>0</v>
      </c>
      <c r="J209" s="26">
        <f t="shared" si="16"/>
        <v>0</v>
      </c>
      <c r="K209" s="27">
        <f t="shared" si="17"/>
        <v>0</v>
      </c>
      <c r="L209" s="21"/>
    </row>
    <row r="210" spans="2:12" x14ac:dyDescent="0.2">
      <c r="B210" s="19"/>
      <c r="C210" s="11"/>
      <c r="D210" s="11"/>
      <c r="E210" s="11"/>
      <c r="F210" s="24">
        <f t="shared" si="18"/>
        <v>6210</v>
      </c>
      <c r="G210" s="32">
        <v>1</v>
      </c>
      <c r="H210" s="26">
        <f t="shared" si="19"/>
        <v>0</v>
      </c>
      <c r="I210" s="26">
        <f t="shared" si="15"/>
        <v>0</v>
      </c>
      <c r="J210" s="26">
        <f t="shared" si="16"/>
        <v>0</v>
      </c>
      <c r="K210" s="27">
        <f t="shared" si="17"/>
        <v>0</v>
      </c>
      <c r="L210" s="21"/>
    </row>
    <row r="211" spans="2:12" x14ac:dyDescent="0.2">
      <c r="B211" s="19"/>
      <c r="C211" s="11"/>
      <c r="D211" s="11"/>
      <c r="E211" s="11"/>
      <c r="F211" s="24">
        <f t="shared" si="18"/>
        <v>6241</v>
      </c>
      <c r="G211" s="25">
        <v>1</v>
      </c>
      <c r="H211" s="26">
        <f t="shared" si="19"/>
        <v>0</v>
      </c>
      <c r="I211" s="26">
        <f t="shared" si="15"/>
        <v>0</v>
      </c>
      <c r="J211" s="26">
        <f t="shared" si="16"/>
        <v>0</v>
      </c>
      <c r="K211" s="27">
        <f t="shared" si="17"/>
        <v>0</v>
      </c>
      <c r="L211" s="21"/>
    </row>
    <row r="212" spans="2:12" x14ac:dyDescent="0.2">
      <c r="B212" s="19"/>
      <c r="C212" s="11"/>
      <c r="D212" s="11"/>
      <c r="E212" s="11"/>
      <c r="F212" s="24">
        <f t="shared" si="18"/>
        <v>6269</v>
      </c>
      <c r="G212" s="32">
        <v>1</v>
      </c>
      <c r="H212" s="26">
        <f t="shared" si="19"/>
        <v>0</v>
      </c>
      <c r="I212" s="26">
        <f t="shared" si="15"/>
        <v>0</v>
      </c>
      <c r="J212" s="26">
        <f t="shared" si="16"/>
        <v>0</v>
      </c>
      <c r="K212" s="27">
        <f t="shared" si="17"/>
        <v>0</v>
      </c>
      <c r="L212" s="21"/>
    </row>
    <row r="213" spans="2:12" x14ac:dyDescent="0.2">
      <c r="B213" s="19"/>
      <c r="C213" s="11"/>
      <c r="D213" s="11"/>
      <c r="E213" s="11"/>
      <c r="F213" s="24">
        <f t="shared" si="18"/>
        <v>6300</v>
      </c>
      <c r="G213" s="25">
        <v>1</v>
      </c>
      <c r="H213" s="26">
        <f t="shared" si="19"/>
        <v>0</v>
      </c>
      <c r="I213" s="26">
        <f t="shared" si="15"/>
        <v>0</v>
      </c>
      <c r="J213" s="26">
        <f t="shared" si="16"/>
        <v>0</v>
      </c>
      <c r="K213" s="27">
        <f t="shared" si="17"/>
        <v>0</v>
      </c>
      <c r="L213" s="21"/>
    </row>
    <row r="214" spans="2:12" x14ac:dyDescent="0.2">
      <c r="B214" s="19"/>
      <c r="C214" s="11"/>
      <c r="D214" s="11"/>
      <c r="E214" s="11"/>
      <c r="F214" s="24">
        <f t="shared" si="18"/>
        <v>6330</v>
      </c>
      <c r="G214" s="32">
        <v>1</v>
      </c>
      <c r="H214" s="26">
        <f t="shared" si="19"/>
        <v>0</v>
      </c>
      <c r="I214" s="26">
        <f t="shared" si="15"/>
        <v>0</v>
      </c>
      <c r="J214" s="26">
        <f t="shared" si="16"/>
        <v>0</v>
      </c>
      <c r="K214" s="27">
        <f t="shared" si="17"/>
        <v>0</v>
      </c>
      <c r="L214" s="21"/>
    </row>
    <row r="215" spans="2:12" x14ac:dyDescent="0.2">
      <c r="B215" s="19"/>
      <c r="C215" s="11"/>
      <c r="D215" s="11"/>
      <c r="E215" s="11"/>
      <c r="F215" s="24">
        <f t="shared" si="18"/>
        <v>6361</v>
      </c>
      <c r="G215" s="25">
        <v>1</v>
      </c>
      <c r="H215" s="26">
        <f t="shared" si="19"/>
        <v>0</v>
      </c>
      <c r="I215" s="26">
        <f t="shared" si="15"/>
        <v>0</v>
      </c>
      <c r="J215" s="26">
        <f t="shared" si="16"/>
        <v>0</v>
      </c>
      <c r="K215" s="27">
        <f t="shared" si="17"/>
        <v>0</v>
      </c>
      <c r="L215" s="21"/>
    </row>
    <row r="216" spans="2:12" x14ac:dyDescent="0.2">
      <c r="B216" s="19"/>
      <c r="C216" s="11"/>
      <c r="D216" s="11"/>
      <c r="E216" s="11"/>
      <c r="F216" s="24">
        <f t="shared" si="18"/>
        <v>6391</v>
      </c>
      <c r="G216" s="32">
        <v>1</v>
      </c>
      <c r="H216" s="26">
        <f t="shared" si="19"/>
        <v>0</v>
      </c>
      <c r="I216" s="26">
        <f t="shared" si="15"/>
        <v>0</v>
      </c>
      <c r="J216" s="26">
        <f t="shared" si="16"/>
        <v>0</v>
      </c>
      <c r="K216" s="27">
        <f t="shared" si="17"/>
        <v>0</v>
      </c>
      <c r="L216" s="21"/>
    </row>
    <row r="217" spans="2:12" x14ac:dyDescent="0.2">
      <c r="B217" s="19"/>
      <c r="C217" s="11"/>
      <c r="D217" s="11"/>
      <c r="E217" s="11"/>
      <c r="F217" s="24">
        <f t="shared" si="18"/>
        <v>6422</v>
      </c>
      <c r="G217" s="25">
        <v>1</v>
      </c>
      <c r="H217" s="26">
        <f t="shared" si="19"/>
        <v>0</v>
      </c>
      <c r="I217" s="26">
        <f t="shared" si="15"/>
        <v>0</v>
      </c>
      <c r="J217" s="26">
        <f t="shared" si="16"/>
        <v>0</v>
      </c>
      <c r="K217" s="27">
        <f t="shared" si="17"/>
        <v>0</v>
      </c>
      <c r="L217" s="21"/>
    </row>
    <row r="218" spans="2:12" x14ac:dyDescent="0.2">
      <c r="B218" s="19"/>
      <c r="C218" s="11"/>
      <c r="D218" s="11"/>
      <c r="E218" s="11"/>
      <c r="F218" s="24">
        <f t="shared" si="18"/>
        <v>6453</v>
      </c>
      <c r="G218" s="32">
        <v>1</v>
      </c>
      <c r="H218" s="26">
        <f t="shared" si="19"/>
        <v>0</v>
      </c>
      <c r="I218" s="26">
        <f t="shared" si="15"/>
        <v>0</v>
      </c>
      <c r="J218" s="26">
        <f t="shared" si="16"/>
        <v>0</v>
      </c>
      <c r="K218" s="27">
        <f t="shared" si="17"/>
        <v>0</v>
      </c>
      <c r="L218" s="21"/>
    </row>
    <row r="219" spans="2:12" x14ac:dyDescent="0.2">
      <c r="B219" s="19"/>
      <c r="C219" s="11"/>
      <c r="D219" s="11"/>
      <c r="E219" s="11"/>
      <c r="F219" s="24">
        <f t="shared" si="18"/>
        <v>6483</v>
      </c>
      <c r="G219" s="25">
        <v>1</v>
      </c>
      <c r="H219" s="26">
        <f t="shared" si="19"/>
        <v>0</v>
      </c>
      <c r="I219" s="26">
        <f t="shared" si="15"/>
        <v>0</v>
      </c>
      <c r="J219" s="26">
        <f t="shared" si="16"/>
        <v>0</v>
      </c>
      <c r="K219" s="27">
        <f t="shared" si="17"/>
        <v>0</v>
      </c>
      <c r="L219" s="21"/>
    </row>
    <row r="220" spans="2:12" x14ac:dyDescent="0.2">
      <c r="B220" s="19"/>
      <c r="C220" s="11"/>
      <c r="D220" s="11"/>
      <c r="E220" s="11"/>
      <c r="F220" s="24">
        <f t="shared" si="18"/>
        <v>6514</v>
      </c>
      <c r="G220" s="32">
        <v>1</v>
      </c>
      <c r="H220" s="26">
        <f t="shared" si="19"/>
        <v>0</v>
      </c>
      <c r="I220" s="26">
        <f t="shared" si="15"/>
        <v>0</v>
      </c>
      <c r="J220" s="26">
        <f t="shared" si="16"/>
        <v>0</v>
      </c>
      <c r="K220" s="27">
        <f t="shared" si="17"/>
        <v>0</v>
      </c>
      <c r="L220" s="21"/>
    </row>
    <row r="221" spans="2:12" x14ac:dyDescent="0.2">
      <c r="B221" s="19"/>
      <c r="C221" s="11"/>
      <c r="D221" s="11"/>
      <c r="E221" s="11"/>
      <c r="F221" s="24">
        <f t="shared" si="18"/>
        <v>6544</v>
      </c>
      <c r="G221" s="25">
        <v>1</v>
      </c>
      <c r="H221" s="26">
        <f t="shared" si="19"/>
        <v>0</v>
      </c>
      <c r="I221" s="26">
        <f t="shared" si="15"/>
        <v>0</v>
      </c>
      <c r="J221" s="26">
        <f t="shared" si="16"/>
        <v>0</v>
      </c>
      <c r="K221" s="27">
        <f t="shared" si="17"/>
        <v>0</v>
      </c>
      <c r="L221" s="21"/>
    </row>
    <row r="222" spans="2:12" x14ac:dyDescent="0.2">
      <c r="B222" s="19"/>
      <c r="C222" s="11"/>
      <c r="D222" s="11"/>
      <c r="E222" s="11"/>
      <c r="F222" s="24">
        <f t="shared" si="18"/>
        <v>6575</v>
      </c>
      <c r="G222" s="32">
        <v>1</v>
      </c>
      <c r="H222" s="26">
        <f t="shared" si="19"/>
        <v>0</v>
      </c>
      <c r="I222" s="26">
        <f t="shared" si="15"/>
        <v>0</v>
      </c>
      <c r="J222" s="26">
        <f t="shared" si="16"/>
        <v>0</v>
      </c>
      <c r="K222" s="27">
        <f t="shared" si="17"/>
        <v>0</v>
      </c>
      <c r="L222" s="21"/>
    </row>
    <row r="223" spans="2:12" x14ac:dyDescent="0.2">
      <c r="B223" s="19"/>
      <c r="C223" s="11"/>
      <c r="D223" s="11"/>
      <c r="E223" s="11"/>
      <c r="F223" s="24">
        <f t="shared" si="18"/>
        <v>6606</v>
      </c>
      <c r="G223" s="25">
        <v>1</v>
      </c>
      <c r="H223" s="26">
        <f t="shared" si="19"/>
        <v>0</v>
      </c>
      <c r="I223" s="26">
        <f t="shared" si="15"/>
        <v>0</v>
      </c>
      <c r="J223" s="26">
        <f t="shared" si="16"/>
        <v>0</v>
      </c>
      <c r="K223" s="27">
        <f t="shared" si="17"/>
        <v>0</v>
      </c>
      <c r="L223" s="21"/>
    </row>
    <row r="224" spans="2:12" x14ac:dyDescent="0.2">
      <c r="B224" s="19"/>
      <c r="C224" s="11"/>
      <c r="D224" s="11"/>
      <c r="E224" s="11"/>
      <c r="F224" s="24">
        <f t="shared" si="18"/>
        <v>6634</v>
      </c>
      <c r="G224" s="32">
        <v>1</v>
      </c>
      <c r="H224" s="26">
        <f t="shared" si="19"/>
        <v>0</v>
      </c>
      <c r="I224" s="26">
        <f t="shared" si="15"/>
        <v>0</v>
      </c>
      <c r="J224" s="26">
        <f t="shared" si="16"/>
        <v>0</v>
      </c>
      <c r="K224" s="27">
        <f t="shared" si="17"/>
        <v>0</v>
      </c>
      <c r="L224" s="21"/>
    </row>
    <row r="225" spans="2:12" x14ac:dyDescent="0.2">
      <c r="B225" s="19"/>
      <c r="C225" s="11"/>
      <c r="D225" s="11"/>
      <c r="E225" s="11"/>
      <c r="F225" s="24">
        <f t="shared" si="18"/>
        <v>6665</v>
      </c>
      <c r="G225" s="25">
        <v>1</v>
      </c>
      <c r="H225" s="26">
        <f t="shared" si="19"/>
        <v>0</v>
      </c>
      <c r="I225" s="26">
        <f t="shared" si="15"/>
        <v>0</v>
      </c>
      <c r="J225" s="26">
        <f t="shared" si="16"/>
        <v>0</v>
      </c>
      <c r="K225" s="27">
        <f t="shared" si="17"/>
        <v>0</v>
      </c>
      <c r="L225" s="21"/>
    </row>
    <row r="226" spans="2:12" x14ac:dyDescent="0.2">
      <c r="B226" s="19"/>
      <c r="C226" s="11"/>
      <c r="D226" s="11"/>
      <c r="E226" s="11"/>
      <c r="F226" s="24">
        <f t="shared" si="18"/>
        <v>6695</v>
      </c>
      <c r="G226" s="32">
        <v>1</v>
      </c>
      <c r="H226" s="26">
        <f t="shared" si="19"/>
        <v>0</v>
      </c>
      <c r="I226" s="26">
        <f t="shared" si="15"/>
        <v>0</v>
      </c>
      <c r="J226" s="26">
        <f t="shared" si="16"/>
        <v>0</v>
      </c>
      <c r="K226" s="27">
        <f t="shared" si="17"/>
        <v>0</v>
      </c>
      <c r="L226" s="21"/>
    </row>
    <row r="227" spans="2:12" x14ac:dyDescent="0.2">
      <c r="B227" s="19"/>
      <c r="C227" s="11"/>
      <c r="D227" s="11"/>
      <c r="E227" s="11"/>
      <c r="F227" s="24">
        <f t="shared" si="18"/>
        <v>6726</v>
      </c>
      <c r="G227" s="25">
        <v>1</v>
      </c>
      <c r="H227" s="26">
        <f t="shared" si="19"/>
        <v>0</v>
      </c>
      <c r="I227" s="26">
        <f t="shared" si="15"/>
        <v>0</v>
      </c>
      <c r="J227" s="26">
        <f t="shared" si="16"/>
        <v>0</v>
      </c>
      <c r="K227" s="27">
        <f t="shared" si="17"/>
        <v>0</v>
      </c>
      <c r="L227" s="21"/>
    </row>
    <row r="228" spans="2:12" x14ac:dyDescent="0.2">
      <c r="B228" s="19"/>
      <c r="C228" s="11"/>
      <c r="D228" s="11"/>
      <c r="E228" s="11"/>
      <c r="F228" s="24">
        <f t="shared" si="18"/>
        <v>6756</v>
      </c>
      <c r="G228" s="32">
        <v>1</v>
      </c>
      <c r="H228" s="26">
        <f t="shared" si="19"/>
        <v>0</v>
      </c>
      <c r="I228" s="26">
        <f t="shared" si="15"/>
        <v>0</v>
      </c>
      <c r="J228" s="26">
        <f t="shared" si="16"/>
        <v>0</v>
      </c>
      <c r="K228" s="27">
        <f t="shared" si="17"/>
        <v>0</v>
      </c>
      <c r="L228" s="21"/>
    </row>
    <row r="229" spans="2:12" x14ac:dyDescent="0.2">
      <c r="B229" s="19"/>
      <c r="C229" s="11"/>
      <c r="D229" s="11"/>
      <c r="E229" s="11"/>
      <c r="F229" s="24">
        <f t="shared" si="18"/>
        <v>6787</v>
      </c>
      <c r="G229" s="25">
        <v>1</v>
      </c>
      <c r="H229" s="26">
        <f t="shared" si="19"/>
        <v>0</v>
      </c>
      <c r="I229" s="26">
        <f t="shared" si="15"/>
        <v>0</v>
      </c>
      <c r="J229" s="26">
        <f t="shared" si="16"/>
        <v>0</v>
      </c>
      <c r="K229" s="27">
        <f t="shared" si="17"/>
        <v>0</v>
      </c>
      <c r="L229" s="21"/>
    </row>
    <row r="230" spans="2:12" x14ac:dyDescent="0.2">
      <c r="B230" s="19"/>
      <c r="C230" s="11"/>
      <c r="D230" s="11"/>
      <c r="E230" s="11"/>
      <c r="F230" s="24">
        <f t="shared" si="18"/>
        <v>6818</v>
      </c>
      <c r="G230" s="32">
        <v>1</v>
      </c>
      <c r="H230" s="26">
        <f t="shared" si="19"/>
        <v>0</v>
      </c>
      <c r="I230" s="26">
        <f t="shared" si="15"/>
        <v>0</v>
      </c>
      <c r="J230" s="26">
        <f t="shared" si="16"/>
        <v>0</v>
      </c>
      <c r="K230" s="27">
        <f t="shared" si="17"/>
        <v>0</v>
      </c>
      <c r="L230" s="21"/>
    </row>
    <row r="231" spans="2:12" x14ac:dyDescent="0.2">
      <c r="B231" s="19"/>
      <c r="C231" s="11"/>
      <c r="D231" s="11"/>
      <c r="E231" s="11"/>
      <c r="F231" s="24">
        <f t="shared" si="18"/>
        <v>6848</v>
      </c>
      <c r="G231" s="25">
        <v>1</v>
      </c>
      <c r="H231" s="26">
        <f t="shared" si="19"/>
        <v>0</v>
      </c>
      <c r="I231" s="26">
        <f t="shared" si="15"/>
        <v>0</v>
      </c>
      <c r="J231" s="26">
        <f t="shared" si="16"/>
        <v>0</v>
      </c>
      <c r="K231" s="27">
        <f t="shared" si="17"/>
        <v>0</v>
      </c>
      <c r="L231" s="21"/>
    </row>
    <row r="232" spans="2:12" x14ac:dyDescent="0.2">
      <c r="B232" s="19"/>
      <c r="C232" s="11"/>
      <c r="D232" s="11"/>
      <c r="E232" s="11"/>
      <c r="F232" s="24">
        <f t="shared" si="18"/>
        <v>6879</v>
      </c>
      <c r="G232" s="32">
        <v>1</v>
      </c>
      <c r="H232" s="26">
        <f t="shared" si="19"/>
        <v>0</v>
      </c>
      <c r="I232" s="26">
        <f t="shared" si="15"/>
        <v>0</v>
      </c>
      <c r="J232" s="26">
        <f t="shared" si="16"/>
        <v>0</v>
      </c>
      <c r="K232" s="27">
        <f t="shared" si="17"/>
        <v>0</v>
      </c>
      <c r="L232" s="21"/>
    </row>
    <row r="233" spans="2:12" x14ac:dyDescent="0.2">
      <c r="B233" s="19"/>
      <c r="C233" s="11"/>
      <c r="D233" s="11"/>
      <c r="E233" s="11"/>
      <c r="F233" s="24">
        <f t="shared" si="18"/>
        <v>6909</v>
      </c>
      <c r="G233" s="25">
        <v>1</v>
      </c>
      <c r="H233" s="26">
        <f t="shared" si="19"/>
        <v>0</v>
      </c>
      <c r="I233" s="26">
        <f t="shared" si="15"/>
        <v>0</v>
      </c>
      <c r="J233" s="26">
        <f t="shared" si="16"/>
        <v>0</v>
      </c>
      <c r="K233" s="27">
        <f t="shared" si="17"/>
        <v>0</v>
      </c>
      <c r="L233" s="21"/>
    </row>
    <row r="234" spans="2:12" x14ac:dyDescent="0.2">
      <c r="B234" s="19"/>
      <c r="C234" s="11"/>
      <c r="D234" s="11"/>
      <c r="E234" s="11"/>
      <c r="F234" s="24">
        <f t="shared" si="18"/>
        <v>6940</v>
      </c>
      <c r="G234" s="32">
        <v>1</v>
      </c>
      <c r="H234" s="26">
        <f t="shared" si="19"/>
        <v>0</v>
      </c>
      <c r="I234" s="26">
        <f t="shared" si="15"/>
        <v>0</v>
      </c>
      <c r="J234" s="26">
        <f t="shared" si="16"/>
        <v>0</v>
      </c>
      <c r="K234" s="27">
        <f t="shared" si="17"/>
        <v>0</v>
      </c>
      <c r="L234" s="21"/>
    </row>
    <row r="235" spans="2:12" x14ac:dyDescent="0.2">
      <c r="B235" s="19"/>
      <c r="C235" s="11"/>
      <c r="D235" s="11"/>
      <c r="E235" s="11"/>
      <c r="F235" s="24">
        <f t="shared" si="18"/>
        <v>6971</v>
      </c>
      <c r="G235" s="25">
        <v>1</v>
      </c>
      <c r="H235" s="26">
        <f t="shared" si="19"/>
        <v>0</v>
      </c>
      <c r="I235" s="26">
        <f t="shared" si="15"/>
        <v>0</v>
      </c>
      <c r="J235" s="26">
        <f t="shared" si="16"/>
        <v>0</v>
      </c>
      <c r="K235" s="27">
        <f t="shared" si="17"/>
        <v>0</v>
      </c>
      <c r="L235" s="21"/>
    </row>
    <row r="236" spans="2:12" x14ac:dyDescent="0.2">
      <c r="B236" s="19"/>
      <c r="C236" s="11"/>
      <c r="D236" s="11"/>
      <c r="E236" s="11"/>
      <c r="F236" s="24">
        <f t="shared" si="18"/>
        <v>6999</v>
      </c>
      <c r="G236" s="32">
        <v>1</v>
      </c>
      <c r="H236" s="26">
        <f t="shared" si="19"/>
        <v>0</v>
      </c>
      <c r="I236" s="26">
        <f t="shared" si="15"/>
        <v>0</v>
      </c>
      <c r="J236" s="26">
        <f t="shared" si="16"/>
        <v>0</v>
      </c>
      <c r="K236" s="27">
        <f t="shared" si="17"/>
        <v>0</v>
      </c>
      <c r="L236" s="21"/>
    </row>
    <row r="237" spans="2:12" x14ac:dyDescent="0.2">
      <c r="B237" s="19"/>
      <c r="C237" s="11"/>
      <c r="D237" s="11"/>
      <c r="E237" s="11"/>
      <c r="F237" s="24">
        <f t="shared" si="18"/>
        <v>7030</v>
      </c>
      <c r="G237" s="25">
        <v>1</v>
      </c>
      <c r="H237" s="26">
        <f t="shared" si="19"/>
        <v>0</v>
      </c>
      <c r="I237" s="26">
        <f t="shared" si="15"/>
        <v>0</v>
      </c>
      <c r="J237" s="26">
        <f t="shared" si="16"/>
        <v>0</v>
      </c>
      <c r="K237" s="27">
        <f t="shared" si="17"/>
        <v>0</v>
      </c>
      <c r="L237" s="21"/>
    </row>
    <row r="238" spans="2:12" x14ac:dyDescent="0.2">
      <c r="B238" s="19"/>
      <c r="C238" s="11"/>
      <c r="D238" s="11"/>
      <c r="E238" s="11"/>
      <c r="F238" s="24">
        <f t="shared" si="18"/>
        <v>7060</v>
      </c>
      <c r="G238" s="32">
        <v>1</v>
      </c>
      <c r="H238" s="26">
        <f t="shared" si="19"/>
        <v>0</v>
      </c>
      <c r="I238" s="26">
        <f t="shared" si="15"/>
        <v>0</v>
      </c>
      <c r="J238" s="26">
        <f t="shared" si="16"/>
        <v>0</v>
      </c>
      <c r="K238" s="27">
        <f t="shared" si="17"/>
        <v>0</v>
      </c>
      <c r="L238" s="21"/>
    </row>
    <row r="239" spans="2:12" x14ac:dyDescent="0.2">
      <c r="B239" s="19"/>
      <c r="C239" s="11"/>
      <c r="D239" s="11"/>
      <c r="E239" s="11"/>
      <c r="F239" s="24">
        <f t="shared" si="18"/>
        <v>7091</v>
      </c>
      <c r="G239" s="25">
        <v>1</v>
      </c>
      <c r="H239" s="26">
        <f t="shared" si="19"/>
        <v>0</v>
      </c>
      <c r="I239" s="26">
        <f t="shared" si="15"/>
        <v>0</v>
      </c>
      <c r="J239" s="26">
        <f t="shared" si="16"/>
        <v>0</v>
      </c>
      <c r="K239" s="27">
        <f t="shared" si="17"/>
        <v>0</v>
      </c>
      <c r="L239" s="21"/>
    </row>
    <row r="240" spans="2:12" x14ac:dyDescent="0.2">
      <c r="B240" s="19"/>
      <c r="C240" s="11"/>
      <c r="D240" s="11"/>
      <c r="E240" s="11"/>
      <c r="F240" s="24">
        <f t="shared" si="18"/>
        <v>7121</v>
      </c>
      <c r="G240" s="32">
        <v>1</v>
      </c>
      <c r="H240" s="26">
        <f t="shared" si="19"/>
        <v>0</v>
      </c>
      <c r="I240" s="26">
        <f t="shared" si="15"/>
        <v>0</v>
      </c>
      <c r="J240" s="26">
        <f t="shared" si="16"/>
        <v>0</v>
      </c>
      <c r="K240" s="27">
        <f t="shared" si="17"/>
        <v>0</v>
      </c>
      <c r="L240" s="21"/>
    </row>
    <row r="241" spans="2:12" x14ac:dyDescent="0.2">
      <c r="B241" s="19"/>
      <c r="C241" s="11"/>
      <c r="D241" s="11"/>
      <c r="E241" s="11"/>
      <c r="F241" s="24">
        <f t="shared" si="18"/>
        <v>7152</v>
      </c>
      <c r="G241" s="25">
        <v>1</v>
      </c>
      <c r="H241" s="26">
        <f t="shared" si="19"/>
        <v>0</v>
      </c>
      <c r="I241" s="26">
        <f t="shared" si="15"/>
        <v>0</v>
      </c>
      <c r="J241" s="26">
        <f t="shared" si="16"/>
        <v>0</v>
      </c>
      <c r="K241" s="27">
        <f t="shared" si="17"/>
        <v>0</v>
      </c>
      <c r="L241" s="21"/>
    </row>
    <row r="242" spans="2:12" x14ac:dyDescent="0.2">
      <c r="B242" s="19"/>
      <c r="C242" s="11"/>
      <c r="D242" s="11"/>
      <c r="E242" s="11"/>
      <c r="F242" s="24">
        <f t="shared" si="18"/>
        <v>7183</v>
      </c>
      <c r="G242" s="32">
        <v>1</v>
      </c>
      <c r="H242" s="26">
        <f t="shared" si="19"/>
        <v>0</v>
      </c>
      <c r="I242" s="26">
        <f t="shared" si="15"/>
        <v>0</v>
      </c>
      <c r="J242" s="26">
        <f t="shared" si="16"/>
        <v>0</v>
      </c>
      <c r="K242" s="27">
        <f t="shared" si="17"/>
        <v>0</v>
      </c>
      <c r="L242" s="21"/>
    </row>
    <row r="243" spans="2:12" x14ac:dyDescent="0.2">
      <c r="B243" s="19"/>
      <c r="C243" s="11"/>
      <c r="D243" s="11"/>
      <c r="E243" s="11"/>
      <c r="F243" s="24">
        <f t="shared" si="18"/>
        <v>7213</v>
      </c>
      <c r="G243" s="25">
        <v>1</v>
      </c>
      <c r="H243" s="26">
        <f t="shared" si="19"/>
        <v>0</v>
      </c>
      <c r="I243" s="26">
        <f t="shared" si="15"/>
        <v>0</v>
      </c>
      <c r="J243" s="26">
        <f t="shared" si="16"/>
        <v>0</v>
      </c>
      <c r="K243" s="27">
        <f t="shared" si="17"/>
        <v>0</v>
      </c>
      <c r="L243" s="21"/>
    </row>
    <row r="244" spans="2:12" x14ac:dyDescent="0.2">
      <c r="B244" s="19"/>
      <c r="C244" s="11"/>
      <c r="D244" s="11"/>
      <c r="E244" s="11"/>
      <c r="F244" s="24">
        <f t="shared" si="18"/>
        <v>7244</v>
      </c>
      <c r="G244" s="32">
        <v>1</v>
      </c>
      <c r="H244" s="26">
        <f t="shared" si="19"/>
        <v>0</v>
      </c>
      <c r="I244" s="26">
        <f t="shared" si="15"/>
        <v>0</v>
      </c>
      <c r="J244" s="26">
        <f t="shared" si="16"/>
        <v>0</v>
      </c>
      <c r="K244" s="27">
        <f t="shared" si="17"/>
        <v>0</v>
      </c>
      <c r="L244" s="21"/>
    </row>
    <row r="245" spans="2:12" x14ac:dyDescent="0.2">
      <c r="B245" s="19"/>
      <c r="C245" s="11"/>
      <c r="D245" s="11"/>
      <c r="E245" s="11"/>
      <c r="F245" s="24">
        <f t="shared" si="18"/>
        <v>7274</v>
      </c>
      <c r="G245" s="25">
        <v>1</v>
      </c>
      <c r="H245" s="26">
        <f t="shared" si="19"/>
        <v>0</v>
      </c>
      <c r="I245" s="26">
        <f t="shared" si="15"/>
        <v>0</v>
      </c>
      <c r="J245" s="26">
        <f t="shared" si="16"/>
        <v>0</v>
      </c>
      <c r="K245" s="27">
        <f t="shared" si="17"/>
        <v>0</v>
      </c>
      <c r="L245" s="21"/>
    </row>
    <row r="246" spans="2:12" x14ac:dyDescent="0.2">
      <c r="B246" s="19"/>
      <c r="C246" s="11"/>
      <c r="D246" s="11"/>
      <c r="E246" s="11"/>
      <c r="F246" s="24">
        <f t="shared" si="18"/>
        <v>7305</v>
      </c>
      <c r="G246" s="32">
        <v>1</v>
      </c>
      <c r="H246" s="26">
        <f t="shared" si="19"/>
        <v>0</v>
      </c>
      <c r="I246" s="26">
        <f t="shared" si="15"/>
        <v>0</v>
      </c>
      <c r="J246" s="26">
        <f t="shared" si="16"/>
        <v>0</v>
      </c>
      <c r="K246" s="27">
        <f t="shared" si="17"/>
        <v>0</v>
      </c>
      <c r="L246" s="21"/>
    </row>
    <row r="247" spans="2:12" x14ac:dyDescent="0.2">
      <c r="B247" s="19"/>
      <c r="C247" s="11"/>
      <c r="D247" s="11"/>
      <c r="E247" s="11"/>
      <c r="F247" s="24">
        <f t="shared" si="18"/>
        <v>7336</v>
      </c>
      <c r="G247" s="25">
        <v>1</v>
      </c>
      <c r="H247" s="26">
        <f t="shared" si="19"/>
        <v>0</v>
      </c>
      <c r="I247" s="26">
        <f t="shared" si="15"/>
        <v>0</v>
      </c>
      <c r="J247" s="26">
        <f t="shared" si="16"/>
        <v>0</v>
      </c>
      <c r="K247" s="27">
        <f t="shared" si="17"/>
        <v>0</v>
      </c>
      <c r="L247" s="21"/>
    </row>
    <row r="248" spans="2:12" x14ac:dyDescent="0.2">
      <c r="B248" s="19"/>
      <c r="C248" s="11"/>
      <c r="D248" s="11"/>
      <c r="E248" s="11"/>
      <c r="F248" s="24">
        <f t="shared" si="18"/>
        <v>7365</v>
      </c>
      <c r="G248" s="32">
        <v>1</v>
      </c>
      <c r="H248" s="26">
        <f t="shared" si="19"/>
        <v>0</v>
      </c>
      <c r="I248" s="26">
        <f t="shared" si="15"/>
        <v>0</v>
      </c>
      <c r="J248" s="26">
        <f t="shared" si="16"/>
        <v>0</v>
      </c>
      <c r="K248" s="27">
        <f t="shared" si="17"/>
        <v>0</v>
      </c>
      <c r="L248" s="21"/>
    </row>
    <row r="249" spans="2:12" x14ac:dyDescent="0.2">
      <c r="B249" s="19"/>
      <c r="C249" s="11"/>
      <c r="D249" s="11"/>
      <c r="E249" s="11"/>
      <c r="F249" s="24">
        <f t="shared" si="18"/>
        <v>7396</v>
      </c>
      <c r="G249" s="25">
        <v>1</v>
      </c>
      <c r="H249" s="26">
        <f t="shared" si="19"/>
        <v>0</v>
      </c>
      <c r="I249" s="26">
        <f t="shared" si="15"/>
        <v>0</v>
      </c>
      <c r="J249" s="26">
        <f t="shared" si="16"/>
        <v>0</v>
      </c>
      <c r="K249" s="27">
        <f t="shared" si="17"/>
        <v>0</v>
      </c>
      <c r="L249" s="21"/>
    </row>
    <row r="250" spans="2:12" x14ac:dyDescent="0.2">
      <c r="B250" s="19"/>
      <c r="C250" s="11"/>
      <c r="D250" s="11"/>
      <c r="E250" s="11"/>
      <c r="F250" s="24">
        <f t="shared" si="18"/>
        <v>7426</v>
      </c>
      <c r="G250" s="32">
        <v>1</v>
      </c>
      <c r="H250" s="26">
        <f t="shared" si="19"/>
        <v>0</v>
      </c>
      <c r="I250" s="26">
        <f t="shared" si="15"/>
        <v>0</v>
      </c>
      <c r="J250" s="26">
        <f t="shared" si="16"/>
        <v>0</v>
      </c>
      <c r="K250" s="27">
        <f t="shared" si="17"/>
        <v>0</v>
      </c>
      <c r="L250" s="21"/>
    </row>
    <row r="251" spans="2:12" x14ac:dyDescent="0.2">
      <c r="B251" s="19"/>
      <c r="C251" s="11"/>
      <c r="D251" s="11"/>
      <c r="E251" s="11"/>
      <c r="F251" s="24">
        <f t="shared" si="18"/>
        <v>7457</v>
      </c>
      <c r="G251" s="25">
        <v>1</v>
      </c>
      <c r="H251" s="26">
        <f t="shared" si="19"/>
        <v>0</v>
      </c>
      <c r="I251" s="26">
        <f t="shared" si="15"/>
        <v>0</v>
      </c>
      <c r="J251" s="26">
        <f t="shared" si="16"/>
        <v>0</v>
      </c>
      <c r="K251" s="27">
        <f t="shared" si="17"/>
        <v>0</v>
      </c>
      <c r="L251" s="21"/>
    </row>
    <row r="252" spans="2:12" x14ac:dyDescent="0.2">
      <c r="B252" s="19"/>
      <c r="C252" s="11"/>
      <c r="D252" s="11"/>
      <c r="E252" s="11"/>
      <c r="F252" s="24">
        <f t="shared" si="18"/>
        <v>7487</v>
      </c>
      <c r="G252" s="32">
        <v>1</v>
      </c>
      <c r="H252" s="26">
        <f t="shared" si="19"/>
        <v>0</v>
      </c>
      <c r="I252" s="26">
        <f t="shared" si="15"/>
        <v>0</v>
      </c>
      <c r="J252" s="26">
        <f t="shared" si="16"/>
        <v>0</v>
      </c>
      <c r="K252" s="27">
        <f t="shared" si="17"/>
        <v>0</v>
      </c>
      <c r="L252" s="21"/>
    </row>
    <row r="253" spans="2:12" x14ac:dyDescent="0.2">
      <c r="B253" s="19"/>
      <c r="C253" s="11"/>
      <c r="D253" s="11"/>
      <c r="E253" s="11"/>
      <c r="F253" s="24">
        <f t="shared" si="18"/>
        <v>7518</v>
      </c>
      <c r="G253" s="25">
        <v>1</v>
      </c>
      <c r="H253" s="26">
        <f t="shared" si="19"/>
        <v>0</v>
      </c>
      <c r="I253" s="26">
        <f t="shared" si="15"/>
        <v>0</v>
      </c>
      <c r="J253" s="26">
        <f t="shared" si="16"/>
        <v>0</v>
      </c>
      <c r="K253" s="27">
        <f t="shared" si="17"/>
        <v>0</v>
      </c>
      <c r="L253" s="21"/>
    </row>
    <row r="254" spans="2:12" x14ac:dyDescent="0.2">
      <c r="B254" s="19"/>
      <c r="C254" s="11"/>
      <c r="D254" s="11"/>
      <c r="E254" s="11"/>
      <c r="F254" s="24">
        <f t="shared" si="18"/>
        <v>7549</v>
      </c>
      <c r="G254" s="32">
        <v>1</v>
      </c>
      <c r="H254" s="26">
        <f t="shared" si="19"/>
        <v>0</v>
      </c>
      <c r="I254" s="26">
        <f t="shared" si="15"/>
        <v>0</v>
      </c>
      <c r="J254" s="26">
        <f t="shared" si="16"/>
        <v>0</v>
      </c>
      <c r="K254" s="27">
        <f t="shared" si="17"/>
        <v>0</v>
      </c>
      <c r="L254" s="21"/>
    </row>
    <row r="255" spans="2:12" x14ac:dyDescent="0.2">
      <c r="B255" s="19"/>
      <c r="C255" s="11"/>
      <c r="D255" s="11"/>
      <c r="E255" s="11"/>
      <c r="F255" s="24">
        <f t="shared" si="18"/>
        <v>7579</v>
      </c>
      <c r="G255" s="25">
        <v>1</v>
      </c>
      <c r="H255" s="26">
        <f t="shared" si="19"/>
        <v>0</v>
      </c>
      <c r="I255" s="26">
        <f t="shared" si="15"/>
        <v>0</v>
      </c>
      <c r="J255" s="26">
        <f t="shared" si="16"/>
        <v>0</v>
      </c>
      <c r="K255" s="27">
        <f t="shared" si="17"/>
        <v>0</v>
      </c>
      <c r="L255" s="21"/>
    </row>
    <row r="256" spans="2:12" x14ac:dyDescent="0.2">
      <c r="B256" s="19"/>
      <c r="C256" s="11"/>
      <c r="D256" s="11"/>
      <c r="E256" s="11"/>
      <c r="F256" s="24">
        <f t="shared" si="18"/>
        <v>7610</v>
      </c>
      <c r="G256" s="32">
        <v>1</v>
      </c>
      <c r="H256" s="26">
        <f t="shared" si="19"/>
        <v>0</v>
      </c>
      <c r="I256" s="26">
        <f t="shared" si="15"/>
        <v>0</v>
      </c>
      <c r="J256" s="26">
        <f t="shared" si="16"/>
        <v>0</v>
      </c>
      <c r="K256" s="27">
        <f t="shared" si="17"/>
        <v>0</v>
      </c>
      <c r="L256" s="21"/>
    </row>
    <row r="257" spans="2:12" x14ac:dyDescent="0.2">
      <c r="B257" s="19"/>
      <c r="C257" s="11"/>
      <c r="D257" s="11"/>
      <c r="E257" s="11"/>
      <c r="F257" s="24">
        <f t="shared" si="18"/>
        <v>7640</v>
      </c>
      <c r="G257" s="25">
        <v>1</v>
      </c>
      <c r="H257" s="26">
        <f t="shared" si="19"/>
        <v>0</v>
      </c>
      <c r="I257" s="26">
        <f t="shared" si="15"/>
        <v>0</v>
      </c>
      <c r="J257" s="26">
        <f t="shared" si="16"/>
        <v>0</v>
      </c>
      <c r="K257" s="27">
        <f t="shared" si="17"/>
        <v>0</v>
      </c>
      <c r="L257" s="21"/>
    </row>
    <row r="258" spans="2:12" x14ac:dyDescent="0.2">
      <c r="B258" s="19"/>
      <c r="C258" s="11"/>
      <c r="D258" s="11"/>
      <c r="E258" s="11"/>
      <c r="F258" s="24">
        <f t="shared" si="18"/>
        <v>7671</v>
      </c>
      <c r="G258" s="32">
        <v>1</v>
      </c>
      <c r="H258" s="26">
        <f t="shared" si="19"/>
        <v>0</v>
      </c>
      <c r="I258" s="26">
        <f t="shared" si="15"/>
        <v>0</v>
      </c>
      <c r="J258" s="26">
        <f t="shared" si="16"/>
        <v>0</v>
      </c>
      <c r="K258" s="27">
        <f t="shared" si="17"/>
        <v>0</v>
      </c>
      <c r="L258" s="21"/>
    </row>
    <row r="259" spans="2:12" x14ac:dyDescent="0.2">
      <c r="B259" s="19"/>
      <c r="C259" s="11"/>
      <c r="D259" s="11"/>
      <c r="E259" s="11"/>
      <c r="F259" s="24">
        <f t="shared" si="18"/>
        <v>7702</v>
      </c>
      <c r="G259" s="25">
        <v>1</v>
      </c>
      <c r="H259" s="26">
        <f t="shared" si="19"/>
        <v>0</v>
      </c>
      <c r="I259" s="26">
        <f t="shared" si="15"/>
        <v>0</v>
      </c>
      <c r="J259" s="26">
        <f t="shared" si="16"/>
        <v>0</v>
      </c>
      <c r="K259" s="27">
        <f t="shared" si="17"/>
        <v>0</v>
      </c>
      <c r="L259" s="21"/>
    </row>
    <row r="260" spans="2:12" x14ac:dyDescent="0.2">
      <c r="B260" s="19"/>
      <c r="C260" s="11"/>
      <c r="D260" s="11"/>
      <c r="E260" s="11"/>
      <c r="F260" s="24">
        <f t="shared" si="18"/>
        <v>7730</v>
      </c>
      <c r="G260" s="32">
        <v>1</v>
      </c>
      <c r="H260" s="26">
        <f t="shared" si="19"/>
        <v>0</v>
      </c>
      <c r="I260" s="26">
        <f t="shared" si="15"/>
        <v>0</v>
      </c>
      <c r="J260" s="26">
        <f t="shared" si="16"/>
        <v>0</v>
      </c>
      <c r="K260" s="27">
        <f t="shared" si="17"/>
        <v>0</v>
      </c>
      <c r="L260" s="21"/>
    </row>
    <row r="261" spans="2:12" x14ac:dyDescent="0.2">
      <c r="B261" s="19"/>
      <c r="C261" s="11"/>
      <c r="D261" s="11"/>
      <c r="E261" s="11"/>
      <c r="F261" s="24">
        <f t="shared" si="18"/>
        <v>7761</v>
      </c>
      <c r="G261" s="25">
        <v>1</v>
      </c>
      <c r="H261" s="26">
        <f t="shared" si="19"/>
        <v>0</v>
      </c>
      <c r="I261" s="26">
        <f t="shared" si="15"/>
        <v>0</v>
      </c>
      <c r="J261" s="26">
        <f t="shared" si="16"/>
        <v>0</v>
      </c>
      <c r="K261" s="27">
        <f t="shared" si="17"/>
        <v>0</v>
      </c>
      <c r="L261" s="21"/>
    </row>
    <row r="262" spans="2:12" x14ac:dyDescent="0.2">
      <c r="B262" s="19"/>
      <c r="C262" s="11"/>
      <c r="D262" s="11"/>
      <c r="E262" s="11"/>
      <c r="F262" s="24">
        <f t="shared" si="18"/>
        <v>7791</v>
      </c>
      <c r="G262" s="32">
        <v>1</v>
      </c>
      <c r="H262" s="26">
        <f t="shared" si="19"/>
        <v>0</v>
      </c>
      <c r="I262" s="26">
        <f t="shared" si="15"/>
        <v>0</v>
      </c>
      <c r="J262" s="26">
        <f t="shared" si="16"/>
        <v>0</v>
      </c>
      <c r="K262" s="27">
        <f t="shared" si="17"/>
        <v>0</v>
      </c>
      <c r="L262" s="21"/>
    </row>
    <row r="263" spans="2:12" x14ac:dyDescent="0.2">
      <c r="B263" s="19"/>
      <c r="C263" s="11"/>
      <c r="D263" s="11"/>
      <c r="E263" s="11"/>
      <c r="F263" s="24">
        <f t="shared" si="18"/>
        <v>7822</v>
      </c>
      <c r="G263" s="25">
        <v>1</v>
      </c>
      <c r="H263" s="26">
        <f t="shared" si="19"/>
        <v>0</v>
      </c>
      <c r="I263" s="26">
        <f t="shared" ref="I263:I326" si="20">$D$10</f>
        <v>0</v>
      </c>
      <c r="J263" s="26">
        <f t="shared" ref="J263:J326" si="21">(H263*$D$8)/12</f>
        <v>0</v>
      </c>
      <c r="K263" s="27">
        <f t="shared" ref="K263:K326" si="22">I263-J263</f>
        <v>0</v>
      </c>
      <c r="L263" s="21"/>
    </row>
    <row r="264" spans="2:12" x14ac:dyDescent="0.2">
      <c r="B264" s="19"/>
      <c r="C264" s="11"/>
      <c r="D264" s="11"/>
      <c r="E264" s="11"/>
      <c r="F264" s="24">
        <f t="shared" ref="F264:F327" si="23">EOMONTH(F263,1)</f>
        <v>7852</v>
      </c>
      <c r="G264" s="32">
        <v>1</v>
      </c>
      <c r="H264" s="26">
        <f t="shared" ref="H264:H327" si="24">H263-K263</f>
        <v>0</v>
      </c>
      <c r="I264" s="26">
        <f t="shared" si="20"/>
        <v>0</v>
      </c>
      <c r="J264" s="26">
        <f t="shared" si="21"/>
        <v>0</v>
      </c>
      <c r="K264" s="27">
        <f t="shared" si="22"/>
        <v>0</v>
      </c>
      <c r="L264" s="21"/>
    </row>
    <row r="265" spans="2:12" x14ac:dyDescent="0.2">
      <c r="B265" s="19"/>
      <c r="C265" s="11"/>
      <c r="D265" s="11"/>
      <c r="E265" s="11"/>
      <c r="F265" s="24">
        <f t="shared" si="23"/>
        <v>7883</v>
      </c>
      <c r="G265" s="25">
        <v>1</v>
      </c>
      <c r="H265" s="26">
        <f t="shared" si="24"/>
        <v>0</v>
      </c>
      <c r="I265" s="26">
        <f t="shared" si="20"/>
        <v>0</v>
      </c>
      <c r="J265" s="26">
        <f t="shared" si="21"/>
        <v>0</v>
      </c>
      <c r="K265" s="27">
        <f t="shared" si="22"/>
        <v>0</v>
      </c>
      <c r="L265" s="21"/>
    </row>
    <row r="266" spans="2:12" x14ac:dyDescent="0.2">
      <c r="B266" s="19"/>
      <c r="C266" s="11"/>
      <c r="D266" s="11"/>
      <c r="E266" s="11"/>
      <c r="F266" s="24">
        <f t="shared" si="23"/>
        <v>7914</v>
      </c>
      <c r="G266" s="32">
        <v>1</v>
      </c>
      <c r="H266" s="26">
        <f t="shared" si="24"/>
        <v>0</v>
      </c>
      <c r="I266" s="26">
        <f t="shared" si="20"/>
        <v>0</v>
      </c>
      <c r="J266" s="26">
        <f t="shared" si="21"/>
        <v>0</v>
      </c>
      <c r="K266" s="27">
        <f t="shared" si="22"/>
        <v>0</v>
      </c>
      <c r="L266" s="21"/>
    </row>
    <row r="267" spans="2:12" x14ac:dyDescent="0.2">
      <c r="B267" s="19"/>
      <c r="C267" s="11"/>
      <c r="D267" s="11"/>
      <c r="E267" s="11"/>
      <c r="F267" s="24">
        <f t="shared" si="23"/>
        <v>7944</v>
      </c>
      <c r="G267" s="25">
        <v>1</v>
      </c>
      <c r="H267" s="26">
        <f t="shared" si="24"/>
        <v>0</v>
      </c>
      <c r="I267" s="26">
        <f t="shared" si="20"/>
        <v>0</v>
      </c>
      <c r="J267" s="26">
        <f t="shared" si="21"/>
        <v>0</v>
      </c>
      <c r="K267" s="27">
        <f t="shared" si="22"/>
        <v>0</v>
      </c>
      <c r="L267" s="21"/>
    </row>
    <row r="268" spans="2:12" x14ac:dyDescent="0.2">
      <c r="B268" s="19"/>
      <c r="C268" s="11"/>
      <c r="D268" s="11"/>
      <c r="E268" s="11"/>
      <c r="F268" s="24">
        <f t="shared" si="23"/>
        <v>7975</v>
      </c>
      <c r="G268" s="32">
        <v>1</v>
      </c>
      <c r="H268" s="26">
        <f t="shared" si="24"/>
        <v>0</v>
      </c>
      <c r="I268" s="26">
        <f t="shared" si="20"/>
        <v>0</v>
      </c>
      <c r="J268" s="26">
        <f t="shared" si="21"/>
        <v>0</v>
      </c>
      <c r="K268" s="27">
        <f t="shared" si="22"/>
        <v>0</v>
      </c>
      <c r="L268" s="21"/>
    </row>
    <row r="269" spans="2:12" x14ac:dyDescent="0.2">
      <c r="B269" s="19"/>
      <c r="C269" s="11"/>
      <c r="D269" s="11"/>
      <c r="E269" s="11"/>
      <c r="F269" s="24">
        <f t="shared" si="23"/>
        <v>8005</v>
      </c>
      <c r="G269" s="25">
        <v>1</v>
      </c>
      <c r="H269" s="26">
        <f t="shared" si="24"/>
        <v>0</v>
      </c>
      <c r="I269" s="26">
        <f t="shared" si="20"/>
        <v>0</v>
      </c>
      <c r="J269" s="26">
        <f t="shared" si="21"/>
        <v>0</v>
      </c>
      <c r="K269" s="27">
        <f t="shared" si="22"/>
        <v>0</v>
      </c>
      <c r="L269" s="21"/>
    </row>
    <row r="270" spans="2:12" x14ac:dyDescent="0.2">
      <c r="B270" s="19"/>
      <c r="C270" s="11"/>
      <c r="D270" s="11"/>
      <c r="E270" s="11"/>
      <c r="F270" s="24">
        <f t="shared" si="23"/>
        <v>8036</v>
      </c>
      <c r="G270" s="32">
        <v>1</v>
      </c>
      <c r="H270" s="26">
        <f t="shared" si="24"/>
        <v>0</v>
      </c>
      <c r="I270" s="26">
        <f t="shared" si="20"/>
        <v>0</v>
      </c>
      <c r="J270" s="26">
        <f t="shared" si="21"/>
        <v>0</v>
      </c>
      <c r="K270" s="27">
        <f t="shared" si="22"/>
        <v>0</v>
      </c>
      <c r="L270" s="21"/>
    </row>
    <row r="271" spans="2:12" x14ac:dyDescent="0.2">
      <c r="B271" s="19"/>
      <c r="C271" s="11"/>
      <c r="D271" s="11"/>
      <c r="E271" s="11"/>
      <c r="F271" s="24">
        <f t="shared" si="23"/>
        <v>8067</v>
      </c>
      <c r="G271" s="25">
        <v>1</v>
      </c>
      <c r="H271" s="26">
        <f t="shared" si="24"/>
        <v>0</v>
      </c>
      <c r="I271" s="26">
        <f t="shared" si="20"/>
        <v>0</v>
      </c>
      <c r="J271" s="26">
        <f t="shared" si="21"/>
        <v>0</v>
      </c>
      <c r="K271" s="27">
        <f t="shared" si="22"/>
        <v>0</v>
      </c>
      <c r="L271" s="21"/>
    </row>
    <row r="272" spans="2:12" x14ac:dyDescent="0.2">
      <c r="B272" s="19"/>
      <c r="C272" s="11"/>
      <c r="D272" s="11"/>
      <c r="E272" s="11"/>
      <c r="F272" s="24">
        <f t="shared" si="23"/>
        <v>8095</v>
      </c>
      <c r="G272" s="32">
        <v>1</v>
      </c>
      <c r="H272" s="26">
        <f t="shared" si="24"/>
        <v>0</v>
      </c>
      <c r="I272" s="26">
        <f t="shared" si="20"/>
        <v>0</v>
      </c>
      <c r="J272" s="26">
        <f t="shared" si="21"/>
        <v>0</v>
      </c>
      <c r="K272" s="27">
        <f t="shared" si="22"/>
        <v>0</v>
      </c>
      <c r="L272" s="21"/>
    </row>
    <row r="273" spans="2:12" x14ac:dyDescent="0.2">
      <c r="B273" s="19"/>
      <c r="C273" s="11"/>
      <c r="D273" s="11"/>
      <c r="E273" s="11"/>
      <c r="F273" s="24">
        <f t="shared" si="23"/>
        <v>8126</v>
      </c>
      <c r="G273" s="25">
        <v>1</v>
      </c>
      <c r="H273" s="26">
        <f t="shared" si="24"/>
        <v>0</v>
      </c>
      <c r="I273" s="26">
        <f t="shared" si="20"/>
        <v>0</v>
      </c>
      <c r="J273" s="26">
        <f t="shared" si="21"/>
        <v>0</v>
      </c>
      <c r="K273" s="27">
        <f t="shared" si="22"/>
        <v>0</v>
      </c>
      <c r="L273" s="21"/>
    </row>
    <row r="274" spans="2:12" x14ac:dyDescent="0.2">
      <c r="B274" s="19"/>
      <c r="C274" s="11"/>
      <c r="D274" s="11"/>
      <c r="E274" s="11"/>
      <c r="F274" s="24">
        <f t="shared" si="23"/>
        <v>8156</v>
      </c>
      <c r="G274" s="32">
        <v>1</v>
      </c>
      <c r="H274" s="26">
        <f t="shared" si="24"/>
        <v>0</v>
      </c>
      <c r="I274" s="26">
        <f t="shared" si="20"/>
        <v>0</v>
      </c>
      <c r="J274" s="26">
        <f t="shared" si="21"/>
        <v>0</v>
      </c>
      <c r="K274" s="27">
        <f t="shared" si="22"/>
        <v>0</v>
      </c>
      <c r="L274" s="21"/>
    </row>
    <row r="275" spans="2:12" x14ac:dyDescent="0.2">
      <c r="B275" s="19"/>
      <c r="C275" s="11"/>
      <c r="D275" s="11"/>
      <c r="E275" s="11"/>
      <c r="F275" s="24">
        <f t="shared" si="23"/>
        <v>8187</v>
      </c>
      <c r="G275" s="25">
        <v>1</v>
      </c>
      <c r="H275" s="26">
        <f t="shared" si="24"/>
        <v>0</v>
      </c>
      <c r="I275" s="26">
        <f t="shared" si="20"/>
        <v>0</v>
      </c>
      <c r="J275" s="26">
        <f t="shared" si="21"/>
        <v>0</v>
      </c>
      <c r="K275" s="27">
        <f t="shared" si="22"/>
        <v>0</v>
      </c>
      <c r="L275" s="21"/>
    </row>
    <row r="276" spans="2:12" x14ac:dyDescent="0.2">
      <c r="B276" s="19"/>
      <c r="C276" s="11"/>
      <c r="D276" s="11"/>
      <c r="E276" s="11"/>
      <c r="F276" s="24">
        <f t="shared" si="23"/>
        <v>8217</v>
      </c>
      <c r="G276" s="32">
        <v>1</v>
      </c>
      <c r="H276" s="26">
        <f t="shared" si="24"/>
        <v>0</v>
      </c>
      <c r="I276" s="26">
        <f t="shared" si="20"/>
        <v>0</v>
      </c>
      <c r="J276" s="26">
        <f t="shared" si="21"/>
        <v>0</v>
      </c>
      <c r="K276" s="27">
        <f t="shared" si="22"/>
        <v>0</v>
      </c>
      <c r="L276" s="21"/>
    </row>
    <row r="277" spans="2:12" x14ac:dyDescent="0.2">
      <c r="B277" s="19"/>
      <c r="C277" s="11"/>
      <c r="D277" s="11"/>
      <c r="E277" s="11"/>
      <c r="F277" s="24">
        <f t="shared" si="23"/>
        <v>8248</v>
      </c>
      <c r="G277" s="25">
        <v>1</v>
      </c>
      <c r="H277" s="26">
        <f t="shared" si="24"/>
        <v>0</v>
      </c>
      <c r="I277" s="26">
        <f t="shared" si="20"/>
        <v>0</v>
      </c>
      <c r="J277" s="26">
        <f t="shared" si="21"/>
        <v>0</v>
      </c>
      <c r="K277" s="27">
        <f t="shared" si="22"/>
        <v>0</v>
      </c>
      <c r="L277" s="21"/>
    </row>
    <row r="278" spans="2:12" x14ac:dyDescent="0.2">
      <c r="B278" s="19"/>
      <c r="C278" s="11"/>
      <c r="D278" s="11"/>
      <c r="E278" s="11"/>
      <c r="F278" s="24">
        <f t="shared" si="23"/>
        <v>8279</v>
      </c>
      <c r="G278" s="32">
        <v>1</v>
      </c>
      <c r="H278" s="26">
        <f t="shared" si="24"/>
        <v>0</v>
      </c>
      <c r="I278" s="26">
        <f t="shared" si="20"/>
        <v>0</v>
      </c>
      <c r="J278" s="26">
        <f t="shared" si="21"/>
        <v>0</v>
      </c>
      <c r="K278" s="27">
        <f t="shared" si="22"/>
        <v>0</v>
      </c>
      <c r="L278" s="21"/>
    </row>
    <row r="279" spans="2:12" x14ac:dyDescent="0.2">
      <c r="B279" s="19"/>
      <c r="C279" s="11"/>
      <c r="D279" s="11"/>
      <c r="E279" s="11"/>
      <c r="F279" s="24">
        <f t="shared" si="23"/>
        <v>8309</v>
      </c>
      <c r="G279" s="25">
        <v>1</v>
      </c>
      <c r="H279" s="26">
        <f t="shared" si="24"/>
        <v>0</v>
      </c>
      <c r="I279" s="26">
        <f t="shared" si="20"/>
        <v>0</v>
      </c>
      <c r="J279" s="26">
        <f t="shared" si="21"/>
        <v>0</v>
      </c>
      <c r="K279" s="27">
        <f t="shared" si="22"/>
        <v>0</v>
      </c>
      <c r="L279" s="21"/>
    </row>
    <row r="280" spans="2:12" x14ac:dyDescent="0.2">
      <c r="B280" s="19"/>
      <c r="C280" s="11"/>
      <c r="D280" s="11"/>
      <c r="E280" s="11"/>
      <c r="F280" s="24">
        <f t="shared" si="23"/>
        <v>8340</v>
      </c>
      <c r="G280" s="32">
        <v>1</v>
      </c>
      <c r="H280" s="26">
        <f t="shared" si="24"/>
        <v>0</v>
      </c>
      <c r="I280" s="26">
        <f t="shared" si="20"/>
        <v>0</v>
      </c>
      <c r="J280" s="26">
        <f t="shared" si="21"/>
        <v>0</v>
      </c>
      <c r="K280" s="27">
        <f t="shared" si="22"/>
        <v>0</v>
      </c>
      <c r="L280" s="21"/>
    </row>
    <row r="281" spans="2:12" x14ac:dyDescent="0.2">
      <c r="B281" s="19"/>
      <c r="C281" s="11"/>
      <c r="D281" s="11"/>
      <c r="E281" s="11"/>
      <c r="F281" s="24">
        <f t="shared" si="23"/>
        <v>8370</v>
      </c>
      <c r="G281" s="25">
        <v>1</v>
      </c>
      <c r="H281" s="26">
        <f t="shared" si="24"/>
        <v>0</v>
      </c>
      <c r="I281" s="26">
        <f t="shared" si="20"/>
        <v>0</v>
      </c>
      <c r="J281" s="26">
        <f t="shared" si="21"/>
        <v>0</v>
      </c>
      <c r="K281" s="27">
        <f t="shared" si="22"/>
        <v>0</v>
      </c>
      <c r="L281" s="21"/>
    </row>
    <row r="282" spans="2:12" x14ac:dyDescent="0.2">
      <c r="B282" s="19"/>
      <c r="C282" s="11"/>
      <c r="D282" s="11"/>
      <c r="E282" s="11"/>
      <c r="F282" s="24">
        <f t="shared" si="23"/>
        <v>8401</v>
      </c>
      <c r="G282" s="32">
        <v>1</v>
      </c>
      <c r="H282" s="26">
        <f t="shared" si="24"/>
        <v>0</v>
      </c>
      <c r="I282" s="26">
        <f t="shared" si="20"/>
        <v>0</v>
      </c>
      <c r="J282" s="26">
        <f t="shared" si="21"/>
        <v>0</v>
      </c>
      <c r="K282" s="27">
        <f t="shared" si="22"/>
        <v>0</v>
      </c>
      <c r="L282" s="21"/>
    </row>
    <row r="283" spans="2:12" x14ac:dyDescent="0.2">
      <c r="B283" s="19"/>
      <c r="C283" s="11"/>
      <c r="D283" s="11"/>
      <c r="E283" s="11"/>
      <c r="F283" s="24">
        <f t="shared" si="23"/>
        <v>8432</v>
      </c>
      <c r="G283" s="25">
        <v>1</v>
      </c>
      <c r="H283" s="26">
        <f t="shared" si="24"/>
        <v>0</v>
      </c>
      <c r="I283" s="26">
        <f t="shared" si="20"/>
        <v>0</v>
      </c>
      <c r="J283" s="26">
        <f t="shared" si="21"/>
        <v>0</v>
      </c>
      <c r="K283" s="27">
        <f t="shared" si="22"/>
        <v>0</v>
      </c>
      <c r="L283" s="21"/>
    </row>
    <row r="284" spans="2:12" x14ac:dyDescent="0.2">
      <c r="B284" s="19"/>
      <c r="C284" s="11"/>
      <c r="D284" s="11"/>
      <c r="E284" s="11"/>
      <c r="F284" s="24">
        <f t="shared" si="23"/>
        <v>8460</v>
      </c>
      <c r="G284" s="32">
        <v>1</v>
      </c>
      <c r="H284" s="26">
        <f t="shared" si="24"/>
        <v>0</v>
      </c>
      <c r="I284" s="26">
        <f t="shared" si="20"/>
        <v>0</v>
      </c>
      <c r="J284" s="26">
        <f t="shared" si="21"/>
        <v>0</v>
      </c>
      <c r="K284" s="27">
        <f t="shared" si="22"/>
        <v>0</v>
      </c>
      <c r="L284" s="21"/>
    </row>
    <row r="285" spans="2:12" x14ac:dyDescent="0.2">
      <c r="B285" s="19"/>
      <c r="C285" s="11"/>
      <c r="D285" s="11"/>
      <c r="E285" s="11"/>
      <c r="F285" s="24">
        <f t="shared" si="23"/>
        <v>8491</v>
      </c>
      <c r="G285" s="25">
        <v>1</v>
      </c>
      <c r="H285" s="26">
        <f t="shared" si="24"/>
        <v>0</v>
      </c>
      <c r="I285" s="26">
        <f t="shared" si="20"/>
        <v>0</v>
      </c>
      <c r="J285" s="26">
        <f t="shared" si="21"/>
        <v>0</v>
      </c>
      <c r="K285" s="27">
        <f t="shared" si="22"/>
        <v>0</v>
      </c>
      <c r="L285" s="21"/>
    </row>
    <row r="286" spans="2:12" x14ac:dyDescent="0.2">
      <c r="B286" s="19"/>
      <c r="C286" s="11"/>
      <c r="D286" s="11"/>
      <c r="E286" s="11"/>
      <c r="F286" s="24">
        <f t="shared" si="23"/>
        <v>8521</v>
      </c>
      <c r="G286" s="32">
        <v>1</v>
      </c>
      <c r="H286" s="26">
        <f t="shared" si="24"/>
        <v>0</v>
      </c>
      <c r="I286" s="26">
        <f t="shared" si="20"/>
        <v>0</v>
      </c>
      <c r="J286" s="26">
        <f t="shared" si="21"/>
        <v>0</v>
      </c>
      <c r="K286" s="27">
        <f t="shared" si="22"/>
        <v>0</v>
      </c>
      <c r="L286" s="21"/>
    </row>
    <row r="287" spans="2:12" x14ac:dyDescent="0.2">
      <c r="B287" s="19"/>
      <c r="C287" s="11"/>
      <c r="D287" s="11"/>
      <c r="E287" s="11"/>
      <c r="F287" s="24">
        <f t="shared" si="23"/>
        <v>8552</v>
      </c>
      <c r="G287" s="25">
        <v>1</v>
      </c>
      <c r="H287" s="26">
        <f t="shared" si="24"/>
        <v>0</v>
      </c>
      <c r="I287" s="26">
        <f t="shared" si="20"/>
        <v>0</v>
      </c>
      <c r="J287" s="26">
        <f t="shared" si="21"/>
        <v>0</v>
      </c>
      <c r="K287" s="27">
        <f t="shared" si="22"/>
        <v>0</v>
      </c>
      <c r="L287" s="21"/>
    </row>
    <row r="288" spans="2:12" x14ac:dyDescent="0.2">
      <c r="B288" s="19"/>
      <c r="C288" s="11"/>
      <c r="D288" s="11"/>
      <c r="E288" s="11"/>
      <c r="F288" s="24">
        <f t="shared" si="23"/>
        <v>8582</v>
      </c>
      <c r="G288" s="32">
        <v>1</v>
      </c>
      <c r="H288" s="26">
        <f t="shared" si="24"/>
        <v>0</v>
      </c>
      <c r="I288" s="26">
        <f t="shared" si="20"/>
        <v>0</v>
      </c>
      <c r="J288" s="26">
        <f t="shared" si="21"/>
        <v>0</v>
      </c>
      <c r="K288" s="27">
        <f t="shared" si="22"/>
        <v>0</v>
      </c>
      <c r="L288" s="21"/>
    </row>
    <row r="289" spans="2:12" x14ac:dyDescent="0.2">
      <c r="B289" s="19"/>
      <c r="C289" s="11"/>
      <c r="D289" s="11"/>
      <c r="E289" s="11"/>
      <c r="F289" s="24">
        <f t="shared" si="23"/>
        <v>8613</v>
      </c>
      <c r="G289" s="25">
        <v>1</v>
      </c>
      <c r="H289" s="26">
        <f t="shared" si="24"/>
        <v>0</v>
      </c>
      <c r="I289" s="26">
        <f t="shared" si="20"/>
        <v>0</v>
      </c>
      <c r="J289" s="26">
        <f t="shared" si="21"/>
        <v>0</v>
      </c>
      <c r="K289" s="27">
        <f t="shared" si="22"/>
        <v>0</v>
      </c>
      <c r="L289" s="21"/>
    </row>
    <row r="290" spans="2:12" x14ac:dyDescent="0.2">
      <c r="B290" s="19"/>
      <c r="C290" s="11"/>
      <c r="D290" s="11"/>
      <c r="E290" s="11"/>
      <c r="F290" s="24">
        <f t="shared" si="23"/>
        <v>8644</v>
      </c>
      <c r="G290" s="32">
        <v>1</v>
      </c>
      <c r="H290" s="26">
        <f t="shared" si="24"/>
        <v>0</v>
      </c>
      <c r="I290" s="26">
        <f t="shared" si="20"/>
        <v>0</v>
      </c>
      <c r="J290" s="26">
        <f t="shared" si="21"/>
        <v>0</v>
      </c>
      <c r="K290" s="27">
        <f t="shared" si="22"/>
        <v>0</v>
      </c>
      <c r="L290" s="21"/>
    </row>
    <row r="291" spans="2:12" x14ac:dyDescent="0.2">
      <c r="B291" s="19"/>
      <c r="C291" s="11"/>
      <c r="D291" s="11"/>
      <c r="E291" s="11"/>
      <c r="F291" s="24">
        <f t="shared" si="23"/>
        <v>8674</v>
      </c>
      <c r="G291" s="25">
        <v>1</v>
      </c>
      <c r="H291" s="26">
        <f t="shared" si="24"/>
        <v>0</v>
      </c>
      <c r="I291" s="26">
        <f t="shared" si="20"/>
        <v>0</v>
      </c>
      <c r="J291" s="26">
        <f t="shared" si="21"/>
        <v>0</v>
      </c>
      <c r="K291" s="27">
        <f t="shared" si="22"/>
        <v>0</v>
      </c>
      <c r="L291" s="21"/>
    </row>
    <row r="292" spans="2:12" x14ac:dyDescent="0.2">
      <c r="B292" s="19"/>
      <c r="C292" s="11"/>
      <c r="D292" s="11"/>
      <c r="E292" s="11"/>
      <c r="F292" s="24">
        <f t="shared" si="23"/>
        <v>8705</v>
      </c>
      <c r="G292" s="32">
        <v>1</v>
      </c>
      <c r="H292" s="26">
        <f t="shared" si="24"/>
        <v>0</v>
      </c>
      <c r="I292" s="26">
        <f t="shared" si="20"/>
        <v>0</v>
      </c>
      <c r="J292" s="26">
        <f t="shared" si="21"/>
        <v>0</v>
      </c>
      <c r="K292" s="27">
        <f t="shared" si="22"/>
        <v>0</v>
      </c>
      <c r="L292" s="21"/>
    </row>
    <row r="293" spans="2:12" x14ac:dyDescent="0.2">
      <c r="B293" s="19"/>
      <c r="C293" s="11"/>
      <c r="D293" s="11"/>
      <c r="E293" s="11"/>
      <c r="F293" s="24">
        <f t="shared" si="23"/>
        <v>8735</v>
      </c>
      <c r="G293" s="25">
        <v>1</v>
      </c>
      <c r="H293" s="26">
        <f t="shared" si="24"/>
        <v>0</v>
      </c>
      <c r="I293" s="26">
        <f t="shared" si="20"/>
        <v>0</v>
      </c>
      <c r="J293" s="26">
        <f t="shared" si="21"/>
        <v>0</v>
      </c>
      <c r="K293" s="27">
        <f t="shared" si="22"/>
        <v>0</v>
      </c>
      <c r="L293" s="21"/>
    </row>
    <row r="294" spans="2:12" x14ac:dyDescent="0.2">
      <c r="B294" s="19"/>
      <c r="C294" s="11"/>
      <c r="D294" s="11"/>
      <c r="E294" s="11"/>
      <c r="F294" s="24">
        <f t="shared" si="23"/>
        <v>8766</v>
      </c>
      <c r="G294" s="32">
        <v>1</v>
      </c>
      <c r="H294" s="26">
        <f t="shared" si="24"/>
        <v>0</v>
      </c>
      <c r="I294" s="26">
        <f t="shared" si="20"/>
        <v>0</v>
      </c>
      <c r="J294" s="26">
        <f t="shared" si="21"/>
        <v>0</v>
      </c>
      <c r="K294" s="27">
        <f t="shared" si="22"/>
        <v>0</v>
      </c>
      <c r="L294" s="21"/>
    </row>
    <row r="295" spans="2:12" x14ac:dyDescent="0.2">
      <c r="B295" s="19"/>
      <c r="C295" s="11"/>
      <c r="D295" s="11"/>
      <c r="E295" s="11"/>
      <c r="F295" s="24">
        <f t="shared" si="23"/>
        <v>8797</v>
      </c>
      <c r="G295" s="25">
        <v>1</v>
      </c>
      <c r="H295" s="26">
        <f t="shared" si="24"/>
        <v>0</v>
      </c>
      <c r="I295" s="26">
        <f t="shared" si="20"/>
        <v>0</v>
      </c>
      <c r="J295" s="26">
        <f t="shared" si="21"/>
        <v>0</v>
      </c>
      <c r="K295" s="27">
        <f t="shared" si="22"/>
        <v>0</v>
      </c>
      <c r="L295" s="21"/>
    </row>
    <row r="296" spans="2:12" x14ac:dyDescent="0.2">
      <c r="B296" s="19"/>
      <c r="C296" s="11"/>
      <c r="D296" s="11"/>
      <c r="E296" s="11"/>
      <c r="F296" s="24">
        <f t="shared" si="23"/>
        <v>8826</v>
      </c>
      <c r="G296" s="32">
        <v>1</v>
      </c>
      <c r="H296" s="26">
        <f t="shared" si="24"/>
        <v>0</v>
      </c>
      <c r="I296" s="26">
        <f t="shared" si="20"/>
        <v>0</v>
      </c>
      <c r="J296" s="26">
        <f t="shared" si="21"/>
        <v>0</v>
      </c>
      <c r="K296" s="27">
        <f t="shared" si="22"/>
        <v>0</v>
      </c>
      <c r="L296" s="21"/>
    </row>
    <row r="297" spans="2:12" x14ac:dyDescent="0.2">
      <c r="B297" s="19"/>
      <c r="C297" s="11"/>
      <c r="D297" s="11"/>
      <c r="E297" s="11"/>
      <c r="F297" s="24">
        <f t="shared" si="23"/>
        <v>8857</v>
      </c>
      <c r="G297" s="25">
        <v>1</v>
      </c>
      <c r="H297" s="26">
        <f t="shared" si="24"/>
        <v>0</v>
      </c>
      <c r="I297" s="26">
        <f t="shared" si="20"/>
        <v>0</v>
      </c>
      <c r="J297" s="26">
        <f t="shared" si="21"/>
        <v>0</v>
      </c>
      <c r="K297" s="27">
        <f t="shared" si="22"/>
        <v>0</v>
      </c>
      <c r="L297" s="21"/>
    </row>
    <row r="298" spans="2:12" x14ac:dyDescent="0.2">
      <c r="B298" s="19"/>
      <c r="C298" s="11"/>
      <c r="D298" s="11"/>
      <c r="E298" s="11"/>
      <c r="F298" s="24">
        <f t="shared" si="23"/>
        <v>8887</v>
      </c>
      <c r="G298" s="32">
        <v>1</v>
      </c>
      <c r="H298" s="26">
        <f t="shared" si="24"/>
        <v>0</v>
      </c>
      <c r="I298" s="26">
        <f t="shared" si="20"/>
        <v>0</v>
      </c>
      <c r="J298" s="26">
        <f t="shared" si="21"/>
        <v>0</v>
      </c>
      <c r="K298" s="27">
        <f t="shared" si="22"/>
        <v>0</v>
      </c>
      <c r="L298" s="21"/>
    </row>
    <row r="299" spans="2:12" x14ac:dyDescent="0.2">
      <c r="B299" s="19"/>
      <c r="C299" s="11"/>
      <c r="D299" s="11"/>
      <c r="E299" s="11"/>
      <c r="F299" s="24">
        <f t="shared" si="23"/>
        <v>8918</v>
      </c>
      <c r="G299" s="25">
        <v>1</v>
      </c>
      <c r="H299" s="26">
        <f t="shared" si="24"/>
        <v>0</v>
      </c>
      <c r="I299" s="26">
        <f t="shared" si="20"/>
        <v>0</v>
      </c>
      <c r="J299" s="26">
        <f t="shared" si="21"/>
        <v>0</v>
      </c>
      <c r="K299" s="27">
        <f t="shared" si="22"/>
        <v>0</v>
      </c>
      <c r="L299" s="21"/>
    </row>
    <row r="300" spans="2:12" x14ac:dyDescent="0.2">
      <c r="B300" s="19"/>
      <c r="C300" s="11"/>
      <c r="D300" s="11"/>
      <c r="E300" s="11"/>
      <c r="F300" s="24">
        <f t="shared" si="23"/>
        <v>8948</v>
      </c>
      <c r="G300" s="32">
        <v>1</v>
      </c>
      <c r="H300" s="26">
        <f t="shared" si="24"/>
        <v>0</v>
      </c>
      <c r="I300" s="26">
        <f t="shared" si="20"/>
        <v>0</v>
      </c>
      <c r="J300" s="26">
        <f t="shared" si="21"/>
        <v>0</v>
      </c>
      <c r="K300" s="27">
        <f t="shared" si="22"/>
        <v>0</v>
      </c>
      <c r="L300" s="21"/>
    </row>
    <row r="301" spans="2:12" x14ac:dyDescent="0.2">
      <c r="B301" s="19"/>
      <c r="C301" s="11"/>
      <c r="D301" s="11"/>
      <c r="E301" s="11"/>
      <c r="F301" s="24">
        <f t="shared" si="23"/>
        <v>8979</v>
      </c>
      <c r="G301" s="25">
        <v>1</v>
      </c>
      <c r="H301" s="26">
        <f t="shared" si="24"/>
        <v>0</v>
      </c>
      <c r="I301" s="26">
        <f t="shared" si="20"/>
        <v>0</v>
      </c>
      <c r="J301" s="26">
        <f t="shared" si="21"/>
        <v>0</v>
      </c>
      <c r="K301" s="27">
        <f t="shared" si="22"/>
        <v>0</v>
      </c>
      <c r="L301" s="21"/>
    </row>
    <row r="302" spans="2:12" x14ac:dyDescent="0.2">
      <c r="B302" s="19"/>
      <c r="C302" s="11"/>
      <c r="D302" s="11"/>
      <c r="E302" s="11"/>
      <c r="F302" s="24">
        <f t="shared" si="23"/>
        <v>9010</v>
      </c>
      <c r="G302" s="32">
        <v>1</v>
      </c>
      <c r="H302" s="26">
        <f t="shared" si="24"/>
        <v>0</v>
      </c>
      <c r="I302" s="26">
        <f t="shared" si="20"/>
        <v>0</v>
      </c>
      <c r="J302" s="26">
        <f t="shared" si="21"/>
        <v>0</v>
      </c>
      <c r="K302" s="27">
        <f t="shared" si="22"/>
        <v>0</v>
      </c>
      <c r="L302" s="21"/>
    </row>
    <row r="303" spans="2:12" x14ac:dyDescent="0.2">
      <c r="B303" s="19"/>
      <c r="C303" s="11"/>
      <c r="D303" s="11"/>
      <c r="E303" s="11"/>
      <c r="F303" s="24">
        <f t="shared" si="23"/>
        <v>9040</v>
      </c>
      <c r="G303" s="25">
        <v>1</v>
      </c>
      <c r="H303" s="26">
        <f t="shared" si="24"/>
        <v>0</v>
      </c>
      <c r="I303" s="26">
        <f t="shared" si="20"/>
        <v>0</v>
      </c>
      <c r="J303" s="26">
        <f t="shared" si="21"/>
        <v>0</v>
      </c>
      <c r="K303" s="27">
        <f t="shared" si="22"/>
        <v>0</v>
      </c>
      <c r="L303" s="21"/>
    </row>
    <row r="304" spans="2:12" x14ac:dyDescent="0.2">
      <c r="B304" s="19"/>
      <c r="C304" s="11"/>
      <c r="D304" s="11"/>
      <c r="E304" s="11"/>
      <c r="F304" s="24">
        <f t="shared" si="23"/>
        <v>9071</v>
      </c>
      <c r="G304" s="32">
        <v>1</v>
      </c>
      <c r="H304" s="26">
        <f t="shared" si="24"/>
        <v>0</v>
      </c>
      <c r="I304" s="26">
        <f t="shared" si="20"/>
        <v>0</v>
      </c>
      <c r="J304" s="26">
        <f t="shared" si="21"/>
        <v>0</v>
      </c>
      <c r="K304" s="27">
        <f t="shared" si="22"/>
        <v>0</v>
      </c>
      <c r="L304" s="21"/>
    </row>
    <row r="305" spans="2:12" x14ac:dyDescent="0.2">
      <c r="B305" s="19"/>
      <c r="C305" s="11"/>
      <c r="D305" s="11"/>
      <c r="E305" s="11"/>
      <c r="F305" s="24">
        <f t="shared" si="23"/>
        <v>9101</v>
      </c>
      <c r="G305" s="25">
        <v>1</v>
      </c>
      <c r="H305" s="26">
        <f t="shared" si="24"/>
        <v>0</v>
      </c>
      <c r="I305" s="26">
        <f t="shared" si="20"/>
        <v>0</v>
      </c>
      <c r="J305" s="26">
        <f t="shared" si="21"/>
        <v>0</v>
      </c>
      <c r="K305" s="27">
        <f t="shared" si="22"/>
        <v>0</v>
      </c>
      <c r="L305" s="21"/>
    </row>
    <row r="306" spans="2:12" x14ac:dyDescent="0.2">
      <c r="B306" s="19"/>
      <c r="C306" s="11"/>
      <c r="D306" s="11"/>
      <c r="E306" s="11"/>
      <c r="F306" s="24">
        <f t="shared" si="23"/>
        <v>9132</v>
      </c>
      <c r="G306" s="32">
        <v>1</v>
      </c>
      <c r="H306" s="26">
        <f t="shared" si="24"/>
        <v>0</v>
      </c>
      <c r="I306" s="26">
        <f t="shared" si="20"/>
        <v>0</v>
      </c>
      <c r="J306" s="26">
        <f t="shared" si="21"/>
        <v>0</v>
      </c>
      <c r="K306" s="27">
        <f t="shared" si="22"/>
        <v>0</v>
      </c>
      <c r="L306" s="21"/>
    </row>
    <row r="307" spans="2:12" x14ac:dyDescent="0.2">
      <c r="B307" s="19"/>
      <c r="C307" s="11"/>
      <c r="D307" s="11"/>
      <c r="E307" s="11"/>
      <c r="F307" s="24">
        <f t="shared" si="23"/>
        <v>9163</v>
      </c>
      <c r="G307" s="25">
        <v>1</v>
      </c>
      <c r="H307" s="26">
        <f t="shared" si="24"/>
        <v>0</v>
      </c>
      <c r="I307" s="26">
        <f t="shared" si="20"/>
        <v>0</v>
      </c>
      <c r="J307" s="26">
        <f t="shared" si="21"/>
        <v>0</v>
      </c>
      <c r="K307" s="27">
        <f t="shared" si="22"/>
        <v>0</v>
      </c>
      <c r="L307" s="21"/>
    </row>
    <row r="308" spans="2:12" x14ac:dyDescent="0.2">
      <c r="B308" s="19"/>
      <c r="C308" s="11"/>
      <c r="D308" s="11"/>
      <c r="E308" s="11"/>
      <c r="F308" s="24">
        <f t="shared" si="23"/>
        <v>9191</v>
      </c>
      <c r="G308" s="32">
        <v>1</v>
      </c>
      <c r="H308" s="26">
        <f t="shared" si="24"/>
        <v>0</v>
      </c>
      <c r="I308" s="26">
        <f t="shared" si="20"/>
        <v>0</v>
      </c>
      <c r="J308" s="26">
        <f t="shared" si="21"/>
        <v>0</v>
      </c>
      <c r="K308" s="27">
        <f t="shared" si="22"/>
        <v>0</v>
      </c>
      <c r="L308" s="21"/>
    </row>
    <row r="309" spans="2:12" x14ac:dyDescent="0.2">
      <c r="B309" s="19"/>
      <c r="C309" s="11"/>
      <c r="D309" s="11"/>
      <c r="E309" s="11"/>
      <c r="F309" s="24">
        <f t="shared" si="23"/>
        <v>9222</v>
      </c>
      <c r="G309" s="25">
        <v>1</v>
      </c>
      <c r="H309" s="26">
        <f t="shared" si="24"/>
        <v>0</v>
      </c>
      <c r="I309" s="26">
        <f t="shared" si="20"/>
        <v>0</v>
      </c>
      <c r="J309" s="26">
        <f t="shared" si="21"/>
        <v>0</v>
      </c>
      <c r="K309" s="27">
        <f t="shared" si="22"/>
        <v>0</v>
      </c>
      <c r="L309" s="21"/>
    </row>
    <row r="310" spans="2:12" x14ac:dyDescent="0.2">
      <c r="B310" s="19"/>
      <c r="C310" s="11"/>
      <c r="D310" s="11"/>
      <c r="E310" s="11"/>
      <c r="F310" s="24">
        <f t="shared" si="23"/>
        <v>9252</v>
      </c>
      <c r="G310" s="32">
        <v>1</v>
      </c>
      <c r="H310" s="26">
        <f t="shared" si="24"/>
        <v>0</v>
      </c>
      <c r="I310" s="26">
        <f t="shared" si="20"/>
        <v>0</v>
      </c>
      <c r="J310" s="26">
        <f t="shared" si="21"/>
        <v>0</v>
      </c>
      <c r="K310" s="27">
        <f t="shared" si="22"/>
        <v>0</v>
      </c>
      <c r="L310" s="21"/>
    </row>
    <row r="311" spans="2:12" x14ac:dyDescent="0.2">
      <c r="B311" s="19"/>
      <c r="C311" s="11"/>
      <c r="D311" s="11"/>
      <c r="E311" s="11"/>
      <c r="F311" s="24">
        <f t="shared" si="23"/>
        <v>9283</v>
      </c>
      <c r="G311" s="25">
        <v>1</v>
      </c>
      <c r="H311" s="26">
        <f t="shared" si="24"/>
        <v>0</v>
      </c>
      <c r="I311" s="26">
        <f t="shared" si="20"/>
        <v>0</v>
      </c>
      <c r="J311" s="26">
        <f t="shared" si="21"/>
        <v>0</v>
      </c>
      <c r="K311" s="27">
        <f t="shared" si="22"/>
        <v>0</v>
      </c>
      <c r="L311" s="21"/>
    </row>
    <row r="312" spans="2:12" x14ac:dyDescent="0.2">
      <c r="B312" s="19"/>
      <c r="C312" s="11"/>
      <c r="D312" s="11"/>
      <c r="E312" s="11"/>
      <c r="F312" s="24">
        <f t="shared" si="23"/>
        <v>9313</v>
      </c>
      <c r="G312" s="32">
        <v>1</v>
      </c>
      <c r="H312" s="26">
        <f t="shared" si="24"/>
        <v>0</v>
      </c>
      <c r="I312" s="26">
        <f t="shared" si="20"/>
        <v>0</v>
      </c>
      <c r="J312" s="26">
        <f t="shared" si="21"/>
        <v>0</v>
      </c>
      <c r="K312" s="27">
        <f t="shared" si="22"/>
        <v>0</v>
      </c>
      <c r="L312" s="21"/>
    </row>
    <row r="313" spans="2:12" x14ac:dyDescent="0.2">
      <c r="B313" s="19"/>
      <c r="C313" s="11"/>
      <c r="D313" s="11"/>
      <c r="E313" s="11"/>
      <c r="F313" s="24">
        <f t="shared" si="23"/>
        <v>9344</v>
      </c>
      <c r="G313" s="25">
        <v>1</v>
      </c>
      <c r="H313" s="26">
        <f t="shared" si="24"/>
        <v>0</v>
      </c>
      <c r="I313" s="26">
        <f t="shared" si="20"/>
        <v>0</v>
      </c>
      <c r="J313" s="26">
        <f t="shared" si="21"/>
        <v>0</v>
      </c>
      <c r="K313" s="27">
        <f t="shared" si="22"/>
        <v>0</v>
      </c>
      <c r="L313" s="21"/>
    </row>
    <row r="314" spans="2:12" x14ac:dyDescent="0.2">
      <c r="B314" s="19"/>
      <c r="C314" s="11"/>
      <c r="D314" s="11"/>
      <c r="E314" s="11"/>
      <c r="F314" s="24">
        <f t="shared" si="23"/>
        <v>9375</v>
      </c>
      <c r="G314" s="32">
        <v>1</v>
      </c>
      <c r="H314" s="26">
        <f t="shared" si="24"/>
        <v>0</v>
      </c>
      <c r="I314" s="26">
        <f t="shared" si="20"/>
        <v>0</v>
      </c>
      <c r="J314" s="26">
        <f t="shared" si="21"/>
        <v>0</v>
      </c>
      <c r="K314" s="27">
        <f t="shared" si="22"/>
        <v>0</v>
      </c>
      <c r="L314" s="21"/>
    </row>
    <row r="315" spans="2:12" x14ac:dyDescent="0.2">
      <c r="B315" s="19"/>
      <c r="C315" s="11"/>
      <c r="D315" s="11"/>
      <c r="E315" s="11"/>
      <c r="F315" s="24">
        <f t="shared" si="23"/>
        <v>9405</v>
      </c>
      <c r="G315" s="25">
        <v>1</v>
      </c>
      <c r="H315" s="26">
        <f t="shared" si="24"/>
        <v>0</v>
      </c>
      <c r="I315" s="26">
        <f t="shared" si="20"/>
        <v>0</v>
      </c>
      <c r="J315" s="26">
        <f t="shared" si="21"/>
        <v>0</v>
      </c>
      <c r="K315" s="27">
        <f t="shared" si="22"/>
        <v>0</v>
      </c>
      <c r="L315" s="21"/>
    </row>
    <row r="316" spans="2:12" x14ac:dyDescent="0.2">
      <c r="B316" s="19"/>
      <c r="C316" s="11"/>
      <c r="D316" s="11"/>
      <c r="E316" s="11"/>
      <c r="F316" s="24">
        <f t="shared" si="23"/>
        <v>9436</v>
      </c>
      <c r="G316" s="32">
        <v>1</v>
      </c>
      <c r="H316" s="26">
        <f t="shared" si="24"/>
        <v>0</v>
      </c>
      <c r="I316" s="26">
        <f t="shared" si="20"/>
        <v>0</v>
      </c>
      <c r="J316" s="26">
        <f t="shared" si="21"/>
        <v>0</v>
      </c>
      <c r="K316" s="27">
        <f t="shared" si="22"/>
        <v>0</v>
      </c>
      <c r="L316" s="21"/>
    </row>
    <row r="317" spans="2:12" x14ac:dyDescent="0.2">
      <c r="B317" s="19"/>
      <c r="C317" s="11"/>
      <c r="D317" s="11"/>
      <c r="E317" s="11"/>
      <c r="F317" s="24">
        <f t="shared" si="23"/>
        <v>9466</v>
      </c>
      <c r="G317" s="25">
        <v>1</v>
      </c>
      <c r="H317" s="26">
        <f t="shared" si="24"/>
        <v>0</v>
      </c>
      <c r="I317" s="26">
        <f t="shared" si="20"/>
        <v>0</v>
      </c>
      <c r="J317" s="26">
        <f t="shared" si="21"/>
        <v>0</v>
      </c>
      <c r="K317" s="27">
        <f t="shared" si="22"/>
        <v>0</v>
      </c>
      <c r="L317" s="21"/>
    </row>
    <row r="318" spans="2:12" x14ac:dyDescent="0.2">
      <c r="B318" s="19"/>
      <c r="C318" s="11"/>
      <c r="D318" s="11"/>
      <c r="E318" s="11"/>
      <c r="F318" s="24">
        <f t="shared" si="23"/>
        <v>9497</v>
      </c>
      <c r="G318" s="32">
        <v>1</v>
      </c>
      <c r="H318" s="26">
        <f t="shared" si="24"/>
        <v>0</v>
      </c>
      <c r="I318" s="26">
        <f t="shared" si="20"/>
        <v>0</v>
      </c>
      <c r="J318" s="26">
        <f t="shared" si="21"/>
        <v>0</v>
      </c>
      <c r="K318" s="27">
        <f t="shared" si="22"/>
        <v>0</v>
      </c>
      <c r="L318" s="21"/>
    </row>
    <row r="319" spans="2:12" x14ac:dyDescent="0.2">
      <c r="B319" s="19"/>
      <c r="C319" s="11"/>
      <c r="D319" s="11"/>
      <c r="E319" s="11"/>
      <c r="F319" s="24">
        <f t="shared" si="23"/>
        <v>9528</v>
      </c>
      <c r="G319" s="25">
        <v>1</v>
      </c>
      <c r="H319" s="26">
        <f t="shared" si="24"/>
        <v>0</v>
      </c>
      <c r="I319" s="26">
        <f t="shared" si="20"/>
        <v>0</v>
      </c>
      <c r="J319" s="26">
        <f t="shared" si="21"/>
        <v>0</v>
      </c>
      <c r="K319" s="27">
        <f t="shared" si="22"/>
        <v>0</v>
      </c>
      <c r="L319" s="21"/>
    </row>
    <row r="320" spans="2:12" x14ac:dyDescent="0.2">
      <c r="B320" s="19"/>
      <c r="C320" s="11"/>
      <c r="D320" s="11"/>
      <c r="E320" s="11"/>
      <c r="F320" s="24">
        <f t="shared" si="23"/>
        <v>9556</v>
      </c>
      <c r="G320" s="32">
        <v>1</v>
      </c>
      <c r="H320" s="26">
        <f t="shared" si="24"/>
        <v>0</v>
      </c>
      <c r="I320" s="26">
        <f t="shared" si="20"/>
        <v>0</v>
      </c>
      <c r="J320" s="26">
        <f t="shared" si="21"/>
        <v>0</v>
      </c>
      <c r="K320" s="27">
        <f t="shared" si="22"/>
        <v>0</v>
      </c>
      <c r="L320" s="21"/>
    </row>
    <row r="321" spans="2:12" x14ac:dyDescent="0.2">
      <c r="B321" s="19"/>
      <c r="C321" s="11"/>
      <c r="D321" s="11"/>
      <c r="E321" s="11"/>
      <c r="F321" s="24">
        <f t="shared" si="23"/>
        <v>9587</v>
      </c>
      <c r="G321" s="25">
        <v>1</v>
      </c>
      <c r="H321" s="26">
        <f t="shared" si="24"/>
        <v>0</v>
      </c>
      <c r="I321" s="26">
        <f t="shared" si="20"/>
        <v>0</v>
      </c>
      <c r="J321" s="26">
        <f t="shared" si="21"/>
        <v>0</v>
      </c>
      <c r="K321" s="27">
        <f t="shared" si="22"/>
        <v>0</v>
      </c>
      <c r="L321" s="21"/>
    </row>
    <row r="322" spans="2:12" x14ac:dyDescent="0.2">
      <c r="B322" s="19"/>
      <c r="C322" s="11"/>
      <c r="D322" s="11"/>
      <c r="E322" s="11"/>
      <c r="F322" s="24">
        <f t="shared" si="23"/>
        <v>9617</v>
      </c>
      <c r="G322" s="32">
        <v>1</v>
      </c>
      <c r="H322" s="26">
        <f t="shared" si="24"/>
        <v>0</v>
      </c>
      <c r="I322" s="26">
        <f t="shared" si="20"/>
        <v>0</v>
      </c>
      <c r="J322" s="26">
        <f t="shared" si="21"/>
        <v>0</v>
      </c>
      <c r="K322" s="27">
        <f t="shared" si="22"/>
        <v>0</v>
      </c>
      <c r="L322" s="21"/>
    </row>
    <row r="323" spans="2:12" x14ac:dyDescent="0.2">
      <c r="B323" s="19"/>
      <c r="C323" s="11"/>
      <c r="D323" s="11"/>
      <c r="E323" s="11"/>
      <c r="F323" s="24">
        <f t="shared" si="23"/>
        <v>9648</v>
      </c>
      <c r="G323" s="25">
        <v>1</v>
      </c>
      <c r="H323" s="26">
        <f t="shared" si="24"/>
        <v>0</v>
      </c>
      <c r="I323" s="26">
        <f t="shared" si="20"/>
        <v>0</v>
      </c>
      <c r="J323" s="26">
        <f t="shared" si="21"/>
        <v>0</v>
      </c>
      <c r="K323" s="27">
        <f t="shared" si="22"/>
        <v>0</v>
      </c>
      <c r="L323" s="21"/>
    </row>
    <row r="324" spans="2:12" x14ac:dyDescent="0.2">
      <c r="B324" s="19"/>
      <c r="C324" s="11"/>
      <c r="D324" s="11"/>
      <c r="E324" s="11"/>
      <c r="F324" s="24">
        <f t="shared" si="23"/>
        <v>9678</v>
      </c>
      <c r="G324" s="32">
        <v>1</v>
      </c>
      <c r="H324" s="26">
        <f t="shared" si="24"/>
        <v>0</v>
      </c>
      <c r="I324" s="26">
        <f t="shared" si="20"/>
        <v>0</v>
      </c>
      <c r="J324" s="26">
        <f t="shared" si="21"/>
        <v>0</v>
      </c>
      <c r="K324" s="27">
        <f t="shared" si="22"/>
        <v>0</v>
      </c>
      <c r="L324" s="21"/>
    </row>
    <row r="325" spans="2:12" x14ac:dyDescent="0.2">
      <c r="B325" s="19"/>
      <c r="C325" s="11"/>
      <c r="D325" s="11"/>
      <c r="E325" s="11"/>
      <c r="F325" s="24">
        <f t="shared" si="23"/>
        <v>9709</v>
      </c>
      <c r="G325" s="25">
        <v>1</v>
      </c>
      <c r="H325" s="26">
        <f t="shared" si="24"/>
        <v>0</v>
      </c>
      <c r="I325" s="26">
        <f t="shared" si="20"/>
        <v>0</v>
      </c>
      <c r="J325" s="26">
        <f t="shared" si="21"/>
        <v>0</v>
      </c>
      <c r="K325" s="27">
        <f t="shared" si="22"/>
        <v>0</v>
      </c>
      <c r="L325" s="21"/>
    </row>
    <row r="326" spans="2:12" x14ac:dyDescent="0.2">
      <c r="B326" s="19"/>
      <c r="C326" s="11"/>
      <c r="D326" s="11"/>
      <c r="E326" s="11"/>
      <c r="F326" s="24">
        <f t="shared" si="23"/>
        <v>9740</v>
      </c>
      <c r="G326" s="32">
        <v>1</v>
      </c>
      <c r="H326" s="26">
        <f t="shared" si="24"/>
        <v>0</v>
      </c>
      <c r="I326" s="26">
        <f t="shared" si="20"/>
        <v>0</v>
      </c>
      <c r="J326" s="26">
        <f t="shared" si="21"/>
        <v>0</v>
      </c>
      <c r="K326" s="27">
        <f t="shared" si="22"/>
        <v>0</v>
      </c>
      <c r="L326" s="21"/>
    </row>
    <row r="327" spans="2:12" x14ac:dyDescent="0.2">
      <c r="B327" s="19"/>
      <c r="C327" s="11"/>
      <c r="D327" s="11"/>
      <c r="E327" s="11"/>
      <c r="F327" s="24">
        <f t="shared" si="23"/>
        <v>9770</v>
      </c>
      <c r="G327" s="25">
        <v>1</v>
      </c>
      <c r="H327" s="26">
        <f t="shared" si="24"/>
        <v>0</v>
      </c>
      <c r="I327" s="26">
        <f t="shared" ref="I327:I390" si="25">$D$10</f>
        <v>0</v>
      </c>
      <c r="J327" s="26">
        <f t="shared" ref="J327:J390" si="26">(H327*$D$8)/12</f>
        <v>0</v>
      </c>
      <c r="K327" s="27">
        <f t="shared" ref="K327:K390" si="27">I327-J327</f>
        <v>0</v>
      </c>
      <c r="L327" s="21"/>
    </row>
    <row r="328" spans="2:12" x14ac:dyDescent="0.2">
      <c r="B328" s="19"/>
      <c r="C328" s="11"/>
      <c r="D328" s="11"/>
      <c r="E328" s="11"/>
      <c r="F328" s="24">
        <f t="shared" ref="F328:F391" si="28">EOMONTH(F327,1)</f>
        <v>9801</v>
      </c>
      <c r="G328" s="32">
        <v>1</v>
      </c>
      <c r="H328" s="26">
        <f t="shared" ref="H328:H391" si="29">H327-K327</f>
        <v>0</v>
      </c>
      <c r="I328" s="26">
        <f t="shared" si="25"/>
        <v>0</v>
      </c>
      <c r="J328" s="26">
        <f t="shared" si="26"/>
        <v>0</v>
      </c>
      <c r="K328" s="27">
        <f t="shared" si="27"/>
        <v>0</v>
      </c>
      <c r="L328" s="21"/>
    </row>
    <row r="329" spans="2:12" x14ac:dyDescent="0.2">
      <c r="B329" s="19"/>
      <c r="C329" s="11"/>
      <c r="D329" s="11"/>
      <c r="E329" s="11"/>
      <c r="F329" s="24">
        <f t="shared" si="28"/>
        <v>9831</v>
      </c>
      <c r="G329" s="25">
        <v>1</v>
      </c>
      <c r="H329" s="26">
        <f t="shared" si="29"/>
        <v>0</v>
      </c>
      <c r="I329" s="26">
        <f t="shared" si="25"/>
        <v>0</v>
      </c>
      <c r="J329" s="26">
        <f t="shared" si="26"/>
        <v>0</v>
      </c>
      <c r="K329" s="27">
        <f t="shared" si="27"/>
        <v>0</v>
      </c>
      <c r="L329" s="21"/>
    </row>
    <row r="330" spans="2:12" x14ac:dyDescent="0.2">
      <c r="B330" s="19"/>
      <c r="C330" s="11"/>
      <c r="D330" s="11"/>
      <c r="E330" s="11"/>
      <c r="F330" s="24">
        <f t="shared" si="28"/>
        <v>9862</v>
      </c>
      <c r="G330" s="32">
        <v>1</v>
      </c>
      <c r="H330" s="26">
        <f t="shared" si="29"/>
        <v>0</v>
      </c>
      <c r="I330" s="26">
        <f t="shared" si="25"/>
        <v>0</v>
      </c>
      <c r="J330" s="26">
        <f t="shared" si="26"/>
        <v>0</v>
      </c>
      <c r="K330" s="27">
        <f t="shared" si="27"/>
        <v>0</v>
      </c>
      <c r="L330" s="21"/>
    </row>
    <row r="331" spans="2:12" x14ac:dyDescent="0.2">
      <c r="B331" s="19"/>
      <c r="C331" s="11"/>
      <c r="D331" s="11"/>
      <c r="E331" s="11"/>
      <c r="F331" s="24">
        <f t="shared" si="28"/>
        <v>9893</v>
      </c>
      <c r="G331" s="25">
        <v>1</v>
      </c>
      <c r="H331" s="26">
        <f t="shared" si="29"/>
        <v>0</v>
      </c>
      <c r="I331" s="26">
        <f t="shared" si="25"/>
        <v>0</v>
      </c>
      <c r="J331" s="26">
        <f t="shared" si="26"/>
        <v>0</v>
      </c>
      <c r="K331" s="27">
        <f t="shared" si="27"/>
        <v>0</v>
      </c>
      <c r="L331" s="21"/>
    </row>
    <row r="332" spans="2:12" x14ac:dyDescent="0.2">
      <c r="B332" s="19"/>
      <c r="C332" s="11"/>
      <c r="D332" s="11"/>
      <c r="E332" s="11"/>
      <c r="F332" s="24">
        <f t="shared" si="28"/>
        <v>9921</v>
      </c>
      <c r="G332" s="32">
        <v>1</v>
      </c>
      <c r="H332" s="26">
        <f t="shared" si="29"/>
        <v>0</v>
      </c>
      <c r="I332" s="26">
        <f t="shared" si="25"/>
        <v>0</v>
      </c>
      <c r="J332" s="26">
        <f t="shared" si="26"/>
        <v>0</v>
      </c>
      <c r="K332" s="27">
        <f t="shared" si="27"/>
        <v>0</v>
      </c>
      <c r="L332" s="21"/>
    </row>
    <row r="333" spans="2:12" x14ac:dyDescent="0.2">
      <c r="B333" s="19"/>
      <c r="C333" s="11"/>
      <c r="D333" s="11"/>
      <c r="E333" s="11"/>
      <c r="F333" s="24">
        <f t="shared" si="28"/>
        <v>9952</v>
      </c>
      <c r="G333" s="25">
        <v>1</v>
      </c>
      <c r="H333" s="26">
        <f t="shared" si="29"/>
        <v>0</v>
      </c>
      <c r="I333" s="26">
        <f t="shared" si="25"/>
        <v>0</v>
      </c>
      <c r="J333" s="26">
        <f t="shared" si="26"/>
        <v>0</v>
      </c>
      <c r="K333" s="27">
        <f t="shared" si="27"/>
        <v>0</v>
      </c>
      <c r="L333" s="21"/>
    </row>
    <row r="334" spans="2:12" x14ac:dyDescent="0.2">
      <c r="B334" s="19"/>
      <c r="C334" s="11"/>
      <c r="D334" s="11"/>
      <c r="E334" s="11"/>
      <c r="F334" s="24">
        <f t="shared" si="28"/>
        <v>9982</v>
      </c>
      <c r="G334" s="32">
        <v>1</v>
      </c>
      <c r="H334" s="26">
        <f t="shared" si="29"/>
        <v>0</v>
      </c>
      <c r="I334" s="26">
        <f t="shared" si="25"/>
        <v>0</v>
      </c>
      <c r="J334" s="26">
        <f t="shared" si="26"/>
        <v>0</v>
      </c>
      <c r="K334" s="27">
        <f t="shared" si="27"/>
        <v>0</v>
      </c>
      <c r="L334" s="21"/>
    </row>
    <row r="335" spans="2:12" x14ac:dyDescent="0.2">
      <c r="B335" s="19"/>
      <c r="C335" s="11"/>
      <c r="D335" s="11"/>
      <c r="E335" s="11"/>
      <c r="F335" s="24">
        <f t="shared" si="28"/>
        <v>10013</v>
      </c>
      <c r="G335" s="25">
        <v>1</v>
      </c>
      <c r="H335" s="26">
        <f t="shared" si="29"/>
        <v>0</v>
      </c>
      <c r="I335" s="26">
        <f t="shared" si="25"/>
        <v>0</v>
      </c>
      <c r="J335" s="26">
        <f t="shared" si="26"/>
        <v>0</v>
      </c>
      <c r="K335" s="27">
        <f t="shared" si="27"/>
        <v>0</v>
      </c>
      <c r="L335" s="21"/>
    </row>
    <row r="336" spans="2:12" x14ac:dyDescent="0.2">
      <c r="B336" s="19"/>
      <c r="C336" s="11"/>
      <c r="D336" s="11"/>
      <c r="E336" s="11"/>
      <c r="F336" s="24">
        <f t="shared" si="28"/>
        <v>10043</v>
      </c>
      <c r="G336" s="32">
        <v>1</v>
      </c>
      <c r="H336" s="26">
        <f t="shared" si="29"/>
        <v>0</v>
      </c>
      <c r="I336" s="26">
        <f t="shared" si="25"/>
        <v>0</v>
      </c>
      <c r="J336" s="26">
        <f t="shared" si="26"/>
        <v>0</v>
      </c>
      <c r="K336" s="27">
        <f t="shared" si="27"/>
        <v>0</v>
      </c>
      <c r="L336" s="21"/>
    </row>
    <row r="337" spans="2:12" x14ac:dyDescent="0.2">
      <c r="B337" s="19"/>
      <c r="C337" s="11"/>
      <c r="D337" s="11"/>
      <c r="E337" s="11"/>
      <c r="F337" s="24">
        <f t="shared" si="28"/>
        <v>10074</v>
      </c>
      <c r="G337" s="25">
        <v>1</v>
      </c>
      <c r="H337" s="26">
        <f t="shared" si="29"/>
        <v>0</v>
      </c>
      <c r="I337" s="26">
        <f t="shared" si="25"/>
        <v>0</v>
      </c>
      <c r="J337" s="26">
        <f t="shared" si="26"/>
        <v>0</v>
      </c>
      <c r="K337" s="27">
        <f t="shared" si="27"/>
        <v>0</v>
      </c>
      <c r="L337" s="21"/>
    </row>
    <row r="338" spans="2:12" x14ac:dyDescent="0.2">
      <c r="B338" s="19"/>
      <c r="C338" s="11"/>
      <c r="D338" s="11"/>
      <c r="E338" s="11"/>
      <c r="F338" s="24">
        <f t="shared" si="28"/>
        <v>10105</v>
      </c>
      <c r="G338" s="32">
        <v>1</v>
      </c>
      <c r="H338" s="26">
        <f t="shared" si="29"/>
        <v>0</v>
      </c>
      <c r="I338" s="26">
        <f t="shared" si="25"/>
        <v>0</v>
      </c>
      <c r="J338" s="26">
        <f t="shared" si="26"/>
        <v>0</v>
      </c>
      <c r="K338" s="27">
        <f t="shared" si="27"/>
        <v>0</v>
      </c>
      <c r="L338" s="21"/>
    </row>
    <row r="339" spans="2:12" x14ac:dyDescent="0.2">
      <c r="B339" s="19"/>
      <c r="C339" s="11"/>
      <c r="D339" s="11"/>
      <c r="E339" s="11"/>
      <c r="F339" s="24">
        <f t="shared" si="28"/>
        <v>10135</v>
      </c>
      <c r="G339" s="25">
        <v>1</v>
      </c>
      <c r="H339" s="26">
        <f t="shared" si="29"/>
        <v>0</v>
      </c>
      <c r="I339" s="26">
        <f t="shared" si="25"/>
        <v>0</v>
      </c>
      <c r="J339" s="26">
        <f t="shared" si="26"/>
        <v>0</v>
      </c>
      <c r="K339" s="27">
        <f t="shared" si="27"/>
        <v>0</v>
      </c>
      <c r="L339" s="21"/>
    </row>
    <row r="340" spans="2:12" x14ac:dyDescent="0.2">
      <c r="B340" s="19"/>
      <c r="C340" s="11"/>
      <c r="D340" s="11"/>
      <c r="E340" s="11"/>
      <c r="F340" s="24">
        <f t="shared" si="28"/>
        <v>10166</v>
      </c>
      <c r="G340" s="32">
        <v>1</v>
      </c>
      <c r="H340" s="26">
        <f t="shared" si="29"/>
        <v>0</v>
      </c>
      <c r="I340" s="26">
        <f t="shared" si="25"/>
        <v>0</v>
      </c>
      <c r="J340" s="26">
        <f t="shared" si="26"/>
        <v>0</v>
      </c>
      <c r="K340" s="27">
        <f t="shared" si="27"/>
        <v>0</v>
      </c>
      <c r="L340" s="21"/>
    </row>
    <row r="341" spans="2:12" x14ac:dyDescent="0.2">
      <c r="B341" s="19"/>
      <c r="C341" s="11"/>
      <c r="D341" s="11"/>
      <c r="E341" s="11"/>
      <c r="F341" s="24">
        <f t="shared" si="28"/>
        <v>10196</v>
      </c>
      <c r="G341" s="25">
        <v>1</v>
      </c>
      <c r="H341" s="26">
        <f t="shared" si="29"/>
        <v>0</v>
      </c>
      <c r="I341" s="26">
        <f t="shared" si="25"/>
        <v>0</v>
      </c>
      <c r="J341" s="26">
        <f t="shared" si="26"/>
        <v>0</v>
      </c>
      <c r="K341" s="27">
        <f t="shared" si="27"/>
        <v>0</v>
      </c>
      <c r="L341" s="21"/>
    </row>
    <row r="342" spans="2:12" x14ac:dyDescent="0.2">
      <c r="B342" s="19"/>
      <c r="C342" s="11"/>
      <c r="D342" s="11"/>
      <c r="E342" s="11"/>
      <c r="F342" s="24">
        <f t="shared" si="28"/>
        <v>10227</v>
      </c>
      <c r="G342" s="32">
        <v>1</v>
      </c>
      <c r="H342" s="26">
        <f t="shared" si="29"/>
        <v>0</v>
      </c>
      <c r="I342" s="26">
        <f t="shared" si="25"/>
        <v>0</v>
      </c>
      <c r="J342" s="26">
        <f t="shared" si="26"/>
        <v>0</v>
      </c>
      <c r="K342" s="27">
        <f t="shared" si="27"/>
        <v>0</v>
      </c>
      <c r="L342" s="21"/>
    </row>
    <row r="343" spans="2:12" x14ac:dyDescent="0.2">
      <c r="B343" s="19"/>
      <c r="C343" s="11"/>
      <c r="D343" s="11"/>
      <c r="E343" s="11"/>
      <c r="F343" s="24">
        <f t="shared" si="28"/>
        <v>10258</v>
      </c>
      <c r="G343" s="25">
        <v>1</v>
      </c>
      <c r="H343" s="26">
        <f t="shared" si="29"/>
        <v>0</v>
      </c>
      <c r="I343" s="26">
        <f t="shared" si="25"/>
        <v>0</v>
      </c>
      <c r="J343" s="26">
        <f t="shared" si="26"/>
        <v>0</v>
      </c>
      <c r="K343" s="27">
        <f t="shared" si="27"/>
        <v>0</v>
      </c>
      <c r="L343" s="21"/>
    </row>
    <row r="344" spans="2:12" x14ac:dyDescent="0.2">
      <c r="B344" s="19"/>
      <c r="C344" s="11"/>
      <c r="D344" s="11"/>
      <c r="E344" s="11"/>
      <c r="F344" s="24">
        <f t="shared" si="28"/>
        <v>10287</v>
      </c>
      <c r="G344" s="32">
        <v>1</v>
      </c>
      <c r="H344" s="26">
        <f t="shared" si="29"/>
        <v>0</v>
      </c>
      <c r="I344" s="26">
        <f t="shared" si="25"/>
        <v>0</v>
      </c>
      <c r="J344" s="26">
        <f t="shared" si="26"/>
        <v>0</v>
      </c>
      <c r="K344" s="27">
        <f t="shared" si="27"/>
        <v>0</v>
      </c>
      <c r="L344" s="21"/>
    </row>
    <row r="345" spans="2:12" x14ac:dyDescent="0.2">
      <c r="B345" s="19"/>
      <c r="C345" s="11"/>
      <c r="D345" s="11"/>
      <c r="E345" s="11"/>
      <c r="F345" s="24">
        <f t="shared" si="28"/>
        <v>10318</v>
      </c>
      <c r="G345" s="25">
        <v>1</v>
      </c>
      <c r="H345" s="26">
        <f t="shared" si="29"/>
        <v>0</v>
      </c>
      <c r="I345" s="26">
        <f t="shared" si="25"/>
        <v>0</v>
      </c>
      <c r="J345" s="26">
        <f t="shared" si="26"/>
        <v>0</v>
      </c>
      <c r="K345" s="27">
        <f t="shared" si="27"/>
        <v>0</v>
      </c>
      <c r="L345" s="21"/>
    </row>
    <row r="346" spans="2:12" x14ac:dyDescent="0.2">
      <c r="B346" s="19"/>
      <c r="C346" s="11"/>
      <c r="D346" s="11"/>
      <c r="E346" s="11"/>
      <c r="F346" s="24">
        <f t="shared" si="28"/>
        <v>10348</v>
      </c>
      <c r="G346" s="32">
        <v>1</v>
      </c>
      <c r="H346" s="26">
        <f t="shared" si="29"/>
        <v>0</v>
      </c>
      <c r="I346" s="26">
        <f t="shared" si="25"/>
        <v>0</v>
      </c>
      <c r="J346" s="26">
        <f t="shared" si="26"/>
        <v>0</v>
      </c>
      <c r="K346" s="27">
        <f t="shared" si="27"/>
        <v>0</v>
      </c>
      <c r="L346" s="21"/>
    </row>
    <row r="347" spans="2:12" x14ac:dyDescent="0.2">
      <c r="B347" s="19"/>
      <c r="C347" s="11"/>
      <c r="D347" s="11"/>
      <c r="E347" s="11"/>
      <c r="F347" s="24">
        <f t="shared" si="28"/>
        <v>10379</v>
      </c>
      <c r="G347" s="25">
        <v>1</v>
      </c>
      <c r="H347" s="26">
        <f t="shared" si="29"/>
        <v>0</v>
      </c>
      <c r="I347" s="26">
        <f t="shared" si="25"/>
        <v>0</v>
      </c>
      <c r="J347" s="26">
        <f t="shared" si="26"/>
        <v>0</v>
      </c>
      <c r="K347" s="27">
        <f t="shared" si="27"/>
        <v>0</v>
      </c>
      <c r="L347" s="21"/>
    </row>
    <row r="348" spans="2:12" x14ac:dyDescent="0.2">
      <c r="B348" s="19"/>
      <c r="C348" s="11"/>
      <c r="D348" s="11"/>
      <c r="E348" s="11"/>
      <c r="F348" s="24">
        <f t="shared" si="28"/>
        <v>10409</v>
      </c>
      <c r="G348" s="32">
        <v>1</v>
      </c>
      <c r="H348" s="26">
        <f t="shared" si="29"/>
        <v>0</v>
      </c>
      <c r="I348" s="26">
        <f t="shared" si="25"/>
        <v>0</v>
      </c>
      <c r="J348" s="26">
        <f t="shared" si="26"/>
        <v>0</v>
      </c>
      <c r="K348" s="27">
        <f t="shared" si="27"/>
        <v>0</v>
      </c>
      <c r="L348" s="21"/>
    </row>
    <row r="349" spans="2:12" x14ac:dyDescent="0.2">
      <c r="B349" s="19"/>
      <c r="C349" s="11"/>
      <c r="D349" s="11"/>
      <c r="E349" s="11"/>
      <c r="F349" s="24">
        <f t="shared" si="28"/>
        <v>10440</v>
      </c>
      <c r="G349" s="25">
        <v>1</v>
      </c>
      <c r="H349" s="26">
        <f t="shared" si="29"/>
        <v>0</v>
      </c>
      <c r="I349" s="26">
        <f t="shared" si="25"/>
        <v>0</v>
      </c>
      <c r="J349" s="26">
        <f t="shared" si="26"/>
        <v>0</v>
      </c>
      <c r="K349" s="27">
        <f t="shared" si="27"/>
        <v>0</v>
      </c>
      <c r="L349" s="21"/>
    </row>
    <row r="350" spans="2:12" x14ac:dyDescent="0.2">
      <c r="B350" s="19"/>
      <c r="C350" s="11"/>
      <c r="D350" s="11"/>
      <c r="E350" s="11"/>
      <c r="F350" s="24">
        <f t="shared" si="28"/>
        <v>10471</v>
      </c>
      <c r="G350" s="32">
        <v>1</v>
      </c>
      <c r="H350" s="26">
        <f t="shared" si="29"/>
        <v>0</v>
      </c>
      <c r="I350" s="26">
        <f t="shared" si="25"/>
        <v>0</v>
      </c>
      <c r="J350" s="26">
        <f t="shared" si="26"/>
        <v>0</v>
      </c>
      <c r="K350" s="27">
        <f t="shared" si="27"/>
        <v>0</v>
      </c>
      <c r="L350" s="21"/>
    </row>
    <row r="351" spans="2:12" x14ac:dyDescent="0.2">
      <c r="B351" s="19"/>
      <c r="C351" s="11"/>
      <c r="D351" s="11"/>
      <c r="E351" s="11"/>
      <c r="F351" s="24">
        <f t="shared" si="28"/>
        <v>10501</v>
      </c>
      <c r="G351" s="25">
        <v>1</v>
      </c>
      <c r="H351" s="26">
        <f t="shared" si="29"/>
        <v>0</v>
      </c>
      <c r="I351" s="26">
        <f t="shared" si="25"/>
        <v>0</v>
      </c>
      <c r="J351" s="26">
        <f t="shared" si="26"/>
        <v>0</v>
      </c>
      <c r="K351" s="27">
        <f t="shared" si="27"/>
        <v>0</v>
      </c>
      <c r="L351" s="21"/>
    </row>
    <row r="352" spans="2:12" x14ac:dyDescent="0.2">
      <c r="B352" s="19"/>
      <c r="C352" s="11"/>
      <c r="D352" s="11"/>
      <c r="E352" s="11"/>
      <c r="F352" s="24">
        <f t="shared" si="28"/>
        <v>10532</v>
      </c>
      <c r="G352" s="32">
        <v>1</v>
      </c>
      <c r="H352" s="26">
        <f t="shared" si="29"/>
        <v>0</v>
      </c>
      <c r="I352" s="26">
        <f t="shared" si="25"/>
        <v>0</v>
      </c>
      <c r="J352" s="26">
        <f t="shared" si="26"/>
        <v>0</v>
      </c>
      <c r="K352" s="27">
        <f t="shared" si="27"/>
        <v>0</v>
      </c>
      <c r="L352" s="21"/>
    </row>
    <row r="353" spans="2:12" x14ac:dyDescent="0.2">
      <c r="B353" s="19"/>
      <c r="C353" s="11"/>
      <c r="D353" s="11"/>
      <c r="E353" s="11"/>
      <c r="F353" s="24">
        <f t="shared" si="28"/>
        <v>10562</v>
      </c>
      <c r="G353" s="25">
        <v>1</v>
      </c>
      <c r="H353" s="26">
        <f t="shared" si="29"/>
        <v>0</v>
      </c>
      <c r="I353" s="26">
        <f t="shared" si="25"/>
        <v>0</v>
      </c>
      <c r="J353" s="26">
        <f t="shared" si="26"/>
        <v>0</v>
      </c>
      <c r="K353" s="27">
        <f t="shared" si="27"/>
        <v>0</v>
      </c>
      <c r="L353" s="21"/>
    </row>
    <row r="354" spans="2:12" x14ac:dyDescent="0.2">
      <c r="B354" s="19"/>
      <c r="C354" s="11"/>
      <c r="D354" s="11"/>
      <c r="E354" s="11"/>
      <c r="F354" s="24">
        <f t="shared" si="28"/>
        <v>10593</v>
      </c>
      <c r="G354" s="32">
        <v>1</v>
      </c>
      <c r="H354" s="26">
        <f t="shared" si="29"/>
        <v>0</v>
      </c>
      <c r="I354" s="26">
        <f t="shared" si="25"/>
        <v>0</v>
      </c>
      <c r="J354" s="26">
        <f t="shared" si="26"/>
        <v>0</v>
      </c>
      <c r="K354" s="27">
        <f t="shared" si="27"/>
        <v>0</v>
      </c>
      <c r="L354" s="21"/>
    </row>
    <row r="355" spans="2:12" x14ac:dyDescent="0.2">
      <c r="B355" s="19"/>
      <c r="C355" s="11"/>
      <c r="D355" s="11"/>
      <c r="E355" s="11"/>
      <c r="F355" s="24">
        <f t="shared" si="28"/>
        <v>10624</v>
      </c>
      <c r="G355" s="25">
        <v>1</v>
      </c>
      <c r="H355" s="26">
        <f t="shared" si="29"/>
        <v>0</v>
      </c>
      <c r="I355" s="26">
        <f t="shared" si="25"/>
        <v>0</v>
      </c>
      <c r="J355" s="26">
        <f t="shared" si="26"/>
        <v>0</v>
      </c>
      <c r="K355" s="27">
        <f t="shared" si="27"/>
        <v>0</v>
      </c>
      <c r="L355" s="21"/>
    </row>
    <row r="356" spans="2:12" x14ac:dyDescent="0.2">
      <c r="B356" s="19"/>
      <c r="C356" s="11"/>
      <c r="D356" s="11"/>
      <c r="E356" s="11"/>
      <c r="F356" s="24">
        <f t="shared" si="28"/>
        <v>10652</v>
      </c>
      <c r="G356" s="32">
        <v>1</v>
      </c>
      <c r="H356" s="26">
        <f t="shared" si="29"/>
        <v>0</v>
      </c>
      <c r="I356" s="26">
        <f t="shared" si="25"/>
        <v>0</v>
      </c>
      <c r="J356" s="26">
        <f t="shared" si="26"/>
        <v>0</v>
      </c>
      <c r="K356" s="27">
        <f t="shared" si="27"/>
        <v>0</v>
      </c>
      <c r="L356" s="21"/>
    </row>
    <row r="357" spans="2:12" x14ac:dyDescent="0.2">
      <c r="B357" s="19"/>
      <c r="C357" s="11"/>
      <c r="D357" s="11"/>
      <c r="E357" s="11"/>
      <c r="F357" s="24">
        <f t="shared" si="28"/>
        <v>10683</v>
      </c>
      <c r="G357" s="25">
        <v>1</v>
      </c>
      <c r="H357" s="26">
        <f t="shared" si="29"/>
        <v>0</v>
      </c>
      <c r="I357" s="26">
        <f t="shared" si="25"/>
        <v>0</v>
      </c>
      <c r="J357" s="26">
        <f t="shared" si="26"/>
        <v>0</v>
      </c>
      <c r="K357" s="27">
        <f t="shared" si="27"/>
        <v>0</v>
      </c>
      <c r="L357" s="21"/>
    </row>
    <row r="358" spans="2:12" x14ac:dyDescent="0.2">
      <c r="B358" s="19"/>
      <c r="C358" s="11"/>
      <c r="D358" s="11"/>
      <c r="E358" s="11"/>
      <c r="F358" s="24">
        <f t="shared" si="28"/>
        <v>10713</v>
      </c>
      <c r="G358" s="32">
        <v>1</v>
      </c>
      <c r="H358" s="26">
        <f t="shared" si="29"/>
        <v>0</v>
      </c>
      <c r="I358" s="26">
        <f t="shared" si="25"/>
        <v>0</v>
      </c>
      <c r="J358" s="26">
        <f t="shared" si="26"/>
        <v>0</v>
      </c>
      <c r="K358" s="27">
        <f t="shared" si="27"/>
        <v>0</v>
      </c>
      <c r="L358" s="21"/>
    </row>
    <row r="359" spans="2:12" x14ac:dyDescent="0.2">
      <c r="B359" s="19"/>
      <c r="C359" s="11"/>
      <c r="D359" s="11"/>
      <c r="E359" s="11"/>
      <c r="F359" s="24">
        <f t="shared" si="28"/>
        <v>10744</v>
      </c>
      <c r="G359" s="25">
        <v>1</v>
      </c>
      <c r="H359" s="26">
        <f t="shared" si="29"/>
        <v>0</v>
      </c>
      <c r="I359" s="26">
        <f t="shared" si="25"/>
        <v>0</v>
      </c>
      <c r="J359" s="26">
        <f t="shared" si="26"/>
        <v>0</v>
      </c>
      <c r="K359" s="27">
        <f t="shared" si="27"/>
        <v>0</v>
      </c>
      <c r="L359" s="21"/>
    </row>
    <row r="360" spans="2:12" x14ac:dyDescent="0.2">
      <c r="B360" s="19"/>
      <c r="C360" s="11"/>
      <c r="D360" s="11"/>
      <c r="E360" s="11"/>
      <c r="F360" s="24">
        <f t="shared" si="28"/>
        <v>10774</v>
      </c>
      <c r="G360" s="32">
        <v>1</v>
      </c>
      <c r="H360" s="26">
        <f t="shared" si="29"/>
        <v>0</v>
      </c>
      <c r="I360" s="26">
        <f t="shared" si="25"/>
        <v>0</v>
      </c>
      <c r="J360" s="26">
        <f t="shared" si="26"/>
        <v>0</v>
      </c>
      <c r="K360" s="27">
        <f t="shared" si="27"/>
        <v>0</v>
      </c>
      <c r="L360" s="21"/>
    </row>
    <row r="361" spans="2:12" x14ac:dyDescent="0.2">
      <c r="B361" s="19"/>
      <c r="C361" s="11"/>
      <c r="D361" s="11"/>
      <c r="E361" s="11"/>
      <c r="F361" s="24">
        <f t="shared" si="28"/>
        <v>10805</v>
      </c>
      <c r="G361" s="25">
        <v>1</v>
      </c>
      <c r="H361" s="26">
        <f t="shared" si="29"/>
        <v>0</v>
      </c>
      <c r="I361" s="26">
        <f t="shared" si="25"/>
        <v>0</v>
      </c>
      <c r="J361" s="26">
        <f t="shared" si="26"/>
        <v>0</v>
      </c>
      <c r="K361" s="27">
        <f t="shared" si="27"/>
        <v>0</v>
      </c>
      <c r="L361" s="21"/>
    </row>
    <row r="362" spans="2:12" x14ac:dyDescent="0.2">
      <c r="B362" s="19"/>
      <c r="C362" s="11"/>
      <c r="D362" s="11"/>
      <c r="E362" s="11"/>
      <c r="F362" s="24">
        <f t="shared" si="28"/>
        <v>10836</v>
      </c>
      <c r="G362" s="32">
        <v>1</v>
      </c>
      <c r="H362" s="26">
        <f t="shared" si="29"/>
        <v>0</v>
      </c>
      <c r="I362" s="26">
        <f t="shared" si="25"/>
        <v>0</v>
      </c>
      <c r="J362" s="26">
        <f t="shared" si="26"/>
        <v>0</v>
      </c>
      <c r="K362" s="27">
        <f t="shared" si="27"/>
        <v>0</v>
      </c>
      <c r="L362" s="21"/>
    </row>
    <row r="363" spans="2:12" x14ac:dyDescent="0.2">
      <c r="B363" s="19"/>
      <c r="C363" s="11"/>
      <c r="D363" s="11"/>
      <c r="E363" s="11"/>
      <c r="F363" s="24">
        <f t="shared" si="28"/>
        <v>10866</v>
      </c>
      <c r="G363" s="25">
        <v>1</v>
      </c>
      <c r="H363" s="26">
        <f t="shared" si="29"/>
        <v>0</v>
      </c>
      <c r="I363" s="26">
        <f t="shared" si="25"/>
        <v>0</v>
      </c>
      <c r="J363" s="26">
        <f t="shared" si="26"/>
        <v>0</v>
      </c>
      <c r="K363" s="27">
        <f t="shared" si="27"/>
        <v>0</v>
      </c>
      <c r="L363" s="21"/>
    </row>
    <row r="364" spans="2:12" x14ac:dyDescent="0.2">
      <c r="B364" s="19"/>
      <c r="C364" s="11"/>
      <c r="D364" s="11"/>
      <c r="E364" s="11"/>
      <c r="F364" s="24">
        <f t="shared" si="28"/>
        <v>10897</v>
      </c>
      <c r="G364" s="32">
        <v>1</v>
      </c>
      <c r="H364" s="26">
        <f t="shared" si="29"/>
        <v>0</v>
      </c>
      <c r="I364" s="26">
        <f t="shared" si="25"/>
        <v>0</v>
      </c>
      <c r="J364" s="26">
        <f t="shared" si="26"/>
        <v>0</v>
      </c>
      <c r="K364" s="27">
        <f t="shared" si="27"/>
        <v>0</v>
      </c>
      <c r="L364" s="21"/>
    </row>
    <row r="365" spans="2:12" x14ac:dyDescent="0.2">
      <c r="B365" s="19"/>
      <c r="C365" s="11"/>
      <c r="D365" s="11"/>
      <c r="E365" s="11"/>
      <c r="F365" s="24">
        <f t="shared" si="28"/>
        <v>10927</v>
      </c>
      <c r="G365" s="25">
        <v>1</v>
      </c>
      <c r="H365" s="26">
        <f t="shared" si="29"/>
        <v>0</v>
      </c>
      <c r="I365" s="26">
        <f t="shared" si="25"/>
        <v>0</v>
      </c>
      <c r="J365" s="26">
        <f t="shared" si="26"/>
        <v>0</v>
      </c>
      <c r="K365" s="27">
        <f t="shared" si="27"/>
        <v>0</v>
      </c>
      <c r="L365" s="21"/>
    </row>
    <row r="366" spans="2:12" x14ac:dyDescent="0.2">
      <c r="B366" s="19"/>
      <c r="C366" s="11"/>
      <c r="D366" s="11"/>
      <c r="E366" s="11"/>
      <c r="F366" s="24">
        <f t="shared" si="28"/>
        <v>10958</v>
      </c>
      <c r="G366" s="32">
        <v>1</v>
      </c>
      <c r="H366" s="26">
        <f t="shared" si="29"/>
        <v>0</v>
      </c>
      <c r="I366" s="26">
        <f t="shared" si="25"/>
        <v>0</v>
      </c>
      <c r="J366" s="26">
        <f t="shared" si="26"/>
        <v>0</v>
      </c>
      <c r="K366" s="27">
        <f t="shared" si="27"/>
        <v>0</v>
      </c>
      <c r="L366" s="21"/>
    </row>
    <row r="367" spans="2:12" x14ac:dyDescent="0.2">
      <c r="B367" s="19"/>
      <c r="C367" s="11"/>
      <c r="D367" s="11"/>
      <c r="E367" s="11"/>
      <c r="F367" s="24">
        <f t="shared" si="28"/>
        <v>10989</v>
      </c>
      <c r="G367" s="25">
        <v>1</v>
      </c>
      <c r="H367" s="26">
        <f t="shared" si="29"/>
        <v>0</v>
      </c>
      <c r="I367" s="26">
        <f t="shared" si="25"/>
        <v>0</v>
      </c>
      <c r="J367" s="26">
        <f t="shared" si="26"/>
        <v>0</v>
      </c>
      <c r="K367" s="27">
        <f t="shared" si="27"/>
        <v>0</v>
      </c>
      <c r="L367" s="21"/>
    </row>
    <row r="368" spans="2:12" x14ac:dyDescent="0.2">
      <c r="B368" s="19"/>
      <c r="C368" s="11"/>
      <c r="D368" s="11"/>
      <c r="E368" s="11"/>
      <c r="F368" s="24">
        <f t="shared" si="28"/>
        <v>11017</v>
      </c>
      <c r="G368" s="32">
        <v>1</v>
      </c>
      <c r="H368" s="26">
        <f t="shared" si="29"/>
        <v>0</v>
      </c>
      <c r="I368" s="26">
        <f t="shared" si="25"/>
        <v>0</v>
      </c>
      <c r="J368" s="26">
        <f t="shared" si="26"/>
        <v>0</v>
      </c>
      <c r="K368" s="27">
        <f t="shared" si="27"/>
        <v>0</v>
      </c>
      <c r="L368" s="21"/>
    </row>
    <row r="369" spans="2:12" x14ac:dyDescent="0.2">
      <c r="B369" s="19"/>
      <c r="C369" s="11"/>
      <c r="D369" s="11"/>
      <c r="E369" s="11"/>
      <c r="F369" s="24">
        <f t="shared" si="28"/>
        <v>11048</v>
      </c>
      <c r="G369" s="25">
        <v>1</v>
      </c>
      <c r="H369" s="26">
        <f t="shared" si="29"/>
        <v>0</v>
      </c>
      <c r="I369" s="26">
        <f t="shared" si="25"/>
        <v>0</v>
      </c>
      <c r="J369" s="26">
        <f t="shared" si="26"/>
        <v>0</v>
      </c>
      <c r="K369" s="27">
        <f t="shared" si="27"/>
        <v>0</v>
      </c>
      <c r="L369" s="21"/>
    </row>
    <row r="370" spans="2:12" x14ac:dyDescent="0.2">
      <c r="B370" s="19"/>
      <c r="C370" s="11"/>
      <c r="D370" s="11"/>
      <c r="E370" s="11"/>
      <c r="F370" s="24">
        <f t="shared" si="28"/>
        <v>11078</v>
      </c>
      <c r="G370" s="32">
        <v>1</v>
      </c>
      <c r="H370" s="26">
        <f t="shared" si="29"/>
        <v>0</v>
      </c>
      <c r="I370" s="26">
        <f t="shared" si="25"/>
        <v>0</v>
      </c>
      <c r="J370" s="26">
        <f t="shared" si="26"/>
        <v>0</v>
      </c>
      <c r="K370" s="27">
        <f t="shared" si="27"/>
        <v>0</v>
      </c>
      <c r="L370" s="21"/>
    </row>
    <row r="371" spans="2:12" x14ac:dyDescent="0.2">
      <c r="B371" s="19"/>
      <c r="C371" s="11"/>
      <c r="D371" s="11"/>
      <c r="E371" s="11"/>
      <c r="F371" s="24">
        <f t="shared" si="28"/>
        <v>11109</v>
      </c>
      <c r="G371" s="25">
        <v>1</v>
      </c>
      <c r="H371" s="26">
        <f t="shared" si="29"/>
        <v>0</v>
      </c>
      <c r="I371" s="26">
        <f t="shared" si="25"/>
        <v>0</v>
      </c>
      <c r="J371" s="26">
        <f t="shared" si="26"/>
        <v>0</v>
      </c>
      <c r="K371" s="27">
        <f t="shared" si="27"/>
        <v>0</v>
      </c>
      <c r="L371" s="21"/>
    </row>
    <row r="372" spans="2:12" x14ac:dyDescent="0.2">
      <c r="B372" s="19"/>
      <c r="C372" s="11"/>
      <c r="D372" s="11"/>
      <c r="E372" s="11"/>
      <c r="F372" s="24">
        <f t="shared" si="28"/>
        <v>11139</v>
      </c>
      <c r="G372" s="32">
        <v>1</v>
      </c>
      <c r="H372" s="26">
        <f t="shared" si="29"/>
        <v>0</v>
      </c>
      <c r="I372" s="26">
        <f t="shared" si="25"/>
        <v>0</v>
      </c>
      <c r="J372" s="26">
        <f t="shared" si="26"/>
        <v>0</v>
      </c>
      <c r="K372" s="27">
        <f t="shared" si="27"/>
        <v>0</v>
      </c>
      <c r="L372" s="21"/>
    </row>
    <row r="373" spans="2:12" x14ac:dyDescent="0.2">
      <c r="B373" s="19"/>
      <c r="C373" s="11"/>
      <c r="D373" s="11"/>
      <c r="E373" s="11"/>
      <c r="F373" s="24">
        <f t="shared" si="28"/>
        <v>11170</v>
      </c>
      <c r="G373" s="25">
        <v>1</v>
      </c>
      <c r="H373" s="26">
        <f t="shared" si="29"/>
        <v>0</v>
      </c>
      <c r="I373" s="26">
        <f t="shared" si="25"/>
        <v>0</v>
      </c>
      <c r="J373" s="26">
        <f t="shared" si="26"/>
        <v>0</v>
      </c>
      <c r="K373" s="27">
        <f t="shared" si="27"/>
        <v>0</v>
      </c>
      <c r="L373" s="21"/>
    </row>
    <row r="374" spans="2:12" x14ac:dyDescent="0.2">
      <c r="B374" s="19"/>
      <c r="C374" s="11"/>
      <c r="D374" s="11"/>
      <c r="E374" s="11"/>
      <c r="F374" s="24">
        <f t="shared" si="28"/>
        <v>11201</v>
      </c>
      <c r="G374" s="32">
        <v>1</v>
      </c>
      <c r="H374" s="26">
        <f t="shared" si="29"/>
        <v>0</v>
      </c>
      <c r="I374" s="26">
        <f t="shared" si="25"/>
        <v>0</v>
      </c>
      <c r="J374" s="26">
        <f t="shared" si="26"/>
        <v>0</v>
      </c>
      <c r="K374" s="27">
        <f t="shared" si="27"/>
        <v>0</v>
      </c>
      <c r="L374" s="21"/>
    </row>
    <row r="375" spans="2:12" x14ac:dyDescent="0.2">
      <c r="B375" s="19"/>
      <c r="C375" s="11"/>
      <c r="D375" s="11"/>
      <c r="E375" s="11"/>
      <c r="F375" s="24">
        <f t="shared" si="28"/>
        <v>11231</v>
      </c>
      <c r="G375" s="25">
        <v>1</v>
      </c>
      <c r="H375" s="26">
        <f t="shared" si="29"/>
        <v>0</v>
      </c>
      <c r="I375" s="26">
        <f t="shared" si="25"/>
        <v>0</v>
      </c>
      <c r="J375" s="26">
        <f t="shared" si="26"/>
        <v>0</v>
      </c>
      <c r="K375" s="27">
        <f t="shared" si="27"/>
        <v>0</v>
      </c>
      <c r="L375" s="21"/>
    </row>
    <row r="376" spans="2:12" x14ac:dyDescent="0.2">
      <c r="B376" s="19"/>
      <c r="C376" s="11"/>
      <c r="D376" s="11"/>
      <c r="E376" s="11"/>
      <c r="F376" s="24">
        <f t="shared" si="28"/>
        <v>11262</v>
      </c>
      <c r="G376" s="32">
        <v>1</v>
      </c>
      <c r="H376" s="26">
        <f t="shared" si="29"/>
        <v>0</v>
      </c>
      <c r="I376" s="26">
        <f t="shared" si="25"/>
        <v>0</v>
      </c>
      <c r="J376" s="26">
        <f t="shared" si="26"/>
        <v>0</v>
      </c>
      <c r="K376" s="27">
        <f t="shared" si="27"/>
        <v>0</v>
      </c>
      <c r="L376" s="21"/>
    </row>
    <row r="377" spans="2:12" x14ac:dyDescent="0.2">
      <c r="B377" s="19"/>
      <c r="C377" s="11"/>
      <c r="D377" s="11"/>
      <c r="E377" s="11"/>
      <c r="F377" s="24">
        <f t="shared" si="28"/>
        <v>11292</v>
      </c>
      <c r="G377" s="25">
        <v>1</v>
      </c>
      <c r="H377" s="26">
        <f t="shared" si="29"/>
        <v>0</v>
      </c>
      <c r="I377" s="26">
        <f t="shared" si="25"/>
        <v>0</v>
      </c>
      <c r="J377" s="26">
        <f t="shared" si="26"/>
        <v>0</v>
      </c>
      <c r="K377" s="27">
        <f t="shared" si="27"/>
        <v>0</v>
      </c>
      <c r="L377" s="21"/>
    </row>
    <row r="378" spans="2:12" x14ac:dyDescent="0.2">
      <c r="B378" s="19"/>
      <c r="C378" s="11"/>
      <c r="D378" s="11"/>
      <c r="E378" s="11"/>
      <c r="F378" s="24">
        <f t="shared" si="28"/>
        <v>11323</v>
      </c>
      <c r="G378" s="32">
        <v>1</v>
      </c>
      <c r="H378" s="26">
        <f t="shared" si="29"/>
        <v>0</v>
      </c>
      <c r="I378" s="26">
        <f t="shared" si="25"/>
        <v>0</v>
      </c>
      <c r="J378" s="26">
        <f t="shared" si="26"/>
        <v>0</v>
      </c>
      <c r="K378" s="27">
        <f t="shared" si="27"/>
        <v>0</v>
      </c>
      <c r="L378" s="21"/>
    </row>
    <row r="379" spans="2:12" x14ac:dyDescent="0.2">
      <c r="B379" s="19"/>
      <c r="C379" s="11"/>
      <c r="D379" s="11"/>
      <c r="E379" s="11"/>
      <c r="F379" s="24">
        <f t="shared" si="28"/>
        <v>11354</v>
      </c>
      <c r="G379" s="25">
        <v>1</v>
      </c>
      <c r="H379" s="26">
        <f t="shared" si="29"/>
        <v>0</v>
      </c>
      <c r="I379" s="26">
        <f t="shared" si="25"/>
        <v>0</v>
      </c>
      <c r="J379" s="26">
        <f t="shared" si="26"/>
        <v>0</v>
      </c>
      <c r="K379" s="27">
        <f t="shared" si="27"/>
        <v>0</v>
      </c>
      <c r="L379" s="21"/>
    </row>
    <row r="380" spans="2:12" x14ac:dyDescent="0.2">
      <c r="B380" s="19"/>
      <c r="C380" s="11"/>
      <c r="D380" s="11"/>
      <c r="E380" s="11"/>
      <c r="F380" s="24">
        <f t="shared" si="28"/>
        <v>11382</v>
      </c>
      <c r="G380" s="32">
        <v>1</v>
      </c>
      <c r="H380" s="26">
        <f t="shared" si="29"/>
        <v>0</v>
      </c>
      <c r="I380" s="26">
        <f t="shared" si="25"/>
        <v>0</v>
      </c>
      <c r="J380" s="26">
        <f t="shared" si="26"/>
        <v>0</v>
      </c>
      <c r="K380" s="27">
        <f t="shared" si="27"/>
        <v>0</v>
      </c>
      <c r="L380" s="21"/>
    </row>
    <row r="381" spans="2:12" x14ac:dyDescent="0.2">
      <c r="B381" s="19"/>
      <c r="C381" s="11"/>
      <c r="D381" s="11"/>
      <c r="E381" s="11"/>
      <c r="F381" s="24">
        <f t="shared" si="28"/>
        <v>11413</v>
      </c>
      <c r="G381" s="25">
        <v>1</v>
      </c>
      <c r="H381" s="26">
        <f t="shared" si="29"/>
        <v>0</v>
      </c>
      <c r="I381" s="26">
        <f t="shared" si="25"/>
        <v>0</v>
      </c>
      <c r="J381" s="26">
        <f t="shared" si="26"/>
        <v>0</v>
      </c>
      <c r="K381" s="27">
        <f t="shared" si="27"/>
        <v>0</v>
      </c>
      <c r="L381" s="21"/>
    </row>
    <row r="382" spans="2:12" x14ac:dyDescent="0.2">
      <c r="B382" s="19"/>
      <c r="C382" s="11"/>
      <c r="D382" s="11"/>
      <c r="E382" s="11"/>
      <c r="F382" s="24">
        <f t="shared" si="28"/>
        <v>11443</v>
      </c>
      <c r="G382" s="32">
        <v>1</v>
      </c>
      <c r="H382" s="26">
        <f t="shared" si="29"/>
        <v>0</v>
      </c>
      <c r="I382" s="26">
        <f t="shared" si="25"/>
        <v>0</v>
      </c>
      <c r="J382" s="26">
        <f t="shared" si="26"/>
        <v>0</v>
      </c>
      <c r="K382" s="27">
        <f t="shared" si="27"/>
        <v>0</v>
      </c>
      <c r="L382" s="21"/>
    </row>
    <row r="383" spans="2:12" x14ac:dyDescent="0.2">
      <c r="B383" s="19"/>
      <c r="C383" s="11"/>
      <c r="D383" s="11"/>
      <c r="E383" s="11"/>
      <c r="F383" s="24">
        <f t="shared" si="28"/>
        <v>11474</v>
      </c>
      <c r="G383" s="25">
        <v>1</v>
      </c>
      <c r="H383" s="26">
        <f t="shared" si="29"/>
        <v>0</v>
      </c>
      <c r="I383" s="26">
        <f t="shared" si="25"/>
        <v>0</v>
      </c>
      <c r="J383" s="26">
        <f t="shared" si="26"/>
        <v>0</v>
      </c>
      <c r="K383" s="27">
        <f t="shared" si="27"/>
        <v>0</v>
      </c>
      <c r="L383" s="21"/>
    </row>
    <row r="384" spans="2:12" x14ac:dyDescent="0.2">
      <c r="B384" s="19"/>
      <c r="C384" s="11"/>
      <c r="D384" s="11"/>
      <c r="E384" s="11"/>
      <c r="F384" s="24">
        <f t="shared" si="28"/>
        <v>11504</v>
      </c>
      <c r="G384" s="32">
        <v>1</v>
      </c>
      <c r="H384" s="26">
        <f t="shared" si="29"/>
        <v>0</v>
      </c>
      <c r="I384" s="26">
        <f t="shared" si="25"/>
        <v>0</v>
      </c>
      <c r="J384" s="26">
        <f t="shared" si="26"/>
        <v>0</v>
      </c>
      <c r="K384" s="27">
        <f t="shared" si="27"/>
        <v>0</v>
      </c>
      <c r="L384" s="21"/>
    </row>
    <row r="385" spans="2:12" x14ac:dyDescent="0.2">
      <c r="B385" s="19"/>
      <c r="C385" s="11"/>
      <c r="D385" s="11"/>
      <c r="E385" s="11"/>
      <c r="F385" s="24">
        <f t="shared" si="28"/>
        <v>11535</v>
      </c>
      <c r="G385" s="25">
        <v>1</v>
      </c>
      <c r="H385" s="26">
        <f t="shared" si="29"/>
        <v>0</v>
      </c>
      <c r="I385" s="26">
        <f t="shared" si="25"/>
        <v>0</v>
      </c>
      <c r="J385" s="26">
        <f t="shared" si="26"/>
        <v>0</v>
      </c>
      <c r="K385" s="27">
        <f t="shared" si="27"/>
        <v>0</v>
      </c>
      <c r="L385" s="21"/>
    </row>
    <row r="386" spans="2:12" x14ac:dyDescent="0.2">
      <c r="B386" s="19"/>
      <c r="C386" s="11"/>
      <c r="D386" s="11"/>
      <c r="E386" s="11"/>
      <c r="F386" s="24">
        <f t="shared" si="28"/>
        <v>11566</v>
      </c>
      <c r="G386" s="32">
        <v>1</v>
      </c>
      <c r="H386" s="26">
        <f t="shared" si="29"/>
        <v>0</v>
      </c>
      <c r="I386" s="26">
        <f t="shared" si="25"/>
        <v>0</v>
      </c>
      <c r="J386" s="26">
        <f t="shared" si="26"/>
        <v>0</v>
      </c>
      <c r="K386" s="27">
        <f t="shared" si="27"/>
        <v>0</v>
      </c>
      <c r="L386" s="21"/>
    </row>
    <row r="387" spans="2:12" x14ac:dyDescent="0.2">
      <c r="B387" s="19"/>
      <c r="C387" s="11"/>
      <c r="D387" s="11"/>
      <c r="E387" s="11"/>
      <c r="F387" s="24">
        <f t="shared" si="28"/>
        <v>11596</v>
      </c>
      <c r="G387" s="25">
        <v>1</v>
      </c>
      <c r="H387" s="26">
        <f t="shared" si="29"/>
        <v>0</v>
      </c>
      <c r="I387" s="26">
        <f t="shared" si="25"/>
        <v>0</v>
      </c>
      <c r="J387" s="26">
        <f t="shared" si="26"/>
        <v>0</v>
      </c>
      <c r="K387" s="27">
        <f t="shared" si="27"/>
        <v>0</v>
      </c>
      <c r="L387" s="21"/>
    </row>
    <row r="388" spans="2:12" x14ac:dyDescent="0.2">
      <c r="B388" s="19"/>
      <c r="C388" s="11"/>
      <c r="D388" s="11"/>
      <c r="E388" s="11"/>
      <c r="F388" s="24">
        <f t="shared" si="28"/>
        <v>11627</v>
      </c>
      <c r="G388" s="32">
        <v>1</v>
      </c>
      <c r="H388" s="26">
        <f t="shared" si="29"/>
        <v>0</v>
      </c>
      <c r="I388" s="26">
        <f t="shared" si="25"/>
        <v>0</v>
      </c>
      <c r="J388" s="26">
        <f t="shared" si="26"/>
        <v>0</v>
      </c>
      <c r="K388" s="27">
        <f t="shared" si="27"/>
        <v>0</v>
      </c>
      <c r="L388" s="21"/>
    </row>
    <row r="389" spans="2:12" x14ac:dyDescent="0.2">
      <c r="B389" s="19"/>
      <c r="C389" s="11"/>
      <c r="D389" s="11"/>
      <c r="E389" s="11"/>
      <c r="F389" s="24">
        <f t="shared" si="28"/>
        <v>11657</v>
      </c>
      <c r="G389" s="25">
        <v>1</v>
      </c>
      <c r="H389" s="26">
        <f t="shared" si="29"/>
        <v>0</v>
      </c>
      <c r="I389" s="26">
        <f t="shared" si="25"/>
        <v>0</v>
      </c>
      <c r="J389" s="26">
        <f t="shared" si="26"/>
        <v>0</v>
      </c>
      <c r="K389" s="27">
        <f t="shared" si="27"/>
        <v>0</v>
      </c>
      <c r="L389" s="21"/>
    </row>
    <row r="390" spans="2:12" x14ac:dyDescent="0.2">
      <c r="B390" s="19"/>
      <c r="C390" s="11"/>
      <c r="D390" s="11"/>
      <c r="E390" s="11"/>
      <c r="F390" s="24">
        <f t="shared" si="28"/>
        <v>11688</v>
      </c>
      <c r="G390" s="32">
        <v>1</v>
      </c>
      <c r="H390" s="26">
        <f t="shared" si="29"/>
        <v>0</v>
      </c>
      <c r="I390" s="26">
        <f t="shared" si="25"/>
        <v>0</v>
      </c>
      <c r="J390" s="26">
        <f t="shared" si="26"/>
        <v>0</v>
      </c>
      <c r="K390" s="27">
        <f t="shared" si="27"/>
        <v>0</v>
      </c>
      <c r="L390" s="21"/>
    </row>
    <row r="391" spans="2:12" x14ac:dyDescent="0.2">
      <c r="B391" s="19"/>
      <c r="C391" s="11"/>
      <c r="D391" s="11"/>
      <c r="E391" s="11"/>
      <c r="F391" s="24">
        <f t="shared" si="28"/>
        <v>11719</v>
      </c>
      <c r="G391" s="25">
        <v>1</v>
      </c>
      <c r="H391" s="26">
        <f t="shared" si="29"/>
        <v>0</v>
      </c>
      <c r="I391" s="26">
        <f t="shared" ref="I391:I454" si="30">$D$10</f>
        <v>0</v>
      </c>
      <c r="J391" s="26">
        <f t="shared" ref="J391:J454" si="31">(H391*$D$8)/12</f>
        <v>0</v>
      </c>
      <c r="K391" s="27">
        <f t="shared" ref="K391:K454" si="32">I391-J391</f>
        <v>0</v>
      </c>
      <c r="L391" s="21"/>
    </row>
    <row r="392" spans="2:12" x14ac:dyDescent="0.2">
      <c r="B392" s="19"/>
      <c r="C392" s="11"/>
      <c r="D392" s="11"/>
      <c r="E392" s="11"/>
      <c r="F392" s="24">
        <f t="shared" ref="F392:F455" si="33">EOMONTH(F391,1)</f>
        <v>11748</v>
      </c>
      <c r="G392" s="32">
        <v>1</v>
      </c>
      <c r="H392" s="26">
        <f t="shared" ref="H392:H455" si="34">H391-K391</f>
        <v>0</v>
      </c>
      <c r="I392" s="26">
        <f t="shared" si="30"/>
        <v>0</v>
      </c>
      <c r="J392" s="26">
        <f t="shared" si="31"/>
        <v>0</v>
      </c>
      <c r="K392" s="27">
        <f t="shared" si="32"/>
        <v>0</v>
      </c>
      <c r="L392" s="21"/>
    </row>
    <row r="393" spans="2:12" x14ac:dyDescent="0.2">
      <c r="B393" s="19"/>
      <c r="C393" s="11"/>
      <c r="D393" s="11"/>
      <c r="E393" s="11"/>
      <c r="F393" s="24">
        <f t="shared" si="33"/>
        <v>11779</v>
      </c>
      <c r="G393" s="25">
        <v>1</v>
      </c>
      <c r="H393" s="26">
        <f t="shared" si="34"/>
        <v>0</v>
      </c>
      <c r="I393" s="26">
        <f t="shared" si="30"/>
        <v>0</v>
      </c>
      <c r="J393" s="26">
        <f t="shared" si="31"/>
        <v>0</v>
      </c>
      <c r="K393" s="27">
        <f t="shared" si="32"/>
        <v>0</v>
      </c>
      <c r="L393" s="21"/>
    </row>
    <row r="394" spans="2:12" x14ac:dyDescent="0.2">
      <c r="B394" s="19"/>
      <c r="C394" s="11"/>
      <c r="D394" s="11"/>
      <c r="E394" s="11"/>
      <c r="F394" s="24">
        <f t="shared" si="33"/>
        <v>11809</v>
      </c>
      <c r="G394" s="32">
        <v>1</v>
      </c>
      <c r="H394" s="26">
        <f t="shared" si="34"/>
        <v>0</v>
      </c>
      <c r="I394" s="26">
        <f t="shared" si="30"/>
        <v>0</v>
      </c>
      <c r="J394" s="26">
        <f t="shared" si="31"/>
        <v>0</v>
      </c>
      <c r="K394" s="27">
        <f t="shared" si="32"/>
        <v>0</v>
      </c>
      <c r="L394" s="21"/>
    </row>
    <row r="395" spans="2:12" x14ac:dyDescent="0.2">
      <c r="B395" s="19"/>
      <c r="C395" s="11"/>
      <c r="D395" s="11"/>
      <c r="E395" s="11"/>
      <c r="F395" s="24">
        <f t="shared" si="33"/>
        <v>11840</v>
      </c>
      <c r="G395" s="25">
        <v>1</v>
      </c>
      <c r="H395" s="26">
        <f t="shared" si="34"/>
        <v>0</v>
      </c>
      <c r="I395" s="26">
        <f t="shared" si="30"/>
        <v>0</v>
      </c>
      <c r="J395" s="26">
        <f t="shared" si="31"/>
        <v>0</v>
      </c>
      <c r="K395" s="27">
        <f t="shared" si="32"/>
        <v>0</v>
      </c>
      <c r="L395" s="21"/>
    </row>
    <row r="396" spans="2:12" x14ac:dyDescent="0.2">
      <c r="B396" s="19"/>
      <c r="C396" s="11"/>
      <c r="D396" s="11"/>
      <c r="E396" s="11"/>
      <c r="F396" s="24">
        <f t="shared" si="33"/>
        <v>11870</v>
      </c>
      <c r="G396" s="32">
        <v>1</v>
      </c>
      <c r="H396" s="26">
        <f t="shared" si="34"/>
        <v>0</v>
      </c>
      <c r="I396" s="26">
        <f t="shared" si="30"/>
        <v>0</v>
      </c>
      <c r="J396" s="26">
        <f t="shared" si="31"/>
        <v>0</v>
      </c>
      <c r="K396" s="27">
        <f t="shared" si="32"/>
        <v>0</v>
      </c>
      <c r="L396" s="21"/>
    </row>
    <row r="397" spans="2:12" x14ac:dyDescent="0.2">
      <c r="B397" s="19"/>
      <c r="C397" s="11"/>
      <c r="D397" s="11"/>
      <c r="E397" s="11"/>
      <c r="F397" s="24">
        <f t="shared" si="33"/>
        <v>11901</v>
      </c>
      <c r="G397" s="25">
        <v>1</v>
      </c>
      <c r="H397" s="26">
        <f t="shared" si="34"/>
        <v>0</v>
      </c>
      <c r="I397" s="26">
        <f t="shared" si="30"/>
        <v>0</v>
      </c>
      <c r="J397" s="26">
        <f t="shared" si="31"/>
        <v>0</v>
      </c>
      <c r="K397" s="27">
        <f t="shared" si="32"/>
        <v>0</v>
      </c>
      <c r="L397" s="21"/>
    </row>
    <row r="398" spans="2:12" x14ac:dyDescent="0.2">
      <c r="B398" s="19"/>
      <c r="C398" s="11"/>
      <c r="D398" s="11"/>
      <c r="E398" s="11"/>
      <c r="F398" s="24">
        <f t="shared" si="33"/>
        <v>11932</v>
      </c>
      <c r="G398" s="32">
        <v>1</v>
      </c>
      <c r="H398" s="26">
        <f t="shared" si="34"/>
        <v>0</v>
      </c>
      <c r="I398" s="26">
        <f t="shared" si="30"/>
        <v>0</v>
      </c>
      <c r="J398" s="26">
        <f t="shared" si="31"/>
        <v>0</v>
      </c>
      <c r="K398" s="27">
        <f t="shared" si="32"/>
        <v>0</v>
      </c>
      <c r="L398" s="21"/>
    </row>
    <row r="399" spans="2:12" x14ac:dyDescent="0.2">
      <c r="B399" s="19"/>
      <c r="C399" s="11"/>
      <c r="D399" s="11"/>
      <c r="E399" s="11"/>
      <c r="F399" s="24">
        <f t="shared" si="33"/>
        <v>11962</v>
      </c>
      <c r="G399" s="25">
        <v>1</v>
      </c>
      <c r="H399" s="26">
        <f t="shared" si="34"/>
        <v>0</v>
      </c>
      <c r="I399" s="26">
        <f t="shared" si="30"/>
        <v>0</v>
      </c>
      <c r="J399" s="26">
        <f t="shared" si="31"/>
        <v>0</v>
      </c>
      <c r="K399" s="27">
        <f t="shared" si="32"/>
        <v>0</v>
      </c>
      <c r="L399" s="21"/>
    </row>
    <row r="400" spans="2:12" x14ac:dyDescent="0.2">
      <c r="B400" s="19"/>
      <c r="C400" s="11"/>
      <c r="D400" s="11"/>
      <c r="E400" s="11"/>
      <c r="F400" s="24">
        <f t="shared" si="33"/>
        <v>11993</v>
      </c>
      <c r="G400" s="32">
        <v>1</v>
      </c>
      <c r="H400" s="26">
        <f t="shared" si="34"/>
        <v>0</v>
      </c>
      <c r="I400" s="26">
        <f t="shared" si="30"/>
        <v>0</v>
      </c>
      <c r="J400" s="26">
        <f t="shared" si="31"/>
        <v>0</v>
      </c>
      <c r="K400" s="27">
        <f t="shared" si="32"/>
        <v>0</v>
      </c>
      <c r="L400" s="21"/>
    </row>
    <row r="401" spans="2:12" x14ac:dyDescent="0.2">
      <c r="B401" s="19"/>
      <c r="C401" s="11"/>
      <c r="D401" s="11"/>
      <c r="E401" s="11"/>
      <c r="F401" s="24">
        <f t="shared" si="33"/>
        <v>12023</v>
      </c>
      <c r="G401" s="25">
        <v>1</v>
      </c>
      <c r="H401" s="26">
        <f t="shared" si="34"/>
        <v>0</v>
      </c>
      <c r="I401" s="26">
        <f t="shared" si="30"/>
        <v>0</v>
      </c>
      <c r="J401" s="26">
        <f t="shared" si="31"/>
        <v>0</v>
      </c>
      <c r="K401" s="27">
        <f t="shared" si="32"/>
        <v>0</v>
      </c>
      <c r="L401" s="21"/>
    </row>
    <row r="402" spans="2:12" x14ac:dyDescent="0.2">
      <c r="B402" s="19"/>
      <c r="C402" s="11"/>
      <c r="D402" s="11"/>
      <c r="E402" s="11"/>
      <c r="F402" s="24">
        <f t="shared" si="33"/>
        <v>12054</v>
      </c>
      <c r="G402" s="32">
        <v>1</v>
      </c>
      <c r="H402" s="26">
        <f t="shared" si="34"/>
        <v>0</v>
      </c>
      <c r="I402" s="26">
        <f t="shared" si="30"/>
        <v>0</v>
      </c>
      <c r="J402" s="26">
        <f t="shared" si="31"/>
        <v>0</v>
      </c>
      <c r="K402" s="27">
        <f t="shared" si="32"/>
        <v>0</v>
      </c>
      <c r="L402" s="21"/>
    </row>
    <row r="403" spans="2:12" x14ac:dyDescent="0.2">
      <c r="B403" s="19"/>
      <c r="C403" s="11"/>
      <c r="D403" s="11"/>
      <c r="E403" s="11"/>
      <c r="F403" s="24">
        <f t="shared" si="33"/>
        <v>12085</v>
      </c>
      <c r="G403" s="25">
        <v>1</v>
      </c>
      <c r="H403" s="26">
        <f t="shared" si="34"/>
        <v>0</v>
      </c>
      <c r="I403" s="26">
        <f t="shared" si="30"/>
        <v>0</v>
      </c>
      <c r="J403" s="26">
        <f t="shared" si="31"/>
        <v>0</v>
      </c>
      <c r="K403" s="27">
        <f t="shared" si="32"/>
        <v>0</v>
      </c>
      <c r="L403" s="21"/>
    </row>
    <row r="404" spans="2:12" x14ac:dyDescent="0.2">
      <c r="B404" s="19"/>
      <c r="C404" s="11"/>
      <c r="D404" s="11"/>
      <c r="E404" s="11"/>
      <c r="F404" s="24">
        <f t="shared" si="33"/>
        <v>12113</v>
      </c>
      <c r="G404" s="32">
        <v>1</v>
      </c>
      <c r="H404" s="26">
        <f t="shared" si="34"/>
        <v>0</v>
      </c>
      <c r="I404" s="26">
        <f t="shared" si="30"/>
        <v>0</v>
      </c>
      <c r="J404" s="26">
        <f t="shared" si="31"/>
        <v>0</v>
      </c>
      <c r="K404" s="27">
        <f t="shared" si="32"/>
        <v>0</v>
      </c>
      <c r="L404" s="21"/>
    </row>
    <row r="405" spans="2:12" x14ac:dyDescent="0.2">
      <c r="B405" s="19"/>
      <c r="C405" s="11"/>
      <c r="D405" s="11"/>
      <c r="E405" s="11"/>
      <c r="F405" s="24">
        <f t="shared" si="33"/>
        <v>12144</v>
      </c>
      <c r="G405" s="25">
        <v>1</v>
      </c>
      <c r="H405" s="26">
        <f t="shared" si="34"/>
        <v>0</v>
      </c>
      <c r="I405" s="26">
        <f t="shared" si="30"/>
        <v>0</v>
      </c>
      <c r="J405" s="26">
        <f t="shared" si="31"/>
        <v>0</v>
      </c>
      <c r="K405" s="27">
        <f t="shared" si="32"/>
        <v>0</v>
      </c>
      <c r="L405" s="21"/>
    </row>
    <row r="406" spans="2:12" x14ac:dyDescent="0.2">
      <c r="B406" s="19"/>
      <c r="C406" s="11"/>
      <c r="D406" s="11"/>
      <c r="E406" s="11"/>
      <c r="F406" s="24">
        <f t="shared" si="33"/>
        <v>12174</v>
      </c>
      <c r="G406" s="32">
        <v>1</v>
      </c>
      <c r="H406" s="26">
        <f t="shared" si="34"/>
        <v>0</v>
      </c>
      <c r="I406" s="26">
        <f t="shared" si="30"/>
        <v>0</v>
      </c>
      <c r="J406" s="26">
        <f t="shared" si="31"/>
        <v>0</v>
      </c>
      <c r="K406" s="27">
        <f t="shared" si="32"/>
        <v>0</v>
      </c>
      <c r="L406" s="21"/>
    </row>
    <row r="407" spans="2:12" x14ac:dyDescent="0.2">
      <c r="B407" s="19"/>
      <c r="C407" s="11"/>
      <c r="D407" s="11"/>
      <c r="E407" s="11"/>
      <c r="F407" s="24">
        <f t="shared" si="33"/>
        <v>12205</v>
      </c>
      <c r="G407" s="25">
        <v>1</v>
      </c>
      <c r="H407" s="26">
        <f t="shared" si="34"/>
        <v>0</v>
      </c>
      <c r="I407" s="26">
        <f t="shared" si="30"/>
        <v>0</v>
      </c>
      <c r="J407" s="26">
        <f t="shared" si="31"/>
        <v>0</v>
      </c>
      <c r="K407" s="27">
        <f t="shared" si="32"/>
        <v>0</v>
      </c>
      <c r="L407" s="21"/>
    </row>
    <row r="408" spans="2:12" x14ac:dyDescent="0.2">
      <c r="B408" s="19"/>
      <c r="C408" s="11"/>
      <c r="D408" s="11"/>
      <c r="E408" s="11"/>
      <c r="F408" s="24">
        <f t="shared" si="33"/>
        <v>12235</v>
      </c>
      <c r="G408" s="32">
        <v>1</v>
      </c>
      <c r="H408" s="26">
        <f t="shared" si="34"/>
        <v>0</v>
      </c>
      <c r="I408" s="26">
        <f t="shared" si="30"/>
        <v>0</v>
      </c>
      <c r="J408" s="26">
        <f t="shared" si="31"/>
        <v>0</v>
      </c>
      <c r="K408" s="27">
        <f t="shared" si="32"/>
        <v>0</v>
      </c>
      <c r="L408" s="21"/>
    </row>
    <row r="409" spans="2:12" x14ac:dyDescent="0.2">
      <c r="B409" s="19"/>
      <c r="C409" s="11"/>
      <c r="D409" s="11"/>
      <c r="E409" s="11"/>
      <c r="F409" s="24">
        <f t="shared" si="33"/>
        <v>12266</v>
      </c>
      <c r="G409" s="25">
        <v>1</v>
      </c>
      <c r="H409" s="26">
        <f t="shared" si="34"/>
        <v>0</v>
      </c>
      <c r="I409" s="26">
        <f t="shared" si="30"/>
        <v>0</v>
      </c>
      <c r="J409" s="26">
        <f t="shared" si="31"/>
        <v>0</v>
      </c>
      <c r="K409" s="27">
        <f t="shared" si="32"/>
        <v>0</v>
      </c>
      <c r="L409" s="21"/>
    </row>
    <row r="410" spans="2:12" x14ac:dyDescent="0.2">
      <c r="B410" s="19"/>
      <c r="C410" s="11"/>
      <c r="D410" s="11"/>
      <c r="E410" s="11"/>
      <c r="F410" s="24">
        <f t="shared" si="33"/>
        <v>12297</v>
      </c>
      <c r="G410" s="32">
        <v>1</v>
      </c>
      <c r="H410" s="26">
        <f t="shared" si="34"/>
        <v>0</v>
      </c>
      <c r="I410" s="26">
        <f t="shared" si="30"/>
        <v>0</v>
      </c>
      <c r="J410" s="26">
        <f t="shared" si="31"/>
        <v>0</v>
      </c>
      <c r="K410" s="27">
        <f t="shared" si="32"/>
        <v>0</v>
      </c>
      <c r="L410" s="21"/>
    </row>
    <row r="411" spans="2:12" x14ac:dyDescent="0.2">
      <c r="B411" s="19"/>
      <c r="C411" s="11"/>
      <c r="D411" s="11"/>
      <c r="E411" s="11"/>
      <c r="F411" s="24">
        <f t="shared" si="33"/>
        <v>12327</v>
      </c>
      <c r="G411" s="25">
        <v>1</v>
      </c>
      <c r="H411" s="26">
        <f t="shared" si="34"/>
        <v>0</v>
      </c>
      <c r="I411" s="26">
        <f t="shared" si="30"/>
        <v>0</v>
      </c>
      <c r="J411" s="26">
        <f t="shared" si="31"/>
        <v>0</v>
      </c>
      <c r="K411" s="27">
        <f t="shared" si="32"/>
        <v>0</v>
      </c>
      <c r="L411" s="21"/>
    </row>
    <row r="412" spans="2:12" x14ac:dyDescent="0.2">
      <c r="B412" s="19"/>
      <c r="C412" s="11"/>
      <c r="D412" s="11"/>
      <c r="E412" s="11"/>
      <c r="F412" s="24">
        <f t="shared" si="33"/>
        <v>12358</v>
      </c>
      <c r="G412" s="32">
        <v>1</v>
      </c>
      <c r="H412" s="26">
        <f t="shared" si="34"/>
        <v>0</v>
      </c>
      <c r="I412" s="26">
        <f t="shared" si="30"/>
        <v>0</v>
      </c>
      <c r="J412" s="26">
        <f t="shared" si="31"/>
        <v>0</v>
      </c>
      <c r="K412" s="27">
        <f t="shared" si="32"/>
        <v>0</v>
      </c>
      <c r="L412" s="21"/>
    </row>
    <row r="413" spans="2:12" x14ac:dyDescent="0.2">
      <c r="B413" s="19"/>
      <c r="C413" s="11"/>
      <c r="D413" s="11"/>
      <c r="E413" s="11"/>
      <c r="F413" s="24">
        <f t="shared" si="33"/>
        <v>12388</v>
      </c>
      <c r="G413" s="25">
        <v>1</v>
      </c>
      <c r="H413" s="26">
        <f t="shared" si="34"/>
        <v>0</v>
      </c>
      <c r="I413" s="26">
        <f t="shared" si="30"/>
        <v>0</v>
      </c>
      <c r="J413" s="26">
        <f t="shared" si="31"/>
        <v>0</v>
      </c>
      <c r="K413" s="27">
        <f t="shared" si="32"/>
        <v>0</v>
      </c>
      <c r="L413" s="21"/>
    </row>
    <row r="414" spans="2:12" x14ac:dyDescent="0.2">
      <c r="B414" s="19"/>
      <c r="C414" s="11"/>
      <c r="D414" s="11"/>
      <c r="E414" s="11"/>
      <c r="F414" s="24">
        <f t="shared" si="33"/>
        <v>12419</v>
      </c>
      <c r="G414" s="32">
        <v>1</v>
      </c>
      <c r="H414" s="26">
        <f t="shared" si="34"/>
        <v>0</v>
      </c>
      <c r="I414" s="26">
        <f t="shared" si="30"/>
        <v>0</v>
      </c>
      <c r="J414" s="26">
        <f t="shared" si="31"/>
        <v>0</v>
      </c>
      <c r="K414" s="27">
        <f t="shared" si="32"/>
        <v>0</v>
      </c>
      <c r="L414" s="21"/>
    </row>
    <row r="415" spans="2:12" x14ac:dyDescent="0.2">
      <c r="B415" s="19"/>
      <c r="C415" s="11"/>
      <c r="D415" s="11"/>
      <c r="E415" s="11"/>
      <c r="F415" s="24">
        <f t="shared" si="33"/>
        <v>12450</v>
      </c>
      <c r="G415" s="25">
        <v>1</v>
      </c>
      <c r="H415" s="26">
        <f t="shared" si="34"/>
        <v>0</v>
      </c>
      <c r="I415" s="26">
        <f t="shared" si="30"/>
        <v>0</v>
      </c>
      <c r="J415" s="26">
        <f t="shared" si="31"/>
        <v>0</v>
      </c>
      <c r="K415" s="27">
        <f t="shared" si="32"/>
        <v>0</v>
      </c>
      <c r="L415" s="21"/>
    </row>
    <row r="416" spans="2:12" x14ac:dyDescent="0.2">
      <c r="B416" s="19"/>
      <c r="C416" s="11"/>
      <c r="D416" s="11"/>
      <c r="E416" s="11"/>
      <c r="F416" s="24">
        <f t="shared" si="33"/>
        <v>12478</v>
      </c>
      <c r="G416" s="32">
        <v>1</v>
      </c>
      <c r="H416" s="26">
        <f t="shared" si="34"/>
        <v>0</v>
      </c>
      <c r="I416" s="26">
        <f t="shared" si="30"/>
        <v>0</v>
      </c>
      <c r="J416" s="26">
        <f t="shared" si="31"/>
        <v>0</v>
      </c>
      <c r="K416" s="27">
        <f t="shared" si="32"/>
        <v>0</v>
      </c>
      <c r="L416" s="21"/>
    </row>
    <row r="417" spans="2:12" x14ac:dyDescent="0.2">
      <c r="B417" s="19"/>
      <c r="C417" s="11"/>
      <c r="D417" s="11"/>
      <c r="E417" s="11"/>
      <c r="F417" s="24">
        <f t="shared" si="33"/>
        <v>12509</v>
      </c>
      <c r="G417" s="25">
        <v>1</v>
      </c>
      <c r="H417" s="26">
        <f t="shared" si="34"/>
        <v>0</v>
      </c>
      <c r="I417" s="26">
        <f t="shared" si="30"/>
        <v>0</v>
      </c>
      <c r="J417" s="26">
        <f t="shared" si="31"/>
        <v>0</v>
      </c>
      <c r="K417" s="27">
        <f t="shared" si="32"/>
        <v>0</v>
      </c>
      <c r="L417" s="21"/>
    </row>
    <row r="418" spans="2:12" x14ac:dyDescent="0.2">
      <c r="B418" s="19"/>
      <c r="C418" s="11"/>
      <c r="D418" s="11"/>
      <c r="E418" s="11"/>
      <c r="F418" s="24">
        <f t="shared" si="33"/>
        <v>12539</v>
      </c>
      <c r="G418" s="32">
        <v>1</v>
      </c>
      <c r="H418" s="26">
        <f t="shared" si="34"/>
        <v>0</v>
      </c>
      <c r="I418" s="26">
        <f t="shared" si="30"/>
        <v>0</v>
      </c>
      <c r="J418" s="26">
        <f t="shared" si="31"/>
        <v>0</v>
      </c>
      <c r="K418" s="27">
        <f t="shared" si="32"/>
        <v>0</v>
      </c>
      <c r="L418" s="21"/>
    </row>
    <row r="419" spans="2:12" x14ac:dyDescent="0.2">
      <c r="B419" s="19"/>
      <c r="C419" s="11"/>
      <c r="D419" s="11"/>
      <c r="E419" s="11"/>
      <c r="F419" s="24">
        <f t="shared" si="33"/>
        <v>12570</v>
      </c>
      <c r="G419" s="25">
        <v>1</v>
      </c>
      <c r="H419" s="26">
        <f t="shared" si="34"/>
        <v>0</v>
      </c>
      <c r="I419" s="26">
        <f t="shared" si="30"/>
        <v>0</v>
      </c>
      <c r="J419" s="26">
        <f t="shared" si="31"/>
        <v>0</v>
      </c>
      <c r="K419" s="27">
        <f t="shared" si="32"/>
        <v>0</v>
      </c>
      <c r="L419" s="21"/>
    </row>
    <row r="420" spans="2:12" x14ac:dyDescent="0.2">
      <c r="B420" s="19"/>
      <c r="C420" s="11"/>
      <c r="D420" s="11"/>
      <c r="E420" s="11"/>
      <c r="F420" s="24">
        <f t="shared" si="33"/>
        <v>12600</v>
      </c>
      <c r="G420" s="32">
        <v>1</v>
      </c>
      <c r="H420" s="26">
        <f t="shared" si="34"/>
        <v>0</v>
      </c>
      <c r="I420" s="26">
        <f t="shared" si="30"/>
        <v>0</v>
      </c>
      <c r="J420" s="26">
        <f t="shared" si="31"/>
        <v>0</v>
      </c>
      <c r="K420" s="27">
        <f t="shared" si="32"/>
        <v>0</v>
      </c>
      <c r="L420" s="21"/>
    </row>
    <row r="421" spans="2:12" x14ac:dyDescent="0.2">
      <c r="B421" s="19"/>
      <c r="C421" s="11"/>
      <c r="D421" s="11"/>
      <c r="E421" s="11"/>
      <c r="F421" s="24">
        <f t="shared" si="33"/>
        <v>12631</v>
      </c>
      <c r="G421" s="25">
        <v>1</v>
      </c>
      <c r="H421" s="26">
        <f t="shared" si="34"/>
        <v>0</v>
      </c>
      <c r="I421" s="26">
        <f t="shared" si="30"/>
        <v>0</v>
      </c>
      <c r="J421" s="26">
        <f t="shared" si="31"/>
        <v>0</v>
      </c>
      <c r="K421" s="27">
        <f t="shared" si="32"/>
        <v>0</v>
      </c>
      <c r="L421" s="21"/>
    </row>
    <row r="422" spans="2:12" x14ac:dyDescent="0.2">
      <c r="B422" s="19"/>
      <c r="C422" s="11"/>
      <c r="D422" s="11"/>
      <c r="E422" s="11"/>
      <c r="F422" s="24">
        <f t="shared" si="33"/>
        <v>12662</v>
      </c>
      <c r="G422" s="32">
        <v>1</v>
      </c>
      <c r="H422" s="26">
        <f t="shared" si="34"/>
        <v>0</v>
      </c>
      <c r="I422" s="26">
        <f t="shared" si="30"/>
        <v>0</v>
      </c>
      <c r="J422" s="26">
        <f t="shared" si="31"/>
        <v>0</v>
      </c>
      <c r="K422" s="27">
        <f t="shared" si="32"/>
        <v>0</v>
      </c>
      <c r="L422" s="21"/>
    </row>
    <row r="423" spans="2:12" x14ac:dyDescent="0.2">
      <c r="B423" s="19"/>
      <c r="C423" s="11"/>
      <c r="D423" s="11"/>
      <c r="E423" s="11"/>
      <c r="F423" s="24">
        <f t="shared" si="33"/>
        <v>12692</v>
      </c>
      <c r="G423" s="25">
        <v>1</v>
      </c>
      <c r="H423" s="26">
        <f t="shared" si="34"/>
        <v>0</v>
      </c>
      <c r="I423" s="26">
        <f t="shared" si="30"/>
        <v>0</v>
      </c>
      <c r="J423" s="26">
        <f t="shared" si="31"/>
        <v>0</v>
      </c>
      <c r="K423" s="27">
        <f t="shared" si="32"/>
        <v>0</v>
      </c>
      <c r="L423" s="21"/>
    </row>
    <row r="424" spans="2:12" x14ac:dyDescent="0.2">
      <c r="B424" s="19"/>
      <c r="C424" s="11"/>
      <c r="D424" s="11"/>
      <c r="E424" s="11"/>
      <c r="F424" s="24">
        <f t="shared" si="33"/>
        <v>12723</v>
      </c>
      <c r="G424" s="32">
        <v>1</v>
      </c>
      <c r="H424" s="26">
        <f t="shared" si="34"/>
        <v>0</v>
      </c>
      <c r="I424" s="26">
        <f t="shared" si="30"/>
        <v>0</v>
      </c>
      <c r="J424" s="26">
        <f t="shared" si="31"/>
        <v>0</v>
      </c>
      <c r="K424" s="27">
        <f t="shared" si="32"/>
        <v>0</v>
      </c>
      <c r="L424" s="21"/>
    </row>
    <row r="425" spans="2:12" x14ac:dyDescent="0.2">
      <c r="B425" s="19"/>
      <c r="C425" s="11"/>
      <c r="D425" s="11"/>
      <c r="E425" s="11"/>
      <c r="F425" s="24">
        <f t="shared" si="33"/>
        <v>12753</v>
      </c>
      <c r="G425" s="25">
        <v>1</v>
      </c>
      <c r="H425" s="26">
        <f t="shared" si="34"/>
        <v>0</v>
      </c>
      <c r="I425" s="26">
        <f t="shared" si="30"/>
        <v>0</v>
      </c>
      <c r="J425" s="26">
        <f t="shared" si="31"/>
        <v>0</v>
      </c>
      <c r="K425" s="27">
        <f t="shared" si="32"/>
        <v>0</v>
      </c>
      <c r="L425" s="21"/>
    </row>
    <row r="426" spans="2:12" x14ac:dyDescent="0.2">
      <c r="B426" s="19"/>
      <c r="C426" s="11"/>
      <c r="D426" s="11"/>
      <c r="E426" s="11"/>
      <c r="F426" s="24">
        <f t="shared" si="33"/>
        <v>12784</v>
      </c>
      <c r="G426" s="32">
        <v>1</v>
      </c>
      <c r="H426" s="26">
        <f t="shared" si="34"/>
        <v>0</v>
      </c>
      <c r="I426" s="26">
        <f t="shared" si="30"/>
        <v>0</v>
      </c>
      <c r="J426" s="26">
        <f t="shared" si="31"/>
        <v>0</v>
      </c>
      <c r="K426" s="27">
        <f t="shared" si="32"/>
        <v>0</v>
      </c>
      <c r="L426" s="21"/>
    </row>
    <row r="427" spans="2:12" x14ac:dyDescent="0.2">
      <c r="B427" s="19"/>
      <c r="C427" s="11"/>
      <c r="D427" s="11"/>
      <c r="E427" s="11"/>
      <c r="F427" s="24">
        <f t="shared" si="33"/>
        <v>12815</v>
      </c>
      <c r="G427" s="25">
        <v>1</v>
      </c>
      <c r="H427" s="26">
        <f t="shared" si="34"/>
        <v>0</v>
      </c>
      <c r="I427" s="26">
        <f t="shared" si="30"/>
        <v>0</v>
      </c>
      <c r="J427" s="26">
        <f t="shared" si="31"/>
        <v>0</v>
      </c>
      <c r="K427" s="27">
        <f t="shared" si="32"/>
        <v>0</v>
      </c>
      <c r="L427" s="21"/>
    </row>
    <row r="428" spans="2:12" x14ac:dyDescent="0.2">
      <c r="B428" s="19"/>
      <c r="C428" s="11"/>
      <c r="D428" s="11"/>
      <c r="E428" s="11"/>
      <c r="F428" s="24">
        <f t="shared" si="33"/>
        <v>12843</v>
      </c>
      <c r="G428" s="32">
        <v>1</v>
      </c>
      <c r="H428" s="26">
        <f t="shared" si="34"/>
        <v>0</v>
      </c>
      <c r="I428" s="26">
        <f t="shared" si="30"/>
        <v>0</v>
      </c>
      <c r="J428" s="26">
        <f t="shared" si="31"/>
        <v>0</v>
      </c>
      <c r="K428" s="27">
        <f t="shared" si="32"/>
        <v>0</v>
      </c>
      <c r="L428" s="21"/>
    </row>
    <row r="429" spans="2:12" x14ac:dyDescent="0.2">
      <c r="B429" s="19"/>
      <c r="C429" s="11"/>
      <c r="D429" s="11"/>
      <c r="E429" s="11"/>
      <c r="F429" s="24">
        <f t="shared" si="33"/>
        <v>12874</v>
      </c>
      <c r="G429" s="25">
        <v>1</v>
      </c>
      <c r="H429" s="26">
        <f t="shared" si="34"/>
        <v>0</v>
      </c>
      <c r="I429" s="26">
        <f t="shared" si="30"/>
        <v>0</v>
      </c>
      <c r="J429" s="26">
        <f t="shared" si="31"/>
        <v>0</v>
      </c>
      <c r="K429" s="27">
        <f t="shared" si="32"/>
        <v>0</v>
      </c>
      <c r="L429" s="21"/>
    </row>
    <row r="430" spans="2:12" x14ac:dyDescent="0.2">
      <c r="B430" s="19"/>
      <c r="C430" s="11"/>
      <c r="D430" s="11"/>
      <c r="E430" s="11"/>
      <c r="F430" s="24">
        <f t="shared" si="33"/>
        <v>12904</v>
      </c>
      <c r="G430" s="32">
        <v>1</v>
      </c>
      <c r="H430" s="26">
        <f t="shared" si="34"/>
        <v>0</v>
      </c>
      <c r="I430" s="26">
        <f t="shared" si="30"/>
        <v>0</v>
      </c>
      <c r="J430" s="26">
        <f t="shared" si="31"/>
        <v>0</v>
      </c>
      <c r="K430" s="27">
        <f t="shared" si="32"/>
        <v>0</v>
      </c>
      <c r="L430" s="21"/>
    </row>
    <row r="431" spans="2:12" x14ac:dyDescent="0.2">
      <c r="B431" s="19"/>
      <c r="C431" s="11"/>
      <c r="D431" s="11"/>
      <c r="E431" s="11"/>
      <c r="F431" s="24">
        <f t="shared" si="33"/>
        <v>12935</v>
      </c>
      <c r="G431" s="25">
        <v>1</v>
      </c>
      <c r="H431" s="26">
        <f t="shared" si="34"/>
        <v>0</v>
      </c>
      <c r="I431" s="26">
        <f t="shared" si="30"/>
        <v>0</v>
      </c>
      <c r="J431" s="26">
        <f t="shared" si="31"/>
        <v>0</v>
      </c>
      <c r="K431" s="27">
        <f t="shared" si="32"/>
        <v>0</v>
      </c>
      <c r="L431" s="21"/>
    </row>
    <row r="432" spans="2:12" x14ac:dyDescent="0.2">
      <c r="B432" s="19"/>
      <c r="C432" s="11"/>
      <c r="D432" s="11"/>
      <c r="E432" s="11"/>
      <c r="F432" s="24">
        <f t="shared" si="33"/>
        <v>12965</v>
      </c>
      <c r="G432" s="32">
        <v>1</v>
      </c>
      <c r="H432" s="26">
        <f t="shared" si="34"/>
        <v>0</v>
      </c>
      <c r="I432" s="26">
        <f t="shared" si="30"/>
        <v>0</v>
      </c>
      <c r="J432" s="26">
        <f t="shared" si="31"/>
        <v>0</v>
      </c>
      <c r="K432" s="27">
        <f t="shared" si="32"/>
        <v>0</v>
      </c>
      <c r="L432" s="21"/>
    </row>
    <row r="433" spans="2:12" x14ac:dyDescent="0.2">
      <c r="B433" s="19"/>
      <c r="C433" s="11"/>
      <c r="D433" s="11"/>
      <c r="E433" s="11"/>
      <c r="F433" s="24">
        <f t="shared" si="33"/>
        <v>12996</v>
      </c>
      <c r="G433" s="25">
        <v>1</v>
      </c>
      <c r="H433" s="26">
        <f t="shared" si="34"/>
        <v>0</v>
      </c>
      <c r="I433" s="26">
        <f t="shared" si="30"/>
        <v>0</v>
      </c>
      <c r="J433" s="26">
        <f t="shared" si="31"/>
        <v>0</v>
      </c>
      <c r="K433" s="27">
        <f t="shared" si="32"/>
        <v>0</v>
      </c>
      <c r="L433" s="21"/>
    </row>
    <row r="434" spans="2:12" x14ac:dyDescent="0.2">
      <c r="B434" s="19"/>
      <c r="C434" s="11"/>
      <c r="D434" s="11"/>
      <c r="E434" s="11"/>
      <c r="F434" s="24">
        <f t="shared" si="33"/>
        <v>13027</v>
      </c>
      <c r="G434" s="32">
        <v>1</v>
      </c>
      <c r="H434" s="26">
        <f t="shared" si="34"/>
        <v>0</v>
      </c>
      <c r="I434" s="26">
        <f t="shared" si="30"/>
        <v>0</v>
      </c>
      <c r="J434" s="26">
        <f t="shared" si="31"/>
        <v>0</v>
      </c>
      <c r="K434" s="27">
        <f t="shared" si="32"/>
        <v>0</v>
      </c>
      <c r="L434" s="21"/>
    </row>
    <row r="435" spans="2:12" x14ac:dyDescent="0.2">
      <c r="B435" s="19"/>
      <c r="C435" s="11"/>
      <c r="D435" s="11"/>
      <c r="E435" s="11"/>
      <c r="F435" s="24">
        <f t="shared" si="33"/>
        <v>13057</v>
      </c>
      <c r="G435" s="25">
        <v>1</v>
      </c>
      <c r="H435" s="26">
        <f t="shared" si="34"/>
        <v>0</v>
      </c>
      <c r="I435" s="26">
        <f t="shared" si="30"/>
        <v>0</v>
      </c>
      <c r="J435" s="26">
        <f t="shared" si="31"/>
        <v>0</v>
      </c>
      <c r="K435" s="27">
        <f t="shared" si="32"/>
        <v>0</v>
      </c>
      <c r="L435" s="21"/>
    </row>
    <row r="436" spans="2:12" x14ac:dyDescent="0.2">
      <c r="B436" s="19"/>
      <c r="C436" s="11"/>
      <c r="D436" s="11"/>
      <c r="E436" s="11"/>
      <c r="F436" s="24">
        <f t="shared" si="33"/>
        <v>13088</v>
      </c>
      <c r="G436" s="32">
        <v>1</v>
      </c>
      <c r="H436" s="26">
        <f t="shared" si="34"/>
        <v>0</v>
      </c>
      <c r="I436" s="26">
        <f t="shared" si="30"/>
        <v>0</v>
      </c>
      <c r="J436" s="26">
        <f t="shared" si="31"/>
        <v>0</v>
      </c>
      <c r="K436" s="27">
        <f t="shared" si="32"/>
        <v>0</v>
      </c>
      <c r="L436" s="21"/>
    </row>
    <row r="437" spans="2:12" x14ac:dyDescent="0.2">
      <c r="B437" s="19"/>
      <c r="C437" s="11"/>
      <c r="D437" s="11"/>
      <c r="E437" s="11"/>
      <c r="F437" s="24">
        <f t="shared" si="33"/>
        <v>13118</v>
      </c>
      <c r="G437" s="25">
        <v>1</v>
      </c>
      <c r="H437" s="26">
        <f t="shared" si="34"/>
        <v>0</v>
      </c>
      <c r="I437" s="26">
        <f t="shared" si="30"/>
        <v>0</v>
      </c>
      <c r="J437" s="26">
        <f t="shared" si="31"/>
        <v>0</v>
      </c>
      <c r="K437" s="27">
        <f t="shared" si="32"/>
        <v>0</v>
      </c>
      <c r="L437" s="21"/>
    </row>
    <row r="438" spans="2:12" x14ac:dyDescent="0.2">
      <c r="B438" s="19"/>
      <c r="C438" s="11"/>
      <c r="D438" s="11"/>
      <c r="E438" s="11"/>
      <c r="F438" s="24">
        <f t="shared" si="33"/>
        <v>13149</v>
      </c>
      <c r="G438" s="32">
        <v>1</v>
      </c>
      <c r="H438" s="26">
        <f t="shared" si="34"/>
        <v>0</v>
      </c>
      <c r="I438" s="26">
        <f t="shared" si="30"/>
        <v>0</v>
      </c>
      <c r="J438" s="26">
        <f t="shared" si="31"/>
        <v>0</v>
      </c>
      <c r="K438" s="27">
        <f t="shared" si="32"/>
        <v>0</v>
      </c>
      <c r="L438" s="21"/>
    </row>
    <row r="439" spans="2:12" x14ac:dyDescent="0.2">
      <c r="B439" s="19"/>
      <c r="C439" s="11"/>
      <c r="D439" s="11"/>
      <c r="E439" s="11"/>
      <c r="F439" s="24">
        <f t="shared" si="33"/>
        <v>13180</v>
      </c>
      <c r="G439" s="25">
        <v>1</v>
      </c>
      <c r="H439" s="26">
        <f t="shared" si="34"/>
        <v>0</v>
      </c>
      <c r="I439" s="26">
        <f t="shared" si="30"/>
        <v>0</v>
      </c>
      <c r="J439" s="26">
        <f t="shared" si="31"/>
        <v>0</v>
      </c>
      <c r="K439" s="27">
        <f t="shared" si="32"/>
        <v>0</v>
      </c>
      <c r="L439" s="21"/>
    </row>
    <row r="440" spans="2:12" x14ac:dyDescent="0.2">
      <c r="B440" s="19"/>
      <c r="C440" s="11"/>
      <c r="D440" s="11"/>
      <c r="E440" s="11"/>
      <c r="F440" s="24">
        <f t="shared" si="33"/>
        <v>13209</v>
      </c>
      <c r="G440" s="32">
        <v>1</v>
      </c>
      <c r="H440" s="26">
        <f t="shared" si="34"/>
        <v>0</v>
      </c>
      <c r="I440" s="26">
        <f t="shared" si="30"/>
        <v>0</v>
      </c>
      <c r="J440" s="26">
        <f t="shared" si="31"/>
        <v>0</v>
      </c>
      <c r="K440" s="27">
        <f t="shared" si="32"/>
        <v>0</v>
      </c>
      <c r="L440" s="21"/>
    </row>
    <row r="441" spans="2:12" x14ac:dyDescent="0.2">
      <c r="B441" s="19"/>
      <c r="C441" s="11"/>
      <c r="D441" s="11"/>
      <c r="E441" s="11"/>
      <c r="F441" s="24">
        <f t="shared" si="33"/>
        <v>13240</v>
      </c>
      <c r="G441" s="25">
        <v>1</v>
      </c>
      <c r="H441" s="26">
        <f t="shared" si="34"/>
        <v>0</v>
      </c>
      <c r="I441" s="26">
        <f t="shared" si="30"/>
        <v>0</v>
      </c>
      <c r="J441" s="26">
        <f t="shared" si="31"/>
        <v>0</v>
      </c>
      <c r="K441" s="27">
        <f t="shared" si="32"/>
        <v>0</v>
      </c>
      <c r="L441" s="21"/>
    </row>
    <row r="442" spans="2:12" x14ac:dyDescent="0.2">
      <c r="B442" s="19"/>
      <c r="C442" s="11"/>
      <c r="D442" s="11"/>
      <c r="E442" s="11"/>
      <c r="F442" s="24">
        <f t="shared" si="33"/>
        <v>13270</v>
      </c>
      <c r="G442" s="32">
        <v>1</v>
      </c>
      <c r="H442" s="26">
        <f t="shared" si="34"/>
        <v>0</v>
      </c>
      <c r="I442" s="26">
        <f t="shared" si="30"/>
        <v>0</v>
      </c>
      <c r="J442" s="26">
        <f t="shared" si="31"/>
        <v>0</v>
      </c>
      <c r="K442" s="27">
        <f t="shared" si="32"/>
        <v>0</v>
      </c>
      <c r="L442" s="21"/>
    </row>
    <row r="443" spans="2:12" x14ac:dyDescent="0.2">
      <c r="B443" s="19"/>
      <c r="C443" s="11"/>
      <c r="D443" s="11"/>
      <c r="E443" s="11"/>
      <c r="F443" s="24">
        <f t="shared" si="33"/>
        <v>13301</v>
      </c>
      <c r="G443" s="25">
        <v>1</v>
      </c>
      <c r="H443" s="26">
        <f t="shared" si="34"/>
        <v>0</v>
      </c>
      <c r="I443" s="26">
        <f t="shared" si="30"/>
        <v>0</v>
      </c>
      <c r="J443" s="26">
        <f t="shared" si="31"/>
        <v>0</v>
      </c>
      <c r="K443" s="27">
        <f t="shared" si="32"/>
        <v>0</v>
      </c>
      <c r="L443" s="21"/>
    </row>
    <row r="444" spans="2:12" x14ac:dyDescent="0.2">
      <c r="B444" s="19"/>
      <c r="C444" s="11"/>
      <c r="D444" s="11"/>
      <c r="E444" s="11"/>
      <c r="F444" s="24">
        <f t="shared" si="33"/>
        <v>13331</v>
      </c>
      <c r="G444" s="32">
        <v>1</v>
      </c>
      <c r="H444" s="26">
        <f t="shared" si="34"/>
        <v>0</v>
      </c>
      <c r="I444" s="26">
        <f t="shared" si="30"/>
        <v>0</v>
      </c>
      <c r="J444" s="26">
        <f t="shared" si="31"/>
        <v>0</v>
      </c>
      <c r="K444" s="27">
        <f t="shared" si="32"/>
        <v>0</v>
      </c>
      <c r="L444" s="21"/>
    </row>
    <row r="445" spans="2:12" x14ac:dyDescent="0.2">
      <c r="B445" s="19"/>
      <c r="C445" s="11"/>
      <c r="D445" s="11"/>
      <c r="E445" s="11"/>
      <c r="F445" s="24">
        <f t="shared" si="33"/>
        <v>13362</v>
      </c>
      <c r="G445" s="25">
        <v>1</v>
      </c>
      <c r="H445" s="26">
        <f t="shared" si="34"/>
        <v>0</v>
      </c>
      <c r="I445" s="26">
        <f t="shared" si="30"/>
        <v>0</v>
      </c>
      <c r="J445" s="26">
        <f t="shared" si="31"/>
        <v>0</v>
      </c>
      <c r="K445" s="27">
        <f t="shared" si="32"/>
        <v>0</v>
      </c>
      <c r="L445" s="21"/>
    </row>
    <row r="446" spans="2:12" x14ac:dyDescent="0.2">
      <c r="B446" s="19"/>
      <c r="C446" s="11"/>
      <c r="D446" s="11"/>
      <c r="E446" s="11"/>
      <c r="F446" s="24">
        <f t="shared" si="33"/>
        <v>13393</v>
      </c>
      <c r="G446" s="32">
        <v>1</v>
      </c>
      <c r="H446" s="26">
        <f t="shared" si="34"/>
        <v>0</v>
      </c>
      <c r="I446" s="26">
        <f t="shared" si="30"/>
        <v>0</v>
      </c>
      <c r="J446" s="26">
        <f t="shared" si="31"/>
        <v>0</v>
      </c>
      <c r="K446" s="27">
        <f t="shared" si="32"/>
        <v>0</v>
      </c>
      <c r="L446" s="21"/>
    </row>
    <row r="447" spans="2:12" x14ac:dyDescent="0.2">
      <c r="B447" s="19"/>
      <c r="C447" s="11"/>
      <c r="D447" s="11"/>
      <c r="E447" s="11"/>
      <c r="F447" s="24">
        <f t="shared" si="33"/>
        <v>13423</v>
      </c>
      <c r="G447" s="25">
        <v>1</v>
      </c>
      <c r="H447" s="26">
        <f t="shared" si="34"/>
        <v>0</v>
      </c>
      <c r="I447" s="26">
        <f t="shared" si="30"/>
        <v>0</v>
      </c>
      <c r="J447" s="26">
        <f t="shared" si="31"/>
        <v>0</v>
      </c>
      <c r="K447" s="27">
        <f t="shared" si="32"/>
        <v>0</v>
      </c>
      <c r="L447" s="21"/>
    </row>
    <row r="448" spans="2:12" x14ac:dyDescent="0.2">
      <c r="B448" s="19"/>
      <c r="C448" s="11"/>
      <c r="D448" s="11"/>
      <c r="E448" s="11"/>
      <c r="F448" s="24">
        <f t="shared" si="33"/>
        <v>13454</v>
      </c>
      <c r="G448" s="32">
        <v>1</v>
      </c>
      <c r="H448" s="26">
        <f t="shared" si="34"/>
        <v>0</v>
      </c>
      <c r="I448" s="26">
        <f t="shared" si="30"/>
        <v>0</v>
      </c>
      <c r="J448" s="26">
        <f t="shared" si="31"/>
        <v>0</v>
      </c>
      <c r="K448" s="27">
        <f t="shared" si="32"/>
        <v>0</v>
      </c>
      <c r="L448" s="21"/>
    </row>
    <row r="449" spans="2:12" x14ac:dyDescent="0.2">
      <c r="B449" s="19"/>
      <c r="C449" s="11"/>
      <c r="D449" s="11"/>
      <c r="E449" s="11"/>
      <c r="F449" s="24">
        <f t="shared" si="33"/>
        <v>13484</v>
      </c>
      <c r="G449" s="25">
        <v>1</v>
      </c>
      <c r="H449" s="26">
        <f t="shared" si="34"/>
        <v>0</v>
      </c>
      <c r="I449" s="26">
        <f t="shared" si="30"/>
        <v>0</v>
      </c>
      <c r="J449" s="26">
        <f t="shared" si="31"/>
        <v>0</v>
      </c>
      <c r="K449" s="27">
        <f t="shared" si="32"/>
        <v>0</v>
      </c>
      <c r="L449" s="21"/>
    </row>
    <row r="450" spans="2:12" x14ac:dyDescent="0.2">
      <c r="B450" s="19"/>
      <c r="C450" s="11"/>
      <c r="D450" s="11"/>
      <c r="E450" s="11"/>
      <c r="F450" s="24">
        <f t="shared" si="33"/>
        <v>13515</v>
      </c>
      <c r="G450" s="32">
        <v>1</v>
      </c>
      <c r="H450" s="26">
        <f t="shared" si="34"/>
        <v>0</v>
      </c>
      <c r="I450" s="26">
        <f t="shared" si="30"/>
        <v>0</v>
      </c>
      <c r="J450" s="26">
        <f t="shared" si="31"/>
        <v>0</v>
      </c>
      <c r="K450" s="27">
        <f t="shared" si="32"/>
        <v>0</v>
      </c>
      <c r="L450" s="21"/>
    </row>
    <row r="451" spans="2:12" x14ac:dyDescent="0.2">
      <c r="B451" s="19"/>
      <c r="C451" s="11"/>
      <c r="D451" s="11"/>
      <c r="E451" s="11"/>
      <c r="F451" s="24">
        <f t="shared" si="33"/>
        <v>13546</v>
      </c>
      <c r="G451" s="25">
        <v>1</v>
      </c>
      <c r="H451" s="26">
        <f t="shared" si="34"/>
        <v>0</v>
      </c>
      <c r="I451" s="26">
        <f t="shared" si="30"/>
        <v>0</v>
      </c>
      <c r="J451" s="26">
        <f t="shared" si="31"/>
        <v>0</v>
      </c>
      <c r="K451" s="27">
        <f t="shared" si="32"/>
        <v>0</v>
      </c>
      <c r="L451" s="21"/>
    </row>
    <row r="452" spans="2:12" x14ac:dyDescent="0.2">
      <c r="B452" s="19"/>
      <c r="C452" s="11"/>
      <c r="D452" s="11"/>
      <c r="E452" s="11"/>
      <c r="F452" s="24">
        <f t="shared" si="33"/>
        <v>13574</v>
      </c>
      <c r="G452" s="32">
        <v>1</v>
      </c>
      <c r="H452" s="26">
        <f t="shared" si="34"/>
        <v>0</v>
      </c>
      <c r="I452" s="26">
        <f t="shared" si="30"/>
        <v>0</v>
      </c>
      <c r="J452" s="26">
        <f t="shared" si="31"/>
        <v>0</v>
      </c>
      <c r="K452" s="27">
        <f t="shared" si="32"/>
        <v>0</v>
      </c>
      <c r="L452" s="21"/>
    </row>
    <row r="453" spans="2:12" x14ac:dyDescent="0.2">
      <c r="B453" s="19"/>
      <c r="C453" s="11"/>
      <c r="D453" s="11"/>
      <c r="E453" s="11"/>
      <c r="F453" s="24">
        <f t="shared" si="33"/>
        <v>13605</v>
      </c>
      <c r="G453" s="25">
        <v>1</v>
      </c>
      <c r="H453" s="26">
        <f t="shared" si="34"/>
        <v>0</v>
      </c>
      <c r="I453" s="26">
        <f t="shared" si="30"/>
        <v>0</v>
      </c>
      <c r="J453" s="26">
        <f t="shared" si="31"/>
        <v>0</v>
      </c>
      <c r="K453" s="27">
        <f t="shared" si="32"/>
        <v>0</v>
      </c>
      <c r="L453" s="21"/>
    </row>
    <row r="454" spans="2:12" x14ac:dyDescent="0.2">
      <c r="B454" s="19"/>
      <c r="C454" s="11"/>
      <c r="D454" s="11"/>
      <c r="E454" s="11"/>
      <c r="F454" s="24">
        <f t="shared" si="33"/>
        <v>13635</v>
      </c>
      <c r="G454" s="32">
        <v>1</v>
      </c>
      <c r="H454" s="26">
        <f t="shared" si="34"/>
        <v>0</v>
      </c>
      <c r="I454" s="26">
        <f t="shared" si="30"/>
        <v>0</v>
      </c>
      <c r="J454" s="26">
        <f t="shared" si="31"/>
        <v>0</v>
      </c>
      <c r="K454" s="27">
        <f t="shared" si="32"/>
        <v>0</v>
      </c>
      <c r="L454" s="21"/>
    </row>
    <row r="455" spans="2:12" x14ac:dyDescent="0.2">
      <c r="B455" s="19"/>
      <c r="C455" s="11"/>
      <c r="D455" s="11"/>
      <c r="E455" s="11"/>
      <c r="F455" s="24">
        <f t="shared" si="33"/>
        <v>13666</v>
      </c>
      <c r="G455" s="25">
        <v>1</v>
      </c>
      <c r="H455" s="26">
        <f t="shared" si="34"/>
        <v>0</v>
      </c>
      <c r="I455" s="26">
        <f t="shared" ref="I455:I495" si="35">$D$10</f>
        <v>0</v>
      </c>
      <c r="J455" s="26">
        <f t="shared" ref="J455:J495" si="36">(H455*$D$8)/12</f>
        <v>0</v>
      </c>
      <c r="K455" s="27">
        <f t="shared" ref="K455:K495" si="37">I455-J455</f>
        <v>0</v>
      </c>
      <c r="L455" s="21"/>
    </row>
    <row r="456" spans="2:12" x14ac:dyDescent="0.2">
      <c r="B456" s="19"/>
      <c r="C456" s="11"/>
      <c r="D456" s="11"/>
      <c r="E456" s="11"/>
      <c r="F456" s="24">
        <f t="shared" ref="F456:F495" si="38">EOMONTH(F455,1)</f>
        <v>13696</v>
      </c>
      <c r="G456" s="32">
        <v>1</v>
      </c>
      <c r="H456" s="26">
        <f t="shared" ref="H456:H495" si="39">H455-K455</f>
        <v>0</v>
      </c>
      <c r="I456" s="26">
        <f t="shared" si="35"/>
        <v>0</v>
      </c>
      <c r="J456" s="26">
        <f t="shared" si="36"/>
        <v>0</v>
      </c>
      <c r="K456" s="27">
        <f t="shared" si="37"/>
        <v>0</v>
      </c>
      <c r="L456" s="21"/>
    </row>
    <row r="457" spans="2:12" x14ac:dyDescent="0.2">
      <c r="B457" s="19"/>
      <c r="C457" s="11"/>
      <c r="D457" s="11"/>
      <c r="E457" s="11"/>
      <c r="F457" s="24">
        <f t="shared" si="38"/>
        <v>13727</v>
      </c>
      <c r="G457" s="25">
        <v>1</v>
      </c>
      <c r="H457" s="26">
        <f t="shared" si="39"/>
        <v>0</v>
      </c>
      <c r="I457" s="26">
        <f t="shared" si="35"/>
        <v>0</v>
      </c>
      <c r="J457" s="26">
        <f t="shared" si="36"/>
        <v>0</v>
      </c>
      <c r="K457" s="27">
        <f t="shared" si="37"/>
        <v>0</v>
      </c>
      <c r="L457" s="21"/>
    </row>
    <row r="458" spans="2:12" x14ac:dyDescent="0.2">
      <c r="B458" s="19"/>
      <c r="C458" s="11"/>
      <c r="D458" s="11"/>
      <c r="E458" s="11"/>
      <c r="F458" s="24">
        <f t="shared" si="38"/>
        <v>13758</v>
      </c>
      <c r="G458" s="32">
        <v>1</v>
      </c>
      <c r="H458" s="26">
        <f t="shared" si="39"/>
        <v>0</v>
      </c>
      <c r="I458" s="26">
        <f t="shared" si="35"/>
        <v>0</v>
      </c>
      <c r="J458" s="26">
        <f t="shared" si="36"/>
        <v>0</v>
      </c>
      <c r="K458" s="27">
        <f t="shared" si="37"/>
        <v>0</v>
      </c>
      <c r="L458" s="21"/>
    </row>
    <row r="459" spans="2:12" x14ac:dyDescent="0.2">
      <c r="B459" s="19"/>
      <c r="C459" s="11"/>
      <c r="D459" s="11"/>
      <c r="E459" s="11"/>
      <c r="F459" s="24">
        <f t="shared" si="38"/>
        <v>13788</v>
      </c>
      <c r="G459" s="25">
        <v>1</v>
      </c>
      <c r="H459" s="26">
        <f t="shared" si="39"/>
        <v>0</v>
      </c>
      <c r="I459" s="26">
        <f t="shared" si="35"/>
        <v>0</v>
      </c>
      <c r="J459" s="26">
        <f t="shared" si="36"/>
        <v>0</v>
      </c>
      <c r="K459" s="27">
        <f t="shared" si="37"/>
        <v>0</v>
      </c>
      <c r="L459" s="21"/>
    </row>
    <row r="460" spans="2:12" x14ac:dyDescent="0.2">
      <c r="B460" s="19"/>
      <c r="C460" s="11"/>
      <c r="D460" s="11"/>
      <c r="E460" s="11"/>
      <c r="F460" s="24">
        <f t="shared" si="38"/>
        <v>13819</v>
      </c>
      <c r="G460" s="32">
        <v>1</v>
      </c>
      <c r="H460" s="26">
        <f t="shared" si="39"/>
        <v>0</v>
      </c>
      <c r="I460" s="26">
        <f t="shared" si="35"/>
        <v>0</v>
      </c>
      <c r="J460" s="26">
        <f t="shared" si="36"/>
        <v>0</v>
      </c>
      <c r="K460" s="27">
        <f t="shared" si="37"/>
        <v>0</v>
      </c>
      <c r="L460" s="21"/>
    </row>
    <row r="461" spans="2:12" x14ac:dyDescent="0.2">
      <c r="B461" s="19"/>
      <c r="C461" s="11"/>
      <c r="D461" s="11"/>
      <c r="E461" s="11"/>
      <c r="F461" s="24">
        <f t="shared" si="38"/>
        <v>13849</v>
      </c>
      <c r="G461" s="25">
        <v>1</v>
      </c>
      <c r="H461" s="26">
        <f t="shared" si="39"/>
        <v>0</v>
      </c>
      <c r="I461" s="26">
        <f t="shared" si="35"/>
        <v>0</v>
      </c>
      <c r="J461" s="26">
        <f t="shared" si="36"/>
        <v>0</v>
      </c>
      <c r="K461" s="27">
        <f t="shared" si="37"/>
        <v>0</v>
      </c>
      <c r="L461" s="21"/>
    </row>
    <row r="462" spans="2:12" x14ac:dyDescent="0.2">
      <c r="B462" s="19"/>
      <c r="C462" s="11"/>
      <c r="D462" s="11"/>
      <c r="E462" s="11"/>
      <c r="F462" s="24">
        <f t="shared" si="38"/>
        <v>13880</v>
      </c>
      <c r="G462" s="32">
        <v>1</v>
      </c>
      <c r="H462" s="26">
        <f t="shared" si="39"/>
        <v>0</v>
      </c>
      <c r="I462" s="26">
        <f t="shared" si="35"/>
        <v>0</v>
      </c>
      <c r="J462" s="26">
        <f t="shared" si="36"/>
        <v>0</v>
      </c>
      <c r="K462" s="27">
        <f t="shared" si="37"/>
        <v>0</v>
      </c>
      <c r="L462" s="21"/>
    </row>
    <row r="463" spans="2:12" x14ac:dyDescent="0.2">
      <c r="B463" s="19"/>
      <c r="C463" s="11"/>
      <c r="D463" s="11"/>
      <c r="E463" s="11"/>
      <c r="F463" s="24">
        <f t="shared" si="38"/>
        <v>13911</v>
      </c>
      <c r="G463" s="25">
        <v>1</v>
      </c>
      <c r="H463" s="26">
        <f t="shared" si="39"/>
        <v>0</v>
      </c>
      <c r="I463" s="26">
        <f t="shared" si="35"/>
        <v>0</v>
      </c>
      <c r="J463" s="26">
        <f t="shared" si="36"/>
        <v>0</v>
      </c>
      <c r="K463" s="27">
        <f t="shared" si="37"/>
        <v>0</v>
      </c>
      <c r="L463" s="21"/>
    </row>
    <row r="464" spans="2:12" x14ac:dyDescent="0.2">
      <c r="B464" s="19"/>
      <c r="C464" s="11"/>
      <c r="D464" s="11"/>
      <c r="E464" s="11"/>
      <c r="F464" s="24">
        <f t="shared" si="38"/>
        <v>13939</v>
      </c>
      <c r="G464" s="32">
        <v>1</v>
      </c>
      <c r="H464" s="26">
        <f t="shared" si="39"/>
        <v>0</v>
      </c>
      <c r="I464" s="26">
        <f t="shared" si="35"/>
        <v>0</v>
      </c>
      <c r="J464" s="26">
        <f t="shared" si="36"/>
        <v>0</v>
      </c>
      <c r="K464" s="27">
        <f t="shared" si="37"/>
        <v>0</v>
      </c>
      <c r="L464" s="21"/>
    </row>
    <row r="465" spans="2:12" x14ac:dyDescent="0.2">
      <c r="B465" s="19"/>
      <c r="C465" s="11"/>
      <c r="D465" s="11"/>
      <c r="E465" s="11"/>
      <c r="F465" s="24">
        <f t="shared" si="38"/>
        <v>13970</v>
      </c>
      <c r="G465" s="25">
        <v>1</v>
      </c>
      <c r="H465" s="26">
        <f t="shared" si="39"/>
        <v>0</v>
      </c>
      <c r="I465" s="26">
        <f t="shared" si="35"/>
        <v>0</v>
      </c>
      <c r="J465" s="26">
        <f t="shared" si="36"/>
        <v>0</v>
      </c>
      <c r="K465" s="27">
        <f t="shared" si="37"/>
        <v>0</v>
      </c>
      <c r="L465" s="21"/>
    </row>
    <row r="466" spans="2:12" x14ac:dyDescent="0.2">
      <c r="B466" s="19"/>
      <c r="C466" s="11"/>
      <c r="D466" s="11"/>
      <c r="E466" s="11"/>
      <c r="F466" s="24">
        <f t="shared" si="38"/>
        <v>14000</v>
      </c>
      <c r="G466" s="32">
        <v>1</v>
      </c>
      <c r="H466" s="26">
        <f t="shared" si="39"/>
        <v>0</v>
      </c>
      <c r="I466" s="26">
        <f t="shared" si="35"/>
        <v>0</v>
      </c>
      <c r="J466" s="26">
        <f t="shared" si="36"/>
        <v>0</v>
      </c>
      <c r="K466" s="27">
        <f t="shared" si="37"/>
        <v>0</v>
      </c>
      <c r="L466" s="21"/>
    </row>
    <row r="467" spans="2:12" x14ac:dyDescent="0.2">
      <c r="B467" s="19"/>
      <c r="C467" s="11"/>
      <c r="D467" s="11"/>
      <c r="E467" s="11"/>
      <c r="F467" s="24">
        <f t="shared" si="38"/>
        <v>14031</v>
      </c>
      <c r="G467" s="25">
        <v>1</v>
      </c>
      <c r="H467" s="26">
        <f t="shared" si="39"/>
        <v>0</v>
      </c>
      <c r="I467" s="26">
        <f t="shared" si="35"/>
        <v>0</v>
      </c>
      <c r="J467" s="26">
        <f t="shared" si="36"/>
        <v>0</v>
      </c>
      <c r="K467" s="27">
        <f t="shared" si="37"/>
        <v>0</v>
      </c>
      <c r="L467" s="21"/>
    </row>
    <row r="468" spans="2:12" x14ac:dyDescent="0.2">
      <c r="B468" s="19"/>
      <c r="C468" s="11"/>
      <c r="D468" s="11"/>
      <c r="E468" s="11"/>
      <c r="F468" s="24">
        <f t="shared" si="38"/>
        <v>14061</v>
      </c>
      <c r="G468" s="32">
        <v>1</v>
      </c>
      <c r="H468" s="26">
        <f t="shared" si="39"/>
        <v>0</v>
      </c>
      <c r="I468" s="26">
        <f t="shared" si="35"/>
        <v>0</v>
      </c>
      <c r="J468" s="26">
        <f t="shared" si="36"/>
        <v>0</v>
      </c>
      <c r="K468" s="27">
        <f t="shared" si="37"/>
        <v>0</v>
      </c>
      <c r="L468" s="21"/>
    </row>
    <row r="469" spans="2:12" x14ac:dyDescent="0.2">
      <c r="B469" s="19"/>
      <c r="C469" s="11"/>
      <c r="D469" s="11"/>
      <c r="E469" s="11"/>
      <c r="F469" s="24">
        <f t="shared" si="38"/>
        <v>14092</v>
      </c>
      <c r="G469" s="25">
        <v>1</v>
      </c>
      <c r="H469" s="26">
        <f t="shared" si="39"/>
        <v>0</v>
      </c>
      <c r="I469" s="26">
        <f t="shared" si="35"/>
        <v>0</v>
      </c>
      <c r="J469" s="26">
        <f t="shared" si="36"/>
        <v>0</v>
      </c>
      <c r="K469" s="27">
        <f t="shared" si="37"/>
        <v>0</v>
      </c>
      <c r="L469" s="21"/>
    </row>
    <row r="470" spans="2:12" x14ac:dyDescent="0.2">
      <c r="B470" s="19"/>
      <c r="C470" s="11"/>
      <c r="D470" s="11"/>
      <c r="E470" s="11"/>
      <c r="F470" s="24">
        <f t="shared" si="38"/>
        <v>14123</v>
      </c>
      <c r="G470" s="32">
        <v>1</v>
      </c>
      <c r="H470" s="26">
        <f t="shared" si="39"/>
        <v>0</v>
      </c>
      <c r="I470" s="26">
        <f t="shared" si="35"/>
        <v>0</v>
      </c>
      <c r="J470" s="26">
        <f t="shared" si="36"/>
        <v>0</v>
      </c>
      <c r="K470" s="27">
        <f t="shared" si="37"/>
        <v>0</v>
      </c>
      <c r="L470" s="21"/>
    </row>
    <row r="471" spans="2:12" x14ac:dyDescent="0.2">
      <c r="B471" s="19"/>
      <c r="C471" s="11"/>
      <c r="D471" s="11"/>
      <c r="E471" s="11"/>
      <c r="F471" s="24">
        <f t="shared" si="38"/>
        <v>14153</v>
      </c>
      <c r="G471" s="25">
        <v>1</v>
      </c>
      <c r="H471" s="26">
        <f t="shared" si="39"/>
        <v>0</v>
      </c>
      <c r="I471" s="26">
        <f t="shared" si="35"/>
        <v>0</v>
      </c>
      <c r="J471" s="26">
        <f t="shared" si="36"/>
        <v>0</v>
      </c>
      <c r="K471" s="27">
        <f t="shared" si="37"/>
        <v>0</v>
      </c>
      <c r="L471" s="21"/>
    </row>
    <row r="472" spans="2:12" x14ac:dyDescent="0.2">
      <c r="B472" s="19"/>
      <c r="C472" s="11"/>
      <c r="D472" s="11"/>
      <c r="E472" s="11"/>
      <c r="F472" s="24">
        <f t="shared" si="38"/>
        <v>14184</v>
      </c>
      <c r="G472" s="32">
        <v>1</v>
      </c>
      <c r="H472" s="26">
        <f t="shared" si="39"/>
        <v>0</v>
      </c>
      <c r="I472" s="26">
        <f t="shared" si="35"/>
        <v>0</v>
      </c>
      <c r="J472" s="26">
        <f t="shared" si="36"/>
        <v>0</v>
      </c>
      <c r="K472" s="27">
        <f t="shared" si="37"/>
        <v>0</v>
      </c>
      <c r="L472" s="21"/>
    </row>
    <row r="473" spans="2:12" x14ac:dyDescent="0.2">
      <c r="B473" s="19"/>
      <c r="C473" s="11"/>
      <c r="D473" s="11"/>
      <c r="E473" s="11"/>
      <c r="F473" s="24">
        <f t="shared" si="38"/>
        <v>14214</v>
      </c>
      <c r="G473" s="25">
        <v>1</v>
      </c>
      <c r="H473" s="26">
        <f t="shared" si="39"/>
        <v>0</v>
      </c>
      <c r="I473" s="26">
        <f t="shared" si="35"/>
        <v>0</v>
      </c>
      <c r="J473" s="26">
        <f t="shared" si="36"/>
        <v>0</v>
      </c>
      <c r="K473" s="27">
        <f t="shared" si="37"/>
        <v>0</v>
      </c>
      <c r="L473" s="21"/>
    </row>
    <row r="474" spans="2:12" x14ac:dyDescent="0.2">
      <c r="B474" s="19"/>
      <c r="C474" s="11"/>
      <c r="D474" s="11"/>
      <c r="E474" s="11"/>
      <c r="F474" s="24">
        <f t="shared" si="38"/>
        <v>14245</v>
      </c>
      <c r="G474" s="32">
        <v>1</v>
      </c>
      <c r="H474" s="26">
        <f t="shared" si="39"/>
        <v>0</v>
      </c>
      <c r="I474" s="26">
        <f t="shared" si="35"/>
        <v>0</v>
      </c>
      <c r="J474" s="26">
        <f t="shared" si="36"/>
        <v>0</v>
      </c>
      <c r="K474" s="27">
        <f t="shared" si="37"/>
        <v>0</v>
      </c>
      <c r="L474" s="21"/>
    </row>
    <row r="475" spans="2:12" x14ac:dyDescent="0.2">
      <c r="B475" s="19"/>
      <c r="C475" s="11"/>
      <c r="D475" s="11"/>
      <c r="E475" s="11"/>
      <c r="F475" s="24">
        <f t="shared" si="38"/>
        <v>14276</v>
      </c>
      <c r="G475" s="25">
        <v>1</v>
      </c>
      <c r="H475" s="26">
        <f t="shared" si="39"/>
        <v>0</v>
      </c>
      <c r="I475" s="26">
        <f t="shared" si="35"/>
        <v>0</v>
      </c>
      <c r="J475" s="26">
        <f t="shared" si="36"/>
        <v>0</v>
      </c>
      <c r="K475" s="27">
        <f t="shared" si="37"/>
        <v>0</v>
      </c>
      <c r="L475" s="21"/>
    </row>
    <row r="476" spans="2:12" x14ac:dyDescent="0.2">
      <c r="B476" s="19"/>
      <c r="C476" s="11"/>
      <c r="D476" s="11"/>
      <c r="E476" s="11"/>
      <c r="F476" s="24">
        <f t="shared" si="38"/>
        <v>14304</v>
      </c>
      <c r="G476" s="32">
        <v>1</v>
      </c>
      <c r="H476" s="26">
        <f t="shared" si="39"/>
        <v>0</v>
      </c>
      <c r="I476" s="26">
        <f t="shared" si="35"/>
        <v>0</v>
      </c>
      <c r="J476" s="26">
        <f t="shared" si="36"/>
        <v>0</v>
      </c>
      <c r="K476" s="27">
        <f t="shared" si="37"/>
        <v>0</v>
      </c>
      <c r="L476" s="21"/>
    </row>
    <row r="477" spans="2:12" x14ac:dyDescent="0.2">
      <c r="B477" s="19"/>
      <c r="C477" s="11"/>
      <c r="D477" s="11"/>
      <c r="E477" s="11"/>
      <c r="F477" s="24">
        <f t="shared" si="38"/>
        <v>14335</v>
      </c>
      <c r="G477" s="25">
        <v>1</v>
      </c>
      <c r="H477" s="26">
        <f t="shared" si="39"/>
        <v>0</v>
      </c>
      <c r="I477" s="26">
        <f t="shared" si="35"/>
        <v>0</v>
      </c>
      <c r="J477" s="26">
        <f t="shared" si="36"/>
        <v>0</v>
      </c>
      <c r="K477" s="27">
        <f t="shared" si="37"/>
        <v>0</v>
      </c>
      <c r="L477" s="21"/>
    </row>
    <row r="478" spans="2:12" x14ac:dyDescent="0.2">
      <c r="B478" s="19"/>
      <c r="C478" s="11"/>
      <c r="D478" s="11"/>
      <c r="E478" s="11"/>
      <c r="F478" s="24">
        <f t="shared" si="38"/>
        <v>14365</v>
      </c>
      <c r="G478" s="32">
        <v>1</v>
      </c>
      <c r="H478" s="26">
        <f t="shared" si="39"/>
        <v>0</v>
      </c>
      <c r="I478" s="26">
        <f t="shared" si="35"/>
        <v>0</v>
      </c>
      <c r="J478" s="26">
        <f t="shared" si="36"/>
        <v>0</v>
      </c>
      <c r="K478" s="27">
        <f t="shared" si="37"/>
        <v>0</v>
      </c>
      <c r="L478" s="21"/>
    </row>
    <row r="479" spans="2:12" x14ac:dyDescent="0.2">
      <c r="B479" s="19"/>
      <c r="C479" s="11"/>
      <c r="D479" s="11"/>
      <c r="E479" s="11"/>
      <c r="F479" s="24">
        <f t="shared" si="38"/>
        <v>14396</v>
      </c>
      <c r="G479" s="25">
        <v>1</v>
      </c>
      <c r="H479" s="26">
        <f t="shared" si="39"/>
        <v>0</v>
      </c>
      <c r="I479" s="26">
        <f t="shared" si="35"/>
        <v>0</v>
      </c>
      <c r="J479" s="26">
        <f t="shared" si="36"/>
        <v>0</v>
      </c>
      <c r="K479" s="27">
        <f t="shared" si="37"/>
        <v>0</v>
      </c>
      <c r="L479" s="21"/>
    </row>
    <row r="480" spans="2:12" x14ac:dyDescent="0.2">
      <c r="B480" s="19"/>
      <c r="C480" s="11"/>
      <c r="D480" s="11"/>
      <c r="E480" s="11"/>
      <c r="F480" s="24">
        <f t="shared" si="38"/>
        <v>14426</v>
      </c>
      <c r="G480" s="32">
        <v>1</v>
      </c>
      <c r="H480" s="26">
        <f t="shared" si="39"/>
        <v>0</v>
      </c>
      <c r="I480" s="26">
        <f t="shared" si="35"/>
        <v>0</v>
      </c>
      <c r="J480" s="26">
        <f t="shared" si="36"/>
        <v>0</v>
      </c>
      <c r="K480" s="27">
        <f t="shared" si="37"/>
        <v>0</v>
      </c>
      <c r="L480" s="21"/>
    </row>
    <row r="481" spans="2:12" x14ac:dyDescent="0.2">
      <c r="B481" s="19"/>
      <c r="C481" s="11"/>
      <c r="D481" s="11"/>
      <c r="E481" s="11"/>
      <c r="F481" s="24">
        <f t="shared" si="38"/>
        <v>14457</v>
      </c>
      <c r="G481" s="25">
        <v>1</v>
      </c>
      <c r="H481" s="26">
        <f t="shared" si="39"/>
        <v>0</v>
      </c>
      <c r="I481" s="26">
        <f t="shared" si="35"/>
        <v>0</v>
      </c>
      <c r="J481" s="26">
        <f t="shared" si="36"/>
        <v>0</v>
      </c>
      <c r="K481" s="27">
        <f t="shared" si="37"/>
        <v>0</v>
      </c>
      <c r="L481" s="21"/>
    </row>
    <row r="482" spans="2:12" x14ac:dyDescent="0.2">
      <c r="B482" s="19"/>
      <c r="C482" s="11"/>
      <c r="D482" s="11"/>
      <c r="E482" s="11"/>
      <c r="F482" s="24">
        <f t="shared" si="38"/>
        <v>14488</v>
      </c>
      <c r="G482" s="32">
        <v>1</v>
      </c>
      <c r="H482" s="26">
        <f t="shared" si="39"/>
        <v>0</v>
      </c>
      <c r="I482" s="26">
        <f t="shared" si="35"/>
        <v>0</v>
      </c>
      <c r="J482" s="26">
        <f t="shared" si="36"/>
        <v>0</v>
      </c>
      <c r="K482" s="27">
        <f t="shared" si="37"/>
        <v>0</v>
      </c>
      <c r="L482" s="21"/>
    </row>
    <row r="483" spans="2:12" x14ac:dyDescent="0.2">
      <c r="B483" s="19"/>
      <c r="C483" s="11"/>
      <c r="D483" s="11"/>
      <c r="E483" s="11"/>
      <c r="F483" s="24">
        <f t="shared" si="38"/>
        <v>14518</v>
      </c>
      <c r="G483" s="25">
        <v>1</v>
      </c>
      <c r="H483" s="26">
        <f t="shared" si="39"/>
        <v>0</v>
      </c>
      <c r="I483" s="26">
        <f t="shared" si="35"/>
        <v>0</v>
      </c>
      <c r="J483" s="26">
        <f t="shared" si="36"/>
        <v>0</v>
      </c>
      <c r="K483" s="27">
        <f t="shared" si="37"/>
        <v>0</v>
      </c>
      <c r="L483" s="21"/>
    </row>
    <row r="484" spans="2:12" x14ac:dyDescent="0.2">
      <c r="B484" s="19"/>
      <c r="C484" s="11"/>
      <c r="D484" s="11"/>
      <c r="E484" s="11"/>
      <c r="F484" s="24">
        <f t="shared" si="38"/>
        <v>14549</v>
      </c>
      <c r="G484" s="32">
        <v>1</v>
      </c>
      <c r="H484" s="26">
        <f t="shared" si="39"/>
        <v>0</v>
      </c>
      <c r="I484" s="26">
        <f t="shared" si="35"/>
        <v>0</v>
      </c>
      <c r="J484" s="26">
        <f t="shared" si="36"/>
        <v>0</v>
      </c>
      <c r="K484" s="27">
        <f t="shared" si="37"/>
        <v>0</v>
      </c>
      <c r="L484" s="21"/>
    </row>
    <row r="485" spans="2:12" x14ac:dyDescent="0.2">
      <c r="B485" s="19"/>
      <c r="C485" s="11"/>
      <c r="D485" s="11"/>
      <c r="E485" s="11"/>
      <c r="F485" s="24">
        <f t="shared" si="38"/>
        <v>14579</v>
      </c>
      <c r="G485" s="25">
        <v>1</v>
      </c>
      <c r="H485" s="26">
        <f t="shared" si="39"/>
        <v>0</v>
      </c>
      <c r="I485" s="26">
        <f t="shared" si="35"/>
        <v>0</v>
      </c>
      <c r="J485" s="26">
        <f t="shared" si="36"/>
        <v>0</v>
      </c>
      <c r="K485" s="27">
        <f t="shared" si="37"/>
        <v>0</v>
      </c>
      <c r="L485" s="21"/>
    </row>
    <row r="486" spans="2:12" x14ac:dyDescent="0.2">
      <c r="B486" s="19"/>
      <c r="C486" s="11"/>
      <c r="D486" s="11"/>
      <c r="E486" s="11"/>
      <c r="F486" s="24">
        <f t="shared" si="38"/>
        <v>14610</v>
      </c>
      <c r="G486" s="32">
        <v>1</v>
      </c>
      <c r="H486" s="26">
        <f t="shared" si="39"/>
        <v>0</v>
      </c>
      <c r="I486" s="26">
        <f t="shared" si="35"/>
        <v>0</v>
      </c>
      <c r="J486" s="26">
        <f t="shared" si="36"/>
        <v>0</v>
      </c>
      <c r="K486" s="27">
        <f t="shared" si="37"/>
        <v>0</v>
      </c>
      <c r="L486" s="21"/>
    </row>
    <row r="487" spans="2:12" x14ac:dyDescent="0.2">
      <c r="B487" s="19"/>
      <c r="C487" s="11"/>
      <c r="D487" s="11"/>
      <c r="E487" s="11"/>
      <c r="F487" s="24">
        <f t="shared" si="38"/>
        <v>14641</v>
      </c>
      <c r="G487" s="25">
        <v>1</v>
      </c>
      <c r="H487" s="26">
        <f t="shared" si="39"/>
        <v>0</v>
      </c>
      <c r="I487" s="26">
        <f t="shared" si="35"/>
        <v>0</v>
      </c>
      <c r="J487" s="26">
        <f t="shared" si="36"/>
        <v>0</v>
      </c>
      <c r="K487" s="27">
        <f t="shared" si="37"/>
        <v>0</v>
      </c>
      <c r="L487" s="21"/>
    </row>
    <row r="488" spans="2:12" x14ac:dyDescent="0.2">
      <c r="B488" s="19"/>
      <c r="C488" s="11"/>
      <c r="D488" s="11"/>
      <c r="E488" s="11"/>
      <c r="F488" s="24">
        <f t="shared" si="38"/>
        <v>14670</v>
      </c>
      <c r="G488" s="32">
        <v>1</v>
      </c>
      <c r="H488" s="26">
        <f t="shared" si="39"/>
        <v>0</v>
      </c>
      <c r="I488" s="26">
        <f t="shared" si="35"/>
        <v>0</v>
      </c>
      <c r="J488" s="26">
        <f t="shared" si="36"/>
        <v>0</v>
      </c>
      <c r="K488" s="27">
        <f t="shared" si="37"/>
        <v>0</v>
      </c>
      <c r="L488" s="21"/>
    </row>
    <row r="489" spans="2:12" x14ac:dyDescent="0.2">
      <c r="B489" s="19"/>
      <c r="C489" s="11"/>
      <c r="D489" s="11"/>
      <c r="E489" s="11"/>
      <c r="F489" s="24">
        <f t="shared" si="38"/>
        <v>14701</v>
      </c>
      <c r="G489" s="25">
        <v>1</v>
      </c>
      <c r="H489" s="26">
        <f t="shared" si="39"/>
        <v>0</v>
      </c>
      <c r="I489" s="26">
        <f t="shared" si="35"/>
        <v>0</v>
      </c>
      <c r="J489" s="26">
        <f t="shared" si="36"/>
        <v>0</v>
      </c>
      <c r="K489" s="27">
        <f t="shared" si="37"/>
        <v>0</v>
      </c>
      <c r="L489" s="21"/>
    </row>
    <row r="490" spans="2:12" x14ac:dyDescent="0.2">
      <c r="B490" s="19"/>
      <c r="C490" s="11"/>
      <c r="D490" s="11"/>
      <c r="E490" s="11"/>
      <c r="F490" s="24">
        <f t="shared" si="38"/>
        <v>14731</v>
      </c>
      <c r="G490" s="32">
        <v>1</v>
      </c>
      <c r="H490" s="26">
        <f t="shared" si="39"/>
        <v>0</v>
      </c>
      <c r="I490" s="26">
        <f t="shared" si="35"/>
        <v>0</v>
      </c>
      <c r="J490" s="26">
        <f t="shared" si="36"/>
        <v>0</v>
      </c>
      <c r="K490" s="27">
        <f t="shared" si="37"/>
        <v>0</v>
      </c>
      <c r="L490" s="21"/>
    </row>
    <row r="491" spans="2:12" x14ac:dyDescent="0.2">
      <c r="B491" s="19"/>
      <c r="C491" s="11"/>
      <c r="D491" s="11"/>
      <c r="E491" s="11"/>
      <c r="F491" s="24">
        <f t="shared" si="38"/>
        <v>14762</v>
      </c>
      <c r="G491" s="25">
        <v>1</v>
      </c>
      <c r="H491" s="26">
        <f t="shared" si="39"/>
        <v>0</v>
      </c>
      <c r="I491" s="26">
        <f t="shared" si="35"/>
        <v>0</v>
      </c>
      <c r="J491" s="26">
        <f t="shared" si="36"/>
        <v>0</v>
      </c>
      <c r="K491" s="27">
        <f t="shared" si="37"/>
        <v>0</v>
      </c>
      <c r="L491" s="21"/>
    </row>
    <row r="492" spans="2:12" x14ac:dyDescent="0.2">
      <c r="B492" s="19"/>
      <c r="C492" s="11"/>
      <c r="D492" s="11"/>
      <c r="E492" s="11"/>
      <c r="F492" s="24">
        <f t="shared" si="38"/>
        <v>14792</v>
      </c>
      <c r="G492" s="32">
        <v>1</v>
      </c>
      <c r="H492" s="26">
        <f t="shared" si="39"/>
        <v>0</v>
      </c>
      <c r="I492" s="26">
        <f t="shared" si="35"/>
        <v>0</v>
      </c>
      <c r="J492" s="26">
        <f t="shared" si="36"/>
        <v>0</v>
      </c>
      <c r="K492" s="27">
        <f t="shared" si="37"/>
        <v>0</v>
      </c>
      <c r="L492" s="21"/>
    </row>
    <row r="493" spans="2:12" x14ac:dyDescent="0.2">
      <c r="B493" s="19"/>
      <c r="C493" s="11"/>
      <c r="D493" s="11"/>
      <c r="E493" s="11"/>
      <c r="F493" s="24">
        <f t="shared" si="38"/>
        <v>14823</v>
      </c>
      <c r="G493" s="25">
        <v>1</v>
      </c>
      <c r="H493" s="26">
        <f t="shared" si="39"/>
        <v>0</v>
      </c>
      <c r="I493" s="26">
        <f t="shared" si="35"/>
        <v>0</v>
      </c>
      <c r="J493" s="26">
        <f t="shared" si="36"/>
        <v>0</v>
      </c>
      <c r="K493" s="27">
        <f t="shared" si="37"/>
        <v>0</v>
      </c>
      <c r="L493" s="21"/>
    </row>
    <row r="494" spans="2:12" x14ac:dyDescent="0.2">
      <c r="B494" s="19"/>
      <c r="C494" s="11"/>
      <c r="D494" s="11"/>
      <c r="E494" s="11"/>
      <c r="F494" s="37">
        <f t="shared" si="38"/>
        <v>14854</v>
      </c>
      <c r="G494" s="32">
        <v>1</v>
      </c>
      <c r="H494" s="26">
        <f t="shared" si="39"/>
        <v>0</v>
      </c>
      <c r="I494" s="38">
        <f t="shared" si="35"/>
        <v>0</v>
      </c>
      <c r="J494" s="26">
        <f t="shared" si="36"/>
        <v>0</v>
      </c>
      <c r="K494" s="27">
        <f t="shared" si="37"/>
        <v>0</v>
      </c>
      <c r="L494" s="21"/>
    </row>
    <row r="495" spans="2:12" x14ac:dyDescent="0.2">
      <c r="B495" s="19"/>
      <c r="C495" s="11"/>
      <c r="D495" s="11"/>
      <c r="E495" s="11"/>
      <c r="F495" s="39">
        <f t="shared" si="38"/>
        <v>14884</v>
      </c>
      <c r="G495" s="40">
        <v>1</v>
      </c>
      <c r="H495" s="41">
        <f t="shared" si="39"/>
        <v>0</v>
      </c>
      <c r="I495" s="41">
        <f t="shared" si="35"/>
        <v>0</v>
      </c>
      <c r="J495" s="41">
        <f t="shared" si="36"/>
        <v>0</v>
      </c>
      <c r="K495" s="42">
        <f t="shared" si="37"/>
        <v>0</v>
      </c>
      <c r="L495" s="21"/>
    </row>
    <row r="496" spans="2:12" ht="18.75" customHeight="1" x14ac:dyDescent="0.2">
      <c r="B496" s="36"/>
      <c r="C496" s="43"/>
      <c r="D496" s="43"/>
      <c r="E496" s="43"/>
      <c r="F496" s="43"/>
      <c r="G496" s="43"/>
      <c r="H496" s="43"/>
      <c r="I496" s="43"/>
      <c r="J496" s="43"/>
      <c r="K496" s="43"/>
      <c r="L496" s="44"/>
    </row>
    <row r="497" spans="3:11" x14ac:dyDescent="0.2">
      <c r="C497" s="4"/>
      <c r="D497" s="4"/>
      <c r="F497" s="4"/>
      <c r="G497" s="4"/>
      <c r="H497" s="4"/>
      <c r="I497" s="4"/>
      <c r="J497" s="4"/>
      <c r="K497" s="4"/>
    </row>
    <row r="498" spans="3:11" x14ac:dyDescent="0.2">
      <c r="C498" s="4"/>
      <c r="D498" s="4"/>
      <c r="F498" s="4"/>
      <c r="G498" s="4"/>
      <c r="H498" s="4"/>
      <c r="I498" s="4"/>
      <c r="J498" s="4"/>
      <c r="K498" s="4"/>
    </row>
    <row r="499" spans="3:11" x14ac:dyDescent="0.2">
      <c r="C499" s="4"/>
      <c r="D499" s="4"/>
      <c r="F499" s="4"/>
      <c r="G499" s="4"/>
      <c r="H499" s="4"/>
      <c r="I499" s="4"/>
      <c r="J499" s="4"/>
      <c r="K499" s="4"/>
    </row>
    <row r="500" spans="3:11" x14ac:dyDescent="0.2">
      <c r="C500" s="4"/>
      <c r="D500" s="4"/>
      <c r="F500" s="4"/>
      <c r="G500" s="4"/>
      <c r="H500" s="4"/>
      <c r="I500" s="4"/>
      <c r="J500" s="4"/>
      <c r="K500" s="4"/>
    </row>
    <row r="501" spans="3:11" x14ac:dyDescent="0.2">
      <c r="C501" s="4"/>
      <c r="D501" s="4"/>
      <c r="F501" s="4"/>
      <c r="G501" s="4"/>
      <c r="H501" s="4"/>
      <c r="I501" s="4"/>
      <c r="J501" s="4"/>
      <c r="K501" s="4"/>
    </row>
    <row r="502" spans="3:11" x14ac:dyDescent="0.2">
      <c r="C502" s="4"/>
      <c r="D502" s="4"/>
      <c r="F502" s="4"/>
      <c r="G502" s="4"/>
      <c r="H502" s="4"/>
      <c r="I502" s="4"/>
      <c r="J502" s="4"/>
      <c r="K502" s="4"/>
    </row>
    <row r="503" spans="3:11" x14ac:dyDescent="0.2">
      <c r="C503" s="4"/>
      <c r="D503" s="4"/>
      <c r="F503" s="4"/>
      <c r="G503" s="4"/>
      <c r="H503" s="4"/>
      <c r="I503" s="4"/>
      <c r="J503" s="4"/>
      <c r="K503" s="4"/>
    </row>
    <row r="504" spans="3:11" x14ac:dyDescent="0.2">
      <c r="C504" s="4"/>
      <c r="D504" s="4"/>
      <c r="F504" s="4"/>
      <c r="G504" s="4"/>
      <c r="H504" s="4"/>
      <c r="I504" s="4"/>
      <c r="J504" s="4"/>
      <c r="K504" s="4"/>
    </row>
    <row r="505" spans="3:11" x14ac:dyDescent="0.2">
      <c r="C505" s="4"/>
      <c r="D505" s="4"/>
      <c r="F505" s="4"/>
      <c r="G505" s="4"/>
      <c r="H505" s="4"/>
      <c r="I505" s="4"/>
      <c r="J505" s="4"/>
      <c r="K505" s="4"/>
    </row>
    <row r="506" spans="3:11" x14ac:dyDescent="0.2">
      <c r="C506" s="4"/>
      <c r="D506" s="4"/>
      <c r="F506" s="4"/>
      <c r="G506" s="4"/>
      <c r="H506" s="4"/>
      <c r="I506" s="4"/>
      <c r="J506" s="4"/>
      <c r="K506" s="4"/>
    </row>
    <row r="507" spans="3:11" x14ac:dyDescent="0.2">
      <c r="C507" s="4"/>
      <c r="D507" s="4"/>
      <c r="F507" s="4"/>
      <c r="G507" s="4"/>
      <c r="H507" s="4"/>
      <c r="I507" s="4"/>
      <c r="J507" s="4"/>
      <c r="K507" s="4"/>
    </row>
    <row r="508" spans="3:11" x14ac:dyDescent="0.2">
      <c r="C508" s="4"/>
      <c r="D508" s="4"/>
      <c r="F508" s="4"/>
      <c r="G508" s="4"/>
      <c r="H508" s="4"/>
      <c r="I508" s="4"/>
      <c r="J508" s="4"/>
      <c r="K508" s="4"/>
    </row>
    <row r="509" spans="3:11" x14ac:dyDescent="0.2">
      <c r="C509" s="4"/>
      <c r="D509" s="4"/>
      <c r="F509" s="4"/>
      <c r="G509" s="4"/>
      <c r="H509" s="4"/>
      <c r="I509" s="4"/>
      <c r="J509" s="4"/>
      <c r="K509" s="4"/>
    </row>
    <row r="510" spans="3:11" x14ac:dyDescent="0.2">
      <c r="C510" s="4"/>
      <c r="D510" s="4"/>
      <c r="F510" s="4"/>
      <c r="G510" s="4"/>
      <c r="H510" s="4"/>
      <c r="I510" s="4"/>
      <c r="J510" s="4"/>
      <c r="K510" s="4"/>
    </row>
    <row r="511" spans="3:11" x14ac:dyDescent="0.2">
      <c r="C511" s="4"/>
      <c r="D511" s="4"/>
      <c r="F511" s="4"/>
      <c r="G511" s="4"/>
      <c r="H511" s="4"/>
      <c r="I511" s="4"/>
      <c r="J511" s="4"/>
      <c r="K511" s="4"/>
    </row>
    <row r="512" spans="3:11" x14ac:dyDescent="0.2">
      <c r="C512" s="4"/>
      <c r="D512" s="4"/>
      <c r="F512" s="4"/>
      <c r="G512" s="4"/>
      <c r="H512" s="4"/>
      <c r="I512" s="4"/>
      <c r="J512" s="4"/>
      <c r="K512" s="4"/>
    </row>
    <row r="513" spans="3:11" x14ac:dyDescent="0.2">
      <c r="C513" s="4"/>
      <c r="D513" s="4"/>
      <c r="F513" s="4"/>
      <c r="G513" s="4"/>
      <c r="H513" s="4"/>
      <c r="I513" s="4"/>
      <c r="J513" s="4"/>
      <c r="K513" s="4"/>
    </row>
    <row r="514" spans="3:11" x14ac:dyDescent="0.2">
      <c r="C514" s="4"/>
      <c r="D514" s="4"/>
      <c r="F514" s="4"/>
      <c r="G514" s="4"/>
      <c r="H514" s="4"/>
      <c r="I514" s="4"/>
      <c r="J514" s="4"/>
      <c r="K514" s="4"/>
    </row>
    <row r="515" spans="3:11" x14ac:dyDescent="0.2">
      <c r="C515" s="4"/>
      <c r="D515" s="4"/>
      <c r="F515" s="4"/>
      <c r="G515" s="4"/>
      <c r="H515" s="4"/>
      <c r="I515" s="4"/>
      <c r="J515" s="4"/>
      <c r="K515" s="4"/>
    </row>
    <row r="516" spans="3:11" x14ac:dyDescent="0.2">
      <c r="C516" s="4"/>
      <c r="D516" s="4"/>
      <c r="F516" s="4"/>
      <c r="G516" s="4"/>
      <c r="H516" s="4"/>
      <c r="I516" s="4"/>
      <c r="J516" s="4"/>
      <c r="K516" s="4"/>
    </row>
    <row r="517" spans="3:11" x14ac:dyDescent="0.2">
      <c r="C517" s="4"/>
      <c r="D517" s="4"/>
      <c r="F517" s="4"/>
      <c r="G517" s="4"/>
      <c r="H517" s="4"/>
      <c r="I517" s="4"/>
      <c r="J517" s="4"/>
      <c r="K517" s="4"/>
    </row>
    <row r="518" spans="3:11" x14ac:dyDescent="0.2">
      <c r="C518" s="4"/>
      <c r="D518" s="4"/>
      <c r="F518" s="4"/>
      <c r="G518" s="4"/>
      <c r="H518" s="4"/>
      <c r="I518" s="4"/>
      <c r="J518" s="4"/>
      <c r="K518" s="4"/>
    </row>
    <row r="519" spans="3:11" x14ac:dyDescent="0.2">
      <c r="C519" s="4"/>
      <c r="D519" s="4"/>
      <c r="F519" s="4"/>
      <c r="G519" s="4"/>
      <c r="H519" s="4"/>
      <c r="I519" s="4"/>
      <c r="J519" s="4"/>
      <c r="K519" s="4"/>
    </row>
    <row r="520" spans="3:11" x14ac:dyDescent="0.2">
      <c r="C520" s="4"/>
      <c r="D520" s="4"/>
      <c r="F520" s="4"/>
      <c r="G520" s="4"/>
      <c r="H520" s="4"/>
      <c r="I520" s="4"/>
      <c r="J520" s="4"/>
      <c r="K520" s="4"/>
    </row>
    <row r="521" spans="3:11" x14ac:dyDescent="0.2">
      <c r="C521" s="4"/>
      <c r="D521" s="4"/>
      <c r="F521" s="4"/>
      <c r="G521" s="4"/>
      <c r="H521" s="4"/>
      <c r="I521" s="4"/>
      <c r="J521" s="4"/>
      <c r="K521" s="4"/>
    </row>
    <row r="522" spans="3:11" x14ac:dyDescent="0.2">
      <c r="C522" s="4"/>
      <c r="D522" s="4"/>
      <c r="F522" s="4"/>
      <c r="G522" s="4"/>
      <c r="H522" s="4"/>
      <c r="I522" s="4"/>
      <c r="J522" s="4"/>
      <c r="K522" s="4"/>
    </row>
    <row r="523" spans="3:11" x14ac:dyDescent="0.2">
      <c r="C523" s="4"/>
      <c r="D523" s="4"/>
      <c r="F523" s="4"/>
      <c r="G523" s="4"/>
      <c r="H523" s="4"/>
      <c r="I523" s="4"/>
      <c r="J523" s="4"/>
      <c r="K523" s="4"/>
    </row>
    <row r="524" spans="3:11" x14ac:dyDescent="0.2">
      <c r="C524" s="4"/>
      <c r="D524" s="4"/>
      <c r="F524" s="4"/>
      <c r="G524" s="4"/>
      <c r="H524" s="4"/>
      <c r="I524" s="4"/>
      <c r="J524" s="4"/>
      <c r="K524" s="4"/>
    </row>
    <row r="525" spans="3:11" x14ac:dyDescent="0.2">
      <c r="C525" s="4"/>
      <c r="D525" s="4"/>
      <c r="F525" s="4"/>
      <c r="G525" s="4"/>
      <c r="H525" s="4"/>
      <c r="I525" s="4"/>
      <c r="J525" s="4"/>
      <c r="K525" s="4"/>
    </row>
    <row r="526" spans="3:11" x14ac:dyDescent="0.2">
      <c r="C526" s="4"/>
      <c r="D526" s="4"/>
      <c r="F526" s="4"/>
      <c r="G526" s="4"/>
      <c r="H526" s="4"/>
      <c r="I526" s="4"/>
      <c r="J526" s="4"/>
      <c r="K526" s="4"/>
    </row>
    <row r="527" spans="3:11" x14ac:dyDescent="0.2">
      <c r="C527" s="4"/>
      <c r="D527" s="4"/>
      <c r="F527" s="4"/>
      <c r="G527" s="4"/>
      <c r="H527" s="4"/>
      <c r="I527" s="4"/>
      <c r="J527" s="4"/>
      <c r="K527" s="4"/>
    </row>
    <row r="528" spans="3:11" x14ac:dyDescent="0.2">
      <c r="C528" s="4"/>
      <c r="D528" s="4"/>
      <c r="F528" s="4"/>
      <c r="G528" s="4"/>
      <c r="H528" s="4"/>
      <c r="I528" s="4"/>
      <c r="J528" s="4"/>
      <c r="K528" s="4"/>
    </row>
    <row r="529" spans="3:11" x14ac:dyDescent="0.2">
      <c r="C529" s="4"/>
      <c r="D529" s="4"/>
      <c r="F529" s="4"/>
      <c r="G529" s="4"/>
      <c r="H529" s="4"/>
      <c r="I529" s="4"/>
      <c r="J529" s="4"/>
      <c r="K529" s="4"/>
    </row>
    <row r="530" spans="3:11" x14ac:dyDescent="0.2">
      <c r="C530" s="4"/>
      <c r="D530" s="4"/>
      <c r="F530" s="4"/>
      <c r="G530" s="4"/>
      <c r="H530" s="4"/>
      <c r="I530" s="4"/>
      <c r="J530" s="4"/>
      <c r="K530" s="4"/>
    </row>
    <row r="531" spans="3:11" x14ac:dyDescent="0.2">
      <c r="C531" s="4"/>
      <c r="D531" s="4"/>
      <c r="F531" s="4"/>
      <c r="G531" s="4"/>
      <c r="H531" s="4"/>
      <c r="I531" s="4"/>
      <c r="J531" s="4"/>
      <c r="K531" s="4"/>
    </row>
    <row r="532" spans="3:11" x14ac:dyDescent="0.2">
      <c r="C532" s="4"/>
      <c r="D532" s="4"/>
      <c r="F532" s="4"/>
      <c r="G532" s="4"/>
      <c r="H532" s="4"/>
      <c r="I532" s="4"/>
      <c r="J532" s="4"/>
      <c r="K532" s="4"/>
    </row>
    <row r="533" spans="3:11" x14ac:dyDescent="0.2">
      <c r="C533" s="4"/>
      <c r="D533" s="4"/>
      <c r="F533" s="4"/>
      <c r="G533" s="4"/>
      <c r="H533" s="4"/>
      <c r="I533" s="4"/>
      <c r="J533" s="4"/>
      <c r="K533" s="4"/>
    </row>
    <row r="534" spans="3:11" x14ac:dyDescent="0.2">
      <c r="C534" s="4"/>
      <c r="D534" s="4"/>
      <c r="F534" s="4"/>
      <c r="G534" s="4"/>
      <c r="H534" s="4"/>
      <c r="I534" s="4"/>
      <c r="J534" s="4"/>
      <c r="K534" s="4"/>
    </row>
    <row r="535" spans="3:11" x14ac:dyDescent="0.2">
      <c r="C535" s="4"/>
      <c r="D535" s="4"/>
      <c r="F535" s="4"/>
      <c r="G535" s="4"/>
      <c r="H535" s="4"/>
      <c r="I535" s="4"/>
      <c r="J535" s="4"/>
      <c r="K535" s="4"/>
    </row>
    <row r="536" spans="3:11" x14ac:dyDescent="0.2">
      <c r="C536" s="4"/>
      <c r="D536" s="4"/>
      <c r="F536" s="4"/>
      <c r="G536" s="4"/>
      <c r="H536" s="4"/>
      <c r="I536" s="4"/>
      <c r="J536" s="4"/>
      <c r="K536" s="4"/>
    </row>
    <row r="537" spans="3:11" x14ac:dyDescent="0.2">
      <c r="C537" s="4"/>
      <c r="D537" s="4"/>
      <c r="F537" s="4"/>
      <c r="G537" s="4"/>
      <c r="H537" s="4"/>
      <c r="I537" s="4"/>
      <c r="J537" s="4"/>
      <c r="K537" s="4"/>
    </row>
    <row r="538" spans="3:11" x14ac:dyDescent="0.2">
      <c r="C538" s="4"/>
      <c r="D538" s="4"/>
      <c r="F538" s="4"/>
      <c r="G538" s="4"/>
      <c r="H538" s="4"/>
      <c r="I538" s="4"/>
      <c r="J538" s="4"/>
      <c r="K538" s="4"/>
    </row>
    <row r="539" spans="3:11" x14ac:dyDescent="0.2">
      <c r="C539" s="4"/>
      <c r="D539" s="4"/>
      <c r="F539" s="4"/>
      <c r="G539" s="4"/>
      <c r="H539" s="4"/>
      <c r="I539" s="4"/>
      <c r="J539" s="4"/>
      <c r="K539" s="4"/>
    </row>
    <row r="540" spans="3:11" x14ac:dyDescent="0.2">
      <c r="C540" s="4"/>
      <c r="D540" s="4"/>
      <c r="F540" s="4"/>
      <c r="G540" s="4"/>
      <c r="H540" s="4"/>
      <c r="I540" s="4"/>
      <c r="J540" s="4"/>
      <c r="K540" s="4"/>
    </row>
    <row r="541" spans="3:11" x14ac:dyDescent="0.2">
      <c r="C541" s="4"/>
      <c r="D541" s="4"/>
      <c r="F541" s="4"/>
      <c r="G541" s="4"/>
      <c r="H541" s="4"/>
      <c r="I541" s="4"/>
      <c r="J541" s="4"/>
      <c r="K541" s="4"/>
    </row>
    <row r="542" spans="3:11" x14ac:dyDescent="0.2">
      <c r="C542" s="4"/>
      <c r="D542" s="4"/>
      <c r="F542" s="4"/>
      <c r="G542" s="4"/>
      <c r="H542" s="4"/>
      <c r="I542" s="4"/>
      <c r="J542" s="4"/>
      <c r="K542" s="4"/>
    </row>
    <row r="543" spans="3:11" x14ac:dyDescent="0.2">
      <c r="C543" s="4"/>
      <c r="D543" s="4"/>
      <c r="F543" s="4"/>
      <c r="G543" s="4"/>
      <c r="H543" s="4"/>
      <c r="I543" s="4"/>
      <c r="J543" s="4"/>
      <c r="K543" s="4"/>
    </row>
    <row r="544" spans="3:11" x14ac:dyDescent="0.2">
      <c r="C544" s="4"/>
      <c r="D544" s="4"/>
      <c r="F544" s="4"/>
      <c r="G544" s="4"/>
      <c r="H544" s="4"/>
      <c r="I544" s="4"/>
      <c r="J544" s="4"/>
      <c r="K544" s="4"/>
    </row>
    <row r="545" spans="3:11" x14ac:dyDescent="0.2">
      <c r="C545" s="4"/>
      <c r="D545" s="4"/>
      <c r="F545" s="4"/>
      <c r="G545" s="4"/>
      <c r="H545" s="4"/>
      <c r="I545" s="4"/>
      <c r="J545" s="4"/>
      <c r="K545" s="4"/>
    </row>
    <row r="546" spans="3:11" x14ac:dyDescent="0.2">
      <c r="C546" s="4"/>
      <c r="D546" s="4"/>
      <c r="F546" s="4"/>
      <c r="G546" s="4"/>
      <c r="H546" s="4"/>
      <c r="I546" s="4"/>
      <c r="J546" s="4"/>
      <c r="K546" s="4"/>
    </row>
    <row r="547" spans="3:11" x14ac:dyDescent="0.2">
      <c r="C547" s="4"/>
      <c r="D547" s="4"/>
      <c r="F547" s="4"/>
      <c r="G547" s="4"/>
      <c r="H547" s="4"/>
      <c r="I547" s="4"/>
      <c r="J547" s="4"/>
      <c r="K547" s="4"/>
    </row>
    <row r="548" spans="3:11" x14ac:dyDescent="0.2">
      <c r="C548" s="4"/>
      <c r="D548" s="4"/>
      <c r="F548" s="4"/>
      <c r="G548" s="4"/>
      <c r="H548" s="4"/>
      <c r="I548" s="4"/>
      <c r="J548" s="4"/>
      <c r="K548" s="4"/>
    </row>
    <row r="549" spans="3:11" x14ac:dyDescent="0.2">
      <c r="C549" s="4"/>
      <c r="D549" s="4"/>
      <c r="F549" s="4"/>
      <c r="G549" s="4"/>
      <c r="H549" s="4"/>
      <c r="I549" s="4"/>
      <c r="J549" s="4"/>
      <c r="K549" s="4"/>
    </row>
    <row r="550" spans="3:11" x14ac:dyDescent="0.2">
      <c r="C550" s="4"/>
      <c r="D550" s="4"/>
      <c r="F550" s="4"/>
      <c r="G550" s="4"/>
      <c r="H550" s="4"/>
      <c r="I550" s="4"/>
      <c r="J550" s="4"/>
      <c r="K550" s="4"/>
    </row>
    <row r="551" spans="3:11" x14ac:dyDescent="0.2">
      <c r="C551" s="4"/>
      <c r="D551" s="4"/>
      <c r="F551" s="4"/>
      <c r="G551" s="4"/>
      <c r="H551" s="4"/>
      <c r="I551" s="4"/>
      <c r="J551" s="4"/>
      <c r="K551" s="4"/>
    </row>
    <row r="552" spans="3:11" x14ac:dyDescent="0.2">
      <c r="C552" s="4"/>
      <c r="D552" s="4"/>
      <c r="F552" s="4"/>
      <c r="G552" s="4"/>
      <c r="H552" s="4"/>
      <c r="I552" s="4"/>
      <c r="J552" s="4"/>
      <c r="K552" s="4"/>
    </row>
    <row r="553" spans="3:11" x14ac:dyDescent="0.2">
      <c r="C553" s="4"/>
      <c r="D553" s="4"/>
      <c r="F553" s="4"/>
      <c r="G553" s="4"/>
      <c r="H553" s="4"/>
      <c r="I553" s="4"/>
      <c r="J553" s="4"/>
      <c r="K553" s="4"/>
    </row>
    <row r="554" spans="3:11" x14ac:dyDescent="0.2">
      <c r="C554" s="4"/>
      <c r="D554" s="4"/>
      <c r="F554" s="4"/>
      <c r="G554" s="4"/>
      <c r="H554" s="4"/>
      <c r="I554" s="4"/>
      <c r="J554" s="4"/>
      <c r="K554" s="4"/>
    </row>
    <row r="555" spans="3:11" x14ac:dyDescent="0.2">
      <c r="C555" s="4"/>
      <c r="D555" s="4"/>
      <c r="F555" s="4"/>
      <c r="G555" s="4"/>
      <c r="H555" s="4"/>
      <c r="I555" s="4"/>
      <c r="J555" s="4"/>
      <c r="K555" s="4"/>
    </row>
    <row r="556" spans="3:11" x14ac:dyDescent="0.2">
      <c r="C556" s="4"/>
      <c r="D556" s="4"/>
      <c r="F556" s="4"/>
      <c r="G556" s="4"/>
      <c r="H556" s="4"/>
      <c r="I556" s="4"/>
      <c r="J556" s="4"/>
      <c r="K556" s="4"/>
    </row>
    <row r="557" spans="3:11" x14ac:dyDescent="0.2">
      <c r="C557" s="4"/>
      <c r="D557" s="4"/>
      <c r="F557" s="4"/>
      <c r="G557" s="4"/>
      <c r="H557" s="4"/>
      <c r="I557" s="4"/>
      <c r="J557" s="4"/>
      <c r="K557" s="4"/>
    </row>
    <row r="558" spans="3:11" x14ac:dyDescent="0.2">
      <c r="C558" s="4"/>
      <c r="D558" s="4"/>
      <c r="F558" s="4"/>
      <c r="G558" s="4"/>
      <c r="H558" s="4"/>
      <c r="I558" s="4"/>
      <c r="J558" s="4"/>
      <c r="K558" s="4"/>
    </row>
    <row r="559" spans="3:11" x14ac:dyDescent="0.2">
      <c r="C559" s="4"/>
      <c r="D559" s="4"/>
      <c r="F559" s="4"/>
      <c r="G559" s="4"/>
      <c r="H559" s="4"/>
      <c r="I559" s="4"/>
      <c r="J559" s="4"/>
      <c r="K559" s="4"/>
    </row>
    <row r="560" spans="3:11" x14ac:dyDescent="0.2">
      <c r="C560" s="4"/>
      <c r="D560" s="4"/>
      <c r="F560" s="4"/>
      <c r="G560" s="4"/>
      <c r="H560" s="4"/>
      <c r="I560" s="4"/>
      <c r="J560" s="4"/>
      <c r="K560" s="4"/>
    </row>
    <row r="561" spans="3:11" x14ac:dyDescent="0.2">
      <c r="C561" s="4"/>
      <c r="D561" s="4"/>
      <c r="F561" s="4"/>
      <c r="G561" s="4"/>
      <c r="H561" s="4"/>
      <c r="I561" s="4"/>
      <c r="J561" s="4"/>
      <c r="K561" s="4"/>
    </row>
    <row r="562" spans="3:11" x14ac:dyDescent="0.2">
      <c r="C562" s="4"/>
      <c r="D562" s="4"/>
      <c r="F562" s="4"/>
      <c r="G562" s="4"/>
      <c r="H562" s="4"/>
      <c r="I562" s="4"/>
      <c r="J562" s="4"/>
      <c r="K562" s="4"/>
    </row>
    <row r="563" spans="3:11" x14ac:dyDescent="0.2">
      <c r="C563" s="4"/>
      <c r="D563" s="4"/>
      <c r="F563" s="4"/>
      <c r="G563" s="4"/>
      <c r="H563" s="4"/>
      <c r="I563" s="4"/>
      <c r="J563" s="4"/>
      <c r="K563" s="4"/>
    </row>
    <row r="564" spans="3:11" x14ac:dyDescent="0.2">
      <c r="C564" s="4"/>
      <c r="D564" s="4"/>
      <c r="F564" s="4"/>
      <c r="G564" s="4"/>
      <c r="H564" s="4"/>
      <c r="I564" s="4"/>
      <c r="J564" s="4"/>
      <c r="K564" s="4"/>
    </row>
    <row r="565" spans="3:11" x14ac:dyDescent="0.2">
      <c r="C565" s="4"/>
      <c r="D565" s="4"/>
      <c r="F565" s="4"/>
      <c r="G565" s="4"/>
      <c r="H565" s="4"/>
      <c r="I565" s="4"/>
      <c r="J565" s="4"/>
      <c r="K565" s="4"/>
    </row>
    <row r="566" spans="3:11" x14ac:dyDescent="0.2">
      <c r="C566" s="4"/>
      <c r="D566" s="4"/>
      <c r="F566" s="4"/>
      <c r="G566" s="4"/>
      <c r="H566" s="4"/>
      <c r="I566" s="4"/>
      <c r="J566" s="4"/>
      <c r="K566" s="4"/>
    </row>
    <row r="567" spans="3:11" x14ac:dyDescent="0.2">
      <c r="C567" s="4"/>
      <c r="D567" s="4"/>
      <c r="F567" s="4"/>
      <c r="G567" s="4"/>
      <c r="H567" s="4"/>
      <c r="I567" s="4"/>
      <c r="J567" s="4"/>
      <c r="K567" s="4"/>
    </row>
    <row r="568" spans="3:11" x14ac:dyDescent="0.2">
      <c r="C568" s="4"/>
      <c r="D568" s="4"/>
      <c r="F568" s="4"/>
      <c r="G568" s="4"/>
      <c r="H568" s="4"/>
      <c r="I568" s="4"/>
      <c r="J568" s="4"/>
      <c r="K568" s="4"/>
    </row>
    <row r="569" spans="3:11" x14ac:dyDescent="0.2">
      <c r="C569" s="4"/>
      <c r="D569" s="4"/>
      <c r="F569" s="4"/>
      <c r="G569" s="4"/>
      <c r="H569" s="4"/>
      <c r="I569" s="4"/>
      <c r="J569" s="4"/>
      <c r="K569" s="4"/>
    </row>
    <row r="570" spans="3:11" x14ac:dyDescent="0.2">
      <c r="C570" s="4"/>
      <c r="D570" s="4"/>
      <c r="F570" s="4"/>
      <c r="G570" s="4"/>
      <c r="H570" s="4"/>
      <c r="I570" s="4"/>
      <c r="J570" s="4"/>
      <c r="K570" s="4"/>
    </row>
    <row r="571" spans="3:11" x14ac:dyDescent="0.2">
      <c r="C571" s="4"/>
      <c r="D571" s="4"/>
      <c r="F571" s="4"/>
      <c r="G571" s="4"/>
      <c r="H571" s="4"/>
      <c r="I571" s="4"/>
      <c r="J571" s="4"/>
      <c r="K571" s="4"/>
    </row>
    <row r="572" spans="3:11" x14ac:dyDescent="0.2">
      <c r="C572" s="4"/>
      <c r="D572" s="4"/>
      <c r="F572" s="4"/>
      <c r="G572" s="4"/>
      <c r="H572" s="4"/>
      <c r="I572" s="4"/>
      <c r="J572" s="4"/>
      <c r="K572" s="4"/>
    </row>
    <row r="573" spans="3:11" x14ac:dyDescent="0.2">
      <c r="C573" s="4"/>
      <c r="D573" s="4"/>
      <c r="F573" s="4"/>
      <c r="G573" s="4"/>
      <c r="H573" s="4"/>
      <c r="I573" s="4"/>
      <c r="J573" s="4"/>
      <c r="K573" s="4"/>
    </row>
    <row r="574" spans="3:11" x14ac:dyDescent="0.2">
      <c r="C574" s="4"/>
      <c r="D574" s="4"/>
      <c r="F574" s="4"/>
      <c r="G574" s="4"/>
      <c r="H574" s="4"/>
      <c r="I574" s="4"/>
      <c r="J574" s="4"/>
      <c r="K574" s="4"/>
    </row>
    <row r="575" spans="3:11" x14ac:dyDescent="0.2">
      <c r="C575" s="4"/>
      <c r="D575" s="4"/>
      <c r="F575" s="4"/>
      <c r="G575" s="4"/>
      <c r="H575" s="4"/>
      <c r="I575" s="4"/>
      <c r="J575" s="4"/>
      <c r="K575" s="4"/>
    </row>
    <row r="576" spans="3:11" x14ac:dyDescent="0.2">
      <c r="C576" s="4"/>
      <c r="D576" s="4"/>
      <c r="F576" s="4"/>
      <c r="G576" s="4"/>
      <c r="H576" s="4"/>
      <c r="I576" s="4"/>
      <c r="J576" s="4"/>
      <c r="K576" s="4"/>
    </row>
    <row r="577" spans="3:11" x14ac:dyDescent="0.2">
      <c r="C577" s="4"/>
      <c r="D577" s="4"/>
      <c r="F577" s="4"/>
      <c r="G577" s="4"/>
      <c r="H577" s="4"/>
      <c r="I577" s="4"/>
      <c r="J577" s="4"/>
      <c r="K577" s="4"/>
    </row>
    <row r="578" spans="3:11" x14ac:dyDescent="0.2">
      <c r="C578" s="4"/>
      <c r="D578" s="4"/>
      <c r="F578" s="4"/>
      <c r="G578" s="4"/>
      <c r="H578" s="4"/>
      <c r="I578" s="4"/>
      <c r="J578" s="4"/>
      <c r="K578" s="4"/>
    </row>
    <row r="579" spans="3:11" x14ac:dyDescent="0.2">
      <c r="C579" s="4"/>
      <c r="D579" s="4"/>
      <c r="F579" s="4"/>
      <c r="G579" s="4"/>
      <c r="H579" s="4"/>
      <c r="I579" s="4"/>
      <c r="J579" s="4"/>
      <c r="K579" s="4"/>
    </row>
    <row r="580" spans="3:11" x14ac:dyDescent="0.2">
      <c r="C580" s="4"/>
      <c r="D580" s="4"/>
      <c r="F580" s="4"/>
      <c r="G580" s="4"/>
      <c r="H580" s="4"/>
      <c r="I580" s="4"/>
      <c r="J580" s="4"/>
      <c r="K580" s="4"/>
    </row>
    <row r="581" spans="3:11" x14ac:dyDescent="0.2">
      <c r="C581" s="4"/>
      <c r="D581" s="4"/>
      <c r="F581" s="4"/>
      <c r="G581" s="4"/>
      <c r="H581" s="4"/>
      <c r="I581" s="4"/>
      <c r="J581" s="4"/>
      <c r="K581" s="4"/>
    </row>
    <row r="582" spans="3:11" x14ac:dyDescent="0.2">
      <c r="C582" s="4"/>
      <c r="D582" s="4"/>
      <c r="F582" s="4"/>
      <c r="G582" s="4"/>
      <c r="H582" s="4"/>
      <c r="I582" s="4"/>
      <c r="J582" s="4"/>
      <c r="K582" s="4"/>
    </row>
    <row r="583" spans="3:11" x14ac:dyDescent="0.2">
      <c r="C583" s="4"/>
      <c r="D583" s="4"/>
      <c r="F583" s="4"/>
      <c r="G583" s="4"/>
      <c r="H583" s="4"/>
      <c r="I583" s="4"/>
      <c r="J583" s="4"/>
      <c r="K583" s="4"/>
    </row>
    <row r="584" spans="3:11" x14ac:dyDescent="0.2">
      <c r="C584" s="4"/>
      <c r="D584" s="4"/>
      <c r="F584" s="4"/>
      <c r="G584" s="4"/>
      <c r="H584" s="4"/>
      <c r="I584" s="4"/>
      <c r="J584" s="4"/>
      <c r="K584" s="4"/>
    </row>
    <row r="585" spans="3:11" x14ac:dyDescent="0.2">
      <c r="C585" s="4"/>
      <c r="D585" s="4"/>
      <c r="F585" s="4"/>
      <c r="G585" s="4"/>
      <c r="H585" s="4"/>
      <c r="I585" s="4"/>
      <c r="J585" s="4"/>
      <c r="K585" s="4"/>
    </row>
    <row r="586" spans="3:11" x14ac:dyDescent="0.2">
      <c r="C586" s="4"/>
      <c r="D586" s="4"/>
      <c r="F586" s="4"/>
      <c r="G586" s="4"/>
      <c r="H586" s="4"/>
      <c r="I586" s="4"/>
      <c r="J586" s="4"/>
      <c r="K586" s="4"/>
    </row>
    <row r="587" spans="3:11" x14ac:dyDescent="0.2">
      <c r="C587" s="4"/>
      <c r="D587" s="4"/>
      <c r="F587" s="4"/>
      <c r="G587" s="4"/>
      <c r="H587" s="4"/>
      <c r="I587" s="4"/>
      <c r="J587" s="4"/>
      <c r="K587" s="4"/>
    </row>
    <row r="588" spans="3:11" x14ac:dyDescent="0.2">
      <c r="C588" s="4"/>
      <c r="D588" s="4"/>
      <c r="F588" s="4"/>
      <c r="G588" s="4"/>
      <c r="H588" s="4"/>
      <c r="I588" s="4"/>
      <c r="J588" s="4"/>
      <c r="K588" s="4"/>
    </row>
    <row r="589" spans="3:11" x14ac:dyDescent="0.2">
      <c r="C589" s="4"/>
      <c r="D589" s="4"/>
      <c r="F589" s="4"/>
      <c r="G589" s="4"/>
      <c r="H589" s="4"/>
      <c r="I589" s="4"/>
      <c r="J589" s="4"/>
      <c r="K589" s="4"/>
    </row>
    <row r="590" spans="3:11" x14ac:dyDescent="0.2">
      <c r="C590" s="4"/>
      <c r="D590" s="4"/>
      <c r="F590" s="4"/>
      <c r="G590" s="4"/>
      <c r="H590" s="4"/>
      <c r="I590" s="4"/>
      <c r="J590" s="4"/>
      <c r="K590" s="4"/>
    </row>
    <row r="591" spans="3:11" x14ac:dyDescent="0.2">
      <c r="C591" s="4"/>
      <c r="D591" s="4"/>
      <c r="F591" s="4"/>
      <c r="G591" s="4"/>
      <c r="H591" s="4"/>
      <c r="I591" s="4"/>
      <c r="J591" s="4"/>
      <c r="K591" s="4"/>
    </row>
    <row r="592" spans="3:11" x14ac:dyDescent="0.2">
      <c r="C592" s="4"/>
      <c r="D592" s="4"/>
      <c r="F592" s="4"/>
      <c r="G592" s="4"/>
      <c r="H592" s="4"/>
      <c r="I592" s="4"/>
      <c r="J592" s="4"/>
      <c r="K592" s="4"/>
    </row>
    <row r="593" spans="3:11" x14ac:dyDescent="0.2">
      <c r="C593" s="4"/>
      <c r="D593" s="4"/>
      <c r="F593" s="4"/>
      <c r="G593" s="4"/>
      <c r="H593" s="4"/>
      <c r="I593" s="4"/>
      <c r="J593" s="4"/>
      <c r="K593" s="4"/>
    </row>
    <row r="594" spans="3:11" x14ac:dyDescent="0.2">
      <c r="C594" s="4"/>
      <c r="D594" s="4"/>
      <c r="F594" s="4"/>
      <c r="G594" s="4"/>
      <c r="H594" s="4"/>
      <c r="I594" s="4"/>
      <c r="J594" s="4"/>
      <c r="K594" s="4"/>
    </row>
    <row r="595" spans="3:11" x14ac:dyDescent="0.2">
      <c r="C595" s="4"/>
      <c r="D595" s="4"/>
      <c r="F595" s="4"/>
      <c r="G595" s="4"/>
      <c r="H595" s="4"/>
      <c r="I595" s="4"/>
      <c r="J595" s="4"/>
      <c r="K595" s="4"/>
    </row>
    <row r="596" spans="3:11" x14ac:dyDescent="0.2">
      <c r="C596" s="4"/>
      <c r="D596" s="4"/>
      <c r="F596" s="4"/>
      <c r="G596" s="4"/>
      <c r="H596" s="4"/>
      <c r="I596" s="4"/>
      <c r="J596" s="4"/>
      <c r="K596" s="4"/>
    </row>
    <row r="597" spans="3:11" x14ac:dyDescent="0.2">
      <c r="C597" s="4"/>
      <c r="D597" s="4"/>
      <c r="F597" s="4"/>
      <c r="G597" s="4"/>
      <c r="H597" s="4"/>
      <c r="I597" s="4"/>
      <c r="J597" s="4"/>
      <c r="K597" s="4"/>
    </row>
    <row r="598" spans="3:11" x14ac:dyDescent="0.2">
      <c r="C598" s="4"/>
      <c r="D598" s="4"/>
      <c r="F598" s="4"/>
      <c r="G598" s="4"/>
      <c r="H598" s="4"/>
      <c r="I598" s="4"/>
      <c r="J598" s="4"/>
      <c r="K598" s="4"/>
    </row>
    <row r="599" spans="3:11" x14ac:dyDescent="0.2">
      <c r="C599" s="4"/>
      <c r="D599" s="4"/>
      <c r="F599" s="4"/>
      <c r="G599" s="4"/>
      <c r="H599" s="4"/>
      <c r="I599" s="4"/>
      <c r="J599" s="4"/>
      <c r="K599" s="4"/>
    </row>
    <row r="600" spans="3:11" x14ac:dyDescent="0.2">
      <c r="C600" s="4"/>
      <c r="D600" s="4"/>
      <c r="F600" s="4"/>
      <c r="G600" s="4"/>
      <c r="H600" s="4"/>
      <c r="I600" s="4"/>
      <c r="J600" s="4"/>
      <c r="K600" s="4"/>
    </row>
    <row r="601" spans="3:11" x14ac:dyDescent="0.2">
      <c r="C601" s="4"/>
      <c r="D601" s="4"/>
      <c r="F601" s="4"/>
      <c r="G601" s="4"/>
      <c r="H601" s="4"/>
      <c r="I601" s="4"/>
      <c r="J601" s="4"/>
      <c r="K601" s="4"/>
    </row>
    <row r="602" spans="3:11" x14ac:dyDescent="0.2">
      <c r="C602" s="4"/>
      <c r="D602" s="4"/>
      <c r="F602" s="4"/>
      <c r="G602" s="4"/>
      <c r="H602" s="4"/>
      <c r="I602" s="4"/>
      <c r="J602" s="4"/>
      <c r="K602" s="4"/>
    </row>
    <row r="603" spans="3:11" x14ac:dyDescent="0.2">
      <c r="C603" s="4"/>
      <c r="D603" s="4"/>
      <c r="F603" s="4"/>
      <c r="G603" s="4"/>
      <c r="H603" s="4"/>
      <c r="I603" s="4"/>
      <c r="J603" s="4"/>
      <c r="K603" s="4"/>
    </row>
    <row r="604" spans="3:11" x14ac:dyDescent="0.2">
      <c r="C604" s="4"/>
      <c r="D604" s="4"/>
      <c r="F604" s="4"/>
      <c r="G604" s="4"/>
      <c r="H604" s="4"/>
      <c r="I604" s="4"/>
      <c r="J604" s="4"/>
      <c r="K604" s="4"/>
    </row>
    <row r="605" spans="3:11" x14ac:dyDescent="0.2">
      <c r="C605" s="4"/>
      <c r="D605" s="4"/>
      <c r="F605" s="4"/>
      <c r="G605" s="4"/>
      <c r="H605" s="4"/>
      <c r="I605" s="4"/>
      <c r="J605" s="4"/>
      <c r="K605" s="4"/>
    </row>
    <row r="606" spans="3:11" x14ac:dyDescent="0.2">
      <c r="C606" s="4"/>
      <c r="D606" s="4"/>
      <c r="F606" s="4"/>
      <c r="G606" s="4"/>
      <c r="H606" s="4"/>
      <c r="I606" s="4"/>
      <c r="J606" s="4"/>
      <c r="K606" s="4"/>
    </row>
    <row r="607" spans="3:11" x14ac:dyDescent="0.2">
      <c r="C607" s="4"/>
      <c r="D607" s="4"/>
      <c r="F607" s="4"/>
      <c r="G607" s="4"/>
      <c r="H607" s="4"/>
      <c r="I607" s="4"/>
      <c r="J607" s="4"/>
      <c r="K607" s="4"/>
    </row>
    <row r="608" spans="3:11" x14ac:dyDescent="0.2">
      <c r="C608" s="4"/>
      <c r="D608" s="4"/>
      <c r="F608" s="4"/>
      <c r="G608" s="4"/>
      <c r="H608" s="4"/>
      <c r="I608" s="4"/>
      <c r="J608" s="4"/>
      <c r="K608" s="4"/>
    </row>
    <row r="609" spans="3:11" x14ac:dyDescent="0.2">
      <c r="C609" s="4"/>
      <c r="D609" s="4"/>
      <c r="F609" s="4"/>
      <c r="G609" s="4"/>
      <c r="H609" s="4"/>
      <c r="I609" s="4"/>
      <c r="J609" s="4"/>
      <c r="K609" s="4"/>
    </row>
    <row r="610" spans="3:11" x14ac:dyDescent="0.2">
      <c r="C610" s="4"/>
      <c r="D610" s="4"/>
      <c r="F610" s="4"/>
      <c r="G610" s="4"/>
      <c r="H610" s="4"/>
      <c r="I610" s="4"/>
      <c r="J610" s="4"/>
      <c r="K610" s="4"/>
    </row>
    <row r="611" spans="3:11" x14ac:dyDescent="0.2">
      <c r="C611" s="4"/>
      <c r="D611" s="4"/>
      <c r="F611" s="4"/>
      <c r="G611" s="4"/>
      <c r="H611" s="4"/>
      <c r="I611" s="4"/>
      <c r="J611" s="4"/>
      <c r="K611" s="4"/>
    </row>
    <row r="612" spans="3:11" x14ac:dyDescent="0.2">
      <c r="C612" s="4"/>
      <c r="D612" s="4"/>
      <c r="F612" s="4"/>
      <c r="G612" s="4"/>
      <c r="H612" s="4"/>
      <c r="I612" s="4"/>
      <c r="J612" s="4"/>
      <c r="K612" s="4"/>
    </row>
    <row r="613" spans="3:11" x14ac:dyDescent="0.2">
      <c r="C613" s="4"/>
      <c r="D613" s="4"/>
      <c r="F613" s="4"/>
      <c r="G613" s="4"/>
      <c r="H613" s="4"/>
      <c r="I613" s="4"/>
      <c r="J613" s="4"/>
      <c r="K613" s="4"/>
    </row>
    <row r="614" spans="3:11" x14ac:dyDescent="0.2">
      <c r="C614" s="4"/>
      <c r="D614" s="4"/>
      <c r="F614" s="4"/>
      <c r="G614" s="4"/>
      <c r="H614" s="4"/>
      <c r="I614" s="4"/>
      <c r="J614" s="4"/>
      <c r="K614" s="4"/>
    </row>
    <row r="615" spans="3:11" x14ac:dyDescent="0.2">
      <c r="C615" s="4"/>
      <c r="D615" s="4"/>
      <c r="F615" s="4"/>
      <c r="G615" s="4"/>
      <c r="H615" s="4"/>
      <c r="I615" s="4"/>
      <c r="J615" s="4"/>
      <c r="K615" s="4"/>
    </row>
    <row r="616" spans="3:11" x14ac:dyDescent="0.2">
      <c r="C616" s="4"/>
      <c r="D616" s="4"/>
      <c r="F616" s="4"/>
      <c r="G616" s="4"/>
      <c r="H616" s="4"/>
      <c r="I616" s="4"/>
      <c r="J616" s="4"/>
      <c r="K616" s="4"/>
    </row>
    <row r="617" spans="3:11" x14ac:dyDescent="0.2">
      <c r="C617" s="4"/>
      <c r="D617" s="4"/>
      <c r="F617" s="4"/>
      <c r="G617" s="4"/>
      <c r="H617" s="4"/>
      <c r="I617" s="4"/>
      <c r="J617" s="4"/>
      <c r="K617" s="4"/>
    </row>
    <row r="618" spans="3:11" x14ac:dyDescent="0.2">
      <c r="C618" s="4"/>
      <c r="D618" s="4"/>
      <c r="F618" s="4"/>
      <c r="G618" s="4"/>
      <c r="H618" s="4"/>
      <c r="I618" s="4"/>
      <c r="J618" s="4"/>
      <c r="K618" s="4"/>
    </row>
    <row r="619" spans="3:11" x14ac:dyDescent="0.2">
      <c r="C619" s="4"/>
      <c r="D619" s="4"/>
      <c r="F619" s="4"/>
      <c r="G619" s="4"/>
      <c r="H619" s="4"/>
      <c r="I619" s="4"/>
      <c r="J619" s="4"/>
      <c r="K619" s="4"/>
    </row>
    <row r="620" spans="3:11" x14ac:dyDescent="0.2">
      <c r="C620" s="4"/>
      <c r="D620" s="4"/>
      <c r="F620" s="4"/>
      <c r="G620" s="4"/>
      <c r="H620" s="4"/>
      <c r="I620" s="4"/>
      <c r="J620" s="4"/>
      <c r="K620" s="4"/>
    </row>
    <row r="621" spans="3:11" x14ac:dyDescent="0.2">
      <c r="C621" s="4"/>
      <c r="D621" s="4"/>
      <c r="F621" s="4"/>
      <c r="G621" s="4"/>
      <c r="H621" s="4"/>
      <c r="I621" s="4"/>
      <c r="J621" s="4"/>
      <c r="K621" s="4"/>
    </row>
    <row r="622" spans="3:11" x14ac:dyDescent="0.2">
      <c r="C622" s="4"/>
      <c r="D622" s="4"/>
      <c r="F622" s="4"/>
      <c r="G622" s="4"/>
      <c r="H622" s="4"/>
      <c r="I622" s="4"/>
      <c r="J622" s="4"/>
      <c r="K622" s="4"/>
    </row>
    <row r="623" spans="3:11" x14ac:dyDescent="0.2">
      <c r="C623" s="4"/>
      <c r="D623" s="4"/>
      <c r="F623" s="4"/>
      <c r="G623" s="4"/>
      <c r="H623" s="4"/>
      <c r="I623" s="4"/>
      <c r="J623" s="4"/>
      <c r="K623" s="4"/>
    </row>
    <row r="624" spans="3:11" x14ac:dyDescent="0.2">
      <c r="C624" s="4"/>
      <c r="D624" s="4"/>
      <c r="F624" s="4"/>
      <c r="G624" s="4"/>
      <c r="H624" s="4"/>
      <c r="I624" s="4"/>
      <c r="J624" s="4"/>
      <c r="K624" s="4"/>
    </row>
    <row r="625" spans="3:11" x14ac:dyDescent="0.2">
      <c r="C625" s="4"/>
      <c r="D625" s="4"/>
      <c r="F625" s="4"/>
      <c r="G625" s="4"/>
      <c r="H625" s="4"/>
      <c r="I625" s="4"/>
      <c r="J625" s="4"/>
      <c r="K625" s="4"/>
    </row>
    <row r="626" spans="3:11" x14ac:dyDescent="0.2">
      <c r="C626" s="4"/>
      <c r="D626" s="4"/>
      <c r="F626" s="4"/>
      <c r="G626" s="4"/>
      <c r="H626" s="4"/>
      <c r="I626" s="4"/>
      <c r="J626" s="4"/>
      <c r="K626" s="4"/>
    </row>
    <row r="627" spans="3:11" x14ac:dyDescent="0.2">
      <c r="C627" s="4"/>
      <c r="D627" s="4"/>
      <c r="F627" s="4"/>
      <c r="G627" s="4"/>
      <c r="H627" s="4"/>
      <c r="I627" s="4"/>
      <c r="J627" s="4"/>
      <c r="K627" s="4"/>
    </row>
    <row r="628" spans="3:11" x14ac:dyDescent="0.2">
      <c r="C628" s="4"/>
      <c r="D628" s="4"/>
      <c r="F628" s="4"/>
      <c r="G628" s="4"/>
      <c r="H628" s="4"/>
      <c r="I628" s="4"/>
      <c r="J628" s="4"/>
      <c r="K628" s="4"/>
    </row>
    <row r="629" spans="3:11" x14ac:dyDescent="0.2">
      <c r="C629" s="4"/>
      <c r="D629" s="4"/>
      <c r="F629" s="4"/>
      <c r="G629" s="4"/>
      <c r="H629" s="4"/>
      <c r="I629" s="4"/>
      <c r="J629" s="4"/>
      <c r="K629" s="4"/>
    </row>
    <row r="630" spans="3:11" x14ac:dyDescent="0.2">
      <c r="C630" s="4"/>
      <c r="D630" s="4"/>
      <c r="F630" s="4"/>
      <c r="G630" s="4"/>
      <c r="H630" s="4"/>
      <c r="I630" s="4"/>
      <c r="J630" s="4"/>
      <c r="K630" s="4"/>
    </row>
    <row r="631" spans="3:11" x14ac:dyDescent="0.2">
      <c r="C631" s="4"/>
      <c r="D631" s="4"/>
      <c r="F631" s="4"/>
      <c r="G631" s="4"/>
      <c r="H631" s="4"/>
      <c r="I631" s="4"/>
      <c r="J631" s="4"/>
      <c r="K631" s="4"/>
    </row>
    <row r="632" spans="3:11" x14ac:dyDescent="0.2">
      <c r="C632" s="4"/>
      <c r="D632" s="4"/>
      <c r="F632" s="4"/>
      <c r="G632" s="4"/>
      <c r="H632" s="4"/>
      <c r="I632" s="4"/>
      <c r="J632" s="4"/>
      <c r="K632" s="4"/>
    </row>
    <row r="633" spans="3:11" x14ac:dyDescent="0.2">
      <c r="C633" s="4"/>
      <c r="D633" s="4"/>
      <c r="F633" s="4"/>
      <c r="G633" s="4"/>
      <c r="H633" s="4"/>
      <c r="I633" s="4"/>
      <c r="J633" s="4"/>
      <c r="K633" s="4"/>
    </row>
    <row r="634" spans="3:11" x14ac:dyDescent="0.2">
      <c r="C634" s="4"/>
      <c r="D634" s="4"/>
      <c r="F634" s="4"/>
      <c r="G634" s="4"/>
      <c r="H634" s="4"/>
      <c r="I634" s="4"/>
      <c r="J634" s="4"/>
      <c r="K634" s="4"/>
    </row>
    <row r="635" spans="3:11" x14ac:dyDescent="0.2">
      <c r="C635" s="4"/>
      <c r="D635" s="4"/>
      <c r="F635" s="4"/>
      <c r="G635" s="4"/>
      <c r="H635" s="4"/>
      <c r="I635" s="4"/>
      <c r="J635" s="4"/>
      <c r="K635" s="4"/>
    </row>
    <row r="636" spans="3:11" x14ac:dyDescent="0.2">
      <c r="C636" s="4"/>
      <c r="D636" s="4"/>
      <c r="F636" s="4"/>
      <c r="G636" s="4"/>
      <c r="H636" s="4"/>
      <c r="I636" s="4"/>
      <c r="J636" s="4"/>
      <c r="K636" s="4"/>
    </row>
    <row r="637" spans="3:11" x14ac:dyDescent="0.2">
      <c r="C637" s="4"/>
      <c r="D637" s="4"/>
      <c r="F637" s="4"/>
      <c r="G637" s="4"/>
      <c r="H637" s="4"/>
      <c r="I637" s="4"/>
      <c r="J637" s="4"/>
      <c r="K637" s="4"/>
    </row>
    <row r="638" spans="3:11" x14ac:dyDescent="0.2">
      <c r="C638" s="4"/>
      <c r="D638" s="4"/>
      <c r="F638" s="4"/>
      <c r="G638" s="4"/>
      <c r="H638" s="4"/>
      <c r="I638" s="4"/>
      <c r="J638" s="4"/>
      <c r="K638" s="4"/>
    </row>
    <row r="639" spans="3:11" x14ac:dyDescent="0.2">
      <c r="C639" s="4"/>
      <c r="D639" s="4"/>
      <c r="F639" s="4"/>
      <c r="G639" s="4"/>
      <c r="H639" s="4"/>
      <c r="I639" s="4"/>
      <c r="J639" s="4"/>
      <c r="K639" s="4"/>
    </row>
    <row r="640" spans="3:11" x14ac:dyDescent="0.2">
      <c r="C640" s="4"/>
      <c r="D640" s="4"/>
      <c r="F640" s="4"/>
      <c r="G640" s="4"/>
      <c r="H640" s="4"/>
      <c r="I640" s="4"/>
      <c r="J640" s="4"/>
      <c r="K640" s="4"/>
    </row>
    <row r="641" spans="3:11" x14ac:dyDescent="0.2">
      <c r="C641" s="4"/>
      <c r="D641" s="4"/>
      <c r="F641" s="4"/>
      <c r="G641" s="4"/>
      <c r="H641" s="4"/>
      <c r="I641" s="4"/>
      <c r="J641" s="4"/>
      <c r="K641" s="4"/>
    </row>
    <row r="642" spans="3:11" x14ac:dyDescent="0.2">
      <c r="C642" s="4"/>
      <c r="D642" s="4"/>
      <c r="F642" s="4"/>
      <c r="G642" s="4"/>
      <c r="H642" s="4"/>
      <c r="I642" s="4"/>
      <c r="J642" s="4"/>
      <c r="K642" s="4"/>
    </row>
    <row r="643" spans="3:11" x14ac:dyDescent="0.2">
      <c r="C643" s="4"/>
      <c r="D643" s="4"/>
      <c r="F643" s="4"/>
      <c r="G643" s="4"/>
      <c r="H643" s="4"/>
      <c r="I643" s="4"/>
      <c r="J643" s="4"/>
      <c r="K643" s="4"/>
    </row>
    <row r="644" spans="3:11" x14ac:dyDescent="0.2">
      <c r="C644" s="4"/>
      <c r="D644" s="4"/>
      <c r="F644" s="4"/>
      <c r="G644" s="4"/>
      <c r="H644" s="4"/>
      <c r="I644" s="4"/>
      <c r="J644" s="4"/>
      <c r="K644" s="4"/>
    </row>
    <row r="645" spans="3:11" x14ac:dyDescent="0.2">
      <c r="C645" s="4"/>
      <c r="D645" s="4"/>
      <c r="F645" s="4"/>
      <c r="G645" s="4"/>
      <c r="H645" s="4"/>
      <c r="I645" s="4"/>
      <c r="J645" s="4"/>
      <c r="K645" s="4"/>
    </row>
    <row r="646" spans="3:11" x14ac:dyDescent="0.2">
      <c r="C646" s="4"/>
      <c r="D646" s="4"/>
      <c r="F646" s="4"/>
      <c r="G646" s="4"/>
      <c r="H646" s="4"/>
      <c r="I646" s="4"/>
      <c r="J646" s="4"/>
      <c r="K646" s="4"/>
    </row>
    <row r="647" spans="3:11" x14ac:dyDescent="0.2">
      <c r="C647" s="4"/>
      <c r="D647" s="4"/>
      <c r="F647" s="4"/>
      <c r="G647" s="4"/>
      <c r="H647" s="4"/>
      <c r="I647" s="4"/>
      <c r="J647" s="4"/>
      <c r="K647" s="4"/>
    </row>
    <row r="648" spans="3:11" x14ac:dyDescent="0.2">
      <c r="C648" s="4"/>
      <c r="D648" s="4"/>
      <c r="F648" s="4"/>
      <c r="G648" s="4"/>
      <c r="H648" s="4"/>
      <c r="I648" s="4"/>
      <c r="J648" s="4"/>
      <c r="K648" s="4"/>
    </row>
    <row r="649" spans="3:11" x14ac:dyDescent="0.2">
      <c r="C649" s="4"/>
      <c r="D649" s="4"/>
      <c r="F649" s="4"/>
      <c r="G649" s="4"/>
      <c r="H649" s="4"/>
      <c r="I649" s="4"/>
      <c r="J649" s="4"/>
      <c r="K649" s="4"/>
    </row>
    <row r="650" spans="3:11" x14ac:dyDescent="0.2">
      <c r="C650" s="4"/>
      <c r="D650" s="4"/>
      <c r="F650" s="4"/>
      <c r="G650" s="4"/>
      <c r="H650" s="4"/>
      <c r="I650" s="4"/>
      <c r="J650" s="4"/>
      <c r="K650" s="4"/>
    </row>
    <row r="651" spans="3:11" x14ac:dyDescent="0.2">
      <c r="C651" s="4"/>
      <c r="D651" s="4"/>
      <c r="F651" s="4"/>
      <c r="G651" s="4"/>
      <c r="H651" s="4"/>
      <c r="I651" s="4"/>
      <c r="J651" s="4"/>
      <c r="K651" s="4"/>
    </row>
    <row r="652" spans="3:11" x14ac:dyDescent="0.2">
      <c r="C652" s="4"/>
      <c r="D652" s="4"/>
      <c r="F652" s="4"/>
      <c r="G652" s="4"/>
      <c r="H652" s="4"/>
      <c r="I652" s="4"/>
      <c r="J652" s="4"/>
      <c r="K652" s="4"/>
    </row>
    <row r="653" spans="3:11" x14ac:dyDescent="0.2">
      <c r="C653" s="4"/>
      <c r="D653" s="4"/>
      <c r="F653" s="4"/>
      <c r="G653" s="4"/>
      <c r="H653" s="4"/>
      <c r="I653" s="4"/>
      <c r="J653" s="4"/>
      <c r="K653" s="4"/>
    </row>
    <row r="654" spans="3:11" x14ac:dyDescent="0.2">
      <c r="C654" s="4"/>
      <c r="D654" s="4"/>
      <c r="F654" s="4"/>
      <c r="G654" s="4"/>
      <c r="H654" s="4"/>
      <c r="I654" s="4"/>
      <c r="J654" s="4"/>
      <c r="K654" s="4"/>
    </row>
    <row r="655" spans="3:11" x14ac:dyDescent="0.2">
      <c r="C655" s="4"/>
      <c r="D655" s="4"/>
      <c r="F655" s="4"/>
      <c r="G655" s="4"/>
      <c r="H655" s="4"/>
      <c r="I655" s="4"/>
      <c r="J655" s="4"/>
      <c r="K655" s="4"/>
    </row>
    <row r="656" spans="3:11" x14ac:dyDescent="0.2">
      <c r="C656" s="4"/>
      <c r="D656" s="4"/>
      <c r="F656" s="4"/>
      <c r="G656" s="4"/>
      <c r="H656" s="4"/>
      <c r="I656" s="4"/>
      <c r="J656" s="4"/>
      <c r="K656" s="4"/>
    </row>
    <row r="657" spans="3:11" x14ac:dyDescent="0.2">
      <c r="C657" s="4"/>
      <c r="D657" s="4"/>
      <c r="F657" s="4"/>
      <c r="G657" s="4"/>
      <c r="H657" s="4"/>
      <c r="I657" s="4"/>
      <c r="J657" s="4"/>
      <c r="K657" s="4"/>
    </row>
    <row r="658" spans="3:11" x14ac:dyDescent="0.2">
      <c r="C658" s="4"/>
      <c r="D658" s="4"/>
      <c r="F658" s="4"/>
      <c r="G658" s="4"/>
      <c r="H658" s="4"/>
      <c r="I658" s="4"/>
      <c r="J658" s="4"/>
      <c r="K658" s="4"/>
    </row>
    <row r="659" spans="3:11" x14ac:dyDescent="0.2">
      <c r="C659" s="4"/>
      <c r="D659" s="4"/>
      <c r="F659" s="4"/>
      <c r="G659" s="4"/>
      <c r="H659" s="4"/>
      <c r="I659" s="4"/>
      <c r="J659" s="4"/>
      <c r="K659" s="4"/>
    </row>
    <row r="660" spans="3:11" x14ac:dyDescent="0.2">
      <c r="C660" s="4"/>
      <c r="D660" s="4"/>
      <c r="F660" s="4"/>
      <c r="G660" s="4"/>
      <c r="H660" s="4"/>
      <c r="I660" s="4"/>
      <c r="J660" s="4"/>
      <c r="K660" s="4"/>
    </row>
    <row r="661" spans="3:11" x14ac:dyDescent="0.2">
      <c r="C661" s="4"/>
      <c r="D661" s="4"/>
      <c r="F661" s="4"/>
      <c r="G661" s="4"/>
      <c r="H661" s="4"/>
      <c r="I661" s="4"/>
      <c r="J661" s="4"/>
      <c r="K661" s="4"/>
    </row>
    <row r="662" spans="3:11" x14ac:dyDescent="0.2">
      <c r="C662" s="4"/>
      <c r="D662" s="4"/>
      <c r="F662" s="4"/>
      <c r="G662" s="4"/>
      <c r="H662" s="4"/>
      <c r="I662" s="4"/>
      <c r="J662" s="4"/>
      <c r="K662" s="4"/>
    </row>
    <row r="663" spans="3:11" x14ac:dyDescent="0.2">
      <c r="C663" s="4"/>
      <c r="D663" s="4"/>
      <c r="F663" s="4"/>
      <c r="G663" s="4"/>
      <c r="H663" s="4"/>
      <c r="I663" s="4"/>
      <c r="J663" s="4"/>
      <c r="K663" s="4"/>
    </row>
    <row r="664" spans="3:11" x14ac:dyDescent="0.2">
      <c r="C664" s="4"/>
      <c r="D664" s="4"/>
      <c r="F664" s="4"/>
      <c r="G664" s="4"/>
      <c r="H664" s="4"/>
      <c r="I664" s="4"/>
      <c r="J664" s="4"/>
      <c r="K664" s="4"/>
    </row>
    <row r="665" spans="3:11" x14ac:dyDescent="0.2">
      <c r="C665" s="4"/>
      <c r="D665" s="4"/>
      <c r="F665" s="4"/>
      <c r="G665" s="4"/>
      <c r="H665" s="4"/>
      <c r="I665" s="4"/>
      <c r="J665" s="4"/>
      <c r="K665" s="4"/>
    </row>
    <row r="666" spans="3:11" x14ac:dyDescent="0.2">
      <c r="C666" s="4"/>
      <c r="D666" s="4"/>
      <c r="F666" s="4"/>
      <c r="G666" s="4"/>
      <c r="H666" s="4"/>
      <c r="I666" s="4"/>
      <c r="J666" s="4"/>
      <c r="K666" s="4"/>
    </row>
    <row r="667" spans="3:11" x14ac:dyDescent="0.2">
      <c r="C667" s="4"/>
      <c r="D667" s="4"/>
      <c r="F667" s="4"/>
      <c r="G667" s="4"/>
      <c r="H667" s="4"/>
      <c r="I667" s="4"/>
      <c r="J667" s="4"/>
      <c r="K667" s="4"/>
    </row>
    <row r="668" spans="3:11" x14ac:dyDescent="0.2">
      <c r="C668" s="4"/>
      <c r="D668" s="4"/>
      <c r="F668" s="4"/>
      <c r="G668" s="4"/>
      <c r="H668" s="4"/>
      <c r="I668" s="4"/>
      <c r="J668" s="4"/>
      <c r="K668" s="4"/>
    </row>
    <row r="669" spans="3:11" x14ac:dyDescent="0.2">
      <c r="C669" s="4"/>
      <c r="D669" s="4"/>
      <c r="F669" s="4"/>
      <c r="G669" s="4"/>
      <c r="H669" s="4"/>
      <c r="I669" s="4"/>
      <c r="J669" s="4"/>
      <c r="K669" s="4"/>
    </row>
    <row r="670" spans="3:11" x14ac:dyDescent="0.2">
      <c r="C670" s="4"/>
      <c r="D670" s="4"/>
      <c r="F670" s="4"/>
      <c r="G670" s="4"/>
      <c r="H670" s="4"/>
      <c r="I670" s="4"/>
      <c r="J670" s="4"/>
      <c r="K670" s="4"/>
    </row>
    <row r="671" spans="3:11" x14ac:dyDescent="0.2">
      <c r="C671" s="4"/>
      <c r="D671" s="4"/>
      <c r="F671" s="4"/>
      <c r="G671" s="4"/>
      <c r="H671" s="4"/>
      <c r="I671" s="4"/>
      <c r="J671" s="4"/>
      <c r="K671" s="4"/>
    </row>
    <row r="672" spans="3:11" x14ac:dyDescent="0.2">
      <c r="C672" s="4"/>
      <c r="D672" s="4"/>
      <c r="F672" s="4"/>
      <c r="G672" s="4"/>
      <c r="H672" s="4"/>
      <c r="I672" s="4"/>
      <c r="J672" s="4"/>
      <c r="K672" s="4"/>
    </row>
    <row r="673" spans="3:11" x14ac:dyDescent="0.2">
      <c r="C673" s="4"/>
      <c r="D673" s="4"/>
      <c r="F673" s="4"/>
      <c r="G673" s="4"/>
      <c r="H673" s="4"/>
      <c r="I673" s="4"/>
      <c r="J673" s="4"/>
      <c r="K673" s="4"/>
    </row>
    <row r="674" spans="3:11" x14ac:dyDescent="0.2">
      <c r="C674" s="4"/>
      <c r="D674" s="4"/>
      <c r="F674" s="4"/>
      <c r="G674" s="4"/>
      <c r="H674" s="4"/>
      <c r="I674" s="4"/>
      <c r="J674" s="4"/>
      <c r="K674" s="4"/>
    </row>
    <row r="675" spans="3:11" x14ac:dyDescent="0.2">
      <c r="C675" s="4"/>
      <c r="D675" s="4"/>
      <c r="F675" s="4"/>
      <c r="G675" s="4"/>
      <c r="H675" s="4"/>
      <c r="I675" s="4"/>
      <c r="J675" s="4"/>
      <c r="K675" s="4"/>
    </row>
    <row r="676" spans="3:11" x14ac:dyDescent="0.2">
      <c r="C676" s="4"/>
      <c r="D676" s="4"/>
      <c r="F676" s="4"/>
      <c r="G676" s="4"/>
      <c r="H676" s="4"/>
      <c r="I676" s="4"/>
      <c r="J676" s="4"/>
      <c r="K676" s="4"/>
    </row>
    <row r="677" spans="3:11" x14ac:dyDescent="0.2">
      <c r="C677" s="4"/>
      <c r="D677" s="4"/>
      <c r="F677" s="4"/>
      <c r="G677" s="4"/>
      <c r="H677" s="4"/>
      <c r="I677" s="4"/>
      <c r="J677" s="4"/>
      <c r="K677" s="4"/>
    </row>
    <row r="678" spans="3:11" x14ac:dyDescent="0.2">
      <c r="C678" s="4"/>
      <c r="D678" s="4"/>
      <c r="F678" s="4"/>
      <c r="G678" s="4"/>
      <c r="H678" s="4"/>
      <c r="I678" s="4"/>
      <c r="J678" s="4"/>
      <c r="K678" s="4"/>
    </row>
    <row r="679" spans="3:11" x14ac:dyDescent="0.2">
      <c r="C679" s="4"/>
      <c r="D679" s="4"/>
      <c r="F679" s="4"/>
      <c r="G679" s="4"/>
      <c r="H679" s="4"/>
      <c r="I679" s="4"/>
      <c r="J679" s="4"/>
      <c r="K679" s="4"/>
    </row>
    <row r="680" spans="3:11" x14ac:dyDescent="0.2">
      <c r="C680" s="4"/>
      <c r="D680" s="4"/>
      <c r="F680" s="4"/>
      <c r="G680" s="4"/>
      <c r="H680" s="4"/>
      <c r="I680" s="4"/>
      <c r="J680" s="4"/>
      <c r="K680" s="4"/>
    </row>
    <row r="681" spans="3:11" x14ac:dyDescent="0.2">
      <c r="C681" s="4"/>
      <c r="D681" s="4"/>
      <c r="F681" s="4"/>
      <c r="G681" s="4"/>
      <c r="H681" s="4"/>
      <c r="I681" s="4"/>
      <c r="J681" s="4"/>
      <c r="K681" s="4"/>
    </row>
    <row r="682" spans="3:11" x14ac:dyDescent="0.2">
      <c r="C682" s="4"/>
      <c r="D682" s="4"/>
      <c r="F682" s="4"/>
      <c r="G682" s="4"/>
      <c r="H682" s="4"/>
      <c r="I682" s="4"/>
      <c r="J682" s="4"/>
      <c r="K682" s="4"/>
    </row>
    <row r="683" spans="3:11" x14ac:dyDescent="0.2">
      <c r="C683" s="4"/>
      <c r="D683" s="4"/>
      <c r="F683" s="4"/>
      <c r="G683" s="4"/>
      <c r="H683" s="4"/>
      <c r="I683" s="4"/>
      <c r="J683" s="4"/>
      <c r="K683" s="4"/>
    </row>
    <row r="684" spans="3:11" x14ac:dyDescent="0.2">
      <c r="C684" s="4"/>
      <c r="D684" s="4"/>
      <c r="F684" s="4"/>
      <c r="G684" s="4"/>
      <c r="H684" s="4"/>
      <c r="I684" s="4"/>
      <c r="J684" s="4"/>
      <c r="K684" s="4"/>
    </row>
    <row r="685" spans="3:11" x14ac:dyDescent="0.2">
      <c r="C685" s="4"/>
      <c r="D685" s="4"/>
      <c r="F685" s="4"/>
      <c r="G685" s="4"/>
      <c r="H685" s="4"/>
      <c r="I685" s="4"/>
      <c r="J685" s="4"/>
      <c r="K685" s="4"/>
    </row>
    <row r="686" spans="3:11" x14ac:dyDescent="0.2">
      <c r="C686" s="4"/>
      <c r="D686" s="4"/>
      <c r="F686" s="4"/>
      <c r="G686" s="4"/>
      <c r="H686" s="4"/>
      <c r="I686" s="4"/>
      <c r="J686" s="4"/>
      <c r="K686" s="4"/>
    </row>
    <row r="687" spans="3:11" x14ac:dyDescent="0.2">
      <c r="C687" s="4"/>
      <c r="D687" s="4"/>
      <c r="F687" s="4"/>
      <c r="G687" s="4"/>
      <c r="H687" s="4"/>
      <c r="I687" s="4"/>
      <c r="J687" s="4"/>
      <c r="K687" s="4"/>
    </row>
    <row r="688" spans="3:11" x14ac:dyDescent="0.2">
      <c r="C688" s="4"/>
      <c r="D688" s="4"/>
      <c r="F688" s="4"/>
      <c r="G688" s="4"/>
      <c r="H688" s="4"/>
      <c r="I688" s="4"/>
      <c r="J688" s="4"/>
      <c r="K688" s="4"/>
    </row>
    <row r="689" spans="3:11" x14ac:dyDescent="0.2">
      <c r="C689" s="4"/>
      <c r="D689" s="4"/>
      <c r="F689" s="4"/>
      <c r="G689" s="4"/>
      <c r="H689" s="4"/>
      <c r="I689" s="4"/>
      <c r="J689" s="4"/>
      <c r="K689" s="4"/>
    </row>
    <row r="690" spans="3:11" x14ac:dyDescent="0.2">
      <c r="C690" s="4"/>
      <c r="D690" s="4"/>
      <c r="F690" s="4"/>
      <c r="G690" s="4"/>
      <c r="H690" s="4"/>
      <c r="I690" s="4"/>
      <c r="J690" s="4"/>
      <c r="K690" s="4"/>
    </row>
    <row r="691" spans="3:11" x14ac:dyDescent="0.2">
      <c r="C691" s="4"/>
      <c r="D691" s="4"/>
      <c r="F691" s="4"/>
      <c r="G691" s="4"/>
      <c r="H691" s="4"/>
      <c r="I691" s="4"/>
      <c r="J691" s="4"/>
      <c r="K691" s="4"/>
    </row>
    <row r="692" spans="3:11" x14ac:dyDescent="0.2">
      <c r="C692" s="4"/>
      <c r="D692" s="4"/>
      <c r="F692" s="4"/>
      <c r="G692" s="4"/>
      <c r="H692" s="4"/>
      <c r="I692" s="4"/>
      <c r="J692" s="4"/>
      <c r="K692" s="4"/>
    </row>
    <row r="693" spans="3:11" x14ac:dyDescent="0.2">
      <c r="C693" s="4"/>
      <c r="D693" s="4"/>
      <c r="F693" s="4"/>
      <c r="G693" s="4"/>
      <c r="H693" s="4"/>
      <c r="I693" s="4"/>
      <c r="J693" s="4"/>
      <c r="K693" s="4"/>
    </row>
    <row r="694" spans="3:11" x14ac:dyDescent="0.2">
      <c r="C694" s="4"/>
      <c r="D694" s="4"/>
      <c r="F694" s="4"/>
      <c r="G694" s="4"/>
      <c r="H694" s="4"/>
      <c r="I694" s="4"/>
      <c r="J694" s="4"/>
      <c r="K694" s="4"/>
    </row>
    <row r="695" spans="3:11" x14ac:dyDescent="0.2">
      <c r="C695" s="4"/>
      <c r="D695" s="4"/>
      <c r="F695" s="4"/>
      <c r="G695" s="4"/>
      <c r="H695" s="4"/>
      <c r="I695" s="4"/>
      <c r="J695" s="4"/>
      <c r="K695" s="4"/>
    </row>
    <row r="696" spans="3:11" x14ac:dyDescent="0.2">
      <c r="C696" s="4"/>
      <c r="D696" s="4"/>
      <c r="F696" s="4"/>
      <c r="G696" s="4"/>
      <c r="H696" s="4"/>
      <c r="I696" s="4"/>
      <c r="J696" s="4"/>
      <c r="K696" s="4"/>
    </row>
    <row r="697" spans="3:11" x14ac:dyDescent="0.2">
      <c r="C697" s="4"/>
      <c r="D697" s="4"/>
      <c r="F697" s="4"/>
      <c r="G697" s="4"/>
      <c r="H697" s="4"/>
      <c r="I697" s="4"/>
      <c r="J697" s="4"/>
      <c r="K697" s="4"/>
    </row>
    <row r="698" spans="3:11" x14ac:dyDescent="0.2">
      <c r="C698" s="4"/>
      <c r="D698" s="4"/>
      <c r="F698" s="4"/>
      <c r="G698" s="4"/>
      <c r="H698" s="4"/>
      <c r="I698" s="4"/>
      <c r="J698" s="4"/>
      <c r="K698" s="4"/>
    </row>
    <row r="699" spans="3:11" x14ac:dyDescent="0.2">
      <c r="C699" s="4"/>
      <c r="D699" s="4"/>
      <c r="F699" s="4"/>
      <c r="G699" s="4"/>
      <c r="H699" s="4"/>
      <c r="I699" s="4"/>
      <c r="J699" s="4"/>
      <c r="K699" s="4"/>
    </row>
    <row r="700" spans="3:11" x14ac:dyDescent="0.2">
      <c r="C700" s="4"/>
      <c r="D700" s="4"/>
      <c r="F700" s="4"/>
      <c r="G700" s="4"/>
      <c r="H700" s="4"/>
      <c r="I700" s="4"/>
      <c r="J700" s="4"/>
      <c r="K700" s="4"/>
    </row>
    <row r="701" spans="3:11" x14ac:dyDescent="0.2">
      <c r="C701" s="4"/>
      <c r="D701" s="4"/>
      <c r="F701" s="4"/>
      <c r="G701" s="4"/>
      <c r="H701" s="4"/>
      <c r="I701" s="4"/>
      <c r="J701" s="4"/>
      <c r="K701" s="4"/>
    </row>
    <row r="702" spans="3:11" x14ac:dyDescent="0.2">
      <c r="C702" s="4"/>
      <c r="D702" s="4"/>
      <c r="F702" s="4"/>
      <c r="G702" s="4"/>
      <c r="H702" s="4"/>
      <c r="I702" s="4"/>
      <c r="J702" s="4"/>
      <c r="K702" s="4"/>
    </row>
    <row r="703" spans="3:11" x14ac:dyDescent="0.2">
      <c r="C703" s="4"/>
      <c r="D703" s="4"/>
      <c r="F703" s="4"/>
      <c r="G703" s="4"/>
      <c r="H703" s="4"/>
      <c r="I703" s="4"/>
      <c r="J703" s="4"/>
      <c r="K703" s="4"/>
    </row>
    <row r="704" spans="3:11" x14ac:dyDescent="0.2">
      <c r="C704" s="4"/>
      <c r="D704" s="4"/>
      <c r="F704" s="4"/>
      <c r="G704" s="4"/>
      <c r="H704" s="4"/>
      <c r="I704" s="4"/>
      <c r="J704" s="4"/>
      <c r="K704" s="4"/>
    </row>
    <row r="705" spans="3:11" x14ac:dyDescent="0.2">
      <c r="C705" s="4"/>
      <c r="D705" s="4"/>
      <c r="F705" s="4"/>
      <c r="G705" s="4"/>
      <c r="H705" s="4"/>
      <c r="I705" s="4"/>
      <c r="J705" s="4"/>
      <c r="K705" s="4"/>
    </row>
    <row r="706" spans="3:11" x14ac:dyDescent="0.2">
      <c r="C706" s="4"/>
      <c r="D706" s="4"/>
      <c r="F706" s="4"/>
      <c r="G706" s="4"/>
      <c r="H706" s="4"/>
      <c r="I706" s="4"/>
      <c r="J706" s="4"/>
      <c r="K706" s="4"/>
    </row>
    <row r="707" spans="3:11" x14ac:dyDescent="0.2">
      <c r="C707" s="4"/>
      <c r="D707" s="4"/>
      <c r="F707" s="4"/>
      <c r="G707" s="4"/>
      <c r="H707" s="4"/>
      <c r="I707" s="4"/>
      <c r="J707" s="4"/>
      <c r="K707" s="4"/>
    </row>
    <row r="708" spans="3:11" x14ac:dyDescent="0.2">
      <c r="F708" s="4"/>
      <c r="G708" s="4"/>
      <c r="H708" s="4"/>
      <c r="I708" s="4"/>
      <c r="J708" s="4"/>
      <c r="K708" s="4"/>
    </row>
    <row r="709" spans="3:11" x14ac:dyDescent="0.2">
      <c r="F709" s="4"/>
      <c r="G709" s="4"/>
      <c r="H709" s="4"/>
      <c r="I709" s="4"/>
      <c r="J709" s="4"/>
      <c r="K709" s="4"/>
    </row>
    <row r="710" spans="3:11" x14ac:dyDescent="0.2">
      <c r="F710" s="4"/>
      <c r="G710" s="4"/>
      <c r="H710" s="4"/>
      <c r="I710" s="4"/>
      <c r="J710" s="4"/>
      <c r="K710" s="4"/>
    </row>
    <row r="711" spans="3:11" x14ac:dyDescent="0.2">
      <c r="F711" s="4"/>
      <c r="G711" s="4"/>
      <c r="H711" s="4"/>
      <c r="I711" s="4"/>
      <c r="J711" s="4"/>
      <c r="K711" s="4"/>
    </row>
    <row r="712" spans="3:11" x14ac:dyDescent="0.2">
      <c r="F712" s="4"/>
      <c r="G712" s="4"/>
      <c r="H712" s="4"/>
      <c r="I712" s="4"/>
      <c r="J712" s="4"/>
      <c r="K712" s="4"/>
    </row>
    <row r="713" spans="3:11" x14ac:dyDescent="0.2">
      <c r="F713" s="4"/>
      <c r="G713" s="4"/>
      <c r="H713" s="4"/>
      <c r="I713" s="4"/>
      <c r="J713" s="4"/>
      <c r="K713" s="4"/>
    </row>
    <row r="714" spans="3:11" x14ac:dyDescent="0.2">
      <c r="F714" s="4"/>
      <c r="G714" s="4"/>
      <c r="H714" s="4"/>
      <c r="I714" s="4"/>
      <c r="J714" s="4"/>
      <c r="K714" s="4"/>
    </row>
    <row r="715" spans="3:11" x14ac:dyDescent="0.2">
      <c r="F715" s="4"/>
      <c r="G715" s="4"/>
      <c r="H715" s="4"/>
      <c r="I715" s="4"/>
      <c r="J715" s="4"/>
      <c r="K715" s="4"/>
    </row>
    <row r="716" spans="3:11" x14ac:dyDescent="0.2">
      <c r="F716" s="4"/>
      <c r="G716" s="4"/>
      <c r="H716" s="4"/>
      <c r="I716" s="4"/>
      <c r="J716" s="4"/>
      <c r="K716" s="4"/>
    </row>
    <row r="717" spans="3:11" x14ac:dyDescent="0.2">
      <c r="F717" s="4"/>
      <c r="G717" s="4"/>
      <c r="H717" s="4"/>
      <c r="I717" s="4"/>
      <c r="J717" s="4"/>
      <c r="K717" s="4"/>
    </row>
    <row r="718" spans="3:11" x14ac:dyDescent="0.2">
      <c r="F718" s="4"/>
      <c r="G718" s="4"/>
      <c r="H718" s="4"/>
      <c r="I718" s="4"/>
      <c r="J718" s="4"/>
      <c r="K718" s="4"/>
    </row>
    <row r="719" spans="3:11" x14ac:dyDescent="0.2">
      <c r="F719" s="4"/>
      <c r="G719" s="4"/>
      <c r="H719" s="4"/>
      <c r="I719" s="4"/>
      <c r="J719" s="4"/>
      <c r="K719" s="4"/>
    </row>
    <row r="720" spans="3:11" x14ac:dyDescent="0.2">
      <c r="F720" s="4"/>
      <c r="G720" s="4"/>
      <c r="H720" s="4"/>
      <c r="I720" s="4"/>
      <c r="J720" s="4"/>
      <c r="K720" s="4"/>
    </row>
    <row r="721" spans="6:11" x14ac:dyDescent="0.2">
      <c r="F721" s="4"/>
      <c r="G721" s="4"/>
      <c r="H721" s="4"/>
      <c r="I721" s="4"/>
      <c r="J721" s="4"/>
      <c r="K721" s="4"/>
    </row>
    <row r="722" spans="6:11" x14ac:dyDescent="0.2">
      <c r="F722" s="4"/>
      <c r="G722" s="4"/>
      <c r="H722" s="4"/>
      <c r="I722" s="4"/>
      <c r="J722" s="4"/>
      <c r="K722" s="4"/>
    </row>
    <row r="723" spans="6:11" x14ac:dyDescent="0.2">
      <c r="F723" s="4"/>
      <c r="G723" s="4"/>
      <c r="H723" s="4"/>
      <c r="I723" s="4"/>
      <c r="J723" s="4"/>
      <c r="K723" s="4"/>
    </row>
    <row r="724" spans="6:11" x14ac:dyDescent="0.2">
      <c r="F724" s="4"/>
      <c r="G724" s="4"/>
      <c r="H724" s="4"/>
      <c r="I724" s="4"/>
      <c r="J724" s="4"/>
      <c r="K724" s="4"/>
    </row>
    <row r="725" spans="6:11" x14ac:dyDescent="0.2">
      <c r="F725" s="4"/>
      <c r="G725" s="4"/>
      <c r="H725" s="4"/>
      <c r="I725" s="4"/>
      <c r="J725" s="4"/>
      <c r="K725" s="4"/>
    </row>
    <row r="726" spans="6:11" x14ac:dyDescent="0.2">
      <c r="F726" s="4"/>
      <c r="G726" s="4"/>
      <c r="H726" s="4"/>
      <c r="I726" s="4"/>
      <c r="J726" s="4"/>
      <c r="K726" s="4"/>
    </row>
    <row r="727" spans="6:11" x14ac:dyDescent="0.2">
      <c r="F727" s="4"/>
      <c r="G727" s="4"/>
      <c r="H727" s="4"/>
      <c r="I727" s="4"/>
      <c r="J727" s="4"/>
      <c r="K727" s="4"/>
    </row>
    <row r="728" spans="6:11" x14ac:dyDescent="0.2">
      <c r="F728" s="4"/>
      <c r="G728" s="4"/>
      <c r="H728" s="4"/>
      <c r="I728" s="4"/>
      <c r="J728" s="4"/>
      <c r="K728" s="4"/>
    </row>
    <row r="729" spans="6:11" x14ac:dyDescent="0.2">
      <c r="F729" s="4"/>
      <c r="G729" s="4"/>
      <c r="H729" s="4"/>
      <c r="I729" s="4"/>
      <c r="J729" s="4"/>
      <c r="K729" s="4"/>
    </row>
    <row r="730" spans="6:11" x14ac:dyDescent="0.2">
      <c r="F730" s="4"/>
      <c r="G730" s="4"/>
      <c r="H730" s="4"/>
      <c r="I730" s="4"/>
      <c r="J730" s="4"/>
      <c r="K730" s="4"/>
    </row>
    <row r="731" spans="6:11" x14ac:dyDescent="0.2">
      <c r="F731" s="4"/>
      <c r="G731" s="4"/>
      <c r="H731" s="4"/>
      <c r="I731" s="4"/>
      <c r="J731" s="4"/>
      <c r="K731" s="4"/>
    </row>
    <row r="732" spans="6:11" x14ac:dyDescent="0.2">
      <c r="F732" s="4"/>
      <c r="G732" s="4"/>
      <c r="H732" s="4"/>
      <c r="I732" s="4"/>
      <c r="J732" s="4"/>
      <c r="K732" s="4"/>
    </row>
    <row r="733" spans="6:11" x14ac:dyDescent="0.2">
      <c r="F733" s="4"/>
      <c r="G733" s="4"/>
      <c r="H733" s="4"/>
      <c r="I733" s="4"/>
      <c r="J733" s="4"/>
      <c r="K733" s="4"/>
    </row>
    <row r="734" spans="6:11" x14ac:dyDescent="0.2">
      <c r="F734" s="4"/>
      <c r="G734" s="4"/>
      <c r="H734" s="4"/>
      <c r="I734" s="4"/>
      <c r="J734" s="4"/>
      <c r="K734" s="4"/>
    </row>
    <row r="735" spans="6:11" x14ac:dyDescent="0.2">
      <c r="F735" s="4"/>
      <c r="G735" s="4"/>
      <c r="H735" s="4"/>
      <c r="I735" s="4"/>
      <c r="J735" s="4"/>
      <c r="K735" s="4"/>
    </row>
    <row r="736" spans="6:11" x14ac:dyDescent="0.2">
      <c r="F736" s="4"/>
      <c r="G736" s="4"/>
      <c r="H736" s="4"/>
      <c r="I736" s="4"/>
      <c r="J736" s="4"/>
      <c r="K736" s="4"/>
    </row>
    <row r="737" spans="6:11" x14ac:dyDescent="0.2">
      <c r="F737" s="4"/>
      <c r="G737" s="4"/>
      <c r="H737" s="4"/>
      <c r="I737" s="4"/>
      <c r="J737" s="4"/>
      <c r="K737" s="4"/>
    </row>
    <row r="738" spans="6:11" x14ac:dyDescent="0.2">
      <c r="F738" s="4"/>
      <c r="G738" s="4"/>
      <c r="H738" s="4"/>
      <c r="I738" s="4"/>
      <c r="J738" s="4"/>
      <c r="K738" s="4"/>
    </row>
    <row r="739" spans="6:11" x14ac:dyDescent="0.2">
      <c r="F739" s="4"/>
      <c r="G739" s="4"/>
      <c r="H739" s="4"/>
      <c r="I739" s="4"/>
      <c r="J739" s="4"/>
      <c r="K739" s="4"/>
    </row>
    <row r="740" spans="6:11" x14ac:dyDescent="0.2">
      <c r="F740" s="4"/>
      <c r="G740" s="4"/>
      <c r="H740" s="4"/>
      <c r="I740" s="4"/>
      <c r="J740" s="4"/>
      <c r="K740" s="4"/>
    </row>
    <row r="741" spans="6:11" x14ac:dyDescent="0.2">
      <c r="F741" s="4"/>
      <c r="G741" s="4"/>
      <c r="H741" s="4"/>
      <c r="I741" s="4"/>
      <c r="J741" s="4"/>
      <c r="K741" s="4"/>
    </row>
    <row r="742" spans="6:11" x14ac:dyDescent="0.2">
      <c r="F742" s="4"/>
      <c r="G742" s="4"/>
      <c r="H742" s="4"/>
      <c r="I742" s="4"/>
      <c r="J742" s="4"/>
      <c r="K742" s="4"/>
    </row>
    <row r="743" spans="6:11" x14ac:dyDescent="0.2">
      <c r="F743" s="4"/>
      <c r="G743" s="4"/>
      <c r="H743" s="4"/>
      <c r="I743" s="4"/>
      <c r="J743" s="4"/>
      <c r="K743" s="4"/>
    </row>
    <row r="744" spans="6:11" x14ac:dyDescent="0.2">
      <c r="F744" s="4"/>
      <c r="G744" s="4"/>
      <c r="H744" s="4"/>
      <c r="I744" s="4"/>
      <c r="J744" s="4"/>
      <c r="K744" s="4"/>
    </row>
    <row r="745" spans="6:11" x14ac:dyDescent="0.2">
      <c r="F745" s="4"/>
      <c r="G745" s="4"/>
      <c r="H745" s="4"/>
      <c r="I745" s="4"/>
      <c r="J745" s="4"/>
      <c r="K745" s="4"/>
    </row>
    <row r="746" spans="6:11" x14ac:dyDescent="0.2">
      <c r="F746" s="4"/>
      <c r="G746" s="4"/>
      <c r="H746" s="4"/>
      <c r="I746" s="4"/>
      <c r="J746" s="4"/>
      <c r="K746" s="4"/>
    </row>
    <row r="747" spans="6:11" x14ac:dyDescent="0.2">
      <c r="F747" s="4"/>
      <c r="G747" s="4"/>
      <c r="H747" s="4"/>
      <c r="I747" s="4"/>
      <c r="J747" s="4"/>
      <c r="K747" s="4"/>
    </row>
    <row r="748" spans="6:11" x14ac:dyDescent="0.2">
      <c r="F748" s="4"/>
      <c r="G748" s="4"/>
      <c r="H748" s="4"/>
      <c r="I748" s="4"/>
      <c r="J748" s="4"/>
      <c r="K748" s="4"/>
    </row>
    <row r="749" spans="6:11" x14ac:dyDescent="0.2">
      <c r="F749" s="4"/>
      <c r="G749" s="4"/>
      <c r="H749" s="4"/>
      <c r="I749" s="4"/>
      <c r="J749" s="4"/>
      <c r="K749" s="4"/>
    </row>
    <row r="750" spans="6:11" x14ac:dyDescent="0.2">
      <c r="F750" s="4"/>
      <c r="G750" s="4"/>
      <c r="H750" s="4"/>
      <c r="I750" s="4"/>
      <c r="J750" s="4"/>
      <c r="K750" s="4"/>
    </row>
    <row r="751" spans="6:11" x14ac:dyDescent="0.2">
      <c r="F751" s="4"/>
      <c r="G751" s="4"/>
      <c r="H751" s="4"/>
      <c r="I751" s="4"/>
      <c r="J751" s="4"/>
      <c r="K751" s="4"/>
    </row>
    <row r="752" spans="6:11" x14ac:dyDescent="0.2">
      <c r="F752" s="4"/>
      <c r="G752" s="4"/>
      <c r="H752" s="4"/>
      <c r="I752" s="4"/>
      <c r="J752" s="4"/>
      <c r="K752" s="4"/>
    </row>
    <row r="753" spans="6:11" x14ac:dyDescent="0.2">
      <c r="F753" s="4"/>
      <c r="G753" s="4"/>
      <c r="H753" s="4"/>
      <c r="I753" s="4"/>
      <c r="J753" s="4"/>
      <c r="K753" s="4"/>
    </row>
    <row r="754" spans="6:11" x14ac:dyDescent="0.2">
      <c r="F754" s="4"/>
      <c r="G754" s="4"/>
      <c r="H754" s="4"/>
      <c r="I754" s="4"/>
      <c r="J754" s="4"/>
      <c r="K754" s="4"/>
    </row>
    <row r="755" spans="6:11" x14ac:dyDescent="0.2">
      <c r="F755" s="4"/>
      <c r="G755" s="4"/>
      <c r="H755" s="4"/>
      <c r="I755" s="4"/>
      <c r="J755" s="4"/>
      <c r="K755" s="4"/>
    </row>
    <row r="756" spans="6:11" x14ac:dyDescent="0.2">
      <c r="F756" s="4"/>
      <c r="G756" s="4"/>
      <c r="H756" s="4"/>
      <c r="I756" s="4"/>
      <c r="J756" s="4"/>
      <c r="K756" s="4"/>
    </row>
    <row r="757" spans="6:11" x14ac:dyDescent="0.2">
      <c r="F757" s="4"/>
      <c r="G757" s="4"/>
      <c r="H757" s="4"/>
      <c r="I757" s="4"/>
      <c r="J757" s="4"/>
      <c r="K757" s="4"/>
    </row>
    <row r="758" spans="6:11" x14ac:dyDescent="0.2">
      <c r="F758" s="4"/>
      <c r="G758" s="4"/>
      <c r="H758" s="4"/>
      <c r="I758" s="4"/>
      <c r="J758" s="4"/>
      <c r="K758" s="4"/>
    </row>
    <row r="759" spans="6:11" x14ac:dyDescent="0.2">
      <c r="F759" s="4"/>
      <c r="G759" s="4"/>
      <c r="H759" s="4"/>
      <c r="I759" s="4"/>
      <c r="J759" s="4"/>
      <c r="K759" s="4"/>
    </row>
    <row r="760" spans="6:11" x14ac:dyDescent="0.2">
      <c r="F760" s="4"/>
      <c r="G760" s="4"/>
      <c r="H760" s="4"/>
      <c r="I760" s="4"/>
      <c r="J760" s="4"/>
      <c r="K760" s="4"/>
    </row>
    <row r="761" spans="6:11" x14ac:dyDescent="0.2">
      <c r="F761" s="4"/>
      <c r="G761" s="4"/>
      <c r="H761" s="4"/>
      <c r="I761" s="4"/>
      <c r="J761" s="4"/>
      <c r="K761" s="4"/>
    </row>
    <row r="762" spans="6:11" x14ac:dyDescent="0.2">
      <c r="F762" s="4"/>
      <c r="G762" s="4"/>
      <c r="H762" s="4"/>
      <c r="I762" s="4"/>
      <c r="J762" s="4"/>
      <c r="K762" s="4"/>
    </row>
    <row r="763" spans="6:11" x14ac:dyDescent="0.2">
      <c r="F763" s="4"/>
      <c r="G763" s="4"/>
      <c r="H763" s="4"/>
      <c r="I763" s="4"/>
      <c r="J763" s="4"/>
      <c r="K763" s="4"/>
    </row>
    <row r="764" spans="6:11" x14ac:dyDescent="0.2">
      <c r="F764" s="4"/>
      <c r="G764" s="4"/>
      <c r="H764" s="4"/>
      <c r="I764" s="4"/>
      <c r="J764" s="4"/>
      <c r="K764" s="4"/>
    </row>
    <row r="765" spans="6:11" x14ac:dyDescent="0.2">
      <c r="F765" s="4"/>
      <c r="G765" s="4"/>
      <c r="H765" s="4"/>
      <c r="I765" s="4"/>
      <c r="J765" s="4"/>
      <c r="K765" s="4"/>
    </row>
    <row r="766" spans="6:11" x14ac:dyDescent="0.2">
      <c r="F766" s="4"/>
      <c r="G766" s="4"/>
      <c r="H766" s="4"/>
      <c r="I766" s="4"/>
      <c r="J766" s="4"/>
      <c r="K766" s="4"/>
    </row>
    <row r="767" spans="6:11" x14ac:dyDescent="0.2">
      <c r="F767" s="4"/>
      <c r="G767" s="4"/>
      <c r="H767" s="4"/>
      <c r="I767" s="4"/>
      <c r="J767" s="4"/>
      <c r="K767" s="4"/>
    </row>
    <row r="768" spans="6:11" x14ac:dyDescent="0.2">
      <c r="F768" s="4"/>
      <c r="G768" s="4"/>
      <c r="H768" s="4"/>
      <c r="I768" s="4"/>
      <c r="J768" s="4"/>
      <c r="K768" s="4"/>
    </row>
    <row r="769" spans="6:11" x14ac:dyDescent="0.2">
      <c r="F769" s="4"/>
      <c r="G769" s="4"/>
      <c r="H769" s="4"/>
      <c r="I769" s="4"/>
      <c r="J769" s="4"/>
      <c r="K769" s="4"/>
    </row>
    <row r="770" spans="6:11" x14ac:dyDescent="0.2">
      <c r="F770" s="4"/>
      <c r="G770" s="4"/>
      <c r="H770" s="4"/>
      <c r="I770" s="4"/>
      <c r="J770" s="4"/>
      <c r="K770" s="4"/>
    </row>
    <row r="771" spans="6:11" x14ac:dyDescent="0.2">
      <c r="F771" s="4"/>
      <c r="G771" s="4"/>
      <c r="H771" s="4"/>
      <c r="I771" s="4"/>
      <c r="J771" s="4"/>
      <c r="K771" s="4"/>
    </row>
    <row r="772" spans="6:11" x14ac:dyDescent="0.2">
      <c r="F772" s="4"/>
      <c r="G772" s="4"/>
      <c r="H772" s="4"/>
      <c r="I772" s="4"/>
      <c r="J772" s="4"/>
      <c r="K772" s="4"/>
    </row>
    <row r="773" spans="6:11" x14ac:dyDescent="0.2">
      <c r="F773" s="4"/>
      <c r="G773" s="4"/>
      <c r="H773" s="4"/>
      <c r="I773" s="4"/>
      <c r="J773" s="4"/>
      <c r="K773" s="4"/>
    </row>
    <row r="774" spans="6:11" x14ac:dyDescent="0.2">
      <c r="F774" s="4"/>
      <c r="G774" s="4"/>
      <c r="H774" s="4"/>
      <c r="I774" s="4"/>
      <c r="J774" s="4"/>
      <c r="K774" s="4"/>
    </row>
    <row r="775" spans="6:11" x14ac:dyDescent="0.2">
      <c r="F775" s="4"/>
      <c r="G775" s="4"/>
      <c r="H775" s="4"/>
      <c r="I775" s="4"/>
      <c r="J775" s="4"/>
      <c r="K775" s="4"/>
    </row>
    <row r="776" spans="6:11" x14ac:dyDescent="0.2">
      <c r="F776" s="4"/>
      <c r="G776" s="4"/>
      <c r="H776" s="4"/>
      <c r="I776" s="4"/>
      <c r="J776" s="4"/>
      <c r="K776" s="4"/>
    </row>
    <row r="777" spans="6:11" x14ac:dyDescent="0.2">
      <c r="F777" s="4"/>
      <c r="G777" s="4"/>
      <c r="H777" s="4"/>
      <c r="I777" s="4"/>
      <c r="J777" s="4"/>
      <c r="K777" s="4"/>
    </row>
    <row r="778" spans="6:11" x14ac:dyDescent="0.2">
      <c r="F778" s="4"/>
      <c r="G778" s="4"/>
      <c r="H778" s="4"/>
      <c r="I778" s="4"/>
      <c r="J778" s="4"/>
      <c r="K778" s="4"/>
    </row>
    <row r="779" spans="6:11" x14ac:dyDescent="0.2">
      <c r="F779" s="4"/>
      <c r="G779" s="4"/>
      <c r="H779" s="4"/>
      <c r="I779" s="4"/>
      <c r="J779" s="4"/>
      <c r="K779" s="4"/>
    </row>
    <row r="780" spans="6:11" x14ac:dyDescent="0.2">
      <c r="F780" s="4"/>
      <c r="G780" s="4"/>
      <c r="H780" s="4"/>
      <c r="I780" s="4"/>
      <c r="J780" s="4"/>
      <c r="K780" s="4"/>
    </row>
    <row r="781" spans="6:11" x14ac:dyDescent="0.2">
      <c r="F781" s="4"/>
      <c r="G781" s="4"/>
      <c r="H781" s="4"/>
      <c r="I781" s="4"/>
      <c r="J781" s="4"/>
      <c r="K781" s="4"/>
    </row>
    <row r="782" spans="6:11" x14ac:dyDescent="0.2">
      <c r="F782" s="4"/>
      <c r="G782" s="4"/>
      <c r="H782" s="4"/>
      <c r="I782" s="4"/>
      <c r="J782" s="4"/>
      <c r="K782" s="4"/>
    </row>
    <row r="783" spans="6:11" x14ac:dyDescent="0.2">
      <c r="F783" s="4"/>
      <c r="G783" s="4"/>
      <c r="H783" s="4"/>
      <c r="I783" s="4"/>
      <c r="J783" s="4"/>
      <c r="K783" s="4"/>
    </row>
    <row r="784" spans="6:11" x14ac:dyDescent="0.2">
      <c r="F784" s="4"/>
      <c r="G784" s="4"/>
      <c r="H784" s="4"/>
      <c r="I784" s="4"/>
      <c r="J784" s="4"/>
      <c r="K784" s="4"/>
    </row>
    <row r="785" spans="6:11" x14ac:dyDescent="0.2">
      <c r="F785" s="4"/>
      <c r="G785" s="4"/>
      <c r="H785" s="4"/>
      <c r="I785" s="4"/>
      <c r="J785" s="4"/>
      <c r="K785" s="4"/>
    </row>
    <row r="786" spans="6:11" x14ac:dyDescent="0.2">
      <c r="F786" s="4"/>
      <c r="G786" s="4"/>
      <c r="H786" s="4"/>
      <c r="I786" s="4"/>
      <c r="J786" s="4"/>
      <c r="K786" s="4"/>
    </row>
    <row r="787" spans="6:11" x14ac:dyDescent="0.2">
      <c r="F787" s="4"/>
      <c r="G787" s="4"/>
      <c r="H787" s="4"/>
      <c r="I787" s="4"/>
      <c r="J787" s="4"/>
      <c r="K787" s="4"/>
    </row>
    <row r="788" spans="6:11" x14ac:dyDescent="0.2">
      <c r="F788" s="4"/>
      <c r="G788" s="4"/>
      <c r="H788" s="4"/>
      <c r="I788" s="4"/>
      <c r="J788" s="4"/>
      <c r="K788" s="4"/>
    </row>
    <row r="789" spans="6:11" x14ac:dyDescent="0.2">
      <c r="F789" s="4"/>
      <c r="G789" s="4"/>
      <c r="H789" s="4"/>
      <c r="I789" s="4"/>
      <c r="J789" s="4"/>
      <c r="K789" s="4"/>
    </row>
    <row r="790" spans="6:11" x14ac:dyDescent="0.2">
      <c r="F790" s="4"/>
      <c r="G790" s="4"/>
      <c r="H790" s="4"/>
      <c r="I790" s="4"/>
      <c r="J790" s="4"/>
      <c r="K790" s="4"/>
    </row>
    <row r="791" spans="6:11" x14ac:dyDescent="0.2">
      <c r="F791" s="4"/>
      <c r="G791" s="4"/>
      <c r="H791" s="4"/>
      <c r="I791" s="4"/>
      <c r="J791" s="4"/>
      <c r="K791" s="4"/>
    </row>
    <row r="792" spans="6:11" x14ac:dyDescent="0.2">
      <c r="F792" s="4"/>
      <c r="G792" s="4"/>
      <c r="H792" s="4"/>
      <c r="I792" s="4"/>
      <c r="J792" s="4"/>
      <c r="K792" s="4"/>
    </row>
    <row r="793" spans="6:11" x14ac:dyDescent="0.2">
      <c r="F793" s="4"/>
      <c r="G793" s="4"/>
      <c r="H793" s="4"/>
      <c r="I793" s="4"/>
      <c r="J793" s="4"/>
      <c r="K793" s="4"/>
    </row>
    <row r="794" spans="6:11" x14ac:dyDescent="0.2">
      <c r="F794" s="4"/>
      <c r="G794" s="4"/>
      <c r="H794" s="4"/>
      <c r="I794" s="4"/>
      <c r="J794" s="4"/>
      <c r="K794" s="4"/>
    </row>
    <row r="795" spans="6:11" x14ac:dyDescent="0.2">
      <c r="F795" s="4"/>
      <c r="G795" s="4"/>
      <c r="H795" s="4"/>
      <c r="I795" s="4"/>
      <c r="J795" s="4"/>
      <c r="K795" s="4"/>
    </row>
    <row r="796" spans="6:11" x14ac:dyDescent="0.2">
      <c r="F796" s="4"/>
      <c r="G796" s="4"/>
      <c r="H796" s="4"/>
      <c r="I796" s="4"/>
      <c r="J796" s="4"/>
      <c r="K796" s="4"/>
    </row>
    <row r="797" spans="6:11" x14ac:dyDescent="0.2">
      <c r="F797" s="4"/>
      <c r="G797" s="4"/>
      <c r="H797" s="4"/>
      <c r="I797" s="4"/>
      <c r="J797" s="4"/>
      <c r="K797" s="4"/>
    </row>
    <row r="798" spans="6:11" x14ac:dyDescent="0.2">
      <c r="F798" s="4"/>
      <c r="G798" s="4"/>
      <c r="H798" s="4"/>
      <c r="I798" s="4"/>
      <c r="J798" s="4"/>
      <c r="K798" s="4"/>
    </row>
    <row r="799" spans="6:11" x14ac:dyDescent="0.2">
      <c r="F799" s="4"/>
      <c r="G799" s="4"/>
      <c r="H799" s="4"/>
      <c r="I799" s="4"/>
      <c r="J799" s="4"/>
      <c r="K799" s="4"/>
    </row>
    <row r="800" spans="6:11" x14ac:dyDescent="0.2">
      <c r="F800" s="4"/>
      <c r="G800" s="4"/>
      <c r="H800" s="4"/>
      <c r="I800" s="4"/>
      <c r="J800" s="4"/>
      <c r="K800" s="4"/>
    </row>
    <row r="801" spans="6:11" x14ac:dyDescent="0.2">
      <c r="F801" s="4"/>
      <c r="G801" s="4"/>
      <c r="H801" s="4"/>
      <c r="I801" s="4"/>
      <c r="J801" s="4"/>
      <c r="K801" s="4"/>
    </row>
    <row r="802" spans="6:11" x14ac:dyDescent="0.2">
      <c r="F802" s="4"/>
      <c r="G802" s="4"/>
      <c r="H802" s="4"/>
      <c r="I802" s="4"/>
      <c r="J802" s="4"/>
      <c r="K802" s="4"/>
    </row>
    <row r="803" spans="6:11" x14ac:dyDescent="0.2">
      <c r="F803" s="4"/>
      <c r="G803" s="4"/>
      <c r="H803" s="4"/>
      <c r="I803" s="4"/>
      <c r="J803" s="4"/>
      <c r="K803" s="4"/>
    </row>
    <row r="804" spans="6:11" x14ac:dyDescent="0.2">
      <c r="F804" s="4"/>
      <c r="G804" s="4"/>
      <c r="H804" s="4"/>
      <c r="I804" s="4"/>
      <c r="J804" s="4"/>
      <c r="K804" s="4"/>
    </row>
    <row r="805" spans="6:11" x14ac:dyDescent="0.2">
      <c r="F805" s="4"/>
      <c r="G805" s="4"/>
      <c r="H805" s="4"/>
      <c r="I805" s="4"/>
      <c r="J805" s="4"/>
      <c r="K805" s="4"/>
    </row>
    <row r="806" spans="6:11" x14ac:dyDescent="0.2">
      <c r="F806" s="4"/>
      <c r="G806" s="4"/>
      <c r="H806" s="4"/>
      <c r="I806" s="4"/>
      <c r="J806" s="4"/>
      <c r="K806" s="4"/>
    </row>
    <row r="807" spans="6:11" x14ac:dyDescent="0.2">
      <c r="F807" s="4"/>
      <c r="G807" s="4"/>
      <c r="H807" s="4"/>
      <c r="I807" s="4"/>
      <c r="J807" s="4"/>
      <c r="K807" s="4"/>
    </row>
    <row r="808" spans="6:11" x14ac:dyDescent="0.2">
      <c r="F808" s="4"/>
      <c r="G808" s="4"/>
      <c r="H808" s="4"/>
      <c r="I808" s="4"/>
      <c r="J808" s="4"/>
      <c r="K808" s="4"/>
    </row>
    <row r="809" spans="6:11" x14ac:dyDescent="0.2">
      <c r="F809" s="4"/>
      <c r="G809" s="4"/>
      <c r="H809" s="4"/>
      <c r="I809" s="4"/>
      <c r="J809" s="4"/>
      <c r="K809" s="4"/>
    </row>
    <row r="810" spans="6:11" x14ac:dyDescent="0.2">
      <c r="F810" s="4"/>
      <c r="G810" s="4"/>
      <c r="H810" s="4"/>
      <c r="I810" s="4"/>
      <c r="J810" s="4"/>
      <c r="K810" s="4"/>
    </row>
    <row r="811" spans="6:11" x14ac:dyDescent="0.2">
      <c r="F811" s="4"/>
      <c r="G811" s="4"/>
      <c r="H811" s="4"/>
      <c r="I811" s="4"/>
      <c r="J811" s="4"/>
      <c r="K811" s="4"/>
    </row>
    <row r="812" spans="6:11" x14ac:dyDescent="0.2">
      <c r="F812" s="4"/>
      <c r="G812" s="4"/>
      <c r="H812" s="4"/>
      <c r="I812" s="4"/>
      <c r="J812" s="4"/>
      <c r="K812" s="4"/>
    </row>
    <row r="813" spans="6:11" x14ac:dyDescent="0.2">
      <c r="F813" s="4"/>
      <c r="G813" s="4"/>
      <c r="H813" s="4"/>
      <c r="I813" s="4"/>
      <c r="J813" s="4"/>
      <c r="K813" s="4"/>
    </row>
    <row r="814" spans="6:11" x14ac:dyDescent="0.2">
      <c r="F814" s="4"/>
      <c r="G814" s="4"/>
      <c r="H814" s="4"/>
      <c r="I814" s="4"/>
      <c r="J814" s="4"/>
      <c r="K814" s="4"/>
    </row>
    <row r="815" spans="6:11" x14ac:dyDescent="0.2">
      <c r="F815" s="4"/>
      <c r="G815" s="4"/>
      <c r="H815" s="4"/>
      <c r="I815" s="4"/>
      <c r="J815" s="4"/>
      <c r="K815" s="4"/>
    </row>
    <row r="816" spans="6:11" x14ac:dyDescent="0.2">
      <c r="F816" s="4"/>
      <c r="G816" s="4"/>
      <c r="H816" s="4"/>
      <c r="I816" s="4"/>
      <c r="J816" s="4"/>
      <c r="K816" s="4"/>
    </row>
    <row r="817" spans="6:11" x14ac:dyDescent="0.2">
      <c r="F817" s="4"/>
      <c r="G817" s="4"/>
      <c r="H817" s="4"/>
      <c r="I817" s="4"/>
      <c r="J817" s="4"/>
      <c r="K817" s="4"/>
    </row>
    <row r="818" spans="6:11" x14ac:dyDescent="0.2">
      <c r="F818" s="4"/>
      <c r="G818" s="4"/>
      <c r="H818" s="4"/>
      <c r="I818" s="4"/>
      <c r="J818" s="4"/>
      <c r="K818" s="4"/>
    </row>
    <row r="819" spans="6:11" x14ac:dyDescent="0.2">
      <c r="F819" s="4"/>
      <c r="G819" s="4"/>
      <c r="H819" s="4"/>
      <c r="I819" s="4"/>
      <c r="J819" s="4"/>
      <c r="K819" s="4"/>
    </row>
    <row r="820" spans="6:11" x14ac:dyDescent="0.2">
      <c r="F820" s="4"/>
      <c r="G820" s="4"/>
      <c r="H820" s="4"/>
      <c r="I820" s="4"/>
      <c r="J820" s="4"/>
      <c r="K820" s="4"/>
    </row>
    <row r="821" spans="6:11" x14ac:dyDescent="0.2">
      <c r="F821" s="4"/>
      <c r="G821" s="4"/>
      <c r="H821" s="4"/>
      <c r="I821" s="4"/>
      <c r="J821" s="4"/>
      <c r="K821" s="4"/>
    </row>
    <row r="822" spans="6:11" x14ac:dyDescent="0.2">
      <c r="F822" s="4"/>
      <c r="G822" s="4"/>
      <c r="H822" s="4"/>
      <c r="I822" s="4"/>
      <c r="J822" s="4"/>
      <c r="K822" s="4"/>
    </row>
    <row r="823" spans="6:11" x14ac:dyDescent="0.2">
      <c r="F823" s="4"/>
      <c r="G823" s="4"/>
      <c r="H823" s="4"/>
      <c r="I823" s="4"/>
      <c r="J823" s="4"/>
      <c r="K823" s="4"/>
    </row>
    <row r="824" spans="6:11" x14ac:dyDescent="0.2">
      <c r="F824" s="4"/>
      <c r="G824" s="4"/>
      <c r="H824" s="4"/>
      <c r="I824" s="4"/>
      <c r="J824" s="4"/>
      <c r="K824" s="4"/>
    </row>
    <row r="825" spans="6:11" x14ac:dyDescent="0.2">
      <c r="F825" s="4"/>
      <c r="G825" s="4"/>
      <c r="H825" s="4"/>
      <c r="I825" s="4"/>
      <c r="J825" s="4"/>
      <c r="K825" s="4"/>
    </row>
    <row r="826" spans="6:11" x14ac:dyDescent="0.2">
      <c r="F826" s="4"/>
      <c r="G826" s="4"/>
      <c r="H826" s="4"/>
      <c r="I826" s="4"/>
      <c r="J826" s="4"/>
      <c r="K826" s="4"/>
    </row>
    <row r="827" spans="6:11" x14ac:dyDescent="0.2">
      <c r="F827" s="4"/>
      <c r="G827" s="4"/>
      <c r="H827" s="4"/>
      <c r="I827" s="4"/>
      <c r="J827" s="4"/>
      <c r="K827" s="4"/>
    </row>
    <row r="828" spans="6:11" x14ac:dyDescent="0.2">
      <c r="F828" s="4"/>
      <c r="G828" s="4"/>
      <c r="H828" s="4"/>
      <c r="I828" s="4"/>
      <c r="J828" s="4"/>
      <c r="K828" s="4"/>
    </row>
    <row r="829" spans="6:11" x14ac:dyDescent="0.2">
      <c r="F829" s="4"/>
      <c r="G829" s="4"/>
      <c r="H829" s="4"/>
      <c r="I829" s="4"/>
      <c r="J829" s="4"/>
      <c r="K829" s="4"/>
    </row>
    <row r="830" spans="6:11" x14ac:dyDescent="0.2">
      <c r="F830" s="4"/>
      <c r="G830" s="4"/>
      <c r="H830" s="4"/>
      <c r="I830" s="4"/>
      <c r="J830" s="4"/>
      <c r="K830" s="4"/>
    </row>
    <row r="831" spans="6:11" x14ac:dyDescent="0.2">
      <c r="F831" s="4"/>
      <c r="G831" s="4"/>
      <c r="H831" s="4"/>
      <c r="I831" s="4"/>
      <c r="J831" s="4"/>
      <c r="K831" s="4"/>
    </row>
    <row r="832" spans="6:11" x14ac:dyDescent="0.2">
      <c r="F832" s="4"/>
      <c r="G832" s="4"/>
      <c r="H832" s="4"/>
      <c r="I832" s="4"/>
      <c r="J832" s="4"/>
      <c r="K832" s="4"/>
    </row>
    <row r="833" spans="6:11" x14ac:dyDescent="0.2">
      <c r="F833" s="4"/>
      <c r="G833" s="4"/>
      <c r="H833" s="4"/>
      <c r="I833" s="4"/>
      <c r="J833" s="4"/>
      <c r="K833" s="4"/>
    </row>
    <row r="834" spans="6:11" x14ac:dyDescent="0.2">
      <c r="F834" s="4"/>
      <c r="G834" s="4"/>
      <c r="H834" s="4"/>
      <c r="I834" s="4"/>
      <c r="J834" s="4"/>
      <c r="K834" s="4"/>
    </row>
    <row r="835" spans="6:11" x14ac:dyDescent="0.2">
      <c r="F835" s="4"/>
      <c r="G835" s="4"/>
      <c r="H835" s="4"/>
      <c r="I835" s="4"/>
      <c r="J835" s="4"/>
      <c r="K835" s="4"/>
    </row>
    <row r="836" spans="6:11" x14ac:dyDescent="0.2">
      <c r="F836" s="4"/>
      <c r="G836" s="4"/>
      <c r="H836" s="4"/>
      <c r="I836" s="4"/>
      <c r="J836" s="4"/>
      <c r="K836" s="4"/>
    </row>
    <row r="837" spans="6:11" x14ac:dyDescent="0.2">
      <c r="F837" s="4"/>
      <c r="G837" s="4"/>
      <c r="H837" s="4"/>
      <c r="I837" s="4"/>
      <c r="J837" s="4"/>
      <c r="K837" s="4"/>
    </row>
    <row r="838" spans="6:11" x14ac:dyDescent="0.2">
      <c r="F838" s="4"/>
      <c r="G838" s="4"/>
      <c r="H838" s="4"/>
      <c r="I838" s="4"/>
      <c r="J838" s="4"/>
      <c r="K838" s="4"/>
    </row>
    <row r="839" spans="6:11" x14ac:dyDescent="0.2">
      <c r="F839" s="4"/>
      <c r="G839" s="4"/>
      <c r="H839" s="4"/>
      <c r="I839" s="4"/>
      <c r="J839" s="4"/>
      <c r="K839" s="4"/>
    </row>
    <row r="840" spans="6:11" x14ac:dyDescent="0.2">
      <c r="F840" s="4"/>
      <c r="G840" s="4"/>
      <c r="H840" s="4"/>
      <c r="I840" s="4"/>
      <c r="J840" s="4"/>
      <c r="K840" s="4"/>
    </row>
    <row r="841" spans="6:11" x14ac:dyDescent="0.2">
      <c r="F841" s="4"/>
      <c r="G841" s="4"/>
      <c r="H841" s="4"/>
      <c r="I841" s="4"/>
      <c r="J841" s="4"/>
      <c r="K841" s="4"/>
    </row>
    <row r="842" spans="6:11" x14ac:dyDescent="0.2">
      <c r="F842" s="4"/>
      <c r="G842" s="4"/>
      <c r="H842" s="4"/>
      <c r="I842" s="4"/>
      <c r="J842" s="4"/>
      <c r="K842" s="4"/>
    </row>
    <row r="843" spans="6:11" x14ac:dyDescent="0.2">
      <c r="F843" s="4"/>
      <c r="G843" s="4"/>
      <c r="H843" s="4"/>
      <c r="I843" s="4"/>
      <c r="J843" s="4"/>
      <c r="K843" s="4"/>
    </row>
    <row r="844" spans="6:11" x14ac:dyDescent="0.2">
      <c r="F844" s="4"/>
      <c r="G844" s="4"/>
      <c r="H844" s="4"/>
      <c r="I844" s="4"/>
      <c r="J844" s="4"/>
      <c r="K844" s="4"/>
    </row>
    <row r="845" spans="6:11" x14ac:dyDescent="0.2">
      <c r="F845" s="4"/>
      <c r="G845" s="4"/>
      <c r="H845" s="4"/>
      <c r="I845" s="4"/>
      <c r="J845" s="4"/>
      <c r="K845" s="4"/>
    </row>
    <row r="846" spans="6:11" x14ac:dyDescent="0.2">
      <c r="F846" s="4"/>
      <c r="G846" s="4"/>
      <c r="H846" s="4"/>
      <c r="I846" s="4"/>
      <c r="J846" s="4"/>
      <c r="K846" s="4"/>
    </row>
    <row r="847" spans="6:11" x14ac:dyDescent="0.2">
      <c r="F847" s="4"/>
      <c r="G847" s="4"/>
      <c r="H847" s="4"/>
      <c r="I847" s="4"/>
      <c r="J847" s="4"/>
      <c r="K847" s="4"/>
    </row>
    <row r="848" spans="6:11" x14ac:dyDescent="0.2">
      <c r="F848" s="4"/>
      <c r="G848" s="4"/>
      <c r="H848" s="4"/>
      <c r="I848" s="4"/>
      <c r="J848" s="4"/>
      <c r="K848" s="4"/>
    </row>
    <row r="849" spans="6:11" x14ac:dyDescent="0.2">
      <c r="F849" s="4"/>
      <c r="G849" s="4"/>
      <c r="H849" s="4"/>
      <c r="I849" s="4"/>
      <c r="J849" s="4"/>
      <c r="K849" s="4"/>
    </row>
    <row r="850" spans="6:11" x14ac:dyDescent="0.2">
      <c r="F850" s="4"/>
      <c r="G850" s="4"/>
      <c r="H850" s="4"/>
      <c r="I850" s="4"/>
      <c r="J850" s="4"/>
      <c r="K850" s="4"/>
    </row>
    <row r="851" spans="6:11" x14ac:dyDescent="0.2">
      <c r="F851" s="4"/>
      <c r="G851" s="4"/>
      <c r="H851" s="4"/>
      <c r="I851" s="4"/>
      <c r="J851" s="4"/>
      <c r="K851" s="4"/>
    </row>
    <row r="852" spans="6:11" x14ac:dyDescent="0.2">
      <c r="F852" s="4"/>
      <c r="G852" s="4"/>
      <c r="H852" s="4"/>
      <c r="I852" s="4"/>
      <c r="J852" s="4"/>
      <c r="K852" s="4"/>
    </row>
    <row r="853" spans="6:11" x14ac:dyDescent="0.2">
      <c r="F853" s="4"/>
      <c r="G853" s="4"/>
      <c r="H853" s="4"/>
      <c r="I853" s="4"/>
      <c r="J853" s="4"/>
      <c r="K853" s="4"/>
    </row>
    <row r="854" spans="6:11" x14ac:dyDescent="0.2">
      <c r="F854" s="4"/>
      <c r="G854" s="4"/>
      <c r="H854" s="4"/>
      <c r="I854" s="4"/>
      <c r="J854" s="4"/>
      <c r="K854" s="4"/>
    </row>
    <row r="855" spans="6:11" x14ac:dyDescent="0.2">
      <c r="F855" s="4"/>
      <c r="G855" s="4"/>
      <c r="H855" s="4"/>
      <c r="I855" s="4"/>
      <c r="J855" s="4"/>
      <c r="K855" s="4"/>
    </row>
    <row r="856" spans="6:11" x14ac:dyDescent="0.2">
      <c r="F856" s="4"/>
      <c r="G856" s="4"/>
      <c r="H856" s="4"/>
      <c r="I856" s="4"/>
      <c r="J856" s="4"/>
      <c r="K856" s="4"/>
    </row>
    <row r="857" spans="6:11" x14ac:dyDescent="0.2">
      <c r="F857" s="4"/>
      <c r="G857" s="4"/>
      <c r="H857" s="4"/>
      <c r="I857" s="4"/>
      <c r="J857" s="4"/>
      <c r="K857" s="4"/>
    </row>
    <row r="858" spans="6:11" x14ac:dyDescent="0.2">
      <c r="F858" s="4"/>
      <c r="G858" s="4"/>
      <c r="H858" s="4"/>
      <c r="I858" s="4"/>
      <c r="J858" s="4"/>
      <c r="K858" s="4"/>
    </row>
    <row r="859" spans="6:11" x14ac:dyDescent="0.2">
      <c r="F859" s="4"/>
      <c r="G859" s="4"/>
      <c r="H859" s="4"/>
      <c r="I859" s="4"/>
      <c r="J859" s="4"/>
      <c r="K859" s="4"/>
    </row>
    <row r="860" spans="6:11" x14ac:dyDescent="0.2">
      <c r="F860" s="4"/>
      <c r="G860" s="4"/>
      <c r="H860" s="4"/>
      <c r="I860" s="4"/>
      <c r="J860" s="4"/>
      <c r="K860" s="4"/>
    </row>
    <row r="861" spans="6:11" x14ac:dyDescent="0.2">
      <c r="F861" s="4"/>
      <c r="G861" s="4"/>
      <c r="H861" s="4"/>
      <c r="I861" s="4"/>
      <c r="J861" s="4"/>
      <c r="K861" s="4"/>
    </row>
    <row r="862" spans="6:11" x14ac:dyDescent="0.2">
      <c r="F862" s="4"/>
      <c r="G862" s="4"/>
      <c r="H862" s="4"/>
      <c r="I862" s="4"/>
      <c r="J862" s="4"/>
      <c r="K862" s="4"/>
    </row>
    <row r="863" spans="6:11" x14ac:dyDescent="0.2">
      <c r="F863" s="4"/>
      <c r="G863" s="4"/>
      <c r="H863" s="4"/>
      <c r="I863" s="4"/>
      <c r="J863" s="4"/>
      <c r="K863" s="4"/>
    </row>
    <row r="864" spans="6:11" x14ac:dyDescent="0.2">
      <c r="F864" s="4"/>
      <c r="G864" s="4"/>
      <c r="H864" s="4"/>
      <c r="I864" s="4"/>
      <c r="J864" s="4"/>
      <c r="K864" s="4"/>
    </row>
    <row r="865" spans="6:11" x14ac:dyDescent="0.2">
      <c r="F865" s="4"/>
      <c r="G865" s="4"/>
      <c r="H865" s="4"/>
      <c r="I865" s="4"/>
      <c r="J865" s="4"/>
      <c r="K865" s="4"/>
    </row>
    <row r="866" spans="6:11" x14ac:dyDescent="0.2">
      <c r="F866" s="4"/>
      <c r="G866" s="4"/>
      <c r="H866" s="4"/>
      <c r="I866" s="4"/>
      <c r="J866" s="4"/>
      <c r="K866" s="4"/>
    </row>
    <row r="867" spans="6:11" x14ac:dyDescent="0.2">
      <c r="F867" s="4"/>
      <c r="G867" s="4"/>
      <c r="H867" s="4"/>
      <c r="I867" s="4"/>
      <c r="J867" s="4"/>
      <c r="K867" s="4"/>
    </row>
    <row r="868" spans="6:11" x14ac:dyDescent="0.2">
      <c r="F868" s="4"/>
      <c r="G868" s="4"/>
      <c r="H868" s="4"/>
      <c r="I868" s="4"/>
      <c r="J868" s="4"/>
      <c r="K868" s="4"/>
    </row>
    <row r="869" spans="6:11" x14ac:dyDescent="0.2">
      <c r="F869" s="4"/>
      <c r="G869" s="4"/>
      <c r="H869" s="4"/>
      <c r="I869" s="4"/>
      <c r="J869" s="4"/>
      <c r="K869" s="4"/>
    </row>
    <row r="870" spans="6:11" x14ac:dyDescent="0.2">
      <c r="F870" s="4"/>
      <c r="G870" s="4"/>
      <c r="H870" s="4"/>
      <c r="I870" s="4"/>
      <c r="J870" s="4"/>
      <c r="K870" s="4"/>
    </row>
    <row r="871" spans="6:11" x14ac:dyDescent="0.2">
      <c r="F871" s="4"/>
      <c r="G871" s="4"/>
      <c r="H871" s="4"/>
      <c r="I871" s="4"/>
      <c r="J871" s="4"/>
      <c r="K871" s="4"/>
    </row>
    <row r="872" spans="6:11" x14ac:dyDescent="0.2">
      <c r="F872" s="4"/>
      <c r="G872" s="4"/>
      <c r="H872" s="4"/>
      <c r="I872" s="4"/>
      <c r="J872" s="4"/>
      <c r="K872" s="4"/>
    </row>
    <row r="873" spans="6:11" x14ac:dyDescent="0.2">
      <c r="F873" s="4"/>
      <c r="G873" s="4"/>
      <c r="H873" s="4"/>
      <c r="I873" s="4"/>
      <c r="J873" s="4"/>
      <c r="K873" s="4"/>
    </row>
    <row r="874" spans="6:11" x14ac:dyDescent="0.2">
      <c r="F874" s="4"/>
      <c r="G874" s="4"/>
      <c r="H874" s="4"/>
      <c r="I874" s="4"/>
      <c r="J874" s="4"/>
      <c r="K874" s="4"/>
    </row>
    <row r="875" spans="6:11" x14ac:dyDescent="0.2">
      <c r="F875" s="4"/>
      <c r="G875" s="4"/>
      <c r="H875" s="4"/>
      <c r="I875" s="4"/>
      <c r="J875" s="4"/>
      <c r="K875" s="4"/>
    </row>
    <row r="876" spans="6:11" x14ac:dyDescent="0.2">
      <c r="F876" s="4"/>
      <c r="G876" s="4"/>
      <c r="H876" s="4"/>
      <c r="I876" s="4"/>
      <c r="J876" s="4"/>
      <c r="K876" s="4"/>
    </row>
    <row r="877" spans="6:11" x14ac:dyDescent="0.2">
      <c r="F877" s="4"/>
      <c r="G877" s="4"/>
      <c r="H877" s="4"/>
      <c r="I877" s="4"/>
      <c r="J877" s="4"/>
      <c r="K877" s="4"/>
    </row>
    <row r="878" spans="6:11" x14ac:dyDescent="0.2">
      <c r="F878" s="4"/>
      <c r="G878" s="4"/>
      <c r="H878" s="4"/>
      <c r="I878" s="4"/>
      <c r="J878" s="4"/>
      <c r="K878" s="4"/>
    </row>
    <row r="879" spans="6:11" x14ac:dyDescent="0.2">
      <c r="F879" s="4"/>
      <c r="G879" s="4"/>
      <c r="H879" s="4"/>
      <c r="I879" s="4"/>
      <c r="J879" s="4"/>
      <c r="K879" s="4"/>
    </row>
    <row r="880" spans="6:11" x14ac:dyDescent="0.2">
      <c r="F880" s="4"/>
      <c r="G880" s="4"/>
      <c r="H880" s="4"/>
      <c r="I880" s="4"/>
      <c r="J880" s="4"/>
      <c r="K880" s="4"/>
    </row>
    <row r="881" spans="6:11" x14ac:dyDescent="0.2">
      <c r="F881" s="4"/>
      <c r="G881" s="4"/>
      <c r="H881" s="4"/>
      <c r="I881" s="4"/>
      <c r="J881" s="4"/>
      <c r="K881" s="4"/>
    </row>
    <row r="882" spans="6:11" x14ac:dyDescent="0.2">
      <c r="F882" s="4"/>
      <c r="G882" s="4"/>
      <c r="H882" s="4"/>
      <c r="I882" s="4"/>
      <c r="J882" s="4"/>
      <c r="K882" s="4"/>
    </row>
  </sheetData>
  <phoneticPr fontId="0" type="noConversion"/>
  <conditionalFormatting sqref="H7:H495 J7:J495">
    <cfRule type="cellIs" dxfId="3205" priority="1" stopIfTrue="1" operator="lessThanOrEqual">
      <formula>0</formula>
    </cfRule>
  </conditionalFormatting>
  <conditionalFormatting sqref="K7:K495">
    <cfRule type="cellIs" dxfId="3204" priority="2" stopIfTrue="1" operator="greaterThan">
      <formula>$I$495</formula>
    </cfRule>
  </conditionalFormatting>
  <conditionalFormatting sqref="I7:I495">
    <cfRule type="cellIs" dxfId="3203" priority="3" stopIfTrue="1" operator="greaterThan">
      <formula>H7*2</formula>
    </cfRule>
  </conditionalFormatting>
  <conditionalFormatting sqref="F7:F495">
    <cfRule type="cellIs" dxfId="3202" priority="4" stopIfTrue="1" operator="greaterThan">
      <formula>$D$20</formula>
    </cfRule>
  </conditionalFormatting>
  <pageMargins left="0.78740157499999996" right="0.78740157499999996" top="0.984251969" bottom="0.984251969" header="0.4921259845" footer="0.4921259845"/>
  <pageSetup paperSize="9" scale="82" orientation="portrait"/>
  <headerFooter alignWithMargins="0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>
    <tabColor rgb="FFFF0000"/>
    <outlinePr summaryBelow="0"/>
  </sheetPr>
  <dimension ref="A1:AP618"/>
  <sheetViews>
    <sheetView showGridLines="0" zoomScaleNormal="100" workbookViewId="0">
      <pane xSplit="6" ySplit="8" topLeftCell="G9" activePane="bottomRight" state="frozen"/>
      <selection activeCell="D8" sqref="D8"/>
      <selection pane="topRight" activeCell="D8" sqref="D8"/>
      <selection pane="bottomLeft" activeCell="D8" sqref="D8"/>
      <selection pane="bottomRight" activeCell="G9" sqref="G9"/>
    </sheetView>
  </sheetViews>
  <sheetFormatPr baseColWidth="10" defaultColWidth="9.28515625" defaultRowHeight="12.75" outlineLevelRow="1" x14ac:dyDescent="0.2"/>
  <cols>
    <col min="1" max="1" width="16" style="611" customWidth="1"/>
    <col min="2" max="2" width="62.85546875" style="1" bestFit="1" customWidth="1"/>
    <col min="3" max="3" width="12.85546875" style="1" bestFit="1" customWidth="1"/>
    <col min="4" max="4" width="34.5703125" style="635" bestFit="1" customWidth="1"/>
    <col min="5" max="5" width="3.140625" style="636" customWidth="1"/>
    <col min="6" max="6" width="4.28515625" style="611" customWidth="1"/>
    <col min="7" max="42" width="23.7109375" style="637" customWidth="1"/>
    <col min="43" max="257" width="9.28515625" style="1" customWidth="1"/>
    <col min="258" max="258" width="16" style="1" customWidth="1"/>
    <col min="259" max="259" width="40.7109375" style="1" bestFit="1" customWidth="1"/>
    <col min="260" max="260" width="14.5703125" style="1" bestFit="1" customWidth="1"/>
    <col min="261" max="261" width="2.5703125" style="1" bestFit="1" customWidth="1"/>
    <col min="262" max="262" width="4.28515625" style="1" customWidth="1"/>
    <col min="263" max="263" width="12.7109375" style="1" bestFit="1" customWidth="1"/>
    <col min="264" max="264" width="11.7109375" style="1" customWidth="1"/>
    <col min="265" max="265" width="12.7109375" style="1" bestFit="1" customWidth="1"/>
    <col min="266" max="267" width="13" style="1" bestFit="1" customWidth="1"/>
    <col min="268" max="270" width="11.7109375" style="1" customWidth="1"/>
    <col min="271" max="271" width="13.7109375" style="1" bestFit="1" customWidth="1"/>
    <col min="272" max="274" width="11.7109375" style="1" customWidth="1"/>
    <col min="275" max="275" width="9.28515625" style="1" customWidth="1"/>
    <col min="276" max="276" width="10.7109375" style="1" bestFit="1" customWidth="1"/>
    <col min="277" max="513" width="9.28515625" style="1" customWidth="1"/>
    <col min="514" max="514" width="16" style="1" customWidth="1"/>
    <col min="515" max="515" width="40.7109375" style="1" bestFit="1" customWidth="1"/>
    <col min="516" max="516" width="14.5703125" style="1" bestFit="1" customWidth="1"/>
    <col min="517" max="517" width="2.5703125" style="1" bestFit="1" customWidth="1"/>
    <col min="518" max="518" width="4.28515625" style="1" customWidth="1"/>
    <col min="519" max="519" width="12.7109375" style="1" bestFit="1" customWidth="1"/>
    <col min="520" max="520" width="11.7109375" style="1" customWidth="1"/>
    <col min="521" max="521" width="12.7109375" style="1" bestFit="1" customWidth="1"/>
    <col min="522" max="523" width="13" style="1" bestFit="1" customWidth="1"/>
    <col min="524" max="526" width="11.7109375" style="1" customWidth="1"/>
    <col min="527" max="527" width="13.7109375" style="1" bestFit="1" customWidth="1"/>
    <col min="528" max="530" width="11.7109375" style="1" customWidth="1"/>
    <col min="531" max="531" width="9.28515625" style="1" customWidth="1"/>
    <col min="532" max="532" width="10.7109375" style="1" bestFit="1" customWidth="1"/>
    <col min="533" max="769" width="9.28515625" style="1" customWidth="1"/>
    <col min="770" max="770" width="16" style="1" customWidth="1"/>
    <col min="771" max="771" width="40.7109375" style="1" bestFit="1" customWidth="1"/>
    <col min="772" max="772" width="14.5703125" style="1" bestFit="1" customWidth="1"/>
    <col min="773" max="773" width="2.5703125" style="1" bestFit="1" customWidth="1"/>
    <col min="774" max="774" width="4.28515625" style="1" customWidth="1"/>
    <col min="775" max="775" width="12.7109375" style="1" bestFit="1" customWidth="1"/>
    <col min="776" max="776" width="11.7109375" style="1" customWidth="1"/>
    <col min="777" max="777" width="12.7109375" style="1" bestFit="1" customWidth="1"/>
    <col min="778" max="779" width="13" style="1" bestFit="1" customWidth="1"/>
    <col min="780" max="782" width="11.7109375" style="1" customWidth="1"/>
    <col min="783" max="783" width="13.7109375" style="1" bestFit="1" customWidth="1"/>
    <col min="784" max="786" width="11.7109375" style="1" customWidth="1"/>
    <col min="787" max="787" width="9.28515625" style="1" customWidth="1"/>
    <col min="788" max="788" width="10.7109375" style="1" bestFit="1" customWidth="1"/>
    <col min="789" max="1025" width="9.28515625" style="1" customWidth="1"/>
    <col min="1026" max="1026" width="16" style="1" customWidth="1"/>
    <col min="1027" max="1027" width="40.7109375" style="1" bestFit="1" customWidth="1"/>
    <col min="1028" max="1028" width="14.5703125" style="1" bestFit="1" customWidth="1"/>
    <col min="1029" max="1029" width="2.5703125" style="1" bestFit="1" customWidth="1"/>
    <col min="1030" max="1030" width="4.28515625" style="1" customWidth="1"/>
    <col min="1031" max="1031" width="12.7109375" style="1" bestFit="1" customWidth="1"/>
    <col min="1032" max="1032" width="11.7109375" style="1" customWidth="1"/>
    <col min="1033" max="1033" width="12.7109375" style="1" bestFit="1" customWidth="1"/>
    <col min="1034" max="1035" width="13" style="1" bestFit="1" customWidth="1"/>
    <col min="1036" max="1038" width="11.7109375" style="1" customWidth="1"/>
    <col min="1039" max="1039" width="13.7109375" style="1" bestFit="1" customWidth="1"/>
    <col min="1040" max="1042" width="11.7109375" style="1" customWidth="1"/>
    <col min="1043" max="1043" width="9.28515625" style="1" customWidth="1"/>
    <col min="1044" max="1044" width="10.7109375" style="1" bestFit="1" customWidth="1"/>
    <col min="1045" max="1281" width="9.28515625" style="1" customWidth="1"/>
    <col min="1282" max="1282" width="16" style="1" customWidth="1"/>
    <col min="1283" max="1283" width="40.7109375" style="1" bestFit="1" customWidth="1"/>
    <col min="1284" max="1284" width="14.5703125" style="1" bestFit="1" customWidth="1"/>
    <col min="1285" max="1285" width="2.5703125" style="1" bestFit="1" customWidth="1"/>
    <col min="1286" max="1286" width="4.28515625" style="1" customWidth="1"/>
    <col min="1287" max="1287" width="12.7109375" style="1" bestFit="1" customWidth="1"/>
    <col min="1288" max="1288" width="11.7109375" style="1" customWidth="1"/>
    <col min="1289" max="1289" width="12.7109375" style="1" bestFit="1" customWidth="1"/>
    <col min="1290" max="1291" width="13" style="1" bestFit="1" customWidth="1"/>
    <col min="1292" max="1294" width="11.7109375" style="1" customWidth="1"/>
    <col min="1295" max="1295" width="13.7109375" style="1" bestFit="1" customWidth="1"/>
    <col min="1296" max="1298" width="11.7109375" style="1" customWidth="1"/>
    <col min="1299" max="1299" width="9.28515625" style="1" customWidth="1"/>
    <col min="1300" max="1300" width="10.7109375" style="1" bestFit="1" customWidth="1"/>
    <col min="1301" max="1537" width="9.28515625" style="1" customWidth="1"/>
    <col min="1538" max="1538" width="16" style="1" customWidth="1"/>
    <col min="1539" max="1539" width="40.7109375" style="1" bestFit="1" customWidth="1"/>
    <col min="1540" max="1540" width="14.5703125" style="1" bestFit="1" customWidth="1"/>
    <col min="1541" max="1541" width="2.5703125" style="1" bestFit="1" customWidth="1"/>
    <col min="1542" max="1542" width="4.28515625" style="1" customWidth="1"/>
    <col min="1543" max="1543" width="12.7109375" style="1" bestFit="1" customWidth="1"/>
    <col min="1544" max="1544" width="11.7109375" style="1" customWidth="1"/>
    <col min="1545" max="1545" width="12.7109375" style="1" bestFit="1" customWidth="1"/>
    <col min="1546" max="1547" width="13" style="1" bestFit="1" customWidth="1"/>
    <col min="1548" max="1550" width="11.7109375" style="1" customWidth="1"/>
    <col min="1551" max="1551" width="13.7109375" style="1" bestFit="1" customWidth="1"/>
    <col min="1552" max="1554" width="11.7109375" style="1" customWidth="1"/>
    <col min="1555" max="1555" width="9.28515625" style="1" customWidth="1"/>
    <col min="1556" max="1556" width="10.7109375" style="1" bestFit="1" customWidth="1"/>
    <col min="1557" max="1793" width="9.28515625" style="1" customWidth="1"/>
    <col min="1794" max="1794" width="16" style="1" customWidth="1"/>
    <col min="1795" max="1795" width="40.7109375" style="1" bestFit="1" customWidth="1"/>
    <col min="1796" max="1796" width="14.5703125" style="1" bestFit="1" customWidth="1"/>
    <col min="1797" max="1797" width="2.5703125" style="1" bestFit="1" customWidth="1"/>
    <col min="1798" max="1798" width="4.28515625" style="1" customWidth="1"/>
    <col min="1799" max="1799" width="12.7109375" style="1" bestFit="1" customWidth="1"/>
    <col min="1800" max="1800" width="11.7109375" style="1" customWidth="1"/>
    <col min="1801" max="1801" width="12.7109375" style="1" bestFit="1" customWidth="1"/>
    <col min="1802" max="1803" width="13" style="1" bestFit="1" customWidth="1"/>
    <col min="1804" max="1806" width="11.7109375" style="1" customWidth="1"/>
    <col min="1807" max="1807" width="13.7109375" style="1" bestFit="1" customWidth="1"/>
    <col min="1808" max="1810" width="11.7109375" style="1" customWidth="1"/>
    <col min="1811" max="1811" width="9.28515625" style="1" customWidth="1"/>
    <col min="1812" max="1812" width="10.7109375" style="1" bestFit="1" customWidth="1"/>
    <col min="1813" max="2049" width="9.28515625" style="1" customWidth="1"/>
    <col min="2050" max="2050" width="16" style="1" customWidth="1"/>
    <col min="2051" max="2051" width="40.7109375" style="1" bestFit="1" customWidth="1"/>
    <col min="2052" max="2052" width="14.5703125" style="1" bestFit="1" customWidth="1"/>
    <col min="2053" max="2053" width="2.5703125" style="1" bestFit="1" customWidth="1"/>
    <col min="2054" max="2054" width="4.28515625" style="1" customWidth="1"/>
    <col min="2055" max="2055" width="12.7109375" style="1" bestFit="1" customWidth="1"/>
    <col min="2056" max="2056" width="11.7109375" style="1" customWidth="1"/>
    <col min="2057" max="2057" width="12.7109375" style="1" bestFit="1" customWidth="1"/>
    <col min="2058" max="2059" width="13" style="1" bestFit="1" customWidth="1"/>
    <col min="2060" max="2062" width="11.7109375" style="1" customWidth="1"/>
    <col min="2063" max="2063" width="13.7109375" style="1" bestFit="1" customWidth="1"/>
    <col min="2064" max="2066" width="11.7109375" style="1" customWidth="1"/>
    <col min="2067" max="2067" width="9.28515625" style="1" customWidth="1"/>
    <col min="2068" max="2068" width="10.7109375" style="1" bestFit="1" customWidth="1"/>
    <col min="2069" max="2305" width="9.28515625" style="1" customWidth="1"/>
    <col min="2306" max="2306" width="16" style="1" customWidth="1"/>
    <col min="2307" max="2307" width="40.7109375" style="1" bestFit="1" customWidth="1"/>
    <col min="2308" max="2308" width="14.5703125" style="1" bestFit="1" customWidth="1"/>
    <col min="2309" max="2309" width="2.5703125" style="1" bestFit="1" customWidth="1"/>
    <col min="2310" max="2310" width="4.28515625" style="1" customWidth="1"/>
    <col min="2311" max="2311" width="12.7109375" style="1" bestFit="1" customWidth="1"/>
    <col min="2312" max="2312" width="11.7109375" style="1" customWidth="1"/>
    <col min="2313" max="2313" width="12.7109375" style="1" bestFit="1" customWidth="1"/>
    <col min="2314" max="2315" width="13" style="1" bestFit="1" customWidth="1"/>
    <col min="2316" max="2318" width="11.7109375" style="1" customWidth="1"/>
    <col min="2319" max="2319" width="13.7109375" style="1" bestFit="1" customWidth="1"/>
    <col min="2320" max="2322" width="11.7109375" style="1" customWidth="1"/>
    <col min="2323" max="2323" width="9.28515625" style="1" customWidth="1"/>
    <col min="2324" max="2324" width="10.7109375" style="1" bestFit="1" customWidth="1"/>
    <col min="2325" max="2561" width="9.28515625" style="1" customWidth="1"/>
    <col min="2562" max="2562" width="16" style="1" customWidth="1"/>
    <col min="2563" max="2563" width="40.7109375" style="1" bestFit="1" customWidth="1"/>
    <col min="2564" max="2564" width="14.5703125" style="1" bestFit="1" customWidth="1"/>
    <col min="2565" max="2565" width="2.5703125" style="1" bestFit="1" customWidth="1"/>
    <col min="2566" max="2566" width="4.28515625" style="1" customWidth="1"/>
    <col min="2567" max="2567" width="12.7109375" style="1" bestFit="1" customWidth="1"/>
    <col min="2568" max="2568" width="11.7109375" style="1" customWidth="1"/>
    <col min="2569" max="2569" width="12.7109375" style="1" bestFit="1" customWidth="1"/>
    <col min="2570" max="2571" width="13" style="1" bestFit="1" customWidth="1"/>
    <col min="2572" max="2574" width="11.7109375" style="1" customWidth="1"/>
    <col min="2575" max="2575" width="13.7109375" style="1" bestFit="1" customWidth="1"/>
    <col min="2576" max="2578" width="11.7109375" style="1" customWidth="1"/>
    <col min="2579" max="2579" width="9.28515625" style="1" customWidth="1"/>
    <col min="2580" max="2580" width="10.7109375" style="1" bestFit="1" customWidth="1"/>
    <col min="2581" max="2817" width="9.28515625" style="1" customWidth="1"/>
    <col min="2818" max="2818" width="16" style="1" customWidth="1"/>
    <col min="2819" max="2819" width="40.7109375" style="1" bestFit="1" customWidth="1"/>
    <col min="2820" max="2820" width="14.5703125" style="1" bestFit="1" customWidth="1"/>
    <col min="2821" max="2821" width="2.5703125" style="1" bestFit="1" customWidth="1"/>
    <col min="2822" max="2822" width="4.28515625" style="1" customWidth="1"/>
    <col min="2823" max="2823" width="12.7109375" style="1" bestFit="1" customWidth="1"/>
    <col min="2824" max="2824" width="11.7109375" style="1" customWidth="1"/>
    <col min="2825" max="2825" width="12.7109375" style="1" bestFit="1" customWidth="1"/>
    <col min="2826" max="2827" width="13" style="1" bestFit="1" customWidth="1"/>
    <col min="2828" max="2830" width="11.7109375" style="1" customWidth="1"/>
    <col min="2831" max="2831" width="13.7109375" style="1" bestFit="1" customWidth="1"/>
    <col min="2832" max="2834" width="11.7109375" style="1" customWidth="1"/>
    <col min="2835" max="2835" width="9.28515625" style="1" customWidth="1"/>
    <col min="2836" max="2836" width="10.7109375" style="1" bestFit="1" customWidth="1"/>
    <col min="2837" max="3073" width="9.28515625" style="1" customWidth="1"/>
    <col min="3074" max="3074" width="16" style="1" customWidth="1"/>
    <col min="3075" max="3075" width="40.7109375" style="1" bestFit="1" customWidth="1"/>
    <col min="3076" max="3076" width="14.5703125" style="1" bestFit="1" customWidth="1"/>
    <col min="3077" max="3077" width="2.5703125" style="1" bestFit="1" customWidth="1"/>
    <col min="3078" max="3078" width="4.28515625" style="1" customWidth="1"/>
    <col min="3079" max="3079" width="12.7109375" style="1" bestFit="1" customWidth="1"/>
    <col min="3080" max="3080" width="11.7109375" style="1" customWidth="1"/>
    <col min="3081" max="3081" width="12.7109375" style="1" bestFit="1" customWidth="1"/>
    <col min="3082" max="3083" width="13" style="1" bestFit="1" customWidth="1"/>
    <col min="3084" max="3086" width="11.7109375" style="1" customWidth="1"/>
    <col min="3087" max="3087" width="13.7109375" style="1" bestFit="1" customWidth="1"/>
    <col min="3088" max="3090" width="11.7109375" style="1" customWidth="1"/>
    <col min="3091" max="3091" width="9.28515625" style="1" customWidth="1"/>
    <col min="3092" max="3092" width="10.7109375" style="1" bestFit="1" customWidth="1"/>
    <col min="3093" max="3329" width="9.28515625" style="1" customWidth="1"/>
    <col min="3330" max="3330" width="16" style="1" customWidth="1"/>
    <col min="3331" max="3331" width="40.7109375" style="1" bestFit="1" customWidth="1"/>
    <col min="3332" max="3332" width="14.5703125" style="1" bestFit="1" customWidth="1"/>
    <col min="3333" max="3333" width="2.5703125" style="1" bestFit="1" customWidth="1"/>
    <col min="3334" max="3334" width="4.28515625" style="1" customWidth="1"/>
    <col min="3335" max="3335" width="12.7109375" style="1" bestFit="1" customWidth="1"/>
    <col min="3336" max="3336" width="11.7109375" style="1" customWidth="1"/>
    <col min="3337" max="3337" width="12.7109375" style="1" bestFit="1" customWidth="1"/>
    <col min="3338" max="3339" width="13" style="1" bestFit="1" customWidth="1"/>
    <col min="3340" max="3342" width="11.7109375" style="1" customWidth="1"/>
    <col min="3343" max="3343" width="13.7109375" style="1" bestFit="1" customWidth="1"/>
    <col min="3344" max="3346" width="11.7109375" style="1" customWidth="1"/>
    <col min="3347" max="3347" width="9.28515625" style="1" customWidth="1"/>
    <col min="3348" max="3348" width="10.7109375" style="1" bestFit="1" customWidth="1"/>
    <col min="3349" max="3585" width="9.28515625" style="1" customWidth="1"/>
    <col min="3586" max="3586" width="16" style="1" customWidth="1"/>
    <col min="3587" max="3587" width="40.7109375" style="1" bestFit="1" customWidth="1"/>
    <col min="3588" max="3588" width="14.5703125" style="1" bestFit="1" customWidth="1"/>
    <col min="3589" max="3589" width="2.5703125" style="1" bestFit="1" customWidth="1"/>
    <col min="3590" max="3590" width="4.28515625" style="1" customWidth="1"/>
    <col min="3591" max="3591" width="12.7109375" style="1" bestFit="1" customWidth="1"/>
    <col min="3592" max="3592" width="11.7109375" style="1" customWidth="1"/>
    <col min="3593" max="3593" width="12.7109375" style="1" bestFit="1" customWidth="1"/>
    <col min="3594" max="3595" width="13" style="1" bestFit="1" customWidth="1"/>
    <col min="3596" max="3598" width="11.7109375" style="1" customWidth="1"/>
    <col min="3599" max="3599" width="13.7109375" style="1" bestFit="1" customWidth="1"/>
    <col min="3600" max="3602" width="11.7109375" style="1" customWidth="1"/>
    <col min="3603" max="3603" width="9.28515625" style="1" customWidth="1"/>
    <col min="3604" max="3604" width="10.7109375" style="1" bestFit="1" customWidth="1"/>
    <col min="3605" max="3841" width="9.28515625" style="1" customWidth="1"/>
    <col min="3842" max="3842" width="16" style="1" customWidth="1"/>
    <col min="3843" max="3843" width="40.7109375" style="1" bestFit="1" customWidth="1"/>
    <col min="3844" max="3844" width="14.5703125" style="1" bestFit="1" customWidth="1"/>
    <col min="3845" max="3845" width="2.5703125" style="1" bestFit="1" customWidth="1"/>
    <col min="3846" max="3846" width="4.28515625" style="1" customWidth="1"/>
    <col min="3847" max="3847" width="12.7109375" style="1" bestFit="1" customWidth="1"/>
    <col min="3848" max="3848" width="11.7109375" style="1" customWidth="1"/>
    <col min="3849" max="3849" width="12.7109375" style="1" bestFit="1" customWidth="1"/>
    <col min="3850" max="3851" width="13" style="1" bestFit="1" customWidth="1"/>
    <col min="3852" max="3854" width="11.7109375" style="1" customWidth="1"/>
    <col min="3855" max="3855" width="13.7109375" style="1" bestFit="1" customWidth="1"/>
    <col min="3856" max="3858" width="11.7109375" style="1" customWidth="1"/>
    <col min="3859" max="3859" width="9.28515625" style="1" customWidth="1"/>
    <col min="3860" max="3860" width="10.7109375" style="1" bestFit="1" customWidth="1"/>
    <col min="3861" max="4097" width="9.28515625" style="1" customWidth="1"/>
    <col min="4098" max="4098" width="16" style="1" customWidth="1"/>
    <col min="4099" max="4099" width="40.7109375" style="1" bestFit="1" customWidth="1"/>
    <col min="4100" max="4100" width="14.5703125" style="1" bestFit="1" customWidth="1"/>
    <col min="4101" max="4101" width="2.5703125" style="1" bestFit="1" customWidth="1"/>
    <col min="4102" max="4102" width="4.28515625" style="1" customWidth="1"/>
    <col min="4103" max="4103" width="12.7109375" style="1" bestFit="1" customWidth="1"/>
    <col min="4104" max="4104" width="11.7109375" style="1" customWidth="1"/>
    <col min="4105" max="4105" width="12.7109375" style="1" bestFit="1" customWidth="1"/>
    <col min="4106" max="4107" width="13" style="1" bestFit="1" customWidth="1"/>
    <col min="4108" max="4110" width="11.7109375" style="1" customWidth="1"/>
    <col min="4111" max="4111" width="13.7109375" style="1" bestFit="1" customWidth="1"/>
    <col min="4112" max="4114" width="11.7109375" style="1" customWidth="1"/>
    <col min="4115" max="4115" width="9.28515625" style="1" customWidth="1"/>
    <col min="4116" max="4116" width="10.7109375" style="1" bestFit="1" customWidth="1"/>
    <col min="4117" max="4353" width="9.28515625" style="1" customWidth="1"/>
    <col min="4354" max="4354" width="16" style="1" customWidth="1"/>
    <col min="4355" max="4355" width="40.7109375" style="1" bestFit="1" customWidth="1"/>
    <col min="4356" max="4356" width="14.5703125" style="1" bestFit="1" customWidth="1"/>
    <col min="4357" max="4357" width="2.5703125" style="1" bestFit="1" customWidth="1"/>
    <col min="4358" max="4358" width="4.28515625" style="1" customWidth="1"/>
    <col min="4359" max="4359" width="12.7109375" style="1" bestFit="1" customWidth="1"/>
    <col min="4360" max="4360" width="11.7109375" style="1" customWidth="1"/>
    <col min="4361" max="4361" width="12.7109375" style="1" bestFit="1" customWidth="1"/>
    <col min="4362" max="4363" width="13" style="1" bestFit="1" customWidth="1"/>
    <col min="4364" max="4366" width="11.7109375" style="1" customWidth="1"/>
    <col min="4367" max="4367" width="13.7109375" style="1" bestFit="1" customWidth="1"/>
    <col min="4368" max="4370" width="11.7109375" style="1" customWidth="1"/>
    <col min="4371" max="4371" width="9.28515625" style="1" customWidth="1"/>
    <col min="4372" max="4372" width="10.7109375" style="1" bestFit="1" customWidth="1"/>
    <col min="4373" max="4609" width="9.28515625" style="1" customWidth="1"/>
    <col min="4610" max="4610" width="16" style="1" customWidth="1"/>
    <col min="4611" max="4611" width="40.7109375" style="1" bestFit="1" customWidth="1"/>
    <col min="4612" max="4612" width="14.5703125" style="1" bestFit="1" customWidth="1"/>
    <col min="4613" max="4613" width="2.5703125" style="1" bestFit="1" customWidth="1"/>
    <col min="4614" max="4614" width="4.28515625" style="1" customWidth="1"/>
    <col min="4615" max="4615" width="12.7109375" style="1" bestFit="1" customWidth="1"/>
    <col min="4616" max="4616" width="11.7109375" style="1" customWidth="1"/>
    <col min="4617" max="4617" width="12.7109375" style="1" bestFit="1" customWidth="1"/>
    <col min="4618" max="4619" width="13" style="1" bestFit="1" customWidth="1"/>
    <col min="4620" max="4622" width="11.7109375" style="1" customWidth="1"/>
    <col min="4623" max="4623" width="13.7109375" style="1" bestFit="1" customWidth="1"/>
    <col min="4624" max="4626" width="11.7109375" style="1" customWidth="1"/>
    <col min="4627" max="4627" width="9.28515625" style="1" customWidth="1"/>
    <col min="4628" max="4628" width="10.7109375" style="1" bestFit="1" customWidth="1"/>
    <col min="4629" max="4865" width="9.28515625" style="1" customWidth="1"/>
    <col min="4866" max="4866" width="16" style="1" customWidth="1"/>
    <col min="4867" max="4867" width="40.7109375" style="1" bestFit="1" customWidth="1"/>
    <col min="4868" max="4868" width="14.5703125" style="1" bestFit="1" customWidth="1"/>
    <col min="4869" max="4869" width="2.5703125" style="1" bestFit="1" customWidth="1"/>
    <col min="4870" max="4870" width="4.28515625" style="1" customWidth="1"/>
    <col min="4871" max="4871" width="12.7109375" style="1" bestFit="1" customWidth="1"/>
    <col min="4872" max="4872" width="11.7109375" style="1" customWidth="1"/>
    <col min="4873" max="4873" width="12.7109375" style="1" bestFit="1" customWidth="1"/>
    <col min="4874" max="4875" width="13" style="1" bestFit="1" customWidth="1"/>
    <col min="4876" max="4878" width="11.7109375" style="1" customWidth="1"/>
    <col min="4879" max="4879" width="13.7109375" style="1" bestFit="1" customWidth="1"/>
    <col min="4880" max="4882" width="11.7109375" style="1" customWidth="1"/>
    <col min="4883" max="4883" width="9.28515625" style="1" customWidth="1"/>
    <col min="4884" max="4884" width="10.7109375" style="1" bestFit="1" customWidth="1"/>
    <col min="4885" max="5121" width="9.28515625" style="1" customWidth="1"/>
    <col min="5122" max="5122" width="16" style="1" customWidth="1"/>
    <col min="5123" max="5123" width="40.7109375" style="1" bestFit="1" customWidth="1"/>
    <col min="5124" max="5124" width="14.5703125" style="1" bestFit="1" customWidth="1"/>
    <col min="5125" max="5125" width="2.5703125" style="1" bestFit="1" customWidth="1"/>
    <col min="5126" max="5126" width="4.28515625" style="1" customWidth="1"/>
    <col min="5127" max="5127" width="12.7109375" style="1" bestFit="1" customWidth="1"/>
    <col min="5128" max="5128" width="11.7109375" style="1" customWidth="1"/>
    <col min="5129" max="5129" width="12.7109375" style="1" bestFit="1" customWidth="1"/>
    <col min="5130" max="5131" width="13" style="1" bestFit="1" customWidth="1"/>
    <col min="5132" max="5134" width="11.7109375" style="1" customWidth="1"/>
    <col min="5135" max="5135" width="13.7109375" style="1" bestFit="1" customWidth="1"/>
    <col min="5136" max="5138" width="11.7109375" style="1" customWidth="1"/>
    <col min="5139" max="5139" width="9.28515625" style="1" customWidth="1"/>
    <col min="5140" max="5140" width="10.7109375" style="1" bestFit="1" customWidth="1"/>
    <col min="5141" max="5377" width="9.28515625" style="1" customWidth="1"/>
    <col min="5378" max="5378" width="16" style="1" customWidth="1"/>
    <col min="5379" max="5379" width="40.7109375" style="1" bestFit="1" customWidth="1"/>
    <col min="5380" max="5380" width="14.5703125" style="1" bestFit="1" customWidth="1"/>
    <col min="5381" max="5381" width="2.5703125" style="1" bestFit="1" customWidth="1"/>
    <col min="5382" max="5382" width="4.28515625" style="1" customWidth="1"/>
    <col min="5383" max="5383" width="12.7109375" style="1" bestFit="1" customWidth="1"/>
    <col min="5384" max="5384" width="11.7109375" style="1" customWidth="1"/>
    <col min="5385" max="5385" width="12.7109375" style="1" bestFit="1" customWidth="1"/>
    <col min="5386" max="5387" width="13" style="1" bestFit="1" customWidth="1"/>
    <col min="5388" max="5390" width="11.7109375" style="1" customWidth="1"/>
    <col min="5391" max="5391" width="13.7109375" style="1" bestFit="1" customWidth="1"/>
    <col min="5392" max="5394" width="11.7109375" style="1" customWidth="1"/>
    <col min="5395" max="5395" width="9.28515625" style="1" customWidth="1"/>
    <col min="5396" max="5396" width="10.7109375" style="1" bestFit="1" customWidth="1"/>
    <col min="5397" max="5633" width="9.28515625" style="1" customWidth="1"/>
    <col min="5634" max="5634" width="16" style="1" customWidth="1"/>
    <col min="5635" max="5635" width="40.7109375" style="1" bestFit="1" customWidth="1"/>
    <col min="5636" max="5636" width="14.5703125" style="1" bestFit="1" customWidth="1"/>
    <col min="5637" max="5637" width="2.5703125" style="1" bestFit="1" customWidth="1"/>
    <col min="5638" max="5638" width="4.28515625" style="1" customWidth="1"/>
    <col min="5639" max="5639" width="12.7109375" style="1" bestFit="1" customWidth="1"/>
    <col min="5640" max="5640" width="11.7109375" style="1" customWidth="1"/>
    <col min="5641" max="5641" width="12.7109375" style="1" bestFit="1" customWidth="1"/>
    <col min="5642" max="5643" width="13" style="1" bestFit="1" customWidth="1"/>
    <col min="5644" max="5646" width="11.7109375" style="1" customWidth="1"/>
    <col min="5647" max="5647" width="13.7109375" style="1" bestFit="1" customWidth="1"/>
    <col min="5648" max="5650" width="11.7109375" style="1" customWidth="1"/>
    <col min="5651" max="5651" width="9.28515625" style="1" customWidth="1"/>
    <col min="5652" max="5652" width="10.7109375" style="1" bestFit="1" customWidth="1"/>
    <col min="5653" max="5889" width="9.28515625" style="1" customWidth="1"/>
    <col min="5890" max="5890" width="16" style="1" customWidth="1"/>
    <col min="5891" max="5891" width="40.7109375" style="1" bestFit="1" customWidth="1"/>
    <col min="5892" max="5892" width="14.5703125" style="1" bestFit="1" customWidth="1"/>
    <col min="5893" max="5893" width="2.5703125" style="1" bestFit="1" customWidth="1"/>
    <col min="5894" max="5894" width="4.28515625" style="1" customWidth="1"/>
    <col min="5895" max="5895" width="12.7109375" style="1" bestFit="1" customWidth="1"/>
    <col min="5896" max="5896" width="11.7109375" style="1" customWidth="1"/>
    <col min="5897" max="5897" width="12.7109375" style="1" bestFit="1" customWidth="1"/>
    <col min="5898" max="5899" width="13" style="1" bestFit="1" customWidth="1"/>
    <col min="5900" max="5902" width="11.7109375" style="1" customWidth="1"/>
    <col min="5903" max="5903" width="13.7109375" style="1" bestFit="1" customWidth="1"/>
    <col min="5904" max="5906" width="11.7109375" style="1" customWidth="1"/>
    <col min="5907" max="5907" width="9.28515625" style="1" customWidth="1"/>
    <col min="5908" max="5908" width="10.7109375" style="1" bestFit="1" customWidth="1"/>
    <col min="5909" max="6145" width="9.28515625" style="1" customWidth="1"/>
    <col min="6146" max="6146" width="16" style="1" customWidth="1"/>
    <col min="6147" max="6147" width="40.7109375" style="1" bestFit="1" customWidth="1"/>
    <col min="6148" max="6148" width="14.5703125" style="1" bestFit="1" customWidth="1"/>
    <col min="6149" max="6149" width="2.5703125" style="1" bestFit="1" customWidth="1"/>
    <col min="6150" max="6150" width="4.28515625" style="1" customWidth="1"/>
    <col min="6151" max="6151" width="12.7109375" style="1" bestFit="1" customWidth="1"/>
    <col min="6152" max="6152" width="11.7109375" style="1" customWidth="1"/>
    <col min="6153" max="6153" width="12.7109375" style="1" bestFit="1" customWidth="1"/>
    <col min="6154" max="6155" width="13" style="1" bestFit="1" customWidth="1"/>
    <col min="6156" max="6158" width="11.7109375" style="1" customWidth="1"/>
    <col min="6159" max="6159" width="13.7109375" style="1" bestFit="1" customWidth="1"/>
    <col min="6160" max="6162" width="11.7109375" style="1" customWidth="1"/>
    <col min="6163" max="6163" width="9.28515625" style="1" customWidth="1"/>
    <col min="6164" max="6164" width="10.7109375" style="1" bestFit="1" customWidth="1"/>
    <col min="6165" max="6401" width="9.28515625" style="1" customWidth="1"/>
    <col min="6402" max="6402" width="16" style="1" customWidth="1"/>
    <col min="6403" max="6403" width="40.7109375" style="1" bestFit="1" customWidth="1"/>
    <col min="6404" max="6404" width="14.5703125" style="1" bestFit="1" customWidth="1"/>
    <col min="6405" max="6405" width="2.5703125" style="1" bestFit="1" customWidth="1"/>
    <col min="6406" max="6406" width="4.28515625" style="1" customWidth="1"/>
    <col min="6407" max="6407" width="12.7109375" style="1" bestFit="1" customWidth="1"/>
    <col min="6408" max="6408" width="11.7109375" style="1" customWidth="1"/>
    <col min="6409" max="6409" width="12.7109375" style="1" bestFit="1" customWidth="1"/>
    <col min="6410" max="6411" width="13" style="1" bestFit="1" customWidth="1"/>
    <col min="6412" max="6414" width="11.7109375" style="1" customWidth="1"/>
    <col min="6415" max="6415" width="13.7109375" style="1" bestFit="1" customWidth="1"/>
    <col min="6416" max="6418" width="11.7109375" style="1" customWidth="1"/>
    <col min="6419" max="6419" width="9.28515625" style="1" customWidth="1"/>
    <col min="6420" max="6420" width="10.7109375" style="1" bestFit="1" customWidth="1"/>
    <col min="6421" max="6657" width="9.28515625" style="1" customWidth="1"/>
    <col min="6658" max="6658" width="16" style="1" customWidth="1"/>
    <col min="6659" max="6659" width="40.7109375" style="1" bestFit="1" customWidth="1"/>
    <col min="6660" max="6660" width="14.5703125" style="1" bestFit="1" customWidth="1"/>
    <col min="6661" max="6661" width="2.5703125" style="1" bestFit="1" customWidth="1"/>
    <col min="6662" max="6662" width="4.28515625" style="1" customWidth="1"/>
    <col min="6663" max="6663" width="12.7109375" style="1" bestFit="1" customWidth="1"/>
    <col min="6664" max="6664" width="11.7109375" style="1" customWidth="1"/>
    <col min="6665" max="6665" width="12.7109375" style="1" bestFit="1" customWidth="1"/>
    <col min="6666" max="6667" width="13" style="1" bestFit="1" customWidth="1"/>
    <col min="6668" max="6670" width="11.7109375" style="1" customWidth="1"/>
    <col min="6671" max="6671" width="13.7109375" style="1" bestFit="1" customWidth="1"/>
    <col min="6672" max="6674" width="11.7109375" style="1" customWidth="1"/>
    <col min="6675" max="6675" width="9.28515625" style="1" customWidth="1"/>
    <col min="6676" max="6676" width="10.7109375" style="1" bestFit="1" customWidth="1"/>
    <col min="6677" max="6913" width="9.28515625" style="1" customWidth="1"/>
    <col min="6914" max="6914" width="16" style="1" customWidth="1"/>
    <col min="6915" max="6915" width="40.7109375" style="1" bestFit="1" customWidth="1"/>
    <col min="6916" max="6916" width="14.5703125" style="1" bestFit="1" customWidth="1"/>
    <col min="6917" max="6917" width="2.5703125" style="1" bestFit="1" customWidth="1"/>
    <col min="6918" max="6918" width="4.28515625" style="1" customWidth="1"/>
    <col min="6919" max="6919" width="12.7109375" style="1" bestFit="1" customWidth="1"/>
    <col min="6920" max="6920" width="11.7109375" style="1" customWidth="1"/>
    <col min="6921" max="6921" width="12.7109375" style="1" bestFit="1" customWidth="1"/>
    <col min="6922" max="6923" width="13" style="1" bestFit="1" customWidth="1"/>
    <col min="6924" max="6926" width="11.7109375" style="1" customWidth="1"/>
    <col min="6927" max="6927" width="13.7109375" style="1" bestFit="1" customWidth="1"/>
    <col min="6928" max="6930" width="11.7109375" style="1" customWidth="1"/>
    <col min="6931" max="6931" width="9.28515625" style="1" customWidth="1"/>
    <col min="6932" max="6932" width="10.7109375" style="1" bestFit="1" customWidth="1"/>
    <col min="6933" max="7169" width="9.28515625" style="1" customWidth="1"/>
    <col min="7170" max="7170" width="16" style="1" customWidth="1"/>
    <col min="7171" max="7171" width="40.7109375" style="1" bestFit="1" customWidth="1"/>
    <col min="7172" max="7172" width="14.5703125" style="1" bestFit="1" customWidth="1"/>
    <col min="7173" max="7173" width="2.5703125" style="1" bestFit="1" customWidth="1"/>
    <col min="7174" max="7174" width="4.28515625" style="1" customWidth="1"/>
    <col min="7175" max="7175" width="12.7109375" style="1" bestFit="1" customWidth="1"/>
    <col min="7176" max="7176" width="11.7109375" style="1" customWidth="1"/>
    <col min="7177" max="7177" width="12.7109375" style="1" bestFit="1" customWidth="1"/>
    <col min="7178" max="7179" width="13" style="1" bestFit="1" customWidth="1"/>
    <col min="7180" max="7182" width="11.7109375" style="1" customWidth="1"/>
    <col min="7183" max="7183" width="13.7109375" style="1" bestFit="1" customWidth="1"/>
    <col min="7184" max="7186" width="11.7109375" style="1" customWidth="1"/>
    <col min="7187" max="7187" width="9.28515625" style="1" customWidth="1"/>
    <col min="7188" max="7188" width="10.7109375" style="1" bestFit="1" customWidth="1"/>
    <col min="7189" max="7425" width="9.28515625" style="1" customWidth="1"/>
    <col min="7426" max="7426" width="16" style="1" customWidth="1"/>
    <col min="7427" max="7427" width="40.7109375" style="1" bestFit="1" customWidth="1"/>
    <col min="7428" max="7428" width="14.5703125" style="1" bestFit="1" customWidth="1"/>
    <col min="7429" max="7429" width="2.5703125" style="1" bestFit="1" customWidth="1"/>
    <col min="7430" max="7430" width="4.28515625" style="1" customWidth="1"/>
    <col min="7431" max="7431" width="12.7109375" style="1" bestFit="1" customWidth="1"/>
    <col min="7432" max="7432" width="11.7109375" style="1" customWidth="1"/>
    <col min="7433" max="7433" width="12.7109375" style="1" bestFit="1" customWidth="1"/>
    <col min="7434" max="7435" width="13" style="1" bestFit="1" customWidth="1"/>
    <col min="7436" max="7438" width="11.7109375" style="1" customWidth="1"/>
    <col min="7439" max="7439" width="13.7109375" style="1" bestFit="1" customWidth="1"/>
    <col min="7440" max="7442" width="11.7109375" style="1" customWidth="1"/>
    <col min="7443" max="7443" width="9.28515625" style="1" customWidth="1"/>
    <col min="7444" max="7444" width="10.7109375" style="1" bestFit="1" customWidth="1"/>
    <col min="7445" max="7681" width="9.28515625" style="1" customWidth="1"/>
    <col min="7682" max="7682" width="16" style="1" customWidth="1"/>
    <col min="7683" max="7683" width="40.7109375" style="1" bestFit="1" customWidth="1"/>
    <col min="7684" max="7684" width="14.5703125" style="1" bestFit="1" customWidth="1"/>
    <col min="7685" max="7685" width="2.5703125" style="1" bestFit="1" customWidth="1"/>
    <col min="7686" max="7686" width="4.28515625" style="1" customWidth="1"/>
    <col min="7687" max="7687" width="12.7109375" style="1" bestFit="1" customWidth="1"/>
    <col min="7688" max="7688" width="11.7109375" style="1" customWidth="1"/>
    <col min="7689" max="7689" width="12.7109375" style="1" bestFit="1" customWidth="1"/>
    <col min="7690" max="7691" width="13" style="1" bestFit="1" customWidth="1"/>
    <col min="7692" max="7694" width="11.7109375" style="1" customWidth="1"/>
    <col min="7695" max="7695" width="13.7109375" style="1" bestFit="1" customWidth="1"/>
    <col min="7696" max="7698" width="11.7109375" style="1" customWidth="1"/>
    <col min="7699" max="7699" width="9.28515625" style="1" customWidth="1"/>
    <col min="7700" max="7700" width="10.7109375" style="1" bestFit="1" customWidth="1"/>
    <col min="7701" max="7937" width="9.28515625" style="1" customWidth="1"/>
    <col min="7938" max="7938" width="16" style="1" customWidth="1"/>
    <col min="7939" max="7939" width="40.7109375" style="1" bestFit="1" customWidth="1"/>
    <col min="7940" max="7940" width="14.5703125" style="1" bestFit="1" customWidth="1"/>
    <col min="7941" max="7941" width="2.5703125" style="1" bestFit="1" customWidth="1"/>
    <col min="7942" max="7942" width="4.28515625" style="1" customWidth="1"/>
    <col min="7943" max="7943" width="12.7109375" style="1" bestFit="1" customWidth="1"/>
    <col min="7944" max="7944" width="11.7109375" style="1" customWidth="1"/>
    <col min="7945" max="7945" width="12.7109375" style="1" bestFit="1" customWidth="1"/>
    <col min="7946" max="7947" width="13" style="1" bestFit="1" customWidth="1"/>
    <col min="7948" max="7950" width="11.7109375" style="1" customWidth="1"/>
    <col min="7951" max="7951" width="13.7109375" style="1" bestFit="1" customWidth="1"/>
    <col min="7952" max="7954" width="11.7109375" style="1" customWidth="1"/>
    <col min="7955" max="7955" width="9.28515625" style="1" customWidth="1"/>
    <col min="7956" max="7956" width="10.7109375" style="1" bestFit="1" customWidth="1"/>
    <col min="7957" max="8193" width="9.28515625" style="1" customWidth="1"/>
    <col min="8194" max="8194" width="16" style="1" customWidth="1"/>
    <col min="8195" max="8195" width="40.7109375" style="1" bestFit="1" customWidth="1"/>
    <col min="8196" max="8196" width="14.5703125" style="1" bestFit="1" customWidth="1"/>
    <col min="8197" max="8197" width="2.5703125" style="1" bestFit="1" customWidth="1"/>
    <col min="8198" max="8198" width="4.28515625" style="1" customWidth="1"/>
    <col min="8199" max="8199" width="12.7109375" style="1" bestFit="1" customWidth="1"/>
    <col min="8200" max="8200" width="11.7109375" style="1" customWidth="1"/>
    <col min="8201" max="8201" width="12.7109375" style="1" bestFit="1" customWidth="1"/>
    <col min="8202" max="8203" width="13" style="1" bestFit="1" customWidth="1"/>
    <col min="8204" max="8206" width="11.7109375" style="1" customWidth="1"/>
    <col min="8207" max="8207" width="13.7109375" style="1" bestFit="1" customWidth="1"/>
    <col min="8208" max="8210" width="11.7109375" style="1" customWidth="1"/>
    <col min="8211" max="8211" width="9.28515625" style="1" customWidth="1"/>
    <col min="8212" max="8212" width="10.7109375" style="1" bestFit="1" customWidth="1"/>
    <col min="8213" max="8449" width="9.28515625" style="1" customWidth="1"/>
    <col min="8450" max="8450" width="16" style="1" customWidth="1"/>
    <col min="8451" max="8451" width="40.7109375" style="1" bestFit="1" customWidth="1"/>
    <col min="8452" max="8452" width="14.5703125" style="1" bestFit="1" customWidth="1"/>
    <col min="8453" max="8453" width="2.5703125" style="1" bestFit="1" customWidth="1"/>
    <col min="8454" max="8454" width="4.28515625" style="1" customWidth="1"/>
    <col min="8455" max="8455" width="12.7109375" style="1" bestFit="1" customWidth="1"/>
    <col min="8456" max="8456" width="11.7109375" style="1" customWidth="1"/>
    <col min="8457" max="8457" width="12.7109375" style="1" bestFit="1" customWidth="1"/>
    <col min="8458" max="8459" width="13" style="1" bestFit="1" customWidth="1"/>
    <col min="8460" max="8462" width="11.7109375" style="1" customWidth="1"/>
    <col min="8463" max="8463" width="13.7109375" style="1" bestFit="1" customWidth="1"/>
    <col min="8464" max="8466" width="11.7109375" style="1" customWidth="1"/>
    <col min="8467" max="8467" width="9.28515625" style="1" customWidth="1"/>
    <col min="8468" max="8468" width="10.7109375" style="1" bestFit="1" customWidth="1"/>
    <col min="8469" max="8705" width="9.28515625" style="1" customWidth="1"/>
    <col min="8706" max="8706" width="16" style="1" customWidth="1"/>
    <col min="8707" max="8707" width="40.7109375" style="1" bestFit="1" customWidth="1"/>
    <col min="8708" max="8708" width="14.5703125" style="1" bestFit="1" customWidth="1"/>
    <col min="8709" max="8709" width="2.5703125" style="1" bestFit="1" customWidth="1"/>
    <col min="8710" max="8710" width="4.28515625" style="1" customWidth="1"/>
    <col min="8711" max="8711" width="12.7109375" style="1" bestFit="1" customWidth="1"/>
    <col min="8712" max="8712" width="11.7109375" style="1" customWidth="1"/>
    <col min="8713" max="8713" width="12.7109375" style="1" bestFit="1" customWidth="1"/>
    <col min="8714" max="8715" width="13" style="1" bestFit="1" customWidth="1"/>
    <col min="8716" max="8718" width="11.7109375" style="1" customWidth="1"/>
    <col min="8719" max="8719" width="13.7109375" style="1" bestFit="1" customWidth="1"/>
    <col min="8720" max="8722" width="11.7109375" style="1" customWidth="1"/>
    <col min="8723" max="8723" width="9.28515625" style="1" customWidth="1"/>
    <col min="8724" max="8724" width="10.7109375" style="1" bestFit="1" customWidth="1"/>
    <col min="8725" max="8961" width="9.28515625" style="1" customWidth="1"/>
    <col min="8962" max="8962" width="16" style="1" customWidth="1"/>
    <col min="8963" max="8963" width="40.7109375" style="1" bestFit="1" customWidth="1"/>
    <col min="8964" max="8964" width="14.5703125" style="1" bestFit="1" customWidth="1"/>
    <col min="8965" max="8965" width="2.5703125" style="1" bestFit="1" customWidth="1"/>
    <col min="8966" max="8966" width="4.28515625" style="1" customWidth="1"/>
    <col min="8967" max="8967" width="12.7109375" style="1" bestFit="1" customWidth="1"/>
    <col min="8968" max="8968" width="11.7109375" style="1" customWidth="1"/>
    <col min="8969" max="8969" width="12.7109375" style="1" bestFit="1" customWidth="1"/>
    <col min="8970" max="8971" width="13" style="1" bestFit="1" customWidth="1"/>
    <col min="8972" max="8974" width="11.7109375" style="1" customWidth="1"/>
    <col min="8975" max="8975" width="13.7109375" style="1" bestFit="1" customWidth="1"/>
    <col min="8976" max="8978" width="11.7109375" style="1" customWidth="1"/>
    <col min="8979" max="8979" width="9.28515625" style="1" customWidth="1"/>
    <col min="8980" max="8980" width="10.7109375" style="1" bestFit="1" customWidth="1"/>
    <col min="8981" max="9217" width="9.28515625" style="1" customWidth="1"/>
    <col min="9218" max="9218" width="16" style="1" customWidth="1"/>
    <col min="9219" max="9219" width="40.7109375" style="1" bestFit="1" customWidth="1"/>
    <col min="9220" max="9220" width="14.5703125" style="1" bestFit="1" customWidth="1"/>
    <col min="9221" max="9221" width="2.5703125" style="1" bestFit="1" customWidth="1"/>
    <col min="9222" max="9222" width="4.28515625" style="1" customWidth="1"/>
    <col min="9223" max="9223" width="12.7109375" style="1" bestFit="1" customWidth="1"/>
    <col min="9224" max="9224" width="11.7109375" style="1" customWidth="1"/>
    <col min="9225" max="9225" width="12.7109375" style="1" bestFit="1" customWidth="1"/>
    <col min="9226" max="9227" width="13" style="1" bestFit="1" customWidth="1"/>
    <col min="9228" max="9230" width="11.7109375" style="1" customWidth="1"/>
    <col min="9231" max="9231" width="13.7109375" style="1" bestFit="1" customWidth="1"/>
    <col min="9232" max="9234" width="11.7109375" style="1" customWidth="1"/>
    <col min="9235" max="9235" width="9.28515625" style="1" customWidth="1"/>
    <col min="9236" max="9236" width="10.7109375" style="1" bestFit="1" customWidth="1"/>
    <col min="9237" max="9473" width="9.28515625" style="1" customWidth="1"/>
    <col min="9474" max="9474" width="16" style="1" customWidth="1"/>
    <col min="9475" max="9475" width="40.7109375" style="1" bestFit="1" customWidth="1"/>
    <col min="9476" max="9476" width="14.5703125" style="1" bestFit="1" customWidth="1"/>
    <col min="9477" max="9477" width="2.5703125" style="1" bestFit="1" customWidth="1"/>
    <col min="9478" max="9478" width="4.28515625" style="1" customWidth="1"/>
    <col min="9479" max="9479" width="12.7109375" style="1" bestFit="1" customWidth="1"/>
    <col min="9480" max="9480" width="11.7109375" style="1" customWidth="1"/>
    <col min="9481" max="9481" width="12.7109375" style="1" bestFit="1" customWidth="1"/>
    <col min="9482" max="9483" width="13" style="1" bestFit="1" customWidth="1"/>
    <col min="9484" max="9486" width="11.7109375" style="1" customWidth="1"/>
    <col min="9487" max="9487" width="13.7109375" style="1" bestFit="1" customWidth="1"/>
    <col min="9488" max="9490" width="11.7109375" style="1" customWidth="1"/>
    <col min="9491" max="9491" width="9.28515625" style="1" customWidth="1"/>
    <col min="9492" max="9492" width="10.7109375" style="1" bestFit="1" customWidth="1"/>
    <col min="9493" max="9729" width="9.28515625" style="1" customWidth="1"/>
    <col min="9730" max="9730" width="16" style="1" customWidth="1"/>
    <col min="9731" max="9731" width="40.7109375" style="1" bestFit="1" customWidth="1"/>
    <col min="9732" max="9732" width="14.5703125" style="1" bestFit="1" customWidth="1"/>
    <col min="9733" max="9733" width="2.5703125" style="1" bestFit="1" customWidth="1"/>
    <col min="9734" max="9734" width="4.28515625" style="1" customWidth="1"/>
    <col min="9735" max="9735" width="12.7109375" style="1" bestFit="1" customWidth="1"/>
    <col min="9736" max="9736" width="11.7109375" style="1" customWidth="1"/>
    <col min="9737" max="9737" width="12.7109375" style="1" bestFit="1" customWidth="1"/>
    <col min="9738" max="9739" width="13" style="1" bestFit="1" customWidth="1"/>
    <col min="9740" max="9742" width="11.7109375" style="1" customWidth="1"/>
    <col min="9743" max="9743" width="13.7109375" style="1" bestFit="1" customWidth="1"/>
    <col min="9744" max="9746" width="11.7109375" style="1" customWidth="1"/>
    <col min="9747" max="9747" width="9.28515625" style="1" customWidth="1"/>
    <col min="9748" max="9748" width="10.7109375" style="1" bestFit="1" customWidth="1"/>
    <col min="9749" max="9985" width="9.28515625" style="1" customWidth="1"/>
    <col min="9986" max="9986" width="16" style="1" customWidth="1"/>
    <col min="9987" max="9987" width="40.7109375" style="1" bestFit="1" customWidth="1"/>
    <col min="9988" max="9988" width="14.5703125" style="1" bestFit="1" customWidth="1"/>
    <col min="9989" max="9989" width="2.5703125" style="1" bestFit="1" customWidth="1"/>
    <col min="9990" max="9990" width="4.28515625" style="1" customWidth="1"/>
    <col min="9991" max="9991" width="12.7109375" style="1" bestFit="1" customWidth="1"/>
    <col min="9992" max="9992" width="11.7109375" style="1" customWidth="1"/>
    <col min="9993" max="9993" width="12.7109375" style="1" bestFit="1" customWidth="1"/>
    <col min="9994" max="9995" width="13" style="1" bestFit="1" customWidth="1"/>
    <col min="9996" max="9998" width="11.7109375" style="1" customWidth="1"/>
    <col min="9999" max="9999" width="13.7109375" style="1" bestFit="1" customWidth="1"/>
    <col min="10000" max="10002" width="11.7109375" style="1" customWidth="1"/>
    <col min="10003" max="10003" width="9.28515625" style="1" customWidth="1"/>
    <col min="10004" max="10004" width="10.7109375" style="1" bestFit="1" customWidth="1"/>
    <col min="10005" max="10241" width="9.28515625" style="1" customWidth="1"/>
    <col min="10242" max="10242" width="16" style="1" customWidth="1"/>
    <col min="10243" max="10243" width="40.7109375" style="1" bestFit="1" customWidth="1"/>
    <col min="10244" max="10244" width="14.5703125" style="1" bestFit="1" customWidth="1"/>
    <col min="10245" max="10245" width="2.5703125" style="1" bestFit="1" customWidth="1"/>
    <col min="10246" max="10246" width="4.28515625" style="1" customWidth="1"/>
    <col min="10247" max="10247" width="12.7109375" style="1" bestFit="1" customWidth="1"/>
    <col min="10248" max="10248" width="11.7109375" style="1" customWidth="1"/>
    <col min="10249" max="10249" width="12.7109375" style="1" bestFit="1" customWidth="1"/>
    <col min="10250" max="10251" width="13" style="1" bestFit="1" customWidth="1"/>
    <col min="10252" max="10254" width="11.7109375" style="1" customWidth="1"/>
    <col min="10255" max="10255" width="13.7109375" style="1" bestFit="1" customWidth="1"/>
    <col min="10256" max="10258" width="11.7109375" style="1" customWidth="1"/>
    <col min="10259" max="10259" width="9.28515625" style="1" customWidth="1"/>
    <col min="10260" max="10260" width="10.7109375" style="1" bestFit="1" customWidth="1"/>
    <col min="10261" max="10497" width="9.28515625" style="1" customWidth="1"/>
    <col min="10498" max="10498" width="16" style="1" customWidth="1"/>
    <col min="10499" max="10499" width="40.7109375" style="1" bestFit="1" customWidth="1"/>
    <col min="10500" max="10500" width="14.5703125" style="1" bestFit="1" customWidth="1"/>
    <col min="10501" max="10501" width="2.5703125" style="1" bestFit="1" customWidth="1"/>
    <col min="10502" max="10502" width="4.28515625" style="1" customWidth="1"/>
    <col min="10503" max="10503" width="12.7109375" style="1" bestFit="1" customWidth="1"/>
    <col min="10504" max="10504" width="11.7109375" style="1" customWidth="1"/>
    <col min="10505" max="10505" width="12.7109375" style="1" bestFit="1" customWidth="1"/>
    <col min="10506" max="10507" width="13" style="1" bestFit="1" customWidth="1"/>
    <col min="10508" max="10510" width="11.7109375" style="1" customWidth="1"/>
    <col min="10511" max="10511" width="13.7109375" style="1" bestFit="1" customWidth="1"/>
    <col min="10512" max="10514" width="11.7109375" style="1" customWidth="1"/>
    <col min="10515" max="10515" width="9.28515625" style="1" customWidth="1"/>
    <col min="10516" max="10516" width="10.7109375" style="1" bestFit="1" customWidth="1"/>
    <col min="10517" max="10753" width="9.28515625" style="1" customWidth="1"/>
    <col min="10754" max="10754" width="16" style="1" customWidth="1"/>
    <col min="10755" max="10755" width="40.7109375" style="1" bestFit="1" customWidth="1"/>
    <col min="10756" max="10756" width="14.5703125" style="1" bestFit="1" customWidth="1"/>
    <col min="10757" max="10757" width="2.5703125" style="1" bestFit="1" customWidth="1"/>
    <col min="10758" max="10758" width="4.28515625" style="1" customWidth="1"/>
    <col min="10759" max="10759" width="12.7109375" style="1" bestFit="1" customWidth="1"/>
    <col min="10760" max="10760" width="11.7109375" style="1" customWidth="1"/>
    <col min="10761" max="10761" width="12.7109375" style="1" bestFit="1" customWidth="1"/>
    <col min="10762" max="10763" width="13" style="1" bestFit="1" customWidth="1"/>
    <col min="10764" max="10766" width="11.7109375" style="1" customWidth="1"/>
    <col min="10767" max="10767" width="13.7109375" style="1" bestFit="1" customWidth="1"/>
    <col min="10768" max="10770" width="11.7109375" style="1" customWidth="1"/>
    <col min="10771" max="10771" width="9.28515625" style="1" customWidth="1"/>
    <col min="10772" max="10772" width="10.7109375" style="1" bestFit="1" customWidth="1"/>
    <col min="10773" max="11009" width="9.28515625" style="1" customWidth="1"/>
    <col min="11010" max="11010" width="16" style="1" customWidth="1"/>
    <col min="11011" max="11011" width="40.7109375" style="1" bestFit="1" customWidth="1"/>
    <col min="11012" max="11012" width="14.5703125" style="1" bestFit="1" customWidth="1"/>
    <col min="11013" max="11013" width="2.5703125" style="1" bestFit="1" customWidth="1"/>
    <col min="11014" max="11014" width="4.28515625" style="1" customWidth="1"/>
    <col min="11015" max="11015" width="12.7109375" style="1" bestFit="1" customWidth="1"/>
    <col min="11016" max="11016" width="11.7109375" style="1" customWidth="1"/>
    <col min="11017" max="11017" width="12.7109375" style="1" bestFit="1" customWidth="1"/>
    <col min="11018" max="11019" width="13" style="1" bestFit="1" customWidth="1"/>
    <col min="11020" max="11022" width="11.7109375" style="1" customWidth="1"/>
    <col min="11023" max="11023" width="13.7109375" style="1" bestFit="1" customWidth="1"/>
    <col min="11024" max="11026" width="11.7109375" style="1" customWidth="1"/>
    <col min="11027" max="11027" width="9.28515625" style="1" customWidth="1"/>
    <col min="11028" max="11028" width="10.7109375" style="1" bestFit="1" customWidth="1"/>
    <col min="11029" max="11265" width="9.28515625" style="1" customWidth="1"/>
    <col min="11266" max="11266" width="16" style="1" customWidth="1"/>
    <col min="11267" max="11267" width="40.7109375" style="1" bestFit="1" customWidth="1"/>
    <col min="11268" max="11268" width="14.5703125" style="1" bestFit="1" customWidth="1"/>
    <col min="11269" max="11269" width="2.5703125" style="1" bestFit="1" customWidth="1"/>
    <col min="11270" max="11270" width="4.28515625" style="1" customWidth="1"/>
    <col min="11271" max="11271" width="12.7109375" style="1" bestFit="1" customWidth="1"/>
    <col min="11272" max="11272" width="11.7109375" style="1" customWidth="1"/>
    <col min="11273" max="11273" width="12.7109375" style="1" bestFit="1" customWidth="1"/>
    <col min="11274" max="11275" width="13" style="1" bestFit="1" customWidth="1"/>
    <col min="11276" max="11278" width="11.7109375" style="1" customWidth="1"/>
    <col min="11279" max="11279" width="13.7109375" style="1" bestFit="1" customWidth="1"/>
    <col min="11280" max="11282" width="11.7109375" style="1" customWidth="1"/>
    <col min="11283" max="11283" width="9.28515625" style="1" customWidth="1"/>
    <col min="11284" max="11284" width="10.7109375" style="1" bestFit="1" customWidth="1"/>
    <col min="11285" max="11521" width="9.28515625" style="1" customWidth="1"/>
    <col min="11522" max="11522" width="16" style="1" customWidth="1"/>
    <col min="11523" max="11523" width="40.7109375" style="1" bestFit="1" customWidth="1"/>
    <col min="11524" max="11524" width="14.5703125" style="1" bestFit="1" customWidth="1"/>
    <col min="11525" max="11525" width="2.5703125" style="1" bestFit="1" customWidth="1"/>
    <col min="11526" max="11526" width="4.28515625" style="1" customWidth="1"/>
    <col min="11527" max="11527" width="12.7109375" style="1" bestFit="1" customWidth="1"/>
    <col min="11528" max="11528" width="11.7109375" style="1" customWidth="1"/>
    <col min="11529" max="11529" width="12.7109375" style="1" bestFit="1" customWidth="1"/>
    <col min="11530" max="11531" width="13" style="1" bestFit="1" customWidth="1"/>
    <col min="11532" max="11534" width="11.7109375" style="1" customWidth="1"/>
    <col min="11535" max="11535" width="13.7109375" style="1" bestFit="1" customWidth="1"/>
    <col min="11536" max="11538" width="11.7109375" style="1" customWidth="1"/>
    <col min="11539" max="11539" width="9.28515625" style="1" customWidth="1"/>
    <col min="11540" max="11540" width="10.7109375" style="1" bestFit="1" customWidth="1"/>
    <col min="11541" max="11777" width="9.28515625" style="1" customWidth="1"/>
    <col min="11778" max="11778" width="16" style="1" customWidth="1"/>
    <col min="11779" max="11779" width="40.7109375" style="1" bestFit="1" customWidth="1"/>
    <col min="11780" max="11780" width="14.5703125" style="1" bestFit="1" customWidth="1"/>
    <col min="11781" max="11781" width="2.5703125" style="1" bestFit="1" customWidth="1"/>
    <col min="11782" max="11782" width="4.28515625" style="1" customWidth="1"/>
    <col min="11783" max="11783" width="12.7109375" style="1" bestFit="1" customWidth="1"/>
    <col min="11784" max="11784" width="11.7109375" style="1" customWidth="1"/>
    <col min="11785" max="11785" width="12.7109375" style="1" bestFit="1" customWidth="1"/>
    <col min="11786" max="11787" width="13" style="1" bestFit="1" customWidth="1"/>
    <col min="11788" max="11790" width="11.7109375" style="1" customWidth="1"/>
    <col min="11791" max="11791" width="13.7109375" style="1" bestFit="1" customWidth="1"/>
    <col min="11792" max="11794" width="11.7109375" style="1" customWidth="1"/>
    <col min="11795" max="11795" width="9.28515625" style="1" customWidth="1"/>
    <col min="11796" max="11796" width="10.7109375" style="1" bestFit="1" customWidth="1"/>
    <col min="11797" max="12033" width="9.28515625" style="1" customWidth="1"/>
    <col min="12034" max="12034" width="16" style="1" customWidth="1"/>
    <col min="12035" max="12035" width="40.7109375" style="1" bestFit="1" customWidth="1"/>
    <col min="12036" max="12036" width="14.5703125" style="1" bestFit="1" customWidth="1"/>
    <col min="12037" max="12037" width="2.5703125" style="1" bestFit="1" customWidth="1"/>
    <col min="12038" max="12038" width="4.28515625" style="1" customWidth="1"/>
    <col min="12039" max="12039" width="12.7109375" style="1" bestFit="1" customWidth="1"/>
    <col min="12040" max="12040" width="11.7109375" style="1" customWidth="1"/>
    <col min="12041" max="12041" width="12.7109375" style="1" bestFit="1" customWidth="1"/>
    <col min="12042" max="12043" width="13" style="1" bestFit="1" customWidth="1"/>
    <col min="12044" max="12046" width="11.7109375" style="1" customWidth="1"/>
    <col min="12047" max="12047" width="13.7109375" style="1" bestFit="1" customWidth="1"/>
    <col min="12048" max="12050" width="11.7109375" style="1" customWidth="1"/>
    <col min="12051" max="12051" width="9.28515625" style="1" customWidth="1"/>
    <col min="12052" max="12052" width="10.7109375" style="1" bestFit="1" customWidth="1"/>
    <col min="12053" max="12289" width="9.28515625" style="1" customWidth="1"/>
    <col min="12290" max="12290" width="16" style="1" customWidth="1"/>
    <col min="12291" max="12291" width="40.7109375" style="1" bestFit="1" customWidth="1"/>
    <col min="12292" max="12292" width="14.5703125" style="1" bestFit="1" customWidth="1"/>
    <col min="12293" max="12293" width="2.5703125" style="1" bestFit="1" customWidth="1"/>
    <col min="12294" max="12294" width="4.28515625" style="1" customWidth="1"/>
    <col min="12295" max="12295" width="12.7109375" style="1" bestFit="1" customWidth="1"/>
    <col min="12296" max="12296" width="11.7109375" style="1" customWidth="1"/>
    <col min="12297" max="12297" width="12.7109375" style="1" bestFit="1" customWidth="1"/>
    <col min="12298" max="12299" width="13" style="1" bestFit="1" customWidth="1"/>
    <col min="12300" max="12302" width="11.7109375" style="1" customWidth="1"/>
    <col min="12303" max="12303" width="13.7109375" style="1" bestFit="1" customWidth="1"/>
    <col min="12304" max="12306" width="11.7109375" style="1" customWidth="1"/>
    <col min="12307" max="12307" width="9.28515625" style="1" customWidth="1"/>
    <col min="12308" max="12308" width="10.7109375" style="1" bestFit="1" customWidth="1"/>
    <col min="12309" max="12545" width="9.28515625" style="1" customWidth="1"/>
    <col min="12546" max="12546" width="16" style="1" customWidth="1"/>
    <col min="12547" max="12547" width="40.7109375" style="1" bestFit="1" customWidth="1"/>
    <col min="12548" max="12548" width="14.5703125" style="1" bestFit="1" customWidth="1"/>
    <col min="12549" max="12549" width="2.5703125" style="1" bestFit="1" customWidth="1"/>
    <col min="12550" max="12550" width="4.28515625" style="1" customWidth="1"/>
    <col min="12551" max="12551" width="12.7109375" style="1" bestFit="1" customWidth="1"/>
    <col min="12552" max="12552" width="11.7109375" style="1" customWidth="1"/>
    <col min="12553" max="12553" width="12.7109375" style="1" bestFit="1" customWidth="1"/>
    <col min="12554" max="12555" width="13" style="1" bestFit="1" customWidth="1"/>
    <col min="12556" max="12558" width="11.7109375" style="1" customWidth="1"/>
    <col min="12559" max="12559" width="13.7109375" style="1" bestFit="1" customWidth="1"/>
    <col min="12560" max="12562" width="11.7109375" style="1" customWidth="1"/>
    <col min="12563" max="12563" width="9.28515625" style="1" customWidth="1"/>
    <col min="12564" max="12564" width="10.7109375" style="1" bestFit="1" customWidth="1"/>
    <col min="12565" max="12801" width="9.28515625" style="1" customWidth="1"/>
    <col min="12802" max="12802" width="16" style="1" customWidth="1"/>
    <col min="12803" max="12803" width="40.7109375" style="1" bestFit="1" customWidth="1"/>
    <col min="12804" max="12804" width="14.5703125" style="1" bestFit="1" customWidth="1"/>
    <col min="12805" max="12805" width="2.5703125" style="1" bestFit="1" customWidth="1"/>
    <col min="12806" max="12806" width="4.28515625" style="1" customWidth="1"/>
    <col min="12807" max="12807" width="12.7109375" style="1" bestFit="1" customWidth="1"/>
    <col min="12808" max="12808" width="11.7109375" style="1" customWidth="1"/>
    <col min="12809" max="12809" width="12.7109375" style="1" bestFit="1" customWidth="1"/>
    <col min="12810" max="12811" width="13" style="1" bestFit="1" customWidth="1"/>
    <col min="12812" max="12814" width="11.7109375" style="1" customWidth="1"/>
    <col min="12815" max="12815" width="13.7109375" style="1" bestFit="1" customWidth="1"/>
    <col min="12816" max="12818" width="11.7109375" style="1" customWidth="1"/>
    <col min="12819" max="12819" width="9.28515625" style="1" customWidth="1"/>
    <col min="12820" max="12820" width="10.7109375" style="1" bestFit="1" customWidth="1"/>
    <col min="12821" max="13057" width="9.28515625" style="1" customWidth="1"/>
    <col min="13058" max="13058" width="16" style="1" customWidth="1"/>
    <col min="13059" max="13059" width="40.7109375" style="1" bestFit="1" customWidth="1"/>
    <col min="13060" max="13060" width="14.5703125" style="1" bestFit="1" customWidth="1"/>
    <col min="13061" max="13061" width="2.5703125" style="1" bestFit="1" customWidth="1"/>
    <col min="13062" max="13062" width="4.28515625" style="1" customWidth="1"/>
    <col min="13063" max="13063" width="12.7109375" style="1" bestFit="1" customWidth="1"/>
    <col min="13064" max="13064" width="11.7109375" style="1" customWidth="1"/>
    <col min="13065" max="13065" width="12.7109375" style="1" bestFit="1" customWidth="1"/>
    <col min="13066" max="13067" width="13" style="1" bestFit="1" customWidth="1"/>
    <col min="13068" max="13070" width="11.7109375" style="1" customWidth="1"/>
    <col min="13071" max="13071" width="13.7109375" style="1" bestFit="1" customWidth="1"/>
    <col min="13072" max="13074" width="11.7109375" style="1" customWidth="1"/>
    <col min="13075" max="13075" width="9.28515625" style="1" customWidth="1"/>
    <col min="13076" max="13076" width="10.7109375" style="1" bestFit="1" customWidth="1"/>
    <col min="13077" max="13313" width="9.28515625" style="1" customWidth="1"/>
    <col min="13314" max="13314" width="16" style="1" customWidth="1"/>
    <col min="13315" max="13315" width="40.7109375" style="1" bestFit="1" customWidth="1"/>
    <col min="13316" max="13316" width="14.5703125" style="1" bestFit="1" customWidth="1"/>
    <col min="13317" max="13317" width="2.5703125" style="1" bestFit="1" customWidth="1"/>
    <col min="13318" max="13318" width="4.28515625" style="1" customWidth="1"/>
    <col min="13319" max="13319" width="12.7109375" style="1" bestFit="1" customWidth="1"/>
    <col min="13320" max="13320" width="11.7109375" style="1" customWidth="1"/>
    <col min="13321" max="13321" width="12.7109375" style="1" bestFit="1" customWidth="1"/>
    <col min="13322" max="13323" width="13" style="1" bestFit="1" customWidth="1"/>
    <col min="13324" max="13326" width="11.7109375" style="1" customWidth="1"/>
    <col min="13327" max="13327" width="13.7109375" style="1" bestFit="1" customWidth="1"/>
    <col min="13328" max="13330" width="11.7109375" style="1" customWidth="1"/>
    <col min="13331" max="13331" width="9.28515625" style="1" customWidth="1"/>
    <col min="13332" max="13332" width="10.7109375" style="1" bestFit="1" customWidth="1"/>
    <col min="13333" max="13569" width="9.28515625" style="1" customWidth="1"/>
    <col min="13570" max="13570" width="16" style="1" customWidth="1"/>
    <col min="13571" max="13571" width="40.7109375" style="1" bestFit="1" customWidth="1"/>
    <col min="13572" max="13572" width="14.5703125" style="1" bestFit="1" customWidth="1"/>
    <col min="13573" max="13573" width="2.5703125" style="1" bestFit="1" customWidth="1"/>
    <col min="13574" max="13574" width="4.28515625" style="1" customWidth="1"/>
    <col min="13575" max="13575" width="12.7109375" style="1" bestFit="1" customWidth="1"/>
    <col min="13576" max="13576" width="11.7109375" style="1" customWidth="1"/>
    <col min="13577" max="13577" width="12.7109375" style="1" bestFit="1" customWidth="1"/>
    <col min="13578" max="13579" width="13" style="1" bestFit="1" customWidth="1"/>
    <col min="13580" max="13582" width="11.7109375" style="1" customWidth="1"/>
    <col min="13583" max="13583" width="13.7109375" style="1" bestFit="1" customWidth="1"/>
    <col min="13584" max="13586" width="11.7109375" style="1" customWidth="1"/>
    <col min="13587" max="13587" width="9.28515625" style="1" customWidth="1"/>
    <col min="13588" max="13588" width="10.7109375" style="1" bestFit="1" customWidth="1"/>
    <col min="13589" max="13825" width="9.28515625" style="1" customWidth="1"/>
    <col min="13826" max="13826" width="16" style="1" customWidth="1"/>
    <col min="13827" max="13827" width="40.7109375" style="1" bestFit="1" customWidth="1"/>
    <col min="13828" max="13828" width="14.5703125" style="1" bestFit="1" customWidth="1"/>
    <col min="13829" max="13829" width="2.5703125" style="1" bestFit="1" customWidth="1"/>
    <col min="13830" max="13830" width="4.28515625" style="1" customWidth="1"/>
    <col min="13831" max="13831" width="12.7109375" style="1" bestFit="1" customWidth="1"/>
    <col min="13832" max="13832" width="11.7109375" style="1" customWidth="1"/>
    <col min="13833" max="13833" width="12.7109375" style="1" bestFit="1" customWidth="1"/>
    <col min="13834" max="13835" width="13" style="1" bestFit="1" customWidth="1"/>
    <col min="13836" max="13838" width="11.7109375" style="1" customWidth="1"/>
    <col min="13839" max="13839" width="13.7109375" style="1" bestFit="1" customWidth="1"/>
    <col min="13840" max="13842" width="11.7109375" style="1" customWidth="1"/>
    <col min="13843" max="13843" width="9.28515625" style="1" customWidth="1"/>
    <col min="13844" max="13844" width="10.7109375" style="1" bestFit="1" customWidth="1"/>
    <col min="13845" max="14081" width="9.28515625" style="1" customWidth="1"/>
    <col min="14082" max="14082" width="16" style="1" customWidth="1"/>
    <col min="14083" max="14083" width="40.7109375" style="1" bestFit="1" customWidth="1"/>
    <col min="14084" max="14084" width="14.5703125" style="1" bestFit="1" customWidth="1"/>
    <col min="14085" max="14085" width="2.5703125" style="1" bestFit="1" customWidth="1"/>
    <col min="14086" max="14086" width="4.28515625" style="1" customWidth="1"/>
    <col min="14087" max="14087" width="12.7109375" style="1" bestFit="1" customWidth="1"/>
    <col min="14088" max="14088" width="11.7109375" style="1" customWidth="1"/>
    <col min="14089" max="14089" width="12.7109375" style="1" bestFit="1" customWidth="1"/>
    <col min="14090" max="14091" width="13" style="1" bestFit="1" customWidth="1"/>
    <col min="14092" max="14094" width="11.7109375" style="1" customWidth="1"/>
    <col min="14095" max="14095" width="13.7109375" style="1" bestFit="1" customWidth="1"/>
    <col min="14096" max="14098" width="11.7109375" style="1" customWidth="1"/>
    <col min="14099" max="14099" width="9.28515625" style="1" customWidth="1"/>
    <col min="14100" max="14100" width="10.7109375" style="1" bestFit="1" customWidth="1"/>
    <col min="14101" max="14337" width="9.28515625" style="1" customWidth="1"/>
    <col min="14338" max="14338" width="16" style="1" customWidth="1"/>
    <col min="14339" max="14339" width="40.7109375" style="1" bestFit="1" customWidth="1"/>
    <col min="14340" max="14340" width="14.5703125" style="1" bestFit="1" customWidth="1"/>
    <col min="14341" max="14341" width="2.5703125" style="1" bestFit="1" customWidth="1"/>
    <col min="14342" max="14342" width="4.28515625" style="1" customWidth="1"/>
    <col min="14343" max="14343" width="12.7109375" style="1" bestFit="1" customWidth="1"/>
    <col min="14344" max="14344" width="11.7109375" style="1" customWidth="1"/>
    <col min="14345" max="14345" width="12.7109375" style="1" bestFit="1" customWidth="1"/>
    <col min="14346" max="14347" width="13" style="1" bestFit="1" customWidth="1"/>
    <col min="14348" max="14350" width="11.7109375" style="1" customWidth="1"/>
    <col min="14351" max="14351" width="13.7109375" style="1" bestFit="1" customWidth="1"/>
    <col min="14352" max="14354" width="11.7109375" style="1" customWidth="1"/>
    <col min="14355" max="14355" width="9.28515625" style="1" customWidth="1"/>
    <col min="14356" max="14356" width="10.7109375" style="1" bestFit="1" customWidth="1"/>
    <col min="14357" max="14593" width="9.28515625" style="1" customWidth="1"/>
    <col min="14594" max="14594" width="16" style="1" customWidth="1"/>
    <col min="14595" max="14595" width="40.7109375" style="1" bestFit="1" customWidth="1"/>
    <col min="14596" max="14596" width="14.5703125" style="1" bestFit="1" customWidth="1"/>
    <col min="14597" max="14597" width="2.5703125" style="1" bestFit="1" customWidth="1"/>
    <col min="14598" max="14598" width="4.28515625" style="1" customWidth="1"/>
    <col min="14599" max="14599" width="12.7109375" style="1" bestFit="1" customWidth="1"/>
    <col min="14600" max="14600" width="11.7109375" style="1" customWidth="1"/>
    <col min="14601" max="14601" width="12.7109375" style="1" bestFit="1" customWidth="1"/>
    <col min="14602" max="14603" width="13" style="1" bestFit="1" customWidth="1"/>
    <col min="14604" max="14606" width="11.7109375" style="1" customWidth="1"/>
    <col min="14607" max="14607" width="13.7109375" style="1" bestFit="1" customWidth="1"/>
    <col min="14608" max="14610" width="11.7109375" style="1" customWidth="1"/>
    <col min="14611" max="14611" width="9.28515625" style="1" customWidth="1"/>
    <col min="14612" max="14612" width="10.7109375" style="1" bestFit="1" customWidth="1"/>
    <col min="14613" max="14849" width="9.28515625" style="1" customWidth="1"/>
    <col min="14850" max="14850" width="16" style="1" customWidth="1"/>
    <col min="14851" max="14851" width="40.7109375" style="1" bestFit="1" customWidth="1"/>
    <col min="14852" max="14852" width="14.5703125" style="1" bestFit="1" customWidth="1"/>
    <col min="14853" max="14853" width="2.5703125" style="1" bestFit="1" customWidth="1"/>
    <col min="14854" max="14854" width="4.28515625" style="1" customWidth="1"/>
    <col min="14855" max="14855" width="12.7109375" style="1" bestFit="1" customWidth="1"/>
    <col min="14856" max="14856" width="11.7109375" style="1" customWidth="1"/>
    <col min="14857" max="14857" width="12.7109375" style="1" bestFit="1" customWidth="1"/>
    <col min="14858" max="14859" width="13" style="1" bestFit="1" customWidth="1"/>
    <col min="14860" max="14862" width="11.7109375" style="1" customWidth="1"/>
    <col min="14863" max="14863" width="13.7109375" style="1" bestFit="1" customWidth="1"/>
    <col min="14864" max="14866" width="11.7109375" style="1" customWidth="1"/>
    <col min="14867" max="14867" width="9.28515625" style="1" customWidth="1"/>
    <col min="14868" max="14868" width="10.7109375" style="1" bestFit="1" customWidth="1"/>
    <col min="14869" max="15105" width="9.28515625" style="1" customWidth="1"/>
    <col min="15106" max="15106" width="16" style="1" customWidth="1"/>
    <col min="15107" max="15107" width="40.7109375" style="1" bestFit="1" customWidth="1"/>
    <col min="15108" max="15108" width="14.5703125" style="1" bestFit="1" customWidth="1"/>
    <col min="15109" max="15109" width="2.5703125" style="1" bestFit="1" customWidth="1"/>
    <col min="15110" max="15110" width="4.28515625" style="1" customWidth="1"/>
    <col min="15111" max="15111" width="12.7109375" style="1" bestFit="1" customWidth="1"/>
    <col min="15112" max="15112" width="11.7109375" style="1" customWidth="1"/>
    <col min="15113" max="15113" width="12.7109375" style="1" bestFit="1" customWidth="1"/>
    <col min="15114" max="15115" width="13" style="1" bestFit="1" customWidth="1"/>
    <col min="15116" max="15118" width="11.7109375" style="1" customWidth="1"/>
    <col min="15119" max="15119" width="13.7109375" style="1" bestFit="1" customWidth="1"/>
    <col min="15120" max="15122" width="11.7109375" style="1" customWidth="1"/>
    <col min="15123" max="15123" width="9.28515625" style="1" customWidth="1"/>
    <col min="15124" max="15124" width="10.7109375" style="1" bestFit="1" customWidth="1"/>
    <col min="15125" max="15361" width="9.28515625" style="1" customWidth="1"/>
    <col min="15362" max="15362" width="16" style="1" customWidth="1"/>
    <col min="15363" max="15363" width="40.7109375" style="1" bestFit="1" customWidth="1"/>
    <col min="15364" max="15364" width="14.5703125" style="1" bestFit="1" customWidth="1"/>
    <col min="15365" max="15365" width="2.5703125" style="1" bestFit="1" customWidth="1"/>
    <col min="15366" max="15366" width="4.28515625" style="1" customWidth="1"/>
    <col min="15367" max="15367" width="12.7109375" style="1" bestFit="1" customWidth="1"/>
    <col min="15368" max="15368" width="11.7109375" style="1" customWidth="1"/>
    <col min="15369" max="15369" width="12.7109375" style="1" bestFit="1" customWidth="1"/>
    <col min="15370" max="15371" width="13" style="1" bestFit="1" customWidth="1"/>
    <col min="15372" max="15374" width="11.7109375" style="1" customWidth="1"/>
    <col min="15375" max="15375" width="13.7109375" style="1" bestFit="1" customWidth="1"/>
    <col min="15376" max="15378" width="11.7109375" style="1" customWidth="1"/>
    <col min="15379" max="15379" width="9.28515625" style="1" customWidth="1"/>
    <col min="15380" max="15380" width="10.7109375" style="1" bestFit="1" customWidth="1"/>
    <col min="15381" max="15617" width="9.28515625" style="1" customWidth="1"/>
    <col min="15618" max="15618" width="16" style="1" customWidth="1"/>
    <col min="15619" max="15619" width="40.7109375" style="1" bestFit="1" customWidth="1"/>
    <col min="15620" max="15620" width="14.5703125" style="1" bestFit="1" customWidth="1"/>
    <col min="15621" max="15621" width="2.5703125" style="1" bestFit="1" customWidth="1"/>
    <col min="15622" max="15622" width="4.28515625" style="1" customWidth="1"/>
    <col min="15623" max="15623" width="12.7109375" style="1" bestFit="1" customWidth="1"/>
    <col min="15624" max="15624" width="11.7109375" style="1" customWidth="1"/>
    <col min="15625" max="15625" width="12.7109375" style="1" bestFit="1" customWidth="1"/>
    <col min="15626" max="15627" width="13" style="1" bestFit="1" customWidth="1"/>
    <col min="15628" max="15630" width="11.7109375" style="1" customWidth="1"/>
    <col min="15631" max="15631" width="13.7109375" style="1" bestFit="1" customWidth="1"/>
    <col min="15632" max="15634" width="11.7109375" style="1" customWidth="1"/>
    <col min="15635" max="15635" width="9.28515625" style="1" customWidth="1"/>
    <col min="15636" max="15636" width="10.7109375" style="1" bestFit="1" customWidth="1"/>
    <col min="15637" max="15873" width="9.28515625" style="1" customWidth="1"/>
    <col min="15874" max="15874" width="16" style="1" customWidth="1"/>
    <col min="15875" max="15875" width="40.7109375" style="1" bestFit="1" customWidth="1"/>
    <col min="15876" max="15876" width="14.5703125" style="1" bestFit="1" customWidth="1"/>
    <col min="15877" max="15877" width="2.5703125" style="1" bestFit="1" customWidth="1"/>
    <col min="15878" max="15878" width="4.28515625" style="1" customWidth="1"/>
    <col min="15879" max="15879" width="12.7109375" style="1" bestFit="1" customWidth="1"/>
    <col min="15880" max="15880" width="11.7109375" style="1" customWidth="1"/>
    <col min="15881" max="15881" width="12.7109375" style="1" bestFit="1" customWidth="1"/>
    <col min="15882" max="15883" width="13" style="1" bestFit="1" customWidth="1"/>
    <col min="15884" max="15886" width="11.7109375" style="1" customWidth="1"/>
    <col min="15887" max="15887" width="13.7109375" style="1" bestFit="1" customWidth="1"/>
    <col min="15888" max="15890" width="11.7109375" style="1" customWidth="1"/>
    <col min="15891" max="15891" width="9.28515625" style="1" customWidth="1"/>
    <col min="15892" max="15892" width="10.7109375" style="1" bestFit="1" customWidth="1"/>
    <col min="15893" max="16129" width="9.28515625" style="1" customWidth="1"/>
    <col min="16130" max="16130" width="16" style="1" customWidth="1"/>
    <col min="16131" max="16131" width="40.7109375" style="1" bestFit="1" customWidth="1"/>
    <col min="16132" max="16132" width="14.5703125" style="1" bestFit="1" customWidth="1"/>
    <col min="16133" max="16133" width="2.5703125" style="1" bestFit="1" customWidth="1"/>
    <col min="16134" max="16134" width="4.28515625" style="1" customWidth="1"/>
    <col min="16135" max="16135" width="12.7109375" style="1" bestFit="1" customWidth="1"/>
    <col min="16136" max="16136" width="11.7109375" style="1" customWidth="1"/>
    <col min="16137" max="16137" width="12.7109375" style="1" bestFit="1" customWidth="1"/>
    <col min="16138" max="16139" width="13" style="1" bestFit="1" customWidth="1"/>
    <col min="16140" max="16142" width="11.7109375" style="1" customWidth="1"/>
    <col min="16143" max="16143" width="13.7109375" style="1" bestFit="1" customWidth="1"/>
    <col min="16144" max="16146" width="11.7109375" style="1" customWidth="1"/>
    <col min="16147" max="16147" width="9.28515625" style="1" customWidth="1"/>
    <col min="16148" max="16148" width="10.7109375" style="1" bestFit="1" customWidth="1"/>
    <col min="16149" max="16384" width="9.28515625" style="1" customWidth="1"/>
  </cols>
  <sheetData>
    <row r="1" spans="1:42" ht="26.25" x14ac:dyDescent="0.35">
      <c r="A1" s="1391" t="str">
        <f>Grunddaten!E5</f>
        <v>2019</v>
      </c>
      <c r="B1" s="1391"/>
      <c r="C1" s="1391"/>
      <c r="D1" s="1391"/>
      <c r="E1" s="1391"/>
      <c r="F1" s="1392"/>
      <c r="G1" s="1386" t="s">
        <v>969</v>
      </c>
      <c r="H1" s="1386"/>
      <c r="I1" s="1386"/>
      <c r="J1" s="1386"/>
      <c r="K1" s="1386"/>
      <c r="L1" s="1386"/>
      <c r="M1" s="1386"/>
      <c r="N1" s="1386"/>
      <c r="O1" s="1386"/>
      <c r="P1" s="1386"/>
      <c r="Q1" s="1386"/>
      <c r="R1" s="1386"/>
      <c r="S1" s="1387" t="s">
        <v>970</v>
      </c>
      <c r="T1" s="1387"/>
      <c r="U1" s="1387"/>
      <c r="V1" s="1387"/>
      <c r="W1" s="1387"/>
      <c r="X1" s="1387"/>
      <c r="Y1" s="1387"/>
      <c r="Z1" s="1387"/>
      <c r="AA1" s="1387"/>
      <c r="AB1" s="1387"/>
      <c r="AC1" s="1387"/>
      <c r="AD1" s="1387"/>
      <c r="AE1" s="1388" t="s">
        <v>971</v>
      </c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</row>
    <row r="2" spans="1:42" x14ac:dyDescent="0.2">
      <c r="A2" s="723" t="s">
        <v>972</v>
      </c>
      <c r="B2" s="724" t="s">
        <v>789</v>
      </c>
      <c r="C2" s="1059" t="s">
        <v>973</v>
      </c>
      <c r="D2" s="1064"/>
      <c r="E2" s="1389" t="s">
        <v>974</v>
      </c>
      <c r="F2" s="1390"/>
      <c r="G2" s="725" t="s">
        <v>975</v>
      </c>
      <c r="H2" s="725" t="s">
        <v>976</v>
      </c>
      <c r="I2" s="725" t="s">
        <v>977</v>
      </c>
      <c r="J2" s="725" t="s">
        <v>978</v>
      </c>
      <c r="K2" s="725" t="s">
        <v>979</v>
      </c>
      <c r="L2" s="725" t="s">
        <v>980</v>
      </c>
      <c r="M2" s="725" t="s">
        <v>981</v>
      </c>
      <c r="N2" s="725" t="s">
        <v>982</v>
      </c>
      <c r="O2" s="725" t="s">
        <v>983</v>
      </c>
      <c r="P2" s="725" t="s">
        <v>984</v>
      </c>
      <c r="Q2" s="725" t="s">
        <v>985</v>
      </c>
      <c r="R2" s="725" t="s">
        <v>986</v>
      </c>
      <c r="S2" s="725" t="s">
        <v>975</v>
      </c>
      <c r="T2" s="725" t="s">
        <v>976</v>
      </c>
      <c r="U2" s="725" t="s">
        <v>977</v>
      </c>
      <c r="V2" s="725" t="s">
        <v>978</v>
      </c>
      <c r="W2" s="725" t="s">
        <v>979</v>
      </c>
      <c r="X2" s="725" t="s">
        <v>980</v>
      </c>
      <c r="Y2" s="725" t="s">
        <v>981</v>
      </c>
      <c r="Z2" s="725" t="s">
        <v>982</v>
      </c>
      <c r="AA2" s="725" t="s">
        <v>983</v>
      </c>
      <c r="AB2" s="725" t="s">
        <v>984</v>
      </c>
      <c r="AC2" s="725" t="s">
        <v>985</v>
      </c>
      <c r="AD2" s="726" t="s">
        <v>986</v>
      </c>
      <c r="AE2" s="725" t="s">
        <v>975</v>
      </c>
      <c r="AF2" s="725" t="s">
        <v>976</v>
      </c>
      <c r="AG2" s="725" t="s">
        <v>977</v>
      </c>
      <c r="AH2" s="725" t="s">
        <v>978</v>
      </c>
      <c r="AI2" s="725" t="s">
        <v>979</v>
      </c>
      <c r="AJ2" s="725" t="s">
        <v>980</v>
      </c>
      <c r="AK2" s="725" t="s">
        <v>981</v>
      </c>
      <c r="AL2" s="725" t="s">
        <v>982</v>
      </c>
      <c r="AM2" s="725" t="s">
        <v>983</v>
      </c>
      <c r="AN2" s="725" t="s">
        <v>984</v>
      </c>
      <c r="AO2" s="725" t="s">
        <v>985</v>
      </c>
      <c r="AP2" s="726" t="s">
        <v>986</v>
      </c>
    </row>
    <row r="3" spans="1:42" x14ac:dyDescent="0.2">
      <c r="A3" s="727"/>
      <c r="B3" s="1031" t="s">
        <v>987</v>
      </c>
      <c r="C3" s="1060"/>
      <c r="D3" s="1065" t="s">
        <v>988</v>
      </c>
      <c r="E3" s="729"/>
      <c r="F3" s="727"/>
      <c r="G3" s="729" t="str">
        <f>"'" &amp; TEXT(G2,"m") &amp; "'!A:A"</f>
        <v>'Ist Aktuell Monat 01'!A:A</v>
      </c>
      <c r="H3" s="729" t="str">
        <f t="shared" ref="H3:R3" si="0">"'" &amp; TEXT(H2,"m") &amp; "'!A:A"</f>
        <v>'Ist Aktuell Monat 02'!A:A</v>
      </c>
      <c r="I3" s="729" t="str">
        <f t="shared" si="0"/>
        <v>'Ist Aktuell Monat 03'!A:A</v>
      </c>
      <c r="J3" s="729" t="str">
        <f t="shared" si="0"/>
        <v>'Ist Aktuell Monat 04'!A:A</v>
      </c>
      <c r="K3" s="729" t="str">
        <f t="shared" si="0"/>
        <v>'Ist Aktuell Monat 05'!A:A</v>
      </c>
      <c r="L3" s="729" t="str">
        <f t="shared" si="0"/>
        <v>'Ist Aktuell Monat 06'!A:A</v>
      </c>
      <c r="M3" s="729" t="str">
        <f t="shared" si="0"/>
        <v>'Ist Aktuell Monat 07'!A:A</v>
      </c>
      <c r="N3" s="729" t="str">
        <f t="shared" si="0"/>
        <v>'Ist Aktuell Monat 08'!A:A</v>
      </c>
      <c r="O3" s="729" t="str">
        <f t="shared" si="0"/>
        <v>'Ist Aktuell Monat 09'!A:A</v>
      </c>
      <c r="P3" s="729" t="str">
        <f t="shared" si="0"/>
        <v>'Ist Aktuell Monat 10'!A:A</v>
      </c>
      <c r="Q3" s="729" t="str">
        <f t="shared" si="0"/>
        <v>'Ist Aktuell Monat 11'!A:A</v>
      </c>
      <c r="R3" s="729" t="str">
        <f t="shared" si="0"/>
        <v>'Ist Aktuell Monat 12'!A:A</v>
      </c>
      <c r="S3" s="729" t="str">
        <f>"'" &amp; TEXT(S2,"m") &amp; "'!A:A"</f>
        <v>'Ist Aktuell Monat 01'!A:A</v>
      </c>
      <c r="T3" s="729" t="str">
        <f t="shared" ref="T3:AD3" si="1">"'" &amp; TEXT(T2,"m") &amp; "'!A:A"</f>
        <v>'Ist Aktuell Monat 02'!A:A</v>
      </c>
      <c r="U3" s="729" t="str">
        <f t="shared" si="1"/>
        <v>'Ist Aktuell Monat 03'!A:A</v>
      </c>
      <c r="V3" s="729" t="str">
        <f t="shared" si="1"/>
        <v>'Ist Aktuell Monat 04'!A:A</v>
      </c>
      <c r="W3" s="729" t="str">
        <f t="shared" si="1"/>
        <v>'Ist Aktuell Monat 05'!A:A</v>
      </c>
      <c r="X3" s="729" t="str">
        <f t="shared" si="1"/>
        <v>'Ist Aktuell Monat 06'!A:A</v>
      </c>
      <c r="Y3" s="729" t="str">
        <f t="shared" si="1"/>
        <v>'Ist Aktuell Monat 07'!A:A</v>
      </c>
      <c r="Z3" s="729" t="str">
        <f t="shared" si="1"/>
        <v>'Ist Aktuell Monat 08'!A:A</v>
      </c>
      <c r="AA3" s="729" t="str">
        <f t="shared" si="1"/>
        <v>'Ist Aktuell Monat 09'!A:A</v>
      </c>
      <c r="AB3" s="729" t="str">
        <f t="shared" si="1"/>
        <v>'Ist Aktuell Monat 10'!A:A</v>
      </c>
      <c r="AC3" s="729" t="str">
        <f t="shared" si="1"/>
        <v>'Ist Aktuell Monat 11'!A:A</v>
      </c>
      <c r="AD3" s="729" t="str">
        <f t="shared" si="1"/>
        <v>'Ist Aktuell Monat 12'!A:A</v>
      </c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</row>
    <row r="4" spans="1:42" x14ac:dyDescent="0.2">
      <c r="A4" s="727"/>
      <c r="B4" s="728" t="s">
        <v>989</v>
      </c>
      <c r="C4" s="1061"/>
      <c r="D4" s="1066" t="s">
        <v>990</v>
      </c>
      <c r="E4" s="729"/>
      <c r="F4" s="727"/>
      <c r="G4" s="729" t="str">
        <f>"'" &amp; TEXT(G2,"m") &amp; "'!J:J"</f>
        <v>'Ist Aktuell Monat 01'!J:J</v>
      </c>
      <c r="H4" s="729" t="str">
        <f t="shared" ref="H4:R4" si="2">"'" &amp; TEXT(H2,"m") &amp; "'!J:J"</f>
        <v>'Ist Aktuell Monat 02'!J:J</v>
      </c>
      <c r="I4" s="729" t="str">
        <f t="shared" si="2"/>
        <v>'Ist Aktuell Monat 03'!J:J</v>
      </c>
      <c r="J4" s="729" t="str">
        <f t="shared" si="2"/>
        <v>'Ist Aktuell Monat 04'!J:J</v>
      </c>
      <c r="K4" s="729" t="str">
        <f t="shared" si="2"/>
        <v>'Ist Aktuell Monat 05'!J:J</v>
      </c>
      <c r="L4" s="729" t="str">
        <f t="shared" si="2"/>
        <v>'Ist Aktuell Monat 06'!J:J</v>
      </c>
      <c r="M4" s="729" t="str">
        <f t="shared" si="2"/>
        <v>'Ist Aktuell Monat 07'!J:J</v>
      </c>
      <c r="N4" s="729" t="str">
        <f t="shared" si="2"/>
        <v>'Ist Aktuell Monat 08'!J:J</v>
      </c>
      <c r="O4" s="729" t="str">
        <f t="shared" si="2"/>
        <v>'Ist Aktuell Monat 09'!J:J</v>
      </c>
      <c r="P4" s="729" t="str">
        <f t="shared" si="2"/>
        <v>'Ist Aktuell Monat 10'!J:J</v>
      </c>
      <c r="Q4" s="729" t="str">
        <f t="shared" si="2"/>
        <v>'Ist Aktuell Monat 11'!J:J</v>
      </c>
      <c r="R4" s="729" t="str">
        <f t="shared" si="2"/>
        <v>'Ist Aktuell Monat 12'!J:J</v>
      </c>
      <c r="S4" s="729" t="str">
        <f>"'" &amp; TEXT(S2,"m") &amp; "'!L:L"</f>
        <v>'Ist Aktuell Monat 01'!L:L</v>
      </c>
      <c r="T4" s="729" t="str">
        <f t="shared" ref="T4:AD4" si="3">"'" &amp; TEXT(T2,"m") &amp; "'!L:L"</f>
        <v>'Ist Aktuell Monat 02'!L:L</v>
      </c>
      <c r="U4" s="729" t="str">
        <f t="shared" si="3"/>
        <v>'Ist Aktuell Monat 03'!L:L</v>
      </c>
      <c r="V4" s="729" t="str">
        <f t="shared" si="3"/>
        <v>'Ist Aktuell Monat 04'!L:L</v>
      </c>
      <c r="W4" s="729" t="str">
        <f t="shared" si="3"/>
        <v>'Ist Aktuell Monat 05'!L:L</v>
      </c>
      <c r="X4" s="729" t="str">
        <f t="shared" si="3"/>
        <v>'Ist Aktuell Monat 06'!L:L</v>
      </c>
      <c r="Y4" s="729" t="str">
        <f t="shared" si="3"/>
        <v>'Ist Aktuell Monat 07'!L:L</v>
      </c>
      <c r="Z4" s="729" t="str">
        <f t="shared" si="3"/>
        <v>'Ist Aktuell Monat 08'!L:L</v>
      </c>
      <c r="AA4" s="729" t="str">
        <f t="shared" si="3"/>
        <v>'Ist Aktuell Monat 09'!L:L</v>
      </c>
      <c r="AB4" s="729" t="str">
        <f t="shared" si="3"/>
        <v>'Ist Aktuell Monat 10'!L:L</v>
      </c>
      <c r="AC4" s="729" t="str">
        <f t="shared" si="3"/>
        <v>'Ist Aktuell Monat 11'!L:L</v>
      </c>
      <c r="AD4" s="729" t="str">
        <f t="shared" si="3"/>
        <v>'Ist Aktuell Monat 12'!L:L</v>
      </c>
      <c r="AE4" s="729" t="str">
        <f>"'" &amp; TEXT(AE2,"m") &amp; "'!J:J"</f>
        <v>'Ist Aktuell Monat 01'!J:J</v>
      </c>
      <c r="AF4" s="729" t="str">
        <f t="shared" ref="AF4:AP4" si="4">"'" &amp; TEXT(AF2,"m") &amp; "'!J:J"</f>
        <v>'Ist Aktuell Monat 02'!J:J</v>
      </c>
      <c r="AG4" s="729" t="str">
        <f t="shared" si="4"/>
        <v>'Ist Aktuell Monat 03'!J:J</v>
      </c>
      <c r="AH4" s="729" t="str">
        <f t="shared" si="4"/>
        <v>'Ist Aktuell Monat 04'!J:J</v>
      </c>
      <c r="AI4" s="729" t="str">
        <f t="shared" si="4"/>
        <v>'Ist Aktuell Monat 05'!J:J</v>
      </c>
      <c r="AJ4" s="729" t="str">
        <f t="shared" si="4"/>
        <v>'Ist Aktuell Monat 06'!J:J</v>
      </c>
      <c r="AK4" s="729" t="str">
        <f t="shared" si="4"/>
        <v>'Ist Aktuell Monat 07'!J:J</v>
      </c>
      <c r="AL4" s="729" t="str">
        <f t="shared" si="4"/>
        <v>'Ist Aktuell Monat 08'!J:J</v>
      </c>
      <c r="AM4" s="729" t="str">
        <f t="shared" si="4"/>
        <v>'Ist Aktuell Monat 09'!J:J</v>
      </c>
      <c r="AN4" s="729" t="str">
        <f t="shared" si="4"/>
        <v>'Ist Aktuell Monat 10'!J:J</v>
      </c>
      <c r="AO4" s="729" t="str">
        <f t="shared" si="4"/>
        <v>'Ist Aktuell Monat 11'!J:J</v>
      </c>
      <c r="AP4" s="729" t="str">
        <f t="shared" si="4"/>
        <v>'Ist Aktuell Monat 12'!J:J</v>
      </c>
    </row>
    <row r="5" spans="1:42" x14ac:dyDescent="0.2">
      <c r="A5" s="727"/>
      <c r="B5" s="728" t="s">
        <v>989</v>
      </c>
      <c r="C5" s="1061"/>
      <c r="D5" s="1066" t="s">
        <v>991</v>
      </c>
      <c r="E5" s="729"/>
      <c r="F5" s="727"/>
      <c r="G5" s="729" t="str">
        <f>"'" &amp; TEXT(G2,"m") &amp; "'!I:I"</f>
        <v>'Ist Aktuell Monat 01'!I:I</v>
      </c>
      <c r="H5" s="729" t="str">
        <f t="shared" ref="H5:R5" si="5">"'" &amp; TEXT(H2,"m") &amp; "'!I:I"</f>
        <v>'Ist Aktuell Monat 02'!I:I</v>
      </c>
      <c r="I5" s="729" t="str">
        <f t="shared" si="5"/>
        <v>'Ist Aktuell Monat 03'!I:I</v>
      </c>
      <c r="J5" s="729" t="str">
        <f t="shared" si="5"/>
        <v>'Ist Aktuell Monat 04'!I:I</v>
      </c>
      <c r="K5" s="729" t="str">
        <f t="shared" si="5"/>
        <v>'Ist Aktuell Monat 05'!I:I</v>
      </c>
      <c r="L5" s="729" t="str">
        <f t="shared" si="5"/>
        <v>'Ist Aktuell Monat 06'!I:I</v>
      </c>
      <c r="M5" s="729" t="str">
        <f t="shared" si="5"/>
        <v>'Ist Aktuell Monat 07'!I:I</v>
      </c>
      <c r="N5" s="729" t="str">
        <f t="shared" si="5"/>
        <v>'Ist Aktuell Monat 08'!I:I</v>
      </c>
      <c r="O5" s="729" t="str">
        <f t="shared" si="5"/>
        <v>'Ist Aktuell Monat 09'!I:I</v>
      </c>
      <c r="P5" s="729" t="str">
        <f t="shared" si="5"/>
        <v>'Ist Aktuell Monat 10'!I:I</v>
      </c>
      <c r="Q5" s="729" t="str">
        <f t="shared" si="5"/>
        <v>'Ist Aktuell Monat 11'!I:I</v>
      </c>
      <c r="R5" s="729" t="str">
        <f t="shared" si="5"/>
        <v>'Ist Aktuell Monat 12'!I:I</v>
      </c>
      <c r="S5" s="729" t="str">
        <f>"'" &amp; TEXT(S2,"m") &amp; "'!K:K"</f>
        <v>'Ist Aktuell Monat 01'!K:K</v>
      </c>
      <c r="T5" s="729" t="str">
        <f t="shared" ref="T5:AD5" si="6">"'" &amp; TEXT(T2,"m") &amp; "'!K:K"</f>
        <v>'Ist Aktuell Monat 02'!K:K</v>
      </c>
      <c r="U5" s="729" t="str">
        <f t="shared" si="6"/>
        <v>'Ist Aktuell Monat 03'!K:K</v>
      </c>
      <c r="V5" s="729" t="str">
        <f t="shared" si="6"/>
        <v>'Ist Aktuell Monat 04'!K:K</v>
      </c>
      <c r="W5" s="729" t="str">
        <f t="shared" si="6"/>
        <v>'Ist Aktuell Monat 05'!K:K</v>
      </c>
      <c r="X5" s="729" t="str">
        <f t="shared" si="6"/>
        <v>'Ist Aktuell Monat 06'!K:K</v>
      </c>
      <c r="Y5" s="729" t="str">
        <f t="shared" si="6"/>
        <v>'Ist Aktuell Monat 07'!K:K</v>
      </c>
      <c r="Z5" s="729" t="str">
        <f t="shared" si="6"/>
        <v>'Ist Aktuell Monat 08'!K:K</v>
      </c>
      <c r="AA5" s="729" t="str">
        <f t="shared" si="6"/>
        <v>'Ist Aktuell Monat 09'!K:K</v>
      </c>
      <c r="AB5" s="729" t="str">
        <f t="shared" si="6"/>
        <v>'Ist Aktuell Monat 10'!K:K</v>
      </c>
      <c r="AC5" s="729" t="str">
        <f t="shared" si="6"/>
        <v>'Ist Aktuell Monat 11'!K:K</v>
      </c>
      <c r="AD5" s="729" t="str">
        <f t="shared" si="6"/>
        <v>'Ist Aktuell Monat 12'!K:K</v>
      </c>
      <c r="AE5" s="729" t="str">
        <f>"'" &amp; TEXT(AE2,"m") &amp; "'!I:I"</f>
        <v>'Ist Aktuell Monat 01'!I:I</v>
      </c>
      <c r="AF5" s="729" t="str">
        <f t="shared" ref="AF5:AP5" si="7">"'" &amp; TEXT(AF2,"m") &amp; "'!I:I"</f>
        <v>'Ist Aktuell Monat 02'!I:I</v>
      </c>
      <c r="AG5" s="729" t="str">
        <f t="shared" si="7"/>
        <v>'Ist Aktuell Monat 03'!I:I</v>
      </c>
      <c r="AH5" s="729" t="str">
        <f t="shared" si="7"/>
        <v>'Ist Aktuell Monat 04'!I:I</v>
      </c>
      <c r="AI5" s="729" t="str">
        <f t="shared" si="7"/>
        <v>'Ist Aktuell Monat 05'!I:I</v>
      </c>
      <c r="AJ5" s="729" t="str">
        <f t="shared" si="7"/>
        <v>'Ist Aktuell Monat 06'!I:I</v>
      </c>
      <c r="AK5" s="729" t="str">
        <f t="shared" si="7"/>
        <v>'Ist Aktuell Monat 07'!I:I</v>
      </c>
      <c r="AL5" s="729" t="str">
        <f t="shared" si="7"/>
        <v>'Ist Aktuell Monat 08'!I:I</v>
      </c>
      <c r="AM5" s="729" t="str">
        <f t="shared" si="7"/>
        <v>'Ist Aktuell Monat 09'!I:I</v>
      </c>
      <c r="AN5" s="729" t="str">
        <f t="shared" si="7"/>
        <v>'Ist Aktuell Monat 10'!I:I</v>
      </c>
      <c r="AO5" s="729" t="str">
        <f t="shared" si="7"/>
        <v>'Ist Aktuell Monat 11'!I:I</v>
      </c>
      <c r="AP5" s="729" t="str">
        <f t="shared" si="7"/>
        <v>'Ist Aktuell Monat 12'!I:I</v>
      </c>
    </row>
    <row r="6" spans="1:42" x14ac:dyDescent="0.2">
      <c r="A6" s="727"/>
      <c r="B6" s="728" t="s">
        <v>322</v>
      </c>
      <c r="C6" s="1061"/>
      <c r="D6" s="1066" t="s">
        <v>992</v>
      </c>
      <c r="E6" s="729"/>
      <c r="F6" s="727"/>
      <c r="G6" s="729" t="str">
        <f>"'" &amp; TEXT(G2,"m") &amp; "'!A:H"</f>
        <v>'Ist Aktuell Monat 01'!A:H</v>
      </c>
      <c r="H6" s="729" t="str">
        <f t="shared" ref="H6:R6" si="8">"'" &amp; TEXT(H2,"m") &amp; "'!A:H"</f>
        <v>'Ist Aktuell Monat 02'!A:H</v>
      </c>
      <c r="I6" s="729" t="str">
        <f t="shared" si="8"/>
        <v>'Ist Aktuell Monat 03'!A:H</v>
      </c>
      <c r="J6" s="729" t="str">
        <f t="shared" si="8"/>
        <v>'Ist Aktuell Monat 04'!A:H</v>
      </c>
      <c r="K6" s="729" t="str">
        <f t="shared" si="8"/>
        <v>'Ist Aktuell Monat 05'!A:H</v>
      </c>
      <c r="L6" s="729" t="str">
        <f t="shared" si="8"/>
        <v>'Ist Aktuell Monat 06'!A:H</v>
      </c>
      <c r="M6" s="729" t="str">
        <f t="shared" si="8"/>
        <v>'Ist Aktuell Monat 07'!A:H</v>
      </c>
      <c r="N6" s="729" t="str">
        <f t="shared" si="8"/>
        <v>'Ist Aktuell Monat 08'!A:H</v>
      </c>
      <c r="O6" s="729" t="str">
        <f t="shared" si="8"/>
        <v>'Ist Aktuell Monat 09'!A:H</v>
      </c>
      <c r="P6" s="729" t="str">
        <f t="shared" si="8"/>
        <v>'Ist Aktuell Monat 10'!A:H</v>
      </c>
      <c r="Q6" s="729" t="str">
        <f t="shared" si="8"/>
        <v>'Ist Aktuell Monat 11'!A:H</v>
      </c>
      <c r="R6" s="729" t="str">
        <f t="shared" si="8"/>
        <v>'Ist Aktuell Monat 12'!A:H</v>
      </c>
      <c r="S6" s="729" t="str">
        <f>"'" &amp; TEXT(S2,"m") &amp; "'!A:H"</f>
        <v>'Ist Aktuell Monat 01'!A:H</v>
      </c>
      <c r="T6" s="729" t="str">
        <f t="shared" ref="T6:AD6" si="9">"'" &amp; TEXT(T2,"m") &amp; "'!A:H"</f>
        <v>'Ist Aktuell Monat 02'!A:H</v>
      </c>
      <c r="U6" s="729" t="str">
        <f t="shared" si="9"/>
        <v>'Ist Aktuell Monat 03'!A:H</v>
      </c>
      <c r="V6" s="729" t="str">
        <f t="shared" si="9"/>
        <v>'Ist Aktuell Monat 04'!A:H</v>
      </c>
      <c r="W6" s="729" t="str">
        <f t="shared" si="9"/>
        <v>'Ist Aktuell Monat 05'!A:H</v>
      </c>
      <c r="X6" s="729" t="str">
        <f t="shared" si="9"/>
        <v>'Ist Aktuell Monat 06'!A:H</v>
      </c>
      <c r="Y6" s="729" t="str">
        <f t="shared" si="9"/>
        <v>'Ist Aktuell Monat 07'!A:H</v>
      </c>
      <c r="Z6" s="729" t="str">
        <f t="shared" si="9"/>
        <v>'Ist Aktuell Monat 08'!A:H</v>
      </c>
      <c r="AA6" s="729" t="str">
        <f t="shared" si="9"/>
        <v>'Ist Aktuell Monat 09'!A:H</v>
      </c>
      <c r="AB6" s="729" t="str">
        <f t="shared" si="9"/>
        <v>'Ist Aktuell Monat 10'!A:H</v>
      </c>
      <c r="AC6" s="729" t="str">
        <f t="shared" si="9"/>
        <v>'Ist Aktuell Monat 11'!A:H</v>
      </c>
      <c r="AD6" s="729" t="str">
        <f t="shared" si="9"/>
        <v>'Ist Aktuell Monat 12'!A:H</v>
      </c>
      <c r="AE6" s="729" t="str">
        <f>"'" &amp; TEXT(AE2,"m") &amp; "'!A:H"</f>
        <v>'Ist Aktuell Monat 01'!A:H</v>
      </c>
      <c r="AF6" s="729" t="str">
        <f t="shared" ref="AF6:AP6" si="10">"'" &amp; TEXT(AF2,"m") &amp; "'!A:H"</f>
        <v>'Ist Aktuell Monat 02'!A:H</v>
      </c>
      <c r="AG6" s="729" t="str">
        <f t="shared" si="10"/>
        <v>'Ist Aktuell Monat 03'!A:H</v>
      </c>
      <c r="AH6" s="729" t="str">
        <f t="shared" si="10"/>
        <v>'Ist Aktuell Monat 04'!A:H</v>
      </c>
      <c r="AI6" s="729" t="str">
        <f t="shared" si="10"/>
        <v>'Ist Aktuell Monat 05'!A:H</v>
      </c>
      <c r="AJ6" s="729" t="str">
        <f t="shared" si="10"/>
        <v>'Ist Aktuell Monat 06'!A:H</v>
      </c>
      <c r="AK6" s="729" t="str">
        <f t="shared" si="10"/>
        <v>'Ist Aktuell Monat 07'!A:H</v>
      </c>
      <c r="AL6" s="729" t="str">
        <f t="shared" si="10"/>
        <v>'Ist Aktuell Monat 08'!A:H</v>
      </c>
      <c r="AM6" s="729" t="str">
        <f t="shared" si="10"/>
        <v>'Ist Aktuell Monat 09'!A:H</v>
      </c>
      <c r="AN6" s="729" t="str">
        <f t="shared" si="10"/>
        <v>'Ist Aktuell Monat 10'!A:H</v>
      </c>
      <c r="AO6" s="729" t="str">
        <f t="shared" si="10"/>
        <v>'Ist Aktuell Monat 11'!A:H</v>
      </c>
      <c r="AP6" s="729" t="str">
        <f t="shared" si="10"/>
        <v>'Ist Aktuell Monat 12'!A:H</v>
      </c>
    </row>
    <row r="7" spans="1:42" x14ac:dyDescent="0.2">
      <c r="A7" s="727"/>
      <c r="B7" s="728" t="s">
        <v>348</v>
      </c>
      <c r="C7" s="1061"/>
      <c r="D7" s="1066" t="s">
        <v>993</v>
      </c>
      <c r="E7" s="729"/>
      <c r="F7" s="727"/>
      <c r="G7" s="729" t="str">
        <f>"'" &amp; TEXT(G2,"m") &amp; "'!L:L"</f>
        <v>'Ist Aktuell Monat 01'!L:L</v>
      </c>
      <c r="H7" s="729" t="str">
        <f t="shared" ref="H7:R7" si="11">"'" &amp; TEXT(H2,"m") &amp; "'!L:L"</f>
        <v>'Ist Aktuell Monat 02'!L:L</v>
      </c>
      <c r="I7" s="729" t="str">
        <f t="shared" si="11"/>
        <v>'Ist Aktuell Monat 03'!L:L</v>
      </c>
      <c r="J7" s="729" t="str">
        <f t="shared" si="11"/>
        <v>'Ist Aktuell Monat 04'!L:L</v>
      </c>
      <c r="K7" s="729" t="str">
        <f t="shared" si="11"/>
        <v>'Ist Aktuell Monat 05'!L:L</v>
      </c>
      <c r="L7" s="729" t="str">
        <f t="shared" si="11"/>
        <v>'Ist Aktuell Monat 06'!L:L</v>
      </c>
      <c r="M7" s="729" t="str">
        <f t="shared" si="11"/>
        <v>'Ist Aktuell Monat 07'!L:L</v>
      </c>
      <c r="N7" s="729" t="str">
        <f t="shared" si="11"/>
        <v>'Ist Aktuell Monat 08'!L:L</v>
      </c>
      <c r="O7" s="729" t="str">
        <f t="shared" si="11"/>
        <v>'Ist Aktuell Monat 09'!L:L</v>
      </c>
      <c r="P7" s="729" t="str">
        <f t="shared" si="11"/>
        <v>'Ist Aktuell Monat 10'!L:L</v>
      </c>
      <c r="Q7" s="729" t="str">
        <f t="shared" si="11"/>
        <v>'Ist Aktuell Monat 11'!L:L</v>
      </c>
      <c r="R7" s="729" t="str">
        <f t="shared" si="11"/>
        <v>'Ist Aktuell Monat 12'!L:L</v>
      </c>
      <c r="S7" s="729" t="str">
        <f>"'" &amp; TEXT(S2,"m") &amp; "'!L:L"</f>
        <v>'Ist Aktuell Monat 01'!L:L</v>
      </c>
      <c r="T7" s="729" t="str">
        <f t="shared" ref="T7:AD7" si="12">"'" &amp; TEXT(T2,"m") &amp; "'!L:L"</f>
        <v>'Ist Aktuell Monat 02'!L:L</v>
      </c>
      <c r="U7" s="729" t="str">
        <f t="shared" si="12"/>
        <v>'Ist Aktuell Monat 03'!L:L</v>
      </c>
      <c r="V7" s="729" t="str">
        <f t="shared" si="12"/>
        <v>'Ist Aktuell Monat 04'!L:L</v>
      </c>
      <c r="W7" s="729" t="str">
        <f t="shared" si="12"/>
        <v>'Ist Aktuell Monat 05'!L:L</v>
      </c>
      <c r="X7" s="729" t="str">
        <f t="shared" si="12"/>
        <v>'Ist Aktuell Monat 06'!L:L</v>
      </c>
      <c r="Y7" s="729" t="str">
        <f t="shared" si="12"/>
        <v>'Ist Aktuell Monat 07'!L:L</v>
      </c>
      <c r="Z7" s="729" t="str">
        <f t="shared" si="12"/>
        <v>'Ist Aktuell Monat 08'!L:L</v>
      </c>
      <c r="AA7" s="729" t="str">
        <f t="shared" si="12"/>
        <v>'Ist Aktuell Monat 09'!L:L</v>
      </c>
      <c r="AB7" s="729" t="str">
        <f t="shared" si="12"/>
        <v>'Ist Aktuell Monat 10'!L:L</v>
      </c>
      <c r="AC7" s="729" t="str">
        <f t="shared" si="12"/>
        <v>'Ist Aktuell Monat 11'!L:L</v>
      </c>
      <c r="AD7" s="729" t="str">
        <f t="shared" si="12"/>
        <v>'Ist Aktuell Monat 12'!L:L</v>
      </c>
      <c r="AE7" s="729" t="str">
        <f>"'" &amp; TEXT(AE2,"m") &amp; "'!L:L"</f>
        <v>'Ist Aktuell Monat 01'!L:L</v>
      </c>
      <c r="AF7" s="729" t="str">
        <f t="shared" ref="AF7:AP7" si="13">"'" &amp; TEXT(AF2,"m") &amp; "'!L:L"</f>
        <v>'Ist Aktuell Monat 02'!L:L</v>
      </c>
      <c r="AG7" s="729" t="str">
        <f t="shared" si="13"/>
        <v>'Ist Aktuell Monat 03'!L:L</v>
      </c>
      <c r="AH7" s="729" t="str">
        <f t="shared" si="13"/>
        <v>'Ist Aktuell Monat 04'!L:L</v>
      </c>
      <c r="AI7" s="729" t="str">
        <f t="shared" si="13"/>
        <v>'Ist Aktuell Monat 05'!L:L</v>
      </c>
      <c r="AJ7" s="729" t="str">
        <f t="shared" si="13"/>
        <v>'Ist Aktuell Monat 06'!L:L</v>
      </c>
      <c r="AK7" s="729" t="str">
        <f t="shared" si="13"/>
        <v>'Ist Aktuell Monat 07'!L:L</v>
      </c>
      <c r="AL7" s="729" t="str">
        <f t="shared" si="13"/>
        <v>'Ist Aktuell Monat 08'!L:L</v>
      </c>
      <c r="AM7" s="729" t="str">
        <f t="shared" si="13"/>
        <v>'Ist Aktuell Monat 09'!L:L</v>
      </c>
      <c r="AN7" s="729" t="str">
        <f t="shared" si="13"/>
        <v>'Ist Aktuell Monat 10'!L:L</v>
      </c>
      <c r="AO7" s="729" t="str">
        <f t="shared" si="13"/>
        <v>'Ist Aktuell Monat 11'!L:L</v>
      </c>
      <c r="AP7" s="729" t="str">
        <f t="shared" si="13"/>
        <v>'Ist Aktuell Monat 12'!L:L</v>
      </c>
    </row>
    <row r="8" spans="1:42" x14ac:dyDescent="0.2">
      <c r="A8" s="727"/>
      <c r="B8" s="1031" t="s">
        <v>994</v>
      </c>
      <c r="C8" s="1060"/>
      <c r="D8" s="1065" t="s">
        <v>995</v>
      </c>
      <c r="E8" s="729"/>
      <c r="F8" s="727"/>
      <c r="G8" s="729" t="str">
        <f>"'" &amp; TEXT(G2,"m") &amp; "'!F:F"</f>
        <v>'Ist Aktuell Monat 01'!F:F</v>
      </c>
      <c r="H8" s="729" t="str">
        <f t="shared" ref="H8:R8" si="14">"'" &amp; TEXT(H2,"m") &amp; "'!F:F"</f>
        <v>'Ist Aktuell Monat 02'!F:F</v>
      </c>
      <c r="I8" s="729" t="str">
        <f t="shared" si="14"/>
        <v>'Ist Aktuell Monat 03'!F:F</v>
      </c>
      <c r="J8" s="729" t="str">
        <f t="shared" si="14"/>
        <v>'Ist Aktuell Monat 04'!F:F</v>
      </c>
      <c r="K8" s="729" t="str">
        <f t="shared" si="14"/>
        <v>'Ist Aktuell Monat 05'!F:F</v>
      </c>
      <c r="L8" s="729" t="str">
        <f t="shared" si="14"/>
        <v>'Ist Aktuell Monat 06'!F:F</v>
      </c>
      <c r="M8" s="729" t="str">
        <f t="shared" si="14"/>
        <v>'Ist Aktuell Monat 07'!F:F</v>
      </c>
      <c r="N8" s="729" t="str">
        <f t="shared" si="14"/>
        <v>'Ist Aktuell Monat 08'!F:F</v>
      </c>
      <c r="O8" s="729" t="str">
        <f t="shared" si="14"/>
        <v>'Ist Aktuell Monat 09'!F:F</v>
      </c>
      <c r="P8" s="729" t="str">
        <f t="shared" si="14"/>
        <v>'Ist Aktuell Monat 10'!F:F</v>
      </c>
      <c r="Q8" s="729" t="str">
        <f t="shared" si="14"/>
        <v>'Ist Aktuell Monat 11'!F:F</v>
      </c>
      <c r="R8" s="729" t="str">
        <f t="shared" si="14"/>
        <v>'Ist Aktuell Monat 12'!F:F</v>
      </c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</row>
    <row r="9" spans="1:42" s="589" customFormat="1" x14ac:dyDescent="0.2">
      <c r="A9" s="585">
        <v>1</v>
      </c>
      <c r="B9" s="586" t="s">
        <v>932</v>
      </c>
      <c r="C9" s="587">
        <f ca="1">SUM(G9:R9)</f>
        <v>176505.38</v>
      </c>
      <c r="D9" s="587"/>
      <c r="E9" s="588"/>
      <c r="F9" s="585"/>
      <c r="G9" s="587">
        <f t="shared" ref="G9:R9" ca="1" si="15">SUM(G10:G25)</f>
        <v>10751.77</v>
      </c>
      <c r="H9" s="587">
        <f t="shared" ca="1" si="15"/>
        <v>12178.650000000001</v>
      </c>
      <c r="I9" s="587">
        <f t="shared" ca="1" si="15"/>
        <v>6981.5300000000007</v>
      </c>
      <c r="J9" s="587">
        <f t="shared" ca="1" si="15"/>
        <v>13432.21</v>
      </c>
      <c r="K9" s="587">
        <f t="shared" ca="1" si="15"/>
        <v>7765.1100000000006</v>
      </c>
      <c r="L9" s="587">
        <f t="shared" ca="1" si="15"/>
        <v>11085.01</v>
      </c>
      <c r="M9" s="587">
        <f t="shared" ca="1" si="15"/>
        <v>50778.380000000005</v>
      </c>
      <c r="N9" s="587">
        <f t="shared" ca="1" si="15"/>
        <v>20043.71</v>
      </c>
      <c r="O9" s="587">
        <f t="shared" ca="1" si="15"/>
        <v>10928.890000000001</v>
      </c>
      <c r="P9" s="587">
        <f t="shared" ca="1" si="15"/>
        <v>32560.12</v>
      </c>
      <c r="Q9" s="587">
        <f t="shared" ca="1" si="15"/>
        <v>0</v>
      </c>
      <c r="R9" s="587">
        <f t="shared" ca="1" si="15"/>
        <v>0</v>
      </c>
      <c r="S9" s="587">
        <f t="shared" ref="S9:AP9" ca="1" si="16">SUM(S10:S25)</f>
        <v>10751.77</v>
      </c>
      <c r="T9" s="587">
        <f t="shared" ca="1" si="16"/>
        <v>22930.42</v>
      </c>
      <c r="U9" s="587">
        <f t="shared" ca="1" si="16"/>
        <v>29911.949999999997</v>
      </c>
      <c r="V9" s="587">
        <f t="shared" ca="1" si="16"/>
        <v>43344.159999999996</v>
      </c>
      <c r="W9" s="587">
        <f t="shared" ca="1" si="16"/>
        <v>51109.27</v>
      </c>
      <c r="X9" s="587">
        <f t="shared" ca="1" si="16"/>
        <v>62194.280000000006</v>
      </c>
      <c r="Y9" s="587">
        <f t="shared" ca="1" si="16"/>
        <v>112972.66</v>
      </c>
      <c r="Z9" s="587">
        <f t="shared" ca="1" si="16"/>
        <v>133016.37000000002</v>
      </c>
      <c r="AA9" s="587">
        <f t="shared" ca="1" si="16"/>
        <v>143945.26</v>
      </c>
      <c r="AB9" s="587">
        <f t="shared" ca="1" si="16"/>
        <v>176505.38</v>
      </c>
      <c r="AC9" s="587">
        <f t="shared" ca="1" si="16"/>
        <v>0</v>
      </c>
      <c r="AD9" s="587">
        <f t="shared" ca="1" si="16"/>
        <v>0</v>
      </c>
      <c r="AE9" s="587">
        <f t="shared" ca="1" si="16"/>
        <v>10751.77</v>
      </c>
      <c r="AF9" s="587">
        <f t="shared" ca="1" si="16"/>
        <v>22930.42</v>
      </c>
      <c r="AG9" s="587">
        <f t="shared" ca="1" si="16"/>
        <v>29911.949999999997</v>
      </c>
      <c r="AH9" s="587">
        <f t="shared" ca="1" si="16"/>
        <v>43344.159999999996</v>
      </c>
      <c r="AI9" s="587">
        <f t="shared" ca="1" si="16"/>
        <v>51109.27</v>
      </c>
      <c r="AJ9" s="587">
        <f t="shared" ca="1" si="16"/>
        <v>62194.280000000006</v>
      </c>
      <c r="AK9" s="587">
        <f t="shared" ca="1" si="16"/>
        <v>112972.66</v>
      </c>
      <c r="AL9" s="587">
        <f t="shared" ca="1" si="16"/>
        <v>133016.37000000002</v>
      </c>
      <c r="AM9" s="587">
        <f t="shared" ca="1" si="16"/>
        <v>143945.26</v>
      </c>
      <c r="AN9" s="587">
        <f t="shared" ca="1" si="16"/>
        <v>176505.38000000006</v>
      </c>
      <c r="AO9" s="587">
        <f t="shared" ca="1" si="16"/>
        <v>176505.38000000006</v>
      </c>
      <c r="AP9" s="587">
        <f t="shared" ca="1" si="16"/>
        <v>176505.38000000006</v>
      </c>
    </row>
    <row r="10" spans="1:42" s="594" customFormat="1" ht="11.25" outlineLevel="1" x14ac:dyDescent="0.2">
      <c r="A10" s="590"/>
      <c r="B10" s="591" t="str">
        <f>IF(D10&lt;&gt;"",
IF(ISERROR(MATCH(D10,'Ist Aktuell Monat 01'!A:A,0))=FALSE,INDEX('Ist Aktuell Monat 01'!B:B,MATCH(D10,'Ist Aktuell Monat 01'!A:A,0)),
IF(ISERROR(MATCH(D10,'Ist Aktuell Monat 02'!A:A,0))=FALSE,INDEX('Ist Aktuell Monat 02'!B:B,MATCH(D10,'Ist Aktuell Monat 02'!A:A,0)),
IF(ISERROR(MATCH(D10,'Ist Aktuell Monat 03'!A:A,0))=FALSE,INDEX('Ist Aktuell Monat 03'!B:B,MATCH(D10,'Ist Aktuell Monat 03'!A:A,0)),
IF(ISERROR(MATCH(D10,'Ist Aktuell Monat 04'!A:A,0))=FALSE,INDEX('Ist Aktuell Monat 04'!B:B,MATCH(D10,'Ist Aktuell Monat 04'!A:A,0)),
IF(ISERROR(MATCH(D10,'Ist Aktuell Monat 05'!A:A,0))=FALSE,INDEX('Ist Aktuell Monat 05'!B:B,MATCH(D10,'Ist Aktuell Monat 05'!A:A,0)),
IF(ISERROR(MATCH(D10,'Ist Aktuell Monat 06'!A:A,0))=FALSE,INDEX('Ist Aktuell Monat 06'!B:B,MATCH(D10,'Ist Aktuell Monat 06'!A:A,0)),
IF(ISERROR(MATCH(D10,'Ist Aktuell Monat 07'!A:A,0))=FALSE,INDEX('Ist Aktuell Monat 07'!B:B,MATCH(D10,'Ist Aktuell Monat 07'!A:A,0)),
IF(ISERROR(MATCH(D10,'Ist Aktuell Monat 08'!A:A,0))=FALSE,INDEX('Ist Aktuell Monat 08'!B:B,MATCH(D10,'Ist Aktuell Monat 08'!A:A,0)),
IF(ISERROR(MATCH(D10,'Ist Aktuell Monat 09'!A:A,0))=FALSE,INDEX('Ist Aktuell Monat 09'!B:B,MATCH(D10,'Ist Aktuell Monat 09'!A:A,0)),
IF(ISERROR(MATCH(D10,'Ist Aktuell Monat 10'!A:A,0))=FALSE,INDEX('Ist Aktuell Monat 10'!B:B,MATCH(D10,'Ist Aktuell Monat 10'!A:A,0)),
IF(ISERROR(MATCH(D10,'Ist Aktuell Monat 11'!A:A,0))=FALSE,INDEX('Ist Aktuell Monat 11'!B:B,MATCH(D10,'Ist Aktuell Monat 11'!A:A,0)),
IF(ISERROR(MATCH(D10,'Ist Aktuell Monat 12'!A:A,0))=FALSE,INDEX('Ist Aktuell Monat 12'!B:B,MATCH(D10,'Ist Aktuell Monat 12'!A:A,0)),
"{Konto unbekannt}"
)))))))))))),"")</f>
        <v>Erlöse "Full-Service BOMAG"</v>
      </c>
      <c r="C10" s="591"/>
      <c r="D10" s="590">
        <v>8400</v>
      </c>
      <c r="E10" s="592">
        <f>IF(F10="-",-1,1)</f>
        <v>-1</v>
      </c>
      <c r="F10" s="590" t="s">
        <v>996</v>
      </c>
      <c r="G10" s="593">
        <f ca="1">$E10*(-SUMIF(INDIRECT(G$3),'Struktur Aktuell'!$D10,INDIRECT(G$4))+SUMIF(INDIRECT(G$3),'Struktur Aktuell'!$D10,INDIRECT(G$5)))</f>
        <v>0</v>
      </c>
      <c r="H10" s="593">
        <f ca="1">$E10*(-SUMIF(INDIRECT(H$3),'Struktur Aktuell'!$D10,INDIRECT(H$4))+SUMIF(INDIRECT(H$3),'Struktur Aktuell'!$D10,INDIRECT(H$5)))</f>
        <v>0</v>
      </c>
      <c r="I10" s="593">
        <f ca="1">$E10*(-SUMIF(INDIRECT(I$3),'Struktur Aktuell'!$D10,INDIRECT(I$4))+SUMIF(INDIRECT(I$3),'Struktur Aktuell'!$D10,INDIRECT(I$5)))</f>
        <v>0</v>
      </c>
      <c r="J10" s="593">
        <f ca="1">$E10*(-SUMIF(INDIRECT(J$3),'Struktur Aktuell'!$D10,INDIRECT(J$4))+SUMIF(INDIRECT(J$3),'Struktur Aktuell'!$D10,INDIRECT(J$5)))</f>
        <v>0</v>
      </c>
      <c r="K10" s="593">
        <f ca="1">$E10*(-SUMIF(INDIRECT(K$3),'Struktur Aktuell'!$D10,INDIRECT(K$4))+SUMIF(INDIRECT(K$3),'Struktur Aktuell'!$D10,INDIRECT(K$5)))</f>
        <v>0</v>
      </c>
      <c r="L10" s="593">
        <f ca="1">$E10*(-SUMIF(INDIRECT(L$3),'Struktur Aktuell'!$D10,INDIRECT(L$4))+SUMIF(INDIRECT(L$3),'Struktur Aktuell'!$D10,INDIRECT(L$5)))</f>
        <v>0</v>
      </c>
      <c r="M10" s="593">
        <f ca="1">$E10*(-SUMIF(INDIRECT(M$3),'Struktur Aktuell'!$D10,INDIRECT(M$4))+SUMIF(INDIRECT(M$3),'Struktur Aktuell'!$D10,INDIRECT(M$5)))</f>
        <v>0</v>
      </c>
      <c r="N10" s="593">
        <f ca="1">$E10*(-SUMIF(INDIRECT(N$3),'Struktur Aktuell'!$D10,INDIRECT(N$4))+SUMIF(INDIRECT(N$3),'Struktur Aktuell'!$D10,INDIRECT(N$5)))</f>
        <v>0</v>
      </c>
      <c r="O10" s="593">
        <f ca="1">$E10*(-SUMIF(INDIRECT(O$3),'Struktur Aktuell'!$D10,INDIRECT(O$4))+SUMIF(INDIRECT(O$3),'Struktur Aktuell'!$D10,INDIRECT(O$5)))</f>
        <v>0</v>
      </c>
      <c r="P10" s="593">
        <f ca="1">$E10*(-SUMIF(INDIRECT(P$3),'Struktur Aktuell'!$D10,INDIRECT(P$4))+SUMIF(INDIRECT(P$3),'Struktur Aktuell'!$D10,INDIRECT(P$5)))</f>
        <v>2250</v>
      </c>
      <c r="Q10" s="593">
        <f ca="1">$E10*(-SUMIF(INDIRECT(Q$3),'Struktur Aktuell'!$D10,INDIRECT(Q$4))+SUMIF(INDIRECT(Q$3),'Struktur Aktuell'!$D10,INDIRECT(Q$5)))</f>
        <v>0</v>
      </c>
      <c r="R10" s="593">
        <f ca="1">$E10*(-SUMIF(INDIRECT(R$3),'Struktur Aktuell'!$D10,INDIRECT(R$4))+SUMIF(INDIRECT(R$3),'Struktur Aktuell'!$D10,INDIRECT(R$5)))</f>
        <v>0</v>
      </c>
      <c r="S10" s="593">
        <f ca="1">$E10*(-SUMIF(INDIRECT(S$3),'Struktur Aktuell'!$D10,INDIRECT(S$4))+SUMIF(INDIRECT(S$3),'Struktur Aktuell'!$D10,INDIRECT(S$5)))</f>
        <v>0</v>
      </c>
      <c r="T10" s="593">
        <f ca="1">$E10*(-SUMIF(INDIRECT(T$3),'Struktur Aktuell'!$D10,INDIRECT(T$4))+SUMIF(INDIRECT(T$3),'Struktur Aktuell'!$D10,INDIRECT(T$5)))</f>
        <v>0</v>
      </c>
      <c r="U10" s="593">
        <f ca="1">$E10*(-SUMIF(INDIRECT(U$3),'Struktur Aktuell'!$D10,INDIRECT(U$4))+SUMIF(INDIRECT(U$3),'Struktur Aktuell'!$D10,INDIRECT(U$5)))</f>
        <v>0</v>
      </c>
      <c r="V10" s="593">
        <f ca="1">$E10*(-SUMIF(INDIRECT(V$3),'Struktur Aktuell'!$D10,INDIRECT(V$4))+SUMIF(INDIRECT(V$3),'Struktur Aktuell'!$D10,INDIRECT(V$5)))</f>
        <v>0</v>
      </c>
      <c r="W10" s="593">
        <f ca="1">$E10*(-SUMIF(INDIRECT(W$3),'Struktur Aktuell'!$D10,INDIRECT(W$4))+SUMIF(INDIRECT(W$3),'Struktur Aktuell'!$D10,INDIRECT(W$5)))</f>
        <v>0</v>
      </c>
      <c r="X10" s="593">
        <f ca="1">$E10*(-SUMIF(INDIRECT(X$3),'Struktur Aktuell'!$D10,INDIRECT(X$4))+SUMIF(INDIRECT(X$3),'Struktur Aktuell'!$D10,INDIRECT(X$5)))</f>
        <v>0</v>
      </c>
      <c r="Y10" s="593">
        <f ca="1">$E10*(-SUMIF(INDIRECT(Y$3),'Struktur Aktuell'!$D10,INDIRECT(Y$4))+SUMIF(INDIRECT(Y$3),'Struktur Aktuell'!$D10,INDIRECT(Y$5)))</f>
        <v>0</v>
      </c>
      <c r="Z10" s="593">
        <f ca="1">$E10*(-SUMIF(INDIRECT(Z$3),'Struktur Aktuell'!$D10,INDIRECT(Z$4))+SUMIF(INDIRECT(Z$3),'Struktur Aktuell'!$D10,INDIRECT(Z$5)))</f>
        <v>0</v>
      </c>
      <c r="AA10" s="593">
        <f ca="1">$E10*(-SUMIF(INDIRECT(AA$3),'Struktur Aktuell'!$D10,INDIRECT(AA$4))+SUMIF(INDIRECT(AA$3),'Struktur Aktuell'!$D10,INDIRECT(AA$5)))</f>
        <v>0</v>
      </c>
      <c r="AB10" s="593">
        <f ca="1">$E10*(-SUMIF(INDIRECT(AB$3),'Struktur Aktuell'!$D10,INDIRECT(AB$4))+SUMIF(INDIRECT(AB$3),'Struktur Aktuell'!$D10,INDIRECT(AB$5)))</f>
        <v>2250</v>
      </c>
      <c r="AC10" s="593">
        <f ca="1">$E10*(-SUMIF(INDIRECT(AC$3),'Struktur Aktuell'!$D10,INDIRECT(AC$4))+SUMIF(INDIRECT(AC$3),'Struktur Aktuell'!$D10,INDIRECT(AC$5)))</f>
        <v>0</v>
      </c>
      <c r="AD10" s="593">
        <f ca="1">$E10*(-SUMIF(INDIRECT(AD$3),'Struktur Aktuell'!$D10,INDIRECT(AD$4))+SUMIF(INDIRECT(AD$3),'Struktur Aktuell'!$D10,INDIRECT(AD$5)))</f>
        <v>0</v>
      </c>
      <c r="AE10" s="593">
        <f ca="1">G10</f>
        <v>0</v>
      </c>
      <c r="AF10" s="593">
        <f ca="1">H10+AE10</f>
        <v>0</v>
      </c>
      <c r="AG10" s="593">
        <f t="shared" ref="AG10:AP10" ca="1" si="17">I10+AF10</f>
        <v>0</v>
      </c>
      <c r="AH10" s="593">
        <f t="shared" ca="1" si="17"/>
        <v>0</v>
      </c>
      <c r="AI10" s="593">
        <f t="shared" ca="1" si="17"/>
        <v>0</v>
      </c>
      <c r="AJ10" s="593">
        <f t="shared" ca="1" si="17"/>
        <v>0</v>
      </c>
      <c r="AK10" s="593">
        <f t="shared" ca="1" si="17"/>
        <v>0</v>
      </c>
      <c r="AL10" s="593">
        <f t="shared" ca="1" si="17"/>
        <v>0</v>
      </c>
      <c r="AM10" s="593">
        <f t="shared" ca="1" si="17"/>
        <v>0</v>
      </c>
      <c r="AN10" s="593">
        <f t="shared" ca="1" si="17"/>
        <v>2250</v>
      </c>
      <c r="AO10" s="593">
        <f t="shared" ca="1" si="17"/>
        <v>2250</v>
      </c>
      <c r="AP10" s="593">
        <f t="shared" ca="1" si="17"/>
        <v>2250</v>
      </c>
    </row>
    <row r="11" spans="1:42" s="594" customFormat="1" ht="11.25" outlineLevel="1" x14ac:dyDescent="0.2">
      <c r="A11" s="590"/>
      <c r="B11" s="591" t="str">
        <f>IF(D11&lt;&gt;"",
IF(ISERROR(MATCH(D11,'Ist Aktuell Monat 01'!A:A,0))=FALSE,INDEX('Ist Aktuell Monat 01'!B:B,MATCH(D11,'Ist Aktuell Monat 01'!A:A,0)),
IF(ISERROR(MATCH(D11,'Ist Aktuell Monat 02'!A:A,0))=FALSE,INDEX('Ist Aktuell Monat 02'!B:B,MATCH(D11,'Ist Aktuell Monat 02'!A:A,0)),
IF(ISERROR(MATCH(D11,'Ist Aktuell Monat 03'!A:A,0))=FALSE,INDEX('Ist Aktuell Monat 03'!B:B,MATCH(D11,'Ist Aktuell Monat 03'!A:A,0)),
IF(ISERROR(MATCH(D11,'Ist Aktuell Monat 04'!A:A,0))=FALSE,INDEX('Ist Aktuell Monat 04'!B:B,MATCH(D11,'Ist Aktuell Monat 04'!A:A,0)),
IF(ISERROR(MATCH(D11,'Ist Aktuell Monat 05'!A:A,0))=FALSE,INDEX('Ist Aktuell Monat 05'!B:B,MATCH(D11,'Ist Aktuell Monat 05'!A:A,0)),
IF(ISERROR(MATCH(D11,'Ist Aktuell Monat 06'!A:A,0))=FALSE,INDEX('Ist Aktuell Monat 06'!B:B,MATCH(D11,'Ist Aktuell Monat 06'!A:A,0)),
IF(ISERROR(MATCH(D11,'Ist Aktuell Monat 07'!A:A,0))=FALSE,INDEX('Ist Aktuell Monat 07'!B:B,MATCH(D11,'Ist Aktuell Monat 07'!A:A,0)),
IF(ISERROR(MATCH(D11,'Ist Aktuell Monat 08'!A:A,0))=FALSE,INDEX('Ist Aktuell Monat 08'!B:B,MATCH(D11,'Ist Aktuell Monat 08'!A:A,0)),
IF(ISERROR(MATCH(D11,'Ist Aktuell Monat 09'!A:A,0))=FALSE,INDEX('Ist Aktuell Monat 09'!B:B,MATCH(D11,'Ist Aktuell Monat 09'!A:A,0)),
IF(ISERROR(MATCH(D11,'Ist Aktuell Monat 10'!A:A,0))=FALSE,INDEX('Ist Aktuell Monat 10'!B:B,MATCH(D11,'Ist Aktuell Monat 10'!A:A,0)),
IF(ISERROR(MATCH(D11,'Ist Aktuell Monat 11'!A:A,0))=FALSE,INDEX('Ist Aktuell Monat 11'!B:B,MATCH(D11,'Ist Aktuell Monat 11'!A:A,0)),
IF(ISERROR(MATCH(D11,'Ist Aktuell Monat 12'!A:A,0))=FALSE,INDEX('Ist Aktuell Monat 12'!B:B,MATCH(D11,'Ist Aktuell Monat 12'!A:A,0)),
"{Konto unbekannt}"
)))))))))))),"")</f>
        <v>Erlöse Viega</v>
      </c>
      <c r="C11" s="591"/>
      <c r="D11" s="590">
        <v>8401</v>
      </c>
      <c r="E11" s="592">
        <f>IF(F11="-",-1,1)</f>
        <v>-1</v>
      </c>
      <c r="F11" s="590" t="s">
        <v>996</v>
      </c>
      <c r="G11" s="593">
        <f ca="1">$E11*(-SUMIF(INDIRECT(G$3),'Struktur Aktuell'!$D11,INDIRECT(G$4))+SUMIF(INDIRECT(G$3),'Struktur Aktuell'!$D11,INDIRECT(G$5)))</f>
        <v>0</v>
      </c>
      <c r="H11" s="593">
        <f ca="1">$E11*(-SUMIF(INDIRECT(H$3),'Struktur Aktuell'!$D11,INDIRECT(H$4))+SUMIF(INDIRECT(H$3),'Struktur Aktuell'!$D11,INDIRECT(H$5)))</f>
        <v>3366.76</v>
      </c>
      <c r="I11" s="593">
        <f ca="1">$E11*(-SUMIF(INDIRECT(I$3),'Struktur Aktuell'!$D11,INDIRECT(I$4))+SUMIF(INDIRECT(I$3),'Struktur Aktuell'!$D11,INDIRECT(I$5)))</f>
        <v>4582.1000000000004</v>
      </c>
      <c r="J11" s="593">
        <f ca="1">$E11*(-SUMIF(INDIRECT(J$3),'Struktur Aktuell'!$D11,INDIRECT(J$4))+SUMIF(INDIRECT(J$3),'Struktur Aktuell'!$D11,INDIRECT(J$5)))</f>
        <v>0</v>
      </c>
      <c r="K11" s="593">
        <f ca="1">$E11*(-SUMIF(INDIRECT(K$3),'Struktur Aktuell'!$D11,INDIRECT(K$4))+SUMIF(INDIRECT(K$3),'Struktur Aktuell'!$D11,INDIRECT(K$5)))</f>
        <v>0</v>
      </c>
      <c r="L11" s="593">
        <f ca="1">$E11*(-SUMIF(INDIRECT(L$3),'Struktur Aktuell'!$D11,INDIRECT(L$4))+SUMIF(INDIRECT(L$3),'Struktur Aktuell'!$D11,INDIRECT(L$5)))</f>
        <v>0</v>
      </c>
      <c r="M11" s="593">
        <f ca="1">$E11*(-SUMIF(INDIRECT(M$3),'Struktur Aktuell'!$D11,INDIRECT(M$4))+SUMIF(INDIRECT(M$3),'Struktur Aktuell'!$D11,INDIRECT(M$5)))</f>
        <v>0</v>
      </c>
      <c r="N11" s="593">
        <f ca="1">$E11*(-SUMIF(INDIRECT(N$3),'Struktur Aktuell'!$D11,INDIRECT(N$4))+SUMIF(INDIRECT(N$3),'Struktur Aktuell'!$D11,INDIRECT(N$5)))</f>
        <v>960</v>
      </c>
      <c r="O11" s="593">
        <f ca="1">$E11*(-SUMIF(INDIRECT(O$3),'Struktur Aktuell'!$D11,INDIRECT(O$4))+SUMIF(INDIRECT(O$3),'Struktur Aktuell'!$D11,INDIRECT(O$5)))</f>
        <v>0</v>
      </c>
      <c r="P11" s="593">
        <f ca="1">$E11*(-SUMIF(INDIRECT(P$3),'Struktur Aktuell'!$D11,INDIRECT(P$4))+SUMIF(INDIRECT(P$3),'Struktur Aktuell'!$D11,INDIRECT(P$5)))</f>
        <v>0</v>
      </c>
      <c r="Q11" s="593">
        <f ca="1">$E11*(-SUMIF(INDIRECT(Q$3),'Struktur Aktuell'!$D11,INDIRECT(Q$4))+SUMIF(INDIRECT(Q$3),'Struktur Aktuell'!$D11,INDIRECT(Q$5)))</f>
        <v>0</v>
      </c>
      <c r="R11" s="593">
        <f ca="1">$E11*(-SUMIF(INDIRECT(R$3),'Struktur Aktuell'!$D11,INDIRECT(R$4))+SUMIF(INDIRECT(R$3),'Struktur Aktuell'!$D11,INDIRECT(R$5)))</f>
        <v>0</v>
      </c>
      <c r="S11" s="593">
        <f ca="1">$E11*(-SUMIF(INDIRECT(S$3),'Struktur Aktuell'!$D11,INDIRECT(S$4))+SUMIF(INDIRECT(S$3),'Struktur Aktuell'!$D11,INDIRECT(S$5)))</f>
        <v>0</v>
      </c>
      <c r="T11" s="593">
        <f ca="1">$E11*(-SUMIF(INDIRECT(T$3),'Struktur Aktuell'!$D11,INDIRECT(T$4))+SUMIF(INDIRECT(T$3),'Struktur Aktuell'!$D11,INDIRECT(T$5)))</f>
        <v>3366.76</v>
      </c>
      <c r="U11" s="593">
        <f ca="1">$E11*(-SUMIF(INDIRECT(U$3),'Struktur Aktuell'!$D11,INDIRECT(U$4))+SUMIF(INDIRECT(U$3),'Struktur Aktuell'!$D11,INDIRECT(U$5)))</f>
        <v>7948.86</v>
      </c>
      <c r="V11" s="593">
        <f ca="1">$E11*(-SUMIF(INDIRECT(V$3),'Struktur Aktuell'!$D11,INDIRECT(V$4))+SUMIF(INDIRECT(V$3),'Struktur Aktuell'!$D11,INDIRECT(V$5)))</f>
        <v>7948.86</v>
      </c>
      <c r="W11" s="593">
        <f ca="1">$E11*(-SUMIF(INDIRECT(W$3),'Struktur Aktuell'!$D11,INDIRECT(W$4))+SUMIF(INDIRECT(W$3),'Struktur Aktuell'!$D11,INDIRECT(W$5)))</f>
        <v>7948.86</v>
      </c>
      <c r="X11" s="593">
        <f ca="1">$E11*(-SUMIF(INDIRECT(X$3),'Struktur Aktuell'!$D11,INDIRECT(X$4))+SUMIF(INDIRECT(X$3),'Struktur Aktuell'!$D11,INDIRECT(X$5)))</f>
        <v>7948.86</v>
      </c>
      <c r="Y11" s="593">
        <f ca="1">$E11*(-SUMIF(INDIRECT(Y$3),'Struktur Aktuell'!$D11,INDIRECT(Y$4))+SUMIF(INDIRECT(Y$3),'Struktur Aktuell'!$D11,INDIRECT(Y$5)))</f>
        <v>7948.86</v>
      </c>
      <c r="Z11" s="593">
        <f ca="1">$E11*(-SUMIF(INDIRECT(Z$3),'Struktur Aktuell'!$D11,INDIRECT(Z$4))+SUMIF(INDIRECT(Z$3),'Struktur Aktuell'!$D11,INDIRECT(Z$5)))</f>
        <v>8908.86</v>
      </c>
      <c r="AA11" s="593">
        <f ca="1">$E11*(-SUMIF(INDIRECT(AA$3),'Struktur Aktuell'!$D11,INDIRECT(AA$4))+SUMIF(INDIRECT(AA$3),'Struktur Aktuell'!$D11,INDIRECT(AA$5)))</f>
        <v>8908.86</v>
      </c>
      <c r="AB11" s="593">
        <f ca="1">$E11*(-SUMIF(INDIRECT(AB$3),'Struktur Aktuell'!$D11,INDIRECT(AB$4))+SUMIF(INDIRECT(AB$3),'Struktur Aktuell'!$D11,INDIRECT(AB$5)))</f>
        <v>8908.86</v>
      </c>
      <c r="AC11" s="593">
        <f ca="1">$E11*(-SUMIF(INDIRECT(AC$3),'Struktur Aktuell'!$D11,INDIRECT(AC$4))+SUMIF(INDIRECT(AC$3),'Struktur Aktuell'!$D11,INDIRECT(AC$5)))</f>
        <v>0</v>
      </c>
      <c r="AD11" s="593">
        <f ca="1">$E11*(-SUMIF(INDIRECT(AD$3),'Struktur Aktuell'!$D11,INDIRECT(AD$4))+SUMIF(INDIRECT(AD$3),'Struktur Aktuell'!$D11,INDIRECT(AD$5)))</f>
        <v>0</v>
      </c>
      <c r="AE11" s="593">
        <f t="shared" ref="AE11:AE25" ca="1" si="18">G11</f>
        <v>0</v>
      </c>
      <c r="AF11" s="593">
        <f t="shared" ref="AF11:AF25" ca="1" si="19">H11+AE11</f>
        <v>3366.76</v>
      </c>
      <c r="AG11" s="593">
        <f t="shared" ref="AG11:AG25" ca="1" si="20">I11+AF11</f>
        <v>7948.8600000000006</v>
      </c>
      <c r="AH11" s="593">
        <f t="shared" ref="AH11:AH25" ca="1" si="21">J11+AG11</f>
        <v>7948.8600000000006</v>
      </c>
      <c r="AI11" s="593">
        <f t="shared" ref="AI11:AI25" ca="1" si="22">K11+AH11</f>
        <v>7948.8600000000006</v>
      </c>
      <c r="AJ11" s="593">
        <f t="shared" ref="AJ11:AJ25" ca="1" si="23">L11+AI11</f>
        <v>7948.8600000000006</v>
      </c>
      <c r="AK11" s="593">
        <f t="shared" ref="AK11:AK25" ca="1" si="24">M11+AJ11</f>
        <v>7948.8600000000006</v>
      </c>
      <c r="AL11" s="593">
        <f t="shared" ref="AL11:AL25" ca="1" si="25">N11+AK11</f>
        <v>8908.86</v>
      </c>
      <c r="AM11" s="593">
        <f t="shared" ref="AM11:AM25" ca="1" si="26">O11+AL11</f>
        <v>8908.86</v>
      </c>
      <c r="AN11" s="593">
        <f t="shared" ref="AN11:AN25" ca="1" si="27">P11+AM11</f>
        <v>8908.86</v>
      </c>
      <c r="AO11" s="593">
        <f t="shared" ref="AO11:AO25" ca="1" si="28">Q11+AN11</f>
        <v>8908.86</v>
      </c>
      <c r="AP11" s="593">
        <f t="shared" ref="AP11:AP25" ca="1" si="29">R11+AO11</f>
        <v>8908.86</v>
      </c>
    </row>
    <row r="12" spans="1:42" s="594" customFormat="1" ht="11.25" outlineLevel="1" x14ac:dyDescent="0.2">
      <c r="A12" s="590"/>
      <c r="B12" s="591" t="str">
        <f>IF(D12&lt;&gt;"",
IF(ISERROR(MATCH(D12,'Ist Aktuell Monat 01'!A:A,0))=FALSE,INDEX('Ist Aktuell Monat 01'!B:B,MATCH(D12,'Ist Aktuell Monat 01'!A:A,0)),
IF(ISERROR(MATCH(D12,'Ist Aktuell Monat 02'!A:A,0))=FALSE,INDEX('Ist Aktuell Monat 02'!B:B,MATCH(D12,'Ist Aktuell Monat 02'!A:A,0)),
IF(ISERROR(MATCH(D12,'Ist Aktuell Monat 03'!A:A,0))=FALSE,INDEX('Ist Aktuell Monat 03'!B:B,MATCH(D12,'Ist Aktuell Monat 03'!A:A,0)),
IF(ISERROR(MATCH(D12,'Ist Aktuell Monat 04'!A:A,0))=FALSE,INDEX('Ist Aktuell Monat 04'!B:B,MATCH(D12,'Ist Aktuell Monat 04'!A:A,0)),
IF(ISERROR(MATCH(D12,'Ist Aktuell Monat 05'!A:A,0))=FALSE,INDEX('Ist Aktuell Monat 05'!B:B,MATCH(D12,'Ist Aktuell Monat 05'!A:A,0)),
IF(ISERROR(MATCH(D12,'Ist Aktuell Monat 06'!A:A,0))=FALSE,INDEX('Ist Aktuell Monat 06'!B:B,MATCH(D12,'Ist Aktuell Monat 06'!A:A,0)),
IF(ISERROR(MATCH(D12,'Ist Aktuell Monat 07'!A:A,0))=FALSE,INDEX('Ist Aktuell Monat 07'!B:B,MATCH(D12,'Ist Aktuell Monat 07'!A:A,0)),
IF(ISERROR(MATCH(D12,'Ist Aktuell Monat 08'!A:A,0))=FALSE,INDEX('Ist Aktuell Monat 08'!B:B,MATCH(D12,'Ist Aktuell Monat 08'!A:A,0)),
IF(ISERROR(MATCH(D12,'Ist Aktuell Monat 09'!A:A,0))=FALSE,INDEX('Ist Aktuell Monat 09'!B:B,MATCH(D12,'Ist Aktuell Monat 09'!A:A,0)),
IF(ISERROR(MATCH(D12,'Ist Aktuell Monat 10'!A:A,0))=FALSE,INDEX('Ist Aktuell Monat 10'!B:B,MATCH(D12,'Ist Aktuell Monat 10'!A:A,0)),
IF(ISERROR(MATCH(D12,'Ist Aktuell Monat 11'!A:A,0))=FALSE,INDEX('Ist Aktuell Monat 11'!B:B,MATCH(D12,'Ist Aktuell Monat 11'!A:A,0)),
IF(ISERROR(MATCH(D12,'Ist Aktuell Monat 12'!A:A,0))=FALSE,INDEX('Ist Aktuell Monat 12'!B:B,MATCH(D12,'Ist Aktuell Monat 12'!A:A,0)),
"{Konto unbekannt}"
)))))))))))),"")</f>
        <v>Erlöse Website &amp; Software-Produkte</v>
      </c>
      <c r="C12" s="591"/>
      <c r="D12" s="590">
        <v>8402</v>
      </c>
      <c r="E12" s="592">
        <f t="shared" ref="E12:E58" si="30">IF(F12="-",-1,1)</f>
        <v>-1</v>
      </c>
      <c r="F12" s="590" t="s">
        <v>996</v>
      </c>
      <c r="G12" s="593">
        <f ca="1">$E12*(-SUMIF(INDIRECT(G$3),'Struktur Aktuell'!$D12,INDIRECT(G$4))+SUMIF(INDIRECT(G$3),'Struktur Aktuell'!$D12,INDIRECT(G$5)))</f>
        <v>3047.44</v>
      </c>
      <c r="H12" s="593">
        <f ca="1">$E12*(-SUMIF(INDIRECT(H$3),'Struktur Aktuell'!$D12,INDIRECT(H$4))+SUMIF(INDIRECT(H$3),'Struktur Aktuell'!$D12,INDIRECT(H$5)))</f>
        <v>152.80000000000001</v>
      </c>
      <c r="I12" s="593">
        <f ca="1">$E12*(-SUMIF(INDIRECT(I$3),'Struktur Aktuell'!$D12,INDIRECT(I$4))+SUMIF(INDIRECT(I$3),'Struktur Aktuell'!$D12,INDIRECT(I$5)))</f>
        <v>999</v>
      </c>
      <c r="J12" s="593">
        <f ca="1">$E12*(-SUMIF(INDIRECT(J$3),'Struktur Aktuell'!$D12,INDIRECT(J$4))+SUMIF(INDIRECT(J$3),'Struktur Aktuell'!$D12,INDIRECT(J$5)))</f>
        <v>422.5</v>
      </c>
      <c r="K12" s="593">
        <f ca="1">$E12*(-SUMIF(INDIRECT(K$3),'Struktur Aktuell'!$D12,INDIRECT(K$4))+SUMIF(INDIRECT(K$3),'Struktur Aktuell'!$D12,INDIRECT(K$5)))</f>
        <v>260</v>
      </c>
      <c r="L12" s="593">
        <f ca="1">$E12*(-SUMIF(INDIRECT(L$3),'Struktur Aktuell'!$D12,INDIRECT(L$4))+SUMIF(INDIRECT(L$3),'Struktur Aktuell'!$D12,INDIRECT(L$5)))</f>
        <v>1724.35</v>
      </c>
      <c r="M12" s="593">
        <f ca="1">$E12*(-SUMIF(INDIRECT(M$3),'Struktur Aktuell'!$D12,INDIRECT(M$4))+SUMIF(INDIRECT(M$3),'Struktur Aktuell'!$D12,INDIRECT(M$5)))</f>
        <v>30877.38</v>
      </c>
      <c r="N12" s="593">
        <f ca="1">$E12*(-SUMIF(INDIRECT(N$3),'Struktur Aktuell'!$D12,INDIRECT(N$4))+SUMIF(INDIRECT(N$3),'Struktur Aktuell'!$D12,INDIRECT(N$5)))</f>
        <v>7529.1</v>
      </c>
      <c r="O12" s="593">
        <f ca="1">$E12*(-SUMIF(INDIRECT(O$3),'Struktur Aktuell'!$D12,INDIRECT(O$4))+SUMIF(INDIRECT(O$3),'Struktur Aktuell'!$D12,INDIRECT(O$5)))</f>
        <v>334.97</v>
      </c>
      <c r="P12" s="593">
        <f ca="1">$E12*(-SUMIF(INDIRECT(P$3),'Struktur Aktuell'!$D12,INDIRECT(P$4))+SUMIF(INDIRECT(P$3),'Struktur Aktuell'!$D12,INDIRECT(P$5)))</f>
        <v>7899.69</v>
      </c>
      <c r="Q12" s="593">
        <f ca="1">$E12*(-SUMIF(INDIRECT(Q$3),'Struktur Aktuell'!$D12,INDIRECT(Q$4))+SUMIF(INDIRECT(Q$3),'Struktur Aktuell'!$D12,INDIRECT(Q$5)))</f>
        <v>0</v>
      </c>
      <c r="R12" s="593">
        <f ca="1">$E12*(-SUMIF(INDIRECT(R$3),'Struktur Aktuell'!$D12,INDIRECT(R$4))+SUMIF(INDIRECT(R$3),'Struktur Aktuell'!$D12,INDIRECT(R$5)))</f>
        <v>0</v>
      </c>
      <c r="S12" s="593">
        <f ca="1">$E12*(-SUMIF(INDIRECT(S$3),'Struktur Aktuell'!$D12,INDIRECT(S$4))+SUMIF(INDIRECT(S$3),'Struktur Aktuell'!$D12,INDIRECT(S$5)))</f>
        <v>3047.44</v>
      </c>
      <c r="T12" s="593">
        <f ca="1">$E12*(-SUMIF(INDIRECT(T$3),'Struktur Aktuell'!$D12,INDIRECT(T$4))+SUMIF(INDIRECT(T$3),'Struktur Aktuell'!$D12,INDIRECT(T$5)))</f>
        <v>3200.24</v>
      </c>
      <c r="U12" s="593">
        <f ca="1">$E12*(-SUMIF(INDIRECT(U$3),'Struktur Aktuell'!$D12,INDIRECT(U$4))+SUMIF(INDIRECT(U$3),'Struktur Aktuell'!$D12,INDIRECT(U$5)))</f>
        <v>4199.24</v>
      </c>
      <c r="V12" s="593">
        <f ca="1">$E12*(-SUMIF(INDIRECT(V$3),'Struktur Aktuell'!$D12,INDIRECT(V$4))+SUMIF(INDIRECT(V$3),'Struktur Aktuell'!$D12,INDIRECT(V$5)))</f>
        <v>4621.74</v>
      </c>
      <c r="W12" s="593">
        <f ca="1">$E12*(-SUMIF(INDIRECT(W$3),'Struktur Aktuell'!$D12,INDIRECT(W$4))+SUMIF(INDIRECT(W$3),'Struktur Aktuell'!$D12,INDIRECT(W$5)))</f>
        <v>4881.74</v>
      </c>
      <c r="X12" s="593">
        <f ca="1">$E12*(-SUMIF(INDIRECT(X$3),'Struktur Aktuell'!$D12,INDIRECT(X$4))+SUMIF(INDIRECT(X$3),'Struktur Aktuell'!$D12,INDIRECT(X$5)))</f>
        <v>6606.09</v>
      </c>
      <c r="Y12" s="593">
        <f ca="1">$E12*(-SUMIF(INDIRECT(Y$3),'Struktur Aktuell'!$D12,INDIRECT(Y$4))+SUMIF(INDIRECT(Y$3),'Struktur Aktuell'!$D12,INDIRECT(Y$5)))</f>
        <v>37483.47</v>
      </c>
      <c r="Z12" s="593">
        <f ca="1">$E12*(-SUMIF(INDIRECT(Z$3),'Struktur Aktuell'!$D12,INDIRECT(Z$4))+SUMIF(INDIRECT(Z$3),'Struktur Aktuell'!$D12,INDIRECT(Z$5)))</f>
        <v>45012.57</v>
      </c>
      <c r="AA12" s="593">
        <f ca="1">$E12*(-SUMIF(INDIRECT(AA$3),'Struktur Aktuell'!$D12,INDIRECT(AA$4))+SUMIF(INDIRECT(AA$3),'Struktur Aktuell'!$D12,INDIRECT(AA$5)))</f>
        <v>45347.54</v>
      </c>
      <c r="AB12" s="593">
        <f ca="1">$E12*(-SUMIF(INDIRECT(AB$3),'Struktur Aktuell'!$D12,INDIRECT(AB$4))+SUMIF(INDIRECT(AB$3),'Struktur Aktuell'!$D12,INDIRECT(AB$5)))</f>
        <v>53247.23</v>
      </c>
      <c r="AC12" s="593">
        <f ca="1">$E12*(-SUMIF(INDIRECT(AC$3),'Struktur Aktuell'!$D12,INDIRECT(AC$4))+SUMIF(INDIRECT(AC$3),'Struktur Aktuell'!$D12,INDIRECT(AC$5)))</f>
        <v>0</v>
      </c>
      <c r="AD12" s="593">
        <f ca="1">$E12*(-SUMIF(INDIRECT(AD$3),'Struktur Aktuell'!$D12,INDIRECT(AD$4))+SUMIF(INDIRECT(AD$3),'Struktur Aktuell'!$D12,INDIRECT(AD$5)))</f>
        <v>0</v>
      </c>
      <c r="AE12" s="593">
        <f t="shared" ca="1" si="18"/>
        <v>3047.44</v>
      </c>
      <c r="AF12" s="593">
        <f t="shared" ca="1" si="19"/>
        <v>3200.2400000000002</v>
      </c>
      <c r="AG12" s="593">
        <f t="shared" ca="1" si="20"/>
        <v>4199.24</v>
      </c>
      <c r="AH12" s="593">
        <f t="shared" ca="1" si="21"/>
        <v>4621.74</v>
      </c>
      <c r="AI12" s="593">
        <f t="shared" ca="1" si="22"/>
        <v>4881.74</v>
      </c>
      <c r="AJ12" s="593">
        <f t="shared" ca="1" si="23"/>
        <v>6606.09</v>
      </c>
      <c r="AK12" s="593">
        <f t="shared" ca="1" si="24"/>
        <v>37483.47</v>
      </c>
      <c r="AL12" s="593">
        <f t="shared" ca="1" si="25"/>
        <v>45012.57</v>
      </c>
      <c r="AM12" s="593">
        <f t="shared" ca="1" si="26"/>
        <v>45347.54</v>
      </c>
      <c r="AN12" s="593">
        <f t="shared" ca="1" si="27"/>
        <v>53247.23</v>
      </c>
      <c r="AO12" s="593">
        <f t="shared" ca="1" si="28"/>
        <v>53247.23</v>
      </c>
      <c r="AP12" s="593">
        <f t="shared" ca="1" si="29"/>
        <v>53247.23</v>
      </c>
    </row>
    <row r="13" spans="1:42" s="594" customFormat="1" ht="11.25" outlineLevel="1" x14ac:dyDescent="0.2">
      <c r="A13" s="590"/>
      <c r="B13" s="591" t="str">
        <f>IF(D13&lt;&gt;"",
IF(ISERROR(MATCH(D13,'Ist Aktuell Monat 01'!A:A,0))=FALSE,INDEX('Ist Aktuell Monat 01'!B:B,MATCH(D13,'Ist Aktuell Monat 01'!A:A,0)),
IF(ISERROR(MATCH(D13,'Ist Aktuell Monat 02'!A:A,0))=FALSE,INDEX('Ist Aktuell Monat 02'!B:B,MATCH(D13,'Ist Aktuell Monat 02'!A:A,0)),
IF(ISERROR(MATCH(D13,'Ist Aktuell Monat 03'!A:A,0))=FALSE,INDEX('Ist Aktuell Monat 03'!B:B,MATCH(D13,'Ist Aktuell Monat 03'!A:A,0)),
IF(ISERROR(MATCH(D13,'Ist Aktuell Monat 04'!A:A,0))=FALSE,INDEX('Ist Aktuell Monat 04'!B:B,MATCH(D13,'Ist Aktuell Monat 04'!A:A,0)),
IF(ISERROR(MATCH(D13,'Ist Aktuell Monat 05'!A:A,0))=FALSE,INDEX('Ist Aktuell Monat 05'!B:B,MATCH(D13,'Ist Aktuell Monat 05'!A:A,0)),
IF(ISERROR(MATCH(D13,'Ist Aktuell Monat 06'!A:A,0))=FALSE,INDEX('Ist Aktuell Monat 06'!B:B,MATCH(D13,'Ist Aktuell Monat 06'!A:A,0)),
IF(ISERROR(MATCH(D13,'Ist Aktuell Monat 07'!A:A,0))=FALSE,INDEX('Ist Aktuell Monat 07'!B:B,MATCH(D13,'Ist Aktuell Monat 07'!A:A,0)),
IF(ISERROR(MATCH(D13,'Ist Aktuell Monat 08'!A:A,0))=FALSE,INDEX('Ist Aktuell Monat 08'!B:B,MATCH(D13,'Ist Aktuell Monat 08'!A:A,0)),
IF(ISERROR(MATCH(D13,'Ist Aktuell Monat 09'!A:A,0))=FALSE,INDEX('Ist Aktuell Monat 09'!B:B,MATCH(D13,'Ist Aktuell Monat 09'!A:A,0)),
IF(ISERROR(MATCH(D13,'Ist Aktuell Monat 10'!A:A,0))=FALSE,INDEX('Ist Aktuell Monat 10'!B:B,MATCH(D13,'Ist Aktuell Monat 10'!A:A,0)),
IF(ISERROR(MATCH(D13,'Ist Aktuell Monat 11'!A:A,0))=FALSE,INDEX('Ist Aktuell Monat 11'!B:B,MATCH(D13,'Ist Aktuell Monat 11'!A:A,0)),
IF(ISERROR(MATCH(D13,'Ist Aktuell Monat 12'!A:A,0))=FALSE,INDEX('Ist Aktuell Monat 12'!B:B,MATCH(D13,'Ist Aktuell Monat 12'!A:A,0)),
"{Konto unbekannt}"
)))))))))))),"")</f>
        <v>Erlöse Datenschutz-Beauftragung</v>
      </c>
      <c r="C13" s="591"/>
      <c r="D13" s="590">
        <v>8403</v>
      </c>
      <c r="E13" s="592">
        <f t="shared" si="30"/>
        <v>-1</v>
      </c>
      <c r="F13" s="590" t="s">
        <v>996</v>
      </c>
      <c r="G13" s="593">
        <f ca="1">$E13*(-SUMIF(INDIRECT(G$3),'Struktur Aktuell'!$D13,INDIRECT(G$4))+SUMIF(INDIRECT(G$3),'Struktur Aktuell'!$D13,INDIRECT(G$5)))</f>
        <v>0</v>
      </c>
      <c r="H13" s="593">
        <f ca="1">$E13*(-SUMIF(INDIRECT(H$3),'Struktur Aktuell'!$D13,INDIRECT(H$4))+SUMIF(INDIRECT(H$3),'Struktur Aktuell'!$D13,INDIRECT(H$5)))</f>
        <v>205.83</v>
      </c>
      <c r="I13" s="593">
        <f ca="1">$E13*(-SUMIF(INDIRECT(I$3),'Struktur Aktuell'!$D13,INDIRECT(I$4))+SUMIF(INDIRECT(I$3),'Struktur Aktuell'!$D13,INDIRECT(I$5)))</f>
        <v>205.83</v>
      </c>
      <c r="J13" s="593">
        <f ca="1">$E13*(-SUMIF(INDIRECT(J$3),'Struktur Aktuell'!$D13,INDIRECT(J$4))+SUMIF(INDIRECT(J$3),'Struktur Aktuell'!$D13,INDIRECT(J$5)))</f>
        <v>235.83</v>
      </c>
      <c r="K13" s="593">
        <f ca="1">$E13*(-SUMIF(INDIRECT(K$3),'Struktur Aktuell'!$D13,INDIRECT(K$4))+SUMIF(INDIRECT(K$3),'Struktur Aktuell'!$D13,INDIRECT(K$5)))</f>
        <v>325.83</v>
      </c>
      <c r="L13" s="593">
        <f ca="1">$E13*(-SUMIF(INDIRECT(L$3),'Struktur Aktuell'!$D13,INDIRECT(L$4))+SUMIF(INDIRECT(L$3),'Struktur Aktuell'!$D13,INDIRECT(L$5)))</f>
        <v>0</v>
      </c>
      <c r="M13" s="593">
        <f ca="1">$E13*(-SUMIF(INDIRECT(M$3),'Struktur Aktuell'!$D13,INDIRECT(M$4))+SUMIF(INDIRECT(M$3),'Struktur Aktuell'!$D13,INDIRECT(M$5)))</f>
        <v>175.83</v>
      </c>
      <c r="N13" s="593">
        <f ca="1">$E13*(-SUMIF(INDIRECT(N$3),'Struktur Aktuell'!$D13,INDIRECT(N$4))+SUMIF(INDIRECT(N$3),'Struktur Aktuell'!$D13,INDIRECT(N$5)))</f>
        <v>865.83</v>
      </c>
      <c r="O13" s="593">
        <f ca="1">$E13*(-SUMIF(INDIRECT(O$3),'Struktur Aktuell'!$D13,INDIRECT(O$4))+SUMIF(INDIRECT(O$3),'Struktur Aktuell'!$D13,INDIRECT(O$5)))</f>
        <v>655.83</v>
      </c>
      <c r="P13" s="593">
        <f ca="1">$E13*(-SUMIF(INDIRECT(P$3),'Struktur Aktuell'!$D13,INDIRECT(P$4))+SUMIF(INDIRECT(P$3),'Struktur Aktuell'!$D13,INDIRECT(P$5)))</f>
        <v>205.83</v>
      </c>
      <c r="Q13" s="593">
        <f ca="1">$E13*(-SUMIF(INDIRECT(Q$3),'Struktur Aktuell'!$D13,INDIRECT(Q$4))+SUMIF(INDIRECT(Q$3),'Struktur Aktuell'!$D13,INDIRECT(Q$5)))</f>
        <v>0</v>
      </c>
      <c r="R13" s="593">
        <f ca="1">$E13*(-SUMIF(INDIRECT(R$3),'Struktur Aktuell'!$D13,INDIRECT(R$4))+SUMIF(INDIRECT(R$3),'Struktur Aktuell'!$D13,INDIRECT(R$5)))</f>
        <v>0</v>
      </c>
      <c r="S13" s="593">
        <f ca="1">$E13*(-SUMIF(INDIRECT(S$3),'Struktur Aktuell'!$D13,INDIRECT(S$4))+SUMIF(INDIRECT(S$3),'Struktur Aktuell'!$D13,INDIRECT(S$5)))</f>
        <v>0</v>
      </c>
      <c r="T13" s="593">
        <f ca="1">$E13*(-SUMIF(INDIRECT(T$3),'Struktur Aktuell'!$D13,INDIRECT(T$4))+SUMIF(INDIRECT(T$3),'Struktur Aktuell'!$D13,INDIRECT(T$5)))</f>
        <v>205.83</v>
      </c>
      <c r="U13" s="593">
        <f ca="1">$E13*(-SUMIF(INDIRECT(U$3),'Struktur Aktuell'!$D13,INDIRECT(U$4))+SUMIF(INDIRECT(U$3),'Struktur Aktuell'!$D13,INDIRECT(U$5)))</f>
        <v>411.66</v>
      </c>
      <c r="V13" s="593">
        <f ca="1">$E13*(-SUMIF(INDIRECT(V$3),'Struktur Aktuell'!$D13,INDIRECT(V$4))+SUMIF(INDIRECT(V$3),'Struktur Aktuell'!$D13,INDIRECT(V$5)))</f>
        <v>647.49</v>
      </c>
      <c r="W13" s="593">
        <f ca="1">$E13*(-SUMIF(INDIRECT(W$3),'Struktur Aktuell'!$D13,INDIRECT(W$4))+SUMIF(INDIRECT(W$3),'Struktur Aktuell'!$D13,INDIRECT(W$5)))</f>
        <v>973.32</v>
      </c>
      <c r="X13" s="593">
        <f ca="1">$E13*(-SUMIF(INDIRECT(X$3),'Struktur Aktuell'!$D13,INDIRECT(X$4))+SUMIF(INDIRECT(X$3),'Struktur Aktuell'!$D13,INDIRECT(X$5)))</f>
        <v>973.32</v>
      </c>
      <c r="Y13" s="593">
        <f ca="1">$E13*(-SUMIF(INDIRECT(Y$3),'Struktur Aktuell'!$D13,INDIRECT(Y$4))+SUMIF(INDIRECT(Y$3),'Struktur Aktuell'!$D13,INDIRECT(Y$5)))</f>
        <v>1149.1500000000001</v>
      </c>
      <c r="Z13" s="593">
        <f ca="1">$E13*(-SUMIF(INDIRECT(Z$3),'Struktur Aktuell'!$D13,INDIRECT(Z$4))+SUMIF(INDIRECT(Z$3),'Struktur Aktuell'!$D13,INDIRECT(Z$5)))</f>
        <v>2014.98</v>
      </c>
      <c r="AA13" s="593">
        <f ca="1">$E13*(-SUMIF(INDIRECT(AA$3),'Struktur Aktuell'!$D13,INDIRECT(AA$4))+SUMIF(INDIRECT(AA$3),'Struktur Aktuell'!$D13,INDIRECT(AA$5)))</f>
        <v>2670.81</v>
      </c>
      <c r="AB13" s="593">
        <f ca="1">$E13*(-SUMIF(INDIRECT(AB$3),'Struktur Aktuell'!$D13,INDIRECT(AB$4))+SUMIF(INDIRECT(AB$3),'Struktur Aktuell'!$D13,INDIRECT(AB$5)))</f>
        <v>2876.64</v>
      </c>
      <c r="AC13" s="593">
        <f ca="1">$E13*(-SUMIF(INDIRECT(AC$3),'Struktur Aktuell'!$D13,INDIRECT(AC$4))+SUMIF(INDIRECT(AC$3),'Struktur Aktuell'!$D13,INDIRECT(AC$5)))</f>
        <v>0</v>
      </c>
      <c r="AD13" s="593">
        <f ca="1">$E13*(-SUMIF(INDIRECT(AD$3),'Struktur Aktuell'!$D13,INDIRECT(AD$4))+SUMIF(INDIRECT(AD$3),'Struktur Aktuell'!$D13,INDIRECT(AD$5)))</f>
        <v>0</v>
      </c>
      <c r="AE13" s="593">
        <f t="shared" ca="1" si="18"/>
        <v>0</v>
      </c>
      <c r="AF13" s="593">
        <f t="shared" ca="1" si="19"/>
        <v>205.83</v>
      </c>
      <c r="AG13" s="593">
        <f t="shared" ca="1" si="20"/>
        <v>411.66</v>
      </c>
      <c r="AH13" s="593">
        <f t="shared" ca="1" si="21"/>
        <v>647.49</v>
      </c>
      <c r="AI13" s="593">
        <f t="shared" ca="1" si="22"/>
        <v>973.31999999999994</v>
      </c>
      <c r="AJ13" s="593">
        <f t="shared" ca="1" si="23"/>
        <v>973.31999999999994</v>
      </c>
      <c r="AK13" s="593">
        <f t="shared" ca="1" si="24"/>
        <v>1149.1499999999999</v>
      </c>
      <c r="AL13" s="593">
        <f t="shared" ca="1" si="25"/>
        <v>2014.98</v>
      </c>
      <c r="AM13" s="593">
        <f t="shared" ca="1" si="26"/>
        <v>2670.81</v>
      </c>
      <c r="AN13" s="593">
        <f t="shared" ca="1" si="27"/>
        <v>2876.64</v>
      </c>
      <c r="AO13" s="593">
        <f t="shared" ca="1" si="28"/>
        <v>2876.64</v>
      </c>
      <c r="AP13" s="593">
        <f t="shared" ca="1" si="29"/>
        <v>2876.64</v>
      </c>
    </row>
    <row r="14" spans="1:42" s="594" customFormat="1" ht="11.25" outlineLevel="1" x14ac:dyDescent="0.2">
      <c r="A14" s="590"/>
      <c r="B14" s="591" t="str">
        <f>IF(D14&lt;&gt;"",
IF(ISERROR(MATCH(D14,'Ist Aktuell Monat 01'!A:A,0))=FALSE,INDEX('Ist Aktuell Monat 01'!B:B,MATCH(D14,'Ist Aktuell Monat 01'!A:A,0)),
IF(ISERROR(MATCH(D14,'Ist Aktuell Monat 02'!A:A,0))=FALSE,INDEX('Ist Aktuell Monat 02'!B:B,MATCH(D14,'Ist Aktuell Monat 02'!A:A,0)),
IF(ISERROR(MATCH(D14,'Ist Aktuell Monat 03'!A:A,0))=FALSE,INDEX('Ist Aktuell Monat 03'!B:B,MATCH(D14,'Ist Aktuell Monat 03'!A:A,0)),
IF(ISERROR(MATCH(D14,'Ist Aktuell Monat 04'!A:A,0))=FALSE,INDEX('Ist Aktuell Monat 04'!B:B,MATCH(D14,'Ist Aktuell Monat 04'!A:A,0)),
IF(ISERROR(MATCH(D14,'Ist Aktuell Monat 05'!A:A,0))=FALSE,INDEX('Ist Aktuell Monat 05'!B:B,MATCH(D14,'Ist Aktuell Monat 05'!A:A,0)),
IF(ISERROR(MATCH(D14,'Ist Aktuell Monat 06'!A:A,0))=FALSE,INDEX('Ist Aktuell Monat 06'!B:B,MATCH(D14,'Ist Aktuell Monat 06'!A:A,0)),
IF(ISERROR(MATCH(D14,'Ist Aktuell Monat 07'!A:A,0))=FALSE,INDEX('Ist Aktuell Monat 07'!B:B,MATCH(D14,'Ist Aktuell Monat 07'!A:A,0)),
IF(ISERROR(MATCH(D14,'Ist Aktuell Monat 08'!A:A,0))=FALSE,INDEX('Ist Aktuell Monat 08'!B:B,MATCH(D14,'Ist Aktuell Monat 08'!A:A,0)),
IF(ISERROR(MATCH(D14,'Ist Aktuell Monat 09'!A:A,0))=FALSE,INDEX('Ist Aktuell Monat 09'!B:B,MATCH(D14,'Ist Aktuell Monat 09'!A:A,0)),
IF(ISERROR(MATCH(D14,'Ist Aktuell Monat 10'!A:A,0))=FALSE,INDEX('Ist Aktuell Monat 10'!B:B,MATCH(D14,'Ist Aktuell Monat 10'!A:A,0)),
IF(ISERROR(MATCH(D14,'Ist Aktuell Monat 11'!A:A,0))=FALSE,INDEX('Ist Aktuell Monat 11'!B:B,MATCH(D14,'Ist Aktuell Monat 11'!A:A,0)),
IF(ISERROR(MATCH(D14,'Ist Aktuell Monat 12'!A:A,0))=FALSE,INDEX('Ist Aktuell Monat 12'!B:B,MATCH(D14,'Ist Aktuell Monat 12'!A:A,0)),
"{Konto unbekannt}"
)))))))))))),"")</f>
        <v>Erlöse 19% USt - Bewerbungsservice</v>
      </c>
      <c r="C14" s="591"/>
      <c r="D14" s="590">
        <v>8404</v>
      </c>
      <c r="E14" s="592">
        <f t="shared" si="30"/>
        <v>-1</v>
      </c>
      <c r="F14" s="590" t="s">
        <v>996</v>
      </c>
      <c r="G14" s="593">
        <f ca="1">$E14*(-SUMIF(INDIRECT(G$3),'Struktur Aktuell'!$D14,INDIRECT(G$4))+SUMIF(INDIRECT(G$3),'Struktur Aktuell'!$D14,INDIRECT(G$5)))</f>
        <v>0</v>
      </c>
      <c r="H14" s="593">
        <f ca="1">$E14*(-SUMIF(INDIRECT(H$3),'Struktur Aktuell'!$D14,INDIRECT(H$4))+SUMIF(INDIRECT(H$3),'Struktur Aktuell'!$D14,INDIRECT(H$5)))</f>
        <v>0</v>
      </c>
      <c r="I14" s="593">
        <f ca="1">$E14*(-SUMIF(INDIRECT(I$3),'Struktur Aktuell'!$D14,INDIRECT(I$4))+SUMIF(INDIRECT(I$3),'Struktur Aktuell'!$D14,INDIRECT(I$5)))</f>
        <v>0</v>
      </c>
      <c r="J14" s="593">
        <f ca="1">$E14*(-SUMIF(INDIRECT(J$3),'Struktur Aktuell'!$D14,INDIRECT(J$4))+SUMIF(INDIRECT(J$3),'Struktur Aktuell'!$D14,INDIRECT(J$5)))</f>
        <v>0</v>
      </c>
      <c r="K14" s="593">
        <f ca="1">$E14*(-SUMIF(INDIRECT(K$3),'Struktur Aktuell'!$D14,INDIRECT(K$4))+SUMIF(INDIRECT(K$3),'Struktur Aktuell'!$D14,INDIRECT(K$5)))</f>
        <v>308.39999999999998</v>
      </c>
      <c r="L14" s="593">
        <f ca="1">$E14*(-SUMIF(INDIRECT(L$3),'Struktur Aktuell'!$D14,INDIRECT(L$4))+SUMIF(INDIRECT(L$3),'Struktur Aktuell'!$D14,INDIRECT(L$5)))</f>
        <v>23.53</v>
      </c>
      <c r="M14" s="593">
        <f ca="1">$E14*(-SUMIF(INDIRECT(M$3),'Struktur Aktuell'!$D14,INDIRECT(M$4))+SUMIF(INDIRECT(M$3),'Struktur Aktuell'!$D14,INDIRECT(M$5)))</f>
        <v>0</v>
      </c>
      <c r="N14" s="593">
        <f ca="1">$E14*(-SUMIF(INDIRECT(N$3),'Struktur Aktuell'!$D14,INDIRECT(N$4))+SUMIF(INDIRECT(N$3),'Struktur Aktuell'!$D14,INDIRECT(N$5)))</f>
        <v>147.06</v>
      </c>
      <c r="O14" s="593">
        <f ca="1">$E14*(-SUMIF(INDIRECT(O$3),'Struktur Aktuell'!$D14,INDIRECT(O$4))+SUMIF(INDIRECT(O$3),'Struktur Aktuell'!$D14,INDIRECT(O$5)))</f>
        <v>233.08</v>
      </c>
      <c r="P14" s="593">
        <f ca="1">$E14*(-SUMIF(INDIRECT(P$3),'Struktur Aktuell'!$D14,INDIRECT(P$4))+SUMIF(INDIRECT(P$3),'Struktur Aktuell'!$D14,INDIRECT(P$5)))</f>
        <v>0</v>
      </c>
      <c r="Q14" s="593">
        <f ca="1">$E14*(-SUMIF(INDIRECT(Q$3),'Struktur Aktuell'!$D14,INDIRECT(Q$4))+SUMIF(INDIRECT(Q$3),'Struktur Aktuell'!$D14,INDIRECT(Q$5)))</f>
        <v>0</v>
      </c>
      <c r="R14" s="593">
        <f ca="1">$E14*(-SUMIF(INDIRECT(R$3),'Struktur Aktuell'!$D14,INDIRECT(R$4))+SUMIF(INDIRECT(R$3),'Struktur Aktuell'!$D14,INDIRECT(R$5)))</f>
        <v>0</v>
      </c>
      <c r="S14" s="593">
        <f ca="1">$E14*(-SUMIF(INDIRECT(S$3),'Struktur Aktuell'!$D14,INDIRECT(S$4))+SUMIF(INDIRECT(S$3),'Struktur Aktuell'!$D14,INDIRECT(S$5)))</f>
        <v>0</v>
      </c>
      <c r="T14" s="593">
        <f ca="1">$E14*(-SUMIF(INDIRECT(T$3),'Struktur Aktuell'!$D14,INDIRECT(T$4))+SUMIF(INDIRECT(T$3),'Struktur Aktuell'!$D14,INDIRECT(T$5)))</f>
        <v>0</v>
      </c>
      <c r="U14" s="593">
        <f ca="1">$E14*(-SUMIF(INDIRECT(U$3),'Struktur Aktuell'!$D14,INDIRECT(U$4))+SUMIF(INDIRECT(U$3),'Struktur Aktuell'!$D14,INDIRECT(U$5)))</f>
        <v>0</v>
      </c>
      <c r="V14" s="593">
        <f ca="1">$E14*(-SUMIF(INDIRECT(V$3),'Struktur Aktuell'!$D14,INDIRECT(V$4))+SUMIF(INDIRECT(V$3),'Struktur Aktuell'!$D14,INDIRECT(V$5)))</f>
        <v>0</v>
      </c>
      <c r="W14" s="593">
        <f ca="1">$E14*(-SUMIF(INDIRECT(W$3),'Struktur Aktuell'!$D14,INDIRECT(W$4))+SUMIF(INDIRECT(W$3),'Struktur Aktuell'!$D14,INDIRECT(W$5)))</f>
        <v>308.39999999999998</v>
      </c>
      <c r="X14" s="593">
        <f ca="1">$E14*(-SUMIF(INDIRECT(X$3),'Struktur Aktuell'!$D14,INDIRECT(X$4))+SUMIF(INDIRECT(X$3),'Struktur Aktuell'!$D14,INDIRECT(X$5)))</f>
        <v>331.93</v>
      </c>
      <c r="Y14" s="593">
        <f ca="1">$E14*(-SUMIF(INDIRECT(Y$3),'Struktur Aktuell'!$D14,INDIRECT(Y$4))+SUMIF(INDIRECT(Y$3),'Struktur Aktuell'!$D14,INDIRECT(Y$5)))</f>
        <v>331.93</v>
      </c>
      <c r="Z14" s="593">
        <f ca="1">$E14*(-SUMIF(INDIRECT(Z$3),'Struktur Aktuell'!$D14,INDIRECT(Z$4))+SUMIF(INDIRECT(Z$3),'Struktur Aktuell'!$D14,INDIRECT(Z$5)))</f>
        <v>478.99</v>
      </c>
      <c r="AA14" s="593">
        <f ca="1">$E14*(-SUMIF(INDIRECT(AA$3),'Struktur Aktuell'!$D14,INDIRECT(AA$4))+SUMIF(INDIRECT(AA$3),'Struktur Aktuell'!$D14,INDIRECT(AA$5)))</f>
        <v>712.07</v>
      </c>
      <c r="AB14" s="593">
        <f ca="1">$E14*(-SUMIF(INDIRECT(AB$3),'Struktur Aktuell'!$D14,INDIRECT(AB$4))+SUMIF(INDIRECT(AB$3),'Struktur Aktuell'!$D14,INDIRECT(AB$5)))</f>
        <v>712.07</v>
      </c>
      <c r="AC14" s="593">
        <f ca="1">$E14*(-SUMIF(INDIRECT(AC$3),'Struktur Aktuell'!$D14,INDIRECT(AC$4))+SUMIF(INDIRECT(AC$3),'Struktur Aktuell'!$D14,INDIRECT(AC$5)))</f>
        <v>0</v>
      </c>
      <c r="AD14" s="593">
        <f ca="1">$E14*(-SUMIF(INDIRECT(AD$3),'Struktur Aktuell'!$D14,INDIRECT(AD$4))+SUMIF(INDIRECT(AD$3),'Struktur Aktuell'!$D14,INDIRECT(AD$5)))</f>
        <v>0</v>
      </c>
      <c r="AE14" s="593">
        <f t="shared" ca="1" si="18"/>
        <v>0</v>
      </c>
      <c r="AF14" s="593">
        <f t="shared" ca="1" si="19"/>
        <v>0</v>
      </c>
      <c r="AG14" s="593">
        <f t="shared" ca="1" si="20"/>
        <v>0</v>
      </c>
      <c r="AH14" s="593">
        <f t="shared" ca="1" si="21"/>
        <v>0</v>
      </c>
      <c r="AI14" s="593">
        <f t="shared" ca="1" si="22"/>
        <v>308.39999999999998</v>
      </c>
      <c r="AJ14" s="593">
        <f t="shared" ca="1" si="23"/>
        <v>331.92999999999995</v>
      </c>
      <c r="AK14" s="593">
        <f t="shared" ca="1" si="24"/>
        <v>331.92999999999995</v>
      </c>
      <c r="AL14" s="593">
        <f t="shared" ca="1" si="25"/>
        <v>478.98999999999995</v>
      </c>
      <c r="AM14" s="593">
        <f t="shared" ca="1" si="26"/>
        <v>712.06999999999994</v>
      </c>
      <c r="AN14" s="593">
        <f t="shared" ca="1" si="27"/>
        <v>712.06999999999994</v>
      </c>
      <c r="AO14" s="593">
        <f t="shared" ca="1" si="28"/>
        <v>712.06999999999994</v>
      </c>
      <c r="AP14" s="593">
        <f t="shared" ca="1" si="29"/>
        <v>712.06999999999994</v>
      </c>
    </row>
    <row r="15" spans="1:42" s="594" customFormat="1" ht="11.25" outlineLevel="1" x14ac:dyDescent="0.2">
      <c r="A15" s="590"/>
      <c r="B15" s="591" t="str">
        <f>IF(D15&lt;&gt;"",
IF(ISERROR(MATCH(D15,'Ist Aktuell Monat 01'!A:A,0))=FALSE,INDEX('Ist Aktuell Monat 01'!B:B,MATCH(D15,'Ist Aktuell Monat 01'!A:A,0)),
IF(ISERROR(MATCH(D15,'Ist Aktuell Monat 02'!A:A,0))=FALSE,INDEX('Ist Aktuell Monat 02'!B:B,MATCH(D15,'Ist Aktuell Monat 02'!A:A,0)),
IF(ISERROR(MATCH(D15,'Ist Aktuell Monat 03'!A:A,0))=FALSE,INDEX('Ist Aktuell Monat 03'!B:B,MATCH(D15,'Ist Aktuell Monat 03'!A:A,0)),
IF(ISERROR(MATCH(D15,'Ist Aktuell Monat 04'!A:A,0))=FALSE,INDEX('Ist Aktuell Monat 04'!B:B,MATCH(D15,'Ist Aktuell Monat 04'!A:A,0)),
IF(ISERROR(MATCH(D15,'Ist Aktuell Monat 05'!A:A,0))=FALSE,INDEX('Ist Aktuell Monat 05'!B:B,MATCH(D15,'Ist Aktuell Monat 05'!A:A,0)),
IF(ISERROR(MATCH(D15,'Ist Aktuell Monat 06'!A:A,0))=FALSE,INDEX('Ist Aktuell Monat 06'!B:B,MATCH(D15,'Ist Aktuell Monat 06'!A:A,0)),
IF(ISERROR(MATCH(D15,'Ist Aktuell Monat 07'!A:A,0))=FALSE,INDEX('Ist Aktuell Monat 07'!B:B,MATCH(D15,'Ist Aktuell Monat 07'!A:A,0)),
IF(ISERROR(MATCH(D15,'Ist Aktuell Monat 08'!A:A,0))=FALSE,INDEX('Ist Aktuell Monat 08'!B:B,MATCH(D15,'Ist Aktuell Monat 08'!A:A,0)),
IF(ISERROR(MATCH(D15,'Ist Aktuell Monat 09'!A:A,0))=FALSE,INDEX('Ist Aktuell Monat 09'!B:B,MATCH(D15,'Ist Aktuell Monat 09'!A:A,0)),
IF(ISERROR(MATCH(D15,'Ist Aktuell Monat 10'!A:A,0))=FALSE,INDEX('Ist Aktuell Monat 10'!B:B,MATCH(D15,'Ist Aktuell Monat 10'!A:A,0)),
IF(ISERROR(MATCH(D15,'Ist Aktuell Monat 11'!A:A,0))=FALSE,INDEX('Ist Aktuell Monat 11'!B:B,MATCH(D15,'Ist Aktuell Monat 11'!A:A,0)),
IF(ISERROR(MATCH(D15,'Ist Aktuell Monat 12'!A:A,0))=FALSE,INDEX('Ist Aktuell Monat 12'!B:B,MATCH(D15,'Ist Aktuell Monat 12'!A:A,0)),
"{Konto unbekannt}"
)))))))))))),"")</f>
        <v>Erlöse 19% USt - Allgemein</v>
      </c>
      <c r="C15" s="591"/>
      <c r="D15" s="590">
        <v>8405</v>
      </c>
      <c r="E15" s="592">
        <f t="shared" si="30"/>
        <v>-1</v>
      </c>
      <c r="F15" s="590" t="s">
        <v>996</v>
      </c>
      <c r="G15" s="593">
        <f ca="1">$E15*(-SUMIF(INDIRECT(G$3),'Struktur Aktuell'!$D15,INDIRECT(G$4))+SUMIF(INDIRECT(G$3),'Struktur Aktuell'!$D15,INDIRECT(G$5)))</f>
        <v>950</v>
      </c>
      <c r="H15" s="593">
        <f ca="1">$E15*(-SUMIF(INDIRECT(H$3),'Struktur Aktuell'!$D15,INDIRECT(H$4))+SUMIF(INDIRECT(H$3),'Struktur Aktuell'!$D15,INDIRECT(H$5)))</f>
        <v>950</v>
      </c>
      <c r="I15" s="593">
        <f ca="1">$E15*(-SUMIF(INDIRECT(I$3),'Struktur Aktuell'!$D15,INDIRECT(I$4))+SUMIF(INDIRECT(I$3),'Struktur Aktuell'!$D15,INDIRECT(I$5)))</f>
        <v>1145</v>
      </c>
      <c r="J15" s="593">
        <f ca="1">$E15*(-SUMIF(INDIRECT(J$3),'Struktur Aktuell'!$D15,INDIRECT(J$4))+SUMIF(INDIRECT(J$3),'Struktur Aktuell'!$D15,INDIRECT(J$5)))</f>
        <v>950</v>
      </c>
      <c r="K15" s="593">
        <f ca="1">$E15*(-SUMIF(INDIRECT(K$3),'Struktur Aktuell'!$D15,INDIRECT(K$4))+SUMIF(INDIRECT(K$3),'Struktur Aktuell'!$D15,INDIRECT(K$5)))</f>
        <v>950</v>
      </c>
      <c r="L15" s="593">
        <f ca="1">$E15*(-SUMIF(INDIRECT(L$3),'Struktur Aktuell'!$D15,INDIRECT(L$4))+SUMIF(INDIRECT(L$3),'Struktur Aktuell'!$D15,INDIRECT(L$5)))</f>
        <v>4187.54</v>
      </c>
      <c r="M15" s="593">
        <f ca="1">$E15*(-SUMIF(INDIRECT(M$3),'Struktur Aktuell'!$D15,INDIRECT(M$4))+SUMIF(INDIRECT(M$3),'Struktur Aktuell'!$D15,INDIRECT(M$5)))</f>
        <v>10602.16</v>
      </c>
      <c r="N15" s="593">
        <f ca="1">$E15*(-SUMIF(INDIRECT(N$3),'Struktur Aktuell'!$D15,INDIRECT(N$4))+SUMIF(INDIRECT(N$3),'Struktur Aktuell'!$D15,INDIRECT(N$5)))</f>
        <v>6221.72</v>
      </c>
      <c r="O15" s="593">
        <f ca="1">$E15*(-SUMIF(INDIRECT(O$3),'Struktur Aktuell'!$D15,INDIRECT(O$4))+SUMIF(INDIRECT(O$3),'Struktur Aktuell'!$D15,INDIRECT(O$5)))</f>
        <v>9362.93</v>
      </c>
      <c r="P15" s="593">
        <f ca="1">$E15*(-SUMIF(INDIRECT(P$3),'Struktur Aktuell'!$D15,INDIRECT(P$4))+SUMIF(INDIRECT(P$3),'Struktur Aktuell'!$D15,INDIRECT(P$5)))</f>
        <v>7523.1</v>
      </c>
      <c r="Q15" s="593">
        <f ca="1">$E15*(-SUMIF(INDIRECT(Q$3),'Struktur Aktuell'!$D15,INDIRECT(Q$4))+SUMIF(INDIRECT(Q$3),'Struktur Aktuell'!$D15,INDIRECT(Q$5)))</f>
        <v>0</v>
      </c>
      <c r="R15" s="593">
        <f ca="1">$E15*(-SUMIF(INDIRECT(R$3),'Struktur Aktuell'!$D15,INDIRECT(R$4))+SUMIF(INDIRECT(R$3),'Struktur Aktuell'!$D15,INDIRECT(R$5)))</f>
        <v>0</v>
      </c>
      <c r="S15" s="593">
        <f ca="1">$E15*(-SUMIF(INDIRECT(S$3),'Struktur Aktuell'!$D15,INDIRECT(S$4))+SUMIF(INDIRECT(S$3),'Struktur Aktuell'!$D15,INDIRECT(S$5)))</f>
        <v>950</v>
      </c>
      <c r="T15" s="593">
        <f ca="1">$E15*(-SUMIF(INDIRECT(T$3),'Struktur Aktuell'!$D15,INDIRECT(T$4))+SUMIF(INDIRECT(T$3),'Struktur Aktuell'!$D15,INDIRECT(T$5)))</f>
        <v>1900</v>
      </c>
      <c r="U15" s="593">
        <f ca="1">$E15*(-SUMIF(INDIRECT(U$3),'Struktur Aktuell'!$D15,INDIRECT(U$4))+SUMIF(INDIRECT(U$3),'Struktur Aktuell'!$D15,INDIRECT(U$5)))</f>
        <v>3045</v>
      </c>
      <c r="V15" s="593">
        <f ca="1">$E15*(-SUMIF(INDIRECT(V$3),'Struktur Aktuell'!$D15,INDIRECT(V$4))+SUMIF(INDIRECT(V$3),'Struktur Aktuell'!$D15,INDIRECT(V$5)))</f>
        <v>3995</v>
      </c>
      <c r="W15" s="593">
        <f ca="1">$E15*(-SUMIF(INDIRECT(W$3),'Struktur Aktuell'!$D15,INDIRECT(W$4))+SUMIF(INDIRECT(W$3),'Struktur Aktuell'!$D15,INDIRECT(W$5)))</f>
        <v>4945</v>
      </c>
      <c r="X15" s="593">
        <f ca="1">$E15*(-SUMIF(INDIRECT(X$3),'Struktur Aktuell'!$D15,INDIRECT(X$4))+SUMIF(INDIRECT(X$3),'Struktur Aktuell'!$D15,INDIRECT(X$5)))</f>
        <v>9132.5400000000009</v>
      </c>
      <c r="Y15" s="593">
        <f ca="1">$E15*(-SUMIF(INDIRECT(Y$3),'Struktur Aktuell'!$D15,INDIRECT(Y$4))+SUMIF(INDIRECT(Y$3),'Struktur Aktuell'!$D15,INDIRECT(Y$5)))</f>
        <v>19734.7</v>
      </c>
      <c r="Z15" s="593">
        <f ca="1">$E15*(-SUMIF(INDIRECT(Z$3),'Struktur Aktuell'!$D15,INDIRECT(Z$4))+SUMIF(INDIRECT(Z$3),'Struktur Aktuell'!$D15,INDIRECT(Z$5)))</f>
        <v>25956.42</v>
      </c>
      <c r="AA15" s="593">
        <f ca="1">$E15*(-SUMIF(INDIRECT(AA$3),'Struktur Aktuell'!$D15,INDIRECT(AA$4))+SUMIF(INDIRECT(AA$3),'Struktur Aktuell'!$D15,INDIRECT(AA$5)))</f>
        <v>35319.35</v>
      </c>
      <c r="AB15" s="593">
        <f ca="1">$E15*(-SUMIF(INDIRECT(AB$3),'Struktur Aktuell'!$D15,INDIRECT(AB$4))+SUMIF(INDIRECT(AB$3),'Struktur Aktuell'!$D15,INDIRECT(AB$5)))</f>
        <v>42842.45</v>
      </c>
      <c r="AC15" s="593">
        <f ca="1">$E15*(-SUMIF(INDIRECT(AC$3),'Struktur Aktuell'!$D15,INDIRECT(AC$4))+SUMIF(INDIRECT(AC$3),'Struktur Aktuell'!$D15,INDIRECT(AC$5)))</f>
        <v>0</v>
      </c>
      <c r="AD15" s="593">
        <f ca="1">$E15*(-SUMIF(INDIRECT(AD$3),'Struktur Aktuell'!$D15,INDIRECT(AD$4))+SUMIF(INDIRECT(AD$3),'Struktur Aktuell'!$D15,INDIRECT(AD$5)))</f>
        <v>0</v>
      </c>
      <c r="AE15" s="593">
        <f t="shared" ca="1" si="18"/>
        <v>950</v>
      </c>
      <c r="AF15" s="593">
        <f t="shared" ca="1" si="19"/>
        <v>1900</v>
      </c>
      <c r="AG15" s="593">
        <f t="shared" ca="1" si="20"/>
        <v>3045</v>
      </c>
      <c r="AH15" s="593">
        <f t="shared" ca="1" si="21"/>
        <v>3995</v>
      </c>
      <c r="AI15" s="593">
        <f t="shared" ca="1" si="22"/>
        <v>4945</v>
      </c>
      <c r="AJ15" s="593">
        <f t="shared" ca="1" si="23"/>
        <v>9132.5400000000009</v>
      </c>
      <c r="AK15" s="593">
        <f t="shared" ca="1" si="24"/>
        <v>19734.7</v>
      </c>
      <c r="AL15" s="593">
        <f t="shared" ca="1" si="25"/>
        <v>25956.420000000002</v>
      </c>
      <c r="AM15" s="593">
        <f t="shared" ca="1" si="26"/>
        <v>35319.350000000006</v>
      </c>
      <c r="AN15" s="593">
        <f t="shared" ca="1" si="27"/>
        <v>42842.450000000004</v>
      </c>
      <c r="AO15" s="593">
        <f t="shared" ca="1" si="28"/>
        <v>42842.450000000004</v>
      </c>
      <c r="AP15" s="593">
        <f t="shared" ca="1" si="29"/>
        <v>42842.450000000004</v>
      </c>
    </row>
    <row r="16" spans="1:42" s="594" customFormat="1" ht="11.25" outlineLevel="1" x14ac:dyDescent="0.2">
      <c r="A16" s="590"/>
      <c r="B16" s="591" t="str">
        <f>IF(D16&lt;&gt;"",
IF(ISERROR(MATCH(D16,'Ist Aktuell Monat 01'!A:A,0))=FALSE,INDEX('Ist Aktuell Monat 01'!B:B,MATCH(D16,'Ist Aktuell Monat 01'!A:A,0)),
IF(ISERROR(MATCH(D16,'Ist Aktuell Monat 02'!A:A,0))=FALSE,INDEX('Ist Aktuell Monat 02'!B:B,MATCH(D16,'Ist Aktuell Monat 02'!A:A,0)),
IF(ISERROR(MATCH(D16,'Ist Aktuell Monat 03'!A:A,0))=FALSE,INDEX('Ist Aktuell Monat 03'!B:B,MATCH(D16,'Ist Aktuell Monat 03'!A:A,0)),
IF(ISERROR(MATCH(D16,'Ist Aktuell Monat 04'!A:A,0))=FALSE,INDEX('Ist Aktuell Monat 04'!B:B,MATCH(D16,'Ist Aktuell Monat 04'!A:A,0)),
IF(ISERROR(MATCH(D16,'Ist Aktuell Monat 05'!A:A,0))=FALSE,INDEX('Ist Aktuell Monat 05'!B:B,MATCH(D16,'Ist Aktuell Monat 05'!A:A,0)),
IF(ISERROR(MATCH(D16,'Ist Aktuell Monat 06'!A:A,0))=FALSE,INDEX('Ist Aktuell Monat 06'!B:B,MATCH(D16,'Ist Aktuell Monat 06'!A:A,0)),
IF(ISERROR(MATCH(D16,'Ist Aktuell Monat 07'!A:A,0))=FALSE,INDEX('Ist Aktuell Monat 07'!B:B,MATCH(D16,'Ist Aktuell Monat 07'!A:A,0)),
IF(ISERROR(MATCH(D16,'Ist Aktuell Monat 08'!A:A,0))=FALSE,INDEX('Ist Aktuell Monat 08'!B:B,MATCH(D16,'Ist Aktuell Monat 08'!A:A,0)),
IF(ISERROR(MATCH(D16,'Ist Aktuell Monat 09'!A:A,0))=FALSE,INDEX('Ist Aktuell Monat 09'!B:B,MATCH(D16,'Ist Aktuell Monat 09'!A:A,0)),
IF(ISERROR(MATCH(D16,'Ist Aktuell Monat 10'!A:A,0))=FALSE,INDEX('Ist Aktuell Monat 10'!B:B,MATCH(D16,'Ist Aktuell Monat 10'!A:A,0)),
IF(ISERROR(MATCH(D16,'Ist Aktuell Monat 11'!A:A,0))=FALSE,INDEX('Ist Aktuell Monat 11'!B:B,MATCH(D16,'Ist Aktuell Monat 11'!A:A,0)),
IF(ISERROR(MATCH(D16,'Ist Aktuell Monat 12'!A:A,0))=FALSE,INDEX('Ist Aktuell Monat 12'!B:B,MATCH(D16,'Ist Aktuell Monat 12'!A:A,0)),
"{Konto unbekannt}"
)))))))))))),"")</f>
        <v xml:space="preserve">Erlöse Datenbanken &amp; Behörden </v>
      </c>
      <c r="C16" s="591"/>
      <c r="D16" s="590">
        <v>8410</v>
      </c>
      <c r="E16" s="592">
        <f t="shared" si="30"/>
        <v>-1</v>
      </c>
      <c r="F16" s="590" t="s">
        <v>996</v>
      </c>
      <c r="G16" s="593">
        <f ca="1">$E16*(-SUMIF(INDIRECT(G$3),'Struktur Aktuell'!$D16,INDIRECT(G$4))+SUMIF(INDIRECT(G$3),'Struktur Aktuell'!$D16,INDIRECT(G$5)))</f>
        <v>6754.33</v>
      </c>
      <c r="H16" s="593">
        <f ca="1">$E16*(-SUMIF(INDIRECT(H$3),'Struktur Aktuell'!$D16,INDIRECT(H$4))+SUMIF(INDIRECT(H$3),'Struktur Aktuell'!$D16,INDIRECT(H$5)))</f>
        <v>7503.26</v>
      </c>
      <c r="I16" s="593">
        <f ca="1">$E16*(-SUMIF(INDIRECT(I$3),'Struktur Aktuell'!$D16,INDIRECT(I$4))+SUMIF(INDIRECT(I$3),'Struktur Aktuell'!$D16,INDIRECT(I$5)))</f>
        <v>0</v>
      </c>
      <c r="J16" s="593">
        <f ca="1">$E16*(-SUMIF(INDIRECT(J$3),'Struktur Aktuell'!$D16,INDIRECT(J$4))+SUMIF(INDIRECT(J$3),'Struktur Aktuell'!$D16,INDIRECT(J$5)))</f>
        <v>11823.88</v>
      </c>
      <c r="K16" s="593">
        <f ca="1">$E16*(-SUMIF(INDIRECT(K$3),'Struktur Aktuell'!$D16,INDIRECT(K$4))+SUMIF(INDIRECT(K$3),'Struktur Aktuell'!$D16,INDIRECT(K$5)))</f>
        <v>5920.88</v>
      </c>
      <c r="L16" s="593">
        <f ca="1">$E16*(-SUMIF(INDIRECT(L$3),'Struktur Aktuell'!$D16,INDIRECT(L$4))+SUMIF(INDIRECT(L$3),'Struktur Aktuell'!$D16,INDIRECT(L$5)))</f>
        <v>5149.59</v>
      </c>
      <c r="M16" s="593">
        <f ca="1">$E16*(-SUMIF(INDIRECT(M$3),'Struktur Aktuell'!$D16,INDIRECT(M$4))+SUMIF(INDIRECT(M$3),'Struktur Aktuell'!$D16,INDIRECT(M$5)))</f>
        <v>9123.01</v>
      </c>
      <c r="N16" s="593">
        <f ca="1">$E16*(-SUMIF(INDIRECT(N$3),'Struktur Aktuell'!$D16,INDIRECT(N$4))+SUMIF(INDIRECT(N$3),'Struktur Aktuell'!$D16,INDIRECT(N$5)))</f>
        <v>4320</v>
      </c>
      <c r="O16" s="593">
        <f ca="1">$E16*(-SUMIF(INDIRECT(O$3),'Struktur Aktuell'!$D16,INDIRECT(O$4))+SUMIF(INDIRECT(O$3),'Struktur Aktuell'!$D16,INDIRECT(O$5)))</f>
        <v>292.48</v>
      </c>
      <c r="P16" s="593">
        <f ca="1">$E16*(-SUMIF(INDIRECT(P$3),'Struktur Aktuell'!$D16,INDIRECT(P$4))+SUMIF(INDIRECT(P$3),'Struktur Aktuell'!$D16,INDIRECT(P$5)))</f>
        <v>14681.5</v>
      </c>
      <c r="Q16" s="593">
        <f ca="1">$E16*(-SUMIF(INDIRECT(Q$3),'Struktur Aktuell'!$D16,INDIRECT(Q$4))+SUMIF(INDIRECT(Q$3),'Struktur Aktuell'!$D16,INDIRECT(Q$5)))</f>
        <v>0</v>
      </c>
      <c r="R16" s="593">
        <f ca="1">$E16*(-SUMIF(INDIRECT(R$3),'Struktur Aktuell'!$D16,INDIRECT(R$4))+SUMIF(INDIRECT(R$3),'Struktur Aktuell'!$D16,INDIRECT(R$5)))</f>
        <v>0</v>
      </c>
      <c r="S16" s="593">
        <f ca="1">$E16*(-SUMIF(INDIRECT(S$3),'Struktur Aktuell'!$D16,INDIRECT(S$4))+SUMIF(INDIRECT(S$3),'Struktur Aktuell'!$D16,INDIRECT(S$5)))</f>
        <v>6754.33</v>
      </c>
      <c r="T16" s="593">
        <f ca="1">$E16*(-SUMIF(INDIRECT(T$3),'Struktur Aktuell'!$D16,INDIRECT(T$4))+SUMIF(INDIRECT(T$3),'Struktur Aktuell'!$D16,INDIRECT(T$5)))</f>
        <v>14257.59</v>
      </c>
      <c r="U16" s="593">
        <f ca="1">$E16*(-SUMIF(INDIRECT(U$3),'Struktur Aktuell'!$D16,INDIRECT(U$4))+SUMIF(INDIRECT(U$3),'Struktur Aktuell'!$D16,INDIRECT(U$5)))</f>
        <v>14257.59</v>
      </c>
      <c r="V16" s="593">
        <f ca="1">$E16*(-SUMIF(INDIRECT(V$3),'Struktur Aktuell'!$D16,INDIRECT(V$4))+SUMIF(INDIRECT(V$3),'Struktur Aktuell'!$D16,INDIRECT(V$5)))</f>
        <v>26081.47</v>
      </c>
      <c r="W16" s="593">
        <f ca="1">$E16*(-SUMIF(INDIRECT(W$3),'Struktur Aktuell'!$D16,INDIRECT(W$4))+SUMIF(INDIRECT(W$3),'Struktur Aktuell'!$D16,INDIRECT(W$5)))</f>
        <v>32002.35</v>
      </c>
      <c r="X16" s="593">
        <f ca="1">$E16*(-SUMIF(INDIRECT(X$3),'Struktur Aktuell'!$D16,INDIRECT(X$4))+SUMIF(INDIRECT(X$3),'Struktur Aktuell'!$D16,INDIRECT(X$5)))</f>
        <v>37151.94</v>
      </c>
      <c r="Y16" s="593">
        <f ca="1">$E16*(-SUMIF(INDIRECT(Y$3),'Struktur Aktuell'!$D16,INDIRECT(Y$4))+SUMIF(INDIRECT(Y$3),'Struktur Aktuell'!$D16,INDIRECT(Y$5)))</f>
        <v>46274.95</v>
      </c>
      <c r="Z16" s="593">
        <f ca="1">$E16*(-SUMIF(INDIRECT(Z$3),'Struktur Aktuell'!$D16,INDIRECT(Z$4))+SUMIF(INDIRECT(Z$3),'Struktur Aktuell'!$D16,INDIRECT(Z$5)))</f>
        <v>50594.95</v>
      </c>
      <c r="AA16" s="593">
        <f ca="1">$E16*(-SUMIF(INDIRECT(AA$3),'Struktur Aktuell'!$D16,INDIRECT(AA$4))+SUMIF(INDIRECT(AA$3),'Struktur Aktuell'!$D16,INDIRECT(AA$5)))</f>
        <v>50887.43</v>
      </c>
      <c r="AB16" s="593">
        <f ca="1">$E16*(-SUMIF(INDIRECT(AB$3),'Struktur Aktuell'!$D16,INDIRECT(AB$4))+SUMIF(INDIRECT(AB$3),'Struktur Aktuell'!$D16,INDIRECT(AB$5)))</f>
        <v>65568.929999999993</v>
      </c>
      <c r="AC16" s="593">
        <f ca="1">$E16*(-SUMIF(INDIRECT(AC$3),'Struktur Aktuell'!$D16,INDIRECT(AC$4))+SUMIF(INDIRECT(AC$3),'Struktur Aktuell'!$D16,INDIRECT(AC$5)))</f>
        <v>0</v>
      </c>
      <c r="AD16" s="593">
        <f ca="1">$E16*(-SUMIF(INDIRECT(AD$3),'Struktur Aktuell'!$D16,INDIRECT(AD$4))+SUMIF(INDIRECT(AD$3),'Struktur Aktuell'!$D16,INDIRECT(AD$5)))</f>
        <v>0</v>
      </c>
      <c r="AE16" s="593">
        <f t="shared" ca="1" si="18"/>
        <v>6754.33</v>
      </c>
      <c r="AF16" s="593">
        <f t="shared" ca="1" si="19"/>
        <v>14257.59</v>
      </c>
      <c r="AG16" s="593">
        <f t="shared" ca="1" si="20"/>
        <v>14257.59</v>
      </c>
      <c r="AH16" s="593">
        <f t="shared" ca="1" si="21"/>
        <v>26081.47</v>
      </c>
      <c r="AI16" s="593">
        <f t="shared" ca="1" si="22"/>
        <v>32002.350000000002</v>
      </c>
      <c r="AJ16" s="593">
        <f t="shared" ca="1" si="23"/>
        <v>37151.94</v>
      </c>
      <c r="AK16" s="593">
        <f t="shared" ca="1" si="24"/>
        <v>46274.950000000004</v>
      </c>
      <c r="AL16" s="593">
        <f t="shared" ca="1" si="25"/>
        <v>50594.950000000004</v>
      </c>
      <c r="AM16" s="593">
        <f t="shared" ca="1" si="26"/>
        <v>50887.430000000008</v>
      </c>
      <c r="AN16" s="593">
        <f t="shared" ca="1" si="27"/>
        <v>65568.930000000008</v>
      </c>
      <c r="AO16" s="593">
        <f t="shared" ca="1" si="28"/>
        <v>65568.930000000008</v>
      </c>
      <c r="AP16" s="593">
        <f t="shared" ca="1" si="29"/>
        <v>65568.930000000008</v>
      </c>
    </row>
    <row r="17" spans="1:42" s="594" customFormat="1" ht="11.25" outlineLevel="1" x14ac:dyDescent="0.2">
      <c r="A17" s="590"/>
      <c r="B17" s="591" t="str">
        <f>IF(D17&lt;&gt;"",
IF(ISERROR(MATCH(D17,'Ist Aktuell Monat 01'!A:A,0))=FALSE,INDEX('Ist Aktuell Monat 01'!B:B,MATCH(D17,'Ist Aktuell Monat 01'!A:A,0)),
IF(ISERROR(MATCH(D17,'Ist Aktuell Monat 02'!A:A,0))=FALSE,INDEX('Ist Aktuell Monat 02'!B:B,MATCH(D17,'Ist Aktuell Monat 02'!A:A,0)),
IF(ISERROR(MATCH(D17,'Ist Aktuell Monat 03'!A:A,0))=FALSE,INDEX('Ist Aktuell Monat 03'!B:B,MATCH(D17,'Ist Aktuell Monat 03'!A:A,0)),
IF(ISERROR(MATCH(D17,'Ist Aktuell Monat 04'!A:A,0))=FALSE,INDEX('Ist Aktuell Monat 04'!B:B,MATCH(D17,'Ist Aktuell Monat 04'!A:A,0)),
IF(ISERROR(MATCH(D17,'Ist Aktuell Monat 05'!A:A,0))=FALSE,INDEX('Ist Aktuell Monat 05'!B:B,MATCH(D17,'Ist Aktuell Monat 05'!A:A,0)),
IF(ISERROR(MATCH(D17,'Ist Aktuell Monat 06'!A:A,0))=FALSE,INDEX('Ist Aktuell Monat 06'!B:B,MATCH(D17,'Ist Aktuell Monat 06'!A:A,0)),
IF(ISERROR(MATCH(D17,'Ist Aktuell Monat 07'!A:A,0))=FALSE,INDEX('Ist Aktuell Monat 07'!B:B,MATCH(D17,'Ist Aktuell Monat 07'!A:A,0)),
IF(ISERROR(MATCH(D17,'Ist Aktuell Monat 08'!A:A,0))=FALSE,INDEX('Ist Aktuell Monat 08'!B:B,MATCH(D17,'Ist Aktuell Monat 08'!A:A,0)),
IF(ISERROR(MATCH(D17,'Ist Aktuell Monat 09'!A:A,0))=FALSE,INDEX('Ist Aktuell Monat 09'!B:B,MATCH(D17,'Ist Aktuell Monat 09'!A:A,0)),
IF(ISERROR(MATCH(D17,'Ist Aktuell Monat 10'!A:A,0))=FALSE,INDEX('Ist Aktuell Monat 10'!B:B,MATCH(D17,'Ist Aktuell Monat 10'!A:A,0)),
IF(ISERROR(MATCH(D17,'Ist Aktuell Monat 11'!A:A,0))=FALSE,INDEX('Ist Aktuell Monat 11'!B:B,MATCH(D17,'Ist Aktuell Monat 11'!A:A,0)),
IF(ISERROR(MATCH(D17,'Ist Aktuell Monat 12'!A:A,0))=FALSE,INDEX('Ist Aktuell Monat 12'!B:B,MATCH(D17,'Ist Aktuell Monat 12'!A:A,0)),
"{Konto unbekannt}"
)))))))))))),"")</f>
        <v>Provisionsumsätze "Internet-Services"</v>
      </c>
      <c r="C17" s="591"/>
      <c r="D17" s="590">
        <v>8519</v>
      </c>
      <c r="E17" s="592">
        <f t="shared" si="30"/>
        <v>-1</v>
      </c>
      <c r="F17" s="590" t="s">
        <v>996</v>
      </c>
      <c r="G17" s="593">
        <f ca="1">$E17*(-SUMIF(INDIRECT(G$3),'Struktur Aktuell'!$D17,INDIRECT(G$4))+SUMIF(INDIRECT(G$3),'Struktur Aktuell'!$D17,INDIRECT(G$5)))</f>
        <v>0</v>
      </c>
      <c r="H17" s="593">
        <f ca="1">$E17*(-SUMIF(INDIRECT(H$3),'Struktur Aktuell'!$D17,INDIRECT(H$4))+SUMIF(INDIRECT(H$3),'Struktur Aktuell'!$D17,INDIRECT(H$5)))</f>
        <v>0</v>
      </c>
      <c r="I17" s="593">
        <f ca="1">$E17*(-SUMIF(INDIRECT(I$3),'Struktur Aktuell'!$D17,INDIRECT(I$4))+SUMIF(INDIRECT(I$3),'Struktur Aktuell'!$D17,INDIRECT(I$5)))</f>
        <v>49.6</v>
      </c>
      <c r="J17" s="593">
        <f ca="1">$E17*(-SUMIF(INDIRECT(J$3),'Struktur Aktuell'!$D17,INDIRECT(J$4))+SUMIF(INDIRECT(J$3),'Struktur Aktuell'!$D17,INDIRECT(J$5)))</f>
        <v>0</v>
      </c>
      <c r="K17" s="593">
        <f ca="1">$E17*(-SUMIF(INDIRECT(K$3),'Struktur Aktuell'!$D17,INDIRECT(K$4))+SUMIF(INDIRECT(K$3),'Struktur Aktuell'!$D17,INDIRECT(K$5)))</f>
        <v>0</v>
      </c>
      <c r="L17" s="593">
        <f ca="1">$E17*(-SUMIF(INDIRECT(L$3),'Struktur Aktuell'!$D17,INDIRECT(L$4))+SUMIF(INDIRECT(L$3),'Struktur Aktuell'!$D17,INDIRECT(L$5)))</f>
        <v>0</v>
      </c>
      <c r="M17" s="593">
        <f ca="1">$E17*(-SUMIF(INDIRECT(M$3),'Struktur Aktuell'!$D17,INDIRECT(M$4))+SUMIF(INDIRECT(M$3),'Struktur Aktuell'!$D17,INDIRECT(M$5)))</f>
        <v>0</v>
      </c>
      <c r="N17" s="593">
        <f ca="1">$E17*(-SUMIF(INDIRECT(N$3),'Struktur Aktuell'!$D17,INDIRECT(N$4))+SUMIF(INDIRECT(N$3),'Struktur Aktuell'!$D17,INDIRECT(N$5)))</f>
        <v>0</v>
      </c>
      <c r="O17" s="593">
        <f ca="1">$E17*(-SUMIF(INDIRECT(O$3),'Struktur Aktuell'!$D17,INDIRECT(O$4))+SUMIF(INDIRECT(O$3),'Struktur Aktuell'!$D17,INDIRECT(O$5)))</f>
        <v>49.6</v>
      </c>
      <c r="P17" s="593">
        <f ca="1">$E17*(-SUMIF(INDIRECT(P$3),'Struktur Aktuell'!$D17,INDIRECT(P$4))+SUMIF(INDIRECT(P$3),'Struktur Aktuell'!$D17,INDIRECT(P$5)))</f>
        <v>0</v>
      </c>
      <c r="Q17" s="593">
        <f ca="1">$E17*(-SUMIF(INDIRECT(Q$3),'Struktur Aktuell'!$D17,INDIRECT(Q$4))+SUMIF(INDIRECT(Q$3),'Struktur Aktuell'!$D17,INDIRECT(Q$5)))</f>
        <v>0</v>
      </c>
      <c r="R17" s="593">
        <f ca="1">$E17*(-SUMIF(INDIRECT(R$3),'Struktur Aktuell'!$D17,INDIRECT(R$4))+SUMIF(INDIRECT(R$3),'Struktur Aktuell'!$D17,INDIRECT(R$5)))</f>
        <v>0</v>
      </c>
      <c r="S17" s="593">
        <f ca="1">$E17*(-SUMIF(INDIRECT(S$3),'Struktur Aktuell'!$D17,INDIRECT(S$4))+SUMIF(INDIRECT(S$3),'Struktur Aktuell'!$D17,INDIRECT(S$5)))</f>
        <v>0</v>
      </c>
      <c r="T17" s="593">
        <f ca="1">$E17*(-SUMIF(INDIRECT(T$3),'Struktur Aktuell'!$D17,INDIRECT(T$4))+SUMIF(INDIRECT(T$3),'Struktur Aktuell'!$D17,INDIRECT(T$5)))</f>
        <v>0</v>
      </c>
      <c r="U17" s="593">
        <f ca="1">$E17*(-SUMIF(INDIRECT(U$3),'Struktur Aktuell'!$D17,INDIRECT(U$4))+SUMIF(INDIRECT(U$3),'Struktur Aktuell'!$D17,INDIRECT(U$5)))</f>
        <v>49.6</v>
      </c>
      <c r="V17" s="593">
        <f ca="1">$E17*(-SUMIF(INDIRECT(V$3),'Struktur Aktuell'!$D17,INDIRECT(V$4))+SUMIF(INDIRECT(V$3),'Struktur Aktuell'!$D17,INDIRECT(V$5)))</f>
        <v>49.6</v>
      </c>
      <c r="W17" s="593">
        <f ca="1">$E17*(-SUMIF(INDIRECT(W$3),'Struktur Aktuell'!$D17,INDIRECT(W$4))+SUMIF(INDIRECT(W$3),'Struktur Aktuell'!$D17,INDIRECT(W$5)))</f>
        <v>49.6</v>
      </c>
      <c r="X17" s="593">
        <f ca="1">$E17*(-SUMIF(INDIRECT(X$3),'Struktur Aktuell'!$D17,INDIRECT(X$4))+SUMIF(INDIRECT(X$3),'Struktur Aktuell'!$D17,INDIRECT(X$5)))</f>
        <v>49.6</v>
      </c>
      <c r="Y17" s="593">
        <f ca="1">$E17*(-SUMIF(INDIRECT(Y$3),'Struktur Aktuell'!$D17,INDIRECT(Y$4))+SUMIF(INDIRECT(Y$3),'Struktur Aktuell'!$D17,INDIRECT(Y$5)))</f>
        <v>49.6</v>
      </c>
      <c r="Z17" s="593">
        <f ca="1">$E17*(-SUMIF(INDIRECT(Z$3),'Struktur Aktuell'!$D17,INDIRECT(Z$4))+SUMIF(INDIRECT(Z$3),'Struktur Aktuell'!$D17,INDIRECT(Z$5)))</f>
        <v>49.6</v>
      </c>
      <c r="AA17" s="593">
        <f ca="1">$E17*(-SUMIF(INDIRECT(AA$3),'Struktur Aktuell'!$D17,INDIRECT(AA$4))+SUMIF(INDIRECT(AA$3),'Struktur Aktuell'!$D17,INDIRECT(AA$5)))</f>
        <v>99.2</v>
      </c>
      <c r="AB17" s="593">
        <f ca="1">$E17*(-SUMIF(INDIRECT(AB$3),'Struktur Aktuell'!$D17,INDIRECT(AB$4))+SUMIF(INDIRECT(AB$3),'Struktur Aktuell'!$D17,INDIRECT(AB$5)))</f>
        <v>99.2</v>
      </c>
      <c r="AC17" s="593">
        <f ca="1">$E17*(-SUMIF(INDIRECT(AC$3),'Struktur Aktuell'!$D17,INDIRECT(AC$4))+SUMIF(INDIRECT(AC$3),'Struktur Aktuell'!$D17,INDIRECT(AC$5)))</f>
        <v>0</v>
      </c>
      <c r="AD17" s="593">
        <f ca="1">$E17*(-SUMIF(INDIRECT(AD$3),'Struktur Aktuell'!$D17,INDIRECT(AD$4))+SUMIF(INDIRECT(AD$3),'Struktur Aktuell'!$D17,INDIRECT(AD$5)))</f>
        <v>0</v>
      </c>
      <c r="AE17" s="593">
        <f t="shared" ca="1" si="18"/>
        <v>0</v>
      </c>
      <c r="AF17" s="593">
        <f t="shared" ca="1" si="19"/>
        <v>0</v>
      </c>
      <c r="AG17" s="593">
        <f t="shared" ca="1" si="20"/>
        <v>49.6</v>
      </c>
      <c r="AH17" s="593">
        <f t="shared" ca="1" si="21"/>
        <v>49.6</v>
      </c>
      <c r="AI17" s="593">
        <f t="shared" ca="1" si="22"/>
        <v>49.6</v>
      </c>
      <c r="AJ17" s="593">
        <f t="shared" ca="1" si="23"/>
        <v>49.6</v>
      </c>
      <c r="AK17" s="593">
        <f t="shared" ca="1" si="24"/>
        <v>49.6</v>
      </c>
      <c r="AL17" s="593">
        <f t="shared" ca="1" si="25"/>
        <v>49.6</v>
      </c>
      <c r="AM17" s="593">
        <f t="shared" ca="1" si="26"/>
        <v>99.2</v>
      </c>
      <c r="AN17" s="593">
        <f t="shared" ca="1" si="27"/>
        <v>99.2</v>
      </c>
      <c r="AO17" s="593">
        <f t="shared" ca="1" si="28"/>
        <v>99.2</v>
      </c>
      <c r="AP17" s="593">
        <f t="shared" ca="1" si="29"/>
        <v>99.2</v>
      </c>
    </row>
    <row r="18" spans="1:42" s="594" customFormat="1" ht="11.25" outlineLevel="1" x14ac:dyDescent="0.2">
      <c r="A18" s="590"/>
      <c r="B18" s="591" t="str">
        <f>IF(D18&lt;&gt;"",
IF(ISERROR(MATCH(D18,'Ist Aktuell Monat 01'!A:A,0))=FALSE,INDEX('Ist Aktuell Monat 01'!B:B,MATCH(D18,'Ist Aktuell Monat 01'!A:A,0)),
IF(ISERROR(MATCH(D18,'Ist Aktuell Monat 02'!A:A,0))=FALSE,INDEX('Ist Aktuell Monat 02'!B:B,MATCH(D18,'Ist Aktuell Monat 02'!A:A,0)),
IF(ISERROR(MATCH(D18,'Ist Aktuell Monat 03'!A:A,0))=FALSE,INDEX('Ist Aktuell Monat 03'!B:B,MATCH(D18,'Ist Aktuell Monat 03'!A:A,0)),
IF(ISERROR(MATCH(D18,'Ist Aktuell Monat 04'!A:A,0))=FALSE,INDEX('Ist Aktuell Monat 04'!B:B,MATCH(D18,'Ist Aktuell Monat 04'!A:A,0)),
IF(ISERROR(MATCH(D18,'Ist Aktuell Monat 05'!A:A,0))=FALSE,INDEX('Ist Aktuell Monat 05'!B:B,MATCH(D18,'Ist Aktuell Monat 05'!A:A,0)),
IF(ISERROR(MATCH(D18,'Ist Aktuell Monat 06'!A:A,0))=FALSE,INDEX('Ist Aktuell Monat 06'!B:B,MATCH(D18,'Ist Aktuell Monat 06'!A:A,0)),
IF(ISERROR(MATCH(D18,'Ist Aktuell Monat 07'!A:A,0))=FALSE,INDEX('Ist Aktuell Monat 07'!B:B,MATCH(D18,'Ist Aktuell Monat 07'!A:A,0)),
IF(ISERROR(MATCH(D18,'Ist Aktuell Monat 08'!A:A,0))=FALSE,INDEX('Ist Aktuell Monat 08'!B:B,MATCH(D18,'Ist Aktuell Monat 08'!A:A,0)),
IF(ISERROR(MATCH(D18,'Ist Aktuell Monat 09'!A:A,0))=FALSE,INDEX('Ist Aktuell Monat 09'!B:B,MATCH(D18,'Ist Aktuell Monat 09'!A:A,0)),
IF(ISERROR(MATCH(D18,'Ist Aktuell Monat 10'!A:A,0))=FALSE,INDEX('Ist Aktuell Monat 10'!B:B,MATCH(D18,'Ist Aktuell Monat 10'!A:A,0)),
IF(ISERROR(MATCH(D18,'Ist Aktuell Monat 11'!A:A,0))=FALSE,INDEX('Ist Aktuell Monat 11'!B:B,MATCH(D18,'Ist Aktuell Monat 11'!A:A,0)),
IF(ISERROR(MATCH(D18,'Ist Aktuell Monat 12'!A:A,0))=FALSE,INDEX('Ist Aktuell Monat 12'!B:B,MATCH(D18,'Ist Aktuell Monat 12'!A:A,0)),
"{Konto unbekannt}"
)))))))))))),"")</f>
        <v/>
      </c>
      <c r="C18" s="591"/>
      <c r="D18" s="590"/>
      <c r="E18" s="592">
        <f t="shared" si="30"/>
        <v>-1</v>
      </c>
      <c r="F18" s="590" t="s">
        <v>996</v>
      </c>
      <c r="G18" s="593">
        <f ca="1">$E18*(-SUMIF(INDIRECT(G$3),'Struktur Aktuell'!$D18,INDIRECT(G$4))+SUMIF(INDIRECT(G$3),'Struktur Aktuell'!$D18,INDIRECT(G$5)))</f>
        <v>0</v>
      </c>
      <c r="H18" s="593">
        <f ca="1">$E18*(-SUMIF(INDIRECT(H$3),'Struktur Aktuell'!$D18,INDIRECT(H$4))+SUMIF(INDIRECT(H$3),'Struktur Aktuell'!$D18,INDIRECT(H$5)))</f>
        <v>0</v>
      </c>
      <c r="I18" s="593">
        <f ca="1">$E18*(-SUMIF(INDIRECT(I$3),'Struktur Aktuell'!$D18,INDIRECT(I$4))+SUMIF(INDIRECT(I$3),'Struktur Aktuell'!$D18,INDIRECT(I$5)))</f>
        <v>0</v>
      </c>
      <c r="J18" s="593">
        <f ca="1">$E18*(-SUMIF(INDIRECT(J$3),'Struktur Aktuell'!$D18,INDIRECT(J$4))+SUMIF(INDIRECT(J$3),'Struktur Aktuell'!$D18,INDIRECT(J$5)))</f>
        <v>0</v>
      </c>
      <c r="K18" s="593">
        <f ca="1">$E18*(-SUMIF(INDIRECT(K$3),'Struktur Aktuell'!$D18,INDIRECT(K$4))+SUMIF(INDIRECT(K$3),'Struktur Aktuell'!$D18,INDIRECT(K$5)))</f>
        <v>0</v>
      </c>
      <c r="L18" s="593">
        <f ca="1">$E18*(-SUMIF(INDIRECT(L$3),'Struktur Aktuell'!$D18,INDIRECT(L$4))+SUMIF(INDIRECT(L$3),'Struktur Aktuell'!$D18,INDIRECT(L$5)))</f>
        <v>0</v>
      </c>
      <c r="M18" s="593">
        <f ca="1">$E18*(-SUMIF(INDIRECT(M$3),'Struktur Aktuell'!$D18,INDIRECT(M$4))+SUMIF(INDIRECT(M$3),'Struktur Aktuell'!$D18,INDIRECT(M$5)))</f>
        <v>0</v>
      </c>
      <c r="N18" s="593">
        <f ca="1">$E18*(-SUMIF(INDIRECT(N$3),'Struktur Aktuell'!$D18,INDIRECT(N$4))+SUMIF(INDIRECT(N$3),'Struktur Aktuell'!$D18,INDIRECT(N$5)))</f>
        <v>0</v>
      </c>
      <c r="O18" s="593">
        <f ca="1">$E18*(-SUMIF(INDIRECT(O$3),'Struktur Aktuell'!$D18,INDIRECT(O$4))+SUMIF(INDIRECT(O$3),'Struktur Aktuell'!$D18,INDIRECT(O$5)))</f>
        <v>0</v>
      </c>
      <c r="P18" s="593">
        <f ca="1">$E18*(-SUMIF(INDIRECT(P$3),'Struktur Aktuell'!$D18,INDIRECT(P$4))+SUMIF(INDIRECT(P$3),'Struktur Aktuell'!$D18,INDIRECT(P$5)))</f>
        <v>0</v>
      </c>
      <c r="Q18" s="593">
        <f ca="1">$E18*(-SUMIF(INDIRECT(Q$3),'Struktur Aktuell'!$D18,INDIRECT(Q$4))+SUMIF(INDIRECT(Q$3),'Struktur Aktuell'!$D18,INDIRECT(Q$5)))</f>
        <v>0</v>
      </c>
      <c r="R18" s="593">
        <f ca="1">$E18*(-SUMIF(INDIRECT(R$3),'Struktur Aktuell'!$D18,INDIRECT(R$4))+SUMIF(INDIRECT(R$3),'Struktur Aktuell'!$D18,INDIRECT(R$5)))</f>
        <v>0</v>
      </c>
      <c r="S18" s="593">
        <f ca="1">$E18*(-SUMIF(INDIRECT(S$3),'Struktur Aktuell'!$D18,INDIRECT(S$4))+SUMIF(INDIRECT(S$3),'Struktur Aktuell'!$D18,INDIRECT(S$5)))</f>
        <v>0</v>
      </c>
      <c r="T18" s="593">
        <f ca="1">$E18*(-SUMIF(INDIRECT(T$3),'Struktur Aktuell'!$D18,INDIRECT(T$4))+SUMIF(INDIRECT(T$3),'Struktur Aktuell'!$D18,INDIRECT(T$5)))</f>
        <v>0</v>
      </c>
      <c r="U18" s="593">
        <f ca="1">$E18*(-SUMIF(INDIRECT(U$3),'Struktur Aktuell'!$D18,INDIRECT(U$4))+SUMIF(INDIRECT(U$3),'Struktur Aktuell'!$D18,INDIRECT(U$5)))</f>
        <v>0</v>
      </c>
      <c r="V18" s="593">
        <f ca="1">$E18*(-SUMIF(INDIRECT(V$3),'Struktur Aktuell'!$D18,INDIRECT(V$4))+SUMIF(INDIRECT(V$3),'Struktur Aktuell'!$D18,INDIRECT(V$5)))</f>
        <v>0</v>
      </c>
      <c r="W18" s="593">
        <f ca="1">$E18*(-SUMIF(INDIRECT(W$3),'Struktur Aktuell'!$D18,INDIRECT(W$4))+SUMIF(INDIRECT(W$3),'Struktur Aktuell'!$D18,INDIRECT(W$5)))</f>
        <v>0</v>
      </c>
      <c r="X18" s="593">
        <f ca="1">$E18*(-SUMIF(INDIRECT(X$3),'Struktur Aktuell'!$D18,INDIRECT(X$4))+SUMIF(INDIRECT(X$3),'Struktur Aktuell'!$D18,INDIRECT(X$5)))</f>
        <v>0</v>
      </c>
      <c r="Y18" s="593">
        <f ca="1">$E18*(-SUMIF(INDIRECT(Y$3),'Struktur Aktuell'!$D18,INDIRECT(Y$4))+SUMIF(INDIRECT(Y$3),'Struktur Aktuell'!$D18,INDIRECT(Y$5)))</f>
        <v>0</v>
      </c>
      <c r="Z18" s="593">
        <f ca="1">$E18*(-SUMIF(INDIRECT(Z$3),'Struktur Aktuell'!$D18,INDIRECT(Z$4))+SUMIF(INDIRECT(Z$3),'Struktur Aktuell'!$D18,INDIRECT(Z$5)))</f>
        <v>0</v>
      </c>
      <c r="AA18" s="593">
        <f ca="1">$E18*(-SUMIF(INDIRECT(AA$3),'Struktur Aktuell'!$D18,INDIRECT(AA$4))+SUMIF(INDIRECT(AA$3),'Struktur Aktuell'!$D18,INDIRECT(AA$5)))</f>
        <v>0</v>
      </c>
      <c r="AB18" s="593">
        <f ca="1">$E18*(-SUMIF(INDIRECT(AB$3),'Struktur Aktuell'!$D18,INDIRECT(AB$4))+SUMIF(INDIRECT(AB$3),'Struktur Aktuell'!$D18,INDIRECT(AB$5)))</f>
        <v>0</v>
      </c>
      <c r="AC18" s="593">
        <f ca="1">$E18*(-SUMIF(INDIRECT(AC$3),'Struktur Aktuell'!$D18,INDIRECT(AC$4))+SUMIF(INDIRECT(AC$3),'Struktur Aktuell'!$D18,INDIRECT(AC$5)))</f>
        <v>0</v>
      </c>
      <c r="AD18" s="593">
        <f ca="1">$E18*(-SUMIF(INDIRECT(AD$3),'Struktur Aktuell'!$D18,INDIRECT(AD$4))+SUMIF(INDIRECT(AD$3),'Struktur Aktuell'!$D18,INDIRECT(AD$5)))</f>
        <v>0</v>
      </c>
      <c r="AE18" s="593">
        <f t="shared" ca="1" si="18"/>
        <v>0</v>
      </c>
      <c r="AF18" s="593">
        <f t="shared" ca="1" si="19"/>
        <v>0</v>
      </c>
      <c r="AG18" s="593">
        <f t="shared" ca="1" si="20"/>
        <v>0</v>
      </c>
      <c r="AH18" s="593">
        <f t="shared" ca="1" si="21"/>
        <v>0</v>
      </c>
      <c r="AI18" s="593">
        <f t="shared" ca="1" si="22"/>
        <v>0</v>
      </c>
      <c r="AJ18" s="593">
        <f t="shared" ca="1" si="23"/>
        <v>0</v>
      </c>
      <c r="AK18" s="593">
        <f t="shared" ca="1" si="24"/>
        <v>0</v>
      </c>
      <c r="AL18" s="593">
        <f t="shared" ca="1" si="25"/>
        <v>0</v>
      </c>
      <c r="AM18" s="593">
        <f t="shared" ca="1" si="26"/>
        <v>0</v>
      </c>
      <c r="AN18" s="593">
        <f t="shared" ca="1" si="27"/>
        <v>0</v>
      </c>
      <c r="AO18" s="593">
        <f t="shared" ca="1" si="28"/>
        <v>0</v>
      </c>
      <c r="AP18" s="593">
        <f t="shared" ca="1" si="29"/>
        <v>0</v>
      </c>
    </row>
    <row r="19" spans="1:42" s="594" customFormat="1" ht="11.25" outlineLevel="1" x14ac:dyDescent="0.2">
      <c r="A19" s="590"/>
      <c r="B19" s="591" t="str">
        <f>IF(D19&lt;&gt;"",
IF(ISERROR(MATCH(D19,'Ist Aktuell Monat 01'!A:A,0))=FALSE,INDEX('Ist Aktuell Monat 01'!B:B,MATCH(D19,'Ist Aktuell Monat 01'!A:A,0)),
IF(ISERROR(MATCH(D19,'Ist Aktuell Monat 02'!A:A,0))=FALSE,INDEX('Ist Aktuell Monat 02'!B:B,MATCH(D19,'Ist Aktuell Monat 02'!A:A,0)),
IF(ISERROR(MATCH(D19,'Ist Aktuell Monat 03'!A:A,0))=FALSE,INDEX('Ist Aktuell Monat 03'!B:B,MATCH(D19,'Ist Aktuell Monat 03'!A:A,0)),
IF(ISERROR(MATCH(D19,'Ist Aktuell Monat 04'!A:A,0))=FALSE,INDEX('Ist Aktuell Monat 04'!B:B,MATCH(D19,'Ist Aktuell Monat 04'!A:A,0)),
IF(ISERROR(MATCH(D19,'Ist Aktuell Monat 05'!A:A,0))=FALSE,INDEX('Ist Aktuell Monat 05'!B:B,MATCH(D19,'Ist Aktuell Monat 05'!A:A,0)),
IF(ISERROR(MATCH(D19,'Ist Aktuell Monat 06'!A:A,0))=FALSE,INDEX('Ist Aktuell Monat 06'!B:B,MATCH(D19,'Ist Aktuell Monat 06'!A:A,0)),
IF(ISERROR(MATCH(D19,'Ist Aktuell Monat 07'!A:A,0))=FALSE,INDEX('Ist Aktuell Monat 07'!B:B,MATCH(D19,'Ist Aktuell Monat 07'!A:A,0)),
IF(ISERROR(MATCH(D19,'Ist Aktuell Monat 08'!A:A,0))=FALSE,INDEX('Ist Aktuell Monat 08'!B:B,MATCH(D19,'Ist Aktuell Monat 08'!A:A,0)),
IF(ISERROR(MATCH(D19,'Ist Aktuell Monat 09'!A:A,0))=FALSE,INDEX('Ist Aktuell Monat 09'!B:B,MATCH(D19,'Ist Aktuell Monat 09'!A:A,0)),
IF(ISERROR(MATCH(D19,'Ist Aktuell Monat 10'!A:A,0))=FALSE,INDEX('Ist Aktuell Monat 10'!B:B,MATCH(D19,'Ist Aktuell Monat 10'!A:A,0)),
IF(ISERROR(MATCH(D19,'Ist Aktuell Monat 11'!A:A,0))=FALSE,INDEX('Ist Aktuell Monat 11'!B:B,MATCH(D19,'Ist Aktuell Monat 11'!A:A,0)),
IF(ISERROR(MATCH(D19,'Ist Aktuell Monat 12'!A:A,0))=FALSE,INDEX('Ist Aktuell Monat 12'!B:B,MATCH(D19,'Ist Aktuell Monat 12'!A:A,0)),
"{Konto unbekannt}"
)))))))))))),"")</f>
        <v/>
      </c>
      <c r="C19" s="591"/>
      <c r="D19" s="590"/>
      <c r="E19" s="592">
        <f t="shared" si="30"/>
        <v>-1</v>
      </c>
      <c r="F19" s="590" t="s">
        <v>996</v>
      </c>
      <c r="G19" s="593">
        <f ca="1">$E19*(-SUMIF(INDIRECT(G$3),'Struktur Aktuell'!$D19,INDIRECT(G$4))+SUMIF(INDIRECT(G$3),'Struktur Aktuell'!$D19,INDIRECT(G$5)))</f>
        <v>0</v>
      </c>
      <c r="H19" s="593">
        <f ca="1">$E19*(-SUMIF(INDIRECT(H$3),'Struktur Aktuell'!$D19,INDIRECT(H$4))+SUMIF(INDIRECT(H$3),'Struktur Aktuell'!$D19,INDIRECT(H$5)))</f>
        <v>0</v>
      </c>
      <c r="I19" s="593">
        <f ca="1">$E19*(-SUMIF(INDIRECT(I$3),'Struktur Aktuell'!$D19,INDIRECT(I$4))+SUMIF(INDIRECT(I$3),'Struktur Aktuell'!$D19,INDIRECT(I$5)))</f>
        <v>0</v>
      </c>
      <c r="J19" s="593">
        <f ca="1">$E19*(-SUMIF(INDIRECT(J$3),'Struktur Aktuell'!$D19,INDIRECT(J$4))+SUMIF(INDIRECT(J$3),'Struktur Aktuell'!$D19,INDIRECT(J$5)))</f>
        <v>0</v>
      </c>
      <c r="K19" s="593">
        <f ca="1">$E19*(-SUMIF(INDIRECT(K$3),'Struktur Aktuell'!$D19,INDIRECT(K$4))+SUMIF(INDIRECT(K$3),'Struktur Aktuell'!$D19,INDIRECT(K$5)))</f>
        <v>0</v>
      </c>
      <c r="L19" s="593">
        <f ca="1">$E19*(-SUMIF(INDIRECT(L$3),'Struktur Aktuell'!$D19,INDIRECT(L$4))+SUMIF(INDIRECT(L$3),'Struktur Aktuell'!$D19,INDIRECT(L$5)))</f>
        <v>0</v>
      </c>
      <c r="M19" s="593">
        <f ca="1">$E19*(-SUMIF(INDIRECT(M$3),'Struktur Aktuell'!$D19,INDIRECT(M$4))+SUMIF(INDIRECT(M$3),'Struktur Aktuell'!$D19,INDIRECT(M$5)))</f>
        <v>0</v>
      </c>
      <c r="N19" s="593">
        <f ca="1">$E19*(-SUMIF(INDIRECT(N$3),'Struktur Aktuell'!$D19,INDIRECT(N$4))+SUMIF(INDIRECT(N$3),'Struktur Aktuell'!$D19,INDIRECT(N$5)))</f>
        <v>0</v>
      </c>
      <c r="O19" s="593">
        <f ca="1">$E19*(-SUMIF(INDIRECT(O$3),'Struktur Aktuell'!$D19,INDIRECT(O$4))+SUMIF(INDIRECT(O$3),'Struktur Aktuell'!$D19,INDIRECT(O$5)))</f>
        <v>0</v>
      </c>
      <c r="P19" s="593">
        <f ca="1">$E19*(-SUMIF(INDIRECT(P$3),'Struktur Aktuell'!$D19,INDIRECT(P$4))+SUMIF(INDIRECT(P$3),'Struktur Aktuell'!$D19,INDIRECT(P$5)))</f>
        <v>0</v>
      </c>
      <c r="Q19" s="593">
        <f ca="1">$E19*(-SUMIF(INDIRECT(Q$3),'Struktur Aktuell'!$D19,INDIRECT(Q$4))+SUMIF(INDIRECT(Q$3),'Struktur Aktuell'!$D19,INDIRECT(Q$5)))</f>
        <v>0</v>
      </c>
      <c r="R19" s="593">
        <f ca="1">$E19*(-SUMIF(INDIRECT(R$3),'Struktur Aktuell'!$D19,INDIRECT(R$4))+SUMIF(INDIRECT(R$3),'Struktur Aktuell'!$D19,INDIRECT(R$5)))</f>
        <v>0</v>
      </c>
      <c r="S19" s="593">
        <f ca="1">$E19*(-SUMIF(INDIRECT(S$3),'Struktur Aktuell'!$D19,INDIRECT(S$4))+SUMIF(INDIRECT(S$3),'Struktur Aktuell'!$D19,INDIRECT(S$5)))</f>
        <v>0</v>
      </c>
      <c r="T19" s="593">
        <f ca="1">$E19*(-SUMIF(INDIRECT(T$3),'Struktur Aktuell'!$D19,INDIRECT(T$4))+SUMIF(INDIRECT(T$3),'Struktur Aktuell'!$D19,INDIRECT(T$5)))</f>
        <v>0</v>
      </c>
      <c r="U19" s="593">
        <f ca="1">$E19*(-SUMIF(INDIRECT(U$3),'Struktur Aktuell'!$D19,INDIRECT(U$4))+SUMIF(INDIRECT(U$3),'Struktur Aktuell'!$D19,INDIRECT(U$5)))</f>
        <v>0</v>
      </c>
      <c r="V19" s="593">
        <f ca="1">$E19*(-SUMIF(INDIRECT(V$3),'Struktur Aktuell'!$D19,INDIRECT(V$4))+SUMIF(INDIRECT(V$3),'Struktur Aktuell'!$D19,INDIRECT(V$5)))</f>
        <v>0</v>
      </c>
      <c r="W19" s="593">
        <f ca="1">$E19*(-SUMIF(INDIRECT(W$3),'Struktur Aktuell'!$D19,INDIRECT(W$4))+SUMIF(INDIRECT(W$3),'Struktur Aktuell'!$D19,INDIRECT(W$5)))</f>
        <v>0</v>
      </c>
      <c r="X19" s="593">
        <f ca="1">$E19*(-SUMIF(INDIRECT(X$3),'Struktur Aktuell'!$D19,INDIRECT(X$4))+SUMIF(INDIRECT(X$3),'Struktur Aktuell'!$D19,INDIRECT(X$5)))</f>
        <v>0</v>
      </c>
      <c r="Y19" s="593">
        <f ca="1">$E19*(-SUMIF(INDIRECT(Y$3),'Struktur Aktuell'!$D19,INDIRECT(Y$4))+SUMIF(INDIRECT(Y$3),'Struktur Aktuell'!$D19,INDIRECT(Y$5)))</f>
        <v>0</v>
      </c>
      <c r="Z19" s="593">
        <f ca="1">$E19*(-SUMIF(INDIRECT(Z$3),'Struktur Aktuell'!$D19,INDIRECT(Z$4))+SUMIF(INDIRECT(Z$3),'Struktur Aktuell'!$D19,INDIRECT(Z$5)))</f>
        <v>0</v>
      </c>
      <c r="AA19" s="593">
        <f ca="1">$E19*(-SUMIF(INDIRECT(AA$3),'Struktur Aktuell'!$D19,INDIRECT(AA$4))+SUMIF(INDIRECT(AA$3),'Struktur Aktuell'!$D19,INDIRECT(AA$5)))</f>
        <v>0</v>
      </c>
      <c r="AB19" s="593">
        <f ca="1">$E19*(-SUMIF(INDIRECT(AB$3),'Struktur Aktuell'!$D19,INDIRECT(AB$4))+SUMIF(INDIRECT(AB$3),'Struktur Aktuell'!$D19,INDIRECT(AB$5)))</f>
        <v>0</v>
      </c>
      <c r="AC19" s="593">
        <f ca="1">$E19*(-SUMIF(INDIRECT(AC$3),'Struktur Aktuell'!$D19,INDIRECT(AC$4))+SUMIF(INDIRECT(AC$3),'Struktur Aktuell'!$D19,INDIRECT(AC$5)))</f>
        <v>0</v>
      </c>
      <c r="AD19" s="593">
        <f ca="1">$E19*(-SUMIF(INDIRECT(AD$3),'Struktur Aktuell'!$D19,INDIRECT(AD$4))+SUMIF(INDIRECT(AD$3),'Struktur Aktuell'!$D19,INDIRECT(AD$5)))</f>
        <v>0</v>
      </c>
      <c r="AE19" s="593">
        <f t="shared" ca="1" si="18"/>
        <v>0</v>
      </c>
      <c r="AF19" s="593">
        <f t="shared" ca="1" si="19"/>
        <v>0</v>
      </c>
      <c r="AG19" s="593">
        <f t="shared" ca="1" si="20"/>
        <v>0</v>
      </c>
      <c r="AH19" s="593">
        <f t="shared" ca="1" si="21"/>
        <v>0</v>
      </c>
      <c r="AI19" s="593">
        <f t="shared" ca="1" si="22"/>
        <v>0</v>
      </c>
      <c r="AJ19" s="593">
        <f t="shared" ca="1" si="23"/>
        <v>0</v>
      </c>
      <c r="AK19" s="593">
        <f t="shared" ca="1" si="24"/>
        <v>0</v>
      </c>
      <c r="AL19" s="593">
        <f t="shared" ca="1" si="25"/>
        <v>0</v>
      </c>
      <c r="AM19" s="593">
        <f t="shared" ca="1" si="26"/>
        <v>0</v>
      </c>
      <c r="AN19" s="593">
        <f t="shared" ca="1" si="27"/>
        <v>0</v>
      </c>
      <c r="AO19" s="593">
        <f t="shared" ca="1" si="28"/>
        <v>0</v>
      </c>
      <c r="AP19" s="593">
        <f t="shared" ca="1" si="29"/>
        <v>0</v>
      </c>
    </row>
    <row r="20" spans="1:42" s="594" customFormat="1" ht="11.25" outlineLevel="1" x14ac:dyDescent="0.2">
      <c r="A20" s="590"/>
      <c r="B20" s="591" t="str">
        <f>IF(D20&lt;&gt;"",
IF(ISERROR(MATCH(D20,'Ist Aktuell Monat 01'!A:A,0))=FALSE,INDEX('Ist Aktuell Monat 01'!B:B,MATCH(D20,'Ist Aktuell Monat 01'!A:A,0)),
IF(ISERROR(MATCH(D20,'Ist Aktuell Monat 02'!A:A,0))=FALSE,INDEX('Ist Aktuell Monat 02'!B:B,MATCH(D20,'Ist Aktuell Monat 02'!A:A,0)),
IF(ISERROR(MATCH(D20,'Ist Aktuell Monat 03'!A:A,0))=FALSE,INDEX('Ist Aktuell Monat 03'!B:B,MATCH(D20,'Ist Aktuell Monat 03'!A:A,0)),
IF(ISERROR(MATCH(D20,'Ist Aktuell Monat 04'!A:A,0))=FALSE,INDEX('Ist Aktuell Monat 04'!B:B,MATCH(D20,'Ist Aktuell Monat 04'!A:A,0)),
IF(ISERROR(MATCH(D20,'Ist Aktuell Monat 05'!A:A,0))=FALSE,INDEX('Ist Aktuell Monat 05'!B:B,MATCH(D20,'Ist Aktuell Monat 05'!A:A,0)),
IF(ISERROR(MATCH(D20,'Ist Aktuell Monat 06'!A:A,0))=FALSE,INDEX('Ist Aktuell Monat 06'!B:B,MATCH(D20,'Ist Aktuell Monat 06'!A:A,0)),
IF(ISERROR(MATCH(D20,'Ist Aktuell Monat 07'!A:A,0))=FALSE,INDEX('Ist Aktuell Monat 07'!B:B,MATCH(D20,'Ist Aktuell Monat 07'!A:A,0)),
IF(ISERROR(MATCH(D20,'Ist Aktuell Monat 08'!A:A,0))=FALSE,INDEX('Ist Aktuell Monat 08'!B:B,MATCH(D20,'Ist Aktuell Monat 08'!A:A,0)),
IF(ISERROR(MATCH(D20,'Ist Aktuell Monat 09'!A:A,0))=FALSE,INDEX('Ist Aktuell Monat 09'!B:B,MATCH(D20,'Ist Aktuell Monat 09'!A:A,0)),
IF(ISERROR(MATCH(D20,'Ist Aktuell Monat 10'!A:A,0))=FALSE,INDEX('Ist Aktuell Monat 10'!B:B,MATCH(D20,'Ist Aktuell Monat 10'!A:A,0)),
IF(ISERROR(MATCH(D20,'Ist Aktuell Monat 11'!A:A,0))=FALSE,INDEX('Ist Aktuell Monat 11'!B:B,MATCH(D20,'Ist Aktuell Monat 11'!A:A,0)),
IF(ISERROR(MATCH(D20,'Ist Aktuell Monat 12'!A:A,0))=FALSE,INDEX('Ist Aktuell Monat 12'!B:B,MATCH(D20,'Ist Aktuell Monat 12'!A:A,0)),
"{Konto unbekannt}"
)))))))))))),"")</f>
        <v/>
      </c>
      <c r="C20" s="591"/>
      <c r="D20" s="590"/>
      <c r="E20" s="592">
        <f t="shared" si="30"/>
        <v>-1</v>
      </c>
      <c r="F20" s="590" t="s">
        <v>996</v>
      </c>
      <c r="G20" s="593">
        <f ca="1">$E20*(-SUMIF(INDIRECT(G$3),'Struktur Aktuell'!$D20,INDIRECT(G$4))+SUMIF(INDIRECT(G$3),'Struktur Aktuell'!$D20,INDIRECT(G$5)))</f>
        <v>0</v>
      </c>
      <c r="H20" s="593">
        <f ca="1">$E20*(-SUMIF(INDIRECT(H$3),'Struktur Aktuell'!$D20,INDIRECT(H$4))+SUMIF(INDIRECT(H$3),'Struktur Aktuell'!$D20,INDIRECT(H$5)))</f>
        <v>0</v>
      </c>
      <c r="I20" s="593">
        <f ca="1">$E20*(-SUMIF(INDIRECT(I$3),'Struktur Aktuell'!$D20,INDIRECT(I$4))+SUMIF(INDIRECT(I$3),'Struktur Aktuell'!$D20,INDIRECT(I$5)))</f>
        <v>0</v>
      </c>
      <c r="J20" s="593">
        <f ca="1">$E20*(-SUMIF(INDIRECT(J$3),'Struktur Aktuell'!$D20,INDIRECT(J$4))+SUMIF(INDIRECT(J$3),'Struktur Aktuell'!$D20,INDIRECT(J$5)))</f>
        <v>0</v>
      </c>
      <c r="K20" s="593">
        <f ca="1">$E20*(-SUMIF(INDIRECT(K$3),'Struktur Aktuell'!$D20,INDIRECT(K$4))+SUMIF(INDIRECT(K$3),'Struktur Aktuell'!$D20,INDIRECT(K$5)))</f>
        <v>0</v>
      </c>
      <c r="L20" s="593">
        <f ca="1">$E20*(-SUMIF(INDIRECT(L$3),'Struktur Aktuell'!$D20,INDIRECT(L$4))+SUMIF(INDIRECT(L$3),'Struktur Aktuell'!$D20,INDIRECT(L$5)))</f>
        <v>0</v>
      </c>
      <c r="M20" s="593">
        <f ca="1">$E20*(-SUMIF(INDIRECT(M$3),'Struktur Aktuell'!$D20,INDIRECT(M$4))+SUMIF(INDIRECT(M$3),'Struktur Aktuell'!$D20,INDIRECT(M$5)))</f>
        <v>0</v>
      </c>
      <c r="N20" s="593">
        <f ca="1">$E20*(-SUMIF(INDIRECT(N$3),'Struktur Aktuell'!$D20,INDIRECT(N$4))+SUMIF(INDIRECT(N$3),'Struktur Aktuell'!$D20,INDIRECT(N$5)))</f>
        <v>0</v>
      </c>
      <c r="O20" s="593">
        <f ca="1">$E20*(-SUMIF(INDIRECT(O$3),'Struktur Aktuell'!$D20,INDIRECT(O$4))+SUMIF(INDIRECT(O$3),'Struktur Aktuell'!$D20,INDIRECT(O$5)))</f>
        <v>0</v>
      </c>
      <c r="P20" s="593">
        <f ca="1">$E20*(-SUMIF(INDIRECT(P$3),'Struktur Aktuell'!$D20,INDIRECT(P$4))+SUMIF(INDIRECT(P$3),'Struktur Aktuell'!$D20,INDIRECT(P$5)))</f>
        <v>0</v>
      </c>
      <c r="Q20" s="593">
        <f ca="1">$E20*(-SUMIF(INDIRECT(Q$3),'Struktur Aktuell'!$D20,INDIRECT(Q$4))+SUMIF(INDIRECT(Q$3),'Struktur Aktuell'!$D20,INDIRECT(Q$5)))</f>
        <v>0</v>
      </c>
      <c r="R20" s="593">
        <f ca="1">$E20*(-SUMIF(INDIRECT(R$3),'Struktur Aktuell'!$D20,INDIRECT(R$4))+SUMIF(INDIRECT(R$3),'Struktur Aktuell'!$D20,INDIRECT(R$5)))</f>
        <v>0</v>
      </c>
      <c r="S20" s="593">
        <f ca="1">$E20*(-SUMIF(INDIRECT(S$3),'Struktur Aktuell'!$D20,INDIRECT(S$4))+SUMIF(INDIRECT(S$3),'Struktur Aktuell'!$D20,INDIRECT(S$5)))</f>
        <v>0</v>
      </c>
      <c r="T20" s="593">
        <f ca="1">$E20*(-SUMIF(INDIRECT(T$3),'Struktur Aktuell'!$D20,INDIRECT(T$4))+SUMIF(INDIRECT(T$3),'Struktur Aktuell'!$D20,INDIRECT(T$5)))</f>
        <v>0</v>
      </c>
      <c r="U20" s="593">
        <f ca="1">$E20*(-SUMIF(INDIRECT(U$3),'Struktur Aktuell'!$D20,INDIRECT(U$4))+SUMIF(INDIRECT(U$3),'Struktur Aktuell'!$D20,INDIRECT(U$5)))</f>
        <v>0</v>
      </c>
      <c r="V20" s="593">
        <f ca="1">$E20*(-SUMIF(INDIRECT(V$3),'Struktur Aktuell'!$D20,INDIRECT(V$4))+SUMIF(INDIRECT(V$3),'Struktur Aktuell'!$D20,INDIRECT(V$5)))</f>
        <v>0</v>
      </c>
      <c r="W20" s="593">
        <f ca="1">$E20*(-SUMIF(INDIRECT(W$3),'Struktur Aktuell'!$D20,INDIRECT(W$4))+SUMIF(INDIRECT(W$3),'Struktur Aktuell'!$D20,INDIRECT(W$5)))</f>
        <v>0</v>
      </c>
      <c r="X20" s="593">
        <f ca="1">$E20*(-SUMIF(INDIRECT(X$3),'Struktur Aktuell'!$D20,INDIRECT(X$4))+SUMIF(INDIRECT(X$3),'Struktur Aktuell'!$D20,INDIRECT(X$5)))</f>
        <v>0</v>
      </c>
      <c r="Y20" s="593">
        <f ca="1">$E20*(-SUMIF(INDIRECT(Y$3),'Struktur Aktuell'!$D20,INDIRECT(Y$4))+SUMIF(INDIRECT(Y$3),'Struktur Aktuell'!$D20,INDIRECT(Y$5)))</f>
        <v>0</v>
      </c>
      <c r="Z20" s="593">
        <f ca="1">$E20*(-SUMIF(INDIRECT(Z$3),'Struktur Aktuell'!$D20,INDIRECT(Z$4))+SUMIF(INDIRECT(Z$3),'Struktur Aktuell'!$D20,INDIRECT(Z$5)))</f>
        <v>0</v>
      </c>
      <c r="AA20" s="593">
        <f ca="1">$E20*(-SUMIF(INDIRECT(AA$3),'Struktur Aktuell'!$D20,INDIRECT(AA$4))+SUMIF(INDIRECT(AA$3),'Struktur Aktuell'!$D20,INDIRECT(AA$5)))</f>
        <v>0</v>
      </c>
      <c r="AB20" s="593">
        <f ca="1">$E20*(-SUMIF(INDIRECT(AB$3),'Struktur Aktuell'!$D20,INDIRECT(AB$4))+SUMIF(INDIRECT(AB$3),'Struktur Aktuell'!$D20,INDIRECT(AB$5)))</f>
        <v>0</v>
      </c>
      <c r="AC20" s="593">
        <f ca="1">$E20*(-SUMIF(INDIRECT(AC$3),'Struktur Aktuell'!$D20,INDIRECT(AC$4))+SUMIF(INDIRECT(AC$3),'Struktur Aktuell'!$D20,INDIRECT(AC$5)))</f>
        <v>0</v>
      </c>
      <c r="AD20" s="593">
        <f ca="1">$E20*(-SUMIF(INDIRECT(AD$3),'Struktur Aktuell'!$D20,INDIRECT(AD$4))+SUMIF(INDIRECT(AD$3),'Struktur Aktuell'!$D20,INDIRECT(AD$5)))</f>
        <v>0</v>
      </c>
      <c r="AE20" s="593">
        <f t="shared" ca="1" si="18"/>
        <v>0</v>
      </c>
      <c r="AF20" s="593">
        <f t="shared" ca="1" si="19"/>
        <v>0</v>
      </c>
      <c r="AG20" s="593">
        <f t="shared" ca="1" si="20"/>
        <v>0</v>
      </c>
      <c r="AH20" s="593">
        <f t="shared" ca="1" si="21"/>
        <v>0</v>
      </c>
      <c r="AI20" s="593">
        <f t="shared" ca="1" si="22"/>
        <v>0</v>
      </c>
      <c r="AJ20" s="593">
        <f t="shared" ca="1" si="23"/>
        <v>0</v>
      </c>
      <c r="AK20" s="593">
        <f t="shared" ca="1" si="24"/>
        <v>0</v>
      </c>
      <c r="AL20" s="593">
        <f t="shared" ca="1" si="25"/>
        <v>0</v>
      </c>
      <c r="AM20" s="593">
        <f t="shared" ca="1" si="26"/>
        <v>0</v>
      </c>
      <c r="AN20" s="593">
        <f t="shared" ca="1" si="27"/>
        <v>0</v>
      </c>
      <c r="AO20" s="593">
        <f t="shared" ca="1" si="28"/>
        <v>0</v>
      </c>
      <c r="AP20" s="593">
        <f t="shared" ca="1" si="29"/>
        <v>0</v>
      </c>
    </row>
    <row r="21" spans="1:42" s="594" customFormat="1" ht="11.25" outlineLevel="1" x14ac:dyDescent="0.2">
      <c r="A21" s="590"/>
      <c r="B21" s="591" t="str">
        <f>IF(D21&lt;&gt;"",
IF(ISERROR(MATCH(D21,'Ist Aktuell Monat 01'!A:A,0))=FALSE,INDEX('Ist Aktuell Monat 01'!B:B,MATCH(D21,'Ist Aktuell Monat 01'!A:A,0)),
IF(ISERROR(MATCH(D21,'Ist Aktuell Monat 02'!A:A,0))=FALSE,INDEX('Ist Aktuell Monat 02'!B:B,MATCH(D21,'Ist Aktuell Monat 02'!A:A,0)),
IF(ISERROR(MATCH(D21,'Ist Aktuell Monat 03'!A:A,0))=FALSE,INDEX('Ist Aktuell Monat 03'!B:B,MATCH(D21,'Ist Aktuell Monat 03'!A:A,0)),
IF(ISERROR(MATCH(D21,'Ist Aktuell Monat 04'!A:A,0))=FALSE,INDEX('Ist Aktuell Monat 04'!B:B,MATCH(D21,'Ist Aktuell Monat 04'!A:A,0)),
IF(ISERROR(MATCH(D21,'Ist Aktuell Monat 05'!A:A,0))=FALSE,INDEX('Ist Aktuell Monat 05'!B:B,MATCH(D21,'Ist Aktuell Monat 05'!A:A,0)),
IF(ISERROR(MATCH(D21,'Ist Aktuell Monat 06'!A:A,0))=FALSE,INDEX('Ist Aktuell Monat 06'!B:B,MATCH(D21,'Ist Aktuell Monat 06'!A:A,0)),
IF(ISERROR(MATCH(D21,'Ist Aktuell Monat 07'!A:A,0))=FALSE,INDEX('Ist Aktuell Monat 07'!B:B,MATCH(D21,'Ist Aktuell Monat 07'!A:A,0)),
IF(ISERROR(MATCH(D21,'Ist Aktuell Monat 08'!A:A,0))=FALSE,INDEX('Ist Aktuell Monat 08'!B:B,MATCH(D21,'Ist Aktuell Monat 08'!A:A,0)),
IF(ISERROR(MATCH(D21,'Ist Aktuell Monat 09'!A:A,0))=FALSE,INDEX('Ist Aktuell Monat 09'!B:B,MATCH(D21,'Ist Aktuell Monat 09'!A:A,0)),
IF(ISERROR(MATCH(D21,'Ist Aktuell Monat 10'!A:A,0))=FALSE,INDEX('Ist Aktuell Monat 10'!B:B,MATCH(D21,'Ist Aktuell Monat 10'!A:A,0)),
IF(ISERROR(MATCH(D21,'Ist Aktuell Monat 11'!A:A,0))=FALSE,INDEX('Ist Aktuell Monat 11'!B:B,MATCH(D21,'Ist Aktuell Monat 11'!A:A,0)),
IF(ISERROR(MATCH(D21,'Ist Aktuell Monat 12'!A:A,0))=FALSE,INDEX('Ist Aktuell Monat 12'!B:B,MATCH(D21,'Ist Aktuell Monat 12'!A:A,0)),
"{Konto unbekannt}"
)))))))))))),"")</f>
        <v/>
      </c>
      <c r="C21" s="591"/>
      <c r="D21" s="590"/>
      <c r="E21" s="592">
        <f t="shared" si="30"/>
        <v>-1</v>
      </c>
      <c r="F21" s="590" t="s">
        <v>996</v>
      </c>
      <c r="G21" s="593">
        <f ca="1">$E21*(-SUMIF(INDIRECT(G$3),'Struktur Aktuell'!$D21,INDIRECT(G$4))+SUMIF(INDIRECT(G$3),'Struktur Aktuell'!$D21,INDIRECT(G$5)))</f>
        <v>0</v>
      </c>
      <c r="H21" s="593">
        <f ca="1">$E21*(-SUMIF(INDIRECT(H$3),'Struktur Aktuell'!$D21,INDIRECT(H$4))+SUMIF(INDIRECT(H$3),'Struktur Aktuell'!$D21,INDIRECT(H$5)))</f>
        <v>0</v>
      </c>
      <c r="I21" s="593">
        <f ca="1">$E21*(-SUMIF(INDIRECT(I$3),'Struktur Aktuell'!$D21,INDIRECT(I$4))+SUMIF(INDIRECT(I$3),'Struktur Aktuell'!$D21,INDIRECT(I$5)))</f>
        <v>0</v>
      </c>
      <c r="J21" s="593">
        <f ca="1">$E21*(-SUMIF(INDIRECT(J$3),'Struktur Aktuell'!$D21,INDIRECT(J$4))+SUMIF(INDIRECT(J$3),'Struktur Aktuell'!$D21,INDIRECT(J$5)))</f>
        <v>0</v>
      </c>
      <c r="K21" s="593">
        <f ca="1">$E21*(-SUMIF(INDIRECT(K$3),'Struktur Aktuell'!$D21,INDIRECT(K$4))+SUMIF(INDIRECT(K$3),'Struktur Aktuell'!$D21,INDIRECT(K$5)))</f>
        <v>0</v>
      </c>
      <c r="L21" s="593">
        <f ca="1">$E21*(-SUMIF(INDIRECT(L$3),'Struktur Aktuell'!$D21,INDIRECT(L$4))+SUMIF(INDIRECT(L$3),'Struktur Aktuell'!$D21,INDIRECT(L$5)))</f>
        <v>0</v>
      </c>
      <c r="M21" s="593">
        <f ca="1">$E21*(-SUMIF(INDIRECT(M$3),'Struktur Aktuell'!$D21,INDIRECT(M$4))+SUMIF(INDIRECT(M$3),'Struktur Aktuell'!$D21,INDIRECT(M$5)))</f>
        <v>0</v>
      </c>
      <c r="N21" s="593">
        <f ca="1">$E21*(-SUMIF(INDIRECT(N$3),'Struktur Aktuell'!$D21,INDIRECT(N$4))+SUMIF(INDIRECT(N$3),'Struktur Aktuell'!$D21,INDIRECT(N$5)))</f>
        <v>0</v>
      </c>
      <c r="O21" s="593">
        <f ca="1">$E21*(-SUMIF(INDIRECT(O$3),'Struktur Aktuell'!$D21,INDIRECT(O$4))+SUMIF(INDIRECT(O$3),'Struktur Aktuell'!$D21,INDIRECT(O$5)))</f>
        <v>0</v>
      </c>
      <c r="P21" s="593">
        <f ca="1">$E21*(-SUMIF(INDIRECT(P$3),'Struktur Aktuell'!$D21,INDIRECT(P$4))+SUMIF(INDIRECT(P$3),'Struktur Aktuell'!$D21,INDIRECT(P$5)))</f>
        <v>0</v>
      </c>
      <c r="Q21" s="593">
        <f ca="1">$E21*(-SUMIF(INDIRECT(Q$3),'Struktur Aktuell'!$D21,INDIRECT(Q$4))+SUMIF(INDIRECT(Q$3),'Struktur Aktuell'!$D21,INDIRECT(Q$5)))</f>
        <v>0</v>
      </c>
      <c r="R21" s="593">
        <f ca="1">$E21*(-SUMIF(INDIRECT(R$3),'Struktur Aktuell'!$D21,INDIRECT(R$4))+SUMIF(INDIRECT(R$3),'Struktur Aktuell'!$D21,INDIRECT(R$5)))</f>
        <v>0</v>
      </c>
      <c r="S21" s="593">
        <f ca="1">$E21*(-SUMIF(INDIRECT(S$3),'Struktur Aktuell'!$D21,INDIRECT(S$4))+SUMIF(INDIRECT(S$3),'Struktur Aktuell'!$D21,INDIRECT(S$5)))</f>
        <v>0</v>
      </c>
      <c r="T21" s="593">
        <f ca="1">$E21*(-SUMIF(INDIRECT(T$3),'Struktur Aktuell'!$D21,INDIRECT(T$4))+SUMIF(INDIRECT(T$3),'Struktur Aktuell'!$D21,INDIRECT(T$5)))</f>
        <v>0</v>
      </c>
      <c r="U21" s="593">
        <f ca="1">$E21*(-SUMIF(INDIRECT(U$3),'Struktur Aktuell'!$D21,INDIRECT(U$4))+SUMIF(INDIRECT(U$3),'Struktur Aktuell'!$D21,INDIRECT(U$5)))</f>
        <v>0</v>
      </c>
      <c r="V21" s="593">
        <f ca="1">$E21*(-SUMIF(INDIRECT(V$3),'Struktur Aktuell'!$D21,INDIRECT(V$4))+SUMIF(INDIRECT(V$3),'Struktur Aktuell'!$D21,INDIRECT(V$5)))</f>
        <v>0</v>
      </c>
      <c r="W21" s="593">
        <f ca="1">$E21*(-SUMIF(INDIRECT(W$3),'Struktur Aktuell'!$D21,INDIRECT(W$4))+SUMIF(INDIRECT(W$3),'Struktur Aktuell'!$D21,INDIRECT(W$5)))</f>
        <v>0</v>
      </c>
      <c r="X21" s="593">
        <f ca="1">$E21*(-SUMIF(INDIRECT(X$3),'Struktur Aktuell'!$D21,INDIRECT(X$4))+SUMIF(INDIRECT(X$3),'Struktur Aktuell'!$D21,INDIRECT(X$5)))</f>
        <v>0</v>
      </c>
      <c r="Y21" s="593">
        <f ca="1">$E21*(-SUMIF(INDIRECT(Y$3),'Struktur Aktuell'!$D21,INDIRECT(Y$4))+SUMIF(INDIRECT(Y$3),'Struktur Aktuell'!$D21,INDIRECT(Y$5)))</f>
        <v>0</v>
      </c>
      <c r="Z21" s="593">
        <f ca="1">$E21*(-SUMIF(INDIRECT(Z$3),'Struktur Aktuell'!$D21,INDIRECT(Z$4))+SUMIF(INDIRECT(Z$3),'Struktur Aktuell'!$D21,INDIRECT(Z$5)))</f>
        <v>0</v>
      </c>
      <c r="AA21" s="593">
        <f ca="1">$E21*(-SUMIF(INDIRECT(AA$3),'Struktur Aktuell'!$D21,INDIRECT(AA$4))+SUMIF(INDIRECT(AA$3),'Struktur Aktuell'!$D21,INDIRECT(AA$5)))</f>
        <v>0</v>
      </c>
      <c r="AB21" s="593">
        <f ca="1">$E21*(-SUMIF(INDIRECT(AB$3),'Struktur Aktuell'!$D21,INDIRECT(AB$4))+SUMIF(INDIRECT(AB$3),'Struktur Aktuell'!$D21,INDIRECT(AB$5)))</f>
        <v>0</v>
      </c>
      <c r="AC21" s="593">
        <f ca="1">$E21*(-SUMIF(INDIRECT(AC$3),'Struktur Aktuell'!$D21,INDIRECT(AC$4))+SUMIF(INDIRECT(AC$3),'Struktur Aktuell'!$D21,INDIRECT(AC$5)))</f>
        <v>0</v>
      </c>
      <c r="AD21" s="593">
        <f ca="1">$E21*(-SUMIF(INDIRECT(AD$3),'Struktur Aktuell'!$D21,INDIRECT(AD$4))+SUMIF(INDIRECT(AD$3),'Struktur Aktuell'!$D21,INDIRECT(AD$5)))</f>
        <v>0</v>
      </c>
      <c r="AE21" s="593">
        <f t="shared" ca="1" si="18"/>
        <v>0</v>
      </c>
      <c r="AF21" s="593">
        <f t="shared" ca="1" si="19"/>
        <v>0</v>
      </c>
      <c r="AG21" s="593">
        <f t="shared" ca="1" si="20"/>
        <v>0</v>
      </c>
      <c r="AH21" s="593">
        <f t="shared" ca="1" si="21"/>
        <v>0</v>
      </c>
      <c r="AI21" s="593">
        <f t="shared" ca="1" si="22"/>
        <v>0</v>
      </c>
      <c r="AJ21" s="593">
        <f t="shared" ca="1" si="23"/>
        <v>0</v>
      </c>
      <c r="AK21" s="593">
        <f t="shared" ca="1" si="24"/>
        <v>0</v>
      </c>
      <c r="AL21" s="593">
        <f t="shared" ca="1" si="25"/>
        <v>0</v>
      </c>
      <c r="AM21" s="593">
        <f t="shared" ca="1" si="26"/>
        <v>0</v>
      </c>
      <c r="AN21" s="593">
        <f t="shared" ca="1" si="27"/>
        <v>0</v>
      </c>
      <c r="AO21" s="593">
        <f t="shared" ca="1" si="28"/>
        <v>0</v>
      </c>
      <c r="AP21" s="593">
        <f t="shared" ca="1" si="29"/>
        <v>0</v>
      </c>
    </row>
    <row r="22" spans="1:42" s="594" customFormat="1" ht="11.25" outlineLevel="1" x14ac:dyDescent="0.2">
      <c r="A22" s="590"/>
      <c r="B22" s="591" t="str">
        <f>IF(D22&lt;&gt;"",
IF(ISERROR(MATCH(D22,'Ist Aktuell Monat 01'!A:A,0))=FALSE,INDEX('Ist Aktuell Monat 01'!B:B,MATCH(D22,'Ist Aktuell Monat 01'!A:A,0)),
IF(ISERROR(MATCH(D22,'Ist Aktuell Monat 02'!A:A,0))=FALSE,INDEX('Ist Aktuell Monat 02'!B:B,MATCH(D22,'Ist Aktuell Monat 02'!A:A,0)),
IF(ISERROR(MATCH(D22,'Ist Aktuell Monat 03'!A:A,0))=FALSE,INDEX('Ist Aktuell Monat 03'!B:B,MATCH(D22,'Ist Aktuell Monat 03'!A:A,0)),
IF(ISERROR(MATCH(D22,'Ist Aktuell Monat 04'!A:A,0))=FALSE,INDEX('Ist Aktuell Monat 04'!B:B,MATCH(D22,'Ist Aktuell Monat 04'!A:A,0)),
IF(ISERROR(MATCH(D22,'Ist Aktuell Monat 05'!A:A,0))=FALSE,INDEX('Ist Aktuell Monat 05'!B:B,MATCH(D22,'Ist Aktuell Monat 05'!A:A,0)),
IF(ISERROR(MATCH(D22,'Ist Aktuell Monat 06'!A:A,0))=FALSE,INDEX('Ist Aktuell Monat 06'!B:B,MATCH(D22,'Ist Aktuell Monat 06'!A:A,0)),
IF(ISERROR(MATCH(D22,'Ist Aktuell Monat 07'!A:A,0))=FALSE,INDEX('Ist Aktuell Monat 07'!B:B,MATCH(D22,'Ist Aktuell Monat 07'!A:A,0)),
IF(ISERROR(MATCH(D22,'Ist Aktuell Monat 08'!A:A,0))=FALSE,INDEX('Ist Aktuell Monat 08'!B:B,MATCH(D22,'Ist Aktuell Monat 08'!A:A,0)),
IF(ISERROR(MATCH(D22,'Ist Aktuell Monat 09'!A:A,0))=FALSE,INDEX('Ist Aktuell Monat 09'!B:B,MATCH(D22,'Ist Aktuell Monat 09'!A:A,0)),
IF(ISERROR(MATCH(D22,'Ist Aktuell Monat 10'!A:A,0))=FALSE,INDEX('Ist Aktuell Monat 10'!B:B,MATCH(D22,'Ist Aktuell Monat 10'!A:A,0)),
IF(ISERROR(MATCH(D22,'Ist Aktuell Monat 11'!A:A,0))=FALSE,INDEX('Ist Aktuell Monat 11'!B:B,MATCH(D22,'Ist Aktuell Monat 11'!A:A,0)),
IF(ISERROR(MATCH(D22,'Ist Aktuell Monat 12'!A:A,0))=FALSE,INDEX('Ist Aktuell Monat 12'!B:B,MATCH(D22,'Ist Aktuell Monat 12'!A:A,0)),
"{Konto unbekannt}"
)))))))))))),"")</f>
        <v/>
      </c>
      <c r="C22" s="591"/>
      <c r="D22" s="590"/>
      <c r="E22" s="592">
        <f t="shared" si="30"/>
        <v>-1</v>
      </c>
      <c r="F22" s="590" t="s">
        <v>996</v>
      </c>
      <c r="G22" s="593">
        <f ca="1">$E22*(-SUMIF(INDIRECT(G$3),'Struktur Aktuell'!$D22,INDIRECT(G$4))+SUMIF(INDIRECT(G$3),'Struktur Aktuell'!$D22,INDIRECT(G$5)))</f>
        <v>0</v>
      </c>
      <c r="H22" s="593">
        <f ca="1">$E22*(-SUMIF(INDIRECT(H$3),'Struktur Aktuell'!$D22,INDIRECT(H$4))+SUMIF(INDIRECT(H$3),'Struktur Aktuell'!$D22,INDIRECT(H$5)))</f>
        <v>0</v>
      </c>
      <c r="I22" s="593">
        <f ca="1">$E22*(-SUMIF(INDIRECT(I$3),'Struktur Aktuell'!$D22,INDIRECT(I$4))+SUMIF(INDIRECT(I$3),'Struktur Aktuell'!$D22,INDIRECT(I$5)))</f>
        <v>0</v>
      </c>
      <c r="J22" s="593">
        <f ca="1">$E22*(-SUMIF(INDIRECT(J$3),'Struktur Aktuell'!$D22,INDIRECT(J$4))+SUMIF(INDIRECT(J$3),'Struktur Aktuell'!$D22,INDIRECT(J$5)))</f>
        <v>0</v>
      </c>
      <c r="K22" s="593">
        <f ca="1">$E22*(-SUMIF(INDIRECT(K$3),'Struktur Aktuell'!$D22,INDIRECT(K$4))+SUMIF(INDIRECT(K$3),'Struktur Aktuell'!$D22,INDIRECT(K$5)))</f>
        <v>0</v>
      </c>
      <c r="L22" s="593">
        <f ca="1">$E22*(-SUMIF(INDIRECT(L$3),'Struktur Aktuell'!$D22,INDIRECT(L$4))+SUMIF(INDIRECT(L$3),'Struktur Aktuell'!$D22,INDIRECT(L$5)))</f>
        <v>0</v>
      </c>
      <c r="M22" s="593">
        <f ca="1">$E22*(-SUMIF(INDIRECT(M$3),'Struktur Aktuell'!$D22,INDIRECT(M$4))+SUMIF(INDIRECT(M$3),'Struktur Aktuell'!$D22,INDIRECT(M$5)))</f>
        <v>0</v>
      </c>
      <c r="N22" s="593">
        <f ca="1">$E22*(-SUMIF(INDIRECT(N$3),'Struktur Aktuell'!$D22,INDIRECT(N$4))+SUMIF(INDIRECT(N$3),'Struktur Aktuell'!$D22,INDIRECT(N$5)))</f>
        <v>0</v>
      </c>
      <c r="O22" s="593">
        <f ca="1">$E22*(-SUMIF(INDIRECT(O$3),'Struktur Aktuell'!$D22,INDIRECT(O$4))+SUMIF(INDIRECT(O$3),'Struktur Aktuell'!$D22,INDIRECT(O$5)))</f>
        <v>0</v>
      </c>
      <c r="P22" s="593">
        <f ca="1">$E22*(-SUMIF(INDIRECT(P$3),'Struktur Aktuell'!$D22,INDIRECT(P$4))+SUMIF(INDIRECT(P$3),'Struktur Aktuell'!$D22,INDIRECT(P$5)))</f>
        <v>0</v>
      </c>
      <c r="Q22" s="593">
        <f ca="1">$E22*(-SUMIF(INDIRECT(Q$3),'Struktur Aktuell'!$D22,INDIRECT(Q$4))+SUMIF(INDIRECT(Q$3),'Struktur Aktuell'!$D22,INDIRECT(Q$5)))</f>
        <v>0</v>
      </c>
      <c r="R22" s="593">
        <f ca="1">$E22*(-SUMIF(INDIRECT(R$3),'Struktur Aktuell'!$D22,INDIRECT(R$4))+SUMIF(INDIRECT(R$3),'Struktur Aktuell'!$D22,INDIRECT(R$5)))</f>
        <v>0</v>
      </c>
      <c r="S22" s="593">
        <f ca="1">$E22*(-SUMIF(INDIRECT(S$3),'Struktur Aktuell'!$D22,INDIRECT(S$4))+SUMIF(INDIRECT(S$3),'Struktur Aktuell'!$D22,INDIRECT(S$5)))</f>
        <v>0</v>
      </c>
      <c r="T22" s="593">
        <f ca="1">$E22*(-SUMIF(INDIRECT(T$3),'Struktur Aktuell'!$D22,INDIRECT(T$4))+SUMIF(INDIRECT(T$3),'Struktur Aktuell'!$D22,INDIRECT(T$5)))</f>
        <v>0</v>
      </c>
      <c r="U22" s="593">
        <f ca="1">$E22*(-SUMIF(INDIRECT(U$3),'Struktur Aktuell'!$D22,INDIRECT(U$4))+SUMIF(INDIRECT(U$3),'Struktur Aktuell'!$D22,INDIRECT(U$5)))</f>
        <v>0</v>
      </c>
      <c r="V22" s="593">
        <f ca="1">$E22*(-SUMIF(INDIRECT(V$3),'Struktur Aktuell'!$D22,INDIRECT(V$4))+SUMIF(INDIRECT(V$3),'Struktur Aktuell'!$D22,INDIRECT(V$5)))</f>
        <v>0</v>
      </c>
      <c r="W22" s="593">
        <f ca="1">$E22*(-SUMIF(INDIRECT(W$3),'Struktur Aktuell'!$D22,INDIRECT(W$4))+SUMIF(INDIRECT(W$3),'Struktur Aktuell'!$D22,INDIRECT(W$5)))</f>
        <v>0</v>
      </c>
      <c r="X22" s="593">
        <f ca="1">$E22*(-SUMIF(INDIRECT(X$3),'Struktur Aktuell'!$D22,INDIRECT(X$4))+SUMIF(INDIRECT(X$3),'Struktur Aktuell'!$D22,INDIRECT(X$5)))</f>
        <v>0</v>
      </c>
      <c r="Y22" s="593">
        <f ca="1">$E22*(-SUMIF(INDIRECT(Y$3),'Struktur Aktuell'!$D22,INDIRECT(Y$4))+SUMIF(INDIRECT(Y$3),'Struktur Aktuell'!$D22,INDIRECT(Y$5)))</f>
        <v>0</v>
      </c>
      <c r="Z22" s="593">
        <f ca="1">$E22*(-SUMIF(INDIRECT(Z$3),'Struktur Aktuell'!$D22,INDIRECT(Z$4))+SUMIF(INDIRECT(Z$3),'Struktur Aktuell'!$D22,INDIRECT(Z$5)))</f>
        <v>0</v>
      </c>
      <c r="AA22" s="593">
        <f ca="1">$E22*(-SUMIF(INDIRECT(AA$3),'Struktur Aktuell'!$D22,INDIRECT(AA$4))+SUMIF(INDIRECT(AA$3),'Struktur Aktuell'!$D22,INDIRECT(AA$5)))</f>
        <v>0</v>
      </c>
      <c r="AB22" s="593">
        <f ca="1">$E22*(-SUMIF(INDIRECT(AB$3),'Struktur Aktuell'!$D22,INDIRECT(AB$4))+SUMIF(INDIRECT(AB$3),'Struktur Aktuell'!$D22,INDIRECT(AB$5)))</f>
        <v>0</v>
      </c>
      <c r="AC22" s="593">
        <f ca="1">$E22*(-SUMIF(INDIRECT(AC$3),'Struktur Aktuell'!$D22,INDIRECT(AC$4))+SUMIF(INDIRECT(AC$3),'Struktur Aktuell'!$D22,INDIRECT(AC$5)))</f>
        <v>0</v>
      </c>
      <c r="AD22" s="593">
        <f ca="1">$E22*(-SUMIF(INDIRECT(AD$3),'Struktur Aktuell'!$D22,INDIRECT(AD$4))+SUMIF(INDIRECT(AD$3),'Struktur Aktuell'!$D22,INDIRECT(AD$5)))</f>
        <v>0</v>
      </c>
      <c r="AE22" s="593">
        <f t="shared" ca="1" si="18"/>
        <v>0</v>
      </c>
      <c r="AF22" s="593">
        <f t="shared" ca="1" si="19"/>
        <v>0</v>
      </c>
      <c r="AG22" s="593">
        <f t="shared" ca="1" si="20"/>
        <v>0</v>
      </c>
      <c r="AH22" s="593">
        <f t="shared" ca="1" si="21"/>
        <v>0</v>
      </c>
      <c r="AI22" s="593">
        <f t="shared" ca="1" si="22"/>
        <v>0</v>
      </c>
      <c r="AJ22" s="593">
        <f t="shared" ca="1" si="23"/>
        <v>0</v>
      </c>
      <c r="AK22" s="593">
        <f t="shared" ca="1" si="24"/>
        <v>0</v>
      </c>
      <c r="AL22" s="593">
        <f t="shared" ca="1" si="25"/>
        <v>0</v>
      </c>
      <c r="AM22" s="593">
        <f t="shared" ca="1" si="26"/>
        <v>0</v>
      </c>
      <c r="AN22" s="593">
        <f t="shared" ca="1" si="27"/>
        <v>0</v>
      </c>
      <c r="AO22" s="593">
        <f t="shared" ca="1" si="28"/>
        <v>0</v>
      </c>
      <c r="AP22" s="593">
        <f t="shared" ca="1" si="29"/>
        <v>0</v>
      </c>
    </row>
    <row r="23" spans="1:42" s="594" customFormat="1" ht="11.25" outlineLevel="1" x14ac:dyDescent="0.2">
      <c r="A23" s="590"/>
      <c r="B23" s="591" t="str">
        <f>IF(D23&lt;&gt;"",
IF(ISERROR(MATCH(D23,'Ist Aktuell Monat 01'!A:A,0))=FALSE,INDEX('Ist Aktuell Monat 01'!B:B,MATCH(D23,'Ist Aktuell Monat 01'!A:A,0)),
IF(ISERROR(MATCH(D23,'Ist Aktuell Monat 02'!A:A,0))=FALSE,INDEX('Ist Aktuell Monat 02'!B:B,MATCH(D23,'Ist Aktuell Monat 02'!A:A,0)),
IF(ISERROR(MATCH(D23,'Ist Aktuell Monat 03'!A:A,0))=FALSE,INDEX('Ist Aktuell Monat 03'!B:B,MATCH(D23,'Ist Aktuell Monat 03'!A:A,0)),
IF(ISERROR(MATCH(D23,'Ist Aktuell Monat 04'!A:A,0))=FALSE,INDEX('Ist Aktuell Monat 04'!B:B,MATCH(D23,'Ist Aktuell Monat 04'!A:A,0)),
IF(ISERROR(MATCH(D23,'Ist Aktuell Monat 05'!A:A,0))=FALSE,INDEX('Ist Aktuell Monat 05'!B:B,MATCH(D23,'Ist Aktuell Monat 05'!A:A,0)),
IF(ISERROR(MATCH(D23,'Ist Aktuell Monat 06'!A:A,0))=FALSE,INDEX('Ist Aktuell Monat 06'!B:B,MATCH(D23,'Ist Aktuell Monat 06'!A:A,0)),
IF(ISERROR(MATCH(D23,'Ist Aktuell Monat 07'!A:A,0))=FALSE,INDEX('Ist Aktuell Monat 07'!B:B,MATCH(D23,'Ist Aktuell Monat 07'!A:A,0)),
IF(ISERROR(MATCH(D23,'Ist Aktuell Monat 08'!A:A,0))=FALSE,INDEX('Ist Aktuell Monat 08'!B:B,MATCH(D23,'Ist Aktuell Monat 08'!A:A,0)),
IF(ISERROR(MATCH(D23,'Ist Aktuell Monat 09'!A:A,0))=FALSE,INDEX('Ist Aktuell Monat 09'!B:B,MATCH(D23,'Ist Aktuell Monat 09'!A:A,0)),
IF(ISERROR(MATCH(D23,'Ist Aktuell Monat 10'!A:A,0))=FALSE,INDEX('Ist Aktuell Monat 10'!B:B,MATCH(D23,'Ist Aktuell Monat 10'!A:A,0)),
IF(ISERROR(MATCH(D23,'Ist Aktuell Monat 11'!A:A,0))=FALSE,INDEX('Ist Aktuell Monat 11'!B:B,MATCH(D23,'Ist Aktuell Monat 11'!A:A,0)),
IF(ISERROR(MATCH(D23,'Ist Aktuell Monat 12'!A:A,0))=FALSE,INDEX('Ist Aktuell Monat 12'!B:B,MATCH(D23,'Ist Aktuell Monat 12'!A:A,0)),
"{Konto unbekannt}"
)))))))))))),"")</f>
        <v/>
      </c>
      <c r="C23" s="591"/>
      <c r="D23" s="590"/>
      <c r="E23" s="592">
        <f t="shared" si="30"/>
        <v>-1</v>
      </c>
      <c r="F23" s="590" t="s">
        <v>996</v>
      </c>
      <c r="G23" s="593">
        <f ca="1">$E23*(-SUMIF(INDIRECT(G$3),'Struktur Aktuell'!$D23,INDIRECT(G$4))+SUMIF(INDIRECT(G$3),'Struktur Aktuell'!$D23,INDIRECT(G$5)))</f>
        <v>0</v>
      </c>
      <c r="H23" s="593">
        <f ca="1">$E23*(-SUMIF(INDIRECT(H$3),'Struktur Aktuell'!$D23,INDIRECT(H$4))+SUMIF(INDIRECT(H$3),'Struktur Aktuell'!$D23,INDIRECT(H$5)))</f>
        <v>0</v>
      </c>
      <c r="I23" s="593">
        <f ca="1">$E23*(-SUMIF(INDIRECT(I$3),'Struktur Aktuell'!$D23,INDIRECT(I$4))+SUMIF(INDIRECT(I$3),'Struktur Aktuell'!$D23,INDIRECT(I$5)))</f>
        <v>0</v>
      </c>
      <c r="J23" s="593">
        <f ca="1">$E23*(-SUMIF(INDIRECT(J$3),'Struktur Aktuell'!$D23,INDIRECT(J$4))+SUMIF(INDIRECT(J$3),'Struktur Aktuell'!$D23,INDIRECT(J$5)))</f>
        <v>0</v>
      </c>
      <c r="K23" s="593">
        <f ca="1">$E23*(-SUMIF(INDIRECT(K$3),'Struktur Aktuell'!$D23,INDIRECT(K$4))+SUMIF(INDIRECT(K$3),'Struktur Aktuell'!$D23,INDIRECT(K$5)))</f>
        <v>0</v>
      </c>
      <c r="L23" s="593">
        <f ca="1">$E23*(-SUMIF(INDIRECT(L$3),'Struktur Aktuell'!$D23,INDIRECT(L$4))+SUMIF(INDIRECT(L$3),'Struktur Aktuell'!$D23,INDIRECT(L$5)))</f>
        <v>0</v>
      </c>
      <c r="M23" s="593">
        <f ca="1">$E23*(-SUMIF(INDIRECT(M$3),'Struktur Aktuell'!$D23,INDIRECT(M$4))+SUMIF(INDIRECT(M$3),'Struktur Aktuell'!$D23,INDIRECT(M$5)))</f>
        <v>0</v>
      </c>
      <c r="N23" s="593">
        <f ca="1">$E23*(-SUMIF(INDIRECT(N$3),'Struktur Aktuell'!$D23,INDIRECT(N$4))+SUMIF(INDIRECT(N$3),'Struktur Aktuell'!$D23,INDIRECT(N$5)))</f>
        <v>0</v>
      </c>
      <c r="O23" s="593">
        <f ca="1">$E23*(-SUMIF(INDIRECT(O$3),'Struktur Aktuell'!$D23,INDIRECT(O$4))+SUMIF(INDIRECT(O$3),'Struktur Aktuell'!$D23,INDIRECT(O$5)))</f>
        <v>0</v>
      </c>
      <c r="P23" s="593">
        <f ca="1">$E23*(-SUMIF(INDIRECT(P$3),'Struktur Aktuell'!$D23,INDIRECT(P$4))+SUMIF(INDIRECT(P$3),'Struktur Aktuell'!$D23,INDIRECT(P$5)))</f>
        <v>0</v>
      </c>
      <c r="Q23" s="593">
        <f ca="1">$E23*(-SUMIF(INDIRECT(Q$3),'Struktur Aktuell'!$D23,INDIRECT(Q$4))+SUMIF(INDIRECT(Q$3),'Struktur Aktuell'!$D23,INDIRECT(Q$5)))</f>
        <v>0</v>
      </c>
      <c r="R23" s="593">
        <f ca="1">$E23*(-SUMIF(INDIRECT(R$3),'Struktur Aktuell'!$D23,INDIRECT(R$4))+SUMIF(INDIRECT(R$3),'Struktur Aktuell'!$D23,INDIRECT(R$5)))</f>
        <v>0</v>
      </c>
      <c r="S23" s="593">
        <f ca="1">$E23*(-SUMIF(INDIRECT(S$3),'Struktur Aktuell'!$D23,INDIRECT(S$4))+SUMIF(INDIRECT(S$3),'Struktur Aktuell'!$D23,INDIRECT(S$5)))</f>
        <v>0</v>
      </c>
      <c r="T23" s="593">
        <f ca="1">$E23*(-SUMIF(INDIRECT(T$3),'Struktur Aktuell'!$D23,INDIRECT(T$4))+SUMIF(INDIRECT(T$3),'Struktur Aktuell'!$D23,INDIRECT(T$5)))</f>
        <v>0</v>
      </c>
      <c r="U23" s="593">
        <f ca="1">$E23*(-SUMIF(INDIRECT(U$3),'Struktur Aktuell'!$D23,INDIRECT(U$4))+SUMIF(INDIRECT(U$3),'Struktur Aktuell'!$D23,INDIRECT(U$5)))</f>
        <v>0</v>
      </c>
      <c r="V23" s="593">
        <f ca="1">$E23*(-SUMIF(INDIRECT(V$3),'Struktur Aktuell'!$D23,INDIRECT(V$4))+SUMIF(INDIRECT(V$3),'Struktur Aktuell'!$D23,INDIRECT(V$5)))</f>
        <v>0</v>
      </c>
      <c r="W23" s="593">
        <f ca="1">$E23*(-SUMIF(INDIRECT(W$3),'Struktur Aktuell'!$D23,INDIRECT(W$4))+SUMIF(INDIRECT(W$3),'Struktur Aktuell'!$D23,INDIRECT(W$5)))</f>
        <v>0</v>
      </c>
      <c r="X23" s="593">
        <f ca="1">$E23*(-SUMIF(INDIRECT(X$3),'Struktur Aktuell'!$D23,INDIRECT(X$4))+SUMIF(INDIRECT(X$3),'Struktur Aktuell'!$D23,INDIRECT(X$5)))</f>
        <v>0</v>
      </c>
      <c r="Y23" s="593">
        <f ca="1">$E23*(-SUMIF(INDIRECT(Y$3),'Struktur Aktuell'!$D23,INDIRECT(Y$4))+SUMIF(INDIRECT(Y$3),'Struktur Aktuell'!$D23,INDIRECT(Y$5)))</f>
        <v>0</v>
      </c>
      <c r="Z23" s="593">
        <f ca="1">$E23*(-SUMIF(INDIRECT(Z$3),'Struktur Aktuell'!$D23,INDIRECT(Z$4))+SUMIF(INDIRECT(Z$3),'Struktur Aktuell'!$D23,INDIRECT(Z$5)))</f>
        <v>0</v>
      </c>
      <c r="AA23" s="593">
        <f ca="1">$E23*(-SUMIF(INDIRECT(AA$3),'Struktur Aktuell'!$D23,INDIRECT(AA$4))+SUMIF(INDIRECT(AA$3),'Struktur Aktuell'!$D23,INDIRECT(AA$5)))</f>
        <v>0</v>
      </c>
      <c r="AB23" s="593">
        <f ca="1">$E23*(-SUMIF(INDIRECT(AB$3),'Struktur Aktuell'!$D23,INDIRECT(AB$4))+SUMIF(INDIRECT(AB$3),'Struktur Aktuell'!$D23,INDIRECT(AB$5)))</f>
        <v>0</v>
      </c>
      <c r="AC23" s="593">
        <f ca="1">$E23*(-SUMIF(INDIRECT(AC$3),'Struktur Aktuell'!$D23,INDIRECT(AC$4))+SUMIF(INDIRECT(AC$3),'Struktur Aktuell'!$D23,INDIRECT(AC$5)))</f>
        <v>0</v>
      </c>
      <c r="AD23" s="593">
        <f ca="1">$E23*(-SUMIF(INDIRECT(AD$3),'Struktur Aktuell'!$D23,INDIRECT(AD$4))+SUMIF(INDIRECT(AD$3),'Struktur Aktuell'!$D23,INDIRECT(AD$5)))</f>
        <v>0</v>
      </c>
      <c r="AE23" s="593">
        <f t="shared" ca="1" si="18"/>
        <v>0</v>
      </c>
      <c r="AF23" s="593">
        <f t="shared" ca="1" si="19"/>
        <v>0</v>
      </c>
      <c r="AG23" s="593">
        <f t="shared" ca="1" si="20"/>
        <v>0</v>
      </c>
      <c r="AH23" s="593">
        <f t="shared" ca="1" si="21"/>
        <v>0</v>
      </c>
      <c r="AI23" s="593">
        <f t="shared" ca="1" si="22"/>
        <v>0</v>
      </c>
      <c r="AJ23" s="593">
        <f t="shared" ca="1" si="23"/>
        <v>0</v>
      </c>
      <c r="AK23" s="593">
        <f t="shared" ca="1" si="24"/>
        <v>0</v>
      </c>
      <c r="AL23" s="593">
        <f t="shared" ca="1" si="25"/>
        <v>0</v>
      </c>
      <c r="AM23" s="593">
        <f t="shared" ca="1" si="26"/>
        <v>0</v>
      </c>
      <c r="AN23" s="593">
        <f t="shared" ca="1" si="27"/>
        <v>0</v>
      </c>
      <c r="AO23" s="593">
        <f t="shared" ca="1" si="28"/>
        <v>0</v>
      </c>
      <c r="AP23" s="593">
        <f t="shared" ca="1" si="29"/>
        <v>0</v>
      </c>
    </row>
    <row r="24" spans="1:42" s="594" customFormat="1" ht="11.25" outlineLevel="1" x14ac:dyDescent="0.2">
      <c r="A24" s="590"/>
      <c r="B24" s="591" t="str">
        <f>IF(D24&lt;&gt;"",
IF(ISERROR(MATCH(D24,'Ist Aktuell Monat 01'!A:A,0))=FALSE,INDEX('Ist Aktuell Monat 01'!B:B,MATCH(D24,'Ist Aktuell Monat 01'!A:A,0)),
IF(ISERROR(MATCH(D24,'Ist Aktuell Monat 02'!A:A,0))=FALSE,INDEX('Ist Aktuell Monat 02'!B:B,MATCH(D24,'Ist Aktuell Monat 02'!A:A,0)),
IF(ISERROR(MATCH(D24,'Ist Aktuell Monat 03'!A:A,0))=FALSE,INDEX('Ist Aktuell Monat 03'!B:B,MATCH(D24,'Ist Aktuell Monat 03'!A:A,0)),
IF(ISERROR(MATCH(D24,'Ist Aktuell Monat 04'!A:A,0))=FALSE,INDEX('Ist Aktuell Monat 04'!B:B,MATCH(D24,'Ist Aktuell Monat 04'!A:A,0)),
IF(ISERROR(MATCH(D24,'Ist Aktuell Monat 05'!A:A,0))=FALSE,INDEX('Ist Aktuell Monat 05'!B:B,MATCH(D24,'Ist Aktuell Monat 05'!A:A,0)),
IF(ISERROR(MATCH(D24,'Ist Aktuell Monat 06'!A:A,0))=FALSE,INDEX('Ist Aktuell Monat 06'!B:B,MATCH(D24,'Ist Aktuell Monat 06'!A:A,0)),
IF(ISERROR(MATCH(D24,'Ist Aktuell Monat 07'!A:A,0))=FALSE,INDEX('Ist Aktuell Monat 07'!B:B,MATCH(D24,'Ist Aktuell Monat 07'!A:A,0)),
IF(ISERROR(MATCH(D24,'Ist Aktuell Monat 08'!A:A,0))=FALSE,INDEX('Ist Aktuell Monat 08'!B:B,MATCH(D24,'Ist Aktuell Monat 08'!A:A,0)),
IF(ISERROR(MATCH(D24,'Ist Aktuell Monat 09'!A:A,0))=FALSE,INDEX('Ist Aktuell Monat 09'!B:B,MATCH(D24,'Ist Aktuell Monat 09'!A:A,0)),
IF(ISERROR(MATCH(D24,'Ist Aktuell Monat 10'!A:A,0))=FALSE,INDEX('Ist Aktuell Monat 10'!B:B,MATCH(D24,'Ist Aktuell Monat 10'!A:A,0)),
IF(ISERROR(MATCH(D24,'Ist Aktuell Monat 11'!A:A,0))=FALSE,INDEX('Ist Aktuell Monat 11'!B:B,MATCH(D24,'Ist Aktuell Monat 11'!A:A,0)),
IF(ISERROR(MATCH(D24,'Ist Aktuell Monat 12'!A:A,0))=FALSE,INDEX('Ist Aktuell Monat 12'!B:B,MATCH(D24,'Ist Aktuell Monat 12'!A:A,0)),
"{Konto unbekannt}"
)))))))))))),"")</f>
        <v/>
      </c>
      <c r="C24" s="591"/>
      <c r="D24" s="590"/>
      <c r="E24" s="592">
        <f t="shared" si="30"/>
        <v>-1</v>
      </c>
      <c r="F24" s="590" t="s">
        <v>996</v>
      </c>
      <c r="G24" s="593">
        <f ca="1">$E24*(-SUMIF(INDIRECT(G$3),'Struktur Aktuell'!$D24,INDIRECT(G$4))+SUMIF(INDIRECT(G$3),'Struktur Aktuell'!$D24,INDIRECT(G$5)))</f>
        <v>0</v>
      </c>
      <c r="H24" s="593">
        <f ca="1">$E24*(-SUMIF(INDIRECT(H$3),'Struktur Aktuell'!$D24,INDIRECT(H$4))+SUMIF(INDIRECT(H$3),'Struktur Aktuell'!$D24,INDIRECT(H$5)))</f>
        <v>0</v>
      </c>
      <c r="I24" s="593">
        <f ca="1">$E24*(-SUMIF(INDIRECT(I$3),'Struktur Aktuell'!$D24,INDIRECT(I$4))+SUMIF(INDIRECT(I$3),'Struktur Aktuell'!$D24,INDIRECT(I$5)))</f>
        <v>0</v>
      </c>
      <c r="J24" s="593">
        <f ca="1">$E24*(-SUMIF(INDIRECT(J$3),'Struktur Aktuell'!$D24,INDIRECT(J$4))+SUMIF(INDIRECT(J$3),'Struktur Aktuell'!$D24,INDIRECT(J$5)))</f>
        <v>0</v>
      </c>
      <c r="K24" s="593">
        <f ca="1">$E24*(-SUMIF(INDIRECT(K$3),'Struktur Aktuell'!$D24,INDIRECT(K$4))+SUMIF(INDIRECT(K$3),'Struktur Aktuell'!$D24,INDIRECT(K$5)))</f>
        <v>0</v>
      </c>
      <c r="L24" s="593">
        <f ca="1">$E24*(-SUMIF(INDIRECT(L$3),'Struktur Aktuell'!$D24,INDIRECT(L$4))+SUMIF(INDIRECT(L$3),'Struktur Aktuell'!$D24,INDIRECT(L$5)))</f>
        <v>0</v>
      </c>
      <c r="M24" s="593">
        <f ca="1">$E24*(-SUMIF(INDIRECT(M$3),'Struktur Aktuell'!$D24,INDIRECT(M$4))+SUMIF(INDIRECT(M$3),'Struktur Aktuell'!$D24,INDIRECT(M$5)))</f>
        <v>0</v>
      </c>
      <c r="N24" s="593">
        <f ca="1">$E24*(-SUMIF(INDIRECT(N$3),'Struktur Aktuell'!$D24,INDIRECT(N$4))+SUMIF(INDIRECT(N$3),'Struktur Aktuell'!$D24,INDIRECT(N$5)))</f>
        <v>0</v>
      </c>
      <c r="O24" s="593">
        <f ca="1">$E24*(-SUMIF(INDIRECT(O$3),'Struktur Aktuell'!$D24,INDIRECT(O$4))+SUMIF(INDIRECT(O$3),'Struktur Aktuell'!$D24,INDIRECT(O$5)))</f>
        <v>0</v>
      </c>
      <c r="P24" s="593">
        <f ca="1">$E24*(-SUMIF(INDIRECT(P$3),'Struktur Aktuell'!$D24,INDIRECT(P$4))+SUMIF(INDIRECT(P$3),'Struktur Aktuell'!$D24,INDIRECT(P$5)))</f>
        <v>0</v>
      </c>
      <c r="Q24" s="593">
        <f ca="1">$E24*(-SUMIF(INDIRECT(Q$3),'Struktur Aktuell'!$D24,INDIRECT(Q$4))+SUMIF(INDIRECT(Q$3),'Struktur Aktuell'!$D24,INDIRECT(Q$5)))</f>
        <v>0</v>
      </c>
      <c r="R24" s="593">
        <f ca="1">$E24*(-SUMIF(INDIRECT(R$3),'Struktur Aktuell'!$D24,INDIRECT(R$4))+SUMIF(INDIRECT(R$3),'Struktur Aktuell'!$D24,INDIRECT(R$5)))</f>
        <v>0</v>
      </c>
      <c r="S24" s="593">
        <f ca="1">$E24*(-SUMIF(INDIRECT(S$3),'Struktur Aktuell'!$D24,INDIRECT(S$4))+SUMIF(INDIRECT(S$3),'Struktur Aktuell'!$D24,INDIRECT(S$5)))</f>
        <v>0</v>
      </c>
      <c r="T24" s="593">
        <f ca="1">$E24*(-SUMIF(INDIRECT(T$3),'Struktur Aktuell'!$D24,INDIRECT(T$4))+SUMIF(INDIRECT(T$3),'Struktur Aktuell'!$D24,INDIRECT(T$5)))</f>
        <v>0</v>
      </c>
      <c r="U24" s="593">
        <f ca="1">$E24*(-SUMIF(INDIRECT(U$3),'Struktur Aktuell'!$D24,INDIRECT(U$4))+SUMIF(INDIRECT(U$3),'Struktur Aktuell'!$D24,INDIRECT(U$5)))</f>
        <v>0</v>
      </c>
      <c r="V24" s="593">
        <f ca="1">$E24*(-SUMIF(INDIRECT(V$3),'Struktur Aktuell'!$D24,INDIRECT(V$4))+SUMIF(INDIRECT(V$3),'Struktur Aktuell'!$D24,INDIRECT(V$5)))</f>
        <v>0</v>
      </c>
      <c r="W24" s="593">
        <f ca="1">$E24*(-SUMIF(INDIRECT(W$3),'Struktur Aktuell'!$D24,INDIRECT(W$4))+SUMIF(INDIRECT(W$3),'Struktur Aktuell'!$D24,INDIRECT(W$5)))</f>
        <v>0</v>
      </c>
      <c r="X24" s="593">
        <f ca="1">$E24*(-SUMIF(INDIRECT(X$3),'Struktur Aktuell'!$D24,INDIRECT(X$4))+SUMIF(INDIRECT(X$3),'Struktur Aktuell'!$D24,INDIRECT(X$5)))</f>
        <v>0</v>
      </c>
      <c r="Y24" s="593">
        <f ca="1">$E24*(-SUMIF(INDIRECT(Y$3),'Struktur Aktuell'!$D24,INDIRECT(Y$4))+SUMIF(INDIRECT(Y$3),'Struktur Aktuell'!$D24,INDIRECT(Y$5)))</f>
        <v>0</v>
      </c>
      <c r="Z24" s="593">
        <f ca="1">$E24*(-SUMIF(INDIRECT(Z$3),'Struktur Aktuell'!$D24,INDIRECT(Z$4))+SUMIF(INDIRECT(Z$3),'Struktur Aktuell'!$D24,INDIRECT(Z$5)))</f>
        <v>0</v>
      </c>
      <c r="AA24" s="593">
        <f ca="1">$E24*(-SUMIF(INDIRECT(AA$3),'Struktur Aktuell'!$D24,INDIRECT(AA$4))+SUMIF(INDIRECT(AA$3),'Struktur Aktuell'!$D24,INDIRECT(AA$5)))</f>
        <v>0</v>
      </c>
      <c r="AB24" s="593">
        <f ca="1">$E24*(-SUMIF(INDIRECT(AB$3),'Struktur Aktuell'!$D24,INDIRECT(AB$4))+SUMIF(INDIRECT(AB$3),'Struktur Aktuell'!$D24,INDIRECT(AB$5)))</f>
        <v>0</v>
      </c>
      <c r="AC24" s="593">
        <f ca="1">$E24*(-SUMIF(INDIRECT(AC$3),'Struktur Aktuell'!$D24,INDIRECT(AC$4))+SUMIF(INDIRECT(AC$3),'Struktur Aktuell'!$D24,INDIRECT(AC$5)))</f>
        <v>0</v>
      </c>
      <c r="AD24" s="593">
        <f ca="1">$E24*(-SUMIF(INDIRECT(AD$3),'Struktur Aktuell'!$D24,INDIRECT(AD$4))+SUMIF(INDIRECT(AD$3),'Struktur Aktuell'!$D24,INDIRECT(AD$5)))</f>
        <v>0</v>
      </c>
      <c r="AE24" s="593">
        <f t="shared" ca="1" si="18"/>
        <v>0</v>
      </c>
      <c r="AF24" s="593">
        <f t="shared" ca="1" si="19"/>
        <v>0</v>
      </c>
      <c r="AG24" s="593">
        <f t="shared" ca="1" si="20"/>
        <v>0</v>
      </c>
      <c r="AH24" s="593">
        <f t="shared" ca="1" si="21"/>
        <v>0</v>
      </c>
      <c r="AI24" s="593">
        <f t="shared" ca="1" si="22"/>
        <v>0</v>
      </c>
      <c r="AJ24" s="593">
        <f t="shared" ca="1" si="23"/>
        <v>0</v>
      </c>
      <c r="AK24" s="593">
        <f t="shared" ca="1" si="24"/>
        <v>0</v>
      </c>
      <c r="AL24" s="593">
        <f t="shared" ca="1" si="25"/>
        <v>0</v>
      </c>
      <c r="AM24" s="593">
        <f t="shared" ca="1" si="26"/>
        <v>0</v>
      </c>
      <c r="AN24" s="593">
        <f t="shared" ca="1" si="27"/>
        <v>0</v>
      </c>
      <c r="AO24" s="593">
        <f t="shared" ca="1" si="28"/>
        <v>0</v>
      </c>
      <c r="AP24" s="593">
        <f t="shared" ca="1" si="29"/>
        <v>0</v>
      </c>
    </row>
    <row r="25" spans="1:42" s="594" customFormat="1" ht="11.25" outlineLevel="1" x14ac:dyDescent="0.2">
      <c r="A25" s="590"/>
      <c r="B25" s="591" t="str">
        <f>IF(D25&lt;&gt;"",
IF(ISERROR(MATCH(D25,'Ist Aktuell Monat 01'!A:A,0))=FALSE,INDEX('Ist Aktuell Monat 01'!B:B,MATCH(D25,'Ist Aktuell Monat 01'!A:A,0)),
IF(ISERROR(MATCH(D25,'Ist Aktuell Monat 02'!A:A,0))=FALSE,INDEX('Ist Aktuell Monat 02'!B:B,MATCH(D25,'Ist Aktuell Monat 02'!A:A,0)),
IF(ISERROR(MATCH(D25,'Ist Aktuell Monat 03'!A:A,0))=FALSE,INDEX('Ist Aktuell Monat 03'!B:B,MATCH(D25,'Ist Aktuell Monat 03'!A:A,0)),
IF(ISERROR(MATCH(D25,'Ist Aktuell Monat 04'!A:A,0))=FALSE,INDEX('Ist Aktuell Monat 04'!B:B,MATCH(D25,'Ist Aktuell Monat 04'!A:A,0)),
IF(ISERROR(MATCH(D25,'Ist Aktuell Monat 05'!A:A,0))=FALSE,INDEX('Ist Aktuell Monat 05'!B:B,MATCH(D25,'Ist Aktuell Monat 05'!A:A,0)),
IF(ISERROR(MATCH(D25,'Ist Aktuell Monat 06'!A:A,0))=FALSE,INDEX('Ist Aktuell Monat 06'!B:B,MATCH(D25,'Ist Aktuell Monat 06'!A:A,0)),
IF(ISERROR(MATCH(D25,'Ist Aktuell Monat 07'!A:A,0))=FALSE,INDEX('Ist Aktuell Monat 07'!B:B,MATCH(D25,'Ist Aktuell Monat 07'!A:A,0)),
IF(ISERROR(MATCH(D25,'Ist Aktuell Monat 08'!A:A,0))=FALSE,INDEX('Ist Aktuell Monat 08'!B:B,MATCH(D25,'Ist Aktuell Monat 08'!A:A,0)),
IF(ISERROR(MATCH(D25,'Ist Aktuell Monat 09'!A:A,0))=FALSE,INDEX('Ist Aktuell Monat 09'!B:B,MATCH(D25,'Ist Aktuell Monat 09'!A:A,0)),
IF(ISERROR(MATCH(D25,'Ist Aktuell Monat 10'!A:A,0))=FALSE,INDEX('Ist Aktuell Monat 10'!B:B,MATCH(D25,'Ist Aktuell Monat 10'!A:A,0)),
IF(ISERROR(MATCH(D25,'Ist Aktuell Monat 11'!A:A,0))=FALSE,INDEX('Ist Aktuell Monat 11'!B:B,MATCH(D25,'Ist Aktuell Monat 11'!A:A,0)),
IF(ISERROR(MATCH(D25,'Ist Aktuell Monat 12'!A:A,0))=FALSE,INDEX('Ist Aktuell Monat 12'!B:B,MATCH(D25,'Ist Aktuell Monat 12'!A:A,0)),
"{Konto unbekannt}"
)))))))))))),"")</f>
        <v/>
      </c>
      <c r="C25" s="591"/>
      <c r="D25" s="590"/>
      <c r="E25" s="592">
        <f t="shared" si="30"/>
        <v>-1</v>
      </c>
      <c r="F25" s="590" t="s">
        <v>996</v>
      </c>
      <c r="G25" s="593">
        <f ca="1">$E25*(-SUMIF(INDIRECT(G$3),'Struktur Aktuell'!$D25,INDIRECT(G$4))+SUMIF(INDIRECT(G$3),'Struktur Aktuell'!$D25,INDIRECT(G$5)))</f>
        <v>0</v>
      </c>
      <c r="H25" s="593">
        <f ca="1">$E25*(-SUMIF(INDIRECT(H$3),'Struktur Aktuell'!$D25,INDIRECT(H$4))+SUMIF(INDIRECT(H$3),'Struktur Aktuell'!$D25,INDIRECT(H$5)))</f>
        <v>0</v>
      </c>
      <c r="I25" s="593">
        <f ca="1">$E25*(-SUMIF(INDIRECT(I$3),'Struktur Aktuell'!$D25,INDIRECT(I$4))+SUMIF(INDIRECT(I$3),'Struktur Aktuell'!$D25,INDIRECT(I$5)))</f>
        <v>0</v>
      </c>
      <c r="J25" s="593">
        <f ca="1">$E25*(-SUMIF(INDIRECT(J$3),'Struktur Aktuell'!$D25,INDIRECT(J$4))+SUMIF(INDIRECT(J$3),'Struktur Aktuell'!$D25,INDIRECT(J$5)))</f>
        <v>0</v>
      </c>
      <c r="K25" s="593">
        <f ca="1">$E25*(-SUMIF(INDIRECT(K$3),'Struktur Aktuell'!$D25,INDIRECT(K$4))+SUMIF(INDIRECT(K$3),'Struktur Aktuell'!$D25,INDIRECT(K$5)))</f>
        <v>0</v>
      </c>
      <c r="L25" s="593">
        <f ca="1">$E25*(-SUMIF(INDIRECT(L$3),'Struktur Aktuell'!$D25,INDIRECT(L$4))+SUMIF(INDIRECT(L$3),'Struktur Aktuell'!$D25,INDIRECT(L$5)))</f>
        <v>0</v>
      </c>
      <c r="M25" s="593">
        <f ca="1">$E25*(-SUMIF(INDIRECT(M$3),'Struktur Aktuell'!$D25,INDIRECT(M$4))+SUMIF(INDIRECT(M$3),'Struktur Aktuell'!$D25,INDIRECT(M$5)))</f>
        <v>0</v>
      </c>
      <c r="N25" s="593">
        <f ca="1">$E25*(-SUMIF(INDIRECT(N$3),'Struktur Aktuell'!$D25,INDIRECT(N$4))+SUMIF(INDIRECT(N$3),'Struktur Aktuell'!$D25,INDIRECT(N$5)))</f>
        <v>0</v>
      </c>
      <c r="O25" s="593">
        <f ca="1">$E25*(-SUMIF(INDIRECT(O$3),'Struktur Aktuell'!$D25,INDIRECT(O$4))+SUMIF(INDIRECT(O$3),'Struktur Aktuell'!$D25,INDIRECT(O$5)))</f>
        <v>0</v>
      </c>
      <c r="P25" s="593">
        <f ca="1">$E25*(-SUMIF(INDIRECT(P$3),'Struktur Aktuell'!$D25,INDIRECT(P$4))+SUMIF(INDIRECT(P$3),'Struktur Aktuell'!$D25,INDIRECT(P$5)))</f>
        <v>0</v>
      </c>
      <c r="Q25" s="593">
        <f ca="1">$E25*(-SUMIF(INDIRECT(Q$3),'Struktur Aktuell'!$D25,INDIRECT(Q$4))+SUMIF(INDIRECT(Q$3),'Struktur Aktuell'!$D25,INDIRECT(Q$5)))</f>
        <v>0</v>
      </c>
      <c r="R25" s="593">
        <f ca="1">$E25*(-SUMIF(INDIRECT(R$3),'Struktur Aktuell'!$D25,INDIRECT(R$4))+SUMIF(INDIRECT(R$3),'Struktur Aktuell'!$D25,INDIRECT(R$5)))</f>
        <v>0</v>
      </c>
      <c r="S25" s="593">
        <f ca="1">$E25*(-SUMIF(INDIRECT(S$3),'Struktur Aktuell'!$D25,INDIRECT(S$4))+SUMIF(INDIRECT(S$3),'Struktur Aktuell'!$D25,INDIRECT(S$5)))</f>
        <v>0</v>
      </c>
      <c r="T25" s="593">
        <f ca="1">$E25*(-SUMIF(INDIRECT(T$3),'Struktur Aktuell'!$D25,INDIRECT(T$4))+SUMIF(INDIRECT(T$3),'Struktur Aktuell'!$D25,INDIRECT(T$5)))</f>
        <v>0</v>
      </c>
      <c r="U25" s="593">
        <f ca="1">$E25*(-SUMIF(INDIRECT(U$3),'Struktur Aktuell'!$D25,INDIRECT(U$4))+SUMIF(INDIRECT(U$3),'Struktur Aktuell'!$D25,INDIRECT(U$5)))</f>
        <v>0</v>
      </c>
      <c r="V25" s="593">
        <f ca="1">$E25*(-SUMIF(INDIRECT(V$3),'Struktur Aktuell'!$D25,INDIRECT(V$4))+SUMIF(INDIRECT(V$3),'Struktur Aktuell'!$D25,INDIRECT(V$5)))</f>
        <v>0</v>
      </c>
      <c r="W25" s="593">
        <f ca="1">$E25*(-SUMIF(INDIRECT(W$3),'Struktur Aktuell'!$D25,INDIRECT(W$4))+SUMIF(INDIRECT(W$3),'Struktur Aktuell'!$D25,INDIRECT(W$5)))</f>
        <v>0</v>
      </c>
      <c r="X25" s="593">
        <f ca="1">$E25*(-SUMIF(INDIRECT(X$3),'Struktur Aktuell'!$D25,INDIRECT(X$4))+SUMIF(INDIRECT(X$3),'Struktur Aktuell'!$D25,INDIRECT(X$5)))</f>
        <v>0</v>
      </c>
      <c r="Y25" s="593">
        <f ca="1">$E25*(-SUMIF(INDIRECT(Y$3),'Struktur Aktuell'!$D25,INDIRECT(Y$4))+SUMIF(INDIRECT(Y$3),'Struktur Aktuell'!$D25,INDIRECT(Y$5)))</f>
        <v>0</v>
      </c>
      <c r="Z25" s="593">
        <f ca="1">$E25*(-SUMIF(INDIRECT(Z$3),'Struktur Aktuell'!$D25,INDIRECT(Z$4))+SUMIF(INDIRECT(Z$3),'Struktur Aktuell'!$D25,INDIRECT(Z$5)))</f>
        <v>0</v>
      </c>
      <c r="AA25" s="593">
        <f ca="1">$E25*(-SUMIF(INDIRECT(AA$3),'Struktur Aktuell'!$D25,INDIRECT(AA$4))+SUMIF(INDIRECT(AA$3),'Struktur Aktuell'!$D25,INDIRECT(AA$5)))</f>
        <v>0</v>
      </c>
      <c r="AB25" s="593">
        <f ca="1">$E25*(-SUMIF(INDIRECT(AB$3),'Struktur Aktuell'!$D25,INDIRECT(AB$4))+SUMIF(INDIRECT(AB$3),'Struktur Aktuell'!$D25,INDIRECT(AB$5)))</f>
        <v>0</v>
      </c>
      <c r="AC25" s="593">
        <f ca="1">$E25*(-SUMIF(INDIRECT(AC$3),'Struktur Aktuell'!$D25,INDIRECT(AC$4))+SUMIF(INDIRECT(AC$3),'Struktur Aktuell'!$D25,INDIRECT(AC$5)))</f>
        <v>0</v>
      </c>
      <c r="AD25" s="593">
        <f ca="1">$E25*(-SUMIF(INDIRECT(AD$3),'Struktur Aktuell'!$D25,INDIRECT(AD$4))+SUMIF(INDIRECT(AD$3),'Struktur Aktuell'!$D25,INDIRECT(AD$5)))</f>
        <v>0</v>
      </c>
      <c r="AE25" s="593">
        <f t="shared" ca="1" si="18"/>
        <v>0</v>
      </c>
      <c r="AF25" s="593">
        <f t="shared" ca="1" si="19"/>
        <v>0</v>
      </c>
      <c r="AG25" s="593">
        <f t="shared" ca="1" si="20"/>
        <v>0</v>
      </c>
      <c r="AH25" s="593">
        <f t="shared" ca="1" si="21"/>
        <v>0</v>
      </c>
      <c r="AI25" s="593">
        <f t="shared" ca="1" si="22"/>
        <v>0</v>
      </c>
      <c r="AJ25" s="593">
        <f t="shared" ca="1" si="23"/>
        <v>0</v>
      </c>
      <c r="AK25" s="593">
        <f t="shared" ca="1" si="24"/>
        <v>0</v>
      </c>
      <c r="AL25" s="593">
        <f t="shared" ca="1" si="25"/>
        <v>0</v>
      </c>
      <c r="AM25" s="593">
        <f t="shared" ca="1" si="26"/>
        <v>0</v>
      </c>
      <c r="AN25" s="593">
        <f t="shared" ca="1" si="27"/>
        <v>0</v>
      </c>
      <c r="AO25" s="593">
        <f t="shared" ca="1" si="28"/>
        <v>0</v>
      </c>
      <c r="AP25" s="593">
        <f t="shared" ca="1" si="29"/>
        <v>0</v>
      </c>
    </row>
    <row r="26" spans="1:42" s="589" customFormat="1" x14ac:dyDescent="0.2">
      <c r="A26" s="585">
        <v>2</v>
      </c>
      <c r="B26" s="586" t="s">
        <v>997</v>
      </c>
      <c r="C26" s="587">
        <f ca="1">SUM(G26:R26)</f>
        <v>0</v>
      </c>
      <c r="D26" s="587"/>
      <c r="E26" s="588">
        <f t="shared" si="30"/>
        <v>1</v>
      </c>
      <c r="F26" s="585"/>
      <c r="G26" s="587">
        <f t="shared" ref="G26:R26" ca="1" si="31">SUM(G27:G34)</f>
        <v>0</v>
      </c>
      <c r="H26" s="587">
        <f t="shared" ca="1" si="31"/>
        <v>0</v>
      </c>
      <c r="I26" s="587">
        <f t="shared" ca="1" si="31"/>
        <v>0</v>
      </c>
      <c r="J26" s="587">
        <f t="shared" ca="1" si="31"/>
        <v>0</v>
      </c>
      <c r="K26" s="587">
        <f t="shared" ca="1" si="31"/>
        <v>0</v>
      </c>
      <c r="L26" s="587">
        <f t="shared" ca="1" si="31"/>
        <v>0</v>
      </c>
      <c r="M26" s="587">
        <f t="shared" ca="1" si="31"/>
        <v>0</v>
      </c>
      <c r="N26" s="587">
        <f t="shared" ca="1" si="31"/>
        <v>0</v>
      </c>
      <c r="O26" s="587">
        <f t="shared" ca="1" si="31"/>
        <v>0</v>
      </c>
      <c r="P26" s="587">
        <f t="shared" ca="1" si="31"/>
        <v>0</v>
      </c>
      <c r="Q26" s="587">
        <f t="shared" ca="1" si="31"/>
        <v>0</v>
      </c>
      <c r="R26" s="587">
        <f t="shared" ca="1" si="31"/>
        <v>0</v>
      </c>
      <c r="S26" s="587">
        <f t="shared" ref="S26:AP26" ca="1" si="32">SUM(S27:S34)</f>
        <v>0</v>
      </c>
      <c r="T26" s="587">
        <f t="shared" ca="1" si="32"/>
        <v>0</v>
      </c>
      <c r="U26" s="587">
        <f t="shared" ca="1" si="32"/>
        <v>0</v>
      </c>
      <c r="V26" s="587">
        <f t="shared" ca="1" si="32"/>
        <v>0</v>
      </c>
      <c r="W26" s="587">
        <f t="shared" ca="1" si="32"/>
        <v>0</v>
      </c>
      <c r="X26" s="587">
        <f t="shared" ca="1" si="32"/>
        <v>0</v>
      </c>
      <c r="Y26" s="587">
        <f t="shared" ca="1" si="32"/>
        <v>0</v>
      </c>
      <c r="Z26" s="587">
        <f t="shared" ca="1" si="32"/>
        <v>0</v>
      </c>
      <c r="AA26" s="587">
        <f t="shared" ca="1" si="32"/>
        <v>0</v>
      </c>
      <c r="AB26" s="587">
        <f t="shared" ca="1" si="32"/>
        <v>0</v>
      </c>
      <c r="AC26" s="587">
        <f t="shared" ca="1" si="32"/>
        <v>0</v>
      </c>
      <c r="AD26" s="587">
        <f t="shared" ca="1" si="32"/>
        <v>0</v>
      </c>
      <c r="AE26" s="587">
        <f t="shared" ca="1" si="32"/>
        <v>0</v>
      </c>
      <c r="AF26" s="587">
        <f t="shared" ca="1" si="32"/>
        <v>0</v>
      </c>
      <c r="AG26" s="587">
        <f t="shared" ca="1" si="32"/>
        <v>0</v>
      </c>
      <c r="AH26" s="587">
        <f t="shared" ca="1" si="32"/>
        <v>0</v>
      </c>
      <c r="AI26" s="587">
        <f t="shared" ca="1" si="32"/>
        <v>0</v>
      </c>
      <c r="AJ26" s="587">
        <f t="shared" ca="1" si="32"/>
        <v>0</v>
      </c>
      <c r="AK26" s="587">
        <f t="shared" ca="1" si="32"/>
        <v>0</v>
      </c>
      <c r="AL26" s="587">
        <f t="shared" ca="1" si="32"/>
        <v>0</v>
      </c>
      <c r="AM26" s="587">
        <f t="shared" ca="1" si="32"/>
        <v>0</v>
      </c>
      <c r="AN26" s="587">
        <f t="shared" ca="1" si="32"/>
        <v>0</v>
      </c>
      <c r="AO26" s="587">
        <f t="shared" ca="1" si="32"/>
        <v>0</v>
      </c>
      <c r="AP26" s="587">
        <f t="shared" ca="1" si="32"/>
        <v>0</v>
      </c>
    </row>
    <row r="27" spans="1:42" s="594" customFormat="1" ht="11.25" outlineLevel="1" x14ac:dyDescent="0.2">
      <c r="A27" s="590"/>
      <c r="B27" s="591" t="str">
        <f>IF(D27&lt;&gt;"",
IF(ISERROR(MATCH(D27,'Ist Aktuell Monat 01'!A:A,0))=FALSE,INDEX('Ist Aktuell Monat 01'!B:B,MATCH(D27,'Ist Aktuell Monat 01'!A:A,0)),
IF(ISERROR(MATCH(D27,'Ist Aktuell Monat 02'!A:A,0))=FALSE,INDEX('Ist Aktuell Monat 02'!B:B,MATCH(D27,'Ist Aktuell Monat 02'!A:A,0)),
IF(ISERROR(MATCH(D27,'Ist Aktuell Monat 03'!A:A,0))=FALSE,INDEX('Ist Aktuell Monat 03'!B:B,MATCH(D27,'Ist Aktuell Monat 03'!A:A,0)),
IF(ISERROR(MATCH(D27,'Ist Aktuell Monat 04'!A:A,0))=FALSE,INDEX('Ist Aktuell Monat 04'!B:B,MATCH(D27,'Ist Aktuell Monat 04'!A:A,0)),
IF(ISERROR(MATCH(D27,'Ist Aktuell Monat 05'!A:A,0))=FALSE,INDEX('Ist Aktuell Monat 05'!B:B,MATCH(D27,'Ist Aktuell Monat 05'!A:A,0)),
IF(ISERROR(MATCH(D27,'Ist Aktuell Monat 06'!A:A,0))=FALSE,INDEX('Ist Aktuell Monat 06'!B:B,MATCH(D27,'Ist Aktuell Monat 06'!A:A,0)),
IF(ISERROR(MATCH(D27,'Ist Aktuell Monat 07'!A:A,0))=FALSE,INDEX('Ist Aktuell Monat 07'!B:B,MATCH(D27,'Ist Aktuell Monat 07'!A:A,0)),
IF(ISERROR(MATCH(D27,'Ist Aktuell Monat 08'!A:A,0))=FALSE,INDEX('Ist Aktuell Monat 08'!B:B,MATCH(D27,'Ist Aktuell Monat 08'!A:A,0)),
IF(ISERROR(MATCH(D27,'Ist Aktuell Monat 09'!A:A,0))=FALSE,INDEX('Ist Aktuell Monat 09'!B:B,MATCH(D27,'Ist Aktuell Monat 09'!A:A,0)),
IF(ISERROR(MATCH(D27,'Ist Aktuell Monat 10'!A:A,0))=FALSE,INDEX('Ist Aktuell Monat 10'!B:B,MATCH(D27,'Ist Aktuell Monat 10'!A:A,0)),
IF(ISERROR(MATCH(D27,'Ist Aktuell Monat 11'!A:A,0))=FALSE,INDEX('Ist Aktuell Monat 11'!B:B,MATCH(D27,'Ist Aktuell Monat 11'!A:A,0)),
IF(ISERROR(MATCH(D27,'Ist Aktuell Monat 12'!A:A,0))=FALSE,INDEX('Ist Aktuell Monat 12'!B:B,MATCH(D27,'Ist Aktuell Monat 12'!A:A,0)),
"{Konto unbekannt}"
)))))))))))),"")</f>
        <v/>
      </c>
      <c r="C27" s="591"/>
      <c r="D27" s="590"/>
      <c r="E27" s="592">
        <f t="shared" si="30"/>
        <v>-1</v>
      </c>
      <c r="F27" s="590" t="s">
        <v>996</v>
      </c>
      <c r="G27" s="593">
        <f ca="1">$E27*(-SUMIF(INDIRECT(G$3),'Struktur Aktuell'!$D27,INDIRECT(G$4))+SUMIF(INDIRECT(G$3),'Struktur Aktuell'!$D27,INDIRECT(G$5)))</f>
        <v>0</v>
      </c>
      <c r="H27" s="593">
        <f ca="1">$E27*(-SUMIF(INDIRECT(H$3),'Struktur Aktuell'!$D27,INDIRECT(H$4))+SUMIF(INDIRECT(H$3),'Struktur Aktuell'!$D27,INDIRECT(H$5)))</f>
        <v>0</v>
      </c>
      <c r="I27" s="593">
        <f ca="1">$E27*(-SUMIF(INDIRECT(I$3),'Struktur Aktuell'!$D27,INDIRECT(I$4))+SUMIF(INDIRECT(I$3),'Struktur Aktuell'!$D27,INDIRECT(I$5)))</f>
        <v>0</v>
      </c>
      <c r="J27" s="593">
        <f ca="1">$E27*(-SUMIF(INDIRECT(J$3),'Struktur Aktuell'!$D27,INDIRECT(J$4))+SUMIF(INDIRECT(J$3),'Struktur Aktuell'!$D27,INDIRECT(J$5)))</f>
        <v>0</v>
      </c>
      <c r="K27" s="593">
        <f ca="1">$E27*(-SUMIF(INDIRECT(K$3),'Struktur Aktuell'!$D27,INDIRECT(K$4))+SUMIF(INDIRECT(K$3),'Struktur Aktuell'!$D27,INDIRECT(K$5)))</f>
        <v>0</v>
      </c>
      <c r="L27" s="593">
        <f ca="1">$E27*(-SUMIF(INDIRECT(L$3),'Struktur Aktuell'!$D27,INDIRECT(L$4))+SUMIF(INDIRECT(L$3),'Struktur Aktuell'!$D27,INDIRECT(L$5)))</f>
        <v>0</v>
      </c>
      <c r="M27" s="593">
        <f ca="1">$E27*(-SUMIF(INDIRECT(M$3),'Struktur Aktuell'!$D27,INDIRECT(M$4))+SUMIF(INDIRECT(M$3),'Struktur Aktuell'!$D27,INDIRECT(M$5)))</f>
        <v>0</v>
      </c>
      <c r="N27" s="593">
        <f ca="1">$E27*(-SUMIF(INDIRECT(N$3),'Struktur Aktuell'!$D27,INDIRECT(N$4))+SUMIF(INDIRECT(N$3),'Struktur Aktuell'!$D27,INDIRECT(N$5)))</f>
        <v>0</v>
      </c>
      <c r="O27" s="593">
        <f ca="1">$E27*(-SUMIF(INDIRECT(O$3),'Struktur Aktuell'!$D27,INDIRECT(O$4))+SUMIF(INDIRECT(O$3),'Struktur Aktuell'!$D27,INDIRECT(O$5)))</f>
        <v>0</v>
      </c>
      <c r="P27" s="593">
        <f ca="1">$E27*(-SUMIF(INDIRECT(P$3),'Struktur Aktuell'!$D27,INDIRECT(P$4))+SUMIF(INDIRECT(P$3),'Struktur Aktuell'!$D27,INDIRECT(P$5)))</f>
        <v>0</v>
      </c>
      <c r="Q27" s="593">
        <f ca="1">$E27*(-SUMIF(INDIRECT(Q$3),'Struktur Aktuell'!$D27,INDIRECT(Q$4))+SUMIF(INDIRECT(Q$3),'Struktur Aktuell'!$D27,INDIRECT(Q$5)))</f>
        <v>0</v>
      </c>
      <c r="R27" s="593">
        <f ca="1">$E27*(-SUMIF(INDIRECT(R$3),'Struktur Aktuell'!$D27,INDIRECT(R$4))+SUMIF(INDIRECT(R$3),'Struktur Aktuell'!$D27,INDIRECT(R$5)))</f>
        <v>0</v>
      </c>
      <c r="S27" s="593">
        <f ca="1">$E27*(-SUMIF(INDIRECT(S$3),'Struktur Aktuell'!$D27,INDIRECT(S$4))+SUMIF(INDIRECT(S$3),'Struktur Aktuell'!$D27,INDIRECT(S$5)))</f>
        <v>0</v>
      </c>
      <c r="T27" s="593">
        <f ca="1">$E27*(-SUMIF(INDIRECT(T$3),'Struktur Aktuell'!$D27,INDIRECT(T$4))+SUMIF(INDIRECT(T$3),'Struktur Aktuell'!$D27,INDIRECT(T$5)))</f>
        <v>0</v>
      </c>
      <c r="U27" s="593">
        <f ca="1">$E27*(-SUMIF(INDIRECT(U$3),'Struktur Aktuell'!$D27,INDIRECT(U$4))+SUMIF(INDIRECT(U$3),'Struktur Aktuell'!$D27,INDIRECT(U$5)))</f>
        <v>0</v>
      </c>
      <c r="V27" s="593">
        <f ca="1">$E27*(-SUMIF(INDIRECT(V$3),'Struktur Aktuell'!$D27,INDIRECT(V$4))+SUMIF(INDIRECT(V$3),'Struktur Aktuell'!$D27,INDIRECT(V$5)))</f>
        <v>0</v>
      </c>
      <c r="W27" s="593">
        <f ca="1">$E27*(-SUMIF(INDIRECT(W$3),'Struktur Aktuell'!$D27,INDIRECT(W$4))+SUMIF(INDIRECT(W$3),'Struktur Aktuell'!$D27,INDIRECT(W$5)))</f>
        <v>0</v>
      </c>
      <c r="X27" s="593">
        <f ca="1">$E27*(-SUMIF(INDIRECT(X$3),'Struktur Aktuell'!$D27,INDIRECT(X$4))+SUMIF(INDIRECT(X$3),'Struktur Aktuell'!$D27,INDIRECT(X$5)))</f>
        <v>0</v>
      </c>
      <c r="Y27" s="593">
        <f ca="1">$E27*(-SUMIF(INDIRECT(Y$3),'Struktur Aktuell'!$D27,INDIRECT(Y$4))+SUMIF(INDIRECT(Y$3),'Struktur Aktuell'!$D27,INDIRECT(Y$5)))</f>
        <v>0</v>
      </c>
      <c r="Z27" s="593">
        <f ca="1">$E27*(-SUMIF(INDIRECT(Z$3),'Struktur Aktuell'!$D27,INDIRECT(Z$4))+SUMIF(INDIRECT(Z$3),'Struktur Aktuell'!$D27,INDIRECT(Z$5)))</f>
        <v>0</v>
      </c>
      <c r="AA27" s="593">
        <f ca="1">$E27*(-SUMIF(INDIRECT(AA$3),'Struktur Aktuell'!$D27,INDIRECT(AA$4))+SUMIF(INDIRECT(AA$3),'Struktur Aktuell'!$D27,INDIRECT(AA$5)))</f>
        <v>0</v>
      </c>
      <c r="AB27" s="593">
        <f ca="1">$E27*(-SUMIF(INDIRECT(AB$3),'Struktur Aktuell'!$D27,INDIRECT(AB$4))+SUMIF(INDIRECT(AB$3),'Struktur Aktuell'!$D27,INDIRECT(AB$5)))</f>
        <v>0</v>
      </c>
      <c r="AC27" s="593">
        <f ca="1">$E27*(-SUMIF(INDIRECT(AC$3),'Struktur Aktuell'!$D27,INDIRECT(AC$4))+SUMIF(INDIRECT(AC$3),'Struktur Aktuell'!$D27,INDIRECT(AC$5)))</f>
        <v>0</v>
      </c>
      <c r="AD27" s="593">
        <f ca="1">$E27*(-SUMIF(INDIRECT(AD$3),'Struktur Aktuell'!$D27,INDIRECT(AD$4))+SUMIF(INDIRECT(AD$3),'Struktur Aktuell'!$D27,INDIRECT(AD$5)))</f>
        <v>0</v>
      </c>
      <c r="AE27" s="593">
        <f t="shared" ref="AE27:AE34" ca="1" si="33">G27</f>
        <v>0</v>
      </c>
      <c r="AF27" s="593">
        <f t="shared" ref="AF27:AF34" ca="1" si="34">H27+AE27</f>
        <v>0</v>
      </c>
      <c r="AG27" s="593">
        <f t="shared" ref="AG27:AG34" ca="1" si="35">I27+AF27</f>
        <v>0</v>
      </c>
      <c r="AH27" s="593">
        <f t="shared" ref="AH27:AH34" ca="1" si="36">J27+AG27</f>
        <v>0</v>
      </c>
      <c r="AI27" s="593">
        <f t="shared" ref="AI27:AI34" ca="1" si="37">K27+AH27</f>
        <v>0</v>
      </c>
      <c r="AJ27" s="593">
        <f t="shared" ref="AJ27:AJ34" ca="1" si="38">L27+AI27</f>
        <v>0</v>
      </c>
      <c r="AK27" s="593">
        <f t="shared" ref="AK27:AK34" ca="1" si="39">M27+AJ27</f>
        <v>0</v>
      </c>
      <c r="AL27" s="593">
        <f t="shared" ref="AL27:AL34" ca="1" si="40">N27+AK27</f>
        <v>0</v>
      </c>
      <c r="AM27" s="593">
        <f t="shared" ref="AM27:AM34" ca="1" si="41">O27+AL27</f>
        <v>0</v>
      </c>
      <c r="AN27" s="593">
        <f t="shared" ref="AN27:AN34" ca="1" si="42">P27+AM27</f>
        <v>0</v>
      </c>
      <c r="AO27" s="593">
        <f t="shared" ref="AO27:AO34" ca="1" si="43">Q27+AN27</f>
        <v>0</v>
      </c>
      <c r="AP27" s="593">
        <f t="shared" ref="AP27:AP34" ca="1" si="44">R27+AO27</f>
        <v>0</v>
      </c>
    </row>
    <row r="28" spans="1:42" s="594" customFormat="1" ht="11.25" outlineLevel="1" x14ac:dyDescent="0.2">
      <c r="A28" s="590"/>
      <c r="B28" s="591" t="str">
        <f>IF(D28&lt;&gt;"",
IF(ISERROR(MATCH(D28,'Ist Aktuell Monat 01'!A:A,0))=FALSE,INDEX('Ist Aktuell Monat 01'!B:B,MATCH(D28,'Ist Aktuell Monat 01'!A:A,0)),
IF(ISERROR(MATCH(D28,'Ist Aktuell Monat 02'!A:A,0))=FALSE,INDEX('Ist Aktuell Monat 02'!B:B,MATCH(D28,'Ist Aktuell Monat 02'!A:A,0)),
IF(ISERROR(MATCH(D28,'Ist Aktuell Monat 03'!A:A,0))=FALSE,INDEX('Ist Aktuell Monat 03'!B:B,MATCH(D28,'Ist Aktuell Monat 03'!A:A,0)),
IF(ISERROR(MATCH(D28,'Ist Aktuell Monat 04'!A:A,0))=FALSE,INDEX('Ist Aktuell Monat 04'!B:B,MATCH(D28,'Ist Aktuell Monat 04'!A:A,0)),
IF(ISERROR(MATCH(D28,'Ist Aktuell Monat 05'!A:A,0))=FALSE,INDEX('Ist Aktuell Monat 05'!B:B,MATCH(D28,'Ist Aktuell Monat 05'!A:A,0)),
IF(ISERROR(MATCH(D28,'Ist Aktuell Monat 06'!A:A,0))=FALSE,INDEX('Ist Aktuell Monat 06'!B:B,MATCH(D28,'Ist Aktuell Monat 06'!A:A,0)),
IF(ISERROR(MATCH(D28,'Ist Aktuell Monat 07'!A:A,0))=FALSE,INDEX('Ist Aktuell Monat 07'!B:B,MATCH(D28,'Ist Aktuell Monat 07'!A:A,0)),
IF(ISERROR(MATCH(D28,'Ist Aktuell Monat 08'!A:A,0))=FALSE,INDEX('Ist Aktuell Monat 08'!B:B,MATCH(D28,'Ist Aktuell Monat 08'!A:A,0)),
IF(ISERROR(MATCH(D28,'Ist Aktuell Monat 09'!A:A,0))=FALSE,INDEX('Ist Aktuell Monat 09'!B:B,MATCH(D28,'Ist Aktuell Monat 09'!A:A,0)),
IF(ISERROR(MATCH(D28,'Ist Aktuell Monat 10'!A:A,0))=FALSE,INDEX('Ist Aktuell Monat 10'!B:B,MATCH(D28,'Ist Aktuell Monat 10'!A:A,0)),
IF(ISERROR(MATCH(D28,'Ist Aktuell Monat 11'!A:A,0))=FALSE,INDEX('Ist Aktuell Monat 11'!B:B,MATCH(D28,'Ist Aktuell Monat 11'!A:A,0)),
IF(ISERROR(MATCH(D28,'Ist Aktuell Monat 12'!A:A,0))=FALSE,INDEX('Ist Aktuell Monat 12'!B:B,MATCH(D28,'Ist Aktuell Monat 12'!A:A,0)),
"{Konto unbekannt}"
)))))))))))),"")</f>
        <v/>
      </c>
      <c r="C28" s="591"/>
      <c r="D28" s="590"/>
      <c r="E28" s="592">
        <f t="shared" si="30"/>
        <v>-1</v>
      </c>
      <c r="F28" s="590" t="s">
        <v>996</v>
      </c>
      <c r="G28" s="593">
        <f ca="1">$E28*(-SUMIF(INDIRECT(G$3),'Struktur Aktuell'!$D28,INDIRECT(G$4))+SUMIF(INDIRECT(G$3),'Struktur Aktuell'!$D28,INDIRECT(G$5)))</f>
        <v>0</v>
      </c>
      <c r="H28" s="593">
        <f ca="1">$E28*(-SUMIF(INDIRECT(H$3),'Struktur Aktuell'!$D28,INDIRECT(H$4))+SUMIF(INDIRECT(H$3),'Struktur Aktuell'!$D28,INDIRECT(H$5)))</f>
        <v>0</v>
      </c>
      <c r="I28" s="593">
        <f ca="1">$E28*(-SUMIF(INDIRECT(I$3),'Struktur Aktuell'!$D28,INDIRECT(I$4))+SUMIF(INDIRECT(I$3),'Struktur Aktuell'!$D28,INDIRECT(I$5)))</f>
        <v>0</v>
      </c>
      <c r="J28" s="593">
        <f ca="1">$E28*(-SUMIF(INDIRECT(J$3),'Struktur Aktuell'!$D28,INDIRECT(J$4))+SUMIF(INDIRECT(J$3),'Struktur Aktuell'!$D28,INDIRECT(J$5)))</f>
        <v>0</v>
      </c>
      <c r="K28" s="593">
        <f ca="1">$E28*(-SUMIF(INDIRECT(K$3),'Struktur Aktuell'!$D28,INDIRECT(K$4))+SUMIF(INDIRECT(K$3),'Struktur Aktuell'!$D28,INDIRECT(K$5)))</f>
        <v>0</v>
      </c>
      <c r="L28" s="593">
        <f ca="1">$E28*(-SUMIF(INDIRECT(L$3),'Struktur Aktuell'!$D28,INDIRECT(L$4))+SUMIF(INDIRECT(L$3),'Struktur Aktuell'!$D28,INDIRECT(L$5)))</f>
        <v>0</v>
      </c>
      <c r="M28" s="593">
        <f ca="1">$E28*(-SUMIF(INDIRECT(M$3),'Struktur Aktuell'!$D28,INDIRECT(M$4))+SUMIF(INDIRECT(M$3),'Struktur Aktuell'!$D28,INDIRECT(M$5)))</f>
        <v>0</v>
      </c>
      <c r="N28" s="593">
        <f ca="1">$E28*(-SUMIF(INDIRECT(N$3),'Struktur Aktuell'!$D28,INDIRECT(N$4))+SUMIF(INDIRECT(N$3),'Struktur Aktuell'!$D28,INDIRECT(N$5)))</f>
        <v>0</v>
      </c>
      <c r="O28" s="593">
        <f ca="1">$E28*(-SUMIF(INDIRECT(O$3),'Struktur Aktuell'!$D28,INDIRECT(O$4))+SUMIF(INDIRECT(O$3),'Struktur Aktuell'!$D28,INDIRECT(O$5)))</f>
        <v>0</v>
      </c>
      <c r="P28" s="593">
        <f ca="1">$E28*(-SUMIF(INDIRECT(P$3),'Struktur Aktuell'!$D28,INDIRECT(P$4))+SUMIF(INDIRECT(P$3),'Struktur Aktuell'!$D28,INDIRECT(P$5)))</f>
        <v>0</v>
      </c>
      <c r="Q28" s="593">
        <f ca="1">$E28*(-SUMIF(INDIRECT(Q$3),'Struktur Aktuell'!$D28,INDIRECT(Q$4))+SUMIF(INDIRECT(Q$3),'Struktur Aktuell'!$D28,INDIRECT(Q$5)))</f>
        <v>0</v>
      </c>
      <c r="R28" s="593">
        <f ca="1">$E28*(-SUMIF(INDIRECT(R$3),'Struktur Aktuell'!$D28,INDIRECT(R$4))+SUMIF(INDIRECT(R$3),'Struktur Aktuell'!$D28,INDIRECT(R$5)))</f>
        <v>0</v>
      </c>
      <c r="S28" s="593">
        <f ca="1">$E28*(-SUMIF(INDIRECT(S$3),'Struktur Aktuell'!$D28,INDIRECT(S$4))+SUMIF(INDIRECT(S$3),'Struktur Aktuell'!$D28,INDIRECT(S$5)))</f>
        <v>0</v>
      </c>
      <c r="T28" s="593">
        <f ca="1">$E28*(-SUMIF(INDIRECT(T$3),'Struktur Aktuell'!$D28,INDIRECT(T$4))+SUMIF(INDIRECT(T$3),'Struktur Aktuell'!$D28,INDIRECT(T$5)))</f>
        <v>0</v>
      </c>
      <c r="U28" s="593">
        <f ca="1">$E28*(-SUMIF(INDIRECT(U$3),'Struktur Aktuell'!$D28,INDIRECT(U$4))+SUMIF(INDIRECT(U$3),'Struktur Aktuell'!$D28,INDIRECT(U$5)))</f>
        <v>0</v>
      </c>
      <c r="V28" s="593">
        <f ca="1">$E28*(-SUMIF(INDIRECT(V$3),'Struktur Aktuell'!$D28,INDIRECT(V$4))+SUMIF(INDIRECT(V$3),'Struktur Aktuell'!$D28,INDIRECT(V$5)))</f>
        <v>0</v>
      </c>
      <c r="W28" s="593">
        <f ca="1">$E28*(-SUMIF(INDIRECT(W$3),'Struktur Aktuell'!$D28,INDIRECT(W$4))+SUMIF(INDIRECT(W$3),'Struktur Aktuell'!$D28,INDIRECT(W$5)))</f>
        <v>0</v>
      </c>
      <c r="X28" s="593">
        <f ca="1">$E28*(-SUMIF(INDIRECT(X$3),'Struktur Aktuell'!$D28,INDIRECT(X$4))+SUMIF(INDIRECT(X$3),'Struktur Aktuell'!$D28,INDIRECT(X$5)))</f>
        <v>0</v>
      </c>
      <c r="Y28" s="593">
        <f ca="1">$E28*(-SUMIF(INDIRECT(Y$3),'Struktur Aktuell'!$D28,INDIRECT(Y$4))+SUMIF(INDIRECT(Y$3),'Struktur Aktuell'!$D28,INDIRECT(Y$5)))</f>
        <v>0</v>
      </c>
      <c r="Z28" s="593">
        <f ca="1">$E28*(-SUMIF(INDIRECT(Z$3),'Struktur Aktuell'!$D28,INDIRECT(Z$4))+SUMIF(INDIRECT(Z$3),'Struktur Aktuell'!$D28,INDIRECT(Z$5)))</f>
        <v>0</v>
      </c>
      <c r="AA28" s="593">
        <f ca="1">$E28*(-SUMIF(INDIRECT(AA$3),'Struktur Aktuell'!$D28,INDIRECT(AA$4))+SUMIF(INDIRECT(AA$3),'Struktur Aktuell'!$D28,INDIRECT(AA$5)))</f>
        <v>0</v>
      </c>
      <c r="AB28" s="593">
        <f ca="1">$E28*(-SUMIF(INDIRECT(AB$3),'Struktur Aktuell'!$D28,INDIRECT(AB$4))+SUMIF(INDIRECT(AB$3),'Struktur Aktuell'!$D28,INDIRECT(AB$5)))</f>
        <v>0</v>
      </c>
      <c r="AC28" s="593">
        <f ca="1">$E28*(-SUMIF(INDIRECT(AC$3),'Struktur Aktuell'!$D28,INDIRECT(AC$4))+SUMIF(INDIRECT(AC$3),'Struktur Aktuell'!$D28,INDIRECT(AC$5)))</f>
        <v>0</v>
      </c>
      <c r="AD28" s="593">
        <f ca="1">$E28*(-SUMIF(INDIRECT(AD$3),'Struktur Aktuell'!$D28,INDIRECT(AD$4))+SUMIF(INDIRECT(AD$3),'Struktur Aktuell'!$D28,INDIRECT(AD$5)))</f>
        <v>0</v>
      </c>
      <c r="AE28" s="593">
        <f t="shared" ca="1" si="33"/>
        <v>0</v>
      </c>
      <c r="AF28" s="593">
        <f t="shared" ca="1" si="34"/>
        <v>0</v>
      </c>
      <c r="AG28" s="593">
        <f t="shared" ca="1" si="35"/>
        <v>0</v>
      </c>
      <c r="AH28" s="593">
        <f t="shared" ca="1" si="36"/>
        <v>0</v>
      </c>
      <c r="AI28" s="593">
        <f t="shared" ca="1" si="37"/>
        <v>0</v>
      </c>
      <c r="AJ28" s="593">
        <f t="shared" ca="1" si="38"/>
        <v>0</v>
      </c>
      <c r="AK28" s="593">
        <f t="shared" ca="1" si="39"/>
        <v>0</v>
      </c>
      <c r="AL28" s="593">
        <f t="shared" ca="1" si="40"/>
        <v>0</v>
      </c>
      <c r="AM28" s="593">
        <f t="shared" ca="1" si="41"/>
        <v>0</v>
      </c>
      <c r="AN28" s="593">
        <f t="shared" ca="1" si="42"/>
        <v>0</v>
      </c>
      <c r="AO28" s="593">
        <f t="shared" ca="1" si="43"/>
        <v>0</v>
      </c>
      <c r="AP28" s="593">
        <f t="shared" ca="1" si="44"/>
        <v>0</v>
      </c>
    </row>
    <row r="29" spans="1:42" s="594" customFormat="1" ht="11.25" outlineLevel="1" x14ac:dyDescent="0.2">
      <c r="A29" s="590"/>
      <c r="B29" s="591" t="str">
        <f>IF(D29&lt;&gt;"",
IF(ISERROR(MATCH(D29,'Ist Aktuell Monat 01'!A:A,0))=FALSE,INDEX('Ist Aktuell Monat 01'!B:B,MATCH(D29,'Ist Aktuell Monat 01'!A:A,0)),
IF(ISERROR(MATCH(D29,'Ist Aktuell Monat 02'!A:A,0))=FALSE,INDEX('Ist Aktuell Monat 02'!B:B,MATCH(D29,'Ist Aktuell Monat 02'!A:A,0)),
IF(ISERROR(MATCH(D29,'Ist Aktuell Monat 03'!A:A,0))=FALSE,INDEX('Ist Aktuell Monat 03'!B:B,MATCH(D29,'Ist Aktuell Monat 03'!A:A,0)),
IF(ISERROR(MATCH(D29,'Ist Aktuell Monat 04'!A:A,0))=FALSE,INDEX('Ist Aktuell Monat 04'!B:B,MATCH(D29,'Ist Aktuell Monat 04'!A:A,0)),
IF(ISERROR(MATCH(D29,'Ist Aktuell Monat 05'!A:A,0))=FALSE,INDEX('Ist Aktuell Monat 05'!B:B,MATCH(D29,'Ist Aktuell Monat 05'!A:A,0)),
IF(ISERROR(MATCH(D29,'Ist Aktuell Monat 06'!A:A,0))=FALSE,INDEX('Ist Aktuell Monat 06'!B:B,MATCH(D29,'Ist Aktuell Monat 06'!A:A,0)),
IF(ISERROR(MATCH(D29,'Ist Aktuell Monat 07'!A:A,0))=FALSE,INDEX('Ist Aktuell Monat 07'!B:B,MATCH(D29,'Ist Aktuell Monat 07'!A:A,0)),
IF(ISERROR(MATCH(D29,'Ist Aktuell Monat 08'!A:A,0))=FALSE,INDEX('Ist Aktuell Monat 08'!B:B,MATCH(D29,'Ist Aktuell Monat 08'!A:A,0)),
IF(ISERROR(MATCH(D29,'Ist Aktuell Monat 09'!A:A,0))=FALSE,INDEX('Ist Aktuell Monat 09'!B:B,MATCH(D29,'Ist Aktuell Monat 09'!A:A,0)),
IF(ISERROR(MATCH(D29,'Ist Aktuell Monat 10'!A:A,0))=FALSE,INDEX('Ist Aktuell Monat 10'!B:B,MATCH(D29,'Ist Aktuell Monat 10'!A:A,0)),
IF(ISERROR(MATCH(D29,'Ist Aktuell Monat 11'!A:A,0))=FALSE,INDEX('Ist Aktuell Monat 11'!B:B,MATCH(D29,'Ist Aktuell Monat 11'!A:A,0)),
IF(ISERROR(MATCH(D29,'Ist Aktuell Monat 12'!A:A,0))=FALSE,INDEX('Ist Aktuell Monat 12'!B:B,MATCH(D29,'Ist Aktuell Monat 12'!A:A,0)),
"{Konto unbekannt}"
)))))))))))),"")</f>
        <v/>
      </c>
      <c r="C29" s="591"/>
      <c r="D29" s="590"/>
      <c r="E29" s="592">
        <f t="shared" si="30"/>
        <v>1</v>
      </c>
      <c r="F29" s="590"/>
      <c r="G29" s="593">
        <f ca="1">$E29*(-SUMIF(INDIRECT(G$3),'Struktur Aktuell'!$D29,INDIRECT(G$4))+SUMIF(INDIRECT(G$3),'Struktur Aktuell'!$D29,INDIRECT(G$5)))</f>
        <v>0</v>
      </c>
      <c r="H29" s="593">
        <f ca="1">$E29*(-SUMIF(INDIRECT(H$3),'Struktur Aktuell'!$D29,INDIRECT(H$4))+SUMIF(INDIRECT(H$3),'Struktur Aktuell'!$D29,INDIRECT(H$5)))</f>
        <v>0</v>
      </c>
      <c r="I29" s="593">
        <f ca="1">$E29*(-SUMIF(INDIRECT(I$3),'Struktur Aktuell'!$D29,INDIRECT(I$4))+SUMIF(INDIRECT(I$3),'Struktur Aktuell'!$D29,INDIRECT(I$5)))</f>
        <v>0</v>
      </c>
      <c r="J29" s="593">
        <f ca="1">$E29*(-SUMIF(INDIRECT(J$3),'Struktur Aktuell'!$D29,INDIRECT(J$4))+SUMIF(INDIRECT(J$3),'Struktur Aktuell'!$D29,INDIRECT(J$5)))</f>
        <v>0</v>
      </c>
      <c r="K29" s="593">
        <f ca="1">$E29*(-SUMIF(INDIRECT(K$3),'Struktur Aktuell'!$D29,INDIRECT(K$4))+SUMIF(INDIRECT(K$3),'Struktur Aktuell'!$D29,INDIRECT(K$5)))</f>
        <v>0</v>
      </c>
      <c r="L29" s="593">
        <f ca="1">$E29*(-SUMIF(INDIRECT(L$3),'Struktur Aktuell'!$D29,INDIRECT(L$4))+SUMIF(INDIRECT(L$3),'Struktur Aktuell'!$D29,INDIRECT(L$5)))</f>
        <v>0</v>
      </c>
      <c r="M29" s="593">
        <f ca="1">$E29*(-SUMIF(INDIRECT(M$3),'Struktur Aktuell'!$D29,INDIRECT(M$4))+SUMIF(INDIRECT(M$3),'Struktur Aktuell'!$D29,INDIRECT(M$5)))</f>
        <v>0</v>
      </c>
      <c r="N29" s="593">
        <f ca="1">$E29*(-SUMIF(INDIRECT(N$3),'Struktur Aktuell'!$D29,INDIRECT(N$4))+SUMIF(INDIRECT(N$3),'Struktur Aktuell'!$D29,INDIRECT(N$5)))</f>
        <v>0</v>
      </c>
      <c r="O29" s="593">
        <f ca="1">$E29*(-SUMIF(INDIRECT(O$3),'Struktur Aktuell'!$D29,INDIRECT(O$4))+SUMIF(INDIRECT(O$3),'Struktur Aktuell'!$D29,INDIRECT(O$5)))</f>
        <v>0</v>
      </c>
      <c r="P29" s="593">
        <f ca="1">$E29*(-SUMIF(INDIRECT(P$3),'Struktur Aktuell'!$D29,INDIRECT(P$4))+SUMIF(INDIRECT(P$3),'Struktur Aktuell'!$D29,INDIRECT(P$5)))</f>
        <v>0</v>
      </c>
      <c r="Q29" s="593">
        <f ca="1">$E29*(-SUMIF(INDIRECT(Q$3),'Struktur Aktuell'!$D29,INDIRECT(Q$4))+SUMIF(INDIRECT(Q$3),'Struktur Aktuell'!$D29,INDIRECT(Q$5)))</f>
        <v>0</v>
      </c>
      <c r="R29" s="593">
        <f ca="1">$E29*(-SUMIF(INDIRECT(R$3),'Struktur Aktuell'!$D29,INDIRECT(R$4))+SUMIF(INDIRECT(R$3),'Struktur Aktuell'!$D29,INDIRECT(R$5)))</f>
        <v>0</v>
      </c>
      <c r="S29" s="593">
        <f ca="1">$E29*(-SUMIF(INDIRECT(S$3),'Struktur Aktuell'!$D29,INDIRECT(S$4))+SUMIF(INDIRECT(S$3),'Struktur Aktuell'!$D29,INDIRECT(S$5)))</f>
        <v>0</v>
      </c>
      <c r="T29" s="593">
        <f ca="1">$E29*(-SUMIF(INDIRECT(T$3),'Struktur Aktuell'!$D29,INDIRECT(T$4))+SUMIF(INDIRECT(T$3),'Struktur Aktuell'!$D29,INDIRECT(T$5)))</f>
        <v>0</v>
      </c>
      <c r="U29" s="593">
        <f ca="1">$E29*(-SUMIF(INDIRECT(U$3),'Struktur Aktuell'!$D29,INDIRECT(U$4))+SUMIF(INDIRECT(U$3),'Struktur Aktuell'!$D29,INDIRECT(U$5)))</f>
        <v>0</v>
      </c>
      <c r="V29" s="593">
        <f ca="1">$E29*(-SUMIF(INDIRECT(V$3),'Struktur Aktuell'!$D29,INDIRECT(V$4))+SUMIF(INDIRECT(V$3),'Struktur Aktuell'!$D29,INDIRECT(V$5)))</f>
        <v>0</v>
      </c>
      <c r="W29" s="593">
        <f ca="1">$E29*(-SUMIF(INDIRECT(W$3),'Struktur Aktuell'!$D29,INDIRECT(W$4))+SUMIF(INDIRECT(W$3),'Struktur Aktuell'!$D29,INDIRECT(W$5)))</f>
        <v>0</v>
      </c>
      <c r="X29" s="593">
        <f ca="1">$E29*(-SUMIF(INDIRECT(X$3),'Struktur Aktuell'!$D29,INDIRECT(X$4))+SUMIF(INDIRECT(X$3),'Struktur Aktuell'!$D29,INDIRECT(X$5)))</f>
        <v>0</v>
      </c>
      <c r="Y29" s="593">
        <f ca="1">$E29*(-SUMIF(INDIRECT(Y$3),'Struktur Aktuell'!$D29,INDIRECT(Y$4))+SUMIF(INDIRECT(Y$3),'Struktur Aktuell'!$D29,INDIRECT(Y$5)))</f>
        <v>0</v>
      </c>
      <c r="Z29" s="593">
        <f ca="1">$E29*(-SUMIF(INDIRECT(Z$3),'Struktur Aktuell'!$D29,INDIRECT(Z$4))+SUMIF(INDIRECT(Z$3),'Struktur Aktuell'!$D29,INDIRECT(Z$5)))</f>
        <v>0</v>
      </c>
      <c r="AA29" s="593">
        <f ca="1">$E29*(-SUMIF(INDIRECT(AA$3),'Struktur Aktuell'!$D29,INDIRECT(AA$4))+SUMIF(INDIRECT(AA$3),'Struktur Aktuell'!$D29,INDIRECT(AA$5)))</f>
        <v>0</v>
      </c>
      <c r="AB29" s="593">
        <f ca="1">$E29*(-SUMIF(INDIRECT(AB$3),'Struktur Aktuell'!$D29,INDIRECT(AB$4))+SUMIF(INDIRECT(AB$3),'Struktur Aktuell'!$D29,INDIRECT(AB$5)))</f>
        <v>0</v>
      </c>
      <c r="AC29" s="593">
        <f ca="1">$E29*(-SUMIF(INDIRECT(AC$3),'Struktur Aktuell'!$D29,INDIRECT(AC$4))+SUMIF(INDIRECT(AC$3),'Struktur Aktuell'!$D29,INDIRECT(AC$5)))</f>
        <v>0</v>
      </c>
      <c r="AD29" s="593">
        <f ca="1">$E29*(-SUMIF(INDIRECT(AD$3),'Struktur Aktuell'!$D29,INDIRECT(AD$4))+SUMIF(INDIRECT(AD$3),'Struktur Aktuell'!$D29,INDIRECT(AD$5)))</f>
        <v>0</v>
      </c>
      <c r="AE29" s="593">
        <f t="shared" ca="1" si="33"/>
        <v>0</v>
      </c>
      <c r="AF29" s="593">
        <f t="shared" ca="1" si="34"/>
        <v>0</v>
      </c>
      <c r="AG29" s="593">
        <f t="shared" ca="1" si="35"/>
        <v>0</v>
      </c>
      <c r="AH29" s="593">
        <f t="shared" ca="1" si="36"/>
        <v>0</v>
      </c>
      <c r="AI29" s="593">
        <f t="shared" ca="1" si="37"/>
        <v>0</v>
      </c>
      <c r="AJ29" s="593">
        <f t="shared" ca="1" si="38"/>
        <v>0</v>
      </c>
      <c r="AK29" s="593">
        <f t="shared" ca="1" si="39"/>
        <v>0</v>
      </c>
      <c r="AL29" s="593">
        <f t="shared" ca="1" si="40"/>
        <v>0</v>
      </c>
      <c r="AM29" s="593">
        <f t="shared" ca="1" si="41"/>
        <v>0</v>
      </c>
      <c r="AN29" s="593">
        <f t="shared" ca="1" si="42"/>
        <v>0</v>
      </c>
      <c r="AO29" s="593">
        <f t="shared" ca="1" si="43"/>
        <v>0</v>
      </c>
      <c r="AP29" s="593">
        <f t="shared" ca="1" si="44"/>
        <v>0</v>
      </c>
    </row>
    <row r="30" spans="1:42" s="594" customFormat="1" ht="11.25" outlineLevel="1" x14ac:dyDescent="0.2">
      <c r="A30" s="590"/>
      <c r="B30" s="591" t="str">
        <f>IF(D30&lt;&gt;"",
IF(ISERROR(MATCH(D30,'Ist Aktuell Monat 01'!A:A,0))=FALSE,INDEX('Ist Aktuell Monat 01'!B:B,MATCH(D30,'Ist Aktuell Monat 01'!A:A,0)),
IF(ISERROR(MATCH(D30,'Ist Aktuell Monat 02'!A:A,0))=FALSE,INDEX('Ist Aktuell Monat 02'!B:B,MATCH(D30,'Ist Aktuell Monat 02'!A:A,0)),
IF(ISERROR(MATCH(D30,'Ist Aktuell Monat 03'!A:A,0))=FALSE,INDEX('Ist Aktuell Monat 03'!B:B,MATCH(D30,'Ist Aktuell Monat 03'!A:A,0)),
IF(ISERROR(MATCH(D30,'Ist Aktuell Monat 04'!A:A,0))=FALSE,INDEX('Ist Aktuell Monat 04'!B:B,MATCH(D30,'Ist Aktuell Monat 04'!A:A,0)),
IF(ISERROR(MATCH(D30,'Ist Aktuell Monat 05'!A:A,0))=FALSE,INDEX('Ist Aktuell Monat 05'!B:B,MATCH(D30,'Ist Aktuell Monat 05'!A:A,0)),
IF(ISERROR(MATCH(D30,'Ist Aktuell Monat 06'!A:A,0))=FALSE,INDEX('Ist Aktuell Monat 06'!B:B,MATCH(D30,'Ist Aktuell Monat 06'!A:A,0)),
IF(ISERROR(MATCH(D30,'Ist Aktuell Monat 07'!A:A,0))=FALSE,INDEX('Ist Aktuell Monat 07'!B:B,MATCH(D30,'Ist Aktuell Monat 07'!A:A,0)),
IF(ISERROR(MATCH(D30,'Ist Aktuell Monat 08'!A:A,0))=FALSE,INDEX('Ist Aktuell Monat 08'!B:B,MATCH(D30,'Ist Aktuell Monat 08'!A:A,0)),
IF(ISERROR(MATCH(D30,'Ist Aktuell Monat 09'!A:A,0))=FALSE,INDEX('Ist Aktuell Monat 09'!B:B,MATCH(D30,'Ist Aktuell Monat 09'!A:A,0)),
IF(ISERROR(MATCH(D30,'Ist Aktuell Monat 10'!A:A,0))=FALSE,INDEX('Ist Aktuell Monat 10'!B:B,MATCH(D30,'Ist Aktuell Monat 10'!A:A,0)),
IF(ISERROR(MATCH(D30,'Ist Aktuell Monat 11'!A:A,0))=FALSE,INDEX('Ist Aktuell Monat 11'!B:B,MATCH(D30,'Ist Aktuell Monat 11'!A:A,0)),
IF(ISERROR(MATCH(D30,'Ist Aktuell Monat 12'!A:A,0))=FALSE,INDEX('Ist Aktuell Monat 12'!B:B,MATCH(D30,'Ist Aktuell Monat 12'!A:A,0)),
"{Konto unbekannt}"
)))))))))))),"")</f>
        <v/>
      </c>
      <c r="C30" s="591"/>
      <c r="D30" s="590"/>
      <c r="E30" s="592">
        <f t="shared" si="30"/>
        <v>1</v>
      </c>
      <c r="F30" s="590"/>
      <c r="G30" s="593">
        <f ca="1">$E30*(-SUMIF(INDIRECT(G$3),'Struktur Aktuell'!$D30,INDIRECT(G$4))+SUMIF(INDIRECT(G$3),'Struktur Aktuell'!$D30,INDIRECT(G$5)))</f>
        <v>0</v>
      </c>
      <c r="H30" s="593">
        <f ca="1">$E30*(-SUMIF(INDIRECT(H$3),'Struktur Aktuell'!$D30,INDIRECT(H$4))+SUMIF(INDIRECT(H$3),'Struktur Aktuell'!$D30,INDIRECT(H$5)))</f>
        <v>0</v>
      </c>
      <c r="I30" s="593">
        <f ca="1">$E30*(-SUMIF(INDIRECT(I$3),'Struktur Aktuell'!$D30,INDIRECT(I$4))+SUMIF(INDIRECT(I$3),'Struktur Aktuell'!$D30,INDIRECT(I$5)))</f>
        <v>0</v>
      </c>
      <c r="J30" s="593">
        <f ca="1">$E30*(-SUMIF(INDIRECT(J$3),'Struktur Aktuell'!$D30,INDIRECT(J$4))+SUMIF(INDIRECT(J$3),'Struktur Aktuell'!$D30,INDIRECT(J$5)))</f>
        <v>0</v>
      </c>
      <c r="K30" s="593">
        <f ca="1">$E30*(-SUMIF(INDIRECT(K$3),'Struktur Aktuell'!$D30,INDIRECT(K$4))+SUMIF(INDIRECT(K$3),'Struktur Aktuell'!$D30,INDIRECT(K$5)))</f>
        <v>0</v>
      </c>
      <c r="L30" s="593">
        <f ca="1">$E30*(-SUMIF(INDIRECT(L$3),'Struktur Aktuell'!$D30,INDIRECT(L$4))+SUMIF(INDIRECT(L$3),'Struktur Aktuell'!$D30,INDIRECT(L$5)))</f>
        <v>0</v>
      </c>
      <c r="M30" s="593">
        <f ca="1">$E30*(-SUMIF(INDIRECT(M$3),'Struktur Aktuell'!$D30,INDIRECT(M$4))+SUMIF(INDIRECT(M$3),'Struktur Aktuell'!$D30,INDIRECT(M$5)))</f>
        <v>0</v>
      </c>
      <c r="N30" s="593">
        <f ca="1">$E30*(-SUMIF(INDIRECT(N$3),'Struktur Aktuell'!$D30,INDIRECT(N$4))+SUMIF(INDIRECT(N$3),'Struktur Aktuell'!$D30,INDIRECT(N$5)))</f>
        <v>0</v>
      </c>
      <c r="O30" s="593">
        <f ca="1">$E30*(-SUMIF(INDIRECT(O$3),'Struktur Aktuell'!$D30,INDIRECT(O$4))+SUMIF(INDIRECT(O$3),'Struktur Aktuell'!$D30,INDIRECT(O$5)))</f>
        <v>0</v>
      </c>
      <c r="P30" s="593">
        <f ca="1">$E30*(-SUMIF(INDIRECT(P$3),'Struktur Aktuell'!$D30,INDIRECT(P$4))+SUMIF(INDIRECT(P$3),'Struktur Aktuell'!$D30,INDIRECT(P$5)))</f>
        <v>0</v>
      </c>
      <c r="Q30" s="593">
        <f ca="1">$E30*(-SUMIF(INDIRECT(Q$3),'Struktur Aktuell'!$D30,INDIRECT(Q$4))+SUMIF(INDIRECT(Q$3),'Struktur Aktuell'!$D30,INDIRECT(Q$5)))</f>
        <v>0</v>
      </c>
      <c r="R30" s="593">
        <f ca="1">$E30*(-SUMIF(INDIRECT(R$3),'Struktur Aktuell'!$D30,INDIRECT(R$4))+SUMIF(INDIRECT(R$3),'Struktur Aktuell'!$D30,INDIRECT(R$5)))</f>
        <v>0</v>
      </c>
      <c r="S30" s="593">
        <f ca="1">$E30*(-SUMIF(INDIRECT(S$3),'Struktur Aktuell'!$D30,INDIRECT(S$4))+SUMIF(INDIRECT(S$3),'Struktur Aktuell'!$D30,INDIRECT(S$5)))</f>
        <v>0</v>
      </c>
      <c r="T30" s="593">
        <f ca="1">$E30*(-SUMIF(INDIRECT(T$3),'Struktur Aktuell'!$D30,INDIRECT(T$4))+SUMIF(INDIRECT(T$3),'Struktur Aktuell'!$D30,INDIRECT(T$5)))</f>
        <v>0</v>
      </c>
      <c r="U30" s="593">
        <f ca="1">$E30*(-SUMIF(INDIRECT(U$3),'Struktur Aktuell'!$D30,INDIRECT(U$4))+SUMIF(INDIRECT(U$3),'Struktur Aktuell'!$D30,INDIRECT(U$5)))</f>
        <v>0</v>
      </c>
      <c r="V30" s="593">
        <f ca="1">$E30*(-SUMIF(INDIRECT(V$3),'Struktur Aktuell'!$D30,INDIRECT(V$4))+SUMIF(INDIRECT(V$3),'Struktur Aktuell'!$D30,INDIRECT(V$5)))</f>
        <v>0</v>
      </c>
      <c r="W30" s="593">
        <f ca="1">$E30*(-SUMIF(INDIRECT(W$3),'Struktur Aktuell'!$D30,INDIRECT(W$4))+SUMIF(INDIRECT(W$3),'Struktur Aktuell'!$D30,INDIRECT(W$5)))</f>
        <v>0</v>
      </c>
      <c r="X30" s="593">
        <f ca="1">$E30*(-SUMIF(INDIRECT(X$3),'Struktur Aktuell'!$D30,INDIRECT(X$4))+SUMIF(INDIRECT(X$3),'Struktur Aktuell'!$D30,INDIRECT(X$5)))</f>
        <v>0</v>
      </c>
      <c r="Y30" s="593">
        <f ca="1">$E30*(-SUMIF(INDIRECT(Y$3),'Struktur Aktuell'!$D30,INDIRECT(Y$4))+SUMIF(INDIRECT(Y$3),'Struktur Aktuell'!$D30,INDIRECT(Y$5)))</f>
        <v>0</v>
      </c>
      <c r="Z30" s="593">
        <f ca="1">$E30*(-SUMIF(INDIRECT(Z$3),'Struktur Aktuell'!$D30,INDIRECT(Z$4))+SUMIF(INDIRECT(Z$3),'Struktur Aktuell'!$D30,INDIRECT(Z$5)))</f>
        <v>0</v>
      </c>
      <c r="AA30" s="593">
        <f ca="1">$E30*(-SUMIF(INDIRECT(AA$3),'Struktur Aktuell'!$D30,INDIRECT(AA$4))+SUMIF(INDIRECT(AA$3),'Struktur Aktuell'!$D30,INDIRECT(AA$5)))</f>
        <v>0</v>
      </c>
      <c r="AB30" s="593">
        <f ca="1">$E30*(-SUMIF(INDIRECT(AB$3),'Struktur Aktuell'!$D30,INDIRECT(AB$4))+SUMIF(INDIRECT(AB$3),'Struktur Aktuell'!$D30,INDIRECT(AB$5)))</f>
        <v>0</v>
      </c>
      <c r="AC30" s="593">
        <f ca="1">$E30*(-SUMIF(INDIRECT(AC$3),'Struktur Aktuell'!$D30,INDIRECT(AC$4))+SUMIF(INDIRECT(AC$3),'Struktur Aktuell'!$D30,INDIRECT(AC$5)))</f>
        <v>0</v>
      </c>
      <c r="AD30" s="593">
        <f ca="1">$E30*(-SUMIF(INDIRECT(AD$3),'Struktur Aktuell'!$D30,INDIRECT(AD$4))+SUMIF(INDIRECT(AD$3),'Struktur Aktuell'!$D30,INDIRECT(AD$5)))</f>
        <v>0</v>
      </c>
      <c r="AE30" s="593">
        <f t="shared" ca="1" si="33"/>
        <v>0</v>
      </c>
      <c r="AF30" s="593">
        <f t="shared" ca="1" si="34"/>
        <v>0</v>
      </c>
      <c r="AG30" s="593">
        <f t="shared" ca="1" si="35"/>
        <v>0</v>
      </c>
      <c r="AH30" s="593">
        <f t="shared" ca="1" si="36"/>
        <v>0</v>
      </c>
      <c r="AI30" s="593">
        <f t="shared" ca="1" si="37"/>
        <v>0</v>
      </c>
      <c r="AJ30" s="593">
        <f t="shared" ca="1" si="38"/>
        <v>0</v>
      </c>
      <c r="AK30" s="593">
        <f t="shared" ca="1" si="39"/>
        <v>0</v>
      </c>
      <c r="AL30" s="593">
        <f t="shared" ca="1" si="40"/>
        <v>0</v>
      </c>
      <c r="AM30" s="593">
        <f t="shared" ca="1" si="41"/>
        <v>0</v>
      </c>
      <c r="AN30" s="593">
        <f t="shared" ca="1" si="42"/>
        <v>0</v>
      </c>
      <c r="AO30" s="593">
        <f t="shared" ca="1" si="43"/>
        <v>0</v>
      </c>
      <c r="AP30" s="593">
        <f t="shared" ca="1" si="44"/>
        <v>0</v>
      </c>
    </row>
    <row r="31" spans="1:42" s="594" customFormat="1" ht="11.25" outlineLevel="1" x14ac:dyDescent="0.2">
      <c r="A31" s="590"/>
      <c r="B31" s="591" t="str">
        <f>IF(D31&lt;&gt;"",
IF(ISERROR(MATCH(D31,'Ist Aktuell Monat 01'!A:A,0))=FALSE,INDEX('Ist Aktuell Monat 01'!B:B,MATCH(D31,'Ist Aktuell Monat 01'!A:A,0)),
IF(ISERROR(MATCH(D31,'Ist Aktuell Monat 02'!A:A,0))=FALSE,INDEX('Ist Aktuell Monat 02'!B:B,MATCH(D31,'Ist Aktuell Monat 02'!A:A,0)),
IF(ISERROR(MATCH(D31,'Ist Aktuell Monat 03'!A:A,0))=FALSE,INDEX('Ist Aktuell Monat 03'!B:B,MATCH(D31,'Ist Aktuell Monat 03'!A:A,0)),
IF(ISERROR(MATCH(D31,'Ist Aktuell Monat 04'!A:A,0))=FALSE,INDEX('Ist Aktuell Monat 04'!B:B,MATCH(D31,'Ist Aktuell Monat 04'!A:A,0)),
IF(ISERROR(MATCH(D31,'Ist Aktuell Monat 05'!A:A,0))=FALSE,INDEX('Ist Aktuell Monat 05'!B:B,MATCH(D31,'Ist Aktuell Monat 05'!A:A,0)),
IF(ISERROR(MATCH(D31,'Ist Aktuell Monat 06'!A:A,0))=FALSE,INDEX('Ist Aktuell Monat 06'!B:B,MATCH(D31,'Ist Aktuell Monat 06'!A:A,0)),
IF(ISERROR(MATCH(D31,'Ist Aktuell Monat 07'!A:A,0))=FALSE,INDEX('Ist Aktuell Monat 07'!B:B,MATCH(D31,'Ist Aktuell Monat 07'!A:A,0)),
IF(ISERROR(MATCH(D31,'Ist Aktuell Monat 08'!A:A,0))=FALSE,INDEX('Ist Aktuell Monat 08'!B:B,MATCH(D31,'Ist Aktuell Monat 08'!A:A,0)),
IF(ISERROR(MATCH(D31,'Ist Aktuell Monat 09'!A:A,0))=FALSE,INDEX('Ist Aktuell Monat 09'!B:B,MATCH(D31,'Ist Aktuell Monat 09'!A:A,0)),
IF(ISERROR(MATCH(D31,'Ist Aktuell Monat 10'!A:A,0))=FALSE,INDEX('Ist Aktuell Monat 10'!B:B,MATCH(D31,'Ist Aktuell Monat 10'!A:A,0)),
IF(ISERROR(MATCH(D31,'Ist Aktuell Monat 11'!A:A,0))=FALSE,INDEX('Ist Aktuell Monat 11'!B:B,MATCH(D31,'Ist Aktuell Monat 11'!A:A,0)),
IF(ISERROR(MATCH(D31,'Ist Aktuell Monat 12'!A:A,0))=FALSE,INDEX('Ist Aktuell Monat 12'!B:B,MATCH(D31,'Ist Aktuell Monat 12'!A:A,0)),
"{Konto unbekannt}"
)))))))))))),"")</f>
        <v/>
      </c>
      <c r="C31" s="591"/>
      <c r="D31" s="590"/>
      <c r="E31" s="592">
        <f t="shared" si="30"/>
        <v>1</v>
      </c>
      <c r="F31" s="590"/>
      <c r="G31" s="593">
        <f ca="1">$E31*(-SUMIF(INDIRECT(G$3),'Struktur Aktuell'!$D31,INDIRECT(G$4))+SUMIF(INDIRECT(G$3),'Struktur Aktuell'!$D31,INDIRECT(G$5)))</f>
        <v>0</v>
      </c>
      <c r="H31" s="593">
        <f ca="1">$E31*(-SUMIF(INDIRECT(H$3),'Struktur Aktuell'!$D31,INDIRECT(H$4))+SUMIF(INDIRECT(H$3),'Struktur Aktuell'!$D31,INDIRECT(H$5)))</f>
        <v>0</v>
      </c>
      <c r="I31" s="593">
        <f ca="1">$E31*(-SUMIF(INDIRECT(I$3),'Struktur Aktuell'!$D31,INDIRECT(I$4))+SUMIF(INDIRECT(I$3),'Struktur Aktuell'!$D31,INDIRECT(I$5)))</f>
        <v>0</v>
      </c>
      <c r="J31" s="593">
        <f ca="1">$E31*(-SUMIF(INDIRECT(J$3),'Struktur Aktuell'!$D31,INDIRECT(J$4))+SUMIF(INDIRECT(J$3),'Struktur Aktuell'!$D31,INDIRECT(J$5)))</f>
        <v>0</v>
      </c>
      <c r="K31" s="593">
        <f ca="1">$E31*(-SUMIF(INDIRECT(K$3),'Struktur Aktuell'!$D31,INDIRECT(K$4))+SUMIF(INDIRECT(K$3),'Struktur Aktuell'!$D31,INDIRECT(K$5)))</f>
        <v>0</v>
      </c>
      <c r="L31" s="593">
        <f ca="1">$E31*(-SUMIF(INDIRECT(L$3),'Struktur Aktuell'!$D31,INDIRECT(L$4))+SUMIF(INDIRECT(L$3),'Struktur Aktuell'!$D31,INDIRECT(L$5)))</f>
        <v>0</v>
      </c>
      <c r="M31" s="593">
        <f ca="1">$E31*(-SUMIF(INDIRECT(M$3),'Struktur Aktuell'!$D31,INDIRECT(M$4))+SUMIF(INDIRECT(M$3),'Struktur Aktuell'!$D31,INDIRECT(M$5)))</f>
        <v>0</v>
      </c>
      <c r="N31" s="593">
        <f ca="1">$E31*(-SUMIF(INDIRECT(N$3),'Struktur Aktuell'!$D31,INDIRECT(N$4))+SUMIF(INDIRECT(N$3),'Struktur Aktuell'!$D31,INDIRECT(N$5)))</f>
        <v>0</v>
      </c>
      <c r="O31" s="593">
        <f ca="1">$E31*(-SUMIF(INDIRECT(O$3),'Struktur Aktuell'!$D31,INDIRECT(O$4))+SUMIF(INDIRECT(O$3),'Struktur Aktuell'!$D31,INDIRECT(O$5)))</f>
        <v>0</v>
      </c>
      <c r="P31" s="593">
        <f ca="1">$E31*(-SUMIF(INDIRECT(P$3),'Struktur Aktuell'!$D31,INDIRECT(P$4))+SUMIF(INDIRECT(P$3),'Struktur Aktuell'!$D31,INDIRECT(P$5)))</f>
        <v>0</v>
      </c>
      <c r="Q31" s="593">
        <f ca="1">$E31*(-SUMIF(INDIRECT(Q$3),'Struktur Aktuell'!$D31,INDIRECT(Q$4))+SUMIF(INDIRECT(Q$3),'Struktur Aktuell'!$D31,INDIRECT(Q$5)))</f>
        <v>0</v>
      </c>
      <c r="R31" s="593">
        <f ca="1">$E31*(-SUMIF(INDIRECT(R$3),'Struktur Aktuell'!$D31,INDIRECT(R$4))+SUMIF(INDIRECT(R$3),'Struktur Aktuell'!$D31,INDIRECT(R$5)))</f>
        <v>0</v>
      </c>
      <c r="S31" s="593">
        <f ca="1">$E31*(-SUMIF(INDIRECT(S$3),'Struktur Aktuell'!$D31,INDIRECT(S$4))+SUMIF(INDIRECT(S$3),'Struktur Aktuell'!$D31,INDIRECT(S$5)))</f>
        <v>0</v>
      </c>
      <c r="T31" s="593">
        <f ca="1">$E31*(-SUMIF(INDIRECT(T$3),'Struktur Aktuell'!$D31,INDIRECT(T$4))+SUMIF(INDIRECT(T$3),'Struktur Aktuell'!$D31,INDIRECT(T$5)))</f>
        <v>0</v>
      </c>
      <c r="U31" s="593">
        <f ca="1">$E31*(-SUMIF(INDIRECT(U$3),'Struktur Aktuell'!$D31,INDIRECT(U$4))+SUMIF(INDIRECT(U$3),'Struktur Aktuell'!$D31,INDIRECT(U$5)))</f>
        <v>0</v>
      </c>
      <c r="V31" s="593">
        <f ca="1">$E31*(-SUMIF(INDIRECT(V$3),'Struktur Aktuell'!$D31,INDIRECT(V$4))+SUMIF(INDIRECT(V$3),'Struktur Aktuell'!$D31,INDIRECT(V$5)))</f>
        <v>0</v>
      </c>
      <c r="W31" s="593">
        <f ca="1">$E31*(-SUMIF(INDIRECT(W$3),'Struktur Aktuell'!$D31,INDIRECT(W$4))+SUMIF(INDIRECT(W$3),'Struktur Aktuell'!$D31,INDIRECT(W$5)))</f>
        <v>0</v>
      </c>
      <c r="X31" s="593">
        <f ca="1">$E31*(-SUMIF(INDIRECT(X$3),'Struktur Aktuell'!$D31,INDIRECT(X$4))+SUMIF(INDIRECT(X$3),'Struktur Aktuell'!$D31,INDIRECT(X$5)))</f>
        <v>0</v>
      </c>
      <c r="Y31" s="593">
        <f ca="1">$E31*(-SUMIF(INDIRECT(Y$3),'Struktur Aktuell'!$D31,INDIRECT(Y$4))+SUMIF(INDIRECT(Y$3),'Struktur Aktuell'!$D31,INDIRECT(Y$5)))</f>
        <v>0</v>
      </c>
      <c r="Z31" s="593">
        <f ca="1">$E31*(-SUMIF(INDIRECT(Z$3),'Struktur Aktuell'!$D31,INDIRECT(Z$4))+SUMIF(INDIRECT(Z$3),'Struktur Aktuell'!$D31,INDIRECT(Z$5)))</f>
        <v>0</v>
      </c>
      <c r="AA31" s="593">
        <f ca="1">$E31*(-SUMIF(INDIRECT(AA$3),'Struktur Aktuell'!$D31,INDIRECT(AA$4))+SUMIF(INDIRECT(AA$3),'Struktur Aktuell'!$D31,INDIRECT(AA$5)))</f>
        <v>0</v>
      </c>
      <c r="AB31" s="593">
        <f ca="1">$E31*(-SUMIF(INDIRECT(AB$3),'Struktur Aktuell'!$D31,INDIRECT(AB$4))+SUMIF(INDIRECT(AB$3),'Struktur Aktuell'!$D31,INDIRECT(AB$5)))</f>
        <v>0</v>
      </c>
      <c r="AC31" s="593">
        <f ca="1">$E31*(-SUMIF(INDIRECT(AC$3),'Struktur Aktuell'!$D31,INDIRECT(AC$4))+SUMIF(INDIRECT(AC$3),'Struktur Aktuell'!$D31,INDIRECT(AC$5)))</f>
        <v>0</v>
      </c>
      <c r="AD31" s="593">
        <f ca="1">$E31*(-SUMIF(INDIRECT(AD$3),'Struktur Aktuell'!$D31,INDIRECT(AD$4))+SUMIF(INDIRECT(AD$3),'Struktur Aktuell'!$D31,INDIRECT(AD$5)))</f>
        <v>0</v>
      </c>
      <c r="AE31" s="593">
        <f t="shared" ca="1" si="33"/>
        <v>0</v>
      </c>
      <c r="AF31" s="593">
        <f t="shared" ca="1" si="34"/>
        <v>0</v>
      </c>
      <c r="AG31" s="593">
        <f t="shared" ca="1" si="35"/>
        <v>0</v>
      </c>
      <c r="AH31" s="593">
        <f t="shared" ca="1" si="36"/>
        <v>0</v>
      </c>
      <c r="AI31" s="593">
        <f t="shared" ca="1" si="37"/>
        <v>0</v>
      </c>
      <c r="AJ31" s="593">
        <f t="shared" ca="1" si="38"/>
        <v>0</v>
      </c>
      <c r="AK31" s="593">
        <f t="shared" ca="1" si="39"/>
        <v>0</v>
      </c>
      <c r="AL31" s="593">
        <f t="shared" ca="1" si="40"/>
        <v>0</v>
      </c>
      <c r="AM31" s="593">
        <f t="shared" ca="1" si="41"/>
        <v>0</v>
      </c>
      <c r="AN31" s="593">
        <f t="shared" ca="1" si="42"/>
        <v>0</v>
      </c>
      <c r="AO31" s="593">
        <f t="shared" ca="1" si="43"/>
        <v>0</v>
      </c>
      <c r="AP31" s="593">
        <f t="shared" ca="1" si="44"/>
        <v>0</v>
      </c>
    </row>
    <row r="32" spans="1:42" s="594" customFormat="1" ht="11.25" outlineLevel="1" x14ac:dyDescent="0.2">
      <c r="A32" s="590"/>
      <c r="B32" s="591" t="str">
        <f>IF(D32&lt;&gt;"",
IF(ISERROR(MATCH(D32,'Ist Aktuell Monat 01'!A:A,0))=FALSE,INDEX('Ist Aktuell Monat 01'!B:B,MATCH(D32,'Ist Aktuell Monat 01'!A:A,0)),
IF(ISERROR(MATCH(D32,'Ist Aktuell Monat 02'!A:A,0))=FALSE,INDEX('Ist Aktuell Monat 02'!B:B,MATCH(D32,'Ist Aktuell Monat 02'!A:A,0)),
IF(ISERROR(MATCH(D32,'Ist Aktuell Monat 03'!A:A,0))=FALSE,INDEX('Ist Aktuell Monat 03'!B:B,MATCH(D32,'Ist Aktuell Monat 03'!A:A,0)),
IF(ISERROR(MATCH(D32,'Ist Aktuell Monat 04'!A:A,0))=FALSE,INDEX('Ist Aktuell Monat 04'!B:B,MATCH(D32,'Ist Aktuell Monat 04'!A:A,0)),
IF(ISERROR(MATCH(D32,'Ist Aktuell Monat 05'!A:A,0))=FALSE,INDEX('Ist Aktuell Monat 05'!B:B,MATCH(D32,'Ist Aktuell Monat 05'!A:A,0)),
IF(ISERROR(MATCH(D32,'Ist Aktuell Monat 06'!A:A,0))=FALSE,INDEX('Ist Aktuell Monat 06'!B:B,MATCH(D32,'Ist Aktuell Monat 06'!A:A,0)),
IF(ISERROR(MATCH(D32,'Ist Aktuell Monat 07'!A:A,0))=FALSE,INDEX('Ist Aktuell Monat 07'!B:B,MATCH(D32,'Ist Aktuell Monat 07'!A:A,0)),
IF(ISERROR(MATCH(D32,'Ist Aktuell Monat 08'!A:A,0))=FALSE,INDEX('Ist Aktuell Monat 08'!B:B,MATCH(D32,'Ist Aktuell Monat 08'!A:A,0)),
IF(ISERROR(MATCH(D32,'Ist Aktuell Monat 09'!A:A,0))=FALSE,INDEX('Ist Aktuell Monat 09'!B:B,MATCH(D32,'Ist Aktuell Monat 09'!A:A,0)),
IF(ISERROR(MATCH(D32,'Ist Aktuell Monat 10'!A:A,0))=FALSE,INDEX('Ist Aktuell Monat 10'!B:B,MATCH(D32,'Ist Aktuell Monat 10'!A:A,0)),
IF(ISERROR(MATCH(D32,'Ist Aktuell Monat 11'!A:A,0))=FALSE,INDEX('Ist Aktuell Monat 11'!B:B,MATCH(D32,'Ist Aktuell Monat 11'!A:A,0)),
IF(ISERROR(MATCH(D32,'Ist Aktuell Monat 12'!A:A,0))=FALSE,INDEX('Ist Aktuell Monat 12'!B:B,MATCH(D32,'Ist Aktuell Monat 12'!A:A,0)),
"{Konto unbekannt}"
)))))))))))),"")</f>
        <v/>
      </c>
      <c r="C32" s="591"/>
      <c r="D32" s="590"/>
      <c r="E32" s="592">
        <f t="shared" si="30"/>
        <v>1</v>
      </c>
      <c r="F32" s="590"/>
      <c r="G32" s="593">
        <f ca="1">$E32*(-SUMIF(INDIRECT(G$3),'Struktur Aktuell'!$D32,INDIRECT(G$4))+SUMIF(INDIRECT(G$3),'Struktur Aktuell'!$D32,INDIRECT(G$5)))</f>
        <v>0</v>
      </c>
      <c r="H32" s="593">
        <f ca="1">$E32*(-SUMIF(INDIRECT(H$3),'Struktur Aktuell'!$D32,INDIRECT(H$4))+SUMIF(INDIRECT(H$3),'Struktur Aktuell'!$D32,INDIRECT(H$5)))</f>
        <v>0</v>
      </c>
      <c r="I32" s="593">
        <f ca="1">$E32*(-SUMIF(INDIRECT(I$3),'Struktur Aktuell'!$D32,INDIRECT(I$4))+SUMIF(INDIRECT(I$3),'Struktur Aktuell'!$D32,INDIRECT(I$5)))</f>
        <v>0</v>
      </c>
      <c r="J32" s="593">
        <f ca="1">$E32*(-SUMIF(INDIRECT(J$3),'Struktur Aktuell'!$D32,INDIRECT(J$4))+SUMIF(INDIRECT(J$3),'Struktur Aktuell'!$D32,INDIRECT(J$5)))</f>
        <v>0</v>
      </c>
      <c r="K32" s="593">
        <f ca="1">$E32*(-SUMIF(INDIRECT(K$3),'Struktur Aktuell'!$D32,INDIRECT(K$4))+SUMIF(INDIRECT(K$3),'Struktur Aktuell'!$D32,INDIRECT(K$5)))</f>
        <v>0</v>
      </c>
      <c r="L32" s="593">
        <f ca="1">$E32*(-SUMIF(INDIRECT(L$3),'Struktur Aktuell'!$D32,INDIRECT(L$4))+SUMIF(INDIRECT(L$3),'Struktur Aktuell'!$D32,INDIRECT(L$5)))</f>
        <v>0</v>
      </c>
      <c r="M32" s="593">
        <f ca="1">$E32*(-SUMIF(INDIRECT(M$3),'Struktur Aktuell'!$D32,INDIRECT(M$4))+SUMIF(INDIRECT(M$3),'Struktur Aktuell'!$D32,INDIRECT(M$5)))</f>
        <v>0</v>
      </c>
      <c r="N32" s="593">
        <f ca="1">$E32*(-SUMIF(INDIRECT(N$3),'Struktur Aktuell'!$D32,INDIRECT(N$4))+SUMIF(INDIRECT(N$3),'Struktur Aktuell'!$D32,INDIRECT(N$5)))</f>
        <v>0</v>
      </c>
      <c r="O32" s="593">
        <f ca="1">$E32*(-SUMIF(INDIRECT(O$3),'Struktur Aktuell'!$D32,INDIRECT(O$4))+SUMIF(INDIRECT(O$3),'Struktur Aktuell'!$D32,INDIRECT(O$5)))</f>
        <v>0</v>
      </c>
      <c r="P32" s="593">
        <f ca="1">$E32*(-SUMIF(INDIRECT(P$3),'Struktur Aktuell'!$D32,INDIRECT(P$4))+SUMIF(INDIRECT(P$3),'Struktur Aktuell'!$D32,INDIRECT(P$5)))</f>
        <v>0</v>
      </c>
      <c r="Q32" s="593">
        <f ca="1">$E32*(-SUMIF(INDIRECT(Q$3),'Struktur Aktuell'!$D32,INDIRECT(Q$4))+SUMIF(INDIRECT(Q$3),'Struktur Aktuell'!$D32,INDIRECT(Q$5)))</f>
        <v>0</v>
      </c>
      <c r="R32" s="593">
        <f ca="1">$E32*(-SUMIF(INDIRECT(R$3),'Struktur Aktuell'!$D32,INDIRECT(R$4))+SUMIF(INDIRECT(R$3),'Struktur Aktuell'!$D32,INDIRECT(R$5)))</f>
        <v>0</v>
      </c>
      <c r="S32" s="593">
        <f ca="1">$E32*(-SUMIF(INDIRECT(S$3),'Struktur Aktuell'!$D32,INDIRECT(S$4))+SUMIF(INDIRECT(S$3),'Struktur Aktuell'!$D32,INDIRECT(S$5)))</f>
        <v>0</v>
      </c>
      <c r="T32" s="593">
        <f ca="1">$E32*(-SUMIF(INDIRECT(T$3),'Struktur Aktuell'!$D32,INDIRECT(T$4))+SUMIF(INDIRECT(T$3),'Struktur Aktuell'!$D32,INDIRECT(T$5)))</f>
        <v>0</v>
      </c>
      <c r="U32" s="593">
        <f ca="1">$E32*(-SUMIF(INDIRECT(U$3),'Struktur Aktuell'!$D32,INDIRECT(U$4))+SUMIF(INDIRECT(U$3),'Struktur Aktuell'!$D32,INDIRECT(U$5)))</f>
        <v>0</v>
      </c>
      <c r="V32" s="593">
        <f ca="1">$E32*(-SUMIF(INDIRECT(V$3),'Struktur Aktuell'!$D32,INDIRECT(V$4))+SUMIF(INDIRECT(V$3),'Struktur Aktuell'!$D32,INDIRECT(V$5)))</f>
        <v>0</v>
      </c>
      <c r="W32" s="593">
        <f ca="1">$E32*(-SUMIF(INDIRECT(W$3),'Struktur Aktuell'!$D32,INDIRECT(W$4))+SUMIF(INDIRECT(W$3),'Struktur Aktuell'!$D32,INDIRECT(W$5)))</f>
        <v>0</v>
      </c>
      <c r="X32" s="593">
        <f ca="1">$E32*(-SUMIF(INDIRECT(X$3),'Struktur Aktuell'!$D32,INDIRECT(X$4))+SUMIF(INDIRECT(X$3),'Struktur Aktuell'!$D32,INDIRECT(X$5)))</f>
        <v>0</v>
      </c>
      <c r="Y32" s="593">
        <f ca="1">$E32*(-SUMIF(INDIRECT(Y$3),'Struktur Aktuell'!$D32,INDIRECT(Y$4))+SUMIF(INDIRECT(Y$3),'Struktur Aktuell'!$D32,INDIRECT(Y$5)))</f>
        <v>0</v>
      </c>
      <c r="Z32" s="593">
        <f ca="1">$E32*(-SUMIF(INDIRECT(Z$3),'Struktur Aktuell'!$D32,INDIRECT(Z$4))+SUMIF(INDIRECT(Z$3),'Struktur Aktuell'!$D32,INDIRECT(Z$5)))</f>
        <v>0</v>
      </c>
      <c r="AA32" s="593">
        <f ca="1">$E32*(-SUMIF(INDIRECT(AA$3),'Struktur Aktuell'!$D32,INDIRECT(AA$4))+SUMIF(INDIRECT(AA$3),'Struktur Aktuell'!$D32,INDIRECT(AA$5)))</f>
        <v>0</v>
      </c>
      <c r="AB32" s="593">
        <f ca="1">$E32*(-SUMIF(INDIRECT(AB$3),'Struktur Aktuell'!$D32,INDIRECT(AB$4))+SUMIF(INDIRECT(AB$3),'Struktur Aktuell'!$D32,INDIRECT(AB$5)))</f>
        <v>0</v>
      </c>
      <c r="AC32" s="593">
        <f ca="1">$E32*(-SUMIF(INDIRECT(AC$3),'Struktur Aktuell'!$D32,INDIRECT(AC$4))+SUMIF(INDIRECT(AC$3),'Struktur Aktuell'!$D32,INDIRECT(AC$5)))</f>
        <v>0</v>
      </c>
      <c r="AD32" s="593">
        <f ca="1">$E32*(-SUMIF(INDIRECT(AD$3),'Struktur Aktuell'!$D32,INDIRECT(AD$4))+SUMIF(INDIRECT(AD$3),'Struktur Aktuell'!$D32,INDIRECT(AD$5)))</f>
        <v>0</v>
      </c>
      <c r="AE32" s="593">
        <f t="shared" ca="1" si="33"/>
        <v>0</v>
      </c>
      <c r="AF32" s="593">
        <f t="shared" ca="1" si="34"/>
        <v>0</v>
      </c>
      <c r="AG32" s="593">
        <f t="shared" ca="1" si="35"/>
        <v>0</v>
      </c>
      <c r="AH32" s="593">
        <f t="shared" ca="1" si="36"/>
        <v>0</v>
      </c>
      <c r="AI32" s="593">
        <f t="shared" ca="1" si="37"/>
        <v>0</v>
      </c>
      <c r="AJ32" s="593">
        <f t="shared" ca="1" si="38"/>
        <v>0</v>
      </c>
      <c r="AK32" s="593">
        <f t="shared" ca="1" si="39"/>
        <v>0</v>
      </c>
      <c r="AL32" s="593">
        <f t="shared" ca="1" si="40"/>
        <v>0</v>
      </c>
      <c r="AM32" s="593">
        <f t="shared" ca="1" si="41"/>
        <v>0</v>
      </c>
      <c r="AN32" s="593">
        <f t="shared" ca="1" si="42"/>
        <v>0</v>
      </c>
      <c r="AO32" s="593">
        <f t="shared" ca="1" si="43"/>
        <v>0</v>
      </c>
      <c r="AP32" s="593">
        <f t="shared" ca="1" si="44"/>
        <v>0</v>
      </c>
    </row>
    <row r="33" spans="1:42" s="594" customFormat="1" ht="11.25" outlineLevel="1" x14ac:dyDescent="0.2">
      <c r="A33" s="590"/>
      <c r="B33" s="591" t="str">
        <f>IF(D33&lt;&gt;"",
IF(ISERROR(MATCH(D33,'Ist Aktuell Monat 01'!A:A,0))=FALSE,INDEX('Ist Aktuell Monat 01'!B:B,MATCH(D33,'Ist Aktuell Monat 01'!A:A,0)),
IF(ISERROR(MATCH(D33,'Ist Aktuell Monat 02'!A:A,0))=FALSE,INDEX('Ist Aktuell Monat 02'!B:B,MATCH(D33,'Ist Aktuell Monat 02'!A:A,0)),
IF(ISERROR(MATCH(D33,'Ist Aktuell Monat 03'!A:A,0))=FALSE,INDEX('Ist Aktuell Monat 03'!B:B,MATCH(D33,'Ist Aktuell Monat 03'!A:A,0)),
IF(ISERROR(MATCH(D33,'Ist Aktuell Monat 04'!A:A,0))=FALSE,INDEX('Ist Aktuell Monat 04'!B:B,MATCH(D33,'Ist Aktuell Monat 04'!A:A,0)),
IF(ISERROR(MATCH(D33,'Ist Aktuell Monat 05'!A:A,0))=FALSE,INDEX('Ist Aktuell Monat 05'!B:B,MATCH(D33,'Ist Aktuell Monat 05'!A:A,0)),
IF(ISERROR(MATCH(D33,'Ist Aktuell Monat 06'!A:A,0))=FALSE,INDEX('Ist Aktuell Monat 06'!B:B,MATCH(D33,'Ist Aktuell Monat 06'!A:A,0)),
IF(ISERROR(MATCH(D33,'Ist Aktuell Monat 07'!A:A,0))=FALSE,INDEX('Ist Aktuell Monat 07'!B:B,MATCH(D33,'Ist Aktuell Monat 07'!A:A,0)),
IF(ISERROR(MATCH(D33,'Ist Aktuell Monat 08'!A:A,0))=FALSE,INDEX('Ist Aktuell Monat 08'!B:B,MATCH(D33,'Ist Aktuell Monat 08'!A:A,0)),
IF(ISERROR(MATCH(D33,'Ist Aktuell Monat 09'!A:A,0))=FALSE,INDEX('Ist Aktuell Monat 09'!B:B,MATCH(D33,'Ist Aktuell Monat 09'!A:A,0)),
IF(ISERROR(MATCH(D33,'Ist Aktuell Monat 10'!A:A,0))=FALSE,INDEX('Ist Aktuell Monat 10'!B:B,MATCH(D33,'Ist Aktuell Monat 10'!A:A,0)),
IF(ISERROR(MATCH(D33,'Ist Aktuell Monat 11'!A:A,0))=FALSE,INDEX('Ist Aktuell Monat 11'!B:B,MATCH(D33,'Ist Aktuell Monat 11'!A:A,0)),
IF(ISERROR(MATCH(D33,'Ist Aktuell Monat 12'!A:A,0))=FALSE,INDEX('Ist Aktuell Monat 12'!B:B,MATCH(D33,'Ist Aktuell Monat 12'!A:A,0)),
"{Konto unbekannt}"
)))))))))))),"")</f>
        <v/>
      </c>
      <c r="C33" s="591"/>
      <c r="D33" s="590"/>
      <c r="E33" s="592">
        <f t="shared" si="30"/>
        <v>1</v>
      </c>
      <c r="F33" s="590"/>
      <c r="G33" s="593">
        <f ca="1">$E33*(-SUMIF(INDIRECT(G$3),'Struktur Aktuell'!$D33,INDIRECT(G$4))+SUMIF(INDIRECT(G$3),'Struktur Aktuell'!$D33,INDIRECT(G$5)))</f>
        <v>0</v>
      </c>
      <c r="H33" s="593">
        <f ca="1">$E33*(-SUMIF(INDIRECT(H$3),'Struktur Aktuell'!$D33,INDIRECT(H$4))+SUMIF(INDIRECT(H$3),'Struktur Aktuell'!$D33,INDIRECT(H$5)))</f>
        <v>0</v>
      </c>
      <c r="I33" s="593">
        <f ca="1">$E33*(-SUMIF(INDIRECT(I$3),'Struktur Aktuell'!$D33,INDIRECT(I$4))+SUMIF(INDIRECT(I$3),'Struktur Aktuell'!$D33,INDIRECT(I$5)))</f>
        <v>0</v>
      </c>
      <c r="J33" s="593">
        <f ca="1">$E33*(-SUMIF(INDIRECT(J$3),'Struktur Aktuell'!$D33,INDIRECT(J$4))+SUMIF(INDIRECT(J$3),'Struktur Aktuell'!$D33,INDIRECT(J$5)))</f>
        <v>0</v>
      </c>
      <c r="K33" s="593">
        <f ca="1">$E33*(-SUMIF(INDIRECT(K$3),'Struktur Aktuell'!$D33,INDIRECT(K$4))+SUMIF(INDIRECT(K$3),'Struktur Aktuell'!$D33,INDIRECT(K$5)))</f>
        <v>0</v>
      </c>
      <c r="L33" s="593">
        <f ca="1">$E33*(-SUMIF(INDIRECT(L$3),'Struktur Aktuell'!$D33,INDIRECT(L$4))+SUMIF(INDIRECT(L$3),'Struktur Aktuell'!$D33,INDIRECT(L$5)))</f>
        <v>0</v>
      </c>
      <c r="M33" s="593">
        <f ca="1">$E33*(-SUMIF(INDIRECT(M$3),'Struktur Aktuell'!$D33,INDIRECT(M$4))+SUMIF(INDIRECT(M$3),'Struktur Aktuell'!$D33,INDIRECT(M$5)))</f>
        <v>0</v>
      </c>
      <c r="N33" s="593">
        <f ca="1">$E33*(-SUMIF(INDIRECT(N$3),'Struktur Aktuell'!$D33,INDIRECT(N$4))+SUMIF(INDIRECT(N$3),'Struktur Aktuell'!$D33,INDIRECT(N$5)))</f>
        <v>0</v>
      </c>
      <c r="O33" s="593">
        <f ca="1">$E33*(-SUMIF(INDIRECT(O$3),'Struktur Aktuell'!$D33,INDIRECT(O$4))+SUMIF(INDIRECT(O$3),'Struktur Aktuell'!$D33,INDIRECT(O$5)))</f>
        <v>0</v>
      </c>
      <c r="P33" s="593">
        <f ca="1">$E33*(-SUMIF(INDIRECT(P$3),'Struktur Aktuell'!$D33,INDIRECT(P$4))+SUMIF(INDIRECT(P$3),'Struktur Aktuell'!$D33,INDIRECT(P$5)))</f>
        <v>0</v>
      </c>
      <c r="Q33" s="593">
        <f ca="1">$E33*(-SUMIF(INDIRECT(Q$3),'Struktur Aktuell'!$D33,INDIRECT(Q$4))+SUMIF(INDIRECT(Q$3),'Struktur Aktuell'!$D33,INDIRECT(Q$5)))</f>
        <v>0</v>
      </c>
      <c r="R33" s="593">
        <f ca="1">$E33*(-SUMIF(INDIRECT(R$3),'Struktur Aktuell'!$D33,INDIRECT(R$4))+SUMIF(INDIRECT(R$3),'Struktur Aktuell'!$D33,INDIRECT(R$5)))</f>
        <v>0</v>
      </c>
      <c r="S33" s="593">
        <f ca="1">$E33*(-SUMIF(INDIRECT(S$3),'Struktur Aktuell'!$D33,INDIRECT(S$4))+SUMIF(INDIRECT(S$3),'Struktur Aktuell'!$D33,INDIRECT(S$5)))</f>
        <v>0</v>
      </c>
      <c r="T33" s="593">
        <f ca="1">$E33*(-SUMIF(INDIRECT(T$3),'Struktur Aktuell'!$D33,INDIRECT(T$4))+SUMIF(INDIRECT(T$3),'Struktur Aktuell'!$D33,INDIRECT(T$5)))</f>
        <v>0</v>
      </c>
      <c r="U33" s="593">
        <f ca="1">$E33*(-SUMIF(INDIRECT(U$3),'Struktur Aktuell'!$D33,INDIRECT(U$4))+SUMIF(INDIRECT(U$3),'Struktur Aktuell'!$D33,INDIRECT(U$5)))</f>
        <v>0</v>
      </c>
      <c r="V33" s="593">
        <f ca="1">$E33*(-SUMIF(INDIRECT(V$3),'Struktur Aktuell'!$D33,INDIRECT(V$4))+SUMIF(INDIRECT(V$3),'Struktur Aktuell'!$D33,INDIRECT(V$5)))</f>
        <v>0</v>
      </c>
      <c r="W33" s="593">
        <f ca="1">$E33*(-SUMIF(INDIRECT(W$3),'Struktur Aktuell'!$D33,INDIRECT(W$4))+SUMIF(INDIRECT(W$3),'Struktur Aktuell'!$D33,INDIRECT(W$5)))</f>
        <v>0</v>
      </c>
      <c r="X33" s="593">
        <f ca="1">$E33*(-SUMIF(INDIRECT(X$3),'Struktur Aktuell'!$D33,INDIRECT(X$4))+SUMIF(INDIRECT(X$3),'Struktur Aktuell'!$D33,INDIRECT(X$5)))</f>
        <v>0</v>
      </c>
      <c r="Y33" s="593">
        <f ca="1">$E33*(-SUMIF(INDIRECT(Y$3),'Struktur Aktuell'!$D33,INDIRECT(Y$4))+SUMIF(INDIRECT(Y$3),'Struktur Aktuell'!$D33,INDIRECT(Y$5)))</f>
        <v>0</v>
      </c>
      <c r="Z33" s="593">
        <f ca="1">$E33*(-SUMIF(INDIRECT(Z$3),'Struktur Aktuell'!$D33,INDIRECT(Z$4))+SUMIF(INDIRECT(Z$3),'Struktur Aktuell'!$D33,INDIRECT(Z$5)))</f>
        <v>0</v>
      </c>
      <c r="AA33" s="593">
        <f ca="1">$E33*(-SUMIF(INDIRECT(AA$3),'Struktur Aktuell'!$D33,INDIRECT(AA$4))+SUMIF(INDIRECT(AA$3),'Struktur Aktuell'!$D33,INDIRECT(AA$5)))</f>
        <v>0</v>
      </c>
      <c r="AB33" s="593">
        <f ca="1">$E33*(-SUMIF(INDIRECT(AB$3),'Struktur Aktuell'!$D33,INDIRECT(AB$4))+SUMIF(INDIRECT(AB$3),'Struktur Aktuell'!$D33,INDIRECT(AB$5)))</f>
        <v>0</v>
      </c>
      <c r="AC33" s="593">
        <f ca="1">$E33*(-SUMIF(INDIRECT(AC$3),'Struktur Aktuell'!$D33,INDIRECT(AC$4))+SUMIF(INDIRECT(AC$3),'Struktur Aktuell'!$D33,INDIRECT(AC$5)))</f>
        <v>0</v>
      </c>
      <c r="AD33" s="593">
        <f ca="1">$E33*(-SUMIF(INDIRECT(AD$3),'Struktur Aktuell'!$D33,INDIRECT(AD$4))+SUMIF(INDIRECT(AD$3),'Struktur Aktuell'!$D33,INDIRECT(AD$5)))</f>
        <v>0</v>
      </c>
      <c r="AE33" s="593">
        <f t="shared" ca="1" si="33"/>
        <v>0</v>
      </c>
      <c r="AF33" s="593">
        <f t="shared" ca="1" si="34"/>
        <v>0</v>
      </c>
      <c r="AG33" s="593">
        <f t="shared" ca="1" si="35"/>
        <v>0</v>
      </c>
      <c r="AH33" s="593">
        <f t="shared" ca="1" si="36"/>
        <v>0</v>
      </c>
      <c r="AI33" s="593">
        <f t="shared" ca="1" si="37"/>
        <v>0</v>
      </c>
      <c r="AJ33" s="593">
        <f t="shared" ca="1" si="38"/>
        <v>0</v>
      </c>
      <c r="AK33" s="593">
        <f t="shared" ca="1" si="39"/>
        <v>0</v>
      </c>
      <c r="AL33" s="593">
        <f t="shared" ca="1" si="40"/>
        <v>0</v>
      </c>
      <c r="AM33" s="593">
        <f t="shared" ca="1" si="41"/>
        <v>0</v>
      </c>
      <c r="AN33" s="593">
        <f t="shared" ca="1" si="42"/>
        <v>0</v>
      </c>
      <c r="AO33" s="593">
        <f t="shared" ca="1" si="43"/>
        <v>0</v>
      </c>
      <c r="AP33" s="593">
        <f t="shared" ca="1" si="44"/>
        <v>0</v>
      </c>
    </row>
    <row r="34" spans="1:42" s="594" customFormat="1" ht="11.25" outlineLevel="1" x14ac:dyDescent="0.2">
      <c r="A34" s="590"/>
      <c r="B34" s="591" t="str">
        <f>IF(D34&lt;&gt;"",
IF(ISERROR(MATCH(D34,'Ist Aktuell Monat 01'!A:A,0))=FALSE,INDEX('Ist Aktuell Monat 01'!B:B,MATCH(D34,'Ist Aktuell Monat 01'!A:A,0)),
IF(ISERROR(MATCH(D34,'Ist Aktuell Monat 02'!A:A,0))=FALSE,INDEX('Ist Aktuell Monat 02'!B:B,MATCH(D34,'Ist Aktuell Monat 02'!A:A,0)),
IF(ISERROR(MATCH(D34,'Ist Aktuell Monat 03'!A:A,0))=FALSE,INDEX('Ist Aktuell Monat 03'!B:B,MATCH(D34,'Ist Aktuell Monat 03'!A:A,0)),
IF(ISERROR(MATCH(D34,'Ist Aktuell Monat 04'!A:A,0))=FALSE,INDEX('Ist Aktuell Monat 04'!B:B,MATCH(D34,'Ist Aktuell Monat 04'!A:A,0)),
IF(ISERROR(MATCH(D34,'Ist Aktuell Monat 05'!A:A,0))=FALSE,INDEX('Ist Aktuell Monat 05'!B:B,MATCH(D34,'Ist Aktuell Monat 05'!A:A,0)),
IF(ISERROR(MATCH(D34,'Ist Aktuell Monat 06'!A:A,0))=FALSE,INDEX('Ist Aktuell Monat 06'!B:B,MATCH(D34,'Ist Aktuell Monat 06'!A:A,0)),
IF(ISERROR(MATCH(D34,'Ist Aktuell Monat 07'!A:A,0))=FALSE,INDEX('Ist Aktuell Monat 07'!B:B,MATCH(D34,'Ist Aktuell Monat 07'!A:A,0)),
IF(ISERROR(MATCH(D34,'Ist Aktuell Monat 08'!A:A,0))=FALSE,INDEX('Ist Aktuell Monat 08'!B:B,MATCH(D34,'Ist Aktuell Monat 08'!A:A,0)),
IF(ISERROR(MATCH(D34,'Ist Aktuell Monat 09'!A:A,0))=FALSE,INDEX('Ist Aktuell Monat 09'!B:B,MATCH(D34,'Ist Aktuell Monat 09'!A:A,0)),
IF(ISERROR(MATCH(D34,'Ist Aktuell Monat 10'!A:A,0))=FALSE,INDEX('Ist Aktuell Monat 10'!B:B,MATCH(D34,'Ist Aktuell Monat 10'!A:A,0)),
IF(ISERROR(MATCH(D34,'Ist Aktuell Monat 11'!A:A,0))=FALSE,INDEX('Ist Aktuell Monat 11'!B:B,MATCH(D34,'Ist Aktuell Monat 11'!A:A,0)),
IF(ISERROR(MATCH(D34,'Ist Aktuell Monat 12'!A:A,0))=FALSE,INDEX('Ist Aktuell Monat 12'!B:B,MATCH(D34,'Ist Aktuell Monat 12'!A:A,0)),
"{Konto unbekannt}"
)))))))))))),"")</f>
        <v/>
      </c>
      <c r="C34" s="591"/>
      <c r="D34" s="590"/>
      <c r="E34" s="592">
        <f t="shared" si="30"/>
        <v>1</v>
      </c>
      <c r="F34" s="590"/>
      <c r="G34" s="593">
        <f ca="1">$E34*(-SUMIF(INDIRECT(G$3),'Struktur Aktuell'!$D34,INDIRECT(G$4))+SUMIF(INDIRECT(G$3),'Struktur Aktuell'!$D34,INDIRECT(G$5)))</f>
        <v>0</v>
      </c>
      <c r="H34" s="593">
        <f ca="1">$E34*(-SUMIF(INDIRECT(H$3),'Struktur Aktuell'!$D34,INDIRECT(H$4))+SUMIF(INDIRECT(H$3),'Struktur Aktuell'!$D34,INDIRECT(H$5)))</f>
        <v>0</v>
      </c>
      <c r="I34" s="593">
        <f ca="1">$E34*(-SUMIF(INDIRECT(I$3),'Struktur Aktuell'!$D34,INDIRECT(I$4))+SUMIF(INDIRECT(I$3),'Struktur Aktuell'!$D34,INDIRECT(I$5)))</f>
        <v>0</v>
      </c>
      <c r="J34" s="593">
        <f ca="1">$E34*(-SUMIF(INDIRECT(J$3),'Struktur Aktuell'!$D34,INDIRECT(J$4))+SUMIF(INDIRECT(J$3),'Struktur Aktuell'!$D34,INDIRECT(J$5)))</f>
        <v>0</v>
      </c>
      <c r="K34" s="593">
        <f ca="1">$E34*(-SUMIF(INDIRECT(K$3),'Struktur Aktuell'!$D34,INDIRECT(K$4))+SUMIF(INDIRECT(K$3),'Struktur Aktuell'!$D34,INDIRECT(K$5)))</f>
        <v>0</v>
      </c>
      <c r="L34" s="593">
        <f ca="1">$E34*(-SUMIF(INDIRECT(L$3),'Struktur Aktuell'!$D34,INDIRECT(L$4))+SUMIF(INDIRECT(L$3),'Struktur Aktuell'!$D34,INDIRECT(L$5)))</f>
        <v>0</v>
      </c>
      <c r="M34" s="593">
        <f ca="1">$E34*(-SUMIF(INDIRECT(M$3),'Struktur Aktuell'!$D34,INDIRECT(M$4))+SUMIF(INDIRECT(M$3),'Struktur Aktuell'!$D34,INDIRECT(M$5)))</f>
        <v>0</v>
      </c>
      <c r="N34" s="593">
        <f ca="1">$E34*(-SUMIF(INDIRECT(N$3),'Struktur Aktuell'!$D34,INDIRECT(N$4))+SUMIF(INDIRECT(N$3),'Struktur Aktuell'!$D34,INDIRECT(N$5)))</f>
        <v>0</v>
      </c>
      <c r="O34" s="593">
        <f ca="1">$E34*(-SUMIF(INDIRECT(O$3),'Struktur Aktuell'!$D34,INDIRECT(O$4))+SUMIF(INDIRECT(O$3),'Struktur Aktuell'!$D34,INDIRECT(O$5)))</f>
        <v>0</v>
      </c>
      <c r="P34" s="593">
        <f ca="1">$E34*(-SUMIF(INDIRECT(P$3),'Struktur Aktuell'!$D34,INDIRECT(P$4))+SUMIF(INDIRECT(P$3),'Struktur Aktuell'!$D34,INDIRECT(P$5)))</f>
        <v>0</v>
      </c>
      <c r="Q34" s="593">
        <f ca="1">$E34*(-SUMIF(INDIRECT(Q$3),'Struktur Aktuell'!$D34,INDIRECT(Q$4))+SUMIF(INDIRECT(Q$3),'Struktur Aktuell'!$D34,INDIRECT(Q$5)))</f>
        <v>0</v>
      </c>
      <c r="R34" s="593">
        <f ca="1">$E34*(-SUMIF(INDIRECT(R$3),'Struktur Aktuell'!$D34,INDIRECT(R$4))+SUMIF(INDIRECT(R$3),'Struktur Aktuell'!$D34,INDIRECT(R$5)))</f>
        <v>0</v>
      </c>
      <c r="S34" s="593">
        <f ca="1">$E34*(-SUMIF(INDIRECT(S$3),'Struktur Aktuell'!$D34,INDIRECT(S$4))+SUMIF(INDIRECT(S$3),'Struktur Aktuell'!$D34,INDIRECT(S$5)))</f>
        <v>0</v>
      </c>
      <c r="T34" s="593">
        <f ca="1">$E34*(-SUMIF(INDIRECT(T$3),'Struktur Aktuell'!$D34,INDIRECT(T$4))+SUMIF(INDIRECT(T$3),'Struktur Aktuell'!$D34,INDIRECT(T$5)))</f>
        <v>0</v>
      </c>
      <c r="U34" s="593">
        <f ca="1">$E34*(-SUMIF(INDIRECT(U$3),'Struktur Aktuell'!$D34,INDIRECT(U$4))+SUMIF(INDIRECT(U$3),'Struktur Aktuell'!$D34,INDIRECT(U$5)))</f>
        <v>0</v>
      </c>
      <c r="V34" s="593">
        <f ca="1">$E34*(-SUMIF(INDIRECT(V$3),'Struktur Aktuell'!$D34,INDIRECT(V$4))+SUMIF(INDIRECT(V$3),'Struktur Aktuell'!$D34,INDIRECT(V$5)))</f>
        <v>0</v>
      </c>
      <c r="W34" s="593">
        <f ca="1">$E34*(-SUMIF(INDIRECT(W$3),'Struktur Aktuell'!$D34,INDIRECT(W$4))+SUMIF(INDIRECT(W$3),'Struktur Aktuell'!$D34,INDIRECT(W$5)))</f>
        <v>0</v>
      </c>
      <c r="X34" s="593">
        <f ca="1">$E34*(-SUMIF(INDIRECT(X$3),'Struktur Aktuell'!$D34,INDIRECT(X$4))+SUMIF(INDIRECT(X$3),'Struktur Aktuell'!$D34,INDIRECT(X$5)))</f>
        <v>0</v>
      </c>
      <c r="Y34" s="593">
        <f ca="1">$E34*(-SUMIF(INDIRECT(Y$3),'Struktur Aktuell'!$D34,INDIRECT(Y$4))+SUMIF(INDIRECT(Y$3),'Struktur Aktuell'!$D34,INDIRECT(Y$5)))</f>
        <v>0</v>
      </c>
      <c r="Z34" s="593">
        <f ca="1">$E34*(-SUMIF(INDIRECT(Z$3),'Struktur Aktuell'!$D34,INDIRECT(Z$4))+SUMIF(INDIRECT(Z$3),'Struktur Aktuell'!$D34,INDIRECT(Z$5)))</f>
        <v>0</v>
      </c>
      <c r="AA34" s="593">
        <f ca="1">$E34*(-SUMIF(INDIRECT(AA$3),'Struktur Aktuell'!$D34,INDIRECT(AA$4))+SUMIF(INDIRECT(AA$3),'Struktur Aktuell'!$D34,INDIRECT(AA$5)))</f>
        <v>0</v>
      </c>
      <c r="AB34" s="593">
        <f ca="1">$E34*(-SUMIF(INDIRECT(AB$3),'Struktur Aktuell'!$D34,INDIRECT(AB$4))+SUMIF(INDIRECT(AB$3),'Struktur Aktuell'!$D34,INDIRECT(AB$5)))</f>
        <v>0</v>
      </c>
      <c r="AC34" s="593">
        <f ca="1">$E34*(-SUMIF(INDIRECT(AC$3),'Struktur Aktuell'!$D34,INDIRECT(AC$4))+SUMIF(INDIRECT(AC$3),'Struktur Aktuell'!$D34,INDIRECT(AC$5)))</f>
        <v>0</v>
      </c>
      <c r="AD34" s="593">
        <f ca="1">$E34*(-SUMIF(INDIRECT(AD$3),'Struktur Aktuell'!$D34,INDIRECT(AD$4))+SUMIF(INDIRECT(AD$3),'Struktur Aktuell'!$D34,INDIRECT(AD$5)))</f>
        <v>0</v>
      </c>
      <c r="AE34" s="593">
        <f t="shared" ca="1" si="33"/>
        <v>0</v>
      </c>
      <c r="AF34" s="593">
        <f t="shared" ca="1" si="34"/>
        <v>0</v>
      </c>
      <c r="AG34" s="593">
        <f t="shared" ca="1" si="35"/>
        <v>0</v>
      </c>
      <c r="AH34" s="593">
        <f t="shared" ca="1" si="36"/>
        <v>0</v>
      </c>
      <c r="AI34" s="593">
        <f t="shared" ca="1" si="37"/>
        <v>0</v>
      </c>
      <c r="AJ34" s="593">
        <f t="shared" ca="1" si="38"/>
        <v>0</v>
      </c>
      <c r="AK34" s="593">
        <f t="shared" ca="1" si="39"/>
        <v>0</v>
      </c>
      <c r="AL34" s="593">
        <f t="shared" ca="1" si="40"/>
        <v>0</v>
      </c>
      <c r="AM34" s="593">
        <f t="shared" ca="1" si="41"/>
        <v>0</v>
      </c>
      <c r="AN34" s="593">
        <f t="shared" ca="1" si="42"/>
        <v>0</v>
      </c>
      <c r="AO34" s="593">
        <f t="shared" ca="1" si="43"/>
        <v>0</v>
      </c>
      <c r="AP34" s="593">
        <f t="shared" ca="1" si="44"/>
        <v>0</v>
      </c>
    </row>
    <row r="35" spans="1:42" s="589" customFormat="1" x14ac:dyDescent="0.2">
      <c r="A35" s="585">
        <v>3</v>
      </c>
      <c r="B35" s="586" t="s">
        <v>998</v>
      </c>
      <c r="C35" s="587">
        <f ca="1">SUM(G35:R35)</f>
        <v>0</v>
      </c>
      <c r="D35" s="587"/>
      <c r="E35" s="588">
        <f t="shared" si="30"/>
        <v>1</v>
      </c>
      <c r="F35" s="585"/>
      <c r="G35" s="587">
        <f t="shared" ref="G35:R35" ca="1" si="45">SUM(G36:G45)</f>
        <v>0</v>
      </c>
      <c r="H35" s="587">
        <f t="shared" ca="1" si="45"/>
        <v>0</v>
      </c>
      <c r="I35" s="587">
        <f t="shared" ca="1" si="45"/>
        <v>0</v>
      </c>
      <c r="J35" s="587">
        <f t="shared" ca="1" si="45"/>
        <v>0</v>
      </c>
      <c r="K35" s="587">
        <f t="shared" ca="1" si="45"/>
        <v>0</v>
      </c>
      <c r="L35" s="587">
        <f t="shared" ca="1" si="45"/>
        <v>0</v>
      </c>
      <c r="M35" s="587">
        <f t="shared" ca="1" si="45"/>
        <v>0</v>
      </c>
      <c r="N35" s="587">
        <f t="shared" ca="1" si="45"/>
        <v>0</v>
      </c>
      <c r="O35" s="587">
        <f t="shared" ca="1" si="45"/>
        <v>0</v>
      </c>
      <c r="P35" s="587">
        <f t="shared" ca="1" si="45"/>
        <v>0</v>
      </c>
      <c r="Q35" s="587">
        <f t="shared" ca="1" si="45"/>
        <v>0</v>
      </c>
      <c r="R35" s="587">
        <f t="shared" ca="1" si="45"/>
        <v>0</v>
      </c>
      <c r="S35" s="587">
        <f t="shared" ref="S35:AP35" ca="1" si="46">SUM(S36:S45)</f>
        <v>0</v>
      </c>
      <c r="T35" s="587">
        <f t="shared" ca="1" si="46"/>
        <v>0</v>
      </c>
      <c r="U35" s="587">
        <f t="shared" ca="1" si="46"/>
        <v>0</v>
      </c>
      <c r="V35" s="587">
        <f t="shared" ca="1" si="46"/>
        <v>0</v>
      </c>
      <c r="W35" s="587">
        <f t="shared" ca="1" si="46"/>
        <v>0</v>
      </c>
      <c r="X35" s="587">
        <f t="shared" ca="1" si="46"/>
        <v>0</v>
      </c>
      <c r="Y35" s="587">
        <f t="shared" ca="1" si="46"/>
        <v>0</v>
      </c>
      <c r="Z35" s="587">
        <f t="shared" ca="1" si="46"/>
        <v>0</v>
      </c>
      <c r="AA35" s="587">
        <f t="shared" ca="1" si="46"/>
        <v>0</v>
      </c>
      <c r="AB35" s="587">
        <f t="shared" ca="1" si="46"/>
        <v>0</v>
      </c>
      <c r="AC35" s="587">
        <f t="shared" ca="1" si="46"/>
        <v>0</v>
      </c>
      <c r="AD35" s="587">
        <f t="shared" ca="1" si="46"/>
        <v>0</v>
      </c>
      <c r="AE35" s="587">
        <f t="shared" ca="1" si="46"/>
        <v>0</v>
      </c>
      <c r="AF35" s="587">
        <f t="shared" ca="1" si="46"/>
        <v>0</v>
      </c>
      <c r="AG35" s="587">
        <f t="shared" ca="1" si="46"/>
        <v>0</v>
      </c>
      <c r="AH35" s="587">
        <f t="shared" ca="1" si="46"/>
        <v>0</v>
      </c>
      <c r="AI35" s="587">
        <f t="shared" ca="1" si="46"/>
        <v>0</v>
      </c>
      <c r="AJ35" s="587">
        <f t="shared" ca="1" si="46"/>
        <v>0</v>
      </c>
      <c r="AK35" s="587">
        <f t="shared" ca="1" si="46"/>
        <v>0</v>
      </c>
      <c r="AL35" s="587">
        <f t="shared" ca="1" si="46"/>
        <v>0</v>
      </c>
      <c r="AM35" s="587">
        <f t="shared" ca="1" si="46"/>
        <v>0</v>
      </c>
      <c r="AN35" s="587">
        <f t="shared" ca="1" si="46"/>
        <v>0</v>
      </c>
      <c r="AO35" s="587">
        <f t="shared" ca="1" si="46"/>
        <v>0</v>
      </c>
      <c r="AP35" s="587">
        <f t="shared" ca="1" si="46"/>
        <v>0</v>
      </c>
    </row>
    <row r="36" spans="1:42" s="594" customFormat="1" ht="11.25" outlineLevel="1" x14ac:dyDescent="0.2">
      <c r="A36" s="590"/>
      <c r="B36" s="591" t="str">
        <f>IF(D36&lt;&gt;"",
IF(ISERROR(MATCH(D36,'Ist Aktuell Monat 01'!A:A,0))=FALSE,INDEX('Ist Aktuell Monat 01'!B:B,MATCH(D36,'Ist Aktuell Monat 01'!A:A,0)),
IF(ISERROR(MATCH(D36,'Ist Aktuell Monat 02'!A:A,0))=FALSE,INDEX('Ist Aktuell Monat 02'!B:B,MATCH(D36,'Ist Aktuell Monat 02'!A:A,0)),
IF(ISERROR(MATCH(D36,'Ist Aktuell Monat 03'!A:A,0))=FALSE,INDEX('Ist Aktuell Monat 03'!B:B,MATCH(D36,'Ist Aktuell Monat 03'!A:A,0)),
IF(ISERROR(MATCH(D36,'Ist Aktuell Monat 04'!A:A,0))=FALSE,INDEX('Ist Aktuell Monat 04'!B:B,MATCH(D36,'Ist Aktuell Monat 04'!A:A,0)),
IF(ISERROR(MATCH(D36,'Ist Aktuell Monat 05'!A:A,0))=FALSE,INDEX('Ist Aktuell Monat 05'!B:B,MATCH(D36,'Ist Aktuell Monat 05'!A:A,0)),
IF(ISERROR(MATCH(D36,'Ist Aktuell Monat 06'!A:A,0))=FALSE,INDEX('Ist Aktuell Monat 06'!B:B,MATCH(D36,'Ist Aktuell Monat 06'!A:A,0)),
IF(ISERROR(MATCH(D36,'Ist Aktuell Monat 07'!A:A,0))=FALSE,INDEX('Ist Aktuell Monat 07'!B:B,MATCH(D36,'Ist Aktuell Monat 07'!A:A,0)),
IF(ISERROR(MATCH(D36,'Ist Aktuell Monat 08'!A:A,0))=FALSE,INDEX('Ist Aktuell Monat 08'!B:B,MATCH(D36,'Ist Aktuell Monat 08'!A:A,0)),
IF(ISERROR(MATCH(D36,'Ist Aktuell Monat 09'!A:A,0))=FALSE,INDEX('Ist Aktuell Monat 09'!B:B,MATCH(D36,'Ist Aktuell Monat 09'!A:A,0)),
IF(ISERROR(MATCH(D36,'Ist Aktuell Monat 10'!A:A,0))=FALSE,INDEX('Ist Aktuell Monat 10'!B:B,MATCH(D36,'Ist Aktuell Monat 10'!A:A,0)),
IF(ISERROR(MATCH(D36,'Ist Aktuell Monat 11'!A:A,0))=FALSE,INDEX('Ist Aktuell Monat 11'!B:B,MATCH(D36,'Ist Aktuell Monat 11'!A:A,0)),
IF(ISERROR(MATCH(D36,'Ist Aktuell Monat 12'!A:A,0))=FALSE,INDEX('Ist Aktuell Monat 12'!B:B,MATCH(D36,'Ist Aktuell Monat 12'!A:A,0)),
"{Konto unbekannt}"
)))))))))))),"")</f>
        <v/>
      </c>
      <c r="C36" s="591"/>
      <c r="D36" s="590"/>
      <c r="E36" s="592">
        <f t="shared" si="30"/>
        <v>-1</v>
      </c>
      <c r="F36" s="590" t="s">
        <v>996</v>
      </c>
      <c r="G36" s="593">
        <f ca="1">$E36*(-SUMIF(INDIRECT(G$3),'Struktur Aktuell'!$D36,INDIRECT(G$4))+SUMIF(INDIRECT(G$3),'Struktur Aktuell'!$D36,INDIRECT(G$5)))</f>
        <v>0</v>
      </c>
      <c r="H36" s="593">
        <f ca="1">$E36*(-SUMIF(INDIRECT(H$3),'Struktur Aktuell'!$D36,INDIRECT(H$4))+SUMIF(INDIRECT(H$3),'Struktur Aktuell'!$D36,INDIRECT(H$5)))</f>
        <v>0</v>
      </c>
      <c r="I36" s="593">
        <f ca="1">$E36*(-SUMIF(INDIRECT(I$3),'Struktur Aktuell'!$D36,INDIRECT(I$4))+SUMIF(INDIRECT(I$3),'Struktur Aktuell'!$D36,INDIRECT(I$5)))</f>
        <v>0</v>
      </c>
      <c r="J36" s="593">
        <f ca="1">$E36*(-SUMIF(INDIRECT(J$3),'Struktur Aktuell'!$D36,INDIRECT(J$4))+SUMIF(INDIRECT(J$3),'Struktur Aktuell'!$D36,INDIRECT(J$5)))</f>
        <v>0</v>
      </c>
      <c r="K36" s="593">
        <f ca="1">$E36*(-SUMIF(INDIRECT(K$3),'Struktur Aktuell'!$D36,INDIRECT(K$4))+SUMIF(INDIRECT(K$3),'Struktur Aktuell'!$D36,INDIRECT(K$5)))</f>
        <v>0</v>
      </c>
      <c r="L36" s="593">
        <f ca="1">$E36*(-SUMIF(INDIRECT(L$3),'Struktur Aktuell'!$D36,INDIRECT(L$4))+SUMIF(INDIRECT(L$3),'Struktur Aktuell'!$D36,INDIRECT(L$5)))</f>
        <v>0</v>
      </c>
      <c r="M36" s="593">
        <f ca="1">$E36*(-SUMIF(INDIRECT(M$3),'Struktur Aktuell'!$D36,INDIRECT(M$4))+SUMIF(INDIRECT(M$3),'Struktur Aktuell'!$D36,INDIRECT(M$5)))</f>
        <v>0</v>
      </c>
      <c r="N36" s="593">
        <f ca="1">$E36*(-SUMIF(INDIRECT(N$3),'Struktur Aktuell'!$D36,INDIRECT(N$4))+SUMIF(INDIRECT(N$3),'Struktur Aktuell'!$D36,INDIRECT(N$5)))</f>
        <v>0</v>
      </c>
      <c r="O36" s="593">
        <f ca="1">$E36*(-SUMIF(INDIRECT(O$3),'Struktur Aktuell'!$D36,INDIRECT(O$4))+SUMIF(INDIRECT(O$3),'Struktur Aktuell'!$D36,INDIRECT(O$5)))</f>
        <v>0</v>
      </c>
      <c r="P36" s="593">
        <f ca="1">$E36*(-SUMIF(INDIRECT(P$3),'Struktur Aktuell'!$D36,INDIRECT(P$4))+SUMIF(INDIRECT(P$3),'Struktur Aktuell'!$D36,INDIRECT(P$5)))</f>
        <v>0</v>
      </c>
      <c r="Q36" s="593">
        <f ca="1">$E36*(-SUMIF(INDIRECT(Q$3),'Struktur Aktuell'!$D36,INDIRECT(Q$4))+SUMIF(INDIRECT(Q$3),'Struktur Aktuell'!$D36,INDIRECT(Q$5)))</f>
        <v>0</v>
      </c>
      <c r="R36" s="593">
        <f ca="1">$E36*(-SUMIF(INDIRECT(R$3),'Struktur Aktuell'!$D36,INDIRECT(R$4))+SUMIF(INDIRECT(R$3),'Struktur Aktuell'!$D36,INDIRECT(R$5)))</f>
        <v>0</v>
      </c>
      <c r="S36" s="593">
        <f ca="1">$E36*(-SUMIF(INDIRECT(S$3),'Struktur Aktuell'!$D36,INDIRECT(S$4))+SUMIF(INDIRECT(S$3),'Struktur Aktuell'!$D36,INDIRECT(S$5)))</f>
        <v>0</v>
      </c>
      <c r="T36" s="593">
        <f ca="1">$E36*(-SUMIF(INDIRECT(T$3),'Struktur Aktuell'!$D36,INDIRECT(T$4))+SUMIF(INDIRECT(T$3),'Struktur Aktuell'!$D36,INDIRECT(T$5)))</f>
        <v>0</v>
      </c>
      <c r="U36" s="593">
        <f ca="1">$E36*(-SUMIF(INDIRECT(U$3),'Struktur Aktuell'!$D36,INDIRECT(U$4))+SUMIF(INDIRECT(U$3),'Struktur Aktuell'!$D36,INDIRECT(U$5)))</f>
        <v>0</v>
      </c>
      <c r="V36" s="593">
        <f ca="1">$E36*(-SUMIF(INDIRECT(V$3),'Struktur Aktuell'!$D36,INDIRECT(V$4))+SUMIF(INDIRECT(V$3),'Struktur Aktuell'!$D36,INDIRECT(V$5)))</f>
        <v>0</v>
      </c>
      <c r="W36" s="593">
        <f ca="1">$E36*(-SUMIF(INDIRECT(W$3),'Struktur Aktuell'!$D36,INDIRECT(W$4))+SUMIF(INDIRECT(W$3),'Struktur Aktuell'!$D36,INDIRECT(W$5)))</f>
        <v>0</v>
      </c>
      <c r="X36" s="593">
        <f ca="1">$E36*(-SUMIF(INDIRECT(X$3),'Struktur Aktuell'!$D36,INDIRECT(X$4))+SUMIF(INDIRECT(X$3),'Struktur Aktuell'!$D36,INDIRECT(X$5)))</f>
        <v>0</v>
      </c>
      <c r="Y36" s="593">
        <f ca="1">$E36*(-SUMIF(INDIRECT(Y$3),'Struktur Aktuell'!$D36,INDIRECT(Y$4))+SUMIF(INDIRECT(Y$3),'Struktur Aktuell'!$D36,INDIRECT(Y$5)))</f>
        <v>0</v>
      </c>
      <c r="Z36" s="593">
        <f ca="1">$E36*(-SUMIF(INDIRECT(Z$3),'Struktur Aktuell'!$D36,INDIRECT(Z$4))+SUMIF(INDIRECT(Z$3),'Struktur Aktuell'!$D36,INDIRECT(Z$5)))</f>
        <v>0</v>
      </c>
      <c r="AA36" s="593">
        <f ca="1">$E36*(-SUMIF(INDIRECT(AA$3),'Struktur Aktuell'!$D36,INDIRECT(AA$4))+SUMIF(INDIRECT(AA$3),'Struktur Aktuell'!$D36,INDIRECT(AA$5)))</f>
        <v>0</v>
      </c>
      <c r="AB36" s="593">
        <f ca="1">$E36*(-SUMIF(INDIRECT(AB$3),'Struktur Aktuell'!$D36,INDIRECT(AB$4))+SUMIF(INDIRECT(AB$3),'Struktur Aktuell'!$D36,INDIRECT(AB$5)))</f>
        <v>0</v>
      </c>
      <c r="AC36" s="593">
        <f ca="1">$E36*(-SUMIF(INDIRECT(AC$3),'Struktur Aktuell'!$D36,INDIRECT(AC$4))+SUMIF(INDIRECT(AC$3),'Struktur Aktuell'!$D36,INDIRECT(AC$5)))</f>
        <v>0</v>
      </c>
      <c r="AD36" s="593">
        <f ca="1">$E36*(-SUMIF(INDIRECT(AD$3),'Struktur Aktuell'!$D36,INDIRECT(AD$4))+SUMIF(INDIRECT(AD$3),'Struktur Aktuell'!$D36,INDIRECT(AD$5)))</f>
        <v>0</v>
      </c>
      <c r="AE36" s="593">
        <f t="shared" ref="AE36:AE45" ca="1" si="47">G36</f>
        <v>0</v>
      </c>
      <c r="AF36" s="593">
        <f t="shared" ref="AF36:AF45" ca="1" si="48">H36+AE36</f>
        <v>0</v>
      </c>
      <c r="AG36" s="593">
        <f t="shared" ref="AG36:AG45" ca="1" si="49">I36+AF36</f>
        <v>0</v>
      </c>
      <c r="AH36" s="593">
        <f t="shared" ref="AH36:AH45" ca="1" si="50">J36+AG36</f>
        <v>0</v>
      </c>
      <c r="AI36" s="593">
        <f t="shared" ref="AI36:AI45" ca="1" si="51">K36+AH36</f>
        <v>0</v>
      </c>
      <c r="AJ36" s="593">
        <f t="shared" ref="AJ36:AJ45" ca="1" si="52">L36+AI36</f>
        <v>0</v>
      </c>
      <c r="AK36" s="593">
        <f t="shared" ref="AK36:AK45" ca="1" si="53">M36+AJ36</f>
        <v>0</v>
      </c>
      <c r="AL36" s="593">
        <f t="shared" ref="AL36:AL45" ca="1" si="54">N36+AK36</f>
        <v>0</v>
      </c>
      <c r="AM36" s="593">
        <f t="shared" ref="AM36:AM45" ca="1" si="55">O36+AL36</f>
        <v>0</v>
      </c>
      <c r="AN36" s="593">
        <f t="shared" ref="AN36:AN45" ca="1" si="56">P36+AM36</f>
        <v>0</v>
      </c>
      <c r="AO36" s="593">
        <f t="shared" ref="AO36:AO45" ca="1" si="57">Q36+AN36</f>
        <v>0</v>
      </c>
      <c r="AP36" s="593">
        <f t="shared" ref="AP36:AP45" ca="1" si="58">R36+AO36</f>
        <v>0</v>
      </c>
    </row>
    <row r="37" spans="1:42" s="594" customFormat="1" ht="11.25" outlineLevel="1" x14ac:dyDescent="0.2">
      <c r="A37" s="590"/>
      <c r="B37" s="591" t="str">
        <f>IF(D37&lt;&gt;"",
IF(ISERROR(MATCH(D37,'Ist Aktuell Monat 01'!A:A,0))=FALSE,INDEX('Ist Aktuell Monat 01'!B:B,MATCH(D37,'Ist Aktuell Monat 01'!A:A,0)),
IF(ISERROR(MATCH(D37,'Ist Aktuell Monat 02'!A:A,0))=FALSE,INDEX('Ist Aktuell Monat 02'!B:B,MATCH(D37,'Ist Aktuell Monat 02'!A:A,0)),
IF(ISERROR(MATCH(D37,'Ist Aktuell Monat 03'!A:A,0))=FALSE,INDEX('Ist Aktuell Monat 03'!B:B,MATCH(D37,'Ist Aktuell Monat 03'!A:A,0)),
IF(ISERROR(MATCH(D37,'Ist Aktuell Monat 04'!A:A,0))=FALSE,INDEX('Ist Aktuell Monat 04'!B:B,MATCH(D37,'Ist Aktuell Monat 04'!A:A,0)),
IF(ISERROR(MATCH(D37,'Ist Aktuell Monat 05'!A:A,0))=FALSE,INDEX('Ist Aktuell Monat 05'!B:B,MATCH(D37,'Ist Aktuell Monat 05'!A:A,0)),
IF(ISERROR(MATCH(D37,'Ist Aktuell Monat 06'!A:A,0))=FALSE,INDEX('Ist Aktuell Monat 06'!B:B,MATCH(D37,'Ist Aktuell Monat 06'!A:A,0)),
IF(ISERROR(MATCH(D37,'Ist Aktuell Monat 07'!A:A,0))=FALSE,INDEX('Ist Aktuell Monat 07'!B:B,MATCH(D37,'Ist Aktuell Monat 07'!A:A,0)),
IF(ISERROR(MATCH(D37,'Ist Aktuell Monat 08'!A:A,0))=FALSE,INDEX('Ist Aktuell Monat 08'!B:B,MATCH(D37,'Ist Aktuell Monat 08'!A:A,0)),
IF(ISERROR(MATCH(D37,'Ist Aktuell Monat 09'!A:A,0))=FALSE,INDEX('Ist Aktuell Monat 09'!B:B,MATCH(D37,'Ist Aktuell Monat 09'!A:A,0)),
IF(ISERROR(MATCH(D37,'Ist Aktuell Monat 10'!A:A,0))=FALSE,INDEX('Ist Aktuell Monat 10'!B:B,MATCH(D37,'Ist Aktuell Monat 10'!A:A,0)),
IF(ISERROR(MATCH(D37,'Ist Aktuell Monat 11'!A:A,0))=FALSE,INDEX('Ist Aktuell Monat 11'!B:B,MATCH(D37,'Ist Aktuell Monat 11'!A:A,0)),
IF(ISERROR(MATCH(D37,'Ist Aktuell Monat 12'!A:A,0))=FALSE,INDEX('Ist Aktuell Monat 12'!B:B,MATCH(D37,'Ist Aktuell Monat 12'!A:A,0)),
"{Konto unbekannt}"
)))))))))))),"")</f>
        <v/>
      </c>
      <c r="C37" s="591"/>
      <c r="D37" s="590"/>
      <c r="E37" s="592">
        <f t="shared" si="30"/>
        <v>-1</v>
      </c>
      <c r="F37" s="590" t="s">
        <v>996</v>
      </c>
      <c r="G37" s="593">
        <f ca="1">$E37*(-SUMIF(INDIRECT(G$3),'Struktur Aktuell'!$D37,INDIRECT(G$4))+SUMIF(INDIRECT(G$3),'Struktur Aktuell'!$D37,INDIRECT(G$5)))</f>
        <v>0</v>
      </c>
      <c r="H37" s="593">
        <f ca="1">$E37*(-SUMIF(INDIRECT(H$3),'Struktur Aktuell'!$D37,INDIRECT(H$4))+SUMIF(INDIRECT(H$3),'Struktur Aktuell'!$D37,INDIRECT(H$5)))</f>
        <v>0</v>
      </c>
      <c r="I37" s="593">
        <f ca="1">$E37*(-SUMIF(INDIRECT(I$3),'Struktur Aktuell'!$D37,INDIRECT(I$4))+SUMIF(INDIRECT(I$3),'Struktur Aktuell'!$D37,INDIRECT(I$5)))</f>
        <v>0</v>
      </c>
      <c r="J37" s="593">
        <f ca="1">$E37*(-SUMIF(INDIRECT(J$3),'Struktur Aktuell'!$D37,INDIRECT(J$4))+SUMIF(INDIRECT(J$3),'Struktur Aktuell'!$D37,INDIRECT(J$5)))</f>
        <v>0</v>
      </c>
      <c r="K37" s="593">
        <f ca="1">$E37*(-SUMIF(INDIRECT(K$3),'Struktur Aktuell'!$D37,INDIRECT(K$4))+SUMIF(INDIRECT(K$3),'Struktur Aktuell'!$D37,INDIRECT(K$5)))</f>
        <v>0</v>
      </c>
      <c r="L37" s="593">
        <f ca="1">$E37*(-SUMIF(INDIRECT(L$3),'Struktur Aktuell'!$D37,INDIRECT(L$4))+SUMIF(INDIRECT(L$3),'Struktur Aktuell'!$D37,INDIRECT(L$5)))</f>
        <v>0</v>
      </c>
      <c r="M37" s="593">
        <f ca="1">$E37*(-SUMIF(INDIRECT(M$3),'Struktur Aktuell'!$D37,INDIRECT(M$4))+SUMIF(INDIRECT(M$3),'Struktur Aktuell'!$D37,INDIRECT(M$5)))</f>
        <v>0</v>
      </c>
      <c r="N37" s="593">
        <f ca="1">$E37*(-SUMIF(INDIRECT(N$3),'Struktur Aktuell'!$D37,INDIRECT(N$4))+SUMIF(INDIRECT(N$3),'Struktur Aktuell'!$D37,INDIRECT(N$5)))</f>
        <v>0</v>
      </c>
      <c r="O37" s="593">
        <f ca="1">$E37*(-SUMIF(INDIRECT(O$3),'Struktur Aktuell'!$D37,INDIRECT(O$4))+SUMIF(INDIRECT(O$3),'Struktur Aktuell'!$D37,INDIRECT(O$5)))</f>
        <v>0</v>
      </c>
      <c r="P37" s="593">
        <f ca="1">$E37*(-SUMIF(INDIRECT(P$3),'Struktur Aktuell'!$D37,INDIRECT(P$4))+SUMIF(INDIRECT(P$3),'Struktur Aktuell'!$D37,INDIRECT(P$5)))</f>
        <v>0</v>
      </c>
      <c r="Q37" s="593">
        <f ca="1">$E37*(-SUMIF(INDIRECT(Q$3),'Struktur Aktuell'!$D37,INDIRECT(Q$4))+SUMIF(INDIRECT(Q$3),'Struktur Aktuell'!$D37,INDIRECT(Q$5)))</f>
        <v>0</v>
      </c>
      <c r="R37" s="593">
        <f ca="1">$E37*(-SUMIF(INDIRECT(R$3),'Struktur Aktuell'!$D37,INDIRECT(R$4))+SUMIF(INDIRECT(R$3),'Struktur Aktuell'!$D37,INDIRECT(R$5)))</f>
        <v>0</v>
      </c>
      <c r="S37" s="593">
        <f ca="1">$E37*(-SUMIF(INDIRECT(S$3),'Struktur Aktuell'!$D37,INDIRECT(S$4))+SUMIF(INDIRECT(S$3),'Struktur Aktuell'!$D37,INDIRECT(S$5)))</f>
        <v>0</v>
      </c>
      <c r="T37" s="593">
        <f ca="1">$E37*(-SUMIF(INDIRECT(T$3),'Struktur Aktuell'!$D37,INDIRECT(T$4))+SUMIF(INDIRECT(T$3),'Struktur Aktuell'!$D37,INDIRECT(T$5)))</f>
        <v>0</v>
      </c>
      <c r="U37" s="593">
        <f ca="1">$E37*(-SUMIF(INDIRECT(U$3),'Struktur Aktuell'!$D37,INDIRECT(U$4))+SUMIF(INDIRECT(U$3),'Struktur Aktuell'!$D37,INDIRECT(U$5)))</f>
        <v>0</v>
      </c>
      <c r="V37" s="593">
        <f ca="1">$E37*(-SUMIF(INDIRECT(V$3),'Struktur Aktuell'!$D37,INDIRECT(V$4))+SUMIF(INDIRECT(V$3),'Struktur Aktuell'!$D37,INDIRECT(V$5)))</f>
        <v>0</v>
      </c>
      <c r="W37" s="593">
        <f ca="1">$E37*(-SUMIF(INDIRECT(W$3),'Struktur Aktuell'!$D37,INDIRECT(W$4))+SUMIF(INDIRECT(W$3),'Struktur Aktuell'!$D37,INDIRECT(W$5)))</f>
        <v>0</v>
      </c>
      <c r="X37" s="593">
        <f ca="1">$E37*(-SUMIF(INDIRECT(X$3),'Struktur Aktuell'!$D37,INDIRECT(X$4))+SUMIF(INDIRECT(X$3),'Struktur Aktuell'!$D37,INDIRECT(X$5)))</f>
        <v>0</v>
      </c>
      <c r="Y37" s="593">
        <f ca="1">$E37*(-SUMIF(INDIRECT(Y$3),'Struktur Aktuell'!$D37,INDIRECT(Y$4))+SUMIF(INDIRECT(Y$3),'Struktur Aktuell'!$D37,INDIRECT(Y$5)))</f>
        <v>0</v>
      </c>
      <c r="Z37" s="593">
        <f ca="1">$E37*(-SUMIF(INDIRECT(Z$3),'Struktur Aktuell'!$D37,INDIRECT(Z$4))+SUMIF(INDIRECT(Z$3),'Struktur Aktuell'!$D37,INDIRECT(Z$5)))</f>
        <v>0</v>
      </c>
      <c r="AA37" s="593">
        <f ca="1">$E37*(-SUMIF(INDIRECT(AA$3),'Struktur Aktuell'!$D37,INDIRECT(AA$4))+SUMIF(INDIRECT(AA$3),'Struktur Aktuell'!$D37,INDIRECT(AA$5)))</f>
        <v>0</v>
      </c>
      <c r="AB37" s="593">
        <f ca="1">$E37*(-SUMIF(INDIRECT(AB$3),'Struktur Aktuell'!$D37,INDIRECT(AB$4))+SUMIF(INDIRECT(AB$3),'Struktur Aktuell'!$D37,INDIRECT(AB$5)))</f>
        <v>0</v>
      </c>
      <c r="AC37" s="593">
        <f ca="1">$E37*(-SUMIF(INDIRECT(AC$3),'Struktur Aktuell'!$D37,INDIRECT(AC$4))+SUMIF(INDIRECT(AC$3),'Struktur Aktuell'!$D37,INDIRECT(AC$5)))</f>
        <v>0</v>
      </c>
      <c r="AD37" s="593">
        <f ca="1">$E37*(-SUMIF(INDIRECT(AD$3),'Struktur Aktuell'!$D37,INDIRECT(AD$4))+SUMIF(INDIRECT(AD$3),'Struktur Aktuell'!$D37,INDIRECT(AD$5)))</f>
        <v>0</v>
      </c>
      <c r="AE37" s="593">
        <f t="shared" ca="1" si="47"/>
        <v>0</v>
      </c>
      <c r="AF37" s="593">
        <f t="shared" ca="1" si="48"/>
        <v>0</v>
      </c>
      <c r="AG37" s="593">
        <f t="shared" ca="1" si="49"/>
        <v>0</v>
      </c>
      <c r="AH37" s="593">
        <f t="shared" ca="1" si="50"/>
        <v>0</v>
      </c>
      <c r="AI37" s="593">
        <f t="shared" ca="1" si="51"/>
        <v>0</v>
      </c>
      <c r="AJ37" s="593">
        <f t="shared" ca="1" si="52"/>
        <v>0</v>
      </c>
      <c r="AK37" s="593">
        <f t="shared" ca="1" si="53"/>
        <v>0</v>
      </c>
      <c r="AL37" s="593">
        <f t="shared" ca="1" si="54"/>
        <v>0</v>
      </c>
      <c r="AM37" s="593">
        <f t="shared" ca="1" si="55"/>
        <v>0</v>
      </c>
      <c r="AN37" s="593">
        <f t="shared" ca="1" si="56"/>
        <v>0</v>
      </c>
      <c r="AO37" s="593">
        <f t="shared" ca="1" si="57"/>
        <v>0</v>
      </c>
      <c r="AP37" s="593">
        <f t="shared" ca="1" si="58"/>
        <v>0</v>
      </c>
    </row>
    <row r="38" spans="1:42" s="594" customFormat="1" ht="11.25" outlineLevel="1" x14ac:dyDescent="0.2">
      <c r="A38" s="590"/>
      <c r="B38" s="591" t="str">
        <f>IF(D38&lt;&gt;"",
IF(ISERROR(MATCH(D38,'Ist Aktuell Monat 01'!A:A,0))=FALSE,INDEX('Ist Aktuell Monat 01'!B:B,MATCH(D38,'Ist Aktuell Monat 01'!A:A,0)),
IF(ISERROR(MATCH(D38,'Ist Aktuell Monat 02'!A:A,0))=FALSE,INDEX('Ist Aktuell Monat 02'!B:B,MATCH(D38,'Ist Aktuell Monat 02'!A:A,0)),
IF(ISERROR(MATCH(D38,'Ist Aktuell Monat 03'!A:A,0))=FALSE,INDEX('Ist Aktuell Monat 03'!B:B,MATCH(D38,'Ist Aktuell Monat 03'!A:A,0)),
IF(ISERROR(MATCH(D38,'Ist Aktuell Monat 04'!A:A,0))=FALSE,INDEX('Ist Aktuell Monat 04'!B:B,MATCH(D38,'Ist Aktuell Monat 04'!A:A,0)),
IF(ISERROR(MATCH(D38,'Ist Aktuell Monat 05'!A:A,0))=FALSE,INDEX('Ist Aktuell Monat 05'!B:B,MATCH(D38,'Ist Aktuell Monat 05'!A:A,0)),
IF(ISERROR(MATCH(D38,'Ist Aktuell Monat 06'!A:A,0))=FALSE,INDEX('Ist Aktuell Monat 06'!B:B,MATCH(D38,'Ist Aktuell Monat 06'!A:A,0)),
IF(ISERROR(MATCH(D38,'Ist Aktuell Monat 07'!A:A,0))=FALSE,INDEX('Ist Aktuell Monat 07'!B:B,MATCH(D38,'Ist Aktuell Monat 07'!A:A,0)),
IF(ISERROR(MATCH(D38,'Ist Aktuell Monat 08'!A:A,0))=FALSE,INDEX('Ist Aktuell Monat 08'!B:B,MATCH(D38,'Ist Aktuell Monat 08'!A:A,0)),
IF(ISERROR(MATCH(D38,'Ist Aktuell Monat 09'!A:A,0))=FALSE,INDEX('Ist Aktuell Monat 09'!B:B,MATCH(D38,'Ist Aktuell Monat 09'!A:A,0)),
IF(ISERROR(MATCH(D38,'Ist Aktuell Monat 10'!A:A,0))=FALSE,INDEX('Ist Aktuell Monat 10'!B:B,MATCH(D38,'Ist Aktuell Monat 10'!A:A,0)),
IF(ISERROR(MATCH(D38,'Ist Aktuell Monat 11'!A:A,0))=FALSE,INDEX('Ist Aktuell Monat 11'!B:B,MATCH(D38,'Ist Aktuell Monat 11'!A:A,0)),
IF(ISERROR(MATCH(D38,'Ist Aktuell Monat 12'!A:A,0))=FALSE,INDEX('Ist Aktuell Monat 12'!B:B,MATCH(D38,'Ist Aktuell Monat 12'!A:A,0)),
"{Konto unbekannt}"
)))))))))))),"")</f>
        <v/>
      </c>
      <c r="C38" s="591"/>
      <c r="D38" s="590"/>
      <c r="E38" s="592">
        <f t="shared" si="30"/>
        <v>-1</v>
      </c>
      <c r="F38" s="590" t="s">
        <v>996</v>
      </c>
      <c r="G38" s="593">
        <f ca="1">$E38*(-SUMIF(INDIRECT(G$3),'Struktur Aktuell'!$D38,INDIRECT(G$4))+SUMIF(INDIRECT(G$3),'Struktur Aktuell'!$D38,INDIRECT(G$5)))</f>
        <v>0</v>
      </c>
      <c r="H38" s="593">
        <f ca="1">$E38*(-SUMIF(INDIRECT(H$3),'Struktur Aktuell'!$D38,INDIRECT(H$4))+SUMIF(INDIRECT(H$3),'Struktur Aktuell'!$D38,INDIRECT(H$5)))</f>
        <v>0</v>
      </c>
      <c r="I38" s="593">
        <f ca="1">$E38*(-SUMIF(INDIRECT(I$3),'Struktur Aktuell'!$D38,INDIRECT(I$4))+SUMIF(INDIRECT(I$3),'Struktur Aktuell'!$D38,INDIRECT(I$5)))</f>
        <v>0</v>
      </c>
      <c r="J38" s="593">
        <f ca="1">$E38*(-SUMIF(INDIRECT(J$3),'Struktur Aktuell'!$D38,INDIRECT(J$4))+SUMIF(INDIRECT(J$3),'Struktur Aktuell'!$D38,INDIRECT(J$5)))</f>
        <v>0</v>
      </c>
      <c r="K38" s="593">
        <f ca="1">$E38*(-SUMIF(INDIRECT(K$3),'Struktur Aktuell'!$D38,INDIRECT(K$4))+SUMIF(INDIRECT(K$3),'Struktur Aktuell'!$D38,INDIRECT(K$5)))</f>
        <v>0</v>
      </c>
      <c r="L38" s="593">
        <f ca="1">$E38*(-SUMIF(INDIRECT(L$3),'Struktur Aktuell'!$D38,INDIRECT(L$4))+SUMIF(INDIRECT(L$3),'Struktur Aktuell'!$D38,INDIRECT(L$5)))</f>
        <v>0</v>
      </c>
      <c r="M38" s="593">
        <f ca="1">$E38*(-SUMIF(INDIRECT(M$3),'Struktur Aktuell'!$D38,INDIRECT(M$4))+SUMIF(INDIRECT(M$3),'Struktur Aktuell'!$D38,INDIRECT(M$5)))</f>
        <v>0</v>
      </c>
      <c r="N38" s="593">
        <f ca="1">$E38*(-SUMIF(INDIRECT(N$3),'Struktur Aktuell'!$D38,INDIRECT(N$4))+SUMIF(INDIRECT(N$3),'Struktur Aktuell'!$D38,INDIRECT(N$5)))</f>
        <v>0</v>
      </c>
      <c r="O38" s="593">
        <f ca="1">$E38*(-SUMIF(INDIRECT(O$3),'Struktur Aktuell'!$D38,INDIRECT(O$4))+SUMIF(INDIRECT(O$3),'Struktur Aktuell'!$D38,INDIRECT(O$5)))</f>
        <v>0</v>
      </c>
      <c r="P38" s="593">
        <f ca="1">$E38*(-SUMIF(INDIRECT(P$3),'Struktur Aktuell'!$D38,INDIRECT(P$4))+SUMIF(INDIRECT(P$3),'Struktur Aktuell'!$D38,INDIRECT(P$5)))</f>
        <v>0</v>
      </c>
      <c r="Q38" s="593">
        <f ca="1">$E38*(-SUMIF(INDIRECT(Q$3),'Struktur Aktuell'!$D38,INDIRECT(Q$4))+SUMIF(INDIRECT(Q$3),'Struktur Aktuell'!$D38,INDIRECT(Q$5)))</f>
        <v>0</v>
      </c>
      <c r="R38" s="593">
        <f ca="1">$E38*(-SUMIF(INDIRECT(R$3),'Struktur Aktuell'!$D38,INDIRECT(R$4))+SUMIF(INDIRECT(R$3),'Struktur Aktuell'!$D38,INDIRECT(R$5)))</f>
        <v>0</v>
      </c>
      <c r="S38" s="593">
        <f ca="1">$E38*(-SUMIF(INDIRECT(S$3),'Struktur Aktuell'!$D38,INDIRECT(S$4))+SUMIF(INDIRECT(S$3),'Struktur Aktuell'!$D38,INDIRECT(S$5)))</f>
        <v>0</v>
      </c>
      <c r="T38" s="593">
        <f ca="1">$E38*(-SUMIF(INDIRECT(T$3),'Struktur Aktuell'!$D38,INDIRECT(T$4))+SUMIF(INDIRECT(T$3),'Struktur Aktuell'!$D38,INDIRECT(T$5)))</f>
        <v>0</v>
      </c>
      <c r="U38" s="593">
        <f ca="1">$E38*(-SUMIF(INDIRECT(U$3),'Struktur Aktuell'!$D38,INDIRECT(U$4))+SUMIF(INDIRECT(U$3),'Struktur Aktuell'!$D38,INDIRECT(U$5)))</f>
        <v>0</v>
      </c>
      <c r="V38" s="593">
        <f ca="1">$E38*(-SUMIF(INDIRECT(V$3),'Struktur Aktuell'!$D38,INDIRECT(V$4))+SUMIF(INDIRECT(V$3),'Struktur Aktuell'!$D38,INDIRECT(V$5)))</f>
        <v>0</v>
      </c>
      <c r="W38" s="593">
        <f ca="1">$E38*(-SUMIF(INDIRECT(W$3),'Struktur Aktuell'!$D38,INDIRECT(W$4))+SUMIF(INDIRECT(W$3),'Struktur Aktuell'!$D38,INDIRECT(W$5)))</f>
        <v>0</v>
      </c>
      <c r="X38" s="593">
        <f ca="1">$E38*(-SUMIF(INDIRECT(X$3),'Struktur Aktuell'!$D38,INDIRECT(X$4))+SUMIF(INDIRECT(X$3),'Struktur Aktuell'!$D38,INDIRECT(X$5)))</f>
        <v>0</v>
      </c>
      <c r="Y38" s="593">
        <f ca="1">$E38*(-SUMIF(INDIRECT(Y$3),'Struktur Aktuell'!$D38,INDIRECT(Y$4))+SUMIF(INDIRECT(Y$3),'Struktur Aktuell'!$D38,INDIRECT(Y$5)))</f>
        <v>0</v>
      </c>
      <c r="Z38" s="593">
        <f ca="1">$E38*(-SUMIF(INDIRECT(Z$3),'Struktur Aktuell'!$D38,INDIRECT(Z$4))+SUMIF(INDIRECT(Z$3),'Struktur Aktuell'!$D38,INDIRECT(Z$5)))</f>
        <v>0</v>
      </c>
      <c r="AA38" s="593">
        <f ca="1">$E38*(-SUMIF(INDIRECT(AA$3),'Struktur Aktuell'!$D38,INDIRECT(AA$4))+SUMIF(INDIRECT(AA$3),'Struktur Aktuell'!$D38,INDIRECT(AA$5)))</f>
        <v>0</v>
      </c>
      <c r="AB38" s="593">
        <f ca="1">$E38*(-SUMIF(INDIRECT(AB$3),'Struktur Aktuell'!$D38,INDIRECT(AB$4))+SUMIF(INDIRECT(AB$3),'Struktur Aktuell'!$D38,INDIRECT(AB$5)))</f>
        <v>0</v>
      </c>
      <c r="AC38" s="593">
        <f ca="1">$E38*(-SUMIF(INDIRECT(AC$3),'Struktur Aktuell'!$D38,INDIRECT(AC$4))+SUMIF(INDIRECT(AC$3),'Struktur Aktuell'!$D38,INDIRECT(AC$5)))</f>
        <v>0</v>
      </c>
      <c r="AD38" s="593">
        <f ca="1">$E38*(-SUMIF(INDIRECT(AD$3),'Struktur Aktuell'!$D38,INDIRECT(AD$4))+SUMIF(INDIRECT(AD$3),'Struktur Aktuell'!$D38,INDIRECT(AD$5)))</f>
        <v>0</v>
      </c>
      <c r="AE38" s="593">
        <f t="shared" ca="1" si="47"/>
        <v>0</v>
      </c>
      <c r="AF38" s="593">
        <f t="shared" ca="1" si="48"/>
        <v>0</v>
      </c>
      <c r="AG38" s="593">
        <f t="shared" ca="1" si="49"/>
        <v>0</v>
      </c>
      <c r="AH38" s="593">
        <f t="shared" ca="1" si="50"/>
        <v>0</v>
      </c>
      <c r="AI38" s="593">
        <f t="shared" ca="1" si="51"/>
        <v>0</v>
      </c>
      <c r="AJ38" s="593">
        <f t="shared" ca="1" si="52"/>
        <v>0</v>
      </c>
      <c r="AK38" s="593">
        <f t="shared" ca="1" si="53"/>
        <v>0</v>
      </c>
      <c r="AL38" s="593">
        <f t="shared" ca="1" si="54"/>
        <v>0</v>
      </c>
      <c r="AM38" s="593">
        <f t="shared" ca="1" si="55"/>
        <v>0</v>
      </c>
      <c r="AN38" s="593">
        <f t="shared" ca="1" si="56"/>
        <v>0</v>
      </c>
      <c r="AO38" s="593">
        <f t="shared" ca="1" si="57"/>
        <v>0</v>
      </c>
      <c r="AP38" s="593">
        <f t="shared" ca="1" si="58"/>
        <v>0</v>
      </c>
    </row>
    <row r="39" spans="1:42" s="594" customFormat="1" ht="11.25" outlineLevel="1" x14ac:dyDescent="0.2">
      <c r="A39" s="590"/>
      <c r="B39" s="591" t="str">
        <f>IF(D39&lt;&gt;"",
IF(ISERROR(MATCH(D39,'Ist Aktuell Monat 01'!A:A,0))=FALSE,INDEX('Ist Aktuell Monat 01'!B:B,MATCH(D39,'Ist Aktuell Monat 01'!A:A,0)),
IF(ISERROR(MATCH(D39,'Ist Aktuell Monat 02'!A:A,0))=FALSE,INDEX('Ist Aktuell Monat 02'!B:B,MATCH(D39,'Ist Aktuell Monat 02'!A:A,0)),
IF(ISERROR(MATCH(D39,'Ist Aktuell Monat 03'!A:A,0))=FALSE,INDEX('Ist Aktuell Monat 03'!B:B,MATCH(D39,'Ist Aktuell Monat 03'!A:A,0)),
IF(ISERROR(MATCH(D39,'Ist Aktuell Monat 04'!A:A,0))=FALSE,INDEX('Ist Aktuell Monat 04'!B:B,MATCH(D39,'Ist Aktuell Monat 04'!A:A,0)),
IF(ISERROR(MATCH(D39,'Ist Aktuell Monat 05'!A:A,0))=FALSE,INDEX('Ist Aktuell Monat 05'!B:B,MATCH(D39,'Ist Aktuell Monat 05'!A:A,0)),
IF(ISERROR(MATCH(D39,'Ist Aktuell Monat 06'!A:A,0))=FALSE,INDEX('Ist Aktuell Monat 06'!B:B,MATCH(D39,'Ist Aktuell Monat 06'!A:A,0)),
IF(ISERROR(MATCH(D39,'Ist Aktuell Monat 07'!A:A,0))=FALSE,INDEX('Ist Aktuell Monat 07'!B:B,MATCH(D39,'Ist Aktuell Monat 07'!A:A,0)),
IF(ISERROR(MATCH(D39,'Ist Aktuell Monat 08'!A:A,0))=FALSE,INDEX('Ist Aktuell Monat 08'!B:B,MATCH(D39,'Ist Aktuell Monat 08'!A:A,0)),
IF(ISERROR(MATCH(D39,'Ist Aktuell Monat 09'!A:A,0))=FALSE,INDEX('Ist Aktuell Monat 09'!B:B,MATCH(D39,'Ist Aktuell Monat 09'!A:A,0)),
IF(ISERROR(MATCH(D39,'Ist Aktuell Monat 10'!A:A,0))=FALSE,INDEX('Ist Aktuell Monat 10'!B:B,MATCH(D39,'Ist Aktuell Monat 10'!A:A,0)),
IF(ISERROR(MATCH(D39,'Ist Aktuell Monat 11'!A:A,0))=FALSE,INDEX('Ist Aktuell Monat 11'!B:B,MATCH(D39,'Ist Aktuell Monat 11'!A:A,0)),
IF(ISERROR(MATCH(D39,'Ist Aktuell Monat 12'!A:A,0))=FALSE,INDEX('Ist Aktuell Monat 12'!B:B,MATCH(D39,'Ist Aktuell Monat 12'!A:A,0)),
"{Konto unbekannt}"
)))))))))))),"")</f>
        <v/>
      </c>
      <c r="C39" s="591"/>
      <c r="D39" s="590"/>
      <c r="E39" s="592">
        <f t="shared" si="30"/>
        <v>-1</v>
      </c>
      <c r="F39" s="590" t="s">
        <v>996</v>
      </c>
      <c r="G39" s="593">
        <f ca="1">$E39*(-SUMIF(INDIRECT(G$3),'Struktur Aktuell'!$D39,INDIRECT(G$4))+SUMIF(INDIRECT(G$3),'Struktur Aktuell'!$D39,INDIRECT(G$5)))</f>
        <v>0</v>
      </c>
      <c r="H39" s="593">
        <f ca="1">$E39*(-SUMIF(INDIRECT(H$3),'Struktur Aktuell'!$D39,INDIRECT(H$4))+SUMIF(INDIRECT(H$3),'Struktur Aktuell'!$D39,INDIRECT(H$5)))</f>
        <v>0</v>
      </c>
      <c r="I39" s="593">
        <f ca="1">$E39*(-SUMIF(INDIRECT(I$3),'Struktur Aktuell'!$D39,INDIRECT(I$4))+SUMIF(INDIRECT(I$3),'Struktur Aktuell'!$D39,INDIRECT(I$5)))</f>
        <v>0</v>
      </c>
      <c r="J39" s="593">
        <f ca="1">$E39*(-SUMIF(INDIRECT(J$3),'Struktur Aktuell'!$D39,INDIRECT(J$4))+SUMIF(INDIRECT(J$3),'Struktur Aktuell'!$D39,INDIRECT(J$5)))</f>
        <v>0</v>
      </c>
      <c r="K39" s="593">
        <f ca="1">$E39*(-SUMIF(INDIRECT(K$3),'Struktur Aktuell'!$D39,INDIRECT(K$4))+SUMIF(INDIRECT(K$3),'Struktur Aktuell'!$D39,INDIRECT(K$5)))</f>
        <v>0</v>
      </c>
      <c r="L39" s="593">
        <f ca="1">$E39*(-SUMIF(INDIRECT(L$3),'Struktur Aktuell'!$D39,INDIRECT(L$4))+SUMIF(INDIRECT(L$3),'Struktur Aktuell'!$D39,INDIRECT(L$5)))</f>
        <v>0</v>
      </c>
      <c r="M39" s="593">
        <f ca="1">$E39*(-SUMIF(INDIRECT(M$3),'Struktur Aktuell'!$D39,INDIRECT(M$4))+SUMIF(INDIRECT(M$3),'Struktur Aktuell'!$D39,INDIRECT(M$5)))</f>
        <v>0</v>
      </c>
      <c r="N39" s="593">
        <f ca="1">$E39*(-SUMIF(INDIRECT(N$3),'Struktur Aktuell'!$D39,INDIRECT(N$4))+SUMIF(INDIRECT(N$3),'Struktur Aktuell'!$D39,INDIRECT(N$5)))</f>
        <v>0</v>
      </c>
      <c r="O39" s="593">
        <f ca="1">$E39*(-SUMIF(INDIRECT(O$3),'Struktur Aktuell'!$D39,INDIRECT(O$4))+SUMIF(INDIRECT(O$3),'Struktur Aktuell'!$D39,INDIRECT(O$5)))</f>
        <v>0</v>
      </c>
      <c r="P39" s="593">
        <f ca="1">$E39*(-SUMIF(INDIRECT(P$3),'Struktur Aktuell'!$D39,INDIRECT(P$4))+SUMIF(INDIRECT(P$3),'Struktur Aktuell'!$D39,INDIRECT(P$5)))</f>
        <v>0</v>
      </c>
      <c r="Q39" s="593">
        <f ca="1">$E39*(-SUMIF(INDIRECT(Q$3),'Struktur Aktuell'!$D39,INDIRECT(Q$4))+SUMIF(INDIRECT(Q$3),'Struktur Aktuell'!$D39,INDIRECT(Q$5)))</f>
        <v>0</v>
      </c>
      <c r="R39" s="593">
        <f ca="1">$E39*(-SUMIF(INDIRECT(R$3),'Struktur Aktuell'!$D39,INDIRECT(R$4))+SUMIF(INDIRECT(R$3),'Struktur Aktuell'!$D39,INDIRECT(R$5)))</f>
        <v>0</v>
      </c>
      <c r="S39" s="593">
        <f ca="1">$E39*(-SUMIF(INDIRECT(S$3),'Struktur Aktuell'!$D39,INDIRECT(S$4))+SUMIF(INDIRECT(S$3),'Struktur Aktuell'!$D39,INDIRECT(S$5)))</f>
        <v>0</v>
      </c>
      <c r="T39" s="593">
        <f ca="1">$E39*(-SUMIF(INDIRECT(T$3),'Struktur Aktuell'!$D39,INDIRECT(T$4))+SUMIF(INDIRECT(T$3),'Struktur Aktuell'!$D39,INDIRECT(T$5)))</f>
        <v>0</v>
      </c>
      <c r="U39" s="593">
        <f ca="1">$E39*(-SUMIF(INDIRECT(U$3),'Struktur Aktuell'!$D39,INDIRECT(U$4))+SUMIF(INDIRECT(U$3),'Struktur Aktuell'!$D39,INDIRECT(U$5)))</f>
        <v>0</v>
      </c>
      <c r="V39" s="593">
        <f ca="1">$E39*(-SUMIF(INDIRECT(V$3),'Struktur Aktuell'!$D39,INDIRECT(V$4))+SUMIF(INDIRECT(V$3),'Struktur Aktuell'!$D39,INDIRECT(V$5)))</f>
        <v>0</v>
      </c>
      <c r="W39" s="593">
        <f ca="1">$E39*(-SUMIF(INDIRECT(W$3),'Struktur Aktuell'!$D39,INDIRECT(W$4))+SUMIF(INDIRECT(W$3),'Struktur Aktuell'!$D39,INDIRECT(W$5)))</f>
        <v>0</v>
      </c>
      <c r="X39" s="593">
        <f ca="1">$E39*(-SUMIF(INDIRECT(X$3),'Struktur Aktuell'!$D39,INDIRECT(X$4))+SUMIF(INDIRECT(X$3),'Struktur Aktuell'!$D39,INDIRECT(X$5)))</f>
        <v>0</v>
      </c>
      <c r="Y39" s="593">
        <f ca="1">$E39*(-SUMIF(INDIRECT(Y$3),'Struktur Aktuell'!$D39,INDIRECT(Y$4))+SUMIF(INDIRECT(Y$3),'Struktur Aktuell'!$D39,INDIRECT(Y$5)))</f>
        <v>0</v>
      </c>
      <c r="Z39" s="593">
        <f ca="1">$E39*(-SUMIF(INDIRECT(Z$3),'Struktur Aktuell'!$D39,INDIRECT(Z$4))+SUMIF(INDIRECT(Z$3),'Struktur Aktuell'!$D39,INDIRECT(Z$5)))</f>
        <v>0</v>
      </c>
      <c r="AA39" s="593">
        <f ca="1">$E39*(-SUMIF(INDIRECT(AA$3),'Struktur Aktuell'!$D39,INDIRECT(AA$4))+SUMIF(INDIRECT(AA$3),'Struktur Aktuell'!$D39,INDIRECT(AA$5)))</f>
        <v>0</v>
      </c>
      <c r="AB39" s="593">
        <f ca="1">$E39*(-SUMIF(INDIRECT(AB$3),'Struktur Aktuell'!$D39,INDIRECT(AB$4))+SUMIF(INDIRECT(AB$3),'Struktur Aktuell'!$D39,INDIRECT(AB$5)))</f>
        <v>0</v>
      </c>
      <c r="AC39" s="593">
        <f ca="1">$E39*(-SUMIF(INDIRECT(AC$3),'Struktur Aktuell'!$D39,INDIRECT(AC$4))+SUMIF(INDIRECT(AC$3),'Struktur Aktuell'!$D39,INDIRECT(AC$5)))</f>
        <v>0</v>
      </c>
      <c r="AD39" s="593">
        <f ca="1">$E39*(-SUMIF(INDIRECT(AD$3),'Struktur Aktuell'!$D39,INDIRECT(AD$4))+SUMIF(INDIRECT(AD$3),'Struktur Aktuell'!$D39,INDIRECT(AD$5)))</f>
        <v>0</v>
      </c>
      <c r="AE39" s="593">
        <f t="shared" ca="1" si="47"/>
        <v>0</v>
      </c>
      <c r="AF39" s="593">
        <f t="shared" ca="1" si="48"/>
        <v>0</v>
      </c>
      <c r="AG39" s="593">
        <f t="shared" ca="1" si="49"/>
        <v>0</v>
      </c>
      <c r="AH39" s="593">
        <f t="shared" ca="1" si="50"/>
        <v>0</v>
      </c>
      <c r="AI39" s="593">
        <f t="shared" ca="1" si="51"/>
        <v>0</v>
      </c>
      <c r="AJ39" s="593">
        <f t="shared" ca="1" si="52"/>
        <v>0</v>
      </c>
      <c r="AK39" s="593">
        <f t="shared" ca="1" si="53"/>
        <v>0</v>
      </c>
      <c r="AL39" s="593">
        <f t="shared" ca="1" si="54"/>
        <v>0</v>
      </c>
      <c r="AM39" s="593">
        <f t="shared" ca="1" si="55"/>
        <v>0</v>
      </c>
      <c r="AN39" s="593">
        <f t="shared" ca="1" si="56"/>
        <v>0</v>
      </c>
      <c r="AO39" s="593">
        <f t="shared" ca="1" si="57"/>
        <v>0</v>
      </c>
      <c r="AP39" s="593">
        <f t="shared" ca="1" si="58"/>
        <v>0</v>
      </c>
    </row>
    <row r="40" spans="1:42" s="594" customFormat="1" ht="11.25" outlineLevel="1" x14ac:dyDescent="0.2">
      <c r="A40" s="590"/>
      <c r="B40" s="591" t="str">
        <f>IF(D40&lt;&gt;"",
IF(ISERROR(MATCH(D40,'Ist Aktuell Monat 01'!A:A,0))=FALSE,INDEX('Ist Aktuell Monat 01'!B:B,MATCH(D40,'Ist Aktuell Monat 01'!A:A,0)),
IF(ISERROR(MATCH(D40,'Ist Aktuell Monat 02'!A:A,0))=FALSE,INDEX('Ist Aktuell Monat 02'!B:B,MATCH(D40,'Ist Aktuell Monat 02'!A:A,0)),
IF(ISERROR(MATCH(D40,'Ist Aktuell Monat 03'!A:A,0))=FALSE,INDEX('Ist Aktuell Monat 03'!B:B,MATCH(D40,'Ist Aktuell Monat 03'!A:A,0)),
IF(ISERROR(MATCH(D40,'Ist Aktuell Monat 04'!A:A,0))=FALSE,INDEX('Ist Aktuell Monat 04'!B:B,MATCH(D40,'Ist Aktuell Monat 04'!A:A,0)),
IF(ISERROR(MATCH(D40,'Ist Aktuell Monat 05'!A:A,0))=FALSE,INDEX('Ist Aktuell Monat 05'!B:B,MATCH(D40,'Ist Aktuell Monat 05'!A:A,0)),
IF(ISERROR(MATCH(D40,'Ist Aktuell Monat 06'!A:A,0))=FALSE,INDEX('Ist Aktuell Monat 06'!B:B,MATCH(D40,'Ist Aktuell Monat 06'!A:A,0)),
IF(ISERROR(MATCH(D40,'Ist Aktuell Monat 07'!A:A,0))=FALSE,INDEX('Ist Aktuell Monat 07'!B:B,MATCH(D40,'Ist Aktuell Monat 07'!A:A,0)),
IF(ISERROR(MATCH(D40,'Ist Aktuell Monat 08'!A:A,0))=FALSE,INDEX('Ist Aktuell Monat 08'!B:B,MATCH(D40,'Ist Aktuell Monat 08'!A:A,0)),
IF(ISERROR(MATCH(D40,'Ist Aktuell Monat 09'!A:A,0))=FALSE,INDEX('Ist Aktuell Monat 09'!B:B,MATCH(D40,'Ist Aktuell Monat 09'!A:A,0)),
IF(ISERROR(MATCH(D40,'Ist Aktuell Monat 10'!A:A,0))=FALSE,INDEX('Ist Aktuell Monat 10'!B:B,MATCH(D40,'Ist Aktuell Monat 10'!A:A,0)),
IF(ISERROR(MATCH(D40,'Ist Aktuell Monat 11'!A:A,0))=FALSE,INDEX('Ist Aktuell Monat 11'!B:B,MATCH(D40,'Ist Aktuell Monat 11'!A:A,0)),
IF(ISERROR(MATCH(D40,'Ist Aktuell Monat 12'!A:A,0))=FALSE,INDEX('Ist Aktuell Monat 12'!B:B,MATCH(D40,'Ist Aktuell Monat 12'!A:A,0)),
"{Konto unbekannt}"
)))))))))))),"")</f>
        <v/>
      </c>
      <c r="C40" s="591"/>
      <c r="D40" s="590"/>
      <c r="E40" s="592">
        <f t="shared" si="30"/>
        <v>-1</v>
      </c>
      <c r="F40" s="590" t="s">
        <v>996</v>
      </c>
      <c r="G40" s="593">
        <f ca="1">$E40*(-SUMIF(INDIRECT(G$3),'Struktur Aktuell'!$D40,INDIRECT(G$4))+SUMIF(INDIRECT(G$3),'Struktur Aktuell'!$D40,INDIRECT(G$5)))</f>
        <v>0</v>
      </c>
      <c r="H40" s="593">
        <f ca="1">$E40*(-SUMIF(INDIRECT(H$3),'Struktur Aktuell'!$D40,INDIRECT(H$4))+SUMIF(INDIRECT(H$3),'Struktur Aktuell'!$D40,INDIRECT(H$5)))</f>
        <v>0</v>
      </c>
      <c r="I40" s="593">
        <f ca="1">$E40*(-SUMIF(INDIRECT(I$3),'Struktur Aktuell'!$D40,INDIRECT(I$4))+SUMIF(INDIRECT(I$3),'Struktur Aktuell'!$D40,INDIRECT(I$5)))</f>
        <v>0</v>
      </c>
      <c r="J40" s="593">
        <f ca="1">$E40*(-SUMIF(INDIRECT(J$3),'Struktur Aktuell'!$D40,INDIRECT(J$4))+SUMIF(INDIRECT(J$3),'Struktur Aktuell'!$D40,INDIRECT(J$5)))</f>
        <v>0</v>
      </c>
      <c r="K40" s="593">
        <f ca="1">$E40*(-SUMIF(INDIRECT(K$3),'Struktur Aktuell'!$D40,INDIRECT(K$4))+SUMIF(INDIRECT(K$3),'Struktur Aktuell'!$D40,INDIRECT(K$5)))</f>
        <v>0</v>
      </c>
      <c r="L40" s="593">
        <f ca="1">$E40*(-SUMIF(INDIRECT(L$3),'Struktur Aktuell'!$D40,INDIRECT(L$4))+SUMIF(INDIRECT(L$3),'Struktur Aktuell'!$D40,INDIRECT(L$5)))</f>
        <v>0</v>
      </c>
      <c r="M40" s="593">
        <f ca="1">$E40*(-SUMIF(INDIRECT(M$3),'Struktur Aktuell'!$D40,INDIRECT(M$4))+SUMIF(INDIRECT(M$3),'Struktur Aktuell'!$D40,INDIRECT(M$5)))</f>
        <v>0</v>
      </c>
      <c r="N40" s="593">
        <f ca="1">$E40*(-SUMIF(INDIRECT(N$3),'Struktur Aktuell'!$D40,INDIRECT(N$4))+SUMIF(INDIRECT(N$3),'Struktur Aktuell'!$D40,INDIRECT(N$5)))</f>
        <v>0</v>
      </c>
      <c r="O40" s="593">
        <f ca="1">$E40*(-SUMIF(INDIRECT(O$3),'Struktur Aktuell'!$D40,INDIRECT(O$4))+SUMIF(INDIRECT(O$3),'Struktur Aktuell'!$D40,INDIRECT(O$5)))</f>
        <v>0</v>
      </c>
      <c r="P40" s="593">
        <f ca="1">$E40*(-SUMIF(INDIRECT(P$3),'Struktur Aktuell'!$D40,INDIRECT(P$4))+SUMIF(INDIRECT(P$3),'Struktur Aktuell'!$D40,INDIRECT(P$5)))</f>
        <v>0</v>
      </c>
      <c r="Q40" s="593">
        <f ca="1">$E40*(-SUMIF(INDIRECT(Q$3),'Struktur Aktuell'!$D40,INDIRECT(Q$4))+SUMIF(INDIRECT(Q$3),'Struktur Aktuell'!$D40,INDIRECT(Q$5)))</f>
        <v>0</v>
      </c>
      <c r="R40" s="593">
        <f ca="1">$E40*(-SUMIF(INDIRECT(R$3),'Struktur Aktuell'!$D40,INDIRECT(R$4))+SUMIF(INDIRECT(R$3),'Struktur Aktuell'!$D40,INDIRECT(R$5)))</f>
        <v>0</v>
      </c>
      <c r="S40" s="593">
        <f ca="1">$E40*(-SUMIF(INDIRECT(S$3),'Struktur Aktuell'!$D40,INDIRECT(S$4))+SUMIF(INDIRECT(S$3),'Struktur Aktuell'!$D40,INDIRECT(S$5)))</f>
        <v>0</v>
      </c>
      <c r="T40" s="593">
        <f ca="1">$E40*(-SUMIF(INDIRECT(T$3),'Struktur Aktuell'!$D40,INDIRECT(T$4))+SUMIF(INDIRECT(T$3),'Struktur Aktuell'!$D40,INDIRECT(T$5)))</f>
        <v>0</v>
      </c>
      <c r="U40" s="593">
        <f ca="1">$E40*(-SUMIF(INDIRECT(U$3),'Struktur Aktuell'!$D40,INDIRECT(U$4))+SUMIF(INDIRECT(U$3),'Struktur Aktuell'!$D40,INDIRECT(U$5)))</f>
        <v>0</v>
      </c>
      <c r="V40" s="593">
        <f ca="1">$E40*(-SUMIF(INDIRECT(V$3),'Struktur Aktuell'!$D40,INDIRECT(V$4))+SUMIF(INDIRECT(V$3),'Struktur Aktuell'!$D40,INDIRECT(V$5)))</f>
        <v>0</v>
      </c>
      <c r="W40" s="593">
        <f ca="1">$E40*(-SUMIF(INDIRECT(W$3),'Struktur Aktuell'!$D40,INDIRECT(W$4))+SUMIF(INDIRECT(W$3),'Struktur Aktuell'!$D40,INDIRECT(W$5)))</f>
        <v>0</v>
      </c>
      <c r="X40" s="593">
        <f ca="1">$E40*(-SUMIF(INDIRECT(X$3),'Struktur Aktuell'!$D40,INDIRECT(X$4))+SUMIF(INDIRECT(X$3),'Struktur Aktuell'!$D40,INDIRECT(X$5)))</f>
        <v>0</v>
      </c>
      <c r="Y40" s="593">
        <f ca="1">$E40*(-SUMIF(INDIRECT(Y$3),'Struktur Aktuell'!$D40,INDIRECT(Y$4))+SUMIF(INDIRECT(Y$3),'Struktur Aktuell'!$D40,INDIRECT(Y$5)))</f>
        <v>0</v>
      </c>
      <c r="Z40" s="593">
        <f ca="1">$E40*(-SUMIF(INDIRECT(Z$3),'Struktur Aktuell'!$D40,INDIRECT(Z$4))+SUMIF(INDIRECT(Z$3),'Struktur Aktuell'!$D40,INDIRECT(Z$5)))</f>
        <v>0</v>
      </c>
      <c r="AA40" s="593">
        <f ca="1">$E40*(-SUMIF(INDIRECT(AA$3),'Struktur Aktuell'!$D40,INDIRECT(AA$4))+SUMIF(INDIRECT(AA$3),'Struktur Aktuell'!$D40,INDIRECT(AA$5)))</f>
        <v>0</v>
      </c>
      <c r="AB40" s="593">
        <f ca="1">$E40*(-SUMIF(INDIRECT(AB$3),'Struktur Aktuell'!$D40,INDIRECT(AB$4))+SUMIF(INDIRECT(AB$3),'Struktur Aktuell'!$D40,INDIRECT(AB$5)))</f>
        <v>0</v>
      </c>
      <c r="AC40" s="593">
        <f ca="1">$E40*(-SUMIF(INDIRECT(AC$3),'Struktur Aktuell'!$D40,INDIRECT(AC$4))+SUMIF(INDIRECT(AC$3),'Struktur Aktuell'!$D40,INDIRECT(AC$5)))</f>
        <v>0</v>
      </c>
      <c r="AD40" s="593">
        <f ca="1">$E40*(-SUMIF(INDIRECT(AD$3),'Struktur Aktuell'!$D40,INDIRECT(AD$4))+SUMIF(INDIRECT(AD$3),'Struktur Aktuell'!$D40,INDIRECT(AD$5)))</f>
        <v>0</v>
      </c>
      <c r="AE40" s="593">
        <f t="shared" ca="1" si="47"/>
        <v>0</v>
      </c>
      <c r="AF40" s="593">
        <f t="shared" ca="1" si="48"/>
        <v>0</v>
      </c>
      <c r="AG40" s="593">
        <f t="shared" ca="1" si="49"/>
        <v>0</v>
      </c>
      <c r="AH40" s="593">
        <f t="shared" ca="1" si="50"/>
        <v>0</v>
      </c>
      <c r="AI40" s="593">
        <f t="shared" ca="1" si="51"/>
        <v>0</v>
      </c>
      <c r="AJ40" s="593">
        <f t="shared" ca="1" si="52"/>
        <v>0</v>
      </c>
      <c r="AK40" s="593">
        <f t="shared" ca="1" si="53"/>
        <v>0</v>
      </c>
      <c r="AL40" s="593">
        <f t="shared" ca="1" si="54"/>
        <v>0</v>
      </c>
      <c r="AM40" s="593">
        <f t="shared" ca="1" si="55"/>
        <v>0</v>
      </c>
      <c r="AN40" s="593">
        <f t="shared" ca="1" si="56"/>
        <v>0</v>
      </c>
      <c r="AO40" s="593">
        <f t="shared" ca="1" si="57"/>
        <v>0</v>
      </c>
      <c r="AP40" s="593">
        <f t="shared" ca="1" si="58"/>
        <v>0</v>
      </c>
    </row>
    <row r="41" spans="1:42" s="594" customFormat="1" ht="11.25" outlineLevel="1" x14ac:dyDescent="0.2">
      <c r="A41" s="590"/>
      <c r="B41" s="591" t="str">
        <f>IF(D41&lt;&gt;"",
IF(ISERROR(MATCH(D41,'Ist Aktuell Monat 01'!A:A,0))=FALSE,INDEX('Ist Aktuell Monat 01'!B:B,MATCH(D41,'Ist Aktuell Monat 01'!A:A,0)),
IF(ISERROR(MATCH(D41,'Ist Aktuell Monat 02'!A:A,0))=FALSE,INDEX('Ist Aktuell Monat 02'!B:B,MATCH(D41,'Ist Aktuell Monat 02'!A:A,0)),
IF(ISERROR(MATCH(D41,'Ist Aktuell Monat 03'!A:A,0))=FALSE,INDEX('Ist Aktuell Monat 03'!B:B,MATCH(D41,'Ist Aktuell Monat 03'!A:A,0)),
IF(ISERROR(MATCH(D41,'Ist Aktuell Monat 04'!A:A,0))=FALSE,INDEX('Ist Aktuell Monat 04'!B:B,MATCH(D41,'Ist Aktuell Monat 04'!A:A,0)),
IF(ISERROR(MATCH(D41,'Ist Aktuell Monat 05'!A:A,0))=FALSE,INDEX('Ist Aktuell Monat 05'!B:B,MATCH(D41,'Ist Aktuell Monat 05'!A:A,0)),
IF(ISERROR(MATCH(D41,'Ist Aktuell Monat 06'!A:A,0))=FALSE,INDEX('Ist Aktuell Monat 06'!B:B,MATCH(D41,'Ist Aktuell Monat 06'!A:A,0)),
IF(ISERROR(MATCH(D41,'Ist Aktuell Monat 07'!A:A,0))=FALSE,INDEX('Ist Aktuell Monat 07'!B:B,MATCH(D41,'Ist Aktuell Monat 07'!A:A,0)),
IF(ISERROR(MATCH(D41,'Ist Aktuell Monat 08'!A:A,0))=FALSE,INDEX('Ist Aktuell Monat 08'!B:B,MATCH(D41,'Ist Aktuell Monat 08'!A:A,0)),
IF(ISERROR(MATCH(D41,'Ist Aktuell Monat 09'!A:A,0))=FALSE,INDEX('Ist Aktuell Monat 09'!B:B,MATCH(D41,'Ist Aktuell Monat 09'!A:A,0)),
IF(ISERROR(MATCH(D41,'Ist Aktuell Monat 10'!A:A,0))=FALSE,INDEX('Ist Aktuell Monat 10'!B:B,MATCH(D41,'Ist Aktuell Monat 10'!A:A,0)),
IF(ISERROR(MATCH(D41,'Ist Aktuell Monat 11'!A:A,0))=FALSE,INDEX('Ist Aktuell Monat 11'!B:B,MATCH(D41,'Ist Aktuell Monat 11'!A:A,0)),
IF(ISERROR(MATCH(D41,'Ist Aktuell Monat 12'!A:A,0))=FALSE,INDEX('Ist Aktuell Monat 12'!B:B,MATCH(D41,'Ist Aktuell Monat 12'!A:A,0)),
"{Konto unbekannt}"
)))))))))))),"")</f>
        <v/>
      </c>
      <c r="C41" s="591"/>
      <c r="D41" s="590"/>
      <c r="E41" s="592">
        <f t="shared" si="30"/>
        <v>-1</v>
      </c>
      <c r="F41" s="590" t="s">
        <v>996</v>
      </c>
      <c r="G41" s="593">
        <f ca="1">$E41*(-SUMIF(INDIRECT(G$3),'Struktur Aktuell'!$D41,INDIRECT(G$4))+SUMIF(INDIRECT(G$3),'Struktur Aktuell'!$D41,INDIRECT(G$5)))</f>
        <v>0</v>
      </c>
      <c r="H41" s="593">
        <f ca="1">$E41*(-SUMIF(INDIRECT(H$3),'Struktur Aktuell'!$D41,INDIRECT(H$4))+SUMIF(INDIRECT(H$3),'Struktur Aktuell'!$D41,INDIRECT(H$5)))</f>
        <v>0</v>
      </c>
      <c r="I41" s="593">
        <f ca="1">$E41*(-SUMIF(INDIRECT(I$3),'Struktur Aktuell'!$D41,INDIRECT(I$4))+SUMIF(INDIRECT(I$3),'Struktur Aktuell'!$D41,INDIRECT(I$5)))</f>
        <v>0</v>
      </c>
      <c r="J41" s="593">
        <f ca="1">$E41*(-SUMIF(INDIRECT(J$3),'Struktur Aktuell'!$D41,INDIRECT(J$4))+SUMIF(INDIRECT(J$3),'Struktur Aktuell'!$D41,INDIRECT(J$5)))</f>
        <v>0</v>
      </c>
      <c r="K41" s="593">
        <f ca="1">$E41*(-SUMIF(INDIRECT(K$3),'Struktur Aktuell'!$D41,INDIRECT(K$4))+SUMIF(INDIRECT(K$3),'Struktur Aktuell'!$D41,INDIRECT(K$5)))</f>
        <v>0</v>
      </c>
      <c r="L41" s="593">
        <f ca="1">$E41*(-SUMIF(INDIRECT(L$3),'Struktur Aktuell'!$D41,INDIRECT(L$4))+SUMIF(INDIRECT(L$3),'Struktur Aktuell'!$D41,INDIRECT(L$5)))</f>
        <v>0</v>
      </c>
      <c r="M41" s="593">
        <f ca="1">$E41*(-SUMIF(INDIRECT(M$3),'Struktur Aktuell'!$D41,INDIRECT(M$4))+SUMIF(INDIRECT(M$3),'Struktur Aktuell'!$D41,INDIRECT(M$5)))</f>
        <v>0</v>
      </c>
      <c r="N41" s="593">
        <f ca="1">$E41*(-SUMIF(INDIRECT(N$3),'Struktur Aktuell'!$D41,INDIRECT(N$4))+SUMIF(INDIRECT(N$3),'Struktur Aktuell'!$D41,INDIRECT(N$5)))</f>
        <v>0</v>
      </c>
      <c r="O41" s="593">
        <f ca="1">$E41*(-SUMIF(INDIRECT(O$3),'Struktur Aktuell'!$D41,INDIRECT(O$4))+SUMIF(INDIRECT(O$3),'Struktur Aktuell'!$D41,INDIRECT(O$5)))</f>
        <v>0</v>
      </c>
      <c r="P41" s="593">
        <f ca="1">$E41*(-SUMIF(INDIRECT(P$3),'Struktur Aktuell'!$D41,INDIRECT(P$4))+SUMIF(INDIRECT(P$3),'Struktur Aktuell'!$D41,INDIRECT(P$5)))</f>
        <v>0</v>
      </c>
      <c r="Q41" s="593">
        <f ca="1">$E41*(-SUMIF(INDIRECT(Q$3),'Struktur Aktuell'!$D41,INDIRECT(Q$4))+SUMIF(INDIRECT(Q$3),'Struktur Aktuell'!$D41,INDIRECT(Q$5)))</f>
        <v>0</v>
      </c>
      <c r="R41" s="593">
        <f ca="1">$E41*(-SUMIF(INDIRECT(R$3),'Struktur Aktuell'!$D41,INDIRECT(R$4))+SUMIF(INDIRECT(R$3),'Struktur Aktuell'!$D41,INDIRECT(R$5)))</f>
        <v>0</v>
      </c>
      <c r="S41" s="593">
        <f ca="1">$E41*(-SUMIF(INDIRECT(S$3),'Struktur Aktuell'!$D41,INDIRECT(S$4))+SUMIF(INDIRECT(S$3),'Struktur Aktuell'!$D41,INDIRECT(S$5)))</f>
        <v>0</v>
      </c>
      <c r="T41" s="593">
        <f ca="1">$E41*(-SUMIF(INDIRECT(T$3),'Struktur Aktuell'!$D41,INDIRECT(T$4))+SUMIF(INDIRECT(T$3),'Struktur Aktuell'!$D41,INDIRECT(T$5)))</f>
        <v>0</v>
      </c>
      <c r="U41" s="593">
        <f ca="1">$E41*(-SUMIF(INDIRECT(U$3),'Struktur Aktuell'!$D41,INDIRECT(U$4))+SUMIF(INDIRECT(U$3),'Struktur Aktuell'!$D41,INDIRECT(U$5)))</f>
        <v>0</v>
      </c>
      <c r="V41" s="593">
        <f ca="1">$E41*(-SUMIF(INDIRECT(V$3),'Struktur Aktuell'!$D41,INDIRECT(V$4))+SUMIF(INDIRECT(V$3),'Struktur Aktuell'!$D41,INDIRECT(V$5)))</f>
        <v>0</v>
      </c>
      <c r="W41" s="593">
        <f ca="1">$E41*(-SUMIF(INDIRECT(W$3),'Struktur Aktuell'!$D41,INDIRECT(W$4))+SUMIF(INDIRECT(W$3),'Struktur Aktuell'!$D41,INDIRECT(W$5)))</f>
        <v>0</v>
      </c>
      <c r="X41" s="593">
        <f ca="1">$E41*(-SUMIF(INDIRECT(X$3),'Struktur Aktuell'!$D41,INDIRECT(X$4))+SUMIF(INDIRECT(X$3),'Struktur Aktuell'!$D41,INDIRECT(X$5)))</f>
        <v>0</v>
      </c>
      <c r="Y41" s="593">
        <f ca="1">$E41*(-SUMIF(INDIRECT(Y$3),'Struktur Aktuell'!$D41,INDIRECT(Y$4))+SUMIF(INDIRECT(Y$3),'Struktur Aktuell'!$D41,INDIRECT(Y$5)))</f>
        <v>0</v>
      </c>
      <c r="Z41" s="593">
        <f ca="1">$E41*(-SUMIF(INDIRECT(Z$3),'Struktur Aktuell'!$D41,INDIRECT(Z$4))+SUMIF(INDIRECT(Z$3),'Struktur Aktuell'!$D41,INDIRECT(Z$5)))</f>
        <v>0</v>
      </c>
      <c r="AA41" s="593">
        <f ca="1">$E41*(-SUMIF(INDIRECT(AA$3),'Struktur Aktuell'!$D41,INDIRECT(AA$4))+SUMIF(INDIRECT(AA$3),'Struktur Aktuell'!$D41,INDIRECT(AA$5)))</f>
        <v>0</v>
      </c>
      <c r="AB41" s="593">
        <f ca="1">$E41*(-SUMIF(INDIRECT(AB$3),'Struktur Aktuell'!$D41,INDIRECT(AB$4))+SUMIF(INDIRECT(AB$3),'Struktur Aktuell'!$D41,INDIRECT(AB$5)))</f>
        <v>0</v>
      </c>
      <c r="AC41" s="593">
        <f ca="1">$E41*(-SUMIF(INDIRECT(AC$3),'Struktur Aktuell'!$D41,INDIRECT(AC$4))+SUMIF(INDIRECT(AC$3),'Struktur Aktuell'!$D41,INDIRECT(AC$5)))</f>
        <v>0</v>
      </c>
      <c r="AD41" s="593">
        <f ca="1">$E41*(-SUMIF(INDIRECT(AD$3),'Struktur Aktuell'!$D41,INDIRECT(AD$4))+SUMIF(INDIRECT(AD$3),'Struktur Aktuell'!$D41,INDIRECT(AD$5)))</f>
        <v>0</v>
      </c>
      <c r="AE41" s="593">
        <f t="shared" ca="1" si="47"/>
        <v>0</v>
      </c>
      <c r="AF41" s="593">
        <f t="shared" ca="1" si="48"/>
        <v>0</v>
      </c>
      <c r="AG41" s="593">
        <f t="shared" ca="1" si="49"/>
        <v>0</v>
      </c>
      <c r="AH41" s="593">
        <f t="shared" ca="1" si="50"/>
        <v>0</v>
      </c>
      <c r="AI41" s="593">
        <f t="shared" ca="1" si="51"/>
        <v>0</v>
      </c>
      <c r="AJ41" s="593">
        <f t="shared" ca="1" si="52"/>
        <v>0</v>
      </c>
      <c r="AK41" s="593">
        <f t="shared" ca="1" si="53"/>
        <v>0</v>
      </c>
      <c r="AL41" s="593">
        <f t="shared" ca="1" si="54"/>
        <v>0</v>
      </c>
      <c r="AM41" s="593">
        <f t="shared" ca="1" si="55"/>
        <v>0</v>
      </c>
      <c r="AN41" s="593">
        <f t="shared" ca="1" si="56"/>
        <v>0</v>
      </c>
      <c r="AO41" s="593">
        <f t="shared" ca="1" si="57"/>
        <v>0</v>
      </c>
      <c r="AP41" s="593">
        <f t="shared" ca="1" si="58"/>
        <v>0</v>
      </c>
    </row>
    <row r="42" spans="1:42" s="594" customFormat="1" ht="11.25" outlineLevel="1" x14ac:dyDescent="0.2">
      <c r="A42" s="590"/>
      <c r="B42" s="591" t="str">
        <f>IF(D42&lt;&gt;"",
IF(ISERROR(MATCH(D42,'Ist Aktuell Monat 01'!A:A,0))=FALSE,INDEX('Ist Aktuell Monat 01'!B:B,MATCH(D42,'Ist Aktuell Monat 01'!A:A,0)),
IF(ISERROR(MATCH(D42,'Ist Aktuell Monat 02'!A:A,0))=FALSE,INDEX('Ist Aktuell Monat 02'!B:B,MATCH(D42,'Ist Aktuell Monat 02'!A:A,0)),
IF(ISERROR(MATCH(D42,'Ist Aktuell Monat 03'!A:A,0))=FALSE,INDEX('Ist Aktuell Monat 03'!B:B,MATCH(D42,'Ist Aktuell Monat 03'!A:A,0)),
IF(ISERROR(MATCH(D42,'Ist Aktuell Monat 04'!A:A,0))=FALSE,INDEX('Ist Aktuell Monat 04'!B:B,MATCH(D42,'Ist Aktuell Monat 04'!A:A,0)),
IF(ISERROR(MATCH(D42,'Ist Aktuell Monat 05'!A:A,0))=FALSE,INDEX('Ist Aktuell Monat 05'!B:B,MATCH(D42,'Ist Aktuell Monat 05'!A:A,0)),
IF(ISERROR(MATCH(D42,'Ist Aktuell Monat 06'!A:A,0))=FALSE,INDEX('Ist Aktuell Monat 06'!B:B,MATCH(D42,'Ist Aktuell Monat 06'!A:A,0)),
IF(ISERROR(MATCH(D42,'Ist Aktuell Monat 07'!A:A,0))=FALSE,INDEX('Ist Aktuell Monat 07'!B:B,MATCH(D42,'Ist Aktuell Monat 07'!A:A,0)),
IF(ISERROR(MATCH(D42,'Ist Aktuell Monat 08'!A:A,0))=FALSE,INDEX('Ist Aktuell Monat 08'!B:B,MATCH(D42,'Ist Aktuell Monat 08'!A:A,0)),
IF(ISERROR(MATCH(D42,'Ist Aktuell Monat 09'!A:A,0))=FALSE,INDEX('Ist Aktuell Monat 09'!B:B,MATCH(D42,'Ist Aktuell Monat 09'!A:A,0)),
IF(ISERROR(MATCH(D42,'Ist Aktuell Monat 10'!A:A,0))=FALSE,INDEX('Ist Aktuell Monat 10'!B:B,MATCH(D42,'Ist Aktuell Monat 10'!A:A,0)),
IF(ISERROR(MATCH(D42,'Ist Aktuell Monat 11'!A:A,0))=FALSE,INDEX('Ist Aktuell Monat 11'!B:B,MATCH(D42,'Ist Aktuell Monat 11'!A:A,0)),
IF(ISERROR(MATCH(D42,'Ist Aktuell Monat 12'!A:A,0))=FALSE,INDEX('Ist Aktuell Monat 12'!B:B,MATCH(D42,'Ist Aktuell Monat 12'!A:A,0)),
"{Konto unbekannt}"
)))))))))))),"")</f>
        <v/>
      </c>
      <c r="C42" s="591"/>
      <c r="D42" s="590"/>
      <c r="E42" s="592">
        <f t="shared" si="30"/>
        <v>-1</v>
      </c>
      <c r="F42" s="590" t="s">
        <v>996</v>
      </c>
      <c r="G42" s="593">
        <f ca="1">$E42*(-SUMIF(INDIRECT(G$3),'Struktur Aktuell'!$D42,INDIRECT(G$4))+SUMIF(INDIRECT(G$3),'Struktur Aktuell'!$D42,INDIRECT(G$5)))</f>
        <v>0</v>
      </c>
      <c r="H42" s="593">
        <f ca="1">$E42*(-SUMIF(INDIRECT(H$3),'Struktur Aktuell'!$D42,INDIRECT(H$4))+SUMIF(INDIRECT(H$3),'Struktur Aktuell'!$D42,INDIRECT(H$5)))</f>
        <v>0</v>
      </c>
      <c r="I42" s="593">
        <f ca="1">$E42*(-SUMIF(INDIRECT(I$3),'Struktur Aktuell'!$D42,INDIRECT(I$4))+SUMIF(INDIRECT(I$3),'Struktur Aktuell'!$D42,INDIRECT(I$5)))</f>
        <v>0</v>
      </c>
      <c r="J42" s="593">
        <f ca="1">$E42*(-SUMIF(INDIRECT(J$3),'Struktur Aktuell'!$D42,INDIRECT(J$4))+SUMIF(INDIRECT(J$3),'Struktur Aktuell'!$D42,INDIRECT(J$5)))</f>
        <v>0</v>
      </c>
      <c r="K42" s="593">
        <f ca="1">$E42*(-SUMIF(INDIRECT(K$3),'Struktur Aktuell'!$D42,INDIRECT(K$4))+SUMIF(INDIRECT(K$3),'Struktur Aktuell'!$D42,INDIRECT(K$5)))</f>
        <v>0</v>
      </c>
      <c r="L42" s="593">
        <f ca="1">$E42*(-SUMIF(INDIRECT(L$3),'Struktur Aktuell'!$D42,INDIRECT(L$4))+SUMIF(INDIRECT(L$3),'Struktur Aktuell'!$D42,INDIRECT(L$5)))</f>
        <v>0</v>
      </c>
      <c r="M42" s="593">
        <f ca="1">$E42*(-SUMIF(INDIRECT(M$3),'Struktur Aktuell'!$D42,INDIRECT(M$4))+SUMIF(INDIRECT(M$3),'Struktur Aktuell'!$D42,INDIRECT(M$5)))</f>
        <v>0</v>
      </c>
      <c r="N42" s="593">
        <f ca="1">$E42*(-SUMIF(INDIRECT(N$3),'Struktur Aktuell'!$D42,INDIRECT(N$4))+SUMIF(INDIRECT(N$3),'Struktur Aktuell'!$D42,INDIRECT(N$5)))</f>
        <v>0</v>
      </c>
      <c r="O42" s="593">
        <f ca="1">$E42*(-SUMIF(INDIRECT(O$3),'Struktur Aktuell'!$D42,INDIRECT(O$4))+SUMIF(INDIRECT(O$3),'Struktur Aktuell'!$D42,INDIRECT(O$5)))</f>
        <v>0</v>
      </c>
      <c r="P42" s="593">
        <f ca="1">$E42*(-SUMIF(INDIRECT(P$3),'Struktur Aktuell'!$D42,INDIRECT(P$4))+SUMIF(INDIRECT(P$3),'Struktur Aktuell'!$D42,INDIRECT(P$5)))</f>
        <v>0</v>
      </c>
      <c r="Q42" s="593">
        <f ca="1">$E42*(-SUMIF(INDIRECT(Q$3),'Struktur Aktuell'!$D42,INDIRECT(Q$4))+SUMIF(INDIRECT(Q$3),'Struktur Aktuell'!$D42,INDIRECT(Q$5)))</f>
        <v>0</v>
      </c>
      <c r="R42" s="593">
        <f ca="1">$E42*(-SUMIF(INDIRECT(R$3),'Struktur Aktuell'!$D42,INDIRECT(R$4))+SUMIF(INDIRECT(R$3),'Struktur Aktuell'!$D42,INDIRECT(R$5)))</f>
        <v>0</v>
      </c>
      <c r="S42" s="593">
        <f ca="1">$E42*(-SUMIF(INDIRECT(S$3),'Struktur Aktuell'!$D42,INDIRECT(S$4))+SUMIF(INDIRECT(S$3),'Struktur Aktuell'!$D42,INDIRECT(S$5)))</f>
        <v>0</v>
      </c>
      <c r="T42" s="593">
        <f ca="1">$E42*(-SUMIF(INDIRECT(T$3),'Struktur Aktuell'!$D42,INDIRECT(T$4))+SUMIF(INDIRECT(T$3),'Struktur Aktuell'!$D42,INDIRECT(T$5)))</f>
        <v>0</v>
      </c>
      <c r="U42" s="593">
        <f ca="1">$E42*(-SUMIF(INDIRECT(U$3),'Struktur Aktuell'!$D42,INDIRECT(U$4))+SUMIF(INDIRECT(U$3),'Struktur Aktuell'!$D42,INDIRECT(U$5)))</f>
        <v>0</v>
      </c>
      <c r="V42" s="593">
        <f ca="1">$E42*(-SUMIF(INDIRECT(V$3),'Struktur Aktuell'!$D42,INDIRECT(V$4))+SUMIF(INDIRECT(V$3),'Struktur Aktuell'!$D42,INDIRECT(V$5)))</f>
        <v>0</v>
      </c>
      <c r="W42" s="593">
        <f ca="1">$E42*(-SUMIF(INDIRECT(W$3),'Struktur Aktuell'!$D42,INDIRECT(W$4))+SUMIF(INDIRECT(W$3),'Struktur Aktuell'!$D42,INDIRECT(W$5)))</f>
        <v>0</v>
      </c>
      <c r="X42" s="593">
        <f ca="1">$E42*(-SUMIF(INDIRECT(X$3),'Struktur Aktuell'!$D42,INDIRECT(X$4))+SUMIF(INDIRECT(X$3),'Struktur Aktuell'!$D42,INDIRECT(X$5)))</f>
        <v>0</v>
      </c>
      <c r="Y42" s="593">
        <f ca="1">$E42*(-SUMIF(INDIRECT(Y$3),'Struktur Aktuell'!$D42,INDIRECT(Y$4))+SUMIF(INDIRECT(Y$3),'Struktur Aktuell'!$D42,INDIRECT(Y$5)))</f>
        <v>0</v>
      </c>
      <c r="Z42" s="593">
        <f ca="1">$E42*(-SUMIF(INDIRECT(Z$3),'Struktur Aktuell'!$D42,INDIRECT(Z$4))+SUMIF(INDIRECT(Z$3),'Struktur Aktuell'!$D42,INDIRECT(Z$5)))</f>
        <v>0</v>
      </c>
      <c r="AA42" s="593">
        <f ca="1">$E42*(-SUMIF(INDIRECT(AA$3),'Struktur Aktuell'!$D42,INDIRECT(AA$4))+SUMIF(INDIRECT(AA$3),'Struktur Aktuell'!$D42,INDIRECT(AA$5)))</f>
        <v>0</v>
      </c>
      <c r="AB42" s="593">
        <f ca="1">$E42*(-SUMIF(INDIRECT(AB$3),'Struktur Aktuell'!$D42,INDIRECT(AB$4))+SUMIF(INDIRECT(AB$3),'Struktur Aktuell'!$D42,INDIRECT(AB$5)))</f>
        <v>0</v>
      </c>
      <c r="AC42" s="593">
        <f ca="1">$E42*(-SUMIF(INDIRECT(AC$3),'Struktur Aktuell'!$D42,INDIRECT(AC$4))+SUMIF(INDIRECT(AC$3),'Struktur Aktuell'!$D42,INDIRECT(AC$5)))</f>
        <v>0</v>
      </c>
      <c r="AD42" s="593">
        <f ca="1">$E42*(-SUMIF(INDIRECT(AD$3),'Struktur Aktuell'!$D42,INDIRECT(AD$4))+SUMIF(INDIRECT(AD$3),'Struktur Aktuell'!$D42,INDIRECT(AD$5)))</f>
        <v>0</v>
      </c>
      <c r="AE42" s="593">
        <f t="shared" ca="1" si="47"/>
        <v>0</v>
      </c>
      <c r="AF42" s="593">
        <f t="shared" ca="1" si="48"/>
        <v>0</v>
      </c>
      <c r="AG42" s="593">
        <f t="shared" ca="1" si="49"/>
        <v>0</v>
      </c>
      <c r="AH42" s="593">
        <f t="shared" ca="1" si="50"/>
        <v>0</v>
      </c>
      <c r="AI42" s="593">
        <f t="shared" ca="1" si="51"/>
        <v>0</v>
      </c>
      <c r="AJ42" s="593">
        <f t="shared" ca="1" si="52"/>
        <v>0</v>
      </c>
      <c r="AK42" s="593">
        <f t="shared" ca="1" si="53"/>
        <v>0</v>
      </c>
      <c r="AL42" s="593">
        <f t="shared" ca="1" si="54"/>
        <v>0</v>
      </c>
      <c r="AM42" s="593">
        <f t="shared" ca="1" si="55"/>
        <v>0</v>
      </c>
      <c r="AN42" s="593">
        <f t="shared" ca="1" si="56"/>
        <v>0</v>
      </c>
      <c r="AO42" s="593">
        <f t="shared" ca="1" si="57"/>
        <v>0</v>
      </c>
      <c r="AP42" s="593">
        <f t="shared" ca="1" si="58"/>
        <v>0</v>
      </c>
    </row>
    <row r="43" spans="1:42" s="594" customFormat="1" ht="11.25" outlineLevel="1" x14ac:dyDescent="0.2">
      <c r="A43" s="590"/>
      <c r="B43" s="591" t="str">
        <f>IF(D43&lt;&gt;"",
IF(ISERROR(MATCH(D43,'Ist Aktuell Monat 01'!A:A,0))=FALSE,INDEX('Ist Aktuell Monat 01'!B:B,MATCH(D43,'Ist Aktuell Monat 01'!A:A,0)),
IF(ISERROR(MATCH(D43,'Ist Aktuell Monat 02'!A:A,0))=FALSE,INDEX('Ist Aktuell Monat 02'!B:B,MATCH(D43,'Ist Aktuell Monat 02'!A:A,0)),
IF(ISERROR(MATCH(D43,'Ist Aktuell Monat 03'!A:A,0))=FALSE,INDEX('Ist Aktuell Monat 03'!B:B,MATCH(D43,'Ist Aktuell Monat 03'!A:A,0)),
IF(ISERROR(MATCH(D43,'Ist Aktuell Monat 04'!A:A,0))=FALSE,INDEX('Ist Aktuell Monat 04'!B:B,MATCH(D43,'Ist Aktuell Monat 04'!A:A,0)),
IF(ISERROR(MATCH(D43,'Ist Aktuell Monat 05'!A:A,0))=FALSE,INDEX('Ist Aktuell Monat 05'!B:B,MATCH(D43,'Ist Aktuell Monat 05'!A:A,0)),
IF(ISERROR(MATCH(D43,'Ist Aktuell Monat 06'!A:A,0))=FALSE,INDEX('Ist Aktuell Monat 06'!B:B,MATCH(D43,'Ist Aktuell Monat 06'!A:A,0)),
IF(ISERROR(MATCH(D43,'Ist Aktuell Monat 07'!A:A,0))=FALSE,INDEX('Ist Aktuell Monat 07'!B:B,MATCH(D43,'Ist Aktuell Monat 07'!A:A,0)),
IF(ISERROR(MATCH(D43,'Ist Aktuell Monat 08'!A:A,0))=FALSE,INDEX('Ist Aktuell Monat 08'!B:B,MATCH(D43,'Ist Aktuell Monat 08'!A:A,0)),
IF(ISERROR(MATCH(D43,'Ist Aktuell Monat 09'!A:A,0))=FALSE,INDEX('Ist Aktuell Monat 09'!B:B,MATCH(D43,'Ist Aktuell Monat 09'!A:A,0)),
IF(ISERROR(MATCH(D43,'Ist Aktuell Monat 10'!A:A,0))=FALSE,INDEX('Ist Aktuell Monat 10'!B:B,MATCH(D43,'Ist Aktuell Monat 10'!A:A,0)),
IF(ISERROR(MATCH(D43,'Ist Aktuell Monat 11'!A:A,0))=FALSE,INDEX('Ist Aktuell Monat 11'!B:B,MATCH(D43,'Ist Aktuell Monat 11'!A:A,0)),
IF(ISERROR(MATCH(D43,'Ist Aktuell Monat 12'!A:A,0))=FALSE,INDEX('Ist Aktuell Monat 12'!B:B,MATCH(D43,'Ist Aktuell Monat 12'!A:A,0)),
"{Konto unbekannt}"
)))))))))))),"")</f>
        <v/>
      </c>
      <c r="C43" s="591"/>
      <c r="D43" s="590"/>
      <c r="E43" s="592">
        <f t="shared" si="30"/>
        <v>-1</v>
      </c>
      <c r="F43" s="590" t="s">
        <v>996</v>
      </c>
      <c r="G43" s="593">
        <f ca="1">$E43*(-SUMIF(INDIRECT(G$3),'Struktur Aktuell'!$D43,INDIRECT(G$4))+SUMIF(INDIRECT(G$3),'Struktur Aktuell'!$D43,INDIRECT(G$5)))</f>
        <v>0</v>
      </c>
      <c r="H43" s="593">
        <f ca="1">$E43*(-SUMIF(INDIRECT(H$3),'Struktur Aktuell'!$D43,INDIRECT(H$4))+SUMIF(INDIRECT(H$3),'Struktur Aktuell'!$D43,INDIRECT(H$5)))</f>
        <v>0</v>
      </c>
      <c r="I43" s="593">
        <f ca="1">$E43*(-SUMIF(INDIRECT(I$3),'Struktur Aktuell'!$D43,INDIRECT(I$4))+SUMIF(INDIRECT(I$3),'Struktur Aktuell'!$D43,INDIRECT(I$5)))</f>
        <v>0</v>
      </c>
      <c r="J43" s="593">
        <f ca="1">$E43*(-SUMIF(INDIRECT(J$3),'Struktur Aktuell'!$D43,INDIRECT(J$4))+SUMIF(INDIRECT(J$3),'Struktur Aktuell'!$D43,INDIRECT(J$5)))</f>
        <v>0</v>
      </c>
      <c r="K43" s="593">
        <f ca="1">$E43*(-SUMIF(INDIRECT(K$3),'Struktur Aktuell'!$D43,INDIRECT(K$4))+SUMIF(INDIRECT(K$3),'Struktur Aktuell'!$D43,INDIRECT(K$5)))</f>
        <v>0</v>
      </c>
      <c r="L43" s="593">
        <f ca="1">$E43*(-SUMIF(INDIRECT(L$3),'Struktur Aktuell'!$D43,INDIRECT(L$4))+SUMIF(INDIRECT(L$3),'Struktur Aktuell'!$D43,INDIRECT(L$5)))</f>
        <v>0</v>
      </c>
      <c r="M43" s="593">
        <f ca="1">$E43*(-SUMIF(INDIRECT(M$3),'Struktur Aktuell'!$D43,INDIRECT(M$4))+SUMIF(INDIRECT(M$3),'Struktur Aktuell'!$D43,INDIRECT(M$5)))</f>
        <v>0</v>
      </c>
      <c r="N43" s="593">
        <f ca="1">$E43*(-SUMIF(INDIRECT(N$3),'Struktur Aktuell'!$D43,INDIRECT(N$4))+SUMIF(INDIRECT(N$3),'Struktur Aktuell'!$D43,INDIRECT(N$5)))</f>
        <v>0</v>
      </c>
      <c r="O43" s="593">
        <f ca="1">$E43*(-SUMIF(INDIRECT(O$3),'Struktur Aktuell'!$D43,INDIRECT(O$4))+SUMIF(INDIRECT(O$3),'Struktur Aktuell'!$D43,INDIRECT(O$5)))</f>
        <v>0</v>
      </c>
      <c r="P43" s="593">
        <f ca="1">$E43*(-SUMIF(INDIRECT(P$3),'Struktur Aktuell'!$D43,INDIRECT(P$4))+SUMIF(INDIRECT(P$3),'Struktur Aktuell'!$D43,INDIRECT(P$5)))</f>
        <v>0</v>
      </c>
      <c r="Q43" s="593">
        <f ca="1">$E43*(-SUMIF(INDIRECT(Q$3),'Struktur Aktuell'!$D43,INDIRECT(Q$4))+SUMIF(INDIRECT(Q$3),'Struktur Aktuell'!$D43,INDIRECT(Q$5)))</f>
        <v>0</v>
      </c>
      <c r="R43" s="593">
        <f ca="1">$E43*(-SUMIF(INDIRECT(R$3),'Struktur Aktuell'!$D43,INDIRECT(R$4))+SUMIF(INDIRECT(R$3),'Struktur Aktuell'!$D43,INDIRECT(R$5)))</f>
        <v>0</v>
      </c>
      <c r="S43" s="593">
        <f ca="1">$E43*(-SUMIF(INDIRECT(S$3),'Struktur Aktuell'!$D43,INDIRECT(S$4))+SUMIF(INDIRECT(S$3),'Struktur Aktuell'!$D43,INDIRECT(S$5)))</f>
        <v>0</v>
      </c>
      <c r="T43" s="593">
        <f ca="1">$E43*(-SUMIF(INDIRECT(T$3),'Struktur Aktuell'!$D43,INDIRECT(T$4))+SUMIF(INDIRECT(T$3),'Struktur Aktuell'!$D43,INDIRECT(T$5)))</f>
        <v>0</v>
      </c>
      <c r="U43" s="593">
        <f ca="1">$E43*(-SUMIF(INDIRECT(U$3),'Struktur Aktuell'!$D43,INDIRECT(U$4))+SUMIF(INDIRECT(U$3),'Struktur Aktuell'!$D43,INDIRECT(U$5)))</f>
        <v>0</v>
      </c>
      <c r="V43" s="593">
        <f ca="1">$E43*(-SUMIF(INDIRECT(V$3),'Struktur Aktuell'!$D43,INDIRECT(V$4))+SUMIF(INDIRECT(V$3),'Struktur Aktuell'!$D43,INDIRECT(V$5)))</f>
        <v>0</v>
      </c>
      <c r="W43" s="593">
        <f ca="1">$E43*(-SUMIF(INDIRECT(W$3),'Struktur Aktuell'!$D43,INDIRECT(W$4))+SUMIF(INDIRECT(W$3),'Struktur Aktuell'!$D43,INDIRECT(W$5)))</f>
        <v>0</v>
      </c>
      <c r="X43" s="593">
        <f ca="1">$E43*(-SUMIF(INDIRECT(X$3),'Struktur Aktuell'!$D43,INDIRECT(X$4))+SUMIF(INDIRECT(X$3),'Struktur Aktuell'!$D43,INDIRECT(X$5)))</f>
        <v>0</v>
      </c>
      <c r="Y43" s="593">
        <f ca="1">$E43*(-SUMIF(INDIRECT(Y$3),'Struktur Aktuell'!$D43,INDIRECT(Y$4))+SUMIF(INDIRECT(Y$3),'Struktur Aktuell'!$D43,INDIRECT(Y$5)))</f>
        <v>0</v>
      </c>
      <c r="Z43" s="593">
        <f ca="1">$E43*(-SUMIF(INDIRECT(Z$3),'Struktur Aktuell'!$D43,INDIRECT(Z$4))+SUMIF(INDIRECT(Z$3),'Struktur Aktuell'!$D43,INDIRECT(Z$5)))</f>
        <v>0</v>
      </c>
      <c r="AA43" s="593">
        <f ca="1">$E43*(-SUMIF(INDIRECT(AA$3),'Struktur Aktuell'!$D43,INDIRECT(AA$4))+SUMIF(INDIRECT(AA$3),'Struktur Aktuell'!$D43,INDIRECT(AA$5)))</f>
        <v>0</v>
      </c>
      <c r="AB43" s="593">
        <f ca="1">$E43*(-SUMIF(INDIRECT(AB$3),'Struktur Aktuell'!$D43,INDIRECT(AB$4))+SUMIF(INDIRECT(AB$3),'Struktur Aktuell'!$D43,INDIRECT(AB$5)))</f>
        <v>0</v>
      </c>
      <c r="AC43" s="593">
        <f ca="1">$E43*(-SUMIF(INDIRECT(AC$3),'Struktur Aktuell'!$D43,INDIRECT(AC$4))+SUMIF(INDIRECT(AC$3),'Struktur Aktuell'!$D43,INDIRECT(AC$5)))</f>
        <v>0</v>
      </c>
      <c r="AD43" s="593">
        <f ca="1">$E43*(-SUMIF(INDIRECT(AD$3),'Struktur Aktuell'!$D43,INDIRECT(AD$4))+SUMIF(INDIRECT(AD$3),'Struktur Aktuell'!$D43,INDIRECT(AD$5)))</f>
        <v>0</v>
      </c>
      <c r="AE43" s="593">
        <f t="shared" ca="1" si="47"/>
        <v>0</v>
      </c>
      <c r="AF43" s="593">
        <f t="shared" ca="1" si="48"/>
        <v>0</v>
      </c>
      <c r="AG43" s="593">
        <f t="shared" ca="1" si="49"/>
        <v>0</v>
      </c>
      <c r="AH43" s="593">
        <f t="shared" ca="1" si="50"/>
        <v>0</v>
      </c>
      <c r="AI43" s="593">
        <f t="shared" ca="1" si="51"/>
        <v>0</v>
      </c>
      <c r="AJ43" s="593">
        <f t="shared" ca="1" si="52"/>
        <v>0</v>
      </c>
      <c r="AK43" s="593">
        <f t="shared" ca="1" si="53"/>
        <v>0</v>
      </c>
      <c r="AL43" s="593">
        <f t="shared" ca="1" si="54"/>
        <v>0</v>
      </c>
      <c r="AM43" s="593">
        <f t="shared" ca="1" si="55"/>
        <v>0</v>
      </c>
      <c r="AN43" s="593">
        <f t="shared" ca="1" si="56"/>
        <v>0</v>
      </c>
      <c r="AO43" s="593">
        <f t="shared" ca="1" si="57"/>
        <v>0</v>
      </c>
      <c r="AP43" s="593">
        <f t="shared" ca="1" si="58"/>
        <v>0</v>
      </c>
    </row>
    <row r="44" spans="1:42" s="594" customFormat="1" ht="11.25" outlineLevel="1" x14ac:dyDescent="0.2">
      <c r="A44" s="590"/>
      <c r="B44" s="591" t="str">
        <f>IF(D44&lt;&gt;"",
IF(ISERROR(MATCH(D44,'Ist Aktuell Monat 01'!A:A,0))=FALSE,INDEX('Ist Aktuell Monat 01'!B:B,MATCH(D44,'Ist Aktuell Monat 01'!A:A,0)),
IF(ISERROR(MATCH(D44,'Ist Aktuell Monat 02'!A:A,0))=FALSE,INDEX('Ist Aktuell Monat 02'!B:B,MATCH(D44,'Ist Aktuell Monat 02'!A:A,0)),
IF(ISERROR(MATCH(D44,'Ist Aktuell Monat 03'!A:A,0))=FALSE,INDEX('Ist Aktuell Monat 03'!B:B,MATCH(D44,'Ist Aktuell Monat 03'!A:A,0)),
IF(ISERROR(MATCH(D44,'Ist Aktuell Monat 04'!A:A,0))=FALSE,INDEX('Ist Aktuell Monat 04'!B:B,MATCH(D44,'Ist Aktuell Monat 04'!A:A,0)),
IF(ISERROR(MATCH(D44,'Ist Aktuell Monat 05'!A:A,0))=FALSE,INDEX('Ist Aktuell Monat 05'!B:B,MATCH(D44,'Ist Aktuell Monat 05'!A:A,0)),
IF(ISERROR(MATCH(D44,'Ist Aktuell Monat 06'!A:A,0))=FALSE,INDEX('Ist Aktuell Monat 06'!B:B,MATCH(D44,'Ist Aktuell Monat 06'!A:A,0)),
IF(ISERROR(MATCH(D44,'Ist Aktuell Monat 07'!A:A,0))=FALSE,INDEX('Ist Aktuell Monat 07'!B:B,MATCH(D44,'Ist Aktuell Monat 07'!A:A,0)),
IF(ISERROR(MATCH(D44,'Ist Aktuell Monat 08'!A:A,0))=FALSE,INDEX('Ist Aktuell Monat 08'!B:B,MATCH(D44,'Ist Aktuell Monat 08'!A:A,0)),
IF(ISERROR(MATCH(D44,'Ist Aktuell Monat 09'!A:A,0))=FALSE,INDEX('Ist Aktuell Monat 09'!B:B,MATCH(D44,'Ist Aktuell Monat 09'!A:A,0)),
IF(ISERROR(MATCH(D44,'Ist Aktuell Monat 10'!A:A,0))=FALSE,INDEX('Ist Aktuell Monat 10'!B:B,MATCH(D44,'Ist Aktuell Monat 10'!A:A,0)),
IF(ISERROR(MATCH(D44,'Ist Aktuell Monat 11'!A:A,0))=FALSE,INDEX('Ist Aktuell Monat 11'!B:B,MATCH(D44,'Ist Aktuell Monat 11'!A:A,0)),
IF(ISERROR(MATCH(D44,'Ist Aktuell Monat 12'!A:A,0))=FALSE,INDEX('Ist Aktuell Monat 12'!B:B,MATCH(D44,'Ist Aktuell Monat 12'!A:A,0)),
"{Konto unbekannt}"
)))))))))))),"")</f>
        <v/>
      </c>
      <c r="C44" s="591"/>
      <c r="D44" s="590"/>
      <c r="E44" s="592">
        <f t="shared" si="30"/>
        <v>-1</v>
      </c>
      <c r="F44" s="590" t="s">
        <v>996</v>
      </c>
      <c r="G44" s="593">
        <f ca="1">$E44*(-SUMIF(INDIRECT(G$3),'Struktur Aktuell'!$D44,INDIRECT(G$4))+SUMIF(INDIRECT(G$3),'Struktur Aktuell'!$D44,INDIRECT(G$5)))</f>
        <v>0</v>
      </c>
      <c r="H44" s="593">
        <f ca="1">$E44*(-SUMIF(INDIRECT(H$3),'Struktur Aktuell'!$D44,INDIRECT(H$4))+SUMIF(INDIRECT(H$3),'Struktur Aktuell'!$D44,INDIRECT(H$5)))</f>
        <v>0</v>
      </c>
      <c r="I44" s="593">
        <f ca="1">$E44*(-SUMIF(INDIRECT(I$3),'Struktur Aktuell'!$D44,INDIRECT(I$4))+SUMIF(INDIRECT(I$3),'Struktur Aktuell'!$D44,INDIRECT(I$5)))</f>
        <v>0</v>
      </c>
      <c r="J44" s="593">
        <f ca="1">$E44*(-SUMIF(INDIRECT(J$3),'Struktur Aktuell'!$D44,INDIRECT(J$4))+SUMIF(INDIRECT(J$3),'Struktur Aktuell'!$D44,INDIRECT(J$5)))</f>
        <v>0</v>
      </c>
      <c r="K44" s="593">
        <f ca="1">$E44*(-SUMIF(INDIRECT(K$3),'Struktur Aktuell'!$D44,INDIRECT(K$4))+SUMIF(INDIRECT(K$3),'Struktur Aktuell'!$D44,INDIRECT(K$5)))</f>
        <v>0</v>
      </c>
      <c r="L44" s="593">
        <f ca="1">$E44*(-SUMIF(INDIRECT(L$3),'Struktur Aktuell'!$D44,INDIRECT(L$4))+SUMIF(INDIRECT(L$3),'Struktur Aktuell'!$D44,INDIRECT(L$5)))</f>
        <v>0</v>
      </c>
      <c r="M44" s="593">
        <f ca="1">$E44*(-SUMIF(INDIRECT(M$3),'Struktur Aktuell'!$D44,INDIRECT(M$4))+SUMIF(INDIRECT(M$3),'Struktur Aktuell'!$D44,INDIRECT(M$5)))</f>
        <v>0</v>
      </c>
      <c r="N44" s="593">
        <f ca="1">$E44*(-SUMIF(INDIRECT(N$3),'Struktur Aktuell'!$D44,INDIRECT(N$4))+SUMIF(INDIRECT(N$3),'Struktur Aktuell'!$D44,INDIRECT(N$5)))</f>
        <v>0</v>
      </c>
      <c r="O44" s="593">
        <f ca="1">$E44*(-SUMIF(INDIRECT(O$3),'Struktur Aktuell'!$D44,INDIRECT(O$4))+SUMIF(INDIRECT(O$3),'Struktur Aktuell'!$D44,INDIRECT(O$5)))</f>
        <v>0</v>
      </c>
      <c r="P44" s="593">
        <f ca="1">$E44*(-SUMIF(INDIRECT(P$3),'Struktur Aktuell'!$D44,INDIRECT(P$4))+SUMIF(INDIRECT(P$3),'Struktur Aktuell'!$D44,INDIRECT(P$5)))</f>
        <v>0</v>
      </c>
      <c r="Q44" s="593">
        <f ca="1">$E44*(-SUMIF(INDIRECT(Q$3),'Struktur Aktuell'!$D44,INDIRECT(Q$4))+SUMIF(INDIRECT(Q$3),'Struktur Aktuell'!$D44,INDIRECT(Q$5)))</f>
        <v>0</v>
      </c>
      <c r="R44" s="593">
        <f ca="1">$E44*(-SUMIF(INDIRECT(R$3),'Struktur Aktuell'!$D44,INDIRECT(R$4))+SUMIF(INDIRECT(R$3),'Struktur Aktuell'!$D44,INDIRECT(R$5)))</f>
        <v>0</v>
      </c>
      <c r="S44" s="593">
        <f ca="1">$E44*(-SUMIF(INDIRECT(S$3),'Struktur Aktuell'!$D44,INDIRECT(S$4))+SUMIF(INDIRECT(S$3),'Struktur Aktuell'!$D44,INDIRECT(S$5)))</f>
        <v>0</v>
      </c>
      <c r="T44" s="593">
        <f ca="1">$E44*(-SUMIF(INDIRECT(T$3),'Struktur Aktuell'!$D44,INDIRECT(T$4))+SUMIF(INDIRECT(T$3),'Struktur Aktuell'!$D44,INDIRECT(T$5)))</f>
        <v>0</v>
      </c>
      <c r="U44" s="593">
        <f ca="1">$E44*(-SUMIF(INDIRECT(U$3),'Struktur Aktuell'!$D44,INDIRECT(U$4))+SUMIF(INDIRECT(U$3),'Struktur Aktuell'!$D44,INDIRECT(U$5)))</f>
        <v>0</v>
      </c>
      <c r="V44" s="593">
        <f ca="1">$E44*(-SUMIF(INDIRECT(V$3),'Struktur Aktuell'!$D44,INDIRECT(V$4))+SUMIF(INDIRECT(V$3),'Struktur Aktuell'!$D44,INDIRECT(V$5)))</f>
        <v>0</v>
      </c>
      <c r="W44" s="593">
        <f ca="1">$E44*(-SUMIF(INDIRECT(W$3),'Struktur Aktuell'!$D44,INDIRECT(W$4))+SUMIF(INDIRECT(W$3),'Struktur Aktuell'!$D44,INDIRECT(W$5)))</f>
        <v>0</v>
      </c>
      <c r="X44" s="593">
        <f ca="1">$E44*(-SUMIF(INDIRECT(X$3),'Struktur Aktuell'!$D44,INDIRECT(X$4))+SUMIF(INDIRECT(X$3),'Struktur Aktuell'!$D44,INDIRECT(X$5)))</f>
        <v>0</v>
      </c>
      <c r="Y44" s="593">
        <f ca="1">$E44*(-SUMIF(INDIRECT(Y$3),'Struktur Aktuell'!$D44,INDIRECT(Y$4))+SUMIF(INDIRECT(Y$3),'Struktur Aktuell'!$D44,INDIRECT(Y$5)))</f>
        <v>0</v>
      </c>
      <c r="Z44" s="593">
        <f ca="1">$E44*(-SUMIF(INDIRECT(Z$3),'Struktur Aktuell'!$D44,INDIRECT(Z$4))+SUMIF(INDIRECT(Z$3),'Struktur Aktuell'!$D44,INDIRECT(Z$5)))</f>
        <v>0</v>
      </c>
      <c r="AA44" s="593">
        <f ca="1">$E44*(-SUMIF(INDIRECT(AA$3),'Struktur Aktuell'!$D44,INDIRECT(AA$4))+SUMIF(INDIRECT(AA$3),'Struktur Aktuell'!$D44,INDIRECT(AA$5)))</f>
        <v>0</v>
      </c>
      <c r="AB44" s="593">
        <f ca="1">$E44*(-SUMIF(INDIRECT(AB$3),'Struktur Aktuell'!$D44,INDIRECT(AB$4))+SUMIF(INDIRECT(AB$3),'Struktur Aktuell'!$D44,INDIRECT(AB$5)))</f>
        <v>0</v>
      </c>
      <c r="AC44" s="593">
        <f ca="1">$E44*(-SUMIF(INDIRECT(AC$3),'Struktur Aktuell'!$D44,INDIRECT(AC$4))+SUMIF(INDIRECT(AC$3),'Struktur Aktuell'!$D44,INDIRECT(AC$5)))</f>
        <v>0</v>
      </c>
      <c r="AD44" s="593">
        <f ca="1">$E44*(-SUMIF(INDIRECT(AD$3),'Struktur Aktuell'!$D44,INDIRECT(AD$4))+SUMIF(INDIRECT(AD$3),'Struktur Aktuell'!$D44,INDIRECT(AD$5)))</f>
        <v>0</v>
      </c>
      <c r="AE44" s="593">
        <f t="shared" ca="1" si="47"/>
        <v>0</v>
      </c>
      <c r="AF44" s="593">
        <f t="shared" ca="1" si="48"/>
        <v>0</v>
      </c>
      <c r="AG44" s="593">
        <f t="shared" ca="1" si="49"/>
        <v>0</v>
      </c>
      <c r="AH44" s="593">
        <f t="shared" ca="1" si="50"/>
        <v>0</v>
      </c>
      <c r="AI44" s="593">
        <f t="shared" ca="1" si="51"/>
        <v>0</v>
      </c>
      <c r="AJ44" s="593">
        <f t="shared" ca="1" si="52"/>
        <v>0</v>
      </c>
      <c r="AK44" s="593">
        <f t="shared" ca="1" si="53"/>
        <v>0</v>
      </c>
      <c r="AL44" s="593">
        <f t="shared" ca="1" si="54"/>
        <v>0</v>
      </c>
      <c r="AM44" s="593">
        <f t="shared" ca="1" si="55"/>
        <v>0</v>
      </c>
      <c r="AN44" s="593">
        <f t="shared" ca="1" si="56"/>
        <v>0</v>
      </c>
      <c r="AO44" s="593">
        <f t="shared" ca="1" si="57"/>
        <v>0</v>
      </c>
      <c r="AP44" s="593">
        <f t="shared" ca="1" si="58"/>
        <v>0</v>
      </c>
    </row>
    <row r="45" spans="1:42" s="594" customFormat="1" ht="11.25" outlineLevel="1" x14ac:dyDescent="0.2">
      <c r="A45" s="590"/>
      <c r="B45" s="591" t="str">
        <f>IF(D45&lt;&gt;"",
IF(ISERROR(MATCH(D45,'Ist Aktuell Monat 01'!A:A,0))=FALSE,INDEX('Ist Aktuell Monat 01'!B:B,MATCH(D45,'Ist Aktuell Monat 01'!A:A,0)),
IF(ISERROR(MATCH(D45,'Ist Aktuell Monat 02'!A:A,0))=FALSE,INDEX('Ist Aktuell Monat 02'!B:B,MATCH(D45,'Ist Aktuell Monat 02'!A:A,0)),
IF(ISERROR(MATCH(D45,'Ist Aktuell Monat 03'!A:A,0))=FALSE,INDEX('Ist Aktuell Monat 03'!B:B,MATCH(D45,'Ist Aktuell Monat 03'!A:A,0)),
IF(ISERROR(MATCH(D45,'Ist Aktuell Monat 04'!A:A,0))=FALSE,INDEX('Ist Aktuell Monat 04'!B:B,MATCH(D45,'Ist Aktuell Monat 04'!A:A,0)),
IF(ISERROR(MATCH(D45,'Ist Aktuell Monat 05'!A:A,0))=FALSE,INDEX('Ist Aktuell Monat 05'!B:B,MATCH(D45,'Ist Aktuell Monat 05'!A:A,0)),
IF(ISERROR(MATCH(D45,'Ist Aktuell Monat 06'!A:A,0))=FALSE,INDEX('Ist Aktuell Monat 06'!B:B,MATCH(D45,'Ist Aktuell Monat 06'!A:A,0)),
IF(ISERROR(MATCH(D45,'Ist Aktuell Monat 07'!A:A,0))=FALSE,INDEX('Ist Aktuell Monat 07'!B:B,MATCH(D45,'Ist Aktuell Monat 07'!A:A,0)),
IF(ISERROR(MATCH(D45,'Ist Aktuell Monat 08'!A:A,0))=FALSE,INDEX('Ist Aktuell Monat 08'!B:B,MATCH(D45,'Ist Aktuell Monat 08'!A:A,0)),
IF(ISERROR(MATCH(D45,'Ist Aktuell Monat 09'!A:A,0))=FALSE,INDEX('Ist Aktuell Monat 09'!B:B,MATCH(D45,'Ist Aktuell Monat 09'!A:A,0)),
IF(ISERROR(MATCH(D45,'Ist Aktuell Monat 10'!A:A,0))=FALSE,INDEX('Ist Aktuell Monat 10'!B:B,MATCH(D45,'Ist Aktuell Monat 10'!A:A,0)),
IF(ISERROR(MATCH(D45,'Ist Aktuell Monat 11'!A:A,0))=FALSE,INDEX('Ist Aktuell Monat 11'!B:B,MATCH(D45,'Ist Aktuell Monat 11'!A:A,0)),
IF(ISERROR(MATCH(D45,'Ist Aktuell Monat 12'!A:A,0))=FALSE,INDEX('Ist Aktuell Monat 12'!B:B,MATCH(D45,'Ist Aktuell Monat 12'!A:A,0)),
"{Konto unbekannt}"
)))))))))))),"")</f>
        <v/>
      </c>
      <c r="C45" s="591"/>
      <c r="D45" s="590"/>
      <c r="E45" s="592">
        <f t="shared" si="30"/>
        <v>-1</v>
      </c>
      <c r="F45" s="590" t="s">
        <v>996</v>
      </c>
      <c r="G45" s="593">
        <f ca="1">$E45*(-SUMIF(INDIRECT(G$3),'Struktur Aktuell'!$D45,INDIRECT(G$4))+SUMIF(INDIRECT(G$3),'Struktur Aktuell'!$D45,INDIRECT(G$5)))</f>
        <v>0</v>
      </c>
      <c r="H45" s="593">
        <f ca="1">$E45*(-SUMIF(INDIRECT(H$3),'Struktur Aktuell'!$D45,INDIRECT(H$4))+SUMIF(INDIRECT(H$3),'Struktur Aktuell'!$D45,INDIRECT(H$5)))</f>
        <v>0</v>
      </c>
      <c r="I45" s="593">
        <f ca="1">$E45*(-SUMIF(INDIRECT(I$3),'Struktur Aktuell'!$D45,INDIRECT(I$4))+SUMIF(INDIRECT(I$3),'Struktur Aktuell'!$D45,INDIRECT(I$5)))</f>
        <v>0</v>
      </c>
      <c r="J45" s="593">
        <f ca="1">$E45*(-SUMIF(INDIRECT(J$3),'Struktur Aktuell'!$D45,INDIRECT(J$4))+SUMIF(INDIRECT(J$3),'Struktur Aktuell'!$D45,INDIRECT(J$5)))</f>
        <v>0</v>
      </c>
      <c r="K45" s="593">
        <f ca="1">$E45*(-SUMIF(INDIRECT(K$3),'Struktur Aktuell'!$D45,INDIRECT(K$4))+SUMIF(INDIRECT(K$3),'Struktur Aktuell'!$D45,INDIRECT(K$5)))</f>
        <v>0</v>
      </c>
      <c r="L45" s="593">
        <f ca="1">$E45*(-SUMIF(INDIRECT(L$3),'Struktur Aktuell'!$D45,INDIRECT(L$4))+SUMIF(INDIRECT(L$3),'Struktur Aktuell'!$D45,INDIRECT(L$5)))</f>
        <v>0</v>
      </c>
      <c r="M45" s="593">
        <f ca="1">$E45*(-SUMIF(INDIRECT(M$3),'Struktur Aktuell'!$D45,INDIRECT(M$4))+SUMIF(INDIRECT(M$3),'Struktur Aktuell'!$D45,INDIRECT(M$5)))</f>
        <v>0</v>
      </c>
      <c r="N45" s="593">
        <f ca="1">$E45*(-SUMIF(INDIRECT(N$3),'Struktur Aktuell'!$D45,INDIRECT(N$4))+SUMIF(INDIRECT(N$3),'Struktur Aktuell'!$D45,INDIRECT(N$5)))</f>
        <v>0</v>
      </c>
      <c r="O45" s="593">
        <f ca="1">$E45*(-SUMIF(INDIRECT(O$3),'Struktur Aktuell'!$D45,INDIRECT(O$4))+SUMIF(INDIRECT(O$3),'Struktur Aktuell'!$D45,INDIRECT(O$5)))</f>
        <v>0</v>
      </c>
      <c r="P45" s="593">
        <f ca="1">$E45*(-SUMIF(INDIRECT(P$3),'Struktur Aktuell'!$D45,INDIRECT(P$4))+SUMIF(INDIRECT(P$3),'Struktur Aktuell'!$D45,INDIRECT(P$5)))</f>
        <v>0</v>
      </c>
      <c r="Q45" s="593">
        <f ca="1">$E45*(-SUMIF(INDIRECT(Q$3),'Struktur Aktuell'!$D45,INDIRECT(Q$4))+SUMIF(INDIRECT(Q$3),'Struktur Aktuell'!$D45,INDIRECT(Q$5)))</f>
        <v>0</v>
      </c>
      <c r="R45" s="593">
        <f ca="1">$E45*(-SUMIF(INDIRECT(R$3),'Struktur Aktuell'!$D45,INDIRECT(R$4))+SUMIF(INDIRECT(R$3),'Struktur Aktuell'!$D45,INDIRECT(R$5)))</f>
        <v>0</v>
      </c>
      <c r="S45" s="593">
        <f ca="1">$E45*(-SUMIF(INDIRECT(S$3),'Struktur Aktuell'!$D45,INDIRECT(S$4))+SUMIF(INDIRECT(S$3),'Struktur Aktuell'!$D45,INDIRECT(S$5)))</f>
        <v>0</v>
      </c>
      <c r="T45" s="593">
        <f ca="1">$E45*(-SUMIF(INDIRECT(T$3),'Struktur Aktuell'!$D45,INDIRECT(T$4))+SUMIF(INDIRECT(T$3),'Struktur Aktuell'!$D45,INDIRECT(T$5)))</f>
        <v>0</v>
      </c>
      <c r="U45" s="593">
        <f ca="1">$E45*(-SUMIF(INDIRECT(U$3),'Struktur Aktuell'!$D45,INDIRECT(U$4))+SUMIF(INDIRECT(U$3),'Struktur Aktuell'!$D45,INDIRECT(U$5)))</f>
        <v>0</v>
      </c>
      <c r="V45" s="593">
        <f ca="1">$E45*(-SUMIF(INDIRECT(V$3),'Struktur Aktuell'!$D45,INDIRECT(V$4))+SUMIF(INDIRECT(V$3),'Struktur Aktuell'!$D45,INDIRECT(V$5)))</f>
        <v>0</v>
      </c>
      <c r="W45" s="593">
        <f ca="1">$E45*(-SUMIF(INDIRECT(W$3),'Struktur Aktuell'!$D45,INDIRECT(W$4))+SUMIF(INDIRECT(W$3),'Struktur Aktuell'!$D45,INDIRECT(W$5)))</f>
        <v>0</v>
      </c>
      <c r="X45" s="593">
        <f ca="1">$E45*(-SUMIF(INDIRECT(X$3),'Struktur Aktuell'!$D45,INDIRECT(X$4))+SUMIF(INDIRECT(X$3),'Struktur Aktuell'!$D45,INDIRECT(X$5)))</f>
        <v>0</v>
      </c>
      <c r="Y45" s="593">
        <f ca="1">$E45*(-SUMIF(INDIRECT(Y$3),'Struktur Aktuell'!$D45,INDIRECT(Y$4))+SUMIF(INDIRECT(Y$3),'Struktur Aktuell'!$D45,INDIRECT(Y$5)))</f>
        <v>0</v>
      </c>
      <c r="Z45" s="593">
        <f ca="1">$E45*(-SUMIF(INDIRECT(Z$3),'Struktur Aktuell'!$D45,INDIRECT(Z$4))+SUMIF(INDIRECT(Z$3),'Struktur Aktuell'!$D45,INDIRECT(Z$5)))</f>
        <v>0</v>
      </c>
      <c r="AA45" s="593">
        <f ca="1">$E45*(-SUMIF(INDIRECT(AA$3),'Struktur Aktuell'!$D45,INDIRECT(AA$4))+SUMIF(INDIRECT(AA$3),'Struktur Aktuell'!$D45,INDIRECT(AA$5)))</f>
        <v>0</v>
      </c>
      <c r="AB45" s="593">
        <f ca="1">$E45*(-SUMIF(INDIRECT(AB$3),'Struktur Aktuell'!$D45,INDIRECT(AB$4))+SUMIF(INDIRECT(AB$3),'Struktur Aktuell'!$D45,INDIRECT(AB$5)))</f>
        <v>0</v>
      </c>
      <c r="AC45" s="593">
        <f ca="1">$E45*(-SUMIF(INDIRECT(AC$3),'Struktur Aktuell'!$D45,INDIRECT(AC$4))+SUMIF(INDIRECT(AC$3),'Struktur Aktuell'!$D45,INDIRECT(AC$5)))</f>
        <v>0</v>
      </c>
      <c r="AD45" s="593">
        <f ca="1">$E45*(-SUMIF(INDIRECT(AD$3),'Struktur Aktuell'!$D45,INDIRECT(AD$4))+SUMIF(INDIRECT(AD$3),'Struktur Aktuell'!$D45,INDIRECT(AD$5)))</f>
        <v>0</v>
      </c>
      <c r="AE45" s="593">
        <f t="shared" ca="1" si="47"/>
        <v>0</v>
      </c>
      <c r="AF45" s="593">
        <f t="shared" ca="1" si="48"/>
        <v>0</v>
      </c>
      <c r="AG45" s="593">
        <f t="shared" ca="1" si="49"/>
        <v>0</v>
      </c>
      <c r="AH45" s="593">
        <f t="shared" ca="1" si="50"/>
        <v>0</v>
      </c>
      <c r="AI45" s="593">
        <f t="shared" ca="1" si="51"/>
        <v>0</v>
      </c>
      <c r="AJ45" s="593">
        <f t="shared" ca="1" si="52"/>
        <v>0</v>
      </c>
      <c r="AK45" s="593">
        <f t="shared" ca="1" si="53"/>
        <v>0</v>
      </c>
      <c r="AL45" s="593">
        <f t="shared" ca="1" si="54"/>
        <v>0</v>
      </c>
      <c r="AM45" s="593">
        <f t="shared" ca="1" si="55"/>
        <v>0</v>
      </c>
      <c r="AN45" s="593">
        <f t="shared" ca="1" si="56"/>
        <v>0</v>
      </c>
      <c r="AO45" s="593">
        <f t="shared" ca="1" si="57"/>
        <v>0</v>
      </c>
      <c r="AP45" s="593">
        <f t="shared" ca="1" si="58"/>
        <v>0</v>
      </c>
    </row>
    <row r="46" spans="1:42" s="589" customFormat="1" x14ac:dyDescent="0.2">
      <c r="A46" s="595"/>
      <c r="B46" s="596" t="s">
        <v>366</v>
      </c>
      <c r="C46" s="597">
        <f ca="1">SUM(G46:R46)</f>
        <v>176505.38</v>
      </c>
      <c r="D46" s="597"/>
      <c r="E46" s="598">
        <f t="shared" si="30"/>
        <v>1</v>
      </c>
      <c r="F46" s="595"/>
      <c r="G46" s="597">
        <f ca="1">G9+G26+G35</f>
        <v>10751.77</v>
      </c>
      <c r="H46" s="597">
        <f t="shared" ref="H46:R46" ca="1" si="59">H9+H26+H35</f>
        <v>12178.650000000001</v>
      </c>
      <c r="I46" s="597">
        <f t="shared" ca="1" si="59"/>
        <v>6981.5300000000007</v>
      </c>
      <c r="J46" s="597">
        <f t="shared" ca="1" si="59"/>
        <v>13432.21</v>
      </c>
      <c r="K46" s="597">
        <f t="shared" ca="1" si="59"/>
        <v>7765.1100000000006</v>
      </c>
      <c r="L46" s="597">
        <f t="shared" ca="1" si="59"/>
        <v>11085.01</v>
      </c>
      <c r="M46" s="597">
        <f t="shared" ca="1" si="59"/>
        <v>50778.380000000005</v>
      </c>
      <c r="N46" s="597">
        <f t="shared" ca="1" si="59"/>
        <v>20043.71</v>
      </c>
      <c r="O46" s="597">
        <f t="shared" ca="1" si="59"/>
        <v>10928.890000000001</v>
      </c>
      <c r="P46" s="597">
        <f t="shared" ca="1" si="59"/>
        <v>32560.12</v>
      </c>
      <c r="Q46" s="597">
        <f t="shared" ca="1" si="59"/>
        <v>0</v>
      </c>
      <c r="R46" s="597">
        <f t="shared" ca="1" si="59"/>
        <v>0</v>
      </c>
      <c r="S46" s="597">
        <f ca="1">S9+S26+S35</f>
        <v>10751.77</v>
      </c>
      <c r="T46" s="597">
        <f t="shared" ref="T46:AD46" ca="1" si="60">T9+T26+T35</f>
        <v>22930.42</v>
      </c>
      <c r="U46" s="597">
        <f t="shared" ca="1" si="60"/>
        <v>29911.949999999997</v>
      </c>
      <c r="V46" s="597">
        <f t="shared" ca="1" si="60"/>
        <v>43344.159999999996</v>
      </c>
      <c r="W46" s="597">
        <f t="shared" ca="1" si="60"/>
        <v>51109.27</v>
      </c>
      <c r="X46" s="597">
        <f t="shared" ca="1" si="60"/>
        <v>62194.280000000006</v>
      </c>
      <c r="Y46" s="597">
        <f t="shared" ca="1" si="60"/>
        <v>112972.66</v>
      </c>
      <c r="Z46" s="597">
        <f t="shared" ca="1" si="60"/>
        <v>133016.37000000002</v>
      </c>
      <c r="AA46" s="597">
        <f t="shared" ca="1" si="60"/>
        <v>143945.26</v>
      </c>
      <c r="AB46" s="597">
        <f t="shared" ca="1" si="60"/>
        <v>176505.38</v>
      </c>
      <c r="AC46" s="597">
        <f t="shared" ca="1" si="60"/>
        <v>0</v>
      </c>
      <c r="AD46" s="597">
        <f t="shared" ca="1" si="60"/>
        <v>0</v>
      </c>
      <c r="AE46" s="597">
        <f ca="1">AE9+AE26+AE35</f>
        <v>10751.77</v>
      </c>
      <c r="AF46" s="597">
        <f t="shared" ref="AF46:AP46" ca="1" si="61">AF9+AF26+AF35</f>
        <v>22930.42</v>
      </c>
      <c r="AG46" s="597">
        <f t="shared" ca="1" si="61"/>
        <v>29911.949999999997</v>
      </c>
      <c r="AH46" s="597">
        <f t="shared" ca="1" si="61"/>
        <v>43344.159999999996</v>
      </c>
      <c r="AI46" s="597">
        <f t="shared" ca="1" si="61"/>
        <v>51109.27</v>
      </c>
      <c r="AJ46" s="597">
        <f t="shared" ca="1" si="61"/>
        <v>62194.280000000006</v>
      </c>
      <c r="AK46" s="597">
        <f t="shared" ca="1" si="61"/>
        <v>112972.66</v>
      </c>
      <c r="AL46" s="597">
        <f t="shared" ca="1" si="61"/>
        <v>133016.37000000002</v>
      </c>
      <c r="AM46" s="597">
        <f t="shared" ca="1" si="61"/>
        <v>143945.26</v>
      </c>
      <c r="AN46" s="597">
        <f t="shared" ca="1" si="61"/>
        <v>176505.38000000006</v>
      </c>
      <c r="AO46" s="597">
        <f t="shared" ca="1" si="61"/>
        <v>176505.38000000006</v>
      </c>
      <c r="AP46" s="597">
        <f t="shared" ca="1" si="61"/>
        <v>176505.38000000006</v>
      </c>
    </row>
    <row r="47" spans="1:42" s="589" customFormat="1" x14ac:dyDescent="0.2">
      <c r="A47" s="585">
        <v>4</v>
      </c>
      <c r="B47" s="586" t="s">
        <v>999</v>
      </c>
      <c r="C47" s="587">
        <f ca="1">SUM(G47:R47)</f>
        <v>0</v>
      </c>
      <c r="D47" s="587"/>
      <c r="E47" s="588">
        <f t="shared" si="30"/>
        <v>1</v>
      </c>
      <c r="F47" s="585"/>
      <c r="G47" s="587">
        <f ca="1">SUM(G48:G61)</f>
        <v>0</v>
      </c>
      <c r="H47" s="587">
        <f t="shared" ref="H47:R47" ca="1" si="62">SUM(H48:H61)</f>
        <v>0</v>
      </c>
      <c r="I47" s="587">
        <f t="shared" ca="1" si="62"/>
        <v>0</v>
      </c>
      <c r="J47" s="587">
        <f t="shared" ca="1" si="62"/>
        <v>0</v>
      </c>
      <c r="K47" s="587">
        <f t="shared" ca="1" si="62"/>
        <v>0</v>
      </c>
      <c r="L47" s="587">
        <f t="shared" ca="1" si="62"/>
        <v>0</v>
      </c>
      <c r="M47" s="587">
        <f t="shared" ca="1" si="62"/>
        <v>0</v>
      </c>
      <c r="N47" s="587">
        <f t="shared" ca="1" si="62"/>
        <v>0</v>
      </c>
      <c r="O47" s="587">
        <f t="shared" ca="1" si="62"/>
        <v>0</v>
      </c>
      <c r="P47" s="587">
        <f t="shared" ca="1" si="62"/>
        <v>0</v>
      </c>
      <c r="Q47" s="587">
        <f t="shared" ca="1" si="62"/>
        <v>0</v>
      </c>
      <c r="R47" s="587">
        <f t="shared" ca="1" si="62"/>
        <v>0</v>
      </c>
      <c r="S47" s="587">
        <f ca="1">SUM(S48:S61)</f>
        <v>0</v>
      </c>
      <c r="T47" s="587">
        <f t="shared" ref="T47:AD47" ca="1" si="63">SUM(T48:T61)</f>
        <v>0</v>
      </c>
      <c r="U47" s="587">
        <f t="shared" ca="1" si="63"/>
        <v>0</v>
      </c>
      <c r="V47" s="587">
        <f t="shared" ca="1" si="63"/>
        <v>0</v>
      </c>
      <c r="W47" s="587">
        <f t="shared" ca="1" si="63"/>
        <v>0</v>
      </c>
      <c r="X47" s="587">
        <f t="shared" ca="1" si="63"/>
        <v>0</v>
      </c>
      <c r="Y47" s="587">
        <f t="shared" ca="1" si="63"/>
        <v>0</v>
      </c>
      <c r="Z47" s="587">
        <f t="shared" ca="1" si="63"/>
        <v>0</v>
      </c>
      <c r="AA47" s="587">
        <f t="shared" ca="1" si="63"/>
        <v>0</v>
      </c>
      <c r="AB47" s="587">
        <f t="shared" ca="1" si="63"/>
        <v>0</v>
      </c>
      <c r="AC47" s="587">
        <f t="shared" ca="1" si="63"/>
        <v>0</v>
      </c>
      <c r="AD47" s="587">
        <f t="shared" ca="1" si="63"/>
        <v>0</v>
      </c>
      <c r="AE47" s="587">
        <f ca="1">SUM(AE48:AE61)</f>
        <v>0</v>
      </c>
      <c r="AF47" s="587">
        <f t="shared" ref="AF47:AP47" ca="1" si="64">SUM(AF48:AF61)</f>
        <v>0</v>
      </c>
      <c r="AG47" s="587">
        <f t="shared" ca="1" si="64"/>
        <v>0</v>
      </c>
      <c r="AH47" s="587">
        <f t="shared" ca="1" si="64"/>
        <v>0</v>
      </c>
      <c r="AI47" s="587">
        <f t="shared" ca="1" si="64"/>
        <v>0</v>
      </c>
      <c r="AJ47" s="587">
        <f t="shared" ca="1" si="64"/>
        <v>0</v>
      </c>
      <c r="AK47" s="587">
        <f t="shared" ca="1" si="64"/>
        <v>0</v>
      </c>
      <c r="AL47" s="587">
        <f t="shared" ca="1" si="64"/>
        <v>0</v>
      </c>
      <c r="AM47" s="587">
        <f t="shared" ca="1" si="64"/>
        <v>0</v>
      </c>
      <c r="AN47" s="587">
        <f t="shared" ca="1" si="64"/>
        <v>0</v>
      </c>
      <c r="AO47" s="587">
        <f t="shared" ca="1" si="64"/>
        <v>0</v>
      </c>
      <c r="AP47" s="587">
        <f t="shared" ca="1" si="64"/>
        <v>0</v>
      </c>
    </row>
    <row r="48" spans="1:42" s="594" customFormat="1" ht="11.25" outlineLevel="1" x14ac:dyDescent="0.2">
      <c r="A48" s="599"/>
      <c r="B48" s="591" t="str">
        <f>IF(D48&lt;&gt;"",
IF(ISERROR(MATCH(D48,'Ist Aktuell Monat 01'!A:A,0))=FALSE,INDEX('Ist Aktuell Monat 01'!B:B,MATCH(D48,'Ist Aktuell Monat 01'!A:A,0)),
IF(ISERROR(MATCH(D48,'Ist Aktuell Monat 02'!A:A,0))=FALSE,INDEX('Ist Aktuell Monat 02'!B:B,MATCH(D48,'Ist Aktuell Monat 02'!A:A,0)),
IF(ISERROR(MATCH(D48,'Ist Aktuell Monat 03'!A:A,0))=FALSE,INDEX('Ist Aktuell Monat 03'!B:B,MATCH(D48,'Ist Aktuell Monat 03'!A:A,0)),
IF(ISERROR(MATCH(D48,'Ist Aktuell Monat 04'!A:A,0))=FALSE,INDEX('Ist Aktuell Monat 04'!B:B,MATCH(D48,'Ist Aktuell Monat 04'!A:A,0)),
IF(ISERROR(MATCH(D48,'Ist Aktuell Monat 05'!A:A,0))=FALSE,INDEX('Ist Aktuell Monat 05'!B:B,MATCH(D48,'Ist Aktuell Monat 05'!A:A,0)),
IF(ISERROR(MATCH(D48,'Ist Aktuell Monat 06'!A:A,0))=FALSE,INDEX('Ist Aktuell Monat 06'!B:B,MATCH(D48,'Ist Aktuell Monat 06'!A:A,0)),
IF(ISERROR(MATCH(D48,'Ist Aktuell Monat 07'!A:A,0))=FALSE,INDEX('Ist Aktuell Monat 07'!B:B,MATCH(D48,'Ist Aktuell Monat 07'!A:A,0)),
IF(ISERROR(MATCH(D48,'Ist Aktuell Monat 08'!A:A,0))=FALSE,INDEX('Ist Aktuell Monat 08'!B:B,MATCH(D48,'Ist Aktuell Monat 08'!A:A,0)),
IF(ISERROR(MATCH(D48,'Ist Aktuell Monat 09'!A:A,0))=FALSE,INDEX('Ist Aktuell Monat 09'!B:B,MATCH(D48,'Ist Aktuell Monat 09'!A:A,0)),
IF(ISERROR(MATCH(D48,'Ist Aktuell Monat 10'!A:A,0))=FALSE,INDEX('Ist Aktuell Monat 10'!B:B,MATCH(D48,'Ist Aktuell Monat 10'!A:A,0)),
IF(ISERROR(MATCH(D48,'Ist Aktuell Monat 11'!A:A,0))=FALSE,INDEX('Ist Aktuell Monat 11'!B:B,MATCH(D48,'Ist Aktuell Monat 11'!A:A,0)),
IF(ISERROR(MATCH(D48,'Ist Aktuell Monat 12'!A:A,0))=FALSE,INDEX('Ist Aktuell Monat 12'!B:B,MATCH(D48,'Ist Aktuell Monat 12'!A:A,0)),
"{Konto unbekannt}"
)))))))))))),"")</f>
        <v/>
      </c>
      <c r="C48" s="591"/>
      <c r="D48" s="590"/>
      <c r="E48" s="592">
        <f t="shared" si="30"/>
        <v>1</v>
      </c>
      <c r="F48" s="599"/>
      <c r="G48" s="593">
        <f ca="1">$E48*(-SUMIF(INDIRECT(G$3),'Struktur Aktuell'!$D48,INDIRECT(G$4))+SUMIF(INDIRECT(G$3),'Struktur Aktuell'!$D48,INDIRECT(G$5)))</f>
        <v>0</v>
      </c>
      <c r="H48" s="593">
        <f ca="1">$E48*(-SUMIF(INDIRECT(H$3),'Struktur Aktuell'!$D48,INDIRECT(H$4))+SUMIF(INDIRECT(H$3),'Struktur Aktuell'!$D48,INDIRECT(H$5)))</f>
        <v>0</v>
      </c>
      <c r="I48" s="593">
        <f ca="1">$E48*(-SUMIF(INDIRECT(I$3),'Struktur Aktuell'!$D48,INDIRECT(I$4))+SUMIF(INDIRECT(I$3),'Struktur Aktuell'!$D48,INDIRECT(I$5)))</f>
        <v>0</v>
      </c>
      <c r="J48" s="593">
        <f ca="1">$E48*(-SUMIF(INDIRECT(J$3),'Struktur Aktuell'!$D48,INDIRECT(J$4))+SUMIF(INDIRECT(J$3),'Struktur Aktuell'!$D48,INDIRECT(J$5)))</f>
        <v>0</v>
      </c>
      <c r="K48" s="593">
        <f ca="1">$E48*(-SUMIF(INDIRECT(K$3),'Struktur Aktuell'!$D48,INDIRECT(K$4))+SUMIF(INDIRECT(K$3),'Struktur Aktuell'!$D48,INDIRECT(K$5)))</f>
        <v>0</v>
      </c>
      <c r="L48" s="593">
        <f ca="1">$E48*(-SUMIF(INDIRECT(L$3),'Struktur Aktuell'!$D48,INDIRECT(L$4))+SUMIF(INDIRECT(L$3),'Struktur Aktuell'!$D48,INDIRECT(L$5)))</f>
        <v>0</v>
      </c>
      <c r="M48" s="593">
        <f ca="1">$E48*(-SUMIF(INDIRECT(M$3),'Struktur Aktuell'!$D48,INDIRECT(M$4))+SUMIF(INDIRECT(M$3),'Struktur Aktuell'!$D48,INDIRECT(M$5)))</f>
        <v>0</v>
      </c>
      <c r="N48" s="593">
        <f ca="1">$E48*(-SUMIF(INDIRECT(N$3),'Struktur Aktuell'!$D48,INDIRECT(N$4))+SUMIF(INDIRECT(N$3),'Struktur Aktuell'!$D48,INDIRECT(N$5)))</f>
        <v>0</v>
      </c>
      <c r="O48" s="593">
        <f ca="1">$E48*(-SUMIF(INDIRECT(O$3),'Struktur Aktuell'!$D48,INDIRECT(O$4))+SUMIF(INDIRECT(O$3),'Struktur Aktuell'!$D48,INDIRECT(O$5)))</f>
        <v>0</v>
      </c>
      <c r="P48" s="593">
        <f ca="1">$E48*(-SUMIF(INDIRECT(P$3),'Struktur Aktuell'!$D48,INDIRECT(P$4))+SUMIF(INDIRECT(P$3),'Struktur Aktuell'!$D48,INDIRECT(P$5)))</f>
        <v>0</v>
      </c>
      <c r="Q48" s="593">
        <f ca="1">$E48*(-SUMIF(INDIRECT(Q$3),'Struktur Aktuell'!$D48,INDIRECT(Q$4))+SUMIF(INDIRECT(Q$3),'Struktur Aktuell'!$D48,INDIRECT(Q$5)))</f>
        <v>0</v>
      </c>
      <c r="R48" s="593">
        <f ca="1">$E48*(-SUMIF(INDIRECT(R$3),'Struktur Aktuell'!$D48,INDIRECT(R$4))+SUMIF(INDIRECT(R$3),'Struktur Aktuell'!$D48,INDIRECT(R$5)))</f>
        <v>0</v>
      </c>
      <c r="S48" s="593">
        <f ca="1">$E48*(-SUMIF(INDIRECT(S$3),'Struktur Aktuell'!$D48,INDIRECT(S$4))+SUMIF(INDIRECT(S$3),'Struktur Aktuell'!$D48,INDIRECT(S$5)))</f>
        <v>0</v>
      </c>
      <c r="T48" s="593">
        <f ca="1">$E48*(-SUMIF(INDIRECT(T$3),'Struktur Aktuell'!$D48,INDIRECT(T$4))+SUMIF(INDIRECT(T$3),'Struktur Aktuell'!$D48,INDIRECT(T$5)))</f>
        <v>0</v>
      </c>
      <c r="U48" s="593">
        <f ca="1">$E48*(-SUMIF(INDIRECT(U$3),'Struktur Aktuell'!$D48,INDIRECT(U$4))+SUMIF(INDIRECT(U$3),'Struktur Aktuell'!$D48,INDIRECT(U$5)))</f>
        <v>0</v>
      </c>
      <c r="V48" s="593">
        <f ca="1">$E48*(-SUMIF(INDIRECT(V$3),'Struktur Aktuell'!$D48,INDIRECT(V$4))+SUMIF(INDIRECT(V$3),'Struktur Aktuell'!$D48,INDIRECT(V$5)))</f>
        <v>0</v>
      </c>
      <c r="W48" s="593">
        <f ca="1">$E48*(-SUMIF(INDIRECT(W$3),'Struktur Aktuell'!$D48,INDIRECT(W$4))+SUMIF(INDIRECT(W$3),'Struktur Aktuell'!$D48,INDIRECT(W$5)))</f>
        <v>0</v>
      </c>
      <c r="X48" s="593">
        <f ca="1">$E48*(-SUMIF(INDIRECT(X$3),'Struktur Aktuell'!$D48,INDIRECT(X$4))+SUMIF(INDIRECT(X$3),'Struktur Aktuell'!$D48,INDIRECT(X$5)))</f>
        <v>0</v>
      </c>
      <c r="Y48" s="593">
        <f ca="1">$E48*(-SUMIF(INDIRECT(Y$3),'Struktur Aktuell'!$D48,INDIRECT(Y$4))+SUMIF(INDIRECT(Y$3),'Struktur Aktuell'!$D48,INDIRECT(Y$5)))</f>
        <v>0</v>
      </c>
      <c r="Z48" s="593">
        <f ca="1">$E48*(-SUMIF(INDIRECT(Z$3),'Struktur Aktuell'!$D48,INDIRECT(Z$4))+SUMIF(INDIRECT(Z$3),'Struktur Aktuell'!$D48,INDIRECT(Z$5)))</f>
        <v>0</v>
      </c>
      <c r="AA48" s="593">
        <f ca="1">$E48*(-SUMIF(INDIRECT(AA$3),'Struktur Aktuell'!$D48,INDIRECT(AA$4))+SUMIF(INDIRECT(AA$3),'Struktur Aktuell'!$D48,INDIRECT(AA$5)))</f>
        <v>0</v>
      </c>
      <c r="AB48" s="593">
        <f ca="1">$E48*(-SUMIF(INDIRECT(AB$3),'Struktur Aktuell'!$D48,INDIRECT(AB$4))+SUMIF(INDIRECT(AB$3),'Struktur Aktuell'!$D48,INDIRECT(AB$5)))</f>
        <v>0</v>
      </c>
      <c r="AC48" s="593">
        <f ca="1">$E48*(-SUMIF(INDIRECT(AC$3),'Struktur Aktuell'!$D48,INDIRECT(AC$4))+SUMIF(INDIRECT(AC$3),'Struktur Aktuell'!$D48,INDIRECT(AC$5)))</f>
        <v>0</v>
      </c>
      <c r="AD48" s="593">
        <f ca="1">$E48*(-SUMIF(INDIRECT(AD$3),'Struktur Aktuell'!$D48,INDIRECT(AD$4))+SUMIF(INDIRECT(AD$3),'Struktur Aktuell'!$D48,INDIRECT(AD$5)))</f>
        <v>0</v>
      </c>
      <c r="AE48" s="593">
        <f t="shared" ref="AE48:AE61" ca="1" si="65">G48</f>
        <v>0</v>
      </c>
      <c r="AF48" s="593">
        <f t="shared" ref="AF48:AF61" ca="1" si="66">H48+AE48</f>
        <v>0</v>
      </c>
      <c r="AG48" s="593">
        <f t="shared" ref="AG48:AG61" ca="1" si="67">I48+AF48</f>
        <v>0</v>
      </c>
      <c r="AH48" s="593">
        <f t="shared" ref="AH48:AH61" ca="1" si="68">J48+AG48</f>
        <v>0</v>
      </c>
      <c r="AI48" s="593">
        <f t="shared" ref="AI48:AI61" ca="1" si="69">K48+AH48</f>
        <v>0</v>
      </c>
      <c r="AJ48" s="593">
        <f t="shared" ref="AJ48:AJ61" ca="1" si="70">L48+AI48</f>
        <v>0</v>
      </c>
      <c r="AK48" s="593">
        <f t="shared" ref="AK48:AK61" ca="1" si="71">M48+AJ48</f>
        <v>0</v>
      </c>
      <c r="AL48" s="593">
        <f t="shared" ref="AL48:AL61" ca="1" si="72">N48+AK48</f>
        <v>0</v>
      </c>
      <c r="AM48" s="593">
        <f t="shared" ref="AM48:AM61" ca="1" si="73">O48+AL48</f>
        <v>0</v>
      </c>
      <c r="AN48" s="593">
        <f t="shared" ref="AN48:AN61" ca="1" si="74">P48+AM48</f>
        <v>0</v>
      </c>
      <c r="AO48" s="593">
        <f t="shared" ref="AO48:AO61" ca="1" si="75">Q48+AN48</f>
        <v>0</v>
      </c>
      <c r="AP48" s="593">
        <f t="shared" ref="AP48:AP61" ca="1" si="76">R48+AO48</f>
        <v>0</v>
      </c>
    </row>
    <row r="49" spans="1:42" s="594" customFormat="1" ht="11.25" outlineLevel="1" x14ac:dyDescent="0.2">
      <c r="A49" s="599"/>
      <c r="B49" s="591" t="str">
        <f>IF(D49&lt;&gt;"",
IF(ISERROR(MATCH(D49,'Ist Aktuell Monat 01'!A:A,0))=FALSE,INDEX('Ist Aktuell Monat 01'!B:B,MATCH(D49,'Ist Aktuell Monat 01'!A:A,0)),
IF(ISERROR(MATCH(D49,'Ist Aktuell Monat 02'!A:A,0))=FALSE,INDEX('Ist Aktuell Monat 02'!B:B,MATCH(D49,'Ist Aktuell Monat 02'!A:A,0)),
IF(ISERROR(MATCH(D49,'Ist Aktuell Monat 03'!A:A,0))=FALSE,INDEX('Ist Aktuell Monat 03'!B:B,MATCH(D49,'Ist Aktuell Monat 03'!A:A,0)),
IF(ISERROR(MATCH(D49,'Ist Aktuell Monat 04'!A:A,0))=FALSE,INDEX('Ist Aktuell Monat 04'!B:B,MATCH(D49,'Ist Aktuell Monat 04'!A:A,0)),
IF(ISERROR(MATCH(D49,'Ist Aktuell Monat 05'!A:A,0))=FALSE,INDEX('Ist Aktuell Monat 05'!B:B,MATCH(D49,'Ist Aktuell Monat 05'!A:A,0)),
IF(ISERROR(MATCH(D49,'Ist Aktuell Monat 06'!A:A,0))=FALSE,INDEX('Ist Aktuell Monat 06'!B:B,MATCH(D49,'Ist Aktuell Monat 06'!A:A,0)),
IF(ISERROR(MATCH(D49,'Ist Aktuell Monat 07'!A:A,0))=FALSE,INDEX('Ist Aktuell Monat 07'!B:B,MATCH(D49,'Ist Aktuell Monat 07'!A:A,0)),
IF(ISERROR(MATCH(D49,'Ist Aktuell Monat 08'!A:A,0))=FALSE,INDEX('Ist Aktuell Monat 08'!B:B,MATCH(D49,'Ist Aktuell Monat 08'!A:A,0)),
IF(ISERROR(MATCH(D49,'Ist Aktuell Monat 09'!A:A,0))=FALSE,INDEX('Ist Aktuell Monat 09'!B:B,MATCH(D49,'Ist Aktuell Monat 09'!A:A,0)),
IF(ISERROR(MATCH(D49,'Ist Aktuell Monat 10'!A:A,0))=FALSE,INDEX('Ist Aktuell Monat 10'!B:B,MATCH(D49,'Ist Aktuell Monat 10'!A:A,0)),
IF(ISERROR(MATCH(D49,'Ist Aktuell Monat 11'!A:A,0))=FALSE,INDEX('Ist Aktuell Monat 11'!B:B,MATCH(D49,'Ist Aktuell Monat 11'!A:A,0)),
IF(ISERROR(MATCH(D49,'Ist Aktuell Monat 12'!A:A,0))=FALSE,INDEX('Ist Aktuell Monat 12'!B:B,MATCH(D49,'Ist Aktuell Monat 12'!A:A,0)),
"{Konto unbekannt}"
)))))))))))),"")</f>
        <v/>
      </c>
      <c r="C49" s="591"/>
      <c r="D49" s="590"/>
      <c r="E49" s="592">
        <f t="shared" si="30"/>
        <v>1</v>
      </c>
      <c r="F49" s="599"/>
      <c r="G49" s="593">
        <f ca="1">$E49*(-SUMIF(INDIRECT(G$3),'Struktur Aktuell'!$D49,INDIRECT(G$4))+SUMIF(INDIRECT(G$3),'Struktur Aktuell'!$D49,INDIRECT(G$5)))</f>
        <v>0</v>
      </c>
      <c r="H49" s="593">
        <f ca="1">$E49*(-SUMIF(INDIRECT(H$3),'Struktur Aktuell'!$D49,INDIRECT(H$4))+SUMIF(INDIRECT(H$3),'Struktur Aktuell'!$D49,INDIRECT(H$5)))</f>
        <v>0</v>
      </c>
      <c r="I49" s="593">
        <f ca="1">$E49*(-SUMIF(INDIRECT(I$3),'Struktur Aktuell'!$D49,INDIRECT(I$4))+SUMIF(INDIRECT(I$3),'Struktur Aktuell'!$D49,INDIRECT(I$5)))</f>
        <v>0</v>
      </c>
      <c r="J49" s="593">
        <f ca="1">$E49*(-SUMIF(INDIRECT(J$3),'Struktur Aktuell'!$D49,INDIRECT(J$4))+SUMIF(INDIRECT(J$3),'Struktur Aktuell'!$D49,INDIRECT(J$5)))</f>
        <v>0</v>
      </c>
      <c r="K49" s="593">
        <f ca="1">$E49*(-SUMIF(INDIRECT(K$3),'Struktur Aktuell'!$D49,INDIRECT(K$4))+SUMIF(INDIRECT(K$3),'Struktur Aktuell'!$D49,INDIRECT(K$5)))</f>
        <v>0</v>
      </c>
      <c r="L49" s="593">
        <f ca="1">$E49*(-SUMIF(INDIRECT(L$3),'Struktur Aktuell'!$D49,INDIRECT(L$4))+SUMIF(INDIRECT(L$3),'Struktur Aktuell'!$D49,INDIRECT(L$5)))</f>
        <v>0</v>
      </c>
      <c r="M49" s="593">
        <f ca="1">$E49*(-SUMIF(INDIRECT(M$3),'Struktur Aktuell'!$D49,INDIRECT(M$4))+SUMIF(INDIRECT(M$3),'Struktur Aktuell'!$D49,INDIRECT(M$5)))</f>
        <v>0</v>
      </c>
      <c r="N49" s="593">
        <f ca="1">$E49*(-SUMIF(INDIRECT(N$3),'Struktur Aktuell'!$D49,INDIRECT(N$4))+SUMIF(INDIRECT(N$3),'Struktur Aktuell'!$D49,INDIRECT(N$5)))</f>
        <v>0</v>
      </c>
      <c r="O49" s="593">
        <f ca="1">$E49*(-SUMIF(INDIRECT(O$3),'Struktur Aktuell'!$D49,INDIRECT(O$4))+SUMIF(INDIRECT(O$3),'Struktur Aktuell'!$D49,INDIRECT(O$5)))</f>
        <v>0</v>
      </c>
      <c r="P49" s="593">
        <f ca="1">$E49*(-SUMIF(INDIRECT(P$3),'Struktur Aktuell'!$D49,INDIRECT(P$4))+SUMIF(INDIRECT(P$3),'Struktur Aktuell'!$D49,INDIRECT(P$5)))</f>
        <v>0</v>
      </c>
      <c r="Q49" s="593">
        <f ca="1">$E49*(-SUMIF(INDIRECT(Q$3),'Struktur Aktuell'!$D49,INDIRECT(Q$4))+SUMIF(INDIRECT(Q$3),'Struktur Aktuell'!$D49,INDIRECT(Q$5)))</f>
        <v>0</v>
      </c>
      <c r="R49" s="593">
        <f ca="1">$E49*(-SUMIF(INDIRECT(R$3),'Struktur Aktuell'!$D49,INDIRECT(R$4))+SUMIF(INDIRECT(R$3),'Struktur Aktuell'!$D49,INDIRECT(R$5)))</f>
        <v>0</v>
      </c>
      <c r="S49" s="593">
        <f ca="1">$E49*(-SUMIF(INDIRECT(S$3),'Struktur Aktuell'!$D49,INDIRECT(S$4))+SUMIF(INDIRECT(S$3),'Struktur Aktuell'!$D49,INDIRECT(S$5)))</f>
        <v>0</v>
      </c>
      <c r="T49" s="593">
        <f ca="1">$E49*(-SUMIF(INDIRECT(T$3),'Struktur Aktuell'!$D49,INDIRECT(T$4))+SUMIF(INDIRECT(T$3),'Struktur Aktuell'!$D49,INDIRECT(T$5)))</f>
        <v>0</v>
      </c>
      <c r="U49" s="593">
        <f ca="1">$E49*(-SUMIF(INDIRECT(U$3),'Struktur Aktuell'!$D49,INDIRECT(U$4))+SUMIF(INDIRECT(U$3),'Struktur Aktuell'!$D49,INDIRECT(U$5)))</f>
        <v>0</v>
      </c>
      <c r="V49" s="593">
        <f ca="1">$E49*(-SUMIF(INDIRECT(V$3),'Struktur Aktuell'!$D49,INDIRECT(V$4))+SUMIF(INDIRECT(V$3),'Struktur Aktuell'!$D49,INDIRECT(V$5)))</f>
        <v>0</v>
      </c>
      <c r="W49" s="593">
        <f ca="1">$E49*(-SUMIF(INDIRECT(W$3),'Struktur Aktuell'!$D49,INDIRECT(W$4))+SUMIF(INDIRECT(W$3),'Struktur Aktuell'!$D49,INDIRECT(W$5)))</f>
        <v>0</v>
      </c>
      <c r="X49" s="593">
        <f ca="1">$E49*(-SUMIF(INDIRECT(X$3),'Struktur Aktuell'!$D49,INDIRECT(X$4))+SUMIF(INDIRECT(X$3),'Struktur Aktuell'!$D49,INDIRECT(X$5)))</f>
        <v>0</v>
      </c>
      <c r="Y49" s="593">
        <f ca="1">$E49*(-SUMIF(INDIRECT(Y$3),'Struktur Aktuell'!$D49,INDIRECT(Y$4))+SUMIF(INDIRECT(Y$3),'Struktur Aktuell'!$D49,INDIRECT(Y$5)))</f>
        <v>0</v>
      </c>
      <c r="Z49" s="593">
        <f ca="1">$E49*(-SUMIF(INDIRECT(Z$3),'Struktur Aktuell'!$D49,INDIRECT(Z$4))+SUMIF(INDIRECT(Z$3),'Struktur Aktuell'!$D49,INDIRECT(Z$5)))</f>
        <v>0</v>
      </c>
      <c r="AA49" s="593">
        <f ca="1">$E49*(-SUMIF(INDIRECT(AA$3),'Struktur Aktuell'!$D49,INDIRECT(AA$4))+SUMIF(INDIRECT(AA$3),'Struktur Aktuell'!$D49,INDIRECT(AA$5)))</f>
        <v>0</v>
      </c>
      <c r="AB49" s="593">
        <f ca="1">$E49*(-SUMIF(INDIRECT(AB$3),'Struktur Aktuell'!$D49,INDIRECT(AB$4))+SUMIF(INDIRECT(AB$3),'Struktur Aktuell'!$D49,INDIRECT(AB$5)))</f>
        <v>0</v>
      </c>
      <c r="AC49" s="593">
        <f ca="1">$E49*(-SUMIF(INDIRECT(AC$3),'Struktur Aktuell'!$D49,INDIRECT(AC$4))+SUMIF(INDIRECT(AC$3),'Struktur Aktuell'!$D49,INDIRECT(AC$5)))</f>
        <v>0</v>
      </c>
      <c r="AD49" s="593">
        <f ca="1">$E49*(-SUMIF(INDIRECT(AD$3),'Struktur Aktuell'!$D49,INDIRECT(AD$4))+SUMIF(INDIRECT(AD$3),'Struktur Aktuell'!$D49,INDIRECT(AD$5)))</f>
        <v>0</v>
      </c>
      <c r="AE49" s="593">
        <f t="shared" ca="1" si="65"/>
        <v>0</v>
      </c>
      <c r="AF49" s="593">
        <f t="shared" ca="1" si="66"/>
        <v>0</v>
      </c>
      <c r="AG49" s="593">
        <f t="shared" ca="1" si="67"/>
        <v>0</v>
      </c>
      <c r="AH49" s="593">
        <f t="shared" ca="1" si="68"/>
        <v>0</v>
      </c>
      <c r="AI49" s="593">
        <f t="shared" ca="1" si="69"/>
        <v>0</v>
      </c>
      <c r="AJ49" s="593">
        <f t="shared" ca="1" si="70"/>
        <v>0</v>
      </c>
      <c r="AK49" s="593">
        <f t="shared" ca="1" si="71"/>
        <v>0</v>
      </c>
      <c r="AL49" s="593">
        <f t="shared" ca="1" si="72"/>
        <v>0</v>
      </c>
      <c r="AM49" s="593">
        <f t="shared" ca="1" si="73"/>
        <v>0</v>
      </c>
      <c r="AN49" s="593">
        <f t="shared" ca="1" si="74"/>
        <v>0</v>
      </c>
      <c r="AO49" s="593">
        <f t="shared" ca="1" si="75"/>
        <v>0</v>
      </c>
      <c r="AP49" s="593">
        <f t="shared" ca="1" si="76"/>
        <v>0</v>
      </c>
    </row>
    <row r="50" spans="1:42" s="594" customFormat="1" ht="11.25" outlineLevel="1" x14ac:dyDescent="0.2">
      <c r="A50" s="599"/>
      <c r="B50" s="591" t="str">
        <f>IF(D50&lt;&gt;"",
IF(ISERROR(MATCH(D50,'Ist Aktuell Monat 01'!A:A,0))=FALSE,INDEX('Ist Aktuell Monat 01'!B:B,MATCH(D50,'Ist Aktuell Monat 01'!A:A,0)),
IF(ISERROR(MATCH(D50,'Ist Aktuell Monat 02'!A:A,0))=FALSE,INDEX('Ist Aktuell Monat 02'!B:B,MATCH(D50,'Ist Aktuell Monat 02'!A:A,0)),
IF(ISERROR(MATCH(D50,'Ist Aktuell Monat 03'!A:A,0))=FALSE,INDEX('Ist Aktuell Monat 03'!B:B,MATCH(D50,'Ist Aktuell Monat 03'!A:A,0)),
IF(ISERROR(MATCH(D50,'Ist Aktuell Monat 04'!A:A,0))=FALSE,INDEX('Ist Aktuell Monat 04'!B:B,MATCH(D50,'Ist Aktuell Monat 04'!A:A,0)),
IF(ISERROR(MATCH(D50,'Ist Aktuell Monat 05'!A:A,0))=FALSE,INDEX('Ist Aktuell Monat 05'!B:B,MATCH(D50,'Ist Aktuell Monat 05'!A:A,0)),
IF(ISERROR(MATCH(D50,'Ist Aktuell Monat 06'!A:A,0))=FALSE,INDEX('Ist Aktuell Monat 06'!B:B,MATCH(D50,'Ist Aktuell Monat 06'!A:A,0)),
IF(ISERROR(MATCH(D50,'Ist Aktuell Monat 07'!A:A,0))=FALSE,INDEX('Ist Aktuell Monat 07'!B:B,MATCH(D50,'Ist Aktuell Monat 07'!A:A,0)),
IF(ISERROR(MATCH(D50,'Ist Aktuell Monat 08'!A:A,0))=FALSE,INDEX('Ist Aktuell Monat 08'!B:B,MATCH(D50,'Ist Aktuell Monat 08'!A:A,0)),
IF(ISERROR(MATCH(D50,'Ist Aktuell Monat 09'!A:A,0))=FALSE,INDEX('Ist Aktuell Monat 09'!B:B,MATCH(D50,'Ist Aktuell Monat 09'!A:A,0)),
IF(ISERROR(MATCH(D50,'Ist Aktuell Monat 10'!A:A,0))=FALSE,INDEX('Ist Aktuell Monat 10'!B:B,MATCH(D50,'Ist Aktuell Monat 10'!A:A,0)),
IF(ISERROR(MATCH(D50,'Ist Aktuell Monat 11'!A:A,0))=FALSE,INDEX('Ist Aktuell Monat 11'!B:B,MATCH(D50,'Ist Aktuell Monat 11'!A:A,0)),
IF(ISERROR(MATCH(D50,'Ist Aktuell Monat 12'!A:A,0))=FALSE,INDEX('Ist Aktuell Monat 12'!B:B,MATCH(D50,'Ist Aktuell Monat 12'!A:A,0)),
"{Konto unbekannt}"
)))))))))))),"")</f>
        <v/>
      </c>
      <c r="C50" s="591"/>
      <c r="D50" s="590"/>
      <c r="E50" s="592">
        <f t="shared" si="30"/>
        <v>1</v>
      </c>
      <c r="F50" s="599"/>
      <c r="G50" s="593">
        <f ca="1">$E50*(-SUMIF(INDIRECT(G$3),'Struktur Aktuell'!$D50,INDIRECT(G$4))+SUMIF(INDIRECT(G$3),'Struktur Aktuell'!$D50,INDIRECT(G$5)))</f>
        <v>0</v>
      </c>
      <c r="H50" s="593">
        <f ca="1">$E50*(-SUMIF(INDIRECT(H$3),'Struktur Aktuell'!$D50,INDIRECT(H$4))+SUMIF(INDIRECT(H$3),'Struktur Aktuell'!$D50,INDIRECT(H$5)))</f>
        <v>0</v>
      </c>
      <c r="I50" s="593">
        <f ca="1">$E50*(-SUMIF(INDIRECT(I$3),'Struktur Aktuell'!$D50,INDIRECT(I$4))+SUMIF(INDIRECT(I$3),'Struktur Aktuell'!$D50,INDIRECT(I$5)))</f>
        <v>0</v>
      </c>
      <c r="J50" s="593">
        <f ca="1">$E50*(-SUMIF(INDIRECT(J$3),'Struktur Aktuell'!$D50,INDIRECT(J$4))+SUMIF(INDIRECT(J$3),'Struktur Aktuell'!$D50,INDIRECT(J$5)))</f>
        <v>0</v>
      </c>
      <c r="K50" s="593">
        <f ca="1">$E50*(-SUMIF(INDIRECT(K$3),'Struktur Aktuell'!$D50,INDIRECT(K$4))+SUMIF(INDIRECT(K$3),'Struktur Aktuell'!$D50,INDIRECT(K$5)))</f>
        <v>0</v>
      </c>
      <c r="L50" s="593">
        <f ca="1">$E50*(-SUMIF(INDIRECT(L$3),'Struktur Aktuell'!$D50,INDIRECT(L$4))+SUMIF(INDIRECT(L$3),'Struktur Aktuell'!$D50,INDIRECT(L$5)))</f>
        <v>0</v>
      </c>
      <c r="M50" s="593">
        <f ca="1">$E50*(-SUMIF(INDIRECT(M$3),'Struktur Aktuell'!$D50,INDIRECT(M$4))+SUMIF(INDIRECT(M$3),'Struktur Aktuell'!$D50,INDIRECT(M$5)))</f>
        <v>0</v>
      </c>
      <c r="N50" s="593">
        <f ca="1">$E50*(-SUMIF(INDIRECT(N$3),'Struktur Aktuell'!$D50,INDIRECT(N$4))+SUMIF(INDIRECT(N$3),'Struktur Aktuell'!$D50,INDIRECT(N$5)))</f>
        <v>0</v>
      </c>
      <c r="O50" s="593">
        <f ca="1">$E50*(-SUMIF(INDIRECT(O$3),'Struktur Aktuell'!$D50,INDIRECT(O$4))+SUMIF(INDIRECT(O$3),'Struktur Aktuell'!$D50,INDIRECT(O$5)))</f>
        <v>0</v>
      </c>
      <c r="P50" s="593">
        <f ca="1">$E50*(-SUMIF(INDIRECT(P$3),'Struktur Aktuell'!$D50,INDIRECT(P$4))+SUMIF(INDIRECT(P$3),'Struktur Aktuell'!$D50,INDIRECT(P$5)))</f>
        <v>0</v>
      </c>
      <c r="Q50" s="593">
        <f ca="1">$E50*(-SUMIF(INDIRECT(Q$3),'Struktur Aktuell'!$D50,INDIRECT(Q$4))+SUMIF(INDIRECT(Q$3),'Struktur Aktuell'!$D50,INDIRECT(Q$5)))</f>
        <v>0</v>
      </c>
      <c r="R50" s="593">
        <f ca="1">$E50*(-SUMIF(INDIRECT(R$3),'Struktur Aktuell'!$D50,INDIRECT(R$4))+SUMIF(INDIRECT(R$3),'Struktur Aktuell'!$D50,INDIRECT(R$5)))</f>
        <v>0</v>
      </c>
      <c r="S50" s="593">
        <f ca="1">$E50*(-SUMIF(INDIRECT(S$3),'Struktur Aktuell'!$D50,INDIRECT(S$4))+SUMIF(INDIRECT(S$3),'Struktur Aktuell'!$D50,INDIRECT(S$5)))</f>
        <v>0</v>
      </c>
      <c r="T50" s="593">
        <f ca="1">$E50*(-SUMIF(INDIRECT(T$3),'Struktur Aktuell'!$D50,INDIRECT(T$4))+SUMIF(INDIRECT(T$3),'Struktur Aktuell'!$D50,INDIRECT(T$5)))</f>
        <v>0</v>
      </c>
      <c r="U50" s="593">
        <f ca="1">$E50*(-SUMIF(INDIRECT(U$3),'Struktur Aktuell'!$D50,INDIRECT(U$4))+SUMIF(INDIRECT(U$3),'Struktur Aktuell'!$D50,INDIRECT(U$5)))</f>
        <v>0</v>
      </c>
      <c r="V50" s="593">
        <f ca="1">$E50*(-SUMIF(INDIRECT(V$3),'Struktur Aktuell'!$D50,INDIRECT(V$4))+SUMIF(INDIRECT(V$3),'Struktur Aktuell'!$D50,INDIRECT(V$5)))</f>
        <v>0</v>
      </c>
      <c r="W50" s="593">
        <f ca="1">$E50*(-SUMIF(INDIRECT(W$3),'Struktur Aktuell'!$D50,INDIRECT(W$4))+SUMIF(INDIRECT(W$3),'Struktur Aktuell'!$D50,INDIRECT(W$5)))</f>
        <v>0</v>
      </c>
      <c r="X50" s="593">
        <f ca="1">$E50*(-SUMIF(INDIRECT(X$3),'Struktur Aktuell'!$D50,INDIRECT(X$4))+SUMIF(INDIRECT(X$3),'Struktur Aktuell'!$D50,INDIRECT(X$5)))</f>
        <v>0</v>
      </c>
      <c r="Y50" s="593">
        <f ca="1">$E50*(-SUMIF(INDIRECT(Y$3),'Struktur Aktuell'!$D50,INDIRECT(Y$4))+SUMIF(INDIRECT(Y$3),'Struktur Aktuell'!$D50,INDIRECT(Y$5)))</f>
        <v>0</v>
      </c>
      <c r="Z50" s="593">
        <f ca="1">$E50*(-SUMIF(INDIRECT(Z$3),'Struktur Aktuell'!$D50,INDIRECT(Z$4))+SUMIF(INDIRECT(Z$3),'Struktur Aktuell'!$D50,INDIRECT(Z$5)))</f>
        <v>0</v>
      </c>
      <c r="AA50" s="593">
        <f ca="1">$E50*(-SUMIF(INDIRECT(AA$3),'Struktur Aktuell'!$D50,INDIRECT(AA$4))+SUMIF(INDIRECT(AA$3),'Struktur Aktuell'!$D50,INDIRECT(AA$5)))</f>
        <v>0</v>
      </c>
      <c r="AB50" s="593">
        <f ca="1">$E50*(-SUMIF(INDIRECT(AB$3),'Struktur Aktuell'!$D50,INDIRECT(AB$4))+SUMIF(INDIRECT(AB$3),'Struktur Aktuell'!$D50,INDIRECT(AB$5)))</f>
        <v>0</v>
      </c>
      <c r="AC50" s="593">
        <f ca="1">$E50*(-SUMIF(INDIRECT(AC$3),'Struktur Aktuell'!$D50,INDIRECT(AC$4))+SUMIF(INDIRECT(AC$3),'Struktur Aktuell'!$D50,INDIRECT(AC$5)))</f>
        <v>0</v>
      </c>
      <c r="AD50" s="593">
        <f ca="1">$E50*(-SUMIF(INDIRECT(AD$3),'Struktur Aktuell'!$D50,INDIRECT(AD$4))+SUMIF(INDIRECT(AD$3),'Struktur Aktuell'!$D50,INDIRECT(AD$5)))</f>
        <v>0</v>
      </c>
      <c r="AE50" s="593">
        <f t="shared" ca="1" si="65"/>
        <v>0</v>
      </c>
      <c r="AF50" s="593">
        <f t="shared" ca="1" si="66"/>
        <v>0</v>
      </c>
      <c r="AG50" s="593">
        <f t="shared" ca="1" si="67"/>
        <v>0</v>
      </c>
      <c r="AH50" s="593">
        <f t="shared" ca="1" si="68"/>
        <v>0</v>
      </c>
      <c r="AI50" s="593">
        <f t="shared" ca="1" si="69"/>
        <v>0</v>
      </c>
      <c r="AJ50" s="593">
        <f t="shared" ca="1" si="70"/>
        <v>0</v>
      </c>
      <c r="AK50" s="593">
        <f t="shared" ca="1" si="71"/>
        <v>0</v>
      </c>
      <c r="AL50" s="593">
        <f t="shared" ca="1" si="72"/>
        <v>0</v>
      </c>
      <c r="AM50" s="593">
        <f t="shared" ca="1" si="73"/>
        <v>0</v>
      </c>
      <c r="AN50" s="593">
        <f t="shared" ca="1" si="74"/>
        <v>0</v>
      </c>
      <c r="AO50" s="593">
        <f t="shared" ca="1" si="75"/>
        <v>0</v>
      </c>
      <c r="AP50" s="593">
        <f t="shared" ca="1" si="76"/>
        <v>0</v>
      </c>
    </row>
    <row r="51" spans="1:42" s="594" customFormat="1" ht="11.25" outlineLevel="1" x14ac:dyDescent="0.2">
      <c r="A51" s="599"/>
      <c r="B51" s="591" t="str">
        <f>IF(D51&lt;&gt;"",
IF(ISERROR(MATCH(D51,'Ist Aktuell Monat 01'!A:A,0))=FALSE,INDEX('Ist Aktuell Monat 01'!B:B,MATCH(D51,'Ist Aktuell Monat 01'!A:A,0)),
IF(ISERROR(MATCH(D51,'Ist Aktuell Monat 02'!A:A,0))=FALSE,INDEX('Ist Aktuell Monat 02'!B:B,MATCH(D51,'Ist Aktuell Monat 02'!A:A,0)),
IF(ISERROR(MATCH(D51,'Ist Aktuell Monat 03'!A:A,0))=FALSE,INDEX('Ist Aktuell Monat 03'!B:B,MATCH(D51,'Ist Aktuell Monat 03'!A:A,0)),
IF(ISERROR(MATCH(D51,'Ist Aktuell Monat 04'!A:A,0))=FALSE,INDEX('Ist Aktuell Monat 04'!B:B,MATCH(D51,'Ist Aktuell Monat 04'!A:A,0)),
IF(ISERROR(MATCH(D51,'Ist Aktuell Monat 05'!A:A,0))=FALSE,INDEX('Ist Aktuell Monat 05'!B:B,MATCH(D51,'Ist Aktuell Monat 05'!A:A,0)),
IF(ISERROR(MATCH(D51,'Ist Aktuell Monat 06'!A:A,0))=FALSE,INDEX('Ist Aktuell Monat 06'!B:B,MATCH(D51,'Ist Aktuell Monat 06'!A:A,0)),
IF(ISERROR(MATCH(D51,'Ist Aktuell Monat 07'!A:A,0))=FALSE,INDEX('Ist Aktuell Monat 07'!B:B,MATCH(D51,'Ist Aktuell Monat 07'!A:A,0)),
IF(ISERROR(MATCH(D51,'Ist Aktuell Monat 08'!A:A,0))=FALSE,INDEX('Ist Aktuell Monat 08'!B:B,MATCH(D51,'Ist Aktuell Monat 08'!A:A,0)),
IF(ISERROR(MATCH(D51,'Ist Aktuell Monat 09'!A:A,0))=FALSE,INDEX('Ist Aktuell Monat 09'!B:B,MATCH(D51,'Ist Aktuell Monat 09'!A:A,0)),
IF(ISERROR(MATCH(D51,'Ist Aktuell Monat 10'!A:A,0))=FALSE,INDEX('Ist Aktuell Monat 10'!B:B,MATCH(D51,'Ist Aktuell Monat 10'!A:A,0)),
IF(ISERROR(MATCH(D51,'Ist Aktuell Monat 11'!A:A,0))=FALSE,INDEX('Ist Aktuell Monat 11'!B:B,MATCH(D51,'Ist Aktuell Monat 11'!A:A,0)),
IF(ISERROR(MATCH(D51,'Ist Aktuell Monat 12'!A:A,0))=FALSE,INDEX('Ist Aktuell Monat 12'!B:B,MATCH(D51,'Ist Aktuell Monat 12'!A:A,0)),
"{Konto unbekannt}"
)))))))))))),"")</f>
        <v/>
      </c>
      <c r="C51" s="591"/>
      <c r="D51" s="590"/>
      <c r="E51" s="592">
        <f>IF(F51="-",-1,1)</f>
        <v>1</v>
      </c>
      <c r="F51" s="599"/>
      <c r="G51" s="593">
        <f ca="1">$E51*(-SUMIF(INDIRECT(G$3),'Struktur Aktuell'!$D51,INDIRECT(G$4))+SUMIF(INDIRECT(G$3),'Struktur Aktuell'!$D51,INDIRECT(G$5)))</f>
        <v>0</v>
      </c>
      <c r="H51" s="593">
        <f ca="1">$E51*(-SUMIF(INDIRECT(H$3),'Struktur Aktuell'!$D51,INDIRECT(H$4))+SUMIF(INDIRECT(H$3),'Struktur Aktuell'!$D51,INDIRECT(H$5)))</f>
        <v>0</v>
      </c>
      <c r="I51" s="593">
        <f ca="1">$E51*(-SUMIF(INDIRECT(I$3),'Struktur Aktuell'!$D51,INDIRECT(I$4))+SUMIF(INDIRECT(I$3),'Struktur Aktuell'!$D51,INDIRECT(I$5)))</f>
        <v>0</v>
      </c>
      <c r="J51" s="593">
        <f ca="1">$E51*(-SUMIF(INDIRECT(J$3),'Struktur Aktuell'!$D51,INDIRECT(J$4))+SUMIF(INDIRECT(J$3),'Struktur Aktuell'!$D51,INDIRECT(J$5)))</f>
        <v>0</v>
      </c>
      <c r="K51" s="593">
        <f ca="1">$E51*(-SUMIF(INDIRECT(K$3),'Struktur Aktuell'!$D51,INDIRECT(K$4))+SUMIF(INDIRECT(K$3),'Struktur Aktuell'!$D51,INDIRECT(K$5)))</f>
        <v>0</v>
      </c>
      <c r="L51" s="593">
        <f ca="1">$E51*(-SUMIF(INDIRECT(L$3),'Struktur Aktuell'!$D51,INDIRECT(L$4))+SUMIF(INDIRECT(L$3),'Struktur Aktuell'!$D51,INDIRECT(L$5)))</f>
        <v>0</v>
      </c>
      <c r="M51" s="593">
        <f ca="1">$E51*(-SUMIF(INDIRECT(M$3),'Struktur Aktuell'!$D51,INDIRECT(M$4))+SUMIF(INDIRECT(M$3),'Struktur Aktuell'!$D51,INDIRECT(M$5)))</f>
        <v>0</v>
      </c>
      <c r="N51" s="593">
        <f ca="1">$E51*(-SUMIF(INDIRECT(N$3),'Struktur Aktuell'!$D51,INDIRECT(N$4))+SUMIF(INDIRECT(N$3),'Struktur Aktuell'!$D51,INDIRECT(N$5)))</f>
        <v>0</v>
      </c>
      <c r="O51" s="593">
        <f ca="1">$E51*(-SUMIF(INDIRECT(O$3),'Struktur Aktuell'!$D51,INDIRECT(O$4))+SUMIF(INDIRECT(O$3),'Struktur Aktuell'!$D51,INDIRECT(O$5)))</f>
        <v>0</v>
      </c>
      <c r="P51" s="593">
        <f ca="1">$E51*(-SUMIF(INDIRECT(P$3),'Struktur Aktuell'!$D51,INDIRECT(P$4))+SUMIF(INDIRECT(P$3),'Struktur Aktuell'!$D51,INDIRECT(P$5)))</f>
        <v>0</v>
      </c>
      <c r="Q51" s="593">
        <f ca="1">$E51*(-SUMIF(INDIRECT(Q$3),'Struktur Aktuell'!$D51,INDIRECT(Q$4))+SUMIF(INDIRECT(Q$3),'Struktur Aktuell'!$D51,INDIRECT(Q$5)))</f>
        <v>0</v>
      </c>
      <c r="R51" s="593">
        <f ca="1">$E51*(-SUMIF(INDIRECT(R$3),'Struktur Aktuell'!$D51,INDIRECT(R$4))+SUMIF(INDIRECT(R$3),'Struktur Aktuell'!$D51,INDIRECT(R$5)))</f>
        <v>0</v>
      </c>
      <c r="S51" s="593">
        <f ca="1">$E51*(-SUMIF(INDIRECT(S$3),'Struktur Aktuell'!$D51,INDIRECT(S$4))+SUMIF(INDIRECT(S$3),'Struktur Aktuell'!$D51,INDIRECT(S$5)))</f>
        <v>0</v>
      </c>
      <c r="T51" s="593">
        <f ca="1">$E51*(-SUMIF(INDIRECT(T$3),'Struktur Aktuell'!$D51,INDIRECT(T$4))+SUMIF(INDIRECT(T$3),'Struktur Aktuell'!$D51,INDIRECT(T$5)))</f>
        <v>0</v>
      </c>
      <c r="U51" s="593">
        <f ca="1">$E51*(-SUMIF(INDIRECT(U$3),'Struktur Aktuell'!$D51,INDIRECT(U$4))+SUMIF(INDIRECT(U$3),'Struktur Aktuell'!$D51,INDIRECT(U$5)))</f>
        <v>0</v>
      </c>
      <c r="V51" s="593">
        <f ca="1">$E51*(-SUMIF(INDIRECT(V$3),'Struktur Aktuell'!$D51,INDIRECT(V$4))+SUMIF(INDIRECT(V$3),'Struktur Aktuell'!$D51,INDIRECT(V$5)))</f>
        <v>0</v>
      </c>
      <c r="W51" s="593">
        <f ca="1">$E51*(-SUMIF(INDIRECT(W$3),'Struktur Aktuell'!$D51,INDIRECT(W$4))+SUMIF(INDIRECT(W$3),'Struktur Aktuell'!$D51,INDIRECT(W$5)))</f>
        <v>0</v>
      </c>
      <c r="X51" s="593">
        <f ca="1">$E51*(-SUMIF(INDIRECT(X$3),'Struktur Aktuell'!$D51,INDIRECT(X$4))+SUMIF(INDIRECT(X$3),'Struktur Aktuell'!$D51,INDIRECT(X$5)))</f>
        <v>0</v>
      </c>
      <c r="Y51" s="593">
        <f ca="1">$E51*(-SUMIF(INDIRECT(Y$3),'Struktur Aktuell'!$D51,INDIRECT(Y$4))+SUMIF(INDIRECT(Y$3),'Struktur Aktuell'!$D51,INDIRECT(Y$5)))</f>
        <v>0</v>
      </c>
      <c r="Z51" s="593">
        <f ca="1">$E51*(-SUMIF(INDIRECT(Z$3),'Struktur Aktuell'!$D51,INDIRECT(Z$4))+SUMIF(INDIRECT(Z$3),'Struktur Aktuell'!$D51,INDIRECT(Z$5)))</f>
        <v>0</v>
      </c>
      <c r="AA51" s="593">
        <f ca="1">$E51*(-SUMIF(INDIRECT(AA$3),'Struktur Aktuell'!$D51,INDIRECT(AA$4))+SUMIF(INDIRECT(AA$3),'Struktur Aktuell'!$D51,INDIRECT(AA$5)))</f>
        <v>0</v>
      </c>
      <c r="AB51" s="593">
        <f ca="1">$E51*(-SUMIF(INDIRECT(AB$3),'Struktur Aktuell'!$D51,INDIRECT(AB$4))+SUMIF(INDIRECT(AB$3),'Struktur Aktuell'!$D51,INDIRECT(AB$5)))</f>
        <v>0</v>
      </c>
      <c r="AC51" s="593">
        <f ca="1">$E51*(-SUMIF(INDIRECT(AC$3),'Struktur Aktuell'!$D51,INDIRECT(AC$4))+SUMIF(INDIRECT(AC$3),'Struktur Aktuell'!$D51,INDIRECT(AC$5)))</f>
        <v>0</v>
      </c>
      <c r="AD51" s="593">
        <f ca="1">$E51*(-SUMIF(INDIRECT(AD$3),'Struktur Aktuell'!$D51,INDIRECT(AD$4))+SUMIF(INDIRECT(AD$3),'Struktur Aktuell'!$D51,INDIRECT(AD$5)))</f>
        <v>0</v>
      </c>
      <c r="AE51" s="593">
        <f t="shared" ca="1" si="65"/>
        <v>0</v>
      </c>
      <c r="AF51" s="593">
        <f t="shared" ca="1" si="66"/>
        <v>0</v>
      </c>
      <c r="AG51" s="593">
        <f t="shared" ca="1" si="67"/>
        <v>0</v>
      </c>
      <c r="AH51" s="593">
        <f t="shared" ca="1" si="68"/>
        <v>0</v>
      </c>
      <c r="AI51" s="593">
        <f t="shared" ca="1" si="69"/>
        <v>0</v>
      </c>
      <c r="AJ51" s="593">
        <f t="shared" ca="1" si="70"/>
        <v>0</v>
      </c>
      <c r="AK51" s="593">
        <f t="shared" ca="1" si="71"/>
        <v>0</v>
      </c>
      <c r="AL51" s="593">
        <f t="shared" ca="1" si="72"/>
        <v>0</v>
      </c>
      <c r="AM51" s="593">
        <f t="shared" ca="1" si="73"/>
        <v>0</v>
      </c>
      <c r="AN51" s="593">
        <f t="shared" ca="1" si="74"/>
        <v>0</v>
      </c>
      <c r="AO51" s="593">
        <f t="shared" ca="1" si="75"/>
        <v>0</v>
      </c>
      <c r="AP51" s="593">
        <f t="shared" ca="1" si="76"/>
        <v>0</v>
      </c>
    </row>
    <row r="52" spans="1:42" s="594" customFormat="1" ht="11.25" outlineLevel="1" x14ac:dyDescent="0.2">
      <c r="A52" s="599"/>
      <c r="B52" s="591" t="str">
        <f>IF(D52&lt;&gt;"",
IF(ISERROR(MATCH(D52,'Ist Aktuell Monat 01'!A:A,0))=FALSE,INDEX('Ist Aktuell Monat 01'!B:B,MATCH(D52,'Ist Aktuell Monat 01'!A:A,0)),
IF(ISERROR(MATCH(D52,'Ist Aktuell Monat 02'!A:A,0))=FALSE,INDEX('Ist Aktuell Monat 02'!B:B,MATCH(D52,'Ist Aktuell Monat 02'!A:A,0)),
IF(ISERROR(MATCH(D52,'Ist Aktuell Monat 03'!A:A,0))=FALSE,INDEX('Ist Aktuell Monat 03'!B:B,MATCH(D52,'Ist Aktuell Monat 03'!A:A,0)),
IF(ISERROR(MATCH(D52,'Ist Aktuell Monat 04'!A:A,0))=FALSE,INDEX('Ist Aktuell Monat 04'!B:B,MATCH(D52,'Ist Aktuell Monat 04'!A:A,0)),
IF(ISERROR(MATCH(D52,'Ist Aktuell Monat 05'!A:A,0))=FALSE,INDEX('Ist Aktuell Monat 05'!B:B,MATCH(D52,'Ist Aktuell Monat 05'!A:A,0)),
IF(ISERROR(MATCH(D52,'Ist Aktuell Monat 06'!A:A,0))=FALSE,INDEX('Ist Aktuell Monat 06'!B:B,MATCH(D52,'Ist Aktuell Monat 06'!A:A,0)),
IF(ISERROR(MATCH(D52,'Ist Aktuell Monat 07'!A:A,0))=FALSE,INDEX('Ist Aktuell Monat 07'!B:B,MATCH(D52,'Ist Aktuell Monat 07'!A:A,0)),
IF(ISERROR(MATCH(D52,'Ist Aktuell Monat 08'!A:A,0))=FALSE,INDEX('Ist Aktuell Monat 08'!B:B,MATCH(D52,'Ist Aktuell Monat 08'!A:A,0)),
IF(ISERROR(MATCH(D52,'Ist Aktuell Monat 09'!A:A,0))=FALSE,INDEX('Ist Aktuell Monat 09'!B:B,MATCH(D52,'Ist Aktuell Monat 09'!A:A,0)),
IF(ISERROR(MATCH(D52,'Ist Aktuell Monat 10'!A:A,0))=FALSE,INDEX('Ist Aktuell Monat 10'!B:B,MATCH(D52,'Ist Aktuell Monat 10'!A:A,0)),
IF(ISERROR(MATCH(D52,'Ist Aktuell Monat 11'!A:A,0))=FALSE,INDEX('Ist Aktuell Monat 11'!B:B,MATCH(D52,'Ist Aktuell Monat 11'!A:A,0)),
IF(ISERROR(MATCH(D52,'Ist Aktuell Monat 12'!A:A,0))=FALSE,INDEX('Ist Aktuell Monat 12'!B:B,MATCH(D52,'Ist Aktuell Monat 12'!A:A,0)),
"{Konto unbekannt}"
)))))))))))),"")</f>
        <v/>
      </c>
      <c r="C52" s="591"/>
      <c r="D52" s="590"/>
      <c r="E52" s="592">
        <f>IF(F52="-",-1,1)</f>
        <v>1</v>
      </c>
      <c r="F52" s="599"/>
      <c r="G52" s="593">
        <f ca="1">$E52*(-SUMIF(INDIRECT(G$3),'Struktur Aktuell'!$D52,INDIRECT(G$4))+SUMIF(INDIRECT(G$3),'Struktur Aktuell'!$D52,INDIRECT(G$5)))</f>
        <v>0</v>
      </c>
      <c r="H52" s="593">
        <f ca="1">$E52*(-SUMIF(INDIRECT(H$3),'Struktur Aktuell'!$D52,INDIRECT(H$4))+SUMIF(INDIRECT(H$3),'Struktur Aktuell'!$D52,INDIRECT(H$5)))</f>
        <v>0</v>
      </c>
      <c r="I52" s="593">
        <f ca="1">$E52*(-SUMIF(INDIRECT(I$3),'Struktur Aktuell'!$D52,INDIRECT(I$4))+SUMIF(INDIRECT(I$3),'Struktur Aktuell'!$D52,INDIRECT(I$5)))</f>
        <v>0</v>
      </c>
      <c r="J52" s="593">
        <f ca="1">$E52*(-SUMIF(INDIRECT(J$3),'Struktur Aktuell'!$D52,INDIRECT(J$4))+SUMIF(INDIRECT(J$3),'Struktur Aktuell'!$D52,INDIRECT(J$5)))</f>
        <v>0</v>
      </c>
      <c r="K52" s="593">
        <f ca="1">$E52*(-SUMIF(INDIRECT(K$3),'Struktur Aktuell'!$D52,INDIRECT(K$4))+SUMIF(INDIRECT(K$3),'Struktur Aktuell'!$D52,INDIRECT(K$5)))</f>
        <v>0</v>
      </c>
      <c r="L52" s="593">
        <f ca="1">$E52*(-SUMIF(INDIRECT(L$3),'Struktur Aktuell'!$D52,INDIRECT(L$4))+SUMIF(INDIRECT(L$3),'Struktur Aktuell'!$D52,INDIRECT(L$5)))</f>
        <v>0</v>
      </c>
      <c r="M52" s="593">
        <f ca="1">$E52*(-SUMIF(INDIRECT(M$3),'Struktur Aktuell'!$D52,INDIRECT(M$4))+SUMIF(INDIRECT(M$3),'Struktur Aktuell'!$D52,INDIRECT(M$5)))</f>
        <v>0</v>
      </c>
      <c r="N52" s="593">
        <f ca="1">$E52*(-SUMIF(INDIRECT(N$3),'Struktur Aktuell'!$D52,INDIRECT(N$4))+SUMIF(INDIRECT(N$3),'Struktur Aktuell'!$D52,INDIRECT(N$5)))</f>
        <v>0</v>
      </c>
      <c r="O52" s="593">
        <f ca="1">$E52*(-SUMIF(INDIRECT(O$3),'Struktur Aktuell'!$D52,INDIRECT(O$4))+SUMIF(INDIRECT(O$3),'Struktur Aktuell'!$D52,INDIRECT(O$5)))</f>
        <v>0</v>
      </c>
      <c r="P52" s="593">
        <f ca="1">$E52*(-SUMIF(INDIRECT(P$3),'Struktur Aktuell'!$D52,INDIRECT(P$4))+SUMIF(INDIRECT(P$3),'Struktur Aktuell'!$D52,INDIRECT(P$5)))</f>
        <v>0</v>
      </c>
      <c r="Q52" s="593">
        <f ca="1">$E52*(-SUMIF(INDIRECT(Q$3),'Struktur Aktuell'!$D52,INDIRECT(Q$4))+SUMIF(INDIRECT(Q$3),'Struktur Aktuell'!$D52,INDIRECT(Q$5)))</f>
        <v>0</v>
      </c>
      <c r="R52" s="593">
        <f ca="1">$E52*(-SUMIF(INDIRECT(R$3),'Struktur Aktuell'!$D52,INDIRECT(R$4))+SUMIF(INDIRECT(R$3),'Struktur Aktuell'!$D52,INDIRECT(R$5)))</f>
        <v>0</v>
      </c>
      <c r="S52" s="593">
        <f ca="1">$E52*(-SUMIF(INDIRECT(S$3),'Struktur Aktuell'!$D52,INDIRECT(S$4))+SUMIF(INDIRECT(S$3),'Struktur Aktuell'!$D52,INDIRECT(S$5)))</f>
        <v>0</v>
      </c>
      <c r="T52" s="593">
        <f ca="1">$E52*(-SUMIF(INDIRECT(T$3),'Struktur Aktuell'!$D52,INDIRECT(T$4))+SUMIF(INDIRECT(T$3),'Struktur Aktuell'!$D52,INDIRECT(T$5)))</f>
        <v>0</v>
      </c>
      <c r="U52" s="593">
        <f ca="1">$E52*(-SUMIF(INDIRECT(U$3),'Struktur Aktuell'!$D52,INDIRECT(U$4))+SUMIF(INDIRECT(U$3),'Struktur Aktuell'!$D52,INDIRECT(U$5)))</f>
        <v>0</v>
      </c>
      <c r="V52" s="593">
        <f ca="1">$E52*(-SUMIF(INDIRECT(V$3),'Struktur Aktuell'!$D52,INDIRECT(V$4))+SUMIF(INDIRECT(V$3),'Struktur Aktuell'!$D52,INDIRECT(V$5)))</f>
        <v>0</v>
      </c>
      <c r="W52" s="593">
        <f ca="1">$E52*(-SUMIF(INDIRECT(W$3),'Struktur Aktuell'!$D52,INDIRECT(W$4))+SUMIF(INDIRECT(W$3),'Struktur Aktuell'!$D52,INDIRECT(W$5)))</f>
        <v>0</v>
      </c>
      <c r="X52" s="593">
        <f ca="1">$E52*(-SUMIF(INDIRECT(X$3),'Struktur Aktuell'!$D52,INDIRECT(X$4))+SUMIF(INDIRECT(X$3),'Struktur Aktuell'!$D52,INDIRECT(X$5)))</f>
        <v>0</v>
      </c>
      <c r="Y52" s="593">
        <f ca="1">$E52*(-SUMIF(INDIRECT(Y$3),'Struktur Aktuell'!$D52,INDIRECT(Y$4))+SUMIF(INDIRECT(Y$3),'Struktur Aktuell'!$D52,INDIRECT(Y$5)))</f>
        <v>0</v>
      </c>
      <c r="Z52" s="593">
        <f ca="1">$E52*(-SUMIF(INDIRECT(Z$3),'Struktur Aktuell'!$D52,INDIRECT(Z$4))+SUMIF(INDIRECT(Z$3),'Struktur Aktuell'!$D52,INDIRECT(Z$5)))</f>
        <v>0</v>
      </c>
      <c r="AA52" s="593">
        <f ca="1">$E52*(-SUMIF(INDIRECT(AA$3),'Struktur Aktuell'!$D52,INDIRECT(AA$4))+SUMIF(INDIRECT(AA$3),'Struktur Aktuell'!$D52,INDIRECT(AA$5)))</f>
        <v>0</v>
      </c>
      <c r="AB52" s="593">
        <f ca="1">$E52*(-SUMIF(INDIRECT(AB$3),'Struktur Aktuell'!$D52,INDIRECT(AB$4))+SUMIF(INDIRECT(AB$3),'Struktur Aktuell'!$D52,INDIRECT(AB$5)))</f>
        <v>0</v>
      </c>
      <c r="AC52" s="593">
        <f ca="1">$E52*(-SUMIF(INDIRECT(AC$3),'Struktur Aktuell'!$D52,INDIRECT(AC$4))+SUMIF(INDIRECT(AC$3),'Struktur Aktuell'!$D52,INDIRECT(AC$5)))</f>
        <v>0</v>
      </c>
      <c r="AD52" s="593">
        <f ca="1">$E52*(-SUMIF(INDIRECT(AD$3),'Struktur Aktuell'!$D52,INDIRECT(AD$4))+SUMIF(INDIRECT(AD$3),'Struktur Aktuell'!$D52,INDIRECT(AD$5)))</f>
        <v>0</v>
      </c>
      <c r="AE52" s="593">
        <f t="shared" ca="1" si="65"/>
        <v>0</v>
      </c>
      <c r="AF52" s="593">
        <f t="shared" ca="1" si="66"/>
        <v>0</v>
      </c>
      <c r="AG52" s="593">
        <f t="shared" ca="1" si="67"/>
        <v>0</v>
      </c>
      <c r="AH52" s="593">
        <f t="shared" ca="1" si="68"/>
        <v>0</v>
      </c>
      <c r="AI52" s="593">
        <f t="shared" ca="1" si="69"/>
        <v>0</v>
      </c>
      <c r="AJ52" s="593">
        <f t="shared" ca="1" si="70"/>
        <v>0</v>
      </c>
      <c r="AK52" s="593">
        <f t="shared" ca="1" si="71"/>
        <v>0</v>
      </c>
      <c r="AL52" s="593">
        <f t="shared" ca="1" si="72"/>
        <v>0</v>
      </c>
      <c r="AM52" s="593">
        <f t="shared" ca="1" si="73"/>
        <v>0</v>
      </c>
      <c r="AN52" s="593">
        <f t="shared" ca="1" si="74"/>
        <v>0</v>
      </c>
      <c r="AO52" s="593">
        <f t="shared" ca="1" si="75"/>
        <v>0</v>
      </c>
      <c r="AP52" s="593">
        <f t="shared" ca="1" si="76"/>
        <v>0</v>
      </c>
    </row>
    <row r="53" spans="1:42" s="594" customFormat="1" ht="11.25" outlineLevel="1" x14ac:dyDescent="0.2">
      <c r="A53" s="599"/>
      <c r="B53" s="591" t="str">
        <f>IF(D53&lt;&gt;"",
IF(ISERROR(MATCH(D53,'Ist Aktuell Monat 01'!A:A,0))=FALSE,INDEX('Ist Aktuell Monat 01'!B:B,MATCH(D53,'Ist Aktuell Monat 01'!A:A,0)),
IF(ISERROR(MATCH(D53,'Ist Aktuell Monat 02'!A:A,0))=FALSE,INDEX('Ist Aktuell Monat 02'!B:B,MATCH(D53,'Ist Aktuell Monat 02'!A:A,0)),
IF(ISERROR(MATCH(D53,'Ist Aktuell Monat 03'!A:A,0))=FALSE,INDEX('Ist Aktuell Monat 03'!B:B,MATCH(D53,'Ist Aktuell Monat 03'!A:A,0)),
IF(ISERROR(MATCH(D53,'Ist Aktuell Monat 04'!A:A,0))=FALSE,INDEX('Ist Aktuell Monat 04'!B:B,MATCH(D53,'Ist Aktuell Monat 04'!A:A,0)),
IF(ISERROR(MATCH(D53,'Ist Aktuell Monat 05'!A:A,0))=FALSE,INDEX('Ist Aktuell Monat 05'!B:B,MATCH(D53,'Ist Aktuell Monat 05'!A:A,0)),
IF(ISERROR(MATCH(D53,'Ist Aktuell Monat 06'!A:A,0))=FALSE,INDEX('Ist Aktuell Monat 06'!B:B,MATCH(D53,'Ist Aktuell Monat 06'!A:A,0)),
IF(ISERROR(MATCH(D53,'Ist Aktuell Monat 07'!A:A,0))=FALSE,INDEX('Ist Aktuell Monat 07'!B:B,MATCH(D53,'Ist Aktuell Monat 07'!A:A,0)),
IF(ISERROR(MATCH(D53,'Ist Aktuell Monat 08'!A:A,0))=FALSE,INDEX('Ist Aktuell Monat 08'!B:B,MATCH(D53,'Ist Aktuell Monat 08'!A:A,0)),
IF(ISERROR(MATCH(D53,'Ist Aktuell Monat 09'!A:A,0))=FALSE,INDEX('Ist Aktuell Monat 09'!B:B,MATCH(D53,'Ist Aktuell Monat 09'!A:A,0)),
IF(ISERROR(MATCH(D53,'Ist Aktuell Monat 10'!A:A,0))=FALSE,INDEX('Ist Aktuell Monat 10'!B:B,MATCH(D53,'Ist Aktuell Monat 10'!A:A,0)),
IF(ISERROR(MATCH(D53,'Ist Aktuell Monat 11'!A:A,0))=FALSE,INDEX('Ist Aktuell Monat 11'!B:B,MATCH(D53,'Ist Aktuell Monat 11'!A:A,0)),
IF(ISERROR(MATCH(D53,'Ist Aktuell Monat 12'!A:A,0))=FALSE,INDEX('Ist Aktuell Monat 12'!B:B,MATCH(D53,'Ist Aktuell Monat 12'!A:A,0)),
"{Konto unbekannt}"
)))))))))))),"")</f>
        <v/>
      </c>
      <c r="C53" s="591"/>
      <c r="D53" s="590"/>
      <c r="E53" s="592">
        <f>IF(F53="-",-1,1)</f>
        <v>1</v>
      </c>
      <c r="F53" s="599"/>
      <c r="G53" s="593">
        <f ca="1">$E53*(-SUMIF(INDIRECT(G$3),'Struktur Aktuell'!$D53,INDIRECT(G$4))+SUMIF(INDIRECT(G$3),'Struktur Aktuell'!$D53,INDIRECT(G$5)))</f>
        <v>0</v>
      </c>
      <c r="H53" s="593">
        <f ca="1">$E53*(-SUMIF(INDIRECT(H$3),'Struktur Aktuell'!$D53,INDIRECT(H$4))+SUMIF(INDIRECT(H$3),'Struktur Aktuell'!$D53,INDIRECT(H$5)))</f>
        <v>0</v>
      </c>
      <c r="I53" s="593">
        <f ca="1">$E53*(-SUMIF(INDIRECT(I$3),'Struktur Aktuell'!$D53,INDIRECT(I$4))+SUMIF(INDIRECT(I$3),'Struktur Aktuell'!$D53,INDIRECT(I$5)))</f>
        <v>0</v>
      </c>
      <c r="J53" s="593">
        <f ca="1">$E53*(-SUMIF(INDIRECT(J$3),'Struktur Aktuell'!$D53,INDIRECT(J$4))+SUMIF(INDIRECT(J$3),'Struktur Aktuell'!$D53,INDIRECT(J$5)))</f>
        <v>0</v>
      </c>
      <c r="K53" s="593">
        <f ca="1">$E53*(-SUMIF(INDIRECT(K$3),'Struktur Aktuell'!$D53,INDIRECT(K$4))+SUMIF(INDIRECT(K$3),'Struktur Aktuell'!$D53,INDIRECT(K$5)))</f>
        <v>0</v>
      </c>
      <c r="L53" s="593">
        <f ca="1">$E53*(-SUMIF(INDIRECT(L$3),'Struktur Aktuell'!$D53,INDIRECT(L$4))+SUMIF(INDIRECT(L$3),'Struktur Aktuell'!$D53,INDIRECT(L$5)))</f>
        <v>0</v>
      </c>
      <c r="M53" s="593">
        <f ca="1">$E53*(-SUMIF(INDIRECT(M$3),'Struktur Aktuell'!$D53,INDIRECT(M$4))+SUMIF(INDIRECT(M$3),'Struktur Aktuell'!$D53,INDIRECT(M$5)))</f>
        <v>0</v>
      </c>
      <c r="N53" s="593">
        <f ca="1">$E53*(-SUMIF(INDIRECT(N$3),'Struktur Aktuell'!$D53,INDIRECT(N$4))+SUMIF(INDIRECT(N$3),'Struktur Aktuell'!$D53,INDIRECT(N$5)))</f>
        <v>0</v>
      </c>
      <c r="O53" s="593">
        <f ca="1">$E53*(-SUMIF(INDIRECT(O$3),'Struktur Aktuell'!$D53,INDIRECT(O$4))+SUMIF(INDIRECT(O$3),'Struktur Aktuell'!$D53,INDIRECT(O$5)))</f>
        <v>0</v>
      </c>
      <c r="P53" s="593">
        <f ca="1">$E53*(-SUMIF(INDIRECT(P$3),'Struktur Aktuell'!$D53,INDIRECT(P$4))+SUMIF(INDIRECT(P$3),'Struktur Aktuell'!$D53,INDIRECT(P$5)))</f>
        <v>0</v>
      </c>
      <c r="Q53" s="593">
        <f ca="1">$E53*(-SUMIF(INDIRECT(Q$3),'Struktur Aktuell'!$D53,INDIRECT(Q$4))+SUMIF(INDIRECT(Q$3),'Struktur Aktuell'!$D53,INDIRECT(Q$5)))</f>
        <v>0</v>
      </c>
      <c r="R53" s="593">
        <f ca="1">$E53*(-SUMIF(INDIRECT(R$3),'Struktur Aktuell'!$D53,INDIRECT(R$4))+SUMIF(INDIRECT(R$3),'Struktur Aktuell'!$D53,INDIRECT(R$5)))</f>
        <v>0</v>
      </c>
      <c r="S53" s="593">
        <f ca="1">$E53*(-SUMIF(INDIRECT(S$3),'Struktur Aktuell'!$D53,INDIRECT(S$4))+SUMIF(INDIRECT(S$3),'Struktur Aktuell'!$D53,INDIRECT(S$5)))</f>
        <v>0</v>
      </c>
      <c r="T53" s="593">
        <f ca="1">$E53*(-SUMIF(INDIRECT(T$3),'Struktur Aktuell'!$D53,INDIRECT(T$4))+SUMIF(INDIRECT(T$3),'Struktur Aktuell'!$D53,INDIRECT(T$5)))</f>
        <v>0</v>
      </c>
      <c r="U53" s="593">
        <f ca="1">$E53*(-SUMIF(INDIRECT(U$3),'Struktur Aktuell'!$D53,INDIRECT(U$4))+SUMIF(INDIRECT(U$3),'Struktur Aktuell'!$D53,INDIRECT(U$5)))</f>
        <v>0</v>
      </c>
      <c r="V53" s="593">
        <f ca="1">$E53*(-SUMIF(INDIRECT(V$3),'Struktur Aktuell'!$D53,INDIRECT(V$4))+SUMIF(INDIRECT(V$3),'Struktur Aktuell'!$D53,INDIRECT(V$5)))</f>
        <v>0</v>
      </c>
      <c r="W53" s="593">
        <f ca="1">$E53*(-SUMIF(INDIRECT(W$3),'Struktur Aktuell'!$D53,INDIRECT(W$4))+SUMIF(INDIRECT(W$3),'Struktur Aktuell'!$D53,INDIRECT(W$5)))</f>
        <v>0</v>
      </c>
      <c r="X53" s="593">
        <f ca="1">$E53*(-SUMIF(INDIRECT(X$3),'Struktur Aktuell'!$D53,INDIRECT(X$4))+SUMIF(INDIRECT(X$3),'Struktur Aktuell'!$D53,INDIRECT(X$5)))</f>
        <v>0</v>
      </c>
      <c r="Y53" s="593">
        <f ca="1">$E53*(-SUMIF(INDIRECT(Y$3),'Struktur Aktuell'!$D53,INDIRECT(Y$4))+SUMIF(INDIRECT(Y$3),'Struktur Aktuell'!$D53,INDIRECT(Y$5)))</f>
        <v>0</v>
      </c>
      <c r="Z53" s="593">
        <f ca="1">$E53*(-SUMIF(INDIRECT(Z$3),'Struktur Aktuell'!$D53,INDIRECT(Z$4))+SUMIF(INDIRECT(Z$3),'Struktur Aktuell'!$D53,INDIRECT(Z$5)))</f>
        <v>0</v>
      </c>
      <c r="AA53" s="593">
        <f ca="1">$E53*(-SUMIF(INDIRECT(AA$3),'Struktur Aktuell'!$D53,INDIRECT(AA$4))+SUMIF(INDIRECT(AA$3),'Struktur Aktuell'!$D53,INDIRECT(AA$5)))</f>
        <v>0</v>
      </c>
      <c r="AB53" s="593">
        <f ca="1">$E53*(-SUMIF(INDIRECT(AB$3),'Struktur Aktuell'!$D53,INDIRECT(AB$4))+SUMIF(INDIRECT(AB$3),'Struktur Aktuell'!$D53,INDIRECT(AB$5)))</f>
        <v>0</v>
      </c>
      <c r="AC53" s="593">
        <f ca="1">$E53*(-SUMIF(INDIRECT(AC$3),'Struktur Aktuell'!$D53,INDIRECT(AC$4))+SUMIF(INDIRECT(AC$3),'Struktur Aktuell'!$D53,INDIRECT(AC$5)))</f>
        <v>0</v>
      </c>
      <c r="AD53" s="593">
        <f ca="1">$E53*(-SUMIF(INDIRECT(AD$3),'Struktur Aktuell'!$D53,INDIRECT(AD$4))+SUMIF(INDIRECT(AD$3),'Struktur Aktuell'!$D53,INDIRECT(AD$5)))</f>
        <v>0</v>
      </c>
      <c r="AE53" s="593">
        <f t="shared" ca="1" si="65"/>
        <v>0</v>
      </c>
      <c r="AF53" s="593">
        <f t="shared" ca="1" si="66"/>
        <v>0</v>
      </c>
      <c r="AG53" s="593">
        <f t="shared" ca="1" si="67"/>
        <v>0</v>
      </c>
      <c r="AH53" s="593">
        <f t="shared" ca="1" si="68"/>
        <v>0</v>
      </c>
      <c r="AI53" s="593">
        <f t="shared" ca="1" si="69"/>
        <v>0</v>
      </c>
      <c r="AJ53" s="593">
        <f t="shared" ca="1" si="70"/>
        <v>0</v>
      </c>
      <c r="AK53" s="593">
        <f t="shared" ca="1" si="71"/>
        <v>0</v>
      </c>
      <c r="AL53" s="593">
        <f t="shared" ca="1" si="72"/>
        <v>0</v>
      </c>
      <c r="AM53" s="593">
        <f t="shared" ca="1" si="73"/>
        <v>0</v>
      </c>
      <c r="AN53" s="593">
        <f t="shared" ca="1" si="74"/>
        <v>0</v>
      </c>
      <c r="AO53" s="593">
        <f t="shared" ca="1" si="75"/>
        <v>0</v>
      </c>
      <c r="AP53" s="593">
        <f t="shared" ca="1" si="76"/>
        <v>0</v>
      </c>
    </row>
    <row r="54" spans="1:42" s="594" customFormat="1" ht="11.25" outlineLevel="1" x14ac:dyDescent="0.2">
      <c r="A54" s="599"/>
      <c r="B54" s="591" t="str">
        <f>IF(D54&lt;&gt;"",
IF(ISERROR(MATCH(D54,'Ist Aktuell Monat 01'!A:A,0))=FALSE,INDEX('Ist Aktuell Monat 01'!B:B,MATCH(D54,'Ist Aktuell Monat 01'!A:A,0)),
IF(ISERROR(MATCH(D54,'Ist Aktuell Monat 02'!A:A,0))=FALSE,INDEX('Ist Aktuell Monat 02'!B:B,MATCH(D54,'Ist Aktuell Monat 02'!A:A,0)),
IF(ISERROR(MATCH(D54,'Ist Aktuell Monat 03'!A:A,0))=FALSE,INDEX('Ist Aktuell Monat 03'!B:B,MATCH(D54,'Ist Aktuell Monat 03'!A:A,0)),
IF(ISERROR(MATCH(D54,'Ist Aktuell Monat 04'!A:A,0))=FALSE,INDEX('Ist Aktuell Monat 04'!B:B,MATCH(D54,'Ist Aktuell Monat 04'!A:A,0)),
IF(ISERROR(MATCH(D54,'Ist Aktuell Monat 05'!A:A,0))=FALSE,INDEX('Ist Aktuell Monat 05'!B:B,MATCH(D54,'Ist Aktuell Monat 05'!A:A,0)),
IF(ISERROR(MATCH(D54,'Ist Aktuell Monat 06'!A:A,0))=FALSE,INDEX('Ist Aktuell Monat 06'!B:B,MATCH(D54,'Ist Aktuell Monat 06'!A:A,0)),
IF(ISERROR(MATCH(D54,'Ist Aktuell Monat 07'!A:A,0))=FALSE,INDEX('Ist Aktuell Monat 07'!B:B,MATCH(D54,'Ist Aktuell Monat 07'!A:A,0)),
IF(ISERROR(MATCH(D54,'Ist Aktuell Monat 08'!A:A,0))=FALSE,INDEX('Ist Aktuell Monat 08'!B:B,MATCH(D54,'Ist Aktuell Monat 08'!A:A,0)),
IF(ISERROR(MATCH(D54,'Ist Aktuell Monat 09'!A:A,0))=FALSE,INDEX('Ist Aktuell Monat 09'!B:B,MATCH(D54,'Ist Aktuell Monat 09'!A:A,0)),
IF(ISERROR(MATCH(D54,'Ist Aktuell Monat 10'!A:A,0))=FALSE,INDEX('Ist Aktuell Monat 10'!B:B,MATCH(D54,'Ist Aktuell Monat 10'!A:A,0)),
IF(ISERROR(MATCH(D54,'Ist Aktuell Monat 11'!A:A,0))=FALSE,INDEX('Ist Aktuell Monat 11'!B:B,MATCH(D54,'Ist Aktuell Monat 11'!A:A,0)),
IF(ISERROR(MATCH(D54,'Ist Aktuell Monat 12'!A:A,0))=FALSE,INDEX('Ist Aktuell Monat 12'!B:B,MATCH(D54,'Ist Aktuell Monat 12'!A:A,0)),
"{Konto unbekannt}"
)))))))))))),"")</f>
        <v/>
      </c>
      <c r="C54" s="591"/>
      <c r="D54" s="590"/>
      <c r="E54" s="592">
        <f t="shared" si="30"/>
        <v>1</v>
      </c>
      <c r="F54" s="599"/>
      <c r="G54" s="593">
        <f ca="1">$E54*(-SUMIF(INDIRECT(G$3),'Struktur Aktuell'!$D54,INDIRECT(G$4))+SUMIF(INDIRECT(G$3),'Struktur Aktuell'!$D54,INDIRECT(G$5)))</f>
        <v>0</v>
      </c>
      <c r="H54" s="593">
        <f ca="1">$E54*(-SUMIF(INDIRECT(H$3),'Struktur Aktuell'!$D54,INDIRECT(H$4))+SUMIF(INDIRECT(H$3),'Struktur Aktuell'!$D54,INDIRECT(H$5)))</f>
        <v>0</v>
      </c>
      <c r="I54" s="593">
        <f ca="1">$E54*(-SUMIF(INDIRECT(I$3),'Struktur Aktuell'!$D54,INDIRECT(I$4))+SUMIF(INDIRECT(I$3),'Struktur Aktuell'!$D54,INDIRECT(I$5)))</f>
        <v>0</v>
      </c>
      <c r="J54" s="593">
        <f ca="1">$E54*(-SUMIF(INDIRECT(J$3),'Struktur Aktuell'!$D54,INDIRECT(J$4))+SUMIF(INDIRECT(J$3),'Struktur Aktuell'!$D54,INDIRECT(J$5)))</f>
        <v>0</v>
      </c>
      <c r="K54" s="593">
        <f ca="1">$E54*(-SUMIF(INDIRECT(K$3),'Struktur Aktuell'!$D54,INDIRECT(K$4))+SUMIF(INDIRECT(K$3),'Struktur Aktuell'!$D54,INDIRECT(K$5)))</f>
        <v>0</v>
      </c>
      <c r="L54" s="593">
        <f ca="1">$E54*(-SUMIF(INDIRECT(L$3),'Struktur Aktuell'!$D54,INDIRECT(L$4))+SUMIF(INDIRECT(L$3),'Struktur Aktuell'!$D54,INDIRECT(L$5)))</f>
        <v>0</v>
      </c>
      <c r="M54" s="593">
        <f ca="1">$E54*(-SUMIF(INDIRECT(M$3),'Struktur Aktuell'!$D54,INDIRECT(M$4))+SUMIF(INDIRECT(M$3),'Struktur Aktuell'!$D54,INDIRECT(M$5)))</f>
        <v>0</v>
      </c>
      <c r="N54" s="593">
        <f ca="1">$E54*(-SUMIF(INDIRECT(N$3),'Struktur Aktuell'!$D54,INDIRECT(N$4))+SUMIF(INDIRECT(N$3),'Struktur Aktuell'!$D54,INDIRECT(N$5)))</f>
        <v>0</v>
      </c>
      <c r="O54" s="593">
        <f ca="1">$E54*(-SUMIF(INDIRECT(O$3),'Struktur Aktuell'!$D54,INDIRECT(O$4))+SUMIF(INDIRECT(O$3),'Struktur Aktuell'!$D54,INDIRECT(O$5)))</f>
        <v>0</v>
      </c>
      <c r="P54" s="593">
        <f ca="1">$E54*(-SUMIF(INDIRECT(P$3),'Struktur Aktuell'!$D54,INDIRECT(P$4))+SUMIF(INDIRECT(P$3),'Struktur Aktuell'!$D54,INDIRECT(P$5)))</f>
        <v>0</v>
      </c>
      <c r="Q54" s="593">
        <f ca="1">$E54*(-SUMIF(INDIRECT(Q$3),'Struktur Aktuell'!$D54,INDIRECT(Q$4))+SUMIF(INDIRECT(Q$3),'Struktur Aktuell'!$D54,INDIRECT(Q$5)))</f>
        <v>0</v>
      </c>
      <c r="R54" s="593">
        <f ca="1">$E54*(-SUMIF(INDIRECT(R$3),'Struktur Aktuell'!$D54,INDIRECT(R$4))+SUMIF(INDIRECT(R$3),'Struktur Aktuell'!$D54,INDIRECT(R$5)))</f>
        <v>0</v>
      </c>
      <c r="S54" s="593">
        <f ca="1">$E54*(-SUMIF(INDIRECT(S$3),'Struktur Aktuell'!$D54,INDIRECT(S$4))+SUMIF(INDIRECT(S$3),'Struktur Aktuell'!$D54,INDIRECT(S$5)))</f>
        <v>0</v>
      </c>
      <c r="T54" s="593">
        <f ca="1">$E54*(-SUMIF(INDIRECT(T$3),'Struktur Aktuell'!$D54,INDIRECT(T$4))+SUMIF(INDIRECT(T$3),'Struktur Aktuell'!$D54,INDIRECT(T$5)))</f>
        <v>0</v>
      </c>
      <c r="U54" s="593">
        <f ca="1">$E54*(-SUMIF(INDIRECT(U$3),'Struktur Aktuell'!$D54,INDIRECT(U$4))+SUMIF(INDIRECT(U$3),'Struktur Aktuell'!$D54,INDIRECT(U$5)))</f>
        <v>0</v>
      </c>
      <c r="V54" s="593">
        <f ca="1">$E54*(-SUMIF(INDIRECT(V$3),'Struktur Aktuell'!$D54,INDIRECT(V$4))+SUMIF(INDIRECT(V$3),'Struktur Aktuell'!$D54,INDIRECT(V$5)))</f>
        <v>0</v>
      </c>
      <c r="W54" s="593">
        <f ca="1">$E54*(-SUMIF(INDIRECT(W$3),'Struktur Aktuell'!$D54,INDIRECT(W$4))+SUMIF(INDIRECT(W$3),'Struktur Aktuell'!$D54,INDIRECT(W$5)))</f>
        <v>0</v>
      </c>
      <c r="X54" s="593">
        <f ca="1">$E54*(-SUMIF(INDIRECT(X$3),'Struktur Aktuell'!$D54,INDIRECT(X$4))+SUMIF(INDIRECT(X$3),'Struktur Aktuell'!$D54,INDIRECT(X$5)))</f>
        <v>0</v>
      </c>
      <c r="Y54" s="593">
        <f ca="1">$E54*(-SUMIF(INDIRECT(Y$3),'Struktur Aktuell'!$D54,INDIRECT(Y$4))+SUMIF(INDIRECT(Y$3),'Struktur Aktuell'!$D54,INDIRECT(Y$5)))</f>
        <v>0</v>
      </c>
      <c r="Z54" s="593">
        <f ca="1">$E54*(-SUMIF(INDIRECT(Z$3),'Struktur Aktuell'!$D54,INDIRECT(Z$4))+SUMIF(INDIRECT(Z$3),'Struktur Aktuell'!$D54,INDIRECT(Z$5)))</f>
        <v>0</v>
      </c>
      <c r="AA54" s="593">
        <f ca="1">$E54*(-SUMIF(INDIRECT(AA$3),'Struktur Aktuell'!$D54,INDIRECT(AA$4))+SUMIF(INDIRECT(AA$3),'Struktur Aktuell'!$D54,INDIRECT(AA$5)))</f>
        <v>0</v>
      </c>
      <c r="AB54" s="593">
        <f ca="1">$E54*(-SUMIF(INDIRECT(AB$3),'Struktur Aktuell'!$D54,INDIRECT(AB$4))+SUMIF(INDIRECT(AB$3),'Struktur Aktuell'!$D54,INDIRECT(AB$5)))</f>
        <v>0</v>
      </c>
      <c r="AC54" s="593">
        <f ca="1">$E54*(-SUMIF(INDIRECT(AC$3),'Struktur Aktuell'!$D54,INDIRECT(AC$4))+SUMIF(INDIRECT(AC$3),'Struktur Aktuell'!$D54,INDIRECT(AC$5)))</f>
        <v>0</v>
      </c>
      <c r="AD54" s="593">
        <f ca="1">$E54*(-SUMIF(INDIRECT(AD$3),'Struktur Aktuell'!$D54,INDIRECT(AD$4))+SUMIF(INDIRECT(AD$3),'Struktur Aktuell'!$D54,INDIRECT(AD$5)))</f>
        <v>0</v>
      </c>
      <c r="AE54" s="593">
        <f t="shared" ca="1" si="65"/>
        <v>0</v>
      </c>
      <c r="AF54" s="593">
        <f t="shared" ca="1" si="66"/>
        <v>0</v>
      </c>
      <c r="AG54" s="593">
        <f t="shared" ca="1" si="67"/>
        <v>0</v>
      </c>
      <c r="AH54" s="593">
        <f t="shared" ca="1" si="68"/>
        <v>0</v>
      </c>
      <c r="AI54" s="593">
        <f t="shared" ca="1" si="69"/>
        <v>0</v>
      </c>
      <c r="AJ54" s="593">
        <f t="shared" ca="1" si="70"/>
        <v>0</v>
      </c>
      <c r="AK54" s="593">
        <f t="shared" ca="1" si="71"/>
        <v>0</v>
      </c>
      <c r="AL54" s="593">
        <f t="shared" ca="1" si="72"/>
        <v>0</v>
      </c>
      <c r="AM54" s="593">
        <f t="shared" ca="1" si="73"/>
        <v>0</v>
      </c>
      <c r="AN54" s="593">
        <f t="shared" ca="1" si="74"/>
        <v>0</v>
      </c>
      <c r="AO54" s="593">
        <f t="shared" ca="1" si="75"/>
        <v>0</v>
      </c>
      <c r="AP54" s="593">
        <f t="shared" ca="1" si="76"/>
        <v>0</v>
      </c>
    </row>
    <row r="55" spans="1:42" s="594" customFormat="1" ht="11.25" outlineLevel="1" x14ac:dyDescent="0.2">
      <c r="A55" s="599"/>
      <c r="B55" s="591" t="str">
        <f>IF(D55&lt;&gt;"",
IF(ISERROR(MATCH(D55,'Ist Aktuell Monat 01'!A:A,0))=FALSE,INDEX('Ist Aktuell Monat 01'!B:B,MATCH(D55,'Ist Aktuell Monat 01'!A:A,0)),
IF(ISERROR(MATCH(D55,'Ist Aktuell Monat 02'!A:A,0))=FALSE,INDEX('Ist Aktuell Monat 02'!B:B,MATCH(D55,'Ist Aktuell Monat 02'!A:A,0)),
IF(ISERROR(MATCH(D55,'Ist Aktuell Monat 03'!A:A,0))=FALSE,INDEX('Ist Aktuell Monat 03'!B:B,MATCH(D55,'Ist Aktuell Monat 03'!A:A,0)),
IF(ISERROR(MATCH(D55,'Ist Aktuell Monat 04'!A:A,0))=FALSE,INDEX('Ist Aktuell Monat 04'!B:B,MATCH(D55,'Ist Aktuell Monat 04'!A:A,0)),
IF(ISERROR(MATCH(D55,'Ist Aktuell Monat 05'!A:A,0))=FALSE,INDEX('Ist Aktuell Monat 05'!B:B,MATCH(D55,'Ist Aktuell Monat 05'!A:A,0)),
IF(ISERROR(MATCH(D55,'Ist Aktuell Monat 06'!A:A,0))=FALSE,INDEX('Ist Aktuell Monat 06'!B:B,MATCH(D55,'Ist Aktuell Monat 06'!A:A,0)),
IF(ISERROR(MATCH(D55,'Ist Aktuell Monat 07'!A:A,0))=FALSE,INDEX('Ist Aktuell Monat 07'!B:B,MATCH(D55,'Ist Aktuell Monat 07'!A:A,0)),
IF(ISERROR(MATCH(D55,'Ist Aktuell Monat 08'!A:A,0))=FALSE,INDEX('Ist Aktuell Monat 08'!B:B,MATCH(D55,'Ist Aktuell Monat 08'!A:A,0)),
IF(ISERROR(MATCH(D55,'Ist Aktuell Monat 09'!A:A,0))=FALSE,INDEX('Ist Aktuell Monat 09'!B:B,MATCH(D55,'Ist Aktuell Monat 09'!A:A,0)),
IF(ISERROR(MATCH(D55,'Ist Aktuell Monat 10'!A:A,0))=FALSE,INDEX('Ist Aktuell Monat 10'!B:B,MATCH(D55,'Ist Aktuell Monat 10'!A:A,0)),
IF(ISERROR(MATCH(D55,'Ist Aktuell Monat 11'!A:A,0))=FALSE,INDEX('Ist Aktuell Monat 11'!B:B,MATCH(D55,'Ist Aktuell Monat 11'!A:A,0)),
IF(ISERROR(MATCH(D55,'Ist Aktuell Monat 12'!A:A,0))=FALSE,INDEX('Ist Aktuell Monat 12'!B:B,MATCH(D55,'Ist Aktuell Monat 12'!A:A,0)),
"{Konto unbekannt}"
)))))))))))),"")</f>
        <v/>
      </c>
      <c r="C55" s="591"/>
      <c r="D55" s="590"/>
      <c r="E55" s="592">
        <f t="shared" si="30"/>
        <v>1</v>
      </c>
      <c r="F55" s="599"/>
      <c r="G55" s="593">
        <f ca="1">$E55*(-SUMIF(INDIRECT(G$3),'Struktur Aktuell'!$D55,INDIRECT(G$4))+SUMIF(INDIRECT(G$3),'Struktur Aktuell'!$D55,INDIRECT(G$5)))</f>
        <v>0</v>
      </c>
      <c r="H55" s="593">
        <f ca="1">$E55*(-SUMIF(INDIRECT(H$3),'Struktur Aktuell'!$D55,INDIRECT(H$4))+SUMIF(INDIRECT(H$3),'Struktur Aktuell'!$D55,INDIRECT(H$5)))</f>
        <v>0</v>
      </c>
      <c r="I55" s="593">
        <f ca="1">$E55*(-SUMIF(INDIRECT(I$3),'Struktur Aktuell'!$D55,INDIRECT(I$4))+SUMIF(INDIRECT(I$3),'Struktur Aktuell'!$D55,INDIRECT(I$5)))</f>
        <v>0</v>
      </c>
      <c r="J55" s="593">
        <f ca="1">$E55*(-SUMIF(INDIRECT(J$3),'Struktur Aktuell'!$D55,INDIRECT(J$4))+SUMIF(INDIRECT(J$3),'Struktur Aktuell'!$D55,INDIRECT(J$5)))</f>
        <v>0</v>
      </c>
      <c r="K55" s="593">
        <f ca="1">$E55*(-SUMIF(INDIRECT(K$3),'Struktur Aktuell'!$D55,INDIRECT(K$4))+SUMIF(INDIRECT(K$3),'Struktur Aktuell'!$D55,INDIRECT(K$5)))</f>
        <v>0</v>
      </c>
      <c r="L55" s="593">
        <f ca="1">$E55*(-SUMIF(INDIRECT(L$3),'Struktur Aktuell'!$D55,INDIRECT(L$4))+SUMIF(INDIRECT(L$3),'Struktur Aktuell'!$D55,INDIRECT(L$5)))</f>
        <v>0</v>
      </c>
      <c r="M55" s="593">
        <f ca="1">$E55*(-SUMIF(INDIRECT(M$3),'Struktur Aktuell'!$D55,INDIRECT(M$4))+SUMIF(INDIRECT(M$3),'Struktur Aktuell'!$D55,INDIRECT(M$5)))</f>
        <v>0</v>
      </c>
      <c r="N55" s="593">
        <f ca="1">$E55*(-SUMIF(INDIRECT(N$3),'Struktur Aktuell'!$D55,INDIRECT(N$4))+SUMIF(INDIRECT(N$3),'Struktur Aktuell'!$D55,INDIRECT(N$5)))</f>
        <v>0</v>
      </c>
      <c r="O55" s="593">
        <f ca="1">$E55*(-SUMIF(INDIRECT(O$3),'Struktur Aktuell'!$D55,INDIRECT(O$4))+SUMIF(INDIRECT(O$3),'Struktur Aktuell'!$D55,INDIRECT(O$5)))</f>
        <v>0</v>
      </c>
      <c r="P55" s="593">
        <f ca="1">$E55*(-SUMIF(INDIRECT(P$3),'Struktur Aktuell'!$D55,INDIRECT(P$4))+SUMIF(INDIRECT(P$3),'Struktur Aktuell'!$D55,INDIRECT(P$5)))</f>
        <v>0</v>
      </c>
      <c r="Q55" s="593">
        <f ca="1">$E55*(-SUMIF(INDIRECT(Q$3),'Struktur Aktuell'!$D55,INDIRECT(Q$4))+SUMIF(INDIRECT(Q$3),'Struktur Aktuell'!$D55,INDIRECT(Q$5)))</f>
        <v>0</v>
      </c>
      <c r="R55" s="593">
        <f ca="1">$E55*(-SUMIF(INDIRECT(R$3),'Struktur Aktuell'!$D55,INDIRECT(R$4))+SUMIF(INDIRECT(R$3),'Struktur Aktuell'!$D55,INDIRECT(R$5)))</f>
        <v>0</v>
      </c>
      <c r="S55" s="593">
        <f ca="1">$E55*(-SUMIF(INDIRECT(S$3),'Struktur Aktuell'!$D55,INDIRECT(S$4))+SUMIF(INDIRECT(S$3),'Struktur Aktuell'!$D55,INDIRECT(S$5)))</f>
        <v>0</v>
      </c>
      <c r="T55" s="593">
        <f ca="1">$E55*(-SUMIF(INDIRECT(T$3),'Struktur Aktuell'!$D55,INDIRECT(T$4))+SUMIF(INDIRECT(T$3),'Struktur Aktuell'!$D55,INDIRECT(T$5)))</f>
        <v>0</v>
      </c>
      <c r="U55" s="593">
        <f ca="1">$E55*(-SUMIF(INDIRECT(U$3),'Struktur Aktuell'!$D55,INDIRECT(U$4))+SUMIF(INDIRECT(U$3),'Struktur Aktuell'!$D55,INDIRECT(U$5)))</f>
        <v>0</v>
      </c>
      <c r="V55" s="593">
        <f ca="1">$E55*(-SUMIF(INDIRECT(V$3),'Struktur Aktuell'!$D55,INDIRECT(V$4))+SUMIF(INDIRECT(V$3),'Struktur Aktuell'!$D55,INDIRECT(V$5)))</f>
        <v>0</v>
      </c>
      <c r="W55" s="593">
        <f ca="1">$E55*(-SUMIF(INDIRECT(W$3),'Struktur Aktuell'!$D55,INDIRECT(W$4))+SUMIF(INDIRECT(W$3),'Struktur Aktuell'!$D55,INDIRECT(W$5)))</f>
        <v>0</v>
      </c>
      <c r="X55" s="593">
        <f ca="1">$E55*(-SUMIF(INDIRECT(X$3),'Struktur Aktuell'!$D55,INDIRECT(X$4))+SUMIF(INDIRECT(X$3),'Struktur Aktuell'!$D55,INDIRECT(X$5)))</f>
        <v>0</v>
      </c>
      <c r="Y55" s="593">
        <f ca="1">$E55*(-SUMIF(INDIRECT(Y$3),'Struktur Aktuell'!$D55,INDIRECT(Y$4))+SUMIF(INDIRECT(Y$3),'Struktur Aktuell'!$D55,INDIRECT(Y$5)))</f>
        <v>0</v>
      </c>
      <c r="Z55" s="593">
        <f ca="1">$E55*(-SUMIF(INDIRECT(Z$3),'Struktur Aktuell'!$D55,INDIRECT(Z$4))+SUMIF(INDIRECT(Z$3),'Struktur Aktuell'!$D55,INDIRECT(Z$5)))</f>
        <v>0</v>
      </c>
      <c r="AA55" s="593">
        <f ca="1">$E55*(-SUMIF(INDIRECT(AA$3),'Struktur Aktuell'!$D55,INDIRECT(AA$4))+SUMIF(INDIRECT(AA$3),'Struktur Aktuell'!$D55,INDIRECT(AA$5)))</f>
        <v>0</v>
      </c>
      <c r="AB55" s="593">
        <f ca="1">$E55*(-SUMIF(INDIRECT(AB$3),'Struktur Aktuell'!$D55,INDIRECT(AB$4))+SUMIF(INDIRECT(AB$3),'Struktur Aktuell'!$D55,INDIRECT(AB$5)))</f>
        <v>0</v>
      </c>
      <c r="AC55" s="593">
        <f ca="1">$E55*(-SUMIF(INDIRECT(AC$3),'Struktur Aktuell'!$D55,INDIRECT(AC$4))+SUMIF(INDIRECT(AC$3),'Struktur Aktuell'!$D55,INDIRECT(AC$5)))</f>
        <v>0</v>
      </c>
      <c r="AD55" s="593">
        <f ca="1">$E55*(-SUMIF(INDIRECT(AD$3),'Struktur Aktuell'!$D55,INDIRECT(AD$4))+SUMIF(INDIRECT(AD$3),'Struktur Aktuell'!$D55,INDIRECT(AD$5)))</f>
        <v>0</v>
      </c>
      <c r="AE55" s="593">
        <f t="shared" ca="1" si="65"/>
        <v>0</v>
      </c>
      <c r="AF55" s="593">
        <f t="shared" ca="1" si="66"/>
        <v>0</v>
      </c>
      <c r="AG55" s="593">
        <f t="shared" ca="1" si="67"/>
        <v>0</v>
      </c>
      <c r="AH55" s="593">
        <f t="shared" ca="1" si="68"/>
        <v>0</v>
      </c>
      <c r="AI55" s="593">
        <f t="shared" ca="1" si="69"/>
        <v>0</v>
      </c>
      <c r="AJ55" s="593">
        <f t="shared" ca="1" si="70"/>
        <v>0</v>
      </c>
      <c r="AK55" s="593">
        <f t="shared" ca="1" si="71"/>
        <v>0</v>
      </c>
      <c r="AL55" s="593">
        <f t="shared" ca="1" si="72"/>
        <v>0</v>
      </c>
      <c r="AM55" s="593">
        <f t="shared" ca="1" si="73"/>
        <v>0</v>
      </c>
      <c r="AN55" s="593">
        <f t="shared" ca="1" si="74"/>
        <v>0</v>
      </c>
      <c r="AO55" s="593">
        <f t="shared" ca="1" si="75"/>
        <v>0</v>
      </c>
      <c r="AP55" s="593">
        <f t="shared" ca="1" si="76"/>
        <v>0</v>
      </c>
    </row>
    <row r="56" spans="1:42" s="594" customFormat="1" ht="11.25" outlineLevel="1" x14ac:dyDescent="0.2">
      <c r="A56" s="599"/>
      <c r="B56" s="591" t="str">
        <f>IF(D56&lt;&gt;"",
IF(ISERROR(MATCH(D56,'Ist Aktuell Monat 01'!A:A,0))=FALSE,INDEX('Ist Aktuell Monat 01'!B:B,MATCH(D56,'Ist Aktuell Monat 01'!A:A,0)),
IF(ISERROR(MATCH(D56,'Ist Aktuell Monat 02'!A:A,0))=FALSE,INDEX('Ist Aktuell Monat 02'!B:B,MATCH(D56,'Ist Aktuell Monat 02'!A:A,0)),
IF(ISERROR(MATCH(D56,'Ist Aktuell Monat 03'!A:A,0))=FALSE,INDEX('Ist Aktuell Monat 03'!B:B,MATCH(D56,'Ist Aktuell Monat 03'!A:A,0)),
IF(ISERROR(MATCH(D56,'Ist Aktuell Monat 04'!A:A,0))=FALSE,INDEX('Ist Aktuell Monat 04'!B:B,MATCH(D56,'Ist Aktuell Monat 04'!A:A,0)),
IF(ISERROR(MATCH(D56,'Ist Aktuell Monat 05'!A:A,0))=FALSE,INDEX('Ist Aktuell Monat 05'!B:B,MATCH(D56,'Ist Aktuell Monat 05'!A:A,0)),
IF(ISERROR(MATCH(D56,'Ist Aktuell Monat 06'!A:A,0))=FALSE,INDEX('Ist Aktuell Monat 06'!B:B,MATCH(D56,'Ist Aktuell Monat 06'!A:A,0)),
IF(ISERROR(MATCH(D56,'Ist Aktuell Monat 07'!A:A,0))=FALSE,INDEX('Ist Aktuell Monat 07'!B:B,MATCH(D56,'Ist Aktuell Monat 07'!A:A,0)),
IF(ISERROR(MATCH(D56,'Ist Aktuell Monat 08'!A:A,0))=FALSE,INDEX('Ist Aktuell Monat 08'!B:B,MATCH(D56,'Ist Aktuell Monat 08'!A:A,0)),
IF(ISERROR(MATCH(D56,'Ist Aktuell Monat 09'!A:A,0))=FALSE,INDEX('Ist Aktuell Monat 09'!B:B,MATCH(D56,'Ist Aktuell Monat 09'!A:A,0)),
IF(ISERROR(MATCH(D56,'Ist Aktuell Monat 10'!A:A,0))=FALSE,INDEX('Ist Aktuell Monat 10'!B:B,MATCH(D56,'Ist Aktuell Monat 10'!A:A,0)),
IF(ISERROR(MATCH(D56,'Ist Aktuell Monat 11'!A:A,0))=FALSE,INDEX('Ist Aktuell Monat 11'!B:B,MATCH(D56,'Ist Aktuell Monat 11'!A:A,0)),
IF(ISERROR(MATCH(D56,'Ist Aktuell Monat 12'!A:A,0))=FALSE,INDEX('Ist Aktuell Monat 12'!B:B,MATCH(D56,'Ist Aktuell Monat 12'!A:A,0)),
"{Konto unbekannt}"
)))))))))))),"")</f>
        <v/>
      </c>
      <c r="C56" s="591"/>
      <c r="D56" s="590"/>
      <c r="E56" s="592">
        <f>IF(F56="-",-1,1)</f>
        <v>1</v>
      </c>
      <c r="F56" s="599"/>
      <c r="G56" s="593">
        <f ca="1">$E56*(-SUMIF(INDIRECT(G$3),'Struktur Aktuell'!$D56,INDIRECT(G$4))+SUMIF(INDIRECT(G$3),'Struktur Aktuell'!$D56,INDIRECT(G$5)))</f>
        <v>0</v>
      </c>
      <c r="H56" s="593">
        <f ca="1">$E56*(-SUMIF(INDIRECT(H$3),'Struktur Aktuell'!$D56,INDIRECT(H$4))+SUMIF(INDIRECT(H$3),'Struktur Aktuell'!$D56,INDIRECT(H$5)))</f>
        <v>0</v>
      </c>
      <c r="I56" s="593">
        <f ca="1">$E56*(-SUMIF(INDIRECT(I$3),'Struktur Aktuell'!$D56,INDIRECT(I$4))+SUMIF(INDIRECT(I$3),'Struktur Aktuell'!$D56,INDIRECT(I$5)))</f>
        <v>0</v>
      </c>
      <c r="J56" s="593">
        <f ca="1">$E56*(-SUMIF(INDIRECT(J$3),'Struktur Aktuell'!$D56,INDIRECT(J$4))+SUMIF(INDIRECT(J$3),'Struktur Aktuell'!$D56,INDIRECT(J$5)))</f>
        <v>0</v>
      </c>
      <c r="K56" s="593">
        <f ca="1">$E56*(-SUMIF(INDIRECT(K$3),'Struktur Aktuell'!$D56,INDIRECT(K$4))+SUMIF(INDIRECT(K$3),'Struktur Aktuell'!$D56,INDIRECT(K$5)))</f>
        <v>0</v>
      </c>
      <c r="L56" s="593">
        <f ca="1">$E56*(-SUMIF(INDIRECT(L$3),'Struktur Aktuell'!$D56,INDIRECT(L$4))+SUMIF(INDIRECT(L$3),'Struktur Aktuell'!$D56,INDIRECT(L$5)))</f>
        <v>0</v>
      </c>
      <c r="M56" s="593">
        <f ca="1">$E56*(-SUMIF(INDIRECT(M$3),'Struktur Aktuell'!$D56,INDIRECT(M$4))+SUMIF(INDIRECT(M$3),'Struktur Aktuell'!$D56,INDIRECT(M$5)))</f>
        <v>0</v>
      </c>
      <c r="N56" s="593">
        <f ca="1">$E56*(-SUMIF(INDIRECT(N$3),'Struktur Aktuell'!$D56,INDIRECT(N$4))+SUMIF(INDIRECT(N$3),'Struktur Aktuell'!$D56,INDIRECT(N$5)))</f>
        <v>0</v>
      </c>
      <c r="O56" s="593">
        <f ca="1">$E56*(-SUMIF(INDIRECT(O$3),'Struktur Aktuell'!$D56,INDIRECT(O$4))+SUMIF(INDIRECT(O$3),'Struktur Aktuell'!$D56,INDIRECT(O$5)))</f>
        <v>0</v>
      </c>
      <c r="P56" s="593">
        <f ca="1">$E56*(-SUMIF(INDIRECT(P$3),'Struktur Aktuell'!$D56,INDIRECT(P$4))+SUMIF(INDIRECT(P$3),'Struktur Aktuell'!$D56,INDIRECT(P$5)))</f>
        <v>0</v>
      </c>
      <c r="Q56" s="593">
        <f ca="1">$E56*(-SUMIF(INDIRECT(Q$3),'Struktur Aktuell'!$D56,INDIRECT(Q$4))+SUMIF(INDIRECT(Q$3),'Struktur Aktuell'!$D56,INDIRECT(Q$5)))</f>
        <v>0</v>
      </c>
      <c r="R56" s="593">
        <f ca="1">$E56*(-SUMIF(INDIRECT(R$3),'Struktur Aktuell'!$D56,INDIRECT(R$4))+SUMIF(INDIRECT(R$3),'Struktur Aktuell'!$D56,INDIRECT(R$5)))</f>
        <v>0</v>
      </c>
      <c r="S56" s="593">
        <f ca="1">$E56*(-SUMIF(INDIRECT(S$3),'Struktur Aktuell'!$D56,INDIRECT(S$4))+SUMIF(INDIRECT(S$3),'Struktur Aktuell'!$D56,INDIRECT(S$5)))</f>
        <v>0</v>
      </c>
      <c r="T56" s="593">
        <f ca="1">$E56*(-SUMIF(INDIRECT(T$3),'Struktur Aktuell'!$D56,INDIRECT(T$4))+SUMIF(INDIRECT(T$3),'Struktur Aktuell'!$D56,INDIRECT(T$5)))</f>
        <v>0</v>
      </c>
      <c r="U56" s="593">
        <f ca="1">$E56*(-SUMIF(INDIRECT(U$3),'Struktur Aktuell'!$D56,INDIRECT(U$4))+SUMIF(INDIRECT(U$3),'Struktur Aktuell'!$D56,INDIRECT(U$5)))</f>
        <v>0</v>
      </c>
      <c r="V56" s="593">
        <f ca="1">$E56*(-SUMIF(INDIRECT(V$3),'Struktur Aktuell'!$D56,INDIRECT(V$4))+SUMIF(INDIRECT(V$3),'Struktur Aktuell'!$D56,INDIRECT(V$5)))</f>
        <v>0</v>
      </c>
      <c r="W56" s="593">
        <f ca="1">$E56*(-SUMIF(INDIRECT(W$3),'Struktur Aktuell'!$D56,INDIRECT(W$4))+SUMIF(INDIRECT(W$3),'Struktur Aktuell'!$D56,INDIRECT(W$5)))</f>
        <v>0</v>
      </c>
      <c r="X56" s="593">
        <f ca="1">$E56*(-SUMIF(INDIRECT(X$3),'Struktur Aktuell'!$D56,INDIRECT(X$4))+SUMIF(INDIRECT(X$3),'Struktur Aktuell'!$D56,INDIRECT(X$5)))</f>
        <v>0</v>
      </c>
      <c r="Y56" s="593">
        <f ca="1">$E56*(-SUMIF(INDIRECT(Y$3),'Struktur Aktuell'!$D56,INDIRECT(Y$4))+SUMIF(INDIRECT(Y$3),'Struktur Aktuell'!$D56,INDIRECT(Y$5)))</f>
        <v>0</v>
      </c>
      <c r="Z56" s="593">
        <f ca="1">$E56*(-SUMIF(INDIRECT(Z$3),'Struktur Aktuell'!$D56,INDIRECT(Z$4))+SUMIF(INDIRECT(Z$3),'Struktur Aktuell'!$D56,INDIRECT(Z$5)))</f>
        <v>0</v>
      </c>
      <c r="AA56" s="593">
        <f ca="1">$E56*(-SUMIF(INDIRECT(AA$3),'Struktur Aktuell'!$D56,INDIRECT(AA$4))+SUMIF(INDIRECT(AA$3),'Struktur Aktuell'!$D56,INDIRECT(AA$5)))</f>
        <v>0</v>
      </c>
      <c r="AB56" s="593">
        <f ca="1">$E56*(-SUMIF(INDIRECT(AB$3),'Struktur Aktuell'!$D56,INDIRECT(AB$4))+SUMIF(INDIRECT(AB$3),'Struktur Aktuell'!$D56,INDIRECT(AB$5)))</f>
        <v>0</v>
      </c>
      <c r="AC56" s="593">
        <f ca="1">$E56*(-SUMIF(INDIRECT(AC$3),'Struktur Aktuell'!$D56,INDIRECT(AC$4))+SUMIF(INDIRECT(AC$3),'Struktur Aktuell'!$D56,INDIRECT(AC$5)))</f>
        <v>0</v>
      </c>
      <c r="AD56" s="593">
        <f ca="1">$E56*(-SUMIF(INDIRECT(AD$3),'Struktur Aktuell'!$D56,INDIRECT(AD$4))+SUMIF(INDIRECT(AD$3),'Struktur Aktuell'!$D56,INDIRECT(AD$5)))</f>
        <v>0</v>
      </c>
      <c r="AE56" s="593">
        <f t="shared" ca="1" si="65"/>
        <v>0</v>
      </c>
      <c r="AF56" s="593">
        <f t="shared" ca="1" si="66"/>
        <v>0</v>
      </c>
      <c r="AG56" s="593">
        <f t="shared" ca="1" si="67"/>
        <v>0</v>
      </c>
      <c r="AH56" s="593">
        <f t="shared" ca="1" si="68"/>
        <v>0</v>
      </c>
      <c r="AI56" s="593">
        <f t="shared" ca="1" si="69"/>
        <v>0</v>
      </c>
      <c r="AJ56" s="593">
        <f t="shared" ca="1" si="70"/>
        <v>0</v>
      </c>
      <c r="AK56" s="593">
        <f t="shared" ca="1" si="71"/>
        <v>0</v>
      </c>
      <c r="AL56" s="593">
        <f t="shared" ca="1" si="72"/>
        <v>0</v>
      </c>
      <c r="AM56" s="593">
        <f t="shared" ca="1" si="73"/>
        <v>0</v>
      </c>
      <c r="AN56" s="593">
        <f t="shared" ca="1" si="74"/>
        <v>0</v>
      </c>
      <c r="AO56" s="593">
        <f t="shared" ca="1" si="75"/>
        <v>0</v>
      </c>
      <c r="AP56" s="593">
        <f t="shared" ca="1" si="76"/>
        <v>0</v>
      </c>
    </row>
    <row r="57" spans="1:42" s="594" customFormat="1" ht="11.25" outlineLevel="1" x14ac:dyDescent="0.2">
      <c r="A57" s="599"/>
      <c r="B57" s="591" t="str">
        <f>IF(D57&lt;&gt;"",
IF(ISERROR(MATCH(D57,'Ist Aktuell Monat 01'!A:A,0))=FALSE,INDEX('Ist Aktuell Monat 01'!B:B,MATCH(D57,'Ist Aktuell Monat 01'!A:A,0)),
IF(ISERROR(MATCH(D57,'Ist Aktuell Monat 02'!A:A,0))=FALSE,INDEX('Ist Aktuell Monat 02'!B:B,MATCH(D57,'Ist Aktuell Monat 02'!A:A,0)),
IF(ISERROR(MATCH(D57,'Ist Aktuell Monat 03'!A:A,0))=FALSE,INDEX('Ist Aktuell Monat 03'!B:B,MATCH(D57,'Ist Aktuell Monat 03'!A:A,0)),
IF(ISERROR(MATCH(D57,'Ist Aktuell Monat 04'!A:A,0))=FALSE,INDEX('Ist Aktuell Monat 04'!B:B,MATCH(D57,'Ist Aktuell Monat 04'!A:A,0)),
IF(ISERROR(MATCH(D57,'Ist Aktuell Monat 05'!A:A,0))=FALSE,INDEX('Ist Aktuell Monat 05'!B:B,MATCH(D57,'Ist Aktuell Monat 05'!A:A,0)),
IF(ISERROR(MATCH(D57,'Ist Aktuell Monat 06'!A:A,0))=FALSE,INDEX('Ist Aktuell Monat 06'!B:B,MATCH(D57,'Ist Aktuell Monat 06'!A:A,0)),
IF(ISERROR(MATCH(D57,'Ist Aktuell Monat 07'!A:A,0))=FALSE,INDEX('Ist Aktuell Monat 07'!B:B,MATCH(D57,'Ist Aktuell Monat 07'!A:A,0)),
IF(ISERROR(MATCH(D57,'Ist Aktuell Monat 08'!A:A,0))=FALSE,INDEX('Ist Aktuell Monat 08'!B:B,MATCH(D57,'Ist Aktuell Monat 08'!A:A,0)),
IF(ISERROR(MATCH(D57,'Ist Aktuell Monat 09'!A:A,0))=FALSE,INDEX('Ist Aktuell Monat 09'!B:B,MATCH(D57,'Ist Aktuell Monat 09'!A:A,0)),
IF(ISERROR(MATCH(D57,'Ist Aktuell Monat 10'!A:A,0))=FALSE,INDEX('Ist Aktuell Monat 10'!B:B,MATCH(D57,'Ist Aktuell Monat 10'!A:A,0)),
IF(ISERROR(MATCH(D57,'Ist Aktuell Monat 11'!A:A,0))=FALSE,INDEX('Ist Aktuell Monat 11'!B:B,MATCH(D57,'Ist Aktuell Monat 11'!A:A,0)),
IF(ISERROR(MATCH(D57,'Ist Aktuell Monat 12'!A:A,0))=FALSE,INDEX('Ist Aktuell Monat 12'!B:B,MATCH(D57,'Ist Aktuell Monat 12'!A:A,0)),
"{Konto unbekannt}"
)))))))))))),"")</f>
        <v/>
      </c>
      <c r="C57" s="591"/>
      <c r="D57" s="590"/>
      <c r="E57" s="592">
        <f t="shared" si="30"/>
        <v>1</v>
      </c>
      <c r="F57" s="599"/>
      <c r="G57" s="593">
        <f ca="1">$E57*(-SUMIF(INDIRECT(G$3),'Struktur Aktuell'!$D57,INDIRECT(G$4))+SUMIF(INDIRECT(G$3),'Struktur Aktuell'!$D57,INDIRECT(G$5)))</f>
        <v>0</v>
      </c>
      <c r="H57" s="593">
        <f ca="1">$E57*(-SUMIF(INDIRECT(H$3),'Struktur Aktuell'!$D57,INDIRECT(H$4))+SUMIF(INDIRECT(H$3),'Struktur Aktuell'!$D57,INDIRECT(H$5)))</f>
        <v>0</v>
      </c>
      <c r="I57" s="593">
        <f ca="1">$E57*(-SUMIF(INDIRECT(I$3),'Struktur Aktuell'!$D57,INDIRECT(I$4))+SUMIF(INDIRECT(I$3),'Struktur Aktuell'!$D57,INDIRECT(I$5)))</f>
        <v>0</v>
      </c>
      <c r="J57" s="593">
        <f ca="1">$E57*(-SUMIF(INDIRECT(J$3),'Struktur Aktuell'!$D57,INDIRECT(J$4))+SUMIF(INDIRECT(J$3),'Struktur Aktuell'!$D57,INDIRECT(J$5)))</f>
        <v>0</v>
      </c>
      <c r="K57" s="593">
        <f ca="1">$E57*(-SUMIF(INDIRECT(K$3),'Struktur Aktuell'!$D57,INDIRECT(K$4))+SUMIF(INDIRECT(K$3),'Struktur Aktuell'!$D57,INDIRECT(K$5)))</f>
        <v>0</v>
      </c>
      <c r="L57" s="593">
        <f ca="1">$E57*(-SUMIF(INDIRECT(L$3),'Struktur Aktuell'!$D57,INDIRECT(L$4))+SUMIF(INDIRECT(L$3),'Struktur Aktuell'!$D57,INDIRECT(L$5)))</f>
        <v>0</v>
      </c>
      <c r="M57" s="593">
        <f ca="1">$E57*(-SUMIF(INDIRECT(M$3),'Struktur Aktuell'!$D57,INDIRECT(M$4))+SUMIF(INDIRECT(M$3),'Struktur Aktuell'!$D57,INDIRECT(M$5)))</f>
        <v>0</v>
      </c>
      <c r="N57" s="593">
        <f ca="1">$E57*(-SUMIF(INDIRECT(N$3),'Struktur Aktuell'!$D57,INDIRECT(N$4))+SUMIF(INDIRECT(N$3),'Struktur Aktuell'!$D57,INDIRECT(N$5)))</f>
        <v>0</v>
      </c>
      <c r="O57" s="593">
        <f ca="1">$E57*(-SUMIF(INDIRECT(O$3),'Struktur Aktuell'!$D57,INDIRECT(O$4))+SUMIF(INDIRECT(O$3),'Struktur Aktuell'!$D57,INDIRECT(O$5)))</f>
        <v>0</v>
      </c>
      <c r="P57" s="593">
        <f ca="1">$E57*(-SUMIF(INDIRECT(P$3),'Struktur Aktuell'!$D57,INDIRECT(P$4))+SUMIF(INDIRECT(P$3),'Struktur Aktuell'!$D57,INDIRECT(P$5)))</f>
        <v>0</v>
      </c>
      <c r="Q57" s="593">
        <f ca="1">$E57*(-SUMIF(INDIRECT(Q$3),'Struktur Aktuell'!$D57,INDIRECT(Q$4))+SUMIF(INDIRECT(Q$3),'Struktur Aktuell'!$D57,INDIRECT(Q$5)))</f>
        <v>0</v>
      </c>
      <c r="R57" s="593">
        <f ca="1">$E57*(-SUMIF(INDIRECT(R$3),'Struktur Aktuell'!$D57,INDIRECT(R$4))+SUMIF(INDIRECT(R$3),'Struktur Aktuell'!$D57,INDIRECT(R$5)))</f>
        <v>0</v>
      </c>
      <c r="S57" s="593">
        <f ca="1">$E57*(-SUMIF(INDIRECT(S$3),'Struktur Aktuell'!$D57,INDIRECT(S$4))+SUMIF(INDIRECT(S$3),'Struktur Aktuell'!$D57,INDIRECT(S$5)))</f>
        <v>0</v>
      </c>
      <c r="T57" s="593">
        <f ca="1">$E57*(-SUMIF(INDIRECT(T$3),'Struktur Aktuell'!$D57,INDIRECT(T$4))+SUMIF(INDIRECT(T$3),'Struktur Aktuell'!$D57,INDIRECT(T$5)))</f>
        <v>0</v>
      </c>
      <c r="U57" s="593">
        <f ca="1">$E57*(-SUMIF(INDIRECT(U$3),'Struktur Aktuell'!$D57,INDIRECT(U$4))+SUMIF(INDIRECT(U$3),'Struktur Aktuell'!$D57,INDIRECT(U$5)))</f>
        <v>0</v>
      </c>
      <c r="V57" s="593">
        <f ca="1">$E57*(-SUMIF(INDIRECT(V$3),'Struktur Aktuell'!$D57,INDIRECT(V$4))+SUMIF(INDIRECT(V$3),'Struktur Aktuell'!$D57,INDIRECT(V$5)))</f>
        <v>0</v>
      </c>
      <c r="W57" s="593">
        <f ca="1">$E57*(-SUMIF(INDIRECT(W$3),'Struktur Aktuell'!$D57,INDIRECT(W$4))+SUMIF(INDIRECT(W$3),'Struktur Aktuell'!$D57,INDIRECT(W$5)))</f>
        <v>0</v>
      </c>
      <c r="X57" s="593">
        <f ca="1">$E57*(-SUMIF(INDIRECT(X$3),'Struktur Aktuell'!$D57,INDIRECT(X$4))+SUMIF(INDIRECT(X$3),'Struktur Aktuell'!$D57,INDIRECT(X$5)))</f>
        <v>0</v>
      </c>
      <c r="Y57" s="593">
        <f ca="1">$E57*(-SUMIF(INDIRECT(Y$3),'Struktur Aktuell'!$D57,INDIRECT(Y$4))+SUMIF(INDIRECT(Y$3),'Struktur Aktuell'!$D57,INDIRECT(Y$5)))</f>
        <v>0</v>
      </c>
      <c r="Z57" s="593">
        <f ca="1">$E57*(-SUMIF(INDIRECT(Z$3),'Struktur Aktuell'!$D57,INDIRECT(Z$4))+SUMIF(INDIRECT(Z$3),'Struktur Aktuell'!$D57,INDIRECT(Z$5)))</f>
        <v>0</v>
      </c>
      <c r="AA57" s="593">
        <f ca="1">$E57*(-SUMIF(INDIRECT(AA$3),'Struktur Aktuell'!$D57,INDIRECT(AA$4))+SUMIF(INDIRECT(AA$3),'Struktur Aktuell'!$D57,INDIRECT(AA$5)))</f>
        <v>0</v>
      </c>
      <c r="AB57" s="593">
        <f ca="1">$E57*(-SUMIF(INDIRECT(AB$3),'Struktur Aktuell'!$D57,INDIRECT(AB$4))+SUMIF(INDIRECT(AB$3),'Struktur Aktuell'!$D57,INDIRECT(AB$5)))</f>
        <v>0</v>
      </c>
      <c r="AC57" s="593">
        <f ca="1">$E57*(-SUMIF(INDIRECT(AC$3),'Struktur Aktuell'!$D57,INDIRECT(AC$4))+SUMIF(INDIRECT(AC$3),'Struktur Aktuell'!$D57,INDIRECT(AC$5)))</f>
        <v>0</v>
      </c>
      <c r="AD57" s="593">
        <f ca="1">$E57*(-SUMIF(INDIRECT(AD$3),'Struktur Aktuell'!$D57,INDIRECT(AD$4))+SUMIF(INDIRECT(AD$3),'Struktur Aktuell'!$D57,INDIRECT(AD$5)))</f>
        <v>0</v>
      </c>
      <c r="AE57" s="593">
        <f t="shared" ca="1" si="65"/>
        <v>0</v>
      </c>
      <c r="AF57" s="593">
        <f t="shared" ca="1" si="66"/>
        <v>0</v>
      </c>
      <c r="AG57" s="593">
        <f t="shared" ca="1" si="67"/>
        <v>0</v>
      </c>
      <c r="AH57" s="593">
        <f t="shared" ca="1" si="68"/>
        <v>0</v>
      </c>
      <c r="AI57" s="593">
        <f t="shared" ca="1" si="69"/>
        <v>0</v>
      </c>
      <c r="AJ57" s="593">
        <f t="shared" ca="1" si="70"/>
        <v>0</v>
      </c>
      <c r="AK57" s="593">
        <f t="shared" ca="1" si="71"/>
        <v>0</v>
      </c>
      <c r="AL57" s="593">
        <f t="shared" ca="1" si="72"/>
        <v>0</v>
      </c>
      <c r="AM57" s="593">
        <f t="shared" ca="1" si="73"/>
        <v>0</v>
      </c>
      <c r="AN57" s="593">
        <f t="shared" ca="1" si="74"/>
        <v>0</v>
      </c>
      <c r="AO57" s="593">
        <f t="shared" ca="1" si="75"/>
        <v>0</v>
      </c>
      <c r="AP57" s="593">
        <f t="shared" ca="1" si="76"/>
        <v>0</v>
      </c>
    </row>
    <row r="58" spans="1:42" s="594" customFormat="1" ht="11.25" outlineLevel="1" x14ac:dyDescent="0.2">
      <c r="A58" s="599"/>
      <c r="B58" s="591" t="str">
        <f>IF(D58&lt;&gt;"",
IF(ISERROR(MATCH(D58,'Ist Aktuell Monat 01'!A:A,0))=FALSE,INDEX('Ist Aktuell Monat 01'!B:B,MATCH(D58,'Ist Aktuell Monat 01'!A:A,0)),
IF(ISERROR(MATCH(D58,'Ist Aktuell Monat 02'!A:A,0))=FALSE,INDEX('Ist Aktuell Monat 02'!B:B,MATCH(D58,'Ist Aktuell Monat 02'!A:A,0)),
IF(ISERROR(MATCH(D58,'Ist Aktuell Monat 03'!A:A,0))=FALSE,INDEX('Ist Aktuell Monat 03'!B:B,MATCH(D58,'Ist Aktuell Monat 03'!A:A,0)),
IF(ISERROR(MATCH(D58,'Ist Aktuell Monat 04'!A:A,0))=FALSE,INDEX('Ist Aktuell Monat 04'!B:B,MATCH(D58,'Ist Aktuell Monat 04'!A:A,0)),
IF(ISERROR(MATCH(D58,'Ist Aktuell Monat 05'!A:A,0))=FALSE,INDEX('Ist Aktuell Monat 05'!B:B,MATCH(D58,'Ist Aktuell Monat 05'!A:A,0)),
IF(ISERROR(MATCH(D58,'Ist Aktuell Monat 06'!A:A,0))=FALSE,INDEX('Ist Aktuell Monat 06'!B:B,MATCH(D58,'Ist Aktuell Monat 06'!A:A,0)),
IF(ISERROR(MATCH(D58,'Ist Aktuell Monat 07'!A:A,0))=FALSE,INDEX('Ist Aktuell Monat 07'!B:B,MATCH(D58,'Ist Aktuell Monat 07'!A:A,0)),
IF(ISERROR(MATCH(D58,'Ist Aktuell Monat 08'!A:A,0))=FALSE,INDEX('Ist Aktuell Monat 08'!B:B,MATCH(D58,'Ist Aktuell Monat 08'!A:A,0)),
IF(ISERROR(MATCH(D58,'Ist Aktuell Monat 09'!A:A,0))=FALSE,INDEX('Ist Aktuell Monat 09'!B:B,MATCH(D58,'Ist Aktuell Monat 09'!A:A,0)),
IF(ISERROR(MATCH(D58,'Ist Aktuell Monat 10'!A:A,0))=FALSE,INDEX('Ist Aktuell Monat 10'!B:B,MATCH(D58,'Ist Aktuell Monat 10'!A:A,0)),
IF(ISERROR(MATCH(D58,'Ist Aktuell Monat 11'!A:A,0))=FALSE,INDEX('Ist Aktuell Monat 11'!B:B,MATCH(D58,'Ist Aktuell Monat 11'!A:A,0)),
IF(ISERROR(MATCH(D58,'Ist Aktuell Monat 12'!A:A,0))=FALSE,INDEX('Ist Aktuell Monat 12'!B:B,MATCH(D58,'Ist Aktuell Monat 12'!A:A,0)),
"{Konto unbekannt}"
)))))))))))),"")</f>
        <v/>
      </c>
      <c r="C58" s="591"/>
      <c r="D58" s="590"/>
      <c r="E58" s="592">
        <f t="shared" si="30"/>
        <v>1</v>
      </c>
      <c r="F58" s="599"/>
      <c r="G58" s="593">
        <f ca="1">$E58*(-SUMIF(INDIRECT(G$3),'Struktur Aktuell'!$D58,INDIRECT(G$4))+SUMIF(INDIRECT(G$3),'Struktur Aktuell'!$D58,INDIRECT(G$5)))</f>
        <v>0</v>
      </c>
      <c r="H58" s="593">
        <f ca="1">$E58*(-SUMIF(INDIRECT(H$3),'Struktur Aktuell'!$D58,INDIRECT(H$4))+SUMIF(INDIRECT(H$3),'Struktur Aktuell'!$D58,INDIRECT(H$5)))</f>
        <v>0</v>
      </c>
      <c r="I58" s="593">
        <f ca="1">$E58*(-SUMIF(INDIRECT(I$3),'Struktur Aktuell'!$D58,INDIRECT(I$4))+SUMIF(INDIRECT(I$3),'Struktur Aktuell'!$D58,INDIRECT(I$5)))</f>
        <v>0</v>
      </c>
      <c r="J58" s="593">
        <f ca="1">$E58*(-SUMIF(INDIRECT(J$3),'Struktur Aktuell'!$D58,INDIRECT(J$4))+SUMIF(INDIRECT(J$3),'Struktur Aktuell'!$D58,INDIRECT(J$5)))</f>
        <v>0</v>
      </c>
      <c r="K58" s="593">
        <f ca="1">$E58*(-SUMIF(INDIRECT(K$3),'Struktur Aktuell'!$D58,INDIRECT(K$4))+SUMIF(INDIRECT(K$3),'Struktur Aktuell'!$D58,INDIRECT(K$5)))</f>
        <v>0</v>
      </c>
      <c r="L58" s="593">
        <f ca="1">$E58*(-SUMIF(INDIRECT(L$3),'Struktur Aktuell'!$D58,INDIRECT(L$4))+SUMIF(INDIRECT(L$3),'Struktur Aktuell'!$D58,INDIRECT(L$5)))</f>
        <v>0</v>
      </c>
      <c r="M58" s="593">
        <f ca="1">$E58*(-SUMIF(INDIRECT(M$3),'Struktur Aktuell'!$D58,INDIRECT(M$4))+SUMIF(INDIRECT(M$3),'Struktur Aktuell'!$D58,INDIRECT(M$5)))</f>
        <v>0</v>
      </c>
      <c r="N58" s="593">
        <f ca="1">$E58*(-SUMIF(INDIRECT(N$3),'Struktur Aktuell'!$D58,INDIRECT(N$4))+SUMIF(INDIRECT(N$3),'Struktur Aktuell'!$D58,INDIRECT(N$5)))</f>
        <v>0</v>
      </c>
      <c r="O58" s="593">
        <f ca="1">$E58*(-SUMIF(INDIRECT(O$3),'Struktur Aktuell'!$D58,INDIRECT(O$4))+SUMIF(INDIRECT(O$3),'Struktur Aktuell'!$D58,INDIRECT(O$5)))</f>
        <v>0</v>
      </c>
      <c r="P58" s="593">
        <f ca="1">$E58*(-SUMIF(INDIRECT(P$3),'Struktur Aktuell'!$D58,INDIRECT(P$4))+SUMIF(INDIRECT(P$3),'Struktur Aktuell'!$D58,INDIRECT(P$5)))</f>
        <v>0</v>
      </c>
      <c r="Q58" s="593">
        <f ca="1">$E58*(-SUMIF(INDIRECT(Q$3),'Struktur Aktuell'!$D58,INDIRECT(Q$4))+SUMIF(INDIRECT(Q$3),'Struktur Aktuell'!$D58,INDIRECT(Q$5)))</f>
        <v>0</v>
      </c>
      <c r="R58" s="593">
        <f ca="1">$E58*(-SUMIF(INDIRECT(R$3),'Struktur Aktuell'!$D58,INDIRECT(R$4))+SUMIF(INDIRECT(R$3),'Struktur Aktuell'!$D58,INDIRECT(R$5)))</f>
        <v>0</v>
      </c>
      <c r="S58" s="593">
        <f ca="1">$E58*(-SUMIF(INDIRECT(S$3),'Struktur Aktuell'!$D58,INDIRECT(S$4))+SUMIF(INDIRECT(S$3),'Struktur Aktuell'!$D58,INDIRECT(S$5)))</f>
        <v>0</v>
      </c>
      <c r="T58" s="593">
        <f ca="1">$E58*(-SUMIF(INDIRECT(T$3),'Struktur Aktuell'!$D58,INDIRECT(T$4))+SUMIF(INDIRECT(T$3),'Struktur Aktuell'!$D58,INDIRECT(T$5)))</f>
        <v>0</v>
      </c>
      <c r="U58" s="593">
        <f ca="1">$E58*(-SUMIF(INDIRECT(U$3),'Struktur Aktuell'!$D58,INDIRECT(U$4))+SUMIF(INDIRECT(U$3),'Struktur Aktuell'!$D58,INDIRECT(U$5)))</f>
        <v>0</v>
      </c>
      <c r="V58" s="593">
        <f ca="1">$E58*(-SUMIF(INDIRECT(V$3),'Struktur Aktuell'!$D58,INDIRECT(V$4))+SUMIF(INDIRECT(V$3),'Struktur Aktuell'!$D58,INDIRECT(V$5)))</f>
        <v>0</v>
      </c>
      <c r="W58" s="593">
        <f ca="1">$E58*(-SUMIF(INDIRECT(W$3),'Struktur Aktuell'!$D58,INDIRECT(W$4))+SUMIF(INDIRECT(W$3),'Struktur Aktuell'!$D58,INDIRECT(W$5)))</f>
        <v>0</v>
      </c>
      <c r="X58" s="593">
        <f ca="1">$E58*(-SUMIF(INDIRECT(X$3),'Struktur Aktuell'!$D58,INDIRECT(X$4))+SUMIF(INDIRECT(X$3),'Struktur Aktuell'!$D58,INDIRECT(X$5)))</f>
        <v>0</v>
      </c>
      <c r="Y58" s="593">
        <f ca="1">$E58*(-SUMIF(INDIRECT(Y$3),'Struktur Aktuell'!$D58,INDIRECT(Y$4))+SUMIF(INDIRECT(Y$3),'Struktur Aktuell'!$D58,INDIRECT(Y$5)))</f>
        <v>0</v>
      </c>
      <c r="Z58" s="593">
        <f ca="1">$E58*(-SUMIF(INDIRECT(Z$3),'Struktur Aktuell'!$D58,INDIRECT(Z$4))+SUMIF(INDIRECT(Z$3),'Struktur Aktuell'!$D58,INDIRECT(Z$5)))</f>
        <v>0</v>
      </c>
      <c r="AA58" s="593">
        <f ca="1">$E58*(-SUMIF(INDIRECT(AA$3),'Struktur Aktuell'!$D58,INDIRECT(AA$4))+SUMIF(INDIRECT(AA$3),'Struktur Aktuell'!$D58,INDIRECT(AA$5)))</f>
        <v>0</v>
      </c>
      <c r="AB58" s="593">
        <f ca="1">$E58*(-SUMIF(INDIRECT(AB$3),'Struktur Aktuell'!$D58,INDIRECT(AB$4))+SUMIF(INDIRECT(AB$3),'Struktur Aktuell'!$D58,INDIRECT(AB$5)))</f>
        <v>0</v>
      </c>
      <c r="AC58" s="593">
        <f ca="1">$E58*(-SUMIF(INDIRECT(AC$3),'Struktur Aktuell'!$D58,INDIRECT(AC$4))+SUMIF(INDIRECT(AC$3),'Struktur Aktuell'!$D58,INDIRECT(AC$5)))</f>
        <v>0</v>
      </c>
      <c r="AD58" s="593">
        <f ca="1">$E58*(-SUMIF(INDIRECT(AD$3),'Struktur Aktuell'!$D58,INDIRECT(AD$4))+SUMIF(INDIRECT(AD$3),'Struktur Aktuell'!$D58,INDIRECT(AD$5)))</f>
        <v>0</v>
      </c>
      <c r="AE58" s="593">
        <f t="shared" ca="1" si="65"/>
        <v>0</v>
      </c>
      <c r="AF58" s="593">
        <f t="shared" ca="1" si="66"/>
        <v>0</v>
      </c>
      <c r="AG58" s="593">
        <f t="shared" ca="1" si="67"/>
        <v>0</v>
      </c>
      <c r="AH58" s="593">
        <f t="shared" ca="1" si="68"/>
        <v>0</v>
      </c>
      <c r="AI58" s="593">
        <f t="shared" ca="1" si="69"/>
        <v>0</v>
      </c>
      <c r="AJ58" s="593">
        <f t="shared" ca="1" si="70"/>
        <v>0</v>
      </c>
      <c r="AK58" s="593">
        <f t="shared" ca="1" si="71"/>
        <v>0</v>
      </c>
      <c r="AL58" s="593">
        <f t="shared" ca="1" si="72"/>
        <v>0</v>
      </c>
      <c r="AM58" s="593">
        <f t="shared" ca="1" si="73"/>
        <v>0</v>
      </c>
      <c r="AN58" s="593">
        <f t="shared" ca="1" si="74"/>
        <v>0</v>
      </c>
      <c r="AO58" s="593">
        <f t="shared" ca="1" si="75"/>
        <v>0</v>
      </c>
      <c r="AP58" s="593">
        <f t="shared" ca="1" si="76"/>
        <v>0</v>
      </c>
    </row>
    <row r="59" spans="1:42" s="594" customFormat="1" ht="11.25" outlineLevel="1" x14ac:dyDescent="0.2">
      <c r="A59" s="599"/>
      <c r="B59" s="591" t="str">
        <f>IF(D59&lt;&gt;"",
IF(ISERROR(MATCH(D59,'Ist Aktuell Monat 01'!A:A,0))=FALSE,INDEX('Ist Aktuell Monat 01'!B:B,MATCH(D59,'Ist Aktuell Monat 01'!A:A,0)),
IF(ISERROR(MATCH(D59,'Ist Aktuell Monat 02'!A:A,0))=FALSE,INDEX('Ist Aktuell Monat 02'!B:B,MATCH(D59,'Ist Aktuell Monat 02'!A:A,0)),
IF(ISERROR(MATCH(D59,'Ist Aktuell Monat 03'!A:A,0))=FALSE,INDEX('Ist Aktuell Monat 03'!B:B,MATCH(D59,'Ist Aktuell Monat 03'!A:A,0)),
IF(ISERROR(MATCH(D59,'Ist Aktuell Monat 04'!A:A,0))=FALSE,INDEX('Ist Aktuell Monat 04'!B:B,MATCH(D59,'Ist Aktuell Monat 04'!A:A,0)),
IF(ISERROR(MATCH(D59,'Ist Aktuell Monat 05'!A:A,0))=FALSE,INDEX('Ist Aktuell Monat 05'!B:B,MATCH(D59,'Ist Aktuell Monat 05'!A:A,0)),
IF(ISERROR(MATCH(D59,'Ist Aktuell Monat 06'!A:A,0))=FALSE,INDEX('Ist Aktuell Monat 06'!B:B,MATCH(D59,'Ist Aktuell Monat 06'!A:A,0)),
IF(ISERROR(MATCH(D59,'Ist Aktuell Monat 07'!A:A,0))=FALSE,INDEX('Ist Aktuell Monat 07'!B:B,MATCH(D59,'Ist Aktuell Monat 07'!A:A,0)),
IF(ISERROR(MATCH(D59,'Ist Aktuell Monat 08'!A:A,0))=FALSE,INDEX('Ist Aktuell Monat 08'!B:B,MATCH(D59,'Ist Aktuell Monat 08'!A:A,0)),
IF(ISERROR(MATCH(D59,'Ist Aktuell Monat 09'!A:A,0))=FALSE,INDEX('Ist Aktuell Monat 09'!B:B,MATCH(D59,'Ist Aktuell Monat 09'!A:A,0)),
IF(ISERROR(MATCH(D59,'Ist Aktuell Monat 10'!A:A,0))=FALSE,INDEX('Ist Aktuell Monat 10'!B:B,MATCH(D59,'Ist Aktuell Monat 10'!A:A,0)),
IF(ISERROR(MATCH(D59,'Ist Aktuell Monat 11'!A:A,0))=FALSE,INDEX('Ist Aktuell Monat 11'!B:B,MATCH(D59,'Ist Aktuell Monat 11'!A:A,0)),
IF(ISERROR(MATCH(D59,'Ist Aktuell Monat 12'!A:A,0))=FALSE,INDEX('Ist Aktuell Monat 12'!B:B,MATCH(D59,'Ist Aktuell Monat 12'!A:A,0)),
"{Konto unbekannt}"
)))))))))))),"")</f>
        <v/>
      </c>
      <c r="C59" s="591"/>
      <c r="D59" s="590"/>
      <c r="E59" s="592">
        <f>IF(F59="-",-1,1)</f>
        <v>1</v>
      </c>
      <c r="F59" s="599"/>
      <c r="G59" s="593">
        <f ca="1">$E59*(-SUMIF(INDIRECT(G$3),'Struktur Aktuell'!$D59,INDIRECT(G$4))+SUMIF(INDIRECT(G$3),'Struktur Aktuell'!$D59,INDIRECT(G$5)))</f>
        <v>0</v>
      </c>
      <c r="H59" s="593">
        <f ca="1">$E59*(-SUMIF(INDIRECT(H$3),'Struktur Aktuell'!$D59,INDIRECT(H$4))+SUMIF(INDIRECT(H$3),'Struktur Aktuell'!$D59,INDIRECT(H$5)))</f>
        <v>0</v>
      </c>
      <c r="I59" s="593">
        <f ca="1">$E59*(-SUMIF(INDIRECT(I$3),'Struktur Aktuell'!$D59,INDIRECT(I$4))+SUMIF(INDIRECT(I$3),'Struktur Aktuell'!$D59,INDIRECT(I$5)))</f>
        <v>0</v>
      </c>
      <c r="J59" s="593">
        <f ca="1">$E59*(-SUMIF(INDIRECT(J$3),'Struktur Aktuell'!$D59,INDIRECT(J$4))+SUMIF(INDIRECT(J$3),'Struktur Aktuell'!$D59,INDIRECT(J$5)))</f>
        <v>0</v>
      </c>
      <c r="K59" s="593">
        <f ca="1">$E59*(-SUMIF(INDIRECT(K$3),'Struktur Aktuell'!$D59,INDIRECT(K$4))+SUMIF(INDIRECT(K$3),'Struktur Aktuell'!$D59,INDIRECT(K$5)))</f>
        <v>0</v>
      </c>
      <c r="L59" s="593">
        <f ca="1">$E59*(-SUMIF(INDIRECT(L$3),'Struktur Aktuell'!$D59,INDIRECT(L$4))+SUMIF(INDIRECT(L$3),'Struktur Aktuell'!$D59,INDIRECT(L$5)))</f>
        <v>0</v>
      </c>
      <c r="M59" s="593">
        <f ca="1">$E59*(-SUMIF(INDIRECT(M$3),'Struktur Aktuell'!$D59,INDIRECT(M$4))+SUMIF(INDIRECT(M$3),'Struktur Aktuell'!$D59,INDIRECT(M$5)))</f>
        <v>0</v>
      </c>
      <c r="N59" s="593">
        <f ca="1">$E59*(-SUMIF(INDIRECT(N$3),'Struktur Aktuell'!$D59,INDIRECT(N$4))+SUMIF(INDIRECT(N$3),'Struktur Aktuell'!$D59,INDIRECT(N$5)))</f>
        <v>0</v>
      </c>
      <c r="O59" s="593">
        <f ca="1">$E59*(-SUMIF(INDIRECT(O$3),'Struktur Aktuell'!$D59,INDIRECT(O$4))+SUMIF(INDIRECT(O$3),'Struktur Aktuell'!$D59,INDIRECT(O$5)))</f>
        <v>0</v>
      </c>
      <c r="P59" s="593">
        <f ca="1">$E59*(-SUMIF(INDIRECT(P$3),'Struktur Aktuell'!$D59,INDIRECT(P$4))+SUMIF(INDIRECT(P$3),'Struktur Aktuell'!$D59,INDIRECT(P$5)))</f>
        <v>0</v>
      </c>
      <c r="Q59" s="593">
        <f ca="1">$E59*(-SUMIF(INDIRECT(Q$3),'Struktur Aktuell'!$D59,INDIRECT(Q$4))+SUMIF(INDIRECT(Q$3),'Struktur Aktuell'!$D59,INDIRECT(Q$5)))</f>
        <v>0</v>
      </c>
      <c r="R59" s="593">
        <f ca="1">$E59*(-SUMIF(INDIRECT(R$3),'Struktur Aktuell'!$D59,INDIRECT(R$4))+SUMIF(INDIRECT(R$3),'Struktur Aktuell'!$D59,INDIRECT(R$5)))</f>
        <v>0</v>
      </c>
      <c r="S59" s="593">
        <f ca="1">$E59*(-SUMIF(INDIRECT(S$3),'Struktur Aktuell'!$D59,INDIRECT(S$4))+SUMIF(INDIRECT(S$3),'Struktur Aktuell'!$D59,INDIRECT(S$5)))</f>
        <v>0</v>
      </c>
      <c r="T59" s="593">
        <f ca="1">$E59*(-SUMIF(INDIRECT(T$3),'Struktur Aktuell'!$D59,INDIRECT(T$4))+SUMIF(INDIRECT(T$3),'Struktur Aktuell'!$D59,INDIRECT(T$5)))</f>
        <v>0</v>
      </c>
      <c r="U59" s="593">
        <f ca="1">$E59*(-SUMIF(INDIRECT(U$3),'Struktur Aktuell'!$D59,INDIRECT(U$4))+SUMIF(INDIRECT(U$3),'Struktur Aktuell'!$D59,INDIRECT(U$5)))</f>
        <v>0</v>
      </c>
      <c r="V59" s="593">
        <f ca="1">$E59*(-SUMIF(INDIRECT(V$3),'Struktur Aktuell'!$D59,INDIRECT(V$4))+SUMIF(INDIRECT(V$3),'Struktur Aktuell'!$D59,INDIRECT(V$5)))</f>
        <v>0</v>
      </c>
      <c r="W59" s="593">
        <f ca="1">$E59*(-SUMIF(INDIRECT(W$3),'Struktur Aktuell'!$D59,INDIRECT(W$4))+SUMIF(INDIRECT(W$3),'Struktur Aktuell'!$D59,INDIRECT(W$5)))</f>
        <v>0</v>
      </c>
      <c r="X59" s="593">
        <f ca="1">$E59*(-SUMIF(INDIRECT(X$3),'Struktur Aktuell'!$D59,INDIRECT(X$4))+SUMIF(INDIRECT(X$3),'Struktur Aktuell'!$D59,INDIRECT(X$5)))</f>
        <v>0</v>
      </c>
      <c r="Y59" s="593">
        <f ca="1">$E59*(-SUMIF(INDIRECT(Y$3),'Struktur Aktuell'!$D59,INDIRECT(Y$4))+SUMIF(INDIRECT(Y$3),'Struktur Aktuell'!$D59,INDIRECT(Y$5)))</f>
        <v>0</v>
      </c>
      <c r="Z59" s="593">
        <f ca="1">$E59*(-SUMIF(INDIRECT(Z$3),'Struktur Aktuell'!$D59,INDIRECT(Z$4))+SUMIF(INDIRECT(Z$3),'Struktur Aktuell'!$D59,INDIRECT(Z$5)))</f>
        <v>0</v>
      </c>
      <c r="AA59" s="593">
        <f ca="1">$E59*(-SUMIF(INDIRECT(AA$3),'Struktur Aktuell'!$D59,INDIRECT(AA$4))+SUMIF(INDIRECT(AA$3),'Struktur Aktuell'!$D59,INDIRECT(AA$5)))</f>
        <v>0</v>
      </c>
      <c r="AB59" s="593">
        <f ca="1">$E59*(-SUMIF(INDIRECT(AB$3),'Struktur Aktuell'!$D59,INDIRECT(AB$4))+SUMIF(INDIRECT(AB$3),'Struktur Aktuell'!$D59,INDIRECT(AB$5)))</f>
        <v>0</v>
      </c>
      <c r="AC59" s="593">
        <f ca="1">$E59*(-SUMIF(INDIRECT(AC$3),'Struktur Aktuell'!$D59,INDIRECT(AC$4))+SUMIF(INDIRECT(AC$3),'Struktur Aktuell'!$D59,INDIRECT(AC$5)))</f>
        <v>0</v>
      </c>
      <c r="AD59" s="593">
        <f ca="1">$E59*(-SUMIF(INDIRECT(AD$3),'Struktur Aktuell'!$D59,INDIRECT(AD$4))+SUMIF(INDIRECT(AD$3),'Struktur Aktuell'!$D59,INDIRECT(AD$5)))</f>
        <v>0</v>
      </c>
      <c r="AE59" s="593">
        <f t="shared" ca="1" si="65"/>
        <v>0</v>
      </c>
      <c r="AF59" s="593">
        <f t="shared" ca="1" si="66"/>
        <v>0</v>
      </c>
      <c r="AG59" s="593">
        <f t="shared" ca="1" si="67"/>
        <v>0</v>
      </c>
      <c r="AH59" s="593">
        <f t="shared" ca="1" si="68"/>
        <v>0</v>
      </c>
      <c r="AI59" s="593">
        <f t="shared" ca="1" si="69"/>
        <v>0</v>
      </c>
      <c r="AJ59" s="593">
        <f t="shared" ca="1" si="70"/>
        <v>0</v>
      </c>
      <c r="AK59" s="593">
        <f t="shared" ca="1" si="71"/>
        <v>0</v>
      </c>
      <c r="AL59" s="593">
        <f t="shared" ca="1" si="72"/>
        <v>0</v>
      </c>
      <c r="AM59" s="593">
        <f t="shared" ca="1" si="73"/>
        <v>0</v>
      </c>
      <c r="AN59" s="593">
        <f t="shared" ca="1" si="74"/>
        <v>0</v>
      </c>
      <c r="AO59" s="593">
        <f t="shared" ca="1" si="75"/>
        <v>0</v>
      </c>
      <c r="AP59" s="593">
        <f t="shared" ca="1" si="76"/>
        <v>0</v>
      </c>
    </row>
    <row r="60" spans="1:42" s="594" customFormat="1" ht="11.25" outlineLevel="1" x14ac:dyDescent="0.2">
      <c r="A60" s="599"/>
      <c r="B60" s="591" t="str">
        <f>IF(D60&lt;&gt;"",
IF(ISERROR(MATCH(D60,'Ist Aktuell Monat 01'!A:A,0))=FALSE,INDEX('Ist Aktuell Monat 01'!B:B,MATCH(D60,'Ist Aktuell Monat 01'!A:A,0)),
IF(ISERROR(MATCH(D60,'Ist Aktuell Monat 02'!A:A,0))=FALSE,INDEX('Ist Aktuell Monat 02'!B:B,MATCH(D60,'Ist Aktuell Monat 02'!A:A,0)),
IF(ISERROR(MATCH(D60,'Ist Aktuell Monat 03'!A:A,0))=FALSE,INDEX('Ist Aktuell Monat 03'!B:B,MATCH(D60,'Ist Aktuell Monat 03'!A:A,0)),
IF(ISERROR(MATCH(D60,'Ist Aktuell Monat 04'!A:A,0))=FALSE,INDEX('Ist Aktuell Monat 04'!B:B,MATCH(D60,'Ist Aktuell Monat 04'!A:A,0)),
IF(ISERROR(MATCH(D60,'Ist Aktuell Monat 05'!A:A,0))=FALSE,INDEX('Ist Aktuell Monat 05'!B:B,MATCH(D60,'Ist Aktuell Monat 05'!A:A,0)),
IF(ISERROR(MATCH(D60,'Ist Aktuell Monat 06'!A:A,0))=FALSE,INDEX('Ist Aktuell Monat 06'!B:B,MATCH(D60,'Ist Aktuell Monat 06'!A:A,0)),
IF(ISERROR(MATCH(D60,'Ist Aktuell Monat 07'!A:A,0))=FALSE,INDEX('Ist Aktuell Monat 07'!B:B,MATCH(D60,'Ist Aktuell Monat 07'!A:A,0)),
IF(ISERROR(MATCH(D60,'Ist Aktuell Monat 08'!A:A,0))=FALSE,INDEX('Ist Aktuell Monat 08'!B:B,MATCH(D60,'Ist Aktuell Monat 08'!A:A,0)),
IF(ISERROR(MATCH(D60,'Ist Aktuell Monat 09'!A:A,0))=FALSE,INDEX('Ist Aktuell Monat 09'!B:B,MATCH(D60,'Ist Aktuell Monat 09'!A:A,0)),
IF(ISERROR(MATCH(D60,'Ist Aktuell Monat 10'!A:A,0))=FALSE,INDEX('Ist Aktuell Monat 10'!B:B,MATCH(D60,'Ist Aktuell Monat 10'!A:A,0)),
IF(ISERROR(MATCH(D60,'Ist Aktuell Monat 11'!A:A,0))=FALSE,INDEX('Ist Aktuell Monat 11'!B:B,MATCH(D60,'Ist Aktuell Monat 11'!A:A,0)),
IF(ISERROR(MATCH(D60,'Ist Aktuell Monat 12'!A:A,0))=FALSE,INDEX('Ist Aktuell Monat 12'!B:B,MATCH(D60,'Ist Aktuell Monat 12'!A:A,0)),
"{Konto unbekannt}"
)))))))))))),"")</f>
        <v/>
      </c>
      <c r="C60" s="591"/>
      <c r="D60" s="590"/>
      <c r="E60" s="592">
        <f>IF(F60="-",-1,1)</f>
        <v>1</v>
      </c>
      <c r="F60" s="599"/>
      <c r="G60" s="593">
        <f ca="1">$E60*(-SUMIF(INDIRECT(G$3),'Struktur Aktuell'!$D60,INDIRECT(G$4))+SUMIF(INDIRECT(G$3),'Struktur Aktuell'!$D60,INDIRECT(G$5)))</f>
        <v>0</v>
      </c>
      <c r="H60" s="593">
        <f ca="1">$E60*(-SUMIF(INDIRECT(H$3),'Struktur Aktuell'!$D60,INDIRECT(H$4))+SUMIF(INDIRECT(H$3),'Struktur Aktuell'!$D60,INDIRECT(H$5)))</f>
        <v>0</v>
      </c>
      <c r="I60" s="593">
        <f ca="1">$E60*(-SUMIF(INDIRECT(I$3),'Struktur Aktuell'!$D60,INDIRECT(I$4))+SUMIF(INDIRECT(I$3),'Struktur Aktuell'!$D60,INDIRECT(I$5)))</f>
        <v>0</v>
      </c>
      <c r="J60" s="593">
        <f ca="1">$E60*(-SUMIF(INDIRECT(J$3),'Struktur Aktuell'!$D60,INDIRECT(J$4))+SUMIF(INDIRECT(J$3),'Struktur Aktuell'!$D60,INDIRECT(J$5)))</f>
        <v>0</v>
      </c>
      <c r="K60" s="593">
        <f ca="1">$E60*(-SUMIF(INDIRECT(K$3),'Struktur Aktuell'!$D60,INDIRECT(K$4))+SUMIF(INDIRECT(K$3),'Struktur Aktuell'!$D60,INDIRECT(K$5)))</f>
        <v>0</v>
      </c>
      <c r="L60" s="593">
        <f ca="1">$E60*(-SUMIF(INDIRECT(L$3),'Struktur Aktuell'!$D60,INDIRECT(L$4))+SUMIF(INDIRECT(L$3),'Struktur Aktuell'!$D60,INDIRECT(L$5)))</f>
        <v>0</v>
      </c>
      <c r="M60" s="593">
        <f ca="1">$E60*(-SUMIF(INDIRECT(M$3),'Struktur Aktuell'!$D60,INDIRECT(M$4))+SUMIF(INDIRECT(M$3),'Struktur Aktuell'!$D60,INDIRECT(M$5)))</f>
        <v>0</v>
      </c>
      <c r="N60" s="593">
        <f ca="1">$E60*(-SUMIF(INDIRECT(N$3),'Struktur Aktuell'!$D60,INDIRECT(N$4))+SUMIF(INDIRECT(N$3),'Struktur Aktuell'!$D60,INDIRECT(N$5)))</f>
        <v>0</v>
      </c>
      <c r="O60" s="593">
        <f ca="1">$E60*(-SUMIF(INDIRECT(O$3),'Struktur Aktuell'!$D60,INDIRECT(O$4))+SUMIF(INDIRECT(O$3),'Struktur Aktuell'!$D60,INDIRECT(O$5)))</f>
        <v>0</v>
      </c>
      <c r="P60" s="593">
        <f ca="1">$E60*(-SUMIF(INDIRECT(P$3),'Struktur Aktuell'!$D60,INDIRECT(P$4))+SUMIF(INDIRECT(P$3),'Struktur Aktuell'!$D60,INDIRECT(P$5)))</f>
        <v>0</v>
      </c>
      <c r="Q60" s="593">
        <f ca="1">$E60*(-SUMIF(INDIRECT(Q$3),'Struktur Aktuell'!$D60,INDIRECT(Q$4))+SUMIF(INDIRECT(Q$3),'Struktur Aktuell'!$D60,INDIRECT(Q$5)))</f>
        <v>0</v>
      </c>
      <c r="R60" s="593">
        <f ca="1">$E60*(-SUMIF(INDIRECT(R$3),'Struktur Aktuell'!$D60,INDIRECT(R$4))+SUMIF(INDIRECT(R$3),'Struktur Aktuell'!$D60,INDIRECT(R$5)))</f>
        <v>0</v>
      </c>
      <c r="S60" s="593">
        <f ca="1">$E60*(-SUMIF(INDIRECT(S$3),'Struktur Aktuell'!$D60,INDIRECT(S$4))+SUMIF(INDIRECT(S$3),'Struktur Aktuell'!$D60,INDIRECT(S$5)))</f>
        <v>0</v>
      </c>
      <c r="T60" s="593">
        <f ca="1">$E60*(-SUMIF(INDIRECT(T$3),'Struktur Aktuell'!$D60,INDIRECT(T$4))+SUMIF(INDIRECT(T$3),'Struktur Aktuell'!$D60,INDIRECT(T$5)))</f>
        <v>0</v>
      </c>
      <c r="U60" s="593">
        <f ca="1">$E60*(-SUMIF(INDIRECT(U$3),'Struktur Aktuell'!$D60,INDIRECT(U$4))+SUMIF(INDIRECT(U$3),'Struktur Aktuell'!$D60,INDIRECT(U$5)))</f>
        <v>0</v>
      </c>
      <c r="V60" s="593">
        <f ca="1">$E60*(-SUMIF(INDIRECT(V$3),'Struktur Aktuell'!$D60,INDIRECT(V$4))+SUMIF(INDIRECT(V$3),'Struktur Aktuell'!$D60,INDIRECT(V$5)))</f>
        <v>0</v>
      </c>
      <c r="W60" s="593">
        <f ca="1">$E60*(-SUMIF(INDIRECT(W$3),'Struktur Aktuell'!$D60,INDIRECT(W$4))+SUMIF(INDIRECT(W$3),'Struktur Aktuell'!$D60,INDIRECT(W$5)))</f>
        <v>0</v>
      </c>
      <c r="X60" s="593">
        <f ca="1">$E60*(-SUMIF(INDIRECT(X$3),'Struktur Aktuell'!$D60,INDIRECT(X$4))+SUMIF(INDIRECT(X$3),'Struktur Aktuell'!$D60,INDIRECT(X$5)))</f>
        <v>0</v>
      </c>
      <c r="Y60" s="593">
        <f ca="1">$E60*(-SUMIF(INDIRECT(Y$3),'Struktur Aktuell'!$D60,INDIRECT(Y$4))+SUMIF(INDIRECT(Y$3),'Struktur Aktuell'!$D60,INDIRECT(Y$5)))</f>
        <v>0</v>
      </c>
      <c r="Z60" s="593">
        <f ca="1">$E60*(-SUMIF(INDIRECT(Z$3),'Struktur Aktuell'!$D60,INDIRECT(Z$4))+SUMIF(INDIRECT(Z$3),'Struktur Aktuell'!$D60,INDIRECT(Z$5)))</f>
        <v>0</v>
      </c>
      <c r="AA60" s="593">
        <f ca="1">$E60*(-SUMIF(INDIRECT(AA$3),'Struktur Aktuell'!$D60,INDIRECT(AA$4))+SUMIF(INDIRECT(AA$3),'Struktur Aktuell'!$D60,INDIRECT(AA$5)))</f>
        <v>0</v>
      </c>
      <c r="AB60" s="593">
        <f ca="1">$E60*(-SUMIF(INDIRECT(AB$3),'Struktur Aktuell'!$D60,INDIRECT(AB$4))+SUMIF(INDIRECT(AB$3),'Struktur Aktuell'!$D60,INDIRECT(AB$5)))</f>
        <v>0</v>
      </c>
      <c r="AC60" s="593">
        <f ca="1">$E60*(-SUMIF(INDIRECT(AC$3),'Struktur Aktuell'!$D60,INDIRECT(AC$4))+SUMIF(INDIRECT(AC$3),'Struktur Aktuell'!$D60,INDIRECT(AC$5)))</f>
        <v>0</v>
      </c>
      <c r="AD60" s="593">
        <f ca="1">$E60*(-SUMIF(INDIRECT(AD$3),'Struktur Aktuell'!$D60,INDIRECT(AD$4))+SUMIF(INDIRECT(AD$3),'Struktur Aktuell'!$D60,INDIRECT(AD$5)))</f>
        <v>0</v>
      </c>
      <c r="AE60" s="593">
        <f t="shared" ca="1" si="65"/>
        <v>0</v>
      </c>
      <c r="AF60" s="593">
        <f t="shared" ca="1" si="66"/>
        <v>0</v>
      </c>
      <c r="AG60" s="593">
        <f t="shared" ca="1" si="67"/>
        <v>0</v>
      </c>
      <c r="AH60" s="593">
        <f t="shared" ca="1" si="68"/>
        <v>0</v>
      </c>
      <c r="AI60" s="593">
        <f t="shared" ca="1" si="69"/>
        <v>0</v>
      </c>
      <c r="AJ60" s="593">
        <f t="shared" ca="1" si="70"/>
        <v>0</v>
      </c>
      <c r="AK60" s="593">
        <f t="shared" ca="1" si="71"/>
        <v>0</v>
      </c>
      <c r="AL60" s="593">
        <f t="shared" ca="1" si="72"/>
        <v>0</v>
      </c>
      <c r="AM60" s="593">
        <f t="shared" ca="1" si="73"/>
        <v>0</v>
      </c>
      <c r="AN60" s="593">
        <f t="shared" ca="1" si="74"/>
        <v>0</v>
      </c>
      <c r="AO60" s="593">
        <f t="shared" ca="1" si="75"/>
        <v>0</v>
      </c>
      <c r="AP60" s="593">
        <f t="shared" ca="1" si="76"/>
        <v>0</v>
      </c>
    </row>
    <row r="61" spans="1:42" s="594" customFormat="1" ht="11.25" outlineLevel="1" x14ac:dyDescent="0.2">
      <c r="A61" s="599"/>
      <c r="B61" s="591" t="str">
        <f>IF(D61&lt;&gt;"",
IF(ISERROR(MATCH(D61,'Ist Aktuell Monat 01'!A:A,0))=FALSE,INDEX('Ist Aktuell Monat 01'!B:B,MATCH(D61,'Ist Aktuell Monat 01'!A:A,0)),
IF(ISERROR(MATCH(D61,'Ist Aktuell Monat 02'!A:A,0))=FALSE,INDEX('Ist Aktuell Monat 02'!B:B,MATCH(D61,'Ist Aktuell Monat 02'!A:A,0)),
IF(ISERROR(MATCH(D61,'Ist Aktuell Monat 03'!A:A,0))=FALSE,INDEX('Ist Aktuell Monat 03'!B:B,MATCH(D61,'Ist Aktuell Monat 03'!A:A,0)),
IF(ISERROR(MATCH(D61,'Ist Aktuell Monat 04'!A:A,0))=FALSE,INDEX('Ist Aktuell Monat 04'!B:B,MATCH(D61,'Ist Aktuell Monat 04'!A:A,0)),
IF(ISERROR(MATCH(D61,'Ist Aktuell Monat 05'!A:A,0))=FALSE,INDEX('Ist Aktuell Monat 05'!B:B,MATCH(D61,'Ist Aktuell Monat 05'!A:A,0)),
IF(ISERROR(MATCH(D61,'Ist Aktuell Monat 06'!A:A,0))=FALSE,INDEX('Ist Aktuell Monat 06'!B:B,MATCH(D61,'Ist Aktuell Monat 06'!A:A,0)),
IF(ISERROR(MATCH(D61,'Ist Aktuell Monat 07'!A:A,0))=FALSE,INDEX('Ist Aktuell Monat 07'!B:B,MATCH(D61,'Ist Aktuell Monat 07'!A:A,0)),
IF(ISERROR(MATCH(D61,'Ist Aktuell Monat 08'!A:A,0))=FALSE,INDEX('Ist Aktuell Monat 08'!B:B,MATCH(D61,'Ist Aktuell Monat 08'!A:A,0)),
IF(ISERROR(MATCH(D61,'Ist Aktuell Monat 09'!A:A,0))=FALSE,INDEX('Ist Aktuell Monat 09'!B:B,MATCH(D61,'Ist Aktuell Monat 09'!A:A,0)),
IF(ISERROR(MATCH(D61,'Ist Aktuell Monat 10'!A:A,0))=FALSE,INDEX('Ist Aktuell Monat 10'!B:B,MATCH(D61,'Ist Aktuell Monat 10'!A:A,0)),
IF(ISERROR(MATCH(D61,'Ist Aktuell Monat 11'!A:A,0))=FALSE,INDEX('Ist Aktuell Monat 11'!B:B,MATCH(D61,'Ist Aktuell Monat 11'!A:A,0)),
IF(ISERROR(MATCH(D61,'Ist Aktuell Monat 12'!A:A,0))=FALSE,INDEX('Ist Aktuell Monat 12'!B:B,MATCH(D61,'Ist Aktuell Monat 12'!A:A,0)),
"{Konto unbekannt}"
)))))))))))),"")</f>
        <v/>
      </c>
      <c r="C61" s="591"/>
      <c r="D61" s="590"/>
      <c r="E61" s="592">
        <f>IF(F61="-",-1,1)</f>
        <v>1</v>
      </c>
      <c r="F61" s="599"/>
      <c r="G61" s="593">
        <f ca="1">$E61*(-SUMIF(INDIRECT(G$3),'Struktur Aktuell'!$D61,INDIRECT(G$4))+SUMIF(INDIRECT(G$3),'Struktur Aktuell'!$D61,INDIRECT(G$5)))</f>
        <v>0</v>
      </c>
      <c r="H61" s="593">
        <f ca="1">$E61*(-SUMIF(INDIRECT(H$3),'Struktur Aktuell'!$D61,INDIRECT(H$4))+SUMIF(INDIRECT(H$3),'Struktur Aktuell'!$D61,INDIRECT(H$5)))</f>
        <v>0</v>
      </c>
      <c r="I61" s="593">
        <f ca="1">$E61*(-SUMIF(INDIRECT(I$3),'Struktur Aktuell'!$D61,INDIRECT(I$4))+SUMIF(INDIRECT(I$3),'Struktur Aktuell'!$D61,INDIRECT(I$5)))</f>
        <v>0</v>
      </c>
      <c r="J61" s="593">
        <f ca="1">$E61*(-SUMIF(INDIRECT(J$3),'Struktur Aktuell'!$D61,INDIRECT(J$4))+SUMIF(INDIRECT(J$3),'Struktur Aktuell'!$D61,INDIRECT(J$5)))</f>
        <v>0</v>
      </c>
      <c r="K61" s="593">
        <f ca="1">$E61*(-SUMIF(INDIRECT(K$3),'Struktur Aktuell'!$D61,INDIRECT(K$4))+SUMIF(INDIRECT(K$3),'Struktur Aktuell'!$D61,INDIRECT(K$5)))</f>
        <v>0</v>
      </c>
      <c r="L61" s="593">
        <f ca="1">$E61*(-SUMIF(INDIRECT(L$3),'Struktur Aktuell'!$D61,INDIRECT(L$4))+SUMIF(INDIRECT(L$3),'Struktur Aktuell'!$D61,INDIRECT(L$5)))</f>
        <v>0</v>
      </c>
      <c r="M61" s="593">
        <f ca="1">$E61*(-SUMIF(INDIRECT(M$3),'Struktur Aktuell'!$D61,INDIRECT(M$4))+SUMIF(INDIRECT(M$3),'Struktur Aktuell'!$D61,INDIRECT(M$5)))</f>
        <v>0</v>
      </c>
      <c r="N61" s="593">
        <f ca="1">$E61*(-SUMIF(INDIRECT(N$3),'Struktur Aktuell'!$D61,INDIRECT(N$4))+SUMIF(INDIRECT(N$3),'Struktur Aktuell'!$D61,INDIRECT(N$5)))</f>
        <v>0</v>
      </c>
      <c r="O61" s="593">
        <f ca="1">$E61*(-SUMIF(INDIRECT(O$3),'Struktur Aktuell'!$D61,INDIRECT(O$4))+SUMIF(INDIRECT(O$3),'Struktur Aktuell'!$D61,INDIRECT(O$5)))</f>
        <v>0</v>
      </c>
      <c r="P61" s="593">
        <f ca="1">$E61*(-SUMIF(INDIRECT(P$3),'Struktur Aktuell'!$D61,INDIRECT(P$4))+SUMIF(INDIRECT(P$3),'Struktur Aktuell'!$D61,INDIRECT(P$5)))</f>
        <v>0</v>
      </c>
      <c r="Q61" s="593">
        <f ca="1">$E61*(-SUMIF(INDIRECT(Q$3),'Struktur Aktuell'!$D61,INDIRECT(Q$4))+SUMIF(INDIRECT(Q$3),'Struktur Aktuell'!$D61,INDIRECT(Q$5)))</f>
        <v>0</v>
      </c>
      <c r="R61" s="593">
        <f ca="1">$E61*(-SUMIF(INDIRECT(R$3),'Struktur Aktuell'!$D61,INDIRECT(R$4))+SUMIF(INDIRECT(R$3),'Struktur Aktuell'!$D61,INDIRECT(R$5)))</f>
        <v>0</v>
      </c>
      <c r="S61" s="593">
        <f ca="1">$E61*(-SUMIF(INDIRECT(S$3),'Struktur Aktuell'!$D61,INDIRECT(S$4))+SUMIF(INDIRECT(S$3),'Struktur Aktuell'!$D61,INDIRECT(S$5)))</f>
        <v>0</v>
      </c>
      <c r="T61" s="593">
        <f ca="1">$E61*(-SUMIF(INDIRECT(T$3),'Struktur Aktuell'!$D61,INDIRECT(T$4))+SUMIF(INDIRECT(T$3),'Struktur Aktuell'!$D61,INDIRECT(T$5)))</f>
        <v>0</v>
      </c>
      <c r="U61" s="593">
        <f ca="1">$E61*(-SUMIF(INDIRECT(U$3),'Struktur Aktuell'!$D61,INDIRECT(U$4))+SUMIF(INDIRECT(U$3),'Struktur Aktuell'!$D61,INDIRECT(U$5)))</f>
        <v>0</v>
      </c>
      <c r="V61" s="593">
        <f ca="1">$E61*(-SUMIF(INDIRECT(V$3),'Struktur Aktuell'!$D61,INDIRECT(V$4))+SUMIF(INDIRECT(V$3),'Struktur Aktuell'!$D61,INDIRECT(V$5)))</f>
        <v>0</v>
      </c>
      <c r="W61" s="593">
        <f ca="1">$E61*(-SUMIF(INDIRECT(W$3),'Struktur Aktuell'!$D61,INDIRECT(W$4))+SUMIF(INDIRECT(W$3),'Struktur Aktuell'!$D61,INDIRECT(W$5)))</f>
        <v>0</v>
      </c>
      <c r="X61" s="593">
        <f ca="1">$E61*(-SUMIF(INDIRECT(X$3),'Struktur Aktuell'!$D61,INDIRECT(X$4))+SUMIF(INDIRECT(X$3),'Struktur Aktuell'!$D61,INDIRECT(X$5)))</f>
        <v>0</v>
      </c>
      <c r="Y61" s="593">
        <f ca="1">$E61*(-SUMIF(INDIRECT(Y$3),'Struktur Aktuell'!$D61,INDIRECT(Y$4))+SUMIF(INDIRECT(Y$3),'Struktur Aktuell'!$D61,INDIRECT(Y$5)))</f>
        <v>0</v>
      </c>
      <c r="Z61" s="593">
        <f ca="1">$E61*(-SUMIF(INDIRECT(Z$3),'Struktur Aktuell'!$D61,INDIRECT(Z$4))+SUMIF(INDIRECT(Z$3),'Struktur Aktuell'!$D61,INDIRECT(Z$5)))</f>
        <v>0</v>
      </c>
      <c r="AA61" s="593">
        <f ca="1">$E61*(-SUMIF(INDIRECT(AA$3),'Struktur Aktuell'!$D61,INDIRECT(AA$4))+SUMIF(INDIRECT(AA$3),'Struktur Aktuell'!$D61,INDIRECT(AA$5)))</f>
        <v>0</v>
      </c>
      <c r="AB61" s="593">
        <f ca="1">$E61*(-SUMIF(INDIRECT(AB$3),'Struktur Aktuell'!$D61,INDIRECT(AB$4))+SUMIF(INDIRECT(AB$3),'Struktur Aktuell'!$D61,INDIRECT(AB$5)))</f>
        <v>0</v>
      </c>
      <c r="AC61" s="593">
        <f ca="1">$E61*(-SUMIF(INDIRECT(AC$3),'Struktur Aktuell'!$D61,INDIRECT(AC$4))+SUMIF(INDIRECT(AC$3),'Struktur Aktuell'!$D61,INDIRECT(AC$5)))</f>
        <v>0</v>
      </c>
      <c r="AD61" s="593">
        <f ca="1">$E61*(-SUMIF(INDIRECT(AD$3),'Struktur Aktuell'!$D61,INDIRECT(AD$4))+SUMIF(INDIRECT(AD$3),'Struktur Aktuell'!$D61,INDIRECT(AD$5)))</f>
        <v>0</v>
      </c>
      <c r="AE61" s="593">
        <f t="shared" ca="1" si="65"/>
        <v>0</v>
      </c>
      <c r="AF61" s="593">
        <f t="shared" ca="1" si="66"/>
        <v>0</v>
      </c>
      <c r="AG61" s="593">
        <f t="shared" ca="1" si="67"/>
        <v>0</v>
      </c>
      <c r="AH61" s="593">
        <f t="shared" ca="1" si="68"/>
        <v>0</v>
      </c>
      <c r="AI61" s="593">
        <f t="shared" ca="1" si="69"/>
        <v>0</v>
      </c>
      <c r="AJ61" s="593">
        <f t="shared" ca="1" si="70"/>
        <v>0</v>
      </c>
      <c r="AK61" s="593">
        <f t="shared" ca="1" si="71"/>
        <v>0</v>
      </c>
      <c r="AL61" s="593">
        <f t="shared" ca="1" si="72"/>
        <v>0</v>
      </c>
      <c r="AM61" s="593">
        <f t="shared" ca="1" si="73"/>
        <v>0</v>
      </c>
      <c r="AN61" s="593">
        <f t="shared" ca="1" si="74"/>
        <v>0</v>
      </c>
      <c r="AO61" s="593">
        <f t="shared" ca="1" si="75"/>
        <v>0</v>
      </c>
      <c r="AP61" s="593">
        <f t="shared" ca="1" si="76"/>
        <v>0</v>
      </c>
    </row>
    <row r="62" spans="1:42" s="594" customFormat="1" outlineLevel="1" x14ac:dyDescent="0.2">
      <c r="A62" s="585">
        <v>5</v>
      </c>
      <c r="B62" s="586" t="s">
        <v>1000</v>
      </c>
      <c r="C62" s="587">
        <f ca="1">SUM(G62:R62)</f>
        <v>0</v>
      </c>
      <c r="D62" s="587"/>
      <c r="E62" s="588">
        <f t="shared" ref="E62:E125" si="77">IF(F62="-",-1,1)</f>
        <v>1</v>
      </c>
      <c r="F62" s="585"/>
      <c r="G62" s="587">
        <f t="shared" ref="G62:R62" ca="1" si="78">SUM(G63:G70)</f>
        <v>0</v>
      </c>
      <c r="H62" s="587">
        <f ca="1">SUM(H63:H70)</f>
        <v>0</v>
      </c>
      <c r="I62" s="587">
        <f t="shared" ca="1" si="78"/>
        <v>0</v>
      </c>
      <c r="J62" s="587">
        <f t="shared" ca="1" si="78"/>
        <v>0</v>
      </c>
      <c r="K62" s="587">
        <f t="shared" ca="1" si="78"/>
        <v>0</v>
      </c>
      <c r="L62" s="587">
        <f t="shared" ca="1" si="78"/>
        <v>0</v>
      </c>
      <c r="M62" s="587">
        <f t="shared" ca="1" si="78"/>
        <v>0</v>
      </c>
      <c r="N62" s="587">
        <f t="shared" ca="1" si="78"/>
        <v>0</v>
      </c>
      <c r="O62" s="587">
        <f t="shared" ca="1" si="78"/>
        <v>0</v>
      </c>
      <c r="P62" s="587">
        <f t="shared" ca="1" si="78"/>
        <v>0</v>
      </c>
      <c r="Q62" s="587">
        <f t="shared" ca="1" si="78"/>
        <v>0</v>
      </c>
      <c r="R62" s="587">
        <f t="shared" ca="1" si="78"/>
        <v>0</v>
      </c>
      <c r="S62" s="587">
        <f ca="1">SUM(S63:S70)</f>
        <v>0</v>
      </c>
      <c r="T62" s="587">
        <f ca="1">SUM(T63:T70)</f>
        <v>0</v>
      </c>
      <c r="U62" s="587">
        <f t="shared" ref="U62:AE62" ca="1" si="79">SUM(U63:U70)</f>
        <v>0</v>
      </c>
      <c r="V62" s="587">
        <f t="shared" ca="1" si="79"/>
        <v>0</v>
      </c>
      <c r="W62" s="587">
        <f t="shared" ca="1" si="79"/>
        <v>0</v>
      </c>
      <c r="X62" s="587">
        <f t="shared" ca="1" si="79"/>
        <v>0</v>
      </c>
      <c r="Y62" s="587">
        <f t="shared" ca="1" si="79"/>
        <v>0</v>
      </c>
      <c r="Z62" s="587">
        <f t="shared" ca="1" si="79"/>
        <v>0</v>
      </c>
      <c r="AA62" s="587">
        <f t="shared" ca="1" si="79"/>
        <v>0</v>
      </c>
      <c r="AB62" s="587">
        <f t="shared" ca="1" si="79"/>
        <v>0</v>
      </c>
      <c r="AC62" s="587">
        <f t="shared" ca="1" si="79"/>
        <v>0</v>
      </c>
      <c r="AD62" s="587">
        <f t="shared" ca="1" si="79"/>
        <v>0</v>
      </c>
      <c r="AE62" s="587">
        <f t="shared" ca="1" si="79"/>
        <v>0</v>
      </c>
      <c r="AF62" s="587">
        <f ca="1">SUM(AF63:AF70)</f>
        <v>0</v>
      </c>
      <c r="AG62" s="587">
        <f t="shared" ref="AG62:AP62" ca="1" si="80">SUM(AG63:AG70)</f>
        <v>0</v>
      </c>
      <c r="AH62" s="587">
        <f t="shared" ca="1" si="80"/>
        <v>0</v>
      </c>
      <c r="AI62" s="587">
        <f t="shared" ca="1" si="80"/>
        <v>0</v>
      </c>
      <c r="AJ62" s="587">
        <f t="shared" ca="1" si="80"/>
        <v>0</v>
      </c>
      <c r="AK62" s="587">
        <f t="shared" ca="1" si="80"/>
        <v>0</v>
      </c>
      <c r="AL62" s="587">
        <f t="shared" ca="1" si="80"/>
        <v>0</v>
      </c>
      <c r="AM62" s="587">
        <f t="shared" ca="1" si="80"/>
        <v>0</v>
      </c>
      <c r="AN62" s="587">
        <f t="shared" ca="1" si="80"/>
        <v>0</v>
      </c>
      <c r="AO62" s="587">
        <f t="shared" ca="1" si="80"/>
        <v>0</v>
      </c>
      <c r="AP62" s="587">
        <f t="shared" ca="1" si="80"/>
        <v>0</v>
      </c>
    </row>
    <row r="63" spans="1:42" s="594" customFormat="1" ht="11.25" outlineLevel="1" x14ac:dyDescent="0.2">
      <c r="A63" s="599"/>
      <c r="B63" s="591" t="str">
        <f>IF(D63&lt;&gt;"",
IF(ISERROR(MATCH(D63,'Ist Aktuell Monat 01'!A:A,0))=FALSE,INDEX('Ist Aktuell Monat 01'!B:B,MATCH(D63,'Ist Aktuell Monat 01'!A:A,0)),
IF(ISERROR(MATCH(D63,'Ist Aktuell Monat 02'!A:A,0))=FALSE,INDEX('Ist Aktuell Monat 02'!B:B,MATCH(D63,'Ist Aktuell Monat 02'!A:A,0)),
IF(ISERROR(MATCH(D63,'Ist Aktuell Monat 03'!A:A,0))=FALSE,INDEX('Ist Aktuell Monat 03'!B:B,MATCH(D63,'Ist Aktuell Monat 03'!A:A,0)),
IF(ISERROR(MATCH(D63,'Ist Aktuell Monat 04'!A:A,0))=FALSE,INDEX('Ist Aktuell Monat 04'!B:B,MATCH(D63,'Ist Aktuell Monat 04'!A:A,0)),
IF(ISERROR(MATCH(D63,'Ist Aktuell Monat 05'!A:A,0))=FALSE,INDEX('Ist Aktuell Monat 05'!B:B,MATCH(D63,'Ist Aktuell Monat 05'!A:A,0)),
IF(ISERROR(MATCH(D63,'Ist Aktuell Monat 06'!A:A,0))=FALSE,INDEX('Ist Aktuell Monat 06'!B:B,MATCH(D63,'Ist Aktuell Monat 06'!A:A,0)),
IF(ISERROR(MATCH(D63,'Ist Aktuell Monat 07'!A:A,0))=FALSE,INDEX('Ist Aktuell Monat 07'!B:B,MATCH(D63,'Ist Aktuell Monat 07'!A:A,0)),
IF(ISERROR(MATCH(D63,'Ist Aktuell Monat 08'!A:A,0))=FALSE,INDEX('Ist Aktuell Monat 08'!B:B,MATCH(D63,'Ist Aktuell Monat 08'!A:A,0)),
IF(ISERROR(MATCH(D63,'Ist Aktuell Monat 09'!A:A,0))=FALSE,INDEX('Ist Aktuell Monat 09'!B:B,MATCH(D63,'Ist Aktuell Monat 09'!A:A,0)),
IF(ISERROR(MATCH(D63,'Ist Aktuell Monat 10'!A:A,0))=FALSE,INDEX('Ist Aktuell Monat 10'!B:B,MATCH(D63,'Ist Aktuell Monat 10'!A:A,0)),
IF(ISERROR(MATCH(D63,'Ist Aktuell Monat 11'!A:A,0))=FALSE,INDEX('Ist Aktuell Monat 11'!B:B,MATCH(D63,'Ist Aktuell Monat 11'!A:A,0)),
IF(ISERROR(MATCH(D63,'Ist Aktuell Monat 12'!A:A,0))=FALSE,INDEX('Ist Aktuell Monat 12'!B:B,MATCH(D63,'Ist Aktuell Monat 12'!A:A,0)),
"{Konto unbekannt}"
)))))))))))),"")</f>
        <v/>
      </c>
      <c r="C63" s="591"/>
      <c r="D63" s="590"/>
      <c r="E63" s="592">
        <f t="shared" si="77"/>
        <v>1</v>
      </c>
      <c r="F63" s="599"/>
      <c r="G63" s="593">
        <f ca="1">$E63*(-SUMIF(INDIRECT(G$3),'Struktur Aktuell'!$D63,INDIRECT(G$4))+SUMIF(INDIRECT(G$3),'Struktur Aktuell'!$D63,INDIRECT(G$5)))</f>
        <v>0</v>
      </c>
      <c r="H63" s="593">
        <f ca="1">$E63*(-SUMIF(INDIRECT(H$3),'Struktur Aktuell'!$D63,INDIRECT(H$4))+SUMIF(INDIRECT(H$3),'Struktur Aktuell'!$D63,INDIRECT(H$5)))</f>
        <v>0</v>
      </c>
      <c r="I63" s="593">
        <f ca="1">$E63*(-SUMIF(INDIRECT(I$3),'Struktur Aktuell'!$D63,INDIRECT(I$4))+SUMIF(INDIRECT(I$3),'Struktur Aktuell'!$D63,INDIRECT(I$5)))</f>
        <v>0</v>
      </c>
      <c r="J63" s="593">
        <f ca="1">$E63*(-SUMIF(INDIRECT(J$3),'Struktur Aktuell'!$D63,INDIRECT(J$4))+SUMIF(INDIRECT(J$3),'Struktur Aktuell'!$D63,INDIRECT(J$5)))</f>
        <v>0</v>
      </c>
      <c r="K63" s="593">
        <f ca="1">$E63*(-SUMIF(INDIRECT(K$3),'Struktur Aktuell'!$D63,INDIRECT(K$4))+SUMIF(INDIRECT(K$3),'Struktur Aktuell'!$D63,INDIRECT(K$5)))</f>
        <v>0</v>
      </c>
      <c r="L63" s="593">
        <f ca="1">$E63*(-SUMIF(INDIRECT(L$3),'Struktur Aktuell'!$D63,INDIRECT(L$4))+SUMIF(INDIRECT(L$3),'Struktur Aktuell'!$D63,INDIRECT(L$5)))</f>
        <v>0</v>
      </c>
      <c r="M63" s="593">
        <f ca="1">$E63*(-SUMIF(INDIRECT(M$3),'Struktur Aktuell'!$D63,INDIRECT(M$4))+SUMIF(INDIRECT(M$3),'Struktur Aktuell'!$D63,INDIRECT(M$5)))</f>
        <v>0</v>
      </c>
      <c r="N63" s="593">
        <f ca="1">$E63*(-SUMIF(INDIRECT(N$3),'Struktur Aktuell'!$D63,INDIRECT(N$4))+SUMIF(INDIRECT(N$3),'Struktur Aktuell'!$D63,INDIRECT(N$5)))</f>
        <v>0</v>
      </c>
      <c r="O63" s="593">
        <f ca="1">$E63*(-SUMIF(INDIRECT(O$3),'Struktur Aktuell'!$D63,INDIRECT(O$4))+SUMIF(INDIRECT(O$3),'Struktur Aktuell'!$D63,INDIRECT(O$5)))</f>
        <v>0</v>
      </c>
      <c r="P63" s="593">
        <f ca="1">$E63*(-SUMIF(INDIRECT(P$3),'Struktur Aktuell'!$D63,INDIRECT(P$4))+SUMIF(INDIRECT(P$3),'Struktur Aktuell'!$D63,INDIRECT(P$5)))</f>
        <v>0</v>
      </c>
      <c r="Q63" s="593">
        <f ca="1">$E63*(-SUMIF(INDIRECT(Q$3),'Struktur Aktuell'!$D63,INDIRECT(Q$4))+SUMIF(INDIRECT(Q$3),'Struktur Aktuell'!$D63,INDIRECT(Q$5)))</f>
        <v>0</v>
      </c>
      <c r="R63" s="593">
        <f ca="1">$E63*(-SUMIF(INDIRECT(R$3),'Struktur Aktuell'!$D63,INDIRECT(R$4))+SUMIF(INDIRECT(R$3),'Struktur Aktuell'!$D63,INDIRECT(R$5)))</f>
        <v>0</v>
      </c>
      <c r="S63" s="593">
        <f ca="1">$E63*(-SUMIF(INDIRECT(S$3),'Struktur Aktuell'!$D63,INDIRECT(S$4))+SUMIF(INDIRECT(S$3),'Struktur Aktuell'!$D63,INDIRECT(S$5)))</f>
        <v>0</v>
      </c>
      <c r="T63" s="593">
        <f ca="1">$E63*(-SUMIF(INDIRECT(T$3),'Struktur Aktuell'!$D63,INDIRECT(T$4))+SUMIF(INDIRECT(T$3),'Struktur Aktuell'!$D63,INDIRECT(T$5)))</f>
        <v>0</v>
      </c>
      <c r="U63" s="593">
        <f ca="1">$E63*(-SUMIF(INDIRECT(U$3),'Struktur Aktuell'!$D63,INDIRECT(U$4))+SUMIF(INDIRECT(U$3),'Struktur Aktuell'!$D63,INDIRECT(U$5)))</f>
        <v>0</v>
      </c>
      <c r="V63" s="593">
        <f ca="1">$E63*(-SUMIF(INDIRECT(V$3),'Struktur Aktuell'!$D63,INDIRECT(V$4))+SUMIF(INDIRECT(V$3),'Struktur Aktuell'!$D63,INDIRECT(V$5)))</f>
        <v>0</v>
      </c>
      <c r="W63" s="593">
        <f ca="1">$E63*(-SUMIF(INDIRECT(W$3),'Struktur Aktuell'!$D63,INDIRECT(W$4))+SUMIF(INDIRECT(W$3),'Struktur Aktuell'!$D63,INDIRECT(W$5)))</f>
        <v>0</v>
      </c>
      <c r="X63" s="593">
        <f ca="1">$E63*(-SUMIF(INDIRECT(X$3),'Struktur Aktuell'!$D63,INDIRECT(X$4))+SUMIF(INDIRECT(X$3),'Struktur Aktuell'!$D63,INDIRECT(X$5)))</f>
        <v>0</v>
      </c>
      <c r="Y63" s="593">
        <f ca="1">$E63*(-SUMIF(INDIRECT(Y$3),'Struktur Aktuell'!$D63,INDIRECT(Y$4))+SUMIF(INDIRECT(Y$3),'Struktur Aktuell'!$D63,INDIRECT(Y$5)))</f>
        <v>0</v>
      </c>
      <c r="Z63" s="593">
        <f ca="1">$E63*(-SUMIF(INDIRECT(Z$3),'Struktur Aktuell'!$D63,INDIRECT(Z$4))+SUMIF(INDIRECT(Z$3),'Struktur Aktuell'!$D63,INDIRECT(Z$5)))</f>
        <v>0</v>
      </c>
      <c r="AA63" s="593">
        <f ca="1">$E63*(-SUMIF(INDIRECT(AA$3),'Struktur Aktuell'!$D63,INDIRECT(AA$4))+SUMIF(INDIRECT(AA$3),'Struktur Aktuell'!$D63,INDIRECT(AA$5)))</f>
        <v>0</v>
      </c>
      <c r="AB63" s="593">
        <f ca="1">$E63*(-SUMIF(INDIRECT(AB$3),'Struktur Aktuell'!$D63,INDIRECT(AB$4))+SUMIF(INDIRECT(AB$3),'Struktur Aktuell'!$D63,INDIRECT(AB$5)))</f>
        <v>0</v>
      </c>
      <c r="AC63" s="593">
        <f ca="1">$E63*(-SUMIF(INDIRECT(AC$3),'Struktur Aktuell'!$D63,INDIRECT(AC$4))+SUMIF(INDIRECT(AC$3),'Struktur Aktuell'!$D63,INDIRECT(AC$5)))</f>
        <v>0</v>
      </c>
      <c r="AD63" s="593">
        <f ca="1">$E63*(-SUMIF(INDIRECT(AD$3),'Struktur Aktuell'!$D63,INDIRECT(AD$4))+SUMIF(INDIRECT(AD$3),'Struktur Aktuell'!$D63,INDIRECT(AD$5)))</f>
        <v>0</v>
      </c>
      <c r="AE63" s="593">
        <f t="shared" ref="AE63:AE70" ca="1" si="81">G63</f>
        <v>0</v>
      </c>
      <c r="AF63" s="593">
        <f t="shared" ref="AF63:AF70" ca="1" si="82">H63+AE63</f>
        <v>0</v>
      </c>
      <c r="AG63" s="593">
        <f t="shared" ref="AG63:AG70" ca="1" si="83">I63+AF63</f>
        <v>0</v>
      </c>
      <c r="AH63" s="593">
        <f t="shared" ref="AH63:AH70" ca="1" si="84">J63+AG63</f>
        <v>0</v>
      </c>
      <c r="AI63" s="593">
        <f t="shared" ref="AI63:AI70" ca="1" si="85">K63+AH63</f>
        <v>0</v>
      </c>
      <c r="AJ63" s="593">
        <f t="shared" ref="AJ63:AJ70" ca="1" si="86">L63+AI63</f>
        <v>0</v>
      </c>
      <c r="AK63" s="593">
        <f t="shared" ref="AK63:AK70" ca="1" si="87">M63+AJ63</f>
        <v>0</v>
      </c>
      <c r="AL63" s="593">
        <f t="shared" ref="AL63:AL70" ca="1" si="88">N63+AK63</f>
        <v>0</v>
      </c>
      <c r="AM63" s="593">
        <f t="shared" ref="AM63:AM70" ca="1" si="89">O63+AL63</f>
        <v>0</v>
      </c>
      <c r="AN63" s="593">
        <f t="shared" ref="AN63:AN70" ca="1" si="90">P63+AM63</f>
        <v>0</v>
      </c>
      <c r="AO63" s="593">
        <f t="shared" ref="AO63:AO70" ca="1" si="91">Q63+AN63</f>
        <v>0</v>
      </c>
      <c r="AP63" s="593">
        <f t="shared" ref="AP63:AP70" ca="1" si="92">R63+AO63</f>
        <v>0</v>
      </c>
    </row>
    <row r="64" spans="1:42" s="594" customFormat="1" ht="11.25" outlineLevel="1" x14ac:dyDescent="0.2">
      <c r="A64" s="599"/>
      <c r="B64" s="591" t="str">
        <f>IF(D64&lt;&gt;"",
IF(ISERROR(MATCH(D64,'Ist Aktuell Monat 01'!A:A,0))=FALSE,INDEX('Ist Aktuell Monat 01'!B:B,MATCH(D64,'Ist Aktuell Monat 01'!A:A,0)),
IF(ISERROR(MATCH(D64,'Ist Aktuell Monat 02'!A:A,0))=FALSE,INDEX('Ist Aktuell Monat 02'!B:B,MATCH(D64,'Ist Aktuell Monat 02'!A:A,0)),
IF(ISERROR(MATCH(D64,'Ist Aktuell Monat 03'!A:A,0))=FALSE,INDEX('Ist Aktuell Monat 03'!B:B,MATCH(D64,'Ist Aktuell Monat 03'!A:A,0)),
IF(ISERROR(MATCH(D64,'Ist Aktuell Monat 04'!A:A,0))=FALSE,INDEX('Ist Aktuell Monat 04'!B:B,MATCH(D64,'Ist Aktuell Monat 04'!A:A,0)),
IF(ISERROR(MATCH(D64,'Ist Aktuell Monat 05'!A:A,0))=FALSE,INDEX('Ist Aktuell Monat 05'!B:B,MATCH(D64,'Ist Aktuell Monat 05'!A:A,0)),
IF(ISERROR(MATCH(D64,'Ist Aktuell Monat 06'!A:A,0))=FALSE,INDEX('Ist Aktuell Monat 06'!B:B,MATCH(D64,'Ist Aktuell Monat 06'!A:A,0)),
IF(ISERROR(MATCH(D64,'Ist Aktuell Monat 07'!A:A,0))=FALSE,INDEX('Ist Aktuell Monat 07'!B:B,MATCH(D64,'Ist Aktuell Monat 07'!A:A,0)),
IF(ISERROR(MATCH(D64,'Ist Aktuell Monat 08'!A:A,0))=FALSE,INDEX('Ist Aktuell Monat 08'!B:B,MATCH(D64,'Ist Aktuell Monat 08'!A:A,0)),
IF(ISERROR(MATCH(D64,'Ist Aktuell Monat 09'!A:A,0))=FALSE,INDEX('Ist Aktuell Monat 09'!B:B,MATCH(D64,'Ist Aktuell Monat 09'!A:A,0)),
IF(ISERROR(MATCH(D64,'Ist Aktuell Monat 10'!A:A,0))=FALSE,INDEX('Ist Aktuell Monat 10'!B:B,MATCH(D64,'Ist Aktuell Monat 10'!A:A,0)),
IF(ISERROR(MATCH(D64,'Ist Aktuell Monat 11'!A:A,0))=FALSE,INDEX('Ist Aktuell Monat 11'!B:B,MATCH(D64,'Ist Aktuell Monat 11'!A:A,0)),
IF(ISERROR(MATCH(D64,'Ist Aktuell Monat 12'!A:A,0))=FALSE,INDEX('Ist Aktuell Monat 12'!B:B,MATCH(D64,'Ist Aktuell Monat 12'!A:A,0)),
"{Konto unbekannt}"
)))))))))))),"")</f>
        <v/>
      </c>
      <c r="C64" s="591"/>
      <c r="D64" s="590"/>
      <c r="E64" s="592">
        <f t="shared" si="77"/>
        <v>1</v>
      </c>
      <c r="F64" s="599"/>
      <c r="G64" s="593">
        <f ca="1">$E64*(-SUMIF(INDIRECT(G$3),'Struktur Aktuell'!$D64,INDIRECT(G$4))+SUMIF(INDIRECT(G$3),'Struktur Aktuell'!$D64,INDIRECT(G$5)))</f>
        <v>0</v>
      </c>
      <c r="H64" s="593">
        <f ca="1">$E64*(-SUMIF(INDIRECT(H$3),'Struktur Aktuell'!$D64,INDIRECT(H$4))+SUMIF(INDIRECT(H$3),'Struktur Aktuell'!$D64,INDIRECT(H$5)))</f>
        <v>0</v>
      </c>
      <c r="I64" s="593">
        <f ca="1">$E64*(-SUMIF(INDIRECT(I$3),'Struktur Aktuell'!$D64,INDIRECT(I$4))+SUMIF(INDIRECT(I$3),'Struktur Aktuell'!$D64,INDIRECT(I$5)))</f>
        <v>0</v>
      </c>
      <c r="J64" s="593">
        <f ca="1">$E64*(-SUMIF(INDIRECT(J$3),'Struktur Aktuell'!$D64,INDIRECT(J$4))+SUMIF(INDIRECT(J$3),'Struktur Aktuell'!$D64,INDIRECT(J$5)))</f>
        <v>0</v>
      </c>
      <c r="K64" s="593">
        <f ca="1">$E64*(-SUMIF(INDIRECT(K$3),'Struktur Aktuell'!$D64,INDIRECT(K$4))+SUMIF(INDIRECT(K$3),'Struktur Aktuell'!$D64,INDIRECT(K$5)))</f>
        <v>0</v>
      </c>
      <c r="L64" s="593">
        <f ca="1">$E64*(-SUMIF(INDIRECT(L$3),'Struktur Aktuell'!$D64,INDIRECT(L$4))+SUMIF(INDIRECT(L$3),'Struktur Aktuell'!$D64,INDIRECT(L$5)))</f>
        <v>0</v>
      </c>
      <c r="M64" s="593">
        <f ca="1">$E64*(-SUMIF(INDIRECT(M$3),'Struktur Aktuell'!$D64,INDIRECT(M$4))+SUMIF(INDIRECT(M$3),'Struktur Aktuell'!$D64,INDIRECT(M$5)))</f>
        <v>0</v>
      </c>
      <c r="N64" s="593">
        <f ca="1">$E64*(-SUMIF(INDIRECT(N$3),'Struktur Aktuell'!$D64,INDIRECT(N$4))+SUMIF(INDIRECT(N$3),'Struktur Aktuell'!$D64,INDIRECT(N$5)))</f>
        <v>0</v>
      </c>
      <c r="O64" s="593">
        <f ca="1">$E64*(-SUMIF(INDIRECT(O$3),'Struktur Aktuell'!$D64,INDIRECT(O$4))+SUMIF(INDIRECT(O$3),'Struktur Aktuell'!$D64,INDIRECT(O$5)))</f>
        <v>0</v>
      </c>
      <c r="P64" s="593">
        <f ca="1">$E64*(-SUMIF(INDIRECT(P$3),'Struktur Aktuell'!$D64,INDIRECT(P$4))+SUMIF(INDIRECT(P$3),'Struktur Aktuell'!$D64,INDIRECT(P$5)))</f>
        <v>0</v>
      </c>
      <c r="Q64" s="593">
        <f ca="1">$E64*(-SUMIF(INDIRECT(Q$3),'Struktur Aktuell'!$D64,INDIRECT(Q$4))+SUMIF(INDIRECT(Q$3),'Struktur Aktuell'!$D64,INDIRECT(Q$5)))</f>
        <v>0</v>
      </c>
      <c r="R64" s="593">
        <f ca="1">$E64*(-SUMIF(INDIRECT(R$3),'Struktur Aktuell'!$D64,INDIRECT(R$4))+SUMIF(INDIRECT(R$3),'Struktur Aktuell'!$D64,INDIRECT(R$5)))</f>
        <v>0</v>
      </c>
      <c r="S64" s="593">
        <f ca="1">$E64*(-SUMIF(INDIRECT(S$3),'Struktur Aktuell'!$D64,INDIRECT(S$4))+SUMIF(INDIRECT(S$3),'Struktur Aktuell'!$D64,INDIRECT(S$5)))</f>
        <v>0</v>
      </c>
      <c r="T64" s="593">
        <f ca="1">$E64*(-SUMIF(INDIRECT(T$3),'Struktur Aktuell'!$D64,INDIRECT(T$4))+SUMIF(INDIRECT(T$3),'Struktur Aktuell'!$D64,INDIRECT(T$5)))</f>
        <v>0</v>
      </c>
      <c r="U64" s="593">
        <f ca="1">$E64*(-SUMIF(INDIRECT(U$3),'Struktur Aktuell'!$D64,INDIRECT(U$4))+SUMIF(INDIRECT(U$3),'Struktur Aktuell'!$D64,INDIRECT(U$5)))</f>
        <v>0</v>
      </c>
      <c r="V64" s="593">
        <f ca="1">$E64*(-SUMIF(INDIRECT(V$3),'Struktur Aktuell'!$D64,INDIRECT(V$4))+SUMIF(INDIRECT(V$3),'Struktur Aktuell'!$D64,INDIRECT(V$5)))</f>
        <v>0</v>
      </c>
      <c r="W64" s="593">
        <f ca="1">$E64*(-SUMIF(INDIRECT(W$3),'Struktur Aktuell'!$D64,INDIRECT(W$4))+SUMIF(INDIRECT(W$3),'Struktur Aktuell'!$D64,INDIRECT(W$5)))</f>
        <v>0</v>
      </c>
      <c r="X64" s="593">
        <f ca="1">$E64*(-SUMIF(INDIRECT(X$3),'Struktur Aktuell'!$D64,INDIRECT(X$4))+SUMIF(INDIRECT(X$3),'Struktur Aktuell'!$D64,INDIRECT(X$5)))</f>
        <v>0</v>
      </c>
      <c r="Y64" s="593">
        <f ca="1">$E64*(-SUMIF(INDIRECT(Y$3),'Struktur Aktuell'!$D64,INDIRECT(Y$4))+SUMIF(INDIRECT(Y$3),'Struktur Aktuell'!$D64,INDIRECT(Y$5)))</f>
        <v>0</v>
      </c>
      <c r="Z64" s="593">
        <f ca="1">$E64*(-SUMIF(INDIRECT(Z$3),'Struktur Aktuell'!$D64,INDIRECT(Z$4))+SUMIF(INDIRECT(Z$3),'Struktur Aktuell'!$D64,INDIRECT(Z$5)))</f>
        <v>0</v>
      </c>
      <c r="AA64" s="593">
        <f ca="1">$E64*(-SUMIF(INDIRECT(AA$3),'Struktur Aktuell'!$D64,INDIRECT(AA$4))+SUMIF(INDIRECT(AA$3),'Struktur Aktuell'!$D64,INDIRECT(AA$5)))</f>
        <v>0</v>
      </c>
      <c r="AB64" s="593">
        <f ca="1">$E64*(-SUMIF(INDIRECT(AB$3),'Struktur Aktuell'!$D64,INDIRECT(AB$4))+SUMIF(INDIRECT(AB$3),'Struktur Aktuell'!$D64,INDIRECT(AB$5)))</f>
        <v>0</v>
      </c>
      <c r="AC64" s="593">
        <f ca="1">$E64*(-SUMIF(INDIRECT(AC$3),'Struktur Aktuell'!$D64,INDIRECT(AC$4))+SUMIF(INDIRECT(AC$3),'Struktur Aktuell'!$D64,INDIRECT(AC$5)))</f>
        <v>0</v>
      </c>
      <c r="AD64" s="593">
        <f ca="1">$E64*(-SUMIF(INDIRECT(AD$3),'Struktur Aktuell'!$D64,INDIRECT(AD$4))+SUMIF(INDIRECT(AD$3),'Struktur Aktuell'!$D64,INDIRECT(AD$5)))</f>
        <v>0</v>
      </c>
      <c r="AE64" s="593">
        <f t="shared" ca="1" si="81"/>
        <v>0</v>
      </c>
      <c r="AF64" s="593">
        <f t="shared" ca="1" si="82"/>
        <v>0</v>
      </c>
      <c r="AG64" s="593">
        <f t="shared" ca="1" si="83"/>
        <v>0</v>
      </c>
      <c r="AH64" s="593">
        <f t="shared" ca="1" si="84"/>
        <v>0</v>
      </c>
      <c r="AI64" s="593">
        <f t="shared" ca="1" si="85"/>
        <v>0</v>
      </c>
      <c r="AJ64" s="593">
        <f t="shared" ca="1" si="86"/>
        <v>0</v>
      </c>
      <c r="AK64" s="593">
        <f t="shared" ca="1" si="87"/>
        <v>0</v>
      </c>
      <c r="AL64" s="593">
        <f t="shared" ca="1" si="88"/>
        <v>0</v>
      </c>
      <c r="AM64" s="593">
        <f t="shared" ca="1" si="89"/>
        <v>0</v>
      </c>
      <c r="AN64" s="593">
        <f t="shared" ca="1" si="90"/>
        <v>0</v>
      </c>
      <c r="AO64" s="593">
        <f t="shared" ca="1" si="91"/>
        <v>0</v>
      </c>
      <c r="AP64" s="593">
        <f t="shared" ca="1" si="92"/>
        <v>0</v>
      </c>
    </row>
    <row r="65" spans="1:42" s="594" customFormat="1" ht="11.25" outlineLevel="1" x14ac:dyDescent="0.2">
      <c r="A65" s="599"/>
      <c r="B65" s="591" t="str">
        <f>IF(D65&lt;&gt;"",
IF(ISERROR(MATCH(D65,'Ist Aktuell Monat 01'!A:A,0))=FALSE,INDEX('Ist Aktuell Monat 01'!B:B,MATCH(D65,'Ist Aktuell Monat 01'!A:A,0)),
IF(ISERROR(MATCH(D65,'Ist Aktuell Monat 02'!A:A,0))=FALSE,INDEX('Ist Aktuell Monat 02'!B:B,MATCH(D65,'Ist Aktuell Monat 02'!A:A,0)),
IF(ISERROR(MATCH(D65,'Ist Aktuell Monat 03'!A:A,0))=FALSE,INDEX('Ist Aktuell Monat 03'!B:B,MATCH(D65,'Ist Aktuell Monat 03'!A:A,0)),
IF(ISERROR(MATCH(D65,'Ist Aktuell Monat 04'!A:A,0))=FALSE,INDEX('Ist Aktuell Monat 04'!B:B,MATCH(D65,'Ist Aktuell Monat 04'!A:A,0)),
IF(ISERROR(MATCH(D65,'Ist Aktuell Monat 05'!A:A,0))=FALSE,INDEX('Ist Aktuell Monat 05'!B:B,MATCH(D65,'Ist Aktuell Monat 05'!A:A,0)),
IF(ISERROR(MATCH(D65,'Ist Aktuell Monat 06'!A:A,0))=FALSE,INDEX('Ist Aktuell Monat 06'!B:B,MATCH(D65,'Ist Aktuell Monat 06'!A:A,0)),
IF(ISERROR(MATCH(D65,'Ist Aktuell Monat 07'!A:A,0))=FALSE,INDEX('Ist Aktuell Monat 07'!B:B,MATCH(D65,'Ist Aktuell Monat 07'!A:A,0)),
IF(ISERROR(MATCH(D65,'Ist Aktuell Monat 08'!A:A,0))=FALSE,INDEX('Ist Aktuell Monat 08'!B:B,MATCH(D65,'Ist Aktuell Monat 08'!A:A,0)),
IF(ISERROR(MATCH(D65,'Ist Aktuell Monat 09'!A:A,0))=FALSE,INDEX('Ist Aktuell Monat 09'!B:B,MATCH(D65,'Ist Aktuell Monat 09'!A:A,0)),
IF(ISERROR(MATCH(D65,'Ist Aktuell Monat 10'!A:A,0))=FALSE,INDEX('Ist Aktuell Monat 10'!B:B,MATCH(D65,'Ist Aktuell Monat 10'!A:A,0)),
IF(ISERROR(MATCH(D65,'Ist Aktuell Monat 11'!A:A,0))=FALSE,INDEX('Ist Aktuell Monat 11'!B:B,MATCH(D65,'Ist Aktuell Monat 11'!A:A,0)),
IF(ISERROR(MATCH(D65,'Ist Aktuell Monat 12'!A:A,0))=FALSE,INDEX('Ist Aktuell Monat 12'!B:B,MATCH(D65,'Ist Aktuell Monat 12'!A:A,0)),
"{Konto unbekannt}"
)))))))))))),"")</f>
        <v/>
      </c>
      <c r="C65" s="591"/>
      <c r="D65" s="590"/>
      <c r="E65" s="592">
        <f t="shared" si="77"/>
        <v>1</v>
      </c>
      <c r="F65" s="599"/>
      <c r="G65" s="593">
        <f ca="1">$E65*(-SUMIF(INDIRECT(G$3),'Struktur Aktuell'!$D65,INDIRECT(G$4))+SUMIF(INDIRECT(G$3),'Struktur Aktuell'!$D65,INDIRECT(G$5)))</f>
        <v>0</v>
      </c>
      <c r="H65" s="593">
        <f ca="1">$E65*(-SUMIF(INDIRECT(H$3),'Struktur Aktuell'!$D65,INDIRECT(H$4))+SUMIF(INDIRECT(H$3),'Struktur Aktuell'!$D65,INDIRECT(H$5)))</f>
        <v>0</v>
      </c>
      <c r="I65" s="593">
        <f ca="1">$E65*(-SUMIF(INDIRECT(I$3),'Struktur Aktuell'!$D65,INDIRECT(I$4))+SUMIF(INDIRECT(I$3),'Struktur Aktuell'!$D65,INDIRECT(I$5)))</f>
        <v>0</v>
      </c>
      <c r="J65" s="593">
        <f ca="1">$E65*(-SUMIF(INDIRECT(J$3),'Struktur Aktuell'!$D65,INDIRECT(J$4))+SUMIF(INDIRECT(J$3),'Struktur Aktuell'!$D65,INDIRECT(J$5)))</f>
        <v>0</v>
      </c>
      <c r="K65" s="593">
        <f ca="1">$E65*(-SUMIF(INDIRECT(K$3),'Struktur Aktuell'!$D65,INDIRECT(K$4))+SUMIF(INDIRECT(K$3),'Struktur Aktuell'!$D65,INDIRECT(K$5)))</f>
        <v>0</v>
      </c>
      <c r="L65" s="593">
        <f ca="1">$E65*(-SUMIF(INDIRECT(L$3),'Struktur Aktuell'!$D65,INDIRECT(L$4))+SUMIF(INDIRECT(L$3),'Struktur Aktuell'!$D65,INDIRECT(L$5)))</f>
        <v>0</v>
      </c>
      <c r="M65" s="593">
        <f ca="1">$E65*(-SUMIF(INDIRECT(M$3),'Struktur Aktuell'!$D65,INDIRECT(M$4))+SUMIF(INDIRECT(M$3),'Struktur Aktuell'!$D65,INDIRECT(M$5)))</f>
        <v>0</v>
      </c>
      <c r="N65" s="593">
        <f ca="1">$E65*(-SUMIF(INDIRECT(N$3),'Struktur Aktuell'!$D65,INDIRECT(N$4))+SUMIF(INDIRECT(N$3),'Struktur Aktuell'!$D65,INDIRECT(N$5)))</f>
        <v>0</v>
      </c>
      <c r="O65" s="593">
        <f ca="1">$E65*(-SUMIF(INDIRECT(O$3),'Struktur Aktuell'!$D65,INDIRECT(O$4))+SUMIF(INDIRECT(O$3),'Struktur Aktuell'!$D65,INDIRECT(O$5)))</f>
        <v>0</v>
      </c>
      <c r="P65" s="593">
        <f ca="1">$E65*(-SUMIF(INDIRECT(P$3),'Struktur Aktuell'!$D65,INDIRECT(P$4))+SUMIF(INDIRECT(P$3),'Struktur Aktuell'!$D65,INDIRECT(P$5)))</f>
        <v>0</v>
      </c>
      <c r="Q65" s="593">
        <f ca="1">$E65*(-SUMIF(INDIRECT(Q$3),'Struktur Aktuell'!$D65,INDIRECT(Q$4))+SUMIF(INDIRECT(Q$3),'Struktur Aktuell'!$D65,INDIRECT(Q$5)))</f>
        <v>0</v>
      </c>
      <c r="R65" s="593">
        <f ca="1">$E65*(-SUMIF(INDIRECT(R$3),'Struktur Aktuell'!$D65,INDIRECT(R$4))+SUMIF(INDIRECT(R$3),'Struktur Aktuell'!$D65,INDIRECT(R$5)))</f>
        <v>0</v>
      </c>
      <c r="S65" s="593">
        <f ca="1">$E65*(-SUMIF(INDIRECT(S$3),'Struktur Aktuell'!$D65,INDIRECT(S$4))+SUMIF(INDIRECT(S$3),'Struktur Aktuell'!$D65,INDIRECT(S$5)))</f>
        <v>0</v>
      </c>
      <c r="T65" s="593">
        <f ca="1">$E65*(-SUMIF(INDIRECT(T$3),'Struktur Aktuell'!$D65,INDIRECT(T$4))+SUMIF(INDIRECT(T$3),'Struktur Aktuell'!$D65,INDIRECT(T$5)))</f>
        <v>0</v>
      </c>
      <c r="U65" s="593">
        <f ca="1">$E65*(-SUMIF(INDIRECT(U$3),'Struktur Aktuell'!$D65,INDIRECT(U$4))+SUMIF(INDIRECT(U$3),'Struktur Aktuell'!$D65,INDIRECT(U$5)))</f>
        <v>0</v>
      </c>
      <c r="V65" s="593">
        <f ca="1">$E65*(-SUMIF(INDIRECT(V$3),'Struktur Aktuell'!$D65,INDIRECT(V$4))+SUMIF(INDIRECT(V$3),'Struktur Aktuell'!$D65,INDIRECT(V$5)))</f>
        <v>0</v>
      </c>
      <c r="W65" s="593">
        <f ca="1">$E65*(-SUMIF(INDIRECT(W$3),'Struktur Aktuell'!$D65,INDIRECT(W$4))+SUMIF(INDIRECT(W$3),'Struktur Aktuell'!$D65,INDIRECT(W$5)))</f>
        <v>0</v>
      </c>
      <c r="X65" s="593">
        <f ca="1">$E65*(-SUMIF(INDIRECT(X$3),'Struktur Aktuell'!$D65,INDIRECT(X$4))+SUMIF(INDIRECT(X$3),'Struktur Aktuell'!$D65,INDIRECT(X$5)))</f>
        <v>0</v>
      </c>
      <c r="Y65" s="593">
        <f ca="1">$E65*(-SUMIF(INDIRECT(Y$3),'Struktur Aktuell'!$D65,INDIRECT(Y$4))+SUMIF(INDIRECT(Y$3),'Struktur Aktuell'!$D65,INDIRECT(Y$5)))</f>
        <v>0</v>
      </c>
      <c r="Z65" s="593">
        <f ca="1">$E65*(-SUMIF(INDIRECT(Z$3),'Struktur Aktuell'!$D65,INDIRECT(Z$4))+SUMIF(INDIRECT(Z$3),'Struktur Aktuell'!$D65,INDIRECT(Z$5)))</f>
        <v>0</v>
      </c>
      <c r="AA65" s="593">
        <f ca="1">$E65*(-SUMIF(INDIRECT(AA$3),'Struktur Aktuell'!$D65,INDIRECT(AA$4))+SUMIF(INDIRECT(AA$3),'Struktur Aktuell'!$D65,INDIRECT(AA$5)))</f>
        <v>0</v>
      </c>
      <c r="AB65" s="593">
        <f ca="1">$E65*(-SUMIF(INDIRECT(AB$3),'Struktur Aktuell'!$D65,INDIRECT(AB$4))+SUMIF(INDIRECT(AB$3),'Struktur Aktuell'!$D65,INDIRECT(AB$5)))</f>
        <v>0</v>
      </c>
      <c r="AC65" s="593">
        <f ca="1">$E65*(-SUMIF(INDIRECT(AC$3),'Struktur Aktuell'!$D65,INDIRECT(AC$4))+SUMIF(INDIRECT(AC$3),'Struktur Aktuell'!$D65,INDIRECT(AC$5)))</f>
        <v>0</v>
      </c>
      <c r="AD65" s="593">
        <f ca="1">$E65*(-SUMIF(INDIRECT(AD$3),'Struktur Aktuell'!$D65,INDIRECT(AD$4))+SUMIF(INDIRECT(AD$3),'Struktur Aktuell'!$D65,INDIRECT(AD$5)))</f>
        <v>0</v>
      </c>
      <c r="AE65" s="593">
        <f t="shared" ca="1" si="81"/>
        <v>0</v>
      </c>
      <c r="AF65" s="593">
        <f t="shared" ca="1" si="82"/>
        <v>0</v>
      </c>
      <c r="AG65" s="593">
        <f t="shared" ca="1" si="83"/>
        <v>0</v>
      </c>
      <c r="AH65" s="593">
        <f t="shared" ca="1" si="84"/>
        <v>0</v>
      </c>
      <c r="AI65" s="593">
        <f t="shared" ca="1" si="85"/>
        <v>0</v>
      </c>
      <c r="AJ65" s="593">
        <f t="shared" ca="1" si="86"/>
        <v>0</v>
      </c>
      <c r="AK65" s="593">
        <f t="shared" ca="1" si="87"/>
        <v>0</v>
      </c>
      <c r="AL65" s="593">
        <f t="shared" ca="1" si="88"/>
        <v>0</v>
      </c>
      <c r="AM65" s="593">
        <f t="shared" ca="1" si="89"/>
        <v>0</v>
      </c>
      <c r="AN65" s="593">
        <f t="shared" ca="1" si="90"/>
        <v>0</v>
      </c>
      <c r="AO65" s="593">
        <f t="shared" ca="1" si="91"/>
        <v>0</v>
      </c>
      <c r="AP65" s="593">
        <f t="shared" ca="1" si="92"/>
        <v>0</v>
      </c>
    </row>
    <row r="66" spans="1:42" s="594" customFormat="1" ht="11.25" outlineLevel="1" x14ac:dyDescent="0.2">
      <c r="A66" s="599"/>
      <c r="B66" s="591" t="str">
        <f>IF(D66&lt;&gt;"",
IF(ISERROR(MATCH(D66,'Ist Aktuell Monat 01'!A:A,0))=FALSE,INDEX('Ist Aktuell Monat 01'!B:B,MATCH(D66,'Ist Aktuell Monat 01'!A:A,0)),
IF(ISERROR(MATCH(D66,'Ist Aktuell Monat 02'!A:A,0))=FALSE,INDEX('Ist Aktuell Monat 02'!B:B,MATCH(D66,'Ist Aktuell Monat 02'!A:A,0)),
IF(ISERROR(MATCH(D66,'Ist Aktuell Monat 03'!A:A,0))=FALSE,INDEX('Ist Aktuell Monat 03'!B:B,MATCH(D66,'Ist Aktuell Monat 03'!A:A,0)),
IF(ISERROR(MATCH(D66,'Ist Aktuell Monat 04'!A:A,0))=FALSE,INDEX('Ist Aktuell Monat 04'!B:B,MATCH(D66,'Ist Aktuell Monat 04'!A:A,0)),
IF(ISERROR(MATCH(D66,'Ist Aktuell Monat 05'!A:A,0))=FALSE,INDEX('Ist Aktuell Monat 05'!B:B,MATCH(D66,'Ist Aktuell Monat 05'!A:A,0)),
IF(ISERROR(MATCH(D66,'Ist Aktuell Monat 06'!A:A,0))=FALSE,INDEX('Ist Aktuell Monat 06'!B:B,MATCH(D66,'Ist Aktuell Monat 06'!A:A,0)),
IF(ISERROR(MATCH(D66,'Ist Aktuell Monat 07'!A:A,0))=FALSE,INDEX('Ist Aktuell Monat 07'!B:B,MATCH(D66,'Ist Aktuell Monat 07'!A:A,0)),
IF(ISERROR(MATCH(D66,'Ist Aktuell Monat 08'!A:A,0))=FALSE,INDEX('Ist Aktuell Monat 08'!B:B,MATCH(D66,'Ist Aktuell Monat 08'!A:A,0)),
IF(ISERROR(MATCH(D66,'Ist Aktuell Monat 09'!A:A,0))=FALSE,INDEX('Ist Aktuell Monat 09'!B:B,MATCH(D66,'Ist Aktuell Monat 09'!A:A,0)),
IF(ISERROR(MATCH(D66,'Ist Aktuell Monat 10'!A:A,0))=FALSE,INDEX('Ist Aktuell Monat 10'!B:B,MATCH(D66,'Ist Aktuell Monat 10'!A:A,0)),
IF(ISERROR(MATCH(D66,'Ist Aktuell Monat 11'!A:A,0))=FALSE,INDEX('Ist Aktuell Monat 11'!B:B,MATCH(D66,'Ist Aktuell Monat 11'!A:A,0)),
IF(ISERROR(MATCH(D66,'Ist Aktuell Monat 12'!A:A,0))=FALSE,INDEX('Ist Aktuell Monat 12'!B:B,MATCH(D66,'Ist Aktuell Monat 12'!A:A,0)),
"{Konto unbekannt}"
)))))))))))),"")</f>
        <v/>
      </c>
      <c r="C66" s="591"/>
      <c r="D66" s="590"/>
      <c r="E66" s="592">
        <f t="shared" si="77"/>
        <v>1</v>
      </c>
      <c r="F66" s="599"/>
      <c r="G66" s="593">
        <f ca="1">$E66*(-SUMIF(INDIRECT(G$3),'Struktur Aktuell'!$D66,INDIRECT(G$4))+SUMIF(INDIRECT(G$3),'Struktur Aktuell'!$D66,INDIRECT(G$5)))</f>
        <v>0</v>
      </c>
      <c r="H66" s="593">
        <f ca="1">$E66*(-SUMIF(INDIRECT(H$3),'Struktur Aktuell'!$D66,INDIRECT(H$4))+SUMIF(INDIRECT(H$3),'Struktur Aktuell'!$D66,INDIRECT(H$5)))</f>
        <v>0</v>
      </c>
      <c r="I66" s="593">
        <f ca="1">$E66*(-SUMIF(INDIRECT(I$3),'Struktur Aktuell'!$D66,INDIRECT(I$4))+SUMIF(INDIRECT(I$3),'Struktur Aktuell'!$D66,INDIRECT(I$5)))</f>
        <v>0</v>
      </c>
      <c r="J66" s="593">
        <f ca="1">$E66*(-SUMIF(INDIRECT(J$3),'Struktur Aktuell'!$D66,INDIRECT(J$4))+SUMIF(INDIRECT(J$3),'Struktur Aktuell'!$D66,INDIRECT(J$5)))</f>
        <v>0</v>
      </c>
      <c r="K66" s="593">
        <f ca="1">$E66*(-SUMIF(INDIRECT(K$3),'Struktur Aktuell'!$D66,INDIRECT(K$4))+SUMIF(INDIRECT(K$3),'Struktur Aktuell'!$D66,INDIRECT(K$5)))</f>
        <v>0</v>
      </c>
      <c r="L66" s="593">
        <f ca="1">$E66*(-SUMIF(INDIRECT(L$3),'Struktur Aktuell'!$D66,INDIRECT(L$4))+SUMIF(INDIRECT(L$3),'Struktur Aktuell'!$D66,INDIRECT(L$5)))</f>
        <v>0</v>
      </c>
      <c r="M66" s="593">
        <f ca="1">$E66*(-SUMIF(INDIRECT(M$3),'Struktur Aktuell'!$D66,INDIRECT(M$4))+SUMIF(INDIRECT(M$3),'Struktur Aktuell'!$D66,INDIRECT(M$5)))</f>
        <v>0</v>
      </c>
      <c r="N66" s="593">
        <f ca="1">$E66*(-SUMIF(INDIRECT(N$3),'Struktur Aktuell'!$D66,INDIRECT(N$4))+SUMIF(INDIRECT(N$3),'Struktur Aktuell'!$D66,INDIRECT(N$5)))</f>
        <v>0</v>
      </c>
      <c r="O66" s="593">
        <f ca="1">$E66*(-SUMIF(INDIRECT(O$3),'Struktur Aktuell'!$D66,INDIRECT(O$4))+SUMIF(INDIRECT(O$3),'Struktur Aktuell'!$D66,INDIRECT(O$5)))</f>
        <v>0</v>
      </c>
      <c r="P66" s="593">
        <f ca="1">$E66*(-SUMIF(INDIRECT(P$3),'Struktur Aktuell'!$D66,INDIRECT(P$4))+SUMIF(INDIRECT(P$3),'Struktur Aktuell'!$D66,INDIRECT(P$5)))</f>
        <v>0</v>
      </c>
      <c r="Q66" s="593">
        <f ca="1">$E66*(-SUMIF(INDIRECT(Q$3),'Struktur Aktuell'!$D66,INDIRECT(Q$4))+SUMIF(INDIRECT(Q$3),'Struktur Aktuell'!$D66,INDIRECT(Q$5)))</f>
        <v>0</v>
      </c>
      <c r="R66" s="593">
        <f ca="1">$E66*(-SUMIF(INDIRECT(R$3),'Struktur Aktuell'!$D66,INDIRECT(R$4))+SUMIF(INDIRECT(R$3),'Struktur Aktuell'!$D66,INDIRECT(R$5)))</f>
        <v>0</v>
      </c>
      <c r="S66" s="593">
        <f ca="1">$E66*(-SUMIF(INDIRECT(S$3),'Struktur Aktuell'!$D66,INDIRECT(S$4))+SUMIF(INDIRECT(S$3),'Struktur Aktuell'!$D66,INDIRECT(S$5)))</f>
        <v>0</v>
      </c>
      <c r="T66" s="593">
        <f ca="1">$E66*(-SUMIF(INDIRECT(T$3),'Struktur Aktuell'!$D66,INDIRECT(T$4))+SUMIF(INDIRECT(T$3),'Struktur Aktuell'!$D66,INDIRECT(T$5)))</f>
        <v>0</v>
      </c>
      <c r="U66" s="593">
        <f ca="1">$E66*(-SUMIF(INDIRECT(U$3),'Struktur Aktuell'!$D66,INDIRECT(U$4))+SUMIF(INDIRECT(U$3),'Struktur Aktuell'!$D66,INDIRECT(U$5)))</f>
        <v>0</v>
      </c>
      <c r="V66" s="593">
        <f ca="1">$E66*(-SUMIF(INDIRECT(V$3),'Struktur Aktuell'!$D66,INDIRECT(V$4))+SUMIF(INDIRECT(V$3),'Struktur Aktuell'!$D66,INDIRECT(V$5)))</f>
        <v>0</v>
      </c>
      <c r="W66" s="593">
        <f ca="1">$E66*(-SUMIF(INDIRECT(W$3),'Struktur Aktuell'!$D66,INDIRECT(W$4))+SUMIF(INDIRECT(W$3),'Struktur Aktuell'!$D66,INDIRECT(W$5)))</f>
        <v>0</v>
      </c>
      <c r="X66" s="593">
        <f ca="1">$E66*(-SUMIF(INDIRECT(X$3),'Struktur Aktuell'!$D66,INDIRECT(X$4))+SUMIF(INDIRECT(X$3),'Struktur Aktuell'!$D66,INDIRECT(X$5)))</f>
        <v>0</v>
      </c>
      <c r="Y66" s="593">
        <f ca="1">$E66*(-SUMIF(INDIRECT(Y$3),'Struktur Aktuell'!$D66,INDIRECT(Y$4))+SUMIF(INDIRECT(Y$3),'Struktur Aktuell'!$D66,INDIRECT(Y$5)))</f>
        <v>0</v>
      </c>
      <c r="Z66" s="593">
        <f ca="1">$E66*(-SUMIF(INDIRECT(Z$3),'Struktur Aktuell'!$D66,INDIRECT(Z$4))+SUMIF(INDIRECT(Z$3),'Struktur Aktuell'!$D66,INDIRECT(Z$5)))</f>
        <v>0</v>
      </c>
      <c r="AA66" s="593">
        <f ca="1">$E66*(-SUMIF(INDIRECT(AA$3),'Struktur Aktuell'!$D66,INDIRECT(AA$4))+SUMIF(INDIRECT(AA$3),'Struktur Aktuell'!$D66,INDIRECT(AA$5)))</f>
        <v>0</v>
      </c>
      <c r="AB66" s="593">
        <f ca="1">$E66*(-SUMIF(INDIRECT(AB$3),'Struktur Aktuell'!$D66,INDIRECT(AB$4))+SUMIF(INDIRECT(AB$3),'Struktur Aktuell'!$D66,INDIRECT(AB$5)))</f>
        <v>0</v>
      </c>
      <c r="AC66" s="593">
        <f ca="1">$E66*(-SUMIF(INDIRECT(AC$3),'Struktur Aktuell'!$D66,INDIRECT(AC$4))+SUMIF(INDIRECT(AC$3),'Struktur Aktuell'!$D66,INDIRECT(AC$5)))</f>
        <v>0</v>
      </c>
      <c r="AD66" s="593">
        <f ca="1">$E66*(-SUMIF(INDIRECT(AD$3),'Struktur Aktuell'!$D66,INDIRECT(AD$4))+SUMIF(INDIRECT(AD$3),'Struktur Aktuell'!$D66,INDIRECT(AD$5)))</f>
        <v>0</v>
      </c>
      <c r="AE66" s="593">
        <f t="shared" ca="1" si="81"/>
        <v>0</v>
      </c>
      <c r="AF66" s="593">
        <f t="shared" ca="1" si="82"/>
        <v>0</v>
      </c>
      <c r="AG66" s="593">
        <f t="shared" ca="1" si="83"/>
        <v>0</v>
      </c>
      <c r="AH66" s="593">
        <f t="shared" ca="1" si="84"/>
        <v>0</v>
      </c>
      <c r="AI66" s="593">
        <f t="shared" ca="1" si="85"/>
        <v>0</v>
      </c>
      <c r="AJ66" s="593">
        <f t="shared" ca="1" si="86"/>
        <v>0</v>
      </c>
      <c r="AK66" s="593">
        <f t="shared" ca="1" si="87"/>
        <v>0</v>
      </c>
      <c r="AL66" s="593">
        <f t="shared" ca="1" si="88"/>
        <v>0</v>
      </c>
      <c r="AM66" s="593">
        <f t="shared" ca="1" si="89"/>
        <v>0</v>
      </c>
      <c r="AN66" s="593">
        <f t="shared" ca="1" si="90"/>
        <v>0</v>
      </c>
      <c r="AO66" s="593">
        <f t="shared" ca="1" si="91"/>
        <v>0</v>
      </c>
      <c r="AP66" s="593">
        <f t="shared" ca="1" si="92"/>
        <v>0</v>
      </c>
    </row>
    <row r="67" spans="1:42" s="594" customFormat="1" ht="11.25" outlineLevel="1" x14ac:dyDescent="0.2">
      <c r="A67" s="599"/>
      <c r="B67" s="591" t="str">
        <f>IF(D67&lt;&gt;"",
IF(ISERROR(MATCH(D67,'Ist Aktuell Monat 01'!A:A,0))=FALSE,INDEX('Ist Aktuell Monat 01'!B:B,MATCH(D67,'Ist Aktuell Monat 01'!A:A,0)),
IF(ISERROR(MATCH(D67,'Ist Aktuell Monat 02'!A:A,0))=FALSE,INDEX('Ist Aktuell Monat 02'!B:B,MATCH(D67,'Ist Aktuell Monat 02'!A:A,0)),
IF(ISERROR(MATCH(D67,'Ist Aktuell Monat 03'!A:A,0))=FALSE,INDEX('Ist Aktuell Monat 03'!B:B,MATCH(D67,'Ist Aktuell Monat 03'!A:A,0)),
IF(ISERROR(MATCH(D67,'Ist Aktuell Monat 04'!A:A,0))=FALSE,INDEX('Ist Aktuell Monat 04'!B:B,MATCH(D67,'Ist Aktuell Monat 04'!A:A,0)),
IF(ISERROR(MATCH(D67,'Ist Aktuell Monat 05'!A:A,0))=FALSE,INDEX('Ist Aktuell Monat 05'!B:B,MATCH(D67,'Ist Aktuell Monat 05'!A:A,0)),
IF(ISERROR(MATCH(D67,'Ist Aktuell Monat 06'!A:A,0))=FALSE,INDEX('Ist Aktuell Monat 06'!B:B,MATCH(D67,'Ist Aktuell Monat 06'!A:A,0)),
IF(ISERROR(MATCH(D67,'Ist Aktuell Monat 07'!A:A,0))=FALSE,INDEX('Ist Aktuell Monat 07'!B:B,MATCH(D67,'Ist Aktuell Monat 07'!A:A,0)),
IF(ISERROR(MATCH(D67,'Ist Aktuell Monat 08'!A:A,0))=FALSE,INDEX('Ist Aktuell Monat 08'!B:B,MATCH(D67,'Ist Aktuell Monat 08'!A:A,0)),
IF(ISERROR(MATCH(D67,'Ist Aktuell Monat 09'!A:A,0))=FALSE,INDEX('Ist Aktuell Monat 09'!B:B,MATCH(D67,'Ist Aktuell Monat 09'!A:A,0)),
IF(ISERROR(MATCH(D67,'Ist Aktuell Monat 10'!A:A,0))=FALSE,INDEX('Ist Aktuell Monat 10'!B:B,MATCH(D67,'Ist Aktuell Monat 10'!A:A,0)),
IF(ISERROR(MATCH(D67,'Ist Aktuell Monat 11'!A:A,0))=FALSE,INDEX('Ist Aktuell Monat 11'!B:B,MATCH(D67,'Ist Aktuell Monat 11'!A:A,0)),
IF(ISERROR(MATCH(D67,'Ist Aktuell Monat 12'!A:A,0))=FALSE,INDEX('Ist Aktuell Monat 12'!B:B,MATCH(D67,'Ist Aktuell Monat 12'!A:A,0)),
"{Konto unbekannt}"
)))))))))))),"")</f>
        <v/>
      </c>
      <c r="C67" s="591"/>
      <c r="D67" s="590"/>
      <c r="E67" s="592">
        <f t="shared" si="77"/>
        <v>1</v>
      </c>
      <c r="F67" s="599"/>
      <c r="G67" s="593">
        <f ca="1">$E67*(-SUMIF(INDIRECT(G$3),'Struktur Aktuell'!$D67,INDIRECT(G$4))+SUMIF(INDIRECT(G$3),'Struktur Aktuell'!$D67,INDIRECT(G$5)))</f>
        <v>0</v>
      </c>
      <c r="H67" s="593">
        <f ca="1">$E67*(-SUMIF(INDIRECT(H$3),'Struktur Aktuell'!$D67,INDIRECT(H$4))+SUMIF(INDIRECT(H$3),'Struktur Aktuell'!$D67,INDIRECT(H$5)))</f>
        <v>0</v>
      </c>
      <c r="I67" s="593">
        <f ca="1">$E67*(-SUMIF(INDIRECT(I$3),'Struktur Aktuell'!$D67,INDIRECT(I$4))+SUMIF(INDIRECT(I$3),'Struktur Aktuell'!$D67,INDIRECT(I$5)))</f>
        <v>0</v>
      </c>
      <c r="J67" s="593">
        <f ca="1">$E67*(-SUMIF(INDIRECT(J$3),'Struktur Aktuell'!$D67,INDIRECT(J$4))+SUMIF(INDIRECT(J$3),'Struktur Aktuell'!$D67,INDIRECT(J$5)))</f>
        <v>0</v>
      </c>
      <c r="K67" s="593">
        <f ca="1">$E67*(-SUMIF(INDIRECT(K$3),'Struktur Aktuell'!$D67,INDIRECT(K$4))+SUMIF(INDIRECT(K$3),'Struktur Aktuell'!$D67,INDIRECT(K$5)))</f>
        <v>0</v>
      </c>
      <c r="L67" s="593">
        <f ca="1">$E67*(-SUMIF(INDIRECT(L$3),'Struktur Aktuell'!$D67,INDIRECT(L$4))+SUMIF(INDIRECT(L$3),'Struktur Aktuell'!$D67,INDIRECT(L$5)))</f>
        <v>0</v>
      </c>
      <c r="M67" s="593">
        <f ca="1">$E67*(-SUMIF(INDIRECT(M$3),'Struktur Aktuell'!$D67,INDIRECT(M$4))+SUMIF(INDIRECT(M$3),'Struktur Aktuell'!$D67,INDIRECT(M$5)))</f>
        <v>0</v>
      </c>
      <c r="N67" s="593">
        <f ca="1">$E67*(-SUMIF(INDIRECT(N$3),'Struktur Aktuell'!$D67,INDIRECT(N$4))+SUMIF(INDIRECT(N$3),'Struktur Aktuell'!$D67,INDIRECT(N$5)))</f>
        <v>0</v>
      </c>
      <c r="O67" s="593">
        <f ca="1">$E67*(-SUMIF(INDIRECT(O$3),'Struktur Aktuell'!$D67,INDIRECT(O$4))+SUMIF(INDIRECT(O$3),'Struktur Aktuell'!$D67,INDIRECT(O$5)))</f>
        <v>0</v>
      </c>
      <c r="P67" s="593">
        <f ca="1">$E67*(-SUMIF(INDIRECT(P$3),'Struktur Aktuell'!$D67,INDIRECT(P$4))+SUMIF(INDIRECT(P$3),'Struktur Aktuell'!$D67,INDIRECT(P$5)))</f>
        <v>0</v>
      </c>
      <c r="Q67" s="593">
        <f ca="1">$E67*(-SUMIF(INDIRECT(Q$3),'Struktur Aktuell'!$D67,INDIRECT(Q$4))+SUMIF(INDIRECT(Q$3),'Struktur Aktuell'!$D67,INDIRECT(Q$5)))</f>
        <v>0</v>
      </c>
      <c r="R67" s="593">
        <f ca="1">$E67*(-SUMIF(INDIRECT(R$3),'Struktur Aktuell'!$D67,INDIRECT(R$4))+SUMIF(INDIRECT(R$3),'Struktur Aktuell'!$D67,INDIRECT(R$5)))</f>
        <v>0</v>
      </c>
      <c r="S67" s="593">
        <f ca="1">$E67*(-SUMIF(INDIRECT(S$3),'Struktur Aktuell'!$D67,INDIRECT(S$4))+SUMIF(INDIRECT(S$3),'Struktur Aktuell'!$D67,INDIRECT(S$5)))</f>
        <v>0</v>
      </c>
      <c r="T67" s="593">
        <f ca="1">$E67*(-SUMIF(INDIRECT(T$3),'Struktur Aktuell'!$D67,INDIRECT(T$4))+SUMIF(INDIRECT(T$3),'Struktur Aktuell'!$D67,INDIRECT(T$5)))</f>
        <v>0</v>
      </c>
      <c r="U67" s="593">
        <f ca="1">$E67*(-SUMIF(INDIRECT(U$3),'Struktur Aktuell'!$D67,INDIRECT(U$4))+SUMIF(INDIRECT(U$3),'Struktur Aktuell'!$D67,INDIRECT(U$5)))</f>
        <v>0</v>
      </c>
      <c r="V67" s="593">
        <f ca="1">$E67*(-SUMIF(INDIRECT(V$3),'Struktur Aktuell'!$D67,INDIRECT(V$4))+SUMIF(INDIRECT(V$3),'Struktur Aktuell'!$D67,INDIRECT(V$5)))</f>
        <v>0</v>
      </c>
      <c r="W67" s="593">
        <f ca="1">$E67*(-SUMIF(INDIRECT(W$3),'Struktur Aktuell'!$D67,INDIRECT(W$4))+SUMIF(INDIRECT(W$3),'Struktur Aktuell'!$D67,INDIRECT(W$5)))</f>
        <v>0</v>
      </c>
      <c r="X67" s="593">
        <f ca="1">$E67*(-SUMIF(INDIRECT(X$3),'Struktur Aktuell'!$D67,INDIRECT(X$4))+SUMIF(INDIRECT(X$3),'Struktur Aktuell'!$D67,INDIRECT(X$5)))</f>
        <v>0</v>
      </c>
      <c r="Y67" s="593">
        <f ca="1">$E67*(-SUMIF(INDIRECT(Y$3),'Struktur Aktuell'!$D67,INDIRECT(Y$4))+SUMIF(INDIRECT(Y$3),'Struktur Aktuell'!$D67,INDIRECT(Y$5)))</f>
        <v>0</v>
      </c>
      <c r="Z67" s="593">
        <f ca="1">$E67*(-SUMIF(INDIRECT(Z$3),'Struktur Aktuell'!$D67,INDIRECT(Z$4))+SUMIF(INDIRECT(Z$3),'Struktur Aktuell'!$D67,INDIRECT(Z$5)))</f>
        <v>0</v>
      </c>
      <c r="AA67" s="593">
        <f ca="1">$E67*(-SUMIF(INDIRECT(AA$3),'Struktur Aktuell'!$D67,INDIRECT(AA$4))+SUMIF(INDIRECT(AA$3),'Struktur Aktuell'!$D67,INDIRECT(AA$5)))</f>
        <v>0</v>
      </c>
      <c r="AB67" s="593">
        <f ca="1">$E67*(-SUMIF(INDIRECT(AB$3),'Struktur Aktuell'!$D67,INDIRECT(AB$4))+SUMIF(INDIRECT(AB$3),'Struktur Aktuell'!$D67,INDIRECT(AB$5)))</f>
        <v>0</v>
      </c>
      <c r="AC67" s="593">
        <f ca="1">$E67*(-SUMIF(INDIRECT(AC$3),'Struktur Aktuell'!$D67,INDIRECT(AC$4))+SUMIF(INDIRECT(AC$3),'Struktur Aktuell'!$D67,INDIRECT(AC$5)))</f>
        <v>0</v>
      </c>
      <c r="AD67" s="593">
        <f ca="1">$E67*(-SUMIF(INDIRECT(AD$3),'Struktur Aktuell'!$D67,INDIRECT(AD$4))+SUMIF(INDIRECT(AD$3),'Struktur Aktuell'!$D67,INDIRECT(AD$5)))</f>
        <v>0</v>
      </c>
      <c r="AE67" s="593">
        <f t="shared" ca="1" si="81"/>
        <v>0</v>
      </c>
      <c r="AF67" s="593">
        <f t="shared" ca="1" si="82"/>
        <v>0</v>
      </c>
      <c r="AG67" s="593">
        <f t="shared" ca="1" si="83"/>
        <v>0</v>
      </c>
      <c r="AH67" s="593">
        <f t="shared" ca="1" si="84"/>
        <v>0</v>
      </c>
      <c r="AI67" s="593">
        <f t="shared" ca="1" si="85"/>
        <v>0</v>
      </c>
      <c r="AJ67" s="593">
        <f t="shared" ca="1" si="86"/>
        <v>0</v>
      </c>
      <c r="AK67" s="593">
        <f t="shared" ca="1" si="87"/>
        <v>0</v>
      </c>
      <c r="AL67" s="593">
        <f t="shared" ca="1" si="88"/>
        <v>0</v>
      </c>
      <c r="AM67" s="593">
        <f t="shared" ca="1" si="89"/>
        <v>0</v>
      </c>
      <c r="AN67" s="593">
        <f t="shared" ca="1" si="90"/>
        <v>0</v>
      </c>
      <c r="AO67" s="593">
        <f t="shared" ca="1" si="91"/>
        <v>0</v>
      </c>
      <c r="AP67" s="593">
        <f t="shared" ca="1" si="92"/>
        <v>0</v>
      </c>
    </row>
    <row r="68" spans="1:42" s="594" customFormat="1" ht="11.25" outlineLevel="1" x14ac:dyDescent="0.2">
      <c r="A68" s="599"/>
      <c r="B68" s="591" t="str">
        <f>IF(D68&lt;&gt;"",
IF(ISERROR(MATCH(D68,'Ist Aktuell Monat 01'!A:A,0))=FALSE,INDEX('Ist Aktuell Monat 01'!B:B,MATCH(D68,'Ist Aktuell Monat 01'!A:A,0)),
IF(ISERROR(MATCH(D68,'Ist Aktuell Monat 02'!A:A,0))=FALSE,INDEX('Ist Aktuell Monat 02'!B:B,MATCH(D68,'Ist Aktuell Monat 02'!A:A,0)),
IF(ISERROR(MATCH(D68,'Ist Aktuell Monat 03'!A:A,0))=FALSE,INDEX('Ist Aktuell Monat 03'!B:B,MATCH(D68,'Ist Aktuell Monat 03'!A:A,0)),
IF(ISERROR(MATCH(D68,'Ist Aktuell Monat 04'!A:A,0))=FALSE,INDEX('Ist Aktuell Monat 04'!B:B,MATCH(D68,'Ist Aktuell Monat 04'!A:A,0)),
IF(ISERROR(MATCH(D68,'Ist Aktuell Monat 05'!A:A,0))=FALSE,INDEX('Ist Aktuell Monat 05'!B:B,MATCH(D68,'Ist Aktuell Monat 05'!A:A,0)),
IF(ISERROR(MATCH(D68,'Ist Aktuell Monat 06'!A:A,0))=FALSE,INDEX('Ist Aktuell Monat 06'!B:B,MATCH(D68,'Ist Aktuell Monat 06'!A:A,0)),
IF(ISERROR(MATCH(D68,'Ist Aktuell Monat 07'!A:A,0))=FALSE,INDEX('Ist Aktuell Monat 07'!B:B,MATCH(D68,'Ist Aktuell Monat 07'!A:A,0)),
IF(ISERROR(MATCH(D68,'Ist Aktuell Monat 08'!A:A,0))=FALSE,INDEX('Ist Aktuell Monat 08'!B:B,MATCH(D68,'Ist Aktuell Monat 08'!A:A,0)),
IF(ISERROR(MATCH(D68,'Ist Aktuell Monat 09'!A:A,0))=FALSE,INDEX('Ist Aktuell Monat 09'!B:B,MATCH(D68,'Ist Aktuell Monat 09'!A:A,0)),
IF(ISERROR(MATCH(D68,'Ist Aktuell Monat 10'!A:A,0))=FALSE,INDEX('Ist Aktuell Monat 10'!B:B,MATCH(D68,'Ist Aktuell Monat 10'!A:A,0)),
IF(ISERROR(MATCH(D68,'Ist Aktuell Monat 11'!A:A,0))=FALSE,INDEX('Ist Aktuell Monat 11'!B:B,MATCH(D68,'Ist Aktuell Monat 11'!A:A,0)),
IF(ISERROR(MATCH(D68,'Ist Aktuell Monat 12'!A:A,0))=FALSE,INDEX('Ist Aktuell Monat 12'!B:B,MATCH(D68,'Ist Aktuell Monat 12'!A:A,0)),
"{Konto unbekannt}"
)))))))))))),"")</f>
        <v/>
      </c>
      <c r="C68" s="591"/>
      <c r="D68" s="590"/>
      <c r="E68" s="592">
        <f t="shared" si="77"/>
        <v>1</v>
      </c>
      <c r="F68" s="599"/>
      <c r="G68" s="593">
        <f ca="1">$E68*(-SUMIF(INDIRECT(G$3),'Struktur Aktuell'!$D68,INDIRECT(G$4))+SUMIF(INDIRECT(G$3),'Struktur Aktuell'!$D68,INDIRECT(G$5)))</f>
        <v>0</v>
      </c>
      <c r="H68" s="593">
        <f ca="1">$E68*(-SUMIF(INDIRECT(H$3),'Struktur Aktuell'!$D68,INDIRECT(H$4))+SUMIF(INDIRECT(H$3),'Struktur Aktuell'!$D68,INDIRECT(H$5)))</f>
        <v>0</v>
      </c>
      <c r="I68" s="593">
        <f ca="1">$E68*(-SUMIF(INDIRECT(I$3),'Struktur Aktuell'!$D68,INDIRECT(I$4))+SUMIF(INDIRECT(I$3),'Struktur Aktuell'!$D68,INDIRECT(I$5)))</f>
        <v>0</v>
      </c>
      <c r="J68" s="593">
        <f ca="1">$E68*(-SUMIF(INDIRECT(J$3),'Struktur Aktuell'!$D68,INDIRECT(J$4))+SUMIF(INDIRECT(J$3),'Struktur Aktuell'!$D68,INDIRECT(J$5)))</f>
        <v>0</v>
      </c>
      <c r="K68" s="593">
        <f ca="1">$E68*(-SUMIF(INDIRECT(K$3),'Struktur Aktuell'!$D68,INDIRECT(K$4))+SUMIF(INDIRECT(K$3),'Struktur Aktuell'!$D68,INDIRECT(K$5)))</f>
        <v>0</v>
      </c>
      <c r="L68" s="593">
        <f ca="1">$E68*(-SUMIF(INDIRECT(L$3),'Struktur Aktuell'!$D68,INDIRECT(L$4))+SUMIF(INDIRECT(L$3),'Struktur Aktuell'!$D68,INDIRECT(L$5)))</f>
        <v>0</v>
      </c>
      <c r="M68" s="593">
        <f ca="1">$E68*(-SUMIF(INDIRECT(M$3),'Struktur Aktuell'!$D68,INDIRECT(M$4))+SUMIF(INDIRECT(M$3),'Struktur Aktuell'!$D68,INDIRECT(M$5)))</f>
        <v>0</v>
      </c>
      <c r="N68" s="593">
        <f ca="1">$E68*(-SUMIF(INDIRECT(N$3),'Struktur Aktuell'!$D68,INDIRECT(N$4))+SUMIF(INDIRECT(N$3),'Struktur Aktuell'!$D68,INDIRECT(N$5)))</f>
        <v>0</v>
      </c>
      <c r="O68" s="593">
        <f ca="1">$E68*(-SUMIF(INDIRECT(O$3),'Struktur Aktuell'!$D68,INDIRECT(O$4))+SUMIF(INDIRECT(O$3),'Struktur Aktuell'!$D68,INDIRECT(O$5)))</f>
        <v>0</v>
      </c>
      <c r="P68" s="593">
        <f ca="1">$E68*(-SUMIF(INDIRECT(P$3),'Struktur Aktuell'!$D68,INDIRECT(P$4))+SUMIF(INDIRECT(P$3),'Struktur Aktuell'!$D68,INDIRECT(P$5)))</f>
        <v>0</v>
      </c>
      <c r="Q68" s="593">
        <f ca="1">$E68*(-SUMIF(INDIRECT(Q$3),'Struktur Aktuell'!$D68,INDIRECT(Q$4))+SUMIF(INDIRECT(Q$3),'Struktur Aktuell'!$D68,INDIRECT(Q$5)))</f>
        <v>0</v>
      </c>
      <c r="R68" s="593">
        <f ca="1">$E68*(-SUMIF(INDIRECT(R$3),'Struktur Aktuell'!$D68,INDIRECT(R$4))+SUMIF(INDIRECT(R$3),'Struktur Aktuell'!$D68,INDIRECT(R$5)))</f>
        <v>0</v>
      </c>
      <c r="S68" s="593">
        <f ca="1">$E68*(-SUMIF(INDIRECT(S$3),'Struktur Aktuell'!$D68,INDIRECT(S$4))+SUMIF(INDIRECT(S$3),'Struktur Aktuell'!$D68,INDIRECT(S$5)))</f>
        <v>0</v>
      </c>
      <c r="T68" s="593">
        <f ca="1">$E68*(-SUMIF(INDIRECT(T$3),'Struktur Aktuell'!$D68,INDIRECT(T$4))+SUMIF(INDIRECT(T$3),'Struktur Aktuell'!$D68,INDIRECT(T$5)))</f>
        <v>0</v>
      </c>
      <c r="U68" s="593">
        <f ca="1">$E68*(-SUMIF(INDIRECT(U$3),'Struktur Aktuell'!$D68,INDIRECT(U$4))+SUMIF(INDIRECT(U$3),'Struktur Aktuell'!$D68,INDIRECT(U$5)))</f>
        <v>0</v>
      </c>
      <c r="V68" s="593">
        <f ca="1">$E68*(-SUMIF(INDIRECT(V$3),'Struktur Aktuell'!$D68,INDIRECT(V$4))+SUMIF(INDIRECT(V$3),'Struktur Aktuell'!$D68,INDIRECT(V$5)))</f>
        <v>0</v>
      </c>
      <c r="W68" s="593">
        <f ca="1">$E68*(-SUMIF(INDIRECT(W$3),'Struktur Aktuell'!$D68,INDIRECT(W$4))+SUMIF(INDIRECT(W$3),'Struktur Aktuell'!$D68,INDIRECT(W$5)))</f>
        <v>0</v>
      </c>
      <c r="X68" s="593">
        <f ca="1">$E68*(-SUMIF(INDIRECT(X$3),'Struktur Aktuell'!$D68,INDIRECT(X$4))+SUMIF(INDIRECT(X$3),'Struktur Aktuell'!$D68,INDIRECT(X$5)))</f>
        <v>0</v>
      </c>
      <c r="Y68" s="593">
        <f ca="1">$E68*(-SUMIF(INDIRECT(Y$3),'Struktur Aktuell'!$D68,INDIRECT(Y$4))+SUMIF(INDIRECT(Y$3),'Struktur Aktuell'!$D68,INDIRECT(Y$5)))</f>
        <v>0</v>
      </c>
      <c r="Z68" s="593">
        <f ca="1">$E68*(-SUMIF(INDIRECT(Z$3),'Struktur Aktuell'!$D68,INDIRECT(Z$4))+SUMIF(INDIRECT(Z$3),'Struktur Aktuell'!$D68,INDIRECT(Z$5)))</f>
        <v>0</v>
      </c>
      <c r="AA68" s="593">
        <f ca="1">$E68*(-SUMIF(INDIRECT(AA$3),'Struktur Aktuell'!$D68,INDIRECT(AA$4))+SUMIF(INDIRECT(AA$3),'Struktur Aktuell'!$D68,INDIRECT(AA$5)))</f>
        <v>0</v>
      </c>
      <c r="AB68" s="593">
        <f ca="1">$E68*(-SUMIF(INDIRECT(AB$3),'Struktur Aktuell'!$D68,INDIRECT(AB$4))+SUMIF(INDIRECT(AB$3),'Struktur Aktuell'!$D68,INDIRECT(AB$5)))</f>
        <v>0</v>
      </c>
      <c r="AC68" s="593">
        <f ca="1">$E68*(-SUMIF(INDIRECT(AC$3),'Struktur Aktuell'!$D68,INDIRECT(AC$4))+SUMIF(INDIRECT(AC$3),'Struktur Aktuell'!$D68,INDIRECT(AC$5)))</f>
        <v>0</v>
      </c>
      <c r="AD68" s="593">
        <f ca="1">$E68*(-SUMIF(INDIRECT(AD$3),'Struktur Aktuell'!$D68,INDIRECT(AD$4))+SUMIF(INDIRECT(AD$3),'Struktur Aktuell'!$D68,INDIRECT(AD$5)))</f>
        <v>0</v>
      </c>
      <c r="AE68" s="593">
        <f t="shared" ca="1" si="81"/>
        <v>0</v>
      </c>
      <c r="AF68" s="593">
        <f t="shared" ca="1" si="82"/>
        <v>0</v>
      </c>
      <c r="AG68" s="593">
        <f t="shared" ca="1" si="83"/>
        <v>0</v>
      </c>
      <c r="AH68" s="593">
        <f t="shared" ca="1" si="84"/>
        <v>0</v>
      </c>
      <c r="AI68" s="593">
        <f t="shared" ca="1" si="85"/>
        <v>0</v>
      </c>
      <c r="AJ68" s="593">
        <f t="shared" ca="1" si="86"/>
        <v>0</v>
      </c>
      <c r="AK68" s="593">
        <f t="shared" ca="1" si="87"/>
        <v>0</v>
      </c>
      <c r="AL68" s="593">
        <f t="shared" ca="1" si="88"/>
        <v>0</v>
      </c>
      <c r="AM68" s="593">
        <f t="shared" ca="1" si="89"/>
        <v>0</v>
      </c>
      <c r="AN68" s="593">
        <f t="shared" ca="1" si="90"/>
        <v>0</v>
      </c>
      <c r="AO68" s="593">
        <f t="shared" ca="1" si="91"/>
        <v>0</v>
      </c>
      <c r="AP68" s="593">
        <f t="shared" ca="1" si="92"/>
        <v>0</v>
      </c>
    </row>
    <row r="69" spans="1:42" s="594" customFormat="1" ht="11.25" outlineLevel="1" x14ac:dyDescent="0.2">
      <c r="A69" s="599"/>
      <c r="B69" s="591" t="str">
        <f>IF(D69&lt;&gt;"",
IF(ISERROR(MATCH(D69,'Ist Aktuell Monat 01'!A:A,0))=FALSE,INDEX('Ist Aktuell Monat 01'!B:B,MATCH(D69,'Ist Aktuell Monat 01'!A:A,0)),
IF(ISERROR(MATCH(D69,'Ist Aktuell Monat 02'!A:A,0))=FALSE,INDEX('Ist Aktuell Monat 02'!B:B,MATCH(D69,'Ist Aktuell Monat 02'!A:A,0)),
IF(ISERROR(MATCH(D69,'Ist Aktuell Monat 03'!A:A,0))=FALSE,INDEX('Ist Aktuell Monat 03'!B:B,MATCH(D69,'Ist Aktuell Monat 03'!A:A,0)),
IF(ISERROR(MATCH(D69,'Ist Aktuell Monat 04'!A:A,0))=FALSE,INDEX('Ist Aktuell Monat 04'!B:B,MATCH(D69,'Ist Aktuell Monat 04'!A:A,0)),
IF(ISERROR(MATCH(D69,'Ist Aktuell Monat 05'!A:A,0))=FALSE,INDEX('Ist Aktuell Monat 05'!B:B,MATCH(D69,'Ist Aktuell Monat 05'!A:A,0)),
IF(ISERROR(MATCH(D69,'Ist Aktuell Monat 06'!A:A,0))=FALSE,INDEX('Ist Aktuell Monat 06'!B:B,MATCH(D69,'Ist Aktuell Monat 06'!A:A,0)),
IF(ISERROR(MATCH(D69,'Ist Aktuell Monat 07'!A:A,0))=FALSE,INDEX('Ist Aktuell Monat 07'!B:B,MATCH(D69,'Ist Aktuell Monat 07'!A:A,0)),
IF(ISERROR(MATCH(D69,'Ist Aktuell Monat 08'!A:A,0))=FALSE,INDEX('Ist Aktuell Monat 08'!B:B,MATCH(D69,'Ist Aktuell Monat 08'!A:A,0)),
IF(ISERROR(MATCH(D69,'Ist Aktuell Monat 09'!A:A,0))=FALSE,INDEX('Ist Aktuell Monat 09'!B:B,MATCH(D69,'Ist Aktuell Monat 09'!A:A,0)),
IF(ISERROR(MATCH(D69,'Ist Aktuell Monat 10'!A:A,0))=FALSE,INDEX('Ist Aktuell Monat 10'!B:B,MATCH(D69,'Ist Aktuell Monat 10'!A:A,0)),
IF(ISERROR(MATCH(D69,'Ist Aktuell Monat 11'!A:A,0))=FALSE,INDEX('Ist Aktuell Monat 11'!B:B,MATCH(D69,'Ist Aktuell Monat 11'!A:A,0)),
IF(ISERROR(MATCH(D69,'Ist Aktuell Monat 12'!A:A,0))=FALSE,INDEX('Ist Aktuell Monat 12'!B:B,MATCH(D69,'Ist Aktuell Monat 12'!A:A,0)),
"{Konto unbekannt}"
)))))))))))),"")</f>
        <v/>
      </c>
      <c r="C69" s="591"/>
      <c r="D69" s="590"/>
      <c r="E69" s="592">
        <f t="shared" si="77"/>
        <v>1</v>
      </c>
      <c r="F69" s="599"/>
      <c r="G69" s="593">
        <f ca="1">$E69*(-SUMIF(INDIRECT(G$3),'Struktur Aktuell'!$D69,INDIRECT(G$4))+SUMIF(INDIRECT(G$3),'Struktur Aktuell'!$D69,INDIRECT(G$5)))</f>
        <v>0</v>
      </c>
      <c r="H69" s="593">
        <f ca="1">$E69*(-SUMIF(INDIRECT(H$3),'Struktur Aktuell'!$D69,INDIRECT(H$4))+SUMIF(INDIRECT(H$3),'Struktur Aktuell'!$D69,INDIRECT(H$5)))</f>
        <v>0</v>
      </c>
      <c r="I69" s="593">
        <f ca="1">$E69*(-SUMIF(INDIRECT(I$3),'Struktur Aktuell'!$D69,INDIRECT(I$4))+SUMIF(INDIRECT(I$3),'Struktur Aktuell'!$D69,INDIRECT(I$5)))</f>
        <v>0</v>
      </c>
      <c r="J69" s="593">
        <f ca="1">$E69*(-SUMIF(INDIRECT(J$3),'Struktur Aktuell'!$D69,INDIRECT(J$4))+SUMIF(INDIRECT(J$3),'Struktur Aktuell'!$D69,INDIRECT(J$5)))</f>
        <v>0</v>
      </c>
      <c r="K69" s="593">
        <f ca="1">$E69*(-SUMIF(INDIRECT(K$3),'Struktur Aktuell'!$D69,INDIRECT(K$4))+SUMIF(INDIRECT(K$3),'Struktur Aktuell'!$D69,INDIRECT(K$5)))</f>
        <v>0</v>
      </c>
      <c r="L69" s="593">
        <f ca="1">$E69*(-SUMIF(INDIRECT(L$3),'Struktur Aktuell'!$D69,INDIRECT(L$4))+SUMIF(INDIRECT(L$3),'Struktur Aktuell'!$D69,INDIRECT(L$5)))</f>
        <v>0</v>
      </c>
      <c r="M69" s="593">
        <f ca="1">$E69*(-SUMIF(INDIRECT(M$3),'Struktur Aktuell'!$D69,INDIRECT(M$4))+SUMIF(INDIRECT(M$3),'Struktur Aktuell'!$D69,INDIRECT(M$5)))</f>
        <v>0</v>
      </c>
      <c r="N69" s="593">
        <f ca="1">$E69*(-SUMIF(INDIRECT(N$3),'Struktur Aktuell'!$D69,INDIRECT(N$4))+SUMIF(INDIRECT(N$3),'Struktur Aktuell'!$D69,INDIRECT(N$5)))</f>
        <v>0</v>
      </c>
      <c r="O69" s="593">
        <f ca="1">$E69*(-SUMIF(INDIRECT(O$3),'Struktur Aktuell'!$D69,INDIRECT(O$4))+SUMIF(INDIRECT(O$3),'Struktur Aktuell'!$D69,INDIRECT(O$5)))</f>
        <v>0</v>
      </c>
      <c r="P69" s="593">
        <f ca="1">$E69*(-SUMIF(INDIRECT(P$3),'Struktur Aktuell'!$D69,INDIRECT(P$4))+SUMIF(INDIRECT(P$3),'Struktur Aktuell'!$D69,INDIRECT(P$5)))</f>
        <v>0</v>
      </c>
      <c r="Q69" s="593">
        <f ca="1">$E69*(-SUMIF(INDIRECT(Q$3),'Struktur Aktuell'!$D69,INDIRECT(Q$4))+SUMIF(INDIRECT(Q$3),'Struktur Aktuell'!$D69,INDIRECT(Q$5)))</f>
        <v>0</v>
      </c>
      <c r="R69" s="593">
        <f ca="1">$E69*(-SUMIF(INDIRECT(R$3),'Struktur Aktuell'!$D69,INDIRECT(R$4))+SUMIF(INDIRECT(R$3),'Struktur Aktuell'!$D69,INDIRECT(R$5)))</f>
        <v>0</v>
      </c>
      <c r="S69" s="593">
        <f ca="1">$E69*(-SUMIF(INDIRECT(S$3),'Struktur Aktuell'!$D69,INDIRECT(S$4))+SUMIF(INDIRECT(S$3),'Struktur Aktuell'!$D69,INDIRECT(S$5)))</f>
        <v>0</v>
      </c>
      <c r="T69" s="593">
        <f ca="1">$E69*(-SUMIF(INDIRECT(T$3),'Struktur Aktuell'!$D69,INDIRECT(T$4))+SUMIF(INDIRECT(T$3),'Struktur Aktuell'!$D69,INDIRECT(T$5)))</f>
        <v>0</v>
      </c>
      <c r="U69" s="593">
        <f ca="1">$E69*(-SUMIF(INDIRECT(U$3),'Struktur Aktuell'!$D69,INDIRECT(U$4))+SUMIF(INDIRECT(U$3),'Struktur Aktuell'!$D69,INDIRECT(U$5)))</f>
        <v>0</v>
      </c>
      <c r="V69" s="593">
        <f ca="1">$E69*(-SUMIF(INDIRECT(V$3),'Struktur Aktuell'!$D69,INDIRECT(V$4))+SUMIF(INDIRECT(V$3),'Struktur Aktuell'!$D69,INDIRECT(V$5)))</f>
        <v>0</v>
      </c>
      <c r="W69" s="593">
        <f ca="1">$E69*(-SUMIF(INDIRECT(W$3),'Struktur Aktuell'!$D69,INDIRECT(W$4))+SUMIF(INDIRECT(W$3),'Struktur Aktuell'!$D69,INDIRECT(W$5)))</f>
        <v>0</v>
      </c>
      <c r="X69" s="593">
        <f ca="1">$E69*(-SUMIF(INDIRECT(X$3),'Struktur Aktuell'!$D69,INDIRECT(X$4))+SUMIF(INDIRECT(X$3),'Struktur Aktuell'!$D69,INDIRECT(X$5)))</f>
        <v>0</v>
      </c>
      <c r="Y69" s="593">
        <f ca="1">$E69*(-SUMIF(INDIRECT(Y$3),'Struktur Aktuell'!$D69,INDIRECT(Y$4))+SUMIF(INDIRECT(Y$3),'Struktur Aktuell'!$D69,INDIRECT(Y$5)))</f>
        <v>0</v>
      </c>
      <c r="Z69" s="593">
        <f ca="1">$E69*(-SUMIF(INDIRECT(Z$3),'Struktur Aktuell'!$D69,INDIRECT(Z$4))+SUMIF(INDIRECT(Z$3),'Struktur Aktuell'!$D69,INDIRECT(Z$5)))</f>
        <v>0</v>
      </c>
      <c r="AA69" s="593">
        <f ca="1">$E69*(-SUMIF(INDIRECT(AA$3),'Struktur Aktuell'!$D69,INDIRECT(AA$4))+SUMIF(INDIRECT(AA$3),'Struktur Aktuell'!$D69,INDIRECT(AA$5)))</f>
        <v>0</v>
      </c>
      <c r="AB69" s="593">
        <f ca="1">$E69*(-SUMIF(INDIRECT(AB$3),'Struktur Aktuell'!$D69,INDIRECT(AB$4))+SUMIF(INDIRECT(AB$3),'Struktur Aktuell'!$D69,INDIRECT(AB$5)))</f>
        <v>0</v>
      </c>
      <c r="AC69" s="593">
        <f ca="1">$E69*(-SUMIF(INDIRECT(AC$3),'Struktur Aktuell'!$D69,INDIRECT(AC$4))+SUMIF(INDIRECT(AC$3),'Struktur Aktuell'!$D69,INDIRECT(AC$5)))</f>
        <v>0</v>
      </c>
      <c r="AD69" s="593">
        <f ca="1">$E69*(-SUMIF(INDIRECT(AD$3),'Struktur Aktuell'!$D69,INDIRECT(AD$4))+SUMIF(INDIRECT(AD$3),'Struktur Aktuell'!$D69,INDIRECT(AD$5)))</f>
        <v>0</v>
      </c>
      <c r="AE69" s="593">
        <f t="shared" ca="1" si="81"/>
        <v>0</v>
      </c>
      <c r="AF69" s="593">
        <f t="shared" ca="1" si="82"/>
        <v>0</v>
      </c>
      <c r="AG69" s="593">
        <f t="shared" ca="1" si="83"/>
        <v>0</v>
      </c>
      <c r="AH69" s="593">
        <f t="shared" ca="1" si="84"/>
        <v>0</v>
      </c>
      <c r="AI69" s="593">
        <f t="shared" ca="1" si="85"/>
        <v>0</v>
      </c>
      <c r="AJ69" s="593">
        <f t="shared" ca="1" si="86"/>
        <v>0</v>
      </c>
      <c r="AK69" s="593">
        <f t="shared" ca="1" si="87"/>
        <v>0</v>
      </c>
      <c r="AL69" s="593">
        <f t="shared" ca="1" si="88"/>
        <v>0</v>
      </c>
      <c r="AM69" s="593">
        <f t="shared" ca="1" si="89"/>
        <v>0</v>
      </c>
      <c r="AN69" s="593">
        <f t="shared" ca="1" si="90"/>
        <v>0</v>
      </c>
      <c r="AO69" s="593">
        <f t="shared" ca="1" si="91"/>
        <v>0</v>
      </c>
      <c r="AP69" s="593">
        <f t="shared" ca="1" si="92"/>
        <v>0</v>
      </c>
    </row>
    <row r="70" spans="1:42" s="594" customFormat="1" ht="11.25" outlineLevel="1" x14ac:dyDescent="0.2">
      <c r="A70" s="599"/>
      <c r="B70" s="591" t="str">
        <f>IF(D70&lt;&gt;"",
IF(ISERROR(MATCH(D70,'Ist Aktuell Monat 01'!A:A,0))=FALSE,INDEX('Ist Aktuell Monat 01'!B:B,MATCH(D70,'Ist Aktuell Monat 01'!A:A,0)),
IF(ISERROR(MATCH(D70,'Ist Aktuell Monat 02'!A:A,0))=FALSE,INDEX('Ist Aktuell Monat 02'!B:B,MATCH(D70,'Ist Aktuell Monat 02'!A:A,0)),
IF(ISERROR(MATCH(D70,'Ist Aktuell Monat 03'!A:A,0))=FALSE,INDEX('Ist Aktuell Monat 03'!B:B,MATCH(D70,'Ist Aktuell Monat 03'!A:A,0)),
IF(ISERROR(MATCH(D70,'Ist Aktuell Monat 04'!A:A,0))=FALSE,INDEX('Ist Aktuell Monat 04'!B:B,MATCH(D70,'Ist Aktuell Monat 04'!A:A,0)),
IF(ISERROR(MATCH(D70,'Ist Aktuell Monat 05'!A:A,0))=FALSE,INDEX('Ist Aktuell Monat 05'!B:B,MATCH(D70,'Ist Aktuell Monat 05'!A:A,0)),
IF(ISERROR(MATCH(D70,'Ist Aktuell Monat 06'!A:A,0))=FALSE,INDEX('Ist Aktuell Monat 06'!B:B,MATCH(D70,'Ist Aktuell Monat 06'!A:A,0)),
IF(ISERROR(MATCH(D70,'Ist Aktuell Monat 07'!A:A,0))=FALSE,INDEX('Ist Aktuell Monat 07'!B:B,MATCH(D70,'Ist Aktuell Monat 07'!A:A,0)),
IF(ISERROR(MATCH(D70,'Ist Aktuell Monat 08'!A:A,0))=FALSE,INDEX('Ist Aktuell Monat 08'!B:B,MATCH(D70,'Ist Aktuell Monat 08'!A:A,0)),
IF(ISERROR(MATCH(D70,'Ist Aktuell Monat 09'!A:A,0))=FALSE,INDEX('Ist Aktuell Monat 09'!B:B,MATCH(D70,'Ist Aktuell Monat 09'!A:A,0)),
IF(ISERROR(MATCH(D70,'Ist Aktuell Monat 10'!A:A,0))=FALSE,INDEX('Ist Aktuell Monat 10'!B:B,MATCH(D70,'Ist Aktuell Monat 10'!A:A,0)),
IF(ISERROR(MATCH(D70,'Ist Aktuell Monat 11'!A:A,0))=FALSE,INDEX('Ist Aktuell Monat 11'!B:B,MATCH(D70,'Ist Aktuell Monat 11'!A:A,0)),
IF(ISERROR(MATCH(D70,'Ist Aktuell Monat 12'!A:A,0))=FALSE,INDEX('Ist Aktuell Monat 12'!B:B,MATCH(D70,'Ist Aktuell Monat 12'!A:A,0)),
"{Konto unbekannt}"
)))))))))))),"")</f>
        <v/>
      </c>
      <c r="C70" s="591"/>
      <c r="D70" s="590"/>
      <c r="E70" s="592">
        <f t="shared" si="77"/>
        <v>1</v>
      </c>
      <c r="F70" s="599"/>
      <c r="G70" s="593">
        <f ca="1">$E70*(-SUMIF(INDIRECT(G$3),'Struktur Aktuell'!$D70,INDIRECT(G$4))+SUMIF(INDIRECT(G$3),'Struktur Aktuell'!$D70,INDIRECT(G$5)))</f>
        <v>0</v>
      </c>
      <c r="H70" s="593">
        <f ca="1">$E70*(-SUMIF(INDIRECT(H$3),'Struktur Aktuell'!$D70,INDIRECT(H$4))+SUMIF(INDIRECT(H$3),'Struktur Aktuell'!$D70,INDIRECT(H$5)))</f>
        <v>0</v>
      </c>
      <c r="I70" s="593">
        <f ca="1">$E70*(-SUMIF(INDIRECT(I$3),'Struktur Aktuell'!$D70,INDIRECT(I$4))+SUMIF(INDIRECT(I$3),'Struktur Aktuell'!$D70,INDIRECT(I$5)))</f>
        <v>0</v>
      </c>
      <c r="J70" s="593">
        <f ca="1">$E70*(-SUMIF(INDIRECT(J$3),'Struktur Aktuell'!$D70,INDIRECT(J$4))+SUMIF(INDIRECT(J$3),'Struktur Aktuell'!$D70,INDIRECT(J$5)))</f>
        <v>0</v>
      </c>
      <c r="K70" s="593">
        <f ca="1">$E70*(-SUMIF(INDIRECT(K$3),'Struktur Aktuell'!$D70,INDIRECT(K$4))+SUMIF(INDIRECT(K$3),'Struktur Aktuell'!$D70,INDIRECT(K$5)))</f>
        <v>0</v>
      </c>
      <c r="L70" s="593">
        <f ca="1">$E70*(-SUMIF(INDIRECT(L$3),'Struktur Aktuell'!$D70,INDIRECT(L$4))+SUMIF(INDIRECT(L$3),'Struktur Aktuell'!$D70,INDIRECT(L$5)))</f>
        <v>0</v>
      </c>
      <c r="M70" s="593">
        <f ca="1">$E70*(-SUMIF(INDIRECT(M$3),'Struktur Aktuell'!$D70,INDIRECT(M$4))+SUMIF(INDIRECT(M$3),'Struktur Aktuell'!$D70,INDIRECT(M$5)))</f>
        <v>0</v>
      </c>
      <c r="N70" s="593">
        <f ca="1">$E70*(-SUMIF(INDIRECT(N$3),'Struktur Aktuell'!$D70,INDIRECT(N$4))+SUMIF(INDIRECT(N$3),'Struktur Aktuell'!$D70,INDIRECT(N$5)))</f>
        <v>0</v>
      </c>
      <c r="O70" s="593">
        <f ca="1">$E70*(-SUMIF(INDIRECT(O$3),'Struktur Aktuell'!$D70,INDIRECT(O$4))+SUMIF(INDIRECT(O$3),'Struktur Aktuell'!$D70,INDIRECT(O$5)))</f>
        <v>0</v>
      </c>
      <c r="P70" s="593">
        <f ca="1">$E70*(-SUMIF(INDIRECT(P$3),'Struktur Aktuell'!$D70,INDIRECT(P$4))+SUMIF(INDIRECT(P$3),'Struktur Aktuell'!$D70,INDIRECT(P$5)))</f>
        <v>0</v>
      </c>
      <c r="Q70" s="593">
        <f ca="1">$E70*(-SUMIF(INDIRECT(Q$3),'Struktur Aktuell'!$D70,INDIRECT(Q$4))+SUMIF(INDIRECT(Q$3),'Struktur Aktuell'!$D70,INDIRECT(Q$5)))</f>
        <v>0</v>
      </c>
      <c r="R70" s="593">
        <f ca="1">$E70*(-SUMIF(INDIRECT(R$3),'Struktur Aktuell'!$D70,INDIRECT(R$4))+SUMIF(INDIRECT(R$3),'Struktur Aktuell'!$D70,INDIRECT(R$5)))</f>
        <v>0</v>
      </c>
      <c r="S70" s="593">
        <f ca="1">$E70*(-SUMIF(INDIRECT(S$3),'Struktur Aktuell'!$D70,INDIRECT(S$4))+SUMIF(INDIRECT(S$3),'Struktur Aktuell'!$D70,INDIRECT(S$5)))</f>
        <v>0</v>
      </c>
      <c r="T70" s="593">
        <f ca="1">$E70*(-SUMIF(INDIRECT(T$3),'Struktur Aktuell'!$D70,INDIRECT(T$4))+SUMIF(INDIRECT(T$3),'Struktur Aktuell'!$D70,INDIRECT(T$5)))</f>
        <v>0</v>
      </c>
      <c r="U70" s="593">
        <f ca="1">$E70*(-SUMIF(INDIRECT(U$3),'Struktur Aktuell'!$D70,INDIRECT(U$4))+SUMIF(INDIRECT(U$3),'Struktur Aktuell'!$D70,INDIRECT(U$5)))</f>
        <v>0</v>
      </c>
      <c r="V70" s="593">
        <f ca="1">$E70*(-SUMIF(INDIRECT(V$3),'Struktur Aktuell'!$D70,INDIRECT(V$4))+SUMIF(INDIRECT(V$3),'Struktur Aktuell'!$D70,INDIRECT(V$5)))</f>
        <v>0</v>
      </c>
      <c r="W70" s="593">
        <f ca="1">$E70*(-SUMIF(INDIRECT(W$3),'Struktur Aktuell'!$D70,INDIRECT(W$4))+SUMIF(INDIRECT(W$3),'Struktur Aktuell'!$D70,INDIRECT(W$5)))</f>
        <v>0</v>
      </c>
      <c r="X70" s="593">
        <f ca="1">$E70*(-SUMIF(INDIRECT(X$3),'Struktur Aktuell'!$D70,INDIRECT(X$4))+SUMIF(INDIRECT(X$3),'Struktur Aktuell'!$D70,INDIRECT(X$5)))</f>
        <v>0</v>
      </c>
      <c r="Y70" s="593">
        <f ca="1">$E70*(-SUMIF(INDIRECT(Y$3),'Struktur Aktuell'!$D70,INDIRECT(Y$4))+SUMIF(INDIRECT(Y$3),'Struktur Aktuell'!$D70,INDIRECT(Y$5)))</f>
        <v>0</v>
      </c>
      <c r="Z70" s="593">
        <f ca="1">$E70*(-SUMIF(INDIRECT(Z$3),'Struktur Aktuell'!$D70,INDIRECT(Z$4))+SUMIF(INDIRECT(Z$3),'Struktur Aktuell'!$D70,INDIRECT(Z$5)))</f>
        <v>0</v>
      </c>
      <c r="AA70" s="593">
        <f ca="1">$E70*(-SUMIF(INDIRECT(AA$3),'Struktur Aktuell'!$D70,INDIRECT(AA$4))+SUMIF(INDIRECT(AA$3),'Struktur Aktuell'!$D70,INDIRECT(AA$5)))</f>
        <v>0</v>
      </c>
      <c r="AB70" s="593">
        <f ca="1">$E70*(-SUMIF(INDIRECT(AB$3),'Struktur Aktuell'!$D70,INDIRECT(AB$4))+SUMIF(INDIRECT(AB$3),'Struktur Aktuell'!$D70,INDIRECT(AB$5)))</f>
        <v>0</v>
      </c>
      <c r="AC70" s="593">
        <f ca="1">$E70*(-SUMIF(INDIRECT(AC$3),'Struktur Aktuell'!$D70,INDIRECT(AC$4))+SUMIF(INDIRECT(AC$3),'Struktur Aktuell'!$D70,INDIRECT(AC$5)))</f>
        <v>0</v>
      </c>
      <c r="AD70" s="593">
        <f ca="1">$E70*(-SUMIF(INDIRECT(AD$3),'Struktur Aktuell'!$D70,INDIRECT(AD$4))+SUMIF(INDIRECT(AD$3),'Struktur Aktuell'!$D70,INDIRECT(AD$5)))</f>
        <v>0</v>
      </c>
      <c r="AE70" s="593">
        <f t="shared" ca="1" si="81"/>
        <v>0</v>
      </c>
      <c r="AF70" s="593">
        <f t="shared" ca="1" si="82"/>
        <v>0</v>
      </c>
      <c r="AG70" s="593">
        <f t="shared" ca="1" si="83"/>
        <v>0</v>
      </c>
      <c r="AH70" s="593">
        <f t="shared" ca="1" si="84"/>
        <v>0</v>
      </c>
      <c r="AI70" s="593">
        <f t="shared" ca="1" si="85"/>
        <v>0</v>
      </c>
      <c r="AJ70" s="593">
        <f t="shared" ca="1" si="86"/>
        <v>0</v>
      </c>
      <c r="AK70" s="593">
        <f t="shared" ca="1" si="87"/>
        <v>0</v>
      </c>
      <c r="AL70" s="593">
        <f t="shared" ca="1" si="88"/>
        <v>0</v>
      </c>
      <c r="AM70" s="593">
        <f t="shared" ca="1" si="89"/>
        <v>0</v>
      </c>
      <c r="AN70" s="593">
        <f t="shared" ca="1" si="90"/>
        <v>0</v>
      </c>
      <c r="AO70" s="593">
        <f t="shared" ca="1" si="91"/>
        <v>0</v>
      </c>
      <c r="AP70" s="593">
        <f t="shared" ca="1" si="92"/>
        <v>0</v>
      </c>
    </row>
    <row r="71" spans="1:42" s="594" customFormat="1" outlineLevel="1" x14ac:dyDescent="0.2">
      <c r="A71" s="585">
        <v>6</v>
      </c>
      <c r="B71" s="586" t="s">
        <v>1001</v>
      </c>
      <c r="C71" s="587">
        <f ca="1">SUM(G71:R71)</f>
        <v>0</v>
      </c>
      <c r="D71" s="587"/>
      <c r="E71" s="588">
        <f t="shared" si="77"/>
        <v>1</v>
      </c>
      <c r="F71" s="585"/>
      <c r="G71" s="587">
        <f t="shared" ref="G71:R71" ca="1" si="93">SUM(G72:G79)</f>
        <v>0</v>
      </c>
      <c r="H71" s="587">
        <f t="shared" ca="1" si="93"/>
        <v>0</v>
      </c>
      <c r="I71" s="587">
        <f t="shared" ca="1" si="93"/>
        <v>0</v>
      </c>
      <c r="J71" s="587">
        <f t="shared" ca="1" si="93"/>
        <v>0</v>
      </c>
      <c r="K71" s="587">
        <f t="shared" ca="1" si="93"/>
        <v>0</v>
      </c>
      <c r="L71" s="587">
        <f t="shared" ca="1" si="93"/>
        <v>0</v>
      </c>
      <c r="M71" s="587">
        <f t="shared" ca="1" si="93"/>
        <v>0</v>
      </c>
      <c r="N71" s="587">
        <f t="shared" ca="1" si="93"/>
        <v>0</v>
      </c>
      <c r="O71" s="587">
        <f t="shared" ca="1" si="93"/>
        <v>0</v>
      </c>
      <c r="P71" s="587">
        <f t="shared" ca="1" si="93"/>
        <v>0</v>
      </c>
      <c r="Q71" s="587">
        <f t="shared" ca="1" si="93"/>
        <v>0</v>
      </c>
      <c r="R71" s="587">
        <f t="shared" ca="1" si="93"/>
        <v>0</v>
      </c>
      <c r="S71" s="587">
        <f t="shared" ref="S71:AP71" ca="1" si="94">SUM(S72:S79)</f>
        <v>0</v>
      </c>
      <c r="T71" s="587">
        <f t="shared" ca="1" si="94"/>
        <v>0</v>
      </c>
      <c r="U71" s="587">
        <f t="shared" ca="1" si="94"/>
        <v>0</v>
      </c>
      <c r="V71" s="587">
        <f t="shared" ca="1" si="94"/>
        <v>0</v>
      </c>
      <c r="W71" s="587">
        <f t="shared" ca="1" si="94"/>
        <v>0</v>
      </c>
      <c r="X71" s="587">
        <f t="shared" ca="1" si="94"/>
        <v>0</v>
      </c>
      <c r="Y71" s="587">
        <f t="shared" ca="1" si="94"/>
        <v>0</v>
      </c>
      <c r="Z71" s="587">
        <f t="shared" ca="1" si="94"/>
        <v>0</v>
      </c>
      <c r="AA71" s="587">
        <f t="shared" ca="1" si="94"/>
        <v>0</v>
      </c>
      <c r="AB71" s="587">
        <f t="shared" ca="1" si="94"/>
        <v>0</v>
      </c>
      <c r="AC71" s="587">
        <f t="shared" ca="1" si="94"/>
        <v>0</v>
      </c>
      <c r="AD71" s="587">
        <f t="shared" ca="1" si="94"/>
        <v>0</v>
      </c>
      <c r="AE71" s="587">
        <f t="shared" ca="1" si="94"/>
        <v>0</v>
      </c>
      <c r="AF71" s="587">
        <f t="shared" ca="1" si="94"/>
        <v>0</v>
      </c>
      <c r="AG71" s="587">
        <f t="shared" ca="1" si="94"/>
        <v>0</v>
      </c>
      <c r="AH71" s="587">
        <f t="shared" ca="1" si="94"/>
        <v>0</v>
      </c>
      <c r="AI71" s="587">
        <f t="shared" ca="1" si="94"/>
        <v>0</v>
      </c>
      <c r="AJ71" s="587">
        <f t="shared" ca="1" si="94"/>
        <v>0</v>
      </c>
      <c r="AK71" s="587">
        <f t="shared" ca="1" si="94"/>
        <v>0</v>
      </c>
      <c r="AL71" s="587">
        <f t="shared" ca="1" si="94"/>
        <v>0</v>
      </c>
      <c r="AM71" s="587">
        <f t="shared" ca="1" si="94"/>
        <v>0</v>
      </c>
      <c r="AN71" s="587">
        <f t="shared" ca="1" si="94"/>
        <v>0</v>
      </c>
      <c r="AO71" s="587">
        <f t="shared" ca="1" si="94"/>
        <v>0</v>
      </c>
      <c r="AP71" s="587">
        <f t="shared" ca="1" si="94"/>
        <v>0</v>
      </c>
    </row>
    <row r="72" spans="1:42" s="594" customFormat="1" ht="11.25" outlineLevel="1" x14ac:dyDescent="0.2">
      <c r="A72" s="599"/>
      <c r="B72" s="591" t="str">
        <f>IF(D72&lt;&gt;"",
IF(ISERROR(MATCH(D72,'Ist Aktuell Monat 01'!A:A,0))=FALSE,INDEX('Ist Aktuell Monat 01'!B:B,MATCH(D72,'Ist Aktuell Monat 01'!A:A,0)),
IF(ISERROR(MATCH(D72,'Ist Aktuell Monat 02'!A:A,0))=FALSE,INDEX('Ist Aktuell Monat 02'!B:B,MATCH(D72,'Ist Aktuell Monat 02'!A:A,0)),
IF(ISERROR(MATCH(D72,'Ist Aktuell Monat 03'!A:A,0))=FALSE,INDEX('Ist Aktuell Monat 03'!B:B,MATCH(D72,'Ist Aktuell Monat 03'!A:A,0)),
IF(ISERROR(MATCH(D72,'Ist Aktuell Monat 04'!A:A,0))=FALSE,INDEX('Ist Aktuell Monat 04'!B:B,MATCH(D72,'Ist Aktuell Monat 04'!A:A,0)),
IF(ISERROR(MATCH(D72,'Ist Aktuell Monat 05'!A:A,0))=FALSE,INDEX('Ist Aktuell Monat 05'!B:B,MATCH(D72,'Ist Aktuell Monat 05'!A:A,0)),
IF(ISERROR(MATCH(D72,'Ist Aktuell Monat 06'!A:A,0))=FALSE,INDEX('Ist Aktuell Monat 06'!B:B,MATCH(D72,'Ist Aktuell Monat 06'!A:A,0)),
IF(ISERROR(MATCH(D72,'Ist Aktuell Monat 07'!A:A,0))=FALSE,INDEX('Ist Aktuell Monat 07'!B:B,MATCH(D72,'Ist Aktuell Monat 07'!A:A,0)),
IF(ISERROR(MATCH(D72,'Ist Aktuell Monat 08'!A:A,0))=FALSE,INDEX('Ist Aktuell Monat 08'!B:B,MATCH(D72,'Ist Aktuell Monat 08'!A:A,0)),
IF(ISERROR(MATCH(D72,'Ist Aktuell Monat 09'!A:A,0))=FALSE,INDEX('Ist Aktuell Monat 09'!B:B,MATCH(D72,'Ist Aktuell Monat 09'!A:A,0)),
IF(ISERROR(MATCH(D72,'Ist Aktuell Monat 10'!A:A,0))=FALSE,INDEX('Ist Aktuell Monat 10'!B:B,MATCH(D72,'Ist Aktuell Monat 10'!A:A,0)),
IF(ISERROR(MATCH(D72,'Ist Aktuell Monat 11'!A:A,0))=FALSE,INDEX('Ist Aktuell Monat 11'!B:B,MATCH(D72,'Ist Aktuell Monat 11'!A:A,0)),
IF(ISERROR(MATCH(D72,'Ist Aktuell Monat 12'!A:A,0))=FALSE,INDEX('Ist Aktuell Monat 12'!B:B,MATCH(D72,'Ist Aktuell Monat 12'!A:A,0)),
"{Konto unbekannt}"
)))))))))))),"")</f>
        <v/>
      </c>
      <c r="C72" s="591"/>
      <c r="D72" s="590"/>
      <c r="E72" s="592">
        <f t="shared" si="77"/>
        <v>1</v>
      </c>
      <c r="F72" s="599"/>
      <c r="G72" s="593">
        <f ca="1">$E72*(-SUMIF(INDIRECT(G$3),'Struktur Aktuell'!$D72,INDIRECT(G$4))+SUMIF(INDIRECT(G$3),'Struktur Aktuell'!$D72,INDIRECT(G$5)))</f>
        <v>0</v>
      </c>
      <c r="H72" s="593">
        <f ca="1">$E72*(-SUMIF(INDIRECT(H$3),'Struktur Aktuell'!$D72,INDIRECT(H$4))+SUMIF(INDIRECT(H$3),'Struktur Aktuell'!$D72,INDIRECT(H$5)))</f>
        <v>0</v>
      </c>
      <c r="I72" s="593">
        <f ca="1">$E72*(-SUMIF(INDIRECT(I$3),'Struktur Aktuell'!$D72,INDIRECT(I$4))+SUMIF(INDIRECT(I$3),'Struktur Aktuell'!$D72,INDIRECT(I$5)))</f>
        <v>0</v>
      </c>
      <c r="J72" s="593">
        <f ca="1">$E72*(-SUMIF(INDIRECT(J$3),'Struktur Aktuell'!$D72,INDIRECT(J$4))+SUMIF(INDIRECT(J$3),'Struktur Aktuell'!$D72,INDIRECT(J$5)))</f>
        <v>0</v>
      </c>
      <c r="K72" s="593">
        <f ca="1">$E72*(-SUMIF(INDIRECT(K$3),'Struktur Aktuell'!$D72,INDIRECT(K$4))+SUMIF(INDIRECT(K$3),'Struktur Aktuell'!$D72,INDIRECT(K$5)))</f>
        <v>0</v>
      </c>
      <c r="L72" s="593">
        <f ca="1">$E72*(-SUMIF(INDIRECT(L$3),'Struktur Aktuell'!$D72,INDIRECT(L$4))+SUMIF(INDIRECT(L$3),'Struktur Aktuell'!$D72,INDIRECT(L$5)))</f>
        <v>0</v>
      </c>
      <c r="M72" s="593">
        <f ca="1">$E72*(-SUMIF(INDIRECT(M$3),'Struktur Aktuell'!$D72,INDIRECT(M$4))+SUMIF(INDIRECT(M$3),'Struktur Aktuell'!$D72,INDIRECT(M$5)))</f>
        <v>0</v>
      </c>
      <c r="N72" s="593">
        <f ca="1">$E72*(-SUMIF(INDIRECT(N$3),'Struktur Aktuell'!$D72,INDIRECT(N$4))+SUMIF(INDIRECT(N$3),'Struktur Aktuell'!$D72,INDIRECT(N$5)))</f>
        <v>0</v>
      </c>
      <c r="O72" s="593">
        <f ca="1">$E72*(-SUMIF(INDIRECT(O$3),'Struktur Aktuell'!$D72,INDIRECT(O$4))+SUMIF(INDIRECT(O$3),'Struktur Aktuell'!$D72,INDIRECT(O$5)))</f>
        <v>0</v>
      </c>
      <c r="P72" s="593">
        <f ca="1">$E72*(-SUMIF(INDIRECT(P$3),'Struktur Aktuell'!$D72,INDIRECT(P$4))+SUMIF(INDIRECT(P$3),'Struktur Aktuell'!$D72,INDIRECT(P$5)))</f>
        <v>0</v>
      </c>
      <c r="Q72" s="593">
        <f ca="1">$E72*(-SUMIF(INDIRECT(Q$3),'Struktur Aktuell'!$D72,INDIRECT(Q$4))+SUMIF(INDIRECT(Q$3),'Struktur Aktuell'!$D72,INDIRECT(Q$5)))</f>
        <v>0</v>
      </c>
      <c r="R72" s="593">
        <f ca="1">$E72*(-SUMIF(INDIRECT(R$3),'Struktur Aktuell'!$D72,INDIRECT(R$4))+SUMIF(INDIRECT(R$3),'Struktur Aktuell'!$D72,INDIRECT(R$5)))</f>
        <v>0</v>
      </c>
      <c r="S72" s="593">
        <f ca="1">$E72*(-SUMIF(INDIRECT(S$3),'Struktur Aktuell'!$D72,INDIRECT(S$4))+SUMIF(INDIRECT(S$3),'Struktur Aktuell'!$D72,INDIRECT(S$5)))</f>
        <v>0</v>
      </c>
      <c r="T72" s="593">
        <f ca="1">$E72*(-SUMIF(INDIRECT(T$3),'Struktur Aktuell'!$D72,INDIRECT(T$4))+SUMIF(INDIRECT(T$3),'Struktur Aktuell'!$D72,INDIRECT(T$5)))</f>
        <v>0</v>
      </c>
      <c r="U72" s="593">
        <f ca="1">$E72*(-SUMIF(INDIRECT(U$3),'Struktur Aktuell'!$D72,INDIRECT(U$4))+SUMIF(INDIRECT(U$3),'Struktur Aktuell'!$D72,INDIRECT(U$5)))</f>
        <v>0</v>
      </c>
      <c r="V72" s="593">
        <f ca="1">$E72*(-SUMIF(INDIRECT(V$3),'Struktur Aktuell'!$D72,INDIRECT(V$4))+SUMIF(INDIRECT(V$3),'Struktur Aktuell'!$D72,INDIRECT(V$5)))</f>
        <v>0</v>
      </c>
      <c r="W72" s="593">
        <f ca="1">$E72*(-SUMIF(INDIRECT(W$3),'Struktur Aktuell'!$D72,INDIRECT(W$4))+SUMIF(INDIRECT(W$3),'Struktur Aktuell'!$D72,INDIRECT(W$5)))</f>
        <v>0</v>
      </c>
      <c r="X72" s="593">
        <f ca="1">$E72*(-SUMIF(INDIRECT(X$3),'Struktur Aktuell'!$D72,INDIRECT(X$4))+SUMIF(INDIRECT(X$3),'Struktur Aktuell'!$D72,INDIRECT(X$5)))</f>
        <v>0</v>
      </c>
      <c r="Y72" s="593">
        <f ca="1">$E72*(-SUMIF(INDIRECT(Y$3),'Struktur Aktuell'!$D72,INDIRECT(Y$4))+SUMIF(INDIRECT(Y$3),'Struktur Aktuell'!$D72,INDIRECT(Y$5)))</f>
        <v>0</v>
      </c>
      <c r="Z72" s="593">
        <f ca="1">$E72*(-SUMIF(INDIRECT(Z$3),'Struktur Aktuell'!$D72,INDIRECT(Z$4))+SUMIF(INDIRECT(Z$3),'Struktur Aktuell'!$D72,INDIRECT(Z$5)))</f>
        <v>0</v>
      </c>
      <c r="AA72" s="593">
        <f ca="1">$E72*(-SUMIF(INDIRECT(AA$3),'Struktur Aktuell'!$D72,INDIRECT(AA$4))+SUMIF(INDIRECT(AA$3),'Struktur Aktuell'!$D72,INDIRECT(AA$5)))</f>
        <v>0</v>
      </c>
      <c r="AB72" s="593">
        <f ca="1">$E72*(-SUMIF(INDIRECT(AB$3),'Struktur Aktuell'!$D72,INDIRECT(AB$4))+SUMIF(INDIRECT(AB$3),'Struktur Aktuell'!$D72,INDIRECT(AB$5)))</f>
        <v>0</v>
      </c>
      <c r="AC72" s="593">
        <f ca="1">$E72*(-SUMIF(INDIRECT(AC$3),'Struktur Aktuell'!$D72,INDIRECT(AC$4))+SUMIF(INDIRECT(AC$3),'Struktur Aktuell'!$D72,INDIRECT(AC$5)))</f>
        <v>0</v>
      </c>
      <c r="AD72" s="593">
        <f ca="1">$E72*(-SUMIF(INDIRECT(AD$3),'Struktur Aktuell'!$D72,INDIRECT(AD$4))+SUMIF(INDIRECT(AD$3),'Struktur Aktuell'!$D72,INDIRECT(AD$5)))</f>
        <v>0</v>
      </c>
      <c r="AE72" s="593">
        <f t="shared" ref="AE72:AE79" ca="1" si="95">G72</f>
        <v>0</v>
      </c>
      <c r="AF72" s="593">
        <f t="shared" ref="AF72:AF79" ca="1" si="96">H72+AE72</f>
        <v>0</v>
      </c>
      <c r="AG72" s="593">
        <f t="shared" ref="AG72:AG79" ca="1" si="97">I72+AF72</f>
        <v>0</v>
      </c>
      <c r="AH72" s="593">
        <f t="shared" ref="AH72:AH79" ca="1" si="98">J72+AG72</f>
        <v>0</v>
      </c>
      <c r="AI72" s="593">
        <f t="shared" ref="AI72:AI79" ca="1" si="99">K72+AH72</f>
        <v>0</v>
      </c>
      <c r="AJ72" s="593">
        <f t="shared" ref="AJ72:AJ79" ca="1" si="100">L72+AI72</f>
        <v>0</v>
      </c>
      <c r="AK72" s="593">
        <f t="shared" ref="AK72:AK79" ca="1" si="101">M72+AJ72</f>
        <v>0</v>
      </c>
      <c r="AL72" s="593">
        <f t="shared" ref="AL72:AL79" ca="1" si="102">N72+AK72</f>
        <v>0</v>
      </c>
      <c r="AM72" s="593">
        <f t="shared" ref="AM72:AM79" ca="1" si="103">O72+AL72</f>
        <v>0</v>
      </c>
      <c r="AN72" s="593">
        <f t="shared" ref="AN72:AN79" ca="1" si="104">P72+AM72</f>
        <v>0</v>
      </c>
      <c r="AO72" s="593">
        <f t="shared" ref="AO72:AO79" ca="1" si="105">Q72+AN72</f>
        <v>0</v>
      </c>
      <c r="AP72" s="593">
        <f t="shared" ref="AP72:AP79" ca="1" si="106">R72+AO72</f>
        <v>0</v>
      </c>
    </row>
    <row r="73" spans="1:42" s="594" customFormat="1" ht="11.25" outlineLevel="1" x14ac:dyDescent="0.2">
      <c r="A73" s="599"/>
      <c r="B73" s="591" t="str">
        <f>IF(D73&lt;&gt;"",
IF(ISERROR(MATCH(D73,'Ist Aktuell Monat 01'!A:A,0))=FALSE,INDEX('Ist Aktuell Monat 01'!B:B,MATCH(D73,'Ist Aktuell Monat 01'!A:A,0)),
IF(ISERROR(MATCH(D73,'Ist Aktuell Monat 02'!A:A,0))=FALSE,INDEX('Ist Aktuell Monat 02'!B:B,MATCH(D73,'Ist Aktuell Monat 02'!A:A,0)),
IF(ISERROR(MATCH(D73,'Ist Aktuell Monat 03'!A:A,0))=FALSE,INDEX('Ist Aktuell Monat 03'!B:B,MATCH(D73,'Ist Aktuell Monat 03'!A:A,0)),
IF(ISERROR(MATCH(D73,'Ist Aktuell Monat 04'!A:A,0))=FALSE,INDEX('Ist Aktuell Monat 04'!B:B,MATCH(D73,'Ist Aktuell Monat 04'!A:A,0)),
IF(ISERROR(MATCH(D73,'Ist Aktuell Monat 05'!A:A,0))=FALSE,INDEX('Ist Aktuell Monat 05'!B:B,MATCH(D73,'Ist Aktuell Monat 05'!A:A,0)),
IF(ISERROR(MATCH(D73,'Ist Aktuell Monat 06'!A:A,0))=FALSE,INDEX('Ist Aktuell Monat 06'!B:B,MATCH(D73,'Ist Aktuell Monat 06'!A:A,0)),
IF(ISERROR(MATCH(D73,'Ist Aktuell Monat 07'!A:A,0))=FALSE,INDEX('Ist Aktuell Monat 07'!B:B,MATCH(D73,'Ist Aktuell Monat 07'!A:A,0)),
IF(ISERROR(MATCH(D73,'Ist Aktuell Monat 08'!A:A,0))=FALSE,INDEX('Ist Aktuell Monat 08'!B:B,MATCH(D73,'Ist Aktuell Monat 08'!A:A,0)),
IF(ISERROR(MATCH(D73,'Ist Aktuell Monat 09'!A:A,0))=FALSE,INDEX('Ist Aktuell Monat 09'!B:B,MATCH(D73,'Ist Aktuell Monat 09'!A:A,0)),
IF(ISERROR(MATCH(D73,'Ist Aktuell Monat 10'!A:A,0))=FALSE,INDEX('Ist Aktuell Monat 10'!B:B,MATCH(D73,'Ist Aktuell Monat 10'!A:A,0)),
IF(ISERROR(MATCH(D73,'Ist Aktuell Monat 11'!A:A,0))=FALSE,INDEX('Ist Aktuell Monat 11'!B:B,MATCH(D73,'Ist Aktuell Monat 11'!A:A,0)),
IF(ISERROR(MATCH(D73,'Ist Aktuell Monat 12'!A:A,0))=FALSE,INDEX('Ist Aktuell Monat 12'!B:B,MATCH(D73,'Ist Aktuell Monat 12'!A:A,0)),
"{Konto unbekannt}"
)))))))))))),"")</f>
        <v/>
      </c>
      <c r="C73" s="591"/>
      <c r="D73" s="590"/>
      <c r="E73" s="592">
        <f t="shared" si="77"/>
        <v>1</v>
      </c>
      <c r="F73" s="599"/>
      <c r="G73" s="593">
        <f ca="1">$E73*(-SUMIF(INDIRECT(G$3),'Struktur Aktuell'!$D73,INDIRECT(G$4))+SUMIF(INDIRECT(G$3),'Struktur Aktuell'!$D73,INDIRECT(G$5)))</f>
        <v>0</v>
      </c>
      <c r="H73" s="593">
        <f ca="1">$E73*(-SUMIF(INDIRECT(H$3),'Struktur Aktuell'!$D73,INDIRECT(H$4))+SUMIF(INDIRECT(H$3),'Struktur Aktuell'!$D73,INDIRECT(H$5)))</f>
        <v>0</v>
      </c>
      <c r="I73" s="593">
        <f ca="1">$E73*(-SUMIF(INDIRECT(I$3),'Struktur Aktuell'!$D73,INDIRECT(I$4))+SUMIF(INDIRECT(I$3),'Struktur Aktuell'!$D73,INDIRECT(I$5)))</f>
        <v>0</v>
      </c>
      <c r="J73" s="593">
        <f ca="1">$E73*(-SUMIF(INDIRECT(J$3),'Struktur Aktuell'!$D73,INDIRECT(J$4))+SUMIF(INDIRECT(J$3),'Struktur Aktuell'!$D73,INDIRECT(J$5)))</f>
        <v>0</v>
      </c>
      <c r="K73" s="593">
        <f ca="1">$E73*(-SUMIF(INDIRECT(K$3),'Struktur Aktuell'!$D73,INDIRECT(K$4))+SUMIF(INDIRECT(K$3),'Struktur Aktuell'!$D73,INDIRECT(K$5)))</f>
        <v>0</v>
      </c>
      <c r="L73" s="593">
        <f ca="1">$E73*(-SUMIF(INDIRECT(L$3),'Struktur Aktuell'!$D73,INDIRECT(L$4))+SUMIF(INDIRECT(L$3),'Struktur Aktuell'!$D73,INDIRECT(L$5)))</f>
        <v>0</v>
      </c>
      <c r="M73" s="593">
        <f ca="1">$E73*(-SUMIF(INDIRECT(M$3),'Struktur Aktuell'!$D73,INDIRECT(M$4))+SUMIF(INDIRECT(M$3),'Struktur Aktuell'!$D73,INDIRECT(M$5)))</f>
        <v>0</v>
      </c>
      <c r="N73" s="593">
        <f ca="1">$E73*(-SUMIF(INDIRECT(N$3),'Struktur Aktuell'!$D73,INDIRECT(N$4))+SUMIF(INDIRECT(N$3),'Struktur Aktuell'!$D73,INDIRECT(N$5)))</f>
        <v>0</v>
      </c>
      <c r="O73" s="593">
        <f ca="1">$E73*(-SUMIF(INDIRECT(O$3),'Struktur Aktuell'!$D73,INDIRECT(O$4))+SUMIF(INDIRECT(O$3),'Struktur Aktuell'!$D73,INDIRECT(O$5)))</f>
        <v>0</v>
      </c>
      <c r="P73" s="593">
        <f ca="1">$E73*(-SUMIF(INDIRECT(P$3),'Struktur Aktuell'!$D73,INDIRECT(P$4))+SUMIF(INDIRECT(P$3),'Struktur Aktuell'!$D73,INDIRECT(P$5)))</f>
        <v>0</v>
      </c>
      <c r="Q73" s="593">
        <f ca="1">$E73*(-SUMIF(INDIRECT(Q$3),'Struktur Aktuell'!$D73,INDIRECT(Q$4))+SUMIF(INDIRECT(Q$3),'Struktur Aktuell'!$D73,INDIRECT(Q$5)))</f>
        <v>0</v>
      </c>
      <c r="R73" s="593">
        <f ca="1">$E73*(-SUMIF(INDIRECT(R$3),'Struktur Aktuell'!$D73,INDIRECT(R$4))+SUMIF(INDIRECT(R$3),'Struktur Aktuell'!$D73,INDIRECT(R$5)))</f>
        <v>0</v>
      </c>
      <c r="S73" s="593">
        <f ca="1">$E73*(-SUMIF(INDIRECT(S$3),'Struktur Aktuell'!$D73,INDIRECT(S$4))+SUMIF(INDIRECT(S$3),'Struktur Aktuell'!$D73,INDIRECT(S$5)))</f>
        <v>0</v>
      </c>
      <c r="T73" s="593">
        <f ca="1">$E73*(-SUMIF(INDIRECT(T$3),'Struktur Aktuell'!$D73,INDIRECT(T$4))+SUMIF(INDIRECT(T$3),'Struktur Aktuell'!$D73,INDIRECT(T$5)))</f>
        <v>0</v>
      </c>
      <c r="U73" s="593">
        <f ca="1">$E73*(-SUMIF(INDIRECT(U$3),'Struktur Aktuell'!$D73,INDIRECT(U$4))+SUMIF(INDIRECT(U$3),'Struktur Aktuell'!$D73,INDIRECT(U$5)))</f>
        <v>0</v>
      </c>
      <c r="V73" s="593">
        <f ca="1">$E73*(-SUMIF(INDIRECT(V$3),'Struktur Aktuell'!$D73,INDIRECT(V$4))+SUMIF(INDIRECT(V$3),'Struktur Aktuell'!$D73,INDIRECT(V$5)))</f>
        <v>0</v>
      </c>
      <c r="W73" s="593">
        <f ca="1">$E73*(-SUMIF(INDIRECT(W$3),'Struktur Aktuell'!$D73,INDIRECT(W$4))+SUMIF(INDIRECT(W$3),'Struktur Aktuell'!$D73,INDIRECT(W$5)))</f>
        <v>0</v>
      </c>
      <c r="X73" s="593">
        <f ca="1">$E73*(-SUMIF(INDIRECT(X$3),'Struktur Aktuell'!$D73,INDIRECT(X$4))+SUMIF(INDIRECT(X$3),'Struktur Aktuell'!$D73,INDIRECT(X$5)))</f>
        <v>0</v>
      </c>
      <c r="Y73" s="593">
        <f ca="1">$E73*(-SUMIF(INDIRECT(Y$3),'Struktur Aktuell'!$D73,INDIRECT(Y$4))+SUMIF(INDIRECT(Y$3),'Struktur Aktuell'!$D73,INDIRECT(Y$5)))</f>
        <v>0</v>
      </c>
      <c r="Z73" s="593">
        <f ca="1">$E73*(-SUMIF(INDIRECT(Z$3),'Struktur Aktuell'!$D73,INDIRECT(Z$4))+SUMIF(INDIRECT(Z$3),'Struktur Aktuell'!$D73,INDIRECT(Z$5)))</f>
        <v>0</v>
      </c>
      <c r="AA73" s="593">
        <f ca="1">$E73*(-SUMIF(INDIRECT(AA$3),'Struktur Aktuell'!$D73,INDIRECT(AA$4))+SUMIF(INDIRECT(AA$3),'Struktur Aktuell'!$D73,INDIRECT(AA$5)))</f>
        <v>0</v>
      </c>
      <c r="AB73" s="593">
        <f ca="1">$E73*(-SUMIF(INDIRECT(AB$3),'Struktur Aktuell'!$D73,INDIRECT(AB$4))+SUMIF(INDIRECT(AB$3),'Struktur Aktuell'!$D73,INDIRECT(AB$5)))</f>
        <v>0</v>
      </c>
      <c r="AC73" s="593">
        <f ca="1">$E73*(-SUMIF(INDIRECT(AC$3),'Struktur Aktuell'!$D73,INDIRECT(AC$4))+SUMIF(INDIRECT(AC$3),'Struktur Aktuell'!$D73,INDIRECT(AC$5)))</f>
        <v>0</v>
      </c>
      <c r="AD73" s="593">
        <f ca="1">$E73*(-SUMIF(INDIRECT(AD$3),'Struktur Aktuell'!$D73,INDIRECT(AD$4))+SUMIF(INDIRECT(AD$3),'Struktur Aktuell'!$D73,INDIRECT(AD$5)))</f>
        <v>0</v>
      </c>
      <c r="AE73" s="593">
        <f t="shared" ca="1" si="95"/>
        <v>0</v>
      </c>
      <c r="AF73" s="593">
        <f t="shared" ca="1" si="96"/>
        <v>0</v>
      </c>
      <c r="AG73" s="593">
        <f t="shared" ca="1" si="97"/>
        <v>0</v>
      </c>
      <c r="AH73" s="593">
        <f t="shared" ca="1" si="98"/>
        <v>0</v>
      </c>
      <c r="AI73" s="593">
        <f t="shared" ca="1" si="99"/>
        <v>0</v>
      </c>
      <c r="AJ73" s="593">
        <f t="shared" ca="1" si="100"/>
        <v>0</v>
      </c>
      <c r="AK73" s="593">
        <f t="shared" ca="1" si="101"/>
        <v>0</v>
      </c>
      <c r="AL73" s="593">
        <f t="shared" ca="1" si="102"/>
        <v>0</v>
      </c>
      <c r="AM73" s="593">
        <f t="shared" ca="1" si="103"/>
        <v>0</v>
      </c>
      <c r="AN73" s="593">
        <f t="shared" ca="1" si="104"/>
        <v>0</v>
      </c>
      <c r="AO73" s="593">
        <f t="shared" ca="1" si="105"/>
        <v>0</v>
      </c>
      <c r="AP73" s="593">
        <f t="shared" ca="1" si="106"/>
        <v>0</v>
      </c>
    </row>
    <row r="74" spans="1:42" s="594" customFormat="1" ht="11.25" outlineLevel="1" x14ac:dyDescent="0.2">
      <c r="A74" s="599"/>
      <c r="B74" s="591" t="str">
        <f>IF(D74&lt;&gt;"",
IF(ISERROR(MATCH(D74,'Ist Aktuell Monat 01'!A:A,0))=FALSE,INDEX('Ist Aktuell Monat 01'!B:B,MATCH(D74,'Ist Aktuell Monat 01'!A:A,0)),
IF(ISERROR(MATCH(D74,'Ist Aktuell Monat 02'!A:A,0))=FALSE,INDEX('Ist Aktuell Monat 02'!B:B,MATCH(D74,'Ist Aktuell Monat 02'!A:A,0)),
IF(ISERROR(MATCH(D74,'Ist Aktuell Monat 03'!A:A,0))=FALSE,INDEX('Ist Aktuell Monat 03'!B:B,MATCH(D74,'Ist Aktuell Monat 03'!A:A,0)),
IF(ISERROR(MATCH(D74,'Ist Aktuell Monat 04'!A:A,0))=FALSE,INDEX('Ist Aktuell Monat 04'!B:B,MATCH(D74,'Ist Aktuell Monat 04'!A:A,0)),
IF(ISERROR(MATCH(D74,'Ist Aktuell Monat 05'!A:A,0))=FALSE,INDEX('Ist Aktuell Monat 05'!B:B,MATCH(D74,'Ist Aktuell Monat 05'!A:A,0)),
IF(ISERROR(MATCH(D74,'Ist Aktuell Monat 06'!A:A,0))=FALSE,INDEX('Ist Aktuell Monat 06'!B:B,MATCH(D74,'Ist Aktuell Monat 06'!A:A,0)),
IF(ISERROR(MATCH(D74,'Ist Aktuell Monat 07'!A:A,0))=FALSE,INDEX('Ist Aktuell Monat 07'!B:B,MATCH(D74,'Ist Aktuell Monat 07'!A:A,0)),
IF(ISERROR(MATCH(D74,'Ist Aktuell Monat 08'!A:A,0))=FALSE,INDEX('Ist Aktuell Monat 08'!B:B,MATCH(D74,'Ist Aktuell Monat 08'!A:A,0)),
IF(ISERROR(MATCH(D74,'Ist Aktuell Monat 09'!A:A,0))=FALSE,INDEX('Ist Aktuell Monat 09'!B:B,MATCH(D74,'Ist Aktuell Monat 09'!A:A,0)),
IF(ISERROR(MATCH(D74,'Ist Aktuell Monat 10'!A:A,0))=FALSE,INDEX('Ist Aktuell Monat 10'!B:B,MATCH(D74,'Ist Aktuell Monat 10'!A:A,0)),
IF(ISERROR(MATCH(D74,'Ist Aktuell Monat 11'!A:A,0))=FALSE,INDEX('Ist Aktuell Monat 11'!B:B,MATCH(D74,'Ist Aktuell Monat 11'!A:A,0)),
IF(ISERROR(MATCH(D74,'Ist Aktuell Monat 12'!A:A,0))=FALSE,INDEX('Ist Aktuell Monat 12'!B:B,MATCH(D74,'Ist Aktuell Monat 12'!A:A,0)),
"{Konto unbekannt}"
)))))))))))),"")</f>
        <v/>
      </c>
      <c r="C74" s="591"/>
      <c r="D74" s="590"/>
      <c r="E74" s="592">
        <f t="shared" si="77"/>
        <v>1</v>
      </c>
      <c r="F74" s="599"/>
      <c r="G74" s="593">
        <f ca="1">$E74*(-SUMIF(INDIRECT(G$3),'Struktur Aktuell'!$D74,INDIRECT(G$4))+SUMIF(INDIRECT(G$3),'Struktur Aktuell'!$D74,INDIRECT(G$5)))</f>
        <v>0</v>
      </c>
      <c r="H74" s="593">
        <f ca="1">$E74*(-SUMIF(INDIRECT(H$3),'Struktur Aktuell'!$D74,INDIRECT(H$4))+SUMIF(INDIRECT(H$3),'Struktur Aktuell'!$D74,INDIRECT(H$5)))</f>
        <v>0</v>
      </c>
      <c r="I74" s="593">
        <f ca="1">$E74*(-SUMIF(INDIRECT(I$3),'Struktur Aktuell'!$D74,INDIRECT(I$4))+SUMIF(INDIRECT(I$3),'Struktur Aktuell'!$D74,INDIRECT(I$5)))</f>
        <v>0</v>
      </c>
      <c r="J74" s="593">
        <f ca="1">$E74*(-SUMIF(INDIRECT(J$3),'Struktur Aktuell'!$D74,INDIRECT(J$4))+SUMIF(INDIRECT(J$3),'Struktur Aktuell'!$D74,INDIRECT(J$5)))</f>
        <v>0</v>
      </c>
      <c r="K74" s="593">
        <f ca="1">$E74*(-SUMIF(INDIRECT(K$3),'Struktur Aktuell'!$D74,INDIRECT(K$4))+SUMIF(INDIRECT(K$3),'Struktur Aktuell'!$D74,INDIRECT(K$5)))</f>
        <v>0</v>
      </c>
      <c r="L74" s="593">
        <f ca="1">$E74*(-SUMIF(INDIRECT(L$3),'Struktur Aktuell'!$D74,INDIRECT(L$4))+SUMIF(INDIRECT(L$3),'Struktur Aktuell'!$D74,INDIRECT(L$5)))</f>
        <v>0</v>
      </c>
      <c r="M74" s="593">
        <f ca="1">$E74*(-SUMIF(INDIRECT(M$3),'Struktur Aktuell'!$D74,INDIRECT(M$4))+SUMIF(INDIRECT(M$3),'Struktur Aktuell'!$D74,INDIRECT(M$5)))</f>
        <v>0</v>
      </c>
      <c r="N74" s="593">
        <f ca="1">$E74*(-SUMIF(INDIRECT(N$3),'Struktur Aktuell'!$D74,INDIRECT(N$4))+SUMIF(INDIRECT(N$3),'Struktur Aktuell'!$D74,INDIRECT(N$5)))</f>
        <v>0</v>
      </c>
      <c r="O74" s="593">
        <f ca="1">$E74*(-SUMIF(INDIRECT(O$3),'Struktur Aktuell'!$D74,INDIRECT(O$4))+SUMIF(INDIRECT(O$3),'Struktur Aktuell'!$D74,INDIRECT(O$5)))</f>
        <v>0</v>
      </c>
      <c r="P74" s="593">
        <f ca="1">$E74*(-SUMIF(INDIRECT(P$3),'Struktur Aktuell'!$D74,INDIRECT(P$4))+SUMIF(INDIRECT(P$3),'Struktur Aktuell'!$D74,INDIRECT(P$5)))</f>
        <v>0</v>
      </c>
      <c r="Q74" s="593">
        <f ca="1">$E74*(-SUMIF(INDIRECT(Q$3),'Struktur Aktuell'!$D74,INDIRECT(Q$4))+SUMIF(INDIRECT(Q$3),'Struktur Aktuell'!$D74,INDIRECT(Q$5)))</f>
        <v>0</v>
      </c>
      <c r="R74" s="593">
        <f ca="1">$E74*(-SUMIF(INDIRECT(R$3),'Struktur Aktuell'!$D74,INDIRECT(R$4))+SUMIF(INDIRECT(R$3),'Struktur Aktuell'!$D74,INDIRECT(R$5)))</f>
        <v>0</v>
      </c>
      <c r="S74" s="593">
        <f ca="1">$E74*(-SUMIF(INDIRECT(S$3),'Struktur Aktuell'!$D74,INDIRECT(S$4))+SUMIF(INDIRECT(S$3),'Struktur Aktuell'!$D74,INDIRECT(S$5)))</f>
        <v>0</v>
      </c>
      <c r="T74" s="593">
        <f ca="1">$E74*(-SUMIF(INDIRECT(T$3),'Struktur Aktuell'!$D74,INDIRECT(T$4))+SUMIF(INDIRECT(T$3),'Struktur Aktuell'!$D74,INDIRECT(T$5)))</f>
        <v>0</v>
      </c>
      <c r="U74" s="593">
        <f ca="1">$E74*(-SUMIF(INDIRECT(U$3),'Struktur Aktuell'!$D74,INDIRECT(U$4))+SUMIF(INDIRECT(U$3),'Struktur Aktuell'!$D74,INDIRECT(U$5)))</f>
        <v>0</v>
      </c>
      <c r="V74" s="593">
        <f ca="1">$E74*(-SUMIF(INDIRECT(V$3),'Struktur Aktuell'!$D74,INDIRECT(V$4))+SUMIF(INDIRECT(V$3),'Struktur Aktuell'!$D74,INDIRECT(V$5)))</f>
        <v>0</v>
      </c>
      <c r="W74" s="593">
        <f ca="1">$E74*(-SUMIF(INDIRECT(W$3),'Struktur Aktuell'!$D74,INDIRECT(W$4))+SUMIF(INDIRECT(W$3),'Struktur Aktuell'!$D74,INDIRECT(W$5)))</f>
        <v>0</v>
      </c>
      <c r="X74" s="593">
        <f ca="1">$E74*(-SUMIF(INDIRECT(X$3),'Struktur Aktuell'!$D74,INDIRECT(X$4))+SUMIF(INDIRECT(X$3),'Struktur Aktuell'!$D74,INDIRECT(X$5)))</f>
        <v>0</v>
      </c>
      <c r="Y74" s="593">
        <f ca="1">$E74*(-SUMIF(INDIRECT(Y$3),'Struktur Aktuell'!$D74,INDIRECT(Y$4))+SUMIF(INDIRECT(Y$3),'Struktur Aktuell'!$D74,INDIRECT(Y$5)))</f>
        <v>0</v>
      </c>
      <c r="Z74" s="593">
        <f ca="1">$E74*(-SUMIF(INDIRECT(Z$3),'Struktur Aktuell'!$D74,INDIRECT(Z$4))+SUMIF(INDIRECT(Z$3),'Struktur Aktuell'!$D74,INDIRECT(Z$5)))</f>
        <v>0</v>
      </c>
      <c r="AA74" s="593">
        <f ca="1">$E74*(-SUMIF(INDIRECT(AA$3),'Struktur Aktuell'!$D74,INDIRECT(AA$4))+SUMIF(INDIRECT(AA$3),'Struktur Aktuell'!$D74,INDIRECT(AA$5)))</f>
        <v>0</v>
      </c>
      <c r="AB74" s="593">
        <f ca="1">$E74*(-SUMIF(INDIRECT(AB$3),'Struktur Aktuell'!$D74,INDIRECT(AB$4))+SUMIF(INDIRECT(AB$3),'Struktur Aktuell'!$D74,INDIRECT(AB$5)))</f>
        <v>0</v>
      </c>
      <c r="AC74" s="593">
        <f ca="1">$E74*(-SUMIF(INDIRECT(AC$3),'Struktur Aktuell'!$D74,INDIRECT(AC$4))+SUMIF(INDIRECT(AC$3),'Struktur Aktuell'!$D74,INDIRECT(AC$5)))</f>
        <v>0</v>
      </c>
      <c r="AD74" s="593">
        <f ca="1">$E74*(-SUMIF(INDIRECT(AD$3),'Struktur Aktuell'!$D74,INDIRECT(AD$4))+SUMIF(INDIRECT(AD$3),'Struktur Aktuell'!$D74,INDIRECT(AD$5)))</f>
        <v>0</v>
      </c>
      <c r="AE74" s="593">
        <f t="shared" ca="1" si="95"/>
        <v>0</v>
      </c>
      <c r="AF74" s="593">
        <f t="shared" ca="1" si="96"/>
        <v>0</v>
      </c>
      <c r="AG74" s="593">
        <f t="shared" ca="1" si="97"/>
        <v>0</v>
      </c>
      <c r="AH74" s="593">
        <f t="shared" ca="1" si="98"/>
        <v>0</v>
      </c>
      <c r="AI74" s="593">
        <f t="shared" ca="1" si="99"/>
        <v>0</v>
      </c>
      <c r="AJ74" s="593">
        <f t="shared" ca="1" si="100"/>
        <v>0</v>
      </c>
      <c r="AK74" s="593">
        <f t="shared" ca="1" si="101"/>
        <v>0</v>
      </c>
      <c r="AL74" s="593">
        <f t="shared" ca="1" si="102"/>
        <v>0</v>
      </c>
      <c r="AM74" s="593">
        <f t="shared" ca="1" si="103"/>
        <v>0</v>
      </c>
      <c r="AN74" s="593">
        <f t="shared" ca="1" si="104"/>
        <v>0</v>
      </c>
      <c r="AO74" s="593">
        <f t="shared" ca="1" si="105"/>
        <v>0</v>
      </c>
      <c r="AP74" s="593">
        <f t="shared" ca="1" si="106"/>
        <v>0</v>
      </c>
    </row>
    <row r="75" spans="1:42" s="594" customFormat="1" ht="11.25" outlineLevel="1" x14ac:dyDescent="0.2">
      <c r="A75" s="599"/>
      <c r="B75" s="591" t="str">
        <f>IF(D75&lt;&gt;"",
IF(ISERROR(MATCH(D75,'Ist Aktuell Monat 01'!A:A,0))=FALSE,INDEX('Ist Aktuell Monat 01'!B:B,MATCH(D75,'Ist Aktuell Monat 01'!A:A,0)),
IF(ISERROR(MATCH(D75,'Ist Aktuell Monat 02'!A:A,0))=FALSE,INDEX('Ist Aktuell Monat 02'!B:B,MATCH(D75,'Ist Aktuell Monat 02'!A:A,0)),
IF(ISERROR(MATCH(D75,'Ist Aktuell Monat 03'!A:A,0))=FALSE,INDEX('Ist Aktuell Monat 03'!B:B,MATCH(D75,'Ist Aktuell Monat 03'!A:A,0)),
IF(ISERROR(MATCH(D75,'Ist Aktuell Monat 04'!A:A,0))=FALSE,INDEX('Ist Aktuell Monat 04'!B:B,MATCH(D75,'Ist Aktuell Monat 04'!A:A,0)),
IF(ISERROR(MATCH(D75,'Ist Aktuell Monat 05'!A:A,0))=FALSE,INDEX('Ist Aktuell Monat 05'!B:B,MATCH(D75,'Ist Aktuell Monat 05'!A:A,0)),
IF(ISERROR(MATCH(D75,'Ist Aktuell Monat 06'!A:A,0))=FALSE,INDEX('Ist Aktuell Monat 06'!B:B,MATCH(D75,'Ist Aktuell Monat 06'!A:A,0)),
IF(ISERROR(MATCH(D75,'Ist Aktuell Monat 07'!A:A,0))=FALSE,INDEX('Ist Aktuell Monat 07'!B:B,MATCH(D75,'Ist Aktuell Monat 07'!A:A,0)),
IF(ISERROR(MATCH(D75,'Ist Aktuell Monat 08'!A:A,0))=FALSE,INDEX('Ist Aktuell Monat 08'!B:B,MATCH(D75,'Ist Aktuell Monat 08'!A:A,0)),
IF(ISERROR(MATCH(D75,'Ist Aktuell Monat 09'!A:A,0))=FALSE,INDEX('Ist Aktuell Monat 09'!B:B,MATCH(D75,'Ist Aktuell Monat 09'!A:A,0)),
IF(ISERROR(MATCH(D75,'Ist Aktuell Monat 10'!A:A,0))=FALSE,INDEX('Ist Aktuell Monat 10'!B:B,MATCH(D75,'Ist Aktuell Monat 10'!A:A,0)),
IF(ISERROR(MATCH(D75,'Ist Aktuell Monat 11'!A:A,0))=FALSE,INDEX('Ist Aktuell Monat 11'!B:B,MATCH(D75,'Ist Aktuell Monat 11'!A:A,0)),
IF(ISERROR(MATCH(D75,'Ist Aktuell Monat 12'!A:A,0))=FALSE,INDEX('Ist Aktuell Monat 12'!B:B,MATCH(D75,'Ist Aktuell Monat 12'!A:A,0)),
"{Konto unbekannt}"
)))))))))))),"")</f>
        <v/>
      </c>
      <c r="C75" s="591"/>
      <c r="D75" s="590"/>
      <c r="E75" s="592">
        <f t="shared" si="77"/>
        <v>1</v>
      </c>
      <c r="F75" s="599"/>
      <c r="G75" s="593">
        <f ca="1">$E75*(-SUMIF(INDIRECT(G$3),'Struktur Aktuell'!$D75,INDIRECT(G$4))+SUMIF(INDIRECT(G$3),'Struktur Aktuell'!$D75,INDIRECT(G$5)))</f>
        <v>0</v>
      </c>
      <c r="H75" s="593">
        <f ca="1">$E75*(-SUMIF(INDIRECT(H$3),'Struktur Aktuell'!$D75,INDIRECT(H$4))+SUMIF(INDIRECT(H$3),'Struktur Aktuell'!$D75,INDIRECT(H$5)))</f>
        <v>0</v>
      </c>
      <c r="I75" s="593">
        <f ca="1">$E75*(-SUMIF(INDIRECT(I$3),'Struktur Aktuell'!$D75,INDIRECT(I$4))+SUMIF(INDIRECT(I$3),'Struktur Aktuell'!$D75,INDIRECT(I$5)))</f>
        <v>0</v>
      </c>
      <c r="J75" s="593">
        <f ca="1">$E75*(-SUMIF(INDIRECT(J$3),'Struktur Aktuell'!$D75,INDIRECT(J$4))+SUMIF(INDIRECT(J$3),'Struktur Aktuell'!$D75,INDIRECT(J$5)))</f>
        <v>0</v>
      </c>
      <c r="K75" s="593">
        <f ca="1">$E75*(-SUMIF(INDIRECT(K$3),'Struktur Aktuell'!$D75,INDIRECT(K$4))+SUMIF(INDIRECT(K$3),'Struktur Aktuell'!$D75,INDIRECT(K$5)))</f>
        <v>0</v>
      </c>
      <c r="L75" s="593">
        <f ca="1">$E75*(-SUMIF(INDIRECT(L$3),'Struktur Aktuell'!$D75,INDIRECT(L$4))+SUMIF(INDIRECT(L$3),'Struktur Aktuell'!$D75,INDIRECT(L$5)))</f>
        <v>0</v>
      </c>
      <c r="M75" s="593">
        <f ca="1">$E75*(-SUMIF(INDIRECT(M$3),'Struktur Aktuell'!$D75,INDIRECT(M$4))+SUMIF(INDIRECT(M$3),'Struktur Aktuell'!$D75,INDIRECT(M$5)))</f>
        <v>0</v>
      </c>
      <c r="N75" s="593">
        <f ca="1">$E75*(-SUMIF(INDIRECT(N$3),'Struktur Aktuell'!$D75,INDIRECT(N$4))+SUMIF(INDIRECT(N$3),'Struktur Aktuell'!$D75,INDIRECT(N$5)))</f>
        <v>0</v>
      </c>
      <c r="O75" s="593">
        <f ca="1">$E75*(-SUMIF(INDIRECT(O$3),'Struktur Aktuell'!$D75,INDIRECT(O$4))+SUMIF(INDIRECT(O$3),'Struktur Aktuell'!$D75,INDIRECT(O$5)))</f>
        <v>0</v>
      </c>
      <c r="P75" s="593">
        <f ca="1">$E75*(-SUMIF(INDIRECT(P$3),'Struktur Aktuell'!$D75,INDIRECT(P$4))+SUMIF(INDIRECT(P$3),'Struktur Aktuell'!$D75,INDIRECT(P$5)))</f>
        <v>0</v>
      </c>
      <c r="Q75" s="593">
        <f ca="1">$E75*(-SUMIF(INDIRECT(Q$3),'Struktur Aktuell'!$D75,INDIRECT(Q$4))+SUMIF(INDIRECT(Q$3),'Struktur Aktuell'!$D75,INDIRECT(Q$5)))</f>
        <v>0</v>
      </c>
      <c r="R75" s="593">
        <f ca="1">$E75*(-SUMIF(INDIRECT(R$3),'Struktur Aktuell'!$D75,INDIRECT(R$4))+SUMIF(INDIRECT(R$3),'Struktur Aktuell'!$D75,INDIRECT(R$5)))</f>
        <v>0</v>
      </c>
      <c r="S75" s="593">
        <f ca="1">$E75*(-SUMIF(INDIRECT(S$3),'Struktur Aktuell'!$D75,INDIRECT(S$4))+SUMIF(INDIRECT(S$3),'Struktur Aktuell'!$D75,INDIRECT(S$5)))</f>
        <v>0</v>
      </c>
      <c r="T75" s="593">
        <f ca="1">$E75*(-SUMIF(INDIRECT(T$3),'Struktur Aktuell'!$D75,INDIRECT(T$4))+SUMIF(INDIRECT(T$3),'Struktur Aktuell'!$D75,INDIRECT(T$5)))</f>
        <v>0</v>
      </c>
      <c r="U75" s="593">
        <f ca="1">$E75*(-SUMIF(INDIRECT(U$3),'Struktur Aktuell'!$D75,INDIRECT(U$4))+SUMIF(INDIRECT(U$3),'Struktur Aktuell'!$D75,INDIRECT(U$5)))</f>
        <v>0</v>
      </c>
      <c r="V75" s="593">
        <f ca="1">$E75*(-SUMIF(INDIRECT(V$3),'Struktur Aktuell'!$D75,INDIRECT(V$4))+SUMIF(INDIRECT(V$3),'Struktur Aktuell'!$D75,INDIRECT(V$5)))</f>
        <v>0</v>
      </c>
      <c r="W75" s="593">
        <f ca="1">$E75*(-SUMIF(INDIRECT(W$3),'Struktur Aktuell'!$D75,INDIRECT(W$4))+SUMIF(INDIRECT(W$3),'Struktur Aktuell'!$D75,INDIRECT(W$5)))</f>
        <v>0</v>
      </c>
      <c r="X75" s="593">
        <f ca="1">$E75*(-SUMIF(INDIRECT(X$3),'Struktur Aktuell'!$D75,INDIRECT(X$4))+SUMIF(INDIRECT(X$3),'Struktur Aktuell'!$D75,INDIRECT(X$5)))</f>
        <v>0</v>
      </c>
      <c r="Y75" s="593">
        <f ca="1">$E75*(-SUMIF(INDIRECT(Y$3),'Struktur Aktuell'!$D75,INDIRECT(Y$4))+SUMIF(INDIRECT(Y$3),'Struktur Aktuell'!$D75,INDIRECT(Y$5)))</f>
        <v>0</v>
      </c>
      <c r="Z75" s="593">
        <f ca="1">$E75*(-SUMIF(INDIRECT(Z$3),'Struktur Aktuell'!$D75,INDIRECT(Z$4))+SUMIF(INDIRECT(Z$3),'Struktur Aktuell'!$D75,INDIRECT(Z$5)))</f>
        <v>0</v>
      </c>
      <c r="AA75" s="593">
        <f ca="1">$E75*(-SUMIF(INDIRECT(AA$3),'Struktur Aktuell'!$D75,INDIRECT(AA$4))+SUMIF(INDIRECT(AA$3),'Struktur Aktuell'!$D75,INDIRECT(AA$5)))</f>
        <v>0</v>
      </c>
      <c r="AB75" s="593">
        <f ca="1">$E75*(-SUMIF(INDIRECT(AB$3),'Struktur Aktuell'!$D75,INDIRECT(AB$4))+SUMIF(INDIRECT(AB$3),'Struktur Aktuell'!$D75,INDIRECT(AB$5)))</f>
        <v>0</v>
      </c>
      <c r="AC75" s="593">
        <f ca="1">$E75*(-SUMIF(INDIRECT(AC$3),'Struktur Aktuell'!$D75,INDIRECT(AC$4))+SUMIF(INDIRECT(AC$3),'Struktur Aktuell'!$D75,INDIRECT(AC$5)))</f>
        <v>0</v>
      </c>
      <c r="AD75" s="593">
        <f ca="1">$E75*(-SUMIF(INDIRECT(AD$3),'Struktur Aktuell'!$D75,INDIRECT(AD$4))+SUMIF(INDIRECT(AD$3),'Struktur Aktuell'!$D75,INDIRECT(AD$5)))</f>
        <v>0</v>
      </c>
      <c r="AE75" s="593">
        <f t="shared" ca="1" si="95"/>
        <v>0</v>
      </c>
      <c r="AF75" s="593">
        <f t="shared" ca="1" si="96"/>
        <v>0</v>
      </c>
      <c r="AG75" s="593">
        <f t="shared" ca="1" si="97"/>
        <v>0</v>
      </c>
      <c r="AH75" s="593">
        <f t="shared" ca="1" si="98"/>
        <v>0</v>
      </c>
      <c r="AI75" s="593">
        <f t="shared" ca="1" si="99"/>
        <v>0</v>
      </c>
      <c r="AJ75" s="593">
        <f t="shared" ca="1" si="100"/>
        <v>0</v>
      </c>
      <c r="AK75" s="593">
        <f t="shared" ca="1" si="101"/>
        <v>0</v>
      </c>
      <c r="AL75" s="593">
        <f t="shared" ca="1" si="102"/>
        <v>0</v>
      </c>
      <c r="AM75" s="593">
        <f t="shared" ca="1" si="103"/>
        <v>0</v>
      </c>
      <c r="AN75" s="593">
        <f t="shared" ca="1" si="104"/>
        <v>0</v>
      </c>
      <c r="AO75" s="593">
        <f t="shared" ca="1" si="105"/>
        <v>0</v>
      </c>
      <c r="AP75" s="593">
        <f t="shared" ca="1" si="106"/>
        <v>0</v>
      </c>
    </row>
    <row r="76" spans="1:42" s="594" customFormat="1" ht="11.25" outlineLevel="1" x14ac:dyDescent="0.2">
      <c r="A76" s="599"/>
      <c r="B76" s="591" t="str">
        <f>IF(D76&lt;&gt;"",
IF(ISERROR(MATCH(D76,'Ist Aktuell Monat 01'!A:A,0))=FALSE,INDEX('Ist Aktuell Monat 01'!B:B,MATCH(D76,'Ist Aktuell Monat 01'!A:A,0)),
IF(ISERROR(MATCH(D76,'Ist Aktuell Monat 02'!A:A,0))=FALSE,INDEX('Ist Aktuell Monat 02'!B:B,MATCH(D76,'Ist Aktuell Monat 02'!A:A,0)),
IF(ISERROR(MATCH(D76,'Ist Aktuell Monat 03'!A:A,0))=FALSE,INDEX('Ist Aktuell Monat 03'!B:B,MATCH(D76,'Ist Aktuell Monat 03'!A:A,0)),
IF(ISERROR(MATCH(D76,'Ist Aktuell Monat 04'!A:A,0))=FALSE,INDEX('Ist Aktuell Monat 04'!B:B,MATCH(D76,'Ist Aktuell Monat 04'!A:A,0)),
IF(ISERROR(MATCH(D76,'Ist Aktuell Monat 05'!A:A,0))=FALSE,INDEX('Ist Aktuell Monat 05'!B:B,MATCH(D76,'Ist Aktuell Monat 05'!A:A,0)),
IF(ISERROR(MATCH(D76,'Ist Aktuell Monat 06'!A:A,0))=FALSE,INDEX('Ist Aktuell Monat 06'!B:B,MATCH(D76,'Ist Aktuell Monat 06'!A:A,0)),
IF(ISERROR(MATCH(D76,'Ist Aktuell Monat 07'!A:A,0))=FALSE,INDEX('Ist Aktuell Monat 07'!B:B,MATCH(D76,'Ist Aktuell Monat 07'!A:A,0)),
IF(ISERROR(MATCH(D76,'Ist Aktuell Monat 08'!A:A,0))=FALSE,INDEX('Ist Aktuell Monat 08'!B:B,MATCH(D76,'Ist Aktuell Monat 08'!A:A,0)),
IF(ISERROR(MATCH(D76,'Ist Aktuell Monat 09'!A:A,0))=FALSE,INDEX('Ist Aktuell Monat 09'!B:B,MATCH(D76,'Ist Aktuell Monat 09'!A:A,0)),
IF(ISERROR(MATCH(D76,'Ist Aktuell Monat 10'!A:A,0))=FALSE,INDEX('Ist Aktuell Monat 10'!B:B,MATCH(D76,'Ist Aktuell Monat 10'!A:A,0)),
IF(ISERROR(MATCH(D76,'Ist Aktuell Monat 11'!A:A,0))=FALSE,INDEX('Ist Aktuell Monat 11'!B:B,MATCH(D76,'Ist Aktuell Monat 11'!A:A,0)),
IF(ISERROR(MATCH(D76,'Ist Aktuell Monat 12'!A:A,0))=FALSE,INDEX('Ist Aktuell Monat 12'!B:B,MATCH(D76,'Ist Aktuell Monat 12'!A:A,0)),
"{Konto unbekannt}"
)))))))))))),"")</f>
        <v/>
      </c>
      <c r="C76" s="591"/>
      <c r="D76" s="590"/>
      <c r="E76" s="592">
        <f t="shared" si="77"/>
        <v>1</v>
      </c>
      <c r="F76" s="599"/>
      <c r="G76" s="593">
        <f ca="1">$E76*(-SUMIF(INDIRECT(G$3),'Struktur Aktuell'!$D76,INDIRECT(G$4))+SUMIF(INDIRECT(G$3),'Struktur Aktuell'!$D76,INDIRECT(G$5)))</f>
        <v>0</v>
      </c>
      <c r="H76" s="593">
        <f ca="1">$E76*(-SUMIF(INDIRECT(H$3),'Struktur Aktuell'!$D76,INDIRECT(H$4))+SUMIF(INDIRECT(H$3),'Struktur Aktuell'!$D76,INDIRECT(H$5)))</f>
        <v>0</v>
      </c>
      <c r="I76" s="593">
        <f ca="1">$E76*(-SUMIF(INDIRECT(I$3),'Struktur Aktuell'!$D76,INDIRECT(I$4))+SUMIF(INDIRECT(I$3),'Struktur Aktuell'!$D76,INDIRECT(I$5)))</f>
        <v>0</v>
      </c>
      <c r="J76" s="593">
        <f ca="1">$E76*(-SUMIF(INDIRECT(J$3),'Struktur Aktuell'!$D76,INDIRECT(J$4))+SUMIF(INDIRECT(J$3),'Struktur Aktuell'!$D76,INDIRECT(J$5)))</f>
        <v>0</v>
      </c>
      <c r="K76" s="593">
        <f ca="1">$E76*(-SUMIF(INDIRECT(K$3),'Struktur Aktuell'!$D76,INDIRECT(K$4))+SUMIF(INDIRECT(K$3),'Struktur Aktuell'!$D76,INDIRECT(K$5)))</f>
        <v>0</v>
      </c>
      <c r="L76" s="593">
        <f ca="1">$E76*(-SUMIF(INDIRECT(L$3),'Struktur Aktuell'!$D76,INDIRECT(L$4))+SUMIF(INDIRECT(L$3),'Struktur Aktuell'!$D76,INDIRECT(L$5)))</f>
        <v>0</v>
      </c>
      <c r="M76" s="593">
        <f ca="1">$E76*(-SUMIF(INDIRECT(M$3),'Struktur Aktuell'!$D76,INDIRECT(M$4))+SUMIF(INDIRECT(M$3),'Struktur Aktuell'!$D76,INDIRECT(M$5)))</f>
        <v>0</v>
      </c>
      <c r="N76" s="593">
        <f ca="1">$E76*(-SUMIF(INDIRECT(N$3),'Struktur Aktuell'!$D76,INDIRECT(N$4))+SUMIF(INDIRECT(N$3),'Struktur Aktuell'!$D76,INDIRECT(N$5)))</f>
        <v>0</v>
      </c>
      <c r="O76" s="593">
        <f ca="1">$E76*(-SUMIF(INDIRECT(O$3),'Struktur Aktuell'!$D76,INDIRECT(O$4))+SUMIF(INDIRECT(O$3),'Struktur Aktuell'!$D76,INDIRECT(O$5)))</f>
        <v>0</v>
      </c>
      <c r="P76" s="593">
        <f ca="1">$E76*(-SUMIF(INDIRECT(P$3),'Struktur Aktuell'!$D76,INDIRECT(P$4))+SUMIF(INDIRECT(P$3),'Struktur Aktuell'!$D76,INDIRECT(P$5)))</f>
        <v>0</v>
      </c>
      <c r="Q76" s="593">
        <f ca="1">$E76*(-SUMIF(INDIRECT(Q$3),'Struktur Aktuell'!$D76,INDIRECT(Q$4))+SUMIF(INDIRECT(Q$3),'Struktur Aktuell'!$D76,INDIRECT(Q$5)))</f>
        <v>0</v>
      </c>
      <c r="R76" s="593">
        <f ca="1">$E76*(-SUMIF(INDIRECT(R$3),'Struktur Aktuell'!$D76,INDIRECT(R$4))+SUMIF(INDIRECT(R$3),'Struktur Aktuell'!$D76,INDIRECT(R$5)))</f>
        <v>0</v>
      </c>
      <c r="S76" s="593">
        <f ca="1">$E76*(-SUMIF(INDIRECT(S$3),'Struktur Aktuell'!$D76,INDIRECT(S$4))+SUMIF(INDIRECT(S$3),'Struktur Aktuell'!$D76,INDIRECT(S$5)))</f>
        <v>0</v>
      </c>
      <c r="T76" s="593">
        <f ca="1">$E76*(-SUMIF(INDIRECT(T$3),'Struktur Aktuell'!$D76,INDIRECT(T$4))+SUMIF(INDIRECT(T$3),'Struktur Aktuell'!$D76,INDIRECT(T$5)))</f>
        <v>0</v>
      </c>
      <c r="U76" s="593">
        <f ca="1">$E76*(-SUMIF(INDIRECT(U$3),'Struktur Aktuell'!$D76,INDIRECT(U$4))+SUMIF(INDIRECT(U$3),'Struktur Aktuell'!$D76,INDIRECT(U$5)))</f>
        <v>0</v>
      </c>
      <c r="V76" s="593">
        <f ca="1">$E76*(-SUMIF(INDIRECT(V$3),'Struktur Aktuell'!$D76,INDIRECT(V$4))+SUMIF(INDIRECT(V$3),'Struktur Aktuell'!$D76,INDIRECT(V$5)))</f>
        <v>0</v>
      </c>
      <c r="W76" s="593">
        <f ca="1">$E76*(-SUMIF(INDIRECT(W$3),'Struktur Aktuell'!$D76,INDIRECT(W$4))+SUMIF(INDIRECT(W$3),'Struktur Aktuell'!$D76,INDIRECT(W$5)))</f>
        <v>0</v>
      </c>
      <c r="X76" s="593">
        <f ca="1">$E76*(-SUMIF(INDIRECT(X$3),'Struktur Aktuell'!$D76,INDIRECT(X$4))+SUMIF(INDIRECT(X$3),'Struktur Aktuell'!$D76,INDIRECT(X$5)))</f>
        <v>0</v>
      </c>
      <c r="Y76" s="593">
        <f ca="1">$E76*(-SUMIF(INDIRECT(Y$3),'Struktur Aktuell'!$D76,INDIRECT(Y$4))+SUMIF(INDIRECT(Y$3),'Struktur Aktuell'!$D76,INDIRECT(Y$5)))</f>
        <v>0</v>
      </c>
      <c r="Z76" s="593">
        <f ca="1">$E76*(-SUMIF(INDIRECT(Z$3),'Struktur Aktuell'!$D76,INDIRECT(Z$4))+SUMIF(INDIRECT(Z$3),'Struktur Aktuell'!$D76,INDIRECT(Z$5)))</f>
        <v>0</v>
      </c>
      <c r="AA76" s="593">
        <f ca="1">$E76*(-SUMIF(INDIRECT(AA$3),'Struktur Aktuell'!$D76,INDIRECT(AA$4))+SUMIF(INDIRECT(AA$3),'Struktur Aktuell'!$D76,INDIRECT(AA$5)))</f>
        <v>0</v>
      </c>
      <c r="AB76" s="593">
        <f ca="1">$E76*(-SUMIF(INDIRECT(AB$3),'Struktur Aktuell'!$D76,INDIRECT(AB$4))+SUMIF(INDIRECT(AB$3),'Struktur Aktuell'!$D76,INDIRECT(AB$5)))</f>
        <v>0</v>
      </c>
      <c r="AC76" s="593">
        <f ca="1">$E76*(-SUMIF(INDIRECT(AC$3),'Struktur Aktuell'!$D76,INDIRECT(AC$4))+SUMIF(INDIRECT(AC$3),'Struktur Aktuell'!$D76,INDIRECT(AC$5)))</f>
        <v>0</v>
      </c>
      <c r="AD76" s="593">
        <f ca="1">$E76*(-SUMIF(INDIRECT(AD$3),'Struktur Aktuell'!$D76,INDIRECT(AD$4))+SUMIF(INDIRECT(AD$3),'Struktur Aktuell'!$D76,INDIRECT(AD$5)))</f>
        <v>0</v>
      </c>
      <c r="AE76" s="593">
        <f t="shared" ca="1" si="95"/>
        <v>0</v>
      </c>
      <c r="AF76" s="593">
        <f t="shared" ca="1" si="96"/>
        <v>0</v>
      </c>
      <c r="AG76" s="593">
        <f t="shared" ca="1" si="97"/>
        <v>0</v>
      </c>
      <c r="AH76" s="593">
        <f t="shared" ca="1" si="98"/>
        <v>0</v>
      </c>
      <c r="AI76" s="593">
        <f t="shared" ca="1" si="99"/>
        <v>0</v>
      </c>
      <c r="AJ76" s="593">
        <f t="shared" ca="1" si="100"/>
        <v>0</v>
      </c>
      <c r="AK76" s="593">
        <f t="shared" ca="1" si="101"/>
        <v>0</v>
      </c>
      <c r="AL76" s="593">
        <f t="shared" ca="1" si="102"/>
        <v>0</v>
      </c>
      <c r="AM76" s="593">
        <f t="shared" ca="1" si="103"/>
        <v>0</v>
      </c>
      <c r="AN76" s="593">
        <f t="shared" ca="1" si="104"/>
        <v>0</v>
      </c>
      <c r="AO76" s="593">
        <f t="shared" ca="1" si="105"/>
        <v>0</v>
      </c>
      <c r="AP76" s="593">
        <f t="shared" ca="1" si="106"/>
        <v>0</v>
      </c>
    </row>
    <row r="77" spans="1:42" s="594" customFormat="1" ht="11.25" outlineLevel="1" x14ac:dyDescent="0.2">
      <c r="A77" s="599"/>
      <c r="B77" s="591" t="str">
        <f>IF(D77&lt;&gt;"",
IF(ISERROR(MATCH(D77,'Ist Aktuell Monat 01'!A:A,0))=FALSE,INDEX('Ist Aktuell Monat 01'!B:B,MATCH(D77,'Ist Aktuell Monat 01'!A:A,0)),
IF(ISERROR(MATCH(D77,'Ist Aktuell Monat 02'!A:A,0))=FALSE,INDEX('Ist Aktuell Monat 02'!B:B,MATCH(D77,'Ist Aktuell Monat 02'!A:A,0)),
IF(ISERROR(MATCH(D77,'Ist Aktuell Monat 03'!A:A,0))=FALSE,INDEX('Ist Aktuell Monat 03'!B:B,MATCH(D77,'Ist Aktuell Monat 03'!A:A,0)),
IF(ISERROR(MATCH(D77,'Ist Aktuell Monat 04'!A:A,0))=FALSE,INDEX('Ist Aktuell Monat 04'!B:B,MATCH(D77,'Ist Aktuell Monat 04'!A:A,0)),
IF(ISERROR(MATCH(D77,'Ist Aktuell Monat 05'!A:A,0))=FALSE,INDEX('Ist Aktuell Monat 05'!B:B,MATCH(D77,'Ist Aktuell Monat 05'!A:A,0)),
IF(ISERROR(MATCH(D77,'Ist Aktuell Monat 06'!A:A,0))=FALSE,INDEX('Ist Aktuell Monat 06'!B:B,MATCH(D77,'Ist Aktuell Monat 06'!A:A,0)),
IF(ISERROR(MATCH(D77,'Ist Aktuell Monat 07'!A:A,0))=FALSE,INDEX('Ist Aktuell Monat 07'!B:B,MATCH(D77,'Ist Aktuell Monat 07'!A:A,0)),
IF(ISERROR(MATCH(D77,'Ist Aktuell Monat 08'!A:A,0))=FALSE,INDEX('Ist Aktuell Monat 08'!B:B,MATCH(D77,'Ist Aktuell Monat 08'!A:A,0)),
IF(ISERROR(MATCH(D77,'Ist Aktuell Monat 09'!A:A,0))=FALSE,INDEX('Ist Aktuell Monat 09'!B:B,MATCH(D77,'Ist Aktuell Monat 09'!A:A,0)),
IF(ISERROR(MATCH(D77,'Ist Aktuell Monat 10'!A:A,0))=FALSE,INDEX('Ist Aktuell Monat 10'!B:B,MATCH(D77,'Ist Aktuell Monat 10'!A:A,0)),
IF(ISERROR(MATCH(D77,'Ist Aktuell Monat 11'!A:A,0))=FALSE,INDEX('Ist Aktuell Monat 11'!B:B,MATCH(D77,'Ist Aktuell Monat 11'!A:A,0)),
IF(ISERROR(MATCH(D77,'Ist Aktuell Monat 12'!A:A,0))=FALSE,INDEX('Ist Aktuell Monat 12'!B:B,MATCH(D77,'Ist Aktuell Monat 12'!A:A,0)),
"{Konto unbekannt}"
)))))))))))),"")</f>
        <v/>
      </c>
      <c r="C77" s="591"/>
      <c r="D77" s="590"/>
      <c r="E77" s="592">
        <f t="shared" si="77"/>
        <v>1</v>
      </c>
      <c r="F77" s="599"/>
      <c r="G77" s="593">
        <f ca="1">$E77*(-SUMIF(INDIRECT(G$3),'Struktur Aktuell'!$D77,INDIRECT(G$4))+SUMIF(INDIRECT(G$3),'Struktur Aktuell'!$D77,INDIRECT(G$5)))</f>
        <v>0</v>
      </c>
      <c r="H77" s="593">
        <f ca="1">$E77*(-SUMIF(INDIRECT(H$3),'Struktur Aktuell'!$D77,INDIRECT(H$4))+SUMIF(INDIRECT(H$3),'Struktur Aktuell'!$D77,INDIRECT(H$5)))</f>
        <v>0</v>
      </c>
      <c r="I77" s="593">
        <f ca="1">$E77*(-SUMIF(INDIRECT(I$3),'Struktur Aktuell'!$D77,INDIRECT(I$4))+SUMIF(INDIRECT(I$3),'Struktur Aktuell'!$D77,INDIRECT(I$5)))</f>
        <v>0</v>
      </c>
      <c r="J77" s="593">
        <f ca="1">$E77*(-SUMIF(INDIRECT(J$3),'Struktur Aktuell'!$D77,INDIRECT(J$4))+SUMIF(INDIRECT(J$3),'Struktur Aktuell'!$D77,INDIRECT(J$5)))</f>
        <v>0</v>
      </c>
      <c r="K77" s="593">
        <f ca="1">$E77*(-SUMIF(INDIRECT(K$3),'Struktur Aktuell'!$D77,INDIRECT(K$4))+SUMIF(INDIRECT(K$3),'Struktur Aktuell'!$D77,INDIRECT(K$5)))</f>
        <v>0</v>
      </c>
      <c r="L77" s="593">
        <f ca="1">$E77*(-SUMIF(INDIRECT(L$3),'Struktur Aktuell'!$D77,INDIRECT(L$4))+SUMIF(INDIRECT(L$3),'Struktur Aktuell'!$D77,INDIRECT(L$5)))</f>
        <v>0</v>
      </c>
      <c r="M77" s="593">
        <f ca="1">$E77*(-SUMIF(INDIRECT(M$3),'Struktur Aktuell'!$D77,INDIRECT(M$4))+SUMIF(INDIRECT(M$3),'Struktur Aktuell'!$D77,INDIRECT(M$5)))</f>
        <v>0</v>
      </c>
      <c r="N77" s="593">
        <f ca="1">$E77*(-SUMIF(INDIRECT(N$3),'Struktur Aktuell'!$D77,INDIRECT(N$4))+SUMIF(INDIRECT(N$3),'Struktur Aktuell'!$D77,INDIRECT(N$5)))</f>
        <v>0</v>
      </c>
      <c r="O77" s="593">
        <f ca="1">$E77*(-SUMIF(INDIRECT(O$3),'Struktur Aktuell'!$D77,INDIRECT(O$4))+SUMIF(INDIRECT(O$3),'Struktur Aktuell'!$D77,INDIRECT(O$5)))</f>
        <v>0</v>
      </c>
      <c r="P77" s="593">
        <f ca="1">$E77*(-SUMIF(INDIRECT(P$3),'Struktur Aktuell'!$D77,INDIRECT(P$4))+SUMIF(INDIRECT(P$3),'Struktur Aktuell'!$D77,INDIRECT(P$5)))</f>
        <v>0</v>
      </c>
      <c r="Q77" s="593">
        <f ca="1">$E77*(-SUMIF(INDIRECT(Q$3),'Struktur Aktuell'!$D77,INDIRECT(Q$4))+SUMIF(INDIRECT(Q$3),'Struktur Aktuell'!$D77,INDIRECT(Q$5)))</f>
        <v>0</v>
      </c>
      <c r="R77" s="593">
        <f ca="1">$E77*(-SUMIF(INDIRECT(R$3),'Struktur Aktuell'!$D77,INDIRECT(R$4))+SUMIF(INDIRECT(R$3),'Struktur Aktuell'!$D77,INDIRECT(R$5)))</f>
        <v>0</v>
      </c>
      <c r="S77" s="593">
        <f ca="1">$E77*(-SUMIF(INDIRECT(S$3),'Struktur Aktuell'!$D77,INDIRECT(S$4))+SUMIF(INDIRECT(S$3),'Struktur Aktuell'!$D77,INDIRECT(S$5)))</f>
        <v>0</v>
      </c>
      <c r="T77" s="593">
        <f ca="1">$E77*(-SUMIF(INDIRECT(T$3),'Struktur Aktuell'!$D77,INDIRECT(T$4))+SUMIF(INDIRECT(T$3),'Struktur Aktuell'!$D77,INDIRECT(T$5)))</f>
        <v>0</v>
      </c>
      <c r="U77" s="593">
        <f ca="1">$E77*(-SUMIF(INDIRECT(U$3),'Struktur Aktuell'!$D77,INDIRECT(U$4))+SUMIF(INDIRECT(U$3),'Struktur Aktuell'!$D77,INDIRECT(U$5)))</f>
        <v>0</v>
      </c>
      <c r="V77" s="593">
        <f ca="1">$E77*(-SUMIF(INDIRECT(V$3),'Struktur Aktuell'!$D77,INDIRECT(V$4))+SUMIF(INDIRECT(V$3),'Struktur Aktuell'!$D77,INDIRECT(V$5)))</f>
        <v>0</v>
      </c>
      <c r="W77" s="593">
        <f ca="1">$E77*(-SUMIF(INDIRECT(W$3),'Struktur Aktuell'!$D77,INDIRECT(W$4))+SUMIF(INDIRECT(W$3),'Struktur Aktuell'!$D77,INDIRECT(W$5)))</f>
        <v>0</v>
      </c>
      <c r="X77" s="593">
        <f ca="1">$E77*(-SUMIF(INDIRECT(X$3),'Struktur Aktuell'!$D77,INDIRECT(X$4))+SUMIF(INDIRECT(X$3),'Struktur Aktuell'!$D77,INDIRECT(X$5)))</f>
        <v>0</v>
      </c>
      <c r="Y77" s="593">
        <f ca="1">$E77*(-SUMIF(INDIRECT(Y$3),'Struktur Aktuell'!$D77,INDIRECT(Y$4))+SUMIF(INDIRECT(Y$3),'Struktur Aktuell'!$D77,INDIRECT(Y$5)))</f>
        <v>0</v>
      </c>
      <c r="Z77" s="593">
        <f ca="1">$E77*(-SUMIF(INDIRECT(Z$3),'Struktur Aktuell'!$D77,INDIRECT(Z$4))+SUMIF(INDIRECT(Z$3),'Struktur Aktuell'!$D77,INDIRECT(Z$5)))</f>
        <v>0</v>
      </c>
      <c r="AA77" s="593">
        <f ca="1">$E77*(-SUMIF(INDIRECT(AA$3),'Struktur Aktuell'!$D77,INDIRECT(AA$4))+SUMIF(INDIRECT(AA$3),'Struktur Aktuell'!$D77,INDIRECT(AA$5)))</f>
        <v>0</v>
      </c>
      <c r="AB77" s="593">
        <f ca="1">$E77*(-SUMIF(INDIRECT(AB$3),'Struktur Aktuell'!$D77,INDIRECT(AB$4))+SUMIF(INDIRECT(AB$3),'Struktur Aktuell'!$D77,INDIRECT(AB$5)))</f>
        <v>0</v>
      </c>
      <c r="AC77" s="593">
        <f ca="1">$E77*(-SUMIF(INDIRECT(AC$3),'Struktur Aktuell'!$D77,INDIRECT(AC$4))+SUMIF(INDIRECT(AC$3),'Struktur Aktuell'!$D77,INDIRECT(AC$5)))</f>
        <v>0</v>
      </c>
      <c r="AD77" s="593">
        <f ca="1">$E77*(-SUMIF(INDIRECT(AD$3),'Struktur Aktuell'!$D77,INDIRECT(AD$4))+SUMIF(INDIRECT(AD$3),'Struktur Aktuell'!$D77,INDIRECT(AD$5)))</f>
        <v>0</v>
      </c>
      <c r="AE77" s="593">
        <f t="shared" ca="1" si="95"/>
        <v>0</v>
      </c>
      <c r="AF77" s="593">
        <f t="shared" ca="1" si="96"/>
        <v>0</v>
      </c>
      <c r="AG77" s="593">
        <f t="shared" ca="1" si="97"/>
        <v>0</v>
      </c>
      <c r="AH77" s="593">
        <f t="shared" ca="1" si="98"/>
        <v>0</v>
      </c>
      <c r="AI77" s="593">
        <f t="shared" ca="1" si="99"/>
        <v>0</v>
      </c>
      <c r="AJ77" s="593">
        <f t="shared" ca="1" si="100"/>
        <v>0</v>
      </c>
      <c r="AK77" s="593">
        <f t="shared" ca="1" si="101"/>
        <v>0</v>
      </c>
      <c r="AL77" s="593">
        <f t="shared" ca="1" si="102"/>
        <v>0</v>
      </c>
      <c r="AM77" s="593">
        <f t="shared" ca="1" si="103"/>
        <v>0</v>
      </c>
      <c r="AN77" s="593">
        <f t="shared" ca="1" si="104"/>
        <v>0</v>
      </c>
      <c r="AO77" s="593">
        <f t="shared" ca="1" si="105"/>
        <v>0</v>
      </c>
      <c r="AP77" s="593">
        <f t="shared" ca="1" si="106"/>
        <v>0</v>
      </c>
    </row>
    <row r="78" spans="1:42" s="594" customFormat="1" ht="11.25" outlineLevel="1" x14ac:dyDescent="0.2">
      <c r="A78" s="599"/>
      <c r="B78" s="591" t="str">
        <f>IF(D78&lt;&gt;"",
IF(ISERROR(MATCH(D78,'Ist Aktuell Monat 01'!A:A,0))=FALSE,INDEX('Ist Aktuell Monat 01'!B:B,MATCH(D78,'Ist Aktuell Monat 01'!A:A,0)),
IF(ISERROR(MATCH(D78,'Ist Aktuell Monat 02'!A:A,0))=FALSE,INDEX('Ist Aktuell Monat 02'!B:B,MATCH(D78,'Ist Aktuell Monat 02'!A:A,0)),
IF(ISERROR(MATCH(D78,'Ist Aktuell Monat 03'!A:A,0))=FALSE,INDEX('Ist Aktuell Monat 03'!B:B,MATCH(D78,'Ist Aktuell Monat 03'!A:A,0)),
IF(ISERROR(MATCH(D78,'Ist Aktuell Monat 04'!A:A,0))=FALSE,INDEX('Ist Aktuell Monat 04'!B:B,MATCH(D78,'Ist Aktuell Monat 04'!A:A,0)),
IF(ISERROR(MATCH(D78,'Ist Aktuell Monat 05'!A:A,0))=FALSE,INDEX('Ist Aktuell Monat 05'!B:B,MATCH(D78,'Ist Aktuell Monat 05'!A:A,0)),
IF(ISERROR(MATCH(D78,'Ist Aktuell Monat 06'!A:A,0))=FALSE,INDEX('Ist Aktuell Monat 06'!B:B,MATCH(D78,'Ist Aktuell Monat 06'!A:A,0)),
IF(ISERROR(MATCH(D78,'Ist Aktuell Monat 07'!A:A,0))=FALSE,INDEX('Ist Aktuell Monat 07'!B:B,MATCH(D78,'Ist Aktuell Monat 07'!A:A,0)),
IF(ISERROR(MATCH(D78,'Ist Aktuell Monat 08'!A:A,0))=FALSE,INDEX('Ist Aktuell Monat 08'!B:B,MATCH(D78,'Ist Aktuell Monat 08'!A:A,0)),
IF(ISERROR(MATCH(D78,'Ist Aktuell Monat 09'!A:A,0))=FALSE,INDEX('Ist Aktuell Monat 09'!B:B,MATCH(D78,'Ist Aktuell Monat 09'!A:A,0)),
IF(ISERROR(MATCH(D78,'Ist Aktuell Monat 10'!A:A,0))=FALSE,INDEX('Ist Aktuell Monat 10'!B:B,MATCH(D78,'Ist Aktuell Monat 10'!A:A,0)),
IF(ISERROR(MATCH(D78,'Ist Aktuell Monat 11'!A:A,0))=FALSE,INDEX('Ist Aktuell Monat 11'!B:B,MATCH(D78,'Ist Aktuell Monat 11'!A:A,0)),
IF(ISERROR(MATCH(D78,'Ist Aktuell Monat 12'!A:A,0))=FALSE,INDEX('Ist Aktuell Monat 12'!B:B,MATCH(D78,'Ist Aktuell Monat 12'!A:A,0)),
"{Konto unbekannt}"
)))))))))))),"")</f>
        <v/>
      </c>
      <c r="C78" s="591"/>
      <c r="D78" s="590"/>
      <c r="E78" s="592">
        <f t="shared" si="77"/>
        <v>1</v>
      </c>
      <c r="F78" s="599"/>
      <c r="G78" s="593">
        <f ca="1">$E78*(-SUMIF(INDIRECT(G$3),'Struktur Aktuell'!$D78,INDIRECT(G$4))+SUMIF(INDIRECT(G$3),'Struktur Aktuell'!$D78,INDIRECT(G$5)))</f>
        <v>0</v>
      </c>
      <c r="H78" s="593">
        <f ca="1">$E78*(-SUMIF(INDIRECT(H$3),'Struktur Aktuell'!$D78,INDIRECT(H$4))+SUMIF(INDIRECT(H$3),'Struktur Aktuell'!$D78,INDIRECT(H$5)))</f>
        <v>0</v>
      </c>
      <c r="I78" s="593">
        <f ca="1">$E78*(-SUMIF(INDIRECT(I$3),'Struktur Aktuell'!$D78,INDIRECT(I$4))+SUMIF(INDIRECT(I$3),'Struktur Aktuell'!$D78,INDIRECT(I$5)))</f>
        <v>0</v>
      </c>
      <c r="J78" s="593">
        <f ca="1">$E78*(-SUMIF(INDIRECT(J$3),'Struktur Aktuell'!$D78,INDIRECT(J$4))+SUMIF(INDIRECT(J$3),'Struktur Aktuell'!$D78,INDIRECT(J$5)))</f>
        <v>0</v>
      </c>
      <c r="K78" s="593">
        <f ca="1">$E78*(-SUMIF(INDIRECT(K$3),'Struktur Aktuell'!$D78,INDIRECT(K$4))+SUMIF(INDIRECT(K$3),'Struktur Aktuell'!$D78,INDIRECT(K$5)))</f>
        <v>0</v>
      </c>
      <c r="L78" s="593">
        <f ca="1">$E78*(-SUMIF(INDIRECT(L$3),'Struktur Aktuell'!$D78,INDIRECT(L$4))+SUMIF(INDIRECT(L$3),'Struktur Aktuell'!$D78,INDIRECT(L$5)))</f>
        <v>0</v>
      </c>
      <c r="M78" s="593">
        <f ca="1">$E78*(-SUMIF(INDIRECT(M$3),'Struktur Aktuell'!$D78,INDIRECT(M$4))+SUMIF(INDIRECT(M$3),'Struktur Aktuell'!$D78,INDIRECT(M$5)))</f>
        <v>0</v>
      </c>
      <c r="N78" s="593">
        <f ca="1">$E78*(-SUMIF(INDIRECT(N$3),'Struktur Aktuell'!$D78,INDIRECT(N$4))+SUMIF(INDIRECT(N$3),'Struktur Aktuell'!$D78,INDIRECT(N$5)))</f>
        <v>0</v>
      </c>
      <c r="O78" s="593">
        <f ca="1">$E78*(-SUMIF(INDIRECT(O$3),'Struktur Aktuell'!$D78,INDIRECT(O$4))+SUMIF(INDIRECT(O$3),'Struktur Aktuell'!$D78,INDIRECT(O$5)))</f>
        <v>0</v>
      </c>
      <c r="P78" s="593">
        <f ca="1">$E78*(-SUMIF(INDIRECT(P$3),'Struktur Aktuell'!$D78,INDIRECT(P$4))+SUMIF(INDIRECT(P$3),'Struktur Aktuell'!$D78,INDIRECT(P$5)))</f>
        <v>0</v>
      </c>
      <c r="Q78" s="593">
        <f ca="1">$E78*(-SUMIF(INDIRECT(Q$3),'Struktur Aktuell'!$D78,INDIRECT(Q$4))+SUMIF(INDIRECT(Q$3),'Struktur Aktuell'!$D78,INDIRECT(Q$5)))</f>
        <v>0</v>
      </c>
      <c r="R78" s="593">
        <f ca="1">$E78*(-SUMIF(INDIRECT(R$3),'Struktur Aktuell'!$D78,INDIRECT(R$4))+SUMIF(INDIRECT(R$3),'Struktur Aktuell'!$D78,INDIRECT(R$5)))</f>
        <v>0</v>
      </c>
      <c r="S78" s="593">
        <f ca="1">$E78*(-SUMIF(INDIRECT(S$3),'Struktur Aktuell'!$D78,INDIRECT(S$4))+SUMIF(INDIRECT(S$3),'Struktur Aktuell'!$D78,INDIRECT(S$5)))</f>
        <v>0</v>
      </c>
      <c r="T78" s="593">
        <f ca="1">$E78*(-SUMIF(INDIRECT(T$3),'Struktur Aktuell'!$D78,INDIRECT(T$4))+SUMIF(INDIRECT(T$3),'Struktur Aktuell'!$D78,INDIRECT(T$5)))</f>
        <v>0</v>
      </c>
      <c r="U78" s="593">
        <f ca="1">$E78*(-SUMIF(INDIRECT(U$3),'Struktur Aktuell'!$D78,INDIRECT(U$4))+SUMIF(INDIRECT(U$3),'Struktur Aktuell'!$D78,INDIRECT(U$5)))</f>
        <v>0</v>
      </c>
      <c r="V78" s="593">
        <f ca="1">$E78*(-SUMIF(INDIRECT(V$3),'Struktur Aktuell'!$D78,INDIRECT(V$4))+SUMIF(INDIRECT(V$3),'Struktur Aktuell'!$D78,INDIRECT(V$5)))</f>
        <v>0</v>
      </c>
      <c r="W78" s="593">
        <f ca="1">$E78*(-SUMIF(INDIRECT(W$3),'Struktur Aktuell'!$D78,INDIRECT(W$4))+SUMIF(INDIRECT(W$3),'Struktur Aktuell'!$D78,INDIRECT(W$5)))</f>
        <v>0</v>
      </c>
      <c r="X78" s="593">
        <f ca="1">$E78*(-SUMIF(INDIRECT(X$3),'Struktur Aktuell'!$D78,INDIRECT(X$4))+SUMIF(INDIRECT(X$3),'Struktur Aktuell'!$D78,INDIRECT(X$5)))</f>
        <v>0</v>
      </c>
      <c r="Y78" s="593">
        <f ca="1">$E78*(-SUMIF(INDIRECT(Y$3),'Struktur Aktuell'!$D78,INDIRECT(Y$4))+SUMIF(INDIRECT(Y$3),'Struktur Aktuell'!$D78,INDIRECT(Y$5)))</f>
        <v>0</v>
      </c>
      <c r="Z78" s="593">
        <f ca="1">$E78*(-SUMIF(INDIRECT(Z$3),'Struktur Aktuell'!$D78,INDIRECT(Z$4))+SUMIF(INDIRECT(Z$3),'Struktur Aktuell'!$D78,INDIRECT(Z$5)))</f>
        <v>0</v>
      </c>
      <c r="AA78" s="593">
        <f ca="1">$E78*(-SUMIF(INDIRECT(AA$3),'Struktur Aktuell'!$D78,INDIRECT(AA$4))+SUMIF(INDIRECT(AA$3),'Struktur Aktuell'!$D78,INDIRECT(AA$5)))</f>
        <v>0</v>
      </c>
      <c r="AB78" s="593">
        <f ca="1">$E78*(-SUMIF(INDIRECT(AB$3),'Struktur Aktuell'!$D78,INDIRECT(AB$4))+SUMIF(INDIRECT(AB$3),'Struktur Aktuell'!$D78,INDIRECT(AB$5)))</f>
        <v>0</v>
      </c>
      <c r="AC78" s="593">
        <f ca="1">$E78*(-SUMIF(INDIRECT(AC$3),'Struktur Aktuell'!$D78,INDIRECT(AC$4))+SUMIF(INDIRECT(AC$3),'Struktur Aktuell'!$D78,INDIRECT(AC$5)))</f>
        <v>0</v>
      </c>
      <c r="AD78" s="593">
        <f ca="1">$E78*(-SUMIF(INDIRECT(AD$3),'Struktur Aktuell'!$D78,INDIRECT(AD$4))+SUMIF(INDIRECT(AD$3),'Struktur Aktuell'!$D78,INDIRECT(AD$5)))</f>
        <v>0</v>
      </c>
      <c r="AE78" s="593">
        <f t="shared" ca="1" si="95"/>
        <v>0</v>
      </c>
      <c r="AF78" s="593">
        <f t="shared" ca="1" si="96"/>
        <v>0</v>
      </c>
      <c r="AG78" s="593">
        <f t="shared" ca="1" si="97"/>
        <v>0</v>
      </c>
      <c r="AH78" s="593">
        <f t="shared" ca="1" si="98"/>
        <v>0</v>
      </c>
      <c r="AI78" s="593">
        <f t="shared" ca="1" si="99"/>
        <v>0</v>
      </c>
      <c r="AJ78" s="593">
        <f t="shared" ca="1" si="100"/>
        <v>0</v>
      </c>
      <c r="AK78" s="593">
        <f t="shared" ca="1" si="101"/>
        <v>0</v>
      </c>
      <c r="AL78" s="593">
        <f t="shared" ca="1" si="102"/>
        <v>0</v>
      </c>
      <c r="AM78" s="593">
        <f t="shared" ca="1" si="103"/>
        <v>0</v>
      </c>
      <c r="AN78" s="593">
        <f t="shared" ca="1" si="104"/>
        <v>0</v>
      </c>
      <c r="AO78" s="593">
        <f t="shared" ca="1" si="105"/>
        <v>0</v>
      </c>
      <c r="AP78" s="593">
        <f t="shared" ca="1" si="106"/>
        <v>0</v>
      </c>
    </row>
    <row r="79" spans="1:42" s="594" customFormat="1" ht="11.25" outlineLevel="1" x14ac:dyDescent="0.2">
      <c r="A79" s="599"/>
      <c r="B79" s="591" t="str">
        <f>IF(D79&lt;&gt;"",
IF(ISERROR(MATCH(D79,'Ist Aktuell Monat 01'!A:A,0))=FALSE,INDEX('Ist Aktuell Monat 01'!B:B,MATCH(D79,'Ist Aktuell Monat 01'!A:A,0)),
IF(ISERROR(MATCH(D79,'Ist Aktuell Monat 02'!A:A,0))=FALSE,INDEX('Ist Aktuell Monat 02'!B:B,MATCH(D79,'Ist Aktuell Monat 02'!A:A,0)),
IF(ISERROR(MATCH(D79,'Ist Aktuell Monat 03'!A:A,0))=FALSE,INDEX('Ist Aktuell Monat 03'!B:B,MATCH(D79,'Ist Aktuell Monat 03'!A:A,0)),
IF(ISERROR(MATCH(D79,'Ist Aktuell Monat 04'!A:A,0))=FALSE,INDEX('Ist Aktuell Monat 04'!B:B,MATCH(D79,'Ist Aktuell Monat 04'!A:A,0)),
IF(ISERROR(MATCH(D79,'Ist Aktuell Monat 05'!A:A,0))=FALSE,INDEX('Ist Aktuell Monat 05'!B:B,MATCH(D79,'Ist Aktuell Monat 05'!A:A,0)),
IF(ISERROR(MATCH(D79,'Ist Aktuell Monat 06'!A:A,0))=FALSE,INDEX('Ist Aktuell Monat 06'!B:B,MATCH(D79,'Ist Aktuell Monat 06'!A:A,0)),
IF(ISERROR(MATCH(D79,'Ist Aktuell Monat 07'!A:A,0))=FALSE,INDEX('Ist Aktuell Monat 07'!B:B,MATCH(D79,'Ist Aktuell Monat 07'!A:A,0)),
IF(ISERROR(MATCH(D79,'Ist Aktuell Monat 08'!A:A,0))=FALSE,INDEX('Ist Aktuell Monat 08'!B:B,MATCH(D79,'Ist Aktuell Monat 08'!A:A,0)),
IF(ISERROR(MATCH(D79,'Ist Aktuell Monat 09'!A:A,0))=FALSE,INDEX('Ist Aktuell Monat 09'!B:B,MATCH(D79,'Ist Aktuell Monat 09'!A:A,0)),
IF(ISERROR(MATCH(D79,'Ist Aktuell Monat 10'!A:A,0))=FALSE,INDEX('Ist Aktuell Monat 10'!B:B,MATCH(D79,'Ist Aktuell Monat 10'!A:A,0)),
IF(ISERROR(MATCH(D79,'Ist Aktuell Monat 11'!A:A,0))=FALSE,INDEX('Ist Aktuell Monat 11'!B:B,MATCH(D79,'Ist Aktuell Monat 11'!A:A,0)),
IF(ISERROR(MATCH(D79,'Ist Aktuell Monat 12'!A:A,0))=FALSE,INDEX('Ist Aktuell Monat 12'!B:B,MATCH(D79,'Ist Aktuell Monat 12'!A:A,0)),
"{Konto unbekannt}"
)))))))))))),"")</f>
        <v/>
      </c>
      <c r="C79" s="591"/>
      <c r="D79" s="590"/>
      <c r="E79" s="592">
        <f t="shared" si="77"/>
        <v>1</v>
      </c>
      <c r="F79" s="599"/>
      <c r="G79" s="593">
        <f ca="1">$E79*(-SUMIF(INDIRECT(G$3),'Struktur Aktuell'!$D79,INDIRECT(G$4))+SUMIF(INDIRECT(G$3),'Struktur Aktuell'!$D79,INDIRECT(G$5)))</f>
        <v>0</v>
      </c>
      <c r="H79" s="593">
        <f ca="1">$E79*(-SUMIF(INDIRECT(H$3),'Struktur Aktuell'!$D79,INDIRECT(H$4))+SUMIF(INDIRECT(H$3),'Struktur Aktuell'!$D79,INDIRECT(H$5)))</f>
        <v>0</v>
      </c>
      <c r="I79" s="593">
        <f ca="1">$E79*(-SUMIF(INDIRECT(I$3),'Struktur Aktuell'!$D79,INDIRECT(I$4))+SUMIF(INDIRECT(I$3),'Struktur Aktuell'!$D79,INDIRECT(I$5)))</f>
        <v>0</v>
      </c>
      <c r="J79" s="593">
        <f ca="1">$E79*(-SUMIF(INDIRECT(J$3),'Struktur Aktuell'!$D79,INDIRECT(J$4))+SUMIF(INDIRECT(J$3),'Struktur Aktuell'!$D79,INDIRECT(J$5)))</f>
        <v>0</v>
      </c>
      <c r="K79" s="593">
        <f ca="1">$E79*(-SUMIF(INDIRECT(K$3),'Struktur Aktuell'!$D79,INDIRECT(K$4))+SUMIF(INDIRECT(K$3),'Struktur Aktuell'!$D79,INDIRECT(K$5)))</f>
        <v>0</v>
      </c>
      <c r="L79" s="593">
        <f ca="1">$E79*(-SUMIF(INDIRECT(L$3),'Struktur Aktuell'!$D79,INDIRECT(L$4))+SUMIF(INDIRECT(L$3),'Struktur Aktuell'!$D79,INDIRECT(L$5)))</f>
        <v>0</v>
      </c>
      <c r="M79" s="593">
        <f ca="1">$E79*(-SUMIF(INDIRECT(M$3),'Struktur Aktuell'!$D79,INDIRECT(M$4))+SUMIF(INDIRECT(M$3),'Struktur Aktuell'!$D79,INDIRECT(M$5)))</f>
        <v>0</v>
      </c>
      <c r="N79" s="593">
        <f ca="1">$E79*(-SUMIF(INDIRECT(N$3),'Struktur Aktuell'!$D79,INDIRECT(N$4))+SUMIF(INDIRECT(N$3),'Struktur Aktuell'!$D79,INDIRECT(N$5)))</f>
        <v>0</v>
      </c>
      <c r="O79" s="593">
        <f ca="1">$E79*(-SUMIF(INDIRECT(O$3),'Struktur Aktuell'!$D79,INDIRECT(O$4))+SUMIF(INDIRECT(O$3),'Struktur Aktuell'!$D79,INDIRECT(O$5)))</f>
        <v>0</v>
      </c>
      <c r="P79" s="593">
        <f ca="1">$E79*(-SUMIF(INDIRECT(P$3),'Struktur Aktuell'!$D79,INDIRECT(P$4))+SUMIF(INDIRECT(P$3),'Struktur Aktuell'!$D79,INDIRECT(P$5)))</f>
        <v>0</v>
      </c>
      <c r="Q79" s="593">
        <f ca="1">$E79*(-SUMIF(INDIRECT(Q$3),'Struktur Aktuell'!$D79,INDIRECT(Q$4))+SUMIF(INDIRECT(Q$3),'Struktur Aktuell'!$D79,INDIRECT(Q$5)))</f>
        <v>0</v>
      </c>
      <c r="R79" s="593">
        <f ca="1">$E79*(-SUMIF(INDIRECT(R$3),'Struktur Aktuell'!$D79,INDIRECT(R$4))+SUMIF(INDIRECT(R$3),'Struktur Aktuell'!$D79,INDIRECT(R$5)))</f>
        <v>0</v>
      </c>
      <c r="S79" s="593">
        <f ca="1">$E79*(-SUMIF(INDIRECT(S$3),'Struktur Aktuell'!$D79,INDIRECT(S$4))+SUMIF(INDIRECT(S$3),'Struktur Aktuell'!$D79,INDIRECT(S$5)))</f>
        <v>0</v>
      </c>
      <c r="T79" s="593">
        <f ca="1">$E79*(-SUMIF(INDIRECT(T$3),'Struktur Aktuell'!$D79,INDIRECT(T$4))+SUMIF(INDIRECT(T$3),'Struktur Aktuell'!$D79,INDIRECT(T$5)))</f>
        <v>0</v>
      </c>
      <c r="U79" s="593">
        <f ca="1">$E79*(-SUMIF(INDIRECT(U$3),'Struktur Aktuell'!$D79,INDIRECT(U$4))+SUMIF(INDIRECT(U$3),'Struktur Aktuell'!$D79,INDIRECT(U$5)))</f>
        <v>0</v>
      </c>
      <c r="V79" s="593">
        <f ca="1">$E79*(-SUMIF(INDIRECT(V$3),'Struktur Aktuell'!$D79,INDIRECT(V$4))+SUMIF(INDIRECT(V$3),'Struktur Aktuell'!$D79,INDIRECT(V$5)))</f>
        <v>0</v>
      </c>
      <c r="W79" s="593">
        <f ca="1">$E79*(-SUMIF(INDIRECT(W$3),'Struktur Aktuell'!$D79,INDIRECT(W$4))+SUMIF(INDIRECT(W$3),'Struktur Aktuell'!$D79,INDIRECT(W$5)))</f>
        <v>0</v>
      </c>
      <c r="X79" s="593">
        <f ca="1">$E79*(-SUMIF(INDIRECT(X$3),'Struktur Aktuell'!$D79,INDIRECT(X$4))+SUMIF(INDIRECT(X$3),'Struktur Aktuell'!$D79,INDIRECT(X$5)))</f>
        <v>0</v>
      </c>
      <c r="Y79" s="593">
        <f ca="1">$E79*(-SUMIF(INDIRECT(Y$3),'Struktur Aktuell'!$D79,INDIRECT(Y$4))+SUMIF(INDIRECT(Y$3),'Struktur Aktuell'!$D79,INDIRECT(Y$5)))</f>
        <v>0</v>
      </c>
      <c r="Z79" s="593">
        <f ca="1">$E79*(-SUMIF(INDIRECT(Z$3),'Struktur Aktuell'!$D79,INDIRECT(Z$4))+SUMIF(INDIRECT(Z$3),'Struktur Aktuell'!$D79,INDIRECT(Z$5)))</f>
        <v>0</v>
      </c>
      <c r="AA79" s="593">
        <f ca="1">$E79*(-SUMIF(INDIRECT(AA$3),'Struktur Aktuell'!$D79,INDIRECT(AA$4))+SUMIF(INDIRECT(AA$3),'Struktur Aktuell'!$D79,INDIRECT(AA$5)))</f>
        <v>0</v>
      </c>
      <c r="AB79" s="593">
        <f ca="1">$E79*(-SUMIF(INDIRECT(AB$3),'Struktur Aktuell'!$D79,INDIRECT(AB$4))+SUMIF(INDIRECT(AB$3),'Struktur Aktuell'!$D79,INDIRECT(AB$5)))</f>
        <v>0</v>
      </c>
      <c r="AC79" s="593">
        <f ca="1">$E79*(-SUMIF(INDIRECT(AC$3),'Struktur Aktuell'!$D79,INDIRECT(AC$4))+SUMIF(INDIRECT(AC$3),'Struktur Aktuell'!$D79,INDIRECT(AC$5)))</f>
        <v>0</v>
      </c>
      <c r="AD79" s="593">
        <f ca="1">$E79*(-SUMIF(INDIRECT(AD$3),'Struktur Aktuell'!$D79,INDIRECT(AD$4))+SUMIF(INDIRECT(AD$3),'Struktur Aktuell'!$D79,INDIRECT(AD$5)))</f>
        <v>0</v>
      </c>
      <c r="AE79" s="593">
        <f t="shared" ca="1" si="95"/>
        <v>0</v>
      </c>
      <c r="AF79" s="593">
        <f t="shared" ca="1" si="96"/>
        <v>0</v>
      </c>
      <c r="AG79" s="593">
        <f t="shared" ca="1" si="97"/>
        <v>0</v>
      </c>
      <c r="AH79" s="593">
        <f t="shared" ca="1" si="98"/>
        <v>0</v>
      </c>
      <c r="AI79" s="593">
        <f t="shared" ca="1" si="99"/>
        <v>0</v>
      </c>
      <c r="AJ79" s="593">
        <f t="shared" ca="1" si="100"/>
        <v>0</v>
      </c>
      <c r="AK79" s="593">
        <f t="shared" ca="1" si="101"/>
        <v>0</v>
      </c>
      <c r="AL79" s="593">
        <f t="shared" ca="1" si="102"/>
        <v>0</v>
      </c>
      <c r="AM79" s="593">
        <f t="shared" ca="1" si="103"/>
        <v>0</v>
      </c>
      <c r="AN79" s="593">
        <f t="shared" ca="1" si="104"/>
        <v>0</v>
      </c>
      <c r="AO79" s="593">
        <f t="shared" ca="1" si="105"/>
        <v>0</v>
      </c>
      <c r="AP79" s="593">
        <f t="shared" ca="1" si="106"/>
        <v>0</v>
      </c>
    </row>
    <row r="80" spans="1:42" s="594" customFormat="1" outlineLevel="1" x14ac:dyDescent="0.2">
      <c r="A80" s="585">
        <v>7</v>
      </c>
      <c r="B80" s="586" t="s">
        <v>1002</v>
      </c>
      <c r="C80" s="587">
        <f ca="1">SUM(G80:R80)</f>
        <v>0</v>
      </c>
      <c r="D80" s="587"/>
      <c r="E80" s="588">
        <f t="shared" si="77"/>
        <v>1</v>
      </c>
      <c r="F80" s="585"/>
      <c r="G80" s="587">
        <f t="shared" ref="G80:R80" ca="1" si="107">SUM(G81:G88)</f>
        <v>0</v>
      </c>
      <c r="H80" s="587">
        <f t="shared" ca="1" si="107"/>
        <v>0</v>
      </c>
      <c r="I80" s="587">
        <f t="shared" ca="1" si="107"/>
        <v>0</v>
      </c>
      <c r="J80" s="587">
        <f t="shared" ca="1" si="107"/>
        <v>0</v>
      </c>
      <c r="K80" s="587">
        <f t="shared" ca="1" si="107"/>
        <v>0</v>
      </c>
      <c r="L80" s="587">
        <f t="shared" ca="1" si="107"/>
        <v>0</v>
      </c>
      <c r="M80" s="587">
        <f t="shared" ca="1" si="107"/>
        <v>0</v>
      </c>
      <c r="N80" s="587">
        <f t="shared" ca="1" si="107"/>
        <v>0</v>
      </c>
      <c r="O80" s="587">
        <f t="shared" ca="1" si="107"/>
        <v>0</v>
      </c>
      <c r="P80" s="587">
        <f t="shared" ca="1" si="107"/>
        <v>0</v>
      </c>
      <c r="Q80" s="587">
        <f t="shared" ca="1" si="107"/>
        <v>0</v>
      </c>
      <c r="R80" s="587">
        <f t="shared" ca="1" si="107"/>
        <v>0</v>
      </c>
      <c r="S80" s="587">
        <f t="shared" ref="S80:AP80" ca="1" si="108">SUM(S81:S88)</f>
        <v>0</v>
      </c>
      <c r="T80" s="587">
        <f t="shared" ca="1" si="108"/>
        <v>0</v>
      </c>
      <c r="U80" s="587">
        <f t="shared" ca="1" si="108"/>
        <v>0</v>
      </c>
      <c r="V80" s="587">
        <f t="shared" ca="1" si="108"/>
        <v>0</v>
      </c>
      <c r="W80" s="587">
        <f t="shared" ca="1" si="108"/>
        <v>0</v>
      </c>
      <c r="X80" s="587">
        <f t="shared" ca="1" si="108"/>
        <v>0</v>
      </c>
      <c r="Y80" s="587">
        <f t="shared" ca="1" si="108"/>
        <v>0</v>
      </c>
      <c r="Z80" s="587">
        <f t="shared" ca="1" si="108"/>
        <v>0</v>
      </c>
      <c r="AA80" s="587">
        <f t="shared" ca="1" si="108"/>
        <v>0</v>
      </c>
      <c r="AB80" s="587">
        <f t="shared" ca="1" si="108"/>
        <v>0</v>
      </c>
      <c r="AC80" s="587">
        <f t="shared" ca="1" si="108"/>
        <v>0</v>
      </c>
      <c r="AD80" s="587">
        <f t="shared" ca="1" si="108"/>
        <v>0</v>
      </c>
      <c r="AE80" s="587">
        <f t="shared" ca="1" si="108"/>
        <v>0</v>
      </c>
      <c r="AF80" s="587">
        <f t="shared" ca="1" si="108"/>
        <v>0</v>
      </c>
      <c r="AG80" s="587">
        <f t="shared" ca="1" si="108"/>
        <v>0</v>
      </c>
      <c r="AH80" s="587">
        <f t="shared" ca="1" si="108"/>
        <v>0</v>
      </c>
      <c r="AI80" s="587">
        <f t="shared" ca="1" si="108"/>
        <v>0</v>
      </c>
      <c r="AJ80" s="587">
        <f t="shared" ca="1" si="108"/>
        <v>0</v>
      </c>
      <c r="AK80" s="587">
        <f t="shared" ca="1" si="108"/>
        <v>0</v>
      </c>
      <c r="AL80" s="587">
        <f t="shared" ca="1" si="108"/>
        <v>0</v>
      </c>
      <c r="AM80" s="587">
        <f t="shared" ca="1" si="108"/>
        <v>0</v>
      </c>
      <c r="AN80" s="587">
        <f t="shared" ca="1" si="108"/>
        <v>0</v>
      </c>
      <c r="AO80" s="587">
        <f t="shared" ca="1" si="108"/>
        <v>0</v>
      </c>
      <c r="AP80" s="587">
        <f t="shared" ca="1" si="108"/>
        <v>0</v>
      </c>
    </row>
    <row r="81" spans="1:42" s="594" customFormat="1" ht="11.25" outlineLevel="1" x14ac:dyDescent="0.2">
      <c r="A81" s="599"/>
      <c r="B81" s="591" t="str">
        <f>IF(D81&lt;&gt;"",
IF(ISERROR(MATCH(D81,'Ist Aktuell Monat 01'!A:A,0))=FALSE,INDEX('Ist Aktuell Monat 01'!B:B,MATCH(D81,'Ist Aktuell Monat 01'!A:A,0)),
IF(ISERROR(MATCH(D81,'Ist Aktuell Monat 02'!A:A,0))=FALSE,INDEX('Ist Aktuell Monat 02'!B:B,MATCH(D81,'Ist Aktuell Monat 02'!A:A,0)),
IF(ISERROR(MATCH(D81,'Ist Aktuell Monat 03'!A:A,0))=FALSE,INDEX('Ist Aktuell Monat 03'!B:B,MATCH(D81,'Ist Aktuell Monat 03'!A:A,0)),
IF(ISERROR(MATCH(D81,'Ist Aktuell Monat 04'!A:A,0))=FALSE,INDEX('Ist Aktuell Monat 04'!B:B,MATCH(D81,'Ist Aktuell Monat 04'!A:A,0)),
IF(ISERROR(MATCH(D81,'Ist Aktuell Monat 05'!A:A,0))=FALSE,INDEX('Ist Aktuell Monat 05'!B:B,MATCH(D81,'Ist Aktuell Monat 05'!A:A,0)),
IF(ISERROR(MATCH(D81,'Ist Aktuell Monat 06'!A:A,0))=FALSE,INDEX('Ist Aktuell Monat 06'!B:B,MATCH(D81,'Ist Aktuell Monat 06'!A:A,0)),
IF(ISERROR(MATCH(D81,'Ist Aktuell Monat 07'!A:A,0))=FALSE,INDEX('Ist Aktuell Monat 07'!B:B,MATCH(D81,'Ist Aktuell Monat 07'!A:A,0)),
IF(ISERROR(MATCH(D81,'Ist Aktuell Monat 08'!A:A,0))=FALSE,INDEX('Ist Aktuell Monat 08'!B:B,MATCH(D81,'Ist Aktuell Monat 08'!A:A,0)),
IF(ISERROR(MATCH(D81,'Ist Aktuell Monat 09'!A:A,0))=FALSE,INDEX('Ist Aktuell Monat 09'!B:B,MATCH(D81,'Ist Aktuell Monat 09'!A:A,0)),
IF(ISERROR(MATCH(D81,'Ist Aktuell Monat 10'!A:A,0))=FALSE,INDEX('Ist Aktuell Monat 10'!B:B,MATCH(D81,'Ist Aktuell Monat 10'!A:A,0)),
IF(ISERROR(MATCH(D81,'Ist Aktuell Monat 11'!A:A,0))=FALSE,INDEX('Ist Aktuell Monat 11'!B:B,MATCH(D81,'Ist Aktuell Monat 11'!A:A,0)),
IF(ISERROR(MATCH(D81,'Ist Aktuell Monat 12'!A:A,0))=FALSE,INDEX('Ist Aktuell Monat 12'!B:B,MATCH(D81,'Ist Aktuell Monat 12'!A:A,0)),
"{Konto unbekannt}"
)))))))))))),"")</f>
        <v/>
      </c>
      <c r="C81" s="591"/>
      <c r="D81" s="590"/>
      <c r="E81" s="592">
        <f t="shared" si="77"/>
        <v>1</v>
      </c>
      <c r="F81" s="599"/>
      <c r="G81" s="593">
        <f ca="1">$E81*(-SUMIF(INDIRECT(G$3),'Struktur Aktuell'!$D81,INDIRECT(G$4))+SUMIF(INDIRECT(G$3),'Struktur Aktuell'!$D81,INDIRECT(G$5)))</f>
        <v>0</v>
      </c>
      <c r="H81" s="593">
        <f ca="1">$E81*(-SUMIF(INDIRECT(H$3),'Struktur Aktuell'!$D81,INDIRECT(H$4))+SUMIF(INDIRECT(H$3),'Struktur Aktuell'!$D81,INDIRECT(H$5)))</f>
        <v>0</v>
      </c>
      <c r="I81" s="593">
        <f ca="1">$E81*(-SUMIF(INDIRECT(I$3),'Struktur Aktuell'!$D81,INDIRECT(I$4))+SUMIF(INDIRECT(I$3),'Struktur Aktuell'!$D81,INDIRECT(I$5)))</f>
        <v>0</v>
      </c>
      <c r="J81" s="593">
        <f ca="1">$E81*(-SUMIF(INDIRECT(J$3),'Struktur Aktuell'!$D81,INDIRECT(J$4))+SUMIF(INDIRECT(J$3),'Struktur Aktuell'!$D81,INDIRECT(J$5)))</f>
        <v>0</v>
      </c>
      <c r="K81" s="593">
        <f ca="1">$E81*(-SUMIF(INDIRECT(K$3),'Struktur Aktuell'!$D81,INDIRECT(K$4))+SUMIF(INDIRECT(K$3),'Struktur Aktuell'!$D81,INDIRECT(K$5)))</f>
        <v>0</v>
      </c>
      <c r="L81" s="593">
        <f ca="1">$E81*(-SUMIF(INDIRECT(L$3),'Struktur Aktuell'!$D81,INDIRECT(L$4))+SUMIF(INDIRECT(L$3),'Struktur Aktuell'!$D81,INDIRECT(L$5)))</f>
        <v>0</v>
      </c>
      <c r="M81" s="593">
        <f ca="1">$E81*(-SUMIF(INDIRECT(M$3),'Struktur Aktuell'!$D81,INDIRECT(M$4))+SUMIF(INDIRECT(M$3),'Struktur Aktuell'!$D81,INDIRECT(M$5)))</f>
        <v>0</v>
      </c>
      <c r="N81" s="593">
        <f ca="1">$E81*(-SUMIF(INDIRECT(N$3),'Struktur Aktuell'!$D81,INDIRECT(N$4))+SUMIF(INDIRECT(N$3),'Struktur Aktuell'!$D81,INDIRECT(N$5)))</f>
        <v>0</v>
      </c>
      <c r="O81" s="593">
        <f ca="1">$E81*(-SUMIF(INDIRECT(O$3),'Struktur Aktuell'!$D81,INDIRECT(O$4))+SUMIF(INDIRECT(O$3),'Struktur Aktuell'!$D81,INDIRECT(O$5)))</f>
        <v>0</v>
      </c>
      <c r="P81" s="593">
        <f ca="1">$E81*(-SUMIF(INDIRECT(P$3),'Struktur Aktuell'!$D81,INDIRECT(P$4))+SUMIF(INDIRECT(P$3),'Struktur Aktuell'!$D81,INDIRECT(P$5)))</f>
        <v>0</v>
      </c>
      <c r="Q81" s="593">
        <f ca="1">$E81*(-SUMIF(INDIRECT(Q$3),'Struktur Aktuell'!$D81,INDIRECT(Q$4))+SUMIF(INDIRECT(Q$3),'Struktur Aktuell'!$D81,INDIRECT(Q$5)))</f>
        <v>0</v>
      </c>
      <c r="R81" s="593">
        <f ca="1">$E81*(-SUMIF(INDIRECT(R$3),'Struktur Aktuell'!$D81,INDIRECT(R$4))+SUMIF(INDIRECT(R$3),'Struktur Aktuell'!$D81,INDIRECT(R$5)))</f>
        <v>0</v>
      </c>
      <c r="S81" s="593">
        <f ca="1">$E81*(-SUMIF(INDIRECT(S$3),'Struktur Aktuell'!$D81,INDIRECT(S$4))+SUMIF(INDIRECT(S$3),'Struktur Aktuell'!$D81,INDIRECT(S$5)))</f>
        <v>0</v>
      </c>
      <c r="T81" s="593">
        <f ca="1">$E81*(-SUMIF(INDIRECT(T$3),'Struktur Aktuell'!$D81,INDIRECT(T$4))+SUMIF(INDIRECT(T$3),'Struktur Aktuell'!$D81,INDIRECT(T$5)))</f>
        <v>0</v>
      </c>
      <c r="U81" s="593">
        <f ca="1">$E81*(-SUMIF(INDIRECT(U$3),'Struktur Aktuell'!$D81,INDIRECT(U$4))+SUMIF(INDIRECT(U$3),'Struktur Aktuell'!$D81,INDIRECT(U$5)))</f>
        <v>0</v>
      </c>
      <c r="V81" s="593">
        <f ca="1">$E81*(-SUMIF(INDIRECT(V$3),'Struktur Aktuell'!$D81,INDIRECT(V$4))+SUMIF(INDIRECT(V$3),'Struktur Aktuell'!$D81,INDIRECT(V$5)))</f>
        <v>0</v>
      </c>
      <c r="W81" s="593">
        <f ca="1">$E81*(-SUMIF(INDIRECT(W$3),'Struktur Aktuell'!$D81,INDIRECT(W$4))+SUMIF(INDIRECT(W$3),'Struktur Aktuell'!$D81,INDIRECT(W$5)))</f>
        <v>0</v>
      </c>
      <c r="X81" s="593">
        <f ca="1">$E81*(-SUMIF(INDIRECT(X$3),'Struktur Aktuell'!$D81,INDIRECT(X$4))+SUMIF(INDIRECT(X$3),'Struktur Aktuell'!$D81,INDIRECT(X$5)))</f>
        <v>0</v>
      </c>
      <c r="Y81" s="593">
        <f ca="1">$E81*(-SUMIF(INDIRECT(Y$3),'Struktur Aktuell'!$D81,INDIRECT(Y$4))+SUMIF(INDIRECT(Y$3),'Struktur Aktuell'!$D81,INDIRECT(Y$5)))</f>
        <v>0</v>
      </c>
      <c r="Z81" s="593">
        <f ca="1">$E81*(-SUMIF(INDIRECT(Z$3),'Struktur Aktuell'!$D81,INDIRECT(Z$4))+SUMIF(INDIRECT(Z$3),'Struktur Aktuell'!$D81,INDIRECT(Z$5)))</f>
        <v>0</v>
      </c>
      <c r="AA81" s="593">
        <f ca="1">$E81*(-SUMIF(INDIRECT(AA$3),'Struktur Aktuell'!$D81,INDIRECT(AA$4))+SUMIF(INDIRECT(AA$3),'Struktur Aktuell'!$D81,INDIRECT(AA$5)))</f>
        <v>0</v>
      </c>
      <c r="AB81" s="593">
        <f ca="1">$E81*(-SUMIF(INDIRECT(AB$3),'Struktur Aktuell'!$D81,INDIRECT(AB$4))+SUMIF(INDIRECT(AB$3),'Struktur Aktuell'!$D81,INDIRECT(AB$5)))</f>
        <v>0</v>
      </c>
      <c r="AC81" s="593">
        <f ca="1">$E81*(-SUMIF(INDIRECT(AC$3),'Struktur Aktuell'!$D81,INDIRECT(AC$4))+SUMIF(INDIRECT(AC$3),'Struktur Aktuell'!$D81,INDIRECT(AC$5)))</f>
        <v>0</v>
      </c>
      <c r="AD81" s="593">
        <f ca="1">$E81*(-SUMIF(INDIRECT(AD$3),'Struktur Aktuell'!$D81,INDIRECT(AD$4))+SUMIF(INDIRECT(AD$3),'Struktur Aktuell'!$D81,INDIRECT(AD$5)))</f>
        <v>0</v>
      </c>
      <c r="AE81" s="593">
        <f t="shared" ref="AE81:AE88" ca="1" si="109">G81</f>
        <v>0</v>
      </c>
      <c r="AF81" s="593">
        <f t="shared" ref="AF81:AF88" ca="1" si="110">H81+AE81</f>
        <v>0</v>
      </c>
      <c r="AG81" s="593">
        <f t="shared" ref="AG81:AG88" ca="1" si="111">I81+AF81</f>
        <v>0</v>
      </c>
      <c r="AH81" s="593">
        <f t="shared" ref="AH81:AH88" ca="1" si="112">J81+AG81</f>
        <v>0</v>
      </c>
      <c r="AI81" s="593">
        <f t="shared" ref="AI81:AI88" ca="1" si="113">K81+AH81</f>
        <v>0</v>
      </c>
      <c r="AJ81" s="593">
        <f t="shared" ref="AJ81:AJ88" ca="1" si="114">L81+AI81</f>
        <v>0</v>
      </c>
      <c r="AK81" s="593">
        <f t="shared" ref="AK81:AK88" ca="1" si="115">M81+AJ81</f>
        <v>0</v>
      </c>
      <c r="AL81" s="593">
        <f t="shared" ref="AL81:AL88" ca="1" si="116">N81+AK81</f>
        <v>0</v>
      </c>
      <c r="AM81" s="593">
        <f t="shared" ref="AM81:AM88" ca="1" si="117">O81+AL81</f>
        <v>0</v>
      </c>
      <c r="AN81" s="593">
        <f t="shared" ref="AN81:AN88" ca="1" si="118">P81+AM81</f>
        <v>0</v>
      </c>
      <c r="AO81" s="593">
        <f t="shared" ref="AO81:AO88" ca="1" si="119">Q81+AN81</f>
        <v>0</v>
      </c>
      <c r="AP81" s="593">
        <f t="shared" ref="AP81:AP88" ca="1" si="120">R81+AO81</f>
        <v>0</v>
      </c>
    </row>
    <row r="82" spans="1:42" s="594" customFormat="1" ht="11.25" outlineLevel="1" x14ac:dyDescent="0.2">
      <c r="A82" s="599"/>
      <c r="B82" s="591" t="str">
        <f>IF(D82&lt;&gt;"",
IF(ISERROR(MATCH(D82,'Ist Aktuell Monat 01'!A:A,0))=FALSE,INDEX('Ist Aktuell Monat 01'!B:B,MATCH(D82,'Ist Aktuell Monat 01'!A:A,0)),
IF(ISERROR(MATCH(D82,'Ist Aktuell Monat 02'!A:A,0))=FALSE,INDEX('Ist Aktuell Monat 02'!B:B,MATCH(D82,'Ist Aktuell Monat 02'!A:A,0)),
IF(ISERROR(MATCH(D82,'Ist Aktuell Monat 03'!A:A,0))=FALSE,INDEX('Ist Aktuell Monat 03'!B:B,MATCH(D82,'Ist Aktuell Monat 03'!A:A,0)),
IF(ISERROR(MATCH(D82,'Ist Aktuell Monat 04'!A:A,0))=FALSE,INDEX('Ist Aktuell Monat 04'!B:B,MATCH(D82,'Ist Aktuell Monat 04'!A:A,0)),
IF(ISERROR(MATCH(D82,'Ist Aktuell Monat 05'!A:A,0))=FALSE,INDEX('Ist Aktuell Monat 05'!B:B,MATCH(D82,'Ist Aktuell Monat 05'!A:A,0)),
IF(ISERROR(MATCH(D82,'Ist Aktuell Monat 06'!A:A,0))=FALSE,INDEX('Ist Aktuell Monat 06'!B:B,MATCH(D82,'Ist Aktuell Monat 06'!A:A,0)),
IF(ISERROR(MATCH(D82,'Ist Aktuell Monat 07'!A:A,0))=FALSE,INDEX('Ist Aktuell Monat 07'!B:B,MATCH(D82,'Ist Aktuell Monat 07'!A:A,0)),
IF(ISERROR(MATCH(D82,'Ist Aktuell Monat 08'!A:A,0))=FALSE,INDEX('Ist Aktuell Monat 08'!B:B,MATCH(D82,'Ist Aktuell Monat 08'!A:A,0)),
IF(ISERROR(MATCH(D82,'Ist Aktuell Monat 09'!A:A,0))=FALSE,INDEX('Ist Aktuell Monat 09'!B:B,MATCH(D82,'Ist Aktuell Monat 09'!A:A,0)),
IF(ISERROR(MATCH(D82,'Ist Aktuell Monat 10'!A:A,0))=FALSE,INDEX('Ist Aktuell Monat 10'!B:B,MATCH(D82,'Ist Aktuell Monat 10'!A:A,0)),
IF(ISERROR(MATCH(D82,'Ist Aktuell Monat 11'!A:A,0))=FALSE,INDEX('Ist Aktuell Monat 11'!B:B,MATCH(D82,'Ist Aktuell Monat 11'!A:A,0)),
IF(ISERROR(MATCH(D82,'Ist Aktuell Monat 12'!A:A,0))=FALSE,INDEX('Ist Aktuell Monat 12'!B:B,MATCH(D82,'Ist Aktuell Monat 12'!A:A,0)),
"{Konto unbekannt}"
)))))))))))),"")</f>
        <v/>
      </c>
      <c r="C82" s="591"/>
      <c r="D82" s="590"/>
      <c r="E82" s="592">
        <f t="shared" si="77"/>
        <v>1</v>
      </c>
      <c r="F82" s="599"/>
      <c r="G82" s="593">
        <f ca="1">$E82*(-SUMIF(INDIRECT(G$3),'Struktur Aktuell'!$D82,INDIRECT(G$4))+SUMIF(INDIRECT(G$3),'Struktur Aktuell'!$D82,INDIRECT(G$5)))</f>
        <v>0</v>
      </c>
      <c r="H82" s="593">
        <f ca="1">$E82*(-SUMIF(INDIRECT(H$3),'Struktur Aktuell'!$D82,INDIRECT(H$4))+SUMIF(INDIRECT(H$3),'Struktur Aktuell'!$D82,INDIRECT(H$5)))</f>
        <v>0</v>
      </c>
      <c r="I82" s="593">
        <f ca="1">$E82*(-SUMIF(INDIRECT(I$3),'Struktur Aktuell'!$D82,INDIRECT(I$4))+SUMIF(INDIRECT(I$3),'Struktur Aktuell'!$D82,INDIRECT(I$5)))</f>
        <v>0</v>
      </c>
      <c r="J82" s="593">
        <f ca="1">$E82*(-SUMIF(INDIRECT(J$3),'Struktur Aktuell'!$D82,INDIRECT(J$4))+SUMIF(INDIRECT(J$3),'Struktur Aktuell'!$D82,INDIRECT(J$5)))</f>
        <v>0</v>
      </c>
      <c r="K82" s="593">
        <f ca="1">$E82*(-SUMIF(INDIRECT(K$3),'Struktur Aktuell'!$D82,INDIRECT(K$4))+SUMIF(INDIRECT(K$3),'Struktur Aktuell'!$D82,INDIRECT(K$5)))</f>
        <v>0</v>
      </c>
      <c r="L82" s="593">
        <f ca="1">$E82*(-SUMIF(INDIRECT(L$3),'Struktur Aktuell'!$D82,INDIRECT(L$4))+SUMIF(INDIRECT(L$3),'Struktur Aktuell'!$D82,INDIRECT(L$5)))</f>
        <v>0</v>
      </c>
      <c r="M82" s="593">
        <f ca="1">$E82*(-SUMIF(INDIRECT(M$3),'Struktur Aktuell'!$D82,INDIRECT(M$4))+SUMIF(INDIRECT(M$3),'Struktur Aktuell'!$D82,INDIRECT(M$5)))</f>
        <v>0</v>
      </c>
      <c r="N82" s="593">
        <f ca="1">$E82*(-SUMIF(INDIRECT(N$3),'Struktur Aktuell'!$D82,INDIRECT(N$4))+SUMIF(INDIRECT(N$3),'Struktur Aktuell'!$D82,INDIRECT(N$5)))</f>
        <v>0</v>
      </c>
      <c r="O82" s="593">
        <f ca="1">$E82*(-SUMIF(INDIRECT(O$3),'Struktur Aktuell'!$D82,INDIRECT(O$4))+SUMIF(INDIRECT(O$3),'Struktur Aktuell'!$D82,INDIRECT(O$5)))</f>
        <v>0</v>
      </c>
      <c r="P82" s="593">
        <f ca="1">$E82*(-SUMIF(INDIRECT(P$3),'Struktur Aktuell'!$D82,INDIRECT(P$4))+SUMIF(INDIRECT(P$3),'Struktur Aktuell'!$D82,INDIRECT(P$5)))</f>
        <v>0</v>
      </c>
      <c r="Q82" s="593">
        <f ca="1">$E82*(-SUMIF(INDIRECT(Q$3),'Struktur Aktuell'!$D82,INDIRECT(Q$4))+SUMIF(INDIRECT(Q$3),'Struktur Aktuell'!$D82,INDIRECT(Q$5)))</f>
        <v>0</v>
      </c>
      <c r="R82" s="593">
        <f ca="1">$E82*(-SUMIF(INDIRECT(R$3),'Struktur Aktuell'!$D82,INDIRECT(R$4))+SUMIF(INDIRECT(R$3),'Struktur Aktuell'!$D82,INDIRECT(R$5)))</f>
        <v>0</v>
      </c>
      <c r="S82" s="593">
        <f ca="1">$E82*(-SUMIF(INDIRECT(S$3),'Struktur Aktuell'!$D82,INDIRECT(S$4))+SUMIF(INDIRECT(S$3),'Struktur Aktuell'!$D82,INDIRECT(S$5)))</f>
        <v>0</v>
      </c>
      <c r="T82" s="593">
        <f ca="1">$E82*(-SUMIF(INDIRECT(T$3),'Struktur Aktuell'!$D82,INDIRECT(T$4))+SUMIF(INDIRECT(T$3),'Struktur Aktuell'!$D82,INDIRECT(T$5)))</f>
        <v>0</v>
      </c>
      <c r="U82" s="593">
        <f ca="1">$E82*(-SUMIF(INDIRECT(U$3),'Struktur Aktuell'!$D82,INDIRECT(U$4))+SUMIF(INDIRECT(U$3),'Struktur Aktuell'!$D82,INDIRECT(U$5)))</f>
        <v>0</v>
      </c>
      <c r="V82" s="593">
        <f ca="1">$E82*(-SUMIF(INDIRECT(V$3),'Struktur Aktuell'!$D82,INDIRECT(V$4))+SUMIF(INDIRECT(V$3),'Struktur Aktuell'!$D82,INDIRECT(V$5)))</f>
        <v>0</v>
      </c>
      <c r="W82" s="593">
        <f ca="1">$E82*(-SUMIF(INDIRECT(W$3),'Struktur Aktuell'!$D82,INDIRECT(W$4))+SUMIF(INDIRECT(W$3),'Struktur Aktuell'!$D82,INDIRECT(W$5)))</f>
        <v>0</v>
      </c>
      <c r="X82" s="593">
        <f ca="1">$E82*(-SUMIF(INDIRECT(X$3),'Struktur Aktuell'!$D82,INDIRECT(X$4))+SUMIF(INDIRECT(X$3),'Struktur Aktuell'!$D82,INDIRECT(X$5)))</f>
        <v>0</v>
      </c>
      <c r="Y82" s="593">
        <f ca="1">$E82*(-SUMIF(INDIRECT(Y$3),'Struktur Aktuell'!$D82,INDIRECT(Y$4))+SUMIF(INDIRECT(Y$3),'Struktur Aktuell'!$D82,INDIRECT(Y$5)))</f>
        <v>0</v>
      </c>
      <c r="Z82" s="593">
        <f ca="1">$E82*(-SUMIF(INDIRECT(Z$3),'Struktur Aktuell'!$D82,INDIRECT(Z$4))+SUMIF(INDIRECT(Z$3),'Struktur Aktuell'!$D82,INDIRECT(Z$5)))</f>
        <v>0</v>
      </c>
      <c r="AA82" s="593">
        <f ca="1">$E82*(-SUMIF(INDIRECT(AA$3),'Struktur Aktuell'!$D82,INDIRECT(AA$4))+SUMIF(INDIRECT(AA$3),'Struktur Aktuell'!$D82,INDIRECT(AA$5)))</f>
        <v>0</v>
      </c>
      <c r="AB82" s="593">
        <f ca="1">$E82*(-SUMIF(INDIRECT(AB$3),'Struktur Aktuell'!$D82,INDIRECT(AB$4))+SUMIF(INDIRECT(AB$3),'Struktur Aktuell'!$D82,INDIRECT(AB$5)))</f>
        <v>0</v>
      </c>
      <c r="AC82" s="593">
        <f ca="1">$E82*(-SUMIF(INDIRECT(AC$3),'Struktur Aktuell'!$D82,INDIRECT(AC$4))+SUMIF(INDIRECT(AC$3),'Struktur Aktuell'!$D82,INDIRECT(AC$5)))</f>
        <v>0</v>
      </c>
      <c r="AD82" s="593">
        <f ca="1">$E82*(-SUMIF(INDIRECT(AD$3),'Struktur Aktuell'!$D82,INDIRECT(AD$4))+SUMIF(INDIRECT(AD$3),'Struktur Aktuell'!$D82,INDIRECT(AD$5)))</f>
        <v>0</v>
      </c>
      <c r="AE82" s="593">
        <f t="shared" ca="1" si="109"/>
        <v>0</v>
      </c>
      <c r="AF82" s="593">
        <f t="shared" ca="1" si="110"/>
        <v>0</v>
      </c>
      <c r="AG82" s="593">
        <f t="shared" ca="1" si="111"/>
        <v>0</v>
      </c>
      <c r="AH82" s="593">
        <f t="shared" ca="1" si="112"/>
        <v>0</v>
      </c>
      <c r="AI82" s="593">
        <f t="shared" ca="1" si="113"/>
        <v>0</v>
      </c>
      <c r="AJ82" s="593">
        <f t="shared" ca="1" si="114"/>
        <v>0</v>
      </c>
      <c r="AK82" s="593">
        <f t="shared" ca="1" si="115"/>
        <v>0</v>
      </c>
      <c r="AL82" s="593">
        <f t="shared" ca="1" si="116"/>
        <v>0</v>
      </c>
      <c r="AM82" s="593">
        <f t="shared" ca="1" si="117"/>
        <v>0</v>
      </c>
      <c r="AN82" s="593">
        <f t="shared" ca="1" si="118"/>
        <v>0</v>
      </c>
      <c r="AO82" s="593">
        <f t="shared" ca="1" si="119"/>
        <v>0</v>
      </c>
      <c r="AP82" s="593">
        <f t="shared" ca="1" si="120"/>
        <v>0</v>
      </c>
    </row>
    <row r="83" spans="1:42" s="594" customFormat="1" ht="11.25" outlineLevel="1" x14ac:dyDescent="0.2">
      <c r="A83" s="599"/>
      <c r="B83" s="591" t="str">
        <f>IF(D83&lt;&gt;"",
IF(ISERROR(MATCH(D83,'Ist Aktuell Monat 01'!A:A,0))=FALSE,INDEX('Ist Aktuell Monat 01'!B:B,MATCH(D83,'Ist Aktuell Monat 01'!A:A,0)),
IF(ISERROR(MATCH(D83,'Ist Aktuell Monat 02'!A:A,0))=FALSE,INDEX('Ist Aktuell Monat 02'!B:B,MATCH(D83,'Ist Aktuell Monat 02'!A:A,0)),
IF(ISERROR(MATCH(D83,'Ist Aktuell Monat 03'!A:A,0))=FALSE,INDEX('Ist Aktuell Monat 03'!B:B,MATCH(D83,'Ist Aktuell Monat 03'!A:A,0)),
IF(ISERROR(MATCH(D83,'Ist Aktuell Monat 04'!A:A,0))=FALSE,INDEX('Ist Aktuell Monat 04'!B:B,MATCH(D83,'Ist Aktuell Monat 04'!A:A,0)),
IF(ISERROR(MATCH(D83,'Ist Aktuell Monat 05'!A:A,0))=FALSE,INDEX('Ist Aktuell Monat 05'!B:B,MATCH(D83,'Ist Aktuell Monat 05'!A:A,0)),
IF(ISERROR(MATCH(D83,'Ist Aktuell Monat 06'!A:A,0))=FALSE,INDEX('Ist Aktuell Monat 06'!B:B,MATCH(D83,'Ist Aktuell Monat 06'!A:A,0)),
IF(ISERROR(MATCH(D83,'Ist Aktuell Monat 07'!A:A,0))=FALSE,INDEX('Ist Aktuell Monat 07'!B:B,MATCH(D83,'Ist Aktuell Monat 07'!A:A,0)),
IF(ISERROR(MATCH(D83,'Ist Aktuell Monat 08'!A:A,0))=FALSE,INDEX('Ist Aktuell Monat 08'!B:B,MATCH(D83,'Ist Aktuell Monat 08'!A:A,0)),
IF(ISERROR(MATCH(D83,'Ist Aktuell Monat 09'!A:A,0))=FALSE,INDEX('Ist Aktuell Monat 09'!B:B,MATCH(D83,'Ist Aktuell Monat 09'!A:A,0)),
IF(ISERROR(MATCH(D83,'Ist Aktuell Monat 10'!A:A,0))=FALSE,INDEX('Ist Aktuell Monat 10'!B:B,MATCH(D83,'Ist Aktuell Monat 10'!A:A,0)),
IF(ISERROR(MATCH(D83,'Ist Aktuell Monat 11'!A:A,0))=FALSE,INDEX('Ist Aktuell Monat 11'!B:B,MATCH(D83,'Ist Aktuell Monat 11'!A:A,0)),
IF(ISERROR(MATCH(D83,'Ist Aktuell Monat 12'!A:A,0))=FALSE,INDEX('Ist Aktuell Monat 12'!B:B,MATCH(D83,'Ist Aktuell Monat 12'!A:A,0)),
"{Konto unbekannt}"
)))))))))))),"")</f>
        <v/>
      </c>
      <c r="C83" s="591"/>
      <c r="D83" s="590"/>
      <c r="E83" s="592">
        <f t="shared" si="77"/>
        <v>1</v>
      </c>
      <c r="F83" s="599"/>
      <c r="G83" s="593">
        <f ca="1">$E83*(-SUMIF(INDIRECT(G$3),'Struktur Aktuell'!$D83,INDIRECT(G$4))+SUMIF(INDIRECT(G$3),'Struktur Aktuell'!$D83,INDIRECT(G$5)))</f>
        <v>0</v>
      </c>
      <c r="H83" s="593">
        <f ca="1">$E83*(-SUMIF(INDIRECT(H$3),'Struktur Aktuell'!$D83,INDIRECT(H$4))+SUMIF(INDIRECT(H$3),'Struktur Aktuell'!$D83,INDIRECT(H$5)))</f>
        <v>0</v>
      </c>
      <c r="I83" s="593">
        <f ca="1">$E83*(-SUMIF(INDIRECT(I$3),'Struktur Aktuell'!$D83,INDIRECT(I$4))+SUMIF(INDIRECT(I$3),'Struktur Aktuell'!$D83,INDIRECT(I$5)))</f>
        <v>0</v>
      </c>
      <c r="J83" s="593">
        <f ca="1">$E83*(-SUMIF(INDIRECT(J$3),'Struktur Aktuell'!$D83,INDIRECT(J$4))+SUMIF(INDIRECT(J$3),'Struktur Aktuell'!$D83,INDIRECT(J$5)))</f>
        <v>0</v>
      </c>
      <c r="K83" s="593">
        <f ca="1">$E83*(-SUMIF(INDIRECT(K$3),'Struktur Aktuell'!$D83,INDIRECT(K$4))+SUMIF(INDIRECT(K$3),'Struktur Aktuell'!$D83,INDIRECT(K$5)))</f>
        <v>0</v>
      </c>
      <c r="L83" s="593">
        <f ca="1">$E83*(-SUMIF(INDIRECT(L$3),'Struktur Aktuell'!$D83,INDIRECT(L$4))+SUMIF(INDIRECT(L$3),'Struktur Aktuell'!$D83,INDIRECT(L$5)))</f>
        <v>0</v>
      </c>
      <c r="M83" s="593">
        <f ca="1">$E83*(-SUMIF(INDIRECT(M$3),'Struktur Aktuell'!$D83,INDIRECT(M$4))+SUMIF(INDIRECT(M$3),'Struktur Aktuell'!$D83,INDIRECT(M$5)))</f>
        <v>0</v>
      </c>
      <c r="N83" s="593">
        <f ca="1">$E83*(-SUMIF(INDIRECT(N$3),'Struktur Aktuell'!$D83,INDIRECT(N$4))+SUMIF(INDIRECT(N$3),'Struktur Aktuell'!$D83,INDIRECT(N$5)))</f>
        <v>0</v>
      </c>
      <c r="O83" s="593">
        <f ca="1">$E83*(-SUMIF(INDIRECT(O$3),'Struktur Aktuell'!$D83,INDIRECT(O$4))+SUMIF(INDIRECT(O$3),'Struktur Aktuell'!$D83,INDIRECT(O$5)))</f>
        <v>0</v>
      </c>
      <c r="P83" s="593">
        <f ca="1">$E83*(-SUMIF(INDIRECT(P$3),'Struktur Aktuell'!$D83,INDIRECT(P$4))+SUMIF(INDIRECT(P$3),'Struktur Aktuell'!$D83,INDIRECT(P$5)))</f>
        <v>0</v>
      </c>
      <c r="Q83" s="593">
        <f ca="1">$E83*(-SUMIF(INDIRECT(Q$3),'Struktur Aktuell'!$D83,INDIRECT(Q$4))+SUMIF(INDIRECT(Q$3),'Struktur Aktuell'!$D83,INDIRECT(Q$5)))</f>
        <v>0</v>
      </c>
      <c r="R83" s="593">
        <f ca="1">$E83*(-SUMIF(INDIRECT(R$3),'Struktur Aktuell'!$D83,INDIRECT(R$4))+SUMIF(INDIRECT(R$3),'Struktur Aktuell'!$D83,INDIRECT(R$5)))</f>
        <v>0</v>
      </c>
      <c r="S83" s="593">
        <f ca="1">$E83*(-SUMIF(INDIRECT(S$3),'Struktur Aktuell'!$D83,INDIRECT(S$4))+SUMIF(INDIRECT(S$3),'Struktur Aktuell'!$D83,INDIRECT(S$5)))</f>
        <v>0</v>
      </c>
      <c r="T83" s="593">
        <f ca="1">$E83*(-SUMIF(INDIRECT(T$3),'Struktur Aktuell'!$D83,INDIRECT(T$4))+SUMIF(INDIRECT(T$3),'Struktur Aktuell'!$D83,INDIRECT(T$5)))</f>
        <v>0</v>
      </c>
      <c r="U83" s="593">
        <f ca="1">$E83*(-SUMIF(INDIRECT(U$3),'Struktur Aktuell'!$D83,INDIRECT(U$4))+SUMIF(INDIRECT(U$3),'Struktur Aktuell'!$D83,INDIRECT(U$5)))</f>
        <v>0</v>
      </c>
      <c r="V83" s="593">
        <f ca="1">$E83*(-SUMIF(INDIRECT(V$3),'Struktur Aktuell'!$D83,INDIRECT(V$4))+SUMIF(INDIRECT(V$3),'Struktur Aktuell'!$D83,INDIRECT(V$5)))</f>
        <v>0</v>
      </c>
      <c r="W83" s="593">
        <f ca="1">$E83*(-SUMIF(INDIRECT(W$3),'Struktur Aktuell'!$D83,INDIRECT(W$4))+SUMIF(INDIRECT(W$3),'Struktur Aktuell'!$D83,INDIRECT(W$5)))</f>
        <v>0</v>
      </c>
      <c r="X83" s="593">
        <f ca="1">$E83*(-SUMIF(INDIRECT(X$3),'Struktur Aktuell'!$D83,INDIRECT(X$4))+SUMIF(INDIRECT(X$3),'Struktur Aktuell'!$D83,INDIRECT(X$5)))</f>
        <v>0</v>
      </c>
      <c r="Y83" s="593">
        <f ca="1">$E83*(-SUMIF(INDIRECT(Y$3),'Struktur Aktuell'!$D83,INDIRECT(Y$4))+SUMIF(INDIRECT(Y$3),'Struktur Aktuell'!$D83,INDIRECT(Y$5)))</f>
        <v>0</v>
      </c>
      <c r="Z83" s="593">
        <f ca="1">$E83*(-SUMIF(INDIRECT(Z$3),'Struktur Aktuell'!$D83,INDIRECT(Z$4))+SUMIF(INDIRECT(Z$3),'Struktur Aktuell'!$D83,INDIRECT(Z$5)))</f>
        <v>0</v>
      </c>
      <c r="AA83" s="593">
        <f ca="1">$E83*(-SUMIF(INDIRECT(AA$3),'Struktur Aktuell'!$D83,INDIRECT(AA$4))+SUMIF(INDIRECT(AA$3),'Struktur Aktuell'!$D83,INDIRECT(AA$5)))</f>
        <v>0</v>
      </c>
      <c r="AB83" s="593">
        <f ca="1">$E83*(-SUMIF(INDIRECT(AB$3),'Struktur Aktuell'!$D83,INDIRECT(AB$4))+SUMIF(INDIRECT(AB$3),'Struktur Aktuell'!$D83,INDIRECT(AB$5)))</f>
        <v>0</v>
      </c>
      <c r="AC83" s="593">
        <f ca="1">$E83*(-SUMIF(INDIRECT(AC$3),'Struktur Aktuell'!$D83,INDIRECT(AC$4))+SUMIF(INDIRECT(AC$3),'Struktur Aktuell'!$D83,INDIRECT(AC$5)))</f>
        <v>0</v>
      </c>
      <c r="AD83" s="593">
        <f ca="1">$E83*(-SUMIF(INDIRECT(AD$3),'Struktur Aktuell'!$D83,INDIRECT(AD$4))+SUMIF(INDIRECT(AD$3),'Struktur Aktuell'!$D83,INDIRECT(AD$5)))</f>
        <v>0</v>
      </c>
      <c r="AE83" s="593">
        <f t="shared" ca="1" si="109"/>
        <v>0</v>
      </c>
      <c r="AF83" s="593">
        <f t="shared" ca="1" si="110"/>
        <v>0</v>
      </c>
      <c r="AG83" s="593">
        <f t="shared" ca="1" si="111"/>
        <v>0</v>
      </c>
      <c r="AH83" s="593">
        <f t="shared" ca="1" si="112"/>
        <v>0</v>
      </c>
      <c r="AI83" s="593">
        <f t="shared" ca="1" si="113"/>
        <v>0</v>
      </c>
      <c r="AJ83" s="593">
        <f t="shared" ca="1" si="114"/>
        <v>0</v>
      </c>
      <c r="AK83" s="593">
        <f t="shared" ca="1" si="115"/>
        <v>0</v>
      </c>
      <c r="AL83" s="593">
        <f t="shared" ca="1" si="116"/>
        <v>0</v>
      </c>
      <c r="AM83" s="593">
        <f t="shared" ca="1" si="117"/>
        <v>0</v>
      </c>
      <c r="AN83" s="593">
        <f t="shared" ca="1" si="118"/>
        <v>0</v>
      </c>
      <c r="AO83" s="593">
        <f t="shared" ca="1" si="119"/>
        <v>0</v>
      </c>
      <c r="AP83" s="593">
        <f t="shared" ca="1" si="120"/>
        <v>0</v>
      </c>
    </row>
    <row r="84" spans="1:42" s="594" customFormat="1" ht="11.25" outlineLevel="1" x14ac:dyDescent="0.2">
      <c r="A84" s="599"/>
      <c r="B84" s="591" t="str">
        <f>IF(D84&lt;&gt;"",
IF(ISERROR(MATCH(D84,'Ist Aktuell Monat 01'!A:A,0))=FALSE,INDEX('Ist Aktuell Monat 01'!B:B,MATCH(D84,'Ist Aktuell Monat 01'!A:A,0)),
IF(ISERROR(MATCH(D84,'Ist Aktuell Monat 02'!A:A,0))=FALSE,INDEX('Ist Aktuell Monat 02'!B:B,MATCH(D84,'Ist Aktuell Monat 02'!A:A,0)),
IF(ISERROR(MATCH(D84,'Ist Aktuell Monat 03'!A:A,0))=FALSE,INDEX('Ist Aktuell Monat 03'!B:B,MATCH(D84,'Ist Aktuell Monat 03'!A:A,0)),
IF(ISERROR(MATCH(D84,'Ist Aktuell Monat 04'!A:A,0))=FALSE,INDEX('Ist Aktuell Monat 04'!B:B,MATCH(D84,'Ist Aktuell Monat 04'!A:A,0)),
IF(ISERROR(MATCH(D84,'Ist Aktuell Monat 05'!A:A,0))=FALSE,INDEX('Ist Aktuell Monat 05'!B:B,MATCH(D84,'Ist Aktuell Monat 05'!A:A,0)),
IF(ISERROR(MATCH(D84,'Ist Aktuell Monat 06'!A:A,0))=FALSE,INDEX('Ist Aktuell Monat 06'!B:B,MATCH(D84,'Ist Aktuell Monat 06'!A:A,0)),
IF(ISERROR(MATCH(D84,'Ist Aktuell Monat 07'!A:A,0))=FALSE,INDEX('Ist Aktuell Monat 07'!B:B,MATCH(D84,'Ist Aktuell Monat 07'!A:A,0)),
IF(ISERROR(MATCH(D84,'Ist Aktuell Monat 08'!A:A,0))=FALSE,INDEX('Ist Aktuell Monat 08'!B:B,MATCH(D84,'Ist Aktuell Monat 08'!A:A,0)),
IF(ISERROR(MATCH(D84,'Ist Aktuell Monat 09'!A:A,0))=FALSE,INDEX('Ist Aktuell Monat 09'!B:B,MATCH(D84,'Ist Aktuell Monat 09'!A:A,0)),
IF(ISERROR(MATCH(D84,'Ist Aktuell Monat 10'!A:A,0))=FALSE,INDEX('Ist Aktuell Monat 10'!B:B,MATCH(D84,'Ist Aktuell Monat 10'!A:A,0)),
IF(ISERROR(MATCH(D84,'Ist Aktuell Monat 11'!A:A,0))=FALSE,INDEX('Ist Aktuell Monat 11'!B:B,MATCH(D84,'Ist Aktuell Monat 11'!A:A,0)),
IF(ISERROR(MATCH(D84,'Ist Aktuell Monat 12'!A:A,0))=FALSE,INDEX('Ist Aktuell Monat 12'!B:B,MATCH(D84,'Ist Aktuell Monat 12'!A:A,0)),
"{Konto unbekannt}"
)))))))))))),"")</f>
        <v/>
      </c>
      <c r="C84" s="591"/>
      <c r="D84" s="590"/>
      <c r="E84" s="592">
        <f t="shared" si="77"/>
        <v>1</v>
      </c>
      <c r="F84" s="599"/>
      <c r="G84" s="593">
        <f ca="1">$E84*(-SUMIF(INDIRECT(G$3),'Struktur Aktuell'!$D84,INDIRECT(G$4))+SUMIF(INDIRECT(G$3),'Struktur Aktuell'!$D84,INDIRECT(G$5)))</f>
        <v>0</v>
      </c>
      <c r="H84" s="593">
        <f ca="1">$E84*(-SUMIF(INDIRECT(H$3),'Struktur Aktuell'!$D84,INDIRECT(H$4))+SUMIF(INDIRECT(H$3),'Struktur Aktuell'!$D84,INDIRECT(H$5)))</f>
        <v>0</v>
      </c>
      <c r="I84" s="593">
        <f ca="1">$E84*(-SUMIF(INDIRECT(I$3),'Struktur Aktuell'!$D84,INDIRECT(I$4))+SUMIF(INDIRECT(I$3),'Struktur Aktuell'!$D84,INDIRECT(I$5)))</f>
        <v>0</v>
      </c>
      <c r="J84" s="593">
        <f ca="1">$E84*(-SUMIF(INDIRECT(J$3),'Struktur Aktuell'!$D84,INDIRECT(J$4))+SUMIF(INDIRECT(J$3),'Struktur Aktuell'!$D84,INDIRECT(J$5)))</f>
        <v>0</v>
      </c>
      <c r="K84" s="593">
        <f ca="1">$E84*(-SUMIF(INDIRECT(K$3),'Struktur Aktuell'!$D84,INDIRECT(K$4))+SUMIF(INDIRECT(K$3),'Struktur Aktuell'!$D84,INDIRECT(K$5)))</f>
        <v>0</v>
      </c>
      <c r="L84" s="593">
        <f ca="1">$E84*(-SUMIF(INDIRECT(L$3),'Struktur Aktuell'!$D84,INDIRECT(L$4))+SUMIF(INDIRECT(L$3),'Struktur Aktuell'!$D84,INDIRECT(L$5)))</f>
        <v>0</v>
      </c>
      <c r="M84" s="593">
        <f ca="1">$E84*(-SUMIF(INDIRECT(M$3),'Struktur Aktuell'!$D84,INDIRECT(M$4))+SUMIF(INDIRECT(M$3),'Struktur Aktuell'!$D84,INDIRECT(M$5)))</f>
        <v>0</v>
      </c>
      <c r="N84" s="593">
        <f ca="1">$E84*(-SUMIF(INDIRECT(N$3),'Struktur Aktuell'!$D84,INDIRECT(N$4))+SUMIF(INDIRECT(N$3),'Struktur Aktuell'!$D84,INDIRECT(N$5)))</f>
        <v>0</v>
      </c>
      <c r="O84" s="593">
        <f ca="1">$E84*(-SUMIF(INDIRECT(O$3),'Struktur Aktuell'!$D84,INDIRECT(O$4))+SUMIF(INDIRECT(O$3),'Struktur Aktuell'!$D84,INDIRECT(O$5)))</f>
        <v>0</v>
      </c>
      <c r="P84" s="593">
        <f ca="1">$E84*(-SUMIF(INDIRECT(P$3),'Struktur Aktuell'!$D84,INDIRECT(P$4))+SUMIF(INDIRECT(P$3),'Struktur Aktuell'!$D84,INDIRECT(P$5)))</f>
        <v>0</v>
      </c>
      <c r="Q84" s="593">
        <f ca="1">$E84*(-SUMIF(INDIRECT(Q$3),'Struktur Aktuell'!$D84,INDIRECT(Q$4))+SUMIF(INDIRECT(Q$3),'Struktur Aktuell'!$D84,INDIRECT(Q$5)))</f>
        <v>0</v>
      </c>
      <c r="R84" s="593">
        <f ca="1">$E84*(-SUMIF(INDIRECT(R$3),'Struktur Aktuell'!$D84,INDIRECT(R$4))+SUMIF(INDIRECT(R$3),'Struktur Aktuell'!$D84,INDIRECT(R$5)))</f>
        <v>0</v>
      </c>
      <c r="S84" s="593">
        <f ca="1">$E84*(-SUMIF(INDIRECT(S$3),'Struktur Aktuell'!$D84,INDIRECT(S$4))+SUMIF(INDIRECT(S$3),'Struktur Aktuell'!$D84,INDIRECT(S$5)))</f>
        <v>0</v>
      </c>
      <c r="T84" s="593">
        <f ca="1">$E84*(-SUMIF(INDIRECT(T$3),'Struktur Aktuell'!$D84,INDIRECT(T$4))+SUMIF(INDIRECT(T$3),'Struktur Aktuell'!$D84,INDIRECT(T$5)))</f>
        <v>0</v>
      </c>
      <c r="U84" s="593">
        <f ca="1">$E84*(-SUMIF(INDIRECT(U$3),'Struktur Aktuell'!$D84,INDIRECT(U$4))+SUMIF(INDIRECT(U$3),'Struktur Aktuell'!$D84,INDIRECT(U$5)))</f>
        <v>0</v>
      </c>
      <c r="V84" s="593">
        <f ca="1">$E84*(-SUMIF(INDIRECT(V$3),'Struktur Aktuell'!$D84,INDIRECT(V$4))+SUMIF(INDIRECT(V$3),'Struktur Aktuell'!$D84,INDIRECT(V$5)))</f>
        <v>0</v>
      </c>
      <c r="W84" s="593">
        <f ca="1">$E84*(-SUMIF(INDIRECT(W$3),'Struktur Aktuell'!$D84,INDIRECT(W$4))+SUMIF(INDIRECT(W$3),'Struktur Aktuell'!$D84,INDIRECT(W$5)))</f>
        <v>0</v>
      </c>
      <c r="X84" s="593">
        <f ca="1">$E84*(-SUMIF(INDIRECT(X$3),'Struktur Aktuell'!$D84,INDIRECT(X$4))+SUMIF(INDIRECT(X$3),'Struktur Aktuell'!$D84,INDIRECT(X$5)))</f>
        <v>0</v>
      </c>
      <c r="Y84" s="593">
        <f ca="1">$E84*(-SUMIF(INDIRECT(Y$3),'Struktur Aktuell'!$D84,INDIRECT(Y$4))+SUMIF(INDIRECT(Y$3),'Struktur Aktuell'!$D84,INDIRECT(Y$5)))</f>
        <v>0</v>
      </c>
      <c r="Z84" s="593">
        <f ca="1">$E84*(-SUMIF(INDIRECT(Z$3),'Struktur Aktuell'!$D84,INDIRECT(Z$4))+SUMIF(INDIRECT(Z$3),'Struktur Aktuell'!$D84,INDIRECT(Z$5)))</f>
        <v>0</v>
      </c>
      <c r="AA84" s="593">
        <f ca="1">$E84*(-SUMIF(INDIRECT(AA$3),'Struktur Aktuell'!$D84,INDIRECT(AA$4))+SUMIF(INDIRECT(AA$3),'Struktur Aktuell'!$D84,INDIRECT(AA$5)))</f>
        <v>0</v>
      </c>
      <c r="AB84" s="593">
        <f ca="1">$E84*(-SUMIF(INDIRECT(AB$3),'Struktur Aktuell'!$D84,INDIRECT(AB$4))+SUMIF(INDIRECT(AB$3),'Struktur Aktuell'!$D84,INDIRECT(AB$5)))</f>
        <v>0</v>
      </c>
      <c r="AC84" s="593">
        <f ca="1">$E84*(-SUMIF(INDIRECT(AC$3),'Struktur Aktuell'!$D84,INDIRECT(AC$4))+SUMIF(INDIRECT(AC$3),'Struktur Aktuell'!$D84,INDIRECT(AC$5)))</f>
        <v>0</v>
      </c>
      <c r="AD84" s="593">
        <f ca="1">$E84*(-SUMIF(INDIRECT(AD$3),'Struktur Aktuell'!$D84,INDIRECT(AD$4))+SUMIF(INDIRECT(AD$3),'Struktur Aktuell'!$D84,INDIRECT(AD$5)))</f>
        <v>0</v>
      </c>
      <c r="AE84" s="593">
        <f t="shared" ca="1" si="109"/>
        <v>0</v>
      </c>
      <c r="AF84" s="593">
        <f t="shared" ca="1" si="110"/>
        <v>0</v>
      </c>
      <c r="AG84" s="593">
        <f t="shared" ca="1" si="111"/>
        <v>0</v>
      </c>
      <c r="AH84" s="593">
        <f t="shared" ca="1" si="112"/>
        <v>0</v>
      </c>
      <c r="AI84" s="593">
        <f t="shared" ca="1" si="113"/>
        <v>0</v>
      </c>
      <c r="AJ84" s="593">
        <f t="shared" ca="1" si="114"/>
        <v>0</v>
      </c>
      <c r="AK84" s="593">
        <f t="shared" ca="1" si="115"/>
        <v>0</v>
      </c>
      <c r="AL84" s="593">
        <f t="shared" ca="1" si="116"/>
        <v>0</v>
      </c>
      <c r="AM84" s="593">
        <f t="shared" ca="1" si="117"/>
        <v>0</v>
      </c>
      <c r="AN84" s="593">
        <f t="shared" ca="1" si="118"/>
        <v>0</v>
      </c>
      <c r="AO84" s="593">
        <f t="shared" ca="1" si="119"/>
        <v>0</v>
      </c>
      <c r="AP84" s="593">
        <f t="shared" ca="1" si="120"/>
        <v>0</v>
      </c>
    </row>
    <row r="85" spans="1:42" s="594" customFormat="1" ht="11.25" outlineLevel="1" x14ac:dyDescent="0.2">
      <c r="A85" s="599"/>
      <c r="B85" s="591" t="str">
        <f>IF(D85&lt;&gt;"",
IF(ISERROR(MATCH(D85,'Ist Aktuell Monat 01'!A:A,0))=FALSE,INDEX('Ist Aktuell Monat 01'!B:B,MATCH(D85,'Ist Aktuell Monat 01'!A:A,0)),
IF(ISERROR(MATCH(D85,'Ist Aktuell Monat 02'!A:A,0))=FALSE,INDEX('Ist Aktuell Monat 02'!B:B,MATCH(D85,'Ist Aktuell Monat 02'!A:A,0)),
IF(ISERROR(MATCH(D85,'Ist Aktuell Monat 03'!A:A,0))=FALSE,INDEX('Ist Aktuell Monat 03'!B:B,MATCH(D85,'Ist Aktuell Monat 03'!A:A,0)),
IF(ISERROR(MATCH(D85,'Ist Aktuell Monat 04'!A:A,0))=FALSE,INDEX('Ist Aktuell Monat 04'!B:B,MATCH(D85,'Ist Aktuell Monat 04'!A:A,0)),
IF(ISERROR(MATCH(D85,'Ist Aktuell Monat 05'!A:A,0))=FALSE,INDEX('Ist Aktuell Monat 05'!B:B,MATCH(D85,'Ist Aktuell Monat 05'!A:A,0)),
IF(ISERROR(MATCH(D85,'Ist Aktuell Monat 06'!A:A,0))=FALSE,INDEX('Ist Aktuell Monat 06'!B:B,MATCH(D85,'Ist Aktuell Monat 06'!A:A,0)),
IF(ISERROR(MATCH(D85,'Ist Aktuell Monat 07'!A:A,0))=FALSE,INDEX('Ist Aktuell Monat 07'!B:B,MATCH(D85,'Ist Aktuell Monat 07'!A:A,0)),
IF(ISERROR(MATCH(D85,'Ist Aktuell Monat 08'!A:A,0))=FALSE,INDEX('Ist Aktuell Monat 08'!B:B,MATCH(D85,'Ist Aktuell Monat 08'!A:A,0)),
IF(ISERROR(MATCH(D85,'Ist Aktuell Monat 09'!A:A,0))=FALSE,INDEX('Ist Aktuell Monat 09'!B:B,MATCH(D85,'Ist Aktuell Monat 09'!A:A,0)),
IF(ISERROR(MATCH(D85,'Ist Aktuell Monat 10'!A:A,0))=FALSE,INDEX('Ist Aktuell Monat 10'!B:B,MATCH(D85,'Ist Aktuell Monat 10'!A:A,0)),
IF(ISERROR(MATCH(D85,'Ist Aktuell Monat 11'!A:A,0))=FALSE,INDEX('Ist Aktuell Monat 11'!B:B,MATCH(D85,'Ist Aktuell Monat 11'!A:A,0)),
IF(ISERROR(MATCH(D85,'Ist Aktuell Monat 12'!A:A,0))=FALSE,INDEX('Ist Aktuell Monat 12'!B:B,MATCH(D85,'Ist Aktuell Monat 12'!A:A,0)),
"{Konto unbekannt}"
)))))))))))),"")</f>
        <v/>
      </c>
      <c r="C85" s="591"/>
      <c r="D85" s="590"/>
      <c r="E85" s="592">
        <f t="shared" si="77"/>
        <v>1</v>
      </c>
      <c r="F85" s="599"/>
      <c r="G85" s="593">
        <f ca="1">$E85*(-SUMIF(INDIRECT(G$3),'Struktur Aktuell'!$D85,INDIRECT(G$4))+SUMIF(INDIRECT(G$3),'Struktur Aktuell'!$D85,INDIRECT(G$5)))</f>
        <v>0</v>
      </c>
      <c r="H85" s="593">
        <f ca="1">$E85*(-SUMIF(INDIRECT(H$3),'Struktur Aktuell'!$D85,INDIRECT(H$4))+SUMIF(INDIRECT(H$3),'Struktur Aktuell'!$D85,INDIRECT(H$5)))</f>
        <v>0</v>
      </c>
      <c r="I85" s="593">
        <f ca="1">$E85*(-SUMIF(INDIRECT(I$3),'Struktur Aktuell'!$D85,INDIRECT(I$4))+SUMIF(INDIRECT(I$3),'Struktur Aktuell'!$D85,INDIRECT(I$5)))</f>
        <v>0</v>
      </c>
      <c r="J85" s="593">
        <f ca="1">$E85*(-SUMIF(INDIRECT(J$3),'Struktur Aktuell'!$D85,INDIRECT(J$4))+SUMIF(INDIRECT(J$3),'Struktur Aktuell'!$D85,INDIRECT(J$5)))</f>
        <v>0</v>
      </c>
      <c r="K85" s="593">
        <f ca="1">$E85*(-SUMIF(INDIRECT(K$3),'Struktur Aktuell'!$D85,INDIRECT(K$4))+SUMIF(INDIRECT(K$3),'Struktur Aktuell'!$D85,INDIRECT(K$5)))</f>
        <v>0</v>
      </c>
      <c r="L85" s="593">
        <f ca="1">$E85*(-SUMIF(INDIRECT(L$3),'Struktur Aktuell'!$D85,INDIRECT(L$4))+SUMIF(INDIRECT(L$3),'Struktur Aktuell'!$D85,INDIRECT(L$5)))</f>
        <v>0</v>
      </c>
      <c r="M85" s="593">
        <f ca="1">$E85*(-SUMIF(INDIRECT(M$3),'Struktur Aktuell'!$D85,INDIRECT(M$4))+SUMIF(INDIRECT(M$3),'Struktur Aktuell'!$D85,INDIRECT(M$5)))</f>
        <v>0</v>
      </c>
      <c r="N85" s="593">
        <f ca="1">$E85*(-SUMIF(INDIRECT(N$3),'Struktur Aktuell'!$D85,INDIRECT(N$4))+SUMIF(INDIRECT(N$3),'Struktur Aktuell'!$D85,INDIRECT(N$5)))</f>
        <v>0</v>
      </c>
      <c r="O85" s="593">
        <f ca="1">$E85*(-SUMIF(INDIRECT(O$3),'Struktur Aktuell'!$D85,INDIRECT(O$4))+SUMIF(INDIRECT(O$3),'Struktur Aktuell'!$D85,INDIRECT(O$5)))</f>
        <v>0</v>
      </c>
      <c r="P85" s="593">
        <f ca="1">$E85*(-SUMIF(INDIRECT(P$3),'Struktur Aktuell'!$D85,INDIRECT(P$4))+SUMIF(INDIRECT(P$3),'Struktur Aktuell'!$D85,INDIRECT(P$5)))</f>
        <v>0</v>
      </c>
      <c r="Q85" s="593">
        <f ca="1">$E85*(-SUMIF(INDIRECT(Q$3),'Struktur Aktuell'!$D85,INDIRECT(Q$4))+SUMIF(INDIRECT(Q$3),'Struktur Aktuell'!$D85,INDIRECT(Q$5)))</f>
        <v>0</v>
      </c>
      <c r="R85" s="593">
        <f ca="1">$E85*(-SUMIF(INDIRECT(R$3),'Struktur Aktuell'!$D85,INDIRECT(R$4))+SUMIF(INDIRECT(R$3),'Struktur Aktuell'!$D85,INDIRECT(R$5)))</f>
        <v>0</v>
      </c>
      <c r="S85" s="593">
        <f ca="1">$E85*(-SUMIF(INDIRECT(S$3),'Struktur Aktuell'!$D85,INDIRECT(S$4))+SUMIF(INDIRECT(S$3),'Struktur Aktuell'!$D85,INDIRECT(S$5)))</f>
        <v>0</v>
      </c>
      <c r="T85" s="593">
        <f ca="1">$E85*(-SUMIF(INDIRECT(T$3),'Struktur Aktuell'!$D85,INDIRECT(T$4))+SUMIF(INDIRECT(T$3),'Struktur Aktuell'!$D85,INDIRECT(T$5)))</f>
        <v>0</v>
      </c>
      <c r="U85" s="593">
        <f ca="1">$E85*(-SUMIF(INDIRECT(U$3),'Struktur Aktuell'!$D85,INDIRECT(U$4))+SUMIF(INDIRECT(U$3),'Struktur Aktuell'!$D85,INDIRECT(U$5)))</f>
        <v>0</v>
      </c>
      <c r="V85" s="593">
        <f ca="1">$E85*(-SUMIF(INDIRECT(V$3),'Struktur Aktuell'!$D85,INDIRECT(V$4))+SUMIF(INDIRECT(V$3),'Struktur Aktuell'!$D85,INDIRECT(V$5)))</f>
        <v>0</v>
      </c>
      <c r="W85" s="593">
        <f ca="1">$E85*(-SUMIF(INDIRECT(W$3),'Struktur Aktuell'!$D85,INDIRECT(W$4))+SUMIF(INDIRECT(W$3),'Struktur Aktuell'!$D85,INDIRECT(W$5)))</f>
        <v>0</v>
      </c>
      <c r="X85" s="593">
        <f ca="1">$E85*(-SUMIF(INDIRECT(X$3),'Struktur Aktuell'!$D85,INDIRECT(X$4))+SUMIF(INDIRECT(X$3),'Struktur Aktuell'!$D85,INDIRECT(X$5)))</f>
        <v>0</v>
      </c>
      <c r="Y85" s="593">
        <f ca="1">$E85*(-SUMIF(INDIRECT(Y$3),'Struktur Aktuell'!$D85,INDIRECT(Y$4))+SUMIF(INDIRECT(Y$3),'Struktur Aktuell'!$D85,INDIRECT(Y$5)))</f>
        <v>0</v>
      </c>
      <c r="Z85" s="593">
        <f ca="1">$E85*(-SUMIF(INDIRECT(Z$3),'Struktur Aktuell'!$D85,INDIRECT(Z$4))+SUMIF(INDIRECT(Z$3),'Struktur Aktuell'!$D85,INDIRECT(Z$5)))</f>
        <v>0</v>
      </c>
      <c r="AA85" s="593">
        <f ca="1">$E85*(-SUMIF(INDIRECT(AA$3),'Struktur Aktuell'!$D85,INDIRECT(AA$4))+SUMIF(INDIRECT(AA$3),'Struktur Aktuell'!$D85,INDIRECT(AA$5)))</f>
        <v>0</v>
      </c>
      <c r="AB85" s="593">
        <f ca="1">$E85*(-SUMIF(INDIRECT(AB$3),'Struktur Aktuell'!$D85,INDIRECT(AB$4))+SUMIF(INDIRECT(AB$3),'Struktur Aktuell'!$D85,INDIRECT(AB$5)))</f>
        <v>0</v>
      </c>
      <c r="AC85" s="593">
        <f ca="1">$E85*(-SUMIF(INDIRECT(AC$3),'Struktur Aktuell'!$D85,INDIRECT(AC$4))+SUMIF(INDIRECT(AC$3),'Struktur Aktuell'!$D85,INDIRECT(AC$5)))</f>
        <v>0</v>
      </c>
      <c r="AD85" s="593">
        <f ca="1">$E85*(-SUMIF(INDIRECT(AD$3),'Struktur Aktuell'!$D85,INDIRECT(AD$4))+SUMIF(INDIRECT(AD$3),'Struktur Aktuell'!$D85,INDIRECT(AD$5)))</f>
        <v>0</v>
      </c>
      <c r="AE85" s="593">
        <f t="shared" ca="1" si="109"/>
        <v>0</v>
      </c>
      <c r="AF85" s="593">
        <f t="shared" ca="1" si="110"/>
        <v>0</v>
      </c>
      <c r="AG85" s="593">
        <f t="shared" ca="1" si="111"/>
        <v>0</v>
      </c>
      <c r="AH85" s="593">
        <f t="shared" ca="1" si="112"/>
        <v>0</v>
      </c>
      <c r="AI85" s="593">
        <f t="shared" ca="1" si="113"/>
        <v>0</v>
      </c>
      <c r="AJ85" s="593">
        <f t="shared" ca="1" si="114"/>
        <v>0</v>
      </c>
      <c r="AK85" s="593">
        <f t="shared" ca="1" si="115"/>
        <v>0</v>
      </c>
      <c r="AL85" s="593">
        <f t="shared" ca="1" si="116"/>
        <v>0</v>
      </c>
      <c r="AM85" s="593">
        <f t="shared" ca="1" si="117"/>
        <v>0</v>
      </c>
      <c r="AN85" s="593">
        <f t="shared" ca="1" si="118"/>
        <v>0</v>
      </c>
      <c r="AO85" s="593">
        <f t="shared" ca="1" si="119"/>
        <v>0</v>
      </c>
      <c r="AP85" s="593">
        <f t="shared" ca="1" si="120"/>
        <v>0</v>
      </c>
    </row>
    <row r="86" spans="1:42" s="594" customFormat="1" ht="11.25" outlineLevel="1" x14ac:dyDescent="0.2">
      <c r="A86" s="599"/>
      <c r="B86" s="591" t="str">
        <f>IF(D86&lt;&gt;"",
IF(ISERROR(MATCH(D86,'Ist Aktuell Monat 01'!A:A,0))=FALSE,INDEX('Ist Aktuell Monat 01'!B:B,MATCH(D86,'Ist Aktuell Monat 01'!A:A,0)),
IF(ISERROR(MATCH(D86,'Ist Aktuell Monat 02'!A:A,0))=FALSE,INDEX('Ist Aktuell Monat 02'!B:B,MATCH(D86,'Ist Aktuell Monat 02'!A:A,0)),
IF(ISERROR(MATCH(D86,'Ist Aktuell Monat 03'!A:A,0))=FALSE,INDEX('Ist Aktuell Monat 03'!B:B,MATCH(D86,'Ist Aktuell Monat 03'!A:A,0)),
IF(ISERROR(MATCH(D86,'Ist Aktuell Monat 04'!A:A,0))=FALSE,INDEX('Ist Aktuell Monat 04'!B:B,MATCH(D86,'Ist Aktuell Monat 04'!A:A,0)),
IF(ISERROR(MATCH(D86,'Ist Aktuell Monat 05'!A:A,0))=FALSE,INDEX('Ist Aktuell Monat 05'!B:B,MATCH(D86,'Ist Aktuell Monat 05'!A:A,0)),
IF(ISERROR(MATCH(D86,'Ist Aktuell Monat 06'!A:A,0))=FALSE,INDEX('Ist Aktuell Monat 06'!B:B,MATCH(D86,'Ist Aktuell Monat 06'!A:A,0)),
IF(ISERROR(MATCH(D86,'Ist Aktuell Monat 07'!A:A,0))=FALSE,INDEX('Ist Aktuell Monat 07'!B:B,MATCH(D86,'Ist Aktuell Monat 07'!A:A,0)),
IF(ISERROR(MATCH(D86,'Ist Aktuell Monat 08'!A:A,0))=FALSE,INDEX('Ist Aktuell Monat 08'!B:B,MATCH(D86,'Ist Aktuell Monat 08'!A:A,0)),
IF(ISERROR(MATCH(D86,'Ist Aktuell Monat 09'!A:A,0))=FALSE,INDEX('Ist Aktuell Monat 09'!B:B,MATCH(D86,'Ist Aktuell Monat 09'!A:A,0)),
IF(ISERROR(MATCH(D86,'Ist Aktuell Monat 10'!A:A,0))=FALSE,INDEX('Ist Aktuell Monat 10'!B:B,MATCH(D86,'Ist Aktuell Monat 10'!A:A,0)),
IF(ISERROR(MATCH(D86,'Ist Aktuell Monat 11'!A:A,0))=FALSE,INDEX('Ist Aktuell Monat 11'!B:B,MATCH(D86,'Ist Aktuell Monat 11'!A:A,0)),
IF(ISERROR(MATCH(D86,'Ist Aktuell Monat 12'!A:A,0))=FALSE,INDEX('Ist Aktuell Monat 12'!B:B,MATCH(D86,'Ist Aktuell Monat 12'!A:A,0)),
"{Konto unbekannt}"
)))))))))))),"")</f>
        <v/>
      </c>
      <c r="C86" s="591"/>
      <c r="D86" s="590"/>
      <c r="E86" s="592">
        <f t="shared" si="77"/>
        <v>1</v>
      </c>
      <c r="F86" s="599"/>
      <c r="G86" s="593">
        <f ca="1">$E86*(-SUMIF(INDIRECT(G$3),'Struktur Aktuell'!$D86,INDIRECT(G$4))+SUMIF(INDIRECT(G$3),'Struktur Aktuell'!$D86,INDIRECT(G$5)))</f>
        <v>0</v>
      </c>
      <c r="H86" s="593">
        <f ca="1">$E86*(-SUMIF(INDIRECT(H$3),'Struktur Aktuell'!$D86,INDIRECT(H$4))+SUMIF(INDIRECT(H$3),'Struktur Aktuell'!$D86,INDIRECT(H$5)))</f>
        <v>0</v>
      </c>
      <c r="I86" s="593">
        <f ca="1">$E86*(-SUMIF(INDIRECT(I$3),'Struktur Aktuell'!$D86,INDIRECT(I$4))+SUMIF(INDIRECT(I$3),'Struktur Aktuell'!$D86,INDIRECT(I$5)))</f>
        <v>0</v>
      </c>
      <c r="J86" s="593">
        <f ca="1">$E86*(-SUMIF(INDIRECT(J$3),'Struktur Aktuell'!$D86,INDIRECT(J$4))+SUMIF(INDIRECT(J$3),'Struktur Aktuell'!$D86,INDIRECT(J$5)))</f>
        <v>0</v>
      </c>
      <c r="K86" s="593">
        <f ca="1">$E86*(-SUMIF(INDIRECT(K$3),'Struktur Aktuell'!$D86,INDIRECT(K$4))+SUMIF(INDIRECT(K$3),'Struktur Aktuell'!$D86,INDIRECT(K$5)))</f>
        <v>0</v>
      </c>
      <c r="L86" s="593">
        <f ca="1">$E86*(-SUMIF(INDIRECT(L$3),'Struktur Aktuell'!$D86,INDIRECT(L$4))+SUMIF(INDIRECT(L$3),'Struktur Aktuell'!$D86,INDIRECT(L$5)))</f>
        <v>0</v>
      </c>
      <c r="M86" s="593">
        <f ca="1">$E86*(-SUMIF(INDIRECT(M$3),'Struktur Aktuell'!$D86,INDIRECT(M$4))+SUMIF(INDIRECT(M$3),'Struktur Aktuell'!$D86,INDIRECT(M$5)))</f>
        <v>0</v>
      </c>
      <c r="N86" s="593">
        <f ca="1">$E86*(-SUMIF(INDIRECT(N$3),'Struktur Aktuell'!$D86,INDIRECT(N$4))+SUMIF(INDIRECT(N$3),'Struktur Aktuell'!$D86,INDIRECT(N$5)))</f>
        <v>0</v>
      </c>
      <c r="O86" s="593">
        <f ca="1">$E86*(-SUMIF(INDIRECT(O$3),'Struktur Aktuell'!$D86,INDIRECT(O$4))+SUMIF(INDIRECT(O$3),'Struktur Aktuell'!$D86,INDIRECT(O$5)))</f>
        <v>0</v>
      </c>
      <c r="P86" s="593">
        <f ca="1">$E86*(-SUMIF(INDIRECT(P$3),'Struktur Aktuell'!$D86,INDIRECT(P$4))+SUMIF(INDIRECT(P$3),'Struktur Aktuell'!$D86,INDIRECT(P$5)))</f>
        <v>0</v>
      </c>
      <c r="Q86" s="593">
        <f ca="1">$E86*(-SUMIF(INDIRECT(Q$3),'Struktur Aktuell'!$D86,INDIRECT(Q$4))+SUMIF(INDIRECT(Q$3),'Struktur Aktuell'!$D86,INDIRECT(Q$5)))</f>
        <v>0</v>
      </c>
      <c r="R86" s="593">
        <f ca="1">$E86*(-SUMIF(INDIRECT(R$3),'Struktur Aktuell'!$D86,INDIRECT(R$4))+SUMIF(INDIRECT(R$3),'Struktur Aktuell'!$D86,INDIRECT(R$5)))</f>
        <v>0</v>
      </c>
      <c r="S86" s="593">
        <f ca="1">$E86*(-SUMIF(INDIRECT(S$3),'Struktur Aktuell'!$D86,INDIRECT(S$4))+SUMIF(INDIRECT(S$3),'Struktur Aktuell'!$D86,INDIRECT(S$5)))</f>
        <v>0</v>
      </c>
      <c r="T86" s="593">
        <f ca="1">$E86*(-SUMIF(INDIRECT(T$3),'Struktur Aktuell'!$D86,INDIRECT(T$4))+SUMIF(INDIRECT(T$3),'Struktur Aktuell'!$D86,INDIRECT(T$5)))</f>
        <v>0</v>
      </c>
      <c r="U86" s="593">
        <f ca="1">$E86*(-SUMIF(INDIRECT(U$3),'Struktur Aktuell'!$D86,INDIRECT(U$4))+SUMIF(INDIRECT(U$3),'Struktur Aktuell'!$D86,INDIRECT(U$5)))</f>
        <v>0</v>
      </c>
      <c r="V86" s="593">
        <f ca="1">$E86*(-SUMIF(INDIRECT(V$3),'Struktur Aktuell'!$D86,INDIRECT(V$4))+SUMIF(INDIRECT(V$3),'Struktur Aktuell'!$D86,INDIRECT(V$5)))</f>
        <v>0</v>
      </c>
      <c r="W86" s="593">
        <f ca="1">$E86*(-SUMIF(INDIRECT(W$3),'Struktur Aktuell'!$D86,INDIRECT(W$4))+SUMIF(INDIRECT(W$3),'Struktur Aktuell'!$D86,INDIRECT(W$5)))</f>
        <v>0</v>
      </c>
      <c r="X86" s="593">
        <f ca="1">$E86*(-SUMIF(INDIRECT(X$3),'Struktur Aktuell'!$D86,INDIRECT(X$4))+SUMIF(INDIRECT(X$3),'Struktur Aktuell'!$D86,INDIRECT(X$5)))</f>
        <v>0</v>
      </c>
      <c r="Y86" s="593">
        <f ca="1">$E86*(-SUMIF(INDIRECT(Y$3),'Struktur Aktuell'!$D86,INDIRECT(Y$4))+SUMIF(INDIRECT(Y$3),'Struktur Aktuell'!$D86,INDIRECT(Y$5)))</f>
        <v>0</v>
      </c>
      <c r="Z86" s="593">
        <f ca="1">$E86*(-SUMIF(INDIRECT(Z$3),'Struktur Aktuell'!$D86,INDIRECT(Z$4))+SUMIF(INDIRECT(Z$3),'Struktur Aktuell'!$D86,INDIRECT(Z$5)))</f>
        <v>0</v>
      </c>
      <c r="AA86" s="593">
        <f ca="1">$E86*(-SUMIF(INDIRECT(AA$3),'Struktur Aktuell'!$D86,INDIRECT(AA$4))+SUMIF(INDIRECT(AA$3),'Struktur Aktuell'!$D86,INDIRECT(AA$5)))</f>
        <v>0</v>
      </c>
      <c r="AB86" s="593">
        <f ca="1">$E86*(-SUMIF(INDIRECT(AB$3),'Struktur Aktuell'!$D86,INDIRECT(AB$4))+SUMIF(INDIRECT(AB$3),'Struktur Aktuell'!$D86,INDIRECT(AB$5)))</f>
        <v>0</v>
      </c>
      <c r="AC86" s="593">
        <f ca="1">$E86*(-SUMIF(INDIRECT(AC$3),'Struktur Aktuell'!$D86,INDIRECT(AC$4))+SUMIF(INDIRECT(AC$3),'Struktur Aktuell'!$D86,INDIRECT(AC$5)))</f>
        <v>0</v>
      </c>
      <c r="AD86" s="593">
        <f ca="1">$E86*(-SUMIF(INDIRECT(AD$3),'Struktur Aktuell'!$D86,INDIRECT(AD$4))+SUMIF(INDIRECT(AD$3),'Struktur Aktuell'!$D86,INDIRECT(AD$5)))</f>
        <v>0</v>
      </c>
      <c r="AE86" s="593">
        <f t="shared" ca="1" si="109"/>
        <v>0</v>
      </c>
      <c r="AF86" s="593">
        <f t="shared" ca="1" si="110"/>
        <v>0</v>
      </c>
      <c r="AG86" s="593">
        <f t="shared" ca="1" si="111"/>
        <v>0</v>
      </c>
      <c r="AH86" s="593">
        <f t="shared" ca="1" si="112"/>
        <v>0</v>
      </c>
      <c r="AI86" s="593">
        <f t="shared" ca="1" si="113"/>
        <v>0</v>
      </c>
      <c r="AJ86" s="593">
        <f t="shared" ca="1" si="114"/>
        <v>0</v>
      </c>
      <c r="AK86" s="593">
        <f t="shared" ca="1" si="115"/>
        <v>0</v>
      </c>
      <c r="AL86" s="593">
        <f t="shared" ca="1" si="116"/>
        <v>0</v>
      </c>
      <c r="AM86" s="593">
        <f t="shared" ca="1" si="117"/>
        <v>0</v>
      </c>
      <c r="AN86" s="593">
        <f t="shared" ca="1" si="118"/>
        <v>0</v>
      </c>
      <c r="AO86" s="593">
        <f t="shared" ca="1" si="119"/>
        <v>0</v>
      </c>
      <c r="AP86" s="593">
        <f t="shared" ca="1" si="120"/>
        <v>0</v>
      </c>
    </row>
    <row r="87" spans="1:42" s="594" customFormat="1" ht="11.25" outlineLevel="1" x14ac:dyDescent="0.2">
      <c r="A87" s="599"/>
      <c r="B87" s="591" t="str">
        <f>IF(D87&lt;&gt;"",
IF(ISERROR(MATCH(D87,'Ist Aktuell Monat 01'!A:A,0))=FALSE,INDEX('Ist Aktuell Monat 01'!B:B,MATCH(D87,'Ist Aktuell Monat 01'!A:A,0)),
IF(ISERROR(MATCH(D87,'Ist Aktuell Monat 02'!A:A,0))=FALSE,INDEX('Ist Aktuell Monat 02'!B:B,MATCH(D87,'Ist Aktuell Monat 02'!A:A,0)),
IF(ISERROR(MATCH(D87,'Ist Aktuell Monat 03'!A:A,0))=FALSE,INDEX('Ist Aktuell Monat 03'!B:B,MATCH(D87,'Ist Aktuell Monat 03'!A:A,0)),
IF(ISERROR(MATCH(D87,'Ist Aktuell Monat 04'!A:A,0))=FALSE,INDEX('Ist Aktuell Monat 04'!B:B,MATCH(D87,'Ist Aktuell Monat 04'!A:A,0)),
IF(ISERROR(MATCH(D87,'Ist Aktuell Monat 05'!A:A,0))=FALSE,INDEX('Ist Aktuell Monat 05'!B:B,MATCH(D87,'Ist Aktuell Monat 05'!A:A,0)),
IF(ISERROR(MATCH(D87,'Ist Aktuell Monat 06'!A:A,0))=FALSE,INDEX('Ist Aktuell Monat 06'!B:B,MATCH(D87,'Ist Aktuell Monat 06'!A:A,0)),
IF(ISERROR(MATCH(D87,'Ist Aktuell Monat 07'!A:A,0))=FALSE,INDEX('Ist Aktuell Monat 07'!B:B,MATCH(D87,'Ist Aktuell Monat 07'!A:A,0)),
IF(ISERROR(MATCH(D87,'Ist Aktuell Monat 08'!A:A,0))=FALSE,INDEX('Ist Aktuell Monat 08'!B:B,MATCH(D87,'Ist Aktuell Monat 08'!A:A,0)),
IF(ISERROR(MATCH(D87,'Ist Aktuell Monat 09'!A:A,0))=FALSE,INDEX('Ist Aktuell Monat 09'!B:B,MATCH(D87,'Ist Aktuell Monat 09'!A:A,0)),
IF(ISERROR(MATCH(D87,'Ist Aktuell Monat 10'!A:A,0))=FALSE,INDEX('Ist Aktuell Monat 10'!B:B,MATCH(D87,'Ist Aktuell Monat 10'!A:A,0)),
IF(ISERROR(MATCH(D87,'Ist Aktuell Monat 11'!A:A,0))=FALSE,INDEX('Ist Aktuell Monat 11'!B:B,MATCH(D87,'Ist Aktuell Monat 11'!A:A,0)),
IF(ISERROR(MATCH(D87,'Ist Aktuell Monat 12'!A:A,0))=FALSE,INDEX('Ist Aktuell Monat 12'!B:B,MATCH(D87,'Ist Aktuell Monat 12'!A:A,0)),
"{Konto unbekannt}"
)))))))))))),"")</f>
        <v/>
      </c>
      <c r="C87" s="591"/>
      <c r="D87" s="590"/>
      <c r="E87" s="592">
        <f t="shared" si="77"/>
        <v>1</v>
      </c>
      <c r="F87" s="599"/>
      <c r="G87" s="593">
        <f ca="1">$E87*(-SUMIF(INDIRECT(G$3),'Struktur Aktuell'!$D87,INDIRECT(G$4))+SUMIF(INDIRECT(G$3),'Struktur Aktuell'!$D87,INDIRECT(G$5)))</f>
        <v>0</v>
      </c>
      <c r="H87" s="593">
        <f ca="1">$E87*(-SUMIF(INDIRECT(H$3),'Struktur Aktuell'!$D87,INDIRECT(H$4))+SUMIF(INDIRECT(H$3),'Struktur Aktuell'!$D87,INDIRECT(H$5)))</f>
        <v>0</v>
      </c>
      <c r="I87" s="593">
        <f ca="1">$E87*(-SUMIF(INDIRECT(I$3),'Struktur Aktuell'!$D87,INDIRECT(I$4))+SUMIF(INDIRECT(I$3),'Struktur Aktuell'!$D87,INDIRECT(I$5)))</f>
        <v>0</v>
      </c>
      <c r="J87" s="593">
        <f ca="1">$E87*(-SUMIF(INDIRECT(J$3),'Struktur Aktuell'!$D87,INDIRECT(J$4))+SUMIF(INDIRECT(J$3),'Struktur Aktuell'!$D87,INDIRECT(J$5)))</f>
        <v>0</v>
      </c>
      <c r="K87" s="593">
        <f ca="1">$E87*(-SUMIF(INDIRECT(K$3),'Struktur Aktuell'!$D87,INDIRECT(K$4))+SUMIF(INDIRECT(K$3),'Struktur Aktuell'!$D87,INDIRECT(K$5)))</f>
        <v>0</v>
      </c>
      <c r="L87" s="593">
        <f ca="1">$E87*(-SUMIF(INDIRECT(L$3),'Struktur Aktuell'!$D87,INDIRECT(L$4))+SUMIF(INDIRECT(L$3),'Struktur Aktuell'!$D87,INDIRECT(L$5)))</f>
        <v>0</v>
      </c>
      <c r="M87" s="593">
        <f ca="1">$E87*(-SUMIF(INDIRECT(M$3),'Struktur Aktuell'!$D87,INDIRECT(M$4))+SUMIF(INDIRECT(M$3),'Struktur Aktuell'!$D87,INDIRECT(M$5)))</f>
        <v>0</v>
      </c>
      <c r="N87" s="593">
        <f ca="1">$E87*(-SUMIF(INDIRECT(N$3),'Struktur Aktuell'!$D87,INDIRECT(N$4))+SUMIF(INDIRECT(N$3),'Struktur Aktuell'!$D87,INDIRECT(N$5)))</f>
        <v>0</v>
      </c>
      <c r="O87" s="593">
        <f ca="1">$E87*(-SUMIF(INDIRECT(O$3),'Struktur Aktuell'!$D87,INDIRECT(O$4))+SUMIF(INDIRECT(O$3),'Struktur Aktuell'!$D87,INDIRECT(O$5)))</f>
        <v>0</v>
      </c>
      <c r="P87" s="593">
        <f ca="1">$E87*(-SUMIF(INDIRECT(P$3),'Struktur Aktuell'!$D87,INDIRECT(P$4))+SUMIF(INDIRECT(P$3),'Struktur Aktuell'!$D87,INDIRECT(P$5)))</f>
        <v>0</v>
      </c>
      <c r="Q87" s="593">
        <f ca="1">$E87*(-SUMIF(INDIRECT(Q$3),'Struktur Aktuell'!$D87,INDIRECT(Q$4))+SUMIF(INDIRECT(Q$3),'Struktur Aktuell'!$D87,INDIRECT(Q$5)))</f>
        <v>0</v>
      </c>
      <c r="R87" s="593">
        <f ca="1">$E87*(-SUMIF(INDIRECT(R$3),'Struktur Aktuell'!$D87,INDIRECT(R$4))+SUMIF(INDIRECT(R$3),'Struktur Aktuell'!$D87,INDIRECT(R$5)))</f>
        <v>0</v>
      </c>
      <c r="S87" s="593">
        <f ca="1">$E87*(-SUMIF(INDIRECT(S$3),'Struktur Aktuell'!$D87,INDIRECT(S$4))+SUMIF(INDIRECT(S$3),'Struktur Aktuell'!$D87,INDIRECT(S$5)))</f>
        <v>0</v>
      </c>
      <c r="T87" s="593">
        <f ca="1">$E87*(-SUMIF(INDIRECT(T$3),'Struktur Aktuell'!$D87,INDIRECT(T$4))+SUMIF(INDIRECT(T$3),'Struktur Aktuell'!$D87,INDIRECT(T$5)))</f>
        <v>0</v>
      </c>
      <c r="U87" s="593">
        <f ca="1">$E87*(-SUMIF(INDIRECT(U$3),'Struktur Aktuell'!$D87,INDIRECT(U$4))+SUMIF(INDIRECT(U$3),'Struktur Aktuell'!$D87,INDIRECT(U$5)))</f>
        <v>0</v>
      </c>
      <c r="V87" s="593">
        <f ca="1">$E87*(-SUMIF(INDIRECT(V$3),'Struktur Aktuell'!$D87,INDIRECT(V$4))+SUMIF(INDIRECT(V$3),'Struktur Aktuell'!$D87,INDIRECT(V$5)))</f>
        <v>0</v>
      </c>
      <c r="W87" s="593">
        <f ca="1">$E87*(-SUMIF(INDIRECT(W$3),'Struktur Aktuell'!$D87,INDIRECT(W$4))+SUMIF(INDIRECT(W$3),'Struktur Aktuell'!$D87,INDIRECT(W$5)))</f>
        <v>0</v>
      </c>
      <c r="X87" s="593">
        <f ca="1">$E87*(-SUMIF(INDIRECT(X$3),'Struktur Aktuell'!$D87,INDIRECT(X$4))+SUMIF(INDIRECT(X$3),'Struktur Aktuell'!$D87,INDIRECT(X$5)))</f>
        <v>0</v>
      </c>
      <c r="Y87" s="593">
        <f ca="1">$E87*(-SUMIF(INDIRECT(Y$3),'Struktur Aktuell'!$D87,INDIRECT(Y$4))+SUMIF(INDIRECT(Y$3),'Struktur Aktuell'!$D87,INDIRECT(Y$5)))</f>
        <v>0</v>
      </c>
      <c r="Z87" s="593">
        <f ca="1">$E87*(-SUMIF(INDIRECT(Z$3),'Struktur Aktuell'!$D87,INDIRECT(Z$4))+SUMIF(INDIRECT(Z$3),'Struktur Aktuell'!$D87,INDIRECT(Z$5)))</f>
        <v>0</v>
      </c>
      <c r="AA87" s="593">
        <f ca="1">$E87*(-SUMIF(INDIRECT(AA$3),'Struktur Aktuell'!$D87,INDIRECT(AA$4))+SUMIF(INDIRECT(AA$3),'Struktur Aktuell'!$D87,INDIRECT(AA$5)))</f>
        <v>0</v>
      </c>
      <c r="AB87" s="593">
        <f ca="1">$E87*(-SUMIF(INDIRECT(AB$3),'Struktur Aktuell'!$D87,INDIRECT(AB$4))+SUMIF(INDIRECT(AB$3),'Struktur Aktuell'!$D87,INDIRECT(AB$5)))</f>
        <v>0</v>
      </c>
      <c r="AC87" s="593">
        <f ca="1">$E87*(-SUMIF(INDIRECT(AC$3),'Struktur Aktuell'!$D87,INDIRECT(AC$4))+SUMIF(INDIRECT(AC$3),'Struktur Aktuell'!$D87,INDIRECT(AC$5)))</f>
        <v>0</v>
      </c>
      <c r="AD87" s="593">
        <f ca="1">$E87*(-SUMIF(INDIRECT(AD$3),'Struktur Aktuell'!$D87,INDIRECT(AD$4))+SUMIF(INDIRECT(AD$3),'Struktur Aktuell'!$D87,INDIRECT(AD$5)))</f>
        <v>0</v>
      </c>
      <c r="AE87" s="593">
        <f t="shared" ca="1" si="109"/>
        <v>0</v>
      </c>
      <c r="AF87" s="593">
        <f t="shared" ca="1" si="110"/>
        <v>0</v>
      </c>
      <c r="AG87" s="593">
        <f t="shared" ca="1" si="111"/>
        <v>0</v>
      </c>
      <c r="AH87" s="593">
        <f t="shared" ca="1" si="112"/>
        <v>0</v>
      </c>
      <c r="AI87" s="593">
        <f t="shared" ca="1" si="113"/>
        <v>0</v>
      </c>
      <c r="AJ87" s="593">
        <f t="shared" ca="1" si="114"/>
        <v>0</v>
      </c>
      <c r="AK87" s="593">
        <f t="shared" ca="1" si="115"/>
        <v>0</v>
      </c>
      <c r="AL87" s="593">
        <f t="shared" ca="1" si="116"/>
        <v>0</v>
      </c>
      <c r="AM87" s="593">
        <f t="shared" ca="1" si="117"/>
        <v>0</v>
      </c>
      <c r="AN87" s="593">
        <f t="shared" ca="1" si="118"/>
        <v>0</v>
      </c>
      <c r="AO87" s="593">
        <f t="shared" ca="1" si="119"/>
        <v>0</v>
      </c>
      <c r="AP87" s="593">
        <f t="shared" ca="1" si="120"/>
        <v>0</v>
      </c>
    </row>
    <row r="88" spans="1:42" s="594" customFormat="1" ht="11.25" outlineLevel="1" x14ac:dyDescent="0.2">
      <c r="A88" s="599"/>
      <c r="B88" s="591" t="str">
        <f>IF(D88&lt;&gt;"",
IF(ISERROR(MATCH(D88,'Ist Aktuell Monat 01'!A:A,0))=FALSE,INDEX('Ist Aktuell Monat 01'!B:B,MATCH(D88,'Ist Aktuell Monat 01'!A:A,0)),
IF(ISERROR(MATCH(D88,'Ist Aktuell Monat 02'!A:A,0))=FALSE,INDEX('Ist Aktuell Monat 02'!B:B,MATCH(D88,'Ist Aktuell Monat 02'!A:A,0)),
IF(ISERROR(MATCH(D88,'Ist Aktuell Monat 03'!A:A,0))=FALSE,INDEX('Ist Aktuell Monat 03'!B:B,MATCH(D88,'Ist Aktuell Monat 03'!A:A,0)),
IF(ISERROR(MATCH(D88,'Ist Aktuell Monat 04'!A:A,0))=FALSE,INDEX('Ist Aktuell Monat 04'!B:B,MATCH(D88,'Ist Aktuell Monat 04'!A:A,0)),
IF(ISERROR(MATCH(D88,'Ist Aktuell Monat 05'!A:A,0))=FALSE,INDEX('Ist Aktuell Monat 05'!B:B,MATCH(D88,'Ist Aktuell Monat 05'!A:A,0)),
IF(ISERROR(MATCH(D88,'Ist Aktuell Monat 06'!A:A,0))=FALSE,INDEX('Ist Aktuell Monat 06'!B:B,MATCH(D88,'Ist Aktuell Monat 06'!A:A,0)),
IF(ISERROR(MATCH(D88,'Ist Aktuell Monat 07'!A:A,0))=FALSE,INDEX('Ist Aktuell Monat 07'!B:B,MATCH(D88,'Ist Aktuell Monat 07'!A:A,0)),
IF(ISERROR(MATCH(D88,'Ist Aktuell Monat 08'!A:A,0))=FALSE,INDEX('Ist Aktuell Monat 08'!B:B,MATCH(D88,'Ist Aktuell Monat 08'!A:A,0)),
IF(ISERROR(MATCH(D88,'Ist Aktuell Monat 09'!A:A,0))=FALSE,INDEX('Ist Aktuell Monat 09'!B:B,MATCH(D88,'Ist Aktuell Monat 09'!A:A,0)),
IF(ISERROR(MATCH(D88,'Ist Aktuell Monat 10'!A:A,0))=FALSE,INDEX('Ist Aktuell Monat 10'!B:B,MATCH(D88,'Ist Aktuell Monat 10'!A:A,0)),
IF(ISERROR(MATCH(D88,'Ist Aktuell Monat 11'!A:A,0))=FALSE,INDEX('Ist Aktuell Monat 11'!B:B,MATCH(D88,'Ist Aktuell Monat 11'!A:A,0)),
IF(ISERROR(MATCH(D88,'Ist Aktuell Monat 12'!A:A,0))=FALSE,INDEX('Ist Aktuell Monat 12'!B:B,MATCH(D88,'Ist Aktuell Monat 12'!A:A,0)),
"{Konto unbekannt}"
)))))))))))),"")</f>
        <v/>
      </c>
      <c r="C88" s="591"/>
      <c r="D88" s="590"/>
      <c r="E88" s="592">
        <f t="shared" si="77"/>
        <v>1</v>
      </c>
      <c r="F88" s="599"/>
      <c r="G88" s="593">
        <f ca="1">$E88*(-SUMIF(INDIRECT(G$3),'Struktur Aktuell'!$D88,INDIRECT(G$4))+SUMIF(INDIRECT(G$3),'Struktur Aktuell'!$D88,INDIRECT(G$5)))</f>
        <v>0</v>
      </c>
      <c r="H88" s="593">
        <f ca="1">$E88*(-SUMIF(INDIRECT(H$3),'Struktur Aktuell'!$D88,INDIRECT(H$4))+SUMIF(INDIRECT(H$3),'Struktur Aktuell'!$D88,INDIRECT(H$5)))</f>
        <v>0</v>
      </c>
      <c r="I88" s="593">
        <f ca="1">$E88*(-SUMIF(INDIRECT(I$3),'Struktur Aktuell'!$D88,INDIRECT(I$4))+SUMIF(INDIRECT(I$3),'Struktur Aktuell'!$D88,INDIRECT(I$5)))</f>
        <v>0</v>
      </c>
      <c r="J88" s="593">
        <f ca="1">$E88*(-SUMIF(INDIRECT(J$3),'Struktur Aktuell'!$D88,INDIRECT(J$4))+SUMIF(INDIRECT(J$3),'Struktur Aktuell'!$D88,INDIRECT(J$5)))</f>
        <v>0</v>
      </c>
      <c r="K88" s="593">
        <f ca="1">$E88*(-SUMIF(INDIRECT(K$3),'Struktur Aktuell'!$D88,INDIRECT(K$4))+SUMIF(INDIRECT(K$3),'Struktur Aktuell'!$D88,INDIRECT(K$5)))</f>
        <v>0</v>
      </c>
      <c r="L88" s="593">
        <f ca="1">$E88*(-SUMIF(INDIRECT(L$3),'Struktur Aktuell'!$D88,INDIRECT(L$4))+SUMIF(INDIRECT(L$3),'Struktur Aktuell'!$D88,INDIRECT(L$5)))</f>
        <v>0</v>
      </c>
      <c r="M88" s="593">
        <f ca="1">$E88*(-SUMIF(INDIRECT(M$3),'Struktur Aktuell'!$D88,INDIRECT(M$4))+SUMIF(INDIRECT(M$3),'Struktur Aktuell'!$D88,INDIRECT(M$5)))</f>
        <v>0</v>
      </c>
      <c r="N88" s="593">
        <f ca="1">$E88*(-SUMIF(INDIRECT(N$3),'Struktur Aktuell'!$D88,INDIRECT(N$4))+SUMIF(INDIRECT(N$3),'Struktur Aktuell'!$D88,INDIRECT(N$5)))</f>
        <v>0</v>
      </c>
      <c r="O88" s="593">
        <f ca="1">$E88*(-SUMIF(INDIRECT(O$3),'Struktur Aktuell'!$D88,INDIRECT(O$4))+SUMIF(INDIRECT(O$3),'Struktur Aktuell'!$D88,INDIRECT(O$5)))</f>
        <v>0</v>
      </c>
      <c r="P88" s="593">
        <f ca="1">$E88*(-SUMIF(INDIRECT(P$3),'Struktur Aktuell'!$D88,INDIRECT(P$4))+SUMIF(INDIRECT(P$3),'Struktur Aktuell'!$D88,INDIRECT(P$5)))</f>
        <v>0</v>
      </c>
      <c r="Q88" s="593">
        <f ca="1">$E88*(-SUMIF(INDIRECT(Q$3),'Struktur Aktuell'!$D88,INDIRECT(Q$4))+SUMIF(INDIRECT(Q$3),'Struktur Aktuell'!$D88,INDIRECT(Q$5)))</f>
        <v>0</v>
      </c>
      <c r="R88" s="593">
        <f ca="1">$E88*(-SUMIF(INDIRECT(R$3),'Struktur Aktuell'!$D88,INDIRECT(R$4))+SUMIF(INDIRECT(R$3),'Struktur Aktuell'!$D88,INDIRECT(R$5)))</f>
        <v>0</v>
      </c>
      <c r="S88" s="593">
        <f ca="1">$E88*(-SUMIF(INDIRECT(S$3),'Struktur Aktuell'!$D88,INDIRECT(S$4))+SUMIF(INDIRECT(S$3),'Struktur Aktuell'!$D88,INDIRECT(S$5)))</f>
        <v>0</v>
      </c>
      <c r="T88" s="593">
        <f ca="1">$E88*(-SUMIF(INDIRECT(T$3),'Struktur Aktuell'!$D88,INDIRECT(T$4))+SUMIF(INDIRECT(T$3),'Struktur Aktuell'!$D88,INDIRECT(T$5)))</f>
        <v>0</v>
      </c>
      <c r="U88" s="593">
        <f ca="1">$E88*(-SUMIF(INDIRECT(U$3),'Struktur Aktuell'!$D88,INDIRECT(U$4))+SUMIF(INDIRECT(U$3),'Struktur Aktuell'!$D88,INDIRECT(U$5)))</f>
        <v>0</v>
      </c>
      <c r="V88" s="593">
        <f ca="1">$E88*(-SUMIF(INDIRECT(V$3),'Struktur Aktuell'!$D88,INDIRECT(V$4))+SUMIF(INDIRECT(V$3),'Struktur Aktuell'!$D88,INDIRECT(V$5)))</f>
        <v>0</v>
      </c>
      <c r="W88" s="593">
        <f ca="1">$E88*(-SUMIF(INDIRECT(W$3),'Struktur Aktuell'!$D88,INDIRECT(W$4))+SUMIF(INDIRECT(W$3),'Struktur Aktuell'!$D88,INDIRECT(W$5)))</f>
        <v>0</v>
      </c>
      <c r="X88" s="593">
        <f ca="1">$E88*(-SUMIF(INDIRECT(X$3),'Struktur Aktuell'!$D88,INDIRECT(X$4))+SUMIF(INDIRECT(X$3),'Struktur Aktuell'!$D88,INDIRECT(X$5)))</f>
        <v>0</v>
      </c>
      <c r="Y88" s="593">
        <f ca="1">$E88*(-SUMIF(INDIRECT(Y$3),'Struktur Aktuell'!$D88,INDIRECT(Y$4))+SUMIF(INDIRECT(Y$3),'Struktur Aktuell'!$D88,INDIRECT(Y$5)))</f>
        <v>0</v>
      </c>
      <c r="Z88" s="593">
        <f ca="1">$E88*(-SUMIF(INDIRECT(Z$3),'Struktur Aktuell'!$D88,INDIRECT(Z$4))+SUMIF(INDIRECT(Z$3),'Struktur Aktuell'!$D88,INDIRECT(Z$5)))</f>
        <v>0</v>
      </c>
      <c r="AA88" s="593">
        <f ca="1">$E88*(-SUMIF(INDIRECT(AA$3),'Struktur Aktuell'!$D88,INDIRECT(AA$4))+SUMIF(INDIRECT(AA$3),'Struktur Aktuell'!$D88,INDIRECT(AA$5)))</f>
        <v>0</v>
      </c>
      <c r="AB88" s="593">
        <f ca="1">$E88*(-SUMIF(INDIRECT(AB$3),'Struktur Aktuell'!$D88,INDIRECT(AB$4))+SUMIF(INDIRECT(AB$3),'Struktur Aktuell'!$D88,INDIRECT(AB$5)))</f>
        <v>0</v>
      </c>
      <c r="AC88" s="593">
        <f ca="1">$E88*(-SUMIF(INDIRECT(AC$3),'Struktur Aktuell'!$D88,INDIRECT(AC$4))+SUMIF(INDIRECT(AC$3),'Struktur Aktuell'!$D88,INDIRECT(AC$5)))</f>
        <v>0</v>
      </c>
      <c r="AD88" s="593">
        <f ca="1">$E88*(-SUMIF(INDIRECT(AD$3),'Struktur Aktuell'!$D88,INDIRECT(AD$4))+SUMIF(INDIRECT(AD$3),'Struktur Aktuell'!$D88,INDIRECT(AD$5)))</f>
        <v>0</v>
      </c>
      <c r="AE88" s="593">
        <f t="shared" ca="1" si="109"/>
        <v>0</v>
      </c>
      <c r="AF88" s="593">
        <f t="shared" ca="1" si="110"/>
        <v>0</v>
      </c>
      <c r="AG88" s="593">
        <f t="shared" ca="1" si="111"/>
        <v>0</v>
      </c>
      <c r="AH88" s="593">
        <f t="shared" ca="1" si="112"/>
        <v>0</v>
      </c>
      <c r="AI88" s="593">
        <f t="shared" ca="1" si="113"/>
        <v>0</v>
      </c>
      <c r="AJ88" s="593">
        <f t="shared" ca="1" si="114"/>
        <v>0</v>
      </c>
      <c r="AK88" s="593">
        <f t="shared" ca="1" si="115"/>
        <v>0</v>
      </c>
      <c r="AL88" s="593">
        <f t="shared" ca="1" si="116"/>
        <v>0</v>
      </c>
      <c r="AM88" s="593">
        <f t="shared" ca="1" si="117"/>
        <v>0</v>
      </c>
      <c r="AN88" s="593">
        <f t="shared" ca="1" si="118"/>
        <v>0</v>
      </c>
      <c r="AO88" s="593">
        <f t="shared" ca="1" si="119"/>
        <v>0</v>
      </c>
      <c r="AP88" s="593">
        <f t="shared" ca="1" si="120"/>
        <v>0</v>
      </c>
    </row>
    <row r="89" spans="1:42" s="594" customFormat="1" outlineLevel="1" x14ac:dyDescent="0.2">
      <c r="A89" s="585">
        <v>8</v>
      </c>
      <c r="B89" s="586" t="s">
        <v>1003</v>
      </c>
      <c r="C89" s="587">
        <f ca="1">SUM(G89:R89)</f>
        <v>0.83</v>
      </c>
      <c r="D89" s="587"/>
      <c r="E89" s="588">
        <f t="shared" si="77"/>
        <v>1</v>
      </c>
      <c r="F89" s="585"/>
      <c r="G89" s="587">
        <f t="shared" ref="G89:R89" ca="1" si="121">SUM(G90:G97)</f>
        <v>0</v>
      </c>
      <c r="H89" s="587">
        <f t="shared" ca="1" si="121"/>
        <v>0</v>
      </c>
      <c r="I89" s="587">
        <f t="shared" ca="1" si="121"/>
        <v>0.01</v>
      </c>
      <c r="J89" s="587">
        <f t="shared" ca="1" si="121"/>
        <v>0.82</v>
      </c>
      <c r="K89" s="587">
        <f t="shared" ca="1" si="121"/>
        <v>0</v>
      </c>
      <c r="L89" s="587">
        <f t="shared" ca="1" si="121"/>
        <v>0</v>
      </c>
      <c r="M89" s="587">
        <f t="shared" ca="1" si="121"/>
        <v>0</v>
      </c>
      <c r="N89" s="587">
        <f t="shared" ca="1" si="121"/>
        <v>0</v>
      </c>
      <c r="O89" s="587">
        <f t="shared" ca="1" si="121"/>
        <v>0</v>
      </c>
      <c r="P89" s="587">
        <f t="shared" ca="1" si="121"/>
        <v>0</v>
      </c>
      <c r="Q89" s="587">
        <f t="shared" ca="1" si="121"/>
        <v>0</v>
      </c>
      <c r="R89" s="587">
        <f t="shared" ca="1" si="121"/>
        <v>0</v>
      </c>
      <c r="S89" s="587">
        <f t="shared" ref="S89:AP89" ca="1" si="122">SUM(S90:S97)</f>
        <v>0</v>
      </c>
      <c r="T89" s="587">
        <f t="shared" ca="1" si="122"/>
        <v>0</v>
      </c>
      <c r="U89" s="587">
        <f t="shared" ca="1" si="122"/>
        <v>0.01</v>
      </c>
      <c r="V89" s="587">
        <f t="shared" ca="1" si="122"/>
        <v>0.83</v>
      </c>
      <c r="W89" s="587">
        <f t="shared" ca="1" si="122"/>
        <v>0.83</v>
      </c>
      <c r="X89" s="587">
        <f t="shared" ca="1" si="122"/>
        <v>0.83</v>
      </c>
      <c r="Y89" s="587">
        <f t="shared" ca="1" si="122"/>
        <v>0.83</v>
      </c>
      <c r="Z89" s="587">
        <f t="shared" ca="1" si="122"/>
        <v>0.83</v>
      </c>
      <c r="AA89" s="587">
        <f t="shared" ca="1" si="122"/>
        <v>0.83</v>
      </c>
      <c r="AB89" s="587">
        <f t="shared" ca="1" si="122"/>
        <v>0.83</v>
      </c>
      <c r="AC89" s="587">
        <f t="shared" ca="1" si="122"/>
        <v>0</v>
      </c>
      <c r="AD89" s="587">
        <f t="shared" ca="1" si="122"/>
        <v>0</v>
      </c>
      <c r="AE89" s="587">
        <f t="shared" ca="1" si="122"/>
        <v>0</v>
      </c>
      <c r="AF89" s="587">
        <f t="shared" ca="1" si="122"/>
        <v>0</v>
      </c>
      <c r="AG89" s="587">
        <f t="shared" ca="1" si="122"/>
        <v>0.01</v>
      </c>
      <c r="AH89" s="587">
        <f t="shared" ca="1" si="122"/>
        <v>0.83</v>
      </c>
      <c r="AI89" s="587">
        <f t="shared" ca="1" si="122"/>
        <v>0.83</v>
      </c>
      <c r="AJ89" s="587">
        <f t="shared" ca="1" si="122"/>
        <v>0.83</v>
      </c>
      <c r="AK89" s="587">
        <f t="shared" ca="1" si="122"/>
        <v>0.83</v>
      </c>
      <c r="AL89" s="587">
        <f t="shared" ca="1" si="122"/>
        <v>0.83</v>
      </c>
      <c r="AM89" s="587">
        <f t="shared" ca="1" si="122"/>
        <v>0.83</v>
      </c>
      <c r="AN89" s="587">
        <f t="shared" ca="1" si="122"/>
        <v>0.83</v>
      </c>
      <c r="AO89" s="587">
        <f t="shared" ca="1" si="122"/>
        <v>0.83</v>
      </c>
      <c r="AP89" s="587">
        <f t="shared" ca="1" si="122"/>
        <v>0.83</v>
      </c>
    </row>
    <row r="90" spans="1:42" s="594" customFormat="1" ht="11.25" outlineLevel="1" x14ac:dyDescent="0.2">
      <c r="A90" s="599"/>
      <c r="B90" s="591" t="str">
        <f>IF(D90&lt;&gt;"",
IF(ISERROR(MATCH(D90,'Ist Aktuell Monat 01'!A:A,0))=FALSE,INDEX('Ist Aktuell Monat 01'!B:B,MATCH(D90,'Ist Aktuell Monat 01'!A:A,0)),
IF(ISERROR(MATCH(D90,'Ist Aktuell Monat 02'!A:A,0))=FALSE,INDEX('Ist Aktuell Monat 02'!B:B,MATCH(D90,'Ist Aktuell Monat 02'!A:A,0)),
IF(ISERROR(MATCH(D90,'Ist Aktuell Monat 03'!A:A,0))=FALSE,INDEX('Ist Aktuell Monat 03'!B:B,MATCH(D90,'Ist Aktuell Monat 03'!A:A,0)),
IF(ISERROR(MATCH(D90,'Ist Aktuell Monat 04'!A:A,0))=FALSE,INDEX('Ist Aktuell Monat 04'!B:B,MATCH(D90,'Ist Aktuell Monat 04'!A:A,0)),
IF(ISERROR(MATCH(D90,'Ist Aktuell Monat 05'!A:A,0))=FALSE,INDEX('Ist Aktuell Monat 05'!B:B,MATCH(D90,'Ist Aktuell Monat 05'!A:A,0)),
IF(ISERROR(MATCH(D90,'Ist Aktuell Monat 06'!A:A,0))=FALSE,INDEX('Ist Aktuell Monat 06'!B:B,MATCH(D90,'Ist Aktuell Monat 06'!A:A,0)),
IF(ISERROR(MATCH(D90,'Ist Aktuell Monat 07'!A:A,0))=FALSE,INDEX('Ist Aktuell Monat 07'!B:B,MATCH(D90,'Ist Aktuell Monat 07'!A:A,0)),
IF(ISERROR(MATCH(D90,'Ist Aktuell Monat 08'!A:A,0))=FALSE,INDEX('Ist Aktuell Monat 08'!B:B,MATCH(D90,'Ist Aktuell Monat 08'!A:A,0)),
IF(ISERROR(MATCH(D90,'Ist Aktuell Monat 09'!A:A,0))=FALSE,INDEX('Ist Aktuell Monat 09'!B:B,MATCH(D90,'Ist Aktuell Monat 09'!A:A,0)),
IF(ISERROR(MATCH(D90,'Ist Aktuell Monat 10'!A:A,0))=FALSE,INDEX('Ist Aktuell Monat 10'!B:B,MATCH(D90,'Ist Aktuell Monat 10'!A:A,0)),
IF(ISERROR(MATCH(D90,'Ist Aktuell Monat 11'!A:A,0))=FALSE,INDEX('Ist Aktuell Monat 11'!B:B,MATCH(D90,'Ist Aktuell Monat 11'!A:A,0)),
IF(ISERROR(MATCH(D90,'Ist Aktuell Monat 12'!A:A,0))=FALSE,INDEX('Ist Aktuell Monat 12'!B:B,MATCH(D90,'Ist Aktuell Monat 12'!A:A,0)),
"{Konto unbekannt}"
)))))))))))),"")</f>
        <v>Erhaltene Skonti 19% Vorsteuer</v>
      </c>
      <c r="C90" s="591"/>
      <c r="D90" s="590">
        <v>3736</v>
      </c>
      <c r="E90" s="592">
        <f t="shared" si="77"/>
        <v>-1</v>
      </c>
      <c r="F90" s="599" t="s">
        <v>996</v>
      </c>
      <c r="G90" s="593">
        <f ca="1">$E90*(-SUMIF(INDIRECT(G$3),'Struktur Aktuell'!$D90,INDIRECT(G$4))+SUMIF(INDIRECT(G$3),'Struktur Aktuell'!$D90,INDIRECT(G$5)))</f>
        <v>0</v>
      </c>
      <c r="H90" s="593">
        <f ca="1">$E90*(-SUMIF(INDIRECT(H$3),'Struktur Aktuell'!$D90,INDIRECT(H$4))+SUMIF(INDIRECT(H$3),'Struktur Aktuell'!$D90,INDIRECT(H$5)))</f>
        <v>0</v>
      </c>
      <c r="I90" s="593">
        <f ca="1">$E90*(-SUMIF(INDIRECT(I$3),'Struktur Aktuell'!$D90,INDIRECT(I$4))+SUMIF(INDIRECT(I$3),'Struktur Aktuell'!$D90,INDIRECT(I$5)))</f>
        <v>0.01</v>
      </c>
      <c r="J90" s="593">
        <f ca="1">$E90*(-SUMIF(INDIRECT(J$3),'Struktur Aktuell'!$D90,INDIRECT(J$4))+SUMIF(INDIRECT(J$3),'Struktur Aktuell'!$D90,INDIRECT(J$5)))</f>
        <v>0.82</v>
      </c>
      <c r="K90" s="593">
        <f ca="1">$E90*(-SUMIF(INDIRECT(K$3),'Struktur Aktuell'!$D90,INDIRECT(K$4))+SUMIF(INDIRECT(K$3),'Struktur Aktuell'!$D90,INDIRECT(K$5)))</f>
        <v>0</v>
      </c>
      <c r="L90" s="593">
        <f ca="1">$E90*(-SUMIF(INDIRECT(L$3),'Struktur Aktuell'!$D90,INDIRECT(L$4))+SUMIF(INDIRECT(L$3),'Struktur Aktuell'!$D90,INDIRECT(L$5)))</f>
        <v>0</v>
      </c>
      <c r="M90" s="593">
        <f ca="1">$E90*(-SUMIF(INDIRECT(M$3),'Struktur Aktuell'!$D90,INDIRECT(M$4))+SUMIF(INDIRECT(M$3),'Struktur Aktuell'!$D90,INDIRECT(M$5)))</f>
        <v>0</v>
      </c>
      <c r="N90" s="593">
        <f ca="1">$E90*(-SUMIF(INDIRECT(N$3),'Struktur Aktuell'!$D90,INDIRECT(N$4))+SUMIF(INDIRECT(N$3),'Struktur Aktuell'!$D90,INDIRECT(N$5)))</f>
        <v>0</v>
      </c>
      <c r="O90" s="593">
        <f ca="1">$E90*(-SUMIF(INDIRECT(O$3),'Struktur Aktuell'!$D90,INDIRECT(O$4))+SUMIF(INDIRECT(O$3),'Struktur Aktuell'!$D90,INDIRECT(O$5)))</f>
        <v>0</v>
      </c>
      <c r="P90" s="593">
        <f ca="1">$E90*(-SUMIF(INDIRECT(P$3),'Struktur Aktuell'!$D90,INDIRECT(P$4))+SUMIF(INDIRECT(P$3),'Struktur Aktuell'!$D90,INDIRECT(P$5)))</f>
        <v>0</v>
      </c>
      <c r="Q90" s="593">
        <f ca="1">$E90*(-SUMIF(INDIRECT(Q$3),'Struktur Aktuell'!$D90,INDIRECT(Q$4))+SUMIF(INDIRECT(Q$3),'Struktur Aktuell'!$D90,INDIRECT(Q$5)))</f>
        <v>0</v>
      </c>
      <c r="R90" s="593">
        <f ca="1">$E90*(-SUMIF(INDIRECT(R$3),'Struktur Aktuell'!$D90,INDIRECT(R$4))+SUMIF(INDIRECT(R$3),'Struktur Aktuell'!$D90,INDIRECT(R$5)))</f>
        <v>0</v>
      </c>
      <c r="S90" s="593">
        <f ca="1">$E90*(-SUMIF(INDIRECT(S$3),'Struktur Aktuell'!$D90,INDIRECT(S$4))+SUMIF(INDIRECT(S$3),'Struktur Aktuell'!$D90,INDIRECT(S$5)))</f>
        <v>0</v>
      </c>
      <c r="T90" s="593">
        <f ca="1">$E90*(-SUMIF(INDIRECT(T$3),'Struktur Aktuell'!$D90,INDIRECT(T$4))+SUMIF(INDIRECT(T$3),'Struktur Aktuell'!$D90,INDIRECT(T$5)))</f>
        <v>0</v>
      </c>
      <c r="U90" s="593">
        <f ca="1">$E90*(-SUMIF(INDIRECT(U$3),'Struktur Aktuell'!$D90,INDIRECT(U$4))+SUMIF(INDIRECT(U$3),'Struktur Aktuell'!$D90,INDIRECT(U$5)))</f>
        <v>0.01</v>
      </c>
      <c r="V90" s="593">
        <f ca="1">$E90*(-SUMIF(INDIRECT(V$3),'Struktur Aktuell'!$D90,INDIRECT(V$4))+SUMIF(INDIRECT(V$3),'Struktur Aktuell'!$D90,INDIRECT(V$5)))</f>
        <v>0.83</v>
      </c>
      <c r="W90" s="593">
        <f ca="1">$E90*(-SUMIF(INDIRECT(W$3),'Struktur Aktuell'!$D90,INDIRECT(W$4))+SUMIF(INDIRECT(W$3),'Struktur Aktuell'!$D90,INDIRECT(W$5)))</f>
        <v>0.83</v>
      </c>
      <c r="X90" s="593">
        <f ca="1">$E90*(-SUMIF(INDIRECT(X$3),'Struktur Aktuell'!$D90,INDIRECT(X$4))+SUMIF(INDIRECT(X$3),'Struktur Aktuell'!$D90,INDIRECT(X$5)))</f>
        <v>0.83</v>
      </c>
      <c r="Y90" s="593">
        <f ca="1">$E90*(-SUMIF(INDIRECT(Y$3),'Struktur Aktuell'!$D90,INDIRECT(Y$4))+SUMIF(INDIRECT(Y$3),'Struktur Aktuell'!$D90,INDIRECT(Y$5)))</f>
        <v>0.83</v>
      </c>
      <c r="Z90" s="593">
        <f ca="1">$E90*(-SUMIF(INDIRECT(Z$3),'Struktur Aktuell'!$D90,INDIRECT(Z$4))+SUMIF(INDIRECT(Z$3),'Struktur Aktuell'!$D90,INDIRECT(Z$5)))</f>
        <v>0.83</v>
      </c>
      <c r="AA90" s="593">
        <f ca="1">$E90*(-SUMIF(INDIRECT(AA$3),'Struktur Aktuell'!$D90,INDIRECT(AA$4))+SUMIF(INDIRECT(AA$3),'Struktur Aktuell'!$D90,INDIRECT(AA$5)))</f>
        <v>0.83</v>
      </c>
      <c r="AB90" s="593">
        <f ca="1">$E90*(-SUMIF(INDIRECT(AB$3),'Struktur Aktuell'!$D90,INDIRECT(AB$4))+SUMIF(INDIRECT(AB$3),'Struktur Aktuell'!$D90,INDIRECT(AB$5)))</f>
        <v>0.83</v>
      </c>
      <c r="AC90" s="593">
        <f ca="1">$E90*(-SUMIF(INDIRECT(AC$3),'Struktur Aktuell'!$D90,INDIRECT(AC$4))+SUMIF(INDIRECT(AC$3),'Struktur Aktuell'!$D90,INDIRECT(AC$5)))</f>
        <v>0</v>
      </c>
      <c r="AD90" s="593">
        <f ca="1">$E90*(-SUMIF(INDIRECT(AD$3),'Struktur Aktuell'!$D90,INDIRECT(AD$4))+SUMIF(INDIRECT(AD$3),'Struktur Aktuell'!$D90,INDIRECT(AD$5)))</f>
        <v>0</v>
      </c>
      <c r="AE90" s="593">
        <f t="shared" ref="AE90:AE97" ca="1" si="123">G90</f>
        <v>0</v>
      </c>
      <c r="AF90" s="593">
        <f t="shared" ref="AF90:AF97" ca="1" si="124">H90+AE90</f>
        <v>0</v>
      </c>
      <c r="AG90" s="593">
        <f t="shared" ref="AG90:AG97" ca="1" si="125">I90+AF90</f>
        <v>0.01</v>
      </c>
      <c r="AH90" s="593">
        <f t="shared" ref="AH90:AH97" ca="1" si="126">J90+AG90</f>
        <v>0.83</v>
      </c>
      <c r="AI90" s="593">
        <f t="shared" ref="AI90:AI97" ca="1" si="127">K90+AH90</f>
        <v>0.83</v>
      </c>
      <c r="AJ90" s="593">
        <f t="shared" ref="AJ90:AJ97" ca="1" si="128">L90+AI90</f>
        <v>0.83</v>
      </c>
      <c r="AK90" s="593">
        <f t="shared" ref="AK90:AK97" ca="1" si="129">M90+AJ90</f>
        <v>0.83</v>
      </c>
      <c r="AL90" s="593">
        <f t="shared" ref="AL90:AL97" ca="1" si="130">N90+AK90</f>
        <v>0.83</v>
      </c>
      <c r="AM90" s="593">
        <f t="shared" ref="AM90:AM97" ca="1" si="131">O90+AL90</f>
        <v>0.83</v>
      </c>
      <c r="AN90" s="593">
        <f t="shared" ref="AN90:AN97" ca="1" si="132">P90+AM90</f>
        <v>0.83</v>
      </c>
      <c r="AO90" s="593">
        <f t="shared" ref="AO90:AO97" ca="1" si="133">Q90+AN90</f>
        <v>0.83</v>
      </c>
      <c r="AP90" s="593">
        <f t="shared" ref="AP90:AP97" ca="1" si="134">R90+AO90</f>
        <v>0.83</v>
      </c>
    </row>
    <row r="91" spans="1:42" s="594" customFormat="1" ht="11.25" outlineLevel="1" x14ac:dyDescent="0.2">
      <c r="A91" s="599" t="s">
        <v>240</v>
      </c>
      <c r="B91" s="591" t="str">
        <f>IF(D91&lt;&gt;"",
IF(ISERROR(MATCH(D91,'Ist Aktuell Monat 01'!A:A,0))=FALSE,INDEX('Ist Aktuell Monat 01'!B:B,MATCH(D91,'Ist Aktuell Monat 01'!A:A,0)),
IF(ISERROR(MATCH(D91,'Ist Aktuell Monat 02'!A:A,0))=FALSE,INDEX('Ist Aktuell Monat 02'!B:B,MATCH(D91,'Ist Aktuell Monat 02'!A:A,0)),
IF(ISERROR(MATCH(D91,'Ist Aktuell Monat 03'!A:A,0))=FALSE,INDEX('Ist Aktuell Monat 03'!B:B,MATCH(D91,'Ist Aktuell Monat 03'!A:A,0)),
IF(ISERROR(MATCH(D91,'Ist Aktuell Monat 04'!A:A,0))=FALSE,INDEX('Ist Aktuell Monat 04'!B:B,MATCH(D91,'Ist Aktuell Monat 04'!A:A,0)),
IF(ISERROR(MATCH(D91,'Ist Aktuell Monat 05'!A:A,0))=FALSE,INDEX('Ist Aktuell Monat 05'!B:B,MATCH(D91,'Ist Aktuell Monat 05'!A:A,0)),
IF(ISERROR(MATCH(D91,'Ist Aktuell Monat 06'!A:A,0))=FALSE,INDEX('Ist Aktuell Monat 06'!B:B,MATCH(D91,'Ist Aktuell Monat 06'!A:A,0)),
IF(ISERROR(MATCH(D91,'Ist Aktuell Monat 07'!A:A,0))=FALSE,INDEX('Ist Aktuell Monat 07'!B:B,MATCH(D91,'Ist Aktuell Monat 07'!A:A,0)),
IF(ISERROR(MATCH(D91,'Ist Aktuell Monat 08'!A:A,0))=FALSE,INDEX('Ist Aktuell Monat 08'!B:B,MATCH(D91,'Ist Aktuell Monat 08'!A:A,0)),
IF(ISERROR(MATCH(D91,'Ist Aktuell Monat 09'!A:A,0))=FALSE,INDEX('Ist Aktuell Monat 09'!B:B,MATCH(D91,'Ist Aktuell Monat 09'!A:A,0)),
IF(ISERROR(MATCH(D91,'Ist Aktuell Monat 10'!A:A,0))=FALSE,INDEX('Ist Aktuell Monat 10'!B:B,MATCH(D91,'Ist Aktuell Monat 10'!A:A,0)),
IF(ISERROR(MATCH(D91,'Ist Aktuell Monat 11'!A:A,0))=FALSE,INDEX('Ist Aktuell Monat 11'!B:B,MATCH(D91,'Ist Aktuell Monat 11'!A:A,0)),
IF(ISERROR(MATCH(D91,'Ist Aktuell Monat 12'!A:A,0))=FALSE,INDEX('Ist Aktuell Monat 12'!B:B,MATCH(D91,'Ist Aktuell Monat 12'!A:A,0)),
"{Konto unbekannt}"
)))))))))))),"")</f>
        <v/>
      </c>
      <c r="C91" s="591"/>
      <c r="D91" s="590"/>
      <c r="E91" s="592">
        <f t="shared" si="77"/>
        <v>-1</v>
      </c>
      <c r="F91" s="599" t="s">
        <v>996</v>
      </c>
      <c r="G91" s="593">
        <f ca="1">$E91*(-SUMIF(INDIRECT(G$3),'Struktur Aktuell'!$D91,INDIRECT(G$4))+SUMIF(INDIRECT(G$3),'Struktur Aktuell'!$D91,INDIRECT(G$5)))</f>
        <v>0</v>
      </c>
      <c r="H91" s="593">
        <f ca="1">$E91*(-SUMIF(INDIRECT(H$3),'Struktur Aktuell'!$D91,INDIRECT(H$4))+SUMIF(INDIRECT(H$3),'Struktur Aktuell'!$D91,INDIRECT(H$5)))</f>
        <v>0</v>
      </c>
      <c r="I91" s="593">
        <f ca="1">$E91*(-SUMIF(INDIRECT(I$3),'Struktur Aktuell'!$D91,INDIRECT(I$4))+SUMIF(INDIRECT(I$3),'Struktur Aktuell'!$D91,INDIRECT(I$5)))</f>
        <v>0</v>
      </c>
      <c r="J91" s="593">
        <f ca="1">$E91*(-SUMIF(INDIRECT(J$3),'Struktur Aktuell'!$D91,INDIRECT(J$4))+SUMIF(INDIRECT(J$3),'Struktur Aktuell'!$D91,INDIRECT(J$5)))</f>
        <v>0</v>
      </c>
      <c r="K91" s="593">
        <f ca="1">$E91*(-SUMIF(INDIRECT(K$3),'Struktur Aktuell'!$D91,INDIRECT(K$4))+SUMIF(INDIRECT(K$3),'Struktur Aktuell'!$D91,INDIRECT(K$5)))</f>
        <v>0</v>
      </c>
      <c r="L91" s="593">
        <f ca="1">$E91*(-SUMIF(INDIRECT(L$3),'Struktur Aktuell'!$D91,INDIRECT(L$4))+SUMIF(INDIRECT(L$3),'Struktur Aktuell'!$D91,INDIRECT(L$5)))</f>
        <v>0</v>
      </c>
      <c r="M91" s="593">
        <f ca="1">$E91*(-SUMIF(INDIRECT(M$3),'Struktur Aktuell'!$D91,INDIRECT(M$4))+SUMIF(INDIRECT(M$3),'Struktur Aktuell'!$D91,INDIRECT(M$5)))</f>
        <v>0</v>
      </c>
      <c r="N91" s="593">
        <f ca="1">$E91*(-SUMIF(INDIRECT(N$3),'Struktur Aktuell'!$D91,INDIRECT(N$4))+SUMIF(INDIRECT(N$3),'Struktur Aktuell'!$D91,INDIRECT(N$5)))</f>
        <v>0</v>
      </c>
      <c r="O91" s="593">
        <f ca="1">$E91*(-SUMIF(INDIRECT(O$3),'Struktur Aktuell'!$D91,INDIRECT(O$4))+SUMIF(INDIRECT(O$3),'Struktur Aktuell'!$D91,INDIRECT(O$5)))</f>
        <v>0</v>
      </c>
      <c r="P91" s="593">
        <f ca="1">$E91*(-SUMIF(INDIRECT(P$3),'Struktur Aktuell'!$D91,INDIRECT(P$4))+SUMIF(INDIRECT(P$3),'Struktur Aktuell'!$D91,INDIRECT(P$5)))</f>
        <v>0</v>
      </c>
      <c r="Q91" s="593">
        <f ca="1">$E91*(-SUMIF(INDIRECT(Q$3),'Struktur Aktuell'!$D91,INDIRECT(Q$4))+SUMIF(INDIRECT(Q$3),'Struktur Aktuell'!$D91,INDIRECT(Q$5)))</f>
        <v>0</v>
      </c>
      <c r="R91" s="593">
        <f ca="1">$E91*(-SUMIF(INDIRECT(R$3),'Struktur Aktuell'!$D91,INDIRECT(R$4))+SUMIF(INDIRECT(R$3),'Struktur Aktuell'!$D91,INDIRECT(R$5)))</f>
        <v>0</v>
      </c>
      <c r="S91" s="593">
        <f ca="1">$E91*(-SUMIF(INDIRECT(S$3),'Struktur Aktuell'!$D91,INDIRECT(S$4))+SUMIF(INDIRECT(S$3),'Struktur Aktuell'!$D91,INDIRECT(S$5)))</f>
        <v>0</v>
      </c>
      <c r="T91" s="593">
        <f ca="1">$E91*(-SUMIF(INDIRECT(T$3),'Struktur Aktuell'!$D91,INDIRECT(T$4))+SUMIF(INDIRECT(T$3),'Struktur Aktuell'!$D91,INDIRECT(T$5)))</f>
        <v>0</v>
      </c>
      <c r="U91" s="593">
        <f ca="1">$E91*(-SUMIF(INDIRECT(U$3),'Struktur Aktuell'!$D91,INDIRECT(U$4))+SUMIF(INDIRECT(U$3),'Struktur Aktuell'!$D91,INDIRECT(U$5)))</f>
        <v>0</v>
      </c>
      <c r="V91" s="593">
        <f ca="1">$E91*(-SUMIF(INDIRECT(V$3),'Struktur Aktuell'!$D91,INDIRECT(V$4))+SUMIF(INDIRECT(V$3),'Struktur Aktuell'!$D91,INDIRECT(V$5)))</f>
        <v>0</v>
      </c>
      <c r="W91" s="593">
        <f ca="1">$E91*(-SUMIF(INDIRECT(W$3),'Struktur Aktuell'!$D91,INDIRECT(W$4))+SUMIF(INDIRECT(W$3),'Struktur Aktuell'!$D91,INDIRECT(W$5)))</f>
        <v>0</v>
      </c>
      <c r="X91" s="593">
        <f ca="1">$E91*(-SUMIF(INDIRECT(X$3),'Struktur Aktuell'!$D91,INDIRECT(X$4))+SUMIF(INDIRECT(X$3),'Struktur Aktuell'!$D91,INDIRECT(X$5)))</f>
        <v>0</v>
      </c>
      <c r="Y91" s="593">
        <f ca="1">$E91*(-SUMIF(INDIRECT(Y$3),'Struktur Aktuell'!$D91,INDIRECT(Y$4))+SUMIF(INDIRECT(Y$3),'Struktur Aktuell'!$D91,INDIRECT(Y$5)))</f>
        <v>0</v>
      </c>
      <c r="Z91" s="593">
        <f ca="1">$E91*(-SUMIF(INDIRECT(Z$3),'Struktur Aktuell'!$D91,INDIRECT(Z$4))+SUMIF(INDIRECT(Z$3),'Struktur Aktuell'!$D91,INDIRECT(Z$5)))</f>
        <v>0</v>
      </c>
      <c r="AA91" s="593">
        <f ca="1">$E91*(-SUMIF(INDIRECT(AA$3),'Struktur Aktuell'!$D91,INDIRECT(AA$4))+SUMIF(INDIRECT(AA$3),'Struktur Aktuell'!$D91,INDIRECT(AA$5)))</f>
        <v>0</v>
      </c>
      <c r="AB91" s="593">
        <f ca="1">$E91*(-SUMIF(INDIRECT(AB$3),'Struktur Aktuell'!$D91,INDIRECT(AB$4))+SUMIF(INDIRECT(AB$3),'Struktur Aktuell'!$D91,INDIRECT(AB$5)))</f>
        <v>0</v>
      </c>
      <c r="AC91" s="593">
        <f ca="1">$E91*(-SUMIF(INDIRECT(AC$3),'Struktur Aktuell'!$D91,INDIRECT(AC$4))+SUMIF(INDIRECT(AC$3),'Struktur Aktuell'!$D91,INDIRECT(AC$5)))</f>
        <v>0</v>
      </c>
      <c r="AD91" s="593">
        <f ca="1">$E91*(-SUMIF(INDIRECT(AD$3),'Struktur Aktuell'!$D91,INDIRECT(AD$4))+SUMIF(INDIRECT(AD$3),'Struktur Aktuell'!$D91,INDIRECT(AD$5)))</f>
        <v>0</v>
      </c>
      <c r="AE91" s="593">
        <f t="shared" ca="1" si="123"/>
        <v>0</v>
      </c>
      <c r="AF91" s="593">
        <f t="shared" ca="1" si="124"/>
        <v>0</v>
      </c>
      <c r="AG91" s="593">
        <f t="shared" ca="1" si="125"/>
        <v>0</v>
      </c>
      <c r="AH91" s="593">
        <f t="shared" ca="1" si="126"/>
        <v>0</v>
      </c>
      <c r="AI91" s="593">
        <f t="shared" ca="1" si="127"/>
        <v>0</v>
      </c>
      <c r="AJ91" s="593">
        <f t="shared" ca="1" si="128"/>
        <v>0</v>
      </c>
      <c r="AK91" s="593">
        <f t="shared" ca="1" si="129"/>
        <v>0</v>
      </c>
      <c r="AL91" s="593">
        <f t="shared" ca="1" si="130"/>
        <v>0</v>
      </c>
      <c r="AM91" s="593">
        <f t="shared" ca="1" si="131"/>
        <v>0</v>
      </c>
      <c r="AN91" s="593">
        <f t="shared" ca="1" si="132"/>
        <v>0</v>
      </c>
      <c r="AO91" s="593">
        <f t="shared" ca="1" si="133"/>
        <v>0</v>
      </c>
      <c r="AP91" s="593">
        <f t="shared" ca="1" si="134"/>
        <v>0</v>
      </c>
    </row>
    <row r="92" spans="1:42" s="594" customFormat="1" ht="11.25" outlineLevel="1" x14ac:dyDescent="0.2">
      <c r="A92" s="599" t="s">
        <v>240</v>
      </c>
      <c r="B92" s="591" t="str">
        <f>IF(D92&lt;&gt;"",
IF(ISERROR(MATCH(D92,'Ist Aktuell Monat 01'!A:A,0))=FALSE,INDEX('Ist Aktuell Monat 01'!B:B,MATCH(D92,'Ist Aktuell Monat 01'!A:A,0)),
IF(ISERROR(MATCH(D92,'Ist Aktuell Monat 02'!A:A,0))=FALSE,INDEX('Ist Aktuell Monat 02'!B:B,MATCH(D92,'Ist Aktuell Monat 02'!A:A,0)),
IF(ISERROR(MATCH(D92,'Ist Aktuell Monat 03'!A:A,0))=FALSE,INDEX('Ist Aktuell Monat 03'!B:B,MATCH(D92,'Ist Aktuell Monat 03'!A:A,0)),
IF(ISERROR(MATCH(D92,'Ist Aktuell Monat 04'!A:A,0))=FALSE,INDEX('Ist Aktuell Monat 04'!B:B,MATCH(D92,'Ist Aktuell Monat 04'!A:A,0)),
IF(ISERROR(MATCH(D92,'Ist Aktuell Monat 05'!A:A,0))=FALSE,INDEX('Ist Aktuell Monat 05'!B:B,MATCH(D92,'Ist Aktuell Monat 05'!A:A,0)),
IF(ISERROR(MATCH(D92,'Ist Aktuell Monat 06'!A:A,0))=FALSE,INDEX('Ist Aktuell Monat 06'!B:B,MATCH(D92,'Ist Aktuell Monat 06'!A:A,0)),
IF(ISERROR(MATCH(D92,'Ist Aktuell Monat 07'!A:A,0))=FALSE,INDEX('Ist Aktuell Monat 07'!B:B,MATCH(D92,'Ist Aktuell Monat 07'!A:A,0)),
IF(ISERROR(MATCH(D92,'Ist Aktuell Monat 08'!A:A,0))=FALSE,INDEX('Ist Aktuell Monat 08'!B:B,MATCH(D92,'Ist Aktuell Monat 08'!A:A,0)),
IF(ISERROR(MATCH(D92,'Ist Aktuell Monat 09'!A:A,0))=FALSE,INDEX('Ist Aktuell Monat 09'!B:B,MATCH(D92,'Ist Aktuell Monat 09'!A:A,0)),
IF(ISERROR(MATCH(D92,'Ist Aktuell Monat 10'!A:A,0))=FALSE,INDEX('Ist Aktuell Monat 10'!B:B,MATCH(D92,'Ist Aktuell Monat 10'!A:A,0)),
IF(ISERROR(MATCH(D92,'Ist Aktuell Monat 11'!A:A,0))=FALSE,INDEX('Ist Aktuell Monat 11'!B:B,MATCH(D92,'Ist Aktuell Monat 11'!A:A,0)),
IF(ISERROR(MATCH(D92,'Ist Aktuell Monat 12'!A:A,0))=FALSE,INDEX('Ist Aktuell Monat 12'!B:B,MATCH(D92,'Ist Aktuell Monat 12'!A:A,0)),
"{Konto unbekannt}"
)))))))))))),"")</f>
        <v/>
      </c>
      <c r="C92" s="591"/>
      <c r="D92" s="590"/>
      <c r="E92" s="592">
        <f t="shared" si="77"/>
        <v>-1</v>
      </c>
      <c r="F92" s="599" t="s">
        <v>996</v>
      </c>
      <c r="G92" s="593">
        <f ca="1">$E92*(-SUMIF(INDIRECT(G$3),'Struktur Aktuell'!$D92,INDIRECT(G$4))+SUMIF(INDIRECT(G$3),'Struktur Aktuell'!$D92,INDIRECT(G$5)))</f>
        <v>0</v>
      </c>
      <c r="H92" s="593">
        <f ca="1">$E92*(-SUMIF(INDIRECT(H$3),'Struktur Aktuell'!$D92,INDIRECT(H$4))+SUMIF(INDIRECT(H$3),'Struktur Aktuell'!$D92,INDIRECT(H$5)))</f>
        <v>0</v>
      </c>
      <c r="I92" s="593">
        <f ca="1">$E92*(-SUMIF(INDIRECT(I$3),'Struktur Aktuell'!$D92,INDIRECT(I$4))+SUMIF(INDIRECT(I$3),'Struktur Aktuell'!$D92,INDIRECT(I$5)))</f>
        <v>0</v>
      </c>
      <c r="J92" s="593">
        <f ca="1">$E92*(-SUMIF(INDIRECT(J$3),'Struktur Aktuell'!$D92,INDIRECT(J$4))+SUMIF(INDIRECT(J$3),'Struktur Aktuell'!$D92,INDIRECT(J$5)))</f>
        <v>0</v>
      </c>
      <c r="K92" s="593">
        <f ca="1">$E92*(-SUMIF(INDIRECT(K$3),'Struktur Aktuell'!$D92,INDIRECT(K$4))+SUMIF(INDIRECT(K$3),'Struktur Aktuell'!$D92,INDIRECT(K$5)))</f>
        <v>0</v>
      </c>
      <c r="L92" s="593">
        <f ca="1">$E92*(-SUMIF(INDIRECT(L$3),'Struktur Aktuell'!$D92,INDIRECT(L$4))+SUMIF(INDIRECT(L$3),'Struktur Aktuell'!$D92,INDIRECT(L$5)))</f>
        <v>0</v>
      </c>
      <c r="M92" s="593">
        <f ca="1">$E92*(-SUMIF(INDIRECT(M$3),'Struktur Aktuell'!$D92,INDIRECT(M$4))+SUMIF(INDIRECT(M$3),'Struktur Aktuell'!$D92,INDIRECT(M$5)))</f>
        <v>0</v>
      </c>
      <c r="N92" s="593">
        <f ca="1">$E92*(-SUMIF(INDIRECT(N$3),'Struktur Aktuell'!$D92,INDIRECT(N$4))+SUMIF(INDIRECT(N$3),'Struktur Aktuell'!$D92,INDIRECT(N$5)))</f>
        <v>0</v>
      </c>
      <c r="O92" s="593">
        <f ca="1">$E92*(-SUMIF(INDIRECT(O$3),'Struktur Aktuell'!$D92,INDIRECT(O$4))+SUMIF(INDIRECT(O$3),'Struktur Aktuell'!$D92,INDIRECT(O$5)))</f>
        <v>0</v>
      </c>
      <c r="P92" s="593">
        <f ca="1">$E92*(-SUMIF(INDIRECT(P$3),'Struktur Aktuell'!$D92,INDIRECT(P$4))+SUMIF(INDIRECT(P$3),'Struktur Aktuell'!$D92,INDIRECT(P$5)))</f>
        <v>0</v>
      </c>
      <c r="Q92" s="593">
        <f ca="1">$E92*(-SUMIF(INDIRECT(Q$3),'Struktur Aktuell'!$D92,INDIRECT(Q$4))+SUMIF(INDIRECT(Q$3),'Struktur Aktuell'!$D92,INDIRECT(Q$5)))</f>
        <v>0</v>
      </c>
      <c r="R92" s="593">
        <f ca="1">$E92*(-SUMIF(INDIRECT(R$3),'Struktur Aktuell'!$D92,INDIRECT(R$4))+SUMIF(INDIRECT(R$3),'Struktur Aktuell'!$D92,INDIRECT(R$5)))</f>
        <v>0</v>
      </c>
      <c r="S92" s="593">
        <f ca="1">$E92*(-SUMIF(INDIRECT(S$3),'Struktur Aktuell'!$D92,INDIRECT(S$4))+SUMIF(INDIRECT(S$3),'Struktur Aktuell'!$D92,INDIRECT(S$5)))</f>
        <v>0</v>
      </c>
      <c r="T92" s="593">
        <f ca="1">$E92*(-SUMIF(INDIRECT(T$3),'Struktur Aktuell'!$D92,INDIRECT(T$4))+SUMIF(INDIRECT(T$3),'Struktur Aktuell'!$D92,INDIRECT(T$5)))</f>
        <v>0</v>
      </c>
      <c r="U92" s="593">
        <f ca="1">$E92*(-SUMIF(INDIRECT(U$3),'Struktur Aktuell'!$D92,INDIRECT(U$4))+SUMIF(INDIRECT(U$3),'Struktur Aktuell'!$D92,INDIRECT(U$5)))</f>
        <v>0</v>
      </c>
      <c r="V92" s="593">
        <f ca="1">$E92*(-SUMIF(INDIRECT(V$3),'Struktur Aktuell'!$D92,INDIRECT(V$4))+SUMIF(INDIRECT(V$3),'Struktur Aktuell'!$D92,INDIRECT(V$5)))</f>
        <v>0</v>
      </c>
      <c r="W92" s="593">
        <f ca="1">$E92*(-SUMIF(INDIRECT(W$3),'Struktur Aktuell'!$D92,INDIRECT(W$4))+SUMIF(INDIRECT(W$3),'Struktur Aktuell'!$D92,INDIRECT(W$5)))</f>
        <v>0</v>
      </c>
      <c r="X92" s="593">
        <f ca="1">$E92*(-SUMIF(INDIRECT(X$3),'Struktur Aktuell'!$D92,INDIRECT(X$4))+SUMIF(INDIRECT(X$3),'Struktur Aktuell'!$D92,INDIRECT(X$5)))</f>
        <v>0</v>
      </c>
      <c r="Y92" s="593">
        <f ca="1">$E92*(-SUMIF(INDIRECT(Y$3),'Struktur Aktuell'!$D92,INDIRECT(Y$4))+SUMIF(INDIRECT(Y$3),'Struktur Aktuell'!$D92,INDIRECT(Y$5)))</f>
        <v>0</v>
      </c>
      <c r="Z92" s="593">
        <f ca="1">$E92*(-SUMIF(INDIRECT(Z$3),'Struktur Aktuell'!$D92,INDIRECT(Z$4))+SUMIF(INDIRECT(Z$3),'Struktur Aktuell'!$D92,INDIRECT(Z$5)))</f>
        <v>0</v>
      </c>
      <c r="AA92" s="593">
        <f ca="1">$E92*(-SUMIF(INDIRECT(AA$3),'Struktur Aktuell'!$D92,INDIRECT(AA$4))+SUMIF(INDIRECT(AA$3),'Struktur Aktuell'!$D92,INDIRECT(AA$5)))</f>
        <v>0</v>
      </c>
      <c r="AB92" s="593">
        <f ca="1">$E92*(-SUMIF(INDIRECT(AB$3),'Struktur Aktuell'!$D92,INDIRECT(AB$4))+SUMIF(INDIRECT(AB$3),'Struktur Aktuell'!$D92,INDIRECT(AB$5)))</f>
        <v>0</v>
      </c>
      <c r="AC92" s="593">
        <f ca="1">$E92*(-SUMIF(INDIRECT(AC$3),'Struktur Aktuell'!$D92,INDIRECT(AC$4))+SUMIF(INDIRECT(AC$3),'Struktur Aktuell'!$D92,INDIRECT(AC$5)))</f>
        <v>0</v>
      </c>
      <c r="AD92" s="593">
        <f ca="1">$E92*(-SUMIF(INDIRECT(AD$3),'Struktur Aktuell'!$D92,INDIRECT(AD$4))+SUMIF(INDIRECT(AD$3),'Struktur Aktuell'!$D92,INDIRECT(AD$5)))</f>
        <v>0</v>
      </c>
      <c r="AE92" s="593">
        <f t="shared" ca="1" si="123"/>
        <v>0</v>
      </c>
      <c r="AF92" s="593">
        <f t="shared" ca="1" si="124"/>
        <v>0</v>
      </c>
      <c r="AG92" s="593">
        <f t="shared" ca="1" si="125"/>
        <v>0</v>
      </c>
      <c r="AH92" s="593">
        <f t="shared" ca="1" si="126"/>
        <v>0</v>
      </c>
      <c r="AI92" s="593">
        <f t="shared" ca="1" si="127"/>
        <v>0</v>
      </c>
      <c r="AJ92" s="593">
        <f t="shared" ca="1" si="128"/>
        <v>0</v>
      </c>
      <c r="AK92" s="593">
        <f t="shared" ca="1" si="129"/>
        <v>0</v>
      </c>
      <c r="AL92" s="593">
        <f t="shared" ca="1" si="130"/>
        <v>0</v>
      </c>
      <c r="AM92" s="593">
        <f t="shared" ca="1" si="131"/>
        <v>0</v>
      </c>
      <c r="AN92" s="593">
        <f t="shared" ca="1" si="132"/>
        <v>0</v>
      </c>
      <c r="AO92" s="593">
        <f t="shared" ca="1" si="133"/>
        <v>0</v>
      </c>
      <c r="AP92" s="593">
        <f t="shared" ca="1" si="134"/>
        <v>0</v>
      </c>
    </row>
    <row r="93" spans="1:42" s="594" customFormat="1" ht="11.25" outlineLevel="1" x14ac:dyDescent="0.2">
      <c r="A93" s="599" t="s">
        <v>240</v>
      </c>
      <c r="B93" s="591" t="str">
        <f>IF(D93&lt;&gt;"",
IF(ISERROR(MATCH(D93,'Ist Aktuell Monat 01'!A:A,0))=FALSE,INDEX('Ist Aktuell Monat 01'!B:B,MATCH(D93,'Ist Aktuell Monat 01'!A:A,0)),
IF(ISERROR(MATCH(D93,'Ist Aktuell Monat 02'!A:A,0))=FALSE,INDEX('Ist Aktuell Monat 02'!B:B,MATCH(D93,'Ist Aktuell Monat 02'!A:A,0)),
IF(ISERROR(MATCH(D93,'Ist Aktuell Monat 03'!A:A,0))=FALSE,INDEX('Ist Aktuell Monat 03'!B:B,MATCH(D93,'Ist Aktuell Monat 03'!A:A,0)),
IF(ISERROR(MATCH(D93,'Ist Aktuell Monat 04'!A:A,0))=FALSE,INDEX('Ist Aktuell Monat 04'!B:B,MATCH(D93,'Ist Aktuell Monat 04'!A:A,0)),
IF(ISERROR(MATCH(D93,'Ist Aktuell Monat 05'!A:A,0))=FALSE,INDEX('Ist Aktuell Monat 05'!B:B,MATCH(D93,'Ist Aktuell Monat 05'!A:A,0)),
IF(ISERROR(MATCH(D93,'Ist Aktuell Monat 06'!A:A,0))=FALSE,INDEX('Ist Aktuell Monat 06'!B:B,MATCH(D93,'Ist Aktuell Monat 06'!A:A,0)),
IF(ISERROR(MATCH(D93,'Ist Aktuell Monat 07'!A:A,0))=FALSE,INDEX('Ist Aktuell Monat 07'!B:B,MATCH(D93,'Ist Aktuell Monat 07'!A:A,0)),
IF(ISERROR(MATCH(D93,'Ist Aktuell Monat 08'!A:A,0))=FALSE,INDEX('Ist Aktuell Monat 08'!B:B,MATCH(D93,'Ist Aktuell Monat 08'!A:A,0)),
IF(ISERROR(MATCH(D93,'Ist Aktuell Monat 09'!A:A,0))=FALSE,INDEX('Ist Aktuell Monat 09'!B:B,MATCH(D93,'Ist Aktuell Monat 09'!A:A,0)),
IF(ISERROR(MATCH(D93,'Ist Aktuell Monat 10'!A:A,0))=FALSE,INDEX('Ist Aktuell Monat 10'!B:B,MATCH(D93,'Ist Aktuell Monat 10'!A:A,0)),
IF(ISERROR(MATCH(D93,'Ist Aktuell Monat 11'!A:A,0))=FALSE,INDEX('Ist Aktuell Monat 11'!B:B,MATCH(D93,'Ist Aktuell Monat 11'!A:A,0)),
IF(ISERROR(MATCH(D93,'Ist Aktuell Monat 12'!A:A,0))=FALSE,INDEX('Ist Aktuell Monat 12'!B:B,MATCH(D93,'Ist Aktuell Monat 12'!A:A,0)),
"{Konto unbekannt}"
)))))))))))),"")</f>
        <v/>
      </c>
      <c r="C93" s="591"/>
      <c r="D93" s="590"/>
      <c r="E93" s="592">
        <f t="shared" si="77"/>
        <v>-1</v>
      </c>
      <c r="F93" s="599" t="s">
        <v>996</v>
      </c>
      <c r="G93" s="593">
        <f ca="1">$E93*(-SUMIF(INDIRECT(G$3),'Struktur Aktuell'!$D93,INDIRECT(G$4))+SUMIF(INDIRECT(G$3),'Struktur Aktuell'!$D93,INDIRECT(G$5)))</f>
        <v>0</v>
      </c>
      <c r="H93" s="593">
        <f ca="1">$E93*(-SUMIF(INDIRECT(H$3),'Struktur Aktuell'!$D93,INDIRECT(H$4))+SUMIF(INDIRECT(H$3),'Struktur Aktuell'!$D93,INDIRECT(H$5)))</f>
        <v>0</v>
      </c>
      <c r="I93" s="593">
        <f ca="1">$E93*(-SUMIF(INDIRECT(I$3),'Struktur Aktuell'!$D93,INDIRECT(I$4))+SUMIF(INDIRECT(I$3),'Struktur Aktuell'!$D93,INDIRECT(I$5)))</f>
        <v>0</v>
      </c>
      <c r="J93" s="593">
        <f ca="1">$E93*(-SUMIF(INDIRECT(J$3),'Struktur Aktuell'!$D93,INDIRECT(J$4))+SUMIF(INDIRECT(J$3),'Struktur Aktuell'!$D93,INDIRECT(J$5)))</f>
        <v>0</v>
      </c>
      <c r="K93" s="593">
        <f ca="1">$E93*(-SUMIF(INDIRECT(K$3),'Struktur Aktuell'!$D93,INDIRECT(K$4))+SUMIF(INDIRECT(K$3),'Struktur Aktuell'!$D93,INDIRECT(K$5)))</f>
        <v>0</v>
      </c>
      <c r="L93" s="593">
        <f ca="1">$E93*(-SUMIF(INDIRECT(L$3),'Struktur Aktuell'!$D93,INDIRECT(L$4))+SUMIF(INDIRECT(L$3),'Struktur Aktuell'!$D93,INDIRECT(L$5)))</f>
        <v>0</v>
      </c>
      <c r="M93" s="593">
        <f ca="1">$E93*(-SUMIF(INDIRECT(M$3),'Struktur Aktuell'!$D93,INDIRECT(M$4))+SUMIF(INDIRECT(M$3),'Struktur Aktuell'!$D93,INDIRECT(M$5)))</f>
        <v>0</v>
      </c>
      <c r="N93" s="593">
        <f ca="1">$E93*(-SUMIF(INDIRECT(N$3),'Struktur Aktuell'!$D93,INDIRECT(N$4))+SUMIF(INDIRECT(N$3),'Struktur Aktuell'!$D93,INDIRECT(N$5)))</f>
        <v>0</v>
      </c>
      <c r="O93" s="593">
        <f ca="1">$E93*(-SUMIF(INDIRECT(O$3),'Struktur Aktuell'!$D93,INDIRECT(O$4))+SUMIF(INDIRECT(O$3),'Struktur Aktuell'!$D93,INDIRECT(O$5)))</f>
        <v>0</v>
      </c>
      <c r="P93" s="593">
        <f ca="1">$E93*(-SUMIF(INDIRECT(P$3),'Struktur Aktuell'!$D93,INDIRECT(P$4))+SUMIF(INDIRECT(P$3),'Struktur Aktuell'!$D93,INDIRECT(P$5)))</f>
        <v>0</v>
      </c>
      <c r="Q93" s="593">
        <f ca="1">$E93*(-SUMIF(INDIRECT(Q$3),'Struktur Aktuell'!$D93,INDIRECT(Q$4))+SUMIF(INDIRECT(Q$3),'Struktur Aktuell'!$D93,INDIRECT(Q$5)))</f>
        <v>0</v>
      </c>
      <c r="R93" s="593">
        <f ca="1">$E93*(-SUMIF(INDIRECT(R$3),'Struktur Aktuell'!$D93,INDIRECT(R$4))+SUMIF(INDIRECT(R$3),'Struktur Aktuell'!$D93,INDIRECT(R$5)))</f>
        <v>0</v>
      </c>
      <c r="S93" s="593">
        <f ca="1">$E93*(-SUMIF(INDIRECT(S$3),'Struktur Aktuell'!$D93,INDIRECT(S$4))+SUMIF(INDIRECT(S$3),'Struktur Aktuell'!$D93,INDIRECT(S$5)))</f>
        <v>0</v>
      </c>
      <c r="T93" s="593">
        <f ca="1">$E93*(-SUMIF(INDIRECT(T$3),'Struktur Aktuell'!$D93,INDIRECT(T$4))+SUMIF(INDIRECT(T$3),'Struktur Aktuell'!$D93,INDIRECT(T$5)))</f>
        <v>0</v>
      </c>
      <c r="U93" s="593">
        <f ca="1">$E93*(-SUMIF(INDIRECT(U$3),'Struktur Aktuell'!$D93,INDIRECT(U$4))+SUMIF(INDIRECT(U$3),'Struktur Aktuell'!$D93,INDIRECT(U$5)))</f>
        <v>0</v>
      </c>
      <c r="V93" s="593">
        <f ca="1">$E93*(-SUMIF(INDIRECT(V$3),'Struktur Aktuell'!$D93,INDIRECT(V$4))+SUMIF(INDIRECT(V$3),'Struktur Aktuell'!$D93,INDIRECT(V$5)))</f>
        <v>0</v>
      </c>
      <c r="W93" s="593">
        <f ca="1">$E93*(-SUMIF(INDIRECT(W$3),'Struktur Aktuell'!$D93,INDIRECT(W$4))+SUMIF(INDIRECT(W$3),'Struktur Aktuell'!$D93,INDIRECT(W$5)))</f>
        <v>0</v>
      </c>
      <c r="X93" s="593">
        <f ca="1">$E93*(-SUMIF(INDIRECT(X$3),'Struktur Aktuell'!$D93,INDIRECT(X$4))+SUMIF(INDIRECT(X$3),'Struktur Aktuell'!$D93,INDIRECT(X$5)))</f>
        <v>0</v>
      </c>
      <c r="Y93" s="593">
        <f ca="1">$E93*(-SUMIF(INDIRECT(Y$3),'Struktur Aktuell'!$D93,INDIRECT(Y$4))+SUMIF(INDIRECT(Y$3),'Struktur Aktuell'!$D93,INDIRECT(Y$5)))</f>
        <v>0</v>
      </c>
      <c r="Z93" s="593">
        <f ca="1">$E93*(-SUMIF(INDIRECT(Z$3),'Struktur Aktuell'!$D93,INDIRECT(Z$4))+SUMIF(INDIRECT(Z$3),'Struktur Aktuell'!$D93,INDIRECT(Z$5)))</f>
        <v>0</v>
      </c>
      <c r="AA93" s="593">
        <f ca="1">$E93*(-SUMIF(INDIRECT(AA$3),'Struktur Aktuell'!$D93,INDIRECT(AA$4))+SUMIF(INDIRECT(AA$3),'Struktur Aktuell'!$D93,INDIRECT(AA$5)))</f>
        <v>0</v>
      </c>
      <c r="AB93" s="593">
        <f ca="1">$E93*(-SUMIF(INDIRECT(AB$3),'Struktur Aktuell'!$D93,INDIRECT(AB$4))+SUMIF(INDIRECT(AB$3),'Struktur Aktuell'!$D93,INDIRECT(AB$5)))</f>
        <v>0</v>
      </c>
      <c r="AC93" s="593">
        <f ca="1">$E93*(-SUMIF(INDIRECT(AC$3),'Struktur Aktuell'!$D93,INDIRECT(AC$4))+SUMIF(INDIRECT(AC$3),'Struktur Aktuell'!$D93,INDIRECT(AC$5)))</f>
        <v>0</v>
      </c>
      <c r="AD93" s="593">
        <f ca="1">$E93*(-SUMIF(INDIRECT(AD$3),'Struktur Aktuell'!$D93,INDIRECT(AD$4))+SUMIF(INDIRECT(AD$3),'Struktur Aktuell'!$D93,INDIRECT(AD$5)))</f>
        <v>0</v>
      </c>
      <c r="AE93" s="593">
        <f t="shared" ca="1" si="123"/>
        <v>0</v>
      </c>
      <c r="AF93" s="593">
        <f t="shared" ca="1" si="124"/>
        <v>0</v>
      </c>
      <c r="AG93" s="593">
        <f t="shared" ca="1" si="125"/>
        <v>0</v>
      </c>
      <c r="AH93" s="593">
        <f t="shared" ca="1" si="126"/>
        <v>0</v>
      </c>
      <c r="AI93" s="593">
        <f t="shared" ca="1" si="127"/>
        <v>0</v>
      </c>
      <c r="AJ93" s="593">
        <f t="shared" ca="1" si="128"/>
        <v>0</v>
      </c>
      <c r="AK93" s="593">
        <f t="shared" ca="1" si="129"/>
        <v>0</v>
      </c>
      <c r="AL93" s="593">
        <f t="shared" ca="1" si="130"/>
        <v>0</v>
      </c>
      <c r="AM93" s="593">
        <f t="shared" ca="1" si="131"/>
        <v>0</v>
      </c>
      <c r="AN93" s="593">
        <f t="shared" ca="1" si="132"/>
        <v>0</v>
      </c>
      <c r="AO93" s="593">
        <f t="shared" ca="1" si="133"/>
        <v>0</v>
      </c>
      <c r="AP93" s="593">
        <f t="shared" ca="1" si="134"/>
        <v>0</v>
      </c>
    </row>
    <row r="94" spans="1:42" s="594" customFormat="1" ht="11.25" outlineLevel="1" x14ac:dyDescent="0.2">
      <c r="A94" s="599"/>
      <c r="B94" s="591" t="str">
        <f>IF(D94&lt;&gt;"",
IF(ISERROR(MATCH(D94,'Ist Aktuell Monat 01'!A:A,0))=FALSE,INDEX('Ist Aktuell Monat 01'!B:B,MATCH(D94,'Ist Aktuell Monat 01'!A:A,0)),
IF(ISERROR(MATCH(D94,'Ist Aktuell Monat 02'!A:A,0))=FALSE,INDEX('Ist Aktuell Monat 02'!B:B,MATCH(D94,'Ist Aktuell Monat 02'!A:A,0)),
IF(ISERROR(MATCH(D94,'Ist Aktuell Monat 03'!A:A,0))=FALSE,INDEX('Ist Aktuell Monat 03'!B:B,MATCH(D94,'Ist Aktuell Monat 03'!A:A,0)),
IF(ISERROR(MATCH(D94,'Ist Aktuell Monat 04'!A:A,0))=FALSE,INDEX('Ist Aktuell Monat 04'!B:B,MATCH(D94,'Ist Aktuell Monat 04'!A:A,0)),
IF(ISERROR(MATCH(D94,'Ist Aktuell Monat 05'!A:A,0))=FALSE,INDEX('Ist Aktuell Monat 05'!B:B,MATCH(D94,'Ist Aktuell Monat 05'!A:A,0)),
IF(ISERROR(MATCH(D94,'Ist Aktuell Monat 06'!A:A,0))=FALSE,INDEX('Ist Aktuell Monat 06'!B:B,MATCH(D94,'Ist Aktuell Monat 06'!A:A,0)),
IF(ISERROR(MATCH(D94,'Ist Aktuell Monat 07'!A:A,0))=FALSE,INDEX('Ist Aktuell Monat 07'!B:B,MATCH(D94,'Ist Aktuell Monat 07'!A:A,0)),
IF(ISERROR(MATCH(D94,'Ist Aktuell Monat 08'!A:A,0))=FALSE,INDEX('Ist Aktuell Monat 08'!B:B,MATCH(D94,'Ist Aktuell Monat 08'!A:A,0)),
IF(ISERROR(MATCH(D94,'Ist Aktuell Monat 09'!A:A,0))=FALSE,INDEX('Ist Aktuell Monat 09'!B:B,MATCH(D94,'Ist Aktuell Monat 09'!A:A,0)),
IF(ISERROR(MATCH(D94,'Ist Aktuell Monat 10'!A:A,0))=FALSE,INDEX('Ist Aktuell Monat 10'!B:B,MATCH(D94,'Ist Aktuell Monat 10'!A:A,0)),
IF(ISERROR(MATCH(D94,'Ist Aktuell Monat 11'!A:A,0))=FALSE,INDEX('Ist Aktuell Monat 11'!B:B,MATCH(D94,'Ist Aktuell Monat 11'!A:A,0)),
IF(ISERROR(MATCH(D94,'Ist Aktuell Monat 12'!A:A,0))=FALSE,INDEX('Ist Aktuell Monat 12'!B:B,MATCH(D94,'Ist Aktuell Monat 12'!A:A,0)),
"{Konto unbekannt}"
)))))))))))),"")</f>
        <v/>
      </c>
      <c r="C94" s="591"/>
      <c r="D94" s="590"/>
      <c r="E94" s="592">
        <f t="shared" si="77"/>
        <v>-1</v>
      </c>
      <c r="F94" s="599" t="s">
        <v>996</v>
      </c>
      <c r="G94" s="593">
        <f ca="1">$E94*(-SUMIF(INDIRECT(G$3),'Struktur Aktuell'!$D94,INDIRECT(G$4))+SUMIF(INDIRECT(G$3),'Struktur Aktuell'!$D94,INDIRECT(G$5)))</f>
        <v>0</v>
      </c>
      <c r="H94" s="593">
        <f ca="1">$E94*(-SUMIF(INDIRECT(H$3),'Struktur Aktuell'!$D94,INDIRECT(H$4))+SUMIF(INDIRECT(H$3),'Struktur Aktuell'!$D94,INDIRECT(H$5)))</f>
        <v>0</v>
      </c>
      <c r="I94" s="593">
        <f ca="1">$E94*(-SUMIF(INDIRECT(I$3),'Struktur Aktuell'!$D94,INDIRECT(I$4))+SUMIF(INDIRECT(I$3),'Struktur Aktuell'!$D94,INDIRECT(I$5)))</f>
        <v>0</v>
      </c>
      <c r="J94" s="593">
        <f ca="1">$E94*(-SUMIF(INDIRECT(J$3),'Struktur Aktuell'!$D94,INDIRECT(J$4))+SUMIF(INDIRECT(J$3),'Struktur Aktuell'!$D94,INDIRECT(J$5)))</f>
        <v>0</v>
      </c>
      <c r="K94" s="593">
        <f ca="1">$E94*(-SUMIF(INDIRECT(K$3),'Struktur Aktuell'!$D94,INDIRECT(K$4))+SUMIF(INDIRECT(K$3),'Struktur Aktuell'!$D94,INDIRECT(K$5)))</f>
        <v>0</v>
      </c>
      <c r="L94" s="593">
        <f ca="1">$E94*(-SUMIF(INDIRECT(L$3),'Struktur Aktuell'!$D94,INDIRECT(L$4))+SUMIF(INDIRECT(L$3),'Struktur Aktuell'!$D94,INDIRECT(L$5)))</f>
        <v>0</v>
      </c>
      <c r="M94" s="593">
        <f ca="1">$E94*(-SUMIF(INDIRECT(M$3),'Struktur Aktuell'!$D94,INDIRECT(M$4))+SUMIF(INDIRECT(M$3),'Struktur Aktuell'!$D94,INDIRECT(M$5)))</f>
        <v>0</v>
      </c>
      <c r="N94" s="593">
        <f ca="1">$E94*(-SUMIF(INDIRECT(N$3),'Struktur Aktuell'!$D94,INDIRECT(N$4))+SUMIF(INDIRECT(N$3),'Struktur Aktuell'!$D94,INDIRECT(N$5)))</f>
        <v>0</v>
      </c>
      <c r="O94" s="593">
        <f ca="1">$E94*(-SUMIF(INDIRECT(O$3),'Struktur Aktuell'!$D94,INDIRECT(O$4))+SUMIF(INDIRECT(O$3),'Struktur Aktuell'!$D94,INDIRECT(O$5)))</f>
        <v>0</v>
      </c>
      <c r="P94" s="593">
        <f ca="1">$E94*(-SUMIF(INDIRECT(P$3),'Struktur Aktuell'!$D94,INDIRECT(P$4))+SUMIF(INDIRECT(P$3),'Struktur Aktuell'!$D94,INDIRECT(P$5)))</f>
        <v>0</v>
      </c>
      <c r="Q94" s="593">
        <f ca="1">$E94*(-SUMIF(INDIRECT(Q$3),'Struktur Aktuell'!$D94,INDIRECT(Q$4))+SUMIF(INDIRECT(Q$3),'Struktur Aktuell'!$D94,INDIRECT(Q$5)))</f>
        <v>0</v>
      </c>
      <c r="R94" s="593">
        <f ca="1">$E94*(-SUMIF(INDIRECT(R$3),'Struktur Aktuell'!$D94,INDIRECT(R$4))+SUMIF(INDIRECT(R$3),'Struktur Aktuell'!$D94,INDIRECT(R$5)))</f>
        <v>0</v>
      </c>
      <c r="S94" s="593">
        <f ca="1">$E94*(-SUMIF(INDIRECT(S$3),'Struktur Aktuell'!$D94,INDIRECT(S$4))+SUMIF(INDIRECT(S$3),'Struktur Aktuell'!$D94,INDIRECT(S$5)))</f>
        <v>0</v>
      </c>
      <c r="T94" s="593">
        <f ca="1">$E94*(-SUMIF(INDIRECT(T$3),'Struktur Aktuell'!$D94,INDIRECT(T$4))+SUMIF(INDIRECT(T$3),'Struktur Aktuell'!$D94,INDIRECT(T$5)))</f>
        <v>0</v>
      </c>
      <c r="U94" s="593">
        <f ca="1">$E94*(-SUMIF(INDIRECT(U$3),'Struktur Aktuell'!$D94,INDIRECT(U$4))+SUMIF(INDIRECT(U$3),'Struktur Aktuell'!$D94,INDIRECT(U$5)))</f>
        <v>0</v>
      </c>
      <c r="V94" s="593">
        <f ca="1">$E94*(-SUMIF(INDIRECT(V$3),'Struktur Aktuell'!$D94,INDIRECT(V$4))+SUMIF(INDIRECT(V$3),'Struktur Aktuell'!$D94,INDIRECT(V$5)))</f>
        <v>0</v>
      </c>
      <c r="W94" s="593">
        <f ca="1">$E94*(-SUMIF(INDIRECT(W$3),'Struktur Aktuell'!$D94,INDIRECT(W$4))+SUMIF(INDIRECT(W$3),'Struktur Aktuell'!$D94,INDIRECT(W$5)))</f>
        <v>0</v>
      </c>
      <c r="X94" s="593">
        <f ca="1">$E94*(-SUMIF(INDIRECT(X$3),'Struktur Aktuell'!$D94,INDIRECT(X$4))+SUMIF(INDIRECT(X$3),'Struktur Aktuell'!$D94,INDIRECT(X$5)))</f>
        <v>0</v>
      </c>
      <c r="Y94" s="593">
        <f ca="1">$E94*(-SUMIF(INDIRECT(Y$3),'Struktur Aktuell'!$D94,INDIRECT(Y$4))+SUMIF(INDIRECT(Y$3),'Struktur Aktuell'!$D94,INDIRECT(Y$5)))</f>
        <v>0</v>
      </c>
      <c r="Z94" s="593">
        <f ca="1">$E94*(-SUMIF(INDIRECT(Z$3),'Struktur Aktuell'!$D94,INDIRECT(Z$4))+SUMIF(INDIRECT(Z$3),'Struktur Aktuell'!$D94,INDIRECT(Z$5)))</f>
        <v>0</v>
      </c>
      <c r="AA94" s="593">
        <f ca="1">$E94*(-SUMIF(INDIRECT(AA$3),'Struktur Aktuell'!$D94,INDIRECT(AA$4))+SUMIF(INDIRECT(AA$3),'Struktur Aktuell'!$D94,INDIRECT(AA$5)))</f>
        <v>0</v>
      </c>
      <c r="AB94" s="593">
        <f ca="1">$E94*(-SUMIF(INDIRECT(AB$3),'Struktur Aktuell'!$D94,INDIRECT(AB$4))+SUMIF(INDIRECT(AB$3),'Struktur Aktuell'!$D94,INDIRECT(AB$5)))</f>
        <v>0</v>
      </c>
      <c r="AC94" s="593">
        <f ca="1">$E94*(-SUMIF(INDIRECT(AC$3),'Struktur Aktuell'!$D94,INDIRECT(AC$4))+SUMIF(INDIRECT(AC$3),'Struktur Aktuell'!$D94,INDIRECT(AC$5)))</f>
        <v>0</v>
      </c>
      <c r="AD94" s="593">
        <f ca="1">$E94*(-SUMIF(INDIRECT(AD$3),'Struktur Aktuell'!$D94,INDIRECT(AD$4))+SUMIF(INDIRECT(AD$3),'Struktur Aktuell'!$D94,INDIRECT(AD$5)))</f>
        <v>0</v>
      </c>
      <c r="AE94" s="593">
        <f t="shared" ca="1" si="123"/>
        <v>0</v>
      </c>
      <c r="AF94" s="593">
        <f t="shared" ca="1" si="124"/>
        <v>0</v>
      </c>
      <c r="AG94" s="593">
        <f t="shared" ca="1" si="125"/>
        <v>0</v>
      </c>
      <c r="AH94" s="593">
        <f t="shared" ca="1" si="126"/>
        <v>0</v>
      </c>
      <c r="AI94" s="593">
        <f t="shared" ca="1" si="127"/>
        <v>0</v>
      </c>
      <c r="AJ94" s="593">
        <f t="shared" ca="1" si="128"/>
        <v>0</v>
      </c>
      <c r="AK94" s="593">
        <f t="shared" ca="1" si="129"/>
        <v>0</v>
      </c>
      <c r="AL94" s="593">
        <f t="shared" ca="1" si="130"/>
        <v>0</v>
      </c>
      <c r="AM94" s="593">
        <f t="shared" ca="1" si="131"/>
        <v>0</v>
      </c>
      <c r="AN94" s="593">
        <f t="shared" ca="1" si="132"/>
        <v>0</v>
      </c>
      <c r="AO94" s="593">
        <f t="shared" ca="1" si="133"/>
        <v>0</v>
      </c>
      <c r="AP94" s="593">
        <f t="shared" ca="1" si="134"/>
        <v>0</v>
      </c>
    </row>
    <row r="95" spans="1:42" s="594" customFormat="1" ht="11.25" outlineLevel="1" x14ac:dyDescent="0.2">
      <c r="A95" s="599"/>
      <c r="B95" s="591" t="str">
        <f>IF(D95&lt;&gt;"",
IF(ISERROR(MATCH(D95,'Ist Aktuell Monat 01'!A:A,0))=FALSE,INDEX('Ist Aktuell Monat 01'!B:B,MATCH(D95,'Ist Aktuell Monat 01'!A:A,0)),
IF(ISERROR(MATCH(D95,'Ist Aktuell Monat 02'!A:A,0))=FALSE,INDEX('Ist Aktuell Monat 02'!B:B,MATCH(D95,'Ist Aktuell Monat 02'!A:A,0)),
IF(ISERROR(MATCH(D95,'Ist Aktuell Monat 03'!A:A,0))=FALSE,INDEX('Ist Aktuell Monat 03'!B:B,MATCH(D95,'Ist Aktuell Monat 03'!A:A,0)),
IF(ISERROR(MATCH(D95,'Ist Aktuell Monat 04'!A:A,0))=FALSE,INDEX('Ist Aktuell Monat 04'!B:B,MATCH(D95,'Ist Aktuell Monat 04'!A:A,0)),
IF(ISERROR(MATCH(D95,'Ist Aktuell Monat 05'!A:A,0))=FALSE,INDEX('Ist Aktuell Monat 05'!B:B,MATCH(D95,'Ist Aktuell Monat 05'!A:A,0)),
IF(ISERROR(MATCH(D95,'Ist Aktuell Monat 06'!A:A,0))=FALSE,INDEX('Ist Aktuell Monat 06'!B:B,MATCH(D95,'Ist Aktuell Monat 06'!A:A,0)),
IF(ISERROR(MATCH(D95,'Ist Aktuell Monat 07'!A:A,0))=FALSE,INDEX('Ist Aktuell Monat 07'!B:B,MATCH(D95,'Ist Aktuell Monat 07'!A:A,0)),
IF(ISERROR(MATCH(D95,'Ist Aktuell Monat 08'!A:A,0))=FALSE,INDEX('Ist Aktuell Monat 08'!B:B,MATCH(D95,'Ist Aktuell Monat 08'!A:A,0)),
IF(ISERROR(MATCH(D95,'Ist Aktuell Monat 09'!A:A,0))=FALSE,INDEX('Ist Aktuell Monat 09'!B:B,MATCH(D95,'Ist Aktuell Monat 09'!A:A,0)),
IF(ISERROR(MATCH(D95,'Ist Aktuell Monat 10'!A:A,0))=FALSE,INDEX('Ist Aktuell Monat 10'!B:B,MATCH(D95,'Ist Aktuell Monat 10'!A:A,0)),
IF(ISERROR(MATCH(D95,'Ist Aktuell Monat 11'!A:A,0))=FALSE,INDEX('Ist Aktuell Monat 11'!B:B,MATCH(D95,'Ist Aktuell Monat 11'!A:A,0)),
IF(ISERROR(MATCH(D95,'Ist Aktuell Monat 12'!A:A,0))=FALSE,INDEX('Ist Aktuell Monat 12'!B:B,MATCH(D95,'Ist Aktuell Monat 12'!A:A,0)),
"{Konto unbekannt}"
)))))))))))),"")</f>
        <v/>
      </c>
      <c r="C95" s="591"/>
      <c r="D95" s="590"/>
      <c r="E95" s="592">
        <f t="shared" si="77"/>
        <v>-1</v>
      </c>
      <c r="F95" s="599" t="s">
        <v>996</v>
      </c>
      <c r="G95" s="593">
        <f ca="1">$E95*(-SUMIF(INDIRECT(G$3),'Struktur Aktuell'!$D95,INDIRECT(G$4))+SUMIF(INDIRECT(G$3),'Struktur Aktuell'!$D95,INDIRECT(G$5)))</f>
        <v>0</v>
      </c>
      <c r="H95" s="593">
        <f ca="1">$E95*(-SUMIF(INDIRECT(H$3),'Struktur Aktuell'!$D95,INDIRECT(H$4))+SUMIF(INDIRECT(H$3),'Struktur Aktuell'!$D95,INDIRECT(H$5)))</f>
        <v>0</v>
      </c>
      <c r="I95" s="593">
        <f ca="1">$E95*(-SUMIF(INDIRECT(I$3),'Struktur Aktuell'!$D95,INDIRECT(I$4))+SUMIF(INDIRECT(I$3),'Struktur Aktuell'!$D95,INDIRECT(I$5)))</f>
        <v>0</v>
      </c>
      <c r="J95" s="593">
        <f ca="1">$E95*(-SUMIF(INDIRECT(J$3),'Struktur Aktuell'!$D95,INDIRECT(J$4))+SUMIF(INDIRECT(J$3),'Struktur Aktuell'!$D95,INDIRECT(J$5)))</f>
        <v>0</v>
      </c>
      <c r="K95" s="593">
        <f ca="1">$E95*(-SUMIF(INDIRECT(K$3),'Struktur Aktuell'!$D95,INDIRECT(K$4))+SUMIF(INDIRECT(K$3),'Struktur Aktuell'!$D95,INDIRECT(K$5)))</f>
        <v>0</v>
      </c>
      <c r="L95" s="593">
        <f ca="1">$E95*(-SUMIF(INDIRECT(L$3),'Struktur Aktuell'!$D95,INDIRECT(L$4))+SUMIF(INDIRECT(L$3),'Struktur Aktuell'!$D95,INDIRECT(L$5)))</f>
        <v>0</v>
      </c>
      <c r="M95" s="593">
        <f ca="1">$E95*(-SUMIF(INDIRECT(M$3),'Struktur Aktuell'!$D95,INDIRECT(M$4))+SUMIF(INDIRECT(M$3),'Struktur Aktuell'!$D95,INDIRECT(M$5)))</f>
        <v>0</v>
      </c>
      <c r="N95" s="593">
        <f ca="1">$E95*(-SUMIF(INDIRECT(N$3),'Struktur Aktuell'!$D95,INDIRECT(N$4))+SUMIF(INDIRECT(N$3),'Struktur Aktuell'!$D95,INDIRECT(N$5)))</f>
        <v>0</v>
      </c>
      <c r="O95" s="593">
        <f ca="1">$E95*(-SUMIF(INDIRECT(O$3),'Struktur Aktuell'!$D95,INDIRECT(O$4))+SUMIF(INDIRECT(O$3),'Struktur Aktuell'!$D95,INDIRECT(O$5)))</f>
        <v>0</v>
      </c>
      <c r="P95" s="593">
        <f ca="1">$E95*(-SUMIF(INDIRECT(P$3),'Struktur Aktuell'!$D95,INDIRECT(P$4))+SUMIF(INDIRECT(P$3),'Struktur Aktuell'!$D95,INDIRECT(P$5)))</f>
        <v>0</v>
      </c>
      <c r="Q95" s="593">
        <f ca="1">$E95*(-SUMIF(INDIRECT(Q$3),'Struktur Aktuell'!$D95,INDIRECT(Q$4))+SUMIF(INDIRECT(Q$3),'Struktur Aktuell'!$D95,INDIRECT(Q$5)))</f>
        <v>0</v>
      </c>
      <c r="R95" s="593">
        <f ca="1">$E95*(-SUMIF(INDIRECT(R$3),'Struktur Aktuell'!$D95,INDIRECT(R$4))+SUMIF(INDIRECT(R$3),'Struktur Aktuell'!$D95,INDIRECT(R$5)))</f>
        <v>0</v>
      </c>
      <c r="S95" s="593">
        <f ca="1">$E95*(-SUMIF(INDIRECT(S$3),'Struktur Aktuell'!$D95,INDIRECT(S$4))+SUMIF(INDIRECT(S$3),'Struktur Aktuell'!$D95,INDIRECT(S$5)))</f>
        <v>0</v>
      </c>
      <c r="T95" s="593">
        <f ca="1">$E95*(-SUMIF(INDIRECT(T$3),'Struktur Aktuell'!$D95,INDIRECT(T$4))+SUMIF(INDIRECT(T$3),'Struktur Aktuell'!$D95,INDIRECT(T$5)))</f>
        <v>0</v>
      </c>
      <c r="U95" s="593">
        <f ca="1">$E95*(-SUMIF(INDIRECT(U$3),'Struktur Aktuell'!$D95,INDIRECT(U$4))+SUMIF(INDIRECT(U$3),'Struktur Aktuell'!$D95,INDIRECT(U$5)))</f>
        <v>0</v>
      </c>
      <c r="V95" s="593">
        <f ca="1">$E95*(-SUMIF(INDIRECT(V$3),'Struktur Aktuell'!$D95,INDIRECT(V$4))+SUMIF(INDIRECT(V$3),'Struktur Aktuell'!$D95,INDIRECT(V$5)))</f>
        <v>0</v>
      </c>
      <c r="W95" s="593">
        <f ca="1">$E95*(-SUMIF(INDIRECT(W$3),'Struktur Aktuell'!$D95,INDIRECT(W$4))+SUMIF(INDIRECT(W$3),'Struktur Aktuell'!$D95,INDIRECT(W$5)))</f>
        <v>0</v>
      </c>
      <c r="X95" s="593">
        <f ca="1">$E95*(-SUMIF(INDIRECT(X$3),'Struktur Aktuell'!$D95,INDIRECT(X$4))+SUMIF(INDIRECT(X$3),'Struktur Aktuell'!$D95,INDIRECT(X$5)))</f>
        <v>0</v>
      </c>
      <c r="Y95" s="593">
        <f ca="1">$E95*(-SUMIF(INDIRECT(Y$3),'Struktur Aktuell'!$D95,INDIRECT(Y$4))+SUMIF(INDIRECT(Y$3),'Struktur Aktuell'!$D95,INDIRECT(Y$5)))</f>
        <v>0</v>
      </c>
      <c r="Z95" s="593">
        <f ca="1">$E95*(-SUMIF(INDIRECT(Z$3),'Struktur Aktuell'!$D95,INDIRECT(Z$4))+SUMIF(INDIRECT(Z$3),'Struktur Aktuell'!$D95,INDIRECT(Z$5)))</f>
        <v>0</v>
      </c>
      <c r="AA95" s="593">
        <f ca="1">$E95*(-SUMIF(INDIRECT(AA$3),'Struktur Aktuell'!$D95,INDIRECT(AA$4))+SUMIF(INDIRECT(AA$3),'Struktur Aktuell'!$D95,INDIRECT(AA$5)))</f>
        <v>0</v>
      </c>
      <c r="AB95" s="593">
        <f ca="1">$E95*(-SUMIF(INDIRECT(AB$3),'Struktur Aktuell'!$D95,INDIRECT(AB$4))+SUMIF(INDIRECT(AB$3),'Struktur Aktuell'!$D95,INDIRECT(AB$5)))</f>
        <v>0</v>
      </c>
      <c r="AC95" s="593">
        <f ca="1">$E95*(-SUMIF(INDIRECT(AC$3),'Struktur Aktuell'!$D95,INDIRECT(AC$4))+SUMIF(INDIRECT(AC$3),'Struktur Aktuell'!$D95,INDIRECT(AC$5)))</f>
        <v>0</v>
      </c>
      <c r="AD95" s="593">
        <f ca="1">$E95*(-SUMIF(INDIRECT(AD$3),'Struktur Aktuell'!$D95,INDIRECT(AD$4))+SUMIF(INDIRECT(AD$3),'Struktur Aktuell'!$D95,INDIRECT(AD$5)))</f>
        <v>0</v>
      </c>
      <c r="AE95" s="593">
        <f t="shared" ca="1" si="123"/>
        <v>0</v>
      </c>
      <c r="AF95" s="593">
        <f t="shared" ca="1" si="124"/>
        <v>0</v>
      </c>
      <c r="AG95" s="593">
        <f t="shared" ca="1" si="125"/>
        <v>0</v>
      </c>
      <c r="AH95" s="593">
        <f t="shared" ca="1" si="126"/>
        <v>0</v>
      </c>
      <c r="AI95" s="593">
        <f t="shared" ca="1" si="127"/>
        <v>0</v>
      </c>
      <c r="AJ95" s="593">
        <f t="shared" ca="1" si="128"/>
        <v>0</v>
      </c>
      <c r="AK95" s="593">
        <f t="shared" ca="1" si="129"/>
        <v>0</v>
      </c>
      <c r="AL95" s="593">
        <f t="shared" ca="1" si="130"/>
        <v>0</v>
      </c>
      <c r="AM95" s="593">
        <f t="shared" ca="1" si="131"/>
        <v>0</v>
      </c>
      <c r="AN95" s="593">
        <f t="shared" ca="1" si="132"/>
        <v>0</v>
      </c>
      <c r="AO95" s="593">
        <f t="shared" ca="1" si="133"/>
        <v>0</v>
      </c>
      <c r="AP95" s="593">
        <f t="shared" ca="1" si="134"/>
        <v>0</v>
      </c>
    </row>
    <row r="96" spans="1:42" s="594" customFormat="1" ht="11.25" outlineLevel="1" x14ac:dyDescent="0.2">
      <c r="A96" s="599"/>
      <c r="B96" s="591" t="str">
        <f>IF(D96&lt;&gt;"",
IF(ISERROR(MATCH(D96,'Ist Aktuell Monat 01'!A:A,0))=FALSE,INDEX('Ist Aktuell Monat 01'!B:B,MATCH(D96,'Ist Aktuell Monat 01'!A:A,0)),
IF(ISERROR(MATCH(D96,'Ist Aktuell Monat 02'!A:A,0))=FALSE,INDEX('Ist Aktuell Monat 02'!B:B,MATCH(D96,'Ist Aktuell Monat 02'!A:A,0)),
IF(ISERROR(MATCH(D96,'Ist Aktuell Monat 03'!A:A,0))=FALSE,INDEX('Ist Aktuell Monat 03'!B:B,MATCH(D96,'Ist Aktuell Monat 03'!A:A,0)),
IF(ISERROR(MATCH(D96,'Ist Aktuell Monat 04'!A:A,0))=FALSE,INDEX('Ist Aktuell Monat 04'!B:B,MATCH(D96,'Ist Aktuell Monat 04'!A:A,0)),
IF(ISERROR(MATCH(D96,'Ist Aktuell Monat 05'!A:A,0))=FALSE,INDEX('Ist Aktuell Monat 05'!B:B,MATCH(D96,'Ist Aktuell Monat 05'!A:A,0)),
IF(ISERROR(MATCH(D96,'Ist Aktuell Monat 06'!A:A,0))=FALSE,INDEX('Ist Aktuell Monat 06'!B:B,MATCH(D96,'Ist Aktuell Monat 06'!A:A,0)),
IF(ISERROR(MATCH(D96,'Ist Aktuell Monat 07'!A:A,0))=FALSE,INDEX('Ist Aktuell Monat 07'!B:B,MATCH(D96,'Ist Aktuell Monat 07'!A:A,0)),
IF(ISERROR(MATCH(D96,'Ist Aktuell Monat 08'!A:A,0))=FALSE,INDEX('Ist Aktuell Monat 08'!B:B,MATCH(D96,'Ist Aktuell Monat 08'!A:A,0)),
IF(ISERROR(MATCH(D96,'Ist Aktuell Monat 09'!A:A,0))=FALSE,INDEX('Ist Aktuell Monat 09'!B:B,MATCH(D96,'Ist Aktuell Monat 09'!A:A,0)),
IF(ISERROR(MATCH(D96,'Ist Aktuell Monat 10'!A:A,0))=FALSE,INDEX('Ist Aktuell Monat 10'!B:B,MATCH(D96,'Ist Aktuell Monat 10'!A:A,0)),
IF(ISERROR(MATCH(D96,'Ist Aktuell Monat 11'!A:A,0))=FALSE,INDEX('Ist Aktuell Monat 11'!B:B,MATCH(D96,'Ist Aktuell Monat 11'!A:A,0)),
IF(ISERROR(MATCH(D96,'Ist Aktuell Monat 12'!A:A,0))=FALSE,INDEX('Ist Aktuell Monat 12'!B:B,MATCH(D96,'Ist Aktuell Monat 12'!A:A,0)),
"{Konto unbekannt}"
)))))))))))),"")</f>
        <v/>
      </c>
      <c r="C96" s="591"/>
      <c r="D96" s="590"/>
      <c r="E96" s="592">
        <f t="shared" si="77"/>
        <v>-1</v>
      </c>
      <c r="F96" s="599" t="s">
        <v>996</v>
      </c>
      <c r="G96" s="593">
        <f ca="1">$E96*(-SUMIF(INDIRECT(G$3),'Struktur Aktuell'!$D96,INDIRECT(G$4))+SUMIF(INDIRECT(G$3),'Struktur Aktuell'!$D96,INDIRECT(G$5)))</f>
        <v>0</v>
      </c>
      <c r="H96" s="593">
        <f ca="1">$E96*(-SUMIF(INDIRECT(H$3),'Struktur Aktuell'!$D96,INDIRECT(H$4))+SUMIF(INDIRECT(H$3),'Struktur Aktuell'!$D96,INDIRECT(H$5)))</f>
        <v>0</v>
      </c>
      <c r="I96" s="593">
        <f ca="1">$E96*(-SUMIF(INDIRECT(I$3),'Struktur Aktuell'!$D96,INDIRECT(I$4))+SUMIF(INDIRECT(I$3),'Struktur Aktuell'!$D96,INDIRECT(I$5)))</f>
        <v>0</v>
      </c>
      <c r="J96" s="593">
        <f ca="1">$E96*(-SUMIF(INDIRECT(J$3),'Struktur Aktuell'!$D96,INDIRECT(J$4))+SUMIF(INDIRECT(J$3),'Struktur Aktuell'!$D96,INDIRECT(J$5)))</f>
        <v>0</v>
      </c>
      <c r="K96" s="593">
        <f ca="1">$E96*(-SUMIF(INDIRECT(K$3),'Struktur Aktuell'!$D96,INDIRECT(K$4))+SUMIF(INDIRECT(K$3),'Struktur Aktuell'!$D96,INDIRECT(K$5)))</f>
        <v>0</v>
      </c>
      <c r="L96" s="593">
        <f ca="1">$E96*(-SUMIF(INDIRECT(L$3),'Struktur Aktuell'!$D96,INDIRECT(L$4))+SUMIF(INDIRECT(L$3),'Struktur Aktuell'!$D96,INDIRECT(L$5)))</f>
        <v>0</v>
      </c>
      <c r="M96" s="593">
        <f ca="1">$E96*(-SUMIF(INDIRECT(M$3),'Struktur Aktuell'!$D96,INDIRECT(M$4))+SUMIF(INDIRECT(M$3),'Struktur Aktuell'!$D96,INDIRECT(M$5)))</f>
        <v>0</v>
      </c>
      <c r="N96" s="593">
        <f ca="1">$E96*(-SUMIF(INDIRECT(N$3),'Struktur Aktuell'!$D96,INDIRECT(N$4))+SUMIF(INDIRECT(N$3),'Struktur Aktuell'!$D96,INDIRECT(N$5)))</f>
        <v>0</v>
      </c>
      <c r="O96" s="593">
        <f ca="1">$E96*(-SUMIF(INDIRECT(O$3),'Struktur Aktuell'!$D96,INDIRECT(O$4))+SUMIF(INDIRECT(O$3),'Struktur Aktuell'!$D96,INDIRECT(O$5)))</f>
        <v>0</v>
      </c>
      <c r="P96" s="593">
        <f ca="1">$E96*(-SUMIF(INDIRECT(P$3),'Struktur Aktuell'!$D96,INDIRECT(P$4))+SUMIF(INDIRECT(P$3),'Struktur Aktuell'!$D96,INDIRECT(P$5)))</f>
        <v>0</v>
      </c>
      <c r="Q96" s="593">
        <f ca="1">$E96*(-SUMIF(INDIRECT(Q$3),'Struktur Aktuell'!$D96,INDIRECT(Q$4))+SUMIF(INDIRECT(Q$3),'Struktur Aktuell'!$D96,INDIRECT(Q$5)))</f>
        <v>0</v>
      </c>
      <c r="R96" s="593">
        <f ca="1">$E96*(-SUMIF(INDIRECT(R$3),'Struktur Aktuell'!$D96,INDIRECT(R$4))+SUMIF(INDIRECT(R$3),'Struktur Aktuell'!$D96,INDIRECT(R$5)))</f>
        <v>0</v>
      </c>
      <c r="S96" s="593">
        <f ca="1">$E96*(-SUMIF(INDIRECT(S$3),'Struktur Aktuell'!$D96,INDIRECT(S$4))+SUMIF(INDIRECT(S$3),'Struktur Aktuell'!$D96,INDIRECT(S$5)))</f>
        <v>0</v>
      </c>
      <c r="T96" s="593">
        <f ca="1">$E96*(-SUMIF(INDIRECT(T$3),'Struktur Aktuell'!$D96,INDIRECT(T$4))+SUMIF(INDIRECT(T$3),'Struktur Aktuell'!$D96,INDIRECT(T$5)))</f>
        <v>0</v>
      </c>
      <c r="U96" s="593">
        <f ca="1">$E96*(-SUMIF(INDIRECT(U$3),'Struktur Aktuell'!$D96,INDIRECT(U$4))+SUMIF(INDIRECT(U$3),'Struktur Aktuell'!$D96,INDIRECT(U$5)))</f>
        <v>0</v>
      </c>
      <c r="V96" s="593">
        <f ca="1">$E96*(-SUMIF(INDIRECT(V$3),'Struktur Aktuell'!$D96,INDIRECT(V$4))+SUMIF(INDIRECT(V$3),'Struktur Aktuell'!$D96,INDIRECT(V$5)))</f>
        <v>0</v>
      </c>
      <c r="W96" s="593">
        <f ca="1">$E96*(-SUMIF(INDIRECT(W$3),'Struktur Aktuell'!$D96,INDIRECT(W$4))+SUMIF(INDIRECT(W$3),'Struktur Aktuell'!$D96,INDIRECT(W$5)))</f>
        <v>0</v>
      </c>
      <c r="X96" s="593">
        <f ca="1">$E96*(-SUMIF(INDIRECT(X$3),'Struktur Aktuell'!$D96,INDIRECT(X$4))+SUMIF(INDIRECT(X$3),'Struktur Aktuell'!$D96,INDIRECT(X$5)))</f>
        <v>0</v>
      </c>
      <c r="Y96" s="593">
        <f ca="1">$E96*(-SUMIF(INDIRECT(Y$3),'Struktur Aktuell'!$D96,INDIRECT(Y$4))+SUMIF(INDIRECT(Y$3),'Struktur Aktuell'!$D96,INDIRECT(Y$5)))</f>
        <v>0</v>
      </c>
      <c r="Z96" s="593">
        <f ca="1">$E96*(-SUMIF(INDIRECT(Z$3),'Struktur Aktuell'!$D96,INDIRECT(Z$4))+SUMIF(INDIRECT(Z$3),'Struktur Aktuell'!$D96,INDIRECT(Z$5)))</f>
        <v>0</v>
      </c>
      <c r="AA96" s="593">
        <f ca="1">$E96*(-SUMIF(INDIRECT(AA$3),'Struktur Aktuell'!$D96,INDIRECT(AA$4))+SUMIF(INDIRECT(AA$3),'Struktur Aktuell'!$D96,INDIRECT(AA$5)))</f>
        <v>0</v>
      </c>
      <c r="AB96" s="593">
        <f ca="1">$E96*(-SUMIF(INDIRECT(AB$3),'Struktur Aktuell'!$D96,INDIRECT(AB$4))+SUMIF(INDIRECT(AB$3),'Struktur Aktuell'!$D96,INDIRECT(AB$5)))</f>
        <v>0</v>
      </c>
      <c r="AC96" s="593">
        <f ca="1">$E96*(-SUMIF(INDIRECT(AC$3),'Struktur Aktuell'!$D96,INDIRECT(AC$4))+SUMIF(INDIRECT(AC$3),'Struktur Aktuell'!$D96,INDIRECT(AC$5)))</f>
        <v>0</v>
      </c>
      <c r="AD96" s="593">
        <f ca="1">$E96*(-SUMIF(INDIRECT(AD$3),'Struktur Aktuell'!$D96,INDIRECT(AD$4))+SUMIF(INDIRECT(AD$3),'Struktur Aktuell'!$D96,INDIRECT(AD$5)))</f>
        <v>0</v>
      </c>
      <c r="AE96" s="593">
        <f t="shared" ca="1" si="123"/>
        <v>0</v>
      </c>
      <c r="AF96" s="593">
        <f t="shared" ca="1" si="124"/>
        <v>0</v>
      </c>
      <c r="AG96" s="593">
        <f t="shared" ca="1" si="125"/>
        <v>0</v>
      </c>
      <c r="AH96" s="593">
        <f t="shared" ca="1" si="126"/>
        <v>0</v>
      </c>
      <c r="AI96" s="593">
        <f t="shared" ca="1" si="127"/>
        <v>0</v>
      </c>
      <c r="AJ96" s="593">
        <f t="shared" ca="1" si="128"/>
        <v>0</v>
      </c>
      <c r="AK96" s="593">
        <f t="shared" ca="1" si="129"/>
        <v>0</v>
      </c>
      <c r="AL96" s="593">
        <f t="shared" ca="1" si="130"/>
        <v>0</v>
      </c>
      <c r="AM96" s="593">
        <f t="shared" ca="1" si="131"/>
        <v>0</v>
      </c>
      <c r="AN96" s="593">
        <f t="shared" ca="1" si="132"/>
        <v>0</v>
      </c>
      <c r="AO96" s="593">
        <f t="shared" ca="1" si="133"/>
        <v>0</v>
      </c>
      <c r="AP96" s="593">
        <f t="shared" ca="1" si="134"/>
        <v>0</v>
      </c>
    </row>
    <row r="97" spans="1:42" s="594" customFormat="1" ht="11.25" outlineLevel="1" x14ac:dyDescent="0.2">
      <c r="A97" s="599"/>
      <c r="B97" s="591" t="str">
        <f>IF(D97&lt;&gt;"",
IF(ISERROR(MATCH(D97,'Ist Aktuell Monat 01'!A:A,0))=FALSE,INDEX('Ist Aktuell Monat 01'!B:B,MATCH(D97,'Ist Aktuell Monat 01'!A:A,0)),
IF(ISERROR(MATCH(D97,'Ist Aktuell Monat 02'!A:A,0))=FALSE,INDEX('Ist Aktuell Monat 02'!B:B,MATCH(D97,'Ist Aktuell Monat 02'!A:A,0)),
IF(ISERROR(MATCH(D97,'Ist Aktuell Monat 03'!A:A,0))=FALSE,INDEX('Ist Aktuell Monat 03'!B:B,MATCH(D97,'Ist Aktuell Monat 03'!A:A,0)),
IF(ISERROR(MATCH(D97,'Ist Aktuell Monat 04'!A:A,0))=FALSE,INDEX('Ist Aktuell Monat 04'!B:B,MATCH(D97,'Ist Aktuell Monat 04'!A:A,0)),
IF(ISERROR(MATCH(D97,'Ist Aktuell Monat 05'!A:A,0))=FALSE,INDEX('Ist Aktuell Monat 05'!B:B,MATCH(D97,'Ist Aktuell Monat 05'!A:A,0)),
IF(ISERROR(MATCH(D97,'Ist Aktuell Monat 06'!A:A,0))=FALSE,INDEX('Ist Aktuell Monat 06'!B:B,MATCH(D97,'Ist Aktuell Monat 06'!A:A,0)),
IF(ISERROR(MATCH(D97,'Ist Aktuell Monat 07'!A:A,0))=FALSE,INDEX('Ist Aktuell Monat 07'!B:B,MATCH(D97,'Ist Aktuell Monat 07'!A:A,0)),
IF(ISERROR(MATCH(D97,'Ist Aktuell Monat 08'!A:A,0))=FALSE,INDEX('Ist Aktuell Monat 08'!B:B,MATCH(D97,'Ist Aktuell Monat 08'!A:A,0)),
IF(ISERROR(MATCH(D97,'Ist Aktuell Monat 09'!A:A,0))=FALSE,INDEX('Ist Aktuell Monat 09'!B:B,MATCH(D97,'Ist Aktuell Monat 09'!A:A,0)),
IF(ISERROR(MATCH(D97,'Ist Aktuell Monat 10'!A:A,0))=FALSE,INDEX('Ist Aktuell Monat 10'!B:B,MATCH(D97,'Ist Aktuell Monat 10'!A:A,0)),
IF(ISERROR(MATCH(D97,'Ist Aktuell Monat 11'!A:A,0))=FALSE,INDEX('Ist Aktuell Monat 11'!B:B,MATCH(D97,'Ist Aktuell Monat 11'!A:A,0)),
IF(ISERROR(MATCH(D97,'Ist Aktuell Monat 12'!A:A,0))=FALSE,INDEX('Ist Aktuell Monat 12'!B:B,MATCH(D97,'Ist Aktuell Monat 12'!A:A,0)),
"{Konto unbekannt}"
)))))))))))),"")</f>
        <v/>
      </c>
      <c r="C97" s="591"/>
      <c r="D97" s="590"/>
      <c r="E97" s="592">
        <f t="shared" si="77"/>
        <v>-1</v>
      </c>
      <c r="F97" s="599" t="s">
        <v>996</v>
      </c>
      <c r="G97" s="593">
        <f ca="1">$E97*(-SUMIF(INDIRECT(G$3),'Struktur Aktuell'!$D97,INDIRECT(G$4))+SUMIF(INDIRECT(G$3),'Struktur Aktuell'!$D97,INDIRECT(G$5)))</f>
        <v>0</v>
      </c>
      <c r="H97" s="593">
        <f ca="1">$E97*(-SUMIF(INDIRECT(H$3),'Struktur Aktuell'!$D97,INDIRECT(H$4))+SUMIF(INDIRECT(H$3),'Struktur Aktuell'!$D97,INDIRECT(H$5)))</f>
        <v>0</v>
      </c>
      <c r="I97" s="593">
        <f ca="1">$E97*(-SUMIF(INDIRECT(I$3),'Struktur Aktuell'!$D97,INDIRECT(I$4))+SUMIF(INDIRECT(I$3),'Struktur Aktuell'!$D97,INDIRECT(I$5)))</f>
        <v>0</v>
      </c>
      <c r="J97" s="593">
        <f ca="1">$E97*(-SUMIF(INDIRECT(J$3),'Struktur Aktuell'!$D97,INDIRECT(J$4))+SUMIF(INDIRECT(J$3),'Struktur Aktuell'!$D97,INDIRECT(J$5)))</f>
        <v>0</v>
      </c>
      <c r="K97" s="593">
        <f ca="1">$E97*(-SUMIF(INDIRECT(K$3),'Struktur Aktuell'!$D97,INDIRECT(K$4))+SUMIF(INDIRECT(K$3),'Struktur Aktuell'!$D97,INDIRECT(K$5)))</f>
        <v>0</v>
      </c>
      <c r="L97" s="593">
        <f ca="1">$E97*(-SUMIF(INDIRECT(L$3),'Struktur Aktuell'!$D97,INDIRECT(L$4))+SUMIF(INDIRECT(L$3),'Struktur Aktuell'!$D97,INDIRECT(L$5)))</f>
        <v>0</v>
      </c>
      <c r="M97" s="593">
        <f ca="1">$E97*(-SUMIF(INDIRECT(M$3),'Struktur Aktuell'!$D97,INDIRECT(M$4))+SUMIF(INDIRECT(M$3),'Struktur Aktuell'!$D97,INDIRECT(M$5)))</f>
        <v>0</v>
      </c>
      <c r="N97" s="593">
        <f ca="1">$E97*(-SUMIF(INDIRECT(N$3),'Struktur Aktuell'!$D97,INDIRECT(N$4))+SUMIF(INDIRECT(N$3),'Struktur Aktuell'!$D97,INDIRECT(N$5)))</f>
        <v>0</v>
      </c>
      <c r="O97" s="593">
        <f ca="1">$E97*(-SUMIF(INDIRECT(O$3),'Struktur Aktuell'!$D97,INDIRECT(O$4))+SUMIF(INDIRECT(O$3),'Struktur Aktuell'!$D97,INDIRECT(O$5)))</f>
        <v>0</v>
      </c>
      <c r="P97" s="593">
        <f ca="1">$E97*(-SUMIF(INDIRECT(P$3),'Struktur Aktuell'!$D97,INDIRECT(P$4))+SUMIF(INDIRECT(P$3),'Struktur Aktuell'!$D97,INDIRECT(P$5)))</f>
        <v>0</v>
      </c>
      <c r="Q97" s="593">
        <f ca="1">$E97*(-SUMIF(INDIRECT(Q$3),'Struktur Aktuell'!$D97,INDIRECT(Q$4))+SUMIF(INDIRECT(Q$3),'Struktur Aktuell'!$D97,INDIRECT(Q$5)))</f>
        <v>0</v>
      </c>
      <c r="R97" s="593">
        <f ca="1">$E97*(-SUMIF(INDIRECT(R$3),'Struktur Aktuell'!$D97,INDIRECT(R$4))+SUMIF(INDIRECT(R$3),'Struktur Aktuell'!$D97,INDIRECT(R$5)))</f>
        <v>0</v>
      </c>
      <c r="S97" s="593">
        <f ca="1">$E97*(-SUMIF(INDIRECT(S$3),'Struktur Aktuell'!$D97,INDIRECT(S$4))+SUMIF(INDIRECT(S$3),'Struktur Aktuell'!$D97,INDIRECT(S$5)))</f>
        <v>0</v>
      </c>
      <c r="T97" s="593">
        <f ca="1">$E97*(-SUMIF(INDIRECT(T$3),'Struktur Aktuell'!$D97,INDIRECT(T$4))+SUMIF(INDIRECT(T$3),'Struktur Aktuell'!$D97,INDIRECT(T$5)))</f>
        <v>0</v>
      </c>
      <c r="U97" s="593">
        <f ca="1">$E97*(-SUMIF(INDIRECT(U$3),'Struktur Aktuell'!$D97,INDIRECT(U$4))+SUMIF(INDIRECT(U$3),'Struktur Aktuell'!$D97,INDIRECT(U$5)))</f>
        <v>0</v>
      </c>
      <c r="V97" s="593">
        <f ca="1">$E97*(-SUMIF(INDIRECT(V$3),'Struktur Aktuell'!$D97,INDIRECT(V$4))+SUMIF(INDIRECT(V$3),'Struktur Aktuell'!$D97,INDIRECT(V$5)))</f>
        <v>0</v>
      </c>
      <c r="W97" s="593">
        <f ca="1">$E97*(-SUMIF(INDIRECT(W$3),'Struktur Aktuell'!$D97,INDIRECT(W$4))+SUMIF(INDIRECT(W$3),'Struktur Aktuell'!$D97,INDIRECT(W$5)))</f>
        <v>0</v>
      </c>
      <c r="X97" s="593">
        <f ca="1">$E97*(-SUMIF(INDIRECT(X$3),'Struktur Aktuell'!$D97,INDIRECT(X$4))+SUMIF(INDIRECT(X$3),'Struktur Aktuell'!$D97,INDIRECT(X$5)))</f>
        <v>0</v>
      </c>
      <c r="Y97" s="593">
        <f ca="1">$E97*(-SUMIF(INDIRECT(Y$3),'Struktur Aktuell'!$D97,INDIRECT(Y$4))+SUMIF(INDIRECT(Y$3),'Struktur Aktuell'!$D97,INDIRECT(Y$5)))</f>
        <v>0</v>
      </c>
      <c r="Z97" s="593">
        <f ca="1">$E97*(-SUMIF(INDIRECT(Z$3),'Struktur Aktuell'!$D97,INDIRECT(Z$4))+SUMIF(INDIRECT(Z$3),'Struktur Aktuell'!$D97,INDIRECT(Z$5)))</f>
        <v>0</v>
      </c>
      <c r="AA97" s="593">
        <f ca="1">$E97*(-SUMIF(INDIRECT(AA$3),'Struktur Aktuell'!$D97,INDIRECT(AA$4))+SUMIF(INDIRECT(AA$3),'Struktur Aktuell'!$D97,INDIRECT(AA$5)))</f>
        <v>0</v>
      </c>
      <c r="AB97" s="593">
        <f ca="1">$E97*(-SUMIF(INDIRECT(AB$3),'Struktur Aktuell'!$D97,INDIRECT(AB$4))+SUMIF(INDIRECT(AB$3),'Struktur Aktuell'!$D97,INDIRECT(AB$5)))</f>
        <v>0</v>
      </c>
      <c r="AC97" s="593">
        <f ca="1">$E97*(-SUMIF(INDIRECT(AC$3),'Struktur Aktuell'!$D97,INDIRECT(AC$4))+SUMIF(INDIRECT(AC$3),'Struktur Aktuell'!$D97,INDIRECT(AC$5)))</f>
        <v>0</v>
      </c>
      <c r="AD97" s="593">
        <f ca="1">$E97*(-SUMIF(INDIRECT(AD$3),'Struktur Aktuell'!$D97,INDIRECT(AD$4))+SUMIF(INDIRECT(AD$3),'Struktur Aktuell'!$D97,INDIRECT(AD$5)))</f>
        <v>0</v>
      </c>
      <c r="AE97" s="593">
        <f t="shared" ca="1" si="123"/>
        <v>0</v>
      </c>
      <c r="AF97" s="593">
        <f t="shared" ca="1" si="124"/>
        <v>0</v>
      </c>
      <c r="AG97" s="593">
        <f t="shared" ca="1" si="125"/>
        <v>0</v>
      </c>
      <c r="AH97" s="593">
        <f t="shared" ca="1" si="126"/>
        <v>0</v>
      </c>
      <c r="AI97" s="593">
        <f t="shared" ca="1" si="127"/>
        <v>0</v>
      </c>
      <c r="AJ97" s="593">
        <f t="shared" ca="1" si="128"/>
        <v>0</v>
      </c>
      <c r="AK97" s="593">
        <f t="shared" ca="1" si="129"/>
        <v>0</v>
      </c>
      <c r="AL97" s="593">
        <f t="shared" ca="1" si="130"/>
        <v>0</v>
      </c>
      <c r="AM97" s="593">
        <f t="shared" ca="1" si="131"/>
        <v>0</v>
      </c>
      <c r="AN97" s="593">
        <f t="shared" ca="1" si="132"/>
        <v>0</v>
      </c>
      <c r="AO97" s="593">
        <f t="shared" ca="1" si="133"/>
        <v>0</v>
      </c>
      <c r="AP97" s="593">
        <f t="shared" ca="1" si="134"/>
        <v>0</v>
      </c>
    </row>
    <row r="98" spans="1:42" s="824" customFormat="1" x14ac:dyDescent="0.2">
      <c r="A98" s="585">
        <v>9</v>
      </c>
      <c r="B98" s="586" t="s">
        <v>1004</v>
      </c>
      <c r="C98" s="587">
        <f ca="1">SUM(G98:R98)</f>
        <v>4097.16</v>
      </c>
      <c r="D98" s="587"/>
      <c r="E98" s="588">
        <f t="shared" si="77"/>
        <v>1</v>
      </c>
      <c r="F98" s="585"/>
      <c r="G98" s="587">
        <f t="shared" ref="G98:R98" ca="1" si="135">SUM(G99:G106)</f>
        <v>451.78999999999996</v>
      </c>
      <c r="H98" s="587">
        <f ca="1">SUM(H99:H106)</f>
        <v>212.62</v>
      </c>
      <c r="I98" s="587">
        <f t="shared" ca="1" si="135"/>
        <v>397.87</v>
      </c>
      <c r="J98" s="587">
        <f t="shared" ca="1" si="135"/>
        <v>245.23</v>
      </c>
      <c r="K98" s="587">
        <f t="shared" ca="1" si="135"/>
        <v>888.78</v>
      </c>
      <c r="L98" s="587">
        <f t="shared" ca="1" si="135"/>
        <v>372.61999999999995</v>
      </c>
      <c r="M98" s="587">
        <f t="shared" ca="1" si="135"/>
        <v>302.62</v>
      </c>
      <c r="N98" s="587">
        <f t="shared" ca="1" si="135"/>
        <v>802.06999999999994</v>
      </c>
      <c r="O98" s="587">
        <f t="shared" ca="1" si="135"/>
        <v>211.78</v>
      </c>
      <c r="P98" s="587">
        <f t="shared" ca="1" si="135"/>
        <v>211.78</v>
      </c>
      <c r="Q98" s="587">
        <f t="shared" ca="1" si="135"/>
        <v>0</v>
      </c>
      <c r="R98" s="587">
        <f t="shared" ca="1" si="135"/>
        <v>0</v>
      </c>
      <c r="S98" s="587">
        <f ca="1">SUM(S99:S106)</f>
        <v>451.78999999999996</v>
      </c>
      <c r="T98" s="587">
        <f ca="1">SUM(T99:T106)</f>
        <v>664.41</v>
      </c>
      <c r="U98" s="587">
        <f t="shared" ref="U98:AE98" ca="1" si="136">SUM(U99:U106)</f>
        <v>1062.28</v>
      </c>
      <c r="V98" s="587">
        <f t="shared" ca="1" si="136"/>
        <v>1307.51</v>
      </c>
      <c r="W98" s="587">
        <f t="shared" ca="1" si="136"/>
        <v>2196.29</v>
      </c>
      <c r="X98" s="587">
        <f t="shared" ca="1" si="136"/>
        <v>2568.91</v>
      </c>
      <c r="Y98" s="587">
        <f t="shared" ca="1" si="136"/>
        <v>2871.53</v>
      </c>
      <c r="Z98" s="587">
        <f t="shared" ca="1" si="136"/>
        <v>3673.6</v>
      </c>
      <c r="AA98" s="587">
        <f t="shared" ca="1" si="136"/>
        <v>3885.38</v>
      </c>
      <c r="AB98" s="587">
        <f t="shared" ca="1" si="136"/>
        <v>4097.16</v>
      </c>
      <c r="AC98" s="587">
        <f t="shared" ca="1" si="136"/>
        <v>0</v>
      </c>
      <c r="AD98" s="587">
        <f t="shared" ca="1" si="136"/>
        <v>0</v>
      </c>
      <c r="AE98" s="587">
        <f t="shared" ca="1" si="136"/>
        <v>451.78999999999996</v>
      </c>
      <c r="AF98" s="587">
        <f ca="1">SUM(AF99:AF106)</f>
        <v>664.41</v>
      </c>
      <c r="AG98" s="587">
        <f t="shared" ref="AG98:AP98" ca="1" si="137">SUM(AG99:AG106)</f>
        <v>1062.28</v>
      </c>
      <c r="AH98" s="587">
        <f t="shared" ca="1" si="137"/>
        <v>1307.51</v>
      </c>
      <c r="AI98" s="587">
        <f t="shared" ca="1" si="137"/>
        <v>2196.29</v>
      </c>
      <c r="AJ98" s="587">
        <f t="shared" ca="1" si="137"/>
        <v>2568.91</v>
      </c>
      <c r="AK98" s="587">
        <f t="shared" ca="1" si="137"/>
        <v>2871.53</v>
      </c>
      <c r="AL98" s="587">
        <f t="shared" ca="1" si="137"/>
        <v>3673.6</v>
      </c>
      <c r="AM98" s="587">
        <f t="shared" ca="1" si="137"/>
        <v>3885.38</v>
      </c>
      <c r="AN98" s="587">
        <f t="shared" ca="1" si="137"/>
        <v>4097.16</v>
      </c>
      <c r="AO98" s="587">
        <f t="shared" ca="1" si="137"/>
        <v>4097.16</v>
      </c>
      <c r="AP98" s="587">
        <f t="shared" ca="1" si="137"/>
        <v>4097.16</v>
      </c>
    </row>
    <row r="99" spans="1:42" s="594" customFormat="1" ht="11.25" outlineLevel="1" x14ac:dyDescent="0.2">
      <c r="A99" s="590"/>
      <c r="B99" s="591" t="str">
        <f>IF(D99&lt;&gt;"",
IF(ISERROR(MATCH(D99,'Ist Aktuell Monat 01'!A:A,0))=FALSE,INDEX('Ist Aktuell Monat 01'!B:B,MATCH(D99,'Ist Aktuell Monat 01'!A:A,0)),
IF(ISERROR(MATCH(D99,'Ist Aktuell Monat 02'!A:A,0))=FALSE,INDEX('Ist Aktuell Monat 02'!B:B,MATCH(D99,'Ist Aktuell Monat 02'!A:A,0)),
IF(ISERROR(MATCH(D99,'Ist Aktuell Monat 03'!A:A,0))=FALSE,INDEX('Ist Aktuell Monat 03'!B:B,MATCH(D99,'Ist Aktuell Monat 03'!A:A,0)),
IF(ISERROR(MATCH(D99,'Ist Aktuell Monat 04'!A:A,0))=FALSE,INDEX('Ist Aktuell Monat 04'!B:B,MATCH(D99,'Ist Aktuell Monat 04'!A:A,0)),
IF(ISERROR(MATCH(D99,'Ist Aktuell Monat 05'!A:A,0))=FALSE,INDEX('Ist Aktuell Monat 05'!B:B,MATCH(D99,'Ist Aktuell Monat 05'!A:A,0)),
IF(ISERROR(MATCH(D99,'Ist Aktuell Monat 06'!A:A,0))=FALSE,INDEX('Ist Aktuell Monat 06'!B:B,MATCH(D99,'Ist Aktuell Monat 06'!A:A,0)),
IF(ISERROR(MATCH(D99,'Ist Aktuell Monat 07'!A:A,0))=FALSE,INDEX('Ist Aktuell Monat 07'!B:B,MATCH(D99,'Ist Aktuell Monat 07'!A:A,0)),
IF(ISERROR(MATCH(D99,'Ist Aktuell Monat 08'!A:A,0))=FALSE,INDEX('Ist Aktuell Monat 08'!B:B,MATCH(D99,'Ist Aktuell Monat 08'!A:A,0)),
IF(ISERROR(MATCH(D99,'Ist Aktuell Monat 09'!A:A,0))=FALSE,INDEX('Ist Aktuell Monat 09'!B:B,MATCH(D99,'Ist Aktuell Monat 09'!A:A,0)),
IF(ISERROR(MATCH(D99,'Ist Aktuell Monat 10'!A:A,0))=FALSE,INDEX('Ist Aktuell Monat 10'!B:B,MATCH(D99,'Ist Aktuell Monat 10'!A:A,0)),
IF(ISERROR(MATCH(D99,'Ist Aktuell Monat 11'!A:A,0))=FALSE,INDEX('Ist Aktuell Monat 11'!B:B,MATCH(D99,'Ist Aktuell Monat 11'!A:A,0)),
IF(ISERROR(MATCH(D99,'Ist Aktuell Monat 12'!A:A,0))=FALSE,INDEX('Ist Aktuell Monat 12'!B:B,MATCH(D99,'Ist Aktuell Monat 12'!A:A,0)),
"{Konto unbekannt}"
)))))))))))),"")</f>
        <v>Fremdleistungen Website &amp; Software-Prod.</v>
      </c>
      <c r="C99" s="591"/>
      <c r="D99" s="590">
        <v>3103</v>
      </c>
      <c r="E99" s="592">
        <f t="shared" si="77"/>
        <v>1</v>
      </c>
      <c r="F99" s="590"/>
      <c r="G99" s="593">
        <f ca="1">$E99*(-SUMIF(INDIRECT(G$3),'Struktur Aktuell'!$D99,INDIRECT(G$4))+SUMIF(INDIRECT(G$3),'Struktur Aktuell'!$D99,INDIRECT(G$5)))</f>
        <v>211.78</v>
      </c>
      <c r="H99" s="593">
        <f ca="1">$E99*(-SUMIF(INDIRECT(H$3),'Struktur Aktuell'!$D99,INDIRECT(H$4))+SUMIF(INDIRECT(H$3),'Struktur Aktuell'!$D99,INDIRECT(H$5)))</f>
        <v>211.78</v>
      </c>
      <c r="I99" s="593">
        <f ca="1">$E99*(-SUMIF(INDIRECT(I$3),'Struktur Aktuell'!$D99,INDIRECT(I$4))+SUMIF(INDIRECT(I$3),'Struktur Aktuell'!$D99,INDIRECT(I$5)))</f>
        <v>397.87</v>
      </c>
      <c r="J99" s="593">
        <f ca="1">$E99*(-SUMIF(INDIRECT(J$3),'Struktur Aktuell'!$D99,INDIRECT(J$4))+SUMIF(INDIRECT(J$3),'Struktur Aktuell'!$D99,INDIRECT(J$5)))</f>
        <v>245.23</v>
      </c>
      <c r="K99" s="593">
        <f ca="1">$E99*(-SUMIF(INDIRECT(K$3),'Struktur Aktuell'!$D99,INDIRECT(K$4))+SUMIF(INDIRECT(K$3),'Struktur Aktuell'!$D99,INDIRECT(K$5)))</f>
        <v>211.78</v>
      </c>
      <c r="L99" s="593">
        <f ca="1">$E99*(-SUMIF(INDIRECT(L$3),'Struktur Aktuell'!$D99,INDIRECT(L$4))+SUMIF(INDIRECT(L$3),'Struktur Aktuell'!$D99,INDIRECT(L$5)))</f>
        <v>211.78</v>
      </c>
      <c r="M99" s="593">
        <f ca="1">$E99*(-SUMIF(INDIRECT(M$3),'Struktur Aktuell'!$D99,INDIRECT(M$4))+SUMIF(INDIRECT(M$3),'Struktur Aktuell'!$D99,INDIRECT(M$5)))</f>
        <v>212.62</v>
      </c>
      <c r="N99" s="593">
        <f ca="1">$E99*(-SUMIF(INDIRECT(N$3),'Struktur Aktuell'!$D99,INDIRECT(N$4))+SUMIF(INDIRECT(N$3),'Struktur Aktuell'!$D99,INDIRECT(N$5)))</f>
        <v>251.07</v>
      </c>
      <c r="O99" s="593">
        <f ca="1">$E99*(-SUMIF(INDIRECT(O$3),'Struktur Aktuell'!$D99,INDIRECT(O$4))+SUMIF(INDIRECT(O$3),'Struktur Aktuell'!$D99,INDIRECT(O$5)))</f>
        <v>211.78</v>
      </c>
      <c r="P99" s="593">
        <f ca="1">$E99*(-SUMIF(INDIRECT(P$3),'Struktur Aktuell'!$D99,INDIRECT(P$4))+SUMIF(INDIRECT(P$3),'Struktur Aktuell'!$D99,INDIRECT(P$5)))</f>
        <v>211.78</v>
      </c>
      <c r="Q99" s="593">
        <f ca="1">$E99*(-SUMIF(INDIRECT(Q$3),'Struktur Aktuell'!$D99,INDIRECT(Q$4))+SUMIF(INDIRECT(Q$3),'Struktur Aktuell'!$D99,INDIRECT(Q$5)))</f>
        <v>0</v>
      </c>
      <c r="R99" s="593">
        <f ca="1">$E99*(-SUMIF(INDIRECT(R$3),'Struktur Aktuell'!$D99,INDIRECT(R$4))+SUMIF(INDIRECT(R$3),'Struktur Aktuell'!$D99,INDIRECT(R$5)))</f>
        <v>0</v>
      </c>
      <c r="S99" s="593">
        <f ca="1">$E99*(-SUMIF(INDIRECT(S$3),'Struktur Aktuell'!$D99,INDIRECT(S$4))+SUMIF(INDIRECT(S$3),'Struktur Aktuell'!$D99,INDIRECT(S$5)))</f>
        <v>211.78</v>
      </c>
      <c r="T99" s="593">
        <f ca="1">$E99*(-SUMIF(INDIRECT(T$3),'Struktur Aktuell'!$D99,INDIRECT(T$4))+SUMIF(INDIRECT(T$3),'Struktur Aktuell'!$D99,INDIRECT(T$5)))</f>
        <v>423.56</v>
      </c>
      <c r="U99" s="593">
        <f ca="1">$E99*(-SUMIF(INDIRECT(U$3),'Struktur Aktuell'!$D99,INDIRECT(U$4))+SUMIF(INDIRECT(U$3),'Struktur Aktuell'!$D99,INDIRECT(U$5)))</f>
        <v>821.43</v>
      </c>
      <c r="V99" s="593">
        <f ca="1">$E99*(-SUMIF(INDIRECT(V$3),'Struktur Aktuell'!$D99,INDIRECT(V$4))+SUMIF(INDIRECT(V$3),'Struktur Aktuell'!$D99,INDIRECT(V$5)))</f>
        <v>1066.6600000000001</v>
      </c>
      <c r="W99" s="593">
        <f ca="1">$E99*(-SUMIF(INDIRECT(W$3),'Struktur Aktuell'!$D99,INDIRECT(W$4))+SUMIF(INDIRECT(W$3),'Struktur Aktuell'!$D99,INDIRECT(W$5)))</f>
        <v>1278.44</v>
      </c>
      <c r="X99" s="593">
        <f ca="1">$E99*(-SUMIF(INDIRECT(X$3),'Struktur Aktuell'!$D99,INDIRECT(X$4))+SUMIF(INDIRECT(X$3),'Struktur Aktuell'!$D99,INDIRECT(X$5)))</f>
        <v>1490.22</v>
      </c>
      <c r="Y99" s="593">
        <f ca="1">$E99*(-SUMIF(INDIRECT(Y$3),'Struktur Aktuell'!$D99,INDIRECT(Y$4))+SUMIF(INDIRECT(Y$3),'Struktur Aktuell'!$D99,INDIRECT(Y$5)))</f>
        <v>1702.84</v>
      </c>
      <c r="Z99" s="593">
        <f ca="1">$E99*(-SUMIF(INDIRECT(Z$3),'Struktur Aktuell'!$D99,INDIRECT(Z$4))+SUMIF(INDIRECT(Z$3),'Struktur Aktuell'!$D99,INDIRECT(Z$5)))</f>
        <v>1953.91</v>
      </c>
      <c r="AA99" s="593">
        <f ca="1">$E99*(-SUMIF(INDIRECT(AA$3),'Struktur Aktuell'!$D99,INDIRECT(AA$4))+SUMIF(INDIRECT(AA$3),'Struktur Aktuell'!$D99,INDIRECT(AA$5)))</f>
        <v>2165.69</v>
      </c>
      <c r="AB99" s="593">
        <f ca="1">$E99*(-SUMIF(INDIRECT(AB$3),'Struktur Aktuell'!$D99,INDIRECT(AB$4))+SUMIF(INDIRECT(AB$3),'Struktur Aktuell'!$D99,INDIRECT(AB$5)))</f>
        <v>2377.4699999999998</v>
      </c>
      <c r="AC99" s="593">
        <f ca="1">$E99*(-SUMIF(INDIRECT(AC$3),'Struktur Aktuell'!$D99,INDIRECT(AC$4))+SUMIF(INDIRECT(AC$3),'Struktur Aktuell'!$D99,INDIRECT(AC$5)))</f>
        <v>0</v>
      </c>
      <c r="AD99" s="593">
        <f ca="1">$E99*(-SUMIF(INDIRECT(AD$3),'Struktur Aktuell'!$D99,INDIRECT(AD$4))+SUMIF(INDIRECT(AD$3),'Struktur Aktuell'!$D99,INDIRECT(AD$5)))</f>
        <v>0</v>
      </c>
      <c r="AE99" s="593">
        <f t="shared" ref="AE99:AE106" ca="1" si="138">G99</f>
        <v>211.78</v>
      </c>
      <c r="AF99" s="593">
        <f t="shared" ref="AF99:AF106" ca="1" si="139">H99+AE99</f>
        <v>423.56</v>
      </c>
      <c r="AG99" s="593">
        <f t="shared" ref="AG99:AG106" ca="1" si="140">I99+AF99</f>
        <v>821.43000000000006</v>
      </c>
      <c r="AH99" s="593">
        <f t="shared" ref="AH99:AH106" ca="1" si="141">J99+AG99</f>
        <v>1066.6600000000001</v>
      </c>
      <c r="AI99" s="593">
        <f t="shared" ref="AI99:AI106" ca="1" si="142">K99+AH99</f>
        <v>1278.44</v>
      </c>
      <c r="AJ99" s="593">
        <f t="shared" ref="AJ99:AJ106" ca="1" si="143">L99+AI99</f>
        <v>1490.22</v>
      </c>
      <c r="AK99" s="593">
        <f t="shared" ref="AK99:AK106" ca="1" si="144">M99+AJ99</f>
        <v>1702.8400000000001</v>
      </c>
      <c r="AL99" s="593">
        <f t="shared" ref="AL99:AL106" ca="1" si="145">N99+AK99</f>
        <v>1953.91</v>
      </c>
      <c r="AM99" s="593">
        <f t="shared" ref="AM99:AM106" ca="1" si="146">O99+AL99</f>
        <v>2165.69</v>
      </c>
      <c r="AN99" s="593">
        <f t="shared" ref="AN99:AN106" ca="1" si="147">P99+AM99</f>
        <v>2377.4700000000003</v>
      </c>
      <c r="AO99" s="593">
        <f t="shared" ref="AO99:AO106" ca="1" si="148">Q99+AN99</f>
        <v>2377.4700000000003</v>
      </c>
      <c r="AP99" s="593">
        <f t="shared" ref="AP99:AP106" ca="1" si="149">R99+AO99</f>
        <v>2377.4700000000003</v>
      </c>
    </row>
    <row r="100" spans="1:42" s="594" customFormat="1" ht="11.25" outlineLevel="1" x14ac:dyDescent="0.2">
      <c r="A100" s="590"/>
      <c r="B100" s="591" t="str">
        <f>IF(D100&lt;&gt;"",
IF(ISERROR(MATCH(D100,'Ist Aktuell Monat 01'!A:A,0))=FALSE,INDEX('Ist Aktuell Monat 01'!B:B,MATCH(D100,'Ist Aktuell Monat 01'!A:A,0)),
IF(ISERROR(MATCH(D100,'Ist Aktuell Monat 02'!A:A,0))=FALSE,INDEX('Ist Aktuell Monat 02'!B:B,MATCH(D100,'Ist Aktuell Monat 02'!A:A,0)),
IF(ISERROR(MATCH(D100,'Ist Aktuell Monat 03'!A:A,0))=FALSE,INDEX('Ist Aktuell Monat 03'!B:B,MATCH(D100,'Ist Aktuell Monat 03'!A:A,0)),
IF(ISERROR(MATCH(D100,'Ist Aktuell Monat 04'!A:A,0))=FALSE,INDEX('Ist Aktuell Monat 04'!B:B,MATCH(D100,'Ist Aktuell Monat 04'!A:A,0)),
IF(ISERROR(MATCH(D100,'Ist Aktuell Monat 05'!A:A,0))=FALSE,INDEX('Ist Aktuell Monat 05'!B:B,MATCH(D100,'Ist Aktuell Monat 05'!A:A,0)),
IF(ISERROR(MATCH(D100,'Ist Aktuell Monat 06'!A:A,0))=FALSE,INDEX('Ist Aktuell Monat 06'!B:B,MATCH(D100,'Ist Aktuell Monat 06'!A:A,0)),
IF(ISERROR(MATCH(D100,'Ist Aktuell Monat 07'!A:A,0))=FALSE,INDEX('Ist Aktuell Monat 07'!B:B,MATCH(D100,'Ist Aktuell Monat 07'!A:A,0)),
IF(ISERROR(MATCH(D100,'Ist Aktuell Monat 08'!A:A,0))=FALSE,INDEX('Ist Aktuell Monat 08'!B:B,MATCH(D100,'Ist Aktuell Monat 08'!A:A,0)),
IF(ISERROR(MATCH(D100,'Ist Aktuell Monat 09'!A:A,0))=FALSE,INDEX('Ist Aktuell Monat 09'!B:B,MATCH(D100,'Ist Aktuell Monat 09'!A:A,0)),
IF(ISERROR(MATCH(D100,'Ist Aktuell Monat 10'!A:A,0))=FALSE,INDEX('Ist Aktuell Monat 10'!B:B,MATCH(D100,'Ist Aktuell Monat 10'!A:A,0)),
IF(ISERROR(MATCH(D100,'Ist Aktuell Monat 11'!A:A,0))=FALSE,INDEX('Ist Aktuell Monat 11'!B:B,MATCH(D100,'Ist Aktuell Monat 11'!A:A,0)),
IF(ISERROR(MATCH(D100,'Ist Aktuell Monat 12'!A:A,0))=FALSE,INDEX('Ist Aktuell Monat 12'!B:B,MATCH(D100,'Ist Aktuell Monat 12'!A:A,0)),
"{Konto unbekannt}"
)))))))))))),"")</f>
        <v>Fremdleistungen "Allgemein"</v>
      </c>
      <c r="C100" s="591"/>
      <c r="D100" s="590">
        <v>3105</v>
      </c>
      <c r="E100" s="592">
        <f t="shared" si="77"/>
        <v>1</v>
      </c>
      <c r="F100" s="590"/>
      <c r="G100" s="593">
        <f ca="1">$E100*(-SUMIF(INDIRECT(G$3),'Struktur Aktuell'!$D100,INDIRECT(G$4))+SUMIF(INDIRECT(G$3),'Struktur Aktuell'!$D100,INDIRECT(G$5)))</f>
        <v>0</v>
      </c>
      <c r="H100" s="593">
        <f ca="1">$E100*(-SUMIF(INDIRECT(H$3),'Struktur Aktuell'!$D100,INDIRECT(H$4))+SUMIF(INDIRECT(H$3),'Struktur Aktuell'!$D100,INDIRECT(H$5)))</f>
        <v>0</v>
      </c>
      <c r="I100" s="593">
        <f ca="1">$E100*(-SUMIF(INDIRECT(I$3),'Struktur Aktuell'!$D100,INDIRECT(I$4))+SUMIF(INDIRECT(I$3),'Struktur Aktuell'!$D100,INDIRECT(I$5)))</f>
        <v>0</v>
      </c>
      <c r="J100" s="593">
        <f ca="1">$E100*(-SUMIF(INDIRECT(J$3),'Struktur Aktuell'!$D100,INDIRECT(J$4))+SUMIF(INDIRECT(J$3),'Struktur Aktuell'!$D100,INDIRECT(J$5)))</f>
        <v>0</v>
      </c>
      <c r="K100" s="593">
        <f ca="1">$E100*(-SUMIF(INDIRECT(K$3),'Struktur Aktuell'!$D100,INDIRECT(K$4))+SUMIF(INDIRECT(K$3),'Struktur Aktuell'!$D100,INDIRECT(K$5)))</f>
        <v>177</v>
      </c>
      <c r="L100" s="593">
        <f ca="1">$E100*(-SUMIF(INDIRECT(L$3),'Struktur Aktuell'!$D100,INDIRECT(L$4))+SUMIF(INDIRECT(L$3),'Struktur Aktuell'!$D100,INDIRECT(L$5)))</f>
        <v>160</v>
      </c>
      <c r="M100" s="593">
        <f ca="1">$E100*(-SUMIF(INDIRECT(M$3),'Struktur Aktuell'!$D100,INDIRECT(M$4))+SUMIF(INDIRECT(M$3),'Struktur Aktuell'!$D100,INDIRECT(M$5)))</f>
        <v>90</v>
      </c>
      <c r="N100" s="593">
        <f ca="1">$E100*(-SUMIF(INDIRECT(N$3),'Struktur Aktuell'!$D100,INDIRECT(N$4))+SUMIF(INDIRECT(N$3),'Struktur Aktuell'!$D100,INDIRECT(N$5)))</f>
        <v>0</v>
      </c>
      <c r="O100" s="593">
        <f ca="1">$E100*(-SUMIF(INDIRECT(O$3),'Struktur Aktuell'!$D100,INDIRECT(O$4))+SUMIF(INDIRECT(O$3),'Struktur Aktuell'!$D100,INDIRECT(O$5)))</f>
        <v>0</v>
      </c>
      <c r="P100" s="593">
        <f ca="1">$E100*(-SUMIF(INDIRECT(P$3),'Struktur Aktuell'!$D100,INDIRECT(P$4))+SUMIF(INDIRECT(P$3),'Struktur Aktuell'!$D100,INDIRECT(P$5)))</f>
        <v>0</v>
      </c>
      <c r="Q100" s="593">
        <f ca="1">$E100*(-SUMIF(INDIRECT(Q$3),'Struktur Aktuell'!$D100,INDIRECT(Q$4))+SUMIF(INDIRECT(Q$3),'Struktur Aktuell'!$D100,INDIRECT(Q$5)))</f>
        <v>0</v>
      </c>
      <c r="R100" s="593">
        <f ca="1">$E100*(-SUMIF(INDIRECT(R$3),'Struktur Aktuell'!$D100,INDIRECT(R$4))+SUMIF(INDIRECT(R$3),'Struktur Aktuell'!$D100,INDIRECT(R$5)))</f>
        <v>0</v>
      </c>
      <c r="S100" s="593">
        <f ca="1">$E100*(-SUMIF(INDIRECT(S$3),'Struktur Aktuell'!$D100,INDIRECT(S$4))+SUMIF(INDIRECT(S$3),'Struktur Aktuell'!$D100,INDIRECT(S$5)))</f>
        <v>0</v>
      </c>
      <c r="T100" s="593">
        <f ca="1">$E100*(-SUMIF(INDIRECT(T$3),'Struktur Aktuell'!$D100,INDIRECT(T$4))+SUMIF(INDIRECT(T$3),'Struktur Aktuell'!$D100,INDIRECT(T$5)))</f>
        <v>0</v>
      </c>
      <c r="U100" s="593">
        <f ca="1">$E100*(-SUMIF(INDIRECT(U$3),'Struktur Aktuell'!$D100,INDIRECT(U$4))+SUMIF(INDIRECT(U$3),'Struktur Aktuell'!$D100,INDIRECT(U$5)))</f>
        <v>0</v>
      </c>
      <c r="V100" s="593">
        <f ca="1">$E100*(-SUMIF(INDIRECT(V$3),'Struktur Aktuell'!$D100,INDIRECT(V$4))+SUMIF(INDIRECT(V$3),'Struktur Aktuell'!$D100,INDIRECT(V$5)))</f>
        <v>0</v>
      </c>
      <c r="W100" s="593">
        <f ca="1">$E100*(-SUMIF(INDIRECT(W$3),'Struktur Aktuell'!$D100,INDIRECT(W$4))+SUMIF(INDIRECT(W$3),'Struktur Aktuell'!$D100,INDIRECT(W$5)))</f>
        <v>177</v>
      </c>
      <c r="X100" s="593">
        <f ca="1">$E100*(-SUMIF(INDIRECT(X$3),'Struktur Aktuell'!$D100,INDIRECT(X$4))+SUMIF(INDIRECT(X$3),'Struktur Aktuell'!$D100,INDIRECT(X$5)))</f>
        <v>337</v>
      </c>
      <c r="Y100" s="593">
        <f ca="1">$E100*(-SUMIF(INDIRECT(Y$3),'Struktur Aktuell'!$D100,INDIRECT(Y$4))+SUMIF(INDIRECT(Y$3),'Struktur Aktuell'!$D100,INDIRECT(Y$5)))</f>
        <v>427</v>
      </c>
      <c r="Z100" s="593">
        <f ca="1">$E100*(-SUMIF(INDIRECT(Z$3),'Struktur Aktuell'!$D100,INDIRECT(Z$4))+SUMIF(INDIRECT(Z$3),'Struktur Aktuell'!$D100,INDIRECT(Z$5)))</f>
        <v>427</v>
      </c>
      <c r="AA100" s="593">
        <f ca="1">$E100*(-SUMIF(INDIRECT(AA$3),'Struktur Aktuell'!$D100,INDIRECT(AA$4))+SUMIF(INDIRECT(AA$3),'Struktur Aktuell'!$D100,INDIRECT(AA$5)))</f>
        <v>427</v>
      </c>
      <c r="AB100" s="593">
        <f ca="1">$E100*(-SUMIF(INDIRECT(AB$3),'Struktur Aktuell'!$D100,INDIRECT(AB$4))+SUMIF(INDIRECT(AB$3),'Struktur Aktuell'!$D100,INDIRECT(AB$5)))</f>
        <v>427</v>
      </c>
      <c r="AC100" s="593">
        <f ca="1">$E100*(-SUMIF(INDIRECT(AC$3),'Struktur Aktuell'!$D100,INDIRECT(AC$4))+SUMIF(INDIRECT(AC$3),'Struktur Aktuell'!$D100,INDIRECT(AC$5)))</f>
        <v>0</v>
      </c>
      <c r="AD100" s="593">
        <f ca="1">$E100*(-SUMIF(INDIRECT(AD$3),'Struktur Aktuell'!$D100,INDIRECT(AD$4))+SUMIF(INDIRECT(AD$3),'Struktur Aktuell'!$D100,INDIRECT(AD$5)))</f>
        <v>0</v>
      </c>
      <c r="AE100" s="593">
        <f t="shared" ca="1" si="138"/>
        <v>0</v>
      </c>
      <c r="AF100" s="593">
        <f t="shared" ca="1" si="139"/>
        <v>0</v>
      </c>
      <c r="AG100" s="593">
        <f t="shared" ca="1" si="140"/>
        <v>0</v>
      </c>
      <c r="AH100" s="593">
        <f t="shared" ca="1" si="141"/>
        <v>0</v>
      </c>
      <c r="AI100" s="593">
        <f t="shared" ca="1" si="142"/>
        <v>177</v>
      </c>
      <c r="AJ100" s="593">
        <f t="shared" ca="1" si="143"/>
        <v>337</v>
      </c>
      <c r="AK100" s="593">
        <f t="shared" ca="1" si="144"/>
        <v>427</v>
      </c>
      <c r="AL100" s="593">
        <f t="shared" ca="1" si="145"/>
        <v>427</v>
      </c>
      <c r="AM100" s="593">
        <f t="shared" ca="1" si="146"/>
        <v>427</v>
      </c>
      <c r="AN100" s="593">
        <f t="shared" ca="1" si="147"/>
        <v>427</v>
      </c>
      <c r="AO100" s="593">
        <f t="shared" ca="1" si="148"/>
        <v>427</v>
      </c>
      <c r="AP100" s="593">
        <f t="shared" ca="1" si="149"/>
        <v>427</v>
      </c>
    </row>
    <row r="101" spans="1:42" s="594" customFormat="1" ht="11.25" outlineLevel="1" x14ac:dyDescent="0.2">
      <c r="A101" s="590"/>
      <c r="B101" s="591" t="str">
        <f>IF(D101&lt;&gt;"",
IF(ISERROR(MATCH(D101,'Ist Aktuell Monat 01'!A:A,0))=FALSE,INDEX('Ist Aktuell Monat 01'!B:B,MATCH(D101,'Ist Aktuell Monat 01'!A:A,0)),
IF(ISERROR(MATCH(D101,'Ist Aktuell Monat 02'!A:A,0))=FALSE,INDEX('Ist Aktuell Monat 02'!B:B,MATCH(D101,'Ist Aktuell Monat 02'!A:A,0)),
IF(ISERROR(MATCH(D101,'Ist Aktuell Monat 03'!A:A,0))=FALSE,INDEX('Ist Aktuell Monat 03'!B:B,MATCH(D101,'Ist Aktuell Monat 03'!A:A,0)),
IF(ISERROR(MATCH(D101,'Ist Aktuell Monat 04'!A:A,0))=FALSE,INDEX('Ist Aktuell Monat 04'!B:B,MATCH(D101,'Ist Aktuell Monat 04'!A:A,0)),
IF(ISERROR(MATCH(D101,'Ist Aktuell Monat 05'!A:A,0))=FALSE,INDEX('Ist Aktuell Monat 05'!B:B,MATCH(D101,'Ist Aktuell Monat 05'!A:A,0)),
IF(ISERROR(MATCH(D101,'Ist Aktuell Monat 06'!A:A,0))=FALSE,INDEX('Ist Aktuell Monat 06'!B:B,MATCH(D101,'Ist Aktuell Monat 06'!A:A,0)),
IF(ISERROR(MATCH(D101,'Ist Aktuell Monat 07'!A:A,0))=FALSE,INDEX('Ist Aktuell Monat 07'!B:B,MATCH(D101,'Ist Aktuell Monat 07'!A:A,0)),
IF(ISERROR(MATCH(D101,'Ist Aktuell Monat 08'!A:A,0))=FALSE,INDEX('Ist Aktuell Monat 08'!B:B,MATCH(D101,'Ist Aktuell Monat 08'!A:A,0)),
IF(ISERROR(MATCH(D101,'Ist Aktuell Monat 09'!A:A,0))=FALSE,INDEX('Ist Aktuell Monat 09'!B:B,MATCH(D101,'Ist Aktuell Monat 09'!A:A,0)),
IF(ISERROR(MATCH(D101,'Ist Aktuell Monat 10'!A:A,0))=FALSE,INDEX('Ist Aktuell Monat 10'!B:B,MATCH(D101,'Ist Aktuell Monat 10'!A:A,0)),
IF(ISERROR(MATCH(D101,'Ist Aktuell Monat 11'!A:A,0))=FALSE,INDEX('Ist Aktuell Monat 11'!B:B,MATCH(D101,'Ist Aktuell Monat 11'!A:A,0)),
IF(ISERROR(MATCH(D101,'Ist Aktuell Monat 12'!A:A,0))=FALSE,INDEX('Ist Aktuell Monat 12'!B:B,MATCH(D101,'Ist Aktuell Monat 12'!A:A,0)),
"{Konto unbekannt}"
)))))))))))),"")</f>
        <v>CM_Bewerbungssservice</v>
      </c>
      <c r="C101" s="591"/>
      <c r="D101" s="590">
        <v>3106</v>
      </c>
      <c r="E101" s="592">
        <f t="shared" si="77"/>
        <v>1</v>
      </c>
      <c r="F101" s="590"/>
      <c r="G101" s="593">
        <f ca="1">$E101*(-SUMIF(INDIRECT(G$3),'Struktur Aktuell'!$D101,INDIRECT(G$4))+SUMIF(INDIRECT(G$3),'Struktur Aktuell'!$D101,INDIRECT(G$5)))</f>
        <v>240.01</v>
      </c>
      <c r="H101" s="593">
        <f ca="1">$E101*(-SUMIF(INDIRECT(H$3),'Struktur Aktuell'!$D101,INDIRECT(H$4))+SUMIF(INDIRECT(H$3),'Struktur Aktuell'!$D101,INDIRECT(H$5)))</f>
        <v>0.84</v>
      </c>
      <c r="I101" s="593">
        <f ca="1">$E101*(-SUMIF(INDIRECT(I$3),'Struktur Aktuell'!$D101,INDIRECT(I$4))+SUMIF(INDIRECT(I$3),'Struktur Aktuell'!$D101,INDIRECT(I$5)))</f>
        <v>0</v>
      </c>
      <c r="J101" s="593">
        <f ca="1">$E101*(-SUMIF(INDIRECT(J$3),'Struktur Aktuell'!$D101,INDIRECT(J$4))+SUMIF(INDIRECT(J$3),'Struktur Aktuell'!$D101,INDIRECT(J$5)))</f>
        <v>0</v>
      </c>
      <c r="K101" s="593">
        <f ca="1">$E101*(-SUMIF(INDIRECT(K$3),'Struktur Aktuell'!$D101,INDIRECT(K$4))+SUMIF(INDIRECT(K$3),'Struktur Aktuell'!$D101,INDIRECT(K$5)))</f>
        <v>500</v>
      </c>
      <c r="L101" s="593">
        <f ca="1">$E101*(-SUMIF(INDIRECT(L$3),'Struktur Aktuell'!$D101,INDIRECT(L$4))+SUMIF(INDIRECT(L$3),'Struktur Aktuell'!$D101,INDIRECT(L$5)))</f>
        <v>0.84</v>
      </c>
      <c r="M101" s="593">
        <f ca="1">$E101*(-SUMIF(INDIRECT(M$3),'Struktur Aktuell'!$D101,INDIRECT(M$4))+SUMIF(INDIRECT(M$3),'Struktur Aktuell'!$D101,INDIRECT(M$5)))</f>
        <v>0</v>
      </c>
      <c r="N101" s="593">
        <f ca="1">$E101*(-SUMIF(INDIRECT(N$3),'Struktur Aktuell'!$D101,INDIRECT(N$4))+SUMIF(INDIRECT(N$3),'Struktur Aktuell'!$D101,INDIRECT(N$5)))</f>
        <v>551</v>
      </c>
      <c r="O101" s="593">
        <f ca="1">$E101*(-SUMIF(INDIRECT(O$3),'Struktur Aktuell'!$D101,INDIRECT(O$4))+SUMIF(INDIRECT(O$3),'Struktur Aktuell'!$D101,INDIRECT(O$5)))</f>
        <v>0</v>
      </c>
      <c r="P101" s="593">
        <f ca="1">$E101*(-SUMIF(INDIRECT(P$3),'Struktur Aktuell'!$D101,INDIRECT(P$4))+SUMIF(INDIRECT(P$3),'Struktur Aktuell'!$D101,INDIRECT(P$5)))</f>
        <v>0</v>
      </c>
      <c r="Q101" s="593">
        <f ca="1">$E101*(-SUMIF(INDIRECT(Q$3),'Struktur Aktuell'!$D101,INDIRECT(Q$4))+SUMIF(INDIRECT(Q$3),'Struktur Aktuell'!$D101,INDIRECT(Q$5)))</f>
        <v>0</v>
      </c>
      <c r="R101" s="593">
        <f ca="1">$E101*(-SUMIF(INDIRECT(R$3),'Struktur Aktuell'!$D101,INDIRECT(R$4))+SUMIF(INDIRECT(R$3),'Struktur Aktuell'!$D101,INDIRECT(R$5)))</f>
        <v>0</v>
      </c>
      <c r="S101" s="593">
        <f ca="1">$E101*(-SUMIF(INDIRECT(S$3),'Struktur Aktuell'!$D101,INDIRECT(S$4))+SUMIF(INDIRECT(S$3),'Struktur Aktuell'!$D101,INDIRECT(S$5)))</f>
        <v>240.01</v>
      </c>
      <c r="T101" s="593">
        <f ca="1">$E101*(-SUMIF(INDIRECT(T$3),'Struktur Aktuell'!$D101,INDIRECT(T$4))+SUMIF(INDIRECT(T$3),'Struktur Aktuell'!$D101,INDIRECT(T$5)))</f>
        <v>240.85</v>
      </c>
      <c r="U101" s="593">
        <f ca="1">$E101*(-SUMIF(INDIRECT(U$3),'Struktur Aktuell'!$D101,INDIRECT(U$4))+SUMIF(INDIRECT(U$3),'Struktur Aktuell'!$D101,INDIRECT(U$5)))</f>
        <v>240.85</v>
      </c>
      <c r="V101" s="593">
        <f ca="1">$E101*(-SUMIF(INDIRECT(V$3),'Struktur Aktuell'!$D101,INDIRECT(V$4))+SUMIF(INDIRECT(V$3),'Struktur Aktuell'!$D101,INDIRECT(V$5)))</f>
        <v>240.85</v>
      </c>
      <c r="W101" s="593">
        <f ca="1">$E101*(-SUMIF(INDIRECT(W$3),'Struktur Aktuell'!$D101,INDIRECT(W$4))+SUMIF(INDIRECT(W$3),'Struktur Aktuell'!$D101,INDIRECT(W$5)))</f>
        <v>740.85</v>
      </c>
      <c r="X101" s="593">
        <f ca="1">$E101*(-SUMIF(INDIRECT(X$3),'Struktur Aktuell'!$D101,INDIRECT(X$4))+SUMIF(INDIRECT(X$3),'Struktur Aktuell'!$D101,INDIRECT(X$5)))</f>
        <v>741.69</v>
      </c>
      <c r="Y101" s="593">
        <f ca="1">$E101*(-SUMIF(INDIRECT(Y$3),'Struktur Aktuell'!$D101,INDIRECT(Y$4))+SUMIF(INDIRECT(Y$3),'Struktur Aktuell'!$D101,INDIRECT(Y$5)))</f>
        <v>741.69</v>
      </c>
      <c r="Z101" s="593">
        <f ca="1">$E101*(-SUMIF(INDIRECT(Z$3),'Struktur Aktuell'!$D101,INDIRECT(Z$4))+SUMIF(INDIRECT(Z$3),'Struktur Aktuell'!$D101,INDIRECT(Z$5)))</f>
        <v>1292.69</v>
      </c>
      <c r="AA101" s="593">
        <f ca="1">$E101*(-SUMIF(INDIRECT(AA$3),'Struktur Aktuell'!$D101,INDIRECT(AA$4))+SUMIF(INDIRECT(AA$3),'Struktur Aktuell'!$D101,INDIRECT(AA$5)))</f>
        <v>1292.69</v>
      </c>
      <c r="AB101" s="593">
        <f ca="1">$E101*(-SUMIF(INDIRECT(AB$3),'Struktur Aktuell'!$D101,INDIRECT(AB$4))+SUMIF(INDIRECT(AB$3),'Struktur Aktuell'!$D101,INDIRECT(AB$5)))</f>
        <v>1292.69</v>
      </c>
      <c r="AC101" s="593">
        <f ca="1">$E101*(-SUMIF(INDIRECT(AC$3),'Struktur Aktuell'!$D101,INDIRECT(AC$4))+SUMIF(INDIRECT(AC$3),'Struktur Aktuell'!$D101,INDIRECT(AC$5)))</f>
        <v>0</v>
      </c>
      <c r="AD101" s="593">
        <f ca="1">$E101*(-SUMIF(INDIRECT(AD$3),'Struktur Aktuell'!$D101,INDIRECT(AD$4))+SUMIF(INDIRECT(AD$3),'Struktur Aktuell'!$D101,INDIRECT(AD$5)))</f>
        <v>0</v>
      </c>
      <c r="AE101" s="593">
        <f t="shared" ca="1" si="138"/>
        <v>240.01</v>
      </c>
      <c r="AF101" s="593">
        <f t="shared" ca="1" si="139"/>
        <v>240.85</v>
      </c>
      <c r="AG101" s="593">
        <f t="shared" ca="1" si="140"/>
        <v>240.85</v>
      </c>
      <c r="AH101" s="593">
        <f t="shared" ca="1" si="141"/>
        <v>240.85</v>
      </c>
      <c r="AI101" s="593">
        <f t="shared" ca="1" si="142"/>
        <v>740.85</v>
      </c>
      <c r="AJ101" s="593">
        <f t="shared" ca="1" si="143"/>
        <v>741.69</v>
      </c>
      <c r="AK101" s="593">
        <f t="shared" ca="1" si="144"/>
        <v>741.69</v>
      </c>
      <c r="AL101" s="593">
        <f t="shared" ca="1" si="145"/>
        <v>1292.69</v>
      </c>
      <c r="AM101" s="593">
        <f t="shared" ca="1" si="146"/>
        <v>1292.69</v>
      </c>
      <c r="AN101" s="593">
        <f t="shared" ca="1" si="147"/>
        <v>1292.69</v>
      </c>
      <c r="AO101" s="593">
        <f t="shared" ca="1" si="148"/>
        <v>1292.69</v>
      </c>
      <c r="AP101" s="593">
        <f t="shared" ca="1" si="149"/>
        <v>1292.69</v>
      </c>
    </row>
    <row r="102" spans="1:42" s="594" customFormat="1" ht="11.25" outlineLevel="1" x14ac:dyDescent="0.2">
      <c r="A102" s="590"/>
      <c r="B102" s="591" t="str">
        <f>IF(D102&lt;&gt;"",
IF(ISERROR(MATCH(D102,'Ist Aktuell Monat 01'!A:A,0))=FALSE,INDEX('Ist Aktuell Monat 01'!B:B,MATCH(D102,'Ist Aktuell Monat 01'!A:A,0)),
IF(ISERROR(MATCH(D102,'Ist Aktuell Monat 02'!A:A,0))=FALSE,INDEX('Ist Aktuell Monat 02'!B:B,MATCH(D102,'Ist Aktuell Monat 02'!A:A,0)),
IF(ISERROR(MATCH(D102,'Ist Aktuell Monat 03'!A:A,0))=FALSE,INDEX('Ist Aktuell Monat 03'!B:B,MATCH(D102,'Ist Aktuell Monat 03'!A:A,0)),
IF(ISERROR(MATCH(D102,'Ist Aktuell Monat 04'!A:A,0))=FALSE,INDEX('Ist Aktuell Monat 04'!B:B,MATCH(D102,'Ist Aktuell Monat 04'!A:A,0)),
IF(ISERROR(MATCH(D102,'Ist Aktuell Monat 05'!A:A,0))=FALSE,INDEX('Ist Aktuell Monat 05'!B:B,MATCH(D102,'Ist Aktuell Monat 05'!A:A,0)),
IF(ISERROR(MATCH(D102,'Ist Aktuell Monat 06'!A:A,0))=FALSE,INDEX('Ist Aktuell Monat 06'!B:B,MATCH(D102,'Ist Aktuell Monat 06'!A:A,0)),
IF(ISERROR(MATCH(D102,'Ist Aktuell Monat 07'!A:A,0))=FALSE,INDEX('Ist Aktuell Monat 07'!B:B,MATCH(D102,'Ist Aktuell Monat 07'!A:A,0)),
IF(ISERROR(MATCH(D102,'Ist Aktuell Monat 08'!A:A,0))=FALSE,INDEX('Ist Aktuell Monat 08'!B:B,MATCH(D102,'Ist Aktuell Monat 08'!A:A,0)),
IF(ISERROR(MATCH(D102,'Ist Aktuell Monat 09'!A:A,0))=FALSE,INDEX('Ist Aktuell Monat 09'!B:B,MATCH(D102,'Ist Aktuell Monat 09'!A:A,0)),
IF(ISERROR(MATCH(D102,'Ist Aktuell Monat 10'!A:A,0))=FALSE,INDEX('Ist Aktuell Monat 10'!B:B,MATCH(D102,'Ist Aktuell Monat 10'!A:A,0)),
IF(ISERROR(MATCH(D102,'Ist Aktuell Monat 11'!A:A,0))=FALSE,INDEX('Ist Aktuell Monat 11'!B:B,MATCH(D102,'Ist Aktuell Monat 11'!A:A,0)),
IF(ISERROR(MATCH(D102,'Ist Aktuell Monat 12'!A:A,0))=FALSE,INDEX('Ist Aktuell Monat 12'!B:B,MATCH(D102,'Ist Aktuell Monat 12'!A:A,0)),
"{Konto unbekannt}"
)))))))))))),"")</f>
        <v/>
      </c>
      <c r="C102" s="591"/>
      <c r="D102" s="590"/>
      <c r="E102" s="592">
        <f t="shared" si="77"/>
        <v>1</v>
      </c>
      <c r="F102" s="590"/>
      <c r="G102" s="593">
        <f ca="1">$E102*(-SUMIF(INDIRECT(G$3),'Struktur Aktuell'!$D102,INDIRECT(G$4))+SUMIF(INDIRECT(G$3),'Struktur Aktuell'!$D102,INDIRECT(G$5)))</f>
        <v>0</v>
      </c>
      <c r="H102" s="593">
        <f ca="1">$E102*(-SUMIF(INDIRECT(H$3),'Struktur Aktuell'!$D102,INDIRECT(H$4))+SUMIF(INDIRECT(H$3),'Struktur Aktuell'!$D102,INDIRECT(H$5)))</f>
        <v>0</v>
      </c>
      <c r="I102" s="593">
        <f ca="1">$E102*(-SUMIF(INDIRECT(I$3),'Struktur Aktuell'!$D102,INDIRECT(I$4))+SUMIF(INDIRECT(I$3),'Struktur Aktuell'!$D102,INDIRECT(I$5)))</f>
        <v>0</v>
      </c>
      <c r="J102" s="593">
        <f ca="1">$E102*(-SUMIF(INDIRECT(J$3),'Struktur Aktuell'!$D102,INDIRECT(J$4))+SUMIF(INDIRECT(J$3),'Struktur Aktuell'!$D102,INDIRECT(J$5)))</f>
        <v>0</v>
      </c>
      <c r="K102" s="593">
        <f ca="1">$E102*(-SUMIF(INDIRECT(K$3),'Struktur Aktuell'!$D102,INDIRECT(K$4))+SUMIF(INDIRECT(K$3),'Struktur Aktuell'!$D102,INDIRECT(K$5)))</f>
        <v>0</v>
      </c>
      <c r="L102" s="593">
        <f ca="1">$E102*(-SUMIF(INDIRECT(L$3),'Struktur Aktuell'!$D102,INDIRECT(L$4))+SUMIF(INDIRECT(L$3),'Struktur Aktuell'!$D102,INDIRECT(L$5)))</f>
        <v>0</v>
      </c>
      <c r="M102" s="593">
        <f ca="1">$E102*(-SUMIF(INDIRECT(M$3),'Struktur Aktuell'!$D102,INDIRECT(M$4))+SUMIF(INDIRECT(M$3),'Struktur Aktuell'!$D102,INDIRECT(M$5)))</f>
        <v>0</v>
      </c>
      <c r="N102" s="593">
        <f ca="1">$E102*(-SUMIF(INDIRECT(N$3),'Struktur Aktuell'!$D102,INDIRECT(N$4))+SUMIF(INDIRECT(N$3),'Struktur Aktuell'!$D102,INDIRECT(N$5)))</f>
        <v>0</v>
      </c>
      <c r="O102" s="593">
        <f ca="1">$E102*(-SUMIF(INDIRECT(O$3),'Struktur Aktuell'!$D102,INDIRECT(O$4))+SUMIF(INDIRECT(O$3),'Struktur Aktuell'!$D102,INDIRECT(O$5)))</f>
        <v>0</v>
      </c>
      <c r="P102" s="593">
        <f ca="1">$E102*(-SUMIF(INDIRECT(P$3),'Struktur Aktuell'!$D102,INDIRECT(P$4))+SUMIF(INDIRECT(P$3),'Struktur Aktuell'!$D102,INDIRECT(P$5)))</f>
        <v>0</v>
      </c>
      <c r="Q102" s="593">
        <f ca="1">$E102*(-SUMIF(INDIRECT(Q$3),'Struktur Aktuell'!$D102,INDIRECT(Q$4))+SUMIF(INDIRECT(Q$3),'Struktur Aktuell'!$D102,INDIRECT(Q$5)))</f>
        <v>0</v>
      </c>
      <c r="R102" s="593">
        <f ca="1">$E102*(-SUMIF(INDIRECT(R$3),'Struktur Aktuell'!$D102,INDIRECT(R$4))+SUMIF(INDIRECT(R$3),'Struktur Aktuell'!$D102,INDIRECT(R$5)))</f>
        <v>0</v>
      </c>
      <c r="S102" s="593">
        <f ca="1">$E102*(-SUMIF(INDIRECT(S$3),'Struktur Aktuell'!$D102,INDIRECT(S$4))+SUMIF(INDIRECT(S$3),'Struktur Aktuell'!$D102,INDIRECT(S$5)))</f>
        <v>0</v>
      </c>
      <c r="T102" s="593">
        <f ca="1">$E102*(-SUMIF(INDIRECT(T$3),'Struktur Aktuell'!$D102,INDIRECT(T$4))+SUMIF(INDIRECT(T$3),'Struktur Aktuell'!$D102,INDIRECT(T$5)))</f>
        <v>0</v>
      </c>
      <c r="U102" s="593">
        <f ca="1">$E102*(-SUMIF(INDIRECT(U$3),'Struktur Aktuell'!$D102,INDIRECT(U$4))+SUMIF(INDIRECT(U$3),'Struktur Aktuell'!$D102,INDIRECT(U$5)))</f>
        <v>0</v>
      </c>
      <c r="V102" s="593">
        <f ca="1">$E102*(-SUMIF(INDIRECT(V$3),'Struktur Aktuell'!$D102,INDIRECT(V$4))+SUMIF(INDIRECT(V$3),'Struktur Aktuell'!$D102,INDIRECT(V$5)))</f>
        <v>0</v>
      </c>
      <c r="W102" s="593">
        <f ca="1">$E102*(-SUMIF(INDIRECT(W$3),'Struktur Aktuell'!$D102,INDIRECT(W$4))+SUMIF(INDIRECT(W$3),'Struktur Aktuell'!$D102,INDIRECT(W$5)))</f>
        <v>0</v>
      </c>
      <c r="X102" s="593">
        <f ca="1">$E102*(-SUMIF(INDIRECT(X$3),'Struktur Aktuell'!$D102,INDIRECT(X$4))+SUMIF(INDIRECT(X$3),'Struktur Aktuell'!$D102,INDIRECT(X$5)))</f>
        <v>0</v>
      </c>
      <c r="Y102" s="593">
        <f ca="1">$E102*(-SUMIF(INDIRECT(Y$3),'Struktur Aktuell'!$D102,INDIRECT(Y$4))+SUMIF(INDIRECT(Y$3),'Struktur Aktuell'!$D102,INDIRECT(Y$5)))</f>
        <v>0</v>
      </c>
      <c r="Z102" s="593">
        <f ca="1">$E102*(-SUMIF(INDIRECT(Z$3),'Struktur Aktuell'!$D102,INDIRECT(Z$4))+SUMIF(INDIRECT(Z$3),'Struktur Aktuell'!$D102,INDIRECT(Z$5)))</f>
        <v>0</v>
      </c>
      <c r="AA102" s="593">
        <f ca="1">$E102*(-SUMIF(INDIRECT(AA$3),'Struktur Aktuell'!$D102,INDIRECT(AA$4))+SUMIF(INDIRECT(AA$3),'Struktur Aktuell'!$D102,INDIRECT(AA$5)))</f>
        <v>0</v>
      </c>
      <c r="AB102" s="593">
        <f ca="1">$E102*(-SUMIF(INDIRECT(AB$3),'Struktur Aktuell'!$D102,INDIRECT(AB$4))+SUMIF(INDIRECT(AB$3),'Struktur Aktuell'!$D102,INDIRECT(AB$5)))</f>
        <v>0</v>
      </c>
      <c r="AC102" s="593">
        <f ca="1">$E102*(-SUMIF(INDIRECT(AC$3),'Struktur Aktuell'!$D102,INDIRECT(AC$4))+SUMIF(INDIRECT(AC$3),'Struktur Aktuell'!$D102,INDIRECT(AC$5)))</f>
        <v>0</v>
      </c>
      <c r="AD102" s="593">
        <f ca="1">$E102*(-SUMIF(INDIRECT(AD$3),'Struktur Aktuell'!$D102,INDIRECT(AD$4))+SUMIF(INDIRECT(AD$3),'Struktur Aktuell'!$D102,INDIRECT(AD$5)))</f>
        <v>0</v>
      </c>
      <c r="AE102" s="593">
        <f t="shared" ca="1" si="138"/>
        <v>0</v>
      </c>
      <c r="AF102" s="593">
        <f t="shared" ca="1" si="139"/>
        <v>0</v>
      </c>
      <c r="AG102" s="593">
        <f t="shared" ca="1" si="140"/>
        <v>0</v>
      </c>
      <c r="AH102" s="593">
        <f t="shared" ca="1" si="141"/>
        <v>0</v>
      </c>
      <c r="AI102" s="593">
        <f t="shared" ca="1" si="142"/>
        <v>0</v>
      </c>
      <c r="AJ102" s="593">
        <f t="shared" ca="1" si="143"/>
        <v>0</v>
      </c>
      <c r="AK102" s="593">
        <f t="shared" ca="1" si="144"/>
        <v>0</v>
      </c>
      <c r="AL102" s="593">
        <f t="shared" ca="1" si="145"/>
        <v>0</v>
      </c>
      <c r="AM102" s="593">
        <f t="shared" ca="1" si="146"/>
        <v>0</v>
      </c>
      <c r="AN102" s="593">
        <f t="shared" ca="1" si="147"/>
        <v>0</v>
      </c>
      <c r="AO102" s="593">
        <f t="shared" ca="1" si="148"/>
        <v>0</v>
      </c>
      <c r="AP102" s="593">
        <f t="shared" ca="1" si="149"/>
        <v>0</v>
      </c>
    </row>
    <row r="103" spans="1:42" s="594" customFormat="1" ht="11.25" outlineLevel="1" x14ac:dyDescent="0.2">
      <c r="A103" s="590"/>
      <c r="B103" s="591" t="str">
        <f>IF(D103&lt;&gt;"",
IF(ISERROR(MATCH(D103,'Ist Aktuell Monat 01'!A:A,0))=FALSE,INDEX('Ist Aktuell Monat 01'!B:B,MATCH(D103,'Ist Aktuell Monat 01'!A:A,0)),
IF(ISERROR(MATCH(D103,'Ist Aktuell Monat 02'!A:A,0))=FALSE,INDEX('Ist Aktuell Monat 02'!B:B,MATCH(D103,'Ist Aktuell Monat 02'!A:A,0)),
IF(ISERROR(MATCH(D103,'Ist Aktuell Monat 03'!A:A,0))=FALSE,INDEX('Ist Aktuell Monat 03'!B:B,MATCH(D103,'Ist Aktuell Monat 03'!A:A,0)),
IF(ISERROR(MATCH(D103,'Ist Aktuell Monat 04'!A:A,0))=FALSE,INDEX('Ist Aktuell Monat 04'!B:B,MATCH(D103,'Ist Aktuell Monat 04'!A:A,0)),
IF(ISERROR(MATCH(D103,'Ist Aktuell Monat 05'!A:A,0))=FALSE,INDEX('Ist Aktuell Monat 05'!B:B,MATCH(D103,'Ist Aktuell Monat 05'!A:A,0)),
IF(ISERROR(MATCH(D103,'Ist Aktuell Monat 06'!A:A,0))=FALSE,INDEX('Ist Aktuell Monat 06'!B:B,MATCH(D103,'Ist Aktuell Monat 06'!A:A,0)),
IF(ISERROR(MATCH(D103,'Ist Aktuell Monat 07'!A:A,0))=FALSE,INDEX('Ist Aktuell Monat 07'!B:B,MATCH(D103,'Ist Aktuell Monat 07'!A:A,0)),
IF(ISERROR(MATCH(D103,'Ist Aktuell Monat 08'!A:A,0))=FALSE,INDEX('Ist Aktuell Monat 08'!B:B,MATCH(D103,'Ist Aktuell Monat 08'!A:A,0)),
IF(ISERROR(MATCH(D103,'Ist Aktuell Monat 09'!A:A,0))=FALSE,INDEX('Ist Aktuell Monat 09'!B:B,MATCH(D103,'Ist Aktuell Monat 09'!A:A,0)),
IF(ISERROR(MATCH(D103,'Ist Aktuell Monat 10'!A:A,0))=FALSE,INDEX('Ist Aktuell Monat 10'!B:B,MATCH(D103,'Ist Aktuell Monat 10'!A:A,0)),
IF(ISERROR(MATCH(D103,'Ist Aktuell Monat 11'!A:A,0))=FALSE,INDEX('Ist Aktuell Monat 11'!B:B,MATCH(D103,'Ist Aktuell Monat 11'!A:A,0)),
IF(ISERROR(MATCH(D103,'Ist Aktuell Monat 12'!A:A,0))=FALSE,INDEX('Ist Aktuell Monat 12'!B:B,MATCH(D103,'Ist Aktuell Monat 12'!A:A,0)),
"{Konto unbekannt}"
)))))))))))),"")</f>
        <v/>
      </c>
      <c r="C103" s="591"/>
      <c r="D103" s="590"/>
      <c r="E103" s="592">
        <f t="shared" si="77"/>
        <v>1</v>
      </c>
      <c r="F103" s="590"/>
      <c r="G103" s="593">
        <f ca="1">$E103*(-SUMIF(INDIRECT(G$3),'Struktur Aktuell'!$D103,INDIRECT(G$4))+SUMIF(INDIRECT(G$3),'Struktur Aktuell'!$D103,INDIRECT(G$5)))</f>
        <v>0</v>
      </c>
      <c r="H103" s="593">
        <f ca="1">$E103*(-SUMIF(INDIRECT(H$3),'Struktur Aktuell'!$D103,INDIRECT(H$4))+SUMIF(INDIRECT(H$3),'Struktur Aktuell'!$D103,INDIRECT(H$5)))</f>
        <v>0</v>
      </c>
      <c r="I103" s="593">
        <f ca="1">$E103*(-SUMIF(INDIRECT(I$3),'Struktur Aktuell'!$D103,INDIRECT(I$4))+SUMIF(INDIRECT(I$3),'Struktur Aktuell'!$D103,INDIRECT(I$5)))</f>
        <v>0</v>
      </c>
      <c r="J103" s="593">
        <f ca="1">$E103*(-SUMIF(INDIRECT(J$3),'Struktur Aktuell'!$D103,INDIRECT(J$4))+SUMIF(INDIRECT(J$3),'Struktur Aktuell'!$D103,INDIRECT(J$5)))</f>
        <v>0</v>
      </c>
      <c r="K103" s="593">
        <f ca="1">$E103*(-SUMIF(INDIRECT(K$3),'Struktur Aktuell'!$D103,INDIRECT(K$4))+SUMIF(INDIRECT(K$3),'Struktur Aktuell'!$D103,INDIRECT(K$5)))</f>
        <v>0</v>
      </c>
      <c r="L103" s="593">
        <f ca="1">$E103*(-SUMIF(INDIRECT(L$3),'Struktur Aktuell'!$D103,INDIRECT(L$4))+SUMIF(INDIRECT(L$3),'Struktur Aktuell'!$D103,INDIRECT(L$5)))</f>
        <v>0</v>
      </c>
      <c r="M103" s="593">
        <f ca="1">$E103*(-SUMIF(INDIRECT(M$3),'Struktur Aktuell'!$D103,INDIRECT(M$4))+SUMIF(INDIRECT(M$3),'Struktur Aktuell'!$D103,INDIRECT(M$5)))</f>
        <v>0</v>
      </c>
      <c r="N103" s="593">
        <f ca="1">$E103*(-SUMIF(INDIRECT(N$3),'Struktur Aktuell'!$D103,INDIRECT(N$4))+SUMIF(INDIRECT(N$3),'Struktur Aktuell'!$D103,INDIRECT(N$5)))</f>
        <v>0</v>
      </c>
      <c r="O103" s="593">
        <f ca="1">$E103*(-SUMIF(INDIRECT(O$3),'Struktur Aktuell'!$D103,INDIRECT(O$4))+SUMIF(INDIRECT(O$3),'Struktur Aktuell'!$D103,INDIRECT(O$5)))</f>
        <v>0</v>
      </c>
      <c r="P103" s="593">
        <f ca="1">$E103*(-SUMIF(INDIRECT(P$3),'Struktur Aktuell'!$D103,INDIRECT(P$4))+SUMIF(INDIRECT(P$3),'Struktur Aktuell'!$D103,INDIRECT(P$5)))</f>
        <v>0</v>
      </c>
      <c r="Q103" s="593">
        <f ca="1">$E103*(-SUMIF(INDIRECT(Q$3),'Struktur Aktuell'!$D103,INDIRECT(Q$4))+SUMIF(INDIRECT(Q$3),'Struktur Aktuell'!$D103,INDIRECT(Q$5)))</f>
        <v>0</v>
      </c>
      <c r="R103" s="593">
        <f ca="1">$E103*(-SUMIF(INDIRECT(R$3),'Struktur Aktuell'!$D103,INDIRECT(R$4))+SUMIF(INDIRECT(R$3),'Struktur Aktuell'!$D103,INDIRECT(R$5)))</f>
        <v>0</v>
      </c>
      <c r="S103" s="593">
        <f ca="1">$E103*(-SUMIF(INDIRECT(S$3),'Struktur Aktuell'!$D103,INDIRECT(S$4))+SUMIF(INDIRECT(S$3),'Struktur Aktuell'!$D103,INDIRECT(S$5)))</f>
        <v>0</v>
      </c>
      <c r="T103" s="593">
        <f ca="1">$E103*(-SUMIF(INDIRECT(T$3),'Struktur Aktuell'!$D103,INDIRECT(T$4))+SUMIF(INDIRECT(T$3),'Struktur Aktuell'!$D103,INDIRECT(T$5)))</f>
        <v>0</v>
      </c>
      <c r="U103" s="593">
        <f ca="1">$E103*(-SUMIF(INDIRECT(U$3),'Struktur Aktuell'!$D103,INDIRECT(U$4))+SUMIF(INDIRECT(U$3),'Struktur Aktuell'!$D103,INDIRECT(U$5)))</f>
        <v>0</v>
      </c>
      <c r="V103" s="593">
        <f ca="1">$E103*(-SUMIF(INDIRECT(V$3),'Struktur Aktuell'!$D103,INDIRECT(V$4))+SUMIF(INDIRECT(V$3),'Struktur Aktuell'!$D103,INDIRECT(V$5)))</f>
        <v>0</v>
      </c>
      <c r="W103" s="593">
        <f ca="1">$E103*(-SUMIF(INDIRECT(W$3),'Struktur Aktuell'!$D103,INDIRECT(W$4))+SUMIF(INDIRECT(W$3),'Struktur Aktuell'!$D103,INDIRECT(W$5)))</f>
        <v>0</v>
      </c>
      <c r="X103" s="593">
        <f ca="1">$E103*(-SUMIF(INDIRECT(X$3),'Struktur Aktuell'!$D103,INDIRECT(X$4))+SUMIF(INDIRECT(X$3),'Struktur Aktuell'!$D103,INDIRECT(X$5)))</f>
        <v>0</v>
      </c>
      <c r="Y103" s="593">
        <f ca="1">$E103*(-SUMIF(INDIRECT(Y$3),'Struktur Aktuell'!$D103,INDIRECT(Y$4))+SUMIF(INDIRECT(Y$3),'Struktur Aktuell'!$D103,INDIRECT(Y$5)))</f>
        <v>0</v>
      </c>
      <c r="Z103" s="593">
        <f ca="1">$E103*(-SUMIF(INDIRECT(Z$3),'Struktur Aktuell'!$D103,INDIRECT(Z$4))+SUMIF(INDIRECT(Z$3),'Struktur Aktuell'!$D103,INDIRECT(Z$5)))</f>
        <v>0</v>
      </c>
      <c r="AA103" s="593">
        <f ca="1">$E103*(-SUMIF(INDIRECT(AA$3),'Struktur Aktuell'!$D103,INDIRECT(AA$4))+SUMIF(INDIRECT(AA$3),'Struktur Aktuell'!$D103,INDIRECT(AA$5)))</f>
        <v>0</v>
      </c>
      <c r="AB103" s="593">
        <f ca="1">$E103*(-SUMIF(INDIRECT(AB$3),'Struktur Aktuell'!$D103,INDIRECT(AB$4))+SUMIF(INDIRECT(AB$3),'Struktur Aktuell'!$D103,INDIRECT(AB$5)))</f>
        <v>0</v>
      </c>
      <c r="AC103" s="593">
        <f ca="1">$E103*(-SUMIF(INDIRECT(AC$3),'Struktur Aktuell'!$D103,INDIRECT(AC$4))+SUMIF(INDIRECT(AC$3),'Struktur Aktuell'!$D103,INDIRECT(AC$5)))</f>
        <v>0</v>
      </c>
      <c r="AD103" s="593">
        <f ca="1">$E103*(-SUMIF(INDIRECT(AD$3),'Struktur Aktuell'!$D103,INDIRECT(AD$4))+SUMIF(INDIRECT(AD$3),'Struktur Aktuell'!$D103,INDIRECT(AD$5)))</f>
        <v>0</v>
      </c>
      <c r="AE103" s="593">
        <f t="shared" ca="1" si="138"/>
        <v>0</v>
      </c>
      <c r="AF103" s="593">
        <f t="shared" ca="1" si="139"/>
        <v>0</v>
      </c>
      <c r="AG103" s="593">
        <f t="shared" ca="1" si="140"/>
        <v>0</v>
      </c>
      <c r="AH103" s="593">
        <f t="shared" ca="1" si="141"/>
        <v>0</v>
      </c>
      <c r="AI103" s="593">
        <f t="shared" ca="1" si="142"/>
        <v>0</v>
      </c>
      <c r="AJ103" s="593">
        <f t="shared" ca="1" si="143"/>
        <v>0</v>
      </c>
      <c r="AK103" s="593">
        <f t="shared" ca="1" si="144"/>
        <v>0</v>
      </c>
      <c r="AL103" s="593">
        <f t="shared" ca="1" si="145"/>
        <v>0</v>
      </c>
      <c r="AM103" s="593">
        <f t="shared" ca="1" si="146"/>
        <v>0</v>
      </c>
      <c r="AN103" s="593">
        <f t="shared" ca="1" si="147"/>
        <v>0</v>
      </c>
      <c r="AO103" s="593">
        <f t="shared" ca="1" si="148"/>
        <v>0</v>
      </c>
      <c r="AP103" s="593">
        <f t="shared" ca="1" si="149"/>
        <v>0</v>
      </c>
    </row>
    <row r="104" spans="1:42" s="594" customFormat="1" ht="11.25" outlineLevel="1" x14ac:dyDescent="0.2">
      <c r="A104" s="590"/>
      <c r="B104" s="591" t="str">
        <f>IF(D104&lt;&gt;"",
IF(ISERROR(MATCH(D104,'Ist Aktuell Monat 01'!A:A,0))=FALSE,INDEX('Ist Aktuell Monat 01'!B:B,MATCH(D104,'Ist Aktuell Monat 01'!A:A,0)),
IF(ISERROR(MATCH(D104,'Ist Aktuell Monat 02'!A:A,0))=FALSE,INDEX('Ist Aktuell Monat 02'!B:B,MATCH(D104,'Ist Aktuell Monat 02'!A:A,0)),
IF(ISERROR(MATCH(D104,'Ist Aktuell Monat 03'!A:A,0))=FALSE,INDEX('Ist Aktuell Monat 03'!B:B,MATCH(D104,'Ist Aktuell Monat 03'!A:A,0)),
IF(ISERROR(MATCH(D104,'Ist Aktuell Monat 04'!A:A,0))=FALSE,INDEX('Ist Aktuell Monat 04'!B:B,MATCH(D104,'Ist Aktuell Monat 04'!A:A,0)),
IF(ISERROR(MATCH(D104,'Ist Aktuell Monat 05'!A:A,0))=FALSE,INDEX('Ist Aktuell Monat 05'!B:B,MATCH(D104,'Ist Aktuell Monat 05'!A:A,0)),
IF(ISERROR(MATCH(D104,'Ist Aktuell Monat 06'!A:A,0))=FALSE,INDEX('Ist Aktuell Monat 06'!B:B,MATCH(D104,'Ist Aktuell Monat 06'!A:A,0)),
IF(ISERROR(MATCH(D104,'Ist Aktuell Monat 07'!A:A,0))=FALSE,INDEX('Ist Aktuell Monat 07'!B:B,MATCH(D104,'Ist Aktuell Monat 07'!A:A,0)),
IF(ISERROR(MATCH(D104,'Ist Aktuell Monat 08'!A:A,0))=FALSE,INDEX('Ist Aktuell Monat 08'!B:B,MATCH(D104,'Ist Aktuell Monat 08'!A:A,0)),
IF(ISERROR(MATCH(D104,'Ist Aktuell Monat 09'!A:A,0))=FALSE,INDEX('Ist Aktuell Monat 09'!B:B,MATCH(D104,'Ist Aktuell Monat 09'!A:A,0)),
IF(ISERROR(MATCH(D104,'Ist Aktuell Monat 10'!A:A,0))=FALSE,INDEX('Ist Aktuell Monat 10'!B:B,MATCH(D104,'Ist Aktuell Monat 10'!A:A,0)),
IF(ISERROR(MATCH(D104,'Ist Aktuell Monat 11'!A:A,0))=FALSE,INDEX('Ist Aktuell Monat 11'!B:B,MATCH(D104,'Ist Aktuell Monat 11'!A:A,0)),
IF(ISERROR(MATCH(D104,'Ist Aktuell Monat 12'!A:A,0))=FALSE,INDEX('Ist Aktuell Monat 12'!B:B,MATCH(D104,'Ist Aktuell Monat 12'!A:A,0)),
"{Konto unbekannt}"
)))))))))))),"")</f>
        <v/>
      </c>
      <c r="C104" s="591"/>
      <c r="D104" s="590"/>
      <c r="E104" s="592">
        <f t="shared" si="77"/>
        <v>1</v>
      </c>
      <c r="F104" s="590"/>
      <c r="G104" s="593">
        <f ca="1">$E104*(-SUMIF(INDIRECT(G$3),'Struktur Aktuell'!$D104,INDIRECT(G$4))+SUMIF(INDIRECT(G$3),'Struktur Aktuell'!$D104,INDIRECT(G$5)))</f>
        <v>0</v>
      </c>
      <c r="H104" s="593">
        <f ca="1">$E104*(-SUMIF(INDIRECT(H$3),'Struktur Aktuell'!$D104,INDIRECT(H$4))+SUMIF(INDIRECT(H$3),'Struktur Aktuell'!$D104,INDIRECT(H$5)))</f>
        <v>0</v>
      </c>
      <c r="I104" s="593">
        <f ca="1">$E104*(-SUMIF(INDIRECT(I$3),'Struktur Aktuell'!$D104,INDIRECT(I$4))+SUMIF(INDIRECT(I$3),'Struktur Aktuell'!$D104,INDIRECT(I$5)))</f>
        <v>0</v>
      </c>
      <c r="J104" s="593">
        <f ca="1">$E104*(-SUMIF(INDIRECT(J$3),'Struktur Aktuell'!$D104,INDIRECT(J$4))+SUMIF(INDIRECT(J$3),'Struktur Aktuell'!$D104,INDIRECT(J$5)))</f>
        <v>0</v>
      </c>
      <c r="K104" s="593">
        <f ca="1">$E104*(-SUMIF(INDIRECT(K$3),'Struktur Aktuell'!$D104,INDIRECT(K$4))+SUMIF(INDIRECT(K$3),'Struktur Aktuell'!$D104,INDIRECT(K$5)))</f>
        <v>0</v>
      </c>
      <c r="L104" s="593">
        <f ca="1">$E104*(-SUMIF(INDIRECT(L$3),'Struktur Aktuell'!$D104,INDIRECT(L$4))+SUMIF(INDIRECT(L$3),'Struktur Aktuell'!$D104,INDIRECT(L$5)))</f>
        <v>0</v>
      </c>
      <c r="M104" s="593">
        <f ca="1">$E104*(-SUMIF(INDIRECT(M$3),'Struktur Aktuell'!$D104,INDIRECT(M$4))+SUMIF(INDIRECT(M$3),'Struktur Aktuell'!$D104,INDIRECT(M$5)))</f>
        <v>0</v>
      </c>
      <c r="N104" s="593">
        <f ca="1">$E104*(-SUMIF(INDIRECT(N$3),'Struktur Aktuell'!$D104,INDIRECT(N$4))+SUMIF(INDIRECT(N$3),'Struktur Aktuell'!$D104,INDIRECT(N$5)))</f>
        <v>0</v>
      </c>
      <c r="O104" s="593">
        <f ca="1">$E104*(-SUMIF(INDIRECT(O$3),'Struktur Aktuell'!$D104,INDIRECT(O$4))+SUMIF(INDIRECT(O$3),'Struktur Aktuell'!$D104,INDIRECT(O$5)))</f>
        <v>0</v>
      </c>
      <c r="P104" s="593">
        <f ca="1">$E104*(-SUMIF(INDIRECT(P$3),'Struktur Aktuell'!$D104,INDIRECT(P$4))+SUMIF(INDIRECT(P$3),'Struktur Aktuell'!$D104,INDIRECT(P$5)))</f>
        <v>0</v>
      </c>
      <c r="Q104" s="593">
        <f ca="1">$E104*(-SUMIF(INDIRECT(Q$3),'Struktur Aktuell'!$D104,INDIRECT(Q$4))+SUMIF(INDIRECT(Q$3),'Struktur Aktuell'!$D104,INDIRECT(Q$5)))</f>
        <v>0</v>
      </c>
      <c r="R104" s="593">
        <f ca="1">$E104*(-SUMIF(INDIRECT(R$3),'Struktur Aktuell'!$D104,INDIRECT(R$4))+SUMIF(INDIRECT(R$3),'Struktur Aktuell'!$D104,INDIRECT(R$5)))</f>
        <v>0</v>
      </c>
      <c r="S104" s="593">
        <f ca="1">$E104*(-SUMIF(INDIRECT(S$3),'Struktur Aktuell'!$D104,INDIRECT(S$4))+SUMIF(INDIRECT(S$3),'Struktur Aktuell'!$D104,INDIRECT(S$5)))</f>
        <v>0</v>
      </c>
      <c r="T104" s="593">
        <f ca="1">$E104*(-SUMIF(INDIRECT(T$3),'Struktur Aktuell'!$D104,INDIRECT(T$4))+SUMIF(INDIRECT(T$3),'Struktur Aktuell'!$D104,INDIRECT(T$5)))</f>
        <v>0</v>
      </c>
      <c r="U104" s="593">
        <f ca="1">$E104*(-SUMIF(INDIRECT(U$3),'Struktur Aktuell'!$D104,INDIRECT(U$4))+SUMIF(INDIRECT(U$3),'Struktur Aktuell'!$D104,INDIRECT(U$5)))</f>
        <v>0</v>
      </c>
      <c r="V104" s="593">
        <f ca="1">$E104*(-SUMIF(INDIRECT(V$3),'Struktur Aktuell'!$D104,INDIRECT(V$4))+SUMIF(INDIRECT(V$3),'Struktur Aktuell'!$D104,INDIRECT(V$5)))</f>
        <v>0</v>
      </c>
      <c r="W104" s="593">
        <f ca="1">$E104*(-SUMIF(INDIRECT(W$3),'Struktur Aktuell'!$D104,INDIRECT(W$4))+SUMIF(INDIRECT(W$3),'Struktur Aktuell'!$D104,INDIRECT(W$5)))</f>
        <v>0</v>
      </c>
      <c r="X104" s="593">
        <f ca="1">$E104*(-SUMIF(INDIRECT(X$3),'Struktur Aktuell'!$D104,INDIRECT(X$4))+SUMIF(INDIRECT(X$3),'Struktur Aktuell'!$D104,INDIRECT(X$5)))</f>
        <v>0</v>
      </c>
      <c r="Y104" s="593">
        <f ca="1">$E104*(-SUMIF(INDIRECT(Y$3),'Struktur Aktuell'!$D104,INDIRECT(Y$4))+SUMIF(INDIRECT(Y$3),'Struktur Aktuell'!$D104,INDIRECT(Y$5)))</f>
        <v>0</v>
      </c>
      <c r="Z104" s="593">
        <f ca="1">$E104*(-SUMIF(INDIRECT(Z$3),'Struktur Aktuell'!$D104,INDIRECT(Z$4))+SUMIF(INDIRECT(Z$3),'Struktur Aktuell'!$D104,INDIRECT(Z$5)))</f>
        <v>0</v>
      </c>
      <c r="AA104" s="593">
        <f ca="1">$E104*(-SUMIF(INDIRECT(AA$3),'Struktur Aktuell'!$D104,INDIRECT(AA$4))+SUMIF(INDIRECT(AA$3),'Struktur Aktuell'!$D104,INDIRECT(AA$5)))</f>
        <v>0</v>
      </c>
      <c r="AB104" s="593">
        <f ca="1">$E104*(-SUMIF(INDIRECT(AB$3),'Struktur Aktuell'!$D104,INDIRECT(AB$4))+SUMIF(INDIRECT(AB$3),'Struktur Aktuell'!$D104,INDIRECT(AB$5)))</f>
        <v>0</v>
      </c>
      <c r="AC104" s="593">
        <f ca="1">$E104*(-SUMIF(INDIRECT(AC$3),'Struktur Aktuell'!$D104,INDIRECT(AC$4))+SUMIF(INDIRECT(AC$3),'Struktur Aktuell'!$D104,INDIRECT(AC$5)))</f>
        <v>0</v>
      </c>
      <c r="AD104" s="593">
        <f ca="1">$E104*(-SUMIF(INDIRECT(AD$3),'Struktur Aktuell'!$D104,INDIRECT(AD$4))+SUMIF(INDIRECT(AD$3),'Struktur Aktuell'!$D104,INDIRECT(AD$5)))</f>
        <v>0</v>
      </c>
      <c r="AE104" s="593">
        <f t="shared" ca="1" si="138"/>
        <v>0</v>
      </c>
      <c r="AF104" s="593">
        <f t="shared" ca="1" si="139"/>
        <v>0</v>
      </c>
      <c r="AG104" s="593">
        <f t="shared" ca="1" si="140"/>
        <v>0</v>
      </c>
      <c r="AH104" s="593">
        <f t="shared" ca="1" si="141"/>
        <v>0</v>
      </c>
      <c r="AI104" s="593">
        <f t="shared" ca="1" si="142"/>
        <v>0</v>
      </c>
      <c r="AJ104" s="593">
        <f t="shared" ca="1" si="143"/>
        <v>0</v>
      </c>
      <c r="AK104" s="593">
        <f t="shared" ca="1" si="144"/>
        <v>0</v>
      </c>
      <c r="AL104" s="593">
        <f t="shared" ca="1" si="145"/>
        <v>0</v>
      </c>
      <c r="AM104" s="593">
        <f t="shared" ca="1" si="146"/>
        <v>0</v>
      </c>
      <c r="AN104" s="593">
        <f t="shared" ca="1" si="147"/>
        <v>0</v>
      </c>
      <c r="AO104" s="593">
        <f t="shared" ca="1" si="148"/>
        <v>0</v>
      </c>
      <c r="AP104" s="593">
        <f t="shared" ca="1" si="149"/>
        <v>0</v>
      </c>
    </row>
    <row r="105" spans="1:42" s="594" customFormat="1" ht="11.25" outlineLevel="1" x14ac:dyDescent="0.2">
      <c r="A105" s="590"/>
      <c r="B105" s="591" t="str">
        <f>IF(D105&lt;&gt;"",
IF(ISERROR(MATCH(D105,'Ist Aktuell Monat 01'!A:A,0))=FALSE,INDEX('Ist Aktuell Monat 01'!B:B,MATCH(D105,'Ist Aktuell Monat 01'!A:A,0)),
IF(ISERROR(MATCH(D105,'Ist Aktuell Monat 02'!A:A,0))=FALSE,INDEX('Ist Aktuell Monat 02'!B:B,MATCH(D105,'Ist Aktuell Monat 02'!A:A,0)),
IF(ISERROR(MATCH(D105,'Ist Aktuell Monat 03'!A:A,0))=FALSE,INDEX('Ist Aktuell Monat 03'!B:B,MATCH(D105,'Ist Aktuell Monat 03'!A:A,0)),
IF(ISERROR(MATCH(D105,'Ist Aktuell Monat 04'!A:A,0))=FALSE,INDEX('Ist Aktuell Monat 04'!B:B,MATCH(D105,'Ist Aktuell Monat 04'!A:A,0)),
IF(ISERROR(MATCH(D105,'Ist Aktuell Monat 05'!A:A,0))=FALSE,INDEX('Ist Aktuell Monat 05'!B:B,MATCH(D105,'Ist Aktuell Monat 05'!A:A,0)),
IF(ISERROR(MATCH(D105,'Ist Aktuell Monat 06'!A:A,0))=FALSE,INDEX('Ist Aktuell Monat 06'!B:B,MATCH(D105,'Ist Aktuell Monat 06'!A:A,0)),
IF(ISERROR(MATCH(D105,'Ist Aktuell Monat 07'!A:A,0))=FALSE,INDEX('Ist Aktuell Monat 07'!B:B,MATCH(D105,'Ist Aktuell Monat 07'!A:A,0)),
IF(ISERROR(MATCH(D105,'Ist Aktuell Monat 08'!A:A,0))=FALSE,INDEX('Ist Aktuell Monat 08'!B:B,MATCH(D105,'Ist Aktuell Monat 08'!A:A,0)),
IF(ISERROR(MATCH(D105,'Ist Aktuell Monat 09'!A:A,0))=FALSE,INDEX('Ist Aktuell Monat 09'!B:B,MATCH(D105,'Ist Aktuell Monat 09'!A:A,0)),
IF(ISERROR(MATCH(D105,'Ist Aktuell Monat 10'!A:A,0))=FALSE,INDEX('Ist Aktuell Monat 10'!B:B,MATCH(D105,'Ist Aktuell Monat 10'!A:A,0)),
IF(ISERROR(MATCH(D105,'Ist Aktuell Monat 11'!A:A,0))=FALSE,INDEX('Ist Aktuell Monat 11'!B:B,MATCH(D105,'Ist Aktuell Monat 11'!A:A,0)),
IF(ISERROR(MATCH(D105,'Ist Aktuell Monat 12'!A:A,0))=FALSE,INDEX('Ist Aktuell Monat 12'!B:B,MATCH(D105,'Ist Aktuell Monat 12'!A:A,0)),
"{Konto unbekannt}"
)))))))))))),"")</f>
        <v/>
      </c>
      <c r="C105" s="591"/>
      <c r="D105" s="590"/>
      <c r="E105" s="592">
        <f t="shared" si="77"/>
        <v>1</v>
      </c>
      <c r="F105" s="590"/>
      <c r="G105" s="593">
        <f ca="1">$E105*(-SUMIF(INDIRECT(G$3),'Struktur Aktuell'!$D105,INDIRECT(G$4))+SUMIF(INDIRECT(G$3),'Struktur Aktuell'!$D105,INDIRECT(G$5)))</f>
        <v>0</v>
      </c>
      <c r="H105" s="593">
        <f ca="1">$E105*(-SUMIF(INDIRECT(H$3),'Struktur Aktuell'!$D105,INDIRECT(H$4))+SUMIF(INDIRECT(H$3),'Struktur Aktuell'!$D105,INDIRECT(H$5)))</f>
        <v>0</v>
      </c>
      <c r="I105" s="593">
        <f ca="1">$E105*(-SUMIF(INDIRECT(I$3),'Struktur Aktuell'!$D105,INDIRECT(I$4))+SUMIF(INDIRECT(I$3),'Struktur Aktuell'!$D105,INDIRECT(I$5)))</f>
        <v>0</v>
      </c>
      <c r="J105" s="593">
        <f ca="1">$E105*(-SUMIF(INDIRECT(J$3),'Struktur Aktuell'!$D105,INDIRECT(J$4))+SUMIF(INDIRECT(J$3),'Struktur Aktuell'!$D105,INDIRECT(J$5)))</f>
        <v>0</v>
      </c>
      <c r="K105" s="593">
        <f ca="1">$E105*(-SUMIF(INDIRECT(K$3),'Struktur Aktuell'!$D105,INDIRECT(K$4))+SUMIF(INDIRECT(K$3),'Struktur Aktuell'!$D105,INDIRECT(K$5)))</f>
        <v>0</v>
      </c>
      <c r="L105" s="593">
        <f ca="1">$E105*(-SUMIF(INDIRECT(L$3),'Struktur Aktuell'!$D105,INDIRECT(L$4))+SUMIF(INDIRECT(L$3),'Struktur Aktuell'!$D105,INDIRECT(L$5)))</f>
        <v>0</v>
      </c>
      <c r="M105" s="593">
        <f ca="1">$E105*(-SUMIF(INDIRECT(M$3),'Struktur Aktuell'!$D105,INDIRECT(M$4))+SUMIF(INDIRECT(M$3),'Struktur Aktuell'!$D105,INDIRECT(M$5)))</f>
        <v>0</v>
      </c>
      <c r="N105" s="593">
        <f ca="1">$E105*(-SUMIF(INDIRECT(N$3),'Struktur Aktuell'!$D105,INDIRECT(N$4))+SUMIF(INDIRECT(N$3),'Struktur Aktuell'!$D105,INDIRECT(N$5)))</f>
        <v>0</v>
      </c>
      <c r="O105" s="593">
        <f ca="1">$E105*(-SUMIF(INDIRECT(O$3),'Struktur Aktuell'!$D105,INDIRECT(O$4))+SUMIF(INDIRECT(O$3),'Struktur Aktuell'!$D105,INDIRECT(O$5)))</f>
        <v>0</v>
      </c>
      <c r="P105" s="593">
        <f ca="1">$E105*(-SUMIF(INDIRECT(P$3),'Struktur Aktuell'!$D105,INDIRECT(P$4))+SUMIF(INDIRECT(P$3),'Struktur Aktuell'!$D105,INDIRECT(P$5)))</f>
        <v>0</v>
      </c>
      <c r="Q105" s="593">
        <f ca="1">$E105*(-SUMIF(INDIRECT(Q$3),'Struktur Aktuell'!$D105,INDIRECT(Q$4))+SUMIF(INDIRECT(Q$3),'Struktur Aktuell'!$D105,INDIRECT(Q$5)))</f>
        <v>0</v>
      </c>
      <c r="R105" s="593">
        <f ca="1">$E105*(-SUMIF(INDIRECT(R$3),'Struktur Aktuell'!$D105,INDIRECT(R$4))+SUMIF(INDIRECT(R$3),'Struktur Aktuell'!$D105,INDIRECT(R$5)))</f>
        <v>0</v>
      </c>
      <c r="S105" s="593">
        <f ca="1">$E105*(-SUMIF(INDIRECT(S$3),'Struktur Aktuell'!$D105,INDIRECT(S$4))+SUMIF(INDIRECT(S$3),'Struktur Aktuell'!$D105,INDIRECT(S$5)))</f>
        <v>0</v>
      </c>
      <c r="T105" s="593">
        <f ca="1">$E105*(-SUMIF(INDIRECT(T$3),'Struktur Aktuell'!$D105,INDIRECT(T$4))+SUMIF(INDIRECT(T$3),'Struktur Aktuell'!$D105,INDIRECT(T$5)))</f>
        <v>0</v>
      </c>
      <c r="U105" s="593">
        <f ca="1">$E105*(-SUMIF(INDIRECT(U$3),'Struktur Aktuell'!$D105,INDIRECT(U$4))+SUMIF(INDIRECT(U$3),'Struktur Aktuell'!$D105,INDIRECT(U$5)))</f>
        <v>0</v>
      </c>
      <c r="V105" s="593">
        <f ca="1">$E105*(-SUMIF(INDIRECT(V$3),'Struktur Aktuell'!$D105,INDIRECT(V$4))+SUMIF(INDIRECT(V$3),'Struktur Aktuell'!$D105,INDIRECT(V$5)))</f>
        <v>0</v>
      </c>
      <c r="W105" s="593">
        <f ca="1">$E105*(-SUMIF(INDIRECT(W$3),'Struktur Aktuell'!$D105,INDIRECT(W$4))+SUMIF(INDIRECT(W$3),'Struktur Aktuell'!$D105,INDIRECT(W$5)))</f>
        <v>0</v>
      </c>
      <c r="X105" s="593">
        <f ca="1">$E105*(-SUMIF(INDIRECT(X$3),'Struktur Aktuell'!$D105,INDIRECT(X$4))+SUMIF(INDIRECT(X$3),'Struktur Aktuell'!$D105,INDIRECT(X$5)))</f>
        <v>0</v>
      </c>
      <c r="Y105" s="593">
        <f ca="1">$E105*(-SUMIF(INDIRECT(Y$3),'Struktur Aktuell'!$D105,INDIRECT(Y$4))+SUMIF(INDIRECT(Y$3),'Struktur Aktuell'!$D105,INDIRECT(Y$5)))</f>
        <v>0</v>
      </c>
      <c r="Z105" s="593">
        <f ca="1">$E105*(-SUMIF(INDIRECT(Z$3),'Struktur Aktuell'!$D105,INDIRECT(Z$4))+SUMIF(INDIRECT(Z$3),'Struktur Aktuell'!$D105,INDIRECT(Z$5)))</f>
        <v>0</v>
      </c>
      <c r="AA105" s="593">
        <f ca="1">$E105*(-SUMIF(INDIRECT(AA$3),'Struktur Aktuell'!$D105,INDIRECT(AA$4))+SUMIF(INDIRECT(AA$3),'Struktur Aktuell'!$D105,INDIRECT(AA$5)))</f>
        <v>0</v>
      </c>
      <c r="AB105" s="593">
        <f ca="1">$E105*(-SUMIF(INDIRECT(AB$3),'Struktur Aktuell'!$D105,INDIRECT(AB$4))+SUMIF(INDIRECT(AB$3),'Struktur Aktuell'!$D105,INDIRECT(AB$5)))</f>
        <v>0</v>
      </c>
      <c r="AC105" s="593">
        <f ca="1">$E105*(-SUMIF(INDIRECT(AC$3),'Struktur Aktuell'!$D105,INDIRECT(AC$4))+SUMIF(INDIRECT(AC$3),'Struktur Aktuell'!$D105,INDIRECT(AC$5)))</f>
        <v>0</v>
      </c>
      <c r="AD105" s="593">
        <f ca="1">$E105*(-SUMIF(INDIRECT(AD$3),'Struktur Aktuell'!$D105,INDIRECT(AD$4))+SUMIF(INDIRECT(AD$3),'Struktur Aktuell'!$D105,INDIRECT(AD$5)))</f>
        <v>0</v>
      </c>
      <c r="AE105" s="593">
        <f t="shared" ca="1" si="138"/>
        <v>0</v>
      </c>
      <c r="AF105" s="593">
        <f t="shared" ca="1" si="139"/>
        <v>0</v>
      </c>
      <c r="AG105" s="593">
        <f t="shared" ca="1" si="140"/>
        <v>0</v>
      </c>
      <c r="AH105" s="593">
        <f t="shared" ca="1" si="141"/>
        <v>0</v>
      </c>
      <c r="AI105" s="593">
        <f t="shared" ca="1" si="142"/>
        <v>0</v>
      </c>
      <c r="AJ105" s="593">
        <f t="shared" ca="1" si="143"/>
        <v>0</v>
      </c>
      <c r="AK105" s="593">
        <f t="shared" ca="1" si="144"/>
        <v>0</v>
      </c>
      <c r="AL105" s="593">
        <f t="shared" ca="1" si="145"/>
        <v>0</v>
      </c>
      <c r="AM105" s="593">
        <f t="shared" ca="1" si="146"/>
        <v>0</v>
      </c>
      <c r="AN105" s="593">
        <f t="shared" ca="1" si="147"/>
        <v>0</v>
      </c>
      <c r="AO105" s="593">
        <f t="shared" ca="1" si="148"/>
        <v>0</v>
      </c>
      <c r="AP105" s="593">
        <f t="shared" ca="1" si="149"/>
        <v>0</v>
      </c>
    </row>
    <row r="106" spans="1:42" s="594" customFormat="1" ht="11.25" outlineLevel="1" x14ac:dyDescent="0.2">
      <c r="A106" s="590"/>
      <c r="B106" s="591" t="str">
        <f>IF(D106&lt;&gt;"",
IF(ISERROR(MATCH(D106,'Ist Aktuell Monat 01'!A:A,0))=FALSE,INDEX('Ist Aktuell Monat 01'!B:B,MATCH(D106,'Ist Aktuell Monat 01'!A:A,0)),
IF(ISERROR(MATCH(D106,'Ist Aktuell Monat 02'!A:A,0))=FALSE,INDEX('Ist Aktuell Monat 02'!B:B,MATCH(D106,'Ist Aktuell Monat 02'!A:A,0)),
IF(ISERROR(MATCH(D106,'Ist Aktuell Monat 03'!A:A,0))=FALSE,INDEX('Ist Aktuell Monat 03'!B:B,MATCH(D106,'Ist Aktuell Monat 03'!A:A,0)),
IF(ISERROR(MATCH(D106,'Ist Aktuell Monat 04'!A:A,0))=FALSE,INDEX('Ist Aktuell Monat 04'!B:B,MATCH(D106,'Ist Aktuell Monat 04'!A:A,0)),
IF(ISERROR(MATCH(D106,'Ist Aktuell Monat 05'!A:A,0))=FALSE,INDEX('Ist Aktuell Monat 05'!B:B,MATCH(D106,'Ist Aktuell Monat 05'!A:A,0)),
IF(ISERROR(MATCH(D106,'Ist Aktuell Monat 06'!A:A,0))=FALSE,INDEX('Ist Aktuell Monat 06'!B:B,MATCH(D106,'Ist Aktuell Monat 06'!A:A,0)),
IF(ISERROR(MATCH(D106,'Ist Aktuell Monat 07'!A:A,0))=FALSE,INDEX('Ist Aktuell Monat 07'!B:B,MATCH(D106,'Ist Aktuell Monat 07'!A:A,0)),
IF(ISERROR(MATCH(D106,'Ist Aktuell Monat 08'!A:A,0))=FALSE,INDEX('Ist Aktuell Monat 08'!B:B,MATCH(D106,'Ist Aktuell Monat 08'!A:A,0)),
IF(ISERROR(MATCH(D106,'Ist Aktuell Monat 09'!A:A,0))=FALSE,INDEX('Ist Aktuell Monat 09'!B:B,MATCH(D106,'Ist Aktuell Monat 09'!A:A,0)),
IF(ISERROR(MATCH(D106,'Ist Aktuell Monat 10'!A:A,0))=FALSE,INDEX('Ist Aktuell Monat 10'!B:B,MATCH(D106,'Ist Aktuell Monat 10'!A:A,0)),
IF(ISERROR(MATCH(D106,'Ist Aktuell Monat 11'!A:A,0))=FALSE,INDEX('Ist Aktuell Monat 11'!B:B,MATCH(D106,'Ist Aktuell Monat 11'!A:A,0)),
IF(ISERROR(MATCH(D106,'Ist Aktuell Monat 12'!A:A,0))=FALSE,INDEX('Ist Aktuell Monat 12'!B:B,MATCH(D106,'Ist Aktuell Monat 12'!A:A,0)),
"{Konto unbekannt}"
)))))))))))),"")</f>
        <v/>
      </c>
      <c r="C106" s="591"/>
      <c r="D106" s="590"/>
      <c r="E106" s="592">
        <f t="shared" si="77"/>
        <v>1</v>
      </c>
      <c r="F106" s="590"/>
      <c r="G106" s="593">
        <f ca="1">$E106*(-SUMIF(INDIRECT(G$3),'Struktur Aktuell'!$D106,INDIRECT(G$4))+SUMIF(INDIRECT(G$3),'Struktur Aktuell'!$D106,INDIRECT(G$5)))</f>
        <v>0</v>
      </c>
      <c r="H106" s="593">
        <f ca="1">$E106*(-SUMIF(INDIRECT(H$3),'Struktur Aktuell'!$D106,INDIRECT(H$4))+SUMIF(INDIRECT(H$3),'Struktur Aktuell'!$D106,INDIRECT(H$5)))</f>
        <v>0</v>
      </c>
      <c r="I106" s="593">
        <f ca="1">$E106*(-SUMIF(INDIRECT(I$3),'Struktur Aktuell'!$D106,INDIRECT(I$4))+SUMIF(INDIRECT(I$3),'Struktur Aktuell'!$D106,INDIRECT(I$5)))</f>
        <v>0</v>
      </c>
      <c r="J106" s="593">
        <f ca="1">$E106*(-SUMIF(INDIRECT(J$3),'Struktur Aktuell'!$D106,INDIRECT(J$4))+SUMIF(INDIRECT(J$3),'Struktur Aktuell'!$D106,INDIRECT(J$5)))</f>
        <v>0</v>
      </c>
      <c r="K106" s="593">
        <f ca="1">$E106*(-SUMIF(INDIRECT(K$3),'Struktur Aktuell'!$D106,INDIRECT(K$4))+SUMIF(INDIRECT(K$3),'Struktur Aktuell'!$D106,INDIRECT(K$5)))</f>
        <v>0</v>
      </c>
      <c r="L106" s="593">
        <f ca="1">$E106*(-SUMIF(INDIRECT(L$3),'Struktur Aktuell'!$D106,INDIRECT(L$4))+SUMIF(INDIRECT(L$3),'Struktur Aktuell'!$D106,INDIRECT(L$5)))</f>
        <v>0</v>
      </c>
      <c r="M106" s="593">
        <f ca="1">$E106*(-SUMIF(INDIRECT(M$3),'Struktur Aktuell'!$D106,INDIRECT(M$4))+SUMIF(INDIRECT(M$3),'Struktur Aktuell'!$D106,INDIRECT(M$5)))</f>
        <v>0</v>
      </c>
      <c r="N106" s="593">
        <f ca="1">$E106*(-SUMIF(INDIRECT(N$3),'Struktur Aktuell'!$D106,INDIRECT(N$4))+SUMIF(INDIRECT(N$3),'Struktur Aktuell'!$D106,INDIRECT(N$5)))</f>
        <v>0</v>
      </c>
      <c r="O106" s="593">
        <f ca="1">$E106*(-SUMIF(INDIRECT(O$3),'Struktur Aktuell'!$D106,INDIRECT(O$4))+SUMIF(INDIRECT(O$3),'Struktur Aktuell'!$D106,INDIRECT(O$5)))</f>
        <v>0</v>
      </c>
      <c r="P106" s="593">
        <f ca="1">$E106*(-SUMIF(INDIRECT(P$3),'Struktur Aktuell'!$D106,INDIRECT(P$4))+SUMIF(INDIRECT(P$3),'Struktur Aktuell'!$D106,INDIRECT(P$5)))</f>
        <v>0</v>
      </c>
      <c r="Q106" s="593">
        <f ca="1">$E106*(-SUMIF(INDIRECT(Q$3),'Struktur Aktuell'!$D106,INDIRECT(Q$4))+SUMIF(INDIRECT(Q$3),'Struktur Aktuell'!$D106,INDIRECT(Q$5)))</f>
        <v>0</v>
      </c>
      <c r="R106" s="593">
        <f ca="1">$E106*(-SUMIF(INDIRECT(R$3),'Struktur Aktuell'!$D106,INDIRECT(R$4))+SUMIF(INDIRECT(R$3),'Struktur Aktuell'!$D106,INDIRECT(R$5)))</f>
        <v>0</v>
      </c>
      <c r="S106" s="593">
        <f ca="1">$E106*(-SUMIF(INDIRECT(S$3),'Struktur Aktuell'!$D106,INDIRECT(S$4))+SUMIF(INDIRECT(S$3),'Struktur Aktuell'!$D106,INDIRECT(S$5)))</f>
        <v>0</v>
      </c>
      <c r="T106" s="593">
        <f ca="1">$E106*(-SUMIF(INDIRECT(T$3),'Struktur Aktuell'!$D106,INDIRECT(T$4))+SUMIF(INDIRECT(T$3),'Struktur Aktuell'!$D106,INDIRECT(T$5)))</f>
        <v>0</v>
      </c>
      <c r="U106" s="593">
        <f ca="1">$E106*(-SUMIF(INDIRECT(U$3),'Struktur Aktuell'!$D106,INDIRECT(U$4))+SUMIF(INDIRECT(U$3),'Struktur Aktuell'!$D106,INDIRECT(U$5)))</f>
        <v>0</v>
      </c>
      <c r="V106" s="593">
        <f ca="1">$E106*(-SUMIF(INDIRECT(V$3),'Struktur Aktuell'!$D106,INDIRECT(V$4))+SUMIF(INDIRECT(V$3),'Struktur Aktuell'!$D106,INDIRECT(V$5)))</f>
        <v>0</v>
      </c>
      <c r="W106" s="593">
        <f ca="1">$E106*(-SUMIF(INDIRECT(W$3),'Struktur Aktuell'!$D106,INDIRECT(W$4))+SUMIF(INDIRECT(W$3),'Struktur Aktuell'!$D106,INDIRECT(W$5)))</f>
        <v>0</v>
      </c>
      <c r="X106" s="593">
        <f ca="1">$E106*(-SUMIF(INDIRECT(X$3),'Struktur Aktuell'!$D106,INDIRECT(X$4))+SUMIF(INDIRECT(X$3),'Struktur Aktuell'!$D106,INDIRECT(X$5)))</f>
        <v>0</v>
      </c>
      <c r="Y106" s="593">
        <f ca="1">$E106*(-SUMIF(INDIRECT(Y$3),'Struktur Aktuell'!$D106,INDIRECT(Y$4))+SUMIF(INDIRECT(Y$3),'Struktur Aktuell'!$D106,INDIRECT(Y$5)))</f>
        <v>0</v>
      </c>
      <c r="Z106" s="593">
        <f ca="1">$E106*(-SUMIF(INDIRECT(Z$3),'Struktur Aktuell'!$D106,INDIRECT(Z$4))+SUMIF(INDIRECT(Z$3),'Struktur Aktuell'!$D106,INDIRECT(Z$5)))</f>
        <v>0</v>
      </c>
      <c r="AA106" s="593">
        <f ca="1">$E106*(-SUMIF(INDIRECT(AA$3),'Struktur Aktuell'!$D106,INDIRECT(AA$4))+SUMIF(INDIRECT(AA$3),'Struktur Aktuell'!$D106,INDIRECT(AA$5)))</f>
        <v>0</v>
      </c>
      <c r="AB106" s="593">
        <f ca="1">$E106*(-SUMIF(INDIRECT(AB$3),'Struktur Aktuell'!$D106,INDIRECT(AB$4))+SUMIF(INDIRECT(AB$3),'Struktur Aktuell'!$D106,INDIRECT(AB$5)))</f>
        <v>0</v>
      </c>
      <c r="AC106" s="593">
        <f ca="1">$E106*(-SUMIF(INDIRECT(AC$3),'Struktur Aktuell'!$D106,INDIRECT(AC$4))+SUMIF(INDIRECT(AC$3),'Struktur Aktuell'!$D106,INDIRECT(AC$5)))</f>
        <v>0</v>
      </c>
      <c r="AD106" s="593">
        <f ca="1">$E106*(-SUMIF(INDIRECT(AD$3),'Struktur Aktuell'!$D106,INDIRECT(AD$4))+SUMIF(INDIRECT(AD$3),'Struktur Aktuell'!$D106,INDIRECT(AD$5)))</f>
        <v>0</v>
      </c>
      <c r="AE106" s="593">
        <f t="shared" ca="1" si="138"/>
        <v>0</v>
      </c>
      <c r="AF106" s="593">
        <f t="shared" ca="1" si="139"/>
        <v>0</v>
      </c>
      <c r="AG106" s="593">
        <f t="shared" ca="1" si="140"/>
        <v>0</v>
      </c>
      <c r="AH106" s="593">
        <f t="shared" ca="1" si="141"/>
        <v>0</v>
      </c>
      <c r="AI106" s="593">
        <f t="shared" ca="1" si="142"/>
        <v>0</v>
      </c>
      <c r="AJ106" s="593">
        <f t="shared" ca="1" si="143"/>
        <v>0</v>
      </c>
      <c r="AK106" s="593">
        <f t="shared" ca="1" si="144"/>
        <v>0</v>
      </c>
      <c r="AL106" s="593">
        <f t="shared" ca="1" si="145"/>
        <v>0</v>
      </c>
      <c r="AM106" s="593">
        <f t="shared" ca="1" si="146"/>
        <v>0</v>
      </c>
      <c r="AN106" s="593">
        <f t="shared" ca="1" si="147"/>
        <v>0</v>
      </c>
      <c r="AO106" s="593">
        <f t="shared" ca="1" si="148"/>
        <v>0</v>
      </c>
      <c r="AP106" s="593">
        <f t="shared" ca="1" si="149"/>
        <v>0</v>
      </c>
    </row>
    <row r="107" spans="1:42" s="589" customFormat="1" x14ac:dyDescent="0.2">
      <c r="A107" s="595"/>
      <c r="B107" s="596" t="s">
        <v>1005</v>
      </c>
      <c r="C107" s="597">
        <f ca="1">SUM(G107:R107)</f>
        <v>172409.05000000002</v>
      </c>
      <c r="D107" s="597"/>
      <c r="E107" s="598">
        <f t="shared" si="77"/>
        <v>1</v>
      </c>
      <c r="F107" s="595"/>
      <c r="G107" s="597">
        <f ca="1">G46-G47-G62-G71-G80+G89-G98</f>
        <v>10299.98</v>
      </c>
      <c r="H107" s="597">
        <f t="shared" ref="H107:R107" ca="1" si="150">H46-H47-H62-H71-H80+H89-H98</f>
        <v>11966.03</v>
      </c>
      <c r="I107" s="597">
        <f t="shared" ca="1" si="150"/>
        <v>6583.670000000001</v>
      </c>
      <c r="J107" s="597">
        <f t="shared" ca="1" si="150"/>
        <v>13187.8</v>
      </c>
      <c r="K107" s="597">
        <f t="shared" ca="1" si="150"/>
        <v>6876.3300000000008</v>
      </c>
      <c r="L107" s="597">
        <f t="shared" ca="1" si="150"/>
        <v>10712.39</v>
      </c>
      <c r="M107" s="597">
        <f t="shared" ca="1" si="150"/>
        <v>50475.76</v>
      </c>
      <c r="N107" s="597">
        <f t="shared" ca="1" si="150"/>
        <v>19241.64</v>
      </c>
      <c r="O107" s="597">
        <f t="shared" ca="1" si="150"/>
        <v>10717.11</v>
      </c>
      <c r="P107" s="597">
        <f t="shared" ca="1" si="150"/>
        <v>32348.34</v>
      </c>
      <c r="Q107" s="597">
        <f t="shared" ca="1" si="150"/>
        <v>0</v>
      </c>
      <c r="R107" s="597">
        <f t="shared" ca="1" si="150"/>
        <v>0</v>
      </c>
      <c r="S107" s="597">
        <f ca="1">S46-S47-S62-S71-S80+S89-S98</f>
        <v>10299.98</v>
      </c>
      <c r="T107" s="597">
        <f t="shared" ref="T107:AD107" ca="1" si="151">T46-T47-T62-T71-T80+T89-T98</f>
        <v>22266.01</v>
      </c>
      <c r="U107" s="597">
        <f t="shared" ca="1" si="151"/>
        <v>28849.679999999997</v>
      </c>
      <c r="V107" s="597">
        <f t="shared" ca="1" si="151"/>
        <v>42037.479999999996</v>
      </c>
      <c r="W107" s="597">
        <f t="shared" ca="1" si="151"/>
        <v>48913.81</v>
      </c>
      <c r="X107" s="597">
        <f t="shared" ca="1" si="151"/>
        <v>59626.200000000012</v>
      </c>
      <c r="Y107" s="597">
        <f t="shared" ca="1" si="151"/>
        <v>110101.96</v>
      </c>
      <c r="Z107" s="597">
        <f t="shared" ca="1" si="151"/>
        <v>129343.6</v>
      </c>
      <c r="AA107" s="597">
        <f t="shared" ca="1" si="151"/>
        <v>140060.71</v>
      </c>
      <c r="AB107" s="597">
        <f t="shared" ca="1" si="151"/>
        <v>172409.05</v>
      </c>
      <c r="AC107" s="597">
        <f t="shared" ca="1" si="151"/>
        <v>0</v>
      </c>
      <c r="AD107" s="597">
        <f t="shared" ca="1" si="151"/>
        <v>0</v>
      </c>
      <c r="AE107" s="597">
        <f ca="1">AE46-AE47-AE62-AE71-AE80+AE89-AE98</f>
        <v>10299.98</v>
      </c>
      <c r="AF107" s="597">
        <f t="shared" ref="AF107:AP107" ca="1" si="152">AF46-AF47-AF62-AF71-AF80+AF89-AF98</f>
        <v>22266.01</v>
      </c>
      <c r="AG107" s="597">
        <f t="shared" ca="1" si="152"/>
        <v>28849.679999999997</v>
      </c>
      <c r="AH107" s="597">
        <f t="shared" ca="1" si="152"/>
        <v>42037.479999999996</v>
      </c>
      <c r="AI107" s="597">
        <f t="shared" ca="1" si="152"/>
        <v>48913.81</v>
      </c>
      <c r="AJ107" s="597">
        <f t="shared" ca="1" si="152"/>
        <v>59626.200000000012</v>
      </c>
      <c r="AK107" s="597">
        <f t="shared" ca="1" si="152"/>
        <v>110101.96</v>
      </c>
      <c r="AL107" s="597">
        <f t="shared" ca="1" si="152"/>
        <v>129343.6</v>
      </c>
      <c r="AM107" s="597">
        <f t="shared" ca="1" si="152"/>
        <v>140060.71</v>
      </c>
      <c r="AN107" s="597">
        <f t="shared" ca="1" si="152"/>
        <v>172409.05000000005</v>
      </c>
      <c r="AO107" s="597">
        <f t="shared" ca="1" si="152"/>
        <v>172409.05000000005</v>
      </c>
      <c r="AP107" s="597">
        <f t="shared" ca="1" si="152"/>
        <v>172409.05000000005</v>
      </c>
    </row>
    <row r="108" spans="1:42" x14ac:dyDescent="0.2">
      <c r="A108" s="730"/>
      <c r="B108" s="731" t="s">
        <v>369</v>
      </c>
      <c r="C108" s="732">
        <f ca="1">SUM(G108:R108)</f>
        <v>166983.4</v>
      </c>
      <c r="D108" s="732"/>
      <c r="E108" s="733">
        <f t="shared" si="77"/>
        <v>1</v>
      </c>
      <c r="F108" s="730"/>
      <c r="G108" s="732">
        <f ca="1">G109+G127+G136+G144+G153</f>
        <v>16736.91</v>
      </c>
      <c r="H108" s="732">
        <f t="shared" ref="H108:R108" ca="1" si="153">H109+H127+H136+H144+H153</f>
        <v>16707.68</v>
      </c>
      <c r="I108" s="732">
        <f t="shared" ca="1" si="153"/>
        <v>18513.050000000003</v>
      </c>
      <c r="J108" s="732">
        <f t="shared" ca="1" si="153"/>
        <v>17859.550000000003</v>
      </c>
      <c r="K108" s="732">
        <f t="shared" ca="1" si="153"/>
        <v>16386.12</v>
      </c>
      <c r="L108" s="732">
        <f t="shared" ca="1" si="153"/>
        <v>16588.789999999997</v>
      </c>
      <c r="M108" s="732">
        <f t="shared" ca="1" si="153"/>
        <v>18197.36</v>
      </c>
      <c r="N108" s="732">
        <f t="shared" ca="1" si="153"/>
        <v>14484.689999999999</v>
      </c>
      <c r="O108" s="732">
        <f t="shared" ca="1" si="153"/>
        <v>15727.039999999999</v>
      </c>
      <c r="P108" s="732">
        <f t="shared" ca="1" si="153"/>
        <v>15782.21</v>
      </c>
      <c r="Q108" s="732">
        <f t="shared" ca="1" si="153"/>
        <v>0</v>
      </c>
      <c r="R108" s="732">
        <f t="shared" ca="1" si="153"/>
        <v>0</v>
      </c>
      <c r="S108" s="732">
        <f ca="1">S109+S127+S136+S144+S153</f>
        <v>16736.91</v>
      </c>
      <c r="T108" s="732">
        <f t="shared" ref="T108:AD108" ca="1" si="154">T109+T127+T136+T144+T153</f>
        <v>33444.590000000004</v>
      </c>
      <c r="U108" s="732">
        <f t="shared" ca="1" si="154"/>
        <v>51957.640000000007</v>
      </c>
      <c r="V108" s="732">
        <f t="shared" ca="1" si="154"/>
        <v>69817.19</v>
      </c>
      <c r="W108" s="732">
        <f t="shared" ca="1" si="154"/>
        <v>86203.31</v>
      </c>
      <c r="X108" s="732">
        <f t="shared" ca="1" si="154"/>
        <v>102792.1</v>
      </c>
      <c r="Y108" s="732">
        <f t="shared" ca="1" si="154"/>
        <v>120989.46</v>
      </c>
      <c r="Z108" s="732">
        <f t="shared" ca="1" si="154"/>
        <v>135474.15</v>
      </c>
      <c r="AA108" s="732">
        <f t="shared" ca="1" si="154"/>
        <v>151201.19</v>
      </c>
      <c r="AB108" s="732">
        <f t="shared" ca="1" si="154"/>
        <v>166983.4</v>
      </c>
      <c r="AC108" s="732">
        <f t="shared" ca="1" si="154"/>
        <v>0</v>
      </c>
      <c r="AD108" s="732">
        <f t="shared" ca="1" si="154"/>
        <v>0</v>
      </c>
      <c r="AE108" s="732">
        <f ca="1">AE109+AE127+AE136+AE144+AE153</f>
        <v>16736.91</v>
      </c>
      <c r="AF108" s="732">
        <f t="shared" ref="AF108:AP108" ca="1" si="155">AF109+AF127+AF136+AF144+AF153</f>
        <v>33444.590000000004</v>
      </c>
      <c r="AG108" s="732">
        <f t="shared" ca="1" si="155"/>
        <v>51957.640000000007</v>
      </c>
      <c r="AH108" s="732">
        <f t="shared" ca="1" si="155"/>
        <v>69817.19</v>
      </c>
      <c r="AI108" s="732">
        <f t="shared" ca="1" si="155"/>
        <v>86203.31</v>
      </c>
      <c r="AJ108" s="732">
        <f t="shared" ca="1" si="155"/>
        <v>102792.1</v>
      </c>
      <c r="AK108" s="732">
        <f t="shared" ca="1" si="155"/>
        <v>120989.46</v>
      </c>
      <c r="AL108" s="732">
        <f t="shared" ca="1" si="155"/>
        <v>135474.15</v>
      </c>
      <c r="AM108" s="732">
        <f t="shared" ca="1" si="155"/>
        <v>151201.19</v>
      </c>
      <c r="AN108" s="732">
        <f t="shared" ca="1" si="155"/>
        <v>166983.4</v>
      </c>
      <c r="AO108" s="732">
        <f t="shared" ca="1" si="155"/>
        <v>166983.4</v>
      </c>
      <c r="AP108" s="732">
        <f t="shared" ca="1" si="155"/>
        <v>166983.4</v>
      </c>
    </row>
    <row r="109" spans="1:42" s="589" customFormat="1" x14ac:dyDescent="0.2">
      <c r="A109" s="585">
        <v>10</v>
      </c>
      <c r="B109" s="586" t="s">
        <v>1006</v>
      </c>
      <c r="C109" s="587">
        <f ca="1">SUM(G109:R109)</f>
        <v>137936.25</v>
      </c>
      <c r="D109" s="587"/>
      <c r="E109" s="588">
        <f t="shared" si="77"/>
        <v>1</v>
      </c>
      <c r="F109" s="585"/>
      <c r="G109" s="587">
        <f ca="1">SUM(G110:G126)</f>
        <v>14169.970000000001</v>
      </c>
      <c r="H109" s="587">
        <f t="shared" ref="H109:R109" ca="1" si="156">SUM(H110:H126)</f>
        <v>14169.970000000001</v>
      </c>
      <c r="I109" s="587">
        <f t="shared" ca="1" si="156"/>
        <v>15399.600000000002</v>
      </c>
      <c r="J109" s="587">
        <f t="shared" ca="1" si="156"/>
        <v>14893.350000000002</v>
      </c>
      <c r="K109" s="587">
        <f t="shared" ca="1" si="156"/>
        <v>13888.02</v>
      </c>
      <c r="L109" s="587">
        <f t="shared" ca="1" si="156"/>
        <v>14018.8</v>
      </c>
      <c r="M109" s="587">
        <f t="shared" ca="1" si="156"/>
        <v>12716.759999999998</v>
      </c>
      <c r="N109" s="587">
        <f t="shared" ca="1" si="156"/>
        <v>12313.259999999998</v>
      </c>
      <c r="O109" s="587">
        <f t="shared" ca="1" si="156"/>
        <v>13213.259999999998</v>
      </c>
      <c r="P109" s="587">
        <f t="shared" ca="1" si="156"/>
        <v>13153.259999999998</v>
      </c>
      <c r="Q109" s="587">
        <f t="shared" ca="1" si="156"/>
        <v>0</v>
      </c>
      <c r="R109" s="587">
        <f t="shared" ca="1" si="156"/>
        <v>0</v>
      </c>
      <c r="S109" s="587">
        <f ca="1">SUM(S110:S126)</f>
        <v>14169.970000000001</v>
      </c>
      <c r="T109" s="587">
        <f t="shared" ref="T109:AD109" ca="1" si="157">SUM(T110:T126)</f>
        <v>28339.940000000002</v>
      </c>
      <c r="U109" s="587">
        <f t="shared" ca="1" si="157"/>
        <v>43739.54</v>
      </c>
      <c r="V109" s="587">
        <f t="shared" ca="1" si="157"/>
        <v>58632.89</v>
      </c>
      <c r="W109" s="587">
        <f t="shared" ca="1" si="157"/>
        <v>72520.91</v>
      </c>
      <c r="X109" s="587">
        <f t="shared" ca="1" si="157"/>
        <v>86539.71</v>
      </c>
      <c r="Y109" s="587">
        <f t="shared" ca="1" si="157"/>
        <v>99256.47</v>
      </c>
      <c r="Z109" s="587">
        <f t="shared" ca="1" si="157"/>
        <v>111569.73</v>
      </c>
      <c r="AA109" s="587">
        <f t="shared" ca="1" si="157"/>
        <v>124782.98999999999</v>
      </c>
      <c r="AB109" s="587">
        <f t="shared" ca="1" si="157"/>
        <v>137936.25</v>
      </c>
      <c r="AC109" s="587">
        <f t="shared" ca="1" si="157"/>
        <v>0</v>
      </c>
      <c r="AD109" s="587">
        <f t="shared" ca="1" si="157"/>
        <v>0</v>
      </c>
      <c r="AE109" s="587">
        <f ca="1">SUM(AE110:AE126)</f>
        <v>14169.970000000001</v>
      </c>
      <c r="AF109" s="587">
        <f t="shared" ref="AF109:AP109" ca="1" si="158">SUM(AF110:AF126)</f>
        <v>28339.940000000002</v>
      </c>
      <c r="AG109" s="587">
        <f t="shared" ca="1" si="158"/>
        <v>43739.54</v>
      </c>
      <c r="AH109" s="587">
        <f t="shared" ca="1" si="158"/>
        <v>58632.890000000007</v>
      </c>
      <c r="AI109" s="587">
        <f t="shared" ca="1" si="158"/>
        <v>72520.91</v>
      </c>
      <c r="AJ109" s="587">
        <f t="shared" ca="1" si="158"/>
        <v>86539.71</v>
      </c>
      <c r="AK109" s="587">
        <f t="shared" ca="1" si="158"/>
        <v>99256.47</v>
      </c>
      <c r="AL109" s="587">
        <f t="shared" ca="1" si="158"/>
        <v>111569.73</v>
      </c>
      <c r="AM109" s="587">
        <f t="shared" ca="1" si="158"/>
        <v>124782.98999999998</v>
      </c>
      <c r="AN109" s="587">
        <f t="shared" ca="1" si="158"/>
        <v>137936.25</v>
      </c>
      <c r="AO109" s="587">
        <f t="shared" ca="1" si="158"/>
        <v>137936.25</v>
      </c>
      <c r="AP109" s="587">
        <f t="shared" ca="1" si="158"/>
        <v>137936.25</v>
      </c>
    </row>
    <row r="110" spans="1:42" s="594" customFormat="1" ht="11.25" outlineLevel="1" x14ac:dyDescent="0.2">
      <c r="A110" s="590"/>
      <c r="B110" s="591" t="str">
        <f>IF(D110&lt;&gt;"",
IF(ISERROR(MATCH(D110,'Ist Aktuell Monat 01'!A:A,0))=FALSE,INDEX('Ist Aktuell Monat 01'!B:B,MATCH(D110,'Ist Aktuell Monat 01'!A:A,0)),
IF(ISERROR(MATCH(D110,'Ist Aktuell Monat 02'!A:A,0))=FALSE,INDEX('Ist Aktuell Monat 02'!B:B,MATCH(D110,'Ist Aktuell Monat 02'!A:A,0)),
IF(ISERROR(MATCH(D110,'Ist Aktuell Monat 03'!A:A,0))=FALSE,INDEX('Ist Aktuell Monat 03'!B:B,MATCH(D110,'Ist Aktuell Monat 03'!A:A,0)),
IF(ISERROR(MATCH(D110,'Ist Aktuell Monat 04'!A:A,0))=FALSE,INDEX('Ist Aktuell Monat 04'!B:B,MATCH(D110,'Ist Aktuell Monat 04'!A:A,0)),
IF(ISERROR(MATCH(D110,'Ist Aktuell Monat 05'!A:A,0))=FALSE,INDEX('Ist Aktuell Monat 05'!B:B,MATCH(D110,'Ist Aktuell Monat 05'!A:A,0)),
IF(ISERROR(MATCH(D110,'Ist Aktuell Monat 06'!A:A,0))=FALSE,INDEX('Ist Aktuell Monat 06'!B:B,MATCH(D110,'Ist Aktuell Monat 06'!A:A,0)),
IF(ISERROR(MATCH(D110,'Ist Aktuell Monat 07'!A:A,0))=FALSE,INDEX('Ist Aktuell Monat 07'!B:B,MATCH(D110,'Ist Aktuell Monat 07'!A:A,0)),
IF(ISERROR(MATCH(D110,'Ist Aktuell Monat 08'!A:A,0))=FALSE,INDEX('Ist Aktuell Monat 08'!B:B,MATCH(D110,'Ist Aktuell Monat 08'!A:A,0)),
IF(ISERROR(MATCH(D110,'Ist Aktuell Monat 09'!A:A,0))=FALSE,INDEX('Ist Aktuell Monat 09'!B:B,MATCH(D110,'Ist Aktuell Monat 09'!A:A,0)),
IF(ISERROR(MATCH(D110,'Ist Aktuell Monat 10'!A:A,0))=FALSE,INDEX('Ist Aktuell Monat 10'!B:B,MATCH(D110,'Ist Aktuell Monat 10'!A:A,0)),
IF(ISERROR(MATCH(D110,'Ist Aktuell Monat 11'!A:A,0))=FALSE,INDEX('Ist Aktuell Monat 11'!B:B,MATCH(D110,'Ist Aktuell Monat 11'!A:A,0)),
IF(ISERROR(MATCH(D110,'Ist Aktuell Monat 12'!A:A,0))=FALSE,INDEX('Ist Aktuell Monat 12'!B:B,MATCH(D110,'Ist Aktuell Monat 12'!A:A,0)),
"{Konto unbekannt}"
)))))))))))),"")</f>
        <v>Gehälter VIEGA</v>
      </c>
      <c r="C110" s="591"/>
      <c r="D110" s="590">
        <v>4101</v>
      </c>
      <c r="E110" s="592">
        <f t="shared" si="77"/>
        <v>1</v>
      </c>
      <c r="F110" s="590"/>
      <c r="G110" s="593">
        <f ca="1">$E110*(-SUMIF(INDIRECT(G$3),'Struktur Aktuell'!$D110,INDIRECT(G$4))+SUMIF(INDIRECT(G$3),'Struktur Aktuell'!$D110,INDIRECT(G$5)))</f>
        <v>1250</v>
      </c>
      <c r="H110" s="593">
        <f ca="1">$E110*(-SUMIF(INDIRECT(H$3),'Struktur Aktuell'!$D110,INDIRECT(H$4))+SUMIF(INDIRECT(H$3),'Struktur Aktuell'!$D110,INDIRECT(H$5)))</f>
        <v>1250</v>
      </c>
      <c r="I110" s="593">
        <f ca="1">$E110*(-SUMIF(INDIRECT(I$3),'Struktur Aktuell'!$D110,INDIRECT(I$4))+SUMIF(INDIRECT(I$3),'Struktur Aktuell'!$D110,INDIRECT(I$5)))</f>
        <v>1250</v>
      </c>
      <c r="J110" s="593">
        <f ca="1">$E110*(-SUMIF(INDIRECT(J$3),'Struktur Aktuell'!$D110,INDIRECT(J$4))+SUMIF(INDIRECT(J$3),'Struktur Aktuell'!$D110,INDIRECT(J$5)))</f>
        <v>1250</v>
      </c>
      <c r="K110" s="593">
        <f ca="1">$E110*(-SUMIF(INDIRECT(K$3),'Struktur Aktuell'!$D110,INDIRECT(K$4))+SUMIF(INDIRECT(K$3),'Struktur Aktuell'!$D110,INDIRECT(K$5)))</f>
        <v>1250</v>
      </c>
      <c r="L110" s="593">
        <f ca="1">$E110*(-SUMIF(INDIRECT(L$3),'Struktur Aktuell'!$D110,INDIRECT(L$4))+SUMIF(INDIRECT(L$3),'Struktur Aktuell'!$D110,INDIRECT(L$5)))</f>
        <v>1250</v>
      </c>
      <c r="M110" s="593">
        <f ca="1">$E110*(-SUMIF(INDIRECT(M$3),'Struktur Aktuell'!$D110,INDIRECT(M$4))+SUMIF(INDIRECT(M$3),'Struktur Aktuell'!$D110,INDIRECT(M$5)))</f>
        <v>0</v>
      </c>
      <c r="N110" s="593">
        <f ca="1">$E110*(-SUMIF(INDIRECT(N$3),'Struktur Aktuell'!$D110,INDIRECT(N$4))+SUMIF(INDIRECT(N$3),'Struktur Aktuell'!$D110,INDIRECT(N$5)))</f>
        <v>0</v>
      </c>
      <c r="O110" s="593">
        <f ca="1">$E110*(-SUMIF(INDIRECT(O$3),'Struktur Aktuell'!$D110,INDIRECT(O$4))+SUMIF(INDIRECT(O$3),'Struktur Aktuell'!$D110,INDIRECT(O$5)))</f>
        <v>0</v>
      </c>
      <c r="P110" s="593">
        <f ca="1">$E110*(-SUMIF(INDIRECT(P$3),'Struktur Aktuell'!$D110,INDIRECT(P$4))+SUMIF(INDIRECT(P$3),'Struktur Aktuell'!$D110,INDIRECT(P$5)))</f>
        <v>0</v>
      </c>
      <c r="Q110" s="593">
        <f ca="1">$E110*(-SUMIF(INDIRECT(Q$3),'Struktur Aktuell'!$D110,INDIRECT(Q$4))+SUMIF(INDIRECT(Q$3),'Struktur Aktuell'!$D110,INDIRECT(Q$5)))</f>
        <v>0</v>
      </c>
      <c r="R110" s="593">
        <f ca="1">$E110*(-SUMIF(INDIRECT(R$3),'Struktur Aktuell'!$D110,INDIRECT(R$4))+SUMIF(INDIRECT(R$3),'Struktur Aktuell'!$D110,INDIRECT(R$5)))</f>
        <v>0</v>
      </c>
      <c r="S110" s="593">
        <f ca="1">$E110*(-SUMIF(INDIRECT(S$3),'Struktur Aktuell'!$D110,INDIRECT(S$4))+SUMIF(INDIRECT(S$3),'Struktur Aktuell'!$D110,INDIRECT(S$5)))</f>
        <v>1250</v>
      </c>
      <c r="T110" s="593">
        <f ca="1">$E110*(-SUMIF(INDIRECT(T$3),'Struktur Aktuell'!$D110,INDIRECT(T$4))+SUMIF(INDIRECT(T$3),'Struktur Aktuell'!$D110,INDIRECT(T$5)))</f>
        <v>2500</v>
      </c>
      <c r="U110" s="593">
        <f ca="1">$E110*(-SUMIF(INDIRECT(U$3),'Struktur Aktuell'!$D110,INDIRECT(U$4))+SUMIF(INDIRECT(U$3),'Struktur Aktuell'!$D110,INDIRECT(U$5)))</f>
        <v>3750</v>
      </c>
      <c r="V110" s="593">
        <f ca="1">$E110*(-SUMIF(INDIRECT(V$3),'Struktur Aktuell'!$D110,INDIRECT(V$4))+SUMIF(INDIRECT(V$3),'Struktur Aktuell'!$D110,INDIRECT(V$5)))</f>
        <v>5000</v>
      </c>
      <c r="W110" s="593">
        <f ca="1">$E110*(-SUMIF(INDIRECT(W$3),'Struktur Aktuell'!$D110,INDIRECT(W$4))+SUMIF(INDIRECT(W$3),'Struktur Aktuell'!$D110,INDIRECT(W$5)))</f>
        <v>6250</v>
      </c>
      <c r="X110" s="593">
        <f ca="1">$E110*(-SUMIF(INDIRECT(X$3),'Struktur Aktuell'!$D110,INDIRECT(X$4))+SUMIF(INDIRECT(X$3),'Struktur Aktuell'!$D110,INDIRECT(X$5)))</f>
        <v>7500</v>
      </c>
      <c r="Y110" s="593">
        <f ca="1">$E110*(-SUMIF(INDIRECT(Y$3),'Struktur Aktuell'!$D110,INDIRECT(Y$4))+SUMIF(INDIRECT(Y$3),'Struktur Aktuell'!$D110,INDIRECT(Y$5)))</f>
        <v>7500</v>
      </c>
      <c r="Z110" s="593">
        <f ca="1">$E110*(-SUMIF(INDIRECT(Z$3),'Struktur Aktuell'!$D110,INDIRECT(Z$4))+SUMIF(INDIRECT(Z$3),'Struktur Aktuell'!$D110,INDIRECT(Z$5)))</f>
        <v>7500</v>
      </c>
      <c r="AA110" s="593">
        <f ca="1">$E110*(-SUMIF(INDIRECT(AA$3),'Struktur Aktuell'!$D110,INDIRECT(AA$4))+SUMIF(INDIRECT(AA$3),'Struktur Aktuell'!$D110,INDIRECT(AA$5)))</f>
        <v>7500</v>
      </c>
      <c r="AB110" s="593">
        <f ca="1">$E110*(-SUMIF(INDIRECT(AB$3),'Struktur Aktuell'!$D110,INDIRECT(AB$4))+SUMIF(INDIRECT(AB$3),'Struktur Aktuell'!$D110,INDIRECT(AB$5)))</f>
        <v>7500</v>
      </c>
      <c r="AC110" s="593">
        <f ca="1">$E110*(-SUMIF(INDIRECT(AC$3),'Struktur Aktuell'!$D110,INDIRECT(AC$4))+SUMIF(INDIRECT(AC$3),'Struktur Aktuell'!$D110,INDIRECT(AC$5)))</f>
        <v>0</v>
      </c>
      <c r="AD110" s="593">
        <f ca="1">$E110*(-SUMIF(INDIRECT(AD$3),'Struktur Aktuell'!$D110,INDIRECT(AD$4))+SUMIF(INDIRECT(AD$3),'Struktur Aktuell'!$D110,INDIRECT(AD$5)))</f>
        <v>0</v>
      </c>
      <c r="AE110" s="593">
        <f t="shared" ref="AE110:AE126" ca="1" si="159">G110</f>
        <v>1250</v>
      </c>
      <c r="AF110" s="593">
        <f t="shared" ref="AF110:AF126" ca="1" si="160">H110+AE110</f>
        <v>2500</v>
      </c>
      <c r="AG110" s="593">
        <f t="shared" ref="AG110:AG126" ca="1" si="161">I110+AF110</f>
        <v>3750</v>
      </c>
      <c r="AH110" s="593">
        <f t="shared" ref="AH110:AH126" ca="1" si="162">J110+AG110</f>
        <v>5000</v>
      </c>
      <c r="AI110" s="593">
        <f t="shared" ref="AI110:AI126" ca="1" si="163">K110+AH110</f>
        <v>6250</v>
      </c>
      <c r="AJ110" s="593">
        <f t="shared" ref="AJ110:AJ126" ca="1" si="164">L110+AI110</f>
        <v>7500</v>
      </c>
      <c r="AK110" s="593">
        <f t="shared" ref="AK110:AK126" ca="1" si="165">M110+AJ110</f>
        <v>7500</v>
      </c>
      <c r="AL110" s="593">
        <f t="shared" ref="AL110:AL126" ca="1" si="166">N110+AK110</f>
        <v>7500</v>
      </c>
      <c r="AM110" s="593">
        <f t="shared" ref="AM110:AM126" ca="1" si="167">O110+AL110</f>
        <v>7500</v>
      </c>
      <c r="AN110" s="593">
        <f t="shared" ref="AN110:AN126" ca="1" si="168">P110+AM110</f>
        <v>7500</v>
      </c>
      <c r="AO110" s="593">
        <f t="shared" ref="AO110:AO126" ca="1" si="169">Q110+AN110</f>
        <v>7500</v>
      </c>
      <c r="AP110" s="593">
        <f t="shared" ref="AP110:AP126" ca="1" si="170">R110+AO110</f>
        <v>7500</v>
      </c>
    </row>
    <row r="111" spans="1:42" s="594" customFormat="1" ht="11.25" outlineLevel="1" x14ac:dyDescent="0.2">
      <c r="A111" s="590"/>
      <c r="B111" s="591" t="str">
        <f>IF(D111&lt;&gt;"",
IF(ISERROR(MATCH(D111,'Ist Aktuell Monat 01'!A:A,0))=FALSE,INDEX('Ist Aktuell Monat 01'!B:B,MATCH(D111,'Ist Aktuell Monat 01'!A:A,0)),
IF(ISERROR(MATCH(D111,'Ist Aktuell Monat 02'!A:A,0))=FALSE,INDEX('Ist Aktuell Monat 02'!B:B,MATCH(D111,'Ist Aktuell Monat 02'!A:A,0)),
IF(ISERROR(MATCH(D111,'Ist Aktuell Monat 03'!A:A,0))=FALSE,INDEX('Ist Aktuell Monat 03'!B:B,MATCH(D111,'Ist Aktuell Monat 03'!A:A,0)),
IF(ISERROR(MATCH(D111,'Ist Aktuell Monat 04'!A:A,0))=FALSE,INDEX('Ist Aktuell Monat 04'!B:B,MATCH(D111,'Ist Aktuell Monat 04'!A:A,0)),
IF(ISERROR(MATCH(D111,'Ist Aktuell Monat 05'!A:A,0))=FALSE,INDEX('Ist Aktuell Monat 05'!B:B,MATCH(D111,'Ist Aktuell Monat 05'!A:A,0)),
IF(ISERROR(MATCH(D111,'Ist Aktuell Monat 06'!A:A,0))=FALSE,INDEX('Ist Aktuell Monat 06'!B:B,MATCH(D111,'Ist Aktuell Monat 06'!A:A,0)),
IF(ISERROR(MATCH(D111,'Ist Aktuell Monat 07'!A:A,0))=FALSE,INDEX('Ist Aktuell Monat 07'!B:B,MATCH(D111,'Ist Aktuell Monat 07'!A:A,0)),
IF(ISERROR(MATCH(D111,'Ist Aktuell Monat 08'!A:A,0))=FALSE,INDEX('Ist Aktuell Monat 08'!B:B,MATCH(D111,'Ist Aktuell Monat 08'!A:A,0)),
IF(ISERROR(MATCH(D111,'Ist Aktuell Monat 09'!A:A,0))=FALSE,INDEX('Ist Aktuell Monat 09'!B:B,MATCH(D111,'Ist Aktuell Monat 09'!A:A,0)),
IF(ISERROR(MATCH(D111,'Ist Aktuell Monat 10'!A:A,0))=FALSE,INDEX('Ist Aktuell Monat 10'!B:B,MATCH(D111,'Ist Aktuell Monat 10'!A:A,0)),
IF(ISERROR(MATCH(D111,'Ist Aktuell Monat 11'!A:A,0))=FALSE,INDEX('Ist Aktuell Monat 11'!B:B,MATCH(D111,'Ist Aktuell Monat 11'!A:A,0)),
IF(ISERROR(MATCH(D111,'Ist Aktuell Monat 12'!A:A,0))=FALSE,INDEX('Ist Aktuell Monat 12'!B:B,MATCH(D111,'Ist Aktuell Monat 12'!A:A,0)),
"{Konto unbekannt}"
)))))))))))),"")</f>
        <v>Gehälter Datenschutz-Beauftragung</v>
      </c>
      <c r="C111" s="591"/>
      <c r="D111" s="590">
        <v>4102</v>
      </c>
      <c r="E111" s="592">
        <f t="shared" si="77"/>
        <v>1</v>
      </c>
      <c r="F111" s="590"/>
      <c r="G111" s="593">
        <f ca="1">$E111*(-SUMIF(INDIRECT(G$3),'Struktur Aktuell'!$D111,INDIRECT(G$4))+SUMIF(INDIRECT(G$3),'Struktur Aktuell'!$D111,INDIRECT(G$5)))</f>
        <v>1120.3800000000001</v>
      </c>
      <c r="H111" s="593">
        <f ca="1">$E111*(-SUMIF(INDIRECT(H$3),'Struktur Aktuell'!$D111,INDIRECT(H$4))+SUMIF(INDIRECT(H$3),'Struktur Aktuell'!$D111,INDIRECT(H$5)))</f>
        <v>1120.3800000000001</v>
      </c>
      <c r="I111" s="593">
        <f ca="1">$E111*(-SUMIF(INDIRECT(I$3),'Struktur Aktuell'!$D111,INDIRECT(I$4))+SUMIF(INDIRECT(I$3),'Struktur Aktuell'!$D111,INDIRECT(I$5)))</f>
        <v>1120.3800000000001</v>
      </c>
      <c r="J111" s="593">
        <f ca="1">$E111*(-SUMIF(INDIRECT(J$3),'Struktur Aktuell'!$D111,INDIRECT(J$4))+SUMIF(INDIRECT(J$3),'Struktur Aktuell'!$D111,INDIRECT(J$5)))</f>
        <v>1120.3699999999999</v>
      </c>
      <c r="K111" s="593">
        <f ca="1">$E111*(-SUMIF(INDIRECT(K$3),'Struktur Aktuell'!$D111,INDIRECT(K$4))+SUMIF(INDIRECT(K$3),'Struktur Aktuell'!$D111,INDIRECT(K$5)))</f>
        <v>1120.3699999999999</v>
      </c>
      <c r="L111" s="593">
        <f ca="1">$E111*(-SUMIF(INDIRECT(L$3),'Struktur Aktuell'!$D111,INDIRECT(L$4))+SUMIF(INDIRECT(L$3),'Struktur Aktuell'!$D111,INDIRECT(L$5)))</f>
        <v>1120.3699999999999</v>
      </c>
      <c r="M111" s="593">
        <f ca="1">$E111*(-SUMIF(INDIRECT(M$3),'Struktur Aktuell'!$D111,INDIRECT(M$4))+SUMIF(INDIRECT(M$3),'Struktur Aktuell'!$D111,INDIRECT(M$5)))</f>
        <v>0</v>
      </c>
      <c r="N111" s="593">
        <f ca="1">$E111*(-SUMIF(INDIRECT(N$3),'Struktur Aktuell'!$D111,INDIRECT(N$4))+SUMIF(INDIRECT(N$3),'Struktur Aktuell'!$D111,INDIRECT(N$5)))</f>
        <v>0</v>
      </c>
      <c r="O111" s="593">
        <f ca="1">$E111*(-SUMIF(INDIRECT(O$3),'Struktur Aktuell'!$D111,INDIRECT(O$4))+SUMIF(INDIRECT(O$3),'Struktur Aktuell'!$D111,INDIRECT(O$5)))</f>
        <v>0</v>
      </c>
      <c r="P111" s="593">
        <f ca="1">$E111*(-SUMIF(INDIRECT(P$3),'Struktur Aktuell'!$D111,INDIRECT(P$4))+SUMIF(INDIRECT(P$3),'Struktur Aktuell'!$D111,INDIRECT(P$5)))</f>
        <v>0</v>
      </c>
      <c r="Q111" s="593">
        <f ca="1">$E111*(-SUMIF(INDIRECT(Q$3),'Struktur Aktuell'!$D111,INDIRECT(Q$4))+SUMIF(INDIRECT(Q$3),'Struktur Aktuell'!$D111,INDIRECT(Q$5)))</f>
        <v>0</v>
      </c>
      <c r="R111" s="593">
        <f ca="1">$E111*(-SUMIF(INDIRECT(R$3),'Struktur Aktuell'!$D111,INDIRECT(R$4))+SUMIF(INDIRECT(R$3),'Struktur Aktuell'!$D111,INDIRECT(R$5)))</f>
        <v>0</v>
      </c>
      <c r="S111" s="593">
        <f ca="1">$E111*(-SUMIF(INDIRECT(S$3),'Struktur Aktuell'!$D111,INDIRECT(S$4))+SUMIF(INDIRECT(S$3),'Struktur Aktuell'!$D111,INDIRECT(S$5)))</f>
        <v>1120.3800000000001</v>
      </c>
      <c r="T111" s="593">
        <f ca="1">$E111*(-SUMIF(INDIRECT(T$3),'Struktur Aktuell'!$D111,INDIRECT(T$4))+SUMIF(INDIRECT(T$3),'Struktur Aktuell'!$D111,INDIRECT(T$5)))</f>
        <v>2240.7600000000002</v>
      </c>
      <c r="U111" s="593">
        <f ca="1">$E111*(-SUMIF(INDIRECT(U$3),'Struktur Aktuell'!$D111,INDIRECT(U$4))+SUMIF(INDIRECT(U$3),'Struktur Aktuell'!$D111,INDIRECT(U$5)))</f>
        <v>3361.14</v>
      </c>
      <c r="V111" s="593">
        <f ca="1">$E111*(-SUMIF(INDIRECT(V$3),'Struktur Aktuell'!$D111,INDIRECT(V$4))+SUMIF(INDIRECT(V$3),'Struktur Aktuell'!$D111,INDIRECT(V$5)))</f>
        <v>4481.51</v>
      </c>
      <c r="W111" s="593">
        <f ca="1">$E111*(-SUMIF(INDIRECT(W$3),'Struktur Aktuell'!$D111,INDIRECT(W$4))+SUMIF(INDIRECT(W$3),'Struktur Aktuell'!$D111,INDIRECT(W$5)))</f>
        <v>5601.88</v>
      </c>
      <c r="X111" s="593">
        <f ca="1">$E111*(-SUMIF(INDIRECT(X$3),'Struktur Aktuell'!$D111,INDIRECT(X$4))+SUMIF(INDIRECT(X$3),'Struktur Aktuell'!$D111,INDIRECT(X$5)))</f>
        <v>6722.25</v>
      </c>
      <c r="Y111" s="593">
        <f ca="1">$E111*(-SUMIF(INDIRECT(Y$3),'Struktur Aktuell'!$D111,INDIRECT(Y$4))+SUMIF(INDIRECT(Y$3),'Struktur Aktuell'!$D111,INDIRECT(Y$5)))</f>
        <v>6722.25</v>
      </c>
      <c r="Z111" s="593">
        <f ca="1">$E111*(-SUMIF(INDIRECT(Z$3),'Struktur Aktuell'!$D111,INDIRECT(Z$4))+SUMIF(INDIRECT(Z$3),'Struktur Aktuell'!$D111,INDIRECT(Z$5)))</f>
        <v>6722.25</v>
      </c>
      <c r="AA111" s="593">
        <f ca="1">$E111*(-SUMIF(INDIRECT(AA$3),'Struktur Aktuell'!$D111,INDIRECT(AA$4))+SUMIF(INDIRECT(AA$3),'Struktur Aktuell'!$D111,INDIRECT(AA$5)))</f>
        <v>6722.25</v>
      </c>
      <c r="AB111" s="593">
        <f ca="1">$E111*(-SUMIF(INDIRECT(AB$3),'Struktur Aktuell'!$D111,INDIRECT(AB$4))+SUMIF(INDIRECT(AB$3),'Struktur Aktuell'!$D111,INDIRECT(AB$5)))</f>
        <v>6722.25</v>
      </c>
      <c r="AC111" s="593">
        <f ca="1">$E111*(-SUMIF(INDIRECT(AC$3),'Struktur Aktuell'!$D111,INDIRECT(AC$4))+SUMIF(INDIRECT(AC$3),'Struktur Aktuell'!$D111,INDIRECT(AC$5)))</f>
        <v>0</v>
      </c>
      <c r="AD111" s="593">
        <f ca="1">$E111*(-SUMIF(INDIRECT(AD$3),'Struktur Aktuell'!$D111,INDIRECT(AD$4))+SUMIF(INDIRECT(AD$3),'Struktur Aktuell'!$D111,INDIRECT(AD$5)))</f>
        <v>0</v>
      </c>
      <c r="AE111" s="593">
        <f t="shared" ca="1" si="159"/>
        <v>1120.3800000000001</v>
      </c>
      <c r="AF111" s="593">
        <f t="shared" ca="1" si="160"/>
        <v>2240.7600000000002</v>
      </c>
      <c r="AG111" s="593">
        <f t="shared" ca="1" si="161"/>
        <v>3361.1400000000003</v>
      </c>
      <c r="AH111" s="593">
        <f t="shared" ca="1" si="162"/>
        <v>4481.51</v>
      </c>
      <c r="AI111" s="593">
        <f t="shared" ca="1" si="163"/>
        <v>5601.88</v>
      </c>
      <c r="AJ111" s="593">
        <f t="shared" ca="1" si="164"/>
        <v>6722.25</v>
      </c>
      <c r="AK111" s="593">
        <f t="shared" ca="1" si="165"/>
        <v>6722.25</v>
      </c>
      <c r="AL111" s="593">
        <f t="shared" ca="1" si="166"/>
        <v>6722.25</v>
      </c>
      <c r="AM111" s="593">
        <f t="shared" ca="1" si="167"/>
        <v>6722.25</v>
      </c>
      <c r="AN111" s="593">
        <f t="shared" ca="1" si="168"/>
        <v>6722.25</v>
      </c>
      <c r="AO111" s="593">
        <f t="shared" ca="1" si="169"/>
        <v>6722.25</v>
      </c>
      <c r="AP111" s="593">
        <f t="shared" ca="1" si="170"/>
        <v>6722.25</v>
      </c>
    </row>
    <row r="112" spans="1:42" s="601" customFormat="1" ht="11.25" outlineLevel="1" x14ac:dyDescent="0.2">
      <c r="A112" s="600"/>
      <c r="B112" s="591" t="str">
        <f>IF(D112&lt;&gt;"",
IF(ISERROR(MATCH(D112,'Ist Aktuell Monat 01'!A:A,0))=FALSE,INDEX('Ist Aktuell Monat 01'!B:B,MATCH(D112,'Ist Aktuell Monat 01'!A:A,0)),
IF(ISERROR(MATCH(D112,'Ist Aktuell Monat 02'!A:A,0))=FALSE,INDEX('Ist Aktuell Monat 02'!B:B,MATCH(D112,'Ist Aktuell Monat 02'!A:A,0)),
IF(ISERROR(MATCH(D112,'Ist Aktuell Monat 03'!A:A,0))=FALSE,INDEX('Ist Aktuell Monat 03'!B:B,MATCH(D112,'Ist Aktuell Monat 03'!A:A,0)),
IF(ISERROR(MATCH(D112,'Ist Aktuell Monat 04'!A:A,0))=FALSE,INDEX('Ist Aktuell Monat 04'!B:B,MATCH(D112,'Ist Aktuell Monat 04'!A:A,0)),
IF(ISERROR(MATCH(D112,'Ist Aktuell Monat 05'!A:A,0))=FALSE,INDEX('Ist Aktuell Monat 05'!B:B,MATCH(D112,'Ist Aktuell Monat 05'!A:A,0)),
IF(ISERROR(MATCH(D112,'Ist Aktuell Monat 06'!A:A,0))=FALSE,INDEX('Ist Aktuell Monat 06'!B:B,MATCH(D112,'Ist Aktuell Monat 06'!A:A,0)),
IF(ISERROR(MATCH(D112,'Ist Aktuell Monat 07'!A:A,0))=FALSE,INDEX('Ist Aktuell Monat 07'!B:B,MATCH(D112,'Ist Aktuell Monat 07'!A:A,0)),
IF(ISERROR(MATCH(D112,'Ist Aktuell Monat 08'!A:A,0))=FALSE,INDEX('Ist Aktuell Monat 08'!B:B,MATCH(D112,'Ist Aktuell Monat 08'!A:A,0)),
IF(ISERROR(MATCH(D112,'Ist Aktuell Monat 09'!A:A,0))=FALSE,INDEX('Ist Aktuell Monat 09'!B:B,MATCH(D112,'Ist Aktuell Monat 09'!A:A,0)),
IF(ISERROR(MATCH(D112,'Ist Aktuell Monat 10'!A:A,0))=FALSE,INDEX('Ist Aktuell Monat 10'!B:B,MATCH(D112,'Ist Aktuell Monat 10'!A:A,0)),
IF(ISERROR(MATCH(D112,'Ist Aktuell Monat 11'!A:A,0))=FALSE,INDEX('Ist Aktuell Monat 11'!B:B,MATCH(D112,'Ist Aktuell Monat 11'!A:A,0)),
IF(ISERROR(MATCH(D112,'Ist Aktuell Monat 12'!A:A,0))=FALSE,INDEX('Ist Aktuell Monat 12'!B:B,MATCH(D112,'Ist Aktuell Monat 12'!A:A,0)),
"{Konto unbekannt}"
)))))))))))),"")</f>
        <v>Gehälter Website &amp; Softwareprodukte</v>
      </c>
      <c r="C112" s="591"/>
      <c r="D112" s="590">
        <v>4103</v>
      </c>
      <c r="E112" s="592">
        <f t="shared" si="77"/>
        <v>1</v>
      </c>
      <c r="F112" s="600"/>
      <c r="G112" s="593">
        <f ca="1">$E112*(-SUMIF(INDIRECT(G$3),'Struktur Aktuell'!$D112,INDIRECT(G$4))+SUMIF(INDIRECT(G$3),'Struktur Aktuell'!$D112,INDIRECT(G$5)))</f>
        <v>1895.37</v>
      </c>
      <c r="H112" s="593">
        <f ca="1">$E112*(-SUMIF(INDIRECT(H$3),'Struktur Aktuell'!$D112,INDIRECT(H$4))+SUMIF(INDIRECT(H$3),'Struktur Aktuell'!$D112,INDIRECT(H$5)))</f>
        <v>1895.37</v>
      </c>
      <c r="I112" s="593">
        <f ca="1">$E112*(-SUMIF(INDIRECT(I$3),'Struktur Aktuell'!$D112,INDIRECT(I$4))+SUMIF(INDIRECT(I$3),'Struktur Aktuell'!$D112,INDIRECT(I$5)))</f>
        <v>1895.37</v>
      </c>
      <c r="J112" s="593">
        <f ca="1">$E112*(-SUMIF(INDIRECT(J$3),'Struktur Aktuell'!$D112,INDIRECT(J$4))+SUMIF(INDIRECT(J$3),'Struktur Aktuell'!$D112,INDIRECT(J$5)))</f>
        <v>1895.38</v>
      </c>
      <c r="K112" s="593">
        <f ca="1">$E112*(-SUMIF(INDIRECT(K$3),'Struktur Aktuell'!$D112,INDIRECT(K$4))+SUMIF(INDIRECT(K$3),'Struktur Aktuell'!$D112,INDIRECT(K$5)))</f>
        <v>1895.38</v>
      </c>
      <c r="L112" s="593">
        <f ca="1">$E112*(-SUMIF(INDIRECT(L$3),'Struktur Aktuell'!$D112,INDIRECT(L$4))+SUMIF(INDIRECT(L$3),'Struktur Aktuell'!$D112,INDIRECT(L$5)))</f>
        <v>2070.38</v>
      </c>
      <c r="M112" s="593">
        <f ca="1">$E112*(-SUMIF(INDIRECT(M$3),'Struktur Aktuell'!$D112,INDIRECT(M$4))+SUMIF(INDIRECT(M$3),'Struktur Aktuell'!$D112,INDIRECT(M$5)))</f>
        <v>0</v>
      </c>
      <c r="N112" s="593">
        <f ca="1">$E112*(-SUMIF(INDIRECT(N$3),'Struktur Aktuell'!$D112,INDIRECT(N$4))+SUMIF(INDIRECT(N$3),'Struktur Aktuell'!$D112,INDIRECT(N$5)))</f>
        <v>0</v>
      </c>
      <c r="O112" s="593">
        <f ca="1">$E112*(-SUMIF(INDIRECT(O$3),'Struktur Aktuell'!$D112,INDIRECT(O$4))+SUMIF(INDIRECT(O$3),'Struktur Aktuell'!$D112,INDIRECT(O$5)))</f>
        <v>0</v>
      </c>
      <c r="P112" s="593">
        <f ca="1">$E112*(-SUMIF(INDIRECT(P$3),'Struktur Aktuell'!$D112,INDIRECT(P$4))+SUMIF(INDIRECT(P$3),'Struktur Aktuell'!$D112,INDIRECT(P$5)))</f>
        <v>0</v>
      </c>
      <c r="Q112" s="593">
        <f ca="1">$E112*(-SUMIF(INDIRECT(Q$3),'Struktur Aktuell'!$D112,INDIRECT(Q$4))+SUMIF(INDIRECT(Q$3),'Struktur Aktuell'!$D112,INDIRECT(Q$5)))</f>
        <v>0</v>
      </c>
      <c r="R112" s="593">
        <f ca="1">$E112*(-SUMIF(INDIRECT(R$3),'Struktur Aktuell'!$D112,INDIRECT(R$4))+SUMIF(INDIRECT(R$3),'Struktur Aktuell'!$D112,INDIRECT(R$5)))</f>
        <v>0</v>
      </c>
      <c r="S112" s="593">
        <f ca="1">$E112*(-SUMIF(INDIRECT(S$3),'Struktur Aktuell'!$D112,INDIRECT(S$4))+SUMIF(INDIRECT(S$3),'Struktur Aktuell'!$D112,INDIRECT(S$5)))</f>
        <v>1895.37</v>
      </c>
      <c r="T112" s="593">
        <f ca="1">$E112*(-SUMIF(INDIRECT(T$3),'Struktur Aktuell'!$D112,INDIRECT(T$4))+SUMIF(INDIRECT(T$3),'Struktur Aktuell'!$D112,INDIRECT(T$5)))</f>
        <v>3790.74</v>
      </c>
      <c r="U112" s="593">
        <f ca="1">$E112*(-SUMIF(INDIRECT(U$3),'Struktur Aktuell'!$D112,INDIRECT(U$4))+SUMIF(INDIRECT(U$3),'Struktur Aktuell'!$D112,INDIRECT(U$5)))</f>
        <v>5686.11</v>
      </c>
      <c r="V112" s="593">
        <f ca="1">$E112*(-SUMIF(INDIRECT(V$3),'Struktur Aktuell'!$D112,INDIRECT(V$4))+SUMIF(INDIRECT(V$3),'Struktur Aktuell'!$D112,INDIRECT(V$5)))</f>
        <v>7581.49</v>
      </c>
      <c r="W112" s="593">
        <f ca="1">$E112*(-SUMIF(INDIRECT(W$3),'Struktur Aktuell'!$D112,INDIRECT(W$4))+SUMIF(INDIRECT(W$3),'Struktur Aktuell'!$D112,INDIRECT(W$5)))</f>
        <v>9476.8700000000008</v>
      </c>
      <c r="X112" s="593">
        <f ca="1">$E112*(-SUMIF(INDIRECT(X$3),'Struktur Aktuell'!$D112,INDIRECT(X$4))+SUMIF(INDIRECT(X$3),'Struktur Aktuell'!$D112,INDIRECT(X$5)))</f>
        <v>11547.25</v>
      </c>
      <c r="Y112" s="593">
        <f ca="1">$E112*(-SUMIF(INDIRECT(Y$3),'Struktur Aktuell'!$D112,INDIRECT(Y$4))+SUMIF(INDIRECT(Y$3),'Struktur Aktuell'!$D112,INDIRECT(Y$5)))</f>
        <v>11547.25</v>
      </c>
      <c r="Z112" s="593">
        <f ca="1">$E112*(-SUMIF(INDIRECT(Z$3),'Struktur Aktuell'!$D112,INDIRECT(Z$4))+SUMIF(INDIRECT(Z$3),'Struktur Aktuell'!$D112,INDIRECT(Z$5)))</f>
        <v>11547.25</v>
      </c>
      <c r="AA112" s="593">
        <f ca="1">$E112*(-SUMIF(INDIRECT(AA$3),'Struktur Aktuell'!$D112,INDIRECT(AA$4))+SUMIF(INDIRECT(AA$3),'Struktur Aktuell'!$D112,INDIRECT(AA$5)))</f>
        <v>11547.25</v>
      </c>
      <c r="AB112" s="593">
        <f ca="1">$E112*(-SUMIF(INDIRECT(AB$3),'Struktur Aktuell'!$D112,INDIRECT(AB$4))+SUMIF(INDIRECT(AB$3),'Struktur Aktuell'!$D112,INDIRECT(AB$5)))</f>
        <v>11547.25</v>
      </c>
      <c r="AC112" s="593">
        <f ca="1">$E112*(-SUMIF(INDIRECT(AC$3),'Struktur Aktuell'!$D112,INDIRECT(AC$4))+SUMIF(INDIRECT(AC$3),'Struktur Aktuell'!$D112,INDIRECT(AC$5)))</f>
        <v>0</v>
      </c>
      <c r="AD112" s="593">
        <f ca="1">$E112*(-SUMIF(INDIRECT(AD$3),'Struktur Aktuell'!$D112,INDIRECT(AD$4))+SUMIF(INDIRECT(AD$3),'Struktur Aktuell'!$D112,INDIRECT(AD$5)))</f>
        <v>0</v>
      </c>
      <c r="AE112" s="593">
        <f t="shared" ca="1" si="159"/>
        <v>1895.37</v>
      </c>
      <c r="AF112" s="593">
        <f t="shared" ca="1" si="160"/>
        <v>3790.74</v>
      </c>
      <c r="AG112" s="593">
        <f t="shared" ca="1" si="161"/>
        <v>5686.11</v>
      </c>
      <c r="AH112" s="593">
        <f t="shared" ca="1" si="162"/>
        <v>7581.49</v>
      </c>
      <c r="AI112" s="593">
        <f t="shared" ca="1" si="163"/>
        <v>9476.869999999999</v>
      </c>
      <c r="AJ112" s="593">
        <f t="shared" ca="1" si="164"/>
        <v>11547.25</v>
      </c>
      <c r="AK112" s="593">
        <f t="shared" ca="1" si="165"/>
        <v>11547.25</v>
      </c>
      <c r="AL112" s="593">
        <f t="shared" ca="1" si="166"/>
        <v>11547.25</v>
      </c>
      <c r="AM112" s="593">
        <f t="shared" ca="1" si="167"/>
        <v>11547.25</v>
      </c>
      <c r="AN112" s="593">
        <f t="shared" ca="1" si="168"/>
        <v>11547.25</v>
      </c>
      <c r="AO112" s="593">
        <f t="shared" ca="1" si="169"/>
        <v>11547.25</v>
      </c>
      <c r="AP112" s="593">
        <f t="shared" ca="1" si="170"/>
        <v>11547.25</v>
      </c>
    </row>
    <row r="113" spans="1:42" s="594" customFormat="1" ht="11.25" outlineLevel="1" x14ac:dyDescent="0.2">
      <c r="A113" s="590"/>
      <c r="B113" s="591" t="str">
        <f>IF(D113&lt;&gt;"",
IF(ISERROR(MATCH(D113,'Ist Aktuell Monat 01'!A:A,0))=FALSE,INDEX('Ist Aktuell Monat 01'!B:B,MATCH(D113,'Ist Aktuell Monat 01'!A:A,0)),
IF(ISERROR(MATCH(D113,'Ist Aktuell Monat 02'!A:A,0))=FALSE,INDEX('Ist Aktuell Monat 02'!B:B,MATCH(D113,'Ist Aktuell Monat 02'!A:A,0)),
IF(ISERROR(MATCH(D113,'Ist Aktuell Monat 03'!A:A,0))=FALSE,INDEX('Ist Aktuell Monat 03'!B:B,MATCH(D113,'Ist Aktuell Monat 03'!A:A,0)),
IF(ISERROR(MATCH(D113,'Ist Aktuell Monat 04'!A:A,0))=FALSE,INDEX('Ist Aktuell Monat 04'!B:B,MATCH(D113,'Ist Aktuell Monat 04'!A:A,0)),
IF(ISERROR(MATCH(D113,'Ist Aktuell Monat 05'!A:A,0))=FALSE,INDEX('Ist Aktuell Monat 05'!B:B,MATCH(D113,'Ist Aktuell Monat 05'!A:A,0)),
IF(ISERROR(MATCH(D113,'Ist Aktuell Monat 06'!A:A,0))=FALSE,INDEX('Ist Aktuell Monat 06'!B:B,MATCH(D113,'Ist Aktuell Monat 06'!A:A,0)),
IF(ISERROR(MATCH(D113,'Ist Aktuell Monat 07'!A:A,0))=FALSE,INDEX('Ist Aktuell Monat 07'!B:B,MATCH(D113,'Ist Aktuell Monat 07'!A:A,0)),
IF(ISERROR(MATCH(D113,'Ist Aktuell Monat 08'!A:A,0))=FALSE,INDEX('Ist Aktuell Monat 08'!B:B,MATCH(D113,'Ist Aktuell Monat 08'!A:A,0)),
IF(ISERROR(MATCH(D113,'Ist Aktuell Monat 09'!A:A,0))=FALSE,INDEX('Ist Aktuell Monat 09'!B:B,MATCH(D113,'Ist Aktuell Monat 09'!A:A,0)),
IF(ISERROR(MATCH(D113,'Ist Aktuell Monat 10'!A:A,0))=FALSE,INDEX('Ist Aktuell Monat 10'!B:B,MATCH(D113,'Ist Aktuell Monat 10'!A:A,0)),
IF(ISERROR(MATCH(D113,'Ist Aktuell Monat 11'!A:A,0))=FALSE,INDEX('Ist Aktuell Monat 11'!B:B,MATCH(D113,'Ist Aktuell Monat 11'!A:A,0)),
IF(ISERROR(MATCH(D113,'Ist Aktuell Monat 12'!A:A,0))=FALSE,INDEX('Ist Aktuell Monat 12'!B:B,MATCH(D113,'Ist Aktuell Monat 12'!A:A,0)),
"{Konto unbekannt}"
)))))))))))),"")</f>
        <v>Löhne Datenbank &amp; Behörden</v>
      </c>
      <c r="C113" s="591"/>
      <c r="D113" s="590">
        <v>4110</v>
      </c>
      <c r="E113" s="592">
        <f t="shared" si="77"/>
        <v>1</v>
      </c>
      <c r="F113" s="590"/>
      <c r="G113" s="593">
        <f ca="1">$E113*(-SUMIF(INDIRECT(G$3),'Struktur Aktuell'!$D113,INDIRECT(G$4))+SUMIF(INDIRECT(G$3),'Struktur Aktuell'!$D113,INDIRECT(G$5)))</f>
        <v>5185.72</v>
      </c>
      <c r="H113" s="593">
        <f ca="1">$E113*(-SUMIF(INDIRECT(H$3),'Struktur Aktuell'!$D113,INDIRECT(H$4))+SUMIF(INDIRECT(H$3),'Struktur Aktuell'!$D113,INDIRECT(H$5)))</f>
        <v>5185.72</v>
      </c>
      <c r="I113" s="593">
        <f ca="1">$E113*(-SUMIF(INDIRECT(I$3),'Struktur Aktuell'!$D113,INDIRECT(I$4))+SUMIF(INDIRECT(I$3),'Struktur Aktuell'!$D113,INDIRECT(I$5)))</f>
        <v>5185.72</v>
      </c>
      <c r="J113" s="593">
        <f ca="1">$E113*(-SUMIF(INDIRECT(J$3),'Struktur Aktuell'!$D113,INDIRECT(J$4))+SUMIF(INDIRECT(J$3),'Struktur Aktuell'!$D113,INDIRECT(J$5)))</f>
        <v>5185.72</v>
      </c>
      <c r="K113" s="593">
        <f ca="1">$E113*(-SUMIF(INDIRECT(K$3),'Struktur Aktuell'!$D113,INDIRECT(K$4))+SUMIF(INDIRECT(K$3),'Struktur Aktuell'!$D113,INDIRECT(K$5)))</f>
        <v>5185.72</v>
      </c>
      <c r="L113" s="593">
        <f ca="1">$E113*(-SUMIF(INDIRECT(L$3),'Struktur Aktuell'!$D113,INDIRECT(L$4))+SUMIF(INDIRECT(L$3),'Struktur Aktuell'!$D113,INDIRECT(L$5)))</f>
        <v>4954.92</v>
      </c>
      <c r="M113" s="593">
        <f ca="1">$E113*(-SUMIF(INDIRECT(M$3),'Struktur Aktuell'!$D113,INDIRECT(M$4))+SUMIF(INDIRECT(M$3),'Struktur Aktuell'!$D113,INDIRECT(M$5)))</f>
        <v>4339.88</v>
      </c>
      <c r="N113" s="593">
        <f ca="1">$E113*(-SUMIF(INDIRECT(N$3),'Struktur Aktuell'!$D113,INDIRECT(N$4))+SUMIF(INDIRECT(N$3),'Struktur Aktuell'!$D113,INDIRECT(N$5)))</f>
        <v>0</v>
      </c>
      <c r="O113" s="593">
        <f ca="1">$E113*(-SUMIF(INDIRECT(O$3),'Struktur Aktuell'!$D113,INDIRECT(O$4))+SUMIF(INDIRECT(O$3),'Struktur Aktuell'!$D113,INDIRECT(O$5)))</f>
        <v>0</v>
      </c>
      <c r="P113" s="593">
        <f ca="1">$E113*(-SUMIF(INDIRECT(P$3),'Struktur Aktuell'!$D113,INDIRECT(P$4))+SUMIF(INDIRECT(P$3),'Struktur Aktuell'!$D113,INDIRECT(P$5)))</f>
        <v>0</v>
      </c>
      <c r="Q113" s="593">
        <f ca="1">$E113*(-SUMIF(INDIRECT(Q$3),'Struktur Aktuell'!$D113,INDIRECT(Q$4))+SUMIF(INDIRECT(Q$3),'Struktur Aktuell'!$D113,INDIRECT(Q$5)))</f>
        <v>0</v>
      </c>
      <c r="R113" s="593">
        <f ca="1">$E113*(-SUMIF(INDIRECT(R$3),'Struktur Aktuell'!$D113,INDIRECT(R$4))+SUMIF(INDIRECT(R$3),'Struktur Aktuell'!$D113,INDIRECT(R$5)))</f>
        <v>0</v>
      </c>
      <c r="S113" s="593">
        <f ca="1">$E113*(-SUMIF(INDIRECT(S$3),'Struktur Aktuell'!$D113,INDIRECT(S$4))+SUMIF(INDIRECT(S$3),'Struktur Aktuell'!$D113,INDIRECT(S$5)))</f>
        <v>5185.72</v>
      </c>
      <c r="T113" s="593">
        <f ca="1">$E113*(-SUMIF(INDIRECT(T$3),'Struktur Aktuell'!$D113,INDIRECT(T$4))+SUMIF(INDIRECT(T$3),'Struktur Aktuell'!$D113,INDIRECT(T$5)))</f>
        <v>10371.44</v>
      </c>
      <c r="U113" s="593">
        <f ca="1">$E113*(-SUMIF(INDIRECT(U$3),'Struktur Aktuell'!$D113,INDIRECT(U$4))+SUMIF(INDIRECT(U$3),'Struktur Aktuell'!$D113,INDIRECT(U$5)))</f>
        <v>15557.16</v>
      </c>
      <c r="V113" s="593">
        <f ca="1">$E113*(-SUMIF(INDIRECT(V$3),'Struktur Aktuell'!$D113,INDIRECT(V$4))+SUMIF(INDIRECT(V$3),'Struktur Aktuell'!$D113,INDIRECT(V$5)))</f>
        <v>20742.88</v>
      </c>
      <c r="W113" s="593">
        <f ca="1">$E113*(-SUMIF(INDIRECT(W$3),'Struktur Aktuell'!$D113,INDIRECT(W$4))+SUMIF(INDIRECT(W$3),'Struktur Aktuell'!$D113,INDIRECT(W$5)))</f>
        <v>25928.6</v>
      </c>
      <c r="X113" s="593">
        <f ca="1">$E113*(-SUMIF(INDIRECT(X$3),'Struktur Aktuell'!$D113,INDIRECT(X$4))+SUMIF(INDIRECT(X$3),'Struktur Aktuell'!$D113,INDIRECT(X$5)))</f>
        <v>30883.52</v>
      </c>
      <c r="Y113" s="593">
        <f ca="1">$E113*(-SUMIF(INDIRECT(Y$3),'Struktur Aktuell'!$D113,INDIRECT(Y$4))+SUMIF(INDIRECT(Y$3),'Struktur Aktuell'!$D113,INDIRECT(Y$5)))</f>
        <v>35223.4</v>
      </c>
      <c r="Z113" s="593">
        <f ca="1">$E113*(-SUMIF(INDIRECT(Z$3),'Struktur Aktuell'!$D113,INDIRECT(Z$4))+SUMIF(INDIRECT(Z$3),'Struktur Aktuell'!$D113,INDIRECT(Z$5)))</f>
        <v>35223.4</v>
      </c>
      <c r="AA113" s="593">
        <f ca="1">$E113*(-SUMIF(INDIRECT(AA$3),'Struktur Aktuell'!$D113,INDIRECT(AA$4))+SUMIF(INDIRECT(AA$3),'Struktur Aktuell'!$D113,INDIRECT(AA$5)))</f>
        <v>35223.4</v>
      </c>
      <c r="AB113" s="593">
        <f ca="1">$E113*(-SUMIF(INDIRECT(AB$3),'Struktur Aktuell'!$D113,INDIRECT(AB$4))+SUMIF(INDIRECT(AB$3),'Struktur Aktuell'!$D113,INDIRECT(AB$5)))</f>
        <v>35223.4</v>
      </c>
      <c r="AC113" s="593">
        <f ca="1">$E113*(-SUMIF(INDIRECT(AC$3),'Struktur Aktuell'!$D113,INDIRECT(AC$4))+SUMIF(INDIRECT(AC$3),'Struktur Aktuell'!$D113,INDIRECT(AC$5)))</f>
        <v>0</v>
      </c>
      <c r="AD113" s="593">
        <f ca="1">$E113*(-SUMIF(INDIRECT(AD$3),'Struktur Aktuell'!$D113,INDIRECT(AD$4))+SUMIF(INDIRECT(AD$3),'Struktur Aktuell'!$D113,INDIRECT(AD$5)))</f>
        <v>0</v>
      </c>
      <c r="AE113" s="593">
        <f t="shared" ca="1" si="159"/>
        <v>5185.72</v>
      </c>
      <c r="AF113" s="593">
        <f t="shared" ca="1" si="160"/>
        <v>10371.44</v>
      </c>
      <c r="AG113" s="593">
        <f t="shared" ca="1" si="161"/>
        <v>15557.16</v>
      </c>
      <c r="AH113" s="593">
        <f t="shared" ca="1" si="162"/>
        <v>20742.88</v>
      </c>
      <c r="AI113" s="593">
        <f t="shared" ca="1" si="163"/>
        <v>25928.600000000002</v>
      </c>
      <c r="AJ113" s="593">
        <f t="shared" ca="1" si="164"/>
        <v>30883.520000000004</v>
      </c>
      <c r="AK113" s="593">
        <f t="shared" ca="1" si="165"/>
        <v>35223.4</v>
      </c>
      <c r="AL113" s="593">
        <f t="shared" ca="1" si="166"/>
        <v>35223.4</v>
      </c>
      <c r="AM113" s="593">
        <f t="shared" ca="1" si="167"/>
        <v>35223.4</v>
      </c>
      <c r="AN113" s="593">
        <f t="shared" ca="1" si="168"/>
        <v>35223.4</v>
      </c>
      <c r="AO113" s="593">
        <f t="shared" ca="1" si="169"/>
        <v>35223.4</v>
      </c>
      <c r="AP113" s="593">
        <f t="shared" ca="1" si="170"/>
        <v>35223.4</v>
      </c>
    </row>
    <row r="114" spans="1:42" s="594" customFormat="1" ht="11.25" outlineLevel="1" x14ac:dyDescent="0.2">
      <c r="A114" s="590"/>
      <c r="B114" s="591" t="str">
        <f>IF(D114&lt;&gt;"",
IF(ISERROR(MATCH(D114,'Ist Aktuell Monat 01'!A:A,0))=FALSE,INDEX('Ist Aktuell Monat 01'!B:B,MATCH(D114,'Ist Aktuell Monat 01'!A:A,0)),
IF(ISERROR(MATCH(D114,'Ist Aktuell Monat 02'!A:A,0))=FALSE,INDEX('Ist Aktuell Monat 02'!B:B,MATCH(D114,'Ist Aktuell Monat 02'!A:A,0)),
IF(ISERROR(MATCH(D114,'Ist Aktuell Monat 03'!A:A,0))=FALSE,INDEX('Ist Aktuell Monat 03'!B:B,MATCH(D114,'Ist Aktuell Monat 03'!A:A,0)),
IF(ISERROR(MATCH(D114,'Ist Aktuell Monat 04'!A:A,0))=FALSE,INDEX('Ist Aktuell Monat 04'!B:B,MATCH(D114,'Ist Aktuell Monat 04'!A:A,0)),
IF(ISERROR(MATCH(D114,'Ist Aktuell Monat 05'!A:A,0))=FALSE,INDEX('Ist Aktuell Monat 05'!B:B,MATCH(D114,'Ist Aktuell Monat 05'!A:A,0)),
IF(ISERROR(MATCH(D114,'Ist Aktuell Monat 06'!A:A,0))=FALSE,INDEX('Ist Aktuell Monat 06'!B:B,MATCH(D114,'Ist Aktuell Monat 06'!A:A,0)),
IF(ISERROR(MATCH(D114,'Ist Aktuell Monat 07'!A:A,0))=FALSE,INDEX('Ist Aktuell Monat 07'!B:B,MATCH(D114,'Ist Aktuell Monat 07'!A:A,0)),
IF(ISERROR(MATCH(D114,'Ist Aktuell Monat 08'!A:A,0))=FALSE,INDEX('Ist Aktuell Monat 08'!B:B,MATCH(D114,'Ist Aktuell Monat 08'!A:A,0)),
IF(ISERROR(MATCH(D114,'Ist Aktuell Monat 09'!A:A,0))=FALSE,INDEX('Ist Aktuell Monat 09'!B:B,MATCH(D114,'Ist Aktuell Monat 09'!A:A,0)),
IF(ISERROR(MATCH(D114,'Ist Aktuell Monat 10'!A:A,0))=FALSE,INDEX('Ist Aktuell Monat 10'!B:B,MATCH(D114,'Ist Aktuell Monat 10'!A:A,0)),
IF(ISERROR(MATCH(D114,'Ist Aktuell Monat 11'!A:A,0))=FALSE,INDEX('Ist Aktuell Monat 11'!B:B,MATCH(D114,'Ist Aktuell Monat 11'!A:A,0)),
IF(ISERROR(MATCH(D114,'Ist Aktuell Monat 12'!A:A,0))=FALSE,INDEX('Ist Aktuell Monat 12'!B:B,MATCH(D114,'Ist Aktuell Monat 12'!A:A,0)),
"{Konto unbekannt}"
)))))))))))),"")</f>
        <v>Gehälter "Full-Service BOMAG</v>
      </c>
      <c r="C114" s="591"/>
      <c r="D114" s="590">
        <v>4120</v>
      </c>
      <c r="E114" s="592">
        <f t="shared" si="77"/>
        <v>1</v>
      </c>
      <c r="F114" s="590"/>
      <c r="G114" s="593">
        <f ca="1">$E114*(-SUMIF(INDIRECT(G$3),'Struktur Aktuell'!$D114,INDIRECT(G$4))+SUMIF(INDIRECT(G$3),'Struktur Aktuell'!$D114,INDIRECT(G$5)))</f>
        <v>775</v>
      </c>
      <c r="H114" s="593">
        <f ca="1">$E114*(-SUMIF(INDIRECT(H$3),'Struktur Aktuell'!$D114,INDIRECT(H$4))+SUMIF(INDIRECT(H$3),'Struktur Aktuell'!$D114,INDIRECT(H$5)))</f>
        <v>775</v>
      </c>
      <c r="I114" s="593">
        <f ca="1">$E114*(-SUMIF(INDIRECT(I$3),'Struktur Aktuell'!$D114,INDIRECT(I$4))+SUMIF(INDIRECT(I$3),'Struktur Aktuell'!$D114,INDIRECT(I$5)))</f>
        <v>775</v>
      </c>
      <c r="J114" s="593">
        <f ca="1">$E114*(-SUMIF(INDIRECT(J$3),'Struktur Aktuell'!$D114,INDIRECT(J$4))+SUMIF(INDIRECT(J$3),'Struktur Aktuell'!$D114,INDIRECT(J$5)))</f>
        <v>775</v>
      </c>
      <c r="K114" s="593">
        <f ca="1">$E114*(-SUMIF(INDIRECT(K$3),'Struktur Aktuell'!$D114,INDIRECT(K$4))+SUMIF(INDIRECT(K$3),'Struktur Aktuell'!$D114,INDIRECT(K$5)))</f>
        <v>775</v>
      </c>
      <c r="L114" s="593">
        <f ca="1">$E114*(-SUMIF(INDIRECT(L$3),'Struktur Aktuell'!$D114,INDIRECT(L$4))+SUMIF(INDIRECT(L$3),'Struktur Aktuell'!$D114,INDIRECT(L$5)))</f>
        <v>950</v>
      </c>
      <c r="M114" s="593">
        <f ca="1">$E114*(-SUMIF(INDIRECT(M$3),'Struktur Aktuell'!$D114,INDIRECT(M$4))+SUMIF(INDIRECT(M$3),'Struktur Aktuell'!$D114,INDIRECT(M$5)))</f>
        <v>0</v>
      </c>
      <c r="N114" s="593">
        <f ca="1">$E114*(-SUMIF(INDIRECT(N$3),'Struktur Aktuell'!$D114,INDIRECT(N$4))+SUMIF(INDIRECT(N$3),'Struktur Aktuell'!$D114,INDIRECT(N$5)))</f>
        <v>0</v>
      </c>
      <c r="O114" s="593">
        <f ca="1">$E114*(-SUMIF(INDIRECT(O$3),'Struktur Aktuell'!$D114,INDIRECT(O$4))+SUMIF(INDIRECT(O$3),'Struktur Aktuell'!$D114,INDIRECT(O$5)))</f>
        <v>0</v>
      </c>
      <c r="P114" s="593">
        <f ca="1">$E114*(-SUMIF(INDIRECT(P$3),'Struktur Aktuell'!$D114,INDIRECT(P$4))+SUMIF(INDIRECT(P$3),'Struktur Aktuell'!$D114,INDIRECT(P$5)))</f>
        <v>0</v>
      </c>
      <c r="Q114" s="593">
        <f ca="1">$E114*(-SUMIF(INDIRECT(Q$3),'Struktur Aktuell'!$D114,INDIRECT(Q$4))+SUMIF(INDIRECT(Q$3),'Struktur Aktuell'!$D114,INDIRECT(Q$5)))</f>
        <v>0</v>
      </c>
      <c r="R114" s="593">
        <f ca="1">$E114*(-SUMIF(INDIRECT(R$3),'Struktur Aktuell'!$D114,INDIRECT(R$4))+SUMIF(INDIRECT(R$3),'Struktur Aktuell'!$D114,INDIRECT(R$5)))</f>
        <v>0</v>
      </c>
      <c r="S114" s="593">
        <f ca="1">$E114*(-SUMIF(INDIRECT(S$3),'Struktur Aktuell'!$D114,INDIRECT(S$4))+SUMIF(INDIRECT(S$3),'Struktur Aktuell'!$D114,INDIRECT(S$5)))</f>
        <v>775</v>
      </c>
      <c r="T114" s="593">
        <f ca="1">$E114*(-SUMIF(INDIRECT(T$3),'Struktur Aktuell'!$D114,INDIRECT(T$4))+SUMIF(INDIRECT(T$3),'Struktur Aktuell'!$D114,INDIRECT(T$5)))</f>
        <v>1550</v>
      </c>
      <c r="U114" s="593">
        <f ca="1">$E114*(-SUMIF(INDIRECT(U$3),'Struktur Aktuell'!$D114,INDIRECT(U$4))+SUMIF(INDIRECT(U$3),'Struktur Aktuell'!$D114,INDIRECT(U$5)))</f>
        <v>2325</v>
      </c>
      <c r="V114" s="593">
        <f ca="1">$E114*(-SUMIF(INDIRECT(V$3),'Struktur Aktuell'!$D114,INDIRECT(V$4))+SUMIF(INDIRECT(V$3),'Struktur Aktuell'!$D114,INDIRECT(V$5)))</f>
        <v>3100</v>
      </c>
      <c r="W114" s="593">
        <f ca="1">$E114*(-SUMIF(INDIRECT(W$3),'Struktur Aktuell'!$D114,INDIRECT(W$4))+SUMIF(INDIRECT(W$3),'Struktur Aktuell'!$D114,INDIRECT(W$5)))</f>
        <v>3875</v>
      </c>
      <c r="X114" s="593">
        <f ca="1">$E114*(-SUMIF(INDIRECT(X$3),'Struktur Aktuell'!$D114,INDIRECT(X$4))+SUMIF(INDIRECT(X$3),'Struktur Aktuell'!$D114,INDIRECT(X$5)))</f>
        <v>4825</v>
      </c>
      <c r="Y114" s="593">
        <f ca="1">$E114*(-SUMIF(INDIRECT(Y$3),'Struktur Aktuell'!$D114,INDIRECT(Y$4))+SUMIF(INDIRECT(Y$3),'Struktur Aktuell'!$D114,INDIRECT(Y$5)))</f>
        <v>4825</v>
      </c>
      <c r="Z114" s="593">
        <f ca="1">$E114*(-SUMIF(INDIRECT(Z$3),'Struktur Aktuell'!$D114,INDIRECT(Z$4))+SUMIF(INDIRECT(Z$3),'Struktur Aktuell'!$D114,INDIRECT(Z$5)))</f>
        <v>4825</v>
      </c>
      <c r="AA114" s="593">
        <f ca="1">$E114*(-SUMIF(INDIRECT(AA$3),'Struktur Aktuell'!$D114,INDIRECT(AA$4))+SUMIF(INDIRECT(AA$3),'Struktur Aktuell'!$D114,INDIRECT(AA$5)))</f>
        <v>4825</v>
      </c>
      <c r="AB114" s="593">
        <f ca="1">$E114*(-SUMIF(INDIRECT(AB$3),'Struktur Aktuell'!$D114,INDIRECT(AB$4))+SUMIF(INDIRECT(AB$3),'Struktur Aktuell'!$D114,INDIRECT(AB$5)))</f>
        <v>4825</v>
      </c>
      <c r="AC114" s="593">
        <f ca="1">$E114*(-SUMIF(INDIRECT(AC$3),'Struktur Aktuell'!$D114,INDIRECT(AC$4))+SUMIF(INDIRECT(AC$3),'Struktur Aktuell'!$D114,INDIRECT(AC$5)))</f>
        <v>0</v>
      </c>
      <c r="AD114" s="593">
        <f ca="1">$E114*(-SUMIF(INDIRECT(AD$3),'Struktur Aktuell'!$D114,INDIRECT(AD$4))+SUMIF(INDIRECT(AD$3),'Struktur Aktuell'!$D114,INDIRECT(AD$5)))</f>
        <v>0</v>
      </c>
      <c r="AE114" s="593">
        <f t="shared" ca="1" si="159"/>
        <v>775</v>
      </c>
      <c r="AF114" s="593">
        <f t="shared" ca="1" si="160"/>
        <v>1550</v>
      </c>
      <c r="AG114" s="593">
        <f t="shared" ca="1" si="161"/>
        <v>2325</v>
      </c>
      <c r="AH114" s="593">
        <f t="shared" ca="1" si="162"/>
        <v>3100</v>
      </c>
      <c r="AI114" s="593">
        <f t="shared" ca="1" si="163"/>
        <v>3875</v>
      </c>
      <c r="AJ114" s="593">
        <f t="shared" ca="1" si="164"/>
        <v>4825</v>
      </c>
      <c r="AK114" s="593">
        <f t="shared" ca="1" si="165"/>
        <v>4825</v>
      </c>
      <c r="AL114" s="593">
        <f t="shared" ca="1" si="166"/>
        <v>4825</v>
      </c>
      <c r="AM114" s="593">
        <f t="shared" ca="1" si="167"/>
        <v>4825</v>
      </c>
      <c r="AN114" s="593">
        <f t="shared" ca="1" si="168"/>
        <v>4825</v>
      </c>
      <c r="AO114" s="593">
        <f t="shared" ca="1" si="169"/>
        <v>4825</v>
      </c>
      <c r="AP114" s="593">
        <f t="shared" ca="1" si="170"/>
        <v>4825</v>
      </c>
    </row>
    <row r="115" spans="1:42" s="594" customFormat="1" ht="11.25" outlineLevel="1" x14ac:dyDescent="0.2">
      <c r="A115" s="590"/>
      <c r="B115" s="591" t="str">
        <f>IF(D115&lt;&gt;"",
IF(ISERROR(MATCH(D115,'Ist Aktuell Monat 01'!A:A,0))=FALSE,INDEX('Ist Aktuell Monat 01'!B:B,MATCH(D115,'Ist Aktuell Monat 01'!A:A,0)),
IF(ISERROR(MATCH(D115,'Ist Aktuell Monat 02'!A:A,0))=FALSE,INDEX('Ist Aktuell Monat 02'!B:B,MATCH(D115,'Ist Aktuell Monat 02'!A:A,0)),
IF(ISERROR(MATCH(D115,'Ist Aktuell Monat 03'!A:A,0))=FALSE,INDEX('Ist Aktuell Monat 03'!B:B,MATCH(D115,'Ist Aktuell Monat 03'!A:A,0)),
IF(ISERROR(MATCH(D115,'Ist Aktuell Monat 04'!A:A,0))=FALSE,INDEX('Ist Aktuell Monat 04'!B:B,MATCH(D115,'Ist Aktuell Monat 04'!A:A,0)),
IF(ISERROR(MATCH(D115,'Ist Aktuell Monat 05'!A:A,0))=FALSE,INDEX('Ist Aktuell Monat 05'!B:B,MATCH(D115,'Ist Aktuell Monat 05'!A:A,0)),
IF(ISERROR(MATCH(D115,'Ist Aktuell Monat 06'!A:A,0))=FALSE,INDEX('Ist Aktuell Monat 06'!B:B,MATCH(D115,'Ist Aktuell Monat 06'!A:A,0)),
IF(ISERROR(MATCH(D115,'Ist Aktuell Monat 07'!A:A,0))=FALSE,INDEX('Ist Aktuell Monat 07'!B:B,MATCH(D115,'Ist Aktuell Monat 07'!A:A,0)),
IF(ISERROR(MATCH(D115,'Ist Aktuell Monat 08'!A:A,0))=FALSE,INDEX('Ist Aktuell Monat 08'!B:B,MATCH(D115,'Ist Aktuell Monat 08'!A:A,0)),
IF(ISERROR(MATCH(D115,'Ist Aktuell Monat 09'!A:A,0))=FALSE,INDEX('Ist Aktuell Monat 09'!B:B,MATCH(D115,'Ist Aktuell Monat 09'!A:A,0)),
IF(ISERROR(MATCH(D115,'Ist Aktuell Monat 10'!A:A,0))=FALSE,INDEX('Ist Aktuell Monat 10'!B:B,MATCH(D115,'Ist Aktuell Monat 10'!A:A,0)),
IF(ISERROR(MATCH(D115,'Ist Aktuell Monat 11'!A:A,0))=FALSE,INDEX('Ist Aktuell Monat 11'!B:B,MATCH(D115,'Ist Aktuell Monat 11'!A:A,0)),
IF(ISERROR(MATCH(D115,'Ist Aktuell Monat 12'!A:A,0))=FALSE,INDEX('Ist Aktuell Monat 12'!B:B,MATCH(D115,'Ist Aktuell Monat 12'!A:A,0)),
"{Konto unbekannt}"
)))))))))))),"")</f>
        <v>Gehälter Gemeinkostenl</v>
      </c>
      <c r="C115" s="591"/>
      <c r="D115" s="590">
        <v>4121</v>
      </c>
      <c r="E115" s="592">
        <f t="shared" si="77"/>
        <v>1</v>
      </c>
      <c r="F115" s="590"/>
      <c r="G115" s="593">
        <f ca="1">$E115*(-SUMIF(INDIRECT(G$3),'Struktur Aktuell'!$D115,INDIRECT(G$4))+SUMIF(INDIRECT(G$3),'Struktur Aktuell'!$D115,INDIRECT(G$5)))</f>
        <v>3943.5</v>
      </c>
      <c r="H115" s="593">
        <f ca="1">$E115*(-SUMIF(INDIRECT(H$3),'Struktur Aktuell'!$D115,INDIRECT(H$4))+SUMIF(INDIRECT(H$3),'Struktur Aktuell'!$D115,INDIRECT(H$5)))</f>
        <v>3943.5</v>
      </c>
      <c r="I115" s="593">
        <f ca="1">$E115*(-SUMIF(INDIRECT(I$3),'Struktur Aktuell'!$D115,INDIRECT(I$4))+SUMIF(INDIRECT(I$3),'Struktur Aktuell'!$D115,INDIRECT(I$5)))</f>
        <v>5173.13</v>
      </c>
      <c r="J115" s="593">
        <f ca="1">$E115*(-SUMIF(INDIRECT(J$3),'Struktur Aktuell'!$D115,INDIRECT(J$4))+SUMIF(INDIRECT(J$3),'Struktur Aktuell'!$D115,INDIRECT(J$5)))</f>
        <v>4666.88</v>
      </c>
      <c r="K115" s="593">
        <f ca="1">$E115*(-SUMIF(INDIRECT(K$3),'Struktur Aktuell'!$D115,INDIRECT(K$4))+SUMIF(INDIRECT(K$3),'Struktur Aktuell'!$D115,INDIRECT(K$5)))</f>
        <v>3661.55</v>
      </c>
      <c r="L115" s="593">
        <f ca="1">$E115*(-SUMIF(INDIRECT(L$3),'Struktur Aktuell'!$D115,INDIRECT(L$4))+SUMIF(INDIRECT(L$3),'Struktur Aktuell'!$D115,INDIRECT(L$5)))</f>
        <v>3673.13</v>
      </c>
      <c r="M115" s="593">
        <f ca="1">$E115*(-SUMIF(INDIRECT(M$3),'Struktur Aktuell'!$D115,INDIRECT(M$4))+SUMIF(INDIRECT(M$3),'Struktur Aktuell'!$D115,INDIRECT(M$5)))</f>
        <v>8376.8799999999992</v>
      </c>
      <c r="N115" s="593">
        <f ca="1">$E115*(-SUMIF(INDIRECT(N$3),'Struktur Aktuell'!$D115,INDIRECT(N$4))+SUMIF(INDIRECT(N$3),'Struktur Aktuell'!$D115,INDIRECT(N$5)))</f>
        <v>8473.3799999999992</v>
      </c>
      <c r="O115" s="593">
        <f ca="1">$E115*(-SUMIF(INDIRECT(O$3),'Struktur Aktuell'!$D115,INDIRECT(O$4))+SUMIF(INDIRECT(O$3),'Struktur Aktuell'!$D115,INDIRECT(O$5)))</f>
        <v>9373.3799999999992</v>
      </c>
      <c r="P115" s="593">
        <f ca="1">$E115*(-SUMIF(INDIRECT(P$3),'Struktur Aktuell'!$D115,INDIRECT(P$4))+SUMIF(INDIRECT(P$3),'Struktur Aktuell'!$D115,INDIRECT(P$5)))</f>
        <v>9313.3799999999992</v>
      </c>
      <c r="Q115" s="593">
        <f ca="1">$E115*(-SUMIF(INDIRECT(Q$3),'Struktur Aktuell'!$D115,INDIRECT(Q$4))+SUMIF(INDIRECT(Q$3),'Struktur Aktuell'!$D115,INDIRECT(Q$5)))</f>
        <v>0</v>
      </c>
      <c r="R115" s="593">
        <f ca="1">$E115*(-SUMIF(INDIRECT(R$3),'Struktur Aktuell'!$D115,INDIRECT(R$4))+SUMIF(INDIRECT(R$3),'Struktur Aktuell'!$D115,INDIRECT(R$5)))</f>
        <v>0</v>
      </c>
      <c r="S115" s="593">
        <f ca="1">$E115*(-SUMIF(INDIRECT(S$3),'Struktur Aktuell'!$D115,INDIRECT(S$4))+SUMIF(INDIRECT(S$3),'Struktur Aktuell'!$D115,INDIRECT(S$5)))</f>
        <v>3943.5</v>
      </c>
      <c r="T115" s="593">
        <f ca="1">$E115*(-SUMIF(INDIRECT(T$3),'Struktur Aktuell'!$D115,INDIRECT(T$4))+SUMIF(INDIRECT(T$3),'Struktur Aktuell'!$D115,INDIRECT(T$5)))</f>
        <v>7887</v>
      </c>
      <c r="U115" s="593">
        <f ca="1">$E115*(-SUMIF(INDIRECT(U$3),'Struktur Aktuell'!$D115,INDIRECT(U$4))+SUMIF(INDIRECT(U$3),'Struktur Aktuell'!$D115,INDIRECT(U$5)))</f>
        <v>13060.13</v>
      </c>
      <c r="V115" s="593">
        <f ca="1">$E115*(-SUMIF(INDIRECT(V$3),'Struktur Aktuell'!$D115,INDIRECT(V$4))+SUMIF(INDIRECT(V$3),'Struktur Aktuell'!$D115,INDIRECT(V$5)))</f>
        <v>17727.009999999998</v>
      </c>
      <c r="W115" s="593">
        <f ca="1">$E115*(-SUMIF(INDIRECT(W$3),'Struktur Aktuell'!$D115,INDIRECT(W$4))+SUMIF(INDIRECT(W$3),'Struktur Aktuell'!$D115,INDIRECT(W$5)))</f>
        <v>21388.560000000001</v>
      </c>
      <c r="X115" s="593">
        <f ca="1">$E115*(-SUMIF(INDIRECT(X$3),'Struktur Aktuell'!$D115,INDIRECT(X$4))+SUMIF(INDIRECT(X$3),'Struktur Aktuell'!$D115,INDIRECT(X$5)))</f>
        <v>25061.69</v>
      </c>
      <c r="Y115" s="593">
        <f ca="1">$E115*(-SUMIF(INDIRECT(Y$3),'Struktur Aktuell'!$D115,INDIRECT(Y$4))+SUMIF(INDIRECT(Y$3),'Struktur Aktuell'!$D115,INDIRECT(Y$5)))</f>
        <v>33438.57</v>
      </c>
      <c r="Z115" s="593">
        <f ca="1">$E115*(-SUMIF(INDIRECT(Z$3),'Struktur Aktuell'!$D115,INDIRECT(Z$4))+SUMIF(INDIRECT(Z$3),'Struktur Aktuell'!$D115,INDIRECT(Z$5)))</f>
        <v>41911.949999999997</v>
      </c>
      <c r="AA115" s="593">
        <f ca="1">$E115*(-SUMIF(INDIRECT(AA$3),'Struktur Aktuell'!$D115,INDIRECT(AA$4))+SUMIF(INDIRECT(AA$3),'Struktur Aktuell'!$D115,INDIRECT(AA$5)))</f>
        <v>51285.33</v>
      </c>
      <c r="AB115" s="593">
        <f ca="1">$E115*(-SUMIF(INDIRECT(AB$3),'Struktur Aktuell'!$D115,INDIRECT(AB$4))+SUMIF(INDIRECT(AB$3),'Struktur Aktuell'!$D115,INDIRECT(AB$5)))</f>
        <v>60598.71</v>
      </c>
      <c r="AC115" s="593">
        <f ca="1">$E115*(-SUMIF(INDIRECT(AC$3),'Struktur Aktuell'!$D115,INDIRECT(AC$4))+SUMIF(INDIRECT(AC$3),'Struktur Aktuell'!$D115,INDIRECT(AC$5)))</f>
        <v>0</v>
      </c>
      <c r="AD115" s="593">
        <f ca="1">$E115*(-SUMIF(INDIRECT(AD$3),'Struktur Aktuell'!$D115,INDIRECT(AD$4))+SUMIF(INDIRECT(AD$3),'Struktur Aktuell'!$D115,INDIRECT(AD$5)))</f>
        <v>0</v>
      </c>
      <c r="AE115" s="593">
        <f t="shared" ca="1" si="159"/>
        <v>3943.5</v>
      </c>
      <c r="AF115" s="593">
        <f t="shared" ca="1" si="160"/>
        <v>7887</v>
      </c>
      <c r="AG115" s="593">
        <f t="shared" ca="1" si="161"/>
        <v>13060.130000000001</v>
      </c>
      <c r="AH115" s="593">
        <f t="shared" ca="1" si="162"/>
        <v>17727.010000000002</v>
      </c>
      <c r="AI115" s="593">
        <f t="shared" ca="1" si="163"/>
        <v>21388.560000000001</v>
      </c>
      <c r="AJ115" s="593">
        <f t="shared" ca="1" si="164"/>
        <v>25061.690000000002</v>
      </c>
      <c r="AK115" s="593">
        <f t="shared" ca="1" si="165"/>
        <v>33438.57</v>
      </c>
      <c r="AL115" s="593">
        <f t="shared" ca="1" si="166"/>
        <v>41911.949999999997</v>
      </c>
      <c r="AM115" s="593">
        <f t="shared" ca="1" si="167"/>
        <v>51285.329999999994</v>
      </c>
      <c r="AN115" s="593">
        <f t="shared" ca="1" si="168"/>
        <v>60598.709999999992</v>
      </c>
      <c r="AO115" s="593">
        <f t="shared" ca="1" si="169"/>
        <v>60598.709999999992</v>
      </c>
      <c r="AP115" s="593">
        <f t="shared" ca="1" si="170"/>
        <v>60598.709999999992</v>
      </c>
    </row>
    <row r="116" spans="1:42" s="594" customFormat="1" ht="11.25" outlineLevel="1" x14ac:dyDescent="0.2">
      <c r="A116" s="590"/>
      <c r="B116" s="591" t="str">
        <f>IF(D116&lt;&gt;"",
IF(ISERROR(MATCH(D116,'Ist Aktuell Monat 01'!A:A,0))=FALSE,INDEX('Ist Aktuell Monat 01'!B:B,MATCH(D116,'Ist Aktuell Monat 01'!A:A,0)),
IF(ISERROR(MATCH(D116,'Ist Aktuell Monat 02'!A:A,0))=FALSE,INDEX('Ist Aktuell Monat 02'!B:B,MATCH(D116,'Ist Aktuell Monat 02'!A:A,0)),
IF(ISERROR(MATCH(D116,'Ist Aktuell Monat 03'!A:A,0))=FALSE,INDEX('Ist Aktuell Monat 03'!B:B,MATCH(D116,'Ist Aktuell Monat 03'!A:A,0)),
IF(ISERROR(MATCH(D116,'Ist Aktuell Monat 04'!A:A,0))=FALSE,INDEX('Ist Aktuell Monat 04'!B:B,MATCH(D116,'Ist Aktuell Monat 04'!A:A,0)),
IF(ISERROR(MATCH(D116,'Ist Aktuell Monat 05'!A:A,0))=FALSE,INDEX('Ist Aktuell Monat 05'!B:B,MATCH(D116,'Ist Aktuell Monat 05'!A:A,0)),
IF(ISERROR(MATCH(D116,'Ist Aktuell Monat 06'!A:A,0))=FALSE,INDEX('Ist Aktuell Monat 06'!B:B,MATCH(D116,'Ist Aktuell Monat 06'!A:A,0)),
IF(ISERROR(MATCH(D116,'Ist Aktuell Monat 07'!A:A,0))=FALSE,INDEX('Ist Aktuell Monat 07'!B:B,MATCH(D116,'Ist Aktuell Monat 07'!A:A,0)),
IF(ISERROR(MATCH(D116,'Ist Aktuell Monat 08'!A:A,0))=FALSE,INDEX('Ist Aktuell Monat 08'!B:B,MATCH(D116,'Ist Aktuell Monat 08'!A:A,0)),
IF(ISERROR(MATCH(D116,'Ist Aktuell Monat 09'!A:A,0))=FALSE,INDEX('Ist Aktuell Monat 09'!B:B,MATCH(D116,'Ist Aktuell Monat 09'!A:A,0)),
IF(ISERROR(MATCH(D116,'Ist Aktuell Monat 10'!A:A,0))=FALSE,INDEX('Ist Aktuell Monat 10'!B:B,MATCH(D116,'Ist Aktuell Monat 10'!A:A,0)),
IF(ISERROR(MATCH(D116,'Ist Aktuell Monat 11'!A:A,0))=FALSE,INDEX('Ist Aktuell Monat 11'!B:B,MATCH(D116,'Ist Aktuell Monat 11'!A:A,0)),
IF(ISERROR(MATCH(D116,'Ist Aktuell Monat 12'!A:A,0))=FALSE,INDEX('Ist Aktuell Monat 12'!B:B,MATCH(D116,'Ist Aktuell Monat 12'!A:A,0)),
"{Konto unbekannt}"
)))))))))))),"")</f>
        <v xml:space="preserve">Gehälter "Datenbank-MS-Access/Behörden </v>
      </c>
      <c r="C116" s="591"/>
      <c r="D116" s="590">
        <v>4125</v>
      </c>
      <c r="E116" s="592">
        <f t="shared" si="77"/>
        <v>1</v>
      </c>
      <c r="F116" s="590"/>
      <c r="G116" s="593">
        <f ca="1">$E116*(-SUMIF(INDIRECT(G$3),'Struktur Aktuell'!$D116,INDIRECT(G$4))+SUMIF(INDIRECT(G$3),'Struktur Aktuell'!$D116,INDIRECT(G$5)))</f>
        <v>0</v>
      </c>
      <c r="H116" s="593">
        <f ca="1">$E116*(-SUMIF(INDIRECT(H$3),'Struktur Aktuell'!$D116,INDIRECT(H$4))+SUMIF(INDIRECT(H$3),'Struktur Aktuell'!$D116,INDIRECT(H$5)))</f>
        <v>0</v>
      </c>
      <c r="I116" s="593">
        <f ca="1">$E116*(-SUMIF(INDIRECT(I$3),'Struktur Aktuell'!$D116,INDIRECT(I$4))+SUMIF(INDIRECT(I$3),'Struktur Aktuell'!$D116,INDIRECT(I$5)))</f>
        <v>0</v>
      </c>
      <c r="J116" s="593">
        <f ca="1">$E116*(-SUMIF(INDIRECT(J$3),'Struktur Aktuell'!$D116,INDIRECT(J$4))+SUMIF(INDIRECT(J$3),'Struktur Aktuell'!$D116,INDIRECT(J$5)))</f>
        <v>0</v>
      </c>
      <c r="K116" s="593">
        <f ca="1">$E116*(-SUMIF(INDIRECT(K$3),'Struktur Aktuell'!$D116,INDIRECT(K$4))+SUMIF(INDIRECT(K$3),'Struktur Aktuell'!$D116,INDIRECT(K$5)))</f>
        <v>0</v>
      </c>
      <c r="L116" s="593">
        <f ca="1">$E116*(-SUMIF(INDIRECT(L$3),'Struktur Aktuell'!$D116,INDIRECT(L$4))+SUMIF(INDIRECT(L$3),'Struktur Aktuell'!$D116,INDIRECT(L$5)))</f>
        <v>0</v>
      </c>
      <c r="M116" s="593">
        <f ca="1">$E116*(-SUMIF(INDIRECT(M$3),'Struktur Aktuell'!$D116,INDIRECT(M$4))+SUMIF(INDIRECT(M$3),'Struktur Aktuell'!$D116,INDIRECT(M$5)))</f>
        <v>0</v>
      </c>
      <c r="N116" s="593">
        <f ca="1">$E116*(-SUMIF(INDIRECT(N$3),'Struktur Aktuell'!$D116,INDIRECT(N$4))+SUMIF(INDIRECT(N$3),'Struktur Aktuell'!$D116,INDIRECT(N$5)))</f>
        <v>3839.88</v>
      </c>
      <c r="O116" s="593">
        <f ca="1">$E116*(-SUMIF(INDIRECT(O$3),'Struktur Aktuell'!$D116,INDIRECT(O$4))+SUMIF(INDIRECT(O$3),'Struktur Aktuell'!$D116,INDIRECT(O$5)))</f>
        <v>3839.88</v>
      </c>
      <c r="P116" s="593">
        <f ca="1">$E116*(-SUMIF(INDIRECT(P$3),'Struktur Aktuell'!$D116,INDIRECT(P$4))+SUMIF(INDIRECT(P$3),'Struktur Aktuell'!$D116,INDIRECT(P$5)))</f>
        <v>3839.88</v>
      </c>
      <c r="Q116" s="593">
        <f ca="1">$E116*(-SUMIF(INDIRECT(Q$3),'Struktur Aktuell'!$D116,INDIRECT(Q$4))+SUMIF(INDIRECT(Q$3),'Struktur Aktuell'!$D116,INDIRECT(Q$5)))</f>
        <v>0</v>
      </c>
      <c r="R116" s="593">
        <f ca="1">$E116*(-SUMIF(INDIRECT(R$3),'Struktur Aktuell'!$D116,INDIRECT(R$4))+SUMIF(INDIRECT(R$3),'Struktur Aktuell'!$D116,INDIRECT(R$5)))</f>
        <v>0</v>
      </c>
      <c r="S116" s="593">
        <f ca="1">$E116*(-SUMIF(INDIRECT(S$3),'Struktur Aktuell'!$D116,INDIRECT(S$4))+SUMIF(INDIRECT(S$3),'Struktur Aktuell'!$D116,INDIRECT(S$5)))</f>
        <v>0</v>
      </c>
      <c r="T116" s="593">
        <f ca="1">$E116*(-SUMIF(INDIRECT(T$3),'Struktur Aktuell'!$D116,INDIRECT(T$4))+SUMIF(INDIRECT(T$3),'Struktur Aktuell'!$D116,INDIRECT(T$5)))</f>
        <v>0</v>
      </c>
      <c r="U116" s="593">
        <f ca="1">$E116*(-SUMIF(INDIRECT(U$3),'Struktur Aktuell'!$D116,INDIRECT(U$4))+SUMIF(INDIRECT(U$3),'Struktur Aktuell'!$D116,INDIRECT(U$5)))</f>
        <v>0</v>
      </c>
      <c r="V116" s="593">
        <f ca="1">$E116*(-SUMIF(INDIRECT(V$3),'Struktur Aktuell'!$D116,INDIRECT(V$4))+SUMIF(INDIRECT(V$3),'Struktur Aktuell'!$D116,INDIRECT(V$5)))</f>
        <v>0</v>
      </c>
      <c r="W116" s="593">
        <f ca="1">$E116*(-SUMIF(INDIRECT(W$3),'Struktur Aktuell'!$D116,INDIRECT(W$4))+SUMIF(INDIRECT(W$3),'Struktur Aktuell'!$D116,INDIRECT(W$5)))</f>
        <v>0</v>
      </c>
      <c r="X116" s="593">
        <f ca="1">$E116*(-SUMIF(INDIRECT(X$3),'Struktur Aktuell'!$D116,INDIRECT(X$4))+SUMIF(INDIRECT(X$3),'Struktur Aktuell'!$D116,INDIRECT(X$5)))</f>
        <v>0</v>
      </c>
      <c r="Y116" s="593">
        <f ca="1">$E116*(-SUMIF(INDIRECT(Y$3),'Struktur Aktuell'!$D116,INDIRECT(Y$4))+SUMIF(INDIRECT(Y$3),'Struktur Aktuell'!$D116,INDIRECT(Y$5)))</f>
        <v>0</v>
      </c>
      <c r="Z116" s="593">
        <f ca="1">$E116*(-SUMIF(INDIRECT(Z$3),'Struktur Aktuell'!$D116,INDIRECT(Z$4))+SUMIF(INDIRECT(Z$3),'Struktur Aktuell'!$D116,INDIRECT(Z$5)))</f>
        <v>3839.88</v>
      </c>
      <c r="AA116" s="593">
        <f ca="1">$E116*(-SUMIF(INDIRECT(AA$3),'Struktur Aktuell'!$D116,INDIRECT(AA$4))+SUMIF(INDIRECT(AA$3),'Struktur Aktuell'!$D116,INDIRECT(AA$5)))</f>
        <v>7679.76</v>
      </c>
      <c r="AB116" s="593">
        <f ca="1">$E116*(-SUMIF(INDIRECT(AB$3),'Struktur Aktuell'!$D116,INDIRECT(AB$4))+SUMIF(INDIRECT(AB$3),'Struktur Aktuell'!$D116,INDIRECT(AB$5)))</f>
        <v>11519.64</v>
      </c>
      <c r="AC116" s="593">
        <f ca="1">$E116*(-SUMIF(INDIRECT(AC$3),'Struktur Aktuell'!$D116,INDIRECT(AC$4))+SUMIF(INDIRECT(AC$3),'Struktur Aktuell'!$D116,INDIRECT(AC$5)))</f>
        <v>0</v>
      </c>
      <c r="AD116" s="593">
        <f ca="1">$E116*(-SUMIF(INDIRECT(AD$3),'Struktur Aktuell'!$D116,INDIRECT(AD$4))+SUMIF(INDIRECT(AD$3),'Struktur Aktuell'!$D116,INDIRECT(AD$5)))</f>
        <v>0</v>
      </c>
      <c r="AE116" s="593">
        <f t="shared" ca="1" si="159"/>
        <v>0</v>
      </c>
      <c r="AF116" s="593">
        <f t="shared" ca="1" si="160"/>
        <v>0</v>
      </c>
      <c r="AG116" s="593">
        <f t="shared" ca="1" si="161"/>
        <v>0</v>
      </c>
      <c r="AH116" s="593">
        <f t="shared" ca="1" si="162"/>
        <v>0</v>
      </c>
      <c r="AI116" s="593">
        <f t="shared" ca="1" si="163"/>
        <v>0</v>
      </c>
      <c r="AJ116" s="593">
        <f t="shared" ca="1" si="164"/>
        <v>0</v>
      </c>
      <c r="AK116" s="593">
        <f t="shared" ca="1" si="165"/>
        <v>0</v>
      </c>
      <c r="AL116" s="593">
        <f t="shared" ca="1" si="166"/>
        <v>3839.88</v>
      </c>
      <c r="AM116" s="593">
        <f t="shared" ca="1" si="167"/>
        <v>7679.76</v>
      </c>
      <c r="AN116" s="593">
        <f t="shared" ca="1" si="168"/>
        <v>11519.64</v>
      </c>
      <c r="AO116" s="593">
        <f t="shared" ca="1" si="169"/>
        <v>11519.64</v>
      </c>
      <c r="AP116" s="593">
        <f t="shared" ca="1" si="170"/>
        <v>11519.64</v>
      </c>
    </row>
    <row r="117" spans="1:42" s="594" customFormat="1" ht="11.25" outlineLevel="1" x14ac:dyDescent="0.2">
      <c r="A117" s="590"/>
      <c r="B117" s="591" t="str">
        <f>IF(D117&lt;&gt;"",
IF(ISERROR(MATCH(D117,'Ist Aktuell Monat 01'!A:A,0))=FALSE,INDEX('Ist Aktuell Monat 01'!B:B,MATCH(D117,'Ist Aktuell Monat 01'!A:A,0)),
IF(ISERROR(MATCH(D117,'Ist Aktuell Monat 02'!A:A,0))=FALSE,INDEX('Ist Aktuell Monat 02'!B:B,MATCH(D117,'Ist Aktuell Monat 02'!A:A,0)),
IF(ISERROR(MATCH(D117,'Ist Aktuell Monat 03'!A:A,0))=FALSE,INDEX('Ist Aktuell Monat 03'!B:B,MATCH(D117,'Ist Aktuell Monat 03'!A:A,0)),
IF(ISERROR(MATCH(D117,'Ist Aktuell Monat 04'!A:A,0))=FALSE,INDEX('Ist Aktuell Monat 04'!B:B,MATCH(D117,'Ist Aktuell Monat 04'!A:A,0)),
IF(ISERROR(MATCH(D117,'Ist Aktuell Monat 05'!A:A,0))=FALSE,INDEX('Ist Aktuell Monat 05'!B:B,MATCH(D117,'Ist Aktuell Monat 05'!A:A,0)),
IF(ISERROR(MATCH(D117,'Ist Aktuell Monat 06'!A:A,0))=FALSE,INDEX('Ist Aktuell Monat 06'!B:B,MATCH(D117,'Ist Aktuell Monat 06'!A:A,0)),
IF(ISERROR(MATCH(D117,'Ist Aktuell Monat 07'!A:A,0))=FALSE,INDEX('Ist Aktuell Monat 07'!B:B,MATCH(D117,'Ist Aktuell Monat 07'!A:A,0)),
IF(ISERROR(MATCH(D117,'Ist Aktuell Monat 08'!A:A,0))=FALSE,INDEX('Ist Aktuell Monat 08'!B:B,MATCH(D117,'Ist Aktuell Monat 08'!A:A,0)),
IF(ISERROR(MATCH(D117,'Ist Aktuell Monat 09'!A:A,0))=FALSE,INDEX('Ist Aktuell Monat 09'!B:B,MATCH(D117,'Ist Aktuell Monat 09'!A:A,0)),
IF(ISERROR(MATCH(D117,'Ist Aktuell Monat 10'!A:A,0))=FALSE,INDEX('Ist Aktuell Monat 10'!B:B,MATCH(D117,'Ist Aktuell Monat 10'!A:A,0)),
IF(ISERROR(MATCH(D117,'Ist Aktuell Monat 11'!A:A,0))=FALSE,INDEX('Ist Aktuell Monat 11'!B:B,MATCH(D117,'Ist Aktuell Monat 11'!A:A,0)),
IF(ISERROR(MATCH(D117,'Ist Aktuell Monat 12'!A:A,0))=FALSE,INDEX('Ist Aktuell Monat 12'!B:B,MATCH(D117,'Ist Aktuell Monat 12'!A:A,0)),
"{Konto unbekannt}"
)))))))))))),"")</f>
        <v/>
      </c>
      <c r="C117" s="591"/>
      <c r="D117" s="590"/>
      <c r="E117" s="592">
        <f t="shared" si="77"/>
        <v>1</v>
      </c>
      <c r="F117" s="590"/>
      <c r="G117" s="593">
        <f ca="1">$E117*(-SUMIF(INDIRECT(G$3),'Struktur Aktuell'!$D117,INDIRECT(G$4))+SUMIF(INDIRECT(G$3),'Struktur Aktuell'!$D117,INDIRECT(G$5)))</f>
        <v>0</v>
      </c>
      <c r="H117" s="593">
        <f ca="1">$E117*(-SUMIF(INDIRECT(H$3),'Struktur Aktuell'!$D117,INDIRECT(H$4))+SUMIF(INDIRECT(H$3),'Struktur Aktuell'!$D117,INDIRECT(H$5)))</f>
        <v>0</v>
      </c>
      <c r="I117" s="593">
        <f ca="1">$E117*(-SUMIF(INDIRECT(I$3),'Struktur Aktuell'!$D117,INDIRECT(I$4))+SUMIF(INDIRECT(I$3),'Struktur Aktuell'!$D117,INDIRECT(I$5)))</f>
        <v>0</v>
      </c>
      <c r="J117" s="593">
        <f ca="1">$E117*(-SUMIF(INDIRECT(J$3),'Struktur Aktuell'!$D117,INDIRECT(J$4))+SUMIF(INDIRECT(J$3),'Struktur Aktuell'!$D117,INDIRECT(J$5)))</f>
        <v>0</v>
      </c>
      <c r="K117" s="593">
        <f ca="1">$E117*(-SUMIF(INDIRECT(K$3),'Struktur Aktuell'!$D117,INDIRECT(K$4))+SUMIF(INDIRECT(K$3),'Struktur Aktuell'!$D117,INDIRECT(K$5)))</f>
        <v>0</v>
      </c>
      <c r="L117" s="593">
        <f ca="1">$E117*(-SUMIF(INDIRECT(L$3),'Struktur Aktuell'!$D117,INDIRECT(L$4))+SUMIF(INDIRECT(L$3),'Struktur Aktuell'!$D117,INDIRECT(L$5)))</f>
        <v>0</v>
      </c>
      <c r="M117" s="593">
        <f ca="1">$E117*(-SUMIF(INDIRECT(M$3),'Struktur Aktuell'!$D117,INDIRECT(M$4))+SUMIF(INDIRECT(M$3),'Struktur Aktuell'!$D117,INDIRECT(M$5)))</f>
        <v>0</v>
      </c>
      <c r="N117" s="593">
        <f ca="1">$E117*(-SUMIF(INDIRECT(N$3),'Struktur Aktuell'!$D117,INDIRECT(N$4))+SUMIF(INDIRECT(N$3),'Struktur Aktuell'!$D117,INDIRECT(N$5)))</f>
        <v>0</v>
      </c>
      <c r="O117" s="593">
        <f ca="1">$E117*(-SUMIF(INDIRECT(O$3),'Struktur Aktuell'!$D117,INDIRECT(O$4))+SUMIF(INDIRECT(O$3),'Struktur Aktuell'!$D117,INDIRECT(O$5)))</f>
        <v>0</v>
      </c>
      <c r="P117" s="593">
        <f ca="1">$E117*(-SUMIF(INDIRECT(P$3),'Struktur Aktuell'!$D117,INDIRECT(P$4))+SUMIF(INDIRECT(P$3),'Struktur Aktuell'!$D117,INDIRECT(P$5)))</f>
        <v>0</v>
      </c>
      <c r="Q117" s="593">
        <f ca="1">$E117*(-SUMIF(INDIRECT(Q$3),'Struktur Aktuell'!$D117,INDIRECT(Q$4))+SUMIF(INDIRECT(Q$3),'Struktur Aktuell'!$D117,INDIRECT(Q$5)))</f>
        <v>0</v>
      </c>
      <c r="R117" s="593">
        <f ca="1">$E117*(-SUMIF(INDIRECT(R$3),'Struktur Aktuell'!$D117,INDIRECT(R$4))+SUMIF(INDIRECT(R$3),'Struktur Aktuell'!$D117,INDIRECT(R$5)))</f>
        <v>0</v>
      </c>
      <c r="S117" s="593">
        <f ca="1">$E117*(-SUMIF(INDIRECT(S$3),'Struktur Aktuell'!$D117,INDIRECT(S$4))+SUMIF(INDIRECT(S$3),'Struktur Aktuell'!$D117,INDIRECT(S$5)))</f>
        <v>0</v>
      </c>
      <c r="T117" s="593">
        <f ca="1">$E117*(-SUMIF(INDIRECT(T$3),'Struktur Aktuell'!$D117,INDIRECT(T$4))+SUMIF(INDIRECT(T$3),'Struktur Aktuell'!$D117,INDIRECT(T$5)))</f>
        <v>0</v>
      </c>
      <c r="U117" s="593">
        <f ca="1">$E117*(-SUMIF(INDIRECT(U$3),'Struktur Aktuell'!$D117,INDIRECT(U$4))+SUMIF(INDIRECT(U$3),'Struktur Aktuell'!$D117,INDIRECT(U$5)))</f>
        <v>0</v>
      </c>
      <c r="V117" s="593">
        <f ca="1">$E117*(-SUMIF(INDIRECT(V$3),'Struktur Aktuell'!$D117,INDIRECT(V$4))+SUMIF(INDIRECT(V$3),'Struktur Aktuell'!$D117,INDIRECT(V$5)))</f>
        <v>0</v>
      </c>
      <c r="W117" s="593">
        <f ca="1">$E117*(-SUMIF(INDIRECT(W$3),'Struktur Aktuell'!$D117,INDIRECT(W$4))+SUMIF(INDIRECT(W$3),'Struktur Aktuell'!$D117,INDIRECT(W$5)))</f>
        <v>0</v>
      </c>
      <c r="X117" s="593">
        <f ca="1">$E117*(-SUMIF(INDIRECT(X$3),'Struktur Aktuell'!$D117,INDIRECT(X$4))+SUMIF(INDIRECT(X$3),'Struktur Aktuell'!$D117,INDIRECT(X$5)))</f>
        <v>0</v>
      </c>
      <c r="Y117" s="593">
        <f ca="1">$E117*(-SUMIF(INDIRECT(Y$3),'Struktur Aktuell'!$D117,INDIRECT(Y$4))+SUMIF(INDIRECT(Y$3),'Struktur Aktuell'!$D117,INDIRECT(Y$5)))</f>
        <v>0</v>
      </c>
      <c r="Z117" s="593">
        <f ca="1">$E117*(-SUMIF(INDIRECT(Z$3),'Struktur Aktuell'!$D117,INDIRECT(Z$4))+SUMIF(INDIRECT(Z$3),'Struktur Aktuell'!$D117,INDIRECT(Z$5)))</f>
        <v>0</v>
      </c>
      <c r="AA117" s="593">
        <f ca="1">$E117*(-SUMIF(INDIRECT(AA$3),'Struktur Aktuell'!$D117,INDIRECT(AA$4))+SUMIF(INDIRECT(AA$3),'Struktur Aktuell'!$D117,INDIRECT(AA$5)))</f>
        <v>0</v>
      </c>
      <c r="AB117" s="593">
        <f ca="1">$E117*(-SUMIF(INDIRECT(AB$3),'Struktur Aktuell'!$D117,INDIRECT(AB$4))+SUMIF(INDIRECT(AB$3),'Struktur Aktuell'!$D117,INDIRECT(AB$5)))</f>
        <v>0</v>
      </c>
      <c r="AC117" s="593">
        <f ca="1">$E117*(-SUMIF(INDIRECT(AC$3),'Struktur Aktuell'!$D117,INDIRECT(AC$4))+SUMIF(INDIRECT(AC$3),'Struktur Aktuell'!$D117,INDIRECT(AC$5)))</f>
        <v>0</v>
      </c>
      <c r="AD117" s="593">
        <f ca="1">$E117*(-SUMIF(INDIRECT(AD$3),'Struktur Aktuell'!$D117,INDIRECT(AD$4))+SUMIF(INDIRECT(AD$3),'Struktur Aktuell'!$D117,INDIRECT(AD$5)))</f>
        <v>0</v>
      </c>
      <c r="AE117" s="593">
        <f t="shared" ca="1" si="159"/>
        <v>0</v>
      </c>
      <c r="AF117" s="593">
        <f t="shared" ca="1" si="160"/>
        <v>0</v>
      </c>
      <c r="AG117" s="593">
        <f t="shared" ca="1" si="161"/>
        <v>0</v>
      </c>
      <c r="AH117" s="593">
        <f t="shared" ca="1" si="162"/>
        <v>0</v>
      </c>
      <c r="AI117" s="593">
        <f t="shared" ca="1" si="163"/>
        <v>0</v>
      </c>
      <c r="AJ117" s="593">
        <f t="shared" ca="1" si="164"/>
        <v>0</v>
      </c>
      <c r="AK117" s="593">
        <f t="shared" ca="1" si="165"/>
        <v>0</v>
      </c>
      <c r="AL117" s="593">
        <f t="shared" ca="1" si="166"/>
        <v>0</v>
      </c>
      <c r="AM117" s="593">
        <f t="shared" ca="1" si="167"/>
        <v>0</v>
      </c>
      <c r="AN117" s="593">
        <f t="shared" ca="1" si="168"/>
        <v>0</v>
      </c>
      <c r="AO117" s="593">
        <f t="shared" ca="1" si="169"/>
        <v>0</v>
      </c>
      <c r="AP117" s="593">
        <f t="shared" ca="1" si="170"/>
        <v>0</v>
      </c>
    </row>
    <row r="118" spans="1:42" s="594" customFormat="1" ht="11.25" outlineLevel="1" x14ac:dyDescent="0.2">
      <c r="A118" s="590"/>
      <c r="B118" s="591" t="str">
        <f>IF(D118&lt;&gt;"",
IF(ISERROR(MATCH(D118,'Ist Aktuell Monat 01'!A:A,0))=FALSE,INDEX('Ist Aktuell Monat 01'!B:B,MATCH(D118,'Ist Aktuell Monat 01'!A:A,0)),
IF(ISERROR(MATCH(D118,'Ist Aktuell Monat 02'!A:A,0))=FALSE,INDEX('Ist Aktuell Monat 02'!B:B,MATCH(D118,'Ist Aktuell Monat 02'!A:A,0)),
IF(ISERROR(MATCH(D118,'Ist Aktuell Monat 03'!A:A,0))=FALSE,INDEX('Ist Aktuell Monat 03'!B:B,MATCH(D118,'Ist Aktuell Monat 03'!A:A,0)),
IF(ISERROR(MATCH(D118,'Ist Aktuell Monat 04'!A:A,0))=FALSE,INDEX('Ist Aktuell Monat 04'!B:B,MATCH(D118,'Ist Aktuell Monat 04'!A:A,0)),
IF(ISERROR(MATCH(D118,'Ist Aktuell Monat 05'!A:A,0))=FALSE,INDEX('Ist Aktuell Monat 05'!B:B,MATCH(D118,'Ist Aktuell Monat 05'!A:A,0)),
IF(ISERROR(MATCH(D118,'Ist Aktuell Monat 06'!A:A,0))=FALSE,INDEX('Ist Aktuell Monat 06'!B:B,MATCH(D118,'Ist Aktuell Monat 06'!A:A,0)),
IF(ISERROR(MATCH(D118,'Ist Aktuell Monat 07'!A:A,0))=FALSE,INDEX('Ist Aktuell Monat 07'!B:B,MATCH(D118,'Ist Aktuell Monat 07'!A:A,0)),
IF(ISERROR(MATCH(D118,'Ist Aktuell Monat 08'!A:A,0))=FALSE,INDEX('Ist Aktuell Monat 08'!B:B,MATCH(D118,'Ist Aktuell Monat 08'!A:A,0)),
IF(ISERROR(MATCH(D118,'Ist Aktuell Monat 09'!A:A,0))=FALSE,INDEX('Ist Aktuell Monat 09'!B:B,MATCH(D118,'Ist Aktuell Monat 09'!A:A,0)),
IF(ISERROR(MATCH(D118,'Ist Aktuell Monat 10'!A:A,0))=FALSE,INDEX('Ist Aktuell Monat 10'!B:B,MATCH(D118,'Ist Aktuell Monat 10'!A:A,0)),
IF(ISERROR(MATCH(D118,'Ist Aktuell Monat 11'!A:A,0))=FALSE,INDEX('Ist Aktuell Monat 11'!B:B,MATCH(D118,'Ist Aktuell Monat 11'!A:A,0)),
IF(ISERROR(MATCH(D118,'Ist Aktuell Monat 12'!A:A,0))=FALSE,INDEX('Ist Aktuell Monat 12'!B:B,MATCH(D118,'Ist Aktuell Monat 12'!A:A,0)),
"{Konto unbekannt}"
)))))))))))),"")</f>
        <v/>
      </c>
      <c r="C118" s="591"/>
      <c r="D118" s="590"/>
      <c r="E118" s="592">
        <f t="shared" si="77"/>
        <v>1</v>
      </c>
      <c r="F118" s="590"/>
      <c r="G118" s="593">
        <f ca="1">$E118*(-SUMIF(INDIRECT(G$3),'Struktur Aktuell'!$D118,INDIRECT(G$4))+SUMIF(INDIRECT(G$3),'Struktur Aktuell'!$D118,INDIRECT(G$5)))</f>
        <v>0</v>
      </c>
      <c r="H118" s="593">
        <f ca="1">$E118*(-SUMIF(INDIRECT(H$3),'Struktur Aktuell'!$D118,INDIRECT(H$4))+SUMIF(INDIRECT(H$3),'Struktur Aktuell'!$D118,INDIRECT(H$5)))</f>
        <v>0</v>
      </c>
      <c r="I118" s="593">
        <f ca="1">$E118*(-SUMIF(INDIRECT(I$3),'Struktur Aktuell'!$D118,INDIRECT(I$4))+SUMIF(INDIRECT(I$3),'Struktur Aktuell'!$D118,INDIRECT(I$5)))</f>
        <v>0</v>
      </c>
      <c r="J118" s="593">
        <f ca="1">$E118*(-SUMIF(INDIRECT(J$3),'Struktur Aktuell'!$D118,INDIRECT(J$4))+SUMIF(INDIRECT(J$3),'Struktur Aktuell'!$D118,INDIRECT(J$5)))</f>
        <v>0</v>
      </c>
      <c r="K118" s="593">
        <f ca="1">$E118*(-SUMIF(INDIRECT(K$3),'Struktur Aktuell'!$D118,INDIRECT(K$4))+SUMIF(INDIRECT(K$3),'Struktur Aktuell'!$D118,INDIRECT(K$5)))</f>
        <v>0</v>
      </c>
      <c r="L118" s="593">
        <f ca="1">$E118*(-SUMIF(INDIRECT(L$3),'Struktur Aktuell'!$D118,INDIRECT(L$4))+SUMIF(INDIRECT(L$3),'Struktur Aktuell'!$D118,INDIRECT(L$5)))</f>
        <v>0</v>
      </c>
      <c r="M118" s="593">
        <f ca="1">$E118*(-SUMIF(INDIRECT(M$3),'Struktur Aktuell'!$D118,INDIRECT(M$4))+SUMIF(INDIRECT(M$3),'Struktur Aktuell'!$D118,INDIRECT(M$5)))</f>
        <v>0</v>
      </c>
      <c r="N118" s="593">
        <f ca="1">$E118*(-SUMIF(INDIRECT(N$3),'Struktur Aktuell'!$D118,INDIRECT(N$4))+SUMIF(INDIRECT(N$3),'Struktur Aktuell'!$D118,INDIRECT(N$5)))</f>
        <v>0</v>
      </c>
      <c r="O118" s="593">
        <f ca="1">$E118*(-SUMIF(INDIRECT(O$3),'Struktur Aktuell'!$D118,INDIRECT(O$4))+SUMIF(INDIRECT(O$3),'Struktur Aktuell'!$D118,INDIRECT(O$5)))</f>
        <v>0</v>
      </c>
      <c r="P118" s="593">
        <f ca="1">$E118*(-SUMIF(INDIRECT(P$3),'Struktur Aktuell'!$D118,INDIRECT(P$4))+SUMIF(INDIRECT(P$3),'Struktur Aktuell'!$D118,INDIRECT(P$5)))</f>
        <v>0</v>
      </c>
      <c r="Q118" s="593">
        <f ca="1">$E118*(-SUMIF(INDIRECT(Q$3),'Struktur Aktuell'!$D118,INDIRECT(Q$4))+SUMIF(INDIRECT(Q$3),'Struktur Aktuell'!$D118,INDIRECT(Q$5)))</f>
        <v>0</v>
      </c>
      <c r="R118" s="593">
        <f ca="1">$E118*(-SUMIF(INDIRECT(R$3),'Struktur Aktuell'!$D118,INDIRECT(R$4))+SUMIF(INDIRECT(R$3),'Struktur Aktuell'!$D118,INDIRECT(R$5)))</f>
        <v>0</v>
      </c>
      <c r="S118" s="593">
        <f ca="1">$E118*(-SUMIF(INDIRECT(S$3),'Struktur Aktuell'!$D118,INDIRECT(S$4))+SUMIF(INDIRECT(S$3),'Struktur Aktuell'!$D118,INDIRECT(S$5)))</f>
        <v>0</v>
      </c>
      <c r="T118" s="593">
        <f ca="1">$E118*(-SUMIF(INDIRECT(T$3),'Struktur Aktuell'!$D118,INDIRECT(T$4))+SUMIF(INDIRECT(T$3),'Struktur Aktuell'!$D118,INDIRECT(T$5)))</f>
        <v>0</v>
      </c>
      <c r="U118" s="593">
        <f ca="1">$E118*(-SUMIF(INDIRECT(U$3),'Struktur Aktuell'!$D118,INDIRECT(U$4))+SUMIF(INDIRECT(U$3),'Struktur Aktuell'!$D118,INDIRECT(U$5)))</f>
        <v>0</v>
      </c>
      <c r="V118" s="593">
        <f ca="1">$E118*(-SUMIF(INDIRECT(V$3),'Struktur Aktuell'!$D118,INDIRECT(V$4))+SUMIF(INDIRECT(V$3),'Struktur Aktuell'!$D118,INDIRECT(V$5)))</f>
        <v>0</v>
      </c>
      <c r="W118" s="593">
        <f ca="1">$E118*(-SUMIF(INDIRECT(W$3),'Struktur Aktuell'!$D118,INDIRECT(W$4))+SUMIF(INDIRECT(W$3),'Struktur Aktuell'!$D118,INDIRECT(W$5)))</f>
        <v>0</v>
      </c>
      <c r="X118" s="593">
        <f ca="1">$E118*(-SUMIF(INDIRECT(X$3),'Struktur Aktuell'!$D118,INDIRECT(X$4))+SUMIF(INDIRECT(X$3),'Struktur Aktuell'!$D118,INDIRECT(X$5)))</f>
        <v>0</v>
      </c>
      <c r="Y118" s="593">
        <f ca="1">$E118*(-SUMIF(INDIRECT(Y$3),'Struktur Aktuell'!$D118,INDIRECT(Y$4))+SUMIF(INDIRECT(Y$3),'Struktur Aktuell'!$D118,INDIRECT(Y$5)))</f>
        <v>0</v>
      </c>
      <c r="Z118" s="593">
        <f ca="1">$E118*(-SUMIF(INDIRECT(Z$3),'Struktur Aktuell'!$D118,INDIRECT(Z$4))+SUMIF(INDIRECT(Z$3),'Struktur Aktuell'!$D118,INDIRECT(Z$5)))</f>
        <v>0</v>
      </c>
      <c r="AA118" s="593">
        <f ca="1">$E118*(-SUMIF(INDIRECT(AA$3),'Struktur Aktuell'!$D118,INDIRECT(AA$4))+SUMIF(INDIRECT(AA$3),'Struktur Aktuell'!$D118,INDIRECT(AA$5)))</f>
        <v>0</v>
      </c>
      <c r="AB118" s="593">
        <f ca="1">$E118*(-SUMIF(INDIRECT(AB$3),'Struktur Aktuell'!$D118,INDIRECT(AB$4))+SUMIF(INDIRECT(AB$3),'Struktur Aktuell'!$D118,INDIRECT(AB$5)))</f>
        <v>0</v>
      </c>
      <c r="AC118" s="593">
        <f ca="1">$E118*(-SUMIF(INDIRECT(AC$3),'Struktur Aktuell'!$D118,INDIRECT(AC$4))+SUMIF(INDIRECT(AC$3),'Struktur Aktuell'!$D118,INDIRECT(AC$5)))</f>
        <v>0</v>
      </c>
      <c r="AD118" s="593">
        <f ca="1">$E118*(-SUMIF(INDIRECT(AD$3),'Struktur Aktuell'!$D118,INDIRECT(AD$4))+SUMIF(INDIRECT(AD$3),'Struktur Aktuell'!$D118,INDIRECT(AD$5)))</f>
        <v>0</v>
      </c>
      <c r="AE118" s="593">
        <f t="shared" ca="1" si="159"/>
        <v>0</v>
      </c>
      <c r="AF118" s="593">
        <f t="shared" ca="1" si="160"/>
        <v>0</v>
      </c>
      <c r="AG118" s="593">
        <f t="shared" ca="1" si="161"/>
        <v>0</v>
      </c>
      <c r="AH118" s="593">
        <f t="shared" ca="1" si="162"/>
        <v>0</v>
      </c>
      <c r="AI118" s="593">
        <f t="shared" ca="1" si="163"/>
        <v>0</v>
      </c>
      <c r="AJ118" s="593">
        <f t="shared" ca="1" si="164"/>
        <v>0</v>
      </c>
      <c r="AK118" s="593">
        <f t="shared" ca="1" si="165"/>
        <v>0</v>
      </c>
      <c r="AL118" s="593">
        <f t="shared" ca="1" si="166"/>
        <v>0</v>
      </c>
      <c r="AM118" s="593">
        <f t="shared" ca="1" si="167"/>
        <v>0</v>
      </c>
      <c r="AN118" s="593">
        <f t="shared" ca="1" si="168"/>
        <v>0</v>
      </c>
      <c r="AO118" s="593">
        <f t="shared" ca="1" si="169"/>
        <v>0</v>
      </c>
      <c r="AP118" s="593">
        <f t="shared" ca="1" si="170"/>
        <v>0</v>
      </c>
    </row>
    <row r="119" spans="1:42" s="594" customFormat="1" ht="11.25" outlineLevel="1" x14ac:dyDescent="0.2">
      <c r="A119" s="590"/>
      <c r="B119" s="591" t="str">
        <f>IF(D119&lt;&gt;"",
IF(ISERROR(MATCH(D119,'Ist Aktuell Monat 01'!A:A,0))=FALSE,INDEX('Ist Aktuell Monat 01'!B:B,MATCH(D119,'Ist Aktuell Monat 01'!A:A,0)),
IF(ISERROR(MATCH(D119,'Ist Aktuell Monat 02'!A:A,0))=FALSE,INDEX('Ist Aktuell Monat 02'!B:B,MATCH(D119,'Ist Aktuell Monat 02'!A:A,0)),
IF(ISERROR(MATCH(D119,'Ist Aktuell Monat 03'!A:A,0))=FALSE,INDEX('Ist Aktuell Monat 03'!B:B,MATCH(D119,'Ist Aktuell Monat 03'!A:A,0)),
IF(ISERROR(MATCH(D119,'Ist Aktuell Monat 04'!A:A,0))=FALSE,INDEX('Ist Aktuell Monat 04'!B:B,MATCH(D119,'Ist Aktuell Monat 04'!A:A,0)),
IF(ISERROR(MATCH(D119,'Ist Aktuell Monat 05'!A:A,0))=FALSE,INDEX('Ist Aktuell Monat 05'!B:B,MATCH(D119,'Ist Aktuell Monat 05'!A:A,0)),
IF(ISERROR(MATCH(D119,'Ist Aktuell Monat 06'!A:A,0))=FALSE,INDEX('Ist Aktuell Monat 06'!B:B,MATCH(D119,'Ist Aktuell Monat 06'!A:A,0)),
IF(ISERROR(MATCH(D119,'Ist Aktuell Monat 07'!A:A,0))=FALSE,INDEX('Ist Aktuell Monat 07'!B:B,MATCH(D119,'Ist Aktuell Monat 07'!A:A,0)),
IF(ISERROR(MATCH(D119,'Ist Aktuell Monat 08'!A:A,0))=FALSE,INDEX('Ist Aktuell Monat 08'!B:B,MATCH(D119,'Ist Aktuell Monat 08'!A:A,0)),
IF(ISERROR(MATCH(D119,'Ist Aktuell Monat 09'!A:A,0))=FALSE,INDEX('Ist Aktuell Monat 09'!B:B,MATCH(D119,'Ist Aktuell Monat 09'!A:A,0)),
IF(ISERROR(MATCH(D119,'Ist Aktuell Monat 10'!A:A,0))=FALSE,INDEX('Ist Aktuell Monat 10'!B:B,MATCH(D119,'Ist Aktuell Monat 10'!A:A,0)),
IF(ISERROR(MATCH(D119,'Ist Aktuell Monat 11'!A:A,0))=FALSE,INDEX('Ist Aktuell Monat 11'!B:B,MATCH(D119,'Ist Aktuell Monat 11'!A:A,0)),
IF(ISERROR(MATCH(D119,'Ist Aktuell Monat 12'!A:A,0))=FALSE,INDEX('Ist Aktuell Monat 12'!B:B,MATCH(D119,'Ist Aktuell Monat 12'!A:A,0)),
"{Konto unbekannt}"
)))))))))))),"")</f>
        <v/>
      </c>
      <c r="C119" s="591"/>
      <c r="D119" s="590"/>
      <c r="E119" s="592">
        <f t="shared" si="77"/>
        <v>1</v>
      </c>
      <c r="F119" s="590"/>
      <c r="G119" s="593">
        <f ca="1">$E119*(-SUMIF(INDIRECT(G$3),'Struktur Aktuell'!$D119,INDIRECT(G$4))+SUMIF(INDIRECT(G$3),'Struktur Aktuell'!$D119,INDIRECT(G$5)))</f>
        <v>0</v>
      </c>
      <c r="H119" s="593">
        <f ca="1">$E119*(-SUMIF(INDIRECT(H$3),'Struktur Aktuell'!$D119,INDIRECT(H$4))+SUMIF(INDIRECT(H$3),'Struktur Aktuell'!$D119,INDIRECT(H$5)))</f>
        <v>0</v>
      </c>
      <c r="I119" s="593">
        <f ca="1">$E119*(-SUMIF(INDIRECT(I$3),'Struktur Aktuell'!$D119,INDIRECT(I$4))+SUMIF(INDIRECT(I$3),'Struktur Aktuell'!$D119,INDIRECT(I$5)))</f>
        <v>0</v>
      </c>
      <c r="J119" s="593">
        <f ca="1">$E119*(-SUMIF(INDIRECT(J$3),'Struktur Aktuell'!$D119,INDIRECT(J$4))+SUMIF(INDIRECT(J$3),'Struktur Aktuell'!$D119,INDIRECT(J$5)))</f>
        <v>0</v>
      </c>
      <c r="K119" s="593">
        <f ca="1">$E119*(-SUMIF(INDIRECT(K$3),'Struktur Aktuell'!$D119,INDIRECT(K$4))+SUMIF(INDIRECT(K$3),'Struktur Aktuell'!$D119,INDIRECT(K$5)))</f>
        <v>0</v>
      </c>
      <c r="L119" s="593">
        <f ca="1">$E119*(-SUMIF(INDIRECT(L$3),'Struktur Aktuell'!$D119,INDIRECT(L$4))+SUMIF(INDIRECT(L$3),'Struktur Aktuell'!$D119,INDIRECT(L$5)))</f>
        <v>0</v>
      </c>
      <c r="M119" s="593">
        <f ca="1">$E119*(-SUMIF(INDIRECT(M$3),'Struktur Aktuell'!$D119,INDIRECT(M$4))+SUMIF(INDIRECT(M$3),'Struktur Aktuell'!$D119,INDIRECT(M$5)))</f>
        <v>0</v>
      </c>
      <c r="N119" s="593">
        <f ca="1">$E119*(-SUMIF(INDIRECT(N$3),'Struktur Aktuell'!$D119,INDIRECT(N$4))+SUMIF(INDIRECT(N$3),'Struktur Aktuell'!$D119,INDIRECT(N$5)))</f>
        <v>0</v>
      </c>
      <c r="O119" s="593">
        <f ca="1">$E119*(-SUMIF(INDIRECT(O$3),'Struktur Aktuell'!$D119,INDIRECT(O$4))+SUMIF(INDIRECT(O$3),'Struktur Aktuell'!$D119,INDIRECT(O$5)))</f>
        <v>0</v>
      </c>
      <c r="P119" s="593">
        <f ca="1">$E119*(-SUMIF(INDIRECT(P$3),'Struktur Aktuell'!$D119,INDIRECT(P$4))+SUMIF(INDIRECT(P$3),'Struktur Aktuell'!$D119,INDIRECT(P$5)))</f>
        <v>0</v>
      </c>
      <c r="Q119" s="593">
        <f ca="1">$E119*(-SUMIF(INDIRECT(Q$3),'Struktur Aktuell'!$D119,INDIRECT(Q$4))+SUMIF(INDIRECT(Q$3),'Struktur Aktuell'!$D119,INDIRECT(Q$5)))</f>
        <v>0</v>
      </c>
      <c r="R119" s="593">
        <f ca="1">$E119*(-SUMIF(INDIRECT(R$3),'Struktur Aktuell'!$D119,INDIRECT(R$4))+SUMIF(INDIRECT(R$3),'Struktur Aktuell'!$D119,INDIRECT(R$5)))</f>
        <v>0</v>
      </c>
      <c r="S119" s="593">
        <f ca="1">$E119*(-SUMIF(INDIRECT(S$3),'Struktur Aktuell'!$D119,INDIRECT(S$4))+SUMIF(INDIRECT(S$3),'Struktur Aktuell'!$D119,INDIRECT(S$5)))</f>
        <v>0</v>
      </c>
      <c r="T119" s="593">
        <f ca="1">$E119*(-SUMIF(INDIRECT(T$3),'Struktur Aktuell'!$D119,INDIRECT(T$4))+SUMIF(INDIRECT(T$3),'Struktur Aktuell'!$D119,INDIRECT(T$5)))</f>
        <v>0</v>
      </c>
      <c r="U119" s="593">
        <f ca="1">$E119*(-SUMIF(INDIRECT(U$3),'Struktur Aktuell'!$D119,INDIRECT(U$4))+SUMIF(INDIRECT(U$3),'Struktur Aktuell'!$D119,INDIRECT(U$5)))</f>
        <v>0</v>
      </c>
      <c r="V119" s="593">
        <f ca="1">$E119*(-SUMIF(INDIRECT(V$3),'Struktur Aktuell'!$D119,INDIRECT(V$4))+SUMIF(INDIRECT(V$3),'Struktur Aktuell'!$D119,INDIRECT(V$5)))</f>
        <v>0</v>
      </c>
      <c r="W119" s="593">
        <f ca="1">$E119*(-SUMIF(INDIRECT(W$3),'Struktur Aktuell'!$D119,INDIRECT(W$4))+SUMIF(INDIRECT(W$3),'Struktur Aktuell'!$D119,INDIRECT(W$5)))</f>
        <v>0</v>
      </c>
      <c r="X119" s="593">
        <f ca="1">$E119*(-SUMIF(INDIRECT(X$3),'Struktur Aktuell'!$D119,INDIRECT(X$4))+SUMIF(INDIRECT(X$3),'Struktur Aktuell'!$D119,INDIRECT(X$5)))</f>
        <v>0</v>
      </c>
      <c r="Y119" s="593">
        <f ca="1">$E119*(-SUMIF(INDIRECT(Y$3),'Struktur Aktuell'!$D119,INDIRECT(Y$4))+SUMIF(INDIRECT(Y$3),'Struktur Aktuell'!$D119,INDIRECT(Y$5)))</f>
        <v>0</v>
      </c>
      <c r="Z119" s="593">
        <f ca="1">$E119*(-SUMIF(INDIRECT(Z$3),'Struktur Aktuell'!$D119,INDIRECT(Z$4))+SUMIF(INDIRECT(Z$3),'Struktur Aktuell'!$D119,INDIRECT(Z$5)))</f>
        <v>0</v>
      </c>
      <c r="AA119" s="593">
        <f ca="1">$E119*(-SUMIF(INDIRECT(AA$3),'Struktur Aktuell'!$D119,INDIRECT(AA$4))+SUMIF(INDIRECT(AA$3),'Struktur Aktuell'!$D119,INDIRECT(AA$5)))</f>
        <v>0</v>
      </c>
      <c r="AB119" s="593">
        <f ca="1">$E119*(-SUMIF(INDIRECT(AB$3),'Struktur Aktuell'!$D119,INDIRECT(AB$4))+SUMIF(INDIRECT(AB$3),'Struktur Aktuell'!$D119,INDIRECT(AB$5)))</f>
        <v>0</v>
      </c>
      <c r="AC119" s="593">
        <f ca="1">$E119*(-SUMIF(INDIRECT(AC$3),'Struktur Aktuell'!$D119,INDIRECT(AC$4))+SUMIF(INDIRECT(AC$3),'Struktur Aktuell'!$D119,INDIRECT(AC$5)))</f>
        <v>0</v>
      </c>
      <c r="AD119" s="593">
        <f ca="1">$E119*(-SUMIF(INDIRECT(AD$3),'Struktur Aktuell'!$D119,INDIRECT(AD$4))+SUMIF(INDIRECT(AD$3),'Struktur Aktuell'!$D119,INDIRECT(AD$5)))</f>
        <v>0</v>
      </c>
      <c r="AE119" s="593">
        <f t="shared" ca="1" si="159"/>
        <v>0</v>
      </c>
      <c r="AF119" s="593">
        <f t="shared" ca="1" si="160"/>
        <v>0</v>
      </c>
      <c r="AG119" s="593">
        <f t="shared" ca="1" si="161"/>
        <v>0</v>
      </c>
      <c r="AH119" s="593">
        <f t="shared" ca="1" si="162"/>
        <v>0</v>
      </c>
      <c r="AI119" s="593">
        <f t="shared" ca="1" si="163"/>
        <v>0</v>
      </c>
      <c r="AJ119" s="593">
        <f t="shared" ca="1" si="164"/>
        <v>0</v>
      </c>
      <c r="AK119" s="593">
        <f t="shared" ca="1" si="165"/>
        <v>0</v>
      </c>
      <c r="AL119" s="593">
        <f t="shared" ca="1" si="166"/>
        <v>0</v>
      </c>
      <c r="AM119" s="593">
        <f t="shared" ca="1" si="167"/>
        <v>0</v>
      </c>
      <c r="AN119" s="593">
        <f t="shared" ca="1" si="168"/>
        <v>0</v>
      </c>
      <c r="AO119" s="593">
        <f t="shared" ca="1" si="169"/>
        <v>0</v>
      </c>
      <c r="AP119" s="593">
        <f t="shared" ca="1" si="170"/>
        <v>0</v>
      </c>
    </row>
    <row r="120" spans="1:42" s="594" customFormat="1" ht="11.25" outlineLevel="1" x14ac:dyDescent="0.2">
      <c r="A120" s="590"/>
      <c r="B120" s="591" t="str">
        <f>IF(D120&lt;&gt;"",
IF(ISERROR(MATCH(D120,'Ist Aktuell Monat 01'!A:A,0))=FALSE,INDEX('Ist Aktuell Monat 01'!B:B,MATCH(D120,'Ist Aktuell Monat 01'!A:A,0)),
IF(ISERROR(MATCH(D120,'Ist Aktuell Monat 02'!A:A,0))=FALSE,INDEX('Ist Aktuell Monat 02'!B:B,MATCH(D120,'Ist Aktuell Monat 02'!A:A,0)),
IF(ISERROR(MATCH(D120,'Ist Aktuell Monat 03'!A:A,0))=FALSE,INDEX('Ist Aktuell Monat 03'!B:B,MATCH(D120,'Ist Aktuell Monat 03'!A:A,0)),
IF(ISERROR(MATCH(D120,'Ist Aktuell Monat 04'!A:A,0))=FALSE,INDEX('Ist Aktuell Monat 04'!B:B,MATCH(D120,'Ist Aktuell Monat 04'!A:A,0)),
IF(ISERROR(MATCH(D120,'Ist Aktuell Monat 05'!A:A,0))=FALSE,INDEX('Ist Aktuell Monat 05'!B:B,MATCH(D120,'Ist Aktuell Monat 05'!A:A,0)),
IF(ISERROR(MATCH(D120,'Ist Aktuell Monat 06'!A:A,0))=FALSE,INDEX('Ist Aktuell Monat 06'!B:B,MATCH(D120,'Ist Aktuell Monat 06'!A:A,0)),
IF(ISERROR(MATCH(D120,'Ist Aktuell Monat 07'!A:A,0))=FALSE,INDEX('Ist Aktuell Monat 07'!B:B,MATCH(D120,'Ist Aktuell Monat 07'!A:A,0)),
IF(ISERROR(MATCH(D120,'Ist Aktuell Monat 08'!A:A,0))=FALSE,INDEX('Ist Aktuell Monat 08'!B:B,MATCH(D120,'Ist Aktuell Monat 08'!A:A,0)),
IF(ISERROR(MATCH(D120,'Ist Aktuell Monat 09'!A:A,0))=FALSE,INDEX('Ist Aktuell Monat 09'!B:B,MATCH(D120,'Ist Aktuell Monat 09'!A:A,0)),
IF(ISERROR(MATCH(D120,'Ist Aktuell Monat 10'!A:A,0))=FALSE,INDEX('Ist Aktuell Monat 10'!B:B,MATCH(D120,'Ist Aktuell Monat 10'!A:A,0)),
IF(ISERROR(MATCH(D120,'Ist Aktuell Monat 11'!A:A,0))=FALSE,INDEX('Ist Aktuell Monat 11'!B:B,MATCH(D120,'Ist Aktuell Monat 11'!A:A,0)),
IF(ISERROR(MATCH(D120,'Ist Aktuell Monat 12'!A:A,0))=FALSE,INDEX('Ist Aktuell Monat 12'!B:B,MATCH(D120,'Ist Aktuell Monat 12'!A:A,0)),
"{Konto unbekannt}"
)))))))))))),"")</f>
        <v/>
      </c>
      <c r="C120" s="591"/>
      <c r="D120" s="590"/>
      <c r="E120" s="592">
        <f t="shared" si="77"/>
        <v>1</v>
      </c>
      <c r="F120" s="590"/>
      <c r="G120" s="593">
        <f ca="1">$E120*(-SUMIF(INDIRECT(G$3),'Struktur Aktuell'!$D120,INDIRECT(G$4))+SUMIF(INDIRECT(G$3),'Struktur Aktuell'!$D120,INDIRECT(G$5)))</f>
        <v>0</v>
      </c>
      <c r="H120" s="593">
        <f ca="1">$E120*(-SUMIF(INDIRECT(H$3),'Struktur Aktuell'!$D120,INDIRECT(H$4))+SUMIF(INDIRECT(H$3),'Struktur Aktuell'!$D120,INDIRECT(H$5)))</f>
        <v>0</v>
      </c>
      <c r="I120" s="593">
        <f ca="1">$E120*(-SUMIF(INDIRECT(I$3),'Struktur Aktuell'!$D120,INDIRECT(I$4))+SUMIF(INDIRECT(I$3),'Struktur Aktuell'!$D120,INDIRECT(I$5)))</f>
        <v>0</v>
      </c>
      <c r="J120" s="593">
        <f ca="1">$E120*(-SUMIF(INDIRECT(J$3),'Struktur Aktuell'!$D120,INDIRECT(J$4))+SUMIF(INDIRECT(J$3),'Struktur Aktuell'!$D120,INDIRECT(J$5)))</f>
        <v>0</v>
      </c>
      <c r="K120" s="593">
        <f ca="1">$E120*(-SUMIF(INDIRECT(K$3),'Struktur Aktuell'!$D120,INDIRECT(K$4))+SUMIF(INDIRECT(K$3),'Struktur Aktuell'!$D120,INDIRECT(K$5)))</f>
        <v>0</v>
      </c>
      <c r="L120" s="593">
        <f ca="1">$E120*(-SUMIF(INDIRECT(L$3),'Struktur Aktuell'!$D120,INDIRECT(L$4))+SUMIF(INDIRECT(L$3),'Struktur Aktuell'!$D120,INDIRECT(L$5)))</f>
        <v>0</v>
      </c>
      <c r="M120" s="593">
        <f ca="1">$E120*(-SUMIF(INDIRECT(M$3),'Struktur Aktuell'!$D120,INDIRECT(M$4))+SUMIF(INDIRECT(M$3),'Struktur Aktuell'!$D120,INDIRECT(M$5)))</f>
        <v>0</v>
      </c>
      <c r="N120" s="593">
        <f ca="1">$E120*(-SUMIF(INDIRECT(N$3),'Struktur Aktuell'!$D120,INDIRECT(N$4))+SUMIF(INDIRECT(N$3),'Struktur Aktuell'!$D120,INDIRECT(N$5)))</f>
        <v>0</v>
      </c>
      <c r="O120" s="593">
        <f ca="1">$E120*(-SUMIF(INDIRECT(O$3),'Struktur Aktuell'!$D120,INDIRECT(O$4))+SUMIF(INDIRECT(O$3),'Struktur Aktuell'!$D120,INDIRECT(O$5)))</f>
        <v>0</v>
      </c>
      <c r="P120" s="593">
        <f ca="1">$E120*(-SUMIF(INDIRECT(P$3),'Struktur Aktuell'!$D120,INDIRECT(P$4))+SUMIF(INDIRECT(P$3),'Struktur Aktuell'!$D120,INDIRECT(P$5)))</f>
        <v>0</v>
      </c>
      <c r="Q120" s="593">
        <f ca="1">$E120*(-SUMIF(INDIRECT(Q$3),'Struktur Aktuell'!$D120,INDIRECT(Q$4))+SUMIF(INDIRECT(Q$3),'Struktur Aktuell'!$D120,INDIRECT(Q$5)))</f>
        <v>0</v>
      </c>
      <c r="R120" s="593">
        <f ca="1">$E120*(-SUMIF(INDIRECT(R$3),'Struktur Aktuell'!$D120,INDIRECT(R$4))+SUMIF(INDIRECT(R$3),'Struktur Aktuell'!$D120,INDIRECT(R$5)))</f>
        <v>0</v>
      </c>
      <c r="S120" s="593">
        <f ca="1">$E120*(-SUMIF(INDIRECT(S$3),'Struktur Aktuell'!$D120,INDIRECT(S$4))+SUMIF(INDIRECT(S$3),'Struktur Aktuell'!$D120,INDIRECT(S$5)))</f>
        <v>0</v>
      </c>
      <c r="T120" s="593">
        <f ca="1">$E120*(-SUMIF(INDIRECT(T$3),'Struktur Aktuell'!$D120,INDIRECT(T$4))+SUMIF(INDIRECT(T$3),'Struktur Aktuell'!$D120,INDIRECT(T$5)))</f>
        <v>0</v>
      </c>
      <c r="U120" s="593">
        <f ca="1">$E120*(-SUMIF(INDIRECT(U$3),'Struktur Aktuell'!$D120,INDIRECT(U$4))+SUMIF(INDIRECT(U$3),'Struktur Aktuell'!$D120,INDIRECT(U$5)))</f>
        <v>0</v>
      </c>
      <c r="V120" s="593">
        <f ca="1">$E120*(-SUMIF(INDIRECT(V$3),'Struktur Aktuell'!$D120,INDIRECT(V$4))+SUMIF(INDIRECT(V$3),'Struktur Aktuell'!$D120,INDIRECT(V$5)))</f>
        <v>0</v>
      </c>
      <c r="W120" s="593">
        <f ca="1">$E120*(-SUMIF(INDIRECT(W$3),'Struktur Aktuell'!$D120,INDIRECT(W$4))+SUMIF(INDIRECT(W$3),'Struktur Aktuell'!$D120,INDIRECT(W$5)))</f>
        <v>0</v>
      </c>
      <c r="X120" s="593">
        <f ca="1">$E120*(-SUMIF(INDIRECT(X$3),'Struktur Aktuell'!$D120,INDIRECT(X$4))+SUMIF(INDIRECT(X$3),'Struktur Aktuell'!$D120,INDIRECT(X$5)))</f>
        <v>0</v>
      </c>
      <c r="Y120" s="593">
        <f ca="1">$E120*(-SUMIF(INDIRECT(Y$3),'Struktur Aktuell'!$D120,INDIRECT(Y$4))+SUMIF(INDIRECT(Y$3),'Struktur Aktuell'!$D120,INDIRECT(Y$5)))</f>
        <v>0</v>
      </c>
      <c r="Z120" s="593">
        <f ca="1">$E120*(-SUMIF(INDIRECT(Z$3),'Struktur Aktuell'!$D120,INDIRECT(Z$4))+SUMIF(INDIRECT(Z$3),'Struktur Aktuell'!$D120,INDIRECT(Z$5)))</f>
        <v>0</v>
      </c>
      <c r="AA120" s="593">
        <f ca="1">$E120*(-SUMIF(INDIRECT(AA$3),'Struktur Aktuell'!$D120,INDIRECT(AA$4))+SUMIF(INDIRECT(AA$3),'Struktur Aktuell'!$D120,INDIRECT(AA$5)))</f>
        <v>0</v>
      </c>
      <c r="AB120" s="593">
        <f ca="1">$E120*(-SUMIF(INDIRECT(AB$3),'Struktur Aktuell'!$D120,INDIRECT(AB$4))+SUMIF(INDIRECT(AB$3),'Struktur Aktuell'!$D120,INDIRECT(AB$5)))</f>
        <v>0</v>
      </c>
      <c r="AC120" s="593">
        <f ca="1">$E120*(-SUMIF(INDIRECT(AC$3),'Struktur Aktuell'!$D120,INDIRECT(AC$4))+SUMIF(INDIRECT(AC$3),'Struktur Aktuell'!$D120,INDIRECT(AC$5)))</f>
        <v>0</v>
      </c>
      <c r="AD120" s="593">
        <f ca="1">$E120*(-SUMIF(INDIRECT(AD$3),'Struktur Aktuell'!$D120,INDIRECT(AD$4))+SUMIF(INDIRECT(AD$3),'Struktur Aktuell'!$D120,INDIRECT(AD$5)))</f>
        <v>0</v>
      </c>
      <c r="AE120" s="593">
        <f t="shared" ca="1" si="159"/>
        <v>0</v>
      </c>
      <c r="AF120" s="593">
        <f t="shared" ca="1" si="160"/>
        <v>0</v>
      </c>
      <c r="AG120" s="593">
        <f t="shared" ca="1" si="161"/>
        <v>0</v>
      </c>
      <c r="AH120" s="593">
        <f t="shared" ca="1" si="162"/>
        <v>0</v>
      </c>
      <c r="AI120" s="593">
        <f t="shared" ca="1" si="163"/>
        <v>0</v>
      </c>
      <c r="AJ120" s="593">
        <f t="shared" ca="1" si="164"/>
        <v>0</v>
      </c>
      <c r="AK120" s="593">
        <f t="shared" ca="1" si="165"/>
        <v>0</v>
      </c>
      <c r="AL120" s="593">
        <f t="shared" ca="1" si="166"/>
        <v>0</v>
      </c>
      <c r="AM120" s="593">
        <f t="shared" ca="1" si="167"/>
        <v>0</v>
      </c>
      <c r="AN120" s="593">
        <f t="shared" ca="1" si="168"/>
        <v>0</v>
      </c>
      <c r="AO120" s="593">
        <f t="shared" ca="1" si="169"/>
        <v>0</v>
      </c>
      <c r="AP120" s="593">
        <f t="shared" ca="1" si="170"/>
        <v>0</v>
      </c>
    </row>
    <row r="121" spans="1:42" s="594" customFormat="1" ht="11.25" outlineLevel="1" x14ac:dyDescent="0.2">
      <c r="A121" s="590"/>
      <c r="B121" s="591" t="str">
        <f>IF(D121&lt;&gt;"",
IF(ISERROR(MATCH(D121,'Ist Aktuell Monat 01'!A:A,0))=FALSE,INDEX('Ist Aktuell Monat 01'!B:B,MATCH(D121,'Ist Aktuell Monat 01'!A:A,0)),
IF(ISERROR(MATCH(D121,'Ist Aktuell Monat 02'!A:A,0))=FALSE,INDEX('Ist Aktuell Monat 02'!B:B,MATCH(D121,'Ist Aktuell Monat 02'!A:A,0)),
IF(ISERROR(MATCH(D121,'Ist Aktuell Monat 03'!A:A,0))=FALSE,INDEX('Ist Aktuell Monat 03'!B:B,MATCH(D121,'Ist Aktuell Monat 03'!A:A,0)),
IF(ISERROR(MATCH(D121,'Ist Aktuell Monat 04'!A:A,0))=FALSE,INDEX('Ist Aktuell Monat 04'!B:B,MATCH(D121,'Ist Aktuell Monat 04'!A:A,0)),
IF(ISERROR(MATCH(D121,'Ist Aktuell Monat 05'!A:A,0))=FALSE,INDEX('Ist Aktuell Monat 05'!B:B,MATCH(D121,'Ist Aktuell Monat 05'!A:A,0)),
IF(ISERROR(MATCH(D121,'Ist Aktuell Monat 06'!A:A,0))=FALSE,INDEX('Ist Aktuell Monat 06'!B:B,MATCH(D121,'Ist Aktuell Monat 06'!A:A,0)),
IF(ISERROR(MATCH(D121,'Ist Aktuell Monat 07'!A:A,0))=FALSE,INDEX('Ist Aktuell Monat 07'!B:B,MATCH(D121,'Ist Aktuell Monat 07'!A:A,0)),
IF(ISERROR(MATCH(D121,'Ist Aktuell Monat 08'!A:A,0))=FALSE,INDEX('Ist Aktuell Monat 08'!B:B,MATCH(D121,'Ist Aktuell Monat 08'!A:A,0)),
IF(ISERROR(MATCH(D121,'Ist Aktuell Monat 09'!A:A,0))=FALSE,INDEX('Ist Aktuell Monat 09'!B:B,MATCH(D121,'Ist Aktuell Monat 09'!A:A,0)),
IF(ISERROR(MATCH(D121,'Ist Aktuell Monat 10'!A:A,0))=FALSE,INDEX('Ist Aktuell Monat 10'!B:B,MATCH(D121,'Ist Aktuell Monat 10'!A:A,0)),
IF(ISERROR(MATCH(D121,'Ist Aktuell Monat 11'!A:A,0))=FALSE,INDEX('Ist Aktuell Monat 11'!B:B,MATCH(D121,'Ist Aktuell Monat 11'!A:A,0)),
IF(ISERROR(MATCH(D121,'Ist Aktuell Monat 12'!A:A,0))=FALSE,INDEX('Ist Aktuell Monat 12'!B:B,MATCH(D121,'Ist Aktuell Monat 12'!A:A,0)),
"{Konto unbekannt}"
)))))))))))),"")</f>
        <v/>
      </c>
      <c r="C121" s="591"/>
      <c r="D121" s="590"/>
      <c r="E121" s="592">
        <f t="shared" si="77"/>
        <v>1</v>
      </c>
      <c r="F121" s="590"/>
      <c r="G121" s="593">
        <f ca="1">$E121*(-SUMIF(INDIRECT(G$3),'Struktur Aktuell'!$D121,INDIRECT(G$4))+SUMIF(INDIRECT(G$3),'Struktur Aktuell'!$D121,INDIRECT(G$5)))</f>
        <v>0</v>
      </c>
      <c r="H121" s="593">
        <f ca="1">$E121*(-SUMIF(INDIRECT(H$3),'Struktur Aktuell'!$D121,INDIRECT(H$4))+SUMIF(INDIRECT(H$3),'Struktur Aktuell'!$D121,INDIRECT(H$5)))</f>
        <v>0</v>
      </c>
      <c r="I121" s="593">
        <f ca="1">$E121*(-SUMIF(INDIRECT(I$3),'Struktur Aktuell'!$D121,INDIRECT(I$4))+SUMIF(INDIRECT(I$3),'Struktur Aktuell'!$D121,INDIRECT(I$5)))</f>
        <v>0</v>
      </c>
      <c r="J121" s="593">
        <f ca="1">$E121*(-SUMIF(INDIRECT(J$3),'Struktur Aktuell'!$D121,INDIRECT(J$4))+SUMIF(INDIRECT(J$3),'Struktur Aktuell'!$D121,INDIRECT(J$5)))</f>
        <v>0</v>
      </c>
      <c r="K121" s="593">
        <f ca="1">$E121*(-SUMIF(INDIRECT(K$3),'Struktur Aktuell'!$D121,INDIRECT(K$4))+SUMIF(INDIRECT(K$3),'Struktur Aktuell'!$D121,INDIRECT(K$5)))</f>
        <v>0</v>
      </c>
      <c r="L121" s="593">
        <f ca="1">$E121*(-SUMIF(INDIRECT(L$3),'Struktur Aktuell'!$D121,INDIRECT(L$4))+SUMIF(INDIRECT(L$3),'Struktur Aktuell'!$D121,INDIRECT(L$5)))</f>
        <v>0</v>
      </c>
      <c r="M121" s="593">
        <f ca="1">$E121*(-SUMIF(INDIRECT(M$3),'Struktur Aktuell'!$D121,INDIRECT(M$4))+SUMIF(INDIRECT(M$3),'Struktur Aktuell'!$D121,INDIRECT(M$5)))</f>
        <v>0</v>
      </c>
      <c r="N121" s="593">
        <f ca="1">$E121*(-SUMIF(INDIRECT(N$3),'Struktur Aktuell'!$D121,INDIRECT(N$4))+SUMIF(INDIRECT(N$3),'Struktur Aktuell'!$D121,INDIRECT(N$5)))</f>
        <v>0</v>
      </c>
      <c r="O121" s="593">
        <f ca="1">$E121*(-SUMIF(INDIRECT(O$3),'Struktur Aktuell'!$D121,INDIRECT(O$4))+SUMIF(INDIRECT(O$3),'Struktur Aktuell'!$D121,INDIRECT(O$5)))</f>
        <v>0</v>
      </c>
      <c r="P121" s="593">
        <f ca="1">$E121*(-SUMIF(INDIRECT(P$3),'Struktur Aktuell'!$D121,INDIRECT(P$4))+SUMIF(INDIRECT(P$3),'Struktur Aktuell'!$D121,INDIRECT(P$5)))</f>
        <v>0</v>
      </c>
      <c r="Q121" s="593">
        <f ca="1">$E121*(-SUMIF(INDIRECT(Q$3),'Struktur Aktuell'!$D121,INDIRECT(Q$4))+SUMIF(INDIRECT(Q$3),'Struktur Aktuell'!$D121,INDIRECT(Q$5)))</f>
        <v>0</v>
      </c>
      <c r="R121" s="593">
        <f ca="1">$E121*(-SUMIF(INDIRECT(R$3),'Struktur Aktuell'!$D121,INDIRECT(R$4))+SUMIF(INDIRECT(R$3),'Struktur Aktuell'!$D121,INDIRECT(R$5)))</f>
        <v>0</v>
      </c>
      <c r="S121" s="593">
        <f ca="1">$E121*(-SUMIF(INDIRECT(S$3),'Struktur Aktuell'!$D121,INDIRECT(S$4))+SUMIF(INDIRECT(S$3),'Struktur Aktuell'!$D121,INDIRECT(S$5)))</f>
        <v>0</v>
      </c>
      <c r="T121" s="593">
        <f ca="1">$E121*(-SUMIF(INDIRECT(T$3),'Struktur Aktuell'!$D121,INDIRECT(T$4))+SUMIF(INDIRECT(T$3),'Struktur Aktuell'!$D121,INDIRECT(T$5)))</f>
        <v>0</v>
      </c>
      <c r="U121" s="593">
        <f ca="1">$E121*(-SUMIF(INDIRECT(U$3),'Struktur Aktuell'!$D121,INDIRECT(U$4))+SUMIF(INDIRECT(U$3),'Struktur Aktuell'!$D121,INDIRECT(U$5)))</f>
        <v>0</v>
      </c>
      <c r="V121" s="593">
        <f ca="1">$E121*(-SUMIF(INDIRECT(V$3),'Struktur Aktuell'!$D121,INDIRECT(V$4))+SUMIF(INDIRECT(V$3),'Struktur Aktuell'!$D121,INDIRECT(V$5)))</f>
        <v>0</v>
      </c>
      <c r="W121" s="593">
        <f ca="1">$E121*(-SUMIF(INDIRECT(W$3),'Struktur Aktuell'!$D121,INDIRECT(W$4))+SUMIF(INDIRECT(W$3),'Struktur Aktuell'!$D121,INDIRECT(W$5)))</f>
        <v>0</v>
      </c>
      <c r="X121" s="593">
        <f ca="1">$E121*(-SUMIF(INDIRECT(X$3),'Struktur Aktuell'!$D121,INDIRECT(X$4))+SUMIF(INDIRECT(X$3),'Struktur Aktuell'!$D121,INDIRECT(X$5)))</f>
        <v>0</v>
      </c>
      <c r="Y121" s="593">
        <f ca="1">$E121*(-SUMIF(INDIRECT(Y$3),'Struktur Aktuell'!$D121,INDIRECT(Y$4))+SUMIF(INDIRECT(Y$3),'Struktur Aktuell'!$D121,INDIRECT(Y$5)))</f>
        <v>0</v>
      </c>
      <c r="Z121" s="593">
        <f ca="1">$E121*(-SUMIF(INDIRECT(Z$3),'Struktur Aktuell'!$D121,INDIRECT(Z$4))+SUMIF(INDIRECT(Z$3),'Struktur Aktuell'!$D121,INDIRECT(Z$5)))</f>
        <v>0</v>
      </c>
      <c r="AA121" s="593">
        <f ca="1">$E121*(-SUMIF(INDIRECT(AA$3),'Struktur Aktuell'!$D121,INDIRECT(AA$4))+SUMIF(INDIRECT(AA$3),'Struktur Aktuell'!$D121,INDIRECT(AA$5)))</f>
        <v>0</v>
      </c>
      <c r="AB121" s="593">
        <f ca="1">$E121*(-SUMIF(INDIRECT(AB$3),'Struktur Aktuell'!$D121,INDIRECT(AB$4))+SUMIF(INDIRECT(AB$3),'Struktur Aktuell'!$D121,INDIRECT(AB$5)))</f>
        <v>0</v>
      </c>
      <c r="AC121" s="593">
        <f ca="1">$E121*(-SUMIF(INDIRECT(AC$3),'Struktur Aktuell'!$D121,INDIRECT(AC$4))+SUMIF(INDIRECT(AC$3),'Struktur Aktuell'!$D121,INDIRECT(AC$5)))</f>
        <v>0</v>
      </c>
      <c r="AD121" s="593">
        <f ca="1">$E121*(-SUMIF(INDIRECT(AD$3),'Struktur Aktuell'!$D121,INDIRECT(AD$4))+SUMIF(INDIRECT(AD$3),'Struktur Aktuell'!$D121,INDIRECT(AD$5)))</f>
        <v>0</v>
      </c>
      <c r="AE121" s="593">
        <f t="shared" ca="1" si="159"/>
        <v>0</v>
      </c>
      <c r="AF121" s="593">
        <f t="shared" ca="1" si="160"/>
        <v>0</v>
      </c>
      <c r="AG121" s="593">
        <f t="shared" ca="1" si="161"/>
        <v>0</v>
      </c>
      <c r="AH121" s="593">
        <f t="shared" ca="1" si="162"/>
        <v>0</v>
      </c>
      <c r="AI121" s="593">
        <f t="shared" ca="1" si="163"/>
        <v>0</v>
      </c>
      <c r="AJ121" s="593">
        <f t="shared" ca="1" si="164"/>
        <v>0</v>
      </c>
      <c r="AK121" s="593">
        <f t="shared" ca="1" si="165"/>
        <v>0</v>
      </c>
      <c r="AL121" s="593">
        <f t="shared" ca="1" si="166"/>
        <v>0</v>
      </c>
      <c r="AM121" s="593">
        <f t="shared" ca="1" si="167"/>
        <v>0</v>
      </c>
      <c r="AN121" s="593">
        <f t="shared" ca="1" si="168"/>
        <v>0</v>
      </c>
      <c r="AO121" s="593">
        <f t="shared" ca="1" si="169"/>
        <v>0</v>
      </c>
      <c r="AP121" s="593">
        <f t="shared" ca="1" si="170"/>
        <v>0</v>
      </c>
    </row>
    <row r="122" spans="1:42" s="594" customFormat="1" ht="11.25" outlineLevel="1" x14ac:dyDescent="0.2">
      <c r="A122" s="590"/>
      <c r="B122" s="591" t="str">
        <f>IF(D122&lt;&gt;"",
IF(ISERROR(MATCH(D122,'Ist Aktuell Monat 01'!A:A,0))=FALSE,INDEX('Ist Aktuell Monat 01'!B:B,MATCH(D122,'Ist Aktuell Monat 01'!A:A,0)),
IF(ISERROR(MATCH(D122,'Ist Aktuell Monat 02'!A:A,0))=FALSE,INDEX('Ist Aktuell Monat 02'!B:B,MATCH(D122,'Ist Aktuell Monat 02'!A:A,0)),
IF(ISERROR(MATCH(D122,'Ist Aktuell Monat 03'!A:A,0))=FALSE,INDEX('Ist Aktuell Monat 03'!B:B,MATCH(D122,'Ist Aktuell Monat 03'!A:A,0)),
IF(ISERROR(MATCH(D122,'Ist Aktuell Monat 04'!A:A,0))=FALSE,INDEX('Ist Aktuell Monat 04'!B:B,MATCH(D122,'Ist Aktuell Monat 04'!A:A,0)),
IF(ISERROR(MATCH(D122,'Ist Aktuell Monat 05'!A:A,0))=FALSE,INDEX('Ist Aktuell Monat 05'!B:B,MATCH(D122,'Ist Aktuell Monat 05'!A:A,0)),
IF(ISERROR(MATCH(D122,'Ist Aktuell Monat 06'!A:A,0))=FALSE,INDEX('Ist Aktuell Monat 06'!B:B,MATCH(D122,'Ist Aktuell Monat 06'!A:A,0)),
IF(ISERROR(MATCH(D122,'Ist Aktuell Monat 07'!A:A,0))=FALSE,INDEX('Ist Aktuell Monat 07'!B:B,MATCH(D122,'Ist Aktuell Monat 07'!A:A,0)),
IF(ISERROR(MATCH(D122,'Ist Aktuell Monat 08'!A:A,0))=FALSE,INDEX('Ist Aktuell Monat 08'!B:B,MATCH(D122,'Ist Aktuell Monat 08'!A:A,0)),
IF(ISERROR(MATCH(D122,'Ist Aktuell Monat 09'!A:A,0))=FALSE,INDEX('Ist Aktuell Monat 09'!B:B,MATCH(D122,'Ist Aktuell Monat 09'!A:A,0)),
IF(ISERROR(MATCH(D122,'Ist Aktuell Monat 10'!A:A,0))=FALSE,INDEX('Ist Aktuell Monat 10'!B:B,MATCH(D122,'Ist Aktuell Monat 10'!A:A,0)),
IF(ISERROR(MATCH(D122,'Ist Aktuell Monat 11'!A:A,0))=FALSE,INDEX('Ist Aktuell Monat 11'!B:B,MATCH(D122,'Ist Aktuell Monat 11'!A:A,0)),
IF(ISERROR(MATCH(D122,'Ist Aktuell Monat 12'!A:A,0))=FALSE,INDEX('Ist Aktuell Monat 12'!B:B,MATCH(D122,'Ist Aktuell Monat 12'!A:A,0)),
"{Konto unbekannt}"
)))))))))))),"")</f>
        <v/>
      </c>
      <c r="C122" s="591"/>
      <c r="D122" s="590"/>
      <c r="E122" s="592">
        <f>IF(F122="-",-1,1)</f>
        <v>1</v>
      </c>
      <c r="F122" s="590"/>
      <c r="G122" s="593">
        <f ca="1">$E122*(-SUMIF(INDIRECT(G$3),'Struktur Aktuell'!$D122,INDIRECT(G$4))+SUMIF(INDIRECT(G$3),'Struktur Aktuell'!$D122,INDIRECT(G$5)))</f>
        <v>0</v>
      </c>
      <c r="H122" s="593">
        <f ca="1">$E122*(-SUMIF(INDIRECT(H$3),'Struktur Aktuell'!$D122,INDIRECT(H$4))+SUMIF(INDIRECT(H$3),'Struktur Aktuell'!$D122,INDIRECT(H$5)))</f>
        <v>0</v>
      </c>
      <c r="I122" s="593">
        <f ca="1">$E122*(-SUMIF(INDIRECT(I$3),'Struktur Aktuell'!$D122,INDIRECT(I$4))+SUMIF(INDIRECT(I$3),'Struktur Aktuell'!$D122,INDIRECT(I$5)))</f>
        <v>0</v>
      </c>
      <c r="J122" s="593">
        <f ca="1">$E122*(-SUMIF(INDIRECT(J$3),'Struktur Aktuell'!$D122,INDIRECT(J$4))+SUMIF(INDIRECT(J$3),'Struktur Aktuell'!$D122,INDIRECT(J$5)))</f>
        <v>0</v>
      </c>
      <c r="K122" s="593">
        <f ca="1">$E122*(-SUMIF(INDIRECT(K$3),'Struktur Aktuell'!$D122,INDIRECT(K$4))+SUMIF(INDIRECT(K$3),'Struktur Aktuell'!$D122,INDIRECT(K$5)))</f>
        <v>0</v>
      </c>
      <c r="L122" s="593">
        <f ca="1">$E122*(-SUMIF(INDIRECT(L$3),'Struktur Aktuell'!$D122,INDIRECT(L$4))+SUMIF(INDIRECT(L$3),'Struktur Aktuell'!$D122,INDIRECT(L$5)))</f>
        <v>0</v>
      </c>
      <c r="M122" s="593">
        <f ca="1">$E122*(-SUMIF(INDIRECT(M$3),'Struktur Aktuell'!$D122,INDIRECT(M$4))+SUMIF(INDIRECT(M$3),'Struktur Aktuell'!$D122,INDIRECT(M$5)))</f>
        <v>0</v>
      </c>
      <c r="N122" s="593">
        <f ca="1">$E122*(-SUMIF(INDIRECT(N$3),'Struktur Aktuell'!$D122,INDIRECT(N$4))+SUMIF(INDIRECT(N$3),'Struktur Aktuell'!$D122,INDIRECT(N$5)))</f>
        <v>0</v>
      </c>
      <c r="O122" s="593">
        <f ca="1">$E122*(-SUMIF(INDIRECT(O$3),'Struktur Aktuell'!$D122,INDIRECT(O$4))+SUMIF(INDIRECT(O$3),'Struktur Aktuell'!$D122,INDIRECT(O$5)))</f>
        <v>0</v>
      </c>
      <c r="P122" s="593">
        <f ca="1">$E122*(-SUMIF(INDIRECT(P$3),'Struktur Aktuell'!$D122,INDIRECT(P$4))+SUMIF(INDIRECT(P$3),'Struktur Aktuell'!$D122,INDIRECT(P$5)))</f>
        <v>0</v>
      </c>
      <c r="Q122" s="593">
        <f ca="1">$E122*(-SUMIF(INDIRECT(Q$3),'Struktur Aktuell'!$D122,INDIRECT(Q$4))+SUMIF(INDIRECT(Q$3),'Struktur Aktuell'!$D122,INDIRECT(Q$5)))</f>
        <v>0</v>
      </c>
      <c r="R122" s="593">
        <f ca="1">$E122*(-SUMIF(INDIRECT(R$3),'Struktur Aktuell'!$D122,INDIRECT(R$4))+SUMIF(INDIRECT(R$3),'Struktur Aktuell'!$D122,INDIRECT(R$5)))</f>
        <v>0</v>
      </c>
      <c r="S122" s="593">
        <f ca="1">$E122*(-SUMIF(INDIRECT(S$3),'Struktur Aktuell'!$D122,INDIRECT(S$4))+SUMIF(INDIRECT(S$3),'Struktur Aktuell'!$D122,INDIRECT(S$5)))</f>
        <v>0</v>
      </c>
      <c r="T122" s="593">
        <f ca="1">$E122*(-SUMIF(INDIRECT(T$3),'Struktur Aktuell'!$D122,INDIRECT(T$4))+SUMIF(INDIRECT(T$3),'Struktur Aktuell'!$D122,INDIRECT(T$5)))</f>
        <v>0</v>
      </c>
      <c r="U122" s="593">
        <f ca="1">$E122*(-SUMIF(INDIRECT(U$3),'Struktur Aktuell'!$D122,INDIRECT(U$4))+SUMIF(INDIRECT(U$3),'Struktur Aktuell'!$D122,INDIRECT(U$5)))</f>
        <v>0</v>
      </c>
      <c r="V122" s="593">
        <f ca="1">$E122*(-SUMIF(INDIRECT(V$3),'Struktur Aktuell'!$D122,INDIRECT(V$4))+SUMIF(INDIRECT(V$3),'Struktur Aktuell'!$D122,INDIRECT(V$5)))</f>
        <v>0</v>
      </c>
      <c r="W122" s="593">
        <f ca="1">$E122*(-SUMIF(INDIRECT(W$3),'Struktur Aktuell'!$D122,INDIRECT(W$4))+SUMIF(INDIRECT(W$3),'Struktur Aktuell'!$D122,INDIRECT(W$5)))</f>
        <v>0</v>
      </c>
      <c r="X122" s="593">
        <f ca="1">$E122*(-SUMIF(INDIRECT(X$3),'Struktur Aktuell'!$D122,INDIRECT(X$4))+SUMIF(INDIRECT(X$3),'Struktur Aktuell'!$D122,INDIRECT(X$5)))</f>
        <v>0</v>
      </c>
      <c r="Y122" s="593">
        <f ca="1">$E122*(-SUMIF(INDIRECT(Y$3),'Struktur Aktuell'!$D122,INDIRECT(Y$4))+SUMIF(INDIRECT(Y$3),'Struktur Aktuell'!$D122,INDIRECT(Y$5)))</f>
        <v>0</v>
      </c>
      <c r="Z122" s="593">
        <f ca="1">$E122*(-SUMIF(INDIRECT(Z$3),'Struktur Aktuell'!$D122,INDIRECT(Z$4))+SUMIF(INDIRECT(Z$3),'Struktur Aktuell'!$D122,INDIRECT(Z$5)))</f>
        <v>0</v>
      </c>
      <c r="AA122" s="593">
        <f ca="1">$E122*(-SUMIF(INDIRECT(AA$3),'Struktur Aktuell'!$D122,INDIRECT(AA$4))+SUMIF(INDIRECT(AA$3),'Struktur Aktuell'!$D122,INDIRECT(AA$5)))</f>
        <v>0</v>
      </c>
      <c r="AB122" s="593">
        <f ca="1">$E122*(-SUMIF(INDIRECT(AB$3),'Struktur Aktuell'!$D122,INDIRECT(AB$4))+SUMIF(INDIRECT(AB$3),'Struktur Aktuell'!$D122,INDIRECT(AB$5)))</f>
        <v>0</v>
      </c>
      <c r="AC122" s="593">
        <f ca="1">$E122*(-SUMIF(INDIRECT(AC$3),'Struktur Aktuell'!$D122,INDIRECT(AC$4))+SUMIF(INDIRECT(AC$3),'Struktur Aktuell'!$D122,INDIRECT(AC$5)))</f>
        <v>0</v>
      </c>
      <c r="AD122" s="593">
        <f ca="1">$E122*(-SUMIF(INDIRECT(AD$3),'Struktur Aktuell'!$D122,INDIRECT(AD$4))+SUMIF(INDIRECT(AD$3),'Struktur Aktuell'!$D122,INDIRECT(AD$5)))</f>
        <v>0</v>
      </c>
      <c r="AE122" s="593">
        <f t="shared" ca="1" si="159"/>
        <v>0</v>
      </c>
      <c r="AF122" s="593">
        <f t="shared" ca="1" si="160"/>
        <v>0</v>
      </c>
      <c r="AG122" s="593">
        <f t="shared" ca="1" si="161"/>
        <v>0</v>
      </c>
      <c r="AH122" s="593">
        <f t="shared" ca="1" si="162"/>
        <v>0</v>
      </c>
      <c r="AI122" s="593">
        <f t="shared" ca="1" si="163"/>
        <v>0</v>
      </c>
      <c r="AJ122" s="593">
        <f t="shared" ca="1" si="164"/>
        <v>0</v>
      </c>
      <c r="AK122" s="593">
        <f t="shared" ca="1" si="165"/>
        <v>0</v>
      </c>
      <c r="AL122" s="593">
        <f t="shared" ca="1" si="166"/>
        <v>0</v>
      </c>
      <c r="AM122" s="593">
        <f t="shared" ca="1" si="167"/>
        <v>0</v>
      </c>
      <c r="AN122" s="593">
        <f t="shared" ca="1" si="168"/>
        <v>0</v>
      </c>
      <c r="AO122" s="593">
        <f t="shared" ca="1" si="169"/>
        <v>0</v>
      </c>
      <c r="AP122" s="593">
        <f t="shared" ca="1" si="170"/>
        <v>0</v>
      </c>
    </row>
    <row r="123" spans="1:42" s="594" customFormat="1" ht="11.25" outlineLevel="1" x14ac:dyDescent="0.2">
      <c r="A123" s="590"/>
      <c r="B123" s="591" t="str">
        <f>IF(D123&lt;&gt;"",
IF(ISERROR(MATCH(D123,'Ist Aktuell Monat 01'!A:A,0))=FALSE,INDEX('Ist Aktuell Monat 01'!B:B,MATCH(D123,'Ist Aktuell Monat 01'!A:A,0)),
IF(ISERROR(MATCH(D123,'Ist Aktuell Monat 02'!A:A,0))=FALSE,INDEX('Ist Aktuell Monat 02'!B:B,MATCH(D123,'Ist Aktuell Monat 02'!A:A,0)),
IF(ISERROR(MATCH(D123,'Ist Aktuell Monat 03'!A:A,0))=FALSE,INDEX('Ist Aktuell Monat 03'!B:B,MATCH(D123,'Ist Aktuell Monat 03'!A:A,0)),
IF(ISERROR(MATCH(D123,'Ist Aktuell Monat 04'!A:A,0))=FALSE,INDEX('Ist Aktuell Monat 04'!B:B,MATCH(D123,'Ist Aktuell Monat 04'!A:A,0)),
IF(ISERROR(MATCH(D123,'Ist Aktuell Monat 05'!A:A,0))=FALSE,INDEX('Ist Aktuell Monat 05'!B:B,MATCH(D123,'Ist Aktuell Monat 05'!A:A,0)),
IF(ISERROR(MATCH(D123,'Ist Aktuell Monat 06'!A:A,0))=FALSE,INDEX('Ist Aktuell Monat 06'!B:B,MATCH(D123,'Ist Aktuell Monat 06'!A:A,0)),
IF(ISERROR(MATCH(D123,'Ist Aktuell Monat 07'!A:A,0))=FALSE,INDEX('Ist Aktuell Monat 07'!B:B,MATCH(D123,'Ist Aktuell Monat 07'!A:A,0)),
IF(ISERROR(MATCH(D123,'Ist Aktuell Monat 08'!A:A,0))=FALSE,INDEX('Ist Aktuell Monat 08'!B:B,MATCH(D123,'Ist Aktuell Monat 08'!A:A,0)),
IF(ISERROR(MATCH(D123,'Ist Aktuell Monat 09'!A:A,0))=FALSE,INDEX('Ist Aktuell Monat 09'!B:B,MATCH(D123,'Ist Aktuell Monat 09'!A:A,0)),
IF(ISERROR(MATCH(D123,'Ist Aktuell Monat 10'!A:A,0))=FALSE,INDEX('Ist Aktuell Monat 10'!B:B,MATCH(D123,'Ist Aktuell Monat 10'!A:A,0)),
IF(ISERROR(MATCH(D123,'Ist Aktuell Monat 11'!A:A,0))=FALSE,INDEX('Ist Aktuell Monat 11'!B:B,MATCH(D123,'Ist Aktuell Monat 11'!A:A,0)),
IF(ISERROR(MATCH(D123,'Ist Aktuell Monat 12'!A:A,0))=FALSE,INDEX('Ist Aktuell Monat 12'!B:B,MATCH(D123,'Ist Aktuell Monat 12'!A:A,0)),
"{Konto unbekannt}"
)))))))))))),"")</f>
        <v/>
      </c>
      <c r="C123" s="591"/>
      <c r="D123" s="590"/>
      <c r="E123" s="592">
        <f>IF(F123="-",-1,1)</f>
        <v>1</v>
      </c>
      <c r="F123" s="590"/>
      <c r="G123" s="593">
        <f ca="1">$E123*(-SUMIF(INDIRECT(G$3),'Struktur Aktuell'!$D123,INDIRECT(G$4))+SUMIF(INDIRECT(G$3),'Struktur Aktuell'!$D123,INDIRECT(G$5)))</f>
        <v>0</v>
      </c>
      <c r="H123" s="593">
        <f ca="1">$E123*(-SUMIF(INDIRECT(H$3),'Struktur Aktuell'!$D123,INDIRECT(H$4))+SUMIF(INDIRECT(H$3),'Struktur Aktuell'!$D123,INDIRECT(H$5)))</f>
        <v>0</v>
      </c>
      <c r="I123" s="593">
        <f ca="1">$E123*(-SUMIF(INDIRECT(I$3),'Struktur Aktuell'!$D123,INDIRECT(I$4))+SUMIF(INDIRECT(I$3),'Struktur Aktuell'!$D123,INDIRECT(I$5)))</f>
        <v>0</v>
      </c>
      <c r="J123" s="593">
        <f ca="1">$E123*(-SUMIF(INDIRECT(J$3),'Struktur Aktuell'!$D123,INDIRECT(J$4))+SUMIF(INDIRECT(J$3),'Struktur Aktuell'!$D123,INDIRECT(J$5)))</f>
        <v>0</v>
      </c>
      <c r="K123" s="593">
        <f ca="1">$E123*(-SUMIF(INDIRECT(K$3),'Struktur Aktuell'!$D123,INDIRECT(K$4))+SUMIF(INDIRECT(K$3),'Struktur Aktuell'!$D123,INDIRECT(K$5)))</f>
        <v>0</v>
      </c>
      <c r="L123" s="593">
        <f ca="1">$E123*(-SUMIF(INDIRECT(L$3),'Struktur Aktuell'!$D123,INDIRECT(L$4))+SUMIF(INDIRECT(L$3),'Struktur Aktuell'!$D123,INDIRECT(L$5)))</f>
        <v>0</v>
      </c>
      <c r="M123" s="593">
        <f ca="1">$E123*(-SUMIF(INDIRECT(M$3),'Struktur Aktuell'!$D123,INDIRECT(M$4))+SUMIF(INDIRECT(M$3),'Struktur Aktuell'!$D123,INDIRECT(M$5)))</f>
        <v>0</v>
      </c>
      <c r="N123" s="593">
        <f ca="1">$E123*(-SUMIF(INDIRECT(N$3),'Struktur Aktuell'!$D123,INDIRECT(N$4))+SUMIF(INDIRECT(N$3),'Struktur Aktuell'!$D123,INDIRECT(N$5)))</f>
        <v>0</v>
      </c>
      <c r="O123" s="593">
        <f ca="1">$E123*(-SUMIF(INDIRECT(O$3),'Struktur Aktuell'!$D123,INDIRECT(O$4))+SUMIF(INDIRECT(O$3),'Struktur Aktuell'!$D123,INDIRECT(O$5)))</f>
        <v>0</v>
      </c>
      <c r="P123" s="593">
        <f ca="1">$E123*(-SUMIF(INDIRECT(P$3),'Struktur Aktuell'!$D123,INDIRECT(P$4))+SUMIF(INDIRECT(P$3),'Struktur Aktuell'!$D123,INDIRECT(P$5)))</f>
        <v>0</v>
      </c>
      <c r="Q123" s="593">
        <f ca="1">$E123*(-SUMIF(INDIRECT(Q$3),'Struktur Aktuell'!$D123,INDIRECT(Q$4))+SUMIF(INDIRECT(Q$3),'Struktur Aktuell'!$D123,INDIRECT(Q$5)))</f>
        <v>0</v>
      </c>
      <c r="R123" s="593">
        <f ca="1">$E123*(-SUMIF(INDIRECT(R$3),'Struktur Aktuell'!$D123,INDIRECT(R$4))+SUMIF(INDIRECT(R$3),'Struktur Aktuell'!$D123,INDIRECT(R$5)))</f>
        <v>0</v>
      </c>
      <c r="S123" s="593">
        <f ca="1">$E123*(-SUMIF(INDIRECT(S$3),'Struktur Aktuell'!$D123,INDIRECT(S$4))+SUMIF(INDIRECT(S$3),'Struktur Aktuell'!$D123,INDIRECT(S$5)))</f>
        <v>0</v>
      </c>
      <c r="T123" s="593">
        <f ca="1">$E123*(-SUMIF(INDIRECT(T$3),'Struktur Aktuell'!$D123,INDIRECT(T$4))+SUMIF(INDIRECT(T$3),'Struktur Aktuell'!$D123,INDIRECT(T$5)))</f>
        <v>0</v>
      </c>
      <c r="U123" s="593">
        <f ca="1">$E123*(-SUMIF(INDIRECT(U$3),'Struktur Aktuell'!$D123,INDIRECT(U$4))+SUMIF(INDIRECT(U$3),'Struktur Aktuell'!$D123,INDIRECT(U$5)))</f>
        <v>0</v>
      </c>
      <c r="V123" s="593">
        <f ca="1">$E123*(-SUMIF(INDIRECT(V$3),'Struktur Aktuell'!$D123,INDIRECT(V$4))+SUMIF(INDIRECT(V$3),'Struktur Aktuell'!$D123,INDIRECT(V$5)))</f>
        <v>0</v>
      </c>
      <c r="W123" s="593">
        <f ca="1">$E123*(-SUMIF(INDIRECT(W$3),'Struktur Aktuell'!$D123,INDIRECT(W$4))+SUMIF(INDIRECT(W$3),'Struktur Aktuell'!$D123,INDIRECT(W$5)))</f>
        <v>0</v>
      </c>
      <c r="X123" s="593">
        <f ca="1">$E123*(-SUMIF(INDIRECT(X$3),'Struktur Aktuell'!$D123,INDIRECT(X$4))+SUMIF(INDIRECT(X$3),'Struktur Aktuell'!$D123,INDIRECT(X$5)))</f>
        <v>0</v>
      </c>
      <c r="Y123" s="593">
        <f ca="1">$E123*(-SUMIF(INDIRECT(Y$3),'Struktur Aktuell'!$D123,INDIRECT(Y$4))+SUMIF(INDIRECT(Y$3),'Struktur Aktuell'!$D123,INDIRECT(Y$5)))</f>
        <v>0</v>
      </c>
      <c r="Z123" s="593">
        <f ca="1">$E123*(-SUMIF(INDIRECT(Z$3),'Struktur Aktuell'!$D123,INDIRECT(Z$4))+SUMIF(INDIRECT(Z$3),'Struktur Aktuell'!$D123,INDIRECT(Z$5)))</f>
        <v>0</v>
      </c>
      <c r="AA123" s="593">
        <f ca="1">$E123*(-SUMIF(INDIRECT(AA$3),'Struktur Aktuell'!$D123,INDIRECT(AA$4))+SUMIF(INDIRECT(AA$3),'Struktur Aktuell'!$D123,INDIRECT(AA$5)))</f>
        <v>0</v>
      </c>
      <c r="AB123" s="593">
        <f ca="1">$E123*(-SUMIF(INDIRECT(AB$3),'Struktur Aktuell'!$D123,INDIRECT(AB$4))+SUMIF(INDIRECT(AB$3),'Struktur Aktuell'!$D123,INDIRECT(AB$5)))</f>
        <v>0</v>
      </c>
      <c r="AC123" s="593">
        <f ca="1">$E123*(-SUMIF(INDIRECT(AC$3),'Struktur Aktuell'!$D123,INDIRECT(AC$4))+SUMIF(INDIRECT(AC$3),'Struktur Aktuell'!$D123,INDIRECT(AC$5)))</f>
        <v>0</v>
      </c>
      <c r="AD123" s="593">
        <f ca="1">$E123*(-SUMIF(INDIRECT(AD$3),'Struktur Aktuell'!$D123,INDIRECT(AD$4))+SUMIF(INDIRECT(AD$3),'Struktur Aktuell'!$D123,INDIRECT(AD$5)))</f>
        <v>0</v>
      </c>
      <c r="AE123" s="593">
        <f t="shared" ca="1" si="159"/>
        <v>0</v>
      </c>
      <c r="AF123" s="593">
        <f t="shared" ca="1" si="160"/>
        <v>0</v>
      </c>
      <c r="AG123" s="593">
        <f t="shared" ca="1" si="161"/>
        <v>0</v>
      </c>
      <c r="AH123" s="593">
        <f t="shared" ca="1" si="162"/>
        <v>0</v>
      </c>
      <c r="AI123" s="593">
        <f t="shared" ca="1" si="163"/>
        <v>0</v>
      </c>
      <c r="AJ123" s="593">
        <f t="shared" ca="1" si="164"/>
        <v>0</v>
      </c>
      <c r="AK123" s="593">
        <f t="shared" ca="1" si="165"/>
        <v>0</v>
      </c>
      <c r="AL123" s="593">
        <f t="shared" ca="1" si="166"/>
        <v>0</v>
      </c>
      <c r="AM123" s="593">
        <f t="shared" ca="1" si="167"/>
        <v>0</v>
      </c>
      <c r="AN123" s="593">
        <f t="shared" ca="1" si="168"/>
        <v>0</v>
      </c>
      <c r="AO123" s="593">
        <f t="shared" ca="1" si="169"/>
        <v>0</v>
      </c>
      <c r="AP123" s="593">
        <f t="shared" ca="1" si="170"/>
        <v>0</v>
      </c>
    </row>
    <row r="124" spans="1:42" s="594" customFormat="1" ht="11.25" outlineLevel="1" x14ac:dyDescent="0.2">
      <c r="A124" s="590"/>
      <c r="B124" s="591" t="str">
        <f>IF(D124&lt;&gt;"",
IF(ISERROR(MATCH(D124,'Ist Aktuell Monat 01'!A:A,0))=FALSE,INDEX('Ist Aktuell Monat 01'!B:B,MATCH(D124,'Ist Aktuell Monat 01'!A:A,0)),
IF(ISERROR(MATCH(D124,'Ist Aktuell Monat 02'!A:A,0))=FALSE,INDEX('Ist Aktuell Monat 02'!B:B,MATCH(D124,'Ist Aktuell Monat 02'!A:A,0)),
IF(ISERROR(MATCH(D124,'Ist Aktuell Monat 03'!A:A,0))=FALSE,INDEX('Ist Aktuell Monat 03'!B:B,MATCH(D124,'Ist Aktuell Monat 03'!A:A,0)),
IF(ISERROR(MATCH(D124,'Ist Aktuell Monat 04'!A:A,0))=FALSE,INDEX('Ist Aktuell Monat 04'!B:B,MATCH(D124,'Ist Aktuell Monat 04'!A:A,0)),
IF(ISERROR(MATCH(D124,'Ist Aktuell Monat 05'!A:A,0))=FALSE,INDEX('Ist Aktuell Monat 05'!B:B,MATCH(D124,'Ist Aktuell Monat 05'!A:A,0)),
IF(ISERROR(MATCH(D124,'Ist Aktuell Monat 06'!A:A,0))=FALSE,INDEX('Ist Aktuell Monat 06'!B:B,MATCH(D124,'Ist Aktuell Monat 06'!A:A,0)),
IF(ISERROR(MATCH(D124,'Ist Aktuell Monat 07'!A:A,0))=FALSE,INDEX('Ist Aktuell Monat 07'!B:B,MATCH(D124,'Ist Aktuell Monat 07'!A:A,0)),
IF(ISERROR(MATCH(D124,'Ist Aktuell Monat 08'!A:A,0))=FALSE,INDEX('Ist Aktuell Monat 08'!B:B,MATCH(D124,'Ist Aktuell Monat 08'!A:A,0)),
IF(ISERROR(MATCH(D124,'Ist Aktuell Monat 09'!A:A,0))=FALSE,INDEX('Ist Aktuell Monat 09'!B:B,MATCH(D124,'Ist Aktuell Monat 09'!A:A,0)),
IF(ISERROR(MATCH(D124,'Ist Aktuell Monat 10'!A:A,0))=FALSE,INDEX('Ist Aktuell Monat 10'!B:B,MATCH(D124,'Ist Aktuell Monat 10'!A:A,0)),
IF(ISERROR(MATCH(D124,'Ist Aktuell Monat 11'!A:A,0))=FALSE,INDEX('Ist Aktuell Monat 11'!B:B,MATCH(D124,'Ist Aktuell Monat 11'!A:A,0)),
IF(ISERROR(MATCH(D124,'Ist Aktuell Monat 12'!A:A,0))=FALSE,INDEX('Ist Aktuell Monat 12'!B:B,MATCH(D124,'Ist Aktuell Monat 12'!A:A,0)),
"{Konto unbekannt}"
)))))))))))),"")</f>
        <v/>
      </c>
      <c r="C124" s="591"/>
      <c r="D124" s="590"/>
      <c r="E124" s="592">
        <f>IF(F124="-",-1,1)</f>
        <v>1</v>
      </c>
      <c r="F124" s="590"/>
      <c r="G124" s="593">
        <f ca="1">$E124*(-SUMIF(INDIRECT(G$3),'Struktur Aktuell'!$D124,INDIRECT(G$4))+SUMIF(INDIRECT(G$3),'Struktur Aktuell'!$D124,INDIRECT(G$5)))</f>
        <v>0</v>
      </c>
      <c r="H124" s="593">
        <f ca="1">$E124*(-SUMIF(INDIRECT(H$3),'Struktur Aktuell'!$D124,INDIRECT(H$4))+SUMIF(INDIRECT(H$3),'Struktur Aktuell'!$D124,INDIRECT(H$5)))</f>
        <v>0</v>
      </c>
      <c r="I124" s="593">
        <f ca="1">$E124*(-SUMIF(INDIRECT(I$3),'Struktur Aktuell'!$D124,INDIRECT(I$4))+SUMIF(INDIRECT(I$3),'Struktur Aktuell'!$D124,INDIRECT(I$5)))</f>
        <v>0</v>
      </c>
      <c r="J124" s="593">
        <f ca="1">$E124*(-SUMIF(INDIRECT(J$3),'Struktur Aktuell'!$D124,INDIRECT(J$4))+SUMIF(INDIRECT(J$3),'Struktur Aktuell'!$D124,INDIRECT(J$5)))</f>
        <v>0</v>
      </c>
      <c r="K124" s="593">
        <f ca="1">$E124*(-SUMIF(INDIRECT(K$3),'Struktur Aktuell'!$D124,INDIRECT(K$4))+SUMIF(INDIRECT(K$3),'Struktur Aktuell'!$D124,INDIRECT(K$5)))</f>
        <v>0</v>
      </c>
      <c r="L124" s="593">
        <f ca="1">$E124*(-SUMIF(INDIRECT(L$3),'Struktur Aktuell'!$D124,INDIRECT(L$4))+SUMIF(INDIRECT(L$3),'Struktur Aktuell'!$D124,INDIRECT(L$5)))</f>
        <v>0</v>
      </c>
      <c r="M124" s="593">
        <f ca="1">$E124*(-SUMIF(INDIRECT(M$3),'Struktur Aktuell'!$D124,INDIRECT(M$4))+SUMIF(INDIRECT(M$3),'Struktur Aktuell'!$D124,INDIRECT(M$5)))</f>
        <v>0</v>
      </c>
      <c r="N124" s="593">
        <f ca="1">$E124*(-SUMIF(INDIRECT(N$3),'Struktur Aktuell'!$D124,INDIRECT(N$4))+SUMIF(INDIRECT(N$3),'Struktur Aktuell'!$D124,INDIRECT(N$5)))</f>
        <v>0</v>
      </c>
      <c r="O124" s="593">
        <f ca="1">$E124*(-SUMIF(INDIRECT(O$3),'Struktur Aktuell'!$D124,INDIRECT(O$4))+SUMIF(INDIRECT(O$3),'Struktur Aktuell'!$D124,INDIRECT(O$5)))</f>
        <v>0</v>
      </c>
      <c r="P124" s="593">
        <f ca="1">$E124*(-SUMIF(INDIRECT(P$3),'Struktur Aktuell'!$D124,INDIRECT(P$4))+SUMIF(INDIRECT(P$3),'Struktur Aktuell'!$D124,INDIRECT(P$5)))</f>
        <v>0</v>
      </c>
      <c r="Q124" s="593">
        <f ca="1">$E124*(-SUMIF(INDIRECT(Q$3),'Struktur Aktuell'!$D124,INDIRECT(Q$4))+SUMIF(INDIRECT(Q$3),'Struktur Aktuell'!$D124,INDIRECT(Q$5)))</f>
        <v>0</v>
      </c>
      <c r="R124" s="593">
        <f ca="1">$E124*(-SUMIF(INDIRECT(R$3),'Struktur Aktuell'!$D124,INDIRECT(R$4))+SUMIF(INDIRECT(R$3),'Struktur Aktuell'!$D124,INDIRECT(R$5)))</f>
        <v>0</v>
      </c>
      <c r="S124" s="593">
        <f ca="1">$E124*(-SUMIF(INDIRECT(S$3),'Struktur Aktuell'!$D124,INDIRECT(S$4))+SUMIF(INDIRECT(S$3),'Struktur Aktuell'!$D124,INDIRECT(S$5)))</f>
        <v>0</v>
      </c>
      <c r="T124" s="593">
        <f ca="1">$E124*(-SUMIF(INDIRECT(T$3),'Struktur Aktuell'!$D124,INDIRECT(T$4))+SUMIF(INDIRECT(T$3),'Struktur Aktuell'!$D124,INDIRECT(T$5)))</f>
        <v>0</v>
      </c>
      <c r="U124" s="593">
        <f ca="1">$E124*(-SUMIF(INDIRECT(U$3),'Struktur Aktuell'!$D124,INDIRECT(U$4))+SUMIF(INDIRECT(U$3),'Struktur Aktuell'!$D124,INDIRECT(U$5)))</f>
        <v>0</v>
      </c>
      <c r="V124" s="593">
        <f ca="1">$E124*(-SUMIF(INDIRECT(V$3),'Struktur Aktuell'!$D124,INDIRECT(V$4))+SUMIF(INDIRECT(V$3),'Struktur Aktuell'!$D124,INDIRECT(V$5)))</f>
        <v>0</v>
      </c>
      <c r="W124" s="593">
        <f ca="1">$E124*(-SUMIF(INDIRECT(W$3),'Struktur Aktuell'!$D124,INDIRECT(W$4))+SUMIF(INDIRECT(W$3),'Struktur Aktuell'!$D124,INDIRECT(W$5)))</f>
        <v>0</v>
      </c>
      <c r="X124" s="593">
        <f ca="1">$E124*(-SUMIF(INDIRECT(X$3),'Struktur Aktuell'!$D124,INDIRECT(X$4))+SUMIF(INDIRECT(X$3),'Struktur Aktuell'!$D124,INDIRECT(X$5)))</f>
        <v>0</v>
      </c>
      <c r="Y124" s="593">
        <f ca="1">$E124*(-SUMIF(INDIRECT(Y$3),'Struktur Aktuell'!$D124,INDIRECT(Y$4))+SUMIF(INDIRECT(Y$3),'Struktur Aktuell'!$D124,INDIRECT(Y$5)))</f>
        <v>0</v>
      </c>
      <c r="Z124" s="593">
        <f ca="1">$E124*(-SUMIF(INDIRECT(Z$3),'Struktur Aktuell'!$D124,INDIRECT(Z$4))+SUMIF(INDIRECT(Z$3),'Struktur Aktuell'!$D124,INDIRECT(Z$5)))</f>
        <v>0</v>
      </c>
      <c r="AA124" s="593">
        <f ca="1">$E124*(-SUMIF(INDIRECT(AA$3),'Struktur Aktuell'!$D124,INDIRECT(AA$4))+SUMIF(INDIRECT(AA$3),'Struktur Aktuell'!$D124,INDIRECT(AA$5)))</f>
        <v>0</v>
      </c>
      <c r="AB124" s="593">
        <f ca="1">$E124*(-SUMIF(INDIRECT(AB$3),'Struktur Aktuell'!$D124,INDIRECT(AB$4))+SUMIF(INDIRECT(AB$3),'Struktur Aktuell'!$D124,INDIRECT(AB$5)))</f>
        <v>0</v>
      </c>
      <c r="AC124" s="593">
        <f ca="1">$E124*(-SUMIF(INDIRECT(AC$3),'Struktur Aktuell'!$D124,INDIRECT(AC$4))+SUMIF(INDIRECT(AC$3),'Struktur Aktuell'!$D124,INDIRECT(AC$5)))</f>
        <v>0</v>
      </c>
      <c r="AD124" s="593">
        <f ca="1">$E124*(-SUMIF(INDIRECT(AD$3),'Struktur Aktuell'!$D124,INDIRECT(AD$4))+SUMIF(INDIRECT(AD$3),'Struktur Aktuell'!$D124,INDIRECT(AD$5)))</f>
        <v>0</v>
      </c>
      <c r="AE124" s="593">
        <f t="shared" ca="1" si="159"/>
        <v>0</v>
      </c>
      <c r="AF124" s="593">
        <f t="shared" ca="1" si="160"/>
        <v>0</v>
      </c>
      <c r="AG124" s="593">
        <f t="shared" ca="1" si="161"/>
        <v>0</v>
      </c>
      <c r="AH124" s="593">
        <f t="shared" ca="1" si="162"/>
        <v>0</v>
      </c>
      <c r="AI124" s="593">
        <f t="shared" ca="1" si="163"/>
        <v>0</v>
      </c>
      <c r="AJ124" s="593">
        <f t="shared" ca="1" si="164"/>
        <v>0</v>
      </c>
      <c r="AK124" s="593">
        <f t="shared" ca="1" si="165"/>
        <v>0</v>
      </c>
      <c r="AL124" s="593">
        <f t="shared" ca="1" si="166"/>
        <v>0</v>
      </c>
      <c r="AM124" s="593">
        <f t="shared" ca="1" si="167"/>
        <v>0</v>
      </c>
      <c r="AN124" s="593">
        <f t="shared" ca="1" si="168"/>
        <v>0</v>
      </c>
      <c r="AO124" s="593">
        <f t="shared" ca="1" si="169"/>
        <v>0</v>
      </c>
      <c r="AP124" s="593">
        <f t="shared" ca="1" si="170"/>
        <v>0</v>
      </c>
    </row>
    <row r="125" spans="1:42" s="594" customFormat="1" ht="11.25" outlineLevel="1" x14ac:dyDescent="0.2">
      <c r="A125" s="590"/>
      <c r="B125" s="591" t="str">
        <f>IF(D125&lt;&gt;"",
IF(ISERROR(MATCH(D125,'Ist Aktuell Monat 01'!A:A,0))=FALSE,INDEX('Ist Aktuell Monat 01'!B:B,MATCH(D125,'Ist Aktuell Monat 01'!A:A,0)),
IF(ISERROR(MATCH(D125,'Ist Aktuell Monat 02'!A:A,0))=FALSE,INDEX('Ist Aktuell Monat 02'!B:B,MATCH(D125,'Ist Aktuell Monat 02'!A:A,0)),
IF(ISERROR(MATCH(D125,'Ist Aktuell Monat 03'!A:A,0))=FALSE,INDEX('Ist Aktuell Monat 03'!B:B,MATCH(D125,'Ist Aktuell Monat 03'!A:A,0)),
IF(ISERROR(MATCH(D125,'Ist Aktuell Monat 04'!A:A,0))=FALSE,INDEX('Ist Aktuell Monat 04'!B:B,MATCH(D125,'Ist Aktuell Monat 04'!A:A,0)),
IF(ISERROR(MATCH(D125,'Ist Aktuell Monat 05'!A:A,0))=FALSE,INDEX('Ist Aktuell Monat 05'!B:B,MATCH(D125,'Ist Aktuell Monat 05'!A:A,0)),
IF(ISERROR(MATCH(D125,'Ist Aktuell Monat 06'!A:A,0))=FALSE,INDEX('Ist Aktuell Monat 06'!B:B,MATCH(D125,'Ist Aktuell Monat 06'!A:A,0)),
IF(ISERROR(MATCH(D125,'Ist Aktuell Monat 07'!A:A,0))=FALSE,INDEX('Ist Aktuell Monat 07'!B:B,MATCH(D125,'Ist Aktuell Monat 07'!A:A,0)),
IF(ISERROR(MATCH(D125,'Ist Aktuell Monat 08'!A:A,0))=FALSE,INDEX('Ist Aktuell Monat 08'!B:B,MATCH(D125,'Ist Aktuell Monat 08'!A:A,0)),
IF(ISERROR(MATCH(D125,'Ist Aktuell Monat 09'!A:A,0))=FALSE,INDEX('Ist Aktuell Monat 09'!B:B,MATCH(D125,'Ist Aktuell Monat 09'!A:A,0)),
IF(ISERROR(MATCH(D125,'Ist Aktuell Monat 10'!A:A,0))=FALSE,INDEX('Ist Aktuell Monat 10'!B:B,MATCH(D125,'Ist Aktuell Monat 10'!A:A,0)),
IF(ISERROR(MATCH(D125,'Ist Aktuell Monat 11'!A:A,0))=FALSE,INDEX('Ist Aktuell Monat 11'!B:B,MATCH(D125,'Ist Aktuell Monat 11'!A:A,0)),
IF(ISERROR(MATCH(D125,'Ist Aktuell Monat 12'!A:A,0))=FALSE,INDEX('Ist Aktuell Monat 12'!B:B,MATCH(D125,'Ist Aktuell Monat 12'!A:A,0)),
"{Konto unbekannt}"
)))))))))))),"")</f>
        <v/>
      </c>
      <c r="C125" s="591"/>
      <c r="D125" s="590"/>
      <c r="E125" s="592">
        <f t="shared" si="77"/>
        <v>1</v>
      </c>
      <c r="F125" s="590"/>
      <c r="G125" s="593">
        <f ca="1">$E125*(-SUMIF(INDIRECT(G$3),'Struktur Aktuell'!$D125,INDIRECT(G$4))+SUMIF(INDIRECT(G$3),'Struktur Aktuell'!$D125,INDIRECT(G$5)))</f>
        <v>0</v>
      </c>
      <c r="H125" s="593">
        <f ca="1">$E125*(-SUMIF(INDIRECT(H$3),'Struktur Aktuell'!$D125,INDIRECT(H$4))+SUMIF(INDIRECT(H$3),'Struktur Aktuell'!$D125,INDIRECT(H$5)))</f>
        <v>0</v>
      </c>
      <c r="I125" s="593">
        <f ca="1">$E125*(-SUMIF(INDIRECT(I$3),'Struktur Aktuell'!$D125,INDIRECT(I$4))+SUMIF(INDIRECT(I$3),'Struktur Aktuell'!$D125,INDIRECT(I$5)))</f>
        <v>0</v>
      </c>
      <c r="J125" s="593">
        <f ca="1">$E125*(-SUMIF(INDIRECT(J$3),'Struktur Aktuell'!$D125,INDIRECT(J$4))+SUMIF(INDIRECT(J$3),'Struktur Aktuell'!$D125,INDIRECT(J$5)))</f>
        <v>0</v>
      </c>
      <c r="K125" s="593">
        <f ca="1">$E125*(-SUMIF(INDIRECT(K$3),'Struktur Aktuell'!$D125,INDIRECT(K$4))+SUMIF(INDIRECT(K$3),'Struktur Aktuell'!$D125,INDIRECT(K$5)))</f>
        <v>0</v>
      </c>
      <c r="L125" s="593">
        <f ca="1">$E125*(-SUMIF(INDIRECT(L$3),'Struktur Aktuell'!$D125,INDIRECT(L$4))+SUMIF(INDIRECT(L$3),'Struktur Aktuell'!$D125,INDIRECT(L$5)))</f>
        <v>0</v>
      </c>
      <c r="M125" s="593">
        <f ca="1">$E125*(-SUMIF(INDIRECT(M$3),'Struktur Aktuell'!$D125,INDIRECT(M$4))+SUMIF(INDIRECT(M$3),'Struktur Aktuell'!$D125,INDIRECT(M$5)))</f>
        <v>0</v>
      </c>
      <c r="N125" s="593">
        <f ca="1">$E125*(-SUMIF(INDIRECT(N$3),'Struktur Aktuell'!$D125,INDIRECT(N$4))+SUMIF(INDIRECT(N$3),'Struktur Aktuell'!$D125,INDIRECT(N$5)))</f>
        <v>0</v>
      </c>
      <c r="O125" s="593">
        <f ca="1">$E125*(-SUMIF(INDIRECT(O$3),'Struktur Aktuell'!$D125,INDIRECT(O$4))+SUMIF(INDIRECT(O$3),'Struktur Aktuell'!$D125,INDIRECT(O$5)))</f>
        <v>0</v>
      </c>
      <c r="P125" s="593">
        <f ca="1">$E125*(-SUMIF(INDIRECT(P$3),'Struktur Aktuell'!$D125,INDIRECT(P$4))+SUMIF(INDIRECT(P$3),'Struktur Aktuell'!$D125,INDIRECT(P$5)))</f>
        <v>0</v>
      </c>
      <c r="Q125" s="593">
        <f ca="1">$E125*(-SUMIF(INDIRECT(Q$3),'Struktur Aktuell'!$D125,INDIRECT(Q$4))+SUMIF(INDIRECT(Q$3),'Struktur Aktuell'!$D125,INDIRECT(Q$5)))</f>
        <v>0</v>
      </c>
      <c r="R125" s="593">
        <f ca="1">$E125*(-SUMIF(INDIRECT(R$3),'Struktur Aktuell'!$D125,INDIRECT(R$4))+SUMIF(INDIRECT(R$3),'Struktur Aktuell'!$D125,INDIRECT(R$5)))</f>
        <v>0</v>
      </c>
      <c r="S125" s="593">
        <f ca="1">$E125*(-SUMIF(INDIRECT(S$3),'Struktur Aktuell'!$D125,INDIRECT(S$4))+SUMIF(INDIRECT(S$3),'Struktur Aktuell'!$D125,INDIRECT(S$5)))</f>
        <v>0</v>
      </c>
      <c r="T125" s="593">
        <f ca="1">$E125*(-SUMIF(INDIRECT(T$3),'Struktur Aktuell'!$D125,INDIRECT(T$4))+SUMIF(INDIRECT(T$3),'Struktur Aktuell'!$D125,INDIRECT(T$5)))</f>
        <v>0</v>
      </c>
      <c r="U125" s="593">
        <f ca="1">$E125*(-SUMIF(INDIRECT(U$3),'Struktur Aktuell'!$D125,INDIRECT(U$4))+SUMIF(INDIRECT(U$3),'Struktur Aktuell'!$D125,INDIRECT(U$5)))</f>
        <v>0</v>
      </c>
      <c r="V125" s="593">
        <f ca="1">$E125*(-SUMIF(INDIRECT(V$3),'Struktur Aktuell'!$D125,INDIRECT(V$4))+SUMIF(INDIRECT(V$3),'Struktur Aktuell'!$D125,INDIRECT(V$5)))</f>
        <v>0</v>
      </c>
      <c r="W125" s="593">
        <f ca="1">$E125*(-SUMIF(INDIRECT(W$3),'Struktur Aktuell'!$D125,INDIRECT(W$4))+SUMIF(INDIRECT(W$3),'Struktur Aktuell'!$D125,INDIRECT(W$5)))</f>
        <v>0</v>
      </c>
      <c r="X125" s="593">
        <f ca="1">$E125*(-SUMIF(INDIRECT(X$3),'Struktur Aktuell'!$D125,INDIRECT(X$4))+SUMIF(INDIRECT(X$3),'Struktur Aktuell'!$D125,INDIRECT(X$5)))</f>
        <v>0</v>
      </c>
      <c r="Y125" s="593">
        <f ca="1">$E125*(-SUMIF(INDIRECT(Y$3),'Struktur Aktuell'!$D125,INDIRECT(Y$4))+SUMIF(INDIRECT(Y$3),'Struktur Aktuell'!$D125,INDIRECT(Y$5)))</f>
        <v>0</v>
      </c>
      <c r="Z125" s="593">
        <f ca="1">$E125*(-SUMIF(INDIRECT(Z$3),'Struktur Aktuell'!$D125,INDIRECT(Z$4))+SUMIF(INDIRECT(Z$3),'Struktur Aktuell'!$D125,INDIRECT(Z$5)))</f>
        <v>0</v>
      </c>
      <c r="AA125" s="593">
        <f ca="1">$E125*(-SUMIF(INDIRECT(AA$3),'Struktur Aktuell'!$D125,INDIRECT(AA$4))+SUMIF(INDIRECT(AA$3),'Struktur Aktuell'!$D125,INDIRECT(AA$5)))</f>
        <v>0</v>
      </c>
      <c r="AB125" s="593">
        <f ca="1">$E125*(-SUMIF(INDIRECT(AB$3),'Struktur Aktuell'!$D125,INDIRECT(AB$4))+SUMIF(INDIRECT(AB$3),'Struktur Aktuell'!$D125,INDIRECT(AB$5)))</f>
        <v>0</v>
      </c>
      <c r="AC125" s="593">
        <f ca="1">$E125*(-SUMIF(INDIRECT(AC$3),'Struktur Aktuell'!$D125,INDIRECT(AC$4))+SUMIF(INDIRECT(AC$3),'Struktur Aktuell'!$D125,INDIRECT(AC$5)))</f>
        <v>0</v>
      </c>
      <c r="AD125" s="593">
        <f ca="1">$E125*(-SUMIF(INDIRECT(AD$3),'Struktur Aktuell'!$D125,INDIRECT(AD$4))+SUMIF(INDIRECT(AD$3),'Struktur Aktuell'!$D125,INDIRECT(AD$5)))</f>
        <v>0</v>
      </c>
      <c r="AE125" s="593">
        <f t="shared" ca="1" si="159"/>
        <v>0</v>
      </c>
      <c r="AF125" s="593">
        <f t="shared" ca="1" si="160"/>
        <v>0</v>
      </c>
      <c r="AG125" s="593">
        <f t="shared" ca="1" si="161"/>
        <v>0</v>
      </c>
      <c r="AH125" s="593">
        <f t="shared" ca="1" si="162"/>
        <v>0</v>
      </c>
      <c r="AI125" s="593">
        <f t="shared" ca="1" si="163"/>
        <v>0</v>
      </c>
      <c r="AJ125" s="593">
        <f t="shared" ca="1" si="164"/>
        <v>0</v>
      </c>
      <c r="AK125" s="593">
        <f t="shared" ca="1" si="165"/>
        <v>0</v>
      </c>
      <c r="AL125" s="593">
        <f t="shared" ca="1" si="166"/>
        <v>0</v>
      </c>
      <c r="AM125" s="593">
        <f t="shared" ca="1" si="167"/>
        <v>0</v>
      </c>
      <c r="AN125" s="593">
        <f t="shared" ca="1" si="168"/>
        <v>0</v>
      </c>
      <c r="AO125" s="593">
        <f t="shared" ca="1" si="169"/>
        <v>0</v>
      </c>
      <c r="AP125" s="593">
        <f t="shared" ca="1" si="170"/>
        <v>0</v>
      </c>
    </row>
    <row r="126" spans="1:42" s="594" customFormat="1" ht="11.25" outlineLevel="1" x14ac:dyDescent="0.2">
      <c r="A126" s="590"/>
      <c r="B126" s="591" t="str">
        <f>IF(D126&lt;&gt;"",
IF(ISERROR(MATCH(D126,'Ist Aktuell Monat 01'!A:A,0))=FALSE,INDEX('Ist Aktuell Monat 01'!B:B,MATCH(D126,'Ist Aktuell Monat 01'!A:A,0)),
IF(ISERROR(MATCH(D126,'Ist Aktuell Monat 02'!A:A,0))=FALSE,INDEX('Ist Aktuell Monat 02'!B:B,MATCH(D126,'Ist Aktuell Monat 02'!A:A,0)),
IF(ISERROR(MATCH(D126,'Ist Aktuell Monat 03'!A:A,0))=FALSE,INDEX('Ist Aktuell Monat 03'!B:B,MATCH(D126,'Ist Aktuell Monat 03'!A:A,0)),
IF(ISERROR(MATCH(D126,'Ist Aktuell Monat 04'!A:A,0))=FALSE,INDEX('Ist Aktuell Monat 04'!B:B,MATCH(D126,'Ist Aktuell Monat 04'!A:A,0)),
IF(ISERROR(MATCH(D126,'Ist Aktuell Monat 05'!A:A,0))=FALSE,INDEX('Ist Aktuell Monat 05'!B:B,MATCH(D126,'Ist Aktuell Monat 05'!A:A,0)),
IF(ISERROR(MATCH(D126,'Ist Aktuell Monat 06'!A:A,0))=FALSE,INDEX('Ist Aktuell Monat 06'!B:B,MATCH(D126,'Ist Aktuell Monat 06'!A:A,0)),
IF(ISERROR(MATCH(D126,'Ist Aktuell Monat 07'!A:A,0))=FALSE,INDEX('Ist Aktuell Monat 07'!B:B,MATCH(D126,'Ist Aktuell Monat 07'!A:A,0)),
IF(ISERROR(MATCH(D126,'Ist Aktuell Monat 08'!A:A,0))=FALSE,INDEX('Ist Aktuell Monat 08'!B:B,MATCH(D126,'Ist Aktuell Monat 08'!A:A,0)),
IF(ISERROR(MATCH(D126,'Ist Aktuell Monat 09'!A:A,0))=FALSE,INDEX('Ist Aktuell Monat 09'!B:B,MATCH(D126,'Ist Aktuell Monat 09'!A:A,0)),
IF(ISERROR(MATCH(D126,'Ist Aktuell Monat 10'!A:A,0))=FALSE,INDEX('Ist Aktuell Monat 10'!B:B,MATCH(D126,'Ist Aktuell Monat 10'!A:A,0)),
IF(ISERROR(MATCH(D126,'Ist Aktuell Monat 11'!A:A,0))=FALSE,INDEX('Ist Aktuell Monat 11'!B:B,MATCH(D126,'Ist Aktuell Monat 11'!A:A,0)),
IF(ISERROR(MATCH(D126,'Ist Aktuell Monat 12'!A:A,0))=FALSE,INDEX('Ist Aktuell Monat 12'!B:B,MATCH(D126,'Ist Aktuell Monat 12'!A:A,0)),
"{Konto unbekannt}"
)))))))))))),"")</f>
        <v/>
      </c>
      <c r="C126" s="591"/>
      <c r="D126" s="590"/>
      <c r="E126" s="592">
        <f t="shared" ref="E126:E206" si="171">IF(F126="-",-1,1)</f>
        <v>1</v>
      </c>
      <c r="F126" s="590"/>
      <c r="G126" s="593">
        <f ca="1">$E126*(-SUMIF(INDIRECT(G$3),'Struktur Aktuell'!$D126,INDIRECT(G$4))+SUMIF(INDIRECT(G$3),'Struktur Aktuell'!$D126,INDIRECT(G$5)))</f>
        <v>0</v>
      </c>
      <c r="H126" s="593">
        <f ca="1">$E126*(-SUMIF(INDIRECT(H$3),'Struktur Aktuell'!$D126,INDIRECT(H$4))+SUMIF(INDIRECT(H$3),'Struktur Aktuell'!$D126,INDIRECT(H$5)))</f>
        <v>0</v>
      </c>
      <c r="I126" s="593">
        <f ca="1">$E126*(-SUMIF(INDIRECT(I$3),'Struktur Aktuell'!$D126,INDIRECT(I$4))+SUMIF(INDIRECT(I$3),'Struktur Aktuell'!$D126,INDIRECT(I$5)))</f>
        <v>0</v>
      </c>
      <c r="J126" s="593">
        <f ca="1">$E126*(-SUMIF(INDIRECT(J$3),'Struktur Aktuell'!$D126,INDIRECT(J$4))+SUMIF(INDIRECT(J$3),'Struktur Aktuell'!$D126,INDIRECT(J$5)))</f>
        <v>0</v>
      </c>
      <c r="K126" s="593">
        <f ca="1">$E126*(-SUMIF(INDIRECT(K$3),'Struktur Aktuell'!$D126,INDIRECT(K$4))+SUMIF(INDIRECT(K$3),'Struktur Aktuell'!$D126,INDIRECT(K$5)))</f>
        <v>0</v>
      </c>
      <c r="L126" s="593">
        <f ca="1">$E126*(-SUMIF(INDIRECT(L$3),'Struktur Aktuell'!$D126,INDIRECT(L$4))+SUMIF(INDIRECT(L$3),'Struktur Aktuell'!$D126,INDIRECT(L$5)))</f>
        <v>0</v>
      </c>
      <c r="M126" s="593">
        <f ca="1">$E126*(-SUMIF(INDIRECT(M$3),'Struktur Aktuell'!$D126,INDIRECT(M$4))+SUMIF(INDIRECT(M$3),'Struktur Aktuell'!$D126,INDIRECT(M$5)))</f>
        <v>0</v>
      </c>
      <c r="N126" s="593">
        <f ca="1">$E126*(-SUMIF(INDIRECT(N$3),'Struktur Aktuell'!$D126,INDIRECT(N$4))+SUMIF(INDIRECT(N$3),'Struktur Aktuell'!$D126,INDIRECT(N$5)))</f>
        <v>0</v>
      </c>
      <c r="O126" s="593">
        <f ca="1">$E126*(-SUMIF(INDIRECT(O$3),'Struktur Aktuell'!$D126,INDIRECT(O$4))+SUMIF(INDIRECT(O$3),'Struktur Aktuell'!$D126,INDIRECT(O$5)))</f>
        <v>0</v>
      </c>
      <c r="P126" s="593">
        <f ca="1">$E126*(-SUMIF(INDIRECT(P$3),'Struktur Aktuell'!$D126,INDIRECT(P$4))+SUMIF(INDIRECT(P$3),'Struktur Aktuell'!$D126,INDIRECT(P$5)))</f>
        <v>0</v>
      </c>
      <c r="Q126" s="593">
        <f ca="1">$E126*(-SUMIF(INDIRECT(Q$3),'Struktur Aktuell'!$D126,INDIRECT(Q$4))+SUMIF(INDIRECT(Q$3),'Struktur Aktuell'!$D126,INDIRECT(Q$5)))</f>
        <v>0</v>
      </c>
      <c r="R126" s="593">
        <f ca="1">$E126*(-SUMIF(INDIRECT(R$3),'Struktur Aktuell'!$D126,INDIRECT(R$4))+SUMIF(INDIRECT(R$3),'Struktur Aktuell'!$D126,INDIRECT(R$5)))</f>
        <v>0</v>
      </c>
      <c r="S126" s="593">
        <f ca="1">$E126*(-SUMIF(INDIRECT(S$3),'Struktur Aktuell'!$D126,INDIRECT(S$4))+SUMIF(INDIRECT(S$3),'Struktur Aktuell'!$D126,INDIRECT(S$5)))</f>
        <v>0</v>
      </c>
      <c r="T126" s="593">
        <f ca="1">$E126*(-SUMIF(INDIRECT(T$3),'Struktur Aktuell'!$D126,INDIRECT(T$4))+SUMIF(INDIRECT(T$3),'Struktur Aktuell'!$D126,INDIRECT(T$5)))</f>
        <v>0</v>
      </c>
      <c r="U126" s="593">
        <f ca="1">$E126*(-SUMIF(INDIRECT(U$3),'Struktur Aktuell'!$D126,INDIRECT(U$4))+SUMIF(INDIRECT(U$3),'Struktur Aktuell'!$D126,INDIRECT(U$5)))</f>
        <v>0</v>
      </c>
      <c r="V126" s="593">
        <f ca="1">$E126*(-SUMIF(INDIRECT(V$3),'Struktur Aktuell'!$D126,INDIRECT(V$4))+SUMIF(INDIRECT(V$3),'Struktur Aktuell'!$D126,INDIRECT(V$5)))</f>
        <v>0</v>
      </c>
      <c r="W126" s="593">
        <f ca="1">$E126*(-SUMIF(INDIRECT(W$3),'Struktur Aktuell'!$D126,INDIRECT(W$4))+SUMIF(INDIRECT(W$3),'Struktur Aktuell'!$D126,INDIRECT(W$5)))</f>
        <v>0</v>
      </c>
      <c r="X126" s="593">
        <f ca="1">$E126*(-SUMIF(INDIRECT(X$3),'Struktur Aktuell'!$D126,INDIRECT(X$4))+SUMIF(INDIRECT(X$3),'Struktur Aktuell'!$D126,INDIRECT(X$5)))</f>
        <v>0</v>
      </c>
      <c r="Y126" s="593">
        <f ca="1">$E126*(-SUMIF(INDIRECT(Y$3),'Struktur Aktuell'!$D126,INDIRECT(Y$4))+SUMIF(INDIRECT(Y$3),'Struktur Aktuell'!$D126,INDIRECT(Y$5)))</f>
        <v>0</v>
      </c>
      <c r="Z126" s="593">
        <f ca="1">$E126*(-SUMIF(INDIRECT(Z$3),'Struktur Aktuell'!$D126,INDIRECT(Z$4))+SUMIF(INDIRECT(Z$3),'Struktur Aktuell'!$D126,INDIRECT(Z$5)))</f>
        <v>0</v>
      </c>
      <c r="AA126" s="593">
        <f ca="1">$E126*(-SUMIF(INDIRECT(AA$3),'Struktur Aktuell'!$D126,INDIRECT(AA$4))+SUMIF(INDIRECT(AA$3),'Struktur Aktuell'!$D126,INDIRECT(AA$5)))</f>
        <v>0</v>
      </c>
      <c r="AB126" s="593">
        <f ca="1">$E126*(-SUMIF(INDIRECT(AB$3),'Struktur Aktuell'!$D126,INDIRECT(AB$4))+SUMIF(INDIRECT(AB$3),'Struktur Aktuell'!$D126,INDIRECT(AB$5)))</f>
        <v>0</v>
      </c>
      <c r="AC126" s="593">
        <f ca="1">$E126*(-SUMIF(INDIRECT(AC$3),'Struktur Aktuell'!$D126,INDIRECT(AC$4))+SUMIF(INDIRECT(AC$3),'Struktur Aktuell'!$D126,INDIRECT(AC$5)))</f>
        <v>0</v>
      </c>
      <c r="AD126" s="593">
        <f ca="1">$E126*(-SUMIF(INDIRECT(AD$3),'Struktur Aktuell'!$D126,INDIRECT(AD$4))+SUMIF(INDIRECT(AD$3),'Struktur Aktuell'!$D126,INDIRECT(AD$5)))</f>
        <v>0</v>
      </c>
      <c r="AE126" s="593">
        <f t="shared" ca="1" si="159"/>
        <v>0</v>
      </c>
      <c r="AF126" s="593">
        <f t="shared" ca="1" si="160"/>
        <v>0</v>
      </c>
      <c r="AG126" s="593">
        <f t="shared" ca="1" si="161"/>
        <v>0</v>
      </c>
      <c r="AH126" s="593">
        <f t="shared" ca="1" si="162"/>
        <v>0</v>
      </c>
      <c r="AI126" s="593">
        <f t="shared" ca="1" si="163"/>
        <v>0</v>
      </c>
      <c r="AJ126" s="593">
        <f t="shared" ca="1" si="164"/>
        <v>0</v>
      </c>
      <c r="AK126" s="593">
        <f t="shared" ca="1" si="165"/>
        <v>0</v>
      </c>
      <c r="AL126" s="593">
        <f t="shared" ca="1" si="166"/>
        <v>0</v>
      </c>
      <c r="AM126" s="593">
        <f t="shared" ca="1" si="167"/>
        <v>0</v>
      </c>
      <c r="AN126" s="593">
        <f t="shared" ca="1" si="168"/>
        <v>0</v>
      </c>
      <c r="AO126" s="593">
        <f t="shared" ca="1" si="169"/>
        <v>0</v>
      </c>
      <c r="AP126" s="593">
        <f t="shared" ca="1" si="170"/>
        <v>0</v>
      </c>
    </row>
    <row r="127" spans="1:42" s="589" customFormat="1" x14ac:dyDescent="0.2">
      <c r="A127" s="585">
        <v>11</v>
      </c>
      <c r="B127" s="586" t="s">
        <v>1007</v>
      </c>
      <c r="C127" s="587">
        <f ca="1">SUM(G127:R127)</f>
        <v>27015.530000000002</v>
      </c>
      <c r="D127" s="587"/>
      <c r="E127" s="588">
        <f t="shared" si="171"/>
        <v>1</v>
      </c>
      <c r="F127" s="585"/>
      <c r="G127" s="587">
        <f ca="1">SUM(G128:G135)</f>
        <v>2537.67</v>
      </c>
      <c r="H127" s="587">
        <f t="shared" ref="H127:R127" ca="1" si="172">SUM(H128:H135)</f>
        <v>2527.3399999999997</v>
      </c>
      <c r="I127" s="587">
        <f t="shared" ca="1" si="172"/>
        <v>2613.4300000000003</v>
      </c>
      <c r="J127" s="587">
        <f t="shared" ca="1" si="172"/>
        <v>2816.55</v>
      </c>
      <c r="K127" s="587">
        <f t="shared" ca="1" si="172"/>
        <v>2442.4300000000003</v>
      </c>
      <c r="L127" s="587">
        <f t="shared" ca="1" si="172"/>
        <v>2463.62</v>
      </c>
      <c r="M127" s="587">
        <f t="shared" ca="1" si="172"/>
        <v>4831.4900000000007</v>
      </c>
      <c r="N127" s="587">
        <f t="shared" ca="1" si="172"/>
        <v>2080.23</v>
      </c>
      <c r="O127" s="587">
        <f t="shared" ca="1" si="172"/>
        <v>2414.1799999999998</v>
      </c>
      <c r="P127" s="587">
        <f t="shared" ca="1" si="172"/>
        <v>2288.59</v>
      </c>
      <c r="Q127" s="587">
        <f t="shared" ca="1" si="172"/>
        <v>0</v>
      </c>
      <c r="R127" s="587">
        <f t="shared" ca="1" si="172"/>
        <v>0</v>
      </c>
      <c r="S127" s="587">
        <f ca="1">SUM(S128:S135)</f>
        <v>2537.67</v>
      </c>
      <c r="T127" s="587">
        <f t="shared" ref="T127:AD127" ca="1" si="173">SUM(T128:T135)</f>
        <v>5065.01</v>
      </c>
      <c r="U127" s="587">
        <f t="shared" ca="1" si="173"/>
        <v>7678.4400000000005</v>
      </c>
      <c r="V127" s="587">
        <f t="shared" ca="1" si="173"/>
        <v>10494.99</v>
      </c>
      <c r="W127" s="587">
        <f t="shared" ca="1" si="173"/>
        <v>12937.42</v>
      </c>
      <c r="X127" s="587">
        <f t="shared" ca="1" si="173"/>
        <v>15401.039999999999</v>
      </c>
      <c r="Y127" s="587">
        <f t="shared" ca="1" si="173"/>
        <v>20232.53</v>
      </c>
      <c r="Z127" s="587">
        <f t="shared" ca="1" si="173"/>
        <v>22312.759999999995</v>
      </c>
      <c r="AA127" s="587">
        <f t="shared" ca="1" si="173"/>
        <v>24726.94</v>
      </c>
      <c r="AB127" s="587">
        <f t="shared" ca="1" si="173"/>
        <v>27015.529999999995</v>
      </c>
      <c r="AC127" s="587">
        <f t="shared" ca="1" si="173"/>
        <v>0</v>
      </c>
      <c r="AD127" s="587">
        <f t="shared" ca="1" si="173"/>
        <v>0</v>
      </c>
      <c r="AE127" s="587">
        <f ca="1">SUM(AE128:AE135)</f>
        <v>2537.67</v>
      </c>
      <c r="AF127" s="587">
        <f t="shared" ref="AF127:AP127" ca="1" si="174">SUM(AF128:AF135)</f>
        <v>5065.01</v>
      </c>
      <c r="AG127" s="587">
        <f t="shared" ca="1" si="174"/>
        <v>7678.4400000000005</v>
      </c>
      <c r="AH127" s="587">
        <f t="shared" ca="1" si="174"/>
        <v>10494.99</v>
      </c>
      <c r="AI127" s="587">
        <f t="shared" ca="1" si="174"/>
        <v>12937.42</v>
      </c>
      <c r="AJ127" s="587">
        <f t="shared" ca="1" si="174"/>
        <v>15401.04</v>
      </c>
      <c r="AK127" s="587">
        <f t="shared" ca="1" si="174"/>
        <v>20232.53</v>
      </c>
      <c r="AL127" s="587">
        <f t="shared" ca="1" si="174"/>
        <v>22312.760000000002</v>
      </c>
      <c r="AM127" s="587">
        <f t="shared" ca="1" si="174"/>
        <v>24726.940000000002</v>
      </c>
      <c r="AN127" s="587">
        <f t="shared" ca="1" si="174"/>
        <v>27015.53</v>
      </c>
      <c r="AO127" s="587">
        <f t="shared" ca="1" si="174"/>
        <v>27015.53</v>
      </c>
      <c r="AP127" s="587">
        <f t="shared" ca="1" si="174"/>
        <v>27015.53</v>
      </c>
    </row>
    <row r="128" spans="1:42" s="594" customFormat="1" ht="11.25" outlineLevel="1" x14ac:dyDescent="0.2">
      <c r="A128" s="590"/>
      <c r="B128" s="591" t="str">
        <f>IF(D128&lt;&gt;"",
IF(ISERROR(MATCH(D128,'Ist Aktuell Monat 01'!A:A,0))=FALSE,INDEX('Ist Aktuell Monat 01'!B:B,MATCH(D128,'Ist Aktuell Monat 01'!A:A,0)),
IF(ISERROR(MATCH(D128,'Ist Aktuell Monat 02'!A:A,0))=FALSE,INDEX('Ist Aktuell Monat 02'!B:B,MATCH(D128,'Ist Aktuell Monat 02'!A:A,0)),
IF(ISERROR(MATCH(D128,'Ist Aktuell Monat 03'!A:A,0))=FALSE,INDEX('Ist Aktuell Monat 03'!B:B,MATCH(D128,'Ist Aktuell Monat 03'!A:A,0)),
IF(ISERROR(MATCH(D128,'Ist Aktuell Monat 04'!A:A,0))=FALSE,INDEX('Ist Aktuell Monat 04'!B:B,MATCH(D128,'Ist Aktuell Monat 04'!A:A,0)),
IF(ISERROR(MATCH(D128,'Ist Aktuell Monat 05'!A:A,0))=FALSE,INDEX('Ist Aktuell Monat 05'!B:B,MATCH(D128,'Ist Aktuell Monat 05'!A:A,0)),
IF(ISERROR(MATCH(D128,'Ist Aktuell Monat 06'!A:A,0))=FALSE,INDEX('Ist Aktuell Monat 06'!B:B,MATCH(D128,'Ist Aktuell Monat 06'!A:A,0)),
IF(ISERROR(MATCH(D128,'Ist Aktuell Monat 07'!A:A,0))=FALSE,INDEX('Ist Aktuell Monat 07'!B:B,MATCH(D128,'Ist Aktuell Monat 07'!A:A,0)),
IF(ISERROR(MATCH(D128,'Ist Aktuell Monat 08'!A:A,0))=FALSE,INDEX('Ist Aktuell Monat 08'!B:B,MATCH(D128,'Ist Aktuell Monat 08'!A:A,0)),
IF(ISERROR(MATCH(D128,'Ist Aktuell Monat 09'!A:A,0))=FALSE,INDEX('Ist Aktuell Monat 09'!B:B,MATCH(D128,'Ist Aktuell Monat 09'!A:A,0)),
IF(ISERROR(MATCH(D128,'Ist Aktuell Monat 10'!A:A,0))=FALSE,INDEX('Ist Aktuell Monat 10'!B:B,MATCH(D128,'Ist Aktuell Monat 10'!A:A,0)),
IF(ISERROR(MATCH(D128,'Ist Aktuell Monat 11'!A:A,0))=FALSE,INDEX('Ist Aktuell Monat 11'!B:B,MATCH(D128,'Ist Aktuell Monat 11'!A:A,0)),
IF(ISERROR(MATCH(D128,'Ist Aktuell Monat 12'!A:A,0))=FALSE,INDEX('Ist Aktuell Monat 12'!B:B,MATCH(D128,'Ist Aktuell Monat 12'!A:A,0)),
"{Konto unbekannt}"
)))))))))))),"")</f>
        <v>AG-Ant. SV "Full-Service BOMAG</v>
      </c>
      <c r="C128" s="591"/>
      <c r="D128" s="590">
        <v>4130</v>
      </c>
      <c r="E128" s="592">
        <f t="shared" si="171"/>
        <v>1</v>
      </c>
      <c r="F128" s="590"/>
      <c r="G128" s="593">
        <f ca="1">$E128*(-SUMIF(INDIRECT(G$3),'Struktur Aktuell'!$D128,INDIRECT(G$4))+SUMIF(INDIRECT(G$3),'Struktur Aktuell'!$D128,INDIRECT(G$5)))</f>
        <v>169.15</v>
      </c>
      <c r="H128" s="593">
        <f ca="1">$E128*(-SUMIF(INDIRECT(H$3),'Struktur Aktuell'!$D128,INDIRECT(H$4))+SUMIF(INDIRECT(H$3),'Struktur Aktuell'!$D128,INDIRECT(H$5)))</f>
        <v>507.44</v>
      </c>
      <c r="I128" s="593">
        <f ca="1">$E128*(-SUMIF(INDIRECT(I$3),'Struktur Aktuell'!$D128,INDIRECT(I$4))+SUMIF(INDIRECT(I$3),'Struktur Aktuell'!$D128,INDIRECT(I$5)))</f>
        <v>169.14</v>
      </c>
      <c r="J128" s="593">
        <f ca="1">$E128*(-SUMIF(INDIRECT(J$3),'Struktur Aktuell'!$D128,INDIRECT(J$4))+SUMIF(INDIRECT(J$3),'Struktur Aktuell'!$D128,INDIRECT(J$5)))</f>
        <v>169.14</v>
      </c>
      <c r="K128" s="593">
        <f ca="1">$E128*(-SUMIF(INDIRECT(K$3),'Struktur Aktuell'!$D128,INDIRECT(K$4))+SUMIF(INDIRECT(K$3),'Struktur Aktuell'!$D128,INDIRECT(K$5)))</f>
        <v>338.29</v>
      </c>
      <c r="L128" s="593">
        <f ca="1">$E128*(-SUMIF(INDIRECT(L$3),'Struktur Aktuell'!$D128,INDIRECT(L$4))+SUMIF(INDIRECT(L$3),'Struktur Aktuell'!$D128,INDIRECT(L$5)))</f>
        <v>207.33</v>
      </c>
      <c r="M128" s="593">
        <f ca="1">$E128*(-SUMIF(INDIRECT(M$3),'Struktur Aktuell'!$D128,INDIRECT(M$4))+SUMIF(INDIRECT(M$3),'Struktur Aktuell'!$D128,INDIRECT(M$5)))</f>
        <v>0</v>
      </c>
      <c r="N128" s="593">
        <f ca="1">$E128*(-SUMIF(INDIRECT(N$3),'Struktur Aktuell'!$D128,INDIRECT(N$4))+SUMIF(INDIRECT(N$3),'Struktur Aktuell'!$D128,INDIRECT(N$5)))</f>
        <v>0</v>
      </c>
      <c r="O128" s="593">
        <f ca="1">$E128*(-SUMIF(INDIRECT(O$3),'Struktur Aktuell'!$D128,INDIRECT(O$4))+SUMIF(INDIRECT(O$3),'Struktur Aktuell'!$D128,INDIRECT(O$5)))</f>
        <v>0</v>
      </c>
      <c r="P128" s="593">
        <f ca="1">$E128*(-SUMIF(INDIRECT(P$3),'Struktur Aktuell'!$D128,INDIRECT(P$4))+SUMIF(INDIRECT(P$3),'Struktur Aktuell'!$D128,INDIRECT(P$5)))</f>
        <v>0</v>
      </c>
      <c r="Q128" s="593">
        <f ca="1">$E128*(-SUMIF(INDIRECT(Q$3),'Struktur Aktuell'!$D128,INDIRECT(Q$4))+SUMIF(INDIRECT(Q$3),'Struktur Aktuell'!$D128,INDIRECT(Q$5)))</f>
        <v>0</v>
      </c>
      <c r="R128" s="593">
        <f ca="1">$E128*(-SUMIF(INDIRECT(R$3),'Struktur Aktuell'!$D128,INDIRECT(R$4))+SUMIF(INDIRECT(R$3),'Struktur Aktuell'!$D128,INDIRECT(R$5)))</f>
        <v>0</v>
      </c>
      <c r="S128" s="593">
        <f ca="1">$E128*(-SUMIF(INDIRECT(S$3),'Struktur Aktuell'!$D128,INDIRECT(S$4))+SUMIF(INDIRECT(S$3),'Struktur Aktuell'!$D128,INDIRECT(S$5)))</f>
        <v>169.15</v>
      </c>
      <c r="T128" s="593">
        <f ca="1">$E128*(-SUMIF(INDIRECT(T$3),'Struktur Aktuell'!$D128,INDIRECT(T$4))+SUMIF(INDIRECT(T$3),'Struktur Aktuell'!$D128,INDIRECT(T$5)))</f>
        <v>676.59</v>
      </c>
      <c r="U128" s="593">
        <f ca="1">$E128*(-SUMIF(INDIRECT(U$3),'Struktur Aktuell'!$D128,INDIRECT(U$4))+SUMIF(INDIRECT(U$3),'Struktur Aktuell'!$D128,INDIRECT(U$5)))</f>
        <v>845.73</v>
      </c>
      <c r="V128" s="593">
        <f ca="1">$E128*(-SUMIF(INDIRECT(V$3),'Struktur Aktuell'!$D128,INDIRECT(V$4))+SUMIF(INDIRECT(V$3),'Struktur Aktuell'!$D128,INDIRECT(V$5)))</f>
        <v>1014.87</v>
      </c>
      <c r="W128" s="593">
        <f ca="1">$E128*(-SUMIF(INDIRECT(W$3),'Struktur Aktuell'!$D128,INDIRECT(W$4))+SUMIF(INDIRECT(W$3),'Struktur Aktuell'!$D128,INDIRECT(W$5)))</f>
        <v>1353.16</v>
      </c>
      <c r="X128" s="593">
        <f ca="1">$E128*(-SUMIF(INDIRECT(X$3),'Struktur Aktuell'!$D128,INDIRECT(X$4))+SUMIF(INDIRECT(X$3),'Struktur Aktuell'!$D128,INDIRECT(X$5)))</f>
        <v>1560.49</v>
      </c>
      <c r="Y128" s="593">
        <f ca="1">$E128*(-SUMIF(INDIRECT(Y$3),'Struktur Aktuell'!$D128,INDIRECT(Y$4))+SUMIF(INDIRECT(Y$3),'Struktur Aktuell'!$D128,INDIRECT(Y$5)))</f>
        <v>1560.49</v>
      </c>
      <c r="Z128" s="593">
        <f ca="1">$E128*(-SUMIF(INDIRECT(Z$3),'Struktur Aktuell'!$D128,INDIRECT(Z$4))+SUMIF(INDIRECT(Z$3),'Struktur Aktuell'!$D128,INDIRECT(Z$5)))</f>
        <v>1560.49</v>
      </c>
      <c r="AA128" s="593">
        <f ca="1">$E128*(-SUMIF(INDIRECT(AA$3),'Struktur Aktuell'!$D128,INDIRECT(AA$4))+SUMIF(INDIRECT(AA$3),'Struktur Aktuell'!$D128,INDIRECT(AA$5)))</f>
        <v>1560.49</v>
      </c>
      <c r="AB128" s="593">
        <f ca="1">$E128*(-SUMIF(INDIRECT(AB$3),'Struktur Aktuell'!$D128,INDIRECT(AB$4))+SUMIF(INDIRECT(AB$3),'Struktur Aktuell'!$D128,INDIRECT(AB$5)))</f>
        <v>1560.49</v>
      </c>
      <c r="AC128" s="593">
        <f ca="1">$E128*(-SUMIF(INDIRECT(AC$3),'Struktur Aktuell'!$D128,INDIRECT(AC$4))+SUMIF(INDIRECT(AC$3),'Struktur Aktuell'!$D128,INDIRECT(AC$5)))</f>
        <v>0</v>
      </c>
      <c r="AD128" s="593">
        <f ca="1">$E128*(-SUMIF(INDIRECT(AD$3),'Struktur Aktuell'!$D128,INDIRECT(AD$4))+SUMIF(INDIRECT(AD$3),'Struktur Aktuell'!$D128,INDIRECT(AD$5)))</f>
        <v>0</v>
      </c>
      <c r="AE128" s="593">
        <f t="shared" ref="AE128:AE135" ca="1" si="175">G128</f>
        <v>169.15</v>
      </c>
      <c r="AF128" s="593">
        <f t="shared" ref="AF128:AF135" ca="1" si="176">H128+AE128</f>
        <v>676.59</v>
      </c>
      <c r="AG128" s="593">
        <f t="shared" ref="AG128:AG135" ca="1" si="177">I128+AF128</f>
        <v>845.73</v>
      </c>
      <c r="AH128" s="593">
        <f t="shared" ref="AH128:AH135" ca="1" si="178">J128+AG128</f>
        <v>1014.87</v>
      </c>
      <c r="AI128" s="593">
        <f t="shared" ref="AI128:AI135" ca="1" si="179">K128+AH128</f>
        <v>1353.16</v>
      </c>
      <c r="AJ128" s="593">
        <f t="shared" ref="AJ128:AJ135" ca="1" si="180">L128+AI128</f>
        <v>1560.49</v>
      </c>
      <c r="AK128" s="593">
        <f t="shared" ref="AK128:AK135" ca="1" si="181">M128+AJ128</f>
        <v>1560.49</v>
      </c>
      <c r="AL128" s="593">
        <f t="shared" ref="AL128:AL135" ca="1" si="182">N128+AK128</f>
        <v>1560.49</v>
      </c>
      <c r="AM128" s="593">
        <f t="shared" ref="AM128:AM135" ca="1" si="183">O128+AL128</f>
        <v>1560.49</v>
      </c>
      <c r="AN128" s="593">
        <f t="shared" ref="AN128:AN135" ca="1" si="184">P128+AM128</f>
        <v>1560.49</v>
      </c>
      <c r="AO128" s="593">
        <f t="shared" ref="AO128:AO135" ca="1" si="185">Q128+AN128</f>
        <v>1560.49</v>
      </c>
      <c r="AP128" s="593">
        <f t="shared" ref="AP128:AP135" ca="1" si="186">R128+AO128</f>
        <v>1560.49</v>
      </c>
    </row>
    <row r="129" spans="1:42" s="594" customFormat="1" ht="11.25" outlineLevel="1" x14ac:dyDescent="0.2">
      <c r="A129" s="590"/>
      <c r="B129" s="591" t="str">
        <f>IF(D129&lt;&gt;"",
IF(ISERROR(MATCH(D129,'Ist Aktuell Monat 01'!A:A,0))=FALSE,INDEX('Ist Aktuell Monat 01'!B:B,MATCH(D129,'Ist Aktuell Monat 01'!A:A,0)),
IF(ISERROR(MATCH(D129,'Ist Aktuell Monat 02'!A:A,0))=FALSE,INDEX('Ist Aktuell Monat 02'!B:B,MATCH(D129,'Ist Aktuell Monat 02'!A:A,0)),
IF(ISERROR(MATCH(D129,'Ist Aktuell Monat 03'!A:A,0))=FALSE,INDEX('Ist Aktuell Monat 03'!B:B,MATCH(D129,'Ist Aktuell Monat 03'!A:A,0)),
IF(ISERROR(MATCH(D129,'Ist Aktuell Monat 04'!A:A,0))=FALSE,INDEX('Ist Aktuell Monat 04'!B:B,MATCH(D129,'Ist Aktuell Monat 04'!A:A,0)),
IF(ISERROR(MATCH(D129,'Ist Aktuell Monat 05'!A:A,0))=FALSE,INDEX('Ist Aktuell Monat 05'!B:B,MATCH(D129,'Ist Aktuell Monat 05'!A:A,0)),
IF(ISERROR(MATCH(D129,'Ist Aktuell Monat 06'!A:A,0))=FALSE,INDEX('Ist Aktuell Monat 06'!B:B,MATCH(D129,'Ist Aktuell Monat 06'!A:A,0)),
IF(ISERROR(MATCH(D129,'Ist Aktuell Monat 07'!A:A,0))=FALSE,INDEX('Ist Aktuell Monat 07'!B:B,MATCH(D129,'Ist Aktuell Monat 07'!A:A,0)),
IF(ISERROR(MATCH(D129,'Ist Aktuell Monat 08'!A:A,0))=FALSE,INDEX('Ist Aktuell Monat 08'!B:B,MATCH(D129,'Ist Aktuell Monat 08'!A:A,0)),
IF(ISERROR(MATCH(D129,'Ist Aktuell Monat 09'!A:A,0))=FALSE,INDEX('Ist Aktuell Monat 09'!B:B,MATCH(D129,'Ist Aktuell Monat 09'!A:A,0)),
IF(ISERROR(MATCH(D129,'Ist Aktuell Monat 10'!A:A,0))=FALSE,INDEX('Ist Aktuell Monat 10'!B:B,MATCH(D129,'Ist Aktuell Monat 10'!A:A,0)),
IF(ISERROR(MATCH(D129,'Ist Aktuell Monat 11'!A:A,0))=FALSE,INDEX('Ist Aktuell Monat 11'!B:B,MATCH(D129,'Ist Aktuell Monat 11'!A:A,0)),
IF(ISERROR(MATCH(D129,'Ist Aktuell Monat 12'!A:A,0))=FALSE,INDEX('Ist Aktuell Monat 12'!B:B,MATCH(D129,'Ist Aktuell Monat 12'!A:A,0)),
"{Konto unbekannt}"
)))))))))))),"")</f>
        <v>AG-Anteil Sozialversicherung allgemein</v>
      </c>
      <c r="C129" s="591"/>
      <c r="D129" s="590">
        <v>4131</v>
      </c>
      <c r="E129" s="592">
        <f t="shared" si="171"/>
        <v>1</v>
      </c>
      <c r="F129" s="590"/>
      <c r="G129" s="593">
        <f ca="1">$E129*(-SUMIF(INDIRECT(G$3),'Struktur Aktuell'!$D129,INDIRECT(G$4))+SUMIF(INDIRECT(G$3),'Struktur Aktuell'!$D129,INDIRECT(G$5)))</f>
        <v>561.15</v>
      </c>
      <c r="H129" s="593">
        <f ca="1">$E129*(-SUMIF(INDIRECT(H$3),'Struktur Aktuell'!$D129,INDIRECT(H$4))+SUMIF(INDIRECT(H$3),'Struktur Aktuell'!$D129,INDIRECT(H$5)))</f>
        <v>561.15</v>
      </c>
      <c r="I129" s="593">
        <f ca="1">$E129*(-SUMIF(INDIRECT(I$3),'Struktur Aktuell'!$D129,INDIRECT(I$4))+SUMIF(INDIRECT(I$3),'Struktur Aktuell'!$D129,INDIRECT(I$5)))</f>
        <v>642.16</v>
      </c>
      <c r="J129" s="593">
        <f ca="1">$E129*(-SUMIF(INDIRECT(J$3),'Struktur Aktuell'!$D129,INDIRECT(J$4))+SUMIF(INDIRECT(J$3),'Struktur Aktuell'!$D129,INDIRECT(J$5)))</f>
        <v>582.82000000000005</v>
      </c>
      <c r="K129" s="593">
        <f ca="1">$E129*(-SUMIF(INDIRECT(K$3),'Struktur Aktuell'!$D129,INDIRECT(K$4))+SUMIF(INDIRECT(K$3),'Struktur Aktuell'!$D129,INDIRECT(K$5)))</f>
        <v>471.16</v>
      </c>
      <c r="L129" s="593">
        <f ca="1">$E129*(-SUMIF(INDIRECT(L$3),'Struktur Aktuell'!$D129,INDIRECT(L$4))+SUMIF(INDIRECT(L$3),'Struktur Aktuell'!$D129,INDIRECT(L$5)))</f>
        <v>473.71</v>
      </c>
      <c r="M129" s="593">
        <f ca="1">$E129*(-SUMIF(INDIRECT(M$3),'Struktur Aktuell'!$D129,INDIRECT(M$4))+SUMIF(INDIRECT(M$3),'Struktur Aktuell'!$D129,INDIRECT(M$5)))</f>
        <v>1230.06</v>
      </c>
      <c r="N129" s="593">
        <f ca="1">$E129*(-SUMIF(INDIRECT(N$3),'Struktur Aktuell'!$D129,INDIRECT(N$4))+SUMIF(INDIRECT(N$3),'Struktur Aktuell'!$D129,INDIRECT(N$5)))</f>
        <v>1250.8800000000001</v>
      </c>
      <c r="O129" s="593">
        <f ca="1">$E129*(-SUMIF(INDIRECT(O$3),'Struktur Aktuell'!$D129,INDIRECT(O$4))+SUMIF(INDIRECT(O$3),'Struktur Aktuell'!$D129,INDIRECT(O$5)))</f>
        <v>1584.83</v>
      </c>
      <c r="P129" s="593">
        <f ca="1">$E129*(-SUMIF(INDIRECT(P$3),'Struktur Aktuell'!$D129,INDIRECT(P$4))+SUMIF(INDIRECT(P$3),'Struktur Aktuell'!$D129,INDIRECT(P$5)))</f>
        <v>1459.24</v>
      </c>
      <c r="Q129" s="593">
        <f ca="1">$E129*(-SUMIF(INDIRECT(Q$3),'Struktur Aktuell'!$D129,INDIRECT(Q$4))+SUMIF(INDIRECT(Q$3),'Struktur Aktuell'!$D129,INDIRECT(Q$5)))</f>
        <v>0</v>
      </c>
      <c r="R129" s="593">
        <f ca="1">$E129*(-SUMIF(INDIRECT(R$3),'Struktur Aktuell'!$D129,INDIRECT(R$4))+SUMIF(INDIRECT(R$3),'Struktur Aktuell'!$D129,INDIRECT(R$5)))</f>
        <v>0</v>
      </c>
      <c r="S129" s="593">
        <f ca="1">$E129*(-SUMIF(INDIRECT(S$3),'Struktur Aktuell'!$D129,INDIRECT(S$4))+SUMIF(INDIRECT(S$3),'Struktur Aktuell'!$D129,INDIRECT(S$5)))</f>
        <v>561.15</v>
      </c>
      <c r="T129" s="593">
        <f ca="1">$E129*(-SUMIF(INDIRECT(T$3),'Struktur Aktuell'!$D129,INDIRECT(T$4))+SUMIF(INDIRECT(T$3),'Struktur Aktuell'!$D129,INDIRECT(T$5)))</f>
        <v>1122.3</v>
      </c>
      <c r="U129" s="593">
        <f ca="1">$E129*(-SUMIF(INDIRECT(U$3),'Struktur Aktuell'!$D129,INDIRECT(U$4))+SUMIF(INDIRECT(U$3),'Struktur Aktuell'!$D129,INDIRECT(U$5)))</f>
        <v>1764.46</v>
      </c>
      <c r="V129" s="593">
        <f ca="1">$E129*(-SUMIF(INDIRECT(V$3),'Struktur Aktuell'!$D129,INDIRECT(V$4))+SUMIF(INDIRECT(V$3),'Struktur Aktuell'!$D129,INDIRECT(V$5)))</f>
        <v>2347.2800000000002</v>
      </c>
      <c r="W129" s="593">
        <f ca="1">$E129*(-SUMIF(INDIRECT(W$3),'Struktur Aktuell'!$D129,INDIRECT(W$4))+SUMIF(INDIRECT(W$3),'Struktur Aktuell'!$D129,INDIRECT(W$5)))</f>
        <v>2818.44</v>
      </c>
      <c r="X129" s="593">
        <f ca="1">$E129*(-SUMIF(INDIRECT(X$3),'Struktur Aktuell'!$D129,INDIRECT(X$4))+SUMIF(INDIRECT(X$3),'Struktur Aktuell'!$D129,INDIRECT(X$5)))</f>
        <v>3292.15</v>
      </c>
      <c r="Y129" s="593">
        <f ca="1">$E129*(-SUMIF(INDIRECT(Y$3),'Struktur Aktuell'!$D129,INDIRECT(Y$4))+SUMIF(INDIRECT(Y$3),'Struktur Aktuell'!$D129,INDIRECT(Y$5)))</f>
        <v>4522.21</v>
      </c>
      <c r="Z129" s="593">
        <f ca="1">$E129*(-SUMIF(INDIRECT(Z$3),'Struktur Aktuell'!$D129,INDIRECT(Z$4))+SUMIF(INDIRECT(Z$3),'Struktur Aktuell'!$D129,INDIRECT(Z$5)))</f>
        <v>5773.09</v>
      </c>
      <c r="AA129" s="593">
        <f ca="1">$E129*(-SUMIF(INDIRECT(AA$3),'Struktur Aktuell'!$D129,INDIRECT(AA$4))+SUMIF(INDIRECT(AA$3),'Struktur Aktuell'!$D129,INDIRECT(AA$5)))</f>
        <v>7357.92</v>
      </c>
      <c r="AB129" s="593">
        <f ca="1">$E129*(-SUMIF(INDIRECT(AB$3),'Struktur Aktuell'!$D129,INDIRECT(AB$4))+SUMIF(INDIRECT(AB$3),'Struktur Aktuell'!$D129,INDIRECT(AB$5)))</f>
        <v>8817.16</v>
      </c>
      <c r="AC129" s="593">
        <f ca="1">$E129*(-SUMIF(INDIRECT(AC$3),'Struktur Aktuell'!$D129,INDIRECT(AC$4))+SUMIF(INDIRECT(AC$3),'Struktur Aktuell'!$D129,INDIRECT(AC$5)))</f>
        <v>0</v>
      </c>
      <c r="AD129" s="593">
        <f ca="1">$E129*(-SUMIF(INDIRECT(AD$3),'Struktur Aktuell'!$D129,INDIRECT(AD$4))+SUMIF(INDIRECT(AD$3),'Struktur Aktuell'!$D129,INDIRECT(AD$5)))</f>
        <v>0</v>
      </c>
      <c r="AE129" s="593">
        <f t="shared" ca="1" si="175"/>
        <v>561.15</v>
      </c>
      <c r="AF129" s="593">
        <f t="shared" ca="1" si="176"/>
        <v>1122.3</v>
      </c>
      <c r="AG129" s="593">
        <f t="shared" ca="1" si="177"/>
        <v>1764.46</v>
      </c>
      <c r="AH129" s="593">
        <f t="shared" ca="1" si="178"/>
        <v>2347.2800000000002</v>
      </c>
      <c r="AI129" s="593">
        <f t="shared" ca="1" si="179"/>
        <v>2818.44</v>
      </c>
      <c r="AJ129" s="593">
        <f t="shared" ca="1" si="180"/>
        <v>3292.15</v>
      </c>
      <c r="AK129" s="593">
        <f t="shared" ca="1" si="181"/>
        <v>4522.21</v>
      </c>
      <c r="AL129" s="593">
        <f t="shared" ca="1" si="182"/>
        <v>5773.09</v>
      </c>
      <c r="AM129" s="593">
        <f t="shared" ca="1" si="183"/>
        <v>7357.92</v>
      </c>
      <c r="AN129" s="593">
        <f t="shared" ca="1" si="184"/>
        <v>8817.16</v>
      </c>
      <c r="AO129" s="593">
        <f t="shared" ca="1" si="185"/>
        <v>8817.16</v>
      </c>
      <c r="AP129" s="593">
        <f t="shared" ca="1" si="186"/>
        <v>8817.16</v>
      </c>
    </row>
    <row r="130" spans="1:42" s="594" customFormat="1" ht="11.25" outlineLevel="1" x14ac:dyDescent="0.2">
      <c r="A130" s="590"/>
      <c r="B130" s="591" t="str">
        <f>IF(D130&lt;&gt;"",
IF(ISERROR(MATCH(D130,'Ist Aktuell Monat 01'!A:A,0))=FALSE,INDEX('Ist Aktuell Monat 01'!B:B,MATCH(D130,'Ist Aktuell Monat 01'!A:A,0)),
IF(ISERROR(MATCH(D130,'Ist Aktuell Monat 02'!A:A,0))=FALSE,INDEX('Ist Aktuell Monat 02'!B:B,MATCH(D130,'Ist Aktuell Monat 02'!A:A,0)),
IF(ISERROR(MATCH(D130,'Ist Aktuell Monat 03'!A:A,0))=FALSE,INDEX('Ist Aktuell Monat 03'!B:B,MATCH(D130,'Ist Aktuell Monat 03'!A:A,0)),
IF(ISERROR(MATCH(D130,'Ist Aktuell Monat 04'!A:A,0))=FALSE,INDEX('Ist Aktuell Monat 04'!B:B,MATCH(D130,'Ist Aktuell Monat 04'!A:A,0)),
IF(ISERROR(MATCH(D130,'Ist Aktuell Monat 05'!A:A,0))=FALSE,INDEX('Ist Aktuell Monat 05'!B:B,MATCH(D130,'Ist Aktuell Monat 05'!A:A,0)),
IF(ISERROR(MATCH(D130,'Ist Aktuell Monat 06'!A:A,0))=FALSE,INDEX('Ist Aktuell Monat 06'!B:B,MATCH(D130,'Ist Aktuell Monat 06'!A:A,0)),
IF(ISERROR(MATCH(D130,'Ist Aktuell Monat 07'!A:A,0))=FALSE,INDEX('Ist Aktuell Monat 07'!B:B,MATCH(D130,'Ist Aktuell Monat 07'!A:A,0)),
IF(ISERROR(MATCH(D130,'Ist Aktuell Monat 08'!A:A,0))=FALSE,INDEX('Ist Aktuell Monat 08'!B:B,MATCH(D130,'Ist Aktuell Monat 08'!A:A,0)),
IF(ISERROR(MATCH(D130,'Ist Aktuell Monat 09'!A:A,0))=FALSE,INDEX('Ist Aktuell Monat 09'!B:B,MATCH(D130,'Ist Aktuell Monat 09'!A:A,0)),
IF(ISERROR(MATCH(D130,'Ist Aktuell Monat 10'!A:A,0))=FALSE,INDEX('Ist Aktuell Monat 10'!B:B,MATCH(D130,'Ist Aktuell Monat 10'!A:A,0)),
IF(ISERROR(MATCH(D130,'Ist Aktuell Monat 11'!A:A,0))=FALSE,INDEX('Ist Aktuell Monat 11'!B:B,MATCH(D130,'Ist Aktuell Monat 11'!A:A,0)),
IF(ISERROR(MATCH(D130,'Ist Aktuell Monat 12'!A:A,0))=FALSE,INDEX('Ist Aktuell Monat 12'!B:B,MATCH(D130,'Ist Aktuell Monat 12'!A:A,0)),
"{Konto unbekannt}"
)))))))))))),"")</f>
        <v>AG-Ant. SV Datenschutzbeauftragung</v>
      </c>
      <c r="C130" s="591"/>
      <c r="D130" s="590">
        <v>4133</v>
      </c>
      <c r="E130" s="592">
        <f t="shared" si="171"/>
        <v>1</v>
      </c>
      <c r="F130" s="590"/>
      <c r="G130" s="593">
        <f ca="1">$E130*(-SUMIF(INDIRECT(G$3),'Struktur Aktuell'!$D130,INDIRECT(G$4))+SUMIF(INDIRECT(G$3),'Struktur Aktuell'!$D130,INDIRECT(G$5)))</f>
        <v>247.72</v>
      </c>
      <c r="H130" s="593">
        <f ca="1">$E130*(-SUMIF(INDIRECT(H$3),'Struktur Aktuell'!$D130,INDIRECT(H$4))+SUMIF(INDIRECT(H$3),'Struktur Aktuell'!$D130,INDIRECT(H$5)))</f>
        <v>247.71</v>
      </c>
      <c r="I130" s="593">
        <f ca="1">$E130*(-SUMIF(INDIRECT(I$3),'Struktur Aktuell'!$D130,INDIRECT(I$4))+SUMIF(INDIRECT(I$3),'Struktur Aktuell'!$D130,INDIRECT(I$5)))</f>
        <v>247.72</v>
      </c>
      <c r="J130" s="593">
        <f ca="1">$E130*(-SUMIF(INDIRECT(J$3),'Struktur Aktuell'!$D130,INDIRECT(J$4))+SUMIF(INDIRECT(J$3),'Struktur Aktuell'!$D130,INDIRECT(J$5)))</f>
        <v>247.72</v>
      </c>
      <c r="K130" s="593">
        <f ca="1">$E130*(-SUMIF(INDIRECT(K$3),'Struktur Aktuell'!$D130,INDIRECT(K$4))+SUMIF(INDIRECT(K$3),'Struktur Aktuell'!$D130,INDIRECT(K$5)))</f>
        <v>247.71</v>
      </c>
      <c r="L130" s="593">
        <f ca="1">$E130*(-SUMIF(INDIRECT(L$3),'Struktur Aktuell'!$D130,INDIRECT(L$4))+SUMIF(INDIRECT(L$3),'Struktur Aktuell'!$D130,INDIRECT(L$5)))</f>
        <v>247.71</v>
      </c>
      <c r="M130" s="593">
        <f ca="1">$E130*(-SUMIF(INDIRECT(M$3),'Struktur Aktuell'!$D130,INDIRECT(M$4))+SUMIF(INDIRECT(M$3),'Struktur Aktuell'!$D130,INDIRECT(M$5)))</f>
        <v>0</v>
      </c>
      <c r="N130" s="593">
        <f ca="1">$E130*(-SUMIF(INDIRECT(N$3),'Struktur Aktuell'!$D130,INDIRECT(N$4))+SUMIF(INDIRECT(N$3),'Struktur Aktuell'!$D130,INDIRECT(N$5)))</f>
        <v>0</v>
      </c>
      <c r="O130" s="593">
        <f ca="1">$E130*(-SUMIF(INDIRECT(O$3),'Struktur Aktuell'!$D130,INDIRECT(O$4))+SUMIF(INDIRECT(O$3),'Struktur Aktuell'!$D130,INDIRECT(O$5)))</f>
        <v>0</v>
      </c>
      <c r="P130" s="593">
        <f ca="1">$E130*(-SUMIF(INDIRECT(P$3),'Struktur Aktuell'!$D130,INDIRECT(P$4))+SUMIF(INDIRECT(P$3),'Struktur Aktuell'!$D130,INDIRECT(P$5)))</f>
        <v>0</v>
      </c>
      <c r="Q130" s="593">
        <f ca="1">$E130*(-SUMIF(INDIRECT(Q$3),'Struktur Aktuell'!$D130,INDIRECT(Q$4))+SUMIF(INDIRECT(Q$3),'Struktur Aktuell'!$D130,INDIRECT(Q$5)))</f>
        <v>0</v>
      </c>
      <c r="R130" s="593">
        <f ca="1">$E130*(-SUMIF(INDIRECT(R$3),'Struktur Aktuell'!$D130,INDIRECT(R$4))+SUMIF(INDIRECT(R$3),'Struktur Aktuell'!$D130,INDIRECT(R$5)))</f>
        <v>0</v>
      </c>
      <c r="S130" s="593">
        <f ca="1">$E130*(-SUMIF(INDIRECT(S$3),'Struktur Aktuell'!$D130,INDIRECT(S$4))+SUMIF(INDIRECT(S$3),'Struktur Aktuell'!$D130,INDIRECT(S$5)))</f>
        <v>247.72</v>
      </c>
      <c r="T130" s="593">
        <f ca="1">$E130*(-SUMIF(INDIRECT(T$3),'Struktur Aktuell'!$D130,INDIRECT(T$4))+SUMIF(INDIRECT(T$3),'Struktur Aktuell'!$D130,INDIRECT(T$5)))</f>
        <v>495.43</v>
      </c>
      <c r="U130" s="593">
        <f ca="1">$E130*(-SUMIF(INDIRECT(U$3),'Struktur Aktuell'!$D130,INDIRECT(U$4))+SUMIF(INDIRECT(U$3),'Struktur Aktuell'!$D130,INDIRECT(U$5)))</f>
        <v>743.15</v>
      </c>
      <c r="V130" s="593">
        <f ca="1">$E130*(-SUMIF(INDIRECT(V$3),'Struktur Aktuell'!$D130,INDIRECT(V$4))+SUMIF(INDIRECT(V$3),'Struktur Aktuell'!$D130,INDIRECT(V$5)))</f>
        <v>990.87</v>
      </c>
      <c r="W130" s="593">
        <f ca="1">$E130*(-SUMIF(INDIRECT(W$3),'Struktur Aktuell'!$D130,INDIRECT(W$4))+SUMIF(INDIRECT(W$3),'Struktur Aktuell'!$D130,INDIRECT(W$5)))</f>
        <v>1238.58</v>
      </c>
      <c r="X130" s="593">
        <f ca="1">$E130*(-SUMIF(INDIRECT(X$3),'Struktur Aktuell'!$D130,INDIRECT(X$4))+SUMIF(INDIRECT(X$3),'Struktur Aktuell'!$D130,INDIRECT(X$5)))</f>
        <v>1486.29</v>
      </c>
      <c r="Y130" s="593">
        <f ca="1">$E130*(-SUMIF(INDIRECT(Y$3),'Struktur Aktuell'!$D130,INDIRECT(Y$4))+SUMIF(INDIRECT(Y$3),'Struktur Aktuell'!$D130,INDIRECT(Y$5)))</f>
        <v>1486.29</v>
      </c>
      <c r="Z130" s="593">
        <f ca="1">$E130*(-SUMIF(INDIRECT(Z$3),'Struktur Aktuell'!$D130,INDIRECT(Z$4))+SUMIF(INDIRECT(Z$3),'Struktur Aktuell'!$D130,INDIRECT(Z$5)))</f>
        <v>1486.29</v>
      </c>
      <c r="AA130" s="593">
        <f ca="1">$E130*(-SUMIF(INDIRECT(AA$3),'Struktur Aktuell'!$D130,INDIRECT(AA$4))+SUMIF(INDIRECT(AA$3),'Struktur Aktuell'!$D130,INDIRECT(AA$5)))</f>
        <v>1486.29</v>
      </c>
      <c r="AB130" s="593">
        <f ca="1">$E130*(-SUMIF(INDIRECT(AB$3),'Struktur Aktuell'!$D130,INDIRECT(AB$4))+SUMIF(INDIRECT(AB$3),'Struktur Aktuell'!$D130,INDIRECT(AB$5)))</f>
        <v>1486.29</v>
      </c>
      <c r="AC130" s="593">
        <f ca="1">$E130*(-SUMIF(INDIRECT(AC$3),'Struktur Aktuell'!$D130,INDIRECT(AC$4))+SUMIF(INDIRECT(AC$3),'Struktur Aktuell'!$D130,INDIRECT(AC$5)))</f>
        <v>0</v>
      </c>
      <c r="AD130" s="593">
        <f ca="1">$E130*(-SUMIF(INDIRECT(AD$3),'Struktur Aktuell'!$D130,INDIRECT(AD$4))+SUMIF(INDIRECT(AD$3),'Struktur Aktuell'!$D130,INDIRECT(AD$5)))</f>
        <v>0</v>
      </c>
      <c r="AE130" s="593">
        <f t="shared" ca="1" si="175"/>
        <v>247.72</v>
      </c>
      <c r="AF130" s="593">
        <f t="shared" ca="1" si="176"/>
        <v>495.43</v>
      </c>
      <c r="AG130" s="593">
        <f t="shared" ca="1" si="177"/>
        <v>743.15</v>
      </c>
      <c r="AH130" s="593">
        <f t="shared" ca="1" si="178"/>
        <v>990.87</v>
      </c>
      <c r="AI130" s="593">
        <f t="shared" ca="1" si="179"/>
        <v>1238.58</v>
      </c>
      <c r="AJ130" s="593">
        <f t="shared" ca="1" si="180"/>
        <v>1486.29</v>
      </c>
      <c r="AK130" s="593">
        <f t="shared" ca="1" si="181"/>
        <v>1486.29</v>
      </c>
      <c r="AL130" s="593">
        <f t="shared" ca="1" si="182"/>
        <v>1486.29</v>
      </c>
      <c r="AM130" s="593">
        <f t="shared" ca="1" si="183"/>
        <v>1486.29</v>
      </c>
      <c r="AN130" s="593">
        <f t="shared" ca="1" si="184"/>
        <v>1486.29</v>
      </c>
      <c r="AO130" s="593">
        <f t="shared" ca="1" si="185"/>
        <v>1486.29</v>
      </c>
      <c r="AP130" s="593">
        <f t="shared" ca="1" si="186"/>
        <v>1486.29</v>
      </c>
    </row>
    <row r="131" spans="1:42" s="594" customFormat="1" ht="11.25" outlineLevel="1" x14ac:dyDescent="0.2">
      <c r="A131" s="590"/>
      <c r="B131" s="591" t="str">
        <f>IF(D131&lt;&gt;"",
IF(ISERROR(MATCH(D131,'Ist Aktuell Monat 01'!A:A,0))=FALSE,INDEX('Ist Aktuell Monat 01'!B:B,MATCH(D131,'Ist Aktuell Monat 01'!A:A,0)),
IF(ISERROR(MATCH(D131,'Ist Aktuell Monat 02'!A:A,0))=FALSE,INDEX('Ist Aktuell Monat 02'!B:B,MATCH(D131,'Ist Aktuell Monat 02'!A:A,0)),
IF(ISERROR(MATCH(D131,'Ist Aktuell Monat 03'!A:A,0))=FALSE,INDEX('Ist Aktuell Monat 03'!B:B,MATCH(D131,'Ist Aktuell Monat 03'!A:A,0)),
IF(ISERROR(MATCH(D131,'Ist Aktuell Monat 04'!A:A,0))=FALSE,INDEX('Ist Aktuell Monat 04'!B:B,MATCH(D131,'Ist Aktuell Monat 04'!A:A,0)),
IF(ISERROR(MATCH(D131,'Ist Aktuell Monat 05'!A:A,0))=FALSE,INDEX('Ist Aktuell Monat 05'!B:B,MATCH(D131,'Ist Aktuell Monat 05'!A:A,0)),
IF(ISERROR(MATCH(D131,'Ist Aktuell Monat 06'!A:A,0))=FALSE,INDEX('Ist Aktuell Monat 06'!B:B,MATCH(D131,'Ist Aktuell Monat 06'!A:A,0)),
IF(ISERROR(MATCH(D131,'Ist Aktuell Monat 07'!A:A,0))=FALSE,INDEX('Ist Aktuell Monat 07'!B:B,MATCH(D131,'Ist Aktuell Monat 07'!A:A,0)),
IF(ISERROR(MATCH(D131,'Ist Aktuell Monat 08'!A:A,0))=FALSE,INDEX('Ist Aktuell Monat 08'!B:B,MATCH(D131,'Ist Aktuell Monat 08'!A:A,0)),
IF(ISERROR(MATCH(D131,'Ist Aktuell Monat 09'!A:A,0))=FALSE,INDEX('Ist Aktuell Monat 09'!B:B,MATCH(D131,'Ist Aktuell Monat 09'!A:A,0)),
IF(ISERROR(MATCH(D131,'Ist Aktuell Monat 10'!A:A,0))=FALSE,INDEX('Ist Aktuell Monat 10'!B:B,MATCH(D131,'Ist Aktuell Monat 10'!A:A,0)),
IF(ISERROR(MATCH(D131,'Ist Aktuell Monat 11'!A:A,0))=FALSE,INDEX('Ist Aktuell Monat 11'!B:B,MATCH(D131,'Ist Aktuell Monat 11'!A:A,0)),
IF(ISERROR(MATCH(D131,'Ist Aktuell Monat 12'!A:A,0))=FALSE,INDEX('Ist Aktuell Monat 12'!B:B,MATCH(D131,'Ist Aktuell Monat 12'!A:A,0)),
"{Konto unbekannt}"
)))))))))))),"")</f>
        <v>AG-Ant. SV  Website &amp; Softwareprodukte</v>
      </c>
      <c r="C131" s="591"/>
      <c r="D131" s="590">
        <v>4134</v>
      </c>
      <c r="E131" s="592">
        <f t="shared" si="171"/>
        <v>1</v>
      </c>
      <c r="F131" s="590"/>
      <c r="G131" s="593">
        <f ca="1">$E131*(-SUMIF(INDIRECT(G$3),'Struktur Aktuell'!$D131,INDIRECT(G$4))+SUMIF(INDIRECT(G$3),'Struktur Aktuell'!$D131,INDIRECT(G$5)))</f>
        <v>416.85</v>
      </c>
      <c r="H131" s="593">
        <f ca="1">$E131*(-SUMIF(INDIRECT(H$3),'Struktur Aktuell'!$D131,INDIRECT(H$4))+SUMIF(INDIRECT(H$3),'Struktur Aktuell'!$D131,INDIRECT(H$5)))</f>
        <v>416.86</v>
      </c>
      <c r="I131" s="593">
        <f ca="1">$E131*(-SUMIF(INDIRECT(I$3),'Struktur Aktuell'!$D131,INDIRECT(I$4))+SUMIF(INDIRECT(I$3),'Struktur Aktuell'!$D131,INDIRECT(I$5)))</f>
        <v>416.86</v>
      </c>
      <c r="J131" s="593">
        <f ca="1">$E131*(-SUMIF(INDIRECT(J$3),'Struktur Aktuell'!$D131,INDIRECT(J$4))+SUMIF(INDIRECT(J$3),'Struktur Aktuell'!$D131,INDIRECT(J$5)))</f>
        <v>416.86</v>
      </c>
      <c r="K131" s="593">
        <f ca="1">$E131*(-SUMIF(INDIRECT(K$3),'Struktur Aktuell'!$D131,INDIRECT(K$4))+SUMIF(INDIRECT(K$3),'Struktur Aktuell'!$D131,INDIRECT(K$5)))</f>
        <v>247.72</v>
      </c>
      <c r="L131" s="593">
        <f ca="1">$E131*(-SUMIF(INDIRECT(L$3),'Struktur Aktuell'!$D131,INDIRECT(L$4))+SUMIF(INDIRECT(L$3),'Struktur Aktuell'!$D131,INDIRECT(L$5)))</f>
        <v>455.06</v>
      </c>
      <c r="M131" s="593">
        <f ca="1">$E131*(-SUMIF(INDIRECT(M$3),'Struktur Aktuell'!$D131,INDIRECT(M$4))+SUMIF(INDIRECT(M$3),'Struktur Aktuell'!$D131,INDIRECT(M$5)))</f>
        <v>0</v>
      </c>
      <c r="N131" s="593">
        <f ca="1">$E131*(-SUMIF(INDIRECT(N$3),'Struktur Aktuell'!$D131,INDIRECT(N$4))+SUMIF(INDIRECT(N$3),'Struktur Aktuell'!$D131,INDIRECT(N$5)))</f>
        <v>0</v>
      </c>
      <c r="O131" s="593">
        <f ca="1">$E131*(-SUMIF(INDIRECT(O$3),'Struktur Aktuell'!$D131,INDIRECT(O$4))+SUMIF(INDIRECT(O$3),'Struktur Aktuell'!$D131,INDIRECT(O$5)))</f>
        <v>0</v>
      </c>
      <c r="P131" s="593">
        <f ca="1">$E131*(-SUMIF(INDIRECT(P$3),'Struktur Aktuell'!$D131,INDIRECT(P$4))+SUMIF(INDIRECT(P$3),'Struktur Aktuell'!$D131,INDIRECT(P$5)))</f>
        <v>0</v>
      </c>
      <c r="Q131" s="593">
        <f ca="1">$E131*(-SUMIF(INDIRECT(Q$3),'Struktur Aktuell'!$D131,INDIRECT(Q$4))+SUMIF(INDIRECT(Q$3),'Struktur Aktuell'!$D131,INDIRECT(Q$5)))</f>
        <v>0</v>
      </c>
      <c r="R131" s="593">
        <f ca="1">$E131*(-SUMIF(INDIRECT(R$3),'Struktur Aktuell'!$D131,INDIRECT(R$4))+SUMIF(INDIRECT(R$3),'Struktur Aktuell'!$D131,INDIRECT(R$5)))</f>
        <v>0</v>
      </c>
      <c r="S131" s="593">
        <f ca="1">$E131*(-SUMIF(INDIRECT(S$3),'Struktur Aktuell'!$D131,INDIRECT(S$4))+SUMIF(INDIRECT(S$3),'Struktur Aktuell'!$D131,INDIRECT(S$5)))</f>
        <v>416.85</v>
      </c>
      <c r="T131" s="593">
        <f ca="1">$E131*(-SUMIF(INDIRECT(T$3),'Struktur Aktuell'!$D131,INDIRECT(T$4))+SUMIF(INDIRECT(T$3),'Struktur Aktuell'!$D131,INDIRECT(T$5)))</f>
        <v>833.71</v>
      </c>
      <c r="U131" s="593">
        <f ca="1">$E131*(-SUMIF(INDIRECT(U$3),'Struktur Aktuell'!$D131,INDIRECT(U$4))+SUMIF(INDIRECT(U$3),'Struktur Aktuell'!$D131,INDIRECT(U$5)))</f>
        <v>1250.57</v>
      </c>
      <c r="V131" s="593">
        <f ca="1">$E131*(-SUMIF(INDIRECT(V$3),'Struktur Aktuell'!$D131,INDIRECT(V$4))+SUMIF(INDIRECT(V$3),'Struktur Aktuell'!$D131,INDIRECT(V$5)))</f>
        <v>1667.43</v>
      </c>
      <c r="W131" s="593">
        <f ca="1">$E131*(-SUMIF(INDIRECT(W$3),'Struktur Aktuell'!$D131,INDIRECT(W$4))+SUMIF(INDIRECT(W$3),'Struktur Aktuell'!$D131,INDIRECT(W$5)))</f>
        <v>1915.15</v>
      </c>
      <c r="X131" s="593">
        <f ca="1">$E131*(-SUMIF(INDIRECT(X$3),'Struktur Aktuell'!$D131,INDIRECT(X$4))+SUMIF(INDIRECT(X$3),'Struktur Aktuell'!$D131,INDIRECT(X$5)))</f>
        <v>2370.21</v>
      </c>
      <c r="Y131" s="593">
        <f ca="1">$E131*(-SUMIF(INDIRECT(Y$3),'Struktur Aktuell'!$D131,INDIRECT(Y$4))+SUMIF(INDIRECT(Y$3),'Struktur Aktuell'!$D131,INDIRECT(Y$5)))</f>
        <v>2370.21</v>
      </c>
      <c r="Z131" s="593">
        <f ca="1">$E131*(-SUMIF(INDIRECT(Z$3),'Struktur Aktuell'!$D131,INDIRECT(Z$4))+SUMIF(INDIRECT(Z$3),'Struktur Aktuell'!$D131,INDIRECT(Z$5)))</f>
        <v>2370.21</v>
      </c>
      <c r="AA131" s="593">
        <f ca="1">$E131*(-SUMIF(INDIRECT(AA$3),'Struktur Aktuell'!$D131,INDIRECT(AA$4))+SUMIF(INDIRECT(AA$3),'Struktur Aktuell'!$D131,INDIRECT(AA$5)))</f>
        <v>2370.21</v>
      </c>
      <c r="AB131" s="593">
        <f ca="1">$E131*(-SUMIF(INDIRECT(AB$3),'Struktur Aktuell'!$D131,INDIRECT(AB$4))+SUMIF(INDIRECT(AB$3),'Struktur Aktuell'!$D131,INDIRECT(AB$5)))</f>
        <v>2370.21</v>
      </c>
      <c r="AC131" s="593">
        <f ca="1">$E131*(-SUMIF(INDIRECT(AC$3),'Struktur Aktuell'!$D131,INDIRECT(AC$4))+SUMIF(INDIRECT(AC$3),'Struktur Aktuell'!$D131,INDIRECT(AC$5)))</f>
        <v>0</v>
      </c>
      <c r="AD131" s="593">
        <f ca="1">$E131*(-SUMIF(INDIRECT(AD$3),'Struktur Aktuell'!$D131,INDIRECT(AD$4))+SUMIF(INDIRECT(AD$3),'Struktur Aktuell'!$D131,INDIRECT(AD$5)))</f>
        <v>0</v>
      </c>
      <c r="AE131" s="593">
        <f t="shared" ca="1" si="175"/>
        <v>416.85</v>
      </c>
      <c r="AF131" s="593">
        <f t="shared" ca="1" si="176"/>
        <v>833.71</v>
      </c>
      <c r="AG131" s="593">
        <f t="shared" ca="1" si="177"/>
        <v>1250.5700000000002</v>
      </c>
      <c r="AH131" s="593">
        <f t="shared" ca="1" si="178"/>
        <v>1667.4300000000003</v>
      </c>
      <c r="AI131" s="593">
        <f t="shared" ca="1" si="179"/>
        <v>1915.1500000000003</v>
      </c>
      <c r="AJ131" s="593">
        <f t="shared" ca="1" si="180"/>
        <v>2370.2100000000005</v>
      </c>
      <c r="AK131" s="593">
        <f t="shared" ca="1" si="181"/>
        <v>2370.2100000000005</v>
      </c>
      <c r="AL131" s="593">
        <f t="shared" ca="1" si="182"/>
        <v>2370.2100000000005</v>
      </c>
      <c r="AM131" s="593">
        <f t="shared" ca="1" si="183"/>
        <v>2370.2100000000005</v>
      </c>
      <c r="AN131" s="593">
        <f t="shared" ca="1" si="184"/>
        <v>2370.2100000000005</v>
      </c>
      <c r="AO131" s="593">
        <f t="shared" ca="1" si="185"/>
        <v>2370.2100000000005</v>
      </c>
      <c r="AP131" s="593">
        <f t="shared" ca="1" si="186"/>
        <v>2370.2100000000005</v>
      </c>
    </row>
    <row r="132" spans="1:42" s="594" customFormat="1" ht="11.25" outlineLevel="1" x14ac:dyDescent="0.2">
      <c r="A132" s="590"/>
      <c r="B132" s="591" t="str">
        <f>IF(D132&lt;&gt;"",
IF(ISERROR(MATCH(D132,'Ist Aktuell Monat 01'!A:A,0))=FALSE,INDEX('Ist Aktuell Monat 01'!B:B,MATCH(D132,'Ist Aktuell Monat 01'!A:A,0)),
IF(ISERROR(MATCH(D132,'Ist Aktuell Monat 02'!A:A,0))=FALSE,INDEX('Ist Aktuell Monat 02'!B:B,MATCH(D132,'Ist Aktuell Monat 02'!A:A,0)),
IF(ISERROR(MATCH(D132,'Ist Aktuell Monat 03'!A:A,0))=FALSE,INDEX('Ist Aktuell Monat 03'!B:B,MATCH(D132,'Ist Aktuell Monat 03'!A:A,0)),
IF(ISERROR(MATCH(D132,'Ist Aktuell Monat 04'!A:A,0))=FALSE,INDEX('Ist Aktuell Monat 04'!B:B,MATCH(D132,'Ist Aktuell Monat 04'!A:A,0)),
IF(ISERROR(MATCH(D132,'Ist Aktuell Monat 05'!A:A,0))=FALSE,INDEX('Ist Aktuell Monat 05'!B:B,MATCH(D132,'Ist Aktuell Monat 05'!A:A,0)),
IF(ISERROR(MATCH(D132,'Ist Aktuell Monat 06'!A:A,0))=FALSE,INDEX('Ist Aktuell Monat 06'!B:B,MATCH(D132,'Ist Aktuell Monat 06'!A:A,0)),
IF(ISERROR(MATCH(D132,'Ist Aktuell Monat 07'!A:A,0))=FALSE,INDEX('Ist Aktuell Monat 07'!B:B,MATCH(D132,'Ist Aktuell Monat 07'!A:A,0)),
IF(ISERROR(MATCH(D132,'Ist Aktuell Monat 08'!A:A,0))=FALSE,INDEX('Ist Aktuell Monat 08'!B:B,MATCH(D132,'Ist Aktuell Monat 08'!A:A,0)),
IF(ISERROR(MATCH(D132,'Ist Aktuell Monat 09'!A:A,0))=FALSE,INDEX('Ist Aktuell Monat 09'!B:B,MATCH(D132,'Ist Aktuell Monat 09'!A:A,0)),
IF(ISERROR(MATCH(D132,'Ist Aktuell Monat 10'!A:A,0))=FALSE,INDEX('Ist Aktuell Monat 10'!B:B,MATCH(D132,'Ist Aktuell Monat 10'!A:A,0)),
IF(ISERROR(MATCH(D132,'Ist Aktuell Monat 11'!A:A,0))=FALSE,INDEX('Ist Aktuell Monat 11'!B:B,MATCH(D132,'Ist Aktuell Monat 11'!A:A,0)),
IF(ISERROR(MATCH(D132,'Ist Aktuell Monat 12'!A:A,0))=FALSE,INDEX('Ist Aktuell Monat 12'!B:B,MATCH(D132,'Ist Aktuell Monat 12'!A:A,0)),
"{Konto unbekannt}"
)))))))))))),"")</f>
        <v xml:space="preserve">AG-Ant. SV Datenbanken / Behörden </v>
      </c>
      <c r="C132" s="591"/>
      <c r="D132" s="590">
        <v>4135</v>
      </c>
      <c r="E132" s="592">
        <f t="shared" si="171"/>
        <v>1</v>
      </c>
      <c r="F132" s="590"/>
      <c r="G132" s="593">
        <f ca="1">$E132*(-SUMIF(INDIRECT(G$3),'Struktur Aktuell'!$D132,INDIRECT(G$4))+SUMIF(INDIRECT(G$3),'Struktur Aktuell'!$D132,INDIRECT(G$5)))</f>
        <v>1142.8</v>
      </c>
      <c r="H132" s="593">
        <f ca="1">$E132*(-SUMIF(INDIRECT(H$3),'Struktur Aktuell'!$D132,INDIRECT(H$4))+SUMIF(INDIRECT(H$3),'Struktur Aktuell'!$D132,INDIRECT(H$5)))</f>
        <v>706.18</v>
      </c>
      <c r="I132" s="593">
        <f ca="1">$E132*(-SUMIF(INDIRECT(I$3),'Struktur Aktuell'!$D132,INDIRECT(I$4))+SUMIF(INDIRECT(I$3),'Struktur Aktuell'!$D132,INDIRECT(I$5)))</f>
        <v>1092.8800000000001</v>
      </c>
      <c r="J132" s="593">
        <f ca="1">$E132*(-SUMIF(INDIRECT(J$3),'Struktur Aktuell'!$D132,INDIRECT(J$4))+SUMIF(INDIRECT(J$3),'Struktur Aktuell'!$D132,INDIRECT(J$5)))</f>
        <v>1092.8800000000001</v>
      </c>
      <c r="K132" s="593">
        <f ca="1">$E132*(-SUMIF(INDIRECT(K$3),'Struktur Aktuell'!$D132,INDIRECT(K$4))+SUMIF(INDIRECT(K$3),'Struktur Aktuell'!$D132,INDIRECT(K$5)))</f>
        <v>1092.8800000000001</v>
      </c>
      <c r="L132" s="593">
        <f ca="1">$E132*(-SUMIF(INDIRECT(L$3),'Struktur Aktuell'!$D132,INDIRECT(L$4))+SUMIF(INDIRECT(L$3),'Struktur Aktuell'!$D132,INDIRECT(L$5)))</f>
        <v>1035.1400000000001</v>
      </c>
      <c r="M132" s="593">
        <f ca="1">$E132*(-SUMIF(INDIRECT(M$3),'Struktur Aktuell'!$D132,INDIRECT(M$4))+SUMIF(INDIRECT(M$3),'Struktur Aktuell'!$D132,INDIRECT(M$5)))</f>
        <v>-523.41999999999996</v>
      </c>
      <c r="N132" s="593">
        <f ca="1">$E132*(-SUMIF(INDIRECT(N$3),'Struktur Aktuell'!$D132,INDIRECT(N$4))+SUMIF(INDIRECT(N$3),'Struktur Aktuell'!$D132,INDIRECT(N$5)))</f>
        <v>829.35</v>
      </c>
      <c r="O132" s="593">
        <f ca="1">$E132*(-SUMIF(INDIRECT(O$3),'Struktur Aktuell'!$D132,INDIRECT(O$4))+SUMIF(INDIRECT(O$3),'Struktur Aktuell'!$D132,INDIRECT(O$5)))</f>
        <v>829.35</v>
      </c>
      <c r="P132" s="593">
        <f ca="1">$E132*(-SUMIF(INDIRECT(P$3),'Struktur Aktuell'!$D132,INDIRECT(P$4))+SUMIF(INDIRECT(P$3),'Struktur Aktuell'!$D132,INDIRECT(P$5)))</f>
        <v>829.35</v>
      </c>
      <c r="Q132" s="593">
        <f ca="1">$E132*(-SUMIF(INDIRECT(Q$3),'Struktur Aktuell'!$D132,INDIRECT(Q$4))+SUMIF(INDIRECT(Q$3),'Struktur Aktuell'!$D132,INDIRECT(Q$5)))</f>
        <v>0</v>
      </c>
      <c r="R132" s="593">
        <f ca="1">$E132*(-SUMIF(INDIRECT(R$3),'Struktur Aktuell'!$D132,INDIRECT(R$4))+SUMIF(INDIRECT(R$3),'Struktur Aktuell'!$D132,INDIRECT(R$5)))</f>
        <v>0</v>
      </c>
      <c r="S132" s="593">
        <f ca="1">$E132*(-SUMIF(INDIRECT(S$3),'Struktur Aktuell'!$D132,INDIRECT(S$4))+SUMIF(INDIRECT(S$3),'Struktur Aktuell'!$D132,INDIRECT(S$5)))</f>
        <v>1142.8</v>
      </c>
      <c r="T132" s="593">
        <f ca="1">$E132*(-SUMIF(INDIRECT(T$3),'Struktur Aktuell'!$D132,INDIRECT(T$4))+SUMIF(INDIRECT(T$3),'Struktur Aktuell'!$D132,INDIRECT(T$5)))</f>
        <v>1848.98</v>
      </c>
      <c r="U132" s="593">
        <f ca="1">$E132*(-SUMIF(INDIRECT(U$3),'Struktur Aktuell'!$D132,INDIRECT(U$4))+SUMIF(INDIRECT(U$3),'Struktur Aktuell'!$D132,INDIRECT(U$5)))</f>
        <v>2941.86</v>
      </c>
      <c r="V132" s="593">
        <f ca="1">$E132*(-SUMIF(INDIRECT(V$3),'Struktur Aktuell'!$D132,INDIRECT(V$4))+SUMIF(INDIRECT(V$3),'Struktur Aktuell'!$D132,INDIRECT(V$5)))</f>
        <v>4034.74</v>
      </c>
      <c r="W132" s="593">
        <f ca="1">$E132*(-SUMIF(INDIRECT(W$3),'Struktur Aktuell'!$D132,INDIRECT(W$4))+SUMIF(INDIRECT(W$3),'Struktur Aktuell'!$D132,INDIRECT(W$5)))</f>
        <v>5127.62</v>
      </c>
      <c r="X132" s="593">
        <f ca="1">$E132*(-SUMIF(INDIRECT(X$3),'Struktur Aktuell'!$D132,INDIRECT(X$4))+SUMIF(INDIRECT(X$3),'Struktur Aktuell'!$D132,INDIRECT(X$5)))</f>
        <v>6162.76</v>
      </c>
      <c r="Y132" s="593">
        <f ca="1">$E132*(-SUMIF(INDIRECT(Y$3),'Struktur Aktuell'!$D132,INDIRECT(Y$4))+SUMIF(INDIRECT(Y$3),'Struktur Aktuell'!$D132,INDIRECT(Y$5)))</f>
        <v>5639.34</v>
      </c>
      <c r="Z132" s="593">
        <f ca="1">$E132*(-SUMIF(INDIRECT(Z$3),'Struktur Aktuell'!$D132,INDIRECT(Z$4))+SUMIF(INDIRECT(Z$3),'Struktur Aktuell'!$D132,INDIRECT(Z$5)))</f>
        <v>6468.69</v>
      </c>
      <c r="AA132" s="593">
        <f ca="1">$E132*(-SUMIF(INDIRECT(AA$3),'Struktur Aktuell'!$D132,INDIRECT(AA$4))+SUMIF(INDIRECT(AA$3),'Struktur Aktuell'!$D132,INDIRECT(AA$5)))</f>
        <v>7298.04</v>
      </c>
      <c r="AB132" s="593">
        <f ca="1">$E132*(-SUMIF(INDIRECT(AB$3),'Struktur Aktuell'!$D132,INDIRECT(AB$4))+SUMIF(INDIRECT(AB$3),'Struktur Aktuell'!$D132,INDIRECT(AB$5)))</f>
        <v>8127.39</v>
      </c>
      <c r="AC132" s="593">
        <f ca="1">$E132*(-SUMIF(INDIRECT(AC$3),'Struktur Aktuell'!$D132,INDIRECT(AC$4))+SUMIF(INDIRECT(AC$3),'Struktur Aktuell'!$D132,INDIRECT(AC$5)))</f>
        <v>0</v>
      </c>
      <c r="AD132" s="593">
        <f ca="1">$E132*(-SUMIF(INDIRECT(AD$3),'Struktur Aktuell'!$D132,INDIRECT(AD$4))+SUMIF(INDIRECT(AD$3),'Struktur Aktuell'!$D132,INDIRECT(AD$5)))</f>
        <v>0</v>
      </c>
      <c r="AE132" s="593">
        <f t="shared" ca="1" si="175"/>
        <v>1142.8</v>
      </c>
      <c r="AF132" s="593">
        <f t="shared" ca="1" si="176"/>
        <v>1848.98</v>
      </c>
      <c r="AG132" s="593">
        <f t="shared" ca="1" si="177"/>
        <v>2941.86</v>
      </c>
      <c r="AH132" s="593">
        <f t="shared" ca="1" si="178"/>
        <v>4034.7400000000002</v>
      </c>
      <c r="AI132" s="593">
        <f t="shared" ca="1" si="179"/>
        <v>5127.6200000000008</v>
      </c>
      <c r="AJ132" s="593">
        <f t="shared" ca="1" si="180"/>
        <v>6162.7600000000011</v>
      </c>
      <c r="AK132" s="593">
        <f t="shared" ca="1" si="181"/>
        <v>5639.3400000000011</v>
      </c>
      <c r="AL132" s="593">
        <f t="shared" ca="1" si="182"/>
        <v>6468.6900000000014</v>
      </c>
      <c r="AM132" s="593">
        <f t="shared" ca="1" si="183"/>
        <v>7298.0400000000018</v>
      </c>
      <c r="AN132" s="593">
        <f t="shared" ca="1" si="184"/>
        <v>8127.3900000000021</v>
      </c>
      <c r="AO132" s="593">
        <f t="shared" ca="1" si="185"/>
        <v>8127.3900000000021</v>
      </c>
      <c r="AP132" s="593">
        <f t="shared" ca="1" si="186"/>
        <v>8127.3900000000021</v>
      </c>
    </row>
    <row r="133" spans="1:42" s="594" customFormat="1" ht="11.25" outlineLevel="1" x14ac:dyDescent="0.2">
      <c r="A133" s="590"/>
      <c r="B133" s="591" t="str">
        <f>IF(D133&lt;&gt;"",
IF(ISERROR(MATCH(D133,'Ist Aktuell Monat 01'!A:A,0))=FALSE,INDEX('Ist Aktuell Monat 01'!B:B,MATCH(D133,'Ist Aktuell Monat 01'!A:A,0)),
IF(ISERROR(MATCH(D133,'Ist Aktuell Monat 02'!A:A,0))=FALSE,INDEX('Ist Aktuell Monat 02'!B:B,MATCH(D133,'Ist Aktuell Monat 02'!A:A,0)),
IF(ISERROR(MATCH(D133,'Ist Aktuell Monat 03'!A:A,0))=FALSE,INDEX('Ist Aktuell Monat 03'!B:B,MATCH(D133,'Ist Aktuell Monat 03'!A:A,0)),
IF(ISERROR(MATCH(D133,'Ist Aktuell Monat 04'!A:A,0))=FALSE,INDEX('Ist Aktuell Monat 04'!B:B,MATCH(D133,'Ist Aktuell Monat 04'!A:A,0)),
IF(ISERROR(MATCH(D133,'Ist Aktuell Monat 05'!A:A,0))=FALSE,INDEX('Ist Aktuell Monat 05'!B:B,MATCH(D133,'Ist Aktuell Monat 05'!A:A,0)),
IF(ISERROR(MATCH(D133,'Ist Aktuell Monat 06'!A:A,0))=FALSE,INDEX('Ist Aktuell Monat 06'!B:B,MATCH(D133,'Ist Aktuell Monat 06'!A:A,0)),
IF(ISERROR(MATCH(D133,'Ist Aktuell Monat 07'!A:A,0))=FALSE,INDEX('Ist Aktuell Monat 07'!B:B,MATCH(D133,'Ist Aktuell Monat 07'!A:A,0)),
IF(ISERROR(MATCH(D133,'Ist Aktuell Monat 08'!A:A,0))=FALSE,INDEX('Ist Aktuell Monat 08'!B:B,MATCH(D133,'Ist Aktuell Monat 08'!A:A,0)),
IF(ISERROR(MATCH(D133,'Ist Aktuell Monat 09'!A:A,0))=FALSE,INDEX('Ist Aktuell Monat 09'!B:B,MATCH(D133,'Ist Aktuell Monat 09'!A:A,0)),
IF(ISERROR(MATCH(D133,'Ist Aktuell Monat 10'!A:A,0))=FALSE,INDEX('Ist Aktuell Monat 10'!B:B,MATCH(D133,'Ist Aktuell Monat 10'!A:A,0)),
IF(ISERROR(MATCH(D133,'Ist Aktuell Monat 11'!A:A,0))=FALSE,INDEX('Ist Aktuell Monat 11'!B:B,MATCH(D133,'Ist Aktuell Monat 11'!A:A,0)),
IF(ISERROR(MATCH(D133,'Ist Aktuell Monat 12'!A:A,0))=FALSE,INDEX('Ist Aktuell Monat 12'!B:B,MATCH(D133,'Ist Aktuell Monat 12'!A:A,0)),
"{Konto unbekannt}"
)))))))))))),"")</f>
        <v>Beiträge zur Berufsgenossenschaft</v>
      </c>
      <c r="C133" s="591"/>
      <c r="D133" s="590">
        <v>4138</v>
      </c>
      <c r="E133" s="592">
        <f t="shared" si="171"/>
        <v>1</v>
      </c>
      <c r="F133" s="590"/>
      <c r="G133" s="593">
        <f ca="1">$E133*(-SUMIF(INDIRECT(G$3),'Struktur Aktuell'!$D133,INDIRECT(G$4))+SUMIF(INDIRECT(G$3),'Struktur Aktuell'!$D133,INDIRECT(G$5)))</f>
        <v>0</v>
      </c>
      <c r="H133" s="593">
        <f ca="1">$E133*(-SUMIF(INDIRECT(H$3),'Struktur Aktuell'!$D133,INDIRECT(H$4))+SUMIF(INDIRECT(H$3),'Struktur Aktuell'!$D133,INDIRECT(H$5)))</f>
        <v>0</v>
      </c>
      <c r="I133" s="593">
        <f ca="1">$E133*(-SUMIF(INDIRECT(I$3),'Struktur Aktuell'!$D133,INDIRECT(I$4))+SUMIF(INDIRECT(I$3),'Struktur Aktuell'!$D133,INDIRECT(I$5)))</f>
        <v>0</v>
      </c>
      <c r="J133" s="593">
        <f ca="1">$E133*(-SUMIF(INDIRECT(J$3),'Struktur Aktuell'!$D133,INDIRECT(J$4))+SUMIF(INDIRECT(J$3),'Struktur Aktuell'!$D133,INDIRECT(J$5)))</f>
        <v>262.45999999999998</v>
      </c>
      <c r="K133" s="593">
        <f ca="1">$E133*(-SUMIF(INDIRECT(K$3),'Struktur Aktuell'!$D133,INDIRECT(K$4))+SUMIF(INDIRECT(K$3),'Struktur Aktuell'!$D133,INDIRECT(K$5)))</f>
        <v>0</v>
      </c>
      <c r="L133" s="593">
        <f ca="1">$E133*(-SUMIF(INDIRECT(L$3),'Struktur Aktuell'!$D133,INDIRECT(L$4))+SUMIF(INDIRECT(L$3),'Struktur Aktuell'!$D133,INDIRECT(L$5)))</f>
        <v>0</v>
      </c>
      <c r="M133" s="593">
        <f ca="1">$E133*(-SUMIF(INDIRECT(M$3),'Struktur Aktuell'!$D133,INDIRECT(M$4))+SUMIF(INDIRECT(M$3),'Struktur Aktuell'!$D133,INDIRECT(M$5)))</f>
        <v>0</v>
      </c>
      <c r="N133" s="593">
        <f ca="1">$E133*(-SUMIF(INDIRECT(N$3),'Struktur Aktuell'!$D133,INDIRECT(N$4))+SUMIF(INDIRECT(N$3),'Struktur Aktuell'!$D133,INDIRECT(N$5)))</f>
        <v>0</v>
      </c>
      <c r="O133" s="593">
        <f ca="1">$E133*(-SUMIF(INDIRECT(O$3),'Struktur Aktuell'!$D133,INDIRECT(O$4))+SUMIF(INDIRECT(O$3),'Struktur Aktuell'!$D133,INDIRECT(O$5)))</f>
        <v>0</v>
      </c>
      <c r="P133" s="593">
        <f ca="1">$E133*(-SUMIF(INDIRECT(P$3),'Struktur Aktuell'!$D133,INDIRECT(P$4))+SUMIF(INDIRECT(P$3),'Struktur Aktuell'!$D133,INDIRECT(P$5)))</f>
        <v>0</v>
      </c>
      <c r="Q133" s="593">
        <f ca="1">$E133*(-SUMIF(INDIRECT(Q$3),'Struktur Aktuell'!$D133,INDIRECT(Q$4))+SUMIF(INDIRECT(Q$3),'Struktur Aktuell'!$D133,INDIRECT(Q$5)))</f>
        <v>0</v>
      </c>
      <c r="R133" s="593">
        <f ca="1">$E133*(-SUMIF(INDIRECT(R$3),'Struktur Aktuell'!$D133,INDIRECT(R$4))+SUMIF(INDIRECT(R$3),'Struktur Aktuell'!$D133,INDIRECT(R$5)))</f>
        <v>0</v>
      </c>
      <c r="S133" s="593">
        <f ca="1">$E133*(-SUMIF(INDIRECT(S$3),'Struktur Aktuell'!$D133,INDIRECT(S$4))+SUMIF(INDIRECT(S$3),'Struktur Aktuell'!$D133,INDIRECT(S$5)))</f>
        <v>0</v>
      </c>
      <c r="T133" s="593">
        <f ca="1">$E133*(-SUMIF(INDIRECT(T$3),'Struktur Aktuell'!$D133,INDIRECT(T$4))+SUMIF(INDIRECT(T$3),'Struktur Aktuell'!$D133,INDIRECT(T$5)))</f>
        <v>0</v>
      </c>
      <c r="U133" s="593">
        <f ca="1">$E133*(-SUMIF(INDIRECT(U$3),'Struktur Aktuell'!$D133,INDIRECT(U$4))+SUMIF(INDIRECT(U$3),'Struktur Aktuell'!$D133,INDIRECT(U$5)))</f>
        <v>0</v>
      </c>
      <c r="V133" s="593">
        <f ca="1">$E133*(-SUMIF(INDIRECT(V$3),'Struktur Aktuell'!$D133,INDIRECT(V$4))+SUMIF(INDIRECT(V$3),'Struktur Aktuell'!$D133,INDIRECT(V$5)))</f>
        <v>262.45999999999998</v>
      </c>
      <c r="W133" s="593">
        <f ca="1">$E133*(-SUMIF(INDIRECT(W$3),'Struktur Aktuell'!$D133,INDIRECT(W$4))+SUMIF(INDIRECT(W$3),'Struktur Aktuell'!$D133,INDIRECT(W$5)))</f>
        <v>262.45999999999998</v>
      </c>
      <c r="X133" s="593">
        <f ca="1">$E133*(-SUMIF(INDIRECT(X$3),'Struktur Aktuell'!$D133,INDIRECT(X$4))+SUMIF(INDIRECT(X$3),'Struktur Aktuell'!$D133,INDIRECT(X$5)))</f>
        <v>262.45999999999998</v>
      </c>
      <c r="Y133" s="593">
        <f ca="1">$E133*(-SUMIF(INDIRECT(Y$3),'Struktur Aktuell'!$D133,INDIRECT(Y$4))+SUMIF(INDIRECT(Y$3),'Struktur Aktuell'!$D133,INDIRECT(Y$5)))</f>
        <v>262.45999999999998</v>
      </c>
      <c r="Z133" s="593">
        <f ca="1">$E133*(-SUMIF(INDIRECT(Z$3),'Struktur Aktuell'!$D133,INDIRECT(Z$4))+SUMIF(INDIRECT(Z$3),'Struktur Aktuell'!$D133,INDIRECT(Z$5)))</f>
        <v>262.45999999999998</v>
      </c>
      <c r="AA133" s="593">
        <f ca="1">$E133*(-SUMIF(INDIRECT(AA$3),'Struktur Aktuell'!$D133,INDIRECT(AA$4))+SUMIF(INDIRECT(AA$3),'Struktur Aktuell'!$D133,INDIRECT(AA$5)))</f>
        <v>262.45999999999998</v>
      </c>
      <c r="AB133" s="593">
        <f ca="1">$E133*(-SUMIF(INDIRECT(AB$3),'Struktur Aktuell'!$D133,INDIRECT(AB$4))+SUMIF(INDIRECT(AB$3),'Struktur Aktuell'!$D133,INDIRECT(AB$5)))</f>
        <v>262.45999999999998</v>
      </c>
      <c r="AC133" s="593">
        <f ca="1">$E133*(-SUMIF(INDIRECT(AC$3),'Struktur Aktuell'!$D133,INDIRECT(AC$4))+SUMIF(INDIRECT(AC$3),'Struktur Aktuell'!$D133,INDIRECT(AC$5)))</f>
        <v>0</v>
      </c>
      <c r="AD133" s="593">
        <f ca="1">$E133*(-SUMIF(INDIRECT(AD$3),'Struktur Aktuell'!$D133,INDIRECT(AD$4))+SUMIF(INDIRECT(AD$3),'Struktur Aktuell'!$D133,INDIRECT(AD$5)))</f>
        <v>0</v>
      </c>
      <c r="AE133" s="593">
        <f t="shared" ca="1" si="175"/>
        <v>0</v>
      </c>
      <c r="AF133" s="593">
        <f t="shared" ca="1" si="176"/>
        <v>0</v>
      </c>
      <c r="AG133" s="593">
        <f t="shared" ca="1" si="177"/>
        <v>0</v>
      </c>
      <c r="AH133" s="593">
        <f t="shared" ca="1" si="178"/>
        <v>262.45999999999998</v>
      </c>
      <c r="AI133" s="593">
        <f t="shared" ca="1" si="179"/>
        <v>262.45999999999998</v>
      </c>
      <c r="AJ133" s="593">
        <f t="shared" ca="1" si="180"/>
        <v>262.45999999999998</v>
      </c>
      <c r="AK133" s="593">
        <f t="shared" ca="1" si="181"/>
        <v>262.45999999999998</v>
      </c>
      <c r="AL133" s="593">
        <f t="shared" ca="1" si="182"/>
        <v>262.45999999999998</v>
      </c>
      <c r="AM133" s="593">
        <f t="shared" ca="1" si="183"/>
        <v>262.45999999999998</v>
      </c>
      <c r="AN133" s="593">
        <f t="shared" ca="1" si="184"/>
        <v>262.45999999999998</v>
      </c>
      <c r="AO133" s="593">
        <f t="shared" ca="1" si="185"/>
        <v>262.45999999999998</v>
      </c>
      <c r="AP133" s="593">
        <f t="shared" ca="1" si="186"/>
        <v>262.45999999999998</v>
      </c>
    </row>
    <row r="134" spans="1:42" s="594" customFormat="1" ht="11.25" outlineLevel="1" x14ac:dyDescent="0.2">
      <c r="A134" s="590"/>
      <c r="B134" s="591" t="str">
        <f>IF(D134&lt;&gt;"",
IF(ISERROR(MATCH(D134,'Ist Aktuell Monat 01'!A:A,0))=FALSE,INDEX('Ist Aktuell Monat 01'!B:B,MATCH(D134,'Ist Aktuell Monat 01'!A:A,0)),
IF(ISERROR(MATCH(D134,'Ist Aktuell Monat 02'!A:A,0))=FALSE,INDEX('Ist Aktuell Monat 02'!B:B,MATCH(D134,'Ist Aktuell Monat 02'!A:A,0)),
IF(ISERROR(MATCH(D134,'Ist Aktuell Monat 03'!A:A,0))=FALSE,INDEX('Ist Aktuell Monat 03'!B:B,MATCH(D134,'Ist Aktuell Monat 03'!A:A,0)),
IF(ISERROR(MATCH(D134,'Ist Aktuell Monat 04'!A:A,0))=FALSE,INDEX('Ist Aktuell Monat 04'!B:B,MATCH(D134,'Ist Aktuell Monat 04'!A:A,0)),
IF(ISERROR(MATCH(D134,'Ist Aktuell Monat 05'!A:A,0))=FALSE,INDEX('Ist Aktuell Monat 05'!B:B,MATCH(D134,'Ist Aktuell Monat 05'!A:A,0)),
IF(ISERROR(MATCH(D134,'Ist Aktuell Monat 06'!A:A,0))=FALSE,INDEX('Ist Aktuell Monat 06'!B:B,MATCH(D134,'Ist Aktuell Monat 06'!A:A,0)),
IF(ISERROR(MATCH(D134,'Ist Aktuell Monat 07'!A:A,0))=FALSE,INDEX('Ist Aktuell Monat 07'!B:B,MATCH(D134,'Ist Aktuell Monat 07'!A:A,0)),
IF(ISERROR(MATCH(D134,'Ist Aktuell Monat 08'!A:A,0))=FALSE,INDEX('Ist Aktuell Monat 08'!B:B,MATCH(D134,'Ist Aktuell Monat 08'!A:A,0)),
IF(ISERROR(MATCH(D134,'Ist Aktuell Monat 09'!A:A,0))=FALSE,INDEX('Ist Aktuell Monat 09'!B:B,MATCH(D134,'Ist Aktuell Monat 09'!A:A,0)),
IF(ISERROR(MATCH(D134,'Ist Aktuell Monat 10'!A:A,0))=FALSE,INDEX('Ist Aktuell Monat 10'!B:B,MATCH(D134,'Ist Aktuell Monat 10'!A:A,0)),
IF(ISERROR(MATCH(D134,'Ist Aktuell Monat 11'!A:A,0))=FALSE,INDEX('Ist Aktuell Monat 11'!B:B,MATCH(D134,'Ist Aktuell Monat 11'!A:A,0)),
IF(ISERROR(MATCH(D134,'Ist Aktuell Monat 12'!A:A,0))=FALSE,INDEX('Ist Aktuell Monat 12'!B:B,MATCH(D134,'Ist Aktuell Monat 12'!A:A,0)),
"{Konto unbekannt}"
)))))))))))),"")</f>
        <v>Aufwendungen für Altersversorgung</v>
      </c>
      <c r="C134" s="591"/>
      <c r="D134" s="590">
        <v>4165</v>
      </c>
      <c r="E134" s="592">
        <f>IF(F134="-",-1,1)</f>
        <v>1</v>
      </c>
      <c r="F134" s="590"/>
      <c r="G134" s="593">
        <f ca="1">$E134*(-SUMIF(INDIRECT(G$3),'Struktur Aktuell'!$D134,INDIRECT(G$4))+SUMIF(INDIRECT(G$3),'Struktur Aktuell'!$D134,INDIRECT(G$5)))</f>
        <v>0</v>
      </c>
      <c r="H134" s="593">
        <f ca="1">$E134*(-SUMIF(INDIRECT(H$3),'Struktur Aktuell'!$D134,INDIRECT(H$4))+SUMIF(INDIRECT(H$3),'Struktur Aktuell'!$D134,INDIRECT(H$5)))</f>
        <v>88</v>
      </c>
      <c r="I134" s="593">
        <f ca="1">$E134*(-SUMIF(INDIRECT(I$3),'Struktur Aktuell'!$D134,INDIRECT(I$4))+SUMIF(INDIRECT(I$3),'Struktur Aktuell'!$D134,INDIRECT(I$5)))</f>
        <v>44.67</v>
      </c>
      <c r="J134" s="593">
        <f ca="1">$E134*(-SUMIF(INDIRECT(J$3),'Struktur Aktuell'!$D134,INDIRECT(J$4))+SUMIF(INDIRECT(J$3),'Struktur Aktuell'!$D134,INDIRECT(J$5)))</f>
        <v>44.67</v>
      </c>
      <c r="K134" s="593">
        <f ca="1">$E134*(-SUMIF(INDIRECT(K$3),'Struktur Aktuell'!$D134,INDIRECT(K$4))+SUMIF(INDIRECT(K$3),'Struktur Aktuell'!$D134,INDIRECT(K$5)))</f>
        <v>44.67</v>
      </c>
      <c r="L134" s="593">
        <f ca="1">$E134*(-SUMIF(INDIRECT(L$3),'Struktur Aktuell'!$D134,INDIRECT(L$4))+SUMIF(INDIRECT(L$3),'Struktur Aktuell'!$D134,INDIRECT(L$5)))</f>
        <v>44.67</v>
      </c>
      <c r="M134" s="593">
        <f ca="1">$E134*(-SUMIF(INDIRECT(M$3),'Struktur Aktuell'!$D134,INDIRECT(M$4))+SUMIF(INDIRECT(M$3),'Struktur Aktuell'!$D134,INDIRECT(M$5)))</f>
        <v>4124.8500000000004</v>
      </c>
      <c r="N134" s="593">
        <f ca="1">$E134*(-SUMIF(INDIRECT(N$3),'Struktur Aktuell'!$D134,INDIRECT(N$4))+SUMIF(INDIRECT(N$3),'Struktur Aktuell'!$D134,INDIRECT(N$5)))</f>
        <v>0</v>
      </c>
      <c r="O134" s="593">
        <f ca="1">$E134*(-SUMIF(INDIRECT(O$3),'Struktur Aktuell'!$D134,INDIRECT(O$4))+SUMIF(INDIRECT(O$3),'Struktur Aktuell'!$D134,INDIRECT(O$5)))</f>
        <v>0</v>
      </c>
      <c r="P134" s="593">
        <f ca="1">$E134*(-SUMIF(INDIRECT(P$3),'Struktur Aktuell'!$D134,INDIRECT(P$4))+SUMIF(INDIRECT(P$3),'Struktur Aktuell'!$D134,INDIRECT(P$5)))</f>
        <v>0</v>
      </c>
      <c r="Q134" s="593">
        <f ca="1">$E134*(-SUMIF(INDIRECT(Q$3),'Struktur Aktuell'!$D134,INDIRECT(Q$4))+SUMIF(INDIRECT(Q$3),'Struktur Aktuell'!$D134,INDIRECT(Q$5)))</f>
        <v>0</v>
      </c>
      <c r="R134" s="593">
        <f ca="1">$E134*(-SUMIF(INDIRECT(R$3),'Struktur Aktuell'!$D134,INDIRECT(R$4))+SUMIF(INDIRECT(R$3),'Struktur Aktuell'!$D134,INDIRECT(R$5)))</f>
        <v>0</v>
      </c>
      <c r="S134" s="593">
        <f ca="1">$E134*(-SUMIF(INDIRECT(S$3),'Struktur Aktuell'!$D134,INDIRECT(S$4))+SUMIF(INDIRECT(S$3),'Struktur Aktuell'!$D134,INDIRECT(S$5)))</f>
        <v>0</v>
      </c>
      <c r="T134" s="593">
        <f ca="1">$E134*(-SUMIF(INDIRECT(T$3),'Struktur Aktuell'!$D134,INDIRECT(T$4))+SUMIF(INDIRECT(T$3),'Struktur Aktuell'!$D134,INDIRECT(T$5)))</f>
        <v>88</v>
      </c>
      <c r="U134" s="593">
        <f ca="1">$E134*(-SUMIF(INDIRECT(U$3),'Struktur Aktuell'!$D134,INDIRECT(U$4))+SUMIF(INDIRECT(U$3),'Struktur Aktuell'!$D134,INDIRECT(U$5)))</f>
        <v>132.66999999999999</v>
      </c>
      <c r="V134" s="593">
        <f ca="1">$E134*(-SUMIF(INDIRECT(V$3),'Struktur Aktuell'!$D134,INDIRECT(V$4))+SUMIF(INDIRECT(V$3),'Struktur Aktuell'!$D134,INDIRECT(V$5)))</f>
        <v>177.34</v>
      </c>
      <c r="W134" s="593">
        <f ca="1">$E134*(-SUMIF(INDIRECT(W$3),'Struktur Aktuell'!$D134,INDIRECT(W$4))+SUMIF(INDIRECT(W$3),'Struktur Aktuell'!$D134,INDIRECT(W$5)))</f>
        <v>222.01</v>
      </c>
      <c r="X134" s="593">
        <f ca="1">$E134*(-SUMIF(INDIRECT(X$3),'Struktur Aktuell'!$D134,INDIRECT(X$4))+SUMIF(INDIRECT(X$3),'Struktur Aktuell'!$D134,INDIRECT(X$5)))</f>
        <v>266.68</v>
      </c>
      <c r="Y134" s="593">
        <f ca="1">$E134*(-SUMIF(INDIRECT(Y$3),'Struktur Aktuell'!$D134,INDIRECT(Y$4))+SUMIF(INDIRECT(Y$3),'Struktur Aktuell'!$D134,INDIRECT(Y$5)))</f>
        <v>4391.53</v>
      </c>
      <c r="Z134" s="593">
        <f ca="1">$E134*(-SUMIF(INDIRECT(Z$3),'Struktur Aktuell'!$D134,INDIRECT(Z$4))+SUMIF(INDIRECT(Z$3),'Struktur Aktuell'!$D134,INDIRECT(Z$5)))</f>
        <v>4391.53</v>
      </c>
      <c r="AA134" s="593">
        <f ca="1">$E134*(-SUMIF(INDIRECT(AA$3),'Struktur Aktuell'!$D134,INDIRECT(AA$4))+SUMIF(INDIRECT(AA$3),'Struktur Aktuell'!$D134,INDIRECT(AA$5)))</f>
        <v>4391.53</v>
      </c>
      <c r="AB134" s="593">
        <f ca="1">$E134*(-SUMIF(INDIRECT(AB$3),'Struktur Aktuell'!$D134,INDIRECT(AB$4))+SUMIF(INDIRECT(AB$3),'Struktur Aktuell'!$D134,INDIRECT(AB$5)))</f>
        <v>4391.53</v>
      </c>
      <c r="AC134" s="593">
        <f ca="1">$E134*(-SUMIF(INDIRECT(AC$3),'Struktur Aktuell'!$D134,INDIRECT(AC$4))+SUMIF(INDIRECT(AC$3),'Struktur Aktuell'!$D134,INDIRECT(AC$5)))</f>
        <v>0</v>
      </c>
      <c r="AD134" s="593">
        <f ca="1">$E134*(-SUMIF(INDIRECT(AD$3),'Struktur Aktuell'!$D134,INDIRECT(AD$4))+SUMIF(INDIRECT(AD$3),'Struktur Aktuell'!$D134,INDIRECT(AD$5)))</f>
        <v>0</v>
      </c>
      <c r="AE134" s="593">
        <f t="shared" ca="1" si="175"/>
        <v>0</v>
      </c>
      <c r="AF134" s="593">
        <f t="shared" ca="1" si="176"/>
        <v>88</v>
      </c>
      <c r="AG134" s="593">
        <f t="shared" ca="1" si="177"/>
        <v>132.67000000000002</v>
      </c>
      <c r="AH134" s="593">
        <f t="shared" ca="1" si="178"/>
        <v>177.34000000000003</v>
      </c>
      <c r="AI134" s="593">
        <f t="shared" ca="1" si="179"/>
        <v>222.01000000000005</v>
      </c>
      <c r="AJ134" s="593">
        <f t="shared" ca="1" si="180"/>
        <v>266.68000000000006</v>
      </c>
      <c r="AK134" s="593">
        <f t="shared" ca="1" si="181"/>
        <v>4391.5300000000007</v>
      </c>
      <c r="AL134" s="593">
        <f t="shared" ca="1" si="182"/>
        <v>4391.5300000000007</v>
      </c>
      <c r="AM134" s="593">
        <f t="shared" ca="1" si="183"/>
        <v>4391.5300000000007</v>
      </c>
      <c r="AN134" s="593">
        <f t="shared" ca="1" si="184"/>
        <v>4391.5300000000007</v>
      </c>
      <c r="AO134" s="593">
        <f t="shared" ca="1" si="185"/>
        <v>4391.5300000000007</v>
      </c>
      <c r="AP134" s="593">
        <f t="shared" ca="1" si="186"/>
        <v>4391.5300000000007</v>
      </c>
    </row>
    <row r="135" spans="1:42" s="594" customFormat="1" ht="11.25" outlineLevel="1" x14ac:dyDescent="0.2">
      <c r="A135" s="590"/>
      <c r="B135" s="591" t="str">
        <f>IF(D135&lt;&gt;"",
IF(ISERROR(MATCH(D135,'Ist Aktuell Monat 01'!A:A,0))=FALSE,INDEX('Ist Aktuell Monat 01'!B:B,MATCH(D135,'Ist Aktuell Monat 01'!A:A,0)),
IF(ISERROR(MATCH(D135,'Ist Aktuell Monat 02'!A:A,0))=FALSE,INDEX('Ist Aktuell Monat 02'!B:B,MATCH(D135,'Ist Aktuell Monat 02'!A:A,0)),
IF(ISERROR(MATCH(D135,'Ist Aktuell Monat 03'!A:A,0))=FALSE,INDEX('Ist Aktuell Monat 03'!B:B,MATCH(D135,'Ist Aktuell Monat 03'!A:A,0)),
IF(ISERROR(MATCH(D135,'Ist Aktuell Monat 04'!A:A,0))=FALSE,INDEX('Ist Aktuell Monat 04'!B:B,MATCH(D135,'Ist Aktuell Monat 04'!A:A,0)),
IF(ISERROR(MATCH(D135,'Ist Aktuell Monat 05'!A:A,0))=FALSE,INDEX('Ist Aktuell Monat 05'!B:B,MATCH(D135,'Ist Aktuell Monat 05'!A:A,0)),
IF(ISERROR(MATCH(D135,'Ist Aktuell Monat 06'!A:A,0))=FALSE,INDEX('Ist Aktuell Monat 06'!B:B,MATCH(D135,'Ist Aktuell Monat 06'!A:A,0)),
IF(ISERROR(MATCH(D135,'Ist Aktuell Monat 07'!A:A,0))=FALSE,INDEX('Ist Aktuell Monat 07'!B:B,MATCH(D135,'Ist Aktuell Monat 07'!A:A,0)),
IF(ISERROR(MATCH(D135,'Ist Aktuell Monat 08'!A:A,0))=FALSE,INDEX('Ist Aktuell Monat 08'!B:B,MATCH(D135,'Ist Aktuell Monat 08'!A:A,0)),
IF(ISERROR(MATCH(D135,'Ist Aktuell Monat 09'!A:A,0))=FALSE,INDEX('Ist Aktuell Monat 09'!B:B,MATCH(D135,'Ist Aktuell Monat 09'!A:A,0)),
IF(ISERROR(MATCH(D135,'Ist Aktuell Monat 10'!A:A,0))=FALSE,INDEX('Ist Aktuell Monat 10'!B:B,MATCH(D135,'Ist Aktuell Monat 10'!A:A,0)),
IF(ISERROR(MATCH(D135,'Ist Aktuell Monat 11'!A:A,0))=FALSE,INDEX('Ist Aktuell Monat 11'!B:B,MATCH(D135,'Ist Aktuell Monat 11'!A:A,0)),
IF(ISERROR(MATCH(D135,'Ist Aktuell Monat 12'!A:A,0))=FALSE,INDEX('Ist Aktuell Monat 12'!B:B,MATCH(D135,'Ist Aktuell Monat 12'!A:A,0)),
"{Konto unbekannt}"
)))))))))))),"")</f>
        <v/>
      </c>
      <c r="C135" s="591"/>
      <c r="D135" s="590"/>
      <c r="E135" s="592">
        <f t="shared" si="171"/>
        <v>1</v>
      </c>
      <c r="F135" s="590"/>
      <c r="G135" s="593">
        <f ca="1">$E135*(-SUMIF(INDIRECT(G$3),'Struktur Aktuell'!$D135,INDIRECT(G$4))+SUMIF(INDIRECT(G$3),'Struktur Aktuell'!$D135,INDIRECT(G$5)))</f>
        <v>0</v>
      </c>
      <c r="H135" s="593">
        <f ca="1">$E135*(-SUMIF(INDIRECT(H$3),'Struktur Aktuell'!$D135,INDIRECT(H$4))+SUMIF(INDIRECT(H$3),'Struktur Aktuell'!$D135,INDIRECT(H$5)))</f>
        <v>0</v>
      </c>
      <c r="I135" s="593">
        <f ca="1">$E135*(-SUMIF(INDIRECT(I$3),'Struktur Aktuell'!$D135,INDIRECT(I$4))+SUMIF(INDIRECT(I$3),'Struktur Aktuell'!$D135,INDIRECT(I$5)))</f>
        <v>0</v>
      </c>
      <c r="J135" s="593">
        <f ca="1">$E135*(-SUMIF(INDIRECT(J$3),'Struktur Aktuell'!$D135,INDIRECT(J$4))+SUMIF(INDIRECT(J$3),'Struktur Aktuell'!$D135,INDIRECT(J$5)))</f>
        <v>0</v>
      </c>
      <c r="K135" s="593">
        <f ca="1">$E135*(-SUMIF(INDIRECT(K$3),'Struktur Aktuell'!$D135,INDIRECT(K$4))+SUMIF(INDIRECT(K$3),'Struktur Aktuell'!$D135,INDIRECT(K$5)))</f>
        <v>0</v>
      </c>
      <c r="L135" s="593">
        <f ca="1">$E135*(-SUMIF(INDIRECT(L$3),'Struktur Aktuell'!$D135,INDIRECT(L$4))+SUMIF(INDIRECT(L$3),'Struktur Aktuell'!$D135,INDIRECT(L$5)))</f>
        <v>0</v>
      </c>
      <c r="M135" s="593">
        <f ca="1">$E135*(-SUMIF(INDIRECT(M$3),'Struktur Aktuell'!$D135,INDIRECT(M$4))+SUMIF(INDIRECT(M$3),'Struktur Aktuell'!$D135,INDIRECT(M$5)))</f>
        <v>0</v>
      </c>
      <c r="N135" s="593">
        <f ca="1">$E135*(-SUMIF(INDIRECT(N$3),'Struktur Aktuell'!$D135,INDIRECT(N$4))+SUMIF(INDIRECT(N$3),'Struktur Aktuell'!$D135,INDIRECT(N$5)))</f>
        <v>0</v>
      </c>
      <c r="O135" s="593">
        <f ca="1">$E135*(-SUMIF(INDIRECT(O$3),'Struktur Aktuell'!$D135,INDIRECT(O$4))+SUMIF(INDIRECT(O$3),'Struktur Aktuell'!$D135,INDIRECT(O$5)))</f>
        <v>0</v>
      </c>
      <c r="P135" s="593">
        <f ca="1">$E135*(-SUMIF(INDIRECT(P$3),'Struktur Aktuell'!$D135,INDIRECT(P$4))+SUMIF(INDIRECT(P$3),'Struktur Aktuell'!$D135,INDIRECT(P$5)))</f>
        <v>0</v>
      </c>
      <c r="Q135" s="593">
        <f ca="1">$E135*(-SUMIF(INDIRECT(Q$3),'Struktur Aktuell'!$D135,INDIRECT(Q$4))+SUMIF(INDIRECT(Q$3),'Struktur Aktuell'!$D135,INDIRECT(Q$5)))</f>
        <v>0</v>
      </c>
      <c r="R135" s="593">
        <f ca="1">$E135*(-SUMIF(INDIRECT(R$3),'Struktur Aktuell'!$D135,INDIRECT(R$4))+SUMIF(INDIRECT(R$3),'Struktur Aktuell'!$D135,INDIRECT(R$5)))</f>
        <v>0</v>
      </c>
      <c r="S135" s="593">
        <f ca="1">$E135*(-SUMIF(INDIRECT(S$3),'Struktur Aktuell'!$D135,INDIRECT(S$4))+SUMIF(INDIRECT(S$3),'Struktur Aktuell'!$D135,INDIRECT(S$5)))</f>
        <v>0</v>
      </c>
      <c r="T135" s="593">
        <f ca="1">$E135*(-SUMIF(INDIRECT(T$3),'Struktur Aktuell'!$D135,INDIRECT(T$4))+SUMIF(INDIRECT(T$3),'Struktur Aktuell'!$D135,INDIRECT(T$5)))</f>
        <v>0</v>
      </c>
      <c r="U135" s="593">
        <f ca="1">$E135*(-SUMIF(INDIRECT(U$3),'Struktur Aktuell'!$D135,INDIRECT(U$4))+SUMIF(INDIRECT(U$3),'Struktur Aktuell'!$D135,INDIRECT(U$5)))</f>
        <v>0</v>
      </c>
      <c r="V135" s="593">
        <f ca="1">$E135*(-SUMIF(INDIRECT(V$3),'Struktur Aktuell'!$D135,INDIRECT(V$4))+SUMIF(INDIRECT(V$3),'Struktur Aktuell'!$D135,INDIRECT(V$5)))</f>
        <v>0</v>
      </c>
      <c r="W135" s="593">
        <f ca="1">$E135*(-SUMIF(INDIRECT(W$3),'Struktur Aktuell'!$D135,INDIRECT(W$4))+SUMIF(INDIRECT(W$3),'Struktur Aktuell'!$D135,INDIRECT(W$5)))</f>
        <v>0</v>
      </c>
      <c r="X135" s="593">
        <f ca="1">$E135*(-SUMIF(INDIRECT(X$3),'Struktur Aktuell'!$D135,INDIRECT(X$4))+SUMIF(INDIRECT(X$3),'Struktur Aktuell'!$D135,INDIRECT(X$5)))</f>
        <v>0</v>
      </c>
      <c r="Y135" s="593">
        <f ca="1">$E135*(-SUMIF(INDIRECT(Y$3),'Struktur Aktuell'!$D135,INDIRECT(Y$4))+SUMIF(INDIRECT(Y$3),'Struktur Aktuell'!$D135,INDIRECT(Y$5)))</f>
        <v>0</v>
      </c>
      <c r="Z135" s="593">
        <f ca="1">$E135*(-SUMIF(INDIRECT(Z$3),'Struktur Aktuell'!$D135,INDIRECT(Z$4))+SUMIF(INDIRECT(Z$3),'Struktur Aktuell'!$D135,INDIRECT(Z$5)))</f>
        <v>0</v>
      </c>
      <c r="AA135" s="593">
        <f ca="1">$E135*(-SUMIF(INDIRECT(AA$3),'Struktur Aktuell'!$D135,INDIRECT(AA$4))+SUMIF(INDIRECT(AA$3),'Struktur Aktuell'!$D135,INDIRECT(AA$5)))</f>
        <v>0</v>
      </c>
      <c r="AB135" s="593">
        <f ca="1">$E135*(-SUMIF(INDIRECT(AB$3),'Struktur Aktuell'!$D135,INDIRECT(AB$4))+SUMIF(INDIRECT(AB$3),'Struktur Aktuell'!$D135,INDIRECT(AB$5)))</f>
        <v>0</v>
      </c>
      <c r="AC135" s="593">
        <f ca="1">$E135*(-SUMIF(INDIRECT(AC$3),'Struktur Aktuell'!$D135,INDIRECT(AC$4))+SUMIF(INDIRECT(AC$3),'Struktur Aktuell'!$D135,INDIRECT(AC$5)))</f>
        <v>0</v>
      </c>
      <c r="AD135" s="593">
        <f ca="1">$E135*(-SUMIF(INDIRECT(AD$3),'Struktur Aktuell'!$D135,INDIRECT(AD$4))+SUMIF(INDIRECT(AD$3),'Struktur Aktuell'!$D135,INDIRECT(AD$5)))</f>
        <v>0</v>
      </c>
      <c r="AE135" s="593">
        <f t="shared" ca="1" si="175"/>
        <v>0</v>
      </c>
      <c r="AF135" s="593">
        <f t="shared" ca="1" si="176"/>
        <v>0</v>
      </c>
      <c r="AG135" s="593">
        <f t="shared" ca="1" si="177"/>
        <v>0</v>
      </c>
      <c r="AH135" s="593">
        <f t="shared" ca="1" si="178"/>
        <v>0</v>
      </c>
      <c r="AI135" s="593">
        <f t="shared" ca="1" si="179"/>
        <v>0</v>
      </c>
      <c r="AJ135" s="593">
        <f t="shared" ca="1" si="180"/>
        <v>0</v>
      </c>
      <c r="AK135" s="593">
        <f t="shared" ca="1" si="181"/>
        <v>0</v>
      </c>
      <c r="AL135" s="593">
        <f t="shared" ca="1" si="182"/>
        <v>0</v>
      </c>
      <c r="AM135" s="593">
        <f t="shared" ca="1" si="183"/>
        <v>0</v>
      </c>
      <c r="AN135" s="593">
        <f t="shared" ca="1" si="184"/>
        <v>0</v>
      </c>
      <c r="AO135" s="593">
        <f t="shared" ca="1" si="185"/>
        <v>0</v>
      </c>
      <c r="AP135" s="593">
        <f t="shared" ca="1" si="186"/>
        <v>0</v>
      </c>
    </row>
    <row r="136" spans="1:42" s="589" customFormat="1" x14ac:dyDescent="0.2">
      <c r="A136" s="585">
        <v>12</v>
      </c>
      <c r="B136" s="586" t="s">
        <v>1008</v>
      </c>
      <c r="C136" s="587">
        <f ca="1">SUM(G136:R136)</f>
        <v>0</v>
      </c>
      <c r="D136" s="587"/>
      <c r="E136" s="588">
        <f t="shared" si="171"/>
        <v>1</v>
      </c>
      <c r="F136" s="585"/>
      <c r="G136" s="587">
        <f t="shared" ref="G136:R136" ca="1" si="187">SUM(G137:G143)</f>
        <v>0</v>
      </c>
      <c r="H136" s="587">
        <f t="shared" ca="1" si="187"/>
        <v>0</v>
      </c>
      <c r="I136" s="587">
        <f t="shared" ca="1" si="187"/>
        <v>0</v>
      </c>
      <c r="J136" s="587">
        <f t="shared" ca="1" si="187"/>
        <v>0</v>
      </c>
      <c r="K136" s="587">
        <f t="shared" ca="1" si="187"/>
        <v>0</v>
      </c>
      <c r="L136" s="587">
        <f t="shared" ca="1" si="187"/>
        <v>0</v>
      </c>
      <c r="M136" s="587">
        <f t="shared" ca="1" si="187"/>
        <v>0</v>
      </c>
      <c r="N136" s="587">
        <f t="shared" ca="1" si="187"/>
        <v>0</v>
      </c>
      <c r="O136" s="587">
        <f t="shared" ca="1" si="187"/>
        <v>0</v>
      </c>
      <c r="P136" s="587">
        <f t="shared" ca="1" si="187"/>
        <v>0</v>
      </c>
      <c r="Q136" s="587">
        <f t="shared" ca="1" si="187"/>
        <v>0</v>
      </c>
      <c r="R136" s="587">
        <f t="shared" ca="1" si="187"/>
        <v>0</v>
      </c>
      <c r="S136" s="587">
        <f t="shared" ref="S136:AP136" ca="1" si="188">SUM(S137:S143)</f>
        <v>0</v>
      </c>
      <c r="T136" s="587">
        <f t="shared" ca="1" si="188"/>
        <v>0</v>
      </c>
      <c r="U136" s="587">
        <f t="shared" ca="1" si="188"/>
        <v>0</v>
      </c>
      <c r="V136" s="587">
        <f t="shared" ca="1" si="188"/>
        <v>0</v>
      </c>
      <c r="W136" s="587">
        <f t="shared" ca="1" si="188"/>
        <v>0</v>
      </c>
      <c r="X136" s="587">
        <f t="shared" ca="1" si="188"/>
        <v>0</v>
      </c>
      <c r="Y136" s="587">
        <f t="shared" ca="1" si="188"/>
        <v>0</v>
      </c>
      <c r="Z136" s="587">
        <f t="shared" ca="1" si="188"/>
        <v>0</v>
      </c>
      <c r="AA136" s="587">
        <f t="shared" ca="1" si="188"/>
        <v>0</v>
      </c>
      <c r="AB136" s="587">
        <f t="shared" ca="1" si="188"/>
        <v>0</v>
      </c>
      <c r="AC136" s="587">
        <f t="shared" ca="1" si="188"/>
        <v>0</v>
      </c>
      <c r="AD136" s="587">
        <f t="shared" ca="1" si="188"/>
        <v>0</v>
      </c>
      <c r="AE136" s="587">
        <f t="shared" ca="1" si="188"/>
        <v>0</v>
      </c>
      <c r="AF136" s="587">
        <f t="shared" ca="1" si="188"/>
        <v>0</v>
      </c>
      <c r="AG136" s="587">
        <f t="shared" ca="1" si="188"/>
        <v>0</v>
      </c>
      <c r="AH136" s="587">
        <f t="shared" ca="1" si="188"/>
        <v>0</v>
      </c>
      <c r="AI136" s="587">
        <f t="shared" ca="1" si="188"/>
        <v>0</v>
      </c>
      <c r="AJ136" s="587">
        <f t="shared" ca="1" si="188"/>
        <v>0</v>
      </c>
      <c r="AK136" s="587">
        <f t="shared" ca="1" si="188"/>
        <v>0</v>
      </c>
      <c r="AL136" s="587">
        <f t="shared" ca="1" si="188"/>
        <v>0</v>
      </c>
      <c r="AM136" s="587">
        <f t="shared" ca="1" si="188"/>
        <v>0</v>
      </c>
      <c r="AN136" s="587">
        <f t="shared" ca="1" si="188"/>
        <v>0</v>
      </c>
      <c r="AO136" s="587">
        <f t="shared" ca="1" si="188"/>
        <v>0</v>
      </c>
      <c r="AP136" s="587">
        <f t="shared" ca="1" si="188"/>
        <v>0</v>
      </c>
    </row>
    <row r="137" spans="1:42" s="594" customFormat="1" ht="11.25" outlineLevel="1" x14ac:dyDescent="0.2">
      <c r="A137" s="590"/>
      <c r="B137" s="591" t="str">
        <f>IF(D137&lt;&gt;"",
IF(ISERROR(MATCH(D137,'Ist Aktuell Monat 01'!A:A,0))=FALSE,INDEX('Ist Aktuell Monat 01'!B:B,MATCH(D137,'Ist Aktuell Monat 01'!A:A,0)),
IF(ISERROR(MATCH(D137,'Ist Aktuell Monat 02'!A:A,0))=FALSE,INDEX('Ist Aktuell Monat 02'!B:B,MATCH(D137,'Ist Aktuell Monat 02'!A:A,0)),
IF(ISERROR(MATCH(D137,'Ist Aktuell Monat 03'!A:A,0))=FALSE,INDEX('Ist Aktuell Monat 03'!B:B,MATCH(D137,'Ist Aktuell Monat 03'!A:A,0)),
IF(ISERROR(MATCH(D137,'Ist Aktuell Monat 04'!A:A,0))=FALSE,INDEX('Ist Aktuell Monat 04'!B:B,MATCH(D137,'Ist Aktuell Monat 04'!A:A,0)),
IF(ISERROR(MATCH(D137,'Ist Aktuell Monat 05'!A:A,0))=FALSE,INDEX('Ist Aktuell Monat 05'!B:B,MATCH(D137,'Ist Aktuell Monat 05'!A:A,0)),
IF(ISERROR(MATCH(D137,'Ist Aktuell Monat 06'!A:A,0))=FALSE,INDEX('Ist Aktuell Monat 06'!B:B,MATCH(D137,'Ist Aktuell Monat 06'!A:A,0)),
IF(ISERROR(MATCH(D137,'Ist Aktuell Monat 07'!A:A,0))=FALSE,INDEX('Ist Aktuell Monat 07'!B:B,MATCH(D137,'Ist Aktuell Monat 07'!A:A,0)),
IF(ISERROR(MATCH(D137,'Ist Aktuell Monat 08'!A:A,0))=FALSE,INDEX('Ist Aktuell Monat 08'!B:B,MATCH(D137,'Ist Aktuell Monat 08'!A:A,0)),
IF(ISERROR(MATCH(D137,'Ist Aktuell Monat 09'!A:A,0))=FALSE,INDEX('Ist Aktuell Monat 09'!B:B,MATCH(D137,'Ist Aktuell Monat 09'!A:A,0)),
IF(ISERROR(MATCH(D137,'Ist Aktuell Monat 10'!A:A,0))=FALSE,INDEX('Ist Aktuell Monat 10'!B:B,MATCH(D137,'Ist Aktuell Monat 10'!A:A,0)),
IF(ISERROR(MATCH(D137,'Ist Aktuell Monat 11'!A:A,0))=FALSE,INDEX('Ist Aktuell Monat 11'!B:B,MATCH(D137,'Ist Aktuell Monat 11'!A:A,0)),
IF(ISERROR(MATCH(D137,'Ist Aktuell Monat 12'!A:A,0))=FALSE,INDEX('Ist Aktuell Monat 12'!B:B,MATCH(D137,'Ist Aktuell Monat 12'!A:A,0)),
"{Konto unbekannt}"
)))))))))))),"")</f>
        <v/>
      </c>
      <c r="C137" s="591"/>
      <c r="D137" s="590"/>
      <c r="E137" s="592">
        <f t="shared" si="171"/>
        <v>1</v>
      </c>
      <c r="F137" s="590"/>
      <c r="G137" s="593">
        <f ca="1">$E137*(-SUMIF(INDIRECT(G$3),'Struktur Aktuell'!$D137,INDIRECT(G$4))+SUMIF(INDIRECT(G$3),'Struktur Aktuell'!$D137,INDIRECT(G$5)))</f>
        <v>0</v>
      </c>
      <c r="H137" s="593">
        <f ca="1">$E137*(-SUMIF(INDIRECT(H$3),'Struktur Aktuell'!$D137,INDIRECT(H$4))+SUMIF(INDIRECT(H$3),'Struktur Aktuell'!$D137,INDIRECT(H$5)))</f>
        <v>0</v>
      </c>
      <c r="I137" s="593">
        <f ca="1">$E137*(-SUMIF(INDIRECT(I$3),'Struktur Aktuell'!$D137,INDIRECT(I$4))+SUMIF(INDIRECT(I$3),'Struktur Aktuell'!$D137,INDIRECT(I$5)))</f>
        <v>0</v>
      </c>
      <c r="J137" s="593">
        <f ca="1">$E137*(-SUMIF(INDIRECT(J$3),'Struktur Aktuell'!$D137,INDIRECT(J$4))+SUMIF(INDIRECT(J$3),'Struktur Aktuell'!$D137,INDIRECT(J$5)))</f>
        <v>0</v>
      </c>
      <c r="K137" s="593">
        <f ca="1">$E137*(-SUMIF(INDIRECT(K$3),'Struktur Aktuell'!$D137,INDIRECT(K$4))+SUMIF(INDIRECT(K$3),'Struktur Aktuell'!$D137,INDIRECT(K$5)))</f>
        <v>0</v>
      </c>
      <c r="L137" s="593">
        <f ca="1">$E137*(-SUMIF(INDIRECT(L$3),'Struktur Aktuell'!$D137,INDIRECT(L$4))+SUMIF(INDIRECT(L$3),'Struktur Aktuell'!$D137,INDIRECT(L$5)))</f>
        <v>0</v>
      </c>
      <c r="M137" s="593">
        <f ca="1">$E137*(-SUMIF(INDIRECT(M$3),'Struktur Aktuell'!$D137,INDIRECT(M$4))+SUMIF(INDIRECT(M$3),'Struktur Aktuell'!$D137,INDIRECT(M$5)))</f>
        <v>0</v>
      </c>
      <c r="N137" s="593">
        <f ca="1">$E137*(-SUMIF(INDIRECT(N$3),'Struktur Aktuell'!$D137,INDIRECT(N$4))+SUMIF(INDIRECT(N$3),'Struktur Aktuell'!$D137,INDIRECT(N$5)))</f>
        <v>0</v>
      </c>
      <c r="O137" s="593">
        <f ca="1">$E137*(-SUMIF(INDIRECT(O$3),'Struktur Aktuell'!$D137,INDIRECT(O$4))+SUMIF(INDIRECT(O$3),'Struktur Aktuell'!$D137,INDIRECT(O$5)))</f>
        <v>0</v>
      </c>
      <c r="P137" s="593">
        <f ca="1">$E137*(-SUMIF(INDIRECT(P$3),'Struktur Aktuell'!$D137,INDIRECT(P$4))+SUMIF(INDIRECT(P$3),'Struktur Aktuell'!$D137,INDIRECT(P$5)))</f>
        <v>0</v>
      </c>
      <c r="Q137" s="593">
        <f ca="1">$E137*(-SUMIF(INDIRECT(Q$3),'Struktur Aktuell'!$D137,INDIRECT(Q$4))+SUMIF(INDIRECT(Q$3),'Struktur Aktuell'!$D137,INDIRECT(Q$5)))</f>
        <v>0</v>
      </c>
      <c r="R137" s="593">
        <f ca="1">$E137*(-SUMIF(INDIRECT(R$3),'Struktur Aktuell'!$D137,INDIRECT(R$4))+SUMIF(INDIRECT(R$3),'Struktur Aktuell'!$D137,INDIRECT(R$5)))</f>
        <v>0</v>
      </c>
      <c r="S137" s="593">
        <f ca="1">$E137*(-SUMIF(INDIRECT(S$3),'Struktur Aktuell'!$D137,INDIRECT(S$4))+SUMIF(INDIRECT(S$3),'Struktur Aktuell'!$D137,INDIRECT(S$5)))</f>
        <v>0</v>
      </c>
      <c r="T137" s="593">
        <f ca="1">$E137*(-SUMIF(INDIRECT(T$3),'Struktur Aktuell'!$D137,INDIRECT(T$4))+SUMIF(INDIRECT(T$3),'Struktur Aktuell'!$D137,INDIRECT(T$5)))</f>
        <v>0</v>
      </c>
      <c r="U137" s="593">
        <f ca="1">$E137*(-SUMIF(INDIRECT(U$3),'Struktur Aktuell'!$D137,INDIRECT(U$4))+SUMIF(INDIRECT(U$3),'Struktur Aktuell'!$D137,INDIRECT(U$5)))</f>
        <v>0</v>
      </c>
      <c r="V137" s="593">
        <f ca="1">$E137*(-SUMIF(INDIRECT(V$3),'Struktur Aktuell'!$D137,INDIRECT(V$4))+SUMIF(INDIRECT(V$3),'Struktur Aktuell'!$D137,INDIRECT(V$5)))</f>
        <v>0</v>
      </c>
      <c r="W137" s="593">
        <f ca="1">$E137*(-SUMIF(INDIRECT(W$3),'Struktur Aktuell'!$D137,INDIRECT(W$4))+SUMIF(INDIRECT(W$3),'Struktur Aktuell'!$D137,INDIRECT(W$5)))</f>
        <v>0</v>
      </c>
      <c r="X137" s="593">
        <f ca="1">$E137*(-SUMIF(INDIRECT(X$3),'Struktur Aktuell'!$D137,INDIRECT(X$4))+SUMIF(INDIRECT(X$3),'Struktur Aktuell'!$D137,INDIRECT(X$5)))</f>
        <v>0</v>
      </c>
      <c r="Y137" s="593">
        <f ca="1">$E137*(-SUMIF(INDIRECT(Y$3),'Struktur Aktuell'!$D137,INDIRECT(Y$4))+SUMIF(INDIRECT(Y$3),'Struktur Aktuell'!$D137,INDIRECT(Y$5)))</f>
        <v>0</v>
      </c>
      <c r="Z137" s="593">
        <f ca="1">$E137*(-SUMIF(INDIRECT(Z$3),'Struktur Aktuell'!$D137,INDIRECT(Z$4))+SUMIF(INDIRECT(Z$3),'Struktur Aktuell'!$D137,INDIRECT(Z$5)))</f>
        <v>0</v>
      </c>
      <c r="AA137" s="593">
        <f ca="1">$E137*(-SUMIF(INDIRECT(AA$3),'Struktur Aktuell'!$D137,INDIRECT(AA$4))+SUMIF(INDIRECT(AA$3),'Struktur Aktuell'!$D137,INDIRECT(AA$5)))</f>
        <v>0</v>
      </c>
      <c r="AB137" s="593">
        <f ca="1">$E137*(-SUMIF(INDIRECT(AB$3),'Struktur Aktuell'!$D137,INDIRECT(AB$4))+SUMIF(INDIRECT(AB$3),'Struktur Aktuell'!$D137,INDIRECT(AB$5)))</f>
        <v>0</v>
      </c>
      <c r="AC137" s="593">
        <f ca="1">$E137*(-SUMIF(INDIRECT(AC$3),'Struktur Aktuell'!$D137,INDIRECT(AC$4))+SUMIF(INDIRECT(AC$3),'Struktur Aktuell'!$D137,INDIRECT(AC$5)))</f>
        <v>0</v>
      </c>
      <c r="AD137" s="593">
        <f ca="1">$E137*(-SUMIF(INDIRECT(AD$3),'Struktur Aktuell'!$D137,INDIRECT(AD$4))+SUMIF(INDIRECT(AD$3),'Struktur Aktuell'!$D137,INDIRECT(AD$5)))</f>
        <v>0</v>
      </c>
      <c r="AE137" s="593">
        <f t="shared" ref="AE137:AE143" ca="1" si="189">G137</f>
        <v>0</v>
      </c>
      <c r="AF137" s="593">
        <f t="shared" ref="AF137:AF143" ca="1" si="190">H137+AE137</f>
        <v>0</v>
      </c>
      <c r="AG137" s="593">
        <f t="shared" ref="AG137:AG143" ca="1" si="191">I137+AF137</f>
        <v>0</v>
      </c>
      <c r="AH137" s="593">
        <f t="shared" ref="AH137:AH143" ca="1" si="192">J137+AG137</f>
        <v>0</v>
      </c>
      <c r="AI137" s="593">
        <f t="shared" ref="AI137:AI143" ca="1" si="193">K137+AH137</f>
        <v>0</v>
      </c>
      <c r="AJ137" s="593">
        <f t="shared" ref="AJ137:AJ143" ca="1" si="194">L137+AI137</f>
        <v>0</v>
      </c>
      <c r="AK137" s="593">
        <f t="shared" ref="AK137:AK143" ca="1" si="195">M137+AJ137</f>
        <v>0</v>
      </c>
      <c r="AL137" s="593">
        <f t="shared" ref="AL137:AL143" ca="1" si="196">N137+AK137</f>
        <v>0</v>
      </c>
      <c r="AM137" s="593">
        <f t="shared" ref="AM137:AM143" ca="1" si="197">O137+AL137</f>
        <v>0</v>
      </c>
      <c r="AN137" s="593">
        <f t="shared" ref="AN137:AN143" ca="1" si="198">P137+AM137</f>
        <v>0</v>
      </c>
      <c r="AO137" s="593">
        <f t="shared" ref="AO137:AO143" ca="1" si="199">Q137+AN137</f>
        <v>0</v>
      </c>
      <c r="AP137" s="593">
        <f t="shared" ref="AP137:AP143" ca="1" si="200">R137+AO137</f>
        <v>0</v>
      </c>
    </row>
    <row r="138" spans="1:42" s="594" customFormat="1" ht="11.25" outlineLevel="1" x14ac:dyDescent="0.2">
      <c r="A138" s="590"/>
      <c r="B138" s="591" t="str">
        <f>IF(D138&lt;&gt;"",
IF(ISERROR(MATCH(D138,'Ist Aktuell Monat 01'!A:A,0))=FALSE,INDEX('Ist Aktuell Monat 01'!B:B,MATCH(D138,'Ist Aktuell Monat 01'!A:A,0)),
IF(ISERROR(MATCH(D138,'Ist Aktuell Monat 02'!A:A,0))=FALSE,INDEX('Ist Aktuell Monat 02'!B:B,MATCH(D138,'Ist Aktuell Monat 02'!A:A,0)),
IF(ISERROR(MATCH(D138,'Ist Aktuell Monat 03'!A:A,0))=FALSE,INDEX('Ist Aktuell Monat 03'!B:B,MATCH(D138,'Ist Aktuell Monat 03'!A:A,0)),
IF(ISERROR(MATCH(D138,'Ist Aktuell Monat 04'!A:A,0))=FALSE,INDEX('Ist Aktuell Monat 04'!B:B,MATCH(D138,'Ist Aktuell Monat 04'!A:A,0)),
IF(ISERROR(MATCH(D138,'Ist Aktuell Monat 05'!A:A,0))=FALSE,INDEX('Ist Aktuell Monat 05'!B:B,MATCH(D138,'Ist Aktuell Monat 05'!A:A,0)),
IF(ISERROR(MATCH(D138,'Ist Aktuell Monat 06'!A:A,0))=FALSE,INDEX('Ist Aktuell Monat 06'!B:B,MATCH(D138,'Ist Aktuell Monat 06'!A:A,0)),
IF(ISERROR(MATCH(D138,'Ist Aktuell Monat 07'!A:A,0))=FALSE,INDEX('Ist Aktuell Monat 07'!B:B,MATCH(D138,'Ist Aktuell Monat 07'!A:A,0)),
IF(ISERROR(MATCH(D138,'Ist Aktuell Monat 08'!A:A,0))=FALSE,INDEX('Ist Aktuell Monat 08'!B:B,MATCH(D138,'Ist Aktuell Monat 08'!A:A,0)),
IF(ISERROR(MATCH(D138,'Ist Aktuell Monat 09'!A:A,0))=FALSE,INDEX('Ist Aktuell Monat 09'!B:B,MATCH(D138,'Ist Aktuell Monat 09'!A:A,0)),
IF(ISERROR(MATCH(D138,'Ist Aktuell Monat 10'!A:A,0))=FALSE,INDEX('Ist Aktuell Monat 10'!B:B,MATCH(D138,'Ist Aktuell Monat 10'!A:A,0)),
IF(ISERROR(MATCH(D138,'Ist Aktuell Monat 11'!A:A,0))=FALSE,INDEX('Ist Aktuell Monat 11'!B:B,MATCH(D138,'Ist Aktuell Monat 11'!A:A,0)),
IF(ISERROR(MATCH(D138,'Ist Aktuell Monat 12'!A:A,0))=FALSE,INDEX('Ist Aktuell Monat 12'!B:B,MATCH(D138,'Ist Aktuell Monat 12'!A:A,0)),
"{Konto unbekannt}"
)))))))))))),"")</f>
        <v/>
      </c>
      <c r="C138" s="591"/>
      <c r="D138" s="590"/>
      <c r="E138" s="592">
        <f t="shared" si="171"/>
        <v>1</v>
      </c>
      <c r="F138" s="590"/>
      <c r="G138" s="593">
        <f ca="1">$E138*(-SUMIF(INDIRECT(G$3),'Struktur Aktuell'!$D138,INDIRECT(G$4))+SUMIF(INDIRECT(G$3),'Struktur Aktuell'!$D138,INDIRECT(G$5)))</f>
        <v>0</v>
      </c>
      <c r="H138" s="593">
        <f ca="1">$E138*(-SUMIF(INDIRECT(H$3),'Struktur Aktuell'!$D138,INDIRECT(H$4))+SUMIF(INDIRECT(H$3),'Struktur Aktuell'!$D138,INDIRECT(H$5)))</f>
        <v>0</v>
      </c>
      <c r="I138" s="593">
        <f ca="1">$E138*(-SUMIF(INDIRECT(I$3),'Struktur Aktuell'!$D138,INDIRECT(I$4))+SUMIF(INDIRECT(I$3),'Struktur Aktuell'!$D138,INDIRECT(I$5)))</f>
        <v>0</v>
      </c>
      <c r="J138" s="593">
        <f ca="1">$E138*(-SUMIF(INDIRECT(J$3),'Struktur Aktuell'!$D138,INDIRECT(J$4))+SUMIF(INDIRECT(J$3),'Struktur Aktuell'!$D138,INDIRECT(J$5)))</f>
        <v>0</v>
      </c>
      <c r="K138" s="593">
        <f ca="1">$E138*(-SUMIF(INDIRECT(K$3),'Struktur Aktuell'!$D138,INDIRECT(K$4))+SUMIF(INDIRECT(K$3),'Struktur Aktuell'!$D138,INDIRECT(K$5)))</f>
        <v>0</v>
      </c>
      <c r="L138" s="593">
        <f ca="1">$E138*(-SUMIF(INDIRECT(L$3),'Struktur Aktuell'!$D138,INDIRECT(L$4))+SUMIF(INDIRECT(L$3),'Struktur Aktuell'!$D138,INDIRECT(L$5)))</f>
        <v>0</v>
      </c>
      <c r="M138" s="593">
        <f ca="1">$E138*(-SUMIF(INDIRECT(M$3),'Struktur Aktuell'!$D138,INDIRECT(M$4))+SUMIF(INDIRECT(M$3),'Struktur Aktuell'!$D138,INDIRECT(M$5)))</f>
        <v>0</v>
      </c>
      <c r="N138" s="593">
        <f ca="1">$E138*(-SUMIF(INDIRECT(N$3),'Struktur Aktuell'!$D138,INDIRECT(N$4))+SUMIF(INDIRECT(N$3),'Struktur Aktuell'!$D138,INDIRECT(N$5)))</f>
        <v>0</v>
      </c>
      <c r="O138" s="593">
        <f ca="1">$E138*(-SUMIF(INDIRECT(O$3),'Struktur Aktuell'!$D138,INDIRECT(O$4))+SUMIF(INDIRECT(O$3),'Struktur Aktuell'!$D138,INDIRECT(O$5)))</f>
        <v>0</v>
      </c>
      <c r="P138" s="593">
        <f ca="1">$E138*(-SUMIF(INDIRECT(P$3),'Struktur Aktuell'!$D138,INDIRECT(P$4))+SUMIF(INDIRECT(P$3),'Struktur Aktuell'!$D138,INDIRECT(P$5)))</f>
        <v>0</v>
      </c>
      <c r="Q138" s="593">
        <f ca="1">$E138*(-SUMIF(INDIRECT(Q$3),'Struktur Aktuell'!$D138,INDIRECT(Q$4))+SUMIF(INDIRECT(Q$3),'Struktur Aktuell'!$D138,INDIRECT(Q$5)))</f>
        <v>0</v>
      </c>
      <c r="R138" s="593">
        <f ca="1">$E138*(-SUMIF(INDIRECT(R$3),'Struktur Aktuell'!$D138,INDIRECT(R$4))+SUMIF(INDIRECT(R$3),'Struktur Aktuell'!$D138,INDIRECT(R$5)))</f>
        <v>0</v>
      </c>
      <c r="S138" s="593">
        <f ca="1">$E138*(-SUMIF(INDIRECT(S$3),'Struktur Aktuell'!$D138,INDIRECT(S$4))+SUMIF(INDIRECT(S$3),'Struktur Aktuell'!$D138,INDIRECT(S$5)))</f>
        <v>0</v>
      </c>
      <c r="T138" s="593">
        <f ca="1">$E138*(-SUMIF(INDIRECT(T$3),'Struktur Aktuell'!$D138,INDIRECT(T$4))+SUMIF(INDIRECT(T$3),'Struktur Aktuell'!$D138,INDIRECT(T$5)))</f>
        <v>0</v>
      </c>
      <c r="U138" s="593">
        <f ca="1">$E138*(-SUMIF(INDIRECT(U$3),'Struktur Aktuell'!$D138,INDIRECT(U$4))+SUMIF(INDIRECT(U$3),'Struktur Aktuell'!$D138,INDIRECT(U$5)))</f>
        <v>0</v>
      </c>
      <c r="V138" s="593">
        <f ca="1">$E138*(-SUMIF(INDIRECT(V$3),'Struktur Aktuell'!$D138,INDIRECT(V$4))+SUMIF(INDIRECT(V$3),'Struktur Aktuell'!$D138,INDIRECT(V$5)))</f>
        <v>0</v>
      </c>
      <c r="W138" s="593">
        <f ca="1">$E138*(-SUMIF(INDIRECT(W$3),'Struktur Aktuell'!$D138,INDIRECT(W$4))+SUMIF(INDIRECT(W$3),'Struktur Aktuell'!$D138,INDIRECT(W$5)))</f>
        <v>0</v>
      </c>
      <c r="X138" s="593">
        <f ca="1">$E138*(-SUMIF(INDIRECT(X$3),'Struktur Aktuell'!$D138,INDIRECT(X$4))+SUMIF(INDIRECT(X$3),'Struktur Aktuell'!$D138,INDIRECT(X$5)))</f>
        <v>0</v>
      </c>
      <c r="Y138" s="593">
        <f ca="1">$E138*(-SUMIF(INDIRECT(Y$3),'Struktur Aktuell'!$D138,INDIRECT(Y$4))+SUMIF(INDIRECT(Y$3),'Struktur Aktuell'!$D138,INDIRECT(Y$5)))</f>
        <v>0</v>
      </c>
      <c r="Z138" s="593">
        <f ca="1">$E138*(-SUMIF(INDIRECT(Z$3),'Struktur Aktuell'!$D138,INDIRECT(Z$4))+SUMIF(INDIRECT(Z$3),'Struktur Aktuell'!$D138,INDIRECT(Z$5)))</f>
        <v>0</v>
      </c>
      <c r="AA138" s="593">
        <f ca="1">$E138*(-SUMIF(INDIRECT(AA$3),'Struktur Aktuell'!$D138,INDIRECT(AA$4))+SUMIF(INDIRECT(AA$3),'Struktur Aktuell'!$D138,INDIRECT(AA$5)))</f>
        <v>0</v>
      </c>
      <c r="AB138" s="593">
        <f ca="1">$E138*(-SUMIF(INDIRECT(AB$3),'Struktur Aktuell'!$D138,INDIRECT(AB$4))+SUMIF(INDIRECT(AB$3),'Struktur Aktuell'!$D138,INDIRECT(AB$5)))</f>
        <v>0</v>
      </c>
      <c r="AC138" s="593">
        <f ca="1">$E138*(-SUMIF(INDIRECT(AC$3),'Struktur Aktuell'!$D138,INDIRECT(AC$4))+SUMIF(INDIRECT(AC$3),'Struktur Aktuell'!$D138,INDIRECT(AC$5)))</f>
        <v>0</v>
      </c>
      <c r="AD138" s="593">
        <f ca="1">$E138*(-SUMIF(INDIRECT(AD$3),'Struktur Aktuell'!$D138,INDIRECT(AD$4))+SUMIF(INDIRECT(AD$3),'Struktur Aktuell'!$D138,INDIRECT(AD$5)))</f>
        <v>0</v>
      </c>
      <c r="AE138" s="593">
        <f t="shared" ca="1" si="189"/>
        <v>0</v>
      </c>
      <c r="AF138" s="593">
        <f t="shared" ca="1" si="190"/>
        <v>0</v>
      </c>
      <c r="AG138" s="593">
        <f t="shared" ca="1" si="191"/>
        <v>0</v>
      </c>
      <c r="AH138" s="593">
        <f t="shared" ca="1" si="192"/>
        <v>0</v>
      </c>
      <c r="AI138" s="593">
        <f t="shared" ca="1" si="193"/>
        <v>0</v>
      </c>
      <c r="AJ138" s="593">
        <f t="shared" ca="1" si="194"/>
        <v>0</v>
      </c>
      <c r="AK138" s="593">
        <f t="shared" ca="1" si="195"/>
        <v>0</v>
      </c>
      <c r="AL138" s="593">
        <f t="shared" ca="1" si="196"/>
        <v>0</v>
      </c>
      <c r="AM138" s="593">
        <f t="shared" ca="1" si="197"/>
        <v>0</v>
      </c>
      <c r="AN138" s="593">
        <f t="shared" ca="1" si="198"/>
        <v>0</v>
      </c>
      <c r="AO138" s="593">
        <f t="shared" ca="1" si="199"/>
        <v>0</v>
      </c>
      <c r="AP138" s="593">
        <f t="shared" ca="1" si="200"/>
        <v>0</v>
      </c>
    </row>
    <row r="139" spans="1:42" s="594" customFormat="1" ht="11.25" outlineLevel="1" x14ac:dyDescent="0.2">
      <c r="A139" s="590"/>
      <c r="B139" s="591" t="str">
        <f>IF(D139&lt;&gt;"",
IF(ISERROR(MATCH(D139,'Ist Aktuell Monat 01'!A:A,0))=FALSE,INDEX('Ist Aktuell Monat 01'!B:B,MATCH(D139,'Ist Aktuell Monat 01'!A:A,0)),
IF(ISERROR(MATCH(D139,'Ist Aktuell Monat 02'!A:A,0))=FALSE,INDEX('Ist Aktuell Monat 02'!B:B,MATCH(D139,'Ist Aktuell Monat 02'!A:A,0)),
IF(ISERROR(MATCH(D139,'Ist Aktuell Monat 03'!A:A,0))=FALSE,INDEX('Ist Aktuell Monat 03'!B:B,MATCH(D139,'Ist Aktuell Monat 03'!A:A,0)),
IF(ISERROR(MATCH(D139,'Ist Aktuell Monat 04'!A:A,0))=FALSE,INDEX('Ist Aktuell Monat 04'!B:B,MATCH(D139,'Ist Aktuell Monat 04'!A:A,0)),
IF(ISERROR(MATCH(D139,'Ist Aktuell Monat 05'!A:A,0))=FALSE,INDEX('Ist Aktuell Monat 05'!B:B,MATCH(D139,'Ist Aktuell Monat 05'!A:A,0)),
IF(ISERROR(MATCH(D139,'Ist Aktuell Monat 06'!A:A,0))=FALSE,INDEX('Ist Aktuell Monat 06'!B:B,MATCH(D139,'Ist Aktuell Monat 06'!A:A,0)),
IF(ISERROR(MATCH(D139,'Ist Aktuell Monat 07'!A:A,0))=FALSE,INDEX('Ist Aktuell Monat 07'!B:B,MATCH(D139,'Ist Aktuell Monat 07'!A:A,0)),
IF(ISERROR(MATCH(D139,'Ist Aktuell Monat 08'!A:A,0))=FALSE,INDEX('Ist Aktuell Monat 08'!B:B,MATCH(D139,'Ist Aktuell Monat 08'!A:A,0)),
IF(ISERROR(MATCH(D139,'Ist Aktuell Monat 09'!A:A,0))=FALSE,INDEX('Ist Aktuell Monat 09'!B:B,MATCH(D139,'Ist Aktuell Monat 09'!A:A,0)),
IF(ISERROR(MATCH(D139,'Ist Aktuell Monat 10'!A:A,0))=FALSE,INDEX('Ist Aktuell Monat 10'!B:B,MATCH(D139,'Ist Aktuell Monat 10'!A:A,0)),
IF(ISERROR(MATCH(D139,'Ist Aktuell Monat 11'!A:A,0))=FALSE,INDEX('Ist Aktuell Monat 11'!B:B,MATCH(D139,'Ist Aktuell Monat 11'!A:A,0)),
IF(ISERROR(MATCH(D139,'Ist Aktuell Monat 12'!A:A,0))=FALSE,INDEX('Ist Aktuell Monat 12'!B:B,MATCH(D139,'Ist Aktuell Monat 12'!A:A,0)),
"{Konto unbekannt}"
)))))))))))),"")</f>
        <v/>
      </c>
      <c r="C139" s="591"/>
      <c r="D139" s="590"/>
      <c r="E139" s="592">
        <f t="shared" si="171"/>
        <v>1</v>
      </c>
      <c r="F139" s="590"/>
      <c r="G139" s="593">
        <f ca="1">$E139*(-SUMIF(INDIRECT(G$3),'Struktur Aktuell'!$D139,INDIRECT(G$4))+SUMIF(INDIRECT(G$3),'Struktur Aktuell'!$D139,INDIRECT(G$5)))</f>
        <v>0</v>
      </c>
      <c r="H139" s="593">
        <f ca="1">$E139*(-SUMIF(INDIRECT(H$3),'Struktur Aktuell'!$D139,INDIRECT(H$4))+SUMIF(INDIRECT(H$3),'Struktur Aktuell'!$D139,INDIRECT(H$5)))</f>
        <v>0</v>
      </c>
      <c r="I139" s="593">
        <f ca="1">$E139*(-SUMIF(INDIRECT(I$3),'Struktur Aktuell'!$D139,INDIRECT(I$4))+SUMIF(INDIRECT(I$3),'Struktur Aktuell'!$D139,INDIRECT(I$5)))</f>
        <v>0</v>
      </c>
      <c r="J139" s="593">
        <f ca="1">$E139*(-SUMIF(INDIRECT(J$3),'Struktur Aktuell'!$D139,INDIRECT(J$4))+SUMIF(INDIRECT(J$3),'Struktur Aktuell'!$D139,INDIRECT(J$5)))</f>
        <v>0</v>
      </c>
      <c r="K139" s="593">
        <f ca="1">$E139*(-SUMIF(INDIRECT(K$3),'Struktur Aktuell'!$D139,INDIRECT(K$4))+SUMIF(INDIRECT(K$3),'Struktur Aktuell'!$D139,INDIRECT(K$5)))</f>
        <v>0</v>
      </c>
      <c r="L139" s="593">
        <f ca="1">$E139*(-SUMIF(INDIRECT(L$3),'Struktur Aktuell'!$D139,INDIRECT(L$4))+SUMIF(INDIRECT(L$3),'Struktur Aktuell'!$D139,INDIRECT(L$5)))</f>
        <v>0</v>
      </c>
      <c r="M139" s="593">
        <f ca="1">$E139*(-SUMIF(INDIRECT(M$3),'Struktur Aktuell'!$D139,INDIRECT(M$4))+SUMIF(INDIRECT(M$3),'Struktur Aktuell'!$D139,INDIRECT(M$5)))</f>
        <v>0</v>
      </c>
      <c r="N139" s="593">
        <f ca="1">$E139*(-SUMIF(INDIRECT(N$3),'Struktur Aktuell'!$D139,INDIRECT(N$4))+SUMIF(INDIRECT(N$3),'Struktur Aktuell'!$D139,INDIRECT(N$5)))</f>
        <v>0</v>
      </c>
      <c r="O139" s="593">
        <f ca="1">$E139*(-SUMIF(INDIRECT(O$3),'Struktur Aktuell'!$D139,INDIRECT(O$4))+SUMIF(INDIRECT(O$3),'Struktur Aktuell'!$D139,INDIRECT(O$5)))</f>
        <v>0</v>
      </c>
      <c r="P139" s="593">
        <f ca="1">$E139*(-SUMIF(INDIRECT(P$3),'Struktur Aktuell'!$D139,INDIRECT(P$4))+SUMIF(INDIRECT(P$3),'Struktur Aktuell'!$D139,INDIRECT(P$5)))</f>
        <v>0</v>
      </c>
      <c r="Q139" s="593">
        <f ca="1">$E139*(-SUMIF(INDIRECT(Q$3),'Struktur Aktuell'!$D139,INDIRECT(Q$4))+SUMIF(INDIRECT(Q$3),'Struktur Aktuell'!$D139,INDIRECT(Q$5)))</f>
        <v>0</v>
      </c>
      <c r="R139" s="593">
        <f ca="1">$E139*(-SUMIF(INDIRECT(R$3),'Struktur Aktuell'!$D139,INDIRECT(R$4))+SUMIF(INDIRECT(R$3),'Struktur Aktuell'!$D139,INDIRECT(R$5)))</f>
        <v>0</v>
      </c>
      <c r="S139" s="593">
        <f ca="1">$E139*(-SUMIF(INDIRECT(S$3),'Struktur Aktuell'!$D139,INDIRECT(S$4))+SUMIF(INDIRECT(S$3),'Struktur Aktuell'!$D139,INDIRECT(S$5)))</f>
        <v>0</v>
      </c>
      <c r="T139" s="593">
        <f ca="1">$E139*(-SUMIF(INDIRECT(T$3),'Struktur Aktuell'!$D139,INDIRECT(T$4))+SUMIF(INDIRECT(T$3),'Struktur Aktuell'!$D139,INDIRECT(T$5)))</f>
        <v>0</v>
      </c>
      <c r="U139" s="593">
        <f ca="1">$E139*(-SUMIF(INDIRECT(U$3),'Struktur Aktuell'!$D139,INDIRECT(U$4))+SUMIF(INDIRECT(U$3),'Struktur Aktuell'!$D139,INDIRECT(U$5)))</f>
        <v>0</v>
      </c>
      <c r="V139" s="593">
        <f ca="1">$E139*(-SUMIF(INDIRECT(V$3),'Struktur Aktuell'!$D139,INDIRECT(V$4))+SUMIF(INDIRECT(V$3),'Struktur Aktuell'!$D139,INDIRECT(V$5)))</f>
        <v>0</v>
      </c>
      <c r="W139" s="593">
        <f ca="1">$E139*(-SUMIF(INDIRECT(W$3),'Struktur Aktuell'!$D139,INDIRECT(W$4))+SUMIF(INDIRECT(W$3),'Struktur Aktuell'!$D139,INDIRECT(W$5)))</f>
        <v>0</v>
      </c>
      <c r="X139" s="593">
        <f ca="1">$E139*(-SUMIF(INDIRECT(X$3),'Struktur Aktuell'!$D139,INDIRECT(X$4))+SUMIF(INDIRECT(X$3),'Struktur Aktuell'!$D139,INDIRECT(X$5)))</f>
        <v>0</v>
      </c>
      <c r="Y139" s="593">
        <f ca="1">$E139*(-SUMIF(INDIRECT(Y$3),'Struktur Aktuell'!$D139,INDIRECT(Y$4))+SUMIF(INDIRECT(Y$3),'Struktur Aktuell'!$D139,INDIRECT(Y$5)))</f>
        <v>0</v>
      </c>
      <c r="Z139" s="593">
        <f ca="1">$E139*(-SUMIF(INDIRECT(Z$3),'Struktur Aktuell'!$D139,INDIRECT(Z$4))+SUMIF(INDIRECT(Z$3),'Struktur Aktuell'!$D139,INDIRECT(Z$5)))</f>
        <v>0</v>
      </c>
      <c r="AA139" s="593">
        <f ca="1">$E139*(-SUMIF(INDIRECT(AA$3),'Struktur Aktuell'!$D139,INDIRECT(AA$4))+SUMIF(INDIRECT(AA$3),'Struktur Aktuell'!$D139,INDIRECT(AA$5)))</f>
        <v>0</v>
      </c>
      <c r="AB139" s="593">
        <f ca="1">$E139*(-SUMIF(INDIRECT(AB$3),'Struktur Aktuell'!$D139,INDIRECT(AB$4))+SUMIF(INDIRECT(AB$3),'Struktur Aktuell'!$D139,INDIRECT(AB$5)))</f>
        <v>0</v>
      </c>
      <c r="AC139" s="593">
        <f ca="1">$E139*(-SUMIF(INDIRECT(AC$3),'Struktur Aktuell'!$D139,INDIRECT(AC$4))+SUMIF(INDIRECT(AC$3),'Struktur Aktuell'!$D139,INDIRECT(AC$5)))</f>
        <v>0</v>
      </c>
      <c r="AD139" s="593">
        <f ca="1">$E139*(-SUMIF(INDIRECT(AD$3),'Struktur Aktuell'!$D139,INDIRECT(AD$4))+SUMIF(INDIRECT(AD$3),'Struktur Aktuell'!$D139,INDIRECT(AD$5)))</f>
        <v>0</v>
      </c>
      <c r="AE139" s="593">
        <f t="shared" ca="1" si="189"/>
        <v>0</v>
      </c>
      <c r="AF139" s="593">
        <f t="shared" ca="1" si="190"/>
        <v>0</v>
      </c>
      <c r="AG139" s="593">
        <f t="shared" ca="1" si="191"/>
        <v>0</v>
      </c>
      <c r="AH139" s="593">
        <f t="shared" ca="1" si="192"/>
        <v>0</v>
      </c>
      <c r="AI139" s="593">
        <f t="shared" ca="1" si="193"/>
        <v>0</v>
      </c>
      <c r="AJ139" s="593">
        <f t="shared" ca="1" si="194"/>
        <v>0</v>
      </c>
      <c r="AK139" s="593">
        <f t="shared" ca="1" si="195"/>
        <v>0</v>
      </c>
      <c r="AL139" s="593">
        <f t="shared" ca="1" si="196"/>
        <v>0</v>
      </c>
      <c r="AM139" s="593">
        <f t="shared" ca="1" si="197"/>
        <v>0</v>
      </c>
      <c r="AN139" s="593">
        <f t="shared" ca="1" si="198"/>
        <v>0</v>
      </c>
      <c r="AO139" s="593">
        <f t="shared" ca="1" si="199"/>
        <v>0</v>
      </c>
      <c r="AP139" s="593">
        <f t="shared" ca="1" si="200"/>
        <v>0</v>
      </c>
    </row>
    <row r="140" spans="1:42" s="594" customFormat="1" ht="11.25" outlineLevel="1" x14ac:dyDescent="0.2">
      <c r="A140" s="590"/>
      <c r="B140" s="591" t="str">
        <f>IF(D140&lt;&gt;"",
IF(ISERROR(MATCH(D140,'Ist Aktuell Monat 01'!A:A,0))=FALSE,INDEX('Ist Aktuell Monat 01'!B:B,MATCH(D140,'Ist Aktuell Monat 01'!A:A,0)),
IF(ISERROR(MATCH(D140,'Ist Aktuell Monat 02'!A:A,0))=FALSE,INDEX('Ist Aktuell Monat 02'!B:B,MATCH(D140,'Ist Aktuell Monat 02'!A:A,0)),
IF(ISERROR(MATCH(D140,'Ist Aktuell Monat 03'!A:A,0))=FALSE,INDEX('Ist Aktuell Monat 03'!B:B,MATCH(D140,'Ist Aktuell Monat 03'!A:A,0)),
IF(ISERROR(MATCH(D140,'Ist Aktuell Monat 04'!A:A,0))=FALSE,INDEX('Ist Aktuell Monat 04'!B:B,MATCH(D140,'Ist Aktuell Monat 04'!A:A,0)),
IF(ISERROR(MATCH(D140,'Ist Aktuell Monat 05'!A:A,0))=FALSE,INDEX('Ist Aktuell Monat 05'!B:B,MATCH(D140,'Ist Aktuell Monat 05'!A:A,0)),
IF(ISERROR(MATCH(D140,'Ist Aktuell Monat 06'!A:A,0))=FALSE,INDEX('Ist Aktuell Monat 06'!B:B,MATCH(D140,'Ist Aktuell Monat 06'!A:A,0)),
IF(ISERROR(MATCH(D140,'Ist Aktuell Monat 07'!A:A,0))=FALSE,INDEX('Ist Aktuell Monat 07'!B:B,MATCH(D140,'Ist Aktuell Monat 07'!A:A,0)),
IF(ISERROR(MATCH(D140,'Ist Aktuell Monat 08'!A:A,0))=FALSE,INDEX('Ist Aktuell Monat 08'!B:B,MATCH(D140,'Ist Aktuell Monat 08'!A:A,0)),
IF(ISERROR(MATCH(D140,'Ist Aktuell Monat 09'!A:A,0))=FALSE,INDEX('Ist Aktuell Monat 09'!B:B,MATCH(D140,'Ist Aktuell Monat 09'!A:A,0)),
IF(ISERROR(MATCH(D140,'Ist Aktuell Monat 10'!A:A,0))=FALSE,INDEX('Ist Aktuell Monat 10'!B:B,MATCH(D140,'Ist Aktuell Monat 10'!A:A,0)),
IF(ISERROR(MATCH(D140,'Ist Aktuell Monat 11'!A:A,0))=FALSE,INDEX('Ist Aktuell Monat 11'!B:B,MATCH(D140,'Ist Aktuell Monat 11'!A:A,0)),
IF(ISERROR(MATCH(D140,'Ist Aktuell Monat 12'!A:A,0))=FALSE,INDEX('Ist Aktuell Monat 12'!B:B,MATCH(D140,'Ist Aktuell Monat 12'!A:A,0)),
"{Konto unbekannt}"
)))))))))))),"")</f>
        <v/>
      </c>
      <c r="C140" s="591"/>
      <c r="D140" s="590"/>
      <c r="E140" s="592">
        <f t="shared" si="171"/>
        <v>1</v>
      </c>
      <c r="F140" s="590"/>
      <c r="G140" s="593">
        <f ca="1">$E140*(-SUMIF(INDIRECT(G$3),'Struktur Aktuell'!$D140,INDIRECT(G$4))+SUMIF(INDIRECT(G$3),'Struktur Aktuell'!$D140,INDIRECT(G$5)))</f>
        <v>0</v>
      </c>
      <c r="H140" s="593">
        <f ca="1">$E140*(-SUMIF(INDIRECT(H$3),'Struktur Aktuell'!$D140,INDIRECT(H$4))+SUMIF(INDIRECT(H$3),'Struktur Aktuell'!$D140,INDIRECT(H$5)))</f>
        <v>0</v>
      </c>
      <c r="I140" s="593">
        <f ca="1">$E140*(-SUMIF(INDIRECT(I$3),'Struktur Aktuell'!$D140,INDIRECT(I$4))+SUMIF(INDIRECT(I$3),'Struktur Aktuell'!$D140,INDIRECT(I$5)))</f>
        <v>0</v>
      </c>
      <c r="J140" s="593">
        <f ca="1">$E140*(-SUMIF(INDIRECT(J$3),'Struktur Aktuell'!$D140,INDIRECT(J$4))+SUMIF(INDIRECT(J$3),'Struktur Aktuell'!$D140,INDIRECT(J$5)))</f>
        <v>0</v>
      </c>
      <c r="K140" s="593">
        <f ca="1">$E140*(-SUMIF(INDIRECT(K$3),'Struktur Aktuell'!$D140,INDIRECT(K$4))+SUMIF(INDIRECT(K$3),'Struktur Aktuell'!$D140,INDIRECT(K$5)))</f>
        <v>0</v>
      </c>
      <c r="L140" s="593">
        <f ca="1">$E140*(-SUMIF(INDIRECT(L$3),'Struktur Aktuell'!$D140,INDIRECT(L$4))+SUMIF(INDIRECT(L$3),'Struktur Aktuell'!$D140,INDIRECT(L$5)))</f>
        <v>0</v>
      </c>
      <c r="M140" s="593">
        <f ca="1">$E140*(-SUMIF(INDIRECT(M$3),'Struktur Aktuell'!$D140,INDIRECT(M$4))+SUMIF(INDIRECT(M$3),'Struktur Aktuell'!$D140,INDIRECT(M$5)))</f>
        <v>0</v>
      </c>
      <c r="N140" s="593">
        <f ca="1">$E140*(-SUMIF(INDIRECT(N$3),'Struktur Aktuell'!$D140,INDIRECT(N$4))+SUMIF(INDIRECT(N$3),'Struktur Aktuell'!$D140,INDIRECT(N$5)))</f>
        <v>0</v>
      </c>
      <c r="O140" s="593">
        <f ca="1">$E140*(-SUMIF(INDIRECT(O$3),'Struktur Aktuell'!$D140,INDIRECT(O$4))+SUMIF(INDIRECT(O$3),'Struktur Aktuell'!$D140,INDIRECT(O$5)))</f>
        <v>0</v>
      </c>
      <c r="P140" s="593">
        <f ca="1">$E140*(-SUMIF(INDIRECT(P$3),'Struktur Aktuell'!$D140,INDIRECT(P$4))+SUMIF(INDIRECT(P$3),'Struktur Aktuell'!$D140,INDIRECT(P$5)))</f>
        <v>0</v>
      </c>
      <c r="Q140" s="593">
        <f ca="1">$E140*(-SUMIF(INDIRECT(Q$3),'Struktur Aktuell'!$D140,INDIRECT(Q$4))+SUMIF(INDIRECT(Q$3),'Struktur Aktuell'!$D140,INDIRECT(Q$5)))</f>
        <v>0</v>
      </c>
      <c r="R140" s="593">
        <f ca="1">$E140*(-SUMIF(INDIRECT(R$3),'Struktur Aktuell'!$D140,INDIRECT(R$4))+SUMIF(INDIRECT(R$3),'Struktur Aktuell'!$D140,INDIRECT(R$5)))</f>
        <v>0</v>
      </c>
      <c r="S140" s="593">
        <f ca="1">$E140*(-SUMIF(INDIRECT(S$3),'Struktur Aktuell'!$D140,INDIRECT(S$4))+SUMIF(INDIRECT(S$3),'Struktur Aktuell'!$D140,INDIRECT(S$5)))</f>
        <v>0</v>
      </c>
      <c r="T140" s="593">
        <f ca="1">$E140*(-SUMIF(INDIRECT(T$3),'Struktur Aktuell'!$D140,INDIRECT(T$4))+SUMIF(INDIRECT(T$3),'Struktur Aktuell'!$D140,INDIRECT(T$5)))</f>
        <v>0</v>
      </c>
      <c r="U140" s="593">
        <f ca="1">$E140*(-SUMIF(INDIRECT(U$3),'Struktur Aktuell'!$D140,INDIRECT(U$4))+SUMIF(INDIRECT(U$3),'Struktur Aktuell'!$D140,INDIRECT(U$5)))</f>
        <v>0</v>
      </c>
      <c r="V140" s="593">
        <f ca="1">$E140*(-SUMIF(INDIRECT(V$3),'Struktur Aktuell'!$D140,INDIRECT(V$4))+SUMIF(INDIRECT(V$3),'Struktur Aktuell'!$D140,INDIRECT(V$5)))</f>
        <v>0</v>
      </c>
      <c r="W140" s="593">
        <f ca="1">$E140*(-SUMIF(INDIRECT(W$3),'Struktur Aktuell'!$D140,INDIRECT(W$4))+SUMIF(INDIRECT(W$3),'Struktur Aktuell'!$D140,INDIRECT(W$5)))</f>
        <v>0</v>
      </c>
      <c r="X140" s="593">
        <f ca="1">$E140*(-SUMIF(INDIRECT(X$3),'Struktur Aktuell'!$D140,INDIRECT(X$4))+SUMIF(INDIRECT(X$3),'Struktur Aktuell'!$D140,INDIRECT(X$5)))</f>
        <v>0</v>
      </c>
      <c r="Y140" s="593">
        <f ca="1">$E140*(-SUMIF(INDIRECT(Y$3),'Struktur Aktuell'!$D140,INDIRECT(Y$4))+SUMIF(INDIRECT(Y$3),'Struktur Aktuell'!$D140,INDIRECT(Y$5)))</f>
        <v>0</v>
      </c>
      <c r="Z140" s="593">
        <f ca="1">$E140*(-SUMIF(INDIRECT(Z$3),'Struktur Aktuell'!$D140,INDIRECT(Z$4))+SUMIF(INDIRECT(Z$3),'Struktur Aktuell'!$D140,INDIRECT(Z$5)))</f>
        <v>0</v>
      </c>
      <c r="AA140" s="593">
        <f ca="1">$E140*(-SUMIF(INDIRECT(AA$3),'Struktur Aktuell'!$D140,INDIRECT(AA$4))+SUMIF(INDIRECT(AA$3),'Struktur Aktuell'!$D140,INDIRECT(AA$5)))</f>
        <v>0</v>
      </c>
      <c r="AB140" s="593">
        <f ca="1">$E140*(-SUMIF(INDIRECT(AB$3),'Struktur Aktuell'!$D140,INDIRECT(AB$4))+SUMIF(INDIRECT(AB$3),'Struktur Aktuell'!$D140,INDIRECT(AB$5)))</f>
        <v>0</v>
      </c>
      <c r="AC140" s="593">
        <f ca="1">$E140*(-SUMIF(INDIRECT(AC$3),'Struktur Aktuell'!$D140,INDIRECT(AC$4))+SUMIF(INDIRECT(AC$3),'Struktur Aktuell'!$D140,INDIRECT(AC$5)))</f>
        <v>0</v>
      </c>
      <c r="AD140" s="593">
        <f ca="1">$E140*(-SUMIF(INDIRECT(AD$3),'Struktur Aktuell'!$D140,INDIRECT(AD$4))+SUMIF(INDIRECT(AD$3),'Struktur Aktuell'!$D140,INDIRECT(AD$5)))</f>
        <v>0</v>
      </c>
      <c r="AE140" s="593">
        <f t="shared" ca="1" si="189"/>
        <v>0</v>
      </c>
      <c r="AF140" s="593">
        <f t="shared" ca="1" si="190"/>
        <v>0</v>
      </c>
      <c r="AG140" s="593">
        <f t="shared" ca="1" si="191"/>
        <v>0</v>
      </c>
      <c r="AH140" s="593">
        <f t="shared" ca="1" si="192"/>
        <v>0</v>
      </c>
      <c r="AI140" s="593">
        <f t="shared" ca="1" si="193"/>
        <v>0</v>
      </c>
      <c r="AJ140" s="593">
        <f t="shared" ca="1" si="194"/>
        <v>0</v>
      </c>
      <c r="AK140" s="593">
        <f t="shared" ca="1" si="195"/>
        <v>0</v>
      </c>
      <c r="AL140" s="593">
        <f t="shared" ca="1" si="196"/>
        <v>0</v>
      </c>
      <c r="AM140" s="593">
        <f t="shared" ca="1" si="197"/>
        <v>0</v>
      </c>
      <c r="AN140" s="593">
        <f t="shared" ca="1" si="198"/>
        <v>0</v>
      </c>
      <c r="AO140" s="593">
        <f t="shared" ca="1" si="199"/>
        <v>0</v>
      </c>
      <c r="AP140" s="593">
        <f t="shared" ca="1" si="200"/>
        <v>0</v>
      </c>
    </row>
    <row r="141" spans="1:42" s="594" customFormat="1" ht="11.25" outlineLevel="1" x14ac:dyDescent="0.2">
      <c r="A141" s="590"/>
      <c r="B141" s="591" t="str">
        <f>IF(D141&lt;&gt;"",
IF(ISERROR(MATCH(D141,'Ist Aktuell Monat 01'!A:A,0))=FALSE,INDEX('Ist Aktuell Monat 01'!B:B,MATCH(D141,'Ist Aktuell Monat 01'!A:A,0)),
IF(ISERROR(MATCH(D141,'Ist Aktuell Monat 02'!A:A,0))=FALSE,INDEX('Ist Aktuell Monat 02'!B:B,MATCH(D141,'Ist Aktuell Monat 02'!A:A,0)),
IF(ISERROR(MATCH(D141,'Ist Aktuell Monat 03'!A:A,0))=FALSE,INDEX('Ist Aktuell Monat 03'!B:B,MATCH(D141,'Ist Aktuell Monat 03'!A:A,0)),
IF(ISERROR(MATCH(D141,'Ist Aktuell Monat 04'!A:A,0))=FALSE,INDEX('Ist Aktuell Monat 04'!B:B,MATCH(D141,'Ist Aktuell Monat 04'!A:A,0)),
IF(ISERROR(MATCH(D141,'Ist Aktuell Monat 05'!A:A,0))=FALSE,INDEX('Ist Aktuell Monat 05'!B:B,MATCH(D141,'Ist Aktuell Monat 05'!A:A,0)),
IF(ISERROR(MATCH(D141,'Ist Aktuell Monat 06'!A:A,0))=FALSE,INDEX('Ist Aktuell Monat 06'!B:B,MATCH(D141,'Ist Aktuell Monat 06'!A:A,0)),
IF(ISERROR(MATCH(D141,'Ist Aktuell Monat 07'!A:A,0))=FALSE,INDEX('Ist Aktuell Monat 07'!B:B,MATCH(D141,'Ist Aktuell Monat 07'!A:A,0)),
IF(ISERROR(MATCH(D141,'Ist Aktuell Monat 08'!A:A,0))=FALSE,INDEX('Ist Aktuell Monat 08'!B:B,MATCH(D141,'Ist Aktuell Monat 08'!A:A,0)),
IF(ISERROR(MATCH(D141,'Ist Aktuell Monat 09'!A:A,0))=FALSE,INDEX('Ist Aktuell Monat 09'!B:B,MATCH(D141,'Ist Aktuell Monat 09'!A:A,0)),
IF(ISERROR(MATCH(D141,'Ist Aktuell Monat 10'!A:A,0))=FALSE,INDEX('Ist Aktuell Monat 10'!B:B,MATCH(D141,'Ist Aktuell Monat 10'!A:A,0)),
IF(ISERROR(MATCH(D141,'Ist Aktuell Monat 11'!A:A,0))=FALSE,INDEX('Ist Aktuell Monat 11'!B:B,MATCH(D141,'Ist Aktuell Monat 11'!A:A,0)),
IF(ISERROR(MATCH(D141,'Ist Aktuell Monat 12'!A:A,0))=FALSE,INDEX('Ist Aktuell Monat 12'!B:B,MATCH(D141,'Ist Aktuell Monat 12'!A:A,0)),
"{Konto unbekannt}"
)))))))))))),"")</f>
        <v/>
      </c>
      <c r="C141" s="591"/>
      <c r="D141" s="590"/>
      <c r="E141" s="592">
        <f t="shared" si="171"/>
        <v>1</v>
      </c>
      <c r="F141" s="590"/>
      <c r="G141" s="593">
        <f ca="1">$E141*(-SUMIF(INDIRECT(G$3),'Struktur Aktuell'!$D141,INDIRECT(G$4))+SUMIF(INDIRECT(G$3),'Struktur Aktuell'!$D141,INDIRECT(G$5)))</f>
        <v>0</v>
      </c>
      <c r="H141" s="593">
        <f ca="1">$E141*(-SUMIF(INDIRECT(H$3),'Struktur Aktuell'!$D141,INDIRECT(H$4))+SUMIF(INDIRECT(H$3),'Struktur Aktuell'!$D141,INDIRECT(H$5)))</f>
        <v>0</v>
      </c>
      <c r="I141" s="593">
        <f ca="1">$E141*(-SUMIF(INDIRECT(I$3),'Struktur Aktuell'!$D141,INDIRECT(I$4))+SUMIF(INDIRECT(I$3),'Struktur Aktuell'!$D141,INDIRECT(I$5)))</f>
        <v>0</v>
      </c>
      <c r="J141" s="593">
        <f ca="1">$E141*(-SUMIF(INDIRECT(J$3),'Struktur Aktuell'!$D141,INDIRECT(J$4))+SUMIF(INDIRECT(J$3),'Struktur Aktuell'!$D141,INDIRECT(J$5)))</f>
        <v>0</v>
      </c>
      <c r="K141" s="593">
        <f ca="1">$E141*(-SUMIF(INDIRECT(K$3),'Struktur Aktuell'!$D141,INDIRECT(K$4))+SUMIF(INDIRECT(K$3),'Struktur Aktuell'!$D141,INDIRECT(K$5)))</f>
        <v>0</v>
      </c>
      <c r="L141" s="593">
        <f ca="1">$E141*(-SUMIF(INDIRECT(L$3),'Struktur Aktuell'!$D141,INDIRECT(L$4))+SUMIF(INDIRECT(L$3),'Struktur Aktuell'!$D141,INDIRECT(L$5)))</f>
        <v>0</v>
      </c>
      <c r="M141" s="593">
        <f ca="1">$E141*(-SUMIF(INDIRECT(M$3),'Struktur Aktuell'!$D141,INDIRECT(M$4))+SUMIF(INDIRECT(M$3),'Struktur Aktuell'!$D141,INDIRECT(M$5)))</f>
        <v>0</v>
      </c>
      <c r="N141" s="593">
        <f ca="1">$E141*(-SUMIF(INDIRECT(N$3),'Struktur Aktuell'!$D141,INDIRECT(N$4))+SUMIF(INDIRECT(N$3),'Struktur Aktuell'!$D141,INDIRECT(N$5)))</f>
        <v>0</v>
      </c>
      <c r="O141" s="593">
        <f ca="1">$E141*(-SUMIF(INDIRECT(O$3),'Struktur Aktuell'!$D141,INDIRECT(O$4))+SUMIF(INDIRECT(O$3),'Struktur Aktuell'!$D141,INDIRECT(O$5)))</f>
        <v>0</v>
      </c>
      <c r="P141" s="593">
        <f ca="1">$E141*(-SUMIF(INDIRECT(P$3),'Struktur Aktuell'!$D141,INDIRECT(P$4))+SUMIF(INDIRECT(P$3),'Struktur Aktuell'!$D141,INDIRECT(P$5)))</f>
        <v>0</v>
      </c>
      <c r="Q141" s="593">
        <f ca="1">$E141*(-SUMIF(INDIRECT(Q$3),'Struktur Aktuell'!$D141,INDIRECT(Q$4))+SUMIF(INDIRECT(Q$3),'Struktur Aktuell'!$D141,INDIRECT(Q$5)))</f>
        <v>0</v>
      </c>
      <c r="R141" s="593">
        <f ca="1">$E141*(-SUMIF(INDIRECT(R$3),'Struktur Aktuell'!$D141,INDIRECT(R$4))+SUMIF(INDIRECT(R$3),'Struktur Aktuell'!$D141,INDIRECT(R$5)))</f>
        <v>0</v>
      </c>
      <c r="S141" s="593">
        <f ca="1">$E141*(-SUMIF(INDIRECT(S$3),'Struktur Aktuell'!$D141,INDIRECT(S$4))+SUMIF(INDIRECT(S$3),'Struktur Aktuell'!$D141,INDIRECT(S$5)))</f>
        <v>0</v>
      </c>
      <c r="T141" s="593">
        <f ca="1">$E141*(-SUMIF(INDIRECT(T$3),'Struktur Aktuell'!$D141,INDIRECT(T$4))+SUMIF(INDIRECT(T$3),'Struktur Aktuell'!$D141,INDIRECT(T$5)))</f>
        <v>0</v>
      </c>
      <c r="U141" s="593">
        <f ca="1">$E141*(-SUMIF(INDIRECT(U$3),'Struktur Aktuell'!$D141,INDIRECT(U$4))+SUMIF(INDIRECT(U$3),'Struktur Aktuell'!$D141,INDIRECT(U$5)))</f>
        <v>0</v>
      </c>
      <c r="V141" s="593">
        <f ca="1">$E141*(-SUMIF(INDIRECT(V$3),'Struktur Aktuell'!$D141,INDIRECT(V$4))+SUMIF(INDIRECT(V$3),'Struktur Aktuell'!$D141,INDIRECT(V$5)))</f>
        <v>0</v>
      </c>
      <c r="W141" s="593">
        <f ca="1">$E141*(-SUMIF(INDIRECT(W$3),'Struktur Aktuell'!$D141,INDIRECT(W$4))+SUMIF(INDIRECT(W$3),'Struktur Aktuell'!$D141,INDIRECT(W$5)))</f>
        <v>0</v>
      </c>
      <c r="X141" s="593">
        <f ca="1">$E141*(-SUMIF(INDIRECT(X$3),'Struktur Aktuell'!$D141,INDIRECT(X$4))+SUMIF(INDIRECT(X$3),'Struktur Aktuell'!$D141,INDIRECT(X$5)))</f>
        <v>0</v>
      </c>
      <c r="Y141" s="593">
        <f ca="1">$E141*(-SUMIF(INDIRECT(Y$3),'Struktur Aktuell'!$D141,INDIRECT(Y$4))+SUMIF(INDIRECT(Y$3),'Struktur Aktuell'!$D141,INDIRECT(Y$5)))</f>
        <v>0</v>
      </c>
      <c r="Z141" s="593">
        <f ca="1">$E141*(-SUMIF(INDIRECT(Z$3),'Struktur Aktuell'!$D141,INDIRECT(Z$4))+SUMIF(INDIRECT(Z$3),'Struktur Aktuell'!$D141,INDIRECT(Z$5)))</f>
        <v>0</v>
      </c>
      <c r="AA141" s="593">
        <f ca="1">$E141*(-SUMIF(INDIRECT(AA$3),'Struktur Aktuell'!$D141,INDIRECT(AA$4))+SUMIF(INDIRECT(AA$3),'Struktur Aktuell'!$D141,INDIRECT(AA$5)))</f>
        <v>0</v>
      </c>
      <c r="AB141" s="593">
        <f ca="1">$E141*(-SUMIF(INDIRECT(AB$3),'Struktur Aktuell'!$D141,INDIRECT(AB$4))+SUMIF(INDIRECT(AB$3),'Struktur Aktuell'!$D141,INDIRECT(AB$5)))</f>
        <v>0</v>
      </c>
      <c r="AC141" s="593">
        <f ca="1">$E141*(-SUMIF(INDIRECT(AC$3),'Struktur Aktuell'!$D141,INDIRECT(AC$4))+SUMIF(INDIRECT(AC$3),'Struktur Aktuell'!$D141,INDIRECT(AC$5)))</f>
        <v>0</v>
      </c>
      <c r="AD141" s="593">
        <f ca="1">$E141*(-SUMIF(INDIRECT(AD$3),'Struktur Aktuell'!$D141,INDIRECT(AD$4))+SUMIF(INDIRECT(AD$3),'Struktur Aktuell'!$D141,INDIRECT(AD$5)))</f>
        <v>0</v>
      </c>
      <c r="AE141" s="593">
        <f t="shared" ca="1" si="189"/>
        <v>0</v>
      </c>
      <c r="AF141" s="593">
        <f t="shared" ca="1" si="190"/>
        <v>0</v>
      </c>
      <c r="AG141" s="593">
        <f t="shared" ca="1" si="191"/>
        <v>0</v>
      </c>
      <c r="AH141" s="593">
        <f t="shared" ca="1" si="192"/>
        <v>0</v>
      </c>
      <c r="AI141" s="593">
        <f t="shared" ca="1" si="193"/>
        <v>0</v>
      </c>
      <c r="AJ141" s="593">
        <f t="shared" ca="1" si="194"/>
        <v>0</v>
      </c>
      <c r="AK141" s="593">
        <f t="shared" ca="1" si="195"/>
        <v>0</v>
      </c>
      <c r="AL141" s="593">
        <f t="shared" ca="1" si="196"/>
        <v>0</v>
      </c>
      <c r="AM141" s="593">
        <f t="shared" ca="1" si="197"/>
        <v>0</v>
      </c>
      <c r="AN141" s="593">
        <f t="shared" ca="1" si="198"/>
        <v>0</v>
      </c>
      <c r="AO141" s="593">
        <f t="shared" ca="1" si="199"/>
        <v>0</v>
      </c>
      <c r="AP141" s="593">
        <f t="shared" ca="1" si="200"/>
        <v>0</v>
      </c>
    </row>
    <row r="142" spans="1:42" s="594" customFormat="1" ht="11.25" outlineLevel="1" x14ac:dyDescent="0.2">
      <c r="A142" s="590"/>
      <c r="B142" s="591" t="str">
        <f>IF(D142&lt;&gt;"",
IF(ISERROR(MATCH(D142,'Ist Aktuell Monat 01'!A:A,0))=FALSE,INDEX('Ist Aktuell Monat 01'!B:B,MATCH(D142,'Ist Aktuell Monat 01'!A:A,0)),
IF(ISERROR(MATCH(D142,'Ist Aktuell Monat 02'!A:A,0))=FALSE,INDEX('Ist Aktuell Monat 02'!B:B,MATCH(D142,'Ist Aktuell Monat 02'!A:A,0)),
IF(ISERROR(MATCH(D142,'Ist Aktuell Monat 03'!A:A,0))=FALSE,INDEX('Ist Aktuell Monat 03'!B:B,MATCH(D142,'Ist Aktuell Monat 03'!A:A,0)),
IF(ISERROR(MATCH(D142,'Ist Aktuell Monat 04'!A:A,0))=FALSE,INDEX('Ist Aktuell Monat 04'!B:B,MATCH(D142,'Ist Aktuell Monat 04'!A:A,0)),
IF(ISERROR(MATCH(D142,'Ist Aktuell Monat 05'!A:A,0))=FALSE,INDEX('Ist Aktuell Monat 05'!B:B,MATCH(D142,'Ist Aktuell Monat 05'!A:A,0)),
IF(ISERROR(MATCH(D142,'Ist Aktuell Monat 06'!A:A,0))=FALSE,INDEX('Ist Aktuell Monat 06'!B:B,MATCH(D142,'Ist Aktuell Monat 06'!A:A,0)),
IF(ISERROR(MATCH(D142,'Ist Aktuell Monat 07'!A:A,0))=FALSE,INDEX('Ist Aktuell Monat 07'!B:B,MATCH(D142,'Ist Aktuell Monat 07'!A:A,0)),
IF(ISERROR(MATCH(D142,'Ist Aktuell Monat 08'!A:A,0))=FALSE,INDEX('Ist Aktuell Monat 08'!B:B,MATCH(D142,'Ist Aktuell Monat 08'!A:A,0)),
IF(ISERROR(MATCH(D142,'Ist Aktuell Monat 09'!A:A,0))=FALSE,INDEX('Ist Aktuell Monat 09'!B:B,MATCH(D142,'Ist Aktuell Monat 09'!A:A,0)),
IF(ISERROR(MATCH(D142,'Ist Aktuell Monat 10'!A:A,0))=FALSE,INDEX('Ist Aktuell Monat 10'!B:B,MATCH(D142,'Ist Aktuell Monat 10'!A:A,0)),
IF(ISERROR(MATCH(D142,'Ist Aktuell Monat 11'!A:A,0))=FALSE,INDEX('Ist Aktuell Monat 11'!B:B,MATCH(D142,'Ist Aktuell Monat 11'!A:A,0)),
IF(ISERROR(MATCH(D142,'Ist Aktuell Monat 12'!A:A,0))=FALSE,INDEX('Ist Aktuell Monat 12'!B:B,MATCH(D142,'Ist Aktuell Monat 12'!A:A,0)),
"{Konto unbekannt}"
)))))))))))),"")</f>
        <v/>
      </c>
      <c r="C142" s="591"/>
      <c r="D142" s="590"/>
      <c r="E142" s="592">
        <f t="shared" si="171"/>
        <v>1</v>
      </c>
      <c r="F142" s="590"/>
      <c r="G142" s="593">
        <f ca="1">$E142*(-SUMIF(INDIRECT(G$3),'Struktur Aktuell'!$D142,INDIRECT(G$4))+SUMIF(INDIRECT(G$3),'Struktur Aktuell'!$D142,INDIRECT(G$5)))</f>
        <v>0</v>
      </c>
      <c r="H142" s="593">
        <f ca="1">$E142*(-SUMIF(INDIRECT(H$3),'Struktur Aktuell'!$D142,INDIRECT(H$4))+SUMIF(INDIRECT(H$3),'Struktur Aktuell'!$D142,INDIRECT(H$5)))</f>
        <v>0</v>
      </c>
      <c r="I142" s="593">
        <f ca="1">$E142*(-SUMIF(INDIRECT(I$3),'Struktur Aktuell'!$D142,INDIRECT(I$4))+SUMIF(INDIRECT(I$3),'Struktur Aktuell'!$D142,INDIRECT(I$5)))</f>
        <v>0</v>
      </c>
      <c r="J142" s="593">
        <f ca="1">$E142*(-SUMIF(INDIRECT(J$3),'Struktur Aktuell'!$D142,INDIRECT(J$4))+SUMIF(INDIRECT(J$3),'Struktur Aktuell'!$D142,INDIRECT(J$5)))</f>
        <v>0</v>
      </c>
      <c r="K142" s="593">
        <f ca="1">$E142*(-SUMIF(INDIRECT(K$3),'Struktur Aktuell'!$D142,INDIRECT(K$4))+SUMIF(INDIRECT(K$3),'Struktur Aktuell'!$D142,INDIRECT(K$5)))</f>
        <v>0</v>
      </c>
      <c r="L142" s="593">
        <f ca="1">$E142*(-SUMIF(INDIRECT(L$3),'Struktur Aktuell'!$D142,INDIRECT(L$4))+SUMIF(INDIRECT(L$3),'Struktur Aktuell'!$D142,INDIRECT(L$5)))</f>
        <v>0</v>
      </c>
      <c r="M142" s="593">
        <f ca="1">$E142*(-SUMIF(INDIRECT(M$3),'Struktur Aktuell'!$D142,INDIRECT(M$4))+SUMIF(INDIRECT(M$3),'Struktur Aktuell'!$D142,INDIRECT(M$5)))</f>
        <v>0</v>
      </c>
      <c r="N142" s="593">
        <f ca="1">$E142*(-SUMIF(INDIRECT(N$3),'Struktur Aktuell'!$D142,INDIRECT(N$4))+SUMIF(INDIRECT(N$3),'Struktur Aktuell'!$D142,INDIRECT(N$5)))</f>
        <v>0</v>
      </c>
      <c r="O142" s="593">
        <f ca="1">$E142*(-SUMIF(INDIRECT(O$3),'Struktur Aktuell'!$D142,INDIRECT(O$4))+SUMIF(INDIRECT(O$3),'Struktur Aktuell'!$D142,INDIRECT(O$5)))</f>
        <v>0</v>
      </c>
      <c r="P142" s="593">
        <f ca="1">$E142*(-SUMIF(INDIRECT(P$3),'Struktur Aktuell'!$D142,INDIRECT(P$4))+SUMIF(INDIRECT(P$3),'Struktur Aktuell'!$D142,INDIRECT(P$5)))</f>
        <v>0</v>
      </c>
      <c r="Q142" s="593">
        <f ca="1">$E142*(-SUMIF(INDIRECT(Q$3),'Struktur Aktuell'!$D142,INDIRECT(Q$4))+SUMIF(INDIRECT(Q$3),'Struktur Aktuell'!$D142,INDIRECT(Q$5)))</f>
        <v>0</v>
      </c>
      <c r="R142" s="593">
        <f ca="1">$E142*(-SUMIF(INDIRECT(R$3),'Struktur Aktuell'!$D142,INDIRECT(R$4))+SUMIF(INDIRECT(R$3),'Struktur Aktuell'!$D142,INDIRECT(R$5)))</f>
        <v>0</v>
      </c>
      <c r="S142" s="593">
        <f ca="1">$E142*(-SUMIF(INDIRECT(S$3),'Struktur Aktuell'!$D142,INDIRECT(S$4))+SUMIF(INDIRECT(S$3),'Struktur Aktuell'!$D142,INDIRECT(S$5)))</f>
        <v>0</v>
      </c>
      <c r="T142" s="593">
        <f ca="1">$E142*(-SUMIF(INDIRECT(T$3),'Struktur Aktuell'!$D142,INDIRECT(T$4))+SUMIF(INDIRECT(T$3),'Struktur Aktuell'!$D142,INDIRECT(T$5)))</f>
        <v>0</v>
      </c>
      <c r="U142" s="593">
        <f ca="1">$E142*(-SUMIF(INDIRECT(U$3),'Struktur Aktuell'!$D142,INDIRECT(U$4))+SUMIF(INDIRECT(U$3),'Struktur Aktuell'!$D142,INDIRECT(U$5)))</f>
        <v>0</v>
      </c>
      <c r="V142" s="593">
        <f ca="1">$E142*(-SUMIF(INDIRECT(V$3),'Struktur Aktuell'!$D142,INDIRECT(V$4))+SUMIF(INDIRECT(V$3),'Struktur Aktuell'!$D142,INDIRECT(V$5)))</f>
        <v>0</v>
      </c>
      <c r="W142" s="593">
        <f ca="1">$E142*(-SUMIF(INDIRECT(W$3),'Struktur Aktuell'!$D142,INDIRECT(W$4))+SUMIF(INDIRECT(W$3),'Struktur Aktuell'!$D142,INDIRECT(W$5)))</f>
        <v>0</v>
      </c>
      <c r="X142" s="593">
        <f ca="1">$E142*(-SUMIF(INDIRECT(X$3),'Struktur Aktuell'!$D142,INDIRECT(X$4))+SUMIF(INDIRECT(X$3),'Struktur Aktuell'!$D142,INDIRECT(X$5)))</f>
        <v>0</v>
      </c>
      <c r="Y142" s="593">
        <f ca="1">$E142*(-SUMIF(INDIRECT(Y$3),'Struktur Aktuell'!$D142,INDIRECT(Y$4))+SUMIF(INDIRECT(Y$3),'Struktur Aktuell'!$D142,INDIRECT(Y$5)))</f>
        <v>0</v>
      </c>
      <c r="Z142" s="593">
        <f ca="1">$E142*(-SUMIF(INDIRECT(Z$3),'Struktur Aktuell'!$D142,INDIRECT(Z$4))+SUMIF(INDIRECT(Z$3),'Struktur Aktuell'!$D142,INDIRECT(Z$5)))</f>
        <v>0</v>
      </c>
      <c r="AA142" s="593">
        <f ca="1">$E142*(-SUMIF(INDIRECT(AA$3),'Struktur Aktuell'!$D142,INDIRECT(AA$4))+SUMIF(INDIRECT(AA$3),'Struktur Aktuell'!$D142,INDIRECT(AA$5)))</f>
        <v>0</v>
      </c>
      <c r="AB142" s="593">
        <f ca="1">$E142*(-SUMIF(INDIRECT(AB$3),'Struktur Aktuell'!$D142,INDIRECT(AB$4))+SUMIF(INDIRECT(AB$3),'Struktur Aktuell'!$D142,INDIRECT(AB$5)))</f>
        <v>0</v>
      </c>
      <c r="AC142" s="593">
        <f ca="1">$E142*(-SUMIF(INDIRECT(AC$3),'Struktur Aktuell'!$D142,INDIRECT(AC$4))+SUMIF(INDIRECT(AC$3),'Struktur Aktuell'!$D142,INDIRECT(AC$5)))</f>
        <v>0</v>
      </c>
      <c r="AD142" s="593">
        <f ca="1">$E142*(-SUMIF(INDIRECT(AD$3),'Struktur Aktuell'!$D142,INDIRECT(AD$4))+SUMIF(INDIRECT(AD$3),'Struktur Aktuell'!$D142,INDIRECT(AD$5)))</f>
        <v>0</v>
      </c>
      <c r="AE142" s="593">
        <f t="shared" ca="1" si="189"/>
        <v>0</v>
      </c>
      <c r="AF142" s="593">
        <f t="shared" ca="1" si="190"/>
        <v>0</v>
      </c>
      <c r="AG142" s="593">
        <f t="shared" ca="1" si="191"/>
        <v>0</v>
      </c>
      <c r="AH142" s="593">
        <f t="shared" ca="1" si="192"/>
        <v>0</v>
      </c>
      <c r="AI142" s="593">
        <f t="shared" ca="1" si="193"/>
        <v>0</v>
      </c>
      <c r="AJ142" s="593">
        <f t="shared" ca="1" si="194"/>
        <v>0</v>
      </c>
      <c r="AK142" s="593">
        <f t="shared" ca="1" si="195"/>
        <v>0</v>
      </c>
      <c r="AL142" s="593">
        <f t="shared" ca="1" si="196"/>
        <v>0</v>
      </c>
      <c r="AM142" s="593">
        <f t="shared" ca="1" si="197"/>
        <v>0</v>
      </c>
      <c r="AN142" s="593">
        <f t="shared" ca="1" si="198"/>
        <v>0</v>
      </c>
      <c r="AO142" s="593">
        <f t="shared" ca="1" si="199"/>
        <v>0</v>
      </c>
      <c r="AP142" s="593">
        <f t="shared" ca="1" si="200"/>
        <v>0</v>
      </c>
    </row>
    <row r="143" spans="1:42" s="594" customFormat="1" ht="11.25" outlineLevel="1" x14ac:dyDescent="0.2">
      <c r="A143" s="590"/>
      <c r="B143" s="591" t="str">
        <f>IF(D143&lt;&gt;"",
IF(ISERROR(MATCH(D143,'Ist Aktuell Monat 01'!A:A,0))=FALSE,INDEX('Ist Aktuell Monat 01'!B:B,MATCH(D143,'Ist Aktuell Monat 01'!A:A,0)),
IF(ISERROR(MATCH(D143,'Ist Aktuell Monat 02'!A:A,0))=FALSE,INDEX('Ist Aktuell Monat 02'!B:B,MATCH(D143,'Ist Aktuell Monat 02'!A:A,0)),
IF(ISERROR(MATCH(D143,'Ist Aktuell Monat 03'!A:A,0))=FALSE,INDEX('Ist Aktuell Monat 03'!B:B,MATCH(D143,'Ist Aktuell Monat 03'!A:A,0)),
IF(ISERROR(MATCH(D143,'Ist Aktuell Monat 04'!A:A,0))=FALSE,INDEX('Ist Aktuell Monat 04'!B:B,MATCH(D143,'Ist Aktuell Monat 04'!A:A,0)),
IF(ISERROR(MATCH(D143,'Ist Aktuell Monat 05'!A:A,0))=FALSE,INDEX('Ist Aktuell Monat 05'!B:B,MATCH(D143,'Ist Aktuell Monat 05'!A:A,0)),
IF(ISERROR(MATCH(D143,'Ist Aktuell Monat 06'!A:A,0))=FALSE,INDEX('Ist Aktuell Monat 06'!B:B,MATCH(D143,'Ist Aktuell Monat 06'!A:A,0)),
IF(ISERROR(MATCH(D143,'Ist Aktuell Monat 07'!A:A,0))=FALSE,INDEX('Ist Aktuell Monat 07'!B:B,MATCH(D143,'Ist Aktuell Monat 07'!A:A,0)),
IF(ISERROR(MATCH(D143,'Ist Aktuell Monat 08'!A:A,0))=FALSE,INDEX('Ist Aktuell Monat 08'!B:B,MATCH(D143,'Ist Aktuell Monat 08'!A:A,0)),
IF(ISERROR(MATCH(D143,'Ist Aktuell Monat 09'!A:A,0))=FALSE,INDEX('Ist Aktuell Monat 09'!B:B,MATCH(D143,'Ist Aktuell Monat 09'!A:A,0)),
IF(ISERROR(MATCH(D143,'Ist Aktuell Monat 10'!A:A,0))=FALSE,INDEX('Ist Aktuell Monat 10'!B:B,MATCH(D143,'Ist Aktuell Monat 10'!A:A,0)),
IF(ISERROR(MATCH(D143,'Ist Aktuell Monat 11'!A:A,0))=FALSE,INDEX('Ist Aktuell Monat 11'!B:B,MATCH(D143,'Ist Aktuell Monat 11'!A:A,0)),
IF(ISERROR(MATCH(D143,'Ist Aktuell Monat 12'!A:A,0))=FALSE,INDEX('Ist Aktuell Monat 12'!B:B,MATCH(D143,'Ist Aktuell Monat 12'!A:A,0)),
"{Konto unbekannt}"
)))))))))))),"")</f>
        <v/>
      </c>
      <c r="C143" s="591"/>
      <c r="D143" s="590"/>
      <c r="E143" s="592">
        <f t="shared" si="171"/>
        <v>1</v>
      </c>
      <c r="F143" s="590"/>
      <c r="G143" s="593">
        <f ca="1">$E143*(-SUMIF(INDIRECT(G$3),'Struktur Aktuell'!$D143,INDIRECT(G$4))+SUMIF(INDIRECT(G$3),'Struktur Aktuell'!$D143,INDIRECT(G$5)))</f>
        <v>0</v>
      </c>
      <c r="H143" s="593">
        <f ca="1">$E143*(-SUMIF(INDIRECT(H$3),'Struktur Aktuell'!$D143,INDIRECT(H$4))+SUMIF(INDIRECT(H$3),'Struktur Aktuell'!$D143,INDIRECT(H$5)))</f>
        <v>0</v>
      </c>
      <c r="I143" s="593">
        <f ca="1">$E143*(-SUMIF(INDIRECT(I$3),'Struktur Aktuell'!$D143,INDIRECT(I$4))+SUMIF(INDIRECT(I$3),'Struktur Aktuell'!$D143,INDIRECT(I$5)))</f>
        <v>0</v>
      </c>
      <c r="J143" s="593">
        <f ca="1">$E143*(-SUMIF(INDIRECT(J$3),'Struktur Aktuell'!$D143,INDIRECT(J$4))+SUMIF(INDIRECT(J$3),'Struktur Aktuell'!$D143,INDIRECT(J$5)))</f>
        <v>0</v>
      </c>
      <c r="K143" s="593">
        <f ca="1">$E143*(-SUMIF(INDIRECT(K$3),'Struktur Aktuell'!$D143,INDIRECT(K$4))+SUMIF(INDIRECT(K$3),'Struktur Aktuell'!$D143,INDIRECT(K$5)))</f>
        <v>0</v>
      </c>
      <c r="L143" s="593">
        <f ca="1">$E143*(-SUMIF(INDIRECT(L$3),'Struktur Aktuell'!$D143,INDIRECT(L$4))+SUMIF(INDIRECT(L$3),'Struktur Aktuell'!$D143,INDIRECT(L$5)))</f>
        <v>0</v>
      </c>
      <c r="M143" s="593">
        <f ca="1">$E143*(-SUMIF(INDIRECT(M$3),'Struktur Aktuell'!$D143,INDIRECT(M$4))+SUMIF(INDIRECT(M$3),'Struktur Aktuell'!$D143,INDIRECT(M$5)))</f>
        <v>0</v>
      </c>
      <c r="N143" s="593">
        <f ca="1">$E143*(-SUMIF(INDIRECT(N$3),'Struktur Aktuell'!$D143,INDIRECT(N$4))+SUMIF(INDIRECT(N$3),'Struktur Aktuell'!$D143,INDIRECT(N$5)))</f>
        <v>0</v>
      </c>
      <c r="O143" s="593">
        <f ca="1">$E143*(-SUMIF(INDIRECT(O$3),'Struktur Aktuell'!$D143,INDIRECT(O$4))+SUMIF(INDIRECT(O$3),'Struktur Aktuell'!$D143,INDIRECT(O$5)))</f>
        <v>0</v>
      </c>
      <c r="P143" s="593">
        <f ca="1">$E143*(-SUMIF(INDIRECT(P$3),'Struktur Aktuell'!$D143,INDIRECT(P$4))+SUMIF(INDIRECT(P$3),'Struktur Aktuell'!$D143,INDIRECT(P$5)))</f>
        <v>0</v>
      </c>
      <c r="Q143" s="593">
        <f ca="1">$E143*(-SUMIF(INDIRECT(Q$3),'Struktur Aktuell'!$D143,INDIRECT(Q$4))+SUMIF(INDIRECT(Q$3),'Struktur Aktuell'!$D143,INDIRECT(Q$5)))</f>
        <v>0</v>
      </c>
      <c r="R143" s="593">
        <f ca="1">$E143*(-SUMIF(INDIRECT(R$3),'Struktur Aktuell'!$D143,INDIRECT(R$4))+SUMIF(INDIRECT(R$3),'Struktur Aktuell'!$D143,INDIRECT(R$5)))</f>
        <v>0</v>
      </c>
      <c r="S143" s="593">
        <f ca="1">$E143*(-SUMIF(INDIRECT(S$3),'Struktur Aktuell'!$D143,INDIRECT(S$4))+SUMIF(INDIRECT(S$3),'Struktur Aktuell'!$D143,INDIRECT(S$5)))</f>
        <v>0</v>
      </c>
      <c r="T143" s="593">
        <f ca="1">$E143*(-SUMIF(INDIRECT(T$3),'Struktur Aktuell'!$D143,INDIRECT(T$4))+SUMIF(INDIRECT(T$3),'Struktur Aktuell'!$D143,INDIRECT(T$5)))</f>
        <v>0</v>
      </c>
      <c r="U143" s="593">
        <f ca="1">$E143*(-SUMIF(INDIRECT(U$3),'Struktur Aktuell'!$D143,INDIRECT(U$4))+SUMIF(INDIRECT(U$3),'Struktur Aktuell'!$D143,INDIRECT(U$5)))</f>
        <v>0</v>
      </c>
      <c r="V143" s="593">
        <f ca="1">$E143*(-SUMIF(INDIRECT(V$3),'Struktur Aktuell'!$D143,INDIRECT(V$4))+SUMIF(INDIRECT(V$3),'Struktur Aktuell'!$D143,INDIRECT(V$5)))</f>
        <v>0</v>
      </c>
      <c r="W143" s="593">
        <f ca="1">$E143*(-SUMIF(INDIRECT(W$3),'Struktur Aktuell'!$D143,INDIRECT(W$4))+SUMIF(INDIRECT(W$3),'Struktur Aktuell'!$D143,INDIRECT(W$5)))</f>
        <v>0</v>
      </c>
      <c r="X143" s="593">
        <f ca="1">$E143*(-SUMIF(INDIRECT(X$3),'Struktur Aktuell'!$D143,INDIRECT(X$4))+SUMIF(INDIRECT(X$3),'Struktur Aktuell'!$D143,INDIRECT(X$5)))</f>
        <v>0</v>
      </c>
      <c r="Y143" s="593">
        <f ca="1">$E143*(-SUMIF(INDIRECT(Y$3),'Struktur Aktuell'!$D143,INDIRECT(Y$4))+SUMIF(INDIRECT(Y$3),'Struktur Aktuell'!$D143,INDIRECT(Y$5)))</f>
        <v>0</v>
      </c>
      <c r="Z143" s="593">
        <f ca="1">$E143*(-SUMIF(INDIRECT(Z$3),'Struktur Aktuell'!$D143,INDIRECT(Z$4))+SUMIF(INDIRECT(Z$3),'Struktur Aktuell'!$D143,INDIRECT(Z$5)))</f>
        <v>0</v>
      </c>
      <c r="AA143" s="593">
        <f ca="1">$E143*(-SUMIF(INDIRECT(AA$3),'Struktur Aktuell'!$D143,INDIRECT(AA$4))+SUMIF(INDIRECT(AA$3),'Struktur Aktuell'!$D143,INDIRECT(AA$5)))</f>
        <v>0</v>
      </c>
      <c r="AB143" s="593">
        <f ca="1">$E143*(-SUMIF(INDIRECT(AB$3),'Struktur Aktuell'!$D143,INDIRECT(AB$4))+SUMIF(INDIRECT(AB$3),'Struktur Aktuell'!$D143,INDIRECT(AB$5)))</f>
        <v>0</v>
      </c>
      <c r="AC143" s="593">
        <f ca="1">$E143*(-SUMIF(INDIRECT(AC$3),'Struktur Aktuell'!$D143,INDIRECT(AC$4))+SUMIF(INDIRECT(AC$3),'Struktur Aktuell'!$D143,INDIRECT(AC$5)))</f>
        <v>0</v>
      </c>
      <c r="AD143" s="593">
        <f ca="1">$E143*(-SUMIF(INDIRECT(AD$3),'Struktur Aktuell'!$D143,INDIRECT(AD$4))+SUMIF(INDIRECT(AD$3),'Struktur Aktuell'!$D143,INDIRECT(AD$5)))</f>
        <v>0</v>
      </c>
      <c r="AE143" s="593">
        <f t="shared" ca="1" si="189"/>
        <v>0</v>
      </c>
      <c r="AF143" s="593">
        <f t="shared" ca="1" si="190"/>
        <v>0</v>
      </c>
      <c r="AG143" s="593">
        <f t="shared" ca="1" si="191"/>
        <v>0</v>
      </c>
      <c r="AH143" s="593">
        <f t="shared" ca="1" si="192"/>
        <v>0</v>
      </c>
      <c r="AI143" s="593">
        <f t="shared" ca="1" si="193"/>
        <v>0</v>
      </c>
      <c r="AJ143" s="593">
        <f t="shared" ca="1" si="194"/>
        <v>0</v>
      </c>
      <c r="AK143" s="593">
        <f t="shared" ca="1" si="195"/>
        <v>0</v>
      </c>
      <c r="AL143" s="593">
        <f t="shared" ca="1" si="196"/>
        <v>0</v>
      </c>
      <c r="AM143" s="593">
        <f t="shared" ca="1" si="197"/>
        <v>0</v>
      </c>
      <c r="AN143" s="593">
        <f t="shared" ca="1" si="198"/>
        <v>0</v>
      </c>
      <c r="AO143" s="593">
        <f t="shared" ca="1" si="199"/>
        <v>0</v>
      </c>
      <c r="AP143" s="593">
        <f t="shared" ca="1" si="200"/>
        <v>0</v>
      </c>
    </row>
    <row r="144" spans="1:42" s="589" customFormat="1" x14ac:dyDescent="0.2">
      <c r="A144" s="585">
        <v>13</v>
      </c>
      <c r="B144" s="586" t="s">
        <v>1009</v>
      </c>
      <c r="C144" s="587">
        <f ca="1">SUM(G144:R144)</f>
        <v>2031.62</v>
      </c>
      <c r="D144" s="587"/>
      <c r="E144" s="588">
        <f t="shared" si="171"/>
        <v>1</v>
      </c>
      <c r="F144" s="585"/>
      <c r="G144" s="587">
        <f t="shared" ref="G144:R144" ca="1" si="201">SUM(G145:G152)</f>
        <v>29.269999999999996</v>
      </c>
      <c r="H144" s="587">
        <f t="shared" ca="1" si="201"/>
        <v>10.37</v>
      </c>
      <c r="I144" s="587">
        <f t="shared" ca="1" si="201"/>
        <v>500.02</v>
      </c>
      <c r="J144" s="587">
        <f t="shared" ca="1" si="201"/>
        <v>149.65</v>
      </c>
      <c r="K144" s="587">
        <f t="shared" ca="1" si="201"/>
        <v>55.669999999999995</v>
      </c>
      <c r="L144" s="587">
        <f t="shared" ca="1" si="201"/>
        <v>106.37</v>
      </c>
      <c r="M144" s="587">
        <f t="shared" ca="1" si="201"/>
        <v>649.11</v>
      </c>
      <c r="N144" s="587">
        <f t="shared" ca="1" si="201"/>
        <v>91.2</v>
      </c>
      <c r="O144" s="587">
        <f t="shared" ca="1" si="201"/>
        <v>99.600000000000009</v>
      </c>
      <c r="P144" s="587">
        <f t="shared" ca="1" si="201"/>
        <v>340.36</v>
      </c>
      <c r="Q144" s="587">
        <f t="shared" ca="1" si="201"/>
        <v>0</v>
      </c>
      <c r="R144" s="587">
        <f t="shared" ca="1" si="201"/>
        <v>0</v>
      </c>
      <c r="S144" s="587">
        <f t="shared" ref="S144:AP144" ca="1" si="202">SUM(S145:S152)</f>
        <v>29.269999999999996</v>
      </c>
      <c r="T144" s="587">
        <f t="shared" ca="1" si="202"/>
        <v>39.64</v>
      </c>
      <c r="U144" s="587">
        <f t="shared" ca="1" si="202"/>
        <v>539.66</v>
      </c>
      <c r="V144" s="587">
        <f t="shared" ca="1" si="202"/>
        <v>689.31</v>
      </c>
      <c r="W144" s="587">
        <f t="shared" ca="1" si="202"/>
        <v>744.98</v>
      </c>
      <c r="X144" s="587">
        <f t="shared" ca="1" si="202"/>
        <v>851.35</v>
      </c>
      <c r="Y144" s="587">
        <f t="shared" ca="1" si="202"/>
        <v>1500.46</v>
      </c>
      <c r="Z144" s="587">
        <f t="shared" ca="1" si="202"/>
        <v>1591.6599999999999</v>
      </c>
      <c r="AA144" s="587">
        <f t="shared" ca="1" si="202"/>
        <v>1691.26</v>
      </c>
      <c r="AB144" s="587">
        <f t="shared" ca="1" si="202"/>
        <v>2031.6200000000001</v>
      </c>
      <c r="AC144" s="587">
        <f t="shared" ca="1" si="202"/>
        <v>0</v>
      </c>
      <c r="AD144" s="587">
        <f t="shared" ca="1" si="202"/>
        <v>0</v>
      </c>
      <c r="AE144" s="587">
        <f t="shared" ca="1" si="202"/>
        <v>29.269999999999996</v>
      </c>
      <c r="AF144" s="587">
        <f t="shared" ca="1" si="202"/>
        <v>39.64</v>
      </c>
      <c r="AG144" s="587">
        <f t="shared" ca="1" si="202"/>
        <v>539.66</v>
      </c>
      <c r="AH144" s="587">
        <f t="shared" ca="1" si="202"/>
        <v>689.31</v>
      </c>
      <c r="AI144" s="587">
        <f t="shared" ca="1" si="202"/>
        <v>744.98</v>
      </c>
      <c r="AJ144" s="587">
        <f t="shared" ca="1" si="202"/>
        <v>851.35</v>
      </c>
      <c r="AK144" s="587">
        <f t="shared" ca="1" si="202"/>
        <v>1500.4599999999998</v>
      </c>
      <c r="AL144" s="587">
        <f t="shared" ca="1" si="202"/>
        <v>1591.6599999999999</v>
      </c>
      <c r="AM144" s="587">
        <f t="shared" ca="1" si="202"/>
        <v>1691.26</v>
      </c>
      <c r="AN144" s="587">
        <f t="shared" ca="1" si="202"/>
        <v>2031.62</v>
      </c>
      <c r="AO144" s="587">
        <f t="shared" ca="1" si="202"/>
        <v>2031.62</v>
      </c>
      <c r="AP144" s="587">
        <f t="shared" ca="1" si="202"/>
        <v>2031.62</v>
      </c>
    </row>
    <row r="145" spans="1:42" s="594" customFormat="1" ht="11.25" outlineLevel="1" x14ac:dyDescent="0.2">
      <c r="A145" s="590"/>
      <c r="B145" s="591" t="str">
        <f>IF(D145&lt;&gt;"",
IF(ISERROR(MATCH(D145,'Ist Aktuell Monat 01'!A:A,0))=FALSE,INDEX('Ist Aktuell Monat 01'!B:B,MATCH(D145,'Ist Aktuell Monat 01'!A:A,0)),
IF(ISERROR(MATCH(D145,'Ist Aktuell Monat 02'!A:A,0))=FALSE,INDEX('Ist Aktuell Monat 02'!B:B,MATCH(D145,'Ist Aktuell Monat 02'!A:A,0)),
IF(ISERROR(MATCH(D145,'Ist Aktuell Monat 03'!A:A,0))=FALSE,INDEX('Ist Aktuell Monat 03'!B:B,MATCH(D145,'Ist Aktuell Monat 03'!A:A,0)),
IF(ISERROR(MATCH(D145,'Ist Aktuell Monat 04'!A:A,0))=FALSE,INDEX('Ist Aktuell Monat 04'!B:B,MATCH(D145,'Ist Aktuell Monat 04'!A:A,0)),
IF(ISERROR(MATCH(D145,'Ist Aktuell Monat 05'!A:A,0))=FALSE,INDEX('Ist Aktuell Monat 05'!B:B,MATCH(D145,'Ist Aktuell Monat 05'!A:A,0)),
IF(ISERROR(MATCH(D145,'Ist Aktuell Monat 06'!A:A,0))=FALSE,INDEX('Ist Aktuell Monat 06'!B:B,MATCH(D145,'Ist Aktuell Monat 06'!A:A,0)),
IF(ISERROR(MATCH(D145,'Ist Aktuell Monat 07'!A:A,0))=FALSE,INDEX('Ist Aktuell Monat 07'!B:B,MATCH(D145,'Ist Aktuell Monat 07'!A:A,0)),
IF(ISERROR(MATCH(D145,'Ist Aktuell Monat 08'!A:A,0))=FALSE,INDEX('Ist Aktuell Monat 08'!B:B,MATCH(D145,'Ist Aktuell Monat 08'!A:A,0)),
IF(ISERROR(MATCH(D145,'Ist Aktuell Monat 09'!A:A,0))=FALSE,INDEX('Ist Aktuell Monat 09'!B:B,MATCH(D145,'Ist Aktuell Monat 09'!A:A,0)),
IF(ISERROR(MATCH(D145,'Ist Aktuell Monat 10'!A:A,0))=FALSE,INDEX('Ist Aktuell Monat 10'!B:B,MATCH(D145,'Ist Aktuell Monat 10'!A:A,0)),
IF(ISERROR(MATCH(D145,'Ist Aktuell Monat 11'!A:A,0))=FALSE,INDEX('Ist Aktuell Monat 11'!B:B,MATCH(D145,'Ist Aktuell Monat 11'!A:A,0)),
IF(ISERROR(MATCH(D145,'Ist Aktuell Monat 12'!A:A,0))=FALSE,INDEX('Ist Aktuell Monat 12'!B:B,MATCH(D145,'Ist Aktuell Monat 12'!A:A,0)),
"{Konto unbekannt}"
)))))))))))),"")</f>
        <v>Freiwillige soziale Aufwendung. LSt-frei</v>
      </c>
      <c r="C145" s="591"/>
      <c r="D145" s="590">
        <v>4140</v>
      </c>
      <c r="E145" s="592">
        <f t="shared" si="171"/>
        <v>1</v>
      </c>
      <c r="F145" s="590"/>
      <c r="G145" s="593">
        <f ca="1">$E145*(-SUMIF(INDIRECT(G$3),'Struktur Aktuell'!$D145,INDIRECT(G$4))+SUMIF(INDIRECT(G$3),'Struktur Aktuell'!$D145,INDIRECT(G$5)))</f>
        <v>0</v>
      </c>
      <c r="H145" s="593">
        <f ca="1">$E145*(-SUMIF(INDIRECT(H$3),'Struktur Aktuell'!$D145,INDIRECT(H$4))+SUMIF(INDIRECT(H$3),'Struktur Aktuell'!$D145,INDIRECT(H$5)))</f>
        <v>0</v>
      </c>
      <c r="I145" s="593">
        <f ca="1">$E145*(-SUMIF(INDIRECT(I$3),'Struktur Aktuell'!$D145,INDIRECT(I$4))+SUMIF(INDIRECT(I$3),'Struktur Aktuell'!$D145,INDIRECT(I$5)))</f>
        <v>342.65</v>
      </c>
      <c r="J145" s="593">
        <f ca="1">$E145*(-SUMIF(INDIRECT(J$3),'Struktur Aktuell'!$D145,INDIRECT(J$4))+SUMIF(INDIRECT(J$3),'Struktur Aktuell'!$D145,INDIRECT(J$5)))</f>
        <v>14.88</v>
      </c>
      <c r="K145" s="593">
        <f ca="1">$E145*(-SUMIF(INDIRECT(K$3),'Struktur Aktuell'!$D145,INDIRECT(K$4))+SUMIF(INDIRECT(K$3),'Struktur Aktuell'!$D145,INDIRECT(K$5)))</f>
        <v>0</v>
      </c>
      <c r="L145" s="593">
        <f ca="1">$E145*(-SUMIF(INDIRECT(L$3),'Struktur Aktuell'!$D145,INDIRECT(L$4))+SUMIF(INDIRECT(L$3),'Struktur Aktuell'!$D145,INDIRECT(L$5)))</f>
        <v>0</v>
      </c>
      <c r="M145" s="593">
        <f ca="1">$E145*(-SUMIF(INDIRECT(M$3),'Struktur Aktuell'!$D145,INDIRECT(M$4))+SUMIF(INDIRECT(M$3),'Struktur Aktuell'!$D145,INDIRECT(M$5)))</f>
        <v>42.02</v>
      </c>
      <c r="N145" s="593">
        <f ca="1">$E145*(-SUMIF(INDIRECT(N$3),'Struktur Aktuell'!$D145,INDIRECT(N$4))+SUMIF(INDIRECT(N$3),'Struktur Aktuell'!$D145,INDIRECT(N$5)))</f>
        <v>0</v>
      </c>
      <c r="O145" s="593">
        <f ca="1">$E145*(-SUMIF(INDIRECT(O$3),'Struktur Aktuell'!$D145,INDIRECT(O$4))+SUMIF(INDIRECT(O$3),'Struktur Aktuell'!$D145,INDIRECT(O$5)))</f>
        <v>0</v>
      </c>
      <c r="P145" s="593">
        <f ca="1">$E145*(-SUMIF(INDIRECT(P$3),'Struktur Aktuell'!$D145,INDIRECT(P$4))+SUMIF(INDIRECT(P$3),'Struktur Aktuell'!$D145,INDIRECT(P$5)))</f>
        <v>40.36</v>
      </c>
      <c r="Q145" s="593">
        <f ca="1">$E145*(-SUMIF(INDIRECT(Q$3),'Struktur Aktuell'!$D145,INDIRECT(Q$4))+SUMIF(INDIRECT(Q$3),'Struktur Aktuell'!$D145,INDIRECT(Q$5)))</f>
        <v>0</v>
      </c>
      <c r="R145" s="593">
        <f ca="1">$E145*(-SUMIF(INDIRECT(R$3),'Struktur Aktuell'!$D145,INDIRECT(R$4))+SUMIF(INDIRECT(R$3),'Struktur Aktuell'!$D145,INDIRECT(R$5)))</f>
        <v>0</v>
      </c>
      <c r="S145" s="593">
        <f ca="1">$E145*(-SUMIF(INDIRECT(S$3),'Struktur Aktuell'!$D145,INDIRECT(S$4))+SUMIF(INDIRECT(S$3),'Struktur Aktuell'!$D145,INDIRECT(S$5)))</f>
        <v>0</v>
      </c>
      <c r="T145" s="593">
        <f ca="1">$E145*(-SUMIF(INDIRECT(T$3),'Struktur Aktuell'!$D145,INDIRECT(T$4))+SUMIF(INDIRECT(T$3),'Struktur Aktuell'!$D145,INDIRECT(T$5)))</f>
        <v>0</v>
      </c>
      <c r="U145" s="593">
        <f ca="1">$E145*(-SUMIF(INDIRECT(U$3),'Struktur Aktuell'!$D145,INDIRECT(U$4))+SUMIF(INDIRECT(U$3),'Struktur Aktuell'!$D145,INDIRECT(U$5)))</f>
        <v>342.65</v>
      </c>
      <c r="V145" s="593">
        <f ca="1">$E145*(-SUMIF(INDIRECT(V$3),'Struktur Aktuell'!$D145,INDIRECT(V$4))+SUMIF(INDIRECT(V$3),'Struktur Aktuell'!$D145,INDIRECT(V$5)))</f>
        <v>357.53</v>
      </c>
      <c r="W145" s="593">
        <f ca="1">$E145*(-SUMIF(INDIRECT(W$3),'Struktur Aktuell'!$D145,INDIRECT(W$4))+SUMIF(INDIRECT(W$3),'Struktur Aktuell'!$D145,INDIRECT(W$5)))</f>
        <v>357.53</v>
      </c>
      <c r="X145" s="593">
        <f ca="1">$E145*(-SUMIF(INDIRECT(X$3),'Struktur Aktuell'!$D145,INDIRECT(X$4))+SUMIF(INDIRECT(X$3),'Struktur Aktuell'!$D145,INDIRECT(X$5)))</f>
        <v>357.53</v>
      </c>
      <c r="Y145" s="593">
        <f ca="1">$E145*(-SUMIF(INDIRECT(Y$3),'Struktur Aktuell'!$D145,INDIRECT(Y$4))+SUMIF(INDIRECT(Y$3),'Struktur Aktuell'!$D145,INDIRECT(Y$5)))</f>
        <v>399.55</v>
      </c>
      <c r="Z145" s="593">
        <f ca="1">$E145*(-SUMIF(INDIRECT(Z$3),'Struktur Aktuell'!$D145,INDIRECT(Z$4))+SUMIF(INDIRECT(Z$3),'Struktur Aktuell'!$D145,INDIRECT(Z$5)))</f>
        <v>399.55</v>
      </c>
      <c r="AA145" s="593">
        <f ca="1">$E145*(-SUMIF(INDIRECT(AA$3),'Struktur Aktuell'!$D145,INDIRECT(AA$4))+SUMIF(INDIRECT(AA$3),'Struktur Aktuell'!$D145,INDIRECT(AA$5)))</f>
        <v>399.55</v>
      </c>
      <c r="AB145" s="593">
        <f ca="1">$E145*(-SUMIF(INDIRECT(AB$3),'Struktur Aktuell'!$D145,INDIRECT(AB$4))+SUMIF(INDIRECT(AB$3),'Struktur Aktuell'!$D145,INDIRECT(AB$5)))</f>
        <v>439.91</v>
      </c>
      <c r="AC145" s="593">
        <f ca="1">$E145*(-SUMIF(INDIRECT(AC$3),'Struktur Aktuell'!$D145,INDIRECT(AC$4))+SUMIF(INDIRECT(AC$3),'Struktur Aktuell'!$D145,INDIRECT(AC$5)))</f>
        <v>0</v>
      </c>
      <c r="AD145" s="593">
        <f ca="1">$E145*(-SUMIF(INDIRECT(AD$3),'Struktur Aktuell'!$D145,INDIRECT(AD$4))+SUMIF(INDIRECT(AD$3),'Struktur Aktuell'!$D145,INDIRECT(AD$5)))</f>
        <v>0</v>
      </c>
      <c r="AE145" s="593">
        <f t="shared" ref="AE145:AE152" ca="1" si="203">G145</f>
        <v>0</v>
      </c>
      <c r="AF145" s="593">
        <f t="shared" ref="AF145:AF152" ca="1" si="204">H145+AE145</f>
        <v>0</v>
      </c>
      <c r="AG145" s="593">
        <f t="shared" ref="AG145:AG152" ca="1" si="205">I145+AF145</f>
        <v>342.65</v>
      </c>
      <c r="AH145" s="593">
        <f t="shared" ref="AH145:AH152" ca="1" si="206">J145+AG145</f>
        <v>357.53</v>
      </c>
      <c r="AI145" s="593">
        <f t="shared" ref="AI145:AI152" ca="1" si="207">K145+AH145</f>
        <v>357.53</v>
      </c>
      <c r="AJ145" s="593">
        <f t="shared" ref="AJ145:AJ152" ca="1" si="208">L145+AI145</f>
        <v>357.53</v>
      </c>
      <c r="AK145" s="593">
        <f t="shared" ref="AK145:AK152" ca="1" si="209">M145+AJ145</f>
        <v>399.54999999999995</v>
      </c>
      <c r="AL145" s="593">
        <f t="shared" ref="AL145:AL152" ca="1" si="210">N145+AK145</f>
        <v>399.54999999999995</v>
      </c>
      <c r="AM145" s="593">
        <f t="shared" ref="AM145:AM152" ca="1" si="211">O145+AL145</f>
        <v>399.54999999999995</v>
      </c>
      <c r="AN145" s="593">
        <f t="shared" ref="AN145:AN152" ca="1" si="212">P145+AM145</f>
        <v>439.90999999999997</v>
      </c>
      <c r="AO145" s="593">
        <f t="shared" ref="AO145:AO152" ca="1" si="213">Q145+AN145</f>
        <v>439.90999999999997</v>
      </c>
      <c r="AP145" s="593">
        <f t="shared" ref="AP145:AP152" ca="1" si="214">R145+AO145</f>
        <v>439.90999999999997</v>
      </c>
    </row>
    <row r="146" spans="1:42" s="594" customFormat="1" ht="11.25" outlineLevel="1" x14ac:dyDescent="0.2">
      <c r="A146" s="590"/>
      <c r="B146" s="591" t="str">
        <f>IF(D146&lt;&gt;"",
IF(ISERROR(MATCH(D146,'Ist Aktuell Monat 01'!A:A,0))=FALSE,INDEX('Ist Aktuell Monat 01'!B:B,MATCH(D146,'Ist Aktuell Monat 01'!A:A,0)),
IF(ISERROR(MATCH(D146,'Ist Aktuell Monat 02'!A:A,0))=FALSE,INDEX('Ist Aktuell Monat 02'!B:B,MATCH(D146,'Ist Aktuell Monat 02'!A:A,0)),
IF(ISERROR(MATCH(D146,'Ist Aktuell Monat 03'!A:A,0))=FALSE,INDEX('Ist Aktuell Monat 03'!B:B,MATCH(D146,'Ist Aktuell Monat 03'!A:A,0)),
IF(ISERROR(MATCH(D146,'Ist Aktuell Monat 04'!A:A,0))=FALSE,INDEX('Ist Aktuell Monat 04'!B:B,MATCH(D146,'Ist Aktuell Monat 04'!A:A,0)),
IF(ISERROR(MATCH(D146,'Ist Aktuell Monat 05'!A:A,0))=FALSE,INDEX('Ist Aktuell Monat 05'!B:B,MATCH(D146,'Ist Aktuell Monat 05'!A:A,0)),
IF(ISERROR(MATCH(D146,'Ist Aktuell Monat 06'!A:A,0))=FALSE,INDEX('Ist Aktuell Monat 06'!B:B,MATCH(D146,'Ist Aktuell Monat 06'!A:A,0)),
IF(ISERROR(MATCH(D146,'Ist Aktuell Monat 07'!A:A,0))=FALSE,INDEX('Ist Aktuell Monat 07'!B:B,MATCH(D146,'Ist Aktuell Monat 07'!A:A,0)),
IF(ISERROR(MATCH(D146,'Ist Aktuell Monat 08'!A:A,0))=FALSE,INDEX('Ist Aktuell Monat 08'!B:B,MATCH(D146,'Ist Aktuell Monat 08'!A:A,0)),
IF(ISERROR(MATCH(D146,'Ist Aktuell Monat 09'!A:A,0))=FALSE,INDEX('Ist Aktuell Monat 09'!B:B,MATCH(D146,'Ist Aktuell Monat 09'!A:A,0)),
IF(ISERROR(MATCH(D146,'Ist Aktuell Monat 10'!A:A,0))=FALSE,INDEX('Ist Aktuell Monat 10'!B:B,MATCH(D146,'Ist Aktuell Monat 10'!A:A,0)),
IF(ISERROR(MATCH(D146,'Ist Aktuell Monat 11'!A:A,0))=FALSE,INDEX('Ist Aktuell Monat 11'!B:B,MATCH(D146,'Ist Aktuell Monat 11'!A:A,0)),
IF(ISERROR(MATCH(D146,'Ist Aktuell Monat 12'!A:A,0))=FALSE,INDEX('Ist Aktuell Monat 12'!B:B,MATCH(D146,'Ist Aktuell Monat 12'!A:A,0)),
"{Konto unbekannt}"
)))))))))))),"")</f>
        <v>Sachzuwendungen und Dienstleistg. an AN</v>
      </c>
      <c r="C146" s="591"/>
      <c r="D146" s="590">
        <v>4152</v>
      </c>
      <c r="E146" s="592">
        <f t="shared" si="171"/>
        <v>1</v>
      </c>
      <c r="F146" s="590"/>
      <c r="G146" s="593">
        <f ca="1">$E146*(-SUMIF(INDIRECT(G$3),'Struktur Aktuell'!$D146,INDIRECT(G$4))+SUMIF(INDIRECT(G$3),'Struktur Aktuell'!$D146,INDIRECT(G$5)))</f>
        <v>0</v>
      </c>
      <c r="H146" s="593">
        <f ca="1">$E146*(-SUMIF(INDIRECT(H$3),'Struktur Aktuell'!$D146,INDIRECT(H$4))+SUMIF(INDIRECT(H$3),'Struktur Aktuell'!$D146,INDIRECT(H$5)))</f>
        <v>0</v>
      </c>
      <c r="I146" s="593">
        <f ca="1">$E146*(-SUMIF(INDIRECT(I$3),'Struktur Aktuell'!$D146,INDIRECT(I$4))+SUMIF(INDIRECT(I$3),'Struktur Aktuell'!$D146,INDIRECT(I$5)))</f>
        <v>120</v>
      </c>
      <c r="J146" s="593">
        <f ca="1">$E146*(-SUMIF(INDIRECT(J$3),'Struktur Aktuell'!$D146,INDIRECT(J$4))+SUMIF(INDIRECT(J$3),'Struktur Aktuell'!$D146,INDIRECT(J$5)))</f>
        <v>80</v>
      </c>
      <c r="K146" s="593">
        <f ca="1">$E146*(-SUMIF(INDIRECT(K$3),'Struktur Aktuell'!$D146,INDIRECT(K$4))+SUMIF(INDIRECT(K$3),'Struktur Aktuell'!$D146,INDIRECT(K$5)))</f>
        <v>0</v>
      </c>
      <c r="L146" s="593">
        <f ca="1">$E146*(-SUMIF(INDIRECT(L$3),'Struktur Aktuell'!$D146,INDIRECT(L$4))+SUMIF(INDIRECT(L$3),'Struktur Aktuell'!$D146,INDIRECT(L$5)))</f>
        <v>0</v>
      </c>
      <c r="M146" s="593">
        <f ca="1">$E146*(-SUMIF(INDIRECT(M$3),'Struktur Aktuell'!$D146,INDIRECT(M$4))+SUMIF(INDIRECT(M$3),'Struktur Aktuell'!$D146,INDIRECT(M$5)))</f>
        <v>160</v>
      </c>
      <c r="N146" s="593">
        <f ca="1">$E146*(-SUMIF(INDIRECT(N$3),'Struktur Aktuell'!$D146,INDIRECT(N$4))+SUMIF(INDIRECT(N$3),'Struktur Aktuell'!$D146,INDIRECT(N$5)))</f>
        <v>80</v>
      </c>
      <c r="O146" s="593">
        <f ca="1">$E146*(-SUMIF(INDIRECT(O$3),'Struktur Aktuell'!$D146,INDIRECT(O$4))+SUMIF(INDIRECT(O$3),'Struktur Aktuell'!$D146,INDIRECT(O$5)))</f>
        <v>80</v>
      </c>
      <c r="P146" s="593">
        <f ca="1">$E146*(-SUMIF(INDIRECT(P$3),'Struktur Aktuell'!$D146,INDIRECT(P$4))+SUMIF(INDIRECT(P$3),'Struktur Aktuell'!$D146,INDIRECT(P$5)))</f>
        <v>80</v>
      </c>
      <c r="Q146" s="593">
        <f ca="1">$E146*(-SUMIF(INDIRECT(Q$3),'Struktur Aktuell'!$D146,INDIRECT(Q$4))+SUMIF(INDIRECT(Q$3),'Struktur Aktuell'!$D146,INDIRECT(Q$5)))</f>
        <v>0</v>
      </c>
      <c r="R146" s="593">
        <f ca="1">$E146*(-SUMIF(INDIRECT(R$3),'Struktur Aktuell'!$D146,INDIRECT(R$4))+SUMIF(INDIRECT(R$3),'Struktur Aktuell'!$D146,INDIRECT(R$5)))</f>
        <v>0</v>
      </c>
      <c r="S146" s="593">
        <f ca="1">$E146*(-SUMIF(INDIRECT(S$3),'Struktur Aktuell'!$D146,INDIRECT(S$4))+SUMIF(INDIRECT(S$3),'Struktur Aktuell'!$D146,INDIRECT(S$5)))</f>
        <v>0</v>
      </c>
      <c r="T146" s="593">
        <f ca="1">$E146*(-SUMIF(INDIRECT(T$3),'Struktur Aktuell'!$D146,INDIRECT(T$4))+SUMIF(INDIRECT(T$3),'Struktur Aktuell'!$D146,INDIRECT(T$5)))</f>
        <v>0</v>
      </c>
      <c r="U146" s="593">
        <f ca="1">$E146*(-SUMIF(INDIRECT(U$3),'Struktur Aktuell'!$D146,INDIRECT(U$4))+SUMIF(INDIRECT(U$3),'Struktur Aktuell'!$D146,INDIRECT(U$5)))</f>
        <v>120</v>
      </c>
      <c r="V146" s="593">
        <f ca="1">$E146*(-SUMIF(INDIRECT(V$3),'Struktur Aktuell'!$D146,INDIRECT(V$4))+SUMIF(INDIRECT(V$3),'Struktur Aktuell'!$D146,INDIRECT(V$5)))</f>
        <v>200</v>
      </c>
      <c r="W146" s="593">
        <f ca="1">$E146*(-SUMIF(INDIRECT(W$3),'Struktur Aktuell'!$D146,INDIRECT(W$4))+SUMIF(INDIRECT(W$3),'Struktur Aktuell'!$D146,INDIRECT(W$5)))</f>
        <v>200</v>
      </c>
      <c r="X146" s="593">
        <f ca="1">$E146*(-SUMIF(INDIRECT(X$3),'Struktur Aktuell'!$D146,INDIRECT(X$4))+SUMIF(INDIRECT(X$3),'Struktur Aktuell'!$D146,INDIRECT(X$5)))</f>
        <v>200</v>
      </c>
      <c r="Y146" s="593">
        <f ca="1">$E146*(-SUMIF(INDIRECT(Y$3),'Struktur Aktuell'!$D146,INDIRECT(Y$4))+SUMIF(INDIRECT(Y$3),'Struktur Aktuell'!$D146,INDIRECT(Y$5)))</f>
        <v>360</v>
      </c>
      <c r="Z146" s="593">
        <f ca="1">$E146*(-SUMIF(INDIRECT(Z$3),'Struktur Aktuell'!$D146,INDIRECT(Z$4))+SUMIF(INDIRECT(Z$3),'Struktur Aktuell'!$D146,INDIRECT(Z$5)))</f>
        <v>440</v>
      </c>
      <c r="AA146" s="593">
        <f ca="1">$E146*(-SUMIF(INDIRECT(AA$3),'Struktur Aktuell'!$D146,INDIRECT(AA$4))+SUMIF(INDIRECT(AA$3),'Struktur Aktuell'!$D146,INDIRECT(AA$5)))</f>
        <v>520</v>
      </c>
      <c r="AB146" s="593">
        <f ca="1">$E146*(-SUMIF(INDIRECT(AB$3),'Struktur Aktuell'!$D146,INDIRECT(AB$4))+SUMIF(INDIRECT(AB$3),'Struktur Aktuell'!$D146,INDIRECT(AB$5)))</f>
        <v>600</v>
      </c>
      <c r="AC146" s="593">
        <f ca="1">$E146*(-SUMIF(INDIRECT(AC$3),'Struktur Aktuell'!$D146,INDIRECT(AC$4))+SUMIF(INDIRECT(AC$3),'Struktur Aktuell'!$D146,INDIRECT(AC$5)))</f>
        <v>0</v>
      </c>
      <c r="AD146" s="593">
        <f ca="1">$E146*(-SUMIF(INDIRECT(AD$3),'Struktur Aktuell'!$D146,INDIRECT(AD$4))+SUMIF(INDIRECT(AD$3),'Struktur Aktuell'!$D146,INDIRECT(AD$5)))</f>
        <v>0</v>
      </c>
      <c r="AE146" s="593">
        <f t="shared" ca="1" si="203"/>
        <v>0</v>
      </c>
      <c r="AF146" s="593">
        <f t="shared" ca="1" si="204"/>
        <v>0</v>
      </c>
      <c r="AG146" s="593">
        <f t="shared" ca="1" si="205"/>
        <v>120</v>
      </c>
      <c r="AH146" s="593">
        <f t="shared" ca="1" si="206"/>
        <v>200</v>
      </c>
      <c r="AI146" s="593">
        <f t="shared" ca="1" si="207"/>
        <v>200</v>
      </c>
      <c r="AJ146" s="593">
        <f t="shared" ca="1" si="208"/>
        <v>200</v>
      </c>
      <c r="AK146" s="593">
        <f t="shared" ca="1" si="209"/>
        <v>360</v>
      </c>
      <c r="AL146" s="593">
        <f t="shared" ca="1" si="210"/>
        <v>440</v>
      </c>
      <c r="AM146" s="593">
        <f t="shared" ca="1" si="211"/>
        <v>520</v>
      </c>
      <c r="AN146" s="593">
        <f t="shared" ca="1" si="212"/>
        <v>600</v>
      </c>
      <c r="AO146" s="593">
        <f t="shared" ca="1" si="213"/>
        <v>600</v>
      </c>
      <c r="AP146" s="593">
        <f t="shared" ca="1" si="214"/>
        <v>600</v>
      </c>
    </row>
    <row r="147" spans="1:42" s="594" customFormat="1" ht="11.25" outlineLevel="1" x14ac:dyDescent="0.2">
      <c r="A147" s="590"/>
      <c r="B147" s="591" t="str">
        <f>IF(D147&lt;&gt;"",
IF(ISERROR(MATCH(D147,'Ist Aktuell Monat 01'!A:A,0))=FALSE,INDEX('Ist Aktuell Monat 01'!B:B,MATCH(D147,'Ist Aktuell Monat 01'!A:A,0)),
IF(ISERROR(MATCH(D147,'Ist Aktuell Monat 02'!A:A,0))=FALSE,INDEX('Ist Aktuell Monat 02'!B:B,MATCH(D147,'Ist Aktuell Monat 02'!A:A,0)),
IF(ISERROR(MATCH(D147,'Ist Aktuell Monat 03'!A:A,0))=FALSE,INDEX('Ist Aktuell Monat 03'!B:B,MATCH(D147,'Ist Aktuell Monat 03'!A:A,0)),
IF(ISERROR(MATCH(D147,'Ist Aktuell Monat 04'!A:A,0))=FALSE,INDEX('Ist Aktuell Monat 04'!B:B,MATCH(D147,'Ist Aktuell Monat 04'!A:A,0)),
IF(ISERROR(MATCH(D147,'Ist Aktuell Monat 05'!A:A,0))=FALSE,INDEX('Ist Aktuell Monat 05'!B:B,MATCH(D147,'Ist Aktuell Monat 05'!A:A,0)),
IF(ISERROR(MATCH(D147,'Ist Aktuell Monat 06'!A:A,0))=FALSE,INDEX('Ist Aktuell Monat 06'!B:B,MATCH(D147,'Ist Aktuell Monat 06'!A:A,0)),
IF(ISERROR(MATCH(D147,'Ist Aktuell Monat 07'!A:A,0))=FALSE,INDEX('Ist Aktuell Monat 07'!B:B,MATCH(D147,'Ist Aktuell Monat 07'!A:A,0)),
IF(ISERROR(MATCH(D147,'Ist Aktuell Monat 08'!A:A,0))=FALSE,INDEX('Ist Aktuell Monat 08'!B:B,MATCH(D147,'Ist Aktuell Monat 08'!A:A,0)),
IF(ISERROR(MATCH(D147,'Ist Aktuell Monat 09'!A:A,0))=FALSE,INDEX('Ist Aktuell Monat 09'!B:B,MATCH(D147,'Ist Aktuell Monat 09'!A:A,0)),
IF(ISERROR(MATCH(D147,'Ist Aktuell Monat 10'!A:A,0))=FALSE,INDEX('Ist Aktuell Monat 10'!B:B,MATCH(D147,'Ist Aktuell Monat 10'!A:A,0)),
IF(ISERROR(MATCH(D147,'Ist Aktuell Monat 11'!A:A,0))=FALSE,INDEX('Ist Aktuell Monat 11'!B:B,MATCH(D147,'Ist Aktuell Monat 11'!A:A,0)),
IF(ISERROR(MATCH(D147,'Ist Aktuell Monat 12'!A:A,0))=FALSE,INDEX('Ist Aktuell Monat 12'!B:B,MATCH(D147,'Ist Aktuell Monat 12'!A:A,0)),
"{Konto unbekannt}"
)))))))))))),"")</f>
        <v>Fahrtkostenerstatt. Whg./Arbeitsstätte</v>
      </c>
      <c r="C147" s="591"/>
      <c r="D147" s="590">
        <v>4175</v>
      </c>
      <c r="E147" s="592">
        <f t="shared" si="171"/>
        <v>1</v>
      </c>
      <c r="F147" s="590"/>
      <c r="G147" s="593">
        <f ca="1">$E147*(-SUMIF(INDIRECT(G$3),'Struktur Aktuell'!$D147,INDIRECT(G$4))+SUMIF(INDIRECT(G$3),'Struktur Aktuell'!$D147,INDIRECT(G$5)))</f>
        <v>18.899999999999999</v>
      </c>
      <c r="H147" s="593">
        <f ca="1">$E147*(-SUMIF(INDIRECT(H$3),'Struktur Aktuell'!$D147,INDIRECT(H$4))+SUMIF(INDIRECT(H$3),'Struktur Aktuell'!$D147,INDIRECT(H$5)))</f>
        <v>0</v>
      </c>
      <c r="I147" s="593">
        <f ca="1">$E147*(-SUMIF(INDIRECT(I$3),'Struktur Aktuell'!$D147,INDIRECT(I$4))+SUMIF(INDIRECT(I$3),'Struktur Aktuell'!$D147,INDIRECT(I$5)))</f>
        <v>27</v>
      </c>
      <c r="J147" s="593">
        <f ca="1">$E147*(-SUMIF(INDIRECT(J$3),'Struktur Aktuell'!$D147,INDIRECT(J$4))+SUMIF(INDIRECT(J$3),'Struktur Aktuell'!$D147,INDIRECT(J$5)))</f>
        <v>44.4</v>
      </c>
      <c r="K147" s="593">
        <f ca="1">$E147*(-SUMIF(INDIRECT(K$3),'Struktur Aktuell'!$D147,INDIRECT(K$4))+SUMIF(INDIRECT(K$3),'Struktur Aktuell'!$D147,INDIRECT(K$5)))</f>
        <v>45.3</v>
      </c>
      <c r="L147" s="593">
        <f ca="1">$E147*(-SUMIF(INDIRECT(L$3),'Struktur Aktuell'!$D147,INDIRECT(L$4))+SUMIF(INDIRECT(L$3),'Struktur Aktuell'!$D147,INDIRECT(L$5)))</f>
        <v>96</v>
      </c>
      <c r="M147" s="593">
        <f ca="1">$E147*(-SUMIF(INDIRECT(M$3),'Struktur Aktuell'!$D147,INDIRECT(M$4))+SUMIF(INDIRECT(M$3),'Struktur Aktuell'!$D147,INDIRECT(M$5)))</f>
        <v>41.7</v>
      </c>
      <c r="N147" s="593">
        <f ca="1">$E147*(-SUMIF(INDIRECT(N$3),'Struktur Aktuell'!$D147,INDIRECT(N$4))+SUMIF(INDIRECT(N$3),'Struktur Aktuell'!$D147,INDIRECT(N$5)))</f>
        <v>0</v>
      </c>
      <c r="O147" s="593">
        <f ca="1">$E147*(-SUMIF(INDIRECT(O$3),'Struktur Aktuell'!$D147,INDIRECT(O$4))+SUMIF(INDIRECT(O$3),'Struktur Aktuell'!$D147,INDIRECT(O$5)))</f>
        <v>8.4</v>
      </c>
      <c r="P147" s="593">
        <f ca="1">$E147*(-SUMIF(INDIRECT(P$3),'Struktur Aktuell'!$D147,INDIRECT(P$4))+SUMIF(INDIRECT(P$3),'Struktur Aktuell'!$D147,INDIRECT(P$5)))</f>
        <v>208.8</v>
      </c>
      <c r="Q147" s="593">
        <f ca="1">$E147*(-SUMIF(INDIRECT(Q$3),'Struktur Aktuell'!$D147,INDIRECT(Q$4))+SUMIF(INDIRECT(Q$3),'Struktur Aktuell'!$D147,INDIRECT(Q$5)))</f>
        <v>0</v>
      </c>
      <c r="R147" s="593">
        <f ca="1">$E147*(-SUMIF(INDIRECT(R$3),'Struktur Aktuell'!$D147,INDIRECT(R$4))+SUMIF(INDIRECT(R$3),'Struktur Aktuell'!$D147,INDIRECT(R$5)))</f>
        <v>0</v>
      </c>
      <c r="S147" s="593">
        <f ca="1">$E147*(-SUMIF(INDIRECT(S$3),'Struktur Aktuell'!$D147,INDIRECT(S$4))+SUMIF(INDIRECT(S$3),'Struktur Aktuell'!$D147,INDIRECT(S$5)))</f>
        <v>18.899999999999999</v>
      </c>
      <c r="T147" s="593">
        <f ca="1">$E147*(-SUMIF(INDIRECT(T$3),'Struktur Aktuell'!$D147,INDIRECT(T$4))+SUMIF(INDIRECT(T$3),'Struktur Aktuell'!$D147,INDIRECT(T$5)))</f>
        <v>18.899999999999999</v>
      </c>
      <c r="U147" s="593">
        <f ca="1">$E147*(-SUMIF(INDIRECT(U$3),'Struktur Aktuell'!$D147,INDIRECT(U$4))+SUMIF(INDIRECT(U$3),'Struktur Aktuell'!$D147,INDIRECT(U$5)))</f>
        <v>45.9</v>
      </c>
      <c r="V147" s="593">
        <f ca="1">$E147*(-SUMIF(INDIRECT(V$3),'Struktur Aktuell'!$D147,INDIRECT(V$4))+SUMIF(INDIRECT(V$3),'Struktur Aktuell'!$D147,INDIRECT(V$5)))</f>
        <v>90.3</v>
      </c>
      <c r="W147" s="593">
        <f ca="1">$E147*(-SUMIF(INDIRECT(W$3),'Struktur Aktuell'!$D147,INDIRECT(W$4))+SUMIF(INDIRECT(W$3),'Struktur Aktuell'!$D147,INDIRECT(W$5)))</f>
        <v>135.6</v>
      </c>
      <c r="X147" s="593">
        <f ca="1">$E147*(-SUMIF(INDIRECT(X$3),'Struktur Aktuell'!$D147,INDIRECT(X$4))+SUMIF(INDIRECT(X$3),'Struktur Aktuell'!$D147,INDIRECT(X$5)))</f>
        <v>231.6</v>
      </c>
      <c r="Y147" s="593">
        <f ca="1">$E147*(-SUMIF(INDIRECT(Y$3),'Struktur Aktuell'!$D147,INDIRECT(Y$4))+SUMIF(INDIRECT(Y$3),'Struktur Aktuell'!$D147,INDIRECT(Y$5)))</f>
        <v>273.3</v>
      </c>
      <c r="Z147" s="593">
        <f ca="1">$E147*(-SUMIF(INDIRECT(Z$3),'Struktur Aktuell'!$D147,INDIRECT(Z$4))+SUMIF(INDIRECT(Z$3),'Struktur Aktuell'!$D147,INDIRECT(Z$5)))</f>
        <v>273.3</v>
      </c>
      <c r="AA147" s="593">
        <f ca="1">$E147*(-SUMIF(INDIRECT(AA$3),'Struktur Aktuell'!$D147,INDIRECT(AA$4))+SUMIF(INDIRECT(AA$3),'Struktur Aktuell'!$D147,INDIRECT(AA$5)))</f>
        <v>281.7</v>
      </c>
      <c r="AB147" s="593">
        <f ca="1">$E147*(-SUMIF(INDIRECT(AB$3),'Struktur Aktuell'!$D147,INDIRECT(AB$4))+SUMIF(INDIRECT(AB$3),'Struktur Aktuell'!$D147,INDIRECT(AB$5)))</f>
        <v>490.5</v>
      </c>
      <c r="AC147" s="593">
        <f ca="1">$E147*(-SUMIF(INDIRECT(AC$3),'Struktur Aktuell'!$D147,INDIRECT(AC$4))+SUMIF(INDIRECT(AC$3),'Struktur Aktuell'!$D147,INDIRECT(AC$5)))</f>
        <v>0</v>
      </c>
      <c r="AD147" s="593">
        <f ca="1">$E147*(-SUMIF(INDIRECT(AD$3),'Struktur Aktuell'!$D147,INDIRECT(AD$4))+SUMIF(INDIRECT(AD$3),'Struktur Aktuell'!$D147,INDIRECT(AD$5)))</f>
        <v>0</v>
      </c>
      <c r="AE147" s="593">
        <f t="shared" ca="1" si="203"/>
        <v>18.899999999999999</v>
      </c>
      <c r="AF147" s="593">
        <f t="shared" ca="1" si="204"/>
        <v>18.899999999999999</v>
      </c>
      <c r="AG147" s="593">
        <f t="shared" ca="1" si="205"/>
        <v>45.9</v>
      </c>
      <c r="AH147" s="593">
        <f t="shared" ca="1" si="206"/>
        <v>90.3</v>
      </c>
      <c r="AI147" s="593">
        <f t="shared" ca="1" si="207"/>
        <v>135.6</v>
      </c>
      <c r="AJ147" s="593">
        <f t="shared" ca="1" si="208"/>
        <v>231.6</v>
      </c>
      <c r="AK147" s="593">
        <f t="shared" ca="1" si="209"/>
        <v>273.3</v>
      </c>
      <c r="AL147" s="593">
        <f t="shared" ca="1" si="210"/>
        <v>273.3</v>
      </c>
      <c r="AM147" s="593">
        <f t="shared" ca="1" si="211"/>
        <v>281.7</v>
      </c>
      <c r="AN147" s="593">
        <f t="shared" ca="1" si="212"/>
        <v>490.5</v>
      </c>
      <c r="AO147" s="593">
        <f t="shared" ca="1" si="213"/>
        <v>490.5</v>
      </c>
      <c r="AP147" s="593">
        <f t="shared" ca="1" si="214"/>
        <v>490.5</v>
      </c>
    </row>
    <row r="148" spans="1:42" s="594" customFormat="1" ht="11.25" outlineLevel="1" x14ac:dyDescent="0.2">
      <c r="A148" s="590"/>
      <c r="B148" s="591" t="str">
        <f>IF(D148&lt;&gt;"",
IF(ISERROR(MATCH(D148,'Ist Aktuell Monat 01'!A:A,0))=FALSE,INDEX('Ist Aktuell Monat 01'!B:B,MATCH(D148,'Ist Aktuell Monat 01'!A:A,0)),
IF(ISERROR(MATCH(D148,'Ist Aktuell Monat 02'!A:A,0))=FALSE,INDEX('Ist Aktuell Monat 02'!B:B,MATCH(D148,'Ist Aktuell Monat 02'!A:A,0)),
IF(ISERROR(MATCH(D148,'Ist Aktuell Monat 03'!A:A,0))=FALSE,INDEX('Ist Aktuell Monat 03'!B:B,MATCH(D148,'Ist Aktuell Monat 03'!A:A,0)),
IF(ISERROR(MATCH(D148,'Ist Aktuell Monat 04'!A:A,0))=FALSE,INDEX('Ist Aktuell Monat 04'!B:B,MATCH(D148,'Ist Aktuell Monat 04'!A:A,0)),
IF(ISERROR(MATCH(D148,'Ist Aktuell Monat 05'!A:A,0))=FALSE,INDEX('Ist Aktuell Monat 05'!B:B,MATCH(D148,'Ist Aktuell Monat 05'!A:A,0)),
IF(ISERROR(MATCH(D148,'Ist Aktuell Monat 06'!A:A,0))=FALSE,INDEX('Ist Aktuell Monat 06'!B:B,MATCH(D148,'Ist Aktuell Monat 06'!A:A,0)),
IF(ISERROR(MATCH(D148,'Ist Aktuell Monat 07'!A:A,0))=FALSE,INDEX('Ist Aktuell Monat 07'!B:B,MATCH(D148,'Ist Aktuell Monat 07'!A:A,0)),
IF(ISERROR(MATCH(D148,'Ist Aktuell Monat 08'!A:A,0))=FALSE,INDEX('Ist Aktuell Monat 08'!B:B,MATCH(D148,'Ist Aktuell Monat 08'!A:A,0)),
IF(ISERROR(MATCH(D148,'Ist Aktuell Monat 09'!A:A,0))=FALSE,INDEX('Ist Aktuell Monat 09'!B:B,MATCH(D148,'Ist Aktuell Monat 09'!A:A,0)),
IF(ISERROR(MATCH(D148,'Ist Aktuell Monat 10'!A:A,0))=FALSE,INDEX('Ist Aktuell Monat 10'!B:B,MATCH(D148,'Ist Aktuell Monat 10'!A:A,0)),
IF(ISERROR(MATCH(D148,'Ist Aktuell Monat 11'!A:A,0))=FALSE,INDEX('Ist Aktuell Monat 11'!B:B,MATCH(D148,'Ist Aktuell Monat 11'!A:A,0)),
IF(ISERROR(MATCH(D148,'Ist Aktuell Monat 12'!A:A,0))=FALSE,INDEX('Ist Aktuell Monat 12'!B:B,MATCH(D148,'Ist Aktuell Monat 12'!A:A,0)),
"{Konto unbekannt}"
)))))))))))),"")</f>
        <v>Pauschale Steuer für Aushilfen</v>
      </c>
      <c r="C148" s="591"/>
      <c r="D148" s="590">
        <v>4199</v>
      </c>
      <c r="E148" s="592">
        <f t="shared" si="171"/>
        <v>1</v>
      </c>
      <c r="F148" s="590"/>
      <c r="G148" s="593">
        <f ca="1">$E148*(-SUMIF(INDIRECT(G$3),'Struktur Aktuell'!$D148,INDIRECT(G$4))+SUMIF(INDIRECT(G$3),'Struktur Aktuell'!$D148,INDIRECT(G$5)))</f>
        <v>10.37</v>
      </c>
      <c r="H148" s="593">
        <f ca="1">$E148*(-SUMIF(INDIRECT(H$3),'Struktur Aktuell'!$D148,INDIRECT(H$4))+SUMIF(INDIRECT(H$3),'Struktur Aktuell'!$D148,INDIRECT(H$5)))</f>
        <v>10.37</v>
      </c>
      <c r="I148" s="593">
        <f ca="1">$E148*(-SUMIF(INDIRECT(I$3),'Struktur Aktuell'!$D148,INDIRECT(I$4))+SUMIF(INDIRECT(I$3),'Struktur Aktuell'!$D148,INDIRECT(I$5)))</f>
        <v>10.37</v>
      </c>
      <c r="J148" s="593">
        <f ca="1">$E148*(-SUMIF(INDIRECT(J$3),'Struktur Aktuell'!$D148,INDIRECT(J$4))+SUMIF(INDIRECT(J$3),'Struktur Aktuell'!$D148,INDIRECT(J$5)))</f>
        <v>10.37</v>
      </c>
      <c r="K148" s="593">
        <f ca="1">$E148*(-SUMIF(INDIRECT(K$3),'Struktur Aktuell'!$D148,INDIRECT(K$4))+SUMIF(INDIRECT(K$3),'Struktur Aktuell'!$D148,INDIRECT(K$5)))</f>
        <v>10.37</v>
      </c>
      <c r="L148" s="593">
        <f ca="1">$E148*(-SUMIF(INDIRECT(L$3),'Struktur Aktuell'!$D148,INDIRECT(L$4))+SUMIF(INDIRECT(L$3),'Struktur Aktuell'!$D148,INDIRECT(L$5)))</f>
        <v>10.37</v>
      </c>
      <c r="M148" s="593">
        <f ca="1">$E148*(-SUMIF(INDIRECT(M$3),'Struktur Aktuell'!$D148,INDIRECT(M$4))+SUMIF(INDIRECT(M$3),'Struktur Aktuell'!$D148,INDIRECT(M$5)))</f>
        <v>405.39</v>
      </c>
      <c r="N148" s="593">
        <f ca="1">$E148*(-SUMIF(INDIRECT(N$3),'Struktur Aktuell'!$D148,INDIRECT(N$4))+SUMIF(INDIRECT(N$3),'Struktur Aktuell'!$D148,INDIRECT(N$5)))</f>
        <v>11.2</v>
      </c>
      <c r="O148" s="593">
        <f ca="1">$E148*(-SUMIF(INDIRECT(O$3),'Struktur Aktuell'!$D148,INDIRECT(O$4))+SUMIF(INDIRECT(O$3),'Struktur Aktuell'!$D148,INDIRECT(O$5)))</f>
        <v>11.2</v>
      </c>
      <c r="P148" s="593">
        <f ca="1">$E148*(-SUMIF(INDIRECT(P$3),'Struktur Aktuell'!$D148,INDIRECT(P$4))+SUMIF(INDIRECT(P$3),'Struktur Aktuell'!$D148,INDIRECT(P$5)))</f>
        <v>11.2</v>
      </c>
      <c r="Q148" s="593">
        <f ca="1">$E148*(-SUMIF(INDIRECT(Q$3),'Struktur Aktuell'!$D148,INDIRECT(Q$4))+SUMIF(INDIRECT(Q$3),'Struktur Aktuell'!$D148,INDIRECT(Q$5)))</f>
        <v>0</v>
      </c>
      <c r="R148" s="593">
        <f ca="1">$E148*(-SUMIF(INDIRECT(R$3),'Struktur Aktuell'!$D148,INDIRECT(R$4))+SUMIF(INDIRECT(R$3),'Struktur Aktuell'!$D148,INDIRECT(R$5)))</f>
        <v>0</v>
      </c>
      <c r="S148" s="593">
        <f ca="1">$E148*(-SUMIF(INDIRECT(S$3),'Struktur Aktuell'!$D148,INDIRECT(S$4))+SUMIF(INDIRECT(S$3),'Struktur Aktuell'!$D148,INDIRECT(S$5)))</f>
        <v>10.37</v>
      </c>
      <c r="T148" s="593">
        <f ca="1">$E148*(-SUMIF(INDIRECT(T$3),'Struktur Aktuell'!$D148,INDIRECT(T$4))+SUMIF(INDIRECT(T$3),'Struktur Aktuell'!$D148,INDIRECT(T$5)))</f>
        <v>20.74</v>
      </c>
      <c r="U148" s="593">
        <f ca="1">$E148*(-SUMIF(INDIRECT(U$3),'Struktur Aktuell'!$D148,INDIRECT(U$4))+SUMIF(INDIRECT(U$3),'Struktur Aktuell'!$D148,INDIRECT(U$5)))</f>
        <v>31.11</v>
      </c>
      <c r="V148" s="593">
        <f ca="1">$E148*(-SUMIF(INDIRECT(V$3),'Struktur Aktuell'!$D148,INDIRECT(V$4))+SUMIF(INDIRECT(V$3),'Struktur Aktuell'!$D148,INDIRECT(V$5)))</f>
        <v>41.48</v>
      </c>
      <c r="W148" s="593">
        <f ca="1">$E148*(-SUMIF(INDIRECT(W$3),'Struktur Aktuell'!$D148,INDIRECT(W$4))+SUMIF(INDIRECT(W$3),'Struktur Aktuell'!$D148,INDIRECT(W$5)))</f>
        <v>51.85</v>
      </c>
      <c r="X148" s="593">
        <f ca="1">$E148*(-SUMIF(INDIRECT(X$3),'Struktur Aktuell'!$D148,INDIRECT(X$4))+SUMIF(INDIRECT(X$3),'Struktur Aktuell'!$D148,INDIRECT(X$5)))</f>
        <v>62.22</v>
      </c>
      <c r="Y148" s="593">
        <f ca="1">$E148*(-SUMIF(INDIRECT(Y$3),'Struktur Aktuell'!$D148,INDIRECT(Y$4))+SUMIF(INDIRECT(Y$3),'Struktur Aktuell'!$D148,INDIRECT(Y$5)))</f>
        <v>467.61</v>
      </c>
      <c r="Z148" s="593">
        <f ca="1">$E148*(-SUMIF(INDIRECT(Z$3),'Struktur Aktuell'!$D148,INDIRECT(Z$4))+SUMIF(INDIRECT(Z$3),'Struktur Aktuell'!$D148,INDIRECT(Z$5)))</f>
        <v>478.81</v>
      </c>
      <c r="AA148" s="593">
        <f ca="1">$E148*(-SUMIF(INDIRECT(AA$3),'Struktur Aktuell'!$D148,INDIRECT(AA$4))+SUMIF(INDIRECT(AA$3),'Struktur Aktuell'!$D148,INDIRECT(AA$5)))</f>
        <v>490.01</v>
      </c>
      <c r="AB148" s="593">
        <f ca="1">$E148*(-SUMIF(INDIRECT(AB$3),'Struktur Aktuell'!$D148,INDIRECT(AB$4))+SUMIF(INDIRECT(AB$3),'Struktur Aktuell'!$D148,INDIRECT(AB$5)))</f>
        <v>501.21</v>
      </c>
      <c r="AC148" s="593">
        <f ca="1">$E148*(-SUMIF(INDIRECT(AC$3),'Struktur Aktuell'!$D148,INDIRECT(AC$4))+SUMIF(INDIRECT(AC$3),'Struktur Aktuell'!$D148,INDIRECT(AC$5)))</f>
        <v>0</v>
      </c>
      <c r="AD148" s="593">
        <f ca="1">$E148*(-SUMIF(INDIRECT(AD$3),'Struktur Aktuell'!$D148,INDIRECT(AD$4))+SUMIF(INDIRECT(AD$3),'Struktur Aktuell'!$D148,INDIRECT(AD$5)))</f>
        <v>0</v>
      </c>
      <c r="AE148" s="593">
        <f t="shared" ca="1" si="203"/>
        <v>10.37</v>
      </c>
      <c r="AF148" s="593">
        <f t="shared" ca="1" si="204"/>
        <v>20.74</v>
      </c>
      <c r="AG148" s="593">
        <f t="shared" ca="1" si="205"/>
        <v>31.11</v>
      </c>
      <c r="AH148" s="593">
        <f t="shared" ca="1" si="206"/>
        <v>41.48</v>
      </c>
      <c r="AI148" s="593">
        <f t="shared" ca="1" si="207"/>
        <v>51.849999999999994</v>
      </c>
      <c r="AJ148" s="593">
        <f t="shared" ca="1" si="208"/>
        <v>62.219999999999992</v>
      </c>
      <c r="AK148" s="593">
        <f t="shared" ca="1" si="209"/>
        <v>467.60999999999996</v>
      </c>
      <c r="AL148" s="593">
        <f t="shared" ca="1" si="210"/>
        <v>478.80999999999995</v>
      </c>
      <c r="AM148" s="593">
        <f t="shared" ca="1" si="211"/>
        <v>490.00999999999993</v>
      </c>
      <c r="AN148" s="593">
        <f t="shared" ca="1" si="212"/>
        <v>501.20999999999992</v>
      </c>
      <c r="AO148" s="593">
        <f t="shared" ca="1" si="213"/>
        <v>501.20999999999992</v>
      </c>
      <c r="AP148" s="593">
        <f t="shared" ca="1" si="214"/>
        <v>501.20999999999992</v>
      </c>
    </row>
    <row r="149" spans="1:42" s="594" customFormat="1" ht="11.25" outlineLevel="1" x14ac:dyDescent="0.2">
      <c r="A149" s="590"/>
      <c r="B149" s="591" t="str">
        <f>IF(D149&lt;&gt;"",
IF(ISERROR(MATCH(D149,'Ist Aktuell Monat 01'!A:A,0))=FALSE,INDEX('Ist Aktuell Monat 01'!B:B,MATCH(D149,'Ist Aktuell Monat 01'!A:A,0)),
IF(ISERROR(MATCH(D149,'Ist Aktuell Monat 02'!A:A,0))=FALSE,INDEX('Ist Aktuell Monat 02'!B:B,MATCH(D149,'Ist Aktuell Monat 02'!A:A,0)),
IF(ISERROR(MATCH(D149,'Ist Aktuell Monat 03'!A:A,0))=FALSE,INDEX('Ist Aktuell Monat 03'!B:B,MATCH(D149,'Ist Aktuell Monat 03'!A:A,0)),
IF(ISERROR(MATCH(D149,'Ist Aktuell Monat 04'!A:A,0))=FALSE,INDEX('Ist Aktuell Monat 04'!B:B,MATCH(D149,'Ist Aktuell Monat 04'!A:A,0)),
IF(ISERROR(MATCH(D149,'Ist Aktuell Monat 05'!A:A,0))=FALSE,INDEX('Ist Aktuell Monat 05'!B:B,MATCH(D149,'Ist Aktuell Monat 05'!A:A,0)),
IF(ISERROR(MATCH(D149,'Ist Aktuell Monat 06'!A:A,0))=FALSE,INDEX('Ist Aktuell Monat 06'!B:B,MATCH(D149,'Ist Aktuell Monat 06'!A:A,0)),
IF(ISERROR(MATCH(D149,'Ist Aktuell Monat 07'!A:A,0))=FALSE,INDEX('Ist Aktuell Monat 07'!B:B,MATCH(D149,'Ist Aktuell Monat 07'!A:A,0)),
IF(ISERROR(MATCH(D149,'Ist Aktuell Monat 08'!A:A,0))=FALSE,INDEX('Ist Aktuell Monat 08'!B:B,MATCH(D149,'Ist Aktuell Monat 08'!A:A,0)),
IF(ISERROR(MATCH(D149,'Ist Aktuell Monat 09'!A:A,0))=FALSE,INDEX('Ist Aktuell Monat 09'!B:B,MATCH(D149,'Ist Aktuell Monat 09'!A:A,0)),
IF(ISERROR(MATCH(D149,'Ist Aktuell Monat 10'!A:A,0))=FALSE,INDEX('Ist Aktuell Monat 10'!B:B,MATCH(D149,'Ist Aktuell Monat 10'!A:A,0)),
IF(ISERROR(MATCH(D149,'Ist Aktuell Monat 11'!A:A,0))=FALSE,INDEX('Ist Aktuell Monat 11'!B:B,MATCH(D149,'Ist Aktuell Monat 11'!A:A,0)),
IF(ISERROR(MATCH(D149,'Ist Aktuell Monat 12'!A:A,0))=FALSE,INDEX('Ist Aktuell Monat 12'!B:B,MATCH(D149,'Ist Aktuell Monat 12'!A:A,0)),
"{Konto unbekannt}"
)))))))))))),"")</f>
        <v/>
      </c>
      <c r="C149" s="591"/>
      <c r="D149" s="590"/>
      <c r="E149" s="592">
        <f t="shared" si="171"/>
        <v>1</v>
      </c>
      <c r="F149" s="590"/>
      <c r="G149" s="593">
        <f ca="1">$E149*(-SUMIF(INDIRECT(G$3),'Struktur Aktuell'!$D149,INDIRECT(G$4))+SUMIF(INDIRECT(G$3),'Struktur Aktuell'!$D149,INDIRECT(G$5)))</f>
        <v>0</v>
      </c>
      <c r="H149" s="593">
        <f ca="1">$E149*(-SUMIF(INDIRECT(H$3),'Struktur Aktuell'!$D149,INDIRECT(H$4))+SUMIF(INDIRECT(H$3),'Struktur Aktuell'!$D149,INDIRECT(H$5)))</f>
        <v>0</v>
      </c>
      <c r="I149" s="593">
        <f ca="1">$E149*(-SUMIF(INDIRECT(I$3),'Struktur Aktuell'!$D149,INDIRECT(I$4))+SUMIF(INDIRECT(I$3),'Struktur Aktuell'!$D149,INDIRECT(I$5)))</f>
        <v>0</v>
      </c>
      <c r="J149" s="593">
        <f ca="1">$E149*(-SUMIF(INDIRECT(J$3),'Struktur Aktuell'!$D149,INDIRECT(J$4))+SUMIF(INDIRECT(J$3),'Struktur Aktuell'!$D149,INDIRECT(J$5)))</f>
        <v>0</v>
      </c>
      <c r="K149" s="593">
        <f ca="1">$E149*(-SUMIF(INDIRECT(K$3),'Struktur Aktuell'!$D149,INDIRECT(K$4))+SUMIF(INDIRECT(K$3),'Struktur Aktuell'!$D149,INDIRECT(K$5)))</f>
        <v>0</v>
      </c>
      <c r="L149" s="593">
        <f ca="1">$E149*(-SUMIF(INDIRECT(L$3),'Struktur Aktuell'!$D149,INDIRECT(L$4))+SUMIF(INDIRECT(L$3),'Struktur Aktuell'!$D149,INDIRECT(L$5)))</f>
        <v>0</v>
      </c>
      <c r="M149" s="593">
        <f ca="1">$E149*(-SUMIF(INDIRECT(M$3),'Struktur Aktuell'!$D149,INDIRECT(M$4))+SUMIF(INDIRECT(M$3),'Struktur Aktuell'!$D149,INDIRECT(M$5)))</f>
        <v>0</v>
      </c>
      <c r="N149" s="593">
        <f ca="1">$E149*(-SUMIF(INDIRECT(N$3),'Struktur Aktuell'!$D149,INDIRECT(N$4))+SUMIF(INDIRECT(N$3),'Struktur Aktuell'!$D149,INDIRECT(N$5)))</f>
        <v>0</v>
      </c>
      <c r="O149" s="593">
        <f ca="1">$E149*(-SUMIF(INDIRECT(O$3),'Struktur Aktuell'!$D149,INDIRECT(O$4))+SUMIF(INDIRECT(O$3),'Struktur Aktuell'!$D149,INDIRECT(O$5)))</f>
        <v>0</v>
      </c>
      <c r="P149" s="593">
        <f ca="1">$E149*(-SUMIF(INDIRECT(P$3),'Struktur Aktuell'!$D149,INDIRECT(P$4))+SUMIF(INDIRECT(P$3),'Struktur Aktuell'!$D149,INDIRECT(P$5)))</f>
        <v>0</v>
      </c>
      <c r="Q149" s="593">
        <f ca="1">$E149*(-SUMIF(INDIRECT(Q$3),'Struktur Aktuell'!$D149,INDIRECT(Q$4))+SUMIF(INDIRECT(Q$3),'Struktur Aktuell'!$D149,INDIRECT(Q$5)))</f>
        <v>0</v>
      </c>
      <c r="R149" s="593">
        <f ca="1">$E149*(-SUMIF(INDIRECT(R$3),'Struktur Aktuell'!$D149,INDIRECT(R$4))+SUMIF(INDIRECT(R$3),'Struktur Aktuell'!$D149,INDIRECT(R$5)))</f>
        <v>0</v>
      </c>
      <c r="S149" s="593">
        <f ca="1">$E149*(-SUMIF(INDIRECT(S$3),'Struktur Aktuell'!$D149,INDIRECT(S$4))+SUMIF(INDIRECT(S$3),'Struktur Aktuell'!$D149,INDIRECT(S$5)))</f>
        <v>0</v>
      </c>
      <c r="T149" s="593">
        <f ca="1">$E149*(-SUMIF(INDIRECT(T$3),'Struktur Aktuell'!$D149,INDIRECT(T$4))+SUMIF(INDIRECT(T$3),'Struktur Aktuell'!$D149,INDIRECT(T$5)))</f>
        <v>0</v>
      </c>
      <c r="U149" s="593">
        <f ca="1">$E149*(-SUMIF(INDIRECT(U$3),'Struktur Aktuell'!$D149,INDIRECT(U$4))+SUMIF(INDIRECT(U$3),'Struktur Aktuell'!$D149,INDIRECT(U$5)))</f>
        <v>0</v>
      </c>
      <c r="V149" s="593">
        <f ca="1">$E149*(-SUMIF(INDIRECT(V$3),'Struktur Aktuell'!$D149,INDIRECT(V$4))+SUMIF(INDIRECT(V$3),'Struktur Aktuell'!$D149,INDIRECT(V$5)))</f>
        <v>0</v>
      </c>
      <c r="W149" s="593">
        <f ca="1">$E149*(-SUMIF(INDIRECT(W$3),'Struktur Aktuell'!$D149,INDIRECT(W$4))+SUMIF(INDIRECT(W$3),'Struktur Aktuell'!$D149,INDIRECT(W$5)))</f>
        <v>0</v>
      </c>
      <c r="X149" s="593">
        <f ca="1">$E149*(-SUMIF(INDIRECT(X$3),'Struktur Aktuell'!$D149,INDIRECT(X$4))+SUMIF(INDIRECT(X$3),'Struktur Aktuell'!$D149,INDIRECT(X$5)))</f>
        <v>0</v>
      </c>
      <c r="Y149" s="593">
        <f ca="1">$E149*(-SUMIF(INDIRECT(Y$3),'Struktur Aktuell'!$D149,INDIRECT(Y$4))+SUMIF(INDIRECT(Y$3),'Struktur Aktuell'!$D149,INDIRECT(Y$5)))</f>
        <v>0</v>
      </c>
      <c r="Z149" s="593">
        <f ca="1">$E149*(-SUMIF(INDIRECT(Z$3),'Struktur Aktuell'!$D149,INDIRECT(Z$4))+SUMIF(INDIRECT(Z$3),'Struktur Aktuell'!$D149,INDIRECT(Z$5)))</f>
        <v>0</v>
      </c>
      <c r="AA149" s="593">
        <f ca="1">$E149*(-SUMIF(INDIRECT(AA$3),'Struktur Aktuell'!$D149,INDIRECT(AA$4))+SUMIF(INDIRECT(AA$3),'Struktur Aktuell'!$D149,INDIRECT(AA$5)))</f>
        <v>0</v>
      </c>
      <c r="AB149" s="593">
        <f ca="1">$E149*(-SUMIF(INDIRECT(AB$3),'Struktur Aktuell'!$D149,INDIRECT(AB$4))+SUMIF(INDIRECT(AB$3),'Struktur Aktuell'!$D149,INDIRECT(AB$5)))</f>
        <v>0</v>
      </c>
      <c r="AC149" s="593">
        <f ca="1">$E149*(-SUMIF(INDIRECT(AC$3),'Struktur Aktuell'!$D149,INDIRECT(AC$4))+SUMIF(INDIRECT(AC$3),'Struktur Aktuell'!$D149,INDIRECT(AC$5)))</f>
        <v>0</v>
      </c>
      <c r="AD149" s="593">
        <f ca="1">$E149*(-SUMIF(INDIRECT(AD$3),'Struktur Aktuell'!$D149,INDIRECT(AD$4))+SUMIF(INDIRECT(AD$3),'Struktur Aktuell'!$D149,INDIRECT(AD$5)))</f>
        <v>0</v>
      </c>
      <c r="AE149" s="593">
        <f t="shared" ca="1" si="203"/>
        <v>0</v>
      </c>
      <c r="AF149" s="593">
        <f t="shared" ca="1" si="204"/>
        <v>0</v>
      </c>
      <c r="AG149" s="593">
        <f t="shared" ca="1" si="205"/>
        <v>0</v>
      </c>
      <c r="AH149" s="593">
        <f t="shared" ca="1" si="206"/>
        <v>0</v>
      </c>
      <c r="AI149" s="593">
        <f t="shared" ca="1" si="207"/>
        <v>0</v>
      </c>
      <c r="AJ149" s="593">
        <f t="shared" ca="1" si="208"/>
        <v>0</v>
      </c>
      <c r="AK149" s="593">
        <f t="shared" ca="1" si="209"/>
        <v>0</v>
      </c>
      <c r="AL149" s="593">
        <f t="shared" ca="1" si="210"/>
        <v>0</v>
      </c>
      <c r="AM149" s="593">
        <f t="shared" ca="1" si="211"/>
        <v>0</v>
      </c>
      <c r="AN149" s="593">
        <f t="shared" ca="1" si="212"/>
        <v>0</v>
      </c>
      <c r="AO149" s="593">
        <f t="shared" ca="1" si="213"/>
        <v>0</v>
      </c>
      <c r="AP149" s="593">
        <f t="shared" ca="1" si="214"/>
        <v>0</v>
      </c>
    </row>
    <row r="150" spans="1:42" s="594" customFormat="1" ht="11.25" outlineLevel="1" x14ac:dyDescent="0.2">
      <c r="A150" s="590"/>
      <c r="B150" s="591" t="str">
        <f>IF(D150&lt;&gt;"",
IF(ISERROR(MATCH(D150,'Ist Aktuell Monat 01'!A:A,0))=FALSE,INDEX('Ist Aktuell Monat 01'!B:B,MATCH(D150,'Ist Aktuell Monat 01'!A:A,0)),
IF(ISERROR(MATCH(D150,'Ist Aktuell Monat 02'!A:A,0))=FALSE,INDEX('Ist Aktuell Monat 02'!B:B,MATCH(D150,'Ist Aktuell Monat 02'!A:A,0)),
IF(ISERROR(MATCH(D150,'Ist Aktuell Monat 03'!A:A,0))=FALSE,INDEX('Ist Aktuell Monat 03'!B:B,MATCH(D150,'Ist Aktuell Monat 03'!A:A,0)),
IF(ISERROR(MATCH(D150,'Ist Aktuell Monat 04'!A:A,0))=FALSE,INDEX('Ist Aktuell Monat 04'!B:B,MATCH(D150,'Ist Aktuell Monat 04'!A:A,0)),
IF(ISERROR(MATCH(D150,'Ist Aktuell Monat 05'!A:A,0))=FALSE,INDEX('Ist Aktuell Monat 05'!B:B,MATCH(D150,'Ist Aktuell Monat 05'!A:A,0)),
IF(ISERROR(MATCH(D150,'Ist Aktuell Monat 06'!A:A,0))=FALSE,INDEX('Ist Aktuell Monat 06'!B:B,MATCH(D150,'Ist Aktuell Monat 06'!A:A,0)),
IF(ISERROR(MATCH(D150,'Ist Aktuell Monat 07'!A:A,0))=FALSE,INDEX('Ist Aktuell Monat 07'!B:B,MATCH(D150,'Ist Aktuell Monat 07'!A:A,0)),
IF(ISERROR(MATCH(D150,'Ist Aktuell Monat 08'!A:A,0))=FALSE,INDEX('Ist Aktuell Monat 08'!B:B,MATCH(D150,'Ist Aktuell Monat 08'!A:A,0)),
IF(ISERROR(MATCH(D150,'Ist Aktuell Monat 09'!A:A,0))=FALSE,INDEX('Ist Aktuell Monat 09'!B:B,MATCH(D150,'Ist Aktuell Monat 09'!A:A,0)),
IF(ISERROR(MATCH(D150,'Ist Aktuell Monat 10'!A:A,0))=FALSE,INDEX('Ist Aktuell Monat 10'!B:B,MATCH(D150,'Ist Aktuell Monat 10'!A:A,0)),
IF(ISERROR(MATCH(D150,'Ist Aktuell Monat 11'!A:A,0))=FALSE,INDEX('Ist Aktuell Monat 11'!B:B,MATCH(D150,'Ist Aktuell Monat 11'!A:A,0)),
IF(ISERROR(MATCH(D150,'Ist Aktuell Monat 12'!A:A,0))=FALSE,INDEX('Ist Aktuell Monat 12'!B:B,MATCH(D150,'Ist Aktuell Monat 12'!A:A,0)),
"{Konto unbekannt}"
)))))))))))),"")</f>
        <v/>
      </c>
      <c r="C150" s="591"/>
      <c r="D150" s="590"/>
      <c r="E150" s="592">
        <f t="shared" si="171"/>
        <v>1</v>
      </c>
      <c r="F150" s="590"/>
      <c r="G150" s="593">
        <f ca="1">$E150*(-SUMIF(INDIRECT(G$3),'Struktur Aktuell'!$D150,INDIRECT(G$4))+SUMIF(INDIRECT(G$3),'Struktur Aktuell'!$D150,INDIRECT(G$5)))</f>
        <v>0</v>
      </c>
      <c r="H150" s="593">
        <f ca="1">$E150*(-SUMIF(INDIRECT(H$3),'Struktur Aktuell'!$D150,INDIRECT(H$4))+SUMIF(INDIRECT(H$3),'Struktur Aktuell'!$D150,INDIRECT(H$5)))</f>
        <v>0</v>
      </c>
      <c r="I150" s="593">
        <f ca="1">$E150*(-SUMIF(INDIRECT(I$3),'Struktur Aktuell'!$D150,INDIRECT(I$4))+SUMIF(INDIRECT(I$3),'Struktur Aktuell'!$D150,INDIRECT(I$5)))</f>
        <v>0</v>
      </c>
      <c r="J150" s="593">
        <f ca="1">$E150*(-SUMIF(INDIRECT(J$3),'Struktur Aktuell'!$D150,INDIRECT(J$4))+SUMIF(INDIRECT(J$3),'Struktur Aktuell'!$D150,INDIRECT(J$5)))</f>
        <v>0</v>
      </c>
      <c r="K150" s="593">
        <f ca="1">$E150*(-SUMIF(INDIRECT(K$3),'Struktur Aktuell'!$D150,INDIRECT(K$4))+SUMIF(INDIRECT(K$3),'Struktur Aktuell'!$D150,INDIRECT(K$5)))</f>
        <v>0</v>
      </c>
      <c r="L150" s="593">
        <f ca="1">$E150*(-SUMIF(INDIRECT(L$3),'Struktur Aktuell'!$D150,INDIRECT(L$4))+SUMIF(INDIRECT(L$3),'Struktur Aktuell'!$D150,INDIRECT(L$5)))</f>
        <v>0</v>
      </c>
      <c r="M150" s="593">
        <f ca="1">$E150*(-SUMIF(INDIRECT(M$3),'Struktur Aktuell'!$D150,INDIRECT(M$4))+SUMIF(INDIRECT(M$3),'Struktur Aktuell'!$D150,INDIRECT(M$5)))</f>
        <v>0</v>
      </c>
      <c r="N150" s="593">
        <f ca="1">$E150*(-SUMIF(INDIRECT(N$3),'Struktur Aktuell'!$D150,INDIRECT(N$4))+SUMIF(INDIRECT(N$3),'Struktur Aktuell'!$D150,INDIRECT(N$5)))</f>
        <v>0</v>
      </c>
      <c r="O150" s="593">
        <f ca="1">$E150*(-SUMIF(INDIRECT(O$3),'Struktur Aktuell'!$D150,INDIRECT(O$4))+SUMIF(INDIRECT(O$3),'Struktur Aktuell'!$D150,INDIRECT(O$5)))</f>
        <v>0</v>
      </c>
      <c r="P150" s="593">
        <f ca="1">$E150*(-SUMIF(INDIRECT(P$3),'Struktur Aktuell'!$D150,INDIRECT(P$4))+SUMIF(INDIRECT(P$3),'Struktur Aktuell'!$D150,INDIRECT(P$5)))</f>
        <v>0</v>
      </c>
      <c r="Q150" s="593">
        <f ca="1">$E150*(-SUMIF(INDIRECT(Q$3),'Struktur Aktuell'!$D150,INDIRECT(Q$4))+SUMIF(INDIRECT(Q$3),'Struktur Aktuell'!$D150,INDIRECT(Q$5)))</f>
        <v>0</v>
      </c>
      <c r="R150" s="593">
        <f ca="1">$E150*(-SUMIF(INDIRECT(R$3),'Struktur Aktuell'!$D150,INDIRECT(R$4))+SUMIF(INDIRECT(R$3),'Struktur Aktuell'!$D150,INDIRECT(R$5)))</f>
        <v>0</v>
      </c>
      <c r="S150" s="593">
        <f ca="1">$E150*(-SUMIF(INDIRECT(S$3),'Struktur Aktuell'!$D150,INDIRECT(S$4))+SUMIF(INDIRECT(S$3),'Struktur Aktuell'!$D150,INDIRECT(S$5)))</f>
        <v>0</v>
      </c>
      <c r="T150" s="593">
        <f ca="1">$E150*(-SUMIF(INDIRECT(T$3),'Struktur Aktuell'!$D150,INDIRECT(T$4))+SUMIF(INDIRECT(T$3),'Struktur Aktuell'!$D150,INDIRECT(T$5)))</f>
        <v>0</v>
      </c>
      <c r="U150" s="593">
        <f ca="1">$E150*(-SUMIF(INDIRECT(U$3),'Struktur Aktuell'!$D150,INDIRECT(U$4))+SUMIF(INDIRECT(U$3),'Struktur Aktuell'!$D150,INDIRECT(U$5)))</f>
        <v>0</v>
      </c>
      <c r="V150" s="593">
        <f ca="1">$E150*(-SUMIF(INDIRECT(V$3),'Struktur Aktuell'!$D150,INDIRECT(V$4))+SUMIF(INDIRECT(V$3),'Struktur Aktuell'!$D150,INDIRECT(V$5)))</f>
        <v>0</v>
      </c>
      <c r="W150" s="593">
        <f ca="1">$E150*(-SUMIF(INDIRECT(W$3),'Struktur Aktuell'!$D150,INDIRECT(W$4))+SUMIF(INDIRECT(W$3),'Struktur Aktuell'!$D150,INDIRECT(W$5)))</f>
        <v>0</v>
      </c>
      <c r="X150" s="593">
        <f ca="1">$E150*(-SUMIF(INDIRECT(X$3),'Struktur Aktuell'!$D150,INDIRECT(X$4))+SUMIF(INDIRECT(X$3),'Struktur Aktuell'!$D150,INDIRECT(X$5)))</f>
        <v>0</v>
      </c>
      <c r="Y150" s="593">
        <f ca="1">$E150*(-SUMIF(INDIRECT(Y$3),'Struktur Aktuell'!$D150,INDIRECT(Y$4))+SUMIF(INDIRECT(Y$3),'Struktur Aktuell'!$D150,INDIRECT(Y$5)))</f>
        <v>0</v>
      </c>
      <c r="Z150" s="593">
        <f ca="1">$E150*(-SUMIF(INDIRECT(Z$3),'Struktur Aktuell'!$D150,INDIRECT(Z$4))+SUMIF(INDIRECT(Z$3),'Struktur Aktuell'!$D150,INDIRECT(Z$5)))</f>
        <v>0</v>
      </c>
      <c r="AA150" s="593">
        <f ca="1">$E150*(-SUMIF(INDIRECT(AA$3),'Struktur Aktuell'!$D150,INDIRECT(AA$4))+SUMIF(INDIRECT(AA$3),'Struktur Aktuell'!$D150,INDIRECT(AA$5)))</f>
        <v>0</v>
      </c>
      <c r="AB150" s="593">
        <f ca="1">$E150*(-SUMIF(INDIRECT(AB$3),'Struktur Aktuell'!$D150,INDIRECT(AB$4))+SUMIF(INDIRECT(AB$3),'Struktur Aktuell'!$D150,INDIRECT(AB$5)))</f>
        <v>0</v>
      </c>
      <c r="AC150" s="593">
        <f ca="1">$E150*(-SUMIF(INDIRECT(AC$3),'Struktur Aktuell'!$D150,INDIRECT(AC$4))+SUMIF(INDIRECT(AC$3),'Struktur Aktuell'!$D150,INDIRECT(AC$5)))</f>
        <v>0</v>
      </c>
      <c r="AD150" s="593">
        <f ca="1">$E150*(-SUMIF(INDIRECT(AD$3),'Struktur Aktuell'!$D150,INDIRECT(AD$4))+SUMIF(INDIRECT(AD$3),'Struktur Aktuell'!$D150,INDIRECT(AD$5)))</f>
        <v>0</v>
      </c>
      <c r="AE150" s="593">
        <f t="shared" ca="1" si="203"/>
        <v>0</v>
      </c>
      <c r="AF150" s="593">
        <f t="shared" ca="1" si="204"/>
        <v>0</v>
      </c>
      <c r="AG150" s="593">
        <f t="shared" ca="1" si="205"/>
        <v>0</v>
      </c>
      <c r="AH150" s="593">
        <f t="shared" ca="1" si="206"/>
        <v>0</v>
      </c>
      <c r="AI150" s="593">
        <f t="shared" ca="1" si="207"/>
        <v>0</v>
      </c>
      <c r="AJ150" s="593">
        <f t="shared" ca="1" si="208"/>
        <v>0</v>
      </c>
      <c r="AK150" s="593">
        <f t="shared" ca="1" si="209"/>
        <v>0</v>
      </c>
      <c r="AL150" s="593">
        <f t="shared" ca="1" si="210"/>
        <v>0</v>
      </c>
      <c r="AM150" s="593">
        <f t="shared" ca="1" si="211"/>
        <v>0</v>
      </c>
      <c r="AN150" s="593">
        <f t="shared" ca="1" si="212"/>
        <v>0</v>
      </c>
      <c r="AO150" s="593">
        <f t="shared" ca="1" si="213"/>
        <v>0</v>
      </c>
      <c r="AP150" s="593">
        <f t="shared" ca="1" si="214"/>
        <v>0</v>
      </c>
    </row>
    <row r="151" spans="1:42" s="594" customFormat="1" ht="11.25" outlineLevel="1" x14ac:dyDescent="0.2">
      <c r="A151" s="590"/>
      <c r="B151" s="591" t="str">
        <f>IF(D151&lt;&gt;"",
IF(ISERROR(MATCH(D151,'Ist Aktuell Monat 01'!A:A,0))=FALSE,INDEX('Ist Aktuell Monat 01'!B:B,MATCH(D151,'Ist Aktuell Monat 01'!A:A,0)),
IF(ISERROR(MATCH(D151,'Ist Aktuell Monat 02'!A:A,0))=FALSE,INDEX('Ist Aktuell Monat 02'!B:B,MATCH(D151,'Ist Aktuell Monat 02'!A:A,0)),
IF(ISERROR(MATCH(D151,'Ist Aktuell Monat 03'!A:A,0))=FALSE,INDEX('Ist Aktuell Monat 03'!B:B,MATCH(D151,'Ist Aktuell Monat 03'!A:A,0)),
IF(ISERROR(MATCH(D151,'Ist Aktuell Monat 04'!A:A,0))=FALSE,INDEX('Ist Aktuell Monat 04'!B:B,MATCH(D151,'Ist Aktuell Monat 04'!A:A,0)),
IF(ISERROR(MATCH(D151,'Ist Aktuell Monat 05'!A:A,0))=FALSE,INDEX('Ist Aktuell Monat 05'!B:B,MATCH(D151,'Ist Aktuell Monat 05'!A:A,0)),
IF(ISERROR(MATCH(D151,'Ist Aktuell Monat 06'!A:A,0))=FALSE,INDEX('Ist Aktuell Monat 06'!B:B,MATCH(D151,'Ist Aktuell Monat 06'!A:A,0)),
IF(ISERROR(MATCH(D151,'Ist Aktuell Monat 07'!A:A,0))=FALSE,INDEX('Ist Aktuell Monat 07'!B:B,MATCH(D151,'Ist Aktuell Monat 07'!A:A,0)),
IF(ISERROR(MATCH(D151,'Ist Aktuell Monat 08'!A:A,0))=FALSE,INDEX('Ist Aktuell Monat 08'!B:B,MATCH(D151,'Ist Aktuell Monat 08'!A:A,0)),
IF(ISERROR(MATCH(D151,'Ist Aktuell Monat 09'!A:A,0))=FALSE,INDEX('Ist Aktuell Monat 09'!B:B,MATCH(D151,'Ist Aktuell Monat 09'!A:A,0)),
IF(ISERROR(MATCH(D151,'Ist Aktuell Monat 10'!A:A,0))=FALSE,INDEX('Ist Aktuell Monat 10'!B:B,MATCH(D151,'Ist Aktuell Monat 10'!A:A,0)),
IF(ISERROR(MATCH(D151,'Ist Aktuell Monat 11'!A:A,0))=FALSE,INDEX('Ist Aktuell Monat 11'!B:B,MATCH(D151,'Ist Aktuell Monat 11'!A:A,0)),
IF(ISERROR(MATCH(D151,'Ist Aktuell Monat 12'!A:A,0))=FALSE,INDEX('Ist Aktuell Monat 12'!B:B,MATCH(D151,'Ist Aktuell Monat 12'!A:A,0)),
"{Konto unbekannt}"
)))))))))))),"")</f>
        <v/>
      </c>
      <c r="C151" s="591"/>
      <c r="D151" s="590"/>
      <c r="E151" s="592">
        <f t="shared" si="171"/>
        <v>1</v>
      </c>
      <c r="F151" s="590"/>
      <c r="G151" s="593">
        <f ca="1">$E151*(-SUMIF(INDIRECT(G$3),'Struktur Aktuell'!$D151,INDIRECT(G$4))+SUMIF(INDIRECT(G$3),'Struktur Aktuell'!$D151,INDIRECT(G$5)))</f>
        <v>0</v>
      </c>
      <c r="H151" s="593">
        <f ca="1">$E151*(-SUMIF(INDIRECT(H$3),'Struktur Aktuell'!$D151,INDIRECT(H$4))+SUMIF(INDIRECT(H$3),'Struktur Aktuell'!$D151,INDIRECT(H$5)))</f>
        <v>0</v>
      </c>
      <c r="I151" s="593">
        <f ca="1">$E151*(-SUMIF(INDIRECT(I$3),'Struktur Aktuell'!$D151,INDIRECT(I$4))+SUMIF(INDIRECT(I$3),'Struktur Aktuell'!$D151,INDIRECT(I$5)))</f>
        <v>0</v>
      </c>
      <c r="J151" s="593">
        <f ca="1">$E151*(-SUMIF(INDIRECT(J$3),'Struktur Aktuell'!$D151,INDIRECT(J$4))+SUMIF(INDIRECT(J$3),'Struktur Aktuell'!$D151,INDIRECT(J$5)))</f>
        <v>0</v>
      </c>
      <c r="K151" s="593">
        <f ca="1">$E151*(-SUMIF(INDIRECT(K$3),'Struktur Aktuell'!$D151,INDIRECT(K$4))+SUMIF(INDIRECT(K$3),'Struktur Aktuell'!$D151,INDIRECT(K$5)))</f>
        <v>0</v>
      </c>
      <c r="L151" s="593">
        <f ca="1">$E151*(-SUMIF(INDIRECT(L$3),'Struktur Aktuell'!$D151,INDIRECT(L$4))+SUMIF(INDIRECT(L$3),'Struktur Aktuell'!$D151,INDIRECT(L$5)))</f>
        <v>0</v>
      </c>
      <c r="M151" s="593">
        <f ca="1">$E151*(-SUMIF(INDIRECT(M$3),'Struktur Aktuell'!$D151,INDIRECT(M$4))+SUMIF(INDIRECT(M$3),'Struktur Aktuell'!$D151,INDIRECT(M$5)))</f>
        <v>0</v>
      </c>
      <c r="N151" s="593">
        <f ca="1">$E151*(-SUMIF(INDIRECT(N$3),'Struktur Aktuell'!$D151,INDIRECT(N$4))+SUMIF(INDIRECT(N$3),'Struktur Aktuell'!$D151,INDIRECT(N$5)))</f>
        <v>0</v>
      </c>
      <c r="O151" s="593">
        <f ca="1">$E151*(-SUMIF(INDIRECT(O$3),'Struktur Aktuell'!$D151,INDIRECT(O$4))+SUMIF(INDIRECT(O$3),'Struktur Aktuell'!$D151,INDIRECT(O$5)))</f>
        <v>0</v>
      </c>
      <c r="P151" s="593">
        <f ca="1">$E151*(-SUMIF(INDIRECT(P$3),'Struktur Aktuell'!$D151,INDIRECT(P$4))+SUMIF(INDIRECT(P$3),'Struktur Aktuell'!$D151,INDIRECT(P$5)))</f>
        <v>0</v>
      </c>
      <c r="Q151" s="593">
        <f ca="1">$E151*(-SUMIF(INDIRECT(Q$3),'Struktur Aktuell'!$D151,INDIRECT(Q$4))+SUMIF(INDIRECT(Q$3),'Struktur Aktuell'!$D151,INDIRECT(Q$5)))</f>
        <v>0</v>
      </c>
      <c r="R151" s="593">
        <f ca="1">$E151*(-SUMIF(INDIRECT(R$3),'Struktur Aktuell'!$D151,INDIRECT(R$4))+SUMIF(INDIRECT(R$3),'Struktur Aktuell'!$D151,INDIRECT(R$5)))</f>
        <v>0</v>
      </c>
      <c r="S151" s="593">
        <f ca="1">$E151*(-SUMIF(INDIRECT(S$3),'Struktur Aktuell'!$D151,INDIRECT(S$4))+SUMIF(INDIRECT(S$3),'Struktur Aktuell'!$D151,INDIRECT(S$5)))</f>
        <v>0</v>
      </c>
      <c r="T151" s="593">
        <f ca="1">$E151*(-SUMIF(INDIRECT(T$3),'Struktur Aktuell'!$D151,INDIRECT(T$4))+SUMIF(INDIRECT(T$3),'Struktur Aktuell'!$D151,INDIRECT(T$5)))</f>
        <v>0</v>
      </c>
      <c r="U151" s="593">
        <f ca="1">$E151*(-SUMIF(INDIRECT(U$3),'Struktur Aktuell'!$D151,INDIRECT(U$4))+SUMIF(INDIRECT(U$3),'Struktur Aktuell'!$D151,INDIRECT(U$5)))</f>
        <v>0</v>
      </c>
      <c r="V151" s="593">
        <f ca="1">$E151*(-SUMIF(INDIRECT(V$3),'Struktur Aktuell'!$D151,INDIRECT(V$4))+SUMIF(INDIRECT(V$3),'Struktur Aktuell'!$D151,INDIRECT(V$5)))</f>
        <v>0</v>
      </c>
      <c r="W151" s="593">
        <f ca="1">$E151*(-SUMIF(INDIRECT(W$3),'Struktur Aktuell'!$D151,INDIRECT(W$4))+SUMIF(INDIRECT(W$3),'Struktur Aktuell'!$D151,INDIRECT(W$5)))</f>
        <v>0</v>
      </c>
      <c r="X151" s="593">
        <f ca="1">$E151*(-SUMIF(INDIRECT(X$3),'Struktur Aktuell'!$D151,INDIRECT(X$4))+SUMIF(INDIRECT(X$3),'Struktur Aktuell'!$D151,INDIRECT(X$5)))</f>
        <v>0</v>
      </c>
      <c r="Y151" s="593">
        <f ca="1">$E151*(-SUMIF(INDIRECT(Y$3),'Struktur Aktuell'!$D151,INDIRECT(Y$4))+SUMIF(INDIRECT(Y$3),'Struktur Aktuell'!$D151,INDIRECT(Y$5)))</f>
        <v>0</v>
      </c>
      <c r="Z151" s="593">
        <f ca="1">$E151*(-SUMIF(INDIRECT(Z$3),'Struktur Aktuell'!$D151,INDIRECT(Z$4))+SUMIF(INDIRECT(Z$3),'Struktur Aktuell'!$D151,INDIRECT(Z$5)))</f>
        <v>0</v>
      </c>
      <c r="AA151" s="593">
        <f ca="1">$E151*(-SUMIF(INDIRECT(AA$3),'Struktur Aktuell'!$D151,INDIRECT(AA$4))+SUMIF(INDIRECT(AA$3),'Struktur Aktuell'!$D151,INDIRECT(AA$5)))</f>
        <v>0</v>
      </c>
      <c r="AB151" s="593">
        <f ca="1">$E151*(-SUMIF(INDIRECT(AB$3),'Struktur Aktuell'!$D151,INDIRECT(AB$4))+SUMIF(INDIRECT(AB$3),'Struktur Aktuell'!$D151,INDIRECT(AB$5)))</f>
        <v>0</v>
      </c>
      <c r="AC151" s="593">
        <f ca="1">$E151*(-SUMIF(INDIRECT(AC$3),'Struktur Aktuell'!$D151,INDIRECT(AC$4))+SUMIF(INDIRECT(AC$3),'Struktur Aktuell'!$D151,INDIRECT(AC$5)))</f>
        <v>0</v>
      </c>
      <c r="AD151" s="593">
        <f ca="1">$E151*(-SUMIF(INDIRECT(AD$3),'Struktur Aktuell'!$D151,INDIRECT(AD$4))+SUMIF(INDIRECT(AD$3),'Struktur Aktuell'!$D151,INDIRECT(AD$5)))</f>
        <v>0</v>
      </c>
      <c r="AE151" s="593">
        <f t="shared" ca="1" si="203"/>
        <v>0</v>
      </c>
      <c r="AF151" s="593">
        <f t="shared" ca="1" si="204"/>
        <v>0</v>
      </c>
      <c r="AG151" s="593">
        <f t="shared" ca="1" si="205"/>
        <v>0</v>
      </c>
      <c r="AH151" s="593">
        <f t="shared" ca="1" si="206"/>
        <v>0</v>
      </c>
      <c r="AI151" s="593">
        <f t="shared" ca="1" si="207"/>
        <v>0</v>
      </c>
      <c r="AJ151" s="593">
        <f t="shared" ca="1" si="208"/>
        <v>0</v>
      </c>
      <c r="AK151" s="593">
        <f t="shared" ca="1" si="209"/>
        <v>0</v>
      </c>
      <c r="AL151" s="593">
        <f t="shared" ca="1" si="210"/>
        <v>0</v>
      </c>
      <c r="AM151" s="593">
        <f t="shared" ca="1" si="211"/>
        <v>0</v>
      </c>
      <c r="AN151" s="593">
        <f t="shared" ca="1" si="212"/>
        <v>0</v>
      </c>
      <c r="AO151" s="593">
        <f t="shared" ca="1" si="213"/>
        <v>0</v>
      </c>
      <c r="AP151" s="593">
        <f t="shared" ca="1" si="214"/>
        <v>0</v>
      </c>
    </row>
    <row r="152" spans="1:42" s="594" customFormat="1" ht="11.25" outlineLevel="1" x14ac:dyDescent="0.2">
      <c r="A152" s="590"/>
      <c r="B152" s="591" t="str">
        <f>IF(D152&lt;&gt;"",
IF(ISERROR(MATCH(D152,'Ist Aktuell Monat 01'!A:A,0))=FALSE,INDEX('Ist Aktuell Monat 01'!B:B,MATCH(D152,'Ist Aktuell Monat 01'!A:A,0)),
IF(ISERROR(MATCH(D152,'Ist Aktuell Monat 02'!A:A,0))=FALSE,INDEX('Ist Aktuell Monat 02'!B:B,MATCH(D152,'Ist Aktuell Monat 02'!A:A,0)),
IF(ISERROR(MATCH(D152,'Ist Aktuell Monat 03'!A:A,0))=FALSE,INDEX('Ist Aktuell Monat 03'!B:B,MATCH(D152,'Ist Aktuell Monat 03'!A:A,0)),
IF(ISERROR(MATCH(D152,'Ist Aktuell Monat 04'!A:A,0))=FALSE,INDEX('Ist Aktuell Monat 04'!B:B,MATCH(D152,'Ist Aktuell Monat 04'!A:A,0)),
IF(ISERROR(MATCH(D152,'Ist Aktuell Monat 05'!A:A,0))=FALSE,INDEX('Ist Aktuell Monat 05'!B:B,MATCH(D152,'Ist Aktuell Monat 05'!A:A,0)),
IF(ISERROR(MATCH(D152,'Ist Aktuell Monat 06'!A:A,0))=FALSE,INDEX('Ist Aktuell Monat 06'!B:B,MATCH(D152,'Ist Aktuell Monat 06'!A:A,0)),
IF(ISERROR(MATCH(D152,'Ist Aktuell Monat 07'!A:A,0))=FALSE,INDEX('Ist Aktuell Monat 07'!B:B,MATCH(D152,'Ist Aktuell Monat 07'!A:A,0)),
IF(ISERROR(MATCH(D152,'Ist Aktuell Monat 08'!A:A,0))=FALSE,INDEX('Ist Aktuell Monat 08'!B:B,MATCH(D152,'Ist Aktuell Monat 08'!A:A,0)),
IF(ISERROR(MATCH(D152,'Ist Aktuell Monat 09'!A:A,0))=FALSE,INDEX('Ist Aktuell Monat 09'!B:B,MATCH(D152,'Ist Aktuell Monat 09'!A:A,0)),
IF(ISERROR(MATCH(D152,'Ist Aktuell Monat 10'!A:A,0))=FALSE,INDEX('Ist Aktuell Monat 10'!B:B,MATCH(D152,'Ist Aktuell Monat 10'!A:A,0)),
IF(ISERROR(MATCH(D152,'Ist Aktuell Monat 11'!A:A,0))=FALSE,INDEX('Ist Aktuell Monat 11'!B:B,MATCH(D152,'Ist Aktuell Monat 11'!A:A,0)),
IF(ISERROR(MATCH(D152,'Ist Aktuell Monat 12'!A:A,0))=FALSE,INDEX('Ist Aktuell Monat 12'!B:B,MATCH(D152,'Ist Aktuell Monat 12'!A:A,0)),
"{Konto unbekannt}"
)))))))))))),"")</f>
        <v/>
      </c>
      <c r="C152" s="591"/>
      <c r="D152" s="590"/>
      <c r="E152" s="592">
        <f t="shared" si="171"/>
        <v>1</v>
      </c>
      <c r="F152" s="590"/>
      <c r="G152" s="593">
        <f ca="1">$E152*(-SUMIF(INDIRECT(G$3),'Struktur Aktuell'!$D152,INDIRECT(G$4))+SUMIF(INDIRECT(G$3),'Struktur Aktuell'!$D152,INDIRECT(G$5)))</f>
        <v>0</v>
      </c>
      <c r="H152" s="593">
        <f ca="1">$E152*(-SUMIF(INDIRECT(H$3),'Struktur Aktuell'!$D152,INDIRECT(H$4))+SUMIF(INDIRECT(H$3),'Struktur Aktuell'!$D152,INDIRECT(H$5)))</f>
        <v>0</v>
      </c>
      <c r="I152" s="593">
        <f ca="1">$E152*(-SUMIF(INDIRECT(I$3),'Struktur Aktuell'!$D152,INDIRECT(I$4))+SUMIF(INDIRECT(I$3),'Struktur Aktuell'!$D152,INDIRECT(I$5)))</f>
        <v>0</v>
      </c>
      <c r="J152" s="593">
        <f ca="1">$E152*(-SUMIF(INDIRECT(J$3),'Struktur Aktuell'!$D152,INDIRECT(J$4))+SUMIF(INDIRECT(J$3),'Struktur Aktuell'!$D152,INDIRECT(J$5)))</f>
        <v>0</v>
      </c>
      <c r="K152" s="593">
        <f ca="1">$E152*(-SUMIF(INDIRECT(K$3),'Struktur Aktuell'!$D152,INDIRECT(K$4))+SUMIF(INDIRECT(K$3),'Struktur Aktuell'!$D152,INDIRECT(K$5)))</f>
        <v>0</v>
      </c>
      <c r="L152" s="593">
        <f ca="1">$E152*(-SUMIF(INDIRECT(L$3),'Struktur Aktuell'!$D152,INDIRECT(L$4))+SUMIF(INDIRECT(L$3),'Struktur Aktuell'!$D152,INDIRECT(L$5)))</f>
        <v>0</v>
      </c>
      <c r="M152" s="593">
        <f ca="1">$E152*(-SUMIF(INDIRECT(M$3),'Struktur Aktuell'!$D152,INDIRECT(M$4))+SUMIF(INDIRECT(M$3),'Struktur Aktuell'!$D152,INDIRECT(M$5)))</f>
        <v>0</v>
      </c>
      <c r="N152" s="593">
        <f ca="1">$E152*(-SUMIF(INDIRECT(N$3),'Struktur Aktuell'!$D152,INDIRECT(N$4))+SUMIF(INDIRECT(N$3),'Struktur Aktuell'!$D152,INDIRECT(N$5)))</f>
        <v>0</v>
      </c>
      <c r="O152" s="593">
        <f ca="1">$E152*(-SUMIF(INDIRECT(O$3),'Struktur Aktuell'!$D152,INDIRECT(O$4))+SUMIF(INDIRECT(O$3),'Struktur Aktuell'!$D152,INDIRECT(O$5)))</f>
        <v>0</v>
      </c>
      <c r="P152" s="593">
        <f ca="1">$E152*(-SUMIF(INDIRECT(P$3),'Struktur Aktuell'!$D152,INDIRECT(P$4))+SUMIF(INDIRECT(P$3),'Struktur Aktuell'!$D152,INDIRECT(P$5)))</f>
        <v>0</v>
      </c>
      <c r="Q152" s="593">
        <f ca="1">$E152*(-SUMIF(INDIRECT(Q$3),'Struktur Aktuell'!$D152,INDIRECT(Q$4))+SUMIF(INDIRECT(Q$3),'Struktur Aktuell'!$D152,INDIRECT(Q$5)))</f>
        <v>0</v>
      </c>
      <c r="R152" s="593">
        <f ca="1">$E152*(-SUMIF(INDIRECT(R$3),'Struktur Aktuell'!$D152,INDIRECT(R$4))+SUMIF(INDIRECT(R$3),'Struktur Aktuell'!$D152,INDIRECT(R$5)))</f>
        <v>0</v>
      </c>
      <c r="S152" s="593">
        <f ca="1">$E152*(-SUMIF(INDIRECT(S$3),'Struktur Aktuell'!$D152,INDIRECT(S$4))+SUMIF(INDIRECT(S$3),'Struktur Aktuell'!$D152,INDIRECT(S$5)))</f>
        <v>0</v>
      </c>
      <c r="T152" s="593">
        <f ca="1">$E152*(-SUMIF(INDIRECT(T$3),'Struktur Aktuell'!$D152,INDIRECT(T$4))+SUMIF(INDIRECT(T$3),'Struktur Aktuell'!$D152,INDIRECT(T$5)))</f>
        <v>0</v>
      </c>
      <c r="U152" s="593">
        <f ca="1">$E152*(-SUMIF(INDIRECT(U$3),'Struktur Aktuell'!$D152,INDIRECT(U$4))+SUMIF(INDIRECT(U$3),'Struktur Aktuell'!$D152,INDIRECT(U$5)))</f>
        <v>0</v>
      </c>
      <c r="V152" s="593">
        <f ca="1">$E152*(-SUMIF(INDIRECT(V$3),'Struktur Aktuell'!$D152,INDIRECT(V$4))+SUMIF(INDIRECT(V$3),'Struktur Aktuell'!$D152,INDIRECT(V$5)))</f>
        <v>0</v>
      </c>
      <c r="W152" s="593">
        <f ca="1">$E152*(-SUMIF(INDIRECT(W$3),'Struktur Aktuell'!$D152,INDIRECT(W$4))+SUMIF(INDIRECT(W$3),'Struktur Aktuell'!$D152,INDIRECT(W$5)))</f>
        <v>0</v>
      </c>
      <c r="X152" s="593">
        <f ca="1">$E152*(-SUMIF(INDIRECT(X$3),'Struktur Aktuell'!$D152,INDIRECT(X$4))+SUMIF(INDIRECT(X$3),'Struktur Aktuell'!$D152,INDIRECT(X$5)))</f>
        <v>0</v>
      </c>
      <c r="Y152" s="593">
        <f ca="1">$E152*(-SUMIF(INDIRECT(Y$3),'Struktur Aktuell'!$D152,INDIRECT(Y$4))+SUMIF(INDIRECT(Y$3),'Struktur Aktuell'!$D152,INDIRECT(Y$5)))</f>
        <v>0</v>
      </c>
      <c r="Z152" s="593">
        <f ca="1">$E152*(-SUMIF(INDIRECT(Z$3),'Struktur Aktuell'!$D152,INDIRECT(Z$4))+SUMIF(INDIRECT(Z$3),'Struktur Aktuell'!$D152,INDIRECT(Z$5)))</f>
        <v>0</v>
      </c>
      <c r="AA152" s="593">
        <f ca="1">$E152*(-SUMIF(INDIRECT(AA$3),'Struktur Aktuell'!$D152,INDIRECT(AA$4))+SUMIF(INDIRECT(AA$3),'Struktur Aktuell'!$D152,INDIRECT(AA$5)))</f>
        <v>0</v>
      </c>
      <c r="AB152" s="593">
        <f ca="1">$E152*(-SUMIF(INDIRECT(AB$3),'Struktur Aktuell'!$D152,INDIRECT(AB$4))+SUMIF(INDIRECT(AB$3),'Struktur Aktuell'!$D152,INDIRECT(AB$5)))</f>
        <v>0</v>
      </c>
      <c r="AC152" s="593">
        <f ca="1">$E152*(-SUMIF(INDIRECT(AC$3),'Struktur Aktuell'!$D152,INDIRECT(AC$4))+SUMIF(INDIRECT(AC$3),'Struktur Aktuell'!$D152,INDIRECT(AC$5)))</f>
        <v>0</v>
      </c>
      <c r="AD152" s="593">
        <f ca="1">$E152*(-SUMIF(INDIRECT(AD$3),'Struktur Aktuell'!$D152,INDIRECT(AD$4))+SUMIF(INDIRECT(AD$3),'Struktur Aktuell'!$D152,INDIRECT(AD$5)))</f>
        <v>0</v>
      </c>
      <c r="AE152" s="593">
        <f t="shared" ca="1" si="203"/>
        <v>0</v>
      </c>
      <c r="AF152" s="593">
        <f t="shared" ca="1" si="204"/>
        <v>0</v>
      </c>
      <c r="AG152" s="593">
        <f t="shared" ca="1" si="205"/>
        <v>0</v>
      </c>
      <c r="AH152" s="593">
        <f t="shared" ca="1" si="206"/>
        <v>0</v>
      </c>
      <c r="AI152" s="593">
        <f t="shared" ca="1" si="207"/>
        <v>0</v>
      </c>
      <c r="AJ152" s="593">
        <f t="shared" ca="1" si="208"/>
        <v>0</v>
      </c>
      <c r="AK152" s="593">
        <f t="shared" ca="1" si="209"/>
        <v>0</v>
      </c>
      <c r="AL152" s="593">
        <f t="shared" ca="1" si="210"/>
        <v>0</v>
      </c>
      <c r="AM152" s="593">
        <f t="shared" ca="1" si="211"/>
        <v>0</v>
      </c>
      <c r="AN152" s="593">
        <f t="shared" ca="1" si="212"/>
        <v>0</v>
      </c>
      <c r="AO152" s="593">
        <f t="shared" ca="1" si="213"/>
        <v>0</v>
      </c>
      <c r="AP152" s="593">
        <f t="shared" ca="1" si="214"/>
        <v>0</v>
      </c>
    </row>
    <row r="153" spans="1:42" s="589" customFormat="1" x14ac:dyDescent="0.2">
      <c r="A153" s="602">
        <v>14</v>
      </c>
      <c r="B153" s="586" t="s">
        <v>1010</v>
      </c>
      <c r="C153" s="587">
        <f ca="1">SUM(G153:R153)</f>
        <v>0</v>
      </c>
      <c r="D153" s="587"/>
      <c r="E153" s="588">
        <f>IF(F153="-",-1,1)</f>
        <v>1</v>
      </c>
      <c r="F153" s="585"/>
      <c r="G153" s="587">
        <f ca="1">SUM(G154:G155)</f>
        <v>0</v>
      </c>
      <c r="H153" s="587">
        <f t="shared" ref="H153:R153" ca="1" si="215">SUM(H154:H155)</f>
        <v>0</v>
      </c>
      <c r="I153" s="587">
        <f t="shared" ca="1" si="215"/>
        <v>0</v>
      </c>
      <c r="J153" s="587">
        <f t="shared" ca="1" si="215"/>
        <v>0</v>
      </c>
      <c r="K153" s="587">
        <f t="shared" ca="1" si="215"/>
        <v>0</v>
      </c>
      <c r="L153" s="587">
        <f t="shared" ca="1" si="215"/>
        <v>0</v>
      </c>
      <c r="M153" s="587">
        <f t="shared" ca="1" si="215"/>
        <v>0</v>
      </c>
      <c r="N153" s="587">
        <f t="shared" ca="1" si="215"/>
        <v>0</v>
      </c>
      <c r="O153" s="587">
        <f t="shared" ca="1" si="215"/>
        <v>0</v>
      </c>
      <c r="P153" s="587">
        <f t="shared" ca="1" si="215"/>
        <v>0</v>
      </c>
      <c r="Q153" s="587">
        <f t="shared" ca="1" si="215"/>
        <v>0</v>
      </c>
      <c r="R153" s="587">
        <f t="shared" ca="1" si="215"/>
        <v>0</v>
      </c>
      <c r="S153" s="587">
        <f ca="1">SUM(S154:S155)</f>
        <v>0</v>
      </c>
      <c r="T153" s="587">
        <f t="shared" ref="T153:AD153" ca="1" si="216">SUM(T154:T155)</f>
        <v>0</v>
      </c>
      <c r="U153" s="587">
        <f t="shared" ca="1" si="216"/>
        <v>0</v>
      </c>
      <c r="V153" s="587">
        <f t="shared" ca="1" si="216"/>
        <v>0</v>
      </c>
      <c r="W153" s="587">
        <f t="shared" ca="1" si="216"/>
        <v>0</v>
      </c>
      <c r="X153" s="587">
        <f t="shared" ca="1" si="216"/>
        <v>0</v>
      </c>
      <c r="Y153" s="587">
        <f t="shared" ca="1" si="216"/>
        <v>0</v>
      </c>
      <c r="Z153" s="587">
        <f t="shared" ca="1" si="216"/>
        <v>0</v>
      </c>
      <c r="AA153" s="587">
        <f t="shared" ca="1" si="216"/>
        <v>0</v>
      </c>
      <c r="AB153" s="587">
        <f t="shared" ca="1" si="216"/>
        <v>0</v>
      </c>
      <c r="AC153" s="587">
        <f t="shared" ca="1" si="216"/>
        <v>0</v>
      </c>
      <c r="AD153" s="587">
        <f t="shared" ca="1" si="216"/>
        <v>0</v>
      </c>
      <c r="AE153" s="587">
        <f ca="1">SUM(AE154:AE155)</f>
        <v>0</v>
      </c>
      <c r="AF153" s="587">
        <f t="shared" ref="AF153:AP153" ca="1" si="217">SUM(AF154:AF155)</f>
        <v>0</v>
      </c>
      <c r="AG153" s="587">
        <f t="shared" ca="1" si="217"/>
        <v>0</v>
      </c>
      <c r="AH153" s="587">
        <f t="shared" ca="1" si="217"/>
        <v>0</v>
      </c>
      <c r="AI153" s="587">
        <f t="shared" ca="1" si="217"/>
        <v>0</v>
      </c>
      <c r="AJ153" s="587">
        <f t="shared" ca="1" si="217"/>
        <v>0</v>
      </c>
      <c r="AK153" s="587">
        <f t="shared" ca="1" si="217"/>
        <v>0</v>
      </c>
      <c r="AL153" s="587">
        <f t="shared" ca="1" si="217"/>
        <v>0</v>
      </c>
      <c r="AM153" s="587">
        <f t="shared" ca="1" si="217"/>
        <v>0</v>
      </c>
      <c r="AN153" s="587">
        <f t="shared" ca="1" si="217"/>
        <v>0</v>
      </c>
      <c r="AO153" s="587">
        <f t="shared" ca="1" si="217"/>
        <v>0</v>
      </c>
      <c r="AP153" s="587">
        <f t="shared" ca="1" si="217"/>
        <v>0</v>
      </c>
    </row>
    <row r="154" spans="1:42" s="594" customFormat="1" ht="11.25" outlineLevel="1" x14ac:dyDescent="0.2">
      <c r="A154" s="590"/>
      <c r="B154" s="591" t="str">
        <f>IF(D154&lt;&gt;"",
IF(ISERROR(MATCH(D154,'Ist Aktuell Monat 01'!A:A,0))=FALSE,INDEX('Ist Aktuell Monat 01'!B:B,MATCH(D154,'Ist Aktuell Monat 01'!A:A,0)),
IF(ISERROR(MATCH(D154,'Ist Aktuell Monat 02'!A:A,0))=FALSE,INDEX('Ist Aktuell Monat 02'!B:B,MATCH(D154,'Ist Aktuell Monat 02'!A:A,0)),
IF(ISERROR(MATCH(D154,'Ist Aktuell Monat 03'!A:A,0))=FALSE,INDEX('Ist Aktuell Monat 03'!B:B,MATCH(D154,'Ist Aktuell Monat 03'!A:A,0)),
IF(ISERROR(MATCH(D154,'Ist Aktuell Monat 04'!A:A,0))=FALSE,INDEX('Ist Aktuell Monat 04'!B:B,MATCH(D154,'Ist Aktuell Monat 04'!A:A,0)),
IF(ISERROR(MATCH(D154,'Ist Aktuell Monat 05'!A:A,0))=FALSE,INDEX('Ist Aktuell Monat 05'!B:B,MATCH(D154,'Ist Aktuell Monat 05'!A:A,0)),
IF(ISERROR(MATCH(D154,'Ist Aktuell Monat 06'!A:A,0))=FALSE,INDEX('Ist Aktuell Monat 06'!B:B,MATCH(D154,'Ist Aktuell Monat 06'!A:A,0)),
IF(ISERROR(MATCH(D154,'Ist Aktuell Monat 07'!A:A,0))=FALSE,INDEX('Ist Aktuell Monat 07'!B:B,MATCH(D154,'Ist Aktuell Monat 07'!A:A,0)),
IF(ISERROR(MATCH(D154,'Ist Aktuell Monat 08'!A:A,0))=FALSE,INDEX('Ist Aktuell Monat 08'!B:B,MATCH(D154,'Ist Aktuell Monat 08'!A:A,0)),
IF(ISERROR(MATCH(D154,'Ist Aktuell Monat 09'!A:A,0))=FALSE,INDEX('Ist Aktuell Monat 09'!B:B,MATCH(D154,'Ist Aktuell Monat 09'!A:A,0)),
IF(ISERROR(MATCH(D154,'Ist Aktuell Monat 10'!A:A,0))=FALSE,INDEX('Ist Aktuell Monat 10'!B:B,MATCH(D154,'Ist Aktuell Monat 10'!A:A,0)),
IF(ISERROR(MATCH(D154,'Ist Aktuell Monat 11'!A:A,0))=FALSE,INDEX('Ist Aktuell Monat 11'!B:B,MATCH(D154,'Ist Aktuell Monat 11'!A:A,0)),
IF(ISERROR(MATCH(D154,'Ist Aktuell Monat 12'!A:A,0))=FALSE,INDEX('Ist Aktuell Monat 12'!B:B,MATCH(D154,'Ist Aktuell Monat 12'!A:A,0)),
"{Konto unbekannt}"
)))))))))))),"")</f>
        <v/>
      </c>
      <c r="C154" s="591"/>
      <c r="D154" s="590"/>
      <c r="E154" s="592">
        <f>IF(F154="-",-1,1)</f>
        <v>1</v>
      </c>
      <c r="F154" s="590"/>
      <c r="G154" s="593">
        <f ca="1">$E154*(-SUMIF(INDIRECT(G$3),'Struktur Aktuell'!$D154,INDIRECT(G$4))+SUMIF(INDIRECT(G$3),'Struktur Aktuell'!$D154,INDIRECT(G$5)))</f>
        <v>0</v>
      </c>
      <c r="H154" s="593">
        <f ca="1">$E154*(-SUMIF(INDIRECT(H$3),'Struktur Aktuell'!$D154,INDIRECT(H$4))+SUMIF(INDIRECT(H$3),'Struktur Aktuell'!$D154,INDIRECT(H$5)))</f>
        <v>0</v>
      </c>
      <c r="I154" s="593">
        <f ca="1">$E154*(-SUMIF(INDIRECT(I$3),'Struktur Aktuell'!$D154,INDIRECT(I$4))+SUMIF(INDIRECT(I$3),'Struktur Aktuell'!$D154,INDIRECT(I$5)))</f>
        <v>0</v>
      </c>
      <c r="J154" s="593">
        <f ca="1">$E154*(-SUMIF(INDIRECT(J$3),'Struktur Aktuell'!$D154,INDIRECT(J$4))+SUMIF(INDIRECT(J$3),'Struktur Aktuell'!$D154,INDIRECT(J$5)))</f>
        <v>0</v>
      </c>
      <c r="K154" s="593">
        <f ca="1">$E154*(-SUMIF(INDIRECT(K$3),'Struktur Aktuell'!$D154,INDIRECT(K$4))+SUMIF(INDIRECT(K$3),'Struktur Aktuell'!$D154,INDIRECT(K$5)))</f>
        <v>0</v>
      </c>
      <c r="L154" s="593">
        <f ca="1">$E154*(-SUMIF(INDIRECT(L$3),'Struktur Aktuell'!$D154,INDIRECT(L$4))+SUMIF(INDIRECT(L$3),'Struktur Aktuell'!$D154,INDIRECT(L$5)))</f>
        <v>0</v>
      </c>
      <c r="M154" s="593">
        <f ca="1">$E154*(-SUMIF(INDIRECT(M$3),'Struktur Aktuell'!$D154,INDIRECT(M$4))+SUMIF(INDIRECT(M$3),'Struktur Aktuell'!$D154,INDIRECT(M$5)))</f>
        <v>0</v>
      </c>
      <c r="N154" s="593">
        <f ca="1">$E154*(-SUMIF(INDIRECT(N$3),'Struktur Aktuell'!$D154,INDIRECT(N$4))+SUMIF(INDIRECT(N$3),'Struktur Aktuell'!$D154,INDIRECT(N$5)))</f>
        <v>0</v>
      </c>
      <c r="O154" s="593">
        <f ca="1">$E154*(-SUMIF(INDIRECT(O$3),'Struktur Aktuell'!$D154,INDIRECT(O$4))+SUMIF(INDIRECT(O$3),'Struktur Aktuell'!$D154,INDIRECT(O$5)))</f>
        <v>0</v>
      </c>
      <c r="P154" s="593">
        <f ca="1">$E154*(-SUMIF(INDIRECT(P$3),'Struktur Aktuell'!$D154,INDIRECT(P$4))+SUMIF(INDIRECT(P$3),'Struktur Aktuell'!$D154,INDIRECT(P$5)))</f>
        <v>0</v>
      </c>
      <c r="Q154" s="593">
        <f ca="1">$E154*(-SUMIF(INDIRECT(Q$3),'Struktur Aktuell'!$D154,INDIRECT(Q$4))+SUMIF(INDIRECT(Q$3),'Struktur Aktuell'!$D154,INDIRECT(Q$5)))</f>
        <v>0</v>
      </c>
      <c r="R154" s="593">
        <f ca="1">$E154*(-SUMIF(INDIRECT(R$3),'Struktur Aktuell'!$D154,INDIRECT(R$4))+SUMIF(INDIRECT(R$3),'Struktur Aktuell'!$D154,INDIRECT(R$5)))</f>
        <v>0</v>
      </c>
      <c r="S154" s="593">
        <f ca="1">$E154*(-SUMIF(INDIRECT(S$3),'Struktur Aktuell'!$D154,INDIRECT(S$4))+SUMIF(INDIRECT(S$3),'Struktur Aktuell'!$D154,INDIRECT(S$5)))</f>
        <v>0</v>
      </c>
      <c r="T154" s="593">
        <f ca="1">$E154*(-SUMIF(INDIRECT(T$3),'Struktur Aktuell'!$D154,INDIRECT(T$4))+SUMIF(INDIRECT(T$3),'Struktur Aktuell'!$D154,INDIRECT(T$5)))</f>
        <v>0</v>
      </c>
      <c r="U154" s="593">
        <f ca="1">$E154*(-SUMIF(INDIRECT(U$3),'Struktur Aktuell'!$D154,INDIRECT(U$4))+SUMIF(INDIRECT(U$3),'Struktur Aktuell'!$D154,INDIRECT(U$5)))</f>
        <v>0</v>
      </c>
      <c r="V154" s="593">
        <f ca="1">$E154*(-SUMIF(INDIRECT(V$3),'Struktur Aktuell'!$D154,INDIRECT(V$4))+SUMIF(INDIRECT(V$3),'Struktur Aktuell'!$D154,INDIRECT(V$5)))</f>
        <v>0</v>
      </c>
      <c r="W154" s="593">
        <f ca="1">$E154*(-SUMIF(INDIRECT(W$3),'Struktur Aktuell'!$D154,INDIRECT(W$4))+SUMIF(INDIRECT(W$3),'Struktur Aktuell'!$D154,INDIRECT(W$5)))</f>
        <v>0</v>
      </c>
      <c r="X154" s="593">
        <f ca="1">$E154*(-SUMIF(INDIRECT(X$3),'Struktur Aktuell'!$D154,INDIRECT(X$4))+SUMIF(INDIRECT(X$3),'Struktur Aktuell'!$D154,INDIRECT(X$5)))</f>
        <v>0</v>
      </c>
      <c r="Y154" s="593">
        <f ca="1">$E154*(-SUMIF(INDIRECT(Y$3),'Struktur Aktuell'!$D154,INDIRECT(Y$4))+SUMIF(INDIRECT(Y$3),'Struktur Aktuell'!$D154,INDIRECT(Y$5)))</f>
        <v>0</v>
      </c>
      <c r="Z154" s="593">
        <f ca="1">$E154*(-SUMIF(INDIRECT(Z$3),'Struktur Aktuell'!$D154,INDIRECT(Z$4))+SUMIF(INDIRECT(Z$3),'Struktur Aktuell'!$D154,INDIRECT(Z$5)))</f>
        <v>0</v>
      </c>
      <c r="AA154" s="593">
        <f ca="1">$E154*(-SUMIF(INDIRECT(AA$3),'Struktur Aktuell'!$D154,INDIRECT(AA$4))+SUMIF(INDIRECT(AA$3),'Struktur Aktuell'!$D154,INDIRECT(AA$5)))</f>
        <v>0</v>
      </c>
      <c r="AB154" s="593">
        <f ca="1">$E154*(-SUMIF(INDIRECT(AB$3),'Struktur Aktuell'!$D154,INDIRECT(AB$4))+SUMIF(INDIRECT(AB$3),'Struktur Aktuell'!$D154,INDIRECT(AB$5)))</f>
        <v>0</v>
      </c>
      <c r="AC154" s="593">
        <f ca="1">$E154*(-SUMIF(INDIRECT(AC$3),'Struktur Aktuell'!$D154,INDIRECT(AC$4))+SUMIF(INDIRECT(AC$3),'Struktur Aktuell'!$D154,INDIRECT(AC$5)))</f>
        <v>0</v>
      </c>
      <c r="AD154" s="593">
        <f ca="1">$E154*(-SUMIF(INDIRECT(AD$3),'Struktur Aktuell'!$D154,INDIRECT(AD$4))+SUMIF(INDIRECT(AD$3),'Struktur Aktuell'!$D154,INDIRECT(AD$5)))</f>
        <v>0</v>
      </c>
      <c r="AE154" s="593">
        <f t="shared" ref="AE154:AE155" ca="1" si="218">G154</f>
        <v>0</v>
      </c>
      <c r="AF154" s="593">
        <f t="shared" ref="AF154:AF155" ca="1" si="219">H154+AE154</f>
        <v>0</v>
      </c>
      <c r="AG154" s="593">
        <f t="shared" ref="AG154:AG155" ca="1" si="220">I154+AF154</f>
        <v>0</v>
      </c>
      <c r="AH154" s="593">
        <f t="shared" ref="AH154:AH155" ca="1" si="221">J154+AG154</f>
        <v>0</v>
      </c>
      <c r="AI154" s="593">
        <f t="shared" ref="AI154:AI155" ca="1" si="222">K154+AH154</f>
        <v>0</v>
      </c>
      <c r="AJ154" s="593">
        <f t="shared" ref="AJ154:AJ155" ca="1" si="223">L154+AI154</f>
        <v>0</v>
      </c>
      <c r="AK154" s="593">
        <f t="shared" ref="AK154:AK155" ca="1" si="224">M154+AJ154</f>
        <v>0</v>
      </c>
      <c r="AL154" s="593">
        <f t="shared" ref="AL154:AL155" ca="1" si="225">N154+AK154</f>
        <v>0</v>
      </c>
      <c r="AM154" s="593">
        <f t="shared" ref="AM154:AM155" ca="1" si="226">O154+AL154</f>
        <v>0</v>
      </c>
      <c r="AN154" s="593">
        <f t="shared" ref="AN154:AN155" ca="1" si="227">P154+AM154</f>
        <v>0</v>
      </c>
      <c r="AO154" s="593">
        <f t="shared" ref="AO154:AO155" ca="1" si="228">Q154+AN154</f>
        <v>0</v>
      </c>
      <c r="AP154" s="593">
        <f t="shared" ref="AP154:AP155" ca="1" si="229">R154+AO154</f>
        <v>0</v>
      </c>
    </row>
    <row r="155" spans="1:42" s="594" customFormat="1" ht="11.25" outlineLevel="1" x14ac:dyDescent="0.2">
      <c r="A155" s="590"/>
      <c r="B155" s="591" t="str">
        <f>IF(D155&lt;&gt;"",
IF(ISERROR(MATCH(D155,'Ist Aktuell Monat 01'!A:A,0))=FALSE,INDEX('Ist Aktuell Monat 01'!B:B,MATCH(D155,'Ist Aktuell Monat 01'!A:A,0)),
IF(ISERROR(MATCH(D155,'Ist Aktuell Monat 02'!A:A,0))=FALSE,INDEX('Ist Aktuell Monat 02'!B:B,MATCH(D155,'Ist Aktuell Monat 02'!A:A,0)),
IF(ISERROR(MATCH(D155,'Ist Aktuell Monat 03'!A:A,0))=FALSE,INDEX('Ist Aktuell Monat 03'!B:B,MATCH(D155,'Ist Aktuell Monat 03'!A:A,0)),
IF(ISERROR(MATCH(D155,'Ist Aktuell Monat 04'!A:A,0))=FALSE,INDEX('Ist Aktuell Monat 04'!B:B,MATCH(D155,'Ist Aktuell Monat 04'!A:A,0)),
IF(ISERROR(MATCH(D155,'Ist Aktuell Monat 05'!A:A,0))=FALSE,INDEX('Ist Aktuell Monat 05'!B:B,MATCH(D155,'Ist Aktuell Monat 05'!A:A,0)),
IF(ISERROR(MATCH(D155,'Ist Aktuell Monat 06'!A:A,0))=FALSE,INDEX('Ist Aktuell Monat 06'!B:B,MATCH(D155,'Ist Aktuell Monat 06'!A:A,0)),
IF(ISERROR(MATCH(D155,'Ist Aktuell Monat 07'!A:A,0))=FALSE,INDEX('Ist Aktuell Monat 07'!B:B,MATCH(D155,'Ist Aktuell Monat 07'!A:A,0)),
IF(ISERROR(MATCH(D155,'Ist Aktuell Monat 08'!A:A,0))=FALSE,INDEX('Ist Aktuell Monat 08'!B:B,MATCH(D155,'Ist Aktuell Monat 08'!A:A,0)),
IF(ISERROR(MATCH(D155,'Ist Aktuell Monat 09'!A:A,0))=FALSE,INDEX('Ist Aktuell Monat 09'!B:B,MATCH(D155,'Ist Aktuell Monat 09'!A:A,0)),
IF(ISERROR(MATCH(D155,'Ist Aktuell Monat 10'!A:A,0))=FALSE,INDEX('Ist Aktuell Monat 10'!B:B,MATCH(D155,'Ist Aktuell Monat 10'!A:A,0)),
IF(ISERROR(MATCH(D155,'Ist Aktuell Monat 11'!A:A,0))=FALSE,INDEX('Ist Aktuell Monat 11'!B:B,MATCH(D155,'Ist Aktuell Monat 11'!A:A,0)),
IF(ISERROR(MATCH(D155,'Ist Aktuell Monat 12'!A:A,0))=FALSE,INDEX('Ist Aktuell Monat 12'!B:B,MATCH(D155,'Ist Aktuell Monat 12'!A:A,0)),
"{Konto unbekannt}"
)))))))))))),"")</f>
        <v/>
      </c>
      <c r="C155" s="591"/>
      <c r="D155" s="590"/>
      <c r="E155" s="592">
        <f>IF(F155="-",-1,1)</f>
        <v>1</v>
      </c>
      <c r="F155" s="590"/>
      <c r="G155" s="593">
        <f ca="1">$E155*(-SUMIF(INDIRECT(G$3),'Struktur Aktuell'!$D155,INDIRECT(G$4))+SUMIF(INDIRECT(G$3),'Struktur Aktuell'!$D155,INDIRECT(G$5)))</f>
        <v>0</v>
      </c>
      <c r="H155" s="593">
        <f ca="1">$E155*(-SUMIF(INDIRECT(H$3),'Struktur Aktuell'!$D155,INDIRECT(H$4))+SUMIF(INDIRECT(H$3),'Struktur Aktuell'!$D155,INDIRECT(H$5)))</f>
        <v>0</v>
      </c>
      <c r="I155" s="593">
        <f ca="1">$E155*(-SUMIF(INDIRECT(I$3),'Struktur Aktuell'!$D155,INDIRECT(I$4))+SUMIF(INDIRECT(I$3),'Struktur Aktuell'!$D155,INDIRECT(I$5)))</f>
        <v>0</v>
      </c>
      <c r="J155" s="593">
        <f ca="1">$E155*(-SUMIF(INDIRECT(J$3),'Struktur Aktuell'!$D155,INDIRECT(J$4))+SUMIF(INDIRECT(J$3),'Struktur Aktuell'!$D155,INDIRECT(J$5)))</f>
        <v>0</v>
      </c>
      <c r="K155" s="593">
        <f ca="1">$E155*(-SUMIF(INDIRECT(K$3),'Struktur Aktuell'!$D155,INDIRECT(K$4))+SUMIF(INDIRECT(K$3),'Struktur Aktuell'!$D155,INDIRECT(K$5)))</f>
        <v>0</v>
      </c>
      <c r="L155" s="593">
        <f ca="1">$E155*(-SUMIF(INDIRECT(L$3),'Struktur Aktuell'!$D155,INDIRECT(L$4))+SUMIF(INDIRECT(L$3),'Struktur Aktuell'!$D155,INDIRECT(L$5)))</f>
        <v>0</v>
      </c>
      <c r="M155" s="593">
        <f ca="1">$E155*(-SUMIF(INDIRECT(M$3),'Struktur Aktuell'!$D155,INDIRECT(M$4))+SUMIF(INDIRECT(M$3),'Struktur Aktuell'!$D155,INDIRECT(M$5)))</f>
        <v>0</v>
      </c>
      <c r="N155" s="593">
        <f ca="1">$E155*(-SUMIF(INDIRECT(N$3),'Struktur Aktuell'!$D155,INDIRECT(N$4))+SUMIF(INDIRECT(N$3),'Struktur Aktuell'!$D155,INDIRECT(N$5)))</f>
        <v>0</v>
      </c>
      <c r="O155" s="593">
        <f ca="1">$E155*(-SUMIF(INDIRECT(O$3),'Struktur Aktuell'!$D155,INDIRECT(O$4))+SUMIF(INDIRECT(O$3),'Struktur Aktuell'!$D155,INDIRECT(O$5)))</f>
        <v>0</v>
      </c>
      <c r="P155" s="593">
        <f ca="1">$E155*(-SUMIF(INDIRECT(P$3),'Struktur Aktuell'!$D155,INDIRECT(P$4))+SUMIF(INDIRECT(P$3),'Struktur Aktuell'!$D155,INDIRECT(P$5)))</f>
        <v>0</v>
      </c>
      <c r="Q155" s="593">
        <f ca="1">$E155*(-SUMIF(INDIRECT(Q$3),'Struktur Aktuell'!$D155,INDIRECT(Q$4))+SUMIF(INDIRECT(Q$3),'Struktur Aktuell'!$D155,INDIRECT(Q$5)))</f>
        <v>0</v>
      </c>
      <c r="R155" s="593">
        <f ca="1">$E155*(-SUMIF(INDIRECT(R$3),'Struktur Aktuell'!$D155,INDIRECT(R$4))+SUMIF(INDIRECT(R$3),'Struktur Aktuell'!$D155,INDIRECT(R$5)))</f>
        <v>0</v>
      </c>
      <c r="S155" s="593">
        <f ca="1">$E155*(-SUMIF(INDIRECT(S$3),'Struktur Aktuell'!$D155,INDIRECT(S$4))+SUMIF(INDIRECT(S$3),'Struktur Aktuell'!$D155,INDIRECT(S$5)))</f>
        <v>0</v>
      </c>
      <c r="T155" s="593">
        <f ca="1">$E155*(-SUMIF(INDIRECT(T$3),'Struktur Aktuell'!$D155,INDIRECT(T$4))+SUMIF(INDIRECT(T$3),'Struktur Aktuell'!$D155,INDIRECT(T$5)))</f>
        <v>0</v>
      </c>
      <c r="U155" s="593">
        <f ca="1">$E155*(-SUMIF(INDIRECT(U$3),'Struktur Aktuell'!$D155,INDIRECT(U$4))+SUMIF(INDIRECT(U$3),'Struktur Aktuell'!$D155,INDIRECT(U$5)))</f>
        <v>0</v>
      </c>
      <c r="V155" s="593">
        <f ca="1">$E155*(-SUMIF(INDIRECT(V$3),'Struktur Aktuell'!$D155,INDIRECT(V$4))+SUMIF(INDIRECT(V$3),'Struktur Aktuell'!$D155,INDIRECT(V$5)))</f>
        <v>0</v>
      </c>
      <c r="W155" s="593">
        <f ca="1">$E155*(-SUMIF(INDIRECT(W$3),'Struktur Aktuell'!$D155,INDIRECT(W$4))+SUMIF(INDIRECT(W$3),'Struktur Aktuell'!$D155,INDIRECT(W$5)))</f>
        <v>0</v>
      </c>
      <c r="X155" s="593">
        <f ca="1">$E155*(-SUMIF(INDIRECT(X$3),'Struktur Aktuell'!$D155,INDIRECT(X$4))+SUMIF(INDIRECT(X$3),'Struktur Aktuell'!$D155,INDIRECT(X$5)))</f>
        <v>0</v>
      </c>
      <c r="Y155" s="593">
        <f ca="1">$E155*(-SUMIF(INDIRECT(Y$3),'Struktur Aktuell'!$D155,INDIRECT(Y$4))+SUMIF(INDIRECT(Y$3),'Struktur Aktuell'!$D155,INDIRECT(Y$5)))</f>
        <v>0</v>
      </c>
      <c r="Z155" s="593">
        <f ca="1">$E155*(-SUMIF(INDIRECT(Z$3),'Struktur Aktuell'!$D155,INDIRECT(Z$4))+SUMIF(INDIRECT(Z$3),'Struktur Aktuell'!$D155,INDIRECT(Z$5)))</f>
        <v>0</v>
      </c>
      <c r="AA155" s="593">
        <f ca="1">$E155*(-SUMIF(INDIRECT(AA$3),'Struktur Aktuell'!$D155,INDIRECT(AA$4))+SUMIF(INDIRECT(AA$3),'Struktur Aktuell'!$D155,INDIRECT(AA$5)))</f>
        <v>0</v>
      </c>
      <c r="AB155" s="593">
        <f ca="1">$E155*(-SUMIF(INDIRECT(AB$3),'Struktur Aktuell'!$D155,INDIRECT(AB$4))+SUMIF(INDIRECT(AB$3),'Struktur Aktuell'!$D155,INDIRECT(AB$5)))</f>
        <v>0</v>
      </c>
      <c r="AC155" s="593">
        <f ca="1">$E155*(-SUMIF(INDIRECT(AC$3),'Struktur Aktuell'!$D155,INDIRECT(AC$4))+SUMIF(INDIRECT(AC$3),'Struktur Aktuell'!$D155,INDIRECT(AC$5)))</f>
        <v>0</v>
      </c>
      <c r="AD155" s="593">
        <f ca="1">$E155*(-SUMIF(INDIRECT(AD$3),'Struktur Aktuell'!$D155,INDIRECT(AD$4))+SUMIF(INDIRECT(AD$3),'Struktur Aktuell'!$D155,INDIRECT(AD$5)))</f>
        <v>0</v>
      </c>
      <c r="AE155" s="593">
        <f t="shared" ca="1" si="218"/>
        <v>0</v>
      </c>
      <c r="AF155" s="593">
        <f t="shared" ca="1" si="219"/>
        <v>0</v>
      </c>
      <c r="AG155" s="593">
        <f t="shared" ca="1" si="220"/>
        <v>0</v>
      </c>
      <c r="AH155" s="593">
        <f t="shared" ca="1" si="221"/>
        <v>0</v>
      </c>
      <c r="AI155" s="593">
        <f t="shared" ca="1" si="222"/>
        <v>0</v>
      </c>
      <c r="AJ155" s="593">
        <f t="shared" ca="1" si="223"/>
        <v>0</v>
      </c>
      <c r="AK155" s="593">
        <f t="shared" ca="1" si="224"/>
        <v>0</v>
      </c>
      <c r="AL155" s="593">
        <f t="shared" ca="1" si="225"/>
        <v>0</v>
      </c>
      <c r="AM155" s="593">
        <f t="shared" ca="1" si="226"/>
        <v>0</v>
      </c>
      <c r="AN155" s="593">
        <f t="shared" ca="1" si="227"/>
        <v>0</v>
      </c>
      <c r="AO155" s="593">
        <f t="shared" ca="1" si="228"/>
        <v>0</v>
      </c>
      <c r="AP155" s="593">
        <f t="shared" ca="1" si="229"/>
        <v>0</v>
      </c>
    </row>
    <row r="156" spans="1:42" s="589" customFormat="1" x14ac:dyDescent="0.2">
      <c r="A156" s="595"/>
      <c r="B156" s="596" t="s">
        <v>1011</v>
      </c>
      <c r="C156" s="597">
        <f ca="1">SUM(G156:R156)</f>
        <v>5425.6500000000106</v>
      </c>
      <c r="D156" s="597"/>
      <c r="E156" s="598">
        <f t="shared" si="171"/>
        <v>1</v>
      </c>
      <c r="F156" s="595"/>
      <c r="G156" s="597">
        <f t="shared" ref="G156:R156" ca="1" si="230">G107-G108</f>
        <v>-6436.93</v>
      </c>
      <c r="H156" s="597">
        <f t="shared" ca="1" si="230"/>
        <v>-4741.6499999999996</v>
      </c>
      <c r="I156" s="597">
        <f t="shared" ca="1" si="230"/>
        <v>-11929.380000000001</v>
      </c>
      <c r="J156" s="597">
        <f t="shared" ca="1" si="230"/>
        <v>-4671.7500000000036</v>
      </c>
      <c r="K156" s="597">
        <f t="shared" ca="1" si="230"/>
        <v>-9509.7899999999972</v>
      </c>
      <c r="L156" s="597">
        <f t="shared" ca="1" si="230"/>
        <v>-5876.3999999999978</v>
      </c>
      <c r="M156" s="597">
        <f t="shared" ca="1" si="230"/>
        <v>32278.400000000001</v>
      </c>
      <c r="N156" s="597">
        <f t="shared" ca="1" si="230"/>
        <v>4756.9500000000007</v>
      </c>
      <c r="O156" s="597">
        <f t="shared" ca="1" si="230"/>
        <v>-5009.9299999999985</v>
      </c>
      <c r="P156" s="597">
        <f t="shared" ca="1" si="230"/>
        <v>16566.13</v>
      </c>
      <c r="Q156" s="597">
        <f t="shared" ca="1" si="230"/>
        <v>0</v>
      </c>
      <c r="R156" s="597">
        <f t="shared" ca="1" si="230"/>
        <v>0</v>
      </c>
      <c r="S156" s="597">
        <f t="shared" ref="S156:AP156" ca="1" si="231">S107-S108</f>
        <v>-6436.93</v>
      </c>
      <c r="T156" s="597">
        <f t="shared" ca="1" si="231"/>
        <v>-11178.580000000005</v>
      </c>
      <c r="U156" s="597">
        <f t="shared" ca="1" si="231"/>
        <v>-23107.96000000001</v>
      </c>
      <c r="V156" s="597">
        <f t="shared" ca="1" si="231"/>
        <v>-27779.710000000006</v>
      </c>
      <c r="W156" s="597">
        <f t="shared" ca="1" si="231"/>
        <v>-37289.5</v>
      </c>
      <c r="X156" s="597">
        <f t="shared" ca="1" si="231"/>
        <v>-43165.899999999994</v>
      </c>
      <c r="Y156" s="597">
        <f t="shared" ca="1" si="231"/>
        <v>-10887.5</v>
      </c>
      <c r="Z156" s="597">
        <f t="shared" ca="1" si="231"/>
        <v>-6130.5499999999884</v>
      </c>
      <c r="AA156" s="597">
        <f t="shared" ca="1" si="231"/>
        <v>-11140.48000000001</v>
      </c>
      <c r="AB156" s="597">
        <f t="shared" ca="1" si="231"/>
        <v>5425.6499999999942</v>
      </c>
      <c r="AC156" s="597">
        <f t="shared" ca="1" si="231"/>
        <v>0</v>
      </c>
      <c r="AD156" s="597">
        <f t="shared" ca="1" si="231"/>
        <v>0</v>
      </c>
      <c r="AE156" s="597">
        <f t="shared" ca="1" si="231"/>
        <v>-6436.93</v>
      </c>
      <c r="AF156" s="597">
        <f t="shared" ca="1" si="231"/>
        <v>-11178.580000000005</v>
      </c>
      <c r="AG156" s="597">
        <f t="shared" ca="1" si="231"/>
        <v>-23107.96000000001</v>
      </c>
      <c r="AH156" s="597">
        <f t="shared" ca="1" si="231"/>
        <v>-27779.710000000006</v>
      </c>
      <c r="AI156" s="597">
        <f t="shared" ca="1" si="231"/>
        <v>-37289.5</v>
      </c>
      <c r="AJ156" s="597">
        <f t="shared" ca="1" si="231"/>
        <v>-43165.899999999994</v>
      </c>
      <c r="AK156" s="597">
        <f t="shared" ca="1" si="231"/>
        <v>-10887.5</v>
      </c>
      <c r="AL156" s="597">
        <f t="shared" ca="1" si="231"/>
        <v>-6130.5499999999884</v>
      </c>
      <c r="AM156" s="597">
        <f t="shared" ca="1" si="231"/>
        <v>-11140.48000000001</v>
      </c>
      <c r="AN156" s="597">
        <f t="shared" ca="1" si="231"/>
        <v>5425.6500000000524</v>
      </c>
      <c r="AO156" s="597">
        <f t="shared" ca="1" si="231"/>
        <v>5425.6500000000524</v>
      </c>
      <c r="AP156" s="597">
        <f t="shared" ca="1" si="231"/>
        <v>5425.6500000000524</v>
      </c>
    </row>
    <row r="157" spans="1:42" x14ac:dyDescent="0.2">
      <c r="A157" s="730"/>
      <c r="B157" s="731" t="s">
        <v>2</v>
      </c>
      <c r="C157" s="732">
        <f ca="1">SUM(G157:R157)</f>
        <v>16722.939999999999</v>
      </c>
      <c r="D157" s="732"/>
      <c r="E157" s="733">
        <f t="shared" si="171"/>
        <v>1</v>
      </c>
      <c r="F157" s="730"/>
      <c r="G157" s="732">
        <f ca="1">G158+G168</f>
        <v>1761.74</v>
      </c>
      <c r="H157" s="732">
        <f t="shared" ref="H157:R157" ca="1" si="232">H158+H168</f>
        <v>1543.45</v>
      </c>
      <c r="I157" s="732">
        <f t="shared" ca="1" si="232"/>
        <v>1808.77</v>
      </c>
      <c r="J157" s="732">
        <f t="shared" ca="1" si="232"/>
        <v>1581.49</v>
      </c>
      <c r="K157" s="732">
        <f t="shared" ca="1" si="232"/>
        <v>2107.02</v>
      </c>
      <c r="L157" s="732">
        <f t="shared" ca="1" si="232"/>
        <v>585.28</v>
      </c>
      <c r="M157" s="732">
        <f t="shared" ca="1" si="232"/>
        <v>2648.0299999999997</v>
      </c>
      <c r="N157" s="732">
        <f t="shared" ca="1" si="232"/>
        <v>2058.58</v>
      </c>
      <c r="O157" s="732">
        <f t="shared" ca="1" si="232"/>
        <v>1314.29</v>
      </c>
      <c r="P157" s="732">
        <f t="shared" ca="1" si="232"/>
        <v>1314.29</v>
      </c>
      <c r="Q157" s="732">
        <f t="shared" ca="1" si="232"/>
        <v>0</v>
      </c>
      <c r="R157" s="732">
        <f t="shared" ca="1" si="232"/>
        <v>0</v>
      </c>
      <c r="S157" s="732">
        <f ca="1">S158+S168</f>
        <v>1761.74</v>
      </c>
      <c r="T157" s="732">
        <f t="shared" ref="T157:AD157" ca="1" si="233">T158+T168</f>
        <v>3305.19</v>
      </c>
      <c r="U157" s="732">
        <f t="shared" ca="1" si="233"/>
        <v>5113.96</v>
      </c>
      <c r="V157" s="732">
        <f t="shared" ca="1" si="233"/>
        <v>6695.45</v>
      </c>
      <c r="W157" s="732">
        <f t="shared" ca="1" si="233"/>
        <v>8802.4699999999993</v>
      </c>
      <c r="X157" s="732">
        <f t="shared" ca="1" si="233"/>
        <v>9387.75</v>
      </c>
      <c r="Y157" s="732">
        <f t="shared" ca="1" si="233"/>
        <v>12035.779999999999</v>
      </c>
      <c r="Z157" s="732">
        <f t="shared" ca="1" si="233"/>
        <v>14094.36</v>
      </c>
      <c r="AA157" s="732">
        <f t="shared" ca="1" si="233"/>
        <v>15408.65</v>
      </c>
      <c r="AB157" s="732">
        <f t="shared" ca="1" si="233"/>
        <v>16722.940000000002</v>
      </c>
      <c r="AC157" s="732">
        <f t="shared" ca="1" si="233"/>
        <v>0</v>
      </c>
      <c r="AD157" s="732">
        <f t="shared" ca="1" si="233"/>
        <v>0</v>
      </c>
      <c r="AE157" s="732">
        <f ca="1">AE158+AE168</f>
        <v>1761.74</v>
      </c>
      <c r="AF157" s="732">
        <f t="shared" ref="AF157:AP157" ca="1" si="234">AF158+AF168</f>
        <v>3305.19</v>
      </c>
      <c r="AG157" s="732">
        <f t="shared" ca="1" si="234"/>
        <v>5113.96</v>
      </c>
      <c r="AH157" s="732">
        <f t="shared" ca="1" si="234"/>
        <v>6695.45</v>
      </c>
      <c r="AI157" s="732">
        <f t="shared" ca="1" si="234"/>
        <v>8802.4699999999993</v>
      </c>
      <c r="AJ157" s="732">
        <f t="shared" ca="1" si="234"/>
        <v>9387.75</v>
      </c>
      <c r="AK157" s="732">
        <f t="shared" ca="1" si="234"/>
        <v>12035.78</v>
      </c>
      <c r="AL157" s="732">
        <f t="shared" ca="1" si="234"/>
        <v>14094.36</v>
      </c>
      <c r="AM157" s="732">
        <f t="shared" ca="1" si="234"/>
        <v>15408.65</v>
      </c>
      <c r="AN157" s="732">
        <f t="shared" ca="1" si="234"/>
        <v>16722.940000000002</v>
      </c>
      <c r="AO157" s="732">
        <f t="shared" ca="1" si="234"/>
        <v>16722.940000000002</v>
      </c>
      <c r="AP157" s="732">
        <f t="shared" ca="1" si="234"/>
        <v>16722.940000000002</v>
      </c>
    </row>
    <row r="158" spans="1:42" s="589" customFormat="1" x14ac:dyDescent="0.2">
      <c r="A158" s="585">
        <v>15</v>
      </c>
      <c r="B158" s="586" t="s">
        <v>1012</v>
      </c>
      <c r="C158" s="587">
        <f ca="1">SUM(G158:R158)</f>
        <v>14514.279999999999</v>
      </c>
      <c r="D158" s="587"/>
      <c r="E158" s="588">
        <f t="shared" si="171"/>
        <v>1</v>
      </c>
      <c r="F158" s="585"/>
      <c r="G158" s="587">
        <f t="shared" ref="G158:R158" ca="1" si="235">SUM(G159:G167)</f>
        <v>1538.74</v>
      </c>
      <c r="H158" s="587">
        <f t="shared" ca="1" si="235"/>
        <v>1538.74</v>
      </c>
      <c r="I158" s="587">
        <f t="shared" ca="1" si="235"/>
        <v>1538.74</v>
      </c>
      <c r="J158" s="587">
        <f t="shared" ca="1" si="235"/>
        <v>1538.74</v>
      </c>
      <c r="K158" s="587">
        <f t="shared" ca="1" si="235"/>
        <v>1538.74</v>
      </c>
      <c r="L158" s="587">
        <f t="shared" ca="1" si="235"/>
        <v>585.28</v>
      </c>
      <c r="M158" s="587">
        <f t="shared" ca="1" si="235"/>
        <v>2078.14</v>
      </c>
      <c r="N158" s="587">
        <f t="shared" ca="1" si="235"/>
        <v>1528.58</v>
      </c>
      <c r="O158" s="587">
        <f t="shared" ca="1" si="235"/>
        <v>1314.29</v>
      </c>
      <c r="P158" s="587">
        <f t="shared" ca="1" si="235"/>
        <v>1314.29</v>
      </c>
      <c r="Q158" s="587">
        <f t="shared" ca="1" si="235"/>
        <v>0</v>
      </c>
      <c r="R158" s="587">
        <f t="shared" ca="1" si="235"/>
        <v>0</v>
      </c>
      <c r="S158" s="587">
        <f t="shared" ref="S158:AP158" ca="1" si="236">SUM(S159:S167)</f>
        <v>1538.74</v>
      </c>
      <c r="T158" s="587">
        <f t="shared" ca="1" si="236"/>
        <v>3077.48</v>
      </c>
      <c r="U158" s="587">
        <f t="shared" ca="1" si="236"/>
        <v>4616.22</v>
      </c>
      <c r="V158" s="587">
        <f t="shared" ca="1" si="236"/>
        <v>6154.96</v>
      </c>
      <c r="W158" s="587">
        <f t="shared" ca="1" si="236"/>
        <v>7693.7</v>
      </c>
      <c r="X158" s="587">
        <f t="shared" ca="1" si="236"/>
        <v>8278.98</v>
      </c>
      <c r="Y158" s="587">
        <f t="shared" ca="1" si="236"/>
        <v>10357.119999999999</v>
      </c>
      <c r="Z158" s="587">
        <f t="shared" ca="1" si="236"/>
        <v>11885.7</v>
      </c>
      <c r="AA158" s="587">
        <f t="shared" ca="1" si="236"/>
        <v>13199.99</v>
      </c>
      <c r="AB158" s="587">
        <f t="shared" ca="1" si="236"/>
        <v>14514.28</v>
      </c>
      <c r="AC158" s="587">
        <f t="shared" ca="1" si="236"/>
        <v>0</v>
      </c>
      <c r="AD158" s="587">
        <f t="shared" ca="1" si="236"/>
        <v>0</v>
      </c>
      <c r="AE158" s="587">
        <f t="shared" ca="1" si="236"/>
        <v>1538.74</v>
      </c>
      <c r="AF158" s="587">
        <f t="shared" ca="1" si="236"/>
        <v>3077.48</v>
      </c>
      <c r="AG158" s="587">
        <f t="shared" ca="1" si="236"/>
        <v>4616.22</v>
      </c>
      <c r="AH158" s="587">
        <f t="shared" ca="1" si="236"/>
        <v>6154.96</v>
      </c>
      <c r="AI158" s="587">
        <f t="shared" ca="1" si="236"/>
        <v>7693.7</v>
      </c>
      <c r="AJ158" s="587">
        <f t="shared" ca="1" si="236"/>
        <v>8278.98</v>
      </c>
      <c r="AK158" s="587">
        <f t="shared" ca="1" si="236"/>
        <v>10357.120000000001</v>
      </c>
      <c r="AL158" s="587">
        <f t="shared" ca="1" si="236"/>
        <v>11885.7</v>
      </c>
      <c r="AM158" s="587">
        <f t="shared" ca="1" si="236"/>
        <v>13199.99</v>
      </c>
      <c r="AN158" s="587">
        <f t="shared" ca="1" si="236"/>
        <v>14514.28</v>
      </c>
      <c r="AO158" s="587">
        <f t="shared" ca="1" si="236"/>
        <v>14514.28</v>
      </c>
      <c r="AP158" s="587">
        <f t="shared" ca="1" si="236"/>
        <v>14514.28</v>
      </c>
    </row>
    <row r="159" spans="1:42" s="594" customFormat="1" ht="11.25" outlineLevel="1" x14ac:dyDescent="0.2">
      <c r="A159" s="590"/>
      <c r="B159" s="591" t="str">
        <f>IF(D159&lt;&gt;"",
IF(ISERROR(MATCH(D159,'Ist Aktuell Monat 01'!A:A,0))=FALSE,INDEX('Ist Aktuell Monat 01'!B:B,MATCH(D159,'Ist Aktuell Monat 01'!A:A,0)),
IF(ISERROR(MATCH(D159,'Ist Aktuell Monat 02'!A:A,0))=FALSE,INDEX('Ist Aktuell Monat 02'!B:B,MATCH(D159,'Ist Aktuell Monat 02'!A:A,0)),
IF(ISERROR(MATCH(D159,'Ist Aktuell Monat 03'!A:A,0))=FALSE,INDEX('Ist Aktuell Monat 03'!B:B,MATCH(D159,'Ist Aktuell Monat 03'!A:A,0)),
IF(ISERROR(MATCH(D159,'Ist Aktuell Monat 04'!A:A,0))=FALSE,INDEX('Ist Aktuell Monat 04'!B:B,MATCH(D159,'Ist Aktuell Monat 04'!A:A,0)),
IF(ISERROR(MATCH(D159,'Ist Aktuell Monat 05'!A:A,0))=FALSE,INDEX('Ist Aktuell Monat 05'!B:B,MATCH(D159,'Ist Aktuell Monat 05'!A:A,0)),
IF(ISERROR(MATCH(D159,'Ist Aktuell Monat 06'!A:A,0))=FALSE,INDEX('Ist Aktuell Monat 06'!B:B,MATCH(D159,'Ist Aktuell Monat 06'!A:A,0)),
IF(ISERROR(MATCH(D159,'Ist Aktuell Monat 07'!A:A,0))=FALSE,INDEX('Ist Aktuell Monat 07'!B:B,MATCH(D159,'Ist Aktuell Monat 07'!A:A,0)),
IF(ISERROR(MATCH(D159,'Ist Aktuell Monat 08'!A:A,0))=FALSE,INDEX('Ist Aktuell Monat 08'!B:B,MATCH(D159,'Ist Aktuell Monat 08'!A:A,0)),
IF(ISERROR(MATCH(D159,'Ist Aktuell Monat 09'!A:A,0))=FALSE,INDEX('Ist Aktuell Monat 09'!B:B,MATCH(D159,'Ist Aktuell Monat 09'!A:A,0)),
IF(ISERROR(MATCH(D159,'Ist Aktuell Monat 10'!A:A,0))=FALSE,INDEX('Ist Aktuell Monat 10'!B:B,MATCH(D159,'Ist Aktuell Monat 10'!A:A,0)),
IF(ISERROR(MATCH(D159,'Ist Aktuell Monat 11'!A:A,0))=FALSE,INDEX('Ist Aktuell Monat 11'!B:B,MATCH(D159,'Ist Aktuell Monat 11'!A:A,0)),
IF(ISERROR(MATCH(D159,'Ist Aktuell Monat 12'!A:A,0))=FALSE,INDEX('Ist Aktuell Monat 12'!B:B,MATCH(D159,'Ist Aktuell Monat 12'!A:A,0)),
"{Konto unbekannt}"
)))))))))))),"")</f>
        <v>Miete, unbewegliche Wirtschaftsgüter</v>
      </c>
      <c r="C159" s="591"/>
      <c r="D159" s="590">
        <v>4210</v>
      </c>
      <c r="E159" s="592">
        <f t="shared" si="171"/>
        <v>1</v>
      </c>
      <c r="F159" s="590"/>
      <c r="G159" s="593">
        <f ca="1">$E159*(-SUMIF(INDIRECT(G$3),'Struktur Aktuell'!$D159,INDIRECT(G$4))+SUMIF(INDIRECT(G$3),'Struktur Aktuell'!$D159,INDIRECT(G$5)))</f>
        <v>1250.5</v>
      </c>
      <c r="H159" s="593">
        <f ca="1">$E159*(-SUMIF(INDIRECT(H$3),'Struktur Aktuell'!$D159,INDIRECT(H$4))+SUMIF(INDIRECT(H$3),'Struktur Aktuell'!$D159,INDIRECT(H$5)))</f>
        <v>1250.5</v>
      </c>
      <c r="I159" s="593">
        <f ca="1">$E159*(-SUMIF(INDIRECT(I$3),'Struktur Aktuell'!$D159,INDIRECT(I$4))+SUMIF(INDIRECT(I$3),'Struktur Aktuell'!$D159,INDIRECT(I$5)))</f>
        <v>1250.5</v>
      </c>
      <c r="J159" s="593">
        <f ca="1">$E159*(-SUMIF(INDIRECT(J$3),'Struktur Aktuell'!$D159,INDIRECT(J$4))+SUMIF(INDIRECT(J$3),'Struktur Aktuell'!$D159,INDIRECT(J$5)))</f>
        <v>1250.5</v>
      </c>
      <c r="K159" s="593">
        <f ca="1">$E159*(-SUMIF(INDIRECT(K$3),'Struktur Aktuell'!$D159,INDIRECT(K$4))+SUMIF(INDIRECT(K$3),'Struktur Aktuell'!$D159,INDIRECT(K$5)))</f>
        <v>1250.5</v>
      </c>
      <c r="L159" s="593">
        <f ca="1">$E159*(-SUMIF(INDIRECT(L$3),'Struktur Aktuell'!$D159,INDIRECT(L$4))+SUMIF(INDIRECT(L$3),'Struktur Aktuell'!$D159,INDIRECT(L$5)))</f>
        <v>0</v>
      </c>
      <c r="M159" s="593">
        <f ca="1">$E159*(-SUMIF(INDIRECT(M$3),'Struktur Aktuell'!$D159,INDIRECT(M$4))+SUMIF(INDIRECT(M$3),'Struktur Aktuell'!$D159,INDIRECT(M$5)))</f>
        <v>2200</v>
      </c>
      <c r="N159" s="593">
        <f ca="1">$E159*(-SUMIF(INDIRECT(N$3),'Struktur Aktuell'!$D159,INDIRECT(N$4))+SUMIF(INDIRECT(N$3),'Struktur Aktuell'!$D159,INDIRECT(N$5)))</f>
        <v>1100</v>
      </c>
      <c r="O159" s="593">
        <f ca="1">$E159*(-SUMIF(INDIRECT(O$3),'Struktur Aktuell'!$D159,INDIRECT(O$4))+SUMIF(INDIRECT(O$3),'Struktur Aktuell'!$D159,INDIRECT(O$5)))</f>
        <v>1100</v>
      </c>
      <c r="P159" s="593">
        <f ca="1">$E159*(-SUMIF(INDIRECT(P$3),'Struktur Aktuell'!$D159,INDIRECT(P$4))+SUMIF(INDIRECT(P$3),'Struktur Aktuell'!$D159,INDIRECT(P$5)))</f>
        <v>1100</v>
      </c>
      <c r="Q159" s="593">
        <f ca="1">$E159*(-SUMIF(INDIRECT(Q$3),'Struktur Aktuell'!$D159,INDIRECT(Q$4))+SUMIF(INDIRECT(Q$3),'Struktur Aktuell'!$D159,INDIRECT(Q$5)))</f>
        <v>0</v>
      </c>
      <c r="R159" s="593">
        <f ca="1">$E159*(-SUMIF(INDIRECT(R$3),'Struktur Aktuell'!$D159,INDIRECT(R$4))+SUMIF(INDIRECT(R$3),'Struktur Aktuell'!$D159,INDIRECT(R$5)))</f>
        <v>0</v>
      </c>
      <c r="S159" s="593">
        <f ca="1">$E159*(-SUMIF(INDIRECT(S$3),'Struktur Aktuell'!$D159,INDIRECT(S$4))+SUMIF(INDIRECT(S$3),'Struktur Aktuell'!$D159,INDIRECT(S$5)))</f>
        <v>1250.5</v>
      </c>
      <c r="T159" s="593">
        <f ca="1">$E159*(-SUMIF(INDIRECT(T$3),'Struktur Aktuell'!$D159,INDIRECT(T$4))+SUMIF(INDIRECT(T$3),'Struktur Aktuell'!$D159,INDIRECT(T$5)))</f>
        <v>2501</v>
      </c>
      <c r="U159" s="593">
        <f ca="1">$E159*(-SUMIF(INDIRECT(U$3),'Struktur Aktuell'!$D159,INDIRECT(U$4))+SUMIF(INDIRECT(U$3),'Struktur Aktuell'!$D159,INDIRECT(U$5)))</f>
        <v>3751.5</v>
      </c>
      <c r="V159" s="593">
        <f ca="1">$E159*(-SUMIF(INDIRECT(V$3),'Struktur Aktuell'!$D159,INDIRECT(V$4))+SUMIF(INDIRECT(V$3),'Struktur Aktuell'!$D159,INDIRECT(V$5)))</f>
        <v>5002</v>
      </c>
      <c r="W159" s="593">
        <f ca="1">$E159*(-SUMIF(INDIRECT(W$3),'Struktur Aktuell'!$D159,INDIRECT(W$4))+SUMIF(INDIRECT(W$3),'Struktur Aktuell'!$D159,INDIRECT(W$5)))</f>
        <v>6252.5</v>
      </c>
      <c r="X159" s="593">
        <f ca="1">$E159*(-SUMIF(INDIRECT(X$3),'Struktur Aktuell'!$D159,INDIRECT(X$4))+SUMIF(INDIRECT(X$3),'Struktur Aktuell'!$D159,INDIRECT(X$5)))</f>
        <v>6252.5</v>
      </c>
      <c r="Y159" s="593">
        <f ca="1">$E159*(-SUMIF(INDIRECT(Y$3),'Struktur Aktuell'!$D159,INDIRECT(Y$4))+SUMIF(INDIRECT(Y$3),'Struktur Aktuell'!$D159,INDIRECT(Y$5)))</f>
        <v>8452.5</v>
      </c>
      <c r="Z159" s="593">
        <f ca="1">$E159*(-SUMIF(INDIRECT(Z$3),'Struktur Aktuell'!$D159,INDIRECT(Z$4))+SUMIF(INDIRECT(Z$3),'Struktur Aktuell'!$D159,INDIRECT(Z$5)))</f>
        <v>9552.5</v>
      </c>
      <c r="AA159" s="593">
        <f ca="1">$E159*(-SUMIF(INDIRECT(AA$3),'Struktur Aktuell'!$D159,INDIRECT(AA$4))+SUMIF(INDIRECT(AA$3),'Struktur Aktuell'!$D159,INDIRECT(AA$5)))</f>
        <v>10652.5</v>
      </c>
      <c r="AB159" s="593">
        <f ca="1">$E159*(-SUMIF(INDIRECT(AB$3),'Struktur Aktuell'!$D159,INDIRECT(AB$4))+SUMIF(INDIRECT(AB$3),'Struktur Aktuell'!$D159,INDIRECT(AB$5)))</f>
        <v>11752.5</v>
      </c>
      <c r="AC159" s="593">
        <f ca="1">$E159*(-SUMIF(INDIRECT(AC$3),'Struktur Aktuell'!$D159,INDIRECT(AC$4))+SUMIF(INDIRECT(AC$3),'Struktur Aktuell'!$D159,INDIRECT(AC$5)))</f>
        <v>0</v>
      </c>
      <c r="AD159" s="593">
        <f ca="1">$E159*(-SUMIF(INDIRECT(AD$3),'Struktur Aktuell'!$D159,INDIRECT(AD$4))+SUMIF(INDIRECT(AD$3),'Struktur Aktuell'!$D159,INDIRECT(AD$5)))</f>
        <v>0</v>
      </c>
      <c r="AE159" s="593">
        <f t="shared" ref="AE159:AE167" ca="1" si="237">G159</f>
        <v>1250.5</v>
      </c>
      <c r="AF159" s="593">
        <f t="shared" ref="AF159:AF167" ca="1" si="238">H159+AE159</f>
        <v>2501</v>
      </c>
      <c r="AG159" s="593">
        <f t="shared" ref="AG159:AG167" ca="1" si="239">I159+AF159</f>
        <v>3751.5</v>
      </c>
      <c r="AH159" s="593">
        <f t="shared" ref="AH159:AH167" ca="1" si="240">J159+AG159</f>
        <v>5002</v>
      </c>
      <c r="AI159" s="593">
        <f t="shared" ref="AI159:AI167" ca="1" si="241">K159+AH159</f>
        <v>6252.5</v>
      </c>
      <c r="AJ159" s="593">
        <f t="shared" ref="AJ159:AJ167" ca="1" si="242">L159+AI159</f>
        <v>6252.5</v>
      </c>
      <c r="AK159" s="593">
        <f t="shared" ref="AK159:AK167" ca="1" si="243">M159+AJ159</f>
        <v>8452.5</v>
      </c>
      <c r="AL159" s="593">
        <f t="shared" ref="AL159:AL167" ca="1" si="244">N159+AK159</f>
        <v>9552.5</v>
      </c>
      <c r="AM159" s="593">
        <f t="shared" ref="AM159:AM167" ca="1" si="245">O159+AL159</f>
        <v>10652.5</v>
      </c>
      <c r="AN159" s="593">
        <f t="shared" ref="AN159:AN167" ca="1" si="246">P159+AM159</f>
        <v>11752.5</v>
      </c>
      <c r="AO159" s="593">
        <f t="shared" ref="AO159:AO167" ca="1" si="247">Q159+AN159</f>
        <v>11752.5</v>
      </c>
      <c r="AP159" s="593">
        <f t="shared" ref="AP159:AP167" ca="1" si="248">R159+AO159</f>
        <v>11752.5</v>
      </c>
    </row>
    <row r="160" spans="1:42" s="594" customFormat="1" ht="11.25" outlineLevel="1" x14ac:dyDescent="0.2">
      <c r="A160" s="590"/>
      <c r="B160" s="591" t="str">
        <f>IF(D160&lt;&gt;"",
IF(ISERROR(MATCH(D160,'Ist Aktuell Monat 01'!A:A,0))=FALSE,INDEX('Ist Aktuell Monat 01'!B:B,MATCH(D160,'Ist Aktuell Monat 01'!A:A,0)),
IF(ISERROR(MATCH(D160,'Ist Aktuell Monat 02'!A:A,0))=FALSE,INDEX('Ist Aktuell Monat 02'!B:B,MATCH(D160,'Ist Aktuell Monat 02'!A:A,0)),
IF(ISERROR(MATCH(D160,'Ist Aktuell Monat 03'!A:A,0))=FALSE,INDEX('Ist Aktuell Monat 03'!B:B,MATCH(D160,'Ist Aktuell Monat 03'!A:A,0)),
IF(ISERROR(MATCH(D160,'Ist Aktuell Monat 04'!A:A,0))=FALSE,INDEX('Ist Aktuell Monat 04'!B:B,MATCH(D160,'Ist Aktuell Monat 04'!A:A,0)),
IF(ISERROR(MATCH(D160,'Ist Aktuell Monat 05'!A:A,0))=FALSE,INDEX('Ist Aktuell Monat 05'!B:B,MATCH(D160,'Ist Aktuell Monat 05'!A:A,0)),
IF(ISERROR(MATCH(D160,'Ist Aktuell Monat 06'!A:A,0))=FALSE,INDEX('Ist Aktuell Monat 06'!B:B,MATCH(D160,'Ist Aktuell Monat 06'!A:A,0)),
IF(ISERROR(MATCH(D160,'Ist Aktuell Monat 07'!A:A,0))=FALSE,INDEX('Ist Aktuell Monat 07'!B:B,MATCH(D160,'Ist Aktuell Monat 07'!A:A,0)),
IF(ISERROR(MATCH(D160,'Ist Aktuell Monat 08'!A:A,0))=FALSE,INDEX('Ist Aktuell Monat 08'!B:B,MATCH(D160,'Ist Aktuell Monat 08'!A:A,0)),
IF(ISERROR(MATCH(D160,'Ist Aktuell Monat 09'!A:A,0))=FALSE,INDEX('Ist Aktuell Monat 09'!B:B,MATCH(D160,'Ist Aktuell Monat 09'!A:A,0)),
IF(ISERROR(MATCH(D160,'Ist Aktuell Monat 10'!A:A,0))=FALSE,INDEX('Ist Aktuell Monat 10'!B:B,MATCH(D160,'Ist Aktuell Monat 10'!A:A,0)),
IF(ISERROR(MATCH(D160,'Ist Aktuell Monat 11'!A:A,0))=FALSE,INDEX('Ist Aktuell Monat 11'!B:B,MATCH(D160,'Ist Aktuell Monat 11'!A:A,0)),
IF(ISERROR(MATCH(D160,'Ist Aktuell Monat 12'!A:A,0))=FALSE,INDEX('Ist Aktuell Monat 12'!B:B,MATCH(D160,'Ist Aktuell Monat 12'!A:A,0)),
"{Konto unbekannt}"
)))))))))))),"")</f>
        <v>Gas, Strom, Wasser</v>
      </c>
      <c r="C160" s="591"/>
      <c r="D160" s="590">
        <v>4240</v>
      </c>
      <c r="E160" s="592">
        <f t="shared" si="171"/>
        <v>1</v>
      </c>
      <c r="F160" s="590"/>
      <c r="G160" s="593">
        <f ca="1">$E160*(-SUMIF(INDIRECT(G$3),'Struktur Aktuell'!$D160,INDIRECT(G$4))+SUMIF(INDIRECT(G$3),'Struktur Aktuell'!$D160,INDIRECT(G$5)))</f>
        <v>288.24</v>
      </c>
      <c r="H160" s="593">
        <f ca="1">$E160*(-SUMIF(INDIRECT(H$3),'Struktur Aktuell'!$D160,INDIRECT(H$4))+SUMIF(INDIRECT(H$3),'Struktur Aktuell'!$D160,INDIRECT(H$5)))</f>
        <v>288.24</v>
      </c>
      <c r="I160" s="593">
        <f ca="1">$E160*(-SUMIF(INDIRECT(I$3),'Struktur Aktuell'!$D160,INDIRECT(I$4))+SUMIF(INDIRECT(I$3),'Struktur Aktuell'!$D160,INDIRECT(I$5)))</f>
        <v>288.24</v>
      </c>
      <c r="J160" s="593">
        <f ca="1">$E160*(-SUMIF(INDIRECT(J$3),'Struktur Aktuell'!$D160,INDIRECT(J$4))+SUMIF(INDIRECT(J$3),'Struktur Aktuell'!$D160,INDIRECT(J$5)))</f>
        <v>288.24</v>
      </c>
      <c r="K160" s="593">
        <f ca="1">$E160*(-SUMIF(INDIRECT(K$3),'Struktur Aktuell'!$D160,INDIRECT(K$4))+SUMIF(INDIRECT(K$3),'Struktur Aktuell'!$D160,INDIRECT(K$5)))</f>
        <v>288.24</v>
      </c>
      <c r="L160" s="593">
        <f ca="1">$E160*(-SUMIF(INDIRECT(L$3),'Struktur Aktuell'!$D160,INDIRECT(L$4))+SUMIF(INDIRECT(L$3),'Struktur Aktuell'!$D160,INDIRECT(L$5)))</f>
        <v>585.28</v>
      </c>
      <c r="M160" s="593">
        <f ca="1">$E160*(-SUMIF(INDIRECT(M$3),'Struktur Aktuell'!$D160,INDIRECT(M$4))+SUMIF(INDIRECT(M$3),'Struktur Aktuell'!$D160,INDIRECT(M$5)))</f>
        <v>-121.86</v>
      </c>
      <c r="N160" s="593">
        <f ca="1">$E160*(-SUMIF(INDIRECT(N$3),'Struktur Aktuell'!$D160,INDIRECT(N$4))+SUMIF(INDIRECT(N$3),'Struktur Aktuell'!$D160,INDIRECT(N$5)))</f>
        <v>428.58</v>
      </c>
      <c r="O160" s="593">
        <f ca="1">$E160*(-SUMIF(INDIRECT(O$3),'Struktur Aktuell'!$D160,INDIRECT(O$4))+SUMIF(INDIRECT(O$3),'Struktur Aktuell'!$D160,INDIRECT(O$5)))</f>
        <v>214.29</v>
      </c>
      <c r="P160" s="593">
        <f ca="1">$E160*(-SUMIF(INDIRECT(P$3),'Struktur Aktuell'!$D160,INDIRECT(P$4))+SUMIF(INDIRECT(P$3),'Struktur Aktuell'!$D160,INDIRECT(P$5)))</f>
        <v>214.29</v>
      </c>
      <c r="Q160" s="593">
        <f ca="1">$E160*(-SUMIF(INDIRECT(Q$3),'Struktur Aktuell'!$D160,INDIRECT(Q$4))+SUMIF(INDIRECT(Q$3),'Struktur Aktuell'!$D160,INDIRECT(Q$5)))</f>
        <v>0</v>
      </c>
      <c r="R160" s="593">
        <f ca="1">$E160*(-SUMIF(INDIRECT(R$3),'Struktur Aktuell'!$D160,INDIRECT(R$4))+SUMIF(INDIRECT(R$3),'Struktur Aktuell'!$D160,INDIRECT(R$5)))</f>
        <v>0</v>
      </c>
      <c r="S160" s="593">
        <f ca="1">$E160*(-SUMIF(INDIRECT(S$3),'Struktur Aktuell'!$D160,INDIRECT(S$4))+SUMIF(INDIRECT(S$3),'Struktur Aktuell'!$D160,INDIRECT(S$5)))</f>
        <v>288.24</v>
      </c>
      <c r="T160" s="593">
        <f ca="1">$E160*(-SUMIF(INDIRECT(T$3),'Struktur Aktuell'!$D160,INDIRECT(T$4))+SUMIF(INDIRECT(T$3),'Struktur Aktuell'!$D160,INDIRECT(T$5)))</f>
        <v>576.48</v>
      </c>
      <c r="U160" s="593">
        <f ca="1">$E160*(-SUMIF(INDIRECT(U$3),'Struktur Aktuell'!$D160,INDIRECT(U$4))+SUMIF(INDIRECT(U$3),'Struktur Aktuell'!$D160,INDIRECT(U$5)))</f>
        <v>864.72</v>
      </c>
      <c r="V160" s="593">
        <f ca="1">$E160*(-SUMIF(INDIRECT(V$3),'Struktur Aktuell'!$D160,INDIRECT(V$4))+SUMIF(INDIRECT(V$3),'Struktur Aktuell'!$D160,INDIRECT(V$5)))</f>
        <v>1152.96</v>
      </c>
      <c r="W160" s="593">
        <f ca="1">$E160*(-SUMIF(INDIRECT(W$3),'Struktur Aktuell'!$D160,INDIRECT(W$4))+SUMIF(INDIRECT(W$3),'Struktur Aktuell'!$D160,INDIRECT(W$5)))</f>
        <v>1441.2</v>
      </c>
      <c r="X160" s="593">
        <f ca="1">$E160*(-SUMIF(INDIRECT(X$3),'Struktur Aktuell'!$D160,INDIRECT(X$4))+SUMIF(INDIRECT(X$3),'Struktur Aktuell'!$D160,INDIRECT(X$5)))</f>
        <v>2026.48</v>
      </c>
      <c r="Y160" s="593">
        <f ca="1">$E160*(-SUMIF(INDIRECT(Y$3),'Struktur Aktuell'!$D160,INDIRECT(Y$4))+SUMIF(INDIRECT(Y$3),'Struktur Aktuell'!$D160,INDIRECT(Y$5)))</f>
        <v>1904.62</v>
      </c>
      <c r="Z160" s="593">
        <f ca="1">$E160*(-SUMIF(INDIRECT(Z$3),'Struktur Aktuell'!$D160,INDIRECT(Z$4))+SUMIF(INDIRECT(Z$3),'Struktur Aktuell'!$D160,INDIRECT(Z$5)))</f>
        <v>2333.1999999999998</v>
      </c>
      <c r="AA160" s="593">
        <f ca="1">$E160*(-SUMIF(INDIRECT(AA$3),'Struktur Aktuell'!$D160,INDIRECT(AA$4))+SUMIF(INDIRECT(AA$3),'Struktur Aktuell'!$D160,INDIRECT(AA$5)))</f>
        <v>2547.4899999999998</v>
      </c>
      <c r="AB160" s="593">
        <f ca="1">$E160*(-SUMIF(INDIRECT(AB$3),'Struktur Aktuell'!$D160,INDIRECT(AB$4))+SUMIF(INDIRECT(AB$3),'Struktur Aktuell'!$D160,INDIRECT(AB$5)))</f>
        <v>2761.78</v>
      </c>
      <c r="AC160" s="593">
        <f ca="1">$E160*(-SUMIF(INDIRECT(AC$3),'Struktur Aktuell'!$D160,INDIRECT(AC$4))+SUMIF(INDIRECT(AC$3),'Struktur Aktuell'!$D160,INDIRECT(AC$5)))</f>
        <v>0</v>
      </c>
      <c r="AD160" s="593">
        <f ca="1">$E160*(-SUMIF(INDIRECT(AD$3),'Struktur Aktuell'!$D160,INDIRECT(AD$4))+SUMIF(INDIRECT(AD$3),'Struktur Aktuell'!$D160,INDIRECT(AD$5)))</f>
        <v>0</v>
      </c>
      <c r="AE160" s="593">
        <f t="shared" ca="1" si="237"/>
        <v>288.24</v>
      </c>
      <c r="AF160" s="593">
        <f t="shared" ca="1" si="238"/>
        <v>576.48</v>
      </c>
      <c r="AG160" s="593">
        <f t="shared" ca="1" si="239"/>
        <v>864.72</v>
      </c>
      <c r="AH160" s="593">
        <f t="shared" ca="1" si="240"/>
        <v>1152.96</v>
      </c>
      <c r="AI160" s="593">
        <f t="shared" ca="1" si="241"/>
        <v>1441.2</v>
      </c>
      <c r="AJ160" s="593">
        <f t="shared" ca="1" si="242"/>
        <v>2026.48</v>
      </c>
      <c r="AK160" s="593">
        <f t="shared" ca="1" si="243"/>
        <v>1904.6200000000001</v>
      </c>
      <c r="AL160" s="593">
        <f t="shared" ca="1" si="244"/>
        <v>2333.2000000000003</v>
      </c>
      <c r="AM160" s="593">
        <f t="shared" ca="1" si="245"/>
        <v>2547.4900000000002</v>
      </c>
      <c r="AN160" s="593">
        <f t="shared" ca="1" si="246"/>
        <v>2761.78</v>
      </c>
      <c r="AO160" s="593">
        <f t="shared" ca="1" si="247"/>
        <v>2761.78</v>
      </c>
      <c r="AP160" s="593">
        <f t="shared" ca="1" si="248"/>
        <v>2761.78</v>
      </c>
    </row>
    <row r="161" spans="1:42" s="594" customFormat="1" ht="11.25" outlineLevel="1" x14ac:dyDescent="0.2">
      <c r="A161" s="590"/>
      <c r="B161" s="591" t="str">
        <f>IF(D161&lt;&gt;"",
IF(ISERROR(MATCH(D161,'Ist Aktuell Monat 01'!A:A,0))=FALSE,INDEX('Ist Aktuell Monat 01'!B:B,MATCH(D161,'Ist Aktuell Monat 01'!A:A,0)),
IF(ISERROR(MATCH(D161,'Ist Aktuell Monat 02'!A:A,0))=FALSE,INDEX('Ist Aktuell Monat 02'!B:B,MATCH(D161,'Ist Aktuell Monat 02'!A:A,0)),
IF(ISERROR(MATCH(D161,'Ist Aktuell Monat 03'!A:A,0))=FALSE,INDEX('Ist Aktuell Monat 03'!B:B,MATCH(D161,'Ist Aktuell Monat 03'!A:A,0)),
IF(ISERROR(MATCH(D161,'Ist Aktuell Monat 04'!A:A,0))=FALSE,INDEX('Ist Aktuell Monat 04'!B:B,MATCH(D161,'Ist Aktuell Monat 04'!A:A,0)),
IF(ISERROR(MATCH(D161,'Ist Aktuell Monat 05'!A:A,0))=FALSE,INDEX('Ist Aktuell Monat 05'!B:B,MATCH(D161,'Ist Aktuell Monat 05'!A:A,0)),
IF(ISERROR(MATCH(D161,'Ist Aktuell Monat 06'!A:A,0))=FALSE,INDEX('Ist Aktuell Monat 06'!B:B,MATCH(D161,'Ist Aktuell Monat 06'!A:A,0)),
IF(ISERROR(MATCH(D161,'Ist Aktuell Monat 07'!A:A,0))=FALSE,INDEX('Ist Aktuell Monat 07'!B:B,MATCH(D161,'Ist Aktuell Monat 07'!A:A,0)),
IF(ISERROR(MATCH(D161,'Ist Aktuell Monat 08'!A:A,0))=FALSE,INDEX('Ist Aktuell Monat 08'!B:B,MATCH(D161,'Ist Aktuell Monat 08'!A:A,0)),
IF(ISERROR(MATCH(D161,'Ist Aktuell Monat 09'!A:A,0))=FALSE,INDEX('Ist Aktuell Monat 09'!B:B,MATCH(D161,'Ist Aktuell Monat 09'!A:A,0)),
IF(ISERROR(MATCH(D161,'Ist Aktuell Monat 10'!A:A,0))=FALSE,INDEX('Ist Aktuell Monat 10'!B:B,MATCH(D161,'Ist Aktuell Monat 10'!A:A,0)),
IF(ISERROR(MATCH(D161,'Ist Aktuell Monat 11'!A:A,0))=FALSE,INDEX('Ist Aktuell Monat 11'!B:B,MATCH(D161,'Ist Aktuell Monat 11'!A:A,0)),
IF(ISERROR(MATCH(D161,'Ist Aktuell Monat 12'!A:A,0))=FALSE,INDEX('Ist Aktuell Monat 12'!B:B,MATCH(D161,'Ist Aktuell Monat 12'!A:A,0)),
"{Konto unbekannt}"
)))))))))))),"")</f>
        <v/>
      </c>
      <c r="C161" s="591"/>
      <c r="D161" s="590"/>
      <c r="E161" s="592">
        <f t="shared" si="171"/>
        <v>1</v>
      </c>
      <c r="F161" s="590"/>
      <c r="G161" s="593">
        <f ca="1">$E161*(-SUMIF(INDIRECT(G$3),'Struktur Aktuell'!$D161,INDIRECT(G$4))+SUMIF(INDIRECT(G$3),'Struktur Aktuell'!$D161,INDIRECT(G$5)))</f>
        <v>0</v>
      </c>
      <c r="H161" s="593">
        <f ca="1">$E161*(-SUMIF(INDIRECT(H$3),'Struktur Aktuell'!$D161,INDIRECT(H$4))+SUMIF(INDIRECT(H$3),'Struktur Aktuell'!$D161,INDIRECT(H$5)))</f>
        <v>0</v>
      </c>
      <c r="I161" s="593">
        <f ca="1">$E161*(-SUMIF(INDIRECT(I$3),'Struktur Aktuell'!$D161,INDIRECT(I$4))+SUMIF(INDIRECT(I$3),'Struktur Aktuell'!$D161,INDIRECT(I$5)))</f>
        <v>0</v>
      </c>
      <c r="J161" s="593">
        <f ca="1">$E161*(-SUMIF(INDIRECT(J$3),'Struktur Aktuell'!$D161,INDIRECT(J$4))+SUMIF(INDIRECT(J$3),'Struktur Aktuell'!$D161,INDIRECT(J$5)))</f>
        <v>0</v>
      </c>
      <c r="K161" s="593">
        <f ca="1">$E161*(-SUMIF(INDIRECT(K$3),'Struktur Aktuell'!$D161,INDIRECT(K$4))+SUMIF(INDIRECT(K$3),'Struktur Aktuell'!$D161,INDIRECT(K$5)))</f>
        <v>0</v>
      </c>
      <c r="L161" s="593">
        <f ca="1">$E161*(-SUMIF(INDIRECT(L$3),'Struktur Aktuell'!$D161,INDIRECT(L$4))+SUMIF(INDIRECT(L$3),'Struktur Aktuell'!$D161,INDIRECT(L$5)))</f>
        <v>0</v>
      </c>
      <c r="M161" s="593">
        <f ca="1">$E161*(-SUMIF(INDIRECT(M$3),'Struktur Aktuell'!$D161,INDIRECT(M$4))+SUMIF(INDIRECT(M$3),'Struktur Aktuell'!$D161,INDIRECT(M$5)))</f>
        <v>0</v>
      </c>
      <c r="N161" s="593">
        <f ca="1">$E161*(-SUMIF(INDIRECT(N$3),'Struktur Aktuell'!$D161,INDIRECT(N$4))+SUMIF(INDIRECT(N$3),'Struktur Aktuell'!$D161,INDIRECT(N$5)))</f>
        <v>0</v>
      </c>
      <c r="O161" s="593">
        <f ca="1">$E161*(-SUMIF(INDIRECT(O$3),'Struktur Aktuell'!$D161,INDIRECT(O$4))+SUMIF(INDIRECT(O$3),'Struktur Aktuell'!$D161,INDIRECT(O$5)))</f>
        <v>0</v>
      </c>
      <c r="P161" s="593">
        <f ca="1">$E161*(-SUMIF(INDIRECT(P$3),'Struktur Aktuell'!$D161,INDIRECT(P$4))+SUMIF(INDIRECT(P$3),'Struktur Aktuell'!$D161,INDIRECT(P$5)))</f>
        <v>0</v>
      </c>
      <c r="Q161" s="593">
        <f ca="1">$E161*(-SUMIF(INDIRECT(Q$3),'Struktur Aktuell'!$D161,INDIRECT(Q$4))+SUMIF(INDIRECT(Q$3),'Struktur Aktuell'!$D161,INDIRECT(Q$5)))</f>
        <v>0</v>
      </c>
      <c r="R161" s="593">
        <f ca="1">$E161*(-SUMIF(INDIRECT(R$3),'Struktur Aktuell'!$D161,INDIRECT(R$4))+SUMIF(INDIRECT(R$3),'Struktur Aktuell'!$D161,INDIRECT(R$5)))</f>
        <v>0</v>
      </c>
      <c r="S161" s="593">
        <f ca="1">$E161*(-SUMIF(INDIRECT(S$3),'Struktur Aktuell'!$D161,INDIRECT(S$4))+SUMIF(INDIRECT(S$3),'Struktur Aktuell'!$D161,INDIRECT(S$5)))</f>
        <v>0</v>
      </c>
      <c r="T161" s="593">
        <f ca="1">$E161*(-SUMIF(INDIRECT(T$3),'Struktur Aktuell'!$D161,INDIRECT(T$4))+SUMIF(INDIRECT(T$3),'Struktur Aktuell'!$D161,INDIRECT(T$5)))</f>
        <v>0</v>
      </c>
      <c r="U161" s="593">
        <f ca="1">$E161*(-SUMIF(INDIRECT(U$3),'Struktur Aktuell'!$D161,INDIRECT(U$4))+SUMIF(INDIRECT(U$3),'Struktur Aktuell'!$D161,INDIRECT(U$5)))</f>
        <v>0</v>
      </c>
      <c r="V161" s="593">
        <f ca="1">$E161*(-SUMIF(INDIRECT(V$3),'Struktur Aktuell'!$D161,INDIRECT(V$4))+SUMIF(INDIRECT(V$3),'Struktur Aktuell'!$D161,INDIRECT(V$5)))</f>
        <v>0</v>
      </c>
      <c r="W161" s="593">
        <f ca="1">$E161*(-SUMIF(INDIRECT(W$3),'Struktur Aktuell'!$D161,INDIRECT(W$4))+SUMIF(INDIRECT(W$3),'Struktur Aktuell'!$D161,INDIRECT(W$5)))</f>
        <v>0</v>
      </c>
      <c r="X161" s="593">
        <f ca="1">$E161*(-SUMIF(INDIRECT(X$3),'Struktur Aktuell'!$D161,INDIRECT(X$4))+SUMIF(INDIRECT(X$3),'Struktur Aktuell'!$D161,INDIRECT(X$5)))</f>
        <v>0</v>
      </c>
      <c r="Y161" s="593">
        <f ca="1">$E161*(-SUMIF(INDIRECT(Y$3),'Struktur Aktuell'!$D161,INDIRECT(Y$4))+SUMIF(INDIRECT(Y$3),'Struktur Aktuell'!$D161,INDIRECT(Y$5)))</f>
        <v>0</v>
      </c>
      <c r="Z161" s="593">
        <f ca="1">$E161*(-SUMIF(INDIRECT(Z$3),'Struktur Aktuell'!$D161,INDIRECT(Z$4))+SUMIF(INDIRECT(Z$3),'Struktur Aktuell'!$D161,INDIRECT(Z$5)))</f>
        <v>0</v>
      </c>
      <c r="AA161" s="593">
        <f ca="1">$E161*(-SUMIF(INDIRECT(AA$3),'Struktur Aktuell'!$D161,INDIRECT(AA$4))+SUMIF(INDIRECT(AA$3),'Struktur Aktuell'!$D161,INDIRECT(AA$5)))</f>
        <v>0</v>
      </c>
      <c r="AB161" s="593">
        <f ca="1">$E161*(-SUMIF(INDIRECT(AB$3),'Struktur Aktuell'!$D161,INDIRECT(AB$4))+SUMIF(INDIRECT(AB$3),'Struktur Aktuell'!$D161,INDIRECT(AB$5)))</f>
        <v>0</v>
      </c>
      <c r="AC161" s="593">
        <f ca="1">$E161*(-SUMIF(INDIRECT(AC$3),'Struktur Aktuell'!$D161,INDIRECT(AC$4))+SUMIF(INDIRECT(AC$3),'Struktur Aktuell'!$D161,INDIRECT(AC$5)))</f>
        <v>0</v>
      </c>
      <c r="AD161" s="593">
        <f ca="1">$E161*(-SUMIF(INDIRECT(AD$3),'Struktur Aktuell'!$D161,INDIRECT(AD$4))+SUMIF(INDIRECT(AD$3),'Struktur Aktuell'!$D161,INDIRECT(AD$5)))</f>
        <v>0</v>
      </c>
      <c r="AE161" s="593">
        <f t="shared" ca="1" si="237"/>
        <v>0</v>
      </c>
      <c r="AF161" s="593">
        <f t="shared" ca="1" si="238"/>
        <v>0</v>
      </c>
      <c r="AG161" s="593">
        <f t="shared" ca="1" si="239"/>
        <v>0</v>
      </c>
      <c r="AH161" s="593">
        <f t="shared" ca="1" si="240"/>
        <v>0</v>
      </c>
      <c r="AI161" s="593">
        <f t="shared" ca="1" si="241"/>
        <v>0</v>
      </c>
      <c r="AJ161" s="593">
        <f t="shared" ca="1" si="242"/>
        <v>0</v>
      </c>
      <c r="AK161" s="593">
        <f t="shared" ca="1" si="243"/>
        <v>0</v>
      </c>
      <c r="AL161" s="593">
        <f t="shared" ca="1" si="244"/>
        <v>0</v>
      </c>
      <c r="AM161" s="593">
        <f t="shared" ca="1" si="245"/>
        <v>0</v>
      </c>
      <c r="AN161" s="593">
        <f t="shared" ca="1" si="246"/>
        <v>0</v>
      </c>
      <c r="AO161" s="593">
        <f t="shared" ca="1" si="247"/>
        <v>0</v>
      </c>
      <c r="AP161" s="593">
        <f t="shared" ca="1" si="248"/>
        <v>0</v>
      </c>
    </row>
    <row r="162" spans="1:42" s="594" customFormat="1" ht="11.25" outlineLevel="1" x14ac:dyDescent="0.2">
      <c r="A162" s="590"/>
      <c r="B162" s="591" t="str">
        <f>IF(D162&lt;&gt;"",
IF(ISERROR(MATCH(D162,'Ist Aktuell Monat 01'!A:A,0))=FALSE,INDEX('Ist Aktuell Monat 01'!B:B,MATCH(D162,'Ist Aktuell Monat 01'!A:A,0)),
IF(ISERROR(MATCH(D162,'Ist Aktuell Monat 02'!A:A,0))=FALSE,INDEX('Ist Aktuell Monat 02'!B:B,MATCH(D162,'Ist Aktuell Monat 02'!A:A,0)),
IF(ISERROR(MATCH(D162,'Ist Aktuell Monat 03'!A:A,0))=FALSE,INDEX('Ist Aktuell Monat 03'!B:B,MATCH(D162,'Ist Aktuell Monat 03'!A:A,0)),
IF(ISERROR(MATCH(D162,'Ist Aktuell Monat 04'!A:A,0))=FALSE,INDEX('Ist Aktuell Monat 04'!B:B,MATCH(D162,'Ist Aktuell Monat 04'!A:A,0)),
IF(ISERROR(MATCH(D162,'Ist Aktuell Monat 05'!A:A,0))=FALSE,INDEX('Ist Aktuell Monat 05'!B:B,MATCH(D162,'Ist Aktuell Monat 05'!A:A,0)),
IF(ISERROR(MATCH(D162,'Ist Aktuell Monat 06'!A:A,0))=FALSE,INDEX('Ist Aktuell Monat 06'!B:B,MATCH(D162,'Ist Aktuell Monat 06'!A:A,0)),
IF(ISERROR(MATCH(D162,'Ist Aktuell Monat 07'!A:A,0))=FALSE,INDEX('Ist Aktuell Monat 07'!B:B,MATCH(D162,'Ist Aktuell Monat 07'!A:A,0)),
IF(ISERROR(MATCH(D162,'Ist Aktuell Monat 08'!A:A,0))=FALSE,INDEX('Ist Aktuell Monat 08'!B:B,MATCH(D162,'Ist Aktuell Monat 08'!A:A,0)),
IF(ISERROR(MATCH(D162,'Ist Aktuell Monat 09'!A:A,0))=FALSE,INDEX('Ist Aktuell Monat 09'!B:B,MATCH(D162,'Ist Aktuell Monat 09'!A:A,0)),
IF(ISERROR(MATCH(D162,'Ist Aktuell Monat 10'!A:A,0))=FALSE,INDEX('Ist Aktuell Monat 10'!B:B,MATCH(D162,'Ist Aktuell Monat 10'!A:A,0)),
IF(ISERROR(MATCH(D162,'Ist Aktuell Monat 11'!A:A,0))=FALSE,INDEX('Ist Aktuell Monat 11'!B:B,MATCH(D162,'Ist Aktuell Monat 11'!A:A,0)),
IF(ISERROR(MATCH(D162,'Ist Aktuell Monat 12'!A:A,0))=FALSE,INDEX('Ist Aktuell Monat 12'!B:B,MATCH(D162,'Ist Aktuell Monat 12'!A:A,0)),
"{Konto unbekannt}"
)))))))))))),"")</f>
        <v/>
      </c>
      <c r="C162" s="591"/>
      <c r="D162" s="590"/>
      <c r="E162" s="592">
        <f t="shared" si="171"/>
        <v>1</v>
      </c>
      <c r="F162" s="590"/>
      <c r="G162" s="593">
        <f ca="1">$E162*(-SUMIF(INDIRECT(G$3),'Struktur Aktuell'!$D162,INDIRECT(G$4))+SUMIF(INDIRECT(G$3),'Struktur Aktuell'!$D162,INDIRECT(G$5)))</f>
        <v>0</v>
      </c>
      <c r="H162" s="593">
        <f ca="1">$E162*(-SUMIF(INDIRECT(H$3),'Struktur Aktuell'!$D162,INDIRECT(H$4))+SUMIF(INDIRECT(H$3),'Struktur Aktuell'!$D162,INDIRECT(H$5)))</f>
        <v>0</v>
      </c>
      <c r="I162" s="593">
        <f ca="1">$E162*(-SUMIF(INDIRECT(I$3),'Struktur Aktuell'!$D162,INDIRECT(I$4))+SUMIF(INDIRECT(I$3),'Struktur Aktuell'!$D162,INDIRECT(I$5)))</f>
        <v>0</v>
      </c>
      <c r="J162" s="593">
        <f ca="1">$E162*(-SUMIF(INDIRECT(J$3),'Struktur Aktuell'!$D162,INDIRECT(J$4))+SUMIF(INDIRECT(J$3),'Struktur Aktuell'!$D162,INDIRECT(J$5)))</f>
        <v>0</v>
      </c>
      <c r="K162" s="593">
        <f ca="1">$E162*(-SUMIF(INDIRECT(K$3),'Struktur Aktuell'!$D162,INDIRECT(K$4))+SUMIF(INDIRECT(K$3),'Struktur Aktuell'!$D162,INDIRECT(K$5)))</f>
        <v>0</v>
      </c>
      <c r="L162" s="593">
        <f ca="1">$E162*(-SUMIF(INDIRECT(L$3),'Struktur Aktuell'!$D162,INDIRECT(L$4))+SUMIF(INDIRECT(L$3),'Struktur Aktuell'!$D162,INDIRECT(L$5)))</f>
        <v>0</v>
      </c>
      <c r="M162" s="593">
        <f ca="1">$E162*(-SUMIF(INDIRECT(M$3),'Struktur Aktuell'!$D162,INDIRECT(M$4))+SUMIF(INDIRECT(M$3),'Struktur Aktuell'!$D162,INDIRECT(M$5)))</f>
        <v>0</v>
      </c>
      <c r="N162" s="593">
        <f ca="1">$E162*(-SUMIF(INDIRECT(N$3),'Struktur Aktuell'!$D162,INDIRECT(N$4))+SUMIF(INDIRECT(N$3),'Struktur Aktuell'!$D162,INDIRECT(N$5)))</f>
        <v>0</v>
      </c>
      <c r="O162" s="593">
        <f ca="1">$E162*(-SUMIF(INDIRECT(O$3),'Struktur Aktuell'!$D162,INDIRECT(O$4))+SUMIF(INDIRECT(O$3),'Struktur Aktuell'!$D162,INDIRECT(O$5)))</f>
        <v>0</v>
      </c>
      <c r="P162" s="593">
        <f ca="1">$E162*(-SUMIF(INDIRECT(P$3),'Struktur Aktuell'!$D162,INDIRECT(P$4))+SUMIF(INDIRECT(P$3),'Struktur Aktuell'!$D162,INDIRECT(P$5)))</f>
        <v>0</v>
      </c>
      <c r="Q162" s="593">
        <f ca="1">$E162*(-SUMIF(INDIRECT(Q$3),'Struktur Aktuell'!$D162,INDIRECT(Q$4))+SUMIF(INDIRECT(Q$3),'Struktur Aktuell'!$D162,INDIRECT(Q$5)))</f>
        <v>0</v>
      </c>
      <c r="R162" s="593">
        <f ca="1">$E162*(-SUMIF(INDIRECT(R$3),'Struktur Aktuell'!$D162,INDIRECT(R$4))+SUMIF(INDIRECT(R$3),'Struktur Aktuell'!$D162,INDIRECT(R$5)))</f>
        <v>0</v>
      </c>
      <c r="S162" s="593">
        <f ca="1">$E162*(-SUMIF(INDIRECT(S$3),'Struktur Aktuell'!$D162,INDIRECT(S$4))+SUMIF(INDIRECT(S$3),'Struktur Aktuell'!$D162,INDIRECT(S$5)))</f>
        <v>0</v>
      </c>
      <c r="T162" s="593">
        <f ca="1">$E162*(-SUMIF(INDIRECT(T$3),'Struktur Aktuell'!$D162,INDIRECT(T$4))+SUMIF(INDIRECT(T$3),'Struktur Aktuell'!$D162,INDIRECT(T$5)))</f>
        <v>0</v>
      </c>
      <c r="U162" s="593">
        <f ca="1">$E162*(-SUMIF(INDIRECT(U$3),'Struktur Aktuell'!$D162,INDIRECT(U$4))+SUMIF(INDIRECT(U$3),'Struktur Aktuell'!$D162,INDIRECT(U$5)))</f>
        <v>0</v>
      </c>
      <c r="V162" s="593">
        <f ca="1">$E162*(-SUMIF(INDIRECT(V$3),'Struktur Aktuell'!$D162,INDIRECT(V$4))+SUMIF(INDIRECT(V$3),'Struktur Aktuell'!$D162,INDIRECT(V$5)))</f>
        <v>0</v>
      </c>
      <c r="W162" s="593">
        <f ca="1">$E162*(-SUMIF(INDIRECT(W$3),'Struktur Aktuell'!$D162,INDIRECT(W$4))+SUMIF(INDIRECT(W$3),'Struktur Aktuell'!$D162,INDIRECT(W$5)))</f>
        <v>0</v>
      </c>
      <c r="X162" s="593">
        <f ca="1">$E162*(-SUMIF(INDIRECT(X$3),'Struktur Aktuell'!$D162,INDIRECT(X$4))+SUMIF(INDIRECT(X$3),'Struktur Aktuell'!$D162,INDIRECT(X$5)))</f>
        <v>0</v>
      </c>
      <c r="Y162" s="593">
        <f ca="1">$E162*(-SUMIF(INDIRECT(Y$3),'Struktur Aktuell'!$D162,INDIRECT(Y$4))+SUMIF(INDIRECT(Y$3),'Struktur Aktuell'!$D162,INDIRECT(Y$5)))</f>
        <v>0</v>
      </c>
      <c r="Z162" s="593">
        <f ca="1">$E162*(-SUMIF(INDIRECT(Z$3),'Struktur Aktuell'!$D162,INDIRECT(Z$4))+SUMIF(INDIRECT(Z$3),'Struktur Aktuell'!$D162,INDIRECT(Z$5)))</f>
        <v>0</v>
      </c>
      <c r="AA162" s="593">
        <f ca="1">$E162*(-SUMIF(INDIRECT(AA$3),'Struktur Aktuell'!$D162,INDIRECT(AA$4))+SUMIF(INDIRECT(AA$3),'Struktur Aktuell'!$D162,INDIRECT(AA$5)))</f>
        <v>0</v>
      </c>
      <c r="AB162" s="593">
        <f ca="1">$E162*(-SUMIF(INDIRECT(AB$3),'Struktur Aktuell'!$D162,INDIRECT(AB$4))+SUMIF(INDIRECT(AB$3),'Struktur Aktuell'!$D162,INDIRECT(AB$5)))</f>
        <v>0</v>
      </c>
      <c r="AC162" s="593">
        <f ca="1">$E162*(-SUMIF(INDIRECT(AC$3),'Struktur Aktuell'!$D162,INDIRECT(AC$4))+SUMIF(INDIRECT(AC$3),'Struktur Aktuell'!$D162,INDIRECT(AC$5)))</f>
        <v>0</v>
      </c>
      <c r="AD162" s="593">
        <f ca="1">$E162*(-SUMIF(INDIRECT(AD$3),'Struktur Aktuell'!$D162,INDIRECT(AD$4))+SUMIF(INDIRECT(AD$3),'Struktur Aktuell'!$D162,INDIRECT(AD$5)))</f>
        <v>0</v>
      </c>
      <c r="AE162" s="593">
        <f t="shared" ca="1" si="237"/>
        <v>0</v>
      </c>
      <c r="AF162" s="593">
        <f t="shared" ca="1" si="238"/>
        <v>0</v>
      </c>
      <c r="AG162" s="593">
        <f t="shared" ca="1" si="239"/>
        <v>0</v>
      </c>
      <c r="AH162" s="593">
        <f t="shared" ca="1" si="240"/>
        <v>0</v>
      </c>
      <c r="AI162" s="593">
        <f t="shared" ca="1" si="241"/>
        <v>0</v>
      </c>
      <c r="AJ162" s="593">
        <f t="shared" ca="1" si="242"/>
        <v>0</v>
      </c>
      <c r="AK162" s="593">
        <f t="shared" ca="1" si="243"/>
        <v>0</v>
      </c>
      <c r="AL162" s="593">
        <f t="shared" ca="1" si="244"/>
        <v>0</v>
      </c>
      <c r="AM162" s="593">
        <f t="shared" ca="1" si="245"/>
        <v>0</v>
      </c>
      <c r="AN162" s="593">
        <f t="shared" ca="1" si="246"/>
        <v>0</v>
      </c>
      <c r="AO162" s="593">
        <f t="shared" ca="1" si="247"/>
        <v>0</v>
      </c>
      <c r="AP162" s="593">
        <f t="shared" ca="1" si="248"/>
        <v>0</v>
      </c>
    </row>
    <row r="163" spans="1:42" s="594" customFormat="1" ht="11.25" outlineLevel="1" x14ac:dyDescent="0.2">
      <c r="A163" s="590"/>
      <c r="B163" s="591" t="str">
        <f>IF(D163&lt;&gt;"",
IF(ISERROR(MATCH(D163,'Ist Aktuell Monat 01'!A:A,0))=FALSE,INDEX('Ist Aktuell Monat 01'!B:B,MATCH(D163,'Ist Aktuell Monat 01'!A:A,0)),
IF(ISERROR(MATCH(D163,'Ist Aktuell Monat 02'!A:A,0))=FALSE,INDEX('Ist Aktuell Monat 02'!B:B,MATCH(D163,'Ist Aktuell Monat 02'!A:A,0)),
IF(ISERROR(MATCH(D163,'Ist Aktuell Monat 03'!A:A,0))=FALSE,INDEX('Ist Aktuell Monat 03'!B:B,MATCH(D163,'Ist Aktuell Monat 03'!A:A,0)),
IF(ISERROR(MATCH(D163,'Ist Aktuell Monat 04'!A:A,0))=FALSE,INDEX('Ist Aktuell Monat 04'!B:B,MATCH(D163,'Ist Aktuell Monat 04'!A:A,0)),
IF(ISERROR(MATCH(D163,'Ist Aktuell Monat 05'!A:A,0))=FALSE,INDEX('Ist Aktuell Monat 05'!B:B,MATCH(D163,'Ist Aktuell Monat 05'!A:A,0)),
IF(ISERROR(MATCH(D163,'Ist Aktuell Monat 06'!A:A,0))=FALSE,INDEX('Ist Aktuell Monat 06'!B:B,MATCH(D163,'Ist Aktuell Monat 06'!A:A,0)),
IF(ISERROR(MATCH(D163,'Ist Aktuell Monat 07'!A:A,0))=FALSE,INDEX('Ist Aktuell Monat 07'!B:B,MATCH(D163,'Ist Aktuell Monat 07'!A:A,0)),
IF(ISERROR(MATCH(D163,'Ist Aktuell Monat 08'!A:A,0))=FALSE,INDEX('Ist Aktuell Monat 08'!B:B,MATCH(D163,'Ist Aktuell Monat 08'!A:A,0)),
IF(ISERROR(MATCH(D163,'Ist Aktuell Monat 09'!A:A,0))=FALSE,INDEX('Ist Aktuell Monat 09'!B:B,MATCH(D163,'Ist Aktuell Monat 09'!A:A,0)),
IF(ISERROR(MATCH(D163,'Ist Aktuell Monat 10'!A:A,0))=FALSE,INDEX('Ist Aktuell Monat 10'!B:B,MATCH(D163,'Ist Aktuell Monat 10'!A:A,0)),
IF(ISERROR(MATCH(D163,'Ist Aktuell Monat 11'!A:A,0))=FALSE,INDEX('Ist Aktuell Monat 11'!B:B,MATCH(D163,'Ist Aktuell Monat 11'!A:A,0)),
IF(ISERROR(MATCH(D163,'Ist Aktuell Monat 12'!A:A,0))=FALSE,INDEX('Ist Aktuell Monat 12'!B:B,MATCH(D163,'Ist Aktuell Monat 12'!A:A,0)),
"{Konto unbekannt}"
)))))))))))),"")</f>
        <v/>
      </c>
      <c r="C163" s="591"/>
      <c r="D163" s="590"/>
      <c r="E163" s="592">
        <f t="shared" si="171"/>
        <v>1</v>
      </c>
      <c r="F163" s="590"/>
      <c r="G163" s="593">
        <f ca="1">$E163*(-SUMIF(INDIRECT(G$3),'Struktur Aktuell'!$D163,INDIRECT(G$4))+SUMIF(INDIRECT(G$3),'Struktur Aktuell'!$D163,INDIRECT(G$5)))</f>
        <v>0</v>
      </c>
      <c r="H163" s="593">
        <f ca="1">$E163*(-SUMIF(INDIRECT(H$3),'Struktur Aktuell'!$D163,INDIRECT(H$4))+SUMIF(INDIRECT(H$3),'Struktur Aktuell'!$D163,INDIRECT(H$5)))</f>
        <v>0</v>
      </c>
      <c r="I163" s="593">
        <f ca="1">$E163*(-SUMIF(INDIRECT(I$3),'Struktur Aktuell'!$D163,INDIRECT(I$4))+SUMIF(INDIRECT(I$3),'Struktur Aktuell'!$D163,INDIRECT(I$5)))</f>
        <v>0</v>
      </c>
      <c r="J163" s="593">
        <f ca="1">$E163*(-SUMIF(INDIRECT(J$3),'Struktur Aktuell'!$D163,INDIRECT(J$4))+SUMIF(INDIRECT(J$3),'Struktur Aktuell'!$D163,INDIRECT(J$5)))</f>
        <v>0</v>
      </c>
      <c r="K163" s="593">
        <f ca="1">$E163*(-SUMIF(INDIRECT(K$3),'Struktur Aktuell'!$D163,INDIRECT(K$4))+SUMIF(INDIRECT(K$3),'Struktur Aktuell'!$D163,INDIRECT(K$5)))</f>
        <v>0</v>
      </c>
      <c r="L163" s="593">
        <f ca="1">$E163*(-SUMIF(INDIRECT(L$3),'Struktur Aktuell'!$D163,INDIRECT(L$4))+SUMIF(INDIRECT(L$3),'Struktur Aktuell'!$D163,INDIRECT(L$5)))</f>
        <v>0</v>
      </c>
      <c r="M163" s="593">
        <f ca="1">$E163*(-SUMIF(INDIRECT(M$3),'Struktur Aktuell'!$D163,INDIRECT(M$4))+SUMIF(INDIRECT(M$3),'Struktur Aktuell'!$D163,INDIRECT(M$5)))</f>
        <v>0</v>
      </c>
      <c r="N163" s="593">
        <f ca="1">$E163*(-SUMIF(INDIRECT(N$3),'Struktur Aktuell'!$D163,INDIRECT(N$4))+SUMIF(INDIRECT(N$3),'Struktur Aktuell'!$D163,INDIRECT(N$5)))</f>
        <v>0</v>
      </c>
      <c r="O163" s="593">
        <f ca="1">$E163*(-SUMIF(INDIRECT(O$3),'Struktur Aktuell'!$D163,INDIRECT(O$4))+SUMIF(INDIRECT(O$3),'Struktur Aktuell'!$D163,INDIRECT(O$5)))</f>
        <v>0</v>
      </c>
      <c r="P163" s="593">
        <f ca="1">$E163*(-SUMIF(INDIRECT(P$3),'Struktur Aktuell'!$D163,INDIRECT(P$4))+SUMIF(INDIRECT(P$3),'Struktur Aktuell'!$D163,INDIRECT(P$5)))</f>
        <v>0</v>
      </c>
      <c r="Q163" s="593">
        <f ca="1">$E163*(-SUMIF(INDIRECT(Q$3),'Struktur Aktuell'!$D163,INDIRECT(Q$4))+SUMIF(INDIRECT(Q$3),'Struktur Aktuell'!$D163,INDIRECT(Q$5)))</f>
        <v>0</v>
      </c>
      <c r="R163" s="593">
        <f ca="1">$E163*(-SUMIF(INDIRECT(R$3),'Struktur Aktuell'!$D163,INDIRECT(R$4))+SUMIF(INDIRECT(R$3),'Struktur Aktuell'!$D163,INDIRECT(R$5)))</f>
        <v>0</v>
      </c>
      <c r="S163" s="593">
        <f ca="1">$E163*(-SUMIF(INDIRECT(S$3),'Struktur Aktuell'!$D163,INDIRECT(S$4))+SUMIF(INDIRECT(S$3),'Struktur Aktuell'!$D163,INDIRECT(S$5)))</f>
        <v>0</v>
      </c>
      <c r="T163" s="593">
        <f ca="1">$E163*(-SUMIF(INDIRECT(T$3),'Struktur Aktuell'!$D163,INDIRECT(T$4))+SUMIF(INDIRECT(T$3),'Struktur Aktuell'!$D163,INDIRECT(T$5)))</f>
        <v>0</v>
      </c>
      <c r="U163" s="593">
        <f ca="1">$E163*(-SUMIF(INDIRECT(U$3),'Struktur Aktuell'!$D163,INDIRECT(U$4))+SUMIF(INDIRECT(U$3),'Struktur Aktuell'!$D163,INDIRECT(U$5)))</f>
        <v>0</v>
      </c>
      <c r="V163" s="593">
        <f ca="1">$E163*(-SUMIF(INDIRECT(V$3),'Struktur Aktuell'!$D163,INDIRECT(V$4))+SUMIF(INDIRECT(V$3),'Struktur Aktuell'!$D163,INDIRECT(V$5)))</f>
        <v>0</v>
      </c>
      <c r="W163" s="593">
        <f ca="1">$E163*(-SUMIF(INDIRECT(W$3),'Struktur Aktuell'!$D163,INDIRECT(W$4))+SUMIF(INDIRECT(W$3),'Struktur Aktuell'!$D163,INDIRECT(W$5)))</f>
        <v>0</v>
      </c>
      <c r="X163" s="593">
        <f ca="1">$E163*(-SUMIF(INDIRECT(X$3),'Struktur Aktuell'!$D163,INDIRECT(X$4))+SUMIF(INDIRECT(X$3),'Struktur Aktuell'!$D163,INDIRECT(X$5)))</f>
        <v>0</v>
      </c>
      <c r="Y163" s="593">
        <f ca="1">$E163*(-SUMIF(INDIRECT(Y$3),'Struktur Aktuell'!$D163,INDIRECT(Y$4))+SUMIF(INDIRECT(Y$3),'Struktur Aktuell'!$D163,INDIRECT(Y$5)))</f>
        <v>0</v>
      </c>
      <c r="Z163" s="593">
        <f ca="1">$E163*(-SUMIF(INDIRECT(Z$3),'Struktur Aktuell'!$D163,INDIRECT(Z$4))+SUMIF(INDIRECT(Z$3),'Struktur Aktuell'!$D163,INDIRECT(Z$5)))</f>
        <v>0</v>
      </c>
      <c r="AA163" s="593">
        <f ca="1">$E163*(-SUMIF(INDIRECT(AA$3),'Struktur Aktuell'!$D163,INDIRECT(AA$4))+SUMIF(INDIRECT(AA$3),'Struktur Aktuell'!$D163,INDIRECT(AA$5)))</f>
        <v>0</v>
      </c>
      <c r="AB163" s="593">
        <f ca="1">$E163*(-SUMIF(INDIRECT(AB$3),'Struktur Aktuell'!$D163,INDIRECT(AB$4))+SUMIF(INDIRECT(AB$3),'Struktur Aktuell'!$D163,INDIRECT(AB$5)))</f>
        <v>0</v>
      </c>
      <c r="AC163" s="593">
        <f ca="1">$E163*(-SUMIF(INDIRECT(AC$3),'Struktur Aktuell'!$D163,INDIRECT(AC$4))+SUMIF(INDIRECT(AC$3),'Struktur Aktuell'!$D163,INDIRECT(AC$5)))</f>
        <v>0</v>
      </c>
      <c r="AD163" s="593">
        <f ca="1">$E163*(-SUMIF(INDIRECT(AD$3),'Struktur Aktuell'!$D163,INDIRECT(AD$4))+SUMIF(INDIRECT(AD$3),'Struktur Aktuell'!$D163,INDIRECT(AD$5)))</f>
        <v>0</v>
      </c>
      <c r="AE163" s="593">
        <f t="shared" ca="1" si="237"/>
        <v>0</v>
      </c>
      <c r="AF163" s="593">
        <f t="shared" ca="1" si="238"/>
        <v>0</v>
      </c>
      <c r="AG163" s="593">
        <f t="shared" ca="1" si="239"/>
        <v>0</v>
      </c>
      <c r="AH163" s="593">
        <f t="shared" ca="1" si="240"/>
        <v>0</v>
      </c>
      <c r="AI163" s="593">
        <f t="shared" ca="1" si="241"/>
        <v>0</v>
      </c>
      <c r="AJ163" s="593">
        <f t="shared" ca="1" si="242"/>
        <v>0</v>
      </c>
      <c r="AK163" s="593">
        <f t="shared" ca="1" si="243"/>
        <v>0</v>
      </c>
      <c r="AL163" s="593">
        <f t="shared" ca="1" si="244"/>
        <v>0</v>
      </c>
      <c r="AM163" s="593">
        <f t="shared" ca="1" si="245"/>
        <v>0</v>
      </c>
      <c r="AN163" s="593">
        <f t="shared" ca="1" si="246"/>
        <v>0</v>
      </c>
      <c r="AO163" s="593">
        <f t="shared" ca="1" si="247"/>
        <v>0</v>
      </c>
      <c r="AP163" s="593">
        <f t="shared" ca="1" si="248"/>
        <v>0</v>
      </c>
    </row>
    <row r="164" spans="1:42" s="594" customFormat="1" ht="11.25" outlineLevel="1" x14ac:dyDescent="0.2">
      <c r="A164" s="590"/>
      <c r="B164" s="591" t="str">
        <f>IF(D164&lt;&gt;"",
IF(ISERROR(MATCH(D164,'Ist Aktuell Monat 01'!A:A,0))=FALSE,INDEX('Ist Aktuell Monat 01'!B:B,MATCH(D164,'Ist Aktuell Monat 01'!A:A,0)),
IF(ISERROR(MATCH(D164,'Ist Aktuell Monat 02'!A:A,0))=FALSE,INDEX('Ist Aktuell Monat 02'!B:B,MATCH(D164,'Ist Aktuell Monat 02'!A:A,0)),
IF(ISERROR(MATCH(D164,'Ist Aktuell Monat 03'!A:A,0))=FALSE,INDEX('Ist Aktuell Monat 03'!B:B,MATCH(D164,'Ist Aktuell Monat 03'!A:A,0)),
IF(ISERROR(MATCH(D164,'Ist Aktuell Monat 04'!A:A,0))=FALSE,INDEX('Ist Aktuell Monat 04'!B:B,MATCH(D164,'Ist Aktuell Monat 04'!A:A,0)),
IF(ISERROR(MATCH(D164,'Ist Aktuell Monat 05'!A:A,0))=FALSE,INDEX('Ist Aktuell Monat 05'!B:B,MATCH(D164,'Ist Aktuell Monat 05'!A:A,0)),
IF(ISERROR(MATCH(D164,'Ist Aktuell Monat 06'!A:A,0))=FALSE,INDEX('Ist Aktuell Monat 06'!B:B,MATCH(D164,'Ist Aktuell Monat 06'!A:A,0)),
IF(ISERROR(MATCH(D164,'Ist Aktuell Monat 07'!A:A,0))=FALSE,INDEX('Ist Aktuell Monat 07'!B:B,MATCH(D164,'Ist Aktuell Monat 07'!A:A,0)),
IF(ISERROR(MATCH(D164,'Ist Aktuell Monat 08'!A:A,0))=FALSE,INDEX('Ist Aktuell Monat 08'!B:B,MATCH(D164,'Ist Aktuell Monat 08'!A:A,0)),
IF(ISERROR(MATCH(D164,'Ist Aktuell Monat 09'!A:A,0))=FALSE,INDEX('Ist Aktuell Monat 09'!B:B,MATCH(D164,'Ist Aktuell Monat 09'!A:A,0)),
IF(ISERROR(MATCH(D164,'Ist Aktuell Monat 10'!A:A,0))=FALSE,INDEX('Ist Aktuell Monat 10'!B:B,MATCH(D164,'Ist Aktuell Monat 10'!A:A,0)),
IF(ISERROR(MATCH(D164,'Ist Aktuell Monat 11'!A:A,0))=FALSE,INDEX('Ist Aktuell Monat 11'!B:B,MATCH(D164,'Ist Aktuell Monat 11'!A:A,0)),
IF(ISERROR(MATCH(D164,'Ist Aktuell Monat 12'!A:A,0))=FALSE,INDEX('Ist Aktuell Monat 12'!B:B,MATCH(D164,'Ist Aktuell Monat 12'!A:A,0)),
"{Konto unbekannt}"
)))))))))))),"")</f>
        <v/>
      </c>
      <c r="C164" s="591"/>
      <c r="D164" s="590"/>
      <c r="E164" s="592">
        <f t="shared" si="171"/>
        <v>1</v>
      </c>
      <c r="F164" s="590"/>
      <c r="G164" s="593">
        <f ca="1">$E164*(-SUMIF(INDIRECT(G$3),'Struktur Aktuell'!$D164,INDIRECT(G$4))+SUMIF(INDIRECT(G$3),'Struktur Aktuell'!$D164,INDIRECT(G$5)))</f>
        <v>0</v>
      </c>
      <c r="H164" s="593">
        <f ca="1">$E164*(-SUMIF(INDIRECT(H$3),'Struktur Aktuell'!$D164,INDIRECT(H$4))+SUMIF(INDIRECT(H$3),'Struktur Aktuell'!$D164,INDIRECT(H$5)))</f>
        <v>0</v>
      </c>
      <c r="I164" s="593">
        <f ca="1">$E164*(-SUMIF(INDIRECT(I$3),'Struktur Aktuell'!$D164,INDIRECT(I$4))+SUMIF(INDIRECT(I$3),'Struktur Aktuell'!$D164,INDIRECT(I$5)))</f>
        <v>0</v>
      </c>
      <c r="J164" s="593">
        <f ca="1">$E164*(-SUMIF(INDIRECT(J$3),'Struktur Aktuell'!$D164,INDIRECT(J$4))+SUMIF(INDIRECT(J$3),'Struktur Aktuell'!$D164,INDIRECT(J$5)))</f>
        <v>0</v>
      </c>
      <c r="K164" s="593">
        <f ca="1">$E164*(-SUMIF(INDIRECT(K$3),'Struktur Aktuell'!$D164,INDIRECT(K$4))+SUMIF(INDIRECT(K$3),'Struktur Aktuell'!$D164,INDIRECT(K$5)))</f>
        <v>0</v>
      </c>
      <c r="L164" s="593">
        <f ca="1">$E164*(-SUMIF(INDIRECT(L$3),'Struktur Aktuell'!$D164,INDIRECT(L$4))+SUMIF(INDIRECT(L$3),'Struktur Aktuell'!$D164,INDIRECT(L$5)))</f>
        <v>0</v>
      </c>
      <c r="M164" s="593">
        <f ca="1">$E164*(-SUMIF(INDIRECT(M$3),'Struktur Aktuell'!$D164,INDIRECT(M$4))+SUMIF(INDIRECT(M$3),'Struktur Aktuell'!$D164,INDIRECT(M$5)))</f>
        <v>0</v>
      </c>
      <c r="N164" s="593">
        <f ca="1">$E164*(-SUMIF(INDIRECT(N$3),'Struktur Aktuell'!$D164,INDIRECT(N$4))+SUMIF(INDIRECT(N$3),'Struktur Aktuell'!$D164,INDIRECT(N$5)))</f>
        <v>0</v>
      </c>
      <c r="O164" s="593">
        <f ca="1">$E164*(-SUMIF(INDIRECT(O$3),'Struktur Aktuell'!$D164,INDIRECT(O$4))+SUMIF(INDIRECT(O$3),'Struktur Aktuell'!$D164,INDIRECT(O$5)))</f>
        <v>0</v>
      </c>
      <c r="P164" s="593">
        <f ca="1">$E164*(-SUMIF(INDIRECT(P$3),'Struktur Aktuell'!$D164,INDIRECT(P$4))+SUMIF(INDIRECT(P$3),'Struktur Aktuell'!$D164,INDIRECT(P$5)))</f>
        <v>0</v>
      </c>
      <c r="Q164" s="593">
        <f ca="1">$E164*(-SUMIF(INDIRECT(Q$3),'Struktur Aktuell'!$D164,INDIRECT(Q$4))+SUMIF(INDIRECT(Q$3),'Struktur Aktuell'!$D164,INDIRECT(Q$5)))</f>
        <v>0</v>
      </c>
      <c r="R164" s="593">
        <f ca="1">$E164*(-SUMIF(INDIRECT(R$3),'Struktur Aktuell'!$D164,INDIRECT(R$4))+SUMIF(INDIRECT(R$3),'Struktur Aktuell'!$D164,INDIRECT(R$5)))</f>
        <v>0</v>
      </c>
      <c r="S164" s="593">
        <f ca="1">$E164*(-SUMIF(INDIRECT(S$3),'Struktur Aktuell'!$D164,INDIRECT(S$4))+SUMIF(INDIRECT(S$3),'Struktur Aktuell'!$D164,INDIRECT(S$5)))</f>
        <v>0</v>
      </c>
      <c r="T164" s="593">
        <f ca="1">$E164*(-SUMIF(INDIRECT(T$3),'Struktur Aktuell'!$D164,INDIRECT(T$4))+SUMIF(INDIRECT(T$3),'Struktur Aktuell'!$D164,INDIRECT(T$5)))</f>
        <v>0</v>
      </c>
      <c r="U164" s="593">
        <f ca="1">$E164*(-SUMIF(INDIRECT(U$3),'Struktur Aktuell'!$D164,INDIRECT(U$4))+SUMIF(INDIRECT(U$3),'Struktur Aktuell'!$D164,INDIRECT(U$5)))</f>
        <v>0</v>
      </c>
      <c r="V164" s="593">
        <f ca="1">$E164*(-SUMIF(INDIRECT(V$3),'Struktur Aktuell'!$D164,INDIRECT(V$4))+SUMIF(INDIRECT(V$3),'Struktur Aktuell'!$D164,INDIRECT(V$5)))</f>
        <v>0</v>
      </c>
      <c r="W164" s="593">
        <f ca="1">$E164*(-SUMIF(INDIRECT(W$3),'Struktur Aktuell'!$D164,INDIRECT(W$4))+SUMIF(INDIRECT(W$3),'Struktur Aktuell'!$D164,INDIRECT(W$5)))</f>
        <v>0</v>
      </c>
      <c r="X164" s="593">
        <f ca="1">$E164*(-SUMIF(INDIRECT(X$3),'Struktur Aktuell'!$D164,INDIRECT(X$4))+SUMIF(INDIRECT(X$3),'Struktur Aktuell'!$D164,INDIRECT(X$5)))</f>
        <v>0</v>
      </c>
      <c r="Y164" s="593">
        <f ca="1">$E164*(-SUMIF(INDIRECT(Y$3),'Struktur Aktuell'!$D164,INDIRECT(Y$4))+SUMIF(INDIRECT(Y$3),'Struktur Aktuell'!$D164,INDIRECT(Y$5)))</f>
        <v>0</v>
      </c>
      <c r="Z164" s="593">
        <f ca="1">$E164*(-SUMIF(INDIRECT(Z$3),'Struktur Aktuell'!$D164,INDIRECT(Z$4))+SUMIF(INDIRECT(Z$3),'Struktur Aktuell'!$D164,INDIRECT(Z$5)))</f>
        <v>0</v>
      </c>
      <c r="AA164" s="593">
        <f ca="1">$E164*(-SUMIF(INDIRECT(AA$3),'Struktur Aktuell'!$D164,INDIRECT(AA$4))+SUMIF(INDIRECT(AA$3),'Struktur Aktuell'!$D164,INDIRECT(AA$5)))</f>
        <v>0</v>
      </c>
      <c r="AB164" s="593">
        <f ca="1">$E164*(-SUMIF(INDIRECT(AB$3),'Struktur Aktuell'!$D164,INDIRECT(AB$4))+SUMIF(INDIRECT(AB$3),'Struktur Aktuell'!$D164,INDIRECT(AB$5)))</f>
        <v>0</v>
      </c>
      <c r="AC164" s="593">
        <f ca="1">$E164*(-SUMIF(INDIRECT(AC$3),'Struktur Aktuell'!$D164,INDIRECT(AC$4))+SUMIF(INDIRECT(AC$3),'Struktur Aktuell'!$D164,INDIRECT(AC$5)))</f>
        <v>0</v>
      </c>
      <c r="AD164" s="593">
        <f ca="1">$E164*(-SUMIF(INDIRECT(AD$3),'Struktur Aktuell'!$D164,INDIRECT(AD$4))+SUMIF(INDIRECT(AD$3),'Struktur Aktuell'!$D164,INDIRECT(AD$5)))</f>
        <v>0</v>
      </c>
      <c r="AE164" s="593">
        <f t="shared" ca="1" si="237"/>
        <v>0</v>
      </c>
      <c r="AF164" s="593">
        <f t="shared" ca="1" si="238"/>
        <v>0</v>
      </c>
      <c r="AG164" s="593">
        <f t="shared" ca="1" si="239"/>
        <v>0</v>
      </c>
      <c r="AH164" s="593">
        <f t="shared" ca="1" si="240"/>
        <v>0</v>
      </c>
      <c r="AI164" s="593">
        <f t="shared" ca="1" si="241"/>
        <v>0</v>
      </c>
      <c r="AJ164" s="593">
        <f t="shared" ca="1" si="242"/>
        <v>0</v>
      </c>
      <c r="AK164" s="593">
        <f t="shared" ca="1" si="243"/>
        <v>0</v>
      </c>
      <c r="AL164" s="593">
        <f t="shared" ca="1" si="244"/>
        <v>0</v>
      </c>
      <c r="AM164" s="593">
        <f t="shared" ca="1" si="245"/>
        <v>0</v>
      </c>
      <c r="AN164" s="593">
        <f t="shared" ca="1" si="246"/>
        <v>0</v>
      </c>
      <c r="AO164" s="593">
        <f t="shared" ca="1" si="247"/>
        <v>0</v>
      </c>
      <c r="AP164" s="593">
        <f t="shared" ca="1" si="248"/>
        <v>0</v>
      </c>
    </row>
    <row r="165" spans="1:42" s="594" customFormat="1" ht="11.25" outlineLevel="1" x14ac:dyDescent="0.2">
      <c r="A165" s="590"/>
      <c r="B165" s="591" t="str">
        <f>IF(D165&lt;&gt;"",
IF(ISERROR(MATCH(D165,'Ist Aktuell Monat 01'!A:A,0))=FALSE,INDEX('Ist Aktuell Monat 01'!B:B,MATCH(D165,'Ist Aktuell Monat 01'!A:A,0)),
IF(ISERROR(MATCH(D165,'Ist Aktuell Monat 02'!A:A,0))=FALSE,INDEX('Ist Aktuell Monat 02'!B:B,MATCH(D165,'Ist Aktuell Monat 02'!A:A,0)),
IF(ISERROR(MATCH(D165,'Ist Aktuell Monat 03'!A:A,0))=FALSE,INDEX('Ist Aktuell Monat 03'!B:B,MATCH(D165,'Ist Aktuell Monat 03'!A:A,0)),
IF(ISERROR(MATCH(D165,'Ist Aktuell Monat 04'!A:A,0))=FALSE,INDEX('Ist Aktuell Monat 04'!B:B,MATCH(D165,'Ist Aktuell Monat 04'!A:A,0)),
IF(ISERROR(MATCH(D165,'Ist Aktuell Monat 05'!A:A,0))=FALSE,INDEX('Ist Aktuell Monat 05'!B:B,MATCH(D165,'Ist Aktuell Monat 05'!A:A,0)),
IF(ISERROR(MATCH(D165,'Ist Aktuell Monat 06'!A:A,0))=FALSE,INDEX('Ist Aktuell Monat 06'!B:B,MATCH(D165,'Ist Aktuell Monat 06'!A:A,0)),
IF(ISERROR(MATCH(D165,'Ist Aktuell Monat 07'!A:A,0))=FALSE,INDEX('Ist Aktuell Monat 07'!B:B,MATCH(D165,'Ist Aktuell Monat 07'!A:A,0)),
IF(ISERROR(MATCH(D165,'Ist Aktuell Monat 08'!A:A,0))=FALSE,INDEX('Ist Aktuell Monat 08'!B:B,MATCH(D165,'Ist Aktuell Monat 08'!A:A,0)),
IF(ISERROR(MATCH(D165,'Ist Aktuell Monat 09'!A:A,0))=FALSE,INDEX('Ist Aktuell Monat 09'!B:B,MATCH(D165,'Ist Aktuell Monat 09'!A:A,0)),
IF(ISERROR(MATCH(D165,'Ist Aktuell Monat 10'!A:A,0))=FALSE,INDEX('Ist Aktuell Monat 10'!B:B,MATCH(D165,'Ist Aktuell Monat 10'!A:A,0)),
IF(ISERROR(MATCH(D165,'Ist Aktuell Monat 11'!A:A,0))=FALSE,INDEX('Ist Aktuell Monat 11'!B:B,MATCH(D165,'Ist Aktuell Monat 11'!A:A,0)),
IF(ISERROR(MATCH(D165,'Ist Aktuell Monat 12'!A:A,0))=FALSE,INDEX('Ist Aktuell Monat 12'!B:B,MATCH(D165,'Ist Aktuell Monat 12'!A:A,0)),
"{Konto unbekannt}"
)))))))))))),"")</f>
        <v/>
      </c>
      <c r="C165" s="591"/>
      <c r="D165" s="590"/>
      <c r="E165" s="592">
        <f t="shared" si="171"/>
        <v>1</v>
      </c>
      <c r="F165" s="590"/>
      <c r="G165" s="593">
        <f ca="1">$E165*(-SUMIF(INDIRECT(G$3),'Struktur Aktuell'!$D165,INDIRECT(G$4))+SUMIF(INDIRECT(G$3),'Struktur Aktuell'!$D165,INDIRECT(G$5)))</f>
        <v>0</v>
      </c>
      <c r="H165" s="593">
        <f ca="1">$E165*(-SUMIF(INDIRECT(H$3),'Struktur Aktuell'!$D165,INDIRECT(H$4))+SUMIF(INDIRECT(H$3),'Struktur Aktuell'!$D165,INDIRECT(H$5)))</f>
        <v>0</v>
      </c>
      <c r="I165" s="593">
        <f ca="1">$E165*(-SUMIF(INDIRECT(I$3),'Struktur Aktuell'!$D165,INDIRECT(I$4))+SUMIF(INDIRECT(I$3),'Struktur Aktuell'!$D165,INDIRECT(I$5)))</f>
        <v>0</v>
      </c>
      <c r="J165" s="593">
        <f ca="1">$E165*(-SUMIF(INDIRECT(J$3),'Struktur Aktuell'!$D165,INDIRECT(J$4))+SUMIF(INDIRECT(J$3),'Struktur Aktuell'!$D165,INDIRECT(J$5)))</f>
        <v>0</v>
      </c>
      <c r="K165" s="593">
        <f ca="1">$E165*(-SUMIF(INDIRECT(K$3),'Struktur Aktuell'!$D165,INDIRECT(K$4))+SUMIF(INDIRECT(K$3),'Struktur Aktuell'!$D165,INDIRECT(K$5)))</f>
        <v>0</v>
      </c>
      <c r="L165" s="593">
        <f ca="1">$E165*(-SUMIF(INDIRECT(L$3),'Struktur Aktuell'!$D165,INDIRECT(L$4))+SUMIF(INDIRECT(L$3),'Struktur Aktuell'!$D165,INDIRECT(L$5)))</f>
        <v>0</v>
      </c>
      <c r="M165" s="593">
        <f ca="1">$E165*(-SUMIF(INDIRECT(M$3),'Struktur Aktuell'!$D165,INDIRECT(M$4))+SUMIF(INDIRECT(M$3),'Struktur Aktuell'!$D165,INDIRECT(M$5)))</f>
        <v>0</v>
      </c>
      <c r="N165" s="593">
        <f ca="1">$E165*(-SUMIF(INDIRECT(N$3),'Struktur Aktuell'!$D165,INDIRECT(N$4))+SUMIF(INDIRECT(N$3),'Struktur Aktuell'!$D165,INDIRECT(N$5)))</f>
        <v>0</v>
      </c>
      <c r="O165" s="593">
        <f ca="1">$E165*(-SUMIF(INDIRECT(O$3),'Struktur Aktuell'!$D165,INDIRECT(O$4))+SUMIF(INDIRECT(O$3),'Struktur Aktuell'!$D165,INDIRECT(O$5)))</f>
        <v>0</v>
      </c>
      <c r="P165" s="593">
        <f ca="1">$E165*(-SUMIF(INDIRECT(P$3),'Struktur Aktuell'!$D165,INDIRECT(P$4))+SUMIF(INDIRECT(P$3),'Struktur Aktuell'!$D165,INDIRECT(P$5)))</f>
        <v>0</v>
      </c>
      <c r="Q165" s="593">
        <f ca="1">$E165*(-SUMIF(INDIRECT(Q$3),'Struktur Aktuell'!$D165,INDIRECT(Q$4))+SUMIF(INDIRECT(Q$3),'Struktur Aktuell'!$D165,INDIRECT(Q$5)))</f>
        <v>0</v>
      </c>
      <c r="R165" s="593">
        <f ca="1">$E165*(-SUMIF(INDIRECT(R$3),'Struktur Aktuell'!$D165,INDIRECT(R$4))+SUMIF(INDIRECT(R$3),'Struktur Aktuell'!$D165,INDIRECT(R$5)))</f>
        <v>0</v>
      </c>
      <c r="S165" s="593">
        <f ca="1">$E165*(-SUMIF(INDIRECT(S$3),'Struktur Aktuell'!$D165,INDIRECT(S$4))+SUMIF(INDIRECT(S$3),'Struktur Aktuell'!$D165,INDIRECT(S$5)))</f>
        <v>0</v>
      </c>
      <c r="T165" s="593">
        <f ca="1">$E165*(-SUMIF(INDIRECT(T$3),'Struktur Aktuell'!$D165,INDIRECT(T$4))+SUMIF(INDIRECT(T$3),'Struktur Aktuell'!$D165,INDIRECT(T$5)))</f>
        <v>0</v>
      </c>
      <c r="U165" s="593">
        <f ca="1">$E165*(-SUMIF(INDIRECT(U$3),'Struktur Aktuell'!$D165,INDIRECT(U$4))+SUMIF(INDIRECT(U$3),'Struktur Aktuell'!$D165,INDIRECT(U$5)))</f>
        <v>0</v>
      </c>
      <c r="V165" s="593">
        <f ca="1">$E165*(-SUMIF(INDIRECT(V$3),'Struktur Aktuell'!$D165,INDIRECT(V$4))+SUMIF(INDIRECT(V$3),'Struktur Aktuell'!$D165,INDIRECT(V$5)))</f>
        <v>0</v>
      </c>
      <c r="W165" s="593">
        <f ca="1">$E165*(-SUMIF(INDIRECT(W$3),'Struktur Aktuell'!$D165,INDIRECT(W$4))+SUMIF(INDIRECT(W$3),'Struktur Aktuell'!$D165,INDIRECT(W$5)))</f>
        <v>0</v>
      </c>
      <c r="X165" s="593">
        <f ca="1">$E165*(-SUMIF(INDIRECT(X$3),'Struktur Aktuell'!$D165,INDIRECT(X$4))+SUMIF(INDIRECT(X$3),'Struktur Aktuell'!$D165,INDIRECT(X$5)))</f>
        <v>0</v>
      </c>
      <c r="Y165" s="593">
        <f ca="1">$E165*(-SUMIF(INDIRECT(Y$3),'Struktur Aktuell'!$D165,INDIRECT(Y$4))+SUMIF(INDIRECT(Y$3),'Struktur Aktuell'!$D165,INDIRECT(Y$5)))</f>
        <v>0</v>
      </c>
      <c r="Z165" s="593">
        <f ca="1">$E165*(-SUMIF(INDIRECT(Z$3),'Struktur Aktuell'!$D165,INDIRECT(Z$4))+SUMIF(INDIRECT(Z$3),'Struktur Aktuell'!$D165,INDIRECT(Z$5)))</f>
        <v>0</v>
      </c>
      <c r="AA165" s="593">
        <f ca="1">$E165*(-SUMIF(INDIRECT(AA$3),'Struktur Aktuell'!$D165,INDIRECT(AA$4))+SUMIF(INDIRECT(AA$3),'Struktur Aktuell'!$D165,INDIRECT(AA$5)))</f>
        <v>0</v>
      </c>
      <c r="AB165" s="593">
        <f ca="1">$E165*(-SUMIF(INDIRECT(AB$3),'Struktur Aktuell'!$D165,INDIRECT(AB$4))+SUMIF(INDIRECT(AB$3),'Struktur Aktuell'!$D165,INDIRECT(AB$5)))</f>
        <v>0</v>
      </c>
      <c r="AC165" s="593">
        <f ca="1">$E165*(-SUMIF(INDIRECT(AC$3),'Struktur Aktuell'!$D165,INDIRECT(AC$4))+SUMIF(INDIRECT(AC$3),'Struktur Aktuell'!$D165,INDIRECT(AC$5)))</f>
        <v>0</v>
      </c>
      <c r="AD165" s="593">
        <f ca="1">$E165*(-SUMIF(INDIRECT(AD$3),'Struktur Aktuell'!$D165,INDIRECT(AD$4))+SUMIF(INDIRECT(AD$3),'Struktur Aktuell'!$D165,INDIRECT(AD$5)))</f>
        <v>0</v>
      </c>
      <c r="AE165" s="593">
        <f t="shared" ca="1" si="237"/>
        <v>0</v>
      </c>
      <c r="AF165" s="593">
        <f t="shared" ca="1" si="238"/>
        <v>0</v>
      </c>
      <c r="AG165" s="593">
        <f t="shared" ca="1" si="239"/>
        <v>0</v>
      </c>
      <c r="AH165" s="593">
        <f t="shared" ca="1" si="240"/>
        <v>0</v>
      </c>
      <c r="AI165" s="593">
        <f t="shared" ca="1" si="241"/>
        <v>0</v>
      </c>
      <c r="AJ165" s="593">
        <f t="shared" ca="1" si="242"/>
        <v>0</v>
      </c>
      <c r="AK165" s="593">
        <f t="shared" ca="1" si="243"/>
        <v>0</v>
      </c>
      <c r="AL165" s="593">
        <f t="shared" ca="1" si="244"/>
        <v>0</v>
      </c>
      <c r="AM165" s="593">
        <f t="shared" ca="1" si="245"/>
        <v>0</v>
      </c>
      <c r="AN165" s="593">
        <f t="shared" ca="1" si="246"/>
        <v>0</v>
      </c>
      <c r="AO165" s="593">
        <f t="shared" ca="1" si="247"/>
        <v>0</v>
      </c>
      <c r="AP165" s="593">
        <f t="shared" ca="1" si="248"/>
        <v>0</v>
      </c>
    </row>
    <row r="166" spans="1:42" s="594" customFormat="1" ht="11.25" outlineLevel="1" x14ac:dyDescent="0.2">
      <c r="A166" s="590"/>
      <c r="B166" s="591" t="str">
        <f>IF(D166&lt;&gt;"",
IF(ISERROR(MATCH(D166,'Ist Aktuell Monat 01'!A:A,0))=FALSE,INDEX('Ist Aktuell Monat 01'!B:B,MATCH(D166,'Ist Aktuell Monat 01'!A:A,0)),
IF(ISERROR(MATCH(D166,'Ist Aktuell Monat 02'!A:A,0))=FALSE,INDEX('Ist Aktuell Monat 02'!B:B,MATCH(D166,'Ist Aktuell Monat 02'!A:A,0)),
IF(ISERROR(MATCH(D166,'Ist Aktuell Monat 03'!A:A,0))=FALSE,INDEX('Ist Aktuell Monat 03'!B:B,MATCH(D166,'Ist Aktuell Monat 03'!A:A,0)),
IF(ISERROR(MATCH(D166,'Ist Aktuell Monat 04'!A:A,0))=FALSE,INDEX('Ist Aktuell Monat 04'!B:B,MATCH(D166,'Ist Aktuell Monat 04'!A:A,0)),
IF(ISERROR(MATCH(D166,'Ist Aktuell Monat 05'!A:A,0))=FALSE,INDEX('Ist Aktuell Monat 05'!B:B,MATCH(D166,'Ist Aktuell Monat 05'!A:A,0)),
IF(ISERROR(MATCH(D166,'Ist Aktuell Monat 06'!A:A,0))=FALSE,INDEX('Ist Aktuell Monat 06'!B:B,MATCH(D166,'Ist Aktuell Monat 06'!A:A,0)),
IF(ISERROR(MATCH(D166,'Ist Aktuell Monat 07'!A:A,0))=FALSE,INDEX('Ist Aktuell Monat 07'!B:B,MATCH(D166,'Ist Aktuell Monat 07'!A:A,0)),
IF(ISERROR(MATCH(D166,'Ist Aktuell Monat 08'!A:A,0))=FALSE,INDEX('Ist Aktuell Monat 08'!B:B,MATCH(D166,'Ist Aktuell Monat 08'!A:A,0)),
IF(ISERROR(MATCH(D166,'Ist Aktuell Monat 09'!A:A,0))=FALSE,INDEX('Ist Aktuell Monat 09'!B:B,MATCH(D166,'Ist Aktuell Monat 09'!A:A,0)),
IF(ISERROR(MATCH(D166,'Ist Aktuell Monat 10'!A:A,0))=FALSE,INDEX('Ist Aktuell Monat 10'!B:B,MATCH(D166,'Ist Aktuell Monat 10'!A:A,0)),
IF(ISERROR(MATCH(D166,'Ist Aktuell Monat 11'!A:A,0))=FALSE,INDEX('Ist Aktuell Monat 11'!B:B,MATCH(D166,'Ist Aktuell Monat 11'!A:A,0)),
IF(ISERROR(MATCH(D166,'Ist Aktuell Monat 12'!A:A,0))=FALSE,INDEX('Ist Aktuell Monat 12'!B:B,MATCH(D166,'Ist Aktuell Monat 12'!A:A,0)),
"{Konto unbekannt}"
)))))))))))),"")</f>
        <v/>
      </c>
      <c r="C166" s="591"/>
      <c r="D166" s="590"/>
      <c r="E166" s="592">
        <f t="shared" si="171"/>
        <v>1</v>
      </c>
      <c r="F166" s="590"/>
      <c r="G166" s="593">
        <f ca="1">$E166*(-SUMIF(INDIRECT(G$3),'Struktur Aktuell'!$D166,INDIRECT(G$4))+SUMIF(INDIRECT(G$3),'Struktur Aktuell'!$D166,INDIRECT(G$5)))</f>
        <v>0</v>
      </c>
      <c r="H166" s="593">
        <f ca="1">$E166*(-SUMIF(INDIRECT(H$3),'Struktur Aktuell'!$D166,INDIRECT(H$4))+SUMIF(INDIRECT(H$3),'Struktur Aktuell'!$D166,INDIRECT(H$5)))</f>
        <v>0</v>
      </c>
      <c r="I166" s="593">
        <f ca="1">$E166*(-SUMIF(INDIRECT(I$3),'Struktur Aktuell'!$D166,INDIRECT(I$4))+SUMIF(INDIRECT(I$3),'Struktur Aktuell'!$D166,INDIRECT(I$5)))</f>
        <v>0</v>
      </c>
      <c r="J166" s="593">
        <f ca="1">$E166*(-SUMIF(INDIRECT(J$3),'Struktur Aktuell'!$D166,INDIRECT(J$4))+SUMIF(INDIRECT(J$3),'Struktur Aktuell'!$D166,INDIRECT(J$5)))</f>
        <v>0</v>
      </c>
      <c r="K166" s="593">
        <f ca="1">$E166*(-SUMIF(INDIRECT(K$3),'Struktur Aktuell'!$D166,INDIRECT(K$4))+SUMIF(INDIRECT(K$3),'Struktur Aktuell'!$D166,INDIRECT(K$5)))</f>
        <v>0</v>
      </c>
      <c r="L166" s="593">
        <f ca="1">$E166*(-SUMIF(INDIRECT(L$3),'Struktur Aktuell'!$D166,INDIRECT(L$4))+SUMIF(INDIRECT(L$3),'Struktur Aktuell'!$D166,INDIRECT(L$5)))</f>
        <v>0</v>
      </c>
      <c r="M166" s="593">
        <f ca="1">$E166*(-SUMIF(INDIRECT(M$3),'Struktur Aktuell'!$D166,INDIRECT(M$4))+SUMIF(INDIRECT(M$3),'Struktur Aktuell'!$D166,INDIRECT(M$5)))</f>
        <v>0</v>
      </c>
      <c r="N166" s="593">
        <f ca="1">$E166*(-SUMIF(INDIRECT(N$3),'Struktur Aktuell'!$D166,INDIRECT(N$4))+SUMIF(INDIRECT(N$3),'Struktur Aktuell'!$D166,INDIRECT(N$5)))</f>
        <v>0</v>
      </c>
      <c r="O166" s="593">
        <f ca="1">$E166*(-SUMIF(INDIRECT(O$3),'Struktur Aktuell'!$D166,INDIRECT(O$4))+SUMIF(INDIRECT(O$3),'Struktur Aktuell'!$D166,INDIRECT(O$5)))</f>
        <v>0</v>
      </c>
      <c r="P166" s="593">
        <f ca="1">$E166*(-SUMIF(INDIRECT(P$3),'Struktur Aktuell'!$D166,INDIRECT(P$4))+SUMIF(INDIRECT(P$3),'Struktur Aktuell'!$D166,INDIRECT(P$5)))</f>
        <v>0</v>
      </c>
      <c r="Q166" s="593">
        <f ca="1">$E166*(-SUMIF(INDIRECT(Q$3),'Struktur Aktuell'!$D166,INDIRECT(Q$4))+SUMIF(INDIRECT(Q$3),'Struktur Aktuell'!$D166,INDIRECT(Q$5)))</f>
        <v>0</v>
      </c>
      <c r="R166" s="593">
        <f ca="1">$E166*(-SUMIF(INDIRECT(R$3),'Struktur Aktuell'!$D166,INDIRECT(R$4))+SUMIF(INDIRECT(R$3),'Struktur Aktuell'!$D166,INDIRECT(R$5)))</f>
        <v>0</v>
      </c>
      <c r="S166" s="593">
        <f ca="1">$E166*(-SUMIF(INDIRECT(S$3),'Struktur Aktuell'!$D166,INDIRECT(S$4))+SUMIF(INDIRECT(S$3),'Struktur Aktuell'!$D166,INDIRECT(S$5)))</f>
        <v>0</v>
      </c>
      <c r="T166" s="593">
        <f ca="1">$E166*(-SUMIF(INDIRECT(T$3),'Struktur Aktuell'!$D166,INDIRECT(T$4))+SUMIF(INDIRECT(T$3),'Struktur Aktuell'!$D166,INDIRECT(T$5)))</f>
        <v>0</v>
      </c>
      <c r="U166" s="593">
        <f ca="1">$E166*(-SUMIF(INDIRECT(U$3),'Struktur Aktuell'!$D166,INDIRECT(U$4))+SUMIF(INDIRECT(U$3),'Struktur Aktuell'!$D166,INDIRECT(U$5)))</f>
        <v>0</v>
      </c>
      <c r="V166" s="593">
        <f ca="1">$E166*(-SUMIF(INDIRECT(V$3),'Struktur Aktuell'!$D166,INDIRECT(V$4))+SUMIF(INDIRECT(V$3),'Struktur Aktuell'!$D166,INDIRECT(V$5)))</f>
        <v>0</v>
      </c>
      <c r="W166" s="593">
        <f ca="1">$E166*(-SUMIF(INDIRECT(W$3),'Struktur Aktuell'!$D166,INDIRECT(W$4))+SUMIF(INDIRECT(W$3),'Struktur Aktuell'!$D166,INDIRECT(W$5)))</f>
        <v>0</v>
      </c>
      <c r="X166" s="593">
        <f ca="1">$E166*(-SUMIF(INDIRECT(X$3),'Struktur Aktuell'!$D166,INDIRECT(X$4))+SUMIF(INDIRECT(X$3),'Struktur Aktuell'!$D166,INDIRECT(X$5)))</f>
        <v>0</v>
      </c>
      <c r="Y166" s="593">
        <f ca="1">$E166*(-SUMIF(INDIRECT(Y$3),'Struktur Aktuell'!$D166,INDIRECT(Y$4))+SUMIF(INDIRECT(Y$3),'Struktur Aktuell'!$D166,INDIRECT(Y$5)))</f>
        <v>0</v>
      </c>
      <c r="Z166" s="593">
        <f ca="1">$E166*(-SUMIF(INDIRECT(Z$3),'Struktur Aktuell'!$D166,INDIRECT(Z$4))+SUMIF(INDIRECT(Z$3),'Struktur Aktuell'!$D166,INDIRECT(Z$5)))</f>
        <v>0</v>
      </c>
      <c r="AA166" s="593">
        <f ca="1">$E166*(-SUMIF(INDIRECT(AA$3),'Struktur Aktuell'!$D166,INDIRECT(AA$4))+SUMIF(INDIRECT(AA$3),'Struktur Aktuell'!$D166,INDIRECT(AA$5)))</f>
        <v>0</v>
      </c>
      <c r="AB166" s="593">
        <f ca="1">$E166*(-SUMIF(INDIRECT(AB$3),'Struktur Aktuell'!$D166,INDIRECT(AB$4))+SUMIF(INDIRECT(AB$3),'Struktur Aktuell'!$D166,INDIRECT(AB$5)))</f>
        <v>0</v>
      </c>
      <c r="AC166" s="593">
        <f ca="1">$E166*(-SUMIF(INDIRECT(AC$3),'Struktur Aktuell'!$D166,INDIRECT(AC$4))+SUMIF(INDIRECT(AC$3),'Struktur Aktuell'!$D166,INDIRECT(AC$5)))</f>
        <v>0</v>
      </c>
      <c r="AD166" s="593">
        <f ca="1">$E166*(-SUMIF(INDIRECT(AD$3),'Struktur Aktuell'!$D166,INDIRECT(AD$4))+SUMIF(INDIRECT(AD$3),'Struktur Aktuell'!$D166,INDIRECT(AD$5)))</f>
        <v>0</v>
      </c>
      <c r="AE166" s="593">
        <f t="shared" ca="1" si="237"/>
        <v>0</v>
      </c>
      <c r="AF166" s="593">
        <f t="shared" ca="1" si="238"/>
        <v>0</v>
      </c>
      <c r="AG166" s="593">
        <f t="shared" ca="1" si="239"/>
        <v>0</v>
      </c>
      <c r="AH166" s="593">
        <f t="shared" ca="1" si="240"/>
        <v>0</v>
      </c>
      <c r="AI166" s="593">
        <f t="shared" ca="1" si="241"/>
        <v>0</v>
      </c>
      <c r="AJ166" s="593">
        <f t="shared" ca="1" si="242"/>
        <v>0</v>
      </c>
      <c r="AK166" s="593">
        <f t="shared" ca="1" si="243"/>
        <v>0</v>
      </c>
      <c r="AL166" s="593">
        <f t="shared" ca="1" si="244"/>
        <v>0</v>
      </c>
      <c r="AM166" s="593">
        <f t="shared" ca="1" si="245"/>
        <v>0</v>
      </c>
      <c r="AN166" s="593">
        <f t="shared" ca="1" si="246"/>
        <v>0</v>
      </c>
      <c r="AO166" s="593">
        <f t="shared" ca="1" si="247"/>
        <v>0</v>
      </c>
      <c r="AP166" s="593">
        <f t="shared" ca="1" si="248"/>
        <v>0</v>
      </c>
    </row>
    <row r="167" spans="1:42" s="594" customFormat="1" ht="11.25" outlineLevel="1" x14ac:dyDescent="0.2">
      <c r="A167" s="590"/>
      <c r="B167" s="591" t="str">
        <f>IF(D167&lt;&gt;"",
IF(ISERROR(MATCH(D167,'Ist Aktuell Monat 01'!A:A,0))=FALSE,INDEX('Ist Aktuell Monat 01'!B:B,MATCH(D167,'Ist Aktuell Monat 01'!A:A,0)),
IF(ISERROR(MATCH(D167,'Ist Aktuell Monat 02'!A:A,0))=FALSE,INDEX('Ist Aktuell Monat 02'!B:B,MATCH(D167,'Ist Aktuell Monat 02'!A:A,0)),
IF(ISERROR(MATCH(D167,'Ist Aktuell Monat 03'!A:A,0))=FALSE,INDEX('Ist Aktuell Monat 03'!B:B,MATCH(D167,'Ist Aktuell Monat 03'!A:A,0)),
IF(ISERROR(MATCH(D167,'Ist Aktuell Monat 04'!A:A,0))=FALSE,INDEX('Ist Aktuell Monat 04'!B:B,MATCH(D167,'Ist Aktuell Monat 04'!A:A,0)),
IF(ISERROR(MATCH(D167,'Ist Aktuell Monat 05'!A:A,0))=FALSE,INDEX('Ist Aktuell Monat 05'!B:B,MATCH(D167,'Ist Aktuell Monat 05'!A:A,0)),
IF(ISERROR(MATCH(D167,'Ist Aktuell Monat 06'!A:A,0))=FALSE,INDEX('Ist Aktuell Monat 06'!B:B,MATCH(D167,'Ist Aktuell Monat 06'!A:A,0)),
IF(ISERROR(MATCH(D167,'Ist Aktuell Monat 07'!A:A,0))=FALSE,INDEX('Ist Aktuell Monat 07'!B:B,MATCH(D167,'Ist Aktuell Monat 07'!A:A,0)),
IF(ISERROR(MATCH(D167,'Ist Aktuell Monat 08'!A:A,0))=FALSE,INDEX('Ist Aktuell Monat 08'!B:B,MATCH(D167,'Ist Aktuell Monat 08'!A:A,0)),
IF(ISERROR(MATCH(D167,'Ist Aktuell Monat 09'!A:A,0))=FALSE,INDEX('Ist Aktuell Monat 09'!B:B,MATCH(D167,'Ist Aktuell Monat 09'!A:A,0)),
IF(ISERROR(MATCH(D167,'Ist Aktuell Monat 10'!A:A,0))=FALSE,INDEX('Ist Aktuell Monat 10'!B:B,MATCH(D167,'Ist Aktuell Monat 10'!A:A,0)),
IF(ISERROR(MATCH(D167,'Ist Aktuell Monat 11'!A:A,0))=FALSE,INDEX('Ist Aktuell Monat 11'!B:B,MATCH(D167,'Ist Aktuell Monat 11'!A:A,0)),
IF(ISERROR(MATCH(D167,'Ist Aktuell Monat 12'!A:A,0))=FALSE,INDEX('Ist Aktuell Monat 12'!B:B,MATCH(D167,'Ist Aktuell Monat 12'!A:A,0)),
"{Konto unbekannt}"
)))))))))))),"")</f>
        <v/>
      </c>
      <c r="C167" s="591"/>
      <c r="D167" s="590"/>
      <c r="E167" s="592">
        <f t="shared" si="171"/>
        <v>1</v>
      </c>
      <c r="F167" s="590"/>
      <c r="G167" s="593">
        <f ca="1">$E167*(-SUMIF(INDIRECT(G$3),'Struktur Aktuell'!$D167,INDIRECT(G$4))+SUMIF(INDIRECT(G$3),'Struktur Aktuell'!$D167,INDIRECT(G$5)))</f>
        <v>0</v>
      </c>
      <c r="H167" s="593">
        <f ca="1">$E167*(-SUMIF(INDIRECT(H$3),'Struktur Aktuell'!$D167,INDIRECT(H$4))+SUMIF(INDIRECT(H$3),'Struktur Aktuell'!$D167,INDIRECT(H$5)))</f>
        <v>0</v>
      </c>
      <c r="I167" s="593">
        <f ca="1">$E167*(-SUMIF(INDIRECT(I$3),'Struktur Aktuell'!$D167,INDIRECT(I$4))+SUMIF(INDIRECT(I$3),'Struktur Aktuell'!$D167,INDIRECT(I$5)))</f>
        <v>0</v>
      </c>
      <c r="J167" s="593">
        <f ca="1">$E167*(-SUMIF(INDIRECT(J$3),'Struktur Aktuell'!$D167,INDIRECT(J$4))+SUMIF(INDIRECT(J$3),'Struktur Aktuell'!$D167,INDIRECT(J$5)))</f>
        <v>0</v>
      </c>
      <c r="K167" s="593">
        <f ca="1">$E167*(-SUMIF(INDIRECT(K$3),'Struktur Aktuell'!$D167,INDIRECT(K$4))+SUMIF(INDIRECT(K$3),'Struktur Aktuell'!$D167,INDIRECT(K$5)))</f>
        <v>0</v>
      </c>
      <c r="L167" s="593">
        <f ca="1">$E167*(-SUMIF(INDIRECT(L$3),'Struktur Aktuell'!$D167,INDIRECT(L$4))+SUMIF(INDIRECT(L$3),'Struktur Aktuell'!$D167,INDIRECT(L$5)))</f>
        <v>0</v>
      </c>
      <c r="M167" s="593">
        <f ca="1">$E167*(-SUMIF(INDIRECT(M$3),'Struktur Aktuell'!$D167,INDIRECT(M$4))+SUMIF(INDIRECT(M$3),'Struktur Aktuell'!$D167,INDIRECT(M$5)))</f>
        <v>0</v>
      </c>
      <c r="N167" s="593">
        <f ca="1">$E167*(-SUMIF(INDIRECT(N$3),'Struktur Aktuell'!$D167,INDIRECT(N$4))+SUMIF(INDIRECT(N$3),'Struktur Aktuell'!$D167,INDIRECT(N$5)))</f>
        <v>0</v>
      </c>
      <c r="O167" s="593">
        <f ca="1">$E167*(-SUMIF(INDIRECT(O$3),'Struktur Aktuell'!$D167,INDIRECT(O$4))+SUMIF(INDIRECT(O$3),'Struktur Aktuell'!$D167,INDIRECT(O$5)))</f>
        <v>0</v>
      </c>
      <c r="P167" s="593">
        <f ca="1">$E167*(-SUMIF(INDIRECT(P$3),'Struktur Aktuell'!$D167,INDIRECT(P$4))+SUMIF(INDIRECT(P$3),'Struktur Aktuell'!$D167,INDIRECT(P$5)))</f>
        <v>0</v>
      </c>
      <c r="Q167" s="593">
        <f ca="1">$E167*(-SUMIF(INDIRECT(Q$3),'Struktur Aktuell'!$D167,INDIRECT(Q$4))+SUMIF(INDIRECT(Q$3),'Struktur Aktuell'!$D167,INDIRECT(Q$5)))</f>
        <v>0</v>
      </c>
      <c r="R167" s="593">
        <f ca="1">$E167*(-SUMIF(INDIRECT(R$3),'Struktur Aktuell'!$D167,INDIRECT(R$4))+SUMIF(INDIRECT(R$3),'Struktur Aktuell'!$D167,INDIRECT(R$5)))</f>
        <v>0</v>
      </c>
      <c r="S167" s="593">
        <f ca="1">$E167*(-SUMIF(INDIRECT(S$3),'Struktur Aktuell'!$D167,INDIRECT(S$4))+SUMIF(INDIRECT(S$3),'Struktur Aktuell'!$D167,INDIRECT(S$5)))</f>
        <v>0</v>
      </c>
      <c r="T167" s="593">
        <f ca="1">$E167*(-SUMIF(INDIRECT(T$3),'Struktur Aktuell'!$D167,INDIRECT(T$4))+SUMIF(INDIRECT(T$3),'Struktur Aktuell'!$D167,INDIRECT(T$5)))</f>
        <v>0</v>
      </c>
      <c r="U167" s="593">
        <f ca="1">$E167*(-SUMIF(INDIRECT(U$3),'Struktur Aktuell'!$D167,INDIRECT(U$4))+SUMIF(INDIRECT(U$3),'Struktur Aktuell'!$D167,INDIRECT(U$5)))</f>
        <v>0</v>
      </c>
      <c r="V167" s="593">
        <f ca="1">$E167*(-SUMIF(INDIRECT(V$3),'Struktur Aktuell'!$D167,INDIRECT(V$4))+SUMIF(INDIRECT(V$3),'Struktur Aktuell'!$D167,INDIRECT(V$5)))</f>
        <v>0</v>
      </c>
      <c r="W167" s="593">
        <f ca="1">$E167*(-SUMIF(INDIRECT(W$3),'Struktur Aktuell'!$D167,INDIRECT(W$4))+SUMIF(INDIRECT(W$3),'Struktur Aktuell'!$D167,INDIRECT(W$5)))</f>
        <v>0</v>
      </c>
      <c r="X167" s="593">
        <f ca="1">$E167*(-SUMIF(INDIRECT(X$3),'Struktur Aktuell'!$D167,INDIRECT(X$4))+SUMIF(INDIRECT(X$3),'Struktur Aktuell'!$D167,INDIRECT(X$5)))</f>
        <v>0</v>
      </c>
      <c r="Y167" s="593">
        <f ca="1">$E167*(-SUMIF(INDIRECT(Y$3),'Struktur Aktuell'!$D167,INDIRECT(Y$4))+SUMIF(INDIRECT(Y$3),'Struktur Aktuell'!$D167,INDIRECT(Y$5)))</f>
        <v>0</v>
      </c>
      <c r="Z167" s="593">
        <f ca="1">$E167*(-SUMIF(INDIRECT(Z$3),'Struktur Aktuell'!$D167,INDIRECT(Z$4))+SUMIF(INDIRECT(Z$3),'Struktur Aktuell'!$D167,INDIRECT(Z$5)))</f>
        <v>0</v>
      </c>
      <c r="AA167" s="593">
        <f ca="1">$E167*(-SUMIF(INDIRECT(AA$3),'Struktur Aktuell'!$D167,INDIRECT(AA$4))+SUMIF(INDIRECT(AA$3),'Struktur Aktuell'!$D167,INDIRECT(AA$5)))</f>
        <v>0</v>
      </c>
      <c r="AB167" s="593">
        <f ca="1">$E167*(-SUMIF(INDIRECT(AB$3),'Struktur Aktuell'!$D167,INDIRECT(AB$4))+SUMIF(INDIRECT(AB$3),'Struktur Aktuell'!$D167,INDIRECT(AB$5)))</f>
        <v>0</v>
      </c>
      <c r="AC167" s="593">
        <f ca="1">$E167*(-SUMIF(INDIRECT(AC$3),'Struktur Aktuell'!$D167,INDIRECT(AC$4))+SUMIF(INDIRECT(AC$3),'Struktur Aktuell'!$D167,INDIRECT(AC$5)))</f>
        <v>0</v>
      </c>
      <c r="AD167" s="593">
        <f ca="1">$E167*(-SUMIF(INDIRECT(AD$3),'Struktur Aktuell'!$D167,INDIRECT(AD$4))+SUMIF(INDIRECT(AD$3),'Struktur Aktuell'!$D167,INDIRECT(AD$5)))</f>
        <v>0</v>
      </c>
      <c r="AE167" s="593">
        <f t="shared" ca="1" si="237"/>
        <v>0</v>
      </c>
      <c r="AF167" s="593">
        <f t="shared" ca="1" si="238"/>
        <v>0</v>
      </c>
      <c r="AG167" s="593">
        <f t="shared" ca="1" si="239"/>
        <v>0</v>
      </c>
      <c r="AH167" s="593">
        <f t="shared" ca="1" si="240"/>
        <v>0</v>
      </c>
      <c r="AI167" s="593">
        <f t="shared" ca="1" si="241"/>
        <v>0</v>
      </c>
      <c r="AJ167" s="593">
        <f t="shared" ca="1" si="242"/>
        <v>0</v>
      </c>
      <c r="AK167" s="593">
        <f t="shared" ca="1" si="243"/>
        <v>0</v>
      </c>
      <c r="AL167" s="593">
        <f t="shared" ca="1" si="244"/>
        <v>0</v>
      </c>
      <c r="AM167" s="593">
        <f t="shared" ca="1" si="245"/>
        <v>0</v>
      </c>
      <c r="AN167" s="593">
        <f t="shared" ca="1" si="246"/>
        <v>0</v>
      </c>
      <c r="AO167" s="593">
        <f t="shared" ca="1" si="247"/>
        <v>0</v>
      </c>
      <c r="AP167" s="593">
        <f t="shared" ca="1" si="248"/>
        <v>0</v>
      </c>
    </row>
    <row r="168" spans="1:42" s="589" customFormat="1" x14ac:dyDescent="0.2">
      <c r="A168" s="585">
        <v>16</v>
      </c>
      <c r="B168" s="586" t="s">
        <v>1013</v>
      </c>
      <c r="C168" s="587">
        <f ca="1">SUM(G168:R168)</f>
        <v>2208.66</v>
      </c>
      <c r="D168" s="587"/>
      <c r="E168" s="588">
        <f t="shared" si="171"/>
        <v>1</v>
      </c>
      <c r="F168" s="585"/>
      <c r="G168" s="587">
        <f t="shared" ref="G168:R168" ca="1" si="249">SUM(G169:G176)</f>
        <v>223</v>
      </c>
      <c r="H168" s="587">
        <f t="shared" ca="1" si="249"/>
        <v>4.71</v>
      </c>
      <c r="I168" s="587">
        <f t="shared" ca="1" si="249"/>
        <v>270.02999999999997</v>
      </c>
      <c r="J168" s="587">
        <f t="shared" ca="1" si="249"/>
        <v>42.75</v>
      </c>
      <c r="K168" s="587">
        <f t="shared" ca="1" si="249"/>
        <v>568.28</v>
      </c>
      <c r="L168" s="587">
        <f t="shared" ca="1" si="249"/>
        <v>0</v>
      </c>
      <c r="M168" s="587">
        <f t="shared" ca="1" si="249"/>
        <v>569.89</v>
      </c>
      <c r="N168" s="587">
        <f t="shared" ca="1" si="249"/>
        <v>530</v>
      </c>
      <c r="O168" s="587">
        <f t="shared" ca="1" si="249"/>
        <v>0</v>
      </c>
      <c r="P168" s="587">
        <f t="shared" ca="1" si="249"/>
        <v>0</v>
      </c>
      <c r="Q168" s="587">
        <f t="shared" ca="1" si="249"/>
        <v>0</v>
      </c>
      <c r="R168" s="587">
        <f t="shared" ca="1" si="249"/>
        <v>0</v>
      </c>
      <c r="S168" s="587">
        <f t="shared" ref="S168:AP168" ca="1" si="250">SUM(S169:S176)</f>
        <v>223</v>
      </c>
      <c r="T168" s="587">
        <f t="shared" ca="1" si="250"/>
        <v>227.71</v>
      </c>
      <c r="U168" s="587">
        <f t="shared" ca="1" si="250"/>
        <v>497.74</v>
      </c>
      <c r="V168" s="587">
        <f t="shared" ca="1" si="250"/>
        <v>540.49</v>
      </c>
      <c r="W168" s="587">
        <f t="shared" ca="1" si="250"/>
        <v>1108.77</v>
      </c>
      <c r="X168" s="587">
        <f t="shared" ca="1" si="250"/>
        <v>1108.77</v>
      </c>
      <c r="Y168" s="587">
        <f t="shared" ca="1" si="250"/>
        <v>1678.66</v>
      </c>
      <c r="Z168" s="587">
        <f t="shared" ca="1" si="250"/>
        <v>2208.66</v>
      </c>
      <c r="AA168" s="587">
        <f t="shared" ca="1" si="250"/>
        <v>2208.66</v>
      </c>
      <c r="AB168" s="587">
        <f t="shared" ca="1" si="250"/>
        <v>2208.66</v>
      </c>
      <c r="AC168" s="587">
        <f t="shared" ca="1" si="250"/>
        <v>0</v>
      </c>
      <c r="AD168" s="587">
        <f t="shared" ca="1" si="250"/>
        <v>0</v>
      </c>
      <c r="AE168" s="587">
        <f t="shared" ca="1" si="250"/>
        <v>223</v>
      </c>
      <c r="AF168" s="587">
        <f t="shared" ca="1" si="250"/>
        <v>227.71</v>
      </c>
      <c r="AG168" s="587">
        <f t="shared" ca="1" si="250"/>
        <v>497.74</v>
      </c>
      <c r="AH168" s="587">
        <f t="shared" ca="1" si="250"/>
        <v>540.49</v>
      </c>
      <c r="AI168" s="587">
        <f t="shared" ca="1" si="250"/>
        <v>1108.77</v>
      </c>
      <c r="AJ168" s="587">
        <f t="shared" ca="1" si="250"/>
        <v>1108.77</v>
      </c>
      <c r="AK168" s="587">
        <f t="shared" ca="1" si="250"/>
        <v>1678.6599999999999</v>
      </c>
      <c r="AL168" s="587">
        <f t="shared" ca="1" si="250"/>
        <v>2208.66</v>
      </c>
      <c r="AM168" s="587">
        <f t="shared" ca="1" si="250"/>
        <v>2208.66</v>
      </c>
      <c r="AN168" s="587">
        <f t="shared" ca="1" si="250"/>
        <v>2208.66</v>
      </c>
      <c r="AO168" s="587">
        <f t="shared" ca="1" si="250"/>
        <v>2208.66</v>
      </c>
      <c r="AP168" s="587">
        <f t="shared" ca="1" si="250"/>
        <v>2208.66</v>
      </c>
    </row>
    <row r="169" spans="1:42" s="594" customFormat="1" ht="11.25" outlineLevel="1" x14ac:dyDescent="0.2">
      <c r="A169" s="590"/>
      <c r="B169" s="591" t="str">
        <f>IF(D169&lt;&gt;"",
IF(ISERROR(MATCH(D169,'Ist Aktuell Monat 01'!A:A,0))=FALSE,INDEX('Ist Aktuell Monat 01'!B:B,MATCH(D169,'Ist Aktuell Monat 01'!A:A,0)),
IF(ISERROR(MATCH(D169,'Ist Aktuell Monat 02'!A:A,0))=FALSE,INDEX('Ist Aktuell Monat 02'!B:B,MATCH(D169,'Ist Aktuell Monat 02'!A:A,0)),
IF(ISERROR(MATCH(D169,'Ist Aktuell Monat 03'!A:A,0))=FALSE,INDEX('Ist Aktuell Monat 03'!B:B,MATCH(D169,'Ist Aktuell Monat 03'!A:A,0)),
IF(ISERROR(MATCH(D169,'Ist Aktuell Monat 04'!A:A,0))=FALSE,INDEX('Ist Aktuell Monat 04'!B:B,MATCH(D169,'Ist Aktuell Monat 04'!A:A,0)),
IF(ISERROR(MATCH(D169,'Ist Aktuell Monat 05'!A:A,0))=FALSE,INDEX('Ist Aktuell Monat 05'!B:B,MATCH(D169,'Ist Aktuell Monat 05'!A:A,0)),
IF(ISERROR(MATCH(D169,'Ist Aktuell Monat 06'!A:A,0))=FALSE,INDEX('Ist Aktuell Monat 06'!B:B,MATCH(D169,'Ist Aktuell Monat 06'!A:A,0)),
IF(ISERROR(MATCH(D169,'Ist Aktuell Monat 07'!A:A,0))=FALSE,INDEX('Ist Aktuell Monat 07'!B:B,MATCH(D169,'Ist Aktuell Monat 07'!A:A,0)),
IF(ISERROR(MATCH(D169,'Ist Aktuell Monat 08'!A:A,0))=FALSE,INDEX('Ist Aktuell Monat 08'!B:B,MATCH(D169,'Ist Aktuell Monat 08'!A:A,0)),
IF(ISERROR(MATCH(D169,'Ist Aktuell Monat 09'!A:A,0))=FALSE,INDEX('Ist Aktuell Monat 09'!B:B,MATCH(D169,'Ist Aktuell Monat 09'!A:A,0)),
IF(ISERROR(MATCH(D169,'Ist Aktuell Monat 10'!A:A,0))=FALSE,INDEX('Ist Aktuell Monat 10'!B:B,MATCH(D169,'Ist Aktuell Monat 10'!A:A,0)),
IF(ISERROR(MATCH(D169,'Ist Aktuell Monat 11'!A:A,0))=FALSE,INDEX('Ist Aktuell Monat 11'!B:B,MATCH(D169,'Ist Aktuell Monat 11'!A:A,0)),
IF(ISERROR(MATCH(D169,'Ist Aktuell Monat 12'!A:A,0))=FALSE,INDEX('Ist Aktuell Monat 12'!B:B,MATCH(D169,'Ist Aktuell Monat 12'!A:A,0)),
"{Konto unbekannt}"
)))))))))))),"")</f>
        <v>Reinigung</v>
      </c>
      <c r="C169" s="591"/>
      <c r="D169" s="590">
        <v>4250</v>
      </c>
      <c r="E169" s="592">
        <f t="shared" si="171"/>
        <v>1</v>
      </c>
      <c r="F169" s="590"/>
      <c r="G169" s="593">
        <f ca="1">$E169*(-SUMIF(INDIRECT(G$3),'Struktur Aktuell'!$D169,INDIRECT(G$4))+SUMIF(INDIRECT(G$3),'Struktur Aktuell'!$D169,INDIRECT(G$5)))</f>
        <v>223</v>
      </c>
      <c r="H169" s="593">
        <f ca="1">$E169*(-SUMIF(INDIRECT(H$3),'Struktur Aktuell'!$D169,INDIRECT(H$4))+SUMIF(INDIRECT(H$3),'Struktur Aktuell'!$D169,INDIRECT(H$5)))</f>
        <v>4.71</v>
      </c>
      <c r="I169" s="593">
        <f ca="1">$E169*(-SUMIF(INDIRECT(I$3),'Struktur Aktuell'!$D169,INDIRECT(I$4))+SUMIF(INDIRECT(I$3),'Struktur Aktuell'!$D169,INDIRECT(I$5)))</f>
        <v>223</v>
      </c>
      <c r="J169" s="593">
        <f ca="1">$E169*(-SUMIF(INDIRECT(J$3),'Struktur Aktuell'!$D169,INDIRECT(J$4))+SUMIF(INDIRECT(J$3),'Struktur Aktuell'!$D169,INDIRECT(J$5)))</f>
        <v>0</v>
      </c>
      <c r="K169" s="593">
        <f ca="1">$E169*(-SUMIF(INDIRECT(K$3),'Struktur Aktuell'!$D169,INDIRECT(K$4))+SUMIF(INDIRECT(K$3),'Struktur Aktuell'!$D169,INDIRECT(K$5)))</f>
        <v>0</v>
      </c>
      <c r="L169" s="593">
        <f ca="1">$E169*(-SUMIF(INDIRECT(L$3),'Struktur Aktuell'!$D169,INDIRECT(L$4))+SUMIF(INDIRECT(L$3),'Struktur Aktuell'!$D169,INDIRECT(L$5)))</f>
        <v>0</v>
      </c>
      <c r="M169" s="593">
        <f ca="1">$E169*(-SUMIF(INDIRECT(M$3),'Struktur Aktuell'!$D169,INDIRECT(M$4))+SUMIF(INDIRECT(M$3),'Struktur Aktuell'!$D169,INDIRECT(M$5)))</f>
        <v>0</v>
      </c>
      <c r="N169" s="593">
        <f ca="1">$E169*(-SUMIF(INDIRECT(N$3),'Struktur Aktuell'!$D169,INDIRECT(N$4))+SUMIF(INDIRECT(N$3),'Struktur Aktuell'!$D169,INDIRECT(N$5)))</f>
        <v>0</v>
      </c>
      <c r="O169" s="593">
        <f ca="1">$E169*(-SUMIF(INDIRECT(O$3),'Struktur Aktuell'!$D169,INDIRECT(O$4))+SUMIF(INDIRECT(O$3),'Struktur Aktuell'!$D169,INDIRECT(O$5)))</f>
        <v>0</v>
      </c>
      <c r="P169" s="593">
        <f ca="1">$E169*(-SUMIF(INDIRECT(P$3),'Struktur Aktuell'!$D169,INDIRECT(P$4))+SUMIF(INDIRECT(P$3),'Struktur Aktuell'!$D169,INDIRECT(P$5)))</f>
        <v>0</v>
      </c>
      <c r="Q169" s="593">
        <f ca="1">$E169*(-SUMIF(INDIRECT(Q$3),'Struktur Aktuell'!$D169,INDIRECT(Q$4))+SUMIF(INDIRECT(Q$3),'Struktur Aktuell'!$D169,INDIRECT(Q$5)))</f>
        <v>0</v>
      </c>
      <c r="R169" s="593">
        <f ca="1">$E169*(-SUMIF(INDIRECT(R$3),'Struktur Aktuell'!$D169,INDIRECT(R$4))+SUMIF(INDIRECT(R$3),'Struktur Aktuell'!$D169,INDIRECT(R$5)))</f>
        <v>0</v>
      </c>
      <c r="S169" s="593">
        <f ca="1">$E169*(-SUMIF(INDIRECT(S$3),'Struktur Aktuell'!$D169,INDIRECT(S$4))+SUMIF(INDIRECT(S$3),'Struktur Aktuell'!$D169,INDIRECT(S$5)))</f>
        <v>223</v>
      </c>
      <c r="T169" s="593">
        <f ca="1">$E169*(-SUMIF(INDIRECT(T$3),'Struktur Aktuell'!$D169,INDIRECT(T$4))+SUMIF(INDIRECT(T$3),'Struktur Aktuell'!$D169,INDIRECT(T$5)))</f>
        <v>227.71</v>
      </c>
      <c r="U169" s="593">
        <f ca="1">$E169*(-SUMIF(INDIRECT(U$3),'Struktur Aktuell'!$D169,INDIRECT(U$4))+SUMIF(INDIRECT(U$3),'Struktur Aktuell'!$D169,INDIRECT(U$5)))</f>
        <v>450.71</v>
      </c>
      <c r="V169" s="593">
        <f ca="1">$E169*(-SUMIF(INDIRECT(V$3),'Struktur Aktuell'!$D169,INDIRECT(V$4))+SUMIF(INDIRECT(V$3),'Struktur Aktuell'!$D169,INDIRECT(V$5)))</f>
        <v>450.71</v>
      </c>
      <c r="W169" s="593">
        <f ca="1">$E169*(-SUMIF(INDIRECT(W$3),'Struktur Aktuell'!$D169,INDIRECT(W$4))+SUMIF(INDIRECT(W$3),'Struktur Aktuell'!$D169,INDIRECT(W$5)))</f>
        <v>450.71</v>
      </c>
      <c r="X169" s="593">
        <f ca="1">$E169*(-SUMIF(INDIRECT(X$3),'Struktur Aktuell'!$D169,INDIRECT(X$4))+SUMIF(INDIRECT(X$3),'Struktur Aktuell'!$D169,INDIRECT(X$5)))</f>
        <v>450.71</v>
      </c>
      <c r="Y169" s="593">
        <f ca="1">$E169*(-SUMIF(INDIRECT(Y$3),'Struktur Aktuell'!$D169,INDIRECT(Y$4))+SUMIF(INDIRECT(Y$3),'Struktur Aktuell'!$D169,INDIRECT(Y$5)))</f>
        <v>450.71</v>
      </c>
      <c r="Z169" s="593">
        <f ca="1">$E169*(-SUMIF(INDIRECT(Z$3),'Struktur Aktuell'!$D169,INDIRECT(Z$4))+SUMIF(INDIRECT(Z$3),'Struktur Aktuell'!$D169,INDIRECT(Z$5)))</f>
        <v>450.71</v>
      </c>
      <c r="AA169" s="593">
        <f ca="1">$E169*(-SUMIF(INDIRECT(AA$3),'Struktur Aktuell'!$D169,INDIRECT(AA$4))+SUMIF(INDIRECT(AA$3),'Struktur Aktuell'!$D169,INDIRECT(AA$5)))</f>
        <v>450.71</v>
      </c>
      <c r="AB169" s="593">
        <f ca="1">$E169*(-SUMIF(INDIRECT(AB$3),'Struktur Aktuell'!$D169,INDIRECT(AB$4))+SUMIF(INDIRECT(AB$3),'Struktur Aktuell'!$D169,INDIRECT(AB$5)))</f>
        <v>450.71</v>
      </c>
      <c r="AC169" s="593">
        <f ca="1">$E169*(-SUMIF(INDIRECT(AC$3),'Struktur Aktuell'!$D169,INDIRECT(AC$4))+SUMIF(INDIRECT(AC$3),'Struktur Aktuell'!$D169,INDIRECT(AC$5)))</f>
        <v>0</v>
      </c>
      <c r="AD169" s="593">
        <f ca="1">$E169*(-SUMIF(INDIRECT(AD$3),'Struktur Aktuell'!$D169,INDIRECT(AD$4))+SUMIF(INDIRECT(AD$3),'Struktur Aktuell'!$D169,INDIRECT(AD$5)))</f>
        <v>0</v>
      </c>
      <c r="AE169" s="593">
        <f t="shared" ref="AE169:AE176" ca="1" si="251">G169</f>
        <v>223</v>
      </c>
      <c r="AF169" s="593">
        <f t="shared" ref="AF169:AF176" ca="1" si="252">H169+AE169</f>
        <v>227.71</v>
      </c>
      <c r="AG169" s="593">
        <f t="shared" ref="AG169:AG176" ca="1" si="253">I169+AF169</f>
        <v>450.71000000000004</v>
      </c>
      <c r="AH169" s="593">
        <f t="shared" ref="AH169:AH176" ca="1" si="254">J169+AG169</f>
        <v>450.71000000000004</v>
      </c>
      <c r="AI169" s="593">
        <f t="shared" ref="AI169:AI176" ca="1" si="255">K169+AH169</f>
        <v>450.71000000000004</v>
      </c>
      <c r="AJ169" s="593">
        <f t="shared" ref="AJ169:AJ176" ca="1" si="256">L169+AI169</f>
        <v>450.71000000000004</v>
      </c>
      <c r="AK169" s="593">
        <f t="shared" ref="AK169:AK176" ca="1" si="257">M169+AJ169</f>
        <v>450.71000000000004</v>
      </c>
      <c r="AL169" s="593">
        <f t="shared" ref="AL169:AL176" ca="1" si="258">N169+AK169</f>
        <v>450.71000000000004</v>
      </c>
      <c r="AM169" s="593">
        <f t="shared" ref="AM169:AM176" ca="1" si="259">O169+AL169</f>
        <v>450.71000000000004</v>
      </c>
      <c r="AN169" s="593">
        <f t="shared" ref="AN169:AN176" ca="1" si="260">P169+AM169</f>
        <v>450.71000000000004</v>
      </c>
      <c r="AO169" s="593">
        <f t="shared" ref="AO169:AO176" ca="1" si="261">Q169+AN169</f>
        <v>450.71000000000004</v>
      </c>
      <c r="AP169" s="593">
        <f t="shared" ref="AP169:AP176" ca="1" si="262">R169+AO169</f>
        <v>450.71000000000004</v>
      </c>
    </row>
    <row r="170" spans="1:42" s="594" customFormat="1" ht="11.25" outlineLevel="1" x14ac:dyDescent="0.2">
      <c r="A170" s="590"/>
      <c r="B170" s="591" t="str">
        <f>IF(D170&lt;&gt;"",
IF(ISERROR(MATCH(D170,'Ist Aktuell Monat 01'!A:A,0))=FALSE,INDEX('Ist Aktuell Monat 01'!B:B,MATCH(D170,'Ist Aktuell Monat 01'!A:A,0)),
IF(ISERROR(MATCH(D170,'Ist Aktuell Monat 02'!A:A,0))=FALSE,INDEX('Ist Aktuell Monat 02'!B:B,MATCH(D170,'Ist Aktuell Monat 02'!A:A,0)),
IF(ISERROR(MATCH(D170,'Ist Aktuell Monat 03'!A:A,0))=FALSE,INDEX('Ist Aktuell Monat 03'!B:B,MATCH(D170,'Ist Aktuell Monat 03'!A:A,0)),
IF(ISERROR(MATCH(D170,'Ist Aktuell Monat 04'!A:A,0))=FALSE,INDEX('Ist Aktuell Monat 04'!B:B,MATCH(D170,'Ist Aktuell Monat 04'!A:A,0)),
IF(ISERROR(MATCH(D170,'Ist Aktuell Monat 05'!A:A,0))=FALSE,INDEX('Ist Aktuell Monat 05'!B:B,MATCH(D170,'Ist Aktuell Monat 05'!A:A,0)),
IF(ISERROR(MATCH(D170,'Ist Aktuell Monat 06'!A:A,0))=FALSE,INDEX('Ist Aktuell Monat 06'!B:B,MATCH(D170,'Ist Aktuell Monat 06'!A:A,0)),
IF(ISERROR(MATCH(D170,'Ist Aktuell Monat 07'!A:A,0))=FALSE,INDEX('Ist Aktuell Monat 07'!B:B,MATCH(D170,'Ist Aktuell Monat 07'!A:A,0)),
IF(ISERROR(MATCH(D170,'Ist Aktuell Monat 08'!A:A,0))=FALSE,INDEX('Ist Aktuell Monat 08'!B:B,MATCH(D170,'Ist Aktuell Monat 08'!A:A,0)),
IF(ISERROR(MATCH(D170,'Ist Aktuell Monat 09'!A:A,0))=FALSE,INDEX('Ist Aktuell Monat 09'!B:B,MATCH(D170,'Ist Aktuell Monat 09'!A:A,0)),
IF(ISERROR(MATCH(D170,'Ist Aktuell Monat 10'!A:A,0))=FALSE,INDEX('Ist Aktuell Monat 10'!B:B,MATCH(D170,'Ist Aktuell Monat 10'!A:A,0)),
IF(ISERROR(MATCH(D170,'Ist Aktuell Monat 11'!A:A,0))=FALSE,INDEX('Ist Aktuell Monat 11'!B:B,MATCH(D170,'Ist Aktuell Monat 11'!A:A,0)),
IF(ISERROR(MATCH(D170,'Ist Aktuell Monat 12'!A:A,0))=FALSE,INDEX('Ist Aktuell Monat 12'!B:B,MATCH(D170,'Ist Aktuell Monat 12'!A:A,0)),
"{Konto unbekannt}"
)))))))))))),"")</f>
        <v>CM_Renovierung Büro und Außenanlage</v>
      </c>
      <c r="C170" s="591"/>
      <c r="D170" s="590">
        <v>4261</v>
      </c>
      <c r="E170" s="592">
        <f t="shared" si="171"/>
        <v>1</v>
      </c>
      <c r="F170" s="590"/>
      <c r="G170" s="593">
        <f ca="1">$E170*(-SUMIF(INDIRECT(G$3),'Struktur Aktuell'!$D170,INDIRECT(G$4))+SUMIF(INDIRECT(G$3),'Struktur Aktuell'!$D170,INDIRECT(G$5)))</f>
        <v>0</v>
      </c>
      <c r="H170" s="593">
        <f ca="1">$E170*(-SUMIF(INDIRECT(H$3),'Struktur Aktuell'!$D170,INDIRECT(H$4))+SUMIF(INDIRECT(H$3),'Struktur Aktuell'!$D170,INDIRECT(H$5)))</f>
        <v>0</v>
      </c>
      <c r="I170" s="593">
        <f ca="1">$E170*(-SUMIF(INDIRECT(I$3),'Struktur Aktuell'!$D170,INDIRECT(I$4))+SUMIF(INDIRECT(I$3),'Struktur Aktuell'!$D170,INDIRECT(I$5)))</f>
        <v>47.03</v>
      </c>
      <c r="J170" s="593">
        <f ca="1">$E170*(-SUMIF(INDIRECT(J$3),'Struktur Aktuell'!$D170,INDIRECT(J$4))+SUMIF(INDIRECT(J$3),'Struktur Aktuell'!$D170,INDIRECT(J$5)))</f>
        <v>42.75</v>
      </c>
      <c r="K170" s="593">
        <f ca="1">$E170*(-SUMIF(INDIRECT(K$3),'Struktur Aktuell'!$D170,INDIRECT(K$4))+SUMIF(INDIRECT(K$3),'Struktur Aktuell'!$D170,INDIRECT(K$5)))</f>
        <v>568.28</v>
      </c>
      <c r="L170" s="593">
        <f ca="1">$E170*(-SUMIF(INDIRECT(L$3),'Struktur Aktuell'!$D170,INDIRECT(L$4))+SUMIF(INDIRECT(L$3),'Struktur Aktuell'!$D170,INDIRECT(L$5)))</f>
        <v>0</v>
      </c>
      <c r="M170" s="593">
        <f ca="1">$E170*(-SUMIF(INDIRECT(M$3),'Struktur Aktuell'!$D170,INDIRECT(M$4))+SUMIF(INDIRECT(M$3),'Struktur Aktuell'!$D170,INDIRECT(M$5)))</f>
        <v>569.89</v>
      </c>
      <c r="N170" s="593">
        <f ca="1">$E170*(-SUMIF(INDIRECT(N$3),'Struktur Aktuell'!$D170,INDIRECT(N$4))+SUMIF(INDIRECT(N$3),'Struktur Aktuell'!$D170,INDIRECT(N$5)))</f>
        <v>530</v>
      </c>
      <c r="O170" s="593">
        <f ca="1">$E170*(-SUMIF(INDIRECT(O$3),'Struktur Aktuell'!$D170,INDIRECT(O$4))+SUMIF(INDIRECT(O$3),'Struktur Aktuell'!$D170,INDIRECT(O$5)))</f>
        <v>0</v>
      </c>
      <c r="P170" s="593">
        <f ca="1">$E170*(-SUMIF(INDIRECT(P$3),'Struktur Aktuell'!$D170,INDIRECT(P$4))+SUMIF(INDIRECT(P$3),'Struktur Aktuell'!$D170,INDIRECT(P$5)))</f>
        <v>0</v>
      </c>
      <c r="Q170" s="593">
        <f ca="1">$E170*(-SUMIF(INDIRECT(Q$3),'Struktur Aktuell'!$D170,INDIRECT(Q$4))+SUMIF(INDIRECT(Q$3),'Struktur Aktuell'!$D170,INDIRECT(Q$5)))</f>
        <v>0</v>
      </c>
      <c r="R170" s="593">
        <f ca="1">$E170*(-SUMIF(INDIRECT(R$3),'Struktur Aktuell'!$D170,INDIRECT(R$4))+SUMIF(INDIRECT(R$3),'Struktur Aktuell'!$D170,INDIRECT(R$5)))</f>
        <v>0</v>
      </c>
      <c r="S170" s="593">
        <f ca="1">$E170*(-SUMIF(INDIRECT(S$3),'Struktur Aktuell'!$D170,INDIRECT(S$4))+SUMIF(INDIRECT(S$3),'Struktur Aktuell'!$D170,INDIRECT(S$5)))</f>
        <v>0</v>
      </c>
      <c r="T170" s="593">
        <f ca="1">$E170*(-SUMIF(INDIRECT(T$3),'Struktur Aktuell'!$D170,INDIRECT(T$4))+SUMIF(INDIRECT(T$3),'Struktur Aktuell'!$D170,INDIRECT(T$5)))</f>
        <v>0</v>
      </c>
      <c r="U170" s="593">
        <f ca="1">$E170*(-SUMIF(INDIRECT(U$3),'Struktur Aktuell'!$D170,INDIRECT(U$4))+SUMIF(INDIRECT(U$3),'Struktur Aktuell'!$D170,INDIRECT(U$5)))</f>
        <v>47.03</v>
      </c>
      <c r="V170" s="593">
        <f ca="1">$E170*(-SUMIF(INDIRECT(V$3),'Struktur Aktuell'!$D170,INDIRECT(V$4))+SUMIF(INDIRECT(V$3),'Struktur Aktuell'!$D170,INDIRECT(V$5)))</f>
        <v>89.78</v>
      </c>
      <c r="W170" s="593">
        <f ca="1">$E170*(-SUMIF(INDIRECT(W$3),'Struktur Aktuell'!$D170,INDIRECT(W$4))+SUMIF(INDIRECT(W$3),'Struktur Aktuell'!$D170,INDIRECT(W$5)))</f>
        <v>658.06</v>
      </c>
      <c r="X170" s="593">
        <f ca="1">$E170*(-SUMIF(INDIRECT(X$3),'Struktur Aktuell'!$D170,INDIRECT(X$4))+SUMIF(INDIRECT(X$3),'Struktur Aktuell'!$D170,INDIRECT(X$5)))</f>
        <v>658.06</v>
      </c>
      <c r="Y170" s="593">
        <f ca="1">$E170*(-SUMIF(INDIRECT(Y$3),'Struktur Aktuell'!$D170,INDIRECT(Y$4))+SUMIF(INDIRECT(Y$3),'Struktur Aktuell'!$D170,INDIRECT(Y$5)))</f>
        <v>1227.95</v>
      </c>
      <c r="Z170" s="593">
        <f ca="1">$E170*(-SUMIF(INDIRECT(Z$3),'Struktur Aktuell'!$D170,INDIRECT(Z$4))+SUMIF(INDIRECT(Z$3),'Struktur Aktuell'!$D170,INDIRECT(Z$5)))</f>
        <v>1757.95</v>
      </c>
      <c r="AA170" s="593">
        <f ca="1">$E170*(-SUMIF(INDIRECT(AA$3),'Struktur Aktuell'!$D170,INDIRECT(AA$4))+SUMIF(INDIRECT(AA$3),'Struktur Aktuell'!$D170,INDIRECT(AA$5)))</f>
        <v>1757.95</v>
      </c>
      <c r="AB170" s="593">
        <f ca="1">$E170*(-SUMIF(INDIRECT(AB$3),'Struktur Aktuell'!$D170,INDIRECT(AB$4))+SUMIF(INDIRECT(AB$3),'Struktur Aktuell'!$D170,INDIRECT(AB$5)))</f>
        <v>1757.95</v>
      </c>
      <c r="AC170" s="593">
        <f ca="1">$E170*(-SUMIF(INDIRECT(AC$3),'Struktur Aktuell'!$D170,INDIRECT(AC$4))+SUMIF(INDIRECT(AC$3),'Struktur Aktuell'!$D170,INDIRECT(AC$5)))</f>
        <v>0</v>
      </c>
      <c r="AD170" s="593">
        <f ca="1">$E170*(-SUMIF(INDIRECT(AD$3),'Struktur Aktuell'!$D170,INDIRECT(AD$4))+SUMIF(INDIRECT(AD$3),'Struktur Aktuell'!$D170,INDIRECT(AD$5)))</f>
        <v>0</v>
      </c>
      <c r="AE170" s="593">
        <f t="shared" ca="1" si="251"/>
        <v>0</v>
      </c>
      <c r="AF170" s="593">
        <f t="shared" ca="1" si="252"/>
        <v>0</v>
      </c>
      <c r="AG170" s="593">
        <f t="shared" ca="1" si="253"/>
        <v>47.03</v>
      </c>
      <c r="AH170" s="593">
        <f t="shared" ca="1" si="254"/>
        <v>89.78</v>
      </c>
      <c r="AI170" s="593">
        <f t="shared" ca="1" si="255"/>
        <v>658.06</v>
      </c>
      <c r="AJ170" s="593">
        <f t="shared" ca="1" si="256"/>
        <v>658.06</v>
      </c>
      <c r="AK170" s="593">
        <f t="shared" ca="1" si="257"/>
        <v>1227.9499999999998</v>
      </c>
      <c r="AL170" s="593">
        <f t="shared" ca="1" si="258"/>
        <v>1757.9499999999998</v>
      </c>
      <c r="AM170" s="593">
        <f t="shared" ca="1" si="259"/>
        <v>1757.9499999999998</v>
      </c>
      <c r="AN170" s="593">
        <f t="shared" ca="1" si="260"/>
        <v>1757.9499999999998</v>
      </c>
      <c r="AO170" s="593">
        <f t="shared" ca="1" si="261"/>
        <v>1757.9499999999998</v>
      </c>
      <c r="AP170" s="593">
        <f t="shared" ca="1" si="262"/>
        <v>1757.9499999999998</v>
      </c>
    </row>
    <row r="171" spans="1:42" s="594" customFormat="1" ht="11.25" outlineLevel="1" x14ac:dyDescent="0.2">
      <c r="A171" s="590"/>
      <c r="B171" s="591" t="str">
        <f>IF(D171&lt;&gt;"",
IF(ISERROR(MATCH(D171,'Ist Aktuell Monat 01'!A:A,0))=FALSE,INDEX('Ist Aktuell Monat 01'!B:B,MATCH(D171,'Ist Aktuell Monat 01'!A:A,0)),
IF(ISERROR(MATCH(D171,'Ist Aktuell Monat 02'!A:A,0))=FALSE,INDEX('Ist Aktuell Monat 02'!B:B,MATCH(D171,'Ist Aktuell Monat 02'!A:A,0)),
IF(ISERROR(MATCH(D171,'Ist Aktuell Monat 03'!A:A,0))=FALSE,INDEX('Ist Aktuell Monat 03'!B:B,MATCH(D171,'Ist Aktuell Monat 03'!A:A,0)),
IF(ISERROR(MATCH(D171,'Ist Aktuell Monat 04'!A:A,0))=FALSE,INDEX('Ist Aktuell Monat 04'!B:B,MATCH(D171,'Ist Aktuell Monat 04'!A:A,0)),
IF(ISERROR(MATCH(D171,'Ist Aktuell Monat 05'!A:A,0))=FALSE,INDEX('Ist Aktuell Monat 05'!B:B,MATCH(D171,'Ist Aktuell Monat 05'!A:A,0)),
IF(ISERROR(MATCH(D171,'Ist Aktuell Monat 06'!A:A,0))=FALSE,INDEX('Ist Aktuell Monat 06'!B:B,MATCH(D171,'Ist Aktuell Monat 06'!A:A,0)),
IF(ISERROR(MATCH(D171,'Ist Aktuell Monat 07'!A:A,0))=FALSE,INDEX('Ist Aktuell Monat 07'!B:B,MATCH(D171,'Ist Aktuell Monat 07'!A:A,0)),
IF(ISERROR(MATCH(D171,'Ist Aktuell Monat 08'!A:A,0))=FALSE,INDEX('Ist Aktuell Monat 08'!B:B,MATCH(D171,'Ist Aktuell Monat 08'!A:A,0)),
IF(ISERROR(MATCH(D171,'Ist Aktuell Monat 09'!A:A,0))=FALSE,INDEX('Ist Aktuell Monat 09'!B:B,MATCH(D171,'Ist Aktuell Monat 09'!A:A,0)),
IF(ISERROR(MATCH(D171,'Ist Aktuell Monat 10'!A:A,0))=FALSE,INDEX('Ist Aktuell Monat 10'!B:B,MATCH(D171,'Ist Aktuell Monat 10'!A:A,0)),
IF(ISERROR(MATCH(D171,'Ist Aktuell Monat 11'!A:A,0))=FALSE,INDEX('Ist Aktuell Monat 11'!B:B,MATCH(D171,'Ist Aktuell Monat 11'!A:A,0)),
IF(ISERROR(MATCH(D171,'Ist Aktuell Monat 12'!A:A,0))=FALSE,INDEX('Ist Aktuell Monat 12'!B:B,MATCH(D171,'Ist Aktuell Monat 12'!A:A,0)),
"{Konto unbekannt}"
)))))))))))),"")</f>
        <v/>
      </c>
      <c r="C171" s="591"/>
      <c r="D171" s="590"/>
      <c r="E171" s="592">
        <f t="shared" si="171"/>
        <v>1</v>
      </c>
      <c r="F171" s="590"/>
      <c r="G171" s="593">
        <f ca="1">$E171*(-SUMIF(INDIRECT(G$3),'Struktur Aktuell'!$D171,INDIRECT(G$4))+SUMIF(INDIRECT(G$3),'Struktur Aktuell'!$D171,INDIRECT(G$5)))</f>
        <v>0</v>
      </c>
      <c r="H171" s="593">
        <f ca="1">$E171*(-SUMIF(INDIRECT(H$3),'Struktur Aktuell'!$D171,INDIRECT(H$4))+SUMIF(INDIRECT(H$3),'Struktur Aktuell'!$D171,INDIRECT(H$5)))</f>
        <v>0</v>
      </c>
      <c r="I171" s="593">
        <f ca="1">$E171*(-SUMIF(INDIRECT(I$3),'Struktur Aktuell'!$D171,INDIRECT(I$4))+SUMIF(INDIRECT(I$3),'Struktur Aktuell'!$D171,INDIRECT(I$5)))</f>
        <v>0</v>
      </c>
      <c r="J171" s="593">
        <f ca="1">$E171*(-SUMIF(INDIRECT(J$3),'Struktur Aktuell'!$D171,INDIRECT(J$4))+SUMIF(INDIRECT(J$3),'Struktur Aktuell'!$D171,INDIRECT(J$5)))</f>
        <v>0</v>
      </c>
      <c r="K171" s="593">
        <f ca="1">$E171*(-SUMIF(INDIRECT(K$3),'Struktur Aktuell'!$D171,INDIRECT(K$4))+SUMIF(INDIRECT(K$3),'Struktur Aktuell'!$D171,INDIRECT(K$5)))</f>
        <v>0</v>
      </c>
      <c r="L171" s="593">
        <f ca="1">$E171*(-SUMIF(INDIRECT(L$3),'Struktur Aktuell'!$D171,INDIRECT(L$4))+SUMIF(INDIRECT(L$3),'Struktur Aktuell'!$D171,INDIRECT(L$5)))</f>
        <v>0</v>
      </c>
      <c r="M171" s="593">
        <f ca="1">$E171*(-SUMIF(INDIRECT(M$3),'Struktur Aktuell'!$D171,INDIRECT(M$4))+SUMIF(INDIRECT(M$3),'Struktur Aktuell'!$D171,INDIRECT(M$5)))</f>
        <v>0</v>
      </c>
      <c r="N171" s="593">
        <f ca="1">$E171*(-SUMIF(INDIRECT(N$3),'Struktur Aktuell'!$D171,INDIRECT(N$4))+SUMIF(INDIRECT(N$3),'Struktur Aktuell'!$D171,INDIRECT(N$5)))</f>
        <v>0</v>
      </c>
      <c r="O171" s="593">
        <f ca="1">$E171*(-SUMIF(INDIRECT(O$3),'Struktur Aktuell'!$D171,INDIRECT(O$4))+SUMIF(INDIRECT(O$3),'Struktur Aktuell'!$D171,INDIRECT(O$5)))</f>
        <v>0</v>
      </c>
      <c r="P171" s="593">
        <f ca="1">$E171*(-SUMIF(INDIRECT(P$3),'Struktur Aktuell'!$D171,INDIRECT(P$4))+SUMIF(INDIRECT(P$3),'Struktur Aktuell'!$D171,INDIRECT(P$5)))</f>
        <v>0</v>
      </c>
      <c r="Q171" s="593">
        <f ca="1">$E171*(-SUMIF(INDIRECT(Q$3),'Struktur Aktuell'!$D171,INDIRECT(Q$4))+SUMIF(INDIRECT(Q$3),'Struktur Aktuell'!$D171,INDIRECT(Q$5)))</f>
        <v>0</v>
      </c>
      <c r="R171" s="593">
        <f ca="1">$E171*(-SUMIF(INDIRECT(R$3),'Struktur Aktuell'!$D171,INDIRECT(R$4))+SUMIF(INDIRECT(R$3),'Struktur Aktuell'!$D171,INDIRECT(R$5)))</f>
        <v>0</v>
      </c>
      <c r="S171" s="593">
        <f ca="1">$E171*(-SUMIF(INDIRECT(S$3),'Struktur Aktuell'!$D171,INDIRECT(S$4))+SUMIF(INDIRECT(S$3),'Struktur Aktuell'!$D171,INDIRECT(S$5)))</f>
        <v>0</v>
      </c>
      <c r="T171" s="593">
        <f ca="1">$E171*(-SUMIF(INDIRECT(T$3),'Struktur Aktuell'!$D171,INDIRECT(T$4))+SUMIF(INDIRECT(T$3),'Struktur Aktuell'!$D171,INDIRECT(T$5)))</f>
        <v>0</v>
      </c>
      <c r="U171" s="593">
        <f ca="1">$E171*(-SUMIF(INDIRECT(U$3),'Struktur Aktuell'!$D171,INDIRECT(U$4))+SUMIF(INDIRECT(U$3),'Struktur Aktuell'!$D171,INDIRECT(U$5)))</f>
        <v>0</v>
      </c>
      <c r="V171" s="593">
        <f ca="1">$E171*(-SUMIF(INDIRECT(V$3),'Struktur Aktuell'!$D171,INDIRECT(V$4))+SUMIF(INDIRECT(V$3),'Struktur Aktuell'!$D171,INDIRECT(V$5)))</f>
        <v>0</v>
      </c>
      <c r="W171" s="593">
        <f ca="1">$E171*(-SUMIF(INDIRECT(W$3),'Struktur Aktuell'!$D171,INDIRECT(W$4))+SUMIF(INDIRECT(W$3),'Struktur Aktuell'!$D171,INDIRECT(W$5)))</f>
        <v>0</v>
      </c>
      <c r="X171" s="593">
        <f ca="1">$E171*(-SUMIF(INDIRECT(X$3),'Struktur Aktuell'!$D171,INDIRECT(X$4))+SUMIF(INDIRECT(X$3),'Struktur Aktuell'!$D171,INDIRECT(X$5)))</f>
        <v>0</v>
      </c>
      <c r="Y171" s="593">
        <f ca="1">$E171*(-SUMIF(INDIRECT(Y$3),'Struktur Aktuell'!$D171,INDIRECT(Y$4))+SUMIF(INDIRECT(Y$3),'Struktur Aktuell'!$D171,INDIRECT(Y$5)))</f>
        <v>0</v>
      </c>
      <c r="Z171" s="593">
        <f ca="1">$E171*(-SUMIF(INDIRECT(Z$3),'Struktur Aktuell'!$D171,INDIRECT(Z$4))+SUMIF(INDIRECT(Z$3),'Struktur Aktuell'!$D171,INDIRECT(Z$5)))</f>
        <v>0</v>
      </c>
      <c r="AA171" s="593">
        <f ca="1">$E171*(-SUMIF(INDIRECT(AA$3),'Struktur Aktuell'!$D171,INDIRECT(AA$4))+SUMIF(INDIRECT(AA$3),'Struktur Aktuell'!$D171,INDIRECT(AA$5)))</f>
        <v>0</v>
      </c>
      <c r="AB171" s="593">
        <f ca="1">$E171*(-SUMIF(INDIRECT(AB$3),'Struktur Aktuell'!$D171,INDIRECT(AB$4))+SUMIF(INDIRECT(AB$3),'Struktur Aktuell'!$D171,INDIRECT(AB$5)))</f>
        <v>0</v>
      </c>
      <c r="AC171" s="593">
        <f ca="1">$E171*(-SUMIF(INDIRECT(AC$3),'Struktur Aktuell'!$D171,INDIRECT(AC$4))+SUMIF(INDIRECT(AC$3),'Struktur Aktuell'!$D171,INDIRECT(AC$5)))</f>
        <v>0</v>
      </c>
      <c r="AD171" s="593">
        <f ca="1">$E171*(-SUMIF(INDIRECT(AD$3),'Struktur Aktuell'!$D171,INDIRECT(AD$4))+SUMIF(INDIRECT(AD$3),'Struktur Aktuell'!$D171,INDIRECT(AD$5)))</f>
        <v>0</v>
      </c>
      <c r="AE171" s="593">
        <f t="shared" ca="1" si="251"/>
        <v>0</v>
      </c>
      <c r="AF171" s="593">
        <f t="shared" ca="1" si="252"/>
        <v>0</v>
      </c>
      <c r="AG171" s="593">
        <f t="shared" ca="1" si="253"/>
        <v>0</v>
      </c>
      <c r="AH171" s="593">
        <f t="shared" ca="1" si="254"/>
        <v>0</v>
      </c>
      <c r="AI171" s="593">
        <f t="shared" ca="1" si="255"/>
        <v>0</v>
      </c>
      <c r="AJ171" s="593">
        <f t="shared" ca="1" si="256"/>
        <v>0</v>
      </c>
      <c r="AK171" s="593">
        <f t="shared" ca="1" si="257"/>
        <v>0</v>
      </c>
      <c r="AL171" s="593">
        <f t="shared" ca="1" si="258"/>
        <v>0</v>
      </c>
      <c r="AM171" s="593">
        <f t="shared" ca="1" si="259"/>
        <v>0</v>
      </c>
      <c r="AN171" s="593">
        <f t="shared" ca="1" si="260"/>
        <v>0</v>
      </c>
      <c r="AO171" s="593">
        <f t="shared" ca="1" si="261"/>
        <v>0</v>
      </c>
      <c r="AP171" s="593">
        <f t="shared" ca="1" si="262"/>
        <v>0</v>
      </c>
    </row>
    <row r="172" spans="1:42" s="594" customFormat="1" ht="11.25" outlineLevel="1" x14ac:dyDescent="0.2">
      <c r="A172" s="590"/>
      <c r="B172" s="591" t="str">
        <f>IF(D172&lt;&gt;"",
IF(ISERROR(MATCH(D172,'Ist Aktuell Monat 01'!A:A,0))=FALSE,INDEX('Ist Aktuell Monat 01'!B:B,MATCH(D172,'Ist Aktuell Monat 01'!A:A,0)),
IF(ISERROR(MATCH(D172,'Ist Aktuell Monat 02'!A:A,0))=FALSE,INDEX('Ist Aktuell Monat 02'!B:B,MATCH(D172,'Ist Aktuell Monat 02'!A:A,0)),
IF(ISERROR(MATCH(D172,'Ist Aktuell Monat 03'!A:A,0))=FALSE,INDEX('Ist Aktuell Monat 03'!B:B,MATCH(D172,'Ist Aktuell Monat 03'!A:A,0)),
IF(ISERROR(MATCH(D172,'Ist Aktuell Monat 04'!A:A,0))=FALSE,INDEX('Ist Aktuell Monat 04'!B:B,MATCH(D172,'Ist Aktuell Monat 04'!A:A,0)),
IF(ISERROR(MATCH(D172,'Ist Aktuell Monat 05'!A:A,0))=FALSE,INDEX('Ist Aktuell Monat 05'!B:B,MATCH(D172,'Ist Aktuell Monat 05'!A:A,0)),
IF(ISERROR(MATCH(D172,'Ist Aktuell Monat 06'!A:A,0))=FALSE,INDEX('Ist Aktuell Monat 06'!B:B,MATCH(D172,'Ist Aktuell Monat 06'!A:A,0)),
IF(ISERROR(MATCH(D172,'Ist Aktuell Monat 07'!A:A,0))=FALSE,INDEX('Ist Aktuell Monat 07'!B:B,MATCH(D172,'Ist Aktuell Monat 07'!A:A,0)),
IF(ISERROR(MATCH(D172,'Ist Aktuell Monat 08'!A:A,0))=FALSE,INDEX('Ist Aktuell Monat 08'!B:B,MATCH(D172,'Ist Aktuell Monat 08'!A:A,0)),
IF(ISERROR(MATCH(D172,'Ist Aktuell Monat 09'!A:A,0))=FALSE,INDEX('Ist Aktuell Monat 09'!B:B,MATCH(D172,'Ist Aktuell Monat 09'!A:A,0)),
IF(ISERROR(MATCH(D172,'Ist Aktuell Monat 10'!A:A,0))=FALSE,INDEX('Ist Aktuell Monat 10'!B:B,MATCH(D172,'Ist Aktuell Monat 10'!A:A,0)),
IF(ISERROR(MATCH(D172,'Ist Aktuell Monat 11'!A:A,0))=FALSE,INDEX('Ist Aktuell Monat 11'!B:B,MATCH(D172,'Ist Aktuell Monat 11'!A:A,0)),
IF(ISERROR(MATCH(D172,'Ist Aktuell Monat 12'!A:A,0))=FALSE,INDEX('Ist Aktuell Monat 12'!B:B,MATCH(D172,'Ist Aktuell Monat 12'!A:A,0)),
"{Konto unbekannt}"
)))))))))))),"")</f>
        <v/>
      </c>
      <c r="C172" s="591"/>
      <c r="D172" s="590"/>
      <c r="E172" s="592">
        <f t="shared" si="171"/>
        <v>1</v>
      </c>
      <c r="F172" s="590"/>
      <c r="G172" s="593">
        <f ca="1">$E172*(-SUMIF(INDIRECT(G$3),'Struktur Aktuell'!$D172,INDIRECT(G$4))+SUMIF(INDIRECT(G$3),'Struktur Aktuell'!$D172,INDIRECT(G$5)))</f>
        <v>0</v>
      </c>
      <c r="H172" s="593">
        <f ca="1">$E172*(-SUMIF(INDIRECT(H$3),'Struktur Aktuell'!$D172,INDIRECT(H$4))+SUMIF(INDIRECT(H$3),'Struktur Aktuell'!$D172,INDIRECT(H$5)))</f>
        <v>0</v>
      </c>
      <c r="I172" s="593">
        <f ca="1">$E172*(-SUMIF(INDIRECT(I$3),'Struktur Aktuell'!$D172,INDIRECT(I$4))+SUMIF(INDIRECT(I$3),'Struktur Aktuell'!$D172,INDIRECT(I$5)))</f>
        <v>0</v>
      </c>
      <c r="J172" s="593">
        <f ca="1">$E172*(-SUMIF(INDIRECT(J$3),'Struktur Aktuell'!$D172,INDIRECT(J$4))+SUMIF(INDIRECT(J$3),'Struktur Aktuell'!$D172,INDIRECT(J$5)))</f>
        <v>0</v>
      </c>
      <c r="K172" s="593">
        <f ca="1">$E172*(-SUMIF(INDIRECT(K$3),'Struktur Aktuell'!$D172,INDIRECT(K$4))+SUMIF(INDIRECT(K$3),'Struktur Aktuell'!$D172,INDIRECT(K$5)))</f>
        <v>0</v>
      </c>
      <c r="L172" s="593">
        <f ca="1">$E172*(-SUMIF(INDIRECT(L$3),'Struktur Aktuell'!$D172,INDIRECT(L$4))+SUMIF(INDIRECT(L$3),'Struktur Aktuell'!$D172,INDIRECT(L$5)))</f>
        <v>0</v>
      </c>
      <c r="M172" s="593">
        <f ca="1">$E172*(-SUMIF(INDIRECT(M$3),'Struktur Aktuell'!$D172,INDIRECT(M$4))+SUMIF(INDIRECT(M$3),'Struktur Aktuell'!$D172,INDIRECT(M$5)))</f>
        <v>0</v>
      </c>
      <c r="N172" s="593">
        <f ca="1">$E172*(-SUMIF(INDIRECT(N$3),'Struktur Aktuell'!$D172,INDIRECT(N$4))+SUMIF(INDIRECT(N$3),'Struktur Aktuell'!$D172,INDIRECT(N$5)))</f>
        <v>0</v>
      </c>
      <c r="O172" s="593">
        <f ca="1">$E172*(-SUMIF(INDIRECT(O$3),'Struktur Aktuell'!$D172,INDIRECT(O$4))+SUMIF(INDIRECT(O$3),'Struktur Aktuell'!$D172,INDIRECT(O$5)))</f>
        <v>0</v>
      </c>
      <c r="P172" s="593">
        <f ca="1">$E172*(-SUMIF(INDIRECT(P$3),'Struktur Aktuell'!$D172,INDIRECT(P$4))+SUMIF(INDIRECT(P$3),'Struktur Aktuell'!$D172,INDIRECT(P$5)))</f>
        <v>0</v>
      </c>
      <c r="Q172" s="593">
        <f ca="1">$E172*(-SUMIF(INDIRECT(Q$3),'Struktur Aktuell'!$D172,INDIRECT(Q$4))+SUMIF(INDIRECT(Q$3),'Struktur Aktuell'!$D172,INDIRECT(Q$5)))</f>
        <v>0</v>
      </c>
      <c r="R172" s="593">
        <f ca="1">$E172*(-SUMIF(INDIRECT(R$3),'Struktur Aktuell'!$D172,INDIRECT(R$4))+SUMIF(INDIRECT(R$3),'Struktur Aktuell'!$D172,INDIRECT(R$5)))</f>
        <v>0</v>
      </c>
      <c r="S172" s="593">
        <f ca="1">$E172*(-SUMIF(INDIRECT(S$3),'Struktur Aktuell'!$D172,INDIRECT(S$4))+SUMIF(INDIRECT(S$3),'Struktur Aktuell'!$D172,INDIRECT(S$5)))</f>
        <v>0</v>
      </c>
      <c r="T172" s="593">
        <f ca="1">$E172*(-SUMIF(INDIRECT(T$3),'Struktur Aktuell'!$D172,INDIRECT(T$4))+SUMIF(INDIRECT(T$3),'Struktur Aktuell'!$D172,INDIRECT(T$5)))</f>
        <v>0</v>
      </c>
      <c r="U172" s="593">
        <f ca="1">$E172*(-SUMIF(INDIRECT(U$3),'Struktur Aktuell'!$D172,INDIRECT(U$4))+SUMIF(INDIRECT(U$3),'Struktur Aktuell'!$D172,INDIRECT(U$5)))</f>
        <v>0</v>
      </c>
      <c r="V172" s="593">
        <f ca="1">$E172*(-SUMIF(INDIRECT(V$3),'Struktur Aktuell'!$D172,INDIRECT(V$4))+SUMIF(INDIRECT(V$3),'Struktur Aktuell'!$D172,INDIRECT(V$5)))</f>
        <v>0</v>
      </c>
      <c r="W172" s="593">
        <f ca="1">$E172*(-SUMIF(INDIRECT(W$3),'Struktur Aktuell'!$D172,INDIRECT(W$4))+SUMIF(INDIRECT(W$3),'Struktur Aktuell'!$D172,INDIRECT(W$5)))</f>
        <v>0</v>
      </c>
      <c r="X172" s="593">
        <f ca="1">$E172*(-SUMIF(INDIRECT(X$3),'Struktur Aktuell'!$D172,INDIRECT(X$4))+SUMIF(INDIRECT(X$3),'Struktur Aktuell'!$D172,INDIRECT(X$5)))</f>
        <v>0</v>
      </c>
      <c r="Y172" s="593">
        <f ca="1">$E172*(-SUMIF(INDIRECT(Y$3),'Struktur Aktuell'!$D172,INDIRECT(Y$4))+SUMIF(INDIRECT(Y$3),'Struktur Aktuell'!$D172,INDIRECT(Y$5)))</f>
        <v>0</v>
      </c>
      <c r="Z172" s="593">
        <f ca="1">$E172*(-SUMIF(INDIRECT(Z$3),'Struktur Aktuell'!$D172,INDIRECT(Z$4))+SUMIF(INDIRECT(Z$3),'Struktur Aktuell'!$D172,INDIRECT(Z$5)))</f>
        <v>0</v>
      </c>
      <c r="AA172" s="593">
        <f ca="1">$E172*(-SUMIF(INDIRECT(AA$3),'Struktur Aktuell'!$D172,INDIRECT(AA$4))+SUMIF(INDIRECT(AA$3),'Struktur Aktuell'!$D172,INDIRECT(AA$5)))</f>
        <v>0</v>
      </c>
      <c r="AB172" s="593">
        <f ca="1">$E172*(-SUMIF(INDIRECT(AB$3),'Struktur Aktuell'!$D172,INDIRECT(AB$4))+SUMIF(INDIRECT(AB$3),'Struktur Aktuell'!$D172,INDIRECT(AB$5)))</f>
        <v>0</v>
      </c>
      <c r="AC172" s="593">
        <f ca="1">$E172*(-SUMIF(INDIRECT(AC$3),'Struktur Aktuell'!$D172,INDIRECT(AC$4))+SUMIF(INDIRECT(AC$3),'Struktur Aktuell'!$D172,INDIRECT(AC$5)))</f>
        <v>0</v>
      </c>
      <c r="AD172" s="593">
        <f ca="1">$E172*(-SUMIF(INDIRECT(AD$3),'Struktur Aktuell'!$D172,INDIRECT(AD$4))+SUMIF(INDIRECT(AD$3),'Struktur Aktuell'!$D172,INDIRECT(AD$5)))</f>
        <v>0</v>
      </c>
      <c r="AE172" s="593">
        <f t="shared" ca="1" si="251"/>
        <v>0</v>
      </c>
      <c r="AF172" s="593">
        <f t="shared" ca="1" si="252"/>
        <v>0</v>
      </c>
      <c r="AG172" s="593">
        <f t="shared" ca="1" si="253"/>
        <v>0</v>
      </c>
      <c r="AH172" s="593">
        <f t="shared" ca="1" si="254"/>
        <v>0</v>
      </c>
      <c r="AI172" s="593">
        <f t="shared" ca="1" si="255"/>
        <v>0</v>
      </c>
      <c r="AJ172" s="593">
        <f t="shared" ca="1" si="256"/>
        <v>0</v>
      </c>
      <c r="AK172" s="593">
        <f t="shared" ca="1" si="257"/>
        <v>0</v>
      </c>
      <c r="AL172" s="593">
        <f t="shared" ca="1" si="258"/>
        <v>0</v>
      </c>
      <c r="AM172" s="593">
        <f t="shared" ca="1" si="259"/>
        <v>0</v>
      </c>
      <c r="AN172" s="593">
        <f t="shared" ca="1" si="260"/>
        <v>0</v>
      </c>
      <c r="AO172" s="593">
        <f t="shared" ca="1" si="261"/>
        <v>0</v>
      </c>
      <c r="AP172" s="593">
        <f t="shared" ca="1" si="262"/>
        <v>0</v>
      </c>
    </row>
    <row r="173" spans="1:42" s="594" customFormat="1" ht="11.25" outlineLevel="1" x14ac:dyDescent="0.2">
      <c r="A173" s="590"/>
      <c r="B173" s="591" t="str">
        <f>IF(D173&lt;&gt;"",
IF(ISERROR(MATCH(D173,'Ist Aktuell Monat 01'!A:A,0))=FALSE,INDEX('Ist Aktuell Monat 01'!B:B,MATCH(D173,'Ist Aktuell Monat 01'!A:A,0)),
IF(ISERROR(MATCH(D173,'Ist Aktuell Monat 02'!A:A,0))=FALSE,INDEX('Ist Aktuell Monat 02'!B:B,MATCH(D173,'Ist Aktuell Monat 02'!A:A,0)),
IF(ISERROR(MATCH(D173,'Ist Aktuell Monat 03'!A:A,0))=FALSE,INDEX('Ist Aktuell Monat 03'!B:B,MATCH(D173,'Ist Aktuell Monat 03'!A:A,0)),
IF(ISERROR(MATCH(D173,'Ist Aktuell Monat 04'!A:A,0))=FALSE,INDEX('Ist Aktuell Monat 04'!B:B,MATCH(D173,'Ist Aktuell Monat 04'!A:A,0)),
IF(ISERROR(MATCH(D173,'Ist Aktuell Monat 05'!A:A,0))=FALSE,INDEX('Ist Aktuell Monat 05'!B:B,MATCH(D173,'Ist Aktuell Monat 05'!A:A,0)),
IF(ISERROR(MATCH(D173,'Ist Aktuell Monat 06'!A:A,0))=FALSE,INDEX('Ist Aktuell Monat 06'!B:B,MATCH(D173,'Ist Aktuell Monat 06'!A:A,0)),
IF(ISERROR(MATCH(D173,'Ist Aktuell Monat 07'!A:A,0))=FALSE,INDEX('Ist Aktuell Monat 07'!B:B,MATCH(D173,'Ist Aktuell Monat 07'!A:A,0)),
IF(ISERROR(MATCH(D173,'Ist Aktuell Monat 08'!A:A,0))=FALSE,INDEX('Ist Aktuell Monat 08'!B:B,MATCH(D173,'Ist Aktuell Monat 08'!A:A,0)),
IF(ISERROR(MATCH(D173,'Ist Aktuell Monat 09'!A:A,0))=FALSE,INDEX('Ist Aktuell Monat 09'!B:B,MATCH(D173,'Ist Aktuell Monat 09'!A:A,0)),
IF(ISERROR(MATCH(D173,'Ist Aktuell Monat 10'!A:A,0))=FALSE,INDEX('Ist Aktuell Monat 10'!B:B,MATCH(D173,'Ist Aktuell Monat 10'!A:A,0)),
IF(ISERROR(MATCH(D173,'Ist Aktuell Monat 11'!A:A,0))=FALSE,INDEX('Ist Aktuell Monat 11'!B:B,MATCH(D173,'Ist Aktuell Monat 11'!A:A,0)),
IF(ISERROR(MATCH(D173,'Ist Aktuell Monat 12'!A:A,0))=FALSE,INDEX('Ist Aktuell Monat 12'!B:B,MATCH(D173,'Ist Aktuell Monat 12'!A:A,0)),
"{Konto unbekannt}"
)))))))))))),"")</f>
        <v/>
      </c>
      <c r="C173" s="591"/>
      <c r="D173" s="590"/>
      <c r="E173" s="592">
        <f t="shared" si="171"/>
        <v>1</v>
      </c>
      <c r="F173" s="590"/>
      <c r="G173" s="593">
        <f ca="1">$E173*(-SUMIF(INDIRECT(G$3),'Struktur Aktuell'!$D173,INDIRECT(G$4))+SUMIF(INDIRECT(G$3),'Struktur Aktuell'!$D173,INDIRECT(G$5)))</f>
        <v>0</v>
      </c>
      <c r="H173" s="593">
        <f ca="1">$E173*(-SUMIF(INDIRECT(H$3),'Struktur Aktuell'!$D173,INDIRECT(H$4))+SUMIF(INDIRECT(H$3),'Struktur Aktuell'!$D173,INDIRECT(H$5)))</f>
        <v>0</v>
      </c>
      <c r="I173" s="593">
        <f ca="1">$E173*(-SUMIF(INDIRECT(I$3),'Struktur Aktuell'!$D173,INDIRECT(I$4))+SUMIF(INDIRECT(I$3),'Struktur Aktuell'!$D173,INDIRECT(I$5)))</f>
        <v>0</v>
      </c>
      <c r="J173" s="593">
        <f ca="1">$E173*(-SUMIF(INDIRECT(J$3),'Struktur Aktuell'!$D173,INDIRECT(J$4))+SUMIF(INDIRECT(J$3),'Struktur Aktuell'!$D173,INDIRECT(J$5)))</f>
        <v>0</v>
      </c>
      <c r="K173" s="593">
        <f ca="1">$E173*(-SUMIF(INDIRECT(K$3),'Struktur Aktuell'!$D173,INDIRECT(K$4))+SUMIF(INDIRECT(K$3),'Struktur Aktuell'!$D173,INDIRECT(K$5)))</f>
        <v>0</v>
      </c>
      <c r="L173" s="593">
        <f ca="1">$E173*(-SUMIF(INDIRECT(L$3),'Struktur Aktuell'!$D173,INDIRECT(L$4))+SUMIF(INDIRECT(L$3),'Struktur Aktuell'!$D173,INDIRECT(L$5)))</f>
        <v>0</v>
      </c>
      <c r="M173" s="593">
        <f ca="1">$E173*(-SUMIF(INDIRECT(M$3),'Struktur Aktuell'!$D173,INDIRECT(M$4))+SUMIF(INDIRECT(M$3),'Struktur Aktuell'!$D173,INDIRECT(M$5)))</f>
        <v>0</v>
      </c>
      <c r="N173" s="593">
        <f ca="1">$E173*(-SUMIF(INDIRECT(N$3),'Struktur Aktuell'!$D173,INDIRECT(N$4))+SUMIF(INDIRECT(N$3),'Struktur Aktuell'!$D173,INDIRECT(N$5)))</f>
        <v>0</v>
      </c>
      <c r="O173" s="593">
        <f ca="1">$E173*(-SUMIF(INDIRECT(O$3),'Struktur Aktuell'!$D173,INDIRECT(O$4))+SUMIF(INDIRECT(O$3),'Struktur Aktuell'!$D173,INDIRECT(O$5)))</f>
        <v>0</v>
      </c>
      <c r="P173" s="593">
        <f ca="1">$E173*(-SUMIF(INDIRECT(P$3),'Struktur Aktuell'!$D173,INDIRECT(P$4))+SUMIF(INDIRECT(P$3),'Struktur Aktuell'!$D173,INDIRECT(P$5)))</f>
        <v>0</v>
      </c>
      <c r="Q173" s="593">
        <f ca="1">$E173*(-SUMIF(INDIRECT(Q$3),'Struktur Aktuell'!$D173,INDIRECT(Q$4))+SUMIF(INDIRECT(Q$3),'Struktur Aktuell'!$D173,INDIRECT(Q$5)))</f>
        <v>0</v>
      </c>
      <c r="R173" s="593">
        <f ca="1">$E173*(-SUMIF(INDIRECT(R$3),'Struktur Aktuell'!$D173,INDIRECT(R$4))+SUMIF(INDIRECT(R$3),'Struktur Aktuell'!$D173,INDIRECT(R$5)))</f>
        <v>0</v>
      </c>
      <c r="S173" s="593">
        <f ca="1">$E173*(-SUMIF(INDIRECT(S$3),'Struktur Aktuell'!$D173,INDIRECT(S$4))+SUMIF(INDIRECT(S$3),'Struktur Aktuell'!$D173,INDIRECT(S$5)))</f>
        <v>0</v>
      </c>
      <c r="T173" s="593">
        <f ca="1">$E173*(-SUMIF(INDIRECT(T$3),'Struktur Aktuell'!$D173,INDIRECT(T$4))+SUMIF(INDIRECT(T$3),'Struktur Aktuell'!$D173,INDIRECT(T$5)))</f>
        <v>0</v>
      </c>
      <c r="U173" s="593">
        <f ca="1">$E173*(-SUMIF(INDIRECT(U$3),'Struktur Aktuell'!$D173,INDIRECT(U$4))+SUMIF(INDIRECT(U$3),'Struktur Aktuell'!$D173,INDIRECT(U$5)))</f>
        <v>0</v>
      </c>
      <c r="V173" s="593">
        <f ca="1">$E173*(-SUMIF(INDIRECT(V$3),'Struktur Aktuell'!$D173,INDIRECT(V$4))+SUMIF(INDIRECT(V$3),'Struktur Aktuell'!$D173,INDIRECT(V$5)))</f>
        <v>0</v>
      </c>
      <c r="W173" s="593">
        <f ca="1">$E173*(-SUMIF(INDIRECT(W$3),'Struktur Aktuell'!$D173,INDIRECT(W$4))+SUMIF(INDIRECT(W$3),'Struktur Aktuell'!$D173,INDIRECT(W$5)))</f>
        <v>0</v>
      </c>
      <c r="X173" s="593">
        <f ca="1">$E173*(-SUMIF(INDIRECT(X$3),'Struktur Aktuell'!$D173,INDIRECT(X$4))+SUMIF(INDIRECT(X$3),'Struktur Aktuell'!$D173,INDIRECT(X$5)))</f>
        <v>0</v>
      </c>
      <c r="Y173" s="593">
        <f ca="1">$E173*(-SUMIF(INDIRECT(Y$3),'Struktur Aktuell'!$D173,INDIRECT(Y$4))+SUMIF(INDIRECT(Y$3),'Struktur Aktuell'!$D173,INDIRECT(Y$5)))</f>
        <v>0</v>
      </c>
      <c r="Z173" s="593">
        <f ca="1">$E173*(-SUMIF(INDIRECT(Z$3),'Struktur Aktuell'!$D173,INDIRECT(Z$4))+SUMIF(INDIRECT(Z$3),'Struktur Aktuell'!$D173,INDIRECT(Z$5)))</f>
        <v>0</v>
      </c>
      <c r="AA173" s="593">
        <f ca="1">$E173*(-SUMIF(INDIRECT(AA$3),'Struktur Aktuell'!$D173,INDIRECT(AA$4))+SUMIF(INDIRECT(AA$3),'Struktur Aktuell'!$D173,INDIRECT(AA$5)))</f>
        <v>0</v>
      </c>
      <c r="AB173" s="593">
        <f ca="1">$E173*(-SUMIF(INDIRECT(AB$3),'Struktur Aktuell'!$D173,INDIRECT(AB$4))+SUMIF(INDIRECT(AB$3),'Struktur Aktuell'!$D173,INDIRECT(AB$5)))</f>
        <v>0</v>
      </c>
      <c r="AC173" s="593">
        <f ca="1">$E173*(-SUMIF(INDIRECT(AC$3),'Struktur Aktuell'!$D173,INDIRECT(AC$4))+SUMIF(INDIRECT(AC$3),'Struktur Aktuell'!$D173,INDIRECT(AC$5)))</f>
        <v>0</v>
      </c>
      <c r="AD173" s="593">
        <f ca="1">$E173*(-SUMIF(INDIRECT(AD$3),'Struktur Aktuell'!$D173,INDIRECT(AD$4))+SUMIF(INDIRECT(AD$3),'Struktur Aktuell'!$D173,INDIRECT(AD$5)))</f>
        <v>0</v>
      </c>
      <c r="AE173" s="593">
        <f t="shared" ca="1" si="251"/>
        <v>0</v>
      </c>
      <c r="AF173" s="593">
        <f t="shared" ca="1" si="252"/>
        <v>0</v>
      </c>
      <c r="AG173" s="593">
        <f t="shared" ca="1" si="253"/>
        <v>0</v>
      </c>
      <c r="AH173" s="593">
        <f t="shared" ca="1" si="254"/>
        <v>0</v>
      </c>
      <c r="AI173" s="593">
        <f t="shared" ca="1" si="255"/>
        <v>0</v>
      </c>
      <c r="AJ173" s="593">
        <f t="shared" ca="1" si="256"/>
        <v>0</v>
      </c>
      <c r="AK173" s="593">
        <f t="shared" ca="1" si="257"/>
        <v>0</v>
      </c>
      <c r="AL173" s="593">
        <f t="shared" ca="1" si="258"/>
        <v>0</v>
      </c>
      <c r="AM173" s="593">
        <f t="shared" ca="1" si="259"/>
        <v>0</v>
      </c>
      <c r="AN173" s="593">
        <f t="shared" ca="1" si="260"/>
        <v>0</v>
      </c>
      <c r="AO173" s="593">
        <f t="shared" ca="1" si="261"/>
        <v>0</v>
      </c>
      <c r="AP173" s="593">
        <f t="shared" ca="1" si="262"/>
        <v>0</v>
      </c>
    </row>
    <row r="174" spans="1:42" s="594" customFormat="1" ht="11.25" outlineLevel="1" x14ac:dyDescent="0.2">
      <c r="A174" s="590"/>
      <c r="B174" s="591" t="str">
        <f>IF(D174&lt;&gt;"",
IF(ISERROR(MATCH(D174,'Ist Aktuell Monat 01'!A:A,0))=FALSE,INDEX('Ist Aktuell Monat 01'!B:B,MATCH(D174,'Ist Aktuell Monat 01'!A:A,0)),
IF(ISERROR(MATCH(D174,'Ist Aktuell Monat 02'!A:A,0))=FALSE,INDEX('Ist Aktuell Monat 02'!B:B,MATCH(D174,'Ist Aktuell Monat 02'!A:A,0)),
IF(ISERROR(MATCH(D174,'Ist Aktuell Monat 03'!A:A,0))=FALSE,INDEX('Ist Aktuell Monat 03'!B:B,MATCH(D174,'Ist Aktuell Monat 03'!A:A,0)),
IF(ISERROR(MATCH(D174,'Ist Aktuell Monat 04'!A:A,0))=FALSE,INDEX('Ist Aktuell Monat 04'!B:B,MATCH(D174,'Ist Aktuell Monat 04'!A:A,0)),
IF(ISERROR(MATCH(D174,'Ist Aktuell Monat 05'!A:A,0))=FALSE,INDEX('Ist Aktuell Monat 05'!B:B,MATCH(D174,'Ist Aktuell Monat 05'!A:A,0)),
IF(ISERROR(MATCH(D174,'Ist Aktuell Monat 06'!A:A,0))=FALSE,INDEX('Ist Aktuell Monat 06'!B:B,MATCH(D174,'Ist Aktuell Monat 06'!A:A,0)),
IF(ISERROR(MATCH(D174,'Ist Aktuell Monat 07'!A:A,0))=FALSE,INDEX('Ist Aktuell Monat 07'!B:B,MATCH(D174,'Ist Aktuell Monat 07'!A:A,0)),
IF(ISERROR(MATCH(D174,'Ist Aktuell Monat 08'!A:A,0))=FALSE,INDEX('Ist Aktuell Monat 08'!B:B,MATCH(D174,'Ist Aktuell Monat 08'!A:A,0)),
IF(ISERROR(MATCH(D174,'Ist Aktuell Monat 09'!A:A,0))=FALSE,INDEX('Ist Aktuell Monat 09'!B:B,MATCH(D174,'Ist Aktuell Monat 09'!A:A,0)),
IF(ISERROR(MATCH(D174,'Ist Aktuell Monat 10'!A:A,0))=FALSE,INDEX('Ist Aktuell Monat 10'!B:B,MATCH(D174,'Ist Aktuell Monat 10'!A:A,0)),
IF(ISERROR(MATCH(D174,'Ist Aktuell Monat 11'!A:A,0))=FALSE,INDEX('Ist Aktuell Monat 11'!B:B,MATCH(D174,'Ist Aktuell Monat 11'!A:A,0)),
IF(ISERROR(MATCH(D174,'Ist Aktuell Monat 12'!A:A,0))=FALSE,INDEX('Ist Aktuell Monat 12'!B:B,MATCH(D174,'Ist Aktuell Monat 12'!A:A,0)),
"{Konto unbekannt}"
)))))))))))),"")</f>
        <v/>
      </c>
      <c r="C174" s="591"/>
      <c r="D174" s="590"/>
      <c r="E174" s="592">
        <f t="shared" si="171"/>
        <v>1</v>
      </c>
      <c r="F174" s="590"/>
      <c r="G174" s="593">
        <f ca="1">$E174*(-SUMIF(INDIRECT(G$3),'Struktur Aktuell'!$D174,INDIRECT(G$4))+SUMIF(INDIRECT(G$3),'Struktur Aktuell'!$D174,INDIRECT(G$5)))</f>
        <v>0</v>
      </c>
      <c r="H174" s="593">
        <f ca="1">$E174*(-SUMIF(INDIRECT(H$3),'Struktur Aktuell'!$D174,INDIRECT(H$4))+SUMIF(INDIRECT(H$3),'Struktur Aktuell'!$D174,INDIRECT(H$5)))</f>
        <v>0</v>
      </c>
      <c r="I174" s="593">
        <f ca="1">$E174*(-SUMIF(INDIRECT(I$3),'Struktur Aktuell'!$D174,INDIRECT(I$4))+SUMIF(INDIRECT(I$3),'Struktur Aktuell'!$D174,INDIRECT(I$5)))</f>
        <v>0</v>
      </c>
      <c r="J174" s="593">
        <f ca="1">$E174*(-SUMIF(INDIRECT(J$3),'Struktur Aktuell'!$D174,INDIRECT(J$4))+SUMIF(INDIRECT(J$3),'Struktur Aktuell'!$D174,INDIRECT(J$5)))</f>
        <v>0</v>
      </c>
      <c r="K174" s="593">
        <f ca="1">$E174*(-SUMIF(INDIRECT(K$3),'Struktur Aktuell'!$D174,INDIRECT(K$4))+SUMIF(INDIRECT(K$3),'Struktur Aktuell'!$D174,INDIRECT(K$5)))</f>
        <v>0</v>
      </c>
      <c r="L174" s="593">
        <f ca="1">$E174*(-SUMIF(INDIRECT(L$3),'Struktur Aktuell'!$D174,INDIRECT(L$4))+SUMIF(INDIRECT(L$3),'Struktur Aktuell'!$D174,INDIRECT(L$5)))</f>
        <v>0</v>
      </c>
      <c r="M174" s="593">
        <f ca="1">$E174*(-SUMIF(INDIRECT(M$3),'Struktur Aktuell'!$D174,INDIRECT(M$4))+SUMIF(INDIRECT(M$3),'Struktur Aktuell'!$D174,INDIRECT(M$5)))</f>
        <v>0</v>
      </c>
      <c r="N174" s="593">
        <f ca="1">$E174*(-SUMIF(INDIRECT(N$3),'Struktur Aktuell'!$D174,INDIRECT(N$4))+SUMIF(INDIRECT(N$3),'Struktur Aktuell'!$D174,INDIRECT(N$5)))</f>
        <v>0</v>
      </c>
      <c r="O174" s="593">
        <f ca="1">$E174*(-SUMIF(INDIRECT(O$3),'Struktur Aktuell'!$D174,INDIRECT(O$4))+SUMIF(INDIRECT(O$3),'Struktur Aktuell'!$D174,INDIRECT(O$5)))</f>
        <v>0</v>
      </c>
      <c r="P174" s="593">
        <f ca="1">$E174*(-SUMIF(INDIRECT(P$3),'Struktur Aktuell'!$D174,INDIRECT(P$4))+SUMIF(INDIRECT(P$3),'Struktur Aktuell'!$D174,INDIRECT(P$5)))</f>
        <v>0</v>
      </c>
      <c r="Q174" s="593">
        <f ca="1">$E174*(-SUMIF(INDIRECT(Q$3),'Struktur Aktuell'!$D174,INDIRECT(Q$4))+SUMIF(INDIRECT(Q$3),'Struktur Aktuell'!$D174,INDIRECT(Q$5)))</f>
        <v>0</v>
      </c>
      <c r="R174" s="593">
        <f ca="1">$E174*(-SUMIF(INDIRECT(R$3),'Struktur Aktuell'!$D174,INDIRECT(R$4))+SUMIF(INDIRECT(R$3),'Struktur Aktuell'!$D174,INDIRECT(R$5)))</f>
        <v>0</v>
      </c>
      <c r="S174" s="593">
        <f ca="1">$E174*(-SUMIF(INDIRECT(S$3),'Struktur Aktuell'!$D174,INDIRECT(S$4))+SUMIF(INDIRECT(S$3),'Struktur Aktuell'!$D174,INDIRECT(S$5)))</f>
        <v>0</v>
      </c>
      <c r="T174" s="593">
        <f ca="1">$E174*(-SUMIF(INDIRECT(T$3),'Struktur Aktuell'!$D174,INDIRECT(T$4))+SUMIF(INDIRECT(T$3),'Struktur Aktuell'!$D174,INDIRECT(T$5)))</f>
        <v>0</v>
      </c>
      <c r="U174" s="593">
        <f ca="1">$E174*(-SUMIF(INDIRECT(U$3),'Struktur Aktuell'!$D174,INDIRECT(U$4))+SUMIF(INDIRECT(U$3),'Struktur Aktuell'!$D174,INDIRECT(U$5)))</f>
        <v>0</v>
      </c>
      <c r="V174" s="593">
        <f ca="1">$E174*(-SUMIF(INDIRECT(V$3),'Struktur Aktuell'!$D174,INDIRECT(V$4))+SUMIF(INDIRECT(V$3),'Struktur Aktuell'!$D174,INDIRECT(V$5)))</f>
        <v>0</v>
      </c>
      <c r="W174" s="593">
        <f ca="1">$E174*(-SUMIF(INDIRECT(W$3),'Struktur Aktuell'!$D174,INDIRECT(W$4))+SUMIF(INDIRECT(W$3),'Struktur Aktuell'!$D174,INDIRECT(W$5)))</f>
        <v>0</v>
      </c>
      <c r="X174" s="593">
        <f ca="1">$E174*(-SUMIF(INDIRECT(X$3),'Struktur Aktuell'!$D174,INDIRECT(X$4))+SUMIF(INDIRECT(X$3),'Struktur Aktuell'!$D174,INDIRECT(X$5)))</f>
        <v>0</v>
      </c>
      <c r="Y174" s="593">
        <f ca="1">$E174*(-SUMIF(INDIRECT(Y$3),'Struktur Aktuell'!$D174,INDIRECT(Y$4))+SUMIF(INDIRECT(Y$3),'Struktur Aktuell'!$D174,INDIRECT(Y$5)))</f>
        <v>0</v>
      </c>
      <c r="Z174" s="593">
        <f ca="1">$E174*(-SUMIF(INDIRECT(Z$3),'Struktur Aktuell'!$D174,INDIRECT(Z$4))+SUMIF(INDIRECT(Z$3),'Struktur Aktuell'!$D174,INDIRECT(Z$5)))</f>
        <v>0</v>
      </c>
      <c r="AA174" s="593">
        <f ca="1">$E174*(-SUMIF(INDIRECT(AA$3),'Struktur Aktuell'!$D174,INDIRECT(AA$4))+SUMIF(INDIRECT(AA$3),'Struktur Aktuell'!$D174,INDIRECT(AA$5)))</f>
        <v>0</v>
      </c>
      <c r="AB174" s="593">
        <f ca="1">$E174*(-SUMIF(INDIRECT(AB$3),'Struktur Aktuell'!$D174,INDIRECT(AB$4))+SUMIF(INDIRECT(AB$3),'Struktur Aktuell'!$D174,INDIRECT(AB$5)))</f>
        <v>0</v>
      </c>
      <c r="AC174" s="593">
        <f ca="1">$E174*(-SUMIF(INDIRECT(AC$3),'Struktur Aktuell'!$D174,INDIRECT(AC$4))+SUMIF(INDIRECT(AC$3),'Struktur Aktuell'!$D174,INDIRECT(AC$5)))</f>
        <v>0</v>
      </c>
      <c r="AD174" s="593">
        <f ca="1">$E174*(-SUMIF(INDIRECT(AD$3),'Struktur Aktuell'!$D174,INDIRECT(AD$4))+SUMIF(INDIRECT(AD$3),'Struktur Aktuell'!$D174,INDIRECT(AD$5)))</f>
        <v>0</v>
      </c>
      <c r="AE174" s="593">
        <f t="shared" ca="1" si="251"/>
        <v>0</v>
      </c>
      <c r="AF174" s="593">
        <f t="shared" ca="1" si="252"/>
        <v>0</v>
      </c>
      <c r="AG174" s="593">
        <f t="shared" ca="1" si="253"/>
        <v>0</v>
      </c>
      <c r="AH174" s="593">
        <f t="shared" ca="1" si="254"/>
        <v>0</v>
      </c>
      <c r="AI174" s="593">
        <f t="shared" ca="1" si="255"/>
        <v>0</v>
      </c>
      <c r="AJ174" s="593">
        <f t="shared" ca="1" si="256"/>
        <v>0</v>
      </c>
      <c r="AK174" s="593">
        <f t="shared" ca="1" si="257"/>
        <v>0</v>
      </c>
      <c r="AL174" s="593">
        <f t="shared" ca="1" si="258"/>
        <v>0</v>
      </c>
      <c r="AM174" s="593">
        <f t="shared" ca="1" si="259"/>
        <v>0</v>
      </c>
      <c r="AN174" s="593">
        <f t="shared" ca="1" si="260"/>
        <v>0</v>
      </c>
      <c r="AO174" s="593">
        <f t="shared" ca="1" si="261"/>
        <v>0</v>
      </c>
      <c r="AP174" s="593">
        <f t="shared" ca="1" si="262"/>
        <v>0</v>
      </c>
    </row>
    <row r="175" spans="1:42" s="594" customFormat="1" ht="11.25" outlineLevel="1" x14ac:dyDescent="0.2">
      <c r="A175" s="590"/>
      <c r="B175" s="591" t="str">
        <f>IF(D175&lt;&gt;"",
IF(ISERROR(MATCH(D175,'Ist Aktuell Monat 01'!A:A,0))=FALSE,INDEX('Ist Aktuell Monat 01'!B:B,MATCH(D175,'Ist Aktuell Monat 01'!A:A,0)),
IF(ISERROR(MATCH(D175,'Ist Aktuell Monat 02'!A:A,0))=FALSE,INDEX('Ist Aktuell Monat 02'!B:B,MATCH(D175,'Ist Aktuell Monat 02'!A:A,0)),
IF(ISERROR(MATCH(D175,'Ist Aktuell Monat 03'!A:A,0))=FALSE,INDEX('Ist Aktuell Monat 03'!B:B,MATCH(D175,'Ist Aktuell Monat 03'!A:A,0)),
IF(ISERROR(MATCH(D175,'Ist Aktuell Monat 04'!A:A,0))=FALSE,INDEX('Ist Aktuell Monat 04'!B:B,MATCH(D175,'Ist Aktuell Monat 04'!A:A,0)),
IF(ISERROR(MATCH(D175,'Ist Aktuell Monat 05'!A:A,0))=FALSE,INDEX('Ist Aktuell Monat 05'!B:B,MATCH(D175,'Ist Aktuell Monat 05'!A:A,0)),
IF(ISERROR(MATCH(D175,'Ist Aktuell Monat 06'!A:A,0))=FALSE,INDEX('Ist Aktuell Monat 06'!B:B,MATCH(D175,'Ist Aktuell Monat 06'!A:A,0)),
IF(ISERROR(MATCH(D175,'Ist Aktuell Monat 07'!A:A,0))=FALSE,INDEX('Ist Aktuell Monat 07'!B:B,MATCH(D175,'Ist Aktuell Monat 07'!A:A,0)),
IF(ISERROR(MATCH(D175,'Ist Aktuell Monat 08'!A:A,0))=FALSE,INDEX('Ist Aktuell Monat 08'!B:B,MATCH(D175,'Ist Aktuell Monat 08'!A:A,0)),
IF(ISERROR(MATCH(D175,'Ist Aktuell Monat 09'!A:A,0))=FALSE,INDEX('Ist Aktuell Monat 09'!B:B,MATCH(D175,'Ist Aktuell Monat 09'!A:A,0)),
IF(ISERROR(MATCH(D175,'Ist Aktuell Monat 10'!A:A,0))=FALSE,INDEX('Ist Aktuell Monat 10'!B:B,MATCH(D175,'Ist Aktuell Monat 10'!A:A,0)),
IF(ISERROR(MATCH(D175,'Ist Aktuell Monat 11'!A:A,0))=FALSE,INDEX('Ist Aktuell Monat 11'!B:B,MATCH(D175,'Ist Aktuell Monat 11'!A:A,0)),
IF(ISERROR(MATCH(D175,'Ist Aktuell Monat 12'!A:A,0))=FALSE,INDEX('Ist Aktuell Monat 12'!B:B,MATCH(D175,'Ist Aktuell Monat 12'!A:A,0)),
"{Konto unbekannt}"
)))))))))))),"")</f>
        <v/>
      </c>
      <c r="C175" s="591"/>
      <c r="D175" s="590"/>
      <c r="E175" s="592">
        <f t="shared" si="171"/>
        <v>1</v>
      </c>
      <c r="F175" s="590"/>
      <c r="G175" s="593">
        <f ca="1">$E175*(-SUMIF(INDIRECT(G$3),'Struktur Aktuell'!$D175,INDIRECT(G$4))+SUMIF(INDIRECT(G$3),'Struktur Aktuell'!$D175,INDIRECT(G$5)))</f>
        <v>0</v>
      </c>
      <c r="H175" s="593">
        <f ca="1">$E175*(-SUMIF(INDIRECT(H$3),'Struktur Aktuell'!$D175,INDIRECT(H$4))+SUMIF(INDIRECT(H$3),'Struktur Aktuell'!$D175,INDIRECT(H$5)))</f>
        <v>0</v>
      </c>
      <c r="I175" s="593">
        <f ca="1">$E175*(-SUMIF(INDIRECT(I$3),'Struktur Aktuell'!$D175,INDIRECT(I$4))+SUMIF(INDIRECT(I$3),'Struktur Aktuell'!$D175,INDIRECT(I$5)))</f>
        <v>0</v>
      </c>
      <c r="J175" s="593">
        <f ca="1">$E175*(-SUMIF(INDIRECT(J$3),'Struktur Aktuell'!$D175,INDIRECT(J$4))+SUMIF(INDIRECT(J$3),'Struktur Aktuell'!$D175,INDIRECT(J$5)))</f>
        <v>0</v>
      </c>
      <c r="K175" s="593">
        <f ca="1">$E175*(-SUMIF(INDIRECT(K$3),'Struktur Aktuell'!$D175,INDIRECT(K$4))+SUMIF(INDIRECT(K$3),'Struktur Aktuell'!$D175,INDIRECT(K$5)))</f>
        <v>0</v>
      </c>
      <c r="L175" s="593">
        <f ca="1">$E175*(-SUMIF(INDIRECT(L$3),'Struktur Aktuell'!$D175,INDIRECT(L$4))+SUMIF(INDIRECT(L$3),'Struktur Aktuell'!$D175,INDIRECT(L$5)))</f>
        <v>0</v>
      </c>
      <c r="M175" s="593">
        <f ca="1">$E175*(-SUMIF(INDIRECT(M$3),'Struktur Aktuell'!$D175,INDIRECT(M$4))+SUMIF(INDIRECT(M$3),'Struktur Aktuell'!$D175,INDIRECT(M$5)))</f>
        <v>0</v>
      </c>
      <c r="N175" s="593">
        <f ca="1">$E175*(-SUMIF(INDIRECT(N$3),'Struktur Aktuell'!$D175,INDIRECT(N$4))+SUMIF(INDIRECT(N$3),'Struktur Aktuell'!$D175,INDIRECT(N$5)))</f>
        <v>0</v>
      </c>
      <c r="O175" s="593">
        <f ca="1">$E175*(-SUMIF(INDIRECT(O$3),'Struktur Aktuell'!$D175,INDIRECT(O$4))+SUMIF(INDIRECT(O$3),'Struktur Aktuell'!$D175,INDIRECT(O$5)))</f>
        <v>0</v>
      </c>
      <c r="P175" s="593">
        <f ca="1">$E175*(-SUMIF(INDIRECT(P$3),'Struktur Aktuell'!$D175,INDIRECT(P$4))+SUMIF(INDIRECT(P$3),'Struktur Aktuell'!$D175,INDIRECT(P$5)))</f>
        <v>0</v>
      </c>
      <c r="Q175" s="593">
        <f ca="1">$E175*(-SUMIF(INDIRECT(Q$3),'Struktur Aktuell'!$D175,INDIRECT(Q$4))+SUMIF(INDIRECT(Q$3),'Struktur Aktuell'!$D175,INDIRECT(Q$5)))</f>
        <v>0</v>
      </c>
      <c r="R175" s="593">
        <f ca="1">$E175*(-SUMIF(INDIRECT(R$3),'Struktur Aktuell'!$D175,INDIRECT(R$4))+SUMIF(INDIRECT(R$3),'Struktur Aktuell'!$D175,INDIRECT(R$5)))</f>
        <v>0</v>
      </c>
      <c r="S175" s="593">
        <f ca="1">$E175*(-SUMIF(INDIRECT(S$3),'Struktur Aktuell'!$D175,INDIRECT(S$4))+SUMIF(INDIRECT(S$3),'Struktur Aktuell'!$D175,INDIRECT(S$5)))</f>
        <v>0</v>
      </c>
      <c r="T175" s="593">
        <f ca="1">$E175*(-SUMIF(INDIRECT(T$3),'Struktur Aktuell'!$D175,INDIRECT(T$4))+SUMIF(INDIRECT(T$3),'Struktur Aktuell'!$D175,INDIRECT(T$5)))</f>
        <v>0</v>
      </c>
      <c r="U175" s="593">
        <f ca="1">$E175*(-SUMIF(INDIRECT(U$3),'Struktur Aktuell'!$D175,INDIRECT(U$4))+SUMIF(INDIRECT(U$3),'Struktur Aktuell'!$D175,INDIRECT(U$5)))</f>
        <v>0</v>
      </c>
      <c r="V175" s="593">
        <f ca="1">$E175*(-SUMIF(INDIRECT(V$3),'Struktur Aktuell'!$D175,INDIRECT(V$4))+SUMIF(INDIRECT(V$3),'Struktur Aktuell'!$D175,INDIRECT(V$5)))</f>
        <v>0</v>
      </c>
      <c r="W175" s="593">
        <f ca="1">$E175*(-SUMIF(INDIRECT(W$3),'Struktur Aktuell'!$D175,INDIRECT(W$4))+SUMIF(INDIRECT(W$3),'Struktur Aktuell'!$D175,INDIRECT(W$5)))</f>
        <v>0</v>
      </c>
      <c r="X175" s="593">
        <f ca="1">$E175*(-SUMIF(INDIRECT(X$3),'Struktur Aktuell'!$D175,INDIRECT(X$4))+SUMIF(INDIRECT(X$3),'Struktur Aktuell'!$D175,INDIRECT(X$5)))</f>
        <v>0</v>
      </c>
      <c r="Y175" s="593">
        <f ca="1">$E175*(-SUMIF(INDIRECT(Y$3),'Struktur Aktuell'!$D175,INDIRECT(Y$4))+SUMIF(INDIRECT(Y$3),'Struktur Aktuell'!$D175,INDIRECT(Y$5)))</f>
        <v>0</v>
      </c>
      <c r="Z175" s="593">
        <f ca="1">$E175*(-SUMIF(INDIRECT(Z$3),'Struktur Aktuell'!$D175,INDIRECT(Z$4))+SUMIF(INDIRECT(Z$3),'Struktur Aktuell'!$D175,INDIRECT(Z$5)))</f>
        <v>0</v>
      </c>
      <c r="AA175" s="593">
        <f ca="1">$E175*(-SUMIF(INDIRECT(AA$3),'Struktur Aktuell'!$D175,INDIRECT(AA$4))+SUMIF(INDIRECT(AA$3),'Struktur Aktuell'!$D175,INDIRECT(AA$5)))</f>
        <v>0</v>
      </c>
      <c r="AB175" s="593">
        <f ca="1">$E175*(-SUMIF(INDIRECT(AB$3),'Struktur Aktuell'!$D175,INDIRECT(AB$4))+SUMIF(INDIRECT(AB$3),'Struktur Aktuell'!$D175,INDIRECT(AB$5)))</f>
        <v>0</v>
      </c>
      <c r="AC175" s="593">
        <f ca="1">$E175*(-SUMIF(INDIRECT(AC$3),'Struktur Aktuell'!$D175,INDIRECT(AC$4))+SUMIF(INDIRECT(AC$3),'Struktur Aktuell'!$D175,INDIRECT(AC$5)))</f>
        <v>0</v>
      </c>
      <c r="AD175" s="593">
        <f ca="1">$E175*(-SUMIF(INDIRECT(AD$3),'Struktur Aktuell'!$D175,INDIRECT(AD$4))+SUMIF(INDIRECT(AD$3),'Struktur Aktuell'!$D175,INDIRECT(AD$5)))</f>
        <v>0</v>
      </c>
      <c r="AE175" s="593">
        <f t="shared" ca="1" si="251"/>
        <v>0</v>
      </c>
      <c r="AF175" s="593">
        <f t="shared" ca="1" si="252"/>
        <v>0</v>
      </c>
      <c r="AG175" s="593">
        <f t="shared" ca="1" si="253"/>
        <v>0</v>
      </c>
      <c r="AH175" s="593">
        <f t="shared" ca="1" si="254"/>
        <v>0</v>
      </c>
      <c r="AI175" s="593">
        <f t="shared" ca="1" si="255"/>
        <v>0</v>
      </c>
      <c r="AJ175" s="593">
        <f t="shared" ca="1" si="256"/>
        <v>0</v>
      </c>
      <c r="AK175" s="593">
        <f t="shared" ca="1" si="257"/>
        <v>0</v>
      </c>
      <c r="AL175" s="593">
        <f t="shared" ca="1" si="258"/>
        <v>0</v>
      </c>
      <c r="AM175" s="593">
        <f t="shared" ca="1" si="259"/>
        <v>0</v>
      </c>
      <c r="AN175" s="593">
        <f t="shared" ca="1" si="260"/>
        <v>0</v>
      </c>
      <c r="AO175" s="593">
        <f t="shared" ca="1" si="261"/>
        <v>0</v>
      </c>
      <c r="AP175" s="593">
        <f t="shared" ca="1" si="262"/>
        <v>0</v>
      </c>
    </row>
    <row r="176" spans="1:42" s="594" customFormat="1" ht="11.25" outlineLevel="1" x14ac:dyDescent="0.2">
      <c r="A176" s="590"/>
      <c r="B176" s="591" t="str">
        <f>IF(D176&lt;&gt;"",
IF(ISERROR(MATCH(D176,'Ist Aktuell Monat 01'!A:A,0))=FALSE,INDEX('Ist Aktuell Monat 01'!B:B,MATCH(D176,'Ist Aktuell Monat 01'!A:A,0)),
IF(ISERROR(MATCH(D176,'Ist Aktuell Monat 02'!A:A,0))=FALSE,INDEX('Ist Aktuell Monat 02'!B:B,MATCH(D176,'Ist Aktuell Monat 02'!A:A,0)),
IF(ISERROR(MATCH(D176,'Ist Aktuell Monat 03'!A:A,0))=FALSE,INDEX('Ist Aktuell Monat 03'!B:B,MATCH(D176,'Ist Aktuell Monat 03'!A:A,0)),
IF(ISERROR(MATCH(D176,'Ist Aktuell Monat 04'!A:A,0))=FALSE,INDEX('Ist Aktuell Monat 04'!B:B,MATCH(D176,'Ist Aktuell Monat 04'!A:A,0)),
IF(ISERROR(MATCH(D176,'Ist Aktuell Monat 05'!A:A,0))=FALSE,INDEX('Ist Aktuell Monat 05'!B:B,MATCH(D176,'Ist Aktuell Monat 05'!A:A,0)),
IF(ISERROR(MATCH(D176,'Ist Aktuell Monat 06'!A:A,0))=FALSE,INDEX('Ist Aktuell Monat 06'!B:B,MATCH(D176,'Ist Aktuell Monat 06'!A:A,0)),
IF(ISERROR(MATCH(D176,'Ist Aktuell Monat 07'!A:A,0))=FALSE,INDEX('Ist Aktuell Monat 07'!B:B,MATCH(D176,'Ist Aktuell Monat 07'!A:A,0)),
IF(ISERROR(MATCH(D176,'Ist Aktuell Monat 08'!A:A,0))=FALSE,INDEX('Ist Aktuell Monat 08'!B:B,MATCH(D176,'Ist Aktuell Monat 08'!A:A,0)),
IF(ISERROR(MATCH(D176,'Ist Aktuell Monat 09'!A:A,0))=FALSE,INDEX('Ist Aktuell Monat 09'!B:B,MATCH(D176,'Ist Aktuell Monat 09'!A:A,0)),
IF(ISERROR(MATCH(D176,'Ist Aktuell Monat 10'!A:A,0))=FALSE,INDEX('Ist Aktuell Monat 10'!B:B,MATCH(D176,'Ist Aktuell Monat 10'!A:A,0)),
IF(ISERROR(MATCH(D176,'Ist Aktuell Monat 11'!A:A,0))=FALSE,INDEX('Ist Aktuell Monat 11'!B:B,MATCH(D176,'Ist Aktuell Monat 11'!A:A,0)),
IF(ISERROR(MATCH(D176,'Ist Aktuell Monat 12'!A:A,0))=FALSE,INDEX('Ist Aktuell Monat 12'!B:B,MATCH(D176,'Ist Aktuell Monat 12'!A:A,0)),
"{Konto unbekannt}"
)))))))))))),"")</f>
        <v/>
      </c>
      <c r="C176" s="591"/>
      <c r="D176" s="590"/>
      <c r="E176" s="592">
        <f t="shared" si="171"/>
        <v>1</v>
      </c>
      <c r="F176" s="590"/>
      <c r="G176" s="593">
        <f ca="1">$E176*(-SUMIF(INDIRECT(G$3),'Struktur Aktuell'!$D176,INDIRECT(G$4))+SUMIF(INDIRECT(G$3),'Struktur Aktuell'!$D176,INDIRECT(G$5)))</f>
        <v>0</v>
      </c>
      <c r="H176" s="593">
        <f ca="1">$E176*(-SUMIF(INDIRECT(H$3),'Struktur Aktuell'!$D176,INDIRECT(H$4))+SUMIF(INDIRECT(H$3),'Struktur Aktuell'!$D176,INDIRECT(H$5)))</f>
        <v>0</v>
      </c>
      <c r="I176" s="593">
        <f ca="1">$E176*(-SUMIF(INDIRECT(I$3),'Struktur Aktuell'!$D176,INDIRECT(I$4))+SUMIF(INDIRECT(I$3),'Struktur Aktuell'!$D176,INDIRECT(I$5)))</f>
        <v>0</v>
      </c>
      <c r="J176" s="593">
        <f ca="1">$E176*(-SUMIF(INDIRECT(J$3),'Struktur Aktuell'!$D176,INDIRECT(J$4))+SUMIF(INDIRECT(J$3),'Struktur Aktuell'!$D176,INDIRECT(J$5)))</f>
        <v>0</v>
      </c>
      <c r="K176" s="593">
        <f ca="1">$E176*(-SUMIF(INDIRECT(K$3),'Struktur Aktuell'!$D176,INDIRECT(K$4))+SUMIF(INDIRECT(K$3),'Struktur Aktuell'!$D176,INDIRECT(K$5)))</f>
        <v>0</v>
      </c>
      <c r="L176" s="593">
        <f ca="1">$E176*(-SUMIF(INDIRECT(L$3),'Struktur Aktuell'!$D176,INDIRECT(L$4))+SUMIF(INDIRECT(L$3),'Struktur Aktuell'!$D176,INDIRECT(L$5)))</f>
        <v>0</v>
      </c>
      <c r="M176" s="593">
        <f ca="1">$E176*(-SUMIF(INDIRECT(M$3),'Struktur Aktuell'!$D176,INDIRECT(M$4))+SUMIF(INDIRECT(M$3),'Struktur Aktuell'!$D176,INDIRECT(M$5)))</f>
        <v>0</v>
      </c>
      <c r="N176" s="593">
        <f ca="1">$E176*(-SUMIF(INDIRECT(N$3),'Struktur Aktuell'!$D176,INDIRECT(N$4))+SUMIF(INDIRECT(N$3),'Struktur Aktuell'!$D176,INDIRECT(N$5)))</f>
        <v>0</v>
      </c>
      <c r="O176" s="593">
        <f ca="1">$E176*(-SUMIF(INDIRECT(O$3),'Struktur Aktuell'!$D176,INDIRECT(O$4))+SUMIF(INDIRECT(O$3),'Struktur Aktuell'!$D176,INDIRECT(O$5)))</f>
        <v>0</v>
      </c>
      <c r="P176" s="593">
        <f ca="1">$E176*(-SUMIF(INDIRECT(P$3),'Struktur Aktuell'!$D176,INDIRECT(P$4))+SUMIF(INDIRECT(P$3),'Struktur Aktuell'!$D176,INDIRECT(P$5)))</f>
        <v>0</v>
      </c>
      <c r="Q176" s="593">
        <f ca="1">$E176*(-SUMIF(INDIRECT(Q$3),'Struktur Aktuell'!$D176,INDIRECT(Q$4))+SUMIF(INDIRECT(Q$3),'Struktur Aktuell'!$D176,INDIRECT(Q$5)))</f>
        <v>0</v>
      </c>
      <c r="R176" s="593">
        <f ca="1">$E176*(-SUMIF(INDIRECT(R$3),'Struktur Aktuell'!$D176,INDIRECT(R$4))+SUMIF(INDIRECT(R$3),'Struktur Aktuell'!$D176,INDIRECT(R$5)))</f>
        <v>0</v>
      </c>
      <c r="S176" s="593">
        <f ca="1">$E176*(-SUMIF(INDIRECT(S$3),'Struktur Aktuell'!$D176,INDIRECT(S$4))+SUMIF(INDIRECT(S$3),'Struktur Aktuell'!$D176,INDIRECT(S$5)))</f>
        <v>0</v>
      </c>
      <c r="T176" s="593">
        <f ca="1">$E176*(-SUMIF(INDIRECT(T$3),'Struktur Aktuell'!$D176,INDIRECT(T$4))+SUMIF(INDIRECT(T$3),'Struktur Aktuell'!$D176,INDIRECT(T$5)))</f>
        <v>0</v>
      </c>
      <c r="U176" s="593">
        <f ca="1">$E176*(-SUMIF(INDIRECT(U$3),'Struktur Aktuell'!$D176,INDIRECT(U$4))+SUMIF(INDIRECT(U$3),'Struktur Aktuell'!$D176,INDIRECT(U$5)))</f>
        <v>0</v>
      </c>
      <c r="V176" s="593">
        <f ca="1">$E176*(-SUMIF(INDIRECT(V$3),'Struktur Aktuell'!$D176,INDIRECT(V$4))+SUMIF(INDIRECT(V$3),'Struktur Aktuell'!$D176,INDIRECT(V$5)))</f>
        <v>0</v>
      </c>
      <c r="W176" s="593">
        <f ca="1">$E176*(-SUMIF(INDIRECT(W$3),'Struktur Aktuell'!$D176,INDIRECT(W$4))+SUMIF(INDIRECT(W$3),'Struktur Aktuell'!$D176,INDIRECT(W$5)))</f>
        <v>0</v>
      </c>
      <c r="X176" s="593">
        <f ca="1">$E176*(-SUMIF(INDIRECT(X$3),'Struktur Aktuell'!$D176,INDIRECT(X$4))+SUMIF(INDIRECT(X$3),'Struktur Aktuell'!$D176,INDIRECT(X$5)))</f>
        <v>0</v>
      </c>
      <c r="Y176" s="593">
        <f ca="1">$E176*(-SUMIF(INDIRECT(Y$3),'Struktur Aktuell'!$D176,INDIRECT(Y$4))+SUMIF(INDIRECT(Y$3),'Struktur Aktuell'!$D176,INDIRECT(Y$5)))</f>
        <v>0</v>
      </c>
      <c r="Z176" s="593">
        <f ca="1">$E176*(-SUMIF(INDIRECT(Z$3),'Struktur Aktuell'!$D176,INDIRECT(Z$4))+SUMIF(INDIRECT(Z$3),'Struktur Aktuell'!$D176,INDIRECT(Z$5)))</f>
        <v>0</v>
      </c>
      <c r="AA176" s="593">
        <f ca="1">$E176*(-SUMIF(INDIRECT(AA$3),'Struktur Aktuell'!$D176,INDIRECT(AA$4))+SUMIF(INDIRECT(AA$3),'Struktur Aktuell'!$D176,INDIRECT(AA$5)))</f>
        <v>0</v>
      </c>
      <c r="AB176" s="593">
        <f ca="1">$E176*(-SUMIF(INDIRECT(AB$3),'Struktur Aktuell'!$D176,INDIRECT(AB$4))+SUMIF(INDIRECT(AB$3),'Struktur Aktuell'!$D176,INDIRECT(AB$5)))</f>
        <v>0</v>
      </c>
      <c r="AC176" s="593">
        <f ca="1">$E176*(-SUMIF(INDIRECT(AC$3),'Struktur Aktuell'!$D176,INDIRECT(AC$4))+SUMIF(INDIRECT(AC$3),'Struktur Aktuell'!$D176,INDIRECT(AC$5)))</f>
        <v>0</v>
      </c>
      <c r="AD176" s="593">
        <f ca="1">$E176*(-SUMIF(INDIRECT(AD$3),'Struktur Aktuell'!$D176,INDIRECT(AD$4))+SUMIF(INDIRECT(AD$3),'Struktur Aktuell'!$D176,INDIRECT(AD$5)))</f>
        <v>0</v>
      </c>
      <c r="AE176" s="593">
        <f t="shared" ca="1" si="251"/>
        <v>0</v>
      </c>
      <c r="AF176" s="593">
        <f t="shared" ca="1" si="252"/>
        <v>0</v>
      </c>
      <c r="AG176" s="593">
        <f t="shared" ca="1" si="253"/>
        <v>0</v>
      </c>
      <c r="AH176" s="593">
        <f t="shared" ca="1" si="254"/>
        <v>0</v>
      </c>
      <c r="AI176" s="593">
        <f t="shared" ca="1" si="255"/>
        <v>0</v>
      </c>
      <c r="AJ176" s="593">
        <f t="shared" ca="1" si="256"/>
        <v>0</v>
      </c>
      <c r="AK176" s="593">
        <f t="shared" ca="1" si="257"/>
        <v>0</v>
      </c>
      <c r="AL176" s="593">
        <f t="shared" ca="1" si="258"/>
        <v>0</v>
      </c>
      <c r="AM176" s="593">
        <f t="shared" ca="1" si="259"/>
        <v>0</v>
      </c>
      <c r="AN176" s="593">
        <f t="shared" ca="1" si="260"/>
        <v>0</v>
      </c>
      <c r="AO176" s="593">
        <f t="shared" ca="1" si="261"/>
        <v>0</v>
      </c>
      <c r="AP176" s="593">
        <f t="shared" ca="1" si="262"/>
        <v>0</v>
      </c>
    </row>
    <row r="177" spans="1:42" s="589" customFormat="1" x14ac:dyDescent="0.2">
      <c r="A177" s="730"/>
      <c r="B177" s="731" t="s">
        <v>3</v>
      </c>
      <c r="C177" s="732">
        <f ca="1">SUM(G177:R177)</f>
        <v>21172.53</v>
      </c>
      <c r="D177" s="732"/>
      <c r="E177" s="733">
        <f t="shared" si="171"/>
        <v>1</v>
      </c>
      <c r="F177" s="730"/>
      <c r="G177" s="732">
        <f ca="1">G178+G188+G208+G219+G228+G238+G256+G267+G286+G293</f>
        <v>1130.45</v>
      </c>
      <c r="H177" s="732">
        <f t="shared" ref="H177:R177" ca="1" si="263">H178+H188+H208+H219+H228+H238+H256+H267+H286+H293</f>
        <v>2232.3599999999997</v>
      </c>
      <c r="I177" s="732">
        <f t="shared" ca="1" si="263"/>
        <v>3551.9599999999996</v>
      </c>
      <c r="J177" s="732">
        <f t="shared" ca="1" si="263"/>
        <v>3104.4</v>
      </c>
      <c r="K177" s="732">
        <f t="shared" ca="1" si="263"/>
        <v>3460.9599999999996</v>
      </c>
      <c r="L177" s="732">
        <f t="shared" ca="1" si="263"/>
        <v>2607.0100000000002</v>
      </c>
      <c r="M177" s="732">
        <f t="shared" ca="1" si="263"/>
        <v>1492.42</v>
      </c>
      <c r="N177" s="732">
        <f t="shared" ca="1" si="263"/>
        <v>1458.5199999999998</v>
      </c>
      <c r="O177" s="732">
        <f t="shared" ca="1" si="263"/>
        <v>872.1400000000001</v>
      </c>
      <c r="P177" s="732">
        <f t="shared" ca="1" si="263"/>
        <v>1262.31</v>
      </c>
      <c r="Q177" s="732">
        <f t="shared" ca="1" si="263"/>
        <v>0</v>
      </c>
      <c r="R177" s="732">
        <f t="shared" ca="1" si="263"/>
        <v>0</v>
      </c>
      <c r="S177" s="732">
        <f ca="1">S178+S188+S208+S219+S228+S238+S256+S267+S286+S293</f>
        <v>1130.45</v>
      </c>
      <c r="T177" s="732">
        <f t="shared" ref="T177:AD177" ca="1" si="264">T178+T188+T208+T219+T228+T238+T256+T267+T286+T293</f>
        <v>3362.8100000000004</v>
      </c>
      <c r="U177" s="732">
        <f t="shared" ca="1" si="264"/>
        <v>6914.77</v>
      </c>
      <c r="V177" s="732">
        <f t="shared" ca="1" si="264"/>
        <v>10019.17</v>
      </c>
      <c r="W177" s="732">
        <f t="shared" ca="1" si="264"/>
        <v>13480.13</v>
      </c>
      <c r="X177" s="732">
        <f t="shared" ca="1" si="264"/>
        <v>16087.140000000001</v>
      </c>
      <c r="Y177" s="732">
        <f t="shared" ca="1" si="264"/>
        <v>17579.560000000001</v>
      </c>
      <c r="Z177" s="732">
        <f t="shared" ca="1" si="264"/>
        <v>19038.080000000002</v>
      </c>
      <c r="AA177" s="732">
        <f t="shared" ca="1" si="264"/>
        <v>19910.22</v>
      </c>
      <c r="AB177" s="732">
        <f t="shared" ca="1" si="264"/>
        <v>21172.53</v>
      </c>
      <c r="AC177" s="732">
        <f t="shared" ca="1" si="264"/>
        <v>0</v>
      </c>
      <c r="AD177" s="732">
        <f t="shared" ca="1" si="264"/>
        <v>0</v>
      </c>
      <c r="AE177" s="732">
        <f ca="1">AE178+AE188+AE208+AE219+AE228+AE238+AE256+AE267+AE286+AE293</f>
        <v>1130.45</v>
      </c>
      <c r="AF177" s="732">
        <f t="shared" ref="AF177:AP177" ca="1" si="265">AF178+AF188+AF208+AF219+AF228+AF238+AF256+AF267+AF286+AF293</f>
        <v>3362.8100000000004</v>
      </c>
      <c r="AG177" s="732">
        <f t="shared" ca="1" si="265"/>
        <v>6914.77</v>
      </c>
      <c r="AH177" s="732">
        <f t="shared" ca="1" si="265"/>
        <v>10019.170000000002</v>
      </c>
      <c r="AI177" s="732">
        <f t="shared" ca="1" si="265"/>
        <v>13480.130000000001</v>
      </c>
      <c r="AJ177" s="732">
        <f t="shared" ca="1" si="265"/>
        <v>16087.140000000001</v>
      </c>
      <c r="AK177" s="732">
        <f t="shared" ca="1" si="265"/>
        <v>17579.560000000001</v>
      </c>
      <c r="AL177" s="732">
        <f t="shared" ca="1" si="265"/>
        <v>19038.080000000002</v>
      </c>
      <c r="AM177" s="732">
        <f t="shared" ca="1" si="265"/>
        <v>19910.22</v>
      </c>
      <c r="AN177" s="732">
        <f t="shared" ca="1" si="265"/>
        <v>21172.530000000006</v>
      </c>
      <c r="AO177" s="732">
        <f t="shared" ca="1" si="265"/>
        <v>21172.530000000006</v>
      </c>
      <c r="AP177" s="732">
        <f t="shared" ca="1" si="265"/>
        <v>21172.530000000006</v>
      </c>
    </row>
    <row r="178" spans="1:42" s="589" customFormat="1" x14ac:dyDescent="0.2">
      <c r="A178" s="585">
        <v>17</v>
      </c>
      <c r="B178" s="586" t="s">
        <v>4</v>
      </c>
      <c r="C178" s="587">
        <f ca="1">SUM(G178:R178)</f>
        <v>1871.5200000000002</v>
      </c>
      <c r="D178" s="587"/>
      <c r="E178" s="588">
        <f t="shared" si="171"/>
        <v>1</v>
      </c>
      <c r="F178" s="585"/>
      <c r="G178" s="587">
        <f t="shared" ref="G178:R178" ca="1" si="266">SUM(G179:G187)</f>
        <v>16.41</v>
      </c>
      <c r="H178" s="587">
        <f t="shared" ca="1" si="266"/>
        <v>31.85</v>
      </c>
      <c r="I178" s="587">
        <f t="shared" ca="1" si="266"/>
        <v>1260.5</v>
      </c>
      <c r="J178" s="587">
        <f t="shared" ca="1" si="266"/>
        <v>200.76</v>
      </c>
      <c r="K178" s="587">
        <f t="shared" ca="1" si="266"/>
        <v>16.489999999999998</v>
      </c>
      <c r="L178" s="587">
        <f t="shared" ca="1" si="266"/>
        <v>15.7</v>
      </c>
      <c r="M178" s="587">
        <f t="shared" ca="1" si="266"/>
        <v>254.24</v>
      </c>
      <c r="N178" s="587">
        <f t="shared" ca="1" si="266"/>
        <v>25.63</v>
      </c>
      <c r="O178" s="587">
        <f t="shared" ca="1" si="266"/>
        <v>0</v>
      </c>
      <c r="P178" s="587">
        <f t="shared" ca="1" si="266"/>
        <v>49.94</v>
      </c>
      <c r="Q178" s="587">
        <f t="shared" ca="1" si="266"/>
        <v>0</v>
      </c>
      <c r="R178" s="587">
        <f t="shared" ca="1" si="266"/>
        <v>0</v>
      </c>
      <c r="S178" s="587">
        <f t="shared" ref="S178:AP178" ca="1" si="267">SUM(S179:S187)</f>
        <v>16.41</v>
      </c>
      <c r="T178" s="587">
        <f t="shared" ca="1" si="267"/>
        <v>48.260000000000005</v>
      </c>
      <c r="U178" s="587">
        <f t="shared" ca="1" si="267"/>
        <v>1308.76</v>
      </c>
      <c r="V178" s="587">
        <f t="shared" ca="1" si="267"/>
        <v>1509.52</v>
      </c>
      <c r="W178" s="587">
        <f t="shared" ca="1" si="267"/>
        <v>1526.01</v>
      </c>
      <c r="X178" s="587">
        <f t="shared" ca="1" si="267"/>
        <v>1541.71</v>
      </c>
      <c r="Y178" s="587">
        <f t="shared" ca="1" si="267"/>
        <v>1795.95</v>
      </c>
      <c r="Z178" s="587">
        <f t="shared" ca="1" si="267"/>
        <v>1821.58</v>
      </c>
      <c r="AA178" s="587">
        <f t="shared" ca="1" si="267"/>
        <v>1821.58</v>
      </c>
      <c r="AB178" s="587">
        <f t="shared" ca="1" si="267"/>
        <v>1871.52</v>
      </c>
      <c r="AC178" s="587">
        <f t="shared" ca="1" si="267"/>
        <v>0</v>
      </c>
      <c r="AD178" s="587">
        <f t="shared" ca="1" si="267"/>
        <v>0</v>
      </c>
      <c r="AE178" s="587">
        <f t="shared" ca="1" si="267"/>
        <v>16.41</v>
      </c>
      <c r="AF178" s="587">
        <f t="shared" ca="1" si="267"/>
        <v>48.260000000000005</v>
      </c>
      <c r="AG178" s="587">
        <f t="shared" ca="1" si="267"/>
        <v>1308.76</v>
      </c>
      <c r="AH178" s="587">
        <f t="shared" ca="1" si="267"/>
        <v>1509.52</v>
      </c>
      <c r="AI178" s="587">
        <f t="shared" ca="1" si="267"/>
        <v>1526.01</v>
      </c>
      <c r="AJ178" s="587">
        <f t="shared" ca="1" si="267"/>
        <v>1541.71</v>
      </c>
      <c r="AK178" s="587">
        <f t="shared" ca="1" si="267"/>
        <v>1795.95</v>
      </c>
      <c r="AL178" s="587">
        <f t="shared" ca="1" si="267"/>
        <v>1821.58</v>
      </c>
      <c r="AM178" s="587">
        <f t="shared" ca="1" si="267"/>
        <v>1821.58</v>
      </c>
      <c r="AN178" s="587">
        <f t="shared" ca="1" si="267"/>
        <v>1871.52</v>
      </c>
      <c r="AO178" s="587">
        <f t="shared" ca="1" si="267"/>
        <v>1871.52</v>
      </c>
      <c r="AP178" s="587">
        <f t="shared" ca="1" si="267"/>
        <v>1871.52</v>
      </c>
    </row>
    <row r="179" spans="1:42" s="594" customFormat="1" ht="11.25" outlineLevel="1" x14ac:dyDescent="0.2">
      <c r="A179" s="590"/>
      <c r="B179" s="591" t="str">
        <f>IF(D179&lt;&gt;"",
IF(ISERROR(MATCH(D179,'Ist Aktuell Monat 01'!A:A,0))=FALSE,INDEX('Ist Aktuell Monat 01'!B:B,MATCH(D179,'Ist Aktuell Monat 01'!A:A,0)),
IF(ISERROR(MATCH(D179,'Ist Aktuell Monat 02'!A:A,0))=FALSE,INDEX('Ist Aktuell Monat 02'!B:B,MATCH(D179,'Ist Aktuell Monat 02'!A:A,0)),
IF(ISERROR(MATCH(D179,'Ist Aktuell Monat 03'!A:A,0))=FALSE,INDEX('Ist Aktuell Monat 03'!B:B,MATCH(D179,'Ist Aktuell Monat 03'!A:A,0)),
IF(ISERROR(MATCH(D179,'Ist Aktuell Monat 04'!A:A,0))=FALSE,INDEX('Ist Aktuell Monat 04'!B:B,MATCH(D179,'Ist Aktuell Monat 04'!A:A,0)),
IF(ISERROR(MATCH(D179,'Ist Aktuell Monat 05'!A:A,0))=FALSE,INDEX('Ist Aktuell Monat 05'!B:B,MATCH(D179,'Ist Aktuell Monat 05'!A:A,0)),
IF(ISERROR(MATCH(D179,'Ist Aktuell Monat 06'!A:A,0))=FALSE,INDEX('Ist Aktuell Monat 06'!B:B,MATCH(D179,'Ist Aktuell Monat 06'!A:A,0)),
IF(ISERROR(MATCH(D179,'Ist Aktuell Monat 07'!A:A,0))=FALSE,INDEX('Ist Aktuell Monat 07'!B:B,MATCH(D179,'Ist Aktuell Monat 07'!A:A,0)),
IF(ISERROR(MATCH(D179,'Ist Aktuell Monat 08'!A:A,0))=FALSE,INDEX('Ist Aktuell Monat 08'!B:B,MATCH(D179,'Ist Aktuell Monat 08'!A:A,0)),
IF(ISERROR(MATCH(D179,'Ist Aktuell Monat 09'!A:A,0))=FALSE,INDEX('Ist Aktuell Monat 09'!B:B,MATCH(D179,'Ist Aktuell Monat 09'!A:A,0)),
IF(ISERROR(MATCH(D179,'Ist Aktuell Monat 10'!A:A,0))=FALSE,INDEX('Ist Aktuell Monat 10'!B:B,MATCH(D179,'Ist Aktuell Monat 10'!A:A,0)),
IF(ISERROR(MATCH(D179,'Ist Aktuell Monat 11'!A:A,0))=FALSE,INDEX('Ist Aktuell Monat 11'!B:B,MATCH(D179,'Ist Aktuell Monat 11'!A:A,0)),
IF(ISERROR(MATCH(D179,'Ist Aktuell Monat 12'!A:A,0))=FALSE,INDEX('Ist Aktuell Monat 12'!B:B,MATCH(D179,'Ist Aktuell Monat 12'!A:A,0)),
"{Konto unbekannt}"
)))))))))))),"")</f>
        <v>Werbekosten</v>
      </c>
      <c r="C179" s="591"/>
      <c r="D179" s="590">
        <v>4600</v>
      </c>
      <c r="E179" s="592">
        <f t="shared" si="171"/>
        <v>1</v>
      </c>
      <c r="F179" s="590"/>
      <c r="G179" s="593">
        <f ca="1">$E179*(-SUMIF(INDIRECT(G$3),'Struktur Aktuell'!$D179,INDIRECT(G$4))+SUMIF(INDIRECT(G$3),'Struktur Aktuell'!$D179,INDIRECT(G$5)))</f>
        <v>0</v>
      </c>
      <c r="H179" s="593">
        <f ca="1">$E179*(-SUMIF(INDIRECT(H$3),'Struktur Aktuell'!$D179,INDIRECT(H$4))+SUMIF(INDIRECT(H$3),'Struktur Aktuell'!$D179,INDIRECT(H$5)))</f>
        <v>0</v>
      </c>
      <c r="I179" s="593">
        <f ca="1">$E179*(-SUMIF(INDIRECT(I$3),'Struktur Aktuell'!$D179,INDIRECT(I$4))+SUMIF(INDIRECT(I$3),'Struktur Aktuell'!$D179,INDIRECT(I$5)))</f>
        <v>1260.5</v>
      </c>
      <c r="J179" s="593">
        <f ca="1">$E179*(-SUMIF(INDIRECT(J$3),'Struktur Aktuell'!$D179,INDIRECT(J$4))+SUMIF(INDIRECT(J$3),'Struktur Aktuell'!$D179,INDIRECT(J$5)))</f>
        <v>45</v>
      </c>
      <c r="K179" s="593">
        <f ca="1">$E179*(-SUMIF(INDIRECT(K$3),'Struktur Aktuell'!$D179,INDIRECT(K$4))+SUMIF(INDIRECT(K$3),'Struktur Aktuell'!$D179,INDIRECT(K$5)))</f>
        <v>16.489999999999998</v>
      </c>
      <c r="L179" s="593">
        <f ca="1">$E179*(-SUMIF(INDIRECT(L$3),'Struktur Aktuell'!$D179,INDIRECT(L$4))+SUMIF(INDIRECT(L$3),'Struktur Aktuell'!$D179,INDIRECT(L$5)))</f>
        <v>0</v>
      </c>
      <c r="M179" s="593">
        <f ca="1">$E179*(-SUMIF(INDIRECT(M$3),'Struktur Aktuell'!$D179,INDIRECT(M$4))+SUMIF(INDIRECT(M$3),'Struktur Aktuell'!$D179,INDIRECT(M$5)))</f>
        <v>80.5</v>
      </c>
      <c r="N179" s="593">
        <f ca="1">$E179*(-SUMIF(INDIRECT(N$3),'Struktur Aktuell'!$D179,INDIRECT(N$4))+SUMIF(INDIRECT(N$3),'Struktur Aktuell'!$D179,INDIRECT(N$5)))</f>
        <v>0</v>
      </c>
      <c r="O179" s="593">
        <f ca="1">$E179*(-SUMIF(INDIRECT(O$3),'Struktur Aktuell'!$D179,INDIRECT(O$4))+SUMIF(INDIRECT(O$3),'Struktur Aktuell'!$D179,INDIRECT(O$5)))</f>
        <v>0</v>
      </c>
      <c r="P179" s="593">
        <f ca="1">$E179*(-SUMIF(INDIRECT(P$3),'Struktur Aktuell'!$D179,INDIRECT(P$4))+SUMIF(INDIRECT(P$3),'Struktur Aktuell'!$D179,INDIRECT(P$5)))</f>
        <v>0</v>
      </c>
      <c r="Q179" s="593">
        <f ca="1">$E179*(-SUMIF(INDIRECT(Q$3),'Struktur Aktuell'!$D179,INDIRECT(Q$4))+SUMIF(INDIRECT(Q$3),'Struktur Aktuell'!$D179,INDIRECT(Q$5)))</f>
        <v>0</v>
      </c>
      <c r="R179" s="593">
        <f ca="1">$E179*(-SUMIF(INDIRECT(R$3),'Struktur Aktuell'!$D179,INDIRECT(R$4))+SUMIF(INDIRECT(R$3),'Struktur Aktuell'!$D179,INDIRECT(R$5)))</f>
        <v>0</v>
      </c>
      <c r="S179" s="593">
        <f ca="1">$E179*(-SUMIF(INDIRECT(S$3),'Struktur Aktuell'!$D179,INDIRECT(S$4))+SUMIF(INDIRECT(S$3),'Struktur Aktuell'!$D179,INDIRECT(S$5)))</f>
        <v>0</v>
      </c>
      <c r="T179" s="593">
        <f ca="1">$E179*(-SUMIF(INDIRECT(T$3),'Struktur Aktuell'!$D179,INDIRECT(T$4))+SUMIF(INDIRECT(T$3),'Struktur Aktuell'!$D179,INDIRECT(T$5)))</f>
        <v>0</v>
      </c>
      <c r="U179" s="593">
        <f ca="1">$E179*(-SUMIF(INDIRECT(U$3),'Struktur Aktuell'!$D179,INDIRECT(U$4))+SUMIF(INDIRECT(U$3),'Struktur Aktuell'!$D179,INDIRECT(U$5)))</f>
        <v>1260.5</v>
      </c>
      <c r="V179" s="593">
        <f ca="1">$E179*(-SUMIF(INDIRECT(V$3),'Struktur Aktuell'!$D179,INDIRECT(V$4))+SUMIF(INDIRECT(V$3),'Struktur Aktuell'!$D179,INDIRECT(V$5)))</f>
        <v>1305.5</v>
      </c>
      <c r="W179" s="593">
        <f ca="1">$E179*(-SUMIF(INDIRECT(W$3),'Struktur Aktuell'!$D179,INDIRECT(W$4))+SUMIF(INDIRECT(W$3),'Struktur Aktuell'!$D179,INDIRECT(W$5)))</f>
        <v>1321.99</v>
      </c>
      <c r="X179" s="593">
        <f ca="1">$E179*(-SUMIF(INDIRECT(X$3),'Struktur Aktuell'!$D179,INDIRECT(X$4))+SUMIF(INDIRECT(X$3),'Struktur Aktuell'!$D179,INDIRECT(X$5)))</f>
        <v>1321.99</v>
      </c>
      <c r="Y179" s="593">
        <f ca="1">$E179*(-SUMIF(INDIRECT(Y$3),'Struktur Aktuell'!$D179,INDIRECT(Y$4))+SUMIF(INDIRECT(Y$3),'Struktur Aktuell'!$D179,INDIRECT(Y$5)))</f>
        <v>1402.49</v>
      </c>
      <c r="Z179" s="593">
        <f ca="1">$E179*(-SUMIF(INDIRECT(Z$3),'Struktur Aktuell'!$D179,INDIRECT(Z$4))+SUMIF(INDIRECT(Z$3),'Struktur Aktuell'!$D179,INDIRECT(Z$5)))</f>
        <v>1402.49</v>
      </c>
      <c r="AA179" s="593">
        <f ca="1">$E179*(-SUMIF(INDIRECT(AA$3),'Struktur Aktuell'!$D179,INDIRECT(AA$4))+SUMIF(INDIRECT(AA$3),'Struktur Aktuell'!$D179,INDIRECT(AA$5)))</f>
        <v>1402.49</v>
      </c>
      <c r="AB179" s="593">
        <f ca="1">$E179*(-SUMIF(INDIRECT(AB$3),'Struktur Aktuell'!$D179,INDIRECT(AB$4))+SUMIF(INDIRECT(AB$3),'Struktur Aktuell'!$D179,INDIRECT(AB$5)))</f>
        <v>1402.49</v>
      </c>
      <c r="AC179" s="593">
        <f ca="1">$E179*(-SUMIF(INDIRECT(AC$3),'Struktur Aktuell'!$D179,INDIRECT(AC$4))+SUMIF(INDIRECT(AC$3),'Struktur Aktuell'!$D179,INDIRECT(AC$5)))</f>
        <v>0</v>
      </c>
      <c r="AD179" s="593">
        <f ca="1">$E179*(-SUMIF(INDIRECT(AD$3),'Struktur Aktuell'!$D179,INDIRECT(AD$4))+SUMIF(INDIRECT(AD$3),'Struktur Aktuell'!$D179,INDIRECT(AD$5)))</f>
        <v>0</v>
      </c>
      <c r="AE179" s="593">
        <f t="shared" ref="AE179:AE187" ca="1" si="268">G179</f>
        <v>0</v>
      </c>
      <c r="AF179" s="593">
        <f t="shared" ref="AF179:AF187" ca="1" si="269">H179+AE179</f>
        <v>0</v>
      </c>
      <c r="AG179" s="593">
        <f t="shared" ref="AG179:AG187" ca="1" si="270">I179+AF179</f>
        <v>1260.5</v>
      </c>
      <c r="AH179" s="593">
        <f t="shared" ref="AH179:AH187" ca="1" si="271">J179+AG179</f>
        <v>1305.5</v>
      </c>
      <c r="AI179" s="593">
        <f t="shared" ref="AI179:AI187" ca="1" si="272">K179+AH179</f>
        <v>1321.99</v>
      </c>
      <c r="AJ179" s="593">
        <f t="shared" ref="AJ179:AJ187" ca="1" si="273">L179+AI179</f>
        <v>1321.99</v>
      </c>
      <c r="AK179" s="593">
        <f t="shared" ref="AK179:AK187" ca="1" si="274">M179+AJ179</f>
        <v>1402.49</v>
      </c>
      <c r="AL179" s="593">
        <f t="shared" ref="AL179:AL187" ca="1" si="275">N179+AK179</f>
        <v>1402.49</v>
      </c>
      <c r="AM179" s="593">
        <f t="shared" ref="AM179:AM187" ca="1" si="276">O179+AL179</f>
        <v>1402.49</v>
      </c>
      <c r="AN179" s="593">
        <f t="shared" ref="AN179:AN187" ca="1" si="277">P179+AM179</f>
        <v>1402.49</v>
      </c>
      <c r="AO179" s="593">
        <f t="shared" ref="AO179:AO187" ca="1" si="278">Q179+AN179</f>
        <v>1402.49</v>
      </c>
      <c r="AP179" s="593">
        <f t="shared" ref="AP179:AP187" ca="1" si="279">R179+AO179</f>
        <v>1402.49</v>
      </c>
    </row>
    <row r="180" spans="1:42" s="594" customFormat="1" ht="11.25" outlineLevel="1" x14ac:dyDescent="0.2">
      <c r="A180" s="590"/>
      <c r="B180" s="591" t="str">
        <f>IF(D180&lt;&gt;"",
IF(ISERROR(MATCH(D180,'Ist Aktuell Monat 01'!A:A,0))=FALSE,INDEX('Ist Aktuell Monat 01'!B:B,MATCH(D180,'Ist Aktuell Monat 01'!A:A,0)),
IF(ISERROR(MATCH(D180,'Ist Aktuell Monat 02'!A:A,0))=FALSE,INDEX('Ist Aktuell Monat 02'!B:B,MATCH(D180,'Ist Aktuell Monat 02'!A:A,0)),
IF(ISERROR(MATCH(D180,'Ist Aktuell Monat 03'!A:A,0))=FALSE,INDEX('Ist Aktuell Monat 03'!B:B,MATCH(D180,'Ist Aktuell Monat 03'!A:A,0)),
IF(ISERROR(MATCH(D180,'Ist Aktuell Monat 04'!A:A,0))=FALSE,INDEX('Ist Aktuell Monat 04'!B:B,MATCH(D180,'Ist Aktuell Monat 04'!A:A,0)),
IF(ISERROR(MATCH(D180,'Ist Aktuell Monat 05'!A:A,0))=FALSE,INDEX('Ist Aktuell Monat 05'!B:B,MATCH(D180,'Ist Aktuell Monat 05'!A:A,0)),
IF(ISERROR(MATCH(D180,'Ist Aktuell Monat 06'!A:A,0))=FALSE,INDEX('Ist Aktuell Monat 06'!B:B,MATCH(D180,'Ist Aktuell Monat 06'!A:A,0)),
IF(ISERROR(MATCH(D180,'Ist Aktuell Monat 07'!A:A,0))=FALSE,INDEX('Ist Aktuell Monat 07'!B:B,MATCH(D180,'Ist Aktuell Monat 07'!A:A,0)),
IF(ISERROR(MATCH(D180,'Ist Aktuell Monat 08'!A:A,0))=FALSE,INDEX('Ist Aktuell Monat 08'!B:B,MATCH(D180,'Ist Aktuell Monat 08'!A:A,0)),
IF(ISERROR(MATCH(D180,'Ist Aktuell Monat 09'!A:A,0))=FALSE,INDEX('Ist Aktuell Monat 09'!B:B,MATCH(D180,'Ist Aktuell Monat 09'!A:A,0)),
IF(ISERROR(MATCH(D180,'Ist Aktuell Monat 10'!A:A,0))=FALSE,INDEX('Ist Aktuell Monat 10'!B:B,MATCH(D180,'Ist Aktuell Monat 10'!A:A,0)),
IF(ISERROR(MATCH(D180,'Ist Aktuell Monat 11'!A:A,0))=FALSE,INDEX('Ist Aktuell Monat 11'!B:B,MATCH(D180,'Ist Aktuell Monat 11'!A:A,0)),
IF(ISERROR(MATCH(D180,'Ist Aktuell Monat 12'!A:A,0))=FALSE,INDEX('Ist Aktuell Monat 12'!B:B,MATCH(D180,'Ist Aktuell Monat 12'!A:A,0)),
"{Konto unbekannt}"
)))))))))))),"")</f>
        <v>Bewirtungskosten</v>
      </c>
      <c r="C180" s="591"/>
      <c r="D180" s="590">
        <v>4650</v>
      </c>
      <c r="E180" s="592">
        <f t="shared" si="171"/>
        <v>1</v>
      </c>
      <c r="F180" s="590"/>
      <c r="G180" s="593">
        <f ca="1">$E180*(-SUMIF(INDIRECT(G$3),'Struktur Aktuell'!$D180,INDIRECT(G$4))+SUMIF(INDIRECT(G$3),'Struktur Aktuell'!$D180,INDIRECT(G$5)))</f>
        <v>11</v>
      </c>
      <c r="H180" s="593">
        <f ca="1">$E180*(-SUMIF(INDIRECT(H$3),'Struktur Aktuell'!$D180,INDIRECT(H$4))+SUMIF(INDIRECT(H$3),'Struktur Aktuell'!$D180,INDIRECT(H$5)))</f>
        <v>21.35</v>
      </c>
      <c r="I180" s="593">
        <f ca="1">$E180*(-SUMIF(INDIRECT(I$3),'Struktur Aktuell'!$D180,INDIRECT(I$4))+SUMIF(INDIRECT(I$3),'Struktur Aktuell'!$D180,INDIRECT(I$5)))</f>
        <v>0</v>
      </c>
      <c r="J180" s="593">
        <f ca="1">$E180*(-SUMIF(INDIRECT(J$3),'Struktur Aktuell'!$D180,INDIRECT(J$4))+SUMIF(INDIRECT(J$3),'Struktur Aktuell'!$D180,INDIRECT(J$5)))</f>
        <v>104.41</v>
      </c>
      <c r="K180" s="593">
        <f ca="1">$E180*(-SUMIF(INDIRECT(K$3),'Struktur Aktuell'!$D180,INDIRECT(K$4))+SUMIF(INDIRECT(K$3),'Struktur Aktuell'!$D180,INDIRECT(K$5)))</f>
        <v>0</v>
      </c>
      <c r="L180" s="593">
        <f ca="1">$E180*(-SUMIF(INDIRECT(L$3),'Struktur Aktuell'!$D180,INDIRECT(L$4))+SUMIF(INDIRECT(L$3),'Struktur Aktuell'!$D180,INDIRECT(L$5)))</f>
        <v>0</v>
      </c>
      <c r="M180" s="593">
        <f ca="1">$E180*(-SUMIF(INDIRECT(M$3),'Struktur Aktuell'!$D180,INDIRECT(M$4))+SUMIF(INDIRECT(M$3),'Struktur Aktuell'!$D180,INDIRECT(M$5)))</f>
        <v>133.94</v>
      </c>
      <c r="N180" s="593">
        <f ca="1">$E180*(-SUMIF(INDIRECT(N$3),'Struktur Aktuell'!$D180,INDIRECT(N$4))+SUMIF(INDIRECT(N$3),'Struktur Aktuell'!$D180,INDIRECT(N$5)))</f>
        <v>0</v>
      </c>
      <c r="O180" s="593">
        <f ca="1">$E180*(-SUMIF(INDIRECT(O$3),'Struktur Aktuell'!$D180,INDIRECT(O$4))+SUMIF(INDIRECT(O$3),'Struktur Aktuell'!$D180,INDIRECT(O$5)))</f>
        <v>0</v>
      </c>
      <c r="P180" s="593">
        <f ca="1">$E180*(-SUMIF(INDIRECT(P$3),'Struktur Aktuell'!$D180,INDIRECT(P$4))+SUMIF(INDIRECT(P$3),'Struktur Aktuell'!$D180,INDIRECT(P$5)))</f>
        <v>33.479999999999997</v>
      </c>
      <c r="Q180" s="593">
        <f ca="1">$E180*(-SUMIF(INDIRECT(Q$3),'Struktur Aktuell'!$D180,INDIRECT(Q$4))+SUMIF(INDIRECT(Q$3),'Struktur Aktuell'!$D180,INDIRECT(Q$5)))</f>
        <v>0</v>
      </c>
      <c r="R180" s="593">
        <f ca="1">$E180*(-SUMIF(INDIRECT(R$3),'Struktur Aktuell'!$D180,INDIRECT(R$4))+SUMIF(INDIRECT(R$3),'Struktur Aktuell'!$D180,INDIRECT(R$5)))</f>
        <v>0</v>
      </c>
      <c r="S180" s="593">
        <f ca="1">$E180*(-SUMIF(INDIRECT(S$3),'Struktur Aktuell'!$D180,INDIRECT(S$4))+SUMIF(INDIRECT(S$3),'Struktur Aktuell'!$D180,INDIRECT(S$5)))</f>
        <v>11</v>
      </c>
      <c r="T180" s="593">
        <f ca="1">$E180*(-SUMIF(INDIRECT(T$3),'Struktur Aktuell'!$D180,INDIRECT(T$4))+SUMIF(INDIRECT(T$3),'Struktur Aktuell'!$D180,INDIRECT(T$5)))</f>
        <v>32.35</v>
      </c>
      <c r="U180" s="593">
        <f ca="1">$E180*(-SUMIF(INDIRECT(U$3),'Struktur Aktuell'!$D180,INDIRECT(U$4))+SUMIF(INDIRECT(U$3),'Struktur Aktuell'!$D180,INDIRECT(U$5)))</f>
        <v>32.35</v>
      </c>
      <c r="V180" s="593">
        <f ca="1">$E180*(-SUMIF(INDIRECT(V$3),'Struktur Aktuell'!$D180,INDIRECT(V$4))+SUMIF(INDIRECT(V$3),'Struktur Aktuell'!$D180,INDIRECT(V$5)))</f>
        <v>136.76</v>
      </c>
      <c r="W180" s="593">
        <f ca="1">$E180*(-SUMIF(INDIRECT(W$3),'Struktur Aktuell'!$D180,INDIRECT(W$4))+SUMIF(INDIRECT(W$3),'Struktur Aktuell'!$D180,INDIRECT(W$5)))</f>
        <v>136.76</v>
      </c>
      <c r="X180" s="593">
        <f ca="1">$E180*(-SUMIF(INDIRECT(X$3),'Struktur Aktuell'!$D180,INDIRECT(X$4))+SUMIF(INDIRECT(X$3),'Struktur Aktuell'!$D180,INDIRECT(X$5)))</f>
        <v>136.76</v>
      </c>
      <c r="Y180" s="593">
        <f ca="1">$E180*(-SUMIF(INDIRECT(Y$3),'Struktur Aktuell'!$D180,INDIRECT(Y$4))+SUMIF(INDIRECT(Y$3),'Struktur Aktuell'!$D180,INDIRECT(Y$5)))</f>
        <v>270.7</v>
      </c>
      <c r="Z180" s="593">
        <f ca="1">$E180*(-SUMIF(INDIRECT(Z$3),'Struktur Aktuell'!$D180,INDIRECT(Z$4))+SUMIF(INDIRECT(Z$3),'Struktur Aktuell'!$D180,INDIRECT(Z$5)))</f>
        <v>270.7</v>
      </c>
      <c r="AA180" s="593">
        <f ca="1">$E180*(-SUMIF(INDIRECT(AA$3),'Struktur Aktuell'!$D180,INDIRECT(AA$4))+SUMIF(INDIRECT(AA$3),'Struktur Aktuell'!$D180,INDIRECT(AA$5)))</f>
        <v>270.7</v>
      </c>
      <c r="AB180" s="593">
        <f ca="1">$E180*(-SUMIF(INDIRECT(AB$3),'Struktur Aktuell'!$D180,INDIRECT(AB$4))+SUMIF(INDIRECT(AB$3),'Struktur Aktuell'!$D180,INDIRECT(AB$5)))</f>
        <v>304.18</v>
      </c>
      <c r="AC180" s="593">
        <f ca="1">$E180*(-SUMIF(INDIRECT(AC$3),'Struktur Aktuell'!$D180,INDIRECT(AC$4))+SUMIF(INDIRECT(AC$3),'Struktur Aktuell'!$D180,INDIRECT(AC$5)))</f>
        <v>0</v>
      </c>
      <c r="AD180" s="593">
        <f ca="1">$E180*(-SUMIF(INDIRECT(AD$3),'Struktur Aktuell'!$D180,INDIRECT(AD$4))+SUMIF(INDIRECT(AD$3),'Struktur Aktuell'!$D180,INDIRECT(AD$5)))</f>
        <v>0</v>
      </c>
      <c r="AE180" s="593">
        <f t="shared" ca="1" si="268"/>
        <v>11</v>
      </c>
      <c r="AF180" s="593">
        <f t="shared" ca="1" si="269"/>
        <v>32.35</v>
      </c>
      <c r="AG180" s="593">
        <f t="shared" ca="1" si="270"/>
        <v>32.35</v>
      </c>
      <c r="AH180" s="593">
        <f t="shared" ca="1" si="271"/>
        <v>136.76</v>
      </c>
      <c r="AI180" s="593">
        <f t="shared" ca="1" si="272"/>
        <v>136.76</v>
      </c>
      <c r="AJ180" s="593">
        <f t="shared" ca="1" si="273"/>
        <v>136.76</v>
      </c>
      <c r="AK180" s="593">
        <f t="shared" ca="1" si="274"/>
        <v>270.7</v>
      </c>
      <c r="AL180" s="593">
        <f t="shared" ca="1" si="275"/>
        <v>270.7</v>
      </c>
      <c r="AM180" s="593">
        <f t="shared" ca="1" si="276"/>
        <v>270.7</v>
      </c>
      <c r="AN180" s="593">
        <f t="shared" ca="1" si="277"/>
        <v>304.18</v>
      </c>
      <c r="AO180" s="593">
        <f t="shared" ca="1" si="278"/>
        <v>304.18</v>
      </c>
      <c r="AP180" s="593">
        <f t="shared" ca="1" si="279"/>
        <v>304.18</v>
      </c>
    </row>
    <row r="181" spans="1:42" s="594" customFormat="1" ht="11.25" outlineLevel="1" x14ac:dyDescent="0.2">
      <c r="A181" s="590"/>
      <c r="B181" s="591" t="str">
        <f>IF(D181&lt;&gt;"",
IF(ISERROR(MATCH(D181,'Ist Aktuell Monat 01'!A:A,0))=FALSE,INDEX('Ist Aktuell Monat 01'!B:B,MATCH(D181,'Ist Aktuell Monat 01'!A:A,0)),
IF(ISERROR(MATCH(D181,'Ist Aktuell Monat 02'!A:A,0))=FALSE,INDEX('Ist Aktuell Monat 02'!B:B,MATCH(D181,'Ist Aktuell Monat 02'!A:A,0)),
IF(ISERROR(MATCH(D181,'Ist Aktuell Monat 03'!A:A,0))=FALSE,INDEX('Ist Aktuell Monat 03'!B:B,MATCH(D181,'Ist Aktuell Monat 03'!A:A,0)),
IF(ISERROR(MATCH(D181,'Ist Aktuell Monat 04'!A:A,0))=FALSE,INDEX('Ist Aktuell Monat 04'!B:B,MATCH(D181,'Ist Aktuell Monat 04'!A:A,0)),
IF(ISERROR(MATCH(D181,'Ist Aktuell Monat 05'!A:A,0))=FALSE,INDEX('Ist Aktuell Monat 05'!B:B,MATCH(D181,'Ist Aktuell Monat 05'!A:A,0)),
IF(ISERROR(MATCH(D181,'Ist Aktuell Monat 06'!A:A,0))=FALSE,INDEX('Ist Aktuell Monat 06'!B:B,MATCH(D181,'Ist Aktuell Monat 06'!A:A,0)),
IF(ISERROR(MATCH(D181,'Ist Aktuell Monat 07'!A:A,0))=FALSE,INDEX('Ist Aktuell Monat 07'!B:B,MATCH(D181,'Ist Aktuell Monat 07'!A:A,0)),
IF(ISERROR(MATCH(D181,'Ist Aktuell Monat 08'!A:A,0))=FALSE,INDEX('Ist Aktuell Monat 08'!B:B,MATCH(D181,'Ist Aktuell Monat 08'!A:A,0)),
IF(ISERROR(MATCH(D181,'Ist Aktuell Monat 09'!A:A,0))=FALSE,INDEX('Ist Aktuell Monat 09'!B:B,MATCH(D181,'Ist Aktuell Monat 09'!A:A,0)),
IF(ISERROR(MATCH(D181,'Ist Aktuell Monat 10'!A:A,0))=FALSE,INDEX('Ist Aktuell Monat 10'!B:B,MATCH(D181,'Ist Aktuell Monat 10'!A:A,0)),
IF(ISERROR(MATCH(D181,'Ist Aktuell Monat 11'!A:A,0))=FALSE,INDEX('Ist Aktuell Monat 11'!B:B,MATCH(D181,'Ist Aktuell Monat 11'!A:A,0)),
IF(ISERROR(MATCH(D181,'Ist Aktuell Monat 12'!A:A,0))=FALSE,INDEX('Ist Aktuell Monat 12'!B:B,MATCH(D181,'Ist Aktuell Monat 12'!A:A,0)),
"{Konto unbekannt}"
)))))))))))),"")</f>
        <v>Nicht abzugsfähige Bewirtungskosten</v>
      </c>
      <c r="C181" s="591"/>
      <c r="D181" s="590">
        <v>4654</v>
      </c>
      <c r="E181" s="592">
        <f t="shared" si="171"/>
        <v>1</v>
      </c>
      <c r="F181" s="590"/>
      <c r="G181" s="593">
        <f ca="1">$E181*(-SUMIF(INDIRECT(G$3),'Struktur Aktuell'!$D181,INDIRECT(G$4))+SUMIF(INDIRECT(G$3),'Struktur Aktuell'!$D181,INDIRECT(G$5)))</f>
        <v>5.41</v>
      </c>
      <c r="H181" s="593">
        <f ca="1">$E181*(-SUMIF(INDIRECT(H$3),'Struktur Aktuell'!$D181,INDIRECT(H$4))+SUMIF(INDIRECT(H$3),'Struktur Aktuell'!$D181,INDIRECT(H$5)))</f>
        <v>10.5</v>
      </c>
      <c r="I181" s="593">
        <f ca="1">$E181*(-SUMIF(INDIRECT(I$3),'Struktur Aktuell'!$D181,INDIRECT(I$4))+SUMIF(INDIRECT(I$3),'Struktur Aktuell'!$D181,INDIRECT(I$5)))</f>
        <v>0</v>
      </c>
      <c r="J181" s="593">
        <f ca="1">$E181*(-SUMIF(INDIRECT(J$3),'Struktur Aktuell'!$D181,INDIRECT(J$4))+SUMIF(INDIRECT(J$3),'Struktur Aktuell'!$D181,INDIRECT(J$5)))</f>
        <v>51.35</v>
      </c>
      <c r="K181" s="593">
        <f ca="1">$E181*(-SUMIF(INDIRECT(K$3),'Struktur Aktuell'!$D181,INDIRECT(K$4))+SUMIF(INDIRECT(K$3),'Struktur Aktuell'!$D181,INDIRECT(K$5)))</f>
        <v>0</v>
      </c>
      <c r="L181" s="593">
        <f ca="1">$E181*(-SUMIF(INDIRECT(L$3),'Struktur Aktuell'!$D181,INDIRECT(L$4))+SUMIF(INDIRECT(L$3),'Struktur Aktuell'!$D181,INDIRECT(L$5)))</f>
        <v>0</v>
      </c>
      <c r="M181" s="593">
        <f ca="1">$E181*(-SUMIF(INDIRECT(M$3),'Struktur Aktuell'!$D181,INDIRECT(M$4))+SUMIF(INDIRECT(M$3),'Struktur Aktuell'!$D181,INDIRECT(M$5)))</f>
        <v>39.799999999999997</v>
      </c>
      <c r="N181" s="593">
        <f ca="1">$E181*(-SUMIF(INDIRECT(N$3),'Struktur Aktuell'!$D181,INDIRECT(N$4))+SUMIF(INDIRECT(N$3),'Struktur Aktuell'!$D181,INDIRECT(N$5)))</f>
        <v>0</v>
      </c>
      <c r="O181" s="593">
        <f ca="1">$E181*(-SUMIF(INDIRECT(O$3),'Struktur Aktuell'!$D181,INDIRECT(O$4))+SUMIF(INDIRECT(O$3),'Struktur Aktuell'!$D181,INDIRECT(O$5)))</f>
        <v>0</v>
      </c>
      <c r="P181" s="593">
        <f ca="1">$E181*(-SUMIF(INDIRECT(P$3),'Struktur Aktuell'!$D181,INDIRECT(P$4))+SUMIF(INDIRECT(P$3),'Struktur Aktuell'!$D181,INDIRECT(P$5)))</f>
        <v>16.46</v>
      </c>
      <c r="Q181" s="593">
        <f ca="1">$E181*(-SUMIF(INDIRECT(Q$3),'Struktur Aktuell'!$D181,INDIRECT(Q$4))+SUMIF(INDIRECT(Q$3),'Struktur Aktuell'!$D181,INDIRECT(Q$5)))</f>
        <v>0</v>
      </c>
      <c r="R181" s="593">
        <f ca="1">$E181*(-SUMIF(INDIRECT(R$3),'Struktur Aktuell'!$D181,INDIRECT(R$4))+SUMIF(INDIRECT(R$3),'Struktur Aktuell'!$D181,INDIRECT(R$5)))</f>
        <v>0</v>
      </c>
      <c r="S181" s="593">
        <f ca="1">$E181*(-SUMIF(INDIRECT(S$3),'Struktur Aktuell'!$D181,INDIRECT(S$4))+SUMIF(INDIRECT(S$3),'Struktur Aktuell'!$D181,INDIRECT(S$5)))</f>
        <v>5.41</v>
      </c>
      <c r="T181" s="593">
        <f ca="1">$E181*(-SUMIF(INDIRECT(T$3),'Struktur Aktuell'!$D181,INDIRECT(T$4))+SUMIF(INDIRECT(T$3),'Struktur Aktuell'!$D181,INDIRECT(T$5)))</f>
        <v>15.91</v>
      </c>
      <c r="U181" s="593">
        <f ca="1">$E181*(-SUMIF(INDIRECT(U$3),'Struktur Aktuell'!$D181,INDIRECT(U$4))+SUMIF(INDIRECT(U$3),'Struktur Aktuell'!$D181,INDIRECT(U$5)))</f>
        <v>15.91</v>
      </c>
      <c r="V181" s="593">
        <f ca="1">$E181*(-SUMIF(INDIRECT(V$3),'Struktur Aktuell'!$D181,INDIRECT(V$4))+SUMIF(INDIRECT(V$3),'Struktur Aktuell'!$D181,INDIRECT(V$5)))</f>
        <v>67.260000000000005</v>
      </c>
      <c r="W181" s="593">
        <f ca="1">$E181*(-SUMIF(INDIRECT(W$3),'Struktur Aktuell'!$D181,INDIRECT(W$4))+SUMIF(INDIRECT(W$3),'Struktur Aktuell'!$D181,INDIRECT(W$5)))</f>
        <v>67.260000000000005</v>
      </c>
      <c r="X181" s="593">
        <f ca="1">$E181*(-SUMIF(INDIRECT(X$3),'Struktur Aktuell'!$D181,INDIRECT(X$4))+SUMIF(INDIRECT(X$3),'Struktur Aktuell'!$D181,INDIRECT(X$5)))</f>
        <v>67.260000000000005</v>
      </c>
      <c r="Y181" s="593">
        <f ca="1">$E181*(-SUMIF(INDIRECT(Y$3),'Struktur Aktuell'!$D181,INDIRECT(Y$4))+SUMIF(INDIRECT(Y$3),'Struktur Aktuell'!$D181,INDIRECT(Y$5)))</f>
        <v>107.06</v>
      </c>
      <c r="Z181" s="593">
        <f ca="1">$E181*(-SUMIF(INDIRECT(Z$3),'Struktur Aktuell'!$D181,INDIRECT(Z$4))+SUMIF(INDIRECT(Z$3),'Struktur Aktuell'!$D181,INDIRECT(Z$5)))</f>
        <v>107.06</v>
      </c>
      <c r="AA181" s="593">
        <f ca="1">$E181*(-SUMIF(INDIRECT(AA$3),'Struktur Aktuell'!$D181,INDIRECT(AA$4))+SUMIF(INDIRECT(AA$3),'Struktur Aktuell'!$D181,INDIRECT(AA$5)))</f>
        <v>107.06</v>
      </c>
      <c r="AB181" s="593">
        <f ca="1">$E181*(-SUMIF(INDIRECT(AB$3),'Struktur Aktuell'!$D181,INDIRECT(AB$4))+SUMIF(INDIRECT(AB$3),'Struktur Aktuell'!$D181,INDIRECT(AB$5)))</f>
        <v>123.52</v>
      </c>
      <c r="AC181" s="593">
        <f ca="1">$E181*(-SUMIF(INDIRECT(AC$3),'Struktur Aktuell'!$D181,INDIRECT(AC$4))+SUMIF(INDIRECT(AC$3),'Struktur Aktuell'!$D181,INDIRECT(AC$5)))</f>
        <v>0</v>
      </c>
      <c r="AD181" s="593">
        <f ca="1">$E181*(-SUMIF(INDIRECT(AD$3),'Struktur Aktuell'!$D181,INDIRECT(AD$4))+SUMIF(INDIRECT(AD$3),'Struktur Aktuell'!$D181,INDIRECT(AD$5)))</f>
        <v>0</v>
      </c>
      <c r="AE181" s="593">
        <f t="shared" ca="1" si="268"/>
        <v>5.41</v>
      </c>
      <c r="AF181" s="593">
        <f t="shared" ca="1" si="269"/>
        <v>15.91</v>
      </c>
      <c r="AG181" s="593">
        <f t="shared" ca="1" si="270"/>
        <v>15.91</v>
      </c>
      <c r="AH181" s="593">
        <f t="shared" ca="1" si="271"/>
        <v>67.260000000000005</v>
      </c>
      <c r="AI181" s="593">
        <f t="shared" ca="1" si="272"/>
        <v>67.260000000000005</v>
      </c>
      <c r="AJ181" s="593">
        <f t="shared" ca="1" si="273"/>
        <v>67.260000000000005</v>
      </c>
      <c r="AK181" s="593">
        <f t="shared" ca="1" si="274"/>
        <v>107.06</v>
      </c>
      <c r="AL181" s="593">
        <f t="shared" ca="1" si="275"/>
        <v>107.06</v>
      </c>
      <c r="AM181" s="593">
        <f t="shared" ca="1" si="276"/>
        <v>107.06</v>
      </c>
      <c r="AN181" s="593">
        <f t="shared" ca="1" si="277"/>
        <v>123.52000000000001</v>
      </c>
      <c r="AO181" s="593">
        <f t="shared" ca="1" si="278"/>
        <v>123.52000000000001</v>
      </c>
      <c r="AP181" s="593">
        <f t="shared" ca="1" si="279"/>
        <v>123.52000000000001</v>
      </c>
    </row>
    <row r="182" spans="1:42" s="594" customFormat="1" ht="11.25" outlineLevel="1" x14ac:dyDescent="0.2">
      <c r="A182" s="590"/>
      <c r="B182" s="591" t="str">
        <f>IF(D182&lt;&gt;"",
IF(ISERROR(MATCH(D182,'Ist Aktuell Monat 01'!A:A,0))=FALSE,INDEX('Ist Aktuell Monat 01'!B:B,MATCH(D182,'Ist Aktuell Monat 01'!A:A,0)),
IF(ISERROR(MATCH(D182,'Ist Aktuell Monat 02'!A:A,0))=FALSE,INDEX('Ist Aktuell Monat 02'!B:B,MATCH(D182,'Ist Aktuell Monat 02'!A:A,0)),
IF(ISERROR(MATCH(D182,'Ist Aktuell Monat 03'!A:A,0))=FALSE,INDEX('Ist Aktuell Monat 03'!B:B,MATCH(D182,'Ist Aktuell Monat 03'!A:A,0)),
IF(ISERROR(MATCH(D182,'Ist Aktuell Monat 04'!A:A,0))=FALSE,INDEX('Ist Aktuell Monat 04'!B:B,MATCH(D182,'Ist Aktuell Monat 04'!A:A,0)),
IF(ISERROR(MATCH(D182,'Ist Aktuell Monat 05'!A:A,0))=FALSE,INDEX('Ist Aktuell Monat 05'!B:B,MATCH(D182,'Ist Aktuell Monat 05'!A:A,0)),
IF(ISERROR(MATCH(D182,'Ist Aktuell Monat 06'!A:A,0))=FALSE,INDEX('Ist Aktuell Monat 06'!B:B,MATCH(D182,'Ist Aktuell Monat 06'!A:A,0)),
IF(ISERROR(MATCH(D182,'Ist Aktuell Monat 07'!A:A,0))=FALSE,INDEX('Ist Aktuell Monat 07'!B:B,MATCH(D182,'Ist Aktuell Monat 07'!A:A,0)),
IF(ISERROR(MATCH(D182,'Ist Aktuell Monat 08'!A:A,0))=FALSE,INDEX('Ist Aktuell Monat 08'!B:B,MATCH(D182,'Ist Aktuell Monat 08'!A:A,0)),
IF(ISERROR(MATCH(D182,'Ist Aktuell Monat 09'!A:A,0))=FALSE,INDEX('Ist Aktuell Monat 09'!B:B,MATCH(D182,'Ist Aktuell Monat 09'!A:A,0)),
IF(ISERROR(MATCH(D182,'Ist Aktuell Monat 10'!A:A,0))=FALSE,INDEX('Ist Aktuell Monat 10'!B:B,MATCH(D182,'Ist Aktuell Monat 10'!A:A,0)),
IF(ISERROR(MATCH(D182,'Ist Aktuell Monat 11'!A:A,0))=FALSE,INDEX('Ist Aktuell Monat 11'!B:B,MATCH(D182,'Ist Aktuell Monat 11'!A:A,0)),
IF(ISERROR(MATCH(D182,'Ist Aktuell Monat 12'!A:A,0))=FALSE,INDEX('Ist Aktuell Monat 12'!B:B,MATCH(D182,'Ist Aktuell Monat 12'!A:A,0)),
"{Konto unbekannt}"
)))))))))))),"")</f>
        <v>Nicht abzugsfähige Betriebsausgaben</v>
      </c>
      <c r="C182" s="591"/>
      <c r="D182" s="590">
        <v>4655</v>
      </c>
      <c r="E182" s="592">
        <f t="shared" si="171"/>
        <v>1</v>
      </c>
      <c r="F182" s="590"/>
      <c r="G182" s="593">
        <f ca="1">$E182*(-SUMIF(INDIRECT(G$3),'Struktur Aktuell'!$D182,INDIRECT(G$4))+SUMIF(INDIRECT(G$3),'Struktur Aktuell'!$D182,INDIRECT(G$5)))</f>
        <v>0</v>
      </c>
      <c r="H182" s="593">
        <f ca="1">$E182*(-SUMIF(INDIRECT(H$3),'Struktur Aktuell'!$D182,INDIRECT(H$4))+SUMIF(INDIRECT(H$3),'Struktur Aktuell'!$D182,INDIRECT(H$5)))</f>
        <v>0</v>
      </c>
      <c r="I182" s="593">
        <f ca="1">$E182*(-SUMIF(INDIRECT(I$3),'Struktur Aktuell'!$D182,INDIRECT(I$4))+SUMIF(INDIRECT(I$3),'Struktur Aktuell'!$D182,INDIRECT(I$5)))</f>
        <v>0</v>
      </c>
      <c r="J182" s="593">
        <f ca="1">$E182*(-SUMIF(INDIRECT(J$3),'Struktur Aktuell'!$D182,INDIRECT(J$4))+SUMIF(INDIRECT(J$3),'Struktur Aktuell'!$D182,INDIRECT(J$5)))</f>
        <v>0</v>
      </c>
      <c r="K182" s="593">
        <f ca="1">$E182*(-SUMIF(INDIRECT(K$3),'Struktur Aktuell'!$D182,INDIRECT(K$4))+SUMIF(INDIRECT(K$3),'Struktur Aktuell'!$D182,INDIRECT(K$5)))</f>
        <v>0</v>
      </c>
      <c r="L182" s="593">
        <f ca="1">$E182*(-SUMIF(INDIRECT(L$3),'Struktur Aktuell'!$D182,INDIRECT(L$4))+SUMIF(INDIRECT(L$3),'Struktur Aktuell'!$D182,INDIRECT(L$5)))</f>
        <v>15.7</v>
      </c>
      <c r="M182" s="593">
        <f ca="1">$E182*(-SUMIF(INDIRECT(M$3),'Struktur Aktuell'!$D182,INDIRECT(M$4))+SUMIF(INDIRECT(M$3),'Struktur Aktuell'!$D182,INDIRECT(M$5)))</f>
        <v>0</v>
      </c>
      <c r="N182" s="593">
        <f ca="1">$E182*(-SUMIF(INDIRECT(N$3),'Struktur Aktuell'!$D182,INDIRECT(N$4))+SUMIF(INDIRECT(N$3),'Struktur Aktuell'!$D182,INDIRECT(N$5)))</f>
        <v>25.63</v>
      </c>
      <c r="O182" s="593">
        <f ca="1">$E182*(-SUMIF(INDIRECT(O$3),'Struktur Aktuell'!$D182,INDIRECT(O$4))+SUMIF(INDIRECT(O$3),'Struktur Aktuell'!$D182,INDIRECT(O$5)))</f>
        <v>0</v>
      </c>
      <c r="P182" s="593">
        <f ca="1">$E182*(-SUMIF(INDIRECT(P$3),'Struktur Aktuell'!$D182,INDIRECT(P$4))+SUMIF(INDIRECT(P$3),'Struktur Aktuell'!$D182,INDIRECT(P$5)))</f>
        <v>0</v>
      </c>
      <c r="Q182" s="593">
        <f ca="1">$E182*(-SUMIF(INDIRECT(Q$3),'Struktur Aktuell'!$D182,INDIRECT(Q$4))+SUMIF(INDIRECT(Q$3),'Struktur Aktuell'!$D182,INDIRECT(Q$5)))</f>
        <v>0</v>
      </c>
      <c r="R182" s="593">
        <f ca="1">$E182*(-SUMIF(INDIRECT(R$3),'Struktur Aktuell'!$D182,INDIRECT(R$4))+SUMIF(INDIRECT(R$3),'Struktur Aktuell'!$D182,INDIRECT(R$5)))</f>
        <v>0</v>
      </c>
      <c r="S182" s="593">
        <f ca="1">$E182*(-SUMIF(INDIRECT(S$3),'Struktur Aktuell'!$D182,INDIRECT(S$4))+SUMIF(INDIRECT(S$3),'Struktur Aktuell'!$D182,INDIRECT(S$5)))</f>
        <v>0</v>
      </c>
      <c r="T182" s="593">
        <f ca="1">$E182*(-SUMIF(INDIRECT(T$3),'Struktur Aktuell'!$D182,INDIRECT(T$4))+SUMIF(INDIRECT(T$3),'Struktur Aktuell'!$D182,INDIRECT(T$5)))</f>
        <v>0</v>
      </c>
      <c r="U182" s="593">
        <f ca="1">$E182*(-SUMIF(INDIRECT(U$3),'Struktur Aktuell'!$D182,INDIRECT(U$4))+SUMIF(INDIRECT(U$3),'Struktur Aktuell'!$D182,INDIRECT(U$5)))</f>
        <v>0</v>
      </c>
      <c r="V182" s="593">
        <f ca="1">$E182*(-SUMIF(INDIRECT(V$3),'Struktur Aktuell'!$D182,INDIRECT(V$4))+SUMIF(INDIRECT(V$3),'Struktur Aktuell'!$D182,INDIRECT(V$5)))</f>
        <v>0</v>
      </c>
      <c r="W182" s="593">
        <f ca="1">$E182*(-SUMIF(INDIRECT(W$3),'Struktur Aktuell'!$D182,INDIRECT(W$4))+SUMIF(INDIRECT(W$3),'Struktur Aktuell'!$D182,INDIRECT(W$5)))</f>
        <v>0</v>
      </c>
      <c r="X182" s="593">
        <f ca="1">$E182*(-SUMIF(INDIRECT(X$3),'Struktur Aktuell'!$D182,INDIRECT(X$4))+SUMIF(INDIRECT(X$3),'Struktur Aktuell'!$D182,INDIRECT(X$5)))</f>
        <v>15.7</v>
      </c>
      <c r="Y182" s="593">
        <f ca="1">$E182*(-SUMIF(INDIRECT(Y$3),'Struktur Aktuell'!$D182,INDIRECT(Y$4))+SUMIF(INDIRECT(Y$3),'Struktur Aktuell'!$D182,INDIRECT(Y$5)))</f>
        <v>15.7</v>
      </c>
      <c r="Z182" s="593">
        <f ca="1">$E182*(-SUMIF(INDIRECT(Z$3),'Struktur Aktuell'!$D182,INDIRECT(Z$4))+SUMIF(INDIRECT(Z$3),'Struktur Aktuell'!$D182,INDIRECT(Z$5)))</f>
        <v>41.33</v>
      </c>
      <c r="AA182" s="593">
        <f ca="1">$E182*(-SUMIF(INDIRECT(AA$3),'Struktur Aktuell'!$D182,INDIRECT(AA$4))+SUMIF(INDIRECT(AA$3),'Struktur Aktuell'!$D182,INDIRECT(AA$5)))</f>
        <v>41.33</v>
      </c>
      <c r="AB182" s="593">
        <f ca="1">$E182*(-SUMIF(INDIRECT(AB$3),'Struktur Aktuell'!$D182,INDIRECT(AB$4))+SUMIF(INDIRECT(AB$3),'Struktur Aktuell'!$D182,INDIRECT(AB$5)))</f>
        <v>41.33</v>
      </c>
      <c r="AC182" s="593">
        <f ca="1">$E182*(-SUMIF(INDIRECT(AC$3),'Struktur Aktuell'!$D182,INDIRECT(AC$4))+SUMIF(INDIRECT(AC$3),'Struktur Aktuell'!$D182,INDIRECT(AC$5)))</f>
        <v>0</v>
      </c>
      <c r="AD182" s="593">
        <f ca="1">$E182*(-SUMIF(INDIRECT(AD$3),'Struktur Aktuell'!$D182,INDIRECT(AD$4))+SUMIF(INDIRECT(AD$3),'Struktur Aktuell'!$D182,INDIRECT(AD$5)))</f>
        <v>0</v>
      </c>
      <c r="AE182" s="593">
        <f t="shared" ca="1" si="268"/>
        <v>0</v>
      </c>
      <c r="AF182" s="593">
        <f t="shared" ca="1" si="269"/>
        <v>0</v>
      </c>
      <c r="AG182" s="593">
        <f t="shared" ca="1" si="270"/>
        <v>0</v>
      </c>
      <c r="AH182" s="593">
        <f t="shared" ca="1" si="271"/>
        <v>0</v>
      </c>
      <c r="AI182" s="593">
        <f t="shared" ca="1" si="272"/>
        <v>0</v>
      </c>
      <c r="AJ182" s="593">
        <f t="shared" ca="1" si="273"/>
        <v>15.7</v>
      </c>
      <c r="AK182" s="593">
        <f t="shared" ca="1" si="274"/>
        <v>15.7</v>
      </c>
      <c r="AL182" s="593">
        <f t="shared" ca="1" si="275"/>
        <v>41.33</v>
      </c>
      <c r="AM182" s="593">
        <f t="shared" ca="1" si="276"/>
        <v>41.33</v>
      </c>
      <c r="AN182" s="593">
        <f t="shared" ca="1" si="277"/>
        <v>41.33</v>
      </c>
      <c r="AO182" s="593">
        <f t="shared" ca="1" si="278"/>
        <v>41.33</v>
      </c>
      <c r="AP182" s="593">
        <f t="shared" ca="1" si="279"/>
        <v>41.33</v>
      </c>
    </row>
    <row r="183" spans="1:42" s="594" customFormat="1" ht="11.25" outlineLevel="1" x14ac:dyDescent="0.2">
      <c r="A183" s="590"/>
      <c r="B183" s="591" t="str">
        <f>IF(D183&lt;&gt;"",
IF(ISERROR(MATCH(D183,'Ist Aktuell Monat 01'!A:A,0))=FALSE,INDEX('Ist Aktuell Monat 01'!B:B,MATCH(D183,'Ist Aktuell Monat 01'!A:A,0)),
IF(ISERROR(MATCH(D183,'Ist Aktuell Monat 02'!A:A,0))=FALSE,INDEX('Ist Aktuell Monat 02'!B:B,MATCH(D183,'Ist Aktuell Monat 02'!A:A,0)),
IF(ISERROR(MATCH(D183,'Ist Aktuell Monat 03'!A:A,0))=FALSE,INDEX('Ist Aktuell Monat 03'!B:B,MATCH(D183,'Ist Aktuell Monat 03'!A:A,0)),
IF(ISERROR(MATCH(D183,'Ist Aktuell Monat 04'!A:A,0))=FALSE,INDEX('Ist Aktuell Monat 04'!B:B,MATCH(D183,'Ist Aktuell Monat 04'!A:A,0)),
IF(ISERROR(MATCH(D183,'Ist Aktuell Monat 05'!A:A,0))=FALSE,INDEX('Ist Aktuell Monat 05'!B:B,MATCH(D183,'Ist Aktuell Monat 05'!A:A,0)),
IF(ISERROR(MATCH(D183,'Ist Aktuell Monat 06'!A:A,0))=FALSE,INDEX('Ist Aktuell Monat 06'!B:B,MATCH(D183,'Ist Aktuell Monat 06'!A:A,0)),
IF(ISERROR(MATCH(D183,'Ist Aktuell Monat 07'!A:A,0))=FALSE,INDEX('Ist Aktuell Monat 07'!B:B,MATCH(D183,'Ist Aktuell Monat 07'!A:A,0)),
IF(ISERROR(MATCH(D183,'Ist Aktuell Monat 08'!A:A,0))=FALSE,INDEX('Ist Aktuell Monat 08'!B:B,MATCH(D183,'Ist Aktuell Monat 08'!A:A,0)),
IF(ISERROR(MATCH(D183,'Ist Aktuell Monat 09'!A:A,0))=FALSE,INDEX('Ist Aktuell Monat 09'!B:B,MATCH(D183,'Ist Aktuell Monat 09'!A:A,0)),
IF(ISERROR(MATCH(D183,'Ist Aktuell Monat 10'!A:A,0))=FALSE,INDEX('Ist Aktuell Monat 10'!B:B,MATCH(D183,'Ist Aktuell Monat 10'!A:A,0)),
IF(ISERROR(MATCH(D183,'Ist Aktuell Monat 11'!A:A,0))=FALSE,INDEX('Ist Aktuell Monat 11'!B:B,MATCH(D183,'Ist Aktuell Monat 11'!A:A,0)),
IF(ISERROR(MATCH(D183,'Ist Aktuell Monat 12'!A:A,0))=FALSE,INDEX('Ist Aktuell Monat 12'!B:B,MATCH(D183,'Ist Aktuell Monat 12'!A:A,0)),
"{Konto unbekannt}"
)))))))))))),"")</f>
        <v/>
      </c>
      <c r="C183" s="591"/>
      <c r="D183" s="590"/>
      <c r="E183" s="592">
        <f t="shared" si="171"/>
        <v>1</v>
      </c>
      <c r="F183" s="590"/>
      <c r="G183" s="593">
        <f ca="1">$E183*(-SUMIF(INDIRECT(G$3),'Struktur Aktuell'!$D183,INDIRECT(G$4))+SUMIF(INDIRECT(G$3),'Struktur Aktuell'!$D183,INDIRECT(G$5)))</f>
        <v>0</v>
      </c>
      <c r="H183" s="593">
        <f ca="1">$E183*(-SUMIF(INDIRECT(H$3),'Struktur Aktuell'!$D183,INDIRECT(H$4))+SUMIF(INDIRECT(H$3),'Struktur Aktuell'!$D183,INDIRECT(H$5)))</f>
        <v>0</v>
      </c>
      <c r="I183" s="593">
        <f ca="1">$E183*(-SUMIF(INDIRECT(I$3),'Struktur Aktuell'!$D183,INDIRECT(I$4))+SUMIF(INDIRECT(I$3),'Struktur Aktuell'!$D183,INDIRECT(I$5)))</f>
        <v>0</v>
      </c>
      <c r="J183" s="593">
        <f ca="1">$E183*(-SUMIF(INDIRECT(J$3),'Struktur Aktuell'!$D183,INDIRECT(J$4))+SUMIF(INDIRECT(J$3),'Struktur Aktuell'!$D183,INDIRECT(J$5)))</f>
        <v>0</v>
      </c>
      <c r="K183" s="593">
        <f ca="1">$E183*(-SUMIF(INDIRECT(K$3),'Struktur Aktuell'!$D183,INDIRECT(K$4))+SUMIF(INDIRECT(K$3),'Struktur Aktuell'!$D183,INDIRECT(K$5)))</f>
        <v>0</v>
      </c>
      <c r="L183" s="593">
        <f ca="1">$E183*(-SUMIF(INDIRECT(L$3),'Struktur Aktuell'!$D183,INDIRECT(L$4))+SUMIF(INDIRECT(L$3),'Struktur Aktuell'!$D183,INDIRECT(L$5)))</f>
        <v>0</v>
      </c>
      <c r="M183" s="593">
        <f ca="1">$E183*(-SUMIF(INDIRECT(M$3),'Struktur Aktuell'!$D183,INDIRECT(M$4))+SUMIF(INDIRECT(M$3),'Struktur Aktuell'!$D183,INDIRECT(M$5)))</f>
        <v>0</v>
      </c>
      <c r="N183" s="593">
        <f ca="1">$E183*(-SUMIF(INDIRECT(N$3),'Struktur Aktuell'!$D183,INDIRECT(N$4))+SUMIF(INDIRECT(N$3),'Struktur Aktuell'!$D183,INDIRECT(N$5)))</f>
        <v>0</v>
      </c>
      <c r="O183" s="593">
        <f ca="1">$E183*(-SUMIF(INDIRECT(O$3),'Struktur Aktuell'!$D183,INDIRECT(O$4))+SUMIF(INDIRECT(O$3),'Struktur Aktuell'!$D183,INDIRECT(O$5)))</f>
        <v>0</v>
      </c>
      <c r="P183" s="593">
        <f ca="1">$E183*(-SUMIF(INDIRECT(P$3),'Struktur Aktuell'!$D183,INDIRECT(P$4))+SUMIF(INDIRECT(P$3),'Struktur Aktuell'!$D183,INDIRECT(P$5)))</f>
        <v>0</v>
      </c>
      <c r="Q183" s="593">
        <f ca="1">$E183*(-SUMIF(INDIRECT(Q$3),'Struktur Aktuell'!$D183,INDIRECT(Q$4))+SUMIF(INDIRECT(Q$3),'Struktur Aktuell'!$D183,INDIRECT(Q$5)))</f>
        <v>0</v>
      </c>
      <c r="R183" s="593">
        <f ca="1">$E183*(-SUMIF(INDIRECT(R$3),'Struktur Aktuell'!$D183,INDIRECT(R$4))+SUMIF(INDIRECT(R$3),'Struktur Aktuell'!$D183,INDIRECT(R$5)))</f>
        <v>0</v>
      </c>
      <c r="S183" s="593">
        <f ca="1">$E183*(-SUMIF(INDIRECT(S$3),'Struktur Aktuell'!$D183,INDIRECT(S$4))+SUMIF(INDIRECT(S$3),'Struktur Aktuell'!$D183,INDIRECT(S$5)))</f>
        <v>0</v>
      </c>
      <c r="T183" s="593">
        <f ca="1">$E183*(-SUMIF(INDIRECT(T$3),'Struktur Aktuell'!$D183,INDIRECT(T$4))+SUMIF(INDIRECT(T$3),'Struktur Aktuell'!$D183,INDIRECT(T$5)))</f>
        <v>0</v>
      </c>
      <c r="U183" s="593">
        <f ca="1">$E183*(-SUMIF(INDIRECT(U$3),'Struktur Aktuell'!$D183,INDIRECT(U$4))+SUMIF(INDIRECT(U$3),'Struktur Aktuell'!$D183,INDIRECT(U$5)))</f>
        <v>0</v>
      </c>
      <c r="V183" s="593">
        <f ca="1">$E183*(-SUMIF(INDIRECT(V$3),'Struktur Aktuell'!$D183,INDIRECT(V$4))+SUMIF(INDIRECT(V$3),'Struktur Aktuell'!$D183,INDIRECT(V$5)))</f>
        <v>0</v>
      </c>
      <c r="W183" s="593">
        <f ca="1">$E183*(-SUMIF(INDIRECT(W$3),'Struktur Aktuell'!$D183,INDIRECT(W$4))+SUMIF(INDIRECT(W$3),'Struktur Aktuell'!$D183,INDIRECT(W$5)))</f>
        <v>0</v>
      </c>
      <c r="X183" s="593">
        <f ca="1">$E183*(-SUMIF(INDIRECT(X$3),'Struktur Aktuell'!$D183,INDIRECT(X$4))+SUMIF(INDIRECT(X$3),'Struktur Aktuell'!$D183,INDIRECT(X$5)))</f>
        <v>0</v>
      </c>
      <c r="Y183" s="593">
        <f ca="1">$E183*(-SUMIF(INDIRECT(Y$3),'Struktur Aktuell'!$D183,INDIRECT(Y$4))+SUMIF(INDIRECT(Y$3),'Struktur Aktuell'!$D183,INDIRECT(Y$5)))</f>
        <v>0</v>
      </c>
      <c r="Z183" s="593">
        <f ca="1">$E183*(-SUMIF(INDIRECT(Z$3),'Struktur Aktuell'!$D183,INDIRECT(Z$4))+SUMIF(INDIRECT(Z$3),'Struktur Aktuell'!$D183,INDIRECT(Z$5)))</f>
        <v>0</v>
      </c>
      <c r="AA183" s="593">
        <f ca="1">$E183*(-SUMIF(INDIRECT(AA$3),'Struktur Aktuell'!$D183,INDIRECT(AA$4))+SUMIF(INDIRECT(AA$3),'Struktur Aktuell'!$D183,INDIRECT(AA$5)))</f>
        <v>0</v>
      </c>
      <c r="AB183" s="593">
        <f ca="1">$E183*(-SUMIF(INDIRECT(AB$3),'Struktur Aktuell'!$D183,INDIRECT(AB$4))+SUMIF(INDIRECT(AB$3),'Struktur Aktuell'!$D183,INDIRECT(AB$5)))</f>
        <v>0</v>
      </c>
      <c r="AC183" s="593">
        <f ca="1">$E183*(-SUMIF(INDIRECT(AC$3),'Struktur Aktuell'!$D183,INDIRECT(AC$4))+SUMIF(INDIRECT(AC$3),'Struktur Aktuell'!$D183,INDIRECT(AC$5)))</f>
        <v>0</v>
      </c>
      <c r="AD183" s="593">
        <f ca="1">$E183*(-SUMIF(INDIRECT(AD$3),'Struktur Aktuell'!$D183,INDIRECT(AD$4))+SUMIF(INDIRECT(AD$3),'Struktur Aktuell'!$D183,INDIRECT(AD$5)))</f>
        <v>0</v>
      </c>
      <c r="AE183" s="593">
        <f t="shared" ca="1" si="268"/>
        <v>0</v>
      </c>
      <c r="AF183" s="593">
        <f t="shared" ca="1" si="269"/>
        <v>0</v>
      </c>
      <c r="AG183" s="593">
        <f t="shared" ca="1" si="270"/>
        <v>0</v>
      </c>
      <c r="AH183" s="593">
        <f t="shared" ca="1" si="271"/>
        <v>0</v>
      </c>
      <c r="AI183" s="593">
        <f t="shared" ca="1" si="272"/>
        <v>0</v>
      </c>
      <c r="AJ183" s="593">
        <f t="shared" ca="1" si="273"/>
        <v>0</v>
      </c>
      <c r="AK183" s="593">
        <f t="shared" ca="1" si="274"/>
        <v>0</v>
      </c>
      <c r="AL183" s="593">
        <f t="shared" ca="1" si="275"/>
        <v>0</v>
      </c>
      <c r="AM183" s="593">
        <f t="shared" ca="1" si="276"/>
        <v>0</v>
      </c>
      <c r="AN183" s="593">
        <f t="shared" ca="1" si="277"/>
        <v>0</v>
      </c>
      <c r="AO183" s="593">
        <f t="shared" ca="1" si="278"/>
        <v>0</v>
      </c>
      <c r="AP183" s="593">
        <f t="shared" ca="1" si="279"/>
        <v>0</v>
      </c>
    </row>
    <row r="184" spans="1:42" s="594" customFormat="1" ht="11.25" outlineLevel="1" x14ac:dyDescent="0.2">
      <c r="A184" s="590"/>
      <c r="B184" s="591" t="str">
        <f>IF(D184&lt;&gt;"",
IF(ISERROR(MATCH(D184,'Ist Aktuell Monat 01'!A:A,0))=FALSE,INDEX('Ist Aktuell Monat 01'!B:B,MATCH(D184,'Ist Aktuell Monat 01'!A:A,0)),
IF(ISERROR(MATCH(D184,'Ist Aktuell Monat 02'!A:A,0))=FALSE,INDEX('Ist Aktuell Monat 02'!B:B,MATCH(D184,'Ist Aktuell Monat 02'!A:A,0)),
IF(ISERROR(MATCH(D184,'Ist Aktuell Monat 03'!A:A,0))=FALSE,INDEX('Ist Aktuell Monat 03'!B:B,MATCH(D184,'Ist Aktuell Monat 03'!A:A,0)),
IF(ISERROR(MATCH(D184,'Ist Aktuell Monat 04'!A:A,0))=FALSE,INDEX('Ist Aktuell Monat 04'!B:B,MATCH(D184,'Ist Aktuell Monat 04'!A:A,0)),
IF(ISERROR(MATCH(D184,'Ist Aktuell Monat 05'!A:A,0))=FALSE,INDEX('Ist Aktuell Monat 05'!B:B,MATCH(D184,'Ist Aktuell Monat 05'!A:A,0)),
IF(ISERROR(MATCH(D184,'Ist Aktuell Monat 06'!A:A,0))=FALSE,INDEX('Ist Aktuell Monat 06'!B:B,MATCH(D184,'Ist Aktuell Monat 06'!A:A,0)),
IF(ISERROR(MATCH(D184,'Ist Aktuell Monat 07'!A:A,0))=FALSE,INDEX('Ist Aktuell Monat 07'!B:B,MATCH(D184,'Ist Aktuell Monat 07'!A:A,0)),
IF(ISERROR(MATCH(D184,'Ist Aktuell Monat 08'!A:A,0))=FALSE,INDEX('Ist Aktuell Monat 08'!B:B,MATCH(D184,'Ist Aktuell Monat 08'!A:A,0)),
IF(ISERROR(MATCH(D184,'Ist Aktuell Monat 09'!A:A,0))=FALSE,INDEX('Ist Aktuell Monat 09'!B:B,MATCH(D184,'Ist Aktuell Monat 09'!A:A,0)),
IF(ISERROR(MATCH(D184,'Ist Aktuell Monat 10'!A:A,0))=FALSE,INDEX('Ist Aktuell Monat 10'!B:B,MATCH(D184,'Ist Aktuell Monat 10'!A:A,0)),
IF(ISERROR(MATCH(D184,'Ist Aktuell Monat 11'!A:A,0))=FALSE,INDEX('Ist Aktuell Monat 11'!B:B,MATCH(D184,'Ist Aktuell Monat 11'!A:A,0)),
IF(ISERROR(MATCH(D184,'Ist Aktuell Monat 12'!A:A,0))=FALSE,INDEX('Ist Aktuell Monat 12'!B:B,MATCH(D184,'Ist Aktuell Monat 12'!A:A,0)),
"{Konto unbekannt}"
)))))))))))),"")</f>
        <v/>
      </c>
      <c r="C184" s="591"/>
      <c r="D184" s="590"/>
      <c r="E184" s="592">
        <f t="shared" si="171"/>
        <v>1</v>
      </c>
      <c r="F184" s="590"/>
      <c r="G184" s="593">
        <f ca="1">$E184*(-SUMIF(INDIRECT(G$3),'Struktur Aktuell'!$D184,INDIRECT(G$4))+SUMIF(INDIRECT(G$3),'Struktur Aktuell'!$D184,INDIRECT(G$5)))</f>
        <v>0</v>
      </c>
      <c r="H184" s="593">
        <f ca="1">$E184*(-SUMIF(INDIRECT(H$3),'Struktur Aktuell'!$D184,INDIRECT(H$4))+SUMIF(INDIRECT(H$3),'Struktur Aktuell'!$D184,INDIRECT(H$5)))</f>
        <v>0</v>
      </c>
      <c r="I184" s="593">
        <f ca="1">$E184*(-SUMIF(INDIRECT(I$3),'Struktur Aktuell'!$D184,INDIRECT(I$4))+SUMIF(INDIRECT(I$3),'Struktur Aktuell'!$D184,INDIRECT(I$5)))</f>
        <v>0</v>
      </c>
      <c r="J184" s="593">
        <f ca="1">$E184*(-SUMIF(INDIRECT(J$3),'Struktur Aktuell'!$D184,INDIRECT(J$4))+SUMIF(INDIRECT(J$3),'Struktur Aktuell'!$D184,INDIRECT(J$5)))</f>
        <v>0</v>
      </c>
      <c r="K184" s="593">
        <f ca="1">$E184*(-SUMIF(INDIRECT(K$3),'Struktur Aktuell'!$D184,INDIRECT(K$4))+SUMIF(INDIRECT(K$3),'Struktur Aktuell'!$D184,INDIRECT(K$5)))</f>
        <v>0</v>
      </c>
      <c r="L184" s="593">
        <f ca="1">$E184*(-SUMIF(INDIRECT(L$3),'Struktur Aktuell'!$D184,INDIRECT(L$4))+SUMIF(INDIRECT(L$3),'Struktur Aktuell'!$D184,INDIRECT(L$5)))</f>
        <v>0</v>
      </c>
      <c r="M184" s="593">
        <f ca="1">$E184*(-SUMIF(INDIRECT(M$3),'Struktur Aktuell'!$D184,INDIRECT(M$4))+SUMIF(INDIRECT(M$3),'Struktur Aktuell'!$D184,INDIRECT(M$5)))</f>
        <v>0</v>
      </c>
      <c r="N184" s="593">
        <f ca="1">$E184*(-SUMIF(INDIRECT(N$3),'Struktur Aktuell'!$D184,INDIRECT(N$4))+SUMIF(INDIRECT(N$3),'Struktur Aktuell'!$D184,INDIRECT(N$5)))</f>
        <v>0</v>
      </c>
      <c r="O184" s="593">
        <f ca="1">$E184*(-SUMIF(INDIRECT(O$3),'Struktur Aktuell'!$D184,INDIRECT(O$4))+SUMIF(INDIRECT(O$3),'Struktur Aktuell'!$D184,INDIRECT(O$5)))</f>
        <v>0</v>
      </c>
      <c r="P184" s="593">
        <f ca="1">$E184*(-SUMIF(INDIRECT(P$3),'Struktur Aktuell'!$D184,INDIRECT(P$4))+SUMIF(INDIRECT(P$3),'Struktur Aktuell'!$D184,INDIRECT(P$5)))</f>
        <v>0</v>
      </c>
      <c r="Q184" s="593">
        <f ca="1">$E184*(-SUMIF(INDIRECT(Q$3),'Struktur Aktuell'!$D184,INDIRECT(Q$4))+SUMIF(INDIRECT(Q$3),'Struktur Aktuell'!$D184,INDIRECT(Q$5)))</f>
        <v>0</v>
      </c>
      <c r="R184" s="593">
        <f ca="1">$E184*(-SUMIF(INDIRECT(R$3),'Struktur Aktuell'!$D184,INDIRECT(R$4))+SUMIF(INDIRECT(R$3),'Struktur Aktuell'!$D184,INDIRECT(R$5)))</f>
        <v>0</v>
      </c>
      <c r="S184" s="593">
        <f ca="1">$E184*(-SUMIF(INDIRECT(S$3),'Struktur Aktuell'!$D184,INDIRECT(S$4))+SUMIF(INDIRECT(S$3),'Struktur Aktuell'!$D184,INDIRECT(S$5)))</f>
        <v>0</v>
      </c>
      <c r="T184" s="593">
        <f ca="1">$E184*(-SUMIF(INDIRECT(T$3),'Struktur Aktuell'!$D184,INDIRECT(T$4))+SUMIF(INDIRECT(T$3),'Struktur Aktuell'!$D184,INDIRECT(T$5)))</f>
        <v>0</v>
      </c>
      <c r="U184" s="593">
        <f ca="1">$E184*(-SUMIF(INDIRECT(U$3),'Struktur Aktuell'!$D184,INDIRECT(U$4))+SUMIF(INDIRECT(U$3),'Struktur Aktuell'!$D184,INDIRECT(U$5)))</f>
        <v>0</v>
      </c>
      <c r="V184" s="593">
        <f ca="1">$E184*(-SUMIF(INDIRECT(V$3),'Struktur Aktuell'!$D184,INDIRECT(V$4))+SUMIF(INDIRECT(V$3),'Struktur Aktuell'!$D184,INDIRECT(V$5)))</f>
        <v>0</v>
      </c>
      <c r="W184" s="593">
        <f ca="1">$E184*(-SUMIF(INDIRECT(W$3),'Struktur Aktuell'!$D184,INDIRECT(W$4))+SUMIF(INDIRECT(W$3),'Struktur Aktuell'!$D184,INDIRECT(W$5)))</f>
        <v>0</v>
      </c>
      <c r="X184" s="593">
        <f ca="1">$E184*(-SUMIF(INDIRECT(X$3),'Struktur Aktuell'!$D184,INDIRECT(X$4))+SUMIF(INDIRECT(X$3),'Struktur Aktuell'!$D184,INDIRECT(X$5)))</f>
        <v>0</v>
      </c>
      <c r="Y184" s="593">
        <f ca="1">$E184*(-SUMIF(INDIRECT(Y$3),'Struktur Aktuell'!$D184,INDIRECT(Y$4))+SUMIF(INDIRECT(Y$3),'Struktur Aktuell'!$D184,INDIRECT(Y$5)))</f>
        <v>0</v>
      </c>
      <c r="Z184" s="593">
        <f ca="1">$E184*(-SUMIF(INDIRECT(Z$3),'Struktur Aktuell'!$D184,INDIRECT(Z$4))+SUMIF(INDIRECT(Z$3),'Struktur Aktuell'!$D184,INDIRECT(Z$5)))</f>
        <v>0</v>
      </c>
      <c r="AA184" s="593">
        <f ca="1">$E184*(-SUMIF(INDIRECT(AA$3),'Struktur Aktuell'!$D184,INDIRECT(AA$4))+SUMIF(INDIRECT(AA$3),'Struktur Aktuell'!$D184,INDIRECT(AA$5)))</f>
        <v>0</v>
      </c>
      <c r="AB184" s="593">
        <f ca="1">$E184*(-SUMIF(INDIRECT(AB$3),'Struktur Aktuell'!$D184,INDIRECT(AB$4))+SUMIF(INDIRECT(AB$3),'Struktur Aktuell'!$D184,INDIRECT(AB$5)))</f>
        <v>0</v>
      </c>
      <c r="AC184" s="593">
        <f ca="1">$E184*(-SUMIF(INDIRECT(AC$3),'Struktur Aktuell'!$D184,INDIRECT(AC$4))+SUMIF(INDIRECT(AC$3),'Struktur Aktuell'!$D184,INDIRECT(AC$5)))</f>
        <v>0</v>
      </c>
      <c r="AD184" s="593">
        <f ca="1">$E184*(-SUMIF(INDIRECT(AD$3),'Struktur Aktuell'!$D184,INDIRECT(AD$4))+SUMIF(INDIRECT(AD$3),'Struktur Aktuell'!$D184,INDIRECT(AD$5)))</f>
        <v>0</v>
      </c>
      <c r="AE184" s="593">
        <f t="shared" ca="1" si="268"/>
        <v>0</v>
      </c>
      <c r="AF184" s="593">
        <f t="shared" ca="1" si="269"/>
        <v>0</v>
      </c>
      <c r="AG184" s="593">
        <f t="shared" ca="1" si="270"/>
        <v>0</v>
      </c>
      <c r="AH184" s="593">
        <f t="shared" ca="1" si="271"/>
        <v>0</v>
      </c>
      <c r="AI184" s="593">
        <f t="shared" ca="1" si="272"/>
        <v>0</v>
      </c>
      <c r="AJ184" s="593">
        <f t="shared" ca="1" si="273"/>
        <v>0</v>
      </c>
      <c r="AK184" s="593">
        <f t="shared" ca="1" si="274"/>
        <v>0</v>
      </c>
      <c r="AL184" s="593">
        <f t="shared" ca="1" si="275"/>
        <v>0</v>
      </c>
      <c r="AM184" s="593">
        <f t="shared" ca="1" si="276"/>
        <v>0</v>
      </c>
      <c r="AN184" s="593">
        <f t="shared" ca="1" si="277"/>
        <v>0</v>
      </c>
      <c r="AO184" s="593">
        <f t="shared" ca="1" si="278"/>
        <v>0</v>
      </c>
      <c r="AP184" s="593">
        <f t="shared" ca="1" si="279"/>
        <v>0</v>
      </c>
    </row>
    <row r="185" spans="1:42" s="594" customFormat="1" ht="11.25" outlineLevel="1" x14ac:dyDescent="0.2">
      <c r="A185" s="590"/>
      <c r="B185" s="591" t="str">
        <f>IF(D185&lt;&gt;"",
IF(ISERROR(MATCH(D185,'Ist Aktuell Monat 01'!A:A,0))=FALSE,INDEX('Ist Aktuell Monat 01'!B:B,MATCH(D185,'Ist Aktuell Monat 01'!A:A,0)),
IF(ISERROR(MATCH(D185,'Ist Aktuell Monat 02'!A:A,0))=FALSE,INDEX('Ist Aktuell Monat 02'!B:B,MATCH(D185,'Ist Aktuell Monat 02'!A:A,0)),
IF(ISERROR(MATCH(D185,'Ist Aktuell Monat 03'!A:A,0))=FALSE,INDEX('Ist Aktuell Monat 03'!B:B,MATCH(D185,'Ist Aktuell Monat 03'!A:A,0)),
IF(ISERROR(MATCH(D185,'Ist Aktuell Monat 04'!A:A,0))=FALSE,INDEX('Ist Aktuell Monat 04'!B:B,MATCH(D185,'Ist Aktuell Monat 04'!A:A,0)),
IF(ISERROR(MATCH(D185,'Ist Aktuell Monat 05'!A:A,0))=FALSE,INDEX('Ist Aktuell Monat 05'!B:B,MATCH(D185,'Ist Aktuell Monat 05'!A:A,0)),
IF(ISERROR(MATCH(D185,'Ist Aktuell Monat 06'!A:A,0))=FALSE,INDEX('Ist Aktuell Monat 06'!B:B,MATCH(D185,'Ist Aktuell Monat 06'!A:A,0)),
IF(ISERROR(MATCH(D185,'Ist Aktuell Monat 07'!A:A,0))=FALSE,INDEX('Ist Aktuell Monat 07'!B:B,MATCH(D185,'Ist Aktuell Monat 07'!A:A,0)),
IF(ISERROR(MATCH(D185,'Ist Aktuell Monat 08'!A:A,0))=FALSE,INDEX('Ist Aktuell Monat 08'!B:B,MATCH(D185,'Ist Aktuell Monat 08'!A:A,0)),
IF(ISERROR(MATCH(D185,'Ist Aktuell Monat 09'!A:A,0))=FALSE,INDEX('Ist Aktuell Monat 09'!B:B,MATCH(D185,'Ist Aktuell Monat 09'!A:A,0)),
IF(ISERROR(MATCH(D185,'Ist Aktuell Monat 10'!A:A,0))=FALSE,INDEX('Ist Aktuell Monat 10'!B:B,MATCH(D185,'Ist Aktuell Monat 10'!A:A,0)),
IF(ISERROR(MATCH(D185,'Ist Aktuell Monat 11'!A:A,0))=FALSE,INDEX('Ist Aktuell Monat 11'!B:B,MATCH(D185,'Ist Aktuell Monat 11'!A:A,0)),
IF(ISERROR(MATCH(D185,'Ist Aktuell Monat 12'!A:A,0))=FALSE,INDEX('Ist Aktuell Monat 12'!B:B,MATCH(D185,'Ist Aktuell Monat 12'!A:A,0)),
"{Konto unbekannt}"
)))))))))))),"")</f>
        <v/>
      </c>
      <c r="C185" s="591"/>
      <c r="D185" s="590"/>
      <c r="E185" s="592">
        <f t="shared" si="171"/>
        <v>1</v>
      </c>
      <c r="F185" s="590"/>
      <c r="G185" s="593">
        <f ca="1">$E185*(-SUMIF(INDIRECT(G$3),'Struktur Aktuell'!$D185,INDIRECT(G$4))+SUMIF(INDIRECT(G$3),'Struktur Aktuell'!$D185,INDIRECT(G$5)))</f>
        <v>0</v>
      </c>
      <c r="H185" s="593">
        <f ca="1">$E185*(-SUMIF(INDIRECT(H$3),'Struktur Aktuell'!$D185,INDIRECT(H$4))+SUMIF(INDIRECT(H$3),'Struktur Aktuell'!$D185,INDIRECT(H$5)))</f>
        <v>0</v>
      </c>
      <c r="I185" s="593">
        <f ca="1">$E185*(-SUMIF(INDIRECT(I$3),'Struktur Aktuell'!$D185,INDIRECT(I$4))+SUMIF(INDIRECT(I$3),'Struktur Aktuell'!$D185,INDIRECT(I$5)))</f>
        <v>0</v>
      </c>
      <c r="J185" s="593">
        <f ca="1">$E185*(-SUMIF(INDIRECT(J$3),'Struktur Aktuell'!$D185,INDIRECT(J$4))+SUMIF(INDIRECT(J$3),'Struktur Aktuell'!$D185,INDIRECT(J$5)))</f>
        <v>0</v>
      </c>
      <c r="K185" s="593">
        <f ca="1">$E185*(-SUMIF(INDIRECT(K$3),'Struktur Aktuell'!$D185,INDIRECT(K$4))+SUMIF(INDIRECT(K$3),'Struktur Aktuell'!$D185,INDIRECT(K$5)))</f>
        <v>0</v>
      </c>
      <c r="L185" s="593">
        <f ca="1">$E185*(-SUMIF(INDIRECT(L$3),'Struktur Aktuell'!$D185,INDIRECT(L$4))+SUMIF(INDIRECT(L$3),'Struktur Aktuell'!$D185,INDIRECT(L$5)))</f>
        <v>0</v>
      </c>
      <c r="M185" s="593">
        <f ca="1">$E185*(-SUMIF(INDIRECT(M$3),'Struktur Aktuell'!$D185,INDIRECT(M$4))+SUMIF(INDIRECT(M$3),'Struktur Aktuell'!$D185,INDIRECT(M$5)))</f>
        <v>0</v>
      </c>
      <c r="N185" s="593">
        <f ca="1">$E185*(-SUMIF(INDIRECT(N$3),'Struktur Aktuell'!$D185,INDIRECT(N$4))+SUMIF(INDIRECT(N$3),'Struktur Aktuell'!$D185,INDIRECT(N$5)))</f>
        <v>0</v>
      </c>
      <c r="O185" s="593">
        <f ca="1">$E185*(-SUMIF(INDIRECT(O$3),'Struktur Aktuell'!$D185,INDIRECT(O$4))+SUMIF(INDIRECT(O$3),'Struktur Aktuell'!$D185,INDIRECT(O$5)))</f>
        <v>0</v>
      </c>
      <c r="P185" s="593">
        <f ca="1">$E185*(-SUMIF(INDIRECT(P$3),'Struktur Aktuell'!$D185,INDIRECT(P$4))+SUMIF(INDIRECT(P$3),'Struktur Aktuell'!$D185,INDIRECT(P$5)))</f>
        <v>0</v>
      </c>
      <c r="Q185" s="593">
        <f ca="1">$E185*(-SUMIF(INDIRECT(Q$3),'Struktur Aktuell'!$D185,INDIRECT(Q$4))+SUMIF(INDIRECT(Q$3),'Struktur Aktuell'!$D185,INDIRECT(Q$5)))</f>
        <v>0</v>
      </c>
      <c r="R185" s="593">
        <f ca="1">$E185*(-SUMIF(INDIRECT(R$3),'Struktur Aktuell'!$D185,INDIRECT(R$4))+SUMIF(INDIRECT(R$3),'Struktur Aktuell'!$D185,INDIRECT(R$5)))</f>
        <v>0</v>
      </c>
      <c r="S185" s="593">
        <f ca="1">$E185*(-SUMIF(INDIRECT(S$3),'Struktur Aktuell'!$D185,INDIRECT(S$4))+SUMIF(INDIRECT(S$3),'Struktur Aktuell'!$D185,INDIRECT(S$5)))</f>
        <v>0</v>
      </c>
      <c r="T185" s="593">
        <f ca="1">$E185*(-SUMIF(INDIRECT(T$3),'Struktur Aktuell'!$D185,INDIRECT(T$4))+SUMIF(INDIRECT(T$3),'Struktur Aktuell'!$D185,INDIRECT(T$5)))</f>
        <v>0</v>
      </c>
      <c r="U185" s="593">
        <f ca="1">$E185*(-SUMIF(INDIRECT(U$3),'Struktur Aktuell'!$D185,INDIRECT(U$4))+SUMIF(INDIRECT(U$3),'Struktur Aktuell'!$D185,INDIRECT(U$5)))</f>
        <v>0</v>
      </c>
      <c r="V185" s="593">
        <f ca="1">$E185*(-SUMIF(INDIRECT(V$3),'Struktur Aktuell'!$D185,INDIRECT(V$4))+SUMIF(INDIRECT(V$3),'Struktur Aktuell'!$D185,INDIRECT(V$5)))</f>
        <v>0</v>
      </c>
      <c r="W185" s="593">
        <f ca="1">$E185*(-SUMIF(INDIRECT(W$3),'Struktur Aktuell'!$D185,INDIRECT(W$4))+SUMIF(INDIRECT(W$3),'Struktur Aktuell'!$D185,INDIRECT(W$5)))</f>
        <v>0</v>
      </c>
      <c r="X185" s="593">
        <f ca="1">$E185*(-SUMIF(INDIRECT(X$3),'Struktur Aktuell'!$D185,INDIRECT(X$4))+SUMIF(INDIRECT(X$3),'Struktur Aktuell'!$D185,INDIRECT(X$5)))</f>
        <v>0</v>
      </c>
      <c r="Y185" s="593">
        <f ca="1">$E185*(-SUMIF(INDIRECT(Y$3),'Struktur Aktuell'!$D185,INDIRECT(Y$4))+SUMIF(INDIRECT(Y$3),'Struktur Aktuell'!$D185,INDIRECT(Y$5)))</f>
        <v>0</v>
      </c>
      <c r="Z185" s="593">
        <f ca="1">$E185*(-SUMIF(INDIRECT(Z$3),'Struktur Aktuell'!$D185,INDIRECT(Z$4))+SUMIF(INDIRECT(Z$3),'Struktur Aktuell'!$D185,INDIRECT(Z$5)))</f>
        <v>0</v>
      </c>
      <c r="AA185" s="593">
        <f ca="1">$E185*(-SUMIF(INDIRECT(AA$3),'Struktur Aktuell'!$D185,INDIRECT(AA$4))+SUMIF(INDIRECT(AA$3),'Struktur Aktuell'!$D185,INDIRECT(AA$5)))</f>
        <v>0</v>
      </c>
      <c r="AB185" s="593">
        <f ca="1">$E185*(-SUMIF(INDIRECT(AB$3),'Struktur Aktuell'!$D185,INDIRECT(AB$4))+SUMIF(INDIRECT(AB$3),'Struktur Aktuell'!$D185,INDIRECT(AB$5)))</f>
        <v>0</v>
      </c>
      <c r="AC185" s="593">
        <f ca="1">$E185*(-SUMIF(INDIRECT(AC$3),'Struktur Aktuell'!$D185,INDIRECT(AC$4))+SUMIF(INDIRECT(AC$3),'Struktur Aktuell'!$D185,INDIRECT(AC$5)))</f>
        <v>0</v>
      </c>
      <c r="AD185" s="593">
        <f ca="1">$E185*(-SUMIF(INDIRECT(AD$3),'Struktur Aktuell'!$D185,INDIRECT(AD$4))+SUMIF(INDIRECT(AD$3),'Struktur Aktuell'!$D185,INDIRECT(AD$5)))</f>
        <v>0</v>
      </c>
      <c r="AE185" s="593">
        <f t="shared" ca="1" si="268"/>
        <v>0</v>
      </c>
      <c r="AF185" s="593">
        <f t="shared" ca="1" si="269"/>
        <v>0</v>
      </c>
      <c r="AG185" s="593">
        <f t="shared" ca="1" si="270"/>
        <v>0</v>
      </c>
      <c r="AH185" s="593">
        <f t="shared" ca="1" si="271"/>
        <v>0</v>
      </c>
      <c r="AI185" s="593">
        <f t="shared" ca="1" si="272"/>
        <v>0</v>
      </c>
      <c r="AJ185" s="593">
        <f t="shared" ca="1" si="273"/>
        <v>0</v>
      </c>
      <c r="AK185" s="593">
        <f t="shared" ca="1" si="274"/>
        <v>0</v>
      </c>
      <c r="AL185" s="593">
        <f t="shared" ca="1" si="275"/>
        <v>0</v>
      </c>
      <c r="AM185" s="593">
        <f t="shared" ca="1" si="276"/>
        <v>0</v>
      </c>
      <c r="AN185" s="593">
        <f t="shared" ca="1" si="277"/>
        <v>0</v>
      </c>
      <c r="AO185" s="593">
        <f t="shared" ca="1" si="278"/>
        <v>0</v>
      </c>
      <c r="AP185" s="593">
        <f t="shared" ca="1" si="279"/>
        <v>0</v>
      </c>
    </row>
    <row r="186" spans="1:42" s="594" customFormat="1" ht="11.25" outlineLevel="1" x14ac:dyDescent="0.2">
      <c r="A186" s="590"/>
      <c r="B186" s="591" t="str">
        <f>IF(D186&lt;&gt;"",
IF(ISERROR(MATCH(D186,'Ist Aktuell Monat 01'!A:A,0))=FALSE,INDEX('Ist Aktuell Monat 01'!B:B,MATCH(D186,'Ist Aktuell Monat 01'!A:A,0)),
IF(ISERROR(MATCH(D186,'Ist Aktuell Monat 02'!A:A,0))=FALSE,INDEX('Ist Aktuell Monat 02'!B:B,MATCH(D186,'Ist Aktuell Monat 02'!A:A,0)),
IF(ISERROR(MATCH(D186,'Ist Aktuell Monat 03'!A:A,0))=FALSE,INDEX('Ist Aktuell Monat 03'!B:B,MATCH(D186,'Ist Aktuell Monat 03'!A:A,0)),
IF(ISERROR(MATCH(D186,'Ist Aktuell Monat 04'!A:A,0))=FALSE,INDEX('Ist Aktuell Monat 04'!B:B,MATCH(D186,'Ist Aktuell Monat 04'!A:A,0)),
IF(ISERROR(MATCH(D186,'Ist Aktuell Monat 05'!A:A,0))=FALSE,INDEX('Ist Aktuell Monat 05'!B:B,MATCH(D186,'Ist Aktuell Monat 05'!A:A,0)),
IF(ISERROR(MATCH(D186,'Ist Aktuell Monat 06'!A:A,0))=FALSE,INDEX('Ist Aktuell Monat 06'!B:B,MATCH(D186,'Ist Aktuell Monat 06'!A:A,0)),
IF(ISERROR(MATCH(D186,'Ist Aktuell Monat 07'!A:A,0))=FALSE,INDEX('Ist Aktuell Monat 07'!B:B,MATCH(D186,'Ist Aktuell Monat 07'!A:A,0)),
IF(ISERROR(MATCH(D186,'Ist Aktuell Monat 08'!A:A,0))=FALSE,INDEX('Ist Aktuell Monat 08'!B:B,MATCH(D186,'Ist Aktuell Monat 08'!A:A,0)),
IF(ISERROR(MATCH(D186,'Ist Aktuell Monat 09'!A:A,0))=FALSE,INDEX('Ist Aktuell Monat 09'!B:B,MATCH(D186,'Ist Aktuell Monat 09'!A:A,0)),
IF(ISERROR(MATCH(D186,'Ist Aktuell Monat 10'!A:A,0))=FALSE,INDEX('Ist Aktuell Monat 10'!B:B,MATCH(D186,'Ist Aktuell Monat 10'!A:A,0)),
IF(ISERROR(MATCH(D186,'Ist Aktuell Monat 11'!A:A,0))=FALSE,INDEX('Ist Aktuell Monat 11'!B:B,MATCH(D186,'Ist Aktuell Monat 11'!A:A,0)),
IF(ISERROR(MATCH(D186,'Ist Aktuell Monat 12'!A:A,0))=FALSE,INDEX('Ist Aktuell Monat 12'!B:B,MATCH(D186,'Ist Aktuell Monat 12'!A:A,0)),
"{Konto unbekannt}"
)))))))))))),"")</f>
        <v/>
      </c>
      <c r="C186" s="591"/>
      <c r="D186" s="590"/>
      <c r="E186" s="592">
        <f t="shared" si="171"/>
        <v>1</v>
      </c>
      <c r="F186" s="590"/>
      <c r="G186" s="593">
        <f ca="1">$E186*(-SUMIF(INDIRECT(G$3),'Struktur Aktuell'!$D186,INDIRECT(G$4))+SUMIF(INDIRECT(G$3),'Struktur Aktuell'!$D186,INDIRECT(G$5)))</f>
        <v>0</v>
      </c>
      <c r="H186" s="593">
        <f ca="1">$E186*(-SUMIF(INDIRECT(H$3),'Struktur Aktuell'!$D186,INDIRECT(H$4))+SUMIF(INDIRECT(H$3),'Struktur Aktuell'!$D186,INDIRECT(H$5)))</f>
        <v>0</v>
      </c>
      <c r="I186" s="593">
        <f ca="1">$E186*(-SUMIF(INDIRECT(I$3),'Struktur Aktuell'!$D186,INDIRECT(I$4))+SUMIF(INDIRECT(I$3),'Struktur Aktuell'!$D186,INDIRECT(I$5)))</f>
        <v>0</v>
      </c>
      <c r="J186" s="593">
        <f ca="1">$E186*(-SUMIF(INDIRECT(J$3),'Struktur Aktuell'!$D186,INDIRECT(J$4))+SUMIF(INDIRECT(J$3),'Struktur Aktuell'!$D186,INDIRECT(J$5)))</f>
        <v>0</v>
      </c>
      <c r="K186" s="593">
        <f ca="1">$E186*(-SUMIF(INDIRECT(K$3),'Struktur Aktuell'!$D186,INDIRECT(K$4))+SUMIF(INDIRECT(K$3),'Struktur Aktuell'!$D186,INDIRECT(K$5)))</f>
        <v>0</v>
      </c>
      <c r="L186" s="593">
        <f ca="1">$E186*(-SUMIF(INDIRECT(L$3),'Struktur Aktuell'!$D186,INDIRECT(L$4))+SUMIF(INDIRECT(L$3),'Struktur Aktuell'!$D186,INDIRECT(L$5)))</f>
        <v>0</v>
      </c>
      <c r="M186" s="593">
        <f ca="1">$E186*(-SUMIF(INDIRECT(M$3),'Struktur Aktuell'!$D186,INDIRECT(M$4))+SUMIF(INDIRECT(M$3),'Struktur Aktuell'!$D186,INDIRECT(M$5)))</f>
        <v>0</v>
      </c>
      <c r="N186" s="593">
        <f ca="1">$E186*(-SUMIF(INDIRECT(N$3),'Struktur Aktuell'!$D186,INDIRECT(N$4))+SUMIF(INDIRECT(N$3),'Struktur Aktuell'!$D186,INDIRECT(N$5)))</f>
        <v>0</v>
      </c>
      <c r="O186" s="593">
        <f ca="1">$E186*(-SUMIF(INDIRECT(O$3),'Struktur Aktuell'!$D186,INDIRECT(O$4))+SUMIF(INDIRECT(O$3),'Struktur Aktuell'!$D186,INDIRECT(O$5)))</f>
        <v>0</v>
      </c>
      <c r="P186" s="593">
        <f ca="1">$E186*(-SUMIF(INDIRECT(P$3),'Struktur Aktuell'!$D186,INDIRECT(P$4))+SUMIF(INDIRECT(P$3),'Struktur Aktuell'!$D186,INDIRECT(P$5)))</f>
        <v>0</v>
      </c>
      <c r="Q186" s="593">
        <f ca="1">$E186*(-SUMIF(INDIRECT(Q$3),'Struktur Aktuell'!$D186,INDIRECT(Q$4))+SUMIF(INDIRECT(Q$3),'Struktur Aktuell'!$D186,INDIRECT(Q$5)))</f>
        <v>0</v>
      </c>
      <c r="R186" s="593">
        <f ca="1">$E186*(-SUMIF(INDIRECT(R$3),'Struktur Aktuell'!$D186,INDIRECT(R$4))+SUMIF(INDIRECT(R$3),'Struktur Aktuell'!$D186,INDIRECT(R$5)))</f>
        <v>0</v>
      </c>
      <c r="S186" s="593">
        <f ca="1">$E186*(-SUMIF(INDIRECT(S$3),'Struktur Aktuell'!$D186,INDIRECT(S$4))+SUMIF(INDIRECT(S$3),'Struktur Aktuell'!$D186,INDIRECT(S$5)))</f>
        <v>0</v>
      </c>
      <c r="T186" s="593">
        <f ca="1">$E186*(-SUMIF(INDIRECT(T$3),'Struktur Aktuell'!$D186,INDIRECT(T$4))+SUMIF(INDIRECT(T$3),'Struktur Aktuell'!$D186,INDIRECT(T$5)))</f>
        <v>0</v>
      </c>
      <c r="U186" s="593">
        <f ca="1">$E186*(-SUMIF(INDIRECT(U$3),'Struktur Aktuell'!$D186,INDIRECT(U$4))+SUMIF(INDIRECT(U$3),'Struktur Aktuell'!$D186,INDIRECT(U$5)))</f>
        <v>0</v>
      </c>
      <c r="V186" s="593">
        <f ca="1">$E186*(-SUMIF(INDIRECT(V$3),'Struktur Aktuell'!$D186,INDIRECT(V$4))+SUMIF(INDIRECT(V$3),'Struktur Aktuell'!$D186,INDIRECT(V$5)))</f>
        <v>0</v>
      </c>
      <c r="W186" s="593">
        <f ca="1">$E186*(-SUMIF(INDIRECT(W$3),'Struktur Aktuell'!$D186,INDIRECT(W$4))+SUMIF(INDIRECT(W$3),'Struktur Aktuell'!$D186,INDIRECT(W$5)))</f>
        <v>0</v>
      </c>
      <c r="X186" s="593">
        <f ca="1">$E186*(-SUMIF(INDIRECT(X$3),'Struktur Aktuell'!$D186,INDIRECT(X$4))+SUMIF(INDIRECT(X$3),'Struktur Aktuell'!$D186,INDIRECT(X$5)))</f>
        <v>0</v>
      </c>
      <c r="Y186" s="593">
        <f ca="1">$E186*(-SUMIF(INDIRECT(Y$3),'Struktur Aktuell'!$D186,INDIRECT(Y$4))+SUMIF(INDIRECT(Y$3),'Struktur Aktuell'!$D186,INDIRECT(Y$5)))</f>
        <v>0</v>
      </c>
      <c r="Z186" s="593">
        <f ca="1">$E186*(-SUMIF(INDIRECT(Z$3),'Struktur Aktuell'!$D186,INDIRECT(Z$4))+SUMIF(INDIRECT(Z$3),'Struktur Aktuell'!$D186,INDIRECT(Z$5)))</f>
        <v>0</v>
      </c>
      <c r="AA186" s="593">
        <f ca="1">$E186*(-SUMIF(INDIRECT(AA$3),'Struktur Aktuell'!$D186,INDIRECT(AA$4))+SUMIF(INDIRECT(AA$3),'Struktur Aktuell'!$D186,INDIRECT(AA$5)))</f>
        <v>0</v>
      </c>
      <c r="AB186" s="593">
        <f ca="1">$E186*(-SUMIF(INDIRECT(AB$3),'Struktur Aktuell'!$D186,INDIRECT(AB$4))+SUMIF(INDIRECT(AB$3),'Struktur Aktuell'!$D186,INDIRECT(AB$5)))</f>
        <v>0</v>
      </c>
      <c r="AC186" s="593">
        <f ca="1">$E186*(-SUMIF(INDIRECT(AC$3),'Struktur Aktuell'!$D186,INDIRECT(AC$4))+SUMIF(INDIRECT(AC$3),'Struktur Aktuell'!$D186,INDIRECT(AC$5)))</f>
        <v>0</v>
      </c>
      <c r="AD186" s="593">
        <f ca="1">$E186*(-SUMIF(INDIRECT(AD$3),'Struktur Aktuell'!$D186,INDIRECT(AD$4))+SUMIF(INDIRECT(AD$3),'Struktur Aktuell'!$D186,INDIRECT(AD$5)))</f>
        <v>0</v>
      </c>
      <c r="AE186" s="593">
        <f t="shared" ca="1" si="268"/>
        <v>0</v>
      </c>
      <c r="AF186" s="593">
        <f t="shared" ca="1" si="269"/>
        <v>0</v>
      </c>
      <c r="AG186" s="593">
        <f t="shared" ca="1" si="270"/>
        <v>0</v>
      </c>
      <c r="AH186" s="593">
        <f t="shared" ca="1" si="271"/>
        <v>0</v>
      </c>
      <c r="AI186" s="593">
        <f t="shared" ca="1" si="272"/>
        <v>0</v>
      </c>
      <c r="AJ186" s="593">
        <f t="shared" ca="1" si="273"/>
        <v>0</v>
      </c>
      <c r="AK186" s="593">
        <f t="shared" ca="1" si="274"/>
        <v>0</v>
      </c>
      <c r="AL186" s="593">
        <f t="shared" ca="1" si="275"/>
        <v>0</v>
      </c>
      <c r="AM186" s="593">
        <f t="shared" ca="1" si="276"/>
        <v>0</v>
      </c>
      <c r="AN186" s="593">
        <f t="shared" ca="1" si="277"/>
        <v>0</v>
      </c>
      <c r="AO186" s="593">
        <f t="shared" ca="1" si="278"/>
        <v>0</v>
      </c>
      <c r="AP186" s="593">
        <f t="shared" ca="1" si="279"/>
        <v>0</v>
      </c>
    </row>
    <row r="187" spans="1:42" s="594" customFormat="1" ht="11.25" outlineLevel="1" x14ac:dyDescent="0.2">
      <c r="A187" s="590"/>
      <c r="B187" s="591" t="str">
        <f>IF(D187&lt;&gt;"",
IF(ISERROR(MATCH(D187,'Ist Aktuell Monat 01'!A:A,0))=FALSE,INDEX('Ist Aktuell Monat 01'!B:B,MATCH(D187,'Ist Aktuell Monat 01'!A:A,0)),
IF(ISERROR(MATCH(D187,'Ist Aktuell Monat 02'!A:A,0))=FALSE,INDEX('Ist Aktuell Monat 02'!B:B,MATCH(D187,'Ist Aktuell Monat 02'!A:A,0)),
IF(ISERROR(MATCH(D187,'Ist Aktuell Monat 03'!A:A,0))=FALSE,INDEX('Ist Aktuell Monat 03'!B:B,MATCH(D187,'Ist Aktuell Monat 03'!A:A,0)),
IF(ISERROR(MATCH(D187,'Ist Aktuell Monat 04'!A:A,0))=FALSE,INDEX('Ist Aktuell Monat 04'!B:B,MATCH(D187,'Ist Aktuell Monat 04'!A:A,0)),
IF(ISERROR(MATCH(D187,'Ist Aktuell Monat 05'!A:A,0))=FALSE,INDEX('Ist Aktuell Monat 05'!B:B,MATCH(D187,'Ist Aktuell Monat 05'!A:A,0)),
IF(ISERROR(MATCH(D187,'Ist Aktuell Monat 06'!A:A,0))=FALSE,INDEX('Ist Aktuell Monat 06'!B:B,MATCH(D187,'Ist Aktuell Monat 06'!A:A,0)),
IF(ISERROR(MATCH(D187,'Ist Aktuell Monat 07'!A:A,0))=FALSE,INDEX('Ist Aktuell Monat 07'!B:B,MATCH(D187,'Ist Aktuell Monat 07'!A:A,0)),
IF(ISERROR(MATCH(D187,'Ist Aktuell Monat 08'!A:A,0))=FALSE,INDEX('Ist Aktuell Monat 08'!B:B,MATCH(D187,'Ist Aktuell Monat 08'!A:A,0)),
IF(ISERROR(MATCH(D187,'Ist Aktuell Monat 09'!A:A,0))=FALSE,INDEX('Ist Aktuell Monat 09'!B:B,MATCH(D187,'Ist Aktuell Monat 09'!A:A,0)),
IF(ISERROR(MATCH(D187,'Ist Aktuell Monat 10'!A:A,0))=FALSE,INDEX('Ist Aktuell Monat 10'!B:B,MATCH(D187,'Ist Aktuell Monat 10'!A:A,0)),
IF(ISERROR(MATCH(D187,'Ist Aktuell Monat 11'!A:A,0))=FALSE,INDEX('Ist Aktuell Monat 11'!B:B,MATCH(D187,'Ist Aktuell Monat 11'!A:A,0)),
IF(ISERROR(MATCH(D187,'Ist Aktuell Monat 12'!A:A,0))=FALSE,INDEX('Ist Aktuell Monat 12'!B:B,MATCH(D187,'Ist Aktuell Monat 12'!A:A,0)),
"{Konto unbekannt}"
)))))))))))),"")</f>
        <v/>
      </c>
      <c r="C187" s="591"/>
      <c r="D187" s="590"/>
      <c r="E187" s="592">
        <f t="shared" si="171"/>
        <v>1</v>
      </c>
      <c r="F187" s="590"/>
      <c r="G187" s="593">
        <f ca="1">$E187*(-SUMIF(INDIRECT(G$3),'Struktur Aktuell'!$D187,INDIRECT(G$4))+SUMIF(INDIRECT(G$3),'Struktur Aktuell'!$D187,INDIRECT(G$5)))</f>
        <v>0</v>
      </c>
      <c r="H187" s="593">
        <f ca="1">$E187*(-SUMIF(INDIRECT(H$3),'Struktur Aktuell'!$D187,INDIRECT(H$4))+SUMIF(INDIRECT(H$3),'Struktur Aktuell'!$D187,INDIRECT(H$5)))</f>
        <v>0</v>
      </c>
      <c r="I187" s="593">
        <f ca="1">$E187*(-SUMIF(INDIRECT(I$3),'Struktur Aktuell'!$D187,INDIRECT(I$4))+SUMIF(INDIRECT(I$3),'Struktur Aktuell'!$D187,INDIRECT(I$5)))</f>
        <v>0</v>
      </c>
      <c r="J187" s="593">
        <f ca="1">$E187*(-SUMIF(INDIRECT(J$3),'Struktur Aktuell'!$D187,INDIRECT(J$4))+SUMIF(INDIRECT(J$3),'Struktur Aktuell'!$D187,INDIRECT(J$5)))</f>
        <v>0</v>
      </c>
      <c r="K187" s="593">
        <f ca="1">$E187*(-SUMIF(INDIRECT(K$3),'Struktur Aktuell'!$D187,INDIRECT(K$4))+SUMIF(INDIRECT(K$3),'Struktur Aktuell'!$D187,INDIRECT(K$5)))</f>
        <v>0</v>
      </c>
      <c r="L187" s="593">
        <f ca="1">$E187*(-SUMIF(INDIRECT(L$3),'Struktur Aktuell'!$D187,INDIRECT(L$4))+SUMIF(INDIRECT(L$3),'Struktur Aktuell'!$D187,INDIRECT(L$5)))</f>
        <v>0</v>
      </c>
      <c r="M187" s="593">
        <f ca="1">$E187*(-SUMIF(INDIRECT(M$3),'Struktur Aktuell'!$D187,INDIRECT(M$4))+SUMIF(INDIRECT(M$3),'Struktur Aktuell'!$D187,INDIRECT(M$5)))</f>
        <v>0</v>
      </c>
      <c r="N187" s="593">
        <f ca="1">$E187*(-SUMIF(INDIRECT(N$3),'Struktur Aktuell'!$D187,INDIRECT(N$4))+SUMIF(INDIRECT(N$3),'Struktur Aktuell'!$D187,INDIRECT(N$5)))</f>
        <v>0</v>
      </c>
      <c r="O187" s="593">
        <f ca="1">$E187*(-SUMIF(INDIRECT(O$3),'Struktur Aktuell'!$D187,INDIRECT(O$4))+SUMIF(INDIRECT(O$3),'Struktur Aktuell'!$D187,INDIRECT(O$5)))</f>
        <v>0</v>
      </c>
      <c r="P187" s="593">
        <f ca="1">$E187*(-SUMIF(INDIRECT(P$3),'Struktur Aktuell'!$D187,INDIRECT(P$4))+SUMIF(INDIRECT(P$3),'Struktur Aktuell'!$D187,INDIRECT(P$5)))</f>
        <v>0</v>
      </c>
      <c r="Q187" s="593">
        <f ca="1">$E187*(-SUMIF(INDIRECT(Q$3),'Struktur Aktuell'!$D187,INDIRECT(Q$4))+SUMIF(INDIRECT(Q$3),'Struktur Aktuell'!$D187,INDIRECT(Q$5)))</f>
        <v>0</v>
      </c>
      <c r="R187" s="593">
        <f ca="1">$E187*(-SUMIF(INDIRECT(R$3),'Struktur Aktuell'!$D187,INDIRECT(R$4))+SUMIF(INDIRECT(R$3),'Struktur Aktuell'!$D187,INDIRECT(R$5)))</f>
        <v>0</v>
      </c>
      <c r="S187" s="593">
        <f ca="1">$E187*(-SUMIF(INDIRECT(S$3),'Struktur Aktuell'!$D187,INDIRECT(S$4))+SUMIF(INDIRECT(S$3),'Struktur Aktuell'!$D187,INDIRECT(S$5)))</f>
        <v>0</v>
      </c>
      <c r="T187" s="593">
        <f ca="1">$E187*(-SUMIF(INDIRECT(T$3),'Struktur Aktuell'!$D187,INDIRECT(T$4))+SUMIF(INDIRECT(T$3),'Struktur Aktuell'!$D187,INDIRECT(T$5)))</f>
        <v>0</v>
      </c>
      <c r="U187" s="593">
        <f ca="1">$E187*(-SUMIF(INDIRECT(U$3),'Struktur Aktuell'!$D187,INDIRECT(U$4))+SUMIF(INDIRECT(U$3),'Struktur Aktuell'!$D187,INDIRECT(U$5)))</f>
        <v>0</v>
      </c>
      <c r="V187" s="593">
        <f ca="1">$E187*(-SUMIF(INDIRECT(V$3),'Struktur Aktuell'!$D187,INDIRECT(V$4))+SUMIF(INDIRECT(V$3),'Struktur Aktuell'!$D187,INDIRECT(V$5)))</f>
        <v>0</v>
      </c>
      <c r="W187" s="593">
        <f ca="1">$E187*(-SUMIF(INDIRECT(W$3),'Struktur Aktuell'!$D187,INDIRECT(W$4))+SUMIF(INDIRECT(W$3),'Struktur Aktuell'!$D187,INDIRECT(W$5)))</f>
        <v>0</v>
      </c>
      <c r="X187" s="593">
        <f ca="1">$E187*(-SUMIF(INDIRECT(X$3),'Struktur Aktuell'!$D187,INDIRECT(X$4))+SUMIF(INDIRECT(X$3),'Struktur Aktuell'!$D187,INDIRECT(X$5)))</f>
        <v>0</v>
      </c>
      <c r="Y187" s="593">
        <f ca="1">$E187*(-SUMIF(INDIRECT(Y$3),'Struktur Aktuell'!$D187,INDIRECT(Y$4))+SUMIF(INDIRECT(Y$3),'Struktur Aktuell'!$D187,INDIRECT(Y$5)))</f>
        <v>0</v>
      </c>
      <c r="Z187" s="593">
        <f ca="1">$E187*(-SUMIF(INDIRECT(Z$3),'Struktur Aktuell'!$D187,INDIRECT(Z$4))+SUMIF(INDIRECT(Z$3),'Struktur Aktuell'!$D187,INDIRECT(Z$5)))</f>
        <v>0</v>
      </c>
      <c r="AA187" s="593">
        <f ca="1">$E187*(-SUMIF(INDIRECT(AA$3),'Struktur Aktuell'!$D187,INDIRECT(AA$4))+SUMIF(INDIRECT(AA$3),'Struktur Aktuell'!$D187,INDIRECT(AA$5)))</f>
        <v>0</v>
      </c>
      <c r="AB187" s="593">
        <f ca="1">$E187*(-SUMIF(INDIRECT(AB$3),'Struktur Aktuell'!$D187,INDIRECT(AB$4))+SUMIF(INDIRECT(AB$3),'Struktur Aktuell'!$D187,INDIRECT(AB$5)))</f>
        <v>0</v>
      </c>
      <c r="AC187" s="593">
        <f ca="1">$E187*(-SUMIF(INDIRECT(AC$3),'Struktur Aktuell'!$D187,INDIRECT(AC$4))+SUMIF(INDIRECT(AC$3),'Struktur Aktuell'!$D187,INDIRECT(AC$5)))</f>
        <v>0</v>
      </c>
      <c r="AD187" s="593">
        <f ca="1">$E187*(-SUMIF(INDIRECT(AD$3),'Struktur Aktuell'!$D187,INDIRECT(AD$4))+SUMIF(INDIRECT(AD$3),'Struktur Aktuell'!$D187,INDIRECT(AD$5)))</f>
        <v>0</v>
      </c>
      <c r="AE187" s="593">
        <f t="shared" ca="1" si="268"/>
        <v>0</v>
      </c>
      <c r="AF187" s="593">
        <f t="shared" ca="1" si="269"/>
        <v>0</v>
      </c>
      <c r="AG187" s="593">
        <f t="shared" ca="1" si="270"/>
        <v>0</v>
      </c>
      <c r="AH187" s="593">
        <f t="shared" ca="1" si="271"/>
        <v>0</v>
      </c>
      <c r="AI187" s="593">
        <f t="shared" ca="1" si="272"/>
        <v>0</v>
      </c>
      <c r="AJ187" s="593">
        <f t="shared" ca="1" si="273"/>
        <v>0</v>
      </c>
      <c r="AK187" s="593">
        <f t="shared" ca="1" si="274"/>
        <v>0</v>
      </c>
      <c r="AL187" s="593">
        <f t="shared" ca="1" si="275"/>
        <v>0</v>
      </c>
      <c r="AM187" s="593">
        <f t="shared" ca="1" si="276"/>
        <v>0</v>
      </c>
      <c r="AN187" s="593">
        <f t="shared" ca="1" si="277"/>
        <v>0</v>
      </c>
      <c r="AO187" s="593">
        <f t="shared" ca="1" si="278"/>
        <v>0</v>
      </c>
      <c r="AP187" s="593">
        <f t="shared" ca="1" si="279"/>
        <v>0</v>
      </c>
    </row>
    <row r="188" spans="1:42" s="589" customFormat="1" x14ac:dyDescent="0.2">
      <c r="A188" s="585">
        <v>18</v>
      </c>
      <c r="B188" s="586" t="s">
        <v>289</v>
      </c>
      <c r="C188" s="587">
        <f ca="1">SUM(G188:R188)</f>
        <v>44.65</v>
      </c>
      <c r="D188" s="587"/>
      <c r="E188" s="588">
        <f t="shared" si="171"/>
        <v>1</v>
      </c>
      <c r="F188" s="585"/>
      <c r="G188" s="587">
        <f t="shared" ref="G188:R188" ca="1" si="280">SUM(G189:G207)</f>
        <v>0</v>
      </c>
      <c r="H188" s="587">
        <f t="shared" ca="1" si="280"/>
        <v>0</v>
      </c>
      <c r="I188" s="587">
        <f t="shared" ca="1" si="280"/>
        <v>0</v>
      </c>
      <c r="J188" s="587">
        <f t="shared" ca="1" si="280"/>
        <v>0</v>
      </c>
      <c r="K188" s="587">
        <f t="shared" ca="1" si="280"/>
        <v>0</v>
      </c>
      <c r="L188" s="587">
        <f t="shared" ca="1" si="280"/>
        <v>0</v>
      </c>
      <c r="M188" s="587">
        <f t="shared" ca="1" si="280"/>
        <v>0</v>
      </c>
      <c r="N188" s="587">
        <f t="shared" ca="1" si="280"/>
        <v>15.65</v>
      </c>
      <c r="O188" s="587">
        <f t="shared" ca="1" si="280"/>
        <v>0</v>
      </c>
      <c r="P188" s="587">
        <f t="shared" ca="1" si="280"/>
        <v>29</v>
      </c>
      <c r="Q188" s="587">
        <f t="shared" ca="1" si="280"/>
        <v>0</v>
      </c>
      <c r="R188" s="587">
        <f t="shared" ca="1" si="280"/>
        <v>0</v>
      </c>
      <c r="S188" s="587">
        <f t="shared" ref="S188:AP188" ca="1" si="281">SUM(S189:S207)</f>
        <v>0</v>
      </c>
      <c r="T188" s="587">
        <f t="shared" ca="1" si="281"/>
        <v>0</v>
      </c>
      <c r="U188" s="587">
        <f t="shared" ca="1" si="281"/>
        <v>0</v>
      </c>
      <c r="V188" s="587">
        <f t="shared" ca="1" si="281"/>
        <v>0</v>
      </c>
      <c r="W188" s="587">
        <f t="shared" ca="1" si="281"/>
        <v>0</v>
      </c>
      <c r="X188" s="587">
        <f t="shared" ca="1" si="281"/>
        <v>0</v>
      </c>
      <c r="Y188" s="587">
        <f t="shared" ca="1" si="281"/>
        <v>0</v>
      </c>
      <c r="Z188" s="587">
        <f t="shared" ca="1" si="281"/>
        <v>15.65</v>
      </c>
      <c r="AA188" s="587">
        <f t="shared" ca="1" si="281"/>
        <v>15.65</v>
      </c>
      <c r="AB188" s="587">
        <f t="shared" ca="1" si="281"/>
        <v>44.65</v>
      </c>
      <c r="AC188" s="587">
        <f t="shared" ca="1" si="281"/>
        <v>0</v>
      </c>
      <c r="AD188" s="587">
        <f t="shared" ca="1" si="281"/>
        <v>0</v>
      </c>
      <c r="AE188" s="587">
        <f t="shared" ca="1" si="281"/>
        <v>0</v>
      </c>
      <c r="AF188" s="587">
        <f t="shared" ca="1" si="281"/>
        <v>0</v>
      </c>
      <c r="AG188" s="587">
        <f t="shared" ca="1" si="281"/>
        <v>0</v>
      </c>
      <c r="AH188" s="587">
        <f t="shared" ca="1" si="281"/>
        <v>0</v>
      </c>
      <c r="AI188" s="587">
        <f t="shared" ca="1" si="281"/>
        <v>0</v>
      </c>
      <c r="AJ188" s="587">
        <f t="shared" ca="1" si="281"/>
        <v>0</v>
      </c>
      <c r="AK188" s="587">
        <f t="shared" ca="1" si="281"/>
        <v>0</v>
      </c>
      <c r="AL188" s="587">
        <f t="shared" ca="1" si="281"/>
        <v>15.65</v>
      </c>
      <c r="AM188" s="587">
        <f t="shared" ca="1" si="281"/>
        <v>15.65</v>
      </c>
      <c r="AN188" s="587">
        <f t="shared" ca="1" si="281"/>
        <v>44.65</v>
      </c>
      <c r="AO188" s="587">
        <f t="shared" ca="1" si="281"/>
        <v>44.65</v>
      </c>
      <c r="AP188" s="587">
        <f t="shared" ca="1" si="281"/>
        <v>44.65</v>
      </c>
    </row>
    <row r="189" spans="1:42" s="594" customFormat="1" ht="11.25" outlineLevel="1" x14ac:dyDescent="0.2">
      <c r="A189" s="590"/>
      <c r="B189" s="591" t="str">
        <f>IF(D189&lt;&gt;"",
IF(ISERROR(MATCH(D189,'Ist Aktuell Monat 01'!A:A,0))=FALSE,INDEX('Ist Aktuell Monat 01'!B:B,MATCH(D189,'Ist Aktuell Monat 01'!A:A,0)),
IF(ISERROR(MATCH(D189,'Ist Aktuell Monat 02'!A:A,0))=FALSE,INDEX('Ist Aktuell Monat 02'!B:B,MATCH(D189,'Ist Aktuell Monat 02'!A:A,0)),
IF(ISERROR(MATCH(D189,'Ist Aktuell Monat 03'!A:A,0))=FALSE,INDEX('Ist Aktuell Monat 03'!B:B,MATCH(D189,'Ist Aktuell Monat 03'!A:A,0)),
IF(ISERROR(MATCH(D189,'Ist Aktuell Monat 04'!A:A,0))=FALSE,INDEX('Ist Aktuell Monat 04'!B:B,MATCH(D189,'Ist Aktuell Monat 04'!A:A,0)),
IF(ISERROR(MATCH(D189,'Ist Aktuell Monat 05'!A:A,0))=FALSE,INDEX('Ist Aktuell Monat 05'!B:B,MATCH(D189,'Ist Aktuell Monat 05'!A:A,0)),
IF(ISERROR(MATCH(D189,'Ist Aktuell Monat 06'!A:A,0))=FALSE,INDEX('Ist Aktuell Monat 06'!B:B,MATCH(D189,'Ist Aktuell Monat 06'!A:A,0)),
IF(ISERROR(MATCH(D189,'Ist Aktuell Monat 07'!A:A,0))=FALSE,INDEX('Ist Aktuell Monat 07'!B:B,MATCH(D189,'Ist Aktuell Monat 07'!A:A,0)),
IF(ISERROR(MATCH(D189,'Ist Aktuell Monat 08'!A:A,0))=FALSE,INDEX('Ist Aktuell Monat 08'!B:B,MATCH(D189,'Ist Aktuell Monat 08'!A:A,0)),
IF(ISERROR(MATCH(D189,'Ist Aktuell Monat 09'!A:A,0))=FALSE,INDEX('Ist Aktuell Monat 09'!B:B,MATCH(D189,'Ist Aktuell Monat 09'!A:A,0)),
IF(ISERROR(MATCH(D189,'Ist Aktuell Monat 10'!A:A,0))=FALSE,INDEX('Ist Aktuell Monat 10'!B:B,MATCH(D189,'Ist Aktuell Monat 10'!A:A,0)),
IF(ISERROR(MATCH(D189,'Ist Aktuell Monat 11'!A:A,0))=FALSE,INDEX('Ist Aktuell Monat 11'!B:B,MATCH(D189,'Ist Aktuell Monat 11'!A:A,0)),
IF(ISERROR(MATCH(D189,'Ist Aktuell Monat 12'!A:A,0))=FALSE,INDEX('Ist Aktuell Monat 12'!B:B,MATCH(D189,'Ist Aktuell Monat 12'!A:A,0)),
"{Konto unbekannt}"
)))))))))))),"")</f>
        <v>Kfz-Steuern</v>
      </c>
      <c r="C189" s="591"/>
      <c r="D189" s="590">
        <v>4510</v>
      </c>
      <c r="E189" s="592">
        <f t="shared" si="171"/>
        <v>1</v>
      </c>
      <c r="F189" s="590"/>
      <c r="G189" s="593">
        <f ca="1">$E189*(-SUMIF(INDIRECT(G$3),'Struktur Aktuell'!$D189,INDIRECT(G$4))+SUMIF(INDIRECT(G$3),'Struktur Aktuell'!$D189,INDIRECT(G$5)))</f>
        <v>0</v>
      </c>
      <c r="H189" s="593">
        <f ca="1">$E189*(-SUMIF(INDIRECT(H$3),'Struktur Aktuell'!$D189,INDIRECT(H$4))+SUMIF(INDIRECT(H$3),'Struktur Aktuell'!$D189,INDIRECT(H$5)))</f>
        <v>0</v>
      </c>
      <c r="I189" s="593">
        <f ca="1">$E189*(-SUMIF(INDIRECT(I$3),'Struktur Aktuell'!$D189,INDIRECT(I$4))+SUMIF(INDIRECT(I$3),'Struktur Aktuell'!$D189,INDIRECT(I$5)))</f>
        <v>0</v>
      </c>
      <c r="J189" s="593">
        <f ca="1">$E189*(-SUMIF(INDIRECT(J$3),'Struktur Aktuell'!$D189,INDIRECT(J$4))+SUMIF(INDIRECT(J$3),'Struktur Aktuell'!$D189,INDIRECT(J$5)))</f>
        <v>0</v>
      </c>
      <c r="K189" s="593">
        <f ca="1">$E189*(-SUMIF(INDIRECT(K$3),'Struktur Aktuell'!$D189,INDIRECT(K$4))+SUMIF(INDIRECT(K$3),'Struktur Aktuell'!$D189,INDIRECT(K$5)))</f>
        <v>0</v>
      </c>
      <c r="L189" s="593">
        <f ca="1">$E189*(-SUMIF(INDIRECT(L$3),'Struktur Aktuell'!$D189,INDIRECT(L$4))+SUMIF(INDIRECT(L$3),'Struktur Aktuell'!$D189,INDIRECT(L$5)))</f>
        <v>0</v>
      </c>
      <c r="M189" s="593">
        <f ca="1">$E189*(-SUMIF(INDIRECT(M$3),'Struktur Aktuell'!$D189,INDIRECT(M$4))+SUMIF(INDIRECT(M$3),'Struktur Aktuell'!$D189,INDIRECT(M$5)))</f>
        <v>0</v>
      </c>
      <c r="N189" s="593">
        <f ca="1">$E189*(-SUMIF(INDIRECT(N$3),'Struktur Aktuell'!$D189,INDIRECT(N$4))+SUMIF(INDIRECT(N$3),'Struktur Aktuell'!$D189,INDIRECT(N$5)))</f>
        <v>0</v>
      </c>
      <c r="O189" s="593">
        <f ca="1">$E189*(-SUMIF(INDIRECT(O$3),'Struktur Aktuell'!$D189,INDIRECT(O$4))+SUMIF(INDIRECT(O$3),'Struktur Aktuell'!$D189,INDIRECT(O$5)))</f>
        <v>0</v>
      </c>
      <c r="P189" s="593">
        <f ca="1">$E189*(-SUMIF(INDIRECT(P$3),'Struktur Aktuell'!$D189,INDIRECT(P$4))+SUMIF(INDIRECT(P$3),'Struktur Aktuell'!$D189,INDIRECT(P$5)))</f>
        <v>29</v>
      </c>
      <c r="Q189" s="593">
        <f ca="1">$E189*(-SUMIF(INDIRECT(Q$3),'Struktur Aktuell'!$D189,INDIRECT(Q$4))+SUMIF(INDIRECT(Q$3),'Struktur Aktuell'!$D189,INDIRECT(Q$5)))</f>
        <v>0</v>
      </c>
      <c r="R189" s="593">
        <f ca="1">$E189*(-SUMIF(INDIRECT(R$3),'Struktur Aktuell'!$D189,INDIRECT(R$4))+SUMIF(INDIRECT(R$3),'Struktur Aktuell'!$D189,INDIRECT(R$5)))</f>
        <v>0</v>
      </c>
      <c r="S189" s="593">
        <f ca="1">$E189*(-SUMIF(INDIRECT(S$3),'Struktur Aktuell'!$D189,INDIRECT(S$4))+SUMIF(INDIRECT(S$3),'Struktur Aktuell'!$D189,INDIRECT(S$5)))</f>
        <v>0</v>
      </c>
      <c r="T189" s="593">
        <f ca="1">$E189*(-SUMIF(INDIRECT(T$3),'Struktur Aktuell'!$D189,INDIRECT(T$4))+SUMIF(INDIRECT(T$3),'Struktur Aktuell'!$D189,INDIRECT(T$5)))</f>
        <v>0</v>
      </c>
      <c r="U189" s="593">
        <f ca="1">$E189*(-SUMIF(INDIRECT(U$3),'Struktur Aktuell'!$D189,INDIRECT(U$4))+SUMIF(INDIRECT(U$3),'Struktur Aktuell'!$D189,INDIRECT(U$5)))</f>
        <v>0</v>
      </c>
      <c r="V189" s="593">
        <f ca="1">$E189*(-SUMIF(INDIRECT(V$3),'Struktur Aktuell'!$D189,INDIRECT(V$4))+SUMIF(INDIRECT(V$3),'Struktur Aktuell'!$D189,INDIRECT(V$5)))</f>
        <v>0</v>
      </c>
      <c r="W189" s="593">
        <f ca="1">$E189*(-SUMIF(INDIRECT(W$3),'Struktur Aktuell'!$D189,INDIRECT(W$4))+SUMIF(INDIRECT(W$3),'Struktur Aktuell'!$D189,INDIRECT(W$5)))</f>
        <v>0</v>
      </c>
      <c r="X189" s="593">
        <f ca="1">$E189*(-SUMIF(INDIRECT(X$3),'Struktur Aktuell'!$D189,INDIRECT(X$4))+SUMIF(INDIRECT(X$3),'Struktur Aktuell'!$D189,INDIRECT(X$5)))</f>
        <v>0</v>
      </c>
      <c r="Y189" s="593">
        <f ca="1">$E189*(-SUMIF(INDIRECT(Y$3),'Struktur Aktuell'!$D189,INDIRECT(Y$4))+SUMIF(INDIRECT(Y$3),'Struktur Aktuell'!$D189,INDIRECT(Y$5)))</f>
        <v>0</v>
      </c>
      <c r="Z189" s="593">
        <f ca="1">$E189*(-SUMIF(INDIRECT(Z$3),'Struktur Aktuell'!$D189,INDIRECT(Z$4))+SUMIF(INDIRECT(Z$3),'Struktur Aktuell'!$D189,INDIRECT(Z$5)))</f>
        <v>0</v>
      </c>
      <c r="AA189" s="593">
        <f ca="1">$E189*(-SUMIF(INDIRECT(AA$3),'Struktur Aktuell'!$D189,INDIRECT(AA$4))+SUMIF(INDIRECT(AA$3),'Struktur Aktuell'!$D189,INDIRECT(AA$5)))</f>
        <v>0</v>
      </c>
      <c r="AB189" s="593">
        <f ca="1">$E189*(-SUMIF(INDIRECT(AB$3),'Struktur Aktuell'!$D189,INDIRECT(AB$4))+SUMIF(INDIRECT(AB$3),'Struktur Aktuell'!$D189,INDIRECT(AB$5)))</f>
        <v>29</v>
      </c>
      <c r="AC189" s="593">
        <f ca="1">$E189*(-SUMIF(INDIRECT(AC$3),'Struktur Aktuell'!$D189,INDIRECT(AC$4))+SUMIF(INDIRECT(AC$3),'Struktur Aktuell'!$D189,INDIRECT(AC$5)))</f>
        <v>0</v>
      </c>
      <c r="AD189" s="593">
        <f ca="1">$E189*(-SUMIF(INDIRECT(AD$3),'Struktur Aktuell'!$D189,INDIRECT(AD$4))+SUMIF(INDIRECT(AD$3),'Struktur Aktuell'!$D189,INDIRECT(AD$5)))</f>
        <v>0</v>
      </c>
      <c r="AE189" s="593">
        <f t="shared" ref="AE189:AE207" ca="1" si="282">G189</f>
        <v>0</v>
      </c>
      <c r="AF189" s="593">
        <f t="shared" ref="AF189:AF207" ca="1" si="283">H189+AE189</f>
        <v>0</v>
      </c>
      <c r="AG189" s="593">
        <f t="shared" ref="AG189:AG207" ca="1" si="284">I189+AF189</f>
        <v>0</v>
      </c>
      <c r="AH189" s="593">
        <f t="shared" ref="AH189:AH207" ca="1" si="285">J189+AG189</f>
        <v>0</v>
      </c>
      <c r="AI189" s="593">
        <f t="shared" ref="AI189:AI207" ca="1" si="286">K189+AH189</f>
        <v>0</v>
      </c>
      <c r="AJ189" s="593">
        <f t="shared" ref="AJ189:AJ207" ca="1" si="287">L189+AI189</f>
        <v>0</v>
      </c>
      <c r="AK189" s="593">
        <f t="shared" ref="AK189:AK207" ca="1" si="288">M189+AJ189</f>
        <v>0</v>
      </c>
      <c r="AL189" s="593">
        <f t="shared" ref="AL189:AL207" ca="1" si="289">N189+AK189</f>
        <v>0</v>
      </c>
      <c r="AM189" s="593">
        <f t="shared" ref="AM189:AM207" ca="1" si="290">O189+AL189</f>
        <v>0</v>
      </c>
      <c r="AN189" s="593">
        <f t="shared" ref="AN189:AN207" ca="1" si="291">P189+AM189</f>
        <v>29</v>
      </c>
      <c r="AO189" s="593">
        <f t="shared" ref="AO189:AO207" ca="1" si="292">Q189+AN189</f>
        <v>29</v>
      </c>
      <c r="AP189" s="593">
        <f t="shared" ref="AP189:AP207" ca="1" si="293">R189+AO189</f>
        <v>29</v>
      </c>
    </row>
    <row r="190" spans="1:42" s="594" customFormat="1" ht="11.25" outlineLevel="1" x14ac:dyDescent="0.2">
      <c r="A190" s="590"/>
      <c r="B190" s="591" t="str">
        <f>IF(D190&lt;&gt;"",
IF(ISERROR(MATCH(D190,'Ist Aktuell Monat 01'!A:A,0))=FALSE,INDEX('Ist Aktuell Monat 01'!B:B,MATCH(D190,'Ist Aktuell Monat 01'!A:A,0)),
IF(ISERROR(MATCH(D190,'Ist Aktuell Monat 02'!A:A,0))=FALSE,INDEX('Ist Aktuell Monat 02'!B:B,MATCH(D190,'Ist Aktuell Monat 02'!A:A,0)),
IF(ISERROR(MATCH(D190,'Ist Aktuell Monat 03'!A:A,0))=FALSE,INDEX('Ist Aktuell Monat 03'!B:B,MATCH(D190,'Ist Aktuell Monat 03'!A:A,0)),
IF(ISERROR(MATCH(D190,'Ist Aktuell Monat 04'!A:A,0))=FALSE,INDEX('Ist Aktuell Monat 04'!B:B,MATCH(D190,'Ist Aktuell Monat 04'!A:A,0)),
IF(ISERROR(MATCH(D190,'Ist Aktuell Monat 05'!A:A,0))=FALSE,INDEX('Ist Aktuell Monat 05'!B:B,MATCH(D190,'Ist Aktuell Monat 05'!A:A,0)),
IF(ISERROR(MATCH(D190,'Ist Aktuell Monat 06'!A:A,0))=FALSE,INDEX('Ist Aktuell Monat 06'!B:B,MATCH(D190,'Ist Aktuell Monat 06'!A:A,0)),
IF(ISERROR(MATCH(D190,'Ist Aktuell Monat 07'!A:A,0))=FALSE,INDEX('Ist Aktuell Monat 07'!B:B,MATCH(D190,'Ist Aktuell Monat 07'!A:A,0)),
IF(ISERROR(MATCH(D190,'Ist Aktuell Monat 08'!A:A,0))=FALSE,INDEX('Ist Aktuell Monat 08'!B:B,MATCH(D190,'Ist Aktuell Monat 08'!A:A,0)),
IF(ISERROR(MATCH(D190,'Ist Aktuell Monat 09'!A:A,0))=FALSE,INDEX('Ist Aktuell Monat 09'!B:B,MATCH(D190,'Ist Aktuell Monat 09'!A:A,0)),
IF(ISERROR(MATCH(D190,'Ist Aktuell Monat 10'!A:A,0))=FALSE,INDEX('Ist Aktuell Monat 10'!B:B,MATCH(D190,'Ist Aktuell Monat 10'!A:A,0)),
IF(ISERROR(MATCH(D190,'Ist Aktuell Monat 11'!A:A,0))=FALSE,INDEX('Ist Aktuell Monat 11'!B:B,MATCH(D190,'Ist Aktuell Monat 11'!A:A,0)),
IF(ISERROR(MATCH(D190,'Ist Aktuell Monat 12'!A:A,0))=FALSE,INDEX('Ist Aktuell Monat 12'!B:B,MATCH(D190,'Ist Aktuell Monat 12'!A:A,0)),
"{Konto unbekannt}"
)))))))))))),"")</f>
        <v>Kfz-Versicherungen</v>
      </c>
      <c r="C190" s="591"/>
      <c r="D190" s="590">
        <v>4520</v>
      </c>
      <c r="E190" s="592">
        <f t="shared" si="171"/>
        <v>1</v>
      </c>
      <c r="F190" s="590"/>
      <c r="G190" s="593">
        <f ca="1">$E190*(-SUMIF(INDIRECT(G$3),'Struktur Aktuell'!$D190,INDIRECT(G$4))+SUMIF(INDIRECT(G$3),'Struktur Aktuell'!$D190,INDIRECT(G$5)))</f>
        <v>0</v>
      </c>
      <c r="H190" s="593">
        <f ca="1">$E190*(-SUMIF(INDIRECT(H$3),'Struktur Aktuell'!$D190,INDIRECT(H$4))+SUMIF(INDIRECT(H$3),'Struktur Aktuell'!$D190,INDIRECT(H$5)))</f>
        <v>0</v>
      </c>
      <c r="I190" s="593">
        <f ca="1">$E190*(-SUMIF(INDIRECT(I$3),'Struktur Aktuell'!$D190,INDIRECT(I$4))+SUMIF(INDIRECT(I$3),'Struktur Aktuell'!$D190,INDIRECT(I$5)))</f>
        <v>0</v>
      </c>
      <c r="J190" s="593">
        <f ca="1">$E190*(-SUMIF(INDIRECT(J$3),'Struktur Aktuell'!$D190,INDIRECT(J$4))+SUMIF(INDIRECT(J$3),'Struktur Aktuell'!$D190,INDIRECT(J$5)))</f>
        <v>0</v>
      </c>
      <c r="K190" s="593">
        <f ca="1">$E190*(-SUMIF(INDIRECT(K$3),'Struktur Aktuell'!$D190,INDIRECT(K$4))+SUMIF(INDIRECT(K$3),'Struktur Aktuell'!$D190,INDIRECT(K$5)))</f>
        <v>0</v>
      </c>
      <c r="L190" s="593">
        <f ca="1">$E190*(-SUMIF(INDIRECT(L$3),'Struktur Aktuell'!$D190,INDIRECT(L$4))+SUMIF(INDIRECT(L$3),'Struktur Aktuell'!$D190,INDIRECT(L$5)))</f>
        <v>0</v>
      </c>
      <c r="M190" s="593">
        <f ca="1">$E190*(-SUMIF(INDIRECT(M$3),'Struktur Aktuell'!$D190,INDIRECT(M$4))+SUMIF(INDIRECT(M$3),'Struktur Aktuell'!$D190,INDIRECT(M$5)))</f>
        <v>0</v>
      </c>
      <c r="N190" s="593">
        <f ca="1">$E190*(-SUMIF(INDIRECT(N$3),'Struktur Aktuell'!$D190,INDIRECT(N$4))+SUMIF(INDIRECT(N$3),'Struktur Aktuell'!$D190,INDIRECT(N$5)))</f>
        <v>15.65</v>
      </c>
      <c r="O190" s="593">
        <f ca="1">$E190*(-SUMIF(INDIRECT(O$3),'Struktur Aktuell'!$D190,INDIRECT(O$4))+SUMIF(INDIRECT(O$3),'Struktur Aktuell'!$D190,INDIRECT(O$5)))</f>
        <v>0</v>
      </c>
      <c r="P190" s="593">
        <f ca="1">$E190*(-SUMIF(INDIRECT(P$3),'Struktur Aktuell'!$D190,INDIRECT(P$4))+SUMIF(INDIRECT(P$3),'Struktur Aktuell'!$D190,INDIRECT(P$5)))</f>
        <v>0</v>
      </c>
      <c r="Q190" s="593">
        <f ca="1">$E190*(-SUMIF(INDIRECT(Q$3),'Struktur Aktuell'!$D190,INDIRECT(Q$4))+SUMIF(INDIRECT(Q$3),'Struktur Aktuell'!$D190,INDIRECT(Q$5)))</f>
        <v>0</v>
      </c>
      <c r="R190" s="593">
        <f ca="1">$E190*(-SUMIF(INDIRECT(R$3),'Struktur Aktuell'!$D190,INDIRECT(R$4))+SUMIF(INDIRECT(R$3),'Struktur Aktuell'!$D190,INDIRECT(R$5)))</f>
        <v>0</v>
      </c>
      <c r="S190" s="593">
        <f ca="1">$E190*(-SUMIF(INDIRECT(S$3),'Struktur Aktuell'!$D190,INDIRECT(S$4))+SUMIF(INDIRECT(S$3),'Struktur Aktuell'!$D190,INDIRECT(S$5)))</f>
        <v>0</v>
      </c>
      <c r="T190" s="593">
        <f ca="1">$E190*(-SUMIF(INDIRECT(T$3),'Struktur Aktuell'!$D190,INDIRECT(T$4))+SUMIF(INDIRECT(T$3),'Struktur Aktuell'!$D190,INDIRECT(T$5)))</f>
        <v>0</v>
      </c>
      <c r="U190" s="593">
        <f ca="1">$E190*(-SUMIF(INDIRECT(U$3),'Struktur Aktuell'!$D190,INDIRECT(U$4))+SUMIF(INDIRECT(U$3),'Struktur Aktuell'!$D190,INDIRECT(U$5)))</f>
        <v>0</v>
      </c>
      <c r="V190" s="593">
        <f ca="1">$E190*(-SUMIF(INDIRECT(V$3),'Struktur Aktuell'!$D190,INDIRECT(V$4))+SUMIF(INDIRECT(V$3),'Struktur Aktuell'!$D190,INDIRECT(V$5)))</f>
        <v>0</v>
      </c>
      <c r="W190" s="593">
        <f ca="1">$E190*(-SUMIF(INDIRECT(W$3),'Struktur Aktuell'!$D190,INDIRECT(W$4))+SUMIF(INDIRECT(W$3),'Struktur Aktuell'!$D190,INDIRECT(W$5)))</f>
        <v>0</v>
      </c>
      <c r="X190" s="593">
        <f ca="1">$E190*(-SUMIF(INDIRECT(X$3),'Struktur Aktuell'!$D190,INDIRECT(X$4))+SUMIF(INDIRECT(X$3),'Struktur Aktuell'!$D190,INDIRECT(X$5)))</f>
        <v>0</v>
      </c>
      <c r="Y190" s="593">
        <f ca="1">$E190*(-SUMIF(INDIRECT(Y$3),'Struktur Aktuell'!$D190,INDIRECT(Y$4))+SUMIF(INDIRECT(Y$3),'Struktur Aktuell'!$D190,INDIRECT(Y$5)))</f>
        <v>0</v>
      </c>
      <c r="Z190" s="593">
        <f ca="1">$E190*(-SUMIF(INDIRECT(Z$3),'Struktur Aktuell'!$D190,INDIRECT(Z$4))+SUMIF(INDIRECT(Z$3),'Struktur Aktuell'!$D190,INDIRECT(Z$5)))</f>
        <v>15.65</v>
      </c>
      <c r="AA190" s="593">
        <f ca="1">$E190*(-SUMIF(INDIRECT(AA$3),'Struktur Aktuell'!$D190,INDIRECT(AA$4))+SUMIF(INDIRECT(AA$3),'Struktur Aktuell'!$D190,INDIRECT(AA$5)))</f>
        <v>15.65</v>
      </c>
      <c r="AB190" s="593">
        <f ca="1">$E190*(-SUMIF(INDIRECT(AB$3),'Struktur Aktuell'!$D190,INDIRECT(AB$4))+SUMIF(INDIRECT(AB$3),'Struktur Aktuell'!$D190,INDIRECT(AB$5)))</f>
        <v>15.65</v>
      </c>
      <c r="AC190" s="593">
        <f ca="1">$E190*(-SUMIF(INDIRECT(AC$3),'Struktur Aktuell'!$D190,INDIRECT(AC$4))+SUMIF(INDIRECT(AC$3),'Struktur Aktuell'!$D190,INDIRECT(AC$5)))</f>
        <v>0</v>
      </c>
      <c r="AD190" s="593">
        <f ca="1">$E190*(-SUMIF(INDIRECT(AD$3),'Struktur Aktuell'!$D190,INDIRECT(AD$4))+SUMIF(INDIRECT(AD$3),'Struktur Aktuell'!$D190,INDIRECT(AD$5)))</f>
        <v>0</v>
      </c>
      <c r="AE190" s="593">
        <f t="shared" ca="1" si="282"/>
        <v>0</v>
      </c>
      <c r="AF190" s="593">
        <f t="shared" ca="1" si="283"/>
        <v>0</v>
      </c>
      <c r="AG190" s="593">
        <f t="shared" ca="1" si="284"/>
        <v>0</v>
      </c>
      <c r="AH190" s="593">
        <f t="shared" ca="1" si="285"/>
        <v>0</v>
      </c>
      <c r="AI190" s="593">
        <f t="shared" ca="1" si="286"/>
        <v>0</v>
      </c>
      <c r="AJ190" s="593">
        <f t="shared" ca="1" si="287"/>
        <v>0</v>
      </c>
      <c r="AK190" s="593">
        <f t="shared" ca="1" si="288"/>
        <v>0</v>
      </c>
      <c r="AL190" s="593">
        <f t="shared" ca="1" si="289"/>
        <v>15.65</v>
      </c>
      <c r="AM190" s="593">
        <f t="shared" ca="1" si="290"/>
        <v>15.65</v>
      </c>
      <c r="AN190" s="593">
        <f t="shared" ca="1" si="291"/>
        <v>15.65</v>
      </c>
      <c r="AO190" s="593">
        <f t="shared" ca="1" si="292"/>
        <v>15.65</v>
      </c>
      <c r="AP190" s="593">
        <f t="shared" ca="1" si="293"/>
        <v>15.65</v>
      </c>
    </row>
    <row r="191" spans="1:42" s="594" customFormat="1" ht="11.25" outlineLevel="1" x14ac:dyDescent="0.2">
      <c r="A191" s="590"/>
      <c r="B191" s="591" t="str">
        <f>IF(D191&lt;&gt;"",
IF(ISERROR(MATCH(D191,'Ist Aktuell Monat 01'!A:A,0))=FALSE,INDEX('Ist Aktuell Monat 01'!B:B,MATCH(D191,'Ist Aktuell Monat 01'!A:A,0)),
IF(ISERROR(MATCH(D191,'Ist Aktuell Monat 02'!A:A,0))=FALSE,INDEX('Ist Aktuell Monat 02'!B:B,MATCH(D191,'Ist Aktuell Monat 02'!A:A,0)),
IF(ISERROR(MATCH(D191,'Ist Aktuell Monat 03'!A:A,0))=FALSE,INDEX('Ist Aktuell Monat 03'!B:B,MATCH(D191,'Ist Aktuell Monat 03'!A:A,0)),
IF(ISERROR(MATCH(D191,'Ist Aktuell Monat 04'!A:A,0))=FALSE,INDEX('Ist Aktuell Monat 04'!B:B,MATCH(D191,'Ist Aktuell Monat 04'!A:A,0)),
IF(ISERROR(MATCH(D191,'Ist Aktuell Monat 05'!A:A,0))=FALSE,INDEX('Ist Aktuell Monat 05'!B:B,MATCH(D191,'Ist Aktuell Monat 05'!A:A,0)),
IF(ISERROR(MATCH(D191,'Ist Aktuell Monat 06'!A:A,0))=FALSE,INDEX('Ist Aktuell Monat 06'!B:B,MATCH(D191,'Ist Aktuell Monat 06'!A:A,0)),
IF(ISERROR(MATCH(D191,'Ist Aktuell Monat 07'!A:A,0))=FALSE,INDEX('Ist Aktuell Monat 07'!B:B,MATCH(D191,'Ist Aktuell Monat 07'!A:A,0)),
IF(ISERROR(MATCH(D191,'Ist Aktuell Monat 08'!A:A,0))=FALSE,INDEX('Ist Aktuell Monat 08'!B:B,MATCH(D191,'Ist Aktuell Monat 08'!A:A,0)),
IF(ISERROR(MATCH(D191,'Ist Aktuell Monat 09'!A:A,0))=FALSE,INDEX('Ist Aktuell Monat 09'!B:B,MATCH(D191,'Ist Aktuell Monat 09'!A:A,0)),
IF(ISERROR(MATCH(D191,'Ist Aktuell Monat 10'!A:A,0))=FALSE,INDEX('Ist Aktuell Monat 10'!B:B,MATCH(D191,'Ist Aktuell Monat 10'!A:A,0)),
IF(ISERROR(MATCH(D191,'Ist Aktuell Monat 11'!A:A,0))=FALSE,INDEX('Ist Aktuell Monat 11'!B:B,MATCH(D191,'Ist Aktuell Monat 11'!A:A,0)),
IF(ISERROR(MATCH(D191,'Ist Aktuell Monat 12'!A:A,0))=FALSE,INDEX('Ist Aktuell Monat 12'!B:B,MATCH(D191,'Ist Aktuell Monat 12'!A:A,0)),
"{Konto unbekannt}"
)))))))))))),"")</f>
        <v/>
      </c>
      <c r="C191" s="591"/>
      <c r="D191" s="590"/>
      <c r="E191" s="592">
        <f t="shared" si="171"/>
        <v>1</v>
      </c>
      <c r="F191" s="590"/>
      <c r="G191" s="593">
        <f ca="1">$E191*(-SUMIF(INDIRECT(G$3),'Struktur Aktuell'!$D191,INDIRECT(G$4))+SUMIF(INDIRECT(G$3),'Struktur Aktuell'!$D191,INDIRECT(G$5)))</f>
        <v>0</v>
      </c>
      <c r="H191" s="593">
        <f ca="1">$E191*(-SUMIF(INDIRECT(H$3),'Struktur Aktuell'!$D191,INDIRECT(H$4))+SUMIF(INDIRECT(H$3),'Struktur Aktuell'!$D191,INDIRECT(H$5)))</f>
        <v>0</v>
      </c>
      <c r="I191" s="593">
        <f ca="1">$E191*(-SUMIF(INDIRECT(I$3),'Struktur Aktuell'!$D191,INDIRECT(I$4))+SUMIF(INDIRECT(I$3),'Struktur Aktuell'!$D191,INDIRECT(I$5)))</f>
        <v>0</v>
      </c>
      <c r="J191" s="593">
        <f ca="1">$E191*(-SUMIF(INDIRECT(J$3),'Struktur Aktuell'!$D191,INDIRECT(J$4))+SUMIF(INDIRECT(J$3),'Struktur Aktuell'!$D191,INDIRECT(J$5)))</f>
        <v>0</v>
      </c>
      <c r="K191" s="593">
        <f ca="1">$E191*(-SUMIF(INDIRECT(K$3),'Struktur Aktuell'!$D191,INDIRECT(K$4))+SUMIF(INDIRECT(K$3),'Struktur Aktuell'!$D191,INDIRECT(K$5)))</f>
        <v>0</v>
      </c>
      <c r="L191" s="593">
        <f ca="1">$E191*(-SUMIF(INDIRECT(L$3),'Struktur Aktuell'!$D191,INDIRECT(L$4))+SUMIF(INDIRECT(L$3),'Struktur Aktuell'!$D191,INDIRECT(L$5)))</f>
        <v>0</v>
      </c>
      <c r="M191" s="593">
        <f ca="1">$E191*(-SUMIF(INDIRECT(M$3),'Struktur Aktuell'!$D191,INDIRECT(M$4))+SUMIF(INDIRECT(M$3),'Struktur Aktuell'!$D191,INDIRECT(M$5)))</f>
        <v>0</v>
      </c>
      <c r="N191" s="593">
        <f ca="1">$E191*(-SUMIF(INDIRECT(N$3),'Struktur Aktuell'!$D191,INDIRECT(N$4))+SUMIF(INDIRECT(N$3),'Struktur Aktuell'!$D191,INDIRECT(N$5)))</f>
        <v>0</v>
      </c>
      <c r="O191" s="593">
        <f ca="1">$E191*(-SUMIF(INDIRECT(O$3),'Struktur Aktuell'!$D191,INDIRECT(O$4))+SUMIF(INDIRECT(O$3),'Struktur Aktuell'!$D191,INDIRECT(O$5)))</f>
        <v>0</v>
      </c>
      <c r="P191" s="593">
        <f ca="1">$E191*(-SUMIF(INDIRECT(P$3),'Struktur Aktuell'!$D191,INDIRECT(P$4))+SUMIF(INDIRECT(P$3),'Struktur Aktuell'!$D191,INDIRECT(P$5)))</f>
        <v>0</v>
      </c>
      <c r="Q191" s="593">
        <f ca="1">$E191*(-SUMIF(INDIRECT(Q$3),'Struktur Aktuell'!$D191,INDIRECT(Q$4))+SUMIF(INDIRECT(Q$3),'Struktur Aktuell'!$D191,INDIRECT(Q$5)))</f>
        <v>0</v>
      </c>
      <c r="R191" s="593">
        <f ca="1">$E191*(-SUMIF(INDIRECT(R$3),'Struktur Aktuell'!$D191,INDIRECT(R$4))+SUMIF(INDIRECT(R$3),'Struktur Aktuell'!$D191,INDIRECT(R$5)))</f>
        <v>0</v>
      </c>
      <c r="S191" s="593">
        <f ca="1">$E191*(-SUMIF(INDIRECT(S$3),'Struktur Aktuell'!$D191,INDIRECT(S$4))+SUMIF(INDIRECT(S$3),'Struktur Aktuell'!$D191,INDIRECT(S$5)))</f>
        <v>0</v>
      </c>
      <c r="T191" s="593">
        <f ca="1">$E191*(-SUMIF(INDIRECT(T$3),'Struktur Aktuell'!$D191,INDIRECT(T$4))+SUMIF(INDIRECT(T$3),'Struktur Aktuell'!$D191,INDIRECT(T$5)))</f>
        <v>0</v>
      </c>
      <c r="U191" s="593">
        <f ca="1">$E191*(-SUMIF(INDIRECT(U$3),'Struktur Aktuell'!$D191,INDIRECT(U$4))+SUMIF(INDIRECT(U$3),'Struktur Aktuell'!$D191,INDIRECT(U$5)))</f>
        <v>0</v>
      </c>
      <c r="V191" s="593">
        <f ca="1">$E191*(-SUMIF(INDIRECT(V$3),'Struktur Aktuell'!$D191,INDIRECT(V$4))+SUMIF(INDIRECT(V$3),'Struktur Aktuell'!$D191,INDIRECT(V$5)))</f>
        <v>0</v>
      </c>
      <c r="W191" s="593">
        <f ca="1">$E191*(-SUMIF(INDIRECT(W$3),'Struktur Aktuell'!$D191,INDIRECT(W$4))+SUMIF(INDIRECT(W$3),'Struktur Aktuell'!$D191,INDIRECT(W$5)))</f>
        <v>0</v>
      </c>
      <c r="X191" s="593">
        <f ca="1">$E191*(-SUMIF(INDIRECT(X$3),'Struktur Aktuell'!$D191,INDIRECT(X$4))+SUMIF(INDIRECT(X$3),'Struktur Aktuell'!$D191,INDIRECT(X$5)))</f>
        <v>0</v>
      </c>
      <c r="Y191" s="593">
        <f ca="1">$E191*(-SUMIF(INDIRECT(Y$3),'Struktur Aktuell'!$D191,INDIRECT(Y$4))+SUMIF(INDIRECT(Y$3),'Struktur Aktuell'!$D191,INDIRECT(Y$5)))</f>
        <v>0</v>
      </c>
      <c r="Z191" s="593">
        <f ca="1">$E191*(-SUMIF(INDIRECT(Z$3),'Struktur Aktuell'!$D191,INDIRECT(Z$4))+SUMIF(INDIRECT(Z$3),'Struktur Aktuell'!$D191,INDIRECT(Z$5)))</f>
        <v>0</v>
      </c>
      <c r="AA191" s="593">
        <f ca="1">$E191*(-SUMIF(INDIRECT(AA$3),'Struktur Aktuell'!$D191,INDIRECT(AA$4))+SUMIF(INDIRECT(AA$3),'Struktur Aktuell'!$D191,INDIRECT(AA$5)))</f>
        <v>0</v>
      </c>
      <c r="AB191" s="593">
        <f ca="1">$E191*(-SUMIF(INDIRECT(AB$3),'Struktur Aktuell'!$D191,INDIRECT(AB$4))+SUMIF(INDIRECT(AB$3),'Struktur Aktuell'!$D191,INDIRECT(AB$5)))</f>
        <v>0</v>
      </c>
      <c r="AC191" s="593">
        <f ca="1">$E191*(-SUMIF(INDIRECT(AC$3),'Struktur Aktuell'!$D191,INDIRECT(AC$4))+SUMIF(INDIRECT(AC$3),'Struktur Aktuell'!$D191,INDIRECT(AC$5)))</f>
        <v>0</v>
      </c>
      <c r="AD191" s="593">
        <f ca="1">$E191*(-SUMIF(INDIRECT(AD$3),'Struktur Aktuell'!$D191,INDIRECT(AD$4))+SUMIF(INDIRECT(AD$3),'Struktur Aktuell'!$D191,INDIRECT(AD$5)))</f>
        <v>0</v>
      </c>
      <c r="AE191" s="593">
        <f t="shared" ca="1" si="282"/>
        <v>0</v>
      </c>
      <c r="AF191" s="593">
        <f t="shared" ca="1" si="283"/>
        <v>0</v>
      </c>
      <c r="AG191" s="593">
        <f t="shared" ca="1" si="284"/>
        <v>0</v>
      </c>
      <c r="AH191" s="593">
        <f t="shared" ca="1" si="285"/>
        <v>0</v>
      </c>
      <c r="AI191" s="593">
        <f t="shared" ca="1" si="286"/>
        <v>0</v>
      </c>
      <c r="AJ191" s="593">
        <f t="shared" ca="1" si="287"/>
        <v>0</v>
      </c>
      <c r="AK191" s="593">
        <f t="shared" ca="1" si="288"/>
        <v>0</v>
      </c>
      <c r="AL191" s="593">
        <f t="shared" ca="1" si="289"/>
        <v>0</v>
      </c>
      <c r="AM191" s="593">
        <f t="shared" ca="1" si="290"/>
        <v>0</v>
      </c>
      <c r="AN191" s="593">
        <f t="shared" ca="1" si="291"/>
        <v>0</v>
      </c>
      <c r="AO191" s="593">
        <f t="shared" ca="1" si="292"/>
        <v>0</v>
      </c>
      <c r="AP191" s="593">
        <f t="shared" ca="1" si="293"/>
        <v>0</v>
      </c>
    </row>
    <row r="192" spans="1:42" s="594" customFormat="1" ht="11.25" outlineLevel="1" x14ac:dyDescent="0.2">
      <c r="A192" s="590"/>
      <c r="B192" s="591" t="str">
        <f>IF(D192&lt;&gt;"",
IF(ISERROR(MATCH(D192,'Ist Aktuell Monat 01'!A:A,0))=FALSE,INDEX('Ist Aktuell Monat 01'!B:B,MATCH(D192,'Ist Aktuell Monat 01'!A:A,0)),
IF(ISERROR(MATCH(D192,'Ist Aktuell Monat 02'!A:A,0))=FALSE,INDEX('Ist Aktuell Monat 02'!B:B,MATCH(D192,'Ist Aktuell Monat 02'!A:A,0)),
IF(ISERROR(MATCH(D192,'Ist Aktuell Monat 03'!A:A,0))=FALSE,INDEX('Ist Aktuell Monat 03'!B:B,MATCH(D192,'Ist Aktuell Monat 03'!A:A,0)),
IF(ISERROR(MATCH(D192,'Ist Aktuell Monat 04'!A:A,0))=FALSE,INDEX('Ist Aktuell Monat 04'!B:B,MATCH(D192,'Ist Aktuell Monat 04'!A:A,0)),
IF(ISERROR(MATCH(D192,'Ist Aktuell Monat 05'!A:A,0))=FALSE,INDEX('Ist Aktuell Monat 05'!B:B,MATCH(D192,'Ist Aktuell Monat 05'!A:A,0)),
IF(ISERROR(MATCH(D192,'Ist Aktuell Monat 06'!A:A,0))=FALSE,INDEX('Ist Aktuell Monat 06'!B:B,MATCH(D192,'Ist Aktuell Monat 06'!A:A,0)),
IF(ISERROR(MATCH(D192,'Ist Aktuell Monat 07'!A:A,0))=FALSE,INDEX('Ist Aktuell Monat 07'!B:B,MATCH(D192,'Ist Aktuell Monat 07'!A:A,0)),
IF(ISERROR(MATCH(D192,'Ist Aktuell Monat 08'!A:A,0))=FALSE,INDEX('Ist Aktuell Monat 08'!B:B,MATCH(D192,'Ist Aktuell Monat 08'!A:A,0)),
IF(ISERROR(MATCH(D192,'Ist Aktuell Monat 09'!A:A,0))=FALSE,INDEX('Ist Aktuell Monat 09'!B:B,MATCH(D192,'Ist Aktuell Monat 09'!A:A,0)),
IF(ISERROR(MATCH(D192,'Ist Aktuell Monat 10'!A:A,0))=FALSE,INDEX('Ist Aktuell Monat 10'!B:B,MATCH(D192,'Ist Aktuell Monat 10'!A:A,0)),
IF(ISERROR(MATCH(D192,'Ist Aktuell Monat 11'!A:A,0))=FALSE,INDEX('Ist Aktuell Monat 11'!B:B,MATCH(D192,'Ist Aktuell Monat 11'!A:A,0)),
IF(ISERROR(MATCH(D192,'Ist Aktuell Monat 12'!A:A,0))=FALSE,INDEX('Ist Aktuell Monat 12'!B:B,MATCH(D192,'Ist Aktuell Monat 12'!A:A,0)),
"{Konto unbekannt}"
)))))))))))),"")</f>
        <v/>
      </c>
      <c r="C192" s="591"/>
      <c r="D192" s="590"/>
      <c r="E192" s="592">
        <f t="shared" si="171"/>
        <v>1</v>
      </c>
      <c r="F192" s="590"/>
      <c r="G192" s="593">
        <f ca="1">$E192*(-SUMIF(INDIRECT(G$3),'Struktur Aktuell'!$D192,INDIRECT(G$4))+SUMIF(INDIRECT(G$3),'Struktur Aktuell'!$D192,INDIRECT(G$5)))</f>
        <v>0</v>
      </c>
      <c r="H192" s="593">
        <f ca="1">$E192*(-SUMIF(INDIRECT(H$3),'Struktur Aktuell'!$D192,INDIRECT(H$4))+SUMIF(INDIRECT(H$3),'Struktur Aktuell'!$D192,INDIRECT(H$5)))</f>
        <v>0</v>
      </c>
      <c r="I192" s="593">
        <f ca="1">$E192*(-SUMIF(INDIRECT(I$3),'Struktur Aktuell'!$D192,INDIRECT(I$4))+SUMIF(INDIRECT(I$3),'Struktur Aktuell'!$D192,INDIRECT(I$5)))</f>
        <v>0</v>
      </c>
      <c r="J192" s="593">
        <f ca="1">$E192*(-SUMIF(INDIRECT(J$3),'Struktur Aktuell'!$D192,INDIRECT(J$4))+SUMIF(INDIRECT(J$3),'Struktur Aktuell'!$D192,INDIRECT(J$5)))</f>
        <v>0</v>
      </c>
      <c r="K192" s="593">
        <f ca="1">$E192*(-SUMIF(INDIRECT(K$3),'Struktur Aktuell'!$D192,INDIRECT(K$4))+SUMIF(INDIRECT(K$3),'Struktur Aktuell'!$D192,INDIRECT(K$5)))</f>
        <v>0</v>
      </c>
      <c r="L192" s="593">
        <f ca="1">$E192*(-SUMIF(INDIRECT(L$3),'Struktur Aktuell'!$D192,INDIRECT(L$4))+SUMIF(INDIRECT(L$3),'Struktur Aktuell'!$D192,INDIRECT(L$5)))</f>
        <v>0</v>
      </c>
      <c r="M192" s="593">
        <f ca="1">$E192*(-SUMIF(INDIRECT(M$3),'Struktur Aktuell'!$D192,INDIRECT(M$4))+SUMIF(INDIRECT(M$3),'Struktur Aktuell'!$D192,INDIRECT(M$5)))</f>
        <v>0</v>
      </c>
      <c r="N192" s="593">
        <f ca="1">$E192*(-SUMIF(INDIRECT(N$3),'Struktur Aktuell'!$D192,INDIRECT(N$4))+SUMIF(INDIRECT(N$3),'Struktur Aktuell'!$D192,INDIRECT(N$5)))</f>
        <v>0</v>
      </c>
      <c r="O192" s="593">
        <f ca="1">$E192*(-SUMIF(INDIRECT(O$3),'Struktur Aktuell'!$D192,INDIRECT(O$4))+SUMIF(INDIRECT(O$3),'Struktur Aktuell'!$D192,INDIRECT(O$5)))</f>
        <v>0</v>
      </c>
      <c r="P192" s="593">
        <f ca="1">$E192*(-SUMIF(INDIRECT(P$3),'Struktur Aktuell'!$D192,INDIRECT(P$4))+SUMIF(INDIRECT(P$3),'Struktur Aktuell'!$D192,INDIRECT(P$5)))</f>
        <v>0</v>
      </c>
      <c r="Q192" s="593">
        <f ca="1">$E192*(-SUMIF(INDIRECT(Q$3),'Struktur Aktuell'!$D192,INDIRECT(Q$4))+SUMIF(INDIRECT(Q$3),'Struktur Aktuell'!$D192,INDIRECT(Q$5)))</f>
        <v>0</v>
      </c>
      <c r="R192" s="593">
        <f ca="1">$E192*(-SUMIF(INDIRECT(R$3),'Struktur Aktuell'!$D192,INDIRECT(R$4))+SUMIF(INDIRECT(R$3),'Struktur Aktuell'!$D192,INDIRECT(R$5)))</f>
        <v>0</v>
      </c>
      <c r="S192" s="593">
        <f ca="1">$E192*(-SUMIF(INDIRECT(S$3),'Struktur Aktuell'!$D192,INDIRECT(S$4))+SUMIF(INDIRECT(S$3),'Struktur Aktuell'!$D192,INDIRECT(S$5)))</f>
        <v>0</v>
      </c>
      <c r="T192" s="593">
        <f ca="1">$E192*(-SUMIF(INDIRECT(T$3),'Struktur Aktuell'!$D192,INDIRECT(T$4))+SUMIF(INDIRECT(T$3),'Struktur Aktuell'!$D192,INDIRECT(T$5)))</f>
        <v>0</v>
      </c>
      <c r="U192" s="593">
        <f ca="1">$E192*(-SUMIF(INDIRECT(U$3),'Struktur Aktuell'!$D192,INDIRECT(U$4))+SUMIF(INDIRECT(U$3),'Struktur Aktuell'!$D192,INDIRECT(U$5)))</f>
        <v>0</v>
      </c>
      <c r="V192" s="593">
        <f ca="1">$E192*(-SUMIF(INDIRECT(V$3),'Struktur Aktuell'!$D192,INDIRECT(V$4))+SUMIF(INDIRECT(V$3),'Struktur Aktuell'!$D192,INDIRECT(V$5)))</f>
        <v>0</v>
      </c>
      <c r="W192" s="593">
        <f ca="1">$E192*(-SUMIF(INDIRECT(W$3),'Struktur Aktuell'!$D192,INDIRECT(W$4))+SUMIF(INDIRECT(W$3),'Struktur Aktuell'!$D192,INDIRECT(W$5)))</f>
        <v>0</v>
      </c>
      <c r="X192" s="593">
        <f ca="1">$E192*(-SUMIF(INDIRECT(X$3),'Struktur Aktuell'!$D192,INDIRECT(X$4))+SUMIF(INDIRECT(X$3),'Struktur Aktuell'!$D192,INDIRECT(X$5)))</f>
        <v>0</v>
      </c>
      <c r="Y192" s="593">
        <f ca="1">$E192*(-SUMIF(INDIRECT(Y$3),'Struktur Aktuell'!$D192,INDIRECT(Y$4))+SUMIF(INDIRECT(Y$3),'Struktur Aktuell'!$D192,INDIRECT(Y$5)))</f>
        <v>0</v>
      </c>
      <c r="Z192" s="593">
        <f ca="1">$E192*(-SUMIF(INDIRECT(Z$3),'Struktur Aktuell'!$D192,INDIRECT(Z$4))+SUMIF(INDIRECT(Z$3),'Struktur Aktuell'!$D192,INDIRECT(Z$5)))</f>
        <v>0</v>
      </c>
      <c r="AA192" s="593">
        <f ca="1">$E192*(-SUMIF(INDIRECT(AA$3),'Struktur Aktuell'!$D192,INDIRECT(AA$4))+SUMIF(INDIRECT(AA$3),'Struktur Aktuell'!$D192,INDIRECT(AA$5)))</f>
        <v>0</v>
      </c>
      <c r="AB192" s="593">
        <f ca="1">$E192*(-SUMIF(INDIRECT(AB$3),'Struktur Aktuell'!$D192,INDIRECT(AB$4))+SUMIF(INDIRECT(AB$3),'Struktur Aktuell'!$D192,INDIRECT(AB$5)))</f>
        <v>0</v>
      </c>
      <c r="AC192" s="593">
        <f ca="1">$E192*(-SUMIF(INDIRECT(AC$3),'Struktur Aktuell'!$D192,INDIRECT(AC$4))+SUMIF(INDIRECT(AC$3),'Struktur Aktuell'!$D192,INDIRECT(AC$5)))</f>
        <v>0</v>
      </c>
      <c r="AD192" s="593">
        <f ca="1">$E192*(-SUMIF(INDIRECT(AD$3),'Struktur Aktuell'!$D192,INDIRECT(AD$4))+SUMIF(INDIRECT(AD$3),'Struktur Aktuell'!$D192,INDIRECT(AD$5)))</f>
        <v>0</v>
      </c>
      <c r="AE192" s="593">
        <f t="shared" ca="1" si="282"/>
        <v>0</v>
      </c>
      <c r="AF192" s="593">
        <f t="shared" ca="1" si="283"/>
        <v>0</v>
      </c>
      <c r="AG192" s="593">
        <f t="shared" ca="1" si="284"/>
        <v>0</v>
      </c>
      <c r="AH192" s="593">
        <f t="shared" ca="1" si="285"/>
        <v>0</v>
      </c>
      <c r="AI192" s="593">
        <f t="shared" ca="1" si="286"/>
        <v>0</v>
      </c>
      <c r="AJ192" s="593">
        <f t="shared" ca="1" si="287"/>
        <v>0</v>
      </c>
      <c r="AK192" s="593">
        <f t="shared" ca="1" si="288"/>
        <v>0</v>
      </c>
      <c r="AL192" s="593">
        <f t="shared" ca="1" si="289"/>
        <v>0</v>
      </c>
      <c r="AM192" s="593">
        <f t="shared" ca="1" si="290"/>
        <v>0</v>
      </c>
      <c r="AN192" s="593">
        <f t="shared" ca="1" si="291"/>
        <v>0</v>
      </c>
      <c r="AO192" s="593">
        <f t="shared" ca="1" si="292"/>
        <v>0</v>
      </c>
      <c r="AP192" s="593">
        <f t="shared" ca="1" si="293"/>
        <v>0</v>
      </c>
    </row>
    <row r="193" spans="1:42" s="594" customFormat="1" ht="11.25" outlineLevel="1" x14ac:dyDescent="0.2">
      <c r="A193" s="590"/>
      <c r="B193" s="591" t="str">
        <f>IF(D193&lt;&gt;"",
IF(ISERROR(MATCH(D193,'Ist Aktuell Monat 01'!A:A,0))=FALSE,INDEX('Ist Aktuell Monat 01'!B:B,MATCH(D193,'Ist Aktuell Monat 01'!A:A,0)),
IF(ISERROR(MATCH(D193,'Ist Aktuell Monat 02'!A:A,0))=FALSE,INDEX('Ist Aktuell Monat 02'!B:B,MATCH(D193,'Ist Aktuell Monat 02'!A:A,0)),
IF(ISERROR(MATCH(D193,'Ist Aktuell Monat 03'!A:A,0))=FALSE,INDEX('Ist Aktuell Monat 03'!B:B,MATCH(D193,'Ist Aktuell Monat 03'!A:A,0)),
IF(ISERROR(MATCH(D193,'Ist Aktuell Monat 04'!A:A,0))=FALSE,INDEX('Ist Aktuell Monat 04'!B:B,MATCH(D193,'Ist Aktuell Monat 04'!A:A,0)),
IF(ISERROR(MATCH(D193,'Ist Aktuell Monat 05'!A:A,0))=FALSE,INDEX('Ist Aktuell Monat 05'!B:B,MATCH(D193,'Ist Aktuell Monat 05'!A:A,0)),
IF(ISERROR(MATCH(D193,'Ist Aktuell Monat 06'!A:A,0))=FALSE,INDEX('Ist Aktuell Monat 06'!B:B,MATCH(D193,'Ist Aktuell Monat 06'!A:A,0)),
IF(ISERROR(MATCH(D193,'Ist Aktuell Monat 07'!A:A,0))=FALSE,INDEX('Ist Aktuell Monat 07'!B:B,MATCH(D193,'Ist Aktuell Monat 07'!A:A,0)),
IF(ISERROR(MATCH(D193,'Ist Aktuell Monat 08'!A:A,0))=FALSE,INDEX('Ist Aktuell Monat 08'!B:B,MATCH(D193,'Ist Aktuell Monat 08'!A:A,0)),
IF(ISERROR(MATCH(D193,'Ist Aktuell Monat 09'!A:A,0))=FALSE,INDEX('Ist Aktuell Monat 09'!B:B,MATCH(D193,'Ist Aktuell Monat 09'!A:A,0)),
IF(ISERROR(MATCH(D193,'Ist Aktuell Monat 10'!A:A,0))=FALSE,INDEX('Ist Aktuell Monat 10'!B:B,MATCH(D193,'Ist Aktuell Monat 10'!A:A,0)),
IF(ISERROR(MATCH(D193,'Ist Aktuell Monat 11'!A:A,0))=FALSE,INDEX('Ist Aktuell Monat 11'!B:B,MATCH(D193,'Ist Aktuell Monat 11'!A:A,0)),
IF(ISERROR(MATCH(D193,'Ist Aktuell Monat 12'!A:A,0))=FALSE,INDEX('Ist Aktuell Monat 12'!B:B,MATCH(D193,'Ist Aktuell Monat 12'!A:A,0)),
"{Konto unbekannt}"
)))))))))))),"")</f>
        <v/>
      </c>
      <c r="C193" s="591"/>
      <c r="D193" s="590"/>
      <c r="E193" s="592">
        <f t="shared" si="171"/>
        <v>1</v>
      </c>
      <c r="F193" s="590"/>
      <c r="G193" s="593">
        <f ca="1">$E193*(-SUMIF(INDIRECT(G$3),'Struktur Aktuell'!$D193,INDIRECT(G$4))+SUMIF(INDIRECT(G$3),'Struktur Aktuell'!$D193,INDIRECT(G$5)))</f>
        <v>0</v>
      </c>
      <c r="H193" s="593">
        <f ca="1">$E193*(-SUMIF(INDIRECT(H$3),'Struktur Aktuell'!$D193,INDIRECT(H$4))+SUMIF(INDIRECT(H$3),'Struktur Aktuell'!$D193,INDIRECT(H$5)))</f>
        <v>0</v>
      </c>
      <c r="I193" s="593">
        <f ca="1">$E193*(-SUMIF(INDIRECT(I$3),'Struktur Aktuell'!$D193,INDIRECT(I$4))+SUMIF(INDIRECT(I$3),'Struktur Aktuell'!$D193,INDIRECT(I$5)))</f>
        <v>0</v>
      </c>
      <c r="J193" s="593">
        <f ca="1">$E193*(-SUMIF(INDIRECT(J$3),'Struktur Aktuell'!$D193,INDIRECT(J$4))+SUMIF(INDIRECT(J$3),'Struktur Aktuell'!$D193,INDIRECT(J$5)))</f>
        <v>0</v>
      </c>
      <c r="K193" s="593">
        <f ca="1">$E193*(-SUMIF(INDIRECT(K$3),'Struktur Aktuell'!$D193,INDIRECT(K$4))+SUMIF(INDIRECT(K$3),'Struktur Aktuell'!$D193,INDIRECT(K$5)))</f>
        <v>0</v>
      </c>
      <c r="L193" s="593">
        <f ca="1">$E193*(-SUMIF(INDIRECT(L$3),'Struktur Aktuell'!$D193,INDIRECT(L$4))+SUMIF(INDIRECT(L$3),'Struktur Aktuell'!$D193,INDIRECT(L$5)))</f>
        <v>0</v>
      </c>
      <c r="M193" s="593">
        <f ca="1">$E193*(-SUMIF(INDIRECT(M$3),'Struktur Aktuell'!$D193,INDIRECT(M$4))+SUMIF(INDIRECT(M$3),'Struktur Aktuell'!$D193,INDIRECT(M$5)))</f>
        <v>0</v>
      </c>
      <c r="N193" s="593">
        <f ca="1">$E193*(-SUMIF(INDIRECT(N$3),'Struktur Aktuell'!$D193,INDIRECT(N$4))+SUMIF(INDIRECT(N$3),'Struktur Aktuell'!$D193,INDIRECT(N$5)))</f>
        <v>0</v>
      </c>
      <c r="O193" s="593">
        <f ca="1">$E193*(-SUMIF(INDIRECT(O$3),'Struktur Aktuell'!$D193,INDIRECT(O$4))+SUMIF(INDIRECT(O$3),'Struktur Aktuell'!$D193,INDIRECT(O$5)))</f>
        <v>0</v>
      </c>
      <c r="P193" s="593">
        <f ca="1">$E193*(-SUMIF(INDIRECT(P$3),'Struktur Aktuell'!$D193,INDIRECT(P$4))+SUMIF(INDIRECT(P$3),'Struktur Aktuell'!$D193,INDIRECT(P$5)))</f>
        <v>0</v>
      </c>
      <c r="Q193" s="593">
        <f ca="1">$E193*(-SUMIF(INDIRECT(Q$3),'Struktur Aktuell'!$D193,INDIRECT(Q$4))+SUMIF(INDIRECT(Q$3),'Struktur Aktuell'!$D193,INDIRECT(Q$5)))</f>
        <v>0</v>
      </c>
      <c r="R193" s="593">
        <f ca="1">$E193*(-SUMIF(INDIRECT(R$3),'Struktur Aktuell'!$D193,INDIRECT(R$4))+SUMIF(INDIRECT(R$3),'Struktur Aktuell'!$D193,INDIRECT(R$5)))</f>
        <v>0</v>
      </c>
      <c r="S193" s="593">
        <f ca="1">$E193*(-SUMIF(INDIRECT(S$3),'Struktur Aktuell'!$D193,INDIRECT(S$4))+SUMIF(INDIRECT(S$3),'Struktur Aktuell'!$D193,INDIRECT(S$5)))</f>
        <v>0</v>
      </c>
      <c r="T193" s="593">
        <f ca="1">$E193*(-SUMIF(INDIRECT(T$3),'Struktur Aktuell'!$D193,INDIRECT(T$4))+SUMIF(INDIRECT(T$3),'Struktur Aktuell'!$D193,INDIRECT(T$5)))</f>
        <v>0</v>
      </c>
      <c r="U193" s="593">
        <f ca="1">$E193*(-SUMIF(INDIRECT(U$3),'Struktur Aktuell'!$D193,INDIRECT(U$4))+SUMIF(INDIRECT(U$3),'Struktur Aktuell'!$D193,INDIRECT(U$5)))</f>
        <v>0</v>
      </c>
      <c r="V193" s="593">
        <f ca="1">$E193*(-SUMIF(INDIRECT(V$3),'Struktur Aktuell'!$D193,INDIRECT(V$4))+SUMIF(INDIRECT(V$3),'Struktur Aktuell'!$D193,INDIRECT(V$5)))</f>
        <v>0</v>
      </c>
      <c r="W193" s="593">
        <f ca="1">$E193*(-SUMIF(INDIRECT(W$3),'Struktur Aktuell'!$D193,INDIRECT(W$4))+SUMIF(INDIRECT(W$3),'Struktur Aktuell'!$D193,INDIRECT(W$5)))</f>
        <v>0</v>
      </c>
      <c r="X193" s="593">
        <f ca="1">$E193*(-SUMIF(INDIRECT(X$3),'Struktur Aktuell'!$D193,INDIRECT(X$4))+SUMIF(INDIRECT(X$3),'Struktur Aktuell'!$D193,INDIRECT(X$5)))</f>
        <v>0</v>
      </c>
      <c r="Y193" s="593">
        <f ca="1">$E193*(-SUMIF(INDIRECT(Y$3),'Struktur Aktuell'!$D193,INDIRECT(Y$4))+SUMIF(INDIRECT(Y$3),'Struktur Aktuell'!$D193,INDIRECT(Y$5)))</f>
        <v>0</v>
      </c>
      <c r="Z193" s="593">
        <f ca="1">$E193*(-SUMIF(INDIRECT(Z$3),'Struktur Aktuell'!$D193,INDIRECT(Z$4))+SUMIF(INDIRECT(Z$3),'Struktur Aktuell'!$D193,INDIRECT(Z$5)))</f>
        <v>0</v>
      </c>
      <c r="AA193" s="593">
        <f ca="1">$E193*(-SUMIF(INDIRECT(AA$3),'Struktur Aktuell'!$D193,INDIRECT(AA$4))+SUMIF(INDIRECT(AA$3),'Struktur Aktuell'!$D193,INDIRECT(AA$5)))</f>
        <v>0</v>
      </c>
      <c r="AB193" s="593">
        <f ca="1">$E193*(-SUMIF(INDIRECT(AB$3),'Struktur Aktuell'!$D193,INDIRECT(AB$4))+SUMIF(INDIRECT(AB$3),'Struktur Aktuell'!$D193,INDIRECT(AB$5)))</f>
        <v>0</v>
      </c>
      <c r="AC193" s="593">
        <f ca="1">$E193*(-SUMIF(INDIRECT(AC$3),'Struktur Aktuell'!$D193,INDIRECT(AC$4))+SUMIF(INDIRECT(AC$3),'Struktur Aktuell'!$D193,INDIRECT(AC$5)))</f>
        <v>0</v>
      </c>
      <c r="AD193" s="593">
        <f ca="1">$E193*(-SUMIF(INDIRECT(AD$3),'Struktur Aktuell'!$D193,INDIRECT(AD$4))+SUMIF(INDIRECT(AD$3),'Struktur Aktuell'!$D193,INDIRECT(AD$5)))</f>
        <v>0</v>
      </c>
      <c r="AE193" s="593">
        <f t="shared" ca="1" si="282"/>
        <v>0</v>
      </c>
      <c r="AF193" s="593">
        <f t="shared" ca="1" si="283"/>
        <v>0</v>
      </c>
      <c r="AG193" s="593">
        <f t="shared" ca="1" si="284"/>
        <v>0</v>
      </c>
      <c r="AH193" s="593">
        <f t="shared" ca="1" si="285"/>
        <v>0</v>
      </c>
      <c r="AI193" s="593">
        <f t="shared" ca="1" si="286"/>
        <v>0</v>
      </c>
      <c r="AJ193" s="593">
        <f t="shared" ca="1" si="287"/>
        <v>0</v>
      </c>
      <c r="AK193" s="593">
        <f t="shared" ca="1" si="288"/>
        <v>0</v>
      </c>
      <c r="AL193" s="593">
        <f t="shared" ca="1" si="289"/>
        <v>0</v>
      </c>
      <c r="AM193" s="593">
        <f t="shared" ca="1" si="290"/>
        <v>0</v>
      </c>
      <c r="AN193" s="593">
        <f t="shared" ca="1" si="291"/>
        <v>0</v>
      </c>
      <c r="AO193" s="593">
        <f t="shared" ca="1" si="292"/>
        <v>0</v>
      </c>
      <c r="AP193" s="593">
        <f t="shared" ca="1" si="293"/>
        <v>0</v>
      </c>
    </row>
    <row r="194" spans="1:42" s="594" customFormat="1" ht="11.25" outlineLevel="1" x14ac:dyDescent="0.2">
      <c r="A194" s="590"/>
      <c r="B194" s="591" t="str">
        <f>IF(D194&lt;&gt;"",
IF(ISERROR(MATCH(D194,'Ist Aktuell Monat 01'!A:A,0))=FALSE,INDEX('Ist Aktuell Monat 01'!B:B,MATCH(D194,'Ist Aktuell Monat 01'!A:A,0)),
IF(ISERROR(MATCH(D194,'Ist Aktuell Monat 02'!A:A,0))=FALSE,INDEX('Ist Aktuell Monat 02'!B:B,MATCH(D194,'Ist Aktuell Monat 02'!A:A,0)),
IF(ISERROR(MATCH(D194,'Ist Aktuell Monat 03'!A:A,0))=FALSE,INDEX('Ist Aktuell Monat 03'!B:B,MATCH(D194,'Ist Aktuell Monat 03'!A:A,0)),
IF(ISERROR(MATCH(D194,'Ist Aktuell Monat 04'!A:A,0))=FALSE,INDEX('Ist Aktuell Monat 04'!B:B,MATCH(D194,'Ist Aktuell Monat 04'!A:A,0)),
IF(ISERROR(MATCH(D194,'Ist Aktuell Monat 05'!A:A,0))=FALSE,INDEX('Ist Aktuell Monat 05'!B:B,MATCH(D194,'Ist Aktuell Monat 05'!A:A,0)),
IF(ISERROR(MATCH(D194,'Ist Aktuell Monat 06'!A:A,0))=FALSE,INDEX('Ist Aktuell Monat 06'!B:B,MATCH(D194,'Ist Aktuell Monat 06'!A:A,0)),
IF(ISERROR(MATCH(D194,'Ist Aktuell Monat 07'!A:A,0))=FALSE,INDEX('Ist Aktuell Monat 07'!B:B,MATCH(D194,'Ist Aktuell Monat 07'!A:A,0)),
IF(ISERROR(MATCH(D194,'Ist Aktuell Monat 08'!A:A,0))=FALSE,INDEX('Ist Aktuell Monat 08'!B:B,MATCH(D194,'Ist Aktuell Monat 08'!A:A,0)),
IF(ISERROR(MATCH(D194,'Ist Aktuell Monat 09'!A:A,0))=FALSE,INDEX('Ist Aktuell Monat 09'!B:B,MATCH(D194,'Ist Aktuell Monat 09'!A:A,0)),
IF(ISERROR(MATCH(D194,'Ist Aktuell Monat 10'!A:A,0))=FALSE,INDEX('Ist Aktuell Monat 10'!B:B,MATCH(D194,'Ist Aktuell Monat 10'!A:A,0)),
IF(ISERROR(MATCH(D194,'Ist Aktuell Monat 11'!A:A,0))=FALSE,INDEX('Ist Aktuell Monat 11'!B:B,MATCH(D194,'Ist Aktuell Monat 11'!A:A,0)),
IF(ISERROR(MATCH(D194,'Ist Aktuell Monat 12'!A:A,0))=FALSE,INDEX('Ist Aktuell Monat 12'!B:B,MATCH(D194,'Ist Aktuell Monat 12'!A:A,0)),
"{Konto unbekannt}"
)))))))))))),"")</f>
        <v/>
      </c>
      <c r="C194" s="591"/>
      <c r="D194" s="590"/>
      <c r="E194" s="592">
        <f t="shared" si="171"/>
        <v>1</v>
      </c>
      <c r="F194" s="590"/>
      <c r="G194" s="593">
        <f ca="1">$E194*(-SUMIF(INDIRECT(G$3),'Struktur Aktuell'!$D194,INDIRECT(G$4))+SUMIF(INDIRECT(G$3),'Struktur Aktuell'!$D194,INDIRECT(G$5)))</f>
        <v>0</v>
      </c>
      <c r="H194" s="593">
        <f ca="1">$E194*(-SUMIF(INDIRECT(H$3),'Struktur Aktuell'!$D194,INDIRECT(H$4))+SUMIF(INDIRECT(H$3),'Struktur Aktuell'!$D194,INDIRECT(H$5)))</f>
        <v>0</v>
      </c>
      <c r="I194" s="593">
        <f ca="1">$E194*(-SUMIF(INDIRECT(I$3),'Struktur Aktuell'!$D194,INDIRECT(I$4))+SUMIF(INDIRECT(I$3),'Struktur Aktuell'!$D194,INDIRECT(I$5)))</f>
        <v>0</v>
      </c>
      <c r="J194" s="593">
        <f ca="1">$E194*(-SUMIF(INDIRECT(J$3),'Struktur Aktuell'!$D194,INDIRECT(J$4))+SUMIF(INDIRECT(J$3),'Struktur Aktuell'!$D194,INDIRECT(J$5)))</f>
        <v>0</v>
      </c>
      <c r="K194" s="593">
        <f ca="1">$E194*(-SUMIF(INDIRECT(K$3),'Struktur Aktuell'!$D194,INDIRECT(K$4))+SUMIF(INDIRECT(K$3),'Struktur Aktuell'!$D194,INDIRECT(K$5)))</f>
        <v>0</v>
      </c>
      <c r="L194" s="593">
        <f ca="1">$E194*(-SUMIF(INDIRECT(L$3),'Struktur Aktuell'!$D194,INDIRECT(L$4))+SUMIF(INDIRECT(L$3),'Struktur Aktuell'!$D194,INDIRECT(L$5)))</f>
        <v>0</v>
      </c>
      <c r="M194" s="593">
        <f ca="1">$E194*(-SUMIF(INDIRECT(M$3),'Struktur Aktuell'!$D194,INDIRECT(M$4))+SUMIF(INDIRECT(M$3),'Struktur Aktuell'!$D194,INDIRECT(M$5)))</f>
        <v>0</v>
      </c>
      <c r="N194" s="593">
        <f ca="1">$E194*(-SUMIF(INDIRECT(N$3),'Struktur Aktuell'!$D194,INDIRECT(N$4))+SUMIF(INDIRECT(N$3),'Struktur Aktuell'!$D194,INDIRECT(N$5)))</f>
        <v>0</v>
      </c>
      <c r="O194" s="593">
        <f ca="1">$E194*(-SUMIF(INDIRECT(O$3),'Struktur Aktuell'!$D194,INDIRECT(O$4))+SUMIF(INDIRECT(O$3),'Struktur Aktuell'!$D194,INDIRECT(O$5)))</f>
        <v>0</v>
      </c>
      <c r="P194" s="593">
        <f ca="1">$E194*(-SUMIF(INDIRECT(P$3),'Struktur Aktuell'!$D194,INDIRECT(P$4))+SUMIF(INDIRECT(P$3),'Struktur Aktuell'!$D194,INDIRECT(P$5)))</f>
        <v>0</v>
      </c>
      <c r="Q194" s="593">
        <f ca="1">$E194*(-SUMIF(INDIRECT(Q$3),'Struktur Aktuell'!$D194,INDIRECT(Q$4))+SUMIF(INDIRECT(Q$3),'Struktur Aktuell'!$D194,INDIRECT(Q$5)))</f>
        <v>0</v>
      </c>
      <c r="R194" s="593">
        <f ca="1">$E194*(-SUMIF(INDIRECT(R$3),'Struktur Aktuell'!$D194,INDIRECT(R$4))+SUMIF(INDIRECT(R$3),'Struktur Aktuell'!$D194,INDIRECT(R$5)))</f>
        <v>0</v>
      </c>
      <c r="S194" s="593">
        <f ca="1">$E194*(-SUMIF(INDIRECT(S$3),'Struktur Aktuell'!$D194,INDIRECT(S$4))+SUMIF(INDIRECT(S$3),'Struktur Aktuell'!$D194,INDIRECT(S$5)))</f>
        <v>0</v>
      </c>
      <c r="T194" s="593">
        <f ca="1">$E194*(-SUMIF(INDIRECT(T$3),'Struktur Aktuell'!$D194,INDIRECT(T$4))+SUMIF(INDIRECT(T$3),'Struktur Aktuell'!$D194,INDIRECT(T$5)))</f>
        <v>0</v>
      </c>
      <c r="U194" s="593">
        <f ca="1">$E194*(-SUMIF(INDIRECT(U$3),'Struktur Aktuell'!$D194,INDIRECT(U$4))+SUMIF(INDIRECT(U$3),'Struktur Aktuell'!$D194,INDIRECT(U$5)))</f>
        <v>0</v>
      </c>
      <c r="V194" s="593">
        <f ca="1">$E194*(-SUMIF(INDIRECT(V$3),'Struktur Aktuell'!$D194,INDIRECT(V$4))+SUMIF(INDIRECT(V$3),'Struktur Aktuell'!$D194,INDIRECT(V$5)))</f>
        <v>0</v>
      </c>
      <c r="W194" s="593">
        <f ca="1">$E194*(-SUMIF(INDIRECT(W$3),'Struktur Aktuell'!$D194,INDIRECT(W$4))+SUMIF(INDIRECT(W$3),'Struktur Aktuell'!$D194,INDIRECT(W$5)))</f>
        <v>0</v>
      </c>
      <c r="X194" s="593">
        <f ca="1">$E194*(-SUMIF(INDIRECT(X$3),'Struktur Aktuell'!$D194,INDIRECT(X$4))+SUMIF(INDIRECT(X$3),'Struktur Aktuell'!$D194,INDIRECT(X$5)))</f>
        <v>0</v>
      </c>
      <c r="Y194" s="593">
        <f ca="1">$E194*(-SUMIF(INDIRECT(Y$3),'Struktur Aktuell'!$D194,INDIRECT(Y$4))+SUMIF(INDIRECT(Y$3),'Struktur Aktuell'!$D194,INDIRECT(Y$5)))</f>
        <v>0</v>
      </c>
      <c r="Z194" s="593">
        <f ca="1">$E194*(-SUMIF(INDIRECT(Z$3),'Struktur Aktuell'!$D194,INDIRECT(Z$4))+SUMIF(INDIRECT(Z$3),'Struktur Aktuell'!$D194,INDIRECT(Z$5)))</f>
        <v>0</v>
      </c>
      <c r="AA194" s="593">
        <f ca="1">$E194*(-SUMIF(INDIRECT(AA$3),'Struktur Aktuell'!$D194,INDIRECT(AA$4))+SUMIF(INDIRECT(AA$3),'Struktur Aktuell'!$D194,INDIRECT(AA$5)))</f>
        <v>0</v>
      </c>
      <c r="AB194" s="593">
        <f ca="1">$E194*(-SUMIF(INDIRECT(AB$3),'Struktur Aktuell'!$D194,INDIRECT(AB$4))+SUMIF(INDIRECT(AB$3),'Struktur Aktuell'!$D194,INDIRECT(AB$5)))</f>
        <v>0</v>
      </c>
      <c r="AC194" s="593">
        <f ca="1">$E194*(-SUMIF(INDIRECT(AC$3),'Struktur Aktuell'!$D194,INDIRECT(AC$4))+SUMIF(INDIRECT(AC$3),'Struktur Aktuell'!$D194,INDIRECT(AC$5)))</f>
        <v>0</v>
      </c>
      <c r="AD194" s="593">
        <f ca="1">$E194*(-SUMIF(INDIRECT(AD$3),'Struktur Aktuell'!$D194,INDIRECT(AD$4))+SUMIF(INDIRECT(AD$3),'Struktur Aktuell'!$D194,INDIRECT(AD$5)))</f>
        <v>0</v>
      </c>
      <c r="AE194" s="593">
        <f t="shared" ca="1" si="282"/>
        <v>0</v>
      </c>
      <c r="AF194" s="593">
        <f t="shared" ca="1" si="283"/>
        <v>0</v>
      </c>
      <c r="AG194" s="593">
        <f t="shared" ca="1" si="284"/>
        <v>0</v>
      </c>
      <c r="AH194" s="593">
        <f t="shared" ca="1" si="285"/>
        <v>0</v>
      </c>
      <c r="AI194" s="593">
        <f t="shared" ca="1" si="286"/>
        <v>0</v>
      </c>
      <c r="AJ194" s="593">
        <f t="shared" ca="1" si="287"/>
        <v>0</v>
      </c>
      <c r="AK194" s="593">
        <f t="shared" ca="1" si="288"/>
        <v>0</v>
      </c>
      <c r="AL194" s="593">
        <f t="shared" ca="1" si="289"/>
        <v>0</v>
      </c>
      <c r="AM194" s="593">
        <f t="shared" ca="1" si="290"/>
        <v>0</v>
      </c>
      <c r="AN194" s="593">
        <f t="shared" ca="1" si="291"/>
        <v>0</v>
      </c>
      <c r="AO194" s="593">
        <f t="shared" ca="1" si="292"/>
        <v>0</v>
      </c>
      <c r="AP194" s="593">
        <f t="shared" ca="1" si="293"/>
        <v>0</v>
      </c>
    </row>
    <row r="195" spans="1:42" s="594" customFormat="1" ht="11.25" outlineLevel="1" x14ac:dyDescent="0.2">
      <c r="A195" s="590"/>
      <c r="B195" s="591" t="str">
        <f>IF(D195&lt;&gt;"",
IF(ISERROR(MATCH(D195,'Ist Aktuell Monat 01'!A:A,0))=FALSE,INDEX('Ist Aktuell Monat 01'!B:B,MATCH(D195,'Ist Aktuell Monat 01'!A:A,0)),
IF(ISERROR(MATCH(D195,'Ist Aktuell Monat 02'!A:A,0))=FALSE,INDEX('Ist Aktuell Monat 02'!B:B,MATCH(D195,'Ist Aktuell Monat 02'!A:A,0)),
IF(ISERROR(MATCH(D195,'Ist Aktuell Monat 03'!A:A,0))=FALSE,INDEX('Ist Aktuell Monat 03'!B:B,MATCH(D195,'Ist Aktuell Monat 03'!A:A,0)),
IF(ISERROR(MATCH(D195,'Ist Aktuell Monat 04'!A:A,0))=FALSE,INDEX('Ist Aktuell Monat 04'!B:B,MATCH(D195,'Ist Aktuell Monat 04'!A:A,0)),
IF(ISERROR(MATCH(D195,'Ist Aktuell Monat 05'!A:A,0))=FALSE,INDEX('Ist Aktuell Monat 05'!B:B,MATCH(D195,'Ist Aktuell Monat 05'!A:A,0)),
IF(ISERROR(MATCH(D195,'Ist Aktuell Monat 06'!A:A,0))=FALSE,INDEX('Ist Aktuell Monat 06'!B:B,MATCH(D195,'Ist Aktuell Monat 06'!A:A,0)),
IF(ISERROR(MATCH(D195,'Ist Aktuell Monat 07'!A:A,0))=FALSE,INDEX('Ist Aktuell Monat 07'!B:B,MATCH(D195,'Ist Aktuell Monat 07'!A:A,0)),
IF(ISERROR(MATCH(D195,'Ist Aktuell Monat 08'!A:A,0))=FALSE,INDEX('Ist Aktuell Monat 08'!B:B,MATCH(D195,'Ist Aktuell Monat 08'!A:A,0)),
IF(ISERROR(MATCH(D195,'Ist Aktuell Monat 09'!A:A,0))=FALSE,INDEX('Ist Aktuell Monat 09'!B:B,MATCH(D195,'Ist Aktuell Monat 09'!A:A,0)),
IF(ISERROR(MATCH(D195,'Ist Aktuell Monat 10'!A:A,0))=FALSE,INDEX('Ist Aktuell Monat 10'!B:B,MATCH(D195,'Ist Aktuell Monat 10'!A:A,0)),
IF(ISERROR(MATCH(D195,'Ist Aktuell Monat 11'!A:A,0))=FALSE,INDEX('Ist Aktuell Monat 11'!B:B,MATCH(D195,'Ist Aktuell Monat 11'!A:A,0)),
IF(ISERROR(MATCH(D195,'Ist Aktuell Monat 12'!A:A,0))=FALSE,INDEX('Ist Aktuell Monat 12'!B:B,MATCH(D195,'Ist Aktuell Monat 12'!A:A,0)),
"{Konto unbekannt}"
)))))))))))),"")</f>
        <v/>
      </c>
      <c r="C195" s="591"/>
      <c r="D195" s="590"/>
      <c r="E195" s="592">
        <f t="shared" si="171"/>
        <v>1</v>
      </c>
      <c r="F195" s="590"/>
      <c r="G195" s="593">
        <f ca="1">$E195*(-SUMIF(INDIRECT(G$3),'Struktur Aktuell'!$D195,INDIRECT(G$4))+SUMIF(INDIRECT(G$3),'Struktur Aktuell'!$D195,INDIRECT(G$5)))</f>
        <v>0</v>
      </c>
      <c r="H195" s="593">
        <f ca="1">$E195*(-SUMIF(INDIRECT(H$3),'Struktur Aktuell'!$D195,INDIRECT(H$4))+SUMIF(INDIRECT(H$3),'Struktur Aktuell'!$D195,INDIRECT(H$5)))</f>
        <v>0</v>
      </c>
      <c r="I195" s="593">
        <f ca="1">$E195*(-SUMIF(INDIRECT(I$3),'Struktur Aktuell'!$D195,INDIRECT(I$4))+SUMIF(INDIRECT(I$3),'Struktur Aktuell'!$D195,INDIRECT(I$5)))</f>
        <v>0</v>
      </c>
      <c r="J195" s="593">
        <f ca="1">$E195*(-SUMIF(INDIRECT(J$3),'Struktur Aktuell'!$D195,INDIRECT(J$4))+SUMIF(INDIRECT(J$3),'Struktur Aktuell'!$D195,INDIRECT(J$5)))</f>
        <v>0</v>
      </c>
      <c r="K195" s="593">
        <f ca="1">$E195*(-SUMIF(INDIRECT(K$3),'Struktur Aktuell'!$D195,INDIRECT(K$4))+SUMIF(INDIRECT(K$3),'Struktur Aktuell'!$D195,INDIRECT(K$5)))</f>
        <v>0</v>
      </c>
      <c r="L195" s="593">
        <f ca="1">$E195*(-SUMIF(INDIRECT(L$3),'Struktur Aktuell'!$D195,INDIRECT(L$4))+SUMIF(INDIRECT(L$3),'Struktur Aktuell'!$D195,INDIRECT(L$5)))</f>
        <v>0</v>
      </c>
      <c r="M195" s="593">
        <f ca="1">$E195*(-SUMIF(INDIRECT(M$3),'Struktur Aktuell'!$D195,INDIRECT(M$4))+SUMIF(INDIRECT(M$3),'Struktur Aktuell'!$D195,INDIRECT(M$5)))</f>
        <v>0</v>
      </c>
      <c r="N195" s="593">
        <f ca="1">$E195*(-SUMIF(INDIRECT(N$3),'Struktur Aktuell'!$D195,INDIRECT(N$4))+SUMIF(INDIRECT(N$3),'Struktur Aktuell'!$D195,INDIRECT(N$5)))</f>
        <v>0</v>
      </c>
      <c r="O195" s="593">
        <f ca="1">$E195*(-SUMIF(INDIRECT(O$3),'Struktur Aktuell'!$D195,INDIRECT(O$4))+SUMIF(INDIRECT(O$3),'Struktur Aktuell'!$D195,INDIRECT(O$5)))</f>
        <v>0</v>
      </c>
      <c r="P195" s="593">
        <f ca="1">$E195*(-SUMIF(INDIRECT(P$3),'Struktur Aktuell'!$D195,INDIRECT(P$4))+SUMIF(INDIRECT(P$3),'Struktur Aktuell'!$D195,INDIRECT(P$5)))</f>
        <v>0</v>
      </c>
      <c r="Q195" s="593">
        <f ca="1">$E195*(-SUMIF(INDIRECT(Q$3),'Struktur Aktuell'!$D195,INDIRECT(Q$4))+SUMIF(INDIRECT(Q$3),'Struktur Aktuell'!$D195,INDIRECT(Q$5)))</f>
        <v>0</v>
      </c>
      <c r="R195" s="593">
        <f ca="1">$E195*(-SUMIF(INDIRECT(R$3),'Struktur Aktuell'!$D195,INDIRECT(R$4))+SUMIF(INDIRECT(R$3),'Struktur Aktuell'!$D195,INDIRECT(R$5)))</f>
        <v>0</v>
      </c>
      <c r="S195" s="593">
        <f ca="1">$E195*(-SUMIF(INDIRECT(S$3),'Struktur Aktuell'!$D195,INDIRECT(S$4))+SUMIF(INDIRECT(S$3),'Struktur Aktuell'!$D195,INDIRECT(S$5)))</f>
        <v>0</v>
      </c>
      <c r="T195" s="593">
        <f ca="1">$E195*(-SUMIF(INDIRECT(T$3),'Struktur Aktuell'!$D195,INDIRECT(T$4))+SUMIF(INDIRECT(T$3),'Struktur Aktuell'!$D195,INDIRECT(T$5)))</f>
        <v>0</v>
      </c>
      <c r="U195" s="593">
        <f ca="1">$E195*(-SUMIF(INDIRECT(U$3),'Struktur Aktuell'!$D195,INDIRECT(U$4))+SUMIF(INDIRECT(U$3),'Struktur Aktuell'!$D195,INDIRECT(U$5)))</f>
        <v>0</v>
      </c>
      <c r="V195" s="593">
        <f ca="1">$E195*(-SUMIF(INDIRECT(V$3),'Struktur Aktuell'!$D195,INDIRECT(V$4))+SUMIF(INDIRECT(V$3),'Struktur Aktuell'!$D195,INDIRECT(V$5)))</f>
        <v>0</v>
      </c>
      <c r="W195" s="593">
        <f ca="1">$E195*(-SUMIF(INDIRECT(W$3),'Struktur Aktuell'!$D195,INDIRECT(W$4))+SUMIF(INDIRECT(W$3),'Struktur Aktuell'!$D195,INDIRECT(W$5)))</f>
        <v>0</v>
      </c>
      <c r="X195" s="593">
        <f ca="1">$E195*(-SUMIF(INDIRECT(X$3),'Struktur Aktuell'!$D195,INDIRECT(X$4))+SUMIF(INDIRECT(X$3),'Struktur Aktuell'!$D195,INDIRECT(X$5)))</f>
        <v>0</v>
      </c>
      <c r="Y195" s="593">
        <f ca="1">$E195*(-SUMIF(INDIRECT(Y$3),'Struktur Aktuell'!$D195,INDIRECT(Y$4))+SUMIF(INDIRECT(Y$3),'Struktur Aktuell'!$D195,INDIRECT(Y$5)))</f>
        <v>0</v>
      </c>
      <c r="Z195" s="593">
        <f ca="1">$E195*(-SUMIF(INDIRECT(Z$3),'Struktur Aktuell'!$D195,INDIRECT(Z$4))+SUMIF(INDIRECT(Z$3),'Struktur Aktuell'!$D195,INDIRECT(Z$5)))</f>
        <v>0</v>
      </c>
      <c r="AA195" s="593">
        <f ca="1">$E195*(-SUMIF(INDIRECT(AA$3),'Struktur Aktuell'!$D195,INDIRECT(AA$4))+SUMIF(INDIRECT(AA$3),'Struktur Aktuell'!$D195,INDIRECT(AA$5)))</f>
        <v>0</v>
      </c>
      <c r="AB195" s="593">
        <f ca="1">$E195*(-SUMIF(INDIRECT(AB$3),'Struktur Aktuell'!$D195,INDIRECT(AB$4))+SUMIF(INDIRECT(AB$3),'Struktur Aktuell'!$D195,INDIRECT(AB$5)))</f>
        <v>0</v>
      </c>
      <c r="AC195" s="593">
        <f ca="1">$E195*(-SUMIF(INDIRECT(AC$3),'Struktur Aktuell'!$D195,INDIRECT(AC$4))+SUMIF(INDIRECT(AC$3),'Struktur Aktuell'!$D195,INDIRECT(AC$5)))</f>
        <v>0</v>
      </c>
      <c r="AD195" s="593">
        <f ca="1">$E195*(-SUMIF(INDIRECT(AD$3),'Struktur Aktuell'!$D195,INDIRECT(AD$4))+SUMIF(INDIRECT(AD$3),'Struktur Aktuell'!$D195,INDIRECT(AD$5)))</f>
        <v>0</v>
      </c>
      <c r="AE195" s="593">
        <f t="shared" ca="1" si="282"/>
        <v>0</v>
      </c>
      <c r="AF195" s="593">
        <f t="shared" ca="1" si="283"/>
        <v>0</v>
      </c>
      <c r="AG195" s="593">
        <f t="shared" ca="1" si="284"/>
        <v>0</v>
      </c>
      <c r="AH195" s="593">
        <f t="shared" ca="1" si="285"/>
        <v>0</v>
      </c>
      <c r="AI195" s="593">
        <f t="shared" ca="1" si="286"/>
        <v>0</v>
      </c>
      <c r="AJ195" s="593">
        <f t="shared" ca="1" si="287"/>
        <v>0</v>
      </c>
      <c r="AK195" s="593">
        <f t="shared" ca="1" si="288"/>
        <v>0</v>
      </c>
      <c r="AL195" s="593">
        <f t="shared" ca="1" si="289"/>
        <v>0</v>
      </c>
      <c r="AM195" s="593">
        <f t="shared" ca="1" si="290"/>
        <v>0</v>
      </c>
      <c r="AN195" s="593">
        <f t="shared" ca="1" si="291"/>
        <v>0</v>
      </c>
      <c r="AO195" s="593">
        <f t="shared" ca="1" si="292"/>
        <v>0</v>
      </c>
      <c r="AP195" s="593">
        <f t="shared" ca="1" si="293"/>
        <v>0</v>
      </c>
    </row>
    <row r="196" spans="1:42" s="594" customFormat="1" ht="11.25" outlineLevel="1" x14ac:dyDescent="0.2">
      <c r="A196" s="590"/>
      <c r="B196" s="591" t="str">
        <f>IF(D196&lt;&gt;"",
IF(ISERROR(MATCH(D196,'Ist Aktuell Monat 01'!A:A,0))=FALSE,INDEX('Ist Aktuell Monat 01'!B:B,MATCH(D196,'Ist Aktuell Monat 01'!A:A,0)),
IF(ISERROR(MATCH(D196,'Ist Aktuell Monat 02'!A:A,0))=FALSE,INDEX('Ist Aktuell Monat 02'!B:B,MATCH(D196,'Ist Aktuell Monat 02'!A:A,0)),
IF(ISERROR(MATCH(D196,'Ist Aktuell Monat 03'!A:A,0))=FALSE,INDEX('Ist Aktuell Monat 03'!B:B,MATCH(D196,'Ist Aktuell Monat 03'!A:A,0)),
IF(ISERROR(MATCH(D196,'Ist Aktuell Monat 04'!A:A,0))=FALSE,INDEX('Ist Aktuell Monat 04'!B:B,MATCH(D196,'Ist Aktuell Monat 04'!A:A,0)),
IF(ISERROR(MATCH(D196,'Ist Aktuell Monat 05'!A:A,0))=FALSE,INDEX('Ist Aktuell Monat 05'!B:B,MATCH(D196,'Ist Aktuell Monat 05'!A:A,0)),
IF(ISERROR(MATCH(D196,'Ist Aktuell Monat 06'!A:A,0))=FALSE,INDEX('Ist Aktuell Monat 06'!B:B,MATCH(D196,'Ist Aktuell Monat 06'!A:A,0)),
IF(ISERROR(MATCH(D196,'Ist Aktuell Monat 07'!A:A,0))=FALSE,INDEX('Ist Aktuell Monat 07'!B:B,MATCH(D196,'Ist Aktuell Monat 07'!A:A,0)),
IF(ISERROR(MATCH(D196,'Ist Aktuell Monat 08'!A:A,0))=FALSE,INDEX('Ist Aktuell Monat 08'!B:B,MATCH(D196,'Ist Aktuell Monat 08'!A:A,0)),
IF(ISERROR(MATCH(D196,'Ist Aktuell Monat 09'!A:A,0))=FALSE,INDEX('Ist Aktuell Monat 09'!B:B,MATCH(D196,'Ist Aktuell Monat 09'!A:A,0)),
IF(ISERROR(MATCH(D196,'Ist Aktuell Monat 10'!A:A,0))=FALSE,INDEX('Ist Aktuell Monat 10'!B:B,MATCH(D196,'Ist Aktuell Monat 10'!A:A,0)),
IF(ISERROR(MATCH(D196,'Ist Aktuell Monat 11'!A:A,0))=FALSE,INDEX('Ist Aktuell Monat 11'!B:B,MATCH(D196,'Ist Aktuell Monat 11'!A:A,0)),
IF(ISERROR(MATCH(D196,'Ist Aktuell Monat 12'!A:A,0))=FALSE,INDEX('Ist Aktuell Monat 12'!B:B,MATCH(D196,'Ist Aktuell Monat 12'!A:A,0)),
"{Konto unbekannt}"
)))))))))))),"")</f>
        <v/>
      </c>
      <c r="C196" s="591"/>
      <c r="D196" s="590"/>
      <c r="E196" s="592">
        <f t="shared" si="171"/>
        <v>1</v>
      </c>
      <c r="F196" s="590"/>
      <c r="G196" s="593">
        <f ca="1">$E196*(-SUMIF(INDIRECT(G$3),'Struktur Aktuell'!$D196,INDIRECT(G$4))+SUMIF(INDIRECT(G$3),'Struktur Aktuell'!$D196,INDIRECT(G$5)))</f>
        <v>0</v>
      </c>
      <c r="H196" s="593">
        <f ca="1">$E196*(-SUMIF(INDIRECT(H$3),'Struktur Aktuell'!$D196,INDIRECT(H$4))+SUMIF(INDIRECT(H$3),'Struktur Aktuell'!$D196,INDIRECT(H$5)))</f>
        <v>0</v>
      </c>
      <c r="I196" s="593">
        <f ca="1">$E196*(-SUMIF(INDIRECT(I$3),'Struktur Aktuell'!$D196,INDIRECT(I$4))+SUMIF(INDIRECT(I$3),'Struktur Aktuell'!$D196,INDIRECT(I$5)))</f>
        <v>0</v>
      </c>
      <c r="J196" s="593">
        <f ca="1">$E196*(-SUMIF(INDIRECT(J$3),'Struktur Aktuell'!$D196,INDIRECT(J$4))+SUMIF(INDIRECT(J$3),'Struktur Aktuell'!$D196,INDIRECT(J$5)))</f>
        <v>0</v>
      </c>
      <c r="K196" s="593">
        <f ca="1">$E196*(-SUMIF(INDIRECT(K$3),'Struktur Aktuell'!$D196,INDIRECT(K$4))+SUMIF(INDIRECT(K$3),'Struktur Aktuell'!$D196,INDIRECT(K$5)))</f>
        <v>0</v>
      </c>
      <c r="L196" s="593">
        <f ca="1">$E196*(-SUMIF(INDIRECT(L$3),'Struktur Aktuell'!$D196,INDIRECT(L$4))+SUMIF(INDIRECT(L$3),'Struktur Aktuell'!$D196,INDIRECT(L$5)))</f>
        <v>0</v>
      </c>
      <c r="M196" s="593">
        <f ca="1">$E196*(-SUMIF(INDIRECT(M$3),'Struktur Aktuell'!$D196,INDIRECT(M$4))+SUMIF(INDIRECT(M$3),'Struktur Aktuell'!$D196,INDIRECT(M$5)))</f>
        <v>0</v>
      </c>
      <c r="N196" s="593">
        <f ca="1">$E196*(-SUMIF(INDIRECT(N$3),'Struktur Aktuell'!$D196,INDIRECT(N$4))+SUMIF(INDIRECT(N$3),'Struktur Aktuell'!$D196,INDIRECT(N$5)))</f>
        <v>0</v>
      </c>
      <c r="O196" s="593">
        <f ca="1">$E196*(-SUMIF(INDIRECT(O$3),'Struktur Aktuell'!$D196,INDIRECT(O$4))+SUMIF(INDIRECT(O$3),'Struktur Aktuell'!$D196,INDIRECT(O$5)))</f>
        <v>0</v>
      </c>
      <c r="P196" s="593">
        <f ca="1">$E196*(-SUMIF(INDIRECT(P$3),'Struktur Aktuell'!$D196,INDIRECT(P$4))+SUMIF(INDIRECT(P$3),'Struktur Aktuell'!$D196,INDIRECT(P$5)))</f>
        <v>0</v>
      </c>
      <c r="Q196" s="593">
        <f ca="1">$E196*(-SUMIF(INDIRECT(Q$3),'Struktur Aktuell'!$D196,INDIRECT(Q$4))+SUMIF(INDIRECT(Q$3),'Struktur Aktuell'!$D196,INDIRECT(Q$5)))</f>
        <v>0</v>
      </c>
      <c r="R196" s="593">
        <f ca="1">$E196*(-SUMIF(INDIRECT(R$3),'Struktur Aktuell'!$D196,INDIRECT(R$4))+SUMIF(INDIRECT(R$3),'Struktur Aktuell'!$D196,INDIRECT(R$5)))</f>
        <v>0</v>
      </c>
      <c r="S196" s="593">
        <f ca="1">$E196*(-SUMIF(INDIRECT(S$3),'Struktur Aktuell'!$D196,INDIRECT(S$4))+SUMIF(INDIRECT(S$3),'Struktur Aktuell'!$D196,INDIRECT(S$5)))</f>
        <v>0</v>
      </c>
      <c r="T196" s="593">
        <f ca="1">$E196*(-SUMIF(INDIRECT(T$3),'Struktur Aktuell'!$D196,INDIRECT(T$4))+SUMIF(INDIRECT(T$3),'Struktur Aktuell'!$D196,INDIRECT(T$5)))</f>
        <v>0</v>
      </c>
      <c r="U196" s="593">
        <f ca="1">$E196*(-SUMIF(INDIRECT(U$3),'Struktur Aktuell'!$D196,INDIRECT(U$4))+SUMIF(INDIRECT(U$3),'Struktur Aktuell'!$D196,INDIRECT(U$5)))</f>
        <v>0</v>
      </c>
      <c r="V196" s="593">
        <f ca="1">$E196*(-SUMIF(INDIRECT(V$3),'Struktur Aktuell'!$D196,INDIRECT(V$4))+SUMIF(INDIRECT(V$3),'Struktur Aktuell'!$D196,INDIRECT(V$5)))</f>
        <v>0</v>
      </c>
      <c r="W196" s="593">
        <f ca="1">$E196*(-SUMIF(INDIRECT(W$3),'Struktur Aktuell'!$D196,INDIRECT(W$4))+SUMIF(INDIRECT(W$3),'Struktur Aktuell'!$D196,INDIRECT(W$5)))</f>
        <v>0</v>
      </c>
      <c r="X196" s="593">
        <f ca="1">$E196*(-SUMIF(INDIRECT(X$3),'Struktur Aktuell'!$D196,INDIRECT(X$4))+SUMIF(INDIRECT(X$3),'Struktur Aktuell'!$D196,INDIRECT(X$5)))</f>
        <v>0</v>
      </c>
      <c r="Y196" s="593">
        <f ca="1">$E196*(-SUMIF(INDIRECT(Y$3),'Struktur Aktuell'!$D196,INDIRECT(Y$4))+SUMIF(INDIRECT(Y$3),'Struktur Aktuell'!$D196,INDIRECT(Y$5)))</f>
        <v>0</v>
      </c>
      <c r="Z196" s="593">
        <f ca="1">$E196*(-SUMIF(INDIRECT(Z$3),'Struktur Aktuell'!$D196,INDIRECT(Z$4))+SUMIF(INDIRECT(Z$3),'Struktur Aktuell'!$D196,INDIRECT(Z$5)))</f>
        <v>0</v>
      </c>
      <c r="AA196" s="593">
        <f ca="1">$E196*(-SUMIF(INDIRECT(AA$3),'Struktur Aktuell'!$D196,INDIRECT(AA$4))+SUMIF(INDIRECT(AA$3),'Struktur Aktuell'!$D196,INDIRECT(AA$5)))</f>
        <v>0</v>
      </c>
      <c r="AB196" s="593">
        <f ca="1">$E196*(-SUMIF(INDIRECT(AB$3),'Struktur Aktuell'!$D196,INDIRECT(AB$4))+SUMIF(INDIRECT(AB$3),'Struktur Aktuell'!$D196,INDIRECT(AB$5)))</f>
        <v>0</v>
      </c>
      <c r="AC196" s="593">
        <f ca="1">$E196*(-SUMIF(INDIRECT(AC$3),'Struktur Aktuell'!$D196,INDIRECT(AC$4))+SUMIF(INDIRECT(AC$3),'Struktur Aktuell'!$D196,INDIRECT(AC$5)))</f>
        <v>0</v>
      </c>
      <c r="AD196" s="593">
        <f ca="1">$E196*(-SUMIF(INDIRECT(AD$3),'Struktur Aktuell'!$D196,INDIRECT(AD$4))+SUMIF(INDIRECT(AD$3),'Struktur Aktuell'!$D196,INDIRECT(AD$5)))</f>
        <v>0</v>
      </c>
      <c r="AE196" s="593">
        <f t="shared" ca="1" si="282"/>
        <v>0</v>
      </c>
      <c r="AF196" s="593">
        <f t="shared" ca="1" si="283"/>
        <v>0</v>
      </c>
      <c r="AG196" s="593">
        <f t="shared" ca="1" si="284"/>
        <v>0</v>
      </c>
      <c r="AH196" s="593">
        <f t="shared" ca="1" si="285"/>
        <v>0</v>
      </c>
      <c r="AI196" s="593">
        <f t="shared" ca="1" si="286"/>
        <v>0</v>
      </c>
      <c r="AJ196" s="593">
        <f t="shared" ca="1" si="287"/>
        <v>0</v>
      </c>
      <c r="AK196" s="593">
        <f t="shared" ca="1" si="288"/>
        <v>0</v>
      </c>
      <c r="AL196" s="593">
        <f t="shared" ca="1" si="289"/>
        <v>0</v>
      </c>
      <c r="AM196" s="593">
        <f t="shared" ca="1" si="290"/>
        <v>0</v>
      </c>
      <c r="AN196" s="593">
        <f t="shared" ca="1" si="291"/>
        <v>0</v>
      </c>
      <c r="AO196" s="593">
        <f t="shared" ca="1" si="292"/>
        <v>0</v>
      </c>
      <c r="AP196" s="593">
        <f t="shared" ca="1" si="293"/>
        <v>0</v>
      </c>
    </row>
    <row r="197" spans="1:42" s="594" customFormat="1" ht="11.25" outlineLevel="1" x14ac:dyDescent="0.2">
      <c r="A197" s="590"/>
      <c r="B197" s="591" t="str">
        <f>IF(D197&lt;&gt;"",
IF(ISERROR(MATCH(D197,'Ist Aktuell Monat 01'!A:A,0))=FALSE,INDEX('Ist Aktuell Monat 01'!B:B,MATCH(D197,'Ist Aktuell Monat 01'!A:A,0)),
IF(ISERROR(MATCH(D197,'Ist Aktuell Monat 02'!A:A,0))=FALSE,INDEX('Ist Aktuell Monat 02'!B:B,MATCH(D197,'Ist Aktuell Monat 02'!A:A,0)),
IF(ISERROR(MATCH(D197,'Ist Aktuell Monat 03'!A:A,0))=FALSE,INDEX('Ist Aktuell Monat 03'!B:B,MATCH(D197,'Ist Aktuell Monat 03'!A:A,0)),
IF(ISERROR(MATCH(D197,'Ist Aktuell Monat 04'!A:A,0))=FALSE,INDEX('Ist Aktuell Monat 04'!B:B,MATCH(D197,'Ist Aktuell Monat 04'!A:A,0)),
IF(ISERROR(MATCH(D197,'Ist Aktuell Monat 05'!A:A,0))=FALSE,INDEX('Ist Aktuell Monat 05'!B:B,MATCH(D197,'Ist Aktuell Monat 05'!A:A,0)),
IF(ISERROR(MATCH(D197,'Ist Aktuell Monat 06'!A:A,0))=FALSE,INDEX('Ist Aktuell Monat 06'!B:B,MATCH(D197,'Ist Aktuell Monat 06'!A:A,0)),
IF(ISERROR(MATCH(D197,'Ist Aktuell Monat 07'!A:A,0))=FALSE,INDEX('Ist Aktuell Monat 07'!B:B,MATCH(D197,'Ist Aktuell Monat 07'!A:A,0)),
IF(ISERROR(MATCH(D197,'Ist Aktuell Monat 08'!A:A,0))=FALSE,INDEX('Ist Aktuell Monat 08'!B:B,MATCH(D197,'Ist Aktuell Monat 08'!A:A,0)),
IF(ISERROR(MATCH(D197,'Ist Aktuell Monat 09'!A:A,0))=FALSE,INDEX('Ist Aktuell Monat 09'!B:B,MATCH(D197,'Ist Aktuell Monat 09'!A:A,0)),
IF(ISERROR(MATCH(D197,'Ist Aktuell Monat 10'!A:A,0))=FALSE,INDEX('Ist Aktuell Monat 10'!B:B,MATCH(D197,'Ist Aktuell Monat 10'!A:A,0)),
IF(ISERROR(MATCH(D197,'Ist Aktuell Monat 11'!A:A,0))=FALSE,INDEX('Ist Aktuell Monat 11'!B:B,MATCH(D197,'Ist Aktuell Monat 11'!A:A,0)),
IF(ISERROR(MATCH(D197,'Ist Aktuell Monat 12'!A:A,0))=FALSE,INDEX('Ist Aktuell Monat 12'!B:B,MATCH(D197,'Ist Aktuell Monat 12'!A:A,0)),
"{Konto unbekannt}"
)))))))))))),"")</f>
        <v/>
      </c>
      <c r="C197" s="591"/>
      <c r="D197" s="590"/>
      <c r="E197" s="592">
        <f t="shared" si="171"/>
        <v>1</v>
      </c>
      <c r="F197" s="590"/>
      <c r="G197" s="593">
        <f ca="1">$E197*(-SUMIF(INDIRECT(G$3),'Struktur Aktuell'!$D197,INDIRECT(G$4))+SUMIF(INDIRECT(G$3),'Struktur Aktuell'!$D197,INDIRECT(G$5)))</f>
        <v>0</v>
      </c>
      <c r="H197" s="593">
        <f ca="1">$E197*(-SUMIF(INDIRECT(H$3),'Struktur Aktuell'!$D197,INDIRECT(H$4))+SUMIF(INDIRECT(H$3),'Struktur Aktuell'!$D197,INDIRECT(H$5)))</f>
        <v>0</v>
      </c>
      <c r="I197" s="593">
        <f ca="1">$E197*(-SUMIF(INDIRECT(I$3),'Struktur Aktuell'!$D197,INDIRECT(I$4))+SUMIF(INDIRECT(I$3),'Struktur Aktuell'!$D197,INDIRECT(I$5)))</f>
        <v>0</v>
      </c>
      <c r="J197" s="593">
        <f ca="1">$E197*(-SUMIF(INDIRECT(J$3),'Struktur Aktuell'!$D197,INDIRECT(J$4))+SUMIF(INDIRECT(J$3),'Struktur Aktuell'!$D197,INDIRECT(J$5)))</f>
        <v>0</v>
      </c>
      <c r="K197" s="593">
        <f ca="1">$E197*(-SUMIF(INDIRECT(K$3),'Struktur Aktuell'!$D197,INDIRECT(K$4))+SUMIF(INDIRECT(K$3),'Struktur Aktuell'!$D197,INDIRECT(K$5)))</f>
        <v>0</v>
      </c>
      <c r="L197" s="593">
        <f ca="1">$E197*(-SUMIF(INDIRECT(L$3),'Struktur Aktuell'!$D197,INDIRECT(L$4))+SUMIF(INDIRECT(L$3),'Struktur Aktuell'!$D197,INDIRECT(L$5)))</f>
        <v>0</v>
      </c>
      <c r="M197" s="593">
        <f ca="1">$E197*(-SUMIF(INDIRECT(M$3),'Struktur Aktuell'!$D197,INDIRECT(M$4))+SUMIF(INDIRECT(M$3),'Struktur Aktuell'!$D197,INDIRECT(M$5)))</f>
        <v>0</v>
      </c>
      <c r="N197" s="593">
        <f ca="1">$E197*(-SUMIF(INDIRECT(N$3),'Struktur Aktuell'!$D197,INDIRECT(N$4))+SUMIF(INDIRECT(N$3),'Struktur Aktuell'!$D197,INDIRECT(N$5)))</f>
        <v>0</v>
      </c>
      <c r="O197" s="593">
        <f ca="1">$E197*(-SUMIF(INDIRECT(O$3),'Struktur Aktuell'!$D197,INDIRECT(O$4))+SUMIF(INDIRECT(O$3),'Struktur Aktuell'!$D197,INDIRECT(O$5)))</f>
        <v>0</v>
      </c>
      <c r="P197" s="593">
        <f ca="1">$E197*(-SUMIF(INDIRECT(P$3),'Struktur Aktuell'!$D197,INDIRECT(P$4))+SUMIF(INDIRECT(P$3),'Struktur Aktuell'!$D197,INDIRECT(P$5)))</f>
        <v>0</v>
      </c>
      <c r="Q197" s="593">
        <f ca="1">$E197*(-SUMIF(INDIRECT(Q$3),'Struktur Aktuell'!$D197,INDIRECT(Q$4))+SUMIF(INDIRECT(Q$3),'Struktur Aktuell'!$D197,INDIRECT(Q$5)))</f>
        <v>0</v>
      </c>
      <c r="R197" s="593">
        <f ca="1">$E197*(-SUMIF(INDIRECT(R$3),'Struktur Aktuell'!$D197,INDIRECT(R$4))+SUMIF(INDIRECT(R$3),'Struktur Aktuell'!$D197,INDIRECT(R$5)))</f>
        <v>0</v>
      </c>
      <c r="S197" s="593">
        <f ca="1">$E197*(-SUMIF(INDIRECT(S$3),'Struktur Aktuell'!$D197,INDIRECT(S$4))+SUMIF(INDIRECT(S$3),'Struktur Aktuell'!$D197,INDIRECT(S$5)))</f>
        <v>0</v>
      </c>
      <c r="T197" s="593">
        <f ca="1">$E197*(-SUMIF(INDIRECT(T$3),'Struktur Aktuell'!$D197,INDIRECT(T$4))+SUMIF(INDIRECT(T$3),'Struktur Aktuell'!$D197,INDIRECT(T$5)))</f>
        <v>0</v>
      </c>
      <c r="U197" s="593">
        <f ca="1">$E197*(-SUMIF(INDIRECT(U$3),'Struktur Aktuell'!$D197,INDIRECT(U$4))+SUMIF(INDIRECT(U$3),'Struktur Aktuell'!$D197,INDIRECT(U$5)))</f>
        <v>0</v>
      </c>
      <c r="V197" s="593">
        <f ca="1">$E197*(-SUMIF(INDIRECT(V$3),'Struktur Aktuell'!$D197,INDIRECT(V$4))+SUMIF(INDIRECT(V$3),'Struktur Aktuell'!$D197,INDIRECT(V$5)))</f>
        <v>0</v>
      </c>
      <c r="W197" s="593">
        <f ca="1">$E197*(-SUMIF(INDIRECT(W$3),'Struktur Aktuell'!$D197,INDIRECT(W$4))+SUMIF(INDIRECT(W$3),'Struktur Aktuell'!$D197,INDIRECT(W$5)))</f>
        <v>0</v>
      </c>
      <c r="X197" s="593">
        <f ca="1">$E197*(-SUMIF(INDIRECT(X$3),'Struktur Aktuell'!$D197,INDIRECT(X$4))+SUMIF(INDIRECT(X$3),'Struktur Aktuell'!$D197,INDIRECT(X$5)))</f>
        <v>0</v>
      </c>
      <c r="Y197" s="593">
        <f ca="1">$E197*(-SUMIF(INDIRECT(Y$3),'Struktur Aktuell'!$D197,INDIRECT(Y$4))+SUMIF(INDIRECT(Y$3),'Struktur Aktuell'!$D197,INDIRECT(Y$5)))</f>
        <v>0</v>
      </c>
      <c r="Z197" s="593">
        <f ca="1">$E197*(-SUMIF(INDIRECT(Z$3),'Struktur Aktuell'!$D197,INDIRECT(Z$4))+SUMIF(INDIRECT(Z$3),'Struktur Aktuell'!$D197,INDIRECT(Z$5)))</f>
        <v>0</v>
      </c>
      <c r="AA197" s="593">
        <f ca="1">$E197*(-SUMIF(INDIRECT(AA$3),'Struktur Aktuell'!$D197,INDIRECT(AA$4))+SUMIF(INDIRECT(AA$3),'Struktur Aktuell'!$D197,INDIRECT(AA$5)))</f>
        <v>0</v>
      </c>
      <c r="AB197" s="593">
        <f ca="1">$E197*(-SUMIF(INDIRECT(AB$3),'Struktur Aktuell'!$D197,INDIRECT(AB$4))+SUMIF(INDIRECT(AB$3),'Struktur Aktuell'!$D197,INDIRECT(AB$5)))</f>
        <v>0</v>
      </c>
      <c r="AC197" s="593">
        <f ca="1">$E197*(-SUMIF(INDIRECT(AC$3),'Struktur Aktuell'!$D197,INDIRECT(AC$4))+SUMIF(INDIRECT(AC$3),'Struktur Aktuell'!$D197,INDIRECT(AC$5)))</f>
        <v>0</v>
      </c>
      <c r="AD197" s="593">
        <f ca="1">$E197*(-SUMIF(INDIRECT(AD$3),'Struktur Aktuell'!$D197,INDIRECT(AD$4))+SUMIF(INDIRECT(AD$3),'Struktur Aktuell'!$D197,INDIRECT(AD$5)))</f>
        <v>0</v>
      </c>
      <c r="AE197" s="593">
        <f t="shared" ca="1" si="282"/>
        <v>0</v>
      </c>
      <c r="AF197" s="593">
        <f t="shared" ca="1" si="283"/>
        <v>0</v>
      </c>
      <c r="AG197" s="593">
        <f t="shared" ca="1" si="284"/>
        <v>0</v>
      </c>
      <c r="AH197" s="593">
        <f t="shared" ca="1" si="285"/>
        <v>0</v>
      </c>
      <c r="AI197" s="593">
        <f t="shared" ca="1" si="286"/>
        <v>0</v>
      </c>
      <c r="AJ197" s="593">
        <f t="shared" ca="1" si="287"/>
        <v>0</v>
      </c>
      <c r="AK197" s="593">
        <f t="shared" ca="1" si="288"/>
        <v>0</v>
      </c>
      <c r="AL197" s="593">
        <f t="shared" ca="1" si="289"/>
        <v>0</v>
      </c>
      <c r="AM197" s="593">
        <f t="shared" ca="1" si="290"/>
        <v>0</v>
      </c>
      <c r="AN197" s="593">
        <f t="shared" ca="1" si="291"/>
        <v>0</v>
      </c>
      <c r="AO197" s="593">
        <f t="shared" ca="1" si="292"/>
        <v>0</v>
      </c>
      <c r="AP197" s="593">
        <f t="shared" ca="1" si="293"/>
        <v>0</v>
      </c>
    </row>
    <row r="198" spans="1:42" s="594" customFormat="1" ht="11.25" outlineLevel="1" x14ac:dyDescent="0.2">
      <c r="A198" s="590"/>
      <c r="B198" s="591" t="str">
        <f>IF(D198&lt;&gt;"",
IF(ISERROR(MATCH(D198,'Ist Aktuell Monat 01'!A:A,0))=FALSE,INDEX('Ist Aktuell Monat 01'!B:B,MATCH(D198,'Ist Aktuell Monat 01'!A:A,0)),
IF(ISERROR(MATCH(D198,'Ist Aktuell Monat 02'!A:A,0))=FALSE,INDEX('Ist Aktuell Monat 02'!B:B,MATCH(D198,'Ist Aktuell Monat 02'!A:A,0)),
IF(ISERROR(MATCH(D198,'Ist Aktuell Monat 03'!A:A,0))=FALSE,INDEX('Ist Aktuell Monat 03'!B:B,MATCH(D198,'Ist Aktuell Monat 03'!A:A,0)),
IF(ISERROR(MATCH(D198,'Ist Aktuell Monat 04'!A:A,0))=FALSE,INDEX('Ist Aktuell Monat 04'!B:B,MATCH(D198,'Ist Aktuell Monat 04'!A:A,0)),
IF(ISERROR(MATCH(D198,'Ist Aktuell Monat 05'!A:A,0))=FALSE,INDEX('Ist Aktuell Monat 05'!B:B,MATCH(D198,'Ist Aktuell Monat 05'!A:A,0)),
IF(ISERROR(MATCH(D198,'Ist Aktuell Monat 06'!A:A,0))=FALSE,INDEX('Ist Aktuell Monat 06'!B:B,MATCH(D198,'Ist Aktuell Monat 06'!A:A,0)),
IF(ISERROR(MATCH(D198,'Ist Aktuell Monat 07'!A:A,0))=FALSE,INDEX('Ist Aktuell Monat 07'!B:B,MATCH(D198,'Ist Aktuell Monat 07'!A:A,0)),
IF(ISERROR(MATCH(D198,'Ist Aktuell Monat 08'!A:A,0))=FALSE,INDEX('Ist Aktuell Monat 08'!B:B,MATCH(D198,'Ist Aktuell Monat 08'!A:A,0)),
IF(ISERROR(MATCH(D198,'Ist Aktuell Monat 09'!A:A,0))=FALSE,INDEX('Ist Aktuell Monat 09'!B:B,MATCH(D198,'Ist Aktuell Monat 09'!A:A,0)),
IF(ISERROR(MATCH(D198,'Ist Aktuell Monat 10'!A:A,0))=FALSE,INDEX('Ist Aktuell Monat 10'!B:B,MATCH(D198,'Ist Aktuell Monat 10'!A:A,0)),
IF(ISERROR(MATCH(D198,'Ist Aktuell Monat 11'!A:A,0))=FALSE,INDEX('Ist Aktuell Monat 11'!B:B,MATCH(D198,'Ist Aktuell Monat 11'!A:A,0)),
IF(ISERROR(MATCH(D198,'Ist Aktuell Monat 12'!A:A,0))=FALSE,INDEX('Ist Aktuell Monat 12'!B:B,MATCH(D198,'Ist Aktuell Monat 12'!A:A,0)),
"{Konto unbekannt}"
)))))))))))),"")</f>
        <v/>
      </c>
      <c r="C198" s="591"/>
      <c r="D198" s="590"/>
      <c r="E198" s="592">
        <f t="shared" si="171"/>
        <v>1</v>
      </c>
      <c r="F198" s="590"/>
      <c r="G198" s="593">
        <f ca="1">$E198*(-SUMIF(INDIRECT(G$3),'Struktur Aktuell'!$D198,INDIRECT(G$4))+SUMIF(INDIRECT(G$3),'Struktur Aktuell'!$D198,INDIRECT(G$5)))</f>
        <v>0</v>
      </c>
      <c r="H198" s="593">
        <f ca="1">$E198*(-SUMIF(INDIRECT(H$3),'Struktur Aktuell'!$D198,INDIRECT(H$4))+SUMIF(INDIRECT(H$3),'Struktur Aktuell'!$D198,INDIRECT(H$5)))</f>
        <v>0</v>
      </c>
      <c r="I198" s="593">
        <f ca="1">$E198*(-SUMIF(INDIRECT(I$3),'Struktur Aktuell'!$D198,INDIRECT(I$4))+SUMIF(INDIRECT(I$3),'Struktur Aktuell'!$D198,INDIRECT(I$5)))</f>
        <v>0</v>
      </c>
      <c r="J198" s="593">
        <f ca="1">$E198*(-SUMIF(INDIRECT(J$3),'Struktur Aktuell'!$D198,INDIRECT(J$4))+SUMIF(INDIRECT(J$3),'Struktur Aktuell'!$D198,INDIRECT(J$5)))</f>
        <v>0</v>
      </c>
      <c r="K198" s="593">
        <f ca="1">$E198*(-SUMIF(INDIRECT(K$3),'Struktur Aktuell'!$D198,INDIRECT(K$4))+SUMIF(INDIRECT(K$3),'Struktur Aktuell'!$D198,INDIRECT(K$5)))</f>
        <v>0</v>
      </c>
      <c r="L198" s="593">
        <f ca="1">$E198*(-SUMIF(INDIRECT(L$3),'Struktur Aktuell'!$D198,INDIRECT(L$4))+SUMIF(INDIRECT(L$3),'Struktur Aktuell'!$D198,INDIRECT(L$5)))</f>
        <v>0</v>
      </c>
      <c r="M198" s="593">
        <f ca="1">$E198*(-SUMIF(INDIRECT(M$3),'Struktur Aktuell'!$D198,INDIRECT(M$4))+SUMIF(INDIRECT(M$3),'Struktur Aktuell'!$D198,INDIRECT(M$5)))</f>
        <v>0</v>
      </c>
      <c r="N198" s="593">
        <f ca="1">$E198*(-SUMIF(INDIRECT(N$3),'Struktur Aktuell'!$D198,INDIRECT(N$4))+SUMIF(INDIRECT(N$3),'Struktur Aktuell'!$D198,INDIRECT(N$5)))</f>
        <v>0</v>
      </c>
      <c r="O198" s="593">
        <f ca="1">$E198*(-SUMIF(INDIRECT(O$3),'Struktur Aktuell'!$D198,INDIRECT(O$4))+SUMIF(INDIRECT(O$3),'Struktur Aktuell'!$D198,INDIRECT(O$5)))</f>
        <v>0</v>
      </c>
      <c r="P198" s="593">
        <f ca="1">$E198*(-SUMIF(INDIRECT(P$3),'Struktur Aktuell'!$D198,INDIRECT(P$4))+SUMIF(INDIRECT(P$3),'Struktur Aktuell'!$D198,INDIRECT(P$5)))</f>
        <v>0</v>
      </c>
      <c r="Q198" s="593">
        <f ca="1">$E198*(-SUMIF(INDIRECT(Q$3),'Struktur Aktuell'!$D198,INDIRECT(Q$4))+SUMIF(INDIRECT(Q$3),'Struktur Aktuell'!$D198,INDIRECT(Q$5)))</f>
        <v>0</v>
      </c>
      <c r="R198" s="593">
        <f ca="1">$E198*(-SUMIF(INDIRECT(R$3),'Struktur Aktuell'!$D198,INDIRECT(R$4))+SUMIF(INDIRECT(R$3),'Struktur Aktuell'!$D198,INDIRECT(R$5)))</f>
        <v>0</v>
      </c>
      <c r="S198" s="593">
        <f ca="1">$E198*(-SUMIF(INDIRECT(S$3),'Struktur Aktuell'!$D198,INDIRECT(S$4))+SUMIF(INDIRECT(S$3),'Struktur Aktuell'!$D198,INDIRECT(S$5)))</f>
        <v>0</v>
      </c>
      <c r="T198" s="593">
        <f ca="1">$E198*(-SUMIF(INDIRECT(T$3),'Struktur Aktuell'!$D198,INDIRECT(T$4))+SUMIF(INDIRECT(T$3),'Struktur Aktuell'!$D198,INDIRECT(T$5)))</f>
        <v>0</v>
      </c>
      <c r="U198" s="593">
        <f ca="1">$E198*(-SUMIF(INDIRECT(U$3),'Struktur Aktuell'!$D198,INDIRECT(U$4))+SUMIF(INDIRECT(U$3),'Struktur Aktuell'!$D198,INDIRECT(U$5)))</f>
        <v>0</v>
      </c>
      <c r="V198" s="593">
        <f ca="1">$E198*(-SUMIF(INDIRECT(V$3),'Struktur Aktuell'!$D198,INDIRECT(V$4))+SUMIF(INDIRECT(V$3),'Struktur Aktuell'!$D198,INDIRECT(V$5)))</f>
        <v>0</v>
      </c>
      <c r="W198" s="593">
        <f ca="1">$E198*(-SUMIF(INDIRECT(W$3),'Struktur Aktuell'!$D198,INDIRECT(W$4))+SUMIF(INDIRECT(W$3),'Struktur Aktuell'!$D198,INDIRECT(W$5)))</f>
        <v>0</v>
      </c>
      <c r="X198" s="593">
        <f ca="1">$E198*(-SUMIF(INDIRECT(X$3),'Struktur Aktuell'!$D198,INDIRECT(X$4))+SUMIF(INDIRECT(X$3),'Struktur Aktuell'!$D198,INDIRECT(X$5)))</f>
        <v>0</v>
      </c>
      <c r="Y198" s="593">
        <f ca="1">$E198*(-SUMIF(INDIRECT(Y$3),'Struktur Aktuell'!$D198,INDIRECT(Y$4))+SUMIF(INDIRECT(Y$3),'Struktur Aktuell'!$D198,INDIRECT(Y$5)))</f>
        <v>0</v>
      </c>
      <c r="Z198" s="593">
        <f ca="1">$E198*(-SUMIF(INDIRECT(Z$3),'Struktur Aktuell'!$D198,INDIRECT(Z$4))+SUMIF(INDIRECT(Z$3),'Struktur Aktuell'!$D198,INDIRECT(Z$5)))</f>
        <v>0</v>
      </c>
      <c r="AA198" s="593">
        <f ca="1">$E198*(-SUMIF(INDIRECT(AA$3),'Struktur Aktuell'!$D198,INDIRECT(AA$4))+SUMIF(INDIRECT(AA$3),'Struktur Aktuell'!$D198,INDIRECT(AA$5)))</f>
        <v>0</v>
      </c>
      <c r="AB198" s="593">
        <f ca="1">$E198*(-SUMIF(INDIRECT(AB$3),'Struktur Aktuell'!$D198,INDIRECT(AB$4))+SUMIF(INDIRECT(AB$3),'Struktur Aktuell'!$D198,INDIRECT(AB$5)))</f>
        <v>0</v>
      </c>
      <c r="AC198" s="593">
        <f ca="1">$E198*(-SUMIF(INDIRECT(AC$3),'Struktur Aktuell'!$D198,INDIRECT(AC$4))+SUMIF(INDIRECT(AC$3),'Struktur Aktuell'!$D198,INDIRECT(AC$5)))</f>
        <v>0</v>
      </c>
      <c r="AD198" s="593">
        <f ca="1">$E198*(-SUMIF(INDIRECT(AD$3),'Struktur Aktuell'!$D198,INDIRECT(AD$4))+SUMIF(INDIRECT(AD$3),'Struktur Aktuell'!$D198,INDIRECT(AD$5)))</f>
        <v>0</v>
      </c>
      <c r="AE198" s="593">
        <f t="shared" ca="1" si="282"/>
        <v>0</v>
      </c>
      <c r="AF198" s="593">
        <f t="shared" ca="1" si="283"/>
        <v>0</v>
      </c>
      <c r="AG198" s="593">
        <f t="shared" ca="1" si="284"/>
        <v>0</v>
      </c>
      <c r="AH198" s="593">
        <f t="shared" ca="1" si="285"/>
        <v>0</v>
      </c>
      <c r="AI198" s="593">
        <f t="shared" ca="1" si="286"/>
        <v>0</v>
      </c>
      <c r="AJ198" s="593">
        <f t="shared" ca="1" si="287"/>
        <v>0</v>
      </c>
      <c r="AK198" s="593">
        <f t="shared" ca="1" si="288"/>
        <v>0</v>
      </c>
      <c r="AL198" s="593">
        <f t="shared" ca="1" si="289"/>
        <v>0</v>
      </c>
      <c r="AM198" s="593">
        <f t="shared" ca="1" si="290"/>
        <v>0</v>
      </c>
      <c r="AN198" s="593">
        <f t="shared" ca="1" si="291"/>
        <v>0</v>
      </c>
      <c r="AO198" s="593">
        <f t="shared" ca="1" si="292"/>
        <v>0</v>
      </c>
      <c r="AP198" s="593">
        <f t="shared" ca="1" si="293"/>
        <v>0</v>
      </c>
    </row>
    <row r="199" spans="1:42" s="594" customFormat="1" ht="11.25" outlineLevel="1" x14ac:dyDescent="0.2">
      <c r="A199" s="590"/>
      <c r="B199" s="591" t="str">
        <f>IF(D199&lt;&gt;"",
IF(ISERROR(MATCH(D199,'Ist Aktuell Monat 01'!A:A,0))=FALSE,INDEX('Ist Aktuell Monat 01'!B:B,MATCH(D199,'Ist Aktuell Monat 01'!A:A,0)),
IF(ISERROR(MATCH(D199,'Ist Aktuell Monat 02'!A:A,0))=FALSE,INDEX('Ist Aktuell Monat 02'!B:B,MATCH(D199,'Ist Aktuell Monat 02'!A:A,0)),
IF(ISERROR(MATCH(D199,'Ist Aktuell Monat 03'!A:A,0))=FALSE,INDEX('Ist Aktuell Monat 03'!B:B,MATCH(D199,'Ist Aktuell Monat 03'!A:A,0)),
IF(ISERROR(MATCH(D199,'Ist Aktuell Monat 04'!A:A,0))=FALSE,INDEX('Ist Aktuell Monat 04'!B:B,MATCH(D199,'Ist Aktuell Monat 04'!A:A,0)),
IF(ISERROR(MATCH(D199,'Ist Aktuell Monat 05'!A:A,0))=FALSE,INDEX('Ist Aktuell Monat 05'!B:B,MATCH(D199,'Ist Aktuell Monat 05'!A:A,0)),
IF(ISERROR(MATCH(D199,'Ist Aktuell Monat 06'!A:A,0))=FALSE,INDEX('Ist Aktuell Monat 06'!B:B,MATCH(D199,'Ist Aktuell Monat 06'!A:A,0)),
IF(ISERROR(MATCH(D199,'Ist Aktuell Monat 07'!A:A,0))=FALSE,INDEX('Ist Aktuell Monat 07'!B:B,MATCH(D199,'Ist Aktuell Monat 07'!A:A,0)),
IF(ISERROR(MATCH(D199,'Ist Aktuell Monat 08'!A:A,0))=FALSE,INDEX('Ist Aktuell Monat 08'!B:B,MATCH(D199,'Ist Aktuell Monat 08'!A:A,0)),
IF(ISERROR(MATCH(D199,'Ist Aktuell Monat 09'!A:A,0))=FALSE,INDEX('Ist Aktuell Monat 09'!B:B,MATCH(D199,'Ist Aktuell Monat 09'!A:A,0)),
IF(ISERROR(MATCH(D199,'Ist Aktuell Monat 10'!A:A,0))=FALSE,INDEX('Ist Aktuell Monat 10'!B:B,MATCH(D199,'Ist Aktuell Monat 10'!A:A,0)),
IF(ISERROR(MATCH(D199,'Ist Aktuell Monat 11'!A:A,0))=FALSE,INDEX('Ist Aktuell Monat 11'!B:B,MATCH(D199,'Ist Aktuell Monat 11'!A:A,0)),
IF(ISERROR(MATCH(D199,'Ist Aktuell Monat 12'!A:A,0))=FALSE,INDEX('Ist Aktuell Monat 12'!B:B,MATCH(D199,'Ist Aktuell Monat 12'!A:A,0)),
"{Konto unbekannt}"
)))))))))))),"")</f>
        <v/>
      </c>
      <c r="C199" s="591"/>
      <c r="D199" s="590"/>
      <c r="E199" s="592">
        <f t="shared" si="171"/>
        <v>1</v>
      </c>
      <c r="F199" s="590"/>
      <c r="G199" s="593">
        <f ca="1">$E199*(-SUMIF(INDIRECT(G$3),'Struktur Aktuell'!$D199,INDIRECT(G$4))+SUMIF(INDIRECT(G$3),'Struktur Aktuell'!$D199,INDIRECT(G$5)))</f>
        <v>0</v>
      </c>
      <c r="H199" s="593">
        <f ca="1">$E199*(-SUMIF(INDIRECT(H$3),'Struktur Aktuell'!$D199,INDIRECT(H$4))+SUMIF(INDIRECT(H$3),'Struktur Aktuell'!$D199,INDIRECT(H$5)))</f>
        <v>0</v>
      </c>
      <c r="I199" s="593">
        <f ca="1">$E199*(-SUMIF(INDIRECT(I$3),'Struktur Aktuell'!$D199,INDIRECT(I$4))+SUMIF(INDIRECT(I$3),'Struktur Aktuell'!$D199,INDIRECT(I$5)))</f>
        <v>0</v>
      </c>
      <c r="J199" s="593">
        <f ca="1">$E199*(-SUMIF(INDIRECT(J$3),'Struktur Aktuell'!$D199,INDIRECT(J$4))+SUMIF(INDIRECT(J$3),'Struktur Aktuell'!$D199,INDIRECT(J$5)))</f>
        <v>0</v>
      </c>
      <c r="K199" s="593">
        <f ca="1">$E199*(-SUMIF(INDIRECT(K$3),'Struktur Aktuell'!$D199,INDIRECT(K$4))+SUMIF(INDIRECT(K$3),'Struktur Aktuell'!$D199,INDIRECT(K$5)))</f>
        <v>0</v>
      </c>
      <c r="L199" s="593">
        <f ca="1">$E199*(-SUMIF(INDIRECT(L$3),'Struktur Aktuell'!$D199,INDIRECT(L$4))+SUMIF(INDIRECT(L$3),'Struktur Aktuell'!$D199,INDIRECT(L$5)))</f>
        <v>0</v>
      </c>
      <c r="M199" s="593">
        <f ca="1">$E199*(-SUMIF(INDIRECT(M$3),'Struktur Aktuell'!$D199,INDIRECT(M$4))+SUMIF(INDIRECT(M$3),'Struktur Aktuell'!$D199,INDIRECT(M$5)))</f>
        <v>0</v>
      </c>
      <c r="N199" s="593">
        <f ca="1">$E199*(-SUMIF(INDIRECT(N$3),'Struktur Aktuell'!$D199,INDIRECT(N$4))+SUMIF(INDIRECT(N$3),'Struktur Aktuell'!$D199,INDIRECT(N$5)))</f>
        <v>0</v>
      </c>
      <c r="O199" s="593">
        <f ca="1">$E199*(-SUMIF(INDIRECT(O$3),'Struktur Aktuell'!$D199,INDIRECT(O$4))+SUMIF(INDIRECT(O$3),'Struktur Aktuell'!$D199,INDIRECT(O$5)))</f>
        <v>0</v>
      </c>
      <c r="P199" s="593">
        <f ca="1">$E199*(-SUMIF(INDIRECT(P$3),'Struktur Aktuell'!$D199,INDIRECT(P$4))+SUMIF(INDIRECT(P$3),'Struktur Aktuell'!$D199,INDIRECT(P$5)))</f>
        <v>0</v>
      </c>
      <c r="Q199" s="593">
        <f ca="1">$E199*(-SUMIF(INDIRECT(Q$3),'Struktur Aktuell'!$D199,INDIRECT(Q$4))+SUMIF(INDIRECT(Q$3),'Struktur Aktuell'!$D199,INDIRECT(Q$5)))</f>
        <v>0</v>
      </c>
      <c r="R199" s="593">
        <f ca="1">$E199*(-SUMIF(INDIRECT(R$3),'Struktur Aktuell'!$D199,INDIRECT(R$4))+SUMIF(INDIRECT(R$3),'Struktur Aktuell'!$D199,INDIRECT(R$5)))</f>
        <v>0</v>
      </c>
      <c r="S199" s="593">
        <f ca="1">$E199*(-SUMIF(INDIRECT(S$3),'Struktur Aktuell'!$D199,INDIRECT(S$4))+SUMIF(INDIRECT(S$3),'Struktur Aktuell'!$D199,INDIRECT(S$5)))</f>
        <v>0</v>
      </c>
      <c r="T199" s="593">
        <f ca="1">$E199*(-SUMIF(INDIRECT(T$3),'Struktur Aktuell'!$D199,INDIRECT(T$4))+SUMIF(INDIRECT(T$3),'Struktur Aktuell'!$D199,INDIRECT(T$5)))</f>
        <v>0</v>
      </c>
      <c r="U199" s="593">
        <f ca="1">$E199*(-SUMIF(INDIRECT(U$3),'Struktur Aktuell'!$D199,INDIRECT(U$4))+SUMIF(INDIRECT(U$3),'Struktur Aktuell'!$D199,INDIRECT(U$5)))</f>
        <v>0</v>
      </c>
      <c r="V199" s="593">
        <f ca="1">$E199*(-SUMIF(INDIRECT(V$3),'Struktur Aktuell'!$D199,INDIRECT(V$4))+SUMIF(INDIRECT(V$3),'Struktur Aktuell'!$D199,INDIRECT(V$5)))</f>
        <v>0</v>
      </c>
      <c r="W199" s="593">
        <f ca="1">$E199*(-SUMIF(INDIRECT(W$3),'Struktur Aktuell'!$D199,INDIRECT(W$4))+SUMIF(INDIRECT(W$3),'Struktur Aktuell'!$D199,INDIRECT(W$5)))</f>
        <v>0</v>
      </c>
      <c r="X199" s="593">
        <f ca="1">$E199*(-SUMIF(INDIRECT(X$3),'Struktur Aktuell'!$D199,INDIRECT(X$4))+SUMIF(INDIRECT(X$3),'Struktur Aktuell'!$D199,INDIRECT(X$5)))</f>
        <v>0</v>
      </c>
      <c r="Y199" s="593">
        <f ca="1">$E199*(-SUMIF(INDIRECT(Y$3),'Struktur Aktuell'!$D199,INDIRECT(Y$4))+SUMIF(INDIRECT(Y$3),'Struktur Aktuell'!$D199,INDIRECT(Y$5)))</f>
        <v>0</v>
      </c>
      <c r="Z199" s="593">
        <f ca="1">$E199*(-SUMIF(INDIRECT(Z$3),'Struktur Aktuell'!$D199,INDIRECT(Z$4))+SUMIF(INDIRECT(Z$3),'Struktur Aktuell'!$D199,INDIRECT(Z$5)))</f>
        <v>0</v>
      </c>
      <c r="AA199" s="593">
        <f ca="1">$E199*(-SUMIF(INDIRECT(AA$3),'Struktur Aktuell'!$D199,INDIRECT(AA$4))+SUMIF(INDIRECT(AA$3),'Struktur Aktuell'!$D199,INDIRECT(AA$5)))</f>
        <v>0</v>
      </c>
      <c r="AB199" s="593">
        <f ca="1">$E199*(-SUMIF(INDIRECT(AB$3),'Struktur Aktuell'!$D199,INDIRECT(AB$4))+SUMIF(INDIRECT(AB$3),'Struktur Aktuell'!$D199,INDIRECT(AB$5)))</f>
        <v>0</v>
      </c>
      <c r="AC199" s="593">
        <f ca="1">$E199*(-SUMIF(INDIRECT(AC$3),'Struktur Aktuell'!$D199,INDIRECT(AC$4))+SUMIF(INDIRECT(AC$3),'Struktur Aktuell'!$D199,INDIRECT(AC$5)))</f>
        <v>0</v>
      </c>
      <c r="AD199" s="593">
        <f ca="1">$E199*(-SUMIF(INDIRECT(AD$3),'Struktur Aktuell'!$D199,INDIRECT(AD$4))+SUMIF(INDIRECT(AD$3),'Struktur Aktuell'!$D199,INDIRECT(AD$5)))</f>
        <v>0</v>
      </c>
      <c r="AE199" s="593">
        <f t="shared" ca="1" si="282"/>
        <v>0</v>
      </c>
      <c r="AF199" s="593">
        <f t="shared" ca="1" si="283"/>
        <v>0</v>
      </c>
      <c r="AG199" s="593">
        <f t="shared" ca="1" si="284"/>
        <v>0</v>
      </c>
      <c r="AH199" s="593">
        <f t="shared" ca="1" si="285"/>
        <v>0</v>
      </c>
      <c r="AI199" s="593">
        <f t="shared" ca="1" si="286"/>
        <v>0</v>
      </c>
      <c r="AJ199" s="593">
        <f t="shared" ca="1" si="287"/>
        <v>0</v>
      </c>
      <c r="AK199" s="593">
        <f t="shared" ca="1" si="288"/>
        <v>0</v>
      </c>
      <c r="AL199" s="593">
        <f t="shared" ca="1" si="289"/>
        <v>0</v>
      </c>
      <c r="AM199" s="593">
        <f t="shared" ca="1" si="290"/>
        <v>0</v>
      </c>
      <c r="AN199" s="593">
        <f t="shared" ca="1" si="291"/>
        <v>0</v>
      </c>
      <c r="AO199" s="593">
        <f t="shared" ca="1" si="292"/>
        <v>0</v>
      </c>
      <c r="AP199" s="593">
        <f t="shared" ca="1" si="293"/>
        <v>0</v>
      </c>
    </row>
    <row r="200" spans="1:42" s="594" customFormat="1" ht="11.25" outlineLevel="1" x14ac:dyDescent="0.2">
      <c r="A200" s="590" t="s">
        <v>240</v>
      </c>
      <c r="B200" s="591" t="str">
        <f>IF(D200&lt;&gt;"",
IF(ISERROR(MATCH(D200,'Ist Aktuell Monat 01'!A:A,0))=FALSE,INDEX('Ist Aktuell Monat 01'!B:B,MATCH(D200,'Ist Aktuell Monat 01'!A:A,0)),
IF(ISERROR(MATCH(D200,'Ist Aktuell Monat 02'!A:A,0))=FALSE,INDEX('Ist Aktuell Monat 02'!B:B,MATCH(D200,'Ist Aktuell Monat 02'!A:A,0)),
IF(ISERROR(MATCH(D200,'Ist Aktuell Monat 03'!A:A,0))=FALSE,INDEX('Ist Aktuell Monat 03'!B:B,MATCH(D200,'Ist Aktuell Monat 03'!A:A,0)),
IF(ISERROR(MATCH(D200,'Ist Aktuell Monat 04'!A:A,0))=FALSE,INDEX('Ist Aktuell Monat 04'!B:B,MATCH(D200,'Ist Aktuell Monat 04'!A:A,0)),
IF(ISERROR(MATCH(D200,'Ist Aktuell Monat 05'!A:A,0))=FALSE,INDEX('Ist Aktuell Monat 05'!B:B,MATCH(D200,'Ist Aktuell Monat 05'!A:A,0)),
IF(ISERROR(MATCH(D200,'Ist Aktuell Monat 06'!A:A,0))=FALSE,INDEX('Ist Aktuell Monat 06'!B:B,MATCH(D200,'Ist Aktuell Monat 06'!A:A,0)),
IF(ISERROR(MATCH(D200,'Ist Aktuell Monat 07'!A:A,0))=FALSE,INDEX('Ist Aktuell Monat 07'!B:B,MATCH(D200,'Ist Aktuell Monat 07'!A:A,0)),
IF(ISERROR(MATCH(D200,'Ist Aktuell Monat 08'!A:A,0))=FALSE,INDEX('Ist Aktuell Monat 08'!B:B,MATCH(D200,'Ist Aktuell Monat 08'!A:A,0)),
IF(ISERROR(MATCH(D200,'Ist Aktuell Monat 09'!A:A,0))=FALSE,INDEX('Ist Aktuell Monat 09'!B:B,MATCH(D200,'Ist Aktuell Monat 09'!A:A,0)),
IF(ISERROR(MATCH(D200,'Ist Aktuell Monat 10'!A:A,0))=FALSE,INDEX('Ist Aktuell Monat 10'!B:B,MATCH(D200,'Ist Aktuell Monat 10'!A:A,0)),
IF(ISERROR(MATCH(D200,'Ist Aktuell Monat 11'!A:A,0))=FALSE,INDEX('Ist Aktuell Monat 11'!B:B,MATCH(D200,'Ist Aktuell Monat 11'!A:A,0)),
IF(ISERROR(MATCH(D200,'Ist Aktuell Monat 12'!A:A,0))=FALSE,INDEX('Ist Aktuell Monat 12'!B:B,MATCH(D200,'Ist Aktuell Monat 12'!A:A,0)),
"{Konto unbekannt}"
)))))))))))),"")</f>
        <v/>
      </c>
      <c r="C200" s="591"/>
      <c r="D200" s="590"/>
      <c r="E200" s="592">
        <f t="shared" si="171"/>
        <v>1</v>
      </c>
      <c r="F200" s="590"/>
      <c r="G200" s="593">
        <f ca="1">$E200*(-SUMIF(INDIRECT(G$3),'Struktur Aktuell'!$D200,INDIRECT(G$4))+SUMIF(INDIRECT(G$3),'Struktur Aktuell'!$D200,INDIRECT(G$5)))</f>
        <v>0</v>
      </c>
      <c r="H200" s="593">
        <f ca="1">$E200*(-SUMIF(INDIRECT(H$3),'Struktur Aktuell'!$D200,INDIRECT(H$4))+SUMIF(INDIRECT(H$3),'Struktur Aktuell'!$D200,INDIRECT(H$5)))</f>
        <v>0</v>
      </c>
      <c r="I200" s="593">
        <f ca="1">$E200*(-SUMIF(INDIRECT(I$3),'Struktur Aktuell'!$D200,INDIRECT(I$4))+SUMIF(INDIRECT(I$3),'Struktur Aktuell'!$D200,INDIRECT(I$5)))</f>
        <v>0</v>
      </c>
      <c r="J200" s="593">
        <f ca="1">$E200*(-SUMIF(INDIRECT(J$3),'Struktur Aktuell'!$D200,INDIRECT(J$4))+SUMIF(INDIRECT(J$3),'Struktur Aktuell'!$D200,INDIRECT(J$5)))</f>
        <v>0</v>
      </c>
      <c r="K200" s="593">
        <f ca="1">$E200*(-SUMIF(INDIRECT(K$3),'Struktur Aktuell'!$D200,INDIRECT(K$4))+SUMIF(INDIRECT(K$3),'Struktur Aktuell'!$D200,INDIRECT(K$5)))</f>
        <v>0</v>
      </c>
      <c r="L200" s="593">
        <f ca="1">$E200*(-SUMIF(INDIRECT(L$3),'Struktur Aktuell'!$D200,INDIRECT(L$4))+SUMIF(INDIRECT(L$3),'Struktur Aktuell'!$D200,INDIRECT(L$5)))</f>
        <v>0</v>
      </c>
      <c r="M200" s="593">
        <f ca="1">$E200*(-SUMIF(INDIRECT(M$3),'Struktur Aktuell'!$D200,INDIRECT(M$4))+SUMIF(INDIRECT(M$3),'Struktur Aktuell'!$D200,INDIRECT(M$5)))</f>
        <v>0</v>
      </c>
      <c r="N200" s="593">
        <f ca="1">$E200*(-SUMIF(INDIRECT(N$3),'Struktur Aktuell'!$D200,INDIRECT(N$4))+SUMIF(INDIRECT(N$3),'Struktur Aktuell'!$D200,INDIRECT(N$5)))</f>
        <v>0</v>
      </c>
      <c r="O200" s="593">
        <f ca="1">$E200*(-SUMIF(INDIRECT(O$3),'Struktur Aktuell'!$D200,INDIRECT(O$4))+SUMIF(INDIRECT(O$3),'Struktur Aktuell'!$D200,INDIRECT(O$5)))</f>
        <v>0</v>
      </c>
      <c r="P200" s="593">
        <f ca="1">$E200*(-SUMIF(INDIRECT(P$3),'Struktur Aktuell'!$D200,INDIRECT(P$4))+SUMIF(INDIRECT(P$3),'Struktur Aktuell'!$D200,INDIRECT(P$5)))</f>
        <v>0</v>
      </c>
      <c r="Q200" s="593">
        <f ca="1">$E200*(-SUMIF(INDIRECT(Q$3),'Struktur Aktuell'!$D200,INDIRECT(Q$4))+SUMIF(INDIRECT(Q$3),'Struktur Aktuell'!$D200,INDIRECT(Q$5)))</f>
        <v>0</v>
      </c>
      <c r="R200" s="593">
        <f ca="1">$E200*(-SUMIF(INDIRECT(R$3),'Struktur Aktuell'!$D200,INDIRECT(R$4))+SUMIF(INDIRECT(R$3),'Struktur Aktuell'!$D200,INDIRECT(R$5)))</f>
        <v>0</v>
      </c>
      <c r="S200" s="593">
        <f ca="1">$E200*(-SUMIF(INDIRECT(S$3),'Struktur Aktuell'!$D200,INDIRECT(S$4))+SUMIF(INDIRECT(S$3),'Struktur Aktuell'!$D200,INDIRECT(S$5)))</f>
        <v>0</v>
      </c>
      <c r="T200" s="593">
        <f ca="1">$E200*(-SUMIF(INDIRECT(T$3),'Struktur Aktuell'!$D200,INDIRECT(T$4))+SUMIF(INDIRECT(T$3),'Struktur Aktuell'!$D200,INDIRECT(T$5)))</f>
        <v>0</v>
      </c>
      <c r="U200" s="593">
        <f ca="1">$E200*(-SUMIF(INDIRECT(U$3),'Struktur Aktuell'!$D200,INDIRECT(U$4))+SUMIF(INDIRECT(U$3),'Struktur Aktuell'!$D200,INDIRECT(U$5)))</f>
        <v>0</v>
      </c>
      <c r="V200" s="593">
        <f ca="1">$E200*(-SUMIF(INDIRECT(V$3),'Struktur Aktuell'!$D200,INDIRECT(V$4))+SUMIF(INDIRECT(V$3),'Struktur Aktuell'!$D200,INDIRECT(V$5)))</f>
        <v>0</v>
      </c>
      <c r="W200" s="593">
        <f ca="1">$E200*(-SUMIF(INDIRECT(W$3),'Struktur Aktuell'!$D200,INDIRECT(W$4))+SUMIF(INDIRECT(W$3),'Struktur Aktuell'!$D200,INDIRECT(W$5)))</f>
        <v>0</v>
      </c>
      <c r="X200" s="593">
        <f ca="1">$E200*(-SUMIF(INDIRECT(X$3),'Struktur Aktuell'!$D200,INDIRECT(X$4))+SUMIF(INDIRECT(X$3),'Struktur Aktuell'!$D200,INDIRECT(X$5)))</f>
        <v>0</v>
      </c>
      <c r="Y200" s="593">
        <f ca="1">$E200*(-SUMIF(INDIRECT(Y$3),'Struktur Aktuell'!$D200,INDIRECT(Y$4))+SUMIF(INDIRECT(Y$3),'Struktur Aktuell'!$D200,INDIRECT(Y$5)))</f>
        <v>0</v>
      </c>
      <c r="Z200" s="593">
        <f ca="1">$E200*(-SUMIF(INDIRECT(Z$3),'Struktur Aktuell'!$D200,INDIRECT(Z$4))+SUMIF(INDIRECT(Z$3),'Struktur Aktuell'!$D200,INDIRECT(Z$5)))</f>
        <v>0</v>
      </c>
      <c r="AA200" s="593">
        <f ca="1">$E200*(-SUMIF(INDIRECT(AA$3),'Struktur Aktuell'!$D200,INDIRECT(AA$4))+SUMIF(INDIRECT(AA$3),'Struktur Aktuell'!$D200,INDIRECT(AA$5)))</f>
        <v>0</v>
      </c>
      <c r="AB200" s="593">
        <f ca="1">$E200*(-SUMIF(INDIRECT(AB$3),'Struktur Aktuell'!$D200,INDIRECT(AB$4))+SUMIF(INDIRECT(AB$3),'Struktur Aktuell'!$D200,INDIRECT(AB$5)))</f>
        <v>0</v>
      </c>
      <c r="AC200" s="593">
        <f ca="1">$E200*(-SUMIF(INDIRECT(AC$3),'Struktur Aktuell'!$D200,INDIRECT(AC$4))+SUMIF(INDIRECT(AC$3),'Struktur Aktuell'!$D200,INDIRECT(AC$5)))</f>
        <v>0</v>
      </c>
      <c r="AD200" s="593">
        <f ca="1">$E200*(-SUMIF(INDIRECT(AD$3),'Struktur Aktuell'!$D200,INDIRECT(AD$4))+SUMIF(INDIRECT(AD$3),'Struktur Aktuell'!$D200,INDIRECT(AD$5)))</f>
        <v>0</v>
      </c>
      <c r="AE200" s="593">
        <f t="shared" ca="1" si="282"/>
        <v>0</v>
      </c>
      <c r="AF200" s="593">
        <f t="shared" ca="1" si="283"/>
        <v>0</v>
      </c>
      <c r="AG200" s="593">
        <f t="shared" ca="1" si="284"/>
        <v>0</v>
      </c>
      <c r="AH200" s="593">
        <f t="shared" ca="1" si="285"/>
        <v>0</v>
      </c>
      <c r="AI200" s="593">
        <f t="shared" ca="1" si="286"/>
        <v>0</v>
      </c>
      <c r="AJ200" s="593">
        <f t="shared" ca="1" si="287"/>
        <v>0</v>
      </c>
      <c r="AK200" s="593">
        <f t="shared" ca="1" si="288"/>
        <v>0</v>
      </c>
      <c r="AL200" s="593">
        <f t="shared" ca="1" si="289"/>
        <v>0</v>
      </c>
      <c r="AM200" s="593">
        <f t="shared" ca="1" si="290"/>
        <v>0</v>
      </c>
      <c r="AN200" s="593">
        <f t="shared" ca="1" si="291"/>
        <v>0</v>
      </c>
      <c r="AO200" s="593">
        <f t="shared" ca="1" si="292"/>
        <v>0</v>
      </c>
      <c r="AP200" s="593">
        <f t="shared" ca="1" si="293"/>
        <v>0</v>
      </c>
    </row>
    <row r="201" spans="1:42" s="594" customFormat="1" ht="11.25" outlineLevel="1" x14ac:dyDescent="0.2">
      <c r="A201" s="590"/>
      <c r="B201" s="591" t="str">
        <f>IF(D201&lt;&gt;"",
IF(ISERROR(MATCH(D201,'Ist Aktuell Monat 01'!A:A,0))=FALSE,INDEX('Ist Aktuell Monat 01'!B:B,MATCH(D201,'Ist Aktuell Monat 01'!A:A,0)),
IF(ISERROR(MATCH(D201,'Ist Aktuell Monat 02'!A:A,0))=FALSE,INDEX('Ist Aktuell Monat 02'!B:B,MATCH(D201,'Ist Aktuell Monat 02'!A:A,0)),
IF(ISERROR(MATCH(D201,'Ist Aktuell Monat 03'!A:A,0))=FALSE,INDEX('Ist Aktuell Monat 03'!B:B,MATCH(D201,'Ist Aktuell Monat 03'!A:A,0)),
IF(ISERROR(MATCH(D201,'Ist Aktuell Monat 04'!A:A,0))=FALSE,INDEX('Ist Aktuell Monat 04'!B:B,MATCH(D201,'Ist Aktuell Monat 04'!A:A,0)),
IF(ISERROR(MATCH(D201,'Ist Aktuell Monat 05'!A:A,0))=FALSE,INDEX('Ist Aktuell Monat 05'!B:B,MATCH(D201,'Ist Aktuell Monat 05'!A:A,0)),
IF(ISERROR(MATCH(D201,'Ist Aktuell Monat 06'!A:A,0))=FALSE,INDEX('Ist Aktuell Monat 06'!B:B,MATCH(D201,'Ist Aktuell Monat 06'!A:A,0)),
IF(ISERROR(MATCH(D201,'Ist Aktuell Monat 07'!A:A,0))=FALSE,INDEX('Ist Aktuell Monat 07'!B:B,MATCH(D201,'Ist Aktuell Monat 07'!A:A,0)),
IF(ISERROR(MATCH(D201,'Ist Aktuell Monat 08'!A:A,0))=FALSE,INDEX('Ist Aktuell Monat 08'!B:B,MATCH(D201,'Ist Aktuell Monat 08'!A:A,0)),
IF(ISERROR(MATCH(D201,'Ist Aktuell Monat 09'!A:A,0))=FALSE,INDEX('Ist Aktuell Monat 09'!B:B,MATCH(D201,'Ist Aktuell Monat 09'!A:A,0)),
IF(ISERROR(MATCH(D201,'Ist Aktuell Monat 10'!A:A,0))=FALSE,INDEX('Ist Aktuell Monat 10'!B:B,MATCH(D201,'Ist Aktuell Monat 10'!A:A,0)),
IF(ISERROR(MATCH(D201,'Ist Aktuell Monat 11'!A:A,0))=FALSE,INDEX('Ist Aktuell Monat 11'!B:B,MATCH(D201,'Ist Aktuell Monat 11'!A:A,0)),
IF(ISERROR(MATCH(D201,'Ist Aktuell Monat 12'!A:A,0))=FALSE,INDEX('Ist Aktuell Monat 12'!B:B,MATCH(D201,'Ist Aktuell Monat 12'!A:A,0)),
"{Konto unbekannt}"
)))))))))))),"")</f>
        <v/>
      </c>
      <c r="C201" s="591"/>
      <c r="D201" s="590"/>
      <c r="E201" s="592">
        <f t="shared" si="171"/>
        <v>1</v>
      </c>
      <c r="F201" s="590"/>
      <c r="G201" s="593">
        <f ca="1">$E201*(-SUMIF(INDIRECT(G$3),'Struktur Aktuell'!$D201,INDIRECT(G$4))+SUMIF(INDIRECT(G$3),'Struktur Aktuell'!$D201,INDIRECT(G$5)))</f>
        <v>0</v>
      </c>
      <c r="H201" s="593">
        <f ca="1">$E201*(-SUMIF(INDIRECT(H$3),'Struktur Aktuell'!$D201,INDIRECT(H$4))+SUMIF(INDIRECT(H$3),'Struktur Aktuell'!$D201,INDIRECT(H$5)))</f>
        <v>0</v>
      </c>
      <c r="I201" s="593">
        <f ca="1">$E201*(-SUMIF(INDIRECT(I$3),'Struktur Aktuell'!$D201,INDIRECT(I$4))+SUMIF(INDIRECT(I$3),'Struktur Aktuell'!$D201,INDIRECT(I$5)))</f>
        <v>0</v>
      </c>
      <c r="J201" s="593">
        <f ca="1">$E201*(-SUMIF(INDIRECT(J$3),'Struktur Aktuell'!$D201,INDIRECT(J$4))+SUMIF(INDIRECT(J$3),'Struktur Aktuell'!$D201,INDIRECT(J$5)))</f>
        <v>0</v>
      </c>
      <c r="K201" s="593">
        <f ca="1">$E201*(-SUMIF(INDIRECT(K$3),'Struktur Aktuell'!$D201,INDIRECT(K$4))+SUMIF(INDIRECT(K$3),'Struktur Aktuell'!$D201,INDIRECT(K$5)))</f>
        <v>0</v>
      </c>
      <c r="L201" s="593">
        <f ca="1">$E201*(-SUMIF(INDIRECT(L$3),'Struktur Aktuell'!$D201,INDIRECT(L$4))+SUMIF(INDIRECT(L$3),'Struktur Aktuell'!$D201,INDIRECT(L$5)))</f>
        <v>0</v>
      </c>
      <c r="M201" s="593">
        <f ca="1">$E201*(-SUMIF(INDIRECT(M$3),'Struktur Aktuell'!$D201,INDIRECT(M$4))+SUMIF(INDIRECT(M$3),'Struktur Aktuell'!$D201,INDIRECT(M$5)))</f>
        <v>0</v>
      </c>
      <c r="N201" s="593">
        <f ca="1">$E201*(-SUMIF(INDIRECT(N$3),'Struktur Aktuell'!$D201,INDIRECT(N$4))+SUMIF(INDIRECT(N$3),'Struktur Aktuell'!$D201,INDIRECT(N$5)))</f>
        <v>0</v>
      </c>
      <c r="O201" s="593">
        <f ca="1">$E201*(-SUMIF(INDIRECT(O$3),'Struktur Aktuell'!$D201,INDIRECT(O$4))+SUMIF(INDIRECT(O$3),'Struktur Aktuell'!$D201,INDIRECT(O$5)))</f>
        <v>0</v>
      </c>
      <c r="P201" s="593">
        <f ca="1">$E201*(-SUMIF(INDIRECT(P$3),'Struktur Aktuell'!$D201,INDIRECT(P$4))+SUMIF(INDIRECT(P$3),'Struktur Aktuell'!$D201,INDIRECT(P$5)))</f>
        <v>0</v>
      </c>
      <c r="Q201" s="593">
        <f ca="1">$E201*(-SUMIF(INDIRECT(Q$3),'Struktur Aktuell'!$D201,INDIRECT(Q$4))+SUMIF(INDIRECT(Q$3),'Struktur Aktuell'!$D201,INDIRECT(Q$5)))</f>
        <v>0</v>
      </c>
      <c r="R201" s="593">
        <f ca="1">$E201*(-SUMIF(INDIRECT(R$3),'Struktur Aktuell'!$D201,INDIRECT(R$4))+SUMIF(INDIRECT(R$3),'Struktur Aktuell'!$D201,INDIRECT(R$5)))</f>
        <v>0</v>
      </c>
      <c r="S201" s="593">
        <f ca="1">$E201*(-SUMIF(INDIRECT(S$3),'Struktur Aktuell'!$D201,INDIRECT(S$4))+SUMIF(INDIRECT(S$3),'Struktur Aktuell'!$D201,INDIRECT(S$5)))</f>
        <v>0</v>
      </c>
      <c r="T201" s="593">
        <f ca="1">$E201*(-SUMIF(INDIRECT(T$3),'Struktur Aktuell'!$D201,INDIRECT(T$4))+SUMIF(INDIRECT(T$3),'Struktur Aktuell'!$D201,INDIRECT(T$5)))</f>
        <v>0</v>
      </c>
      <c r="U201" s="593">
        <f ca="1">$E201*(-SUMIF(INDIRECT(U$3),'Struktur Aktuell'!$D201,INDIRECT(U$4))+SUMIF(INDIRECT(U$3),'Struktur Aktuell'!$D201,INDIRECT(U$5)))</f>
        <v>0</v>
      </c>
      <c r="V201" s="593">
        <f ca="1">$E201*(-SUMIF(INDIRECT(V$3),'Struktur Aktuell'!$D201,INDIRECT(V$4))+SUMIF(INDIRECT(V$3),'Struktur Aktuell'!$D201,INDIRECT(V$5)))</f>
        <v>0</v>
      </c>
      <c r="W201" s="593">
        <f ca="1">$E201*(-SUMIF(INDIRECT(W$3),'Struktur Aktuell'!$D201,INDIRECT(W$4))+SUMIF(INDIRECT(W$3),'Struktur Aktuell'!$D201,INDIRECT(W$5)))</f>
        <v>0</v>
      </c>
      <c r="X201" s="593">
        <f ca="1">$E201*(-SUMIF(INDIRECT(X$3),'Struktur Aktuell'!$D201,INDIRECT(X$4))+SUMIF(INDIRECT(X$3),'Struktur Aktuell'!$D201,INDIRECT(X$5)))</f>
        <v>0</v>
      </c>
      <c r="Y201" s="593">
        <f ca="1">$E201*(-SUMIF(INDIRECT(Y$3),'Struktur Aktuell'!$D201,INDIRECT(Y$4))+SUMIF(INDIRECT(Y$3),'Struktur Aktuell'!$D201,INDIRECT(Y$5)))</f>
        <v>0</v>
      </c>
      <c r="Z201" s="593">
        <f ca="1">$E201*(-SUMIF(INDIRECT(Z$3),'Struktur Aktuell'!$D201,INDIRECT(Z$4))+SUMIF(INDIRECT(Z$3),'Struktur Aktuell'!$D201,INDIRECT(Z$5)))</f>
        <v>0</v>
      </c>
      <c r="AA201" s="593">
        <f ca="1">$E201*(-SUMIF(INDIRECT(AA$3),'Struktur Aktuell'!$D201,INDIRECT(AA$4))+SUMIF(INDIRECT(AA$3),'Struktur Aktuell'!$D201,INDIRECT(AA$5)))</f>
        <v>0</v>
      </c>
      <c r="AB201" s="593">
        <f ca="1">$E201*(-SUMIF(INDIRECT(AB$3),'Struktur Aktuell'!$D201,INDIRECT(AB$4))+SUMIF(INDIRECT(AB$3),'Struktur Aktuell'!$D201,INDIRECT(AB$5)))</f>
        <v>0</v>
      </c>
      <c r="AC201" s="593">
        <f ca="1">$E201*(-SUMIF(INDIRECT(AC$3),'Struktur Aktuell'!$D201,INDIRECT(AC$4))+SUMIF(INDIRECT(AC$3),'Struktur Aktuell'!$D201,INDIRECT(AC$5)))</f>
        <v>0</v>
      </c>
      <c r="AD201" s="593">
        <f ca="1">$E201*(-SUMIF(INDIRECT(AD$3),'Struktur Aktuell'!$D201,INDIRECT(AD$4))+SUMIF(INDIRECT(AD$3),'Struktur Aktuell'!$D201,INDIRECT(AD$5)))</f>
        <v>0</v>
      </c>
      <c r="AE201" s="593">
        <f t="shared" ca="1" si="282"/>
        <v>0</v>
      </c>
      <c r="AF201" s="593">
        <f t="shared" ca="1" si="283"/>
        <v>0</v>
      </c>
      <c r="AG201" s="593">
        <f t="shared" ca="1" si="284"/>
        <v>0</v>
      </c>
      <c r="AH201" s="593">
        <f t="shared" ca="1" si="285"/>
        <v>0</v>
      </c>
      <c r="AI201" s="593">
        <f t="shared" ca="1" si="286"/>
        <v>0</v>
      </c>
      <c r="AJ201" s="593">
        <f t="shared" ca="1" si="287"/>
        <v>0</v>
      </c>
      <c r="AK201" s="593">
        <f t="shared" ca="1" si="288"/>
        <v>0</v>
      </c>
      <c r="AL201" s="593">
        <f t="shared" ca="1" si="289"/>
        <v>0</v>
      </c>
      <c r="AM201" s="593">
        <f t="shared" ca="1" si="290"/>
        <v>0</v>
      </c>
      <c r="AN201" s="593">
        <f t="shared" ca="1" si="291"/>
        <v>0</v>
      </c>
      <c r="AO201" s="593">
        <f t="shared" ca="1" si="292"/>
        <v>0</v>
      </c>
      <c r="AP201" s="593">
        <f t="shared" ca="1" si="293"/>
        <v>0</v>
      </c>
    </row>
    <row r="202" spans="1:42" s="594" customFormat="1" ht="11.25" outlineLevel="1" x14ac:dyDescent="0.2">
      <c r="A202" s="590"/>
      <c r="B202" s="591" t="str">
        <f>IF(D202&lt;&gt;"",
IF(ISERROR(MATCH(D202,'Ist Aktuell Monat 01'!A:A,0))=FALSE,INDEX('Ist Aktuell Monat 01'!B:B,MATCH(D202,'Ist Aktuell Monat 01'!A:A,0)),
IF(ISERROR(MATCH(D202,'Ist Aktuell Monat 02'!A:A,0))=FALSE,INDEX('Ist Aktuell Monat 02'!B:B,MATCH(D202,'Ist Aktuell Monat 02'!A:A,0)),
IF(ISERROR(MATCH(D202,'Ist Aktuell Monat 03'!A:A,0))=FALSE,INDEX('Ist Aktuell Monat 03'!B:B,MATCH(D202,'Ist Aktuell Monat 03'!A:A,0)),
IF(ISERROR(MATCH(D202,'Ist Aktuell Monat 04'!A:A,0))=FALSE,INDEX('Ist Aktuell Monat 04'!B:B,MATCH(D202,'Ist Aktuell Monat 04'!A:A,0)),
IF(ISERROR(MATCH(D202,'Ist Aktuell Monat 05'!A:A,0))=FALSE,INDEX('Ist Aktuell Monat 05'!B:B,MATCH(D202,'Ist Aktuell Monat 05'!A:A,0)),
IF(ISERROR(MATCH(D202,'Ist Aktuell Monat 06'!A:A,0))=FALSE,INDEX('Ist Aktuell Monat 06'!B:B,MATCH(D202,'Ist Aktuell Monat 06'!A:A,0)),
IF(ISERROR(MATCH(D202,'Ist Aktuell Monat 07'!A:A,0))=FALSE,INDEX('Ist Aktuell Monat 07'!B:B,MATCH(D202,'Ist Aktuell Monat 07'!A:A,0)),
IF(ISERROR(MATCH(D202,'Ist Aktuell Monat 08'!A:A,0))=FALSE,INDEX('Ist Aktuell Monat 08'!B:B,MATCH(D202,'Ist Aktuell Monat 08'!A:A,0)),
IF(ISERROR(MATCH(D202,'Ist Aktuell Monat 09'!A:A,0))=FALSE,INDEX('Ist Aktuell Monat 09'!B:B,MATCH(D202,'Ist Aktuell Monat 09'!A:A,0)),
IF(ISERROR(MATCH(D202,'Ist Aktuell Monat 10'!A:A,0))=FALSE,INDEX('Ist Aktuell Monat 10'!B:B,MATCH(D202,'Ist Aktuell Monat 10'!A:A,0)),
IF(ISERROR(MATCH(D202,'Ist Aktuell Monat 11'!A:A,0))=FALSE,INDEX('Ist Aktuell Monat 11'!B:B,MATCH(D202,'Ist Aktuell Monat 11'!A:A,0)),
IF(ISERROR(MATCH(D202,'Ist Aktuell Monat 12'!A:A,0))=FALSE,INDEX('Ist Aktuell Monat 12'!B:B,MATCH(D202,'Ist Aktuell Monat 12'!A:A,0)),
"{Konto unbekannt}"
)))))))))))),"")</f>
        <v/>
      </c>
      <c r="C202" s="591"/>
      <c r="D202" s="590"/>
      <c r="E202" s="592">
        <f t="shared" si="171"/>
        <v>1</v>
      </c>
      <c r="F202" s="590"/>
      <c r="G202" s="593">
        <f ca="1">$E202*(-SUMIF(INDIRECT(G$3),'Struktur Aktuell'!$D202,INDIRECT(G$4))+SUMIF(INDIRECT(G$3),'Struktur Aktuell'!$D202,INDIRECT(G$5)))</f>
        <v>0</v>
      </c>
      <c r="H202" s="593">
        <f ca="1">$E202*(-SUMIF(INDIRECT(H$3),'Struktur Aktuell'!$D202,INDIRECT(H$4))+SUMIF(INDIRECT(H$3),'Struktur Aktuell'!$D202,INDIRECT(H$5)))</f>
        <v>0</v>
      </c>
      <c r="I202" s="593">
        <f ca="1">$E202*(-SUMIF(INDIRECT(I$3),'Struktur Aktuell'!$D202,INDIRECT(I$4))+SUMIF(INDIRECT(I$3),'Struktur Aktuell'!$D202,INDIRECT(I$5)))</f>
        <v>0</v>
      </c>
      <c r="J202" s="593">
        <f ca="1">$E202*(-SUMIF(INDIRECT(J$3),'Struktur Aktuell'!$D202,INDIRECT(J$4))+SUMIF(INDIRECT(J$3),'Struktur Aktuell'!$D202,INDIRECT(J$5)))</f>
        <v>0</v>
      </c>
      <c r="K202" s="593">
        <f ca="1">$E202*(-SUMIF(INDIRECT(K$3),'Struktur Aktuell'!$D202,INDIRECT(K$4))+SUMIF(INDIRECT(K$3),'Struktur Aktuell'!$D202,INDIRECT(K$5)))</f>
        <v>0</v>
      </c>
      <c r="L202" s="593">
        <f ca="1">$E202*(-SUMIF(INDIRECT(L$3),'Struktur Aktuell'!$D202,INDIRECT(L$4))+SUMIF(INDIRECT(L$3),'Struktur Aktuell'!$D202,INDIRECT(L$5)))</f>
        <v>0</v>
      </c>
      <c r="M202" s="593">
        <f ca="1">$E202*(-SUMIF(INDIRECT(M$3),'Struktur Aktuell'!$D202,INDIRECT(M$4))+SUMIF(INDIRECT(M$3),'Struktur Aktuell'!$D202,INDIRECT(M$5)))</f>
        <v>0</v>
      </c>
      <c r="N202" s="593">
        <f ca="1">$E202*(-SUMIF(INDIRECT(N$3),'Struktur Aktuell'!$D202,INDIRECT(N$4))+SUMIF(INDIRECT(N$3),'Struktur Aktuell'!$D202,INDIRECT(N$5)))</f>
        <v>0</v>
      </c>
      <c r="O202" s="593">
        <f ca="1">$E202*(-SUMIF(INDIRECT(O$3),'Struktur Aktuell'!$D202,INDIRECT(O$4))+SUMIF(INDIRECT(O$3),'Struktur Aktuell'!$D202,INDIRECT(O$5)))</f>
        <v>0</v>
      </c>
      <c r="P202" s="593">
        <f ca="1">$E202*(-SUMIF(INDIRECT(P$3),'Struktur Aktuell'!$D202,INDIRECT(P$4))+SUMIF(INDIRECT(P$3),'Struktur Aktuell'!$D202,INDIRECT(P$5)))</f>
        <v>0</v>
      </c>
      <c r="Q202" s="593">
        <f ca="1">$E202*(-SUMIF(INDIRECT(Q$3),'Struktur Aktuell'!$D202,INDIRECT(Q$4))+SUMIF(INDIRECT(Q$3),'Struktur Aktuell'!$D202,INDIRECT(Q$5)))</f>
        <v>0</v>
      </c>
      <c r="R202" s="593">
        <f ca="1">$E202*(-SUMIF(INDIRECT(R$3),'Struktur Aktuell'!$D202,INDIRECT(R$4))+SUMIF(INDIRECT(R$3),'Struktur Aktuell'!$D202,INDIRECT(R$5)))</f>
        <v>0</v>
      </c>
      <c r="S202" s="593">
        <f ca="1">$E202*(-SUMIF(INDIRECT(S$3),'Struktur Aktuell'!$D202,INDIRECT(S$4))+SUMIF(INDIRECT(S$3),'Struktur Aktuell'!$D202,INDIRECT(S$5)))</f>
        <v>0</v>
      </c>
      <c r="T202" s="593">
        <f ca="1">$E202*(-SUMIF(INDIRECT(T$3),'Struktur Aktuell'!$D202,INDIRECT(T$4))+SUMIF(INDIRECT(T$3),'Struktur Aktuell'!$D202,INDIRECT(T$5)))</f>
        <v>0</v>
      </c>
      <c r="U202" s="593">
        <f ca="1">$E202*(-SUMIF(INDIRECT(U$3),'Struktur Aktuell'!$D202,INDIRECT(U$4))+SUMIF(INDIRECT(U$3),'Struktur Aktuell'!$D202,INDIRECT(U$5)))</f>
        <v>0</v>
      </c>
      <c r="V202" s="593">
        <f ca="1">$E202*(-SUMIF(INDIRECT(V$3),'Struktur Aktuell'!$D202,INDIRECT(V$4))+SUMIF(INDIRECT(V$3),'Struktur Aktuell'!$D202,INDIRECT(V$5)))</f>
        <v>0</v>
      </c>
      <c r="W202" s="593">
        <f ca="1">$E202*(-SUMIF(INDIRECT(W$3),'Struktur Aktuell'!$D202,INDIRECT(W$4))+SUMIF(INDIRECT(W$3),'Struktur Aktuell'!$D202,INDIRECT(W$5)))</f>
        <v>0</v>
      </c>
      <c r="X202" s="593">
        <f ca="1">$E202*(-SUMIF(INDIRECT(X$3),'Struktur Aktuell'!$D202,INDIRECT(X$4))+SUMIF(INDIRECT(X$3),'Struktur Aktuell'!$D202,INDIRECT(X$5)))</f>
        <v>0</v>
      </c>
      <c r="Y202" s="593">
        <f ca="1">$E202*(-SUMIF(INDIRECT(Y$3),'Struktur Aktuell'!$D202,INDIRECT(Y$4))+SUMIF(INDIRECT(Y$3),'Struktur Aktuell'!$D202,INDIRECT(Y$5)))</f>
        <v>0</v>
      </c>
      <c r="Z202" s="593">
        <f ca="1">$E202*(-SUMIF(INDIRECT(Z$3),'Struktur Aktuell'!$D202,INDIRECT(Z$4))+SUMIF(INDIRECT(Z$3),'Struktur Aktuell'!$D202,INDIRECT(Z$5)))</f>
        <v>0</v>
      </c>
      <c r="AA202" s="593">
        <f ca="1">$E202*(-SUMIF(INDIRECT(AA$3),'Struktur Aktuell'!$D202,INDIRECT(AA$4))+SUMIF(INDIRECT(AA$3),'Struktur Aktuell'!$D202,INDIRECT(AA$5)))</f>
        <v>0</v>
      </c>
      <c r="AB202" s="593">
        <f ca="1">$E202*(-SUMIF(INDIRECT(AB$3),'Struktur Aktuell'!$D202,INDIRECT(AB$4))+SUMIF(INDIRECT(AB$3),'Struktur Aktuell'!$D202,INDIRECT(AB$5)))</f>
        <v>0</v>
      </c>
      <c r="AC202" s="593">
        <f ca="1">$E202*(-SUMIF(INDIRECT(AC$3),'Struktur Aktuell'!$D202,INDIRECT(AC$4))+SUMIF(INDIRECT(AC$3),'Struktur Aktuell'!$D202,INDIRECT(AC$5)))</f>
        <v>0</v>
      </c>
      <c r="AD202" s="593">
        <f ca="1">$E202*(-SUMIF(INDIRECT(AD$3),'Struktur Aktuell'!$D202,INDIRECT(AD$4))+SUMIF(INDIRECT(AD$3),'Struktur Aktuell'!$D202,INDIRECT(AD$5)))</f>
        <v>0</v>
      </c>
      <c r="AE202" s="593">
        <f t="shared" ca="1" si="282"/>
        <v>0</v>
      </c>
      <c r="AF202" s="593">
        <f t="shared" ca="1" si="283"/>
        <v>0</v>
      </c>
      <c r="AG202" s="593">
        <f t="shared" ca="1" si="284"/>
        <v>0</v>
      </c>
      <c r="AH202" s="593">
        <f t="shared" ca="1" si="285"/>
        <v>0</v>
      </c>
      <c r="AI202" s="593">
        <f t="shared" ca="1" si="286"/>
        <v>0</v>
      </c>
      <c r="AJ202" s="593">
        <f t="shared" ca="1" si="287"/>
        <v>0</v>
      </c>
      <c r="AK202" s="593">
        <f t="shared" ca="1" si="288"/>
        <v>0</v>
      </c>
      <c r="AL202" s="593">
        <f t="shared" ca="1" si="289"/>
        <v>0</v>
      </c>
      <c r="AM202" s="593">
        <f t="shared" ca="1" si="290"/>
        <v>0</v>
      </c>
      <c r="AN202" s="593">
        <f t="shared" ca="1" si="291"/>
        <v>0</v>
      </c>
      <c r="AO202" s="593">
        <f t="shared" ca="1" si="292"/>
        <v>0</v>
      </c>
      <c r="AP202" s="593">
        <f t="shared" ca="1" si="293"/>
        <v>0</v>
      </c>
    </row>
    <row r="203" spans="1:42" s="594" customFormat="1" ht="11.25" outlineLevel="1" x14ac:dyDescent="0.2">
      <c r="A203" s="590"/>
      <c r="B203" s="591" t="str">
        <f>IF(D203&lt;&gt;"",
IF(ISERROR(MATCH(D203,'Ist Aktuell Monat 01'!A:A,0))=FALSE,INDEX('Ist Aktuell Monat 01'!B:B,MATCH(D203,'Ist Aktuell Monat 01'!A:A,0)),
IF(ISERROR(MATCH(D203,'Ist Aktuell Monat 02'!A:A,0))=FALSE,INDEX('Ist Aktuell Monat 02'!B:B,MATCH(D203,'Ist Aktuell Monat 02'!A:A,0)),
IF(ISERROR(MATCH(D203,'Ist Aktuell Monat 03'!A:A,0))=FALSE,INDEX('Ist Aktuell Monat 03'!B:B,MATCH(D203,'Ist Aktuell Monat 03'!A:A,0)),
IF(ISERROR(MATCH(D203,'Ist Aktuell Monat 04'!A:A,0))=FALSE,INDEX('Ist Aktuell Monat 04'!B:B,MATCH(D203,'Ist Aktuell Monat 04'!A:A,0)),
IF(ISERROR(MATCH(D203,'Ist Aktuell Monat 05'!A:A,0))=FALSE,INDEX('Ist Aktuell Monat 05'!B:B,MATCH(D203,'Ist Aktuell Monat 05'!A:A,0)),
IF(ISERROR(MATCH(D203,'Ist Aktuell Monat 06'!A:A,0))=FALSE,INDEX('Ist Aktuell Monat 06'!B:B,MATCH(D203,'Ist Aktuell Monat 06'!A:A,0)),
IF(ISERROR(MATCH(D203,'Ist Aktuell Monat 07'!A:A,0))=FALSE,INDEX('Ist Aktuell Monat 07'!B:B,MATCH(D203,'Ist Aktuell Monat 07'!A:A,0)),
IF(ISERROR(MATCH(D203,'Ist Aktuell Monat 08'!A:A,0))=FALSE,INDEX('Ist Aktuell Monat 08'!B:B,MATCH(D203,'Ist Aktuell Monat 08'!A:A,0)),
IF(ISERROR(MATCH(D203,'Ist Aktuell Monat 09'!A:A,0))=FALSE,INDEX('Ist Aktuell Monat 09'!B:B,MATCH(D203,'Ist Aktuell Monat 09'!A:A,0)),
IF(ISERROR(MATCH(D203,'Ist Aktuell Monat 10'!A:A,0))=FALSE,INDEX('Ist Aktuell Monat 10'!B:B,MATCH(D203,'Ist Aktuell Monat 10'!A:A,0)),
IF(ISERROR(MATCH(D203,'Ist Aktuell Monat 11'!A:A,0))=FALSE,INDEX('Ist Aktuell Monat 11'!B:B,MATCH(D203,'Ist Aktuell Monat 11'!A:A,0)),
IF(ISERROR(MATCH(D203,'Ist Aktuell Monat 12'!A:A,0))=FALSE,INDEX('Ist Aktuell Monat 12'!B:B,MATCH(D203,'Ist Aktuell Monat 12'!A:A,0)),
"{Konto unbekannt}"
)))))))))))),"")</f>
        <v/>
      </c>
      <c r="C203" s="591"/>
      <c r="D203" s="590"/>
      <c r="E203" s="592">
        <f t="shared" si="171"/>
        <v>1</v>
      </c>
      <c r="F203" s="590"/>
      <c r="G203" s="593">
        <f ca="1">$E203*(-SUMIF(INDIRECT(G$3),'Struktur Aktuell'!$D203,INDIRECT(G$4))+SUMIF(INDIRECT(G$3),'Struktur Aktuell'!$D203,INDIRECT(G$5)))</f>
        <v>0</v>
      </c>
      <c r="H203" s="593">
        <f ca="1">$E203*(-SUMIF(INDIRECT(H$3),'Struktur Aktuell'!$D203,INDIRECT(H$4))+SUMIF(INDIRECT(H$3),'Struktur Aktuell'!$D203,INDIRECT(H$5)))</f>
        <v>0</v>
      </c>
      <c r="I203" s="593">
        <f ca="1">$E203*(-SUMIF(INDIRECT(I$3),'Struktur Aktuell'!$D203,INDIRECT(I$4))+SUMIF(INDIRECT(I$3),'Struktur Aktuell'!$D203,INDIRECT(I$5)))</f>
        <v>0</v>
      </c>
      <c r="J203" s="593">
        <f ca="1">$E203*(-SUMIF(INDIRECT(J$3),'Struktur Aktuell'!$D203,INDIRECT(J$4))+SUMIF(INDIRECT(J$3),'Struktur Aktuell'!$D203,INDIRECT(J$5)))</f>
        <v>0</v>
      </c>
      <c r="K203" s="593">
        <f ca="1">$E203*(-SUMIF(INDIRECT(K$3),'Struktur Aktuell'!$D203,INDIRECT(K$4))+SUMIF(INDIRECT(K$3),'Struktur Aktuell'!$D203,INDIRECT(K$5)))</f>
        <v>0</v>
      </c>
      <c r="L203" s="593">
        <f ca="1">$E203*(-SUMIF(INDIRECT(L$3),'Struktur Aktuell'!$D203,INDIRECT(L$4))+SUMIF(INDIRECT(L$3),'Struktur Aktuell'!$D203,INDIRECT(L$5)))</f>
        <v>0</v>
      </c>
      <c r="M203" s="593">
        <f ca="1">$E203*(-SUMIF(INDIRECT(M$3),'Struktur Aktuell'!$D203,INDIRECT(M$4))+SUMIF(INDIRECT(M$3),'Struktur Aktuell'!$D203,INDIRECT(M$5)))</f>
        <v>0</v>
      </c>
      <c r="N203" s="593">
        <f ca="1">$E203*(-SUMIF(INDIRECT(N$3),'Struktur Aktuell'!$D203,INDIRECT(N$4))+SUMIF(INDIRECT(N$3),'Struktur Aktuell'!$D203,INDIRECT(N$5)))</f>
        <v>0</v>
      </c>
      <c r="O203" s="593">
        <f ca="1">$E203*(-SUMIF(INDIRECT(O$3),'Struktur Aktuell'!$D203,INDIRECT(O$4))+SUMIF(INDIRECT(O$3),'Struktur Aktuell'!$D203,INDIRECT(O$5)))</f>
        <v>0</v>
      </c>
      <c r="P203" s="593">
        <f ca="1">$E203*(-SUMIF(INDIRECT(P$3),'Struktur Aktuell'!$D203,INDIRECT(P$4))+SUMIF(INDIRECT(P$3),'Struktur Aktuell'!$D203,INDIRECT(P$5)))</f>
        <v>0</v>
      </c>
      <c r="Q203" s="593">
        <f ca="1">$E203*(-SUMIF(INDIRECT(Q$3),'Struktur Aktuell'!$D203,INDIRECT(Q$4))+SUMIF(INDIRECT(Q$3),'Struktur Aktuell'!$D203,INDIRECT(Q$5)))</f>
        <v>0</v>
      </c>
      <c r="R203" s="593">
        <f ca="1">$E203*(-SUMIF(INDIRECT(R$3),'Struktur Aktuell'!$D203,INDIRECT(R$4))+SUMIF(INDIRECT(R$3),'Struktur Aktuell'!$D203,INDIRECT(R$5)))</f>
        <v>0</v>
      </c>
      <c r="S203" s="593">
        <f ca="1">$E203*(-SUMIF(INDIRECT(S$3),'Struktur Aktuell'!$D203,INDIRECT(S$4))+SUMIF(INDIRECT(S$3),'Struktur Aktuell'!$D203,INDIRECT(S$5)))</f>
        <v>0</v>
      </c>
      <c r="T203" s="593">
        <f ca="1">$E203*(-SUMIF(INDIRECT(T$3),'Struktur Aktuell'!$D203,INDIRECT(T$4))+SUMIF(INDIRECT(T$3),'Struktur Aktuell'!$D203,INDIRECT(T$5)))</f>
        <v>0</v>
      </c>
      <c r="U203" s="593">
        <f ca="1">$E203*(-SUMIF(INDIRECT(U$3),'Struktur Aktuell'!$D203,INDIRECT(U$4))+SUMIF(INDIRECT(U$3),'Struktur Aktuell'!$D203,INDIRECT(U$5)))</f>
        <v>0</v>
      </c>
      <c r="V203" s="593">
        <f ca="1">$E203*(-SUMIF(INDIRECT(V$3),'Struktur Aktuell'!$D203,INDIRECT(V$4))+SUMIF(INDIRECT(V$3),'Struktur Aktuell'!$D203,INDIRECT(V$5)))</f>
        <v>0</v>
      </c>
      <c r="W203" s="593">
        <f ca="1">$E203*(-SUMIF(INDIRECT(W$3),'Struktur Aktuell'!$D203,INDIRECT(W$4))+SUMIF(INDIRECT(W$3),'Struktur Aktuell'!$D203,INDIRECT(W$5)))</f>
        <v>0</v>
      </c>
      <c r="X203" s="593">
        <f ca="1">$E203*(-SUMIF(INDIRECT(X$3),'Struktur Aktuell'!$D203,INDIRECT(X$4))+SUMIF(INDIRECT(X$3),'Struktur Aktuell'!$D203,INDIRECT(X$5)))</f>
        <v>0</v>
      </c>
      <c r="Y203" s="593">
        <f ca="1">$E203*(-SUMIF(INDIRECT(Y$3),'Struktur Aktuell'!$D203,INDIRECT(Y$4))+SUMIF(INDIRECT(Y$3),'Struktur Aktuell'!$D203,INDIRECT(Y$5)))</f>
        <v>0</v>
      </c>
      <c r="Z203" s="593">
        <f ca="1">$E203*(-SUMIF(INDIRECT(Z$3),'Struktur Aktuell'!$D203,INDIRECT(Z$4))+SUMIF(INDIRECT(Z$3),'Struktur Aktuell'!$D203,INDIRECT(Z$5)))</f>
        <v>0</v>
      </c>
      <c r="AA203" s="593">
        <f ca="1">$E203*(-SUMIF(INDIRECT(AA$3),'Struktur Aktuell'!$D203,INDIRECT(AA$4))+SUMIF(INDIRECT(AA$3),'Struktur Aktuell'!$D203,INDIRECT(AA$5)))</f>
        <v>0</v>
      </c>
      <c r="AB203" s="593">
        <f ca="1">$E203*(-SUMIF(INDIRECT(AB$3),'Struktur Aktuell'!$D203,INDIRECT(AB$4))+SUMIF(INDIRECT(AB$3),'Struktur Aktuell'!$D203,INDIRECT(AB$5)))</f>
        <v>0</v>
      </c>
      <c r="AC203" s="593">
        <f ca="1">$E203*(-SUMIF(INDIRECT(AC$3),'Struktur Aktuell'!$D203,INDIRECT(AC$4))+SUMIF(INDIRECT(AC$3),'Struktur Aktuell'!$D203,INDIRECT(AC$5)))</f>
        <v>0</v>
      </c>
      <c r="AD203" s="593">
        <f ca="1">$E203*(-SUMIF(INDIRECT(AD$3),'Struktur Aktuell'!$D203,INDIRECT(AD$4))+SUMIF(INDIRECT(AD$3),'Struktur Aktuell'!$D203,INDIRECT(AD$5)))</f>
        <v>0</v>
      </c>
      <c r="AE203" s="593">
        <f t="shared" ca="1" si="282"/>
        <v>0</v>
      </c>
      <c r="AF203" s="593">
        <f t="shared" ca="1" si="283"/>
        <v>0</v>
      </c>
      <c r="AG203" s="593">
        <f t="shared" ca="1" si="284"/>
        <v>0</v>
      </c>
      <c r="AH203" s="593">
        <f t="shared" ca="1" si="285"/>
        <v>0</v>
      </c>
      <c r="AI203" s="593">
        <f t="shared" ca="1" si="286"/>
        <v>0</v>
      </c>
      <c r="AJ203" s="593">
        <f t="shared" ca="1" si="287"/>
        <v>0</v>
      </c>
      <c r="AK203" s="593">
        <f t="shared" ca="1" si="288"/>
        <v>0</v>
      </c>
      <c r="AL203" s="593">
        <f t="shared" ca="1" si="289"/>
        <v>0</v>
      </c>
      <c r="AM203" s="593">
        <f t="shared" ca="1" si="290"/>
        <v>0</v>
      </c>
      <c r="AN203" s="593">
        <f t="shared" ca="1" si="291"/>
        <v>0</v>
      </c>
      <c r="AO203" s="593">
        <f t="shared" ca="1" si="292"/>
        <v>0</v>
      </c>
      <c r="AP203" s="593">
        <f t="shared" ca="1" si="293"/>
        <v>0</v>
      </c>
    </row>
    <row r="204" spans="1:42" s="594" customFormat="1" ht="11.25" outlineLevel="1" x14ac:dyDescent="0.2">
      <c r="A204" s="590"/>
      <c r="B204" s="591" t="str">
        <f>IF(D204&lt;&gt;"",
IF(ISERROR(MATCH(D204,'Ist Aktuell Monat 01'!A:A,0))=FALSE,INDEX('Ist Aktuell Monat 01'!B:B,MATCH(D204,'Ist Aktuell Monat 01'!A:A,0)),
IF(ISERROR(MATCH(D204,'Ist Aktuell Monat 02'!A:A,0))=FALSE,INDEX('Ist Aktuell Monat 02'!B:B,MATCH(D204,'Ist Aktuell Monat 02'!A:A,0)),
IF(ISERROR(MATCH(D204,'Ist Aktuell Monat 03'!A:A,0))=FALSE,INDEX('Ist Aktuell Monat 03'!B:B,MATCH(D204,'Ist Aktuell Monat 03'!A:A,0)),
IF(ISERROR(MATCH(D204,'Ist Aktuell Monat 04'!A:A,0))=FALSE,INDEX('Ist Aktuell Monat 04'!B:B,MATCH(D204,'Ist Aktuell Monat 04'!A:A,0)),
IF(ISERROR(MATCH(D204,'Ist Aktuell Monat 05'!A:A,0))=FALSE,INDEX('Ist Aktuell Monat 05'!B:B,MATCH(D204,'Ist Aktuell Monat 05'!A:A,0)),
IF(ISERROR(MATCH(D204,'Ist Aktuell Monat 06'!A:A,0))=FALSE,INDEX('Ist Aktuell Monat 06'!B:B,MATCH(D204,'Ist Aktuell Monat 06'!A:A,0)),
IF(ISERROR(MATCH(D204,'Ist Aktuell Monat 07'!A:A,0))=FALSE,INDEX('Ist Aktuell Monat 07'!B:B,MATCH(D204,'Ist Aktuell Monat 07'!A:A,0)),
IF(ISERROR(MATCH(D204,'Ist Aktuell Monat 08'!A:A,0))=FALSE,INDEX('Ist Aktuell Monat 08'!B:B,MATCH(D204,'Ist Aktuell Monat 08'!A:A,0)),
IF(ISERROR(MATCH(D204,'Ist Aktuell Monat 09'!A:A,0))=FALSE,INDEX('Ist Aktuell Monat 09'!B:B,MATCH(D204,'Ist Aktuell Monat 09'!A:A,0)),
IF(ISERROR(MATCH(D204,'Ist Aktuell Monat 10'!A:A,0))=FALSE,INDEX('Ist Aktuell Monat 10'!B:B,MATCH(D204,'Ist Aktuell Monat 10'!A:A,0)),
IF(ISERROR(MATCH(D204,'Ist Aktuell Monat 11'!A:A,0))=FALSE,INDEX('Ist Aktuell Monat 11'!B:B,MATCH(D204,'Ist Aktuell Monat 11'!A:A,0)),
IF(ISERROR(MATCH(D204,'Ist Aktuell Monat 12'!A:A,0))=FALSE,INDEX('Ist Aktuell Monat 12'!B:B,MATCH(D204,'Ist Aktuell Monat 12'!A:A,0)),
"{Konto unbekannt}"
)))))))))))),"")</f>
        <v/>
      </c>
      <c r="C204" s="591"/>
      <c r="D204" s="590"/>
      <c r="E204" s="592">
        <f t="shared" si="171"/>
        <v>1</v>
      </c>
      <c r="F204" s="590"/>
      <c r="G204" s="593">
        <f ca="1">$E204*(-SUMIF(INDIRECT(G$3),'Struktur Aktuell'!$D204,INDIRECT(G$4))+SUMIF(INDIRECT(G$3),'Struktur Aktuell'!$D204,INDIRECT(G$5)))</f>
        <v>0</v>
      </c>
      <c r="H204" s="593">
        <f ca="1">$E204*(-SUMIF(INDIRECT(H$3),'Struktur Aktuell'!$D204,INDIRECT(H$4))+SUMIF(INDIRECT(H$3),'Struktur Aktuell'!$D204,INDIRECT(H$5)))</f>
        <v>0</v>
      </c>
      <c r="I204" s="593">
        <f ca="1">$E204*(-SUMIF(INDIRECT(I$3),'Struktur Aktuell'!$D204,INDIRECT(I$4))+SUMIF(INDIRECT(I$3),'Struktur Aktuell'!$D204,INDIRECT(I$5)))</f>
        <v>0</v>
      </c>
      <c r="J204" s="593">
        <f ca="1">$E204*(-SUMIF(INDIRECT(J$3),'Struktur Aktuell'!$D204,INDIRECT(J$4))+SUMIF(INDIRECT(J$3),'Struktur Aktuell'!$D204,INDIRECT(J$5)))</f>
        <v>0</v>
      </c>
      <c r="K204" s="593">
        <f ca="1">$E204*(-SUMIF(INDIRECT(K$3),'Struktur Aktuell'!$D204,INDIRECT(K$4))+SUMIF(INDIRECT(K$3),'Struktur Aktuell'!$D204,INDIRECT(K$5)))</f>
        <v>0</v>
      </c>
      <c r="L204" s="593">
        <f ca="1">$E204*(-SUMIF(INDIRECT(L$3),'Struktur Aktuell'!$D204,INDIRECT(L$4))+SUMIF(INDIRECT(L$3),'Struktur Aktuell'!$D204,INDIRECT(L$5)))</f>
        <v>0</v>
      </c>
      <c r="M204" s="593">
        <f ca="1">$E204*(-SUMIF(INDIRECT(M$3),'Struktur Aktuell'!$D204,INDIRECT(M$4))+SUMIF(INDIRECT(M$3),'Struktur Aktuell'!$D204,INDIRECT(M$5)))</f>
        <v>0</v>
      </c>
      <c r="N204" s="593">
        <f ca="1">$E204*(-SUMIF(INDIRECT(N$3),'Struktur Aktuell'!$D204,INDIRECT(N$4))+SUMIF(INDIRECT(N$3),'Struktur Aktuell'!$D204,INDIRECT(N$5)))</f>
        <v>0</v>
      </c>
      <c r="O204" s="593">
        <f ca="1">$E204*(-SUMIF(INDIRECT(O$3),'Struktur Aktuell'!$D204,INDIRECT(O$4))+SUMIF(INDIRECT(O$3),'Struktur Aktuell'!$D204,INDIRECT(O$5)))</f>
        <v>0</v>
      </c>
      <c r="P204" s="593">
        <f ca="1">$E204*(-SUMIF(INDIRECT(P$3),'Struktur Aktuell'!$D204,INDIRECT(P$4))+SUMIF(INDIRECT(P$3),'Struktur Aktuell'!$D204,INDIRECT(P$5)))</f>
        <v>0</v>
      </c>
      <c r="Q204" s="593">
        <f ca="1">$E204*(-SUMIF(INDIRECT(Q$3),'Struktur Aktuell'!$D204,INDIRECT(Q$4))+SUMIF(INDIRECT(Q$3),'Struktur Aktuell'!$D204,INDIRECT(Q$5)))</f>
        <v>0</v>
      </c>
      <c r="R204" s="593">
        <f ca="1">$E204*(-SUMIF(INDIRECT(R$3),'Struktur Aktuell'!$D204,INDIRECT(R$4))+SUMIF(INDIRECT(R$3),'Struktur Aktuell'!$D204,INDIRECT(R$5)))</f>
        <v>0</v>
      </c>
      <c r="S204" s="593">
        <f ca="1">$E204*(-SUMIF(INDIRECT(S$3),'Struktur Aktuell'!$D204,INDIRECT(S$4))+SUMIF(INDIRECT(S$3),'Struktur Aktuell'!$D204,INDIRECT(S$5)))</f>
        <v>0</v>
      </c>
      <c r="T204" s="593">
        <f ca="1">$E204*(-SUMIF(INDIRECT(T$3),'Struktur Aktuell'!$D204,INDIRECT(T$4))+SUMIF(INDIRECT(T$3),'Struktur Aktuell'!$D204,INDIRECT(T$5)))</f>
        <v>0</v>
      </c>
      <c r="U204" s="593">
        <f ca="1">$E204*(-SUMIF(INDIRECT(U$3),'Struktur Aktuell'!$D204,INDIRECT(U$4))+SUMIF(INDIRECT(U$3),'Struktur Aktuell'!$D204,INDIRECT(U$5)))</f>
        <v>0</v>
      </c>
      <c r="V204" s="593">
        <f ca="1">$E204*(-SUMIF(INDIRECT(V$3),'Struktur Aktuell'!$D204,INDIRECT(V$4))+SUMIF(INDIRECT(V$3),'Struktur Aktuell'!$D204,INDIRECT(V$5)))</f>
        <v>0</v>
      </c>
      <c r="W204" s="593">
        <f ca="1">$E204*(-SUMIF(INDIRECT(W$3),'Struktur Aktuell'!$D204,INDIRECT(W$4))+SUMIF(INDIRECT(W$3),'Struktur Aktuell'!$D204,INDIRECT(W$5)))</f>
        <v>0</v>
      </c>
      <c r="X204" s="593">
        <f ca="1">$E204*(-SUMIF(INDIRECT(X$3),'Struktur Aktuell'!$D204,INDIRECT(X$4))+SUMIF(INDIRECT(X$3),'Struktur Aktuell'!$D204,INDIRECT(X$5)))</f>
        <v>0</v>
      </c>
      <c r="Y204" s="593">
        <f ca="1">$E204*(-SUMIF(INDIRECT(Y$3),'Struktur Aktuell'!$D204,INDIRECT(Y$4))+SUMIF(INDIRECT(Y$3),'Struktur Aktuell'!$D204,INDIRECT(Y$5)))</f>
        <v>0</v>
      </c>
      <c r="Z204" s="593">
        <f ca="1">$E204*(-SUMIF(INDIRECT(Z$3),'Struktur Aktuell'!$D204,INDIRECT(Z$4))+SUMIF(INDIRECT(Z$3),'Struktur Aktuell'!$D204,INDIRECT(Z$5)))</f>
        <v>0</v>
      </c>
      <c r="AA204" s="593">
        <f ca="1">$E204*(-SUMIF(INDIRECT(AA$3),'Struktur Aktuell'!$D204,INDIRECT(AA$4))+SUMIF(INDIRECT(AA$3),'Struktur Aktuell'!$D204,INDIRECT(AA$5)))</f>
        <v>0</v>
      </c>
      <c r="AB204" s="593">
        <f ca="1">$E204*(-SUMIF(INDIRECT(AB$3),'Struktur Aktuell'!$D204,INDIRECT(AB$4))+SUMIF(INDIRECT(AB$3),'Struktur Aktuell'!$D204,INDIRECT(AB$5)))</f>
        <v>0</v>
      </c>
      <c r="AC204" s="593">
        <f ca="1">$E204*(-SUMIF(INDIRECT(AC$3),'Struktur Aktuell'!$D204,INDIRECT(AC$4))+SUMIF(INDIRECT(AC$3),'Struktur Aktuell'!$D204,INDIRECT(AC$5)))</f>
        <v>0</v>
      </c>
      <c r="AD204" s="593">
        <f ca="1">$E204*(-SUMIF(INDIRECT(AD$3),'Struktur Aktuell'!$D204,INDIRECT(AD$4))+SUMIF(INDIRECT(AD$3),'Struktur Aktuell'!$D204,INDIRECT(AD$5)))</f>
        <v>0</v>
      </c>
      <c r="AE204" s="593">
        <f t="shared" ca="1" si="282"/>
        <v>0</v>
      </c>
      <c r="AF204" s="593">
        <f t="shared" ca="1" si="283"/>
        <v>0</v>
      </c>
      <c r="AG204" s="593">
        <f t="shared" ca="1" si="284"/>
        <v>0</v>
      </c>
      <c r="AH204" s="593">
        <f t="shared" ca="1" si="285"/>
        <v>0</v>
      </c>
      <c r="AI204" s="593">
        <f t="shared" ca="1" si="286"/>
        <v>0</v>
      </c>
      <c r="AJ204" s="593">
        <f t="shared" ca="1" si="287"/>
        <v>0</v>
      </c>
      <c r="AK204" s="593">
        <f t="shared" ca="1" si="288"/>
        <v>0</v>
      </c>
      <c r="AL204" s="593">
        <f t="shared" ca="1" si="289"/>
        <v>0</v>
      </c>
      <c r="AM204" s="593">
        <f t="shared" ca="1" si="290"/>
        <v>0</v>
      </c>
      <c r="AN204" s="593">
        <f t="shared" ca="1" si="291"/>
        <v>0</v>
      </c>
      <c r="AO204" s="593">
        <f t="shared" ca="1" si="292"/>
        <v>0</v>
      </c>
      <c r="AP204" s="593">
        <f t="shared" ca="1" si="293"/>
        <v>0</v>
      </c>
    </row>
    <row r="205" spans="1:42" s="594" customFormat="1" ht="11.25" outlineLevel="1" x14ac:dyDescent="0.2">
      <c r="A205" s="590"/>
      <c r="B205" s="591" t="str">
        <f>IF(D205&lt;&gt;"",
IF(ISERROR(MATCH(D205,'Ist Aktuell Monat 01'!A:A,0))=FALSE,INDEX('Ist Aktuell Monat 01'!B:B,MATCH(D205,'Ist Aktuell Monat 01'!A:A,0)),
IF(ISERROR(MATCH(D205,'Ist Aktuell Monat 02'!A:A,0))=FALSE,INDEX('Ist Aktuell Monat 02'!B:B,MATCH(D205,'Ist Aktuell Monat 02'!A:A,0)),
IF(ISERROR(MATCH(D205,'Ist Aktuell Monat 03'!A:A,0))=FALSE,INDEX('Ist Aktuell Monat 03'!B:B,MATCH(D205,'Ist Aktuell Monat 03'!A:A,0)),
IF(ISERROR(MATCH(D205,'Ist Aktuell Monat 04'!A:A,0))=FALSE,INDEX('Ist Aktuell Monat 04'!B:B,MATCH(D205,'Ist Aktuell Monat 04'!A:A,0)),
IF(ISERROR(MATCH(D205,'Ist Aktuell Monat 05'!A:A,0))=FALSE,INDEX('Ist Aktuell Monat 05'!B:B,MATCH(D205,'Ist Aktuell Monat 05'!A:A,0)),
IF(ISERROR(MATCH(D205,'Ist Aktuell Monat 06'!A:A,0))=FALSE,INDEX('Ist Aktuell Monat 06'!B:B,MATCH(D205,'Ist Aktuell Monat 06'!A:A,0)),
IF(ISERROR(MATCH(D205,'Ist Aktuell Monat 07'!A:A,0))=FALSE,INDEX('Ist Aktuell Monat 07'!B:B,MATCH(D205,'Ist Aktuell Monat 07'!A:A,0)),
IF(ISERROR(MATCH(D205,'Ist Aktuell Monat 08'!A:A,0))=FALSE,INDEX('Ist Aktuell Monat 08'!B:B,MATCH(D205,'Ist Aktuell Monat 08'!A:A,0)),
IF(ISERROR(MATCH(D205,'Ist Aktuell Monat 09'!A:A,0))=FALSE,INDEX('Ist Aktuell Monat 09'!B:B,MATCH(D205,'Ist Aktuell Monat 09'!A:A,0)),
IF(ISERROR(MATCH(D205,'Ist Aktuell Monat 10'!A:A,0))=FALSE,INDEX('Ist Aktuell Monat 10'!B:B,MATCH(D205,'Ist Aktuell Monat 10'!A:A,0)),
IF(ISERROR(MATCH(D205,'Ist Aktuell Monat 11'!A:A,0))=FALSE,INDEX('Ist Aktuell Monat 11'!B:B,MATCH(D205,'Ist Aktuell Monat 11'!A:A,0)),
IF(ISERROR(MATCH(D205,'Ist Aktuell Monat 12'!A:A,0))=FALSE,INDEX('Ist Aktuell Monat 12'!B:B,MATCH(D205,'Ist Aktuell Monat 12'!A:A,0)),
"{Konto unbekannt}"
)))))))))))),"")</f>
        <v/>
      </c>
      <c r="C205" s="591"/>
      <c r="D205" s="590"/>
      <c r="E205" s="592">
        <f t="shared" si="171"/>
        <v>1</v>
      </c>
      <c r="F205" s="590"/>
      <c r="G205" s="593">
        <f ca="1">$E205*(-SUMIF(INDIRECT(G$3),'Struktur Aktuell'!$D205,INDIRECT(G$4))+SUMIF(INDIRECT(G$3),'Struktur Aktuell'!$D205,INDIRECT(G$5)))</f>
        <v>0</v>
      </c>
      <c r="H205" s="593">
        <f ca="1">$E205*(-SUMIF(INDIRECT(H$3),'Struktur Aktuell'!$D205,INDIRECT(H$4))+SUMIF(INDIRECT(H$3),'Struktur Aktuell'!$D205,INDIRECT(H$5)))</f>
        <v>0</v>
      </c>
      <c r="I205" s="593">
        <f ca="1">$E205*(-SUMIF(INDIRECT(I$3),'Struktur Aktuell'!$D205,INDIRECT(I$4))+SUMIF(INDIRECT(I$3),'Struktur Aktuell'!$D205,INDIRECT(I$5)))</f>
        <v>0</v>
      </c>
      <c r="J205" s="593">
        <f ca="1">$E205*(-SUMIF(INDIRECT(J$3),'Struktur Aktuell'!$D205,INDIRECT(J$4))+SUMIF(INDIRECT(J$3),'Struktur Aktuell'!$D205,INDIRECT(J$5)))</f>
        <v>0</v>
      </c>
      <c r="K205" s="593">
        <f ca="1">$E205*(-SUMIF(INDIRECT(K$3),'Struktur Aktuell'!$D205,INDIRECT(K$4))+SUMIF(INDIRECT(K$3),'Struktur Aktuell'!$D205,INDIRECT(K$5)))</f>
        <v>0</v>
      </c>
      <c r="L205" s="593">
        <f ca="1">$E205*(-SUMIF(INDIRECT(L$3),'Struktur Aktuell'!$D205,INDIRECT(L$4))+SUMIF(INDIRECT(L$3),'Struktur Aktuell'!$D205,INDIRECT(L$5)))</f>
        <v>0</v>
      </c>
      <c r="M205" s="593">
        <f ca="1">$E205*(-SUMIF(INDIRECT(M$3),'Struktur Aktuell'!$D205,INDIRECT(M$4))+SUMIF(INDIRECT(M$3),'Struktur Aktuell'!$D205,INDIRECT(M$5)))</f>
        <v>0</v>
      </c>
      <c r="N205" s="593">
        <f ca="1">$E205*(-SUMIF(INDIRECT(N$3),'Struktur Aktuell'!$D205,INDIRECT(N$4))+SUMIF(INDIRECT(N$3),'Struktur Aktuell'!$D205,INDIRECT(N$5)))</f>
        <v>0</v>
      </c>
      <c r="O205" s="593">
        <f ca="1">$E205*(-SUMIF(INDIRECT(O$3),'Struktur Aktuell'!$D205,INDIRECT(O$4))+SUMIF(INDIRECT(O$3),'Struktur Aktuell'!$D205,INDIRECT(O$5)))</f>
        <v>0</v>
      </c>
      <c r="P205" s="593">
        <f ca="1">$E205*(-SUMIF(INDIRECT(P$3),'Struktur Aktuell'!$D205,INDIRECT(P$4))+SUMIF(INDIRECT(P$3),'Struktur Aktuell'!$D205,INDIRECT(P$5)))</f>
        <v>0</v>
      </c>
      <c r="Q205" s="593">
        <f ca="1">$E205*(-SUMIF(INDIRECT(Q$3),'Struktur Aktuell'!$D205,INDIRECT(Q$4))+SUMIF(INDIRECT(Q$3),'Struktur Aktuell'!$D205,INDIRECT(Q$5)))</f>
        <v>0</v>
      </c>
      <c r="R205" s="593">
        <f ca="1">$E205*(-SUMIF(INDIRECT(R$3),'Struktur Aktuell'!$D205,INDIRECT(R$4))+SUMIF(INDIRECT(R$3),'Struktur Aktuell'!$D205,INDIRECT(R$5)))</f>
        <v>0</v>
      </c>
      <c r="S205" s="593">
        <f ca="1">$E205*(-SUMIF(INDIRECT(S$3),'Struktur Aktuell'!$D205,INDIRECT(S$4))+SUMIF(INDIRECT(S$3),'Struktur Aktuell'!$D205,INDIRECT(S$5)))</f>
        <v>0</v>
      </c>
      <c r="T205" s="593">
        <f ca="1">$E205*(-SUMIF(INDIRECT(T$3),'Struktur Aktuell'!$D205,INDIRECT(T$4))+SUMIF(INDIRECT(T$3),'Struktur Aktuell'!$D205,INDIRECT(T$5)))</f>
        <v>0</v>
      </c>
      <c r="U205" s="593">
        <f ca="1">$E205*(-SUMIF(INDIRECT(U$3),'Struktur Aktuell'!$D205,INDIRECT(U$4))+SUMIF(INDIRECT(U$3),'Struktur Aktuell'!$D205,INDIRECT(U$5)))</f>
        <v>0</v>
      </c>
      <c r="V205" s="593">
        <f ca="1">$E205*(-SUMIF(INDIRECT(V$3),'Struktur Aktuell'!$D205,INDIRECT(V$4))+SUMIF(INDIRECT(V$3),'Struktur Aktuell'!$D205,INDIRECT(V$5)))</f>
        <v>0</v>
      </c>
      <c r="W205" s="593">
        <f ca="1">$E205*(-SUMIF(INDIRECT(W$3),'Struktur Aktuell'!$D205,INDIRECT(W$4))+SUMIF(INDIRECT(W$3),'Struktur Aktuell'!$D205,INDIRECT(W$5)))</f>
        <v>0</v>
      </c>
      <c r="X205" s="593">
        <f ca="1">$E205*(-SUMIF(INDIRECT(X$3),'Struktur Aktuell'!$D205,INDIRECT(X$4))+SUMIF(INDIRECT(X$3),'Struktur Aktuell'!$D205,INDIRECT(X$5)))</f>
        <v>0</v>
      </c>
      <c r="Y205" s="593">
        <f ca="1">$E205*(-SUMIF(INDIRECT(Y$3),'Struktur Aktuell'!$D205,INDIRECT(Y$4))+SUMIF(INDIRECT(Y$3),'Struktur Aktuell'!$D205,INDIRECT(Y$5)))</f>
        <v>0</v>
      </c>
      <c r="Z205" s="593">
        <f ca="1">$E205*(-SUMIF(INDIRECT(Z$3),'Struktur Aktuell'!$D205,INDIRECT(Z$4))+SUMIF(INDIRECT(Z$3),'Struktur Aktuell'!$D205,INDIRECT(Z$5)))</f>
        <v>0</v>
      </c>
      <c r="AA205" s="593">
        <f ca="1">$E205*(-SUMIF(INDIRECT(AA$3),'Struktur Aktuell'!$D205,INDIRECT(AA$4))+SUMIF(INDIRECT(AA$3),'Struktur Aktuell'!$D205,INDIRECT(AA$5)))</f>
        <v>0</v>
      </c>
      <c r="AB205" s="593">
        <f ca="1">$E205*(-SUMIF(INDIRECT(AB$3),'Struktur Aktuell'!$D205,INDIRECT(AB$4))+SUMIF(INDIRECT(AB$3),'Struktur Aktuell'!$D205,INDIRECT(AB$5)))</f>
        <v>0</v>
      </c>
      <c r="AC205" s="593">
        <f ca="1">$E205*(-SUMIF(INDIRECT(AC$3),'Struktur Aktuell'!$D205,INDIRECT(AC$4))+SUMIF(INDIRECT(AC$3),'Struktur Aktuell'!$D205,INDIRECT(AC$5)))</f>
        <v>0</v>
      </c>
      <c r="AD205" s="593">
        <f ca="1">$E205*(-SUMIF(INDIRECT(AD$3),'Struktur Aktuell'!$D205,INDIRECT(AD$4))+SUMIF(INDIRECT(AD$3),'Struktur Aktuell'!$D205,INDIRECT(AD$5)))</f>
        <v>0</v>
      </c>
      <c r="AE205" s="593">
        <f t="shared" ca="1" si="282"/>
        <v>0</v>
      </c>
      <c r="AF205" s="593">
        <f t="shared" ca="1" si="283"/>
        <v>0</v>
      </c>
      <c r="AG205" s="593">
        <f t="shared" ca="1" si="284"/>
        <v>0</v>
      </c>
      <c r="AH205" s="593">
        <f t="shared" ca="1" si="285"/>
        <v>0</v>
      </c>
      <c r="AI205" s="593">
        <f t="shared" ca="1" si="286"/>
        <v>0</v>
      </c>
      <c r="AJ205" s="593">
        <f t="shared" ca="1" si="287"/>
        <v>0</v>
      </c>
      <c r="AK205" s="593">
        <f t="shared" ca="1" si="288"/>
        <v>0</v>
      </c>
      <c r="AL205" s="593">
        <f t="shared" ca="1" si="289"/>
        <v>0</v>
      </c>
      <c r="AM205" s="593">
        <f t="shared" ca="1" si="290"/>
        <v>0</v>
      </c>
      <c r="AN205" s="593">
        <f t="shared" ca="1" si="291"/>
        <v>0</v>
      </c>
      <c r="AO205" s="593">
        <f t="shared" ca="1" si="292"/>
        <v>0</v>
      </c>
      <c r="AP205" s="593">
        <f t="shared" ca="1" si="293"/>
        <v>0</v>
      </c>
    </row>
    <row r="206" spans="1:42" s="594" customFormat="1" ht="11.25" outlineLevel="1" x14ac:dyDescent="0.2">
      <c r="A206" s="590"/>
      <c r="B206" s="591" t="str">
        <f>IF(D206&lt;&gt;"",
IF(ISERROR(MATCH(D206,'Ist Aktuell Monat 01'!A:A,0))=FALSE,INDEX('Ist Aktuell Monat 01'!B:B,MATCH(D206,'Ist Aktuell Monat 01'!A:A,0)),
IF(ISERROR(MATCH(D206,'Ist Aktuell Monat 02'!A:A,0))=FALSE,INDEX('Ist Aktuell Monat 02'!B:B,MATCH(D206,'Ist Aktuell Monat 02'!A:A,0)),
IF(ISERROR(MATCH(D206,'Ist Aktuell Monat 03'!A:A,0))=FALSE,INDEX('Ist Aktuell Monat 03'!B:B,MATCH(D206,'Ist Aktuell Monat 03'!A:A,0)),
IF(ISERROR(MATCH(D206,'Ist Aktuell Monat 04'!A:A,0))=FALSE,INDEX('Ist Aktuell Monat 04'!B:B,MATCH(D206,'Ist Aktuell Monat 04'!A:A,0)),
IF(ISERROR(MATCH(D206,'Ist Aktuell Monat 05'!A:A,0))=FALSE,INDEX('Ist Aktuell Monat 05'!B:B,MATCH(D206,'Ist Aktuell Monat 05'!A:A,0)),
IF(ISERROR(MATCH(D206,'Ist Aktuell Monat 06'!A:A,0))=FALSE,INDEX('Ist Aktuell Monat 06'!B:B,MATCH(D206,'Ist Aktuell Monat 06'!A:A,0)),
IF(ISERROR(MATCH(D206,'Ist Aktuell Monat 07'!A:A,0))=FALSE,INDEX('Ist Aktuell Monat 07'!B:B,MATCH(D206,'Ist Aktuell Monat 07'!A:A,0)),
IF(ISERROR(MATCH(D206,'Ist Aktuell Monat 08'!A:A,0))=FALSE,INDEX('Ist Aktuell Monat 08'!B:B,MATCH(D206,'Ist Aktuell Monat 08'!A:A,0)),
IF(ISERROR(MATCH(D206,'Ist Aktuell Monat 09'!A:A,0))=FALSE,INDEX('Ist Aktuell Monat 09'!B:B,MATCH(D206,'Ist Aktuell Monat 09'!A:A,0)),
IF(ISERROR(MATCH(D206,'Ist Aktuell Monat 10'!A:A,0))=FALSE,INDEX('Ist Aktuell Monat 10'!B:B,MATCH(D206,'Ist Aktuell Monat 10'!A:A,0)),
IF(ISERROR(MATCH(D206,'Ist Aktuell Monat 11'!A:A,0))=FALSE,INDEX('Ist Aktuell Monat 11'!B:B,MATCH(D206,'Ist Aktuell Monat 11'!A:A,0)),
IF(ISERROR(MATCH(D206,'Ist Aktuell Monat 12'!A:A,0))=FALSE,INDEX('Ist Aktuell Monat 12'!B:B,MATCH(D206,'Ist Aktuell Monat 12'!A:A,0)),
"{Konto unbekannt}"
)))))))))))),"")</f>
        <v/>
      </c>
      <c r="C206" s="591"/>
      <c r="D206" s="590"/>
      <c r="E206" s="592">
        <f t="shared" si="171"/>
        <v>1</v>
      </c>
      <c r="F206" s="590"/>
      <c r="G206" s="593">
        <f ca="1">$E206*(-SUMIF(INDIRECT(G$3),'Struktur Aktuell'!$D206,INDIRECT(G$4))+SUMIF(INDIRECT(G$3),'Struktur Aktuell'!$D206,INDIRECT(G$5)))</f>
        <v>0</v>
      </c>
      <c r="H206" s="593">
        <f ca="1">$E206*(-SUMIF(INDIRECT(H$3),'Struktur Aktuell'!$D206,INDIRECT(H$4))+SUMIF(INDIRECT(H$3),'Struktur Aktuell'!$D206,INDIRECT(H$5)))</f>
        <v>0</v>
      </c>
      <c r="I206" s="593">
        <f ca="1">$E206*(-SUMIF(INDIRECT(I$3),'Struktur Aktuell'!$D206,INDIRECT(I$4))+SUMIF(INDIRECT(I$3),'Struktur Aktuell'!$D206,INDIRECT(I$5)))</f>
        <v>0</v>
      </c>
      <c r="J206" s="593">
        <f ca="1">$E206*(-SUMIF(INDIRECT(J$3),'Struktur Aktuell'!$D206,INDIRECT(J$4))+SUMIF(INDIRECT(J$3),'Struktur Aktuell'!$D206,INDIRECT(J$5)))</f>
        <v>0</v>
      </c>
      <c r="K206" s="593">
        <f ca="1">$E206*(-SUMIF(INDIRECT(K$3),'Struktur Aktuell'!$D206,INDIRECT(K$4))+SUMIF(INDIRECT(K$3),'Struktur Aktuell'!$D206,INDIRECT(K$5)))</f>
        <v>0</v>
      </c>
      <c r="L206" s="593">
        <f ca="1">$E206*(-SUMIF(INDIRECT(L$3),'Struktur Aktuell'!$D206,INDIRECT(L$4))+SUMIF(INDIRECT(L$3),'Struktur Aktuell'!$D206,INDIRECT(L$5)))</f>
        <v>0</v>
      </c>
      <c r="M206" s="593">
        <f ca="1">$E206*(-SUMIF(INDIRECT(M$3),'Struktur Aktuell'!$D206,INDIRECT(M$4))+SUMIF(INDIRECT(M$3),'Struktur Aktuell'!$D206,INDIRECT(M$5)))</f>
        <v>0</v>
      </c>
      <c r="N206" s="593">
        <f ca="1">$E206*(-SUMIF(INDIRECT(N$3),'Struktur Aktuell'!$D206,INDIRECT(N$4))+SUMIF(INDIRECT(N$3),'Struktur Aktuell'!$D206,INDIRECT(N$5)))</f>
        <v>0</v>
      </c>
      <c r="O206" s="593">
        <f ca="1">$E206*(-SUMIF(INDIRECT(O$3),'Struktur Aktuell'!$D206,INDIRECT(O$4))+SUMIF(INDIRECT(O$3),'Struktur Aktuell'!$D206,INDIRECT(O$5)))</f>
        <v>0</v>
      </c>
      <c r="P206" s="593">
        <f ca="1">$E206*(-SUMIF(INDIRECT(P$3),'Struktur Aktuell'!$D206,INDIRECT(P$4))+SUMIF(INDIRECT(P$3),'Struktur Aktuell'!$D206,INDIRECT(P$5)))</f>
        <v>0</v>
      </c>
      <c r="Q206" s="593">
        <f ca="1">$E206*(-SUMIF(INDIRECT(Q$3),'Struktur Aktuell'!$D206,INDIRECT(Q$4))+SUMIF(INDIRECT(Q$3),'Struktur Aktuell'!$D206,INDIRECT(Q$5)))</f>
        <v>0</v>
      </c>
      <c r="R206" s="593">
        <f ca="1">$E206*(-SUMIF(INDIRECT(R$3),'Struktur Aktuell'!$D206,INDIRECT(R$4))+SUMIF(INDIRECT(R$3),'Struktur Aktuell'!$D206,INDIRECT(R$5)))</f>
        <v>0</v>
      </c>
      <c r="S206" s="593">
        <f ca="1">$E206*(-SUMIF(INDIRECT(S$3),'Struktur Aktuell'!$D206,INDIRECT(S$4))+SUMIF(INDIRECT(S$3),'Struktur Aktuell'!$D206,INDIRECT(S$5)))</f>
        <v>0</v>
      </c>
      <c r="T206" s="593">
        <f ca="1">$E206*(-SUMIF(INDIRECT(T$3),'Struktur Aktuell'!$D206,INDIRECT(T$4))+SUMIF(INDIRECT(T$3),'Struktur Aktuell'!$D206,INDIRECT(T$5)))</f>
        <v>0</v>
      </c>
      <c r="U206" s="593">
        <f ca="1">$E206*(-SUMIF(INDIRECT(U$3),'Struktur Aktuell'!$D206,INDIRECT(U$4))+SUMIF(INDIRECT(U$3),'Struktur Aktuell'!$D206,INDIRECT(U$5)))</f>
        <v>0</v>
      </c>
      <c r="V206" s="593">
        <f ca="1">$E206*(-SUMIF(INDIRECT(V$3),'Struktur Aktuell'!$D206,INDIRECT(V$4))+SUMIF(INDIRECT(V$3),'Struktur Aktuell'!$D206,INDIRECT(V$5)))</f>
        <v>0</v>
      </c>
      <c r="W206" s="593">
        <f ca="1">$E206*(-SUMIF(INDIRECT(W$3),'Struktur Aktuell'!$D206,INDIRECT(W$4))+SUMIF(INDIRECT(W$3),'Struktur Aktuell'!$D206,INDIRECT(W$5)))</f>
        <v>0</v>
      </c>
      <c r="X206" s="593">
        <f ca="1">$E206*(-SUMIF(INDIRECT(X$3),'Struktur Aktuell'!$D206,INDIRECT(X$4))+SUMIF(INDIRECT(X$3),'Struktur Aktuell'!$D206,INDIRECT(X$5)))</f>
        <v>0</v>
      </c>
      <c r="Y206" s="593">
        <f ca="1">$E206*(-SUMIF(INDIRECT(Y$3),'Struktur Aktuell'!$D206,INDIRECT(Y$4))+SUMIF(INDIRECT(Y$3),'Struktur Aktuell'!$D206,INDIRECT(Y$5)))</f>
        <v>0</v>
      </c>
      <c r="Z206" s="593">
        <f ca="1">$E206*(-SUMIF(INDIRECT(Z$3),'Struktur Aktuell'!$D206,INDIRECT(Z$4))+SUMIF(INDIRECT(Z$3),'Struktur Aktuell'!$D206,INDIRECT(Z$5)))</f>
        <v>0</v>
      </c>
      <c r="AA206" s="593">
        <f ca="1">$E206*(-SUMIF(INDIRECT(AA$3),'Struktur Aktuell'!$D206,INDIRECT(AA$4))+SUMIF(INDIRECT(AA$3),'Struktur Aktuell'!$D206,INDIRECT(AA$5)))</f>
        <v>0</v>
      </c>
      <c r="AB206" s="593">
        <f ca="1">$E206*(-SUMIF(INDIRECT(AB$3),'Struktur Aktuell'!$D206,INDIRECT(AB$4))+SUMIF(INDIRECT(AB$3),'Struktur Aktuell'!$D206,INDIRECT(AB$5)))</f>
        <v>0</v>
      </c>
      <c r="AC206" s="593">
        <f ca="1">$E206*(-SUMIF(INDIRECT(AC$3),'Struktur Aktuell'!$D206,INDIRECT(AC$4))+SUMIF(INDIRECT(AC$3),'Struktur Aktuell'!$D206,INDIRECT(AC$5)))</f>
        <v>0</v>
      </c>
      <c r="AD206" s="593">
        <f ca="1">$E206*(-SUMIF(INDIRECT(AD$3),'Struktur Aktuell'!$D206,INDIRECT(AD$4))+SUMIF(INDIRECT(AD$3),'Struktur Aktuell'!$D206,INDIRECT(AD$5)))</f>
        <v>0</v>
      </c>
      <c r="AE206" s="593">
        <f t="shared" ca="1" si="282"/>
        <v>0</v>
      </c>
      <c r="AF206" s="593">
        <f t="shared" ca="1" si="283"/>
        <v>0</v>
      </c>
      <c r="AG206" s="593">
        <f t="shared" ca="1" si="284"/>
        <v>0</v>
      </c>
      <c r="AH206" s="593">
        <f t="shared" ca="1" si="285"/>
        <v>0</v>
      </c>
      <c r="AI206" s="593">
        <f t="shared" ca="1" si="286"/>
        <v>0</v>
      </c>
      <c r="AJ206" s="593">
        <f t="shared" ca="1" si="287"/>
        <v>0</v>
      </c>
      <c r="AK206" s="593">
        <f t="shared" ca="1" si="288"/>
        <v>0</v>
      </c>
      <c r="AL206" s="593">
        <f t="shared" ca="1" si="289"/>
        <v>0</v>
      </c>
      <c r="AM206" s="593">
        <f t="shared" ca="1" si="290"/>
        <v>0</v>
      </c>
      <c r="AN206" s="593">
        <f t="shared" ca="1" si="291"/>
        <v>0</v>
      </c>
      <c r="AO206" s="593">
        <f t="shared" ca="1" si="292"/>
        <v>0</v>
      </c>
      <c r="AP206" s="593">
        <f t="shared" ca="1" si="293"/>
        <v>0</v>
      </c>
    </row>
    <row r="207" spans="1:42" s="594" customFormat="1" ht="11.25" outlineLevel="1" x14ac:dyDescent="0.2">
      <c r="A207" s="590"/>
      <c r="B207" s="591" t="str">
        <f>IF(D207&lt;&gt;"",
IF(ISERROR(MATCH(D207,'Ist Aktuell Monat 01'!A:A,0))=FALSE,INDEX('Ist Aktuell Monat 01'!B:B,MATCH(D207,'Ist Aktuell Monat 01'!A:A,0)),
IF(ISERROR(MATCH(D207,'Ist Aktuell Monat 02'!A:A,0))=FALSE,INDEX('Ist Aktuell Monat 02'!B:B,MATCH(D207,'Ist Aktuell Monat 02'!A:A,0)),
IF(ISERROR(MATCH(D207,'Ist Aktuell Monat 03'!A:A,0))=FALSE,INDEX('Ist Aktuell Monat 03'!B:B,MATCH(D207,'Ist Aktuell Monat 03'!A:A,0)),
IF(ISERROR(MATCH(D207,'Ist Aktuell Monat 04'!A:A,0))=FALSE,INDEX('Ist Aktuell Monat 04'!B:B,MATCH(D207,'Ist Aktuell Monat 04'!A:A,0)),
IF(ISERROR(MATCH(D207,'Ist Aktuell Monat 05'!A:A,0))=FALSE,INDEX('Ist Aktuell Monat 05'!B:B,MATCH(D207,'Ist Aktuell Monat 05'!A:A,0)),
IF(ISERROR(MATCH(D207,'Ist Aktuell Monat 06'!A:A,0))=FALSE,INDEX('Ist Aktuell Monat 06'!B:B,MATCH(D207,'Ist Aktuell Monat 06'!A:A,0)),
IF(ISERROR(MATCH(D207,'Ist Aktuell Monat 07'!A:A,0))=FALSE,INDEX('Ist Aktuell Monat 07'!B:B,MATCH(D207,'Ist Aktuell Monat 07'!A:A,0)),
IF(ISERROR(MATCH(D207,'Ist Aktuell Monat 08'!A:A,0))=FALSE,INDEX('Ist Aktuell Monat 08'!B:B,MATCH(D207,'Ist Aktuell Monat 08'!A:A,0)),
IF(ISERROR(MATCH(D207,'Ist Aktuell Monat 09'!A:A,0))=FALSE,INDEX('Ist Aktuell Monat 09'!B:B,MATCH(D207,'Ist Aktuell Monat 09'!A:A,0)),
IF(ISERROR(MATCH(D207,'Ist Aktuell Monat 10'!A:A,0))=FALSE,INDEX('Ist Aktuell Monat 10'!B:B,MATCH(D207,'Ist Aktuell Monat 10'!A:A,0)),
IF(ISERROR(MATCH(D207,'Ist Aktuell Monat 11'!A:A,0))=FALSE,INDEX('Ist Aktuell Monat 11'!B:B,MATCH(D207,'Ist Aktuell Monat 11'!A:A,0)),
IF(ISERROR(MATCH(D207,'Ist Aktuell Monat 12'!A:A,0))=FALSE,INDEX('Ist Aktuell Monat 12'!B:B,MATCH(D207,'Ist Aktuell Monat 12'!A:A,0)),
"{Konto unbekannt}"
)))))))))))),"")</f>
        <v/>
      </c>
      <c r="C207" s="591"/>
      <c r="D207" s="590"/>
      <c r="E207" s="592">
        <f>IF(F207="-",-1,1)</f>
        <v>1</v>
      </c>
      <c r="F207" s="590"/>
      <c r="G207" s="593">
        <f ca="1">$E207*(-SUMIF(INDIRECT(G$3),'Struktur Aktuell'!$D207,INDIRECT(G$4))+SUMIF(INDIRECT(G$3),'Struktur Aktuell'!$D207,INDIRECT(G$5)))</f>
        <v>0</v>
      </c>
      <c r="H207" s="593">
        <f ca="1">$E207*(-SUMIF(INDIRECT(H$3),'Struktur Aktuell'!$D207,INDIRECT(H$4))+SUMIF(INDIRECT(H$3),'Struktur Aktuell'!$D207,INDIRECT(H$5)))</f>
        <v>0</v>
      </c>
      <c r="I207" s="593">
        <f ca="1">$E207*(-SUMIF(INDIRECT(I$3),'Struktur Aktuell'!$D207,INDIRECT(I$4))+SUMIF(INDIRECT(I$3),'Struktur Aktuell'!$D207,INDIRECT(I$5)))</f>
        <v>0</v>
      </c>
      <c r="J207" s="593">
        <f ca="1">$E207*(-SUMIF(INDIRECT(J$3),'Struktur Aktuell'!$D207,INDIRECT(J$4))+SUMIF(INDIRECT(J$3),'Struktur Aktuell'!$D207,INDIRECT(J$5)))</f>
        <v>0</v>
      </c>
      <c r="K207" s="593">
        <f ca="1">$E207*(-SUMIF(INDIRECT(K$3),'Struktur Aktuell'!$D207,INDIRECT(K$4))+SUMIF(INDIRECT(K$3),'Struktur Aktuell'!$D207,INDIRECT(K$5)))</f>
        <v>0</v>
      </c>
      <c r="L207" s="593">
        <f ca="1">$E207*(-SUMIF(INDIRECT(L$3),'Struktur Aktuell'!$D207,INDIRECT(L$4))+SUMIF(INDIRECT(L$3),'Struktur Aktuell'!$D207,INDIRECT(L$5)))</f>
        <v>0</v>
      </c>
      <c r="M207" s="593">
        <f ca="1">$E207*(-SUMIF(INDIRECT(M$3),'Struktur Aktuell'!$D207,INDIRECT(M$4))+SUMIF(INDIRECT(M$3),'Struktur Aktuell'!$D207,INDIRECT(M$5)))</f>
        <v>0</v>
      </c>
      <c r="N207" s="593">
        <f ca="1">$E207*(-SUMIF(INDIRECT(N$3),'Struktur Aktuell'!$D207,INDIRECT(N$4))+SUMIF(INDIRECT(N$3),'Struktur Aktuell'!$D207,INDIRECT(N$5)))</f>
        <v>0</v>
      </c>
      <c r="O207" s="593">
        <f ca="1">$E207*(-SUMIF(INDIRECT(O$3),'Struktur Aktuell'!$D207,INDIRECT(O$4))+SUMIF(INDIRECT(O$3),'Struktur Aktuell'!$D207,INDIRECT(O$5)))</f>
        <v>0</v>
      </c>
      <c r="P207" s="593">
        <f ca="1">$E207*(-SUMIF(INDIRECT(P$3),'Struktur Aktuell'!$D207,INDIRECT(P$4))+SUMIF(INDIRECT(P$3),'Struktur Aktuell'!$D207,INDIRECT(P$5)))</f>
        <v>0</v>
      </c>
      <c r="Q207" s="593">
        <f ca="1">$E207*(-SUMIF(INDIRECT(Q$3),'Struktur Aktuell'!$D207,INDIRECT(Q$4))+SUMIF(INDIRECT(Q$3),'Struktur Aktuell'!$D207,INDIRECT(Q$5)))</f>
        <v>0</v>
      </c>
      <c r="R207" s="593">
        <f ca="1">$E207*(-SUMIF(INDIRECT(R$3),'Struktur Aktuell'!$D207,INDIRECT(R$4))+SUMIF(INDIRECT(R$3),'Struktur Aktuell'!$D207,INDIRECT(R$5)))</f>
        <v>0</v>
      </c>
      <c r="S207" s="593">
        <f ca="1">$E207*(-SUMIF(INDIRECT(S$3),'Struktur Aktuell'!$D207,INDIRECT(S$4))+SUMIF(INDIRECT(S$3),'Struktur Aktuell'!$D207,INDIRECT(S$5)))</f>
        <v>0</v>
      </c>
      <c r="T207" s="593">
        <f ca="1">$E207*(-SUMIF(INDIRECT(T$3),'Struktur Aktuell'!$D207,INDIRECT(T$4))+SUMIF(INDIRECT(T$3),'Struktur Aktuell'!$D207,INDIRECT(T$5)))</f>
        <v>0</v>
      </c>
      <c r="U207" s="593">
        <f ca="1">$E207*(-SUMIF(INDIRECT(U$3),'Struktur Aktuell'!$D207,INDIRECT(U$4))+SUMIF(INDIRECT(U$3),'Struktur Aktuell'!$D207,INDIRECT(U$5)))</f>
        <v>0</v>
      </c>
      <c r="V207" s="593">
        <f ca="1">$E207*(-SUMIF(INDIRECT(V$3),'Struktur Aktuell'!$D207,INDIRECT(V$4))+SUMIF(INDIRECT(V$3),'Struktur Aktuell'!$D207,INDIRECT(V$5)))</f>
        <v>0</v>
      </c>
      <c r="W207" s="593">
        <f ca="1">$E207*(-SUMIF(INDIRECT(W$3),'Struktur Aktuell'!$D207,INDIRECT(W$4))+SUMIF(INDIRECT(W$3),'Struktur Aktuell'!$D207,INDIRECT(W$5)))</f>
        <v>0</v>
      </c>
      <c r="X207" s="593">
        <f ca="1">$E207*(-SUMIF(INDIRECT(X$3),'Struktur Aktuell'!$D207,INDIRECT(X$4))+SUMIF(INDIRECT(X$3),'Struktur Aktuell'!$D207,INDIRECT(X$5)))</f>
        <v>0</v>
      </c>
      <c r="Y207" s="593">
        <f ca="1">$E207*(-SUMIF(INDIRECT(Y$3),'Struktur Aktuell'!$D207,INDIRECT(Y$4))+SUMIF(INDIRECT(Y$3),'Struktur Aktuell'!$D207,INDIRECT(Y$5)))</f>
        <v>0</v>
      </c>
      <c r="Z207" s="593">
        <f ca="1">$E207*(-SUMIF(INDIRECT(Z$3),'Struktur Aktuell'!$D207,INDIRECT(Z$4))+SUMIF(INDIRECT(Z$3),'Struktur Aktuell'!$D207,INDIRECT(Z$5)))</f>
        <v>0</v>
      </c>
      <c r="AA207" s="593">
        <f ca="1">$E207*(-SUMIF(INDIRECT(AA$3),'Struktur Aktuell'!$D207,INDIRECT(AA$4))+SUMIF(INDIRECT(AA$3),'Struktur Aktuell'!$D207,INDIRECT(AA$5)))</f>
        <v>0</v>
      </c>
      <c r="AB207" s="593">
        <f ca="1">$E207*(-SUMIF(INDIRECT(AB$3),'Struktur Aktuell'!$D207,INDIRECT(AB$4))+SUMIF(INDIRECT(AB$3),'Struktur Aktuell'!$D207,INDIRECT(AB$5)))</f>
        <v>0</v>
      </c>
      <c r="AC207" s="593">
        <f ca="1">$E207*(-SUMIF(INDIRECT(AC$3),'Struktur Aktuell'!$D207,INDIRECT(AC$4))+SUMIF(INDIRECT(AC$3),'Struktur Aktuell'!$D207,INDIRECT(AC$5)))</f>
        <v>0</v>
      </c>
      <c r="AD207" s="593">
        <f ca="1">$E207*(-SUMIF(INDIRECT(AD$3),'Struktur Aktuell'!$D207,INDIRECT(AD$4))+SUMIF(INDIRECT(AD$3),'Struktur Aktuell'!$D207,INDIRECT(AD$5)))</f>
        <v>0</v>
      </c>
      <c r="AE207" s="593">
        <f t="shared" ca="1" si="282"/>
        <v>0</v>
      </c>
      <c r="AF207" s="593">
        <f t="shared" ca="1" si="283"/>
        <v>0</v>
      </c>
      <c r="AG207" s="593">
        <f t="shared" ca="1" si="284"/>
        <v>0</v>
      </c>
      <c r="AH207" s="593">
        <f t="shared" ca="1" si="285"/>
        <v>0</v>
      </c>
      <c r="AI207" s="593">
        <f t="shared" ca="1" si="286"/>
        <v>0</v>
      </c>
      <c r="AJ207" s="593">
        <f t="shared" ca="1" si="287"/>
        <v>0</v>
      </c>
      <c r="AK207" s="593">
        <f t="shared" ca="1" si="288"/>
        <v>0</v>
      </c>
      <c r="AL207" s="593">
        <f t="shared" ca="1" si="289"/>
        <v>0</v>
      </c>
      <c r="AM207" s="593">
        <f t="shared" ca="1" si="290"/>
        <v>0</v>
      </c>
      <c r="AN207" s="593">
        <f t="shared" ca="1" si="291"/>
        <v>0</v>
      </c>
      <c r="AO207" s="593">
        <f t="shared" ca="1" si="292"/>
        <v>0</v>
      </c>
      <c r="AP207" s="593">
        <f t="shared" ca="1" si="293"/>
        <v>0</v>
      </c>
    </row>
    <row r="208" spans="1:42" s="589" customFormat="1" x14ac:dyDescent="0.2">
      <c r="A208" s="585">
        <v>19</v>
      </c>
      <c r="B208" s="586" t="s">
        <v>266</v>
      </c>
      <c r="C208" s="587">
        <f ca="1">SUM(G208:R208)</f>
        <v>1007.75</v>
      </c>
      <c r="D208" s="587"/>
      <c r="E208" s="588">
        <f>IF(F208="-",-1,1)</f>
        <v>1</v>
      </c>
      <c r="F208" s="585"/>
      <c r="G208" s="587">
        <f t="shared" ref="G208:R208" ca="1" si="294">SUM(G209:G218)</f>
        <v>224.81</v>
      </c>
      <c r="H208" s="587">
        <f t="shared" ca="1" si="294"/>
        <v>27</v>
      </c>
      <c r="I208" s="587">
        <f t="shared" ca="1" si="294"/>
        <v>46.56</v>
      </c>
      <c r="J208" s="587">
        <f t="shared" ca="1" si="294"/>
        <v>1.2</v>
      </c>
      <c r="K208" s="587">
        <f t="shared" ca="1" si="294"/>
        <v>215.1</v>
      </c>
      <c r="L208" s="587">
        <f t="shared" ca="1" si="294"/>
        <v>86.160000000000011</v>
      </c>
      <c r="M208" s="587">
        <f t="shared" ca="1" si="294"/>
        <v>187.92000000000002</v>
      </c>
      <c r="N208" s="587">
        <f t="shared" ca="1" si="294"/>
        <v>52.5</v>
      </c>
      <c r="O208" s="587">
        <f t="shared" ca="1" si="294"/>
        <v>0</v>
      </c>
      <c r="P208" s="587">
        <f t="shared" ca="1" si="294"/>
        <v>166.5</v>
      </c>
      <c r="Q208" s="587">
        <f t="shared" ca="1" si="294"/>
        <v>0</v>
      </c>
      <c r="R208" s="587">
        <f t="shared" ca="1" si="294"/>
        <v>0</v>
      </c>
      <c r="S208" s="587">
        <f t="shared" ref="S208:AP208" ca="1" si="295">SUM(S209:S218)</f>
        <v>224.81</v>
      </c>
      <c r="T208" s="587">
        <f t="shared" ca="1" si="295"/>
        <v>251.81</v>
      </c>
      <c r="U208" s="587">
        <f t="shared" ca="1" si="295"/>
        <v>298.37</v>
      </c>
      <c r="V208" s="587">
        <f t="shared" ca="1" si="295"/>
        <v>299.57000000000005</v>
      </c>
      <c r="W208" s="587">
        <f t="shared" ca="1" si="295"/>
        <v>514.66999999999996</v>
      </c>
      <c r="X208" s="587">
        <f t="shared" ca="1" si="295"/>
        <v>600.83000000000004</v>
      </c>
      <c r="Y208" s="587">
        <f t="shared" ca="1" si="295"/>
        <v>788.75</v>
      </c>
      <c r="Z208" s="587">
        <f t="shared" ca="1" si="295"/>
        <v>841.25</v>
      </c>
      <c r="AA208" s="587">
        <f t="shared" ca="1" si="295"/>
        <v>841.25</v>
      </c>
      <c r="AB208" s="587">
        <f t="shared" ca="1" si="295"/>
        <v>1007.75</v>
      </c>
      <c r="AC208" s="587">
        <f t="shared" ca="1" si="295"/>
        <v>0</v>
      </c>
      <c r="AD208" s="587">
        <f t="shared" ca="1" si="295"/>
        <v>0</v>
      </c>
      <c r="AE208" s="587">
        <f t="shared" ca="1" si="295"/>
        <v>224.81</v>
      </c>
      <c r="AF208" s="587">
        <f t="shared" ca="1" si="295"/>
        <v>251.81</v>
      </c>
      <c r="AG208" s="587">
        <f t="shared" ca="1" si="295"/>
        <v>298.37</v>
      </c>
      <c r="AH208" s="587">
        <f t="shared" ca="1" si="295"/>
        <v>299.56999999999994</v>
      </c>
      <c r="AI208" s="587">
        <f t="shared" ca="1" si="295"/>
        <v>514.66999999999996</v>
      </c>
      <c r="AJ208" s="587">
        <f t="shared" ca="1" si="295"/>
        <v>600.82999999999993</v>
      </c>
      <c r="AK208" s="587">
        <f t="shared" ca="1" si="295"/>
        <v>788.74999999999989</v>
      </c>
      <c r="AL208" s="587">
        <f t="shared" ca="1" si="295"/>
        <v>841.24999999999989</v>
      </c>
      <c r="AM208" s="587">
        <f t="shared" ca="1" si="295"/>
        <v>841.24999999999989</v>
      </c>
      <c r="AN208" s="587">
        <f t="shared" ca="1" si="295"/>
        <v>1007.7499999999999</v>
      </c>
      <c r="AO208" s="587">
        <f t="shared" ca="1" si="295"/>
        <v>1007.7499999999999</v>
      </c>
      <c r="AP208" s="587">
        <f t="shared" ca="1" si="295"/>
        <v>1007.7499999999999</v>
      </c>
    </row>
    <row r="209" spans="1:42" s="594" customFormat="1" ht="11.25" outlineLevel="1" x14ac:dyDescent="0.2">
      <c r="A209" s="590"/>
      <c r="B209" s="591" t="str">
        <f>IF(D209&lt;&gt;"",
IF(ISERROR(MATCH(D209,'Ist Aktuell Monat 01'!A:A,0))=FALSE,INDEX('Ist Aktuell Monat 01'!B:B,MATCH(D209,'Ist Aktuell Monat 01'!A:A,0)),
IF(ISERROR(MATCH(D209,'Ist Aktuell Monat 02'!A:A,0))=FALSE,INDEX('Ist Aktuell Monat 02'!B:B,MATCH(D209,'Ist Aktuell Monat 02'!A:A,0)),
IF(ISERROR(MATCH(D209,'Ist Aktuell Monat 03'!A:A,0))=FALSE,INDEX('Ist Aktuell Monat 03'!B:B,MATCH(D209,'Ist Aktuell Monat 03'!A:A,0)),
IF(ISERROR(MATCH(D209,'Ist Aktuell Monat 04'!A:A,0))=FALSE,INDEX('Ist Aktuell Monat 04'!B:B,MATCH(D209,'Ist Aktuell Monat 04'!A:A,0)),
IF(ISERROR(MATCH(D209,'Ist Aktuell Monat 05'!A:A,0))=FALSE,INDEX('Ist Aktuell Monat 05'!B:B,MATCH(D209,'Ist Aktuell Monat 05'!A:A,0)),
IF(ISERROR(MATCH(D209,'Ist Aktuell Monat 06'!A:A,0))=FALSE,INDEX('Ist Aktuell Monat 06'!B:B,MATCH(D209,'Ist Aktuell Monat 06'!A:A,0)),
IF(ISERROR(MATCH(D209,'Ist Aktuell Monat 07'!A:A,0))=FALSE,INDEX('Ist Aktuell Monat 07'!B:B,MATCH(D209,'Ist Aktuell Monat 07'!A:A,0)),
IF(ISERROR(MATCH(D209,'Ist Aktuell Monat 08'!A:A,0))=FALSE,INDEX('Ist Aktuell Monat 08'!B:B,MATCH(D209,'Ist Aktuell Monat 08'!A:A,0)),
IF(ISERROR(MATCH(D209,'Ist Aktuell Monat 09'!A:A,0))=FALSE,INDEX('Ist Aktuell Monat 09'!B:B,MATCH(D209,'Ist Aktuell Monat 09'!A:A,0)),
IF(ISERROR(MATCH(D209,'Ist Aktuell Monat 10'!A:A,0))=FALSE,INDEX('Ist Aktuell Monat 10'!B:B,MATCH(D209,'Ist Aktuell Monat 10'!A:A,0)),
IF(ISERROR(MATCH(D209,'Ist Aktuell Monat 11'!A:A,0))=FALSE,INDEX('Ist Aktuell Monat 11'!B:B,MATCH(D209,'Ist Aktuell Monat 11'!A:A,0)),
IF(ISERROR(MATCH(D209,'Ist Aktuell Monat 12'!A:A,0))=FALSE,INDEX('Ist Aktuell Monat 12'!B:B,MATCH(D209,'Ist Aktuell Monat 12'!A:A,0)),
"{Konto unbekannt}"
)))))))))))),"")</f>
        <v>Reisekosten Arbeitnehmer</v>
      </c>
      <c r="C209" s="591"/>
      <c r="D209" s="590">
        <v>4660</v>
      </c>
      <c r="E209" s="592">
        <f>IF(F209="-",-1,1)</f>
        <v>1</v>
      </c>
      <c r="F209" s="590"/>
      <c r="G209" s="593">
        <f ca="1">$E209*(-SUMIF(INDIRECT(G$3),'Struktur Aktuell'!$D209,INDIRECT(G$4))+SUMIF(INDIRECT(G$3),'Struktur Aktuell'!$D209,INDIRECT(G$5)))</f>
        <v>13.61</v>
      </c>
      <c r="H209" s="593">
        <f ca="1">$E209*(-SUMIF(INDIRECT(H$3),'Struktur Aktuell'!$D209,INDIRECT(H$4))+SUMIF(INDIRECT(H$3),'Struktur Aktuell'!$D209,INDIRECT(H$5)))</f>
        <v>0</v>
      </c>
      <c r="I209" s="593">
        <f ca="1">$E209*(-SUMIF(INDIRECT(I$3),'Struktur Aktuell'!$D209,INDIRECT(I$4))+SUMIF(INDIRECT(I$3),'Struktur Aktuell'!$D209,INDIRECT(I$5)))</f>
        <v>3.36</v>
      </c>
      <c r="J209" s="593">
        <f ca="1">$E209*(-SUMIF(INDIRECT(J$3),'Struktur Aktuell'!$D209,INDIRECT(J$4))+SUMIF(INDIRECT(J$3),'Struktur Aktuell'!$D209,INDIRECT(J$5)))</f>
        <v>0</v>
      </c>
      <c r="K209" s="593">
        <f ca="1">$E209*(-SUMIF(INDIRECT(K$3),'Struktur Aktuell'!$D209,INDIRECT(K$4))+SUMIF(INDIRECT(K$3),'Struktur Aktuell'!$D209,INDIRECT(K$5)))</f>
        <v>0</v>
      </c>
      <c r="L209" s="593">
        <f ca="1">$E209*(-SUMIF(INDIRECT(L$3),'Struktur Aktuell'!$D209,INDIRECT(L$4))+SUMIF(INDIRECT(L$3),'Struktur Aktuell'!$D209,INDIRECT(L$5)))</f>
        <v>1.26</v>
      </c>
      <c r="M209" s="593">
        <f ca="1">$E209*(-SUMIF(INDIRECT(M$3),'Struktur Aktuell'!$D209,INDIRECT(M$4))+SUMIF(INDIRECT(M$3),'Struktur Aktuell'!$D209,INDIRECT(M$5)))</f>
        <v>32.520000000000003</v>
      </c>
      <c r="N209" s="593">
        <f ca="1">$E209*(-SUMIF(INDIRECT(N$3),'Struktur Aktuell'!$D209,INDIRECT(N$4))+SUMIF(INDIRECT(N$3),'Struktur Aktuell'!$D209,INDIRECT(N$5)))</f>
        <v>6.3</v>
      </c>
      <c r="O209" s="593">
        <f ca="1">$E209*(-SUMIF(INDIRECT(O$3),'Struktur Aktuell'!$D209,INDIRECT(O$4))+SUMIF(INDIRECT(O$3),'Struktur Aktuell'!$D209,INDIRECT(O$5)))</f>
        <v>0</v>
      </c>
      <c r="P209" s="593">
        <f ca="1">$E209*(-SUMIF(INDIRECT(P$3),'Struktur Aktuell'!$D209,INDIRECT(P$4))+SUMIF(INDIRECT(P$3),'Struktur Aktuell'!$D209,INDIRECT(P$5)))</f>
        <v>0</v>
      </c>
      <c r="Q209" s="593">
        <f ca="1">$E209*(-SUMIF(INDIRECT(Q$3),'Struktur Aktuell'!$D209,INDIRECT(Q$4))+SUMIF(INDIRECT(Q$3),'Struktur Aktuell'!$D209,INDIRECT(Q$5)))</f>
        <v>0</v>
      </c>
      <c r="R209" s="593">
        <f ca="1">$E209*(-SUMIF(INDIRECT(R$3),'Struktur Aktuell'!$D209,INDIRECT(R$4))+SUMIF(INDIRECT(R$3),'Struktur Aktuell'!$D209,INDIRECT(R$5)))</f>
        <v>0</v>
      </c>
      <c r="S209" s="593">
        <f ca="1">$E209*(-SUMIF(INDIRECT(S$3),'Struktur Aktuell'!$D209,INDIRECT(S$4))+SUMIF(INDIRECT(S$3),'Struktur Aktuell'!$D209,INDIRECT(S$5)))</f>
        <v>13.61</v>
      </c>
      <c r="T209" s="593">
        <f ca="1">$E209*(-SUMIF(INDIRECT(T$3),'Struktur Aktuell'!$D209,INDIRECT(T$4))+SUMIF(INDIRECT(T$3),'Struktur Aktuell'!$D209,INDIRECT(T$5)))</f>
        <v>13.61</v>
      </c>
      <c r="U209" s="593">
        <f ca="1">$E209*(-SUMIF(INDIRECT(U$3),'Struktur Aktuell'!$D209,INDIRECT(U$4))+SUMIF(INDIRECT(U$3),'Struktur Aktuell'!$D209,INDIRECT(U$5)))</f>
        <v>16.97</v>
      </c>
      <c r="V209" s="593">
        <f ca="1">$E209*(-SUMIF(INDIRECT(V$3),'Struktur Aktuell'!$D209,INDIRECT(V$4))+SUMIF(INDIRECT(V$3),'Struktur Aktuell'!$D209,INDIRECT(V$5)))</f>
        <v>16.97</v>
      </c>
      <c r="W209" s="593">
        <f ca="1">$E209*(-SUMIF(INDIRECT(W$3),'Struktur Aktuell'!$D209,INDIRECT(W$4))+SUMIF(INDIRECT(W$3),'Struktur Aktuell'!$D209,INDIRECT(W$5)))</f>
        <v>16.97</v>
      </c>
      <c r="X209" s="593">
        <f ca="1">$E209*(-SUMIF(INDIRECT(X$3),'Struktur Aktuell'!$D209,INDIRECT(X$4))+SUMIF(INDIRECT(X$3),'Struktur Aktuell'!$D209,INDIRECT(X$5)))</f>
        <v>18.23</v>
      </c>
      <c r="Y209" s="593">
        <f ca="1">$E209*(-SUMIF(INDIRECT(Y$3),'Struktur Aktuell'!$D209,INDIRECT(Y$4))+SUMIF(INDIRECT(Y$3),'Struktur Aktuell'!$D209,INDIRECT(Y$5)))</f>
        <v>50.75</v>
      </c>
      <c r="Z209" s="593">
        <f ca="1">$E209*(-SUMIF(INDIRECT(Z$3),'Struktur Aktuell'!$D209,INDIRECT(Z$4))+SUMIF(INDIRECT(Z$3),'Struktur Aktuell'!$D209,INDIRECT(Z$5)))</f>
        <v>57.05</v>
      </c>
      <c r="AA209" s="593">
        <f ca="1">$E209*(-SUMIF(INDIRECT(AA$3),'Struktur Aktuell'!$D209,INDIRECT(AA$4))+SUMIF(INDIRECT(AA$3),'Struktur Aktuell'!$D209,INDIRECT(AA$5)))</f>
        <v>57.05</v>
      </c>
      <c r="AB209" s="593">
        <f ca="1">$E209*(-SUMIF(INDIRECT(AB$3),'Struktur Aktuell'!$D209,INDIRECT(AB$4))+SUMIF(INDIRECT(AB$3),'Struktur Aktuell'!$D209,INDIRECT(AB$5)))</f>
        <v>57.05</v>
      </c>
      <c r="AC209" s="593">
        <f ca="1">$E209*(-SUMIF(INDIRECT(AC$3),'Struktur Aktuell'!$D209,INDIRECT(AC$4))+SUMIF(INDIRECT(AC$3),'Struktur Aktuell'!$D209,INDIRECT(AC$5)))</f>
        <v>0</v>
      </c>
      <c r="AD209" s="593">
        <f ca="1">$E209*(-SUMIF(INDIRECT(AD$3),'Struktur Aktuell'!$D209,INDIRECT(AD$4))+SUMIF(INDIRECT(AD$3),'Struktur Aktuell'!$D209,INDIRECT(AD$5)))</f>
        <v>0</v>
      </c>
      <c r="AE209" s="593">
        <f t="shared" ref="AE209:AE218" ca="1" si="296">G209</f>
        <v>13.61</v>
      </c>
      <c r="AF209" s="593">
        <f t="shared" ref="AF209:AF218" ca="1" si="297">H209+AE209</f>
        <v>13.61</v>
      </c>
      <c r="AG209" s="593">
        <f t="shared" ref="AG209:AG218" ca="1" si="298">I209+AF209</f>
        <v>16.97</v>
      </c>
      <c r="AH209" s="593">
        <f t="shared" ref="AH209:AH218" ca="1" si="299">J209+AG209</f>
        <v>16.97</v>
      </c>
      <c r="AI209" s="593">
        <f t="shared" ref="AI209:AI218" ca="1" si="300">K209+AH209</f>
        <v>16.97</v>
      </c>
      <c r="AJ209" s="593">
        <f t="shared" ref="AJ209:AJ218" ca="1" si="301">L209+AI209</f>
        <v>18.23</v>
      </c>
      <c r="AK209" s="593">
        <f t="shared" ref="AK209:AK218" ca="1" si="302">M209+AJ209</f>
        <v>50.75</v>
      </c>
      <c r="AL209" s="593">
        <f t="shared" ref="AL209:AL218" ca="1" si="303">N209+AK209</f>
        <v>57.05</v>
      </c>
      <c r="AM209" s="593">
        <f t="shared" ref="AM209:AM218" ca="1" si="304">O209+AL209</f>
        <v>57.05</v>
      </c>
      <c r="AN209" s="593">
        <f t="shared" ref="AN209:AN218" ca="1" si="305">P209+AM209</f>
        <v>57.05</v>
      </c>
      <c r="AO209" s="593">
        <f t="shared" ref="AO209:AO218" ca="1" si="306">Q209+AN209</f>
        <v>57.05</v>
      </c>
      <c r="AP209" s="593">
        <f t="shared" ref="AP209:AP218" ca="1" si="307">R209+AO209</f>
        <v>57.05</v>
      </c>
    </row>
    <row r="210" spans="1:42" s="594" customFormat="1" ht="11.25" outlineLevel="1" x14ac:dyDescent="0.2">
      <c r="A210" s="590"/>
      <c r="B210" s="591" t="str">
        <f>IF(D210&lt;&gt;"",
IF(ISERROR(MATCH(D210,'Ist Aktuell Monat 01'!A:A,0))=FALSE,INDEX('Ist Aktuell Monat 01'!B:B,MATCH(D210,'Ist Aktuell Monat 01'!A:A,0)),
IF(ISERROR(MATCH(D210,'Ist Aktuell Monat 02'!A:A,0))=FALSE,INDEX('Ist Aktuell Monat 02'!B:B,MATCH(D210,'Ist Aktuell Monat 02'!A:A,0)),
IF(ISERROR(MATCH(D210,'Ist Aktuell Monat 03'!A:A,0))=FALSE,INDEX('Ist Aktuell Monat 03'!B:B,MATCH(D210,'Ist Aktuell Monat 03'!A:A,0)),
IF(ISERROR(MATCH(D210,'Ist Aktuell Monat 04'!A:A,0))=FALSE,INDEX('Ist Aktuell Monat 04'!B:B,MATCH(D210,'Ist Aktuell Monat 04'!A:A,0)),
IF(ISERROR(MATCH(D210,'Ist Aktuell Monat 05'!A:A,0))=FALSE,INDEX('Ist Aktuell Monat 05'!B:B,MATCH(D210,'Ist Aktuell Monat 05'!A:A,0)),
IF(ISERROR(MATCH(D210,'Ist Aktuell Monat 06'!A:A,0))=FALSE,INDEX('Ist Aktuell Monat 06'!B:B,MATCH(D210,'Ist Aktuell Monat 06'!A:A,0)),
IF(ISERROR(MATCH(D210,'Ist Aktuell Monat 07'!A:A,0))=FALSE,INDEX('Ist Aktuell Monat 07'!B:B,MATCH(D210,'Ist Aktuell Monat 07'!A:A,0)),
IF(ISERROR(MATCH(D210,'Ist Aktuell Monat 08'!A:A,0))=FALSE,INDEX('Ist Aktuell Monat 08'!B:B,MATCH(D210,'Ist Aktuell Monat 08'!A:A,0)),
IF(ISERROR(MATCH(D210,'Ist Aktuell Monat 09'!A:A,0))=FALSE,INDEX('Ist Aktuell Monat 09'!B:B,MATCH(D210,'Ist Aktuell Monat 09'!A:A,0)),
IF(ISERROR(MATCH(D210,'Ist Aktuell Monat 10'!A:A,0))=FALSE,INDEX('Ist Aktuell Monat 10'!B:B,MATCH(D210,'Ist Aktuell Monat 10'!A:A,0)),
IF(ISERROR(MATCH(D210,'Ist Aktuell Monat 11'!A:A,0))=FALSE,INDEX('Ist Aktuell Monat 11'!B:B,MATCH(D210,'Ist Aktuell Monat 11'!A:A,0)),
IF(ISERROR(MATCH(D210,'Ist Aktuell Monat 12'!A:A,0))=FALSE,INDEX('Ist Aktuell Monat 12'!B:B,MATCH(D210,'Ist Aktuell Monat 12'!A:A,0)),
"{Konto unbekannt}"
)))))))))))),"")</f>
        <v>Kilometergelderstattung Arbeitnehmer</v>
      </c>
      <c r="C210" s="591"/>
      <c r="D210" s="590">
        <v>4668</v>
      </c>
      <c r="E210" s="592">
        <f t="shared" ref="E210:E280" si="308">IF(F210="-",-1,1)</f>
        <v>1</v>
      </c>
      <c r="F210" s="590"/>
      <c r="G210" s="593">
        <f ca="1">$E210*(-SUMIF(INDIRECT(G$3),'Struktur Aktuell'!$D210,INDIRECT(G$4))+SUMIF(INDIRECT(G$3),'Struktur Aktuell'!$D210,INDIRECT(G$5)))</f>
        <v>211.2</v>
      </c>
      <c r="H210" s="593">
        <f ca="1">$E210*(-SUMIF(INDIRECT(H$3),'Struktur Aktuell'!$D210,INDIRECT(H$4))+SUMIF(INDIRECT(H$3),'Struktur Aktuell'!$D210,INDIRECT(H$5)))</f>
        <v>27</v>
      </c>
      <c r="I210" s="593">
        <f ca="1">$E210*(-SUMIF(INDIRECT(I$3),'Struktur Aktuell'!$D210,INDIRECT(I$4))+SUMIF(INDIRECT(I$3),'Struktur Aktuell'!$D210,INDIRECT(I$5)))</f>
        <v>43.2</v>
      </c>
      <c r="J210" s="593">
        <f ca="1">$E210*(-SUMIF(INDIRECT(J$3),'Struktur Aktuell'!$D210,INDIRECT(J$4))+SUMIF(INDIRECT(J$3),'Struktur Aktuell'!$D210,INDIRECT(J$5)))</f>
        <v>1.2</v>
      </c>
      <c r="K210" s="593">
        <f ca="1">$E210*(-SUMIF(INDIRECT(K$3),'Struktur Aktuell'!$D210,INDIRECT(K$4))+SUMIF(INDIRECT(K$3),'Struktur Aktuell'!$D210,INDIRECT(K$5)))</f>
        <v>215.1</v>
      </c>
      <c r="L210" s="593">
        <f ca="1">$E210*(-SUMIF(INDIRECT(L$3),'Struktur Aktuell'!$D210,INDIRECT(L$4))+SUMIF(INDIRECT(L$3),'Struktur Aktuell'!$D210,INDIRECT(L$5)))</f>
        <v>84.9</v>
      </c>
      <c r="M210" s="593">
        <f ca="1">$E210*(-SUMIF(INDIRECT(M$3),'Struktur Aktuell'!$D210,INDIRECT(M$4))+SUMIF(INDIRECT(M$3),'Struktur Aktuell'!$D210,INDIRECT(M$5)))</f>
        <v>155.4</v>
      </c>
      <c r="N210" s="593">
        <f ca="1">$E210*(-SUMIF(INDIRECT(N$3),'Struktur Aktuell'!$D210,INDIRECT(N$4))+SUMIF(INDIRECT(N$3),'Struktur Aktuell'!$D210,INDIRECT(N$5)))</f>
        <v>46.2</v>
      </c>
      <c r="O210" s="593">
        <f ca="1">$E210*(-SUMIF(INDIRECT(O$3),'Struktur Aktuell'!$D210,INDIRECT(O$4))+SUMIF(INDIRECT(O$3),'Struktur Aktuell'!$D210,INDIRECT(O$5)))</f>
        <v>0</v>
      </c>
      <c r="P210" s="593">
        <f ca="1">$E210*(-SUMIF(INDIRECT(P$3),'Struktur Aktuell'!$D210,INDIRECT(P$4))+SUMIF(INDIRECT(P$3),'Struktur Aktuell'!$D210,INDIRECT(P$5)))</f>
        <v>166.5</v>
      </c>
      <c r="Q210" s="593">
        <f ca="1">$E210*(-SUMIF(INDIRECT(Q$3),'Struktur Aktuell'!$D210,INDIRECT(Q$4))+SUMIF(INDIRECT(Q$3),'Struktur Aktuell'!$D210,INDIRECT(Q$5)))</f>
        <v>0</v>
      </c>
      <c r="R210" s="593">
        <f ca="1">$E210*(-SUMIF(INDIRECT(R$3),'Struktur Aktuell'!$D210,INDIRECT(R$4))+SUMIF(INDIRECT(R$3),'Struktur Aktuell'!$D210,INDIRECT(R$5)))</f>
        <v>0</v>
      </c>
      <c r="S210" s="593">
        <f ca="1">$E210*(-SUMIF(INDIRECT(S$3),'Struktur Aktuell'!$D210,INDIRECT(S$4))+SUMIF(INDIRECT(S$3),'Struktur Aktuell'!$D210,INDIRECT(S$5)))</f>
        <v>211.2</v>
      </c>
      <c r="T210" s="593">
        <f ca="1">$E210*(-SUMIF(INDIRECT(T$3),'Struktur Aktuell'!$D210,INDIRECT(T$4))+SUMIF(INDIRECT(T$3),'Struktur Aktuell'!$D210,INDIRECT(T$5)))</f>
        <v>238.2</v>
      </c>
      <c r="U210" s="593">
        <f ca="1">$E210*(-SUMIF(INDIRECT(U$3),'Struktur Aktuell'!$D210,INDIRECT(U$4))+SUMIF(INDIRECT(U$3),'Struktur Aktuell'!$D210,INDIRECT(U$5)))</f>
        <v>281.39999999999998</v>
      </c>
      <c r="V210" s="593">
        <f ca="1">$E210*(-SUMIF(INDIRECT(V$3),'Struktur Aktuell'!$D210,INDIRECT(V$4))+SUMIF(INDIRECT(V$3),'Struktur Aktuell'!$D210,INDIRECT(V$5)))</f>
        <v>282.60000000000002</v>
      </c>
      <c r="W210" s="593">
        <f ca="1">$E210*(-SUMIF(INDIRECT(W$3),'Struktur Aktuell'!$D210,INDIRECT(W$4))+SUMIF(INDIRECT(W$3),'Struktur Aktuell'!$D210,INDIRECT(W$5)))</f>
        <v>497.7</v>
      </c>
      <c r="X210" s="593">
        <f ca="1">$E210*(-SUMIF(INDIRECT(X$3),'Struktur Aktuell'!$D210,INDIRECT(X$4))+SUMIF(INDIRECT(X$3),'Struktur Aktuell'!$D210,INDIRECT(X$5)))</f>
        <v>582.6</v>
      </c>
      <c r="Y210" s="593">
        <f ca="1">$E210*(-SUMIF(INDIRECT(Y$3),'Struktur Aktuell'!$D210,INDIRECT(Y$4))+SUMIF(INDIRECT(Y$3),'Struktur Aktuell'!$D210,INDIRECT(Y$5)))</f>
        <v>738</v>
      </c>
      <c r="Z210" s="593">
        <f ca="1">$E210*(-SUMIF(INDIRECT(Z$3),'Struktur Aktuell'!$D210,INDIRECT(Z$4))+SUMIF(INDIRECT(Z$3),'Struktur Aktuell'!$D210,INDIRECT(Z$5)))</f>
        <v>784.2</v>
      </c>
      <c r="AA210" s="593">
        <f ca="1">$E210*(-SUMIF(INDIRECT(AA$3),'Struktur Aktuell'!$D210,INDIRECT(AA$4))+SUMIF(INDIRECT(AA$3),'Struktur Aktuell'!$D210,INDIRECT(AA$5)))</f>
        <v>784.2</v>
      </c>
      <c r="AB210" s="593">
        <f ca="1">$E210*(-SUMIF(INDIRECT(AB$3),'Struktur Aktuell'!$D210,INDIRECT(AB$4))+SUMIF(INDIRECT(AB$3),'Struktur Aktuell'!$D210,INDIRECT(AB$5)))</f>
        <v>950.7</v>
      </c>
      <c r="AC210" s="593">
        <f ca="1">$E210*(-SUMIF(INDIRECT(AC$3),'Struktur Aktuell'!$D210,INDIRECT(AC$4))+SUMIF(INDIRECT(AC$3),'Struktur Aktuell'!$D210,INDIRECT(AC$5)))</f>
        <v>0</v>
      </c>
      <c r="AD210" s="593">
        <f ca="1">$E210*(-SUMIF(INDIRECT(AD$3),'Struktur Aktuell'!$D210,INDIRECT(AD$4))+SUMIF(INDIRECT(AD$3),'Struktur Aktuell'!$D210,INDIRECT(AD$5)))</f>
        <v>0</v>
      </c>
      <c r="AE210" s="593">
        <f t="shared" ca="1" si="296"/>
        <v>211.2</v>
      </c>
      <c r="AF210" s="593">
        <f t="shared" ca="1" si="297"/>
        <v>238.2</v>
      </c>
      <c r="AG210" s="593">
        <f t="shared" ca="1" si="298"/>
        <v>281.39999999999998</v>
      </c>
      <c r="AH210" s="593">
        <f t="shared" ca="1" si="299"/>
        <v>282.59999999999997</v>
      </c>
      <c r="AI210" s="593">
        <f t="shared" ca="1" si="300"/>
        <v>497.69999999999993</v>
      </c>
      <c r="AJ210" s="593">
        <f t="shared" ca="1" si="301"/>
        <v>582.59999999999991</v>
      </c>
      <c r="AK210" s="593">
        <f t="shared" ca="1" si="302"/>
        <v>737.99999999999989</v>
      </c>
      <c r="AL210" s="593">
        <f t="shared" ca="1" si="303"/>
        <v>784.19999999999993</v>
      </c>
      <c r="AM210" s="593">
        <f t="shared" ca="1" si="304"/>
        <v>784.19999999999993</v>
      </c>
      <c r="AN210" s="593">
        <f t="shared" ca="1" si="305"/>
        <v>950.69999999999993</v>
      </c>
      <c r="AO210" s="593">
        <f t="shared" ca="1" si="306"/>
        <v>950.69999999999993</v>
      </c>
      <c r="AP210" s="593">
        <f t="shared" ca="1" si="307"/>
        <v>950.69999999999993</v>
      </c>
    </row>
    <row r="211" spans="1:42" s="594" customFormat="1" ht="11.25" outlineLevel="1" x14ac:dyDescent="0.2">
      <c r="A211" s="590"/>
      <c r="B211" s="591" t="str">
        <f>IF(D211&lt;&gt;"",
IF(ISERROR(MATCH(D211,'Ist Aktuell Monat 01'!A:A,0))=FALSE,INDEX('Ist Aktuell Monat 01'!B:B,MATCH(D211,'Ist Aktuell Monat 01'!A:A,0)),
IF(ISERROR(MATCH(D211,'Ist Aktuell Monat 02'!A:A,0))=FALSE,INDEX('Ist Aktuell Monat 02'!B:B,MATCH(D211,'Ist Aktuell Monat 02'!A:A,0)),
IF(ISERROR(MATCH(D211,'Ist Aktuell Monat 03'!A:A,0))=FALSE,INDEX('Ist Aktuell Monat 03'!B:B,MATCH(D211,'Ist Aktuell Monat 03'!A:A,0)),
IF(ISERROR(MATCH(D211,'Ist Aktuell Monat 04'!A:A,0))=FALSE,INDEX('Ist Aktuell Monat 04'!B:B,MATCH(D211,'Ist Aktuell Monat 04'!A:A,0)),
IF(ISERROR(MATCH(D211,'Ist Aktuell Monat 05'!A:A,0))=FALSE,INDEX('Ist Aktuell Monat 05'!B:B,MATCH(D211,'Ist Aktuell Monat 05'!A:A,0)),
IF(ISERROR(MATCH(D211,'Ist Aktuell Monat 06'!A:A,0))=FALSE,INDEX('Ist Aktuell Monat 06'!B:B,MATCH(D211,'Ist Aktuell Monat 06'!A:A,0)),
IF(ISERROR(MATCH(D211,'Ist Aktuell Monat 07'!A:A,0))=FALSE,INDEX('Ist Aktuell Monat 07'!B:B,MATCH(D211,'Ist Aktuell Monat 07'!A:A,0)),
IF(ISERROR(MATCH(D211,'Ist Aktuell Monat 08'!A:A,0))=FALSE,INDEX('Ist Aktuell Monat 08'!B:B,MATCH(D211,'Ist Aktuell Monat 08'!A:A,0)),
IF(ISERROR(MATCH(D211,'Ist Aktuell Monat 09'!A:A,0))=FALSE,INDEX('Ist Aktuell Monat 09'!B:B,MATCH(D211,'Ist Aktuell Monat 09'!A:A,0)),
IF(ISERROR(MATCH(D211,'Ist Aktuell Monat 10'!A:A,0))=FALSE,INDEX('Ist Aktuell Monat 10'!B:B,MATCH(D211,'Ist Aktuell Monat 10'!A:A,0)),
IF(ISERROR(MATCH(D211,'Ist Aktuell Monat 11'!A:A,0))=FALSE,INDEX('Ist Aktuell Monat 11'!B:B,MATCH(D211,'Ist Aktuell Monat 11'!A:A,0)),
IF(ISERROR(MATCH(D211,'Ist Aktuell Monat 12'!A:A,0))=FALSE,INDEX('Ist Aktuell Monat 12'!B:B,MATCH(D211,'Ist Aktuell Monat 12'!A:A,0)),
"{Konto unbekannt}"
)))))))))))),"")</f>
        <v/>
      </c>
      <c r="C211" s="591"/>
      <c r="D211" s="590"/>
      <c r="E211" s="592">
        <f t="shared" si="308"/>
        <v>1</v>
      </c>
      <c r="F211" s="590"/>
      <c r="G211" s="593">
        <f ca="1">$E211*(-SUMIF(INDIRECT(G$3),'Struktur Aktuell'!$D211,INDIRECT(G$4))+SUMIF(INDIRECT(G$3),'Struktur Aktuell'!$D211,INDIRECT(G$5)))</f>
        <v>0</v>
      </c>
      <c r="H211" s="593">
        <f ca="1">$E211*(-SUMIF(INDIRECT(H$3),'Struktur Aktuell'!$D211,INDIRECT(H$4))+SUMIF(INDIRECT(H$3),'Struktur Aktuell'!$D211,INDIRECT(H$5)))</f>
        <v>0</v>
      </c>
      <c r="I211" s="593">
        <f ca="1">$E211*(-SUMIF(INDIRECT(I$3),'Struktur Aktuell'!$D211,INDIRECT(I$4))+SUMIF(INDIRECT(I$3),'Struktur Aktuell'!$D211,INDIRECT(I$5)))</f>
        <v>0</v>
      </c>
      <c r="J211" s="593">
        <f ca="1">$E211*(-SUMIF(INDIRECT(J$3),'Struktur Aktuell'!$D211,INDIRECT(J$4))+SUMIF(INDIRECT(J$3),'Struktur Aktuell'!$D211,INDIRECT(J$5)))</f>
        <v>0</v>
      </c>
      <c r="K211" s="593">
        <f ca="1">$E211*(-SUMIF(INDIRECT(K$3),'Struktur Aktuell'!$D211,INDIRECT(K$4))+SUMIF(INDIRECT(K$3),'Struktur Aktuell'!$D211,INDIRECT(K$5)))</f>
        <v>0</v>
      </c>
      <c r="L211" s="593">
        <f ca="1">$E211*(-SUMIF(INDIRECT(L$3),'Struktur Aktuell'!$D211,INDIRECT(L$4))+SUMIF(INDIRECT(L$3),'Struktur Aktuell'!$D211,INDIRECT(L$5)))</f>
        <v>0</v>
      </c>
      <c r="M211" s="593">
        <f ca="1">$E211*(-SUMIF(INDIRECT(M$3),'Struktur Aktuell'!$D211,INDIRECT(M$4))+SUMIF(INDIRECT(M$3),'Struktur Aktuell'!$D211,INDIRECT(M$5)))</f>
        <v>0</v>
      </c>
      <c r="N211" s="593">
        <f ca="1">$E211*(-SUMIF(INDIRECT(N$3),'Struktur Aktuell'!$D211,INDIRECT(N$4))+SUMIF(INDIRECT(N$3),'Struktur Aktuell'!$D211,INDIRECT(N$5)))</f>
        <v>0</v>
      </c>
      <c r="O211" s="593">
        <f ca="1">$E211*(-SUMIF(INDIRECT(O$3),'Struktur Aktuell'!$D211,INDIRECT(O$4))+SUMIF(INDIRECT(O$3),'Struktur Aktuell'!$D211,INDIRECT(O$5)))</f>
        <v>0</v>
      </c>
      <c r="P211" s="593">
        <f ca="1">$E211*(-SUMIF(INDIRECT(P$3),'Struktur Aktuell'!$D211,INDIRECT(P$4))+SUMIF(INDIRECT(P$3),'Struktur Aktuell'!$D211,INDIRECT(P$5)))</f>
        <v>0</v>
      </c>
      <c r="Q211" s="593">
        <f ca="1">$E211*(-SUMIF(INDIRECT(Q$3),'Struktur Aktuell'!$D211,INDIRECT(Q$4))+SUMIF(INDIRECT(Q$3),'Struktur Aktuell'!$D211,INDIRECT(Q$5)))</f>
        <v>0</v>
      </c>
      <c r="R211" s="593">
        <f ca="1">$E211*(-SUMIF(INDIRECT(R$3),'Struktur Aktuell'!$D211,INDIRECT(R$4))+SUMIF(INDIRECT(R$3),'Struktur Aktuell'!$D211,INDIRECT(R$5)))</f>
        <v>0</v>
      </c>
      <c r="S211" s="593">
        <f ca="1">$E211*(-SUMIF(INDIRECT(S$3),'Struktur Aktuell'!$D211,INDIRECT(S$4))+SUMIF(INDIRECT(S$3),'Struktur Aktuell'!$D211,INDIRECT(S$5)))</f>
        <v>0</v>
      </c>
      <c r="T211" s="593">
        <f ca="1">$E211*(-SUMIF(INDIRECT(T$3),'Struktur Aktuell'!$D211,INDIRECT(T$4))+SUMIF(INDIRECT(T$3),'Struktur Aktuell'!$D211,INDIRECT(T$5)))</f>
        <v>0</v>
      </c>
      <c r="U211" s="593">
        <f ca="1">$E211*(-SUMIF(INDIRECT(U$3),'Struktur Aktuell'!$D211,INDIRECT(U$4))+SUMIF(INDIRECT(U$3),'Struktur Aktuell'!$D211,INDIRECT(U$5)))</f>
        <v>0</v>
      </c>
      <c r="V211" s="593">
        <f ca="1">$E211*(-SUMIF(INDIRECT(V$3),'Struktur Aktuell'!$D211,INDIRECT(V$4))+SUMIF(INDIRECT(V$3),'Struktur Aktuell'!$D211,INDIRECT(V$5)))</f>
        <v>0</v>
      </c>
      <c r="W211" s="593">
        <f ca="1">$E211*(-SUMIF(INDIRECT(W$3),'Struktur Aktuell'!$D211,INDIRECT(W$4))+SUMIF(INDIRECT(W$3),'Struktur Aktuell'!$D211,INDIRECT(W$5)))</f>
        <v>0</v>
      </c>
      <c r="X211" s="593">
        <f ca="1">$E211*(-SUMIF(INDIRECT(X$3),'Struktur Aktuell'!$D211,INDIRECT(X$4))+SUMIF(INDIRECT(X$3),'Struktur Aktuell'!$D211,INDIRECT(X$5)))</f>
        <v>0</v>
      </c>
      <c r="Y211" s="593">
        <f ca="1">$E211*(-SUMIF(INDIRECT(Y$3),'Struktur Aktuell'!$D211,INDIRECT(Y$4))+SUMIF(INDIRECT(Y$3),'Struktur Aktuell'!$D211,INDIRECT(Y$5)))</f>
        <v>0</v>
      </c>
      <c r="Z211" s="593">
        <f ca="1">$E211*(-SUMIF(INDIRECT(Z$3),'Struktur Aktuell'!$D211,INDIRECT(Z$4))+SUMIF(INDIRECT(Z$3),'Struktur Aktuell'!$D211,INDIRECT(Z$5)))</f>
        <v>0</v>
      </c>
      <c r="AA211" s="593">
        <f ca="1">$E211*(-SUMIF(INDIRECT(AA$3),'Struktur Aktuell'!$D211,INDIRECT(AA$4))+SUMIF(INDIRECT(AA$3),'Struktur Aktuell'!$D211,INDIRECT(AA$5)))</f>
        <v>0</v>
      </c>
      <c r="AB211" s="593">
        <f ca="1">$E211*(-SUMIF(INDIRECT(AB$3),'Struktur Aktuell'!$D211,INDIRECT(AB$4))+SUMIF(INDIRECT(AB$3),'Struktur Aktuell'!$D211,INDIRECT(AB$5)))</f>
        <v>0</v>
      </c>
      <c r="AC211" s="593">
        <f ca="1">$E211*(-SUMIF(INDIRECT(AC$3),'Struktur Aktuell'!$D211,INDIRECT(AC$4))+SUMIF(INDIRECT(AC$3),'Struktur Aktuell'!$D211,INDIRECT(AC$5)))</f>
        <v>0</v>
      </c>
      <c r="AD211" s="593">
        <f ca="1">$E211*(-SUMIF(INDIRECT(AD$3),'Struktur Aktuell'!$D211,INDIRECT(AD$4))+SUMIF(INDIRECT(AD$3),'Struktur Aktuell'!$D211,INDIRECT(AD$5)))</f>
        <v>0</v>
      </c>
      <c r="AE211" s="593">
        <f t="shared" ca="1" si="296"/>
        <v>0</v>
      </c>
      <c r="AF211" s="593">
        <f t="shared" ca="1" si="297"/>
        <v>0</v>
      </c>
      <c r="AG211" s="593">
        <f t="shared" ca="1" si="298"/>
        <v>0</v>
      </c>
      <c r="AH211" s="593">
        <f t="shared" ca="1" si="299"/>
        <v>0</v>
      </c>
      <c r="AI211" s="593">
        <f t="shared" ca="1" si="300"/>
        <v>0</v>
      </c>
      <c r="AJ211" s="593">
        <f t="shared" ca="1" si="301"/>
        <v>0</v>
      </c>
      <c r="AK211" s="593">
        <f t="shared" ca="1" si="302"/>
        <v>0</v>
      </c>
      <c r="AL211" s="593">
        <f t="shared" ca="1" si="303"/>
        <v>0</v>
      </c>
      <c r="AM211" s="593">
        <f t="shared" ca="1" si="304"/>
        <v>0</v>
      </c>
      <c r="AN211" s="593">
        <f t="shared" ca="1" si="305"/>
        <v>0</v>
      </c>
      <c r="AO211" s="593">
        <f t="shared" ca="1" si="306"/>
        <v>0</v>
      </c>
      <c r="AP211" s="593">
        <f t="shared" ca="1" si="307"/>
        <v>0</v>
      </c>
    </row>
    <row r="212" spans="1:42" s="594" customFormat="1" ht="11.25" outlineLevel="1" x14ac:dyDescent="0.2">
      <c r="A212" s="590"/>
      <c r="B212" s="591" t="str">
        <f>IF(D212&lt;&gt;"",
IF(ISERROR(MATCH(D212,'Ist Aktuell Monat 01'!A:A,0))=FALSE,INDEX('Ist Aktuell Monat 01'!B:B,MATCH(D212,'Ist Aktuell Monat 01'!A:A,0)),
IF(ISERROR(MATCH(D212,'Ist Aktuell Monat 02'!A:A,0))=FALSE,INDEX('Ist Aktuell Monat 02'!B:B,MATCH(D212,'Ist Aktuell Monat 02'!A:A,0)),
IF(ISERROR(MATCH(D212,'Ist Aktuell Monat 03'!A:A,0))=FALSE,INDEX('Ist Aktuell Monat 03'!B:B,MATCH(D212,'Ist Aktuell Monat 03'!A:A,0)),
IF(ISERROR(MATCH(D212,'Ist Aktuell Monat 04'!A:A,0))=FALSE,INDEX('Ist Aktuell Monat 04'!B:B,MATCH(D212,'Ist Aktuell Monat 04'!A:A,0)),
IF(ISERROR(MATCH(D212,'Ist Aktuell Monat 05'!A:A,0))=FALSE,INDEX('Ist Aktuell Monat 05'!B:B,MATCH(D212,'Ist Aktuell Monat 05'!A:A,0)),
IF(ISERROR(MATCH(D212,'Ist Aktuell Monat 06'!A:A,0))=FALSE,INDEX('Ist Aktuell Monat 06'!B:B,MATCH(D212,'Ist Aktuell Monat 06'!A:A,0)),
IF(ISERROR(MATCH(D212,'Ist Aktuell Monat 07'!A:A,0))=FALSE,INDEX('Ist Aktuell Monat 07'!B:B,MATCH(D212,'Ist Aktuell Monat 07'!A:A,0)),
IF(ISERROR(MATCH(D212,'Ist Aktuell Monat 08'!A:A,0))=FALSE,INDEX('Ist Aktuell Monat 08'!B:B,MATCH(D212,'Ist Aktuell Monat 08'!A:A,0)),
IF(ISERROR(MATCH(D212,'Ist Aktuell Monat 09'!A:A,0))=FALSE,INDEX('Ist Aktuell Monat 09'!B:B,MATCH(D212,'Ist Aktuell Monat 09'!A:A,0)),
IF(ISERROR(MATCH(D212,'Ist Aktuell Monat 10'!A:A,0))=FALSE,INDEX('Ist Aktuell Monat 10'!B:B,MATCH(D212,'Ist Aktuell Monat 10'!A:A,0)),
IF(ISERROR(MATCH(D212,'Ist Aktuell Monat 11'!A:A,0))=FALSE,INDEX('Ist Aktuell Monat 11'!B:B,MATCH(D212,'Ist Aktuell Monat 11'!A:A,0)),
IF(ISERROR(MATCH(D212,'Ist Aktuell Monat 12'!A:A,0))=FALSE,INDEX('Ist Aktuell Monat 12'!B:B,MATCH(D212,'Ist Aktuell Monat 12'!A:A,0)),
"{Konto unbekannt}"
)))))))))))),"")</f>
        <v/>
      </c>
      <c r="C212" s="591"/>
      <c r="D212" s="590"/>
      <c r="E212" s="592">
        <f t="shared" si="308"/>
        <v>1</v>
      </c>
      <c r="F212" s="590"/>
      <c r="G212" s="593">
        <f ca="1">$E212*(-SUMIF(INDIRECT(G$3),'Struktur Aktuell'!$D212,INDIRECT(G$4))+SUMIF(INDIRECT(G$3),'Struktur Aktuell'!$D212,INDIRECT(G$5)))</f>
        <v>0</v>
      </c>
      <c r="H212" s="593">
        <f ca="1">$E212*(-SUMIF(INDIRECT(H$3),'Struktur Aktuell'!$D212,INDIRECT(H$4))+SUMIF(INDIRECT(H$3),'Struktur Aktuell'!$D212,INDIRECT(H$5)))</f>
        <v>0</v>
      </c>
      <c r="I212" s="593">
        <f ca="1">$E212*(-SUMIF(INDIRECT(I$3),'Struktur Aktuell'!$D212,INDIRECT(I$4))+SUMIF(INDIRECT(I$3),'Struktur Aktuell'!$D212,INDIRECT(I$5)))</f>
        <v>0</v>
      </c>
      <c r="J212" s="593">
        <f ca="1">$E212*(-SUMIF(INDIRECT(J$3),'Struktur Aktuell'!$D212,INDIRECT(J$4))+SUMIF(INDIRECT(J$3),'Struktur Aktuell'!$D212,INDIRECT(J$5)))</f>
        <v>0</v>
      </c>
      <c r="K212" s="593">
        <f ca="1">$E212*(-SUMIF(INDIRECT(K$3),'Struktur Aktuell'!$D212,INDIRECT(K$4))+SUMIF(INDIRECT(K$3),'Struktur Aktuell'!$D212,INDIRECT(K$5)))</f>
        <v>0</v>
      </c>
      <c r="L212" s="593">
        <f ca="1">$E212*(-SUMIF(INDIRECT(L$3),'Struktur Aktuell'!$D212,INDIRECT(L$4))+SUMIF(INDIRECT(L$3),'Struktur Aktuell'!$D212,INDIRECT(L$5)))</f>
        <v>0</v>
      </c>
      <c r="M212" s="593">
        <f ca="1">$E212*(-SUMIF(INDIRECT(M$3),'Struktur Aktuell'!$D212,INDIRECT(M$4))+SUMIF(INDIRECT(M$3),'Struktur Aktuell'!$D212,INDIRECT(M$5)))</f>
        <v>0</v>
      </c>
      <c r="N212" s="593">
        <f ca="1">$E212*(-SUMIF(INDIRECT(N$3),'Struktur Aktuell'!$D212,INDIRECT(N$4))+SUMIF(INDIRECT(N$3),'Struktur Aktuell'!$D212,INDIRECT(N$5)))</f>
        <v>0</v>
      </c>
      <c r="O212" s="593">
        <f ca="1">$E212*(-SUMIF(INDIRECT(O$3),'Struktur Aktuell'!$D212,INDIRECT(O$4))+SUMIF(INDIRECT(O$3),'Struktur Aktuell'!$D212,INDIRECT(O$5)))</f>
        <v>0</v>
      </c>
      <c r="P212" s="593">
        <f ca="1">$E212*(-SUMIF(INDIRECT(P$3),'Struktur Aktuell'!$D212,INDIRECT(P$4))+SUMIF(INDIRECT(P$3),'Struktur Aktuell'!$D212,INDIRECT(P$5)))</f>
        <v>0</v>
      </c>
      <c r="Q212" s="593">
        <f ca="1">$E212*(-SUMIF(INDIRECT(Q$3),'Struktur Aktuell'!$D212,INDIRECT(Q$4))+SUMIF(INDIRECT(Q$3),'Struktur Aktuell'!$D212,INDIRECT(Q$5)))</f>
        <v>0</v>
      </c>
      <c r="R212" s="593">
        <f ca="1">$E212*(-SUMIF(INDIRECT(R$3),'Struktur Aktuell'!$D212,INDIRECT(R$4))+SUMIF(INDIRECT(R$3),'Struktur Aktuell'!$D212,INDIRECT(R$5)))</f>
        <v>0</v>
      </c>
      <c r="S212" s="593">
        <f ca="1">$E212*(-SUMIF(INDIRECT(S$3),'Struktur Aktuell'!$D212,INDIRECT(S$4))+SUMIF(INDIRECT(S$3),'Struktur Aktuell'!$D212,INDIRECT(S$5)))</f>
        <v>0</v>
      </c>
      <c r="T212" s="593">
        <f ca="1">$E212*(-SUMIF(INDIRECT(T$3),'Struktur Aktuell'!$D212,INDIRECT(T$4))+SUMIF(INDIRECT(T$3),'Struktur Aktuell'!$D212,INDIRECT(T$5)))</f>
        <v>0</v>
      </c>
      <c r="U212" s="593">
        <f ca="1">$E212*(-SUMIF(INDIRECT(U$3),'Struktur Aktuell'!$D212,INDIRECT(U$4))+SUMIF(INDIRECT(U$3),'Struktur Aktuell'!$D212,INDIRECT(U$5)))</f>
        <v>0</v>
      </c>
      <c r="V212" s="593">
        <f ca="1">$E212*(-SUMIF(INDIRECT(V$3),'Struktur Aktuell'!$D212,INDIRECT(V$4))+SUMIF(INDIRECT(V$3),'Struktur Aktuell'!$D212,INDIRECT(V$5)))</f>
        <v>0</v>
      </c>
      <c r="W212" s="593">
        <f ca="1">$E212*(-SUMIF(INDIRECT(W$3),'Struktur Aktuell'!$D212,INDIRECT(W$4))+SUMIF(INDIRECT(W$3),'Struktur Aktuell'!$D212,INDIRECT(W$5)))</f>
        <v>0</v>
      </c>
      <c r="X212" s="593">
        <f ca="1">$E212*(-SUMIF(INDIRECT(X$3),'Struktur Aktuell'!$D212,INDIRECT(X$4))+SUMIF(INDIRECT(X$3),'Struktur Aktuell'!$D212,INDIRECT(X$5)))</f>
        <v>0</v>
      </c>
      <c r="Y212" s="593">
        <f ca="1">$E212*(-SUMIF(INDIRECT(Y$3),'Struktur Aktuell'!$D212,INDIRECT(Y$4))+SUMIF(INDIRECT(Y$3),'Struktur Aktuell'!$D212,INDIRECT(Y$5)))</f>
        <v>0</v>
      </c>
      <c r="Z212" s="593">
        <f ca="1">$E212*(-SUMIF(INDIRECT(Z$3),'Struktur Aktuell'!$D212,INDIRECT(Z$4))+SUMIF(INDIRECT(Z$3),'Struktur Aktuell'!$D212,INDIRECT(Z$5)))</f>
        <v>0</v>
      </c>
      <c r="AA212" s="593">
        <f ca="1">$E212*(-SUMIF(INDIRECT(AA$3),'Struktur Aktuell'!$D212,INDIRECT(AA$4))+SUMIF(INDIRECT(AA$3),'Struktur Aktuell'!$D212,INDIRECT(AA$5)))</f>
        <v>0</v>
      </c>
      <c r="AB212" s="593">
        <f ca="1">$E212*(-SUMIF(INDIRECT(AB$3),'Struktur Aktuell'!$D212,INDIRECT(AB$4))+SUMIF(INDIRECT(AB$3),'Struktur Aktuell'!$D212,INDIRECT(AB$5)))</f>
        <v>0</v>
      </c>
      <c r="AC212" s="593">
        <f ca="1">$E212*(-SUMIF(INDIRECT(AC$3),'Struktur Aktuell'!$D212,INDIRECT(AC$4))+SUMIF(INDIRECT(AC$3),'Struktur Aktuell'!$D212,INDIRECT(AC$5)))</f>
        <v>0</v>
      </c>
      <c r="AD212" s="593">
        <f ca="1">$E212*(-SUMIF(INDIRECT(AD$3),'Struktur Aktuell'!$D212,INDIRECT(AD$4))+SUMIF(INDIRECT(AD$3),'Struktur Aktuell'!$D212,INDIRECT(AD$5)))</f>
        <v>0</v>
      </c>
      <c r="AE212" s="593">
        <f t="shared" ca="1" si="296"/>
        <v>0</v>
      </c>
      <c r="AF212" s="593">
        <f t="shared" ca="1" si="297"/>
        <v>0</v>
      </c>
      <c r="AG212" s="593">
        <f t="shared" ca="1" si="298"/>
        <v>0</v>
      </c>
      <c r="AH212" s="593">
        <f t="shared" ca="1" si="299"/>
        <v>0</v>
      </c>
      <c r="AI212" s="593">
        <f t="shared" ca="1" si="300"/>
        <v>0</v>
      </c>
      <c r="AJ212" s="593">
        <f t="shared" ca="1" si="301"/>
        <v>0</v>
      </c>
      <c r="AK212" s="593">
        <f t="shared" ca="1" si="302"/>
        <v>0</v>
      </c>
      <c r="AL212" s="593">
        <f t="shared" ca="1" si="303"/>
        <v>0</v>
      </c>
      <c r="AM212" s="593">
        <f t="shared" ca="1" si="304"/>
        <v>0</v>
      </c>
      <c r="AN212" s="593">
        <f t="shared" ca="1" si="305"/>
        <v>0</v>
      </c>
      <c r="AO212" s="593">
        <f t="shared" ca="1" si="306"/>
        <v>0</v>
      </c>
      <c r="AP212" s="593">
        <f t="shared" ca="1" si="307"/>
        <v>0</v>
      </c>
    </row>
    <row r="213" spans="1:42" s="594" customFormat="1" ht="11.25" outlineLevel="1" x14ac:dyDescent="0.2">
      <c r="A213" s="590"/>
      <c r="B213" s="591" t="str">
        <f>IF(D213&lt;&gt;"",
IF(ISERROR(MATCH(D213,'Ist Aktuell Monat 01'!A:A,0))=FALSE,INDEX('Ist Aktuell Monat 01'!B:B,MATCH(D213,'Ist Aktuell Monat 01'!A:A,0)),
IF(ISERROR(MATCH(D213,'Ist Aktuell Monat 02'!A:A,0))=FALSE,INDEX('Ist Aktuell Monat 02'!B:B,MATCH(D213,'Ist Aktuell Monat 02'!A:A,0)),
IF(ISERROR(MATCH(D213,'Ist Aktuell Monat 03'!A:A,0))=FALSE,INDEX('Ist Aktuell Monat 03'!B:B,MATCH(D213,'Ist Aktuell Monat 03'!A:A,0)),
IF(ISERROR(MATCH(D213,'Ist Aktuell Monat 04'!A:A,0))=FALSE,INDEX('Ist Aktuell Monat 04'!B:B,MATCH(D213,'Ist Aktuell Monat 04'!A:A,0)),
IF(ISERROR(MATCH(D213,'Ist Aktuell Monat 05'!A:A,0))=FALSE,INDEX('Ist Aktuell Monat 05'!B:B,MATCH(D213,'Ist Aktuell Monat 05'!A:A,0)),
IF(ISERROR(MATCH(D213,'Ist Aktuell Monat 06'!A:A,0))=FALSE,INDEX('Ist Aktuell Monat 06'!B:B,MATCH(D213,'Ist Aktuell Monat 06'!A:A,0)),
IF(ISERROR(MATCH(D213,'Ist Aktuell Monat 07'!A:A,0))=FALSE,INDEX('Ist Aktuell Monat 07'!B:B,MATCH(D213,'Ist Aktuell Monat 07'!A:A,0)),
IF(ISERROR(MATCH(D213,'Ist Aktuell Monat 08'!A:A,0))=FALSE,INDEX('Ist Aktuell Monat 08'!B:B,MATCH(D213,'Ist Aktuell Monat 08'!A:A,0)),
IF(ISERROR(MATCH(D213,'Ist Aktuell Monat 09'!A:A,0))=FALSE,INDEX('Ist Aktuell Monat 09'!B:B,MATCH(D213,'Ist Aktuell Monat 09'!A:A,0)),
IF(ISERROR(MATCH(D213,'Ist Aktuell Monat 10'!A:A,0))=FALSE,INDEX('Ist Aktuell Monat 10'!B:B,MATCH(D213,'Ist Aktuell Monat 10'!A:A,0)),
IF(ISERROR(MATCH(D213,'Ist Aktuell Monat 11'!A:A,0))=FALSE,INDEX('Ist Aktuell Monat 11'!B:B,MATCH(D213,'Ist Aktuell Monat 11'!A:A,0)),
IF(ISERROR(MATCH(D213,'Ist Aktuell Monat 12'!A:A,0))=FALSE,INDEX('Ist Aktuell Monat 12'!B:B,MATCH(D213,'Ist Aktuell Monat 12'!A:A,0)),
"{Konto unbekannt}"
)))))))))))),"")</f>
        <v/>
      </c>
      <c r="C213" s="591"/>
      <c r="D213" s="590"/>
      <c r="E213" s="592">
        <f t="shared" si="308"/>
        <v>1</v>
      </c>
      <c r="F213" s="590"/>
      <c r="G213" s="593">
        <f ca="1">$E213*(-SUMIF(INDIRECT(G$3),'Struktur Aktuell'!$D213,INDIRECT(G$4))+SUMIF(INDIRECT(G$3),'Struktur Aktuell'!$D213,INDIRECT(G$5)))</f>
        <v>0</v>
      </c>
      <c r="H213" s="593">
        <f ca="1">$E213*(-SUMIF(INDIRECT(H$3),'Struktur Aktuell'!$D213,INDIRECT(H$4))+SUMIF(INDIRECT(H$3),'Struktur Aktuell'!$D213,INDIRECT(H$5)))</f>
        <v>0</v>
      </c>
      <c r="I213" s="593">
        <f ca="1">$E213*(-SUMIF(INDIRECT(I$3),'Struktur Aktuell'!$D213,INDIRECT(I$4))+SUMIF(INDIRECT(I$3),'Struktur Aktuell'!$D213,INDIRECT(I$5)))</f>
        <v>0</v>
      </c>
      <c r="J213" s="593">
        <f ca="1">$E213*(-SUMIF(INDIRECT(J$3),'Struktur Aktuell'!$D213,INDIRECT(J$4))+SUMIF(INDIRECT(J$3),'Struktur Aktuell'!$D213,INDIRECT(J$5)))</f>
        <v>0</v>
      </c>
      <c r="K213" s="593">
        <f ca="1">$E213*(-SUMIF(INDIRECT(K$3),'Struktur Aktuell'!$D213,INDIRECT(K$4))+SUMIF(INDIRECT(K$3),'Struktur Aktuell'!$D213,INDIRECT(K$5)))</f>
        <v>0</v>
      </c>
      <c r="L213" s="593">
        <f ca="1">$E213*(-SUMIF(INDIRECT(L$3),'Struktur Aktuell'!$D213,INDIRECT(L$4))+SUMIF(INDIRECT(L$3),'Struktur Aktuell'!$D213,INDIRECT(L$5)))</f>
        <v>0</v>
      </c>
      <c r="M213" s="593">
        <f ca="1">$E213*(-SUMIF(INDIRECT(M$3),'Struktur Aktuell'!$D213,INDIRECT(M$4))+SUMIF(INDIRECT(M$3),'Struktur Aktuell'!$D213,INDIRECT(M$5)))</f>
        <v>0</v>
      </c>
      <c r="N213" s="593">
        <f ca="1">$E213*(-SUMIF(INDIRECT(N$3),'Struktur Aktuell'!$D213,INDIRECT(N$4))+SUMIF(INDIRECT(N$3),'Struktur Aktuell'!$D213,INDIRECT(N$5)))</f>
        <v>0</v>
      </c>
      <c r="O213" s="593">
        <f ca="1">$E213*(-SUMIF(INDIRECT(O$3),'Struktur Aktuell'!$D213,INDIRECT(O$4))+SUMIF(INDIRECT(O$3),'Struktur Aktuell'!$D213,INDIRECT(O$5)))</f>
        <v>0</v>
      </c>
      <c r="P213" s="593">
        <f ca="1">$E213*(-SUMIF(INDIRECT(P$3),'Struktur Aktuell'!$D213,INDIRECT(P$4))+SUMIF(INDIRECT(P$3),'Struktur Aktuell'!$D213,INDIRECT(P$5)))</f>
        <v>0</v>
      </c>
      <c r="Q213" s="593">
        <f ca="1">$E213*(-SUMIF(INDIRECT(Q$3),'Struktur Aktuell'!$D213,INDIRECT(Q$4))+SUMIF(INDIRECT(Q$3),'Struktur Aktuell'!$D213,INDIRECT(Q$5)))</f>
        <v>0</v>
      </c>
      <c r="R213" s="593">
        <f ca="1">$E213*(-SUMIF(INDIRECT(R$3),'Struktur Aktuell'!$D213,INDIRECT(R$4))+SUMIF(INDIRECT(R$3),'Struktur Aktuell'!$D213,INDIRECT(R$5)))</f>
        <v>0</v>
      </c>
      <c r="S213" s="593">
        <f ca="1">$E213*(-SUMIF(INDIRECT(S$3),'Struktur Aktuell'!$D213,INDIRECT(S$4))+SUMIF(INDIRECT(S$3),'Struktur Aktuell'!$D213,INDIRECT(S$5)))</f>
        <v>0</v>
      </c>
      <c r="T213" s="593">
        <f ca="1">$E213*(-SUMIF(INDIRECT(T$3),'Struktur Aktuell'!$D213,INDIRECT(T$4))+SUMIF(INDIRECT(T$3),'Struktur Aktuell'!$D213,INDIRECT(T$5)))</f>
        <v>0</v>
      </c>
      <c r="U213" s="593">
        <f ca="1">$E213*(-SUMIF(INDIRECT(U$3),'Struktur Aktuell'!$D213,INDIRECT(U$4))+SUMIF(INDIRECT(U$3),'Struktur Aktuell'!$D213,INDIRECT(U$5)))</f>
        <v>0</v>
      </c>
      <c r="V213" s="593">
        <f ca="1">$E213*(-SUMIF(INDIRECT(V$3),'Struktur Aktuell'!$D213,INDIRECT(V$4))+SUMIF(INDIRECT(V$3),'Struktur Aktuell'!$D213,INDIRECT(V$5)))</f>
        <v>0</v>
      </c>
      <c r="W213" s="593">
        <f ca="1">$E213*(-SUMIF(INDIRECT(W$3),'Struktur Aktuell'!$D213,INDIRECT(W$4))+SUMIF(INDIRECT(W$3),'Struktur Aktuell'!$D213,INDIRECT(W$5)))</f>
        <v>0</v>
      </c>
      <c r="X213" s="593">
        <f ca="1">$E213*(-SUMIF(INDIRECT(X$3),'Struktur Aktuell'!$D213,INDIRECT(X$4))+SUMIF(INDIRECT(X$3),'Struktur Aktuell'!$D213,INDIRECT(X$5)))</f>
        <v>0</v>
      </c>
      <c r="Y213" s="593">
        <f ca="1">$E213*(-SUMIF(INDIRECT(Y$3),'Struktur Aktuell'!$D213,INDIRECT(Y$4))+SUMIF(INDIRECT(Y$3),'Struktur Aktuell'!$D213,INDIRECT(Y$5)))</f>
        <v>0</v>
      </c>
      <c r="Z213" s="593">
        <f ca="1">$E213*(-SUMIF(INDIRECT(Z$3),'Struktur Aktuell'!$D213,INDIRECT(Z$4))+SUMIF(INDIRECT(Z$3),'Struktur Aktuell'!$D213,INDIRECT(Z$5)))</f>
        <v>0</v>
      </c>
      <c r="AA213" s="593">
        <f ca="1">$E213*(-SUMIF(INDIRECT(AA$3),'Struktur Aktuell'!$D213,INDIRECT(AA$4))+SUMIF(INDIRECT(AA$3),'Struktur Aktuell'!$D213,INDIRECT(AA$5)))</f>
        <v>0</v>
      </c>
      <c r="AB213" s="593">
        <f ca="1">$E213*(-SUMIF(INDIRECT(AB$3),'Struktur Aktuell'!$D213,INDIRECT(AB$4))+SUMIF(INDIRECT(AB$3),'Struktur Aktuell'!$D213,INDIRECT(AB$5)))</f>
        <v>0</v>
      </c>
      <c r="AC213" s="593">
        <f ca="1">$E213*(-SUMIF(INDIRECT(AC$3),'Struktur Aktuell'!$D213,INDIRECT(AC$4))+SUMIF(INDIRECT(AC$3),'Struktur Aktuell'!$D213,INDIRECT(AC$5)))</f>
        <v>0</v>
      </c>
      <c r="AD213" s="593">
        <f ca="1">$E213*(-SUMIF(INDIRECT(AD$3),'Struktur Aktuell'!$D213,INDIRECT(AD$4))+SUMIF(INDIRECT(AD$3),'Struktur Aktuell'!$D213,INDIRECT(AD$5)))</f>
        <v>0</v>
      </c>
      <c r="AE213" s="593">
        <f t="shared" ca="1" si="296"/>
        <v>0</v>
      </c>
      <c r="AF213" s="593">
        <f t="shared" ca="1" si="297"/>
        <v>0</v>
      </c>
      <c r="AG213" s="593">
        <f t="shared" ca="1" si="298"/>
        <v>0</v>
      </c>
      <c r="AH213" s="593">
        <f t="shared" ca="1" si="299"/>
        <v>0</v>
      </c>
      <c r="AI213" s="593">
        <f t="shared" ca="1" si="300"/>
        <v>0</v>
      </c>
      <c r="AJ213" s="593">
        <f t="shared" ca="1" si="301"/>
        <v>0</v>
      </c>
      <c r="AK213" s="593">
        <f t="shared" ca="1" si="302"/>
        <v>0</v>
      </c>
      <c r="AL213" s="593">
        <f t="shared" ca="1" si="303"/>
        <v>0</v>
      </c>
      <c r="AM213" s="593">
        <f t="shared" ca="1" si="304"/>
        <v>0</v>
      </c>
      <c r="AN213" s="593">
        <f t="shared" ca="1" si="305"/>
        <v>0</v>
      </c>
      <c r="AO213" s="593">
        <f t="shared" ca="1" si="306"/>
        <v>0</v>
      </c>
      <c r="AP213" s="593">
        <f t="shared" ca="1" si="307"/>
        <v>0</v>
      </c>
    </row>
    <row r="214" spans="1:42" s="594" customFormat="1" ht="11.25" outlineLevel="1" x14ac:dyDescent="0.2">
      <c r="A214" s="590"/>
      <c r="B214" s="591" t="str">
        <f>IF(D214&lt;&gt;"",
IF(ISERROR(MATCH(D214,'Ist Aktuell Monat 01'!A:A,0))=FALSE,INDEX('Ist Aktuell Monat 01'!B:B,MATCH(D214,'Ist Aktuell Monat 01'!A:A,0)),
IF(ISERROR(MATCH(D214,'Ist Aktuell Monat 02'!A:A,0))=FALSE,INDEX('Ist Aktuell Monat 02'!B:B,MATCH(D214,'Ist Aktuell Monat 02'!A:A,0)),
IF(ISERROR(MATCH(D214,'Ist Aktuell Monat 03'!A:A,0))=FALSE,INDEX('Ist Aktuell Monat 03'!B:B,MATCH(D214,'Ist Aktuell Monat 03'!A:A,0)),
IF(ISERROR(MATCH(D214,'Ist Aktuell Monat 04'!A:A,0))=FALSE,INDEX('Ist Aktuell Monat 04'!B:B,MATCH(D214,'Ist Aktuell Monat 04'!A:A,0)),
IF(ISERROR(MATCH(D214,'Ist Aktuell Monat 05'!A:A,0))=FALSE,INDEX('Ist Aktuell Monat 05'!B:B,MATCH(D214,'Ist Aktuell Monat 05'!A:A,0)),
IF(ISERROR(MATCH(D214,'Ist Aktuell Monat 06'!A:A,0))=FALSE,INDEX('Ist Aktuell Monat 06'!B:B,MATCH(D214,'Ist Aktuell Monat 06'!A:A,0)),
IF(ISERROR(MATCH(D214,'Ist Aktuell Monat 07'!A:A,0))=FALSE,INDEX('Ist Aktuell Monat 07'!B:B,MATCH(D214,'Ist Aktuell Monat 07'!A:A,0)),
IF(ISERROR(MATCH(D214,'Ist Aktuell Monat 08'!A:A,0))=FALSE,INDEX('Ist Aktuell Monat 08'!B:B,MATCH(D214,'Ist Aktuell Monat 08'!A:A,0)),
IF(ISERROR(MATCH(D214,'Ist Aktuell Monat 09'!A:A,0))=FALSE,INDEX('Ist Aktuell Monat 09'!B:B,MATCH(D214,'Ist Aktuell Monat 09'!A:A,0)),
IF(ISERROR(MATCH(D214,'Ist Aktuell Monat 10'!A:A,0))=FALSE,INDEX('Ist Aktuell Monat 10'!B:B,MATCH(D214,'Ist Aktuell Monat 10'!A:A,0)),
IF(ISERROR(MATCH(D214,'Ist Aktuell Monat 11'!A:A,0))=FALSE,INDEX('Ist Aktuell Monat 11'!B:B,MATCH(D214,'Ist Aktuell Monat 11'!A:A,0)),
IF(ISERROR(MATCH(D214,'Ist Aktuell Monat 12'!A:A,0))=FALSE,INDEX('Ist Aktuell Monat 12'!B:B,MATCH(D214,'Ist Aktuell Monat 12'!A:A,0)),
"{Konto unbekannt}"
)))))))))))),"")</f>
        <v/>
      </c>
      <c r="C214" s="591"/>
      <c r="D214" s="590"/>
      <c r="E214" s="592">
        <f t="shared" si="308"/>
        <v>1</v>
      </c>
      <c r="F214" s="590"/>
      <c r="G214" s="593">
        <f ca="1">$E214*(-SUMIF(INDIRECT(G$3),'Struktur Aktuell'!$D214,INDIRECT(G$4))+SUMIF(INDIRECT(G$3),'Struktur Aktuell'!$D214,INDIRECT(G$5)))</f>
        <v>0</v>
      </c>
      <c r="H214" s="593">
        <f ca="1">$E214*(-SUMIF(INDIRECT(H$3),'Struktur Aktuell'!$D214,INDIRECT(H$4))+SUMIF(INDIRECT(H$3),'Struktur Aktuell'!$D214,INDIRECT(H$5)))</f>
        <v>0</v>
      </c>
      <c r="I214" s="593">
        <f ca="1">$E214*(-SUMIF(INDIRECT(I$3),'Struktur Aktuell'!$D214,INDIRECT(I$4))+SUMIF(INDIRECT(I$3),'Struktur Aktuell'!$D214,INDIRECT(I$5)))</f>
        <v>0</v>
      </c>
      <c r="J214" s="593">
        <f ca="1">$E214*(-SUMIF(INDIRECT(J$3),'Struktur Aktuell'!$D214,INDIRECT(J$4))+SUMIF(INDIRECT(J$3),'Struktur Aktuell'!$D214,INDIRECT(J$5)))</f>
        <v>0</v>
      </c>
      <c r="K214" s="593">
        <f ca="1">$E214*(-SUMIF(INDIRECT(K$3),'Struktur Aktuell'!$D214,INDIRECT(K$4))+SUMIF(INDIRECT(K$3),'Struktur Aktuell'!$D214,INDIRECT(K$5)))</f>
        <v>0</v>
      </c>
      <c r="L214" s="593">
        <f ca="1">$E214*(-SUMIF(INDIRECT(L$3),'Struktur Aktuell'!$D214,INDIRECT(L$4))+SUMIF(INDIRECT(L$3),'Struktur Aktuell'!$D214,INDIRECT(L$5)))</f>
        <v>0</v>
      </c>
      <c r="M214" s="593">
        <f ca="1">$E214*(-SUMIF(INDIRECT(M$3),'Struktur Aktuell'!$D214,INDIRECT(M$4))+SUMIF(INDIRECT(M$3),'Struktur Aktuell'!$D214,INDIRECT(M$5)))</f>
        <v>0</v>
      </c>
      <c r="N214" s="593">
        <f ca="1">$E214*(-SUMIF(INDIRECT(N$3),'Struktur Aktuell'!$D214,INDIRECT(N$4))+SUMIF(INDIRECT(N$3),'Struktur Aktuell'!$D214,INDIRECT(N$5)))</f>
        <v>0</v>
      </c>
      <c r="O214" s="593">
        <f ca="1">$E214*(-SUMIF(INDIRECT(O$3),'Struktur Aktuell'!$D214,INDIRECT(O$4))+SUMIF(INDIRECT(O$3),'Struktur Aktuell'!$D214,INDIRECT(O$5)))</f>
        <v>0</v>
      </c>
      <c r="P214" s="593">
        <f ca="1">$E214*(-SUMIF(INDIRECT(P$3),'Struktur Aktuell'!$D214,INDIRECT(P$4))+SUMIF(INDIRECT(P$3),'Struktur Aktuell'!$D214,INDIRECT(P$5)))</f>
        <v>0</v>
      </c>
      <c r="Q214" s="593">
        <f ca="1">$E214*(-SUMIF(INDIRECT(Q$3),'Struktur Aktuell'!$D214,INDIRECT(Q$4))+SUMIF(INDIRECT(Q$3),'Struktur Aktuell'!$D214,INDIRECT(Q$5)))</f>
        <v>0</v>
      </c>
      <c r="R214" s="593">
        <f ca="1">$E214*(-SUMIF(INDIRECT(R$3),'Struktur Aktuell'!$D214,INDIRECT(R$4))+SUMIF(INDIRECT(R$3),'Struktur Aktuell'!$D214,INDIRECT(R$5)))</f>
        <v>0</v>
      </c>
      <c r="S214" s="593">
        <f ca="1">$E214*(-SUMIF(INDIRECT(S$3),'Struktur Aktuell'!$D214,INDIRECT(S$4))+SUMIF(INDIRECT(S$3),'Struktur Aktuell'!$D214,INDIRECT(S$5)))</f>
        <v>0</v>
      </c>
      <c r="T214" s="593">
        <f ca="1">$E214*(-SUMIF(INDIRECT(T$3),'Struktur Aktuell'!$D214,INDIRECT(T$4))+SUMIF(INDIRECT(T$3),'Struktur Aktuell'!$D214,INDIRECT(T$5)))</f>
        <v>0</v>
      </c>
      <c r="U214" s="593">
        <f ca="1">$E214*(-SUMIF(INDIRECT(U$3),'Struktur Aktuell'!$D214,INDIRECT(U$4))+SUMIF(INDIRECT(U$3),'Struktur Aktuell'!$D214,INDIRECT(U$5)))</f>
        <v>0</v>
      </c>
      <c r="V214" s="593">
        <f ca="1">$E214*(-SUMIF(INDIRECT(V$3),'Struktur Aktuell'!$D214,INDIRECT(V$4))+SUMIF(INDIRECT(V$3),'Struktur Aktuell'!$D214,INDIRECT(V$5)))</f>
        <v>0</v>
      </c>
      <c r="W214" s="593">
        <f ca="1">$E214*(-SUMIF(INDIRECT(W$3),'Struktur Aktuell'!$D214,INDIRECT(W$4))+SUMIF(INDIRECT(W$3),'Struktur Aktuell'!$D214,INDIRECT(W$5)))</f>
        <v>0</v>
      </c>
      <c r="X214" s="593">
        <f ca="1">$E214*(-SUMIF(INDIRECT(X$3),'Struktur Aktuell'!$D214,INDIRECT(X$4))+SUMIF(INDIRECT(X$3),'Struktur Aktuell'!$D214,INDIRECT(X$5)))</f>
        <v>0</v>
      </c>
      <c r="Y214" s="593">
        <f ca="1">$E214*(-SUMIF(INDIRECT(Y$3),'Struktur Aktuell'!$D214,INDIRECT(Y$4))+SUMIF(INDIRECT(Y$3),'Struktur Aktuell'!$D214,INDIRECT(Y$5)))</f>
        <v>0</v>
      </c>
      <c r="Z214" s="593">
        <f ca="1">$E214*(-SUMIF(INDIRECT(Z$3),'Struktur Aktuell'!$D214,INDIRECT(Z$4))+SUMIF(INDIRECT(Z$3),'Struktur Aktuell'!$D214,INDIRECT(Z$5)))</f>
        <v>0</v>
      </c>
      <c r="AA214" s="593">
        <f ca="1">$E214*(-SUMIF(INDIRECT(AA$3),'Struktur Aktuell'!$D214,INDIRECT(AA$4))+SUMIF(INDIRECT(AA$3),'Struktur Aktuell'!$D214,INDIRECT(AA$5)))</f>
        <v>0</v>
      </c>
      <c r="AB214" s="593">
        <f ca="1">$E214*(-SUMIF(INDIRECT(AB$3),'Struktur Aktuell'!$D214,INDIRECT(AB$4))+SUMIF(INDIRECT(AB$3),'Struktur Aktuell'!$D214,INDIRECT(AB$5)))</f>
        <v>0</v>
      </c>
      <c r="AC214" s="593">
        <f ca="1">$E214*(-SUMIF(INDIRECT(AC$3),'Struktur Aktuell'!$D214,INDIRECT(AC$4))+SUMIF(INDIRECT(AC$3),'Struktur Aktuell'!$D214,INDIRECT(AC$5)))</f>
        <v>0</v>
      </c>
      <c r="AD214" s="593">
        <f ca="1">$E214*(-SUMIF(INDIRECT(AD$3),'Struktur Aktuell'!$D214,INDIRECT(AD$4))+SUMIF(INDIRECT(AD$3),'Struktur Aktuell'!$D214,INDIRECT(AD$5)))</f>
        <v>0</v>
      </c>
      <c r="AE214" s="593">
        <f t="shared" ca="1" si="296"/>
        <v>0</v>
      </c>
      <c r="AF214" s="593">
        <f t="shared" ca="1" si="297"/>
        <v>0</v>
      </c>
      <c r="AG214" s="593">
        <f t="shared" ca="1" si="298"/>
        <v>0</v>
      </c>
      <c r="AH214" s="593">
        <f t="shared" ca="1" si="299"/>
        <v>0</v>
      </c>
      <c r="AI214" s="593">
        <f t="shared" ca="1" si="300"/>
        <v>0</v>
      </c>
      <c r="AJ214" s="593">
        <f t="shared" ca="1" si="301"/>
        <v>0</v>
      </c>
      <c r="AK214" s="593">
        <f t="shared" ca="1" si="302"/>
        <v>0</v>
      </c>
      <c r="AL214" s="593">
        <f t="shared" ca="1" si="303"/>
        <v>0</v>
      </c>
      <c r="AM214" s="593">
        <f t="shared" ca="1" si="304"/>
        <v>0</v>
      </c>
      <c r="AN214" s="593">
        <f t="shared" ca="1" si="305"/>
        <v>0</v>
      </c>
      <c r="AO214" s="593">
        <f t="shared" ca="1" si="306"/>
        <v>0</v>
      </c>
      <c r="AP214" s="593">
        <f t="shared" ca="1" si="307"/>
        <v>0</v>
      </c>
    </row>
    <row r="215" spans="1:42" s="594" customFormat="1" ht="11.25" outlineLevel="1" x14ac:dyDescent="0.2">
      <c r="A215" s="590"/>
      <c r="B215" s="591" t="str">
        <f>IF(D215&lt;&gt;"",
IF(ISERROR(MATCH(D215,'Ist Aktuell Monat 01'!A:A,0))=FALSE,INDEX('Ist Aktuell Monat 01'!B:B,MATCH(D215,'Ist Aktuell Monat 01'!A:A,0)),
IF(ISERROR(MATCH(D215,'Ist Aktuell Monat 02'!A:A,0))=FALSE,INDEX('Ist Aktuell Monat 02'!B:B,MATCH(D215,'Ist Aktuell Monat 02'!A:A,0)),
IF(ISERROR(MATCH(D215,'Ist Aktuell Monat 03'!A:A,0))=FALSE,INDEX('Ist Aktuell Monat 03'!B:B,MATCH(D215,'Ist Aktuell Monat 03'!A:A,0)),
IF(ISERROR(MATCH(D215,'Ist Aktuell Monat 04'!A:A,0))=FALSE,INDEX('Ist Aktuell Monat 04'!B:B,MATCH(D215,'Ist Aktuell Monat 04'!A:A,0)),
IF(ISERROR(MATCH(D215,'Ist Aktuell Monat 05'!A:A,0))=FALSE,INDEX('Ist Aktuell Monat 05'!B:B,MATCH(D215,'Ist Aktuell Monat 05'!A:A,0)),
IF(ISERROR(MATCH(D215,'Ist Aktuell Monat 06'!A:A,0))=FALSE,INDEX('Ist Aktuell Monat 06'!B:B,MATCH(D215,'Ist Aktuell Monat 06'!A:A,0)),
IF(ISERROR(MATCH(D215,'Ist Aktuell Monat 07'!A:A,0))=FALSE,INDEX('Ist Aktuell Monat 07'!B:B,MATCH(D215,'Ist Aktuell Monat 07'!A:A,0)),
IF(ISERROR(MATCH(D215,'Ist Aktuell Monat 08'!A:A,0))=FALSE,INDEX('Ist Aktuell Monat 08'!B:B,MATCH(D215,'Ist Aktuell Monat 08'!A:A,0)),
IF(ISERROR(MATCH(D215,'Ist Aktuell Monat 09'!A:A,0))=FALSE,INDEX('Ist Aktuell Monat 09'!B:B,MATCH(D215,'Ist Aktuell Monat 09'!A:A,0)),
IF(ISERROR(MATCH(D215,'Ist Aktuell Monat 10'!A:A,0))=FALSE,INDEX('Ist Aktuell Monat 10'!B:B,MATCH(D215,'Ist Aktuell Monat 10'!A:A,0)),
IF(ISERROR(MATCH(D215,'Ist Aktuell Monat 11'!A:A,0))=FALSE,INDEX('Ist Aktuell Monat 11'!B:B,MATCH(D215,'Ist Aktuell Monat 11'!A:A,0)),
IF(ISERROR(MATCH(D215,'Ist Aktuell Monat 12'!A:A,0))=FALSE,INDEX('Ist Aktuell Monat 12'!B:B,MATCH(D215,'Ist Aktuell Monat 12'!A:A,0)),
"{Konto unbekannt}"
)))))))))))),"")</f>
        <v/>
      </c>
      <c r="C215" s="591"/>
      <c r="D215" s="590"/>
      <c r="E215" s="592">
        <f t="shared" si="308"/>
        <v>1</v>
      </c>
      <c r="F215" s="590"/>
      <c r="G215" s="593">
        <f ca="1">$E215*(-SUMIF(INDIRECT(G$3),'Struktur Aktuell'!$D215,INDIRECT(G$4))+SUMIF(INDIRECT(G$3),'Struktur Aktuell'!$D215,INDIRECT(G$5)))</f>
        <v>0</v>
      </c>
      <c r="H215" s="593">
        <f ca="1">$E215*(-SUMIF(INDIRECT(H$3),'Struktur Aktuell'!$D215,INDIRECT(H$4))+SUMIF(INDIRECT(H$3),'Struktur Aktuell'!$D215,INDIRECT(H$5)))</f>
        <v>0</v>
      </c>
      <c r="I215" s="593">
        <f ca="1">$E215*(-SUMIF(INDIRECT(I$3),'Struktur Aktuell'!$D215,INDIRECT(I$4))+SUMIF(INDIRECT(I$3),'Struktur Aktuell'!$D215,INDIRECT(I$5)))</f>
        <v>0</v>
      </c>
      <c r="J215" s="593">
        <f ca="1">$E215*(-SUMIF(INDIRECT(J$3),'Struktur Aktuell'!$D215,INDIRECT(J$4))+SUMIF(INDIRECT(J$3),'Struktur Aktuell'!$D215,INDIRECT(J$5)))</f>
        <v>0</v>
      </c>
      <c r="K215" s="593">
        <f ca="1">$E215*(-SUMIF(INDIRECT(K$3),'Struktur Aktuell'!$D215,INDIRECT(K$4))+SUMIF(INDIRECT(K$3),'Struktur Aktuell'!$D215,INDIRECT(K$5)))</f>
        <v>0</v>
      </c>
      <c r="L215" s="593">
        <f ca="1">$E215*(-SUMIF(INDIRECT(L$3),'Struktur Aktuell'!$D215,INDIRECT(L$4))+SUMIF(INDIRECT(L$3),'Struktur Aktuell'!$D215,INDIRECT(L$5)))</f>
        <v>0</v>
      </c>
      <c r="M215" s="593">
        <f ca="1">$E215*(-SUMIF(INDIRECT(M$3),'Struktur Aktuell'!$D215,INDIRECT(M$4))+SUMIF(INDIRECT(M$3),'Struktur Aktuell'!$D215,INDIRECT(M$5)))</f>
        <v>0</v>
      </c>
      <c r="N215" s="593">
        <f ca="1">$E215*(-SUMIF(INDIRECT(N$3),'Struktur Aktuell'!$D215,INDIRECT(N$4))+SUMIF(INDIRECT(N$3),'Struktur Aktuell'!$D215,INDIRECT(N$5)))</f>
        <v>0</v>
      </c>
      <c r="O215" s="593">
        <f ca="1">$E215*(-SUMIF(INDIRECT(O$3),'Struktur Aktuell'!$D215,INDIRECT(O$4))+SUMIF(INDIRECT(O$3),'Struktur Aktuell'!$D215,INDIRECT(O$5)))</f>
        <v>0</v>
      </c>
      <c r="P215" s="593">
        <f ca="1">$E215*(-SUMIF(INDIRECT(P$3),'Struktur Aktuell'!$D215,INDIRECT(P$4))+SUMIF(INDIRECT(P$3),'Struktur Aktuell'!$D215,INDIRECT(P$5)))</f>
        <v>0</v>
      </c>
      <c r="Q215" s="593">
        <f ca="1">$E215*(-SUMIF(INDIRECT(Q$3),'Struktur Aktuell'!$D215,INDIRECT(Q$4))+SUMIF(INDIRECT(Q$3),'Struktur Aktuell'!$D215,INDIRECT(Q$5)))</f>
        <v>0</v>
      </c>
      <c r="R215" s="593">
        <f ca="1">$E215*(-SUMIF(INDIRECT(R$3),'Struktur Aktuell'!$D215,INDIRECT(R$4))+SUMIF(INDIRECT(R$3),'Struktur Aktuell'!$D215,INDIRECT(R$5)))</f>
        <v>0</v>
      </c>
      <c r="S215" s="593">
        <f ca="1">$E215*(-SUMIF(INDIRECT(S$3),'Struktur Aktuell'!$D215,INDIRECT(S$4))+SUMIF(INDIRECT(S$3),'Struktur Aktuell'!$D215,INDIRECT(S$5)))</f>
        <v>0</v>
      </c>
      <c r="T215" s="593">
        <f ca="1">$E215*(-SUMIF(INDIRECT(T$3),'Struktur Aktuell'!$D215,INDIRECT(T$4))+SUMIF(INDIRECT(T$3),'Struktur Aktuell'!$D215,INDIRECT(T$5)))</f>
        <v>0</v>
      </c>
      <c r="U215" s="593">
        <f ca="1">$E215*(-SUMIF(INDIRECT(U$3),'Struktur Aktuell'!$D215,INDIRECT(U$4))+SUMIF(INDIRECT(U$3),'Struktur Aktuell'!$D215,INDIRECT(U$5)))</f>
        <v>0</v>
      </c>
      <c r="V215" s="593">
        <f ca="1">$E215*(-SUMIF(INDIRECT(V$3),'Struktur Aktuell'!$D215,INDIRECT(V$4))+SUMIF(INDIRECT(V$3),'Struktur Aktuell'!$D215,INDIRECT(V$5)))</f>
        <v>0</v>
      </c>
      <c r="W215" s="593">
        <f ca="1">$E215*(-SUMIF(INDIRECT(W$3),'Struktur Aktuell'!$D215,INDIRECT(W$4))+SUMIF(INDIRECT(W$3),'Struktur Aktuell'!$D215,INDIRECT(W$5)))</f>
        <v>0</v>
      </c>
      <c r="X215" s="593">
        <f ca="1">$E215*(-SUMIF(INDIRECT(X$3),'Struktur Aktuell'!$D215,INDIRECT(X$4))+SUMIF(INDIRECT(X$3),'Struktur Aktuell'!$D215,INDIRECT(X$5)))</f>
        <v>0</v>
      </c>
      <c r="Y215" s="593">
        <f ca="1">$E215*(-SUMIF(INDIRECT(Y$3),'Struktur Aktuell'!$D215,INDIRECT(Y$4))+SUMIF(INDIRECT(Y$3),'Struktur Aktuell'!$D215,INDIRECT(Y$5)))</f>
        <v>0</v>
      </c>
      <c r="Z215" s="593">
        <f ca="1">$E215*(-SUMIF(INDIRECT(Z$3),'Struktur Aktuell'!$D215,INDIRECT(Z$4))+SUMIF(INDIRECT(Z$3),'Struktur Aktuell'!$D215,INDIRECT(Z$5)))</f>
        <v>0</v>
      </c>
      <c r="AA215" s="593">
        <f ca="1">$E215*(-SUMIF(INDIRECT(AA$3),'Struktur Aktuell'!$D215,INDIRECT(AA$4))+SUMIF(INDIRECT(AA$3),'Struktur Aktuell'!$D215,INDIRECT(AA$5)))</f>
        <v>0</v>
      </c>
      <c r="AB215" s="593">
        <f ca="1">$E215*(-SUMIF(INDIRECT(AB$3),'Struktur Aktuell'!$D215,INDIRECT(AB$4))+SUMIF(INDIRECT(AB$3),'Struktur Aktuell'!$D215,INDIRECT(AB$5)))</f>
        <v>0</v>
      </c>
      <c r="AC215" s="593">
        <f ca="1">$E215*(-SUMIF(INDIRECT(AC$3),'Struktur Aktuell'!$D215,INDIRECT(AC$4))+SUMIF(INDIRECT(AC$3),'Struktur Aktuell'!$D215,INDIRECT(AC$5)))</f>
        <v>0</v>
      </c>
      <c r="AD215" s="593">
        <f ca="1">$E215*(-SUMIF(INDIRECT(AD$3),'Struktur Aktuell'!$D215,INDIRECT(AD$4))+SUMIF(INDIRECT(AD$3),'Struktur Aktuell'!$D215,INDIRECT(AD$5)))</f>
        <v>0</v>
      </c>
      <c r="AE215" s="593">
        <f t="shared" ca="1" si="296"/>
        <v>0</v>
      </c>
      <c r="AF215" s="593">
        <f t="shared" ca="1" si="297"/>
        <v>0</v>
      </c>
      <c r="AG215" s="593">
        <f t="shared" ca="1" si="298"/>
        <v>0</v>
      </c>
      <c r="AH215" s="593">
        <f t="shared" ca="1" si="299"/>
        <v>0</v>
      </c>
      <c r="AI215" s="593">
        <f t="shared" ca="1" si="300"/>
        <v>0</v>
      </c>
      <c r="AJ215" s="593">
        <f t="shared" ca="1" si="301"/>
        <v>0</v>
      </c>
      <c r="AK215" s="593">
        <f t="shared" ca="1" si="302"/>
        <v>0</v>
      </c>
      <c r="AL215" s="593">
        <f t="shared" ca="1" si="303"/>
        <v>0</v>
      </c>
      <c r="AM215" s="593">
        <f t="shared" ca="1" si="304"/>
        <v>0</v>
      </c>
      <c r="AN215" s="593">
        <f t="shared" ca="1" si="305"/>
        <v>0</v>
      </c>
      <c r="AO215" s="593">
        <f t="shared" ca="1" si="306"/>
        <v>0</v>
      </c>
      <c r="AP215" s="593">
        <f t="shared" ca="1" si="307"/>
        <v>0</v>
      </c>
    </row>
    <row r="216" spans="1:42" s="594" customFormat="1" ht="11.25" outlineLevel="1" x14ac:dyDescent="0.2">
      <c r="A216" s="590"/>
      <c r="B216" s="591" t="str">
        <f>IF(D216&lt;&gt;"",
IF(ISERROR(MATCH(D216,'Ist Aktuell Monat 01'!A:A,0))=FALSE,INDEX('Ist Aktuell Monat 01'!B:B,MATCH(D216,'Ist Aktuell Monat 01'!A:A,0)),
IF(ISERROR(MATCH(D216,'Ist Aktuell Monat 02'!A:A,0))=FALSE,INDEX('Ist Aktuell Monat 02'!B:B,MATCH(D216,'Ist Aktuell Monat 02'!A:A,0)),
IF(ISERROR(MATCH(D216,'Ist Aktuell Monat 03'!A:A,0))=FALSE,INDEX('Ist Aktuell Monat 03'!B:B,MATCH(D216,'Ist Aktuell Monat 03'!A:A,0)),
IF(ISERROR(MATCH(D216,'Ist Aktuell Monat 04'!A:A,0))=FALSE,INDEX('Ist Aktuell Monat 04'!B:B,MATCH(D216,'Ist Aktuell Monat 04'!A:A,0)),
IF(ISERROR(MATCH(D216,'Ist Aktuell Monat 05'!A:A,0))=FALSE,INDEX('Ist Aktuell Monat 05'!B:B,MATCH(D216,'Ist Aktuell Monat 05'!A:A,0)),
IF(ISERROR(MATCH(D216,'Ist Aktuell Monat 06'!A:A,0))=FALSE,INDEX('Ist Aktuell Monat 06'!B:B,MATCH(D216,'Ist Aktuell Monat 06'!A:A,0)),
IF(ISERROR(MATCH(D216,'Ist Aktuell Monat 07'!A:A,0))=FALSE,INDEX('Ist Aktuell Monat 07'!B:B,MATCH(D216,'Ist Aktuell Monat 07'!A:A,0)),
IF(ISERROR(MATCH(D216,'Ist Aktuell Monat 08'!A:A,0))=FALSE,INDEX('Ist Aktuell Monat 08'!B:B,MATCH(D216,'Ist Aktuell Monat 08'!A:A,0)),
IF(ISERROR(MATCH(D216,'Ist Aktuell Monat 09'!A:A,0))=FALSE,INDEX('Ist Aktuell Monat 09'!B:B,MATCH(D216,'Ist Aktuell Monat 09'!A:A,0)),
IF(ISERROR(MATCH(D216,'Ist Aktuell Monat 10'!A:A,0))=FALSE,INDEX('Ist Aktuell Monat 10'!B:B,MATCH(D216,'Ist Aktuell Monat 10'!A:A,0)),
IF(ISERROR(MATCH(D216,'Ist Aktuell Monat 11'!A:A,0))=FALSE,INDEX('Ist Aktuell Monat 11'!B:B,MATCH(D216,'Ist Aktuell Monat 11'!A:A,0)),
IF(ISERROR(MATCH(D216,'Ist Aktuell Monat 12'!A:A,0))=FALSE,INDEX('Ist Aktuell Monat 12'!B:B,MATCH(D216,'Ist Aktuell Monat 12'!A:A,0)),
"{Konto unbekannt}"
)))))))))))),"")</f>
        <v/>
      </c>
      <c r="C216" s="591"/>
      <c r="D216" s="590"/>
      <c r="E216" s="592">
        <f t="shared" si="308"/>
        <v>1</v>
      </c>
      <c r="F216" s="590"/>
      <c r="G216" s="593">
        <f ca="1">$E216*(-SUMIF(INDIRECT(G$3),'Struktur Aktuell'!$D216,INDIRECT(G$4))+SUMIF(INDIRECT(G$3),'Struktur Aktuell'!$D216,INDIRECT(G$5)))</f>
        <v>0</v>
      </c>
      <c r="H216" s="593">
        <f ca="1">$E216*(-SUMIF(INDIRECT(H$3),'Struktur Aktuell'!$D216,INDIRECT(H$4))+SUMIF(INDIRECT(H$3),'Struktur Aktuell'!$D216,INDIRECT(H$5)))</f>
        <v>0</v>
      </c>
      <c r="I216" s="593">
        <f ca="1">$E216*(-SUMIF(INDIRECT(I$3),'Struktur Aktuell'!$D216,INDIRECT(I$4))+SUMIF(INDIRECT(I$3),'Struktur Aktuell'!$D216,INDIRECT(I$5)))</f>
        <v>0</v>
      </c>
      <c r="J216" s="593">
        <f ca="1">$E216*(-SUMIF(INDIRECT(J$3),'Struktur Aktuell'!$D216,INDIRECT(J$4))+SUMIF(INDIRECT(J$3),'Struktur Aktuell'!$D216,INDIRECT(J$5)))</f>
        <v>0</v>
      </c>
      <c r="K216" s="593">
        <f ca="1">$E216*(-SUMIF(INDIRECT(K$3),'Struktur Aktuell'!$D216,INDIRECT(K$4))+SUMIF(INDIRECT(K$3),'Struktur Aktuell'!$D216,INDIRECT(K$5)))</f>
        <v>0</v>
      </c>
      <c r="L216" s="593">
        <f ca="1">$E216*(-SUMIF(INDIRECT(L$3),'Struktur Aktuell'!$D216,INDIRECT(L$4))+SUMIF(INDIRECT(L$3),'Struktur Aktuell'!$D216,INDIRECT(L$5)))</f>
        <v>0</v>
      </c>
      <c r="M216" s="593">
        <f ca="1">$E216*(-SUMIF(INDIRECT(M$3),'Struktur Aktuell'!$D216,INDIRECT(M$4))+SUMIF(INDIRECT(M$3),'Struktur Aktuell'!$D216,INDIRECT(M$5)))</f>
        <v>0</v>
      </c>
      <c r="N216" s="593">
        <f ca="1">$E216*(-SUMIF(INDIRECT(N$3),'Struktur Aktuell'!$D216,INDIRECT(N$4))+SUMIF(INDIRECT(N$3),'Struktur Aktuell'!$D216,INDIRECT(N$5)))</f>
        <v>0</v>
      </c>
      <c r="O216" s="593">
        <f ca="1">$E216*(-SUMIF(INDIRECT(O$3),'Struktur Aktuell'!$D216,INDIRECT(O$4))+SUMIF(INDIRECT(O$3),'Struktur Aktuell'!$D216,INDIRECT(O$5)))</f>
        <v>0</v>
      </c>
      <c r="P216" s="593">
        <f ca="1">$E216*(-SUMIF(INDIRECT(P$3),'Struktur Aktuell'!$D216,INDIRECT(P$4))+SUMIF(INDIRECT(P$3),'Struktur Aktuell'!$D216,INDIRECT(P$5)))</f>
        <v>0</v>
      </c>
      <c r="Q216" s="593">
        <f ca="1">$E216*(-SUMIF(INDIRECT(Q$3),'Struktur Aktuell'!$D216,INDIRECT(Q$4))+SUMIF(INDIRECT(Q$3),'Struktur Aktuell'!$D216,INDIRECT(Q$5)))</f>
        <v>0</v>
      </c>
      <c r="R216" s="593">
        <f ca="1">$E216*(-SUMIF(INDIRECT(R$3),'Struktur Aktuell'!$D216,INDIRECT(R$4))+SUMIF(INDIRECT(R$3),'Struktur Aktuell'!$D216,INDIRECT(R$5)))</f>
        <v>0</v>
      </c>
      <c r="S216" s="593">
        <f ca="1">$E216*(-SUMIF(INDIRECT(S$3),'Struktur Aktuell'!$D216,INDIRECT(S$4))+SUMIF(INDIRECT(S$3),'Struktur Aktuell'!$D216,INDIRECT(S$5)))</f>
        <v>0</v>
      </c>
      <c r="T216" s="593">
        <f ca="1">$E216*(-SUMIF(INDIRECT(T$3),'Struktur Aktuell'!$D216,INDIRECT(T$4))+SUMIF(INDIRECT(T$3),'Struktur Aktuell'!$D216,INDIRECT(T$5)))</f>
        <v>0</v>
      </c>
      <c r="U216" s="593">
        <f ca="1">$E216*(-SUMIF(INDIRECT(U$3),'Struktur Aktuell'!$D216,INDIRECT(U$4))+SUMIF(INDIRECT(U$3),'Struktur Aktuell'!$D216,INDIRECT(U$5)))</f>
        <v>0</v>
      </c>
      <c r="V216" s="593">
        <f ca="1">$E216*(-SUMIF(INDIRECT(V$3),'Struktur Aktuell'!$D216,INDIRECT(V$4))+SUMIF(INDIRECT(V$3),'Struktur Aktuell'!$D216,INDIRECT(V$5)))</f>
        <v>0</v>
      </c>
      <c r="W216" s="593">
        <f ca="1">$E216*(-SUMIF(INDIRECT(W$3),'Struktur Aktuell'!$D216,INDIRECT(W$4))+SUMIF(INDIRECT(W$3),'Struktur Aktuell'!$D216,INDIRECT(W$5)))</f>
        <v>0</v>
      </c>
      <c r="X216" s="593">
        <f ca="1">$E216*(-SUMIF(INDIRECT(X$3),'Struktur Aktuell'!$D216,INDIRECT(X$4))+SUMIF(INDIRECT(X$3),'Struktur Aktuell'!$D216,INDIRECT(X$5)))</f>
        <v>0</v>
      </c>
      <c r="Y216" s="593">
        <f ca="1">$E216*(-SUMIF(INDIRECT(Y$3),'Struktur Aktuell'!$D216,INDIRECT(Y$4))+SUMIF(INDIRECT(Y$3),'Struktur Aktuell'!$D216,INDIRECT(Y$5)))</f>
        <v>0</v>
      </c>
      <c r="Z216" s="593">
        <f ca="1">$E216*(-SUMIF(INDIRECT(Z$3),'Struktur Aktuell'!$D216,INDIRECT(Z$4))+SUMIF(INDIRECT(Z$3),'Struktur Aktuell'!$D216,INDIRECT(Z$5)))</f>
        <v>0</v>
      </c>
      <c r="AA216" s="593">
        <f ca="1">$E216*(-SUMIF(INDIRECT(AA$3),'Struktur Aktuell'!$D216,INDIRECT(AA$4))+SUMIF(INDIRECT(AA$3),'Struktur Aktuell'!$D216,INDIRECT(AA$5)))</f>
        <v>0</v>
      </c>
      <c r="AB216" s="593">
        <f ca="1">$E216*(-SUMIF(INDIRECT(AB$3),'Struktur Aktuell'!$D216,INDIRECT(AB$4))+SUMIF(INDIRECT(AB$3),'Struktur Aktuell'!$D216,INDIRECT(AB$5)))</f>
        <v>0</v>
      </c>
      <c r="AC216" s="593">
        <f ca="1">$E216*(-SUMIF(INDIRECT(AC$3),'Struktur Aktuell'!$D216,INDIRECT(AC$4))+SUMIF(INDIRECT(AC$3),'Struktur Aktuell'!$D216,INDIRECT(AC$5)))</f>
        <v>0</v>
      </c>
      <c r="AD216" s="593">
        <f ca="1">$E216*(-SUMIF(INDIRECT(AD$3),'Struktur Aktuell'!$D216,INDIRECT(AD$4))+SUMIF(INDIRECT(AD$3),'Struktur Aktuell'!$D216,INDIRECT(AD$5)))</f>
        <v>0</v>
      </c>
      <c r="AE216" s="593">
        <f t="shared" ca="1" si="296"/>
        <v>0</v>
      </c>
      <c r="AF216" s="593">
        <f t="shared" ca="1" si="297"/>
        <v>0</v>
      </c>
      <c r="AG216" s="593">
        <f t="shared" ca="1" si="298"/>
        <v>0</v>
      </c>
      <c r="AH216" s="593">
        <f t="shared" ca="1" si="299"/>
        <v>0</v>
      </c>
      <c r="AI216" s="593">
        <f t="shared" ca="1" si="300"/>
        <v>0</v>
      </c>
      <c r="AJ216" s="593">
        <f t="shared" ca="1" si="301"/>
        <v>0</v>
      </c>
      <c r="AK216" s="593">
        <f t="shared" ca="1" si="302"/>
        <v>0</v>
      </c>
      <c r="AL216" s="593">
        <f t="shared" ca="1" si="303"/>
        <v>0</v>
      </c>
      <c r="AM216" s="593">
        <f t="shared" ca="1" si="304"/>
        <v>0</v>
      </c>
      <c r="AN216" s="593">
        <f t="shared" ca="1" si="305"/>
        <v>0</v>
      </c>
      <c r="AO216" s="593">
        <f t="shared" ca="1" si="306"/>
        <v>0</v>
      </c>
      <c r="AP216" s="593">
        <f t="shared" ca="1" si="307"/>
        <v>0</v>
      </c>
    </row>
    <row r="217" spans="1:42" s="594" customFormat="1" ht="11.25" outlineLevel="1" x14ac:dyDescent="0.2">
      <c r="A217" s="590"/>
      <c r="B217" s="591" t="str">
        <f>IF(D217&lt;&gt;"",
IF(ISERROR(MATCH(D217,'Ist Aktuell Monat 01'!A:A,0))=FALSE,INDEX('Ist Aktuell Monat 01'!B:B,MATCH(D217,'Ist Aktuell Monat 01'!A:A,0)),
IF(ISERROR(MATCH(D217,'Ist Aktuell Monat 02'!A:A,0))=FALSE,INDEX('Ist Aktuell Monat 02'!B:B,MATCH(D217,'Ist Aktuell Monat 02'!A:A,0)),
IF(ISERROR(MATCH(D217,'Ist Aktuell Monat 03'!A:A,0))=FALSE,INDEX('Ist Aktuell Monat 03'!B:B,MATCH(D217,'Ist Aktuell Monat 03'!A:A,0)),
IF(ISERROR(MATCH(D217,'Ist Aktuell Monat 04'!A:A,0))=FALSE,INDEX('Ist Aktuell Monat 04'!B:B,MATCH(D217,'Ist Aktuell Monat 04'!A:A,0)),
IF(ISERROR(MATCH(D217,'Ist Aktuell Monat 05'!A:A,0))=FALSE,INDEX('Ist Aktuell Monat 05'!B:B,MATCH(D217,'Ist Aktuell Monat 05'!A:A,0)),
IF(ISERROR(MATCH(D217,'Ist Aktuell Monat 06'!A:A,0))=FALSE,INDEX('Ist Aktuell Monat 06'!B:B,MATCH(D217,'Ist Aktuell Monat 06'!A:A,0)),
IF(ISERROR(MATCH(D217,'Ist Aktuell Monat 07'!A:A,0))=FALSE,INDEX('Ist Aktuell Monat 07'!B:B,MATCH(D217,'Ist Aktuell Monat 07'!A:A,0)),
IF(ISERROR(MATCH(D217,'Ist Aktuell Monat 08'!A:A,0))=FALSE,INDEX('Ist Aktuell Monat 08'!B:B,MATCH(D217,'Ist Aktuell Monat 08'!A:A,0)),
IF(ISERROR(MATCH(D217,'Ist Aktuell Monat 09'!A:A,0))=FALSE,INDEX('Ist Aktuell Monat 09'!B:B,MATCH(D217,'Ist Aktuell Monat 09'!A:A,0)),
IF(ISERROR(MATCH(D217,'Ist Aktuell Monat 10'!A:A,0))=FALSE,INDEX('Ist Aktuell Monat 10'!B:B,MATCH(D217,'Ist Aktuell Monat 10'!A:A,0)),
IF(ISERROR(MATCH(D217,'Ist Aktuell Monat 11'!A:A,0))=FALSE,INDEX('Ist Aktuell Monat 11'!B:B,MATCH(D217,'Ist Aktuell Monat 11'!A:A,0)),
IF(ISERROR(MATCH(D217,'Ist Aktuell Monat 12'!A:A,0))=FALSE,INDEX('Ist Aktuell Monat 12'!B:B,MATCH(D217,'Ist Aktuell Monat 12'!A:A,0)),
"{Konto unbekannt}"
)))))))))))),"")</f>
        <v/>
      </c>
      <c r="C217" s="591"/>
      <c r="D217" s="590"/>
      <c r="E217" s="592">
        <f t="shared" si="308"/>
        <v>1</v>
      </c>
      <c r="F217" s="590"/>
      <c r="G217" s="593">
        <f ca="1">$E217*(-SUMIF(INDIRECT(G$3),'Struktur Aktuell'!$D217,INDIRECT(G$4))+SUMIF(INDIRECT(G$3),'Struktur Aktuell'!$D217,INDIRECT(G$5)))</f>
        <v>0</v>
      </c>
      <c r="H217" s="593">
        <f ca="1">$E217*(-SUMIF(INDIRECT(H$3),'Struktur Aktuell'!$D217,INDIRECT(H$4))+SUMIF(INDIRECT(H$3),'Struktur Aktuell'!$D217,INDIRECT(H$5)))</f>
        <v>0</v>
      </c>
      <c r="I217" s="593">
        <f ca="1">$E217*(-SUMIF(INDIRECT(I$3),'Struktur Aktuell'!$D217,INDIRECT(I$4))+SUMIF(INDIRECT(I$3),'Struktur Aktuell'!$D217,INDIRECT(I$5)))</f>
        <v>0</v>
      </c>
      <c r="J217" s="593">
        <f ca="1">$E217*(-SUMIF(INDIRECT(J$3),'Struktur Aktuell'!$D217,INDIRECT(J$4))+SUMIF(INDIRECT(J$3),'Struktur Aktuell'!$D217,INDIRECT(J$5)))</f>
        <v>0</v>
      </c>
      <c r="K217" s="593">
        <f ca="1">$E217*(-SUMIF(INDIRECT(K$3),'Struktur Aktuell'!$D217,INDIRECT(K$4))+SUMIF(INDIRECT(K$3),'Struktur Aktuell'!$D217,INDIRECT(K$5)))</f>
        <v>0</v>
      </c>
      <c r="L217" s="593">
        <f ca="1">$E217*(-SUMIF(INDIRECT(L$3),'Struktur Aktuell'!$D217,INDIRECT(L$4))+SUMIF(INDIRECT(L$3),'Struktur Aktuell'!$D217,INDIRECT(L$5)))</f>
        <v>0</v>
      </c>
      <c r="M217" s="593">
        <f ca="1">$E217*(-SUMIF(INDIRECT(M$3),'Struktur Aktuell'!$D217,INDIRECT(M$4))+SUMIF(INDIRECT(M$3),'Struktur Aktuell'!$D217,INDIRECT(M$5)))</f>
        <v>0</v>
      </c>
      <c r="N217" s="593">
        <f ca="1">$E217*(-SUMIF(INDIRECT(N$3),'Struktur Aktuell'!$D217,INDIRECT(N$4))+SUMIF(INDIRECT(N$3),'Struktur Aktuell'!$D217,INDIRECT(N$5)))</f>
        <v>0</v>
      </c>
      <c r="O217" s="593">
        <f ca="1">$E217*(-SUMIF(INDIRECT(O$3),'Struktur Aktuell'!$D217,INDIRECT(O$4))+SUMIF(INDIRECT(O$3),'Struktur Aktuell'!$D217,INDIRECT(O$5)))</f>
        <v>0</v>
      </c>
      <c r="P217" s="593">
        <f ca="1">$E217*(-SUMIF(INDIRECT(P$3),'Struktur Aktuell'!$D217,INDIRECT(P$4))+SUMIF(INDIRECT(P$3),'Struktur Aktuell'!$D217,INDIRECT(P$5)))</f>
        <v>0</v>
      </c>
      <c r="Q217" s="593">
        <f ca="1">$E217*(-SUMIF(INDIRECT(Q$3),'Struktur Aktuell'!$D217,INDIRECT(Q$4))+SUMIF(INDIRECT(Q$3),'Struktur Aktuell'!$D217,INDIRECT(Q$5)))</f>
        <v>0</v>
      </c>
      <c r="R217" s="593">
        <f ca="1">$E217*(-SUMIF(INDIRECT(R$3),'Struktur Aktuell'!$D217,INDIRECT(R$4))+SUMIF(INDIRECT(R$3),'Struktur Aktuell'!$D217,INDIRECT(R$5)))</f>
        <v>0</v>
      </c>
      <c r="S217" s="593">
        <f ca="1">$E217*(-SUMIF(INDIRECT(S$3),'Struktur Aktuell'!$D217,INDIRECT(S$4))+SUMIF(INDIRECT(S$3),'Struktur Aktuell'!$D217,INDIRECT(S$5)))</f>
        <v>0</v>
      </c>
      <c r="T217" s="593">
        <f ca="1">$E217*(-SUMIF(INDIRECT(T$3),'Struktur Aktuell'!$D217,INDIRECT(T$4))+SUMIF(INDIRECT(T$3),'Struktur Aktuell'!$D217,INDIRECT(T$5)))</f>
        <v>0</v>
      </c>
      <c r="U217" s="593">
        <f ca="1">$E217*(-SUMIF(INDIRECT(U$3),'Struktur Aktuell'!$D217,INDIRECT(U$4))+SUMIF(INDIRECT(U$3),'Struktur Aktuell'!$D217,INDIRECT(U$5)))</f>
        <v>0</v>
      </c>
      <c r="V217" s="593">
        <f ca="1">$E217*(-SUMIF(INDIRECT(V$3),'Struktur Aktuell'!$D217,INDIRECT(V$4))+SUMIF(INDIRECT(V$3),'Struktur Aktuell'!$D217,INDIRECT(V$5)))</f>
        <v>0</v>
      </c>
      <c r="W217" s="593">
        <f ca="1">$E217*(-SUMIF(INDIRECT(W$3),'Struktur Aktuell'!$D217,INDIRECT(W$4))+SUMIF(INDIRECT(W$3),'Struktur Aktuell'!$D217,INDIRECT(W$5)))</f>
        <v>0</v>
      </c>
      <c r="X217" s="593">
        <f ca="1">$E217*(-SUMIF(INDIRECT(X$3),'Struktur Aktuell'!$D217,INDIRECT(X$4))+SUMIF(INDIRECT(X$3),'Struktur Aktuell'!$D217,INDIRECT(X$5)))</f>
        <v>0</v>
      </c>
      <c r="Y217" s="593">
        <f ca="1">$E217*(-SUMIF(INDIRECT(Y$3),'Struktur Aktuell'!$D217,INDIRECT(Y$4))+SUMIF(INDIRECT(Y$3),'Struktur Aktuell'!$D217,INDIRECT(Y$5)))</f>
        <v>0</v>
      </c>
      <c r="Z217" s="593">
        <f ca="1">$E217*(-SUMIF(INDIRECT(Z$3),'Struktur Aktuell'!$D217,INDIRECT(Z$4))+SUMIF(INDIRECT(Z$3),'Struktur Aktuell'!$D217,INDIRECT(Z$5)))</f>
        <v>0</v>
      </c>
      <c r="AA217" s="593">
        <f ca="1">$E217*(-SUMIF(INDIRECT(AA$3),'Struktur Aktuell'!$D217,INDIRECT(AA$4))+SUMIF(INDIRECT(AA$3),'Struktur Aktuell'!$D217,INDIRECT(AA$5)))</f>
        <v>0</v>
      </c>
      <c r="AB217" s="593">
        <f ca="1">$E217*(-SUMIF(INDIRECT(AB$3),'Struktur Aktuell'!$D217,INDIRECT(AB$4))+SUMIF(INDIRECT(AB$3),'Struktur Aktuell'!$D217,INDIRECT(AB$5)))</f>
        <v>0</v>
      </c>
      <c r="AC217" s="593">
        <f ca="1">$E217*(-SUMIF(INDIRECT(AC$3),'Struktur Aktuell'!$D217,INDIRECT(AC$4))+SUMIF(INDIRECT(AC$3),'Struktur Aktuell'!$D217,INDIRECT(AC$5)))</f>
        <v>0</v>
      </c>
      <c r="AD217" s="593">
        <f ca="1">$E217*(-SUMIF(INDIRECT(AD$3),'Struktur Aktuell'!$D217,INDIRECT(AD$4))+SUMIF(INDIRECT(AD$3),'Struktur Aktuell'!$D217,INDIRECT(AD$5)))</f>
        <v>0</v>
      </c>
      <c r="AE217" s="593">
        <f t="shared" ca="1" si="296"/>
        <v>0</v>
      </c>
      <c r="AF217" s="593">
        <f t="shared" ca="1" si="297"/>
        <v>0</v>
      </c>
      <c r="AG217" s="593">
        <f t="shared" ca="1" si="298"/>
        <v>0</v>
      </c>
      <c r="AH217" s="593">
        <f t="shared" ca="1" si="299"/>
        <v>0</v>
      </c>
      <c r="AI217" s="593">
        <f t="shared" ca="1" si="300"/>
        <v>0</v>
      </c>
      <c r="AJ217" s="593">
        <f t="shared" ca="1" si="301"/>
        <v>0</v>
      </c>
      <c r="AK217" s="593">
        <f t="shared" ca="1" si="302"/>
        <v>0</v>
      </c>
      <c r="AL217" s="593">
        <f t="shared" ca="1" si="303"/>
        <v>0</v>
      </c>
      <c r="AM217" s="593">
        <f t="shared" ca="1" si="304"/>
        <v>0</v>
      </c>
      <c r="AN217" s="593">
        <f t="shared" ca="1" si="305"/>
        <v>0</v>
      </c>
      <c r="AO217" s="593">
        <f t="shared" ca="1" si="306"/>
        <v>0</v>
      </c>
      <c r="AP217" s="593">
        <f t="shared" ca="1" si="307"/>
        <v>0</v>
      </c>
    </row>
    <row r="218" spans="1:42" s="594" customFormat="1" ht="11.25" outlineLevel="1" x14ac:dyDescent="0.2">
      <c r="A218" s="590"/>
      <c r="B218" s="591" t="str">
        <f>IF(D218&lt;&gt;"",
IF(ISERROR(MATCH(D218,'Ist Aktuell Monat 01'!A:A,0))=FALSE,INDEX('Ist Aktuell Monat 01'!B:B,MATCH(D218,'Ist Aktuell Monat 01'!A:A,0)),
IF(ISERROR(MATCH(D218,'Ist Aktuell Monat 02'!A:A,0))=FALSE,INDEX('Ist Aktuell Monat 02'!B:B,MATCH(D218,'Ist Aktuell Monat 02'!A:A,0)),
IF(ISERROR(MATCH(D218,'Ist Aktuell Monat 03'!A:A,0))=FALSE,INDEX('Ist Aktuell Monat 03'!B:B,MATCH(D218,'Ist Aktuell Monat 03'!A:A,0)),
IF(ISERROR(MATCH(D218,'Ist Aktuell Monat 04'!A:A,0))=FALSE,INDEX('Ist Aktuell Monat 04'!B:B,MATCH(D218,'Ist Aktuell Monat 04'!A:A,0)),
IF(ISERROR(MATCH(D218,'Ist Aktuell Monat 05'!A:A,0))=FALSE,INDEX('Ist Aktuell Monat 05'!B:B,MATCH(D218,'Ist Aktuell Monat 05'!A:A,0)),
IF(ISERROR(MATCH(D218,'Ist Aktuell Monat 06'!A:A,0))=FALSE,INDEX('Ist Aktuell Monat 06'!B:B,MATCH(D218,'Ist Aktuell Monat 06'!A:A,0)),
IF(ISERROR(MATCH(D218,'Ist Aktuell Monat 07'!A:A,0))=FALSE,INDEX('Ist Aktuell Monat 07'!B:B,MATCH(D218,'Ist Aktuell Monat 07'!A:A,0)),
IF(ISERROR(MATCH(D218,'Ist Aktuell Monat 08'!A:A,0))=FALSE,INDEX('Ist Aktuell Monat 08'!B:B,MATCH(D218,'Ist Aktuell Monat 08'!A:A,0)),
IF(ISERROR(MATCH(D218,'Ist Aktuell Monat 09'!A:A,0))=FALSE,INDEX('Ist Aktuell Monat 09'!B:B,MATCH(D218,'Ist Aktuell Monat 09'!A:A,0)),
IF(ISERROR(MATCH(D218,'Ist Aktuell Monat 10'!A:A,0))=FALSE,INDEX('Ist Aktuell Monat 10'!B:B,MATCH(D218,'Ist Aktuell Monat 10'!A:A,0)),
IF(ISERROR(MATCH(D218,'Ist Aktuell Monat 11'!A:A,0))=FALSE,INDEX('Ist Aktuell Monat 11'!B:B,MATCH(D218,'Ist Aktuell Monat 11'!A:A,0)),
IF(ISERROR(MATCH(D218,'Ist Aktuell Monat 12'!A:A,0))=FALSE,INDEX('Ist Aktuell Monat 12'!B:B,MATCH(D218,'Ist Aktuell Monat 12'!A:A,0)),
"{Konto unbekannt}"
)))))))))))),"")</f>
        <v/>
      </c>
      <c r="C218" s="591"/>
      <c r="D218" s="590"/>
      <c r="E218" s="592">
        <f t="shared" si="308"/>
        <v>1</v>
      </c>
      <c r="F218" s="590"/>
      <c r="G218" s="593">
        <f ca="1">$E218*(-SUMIF(INDIRECT(G$3),'Struktur Aktuell'!$D218,INDIRECT(G$4))+SUMIF(INDIRECT(G$3),'Struktur Aktuell'!$D218,INDIRECT(G$5)))</f>
        <v>0</v>
      </c>
      <c r="H218" s="593">
        <f ca="1">$E218*(-SUMIF(INDIRECT(H$3),'Struktur Aktuell'!$D218,INDIRECT(H$4))+SUMIF(INDIRECT(H$3),'Struktur Aktuell'!$D218,INDIRECT(H$5)))</f>
        <v>0</v>
      </c>
      <c r="I218" s="593">
        <f ca="1">$E218*(-SUMIF(INDIRECT(I$3),'Struktur Aktuell'!$D218,INDIRECT(I$4))+SUMIF(INDIRECT(I$3),'Struktur Aktuell'!$D218,INDIRECT(I$5)))</f>
        <v>0</v>
      </c>
      <c r="J218" s="593">
        <f ca="1">$E218*(-SUMIF(INDIRECT(J$3),'Struktur Aktuell'!$D218,INDIRECT(J$4))+SUMIF(INDIRECT(J$3),'Struktur Aktuell'!$D218,INDIRECT(J$5)))</f>
        <v>0</v>
      </c>
      <c r="K218" s="593">
        <f ca="1">$E218*(-SUMIF(INDIRECT(K$3),'Struktur Aktuell'!$D218,INDIRECT(K$4))+SUMIF(INDIRECT(K$3),'Struktur Aktuell'!$D218,INDIRECT(K$5)))</f>
        <v>0</v>
      </c>
      <c r="L218" s="593">
        <f ca="1">$E218*(-SUMIF(INDIRECT(L$3),'Struktur Aktuell'!$D218,INDIRECT(L$4))+SUMIF(INDIRECT(L$3),'Struktur Aktuell'!$D218,INDIRECT(L$5)))</f>
        <v>0</v>
      </c>
      <c r="M218" s="593">
        <f ca="1">$E218*(-SUMIF(INDIRECT(M$3),'Struktur Aktuell'!$D218,INDIRECT(M$4))+SUMIF(INDIRECT(M$3),'Struktur Aktuell'!$D218,INDIRECT(M$5)))</f>
        <v>0</v>
      </c>
      <c r="N218" s="593">
        <f ca="1">$E218*(-SUMIF(INDIRECT(N$3),'Struktur Aktuell'!$D218,INDIRECT(N$4))+SUMIF(INDIRECT(N$3),'Struktur Aktuell'!$D218,INDIRECT(N$5)))</f>
        <v>0</v>
      </c>
      <c r="O218" s="593">
        <f ca="1">$E218*(-SUMIF(INDIRECT(O$3),'Struktur Aktuell'!$D218,INDIRECT(O$4))+SUMIF(INDIRECT(O$3),'Struktur Aktuell'!$D218,INDIRECT(O$5)))</f>
        <v>0</v>
      </c>
      <c r="P218" s="593">
        <f ca="1">$E218*(-SUMIF(INDIRECT(P$3),'Struktur Aktuell'!$D218,INDIRECT(P$4))+SUMIF(INDIRECT(P$3),'Struktur Aktuell'!$D218,INDIRECT(P$5)))</f>
        <v>0</v>
      </c>
      <c r="Q218" s="593">
        <f ca="1">$E218*(-SUMIF(INDIRECT(Q$3),'Struktur Aktuell'!$D218,INDIRECT(Q$4))+SUMIF(INDIRECT(Q$3),'Struktur Aktuell'!$D218,INDIRECT(Q$5)))</f>
        <v>0</v>
      </c>
      <c r="R218" s="593">
        <f ca="1">$E218*(-SUMIF(INDIRECT(R$3),'Struktur Aktuell'!$D218,INDIRECT(R$4))+SUMIF(INDIRECT(R$3),'Struktur Aktuell'!$D218,INDIRECT(R$5)))</f>
        <v>0</v>
      </c>
      <c r="S218" s="593">
        <f ca="1">$E218*(-SUMIF(INDIRECT(S$3),'Struktur Aktuell'!$D218,INDIRECT(S$4))+SUMIF(INDIRECT(S$3),'Struktur Aktuell'!$D218,INDIRECT(S$5)))</f>
        <v>0</v>
      </c>
      <c r="T218" s="593">
        <f ca="1">$E218*(-SUMIF(INDIRECT(T$3),'Struktur Aktuell'!$D218,INDIRECT(T$4))+SUMIF(INDIRECT(T$3),'Struktur Aktuell'!$D218,INDIRECT(T$5)))</f>
        <v>0</v>
      </c>
      <c r="U218" s="593">
        <f ca="1">$E218*(-SUMIF(INDIRECT(U$3),'Struktur Aktuell'!$D218,INDIRECT(U$4))+SUMIF(INDIRECT(U$3),'Struktur Aktuell'!$D218,INDIRECT(U$5)))</f>
        <v>0</v>
      </c>
      <c r="V218" s="593">
        <f ca="1">$E218*(-SUMIF(INDIRECT(V$3),'Struktur Aktuell'!$D218,INDIRECT(V$4))+SUMIF(INDIRECT(V$3),'Struktur Aktuell'!$D218,INDIRECT(V$5)))</f>
        <v>0</v>
      </c>
      <c r="W218" s="593">
        <f ca="1">$E218*(-SUMIF(INDIRECT(W$3),'Struktur Aktuell'!$D218,INDIRECT(W$4))+SUMIF(INDIRECT(W$3),'Struktur Aktuell'!$D218,INDIRECT(W$5)))</f>
        <v>0</v>
      </c>
      <c r="X218" s="593">
        <f ca="1">$E218*(-SUMIF(INDIRECT(X$3),'Struktur Aktuell'!$D218,INDIRECT(X$4))+SUMIF(INDIRECT(X$3),'Struktur Aktuell'!$D218,INDIRECT(X$5)))</f>
        <v>0</v>
      </c>
      <c r="Y218" s="593">
        <f ca="1">$E218*(-SUMIF(INDIRECT(Y$3),'Struktur Aktuell'!$D218,INDIRECT(Y$4))+SUMIF(INDIRECT(Y$3),'Struktur Aktuell'!$D218,INDIRECT(Y$5)))</f>
        <v>0</v>
      </c>
      <c r="Z218" s="593">
        <f ca="1">$E218*(-SUMIF(INDIRECT(Z$3),'Struktur Aktuell'!$D218,INDIRECT(Z$4))+SUMIF(INDIRECT(Z$3),'Struktur Aktuell'!$D218,INDIRECT(Z$5)))</f>
        <v>0</v>
      </c>
      <c r="AA218" s="593">
        <f ca="1">$E218*(-SUMIF(INDIRECT(AA$3),'Struktur Aktuell'!$D218,INDIRECT(AA$4))+SUMIF(INDIRECT(AA$3),'Struktur Aktuell'!$D218,INDIRECT(AA$5)))</f>
        <v>0</v>
      </c>
      <c r="AB218" s="593">
        <f ca="1">$E218*(-SUMIF(INDIRECT(AB$3),'Struktur Aktuell'!$D218,INDIRECT(AB$4))+SUMIF(INDIRECT(AB$3),'Struktur Aktuell'!$D218,INDIRECT(AB$5)))</f>
        <v>0</v>
      </c>
      <c r="AC218" s="593">
        <f ca="1">$E218*(-SUMIF(INDIRECT(AC$3),'Struktur Aktuell'!$D218,INDIRECT(AC$4))+SUMIF(INDIRECT(AC$3),'Struktur Aktuell'!$D218,INDIRECT(AC$5)))</f>
        <v>0</v>
      </c>
      <c r="AD218" s="593">
        <f ca="1">$E218*(-SUMIF(INDIRECT(AD$3),'Struktur Aktuell'!$D218,INDIRECT(AD$4))+SUMIF(INDIRECT(AD$3),'Struktur Aktuell'!$D218,INDIRECT(AD$5)))</f>
        <v>0</v>
      </c>
      <c r="AE218" s="593">
        <f t="shared" ca="1" si="296"/>
        <v>0</v>
      </c>
      <c r="AF218" s="593">
        <f t="shared" ca="1" si="297"/>
        <v>0</v>
      </c>
      <c r="AG218" s="593">
        <f t="shared" ca="1" si="298"/>
        <v>0</v>
      </c>
      <c r="AH218" s="593">
        <f t="shared" ca="1" si="299"/>
        <v>0</v>
      </c>
      <c r="AI218" s="593">
        <f t="shared" ca="1" si="300"/>
        <v>0</v>
      </c>
      <c r="AJ218" s="593">
        <f t="shared" ca="1" si="301"/>
        <v>0</v>
      </c>
      <c r="AK218" s="593">
        <f t="shared" ca="1" si="302"/>
        <v>0</v>
      </c>
      <c r="AL218" s="593">
        <f t="shared" ca="1" si="303"/>
        <v>0</v>
      </c>
      <c r="AM218" s="593">
        <f t="shared" ca="1" si="304"/>
        <v>0</v>
      </c>
      <c r="AN218" s="593">
        <f t="shared" ca="1" si="305"/>
        <v>0</v>
      </c>
      <c r="AO218" s="593">
        <f t="shared" ca="1" si="306"/>
        <v>0</v>
      </c>
      <c r="AP218" s="593">
        <f t="shared" ca="1" si="307"/>
        <v>0</v>
      </c>
    </row>
    <row r="219" spans="1:42" s="589" customFormat="1" x14ac:dyDescent="0.2">
      <c r="A219" s="585">
        <v>20</v>
      </c>
      <c r="B219" s="586" t="s">
        <v>590</v>
      </c>
      <c r="C219" s="587">
        <f ca="1">SUM(G219:R219)</f>
        <v>3524.9299999999994</v>
      </c>
      <c r="D219" s="587"/>
      <c r="E219" s="588">
        <f t="shared" si="308"/>
        <v>1</v>
      </c>
      <c r="F219" s="585"/>
      <c r="G219" s="587">
        <f t="shared" ref="G219:R219" ca="1" si="309">SUM(G220:G227)</f>
        <v>308.99</v>
      </c>
      <c r="H219" s="587">
        <f t="shared" ca="1" si="309"/>
        <v>264.36</v>
      </c>
      <c r="I219" s="587">
        <f t="shared" ca="1" si="309"/>
        <v>349.12</v>
      </c>
      <c r="J219" s="587">
        <f t="shared" ca="1" si="309"/>
        <v>291.2</v>
      </c>
      <c r="K219" s="587">
        <f t="shared" ca="1" si="309"/>
        <v>399.4</v>
      </c>
      <c r="L219" s="587">
        <f t="shared" ca="1" si="309"/>
        <v>375.57</v>
      </c>
      <c r="M219" s="587">
        <f t="shared" ca="1" si="309"/>
        <v>431.73</v>
      </c>
      <c r="N219" s="587">
        <f t="shared" ca="1" si="309"/>
        <v>393.17999999999995</v>
      </c>
      <c r="O219" s="587">
        <f t="shared" ca="1" si="309"/>
        <v>252.72</v>
      </c>
      <c r="P219" s="587">
        <f t="shared" ca="1" si="309"/>
        <v>458.66</v>
      </c>
      <c r="Q219" s="587">
        <f t="shared" ca="1" si="309"/>
        <v>0</v>
      </c>
      <c r="R219" s="587">
        <f t="shared" ca="1" si="309"/>
        <v>0</v>
      </c>
      <c r="S219" s="587">
        <f t="shared" ref="S219:AP219" ca="1" si="310">SUM(S220:S227)</f>
        <v>308.99</v>
      </c>
      <c r="T219" s="587">
        <f t="shared" ca="1" si="310"/>
        <v>573.35</v>
      </c>
      <c r="U219" s="587">
        <f t="shared" ca="1" si="310"/>
        <v>922.47</v>
      </c>
      <c r="V219" s="587">
        <f t="shared" ca="1" si="310"/>
        <v>1213.67</v>
      </c>
      <c r="W219" s="587">
        <f t="shared" ca="1" si="310"/>
        <v>1613.07</v>
      </c>
      <c r="X219" s="587">
        <f t="shared" ca="1" si="310"/>
        <v>1988.64</v>
      </c>
      <c r="Y219" s="587">
        <f t="shared" ca="1" si="310"/>
        <v>2420.37</v>
      </c>
      <c r="Z219" s="587">
        <f t="shared" ca="1" si="310"/>
        <v>2813.55</v>
      </c>
      <c r="AA219" s="587">
        <f t="shared" ca="1" si="310"/>
        <v>3066.27</v>
      </c>
      <c r="AB219" s="587">
        <f t="shared" ca="1" si="310"/>
        <v>3524.9300000000003</v>
      </c>
      <c r="AC219" s="587">
        <f t="shared" ca="1" si="310"/>
        <v>0</v>
      </c>
      <c r="AD219" s="587">
        <f t="shared" ca="1" si="310"/>
        <v>0</v>
      </c>
      <c r="AE219" s="587">
        <f t="shared" ca="1" si="310"/>
        <v>308.99</v>
      </c>
      <c r="AF219" s="587">
        <f t="shared" ca="1" si="310"/>
        <v>573.35</v>
      </c>
      <c r="AG219" s="587">
        <f t="shared" ca="1" si="310"/>
        <v>922.47</v>
      </c>
      <c r="AH219" s="587">
        <f t="shared" ca="1" si="310"/>
        <v>1213.67</v>
      </c>
      <c r="AI219" s="587">
        <f t="shared" ca="1" si="310"/>
        <v>1613.0700000000002</v>
      </c>
      <c r="AJ219" s="587">
        <f t="shared" ca="1" si="310"/>
        <v>1988.64</v>
      </c>
      <c r="AK219" s="587">
        <f t="shared" ca="1" si="310"/>
        <v>2420.37</v>
      </c>
      <c r="AL219" s="587">
        <f t="shared" ca="1" si="310"/>
        <v>2813.55</v>
      </c>
      <c r="AM219" s="587">
        <f t="shared" ca="1" si="310"/>
        <v>3066.27</v>
      </c>
      <c r="AN219" s="587">
        <f t="shared" ca="1" si="310"/>
        <v>3524.93</v>
      </c>
      <c r="AO219" s="587">
        <f t="shared" ca="1" si="310"/>
        <v>3524.93</v>
      </c>
      <c r="AP219" s="587">
        <f t="shared" ca="1" si="310"/>
        <v>3524.93</v>
      </c>
    </row>
    <row r="220" spans="1:42" s="594" customFormat="1" ht="11.25" outlineLevel="1" x14ac:dyDescent="0.2">
      <c r="A220" s="590"/>
      <c r="B220" s="591" t="str">
        <f>IF(D220&lt;&gt;"",
IF(ISERROR(MATCH(D220,'Ist Aktuell Monat 01'!A:A,0))=FALSE,INDEX('Ist Aktuell Monat 01'!B:B,MATCH(D220,'Ist Aktuell Monat 01'!A:A,0)),
IF(ISERROR(MATCH(D220,'Ist Aktuell Monat 02'!A:A,0))=FALSE,INDEX('Ist Aktuell Monat 02'!B:B,MATCH(D220,'Ist Aktuell Monat 02'!A:A,0)),
IF(ISERROR(MATCH(D220,'Ist Aktuell Monat 03'!A:A,0))=FALSE,INDEX('Ist Aktuell Monat 03'!B:B,MATCH(D220,'Ist Aktuell Monat 03'!A:A,0)),
IF(ISERROR(MATCH(D220,'Ist Aktuell Monat 04'!A:A,0))=FALSE,INDEX('Ist Aktuell Monat 04'!B:B,MATCH(D220,'Ist Aktuell Monat 04'!A:A,0)),
IF(ISERROR(MATCH(D220,'Ist Aktuell Monat 05'!A:A,0))=FALSE,INDEX('Ist Aktuell Monat 05'!B:B,MATCH(D220,'Ist Aktuell Monat 05'!A:A,0)),
IF(ISERROR(MATCH(D220,'Ist Aktuell Monat 06'!A:A,0))=FALSE,INDEX('Ist Aktuell Monat 06'!B:B,MATCH(D220,'Ist Aktuell Monat 06'!A:A,0)),
IF(ISERROR(MATCH(D220,'Ist Aktuell Monat 07'!A:A,0))=FALSE,INDEX('Ist Aktuell Monat 07'!B:B,MATCH(D220,'Ist Aktuell Monat 07'!A:A,0)),
IF(ISERROR(MATCH(D220,'Ist Aktuell Monat 08'!A:A,0))=FALSE,INDEX('Ist Aktuell Monat 08'!B:B,MATCH(D220,'Ist Aktuell Monat 08'!A:A,0)),
IF(ISERROR(MATCH(D220,'Ist Aktuell Monat 09'!A:A,0))=FALSE,INDEX('Ist Aktuell Monat 09'!B:B,MATCH(D220,'Ist Aktuell Monat 09'!A:A,0)),
IF(ISERROR(MATCH(D220,'Ist Aktuell Monat 10'!A:A,0))=FALSE,INDEX('Ist Aktuell Monat 10'!B:B,MATCH(D220,'Ist Aktuell Monat 10'!A:A,0)),
IF(ISERROR(MATCH(D220,'Ist Aktuell Monat 11'!A:A,0))=FALSE,INDEX('Ist Aktuell Monat 11'!B:B,MATCH(D220,'Ist Aktuell Monat 11'!A:A,0)),
IF(ISERROR(MATCH(D220,'Ist Aktuell Monat 12'!A:A,0))=FALSE,INDEX('Ist Aktuell Monat 12'!B:B,MATCH(D220,'Ist Aktuell Monat 12'!A:A,0)),
"{Konto unbekannt}"
)))))))))))),"")</f>
        <v>Telefon</v>
      </c>
      <c r="C220" s="591"/>
      <c r="D220" s="590">
        <v>4920</v>
      </c>
      <c r="E220" s="592">
        <f t="shared" si="308"/>
        <v>1</v>
      </c>
      <c r="F220" s="590"/>
      <c r="G220" s="593">
        <f ca="1">$E220*(-SUMIF(INDIRECT(G$3),'Struktur Aktuell'!$D220,INDIRECT(G$4))+SUMIF(INDIRECT(G$3),'Struktur Aktuell'!$D220,INDIRECT(G$5)))</f>
        <v>308.99</v>
      </c>
      <c r="H220" s="593">
        <f ca="1">$E220*(-SUMIF(INDIRECT(H$3),'Struktur Aktuell'!$D220,INDIRECT(H$4))+SUMIF(INDIRECT(H$3),'Struktur Aktuell'!$D220,INDIRECT(H$5)))</f>
        <v>264.36</v>
      </c>
      <c r="I220" s="593">
        <f ca="1">$E220*(-SUMIF(INDIRECT(I$3),'Struktur Aktuell'!$D220,INDIRECT(I$4))+SUMIF(INDIRECT(I$3),'Struktur Aktuell'!$D220,INDIRECT(I$5)))</f>
        <v>349.12</v>
      </c>
      <c r="J220" s="593">
        <f ca="1">$E220*(-SUMIF(INDIRECT(J$3),'Struktur Aktuell'!$D220,INDIRECT(J$4))+SUMIF(INDIRECT(J$3),'Struktur Aktuell'!$D220,INDIRECT(J$5)))</f>
        <v>291.2</v>
      </c>
      <c r="K220" s="593">
        <f ca="1">$E220*(-SUMIF(INDIRECT(K$3),'Struktur Aktuell'!$D220,INDIRECT(K$4))+SUMIF(INDIRECT(K$3),'Struktur Aktuell'!$D220,INDIRECT(K$5)))</f>
        <v>399.4</v>
      </c>
      <c r="L220" s="593">
        <f ca="1">$E220*(-SUMIF(INDIRECT(L$3),'Struktur Aktuell'!$D220,INDIRECT(L$4))+SUMIF(INDIRECT(L$3),'Struktur Aktuell'!$D220,INDIRECT(L$5)))</f>
        <v>375.57</v>
      </c>
      <c r="M220" s="593">
        <f ca="1">$E220*(-SUMIF(INDIRECT(M$3),'Struktur Aktuell'!$D220,INDIRECT(M$4))+SUMIF(INDIRECT(M$3),'Struktur Aktuell'!$D220,INDIRECT(M$5)))</f>
        <v>431.73</v>
      </c>
      <c r="N220" s="593">
        <f ca="1">$E220*(-SUMIF(INDIRECT(N$3),'Struktur Aktuell'!$D220,INDIRECT(N$4))+SUMIF(INDIRECT(N$3),'Struktur Aktuell'!$D220,INDIRECT(N$5)))</f>
        <v>392.34</v>
      </c>
      <c r="O220" s="593">
        <f ca="1">$E220*(-SUMIF(INDIRECT(O$3),'Struktur Aktuell'!$D220,INDIRECT(O$4))+SUMIF(INDIRECT(O$3),'Struktur Aktuell'!$D220,INDIRECT(O$5)))</f>
        <v>252.72</v>
      </c>
      <c r="P220" s="593">
        <f ca="1">$E220*(-SUMIF(INDIRECT(P$3),'Struktur Aktuell'!$D220,INDIRECT(P$4))+SUMIF(INDIRECT(P$3),'Struktur Aktuell'!$D220,INDIRECT(P$5)))</f>
        <v>458.66</v>
      </c>
      <c r="Q220" s="593">
        <f ca="1">$E220*(-SUMIF(INDIRECT(Q$3),'Struktur Aktuell'!$D220,INDIRECT(Q$4))+SUMIF(INDIRECT(Q$3),'Struktur Aktuell'!$D220,INDIRECT(Q$5)))</f>
        <v>0</v>
      </c>
      <c r="R220" s="593">
        <f ca="1">$E220*(-SUMIF(INDIRECT(R$3),'Struktur Aktuell'!$D220,INDIRECT(R$4))+SUMIF(INDIRECT(R$3),'Struktur Aktuell'!$D220,INDIRECT(R$5)))</f>
        <v>0</v>
      </c>
      <c r="S220" s="593">
        <f ca="1">$E220*(-SUMIF(INDIRECT(S$3),'Struktur Aktuell'!$D220,INDIRECT(S$4))+SUMIF(INDIRECT(S$3),'Struktur Aktuell'!$D220,INDIRECT(S$5)))</f>
        <v>308.99</v>
      </c>
      <c r="T220" s="593">
        <f ca="1">$E220*(-SUMIF(INDIRECT(T$3),'Struktur Aktuell'!$D220,INDIRECT(T$4))+SUMIF(INDIRECT(T$3),'Struktur Aktuell'!$D220,INDIRECT(T$5)))</f>
        <v>573.35</v>
      </c>
      <c r="U220" s="593">
        <f ca="1">$E220*(-SUMIF(INDIRECT(U$3),'Struktur Aktuell'!$D220,INDIRECT(U$4))+SUMIF(INDIRECT(U$3),'Struktur Aktuell'!$D220,INDIRECT(U$5)))</f>
        <v>922.47</v>
      </c>
      <c r="V220" s="593">
        <f ca="1">$E220*(-SUMIF(INDIRECT(V$3),'Struktur Aktuell'!$D220,INDIRECT(V$4))+SUMIF(INDIRECT(V$3),'Struktur Aktuell'!$D220,INDIRECT(V$5)))</f>
        <v>1213.67</v>
      </c>
      <c r="W220" s="593">
        <f ca="1">$E220*(-SUMIF(INDIRECT(W$3),'Struktur Aktuell'!$D220,INDIRECT(W$4))+SUMIF(INDIRECT(W$3),'Struktur Aktuell'!$D220,INDIRECT(W$5)))</f>
        <v>1613.07</v>
      </c>
      <c r="X220" s="593">
        <f ca="1">$E220*(-SUMIF(INDIRECT(X$3),'Struktur Aktuell'!$D220,INDIRECT(X$4))+SUMIF(INDIRECT(X$3),'Struktur Aktuell'!$D220,INDIRECT(X$5)))</f>
        <v>1988.64</v>
      </c>
      <c r="Y220" s="593">
        <f ca="1">$E220*(-SUMIF(INDIRECT(Y$3),'Struktur Aktuell'!$D220,INDIRECT(Y$4))+SUMIF(INDIRECT(Y$3),'Struktur Aktuell'!$D220,INDIRECT(Y$5)))</f>
        <v>2420.37</v>
      </c>
      <c r="Z220" s="593">
        <f ca="1">$E220*(-SUMIF(INDIRECT(Z$3),'Struktur Aktuell'!$D220,INDIRECT(Z$4))+SUMIF(INDIRECT(Z$3),'Struktur Aktuell'!$D220,INDIRECT(Z$5)))</f>
        <v>2812.71</v>
      </c>
      <c r="AA220" s="593">
        <f ca="1">$E220*(-SUMIF(INDIRECT(AA$3),'Struktur Aktuell'!$D220,INDIRECT(AA$4))+SUMIF(INDIRECT(AA$3),'Struktur Aktuell'!$D220,INDIRECT(AA$5)))</f>
        <v>3065.43</v>
      </c>
      <c r="AB220" s="593">
        <f ca="1">$E220*(-SUMIF(INDIRECT(AB$3),'Struktur Aktuell'!$D220,INDIRECT(AB$4))+SUMIF(INDIRECT(AB$3),'Struktur Aktuell'!$D220,INDIRECT(AB$5)))</f>
        <v>3524.09</v>
      </c>
      <c r="AC220" s="593">
        <f ca="1">$E220*(-SUMIF(INDIRECT(AC$3),'Struktur Aktuell'!$D220,INDIRECT(AC$4))+SUMIF(INDIRECT(AC$3),'Struktur Aktuell'!$D220,INDIRECT(AC$5)))</f>
        <v>0</v>
      </c>
      <c r="AD220" s="593">
        <f ca="1">$E220*(-SUMIF(INDIRECT(AD$3),'Struktur Aktuell'!$D220,INDIRECT(AD$4))+SUMIF(INDIRECT(AD$3),'Struktur Aktuell'!$D220,INDIRECT(AD$5)))</f>
        <v>0</v>
      </c>
      <c r="AE220" s="593">
        <f t="shared" ref="AE220:AE227" ca="1" si="311">G220</f>
        <v>308.99</v>
      </c>
      <c r="AF220" s="593">
        <f t="shared" ref="AF220:AF227" ca="1" si="312">H220+AE220</f>
        <v>573.35</v>
      </c>
      <c r="AG220" s="593">
        <f t="shared" ref="AG220:AG227" ca="1" si="313">I220+AF220</f>
        <v>922.47</v>
      </c>
      <c r="AH220" s="593">
        <f t="shared" ref="AH220:AH227" ca="1" si="314">J220+AG220</f>
        <v>1213.67</v>
      </c>
      <c r="AI220" s="593">
        <f t="shared" ref="AI220:AI227" ca="1" si="315">K220+AH220</f>
        <v>1613.0700000000002</v>
      </c>
      <c r="AJ220" s="593">
        <f t="shared" ref="AJ220:AJ227" ca="1" si="316">L220+AI220</f>
        <v>1988.64</v>
      </c>
      <c r="AK220" s="593">
        <f t="shared" ref="AK220:AK227" ca="1" si="317">M220+AJ220</f>
        <v>2420.37</v>
      </c>
      <c r="AL220" s="593">
        <f t="shared" ref="AL220:AL227" ca="1" si="318">N220+AK220</f>
        <v>2812.71</v>
      </c>
      <c r="AM220" s="593">
        <f t="shared" ref="AM220:AM227" ca="1" si="319">O220+AL220</f>
        <v>3065.43</v>
      </c>
      <c r="AN220" s="593">
        <f t="shared" ref="AN220:AN227" ca="1" si="320">P220+AM220</f>
        <v>3524.0899999999997</v>
      </c>
      <c r="AO220" s="593">
        <f t="shared" ref="AO220:AO227" ca="1" si="321">Q220+AN220</f>
        <v>3524.0899999999997</v>
      </c>
      <c r="AP220" s="593">
        <f t="shared" ref="AP220:AP227" ca="1" si="322">R220+AO220</f>
        <v>3524.0899999999997</v>
      </c>
    </row>
    <row r="221" spans="1:42" s="594" customFormat="1" ht="11.25" outlineLevel="1" x14ac:dyDescent="0.2">
      <c r="A221" s="590"/>
      <c r="B221" s="591" t="str">
        <f>IF(D221&lt;&gt;"",
IF(ISERROR(MATCH(D221,'Ist Aktuell Monat 01'!A:A,0))=FALSE,INDEX('Ist Aktuell Monat 01'!B:B,MATCH(D221,'Ist Aktuell Monat 01'!A:A,0)),
IF(ISERROR(MATCH(D221,'Ist Aktuell Monat 02'!A:A,0))=FALSE,INDEX('Ist Aktuell Monat 02'!B:B,MATCH(D221,'Ist Aktuell Monat 02'!A:A,0)),
IF(ISERROR(MATCH(D221,'Ist Aktuell Monat 03'!A:A,0))=FALSE,INDEX('Ist Aktuell Monat 03'!B:B,MATCH(D221,'Ist Aktuell Monat 03'!A:A,0)),
IF(ISERROR(MATCH(D221,'Ist Aktuell Monat 04'!A:A,0))=FALSE,INDEX('Ist Aktuell Monat 04'!B:B,MATCH(D221,'Ist Aktuell Monat 04'!A:A,0)),
IF(ISERROR(MATCH(D221,'Ist Aktuell Monat 05'!A:A,0))=FALSE,INDEX('Ist Aktuell Monat 05'!B:B,MATCH(D221,'Ist Aktuell Monat 05'!A:A,0)),
IF(ISERROR(MATCH(D221,'Ist Aktuell Monat 06'!A:A,0))=FALSE,INDEX('Ist Aktuell Monat 06'!B:B,MATCH(D221,'Ist Aktuell Monat 06'!A:A,0)),
IF(ISERROR(MATCH(D221,'Ist Aktuell Monat 07'!A:A,0))=FALSE,INDEX('Ist Aktuell Monat 07'!B:B,MATCH(D221,'Ist Aktuell Monat 07'!A:A,0)),
IF(ISERROR(MATCH(D221,'Ist Aktuell Monat 08'!A:A,0))=FALSE,INDEX('Ist Aktuell Monat 08'!B:B,MATCH(D221,'Ist Aktuell Monat 08'!A:A,0)),
IF(ISERROR(MATCH(D221,'Ist Aktuell Monat 09'!A:A,0))=FALSE,INDEX('Ist Aktuell Monat 09'!B:B,MATCH(D221,'Ist Aktuell Monat 09'!A:A,0)),
IF(ISERROR(MATCH(D221,'Ist Aktuell Monat 10'!A:A,0))=FALSE,INDEX('Ist Aktuell Monat 10'!B:B,MATCH(D221,'Ist Aktuell Monat 10'!A:A,0)),
IF(ISERROR(MATCH(D221,'Ist Aktuell Monat 11'!A:A,0))=FALSE,INDEX('Ist Aktuell Monat 11'!B:B,MATCH(D221,'Ist Aktuell Monat 11'!A:A,0)),
IF(ISERROR(MATCH(D221,'Ist Aktuell Monat 12'!A:A,0))=FALSE,INDEX('Ist Aktuell Monat 12'!B:B,MATCH(D221,'Ist Aktuell Monat 12'!A:A,0)),
"{Konto unbekannt}"
)))))))))))),"")</f>
        <v>Telefax und Internetkosten</v>
      </c>
      <c r="C221" s="591"/>
      <c r="D221" s="590">
        <v>4925</v>
      </c>
      <c r="E221" s="592">
        <f t="shared" si="308"/>
        <v>1</v>
      </c>
      <c r="F221" s="590"/>
      <c r="G221" s="593">
        <f ca="1">$E221*(-SUMIF(INDIRECT(G$3),'Struktur Aktuell'!$D221,INDIRECT(G$4))+SUMIF(INDIRECT(G$3),'Struktur Aktuell'!$D221,INDIRECT(G$5)))</f>
        <v>0</v>
      </c>
      <c r="H221" s="593">
        <f ca="1">$E221*(-SUMIF(INDIRECT(H$3),'Struktur Aktuell'!$D221,INDIRECT(H$4))+SUMIF(INDIRECT(H$3),'Struktur Aktuell'!$D221,INDIRECT(H$5)))</f>
        <v>0</v>
      </c>
      <c r="I221" s="593">
        <f ca="1">$E221*(-SUMIF(INDIRECT(I$3),'Struktur Aktuell'!$D221,INDIRECT(I$4))+SUMIF(INDIRECT(I$3),'Struktur Aktuell'!$D221,INDIRECT(I$5)))</f>
        <v>0</v>
      </c>
      <c r="J221" s="593">
        <f ca="1">$E221*(-SUMIF(INDIRECT(J$3),'Struktur Aktuell'!$D221,INDIRECT(J$4))+SUMIF(INDIRECT(J$3),'Struktur Aktuell'!$D221,INDIRECT(J$5)))</f>
        <v>0</v>
      </c>
      <c r="K221" s="593">
        <f ca="1">$E221*(-SUMIF(INDIRECT(K$3),'Struktur Aktuell'!$D221,INDIRECT(K$4))+SUMIF(INDIRECT(K$3),'Struktur Aktuell'!$D221,INDIRECT(K$5)))</f>
        <v>0</v>
      </c>
      <c r="L221" s="593">
        <f ca="1">$E221*(-SUMIF(INDIRECT(L$3),'Struktur Aktuell'!$D221,INDIRECT(L$4))+SUMIF(INDIRECT(L$3),'Struktur Aktuell'!$D221,INDIRECT(L$5)))</f>
        <v>0</v>
      </c>
      <c r="M221" s="593">
        <f ca="1">$E221*(-SUMIF(INDIRECT(M$3),'Struktur Aktuell'!$D221,INDIRECT(M$4))+SUMIF(INDIRECT(M$3),'Struktur Aktuell'!$D221,INDIRECT(M$5)))</f>
        <v>0</v>
      </c>
      <c r="N221" s="593">
        <f ca="1">$E221*(-SUMIF(INDIRECT(N$3),'Struktur Aktuell'!$D221,INDIRECT(N$4))+SUMIF(INDIRECT(N$3),'Struktur Aktuell'!$D221,INDIRECT(N$5)))</f>
        <v>0.84</v>
      </c>
      <c r="O221" s="593">
        <f ca="1">$E221*(-SUMIF(INDIRECT(O$3),'Struktur Aktuell'!$D221,INDIRECT(O$4))+SUMIF(INDIRECT(O$3),'Struktur Aktuell'!$D221,INDIRECT(O$5)))</f>
        <v>0</v>
      </c>
      <c r="P221" s="593">
        <f ca="1">$E221*(-SUMIF(INDIRECT(P$3),'Struktur Aktuell'!$D221,INDIRECT(P$4))+SUMIF(INDIRECT(P$3),'Struktur Aktuell'!$D221,INDIRECT(P$5)))</f>
        <v>0</v>
      </c>
      <c r="Q221" s="593">
        <f ca="1">$E221*(-SUMIF(INDIRECT(Q$3),'Struktur Aktuell'!$D221,INDIRECT(Q$4))+SUMIF(INDIRECT(Q$3),'Struktur Aktuell'!$D221,INDIRECT(Q$5)))</f>
        <v>0</v>
      </c>
      <c r="R221" s="593">
        <f ca="1">$E221*(-SUMIF(INDIRECT(R$3),'Struktur Aktuell'!$D221,INDIRECT(R$4))+SUMIF(INDIRECT(R$3),'Struktur Aktuell'!$D221,INDIRECT(R$5)))</f>
        <v>0</v>
      </c>
      <c r="S221" s="593">
        <f ca="1">$E221*(-SUMIF(INDIRECT(S$3),'Struktur Aktuell'!$D221,INDIRECT(S$4))+SUMIF(INDIRECT(S$3),'Struktur Aktuell'!$D221,INDIRECT(S$5)))</f>
        <v>0</v>
      </c>
      <c r="T221" s="593">
        <f ca="1">$E221*(-SUMIF(INDIRECT(T$3),'Struktur Aktuell'!$D221,INDIRECT(T$4))+SUMIF(INDIRECT(T$3),'Struktur Aktuell'!$D221,INDIRECT(T$5)))</f>
        <v>0</v>
      </c>
      <c r="U221" s="593">
        <f ca="1">$E221*(-SUMIF(INDIRECT(U$3),'Struktur Aktuell'!$D221,INDIRECT(U$4))+SUMIF(INDIRECT(U$3),'Struktur Aktuell'!$D221,INDIRECT(U$5)))</f>
        <v>0</v>
      </c>
      <c r="V221" s="593">
        <f ca="1">$E221*(-SUMIF(INDIRECT(V$3),'Struktur Aktuell'!$D221,INDIRECT(V$4))+SUMIF(INDIRECT(V$3),'Struktur Aktuell'!$D221,INDIRECT(V$5)))</f>
        <v>0</v>
      </c>
      <c r="W221" s="593">
        <f ca="1">$E221*(-SUMIF(INDIRECT(W$3),'Struktur Aktuell'!$D221,INDIRECT(W$4))+SUMIF(INDIRECT(W$3),'Struktur Aktuell'!$D221,INDIRECT(W$5)))</f>
        <v>0</v>
      </c>
      <c r="X221" s="593">
        <f ca="1">$E221*(-SUMIF(INDIRECT(X$3),'Struktur Aktuell'!$D221,INDIRECT(X$4))+SUMIF(INDIRECT(X$3),'Struktur Aktuell'!$D221,INDIRECT(X$5)))</f>
        <v>0</v>
      </c>
      <c r="Y221" s="593">
        <f ca="1">$E221*(-SUMIF(INDIRECT(Y$3),'Struktur Aktuell'!$D221,INDIRECT(Y$4))+SUMIF(INDIRECT(Y$3),'Struktur Aktuell'!$D221,INDIRECT(Y$5)))</f>
        <v>0</v>
      </c>
      <c r="Z221" s="593">
        <f ca="1">$E221*(-SUMIF(INDIRECT(Z$3),'Struktur Aktuell'!$D221,INDIRECT(Z$4))+SUMIF(INDIRECT(Z$3),'Struktur Aktuell'!$D221,INDIRECT(Z$5)))</f>
        <v>0.84</v>
      </c>
      <c r="AA221" s="593">
        <f ca="1">$E221*(-SUMIF(INDIRECT(AA$3),'Struktur Aktuell'!$D221,INDIRECT(AA$4))+SUMIF(INDIRECT(AA$3),'Struktur Aktuell'!$D221,INDIRECT(AA$5)))</f>
        <v>0.84</v>
      </c>
      <c r="AB221" s="593">
        <f ca="1">$E221*(-SUMIF(INDIRECT(AB$3),'Struktur Aktuell'!$D221,INDIRECT(AB$4))+SUMIF(INDIRECT(AB$3),'Struktur Aktuell'!$D221,INDIRECT(AB$5)))</f>
        <v>0.84</v>
      </c>
      <c r="AC221" s="593">
        <f ca="1">$E221*(-SUMIF(INDIRECT(AC$3),'Struktur Aktuell'!$D221,INDIRECT(AC$4))+SUMIF(INDIRECT(AC$3),'Struktur Aktuell'!$D221,INDIRECT(AC$5)))</f>
        <v>0</v>
      </c>
      <c r="AD221" s="593">
        <f ca="1">$E221*(-SUMIF(INDIRECT(AD$3),'Struktur Aktuell'!$D221,INDIRECT(AD$4))+SUMIF(INDIRECT(AD$3),'Struktur Aktuell'!$D221,INDIRECT(AD$5)))</f>
        <v>0</v>
      </c>
      <c r="AE221" s="593">
        <f t="shared" ca="1" si="311"/>
        <v>0</v>
      </c>
      <c r="AF221" s="593">
        <f t="shared" ca="1" si="312"/>
        <v>0</v>
      </c>
      <c r="AG221" s="593">
        <f t="shared" ca="1" si="313"/>
        <v>0</v>
      </c>
      <c r="AH221" s="593">
        <f t="shared" ca="1" si="314"/>
        <v>0</v>
      </c>
      <c r="AI221" s="593">
        <f t="shared" ca="1" si="315"/>
        <v>0</v>
      </c>
      <c r="AJ221" s="593">
        <f t="shared" ca="1" si="316"/>
        <v>0</v>
      </c>
      <c r="AK221" s="593">
        <f t="shared" ca="1" si="317"/>
        <v>0</v>
      </c>
      <c r="AL221" s="593">
        <f t="shared" ca="1" si="318"/>
        <v>0.84</v>
      </c>
      <c r="AM221" s="593">
        <f t="shared" ca="1" si="319"/>
        <v>0.84</v>
      </c>
      <c r="AN221" s="593">
        <f t="shared" ca="1" si="320"/>
        <v>0.84</v>
      </c>
      <c r="AO221" s="593">
        <f t="shared" ca="1" si="321"/>
        <v>0.84</v>
      </c>
      <c r="AP221" s="593">
        <f t="shared" ca="1" si="322"/>
        <v>0.84</v>
      </c>
    </row>
    <row r="222" spans="1:42" s="594" customFormat="1" ht="11.25" outlineLevel="1" x14ac:dyDescent="0.2">
      <c r="A222" s="590"/>
      <c r="B222" s="591" t="str">
        <f>IF(D222&lt;&gt;"",
IF(ISERROR(MATCH(D222,'Ist Aktuell Monat 01'!A:A,0))=FALSE,INDEX('Ist Aktuell Monat 01'!B:B,MATCH(D222,'Ist Aktuell Monat 01'!A:A,0)),
IF(ISERROR(MATCH(D222,'Ist Aktuell Monat 02'!A:A,0))=FALSE,INDEX('Ist Aktuell Monat 02'!B:B,MATCH(D222,'Ist Aktuell Monat 02'!A:A,0)),
IF(ISERROR(MATCH(D222,'Ist Aktuell Monat 03'!A:A,0))=FALSE,INDEX('Ist Aktuell Monat 03'!B:B,MATCH(D222,'Ist Aktuell Monat 03'!A:A,0)),
IF(ISERROR(MATCH(D222,'Ist Aktuell Monat 04'!A:A,0))=FALSE,INDEX('Ist Aktuell Monat 04'!B:B,MATCH(D222,'Ist Aktuell Monat 04'!A:A,0)),
IF(ISERROR(MATCH(D222,'Ist Aktuell Monat 05'!A:A,0))=FALSE,INDEX('Ist Aktuell Monat 05'!B:B,MATCH(D222,'Ist Aktuell Monat 05'!A:A,0)),
IF(ISERROR(MATCH(D222,'Ist Aktuell Monat 06'!A:A,0))=FALSE,INDEX('Ist Aktuell Monat 06'!B:B,MATCH(D222,'Ist Aktuell Monat 06'!A:A,0)),
IF(ISERROR(MATCH(D222,'Ist Aktuell Monat 07'!A:A,0))=FALSE,INDEX('Ist Aktuell Monat 07'!B:B,MATCH(D222,'Ist Aktuell Monat 07'!A:A,0)),
IF(ISERROR(MATCH(D222,'Ist Aktuell Monat 08'!A:A,0))=FALSE,INDEX('Ist Aktuell Monat 08'!B:B,MATCH(D222,'Ist Aktuell Monat 08'!A:A,0)),
IF(ISERROR(MATCH(D222,'Ist Aktuell Monat 09'!A:A,0))=FALSE,INDEX('Ist Aktuell Monat 09'!B:B,MATCH(D222,'Ist Aktuell Monat 09'!A:A,0)),
IF(ISERROR(MATCH(D222,'Ist Aktuell Monat 10'!A:A,0))=FALSE,INDEX('Ist Aktuell Monat 10'!B:B,MATCH(D222,'Ist Aktuell Monat 10'!A:A,0)),
IF(ISERROR(MATCH(D222,'Ist Aktuell Monat 11'!A:A,0))=FALSE,INDEX('Ist Aktuell Monat 11'!B:B,MATCH(D222,'Ist Aktuell Monat 11'!A:A,0)),
IF(ISERROR(MATCH(D222,'Ist Aktuell Monat 12'!A:A,0))=FALSE,INDEX('Ist Aktuell Monat 12'!B:B,MATCH(D222,'Ist Aktuell Monat 12'!A:A,0)),
"{Konto unbekannt}"
)))))))))))),"")</f>
        <v/>
      </c>
      <c r="C222" s="591"/>
      <c r="D222" s="590"/>
      <c r="E222" s="592">
        <f t="shared" si="308"/>
        <v>1</v>
      </c>
      <c r="F222" s="590"/>
      <c r="G222" s="593">
        <f ca="1">$E222*(-SUMIF(INDIRECT(G$3),'Struktur Aktuell'!$D222,INDIRECT(G$4))+SUMIF(INDIRECT(G$3),'Struktur Aktuell'!$D222,INDIRECT(G$5)))</f>
        <v>0</v>
      </c>
      <c r="H222" s="593">
        <f ca="1">$E222*(-SUMIF(INDIRECT(H$3),'Struktur Aktuell'!$D222,INDIRECT(H$4))+SUMIF(INDIRECT(H$3),'Struktur Aktuell'!$D222,INDIRECT(H$5)))</f>
        <v>0</v>
      </c>
      <c r="I222" s="593">
        <f ca="1">$E222*(-SUMIF(INDIRECT(I$3),'Struktur Aktuell'!$D222,INDIRECT(I$4))+SUMIF(INDIRECT(I$3),'Struktur Aktuell'!$D222,INDIRECT(I$5)))</f>
        <v>0</v>
      </c>
      <c r="J222" s="593">
        <f ca="1">$E222*(-SUMIF(INDIRECT(J$3),'Struktur Aktuell'!$D222,INDIRECT(J$4))+SUMIF(INDIRECT(J$3),'Struktur Aktuell'!$D222,INDIRECT(J$5)))</f>
        <v>0</v>
      </c>
      <c r="K222" s="593">
        <f ca="1">$E222*(-SUMIF(INDIRECT(K$3),'Struktur Aktuell'!$D222,INDIRECT(K$4))+SUMIF(INDIRECT(K$3),'Struktur Aktuell'!$D222,INDIRECT(K$5)))</f>
        <v>0</v>
      </c>
      <c r="L222" s="593">
        <f ca="1">$E222*(-SUMIF(INDIRECT(L$3),'Struktur Aktuell'!$D222,INDIRECT(L$4))+SUMIF(INDIRECT(L$3),'Struktur Aktuell'!$D222,INDIRECT(L$5)))</f>
        <v>0</v>
      </c>
      <c r="M222" s="593">
        <f ca="1">$E222*(-SUMIF(INDIRECT(M$3),'Struktur Aktuell'!$D222,INDIRECT(M$4))+SUMIF(INDIRECT(M$3),'Struktur Aktuell'!$D222,INDIRECT(M$5)))</f>
        <v>0</v>
      </c>
      <c r="N222" s="593">
        <f ca="1">$E222*(-SUMIF(INDIRECT(N$3),'Struktur Aktuell'!$D222,INDIRECT(N$4))+SUMIF(INDIRECT(N$3),'Struktur Aktuell'!$D222,INDIRECT(N$5)))</f>
        <v>0</v>
      </c>
      <c r="O222" s="593">
        <f ca="1">$E222*(-SUMIF(INDIRECT(O$3),'Struktur Aktuell'!$D222,INDIRECT(O$4))+SUMIF(INDIRECT(O$3),'Struktur Aktuell'!$D222,INDIRECT(O$5)))</f>
        <v>0</v>
      </c>
      <c r="P222" s="593">
        <f ca="1">$E222*(-SUMIF(INDIRECT(P$3),'Struktur Aktuell'!$D222,INDIRECT(P$4))+SUMIF(INDIRECT(P$3),'Struktur Aktuell'!$D222,INDIRECT(P$5)))</f>
        <v>0</v>
      </c>
      <c r="Q222" s="593">
        <f ca="1">$E222*(-SUMIF(INDIRECT(Q$3),'Struktur Aktuell'!$D222,INDIRECT(Q$4))+SUMIF(INDIRECT(Q$3),'Struktur Aktuell'!$D222,INDIRECT(Q$5)))</f>
        <v>0</v>
      </c>
      <c r="R222" s="593">
        <f ca="1">$E222*(-SUMIF(INDIRECT(R$3),'Struktur Aktuell'!$D222,INDIRECT(R$4))+SUMIF(INDIRECT(R$3),'Struktur Aktuell'!$D222,INDIRECT(R$5)))</f>
        <v>0</v>
      </c>
      <c r="S222" s="593">
        <f ca="1">$E222*(-SUMIF(INDIRECT(S$3),'Struktur Aktuell'!$D222,INDIRECT(S$4))+SUMIF(INDIRECT(S$3),'Struktur Aktuell'!$D222,INDIRECT(S$5)))</f>
        <v>0</v>
      </c>
      <c r="T222" s="593">
        <f ca="1">$E222*(-SUMIF(INDIRECT(T$3),'Struktur Aktuell'!$D222,INDIRECT(T$4))+SUMIF(INDIRECT(T$3),'Struktur Aktuell'!$D222,INDIRECT(T$5)))</f>
        <v>0</v>
      </c>
      <c r="U222" s="593">
        <f ca="1">$E222*(-SUMIF(INDIRECT(U$3),'Struktur Aktuell'!$D222,INDIRECT(U$4))+SUMIF(INDIRECT(U$3),'Struktur Aktuell'!$D222,INDIRECT(U$5)))</f>
        <v>0</v>
      </c>
      <c r="V222" s="593">
        <f ca="1">$E222*(-SUMIF(INDIRECT(V$3),'Struktur Aktuell'!$D222,INDIRECT(V$4))+SUMIF(INDIRECT(V$3),'Struktur Aktuell'!$D222,INDIRECT(V$5)))</f>
        <v>0</v>
      </c>
      <c r="W222" s="593">
        <f ca="1">$E222*(-SUMIF(INDIRECT(W$3),'Struktur Aktuell'!$D222,INDIRECT(W$4))+SUMIF(INDIRECT(W$3),'Struktur Aktuell'!$D222,INDIRECT(W$5)))</f>
        <v>0</v>
      </c>
      <c r="X222" s="593">
        <f ca="1">$E222*(-SUMIF(INDIRECT(X$3),'Struktur Aktuell'!$D222,INDIRECT(X$4))+SUMIF(INDIRECT(X$3),'Struktur Aktuell'!$D222,INDIRECT(X$5)))</f>
        <v>0</v>
      </c>
      <c r="Y222" s="593">
        <f ca="1">$E222*(-SUMIF(INDIRECT(Y$3),'Struktur Aktuell'!$D222,INDIRECT(Y$4))+SUMIF(INDIRECT(Y$3),'Struktur Aktuell'!$D222,INDIRECT(Y$5)))</f>
        <v>0</v>
      </c>
      <c r="Z222" s="593">
        <f ca="1">$E222*(-SUMIF(INDIRECT(Z$3),'Struktur Aktuell'!$D222,INDIRECT(Z$4))+SUMIF(INDIRECT(Z$3),'Struktur Aktuell'!$D222,INDIRECT(Z$5)))</f>
        <v>0</v>
      </c>
      <c r="AA222" s="593">
        <f ca="1">$E222*(-SUMIF(INDIRECT(AA$3),'Struktur Aktuell'!$D222,INDIRECT(AA$4))+SUMIF(INDIRECT(AA$3),'Struktur Aktuell'!$D222,INDIRECT(AA$5)))</f>
        <v>0</v>
      </c>
      <c r="AB222" s="593">
        <f ca="1">$E222*(-SUMIF(INDIRECT(AB$3),'Struktur Aktuell'!$D222,INDIRECT(AB$4))+SUMIF(INDIRECT(AB$3),'Struktur Aktuell'!$D222,INDIRECT(AB$5)))</f>
        <v>0</v>
      </c>
      <c r="AC222" s="593">
        <f ca="1">$E222*(-SUMIF(INDIRECT(AC$3),'Struktur Aktuell'!$D222,INDIRECT(AC$4))+SUMIF(INDIRECT(AC$3),'Struktur Aktuell'!$D222,INDIRECT(AC$5)))</f>
        <v>0</v>
      </c>
      <c r="AD222" s="593">
        <f ca="1">$E222*(-SUMIF(INDIRECT(AD$3),'Struktur Aktuell'!$D222,INDIRECT(AD$4))+SUMIF(INDIRECT(AD$3),'Struktur Aktuell'!$D222,INDIRECT(AD$5)))</f>
        <v>0</v>
      </c>
      <c r="AE222" s="593">
        <f t="shared" ca="1" si="311"/>
        <v>0</v>
      </c>
      <c r="AF222" s="593">
        <f t="shared" ca="1" si="312"/>
        <v>0</v>
      </c>
      <c r="AG222" s="593">
        <f t="shared" ca="1" si="313"/>
        <v>0</v>
      </c>
      <c r="AH222" s="593">
        <f t="shared" ca="1" si="314"/>
        <v>0</v>
      </c>
      <c r="AI222" s="593">
        <f t="shared" ca="1" si="315"/>
        <v>0</v>
      </c>
      <c r="AJ222" s="593">
        <f t="shared" ca="1" si="316"/>
        <v>0</v>
      </c>
      <c r="AK222" s="593">
        <f t="shared" ca="1" si="317"/>
        <v>0</v>
      </c>
      <c r="AL222" s="593">
        <f t="shared" ca="1" si="318"/>
        <v>0</v>
      </c>
      <c r="AM222" s="593">
        <f t="shared" ca="1" si="319"/>
        <v>0</v>
      </c>
      <c r="AN222" s="593">
        <f t="shared" ca="1" si="320"/>
        <v>0</v>
      </c>
      <c r="AO222" s="593">
        <f t="shared" ca="1" si="321"/>
        <v>0</v>
      </c>
      <c r="AP222" s="593">
        <f t="shared" ca="1" si="322"/>
        <v>0</v>
      </c>
    </row>
    <row r="223" spans="1:42" s="594" customFormat="1" ht="11.25" outlineLevel="1" x14ac:dyDescent="0.2">
      <c r="A223" s="590"/>
      <c r="B223" s="591" t="str">
        <f>IF(D223&lt;&gt;"",
IF(ISERROR(MATCH(D223,'Ist Aktuell Monat 01'!A:A,0))=FALSE,INDEX('Ist Aktuell Monat 01'!B:B,MATCH(D223,'Ist Aktuell Monat 01'!A:A,0)),
IF(ISERROR(MATCH(D223,'Ist Aktuell Monat 02'!A:A,0))=FALSE,INDEX('Ist Aktuell Monat 02'!B:B,MATCH(D223,'Ist Aktuell Monat 02'!A:A,0)),
IF(ISERROR(MATCH(D223,'Ist Aktuell Monat 03'!A:A,0))=FALSE,INDEX('Ist Aktuell Monat 03'!B:B,MATCH(D223,'Ist Aktuell Monat 03'!A:A,0)),
IF(ISERROR(MATCH(D223,'Ist Aktuell Monat 04'!A:A,0))=FALSE,INDEX('Ist Aktuell Monat 04'!B:B,MATCH(D223,'Ist Aktuell Monat 04'!A:A,0)),
IF(ISERROR(MATCH(D223,'Ist Aktuell Monat 05'!A:A,0))=FALSE,INDEX('Ist Aktuell Monat 05'!B:B,MATCH(D223,'Ist Aktuell Monat 05'!A:A,0)),
IF(ISERROR(MATCH(D223,'Ist Aktuell Monat 06'!A:A,0))=FALSE,INDEX('Ist Aktuell Monat 06'!B:B,MATCH(D223,'Ist Aktuell Monat 06'!A:A,0)),
IF(ISERROR(MATCH(D223,'Ist Aktuell Monat 07'!A:A,0))=FALSE,INDEX('Ist Aktuell Monat 07'!B:B,MATCH(D223,'Ist Aktuell Monat 07'!A:A,0)),
IF(ISERROR(MATCH(D223,'Ist Aktuell Monat 08'!A:A,0))=FALSE,INDEX('Ist Aktuell Monat 08'!B:B,MATCH(D223,'Ist Aktuell Monat 08'!A:A,0)),
IF(ISERROR(MATCH(D223,'Ist Aktuell Monat 09'!A:A,0))=FALSE,INDEX('Ist Aktuell Monat 09'!B:B,MATCH(D223,'Ist Aktuell Monat 09'!A:A,0)),
IF(ISERROR(MATCH(D223,'Ist Aktuell Monat 10'!A:A,0))=FALSE,INDEX('Ist Aktuell Monat 10'!B:B,MATCH(D223,'Ist Aktuell Monat 10'!A:A,0)),
IF(ISERROR(MATCH(D223,'Ist Aktuell Monat 11'!A:A,0))=FALSE,INDEX('Ist Aktuell Monat 11'!B:B,MATCH(D223,'Ist Aktuell Monat 11'!A:A,0)),
IF(ISERROR(MATCH(D223,'Ist Aktuell Monat 12'!A:A,0))=FALSE,INDEX('Ist Aktuell Monat 12'!B:B,MATCH(D223,'Ist Aktuell Monat 12'!A:A,0)),
"{Konto unbekannt}"
)))))))))))),"")</f>
        <v/>
      </c>
      <c r="C223" s="591"/>
      <c r="D223" s="590"/>
      <c r="E223" s="592">
        <f t="shared" si="308"/>
        <v>1</v>
      </c>
      <c r="F223" s="590"/>
      <c r="G223" s="593">
        <f ca="1">$E223*(-SUMIF(INDIRECT(G$3),'Struktur Aktuell'!$D223,INDIRECT(G$4))+SUMIF(INDIRECT(G$3),'Struktur Aktuell'!$D223,INDIRECT(G$5)))</f>
        <v>0</v>
      </c>
      <c r="H223" s="593">
        <f ca="1">$E223*(-SUMIF(INDIRECT(H$3),'Struktur Aktuell'!$D223,INDIRECT(H$4))+SUMIF(INDIRECT(H$3),'Struktur Aktuell'!$D223,INDIRECT(H$5)))</f>
        <v>0</v>
      </c>
      <c r="I223" s="593">
        <f ca="1">$E223*(-SUMIF(INDIRECT(I$3),'Struktur Aktuell'!$D223,INDIRECT(I$4))+SUMIF(INDIRECT(I$3),'Struktur Aktuell'!$D223,INDIRECT(I$5)))</f>
        <v>0</v>
      </c>
      <c r="J223" s="593">
        <f ca="1">$E223*(-SUMIF(INDIRECT(J$3),'Struktur Aktuell'!$D223,INDIRECT(J$4))+SUMIF(INDIRECT(J$3),'Struktur Aktuell'!$D223,INDIRECT(J$5)))</f>
        <v>0</v>
      </c>
      <c r="K223" s="593">
        <f ca="1">$E223*(-SUMIF(INDIRECT(K$3),'Struktur Aktuell'!$D223,INDIRECT(K$4))+SUMIF(INDIRECT(K$3),'Struktur Aktuell'!$D223,INDIRECT(K$5)))</f>
        <v>0</v>
      </c>
      <c r="L223" s="593">
        <f ca="1">$E223*(-SUMIF(INDIRECT(L$3),'Struktur Aktuell'!$D223,INDIRECT(L$4))+SUMIF(INDIRECT(L$3),'Struktur Aktuell'!$D223,INDIRECT(L$5)))</f>
        <v>0</v>
      </c>
      <c r="M223" s="593">
        <f ca="1">$E223*(-SUMIF(INDIRECT(M$3),'Struktur Aktuell'!$D223,INDIRECT(M$4))+SUMIF(INDIRECT(M$3),'Struktur Aktuell'!$D223,INDIRECT(M$5)))</f>
        <v>0</v>
      </c>
      <c r="N223" s="593">
        <f ca="1">$E223*(-SUMIF(INDIRECT(N$3),'Struktur Aktuell'!$D223,INDIRECT(N$4))+SUMIF(INDIRECT(N$3),'Struktur Aktuell'!$D223,INDIRECT(N$5)))</f>
        <v>0</v>
      </c>
      <c r="O223" s="593">
        <f ca="1">$E223*(-SUMIF(INDIRECT(O$3),'Struktur Aktuell'!$D223,INDIRECT(O$4))+SUMIF(INDIRECT(O$3),'Struktur Aktuell'!$D223,INDIRECT(O$5)))</f>
        <v>0</v>
      </c>
      <c r="P223" s="593">
        <f ca="1">$E223*(-SUMIF(INDIRECT(P$3),'Struktur Aktuell'!$D223,INDIRECT(P$4))+SUMIF(INDIRECT(P$3),'Struktur Aktuell'!$D223,INDIRECT(P$5)))</f>
        <v>0</v>
      </c>
      <c r="Q223" s="593">
        <f ca="1">$E223*(-SUMIF(INDIRECT(Q$3),'Struktur Aktuell'!$D223,INDIRECT(Q$4))+SUMIF(INDIRECT(Q$3),'Struktur Aktuell'!$D223,INDIRECT(Q$5)))</f>
        <v>0</v>
      </c>
      <c r="R223" s="593">
        <f ca="1">$E223*(-SUMIF(INDIRECT(R$3),'Struktur Aktuell'!$D223,INDIRECT(R$4))+SUMIF(INDIRECT(R$3),'Struktur Aktuell'!$D223,INDIRECT(R$5)))</f>
        <v>0</v>
      </c>
      <c r="S223" s="593">
        <f ca="1">$E223*(-SUMIF(INDIRECT(S$3),'Struktur Aktuell'!$D223,INDIRECT(S$4))+SUMIF(INDIRECT(S$3),'Struktur Aktuell'!$D223,INDIRECT(S$5)))</f>
        <v>0</v>
      </c>
      <c r="T223" s="593">
        <f ca="1">$E223*(-SUMIF(INDIRECT(T$3),'Struktur Aktuell'!$D223,INDIRECT(T$4))+SUMIF(INDIRECT(T$3),'Struktur Aktuell'!$D223,INDIRECT(T$5)))</f>
        <v>0</v>
      </c>
      <c r="U223" s="593">
        <f ca="1">$E223*(-SUMIF(INDIRECT(U$3),'Struktur Aktuell'!$D223,INDIRECT(U$4))+SUMIF(INDIRECT(U$3),'Struktur Aktuell'!$D223,INDIRECT(U$5)))</f>
        <v>0</v>
      </c>
      <c r="V223" s="593">
        <f ca="1">$E223*(-SUMIF(INDIRECT(V$3),'Struktur Aktuell'!$D223,INDIRECT(V$4))+SUMIF(INDIRECT(V$3),'Struktur Aktuell'!$D223,INDIRECT(V$5)))</f>
        <v>0</v>
      </c>
      <c r="W223" s="593">
        <f ca="1">$E223*(-SUMIF(INDIRECT(W$3),'Struktur Aktuell'!$D223,INDIRECT(W$4))+SUMIF(INDIRECT(W$3),'Struktur Aktuell'!$D223,INDIRECT(W$5)))</f>
        <v>0</v>
      </c>
      <c r="X223" s="593">
        <f ca="1">$E223*(-SUMIF(INDIRECT(X$3),'Struktur Aktuell'!$D223,INDIRECT(X$4))+SUMIF(INDIRECT(X$3),'Struktur Aktuell'!$D223,INDIRECT(X$5)))</f>
        <v>0</v>
      </c>
      <c r="Y223" s="593">
        <f ca="1">$E223*(-SUMIF(INDIRECT(Y$3),'Struktur Aktuell'!$D223,INDIRECT(Y$4))+SUMIF(INDIRECT(Y$3),'Struktur Aktuell'!$D223,INDIRECT(Y$5)))</f>
        <v>0</v>
      </c>
      <c r="Z223" s="593">
        <f ca="1">$E223*(-SUMIF(INDIRECT(Z$3),'Struktur Aktuell'!$D223,INDIRECT(Z$4))+SUMIF(INDIRECT(Z$3),'Struktur Aktuell'!$D223,INDIRECT(Z$5)))</f>
        <v>0</v>
      </c>
      <c r="AA223" s="593">
        <f ca="1">$E223*(-SUMIF(INDIRECT(AA$3),'Struktur Aktuell'!$D223,INDIRECT(AA$4))+SUMIF(INDIRECT(AA$3),'Struktur Aktuell'!$D223,INDIRECT(AA$5)))</f>
        <v>0</v>
      </c>
      <c r="AB223" s="593">
        <f ca="1">$E223*(-SUMIF(INDIRECT(AB$3),'Struktur Aktuell'!$D223,INDIRECT(AB$4))+SUMIF(INDIRECT(AB$3),'Struktur Aktuell'!$D223,INDIRECT(AB$5)))</f>
        <v>0</v>
      </c>
      <c r="AC223" s="593">
        <f ca="1">$E223*(-SUMIF(INDIRECT(AC$3),'Struktur Aktuell'!$D223,INDIRECT(AC$4))+SUMIF(INDIRECT(AC$3),'Struktur Aktuell'!$D223,INDIRECT(AC$5)))</f>
        <v>0</v>
      </c>
      <c r="AD223" s="593">
        <f ca="1">$E223*(-SUMIF(INDIRECT(AD$3),'Struktur Aktuell'!$D223,INDIRECT(AD$4))+SUMIF(INDIRECT(AD$3),'Struktur Aktuell'!$D223,INDIRECT(AD$5)))</f>
        <v>0</v>
      </c>
      <c r="AE223" s="593">
        <f t="shared" ca="1" si="311"/>
        <v>0</v>
      </c>
      <c r="AF223" s="593">
        <f t="shared" ca="1" si="312"/>
        <v>0</v>
      </c>
      <c r="AG223" s="593">
        <f t="shared" ca="1" si="313"/>
        <v>0</v>
      </c>
      <c r="AH223" s="593">
        <f t="shared" ca="1" si="314"/>
        <v>0</v>
      </c>
      <c r="AI223" s="593">
        <f t="shared" ca="1" si="315"/>
        <v>0</v>
      </c>
      <c r="AJ223" s="593">
        <f t="shared" ca="1" si="316"/>
        <v>0</v>
      </c>
      <c r="AK223" s="593">
        <f t="shared" ca="1" si="317"/>
        <v>0</v>
      </c>
      <c r="AL223" s="593">
        <f t="shared" ca="1" si="318"/>
        <v>0</v>
      </c>
      <c r="AM223" s="593">
        <f t="shared" ca="1" si="319"/>
        <v>0</v>
      </c>
      <c r="AN223" s="593">
        <f t="shared" ca="1" si="320"/>
        <v>0</v>
      </c>
      <c r="AO223" s="593">
        <f t="shared" ca="1" si="321"/>
        <v>0</v>
      </c>
      <c r="AP223" s="593">
        <f t="shared" ca="1" si="322"/>
        <v>0</v>
      </c>
    </row>
    <row r="224" spans="1:42" s="594" customFormat="1" ht="11.25" outlineLevel="1" x14ac:dyDescent="0.2">
      <c r="A224" s="590"/>
      <c r="B224" s="591" t="str">
        <f>IF(D224&lt;&gt;"",
IF(ISERROR(MATCH(D224,'Ist Aktuell Monat 01'!A:A,0))=FALSE,INDEX('Ist Aktuell Monat 01'!B:B,MATCH(D224,'Ist Aktuell Monat 01'!A:A,0)),
IF(ISERROR(MATCH(D224,'Ist Aktuell Monat 02'!A:A,0))=FALSE,INDEX('Ist Aktuell Monat 02'!B:B,MATCH(D224,'Ist Aktuell Monat 02'!A:A,0)),
IF(ISERROR(MATCH(D224,'Ist Aktuell Monat 03'!A:A,0))=FALSE,INDEX('Ist Aktuell Monat 03'!B:B,MATCH(D224,'Ist Aktuell Monat 03'!A:A,0)),
IF(ISERROR(MATCH(D224,'Ist Aktuell Monat 04'!A:A,0))=FALSE,INDEX('Ist Aktuell Monat 04'!B:B,MATCH(D224,'Ist Aktuell Monat 04'!A:A,0)),
IF(ISERROR(MATCH(D224,'Ist Aktuell Monat 05'!A:A,0))=FALSE,INDEX('Ist Aktuell Monat 05'!B:B,MATCH(D224,'Ist Aktuell Monat 05'!A:A,0)),
IF(ISERROR(MATCH(D224,'Ist Aktuell Monat 06'!A:A,0))=FALSE,INDEX('Ist Aktuell Monat 06'!B:B,MATCH(D224,'Ist Aktuell Monat 06'!A:A,0)),
IF(ISERROR(MATCH(D224,'Ist Aktuell Monat 07'!A:A,0))=FALSE,INDEX('Ist Aktuell Monat 07'!B:B,MATCH(D224,'Ist Aktuell Monat 07'!A:A,0)),
IF(ISERROR(MATCH(D224,'Ist Aktuell Monat 08'!A:A,0))=FALSE,INDEX('Ist Aktuell Monat 08'!B:B,MATCH(D224,'Ist Aktuell Monat 08'!A:A,0)),
IF(ISERROR(MATCH(D224,'Ist Aktuell Monat 09'!A:A,0))=FALSE,INDEX('Ist Aktuell Monat 09'!B:B,MATCH(D224,'Ist Aktuell Monat 09'!A:A,0)),
IF(ISERROR(MATCH(D224,'Ist Aktuell Monat 10'!A:A,0))=FALSE,INDEX('Ist Aktuell Monat 10'!B:B,MATCH(D224,'Ist Aktuell Monat 10'!A:A,0)),
IF(ISERROR(MATCH(D224,'Ist Aktuell Monat 11'!A:A,0))=FALSE,INDEX('Ist Aktuell Monat 11'!B:B,MATCH(D224,'Ist Aktuell Monat 11'!A:A,0)),
IF(ISERROR(MATCH(D224,'Ist Aktuell Monat 12'!A:A,0))=FALSE,INDEX('Ist Aktuell Monat 12'!B:B,MATCH(D224,'Ist Aktuell Monat 12'!A:A,0)),
"{Konto unbekannt}"
)))))))))))),"")</f>
        <v/>
      </c>
      <c r="C224" s="591"/>
      <c r="D224" s="590"/>
      <c r="E224" s="592">
        <f t="shared" si="308"/>
        <v>1</v>
      </c>
      <c r="F224" s="590"/>
      <c r="G224" s="593">
        <f ca="1">$E224*(-SUMIF(INDIRECT(G$3),'Struktur Aktuell'!$D224,INDIRECT(G$4))+SUMIF(INDIRECT(G$3),'Struktur Aktuell'!$D224,INDIRECT(G$5)))</f>
        <v>0</v>
      </c>
      <c r="H224" s="593">
        <f ca="1">$E224*(-SUMIF(INDIRECT(H$3),'Struktur Aktuell'!$D224,INDIRECT(H$4))+SUMIF(INDIRECT(H$3),'Struktur Aktuell'!$D224,INDIRECT(H$5)))</f>
        <v>0</v>
      </c>
      <c r="I224" s="593">
        <f ca="1">$E224*(-SUMIF(INDIRECT(I$3),'Struktur Aktuell'!$D224,INDIRECT(I$4))+SUMIF(INDIRECT(I$3),'Struktur Aktuell'!$D224,INDIRECT(I$5)))</f>
        <v>0</v>
      </c>
      <c r="J224" s="593">
        <f ca="1">$E224*(-SUMIF(INDIRECT(J$3),'Struktur Aktuell'!$D224,INDIRECT(J$4))+SUMIF(INDIRECT(J$3),'Struktur Aktuell'!$D224,INDIRECT(J$5)))</f>
        <v>0</v>
      </c>
      <c r="K224" s="593">
        <f ca="1">$E224*(-SUMIF(INDIRECT(K$3),'Struktur Aktuell'!$D224,INDIRECT(K$4))+SUMIF(INDIRECT(K$3),'Struktur Aktuell'!$D224,INDIRECT(K$5)))</f>
        <v>0</v>
      </c>
      <c r="L224" s="593">
        <f ca="1">$E224*(-SUMIF(INDIRECT(L$3),'Struktur Aktuell'!$D224,INDIRECT(L$4))+SUMIF(INDIRECT(L$3),'Struktur Aktuell'!$D224,INDIRECT(L$5)))</f>
        <v>0</v>
      </c>
      <c r="M224" s="593">
        <f ca="1">$E224*(-SUMIF(INDIRECT(M$3),'Struktur Aktuell'!$D224,INDIRECT(M$4))+SUMIF(INDIRECT(M$3),'Struktur Aktuell'!$D224,INDIRECT(M$5)))</f>
        <v>0</v>
      </c>
      <c r="N224" s="593">
        <f ca="1">$E224*(-SUMIF(INDIRECT(N$3),'Struktur Aktuell'!$D224,INDIRECT(N$4))+SUMIF(INDIRECT(N$3),'Struktur Aktuell'!$D224,INDIRECT(N$5)))</f>
        <v>0</v>
      </c>
      <c r="O224" s="593">
        <f ca="1">$E224*(-SUMIF(INDIRECT(O$3),'Struktur Aktuell'!$D224,INDIRECT(O$4))+SUMIF(INDIRECT(O$3),'Struktur Aktuell'!$D224,INDIRECT(O$5)))</f>
        <v>0</v>
      </c>
      <c r="P224" s="593">
        <f ca="1">$E224*(-SUMIF(INDIRECT(P$3),'Struktur Aktuell'!$D224,INDIRECT(P$4))+SUMIF(INDIRECT(P$3),'Struktur Aktuell'!$D224,INDIRECT(P$5)))</f>
        <v>0</v>
      </c>
      <c r="Q224" s="593">
        <f ca="1">$E224*(-SUMIF(INDIRECT(Q$3),'Struktur Aktuell'!$D224,INDIRECT(Q$4))+SUMIF(INDIRECT(Q$3),'Struktur Aktuell'!$D224,INDIRECT(Q$5)))</f>
        <v>0</v>
      </c>
      <c r="R224" s="593">
        <f ca="1">$E224*(-SUMIF(INDIRECT(R$3),'Struktur Aktuell'!$D224,INDIRECT(R$4))+SUMIF(INDIRECT(R$3),'Struktur Aktuell'!$D224,INDIRECT(R$5)))</f>
        <v>0</v>
      </c>
      <c r="S224" s="593">
        <f ca="1">$E224*(-SUMIF(INDIRECT(S$3),'Struktur Aktuell'!$D224,INDIRECT(S$4))+SUMIF(INDIRECT(S$3),'Struktur Aktuell'!$D224,INDIRECT(S$5)))</f>
        <v>0</v>
      </c>
      <c r="T224" s="593">
        <f ca="1">$E224*(-SUMIF(INDIRECT(T$3),'Struktur Aktuell'!$D224,INDIRECT(T$4))+SUMIF(INDIRECT(T$3),'Struktur Aktuell'!$D224,INDIRECT(T$5)))</f>
        <v>0</v>
      </c>
      <c r="U224" s="593">
        <f ca="1">$E224*(-SUMIF(INDIRECT(U$3),'Struktur Aktuell'!$D224,INDIRECT(U$4))+SUMIF(INDIRECT(U$3),'Struktur Aktuell'!$D224,INDIRECT(U$5)))</f>
        <v>0</v>
      </c>
      <c r="V224" s="593">
        <f ca="1">$E224*(-SUMIF(INDIRECT(V$3),'Struktur Aktuell'!$D224,INDIRECT(V$4))+SUMIF(INDIRECT(V$3),'Struktur Aktuell'!$D224,INDIRECT(V$5)))</f>
        <v>0</v>
      </c>
      <c r="W224" s="593">
        <f ca="1">$E224*(-SUMIF(INDIRECT(W$3),'Struktur Aktuell'!$D224,INDIRECT(W$4))+SUMIF(INDIRECT(W$3),'Struktur Aktuell'!$D224,INDIRECT(W$5)))</f>
        <v>0</v>
      </c>
      <c r="X224" s="593">
        <f ca="1">$E224*(-SUMIF(INDIRECT(X$3),'Struktur Aktuell'!$D224,INDIRECT(X$4))+SUMIF(INDIRECT(X$3),'Struktur Aktuell'!$D224,INDIRECT(X$5)))</f>
        <v>0</v>
      </c>
      <c r="Y224" s="593">
        <f ca="1">$E224*(-SUMIF(INDIRECT(Y$3),'Struktur Aktuell'!$D224,INDIRECT(Y$4))+SUMIF(INDIRECT(Y$3),'Struktur Aktuell'!$D224,INDIRECT(Y$5)))</f>
        <v>0</v>
      </c>
      <c r="Z224" s="593">
        <f ca="1">$E224*(-SUMIF(INDIRECT(Z$3),'Struktur Aktuell'!$D224,INDIRECT(Z$4))+SUMIF(INDIRECT(Z$3),'Struktur Aktuell'!$D224,INDIRECT(Z$5)))</f>
        <v>0</v>
      </c>
      <c r="AA224" s="593">
        <f ca="1">$E224*(-SUMIF(INDIRECT(AA$3),'Struktur Aktuell'!$D224,INDIRECT(AA$4))+SUMIF(INDIRECT(AA$3),'Struktur Aktuell'!$D224,INDIRECT(AA$5)))</f>
        <v>0</v>
      </c>
      <c r="AB224" s="593">
        <f ca="1">$E224*(-SUMIF(INDIRECT(AB$3),'Struktur Aktuell'!$D224,INDIRECT(AB$4))+SUMIF(INDIRECT(AB$3),'Struktur Aktuell'!$D224,INDIRECT(AB$5)))</f>
        <v>0</v>
      </c>
      <c r="AC224" s="593">
        <f ca="1">$E224*(-SUMIF(INDIRECT(AC$3),'Struktur Aktuell'!$D224,INDIRECT(AC$4))+SUMIF(INDIRECT(AC$3),'Struktur Aktuell'!$D224,INDIRECT(AC$5)))</f>
        <v>0</v>
      </c>
      <c r="AD224" s="593">
        <f ca="1">$E224*(-SUMIF(INDIRECT(AD$3),'Struktur Aktuell'!$D224,INDIRECT(AD$4))+SUMIF(INDIRECT(AD$3),'Struktur Aktuell'!$D224,INDIRECT(AD$5)))</f>
        <v>0</v>
      </c>
      <c r="AE224" s="593">
        <f t="shared" ca="1" si="311"/>
        <v>0</v>
      </c>
      <c r="AF224" s="593">
        <f t="shared" ca="1" si="312"/>
        <v>0</v>
      </c>
      <c r="AG224" s="593">
        <f t="shared" ca="1" si="313"/>
        <v>0</v>
      </c>
      <c r="AH224" s="593">
        <f t="shared" ca="1" si="314"/>
        <v>0</v>
      </c>
      <c r="AI224" s="593">
        <f t="shared" ca="1" si="315"/>
        <v>0</v>
      </c>
      <c r="AJ224" s="593">
        <f t="shared" ca="1" si="316"/>
        <v>0</v>
      </c>
      <c r="AK224" s="593">
        <f t="shared" ca="1" si="317"/>
        <v>0</v>
      </c>
      <c r="AL224" s="593">
        <f t="shared" ca="1" si="318"/>
        <v>0</v>
      </c>
      <c r="AM224" s="593">
        <f t="shared" ca="1" si="319"/>
        <v>0</v>
      </c>
      <c r="AN224" s="593">
        <f t="shared" ca="1" si="320"/>
        <v>0</v>
      </c>
      <c r="AO224" s="593">
        <f t="shared" ca="1" si="321"/>
        <v>0</v>
      </c>
      <c r="AP224" s="593">
        <f t="shared" ca="1" si="322"/>
        <v>0</v>
      </c>
    </row>
    <row r="225" spans="1:42" s="594" customFormat="1" ht="11.25" outlineLevel="1" x14ac:dyDescent="0.2">
      <c r="A225" s="590"/>
      <c r="B225" s="591" t="str">
        <f>IF(D225&lt;&gt;"",
IF(ISERROR(MATCH(D225,'Ist Aktuell Monat 01'!A:A,0))=FALSE,INDEX('Ist Aktuell Monat 01'!B:B,MATCH(D225,'Ist Aktuell Monat 01'!A:A,0)),
IF(ISERROR(MATCH(D225,'Ist Aktuell Monat 02'!A:A,0))=FALSE,INDEX('Ist Aktuell Monat 02'!B:B,MATCH(D225,'Ist Aktuell Monat 02'!A:A,0)),
IF(ISERROR(MATCH(D225,'Ist Aktuell Monat 03'!A:A,0))=FALSE,INDEX('Ist Aktuell Monat 03'!B:B,MATCH(D225,'Ist Aktuell Monat 03'!A:A,0)),
IF(ISERROR(MATCH(D225,'Ist Aktuell Monat 04'!A:A,0))=FALSE,INDEX('Ist Aktuell Monat 04'!B:B,MATCH(D225,'Ist Aktuell Monat 04'!A:A,0)),
IF(ISERROR(MATCH(D225,'Ist Aktuell Monat 05'!A:A,0))=FALSE,INDEX('Ist Aktuell Monat 05'!B:B,MATCH(D225,'Ist Aktuell Monat 05'!A:A,0)),
IF(ISERROR(MATCH(D225,'Ist Aktuell Monat 06'!A:A,0))=FALSE,INDEX('Ist Aktuell Monat 06'!B:B,MATCH(D225,'Ist Aktuell Monat 06'!A:A,0)),
IF(ISERROR(MATCH(D225,'Ist Aktuell Monat 07'!A:A,0))=FALSE,INDEX('Ist Aktuell Monat 07'!B:B,MATCH(D225,'Ist Aktuell Monat 07'!A:A,0)),
IF(ISERROR(MATCH(D225,'Ist Aktuell Monat 08'!A:A,0))=FALSE,INDEX('Ist Aktuell Monat 08'!B:B,MATCH(D225,'Ist Aktuell Monat 08'!A:A,0)),
IF(ISERROR(MATCH(D225,'Ist Aktuell Monat 09'!A:A,0))=FALSE,INDEX('Ist Aktuell Monat 09'!B:B,MATCH(D225,'Ist Aktuell Monat 09'!A:A,0)),
IF(ISERROR(MATCH(D225,'Ist Aktuell Monat 10'!A:A,0))=FALSE,INDEX('Ist Aktuell Monat 10'!B:B,MATCH(D225,'Ist Aktuell Monat 10'!A:A,0)),
IF(ISERROR(MATCH(D225,'Ist Aktuell Monat 11'!A:A,0))=FALSE,INDEX('Ist Aktuell Monat 11'!B:B,MATCH(D225,'Ist Aktuell Monat 11'!A:A,0)),
IF(ISERROR(MATCH(D225,'Ist Aktuell Monat 12'!A:A,0))=FALSE,INDEX('Ist Aktuell Monat 12'!B:B,MATCH(D225,'Ist Aktuell Monat 12'!A:A,0)),
"{Konto unbekannt}"
)))))))))))),"")</f>
        <v/>
      </c>
      <c r="C225" s="591"/>
      <c r="D225" s="590"/>
      <c r="E225" s="592">
        <f t="shared" si="308"/>
        <v>1</v>
      </c>
      <c r="F225" s="590"/>
      <c r="G225" s="593">
        <f ca="1">$E225*(-SUMIF(INDIRECT(G$3),'Struktur Aktuell'!$D225,INDIRECT(G$4))+SUMIF(INDIRECT(G$3),'Struktur Aktuell'!$D225,INDIRECT(G$5)))</f>
        <v>0</v>
      </c>
      <c r="H225" s="593">
        <f ca="1">$E225*(-SUMIF(INDIRECT(H$3),'Struktur Aktuell'!$D225,INDIRECT(H$4))+SUMIF(INDIRECT(H$3),'Struktur Aktuell'!$D225,INDIRECT(H$5)))</f>
        <v>0</v>
      </c>
      <c r="I225" s="593">
        <f ca="1">$E225*(-SUMIF(INDIRECT(I$3),'Struktur Aktuell'!$D225,INDIRECT(I$4))+SUMIF(INDIRECT(I$3),'Struktur Aktuell'!$D225,INDIRECT(I$5)))</f>
        <v>0</v>
      </c>
      <c r="J225" s="593">
        <f ca="1">$E225*(-SUMIF(INDIRECT(J$3),'Struktur Aktuell'!$D225,INDIRECT(J$4))+SUMIF(INDIRECT(J$3),'Struktur Aktuell'!$D225,INDIRECT(J$5)))</f>
        <v>0</v>
      </c>
      <c r="K225" s="593">
        <f ca="1">$E225*(-SUMIF(INDIRECT(K$3),'Struktur Aktuell'!$D225,INDIRECT(K$4))+SUMIF(INDIRECT(K$3),'Struktur Aktuell'!$D225,INDIRECT(K$5)))</f>
        <v>0</v>
      </c>
      <c r="L225" s="593">
        <f ca="1">$E225*(-SUMIF(INDIRECT(L$3),'Struktur Aktuell'!$D225,INDIRECT(L$4))+SUMIF(INDIRECT(L$3),'Struktur Aktuell'!$D225,INDIRECT(L$5)))</f>
        <v>0</v>
      </c>
      <c r="M225" s="593">
        <f ca="1">$E225*(-SUMIF(INDIRECT(M$3),'Struktur Aktuell'!$D225,INDIRECT(M$4))+SUMIF(INDIRECT(M$3),'Struktur Aktuell'!$D225,INDIRECT(M$5)))</f>
        <v>0</v>
      </c>
      <c r="N225" s="593">
        <f ca="1">$E225*(-SUMIF(INDIRECT(N$3),'Struktur Aktuell'!$D225,INDIRECT(N$4))+SUMIF(INDIRECT(N$3),'Struktur Aktuell'!$D225,INDIRECT(N$5)))</f>
        <v>0</v>
      </c>
      <c r="O225" s="593">
        <f ca="1">$E225*(-SUMIF(INDIRECT(O$3),'Struktur Aktuell'!$D225,INDIRECT(O$4))+SUMIF(INDIRECT(O$3),'Struktur Aktuell'!$D225,INDIRECT(O$5)))</f>
        <v>0</v>
      </c>
      <c r="P225" s="593">
        <f ca="1">$E225*(-SUMIF(INDIRECT(P$3),'Struktur Aktuell'!$D225,INDIRECT(P$4))+SUMIF(INDIRECT(P$3),'Struktur Aktuell'!$D225,INDIRECT(P$5)))</f>
        <v>0</v>
      </c>
      <c r="Q225" s="593">
        <f ca="1">$E225*(-SUMIF(INDIRECT(Q$3),'Struktur Aktuell'!$D225,INDIRECT(Q$4))+SUMIF(INDIRECT(Q$3),'Struktur Aktuell'!$D225,INDIRECT(Q$5)))</f>
        <v>0</v>
      </c>
      <c r="R225" s="593">
        <f ca="1">$E225*(-SUMIF(INDIRECT(R$3),'Struktur Aktuell'!$D225,INDIRECT(R$4))+SUMIF(INDIRECT(R$3),'Struktur Aktuell'!$D225,INDIRECT(R$5)))</f>
        <v>0</v>
      </c>
      <c r="S225" s="593">
        <f ca="1">$E225*(-SUMIF(INDIRECT(S$3),'Struktur Aktuell'!$D225,INDIRECT(S$4))+SUMIF(INDIRECT(S$3),'Struktur Aktuell'!$D225,INDIRECT(S$5)))</f>
        <v>0</v>
      </c>
      <c r="T225" s="593">
        <f ca="1">$E225*(-SUMIF(INDIRECT(T$3),'Struktur Aktuell'!$D225,INDIRECT(T$4))+SUMIF(INDIRECT(T$3),'Struktur Aktuell'!$D225,INDIRECT(T$5)))</f>
        <v>0</v>
      </c>
      <c r="U225" s="593">
        <f ca="1">$E225*(-SUMIF(INDIRECT(U$3),'Struktur Aktuell'!$D225,INDIRECT(U$4))+SUMIF(INDIRECT(U$3),'Struktur Aktuell'!$D225,INDIRECT(U$5)))</f>
        <v>0</v>
      </c>
      <c r="V225" s="593">
        <f ca="1">$E225*(-SUMIF(INDIRECT(V$3),'Struktur Aktuell'!$D225,INDIRECT(V$4))+SUMIF(INDIRECT(V$3),'Struktur Aktuell'!$D225,INDIRECT(V$5)))</f>
        <v>0</v>
      </c>
      <c r="W225" s="593">
        <f ca="1">$E225*(-SUMIF(INDIRECT(W$3),'Struktur Aktuell'!$D225,INDIRECT(W$4))+SUMIF(INDIRECT(W$3),'Struktur Aktuell'!$D225,INDIRECT(W$5)))</f>
        <v>0</v>
      </c>
      <c r="X225" s="593">
        <f ca="1">$E225*(-SUMIF(INDIRECT(X$3),'Struktur Aktuell'!$D225,INDIRECT(X$4))+SUMIF(INDIRECT(X$3),'Struktur Aktuell'!$D225,INDIRECT(X$5)))</f>
        <v>0</v>
      </c>
      <c r="Y225" s="593">
        <f ca="1">$E225*(-SUMIF(INDIRECT(Y$3),'Struktur Aktuell'!$D225,INDIRECT(Y$4))+SUMIF(INDIRECT(Y$3),'Struktur Aktuell'!$D225,INDIRECT(Y$5)))</f>
        <v>0</v>
      </c>
      <c r="Z225" s="593">
        <f ca="1">$E225*(-SUMIF(INDIRECT(Z$3),'Struktur Aktuell'!$D225,INDIRECT(Z$4))+SUMIF(INDIRECT(Z$3),'Struktur Aktuell'!$D225,INDIRECT(Z$5)))</f>
        <v>0</v>
      </c>
      <c r="AA225" s="593">
        <f ca="1">$E225*(-SUMIF(INDIRECT(AA$3),'Struktur Aktuell'!$D225,INDIRECT(AA$4))+SUMIF(INDIRECT(AA$3),'Struktur Aktuell'!$D225,INDIRECT(AA$5)))</f>
        <v>0</v>
      </c>
      <c r="AB225" s="593">
        <f ca="1">$E225*(-SUMIF(INDIRECT(AB$3),'Struktur Aktuell'!$D225,INDIRECT(AB$4))+SUMIF(INDIRECT(AB$3),'Struktur Aktuell'!$D225,INDIRECT(AB$5)))</f>
        <v>0</v>
      </c>
      <c r="AC225" s="593">
        <f ca="1">$E225*(-SUMIF(INDIRECT(AC$3),'Struktur Aktuell'!$D225,INDIRECT(AC$4))+SUMIF(INDIRECT(AC$3),'Struktur Aktuell'!$D225,INDIRECT(AC$5)))</f>
        <v>0</v>
      </c>
      <c r="AD225" s="593">
        <f ca="1">$E225*(-SUMIF(INDIRECT(AD$3),'Struktur Aktuell'!$D225,INDIRECT(AD$4))+SUMIF(INDIRECT(AD$3),'Struktur Aktuell'!$D225,INDIRECT(AD$5)))</f>
        <v>0</v>
      </c>
      <c r="AE225" s="593">
        <f t="shared" ca="1" si="311"/>
        <v>0</v>
      </c>
      <c r="AF225" s="593">
        <f t="shared" ca="1" si="312"/>
        <v>0</v>
      </c>
      <c r="AG225" s="593">
        <f t="shared" ca="1" si="313"/>
        <v>0</v>
      </c>
      <c r="AH225" s="593">
        <f t="shared" ca="1" si="314"/>
        <v>0</v>
      </c>
      <c r="AI225" s="593">
        <f t="shared" ca="1" si="315"/>
        <v>0</v>
      </c>
      <c r="AJ225" s="593">
        <f t="shared" ca="1" si="316"/>
        <v>0</v>
      </c>
      <c r="AK225" s="593">
        <f t="shared" ca="1" si="317"/>
        <v>0</v>
      </c>
      <c r="AL225" s="593">
        <f t="shared" ca="1" si="318"/>
        <v>0</v>
      </c>
      <c r="AM225" s="593">
        <f t="shared" ca="1" si="319"/>
        <v>0</v>
      </c>
      <c r="AN225" s="593">
        <f t="shared" ca="1" si="320"/>
        <v>0</v>
      </c>
      <c r="AO225" s="593">
        <f t="shared" ca="1" si="321"/>
        <v>0</v>
      </c>
      <c r="AP225" s="593">
        <f t="shared" ca="1" si="322"/>
        <v>0</v>
      </c>
    </row>
    <row r="226" spans="1:42" s="594" customFormat="1" ht="11.25" outlineLevel="1" x14ac:dyDescent="0.2">
      <c r="A226" s="590"/>
      <c r="B226" s="591" t="str">
        <f>IF(D226&lt;&gt;"",
IF(ISERROR(MATCH(D226,'Ist Aktuell Monat 01'!A:A,0))=FALSE,INDEX('Ist Aktuell Monat 01'!B:B,MATCH(D226,'Ist Aktuell Monat 01'!A:A,0)),
IF(ISERROR(MATCH(D226,'Ist Aktuell Monat 02'!A:A,0))=FALSE,INDEX('Ist Aktuell Monat 02'!B:B,MATCH(D226,'Ist Aktuell Monat 02'!A:A,0)),
IF(ISERROR(MATCH(D226,'Ist Aktuell Monat 03'!A:A,0))=FALSE,INDEX('Ist Aktuell Monat 03'!B:B,MATCH(D226,'Ist Aktuell Monat 03'!A:A,0)),
IF(ISERROR(MATCH(D226,'Ist Aktuell Monat 04'!A:A,0))=FALSE,INDEX('Ist Aktuell Monat 04'!B:B,MATCH(D226,'Ist Aktuell Monat 04'!A:A,0)),
IF(ISERROR(MATCH(D226,'Ist Aktuell Monat 05'!A:A,0))=FALSE,INDEX('Ist Aktuell Monat 05'!B:B,MATCH(D226,'Ist Aktuell Monat 05'!A:A,0)),
IF(ISERROR(MATCH(D226,'Ist Aktuell Monat 06'!A:A,0))=FALSE,INDEX('Ist Aktuell Monat 06'!B:B,MATCH(D226,'Ist Aktuell Monat 06'!A:A,0)),
IF(ISERROR(MATCH(D226,'Ist Aktuell Monat 07'!A:A,0))=FALSE,INDEX('Ist Aktuell Monat 07'!B:B,MATCH(D226,'Ist Aktuell Monat 07'!A:A,0)),
IF(ISERROR(MATCH(D226,'Ist Aktuell Monat 08'!A:A,0))=FALSE,INDEX('Ist Aktuell Monat 08'!B:B,MATCH(D226,'Ist Aktuell Monat 08'!A:A,0)),
IF(ISERROR(MATCH(D226,'Ist Aktuell Monat 09'!A:A,0))=FALSE,INDEX('Ist Aktuell Monat 09'!B:B,MATCH(D226,'Ist Aktuell Monat 09'!A:A,0)),
IF(ISERROR(MATCH(D226,'Ist Aktuell Monat 10'!A:A,0))=FALSE,INDEX('Ist Aktuell Monat 10'!B:B,MATCH(D226,'Ist Aktuell Monat 10'!A:A,0)),
IF(ISERROR(MATCH(D226,'Ist Aktuell Monat 11'!A:A,0))=FALSE,INDEX('Ist Aktuell Monat 11'!B:B,MATCH(D226,'Ist Aktuell Monat 11'!A:A,0)),
IF(ISERROR(MATCH(D226,'Ist Aktuell Monat 12'!A:A,0))=FALSE,INDEX('Ist Aktuell Monat 12'!B:B,MATCH(D226,'Ist Aktuell Monat 12'!A:A,0)),
"{Konto unbekannt}"
)))))))))))),"")</f>
        <v/>
      </c>
      <c r="C226" s="591"/>
      <c r="D226" s="590"/>
      <c r="E226" s="592">
        <f t="shared" si="308"/>
        <v>1</v>
      </c>
      <c r="F226" s="590"/>
      <c r="G226" s="593">
        <f ca="1">$E226*(-SUMIF(INDIRECT(G$3),'Struktur Aktuell'!$D226,INDIRECT(G$4))+SUMIF(INDIRECT(G$3),'Struktur Aktuell'!$D226,INDIRECT(G$5)))</f>
        <v>0</v>
      </c>
      <c r="H226" s="593">
        <f ca="1">$E226*(-SUMIF(INDIRECT(H$3),'Struktur Aktuell'!$D226,INDIRECT(H$4))+SUMIF(INDIRECT(H$3),'Struktur Aktuell'!$D226,INDIRECT(H$5)))</f>
        <v>0</v>
      </c>
      <c r="I226" s="593">
        <f ca="1">$E226*(-SUMIF(INDIRECT(I$3),'Struktur Aktuell'!$D226,INDIRECT(I$4))+SUMIF(INDIRECT(I$3),'Struktur Aktuell'!$D226,INDIRECT(I$5)))</f>
        <v>0</v>
      </c>
      <c r="J226" s="593">
        <f ca="1">$E226*(-SUMIF(INDIRECT(J$3),'Struktur Aktuell'!$D226,INDIRECT(J$4))+SUMIF(INDIRECT(J$3),'Struktur Aktuell'!$D226,INDIRECT(J$5)))</f>
        <v>0</v>
      </c>
      <c r="K226" s="593">
        <f ca="1">$E226*(-SUMIF(INDIRECT(K$3),'Struktur Aktuell'!$D226,INDIRECT(K$4))+SUMIF(INDIRECT(K$3),'Struktur Aktuell'!$D226,INDIRECT(K$5)))</f>
        <v>0</v>
      </c>
      <c r="L226" s="593">
        <f ca="1">$E226*(-SUMIF(INDIRECT(L$3),'Struktur Aktuell'!$D226,INDIRECT(L$4))+SUMIF(INDIRECT(L$3),'Struktur Aktuell'!$D226,INDIRECT(L$5)))</f>
        <v>0</v>
      </c>
      <c r="M226" s="593">
        <f ca="1">$E226*(-SUMIF(INDIRECT(M$3),'Struktur Aktuell'!$D226,INDIRECT(M$4))+SUMIF(INDIRECT(M$3),'Struktur Aktuell'!$D226,INDIRECT(M$5)))</f>
        <v>0</v>
      </c>
      <c r="N226" s="593">
        <f ca="1">$E226*(-SUMIF(INDIRECT(N$3),'Struktur Aktuell'!$D226,INDIRECT(N$4))+SUMIF(INDIRECT(N$3),'Struktur Aktuell'!$D226,INDIRECT(N$5)))</f>
        <v>0</v>
      </c>
      <c r="O226" s="593">
        <f ca="1">$E226*(-SUMIF(INDIRECT(O$3),'Struktur Aktuell'!$D226,INDIRECT(O$4))+SUMIF(INDIRECT(O$3),'Struktur Aktuell'!$D226,INDIRECT(O$5)))</f>
        <v>0</v>
      </c>
      <c r="P226" s="593">
        <f ca="1">$E226*(-SUMIF(INDIRECT(P$3),'Struktur Aktuell'!$D226,INDIRECT(P$4))+SUMIF(INDIRECT(P$3),'Struktur Aktuell'!$D226,INDIRECT(P$5)))</f>
        <v>0</v>
      </c>
      <c r="Q226" s="593">
        <f ca="1">$E226*(-SUMIF(INDIRECT(Q$3),'Struktur Aktuell'!$D226,INDIRECT(Q$4))+SUMIF(INDIRECT(Q$3),'Struktur Aktuell'!$D226,INDIRECT(Q$5)))</f>
        <v>0</v>
      </c>
      <c r="R226" s="593">
        <f ca="1">$E226*(-SUMIF(INDIRECT(R$3),'Struktur Aktuell'!$D226,INDIRECT(R$4))+SUMIF(INDIRECT(R$3),'Struktur Aktuell'!$D226,INDIRECT(R$5)))</f>
        <v>0</v>
      </c>
      <c r="S226" s="593">
        <f ca="1">$E226*(-SUMIF(INDIRECT(S$3),'Struktur Aktuell'!$D226,INDIRECT(S$4))+SUMIF(INDIRECT(S$3),'Struktur Aktuell'!$D226,INDIRECT(S$5)))</f>
        <v>0</v>
      </c>
      <c r="T226" s="593">
        <f ca="1">$E226*(-SUMIF(INDIRECT(T$3),'Struktur Aktuell'!$D226,INDIRECT(T$4))+SUMIF(INDIRECT(T$3),'Struktur Aktuell'!$D226,INDIRECT(T$5)))</f>
        <v>0</v>
      </c>
      <c r="U226" s="593">
        <f ca="1">$E226*(-SUMIF(INDIRECT(U$3),'Struktur Aktuell'!$D226,INDIRECT(U$4))+SUMIF(INDIRECT(U$3),'Struktur Aktuell'!$D226,INDIRECT(U$5)))</f>
        <v>0</v>
      </c>
      <c r="V226" s="593">
        <f ca="1">$E226*(-SUMIF(INDIRECT(V$3),'Struktur Aktuell'!$D226,INDIRECT(V$4))+SUMIF(INDIRECT(V$3),'Struktur Aktuell'!$D226,INDIRECT(V$5)))</f>
        <v>0</v>
      </c>
      <c r="W226" s="593">
        <f ca="1">$E226*(-SUMIF(INDIRECT(W$3),'Struktur Aktuell'!$D226,INDIRECT(W$4))+SUMIF(INDIRECT(W$3),'Struktur Aktuell'!$D226,INDIRECT(W$5)))</f>
        <v>0</v>
      </c>
      <c r="X226" s="593">
        <f ca="1">$E226*(-SUMIF(INDIRECT(X$3),'Struktur Aktuell'!$D226,INDIRECT(X$4))+SUMIF(INDIRECT(X$3),'Struktur Aktuell'!$D226,INDIRECT(X$5)))</f>
        <v>0</v>
      </c>
      <c r="Y226" s="593">
        <f ca="1">$E226*(-SUMIF(INDIRECT(Y$3),'Struktur Aktuell'!$D226,INDIRECT(Y$4))+SUMIF(INDIRECT(Y$3),'Struktur Aktuell'!$D226,INDIRECT(Y$5)))</f>
        <v>0</v>
      </c>
      <c r="Z226" s="593">
        <f ca="1">$E226*(-SUMIF(INDIRECT(Z$3),'Struktur Aktuell'!$D226,INDIRECT(Z$4))+SUMIF(INDIRECT(Z$3),'Struktur Aktuell'!$D226,INDIRECT(Z$5)))</f>
        <v>0</v>
      </c>
      <c r="AA226" s="593">
        <f ca="1">$E226*(-SUMIF(INDIRECT(AA$3),'Struktur Aktuell'!$D226,INDIRECT(AA$4))+SUMIF(INDIRECT(AA$3),'Struktur Aktuell'!$D226,INDIRECT(AA$5)))</f>
        <v>0</v>
      </c>
      <c r="AB226" s="593">
        <f ca="1">$E226*(-SUMIF(INDIRECT(AB$3),'Struktur Aktuell'!$D226,INDIRECT(AB$4))+SUMIF(INDIRECT(AB$3),'Struktur Aktuell'!$D226,INDIRECT(AB$5)))</f>
        <v>0</v>
      </c>
      <c r="AC226" s="593">
        <f ca="1">$E226*(-SUMIF(INDIRECT(AC$3),'Struktur Aktuell'!$D226,INDIRECT(AC$4))+SUMIF(INDIRECT(AC$3),'Struktur Aktuell'!$D226,INDIRECT(AC$5)))</f>
        <v>0</v>
      </c>
      <c r="AD226" s="593">
        <f ca="1">$E226*(-SUMIF(INDIRECT(AD$3),'Struktur Aktuell'!$D226,INDIRECT(AD$4))+SUMIF(INDIRECT(AD$3),'Struktur Aktuell'!$D226,INDIRECT(AD$5)))</f>
        <v>0</v>
      </c>
      <c r="AE226" s="593">
        <f t="shared" ca="1" si="311"/>
        <v>0</v>
      </c>
      <c r="AF226" s="593">
        <f t="shared" ca="1" si="312"/>
        <v>0</v>
      </c>
      <c r="AG226" s="593">
        <f t="shared" ca="1" si="313"/>
        <v>0</v>
      </c>
      <c r="AH226" s="593">
        <f t="shared" ca="1" si="314"/>
        <v>0</v>
      </c>
      <c r="AI226" s="593">
        <f t="shared" ca="1" si="315"/>
        <v>0</v>
      </c>
      <c r="AJ226" s="593">
        <f t="shared" ca="1" si="316"/>
        <v>0</v>
      </c>
      <c r="AK226" s="593">
        <f t="shared" ca="1" si="317"/>
        <v>0</v>
      </c>
      <c r="AL226" s="593">
        <f t="shared" ca="1" si="318"/>
        <v>0</v>
      </c>
      <c r="AM226" s="593">
        <f t="shared" ca="1" si="319"/>
        <v>0</v>
      </c>
      <c r="AN226" s="593">
        <f t="shared" ca="1" si="320"/>
        <v>0</v>
      </c>
      <c r="AO226" s="593">
        <f t="shared" ca="1" si="321"/>
        <v>0</v>
      </c>
      <c r="AP226" s="593">
        <f t="shared" ca="1" si="322"/>
        <v>0</v>
      </c>
    </row>
    <row r="227" spans="1:42" s="594" customFormat="1" ht="11.25" outlineLevel="1" x14ac:dyDescent="0.2">
      <c r="A227" s="590"/>
      <c r="B227" s="591" t="str">
        <f>IF(D227&lt;&gt;"",
IF(ISERROR(MATCH(D227,'Ist Aktuell Monat 01'!A:A,0))=FALSE,INDEX('Ist Aktuell Monat 01'!B:B,MATCH(D227,'Ist Aktuell Monat 01'!A:A,0)),
IF(ISERROR(MATCH(D227,'Ist Aktuell Monat 02'!A:A,0))=FALSE,INDEX('Ist Aktuell Monat 02'!B:B,MATCH(D227,'Ist Aktuell Monat 02'!A:A,0)),
IF(ISERROR(MATCH(D227,'Ist Aktuell Monat 03'!A:A,0))=FALSE,INDEX('Ist Aktuell Monat 03'!B:B,MATCH(D227,'Ist Aktuell Monat 03'!A:A,0)),
IF(ISERROR(MATCH(D227,'Ist Aktuell Monat 04'!A:A,0))=FALSE,INDEX('Ist Aktuell Monat 04'!B:B,MATCH(D227,'Ist Aktuell Monat 04'!A:A,0)),
IF(ISERROR(MATCH(D227,'Ist Aktuell Monat 05'!A:A,0))=FALSE,INDEX('Ist Aktuell Monat 05'!B:B,MATCH(D227,'Ist Aktuell Monat 05'!A:A,0)),
IF(ISERROR(MATCH(D227,'Ist Aktuell Monat 06'!A:A,0))=FALSE,INDEX('Ist Aktuell Monat 06'!B:B,MATCH(D227,'Ist Aktuell Monat 06'!A:A,0)),
IF(ISERROR(MATCH(D227,'Ist Aktuell Monat 07'!A:A,0))=FALSE,INDEX('Ist Aktuell Monat 07'!B:B,MATCH(D227,'Ist Aktuell Monat 07'!A:A,0)),
IF(ISERROR(MATCH(D227,'Ist Aktuell Monat 08'!A:A,0))=FALSE,INDEX('Ist Aktuell Monat 08'!B:B,MATCH(D227,'Ist Aktuell Monat 08'!A:A,0)),
IF(ISERROR(MATCH(D227,'Ist Aktuell Monat 09'!A:A,0))=FALSE,INDEX('Ist Aktuell Monat 09'!B:B,MATCH(D227,'Ist Aktuell Monat 09'!A:A,0)),
IF(ISERROR(MATCH(D227,'Ist Aktuell Monat 10'!A:A,0))=FALSE,INDEX('Ist Aktuell Monat 10'!B:B,MATCH(D227,'Ist Aktuell Monat 10'!A:A,0)),
IF(ISERROR(MATCH(D227,'Ist Aktuell Monat 11'!A:A,0))=FALSE,INDEX('Ist Aktuell Monat 11'!B:B,MATCH(D227,'Ist Aktuell Monat 11'!A:A,0)),
IF(ISERROR(MATCH(D227,'Ist Aktuell Monat 12'!A:A,0))=FALSE,INDEX('Ist Aktuell Monat 12'!B:B,MATCH(D227,'Ist Aktuell Monat 12'!A:A,0)),
"{Konto unbekannt}"
)))))))))))),"")</f>
        <v/>
      </c>
      <c r="C227" s="591"/>
      <c r="D227" s="590"/>
      <c r="E227" s="592">
        <f t="shared" si="308"/>
        <v>1</v>
      </c>
      <c r="F227" s="590"/>
      <c r="G227" s="593">
        <f ca="1">$E227*(-SUMIF(INDIRECT(G$3),'Struktur Aktuell'!$D227,INDIRECT(G$4))+SUMIF(INDIRECT(G$3),'Struktur Aktuell'!$D227,INDIRECT(G$5)))</f>
        <v>0</v>
      </c>
      <c r="H227" s="593">
        <f ca="1">$E227*(-SUMIF(INDIRECT(H$3),'Struktur Aktuell'!$D227,INDIRECT(H$4))+SUMIF(INDIRECT(H$3),'Struktur Aktuell'!$D227,INDIRECT(H$5)))</f>
        <v>0</v>
      </c>
      <c r="I227" s="593">
        <f ca="1">$E227*(-SUMIF(INDIRECT(I$3),'Struktur Aktuell'!$D227,INDIRECT(I$4))+SUMIF(INDIRECT(I$3),'Struktur Aktuell'!$D227,INDIRECT(I$5)))</f>
        <v>0</v>
      </c>
      <c r="J227" s="593">
        <f ca="1">$E227*(-SUMIF(INDIRECT(J$3),'Struktur Aktuell'!$D227,INDIRECT(J$4))+SUMIF(INDIRECT(J$3),'Struktur Aktuell'!$D227,INDIRECT(J$5)))</f>
        <v>0</v>
      </c>
      <c r="K227" s="593">
        <f ca="1">$E227*(-SUMIF(INDIRECT(K$3),'Struktur Aktuell'!$D227,INDIRECT(K$4))+SUMIF(INDIRECT(K$3),'Struktur Aktuell'!$D227,INDIRECT(K$5)))</f>
        <v>0</v>
      </c>
      <c r="L227" s="593">
        <f ca="1">$E227*(-SUMIF(INDIRECT(L$3),'Struktur Aktuell'!$D227,INDIRECT(L$4))+SUMIF(INDIRECT(L$3),'Struktur Aktuell'!$D227,INDIRECT(L$5)))</f>
        <v>0</v>
      </c>
      <c r="M227" s="593">
        <f ca="1">$E227*(-SUMIF(INDIRECT(M$3),'Struktur Aktuell'!$D227,INDIRECT(M$4))+SUMIF(INDIRECT(M$3),'Struktur Aktuell'!$D227,INDIRECT(M$5)))</f>
        <v>0</v>
      </c>
      <c r="N227" s="593">
        <f ca="1">$E227*(-SUMIF(INDIRECT(N$3),'Struktur Aktuell'!$D227,INDIRECT(N$4))+SUMIF(INDIRECT(N$3),'Struktur Aktuell'!$D227,INDIRECT(N$5)))</f>
        <v>0</v>
      </c>
      <c r="O227" s="593">
        <f ca="1">$E227*(-SUMIF(INDIRECT(O$3),'Struktur Aktuell'!$D227,INDIRECT(O$4))+SUMIF(INDIRECT(O$3),'Struktur Aktuell'!$D227,INDIRECT(O$5)))</f>
        <v>0</v>
      </c>
      <c r="P227" s="593">
        <f ca="1">$E227*(-SUMIF(INDIRECT(P$3),'Struktur Aktuell'!$D227,INDIRECT(P$4))+SUMIF(INDIRECT(P$3),'Struktur Aktuell'!$D227,INDIRECT(P$5)))</f>
        <v>0</v>
      </c>
      <c r="Q227" s="593">
        <f ca="1">$E227*(-SUMIF(INDIRECT(Q$3),'Struktur Aktuell'!$D227,INDIRECT(Q$4))+SUMIF(INDIRECT(Q$3),'Struktur Aktuell'!$D227,INDIRECT(Q$5)))</f>
        <v>0</v>
      </c>
      <c r="R227" s="593">
        <f ca="1">$E227*(-SUMIF(INDIRECT(R$3),'Struktur Aktuell'!$D227,INDIRECT(R$4))+SUMIF(INDIRECT(R$3),'Struktur Aktuell'!$D227,INDIRECT(R$5)))</f>
        <v>0</v>
      </c>
      <c r="S227" s="593">
        <f ca="1">$E227*(-SUMIF(INDIRECT(S$3),'Struktur Aktuell'!$D227,INDIRECT(S$4))+SUMIF(INDIRECT(S$3),'Struktur Aktuell'!$D227,INDIRECT(S$5)))</f>
        <v>0</v>
      </c>
      <c r="T227" s="593">
        <f ca="1">$E227*(-SUMIF(INDIRECT(T$3),'Struktur Aktuell'!$D227,INDIRECT(T$4))+SUMIF(INDIRECT(T$3),'Struktur Aktuell'!$D227,INDIRECT(T$5)))</f>
        <v>0</v>
      </c>
      <c r="U227" s="593">
        <f ca="1">$E227*(-SUMIF(INDIRECT(U$3),'Struktur Aktuell'!$D227,INDIRECT(U$4))+SUMIF(INDIRECT(U$3),'Struktur Aktuell'!$D227,INDIRECT(U$5)))</f>
        <v>0</v>
      </c>
      <c r="V227" s="593">
        <f ca="1">$E227*(-SUMIF(INDIRECT(V$3),'Struktur Aktuell'!$D227,INDIRECT(V$4))+SUMIF(INDIRECT(V$3),'Struktur Aktuell'!$D227,INDIRECT(V$5)))</f>
        <v>0</v>
      </c>
      <c r="W227" s="593">
        <f ca="1">$E227*(-SUMIF(INDIRECT(W$3),'Struktur Aktuell'!$D227,INDIRECT(W$4))+SUMIF(INDIRECT(W$3),'Struktur Aktuell'!$D227,INDIRECT(W$5)))</f>
        <v>0</v>
      </c>
      <c r="X227" s="593">
        <f ca="1">$E227*(-SUMIF(INDIRECT(X$3),'Struktur Aktuell'!$D227,INDIRECT(X$4))+SUMIF(INDIRECT(X$3),'Struktur Aktuell'!$D227,INDIRECT(X$5)))</f>
        <v>0</v>
      </c>
      <c r="Y227" s="593">
        <f ca="1">$E227*(-SUMIF(INDIRECT(Y$3),'Struktur Aktuell'!$D227,INDIRECT(Y$4))+SUMIF(INDIRECT(Y$3),'Struktur Aktuell'!$D227,INDIRECT(Y$5)))</f>
        <v>0</v>
      </c>
      <c r="Z227" s="593">
        <f ca="1">$E227*(-SUMIF(INDIRECT(Z$3),'Struktur Aktuell'!$D227,INDIRECT(Z$4))+SUMIF(INDIRECT(Z$3),'Struktur Aktuell'!$D227,INDIRECT(Z$5)))</f>
        <v>0</v>
      </c>
      <c r="AA227" s="593">
        <f ca="1">$E227*(-SUMIF(INDIRECT(AA$3),'Struktur Aktuell'!$D227,INDIRECT(AA$4))+SUMIF(INDIRECT(AA$3),'Struktur Aktuell'!$D227,INDIRECT(AA$5)))</f>
        <v>0</v>
      </c>
      <c r="AB227" s="593">
        <f ca="1">$E227*(-SUMIF(INDIRECT(AB$3),'Struktur Aktuell'!$D227,INDIRECT(AB$4))+SUMIF(INDIRECT(AB$3),'Struktur Aktuell'!$D227,INDIRECT(AB$5)))</f>
        <v>0</v>
      </c>
      <c r="AC227" s="593">
        <f ca="1">$E227*(-SUMIF(INDIRECT(AC$3),'Struktur Aktuell'!$D227,INDIRECT(AC$4))+SUMIF(INDIRECT(AC$3),'Struktur Aktuell'!$D227,INDIRECT(AC$5)))</f>
        <v>0</v>
      </c>
      <c r="AD227" s="593">
        <f ca="1">$E227*(-SUMIF(INDIRECT(AD$3),'Struktur Aktuell'!$D227,INDIRECT(AD$4))+SUMIF(INDIRECT(AD$3),'Struktur Aktuell'!$D227,INDIRECT(AD$5)))</f>
        <v>0</v>
      </c>
      <c r="AE227" s="593">
        <f t="shared" ca="1" si="311"/>
        <v>0</v>
      </c>
      <c r="AF227" s="593">
        <f t="shared" ca="1" si="312"/>
        <v>0</v>
      </c>
      <c r="AG227" s="593">
        <f t="shared" ca="1" si="313"/>
        <v>0</v>
      </c>
      <c r="AH227" s="593">
        <f t="shared" ca="1" si="314"/>
        <v>0</v>
      </c>
      <c r="AI227" s="593">
        <f t="shared" ca="1" si="315"/>
        <v>0</v>
      </c>
      <c r="AJ227" s="593">
        <f t="shared" ca="1" si="316"/>
        <v>0</v>
      </c>
      <c r="AK227" s="593">
        <f t="shared" ca="1" si="317"/>
        <v>0</v>
      </c>
      <c r="AL227" s="593">
        <f t="shared" ca="1" si="318"/>
        <v>0</v>
      </c>
      <c r="AM227" s="593">
        <f t="shared" ca="1" si="319"/>
        <v>0</v>
      </c>
      <c r="AN227" s="593">
        <f t="shared" ca="1" si="320"/>
        <v>0</v>
      </c>
      <c r="AO227" s="593">
        <f t="shared" ca="1" si="321"/>
        <v>0</v>
      </c>
      <c r="AP227" s="593">
        <f t="shared" ca="1" si="322"/>
        <v>0</v>
      </c>
    </row>
    <row r="228" spans="1:42" s="589" customFormat="1" x14ac:dyDescent="0.2">
      <c r="A228" s="585">
        <v>21</v>
      </c>
      <c r="B228" s="586" t="s">
        <v>291</v>
      </c>
      <c r="C228" s="587">
        <f ca="1">SUM(G228:R228)</f>
        <v>3010.7300000000005</v>
      </c>
      <c r="D228" s="587"/>
      <c r="E228" s="588">
        <f t="shared" si="308"/>
        <v>1</v>
      </c>
      <c r="F228" s="585"/>
      <c r="G228" s="587">
        <f t="shared" ref="G228:R228" ca="1" si="323">SUM(G229:G237)</f>
        <v>320.04000000000002</v>
      </c>
      <c r="H228" s="587">
        <f t="shared" ca="1" si="323"/>
        <v>913.2700000000001</v>
      </c>
      <c r="I228" s="587">
        <f t="shared" ca="1" si="323"/>
        <v>120</v>
      </c>
      <c r="J228" s="587">
        <f t="shared" ca="1" si="323"/>
        <v>1756.8400000000001</v>
      </c>
      <c r="K228" s="587">
        <f t="shared" ca="1" si="323"/>
        <v>0</v>
      </c>
      <c r="L228" s="587">
        <f t="shared" ca="1" si="323"/>
        <v>0</v>
      </c>
      <c r="M228" s="587">
        <f t="shared" ca="1" si="323"/>
        <v>-423.27000000000004</v>
      </c>
      <c r="N228" s="587">
        <f t="shared" ca="1" si="323"/>
        <v>300</v>
      </c>
      <c r="O228" s="587">
        <f t="shared" ca="1" si="323"/>
        <v>0</v>
      </c>
      <c r="P228" s="587">
        <f t="shared" ca="1" si="323"/>
        <v>23.85</v>
      </c>
      <c r="Q228" s="587">
        <f t="shared" ca="1" si="323"/>
        <v>0</v>
      </c>
      <c r="R228" s="587">
        <f t="shared" ca="1" si="323"/>
        <v>0</v>
      </c>
      <c r="S228" s="587">
        <f t="shared" ref="S228:AP228" ca="1" si="324">SUM(S229:S237)</f>
        <v>320.04000000000002</v>
      </c>
      <c r="T228" s="587">
        <f t="shared" ca="1" si="324"/>
        <v>1233.31</v>
      </c>
      <c r="U228" s="587">
        <f t="shared" ca="1" si="324"/>
        <v>1353.31</v>
      </c>
      <c r="V228" s="587">
        <f t="shared" ca="1" si="324"/>
        <v>3110.15</v>
      </c>
      <c r="W228" s="587">
        <f t="shared" ca="1" si="324"/>
        <v>3110.15</v>
      </c>
      <c r="X228" s="587">
        <f t="shared" ca="1" si="324"/>
        <v>3110.15</v>
      </c>
      <c r="Y228" s="587">
        <f t="shared" ca="1" si="324"/>
        <v>2686.88</v>
      </c>
      <c r="Z228" s="587">
        <f t="shared" ca="1" si="324"/>
        <v>2986.88</v>
      </c>
      <c r="AA228" s="587">
        <f t="shared" ca="1" si="324"/>
        <v>2986.88</v>
      </c>
      <c r="AB228" s="587">
        <f t="shared" ca="1" si="324"/>
        <v>3010.7299999999996</v>
      </c>
      <c r="AC228" s="587">
        <f t="shared" ca="1" si="324"/>
        <v>0</v>
      </c>
      <c r="AD228" s="587">
        <f t="shared" ca="1" si="324"/>
        <v>0</v>
      </c>
      <c r="AE228" s="587">
        <f t="shared" ca="1" si="324"/>
        <v>320.04000000000002</v>
      </c>
      <c r="AF228" s="587">
        <f t="shared" ca="1" si="324"/>
        <v>1233.31</v>
      </c>
      <c r="AG228" s="587">
        <f t="shared" ca="1" si="324"/>
        <v>1353.31</v>
      </c>
      <c r="AH228" s="587">
        <f t="shared" ca="1" si="324"/>
        <v>3110.1500000000005</v>
      </c>
      <c r="AI228" s="587">
        <f t="shared" ca="1" si="324"/>
        <v>3110.1500000000005</v>
      </c>
      <c r="AJ228" s="587">
        <f t="shared" ca="1" si="324"/>
        <v>3110.1500000000005</v>
      </c>
      <c r="AK228" s="587">
        <f t="shared" ca="1" si="324"/>
        <v>2686.88</v>
      </c>
      <c r="AL228" s="587">
        <f t="shared" ca="1" si="324"/>
        <v>2986.88</v>
      </c>
      <c r="AM228" s="587">
        <f t="shared" ca="1" si="324"/>
        <v>2986.88</v>
      </c>
      <c r="AN228" s="587">
        <f t="shared" ca="1" si="324"/>
        <v>3010.7300000000005</v>
      </c>
      <c r="AO228" s="587">
        <f t="shared" ca="1" si="324"/>
        <v>3010.7300000000005</v>
      </c>
      <c r="AP228" s="587">
        <f t="shared" ca="1" si="324"/>
        <v>3010.7300000000005</v>
      </c>
    </row>
    <row r="229" spans="1:42" s="594" customFormat="1" ht="11.25" outlineLevel="1" x14ac:dyDescent="0.2">
      <c r="A229" s="590"/>
      <c r="B229" s="591" t="str">
        <f>IF(D229&lt;&gt;"",
IF(ISERROR(MATCH(D229,'Ist Aktuell Monat 01'!A:A,0))=FALSE,INDEX('Ist Aktuell Monat 01'!B:B,MATCH(D229,'Ist Aktuell Monat 01'!A:A,0)),
IF(ISERROR(MATCH(D229,'Ist Aktuell Monat 02'!A:A,0))=FALSE,INDEX('Ist Aktuell Monat 02'!B:B,MATCH(D229,'Ist Aktuell Monat 02'!A:A,0)),
IF(ISERROR(MATCH(D229,'Ist Aktuell Monat 03'!A:A,0))=FALSE,INDEX('Ist Aktuell Monat 03'!B:B,MATCH(D229,'Ist Aktuell Monat 03'!A:A,0)),
IF(ISERROR(MATCH(D229,'Ist Aktuell Monat 04'!A:A,0))=FALSE,INDEX('Ist Aktuell Monat 04'!B:B,MATCH(D229,'Ist Aktuell Monat 04'!A:A,0)),
IF(ISERROR(MATCH(D229,'Ist Aktuell Monat 05'!A:A,0))=FALSE,INDEX('Ist Aktuell Monat 05'!B:B,MATCH(D229,'Ist Aktuell Monat 05'!A:A,0)),
IF(ISERROR(MATCH(D229,'Ist Aktuell Monat 06'!A:A,0))=FALSE,INDEX('Ist Aktuell Monat 06'!B:B,MATCH(D229,'Ist Aktuell Monat 06'!A:A,0)),
IF(ISERROR(MATCH(D229,'Ist Aktuell Monat 07'!A:A,0))=FALSE,INDEX('Ist Aktuell Monat 07'!B:B,MATCH(D229,'Ist Aktuell Monat 07'!A:A,0)),
IF(ISERROR(MATCH(D229,'Ist Aktuell Monat 08'!A:A,0))=FALSE,INDEX('Ist Aktuell Monat 08'!B:B,MATCH(D229,'Ist Aktuell Monat 08'!A:A,0)),
IF(ISERROR(MATCH(D229,'Ist Aktuell Monat 09'!A:A,0))=FALSE,INDEX('Ist Aktuell Monat 09'!B:B,MATCH(D229,'Ist Aktuell Monat 09'!A:A,0)),
IF(ISERROR(MATCH(D229,'Ist Aktuell Monat 10'!A:A,0))=FALSE,INDEX('Ist Aktuell Monat 10'!B:B,MATCH(D229,'Ist Aktuell Monat 10'!A:A,0)),
IF(ISERROR(MATCH(D229,'Ist Aktuell Monat 11'!A:A,0))=FALSE,INDEX('Ist Aktuell Monat 11'!B:B,MATCH(D229,'Ist Aktuell Monat 11'!A:A,0)),
IF(ISERROR(MATCH(D229,'Ist Aktuell Monat 12'!A:A,0))=FALSE,INDEX('Ist Aktuell Monat 12'!B:B,MATCH(D229,'Ist Aktuell Monat 12'!A:A,0)),
"{Konto unbekannt}"
)))))))))))),"")</f>
        <v>Versicherungen</v>
      </c>
      <c r="C229" s="591"/>
      <c r="D229" s="590">
        <v>4360</v>
      </c>
      <c r="E229" s="592">
        <f t="shared" si="308"/>
        <v>1</v>
      </c>
      <c r="F229" s="590"/>
      <c r="G229" s="593">
        <f ca="1">$E229*(-SUMIF(INDIRECT(G$3),'Struktur Aktuell'!$D229,INDIRECT(G$4))+SUMIF(INDIRECT(G$3),'Struktur Aktuell'!$D229,INDIRECT(G$5)))</f>
        <v>0</v>
      </c>
      <c r="H229" s="593">
        <f ca="1">$E229*(-SUMIF(INDIRECT(H$3),'Struktur Aktuell'!$D229,INDIRECT(H$4))+SUMIF(INDIRECT(H$3),'Struktur Aktuell'!$D229,INDIRECT(H$5)))</f>
        <v>209.08</v>
      </c>
      <c r="I229" s="593">
        <f ca="1">$E229*(-SUMIF(INDIRECT(I$3),'Struktur Aktuell'!$D229,INDIRECT(I$4))+SUMIF(INDIRECT(I$3),'Struktur Aktuell'!$D229,INDIRECT(I$5)))</f>
        <v>0</v>
      </c>
      <c r="J229" s="593">
        <f ca="1">$E229*(-SUMIF(INDIRECT(J$3),'Struktur Aktuell'!$D229,INDIRECT(J$4))+SUMIF(INDIRECT(J$3),'Struktur Aktuell'!$D229,INDIRECT(J$5)))</f>
        <v>1862.2</v>
      </c>
      <c r="K229" s="593">
        <f ca="1">$E229*(-SUMIF(INDIRECT(K$3),'Struktur Aktuell'!$D229,INDIRECT(K$4))+SUMIF(INDIRECT(K$3),'Struktur Aktuell'!$D229,INDIRECT(K$5)))</f>
        <v>0</v>
      </c>
      <c r="L229" s="593">
        <f ca="1">$E229*(-SUMIF(INDIRECT(L$3),'Struktur Aktuell'!$D229,INDIRECT(L$4))+SUMIF(INDIRECT(L$3),'Struktur Aktuell'!$D229,INDIRECT(L$5)))</f>
        <v>0</v>
      </c>
      <c r="M229" s="593">
        <f ca="1">$E229*(-SUMIF(INDIRECT(M$3),'Struktur Aktuell'!$D229,INDIRECT(M$4))+SUMIF(INDIRECT(M$3),'Struktur Aktuell'!$D229,INDIRECT(M$5)))</f>
        <v>-467.16</v>
      </c>
      <c r="N229" s="593">
        <f ca="1">$E229*(-SUMIF(INDIRECT(N$3),'Struktur Aktuell'!$D229,INDIRECT(N$4))+SUMIF(INDIRECT(N$3),'Struktur Aktuell'!$D229,INDIRECT(N$5)))</f>
        <v>0</v>
      </c>
      <c r="O229" s="593">
        <f ca="1">$E229*(-SUMIF(INDIRECT(O$3),'Struktur Aktuell'!$D229,INDIRECT(O$4))+SUMIF(INDIRECT(O$3),'Struktur Aktuell'!$D229,INDIRECT(O$5)))</f>
        <v>0</v>
      </c>
      <c r="P229" s="593">
        <f ca="1">$E229*(-SUMIF(INDIRECT(P$3),'Struktur Aktuell'!$D229,INDIRECT(P$4))+SUMIF(INDIRECT(P$3),'Struktur Aktuell'!$D229,INDIRECT(P$5)))</f>
        <v>0</v>
      </c>
      <c r="Q229" s="593">
        <f ca="1">$E229*(-SUMIF(INDIRECT(Q$3),'Struktur Aktuell'!$D229,INDIRECT(Q$4))+SUMIF(INDIRECT(Q$3),'Struktur Aktuell'!$D229,INDIRECT(Q$5)))</f>
        <v>0</v>
      </c>
      <c r="R229" s="593">
        <f ca="1">$E229*(-SUMIF(INDIRECT(R$3),'Struktur Aktuell'!$D229,INDIRECT(R$4))+SUMIF(INDIRECT(R$3),'Struktur Aktuell'!$D229,INDIRECT(R$5)))</f>
        <v>0</v>
      </c>
      <c r="S229" s="593">
        <f ca="1">$E229*(-SUMIF(INDIRECT(S$3),'Struktur Aktuell'!$D229,INDIRECT(S$4))+SUMIF(INDIRECT(S$3),'Struktur Aktuell'!$D229,INDIRECT(S$5)))</f>
        <v>0</v>
      </c>
      <c r="T229" s="593">
        <f ca="1">$E229*(-SUMIF(INDIRECT(T$3),'Struktur Aktuell'!$D229,INDIRECT(T$4))+SUMIF(INDIRECT(T$3),'Struktur Aktuell'!$D229,INDIRECT(T$5)))</f>
        <v>209.08</v>
      </c>
      <c r="U229" s="593">
        <f ca="1">$E229*(-SUMIF(INDIRECT(U$3),'Struktur Aktuell'!$D229,INDIRECT(U$4))+SUMIF(INDIRECT(U$3),'Struktur Aktuell'!$D229,INDIRECT(U$5)))</f>
        <v>209.08</v>
      </c>
      <c r="V229" s="593">
        <f ca="1">$E229*(-SUMIF(INDIRECT(V$3),'Struktur Aktuell'!$D229,INDIRECT(V$4))+SUMIF(INDIRECT(V$3),'Struktur Aktuell'!$D229,INDIRECT(V$5)))</f>
        <v>2071.2800000000002</v>
      </c>
      <c r="W229" s="593">
        <f ca="1">$E229*(-SUMIF(INDIRECT(W$3),'Struktur Aktuell'!$D229,INDIRECT(W$4))+SUMIF(INDIRECT(W$3),'Struktur Aktuell'!$D229,INDIRECT(W$5)))</f>
        <v>2071.2800000000002</v>
      </c>
      <c r="X229" s="593">
        <f ca="1">$E229*(-SUMIF(INDIRECT(X$3),'Struktur Aktuell'!$D229,INDIRECT(X$4))+SUMIF(INDIRECT(X$3),'Struktur Aktuell'!$D229,INDIRECT(X$5)))</f>
        <v>2071.2800000000002</v>
      </c>
      <c r="Y229" s="593">
        <f ca="1">$E229*(-SUMIF(INDIRECT(Y$3),'Struktur Aktuell'!$D229,INDIRECT(Y$4))+SUMIF(INDIRECT(Y$3),'Struktur Aktuell'!$D229,INDIRECT(Y$5)))</f>
        <v>1604.12</v>
      </c>
      <c r="Z229" s="593">
        <f ca="1">$E229*(-SUMIF(INDIRECT(Z$3),'Struktur Aktuell'!$D229,INDIRECT(Z$4))+SUMIF(INDIRECT(Z$3),'Struktur Aktuell'!$D229,INDIRECT(Z$5)))</f>
        <v>1604.12</v>
      </c>
      <c r="AA229" s="593">
        <f ca="1">$E229*(-SUMIF(INDIRECT(AA$3),'Struktur Aktuell'!$D229,INDIRECT(AA$4))+SUMIF(INDIRECT(AA$3),'Struktur Aktuell'!$D229,INDIRECT(AA$5)))</f>
        <v>1604.12</v>
      </c>
      <c r="AB229" s="593">
        <f ca="1">$E229*(-SUMIF(INDIRECT(AB$3),'Struktur Aktuell'!$D229,INDIRECT(AB$4))+SUMIF(INDIRECT(AB$3),'Struktur Aktuell'!$D229,INDIRECT(AB$5)))</f>
        <v>1604.12</v>
      </c>
      <c r="AC229" s="593">
        <f ca="1">$E229*(-SUMIF(INDIRECT(AC$3),'Struktur Aktuell'!$D229,INDIRECT(AC$4))+SUMIF(INDIRECT(AC$3),'Struktur Aktuell'!$D229,INDIRECT(AC$5)))</f>
        <v>0</v>
      </c>
      <c r="AD229" s="593">
        <f ca="1">$E229*(-SUMIF(INDIRECT(AD$3),'Struktur Aktuell'!$D229,INDIRECT(AD$4))+SUMIF(INDIRECT(AD$3),'Struktur Aktuell'!$D229,INDIRECT(AD$5)))</f>
        <v>0</v>
      </c>
      <c r="AE229" s="593">
        <f t="shared" ref="AE229:AE237" ca="1" si="325">G229</f>
        <v>0</v>
      </c>
      <c r="AF229" s="593">
        <f t="shared" ref="AF229:AF237" ca="1" si="326">H229+AE229</f>
        <v>209.08</v>
      </c>
      <c r="AG229" s="593">
        <f t="shared" ref="AG229:AG237" ca="1" si="327">I229+AF229</f>
        <v>209.08</v>
      </c>
      <c r="AH229" s="593">
        <f t="shared" ref="AH229:AH237" ca="1" si="328">J229+AG229</f>
        <v>2071.2800000000002</v>
      </c>
      <c r="AI229" s="593">
        <f t="shared" ref="AI229:AI237" ca="1" si="329">K229+AH229</f>
        <v>2071.2800000000002</v>
      </c>
      <c r="AJ229" s="593">
        <f t="shared" ref="AJ229:AJ237" ca="1" si="330">L229+AI229</f>
        <v>2071.2800000000002</v>
      </c>
      <c r="AK229" s="593">
        <f t="shared" ref="AK229:AK237" ca="1" si="331">M229+AJ229</f>
        <v>1604.1200000000001</v>
      </c>
      <c r="AL229" s="593">
        <f t="shared" ref="AL229:AL237" ca="1" si="332">N229+AK229</f>
        <v>1604.1200000000001</v>
      </c>
      <c r="AM229" s="593">
        <f t="shared" ref="AM229:AM237" ca="1" si="333">O229+AL229</f>
        <v>1604.1200000000001</v>
      </c>
      <c r="AN229" s="593">
        <f t="shared" ref="AN229:AN237" ca="1" si="334">P229+AM229</f>
        <v>1604.1200000000001</v>
      </c>
      <c r="AO229" s="593">
        <f t="shared" ref="AO229:AO237" ca="1" si="335">Q229+AN229</f>
        <v>1604.1200000000001</v>
      </c>
      <c r="AP229" s="593">
        <f t="shared" ref="AP229:AP237" ca="1" si="336">R229+AO229</f>
        <v>1604.1200000000001</v>
      </c>
    </row>
    <row r="230" spans="1:42" s="594" customFormat="1" ht="11.25" outlineLevel="1" x14ac:dyDescent="0.2">
      <c r="A230" s="590"/>
      <c r="B230" s="591" t="str">
        <f>IF(D230&lt;&gt;"",
IF(ISERROR(MATCH(D230,'Ist Aktuell Monat 01'!A:A,0))=FALSE,INDEX('Ist Aktuell Monat 01'!B:B,MATCH(D230,'Ist Aktuell Monat 01'!A:A,0)),
IF(ISERROR(MATCH(D230,'Ist Aktuell Monat 02'!A:A,0))=FALSE,INDEX('Ist Aktuell Monat 02'!B:B,MATCH(D230,'Ist Aktuell Monat 02'!A:A,0)),
IF(ISERROR(MATCH(D230,'Ist Aktuell Monat 03'!A:A,0))=FALSE,INDEX('Ist Aktuell Monat 03'!B:B,MATCH(D230,'Ist Aktuell Monat 03'!A:A,0)),
IF(ISERROR(MATCH(D230,'Ist Aktuell Monat 04'!A:A,0))=FALSE,INDEX('Ist Aktuell Monat 04'!B:B,MATCH(D230,'Ist Aktuell Monat 04'!A:A,0)),
IF(ISERROR(MATCH(D230,'Ist Aktuell Monat 05'!A:A,0))=FALSE,INDEX('Ist Aktuell Monat 05'!B:B,MATCH(D230,'Ist Aktuell Monat 05'!A:A,0)),
IF(ISERROR(MATCH(D230,'Ist Aktuell Monat 06'!A:A,0))=FALSE,INDEX('Ist Aktuell Monat 06'!B:B,MATCH(D230,'Ist Aktuell Monat 06'!A:A,0)),
IF(ISERROR(MATCH(D230,'Ist Aktuell Monat 07'!A:A,0))=FALSE,INDEX('Ist Aktuell Monat 07'!B:B,MATCH(D230,'Ist Aktuell Monat 07'!A:A,0)),
IF(ISERROR(MATCH(D230,'Ist Aktuell Monat 08'!A:A,0))=FALSE,INDEX('Ist Aktuell Monat 08'!B:B,MATCH(D230,'Ist Aktuell Monat 08'!A:A,0)),
IF(ISERROR(MATCH(D230,'Ist Aktuell Monat 09'!A:A,0))=FALSE,INDEX('Ist Aktuell Monat 09'!B:B,MATCH(D230,'Ist Aktuell Monat 09'!A:A,0)),
IF(ISERROR(MATCH(D230,'Ist Aktuell Monat 10'!A:A,0))=FALSE,INDEX('Ist Aktuell Monat 10'!B:B,MATCH(D230,'Ist Aktuell Monat 10'!A:A,0)),
IF(ISERROR(MATCH(D230,'Ist Aktuell Monat 11'!A:A,0))=FALSE,INDEX('Ist Aktuell Monat 11'!B:B,MATCH(D230,'Ist Aktuell Monat 11'!A:A,0)),
IF(ISERROR(MATCH(D230,'Ist Aktuell Monat 12'!A:A,0))=FALSE,INDEX('Ist Aktuell Monat 12'!B:B,MATCH(D230,'Ist Aktuell Monat 12'!A:A,0)),
"{Konto unbekannt}"
)))))))))))),"")</f>
        <v>Beiträge</v>
      </c>
      <c r="C230" s="591"/>
      <c r="D230" s="590">
        <v>4380</v>
      </c>
      <c r="E230" s="592">
        <f t="shared" si="308"/>
        <v>1</v>
      </c>
      <c r="F230" s="590"/>
      <c r="G230" s="593">
        <f ca="1">$E230*(-SUMIF(INDIRECT(G$3),'Struktur Aktuell'!$D230,INDIRECT(G$4))+SUMIF(INDIRECT(G$3),'Struktur Aktuell'!$D230,INDIRECT(G$5)))</f>
        <v>320.04000000000002</v>
      </c>
      <c r="H230" s="593">
        <f ca="1">$E230*(-SUMIF(INDIRECT(H$3),'Struktur Aktuell'!$D230,INDIRECT(H$4))+SUMIF(INDIRECT(H$3),'Struktur Aktuell'!$D230,INDIRECT(H$5)))</f>
        <v>704.19</v>
      </c>
      <c r="I230" s="593">
        <f ca="1">$E230*(-SUMIF(INDIRECT(I$3),'Struktur Aktuell'!$D230,INDIRECT(I$4))+SUMIF(INDIRECT(I$3),'Struktur Aktuell'!$D230,INDIRECT(I$5)))</f>
        <v>120</v>
      </c>
      <c r="J230" s="593">
        <f ca="1">$E230*(-SUMIF(INDIRECT(J$3),'Struktur Aktuell'!$D230,INDIRECT(J$4))+SUMIF(INDIRECT(J$3),'Struktur Aktuell'!$D230,INDIRECT(J$5)))</f>
        <v>-105.36</v>
      </c>
      <c r="K230" s="593">
        <f ca="1">$E230*(-SUMIF(INDIRECT(K$3),'Struktur Aktuell'!$D230,INDIRECT(K$4))+SUMIF(INDIRECT(K$3),'Struktur Aktuell'!$D230,INDIRECT(K$5)))</f>
        <v>0</v>
      </c>
      <c r="L230" s="593">
        <f ca="1">$E230*(-SUMIF(INDIRECT(L$3),'Struktur Aktuell'!$D230,INDIRECT(L$4))+SUMIF(INDIRECT(L$3),'Struktur Aktuell'!$D230,INDIRECT(L$5)))</f>
        <v>0</v>
      </c>
      <c r="M230" s="593">
        <f ca="1">$E230*(-SUMIF(INDIRECT(M$3),'Struktur Aktuell'!$D230,INDIRECT(M$4))+SUMIF(INDIRECT(M$3),'Struktur Aktuell'!$D230,INDIRECT(M$5)))</f>
        <v>43.89</v>
      </c>
      <c r="N230" s="593">
        <f ca="1">$E230*(-SUMIF(INDIRECT(N$3),'Struktur Aktuell'!$D230,INDIRECT(N$4))+SUMIF(INDIRECT(N$3),'Struktur Aktuell'!$D230,INDIRECT(N$5)))</f>
        <v>300</v>
      </c>
      <c r="O230" s="593">
        <f ca="1">$E230*(-SUMIF(INDIRECT(O$3),'Struktur Aktuell'!$D230,INDIRECT(O$4))+SUMIF(INDIRECT(O$3),'Struktur Aktuell'!$D230,INDIRECT(O$5)))</f>
        <v>0</v>
      </c>
      <c r="P230" s="593">
        <f ca="1">$E230*(-SUMIF(INDIRECT(P$3),'Struktur Aktuell'!$D230,INDIRECT(P$4))+SUMIF(INDIRECT(P$3),'Struktur Aktuell'!$D230,INDIRECT(P$5)))</f>
        <v>23.85</v>
      </c>
      <c r="Q230" s="593">
        <f ca="1">$E230*(-SUMIF(INDIRECT(Q$3),'Struktur Aktuell'!$D230,INDIRECT(Q$4))+SUMIF(INDIRECT(Q$3),'Struktur Aktuell'!$D230,INDIRECT(Q$5)))</f>
        <v>0</v>
      </c>
      <c r="R230" s="593">
        <f ca="1">$E230*(-SUMIF(INDIRECT(R$3),'Struktur Aktuell'!$D230,INDIRECT(R$4))+SUMIF(INDIRECT(R$3),'Struktur Aktuell'!$D230,INDIRECT(R$5)))</f>
        <v>0</v>
      </c>
      <c r="S230" s="593">
        <f ca="1">$E230*(-SUMIF(INDIRECT(S$3),'Struktur Aktuell'!$D230,INDIRECT(S$4))+SUMIF(INDIRECT(S$3),'Struktur Aktuell'!$D230,INDIRECT(S$5)))</f>
        <v>320.04000000000002</v>
      </c>
      <c r="T230" s="593">
        <f ca="1">$E230*(-SUMIF(INDIRECT(T$3),'Struktur Aktuell'!$D230,INDIRECT(T$4))+SUMIF(INDIRECT(T$3),'Struktur Aktuell'!$D230,INDIRECT(T$5)))</f>
        <v>1024.23</v>
      </c>
      <c r="U230" s="593">
        <f ca="1">$E230*(-SUMIF(INDIRECT(U$3),'Struktur Aktuell'!$D230,INDIRECT(U$4))+SUMIF(INDIRECT(U$3),'Struktur Aktuell'!$D230,INDIRECT(U$5)))</f>
        <v>1144.23</v>
      </c>
      <c r="V230" s="593">
        <f ca="1">$E230*(-SUMIF(INDIRECT(V$3),'Struktur Aktuell'!$D230,INDIRECT(V$4))+SUMIF(INDIRECT(V$3),'Struktur Aktuell'!$D230,INDIRECT(V$5)))</f>
        <v>1038.8699999999999</v>
      </c>
      <c r="W230" s="593">
        <f ca="1">$E230*(-SUMIF(INDIRECT(W$3),'Struktur Aktuell'!$D230,INDIRECT(W$4))+SUMIF(INDIRECT(W$3),'Struktur Aktuell'!$D230,INDIRECT(W$5)))</f>
        <v>1038.8699999999999</v>
      </c>
      <c r="X230" s="593">
        <f ca="1">$E230*(-SUMIF(INDIRECT(X$3),'Struktur Aktuell'!$D230,INDIRECT(X$4))+SUMIF(INDIRECT(X$3),'Struktur Aktuell'!$D230,INDIRECT(X$5)))</f>
        <v>1038.8699999999999</v>
      </c>
      <c r="Y230" s="593">
        <f ca="1">$E230*(-SUMIF(INDIRECT(Y$3),'Struktur Aktuell'!$D230,INDIRECT(Y$4))+SUMIF(INDIRECT(Y$3),'Struktur Aktuell'!$D230,INDIRECT(Y$5)))</f>
        <v>1082.76</v>
      </c>
      <c r="Z230" s="593">
        <f ca="1">$E230*(-SUMIF(INDIRECT(Z$3),'Struktur Aktuell'!$D230,INDIRECT(Z$4))+SUMIF(INDIRECT(Z$3),'Struktur Aktuell'!$D230,INDIRECT(Z$5)))</f>
        <v>1382.76</v>
      </c>
      <c r="AA230" s="593">
        <f ca="1">$E230*(-SUMIF(INDIRECT(AA$3),'Struktur Aktuell'!$D230,INDIRECT(AA$4))+SUMIF(INDIRECT(AA$3),'Struktur Aktuell'!$D230,INDIRECT(AA$5)))</f>
        <v>1382.76</v>
      </c>
      <c r="AB230" s="593">
        <f ca="1">$E230*(-SUMIF(INDIRECT(AB$3),'Struktur Aktuell'!$D230,INDIRECT(AB$4))+SUMIF(INDIRECT(AB$3),'Struktur Aktuell'!$D230,INDIRECT(AB$5)))</f>
        <v>1406.61</v>
      </c>
      <c r="AC230" s="593">
        <f ca="1">$E230*(-SUMIF(INDIRECT(AC$3),'Struktur Aktuell'!$D230,INDIRECT(AC$4))+SUMIF(INDIRECT(AC$3),'Struktur Aktuell'!$D230,INDIRECT(AC$5)))</f>
        <v>0</v>
      </c>
      <c r="AD230" s="593">
        <f ca="1">$E230*(-SUMIF(INDIRECT(AD$3),'Struktur Aktuell'!$D230,INDIRECT(AD$4))+SUMIF(INDIRECT(AD$3),'Struktur Aktuell'!$D230,INDIRECT(AD$5)))</f>
        <v>0</v>
      </c>
      <c r="AE230" s="593">
        <f t="shared" ca="1" si="325"/>
        <v>320.04000000000002</v>
      </c>
      <c r="AF230" s="593">
        <f t="shared" ca="1" si="326"/>
        <v>1024.23</v>
      </c>
      <c r="AG230" s="593">
        <f t="shared" ca="1" si="327"/>
        <v>1144.23</v>
      </c>
      <c r="AH230" s="593">
        <f t="shared" ca="1" si="328"/>
        <v>1038.8700000000001</v>
      </c>
      <c r="AI230" s="593">
        <f t="shared" ca="1" si="329"/>
        <v>1038.8700000000001</v>
      </c>
      <c r="AJ230" s="593">
        <f t="shared" ca="1" si="330"/>
        <v>1038.8700000000001</v>
      </c>
      <c r="AK230" s="593">
        <f t="shared" ca="1" si="331"/>
        <v>1082.7600000000002</v>
      </c>
      <c r="AL230" s="593">
        <f t="shared" ca="1" si="332"/>
        <v>1382.7600000000002</v>
      </c>
      <c r="AM230" s="593">
        <f t="shared" ca="1" si="333"/>
        <v>1382.7600000000002</v>
      </c>
      <c r="AN230" s="593">
        <f t="shared" ca="1" si="334"/>
        <v>1406.6100000000001</v>
      </c>
      <c r="AO230" s="593">
        <f t="shared" ca="1" si="335"/>
        <v>1406.6100000000001</v>
      </c>
      <c r="AP230" s="593">
        <f t="shared" ca="1" si="336"/>
        <v>1406.6100000000001</v>
      </c>
    </row>
    <row r="231" spans="1:42" s="594" customFormat="1" ht="11.25" outlineLevel="1" x14ac:dyDescent="0.2">
      <c r="A231" s="590"/>
      <c r="B231" s="591" t="str">
        <f>IF(D231&lt;&gt;"",
IF(ISERROR(MATCH(D231,'Ist Aktuell Monat 01'!A:A,0))=FALSE,INDEX('Ist Aktuell Monat 01'!B:B,MATCH(D231,'Ist Aktuell Monat 01'!A:A,0)),
IF(ISERROR(MATCH(D231,'Ist Aktuell Monat 02'!A:A,0))=FALSE,INDEX('Ist Aktuell Monat 02'!B:B,MATCH(D231,'Ist Aktuell Monat 02'!A:A,0)),
IF(ISERROR(MATCH(D231,'Ist Aktuell Monat 03'!A:A,0))=FALSE,INDEX('Ist Aktuell Monat 03'!B:B,MATCH(D231,'Ist Aktuell Monat 03'!A:A,0)),
IF(ISERROR(MATCH(D231,'Ist Aktuell Monat 04'!A:A,0))=FALSE,INDEX('Ist Aktuell Monat 04'!B:B,MATCH(D231,'Ist Aktuell Monat 04'!A:A,0)),
IF(ISERROR(MATCH(D231,'Ist Aktuell Monat 05'!A:A,0))=FALSE,INDEX('Ist Aktuell Monat 05'!B:B,MATCH(D231,'Ist Aktuell Monat 05'!A:A,0)),
IF(ISERROR(MATCH(D231,'Ist Aktuell Monat 06'!A:A,0))=FALSE,INDEX('Ist Aktuell Monat 06'!B:B,MATCH(D231,'Ist Aktuell Monat 06'!A:A,0)),
IF(ISERROR(MATCH(D231,'Ist Aktuell Monat 07'!A:A,0))=FALSE,INDEX('Ist Aktuell Monat 07'!B:B,MATCH(D231,'Ist Aktuell Monat 07'!A:A,0)),
IF(ISERROR(MATCH(D231,'Ist Aktuell Monat 08'!A:A,0))=FALSE,INDEX('Ist Aktuell Monat 08'!B:B,MATCH(D231,'Ist Aktuell Monat 08'!A:A,0)),
IF(ISERROR(MATCH(D231,'Ist Aktuell Monat 09'!A:A,0))=FALSE,INDEX('Ist Aktuell Monat 09'!B:B,MATCH(D231,'Ist Aktuell Monat 09'!A:A,0)),
IF(ISERROR(MATCH(D231,'Ist Aktuell Monat 10'!A:A,0))=FALSE,INDEX('Ist Aktuell Monat 10'!B:B,MATCH(D231,'Ist Aktuell Monat 10'!A:A,0)),
IF(ISERROR(MATCH(D231,'Ist Aktuell Monat 11'!A:A,0))=FALSE,INDEX('Ist Aktuell Monat 11'!B:B,MATCH(D231,'Ist Aktuell Monat 11'!A:A,0)),
IF(ISERROR(MATCH(D231,'Ist Aktuell Monat 12'!A:A,0))=FALSE,INDEX('Ist Aktuell Monat 12'!B:B,MATCH(D231,'Ist Aktuell Monat 12'!A:A,0)),
"{Konto unbekannt}"
)))))))))))),"")</f>
        <v/>
      </c>
      <c r="C231" s="591"/>
      <c r="D231" s="590"/>
      <c r="E231" s="592">
        <f t="shared" si="308"/>
        <v>1</v>
      </c>
      <c r="F231" s="590"/>
      <c r="G231" s="593">
        <f ca="1">$E231*(-SUMIF(INDIRECT(G$3),'Struktur Aktuell'!$D231,INDIRECT(G$4))+SUMIF(INDIRECT(G$3),'Struktur Aktuell'!$D231,INDIRECT(G$5)))</f>
        <v>0</v>
      </c>
      <c r="H231" s="593">
        <f ca="1">$E231*(-SUMIF(INDIRECT(H$3),'Struktur Aktuell'!$D231,INDIRECT(H$4))+SUMIF(INDIRECT(H$3),'Struktur Aktuell'!$D231,INDIRECT(H$5)))</f>
        <v>0</v>
      </c>
      <c r="I231" s="593">
        <f ca="1">$E231*(-SUMIF(INDIRECT(I$3),'Struktur Aktuell'!$D231,INDIRECT(I$4))+SUMIF(INDIRECT(I$3),'Struktur Aktuell'!$D231,INDIRECT(I$5)))</f>
        <v>0</v>
      </c>
      <c r="J231" s="593">
        <f ca="1">$E231*(-SUMIF(INDIRECT(J$3),'Struktur Aktuell'!$D231,INDIRECT(J$4))+SUMIF(INDIRECT(J$3),'Struktur Aktuell'!$D231,INDIRECT(J$5)))</f>
        <v>0</v>
      </c>
      <c r="K231" s="593">
        <f ca="1">$E231*(-SUMIF(INDIRECT(K$3),'Struktur Aktuell'!$D231,INDIRECT(K$4))+SUMIF(INDIRECT(K$3),'Struktur Aktuell'!$D231,INDIRECT(K$5)))</f>
        <v>0</v>
      </c>
      <c r="L231" s="593">
        <f ca="1">$E231*(-SUMIF(INDIRECT(L$3),'Struktur Aktuell'!$D231,INDIRECT(L$4))+SUMIF(INDIRECT(L$3),'Struktur Aktuell'!$D231,INDIRECT(L$5)))</f>
        <v>0</v>
      </c>
      <c r="M231" s="593">
        <f ca="1">$E231*(-SUMIF(INDIRECT(M$3),'Struktur Aktuell'!$D231,INDIRECT(M$4))+SUMIF(INDIRECT(M$3),'Struktur Aktuell'!$D231,INDIRECT(M$5)))</f>
        <v>0</v>
      </c>
      <c r="N231" s="593">
        <f ca="1">$E231*(-SUMIF(INDIRECT(N$3),'Struktur Aktuell'!$D231,INDIRECT(N$4))+SUMIF(INDIRECT(N$3),'Struktur Aktuell'!$D231,INDIRECT(N$5)))</f>
        <v>0</v>
      </c>
      <c r="O231" s="593">
        <f ca="1">$E231*(-SUMIF(INDIRECT(O$3),'Struktur Aktuell'!$D231,INDIRECT(O$4))+SUMIF(INDIRECT(O$3),'Struktur Aktuell'!$D231,INDIRECT(O$5)))</f>
        <v>0</v>
      </c>
      <c r="P231" s="593">
        <f ca="1">$E231*(-SUMIF(INDIRECT(P$3),'Struktur Aktuell'!$D231,INDIRECT(P$4))+SUMIF(INDIRECT(P$3),'Struktur Aktuell'!$D231,INDIRECT(P$5)))</f>
        <v>0</v>
      </c>
      <c r="Q231" s="593">
        <f ca="1">$E231*(-SUMIF(INDIRECT(Q$3),'Struktur Aktuell'!$D231,INDIRECT(Q$4))+SUMIF(INDIRECT(Q$3),'Struktur Aktuell'!$D231,INDIRECT(Q$5)))</f>
        <v>0</v>
      </c>
      <c r="R231" s="593">
        <f ca="1">$E231*(-SUMIF(INDIRECT(R$3),'Struktur Aktuell'!$D231,INDIRECT(R$4))+SUMIF(INDIRECT(R$3),'Struktur Aktuell'!$D231,INDIRECT(R$5)))</f>
        <v>0</v>
      </c>
      <c r="S231" s="593">
        <f ca="1">$E231*(-SUMIF(INDIRECT(S$3),'Struktur Aktuell'!$D231,INDIRECT(S$4))+SUMIF(INDIRECT(S$3),'Struktur Aktuell'!$D231,INDIRECT(S$5)))</f>
        <v>0</v>
      </c>
      <c r="T231" s="593">
        <f ca="1">$E231*(-SUMIF(INDIRECT(T$3),'Struktur Aktuell'!$D231,INDIRECT(T$4))+SUMIF(INDIRECT(T$3),'Struktur Aktuell'!$D231,INDIRECT(T$5)))</f>
        <v>0</v>
      </c>
      <c r="U231" s="593">
        <f ca="1">$E231*(-SUMIF(INDIRECT(U$3),'Struktur Aktuell'!$D231,INDIRECT(U$4))+SUMIF(INDIRECT(U$3),'Struktur Aktuell'!$D231,INDIRECT(U$5)))</f>
        <v>0</v>
      </c>
      <c r="V231" s="593">
        <f ca="1">$E231*(-SUMIF(INDIRECT(V$3),'Struktur Aktuell'!$D231,INDIRECT(V$4))+SUMIF(INDIRECT(V$3),'Struktur Aktuell'!$D231,INDIRECT(V$5)))</f>
        <v>0</v>
      </c>
      <c r="W231" s="593">
        <f ca="1">$E231*(-SUMIF(INDIRECT(W$3),'Struktur Aktuell'!$D231,INDIRECT(W$4))+SUMIF(INDIRECT(W$3),'Struktur Aktuell'!$D231,INDIRECT(W$5)))</f>
        <v>0</v>
      </c>
      <c r="X231" s="593">
        <f ca="1">$E231*(-SUMIF(INDIRECT(X$3),'Struktur Aktuell'!$D231,INDIRECT(X$4))+SUMIF(INDIRECT(X$3),'Struktur Aktuell'!$D231,INDIRECT(X$5)))</f>
        <v>0</v>
      </c>
      <c r="Y231" s="593">
        <f ca="1">$E231*(-SUMIF(INDIRECT(Y$3),'Struktur Aktuell'!$D231,INDIRECT(Y$4))+SUMIF(INDIRECT(Y$3),'Struktur Aktuell'!$D231,INDIRECT(Y$5)))</f>
        <v>0</v>
      </c>
      <c r="Z231" s="593">
        <f ca="1">$E231*(-SUMIF(INDIRECT(Z$3),'Struktur Aktuell'!$D231,INDIRECT(Z$4))+SUMIF(INDIRECT(Z$3),'Struktur Aktuell'!$D231,INDIRECT(Z$5)))</f>
        <v>0</v>
      </c>
      <c r="AA231" s="593">
        <f ca="1">$E231*(-SUMIF(INDIRECT(AA$3),'Struktur Aktuell'!$D231,INDIRECT(AA$4))+SUMIF(INDIRECT(AA$3),'Struktur Aktuell'!$D231,INDIRECT(AA$5)))</f>
        <v>0</v>
      </c>
      <c r="AB231" s="593">
        <f ca="1">$E231*(-SUMIF(INDIRECT(AB$3),'Struktur Aktuell'!$D231,INDIRECT(AB$4))+SUMIF(INDIRECT(AB$3),'Struktur Aktuell'!$D231,INDIRECT(AB$5)))</f>
        <v>0</v>
      </c>
      <c r="AC231" s="593">
        <f ca="1">$E231*(-SUMIF(INDIRECT(AC$3),'Struktur Aktuell'!$D231,INDIRECT(AC$4))+SUMIF(INDIRECT(AC$3),'Struktur Aktuell'!$D231,INDIRECT(AC$5)))</f>
        <v>0</v>
      </c>
      <c r="AD231" s="593">
        <f ca="1">$E231*(-SUMIF(INDIRECT(AD$3),'Struktur Aktuell'!$D231,INDIRECT(AD$4))+SUMIF(INDIRECT(AD$3),'Struktur Aktuell'!$D231,INDIRECT(AD$5)))</f>
        <v>0</v>
      </c>
      <c r="AE231" s="593">
        <f t="shared" ca="1" si="325"/>
        <v>0</v>
      </c>
      <c r="AF231" s="593">
        <f t="shared" ca="1" si="326"/>
        <v>0</v>
      </c>
      <c r="AG231" s="593">
        <f t="shared" ca="1" si="327"/>
        <v>0</v>
      </c>
      <c r="AH231" s="593">
        <f t="shared" ca="1" si="328"/>
        <v>0</v>
      </c>
      <c r="AI231" s="593">
        <f t="shared" ca="1" si="329"/>
        <v>0</v>
      </c>
      <c r="AJ231" s="593">
        <f t="shared" ca="1" si="330"/>
        <v>0</v>
      </c>
      <c r="AK231" s="593">
        <f t="shared" ca="1" si="331"/>
        <v>0</v>
      </c>
      <c r="AL231" s="593">
        <f t="shared" ca="1" si="332"/>
        <v>0</v>
      </c>
      <c r="AM231" s="593">
        <f t="shared" ca="1" si="333"/>
        <v>0</v>
      </c>
      <c r="AN231" s="593">
        <f t="shared" ca="1" si="334"/>
        <v>0</v>
      </c>
      <c r="AO231" s="593">
        <f t="shared" ca="1" si="335"/>
        <v>0</v>
      </c>
      <c r="AP231" s="593">
        <f t="shared" ca="1" si="336"/>
        <v>0</v>
      </c>
    </row>
    <row r="232" spans="1:42" s="594" customFormat="1" ht="11.25" outlineLevel="1" x14ac:dyDescent="0.2">
      <c r="A232" s="590"/>
      <c r="B232" s="591" t="str">
        <f>IF(D232&lt;&gt;"",
IF(ISERROR(MATCH(D232,'Ist Aktuell Monat 01'!A:A,0))=FALSE,INDEX('Ist Aktuell Monat 01'!B:B,MATCH(D232,'Ist Aktuell Monat 01'!A:A,0)),
IF(ISERROR(MATCH(D232,'Ist Aktuell Monat 02'!A:A,0))=FALSE,INDEX('Ist Aktuell Monat 02'!B:B,MATCH(D232,'Ist Aktuell Monat 02'!A:A,0)),
IF(ISERROR(MATCH(D232,'Ist Aktuell Monat 03'!A:A,0))=FALSE,INDEX('Ist Aktuell Monat 03'!B:B,MATCH(D232,'Ist Aktuell Monat 03'!A:A,0)),
IF(ISERROR(MATCH(D232,'Ist Aktuell Monat 04'!A:A,0))=FALSE,INDEX('Ist Aktuell Monat 04'!B:B,MATCH(D232,'Ist Aktuell Monat 04'!A:A,0)),
IF(ISERROR(MATCH(D232,'Ist Aktuell Monat 05'!A:A,0))=FALSE,INDEX('Ist Aktuell Monat 05'!B:B,MATCH(D232,'Ist Aktuell Monat 05'!A:A,0)),
IF(ISERROR(MATCH(D232,'Ist Aktuell Monat 06'!A:A,0))=FALSE,INDEX('Ist Aktuell Monat 06'!B:B,MATCH(D232,'Ist Aktuell Monat 06'!A:A,0)),
IF(ISERROR(MATCH(D232,'Ist Aktuell Monat 07'!A:A,0))=FALSE,INDEX('Ist Aktuell Monat 07'!B:B,MATCH(D232,'Ist Aktuell Monat 07'!A:A,0)),
IF(ISERROR(MATCH(D232,'Ist Aktuell Monat 08'!A:A,0))=FALSE,INDEX('Ist Aktuell Monat 08'!B:B,MATCH(D232,'Ist Aktuell Monat 08'!A:A,0)),
IF(ISERROR(MATCH(D232,'Ist Aktuell Monat 09'!A:A,0))=FALSE,INDEX('Ist Aktuell Monat 09'!B:B,MATCH(D232,'Ist Aktuell Monat 09'!A:A,0)),
IF(ISERROR(MATCH(D232,'Ist Aktuell Monat 10'!A:A,0))=FALSE,INDEX('Ist Aktuell Monat 10'!B:B,MATCH(D232,'Ist Aktuell Monat 10'!A:A,0)),
IF(ISERROR(MATCH(D232,'Ist Aktuell Monat 11'!A:A,0))=FALSE,INDEX('Ist Aktuell Monat 11'!B:B,MATCH(D232,'Ist Aktuell Monat 11'!A:A,0)),
IF(ISERROR(MATCH(D232,'Ist Aktuell Monat 12'!A:A,0))=FALSE,INDEX('Ist Aktuell Monat 12'!B:B,MATCH(D232,'Ist Aktuell Monat 12'!A:A,0)),
"{Konto unbekannt}"
)))))))))))),"")</f>
        <v/>
      </c>
      <c r="C232" s="591"/>
      <c r="D232" s="590"/>
      <c r="E232" s="592">
        <f t="shared" si="308"/>
        <v>1</v>
      </c>
      <c r="F232" s="590"/>
      <c r="G232" s="593">
        <f ca="1">$E232*(-SUMIF(INDIRECT(G$3),'Struktur Aktuell'!$D232,INDIRECT(G$4))+SUMIF(INDIRECT(G$3),'Struktur Aktuell'!$D232,INDIRECT(G$5)))</f>
        <v>0</v>
      </c>
      <c r="H232" s="593">
        <f ca="1">$E232*(-SUMIF(INDIRECT(H$3),'Struktur Aktuell'!$D232,INDIRECT(H$4))+SUMIF(INDIRECT(H$3),'Struktur Aktuell'!$D232,INDIRECT(H$5)))</f>
        <v>0</v>
      </c>
      <c r="I232" s="593">
        <f ca="1">$E232*(-SUMIF(INDIRECT(I$3),'Struktur Aktuell'!$D232,INDIRECT(I$4))+SUMIF(INDIRECT(I$3),'Struktur Aktuell'!$D232,INDIRECT(I$5)))</f>
        <v>0</v>
      </c>
      <c r="J232" s="593">
        <f ca="1">$E232*(-SUMIF(INDIRECT(J$3),'Struktur Aktuell'!$D232,INDIRECT(J$4))+SUMIF(INDIRECT(J$3),'Struktur Aktuell'!$D232,INDIRECT(J$5)))</f>
        <v>0</v>
      </c>
      <c r="K232" s="593">
        <f ca="1">$E232*(-SUMIF(INDIRECT(K$3),'Struktur Aktuell'!$D232,INDIRECT(K$4))+SUMIF(INDIRECT(K$3),'Struktur Aktuell'!$D232,INDIRECT(K$5)))</f>
        <v>0</v>
      </c>
      <c r="L232" s="593">
        <f ca="1">$E232*(-SUMIF(INDIRECT(L$3),'Struktur Aktuell'!$D232,INDIRECT(L$4))+SUMIF(INDIRECT(L$3),'Struktur Aktuell'!$D232,INDIRECT(L$5)))</f>
        <v>0</v>
      </c>
      <c r="M232" s="593">
        <f ca="1">$E232*(-SUMIF(INDIRECT(M$3),'Struktur Aktuell'!$D232,INDIRECT(M$4))+SUMIF(INDIRECT(M$3),'Struktur Aktuell'!$D232,INDIRECT(M$5)))</f>
        <v>0</v>
      </c>
      <c r="N232" s="593">
        <f ca="1">$E232*(-SUMIF(INDIRECT(N$3),'Struktur Aktuell'!$D232,INDIRECT(N$4))+SUMIF(INDIRECT(N$3),'Struktur Aktuell'!$D232,INDIRECT(N$5)))</f>
        <v>0</v>
      </c>
      <c r="O232" s="593">
        <f ca="1">$E232*(-SUMIF(INDIRECT(O$3),'Struktur Aktuell'!$D232,INDIRECT(O$4))+SUMIF(INDIRECT(O$3),'Struktur Aktuell'!$D232,INDIRECT(O$5)))</f>
        <v>0</v>
      </c>
      <c r="P232" s="593">
        <f ca="1">$E232*(-SUMIF(INDIRECT(P$3),'Struktur Aktuell'!$D232,INDIRECT(P$4))+SUMIF(INDIRECT(P$3),'Struktur Aktuell'!$D232,INDIRECT(P$5)))</f>
        <v>0</v>
      </c>
      <c r="Q232" s="593">
        <f ca="1">$E232*(-SUMIF(INDIRECT(Q$3),'Struktur Aktuell'!$D232,INDIRECT(Q$4))+SUMIF(INDIRECT(Q$3),'Struktur Aktuell'!$D232,INDIRECT(Q$5)))</f>
        <v>0</v>
      </c>
      <c r="R232" s="593">
        <f ca="1">$E232*(-SUMIF(INDIRECT(R$3),'Struktur Aktuell'!$D232,INDIRECT(R$4))+SUMIF(INDIRECT(R$3),'Struktur Aktuell'!$D232,INDIRECT(R$5)))</f>
        <v>0</v>
      </c>
      <c r="S232" s="593">
        <f ca="1">$E232*(-SUMIF(INDIRECT(S$3),'Struktur Aktuell'!$D232,INDIRECT(S$4))+SUMIF(INDIRECT(S$3),'Struktur Aktuell'!$D232,INDIRECT(S$5)))</f>
        <v>0</v>
      </c>
      <c r="T232" s="593">
        <f ca="1">$E232*(-SUMIF(INDIRECT(T$3),'Struktur Aktuell'!$D232,INDIRECT(T$4))+SUMIF(INDIRECT(T$3),'Struktur Aktuell'!$D232,INDIRECT(T$5)))</f>
        <v>0</v>
      </c>
      <c r="U232" s="593">
        <f ca="1">$E232*(-SUMIF(INDIRECT(U$3),'Struktur Aktuell'!$D232,INDIRECT(U$4))+SUMIF(INDIRECT(U$3),'Struktur Aktuell'!$D232,INDIRECT(U$5)))</f>
        <v>0</v>
      </c>
      <c r="V232" s="593">
        <f ca="1">$E232*(-SUMIF(INDIRECT(V$3),'Struktur Aktuell'!$D232,INDIRECT(V$4))+SUMIF(INDIRECT(V$3),'Struktur Aktuell'!$D232,INDIRECT(V$5)))</f>
        <v>0</v>
      </c>
      <c r="W232" s="593">
        <f ca="1">$E232*(-SUMIF(INDIRECT(W$3),'Struktur Aktuell'!$D232,INDIRECT(W$4))+SUMIF(INDIRECT(W$3),'Struktur Aktuell'!$D232,INDIRECT(W$5)))</f>
        <v>0</v>
      </c>
      <c r="X232" s="593">
        <f ca="1">$E232*(-SUMIF(INDIRECT(X$3),'Struktur Aktuell'!$D232,INDIRECT(X$4))+SUMIF(INDIRECT(X$3),'Struktur Aktuell'!$D232,INDIRECT(X$5)))</f>
        <v>0</v>
      </c>
      <c r="Y232" s="593">
        <f ca="1">$E232*(-SUMIF(INDIRECT(Y$3),'Struktur Aktuell'!$D232,INDIRECT(Y$4))+SUMIF(INDIRECT(Y$3),'Struktur Aktuell'!$D232,INDIRECT(Y$5)))</f>
        <v>0</v>
      </c>
      <c r="Z232" s="593">
        <f ca="1">$E232*(-SUMIF(INDIRECT(Z$3),'Struktur Aktuell'!$D232,INDIRECT(Z$4))+SUMIF(INDIRECT(Z$3),'Struktur Aktuell'!$D232,INDIRECT(Z$5)))</f>
        <v>0</v>
      </c>
      <c r="AA232" s="593">
        <f ca="1">$E232*(-SUMIF(INDIRECT(AA$3),'Struktur Aktuell'!$D232,INDIRECT(AA$4))+SUMIF(INDIRECT(AA$3),'Struktur Aktuell'!$D232,INDIRECT(AA$5)))</f>
        <v>0</v>
      </c>
      <c r="AB232" s="593">
        <f ca="1">$E232*(-SUMIF(INDIRECT(AB$3),'Struktur Aktuell'!$D232,INDIRECT(AB$4))+SUMIF(INDIRECT(AB$3),'Struktur Aktuell'!$D232,INDIRECT(AB$5)))</f>
        <v>0</v>
      </c>
      <c r="AC232" s="593">
        <f ca="1">$E232*(-SUMIF(INDIRECT(AC$3),'Struktur Aktuell'!$D232,INDIRECT(AC$4))+SUMIF(INDIRECT(AC$3),'Struktur Aktuell'!$D232,INDIRECT(AC$5)))</f>
        <v>0</v>
      </c>
      <c r="AD232" s="593">
        <f ca="1">$E232*(-SUMIF(INDIRECT(AD$3),'Struktur Aktuell'!$D232,INDIRECT(AD$4))+SUMIF(INDIRECT(AD$3),'Struktur Aktuell'!$D232,INDIRECT(AD$5)))</f>
        <v>0</v>
      </c>
      <c r="AE232" s="593">
        <f t="shared" ca="1" si="325"/>
        <v>0</v>
      </c>
      <c r="AF232" s="593">
        <f t="shared" ca="1" si="326"/>
        <v>0</v>
      </c>
      <c r="AG232" s="593">
        <f t="shared" ca="1" si="327"/>
        <v>0</v>
      </c>
      <c r="AH232" s="593">
        <f t="shared" ca="1" si="328"/>
        <v>0</v>
      </c>
      <c r="AI232" s="593">
        <f t="shared" ca="1" si="329"/>
        <v>0</v>
      </c>
      <c r="AJ232" s="593">
        <f t="shared" ca="1" si="330"/>
        <v>0</v>
      </c>
      <c r="AK232" s="593">
        <f t="shared" ca="1" si="331"/>
        <v>0</v>
      </c>
      <c r="AL232" s="593">
        <f t="shared" ca="1" si="332"/>
        <v>0</v>
      </c>
      <c r="AM232" s="593">
        <f t="shared" ca="1" si="333"/>
        <v>0</v>
      </c>
      <c r="AN232" s="593">
        <f t="shared" ca="1" si="334"/>
        <v>0</v>
      </c>
      <c r="AO232" s="593">
        <f t="shared" ca="1" si="335"/>
        <v>0</v>
      </c>
      <c r="AP232" s="593">
        <f t="shared" ca="1" si="336"/>
        <v>0</v>
      </c>
    </row>
    <row r="233" spans="1:42" s="594" customFormat="1" ht="11.25" outlineLevel="1" x14ac:dyDescent="0.2">
      <c r="A233" s="590"/>
      <c r="B233" s="591" t="str">
        <f>IF(D233&lt;&gt;"",
IF(ISERROR(MATCH(D233,'Ist Aktuell Monat 01'!A:A,0))=FALSE,INDEX('Ist Aktuell Monat 01'!B:B,MATCH(D233,'Ist Aktuell Monat 01'!A:A,0)),
IF(ISERROR(MATCH(D233,'Ist Aktuell Monat 02'!A:A,0))=FALSE,INDEX('Ist Aktuell Monat 02'!B:B,MATCH(D233,'Ist Aktuell Monat 02'!A:A,0)),
IF(ISERROR(MATCH(D233,'Ist Aktuell Monat 03'!A:A,0))=FALSE,INDEX('Ist Aktuell Monat 03'!B:B,MATCH(D233,'Ist Aktuell Monat 03'!A:A,0)),
IF(ISERROR(MATCH(D233,'Ist Aktuell Monat 04'!A:A,0))=FALSE,INDEX('Ist Aktuell Monat 04'!B:B,MATCH(D233,'Ist Aktuell Monat 04'!A:A,0)),
IF(ISERROR(MATCH(D233,'Ist Aktuell Monat 05'!A:A,0))=FALSE,INDEX('Ist Aktuell Monat 05'!B:B,MATCH(D233,'Ist Aktuell Monat 05'!A:A,0)),
IF(ISERROR(MATCH(D233,'Ist Aktuell Monat 06'!A:A,0))=FALSE,INDEX('Ist Aktuell Monat 06'!B:B,MATCH(D233,'Ist Aktuell Monat 06'!A:A,0)),
IF(ISERROR(MATCH(D233,'Ist Aktuell Monat 07'!A:A,0))=FALSE,INDEX('Ist Aktuell Monat 07'!B:B,MATCH(D233,'Ist Aktuell Monat 07'!A:A,0)),
IF(ISERROR(MATCH(D233,'Ist Aktuell Monat 08'!A:A,0))=FALSE,INDEX('Ist Aktuell Monat 08'!B:B,MATCH(D233,'Ist Aktuell Monat 08'!A:A,0)),
IF(ISERROR(MATCH(D233,'Ist Aktuell Monat 09'!A:A,0))=FALSE,INDEX('Ist Aktuell Monat 09'!B:B,MATCH(D233,'Ist Aktuell Monat 09'!A:A,0)),
IF(ISERROR(MATCH(D233,'Ist Aktuell Monat 10'!A:A,0))=FALSE,INDEX('Ist Aktuell Monat 10'!B:B,MATCH(D233,'Ist Aktuell Monat 10'!A:A,0)),
IF(ISERROR(MATCH(D233,'Ist Aktuell Monat 11'!A:A,0))=FALSE,INDEX('Ist Aktuell Monat 11'!B:B,MATCH(D233,'Ist Aktuell Monat 11'!A:A,0)),
IF(ISERROR(MATCH(D233,'Ist Aktuell Monat 12'!A:A,0))=FALSE,INDEX('Ist Aktuell Monat 12'!B:B,MATCH(D233,'Ist Aktuell Monat 12'!A:A,0)),
"{Konto unbekannt}"
)))))))))))),"")</f>
        <v/>
      </c>
      <c r="C233" s="591"/>
      <c r="D233" s="590"/>
      <c r="E233" s="592">
        <f t="shared" si="308"/>
        <v>1</v>
      </c>
      <c r="F233" s="590"/>
      <c r="G233" s="593">
        <f ca="1">$E233*(-SUMIF(INDIRECT(G$3),'Struktur Aktuell'!$D233,INDIRECT(G$4))+SUMIF(INDIRECT(G$3),'Struktur Aktuell'!$D233,INDIRECT(G$5)))</f>
        <v>0</v>
      </c>
      <c r="H233" s="593">
        <f ca="1">$E233*(-SUMIF(INDIRECT(H$3),'Struktur Aktuell'!$D233,INDIRECT(H$4))+SUMIF(INDIRECT(H$3),'Struktur Aktuell'!$D233,INDIRECT(H$5)))</f>
        <v>0</v>
      </c>
      <c r="I233" s="593">
        <f ca="1">$E233*(-SUMIF(INDIRECT(I$3),'Struktur Aktuell'!$D233,INDIRECT(I$4))+SUMIF(INDIRECT(I$3),'Struktur Aktuell'!$D233,INDIRECT(I$5)))</f>
        <v>0</v>
      </c>
      <c r="J233" s="593">
        <f ca="1">$E233*(-SUMIF(INDIRECT(J$3),'Struktur Aktuell'!$D233,INDIRECT(J$4))+SUMIF(INDIRECT(J$3),'Struktur Aktuell'!$D233,INDIRECT(J$5)))</f>
        <v>0</v>
      </c>
      <c r="K233" s="593">
        <f ca="1">$E233*(-SUMIF(INDIRECT(K$3),'Struktur Aktuell'!$D233,INDIRECT(K$4))+SUMIF(INDIRECT(K$3),'Struktur Aktuell'!$D233,INDIRECT(K$5)))</f>
        <v>0</v>
      </c>
      <c r="L233" s="593">
        <f ca="1">$E233*(-SUMIF(INDIRECT(L$3),'Struktur Aktuell'!$D233,INDIRECT(L$4))+SUMIF(INDIRECT(L$3),'Struktur Aktuell'!$D233,INDIRECT(L$5)))</f>
        <v>0</v>
      </c>
      <c r="M233" s="593">
        <f ca="1">$E233*(-SUMIF(INDIRECT(M$3),'Struktur Aktuell'!$D233,INDIRECT(M$4))+SUMIF(INDIRECT(M$3),'Struktur Aktuell'!$D233,INDIRECT(M$5)))</f>
        <v>0</v>
      </c>
      <c r="N233" s="593">
        <f ca="1">$E233*(-SUMIF(INDIRECT(N$3),'Struktur Aktuell'!$D233,INDIRECT(N$4))+SUMIF(INDIRECT(N$3),'Struktur Aktuell'!$D233,INDIRECT(N$5)))</f>
        <v>0</v>
      </c>
      <c r="O233" s="593">
        <f ca="1">$E233*(-SUMIF(INDIRECT(O$3),'Struktur Aktuell'!$D233,INDIRECT(O$4))+SUMIF(INDIRECT(O$3),'Struktur Aktuell'!$D233,INDIRECT(O$5)))</f>
        <v>0</v>
      </c>
      <c r="P233" s="593">
        <f ca="1">$E233*(-SUMIF(INDIRECT(P$3),'Struktur Aktuell'!$D233,INDIRECT(P$4))+SUMIF(INDIRECT(P$3),'Struktur Aktuell'!$D233,INDIRECT(P$5)))</f>
        <v>0</v>
      </c>
      <c r="Q233" s="593">
        <f ca="1">$E233*(-SUMIF(INDIRECT(Q$3),'Struktur Aktuell'!$D233,INDIRECT(Q$4))+SUMIF(INDIRECT(Q$3),'Struktur Aktuell'!$D233,INDIRECT(Q$5)))</f>
        <v>0</v>
      </c>
      <c r="R233" s="593">
        <f ca="1">$E233*(-SUMIF(INDIRECT(R$3),'Struktur Aktuell'!$D233,INDIRECT(R$4))+SUMIF(INDIRECT(R$3),'Struktur Aktuell'!$D233,INDIRECT(R$5)))</f>
        <v>0</v>
      </c>
      <c r="S233" s="593">
        <f ca="1">$E233*(-SUMIF(INDIRECT(S$3),'Struktur Aktuell'!$D233,INDIRECT(S$4))+SUMIF(INDIRECT(S$3),'Struktur Aktuell'!$D233,INDIRECT(S$5)))</f>
        <v>0</v>
      </c>
      <c r="T233" s="593">
        <f ca="1">$E233*(-SUMIF(INDIRECT(T$3),'Struktur Aktuell'!$D233,INDIRECT(T$4))+SUMIF(INDIRECT(T$3),'Struktur Aktuell'!$D233,INDIRECT(T$5)))</f>
        <v>0</v>
      </c>
      <c r="U233" s="593">
        <f ca="1">$E233*(-SUMIF(INDIRECT(U$3),'Struktur Aktuell'!$D233,INDIRECT(U$4))+SUMIF(INDIRECT(U$3),'Struktur Aktuell'!$D233,INDIRECT(U$5)))</f>
        <v>0</v>
      </c>
      <c r="V233" s="593">
        <f ca="1">$E233*(-SUMIF(INDIRECT(V$3),'Struktur Aktuell'!$D233,INDIRECT(V$4))+SUMIF(INDIRECT(V$3),'Struktur Aktuell'!$D233,INDIRECT(V$5)))</f>
        <v>0</v>
      </c>
      <c r="W233" s="593">
        <f ca="1">$E233*(-SUMIF(INDIRECT(W$3),'Struktur Aktuell'!$D233,INDIRECT(W$4))+SUMIF(INDIRECT(W$3),'Struktur Aktuell'!$D233,INDIRECT(W$5)))</f>
        <v>0</v>
      </c>
      <c r="X233" s="593">
        <f ca="1">$E233*(-SUMIF(INDIRECT(X$3),'Struktur Aktuell'!$D233,INDIRECT(X$4))+SUMIF(INDIRECT(X$3),'Struktur Aktuell'!$D233,INDIRECT(X$5)))</f>
        <v>0</v>
      </c>
      <c r="Y233" s="593">
        <f ca="1">$E233*(-SUMIF(INDIRECT(Y$3),'Struktur Aktuell'!$D233,INDIRECT(Y$4))+SUMIF(INDIRECT(Y$3),'Struktur Aktuell'!$D233,INDIRECT(Y$5)))</f>
        <v>0</v>
      </c>
      <c r="Z233" s="593">
        <f ca="1">$E233*(-SUMIF(INDIRECT(Z$3),'Struktur Aktuell'!$D233,INDIRECT(Z$4))+SUMIF(INDIRECT(Z$3),'Struktur Aktuell'!$D233,INDIRECT(Z$5)))</f>
        <v>0</v>
      </c>
      <c r="AA233" s="593">
        <f ca="1">$E233*(-SUMIF(INDIRECT(AA$3),'Struktur Aktuell'!$D233,INDIRECT(AA$4))+SUMIF(INDIRECT(AA$3),'Struktur Aktuell'!$D233,INDIRECT(AA$5)))</f>
        <v>0</v>
      </c>
      <c r="AB233" s="593">
        <f ca="1">$E233*(-SUMIF(INDIRECT(AB$3),'Struktur Aktuell'!$D233,INDIRECT(AB$4))+SUMIF(INDIRECT(AB$3),'Struktur Aktuell'!$D233,INDIRECT(AB$5)))</f>
        <v>0</v>
      </c>
      <c r="AC233" s="593">
        <f ca="1">$E233*(-SUMIF(INDIRECT(AC$3),'Struktur Aktuell'!$D233,INDIRECT(AC$4))+SUMIF(INDIRECT(AC$3),'Struktur Aktuell'!$D233,INDIRECT(AC$5)))</f>
        <v>0</v>
      </c>
      <c r="AD233" s="593">
        <f ca="1">$E233*(-SUMIF(INDIRECT(AD$3),'Struktur Aktuell'!$D233,INDIRECT(AD$4))+SUMIF(INDIRECT(AD$3),'Struktur Aktuell'!$D233,INDIRECT(AD$5)))</f>
        <v>0</v>
      </c>
      <c r="AE233" s="593">
        <f t="shared" ca="1" si="325"/>
        <v>0</v>
      </c>
      <c r="AF233" s="593">
        <f t="shared" ca="1" si="326"/>
        <v>0</v>
      </c>
      <c r="AG233" s="593">
        <f t="shared" ca="1" si="327"/>
        <v>0</v>
      </c>
      <c r="AH233" s="593">
        <f t="shared" ca="1" si="328"/>
        <v>0</v>
      </c>
      <c r="AI233" s="593">
        <f t="shared" ca="1" si="329"/>
        <v>0</v>
      </c>
      <c r="AJ233" s="593">
        <f t="shared" ca="1" si="330"/>
        <v>0</v>
      </c>
      <c r="AK233" s="593">
        <f t="shared" ca="1" si="331"/>
        <v>0</v>
      </c>
      <c r="AL233" s="593">
        <f t="shared" ca="1" si="332"/>
        <v>0</v>
      </c>
      <c r="AM233" s="593">
        <f t="shared" ca="1" si="333"/>
        <v>0</v>
      </c>
      <c r="AN233" s="593">
        <f t="shared" ca="1" si="334"/>
        <v>0</v>
      </c>
      <c r="AO233" s="593">
        <f t="shared" ca="1" si="335"/>
        <v>0</v>
      </c>
      <c r="AP233" s="593">
        <f t="shared" ca="1" si="336"/>
        <v>0</v>
      </c>
    </row>
    <row r="234" spans="1:42" s="594" customFormat="1" ht="11.25" outlineLevel="1" x14ac:dyDescent="0.2">
      <c r="A234" s="590"/>
      <c r="B234" s="591" t="str">
        <f>IF(D234&lt;&gt;"",
IF(ISERROR(MATCH(D234,'Ist Aktuell Monat 01'!A:A,0))=FALSE,INDEX('Ist Aktuell Monat 01'!B:B,MATCH(D234,'Ist Aktuell Monat 01'!A:A,0)),
IF(ISERROR(MATCH(D234,'Ist Aktuell Monat 02'!A:A,0))=FALSE,INDEX('Ist Aktuell Monat 02'!B:B,MATCH(D234,'Ist Aktuell Monat 02'!A:A,0)),
IF(ISERROR(MATCH(D234,'Ist Aktuell Monat 03'!A:A,0))=FALSE,INDEX('Ist Aktuell Monat 03'!B:B,MATCH(D234,'Ist Aktuell Monat 03'!A:A,0)),
IF(ISERROR(MATCH(D234,'Ist Aktuell Monat 04'!A:A,0))=FALSE,INDEX('Ist Aktuell Monat 04'!B:B,MATCH(D234,'Ist Aktuell Monat 04'!A:A,0)),
IF(ISERROR(MATCH(D234,'Ist Aktuell Monat 05'!A:A,0))=FALSE,INDEX('Ist Aktuell Monat 05'!B:B,MATCH(D234,'Ist Aktuell Monat 05'!A:A,0)),
IF(ISERROR(MATCH(D234,'Ist Aktuell Monat 06'!A:A,0))=FALSE,INDEX('Ist Aktuell Monat 06'!B:B,MATCH(D234,'Ist Aktuell Monat 06'!A:A,0)),
IF(ISERROR(MATCH(D234,'Ist Aktuell Monat 07'!A:A,0))=FALSE,INDEX('Ist Aktuell Monat 07'!B:B,MATCH(D234,'Ist Aktuell Monat 07'!A:A,0)),
IF(ISERROR(MATCH(D234,'Ist Aktuell Monat 08'!A:A,0))=FALSE,INDEX('Ist Aktuell Monat 08'!B:B,MATCH(D234,'Ist Aktuell Monat 08'!A:A,0)),
IF(ISERROR(MATCH(D234,'Ist Aktuell Monat 09'!A:A,0))=FALSE,INDEX('Ist Aktuell Monat 09'!B:B,MATCH(D234,'Ist Aktuell Monat 09'!A:A,0)),
IF(ISERROR(MATCH(D234,'Ist Aktuell Monat 10'!A:A,0))=FALSE,INDEX('Ist Aktuell Monat 10'!B:B,MATCH(D234,'Ist Aktuell Monat 10'!A:A,0)),
IF(ISERROR(MATCH(D234,'Ist Aktuell Monat 11'!A:A,0))=FALSE,INDEX('Ist Aktuell Monat 11'!B:B,MATCH(D234,'Ist Aktuell Monat 11'!A:A,0)),
IF(ISERROR(MATCH(D234,'Ist Aktuell Monat 12'!A:A,0))=FALSE,INDEX('Ist Aktuell Monat 12'!B:B,MATCH(D234,'Ist Aktuell Monat 12'!A:A,0)),
"{Konto unbekannt}"
)))))))))))),"")</f>
        <v/>
      </c>
      <c r="C234" s="591"/>
      <c r="D234" s="590"/>
      <c r="E234" s="592">
        <f t="shared" si="308"/>
        <v>1</v>
      </c>
      <c r="F234" s="590"/>
      <c r="G234" s="593">
        <f ca="1">$E234*(-SUMIF(INDIRECT(G$3),'Struktur Aktuell'!$D234,INDIRECT(G$4))+SUMIF(INDIRECT(G$3),'Struktur Aktuell'!$D234,INDIRECT(G$5)))</f>
        <v>0</v>
      </c>
      <c r="H234" s="593">
        <f ca="1">$E234*(-SUMIF(INDIRECT(H$3),'Struktur Aktuell'!$D234,INDIRECT(H$4))+SUMIF(INDIRECT(H$3),'Struktur Aktuell'!$D234,INDIRECT(H$5)))</f>
        <v>0</v>
      </c>
      <c r="I234" s="593">
        <f ca="1">$E234*(-SUMIF(INDIRECT(I$3),'Struktur Aktuell'!$D234,INDIRECT(I$4))+SUMIF(INDIRECT(I$3),'Struktur Aktuell'!$D234,INDIRECT(I$5)))</f>
        <v>0</v>
      </c>
      <c r="J234" s="593">
        <f ca="1">$E234*(-SUMIF(INDIRECT(J$3),'Struktur Aktuell'!$D234,INDIRECT(J$4))+SUMIF(INDIRECT(J$3),'Struktur Aktuell'!$D234,INDIRECT(J$5)))</f>
        <v>0</v>
      </c>
      <c r="K234" s="593">
        <f ca="1">$E234*(-SUMIF(INDIRECT(K$3),'Struktur Aktuell'!$D234,INDIRECT(K$4))+SUMIF(INDIRECT(K$3),'Struktur Aktuell'!$D234,INDIRECT(K$5)))</f>
        <v>0</v>
      </c>
      <c r="L234" s="593">
        <f ca="1">$E234*(-SUMIF(INDIRECT(L$3),'Struktur Aktuell'!$D234,INDIRECT(L$4))+SUMIF(INDIRECT(L$3),'Struktur Aktuell'!$D234,INDIRECT(L$5)))</f>
        <v>0</v>
      </c>
      <c r="M234" s="593">
        <f ca="1">$E234*(-SUMIF(INDIRECT(M$3),'Struktur Aktuell'!$D234,INDIRECT(M$4))+SUMIF(INDIRECT(M$3),'Struktur Aktuell'!$D234,INDIRECT(M$5)))</f>
        <v>0</v>
      </c>
      <c r="N234" s="593">
        <f ca="1">$E234*(-SUMIF(INDIRECT(N$3),'Struktur Aktuell'!$D234,INDIRECT(N$4))+SUMIF(INDIRECT(N$3),'Struktur Aktuell'!$D234,INDIRECT(N$5)))</f>
        <v>0</v>
      </c>
      <c r="O234" s="593">
        <f ca="1">$E234*(-SUMIF(INDIRECT(O$3),'Struktur Aktuell'!$D234,INDIRECT(O$4))+SUMIF(INDIRECT(O$3),'Struktur Aktuell'!$D234,INDIRECT(O$5)))</f>
        <v>0</v>
      </c>
      <c r="P234" s="593">
        <f ca="1">$E234*(-SUMIF(INDIRECT(P$3),'Struktur Aktuell'!$D234,INDIRECT(P$4))+SUMIF(INDIRECT(P$3),'Struktur Aktuell'!$D234,INDIRECT(P$5)))</f>
        <v>0</v>
      </c>
      <c r="Q234" s="593">
        <f ca="1">$E234*(-SUMIF(INDIRECT(Q$3),'Struktur Aktuell'!$D234,INDIRECT(Q$4))+SUMIF(INDIRECT(Q$3),'Struktur Aktuell'!$D234,INDIRECT(Q$5)))</f>
        <v>0</v>
      </c>
      <c r="R234" s="593">
        <f ca="1">$E234*(-SUMIF(INDIRECT(R$3),'Struktur Aktuell'!$D234,INDIRECT(R$4))+SUMIF(INDIRECT(R$3),'Struktur Aktuell'!$D234,INDIRECT(R$5)))</f>
        <v>0</v>
      </c>
      <c r="S234" s="593">
        <f ca="1">$E234*(-SUMIF(INDIRECT(S$3),'Struktur Aktuell'!$D234,INDIRECT(S$4))+SUMIF(INDIRECT(S$3),'Struktur Aktuell'!$D234,INDIRECT(S$5)))</f>
        <v>0</v>
      </c>
      <c r="T234" s="593">
        <f ca="1">$E234*(-SUMIF(INDIRECT(T$3),'Struktur Aktuell'!$D234,INDIRECT(T$4))+SUMIF(INDIRECT(T$3),'Struktur Aktuell'!$D234,INDIRECT(T$5)))</f>
        <v>0</v>
      </c>
      <c r="U234" s="593">
        <f ca="1">$E234*(-SUMIF(INDIRECT(U$3),'Struktur Aktuell'!$D234,INDIRECT(U$4))+SUMIF(INDIRECT(U$3),'Struktur Aktuell'!$D234,INDIRECT(U$5)))</f>
        <v>0</v>
      </c>
      <c r="V234" s="593">
        <f ca="1">$E234*(-SUMIF(INDIRECT(V$3),'Struktur Aktuell'!$D234,INDIRECT(V$4))+SUMIF(INDIRECT(V$3),'Struktur Aktuell'!$D234,INDIRECT(V$5)))</f>
        <v>0</v>
      </c>
      <c r="W234" s="593">
        <f ca="1">$E234*(-SUMIF(INDIRECT(W$3),'Struktur Aktuell'!$D234,INDIRECT(W$4))+SUMIF(INDIRECT(W$3),'Struktur Aktuell'!$D234,INDIRECT(W$5)))</f>
        <v>0</v>
      </c>
      <c r="X234" s="593">
        <f ca="1">$E234*(-SUMIF(INDIRECT(X$3),'Struktur Aktuell'!$D234,INDIRECT(X$4))+SUMIF(INDIRECT(X$3),'Struktur Aktuell'!$D234,INDIRECT(X$5)))</f>
        <v>0</v>
      </c>
      <c r="Y234" s="593">
        <f ca="1">$E234*(-SUMIF(INDIRECT(Y$3),'Struktur Aktuell'!$D234,INDIRECT(Y$4))+SUMIF(INDIRECT(Y$3),'Struktur Aktuell'!$D234,INDIRECT(Y$5)))</f>
        <v>0</v>
      </c>
      <c r="Z234" s="593">
        <f ca="1">$E234*(-SUMIF(INDIRECT(Z$3),'Struktur Aktuell'!$D234,INDIRECT(Z$4))+SUMIF(INDIRECT(Z$3),'Struktur Aktuell'!$D234,INDIRECT(Z$5)))</f>
        <v>0</v>
      </c>
      <c r="AA234" s="593">
        <f ca="1">$E234*(-SUMIF(INDIRECT(AA$3),'Struktur Aktuell'!$D234,INDIRECT(AA$4))+SUMIF(INDIRECT(AA$3),'Struktur Aktuell'!$D234,INDIRECT(AA$5)))</f>
        <v>0</v>
      </c>
      <c r="AB234" s="593">
        <f ca="1">$E234*(-SUMIF(INDIRECT(AB$3),'Struktur Aktuell'!$D234,INDIRECT(AB$4))+SUMIF(INDIRECT(AB$3),'Struktur Aktuell'!$D234,INDIRECT(AB$5)))</f>
        <v>0</v>
      </c>
      <c r="AC234" s="593">
        <f ca="1">$E234*(-SUMIF(INDIRECT(AC$3),'Struktur Aktuell'!$D234,INDIRECT(AC$4))+SUMIF(INDIRECT(AC$3),'Struktur Aktuell'!$D234,INDIRECT(AC$5)))</f>
        <v>0</v>
      </c>
      <c r="AD234" s="593">
        <f ca="1">$E234*(-SUMIF(INDIRECT(AD$3),'Struktur Aktuell'!$D234,INDIRECT(AD$4))+SUMIF(INDIRECT(AD$3),'Struktur Aktuell'!$D234,INDIRECT(AD$5)))</f>
        <v>0</v>
      </c>
      <c r="AE234" s="593">
        <f t="shared" ca="1" si="325"/>
        <v>0</v>
      </c>
      <c r="AF234" s="593">
        <f t="shared" ca="1" si="326"/>
        <v>0</v>
      </c>
      <c r="AG234" s="593">
        <f t="shared" ca="1" si="327"/>
        <v>0</v>
      </c>
      <c r="AH234" s="593">
        <f t="shared" ca="1" si="328"/>
        <v>0</v>
      </c>
      <c r="AI234" s="593">
        <f t="shared" ca="1" si="329"/>
        <v>0</v>
      </c>
      <c r="AJ234" s="593">
        <f t="shared" ca="1" si="330"/>
        <v>0</v>
      </c>
      <c r="AK234" s="593">
        <f t="shared" ca="1" si="331"/>
        <v>0</v>
      </c>
      <c r="AL234" s="593">
        <f t="shared" ca="1" si="332"/>
        <v>0</v>
      </c>
      <c r="AM234" s="593">
        <f t="shared" ca="1" si="333"/>
        <v>0</v>
      </c>
      <c r="AN234" s="593">
        <f t="shared" ca="1" si="334"/>
        <v>0</v>
      </c>
      <c r="AO234" s="593">
        <f t="shared" ca="1" si="335"/>
        <v>0</v>
      </c>
      <c r="AP234" s="593">
        <f t="shared" ca="1" si="336"/>
        <v>0</v>
      </c>
    </row>
    <row r="235" spans="1:42" s="594" customFormat="1" ht="11.25" outlineLevel="1" x14ac:dyDescent="0.2">
      <c r="A235" s="590"/>
      <c r="B235" s="591" t="str">
        <f>IF(D235&lt;&gt;"",
IF(ISERROR(MATCH(D235,'Ist Aktuell Monat 01'!A:A,0))=FALSE,INDEX('Ist Aktuell Monat 01'!B:B,MATCH(D235,'Ist Aktuell Monat 01'!A:A,0)),
IF(ISERROR(MATCH(D235,'Ist Aktuell Monat 02'!A:A,0))=FALSE,INDEX('Ist Aktuell Monat 02'!B:B,MATCH(D235,'Ist Aktuell Monat 02'!A:A,0)),
IF(ISERROR(MATCH(D235,'Ist Aktuell Monat 03'!A:A,0))=FALSE,INDEX('Ist Aktuell Monat 03'!B:B,MATCH(D235,'Ist Aktuell Monat 03'!A:A,0)),
IF(ISERROR(MATCH(D235,'Ist Aktuell Monat 04'!A:A,0))=FALSE,INDEX('Ist Aktuell Monat 04'!B:B,MATCH(D235,'Ist Aktuell Monat 04'!A:A,0)),
IF(ISERROR(MATCH(D235,'Ist Aktuell Monat 05'!A:A,0))=FALSE,INDEX('Ist Aktuell Monat 05'!B:B,MATCH(D235,'Ist Aktuell Monat 05'!A:A,0)),
IF(ISERROR(MATCH(D235,'Ist Aktuell Monat 06'!A:A,0))=FALSE,INDEX('Ist Aktuell Monat 06'!B:B,MATCH(D235,'Ist Aktuell Monat 06'!A:A,0)),
IF(ISERROR(MATCH(D235,'Ist Aktuell Monat 07'!A:A,0))=FALSE,INDEX('Ist Aktuell Monat 07'!B:B,MATCH(D235,'Ist Aktuell Monat 07'!A:A,0)),
IF(ISERROR(MATCH(D235,'Ist Aktuell Monat 08'!A:A,0))=FALSE,INDEX('Ist Aktuell Monat 08'!B:B,MATCH(D235,'Ist Aktuell Monat 08'!A:A,0)),
IF(ISERROR(MATCH(D235,'Ist Aktuell Monat 09'!A:A,0))=FALSE,INDEX('Ist Aktuell Monat 09'!B:B,MATCH(D235,'Ist Aktuell Monat 09'!A:A,0)),
IF(ISERROR(MATCH(D235,'Ist Aktuell Monat 10'!A:A,0))=FALSE,INDEX('Ist Aktuell Monat 10'!B:B,MATCH(D235,'Ist Aktuell Monat 10'!A:A,0)),
IF(ISERROR(MATCH(D235,'Ist Aktuell Monat 11'!A:A,0))=FALSE,INDEX('Ist Aktuell Monat 11'!B:B,MATCH(D235,'Ist Aktuell Monat 11'!A:A,0)),
IF(ISERROR(MATCH(D235,'Ist Aktuell Monat 12'!A:A,0))=FALSE,INDEX('Ist Aktuell Monat 12'!B:B,MATCH(D235,'Ist Aktuell Monat 12'!A:A,0)),
"{Konto unbekannt}"
)))))))))))),"")</f>
        <v/>
      </c>
      <c r="C235" s="591"/>
      <c r="D235" s="590"/>
      <c r="E235" s="592">
        <f t="shared" si="308"/>
        <v>1</v>
      </c>
      <c r="F235" s="590"/>
      <c r="G235" s="593">
        <f ca="1">$E235*(-SUMIF(INDIRECT(G$3),'Struktur Aktuell'!$D235,INDIRECT(G$4))+SUMIF(INDIRECT(G$3),'Struktur Aktuell'!$D235,INDIRECT(G$5)))</f>
        <v>0</v>
      </c>
      <c r="H235" s="593">
        <f ca="1">$E235*(-SUMIF(INDIRECT(H$3),'Struktur Aktuell'!$D235,INDIRECT(H$4))+SUMIF(INDIRECT(H$3),'Struktur Aktuell'!$D235,INDIRECT(H$5)))</f>
        <v>0</v>
      </c>
      <c r="I235" s="593">
        <f ca="1">$E235*(-SUMIF(INDIRECT(I$3),'Struktur Aktuell'!$D235,INDIRECT(I$4))+SUMIF(INDIRECT(I$3),'Struktur Aktuell'!$D235,INDIRECT(I$5)))</f>
        <v>0</v>
      </c>
      <c r="J235" s="593">
        <f ca="1">$E235*(-SUMIF(INDIRECT(J$3),'Struktur Aktuell'!$D235,INDIRECT(J$4))+SUMIF(INDIRECT(J$3),'Struktur Aktuell'!$D235,INDIRECT(J$5)))</f>
        <v>0</v>
      </c>
      <c r="K235" s="593">
        <f ca="1">$E235*(-SUMIF(INDIRECT(K$3),'Struktur Aktuell'!$D235,INDIRECT(K$4))+SUMIF(INDIRECT(K$3),'Struktur Aktuell'!$D235,INDIRECT(K$5)))</f>
        <v>0</v>
      </c>
      <c r="L235" s="593">
        <f ca="1">$E235*(-SUMIF(INDIRECT(L$3),'Struktur Aktuell'!$D235,INDIRECT(L$4))+SUMIF(INDIRECT(L$3),'Struktur Aktuell'!$D235,INDIRECT(L$5)))</f>
        <v>0</v>
      </c>
      <c r="M235" s="593">
        <f ca="1">$E235*(-SUMIF(INDIRECT(M$3),'Struktur Aktuell'!$D235,INDIRECT(M$4))+SUMIF(INDIRECT(M$3),'Struktur Aktuell'!$D235,INDIRECT(M$5)))</f>
        <v>0</v>
      </c>
      <c r="N235" s="593">
        <f ca="1">$E235*(-SUMIF(INDIRECT(N$3),'Struktur Aktuell'!$D235,INDIRECT(N$4))+SUMIF(INDIRECT(N$3),'Struktur Aktuell'!$D235,INDIRECT(N$5)))</f>
        <v>0</v>
      </c>
      <c r="O235" s="593">
        <f ca="1">$E235*(-SUMIF(INDIRECT(O$3),'Struktur Aktuell'!$D235,INDIRECT(O$4))+SUMIF(INDIRECT(O$3),'Struktur Aktuell'!$D235,INDIRECT(O$5)))</f>
        <v>0</v>
      </c>
      <c r="P235" s="593">
        <f ca="1">$E235*(-SUMIF(INDIRECT(P$3),'Struktur Aktuell'!$D235,INDIRECT(P$4))+SUMIF(INDIRECT(P$3),'Struktur Aktuell'!$D235,INDIRECT(P$5)))</f>
        <v>0</v>
      </c>
      <c r="Q235" s="593">
        <f ca="1">$E235*(-SUMIF(INDIRECT(Q$3),'Struktur Aktuell'!$D235,INDIRECT(Q$4))+SUMIF(INDIRECT(Q$3),'Struktur Aktuell'!$D235,INDIRECT(Q$5)))</f>
        <v>0</v>
      </c>
      <c r="R235" s="593">
        <f ca="1">$E235*(-SUMIF(INDIRECT(R$3),'Struktur Aktuell'!$D235,INDIRECT(R$4))+SUMIF(INDIRECT(R$3),'Struktur Aktuell'!$D235,INDIRECT(R$5)))</f>
        <v>0</v>
      </c>
      <c r="S235" s="593">
        <f ca="1">$E235*(-SUMIF(INDIRECT(S$3),'Struktur Aktuell'!$D235,INDIRECT(S$4))+SUMIF(INDIRECT(S$3),'Struktur Aktuell'!$D235,INDIRECT(S$5)))</f>
        <v>0</v>
      </c>
      <c r="T235" s="593">
        <f ca="1">$E235*(-SUMIF(INDIRECT(T$3),'Struktur Aktuell'!$D235,INDIRECT(T$4))+SUMIF(INDIRECT(T$3),'Struktur Aktuell'!$D235,INDIRECT(T$5)))</f>
        <v>0</v>
      </c>
      <c r="U235" s="593">
        <f ca="1">$E235*(-SUMIF(INDIRECT(U$3),'Struktur Aktuell'!$D235,INDIRECT(U$4))+SUMIF(INDIRECT(U$3),'Struktur Aktuell'!$D235,INDIRECT(U$5)))</f>
        <v>0</v>
      </c>
      <c r="V235" s="593">
        <f ca="1">$E235*(-SUMIF(INDIRECT(V$3),'Struktur Aktuell'!$D235,INDIRECT(V$4))+SUMIF(INDIRECT(V$3),'Struktur Aktuell'!$D235,INDIRECT(V$5)))</f>
        <v>0</v>
      </c>
      <c r="W235" s="593">
        <f ca="1">$E235*(-SUMIF(INDIRECT(W$3),'Struktur Aktuell'!$D235,INDIRECT(W$4))+SUMIF(INDIRECT(W$3),'Struktur Aktuell'!$D235,INDIRECT(W$5)))</f>
        <v>0</v>
      </c>
      <c r="X235" s="593">
        <f ca="1">$E235*(-SUMIF(INDIRECT(X$3),'Struktur Aktuell'!$D235,INDIRECT(X$4))+SUMIF(INDIRECT(X$3),'Struktur Aktuell'!$D235,INDIRECT(X$5)))</f>
        <v>0</v>
      </c>
      <c r="Y235" s="593">
        <f ca="1">$E235*(-SUMIF(INDIRECT(Y$3),'Struktur Aktuell'!$D235,INDIRECT(Y$4))+SUMIF(INDIRECT(Y$3),'Struktur Aktuell'!$D235,INDIRECT(Y$5)))</f>
        <v>0</v>
      </c>
      <c r="Z235" s="593">
        <f ca="1">$E235*(-SUMIF(INDIRECT(Z$3),'Struktur Aktuell'!$D235,INDIRECT(Z$4))+SUMIF(INDIRECT(Z$3),'Struktur Aktuell'!$D235,INDIRECT(Z$5)))</f>
        <v>0</v>
      </c>
      <c r="AA235" s="593">
        <f ca="1">$E235*(-SUMIF(INDIRECT(AA$3),'Struktur Aktuell'!$D235,INDIRECT(AA$4))+SUMIF(INDIRECT(AA$3),'Struktur Aktuell'!$D235,INDIRECT(AA$5)))</f>
        <v>0</v>
      </c>
      <c r="AB235" s="593">
        <f ca="1">$E235*(-SUMIF(INDIRECT(AB$3),'Struktur Aktuell'!$D235,INDIRECT(AB$4))+SUMIF(INDIRECT(AB$3),'Struktur Aktuell'!$D235,INDIRECT(AB$5)))</f>
        <v>0</v>
      </c>
      <c r="AC235" s="593">
        <f ca="1">$E235*(-SUMIF(INDIRECT(AC$3),'Struktur Aktuell'!$D235,INDIRECT(AC$4))+SUMIF(INDIRECT(AC$3),'Struktur Aktuell'!$D235,INDIRECT(AC$5)))</f>
        <v>0</v>
      </c>
      <c r="AD235" s="593">
        <f ca="1">$E235*(-SUMIF(INDIRECT(AD$3),'Struktur Aktuell'!$D235,INDIRECT(AD$4))+SUMIF(INDIRECT(AD$3),'Struktur Aktuell'!$D235,INDIRECT(AD$5)))</f>
        <v>0</v>
      </c>
      <c r="AE235" s="593">
        <f t="shared" ca="1" si="325"/>
        <v>0</v>
      </c>
      <c r="AF235" s="593">
        <f t="shared" ca="1" si="326"/>
        <v>0</v>
      </c>
      <c r="AG235" s="593">
        <f t="shared" ca="1" si="327"/>
        <v>0</v>
      </c>
      <c r="AH235" s="593">
        <f t="shared" ca="1" si="328"/>
        <v>0</v>
      </c>
      <c r="AI235" s="593">
        <f t="shared" ca="1" si="329"/>
        <v>0</v>
      </c>
      <c r="AJ235" s="593">
        <f t="shared" ca="1" si="330"/>
        <v>0</v>
      </c>
      <c r="AK235" s="593">
        <f t="shared" ca="1" si="331"/>
        <v>0</v>
      </c>
      <c r="AL235" s="593">
        <f t="shared" ca="1" si="332"/>
        <v>0</v>
      </c>
      <c r="AM235" s="593">
        <f t="shared" ca="1" si="333"/>
        <v>0</v>
      </c>
      <c r="AN235" s="593">
        <f t="shared" ca="1" si="334"/>
        <v>0</v>
      </c>
      <c r="AO235" s="593">
        <f t="shared" ca="1" si="335"/>
        <v>0</v>
      </c>
      <c r="AP235" s="593">
        <f t="shared" ca="1" si="336"/>
        <v>0</v>
      </c>
    </row>
    <row r="236" spans="1:42" s="594" customFormat="1" ht="11.25" outlineLevel="1" x14ac:dyDescent="0.2">
      <c r="A236" s="590"/>
      <c r="B236" s="591" t="str">
        <f>IF(D236&lt;&gt;"",
IF(ISERROR(MATCH(D236,'Ist Aktuell Monat 01'!A:A,0))=FALSE,INDEX('Ist Aktuell Monat 01'!B:B,MATCH(D236,'Ist Aktuell Monat 01'!A:A,0)),
IF(ISERROR(MATCH(D236,'Ist Aktuell Monat 02'!A:A,0))=FALSE,INDEX('Ist Aktuell Monat 02'!B:B,MATCH(D236,'Ist Aktuell Monat 02'!A:A,0)),
IF(ISERROR(MATCH(D236,'Ist Aktuell Monat 03'!A:A,0))=FALSE,INDEX('Ist Aktuell Monat 03'!B:B,MATCH(D236,'Ist Aktuell Monat 03'!A:A,0)),
IF(ISERROR(MATCH(D236,'Ist Aktuell Monat 04'!A:A,0))=FALSE,INDEX('Ist Aktuell Monat 04'!B:B,MATCH(D236,'Ist Aktuell Monat 04'!A:A,0)),
IF(ISERROR(MATCH(D236,'Ist Aktuell Monat 05'!A:A,0))=FALSE,INDEX('Ist Aktuell Monat 05'!B:B,MATCH(D236,'Ist Aktuell Monat 05'!A:A,0)),
IF(ISERROR(MATCH(D236,'Ist Aktuell Monat 06'!A:A,0))=FALSE,INDEX('Ist Aktuell Monat 06'!B:B,MATCH(D236,'Ist Aktuell Monat 06'!A:A,0)),
IF(ISERROR(MATCH(D236,'Ist Aktuell Monat 07'!A:A,0))=FALSE,INDEX('Ist Aktuell Monat 07'!B:B,MATCH(D236,'Ist Aktuell Monat 07'!A:A,0)),
IF(ISERROR(MATCH(D236,'Ist Aktuell Monat 08'!A:A,0))=FALSE,INDEX('Ist Aktuell Monat 08'!B:B,MATCH(D236,'Ist Aktuell Monat 08'!A:A,0)),
IF(ISERROR(MATCH(D236,'Ist Aktuell Monat 09'!A:A,0))=FALSE,INDEX('Ist Aktuell Monat 09'!B:B,MATCH(D236,'Ist Aktuell Monat 09'!A:A,0)),
IF(ISERROR(MATCH(D236,'Ist Aktuell Monat 10'!A:A,0))=FALSE,INDEX('Ist Aktuell Monat 10'!B:B,MATCH(D236,'Ist Aktuell Monat 10'!A:A,0)),
IF(ISERROR(MATCH(D236,'Ist Aktuell Monat 11'!A:A,0))=FALSE,INDEX('Ist Aktuell Monat 11'!B:B,MATCH(D236,'Ist Aktuell Monat 11'!A:A,0)),
IF(ISERROR(MATCH(D236,'Ist Aktuell Monat 12'!A:A,0))=FALSE,INDEX('Ist Aktuell Monat 12'!B:B,MATCH(D236,'Ist Aktuell Monat 12'!A:A,0)),
"{Konto unbekannt}"
)))))))))))),"")</f>
        <v/>
      </c>
      <c r="C236" s="591"/>
      <c r="D236" s="590"/>
      <c r="E236" s="592">
        <f t="shared" si="308"/>
        <v>1</v>
      </c>
      <c r="F236" s="590"/>
      <c r="G236" s="593">
        <f ca="1">$E236*(-SUMIF(INDIRECT(G$3),'Struktur Aktuell'!$D236,INDIRECT(G$4))+SUMIF(INDIRECT(G$3),'Struktur Aktuell'!$D236,INDIRECT(G$5)))</f>
        <v>0</v>
      </c>
      <c r="H236" s="593">
        <f ca="1">$E236*(-SUMIF(INDIRECT(H$3),'Struktur Aktuell'!$D236,INDIRECT(H$4))+SUMIF(INDIRECT(H$3),'Struktur Aktuell'!$D236,INDIRECT(H$5)))</f>
        <v>0</v>
      </c>
      <c r="I236" s="593">
        <f ca="1">$E236*(-SUMIF(INDIRECT(I$3),'Struktur Aktuell'!$D236,INDIRECT(I$4))+SUMIF(INDIRECT(I$3),'Struktur Aktuell'!$D236,INDIRECT(I$5)))</f>
        <v>0</v>
      </c>
      <c r="J236" s="593">
        <f ca="1">$E236*(-SUMIF(INDIRECT(J$3),'Struktur Aktuell'!$D236,INDIRECT(J$4))+SUMIF(INDIRECT(J$3),'Struktur Aktuell'!$D236,INDIRECT(J$5)))</f>
        <v>0</v>
      </c>
      <c r="K236" s="593">
        <f ca="1">$E236*(-SUMIF(INDIRECT(K$3),'Struktur Aktuell'!$D236,INDIRECT(K$4))+SUMIF(INDIRECT(K$3),'Struktur Aktuell'!$D236,INDIRECT(K$5)))</f>
        <v>0</v>
      </c>
      <c r="L236" s="593">
        <f ca="1">$E236*(-SUMIF(INDIRECT(L$3),'Struktur Aktuell'!$D236,INDIRECT(L$4))+SUMIF(INDIRECT(L$3),'Struktur Aktuell'!$D236,INDIRECT(L$5)))</f>
        <v>0</v>
      </c>
      <c r="M236" s="593">
        <f ca="1">$E236*(-SUMIF(INDIRECT(M$3),'Struktur Aktuell'!$D236,INDIRECT(M$4))+SUMIF(INDIRECT(M$3),'Struktur Aktuell'!$D236,INDIRECT(M$5)))</f>
        <v>0</v>
      </c>
      <c r="N236" s="593">
        <f ca="1">$E236*(-SUMIF(INDIRECT(N$3),'Struktur Aktuell'!$D236,INDIRECT(N$4))+SUMIF(INDIRECT(N$3),'Struktur Aktuell'!$D236,INDIRECT(N$5)))</f>
        <v>0</v>
      </c>
      <c r="O236" s="593">
        <f ca="1">$E236*(-SUMIF(INDIRECT(O$3),'Struktur Aktuell'!$D236,INDIRECT(O$4))+SUMIF(INDIRECT(O$3),'Struktur Aktuell'!$D236,INDIRECT(O$5)))</f>
        <v>0</v>
      </c>
      <c r="P236" s="593">
        <f ca="1">$E236*(-SUMIF(INDIRECT(P$3),'Struktur Aktuell'!$D236,INDIRECT(P$4))+SUMIF(INDIRECT(P$3),'Struktur Aktuell'!$D236,INDIRECT(P$5)))</f>
        <v>0</v>
      </c>
      <c r="Q236" s="593">
        <f ca="1">$E236*(-SUMIF(INDIRECT(Q$3),'Struktur Aktuell'!$D236,INDIRECT(Q$4))+SUMIF(INDIRECT(Q$3),'Struktur Aktuell'!$D236,INDIRECT(Q$5)))</f>
        <v>0</v>
      </c>
      <c r="R236" s="593">
        <f ca="1">$E236*(-SUMIF(INDIRECT(R$3),'Struktur Aktuell'!$D236,INDIRECT(R$4))+SUMIF(INDIRECT(R$3),'Struktur Aktuell'!$D236,INDIRECT(R$5)))</f>
        <v>0</v>
      </c>
      <c r="S236" s="593">
        <f ca="1">$E236*(-SUMIF(INDIRECT(S$3),'Struktur Aktuell'!$D236,INDIRECT(S$4))+SUMIF(INDIRECT(S$3),'Struktur Aktuell'!$D236,INDIRECT(S$5)))</f>
        <v>0</v>
      </c>
      <c r="T236" s="593">
        <f ca="1">$E236*(-SUMIF(INDIRECT(T$3),'Struktur Aktuell'!$D236,INDIRECT(T$4))+SUMIF(INDIRECT(T$3),'Struktur Aktuell'!$D236,INDIRECT(T$5)))</f>
        <v>0</v>
      </c>
      <c r="U236" s="593">
        <f ca="1">$E236*(-SUMIF(INDIRECT(U$3),'Struktur Aktuell'!$D236,INDIRECT(U$4))+SUMIF(INDIRECT(U$3),'Struktur Aktuell'!$D236,INDIRECT(U$5)))</f>
        <v>0</v>
      </c>
      <c r="V236" s="593">
        <f ca="1">$E236*(-SUMIF(INDIRECT(V$3),'Struktur Aktuell'!$D236,INDIRECT(V$4))+SUMIF(INDIRECT(V$3),'Struktur Aktuell'!$D236,INDIRECT(V$5)))</f>
        <v>0</v>
      </c>
      <c r="W236" s="593">
        <f ca="1">$E236*(-SUMIF(INDIRECT(W$3),'Struktur Aktuell'!$D236,INDIRECT(W$4))+SUMIF(INDIRECT(W$3),'Struktur Aktuell'!$D236,INDIRECT(W$5)))</f>
        <v>0</v>
      </c>
      <c r="X236" s="593">
        <f ca="1">$E236*(-SUMIF(INDIRECT(X$3),'Struktur Aktuell'!$D236,INDIRECT(X$4))+SUMIF(INDIRECT(X$3),'Struktur Aktuell'!$D236,INDIRECT(X$5)))</f>
        <v>0</v>
      </c>
      <c r="Y236" s="593">
        <f ca="1">$E236*(-SUMIF(INDIRECT(Y$3),'Struktur Aktuell'!$D236,INDIRECT(Y$4))+SUMIF(INDIRECT(Y$3),'Struktur Aktuell'!$D236,INDIRECT(Y$5)))</f>
        <v>0</v>
      </c>
      <c r="Z236" s="593">
        <f ca="1">$E236*(-SUMIF(INDIRECT(Z$3),'Struktur Aktuell'!$D236,INDIRECT(Z$4))+SUMIF(INDIRECT(Z$3),'Struktur Aktuell'!$D236,INDIRECT(Z$5)))</f>
        <v>0</v>
      </c>
      <c r="AA236" s="593">
        <f ca="1">$E236*(-SUMIF(INDIRECT(AA$3),'Struktur Aktuell'!$D236,INDIRECT(AA$4))+SUMIF(INDIRECT(AA$3),'Struktur Aktuell'!$D236,INDIRECT(AA$5)))</f>
        <v>0</v>
      </c>
      <c r="AB236" s="593">
        <f ca="1">$E236*(-SUMIF(INDIRECT(AB$3),'Struktur Aktuell'!$D236,INDIRECT(AB$4))+SUMIF(INDIRECT(AB$3),'Struktur Aktuell'!$D236,INDIRECT(AB$5)))</f>
        <v>0</v>
      </c>
      <c r="AC236" s="593">
        <f ca="1">$E236*(-SUMIF(INDIRECT(AC$3),'Struktur Aktuell'!$D236,INDIRECT(AC$4))+SUMIF(INDIRECT(AC$3),'Struktur Aktuell'!$D236,INDIRECT(AC$5)))</f>
        <v>0</v>
      </c>
      <c r="AD236" s="593">
        <f ca="1">$E236*(-SUMIF(INDIRECT(AD$3),'Struktur Aktuell'!$D236,INDIRECT(AD$4))+SUMIF(INDIRECT(AD$3),'Struktur Aktuell'!$D236,INDIRECT(AD$5)))</f>
        <v>0</v>
      </c>
      <c r="AE236" s="593">
        <f t="shared" ca="1" si="325"/>
        <v>0</v>
      </c>
      <c r="AF236" s="593">
        <f t="shared" ca="1" si="326"/>
        <v>0</v>
      </c>
      <c r="AG236" s="593">
        <f t="shared" ca="1" si="327"/>
        <v>0</v>
      </c>
      <c r="AH236" s="593">
        <f t="shared" ca="1" si="328"/>
        <v>0</v>
      </c>
      <c r="AI236" s="593">
        <f t="shared" ca="1" si="329"/>
        <v>0</v>
      </c>
      <c r="AJ236" s="593">
        <f t="shared" ca="1" si="330"/>
        <v>0</v>
      </c>
      <c r="AK236" s="593">
        <f t="shared" ca="1" si="331"/>
        <v>0</v>
      </c>
      <c r="AL236" s="593">
        <f t="shared" ca="1" si="332"/>
        <v>0</v>
      </c>
      <c r="AM236" s="593">
        <f t="shared" ca="1" si="333"/>
        <v>0</v>
      </c>
      <c r="AN236" s="593">
        <f t="shared" ca="1" si="334"/>
        <v>0</v>
      </c>
      <c r="AO236" s="593">
        <f t="shared" ca="1" si="335"/>
        <v>0</v>
      </c>
      <c r="AP236" s="593">
        <f t="shared" ca="1" si="336"/>
        <v>0</v>
      </c>
    </row>
    <row r="237" spans="1:42" s="594" customFormat="1" ht="11.25" outlineLevel="1" x14ac:dyDescent="0.2">
      <c r="A237" s="590"/>
      <c r="B237" s="591" t="str">
        <f>IF(D237&lt;&gt;"",
IF(ISERROR(MATCH(D237,'Ist Aktuell Monat 01'!A:A,0))=FALSE,INDEX('Ist Aktuell Monat 01'!B:B,MATCH(D237,'Ist Aktuell Monat 01'!A:A,0)),
IF(ISERROR(MATCH(D237,'Ist Aktuell Monat 02'!A:A,0))=FALSE,INDEX('Ist Aktuell Monat 02'!B:B,MATCH(D237,'Ist Aktuell Monat 02'!A:A,0)),
IF(ISERROR(MATCH(D237,'Ist Aktuell Monat 03'!A:A,0))=FALSE,INDEX('Ist Aktuell Monat 03'!B:B,MATCH(D237,'Ist Aktuell Monat 03'!A:A,0)),
IF(ISERROR(MATCH(D237,'Ist Aktuell Monat 04'!A:A,0))=FALSE,INDEX('Ist Aktuell Monat 04'!B:B,MATCH(D237,'Ist Aktuell Monat 04'!A:A,0)),
IF(ISERROR(MATCH(D237,'Ist Aktuell Monat 05'!A:A,0))=FALSE,INDEX('Ist Aktuell Monat 05'!B:B,MATCH(D237,'Ist Aktuell Monat 05'!A:A,0)),
IF(ISERROR(MATCH(D237,'Ist Aktuell Monat 06'!A:A,0))=FALSE,INDEX('Ist Aktuell Monat 06'!B:B,MATCH(D237,'Ist Aktuell Monat 06'!A:A,0)),
IF(ISERROR(MATCH(D237,'Ist Aktuell Monat 07'!A:A,0))=FALSE,INDEX('Ist Aktuell Monat 07'!B:B,MATCH(D237,'Ist Aktuell Monat 07'!A:A,0)),
IF(ISERROR(MATCH(D237,'Ist Aktuell Monat 08'!A:A,0))=FALSE,INDEX('Ist Aktuell Monat 08'!B:B,MATCH(D237,'Ist Aktuell Monat 08'!A:A,0)),
IF(ISERROR(MATCH(D237,'Ist Aktuell Monat 09'!A:A,0))=FALSE,INDEX('Ist Aktuell Monat 09'!B:B,MATCH(D237,'Ist Aktuell Monat 09'!A:A,0)),
IF(ISERROR(MATCH(D237,'Ist Aktuell Monat 10'!A:A,0))=FALSE,INDEX('Ist Aktuell Monat 10'!B:B,MATCH(D237,'Ist Aktuell Monat 10'!A:A,0)),
IF(ISERROR(MATCH(D237,'Ist Aktuell Monat 11'!A:A,0))=FALSE,INDEX('Ist Aktuell Monat 11'!B:B,MATCH(D237,'Ist Aktuell Monat 11'!A:A,0)),
IF(ISERROR(MATCH(D237,'Ist Aktuell Monat 12'!A:A,0))=FALSE,INDEX('Ist Aktuell Monat 12'!B:B,MATCH(D237,'Ist Aktuell Monat 12'!A:A,0)),
"{Konto unbekannt}"
)))))))))))),"")</f>
        <v/>
      </c>
      <c r="C237" s="591"/>
      <c r="D237" s="590"/>
      <c r="E237" s="592">
        <f t="shared" si="308"/>
        <v>1</v>
      </c>
      <c r="F237" s="590"/>
      <c r="G237" s="593">
        <f ca="1">$E237*(-SUMIF(INDIRECT(G$3),'Struktur Aktuell'!$D237,INDIRECT(G$4))+SUMIF(INDIRECT(G$3),'Struktur Aktuell'!$D237,INDIRECT(G$5)))</f>
        <v>0</v>
      </c>
      <c r="H237" s="593">
        <f ca="1">$E237*(-SUMIF(INDIRECT(H$3),'Struktur Aktuell'!$D237,INDIRECT(H$4))+SUMIF(INDIRECT(H$3),'Struktur Aktuell'!$D237,INDIRECT(H$5)))</f>
        <v>0</v>
      </c>
      <c r="I237" s="593">
        <f ca="1">$E237*(-SUMIF(INDIRECT(I$3),'Struktur Aktuell'!$D237,INDIRECT(I$4))+SUMIF(INDIRECT(I$3),'Struktur Aktuell'!$D237,INDIRECT(I$5)))</f>
        <v>0</v>
      </c>
      <c r="J237" s="593">
        <f ca="1">$E237*(-SUMIF(INDIRECT(J$3),'Struktur Aktuell'!$D237,INDIRECT(J$4))+SUMIF(INDIRECT(J$3),'Struktur Aktuell'!$D237,INDIRECT(J$5)))</f>
        <v>0</v>
      </c>
      <c r="K237" s="593">
        <f ca="1">$E237*(-SUMIF(INDIRECT(K$3),'Struktur Aktuell'!$D237,INDIRECT(K$4))+SUMIF(INDIRECT(K$3),'Struktur Aktuell'!$D237,INDIRECT(K$5)))</f>
        <v>0</v>
      </c>
      <c r="L237" s="593">
        <f ca="1">$E237*(-SUMIF(INDIRECT(L$3),'Struktur Aktuell'!$D237,INDIRECT(L$4))+SUMIF(INDIRECT(L$3),'Struktur Aktuell'!$D237,INDIRECT(L$5)))</f>
        <v>0</v>
      </c>
      <c r="M237" s="593">
        <f ca="1">$E237*(-SUMIF(INDIRECT(M$3),'Struktur Aktuell'!$D237,INDIRECT(M$4))+SUMIF(INDIRECT(M$3),'Struktur Aktuell'!$D237,INDIRECT(M$5)))</f>
        <v>0</v>
      </c>
      <c r="N237" s="593">
        <f ca="1">$E237*(-SUMIF(INDIRECT(N$3),'Struktur Aktuell'!$D237,INDIRECT(N$4))+SUMIF(INDIRECT(N$3),'Struktur Aktuell'!$D237,INDIRECT(N$5)))</f>
        <v>0</v>
      </c>
      <c r="O237" s="593">
        <f ca="1">$E237*(-SUMIF(INDIRECT(O$3),'Struktur Aktuell'!$D237,INDIRECT(O$4))+SUMIF(INDIRECT(O$3),'Struktur Aktuell'!$D237,INDIRECT(O$5)))</f>
        <v>0</v>
      </c>
      <c r="P237" s="593">
        <f ca="1">$E237*(-SUMIF(INDIRECT(P$3),'Struktur Aktuell'!$D237,INDIRECT(P$4))+SUMIF(INDIRECT(P$3),'Struktur Aktuell'!$D237,INDIRECT(P$5)))</f>
        <v>0</v>
      </c>
      <c r="Q237" s="593">
        <f ca="1">$E237*(-SUMIF(INDIRECT(Q$3),'Struktur Aktuell'!$D237,INDIRECT(Q$4))+SUMIF(INDIRECT(Q$3),'Struktur Aktuell'!$D237,INDIRECT(Q$5)))</f>
        <v>0</v>
      </c>
      <c r="R237" s="593">
        <f ca="1">$E237*(-SUMIF(INDIRECT(R$3),'Struktur Aktuell'!$D237,INDIRECT(R$4))+SUMIF(INDIRECT(R$3),'Struktur Aktuell'!$D237,INDIRECT(R$5)))</f>
        <v>0</v>
      </c>
      <c r="S237" s="593">
        <f ca="1">$E237*(-SUMIF(INDIRECT(S$3),'Struktur Aktuell'!$D237,INDIRECT(S$4))+SUMIF(INDIRECT(S$3),'Struktur Aktuell'!$D237,INDIRECT(S$5)))</f>
        <v>0</v>
      </c>
      <c r="T237" s="593">
        <f ca="1">$E237*(-SUMIF(INDIRECT(T$3),'Struktur Aktuell'!$D237,INDIRECT(T$4))+SUMIF(INDIRECT(T$3),'Struktur Aktuell'!$D237,INDIRECT(T$5)))</f>
        <v>0</v>
      </c>
      <c r="U237" s="593">
        <f ca="1">$E237*(-SUMIF(INDIRECT(U$3),'Struktur Aktuell'!$D237,INDIRECT(U$4))+SUMIF(INDIRECT(U$3),'Struktur Aktuell'!$D237,INDIRECT(U$5)))</f>
        <v>0</v>
      </c>
      <c r="V237" s="593">
        <f ca="1">$E237*(-SUMIF(INDIRECT(V$3),'Struktur Aktuell'!$D237,INDIRECT(V$4))+SUMIF(INDIRECT(V$3),'Struktur Aktuell'!$D237,INDIRECT(V$5)))</f>
        <v>0</v>
      </c>
      <c r="W237" s="593">
        <f ca="1">$E237*(-SUMIF(INDIRECT(W$3),'Struktur Aktuell'!$D237,INDIRECT(W$4))+SUMIF(INDIRECT(W$3),'Struktur Aktuell'!$D237,INDIRECT(W$5)))</f>
        <v>0</v>
      </c>
      <c r="X237" s="593">
        <f ca="1">$E237*(-SUMIF(INDIRECT(X$3),'Struktur Aktuell'!$D237,INDIRECT(X$4))+SUMIF(INDIRECT(X$3),'Struktur Aktuell'!$D237,INDIRECT(X$5)))</f>
        <v>0</v>
      </c>
      <c r="Y237" s="593">
        <f ca="1">$E237*(-SUMIF(INDIRECT(Y$3),'Struktur Aktuell'!$D237,INDIRECT(Y$4))+SUMIF(INDIRECT(Y$3),'Struktur Aktuell'!$D237,INDIRECT(Y$5)))</f>
        <v>0</v>
      </c>
      <c r="Z237" s="593">
        <f ca="1">$E237*(-SUMIF(INDIRECT(Z$3),'Struktur Aktuell'!$D237,INDIRECT(Z$4))+SUMIF(INDIRECT(Z$3),'Struktur Aktuell'!$D237,INDIRECT(Z$5)))</f>
        <v>0</v>
      </c>
      <c r="AA237" s="593">
        <f ca="1">$E237*(-SUMIF(INDIRECT(AA$3),'Struktur Aktuell'!$D237,INDIRECT(AA$4))+SUMIF(INDIRECT(AA$3),'Struktur Aktuell'!$D237,INDIRECT(AA$5)))</f>
        <v>0</v>
      </c>
      <c r="AB237" s="593">
        <f ca="1">$E237*(-SUMIF(INDIRECT(AB$3),'Struktur Aktuell'!$D237,INDIRECT(AB$4))+SUMIF(INDIRECT(AB$3),'Struktur Aktuell'!$D237,INDIRECT(AB$5)))</f>
        <v>0</v>
      </c>
      <c r="AC237" s="593">
        <f ca="1">$E237*(-SUMIF(INDIRECT(AC$3),'Struktur Aktuell'!$D237,INDIRECT(AC$4))+SUMIF(INDIRECT(AC$3),'Struktur Aktuell'!$D237,INDIRECT(AC$5)))</f>
        <v>0</v>
      </c>
      <c r="AD237" s="593">
        <f ca="1">$E237*(-SUMIF(INDIRECT(AD$3),'Struktur Aktuell'!$D237,INDIRECT(AD$4))+SUMIF(INDIRECT(AD$3),'Struktur Aktuell'!$D237,INDIRECT(AD$5)))</f>
        <v>0</v>
      </c>
      <c r="AE237" s="593">
        <f t="shared" ca="1" si="325"/>
        <v>0</v>
      </c>
      <c r="AF237" s="593">
        <f t="shared" ca="1" si="326"/>
        <v>0</v>
      </c>
      <c r="AG237" s="593">
        <f t="shared" ca="1" si="327"/>
        <v>0</v>
      </c>
      <c r="AH237" s="593">
        <f t="shared" ca="1" si="328"/>
        <v>0</v>
      </c>
      <c r="AI237" s="593">
        <f t="shared" ca="1" si="329"/>
        <v>0</v>
      </c>
      <c r="AJ237" s="593">
        <f t="shared" ca="1" si="330"/>
        <v>0</v>
      </c>
      <c r="AK237" s="593">
        <f t="shared" ca="1" si="331"/>
        <v>0</v>
      </c>
      <c r="AL237" s="593">
        <f t="shared" ca="1" si="332"/>
        <v>0</v>
      </c>
      <c r="AM237" s="593">
        <f t="shared" ca="1" si="333"/>
        <v>0</v>
      </c>
      <c r="AN237" s="593">
        <f t="shared" ca="1" si="334"/>
        <v>0</v>
      </c>
      <c r="AO237" s="593">
        <f t="shared" ca="1" si="335"/>
        <v>0</v>
      </c>
      <c r="AP237" s="593">
        <f t="shared" ca="1" si="336"/>
        <v>0</v>
      </c>
    </row>
    <row r="238" spans="1:42" s="589" customFormat="1" x14ac:dyDescent="0.2">
      <c r="A238" s="585">
        <v>22</v>
      </c>
      <c r="B238" s="586" t="s">
        <v>268</v>
      </c>
      <c r="C238" s="587">
        <f ca="1">SUM(G238:R238)</f>
        <v>0</v>
      </c>
      <c r="D238" s="587"/>
      <c r="E238" s="588">
        <f t="shared" si="308"/>
        <v>1</v>
      </c>
      <c r="F238" s="585"/>
      <c r="G238" s="587">
        <f t="shared" ref="G238:R238" ca="1" si="337">SUM(G239:G255)</f>
        <v>0</v>
      </c>
      <c r="H238" s="587">
        <f t="shared" ca="1" si="337"/>
        <v>0</v>
      </c>
      <c r="I238" s="587">
        <f t="shared" ca="1" si="337"/>
        <v>0</v>
      </c>
      <c r="J238" s="587">
        <f t="shared" ca="1" si="337"/>
        <v>0</v>
      </c>
      <c r="K238" s="587">
        <f t="shared" ca="1" si="337"/>
        <v>0</v>
      </c>
      <c r="L238" s="587">
        <f t="shared" ca="1" si="337"/>
        <v>0</v>
      </c>
      <c r="M238" s="587">
        <f t="shared" ca="1" si="337"/>
        <v>0</v>
      </c>
      <c r="N238" s="587">
        <f t="shared" ca="1" si="337"/>
        <v>0</v>
      </c>
      <c r="O238" s="587">
        <f t="shared" ca="1" si="337"/>
        <v>0</v>
      </c>
      <c r="P238" s="587">
        <f t="shared" ca="1" si="337"/>
        <v>0</v>
      </c>
      <c r="Q238" s="587">
        <f t="shared" ca="1" si="337"/>
        <v>0</v>
      </c>
      <c r="R238" s="587">
        <f t="shared" ca="1" si="337"/>
        <v>0</v>
      </c>
      <c r="S238" s="587">
        <f t="shared" ref="S238:AP238" ca="1" si="338">SUM(S239:S255)</f>
        <v>0</v>
      </c>
      <c r="T238" s="587">
        <f t="shared" ca="1" si="338"/>
        <v>0</v>
      </c>
      <c r="U238" s="587">
        <f t="shared" ca="1" si="338"/>
        <v>0</v>
      </c>
      <c r="V238" s="587">
        <f t="shared" ca="1" si="338"/>
        <v>0</v>
      </c>
      <c r="W238" s="587">
        <f t="shared" ca="1" si="338"/>
        <v>0</v>
      </c>
      <c r="X238" s="587">
        <f t="shared" ca="1" si="338"/>
        <v>0</v>
      </c>
      <c r="Y238" s="587">
        <f t="shared" ca="1" si="338"/>
        <v>0</v>
      </c>
      <c r="Z238" s="587">
        <f t="shared" ca="1" si="338"/>
        <v>0</v>
      </c>
      <c r="AA238" s="587">
        <f t="shared" ca="1" si="338"/>
        <v>0</v>
      </c>
      <c r="AB238" s="587">
        <f t="shared" ca="1" si="338"/>
        <v>0</v>
      </c>
      <c r="AC238" s="587">
        <f t="shared" ca="1" si="338"/>
        <v>0</v>
      </c>
      <c r="AD238" s="587">
        <f t="shared" ca="1" si="338"/>
        <v>0</v>
      </c>
      <c r="AE238" s="587">
        <f t="shared" ca="1" si="338"/>
        <v>0</v>
      </c>
      <c r="AF238" s="587">
        <f t="shared" ca="1" si="338"/>
        <v>0</v>
      </c>
      <c r="AG238" s="587">
        <f t="shared" ca="1" si="338"/>
        <v>0</v>
      </c>
      <c r="AH238" s="587">
        <f t="shared" ca="1" si="338"/>
        <v>0</v>
      </c>
      <c r="AI238" s="587">
        <f t="shared" ca="1" si="338"/>
        <v>0</v>
      </c>
      <c r="AJ238" s="587">
        <f t="shared" ca="1" si="338"/>
        <v>0</v>
      </c>
      <c r="AK238" s="587">
        <f t="shared" ca="1" si="338"/>
        <v>0</v>
      </c>
      <c r="AL238" s="587">
        <f t="shared" ca="1" si="338"/>
        <v>0</v>
      </c>
      <c r="AM238" s="587">
        <f t="shared" ca="1" si="338"/>
        <v>0</v>
      </c>
      <c r="AN238" s="587">
        <f t="shared" ca="1" si="338"/>
        <v>0</v>
      </c>
      <c r="AO238" s="587">
        <f t="shared" ca="1" si="338"/>
        <v>0</v>
      </c>
      <c r="AP238" s="587">
        <f t="shared" ca="1" si="338"/>
        <v>0</v>
      </c>
    </row>
    <row r="239" spans="1:42" s="594" customFormat="1" ht="11.25" outlineLevel="1" x14ac:dyDescent="0.2">
      <c r="A239" s="590"/>
      <c r="B239" s="591" t="str">
        <f>IF(D239&lt;&gt;"",
IF(ISERROR(MATCH(D239,'Ist Aktuell Monat 01'!A:A,0))=FALSE,INDEX('Ist Aktuell Monat 01'!B:B,MATCH(D239,'Ist Aktuell Monat 01'!A:A,0)),
IF(ISERROR(MATCH(D239,'Ist Aktuell Monat 02'!A:A,0))=FALSE,INDEX('Ist Aktuell Monat 02'!B:B,MATCH(D239,'Ist Aktuell Monat 02'!A:A,0)),
IF(ISERROR(MATCH(D239,'Ist Aktuell Monat 03'!A:A,0))=FALSE,INDEX('Ist Aktuell Monat 03'!B:B,MATCH(D239,'Ist Aktuell Monat 03'!A:A,0)),
IF(ISERROR(MATCH(D239,'Ist Aktuell Monat 04'!A:A,0))=FALSE,INDEX('Ist Aktuell Monat 04'!B:B,MATCH(D239,'Ist Aktuell Monat 04'!A:A,0)),
IF(ISERROR(MATCH(D239,'Ist Aktuell Monat 05'!A:A,0))=FALSE,INDEX('Ist Aktuell Monat 05'!B:B,MATCH(D239,'Ist Aktuell Monat 05'!A:A,0)),
IF(ISERROR(MATCH(D239,'Ist Aktuell Monat 06'!A:A,0))=FALSE,INDEX('Ist Aktuell Monat 06'!B:B,MATCH(D239,'Ist Aktuell Monat 06'!A:A,0)),
IF(ISERROR(MATCH(D239,'Ist Aktuell Monat 07'!A:A,0))=FALSE,INDEX('Ist Aktuell Monat 07'!B:B,MATCH(D239,'Ist Aktuell Monat 07'!A:A,0)),
IF(ISERROR(MATCH(D239,'Ist Aktuell Monat 08'!A:A,0))=FALSE,INDEX('Ist Aktuell Monat 08'!B:B,MATCH(D239,'Ist Aktuell Monat 08'!A:A,0)),
IF(ISERROR(MATCH(D239,'Ist Aktuell Monat 09'!A:A,0))=FALSE,INDEX('Ist Aktuell Monat 09'!B:B,MATCH(D239,'Ist Aktuell Monat 09'!A:A,0)),
IF(ISERROR(MATCH(D239,'Ist Aktuell Monat 10'!A:A,0))=FALSE,INDEX('Ist Aktuell Monat 10'!B:B,MATCH(D239,'Ist Aktuell Monat 10'!A:A,0)),
IF(ISERROR(MATCH(D239,'Ist Aktuell Monat 11'!A:A,0))=FALSE,INDEX('Ist Aktuell Monat 11'!B:B,MATCH(D239,'Ist Aktuell Monat 11'!A:A,0)),
IF(ISERROR(MATCH(D239,'Ist Aktuell Monat 12'!A:A,0))=FALSE,INDEX('Ist Aktuell Monat 12'!B:B,MATCH(D239,'Ist Aktuell Monat 12'!A:A,0)),
"{Konto unbekannt}"
)))))))))))),"")</f>
        <v/>
      </c>
      <c r="C239" s="591"/>
      <c r="D239" s="590"/>
      <c r="E239" s="592">
        <f t="shared" si="308"/>
        <v>1</v>
      </c>
      <c r="F239" s="590"/>
      <c r="G239" s="593">
        <f ca="1">$E239*(-SUMIF(INDIRECT(G$3),'Struktur Aktuell'!$D239,INDIRECT(G$4))+SUMIF(INDIRECT(G$3),'Struktur Aktuell'!$D239,INDIRECT(G$5)))</f>
        <v>0</v>
      </c>
      <c r="H239" s="593">
        <f ca="1">$E239*(-SUMIF(INDIRECT(H$3),'Struktur Aktuell'!$D239,INDIRECT(H$4))+SUMIF(INDIRECT(H$3),'Struktur Aktuell'!$D239,INDIRECT(H$5)))</f>
        <v>0</v>
      </c>
      <c r="I239" s="593">
        <f ca="1">$E239*(-SUMIF(INDIRECT(I$3),'Struktur Aktuell'!$D239,INDIRECT(I$4))+SUMIF(INDIRECT(I$3),'Struktur Aktuell'!$D239,INDIRECT(I$5)))</f>
        <v>0</v>
      </c>
      <c r="J239" s="593">
        <f ca="1">$E239*(-SUMIF(INDIRECT(J$3),'Struktur Aktuell'!$D239,INDIRECT(J$4))+SUMIF(INDIRECT(J$3),'Struktur Aktuell'!$D239,INDIRECT(J$5)))</f>
        <v>0</v>
      </c>
      <c r="K239" s="593">
        <f ca="1">$E239*(-SUMIF(INDIRECT(K$3),'Struktur Aktuell'!$D239,INDIRECT(K$4))+SUMIF(INDIRECT(K$3),'Struktur Aktuell'!$D239,INDIRECT(K$5)))</f>
        <v>0</v>
      </c>
      <c r="L239" s="593">
        <f ca="1">$E239*(-SUMIF(INDIRECT(L$3),'Struktur Aktuell'!$D239,INDIRECT(L$4))+SUMIF(INDIRECT(L$3),'Struktur Aktuell'!$D239,INDIRECT(L$5)))</f>
        <v>0</v>
      </c>
      <c r="M239" s="593">
        <f ca="1">$E239*(-SUMIF(INDIRECT(M$3),'Struktur Aktuell'!$D239,INDIRECT(M$4))+SUMIF(INDIRECT(M$3),'Struktur Aktuell'!$D239,INDIRECT(M$5)))</f>
        <v>0</v>
      </c>
      <c r="N239" s="593">
        <f ca="1">$E239*(-SUMIF(INDIRECT(N$3),'Struktur Aktuell'!$D239,INDIRECT(N$4))+SUMIF(INDIRECT(N$3),'Struktur Aktuell'!$D239,INDIRECT(N$5)))</f>
        <v>0</v>
      </c>
      <c r="O239" s="593">
        <f ca="1">$E239*(-SUMIF(INDIRECT(O$3),'Struktur Aktuell'!$D239,INDIRECT(O$4))+SUMIF(INDIRECT(O$3),'Struktur Aktuell'!$D239,INDIRECT(O$5)))</f>
        <v>0</v>
      </c>
      <c r="P239" s="593">
        <f ca="1">$E239*(-SUMIF(INDIRECT(P$3),'Struktur Aktuell'!$D239,INDIRECT(P$4))+SUMIF(INDIRECT(P$3),'Struktur Aktuell'!$D239,INDIRECT(P$5)))</f>
        <v>0</v>
      </c>
      <c r="Q239" s="593">
        <f ca="1">$E239*(-SUMIF(INDIRECT(Q$3),'Struktur Aktuell'!$D239,INDIRECT(Q$4))+SUMIF(INDIRECT(Q$3),'Struktur Aktuell'!$D239,INDIRECT(Q$5)))</f>
        <v>0</v>
      </c>
      <c r="R239" s="593">
        <f ca="1">$E239*(-SUMIF(INDIRECT(R$3),'Struktur Aktuell'!$D239,INDIRECT(R$4))+SUMIF(INDIRECT(R$3),'Struktur Aktuell'!$D239,INDIRECT(R$5)))</f>
        <v>0</v>
      </c>
      <c r="S239" s="593">
        <f ca="1">$E239*(-SUMIF(INDIRECT(S$3),'Struktur Aktuell'!$D239,INDIRECT(S$4))+SUMIF(INDIRECT(S$3),'Struktur Aktuell'!$D239,INDIRECT(S$5)))</f>
        <v>0</v>
      </c>
      <c r="T239" s="593">
        <f ca="1">$E239*(-SUMIF(INDIRECT(T$3),'Struktur Aktuell'!$D239,INDIRECT(T$4))+SUMIF(INDIRECT(T$3),'Struktur Aktuell'!$D239,INDIRECT(T$5)))</f>
        <v>0</v>
      </c>
      <c r="U239" s="593">
        <f ca="1">$E239*(-SUMIF(INDIRECT(U$3),'Struktur Aktuell'!$D239,INDIRECT(U$4))+SUMIF(INDIRECT(U$3),'Struktur Aktuell'!$D239,INDIRECT(U$5)))</f>
        <v>0</v>
      </c>
      <c r="V239" s="593">
        <f ca="1">$E239*(-SUMIF(INDIRECT(V$3),'Struktur Aktuell'!$D239,INDIRECT(V$4))+SUMIF(INDIRECT(V$3),'Struktur Aktuell'!$D239,INDIRECT(V$5)))</f>
        <v>0</v>
      </c>
      <c r="W239" s="593">
        <f ca="1">$E239*(-SUMIF(INDIRECT(W$3),'Struktur Aktuell'!$D239,INDIRECT(W$4))+SUMIF(INDIRECT(W$3),'Struktur Aktuell'!$D239,INDIRECT(W$5)))</f>
        <v>0</v>
      </c>
      <c r="X239" s="593">
        <f ca="1">$E239*(-SUMIF(INDIRECT(X$3),'Struktur Aktuell'!$D239,INDIRECT(X$4))+SUMIF(INDIRECT(X$3),'Struktur Aktuell'!$D239,INDIRECT(X$5)))</f>
        <v>0</v>
      </c>
      <c r="Y239" s="593">
        <f ca="1">$E239*(-SUMIF(INDIRECT(Y$3),'Struktur Aktuell'!$D239,INDIRECT(Y$4))+SUMIF(INDIRECT(Y$3),'Struktur Aktuell'!$D239,INDIRECT(Y$5)))</f>
        <v>0</v>
      </c>
      <c r="Z239" s="593">
        <f ca="1">$E239*(-SUMIF(INDIRECT(Z$3),'Struktur Aktuell'!$D239,INDIRECT(Z$4))+SUMIF(INDIRECT(Z$3),'Struktur Aktuell'!$D239,INDIRECT(Z$5)))</f>
        <v>0</v>
      </c>
      <c r="AA239" s="593">
        <f ca="1">$E239*(-SUMIF(INDIRECT(AA$3),'Struktur Aktuell'!$D239,INDIRECT(AA$4))+SUMIF(INDIRECT(AA$3),'Struktur Aktuell'!$D239,INDIRECT(AA$5)))</f>
        <v>0</v>
      </c>
      <c r="AB239" s="593">
        <f ca="1">$E239*(-SUMIF(INDIRECT(AB$3),'Struktur Aktuell'!$D239,INDIRECT(AB$4))+SUMIF(INDIRECT(AB$3),'Struktur Aktuell'!$D239,INDIRECT(AB$5)))</f>
        <v>0</v>
      </c>
      <c r="AC239" s="593">
        <f ca="1">$E239*(-SUMIF(INDIRECT(AC$3),'Struktur Aktuell'!$D239,INDIRECT(AC$4))+SUMIF(INDIRECT(AC$3),'Struktur Aktuell'!$D239,INDIRECT(AC$5)))</f>
        <v>0</v>
      </c>
      <c r="AD239" s="593">
        <f ca="1">$E239*(-SUMIF(INDIRECT(AD$3),'Struktur Aktuell'!$D239,INDIRECT(AD$4))+SUMIF(INDIRECT(AD$3),'Struktur Aktuell'!$D239,INDIRECT(AD$5)))</f>
        <v>0</v>
      </c>
      <c r="AE239" s="593">
        <f t="shared" ref="AE239:AE255" ca="1" si="339">G239</f>
        <v>0</v>
      </c>
      <c r="AF239" s="593">
        <f t="shared" ref="AF239:AF255" ca="1" si="340">H239+AE239</f>
        <v>0</v>
      </c>
      <c r="AG239" s="593">
        <f t="shared" ref="AG239:AG255" ca="1" si="341">I239+AF239</f>
        <v>0</v>
      </c>
      <c r="AH239" s="593">
        <f t="shared" ref="AH239:AH255" ca="1" si="342">J239+AG239</f>
        <v>0</v>
      </c>
      <c r="AI239" s="593">
        <f t="shared" ref="AI239:AI255" ca="1" si="343">K239+AH239</f>
        <v>0</v>
      </c>
      <c r="AJ239" s="593">
        <f t="shared" ref="AJ239:AJ255" ca="1" si="344">L239+AI239</f>
        <v>0</v>
      </c>
      <c r="AK239" s="593">
        <f t="shared" ref="AK239:AK255" ca="1" si="345">M239+AJ239</f>
        <v>0</v>
      </c>
      <c r="AL239" s="593">
        <f t="shared" ref="AL239:AL255" ca="1" si="346">N239+AK239</f>
        <v>0</v>
      </c>
      <c r="AM239" s="593">
        <f t="shared" ref="AM239:AM255" ca="1" si="347">O239+AL239</f>
        <v>0</v>
      </c>
      <c r="AN239" s="593">
        <f t="shared" ref="AN239:AN255" ca="1" si="348">P239+AM239</f>
        <v>0</v>
      </c>
      <c r="AO239" s="593">
        <f t="shared" ref="AO239:AO255" ca="1" si="349">Q239+AN239</f>
        <v>0</v>
      </c>
      <c r="AP239" s="593">
        <f t="shared" ref="AP239:AP255" ca="1" si="350">R239+AO239</f>
        <v>0</v>
      </c>
    </row>
    <row r="240" spans="1:42" s="594" customFormat="1" ht="11.25" outlineLevel="1" x14ac:dyDescent="0.2">
      <c r="A240" s="590"/>
      <c r="B240" s="591" t="str">
        <f>IF(D240&lt;&gt;"",
IF(ISERROR(MATCH(D240,'Ist Aktuell Monat 01'!A:A,0))=FALSE,INDEX('Ist Aktuell Monat 01'!B:B,MATCH(D240,'Ist Aktuell Monat 01'!A:A,0)),
IF(ISERROR(MATCH(D240,'Ist Aktuell Monat 02'!A:A,0))=FALSE,INDEX('Ist Aktuell Monat 02'!B:B,MATCH(D240,'Ist Aktuell Monat 02'!A:A,0)),
IF(ISERROR(MATCH(D240,'Ist Aktuell Monat 03'!A:A,0))=FALSE,INDEX('Ist Aktuell Monat 03'!B:B,MATCH(D240,'Ist Aktuell Monat 03'!A:A,0)),
IF(ISERROR(MATCH(D240,'Ist Aktuell Monat 04'!A:A,0))=FALSE,INDEX('Ist Aktuell Monat 04'!B:B,MATCH(D240,'Ist Aktuell Monat 04'!A:A,0)),
IF(ISERROR(MATCH(D240,'Ist Aktuell Monat 05'!A:A,0))=FALSE,INDEX('Ist Aktuell Monat 05'!B:B,MATCH(D240,'Ist Aktuell Monat 05'!A:A,0)),
IF(ISERROR(MATCH(D240,'Ist Aktuell Monat 06'!A:A,0))=FALSE,INDEX('Ist Aktuell Monat 06'!B:B,MATCH(D240,'Ist Aktuell Monat 06'!A:A,0)),
IF(ISERROR(MATCH(D240,'Ist Aktuell Monat 07'!A:A,0))=FALSE,INDEX('Ist Aktuell Monat 07'!B:B,MATCH(D240,'Ist Aktuell Monat 07'!A:A,0)),
IF(ISERROR(MATCH(D240,'Ist Aktuell Monat 08'!A:A,0))=FALSE,INDEX('Ist Aktuell Monat 08'!B:B,MATCH(D240,'Ist Aktuell Monat 08'!A:A,0)),
IF(ISERROR(MATCH(D240,'Ist Aktuell Monat 09'!A:A,0))=FALSE,INDEX('Ist Aktuell Monat 09'!B:B,MATCH(D240,'Ist Aktuell Monat 09'!A:A,0)),
IF(ISERROR(MATCH(D240,'Ist Aktuell Monat 10'!A:A,0))=FALSE,INDEX('Ist Aktuell Monat 10'!B:B,MATCH(D240,'Ist Aktuell Monat 10'!A:A,0)),
IF(ISERROR(MATCH(D240,'Ist Aktuell Monat 11'!A:A,0))=FALSE,INDEX('Ist Aktuell Monat 11'!B:B,MATCH(D240,'Ist Aktuell Monat 11'!A:A,0)),
IF(ISERROR(MATCH(D240,'Ist Aktuell Monat 12'!A:A,0))=FALSE,INDEX('Ist Aktuell Monat 12'!B:B,MATCH(D240,'Ist Aktuell Monat 12'!A:A,0)),
"{Konto unbekannt}"
)))))))))))),"")</f>
        <v/>
      </c>
      <c r="C240" s="591"/>
      <c r="D240" s="590"/>
      <c r="E240" s="592">
        <f t="shared" si="308"/>
        <v>1</v>
      </c>
      <c r="F240" s="590"/>
      <c r="G240" s="593">
        <f ca="1">$E240*(-SUMIF(INDIRECT(G$3),'Struktur Aktuell'!$D240,INDIRECT(G$4))+SUMIF(INDIRECT(G$3),'Struktur Aktuell'!$D240,INDIRECT(G$5)))</f>
        <v>0</v>
      </c>
      <c r="H240" s="593">
        <f ca="1">$E240*(-SUMIF(INDIRECT(H$3),'Struktur Aktuell'!$D240,INDIRECT(H$4))+SUMIF(INDIRECT(H$3),'Struktur Aktuell'!$D240,INDIRECT(H$5)))</f>
        <v>0</v>
      </c>
      <c r="I240" s="593">
        <f ca="1">$E240*(-SUMIF(INDIRECT(I$3),'Struktur Aktuell'!$D240,INDIRECT(I$4))+SUMIF(INDIRECT(I$3),'Struktur Aktuell'!$D240,INDIRECT(I$5)))</f>
        <v>0</v>
      </c>
      <c r="J240" s="593">
        <f ca="1">$E240*(-SUMIF(INDIRECT(J$3),'Struktur Aktuell'!$D240,INDIRECT(J$4))+SUMIF(INDIRECT(J$3),'Struktur Aktuell'!$D240,INDIRECT(J$5)))</f>
        <v>0</v>
      </c>
      <c r="K240" s="593">
        <f ca="1">$E240*(-SUMIF(INDIRECT(K$3),'Struktur Aktuell'!$D240,INDIRECT(K$4))+SUMIF(INDIRECT(K$3),'Struktur Aktuell'!$D240,INDIRECT(K$5)))</f>
        <v>0</v>
      </c>
      <c r="L240" s="593">
        <f ca="1">$E240*(-SUMIF(INDIRECT(L$3),'Struktur Aktuell'!$D240,INDIRECT(L$4))+SUMIF(INDIRECT(L$3),'Struktur Aktuell'!$D240,INDIRECT(L$5)))</f>
        <v>0</v>
      </c>
      <c r="M240" s="593">
        <f ca="1">$E240*(-SUMIF(INDIRECT(M$3),'Struktur Aktuell'!$D240,INDIRECT(M$4))+SUMIF(INDIRECT(M$3),'Struktur Aktuell'!$D240,INDIRECT(M$5)))</f>
        <v>0</v>
      </c>
      <c r="N240" s="593">
        <f ca="1">$E240*(-SUMIF(INDIRECT(N$3),'Struktur Aktuell'!$D240,INDIRECT(N$4))+SUMIF(INDIRECT(N$3),'Struktur Aktuell'!$D240,INDIRECT(N$5)))</f>
        <v>0</v>
      </c>
      <c r="O240" s="593">
        <f ca="1">$E240*(-SUMIF(INDIRECT(O$3),'Struktur Aktuell'!$D240,INDIRECT(O$4))+SUMIF(INDIRECT(O$3),'Struktur Aktuell'!$D240,INDIRECT(O$5)))</f>
        <v>0</v>
      </c>
      <c r="P240" s="593">
        <f ca="1">$E240*(-SUMIF(INDIRECT(P$3),'Struktur Aktuell'!$D240,INDIRECT(P$4))+SUMIF(INDIRECT(P$3),'Struktur Aktuell'!$D240,INDIRECT(P$5)))</f>
        <v>0</v>
      </c>
      <c r="Q240" s="593">
        <f ca="1">$E240*(-SUMIF(INDIRECT(Q$3),'Struktur Aktuell'!$D240,INDIRECT(Q$4))+SUMIF(INDIRECT(Q$3),'Struktur Aktuell'!$D240,INDIRECT(Q$5)))</f>
        <v>0</v>
      </c>
      <c r="R240" s="593">
        <f ca="1">$E240*(-SUMIF(INDIRECT(R$3),'Struktur Aktuell'!$D240,INDIRECT(R$4))+SUMIF(INDIRECT(R$3),'Struktur Aktuell'!$D240,INDIRECT(R$5)))</f>
        <v>0</v>
      </c>
      <c r="S240" s="593">
        <f ca="1">$E240*(-SUMIF(INDIRECT(S$3),'Struktur Aktuell'!$D240,INDIRECT(S$4))+SUMIF(INDIRECT(S$3),'Struktur Aktuell'!$D240,INDIRECT(S$5)))</f>
        <v>0</v>
      </c>
      <c r="T240" s="593">
        <f ca="1">$E240*(-SUMIF(INDIRECT(T$3),'Struktur Aktuell'!$D240,INDIRECT(T$4))+SUMIF(INDIRECT(T$3),'Struktur Aktuell'!$D240,INDIRECT(T$5)))</f>
        <v>0</v>
      </c>
      <c r="U240" s="593">
        <f ca="1">$E240*(-SUMIF(INDIRECT(U$3),'Struktur Aktuell'!$D240,INDIRECT(U$4))+SUMIF(INDIRECT(U$3),'Struktur Aktuell'!$D240,INDIRECT(U$5)))</f>
        <v>0</v>
      </c>
      <c r="V240" s="593">
        <f ca="1">$E240*(-SUMIF(INDIRECT(V$3),'Struktur Aktuell'!$D240,INDIRECT(V$4))+SUMIF(INDIRECT(V$3),'Struktur Aktuell'!$D240,INDIRECT(V$5)))</f>
        <v>0</v>
      </c>
      <c r="W240" s="593">
        <f ca="1">$E240*(-SUMIF(INDIRECT(W$3),'Struktur Aktuell'!$D240,INDIRECT(W$4))+SUMIF(INDIRECT(W$3),'Struktur Aktuell'!$D240,INDIRECT(W$5)))</f>
        <v>0</v>
      </c>
      <c r="X240" s="593">
        <f ca="1">$E240*(-SUMIF(INDIRECT(X$3),'Struktur Aktuell'!$D240,INDIRECT(X$4))+SUMIF(INDIRECT(X$3),'Struktur Aktuell'!$D240,INDIRECT(X$5)))</f>
        <v>0</v>
      </c>
      <c r="Y240" s="593">
        <f ca="1">$E240*(-SUMIF(INDIRECT(Y$3),'Struktur Aktuell'!$D240,INDIRECT(Y$4))+SUMIF(INDIRECT(Y$3),'Struktur Aktuell'!$D240,INDIRECT(Y$5)))</f>
        <v>0</v>
      </c>
      <c r="Z240" s="593">
        <f ca="1">$E240*(-SUMIF(INDIRECT(Z$3),'Struktur Aktuell'!$D240,INDIRECT(Z$4))+SUMIF(INDIRECT(Z$3),'Struktur Aktuell'!$D240,INDIRECT(Z$5)))</f>
        <v>0</v>
      </c>
      <c r="AA240" s="593">
        <f ca="1">$E240*(-SUMIF(INDIRECT(AA$3),'Struktur Aktuell'!$D240,INDIRECT(AA$4))+SUMIF(INDIRECT(AA$3),'Struktur Aktuell'!$D240,INDIRECT(AA$5)))</f>
        <v>0</v>
      </c>
      <c r="AB240" s="593">
        <f ca="1">$E240*(-SUMIF(INDIRECT(AB$3),'Struktur Aktuell'!$D240,INDIRECT(AB$4))+SUMIF(INDIRECT(AB$3),'Struktur Aktuell'!$D240,INDIRECT(AB$5)))</f>
        <v>0</v>
      </c>
      <c r="AC240" s="593">
        <f ca="1">$E240*(-SUMIF(INDIRECT(AC$3),'Struktur Aktuell'!$D240,INDIRECT(AC$4))+SUMIF(INDIRECT(AC$3),'Struktur Aktuell'!$D240,INDIRECT(AC$5)))</f>
        <v>0</v>
      </c>
      <c r="AD240" s="593">
        <f ca="1">$E240*(-SUMIF(INDIRECT(AD$3),'Struktur Aktuell'!$D240,INDIRECT(AD$4))+SUMIF(INDIRECT(AD$3),'Struktur Aktuell'!$D240,INDIRECT(AD$5)))</f>
        <v>0</v>
      </c>
      <c r="AE240" s="593">
        <f t="shared" ca="1" si="339"/>
        <v>0</v>
      </c>
      <c r="AF240" s="593">
        <f t="shared" ca="1" si="340"/>
        <v>0</v>
      </c>
      <c r="AG240" s="593">
        <f t="shared" ca="1" si="341"/>
        <v>0</v>
      </c>
      <c r="AH240" s="593">
        <f t="shared" ca="1" si="342"/>
        <v>0</v>
      </c>
      <c r="AI240" s="593">
        <f t="shared" ca="1" si="343"/>
        <v>0</v>
      </c>
      <c r="AJ240" s="593">
        <f t="shared" ca="1" si="344"/>
        <v>0</v>
      </c>
      <c r="AK240" s="593">
        <f t="shared" ca="1" si="345"/>
        <v>0</v>
      </c>
      <c r="AL240" s="593">
        <f t="shared" ca="1" si="346"/>
        <v>0</v>
      </c>
      <c r="AM240" s="593">
        <f t="shared" ca="1" si="347"/>
        <v>0</v>
      </c>
      <c r="AN240" s="593">
        <f t="shared" ca="1" si="348"/>
        <v>0</v>
      </c>
      <c r="AO240" s="593">
        <f t="shared" ca="1" si="349"/>
        <v>0</v>
      </c>
      <c r="AP240" s="593">
        <f t="shared" ca="1" si="350"/>
        <v>0</v>
      </c>
    </row>
    <row r="241" spans="1:42" s="594" customFormat="1" ht="11.25" outlineLevel="1" x14ac:dyDescent="0.2">
      <c r="A241" s="590"/>
      <c r="B241" s="591" t="str">
        <f>IF(D241&lt;&gt;"",
IF(ISERROR(MATCH(D241,'Ist Aktuell Monat 01'!A:A,0))=FALSE,INDEX('Ist Aktuell Monat 01'!B:B,MATCH(D241,'Ist Aktuell Monat 01'!A:A,0)),
IF(ISERROR(MATCH(D241,'Ist Aktuell Monat 02'!A:A,0))=FALSE,INDEX('Ist Aktuell Monat 02'!B:B,MATCH(D241,'Ist Aktuell Monat 02'!A:A,0)),
IF(ISERROR(MATCH(D241,'Ist Aktuell Monat 03'!A:A,0))=FALSE,INDEX('Ist Aktuell Monat 03'!B:B,MATCH(D241,'Ist Aktuell Monat 03'!A:A,0)),
IF(ISERROR(MATCH(D241,'Ist Aktuell Monat 04'!A:A,0))=FALSE,INDEX('Ist Aktuell Monat 04'!B:B,MATCH(D241,'Ist Aktuell Monat 04'!A:A,0)),
IF(ISERROR(MATCH(D241,'Ist Aktuell Monat 05'!A:A,0))=FALSE,INDEX('Ist Aktuell Monat 05'!B:B,MATCH(D241,'Ist Aktuell Monat 05'!A:A,0)),
IF(ISERROR(MATCH(D241,'Ist Aktuell Monat 06'!A:A,0))=FALSE,INDEX('Ist Aktuell Monat 06'!B:B,MATCH(D241,'Ist Aktuell Monat 06'!A:A,0)),
IF(ISERROR(MATCH(D241,'Ist Aktuell Monat 07'!A:A,0))=FALSE,INDEX('Ist Aktuell Monat 07'!B:B,MATCH(D241,'Ist Aktuell Monat 07'!A:A,0)),
IF(ISERROR(MATCH(D241,'Ist Aktuell Monat 08'!A:A,0))=FALSE,INDEX('Ist Aktuell Monat 08'!B:B,MATCH(D241,'Ist Aktuell Monat 08'!A:A,0)),
IF(ISERROR(MATCH(D241,'Ist Aktuell Monat 09'!A:A,0))=FALSE,INDEX('Ist Aktuell Monat 09'!B:B,MATCH(D241,'Ist Aktuell Monat 09'!A:A,0)),
IF(ISERROR(MATCH(D241,'Ist Aktuell Monat 10'!A:A,0))=FALSE,INDEX('Ist Aktuell Monat 10'!B:B,MATCH(D241,'Ist Aktuell Monat 10'!A:A,0)),
IF(ISERROR(MATCH(D241,'Ist Aktuell Monat 11'!A:A,0))=FALSE,INDEX('Ist Aktuell Monat 11'!B:B,MATCH(D241,'Ist Aktuell Monat 11'!A:A,0)),
IF(ISERROR(MATCH(D241,'Ist Aktuell Monat 12'!A:A,0))=FALSE,INDEX('Ist Aktuell Monat 12'!B:B,MATCH(D241,'Ist Aktuell Monat 12'!A:A,0)),
"{Konto unbekannt}"
)))))))))))),"")</f>
        <v/>
      </c>
      <c r="C241" s="591"/>
      <c r="D241" s="590"/>
      <c r="E241" s="592">
        <f t="shared" si="308"/>
        <v>1</v>
      </c>
      <c r="F241" s="590"/>
      <c r="G241" s="593">
        <f ca="1">$E241*(-SUMIF(INDIRECT(G$3),'Struktur Aktuell'!$D241,INDIRECT(G$4))+SUMIF(INDIRECT(G$3),'Struktur Aktuell'!$D241,INDIRECT(G$5)))</f>
        <v>0</v>
      </c>
      <c r="H241" s="593">
        <f ca="1">$E241*(-SUMIF(INDIRECT(H$3),'Struktur Aktuell'!$D241,INDIRECT(H$4))+SUMIF(INDIRECT(H$3),'Struktur Aktuell'!$D241,INDIRECT(H$5)))</f>
        <v>0</v>
      </c>
      <c r="I241" s="593">
        <f ca="1">$E241*(-SUMIF(INDIRECT(I$3),'Struktur Aktuell'!$D241,INDIRECT(I$4))+SUMIF(INDIRECT(I$3),'Struktur Aktuell'!$D241,INDIRECT(I$5)))</f>
        <v>0</v>
      </c>
      <c r="J241" s="593">
        <f ca="1">$E241*(-SUMIF(INDIRECT(J$3),'Struktur Aktuell'!$D241,INDIRECT(J$4))+SUMIF(INDIRECT(J$3),'Struktur Aktuell'!$D241,INDIRECT(J$5)))</f>
        <v>0</v>
      </c>
      <c r="K241" s="593">
        <f ca="1">$E241*(-SUMIF(INDIRECT(K$3),'Struktur Aktuell'!$D241,INDIRECT(K$4))+SUMIF(INDIRECT(K$3),'Struktur Aktuell'!$D241,INDIRECT(K$5)))</f>
        <v>0</v>
      </c>
      <c r="L241" s="593">
        <f ca="1">$E241*(-SUMIF(INDIRECT(L$3),'Struktur Aktuell'!$D241,INDIRECT(L$4))+SUMIF(INDIRECT(L$3),'Struktur Aktuell'!$D241,INDIRECT(L$5)))</f>
        <v>0</v>
      </c>
      <c r="M241" s="593">
        <f ca="1">$E241*(-SUMIF(INDIRECT(M$3),'Struktur Aktuell'!$D241,INDIRECT(M$4))+SUMIF(INDIRECT(M$3),'Struktur Aktuell'!$D241,INDIRECT(M$5)))</f>
        <v>0</v>
      </c>
      <c r="N241" s="593">
        <f ca="1">$E241*(-SUMIF(INDIRECT(N$3),'Struktur Aktuell'!$D241,INDIRECT(N$4))+SUMIF(INDIRECT(N$3),'Struktur Aktuell'!$D241,INDIRECT(N$5)))</f>
        <v>0</v>
      </c>
      <c r="O241" s="593">
        <f ca="1">$E241*(-SUMIF(INDIRECT(O$3),'Struktur Aktuell'!$D241,INDIRECT(O$4))+SUMIF(INDIRECT(O$3),'Struktur Aktuell'!$D241,INDIRECT(O$5)))</f>
        <v>0</v>
      </c>
      <c r="P241" s="593">
        <f ca="1">$E241*(-SUMIF(INDIRECT(P$3),'Struktur Aktuell'!$D241,INDIRECT(P$4))+SUMIF(INDIRECT(P$3),'Struktur Aktuell'!$D241,INDIRECT(P$5)))</f>
        <v>0</v>
      </c>
      <c r="Q241" s="593">
        <f ca="1">$E241*(-SUMIF(INDIRECT(Q$3),'Struktur Aktuell'!$D241,INDIRECT(Q$4))+SUMIF(INDIRECT(Q$3),'Struktur Aktuell'!$D241,INDIRECT(Q$5)))</f>
        <v>0</v>
      </c>
      <c r="R241" s="593">
        <f ca="1">$E241*(-SUMIF(INDIRECT(R$3),'Struktur Aktuell'!$D241,INDIRECT(R$4))+SUMIF(INDIRECT(R$3),'Struktur Aktuell'!$D241,INDIRECT(R$5)))</f>
        <v>0</v>
      </c>
      <c r="S241" s="593">
        <f ca="1">$E241*(-SUMIF(INDIRECT(S$3),'Struktur Aktuell'!$D241,INDIRECT(S$4))+SUMIF(INDIRECT(S$3),'Struktur Aktuell'!$D241,INDIRECT(S$5)))</f>
        <v>0</v>
      </c>
      <c r="T241" s="593">
        <f ca="1">$E241*(-SUMIF(INDIRECT(T$3),'Struktur Aktuell'!$D241,INDIRECT(T$4))+SUMIF(INDIRECT(T$3),'Struktur Aktuell'!$D241,INDIRECT(T$5)))</f>
        <v>0</v>
      </c>
      <c r="U241" s="593">
        <f ca="1">$E241*(-SUMIF(INDIRECT(U$3),'Struktur Aktuell'!$D241,INDIRECT(U$4))+SUMIF(INDIRECT(U$3),'Struktur Aktuell'!$D241,INDIRECT(U$5)))</f>
        <v>0</v>
      </c>
      <c r="V241" s="593">
        <f ca="1">$E241*(-SUMIF(INDIRECT(V$3),'Struktur Aktuell'!$D241,INDIRECT(V$4))+SUMIF(INDIRECT(V$3),'Struktur Aktuell'!$D241,INDIRECT(V$5)))</f>
        <v>0</v>
      </c>
      <c r="W241" s="593">
        <f ca="1">$E241*(-SUMIF(INDIRECT(W$3),'Struktur Aktuell'!$D241,INDIRECT(W$4))+SUMIF(INDIRECT(W$3),'Struktur Aktuell'!$D241,INDIRECT(W$5)))</f>
        <v>0</v>
      </c>
      <c r="X241" s="593">
        <f ca="1">$E241*(-SUMIF(INDIRECT(X$3),'Struktur Aktuell'!$D241,INDIRECT(X$4))+SUMIF(INDIRECT(X$3),'Struktur Aktuell'!$D241,INDIRECT(X$5)))</f>
        <v>0</v>
      </c>
      <c r="Y241" s="593">
        <f ca="1">$E241*(-SUMIF(INDIRECT(Y$3),'Struktur Aktuell'!$D241,INDIRECT(Y$4))+SUMIF(INDIRECT(Y$3),'Struktur Aktuell'!$D241,INDIRECT(Y$5)))</f>
        <v>0</v>
      </c>
      <c r="Z241" s="593">
        <f ca="1">$E241*(-SUMIF(INDIRECT(Z$3),'Struktur Aktuell'!$D241,INDIRECT(Z$4))+SUMIF(INDIRECT(Z$3),'Struktur Aktuell'!$D241,INDIRECT(Z$5)))</f>
        <v>0</v>
      </c>
      <c r="AA241" s="593">
        <f ca="1">$E241*(-SUMIF(INDIRECT(AA$3),'Struktur Aktuell'!$D241,INDIRECT(AA$4))+SUMIF(INDIRECT(AA$3),'Struktur Aktuell'!$D241,INDIRECT(AA$5)))</f>
        <v>0</v>
      </c>
      <c r="AB241" s="593">
        <f ca="1">$E241*(-SUMIF(INDIRECT(AB$3),'Struktur Aktuell'!$D241,INDIRECT(AB$4))+SUMIF(INDIRECT(AB$3),'Struktur Aktuell'!$D241,INDIRECT(AB$5)))</f>
        <v>0</v>
      </c>
      <c r="AC241" s="593">
        <f ca="1">$E241*(-SUMIF(INDIRECT(AC$3),'Struktur Aktuell'!$D241,INDIRECT(AC$4))+SUMIF(INDIRECT(AC$3),'Struktur Aktuell'!$D241,INDIRECT(AC$5)))</f>
        <v>0</v>
      </c>
      <c r="AD241" s="593">
        <f ca="1">$E241*(-SUMIF(INDIRECT(AD$3),'Struktur Aktuell'!$D241,INDIRECT(AD$4))+SUMIF(INDIRECT(AD$3),'Struktur Aktuell'!$D241,INDIRECT(AD$5)))</f>
        <v>0</v>
      </c>
      <c r="AE241" s="593">
        <f t="shared" ca="1" si="339"/>
        <v>0</v>
      </c>
      <c r="AF241" s="593">
        <f t="shared" ca="1" si="340"/>
        <v>0</v>
      </c>
      <c r="AG241" s="593">
        <f t="shared" ca="1" si="341"/>
        <v>0</v>
      </c>
      <c r="AH241" s="593">
        <f t="shared" ca="1" si="342"/>
        <v>0</v>
      </c>
      <c r="AI241" s="593">
        <f t="shared" ca="1" si="343"/>
        <v>0</v>
      </c>
      <c r="AJ241" s="593">
        <f t="shared" ca="1" si="344"/>
        <v>0</v>
      </c>
      <c r="AK241" s="593">
        <f t="shared" ca="1" si="345"/>
        <v>0</v>
      </c>
      <c r="AL241" s="593">
        <f t="shared" ca="1" si="346"/>
        <v>0</v>
      </c>
      <c r="AM241" s="593">
        <f t="shared" ca="1" si="347"/>
        <v>0</v>
      </c>
      <c r="AN241" s="593">
        <f t="shared" ca="1" si="348"/>
        <v>0</v>
      </c>
      <c r="AO241" s="593">
        <f t="shared" ca="1" si="349"/>
        <v>0</v>
      </c>
      <c r="AP241" s="593">
        <f t="shared" ca="1" si="350"/>
        <v>0</v>
      </c>
    </row>
    <row r="242" spans="1:42" s="594" customFormat="1" ht="11.25" outlineLevel="1" x14ac:dyDescent="0.2">
      <c r="A242" s="590"/>
      <c r="B242" s="591" t="str">
        <f>IF(D242&lt;&gt;"",
IF(ISERROR(MATCH(D242,'Ist Aktuell Monat 01'!A:A,0))=FALSE,INDEX('Ist Aktuell Monat 01'!B:B,MATCH(D242,'Ist Aktuell Monat 01'!A:A,0)),
IF(ISERROR(MATCH(D242,'Ist Aktuell Monat 02'!A:A,0))=FALSE,INDEX('Ist Aktuell Monat 02'!B:B,MATCH(D242,'Ist Aktuell Monat 02'!A:A,0)),
IF(ISERROR(MATCH(D242,'Ist Aktuell Monat 03'!A:A,0))=FALSE,INDEX('Ist Aktuell Monat 03'!B:B,MATCH(D242,'Ist Aktuell Monat 03'!A:A,0)),
IF(ISERROR(MATCH(D242,'Ist Aktuell Monat 04'!A:A,0))=FALSE,INDEX('Ist Aktuell Monat 04'!B:B,MATCH(D242,'Ist Aktuell Monat 04'!A:A,0)),
IF(ISERROR(MATCH(D242,'Ist Aktuell Monat 05'!A:A,0))=FALSE,INDEX('Ist Aktuell Monat 05'!B:B,MATCH(D242,'Ist Aktuell Monat 05'!A:A,0)),
IF(ISERROR(MATCH(D242,'Ist Aktuell Monat 06'!A:A,0))=FALSE,INDEX('Ist Aktuell Monat 06'!B:B,MATCH(D242,'Ist Aktuell Monat 06'!A:A,0)),
IF(ISERROR(MATCH(D242,'Ist Aktuell Monat 07'!A:A,0))=FALSE,INDEX('Ist Aktuell Monat 07'!B:B,MATCH(D242,'Ist Aktuell Monat 07'!A:A,0)),
IF(ISERROR(MATCH(D242,'Ist Aktuell Monat 08'!A:A,0))=FALSE,INDEX('Ist Aktuell Monat 08'!B:B,MATCH(D242,'Ist Aktuell Monat 08'!A:A,0)),
IF(ISERROR(MATCH(D242,'Ist Aktuell Monat 09'!A:A,0))=FALSE,INDEX('Ist Aktuell Monat 09'!B:B,MATCH(D242,'Ist Aktuell Monat 09'!A:A,0)),
IF(ISERROR(MATCH(D242,'Ist Aktuell Monat 10'!A:A,0))=FALSE,INDEX('Ist Aktuell Monat 10'!B:B,MATCH(D242,'Ist Aktuell Monat 10'!A:A,0)),
IF(ISERROR(MATCH(D242,'Ist Aktuell Monat 11'!A:A,0))=FALSE,INDEX('Ist Aktuell Monat 11'!B:B,MATCH(D242,'Ist Aktuell Monat 11'!A:A,0)),
IF(ISERROR(MATCH(D242,'Ist Aktuell Monat 12'!A:A,0))=FALSE,INDEX('Ist Aktuell Monat 12'!B:B,MATCH(D242,'Ist Aktuell Monat 12'!A:A,0)),
"{Konto unbekannt}"
)))))))))))),"")</f>
        <v/>
      </c>
      <c r="C242" s="591"/>
      <c r="D242" s="590"/>
      <c r="E242" s="592">
        <f t="shared" si="308"/>
        <v>1</v>
      </c>
      <c r="F242" s="590"/>
      <c r="G242" s="593">
        <f ca="1">$E242*(-SUMIF(INDIRECT(G$3),'Struktur Aktuell'!$D242,INDIRECT(G$4))+SUMIF(INDIRECT(G$3),'Struktur Aktuell'!$D242,INDIRECT(G$5)))</f>
        <v>0</v>
      </c>
      <c r="H242" s="593">
        <f ca="1">$E242*(-SUMIF(INDIRECT(H$3),'Struktur Aktuell'!$D242,INDIRECT(H$4))+SUMIF(INDIRECT(H$3),'Struktur Aktuell'!$D242,INDIRECT(H$5)))</f>
        <v>0</v>
      </c>
      <c r="I242" s="593">
        <f ca="1">$E242*(-SUMIF(INDIRECT(I$3),'Struktur Aktuell'!$D242,INDIRECT(I$4))+SUMIF(INDIRECT(I$3),'Struktur Aktuell'!$D242,INDIRECT(I$5)))</f>
        <v>0</v>
      </c>
      <c r="J242" s="593">
        <f ca="1">$E242*(-SUMIF(INDIRECT(J$3),'Struktur Aktuell'!$D242,INDIRECT(J$4))+SUMIF(INDIRECT(J$3),'Struktur Aktuell'!$D242,INDIRECT(J$5)))</f>
        <v>0</v>
      </c>
      <c r="K242" s="593">
        <f ca="1">$E242*(-SUMIF(INDIRECT(K$3),'Struktur Aktuell'!$D242,INDIRECT(K$4))+SUMIF(INDIRECT(K$3),'Struktur Aktuell'!$D242,INDIRECT(K$5)))</f>
        <v>0</v>
      </c>
      <c r="L242" s="593">
        <f ca="1">$E242*(-SUMIF(INDIRECT(L$3),'Struktur Aktuell'!$D242,INDIRECT(L$4))+SUMIF(INDIRECT(L$3),'Struktur Aktuell'!$D242,INDIRECT(L$5)))</f>
        <v>0</v>
      </c>
      <c r="M242" s="593">
        <f ca="1">$E242*(-SUMIF(INDIRECT(M$3),'Struktur Aktuell'!$D242,INDIRECT(M$4))+SUMIF(INDIRECT(M$3),'Struktur Aktuell'!$D242,INDIRECT(M$5)))</f>
        <v>0</v>
      </c>
      <c r="N242" s="593">
        <f ca="1">$E242*(-SUMIF(INDIRECT(N$3),'Struktur Aktuell'!$D242,INDIRECT(N$4))+SUMIF(INDIRECT(N$3),'Struktur Aktuell'!$D242,INDIRECT(N$5)))</f>
        <v>0</v>
      </c>
      <c r="O242" s="593">
        <f ca="1">$E242*(-SUMIF(INDIRECT(O$3),'Struktur Aktuell'!$D242,INDIRECT(O$4))+SUMIF(INDIRECT(O$3),'Struktur Aktuell'!$D242,INDIRECT(O$5)))</f>
        <v>0</v>
      </c>
      <c r="P242" s="593">
        <f ca="1">$E242*(-SUMIF(INDIRECT(P$3),'Struktur Aktuell'!$D242,INDIRECT(P$4))+SUMIF(INDIRECT(P$3),'Struktur Aktuell'!$D242,INDIRECT(P$5)))</f>
        <v>0</v>
      </c>
      <c r="Q242" s="593">
        <f ca="1">$E242*(-SUMIF(INDIRECT(Q$3),'Struktur Aktuell'!$D242,INDIRECT(Q$4))+SUMIF(INDIRECT(Q$3),'Struktur Aktuell'!$D242,INDIRECT(Q$5)))</f>
        <v>0</v>
      </c>
      <c r="R242" s="593">
        <f ca="1">$E242*(-SUMIF(INDIRECT(R$3),'Struktur Aktuell'!$D242,INDIRECT(R$4))+SUMIF(INDIRECT(R$3),'Struktur Aktuell'!$D242,INDIRECT(R$5)))</f>
        <v>0</v>
      </c>
      <c r="S242" s="593">
        <f ca="1">$E242*(-SUMIF(INDIRECT(S$3),'Struktur Aktuell'!$D242,INDIRECT(S$4))+SUMIF(INDIRECT(S$3),'Struktur Aktuell'!$D242,INDIRECT(S$5)))</f>
        <v>0</v>
      </c>
      <c r="T242" s="593">
        <f ca="1">$E242*(-SUMIF(INDIRECT(T$3),'Struktur Aktuell'!$D242,INDIRECT(T$4))+SUMIF(INDIRECT(T$3),'Struktur Aktuell'!$D242,INDIRECT(T$5)))</f>
        <v>0</v>
      </c>
      <c r="U242" s="593">
        <f ca="1">$E242*(-SUMIF(INDIRECT(U$3),'Struktur Aktuell'!$D242,INDIRECT(U$4))+SUMIF(INDIRECT(U$3),'Struktur Aktuell'!$D242,INDIRECT(U$5)))</f>
        <v>0</v>
      </c>
      <c r="V242" s="593">
        <f ca="1">$E242*(-SUMIF(INDIRECT(V$3),'Struktur Aktuell'!$D242,INDIRECT(V$4))+SUMIF(INDIRECT(V$3),'Struktur Aktuell'!$D242,INDIRECT(V$5)))</f>
        <v>0</v>
      </c>
      <c r="W242" s="593">
        <f ca="1">$E242*(-SUMIF(INDIRECT(W$3),'Struktur Aktuell'!$D242,INDIRECT(W$4))+SUMIF(INDIRECT(W$3),'Struktur Aktuell'!$D242,INDIRECT(W$5)))</f>
        <v>0</v>
      </c>
      <c r="X242" s="593">
        <f ca="1">$E242*(-SUMIF(INDIRECT(X$3),'Struktur Aktuell'!$D242,INDIRECT(X$4))+SUMIF(INDIRECT(X$3),'Struktur Aktuell'!$D242,INDIRECT(X$5)))</f>
        <v>0</v>
      </c>
      <c r="Y242" s="593">
        <f ca="1">$E242*(-SUMIF(INDIRECT(Y$3),'Struktur Aktuell'!$D242,INDIRECT(Y$4))+SUMIF(INDIRECT(Y$3),'Struktur Aktuell'!$D242,INDIRECT(Y$5)))</f>
        <v>0</v>
      </c>
      <c r="Z242" s="593">
        <f ca="1">$E242*(-SUMIF(INDIRECT(Z$3),'Struktur Aktuell'!$D242,INDIRECT(Z$4))+SUMIF(INDIRECT(Z$3),'Struktur Aktuell'!$D242,INDIRECT(Z$5)))</f>
        <v>0</v>
      </c>
      <c r="AA242" s="593">
        <f ca="1">$E242*(-SUMIF(INDIRECT(AA$3),'Struktur Aktuell'!$D242,INDIRECT(AA$4))+SUMIF(INDIRECT(AA$3),'Struktur Aktuell'!$D242,INDIRECT(AA$5)))</f>
        <v>0</v>
      </c>
      <c r="AB242" s="593">
        <f ca="1">$E242*(-SUMIF(INDIRECT(AB$3),'Struktur Aktuell'!$D242,INDIRECT(AB$4))+SUMIF(INDIRECT(AB$3),'Struktur Aktuell'!$D242,INDIRECT(AB$5)))</f>
        <v>0</v>
      </c>
      <c r="AC242" s="593">
        <f ca="1">$E242*(-SUMIF(INDIRECT(AC$3),'Struktur Aktuell'!$D242,INDIRECT(AC$4))+SUMIF(INDIRECT(AC$3),'Struktur Aktuell'!$D242,INDIRECT(AC$5)))</f>
        <v>0</v>
      </c>
      <c r="AD242" s="593">
        <f ca="1">$E242*(-SUMIF(INDIRECT(AD$3),'Struktur Aktuell'!$D242,INDIRECT(AD$4))+SUMIF(INDIRECT(AD$3),'Struktur Aktuell'!$D242,INDIRECT(AD$5)))</f>
        <v>0</v>
      </c>
      <c r="AE242" s="593">
        <f t="shared" ca="1" si="339"/>
        <v>0</v>
      </c>
      <c r="AF242" s="593">
        <f t="shared" ca="1" si="340"/>
        <v>0</v>
      </c>
      <c r="AG242" s="593">
        <f t="shared" ca="1" si="341"/>
        <v>0</v>
      </c>
      <c r="AH242" s="593">
        <f t="shared" ca="1" si="342"/>
        <v>0</v>
      </c>
      <c r="AI242" s="593">
        <f t="shared" ca="1" si="343"/>
        <v>0</v>
      </c>
      <c r="AJ242" s="593">
        <f t="shared" ca="1" si="344"/>
        <v>0</v>
      </c>
      <c r="AK242" s="593">
        <f t="shared" ca="1" si="345"/>
        <v>0</v>
      </c>
      <c r="AL242" s="593">
        <f t="shared" ca="1" si="346"/>
        <v>0</v>
      </c>
      <c r="AM242" s="593">
        <f t="shared" ca="1" si="347"/>
        <v>0</v>
      </c>
      <c r="AN242" s="593">
        <f t="shared" ca="1" si="348"/>
        <v>0</v>
      </c>
      <c r="AO242" s="593">
        <f t="shared" ca="1" si="349"/>
        <v>0</v>
      </c>
      <c r="AP242" s="593">
        <f t="shared" ca="1" si="350"/>
        <v>0</v>
      </c>
    </row>
    <row r="243" spans="1:42" s="594" customFormat="1" ht="11.25" outlineLevel="1" x14ac:dyDescent="0.2">
      <c r="A243" s="590" t="s">
        <v>240</v>
      </c>
      <c r="B243" s="591" t="str">
        <f>IF(D243&lt;&gt;"",
IF(ISERROR(MATCH(D243,'Ist Aktuell Monat 01'!A:A,0))=FALSE,INDEX('Ist Aktuell Monat 01'!B:B,MATCH(D243,'Ist Aktuell Monat 01'!A:A,0)),
IF(ISERROR(MATCH(D243,'Ist Aktuell Monat 02'!A:A,0))=FALSE,INDEX('Ist Aktuell Monat 02'!B:B,MATCH(D243,'Ist Aktuell Monat 02'!A:A,0)),
IF(ISERROR(MATCH(D243,'Ist Aktuell Monat 03'!A:A,0))=FALSE,INDEX('Ist Aktuell Monat 03'!B:B,MATCH(D243,'Ist Aktuell Monat 03'!A:A,0)),
IF(ISERROR(MATCH(D243,'Ist Aktuell Monat 04'!A:A,0))=FALSE,INDEX('Ist Aktuell Monat 04'!B:B,MATCH(D243,'Ist Aktuell Monat 04'!A:A,0)),
IF(ISERROR(MATCH(D243,'Ist Aktuell Monat 05'!A:A,0))=FALSE,INDEX('Ist Aktuell Monat 05'!B:B,MATCH(D243,'Ist Aktuell Monat 05'!A:A,0)),
IF(ISERROR(MATCH(D243,'Ist Aktuell Monat 06'!A:A,0))=FALSE,INDEX('Ist Aktuell Monat 06'!B:B,MATCH(D243,'Ist Aktuell Monat 06'!A:A,0)),
IF(ISERROR(MATCH(D243,'Ist Aktuell Monat 07'!A:A,0))=FALSE,INDEX('Ist Aktuell Monat 07'!B:B,MATCH(D243,'Ist Aktuell Monat 07'!A:A,0)),
IF(ISERROR(MATCH(D243,'Ist Aktuell Monat 08'!A:A,0))=FALSE,INDEX('Ist Aktuell Monat 08'!B:B,MATCH(D243,'Ist Aktuell Monat 08'!A:A,0)),
IF(ISERROR(MATCH(D243,'Ist Aktuell Monat 09'!A:A,0))=FALSE,INDEX('Ist Aktuell Monat 09'!B:B,MATCH(D243,'Ist Aktuell Monat 09'!A:A,0)),
IF(ISERROR(MATCH(D243,'Ist Aktuell Monat 10'!A:A,0))=FALSE,INDEX('Ist Aktuell Monat 10'!B:B,MATCH(D243,'Ist Aktuell Monat 10'!A:A,0)),
IF(ISERROR(MATCH(D243,'Ist Aktuell Monat 11'!A:A,0))=FALSE,INDEX('Ist Aktuell Monat 11'!B:B,MATCH(D243,'Ist Aktuell Monat 11'!A:A,0)),
IF(ISERROR(MATCH(D243,'Ist Aktuell Monat 12'!A:A,0))=FALSE,INDEX('Ist Aktuell Monat 12'!B:B,MATCH(D243,'Ist Aktuell Monat 12'!A:A,0)),
"{Konto unbekannt}"
)))))))))))),"")</f>
        <v/>
      </c>
      <c r="C243" s="591"/>
      <c r="D243" s="590"/>
      <c r="E243" s="592">
        <f t="shared" si="308"/>
        <v>1</v>
      </c>
      <c r="F243" s="590"/>
      <c r="G243" s="593">
        <f ca="1">$E243*(-SUMIF(INDIRECT(G$3),'Struktur Aktuell'!$D243,INDIRECT(G$4))+SUMIF(INDIRECT(G$3),'Struktur Aktuell'!$D243,INDIRECT(G$5)))</f>
        <v>0</v>
      </c>
      <c r="H243" s="593">
        <f ca="1">$E243*(-SUMIF(INDIRECT(H$3),'Struktur Aktuell'!$D243,INDIRECT(H$4))+SUMIF(INDIRECT(H$3),'Struktur Aktuell'!$D243,INDIRECT(H$5)))</f>
        <v>0</v>
      </c>
      <c r="I243" s="593">
        <f ca="1">$E243*(-SUMIF(INDIRECT(I$3),'Struktur Aktuell'!$D243,INDIRECT(I$4))+SUMIF(INDIRECT(I$3),'Struktur Aktuell'!$D243,INDIRECT(I$5)))</f>
        <v>0</v>
      </c>
      <c r="J243" s="593">
        <f ca="1">$E243*(-SUMIF(INDIRECT(J$3),'Struktur Aktuell'!$D243,INDIRECT(J$4))+SUMIF(INDIRECT(J$3),'Struktur Aktuell'!$D243,INDIRECT(J$5)))</f>
        <v>0</v>
      </c>
      <c r="K243" s="593">
        <f ca="1">$E243*(-SUMIF(INDIRECT(K$3),'Struktur Aktuell'!$D243,INDIRECT(K$4))+SUMIF(INDIRECT(K$3),'Struktur Aktuell'!$D243,INDIRECT(K$5)))</f>
        <v>0</v>
      </c>
      <c r="L243" s="593">
        <f ca="1">$E243*(-SUMIF(INDIRECT(L$3),'Struktur Aktuell'!$D243,INDIRECT(L$4))+SUMIF(INDIRECT(L$3),'Struktur Aktuell'!$D243,INDIRECT(L$5)))</f>
        <v>0</v>
      </c>
      <c r="M243" s="593">
        <f ca="1">$E243*(-SUMIF(INDIRECT(M$3),'Struktur Aktuell'!$D243,INDIRECT(M$4))+SUMIF(INDIRECT(M$3),'Struktur Aktuell'!$D243,INDIRECT(M$5)))</f>
        <v>0</v>
      </c>
      <c r="N243" s="593">
        <f ca="1">$E243*(-SUMIF(INDIRECT(N$3),'Struktur Aktuell'!$D243,INDIRECT(N$4))+SUMIF(INDIRECT(N$3),'Struktur Aktuell'!$D243,INDIRECT(N$5)))</f>
        <v>0</v>
      </c>
      <c r="O243" s="593">
        <f ca="1">$E243*(-SUMIF(INDIRECT(O$3),'Struktur Aktuell'!$D243,INDIRECT(O$4))+SUMIF(INDIRECT(O$3),'Struktur Aktuell'!$D243,INDIRECT(O$5)))</f>
        <v>0</v>
      </c>
      <c r="P243" s="593">
        <f ca="1">$E243*(-SUMIF(INDIRECT(P$3),'Struktur Aktuell'!$D243,INDIRECT(P$4))+SUMIF(INDIRECT(P$3),'Struktur Aktuell'!$D243,INDIRECT(P$5)))</f>
        <v>0</v>
      </c>
      <c r="Q243" s="593">
        <f ca="1">$E243*(-SUMIF(INDIRECT(Q$3),'Struktur Aktuell'!$D243,INDIRECT(Q$4))+SUMIF(INDIRECT(Q$3),'Struktur Aktuell'!$D243,INDIRECT(Q$5)))</f>
        <v>0</v>
      </c>
      <c r="R243" s="593">
        <f ca="1">$E243*(-SUMIF(INDIRECT(R$3),'Struktur Aktuell'!$D243,INDIRECT(R$4))+SUMIF(INDIRECT(R$3),'Struktur Aktuell'!$D243,INDIRECT(R$5)))</f>
        <v>0</v>
      </c>
      <c r="S243" s="593">
        <f ca="1">$E243*(-SUMIF(INDIRECT(S$3),'Struktur Aktuell'!$D243,INDIRECT(S$4))+SUMIF(INDIRECT(S$3),'Struktur Aktuell'!$D243,INDIRECT(S$5)))</f>
        <v>0</v>
      </c>
      <c r="T243" s="593">
        <f ca="1">$E243*(-SUMIF(INDIRECT(T$3),'Struktur Aktuell'!$D243,INDIRECT(T$4))+SUMIF(INDIRECT(T$3),'Struktur Aktuell'!$D243,INDIRECT(T$5)))</f>
        <v>0</v>
      </c>
      <c r="U243" s="593">
        <f ca="1">$E243*(-SUMIF(INDIRECT(U$3),'Struktur Aktuell'!$D243,INDIRECT(U$4))+SUMIF(INDIRECT(U$3),'Struktur Aktuell'!$D243,INDIRECT(U$5)))</f>
        <v>0</v>
      </c>
      <c r="V243" s="593">
        <f ca="1">$E243*(-SUMIF(INDIRECT(V$3),'Struktur Aktuell'!$D243,INDIRECT(V$4))+SUMIF(INDIRECT(V$3),'Struktur Aktuell'!$D243,INDIRECT(V$5)))</f>
        <v>0</v>
      </c>
      <c r="W243" s="593">
        <f ca="1">$E243*(-SUMIF(INDIRECT(W$3),'Struktur Aktuell'!$D243,INDIRECT(W$4))+SUMIF(INDIRECT(W$3),'Struktur Aktuell'!$D243,INDIRECT(W$5)))</f>
        <v>0</v>
      </c>
      <c r="X243" s="593">
        <f ca="1">$E243*(-SUMIF(INDIRECT(X$3),'Struktur Aktuell'!$D243,INDIRECT(X$4))+SUMIF(INDIRECT(X$3),'Struktur Aktuell'!$D243,INDIRECT(X$5)))</f>
        <v>0</v>
      </c>
      <c r="Y243" s="593">
        <f ca="1">$E243*(-SUMIF(INDIRECT(Y$3),'Struktur Aktuell'!$D243,INDIRECT(Y$4))+SUMIF(INDIRECT(Y$3),'Struktur Aktuell'!$D243,INDIRECT(Y$5)))</f>
        <v>0</v>
      </c>
      <c r="Z243" s="593">
        <f ca="1">$E243*(-SUMIF(INDIRECT(Z$3),'Struktur Aktuell'!$D243,INDIRECT(Z$4))+SUMIF(INDIRECT(Z$3),'Struktur Aktuell'!$D243,INDIRECT(Z$5)))</f>
        <v>0</v>
      </c>
      <c r="AA243" s="593">
        <f ca="1">$E243*(-SUMIF(INDIRECT(AA$3),'Struktur Aktuell'!$D243,INDIRECT(AA$4))+SUMIF(INDIRECT(AA$3),'Struktur Aktuell'!$D243,INDIRECT(AA$5)))</f>
        <v>0</v>
      </c>
      <c r="AB243" s="593">
        <f ca="1">$E243*(-SUMIF(INDIRECT(AB$3),'Struktur Aktuell'!$D243,INDIRECT(AB$4))+SUMIF(INDIRECT(AB$3),'Struktur Aktuell'!$D243,INDIRECT(AB$5)))</f>
        <v>0</v>
      </c>
      <c r="AC243" s="593">
        <f ca="1">$E243*(-SUMIF(INDIRECT(AC$3),'Struktur Aktuell'!$D243,INDIRECT(AC$4))+SUMIF(INDIRECT(AC$3),'Struktur Aktuell'!$D243,INDIRECT(AC$5)))</f>
        <v>0</v>
      </c>
      <c r="AD243" s="593">
        <f ca="1">$E243*(-SUMIF(INDIRECT(AD$3),'Struktur Aktuell'!$D243,INDIRECT(AD$4))+SUMIF(INDIRECT(AD$3),'Struktur Aktuell'!$D243,INDIRECT(AD$5)))</f>
        <v>0</v>
      </c>
      <c r="AE243" s="593">
        <f t="shared" ca="1" si="339"/>
        <v>0</v>
      </c>
      <c r="AF243" s="593">
        <f t="shared" ca="1" si="340"/>
        <v>0</v>
      </c>
      <c r="AG243" s="593">
        <f t="shared" ca="1" si="341"/>
        <v>0</v>
      </c>
      <c r="AH243" s="593">
        <f t="shared" ca="1" si="342"/>
        <v>0</v>
      </c>
      <c r="AI243" s="593">
        <f t="shared" ca="1" si="343"/>
        <v>0</v>
      </c>
      <c r="AJ243" s="593">
        <f t="shared" ca="1" si="344"/>
        <v>0</v>
      </c>
      <c r="AK243" s="593">
        <f t="shared" ca="1" si="345"/>
        <v>0</v>
      </c>
      <c r="AL243" s="593">
        <f t="shared" ca="1" si="346"/>
        <v>0</v>
      </c>
      <c r="AM243" s="593">
        <f t="shared" ca="1" si="347"/>
        <v>0</v>
      </c>
      <c r="AN243" s="593">
        <f t="shared" ca="1" si="348"/>
        <v>0</v>
      </c>
      <c r="AO243" s="593">
        <f t="shared" ca="1" si="349"/>
        <v>0</v>
      </c>
      <c r="AP243" s="593">
        <f t="shared" ca="1" si="350"/>
        <v>0</v>
      </c>
    </row>
    <row r="244" spans="1:42" s="594" customFormat="1" ht="11.25" outlineLevel="1" x14ac:dyDescent="0.2">
      <c r="A244" s="590"/>
      <c r="B244" s="591" t="str">
        <f>IF(D244&lt;&gt;"",
IF(ISERROR(MATCH(D244,'Ist Aktuell Monat 01'!A:A,0))=FALSE,INDEX('Ist Aktuell Monat 01'!B:B,MATCH(D244,'Ist Aktuell Monat 01'!A:A,0)),
IF(ISERROR(MATCH(D244,'Ist Aktuell Monat 02'!A:A,0))=FALSE,INDEX('Ist Aktuell Monat 02'!B:B,MATCH(D244,'Ist Aktuell Monat 02'!A:A,0)),
IF(ISERROR(MATCH(D244,'Ist Aktuell Monat 03'!A:A,0))=FALSE,INDEX('Ist Aktuell Monat 03'!B:B,MATCH(D244,'Ist Aktuell Monat 03'!A:A,0)),
IF(ISERROR(MATCH(D244,'Ist Aktuell Monat 04'!A:A,0))=FALSE,INDEX('Ist Aktuell Monat 04'!B:B,MATCH(D244,'Ist Aktuell Monat 04'!A:A,0)),
IF(ISERROR(MATCH(D244,'Ist Aktuell Monat 05'!A:A,0))=FALSE,INDEX('Ist Aktuell Monat 05'!B:B,MATCH(D244,'Ist Aktuell Monat 05'!A:A,0)),
IF(ISERROR(MATCH(D244,'Ist Aktuell Monat 06'!A:A,0))=FALSE,INDEX('Ist Aktuell Monat 06'!B:B,MATCH(D244,'Ist Aktuell Monat 06'!A:A,0)),
IF(ISERROR(MATCH(D244,'Ist Aktuell Monat 07'!A:A,0))=FALSE,INDEX('Ist Aktuell Monat 07'!B:B,MATCH(D244,'Ist Aktuell Monat 07'!A:A,0)),
IF(ISERROR(MATCH(D244,'Ist Aktuell Monat 08'!A:A,0))=FALSE,INDEX('Ist Aktuell Monat 08'!B:B,MATCH(D244,'Ist Aktuell Monat 08'!A:A,0)),
IF(ISERROR(MATCH(D244,'Ist Aktuell Monat 09'!A:A,0))=FALSE,INDEX('Ist Aktuell Monat 09'!B:B,MATCH(D244,'Ist Aktuell Monat 09'!A:A,0)),
IF(ISERROR(MATCH(D244,'Ist Aktuell Monat 10'!A:A,0))=FALSE,INDEX('Ist Aktuell Monat 10'!B:B,MATCH(D244,'Ist Aktuell Monat 10'!A:A,0)),
IF(ISERROR(MATCH(D244,'Ist Aktuell Monat 11'!A:A,0))=FALSE,INDEX('Ist Aktuell Monat 11'!B:B,MATCH(D244,'Ist Aktuell Monat 11'!A:A,0)),
IF(ISERROR(MATCH(D244,'Ist Aktuell Monat 12'!A:A,0))=FALSE,INDEX('Ist Aktuell Monat 12'!B:B,MATCH(D244,'Ist Aktuell Monat 12'!A:A,0)),
"{Konto unbekannt}"
)))))))))))),"")</f>
        <v/>
      </c>
      <c r="C244" s="591"/>
      <c r="D244" s="590"/>
      <c r="E244" s="592">
        <f t="shared" si="308"/>
        <v>1</v>
      </c>
      <c r="F244" s="590"/>
      <c r="G244" s="593">
        <f ca="1">$E244*(-SUMIF(INDIRECT(G$3),'Struktur Aktuell'!$D244,INDIRECT(G$4))+SUMIF(INDIRECT(G$3),'Struktur Aktuell'!$D244,INDIRECT(G$5)))</f>
        <v>0</v>
      </c>
      <c r="H244" s="593">
        <f ca="1">$E244*(-SUMIF(INDIRECT(H$3),'Struktur Aktuell'!$D244,INDIRECT(H$4))+SUMIF(INDIRECT(H$3),'Struktur Aktuell'!$D244,INDIRECT(H$5)))</f>
        <v>0</v>
      </c>
      <c r="I244" s="593">
        <f ca="1">$E244*(-SUMIF(INDIRECT(I$3),'Struktur Aktuell'!$D244,INDIRECT(I$4))+SUMIF(INDIRECT(I$3),'Struktur Aktuell'!$D244,INDIRECT(I$5)))</f>
        <v>0</v>
      </c>
      <c r="J244" s="593">
        <f ca="1">$E244*(-SUMIF(INDIRECT(J$3),'Struktur Aktuell'!$D244,INDIRECT(J$4))+SUMIF(INDIRECT(J$3),'Struktur Aktuell'!$D244,INDIRECT(J$5)))</f>
        <v>0</v>
      </c>
      <c r="K244" s="593">
        <f ca="1">$E244*(-SUMIF(INDIRECT(K$3),'Struktur Aktuell'!$D244,INDIRECT(K$4))+SUMIF(INDIRECT(K$3),'Struktur Aktuell'!$D244,INDIRECT(K$5)))</f>
        <v>0</v>
      </c>
      <c r="L244" s="593">
        <f ca="1">$E244*(-SUMIF(INDIRECT(L$3),'Struktur Aktuell'!$D244,INDIRECT(L$4))+SUMIF(INDIRECT(L$3),'Struktur Aktuell'!$D244,INDIRECT(L$5)))</f>
        <v>0</v>
      </c>
      <c r="M244" s="593">
        <f ca="1">$E244*(-SUMIF(INDIRECT(M$3),'Struktur Aktuell'!$D244,INDIRECT(M$4))+SUMIF(INDIRECT(M$3),'Struktur Aktuell'!$D244,INDIRECT(M$5)))</f>
        <v>0</v>
      </c>
      <c r="N244" s="593">
        <f ca="1">$E244*(-SUMIF(INDIRECT(N$3),'Struktur Aktuell'!$D244,INDIRECT(N$4))+SUMIF(INDIRECT(N$3),'Struktur Aktuell'!$D244,INDIRECT(N$5)))</f>
        <v>0</v>
      </c>
      <c r="O244" s="593">
        <f ca="1">$E244*(-SUMIF(INDIRECT(O$3),'Struktur Aktuell'!$D244,INDIRECT(O$4))+SUMIF(INDIRECT(O$3),'Struktur Aktuell'!$D244,INDIRECT(O$5)))</f>
        <v>0</v>
      </c>
      <c r="P244" s="593">
        <f ca="1">$E244*(-SUMIF(INDIRECT(P$3),'Struktur Aktuell'!$D244,INDIRECT(P$4))+SUMIF(INDIRECT(P$3),'Struktur Aktuell'!$D244,INDIRECT(P$5)))</f>
        <v>0</v>
      </c>
      <c r="Q244" s="593">
        <f ca="1">$E244*(-SUMIF(INDIRECT(Q$3),'Struktur Aktuell'!$D244,INDIRECT(Q$4))+SUMIF(INDIRECT(Q$3),'Struktur Aktuell'!$D244,INDIRECT(Q$5)))</f>
        <v>0</v>
      </c>
      <c r="R244" s="593">
        <f ca="1">$E244*(-SUMIF(INDIRECT(R$3),'Struktur Aktuell'!$D244,INDIRECT(R$4))+SUMIF(INDIRECT(R$3),'Struktur Aktuell'!$D244,INDIRECT(R$5)))</f>
        <v>0</v>
      </c>
      <c r="S244" s="593">
        <f ca="1">$E244*(-SUMIF(INDIRECT(S$3),'Struktur Aktuell'!$D244,INDIRECT(S$4))+SUMIF(INDIRECT(S$3),'Struktur Aktuell'!$D244,INDIRECT(S$5)))</f>
        <v>0</v>
      </c>
      <c r="T244" s="593">
        <f ca="1">$E244*(-SUMIF(INDIRECT(T$3),'Struktur Aktuell'!$D244,INDIRECT(T$4))+SUMIF(INDIRECT(T$3),'Struktur Aktuell'!$D244,INDIRECT(T$5)))</f>
        <v>0</v>
      </c>
      <c r="U244" s="593">
        <f ca="1">$E244*(-SUMIF(INDIRECT(U$3),'Struktur Aktuell'!$D244,INDIRECT(U$4))+SUMIF(INDIRECT(U$3),'Struktur Aktuell'!$D244,INDIRECT(U$5)))</f>
        <v>0</v>
      </c>
      <c r="V244" s="593">
        <f ca="1">$E244*(-SUMIF(INDIRECT(V$3),'Struktur Aktuell'!$D244,INDIRECT(V$4))+SUMIF(INDIRECT(V$3),'Struktur Aktuell'!$D244,INDIRECT(V$5)))</f>
        <v>0</v>
      </c>
      <c r="W244" s="593">
        <f ca="1">$E244*(-SUMIF(INDIRECT(W$3),'Struktur Aktuell'!$D244,INDIRECT(W$4))+SUMIF(INDIRECT(W$3),'Struktur Aktuell'!$D244,INDIRECT(W$5)))</f>
        <v>0</v>
      </c>
      <c r="X244" s="593">
        <f ca="1">$E244*(-SUMIF(INDIRECT(X$3),'Struktur Aktuell'!$D244,INDIRECT(X$4))+SUMIF(INDIRECT(X$3),'Struktur Aktuell'!$D244,INDIRECT(X$5)))</f>
        <v>0</v>
      </c>
      <c r="Y244" s="593">
        <f ca="1">$E244*(-SUMIF(INDIRECT(Y$3),'Struktur Aktuell'!$D244,INDIRECT(Y$4))+SUMIF(INDIRECT(Y$3),'Struktur Aktuell'!$D244,INDIRECT(Y$5)))</f>
        <v>0</v>
      </c>
      <c r="Z244" s="593">
        <f ca="1">$E244*(-SUMIF(INDIRECT(Z$3),'Struktur Aktuell'!$D244,INDIRECT(Z$4))+SUMIF(INDIRECT(Z$3),'Struktur Aktuell'!$D244,INDIRECT(Z$5)))</f>
        <v>0</v>
      </c>
      <c r="AA244" s="593">
        <f ca="1">$E244*(-SUMIF(INDIRECT(AA$3),'Struktur Aktuell'!$D244,INDIRECT(AA$4))+SUMIF(INDIRECT(AA$3),'Struktur Aktuell'!$D244,INDIRECT(AA$5)))</f>
        <v>0</v>
      </c>
      <c r="AB244" s="593">
        <f ca="1">$E244*(-SUMIF(INDIRECT(AB$3),'Struktur Aktuell'!$D244,INDIRECT(AB$4))+SUMIF(INDIRECT(AB$3),'Struktur Aktuell'!$D244,INDIRECT(AB$5)))</f>
        <v>0</v>
      </c>
      <c r="AC244" s="593">
        <f ca="1">$E244*(-SUMIF(INDIRECT(AC$3),'Struktur Aktuell'!$D244,INDIRECT(AC$4))+SUMIF(INDIRECT(AC$3),'Struktur Aktuell'!$D244,INDIRECT(AC$5)))</f>
        <v>0</v>
      </c>
      <c r="AD244" s="593">
        <f ca="1">$E244*(-SUMIF(INDIRECT(AD$3),'Struktur Aktuell'!$D244,INDIRECT(AD$4))+SUMIF(INDIRECT(AD$3),'Struktur Aktuell'!$D244,INDIRECT(AD$5)))</f>
        <v>0</v>
      </c>
      <c r="AE244" s="593">
        <f t="shared" ca="1" si="339"/>
        <v>0</v>
      </c>
      <c r="AF244" s="593">
        <f t="shared" ca="1" si="340"/>
        <v>0</v>
      </c>
      <c r="AG244" s="593">
        <f t="shared" ca="1" si="341"/>
        <v>0</v>
      </c>
      <c r="AH244" s="593">
        <f t="shared" ca="1" si="342"/>
        <v>0</v>
      </c>
      <c r="AI244" s="593">
        <f t="shared" ca="1" si="343"/>
        <v>0</v>
      </c>
      <c r="AJ244" s="593">
        <f t="shared" ca="1" si="344"/>
        <v>0</v>
      </c>
      <c r="AK244" s="593">
        <f t="shared" ca="1" si="345"/>
        <v>0</v>
      </c>
      <c r="AL244" s="593">
        <f t="shared" ca="1" si="346"/>
        <v>0</v>
      </c>
      <c r="AM244" s="593">
        <f t="shared" ca="1" si="347"/>
        <v>0</v>
      </c>
      <c r="AN244" s="593">
        <f t="shared" ca="1" si="348"/>
        <v>0</v>
      </c>
      <c r="AO244" s="593">
        <f t="shared" ca="1" si="349"/>
        <v>0</v>
      </c>
      <c r="AP244" s="593">
        <f t="shared" ca="1" si="350"/>
        <v>0</v>
      </c>
    </row>
    <row r="245" spans="1:42" s="594" customFormat="1" ht="11.25" outlineLevel="1" x14ac:dyDescent="0.2">
      <c r="A245" s="590"/>
      <c r="B245" s="591" t="str">
        <f>IF(D245&lt;&gt;"",
IF(ISERROR(MATCH(D245,'Ist Aktuell Monat 01'!A:A,0))=FALSE,INDEX('Ist Aktuell Monat 01'!B:B,MATCH(D245,'Ist Aktuell Monat 01'!A:A,0)),
IF(ISERROR(MATCH(D245,'Ist Aktuell Monat 02'!A:A,0))=FALSE,INDEX('Ist Aktuell Monat 02'!B:B,MATCH(D245,'Ist Aktuell Monat 02'!A:A,0)),
IF(ISERROR(MATCH(D245,'Ist Aktuell Monat 03'!A:A,0))=FALSE,INDEX('Ist Aktuell Monat 03'!B:B,MATCH(D245,'Ist Aktuell Monat 03'!A:A,0)),
IF(ISERROR(MATCH(D245,'Ist Aktuell Monat 04'!A:A,0))=FALSE,INDEX('Ist Aktuell Monat 04'!B:B,MATCH(D245,'Ist Aktuell Monat 04'!A:A,0)),
IF(ISERROR(MATCH(D245,'Ist Aktuell Monat 05'!A:A,0))=FALSE,INDEX('Ist Aktuell Monat 05'!B:B,MATCH(D245,'Ist Aktuell Monat 05'!A:A,0)),
IF(ISERROR(MATCH(D245,'Ist Aktuell Monat 06'!A:A,0))=FALSE,INDEX('Ist Aktuell Monat 06'!B:B,MATCH(D245,'Ist Aktuell Monat 06'!A:A,0)),
IF(ISERROR(MATCH(D245,'Ist Aktuell Monat 07'!A:A,0))=FALSE,INDEX('Ist Aktuell Monat 07'!B:B,MATCH(D245,'Ist Aktuell Monat 07'!A:A,0)),
IF(ISERROR(MATCH(D245,'Ist Aktuell Monat 08'!A:A,0))=FALSE,INDEX('Ist Aktuell Monat 08'!B:B,MATCH(D245,'Ist Aktuell Monat 08'!A:A,0)),
IF(ISERROR(MATCH(D245,'Ist Aktuell Monat 09'!A:A,0))=FALSE,INDEX('Ist Aktuell Monat 09'!B:B,MATCH(D245,'Ist Aktuell Monat 09'!A:A,0)),
IF(ISERROR(MATCH(D245,'Ist Aktuell Monat 10'!A:A,0))=FALSE,INDEX('Ist Aktuell Monat 10'!B:B,MATCH(D245,'Ist Aktuell Monat 10'!A:A,0)),
IF(ISERROR(MATCH(D245,'Ist Aktuell Monat 11'!A:A,0))=FALSE,INDEX('Ist Aktuell Monat 11'!B:B,MATCH(D245,'Ist Aktuell Monat 11'!A:A,0)),
IF(ISERROR(MATCH(D245,'Ist Aktuell Monat 12'!A:A,0))=FALSE,INDEX('Ist Aktuell Monat 12'!B:B,MATCH(D245,'Ist Aktuell Monat 12'!A:A,0)),
"{Konto unbekannt}"
)))))))))))),"")</f>
        <v/>
      </c>
      <c r="C245" s="591"/>
      <c r="D245" s="590"/>
      <c r="E245" s="592">
        <f t="shared" si="308"/>
        <v>1</v>
      </c>
      <c r="F245" s="590"/>
      <c r="G245" s="593">
        <f ca="1">$E245*(-SUMIF(INDIRECT(G$3),'Struktur Aktuell'!$D245,INDIRECT(G$4))+SUMIF(INDIRECT(G$3),'Struktur Aktuell'!$D245,INDIRECT(G$5)))</f>
        <v>0</v>
      </c>
      <c r="H245" s="593">
        <f ca="1">$E245*(-SUMIF(INDIRECT(H$3),'Struktur Aktuell'!$D245,INDIRECT(H$4))+SUMIF(INDIRECT(H$3),'Struktur Aktuell'!$D245,INDIRECT(H$5)))</f>
        <v>0</v>
      </c>
      <c r="I245" s="593">
        <f ca="1">$E245*(-SUMIF(INDIRECT(I$3),'Struktur Aktuell'!$D245,INDIRECT(I$4))+SUMIF(INDIRECT(I$3),'Struktur Aktuell'!$D245,INDIRECT(I$5)))</f>
        <v>0</v>
      </c>
      <c r="J245" s="593">
        <f ca="1">$E245*(-SUMIF(INDIRECT(J$3),'Struktur Aktuell'!$D245,INDIRECT(J$4))+SUMIF(INDIRECT(J$3),'Struktur Aktuell'!$D245,INDIRECT(J$5)))</f>
        <v>0</v>
      </c>
      <c r="K245" s="593">
        <f ca="1">$E245*(-SUMIF(INDIRECT(K$3),'Struktur Aktuell'!$D245,INDIRECT(K$4))+SUMIF(INDIRECT(K$3),'Struktur Aktuell'!$D245,INDIRECT(K$5)))</f>
        <v>0</v>
      </c>
      <c r="L245" s="593">
        <f ca="1">$E245*(-SUMIF(INDIRECT(L$3),'Struktur Aktuell'!$D245,INDIRECT(L$4))+SUMIF(INDIRECT(L$3),'Struktur Aktuell'!$D245,INDIRECT(L$5)))</f>
        <v>0</v>
      </c>
      <c r="M245" s="593">
        <f ca="1">$E245*(-SUMIF(INDIRECT(M$3),'Struktur Aktuell'!$D245,INDIRECT(M$4))+SUMIF(INDIRECT(M$3),'Struktur Aktuell'!$D245,INDIRECT(M$5)))</f>
        <v>0</v>
      </c>
      <c r="N245" s="593">
        <f ca="1">$E245*(-SUMIF(INDIRECT(N$3),'Struktur Aktuell'!$D245,INDIRECT(N$4))+SUMIF(INDIRECT(N$3),'Struktur Aktuell'!$D245,INDIRECT(N$5)))</f>
        <v>0</v>
      </c>
      <c r="O245" s="593">
        <f ca="1">$E245*(-SUMIF(INDIRECT(O$3),'Struktur Aktuell'!$D245,INDIRECT(O$4))+SUMIF(INDIRECT(O$3),'Struktur Aktuell'!$D245,INDIRECT(O$5)))</f>
        <v>0</v>
      </c>
      <c r="P245" s="593">
        <f ca="1">$E245*(-SUMIF(INDIRECT(P$3),'Struktur Aktuell'!$D245,INDIRECT(P$4))+SUMIF(INDIRECT(P$3),'Struktur Aktuell'!$D245,INDIRECT(P$5)))</f>
        <v>0</v>
      </c>
      <c r="Q245" s="593">
        <f ca="1">$E245*(-SUMIF(INDIRECT(Q$3),'Struktur Aktuell'!$D245,INDIRECT(Q$4))+SUMIF(INDIRECT(Q$3),'Struktur Aktuell'!$D245,INDIRECT(Q$5)))</f>
        <v>0</v>
      </c>
      <c r="R245" s="593">
        <f ca="1">$E245*(-SUMIF(INDIRECT(R$3),'Struktur Aktuell'!$D245,INDIRECT(R$4))+SUMIF(INDIRECT(R$3),'Struktur Aktuell'!$D245,INDIRECT(R$5)))</f>
        <v>0</v>
      </c>
      <c r="S245" s="593">
        <f ca="1">$E245*(-SUMIF(INDIRECT(S$3),'Struktur Aktuell'!$D245,INDIRECT(S$4))+SUMIF(INDIRECT(S$3),'Struktur Aktuell'!$D245,INDIRECT(S$5)))</f>
        <v>0</v>
      </c>
      <c r="T245" s="593">
        <f ca="1">$E245*(-SUMIF(INDIRECT(T$3),'Struktur Aktuell'!$D245,INDIRECT(T$4))+SUMIF(INDIRECT(T$3),'Struktur Aktuell'!$D245,INDIRECT(T$5)))</f>
        <v>0</v>
      </c>
      <c r="U245" s="593">
        <f ca="1">$E245*(-SUMIF(INDIRECT(U$3),'Struktur Aktuell'!$D245,INDIRECT(U$4))+SUMIF(INDIRECT(U$3),'Struktur Aktuell'!$D245,INDIRECT(U$5)))</f>
        <v>0</v>
      </c>
      <c r="V245" s="593">
        <f ca="1">$E245*(-SUMIF(INDIRECT(V$3),'Struktur Aktuell'!$D245,INDIRECT(V$4))+SUMIF(INDIRECT(V$3),'Struktur Aktuell'!$D245,INDIRECT(V$5)))</f>
        <v>0</v>
      </c>
      <c r="W245" s="593">
        <f ca="1">$E245*(-SUMIF(INDIRECT(W$3),'Struktur Aktuell'!$D245,INDIRECT(W$4))+SUMIF(INDIRECT(W$3),'Struktur Aktuell'!$D245,INDIRECT(W$5)))</f>
        <v>0</v>
      </c>
      <c r="X245" s="593">
        <f ca="1">$E245*(-SUMIF(INDIRECT(X$3),'Struktur Aktuell'!$D245,INDIRECT(X$4))+SUMIF(INDIRECT(X$3),'Struktur Aktuell'!$D245,INDIRECT(X$5)))</f>
        <v>0</v>
      </c>
      <c r="Y245" s="593">
        <f ca="1">$E245*(-SUMIF(INDIRECT(Y$3),'Struktur Aktuell'!$D245,INDIRECT(Y$4))+SUMIF(INDIRECT(Y$3),'Struktur Aktuell'!$D245,INDIRECT(Y$5)))</f>
        <v>0</v>
      </c>
      <c r="Z245" s="593">
        <f ca="1">$E245*(-SUMIF(INDIRECT(Z$3),'Struktur Aktuell'!$D245,INDIRECT(Z$4))+SUMIF(INDIRECT(Z$3),'Struktur Aktuell'!$D245,INDIRECT(Z$5)))</f>
        <v>0</v>
      </c>
      <c r="AA245" s="593">
        <f ca="1">$E245*(-SUMIF(INDIRECT(AA$3),'Struktur Aktuell'!$D245,INDIRECT(AA$4))+SUMIF(INDIRECT(AA$3),'Struktur Aktuell'!$D245,INDIRECT(AA$5)))</f>
        <v>0</v>
      </c>
      <c r="AB245" s="593">
        <f ca="1">$E245*(-SUMIF(INDIRECT(AB$3),'Struktur Aktuell'!$D245,INDIRECT(AB$4))+SUMIF(INDIRECT(AB$3),'Struktur Aktuell'!$D245,INDIRECT(AB$5)))</f>
        <v>0</v>
      </c>
      <c r="AC245" s="593">
        <f ca="1">$E245*(-SUMIF(INDIRECT(AC$3),'Struktur Aktuell'!$D245,INDIRECT(AC$4))+SUMIF(INDIRECT(AC$3),'Struktur Aktuell'!$D245,INDIRECT(AC$5)))</f>
        <v>0</v>
      </c>
      <c r="AD245" s="593">
        <f ca="1">$E245*(-SUMIF(INDIRECT(AD$3),'Struktur Aktuell'!$D245,INDIRECT(AD$4))+SUMIF(INDIRECT(AD$3),'Struktur Aktuell'!$D245,INDIRECT(AD$5)))</f>
        <v>0</v>
      </c>
      <c r="AE245" s="593">
        <f t="shared" ca="1" si="339"/>
        <v>0</v>
      </c>
      <c r="AF245" s="593">
        <f t="shared" ca="1" si="340"/>
        <v>0</v>
      </c>
      <c r="AG245" s="593">
        <f t="shared" ca="1" si="341"/>
        <v>0</v>
      </c>
      <c r="AH245" s="593">
        <f t="shared" ca="1" si="342"/>
        <v>0</v>
      </c>
      <c r="AI245" s="593">
        <f t="shared" ca="1" si="343"/>
        <v>0</v>
      </c>
      <c r="AJ245" s="593">
        <f t="shared" ca="1" si="344"/>
        <v>0</v>
      </c>
      <c r="AK245" s="593">
        <f t="shared" ca="1" si="345"/>
        <v>0</v>
      </c>
      <c r="AL245" s="593">
        <f t="shared" ca="1" si="346"/>
        <v>0</v>
      </c>
      <c r="AM245" s="593">
        <f t="shared" ca="1" si="347"/>
        <v>0</v>
      </c>
      <c r="AN245" s="593">
        <f t="shared" ca="1" si="348"/>
        <v>0</v>
      </c>
      <c r="AO245" s="593">
        <f t="shared" ca="1" si="349"/>
        <v>0</v>
      </c>
      <c r="AP245" s="593">
        <f t="shared" ca="1" si="350"/>
        <v>0</v>
      </c>
    </row>
    <row r="246" spans="1:42" s="594" customFormat="1" ht="11.25" outlineLevel="1" x14ac:dyDescent="0.2">
      <c r="A246" s="590"/>
      <c r="B246" s="591" t="str">
        <f>IF(D246&lt;&gt;"",
IF(ISERROR(MATCH(D246,'Ist Aktuell Monat 01'!A:A,0))=FALSE,INDEX('Ist Aktuell Monat 01'!B:B,MATCH(D246,'Ist Aktuell Monat 01'!A:A,0)),
IF(ISERROR(MATCH(D246,'Ist Aktuell Monat 02'!A:A,0))=FALSE,INDEX('Ist Aktuell Monat 02'!B:B,MATCH(D246,'Ist Aktuell Monat 02'!A:A,0)),
IF(ISERROR(MATCH(D246,'Ist Aktuell Monat 03'!A:A,0))=FALSE,INDEX('Ist Aktuell Monat 03'!B:B,MATCH(D246,'Ist Aktuell Monat 03'!A:A,0)),
IF(ISERROR(MATCH(D246,'Ist Aktuell Monat 04'!A:A,0))=FALSE,INDEX('Ist Aktuell Monat 04'!B:B,MATCH(D246,'Ist Aktuell Monat 04'!A:A,0)),
IF(ISERROR(MATCH(D246,'Ist Aktuell Monat 05'!A:A,0))=FALSE,INDEX('Ist Aktuell Monat 05'!B:B,MATCH(D246,'Ist Aktuell Monat 05'!A:A,0)),
IF(ISERROR(MATCH(D246,'Ist Aktuell Monat 06'!A:A,0))=FALSE,INDEX('Ist Aktuell Monat 06'!B:B,MATCH(D246,'Ist Aktuell Monat 06'!A:A,0)),
IF(ISERROR(MATCH(D246,'Ist Aktuell Monat 07'!A:A,0))=FALSE,INDEX('Ist Aktuell Monat 07'!B:B,MATCH(D246,'Ist Aktuell Monat 07'!A:A,0)),
IF(ISERROR(MATCH(D246,'Ist Aktuell Monat 08'!A:A,0))=FALSE,INDEX('Ist Aktuell Monat 08'!B:B,MATCH(D246,'Ist Aktuell Monat 08'!A:A,0)),
IF(ISERROR(MATCH(D246,'Ist Aktuell Monat 09'!A:A,0))=FALSE,INDEX('Ist Aktuell Monat 09'!B:B,MATCH(D246,'Ist Aktuell Monat 09'!A:A,0)),
IF(ISERROR(MATCH(D246,'Ist Aktuell Monat 10'!A:A,0))=FALSE,INDEX('Ist Aktuell Monat 10'!B:B,MATCH(D246,'Ist Aktuell Monat 10'!A:A,0)),
IF(ISERROR(MATCH(D246,'Ist Aktuell Monat 11'!A:A,0))=FALSE,INDEX('Ist Aktuell Monat 11'!B:B,MATCH(D246,'Ist Aktuell Monat 11'!A:A,0)),
IF(ISERROR(MATCH(D246,'Ist Aktuell Monat 12'!A:A,0))=FALSE,INDEX('Ist Aktuell Monat 12'!B:B,MATCH(D246,'Ist Aktuell Monat 12'!A:A,0)),
"{Konto unbekannt}"
)))))))))))),"")</f>
        <v/>
      </c>
      <c r="C246" s="591"/>
      <c r="D246" s="590"/>
      <c r="E246" s="592">
        <f t="shared" si="308"/>
        <v>1</v>
      </c>
      <c r="F246" s="590"/>
      <c r="G246" s="593">
        <f ca="1">$E246*(-SUMIF(INDIRECT(G$3),'Struktur Aktuell'!$D246,INDIRECT(G$4))+SUMIF(INDIRECT(G$3),'Struktur Aktuell'!$D246,INDIRECT(G$5)))</f>
        <v>0</v>
      </c>
      <c r="H246" s="593">
        <f ca="1">$E246*(-SUMIF(INDIRECT(H$3),'Struktur Aktuell'!$D246,INDIRECT(H$4))+SUMIF(INDIRECT(H$3),'Struktur Aktuell'!$D246,INDIRECT(H$5)))</f>
        <v>0</v>
      </c>
      <c r="I246" s="593">
        <f ca="1">$E246*(-SUMIF(INDIRECT(I$3),'Struktur Aktuell'!$D246,INDIRECT(I$4))+SUMIF(INDIRECT(I$3),'Struktur Aktuell'!$D246,INDIRECT(I$5)))</f>
        <v>0</v>
      </c>
      <c r="J246" s="593">
        <f ca="1">$E246*(-SUMIF(INDIRECT(J$3),'Struktur Aktuell'!$D246,INDIRECT(J$4))+SUMIF(INDIRECT(J$3),'Struktur Aktuell'!$D246,INDIRECT(J$5)))</f>
        <v>0</v>
      </c>
      <c r="K246" s="593">
        <f ca="1">$E246*(-SUMIF(INDIRECT(K$3),'Struktur Aktuell'!$D246,INDIRECT(K$4))+SUMIF(INDIRECT(K$3),'Struktur Aktuell'!$D246,INDIRECT(K$5)))</f>
        <v>0</v>
      </c>
      <c r="L246" s="593">
        <f ca="1">$E246*(-SUMIF(INDIRECT(L$3),'Struktur Aktuell'!$D246,INDIRECT(L$4))+SUMIF(INDIRECT(L$3),'Struktur Aktuell'!$D246,INDIRECT(L$5)))</f>
        <v>0</v>
      </c>
      <c r="M246" s="593">
        <f ca="1">$E246*(-SUMIF(INDIRECT(M$3),'Struktur Aktuell'!$D246,INDIRECT(M$4))+SUMIF(INDIRECT(M$3),'Struktur Aktuell'!$D246,INDIRECT(M$5)))</f>
        <v>0</v>
      </c>
      <c r="N246" s="593">
        <f ca="1">$E246*(-SUMIF(INDIRECT(N$3),'Struktur Aktuell'!$D246,INDIRECT(N$4))+SUMIF(INDIRECT(N$3),'Struktur Aktuell'!$D246,INDIRECT(N$5)))</f>
        <v>0</v>
      </c>
      <c r="O246" s="593">
        <f ca="1">$E246*(-SUMIF(INDIRECT(O$3),'Struktur Aktuell'!$D246,INDIRECT(O$4))+SUMIF(INDIRECT(O$3),'Struktur Aktuell'!$D246,INDIRECT(O$5)))</f>
        <v>0</v>
      </c>
      <c r="P246" s="593">
        <f ca="1">$E246*(-SUMIF(INDIRECT(P$3),'Struktur Aktuell'!$D246,INDIRECT(P$4))+SUMIF(INDIRECT(P$3),'Struktur Aktuell'!$D246,INDIRECT(P$5)))</f>
        <v>0</v>
      </c>
      <c r="Q246" s="593">
        <f ca="1">$E246*(-SUMIF(INDIRECT(Q$3),'Struktur Aktuell'!$D246,INDIRECT(Q$4))+SUMIF(INDIRECT(Q$3),'Struktur Aktuell'!$D246,INDIRECT(Q$5)))</f>
        <v>0</v>
      </c>
      <c r="R246" s="593">
        <f ca="1">$E246*(-SUMIF(INDIRECT(R$3),'Struktur Aktuell'!$D246,INDIRECT(R$4))+SUMIF(INDIRECT(R$3),'Struktur Aktuell'!$D246,INDIRECT(R$5)))</f>
        <v>0</v>
      </c>
      <c r="S246" s="593">
        <f ca="1">$E246*(-SUMIF(INDIRECT(S$3),'Struktur Aktuell'!$D246,INDIRECT(S$4))+SUMIF(INDIRECT(S$3),'Struktur Aktuell'!$D246,INDIRECT(S$5)))</f>
        <v>0</v>
      </c>
      <c r="T246" s="593">
        <f ca="1">$E246*(-SUMIF(INDIRECT(T$3),'Struktur Aktuell'!$D246,INDIRECT(T$4))+SUMIF(INDIRECT(T$3),'Struktur Aktuell'!$D246,INDIRECT(T$5)))</f>
        <v>0</v>
      </c>
      <c r="U246" s="593">
        <f ca="1">$E246*(-SUMIF(INDIRECT(U$3),'Struktur Aktuell'!$D246,INDIRECT(U$4))+SUMIF(INDIRECT(U$3),'Struktur Aktuell'!$D246,INDIRECT(U$5)))</f>
        <v>0</v>
      </c>
      <c r="V246" s="593">
        <f ca="1">$E246*(-SUMIF(INDIRECT(V$3),'Struktur Aktuell'!$D246,INDIRECT(V$4))+SUMIF(INDIRECT(V$3),'Struktur Aktuell'!$D246,INDIRECT(V$5)))</f>
        <v>0</v>
      </c>
      <c r="W246" s="593">
        <f ca="1">$E246*(-SUMIF(INDIRECT(W$3),'Struktur Aktuell'!$D246,INDIRECT(W$4))+SUMIF(INDIRECT(W$3),'Struktur Aktuell'!$D246,INDIRECT(W$5)))</f>
        <v>0</v>
      </c>
      <c r="X246" s="593">
        <f ca="1">$E246*(-SUMIF(INDIRECT(X$3),'Struktur Aktuell'!$D246,INDIRECT(X$4))+SUMIF(INDIRECT(X$3),'Struktur Aktuell'!$D246,INDIRECT(X$5)))</f>
        <v>0</v>
      </c>
      <c r="Y246" s="593">
        <f ca="1">$E246*(-SUMIF(INDIRECT(Y$3),'Struktur Aktuell'!$D246,INDIRECT(Y$4))+SUMIF(INDIRECT(Y$3),'Struktur Aktuell'!$D246,INDIRECT(Y$5)))</f>
        <v>0</v>
      </c>
      <c r="Z246" s="593">
        <f ca="1">$E246*(-SUMIF(INDIRECT(Z$3),'Struktur Aktuell'!$D246,INDIRECT(Z$4))+SUMIF(INDIRECT(Z$3),'Struktur Aktuell'!$D246,INDIRECT(Z$5)))</f>
        <v>0</v>
      </c>
      <c r="AA246" s="593">
        <f ca="1">$E246*(-SUMIF(INDIRECT(AA$3),'Struktur Aktuell'!$D246,INDIRECT(AA$4))+SUMIF(INDIRECT(AA$3),'Struktur Aktuell'!$D246,INDIRECT(AA$5)))</f>
        <v>0</v>
      </c>
      <c r="AB246" s="593">
        <f ca="1">$E246*(-SUMIF(INDIRECT(AB$3),'Struktur Aktuell'!$D246,INDIRECT(AB$4))+SUMIF(INDIRECT(AB$3),'Struktur Aktuell'!$D246,INDIRECT(AB$5)))</f>
        <v>0</v>
      </c>
      <c r="AC246" s="593">
        <f ca="1">$E246*(-SUMIF(INDIRECT(AC$3),'Struktur Aktuell'!$D246,INDIRECT(AC$4))+SUMIF(INDIRECT(AC$3),'Struktur Aktuell'!$D246,INDIRECT(AC$5)))</f>
        <v>0</v>
      </c>
      <c r="AD246" s="593">
        <f ca="1">$E246*(-SUMIF(INDIRECT(AD$3),'Struktur Aktuell'!$D246,INDIRECT(AD$4))+SUMIF(INDIRECT(AD$3),'Struktur Aktuell'!$D246,INDIRECT(AD$5)))</f>
        <v>0</v>
      </c>
      <c r="AE246" s="593">
        <f t="shared" ca="1" si="339"/>
        <v>0</v>
      </c>
      <c r="AF246" s="593">
        <f t="shared" ca="1" si="340"/>
        <v>0</v>
      </c>
      <c r="AG246" s="593">
        <f t="shared" ca="1" si="341"/>
        <v>0</v>
      </c>
      <c r="AH246" s="593">
        <f t="shared" ca="1" si="342"/>
        <v>0</v>
      </c>
      <c r="AI246" s="593">
        <f t="shared" ca="1" si="343"/>
        <v>0</v>
      </c>
      <c r="AJ246" s="593">
        <f t="shared" ca="1" si="344"/>
        <v>0</v>
      </c>
      <c r="AK246" s="593">
        <f t="shared" ca="1" si="345"/>
        <v>0</v>
      </c>
      <c r="AL246" s="593">
        <f t="shared" ca="1" si="346"/>
        <v>0</v>
      </c>
      <c r="AM246" s="593">
        <f t="shared" ca="1" si="347"/>
        <v>0</v>
      </c>
      <c r="AN246" s="593">
        <f t="shared" ca="1" si="348"/>
        <v>0</v>
      </c>
      <c r="AO246" s="593">
        <f t="shared" ca="1" si="349"/>
        <v>0</v>
      </c>
      <c r="AP246" s="593">
        <f t="shared" ca="1" si="350"/>
        <v>0</v>
      </c>
    </row>
    <row r="247" spans="1:42" s="594" customFormat="1" ht="11.25" outlineLevel="1" x14ac:dyDescent="0.2">
      <c r="A247" s="590"/>
      <c r="B247" s="591" t="str">
        <f>IF(D247&lt;&gt;"",
IF(ISERROR(MATCH(D247,'Ist Aktuell Monat 01'!A:A,0))=FALSE,INDEX('Ist Aktuell Monat 01'!B:B,MATCH(D247,'Ist Aktuell Monat 01'!A:A,0)),
IF(ISERROR(MATCH(D247,'Ist Aktuell Monat 02'!A:A,0))=FALSE,INDEX('Ist Aktuell Monat 02'!B:B,MATCH(D247,'Ist Aktuell Monat 02'!A:A,0)),
IF(ISERROR(MATCH(D247,'Ist Aktuell Monat 03'!A:A,0))=FALSE,INDEX('Ist Aktuell Monat 03'!B:B,MATCH(D247,'Ist Aktuell Monat 03'!A:A,0)),
IF(ISERROR(MATCH(D247,'Ist Aktuell Monat 04'!A:A,0))=FALSE,INDEX('Ist Aktuell Monat 04'!B:B,MATCH(D247,'Ist Aktuell Monat 04'!A:A,0)),
IF(ISERROR(MATCH(D247,'Ist Aktuell Monat 05'!A:A,0))=FALSE,INDEX('Ist Aktuell Monat 05'!B:B,MATCH(D247,'Ist Aktuell Monat 05'!A:A,0)),
IF(ISERROR(MATCH(D247,'Ist Aktuell Monat 06'!A:A,0))=FALSE,INDEX('Ist Aktuell Monat 06'!B:B,MATCH(D247,'Ist Aktuell Monat 06'!A:A,0)),
IF(ISERROR(MATCH(D247,'Ist Aktuell Monat 07'!A:A,0))=FALSE,INDEX('Ist Aktuell Monat 07'!B:B,MATCH(D247,'Ist Aktuell Monat 07'!A:A,0)),
IF(ISERROR(MATCH(D247,'Ist Aktuell Monat 08'!A:A,0))=FALSE,INDEX('Ist Aktuell Monat 08'!B:B,MATCH(D247,'Ist Aktuell Monat 08'!A:A,0)),
IF(ISERROR(MATCH(D247,'Ist Aktuell Monat 09'!A:A,0))=FALSE,INDEX('Ist Aktuell Monat 09'!B:B,MATCH(D247,'Ist Aktuell Monat 09'!A:A,0)),
IF(ISERROR(MATCH(D247,'Ist Aktuell Monat 10'!A:A,0))=FALSE,INDEX('Ist Aktuell Monat 10'!B:B,MATCH(D247,'Ist Aktuell Monat 10'!A:A,0)),
IF(ISERROR(MATCH(D247,'Ist Aktuell Monat 11'!A:A,0))=FALSE,INDEX('Ist Aktuell Monat 11'!B:B,MATCH(D247,'Ist Aktuell Monat 11'!A:A,0)),
IF(ISERROR(MATCH(D247,'Ist Aktuell Monat 12'!A:A,0))=FALSE,INDEX('Ist Aktuell Monat 12'!B:B,MATCH(D247,'Ist Aktuell Monat 12'!A:A,0)),
"{Konto unbekannt}"
)))))))))))),"")</f>
        <v/>
      </c>
      <c r="C247" s="591"/>
      <c r="D247" s="590"/>
      <c r="E247" s="592">
        <f t="shared" ref="E247:E250" si="351">IF(F247="-",-1,1)</f>
        <v>1</v>
      </c>
      <c r="F247" s="590"/>
      <c r="G247" s="593">
        <f ca="1">$E247*(-SUMIF(INDIRECT(G$3),'Struktur Aktuell'!$D247,INDIRECT(G$4))+SUMIF(INDIRECT(G$3),'Struktur Aktuell'!$D247,INDIRECT(G$5)))</f>
        <v>0</v>
      </c>
      <c r="H247" s="593">
        <f ca="1">$E247*(-SUMIF(INDIRECT(H$3),'Struktur Aktuell'!$D247,INDIRECT(H$4))+SUMIF(INDIRECT(H$3),'Struktur Aktuell'!$D247,INDIRECT(H$5)))</f>
        <v>0</v>
      </c>
      <c r="I247" s="593">
        <f ca="1">$E247*(-SUMIF(INDIRECT(I$3),'Struktur Aktuell'!$D247,INDIRECT(I$4))+SUMIF(INDIRECT(I$3),'Struktur Aktuell'!$D247,INDIRECT(I$5)))</f>
        <v>0</v>
      </c>
      <c r="J247" s="593">
        <f ca="1">$E247*(-SUMIF(INDIRECT(J$3),'Struktur Aktuell'!$D247,INDIRECT(J$4))+SUMIF(INDIRECT(J$3),'Struktur Aktuell'!$D247,INDIRECT(J$5)))</f>
        <v>0</v>
      </c>
      <c r="K247" s="593">
        <f ca="1">$E247*(-SUMIF(INDIRECT(K$3),'Struktur Aktuell'!$D247,INDIRECT(K$4))+SUMIF(INDIRECT(K$3),'Struktur Aktuell'!$D247,INDIRECT(K$5)))</f>
        <v>0</v>
      </c>
      <c r="L247" s="593">
        <f ca="1">$E247*(-SUMIF(INDIRECT(L$3),'Struktur Aktuell'!$D247,INDIRECT(L$4))+SUMIF(INDIRECT(L$3),'Struktur Aktuell'!$D247,INDIRECT(L$5)))</f>
        <v>0</v>
      </c>
      <c r="M247" s="593">
        <f ca="1">$E247*(-SUMIF(INDIRECT(M$3),'Struktur Aktuell'!$D247,INDIRECT(M$4))+SUMIF(INDIRECT(M$3),'Struktur Aktuell'!$D247,INDIRECT(M$5)))</f>
        <v>0</v>
      </c>
      <c r="N247" s="593">
        <f ca="1">$E247*(-SUMIF(INDIRECT(N$3),'Struktur Aktuell'!$D247,INDIRECT(N$4))+SUMIF(INDIRECT(N$3),'Struktur Aktuell'!$D247,INDIRECT(N$5)))</f>
        <v>0</v>
      </c>
      <c r="O247" s="593">
        <f ca="1">$E247*(-SUMIF(INDIRECT(O$3),'Struktur Aktuell'!$D247,INDIRECT(O$4))+SUMIF(INDIRECT(O$3),'Struktur Aktuell'!$D247,INDIRECT(O$5)))</f>
        <v>0</v>
      </c>
      <c r="P247" s="593">
        <f ca="1">$E247*(-SUMIF(INDIRECT(P$3),'Struktur Aktuell'!$D247,INDIRECT(P$4))+SUMIF(INDIRECT(P$3),'Struktur Aktuell'!$D247,INDIRECT(P$5)))</f>
        <v>0</v>
      </c>
      <c r="Q247" s="593">
        <f ca="1">$E247*(-SUMIF(INDIRECT(Q$3),'Struktur Aktuell'!$D247,INDIRECT(Q$4))+SUMIF(INDIRECT(Q$3),'Struktur Aktuell'!$D247,INDIRECT(Q$5)))</f>
        <v>0</v>
      </c>
      <c r="R247" s="593">
        <f ca="1">$E247*(-SUMIF(INDIRECT(R$3),'Struktur Aktuell'!$D247,INDIRECT(R$4))+SUMIF(INDIRECT(R$3),'Struktur Aktuell'!$D247,INDIRECT(R$5)))</f>
        <v>0</v>
      </c>
      <c r="S247" s="593">
        <f ca="1">$E247*(-SUMIF(INDIRECT(S$3),'Struktur Aktuell'!$D247,INDIRECT(S$4))+SUMIF(INDIRECT(S$3),'Struktur Aktuell'!$D247,INDIRECT(S$5)))</f>
        <v>0</v>
      </c>
      <c r="T247" s="593">
        <f ca="1">$E247*(-SUMIF(INDIRECT(T$3),'Struktur Aktuell'!$D247,INDIRECT(T$4))+SUMIF(INDIRECT(T$3),'Struktur Aktuell'!$D247,INDIRECT(T$5)))</f>
        <v>0</v>
      </c>
      <c r="U247" s="593">
        <f ca="1">$E247*(-SUMIF(INDIRECT(U$3),'Struktur Aktuell'!$D247,INDIRECT(U$4))+SUMIF(INDIRECT(U$3),'Struktur Aktuell'!$D247,INDIRECT(U$5)))</f>
        <v>0</v>
      </c>
      <c r="V247" s="593">
        <f ca="1">$E247*(-SUMIF(INDIRECT(V$3),'Struktur Aktuell'!$D247,INDIRECT(V$4))+SUMIF(INDIRECT(V$3),'Struktur Aktuell'!$D247,INDIRECT(V$5)))</f>
        <v>0</v>
      </c>
      <c r="W247" s="593">
        <f ca="1">$E247*(-SUMIF(INDIRECT(W$3),'Struktur Aktuell'!$D247,INDIRECT(W$4))+SUMIF(INDIRECT(W$3),'Struktur Aktuell'!$D247,INDIRECT(W$5)))</f>
        <v>0</v>
      </c>
      <c r="X247" s="593">
        <f ca="1">$E247*(-SUMIF(INDIRECT(X$3),'Struktur Aktuell'!$D247,INDIRECT(X$4))+SUMIF(INDIRECT(X$3),'Struktur Aktuell'!$D247,INDIRECT(X$5)))</f>
        <v>0</v>
      </c>
      <c r="Y247" s="593">
        <f ca="1">$E247*(-SUMIF(INDIRECT(Y$3),'Struktur Aktuell'!$D247,INDIRECT(Y$4))+SUMIF(INDIRECT(Y$3),'Struktur Aktuell'!$D247,INDIRECT(Y$5)))</f>
        <v>0</v>
      </c>
      <c r="Z247" s="593">
        <f ca="1">$E247*(-SUMIF(INDIRECT(Z$3),'Struktur Aktuell'!$D247,INDIRECT(Z$4))+SUMIF(INDIRECT(Z$3),'Struktur Aktuell'!$D247,INDIRECT(Z$5)))</f>
        <v>0</v>
      </c>
      <c r="AA247" s="593">
        <f ca="1">$E247*(-SUMIF(INDIRECT(AA$3),'Struktur Aktuell'!$D247,INDIRECT(AA$4))+SUMIF(INDIRECT(AA$3),'Struktur Aktuell'!$D247,INDIRECT(AA$5)))</f>
        <v>0</v>
      </c>
      <c r="AB247" s="593">
        <f ca="1">$E247*(-SUMIF(INDIRECT(AB$3),'Struktur Aktuell'!$D247,INDIRECT(AB$4))+SUMIF(INDIRECT(AB$3),'Struktur Aktuell'!$D247,INDIRECT(AB$5)))</f>
        <v>0</v>
      </c>
      <c r="AC247" s="593">
        <f ca="1">$E247*(-SUMIF(INDIRECT(AC$3),'Struktur Aktuell'!$D247,INDIRECT(AC$4))+SUMIF(INDIRECT(AC$3),'Struktur Aktuell'!$D247,INDIRECT(AC$5)))</f>
        <v>0</v>
      </c>
      <c r="AD247" s="593">
        <f ca="1">$E247*(-SUMIF(INDIRECT(AD$3),'Struktur Aktuell'!$D247,INDIRECT(AD$4))+SUMIF(INDIRECT(AD$3),'Struktur Aktuell'!$D247,INDIRECT(AD$5)))</f>
        <v>0</v>
      </c>
      <c r="AE247" s="593">
        <f t="shared" ca="1" si="339"/>
        <v>0</v>
      </c>
      <c r="AF247" s="593">
        <f t="shared" ca="1" si="340"/>
        <v>0</v>
      </c>
      <c r="AG247" s="593">
        <f t="shared" ca="1" si="341"/>
        <v>0</v>
      </c>
      <c r="AH247" s="593">
        <f t="shared" ca="1" si="342"/>
        <v>0</v>
      </c>
      <c r="AI247" s="593">
        <f t="shared" ca="1" si="343"/>
        <v>0</v>
      </c>
      <c r="AJ247" s="593">
        <f t="shared" ca="1" si="344"/>
        <v>0</v>
      </c>
      <c r="AK247" s="593">
        <f t="shared" ca="1" si="345"/>
        <v>0</v>
      </c>
      <c r="AL247" s="593">
        <f t="shared" ca="1" si="346"/>
        <v>0</v>
      </c>
      <c r="AM247" s="593">
        <f t="shared" ca="1" si="347"/>
        <v>0</v>
      </c>
      <c r="AN247" s="593">
        <f t="shared" ca="1" si="348"/>
        <v>0</v>
      </c>
      <c r="AO247" s="593">
        <f t="shared" ca="1" si="349"/>
        <v>0</v>
      </c>
      <c r="AP247" s="593">
        <f t="shared" ca="1" si="350"/>
        <v>0</v>
      </c>
    </row>
    <row r="248" spans="1:42" s="594" customFormat="1" ht="11.25" outlineLevel="1" x14ac:dyDescent="0.2">
      <c r="A248" s="590"/>
      <c r="B248" s="591" t="str">
        <f>IF(D248&lt;&gt;"",
IF(ISERROR(MATCH(D248,'Ist Aktuell Monat 01'!A:A,0))=FALSE,INDEX('Ist Aktuell Monat 01'!B:B,MATCH(D248,'Ist Aktuell Monat 01'!A:A,0)),
IF(ISERROR(MATCH(D248,'Ist Aktuell Monat 02'!A:A,0))=FALSE,INDEX('Ist Aktuell Monat 02'!B:B,MATCH(D248,'Ist Aktuell Monat 02'!A:A,0)),
IF(ISERROR(MATCH(D248,'Ist Aktuell Monat 03'!A:A,0))=FALSE,INDEX('Ist Aktuell Monat 03'!B:B,MATCH(D248,'Ist Aktuell Monat 03'!A:A,0)),
IF(ISERROR(MATCH(D248,'Ist Aktuell Monat 04'!A:A,0))=FALSE,INDEX('Ist Aktuell Monat 04'!B:B,MATCH(D248,'Ist Aktuell Monat 04'!A:A,0)),
IF(ISERROR(MATCH(D248,'Ist Aktuell Monat 05'!A:A,0))=FALSE,INDEX('Ist Aktuell Monat 05'!B:B,MATCH(D248,'Ist Aktuell Monat 05'!A:A,0)),
IF(ISERROR(MATCH(D248,'Ist Aktuell Monat 06'!A:A,0))=FALSE,INDEX('Ist Aktuell Monat 06'!B:B,MATCH(D248,'Ist Aktuell Monat 06'!A:A,0)),
IF(ISERROR(MATCH(D248,'Ist Aktuell Monat 07'!A:A,0))=FALSE,INDEX('Ist Aktuell Monat 07'!B:B,MATCH(D248,'Ist Aktuell Monat 07'!A:A,0)),
IF(ISERROR(MATCH(D248,'Ist Aktuell Monat 08'!A:A,0))=FALSE,INDEX('Ist Aktuell Monat 08'!B:B,MATCH(D248,'Ist Aktuell Monat 08'!A:A,0)),
IF(ISERROR(MATCH(D248,'Ist Aktuell Monat 09'!A:A,0))=FALSE,INDEX('Ist Aktuell Monat 09'!B:B,MATCH(D248,'Ist Aktuell Monat 09'!A:A,0)),
IF(ISERROR(MATCH(D248,'Ist Aktuell Monat 10'!A:A,0))=FALSE,INDEX('Ist Aktuell Monat 10'!B:B,MATCH(D248,'Ist Aktuell Monat 10'!A:A,0)),
IF(ISERROR(MATCH(D248,'Ist Aktuell Monat 11'!A:A,0))=FALSE,INDEX('Ist Aktuell Monat 11'!B:B,MATCH(D248,'Ist Aktuell Monat 11'!A:A,0)),
IF(ISERROR(MATCH(D248,'Ist Aktuell Monat 12'!A:A,0))=FALSE,INDEX('Ist Aktuell Monat 12'!B:B,MATCH(D248,'Ist Aktuell Monat 12'!A:A,0)),
"{Konto unbekannt}"
)))))))))))),"")</f>
        <v/>
      </c>
      <c r="C248" s="591"/>
      <c r="D248" s="590"/>
      <c r="E248" s="592">
        <f t="shared" si="351"/>
        <v>1</v>
      </c>
      <c r="F248" s="590"/>
      <c r="G248" s="593">
        <f ca="1">$E248*(-SUMIF(INDIRECT(G$3),'Struktur Aktuell'!$D248,INDIRECT(G$4))+SUMIF(INDIRECT(G$3),'Struktur Aktuell'!$D248,INDIRECT(G$5)))</f>
        <v>0</v>
      </c>
      <c r="H248" s="593">
        <f ca="1">$E248*(-SUMIF(INDIRECT(H$3),'Struktur Aktuell'!$D248,INDIRECT(H$4))+SUMIF(INDIRECT(H$3),'Struktur Aktuell'!$D248,INDIRECT(H$5)))</f>
        <v>0</v>
      </c>
      <c r="I248" s="593">
        <f ca="1">$E248*(-SUMIF(INDIRECT(I$3),'Struktur Aktuell'!$D248,INDIRECT(I$4))+SUMIF(INDIRECT(I$3),'Struktur Aktuell'!$D248,INDIRECT(I$5)))</f>
        <v>0</v>
      </c>
      <c r="J248" s="593">
        <f ca="1">$E248*(-SUMIF(INDIRECT(J$3),'Struktur Aktuell'!$D248,INDIRECT(J$4))+SUMIF(INDIRECT(J$3),'Struktur Aktuell'!$D248,INDIRECT(J$5)))</f>
        <v>0</v>
      </c>
      <c r="K248" s="593">
        <f ca="1">$E248*(-SUMIF(INDIRECT(K$3),'Struktur Aktuell'!$D248,INDIRECT(K$4))+SUMIF(INDIRECT(K$3),'Struktur Aktuell'!$D248,INDIRECT(K$5)))</f>
        <v>0</v>
      </c>
      <c r="L248" s="593">
        <f ca="1">$E248*(-SUMIF(INDIRECT(L$3),'Struktur Aktuell'!$D248,INDIRECT(L$4))+SUMIF(INDIRECT(L$3),'Struktur Aktuell'!$D248,INDIRECT(L$5)))</f>
        <v>0</v>
      </c>
      <c r="M248" s="593">
        <f ca="1">$E248*(-SUMIF(INDIRECT(M$3),'Struktur Aktuell'!$D248,INDIRECT(M$4))+SUMIF(INDIRECT(M$3),'Struktur Aktuell'!$D248,INDIRECT(M$5)))</f>
        <v>0</v>
      </c>
      <c r="N248" s="593">
        <f ca="1">$E248*(-SUMIF(INDIRECT(N$3),'Struktur Aktuell'!$D248,INDIRECT(N$4))+SUMIF(INDIRECT(N$3),'Struktur Aktuell'!$D248,INDIRECT(N$5)))</f>
        <v>0</v>
      </c>
      <c r="O248" s="593">
        <f ca="1">$E248*(-SUMIF(INDIRECT(O$3),'Struktur Aktuell'!$D248,INDIRECT(O$4))+SUMIF(INDIRECT(O$3),'Struktur Aktuell'!$D248,INDIRECT(O$5)))</f>
        <v>0</v>
      </c>
      <c r="P248" s="593">
        <f ca="1">$E248*(-SUMIF(INDIRECT(P$3),'Struktur Aktuell'!$D248,INDIRECT(P$4))+SUMIF(INDIRECT(P$3),'Struktur Aktuell'!$D248,INDIRECT(P$5)))</f>
        <v>0</v>
      </c>
      <c r="Q248" s="593">
        <f ca="1">$E248*(-SUMIF(INDIRECT(Q$3),'Struktur Aktuell'!$D248,INDIRECT(Q$4))+SUMIF(INDIRECT(Q$3),'Struktur Aktuell'!$D248,INDIRECT(Q$5)))</f>
        <v>0</v>
      </c>
      <c r="R248" s="593">
        <f ca="1">$E248*(-SUMIF(INDIRECT(R$3),'Struktur Aktuell'!$D248,INDIRECT(R$4))+SUMIF(INDIRECT(R$3),'Struktur Aktuell'!$D248,INDIRECT(R$5)))</f>
        <v>0</v>
      </c>
      <c r="S248" s="593">
        <f ca="1">$E248*(-SUMIF(INDIRECT(S$3),'Struktur Aktuell'!$D248,INDIRECT(S$4))+SUMIF(INDIRECT(S$3),'Struktur Aktuell'!$D248,INDIRECT(S$5)))</f>
        <v>0</v>
      </c>
      <c r="T248" s="593">
        <f ca="1">$E248*(-SUMIF(INDIRECT(T$3),'Struktur Aktuell'!$D248,INDIRECT(T$4))+SUMIF(INDIRECT(T$3),'Struktur Aktuell'!$D248,INDIRECT(T$5)))</f>
        <v>0</v>
      </c>
      <c r="U248" s="593">
        <f ca="1">$E248*(-SUMIF(INDIRECT(U$3),'Struktur Aktuell'!$D248,INDIRECT(U$4))+SUMIF(INDIRECT(U$3),'Struktur Aktuell'!$D248,INDIRECT(U$5)))</f>
        <v>0</v>
      </c>
      <c r="V248" s="593">
        <f ca="1">$E248*(-SUMIF(INDIRECT(V$3),'Struktur Aktuell'!$D248,INDIRECT(V$4))+SUMIF(INDIRECT(V$3),'Struktur Aktuell'!$D248,INDIRECT(V$5)))</f>
        <v>0</v>
      </c>
      <c r="W248" s="593">
        <f ca="1">$E248*(-SUMIF(INDIRECT(W$3),'Struktur Aktuell'!$D248,INDIRECT(W$4))+SUMIF(INDIRECT(W$3),'Struktur Aktuell'!$D248,INDIRECT(W$5)))</f>
        <v>0</v>
      </c>
      <c r="X248" s="593">
        <f ca="1">$E248*(-SUMIF(INDIRECT(X$3),'Struktur Aktuell'!$D248,INDIRECT(X$4))+SUMIF(INDIRECT(X$3),'Struktur Aktuell'!$D248,INDIRECT(X$5)))</f>
        <v>0</v>
      </c>
      <c r="Y248" s="593">
        <f ca="1">$E248*(-SUMIF(INDIRECT(Y$3),'Struktur Aktuell'!$D248,INDIRECT(Y$4))+SUMIF(INDIRECT(Y$3),'Struktur Aktuell'!$D248,INDIRECT(Y$5)))</f>
        <v>0</v>
      </c>
      <c r="Z248" s="593">
        <f ca="1">$E248*(-SUMIF(INDIRECT(Z$3),'Struktur Aktuell'!$D248,INDIRECT(Z$4))+SUMIF(INDIRECT(Z$3),'Struktur Aktuell'!$D248,INDIRECT(Z$5)))</f>
        <v>0</v>
      </c>
      <c r="AA248" s="593">
        <f ca="1">$E248*(-SUMIF(INDIRECT(AA$3),'Struktur Aktuell'!$D248,INDIRECT(AA$4))+SUMIF(INDIRECT(AA$3),'Struktur Aktuell'!$D248,INDIRECT(AA$5)))</f>
        <v>0</v>
      </c>
      <c r="AB248" s="593">
        <f ca="1">$E248*(-SUMIF(INDIRECT(AB$3),'Struktur Aktuell'!$D248,INDIRECT(AB$4))+SUMIF(INDIRECT(AB$3),'Struktur Aktuell'!$D248,INDIRECT(AB$5)))</f>
        <v>0</v>
      </c>
      <c r="AC248" s="593">
        <f ca="1">$E248*(-SUMIF(INDIRECT(AC$3),'Struktur Aktuell'!$D248,INDIRECT(AC$4))+SUMIF(INDIRECT(AC$3),'Struktur Aktuell'!$D248,INDIRECT(AC$5)))</f>
        <v>0</v>
      </c>
      <c r="AD248" s="593">
        <f ca="1">$E248*(-SUMIF(INDIRECT(AD$3),'Struktur Aktuell'!$D248,INDIRECT(AD$4))+SUMIF(INDIRECT(AD$3),'Struktur Aktuell'!$D248,INDIRECT(AD$5)))</f>
        <v>0</v>
      </c>
      <c r="AE248" s="593">
        <f t="shared" ca="1" si="339"/>
        <v>0</v>
      </c>
      <c r="AF248" s="593">
        <f t="shared" ca="1" si="340"/>
        <v>0</v>
      </c>
      <c r="AG248" s="593">
        <f t="shared" ca="1" si="341"/>
        <v>0</v>
      </c>
      <c r="AH248" s="593">
        <f t="shared" ca="1" si="342"/>
        <v>0</v>
      </c>
      <c r="AI248" s="593">
        <f t="shared" ca="1" si="343"/>
        <v>0</v>
      </c>
      <c r="AJ248" s="593">
        <f t="shared" ca="1" si="344"/>
        <v>0</v>
      </c>
      <c r="AK248" s="593">
        <f t="shared" ca="1" si="345"/>
        <v>0</v>
      </c>
      <c r="AL248" s="593">
        <f t="shared" ca="1" si="346"/>
        <v>0</v>
      </c>
      <c r="AM248" s="593">
        <f t="shared" ca="1" si="347"/>
        <v>0</v>
      </c>
      <c r="AN248" s="593">
        <f t="shared" ca="1" si="348"/>
        <v>0</v>
      </c>
      <c r="AO248" s="593">
        <f t="shared" ca="1" si="349"/>
        <v>0</v>
      </c>
      <c r="AP248" s="593">
        <f t="shared" ca="1" si="350"/>
        <v>0</v>
      </c>
    </row>
    <row r="249" spans="1:42" s="594" customFormat="1" ht="11.25" outlineLevel="1" x14ac:dyDescent="0.2">
      <c r="A249" s="590"/>
      <c r="B249" s="591" t="str">
        <f>IF(D249&lt;&gt;"",
IF(ISERROR(MATCH(D249,'Ist Aktuell Monat 01'!A:A,0))=FALSE,INDEX('Ist Aktuell Monat 01'!B:B,MATCH(D249,'Ist Aktuell Monat 01'!A:A,0)),
IF(ISERROR(MATCH(D249,'Ist Aktuell Monat 02'!A:A,0))=FALSE,INDEX('Ist Aktuell Monat 02'!B:B,MATCH(D249,'Ist Aktuell Monat 02'!A:A,0)),
IF(ISERROR(MATCH(D249,'Ist Aktuell Monat 03'!A:A,0))=FALSE,INDEX('Ist Aktuell Monat 03'!B:B,MATCH(D249,'Ist Aktuell Monat 03'!A:A,0)),
IF(ISERROR(MATCH(D249,'Ist Aktuell Monat 04'!A:A,0))=FALSE,INDEX('Ist Aktuell Monat 04'!B:B,MATCH(D249,'Ist Aktuell Monat 04'!A:A,0)),
IF(ISERROR(MATCH(D249,'Ist Aktuell Monat 05'!A:A,0))=FALSE,INDEX('Ist Aktuell Monat 05'!B:B,MATCH(D249,'Ist Aktuell Monat 05'!A:A,0)),
IF(ISERROR(MATCH(D249,'Ist Aktuell Monat 06'!A:A,0))=FALSE,INDEX('Ist Aktuell Monat 06'!B:B,MATCH(D249,'Ist Aktuell Monat 06'!A:A,0)),
IF(ISERROR(MATCH(D249,'Ist Aktuell Monat 07'!A:A,0))=FALSE,INDEX('Ist Aktuell Monat 07'!B:B,MATCH(D249,'Ist Aktuell Monat 07'!A:A,0)),
IF(ISERROR(MATCH(D249,'Ist Aktuell Monat 08'!A:A,0))=FALSE,INDEX('Ist Aktuell Monat 08'!B:B,MATCH(D249,'Ist Aktuell Monat 08'!A:A,0)),
IF(ISERROR(MATCH(D249,'Ist Aktuell Monat 09'!A:A,0))=FALSE,INDEX('Ist Aktuell Monat 09'!B:B,MATCH(D249,'Ist Aktuell Monat 09'!A:A,0)),
IF(ISERROR(MATCH(D249,'Ist Aktuell Monat 10'!A:A,0))=FALSE,INDEX('Ist Aktuell Monat 10'!B:B,MATCH(D249,'Ist Aktuell Monat 10'!A:A,0)),
IF(ISERROR(MATCH(D249,'Ist Aktuell Monat 11'!A:A,0))=FALSE,INDEX('Ist Aktuell Monat 11'!B:B,MATCH(D249,'Ist Aktuell Monat 11'!A:A,0)),
IF(ISERROR(MATCH(D249,'Ist Aktuell Monat 12'!A:A,0))=FALSE,INDEX('Ist Aktuell Monat 12'!B:B,MATCH(D249,'Ist Aktuell Monat 12'!A:A,0)),
"{Konto unbekannt}"
)))))))))))),"")</f>
        <v/>
      </c>
      <c r="C249" s="591"/>
      <c r="D249" s="590"/>
      <c r="E249" s="592">
        <f t="shared" si="351"/>
        <v>1</v>
      </c>
      <c r="F249" s="590"/>
      <c r="G249" s="593">
        <f ca="1">$E249*(-SUMIF(INDIRECT(G$3),'Struktur Aktuell'!$D249,INDIRECT(G$4))+SUMIF(INDIRECT(G$3),'Struktur Aktuell'!$D249,INDIRECT(G$5)))</f>
        <v>0</v>
      </c>
      <c r="H249" s="593">
        <f ca="1">$E249*(-SUMIF(INDIRECT(H$3),'Struktur Aktuell'!$D249,INDIRECT(H$4))+SUMIF(INDIRECT(H$3),'Struktur Aktuell'!$D249,INDIRECT(H$5)))</f>
        <v>0</v>
      </c>
      <c r="I249" s="593">
        <f ca="1">$E249*(-SUMIF(INDIRECT(I$3),'Struktur Aktuell'!$D249,INDIRECT(I$4))+SUMIF(INDIRECT(I$3),'Struktur Aktuell'!$D249,INDIRECT(I$5)))</f>
        <v>0</v>
      </c>
      <c r="J249" s="593">
        <f ca="1">$E249*(-SUMIF(INDIRECT(J$3),'Struktur Aktuell'!$D249,INDIRECT(J$4))+SUMIF(INDIRECT(J$3),'Struktur Aktuell'!$D249,INDIRECT(J$5)))</f>
        <v>0</v>
      </c>
      <c r="K249" s="593">
        <f ca="1">$E249*(-SUMIF(INDIRECT(K$3),'Struktur Aktuell'!$D249,INDIRECT(K$4))+SUMIF(INDIRECT(K$3),'Struktur Aktuell'!$D249,INDIRECT(K$5)))</f>
        <v>0</v>
      </c>
      <c r="L249" s="593">
        <f ca="1">$E249*(-SUMIF(INDIRECT(L$3),'Struktur Aktuell'!$D249,INDIRECT(L$4))+SUMIF(INDIRECT(L$3),'Struktur Aktuell'!$D249,INDIRECT(L$5)))</f>
        <v>0</v>
      </c>
      <c r="M249" s="593">
        <f ca="1">$E249*(-SUMIF(INDIRECT(M$3),'Struktur Aktuell'!$D249,INDIRECT(M$4))+SUMIF(INDIRECT(M$3),'Struktur Aktuell'!$D249,INDIRECT(M$5)))</f>
        <v>0</v>
      </c>
      <c r="N249" s="593">
        <f ca="1">$E249*(-SUMIF(INDIRECT(N$3),'Struktur Aktuell'!$D249,INDIRECT(N$4))+SUMIF(INDIRECT(N$3),'Struktur Aktuell'!$D249,INDIRECT(N$5)))</f>
        <v>0</v>
      </c>
      <c r="O249" s="593">
        <f ca="1">$E249*(-SUMIF(INDIRECT(O$3),'Struktur Aktuell'!$D249,INDIRECT(O$4))+SUMIF(INDIRECT(O$3),'Struktur Aktuell'!$D249,INDIRECT(O$5)))</f>
        <v>0</v>
      </c>
      <c r="P249" s="593">
        <f ca="1">$E249*(-SUMIF(INDIRECT(P$3),'Struktur Aktuell'!$D249,INDIRECT(P$4))+SUMIF(INDIRECT(P$3),'Struktur Aktuell'!$D249,INDIRECT(P$5)))</f>
        <v>0</v>
      </c>
      <c r="Q249" s="593">
        <f ca="1">$E249*(-SUMIF(INDIRECT(Q$3),'Struktur Aktuell'!$D249,INDIRECT(Q$4))+SUMIF(INDIRECT(Q$3),'Struktur Aktuell'!$D249,INDIRECT(Q$5)))</f>
        <v>0</v>
      </c>
      <c r="R249" s="593">
        <f ca="1">$E249*(-SUMIF(INDIRECT(R$3),'Struktur Aktuell'!$D249,INDIRECT(R$4))+SUMIF(INDIRECT(R$3),'Struktur Aktuell'!$D249,INDIRECT(R$5)))</f>
        <v>0</v>
      </c>
      <c r="S249" s="593">
        <f ca="1">$E249*(-SUMIF(INDIRECT(S$3),'Struktur Aktuell'!$D249,INDIRECT(S$4))+SUMIF(INDIRECT(S$3),'Struktur Aktuell'!$D249,INDIRECT(S$5)))</f>
        <v>0</v>
      </c>
      <c r="T249" s="593">
        <f ca="1">$E249*(-SUMIF(INDIRECT(T$3),'Struktur Aktuell'!$D249,INDIRECT(T$4))+SUMIF(INDIRECT(T$3),'Struktur Aktuell'!$D249,INDIRECT(T$5)))</f>
        <v>0</v>
      </c>
      <c r="U249" s="593">
        <f ca="1">$E249*(-SUMIF(INDIRECT(U$3),'Struktur Aktuell'!$D249,INDIRECT(U$4))+SUMIF(INDIRECT(U$3),'Struktur Aktuell'!$D249,INDIRECT(U$5)))</f>
        <v>0</v>
      </c>
      <c r="V249" s="593">
        <f ca="1">$E249*(-SUMIF(INDIRECT(V$3),'Struktur Aktuell'!$D249,INDIRECT(V$4))+SUMIF(INDIRECT(V$3),'Struktur Aktuell'!$D249,INDIRECT(V$5)))</f>
        <v>0</v>
      </c>
      <c r="W249" s="593">
        <f ca="1">$E249*(-SUMIF(INDIRECT(W$3),'Struktur Aktuell'!$D249,INDIRECT(W$4))+SUMIF(INDIRECT(W$3),'Struktur Aktuell'!$D249,INDIRECT(W$5)))</f>
        <v>0</v>
      </c>
      <c r="X249" s="593">
        <f ca="1">$E249*(-SUMIF(INDIRECT(X$3),'Struktur Aktuell'!$D249,INDIRECT(X$4))+SUMIF(INDIRECT(X$3),'Struktur Aktuell'!$D249,INDIRECT(X$5)))</f>
        <v>0</v>
      </c>
      <c r="Y249" s="593">
        <f ca="1">$E249*(-SUMIF(INDIRECT(Y$3),'Struktur Aktuell'!$D249,INDIRECT(Y$4))+SUMIF(INDIRECT(Y$3),'Struktur Aktuell'!$D249,INDIRECT(Y$5)))</f>
        <v>0</v>
      </c>
      <c r="Z249" s="593">
        <f ca="1">$E249*(-SUMIF(INDIRECT(Z$3),'Struktur Aktuell'!$D249,INDIRECT(Z$4))+SUMIF(INDIRECT(Z$3),'Struktur Aktuell'!$D249,INDIRECT(Z$5)))</f>
        <v>0</v>
      </c>
      <c r="AA249" s="593">
        <f ca="1">$E249*(-SUMIF(INDIRECT(AA$3),'Struktur Aktuell'!$D249,INDIRECT(AA$4))+SUMIF(INDIRECT(AA$3),'Struktur Aktuell'!$D249,INDIRECT(AA$5)))</f>
        <v>0</v>
      </c>
      <c r="AB249" s="593">
        <f ca="1">$E249*(-SUMIF(INDIRECT(AB$3),'Struktur Aktuell'!$D249,INDIRECT(AB$4))+SUMIF(INDIRECT(AB$3),'Struktur Aktuell'!$D249,INDIRECT(AB$5)))</f>
        <v>0</v>
      </c>
      <c r="AC249" s="593">
        <f ca="1">$E249*(-SUMIF(INDIRECT(AC$3),'Struktur Aktuell'!$D249,INDIRECT(AC$4))+SUMIF(INDIRECT(AC$3),'Struktur Aktuell'!$D249,INDIRECT(AC$5)))</f>
        <v>0</v>
      </c>
      <c r="AD249" s="593">
        <f ca="1">$E249*(-SUMIF(INDIRECT(AD$3),'Struktur Aktuell'!$D249,INDIRECT(AD$4))+SUMIF(INDIRECT(AD$3),'Struktur Aktuell'!$D249,INDIRECT(AD$5)))</f>
        <v>0</v>
      </c>
      <c r="AE249" s="593">
        <f t="shared" ca="1" si="339"/>
        <v>0</v>
      </c>
      <c r="AF249" s="593">
        <f t="shared" ca="1" si="340"/>
        <v>0</v>
      </c>
      <c r="AG249" s="593">
        <f t="shared" ca="1" si="341"/>
        <v>0</v>
      </c>
      <c r="AH249" s="593">
        <f t="shared" ca="1" si="342"/>
        <v>0</v>
      </c>
      <c r="AI249" s="593">
        <f t="shared" ca="1" si="343"/>
        <v>0</v>
      </c>
      <c r="AJ249" s="593">
        <f t="shared" ca="1" si="344"/>
        <v>0</v>
      </c>
      <c r="AK249" s="593">
        <f t="shared" ca="1" si="345"/>
        <v>0</v>
      </c>
      <c r="AL249" s="593">
        <f t="shared" ca="1" si="346"/>
        <v>0</v>
      </c>
      <c r="AM249" s="593">
        <f t="shared" ca="1" si="347"/>
        <v>0</v>
      </c>
      <c r="AN249" s="593">
        <f t="shared" ca="1" si="348"/>
        <v>0</v>
      </c>
      <c r="AO249" s="593">
        <f t="shared" ca="1" si="349"/>
        <v>0</v>
      </c>
      <c r="AP249" s="593">
        <f t="shared" ca="1" si="350"/>
        <v>0</v>
      </c>
    </row>
    <row r="250" spans="1:42" s="594" customFormat="1" ht="11.25" outlineLevel="1" x14ac:dyDescent="0.2">
      <c r="A250" s="590"/>
      <c r="B250" s="591" t="str">
        <f>IF(D250&lt;&gt;"",
IF(ISERROR(MATCH(D250,'Ist Aktuell Monat 01'!A:A,0))=FALSE,INDEX('Ist Aktuell Monat 01'!B:B,MATCH(D250,'Ist Aktuell Monat 01'!A:A,0)),
IF(ISERROR(MATCH(D250,'Ist Aktuell Monat 02'!A:A,0))=FALSE,INDEX('Ist Aktuell Monat 02'!B:B,MATCH(D250,'Ist Aktuell Monat 02'!A:A,0)),
IF(ISERROR(MATCH(D250,'Ist Aktuell Monat 03'!A:A,0))=FALSE,INDEX('Ist Aktuell Monat 03'!B:B,MATCH(D250,'Ist Aktuell Monat 03'!A:A,0)),
IF(ISERROR(MATCH(D250,'Ist Aktuell Monat 04'!A:A,0))=FALSE,INDEX('Ist Aktuell Monat 04'!B:B,MATCH(D250,'Ist Aktuell Monat 04'!A:A,0)),
IF(ISERROR(MATCH(D250,'Ist Aktuell Monat 05'!A:A,0))=FALSE,INDEX('Ist Aktuell Monat 05'!B:B,MATCH(D250,'Ist Aktuell Monat 05'!A:A,0)),
IF(ISERROR(MATCH(D250,'Ist Aktuell Monat 06'!A:A,0))=FALSE,INDEX('Ist Aktuell Monat 06'!B:B,MATCH(D250,'Ist Aktuell Monat 06'!A:A,0)),
IF(ISERROR(MATCH(D250,'Ist Aktuell Monat 07'!A:A,0))=FALSE,INDEX('Ist Aktuell Monat 07'!B:B,MATCH(D250,'Ist Aktuell Monat 07'!A:A,0)),
IF(ISERROR(MATCH(D250,'Ist Aktuell Monat 08'!A:A,0))=FALSE,INDEX('Ist Aktuell Monat 08'!B:B,MATCH(D250,'Ist Aktuell Monat 08'!A:A,0)),
IF(ISERROR(MATCH(D250,'Ist Aktuell Monat 09'!A:A,0))=FALSE,INDEX('Ist Aktuell Monat 09'!B:B,MATCH(D250,'Ist Aktuell Monat 09'!A:A,0)),
IF(ISERROR(MATCH(D250,'Ist Aktuell Monat 10'!A:A,0))=FALSE,INDEX('Ist Aktuell Monat 10'!B:B,MATCH(D250,'Ist Aktuell Monat 10'!A:A,0)),
IF(ISERROR(MATCH(D250,'Ist Aktuell Monat 11'!A:A,0))=FALSE,INDEX('Ist Aktuell Monat 11'!B:B,MATCH(D250,'Ist Aktuell Monat 11'!A:A,0)),
IF(ISERROR(MATCH(D250,'Ist Aktuell Monat 12'!A:A,0))=FALSE,INDEX('Ist Aktuell Monat 12'!B:B,MATCH(D250,'Ist Aktuell Monat 12'!A:A,0)),
"{Konto unbekannt}"
)))))))))))),"")</f>
        <v/>
      </c>
      <c r="C250" s="591"/>
      <c r="D250" s="590"/>
      <c r="E250" s="592">
        <f t="shared" si="351"/>
        <v>1</v>
      </c>
      <c r="F250" s="590"/>
      <c r="G250" s="593">
        <f ca="1">$E250*(-SUMIF(INDIRECT(G$3),'Struktur Aktuell'!$D250,INDIRECT(G$4))+SUMIF(INDIRECT(G$3),'Struktur Aktuell'!$D250,INDIRECT(G$5)))</f>
        <v>0</v>
      </c>
      <c r="H250" s="593">
        <f ca="1">$E250*(-SUMIF(INDIRECT(H$3),'Struktur Aktuell'!$D250,INDIRECT(H$4))+SUMIF(INDIRECT(H$3),'Struktur Aktuell'!$D250,INDIRECT(H$5)))</f>
        <v>0</v>
      </c>
      <c r="I250" s="593">
        <f ca="1">$E250*(-SUMIF(INDIRECT(I$3),'Struktur Aktuell'!$D250,INDIRECT(I$4))+SUMIF(INDIRECT(I$3),'Struktur Aktuell'!$D250,INDIRECT(I$5)))</f>
        <v>0</v>
      </c>
      <c r="J250" s="593">
        <f ca="1">$E250*(-SUMIF(INDIRECT(J$3),'Struktur Aktuell'!$D250,INDIRECT(J$4))+SUMIF(INDIRECT(J$3),'Struktur Aktuell'!$D250,INDIRECT(J$5)))</f>
        <v>0</v>
      </c>
      <c r="K250" s="593">
        <f ca="1">$E250*(-SUMIF(INDIRECT(K$3),'Struktur Aktuell'!$D250,INDIRECT(K$4))+SUMIF(INDIRECT(K$3),'Struktur Aktuell'!$D250,INDIRECT(K$5)))</f>
        <v>0</v>
      </c>
      <c r="L250" s="593">
        <f ca="1">$E250*(-SUMIF(INDIRECT(L$3),'Struktur Aktuell'!$D250,INDIRECT(L$4))+SUMIF(INDIRECT(L$3),'Struktur Aktuell'!$D250,INDIRECT(L$5)))</f>
        <v>0</v>
      </c>
      <c r="M250" s="593">
        <f ca="1">$E250*(-SUMIF(INDIRECT(M$3),'Struktur Aktuell'!$D250,INDIRECT(M$4))+SUMIF(INDIRECT(M$3),'Struktur Aktuell'!$D250,INDIRECT(M$5)))</f>
        <v>0</v>
      </c>
      <c r="N250" s="593">
        <f ca="1">$E250*(-SUMIF(INDIRECT(N$3),'Struktur Aktuell'!$D250,INDIRECT(N$4))+SUMIF(INDIRECT(N$3),'Struktur Aktuell'!$D250,INDIRECT(N$5)))</f>
        <v>0</v>
      </c>
      <c r="O250" s="593">
        <f ca="1">$E250*(-SUMIF(INDIRECT(O$3),'Struktur Aktuell'!$D250,INDIRECT(O$4))+SUMIF(INDIRECT(O$3),'Struktur Aktuell'!$D250,INDIRECT(O$5)))</f>
        <v>0</v>
      </c>
      <c r="P250" s="593">
        <f ca="1">$E250*(-SUMIF(INDIRECT(P$3),'Struktur Aktuell'!$D250,INDIRECT(P$4))+SUMIF(INDIRECT(P$3),'Struktur Aktuell'!$D250,INDIRECT(P$5)))</f>
        <v>0</v>
      </c>
      <c r="Q250" s="593">
        <f ca="1">$E250*(-SUMIF(INDIRECT(Q$3),'Struktur Aktuell'!$D250,INDIRECT(Q$4))+SUMIF(INDIRECT(Q$3),'Struktur Aktuell'!$D250,INDIRECT(Q$5)))</f>
        <v>0</v>
      </c>
      <c r="R250" s="593">
        <f ca="1">$E250*(-SUMIF(INDIRECT(R$3),'Struktur Aktuell'!$D250,INDIRECT(R$4))+SUMIF(INDIRECT(R$3),'Struktur Aktuell'!$D250,INDIRECT(R$5)))</f>
        <v>0</v>
      </c>
      <c r="S250" s="593">
        <f ca="1">$E250*(-SUMIF(INDIRECT(S$3),'Struktur Aktuell'!$D250,INDIRECT(S$4))+SUMIF(INDIRECT(S$3),'Struktur Aktuell'!$D250,INDIRECT(S$5)))</f>
        <v>0</v>
      </c>
      <c r="T250" s="593">
        <f ca="1">$E250*(-SUMIF(INDIRECT(T$3),'Struktur Aktuell'!$D250,INDIRECT(T$4))+SUMIF(INDIRECT(T$3),'Struktur Aktuell'!$D250,INDIRECT(T$5)))</f>
        <v>0</v>
      </c>
      <c r="U250" s="593">
        <f ca="1">$E250*(-SUMIF(INDIRECT(U$3),'Struktur Aktuell'!$D250,INDIRECT(U$4))+SUMIF(INDIRECT(U$3),'Struktur Aktuell'!$D250,INDIRECT(U$5)))</f>
        <v>0</v>
      </c>
      <c r="V250" s="593">
        <f ca="1">$E250*(-SUMIF(INDIRECT(V$3),'Struktur Aktuell'!$D250,INDIRECT(V$4))+SUMIF(INDIRECT(V$3),'Struktur Aktuell'!$D250,INDIRECT(V$5)))</f>
        <v>0</v>
      </c>
      <c r="W250" s="593">
        <f ca="1">$E250*(-SUMIF(INDIRECT(W$3),'Struktur Aktuell'!$D250,INDIRECT(W$4))+SUMIF(INDIRECT(W$3),'Struktur Aktuell'!$D250,INDIRECT(W$5)))</f>
        <v>0</v>
      </c>
      <c r="X250" s="593">
        <f ca="1">$E250*(-SUMIF(INDIRECT(X$3),'Struktur Aktuell'!$D250,INDIRECT(X$4))+SUMIF(INDIRECT(X$3),'Struktur Aktuell'!$D250,INDIRECT(X$5)))</f>
        <v>0</v>
      </c>
      <c r="Y250" s="593">
        <f ca="1">$E250*(-SUMIF(INDIRECT(Y$3),'Struktur Aktuell'!$D250,INDIRECT(Y$4))+SUMIF(INDIRECT(Y$3),'Struktur Aktuell'!$D250,INDIRECT(Y$5)))</f>
        <v>0</v>
      </c>
      <c r="Z250" s="593">
        <f ca="1">$E250*(-SUMIF(INDIRECT(Z$3),'Struktur Aktuell'!$D250,INDIRECT(Z$4))+SUMIF(INDIRECT(Z$3),'Struktur Aktuell'!$D250,INDIRECT(Z$5)))</f>
        <v>0</v>
      </c>
      <c r="AA250" s="593">
        <f ca="1">$E250*(-SUMIF(INDIRECT(AA$3),'Struktur Aktuell'!$D250,INDIRECT(AA$4))+SUMIF(INDIRECT(AA$3),'Struktur Aktuell'!$D250,INDIRECT(AA$5)))</f>
        <v>0</v>
      </c>
      <c r="AB250" s="593">
        <f ca="1">$E250*(-SUMIF(INDIRECT(AB$3),'Struktur Aktuell'!$D250,INDIRECT(AB$4))+SUMIF(INDIRECT(AB$3),'Struktur Aktuell'!$D250,INDIRECT(AB$5)))</f>
        <v>0</v>
      </c>
      <c r="AC250" s="593">
        <f ca="1">$E250*(-SUMIF(INDIRECT(AC$3),'Struktur Aktuell'!$D250,INDIRECT(AC$4))+SUMIF(INDIRECT(AC$3),'Struktur Aktuell'!$D250,INDIRECT(AC$5)))</f>
        <v>0</v>
      </c>
      <c r="AD250" s="593">
        <f ca="1">$E250*(-SUMIF(INDIRECT(AD$3),'Struktur Aktuell'!$D250,INDIRECT(AD$4))+SUMIF(INDIRECT(AD$3),'Struktur Aktuell'!$D250,INDIRECT(AD$5)))</f>
        <v>0</v>
      </c>
      <c r="AE250" s="593">
        <f t="shared" ca="1" si="339"/>
        <v>0</v>
      </c>
      <c r="AF250" s="593">
        <f t="shared" ca="1" si="340"/>
        <v>0</v>
      </c>
      <c r="AG250" s="593">
        <f t="shared" ca="1" si="341"/>
        <v>0</v>
      </c>
      <c r="AH250" s="593">
        <f t="shared" ca="1" si="342"/>
        <v>0</v>
      </c>
      <c r="AI250" s="593">
        <f t="shared" ca="1" si="343"/>
        <v>0</v>
      </c>
      <c r="AJ250" s="593">
        <f t="shared" ca="1" si="344"/>
        <v>0</v>
      </c>
      <c r="AK250" s="593">
        <f t="shared" ca="1" si="345"/>
        <v>0</v>
      </c>
      <c r="AL250" s="593">
        <f t="shared" ca="1" si="346"/>
        <v>0</v>
      </c>
      <c r="AM250" s="593">
        <f t="shared" ca="1" si="347"/>
        <v>0</v>
      </c>
      <c r="AN250" s="593">
        <f t="shared" ca="1" si="348"/>
        <v>0</v>
      </c>
      <c r="AO250" s="593">
        <f t="shared" ca="1" si="349"/>
        <v>0</v>
      </c>
      <c r="AP250" s="593">
        <f t="shared" ca="1" si="350"/>
        <v>0</v>
      </c>
    </row>
    <row r="251" spans="1:42" s="594" customFormat="1" ht="11.25" outlineLevel="1" x14ac:dyDescent="0.2">
      <c r="A251" s="590"/>
      <c r="B251" s="591" t="str">
        <f>IF(D251&lt;&gt;"",
IF(ISERROR(MATCH(D251,'Ist Aktuell Monat 01'!A:A,0))=FALSE,INDEX('Ist Aktuell Monat 01'!B:B,MATCH(D251,'Ist Aktuell Monat 01'!A:A,0)),
IF(ISERROR(MATCH(D251,'Ist Aktuell Monat 02'!A:A,0))=FALSE,INDEX('Ist Aktuell Monat 02'!B:B,MATCH(D251,'Ist Aktuell Monat 02'!A:A,0)),
IF(ISERROR(MATCH(D251,'Ist Aktuell Monat 03'!A:A,0))=FALSE,INDEX('Ist Aktuell Monat 03'!B:B,MATCH(D251,'Ist Aktuell Monat 03'!A:A,0)),
IF(ISERROR(MATCH(D251,'Ist Aktuell Monat 04'!A:A,0))=FALSE,INDEX('Ist Aktuell Monat 04'!B:B,MATCH(D251,'Ist Aktuell Monat 04'!A:A,0)),
IF(ISERROR(MATCH(D251,'Ist Aktuell Monat 05'!A:A,0))=FALSE,INDEX('Ist Aktuell Monat 05'!B:B,MATCH(D251,'Ist Aktuell Monat 05'!A:A,0)),
IF(ISERROR(MATCH(D251,'Ist Aktuell Monat 06'!A:A,0))=FALSE,INDEX('Ist Aktuell Monat 06'!B:B,MATCH(D251,'Ist Aktuell Monat 06'!A:A,0)),
IF(ISERROR(MATCH(D251,'Ist Aktuell Monat 07'!A:A,0))=FALSE,INDEX('Ist Aktuell Monat 07'!B:B,MATCH(D251,'Ist Aktuell Monat 07'!A:A,0)),
IF(ISERROR(MATCH(D251,'Ist Aktuell Monat 08'!A:A,0))=FALSE,INDEX('Ist Aktuell Monat 08'!B:B,MATCH(D251,'Ist Aktuell Monat 08'!A:A,0)),
IF(ISERROR(MATCH(D251,'Ist Aktuell Monat 09'!A:A,0))=FALSE,INDEX('Ist Aktuell Monat 09'!B:B,MATCH(D251,'Ist Aktuell Monat 09'!A:A,0)),
IF(ISERROR(MATCH(D251,'Ist Aktuell Monat 10'!A:A,0))=FALSE,INDEX('Ist Aktuell Monat 10'!B:B,MATCH(D251,'Ist Aktuell Monat 10'!A:A,0)),
IF(ISERROR(MATCH(D251,'Ist Aktuell Monat 11'!A:A,0))=FALSE,INDEX('Ist Aktuell Monat 11'!B:B,MATCH(D251,'Ist Aktuell Monat 11'!A:A,0)),
IF(ISERROR(MATCH(D251,'Ist Aktuell Monat 12'!A:A,0))=FALSE,INDEX('Ist Aktuell Monat 12'!B:B,MATCH(D251,'Ist Aktuell Monat 12'!A:A,0)),
"{Konto unbekannt}"
)))))))))))),"")</f>
        <v/>
      </c>
      <c r="C251" s="591"/>
      <c r="D251" s="590"/>
      <c r="E251" s="592">
        <f t="shared" si="308"/>
        <v>1</v>
      </c>
      <c r="F251" s="590"/>
      <c r="G251" s="593">
        <f ca="1">$E251*(-SUMIF(INDIRECT(G$3),'Struktur Aktuell'!$D251,INDIRECT(G$4))+SUMIF(INDIRECT(G$3),'Struktur Aktuell'!$D251,INDIRECT(G$5)))</f>
        <v>0</v>
      </c>
      <c r="H251" s="593">
        <f ca="1">$E251*(-SUMIF(INDIRECT(H$3),'Struktur Aktuell'!$D251,INDIRECT(H$4))+SUMIF(INDIRECT(H$3),'Struktur Aktuell'!$D251,INDIRECT(H$5)))</f>
        <v>0</v>
      </c>
      <c r="I251" s="593">
        <f ca="1">$E251*(-SUMIF(INDIRECT(I$3),'Struktur Aktuell'!$D251,INDIRECT(I$4))+SUMIF(INDIRECT(I$3),'Struktur Aktuell'!$D251,INDIRECT(I$5)))</f>
        <v>0</v>
      </c>
      <c r="J251" s="593">
        <f ca="1">$E251*(-SUMIF(INDIRECT(J$3),'Struktur Aktuell'!$D251,INDIRECT(J$4))+SUMIF(INDIRECT(J$3),'Struktur Aktuell'!$D251,INDIRECT(J$5)))</f>
        <v>0</v>
      </c>
      <c r="K251" s="593">
        <f ca="1">$E251*(-SUMIF(INDIRECT(K$3),'Struktur Aktuell'!$D251,INDIRECT(K$4))+SUMIF(INDIRECT(K$3),'Struktur Aktuell'!$D251,INDIRECT(K$5)))</f>
        <v>0</v>
      </c>
      <c r="L251" s="593">
        <f ca="1">$E251*(-SUMIF(INDIRECT(L$3),'Struktur Aktuell'!$D251,INDIRECT(L$4))+SUMIF(INDIRECT(L$3),'Struktur Aktuell'!$D251,INDIRECT(L$5)))</f>
        <v>0</v>
      </c>
      <c r="M251" s="593">
        <f ca="1">$E251*(-SUMIF(INDIRECT(M$3),'Struktur Aktuell'!$D251,INDIRECT(M$4))+SUMIF(INDIRECT(M$3),'Struktur Aktuell'!$D251,INDIRECT(M$5)))</f>
        <v>0</v>
      </c>
      <c r="N251" s="593">
        <f ca="1">$E251*(-SUMIF(INDIRECT(N$3),'Struktur Aktuell'!$D251,INDIRECT(N$4))+SUMIF(INDIRECT(N$3),'Struktur Aktuell'!$D251,INDIRECT(N$5)))</f>
        <v>0</v>
      </c>
      <c r="O251" s="593">
        <f ca="1">$E251*(-SUMIF(INDIRECT(O$3),'Struktur Aktuell'!$D251,INDIRECT(O$4))+SUMIF(INDIRECT(O$3),'Struktur Aktuell'!$D251,INDIRECT(O$5)))</f>
        <v>0</v>
      </c>
      <c r="P251" s="593">
        <f ca="1">$E251*(-SUMIF(INDIRECT(P$3),'Struktur Aktuell'!$D251,INDIRECT(P$4))+SUMIF(INDIRECT(P$3),'Struktur Aktuell'!$D251,INDIRECT(P$5)))</f>
        <v>0</v>
      </c>
      <c r="Q251" s="593">
        <f ca="1">$E251*(-SUMIF(INDIRECT(Q$3),'Struktur Aktuell'!$D251,INDIRECT(Q$4))+SUMIF(INDIRECT(Q$3),'Struktur Aktuell'!$D251,INDIRECT(Q$5)))</f>
        <v>0</v>
      </c>
      <c r="R251" s="593">
        <f ca="1">$E251*(-SUMIF(INDIRECT(R$3),'Struktur Aktuell'!$D251,INDIRECT(R$4))+SUMIF(INDIRECT(R$3),'Struktur Aktuell'!$D251,INDIRECT(R$5)))</f>
        <v>0</v>
      </c>
      <c r="S251" s="593">
        <f ca="1">$E251*(-SUMIF(INDIRECT(S$3),'Struktur Aktuell'!$D251,INDIRECT(S$4))+SUMIF(INDIRECT(S$3),'Struktur Aktuell'!$D251,INDIRECT(S$5)))</f>
        <v>0</v>
      </c>
      <c r="T251" s="593">
        <f ca="1">$E251*(-SUMIF(INDIRECT(T$3),'Struktur Aktuell'!$D251,INDIRECT(T$4))+SUMIF(INDIRECT(T$3),'Struktur Aktuell'!$D251,INDIRECT(T$5)))</f>
        <v>0</v>
      </c>
      <c r="U251" s="593">
        <f ca="1">$E251*(-SUMIF(INDIRECT(U$3),'Struktur Aktuell'!$D251,INDIRECT(U$4))+SUMIF(INDIRECT(U$3),'Struktur Aktuell'!$D251,INDIRECT(U$5)))</f>
        <v>0</v>
      </c>
      <c r="V251" s="593">
        <f ca="1">$E251*(-SUMIF(INDIRECT(V$3),'Struktur Aktuell'!$D251,INDIRECT(V$4))+SUMIF(INDIRECT(V$3),'Struktur Aktuell'!$D251,INDIRECT(V$5)))</f>
        <v>0</v>
      </c>
      <c r="W251" s="593">
        <f ca="1">$E251*(-SUMIF(INDIRECT(W$3),'Struktur Aktuell'!$D251,INDIRECT(W$4))+SUMIF(INDIRECT(W$3),'Struktur Aktuell'!$D251,INDIRECT(W$5)))</f>
        <v>0</v>
      </c>
      <c r="X251" s="593">
        <f ca="1">$E251*(-SUMIF(INDIRECT(X$3),'Struktur Aktuell'!$D251,INDIRECT(X$4))+SUMIF(INDIRECT(X$3),'Struktur Aktuell'!$D251,INDIRECT(X$5)))</f>
        <v>0</v>
      </c>
      <c r="Y251" s="593">
        <f ca="1">$E251*(-SUMIF(INDIRECT(Y$3),'Struktur Aktuell'!$D251,INDIRECT(Y$4))+SUMIF(INDIRECT(Y$3),'Struktur Aktuell'!$D251,INDIRECT(Y$5)))</f>
        <v>0</v>
      </c>
      <c r="Z251" s="593">
        <f ca="1">$E251*(-SUMIF(INDIRECT(Z$3),'Struktur Aktuell'!$D251,INDIRECT(Z$4))+SUMIF(INDIRECT(Z$3),'Struktur Aktuell'!$D251,INDIRECT(Z$5)))</f>
        <v>0</v>
      </c>
      <c r="AA251" s="593">
        <f ca="1">$E251*(-SUMIF(INDIRECT(AA$3),'Struktur Aktuell'!$D251,INDIRECT(AA$4))+SUMIF(INDIRECT(AA$3),'Struktur Aktuell'!$D251,INDIRECT(AA$5)))</f>
        <v>0</v>
      </c>
      <c r="AB251" s="593">
        <f ca="1">$E251*(-SUMIF(INDIRECT(AB$3),'Struktur Aktuell'!$D251,INDIRECT(AB$4))+SUMIF(INDIRECT(AB$3),'Struktur Aktuell'!$D251,INDIRECT(AB$5)))</f>
        <v>0</v>
      </c>
      <c r="AC251" s="593">
        <f ca="1">$E251*(-SUMIF(INDIRECT(AC$3),'Struktur Aktuell'!$D251,INDIRECT(AC$4))+SUMIF(INDIRECT(AC$3),'Struktur Aktuell'!$D251,INDIRECT(AC$5)))</f>
        <v>0</v>
      </c>
      <c r="AD251" s="593">
        <f ca="1">$E251*(-SUMIF(INDIRECT(AD$3),'Struktur Aktuell'!$D251,INDIRECT(AD$4))+SUMIF(INDIRECT(AD$3),'Struktur Aktuell'!$D251,INDIRECT(AD$5)))</f>
        <v>0</v>
      </c>
      <c r="AE251" s="593">
        <f t="shared" ca="1" si="339"/>
        <v>0</v>
      </c>
      <c r="AF251" s="593">
        <f t="shared" ca="1" si="340"/>
        <v>0</v>
      </c>
      <c r="AG251" s="593">
        <f t="shared" ca="1" si="341"/>
        <v>0</v>
      </c>
      <c r="AH251" s="593">
        <f t="shared" ca="1" si="342"/>
        <v>0</v>
      </c>
      <c r="AI251" s="593">
        <f t="shared" ca="1" si="343"/>
        <v>0</v>
      </c>
      <c r="AJ251" s="593">
        <f t="shared" ca="1" si="344"/>
        <v>0</v>
      </c>
      <c r="AK251" s="593">
        <f t="shared" ca="1" si="345"/>
        <v>0</v>
      </c>
      <c r="AL251" s="593">
        <f t="shared" ca="1" si="346"/>
        <v>0</v>
      </c>
      <c r="AM251" s="593">
        <f t="shared" ca="1" si="347"/>
        <v>0</v>
      </c>
      <c r="AN251" s="593">
        <f t="shared" ca="1" si="348"/>
        <v>0</v>
      </c>
      <c r="AO251" s="593">
        <f t="shared" ca="1" si="349"/>
        <v>0</v>
      </c>
      <c r="AP251" s="593">
        <f t="shared" ca="1" si="350"/>
        <v>0</v>
      </c>
    </row>
    <row r="252" spans="1:42" s="594" customFormat="1" ht="11.25" outlineLevel="1" x14ac:dyDescent="0.2">
      <c r="A252" s="590"/>
      <c r="B252" s="591" t="str">
        <f>IF(D252&lt;&gt;"",
IF(ISERROR(MATCH(D252,'Ist Aktuell Monat 01'!A:A,0))=FALSE,INDEX('Ist Aktuell Monat 01'!B:B,MATCH(D252,'Ist Aktuell Monat 01'!A:A,0)),
IF(ISERROR(MATCH(D252,'Ist Aktuell Monat 02'!A:A,0))=FALSE,INDEX('Ist Aktuell Monat 02'!B:B,MATCH(D252,'Ist Aktuell Monat 02'!A:A,0)),
IF(ISERROR(MATCH(D252,'Ist Aktuell Monat 03'!A:A,0))=FALSE,INDEX('Ist Aktuell Monat 03'!B:B,MATCH(D252,'Ist Aktuell Monat 03'!A:A,0)),
IF(ISERROR(MATCH(D252,'Ist Aktuell Monat 04'!A:A,0))=FALSE,INDEX('Ist Aktuell Monat 04'!B:B,MATCH(D252,'Ist Aktuell Monat 04'!A:A,0)),
IF(ISERROR(MATCH(D252,'Ist Aktuell Monat 05'!A:A,0))=FALSE,INDEX('Ist Aktuell Monat 05'!B:B,MATCH(D252,'Ist Aktuell Monat 05'!A:A,0)),
IF(ISERROR(MATCH(D252,'Ist Aktuell Monat 06'!A:A,0))=FALSE,INDEX('Ist Aktuell Monat 06'!B:B,MATCH(D252,'Ist Aktuell Monat 06'!A:A,0)),
IF(ISERROR(MATCH(D252,'Ist Aktuell Monat 07'!A:A,0))=FALSE,INDEX('Ist Aktuell Monat 07'!B:B,MATCH(D252,'Ist Aktuell Monat 07'!A:A,0)),
IF(ISERROR(MATCH(D252,'Ist Aktuell Monat 08'!A:A,0))=FALSE,INDEX('Ist Aktuell Monat 08'!B:B,MATCH(D252,'Ist Aktuell Monat 08'!A:A,0)),
IF(ISERROR(MATCH(D252,'Ist Aktuell Monat 09'!A:A,0))=FALSE,INDEX('Ist Aktuell Monat 09'!B:B,MATCH(D252,'Ist Aktuell Monat 09'!A:A,0)),
IF(ISERROR(MATCH(D252,'Ist Aktuell Monat 10'!A:A,0))=FALSE,INDEX('Ist Aktuell Monat 10'!B:B,MATCH(D252,'Ist Aktuell Monat 10'!A:A,0)),
IF(ISERROR(MATCH(D252,'Ist Aktuell Monat 11'!A:A,0))=FALSE,INDEX('Ist Aktuell Monat 11'!B:B,MATCH(D252,'Ist Aktuell Monat 11'!A:A,0)),
IF(ISERROR(MATCH(D252,'Ist Aktuell Monat 12'!A:A,0))=FALSE,INDEX('Ist Aktuell Monat 12'!B:B,MATCH(D252,'Ist Aktuell Monat 12'!A:A,0)),
"{Konto unbekannt}"
)))))))))))),"")</f>
        <v/>
      </c>
      <c r="C252" s="591"/>
      <c r="D252" s="590"/>
      <c r="E252" s="592">
        <f t="shared" ref="E252:E253" si="352">IF(F252="-",-1,1)</f>
        <v>1</v>
      </c>
      <c r="F252" s="590"/>
      <c r="G252" s="593">
        <f ca="1">$E252*(-SUMIF(INDIRECT(G$3),'Struktur Aktuell'!$D252,INDIRECT(G$4))+SUMIF(INDIRECT(G$3),'Struktur Aktuell'!$D252,INDIRECT(G$5)))</f>
        <v>0</v>
      </c>
      <c r="H252" s="593">
        <f ca="1">$E252*(-SUMIF(INDIRECT(H$3),'Struktur Aktuell'!$D252,INDIRECT(H$4))+SUMIF(INDIRECT(H$3),'Struktur Aktuell'!$D252,INDIRECT(H$5)))</f>
        <v>0</v>
      </c>
      <c r="I252" s="593">
        <f ca="1">$E252*(-SUMIF(INDIRECT(I$3),'Struktur Aktuell'!$D252,INDIRECT(I$4))+SUMIF(INDIRECT(I$3),'Struktur Aktuell'!$D252,INDIRECT(I$5)))</f>
        <v>0</v>
      </c>
      <c r="J252" s="593">
        <f ca="1">$E252*(-SUMIF(INDIRECT(J$3),'Struktur Aktuell'!$D252,INDIRECT(J$4))+SUMIF(INDIRECT(J$3),'Struktur Aktuell'!$D252,INDIRECT(J$5)))</f>
        <v>0</v>
      </c>
      <c r="K252" s="593">
        <f ca="1">$E252*(-SUMIF(INDIRECT(K$3),'Struktur Aktuell'!$D252,INDIRECT(K$4))+SUMIF(INDIRECT(K$3),'Struktur Aktuell'!$D252,INDIRECT(K$5)))</f>
        <v>0</v>
      </c>
      <c r="L252" s="593">
        <f ca="1">$E252*(-SUMIF(INDIRECT(L$3),'Struktur Aktuell'!$D252,INDIRECT(L$4))+SUMIF(INDIRECT(L$3),'Struktur Aktuell'!$D252,INDIRECT(L$5)))</f>
        <v>0</v>
      </c>
      <c r="M252" s="593">
        <f ca="1">$E252*(-SUMIF(INDIRECT(M$3),'Struktur Aktuell'!$D252,INDIRECT(M$4))+SUMIF(INDIRECT(M$3),'Struktur Aktuell'!$D252,INDIRECT(M$5)))</f>
        <v>0</v>
      </c>
      <c r="N252" s="593">
        <f ca="1">$E252*(-SUMIF(INDIRECT(N$3),'Struktur Aktuell'!$D252,INDIRECT(N$4))+SUMIF(INDIRECT(N$3),'Struktur Aktuell'!$D252,INDIRECT(N$5)))</f>
        <v>0</v>
      </c>
      <c r="O252" s="593">
        <f ca="1">$E252*(-SUMIF(INDIRECT(O$3),'Struktur Aktuell'!$D252,INDIRECT(O$4))+SUMIF(INDIRECT(O$3),'Struktur Aktuell'!$D252,INDIRECT(O$5)))</f>
        <v>0</v>
      </c>
      <c r="P252" s="593">
        <f ca="1">$E252*(-SUMIF(INDIRECT(P$3),'Struktur Aktuell'!$D252,INDIRECT(P$4))+SUMIF(INDIRECT(P$3),'Struktur Aktuell'!$D252,INDIRECT(P$5)))</f>
        <v>0</v>
      </c>
      <c r="Q252" s="593">
        <f ca="1">$E252*(-SUMIF(INDIRECT(Q$3),'Struktur Aktuell'!$D252,INDIRECT(Q$4))+SUMIF(INDIRECT(Q$3),'Struktur Aktuell'!$D252,INDIRECT(Q$5)))</f>
        <v>0</v>
      </c>
      <c r="R252" s="593">
        <f ca="1">$E252*(-SUMIF(INDIRECT(R$3),'Struktur Aktuell'!$D252,INDIRECT(R$4))+SUMIF(INDIRECT(R$3),'Struktur Aktuell'!$D252,INDIRECT(R$5)))</f>
        <v>0</v>
      </c>
      <c r="S252" s="593">
        <f ca="1">$E252*(-SUMIF(INDIRECT(S$3),'Struktur Aktuell'!$D252,INDIRECT(S$4))+SUMIF(INDIRECT(S$3),'Struktur Aktuell'!$D252,INDIRECT(S$5)))</f>
        <v>0</v>
      </c>
      <c r="T252" s="593">
        <f ca="1">$E252*(-SUMIF(INDIRECT(T$3),'Struktur Aktuell'!$D252,INDIRECT(T$4))+SUMIF(INDIRECT(T$3),'Struktur Aktuell'!$D252,INDIRECT(T$5)))</f>
        <v>0</v>
      </c>
      <c r="U252" s="593">
        <f ca="1">$E252*(-SUMIF(INDIRECT(U$3),'Struktur Aktuell'!$D252,INDIRECT(U$4))+SUMIF(INDIRECT(U$3),'Struktur Aktuell'!$D252,INDIRECT(U$5)))</f>
        <v>0</v>
      </c>
      <c r="V252" s="593">
        <f ca="1">$E252*(-SUMIF(INDIRECT(V$3),'Struktur Aktuell'!$D252,INDIRECT(V$4))+SUMIF(INDIRECT(V$3),'Struktur Aktuell'!$D252,INDIRECT(V$5)))</f>
        <v>0</v>
      </c>
      <c r="W252" s="593">
        <f ca="1">$E252*(-SUMIF(INDIRECT(W$3),'Struktur Aktuell'!$D252,INDIRECT(W$4))+SUMIF(INDIRECT(W$3),'Struktur Aktuell'!$D252,INDIRECT(W$5)))</f>
        <v>0</v>
      </c>
      <c r="X252" s="593">
        <f ca="1">$E252*(-SUMIF(INDIRECT(X$3),'Struktur Aktuell'!$D252,INDIRECT(X$4))+SUMIF(INDIRECT(X$3),'Struktur Aktuell'!$D252,INDIRECT(X$5)))</f>
        <v>0</v>
      </c>
      <c r="Y252" s="593">
        <f ca="1">$E252*(-SUMIF(INDIRECT(Y$3),'Struktur Aktuell'!$D252,INDIRECT(Y$4))+SUMIF(INDIRECT(Y$3),'Struktur Aktuell'!$D252,INDIRECT(Y$5)))</f>
        <v>0</v>
      </c>
      <c r="Z252" s="593">
        <f ca="1">$E252*(-SUMIF(INDIRECT(Z$3),'Struktur Aktuell'!$D252,INDIRECT(Z$4))+SUMIF(INDIRECT(Z$3),'Struktur Aktuell'!$D252,INDIRECT(Z$5)))</f>
        <v>0</v>
      </c>
      <c r="AA252" s="593">
        <f ca="1">$E252*(-SUMIF(INDIRECT(AA$3),'Struktur Aktuell'!$D252,INDIRECT(AA$4))+SUMIF(INDIRECT(AA$3),'Struktur Aktuell'!$D252,INDIRECT(AA$5)))</f>
        <v>0</v>
      </c>
      <c r="AB252" s="593">
        <f ca="1">$E252*(-SUMIF(INDIRECT(AB$3),'Struktur Aktuell'!$D252,INDIRECT(AB$4))+SUMIF(INDIRECT(AB$3),'Struktur Aktuell'!$D252,INDIRECT(AB$5)))</f>
        <v>0</v>
      </c>
      <c r="AC252" s="593">
        <f ca="1">$E252*(-SUMIF(INDIRECT(AC$3),'Struktur Aktuell'!$D252,INDIRECT(AC$4))+SUMIF(INDIRECT(AC$3),'Struktur Aktuell'!$D252,INDIRECT(AC$5)))</f>
        <v>0</v>
      </c>
      <c r="AD252" s="593">
        <f ca="1">$E252*(-SUMIF(INDIRECT(AD$3),'Struktur Aktuell'!$D252,INDIRECT(AD$4))+SUMIF(INDIRECT(AD$3),'Struktur Aktuell'!$D252,INDIRECT(AD$5)))</f>
        <v>0</v>
      </c>
      <c r="AE252" s="593">
        <f t="shared" ca="1" si="339"/>
        <v>0</v>
      </c>
      <c r="AF252" s="593">
        <f t="shared" ca="1" si="340"/>
        <v>0</v>
      </c>
      <c r="AG252" s="593">
        <f t="shared" ca="1" si="341"/>
        <v>0</v>
      </c>
      <c r="AH252" s="593">
        <f t="shared" ca="1" si="342"/>
        <v>0</v>
      </c>
      <c r="AI252" s="593">
        <f t="shared" ca="1" si="343"/>
        <v>0</v>
      </c>
      <c r="AJ252" s="593">
        <f t="shared" ca="1" si="344"/>
        <v>0</v>
      </c>
      <c r="AK252" s="593">
        <f t="shared" ca="1" si="345"/>
        <v>0</v>
      </c>
      <c r="AL252" s="593">
        <f t="shared" ca="1" si="346"/>
        <v>0</v>
      </c>
      <c r="AM252" s="593">
        <f t="shared" ca="1" si="347"/>
        <v>0</v>
      </c>
      <c r="AN252" s="593">
        <f t="shared" ca="1" si="348"/>
        <v>0</v>
      </c>
      <c r="AO252" s="593">
        <f t="shared" ca="1" si="349"/>
        <v>0</v>
      </c>
      <c r="AP252" s="593">
        <f t="shared" ca="1" si="350"/>
        <v>0</v>
      </c>
    </row>
    <row r="253" spans="1:42" s="594" customFormat="1" ht="11.25" outlineLevel="1" x14ac:dyDescent="0.2">
      <c r="A253" s="590"/>
      <c r="B253" s="591" t="str">
        <f>IF(D253&lt;&gt;"",
IF(ISERROR(MATCH(D253,'Ist Aktuell Monat 01'!A:A,0))=FALSE,INDEX('Ist Aktuell Monat 01'!B:B,MATCH(D253,'Ist Aktuell Monat 01'!A:A,0)),
IF(ISERROR(MATCH(D253,'Ist Aktuell Monat 02'!A:A,0))=FALSE,INDEX('Ist Aktuell Monat 02'!B:B,MATCH(D253,'Ist Aktuell Monat 02'!A:A,0)),
IF(ISERROR(MATCH(D253,'Ist Aktuell Monat 03'!A:A,0))=FALSE,INDEX('Ist Aktuell Monat 03'!B:B,MATCH(D253,'Ist Aktuell Monat 03'!A:A,0)),
IF(ISERROR(MATCH(D253,'Ist Aktuell Monat 04'!A:A,0))=FALSE,INDEX('Ist Aktuell Monat 04'!B:B,MATCH(D253,'Ist Aktuell Monat 04'!A:A,0)),
IF(ISERROR(MATCH(D253,'Ist Aktuell Monat 05'!A:A,0))=FALSE,INDEX('Ist Aktuell Monat 05'!B:B,MATCH(D253,'Ist Aktuell Monat 05'!A:A,0)),
IF(ISERROR(MATCH(D253,'Ist Aktuell Monat 06'!A:A,0))=FALSE,INDEX('Ist Aktuell Monat 06'!B:B,MATCH(D253,'Ist Aktuell Monat 06'!A:A,0)),
IF(ISERROR(MATCH(D253,'Ist Aktuell Monat 07'!A:A,0))=FALSE,INDEX('Ist Aktuell Monat 07'!B:B,MATCH(D253,'Ist Aktuell Monat 07'!A:A,0)),
IF(ISERROR(MATCH(D253,'Ist Aktuell Monat 08'!A:A,0))=FALSE,INDEX('Ist Aktuell Monat 08'!B:B,MATCH(D253,'Ist Aktuell Monat 08'!A:A,0)),
IF(ISERROR(MATCH(D253,'Ist Aktuell Monat 09'!A:A,0))=FALSE,INDEX('Ist Aktuell Monat 09'!B:B,MATCH(D253,'Ist Aktuell Monat 09'!A:A,0)),
IF(ISERROR(MATCH(D253,'Ist Aktuell Monat 10'!A:A,0))=FALSE,INDEX('Ist Aktuell Monat 10'!B:B,MATCH(D253,'Ist Aktuell Monat 10'!A:A,0)),
IF(ISERROR(MATCH(D253,'Ist Aktuell Monat 11'!A:A,0))=FALSE,INDEX('Ist Aktuell Monat 11'!B:B,MATCH(D253,'Ist Aktuell Monat 11'!A:A,0)),
IF(ISERROR(MATCH(D253,'Ist Aktuell Monat 12'!A:A,0))=FALSE,INDEX('Ist Aktuell Monat 12'!B:B,MATCH(D253,'Ist Aktuell Monat 12'!A:A,0)),
"{Konto unbekannt}"
)))))))))))),"")</f>
        <v/>
      </c>
      <c r="C253" s="591"/>
      <c r="D253" s="590"/>
      <c r="E253" s="592">
        <f t="shared" si="352"/>
        <v>1</v>
      </c>
      <c r="F253" s="590"/>
      <c r="G253" s="593">
        <f ca="1">$E253*(-SUMIF(INDIRECT(G$3),'Struktur Aktuell'!$D253,INDIRECT(G$4))+SUMIF(INDIRECT(G$3),'Struktur Aktuell'!$D253,INDIRECT(G$5)))</f>
        <v>0</v>
      </c>
      <c r="H253" s="593">
        <f ca="1">$E253*(-SUMIF(INDIRECT(H$3),'Struktur Aktuell'!$D253,INDIRECT(H$4))+SUMIF(INDIRECT(H$3),'Struktur Aktuell'!$D253,INDIRECT(H$5)))</f>
        <v>0</v>
      </c>
      <c r="I253" s="593">
        <f ca="1">$E253*(-SUMIF(INDIRECT(I$3),'Struktur Aktuell'!$D253,INDIRECT(I$4))+SUMIF(INDIRECT(I$3),'Struktur Aktuell'!$D253,INDIRECT(I$5)))</f>
        <v>0</v>
      </c>
      <c r="J253" s="593">
        <f ca="1">$E253*(-SUMIF(INDIRECT(J$3),'Struktur Aktuell'!$D253,INDIRECT(J$4))+SUMIF(INDIRECT(J$3),'Struktur Aktuell'!$D253,INDIRECT(J$5)))</f>
        <v>0</v>
      </c>
      <c r="K253" s="593">
        <f ca="1">$E253*(-SUMIF(INDIRECT(K$3),'Struktur Aktuell'!$D253,INDIRECT(K$4))+SUMIF(INDIRECT(K$3),'Struktur Aktuell'!$D253,INDIRECT(K$5)))</f>
        <v>0</v>
      </c>
      <c r="L253" s="593">
        <f ca="1">$E253*(-SUMIF(INDIRECT(L$3),'Struktur Aktuell'!$D253,INDIRECT(L$4))+SUMIF(INDIRECT(L$3),'Struktur Aktuell'!$D253,INDIRECT(L$5)))</f>
        <v>0</v>
      </c>
      <c r="M253" s="593">
        <f ca="1">$E253*(-SUMIF(INDIRECT(M$3),'Struktur Aktuell'!$D253,INDIRECT(M$4))+SUMIF(INDIRECT(M$3),'Struktur Aktuell'!$D253,INDIRECT(M$5)))</f>
        <v>0</v>
      </c>
      <c r="N253" s="593">
        <f ca="1">$E253*(-SUMIF(INDIRECT(N$3),'Struktur Aktuell'!$D253,INDIRECT(N$4))+SUMIF(INDIRECT(N$3),'Struktur Aktuell'!$D253,INDIRECT(N$5)))</f>
        <v>0</v>
      </c>
      <c r="O253" s="593">
        <f ca="1">$E253*(-SUMIF(INDIRECT(O$3),'Struktur Aktuell'!$D253,INDIRECT(O$4))+SUMIF(INDIRECT(O$3),'Struktur Aktuell'!$D253,INDIRECT(O$5)))</f>
        <v>0</v>
      </c>
      <c r="P253" s="593">
        <f ca="1">$E253*(-SUMIF(INDIRECT(P$3),'Struktur Aktuell'!$D253,INDIRECT(P$4))+SUMIF(INDIRECT(P$3),'Struktur Aktuell'!$D253,INDIRECT(P$5)))</f>
        <v>0</v>
      </c>
      <c r="Q253" s="593">
        <f ca="1">$E253*(-SUMIF(INDIRECT(Q$3),'Struktur Aktuell'!$D253,INDIRECT(Q$4))+SUMIF(INDIRECT(Q$3),'Struktur Aktuell'!$D253,INDIRECT(Q$5)))</f>
        <v>0</v>
      </c>
      <c r="R253" s="593">
        <f ca="1">$E253*(-SUMIF(INDIRECT(R$3),'Struktur Aktuell'!$D253,INDIRECT(R$4))+SUMIF(INDIRECT(R$3),'Struktur Aktuell'!$D253,INDIRECT(R$5)))</f>
        <v>0</v>
      </c>
      <c r="S253" s="593">
        <f ca="1">$E253*(-SUMIF(INDIRECT(S$3),'Struktur Aktuell'!$D253,INDIRECT(S$4))+SUMIF(INDIRECT(S$3),'Struktur Aktuell'!$D253,INDIRECT(S$5)))</f>
        <v>0</v>
      </c>
      <c r="T253" s="593">
        <f ca="1">$E253*(-SUMIF(INDIRECT(T$3),'Struktur Aktuell'!$D253,INDIRECT(T$4))+SUMIF(INDIRECT(T$3),'Struktur Aktuell'!$D253,INDIRECT(T$5)))</f>
        <v>0</v>
      </c>
      <c r="U253" s="593">
        <f ca="1">$E253*(-SUMIF(INDIRECT(U$3),'Struktur Aktuell'!$D253,INDIRECT(U$4))+SUMIF(INDIRECT(U$3),'Struktur Aktuell'!$D253,INDIRECT(U$5)))</f>
        <v>0</v>
      </c>
      <c r="V253" s="593">
        <f ca="1">$E253*(-SUMIF(INDIRECT(V$3),'Struktur Aktuell'!$D253,INDIRECT(V$4))+SUMIF(INDIRECT(V$3),'Struktur Aktuell'!$D253,INDIRECT(V$5)))</f>
        <v>0</v>
      </c>
      <c r="W253" s="593">
        <f ca="1">$E253*(-SUMIF(INDIRECT(W$3),'Struktur Aktuell'!$D253,INDIRECT(W$4))+SUMIF(INDIRECT(W$3),'Struktur Aktuell'!$D253,INDIRECT(W$5)))</f>
        <v>0</v>
      </c>
      <c r="X253" s="593">
        <f ca="1">$E253*(-SUMIF(INDIRECT(X$3),'Struktur Aktuell'!$D253,INDIRECT(X$4))+SUMIF(INDIRECT(X$3),'Struktur Aktuell'!$D253,INDIRECT(X$5)))</f>
        <v>0</v>
      </c>
      <c r="Y253" s="593">
        <f ca="1">$E253*(-SUMIF(INDIRECT(Y$3),'Struktur Aktuell'!$D253,INDIRECT(Y$4))+SUMIF(INDIRECT(Y$3),'Struktur Aktuell'!$D253,INDIRECT(Y$5)))</f>
        <v>0</v>
      </c>
      <c r="Z253" s="593">
        <f ca="1">$E253*(-SUMIF(INDIRECT(Z$3),'Struktur Aktuell'!$D253,INDIRECT(Z$4))+SUMIF(INDIRECT(Z$3),'Struktur Aktuell'!$D253,INDIRECT(Z$5)))</f>
        <v>0</v>
      </c>
      <c r="AA253" s="593">
        <f ca="1">$E253*(-SUMIF(INDIRECT(AA$3),'Struktur Aktuell'!$D253,INDIRECT(AA$4))+SUMIF(INDIRECT(AA$3),'Struktur Aktuell'!$D253,INDIRECT(AA$5)))</f>
        <v>0</v>
      </c>
      <c r="AB253" s="593">
        <f ca="1">$E253*(-SUMIF(INDIRECT(AB$3),'Struktur Aktuell'!$D253,INDIRECT(AB$4))+SUMIF(INDIRECT(AB$3),'Struktur Aktuell'!$D253,INDIRECT(AB$5)))</f>
        <v>0</v>
      </c>
      <c r="AC253" s="593">
        <f ca="1">$E253*(-SUMIF(INDIRECT(AC$3),'Struktur Aktuell'!$D253,INDIRECT(AC$4))+SUMIF(INDIRECT(AC$3),'Struktur Aktuell'!$D253,INDIRECT(AC$5)))</f>
        <v>0</v>
      </c>
      <c r="AD253" s="593">
        <f ca="1">$E253*(-SUMIF(INDIRECT(AD$3),'Struktur Aktuell'!$D253,INDIRECT(AD$4))+SUMIF(INDIRECT(AD$3),'Struktur Aktuell'!$D253,INDIRECT(AD$5)))</f>
        <v>0</v>
      </c>
      <c r="AE253" s="593">
        <f t="shared" ca="1" si="339"/>
        <v>0</v>
      </c>
      <c r="AF253" s="593">
        <f t="shared" ca="1" si="340"/>
        <v>0</v>
      </c>
      <c r="AG253" s="593">
        <f t="shared" ca="1" si="341"/>
        <v>0</v>
      </c>
      <c r="AH253" s="593">
        <f t="shared" ca="1" si="342"/>
        <v>0</v>
      </c>
      <c r="AI253" s="593">
        <f t="shared" ca="1" si="343"/>
        <v>0</v>
      </c>
      <c r="AJ253" s="593">
        <f t="shared" ca="1" si="344"/>
        <v>0</v>
      </c>
      <c r="AK253" s="593">
        <f t="shared" ca="1" si="345"/>
        <v>0</v>
      </c>
      <c r="AL253" s="593">
        <f t="shared" ca="1" si="346"/>
        <v>0</v>
      </c>
      <c r="AM253" s="593">
        <f t="shared" ca="1" si="347"/>
        <v>0</v>
      </c>
      <c r="AN253" s="593">
        <f t="shared" ca="1" si="348"/>
        <v>0</v>
      </c>
      <c r="AO253" s="593">
        <f t="shared" ca="1" si="349"/>
        <v>0</v>
      </c>
      <c r="AP253" s="593">
        <f t="shared" ca="1" si="350"/>
        <v>0</v>
      </c>
    </row>
    <row r="254" spans="1:42" s="594" customFormat="1" ht="11.25" outlineLevel="1" x14ac:dyDescent="0.2">
      <c r="A254" s="590"/>
      <c r="B254" s="591" t="str">
        <f>IF(D254&lt;&gt;"",
IF(ISERROR(MATCH(D254,'Ist Aktuell Monat 01'!A:A,0))=FALSE,INDEX('Ist Aktuell Monat 01'!B:B,MATCH(D254,'Ist Aktuell Monat 01'!A:A,0)),
IF(ISERROR(MATCH(D254,'Ist Aktuell Monat 02'!A:A,0))=FALSE,INDEX('Ist Aktuell Monat 02'!B:B,MATCH(D254,'Ist Aktuell Monat 02'!A:A,0)),
IF(ISERROR(MATCH(D254,'Ist Aktuell Monat 03'!A:A,0))=FALSE,INDEX('Ist Aktuell Monat 03'!B:B,MATCH(D254,'Ist Aktuell Monat 03'!A:A,0)),
IF(ISERROR(MATCH(D254,'Ist Aktuell Monat 04'!A:A,0))=FALSE,INDEX('Ist Aktuell Monat 04'!B:B,MATCH(D254,'Ist Aktuell Monat 04'!A:A,0)),
IF(ISERROR(MATCH(D254,'Ist Aktuell Monat 05'!A:A,0))=FALSE,INDEX('Ist Aktuell Monat 05'!B:B,MATCH(D254,'Ist Aktuell Monat 05'!A:A,0)),
IF(ISERROR(MATCH(D254,'Ist Aktuell Monat 06'!A:A,0))=FALSE,INDEX('Ist Aktuell Monat 06'!B:B,MATCH(D254,'Ist Aktuell Monat 06'!A:A,0)),
IF(ISERROR(MATCH(D254,'Ist Aktuell Monat 07'!A:A,0))=FALSE,INDEX('Ist Aktuell Monat 07'!B:B,MATCH(D254,'Ist Aktuell Monat 07'!A:A,0)),
IF(ISERROR(MATCH(D254,'Ist Aktuell Monat 08'!A:A,0))=FALSE,INDEX('Ist Aktuell Monat 08'!B:B,MATCH(D254,'Ist Aktuell Monat 08'!A:A,0)),
IF(ISERROR(MATCH(D254,'Ist Aktuell Monat 09'!A:A,0))=FALSE,INDEX('Ist Aktuell Monat 09'!B:B,MATCH(D254,'Ist Aktuell Monat 09'!A:A,0)),
IF(ISERROR(MATCH(D254,'Ist Aktuell Monat 10'!A:A,0))=FALSE,INDEX('Ist Aktuell Monat 10'!B:B,MATCH(D254,'Ist Aktuell Monat 10'!A:A,0)),
IF(ISERROR(MATCH(D254,'Ist Aktuell Monat 11'!A:A,0))=FALSE,INDEX('Ist Aktuell Monat 11'!B:B,MATCH(D254,'Ist Aktuell Monat 11'!A:A,0)),
IF(ISERROR(MATCH(D254,'Ist Aktuell Monat 12'!A:A,0))=FALSE,INDEX('Ist Aktuell Monat 12'!B:B,MATCH(D254,'Ist Aktuell Monat 12'!A:A,0)),
"{Konto unbekannt}"
)))))))))))),"")</f>
        <v/>
      </c>
      <c r="C254" s="591"/>
      <c r="D254" s="590"/>
      <c r="E254" s="592">
        <f>IF(F254="-",-1,1)</f>
        <v>1</v>
      </c>
      <c r="F254" s="590"/>
      <c r="G254" s="593">
        <f ca="1">$E254*(-SUMIF(INDIRECT(G$3),'Struktur Aktuell'!$D254,INDIRECT(G$4))+SUMIF(INDIRECT(G$3),'Struktur Aktuell'!$D254,INDIRECT(G$5)))</f>
        <v>0</v>
      </c>
      <c r="H254" s="593">
        <f ca="1">$E254*(-SUMIF(INDIRECT(H$3),'Struktur Aktuell'!$D254,INDIRECT(H$4))+SUMIF(INDIRECT(H$3),'Struktur Aktuell'!$D254,INDIRECT(H$5)))</f>
        <v>0</v>
      </c>
      <c r="I254" s="593">
        <f ca="1">$E254*(-SUMIF(INDIRECT(I$3),'Struktur Aktuell'!$D254,INDIRECT(I$4))+SUMIF(INDIRECT(I$3),'Struktur Aktuell'!$D254,INDIRECT(I$5)))</f>
        <v>0</v>
      </c>
      <c r="J254" s="593">
        <f ca="1">$E254*(-SUMIF(INDIRECT(J$3),'Struktur Aktuell'!$D254,INDIRECT(J$4))+SUMIF(INDIRECT(J$3),'Struktur Aktuell'!$D254,INDIRECT(J$5)))</f>
        <v>0</v>
      </c>
      <c r="K254" s="593">
        <f ca="1">$E254*(-SUMIF(INDIRECT(K$3),'Struktur Aktuell'!$D254,INDIRECT(K$4))+SUMIF(INDIRECT(K$3),'Struktur Aktuell'!$D254,INDIRECT(K$5)))</f>
        <v>0</v>
      </c>
      <c r="L254" s="593">
        <f ca="1">$E254*(-SUMIF(INDIRECT(L$3),'Struktur Aktuell'!$D254,INDIRECT(L$4))+SUMIF(INDIRECT(L$3),'Struktur Aktuell'!$D254,INDIRECT(L$5)))</f>
        <v>0</v>
      </c>
      <c r="M254" s="593">
        <f ca="1">$E254*(-SUMIF(INDIRECT(M$3),'Struktur Aktuell'!$D254,INDIRECT(M$4))+SUMIF(INDIRECT(M$3),'Struktur Aktuell'!$D254,INDIRECT(M$5)))</f>
        <v>0</v>
      </c>
      <c r="N254" s="593">
        <f ca="1">$E254*(-SUMIF(INDIRECT(N$3),'Struktur Aktuell'!$D254,INDIRECT(N$4))+SUMIF(INDIRECT(N$3),'Struktur Aktuell'!$D254,INDIRECT(N$5)))</f>
        <v>0</v>
      </c>
      <c r="O254" s="593">
        <f ca="1">$E254*(-SUMIF(INDIRECT(O$3),'Struktur Aktuell'!$D254,INDIRECT(O$4))+SUMIF(INDIRECT(O$3),'Struktur Aktuell'!$D254,INDIRECT(O$5)))</f>
        <v>0</v>
      </c>
      <c r="P254" s="593">
        <f ca="1">$E254*(-SUMIF(INDIRECT(P$3),'Struktur Aktuell'!$D254,INDIRECT(P$4))+SUMIF(INDIRECT(P$3),'Struktur Aktuell'!$D254,INDIRECT(P$5)))</f>
        <v>0</v>
      </c>
      <c r="Q254" s="593">
        <f ca="1">$E254*(-SUMIF(INDIRECT(Q$3),'Struktur Aktuell'!$D254,INDIRECT(Q$4))+SUMIF(INDIRECT(Q$3),'Struktur Aktuell'!$D254,INDIRECT(Q$5)))</f>
        <v>0</v>
      </c>
      <c r="R254" s="593">
        <f ca="1">$E254*(-SUMIF(INDIRECT(R$3),'Struktur Aktuell'!$D254,INDIRECT(R$4))+SUMIF(INDIRECT(R$3),'Struktur Aktuell'!$D254,INDIRECT(R$5)))</f>
        <v>0</v>
      </c>
      <c r="S254" s="593">
        <f ca="1">$E254*(-SUMIF(INDIRECT(S$3),'Struktur Aktuell'!$D254,INDIRECT(S$4))+SUMIF(INDIRECT(S$3),'Struktur Aktuell'!$D254,INDIRECT(S$5)))</f>
        <v>0</v>
      </c>
      <c r="T254" s="593">
        <f ca="1">$E254*(-SUMIF(INDIRECT(T$3),'Struktur Aktuell'!$D254,INDIRECT(T$4))+SUMIF(INDIRECT(T$3),'Struktur Aktuell'!$D254,INDIRECT(T$5)))</f>
        <v>0</v>
      </c>
      <c r="U254" s="593">
        <f ca="1">$E254*(-SUMIF(INDIRECT(U$3),'Struktur Aktuell'!$D254,INDIRECT(U$4))+SUMIF(INDIRECT(U$3),'Struktur Aktuell'!$D254,INDIRECT(U$5)))</f>
        <v>0</v>
      </c>
      <c r="V254" s="593">
        <f ca="1">$E254*(-SUMIF(INDIRECT(V$3),'Struktur Aktuell'!$D254,INDIRECT(V$4))+SUMIF(INDIRECT(V$3),'Struktur Aktuell'!$D254,INDIRECT(V$5)))</f>
        <v>0</v>
      </c>
      <c r="W254" s="593">
        <f ca="1">$E254*(-SUMIF(INDIRECT(W$3),'Struktur Aktuell'!$D254,INDIRECT(W$4))+SUMIF(INDIRECT(W$3),'Struktur Aktuell'!$D254,INDIRECT(W$5)))</f>
        <v>0</v>
      </c>
      <c r="X254" s="593">
        <f ca="1">$E254*(-SUMIF(INDIRECT(X$3),'Struktur Aktuell'!$D254,INDIRECT(X$4))+SUMIF(INDIRECT(X$3),'Struktur Aktuell'!$D254,INDIRECT(X$5)))</f>
        <v>0</v>
      </c>
      <c r="Y254" s="593">
        <f ca="1">$E254*(-SUMIF(INDIRECT(Y$3),'Struktur Aktuell'!$D254,INDIRECT(Y$4))+SUMIF(INDIRECT(Y$3),'Struktur Aktuell'!$D254,INDIRECT(Y$5)))</f>
        <v>0</v>
      </c>
      <c r="Z254" s="593">
        <f ca="1">$E254*(-SUMIF(INDIRECT(Z$3),'Struktur Aktuell'!$D254,INDIRECT(Z$4))+SUMIF(INDIRECT(Z$3),'Struktur Aktuell'!$D254,INDIRECT(Z$5)))</f>
        <v>0</v>
      </c>
      <c r="AA254" s="593">
        <f ca="1">$E254*(-SUMIF(INDIRECT(AA$3),'Struktur Aktuell'!$D254,INDIRECT(AA$4))+SUMIF(INDIRECT(AA$3),'Struktur Aktuell'!$D254,INDIRECT(AA$5)))</f>
        <v>0</v>
      </c>
      <c r="AB254" s="593">
        <f ca="1">$E254*(-SUMIF(INDIRECT(AB$3),'Struktur Aktuell'!$D254,INDIRECT(AB$4))+SUMIF(INDIRECT(AB$3),'Struktur Aktuell'!$D254,INDIRECT(AB$5)))</f>
        <v>0</v>
      </c>
      <c r="AC254" s="593">
        <f ca="1">$E254*(-SUMIF(INDIRECT(AC$3),'Struktur Aktuell'!$D254,INDIRECT(AC$4))+SUMIF(INDIRECT(AC$3),'Struktur Aktuell'!$D254,INDIRECT(AC$5)))</f>
        <v>0</v>
      </c>
      <c r="AD254" s="593">
        <f ca="1">$E254*(-SUMIF(INDIRECT(AD$3),'Struktur Aktuell'!$D254,INDIRECT(AD$4))+SUMIF(INDIRECT(AD$3),'Struktur Aktuell'!$D254,INDIRECT(AD$5)))</f>
        <v>0</v>
      </c>
      <c r="AE254" s="593">
        <f t="shared" ca="1" si="339"/>
        <v>0</v>
      </c>
      <c r="AF254" s="593">
        <f t="shared" ca="1" si="340"/>
        <v>0</v>
      </c>
      <c r="AG254" s="593">
        <f t="shared" ca="1" si="341"/>
        <v>0</v>
      </c>
      <c r="AH254" s="593">
        <f t="shared" ca="1" si="342"/>
        <v>0</v>
      </c>
      <c r="AI254" s="593">
        <f t="shared" ca="1" si="343"/>
        <v>0</v>
      </c>
      <c r="AJ254" s="593">
        <f t="shared" ca="1" si="344"/>
        <v>0</v>
      </c>
      <c r="AK254" s="593">
        <f t="shared" ca="1" si="345"/>
        <v>0</v>
      </c>
      <c r="AL254" s="593">
        <f t="shared" ca="1" si="346"/>
        <v>0</v>
      </c>
      <c r="AM254" s="593">
        <f t="shared" ca="1" si="347"/>
        <v>0</v>
      </c>
      <c r="AN254" s="593">
        <f t="shared" ca="1" si="348"/>
        <v>0</v>
      </c>
      <c r="AO254" s="593">
        <f t="shared" ca="1" si="349"/>
        <v>0</v>
      </c>
      <c r="AP254" s="593">
        <f t="shared" ca="1" si="350"/>
        <v>0</v>
      </c>
    </row>
    <row r="255" spans="1:42" s="594" customFormat="1" ht="11.25" outlineLevel="1" x14ac:dyDescent="0.2">
      <c r="A255" s="590"/>
      <c r="B255" s="591" t="str">
        <f>IF(D255&lt;&gt;"",
IF(ISERROR(MATCH(D255,'Ist Aktuell Monat 01'!A:A,0))=FALSE,INDEX('Ist Aktuell Monat 01'!B:B,MATCH(D255,'Ist Aktuell Monat 01'!A:A,0)),
IF(ISERROR(MATCH(D255,'Ist Aktuell Monat 02'!A:A,0))=FALSE,INDEX('Ist Aktuell Monat 02'!B:B,MATCH(D255,'Ist Aktuell Monat 02'!A:A,0)),
IF(ISERROR(MATCH(D255,'Ist Aktuell Monat 03'!A:A,0))=FALSE,INDEX('Ist Aktuell Monat 03'!B:B,MATCH(D255,'Ist Aktuell Monat 03'!A:A,0)),
IF(ISERROR(MATCH(D255,'Ist Aktuell Monat 04'!A:A,0))=FALSE,INDEX('Ist Aktuell Monat 04'!B:B,MATCH(D255,'Ist Aktuell Monat 04'!A:A,0)),
IF(ISERROR(MATCH(D255,'Ist Aktuell Monat 05'!A:A,0))=FALSE,INDEX('Ist Aktuell Monat 05'!B:B,MATCH(D255,'Ist Aktuell Monat 05'!A:A,0)),
IF(ISERROR(MATCH(D255,'Ist Aktuell Monat 06'!A:A,0))=FALSE,INDEX('Ist Aktuell Monat 06'!B:B,MATCH(D255,'Ist Aktuell Monat 06'!A:A,0)),
IF(ISERROR(MATCH(D255,'Ist Aktuell Monat 07'!A:A,0))=FALSE,INDEX('Ist Aktuell Monat 07'!B:B,MATCH(D255,'Ist Aktuell Monat 07'!A:A,0)),
IF(ISERROR(MATCH(D255,'Ist Aktuell Monat 08'!A:A,0))=FALSE,INDEX('Ist Aktuell Monat 08'!B:B,MATCH(D255,'Ist Aktuell Monat 08'!A:A,0)),
IF(ISERROR(MATCH(D255,'Ist Aktuell Monat 09'!A:A,0))=FALSE,INDEX('Ist Aktuell Monat 09'!B:B,MATCH(D255,'Ist Aktuell Monat 09'!A:A,0)),
IF(ISERROR(MATCH(D255,'Ist Aktuell Monat 10'!A:A,0))=FALSE,INDEX('Ist Aktuell Monat 10'!B:B,MATCH(D255,'Ist Aktuell Monat 10'!A:A,0)),
IF(ISERROR(MATCH(D255,'Ist Aktuell Monat 11'!A:A,0))=FALSE,INDEX('Ist Aktuell Monat 11'!B:B,MATCH(D255,'Ist Aktuell Monat 11'!A:A,0)),
IF(ISERROR(MATCH(D255,'Ist Aktuell Monat 12'!A:A,0))=FALSE,INDEX('Ist Aktuell Monat 12'!B:B,MATCH(D255,'Ist Aktuell Monat 12'!A:A,0)),
"{Konto unbekannt}"
)))))))))))),"")</f>
        <v/>
      </c>
      <c r="C255" s="591"/>
      <c r="D255" s="590"/>
      <c r="E255" s="592">
        <f t="shared" si="308"/>
        <v>1</v>
      </c>
      <c r="F255" s="590"/>
      <c r="G255" s="593">
        <f ca="1">$E255*(-SUMIF(INDIRECT(G$3),'Struktur Aktuell'!$D255,INDIRECT(G$4))+SUMIF(INDIRECT(G$3),'Struktur Aktuell'!$D255,INDIRECT(G$5)))</f>
        <v>0</v>
      </c>
      <c r="H255" s="593">
        <f ca="1">$E255*(-SUMIF(INDIRECT(H$3),'Struktur Aktuell'!$D255,INDIRECT(H$4))+SUMIF(INDIRECT(H$3),'Struktur Aktuell'!$D255,INDIRECT(H$5)))</f>
        <v>0</v>
      </c>
      <c r="I255" s="593">
        <f ca="1">$E255*(-SUMIF(INDIRECT(I$3),'Struktur Aktuell'!$D255,INDIRECT(I$4))+SUMIF(INDIRECT(I$3),'Struktur Aktuell'!$D255,INDIRECT(I$5)))</f>
        <v>0</v>
      </c>
      <c r="J255" s="593">
        <f ca="1">$E255*(-SUMIF(INDIRECT(J$3),'Struktur Aktuell'!$D255,INDIRECT(J$4))+SUMIF(INDIRECT(J$3),'Struktur Aktuell'!$D255,INDIRECT(J$5)))</f>
        <v>0</v>
      </c>
      <c r="K255" s="593">
        <f ca="1">$E255*(-SUMIF(INDIRECT(K$3),'Struktur Aktuell'!$D255,INDIRECT(K$4))+SUMIF(INDIRECT(K$3),'Struktur Aktuell'!$D255,INDIRECT(K$5)))</f>
        <v>0</v>
      </c>
      <c r="L255" s="593">
        <f ca="1">$E255*(-SUMIF(INDIRECT(L$3),'Struktur Aktuell'!$D255,INDIRECT(L$4))+SUMIF(INDIRECT(L$3),'Struktur Aktuell'!$D255,INDIRECT(L$5)))</f>
        <v>0</v>
      </c>
      <c r="M255" s="593">
        <f ca="1">$E255*(-SUMIF(INDIRECT(M$3),'Struktur Aktuell'!$D255,INDIRECT(M$4))+SUMIF(INDIRECT(M$3),'Struktur Aktuell'!$D255,INDIRECT(M$5)))</f>
        <v>0</v>
      </c>
      <c r="N255" s="593">
        <f ca="1">$E255*(-SUMIF(INDIRECT(N$3),'Struktur Aktuell'!$D255,INDIRECT(N$4))+SUMIF(INDIRECT(N$3),'Struktur Aktuell'!$D255,INDIRECT(N$5)))</f>
        <v>0</v>
      </c>
      <c r="O255" s="593">
        <f ca="1">$E255*(-SUMIF(INDIRECT(O$3),'Struktur Aktuell'!$D255,INDIRECT(O$4))+SUMIF(INDIRECT(O$3),'Struktur Aktuell'!$D255,INDIRECT(O$5)))</f>
        <v>0</v>
      </c>
      <c r="P255" s="593">
        <f ca="1">$E255*(-SUMIF(INDIRECT(P$3),'Struktur Aktuell'!$D255,INDIRECT(P$4))+SUMIF(INDIRECT(P$3),'Struktur Aktuell'!$D255,INDIRECT(P$5)))</f>
        <v>0</v>
      </c>
      <c r="Q255" s="593">
        <f ca="1">$E255*(-SUMIF(INDIRECT(Q$3),'Struktur Aktuell'!$D255,INDIRECT(Q$4))+SUMIF(INDIRECT(Q$3),'Struktur Aktuell'!$D255,INDIRECT(Q$5)))</f>
        <v>0</v>
      </c>
      <c r="R255" s="593">
        <f ca="1">$E255*(-SUMIF(INDIRECT(R$3),'Struktur Aktuell'!$D255,INDIRECT(R$4))+SUMIF(INDIRECT(R$3),'Struktur Aktuell'!$D255,INDIRECT(R$5)))</f>
        <v>0</v>
      </c>
      <c r="S255" s="593">
        <f ca="1">$E255*(-SUMIF(INDIRECT(S$3),'Struktur Aktuell'!$D255,INDIRECT(S$4))+SUMIF(INDIRECT(S$3),'Struktur Aktuell'!$D255,INDIRECT(S$5)))</f>
        <v>0</v>
      </c>
      <c r="T255" s="593">
        <f ca="1">$E255*(-SUMIF(INDIRECT(T$3),'Struktur Aktuell'!$D255,INDIRECT(T$4))+SUMIF(INDIRECT(T$3),'Struktur Aktuell'!$D255,INDIRECT(T$5)))</f>
        <v>0</v>
      </c>
      <c r="U255" s="593">
        <f ca="1">$E255*(-SUMIF(INDIRECT(U$3),'Struktur Aktuell'!$D255,INDIRECT(U$4))+SUMIF(INDIRECT(U$3),'Struktur Aktuell'!$D255,INDIRECT(U$5)))</f>
        <v>0</v>
      </c>
      <c r="V255" s="593">
        <f ca="1">$E255*(-SUMIF(INDIRECT(V$3),'Struktur Aktuell'!$D255,INDIRECT(V$4))+SUMIF(INDIRECT(V$3),'Struktur Aktuell'!$D255,INDIRECT(V$5)))</f>
        <v>0</v>
      </c>
      <c r="W255" s="593">
        <f ca="1">$E255*(-SUMIF(INDIRECT(W$3),'Struktur Aktuell'!$D255,INDIRECT(W$4))+SUMIF(INDIRECT(W$3),'Struktur Aktuell'!$D255,INDIRECT(W$5)))</f>
        <v>0</v>
      </c>
      <c r="X255" s="593">
        <f ca="1">$E255*(-SUMIF(INDIRECT(X$3),'Struktur Aktuell'!$D255,INDIRECT(X$4))+SUMIF(INDIRECT(X$3),'Struktur Aktuell'!$D255,INDIRECT(X$5)))</f>
        <v>0</v>
      </c>
      <c r="Y255" s="593">
        <f ca="1">$E255*(-SUMIF(INDIRECT(Y$3),'Struktur Aktuell'!$D255,INDIRECT(Y$4))+SUMIF(INDIRECT(Y$3),'Struktur Aktuell'!$D255,INDIRECT(Y$5)))</f>
        <v>0</v>
      </c>
      <c r="Z255" s="593">
        <f ca="1">$E255*(-SUMIF(INDIRECT(Z$3),'Struktur Aktuell'!$D255,INDIRECT(Z$4))+SUMIF(INDIRECT(Z$3),'Struktur Aktuell'!$D255,INDIRECT(Z$5)))</f>
        <v>0</v>
      </c>
      <c r="AA255" s="593">
        <f ca="1">$E255*(-SUMIF(INDIRECT(AA$3),'Struktur Aktuell'!$D255,INDIRECT(AA$4))+SUMIF(INDIRECT(AA$3),'Struktur Aktuell'!$D255,INDIRECT(AA$5)))</f>
        <v>0</v>
      </c>
      <c r="AB255" s="593">
        <f ca="1">$E255*(-SUMIF(INDIRECT(AB$3),'Struktur Aktuell'!$D255,INDIRECT(AB$4))+SUMIF(INDIRECT(AB$3),'Struktur Aktuell'!$D255,INDIRECT(AB$5)))</f>
        <v>0</v>
      </c>
      <c r="AC255" s="593">
        <f ca="1">$E255*(-SUMIF(INDIRECT(AC$3),'Struktur Aktuell'!$D255,INDIRECT(AC$4))+SUMIF(INDIRECT(AC$3),'Struktur Aktuell'!$D255,INDIRECT(AC$5)))</f>
        <v>0</v>
      </c>
      <c r="AD255" s="593">
        <f ca="1">$E255*(-SUMIF(INDIRECT(AD$3),'Struktur Aktuell'!$D255,INDIRECT(AD$4))+SUMIF(INDIRECT(AD$3),'Struktur Aktuell'!$D255,INDIRECT(AD$5)))</f>
        <v>0</v>
      </c>
      <c r="AE255" s="593">
        <f t="shared" ca="1" si="339"/>
        <v>0</v>
      </c>
      <c r="AF255" s="593">
        <f t="shared" ca="1" si="340"/>
        <v>0</v>
      </c>
      <c r="AG255" s="593">
        <f t="shared" ca="1" si="341"/>
        <v>0</v>
      </c>
      <c r="AH255" s="593">
        <f t="shared" ca="1" si="342"/>
        <v>0</v>
      </c>
      <c r="AI255" s="593">
        <f t="shared" ca="1" si="343"/>
        <v>0</v>
      </c>
      <c r="AJ255" s="593">
        <f t="shared" ca="1" si="344"/>
        <v>0</v>
      </c>
      <c r="AK255" s="593">
        <f t="shared" ca="1" si="345"/>
        <v>0</v>
      </c>
      <c r="AL255" s="593">
        <f t="shared" ca="1" si="346"/>
        <v>0</v>
      </c>
      <c r="AM255" s="593">
        <f t="shared" ca="1" si="347"/>
        <v>0</v>
      </c>
      <c r="AN255" s="593">
        <f t="shared" ca="1" si="348"/>
        <v>0</v>
      </c>
      <c r="AO255" s="593">
        <f t="shared" ca="1" si="349"/>
        <v>0</v>
      </c>
      <c r="AP255" s="593">
        <f t="shared" ca="1" si="350"/>
        <v>0</v>
      </c>
    </row>
    <row r="256" spans="1:42" s="589" customFormat="1" x14ac:dyDescent="0.2">
      <c r="A256" s="585">
        <v>23</v>
      </c>
      <c r="B256" s="586" t="s">
        <v>370</v>
      </c>
      <c r="C256" s="587">
        <f ca="1">SUM(G256:R256)</f>
        <v>5135.9100000000008</v>
      </c>
      <c r="D256" s="587"/>
      <c r="E256" s="588">
        <f t="shared" si="308"/>
        <v>1</v>
      </c>
      <c r="F256" s="585"/>
      <c r="G256" s="587">
        <f t="shared" ref="G256:R256" ca="1" si="353">SUM(G257:G266)</f>
        <v>0</v>
      </c>
      <c r="H256" s="587">
        <f t="shared" ca="1" si="353"/>
        <v>530.53</v>
      </c>
      <c r="I256" s="587">
        <f t="shared" ca="1" si="353"/>
        <v>211.6</v>
      </c>
      <c r="J256" s="587">
        <f t="shared" ca="1" si="353"/>
        <v>223</v>
      </c>
      <c r="K256" s="587">
        <f t="shared" ca="1" si="353"/>
        <v>2491.34</v>
      </c>
      <c r="L256" s="587">
        <f t="shared" ca="1" si="353"/>
        <v>620.01</v>
      </c>
      <c r="M256" s="587">
        <f t="shared" ca="1" si="353"/>
        <v>318.08000000000004</v>
      </c>
      <c r="N256" s="587">
        <f t="shared" ca="1" si="353"/>
        <v>158</v>
      </c>
      <c r="O256" s="587">
        <f t="shared" ca="1" si="353"/>
        <v>433.35</v>
      </c>
      <c r="P256" s="587">
        <f t="shared" ca="1" si="353"/>
        <v>150</v>
      </c>
      <c r="Q256" s="587">
        <f t="shared" ca="1" si="353"/>
        <v>0</v>
      </c>
      <c r="R256" s="587">
        <f t="shared" ca="1" si="353"/>
        <v>0</v>
      </c>
      <c r="S256" s="587">
        <f t="shared" ref="S256:AP256" ca="1" si="354">SUM(S257:S266)</f>
        <v>0</v>
      </c>
      <c r="T256" s="587">
        <f t="shared" ca="1" si="354"/>
        <v>530.53</v>
      </c>
      <c r="U256" s="587">
        <f t="shared" ca="1" si="354"/>
        <v>742.13</v>
      </c>
      <c r="V256" s="587">
        <f t="shared" ca="1" si="354"/>
        <v>965.13</v>
      </c>
      <c r="W256" s="587">
        <f t="shared" ca="1" si="354"/>
        <v>3456.4700000000003</v>
      </c>
      <c r="X256" s="587">
        <f t="shared" ca="1" si="354"/>
        <v>4076.48</v>
      </c>
      <c r="Y256" s="587">
        <f t="shared" ca="1" si="354"/>
        <v>4394.5599999999995</v>
      </c>
      <c r="Z256" s="587">
        <f t="shared" ca="1" si="354"/>
        <v>4552.5599999999995</v>
      </c>
      <c r="AA256" s="587">
        <f t="shared" ca="1" si="354"/>
        <v>4985.91</v>
      </c>
      <c r="AB256" s="587">
        <f t="shared" ca="1" si="354"/>
        <v>5135.91</v>
      </c>
      <c r="AC256" s="587">
        <f t="shared" ca="1" si="354"/>
        <v>0</v>
      </c>
      <c r="AD256" s="587">
        <f t="shared" ca="1" si="354"/>
        <v>0</v>
      </c>
      <c r="AE256" s="587">
        <f t="shared" ca="1" si="354"/>
        <v>0</v>
      </c>
      <c r="AF256" s="587">
        <f t="shared" ca="1" si="354"/>
        <v>530.53</v>
      </c>
      <c r="AG256" s="587">
        <f t="shared" ca="1" si="354"/>
        <v>742.13</v>
      </c>
      <c r="AH256" s="587">
        <f t="shared" ca="1" si="354"/>
        <v>965.13</v>
      </c>
      <c r="AI256" s="587">
        <f t="shared" ca="1" si="354"/>
        <v>3456.4700000000003</v>
      </c>
      <c r="AJ256" s="587">
        <f t="shared" ca="1" si="354"/>
        <v>4076.48</v>
      </c>
      <c r="AK256" s="587">
        <f t="shared" ca="1" si="354"/>
        <v>4394.5599999999995</v>
      </c>
      <c r="AL256" s="587">
        <f t="shared" ca="1" si="354"/>
        <v>4552.5599999999995</v>
      </c>
      <c r="AM256" s="587">
        <f t="shared" ca="1" si="354"/>
        <v>4985.91</v>
      </c>
      <c r="AN256" s="587">
        <f t="shared" ca="1" si="354"/>
        <v>5135.91</v>
      </c>
      <c r="AO256" s="587">
        <f t="shared" ca="1" si="354"/>
        <v>5135.91</v>
      </c>
      <c r="AP256" s="587">
        <f t="shared" ca="1" si="354"/>
        <v>5135.91</v>
      </c>
    </row>
    <row r="257" spans="1:42" s="594" customFormat="1" ht="11.25" outlineLevel="1" x14ac:dyDescent="0.2">
      <c r="A257" s="590"/>
      <c r="B257" s="591" t="str">
        <f>IF(D257&lt;&gt;"",
IF(ISERROR(MATCH(D257,'Ist Aktuell Monat 01'!A:A,0))=FALSE,INDEX('Ist Aktuell Monat 01'!B:B,MATCH(D257,'Ist Aktuell Monat 01'!A:A,0)),
IF(ISERROR(MATCH(D257,'Ist Aktuell Monat 02'!A:A,0))=FALSE,INDEX('Ist Aktuell Monat 02'!B:B,MATCH(D257,'Ist Aktuell Monat 02'!A:A,0)),
IF(ISERROR(MATCH(D257,'Ist Aktuell Monat 03'!A:A,0))=FALSE,INDEX('Ist Aktuell Monat 03'!B:B,MATCH(D257,'Ist Aktuell Monat 03'!A:A,0)),
IF(ISERROR(MATCH(D257,'Ist Aktuell Monat 04'!A:A,0))=FALSE,INDEX('Ist Aktuell Monat 04'!B:B,MATCH(D257,'Ist Aktuell Monat 04'!A:A,0)),
IF(ISERROR(MATCH(D257,'Ist Aktuell Monat 05'!A:A,0))=FALSE,INDEX('Ist Aktuell Monat 05'!B:B,MATCH(D257,'Ist Aktuell Monat 05'!A:A,0)),
IF(ISERROR(MATCH(D257,'Ist Aktuell Monat 06'!A:A,0))=FALSE,INDEX('Ist Aktuell Monat 06'!B:B,MATCH(D257,'Ist Aktuell Monat 06'!A:A,0)),
IF(ISERROR(MATCH(D257,'Ist Aktuell Monat 07'!A:A,0))=FALSE,INDEX('Ist Aktuell Monat 07'!B:B,MATCH(D257,'Ist Aktuell Monat 07'!A:A,0)),
IF(ISERROR(MATCH(D257,'Ist Aktuell Monat 08'!A:A,0))=FALSE,INDEX('Ist Aktuell Monat 08'!B:B,MATCH(D257,'Ist Aktuell Monat 08'!A:A,0)),
IF(ISERROR(MATCH(D257,'Ist Aktuell Monat 09'!A:A,0))=FALSE,INDEX('Ist Aktuell Monat 09'!B:B,MATCH(D257,'Ist Aktuell Monat 09'!A:A,0)),
IF(ISERROR(MATCH(D257,'Ist Aktuell Monat 10'!A:A,0))=FALSE,INDEX('Ist Aktuell Monat 10'!B:B,MATCH(D257,'Ist Aktuell Monat 10'!A:A,0)),
IF(ISERROR(MATCH(D257,'Ist Aktuell Monat 11'!A:A,0))=FALSE,INDEX('Ist Aktuell Monat 11'!B:B,MATCH(D257,'Ist Aktuell Monat 11'!A:A,0)),
IF(ISERROR(MATCH(D257,'Ist Aktuell Monat 12'!A:A,0))=FALSE,INDEX('Ist Aktuell Monat 12'!B:B,MATCH(D257,'Ist Aktuell Monat 12'!A:A,0)),
"{Konto unbekannt}"
)))))))))))),"")</f>
        <v>Fortbildungskosten</v>
      </c>
      <c r="C257" s="591"/>
      <c r="D257" s="590">
        <v>4945</v>
      </c>
      <c r="E257" s="592">
        <f t="shared" si="308"/>
        <v>1</v>
      </c>
      <c r="F257" s="590"/>
      <c r="G257" s="593">
        <f ca="1">$E257*(-SUMIF(INDIRECT(G$3),'Struktur Aktuell'!$D257,INDIRECT(G$4))+SUMIF(INDIRECT(G$3),'Struktur Aktuell'!$D257,INDIRECT(G$5)))</f>
        <v>0</v>
      </c>
      <c r="H257" s="593">
        <f ca="1">$E257*(-SUMIF(INDIRECT(H$3),'Struktur Aktuell'!$D257,INDIRECT(H$4))+SUMIF(INDIRECT(H$3),'Struktur Aktuell'!$D257,INDIRECT(H$5)))</f>
        <v>146.25</v>
      </c>
      <c r="I257" s="593">
        <f ca="1">$E257*(-SUMIF(INDIRECT(I$3),'Struktur Aktuell'!$D257,INDIRECT(I$4))+SUMIF(INDIRECT(I$3),'Struktur Aktuell'!$D257,INDIRECT(I$5)))</f>
        <v>90</v>
      </c>
      <c r="J257" s="593">
        <f ca="1">$E257*(-SUMIF(INDIRECT(J$3),'Struktur Aktuell'!$D257,INDIRECT(J$4))+SUMIF(INDIRECT(J$3),'Struktur Aktuell'!$D257,INDIRECT(J$5)))</f>
        <v>223</v>
      </c>
      <c r="K257" s="593">
        <f ca="1">$E257*(-SUMIF(INDIRECT(K$3),'Struktur Aktuell'!$D257,INDIRECT(K$4))+SUMIF(INDIRECT(K$3),'Struktur Aktuell'!$D257,INDIRECT(K$5)))</f>
        <v>120</v>
      </c>
      <c r="L257" s="593">
        <f ca="1">$E257*(-SUMIF(INDIRECT(L$3),'Struktur Aktuell'!$D257,INDIRECT(L$4))+SUMIF(INDIRECT(L$3),'Struktur Aktuell'!$D257,INDIRECT(L$5)))</f>
        <v>71.209999999999994</v>
      </c>
      <c r="M257" s="593">
        <f ca="1">$E257*(-SUMIF(INDIRECT(M$3),'Struktur Aktuell'!$D257,INDIRECT(M$4))+SUMIF(INDIRECT(M$3),'Struktur Aktuell'!$D257,INDIRECT(M$5)))</f>
        <v>0</v>
      </c>
      <c r="N257" s="593">
        <f ca="1">$E257*(-SUMIF(INDIRECT(N$3),'Struktur Aktuell'!$D257,INDIRECT(N$4))+SUMIF(INDIRECT(N$3),'Struktur Aktuell'!$D257,INDIRECT(N$5)))</f>
        <v>0</v>
      </c>
      <c r="O257" s="593">
        <f ca="1">$E257*(-SUMIF(INDIRECT(O$3),'Struktur Aktuell'!$D257,INDIRECT(O$4))+SUMIF(INDIRECT(O$3),'Struktur Aktuell'!$D257,INDIRECT(O$5)))</f>
        <v>0</v>
      </c>
      <c r="P257" s="593">
        <f ca="1">$E257*(-SUMIF(INDIRECT(P$3),'Struktur Aktuell'!$D257,INDIRECT(P$4))+SUMIF(INDIRECT(P$3),'Struktur Aktuell'!$D257,INDIRECT(P$5)))</f>
        <v>55</v>
      </c>
      <c r="Q257" s="593">
        <f ca="1">$E257*(-SUMIF(INDIRECT(Q$3),'Struktur Aktuell'!$D257,INDIRECT(Q$4))+SUMIF(INDIRECT(Q$3),'Struktur Aktuell'!$D257,INDIRECT(Q$5)))</f>
        <v>0</v>
      </c>
      <c r="R257" s="593">
        <f ca="1">$E257*(-SUMIF(INDIRECT(R$3),'Struktur Aktuell'!$D257,INDIRECT(R$4))+SUMIF(INDIRECT(R$3),'Struktur Aktuell'!$D257,INDIRECT(R$5)))</f>
        <v>0</v>
      </c>
      <c r="S257" s="593">
        <f ca="1">$E257*(-SUMIF(INDIRECT(S$3),'Struktur Aktuell'!$D257,INDIRECT(S$4))+SUMIF(INDIRECT(S$3),'Struktur Aktuell'!$D257,INDIRECT(S$5)))</f>
        <v>0</v>
      </c>
      <c r="T257" s="593">
        <f ca="1">$E257*(-SUMIF(INDIRECT(T$3),'Struktur Aktuell'!$D257,INDIRECT(T$4))+SUMIF(INDIRECT(T$3),'Struktur Aktuell'!$D257,INDIRECT(T$5)))</f>
        <v>146.25</v>
      </c>
      <c r="U257" s="593">
        <f ca="1">$E257*(-SUMIF(INDIRECT(U$3),'Struktur Aktuell'!$D257,INDIRECT(U$4))+SUMIF(INDIRECT(U$3),'Struktur Aktuell'!$D257,INDIRECT(U$5)))</f>
        <v>236.25</v>
      </c>
      <c r="V257" s="593">
        <f ca="1">$E257*(-SUMIF(INDIRECT(V$3),'Struktur Aktuell'!$D257,INDIRECT(V$4))+SUMIF(INDIRECT(V$3),'Struktur Aktuell'!$D257,INDIRECT(V$5)))</f>
        <v>459.25</v>
      </c>
      <c r="W257" s="593">
        <f ca="1">$E257*(-SUMIF(INDIRECT(W$3),'Struktur Aktuell'!$D257,INDIRECT(W$4))+SUMIF(INDIRECT(W$3),'Struktur Aktuell'!$D257,INDIRECT(W$5)))</f>
        <v>579.25</v>
      </c>
      <c r="X257" s="593">
        <f ca="1">$E257*(-SUMIF(INDIRECT(X$3),'Struktur Aktuell'!$D257,INDIRECT(X$4))+SUMIF(INDIRECT(X$3),'Struktur Aktuell'!$D257,INDIRECT(X$5)))</f>
        <v>650.46</v>
      </c>
      <c r="Y257" s="593">
        <f ca="1">$E257*(-SUMIF(INDIRECT(Y$3),'Struktur Aktuell'!$D257,INDIRECT(Y$4))+SUMIF(INDIRECT(Y$3),'Struktur Aktuell'!$D257,INDIRECT(Y$5)))</f>
        <v>650.46</v>
      </c>
      <c r="Z257" s="593">
        <f ca="1">$E257*(-SUMIF(INDIRECT(Z$3),'Struktur Aktuell'!$D257,INDIRECT(Z$4))+SUMIF(INDIRECT(Z$3),'Struktur Aktuell'!$D257,INDIRECT(Z$5)))</f>
        <v>650.46</v>
      </c>
      <c r="AA257" s="593">
        <f ca="1">$E257*(-SUMIF(INDIRECT(AA$3),'Struktur Aktuell'!$D257,INDIRECT(AA$4))+SUMIF(INDIRECT(AA$3),'Struktur Aktuell'!$D257,INDIRECT(AA$5)))</f>
        <v>650.46</v>
      </c>
      <c r="AB257" s="593">
        <f ca="1">$E257*(-SUMIF(INDIRECT(AB$3),'Struktur Aktuell'!$D257,INDIRECT(AB$4))+SUMIF(INDIRECT(AB$3),'Struktur Aktuell'!$D257,INDIRECT(AB$5)))</f>
        <v>705.46</v>
      </c>
      <c r="AC257" s="593">
        <f ca="1">$E257*(-SUMIF(INDIRECT(AC$3),'Struktur Aktuell'!$D257,INDIRECT(AC$4))+SUMIF(INDIRECT(AC$3),'Struktur Aktuell'!$D257,INDIRECT(AC$5)))</f>
        <v>0</v>
      </c>
      <c r="AD257" s="593">
        <f ca="1">$E257*(-SUMIF(INDIRECT(AD$3),'Struktur Aktuell'!$D257,INDIRECT(AD$4))+SUMIF(INDIRECT(AD$3),'Struktur Aktuell'!$D257,INDIRECT(AD$5)))</f>
        <v>0</v>
      </c>
      <c r="AE257" s="593">
        <f t="shared" ref="AE257:AE266" ca="1" si="355">G257</f>
        <v>0</v>
      </c>
      <c r="AF257" s="593">
        <f t="shared" ref="AF257:AF266" ca="1" si="356">H257+AE257</f>
        <v>146.25</v>
      </c>
      <c r="AG257" s="593">
        <f t="shared" ref="AG257:AG266" ca="1" si="357">I257+AF257</f>
        <v>236.25</v>
      </c>
      <c r="AH257" s="593">
        <f t="shared" ref="AH257:AH266" ca="1" si="358">J257+AG257</f>
        <v>459.25</v>
      </c>
      <c r="AI257" s="593">
        <f t="shared" ref="AI257:AI266" ca="1" si="359">K257+AH257</f>
        <v>579.25</v>
      </c>
      <c r="AJ257" s="593">
        <f t="shared" ref="AJ257:AJ266" ca="1" si="360">L257+AI257</f>
        <v>650.46</v>
      </c>
      <c r="AK257" s="593">
        <f t="shared" ref="AK257:AK266" ca="1" si="361">M257+AJ257</f>
        <v>650.46</v>
      </c>
      <c r="AL257" s="593">
        <f t="shared" ref="AL257:AL266" ca="1" si="362">N257+AK257</f>
        <v>650.46</v>
      </c>
      <c r="AM257" s="593">
        <f t="shared" ref="AM257:AM266" ca="1" si="363">O257+AL257</f>
        <v>650.46</v>
      </c>
      <c r="AN257" s="593">
        <f t="shared" ref="AN257:AN266" ca="1" si="364">P257+AM257</f>
        <v>705.46</v>
      </c>
      <c r="AO257" s="593">
        <f t="shared" ref="AO257:AO266" ca="1" si="365">Q257+AN257</f>
        <v>705.46</v>
      </c>
      <c r="AP257" s="593">
        <f t="shared" ref="AP257:AP266" ca="1" si="366">R257+AO257</f>
        <v>705.46</v>
      </c>
    </row>
    <row r="258" spans="1:42" s="594" customFormat="1" ht="11.25" outlineLevel="1" x14ac:dyDescent="0.2">
      <c r="A258" s="590"/>
      <c r="B258" s="591" t="str">
        <f>IF(D258&lt;&gt;"",
IF(ISERROR(MATCH(D258,'Ist Aktuell Monat 01'!A:A,0))=FALSE,INDEX('Ist Aktuell Monat 01'!B:B,MATCH(D258,'Ist Aktuell Monat 01'!A:A,0)),
IF(ISERROR(MATCH(D258,'Ist Aktuell Monat 02'!A:A,0))=FALSE,INDEX('Ist Aktuell Monat 02'!B:B,MATCH(D258,'Ist Aktuell Monat 02'!A:A,0)),
IF(ISERROR(MATCH(D258,'Ist Aktuell Monat 03'!A:A,0))=FALSE,INDEX('Ist Aktuell Monat 03'!B:B,MATCH(D258,'Ist Aktuell Monat 03'!A:A,0)),
IF(ISERROR(MATCH(D258,'Ist Aktuell Monat 04'!A:A,0))=FALSE,INDEX('Ist Aktuell Monat 04'!B:B,MATCH(D258,'Ist Aktuell Monat 04'!A:A,0)),
IF(ISERROR(MATCH(D258,'Ist Aktuell Monat 05'!A:A,0))=FALSE,INDEX('Ist Aktuell Monat 05'!B:B,MATCH(D258,'Ist Aktuell Monat 05'!A:A,0)),
IF(ISERROR(MATCH(D258,'Ist Aktuell Monat 06'!A:A,0))=FALSE,INDEX('Ist Aktuell Monat 06'!B:B,MATCH(D258,'Ist Aktuell Monat 06'!A:A,0)),
IF(ISERROR(MATCH(D258,'Ist Aktuell Monat 07'!A:A,0))=FALSE,INDEX('Ist Aktuell Monat 07'!B:B,MATCH(D258,'Ist Aktuell Monat 07'!A:A,0)),
IF(ISERROR(MATCH(D258,'Ist Aktuell Monat 08'!A:A,0))=FALSE,INDEX('Ist Aktuell Monat 08'!B:B,MATCH(D258,'Ist Aktuell Monat 08'!A:A,0)),
IF(ISERROR(MATCH(D258,'Ist Aktuell Monat 09'!A:A,0))=FALSE,INDEX('Ist Aktuell Monat 09'!B:B,MATCH(D258,'Ist Aktuell Monat 09'!A:A,0)),
IF(ISERROR(MATCH(D258,'Ist Aktuell Monat 10'!A:A,0))=FALSE,INDEX('Ist Aktuell Monat 10'!B:B,MATCH(D258,'Ist Aktuell Monat 10'!A:A,0)),
IF(ISERROR(MATCH(D258,'Ist Aktuell Monat 11'!A:A,0))=FALSE,INDEX('Ist Aktuell Monat 11'!B:B,MATCH(D258,'Ist Aktuell Monat 11'!A:A,0)),
IF(ISERROR(MATCH(D258,'Ist Aktuell Monat 12'!A:A,0))=FALSE,INDEX('Ist Aktuell Monat 12'!B:B,MATCH(D258,'Ist Aktuell Monat 12'!A:A,0)),
"{Konto unbekannt}"
)))))))))))),"")</f>
        <v>Rechts- und Beratungskosten</v>
      </c>
      <c r="C258" s="591"/>
      <c r="D258" s="590">
        <v>4950</v>
      </c>
      <c r="E258" s="592">
        <f t="shared" si="308"/>
        <v>1</v>
      </c>
      <c r="F258" s="590"/>
      <c r="G258" s="593">
        <f ca="1">$E258*(-SUMIF(INDIRECT(G$3),'Struktur Aktuell'!$D258,INDIRECT(G$4))+SUMIF(INDIRECT(G$3),'Struktur Aktuell'!$D258,INDIRECT(G$5)))</f>
        <v>0</v>
      </c>
      <c r="H258" s="593">
        <f ca="1">$E258*(-SUMIF(INDIRECT(H$3),'Struktur Aktuell'!$D258,INDIRECT(H$4))+SUMIF(INDIRECT(H$3),'Struktur Aktuell'!$D258,INDIRECT(H$5)))</f>
        <v>237.36</v>
      </c>
      <c r="I258" s="593">
        <f ca="1">$E258*(-SUMIF(INDIRECT(I$3),'Struktur Aktuell'!$D258,INDIRECT(I$4))+SUMIF(INDIRECT(I$3),'Struktur Aktuell'!$D258,INDIRECT(I$5)))</f>
        <v>0</v>
      </c>
      <c r="J258" s="593">
        <f ca="1">$E258*(-SUMIF(INDIRECT(J$3),'Struktur Aktuell'!$D258,INDIRECT(J$4))+SUMIF(INDIRECT(J$3),'Struktur Aktuell'!$D258,INDIRECT(J$5)))</f>
        <v>0</v>
      </c>
      <c r="K258" s="593">
        <f ca="1">$E258*(-SUMIF(INDIRECT(K$3),'Struktur Aktuell'!$D258,INDIRECT(K$4))+SUMIF(INDIRECT(K$3),'Struktur Aktuell'!$D258,INDIRECT(K$5)))</f>
        <v>95</v>
      </c>
      <c r="L258" s="593">
        <f ca="1">$E258*(-SUMIF(INDIRECT(L$3),'Struktur Aktuell'!$D258,INDIRECT(L$4))+SUMIF(INDIRECT(L$3),'Struktur Aktuell'!$D258,INDIRECT(L$5)))</f>
        <v>285.08999999999997</v>
      </c>
      <c r="M258" s="593">
        <f ca="1">$E258*(-SUMIF(INDIRECT(M$3),'Struktur Aktuell'!$D258,INDIRECT(M$4))+SUMIF(INDIRECT(M$3),'Struktur Aktuell'!$D258,INDIRECT(M$5)))</f>
        <v>95</v>
      </c>
      <c r="N258" s="593">
        <f ca="1">$E258*(-SUMIF(INDIRECT(N$3),'Struktur Aktuell'!$D258,INDIRECT(N$4))+SUMIF(INDIRECT(N$3),'Struktur Aktuell'!$D258,INDIRECT(N$5)))</f>
        <v>95</v>
      </c>
      <c r="O258" s="593">
        <f ca="1">$E258*(-SUMIF(INDIRECT(O$3),'Struktur Aktuell'!$D258,INDIRECT(O$4))+SUMIF(INDIRECT(O$3),'Struktur Aktuell'!$D258,INDIRECT(O$5)))</f>
        <v>155</v>
      </c>
      <c r="P258" s="593">
        <f ca="1">$E258*(-SUMIF(INDIRECT(P$3),'Struktur Aktuell'!$D258,INDIRECT(P$4))+SUMIF(INDIRECT(P$3),'Struktur Aktuell'!$D258,INDIRECT(P$5)))</f>
        <v>95</v>
      </c>
      <c r="Q258" s="593">
        <f ca="1">$E258*(-SUMIF(INDIRECT(Q$3),'Struktur Aktuell'!$D258,INDIRECT(Q$4))+SUMIF(INDIRECT(Q$3),'Struktur Aktuell'!$D258,INDIRECT(Q$5)))</f>
        <v>0</v>
      </c>
      <c r="R258" s="593">
        <f ca="1">$E258*(-SUMIF(INDIRECT(R$3),'Struktur Aktuell'!$D258,INDIRECT(R$4))+SUMIF(INDIRECT(R$3),'Struktur Aktuell'!$D258,INDIRECT(R$5)))</f>
        <v>0</v>
      </c>
      <c r="S258" s="593">
        <f ca="1">$E258*(-SUMIF(INDIRECT(S$3),'Struktur Aktuell'!$D258,INDIRECT(S$4))+SUMIF(INDIRECT(S$3),'Struktur Aktuell'!$D258,INDIRECT(S$5)))</f>
        <v>0</v>
      </c>
      <c r="T258" s="593">
        <f ca="1">$E258*(-SUMIF(INDIRECT(T$3),'Struktur Aktuell'!$D258,INDIRECT(T$4))+SUMIF(INDIRECT(T$3),'Struktur Aktuell'!$D258,INDIRECT(T$5)))</f>
        <v>237.36</v>
      </c>
      <c r="U258" s="593">
        <f ca="1">$E258*(-SUMIF(INDIRECT(U$3),'Struktur Aktuell'!$D258,INDIRECT(U$4))+SUMIF(INDIRECT(U$3),'Struktur Aktuell'!$D258,INDIRECT(U$5)))</f>
        <v>237.36</v>
      </c>
      <c r="V258" s="593">
        <f ca="1">$E258*(-SUMIF(INDIRECT(V$3),'Struktur Aktuell'!$D258,INDIRECT(V$4))+SUMIF(INDIRECT(V$3),'Struktur Aktuell'!$D258,INDIRECT(V$5)))</f>
        <v>237.36</v>
      </c>
      <c r="W258" s="593">
        <f ca="1">$E258*(-SUMIF(INDIRECT(W$3),'Struktur Aktuell'!$D258,INDIRECT(W$4))+SUMIF(INDIRECT(W$3),'Struktur Aktuell'!$D258,INDIRECT(W$5)))</f>
        <v>332.36</v>
      </c>
      <c r="X258" s="593">
        <f ca="1">$E258*(-SUMIF(INDIRECT(X$3),'Struktur Aktuell'!$D258,INDIRECT(X$4))+SUMIF(INDIRECT(X$3),'Struktur Aktuell'!$D258,INDIRECT(X$5)))</f>
        <v>617.45000000000005</v>
      </c>
      <c r="Y258" s="593">
        <f ca="1">$E258*(-SUMIF(INDIRECT(Y$3),'Struktur Aktuell'!$D258,INDIRECT(Y$4))+SUMIF(INDIRECT(Y$3),'Struktur Aktuell'!$D258,INDIRECT(Y$5)))</f>
        <v>712.45</v>
      </c>
      <c r="Z258" s="593">
        <f ca="1">$E258*(-SUMIF(INDIRECT(Z$3),'Struktur Aktuell'!$D258,INDIRECT(Z$4))+SUMIF(INDIRECT(Z$3),'Struktur Aktuell'!$D258,INDIRECT(Z$5)))</f>
        <v>807.45</v>
      </c>
      <c r="AA258" s="593">
        <f ca="1">$E258*(-SUMIF(INDIRECT(AA$3),'Struktur Aktuell'!$D258,INDIRECT(AA$4))+SUMIF(INDIRECT(AA$3),'Struktur Aktuell'!$D258,INDIRECT(AA$5)))</f>
        <v>962.45</v>
      </c>
      <c r="AB258" s="593">
        <f ca="1">$E258*(-SUMIF(INDIRECT(AB$3),'Struktur Aktuell'!$D258,INDIRECT(AB$4))+SUMIF(INDIRECT(AB$3),'Struktur Aktuell'!$D258,INDIRECT(AB$5)))</f>
        <v>1057.45</v>
      </c>
      <c r="AC258" s="593">
        <f ca="1">$E258*(-SUMIF(INDIRECT(AC$3),'Struktur Aktuell'!$D258,INDIRECT(AC$4))+SUMIF(INDIRECT(AC$3),'Struktur Aktuell'!$D258,INDIRECT(AC$5)))</f>
        <v>0</v>
      </c>
      <c r="AD258" s="593">
        <f ca="1">$E258*(-SUMIF(INDIRECT(AD$3),'Struktur Aktuell'!$D258,INDIRECT(AD$4))+SUMIF(INDIRECT(AD$3),'Struktur Aktuell'!$D258,INDIRECT(AD$5)))</f>
        <v>0</v>
      </c>
      <c r="AE258" s="593">
        <f t="shared" ca="1" si="355"/>
        <v>0</v>
      </c>
      <c r="AF258" s="593">
        <f t="shared" ca="1" si="356"/>
        <v>237.36</v>
      </c>
      <c r="AG258" s="593">
        <f t="shared" ca="1" si="357"/>
        <v>237.36</v>
      </c>
      <c r="AH258" s="593">
        <f t="shared" ca="1" si="358"/>
        <v>237.36</v>
      </c>
      <c r="AI258" s="593">
        <f t="shared" ca="1" si="359"/>
        <v>332.36</v>
      </c>
      <c r="AJ258" s="593">
        <f t="shared" ca="1" si="360"/>
        <v>617.45000000000005</v>
      </c>
      <c r="AK258" s="593">
        <f t="shared" ca="1" si="361"/>
        <v>712.45</v>
      </c>
      <c r="AL258" s="593">
        <f t="shared" ca="1" si="362"/>
        <v>807.45</v>
      </c>
      <c r="AM258" s="593">
        <f t="shared" ca="1" si="363"/>
        <v>962.45</v>
      </c>
      <c r="AN258" s="593">
        <f t="shared" ca="1" si="364"/>
        <v>1057.45</v>
      </c>
      <c r="AO258" s="593">
        <f t="shared" ca="1" si="365"/>
        <v>1057.45</v>
      </c>
      <c r="AP258" s="593">
        <f t="shared" ca="1" si="366"/>
        <v>1057.45</v>
      </c>
    </row>
    <row r="259" spans="1:42" s="594" customFormat="1" ht="11.25" outlineLevel="1" x14ac:dyDescent="0.2">
      <c r="A259" s="590"/>
      <c r="B259" s="591" t="str">
        <f>IF(D259&lt;&gt;"",
IF(ISERROR(MATCH(D259,'Ist Aktuell Monat 01'!A:A,0))=FALSE,INDEX('Ist Aktuell Monat 01'!B:B,MATCH(D259,'Ist Aktuell Monat 01'!A:A,0)),
IF(ISERROR(MATCH(D259,'Ist Aktuell Monat 02'!A:A,0))=FALSE,INDEX('Ist Aktuell Monat 02'!B:B,MATCH(D259,'Ist Aktuell Monat 02'!A:A,0)),
IF(ISERROR(MATCH(D259,'Ist Aktuell Monat 03'!A:A,0))=FALSE,INDEX('Ist Aktuell Monat 03'!B:B,MATCH(D259,'Ist Aktuell Monat 03'!A:A,0)),
IF(ISERROR(MATCH(D259,'Ist Aktuell Monat 04'!A:A,0))=FALSE,INDEX('Ist Aktuell Monat 04'!B:B,MATCH(D259,'Ist Aktuell Monat 04'!A:A,0)),
IF(ISERROR(MATCH(D259,'Ist Aktuell Monat 05'!A:A,0))=FALSE,INDEX('Ist Aktuell Monat 05'!B:B,MATCH(D259,'Ist Aktuell Monat 05'!A:A,0)),
IF(ISERROR(MATCH(D259,'Ist Aktuell Monat 06'!A:A,0))=FALSE,INDEX('Ist Aktuell Monat 06'!B:B,MATCH(D259,'Ist Aktuell Monat 06'!A:A,0)),
IF(ISERROR(MATCH(D259,'Ist Aktuell Monat 07'!A:A,0))=FALSE,INDEX('Ist Aktuell Monat 07'!B:B,MATCH(D259,'Ist Aktuell Monat 07'!A:A,0)),
IF(ISERROR(MATCH(D259,'Ist Aktuell Monat 08'!A:A,0))=FALSE,INDEX('Ist Aktuell Monat 08'!B:B,MATCH(D259,'Ist Aktuell Monat 08'!A:A,0)),
IF(ISERROR(MATCH(D259,'Ist Aktuell Monat 09'!A:A,0))=FALSE,INDEX('Ist Aktuell Monat 09'!B:B,MATCH(D259,'Ist Aktuell Monat 09'!A:A,0)),
IF(ISERROR(MATCH(D259,'Ist Aktuell Monat 10'!A:A,0))=FALSE,INDEX('Ist Aktuell Monat 10'!B:B,MATCH(D259,'Ist Aktuell Monat 10'!A:A,0)),
IF(ISERROR(MATCH(D259,'Ist Aktuell Monat 11'!A:A,0))=FALSE,INDEX('Ist Aktuell Monat 11'!B:B,MATCH(D259,'Ist Aktuell Monat 11'!A:A,0)),
IF(ISERROR(MATCH(D259,'Ist Aktuell Monat 12'!A:A,0))=FALSE,INDEX('Ist Aktuell Monat 12'!B:B,MATCH(D259,'Ist Aktuell Monat 12'!A:A,0)),
"{Konto unbekannt}"
)))))))))))),"")</f>
        <v>Buchführungs- und Lohnkosten</v>
      </c>
      <c r="C259" s="591"/>
      <c r="D259" s="590">
        <v>4955</v>
      </c>
      <c r="E259" s="592">
        <f t="shared" si="308"/>
        <v>1</v>
      </c>
      <c r="F259" s="590"/>
      <c r="G259" s="593">
        <f ca="1">$E259*(-SUMIF(INDIRECT(G$3),'Struktur Aktuell'!$D259,INDIRECT(G$4))+SUMIF(INDIRECT(G$3),'Struktur Aktuell'!$D259,INDIRECT(G$5)))</f>
        <v>0</v>
      </c>
      <c r="H259" s="593">
        <f ca="1">$E259*(-SUMIF(INDIRECT(H$3),'Struktur Aktuell'!$D259,INDIRECT(H$4))+SUMIF(INDIRECT(H$3),'Struktur Aktuell'!$D259,INDIRECT(H$5)))</f>
        <v>118.42</v>
      </c>
      <c r="I259" s="593">
        <f ca="1">$E259*(-SUMIF(INDIRECT(I$3),'Struktur Aktuell'!$D259,INDIRECT(I$4))+SUMIF(INDIRECT(I$3),'Struktur Aktuell'!$D259,INDIRECT(I$5)))</f>
        <v>121.6</v>
      </c>
      <c r="J259" s="593">
        <f ca="1">$E259*(-SUMIF(INDIRECT(J$3),'Struktur Aktuell'!$D259,INDIRECT(J$4))+SUMIF(INDIRECT(J$3),'Struktur Aktuell'!$D259,INDIRECT(J$5)))</f>
        <v>0</v>
      </c>
      <c r="K259" s="593">
        <f ca="1">$E259*(-SUMIF(INDIRECT(K$3),'Struktur Aktuell'!$D259,INDIRECT(K$4))+SUMIF(INDIRECT(K$3),'Struktur Aktuell'!$D259,INDIRECT(K$5)))</f>
        <v>126.34</v>
      </c>
      <c r="L259" s="593">
        <f ca="1">$E259*(-SUMIF(INDIRECT(L$3),'Struktur Aktuell'!$D259,INDIRECT(L$4))+SUMIF(INDIRECT(L$3),'Struktur Aktuell'!$D259,INDIRECT(L$5)))</f>
        <v>263.70999999999998</v>
      </c>
      <c r="M259" s="593">
        <f ca="1">$E259*(-SUMIF(INDIRECT(M$3),'Struktur Aktuell'!$D259,INDIRECT(M$4))+SUMIF(INDIRECT(M$3),'Struktur Aktuell'!$D259,INDIRECT(M$5)))</f>
        <v>223.08</v>
      </c>
      <c r="N259" s="593">
        <f ca="1">$E259*(-SUMIF(INDIRECT(N$3),'Struktur Aktuell'!$D259,INDIRECT(N$4))+SUMIF(INDIRECT(N$3),'Struktur Aktuell'!$D259,INDIRECT(N$5)))</f>
        <v>63</v>
      </c>
      <c r="O259" s="593">
        <f ca="1">$E259*(-SUMIF(INDIRECT(O$3),'Struktur Aktuell'!$D259,INDIRECT(O$4))+SUMIF(INDIRECT(O$3),'Struktur Aktuell'!$D259,INDIRECT(O$5)))</f>
        <v>278.35000000000002</v>
      </c>
      <c r="P259" s="593">
        <f ca="1">$E259*(-SUMIF(INDIRECT(P$3),'Struktur Aktuell'!$D259,INDIRECT(P$4))+SUMIF(INDIRECT(P$3),'Struktur Aktuell'!$D259,INDIRECT(P$5)))</f>
        <v>0</v>
      </c>
      <c r="Q259" s="593">
        <f ca="1">$E259*(-SUMIF(INDIRECT(Q$3),'Struktur Aktuell'!$D259,INDIRECT(Q$4))+SUMIF(INDIRECT(Q$3),'Struktur Aktuell'!$D259,INDIRECT(Q$5)))</f>
        <v>0</v>
      </c>
      <c r="R259" s="593">
        <f ca="1">$E259*(-SUMIF(INDIRECT(R$3),'Struktur Aktuell'!$D259,INDIRECT(R$4))+SUMIF(INDIRECT(R$3),'Struktur Aktuell'!$D259,INDIRECT(R$5)))</f>
        <v>0</v>
      </c>
      <c r="S259" s="593">
        <f ca="1">$E259*(-SUMIF(INDIRECT(S$3),'Struktur Aktuell'!$D259,INDIRECT(S$4))+SUMIF(INDIRECT(S$3),'Struktur Aktuell'!$D259,INDIRECT(S$5)))</f>
        <v>0</v>
      </c>
      <c r="T259" s="593">
        <f ca="1">$E259*(-SUMIF(INDIRECT(T$3),'Struktur Aktuell'!$D259,INDIRECT(T$4))+SUMIF(INDIRECT(T$3),'Struktur Aktuell'!$D259,INDIRECT(T$5)))</f>
        <v>118.42</v>
      </c>
      <c r="U259" s="593">
        <f ca="1">$E259*(-SUMIF(INDIRECT(U$3),'Struktur Aktuell'!$D259,INDIRECT(U$4))+SUMIF(INDIRECT(U$3),'Struktur Aktuell'!$D259,INDIRECT(U$5)))</f>
        <v>240.02</v>
      </c>
      <c r="V259" s="593">
        <f ca="1">$E259*(-SUMIF(INDIRECT(V$3),'Struktur Aktuell'!$D259,INDIRECT(V$4))+SUMIF(INDIRECT(V$3),'Struktur Aktuell'!$D259,INDIRECT(V$5)))</f>
        <v>240.02</v>
      </c>
      <c r="W259" s="593">
        <f ca="1">$E259*(-SUMIF(INDIRECT(W$3),'Struktur Aktuell'!$D259,INDIRECT(W$4))+SUMIF(INDIRECT(W$3),'Struktur Aktuell'!$D259,INDIRECT(W$5)))</f>
        <v>366.36</v>
      </c>
      <c r="X259" s="593">
        <f ca="1">$E259*(-SUMIF(INDIRECT(X$3),'Struktur Aktuell'!$D259,INDIRECT(X$4))+SUMIF(INDIRECT(X$3),'Struktur Aktuell'!$D259,INDIRECT(X$5)))</f>
        <v>630.07000000000005</v>
      </c>
      <c r="Y259" s="593">
        <f ca="1">$E259*(-SUMIF(INDIRECT(Y$3),'Struktur Aktuell'!$D259,INDIRECT(Y$4))+SUMIF(INDIRECT(Y$3),'Struktur Aktuell'!$D259,INDIRECT(Y$5)))</f>
        <v>853.15</v>
      </c>
      <c r="Z259" s="593">
        <f ca="1">$E259*(-SUMIF(INDIRECT(Z$3),'Struktur Aktuell'!$D259,INDIRECT(Z$4))+SUMIF(INDIRECT(Z$3),'Struktur Aktuell'!$D259,INDIRECT(Z$5)))</f>
        <v>916.15</v>
      </c>
      <c r="AA259" s="593">
        <f ca="1">$E259*(-SUMIF(INDIRECT(AA$3),'Struktur Aktuell'!$D259,INDIRECT(AA$4))+SUMIF(INDIRECT(AA$3),'Struktur Aktuell'!$D259,INDIRECT(AA$5)))</f>
        <v>1194.5</v>
      </c>
      <c r="AB259" s="593">
        <f ca="1">$E259*(-SUMIF(INDIRECT(AB$3),'Struktur Aktuell'!$D259,INDIRECT(AB$4))+SUMIF(INDIRECT(AB$3),'Struktur Aktuell'!$D259,INDIRECT(AB$5)))</f>
        <v>1194.5</v>
      </c>
      <c r="AC259" s="593">
        <f ca="1">$E259*(-SUMIF(INDIRECT(AC$3),'Struktur Aktuell'!$D259,INDIRECT(AC$4))+SUMIF(INDIRECT(AC$3),'Struktur Aktuell'!$D259,INDIRECT(AC$5)))</f>
        <v>0</v>
      </c>
      <c r="AD259" s="593">
        <f ca="1">$E259*(-SUMIF(INDIRECT(AD$3),'Struktur Aktuell'!$D259,INDIRECT(AD$4))+SUMIF(INDIRECT(AD$3),'Struktur Aktuell'!$D259,INDIRECT(AD$5)))</f>
        <v>0</v>
      </c>
      <c r="AE259" s="593">
        <f t="shared" ca="1" si="355"/>
        <v>0</v>
      </c>
      <c r="AF259" s="593">
        <f t="shared" ca="1" si="356"/>
        <v>118.42</v>
      </c>
      <c r="AG259" s="593">
        <f t="shared" ca="1" si="357"/>
        <v>240.01999999999998</v>
      </c>
      <c r="AH259" s="593">
        <f t="shared" ca="1" si="358"/>
        <v>240.01999999999998</v>
      </c>
      <c r="AI259" s="593">
        <f t="shared" ca="1" si="359"/>
        <v>366.36</v>
      </c>
      <c r="AJ259" s="593">
        <f t="shared" ca="1" si="360"/>
        <v>630.06999999999994</v>
      </c>
      <c r="AK259" s="593">
        <f t="shared" ca="1" si="361"/>
        <v>853.15</v>
      </c>
      <c r="AL259" s="593">
        <f t="shared" ca="1" si="362"/>
        <v>916.15</v>
      </c>
      <c r="AM259" s="593">
        <f t="shared" ca="1" si="363"/>
        <v>1194.5</v>
      </c>
      <c r="AN259" s="593">
        <f t="shared" ca="1" si="364"/>
        <v>1194.5</v>
      </c>
      <c r="AO259" s="593">
        <f t="shared" ca="1" si="365"/>
        <v>1194.5</v>
      </c>
      <c r="AP259" s="593">
        <f t="shared" ca="1" si="366"/>
        <v>1194.5</v>
      </c>
    </row>
    <row r="260" spans="1:42" s="594" customFormat="1" ht="11.25" outlineLevel="1" x14ac:dyDescent="0.2">
      <c r="A260" s="590"/>
      <c r="B260" s="591" t="str">
        <f>IF(D260&lt;&gt;"",
IF(ISERROR(MATCH(D260,'Ist Aktuell Monat 01'!A:A,0))=FALSE,INDEX('Ist Aktuell Monat 01'!B:B,MATCH(D260,'Ist Aktuell Monat 01'!A:A,0)),
IF(ISERROR(MATCH(D260,'Ist Aktuell Monat 02'!A:A,0))=FALSE,INDEX('Ist Aktuell Monat 02'!B:B,MATCH(D260,'Ist Aktuell Monat 02'!A:A,0)),
IF(ISERROR(MATCH(D260,'Ist Aktuell Monat 03'!A:A,0))=FALSE,INDEX('Ist Aktuell Monat 03'!B:B,MATCH(D260,'Ist Aktuell Monat 03'!A:A,0)),
IF(ISERROR(MATCH(D260,'Ist Aktuell Monat 04'!A:A,0))=FALSE,INDEX('Ist Aktuell Monat 04'!B:B,MATCH(D260,'Ist Aktuell Monat 04'!A:A,0)),
IF(ISERROR(MATCH(D260,'Ist Aktuell Monat 05'!A:A,0))=FALSE,INDEX('Ist Aktuell Monat 05'!B:B,MATCH(D260,'Ist Aktuell Monat 05'!A:A,0)),
IF(ISERROR(MATCH(D260,'Ist Aktuell Monat 06'!A:A,0))=FALSE,INDEX('Ist Aktuell Monat 06'!B:B,MATCH(D260,'Ist Aktuell Monat 06'!A:A,0)),
IF(ISERROR(MATCH(D260,'Ist Aktuell Monat 07'!A:A,0))=FALSE,INDEX('Ist Aktuell Monat 07'!B:B,MATCH(D260,'Ist Aktuell Monat 07'!A:A,0)),
IF(ISERROR(MATCH(D260,'Ist Aktuell Monat 08'!A:A,0))=FALSE,INDEX('Ist Aktuell Monat 08'!B:B,MATCH(D260,'Ist Aktuell Monat 08'!A:A,0)),
IF(ISERROR(MATCH(D260,'Ist Aktuell Monat 09'!A:A,0))=FALSE,INDEX('Ist Aktuell Monat 09'!B:B,MATCH(D260,'Ist Aktuell Monat 09'!A:A,0)),
IF(ISERROR(MATCH(D260,'Ist Aktuell Monat 10'!A:A,0))=FALSE,INDEX('Ist Aktuell Monat 10'!B:B,MATCH(D260,'Ist Aktuell Monat 10'!A:A,0)),
IF(ISERROR(MATCH(D260,'Ist Aktuell Monat 11'!A:A,0))=FALSE,INDEX('Ist Aktuell Monat 11'!B:B,MATCH(D260,'Ist Aktuell Monat 11'!A:A,0)),
IF(ISERROR(MATCH(D260,'Ist Aktuell Monat 12'!A:A,0))=FALSE,INDEX('Ist Aktuell Monat 12'!B:B,MATCH(D260,'Ist Aktuell Monat 12'!A:A,0)),
"{Konto unbekannt}"
)))))))))))),"")</f>
        <v>Abschluss- und Prüfungskosten</v>
      </c>
      <c r="C260" s="591"/>
      <c r="D260" s="590">
        <v>4957</v>
      </c>
      <c r="E260" s="592">
        <f t="shared" si="308"/>
        <v>1</v>
      </c>
      <c r="F260" s="590"/>
      <c r="G260" s="593">
        <f ca="1">$E260*(-SUMIF(INDIRECT(G$3),'Struktur Aktuell'!$D260,INDIRECT(G$4))+SUMIF(INDIRECT(G$3),'Struktur Aktuell'!$D260,INDIRECT(G$5)))</f>
        <v>0</v>
      </c>
      <c r="H260" s="593">
        <f ca="1">$E260*(-SUMIF(INDIRECT(H$3),'Struktur Aktuell'!$D260,INDIRECT(H$4))+SUMIF(INDIRECT(H$3),'Struktur Aktuell'!$D260,INDIRECT(H$5)))</f>
        <v>28.5</v>
      </c>
      <c r="I260" s="593">
        <f ca="1">$E260*(-SUMIF(INDIRECT(I$3),'Struktur Aktuell'!$D260,INDIRECT(I$4))+SUMIF(INDIRECT(I$3),'Struktur Aktuell'!$D260,INDIRECT(I$5)))</f>
        <v>0</v>
      </c>
      <c r="J260" s="593">
        <f ca="1">$E260*(-SUMIF(INDIRECT(J$3),'Struktur Aktuell'!$D260,INDIRECT(J$4))+SUMIF(INDIRECT(J$3),'Struktur Aktuell'!$D260,INDIRECT(J$5)))</f>
        <v>0</v>
      </c>
      <c r="K260" s="593">
        <f ca="1">$E260*(-SUMIF(INDIRECT(K$3),'Struktur Aktuell'!$D260,INDIRECT(K$4))+SUMIF(INDIRECT(K$3),'Struktur Aktuell'!$D260,INDIRECT(K$5)))</f>
        <v>2150</v>
      </c>
      <c r="L260" s="593">
        <f ca="1">$E260*(-SUMIF(INDIRECT(L$3),'Struktur Aktuell'!$D260,INDIRECT(L$4))+SUMIF(INDIRECT(L$3),'Struktur Aktuell'!$D260,INDIRECT(L$5)))</f>
        <v>0</v>
      </c>
      <c r="M260" s="593">
        <f ca="1">$E260*(-SUMIF(INDIRECT(M$3),'Struktur Aktuell'!$D260,INDIRECT(M$4))+SUMIF(INDIRECT(M$3),'Struktur Aktuell'!$D260,INDIRECT(M$5)))</f>
        <v>0</v>
      </c>
      <c r="N260" s="593">
        <f ca="1">$E260*(-SUMIF(INDIRECT(N$3),'Struktur Aktuell'!$D260,INDIRECT(N$4))+SUMIF(INDIRECT(N$3),'Struktur Aktuell'!$D260,INDIRECT(N$5)))</f>
        <v>0</v>
      </c>
      <c r="O260" s="593">
        <f ca="1">$E260*(-SUMIF(INDIRECT(O$3),'Struktur Aktuell'!$D260,INDIRECT(O$4))+SUMIF(INDIRECT(O$3),'Struktur Aktuell'!$D260,INDIRECT(O$5)))</f>
        <v>0</v>
      </c>
      <c r="P260" s="593">
        <f ca="1">$E260*(-SUMIF(INDIRECT(P$3),'Struktur Aktuell'!$D260,INDIRECT(P$4))+SUMIF(INDIRECT(P$3),'Struktur Aktuell'!$D260,INDIRECT(P$5)))</f>
        <v>0</v>
      </c>
      <c r="Q260" s="593">
        <f ca="1">$E260*(-SUMIF(INDIRECT(Q$3),'Struktur Aktuell'!$D260,INDIRECT(Q$4))+SUMIF(INDIRECT(Q$3),'Struktur Aktuell'!$D260,INDIRECT(Q$5)))</f>
        <v>0</v>
      </c>
      <c r="R260" s="593">
        <f ca="1">$E260*(-SUMIF(INDIRECT(R$3),'Struktur Aktuell'!$D260,INDIRECT(R$4))+SUMIF(INDIRECT(R$3),'Struktur Aktuell'!$D260,INDIRECT(R$5)))</f>
        <v>0</v>
      </c>
      <c r="S260" s="593">
        <f ca="1">$E260*(-SUMIF(INDIRECT(S$3),'Struktur Aktuell'!$D260,INDIRECT(S$4))+SUMIF(INDIRECT(S$3),'Struktur Aktuell'!$D260,INDIRECT(S$5)))</f>
        <v>0</v>
      </c>
      <c r="T260" s="593">
        <f ca="1">$E260*(-SUMIF(INDIRECT(T$3),'Struktur Aktuell'!$D260,INDIRECT(T$4))+SUMIF(INDIRECT(T$3),'Struktur Aktuell'!$D260,INDIRECT(T$5)))</f>
        <v>28.5</v>
      </c>
      <c r="U260" s="593">
        <f ca="1">$E260*(-SUMIF(INDIRECT(U$3),'Struktur Aktuell'!$D260,INDIRECT(U$4))+SUMIF(INDIRECT(U$3),'Struktur Aktuell'!$D260,INDIRECT(U$5)))</f>
        <v>28.5</v>
      </c>
      <c r="V260" s="593">
        <f ca="1">$E260*(-SUMIF(INDIRECT(V$3),'Struktur Aktuell'!$D260,INDIRECT(V$4))+SUMIF(INDIRECT(V$3),'Struktur Aktuell'!$D260,INDIRECT(V$5)))</f>
        <v>28.5</v>
      </c>
      <c r="W260" s="593">
        <f ca="1">$E260*(-SUMIF(INDIRECT(W$3),'Struktur Aktuell'!$D260,INDIRECT(W$4))+SUMIF(INDIRECT(W$3),'Struktur Aktuell'!$D260,INDIRECT(W$5)))</f>
        <v>2178.5</v>
      </c>
      <c r="X260" s="593">
        <f ca="1">$E260*(-SUMIF(INDIRECT(X$3),'Struktur Aktuell'!$D260,INDIRECT(X$4))+SUMIF(INDIRECT(X$3),'Struktur Aktuell'!$D260,INDIRECT(X$5)))</f>
        <v>2178.5</v>
      </c>
      <c r="Y260" s="593">
        <f ca="1">$E260*(-SUMIF(INDIRECT(Y$3),'Struktur Aktuell'!$D260,INDIRECT(Y$4))+SUMIF(INDIRECT(Y$3),'Struktur Aktuell'!$D260,INDIRECT(Y$5)))</f>
        <v>2178.5</v>
      </c>
      <c r="Z260" s="593">
        <f ca="1">$E260*(-SUMIF(INDIRECT(Z$3),'Struktur Aktuell'!$D260,INDIRECT(Z$4))+SUMIF(INDIRECT(Z$3),'Struktur Aktuell'!$D260,INDIRECT(Z$5)))</f>
        <v>2178.5</v>
      </c>
      <c r="AA260" s="593">
        <f ca="1">$E260*(-SUMIF(INDIRECT(AA$3),'Struktur Aktuell'!$D260,INDIRECT(AA$4))+SUMIF(INDIRECT(AA$3),'Struktur Aktuell'!$D260,INDIRECT(AA$5)))</f>
        <v>2178.5</v>
      </c>
      <c r="AB260" s="593">
        <f ca="1">$E260*(-SUMIF(INDIRECT(AB$3),'Struktur Aktuell'!$D260,INDIRECT(AB$4))+SUMIF(INDIRECT(AB$3),'Struktur Aktuell'!$D260,INDIRECT(AB$5)))</f>
        <v>2178.5</v>
      </c>
      <c r="AC260" s="593">
        <f ca="1">$E260*(-SUMIF(INDIRECT(AC$3),'Struktur Aktuell'!$D260,INDIRECT(AC$4))+SUMIF(INDIRECT(AC$3),'Struktur Aktuell'!$D260,INDIRECT(AC$5)))</f>
        <v>0</v>
      </c>
      <c r="AD260" s="593">
        <f ca="1">$E260*(-SUMIF(INDIRECT(AD$3),'Struktur Aktuell'!$D260,INDIRECT(AD$4))+SUMIF(INDIRECT(AD$3),'Struktur Aktuell'!$D260,INDIRECT(AD$5)))</f>
        <v>0</v>
      </c>
      <c r="AE260" s="593">
        <f t="shared" ca="1" si="355"/>
        <v>0</v>
      </c>
      <c r="AF260" s="593">
        <f t="shared" ca="1" si="356"/>
        <v>28.5</v>
      </c>
      <c r="AG260" s="593">
        <f t="shared" ca="1" si="357"/>
        <v>28.5</v>
      </c>
      <c r="AH260" s="593">
        <f t="shared" ca="1" si="358"/>
        <v>28.5</v>
      </c>
      <c r="AI260" s="593">
        <f t="shared" ca="1" si="359"/>
        <v>2178.5</v>
      </c>
      <c r="AJ260" s="593">
        <f t="shared" ca="1" si="360"/>
        <v>2178.5</v>
      </c>
      <c r="AK260" s="593">
        <f t="shared" ca="1" si="361"/>
        <v>2178.5</v>
      </c>
      <c r="AL260" s="593">
        <f t="shared" ca="1" si="362"/>
        <v>2178.5</v>
      </c>
      <c r="AM260" s="593">
        <f t="shared" ca="1" si="363"/>
        <v>2178.5</v>
      </c>
      <c r="AN260" s="593">
        <f t="shared" ca="1" si="364"/>
        <v>2178.5</v>
      </c>
      <c r="AO260" s="593">
        <f t="shared" ca="1" si="365"/>
        <v>2178.5</v>
      </c>
      <c r="AP260" s="593">
        <f t="shared" ca="1" si="366"/>
        <v>2178.5</v>
      </c>
    </row>
    <row r="261" spans="1:42" s="594" customFormat="1" ht="11.25" outlineLevel="1" x14ac:dyDescent="0.2">
      <c r="A261" s="590"/>
      <c r="B261" s="591" t="str">
        <f>IF(D261&lt;&gt;"",
IF(ISERROR(MATCH(D261,'Ist Aktuell Monat 01'!A:A,0))=FALSE,INDEX('Ist Aktuell Monat 01'!B:B,MATCH(D261,'Ist Aktuell Monat 01'!A:A,0)),
IF(ISERROR(MATCH(D261,'Ist Aktuell Monat 02'!A:A,0))=FALSE,INDEX('Ist Aktuell Monat 02'!B:B,MATCH(D261,'Ist Aktuell Monat 02'!A:A,0)),
IF(ISERROR(MATCH(D261,'Ist Aktuell Monat 03'!A:A,0))=FALSE,INDEX('Ist Aktuell Monat 03'!B:B,MATCH(D261,'Ist Aktuell Monat 03'!A:A,0)),
IF(ISERROR(MATCH(D261,'Ist Aktuell Monat 04'!A:A,0))=FALSE,INDEX('Ist Aktuell Monat 04'!B:B,MATCH(D261,'Ist Aktuell Monat 04'!A:A,0)),
IF(ISERROR(MATCH(D261,'Ist Aktuell Monat 05'!A:A,0))=FALSE,INDEX('Ist Aktuell Monat 05'!B:B,MATCH(D261,'Ist Aktuell Monat 05'!A:A,0)),
IF(ISERROR(MATCH(D261,'Ist Aktuell Monat 06'!A:A,0))=FALSE,INDEX('Ist Aktuell Monat 06'!B:B,MATCH(D261,'Ist Aktuell Monat 06'!A:A,0)),
IF(ISERROR(MATCH(D261,'Ist Aktuell Monat 07'!A:A,0))=FALSE,INDEX('Ist Aktuell Monat 07'!B:B,MATCH(D261,'Ist Aktuell Monat 07'!A:A,0)),
IF(ISERROR(MATCH(D261,'Ist Aktuell Monat 08'!A:A,0))=FALSE,INDEX('Ist Aktuell Monat 08'!B:B,MATCH(D261,'Ist Aktuell Monat 08'!A:A,0)),
IF(ISERROR(MATCH(D261,'Ist Aktuell Monat 09'!A:A,0))=FALSE,INDEX('Ist Aktuell Monat 09'!B:B,MATCH(D261,'Ist Aktuell Monat 09'!A:A,0)),
IF(ISERROR(MATCH(D261,'Ist Aktuell Monat 10'!A:A,0))=FALSE,INDEX('Ist Aktuell Monat 10'!B:B,MATCH(D261,'Ist Aktuell Monat 10'!A:A,0)),
IF(ISERROR(MATCH(D261,'Ist Aktuell Monat 11'!A:A,0))=FALSE,INDEX('Ist Aktuell Monat 11'!B:B,MATCH(D261,'Ist Aktuell Monat 11'!A:A,0)),
IF(ISERROR(MATCH(D261,'Ist Aktuell Monat 12'!A:A,0))=FALSE,INDEX('Ist Aktuell Monat 12'!B:B,MATCH(D261,'Ist Aktuell Monat 12'!A:A,0)),
"{Konto unbekannt}"
)))))))))))),"")</f>
        <v/>
      </c>
      <c r="C261" s="591"/>
      <c r="D261" s="590"/>
      <c r="E261" s="592">
        <f t="shared" si="308"/>
        <v>1</v>
      </c>
      <c r="F261" s="590"/>
      <c r="G261" s="593">
        <f ca="1">$E261*(-SUMIF(INDIRECT(G$3),'Struktur Aktuell'!$D261,INDIRECT(G$4))+SUMIF(INDIRECT(G$3),'Struktur Aktuell'!$D261,INDIRECT(G$5)))</f>
        <v>0</v>
      </c>
      <c r="H261" s="593">
        <f ca="1">$E261*(-SUMIF(INDIRECT(H$3),'Struktur Aktuell'!$D261,INDIRECT(H$4))+SUMIF(INDIRECT(H$3),'Struktur Aktuell'!$D261,INDIRECT(H$5)))</f>
        <v>0</v>
      </c>
      <c r="I261" s="593">
        <f ca="1">$E261*(-SUMIF(INDIRECT(I$3),'Struktur Aktuell'!$D261,INDIRECT(I$4))+SUMIF(INDIRECT(I$3),'Struktur Aktuell'!$D261,INDIRECT(I$5)))</f>
        <v>0</v>
      </c>
      <c r="J261" s="593">
        <f ca="1">$E261*(-SUMIF(INDIRECT(J$3),'Struktur Aktuell'!$D261,INDIRECT(J$4))+SUMIF(INDIRECT(J$3),'Struktur Aktuell'!$D261,INDIRECT(J$5)))</f>
        <v>0</v>
      </c>
      <c r="K261" s="593">
        <f ca="1">$E261*(-SUMIF(INDIRECT(K$3),'Struktur Aktuell'!$D261,INDIRECT(K$4))+SUMIF(INDIRECT(K$3),'Struktur Aktuell'!$D261,INDIRECT(K$5)))</f>
        <v>0</v>
      </c>
      <c r="L261" s="593">
        <f ca="1">$E261*(-SUMIF(INDIRECT(L$3),'Struktur Aktuell'!$D261,INDIRECT(L$4))+SUMIF(INDIRECT(L$3),'Struktur Aktuell'!$D261,INDIRECT(L$5)))</f>
        <v>0</v>
      </c>
      <c r="M261" s="593">
        <f ca="1">$E261*(-SUMIF(INDIRECT(M$3),'Struktur Aktuell'!$D261,INDIRECT(M$4))+SUMIF(INDIRECT(M$3),'Struktur Aktuell'!$D261,INDIRECT(M$5)))</f>
        <v>0</v>
      </c>
      <c r="N261" s="593">
        <f ca="1">$E261*(-SUMIF(INDIRECT(N$3),'Struktur Aktuell'!$D261,INDIRECT(N$4))+SUMIF(INDIRECT(N$3),'Struktur Aktuell'!$D261,INDIRECT(N$5)))</f>
        <v>0</v>
      </c>
      <c r="O261" s="593">
        <f ca="1">$E261*(-SUMIF(INDIRECT(O$3),'Struktur Aktuell'!$D261,INDIRECT(O$4))+SUMIF(INDIRECT(O$3),'Struktur Aktuell'!$D261,INDIRECT(O$5)))</f>
        <v>0</v>
      </c>
      <c r="P261" s="593">
        <f ca="1">$E261*(-SUMIF(INDIRECT(P$3),'Struktur Aktuell'!$D261,INDIRECT(P$4))+SUMIF(INDIRECT(P$3),'Struktur Aktuell'!$D261,INDIRECT(P$5)))</f>
        <v>0</v>
      </c>
      <c r="Q261" s="593">
        <f ca="1">$E261*(-SUMIF(INDIRECT(Q$3),'Struktur Aktuell'!$D261,INDIRECT(Q$4))+SUMIF(INDIRECT(Q$3),'Struktur Aktuell'!$D261,INDIRECT(Q$5)))</f>
        <v>0</v>
      </c>
      <c r="R261" s="593">
        <f ca="1">$E261*(-SUMIF(INDIRECT(R$3),'Struktur Aktuell'!$D261,INDIRECT(R$4))+SUMIF(INDIRECT(R$3),'Struktur Aktuell'!$D261,INDIRECT(R$5)))</f>
        <v>0</v>
      </c>
      <c r="S261" s="593">
        <f ca="1">$E261*(-SUMIF(INDIRECT(S$3),'Struktur Aktuell'!$D261,INDIRECT(S$4))+SUMIF(INDIRECT(S$3),'Struktur Aktuell'!$D261,INDIRECT(S$5)))</f>
        <v>0</v>
      </c>
      <c r="T261" s="593">
        <f ca="1">$E261*(-SUMIF(INDIRECT(T$3),'Struktur Aktuell'!$D261,INDIRECT(T$4))+SUMIF(INDIRECT(T$3),'Struktur Aktuell'!$D261,INDIRECT(T$5)))</f>
        <v>0</v>
      </c>
      <c r="U261" s="593">
        <f ca="1">$E261*(-SUMIF(INDIRECT(U$3),'Struktur Aktuell'!$D261,INDIRECT(U$4))+SUMIF(INDIRECT(U$3),'Struktur Aktuell'!$D261,INDIRECT(U$5)))</f>
        <v>0</v>
      </c>
      <c r="V261" s="593">
        <f ca="1">$E261*(-SUMIF(INDIRECT(V$3),'Struktur Aktuell'!$D261,INDIRECT(V$4))+SUMIF(INDIRECT(V$3),'Struktur Aktuell'!$D261,INDIRECT(V$5)))</f>
        <v>0</v>
      </c>
      <c r="W261" s="593">
        <f ca="1">$E261*(-SUMIF(INDIRECT(W$3),'Struktur Aktuell'!$D261,INDIRECT(W$4))+SUMIF(INDIRECT(W$3),'Struktur Aktuell'!$D261,INDIRECT(W$5)))</f>
        <v>0</v>
      </c>
      <c r="X261" s="593">
        <f ca="1">$E261*(-SUMIF(INDIRECT(X$3),'Struktur Aktuell'!$D261,INDIRECT(X$4))+SUMIF(INDIRECT(X$3),'Struktur Aktuell'!$D261,INDIRECT(X$5)))</f>
        <v>0</v>
      </c>
      <c r="Y261" s="593">
        <f ca="1">$E261*(-SUMIF(INDIRECT(Y$3),'Struktur Aktuell'!$D261,INDIRECT(Y$4))+SUMIF(INDIRECT(Y$3),'Struktur Aktuell'!$D261,INDIRECT(Y$5)))</f>
        <v>0</v>
      </c>
      <c r="Z261" s="593">
        <f ca="1">$E261*(-SUMIF(INDIRECT(Z$3),'Struktur Aktuell'!$D261,INDIRECT(Z$4))+SUMIF(INDIRECT(Z$3),'Struktur Aktuell'!$D261,INDIRECT(Z$5)))</f>
        <v>0</v>
      </c>
      <c r="AA261" s="593">
        <f ca="1">$E261*(-SUMIF(INDIRECT(AA$3),'Struktur Aktuell'!$D261,INDIRECT(AA$4))+SUMIF(INDIRECT(AA$3),'Struktur Aktuell'!$D261,INDIRECT(AA$5)))</f>
        <v>0</v>
      </c>
      <c r="AB261" s="593">
        <f ca="1">$E261*(-SUMIF(INDIRECT(AB$3),'Struktur Aktuell'!$D261,INDIRECT(AB$4))+SUMIF(INDIRECT(AB$3),'Struktur Aktuell'!$D261,INDIRECT(AB$5)))</f>
        <v>0</v>
      </c>
      <c r="AC261" s="593">
        <f ca="1">$E261*(-SUMIF(INDIRECT(AC$3),'Struktur Aktuell'!$D261,INDIRECT(AC$4))+SUMIF(INDIRECT(AC$3),'Struktur Aktuell'!$D261,INDIRECT(AC$5)))</f>
        <v>0</v>
      </c>
      <c r="AD261" s="593">
        <f ca="1">$E261*(-SUMIF(INDIRECT(AD$3),'Struktur Aktuell'!$D261,INDIRECT(AD$4))+SUMIF(INDIRECT(AD$3),'Struktur Aktuell'!$D261,INDIRECT(AD$5)))</f>
        <v>0</v>
      </c>
      <c r="AE261" s="593">
        <f t="shared" ca="1" si="355"/>
        <v>0</v>
      </c>
      <c r="AF261" s="593">
        <f t="shared" ca="1" si="356"/>
        <v>0</v>
      </c>
      <c r="AG261" s="593">
        <f t="shared" ca="1" si="357"/>
        <v>0</v>
      </c>
      <c r="AH261" s="593">
        <f t="shared" ca="1" si="358"/>
        <v>0</v>
      </c>
      <c r="AI261" s="593">
        <f t="shared" ca="1" si="359"/>
        <v>0</v>
      </c>
      <c r="AJ261" s="593">
        <f t="shared" ca="1" si="360"/>
        <v>0</v>
      </c>
      <c r="AK261" s="593">
        <f t="shared" ca="1" si="361"/>
        <v>0</v>
      </c>
      <c r="AL261" s="593">
        <f t="shared" ca="1" si="362"/>
        <v>0</v>
      </c>
      <c r="AM261" s="593">
        <f t="shared" ca="1" si="363"/>
        <v>0</v>
      </c>
      <c r="AN261" s="593">
        <f t="shared" ca="1" si="364"/>
        <v>0</v>
      </c>
      <c r="AO261" s="593">
        <f t="shared" ca="1" si="365"/>
        <v>0</v>
      </c>
      <c r="AP261" s="593">
        <f t="shared" ca="1" si="366"/>
        <v>0</v>
      </c>
    </row>
    <row r="262" spans="1:42" s="594" customFormat="1" ht="11.25" outlineLevel="1" x14ac:dyDescent="0.2">
      <c r="A262" s="590"/>
      <c r="B262" s="591" t="str">
        <f>IF(D262&lt;&gt;"",
IF(ISERROR(MATCH(D262,'Ist Aktuell Monat 01'!A:A,0))=FALSE,INDEX('Ist Aktuell Monat 01'!B:B,MATCH(D262,'Ist Aktuell Monat 01'!A:A,0)),
IF(ISERROR(MATCH(D262,'Ist Aktuell Monat 02'!A:A,0))=FALSE,INDEX('Ist Aktuell Monat 02'!B:B,MATCH(D262,'Ist Aktuell Monat 02'!A:A,0)),
IF(ISERROR(MATCH(D262,'Ist Aktuell Monat 03'!A:A,0))=FALSE,INDEX('Ist Aktuell Monat 03'!B:B,MATCH(D262,'Ist Aktuell Monat 03'!A:A,0)),
IF(ISERROR(MATCH(D262,'Ist Aktuell Monat 04'!A:A,0))=FALSE,INDEX('Ist Aktuell Monat 04'!B:B,MATCH(D262,'Ist Aktuell Monat 04'!A:A,0)),
IF(ISERROR(MATCH(D262,'Ist Aktuell Monat 05'!A:A,0))=FALSE,INDEX('Ist Aktuell Monat 05'!B:B,MATCH(D262,'Ist Aktuell Monat 05'!A:A,0)),
IF(ISERROR(MATCH(D262,'Ist Aktuell Monat 06'!A:A,0))=FALSE,INDEX('Ist Aktuell Monat 06'!B:B,MATCH(D262,'Ist Aktuell Monat 06'!A:A,0)),
IF(ISERROR(MATCH(D262,'Ist Aktuell Monat 07'!A:A,0))=FALSE,INDEX('Ist Aktuell Monat 07'!B:B,MATCH(D262,'Ist Aktuell Monat 07'!A:A,0)),
IF(ISERROR(MATCH(D262,'Ist Aktuell Monat 08'!A:A,0))=FALSE,INDEX('Ist Aktuell Monat 08'!B:B,MATCH(D262,'Ist Aktuell Monat 08'!A:A,0)),
IF(ISERROR(MATCH(D262,'Ist Aktuell Monat 09'!A:A,0))=FALSE,INDEX('Ist Aktuell Monat 09'!B:B,MATCH(D262,'Ist Aktuell Monat 09'!A:A,0)),
IF(ISERROR(MATCH(D262,'Ist Aktuell Monat 10'!A:A,0))=FALSE,INDEX('Ist Aktuell Monat 10'!B:B,MATCH(D262,'Ist Aktuell Monat 10'!A:A,0)),
IF(ISERROR(MATCH(D262,'Ist Aktuell Monat 11'!A:A,0))=FALSE,INDEX('Ist Aktuell Monat 11'!B:B,MATCH(D262,'Ist Aktuell Monat 11'!A:A,0)),
IF(ISERROR(MATCH(D262,'Ist Aktuell Monat 12'!A:A,0))=FALSE,INDEX('Ist Aktuell Monat 12'!B:B,MATCH(D262,'Ist Aktuell Monat 12'!A:A,0)),
"{Konto unbekannt}"
)))))))))))),"")</f>
        <v/>
      </c>
      <c r="C262" s="591"/>
      <c r="D262" s="590"/>
      <c r="E262" s="592">
        <f t="shared" si="308"/>
        <v>1</v>
      </c>
      <c r="F262" s="590"/>
      <c r="G262" s="593">
        <f ca="1">$E262*(-SUMIF(INDIRECT(G$3),'Struktur Aktuell'!$D262,INDIRECT(G$4))+SUMIF(INDIRECT(G$3),'Struktur Aktuell'!$D262,INDIRECT(G$5)))</f>
        <v>0</v>
      </c>
      <c r="H262" s="593">
        <f ca="1">$E262*(-SUMIF(INDIRECT(H$3),'Struktur Aktuell'!$D262,INDIRECT(H$4))+SUMIF(INDIRECT(H$3),'Struktur Aktuell'!$D262,INDIRECT(H$5)))</f>
        <v>0</v>
      </c>
      <c r="I262" s="593">
        <f ca="1">$E262*(-SUMIF(INDIRECT(I$3),'Struktur Aktuell'!$D262,INDIRECT(I$4))+SUMIF(INDIRECT(I$3),'Struktur Aktuell'!$D262,INDIRECT(I$5)))</f>
        <v>0</v>
      </c>
      <c r="J262" s="593">
        <f ca="1">$E262*(-SUMIF(INDIRECT(J$3),'Struktur Aktuell'!$D262,INDIRECT(J$4))+SUMIF(INDIRECT(J$3),'Struktur Aktuell'!$D262,INDIRECT(J$5)))</f>
        <v>0</v>
      </c>
      <c r="K262" s="593">
        <f ca="1">$E262*(-SUMIF(INDIRECT(K$3),'Struktur Aktuell'!$D262,INDIRECT(K$4))+SUMIF(INDIRECT(K$3),'Struktur Aktuell'!$D262,INDIRECT(K$5)))</f>
        <v>0</v>
      </c>
      <c r="L262" s="593">
        <f ca="1">$E262*(-SUMIF(INDIRECT(L$3),'Struktur Aktuell'!$D262,INDIRECT(L$4))+SUMIF(INDIRECT(L$3),'Struktur Aktuell'!$D262,INDIRECT(L$5)))</f>
        <v>0</v>
      </c>
      <c r="M262" s="593">
        <f ca="1">$E262*(-SUMIF(INDIRECT(M$3),'Struktur Aktuell'!$D262,INDIRECT(M$4))+SUMIF(INDIRECT(M$3),'Struktur Aktuell'!$D262,INDIRECT(M$5)))</f>
        <v>0</v>
      </c>
      <c r="N262" s="593">
        <f ca="1">$E262*(-SUMIF(INDIRECT(N$3),'Struktur Aktuell'!$D262,INDIRECT(N$4))+SUMIF(INDIRECT(N$3),'Struktur Aktuell'!$D262,INDIRECT(N$5)))</f>
        <v>0</v>
      </c>
      <c r="O262" s="593">
        <f ca="1">$E262*(-SUMIF(INDIRECT(O$3),'Struktur Aktuell'!$D262,INDIRECT(O$4))+SUMIF(INDIRECT(O$3),'Struktur Aktuell'!$D262,INDIRECT(O$5)))</f>
        <v>0</v>
      </c>
      <c r="P262" s="593">
        <f ca="1">$E262*(-SUMIF(INDIRECT(P$3),'Struktur Aktuell'!$D262,INDIRECT(P$4))+SUMIF(INDIRECT(P$3),'Struktur Aktuell'!$D262,INDIRECT(P$5)))</f>
        <v>0</v>
      </c>
      <c r="Q262" s="593">
        <f ca="1">$E262*(-SUMIF(INDIRECT(Q$3),'Struktur Aktuell'!$D262,INDIRECT(Q$4))+SUMIF(INDIRECT(Q$3),'Struktur Aktuell'!$D262,INDIRECT(Q$5)))</f>
        <v>0</v>
      </c>
      <c r="R262" s="593">
        <f ca="1">$E262*(-SUMIF(INDIRECT(R$3),'Struktur Aktuell'!$D262,INDIRECT(R$4))+SUMIF(INDIRECT(R$3),'Struktur Aktuell'!$D262,INDIRECT(R$5)))</f>
        <v>0</v>
      </c>
      <c r="S262" s="593">
        <f ca="1">$E262*(-SUMIF(INDIRECT(S$3),'Struktur Aktuell'!$D262,INDIRECT(S$4))+SUMIF(INDIRECT(S$3),'Struktur Aktuell'!$D262,INDIRECT(S$5)))</f>
        <v>0</v>
      </c>
      <c r="T262" s="593">
        <f ca="1">$E262*(-SUMIF(INDIRECT(T$3),'Struktur Aktuell'!$D262,INDIRECT(T$4))+SUMIF(INDIRECT(T$3),'Struktur Aktuell'!$D262,INDIRECT(T$5)))</f>
        <v>0</v>
      </c>
      <c r="U262" s="593">
        <f ca="1">$E262*(-SUMIF(INDIRECT(U$3),'Struktur Aktuell'!$D262,INDIRECT(U$4))+SUMIF(INDIRECT(U$3),'Struktur Aktuell'!$D262,INDIRECT(U$5)))</f>
        <v>0</v>
      </c>
      <c r="V262" s="593">
        <f ca="1">$E262*(-SUMIF(INDIRECT(V$3),'Struktur Aktuell'!$D262,INDIRECT(V$4))+SUMIF(INDIRECT(V$3),'Struktur Aktuell'!$D262,INDIRECT(V$5)))</f>
        <v>0</v>
      </c>
      <c r="W262" s="593">
        <f ca="1">$E262*(-SUMIF(INDIRECT(W$3),'Struktur Aktuell'!$D262,INDIRECT(W$4))+SUMIF(INDIRECT(W$3),'Struktur Aktuell'!$D262,INDIRECT(W$5)))</f>
        <v>0</v>
      </c>
      <c r="X262" s="593">
        <f ca="1">$E262*(-SUMIF(INDIRECT(X$3),'Struktur Aktuell'!$D262,INDIRECT(X$4))+SUMIF(INDIRECT(X$3),'Struktur Aktuell'!$D262,INDIRECT(X$5)))</f>
        <v>0</v>
      </c>
      <c r="Y262" s="593">
        <f ca="1">$E262*(-SUMIF(INDIRECT(Y$3),'Struktur Aktuell'!$D262,INDIRECT(Y$4))+SUMIF(INDIRECT(Y$3),'Struktur Aktuell'!$D262,INDIRECT(Y$5)))</f>
        <v>0</v>
      </c>
      <c r="Z262" s="593">
        <f ca="1">$E262*(-SUMIF(INDIRECT(Z$3),'Struktur Aktuell'!$D262,INDIRECT(Z$4))+SUMIF(INDIRECT(Z$3),'Struktur Aktuell'!$D262,INDIRECT(Z$5)))</f>
        <v>0</v>
      </c>
      <c r="AA262" s="593">
        <f ca="1">$E262*(-SUMIF(INDIRECT(AA$3),'Struktur Aktuell'!$D262,INDIRECT(AA$4))+SUMIF(INDIRECT(AA$3),'Struktur Aktuell'!$D262,INDIRECT(AA$5)))</f>
        <v>0</v>
      </c>
      <c r="AB262" s="593">
        <f ca="1">$E262*(-SUMIF(INDIRECT(AB$3),'Struktur Aktuell'!$D262,INDIRECT(AB$4))+SUMIF(INDIRECT(AB$3),'Struktur Aktuell'!$D262,INDIRECT(AB$5)))</f>
        <v>0</v>
      </c>
      <c r="AC262" s="593">
        <f ca="1">$E262*(-SUMIF(INDIRECT(AC$3),'Struktur Aktuell'!$D262,INDIRECT(AC$4))+SUMIF(INDIRECT(AC$3),'Struktur Aktuell'!$D262,INDIRECT(AC$5)))</f>
        <v>0</v>
      </c>
      <c r="AD262" s="593">
        <f ca="1">$E262*(-SUMIF(INDIRECT(AD$3),'Struktur Aktuell'!$D262,INDIRECT(AD$4))+SUMIF(INDIRECT(AD$3),'Struktur Aktuell'!$D262,INDIRECT(AD$5)))</f>
        <v>0</v>
      </c>
      <c r="AE262" s="593">
        <f t="shared" ca="1" si="355"/>
        <v>0</v>
      </c>
      <c r="AF262" s="593">
        <f t="shared" ca="1" si="356"/>
        <v>0</v>
      </c>
      <c r="AG262" s="593">
        <f t="shared" ca="1" si="357"/>
        <v>0</v>
      </c>
      <c r="AH262" s="593">
        <f t="shared" ca="1" si="358"/>
        <v>0</v>
      </c>
      <c r="AI262" s="593">
        <f t="shared" ca="1" si="359"/>
        <v>0</v>
      </c>
      <c r="AJ262" s="593">
        <f t="shared" ca="1" si="360"/>
        <v>0</v>
      </c>
      <c r="AK262" s="593">
        <f t="shared" ca="1" si="361"/>
        <v>0</v>
      </c>
      <c r="AL262" s="593">
        <f t="shared" ca="1" si="362"/>
        <v>0</v>
      </c>
      <c r="AM262" s="593">
        <f t="shared" ca="1" si="363"/>
        <v>0</v>
      </c>
      <c r="AN262" s="593">
        <f t="shared" ca="1" si="364"/>
        <v>0</v>
      </c>
      <c r="AO262" s="593">
        <f t="shared" ca="1" si="365"/>
        <v>0</v>
      </c>
      <c r="AP262" s="593">
        <f t="shared" ca="1" si="366"/>
        <v>0</v>
      </c>
    </row>
    <row r="263" spans="1:42" s="594" customFormat="1" ht="11.25" outlineLevel="1" x14ac:dyDescent="0.2">
      <c r="A263" s="590"/>
      <c r="B263" s="591" t="str">
        <f>IF(D263&lt;&gt;"",
IF(ISERROR(MATCH(D263,'Ist Aktuell Monat 01'!A:A,0))=FALSE,INDEX('Ist Aktuell Monat 01'!B:B,MATCH(D263,'Ist Aktuell Monat 01'!A:A,0)),
IF(ISERROR(MATCH(D263,'Ist Aktuell Monat 02'!A:A,0))=FALSE,INDEX('Ist Aktuell Monat 02'!B:B,MATCH(D263,'Ist Aktuell Monat 02'!A:A,0)),
IF(ISERROR(MATCH(D263,'Ist Aktuell Monat 03'!A:A,0))=FALSE,INDEX('Ist Aktuell Monat 03'!B:B,MATCH(D263,'Ist Aktuell Monat 03'!A:A,0)),
IF(ISERROR(MATCH(D263,'Ist Aktuell Monat 04'!A:A,0))=FALSE,INDEX('Ist Aktuell Monat 04'!B:B,MATCH(D263,'Ist Aktuell Monat 04'!A:A,0)),
IF(ISERROR(MATCH(D263,'Ist Aktuell Monat 05'!A:A,0))=FALSE,INDEX('Ist Aktuell Monat 05'!B:B,MATCH(D263,'Ist Aktuell Monat 05'!A:A,0)),
IF(ISERROR(MATCH(D263,'Ist Aktuell Monat 06'!A:A,0))=FALSE,INDEX('Ist Aktuell Monat 06'!B:B,MATCH(D263,'Ist Aktuell Monat 06'!A:A,0)),
IF(ISERROR(MATCH(D263,'Ist Aktuell Monat 07'!A:A,0))=FALSE,INDEX('Ist Aktuell Monat 07'!B:B,MATCH(D263,'Ist Aktuell Monat 07'!A:A,0)),
IF(ISERROR(MATCH(D263,'Ist Aktuell Monat 08'!A:A,0))=FALSE,INDEX('Ist Aktuell Monat 08'!B:B,MATCH(D263,'Ist Aktuell Monat 08'!A:A,0)),
IF(ISERROR(MATCH(D263,'Ist Aktuell Monat 09'!A:A,0))=FALSE,INDEX('Ist Aktuell Monat 09'!B:B,MATCH(D263,'Ist Aktuell Monat 09'!A:A,0)),
IF(ISERROR(MATCH(D263,'Ist Aktuell Monat 10'!A:A,0))=FALSE,INDEX('Ist Aktuell Monat 10'!B:B,MATCH(D263,'Ist Aktuell Monat 10'!A:A,0)),
IF(ISERROR(MATCH(D263,'Ist Aktuell Monat 11'!A:A,0))=FALSE,INDEX('Ist Aktuell Monat 11'!B:B,MATCH(D263,'Ist Aktuell Monat 11'!A:A,0)),
IF(ISERROR(MATCH(D263,'Ist Aktuell Monat 12'!A:A,0))=FALSE,INDEX('Ist Aktuell Monat 12'!B:B,MATCH(D263,'Ist Aktuell Monat 12'!A:A,0)),
"{Konto unbekannt}"
)))))))))))),"")</f>
        <v/>
      </c>
      <c r="C263" s="591"/>
      <c r="D263" s="590"/>
      <c r="E263" s="592">
        <f t="shared" si="308"/>
        <v>1</v>
      </c>
      <c r="F263" s="590"/>
      <c r="G263" s="593">
        <f ca="1">$E263*(-SUMIF(INDIRECT(G$3),'Struktur Aktuell'!$D263,INDIRECT(G$4))+SUMIF(INDIRECT(G$3),'Struktur Aktuell'!$D263,INDIRECT(G$5)))</f>
        <v>0</v>
      </c>
      <c r="H263" s="593">
        <f ca="1">$E263*(-SUMIF(INDIRECT(H$3),'Struktur Aktuell'!$D263,INDIRECT(H$4))+SUMIF(INDIRECT(H$3),'Struktur Aktuell'!$D263,INDIRECT(H$5)))</f>
        <v>0</v>
      </c>
      <c r="I263" s="593">
        <f ca="1">$E263*(-SUMIF(INDIRECT(I$3),'Struktur Aktuell'!$D263,INDIRECT(I$4))+SUMIF(INDIRECT(I$3),'Struktur Aktuell'!$D263,INDIRECT(I$5)))</f>
        <v>0</v>
      </c>
      <c r="J263" s="593">
        <f ca="1">$E263*(-SUMIF(INDIRECT(J$3),'Struktur Aktuell'!$D263,INDIRECT(J$4))+SUMIF(INDIRECT(J$3),'Struktur Aktuell'!$D263,INDIRECT(J$5)))</f>
        <v>0</v>
      </c>
      <c r="K263" s="593">
        <f ca="1">$E263*(-SUMIF(INDIRECT(K$3),'Struktur Aktuell'!$D263,INDIRECT(K$4))+SUMIF(INDIRECT(K$3),'Struktur Aktuell'!$D263,INDIRECT(K$5)))</f>
        <v>0</v>
      </c>
      <c r="L263" s="593">
        <f ca="1">$E263*(-SUMIF(INDIRECT(L$3),'Struktur Aktuell'!$D263,INDIRECT(L$4))+SUMIF(INDIRECT(L$3),'Struktur Aktuell'!$D263,INDIRECT(L$5)))</f>
        <v>0</v>
      </c>
      <c r="M263" s="593">
        <f ca="1">$E263*(-SUMIF(INDIRECT(M$3),'Struktur Aktuell'!$D263,INDIRECT(M$4))+SUMIF(INDIRECT(M$3),'Struktur Aktuell'!$D263,INDIRECT(M$5)))</f>
        <v>0</v>
      </c>
      <c r="N263" s="593">
        <f ca="1">$E263*(-SUMIF(INDIRECT(N$3),'Struktur Aktuell'!$D263,INDIRECT(N$4))+SUMIF(INDIRECT(N$3),'Struktur Aktuell'!$D263,INDIRECT(N$5)))</f>
        <v>0</v>
      </c>
      <c r="O263" s="593">
        <f ca="1">$E263*(-SUMIF(INDIRECT(O$3),'Struktur Aktuell'!$D263,INDIRECT(O$4))+SUMIF(INDIRECT(O$3),'Struktur Aktuell'!$D263,INDIRECT(O$5)))</f>
        <v>0</v>
      </c>
      <c r="P263" s="593">
        <f ca="1">$E263*(-SUMIF(INDIRECT(P$3),'Struktur Aktuell'!$D263,INDIRECT(P$4))+SUMIF(INDIRECT(P$3),'Struktur Aktuell'!$D263,INDIRECT(P$5)))</f>
        <v>0</v>
      </c>
      <c r="Q263" s="593">
        <f ca="1">$E263*(-SUMIF(INDIRECT(Q$3),'Struktur Aktuell'!$D263,INDIRECT(Q$4))+SUMIF(INDIRECT(Q$3),'Struktur Aktuell'!$D263,INDIRECT(Q$5)))</f>
        <v>0</v>
      </c>
      <c r="R263" s="593">
        <f ca="1">$E263*(-SUMIF(INDIRECT(R$3),'Struktur Aktuell'!$D263,INDIRECT(R$4))+SUMIF(INDIRECT(R$3),'Struktur Aktuell'!$D263,INDIRECT(R$5)))</f>
        <v>0</v>
      </c>
      <c r="S263" s="593">
        <f ca="1">$E263*(-SUMIF(INDIRECT(S$3),'Struktur Aktuell'!$D263,INDIRECT(S$4))+SUMIF(INDIRECT(S$3),'Struktur Aktuell'!$D263,INDIRECT(S$5)))</f>
        <v>0</v>
      </c>
      <c r="T263" s="593">
        <f ca="1">$E263*(-SUMIF(INDIRECT(T$3),'Struktur Aktuell'!$D263,INDIRECT(T$4))+SUMIF(INDIRECT(T$3),'Struktur Aktuell'!$D263,INDIRECT(T$5)))</f>
        <v>0</v>
      </c>
      <c r="U263" s="593">
        <f ca="1">$E263*(-SUMIF(INDIRECT(U$3),'Struktur Aktuell'!$D263,INDIRECT(U$4))+SUMIF(INDIRECT(U$3),'Struktur Aktuell'!$D263,INDIRECT(U$5)))</f>
        <v>0</v>
      </c>
      <c r="V263" s="593">
        <f ca="1">$E263*(-SUMIF(INDIRECT(V$3),'Struktur Aktuell'!$D263,INDIRECT(V$4))+SUMIF(INDIRECT(V$3),'Struktur Aktuell'!$D263,INDIRECT(V$5)))</f>
        <v>0</v>
      </c>
      <c r="W263" s="593">
        <f ca="1">$E263*(-SUMIF(INDIRECT(W$3),'Struktur Aktuell'!$D263,INDIRECT(W$4))+SUMIF(INDIRECT(W$3),'Struktur Aktuell'!$D263,INDIRECT(W$5)))</f>
        <v>0</v>
      </c>
      <c r="X263" s="593">
        <f ca="1">$E263*(-SUMIF(INDIRECT(X$3),'Struktur Aktuell'!$D263,INDIRECT(X$4))+SUMIF(INDIRECT(X$3),'Struktur Aktuell'!$D263,INDIRECT(X$5)))</f>
        <v>0</v>
      </c>
      <c r="Y263" s="593">
        <f ca="1">$E263*(-SUMIF(INDIRECT(Y$3),'Struktur Aktuell'!$D263,INDIRECT(Y$4))+SUMIF(INDIRECT(Y$3),'Struktur Aktuell'!$D263,INDIRECT(Y$5)))</f>
        <v>0</v>
      </c>
      <c r="Z263" s="593">
        <f ca="1">$E263*(-SUMIF(INDIRECT(Z$3),'Struktur Aktuell'!$D263,INDIRECT(Z$4))+SUMIF(INDIRECT(Z$3),'Struktur Aktuell'!$D263,INDIRECT(Z$5)))</f>
        <v>0</v>
      </c>
      <c r="AA263" s="593">
        <f ca="1">$E263*(-SUMIF(INDIRECT(AA$3),'Struktur Aktuell'!$D263,INDIRECT(AA$4))+SUMIF(INDIRECT(AA$3),'Struktur Aktuell'!$D263,INDIRECT(AA$5)))</f>
        <v>0</v>
      </c>
      <c r="AB263" s="593">
        <f ca="1">$E263*(-SUMIF(INDIRECT(AB$3),'Struktur Aktuell'!$D263,INDIRECT(AB$4))+SUMIF(INDIRECT(AB$3),'Struktur Aktuell'!$D263,INDIRECT(AB$5)))</f>
        <v>0</v>
      </c>
      <c r="AC263" s="593">
        <f ca="1">$E263*(-SUMIF(INDIRECT(AC$3),'Struktur Aktuell'!$D263,INDIRECT(AC$4))+SUMIF(INDIRECT(AC$3),'Struktur Aktuell'!$D263,INDIRECT(AC$5)))</f>
        <v>0</v>
      </c>
      <c r="AD263" s="593">
        <f ca="1">$E263*(-SUMIF(INDIRECT(AD$3),'Struktur Aktuell'!$D263,INDIRECT(AD$4))+SUMIF(INDIRECT(AD$3),'Struktur Aktuell'!$D263,INDIRECT(AD$5)))</f>
        <v>0</v>
      </c>
      <c r="AE263" s="593">
        <f t="shared" ca="1" si="355"/>
        <v>0</v>
      </c>
      <c r="AF263" s="593">
        <f t="shared" ca="1" si="356"/>
        <v>0</v>
      </c>
      <c r="AG263" s="593">
        <f t="shared" ca="1" si="357"/>
        <v>0</v>
      </c>
      <c r="AH263" s="593">
        <f t="shared" ca="1" si="358"/>
        <v>0</v>
      </c>
      <c r="AI263" s="593">
        <f t="shared" ca="1" si="359"/>
        <v>0</v>
      </c>
      <c r="AJ263" s="593">
        <f t="shared" ca="1" si="360"/>
        <v>0</v>
      </c>
      <c r="AK263" s="593">
        <f t="shared" ca="1" si="361"/>
        <v>0</v>
      </c>
      <c r="AL263" s="593">
        <f t="shared" ca="1" si="362"/>
        <v>0</v>
      </c>
      <c r="AM263" s="593">
        <f t="shared" ca="1" si="363"/>
        <v>0</v>
      </c>
      <c r="AN263" s="593">
        <f t="shared" ca="1" si="364"/>
        <v>0</v>
      </c>
      <c r="AO263" s="593">
        <f t="shared" ca="1" si="365"/>
        <v>0</v>
      </c>
      <c r="AP263" s="593">
        <f t="shared" ca="1" si="366"/>
        <v>0</v>
      </c>
    </row>
    <row r="264" spans="1:42" s="594" customFormat="1" ht="11.25" outlineLevel="1" x14ac:dyDescent="0.2">
      <c r="A264" s="590"/>
      <c r="B264" s="591" t="str">
        <f>IF(D264&lt;&gt;"",
IF(ISERROR(MATCH(D264,'Ist Aktuell Monat 01'!A:A,0))=FALSE,INDEX('Ist Aktuell Monat 01'!B:B,MATCH(D264,'Ist Aktuell Monat 01'!A:A,0)),
IF(ISERROR(MATCH(D264,'Ist Aktuell Monat 02'!A:A,0))=FALSE,INDEX('Ist Aktuell Monat 02'!B:B,MATCH(D264,'Ist Aktuell Monat 02'!A:A,0)),
IF(ISERROR(MATCH(D264,'Ist Aktuell Monat 03'!A:A,0))=FALSE,INDEX('Ist Aktuell Monat 03'!B:B,MATCH(D264,'Ist Aktuell Monat 03'!A:A,0)),
IF(ISERROR(MATCH(D264,'Ist Aktuell Monat 04'!A:A,0))=FALSE,INDEX('Ist Aktuell Monat 04'!B:B,MATCH(D264,'Ist Aktuell Monat 04'!A:A,0)),
IF(ISERROR(MATCH(D264,'Ist Aktuell Monat 05'!A:A,0))=FALSE,INDEX('Ist Aktuell Monat 05'!B:B,MATCH(D264,'Ist Aktuell Monat 05'!A:A,0)),
IF(ISERROR(MATCH(D264,'Ist Aktuell Monat 06'!A:A,0))=FALSE,INDEX('Ist Aktuell Monat 06'!B:B,MATCH(D264,'Ist Aktuell Monat 06'!A:A,0)),
IF(ISERROR(MATCH(D264,'Ist Aktuell Monat 07'!A:A,0))=FALSE,INDEX('Ist Aktuell Monat 07'!B:B,MATCH(D264,'Ist Aktuell Monat 07'!A:A,0)),
IF(ISERROR(MATCH(D264,'Ist Aktuell Monat 08'!A:A,0))=FALSE,INDEX('Ist Aktuell Monat 08'!B:B,MATCH(D264,'Ist Aktuell Monat 08'!A:A,0)),
IF(ISERROR(MATCH(D264,'Ist Aktuell Monat 09'!A:A,0))=FALSE,INDEX('Ist Aktuell Monat 09'!B:B,MATCH(D264,'Ist Aktuell Monat 09'!A:A,0)),
IF(ISERROR(MATCH(D264,'Ist Aktuell Monat 10'!A:A,0))=FALSE,INDEX('Ist Aktuell Monat 10'!B:B,MATCH(D264,'Ist Aktuell Monat 10'!A:A,0)),
IF(ISERROR(MATCH(D264,'Ist Aktuell Monat 11'!A:A,0))=FALSE,INDEX('Ist Aktuell Monat 11'!B:B,MATCH(D264,'Ist Aktuell Monat 11'!A:A,0)),
IF(ISERROR(MATCH(D264,'Ist Aktuell Monat 12'!A:A,0))=FALSE,INDEX('Ist Aktuell Monat 12'!B:B,MATCH(D264,'Ist Aktuell Monat 12'!A:A,0)),
"{Konto unbekannt}"
)))))))))))),"")</f>
        <v/>
      </c>
      <c r="C264" s="591"/>
      <c r="D264" s="590"/>
      <c r="E264" s="592">
        <f t="shared" si="308"/>
        <v>1</v>
      </c>
      <c r="F264" s="590"/>
      <c r="G264" s="593">
        <f ca="1">$E264*(-SUMIF(INDIRECT(G$3),'Struktur Aktuell'!$D264,INDIRECT(G$4))+SUMIF(INDIRECT(G$3),'Struktur Aktuell'!$D264,INDIRECT(G$5)))</f>
        <v>0</v>
      </c>
      <c r="H264" s="593">
        <f ca="1">$E264*(-SUMIF(INDIRECT(H$3),'Struktur Aktuell'!$D264,INDIRECT(H$4))+SUMIF(INDIRECT(H$3),'Struktur Aktuell'!$D264,INDIRECT(H$5)))</f>
        <v>0</v>
      </c>
      <c r="I264" s="593">
        <f ca="1">$E264*(-SUMIF(INDIRECT(I$3),'Struktur Aktuell'!$D264,INDIRECT(I$4))+SUMIF(INDIRECT(I$3),'Struktur Aktuell'!$D264,INDIRECT(I$5)))</f>
        <v>0</v>
      </c>
      <c r="J264" s="593">
        <f ca="1">$E264*(-SUMIF(INDIRECT(J$3),'Struktur Aktuell'!$D264,INDIRECT(J$4))+SUMIF(INDIRECT(J$3),'Struktur Aktuell'!$D264,INDIRECT(J$5)))</f>
        <v>0</v>
      </c>
      <c r="K264" s="593">
        <f ca="1">$E264*(-SUMIF(INDIRECT(K$3),'Struktur Aktuell'!$D264,INDIRECT(K$4))+SUMIF(INDIRECT(K$3),'Struktur Aktuell'!$D264,INDIRECT(K$5)))</f>
        <v>0</v>
      </c>
      <c r="L264" s="593">
        <f ca="1">$E264*(-SUMIF(INDIRECT(L$3),'Struktur Aktuell'!$D264,INDIRECT(L$4))+SUMIF(INDIRECT(L$3),'Struktur Aktuell'!$D264,INDIRECT(L$5)))</f>
        <v>0</v>
      </c>
      <c r="M264" s="593">
        <f ca="1">$E264*(-SUMIF(INDIRECT(M$3),'Struktur Aktuell'!$D264,INDIRECT(M$4))+SUMIF(INDIRECT(M$3),'Struktur Aktuell'!$D264,INDIRECT(M$5)))</f>
        <v>0</v>
      </c>
      <c r="N264" s="593">
        <f ca="1">$E264*(-SUMIF(INDIRECT(N$3),'Struktur Aktuell'!$D264,INDIRECT(N$4))+SUMIF(INDIRECT(N$3),'Struktur Aktuell'!$D264,INDIRECT(N$5)))</f>
        <v>0</v>
      </c>
      <c r="O264" s="593">
        <f ca="1">$E264*(-SUMIF(INDIRECT(O$3),'Struktur Aktuell'!$D264,INDIRECT(O$4))+SUMIF(INDIRECT(O$3),'Struktur Aktuell'!$D264,INDIRECT(O$5)))</f>
        <v>0</v>
      </c>
      <c r="P264" s="593">
        <f ca="1">$E264*(-SUMIF(INDIRECT(P$3),'Struktur Aktuell'!$D264,INDIRECT(P$4))+SUMIF(INDIRECT(P$3),'Struktur Aktuell'!$D264,INDIRECT(P$5)))</f>
        <v>0</v>
      </c>
      <c r="Q264" s="593">
        <f ca="1">$E264*(-SUMIF(INDIRECT(Q$3),'Struktur Aktuell'!$D264,INDIRECT(Q$4))+SUMIF(INDIRECT(Q$3),'Struktur Aktuell'!$D264,INDIRECT(Q$5)))</f>
        <v>0</v>
      </c>
      <c r="R264" s="593">
        <f ca="1">$E264*(-SUMIF(INDIRECT(R$3),'Struktur Aktuell'!$D264,INDIRECT(R$4))+SUMIF(INDIRECT(R$3),'Struktur Aktuell'!$D264,INDIRECT(R$5)))</f>
        <v>0</v>
      </c>
      <c r="S264" s="593">
        <f ca="1">$E264*(-SUMIF(INDIRECT(S$3),'Struktur Aktuell'!$D264,INDIRECT(S$4))+SUMIF(INDIRECT(S$3),'Struktur Aktuell'!$D264,INDIRECT(S$5)))</f>
        <v>0</v>
      </c>
      <c r="T264" s="593">
        <f ca="1">$E264*(-SUMIF(INDIRECT(T$3),'Struktur Aktuell'!$D264,INDIRECT(T$4))+SUMIF(INDIRECT(T$3),'Struktur Aktuell'!$D264,INDIRECT(T$5)))</f>
        <v>0</v>
      </c>
      <c r="U264" s="593">
        <f ca="1">$E264*(-SUMIF(INDIRECT(U$3),'Struktur Aktuell'!$D264,INDIRECT(U$4))+SUMIF(INDIRECT(U$3),'Struktur Aktuell'!$D264,INDIRECT(U$5)))</f>
        <v>0</v>
      </c>
      <c r="V264" s="593">
        <f ca="1">$E264*(-SUMIF(INDIRECT(V$3),'Struktur Aktuell'!$D264,INDIRECT(V$4))+SUMIF(INDIRECT(V$3),'Struktur Aktuell'!$D264,INDIRECT(V$5)))</f>
        <v>0</v>
      </c>
      <c r="W264" s="593">
        <f ca="1">$E264*(-SUMIF(INDIRECT(W$3),'Struktur Aktuell'!$D264,INDIRECT(W$4))+SUMIF(INDIRECT(W$3),'Struktur Aktuell'!$D264,INDIRECT(W$5)))</f>
        <v>0</v>
      </c>
      <c r="X264" s="593">
        <f ca="1">$E264*(-SUMIF(INDIRECT(X$3),'Struktur Aktuell'!$D264,INDIRECT(X$4))+SUMIF(INDIRECT(X$3),'Struktur Aktuell'!$D264,INDIRECT(X$5)))</f>
        <v>0</v>
      </c>
      <c r="Y264" s="593">
        <f ca="1">$E264*(-SUMIF(INDIRECT(Y$3),'Struktur Aktuell'!$D264,INDIRECT(Y$4))+SUMIF(INDIRECT(Y$3),'Struktur Aktuell'!$D264,INDIRECT(Y$5)))</f>
        <v>0</v>
      </c>
      <c r="Z264" s="593">
        <f ca="1">$E264*(-SUMIF(INDIRECT(Z$3),'Struktur Aktuell'!$D264,INDIRECT(Z$4))+SUMIF(INDIRECT(Z$3),'Struktur Aktuell'!$D264,INDIRECT(Z$5)))</f>
        <v>0</v>
      </c>
      <c r="AA264" s="593">
        <f ca="1">$E264*(-SUMIF(INDIRECT(AA$3),'Struktur Aktuell'!$D264,INDIRECT(AA$4))+SUMIF(INDIRECT(AA$3),'Struktur Aktuell'!$D264,INDIRECT(AA$5)))</f>
        <v>0</v>
      </c>
      <c r="AB264" s="593">
        <f ca="1">$E264*(-SUMIF(INDIRECT(AB$3),'Struktur Aktuell'!$D264,INDIRECT(AB$4))+SUMIF(INDIRECT(AB$3),'Struktur Aktuell'!$D264,INDIRECT(AB$5)))</f>
        <v>0</v>
      </c>
      <c r="AC264" s="593">
        <f ca="1">$E264*(-SUMIF(INDIRECT(AC$3),'Struktur Aktuell'!$D264,INDIRECT(AC$4))+SUMIF(INDIRECT(AC$3),'Struktur Aktuell'!$D264,INDIRECT(AC$5)))</f>
        <v>0</v>
      </c>
      <c r="AD264" s="593">
        <f ca="1">$E264*(-SUMIF(INDIRECT(AD$3),'Struktur Aktuell'!$D264,INDIRECT(AD$4))+SUMIF(INDIRECT(AD$3),'Struktur Aktuell'!$D264,INDIRECT(AD$5)))</f>
        <v>0</v>
      </c>
      <c r="AE264" s="593">
        <f t="shared" ca="1" si="355"/>
        <v>0</v>
      </c>
      <c r="AF264" s="593">
        <f t="shared" ca="1" si="356"/>
        <v>0</v>
      </c>
      <c r="AG264" s="593">
        <f t="shared" ca="1" si="357"/>
        <v>0</v>
      </c>
      <c r="AH264" s="593">
        <f t="shared" ca="1" si="358"/>
        <v>0</v>
      </c>
      <c r="AI264" s="593">
        <f t="shared" ca="1" si="359"/>
        <v>0</v>
      </c>
      <c r="AJ264" s="593">
        <f t="shared" ca="1" si="360"/>
        <v>0</v>
      </c>
      <c r="AK264" s="593">
        <f t="shared" ca="1" si="361"/>
        <v>0</v>
      </c>
      <c r="AL264" s="593">
        <f t="shared" ca="1" si="362"/>
        <v>0</v>
      </c>
      <c r="AM264" s="593">
        <f t="shared" ca="1" si="363"/>
        <v>0</v>
      </c>
      <c r="AN264" s="593">
        <f t="shared" ca="1" si="364"/>
        <v>0</v>
      </c>
      <c r="AO264" s="593">
        <f t="shared" ca="1" si="365"/>
        <v>0</v>
      </c>
      <c r="AP264" s="593">
        <f t="shared" ca="1" si="366"/>
        <v>0</v>
      </c>
    </row>
    <row r="265" spans="1:42" s="594" customFormat="1" ht="11.25" outlineLevel="1" x14ac:dyDescent="0.2">
      <c r="A265" s="590"/>
      <c r="B265" s="591" t="str">
        <f>IF(D265&lt;&gt;"",
IF(ISERROR(MATCH(D265,'Ist Aktuell Monat 01'!A:A,0))=FALSE,INDEX('Ist Aktuell Monat 01'!B:B,MATCH(D265,'Ist Aktuell Monat 01'!A:A,0)),
IF(ISERROR(MATCH(D265,'Ist Aktuell Monat 02'!A:A,0))=FALSE,INDEX('Ist Aktuell Monat 02'!B:B,MATCH(D265,'Ist Aktuell Monat 02'!A:A,0)),
IF(ISERROR(MATCH(D265,'Ist Aktuell Monat 03'!A:A,0))=FALSE,INDEX('Ist Aktuell Monat 03'!B:B,MATCH(D265,'Ist Aktuell Monat 03'!A:A,0)),
IF(ISERROR(MATCH(D265,'Ist Aktuell Monat 04'!A:A,0))=FALSE,INDEX('Ist Aktuell Monat 04'!B:B,MATCH(D265,'Ist Aktuell Monat 04'!A:A,0)),
IF(ISERROR(MATCH(D265,'Ist Aktuell Monat 05'!A:A,0))=FALSE,INDEX('Ist Aktuell Monat 05'!B:B,MATCH(D265,'Ist Aktuell Monat 05'!A:A,0)),
IF(ISERROR(MATCH(D265,'Ist Aktuell Monat 06'!A:A,0))=FALSE,INDEX('Ist Aktuell Monat 06'!B:B,MATCH(D265,'Ist Aktuell Monat 06'!A:A,0)),
IF(ISERROR(MATCH(D265,'Ist Aktuell Monat 07'!A:A,0))=FALSE,INDEX('Ist Aktuell Monat 07'!B:B,MATCH(D265,'Ist Aktuell Monat 07'!A:A,0)),
IF(ISERROR(MATCH(D265,'Ist Aktuell Monat 08'!A:A,0))=FALSE,INDEX('Ist Aktuell Monat 08'!B:B,MATCH(D265,'Ist Aktuell Monat 08'!A:A,0)),
IF(ISERROR(MATCH(D265,'Ist Aktuell Monat 09'!A:A,0))=FALSE,INDEX('Ist Aktuell Monat 09'!B:B,MATCH(D265,'Ist Aktuell Monat 09'!A:A,0)),
IF(ISERROR(MATCH(D265,'Ist Aktuell Monat 10'!A:A,0))=FALSE,INDEX('Ist Aktuell Monat 10'!B:B,MATCH(D265,'Ist Aktuell Monat 10'!A:A,0)),
IF(ISERROR(MATCH(D265,'Ist Aktuell Monat 11'!A:A,0))=FALSE,INDEX('Ist Aktuell Monat 11'!B:B,MATCH(D265,'Ist Aktuell Monat 11'!A:A,0)),
IF(ISERROR(MATCH(D265,'Ist Aktuell Monat 12'!A:A,0))=FALSE,INDEX('Ist Aktuell Monat 12'!B:B,MATCH(D265,'Ist Aktuell Monat 12'!A:A,0)),
"{Konto unbekannt}"
)))))))))))),"")</f>
        <v/>
      </c>
      <c r="C265" s="591"/>
      <c r="D265" s="590"/>
      <c r="E265" s="592">
        <f t="shared" si="308"/>
        <v>1</v>
      </c>
      <c r="F265" s="590"/>
      <c r="G265" s="593">
        <f ca="1">$E265*(-SUMIF(INDIRECT(G$3),'Struktur Aktuell'!$D265,INDIRECT(G$4))+SUMIF(INDIRECT(G$3),'Struktur Aktuell'!$D265,INDIRECT(G$5)))</f>
        <v>0</v>
      </c>
      <c r="H265" s="593">
        <f ca="1">$E265*(-SUMIF(INDIRECT(H$3),'Struktur Aktuell'!$D265,INDIRECT(H$4))+SUMIF(INDIRECT(H$3),'Struktur Aktuell'!$D265,INDIRECT(H$5)))</f>
        <v>0</v>
      </c>
      <c r="I265" s="593">
        <f ca="1">$E265*(-SUMIF(INDIRECT(I$3),'Struktur Aktuell'!$D265,INDIRECT(I$4))+SUMIF(INDIRECT(I$3),'Struktur Aktuell'!$D265,INDIRECT(I$5)))</f>
        <v>0</v>
      </c>
      <c r="J265" s="593">
        <f ca="1">$E265*(-SUMIF(INDIRECT(J$3),'Struktur Aktuell'!$D265,INDIRECT(J$4))+SUMIF(INDIRECT(J$3),'Struktur Aktuell'!$D265,INDIRECT(J$5)))</f>
        <v>0</v>
      </c>
      <c r="K265" s="593">
        <f ca="1">$E265*(-SUMIF(INDIRECT(K$3),'Struktur Aktuell'!$D265,INDIRECT(K$4))+SUMIF(INDIRECT(K$3),'Struktur Aktuell'!$D265,INDIRECT(K$5)))</f>
        <v>0</v>
      </c>
      <c r="L265" s="593">
        <f ca="1">$E265*(-SUMIF(INDIRECT(L$3),'Struktur Aktuell'!$D265,INDIRECT(L$4))+SUMIF(INDIRECT(L$3),'Struktur Aktuell'!$D265,INDIRECT(L$5)))</f>
        <v>0</v>
      </c>
      <c r="M265" s="593">
        <f ca="1">$E265*(-SUMIF(INDIRECT(M$3),'Struktur Aktuell'!$D265,INDIRECT(M$4))+SUMIF(INDIRECT(M$3),'Struktur Aktuell'!$D265,INDIRECT(M$5)))</f>
        <v>0</v>
      </c>
      <c r="N265" s="593">
        <f ca="1">$E265*(-SUMIF(INDIRECT(N$3),'Struktur Aktuell'!$D265,INDIRECT(N$4))+SUMIF(INDIRECT(N$3),'Struktur Aktuell'!$D265,INDIRECT(N$5)))</f>
        <v>0</v>
      </c>
      <c r="O265" s="593">
        <f ca="1">$E265*(-SUMIF(INDIRECT(O$3),'Struktur Aktuell'!$D265,INDIRECT(O$4))+SUMIF(INDIRECT(O$3),'Struktur Aktuell'!$D265,INDIRECT(O$5)))</f>
        <v>0</v>
      </c>
      <c r="P265" s="593">
        <f ca="1">$E265*(-SUMIF(INDIRECT(P$3),'Struktur Aktuell'!$D265,INDIRECT(P$4))+SUMIF(INDIRECT(P$3),'Struktur Aktuell'!$D265,INDIRECT(P$5)))</f>
        <v>0</v>
      </c>
      <c r="Q265" s="593">
        <f ca="1">$E265*(-SUMIF(INDIRECT(Q$3),'Struktur Aktuell'!$D265,INDIRECT(Q$4))+SUMIF(INDIRECT(Q$3),'Struktur Aktuell'!$D265,INDIRECT(Q$5)))</f>
        <v>0</v>
      </c>
      <c r="R265" s="593">
        <f ca="1">$E265*(-SUMIF(INDIRECT(R$3),'Struktur Aktuell'!$D265,INDIRECT(R$4))+SUMIF(INDIRECT(R$3),'Struktur Aktuell'!$D265,INDIRECT(R$5)))</f>
        <v>0</v>
      </c>
      <c r="S265" s="593">
        <f ca="1">$E265*(-SUMIF(INDIRECT(S$3),'Struktur Aktuell'!$D265,INDIRECT(S$4))+SUMIF(INDIRECT(S$3),'Struktur Aktuell'!$D265,INDIRECT(S$5)))</f>
        <v>0</v>
      </c>
      <c r="T265" s="593">
        <f ca="1">$E265*(-SUMIF(INDIRECT(T$3),'Struktur Aktuell'!$D265,INDIRECT(T$4))+SUMIF(INDIRECT(T$3),'Struktur Aktuell'!$D265,INDIRECT(T$5)))</f>
        <v>0</v>
      </c>
      <c r="U265" s="593">
        <f ca="1">$E265*(-SUMIF(INDIRECT(U$3),'Struktur Aktuell'!$D265,INDIRECT(U$4))+SUMIF(INDIRECT(U$3),'Struktur Aktuell'!$D265,INDIRECT(U$5)))</f>
        <v>0</v>
      </c>
      <c r="V265" s="593">
        <f ca="1">$E265*(-SUMIF(INDIRECT(V$3),'Struktur Aktuell'!$D265,INDIRECT(V$4))+SUMIF(INDIRECT(V$3),'Struktur Aktuell'!$D265,INDIRECT(V$5)))</f>
        <v>0</v>
      </c>
      <c r="W265" s="593">
        <f ca="1">$E265*(-SUMIF(INDIRECT(W$3),'Struktur Aktuell'!$D265,INDIRECT(W$4))+SUMIF(INDIRECT(W$3),'Struktur Aktuell'!$D265,INDIRECT(W$5)))</f>
        <v>0</v>
      </c>
      <c r="X265" s="593">
        <f ca="1">$E265*(-SUMIF(INDIRECT(X$3),'Struktur Aktuell'!$D265,INDIRECT(X$4))+SUMIF(INDIRECT(X$3),'Struktur Aktuell'!$D265,INDIRECT(X$5)))</f>
        <v>0</v>
      </c>
      <c r="Y265" s="593">
        <f ca="1">$E265*(-SUMIF(INDIRECT(Y$3),'Struktur Aktuell'!$D265,INDIRECT(Y$4))+SUMIF(INDIRECT(Y$3),'Struktur Aktuell'!$D265,INDIRECT(Y$5)))</f>
        <v>0</v>
      </c>
      <c r="Z265" s="593">
        <f ca="1">$E265*(-SUMIF(INDIRECT(Z$3),'Struktur Aktuell'!$D265,INDIRECT(Z$4))+SUMIF(INDIRECT(Z$3),'Struktur Aktuell'!$D265,INDIRECT(Z$5)))</f>
        <v>0</v>
      </c>
      <c r="AA265" s="593">
        <f ca="1">$E265*(-SUMIF(INDIRECT(AA$3),'Struktur Aktuell'!$D265,INDIRECT(AA$4))+SUMIF(INDIRECT(AA$3),'Struktur Aktuell'!$D265,INDIRECT(AA$5)))</f>
        <v>0</v>
      </c>
      <c r="AB265" s="593">
        <f ca="1">$E265*(-SUMIF(INDIRECT(AB$3),'Struktur Aktuell'!$D265,INDIRECT(AB$4))+SUMIF(INDIRECT(AB$3),'Struktur Aktuell'!$D265,INDIRECT(AB$5)))</f>
        <v>0</v>
      </c>
      <c r="AC265" s="593">
        <f ca="1">$E265*(-SUMIF(INDIRECT(AC$3),'Struktur Aktuell'!$D265,INDIRECT(AC$4))+SUMIF(INDIRECT(AC$3),'Struktur Aktuell'!$D265,INDIRECT(AC$5)))</f>
        <v>0</v>
      </c>
      <c r="AD265" s="593">
        <f ca="1">$E265*(-SUMIF(INDIRECT(AD$3),'Struktur Aktuell'!$D265,INDIRECT(AD$4))+SUMIF(INDIRECT(AD$3),'Struktur Aktuell'!$D265,INDIRECT(AD$5)))</f>
        <v>0</v>
      </c>
      <c r="AE265" s="593">
        <f t="shared" ca="1" si="355"/>
        <v>0</v>
      </c>
      <c r="AF265" s="593">
        <f t="shared" ca="1" si="356"/>
        <v>0</v>
      </c>
      <c r="AG265" s="593">
        <f t="shared" ca="1" si="357"/>
        <v>0</v>
      </c>
      <c r="AH265" s="593">
        <f t="shared" ca="1" si="358"/>
        <v>0</v>
      </c>
      <c r="AI265" s="593">
        <f t="shared" ca="1" si="359"/>
        <v>0</v>
      </c>
      <c r="AJ265" s="593">
        <f t="shared" ca="1" si="360"/>
        <v>0</v>
      </c>
      <c r="AK265" s="593">
        <f t="shared" ca="1" si="361"/>
        <v>0</v>
      </c>
      <c r="AL265" s="593">
        <f t="shared" ca="1" si="362"/>
        <v>0</v>
      </c>
      <c r="AM265" s="593">
        <f t="shared" ca="1" si="363"/>
        <v>0</v>
      </c>
      <c r="AN265" s="593">
        <f t="shared" ca="1" si="364"/>
        <v>0</v>
      </c>
      <c r="AO265" s="593">
        <f t="shared" ca="1" si="365"/>
        <v>0</v>
      </c>
      <c r="AP265" s="593">
        <f t="shared" ca="1" si="366"/>
        <v>0</v>
      </c>
    </row>
    <row r="266" spans="1:42" s="594" customFormat="1" ht="11.25" outlineLevel="1" x14ac:dyDescent="0.2">
      <c r="A266" s="590"/>
      <c r="B266" s="591" t="str">
        <f>IF(D266&lt;&gt;"",
IF(ISERROR(MATCH(D266,'Ist Aktuell Monat 01'!A:A,0))=FALSE,INDEX('Ist Aktuell Monat 01'!B:B,MATCH(D266,'Ist Aktuell Monat 01'!A:A,0)),
IF(ISERROR(MATCH(D266,'Ist Aktuell Monat 02'!A:A,0))=FALSE,INDEX('Ist Aktuell Monat 02'!B:B,MATCH(D266,'Ist Aktuell Monat 02'!A:A,0)),
IF(ISERROR(MATCH(D266,'Ist Aktuell Monat 03'!A:A,0))=FALSE,INDEX('Ist Aktuell Monat 03'!B:B,MATCH(D266,'Ist Aktuell Monat 03'!A:A,0)),
IF(ISERROR(MATCH(D266,'Ist Aktuell Monat 04'!A:A,0))=FALSE,INDEX('Ist Aktuell Monat 04'!B:B,MATCH(D266,'Ist Aktuell Monat 04'!A:A,0)),
IF(ISERROR(MATCH(D266,'Ist Aktuell Monat 05'!A:A,0))=FALSE,INDEX('Ist Aktuell Monat 05'!B:B,MATCH(D266,'Ist Aktuell Monat 05'!A:A,0)),
IF(ISERROR(MATCH(D266,'Ist Aktuell Monat 06'!A:A,0))=FALSE,INDEX('Ist Aktuell Monat 06'!B:B,MATCH(D266,'Ist Aktuell Monat 06'!A:A,0)),
IF(ISERROR(MATCH(D266,'Ist Aktuell Monat 07'!A:A,0))=FALSE,INDEX('Ist Aktuell Monat 07'!B:B,MATCH(D266,'Ist Aktuell Monat 07'!A:A,0)),
IF(ISERROR(MATCH(D266,'Ist Aktuell Monat 08'!A:A,0))=FALSE,INDEX('Ist Aktuell Monat 08'!B:B,MATCH(D266,'Ist Aktuell Monat 08'!A:A,0)),
IF(ISERROR(MATCH(D266,'Ist Aktuell Monat 09'!A:A,0))=FALSE,INDEX('Ist Aktuell Monat 09'!B:B,MATCH(D266,'Ist Aktuell Monat 09'!A:A,0)),
IF(ISERROR(MATCH(D266,'Ist Aktuell Monat 10'!A:A,0))=FALSE,INDEX('Ist Aktuell Monat 10'!B:B,MATCH(D266,'Ist Aktuell Monat 10'!A:A,0)),
IF(ISERROR(MATCH(D266,'Ist Aktuell Monat 11'!A:A,0))=FALSE,INDEX('Ist Aktuell Monat 11'!B:B,MATCH(D266,'Ist Aktuell Monat 11'!A:A,0)),
IF(ISERROR(MATCH(D266,'Ist Aktuell Monat 12'!A:A,0))=FALSE,INDEX('Ist Aktuell Monat 12'!B:B,MATCH(D266,'Ist Aktuell Monat 12'!A:A,0)),
"{Konto unbekannt}"
)))))))))))),"")</f>
        <v/>
      </c>
      <c r="C266" s="591"/>
      <c r="D266" s="590"/>
      <c r="E266" s="592">
        <f t="shared" si="308"/>
        <v>1</v>
      </c>
      <c r="F266" s="590"/>
      <c r="G266" s="593">
        <f ca="1">$E266*(-SUMIF(INDIRECT(G$3),'Struktur Aktuell'!$D266,INDIRECT(G$4))+SUMIF(INDIRECT(G$3),'Struktur Aktuell'!$D266,INDIRECT(G$5)))</f>
        <v>0</v>
      </c>
      <c r="H266" s="593">
        <f ca="1">$E266*(-SUMIF(INDIRECT(H$3),'Struktur Aktuell'!$D266,INDIRECT(H$4))+SUMIF(INDIRECT(H$3),'Struktur Aktuell'!$D266,INDIRECT(H$5)))</f>
        <v>0</v>
      </c>
      <c r="I266" s="593">
        <f ca="1">$E266*(-SUMIF(INDIRECT(I$3),'Struktur Aktuell'!$D266,INDIRECT(I$4))+SUMIF(INDIRECT(I$3),'Struktur Aktuell'!$D266,INDIRECT(I$5)))</f>
        <v>0</v>
      </c>
      <c r="J266" s="593">
        <f ca="1">$E266*(-SUMIF(INDIRECT(J$3),'Struktur Aktuell'!$D266,INDIRECT(J$4))+SUMIF(INDIRECT(J$3),'Struktur Aktuell'!$D266,INDIRECT(J$5)))</f>
        <v>0</v>
      </c>
      <c r="K266" s="593">
        <f ca="1">$E266*(-SUMIF(INDIRECT(K$3),'Struktur Aktuell'!$D266,INDIRECT(K$4))+SUMIF(INDIRECT(K$3),'Struktur Aktuell'!$D266,INDIRECT(K$5)))</f>
        <v>0</v>
      </c>
      <c r="L266" s="593">
        <f ca="1">$E266*(-SUMIF(INDIRECT(L$3),'Struktur Aktuell'!$D266,INDIRECT(L$4))+SUMIF(INDIRECT(L$3),'Struktur Aktuell'!$D266,INDIRECT(L$5)))</f>
        <v>0</v>
      </c>
      <c r="M266" s="593">
        <f ca="1">$E266*(-SUMIF(INDIRECT(M$3),'Struktur Aktuell'!$D266,INDIRECT(M$4))+SUMIF(INDIRECT(M$3),'Struktur Aktuell'!$D266,INDIRECT(M$5)))</f>
        <v>0</v>
      </c>
      <c r="N266" s="593">
        <f ca="1">$E266*(-SUMIF(INDIRECT(N$3),'Struktur Aktuell'!$D266,INDIRECT(N$4))+SUMIF(INDIRECT(N$3),'Struktur Aktuell'!$D266,INDIRECT(N$5)))</f>
        <v>0</v>
      </c>
      <c r="O266" s="593">
        <f ca="1">$E266*(-SUMIF(INDIRECT(O$3),'Struktur Aktuell'!$D266,INDIRECT(O$4))+SUMIF(INDIRECT(O$3),'Struktur Aktuell'!$D266,INDIRECT(O$5)))</f>
        <v>0</v>
      </c>
      <c r="P266" s="593">
        <f ca="1">$E266*(-SUMIF(INDIRECT(P$3),'Struktur Aktuell'!$D266,INDIRECT(P$4))+SUMIF(INDIRECT(P$3),'Struktur Aktuell'!$D266,INDIRECT(P$5)))</f>
        <v>0</v>
      </c>
      <c r="Q266" s="593">
        <f ca="1">$E266*(-SUMIF(INDIRECT(Q$3),'Struktur Aktuell'!$D266,INDIRECT(Q$4))+SUMIF(INDIRECT(Q$3),'Struktur Aktuell'!$D266,INDIRECT(Q$5)))</f>
        <v>0</v>
      </c>
      <c r="R266" s="593">
        <f ca="1">$E266*(-SUMIF(INDIRECT(R$3),'Struktur Aktuell'!$D266,INDIRECT(R$4))+SUMIF(INDIRECT(R$3),'Struktur Aktuell'!$D266,INDIRECT(R$5)))</f>
        <v>0</v>
      </c>
      <c r="S266" s="593">
        <f ca="1">$E266*(-SUMIF(INDIRECT(S$3),'Struktur Aktuell'!$D266,INDIRECT(S$4))+SUMIF(INDIRECT(S$3),'Struktur Aktuell'!$D266,INDIRECT(S$5)))</f>
        <v>0</v>
      </c>
      <c r="T266" s="593">
        <f ca="1">$E266*(-SUMIF(INDIRECT(T$3),'Struktur Aktuell'!$D266,INDIRECT(T$4))+SUMIF(INDIRECT(T$3),'Struktur Aktuell'!$D266,INDIRECT(T$5)))</f>
        <v>0</v>
      </c>
      <c r="U266" s="593">
        <f ca="1">$E266*(-SUMIF(INDIRECT(U$3),'Struktur Aktuell'!$D266,INDIRECT(U$4))+SUMIF(INDIRECT(U$3),'Struktur Aktuell'!$D266,INDIRECT(U$5)))</f>
        <v>0</v>
      </c>
      <c r="V266" s="593">
        <f ca="1">$E266*(-SUMIF(INDIRECT(V$3),'Struktur Aktuell'!$D266,INDIRECT(V$4))+SUMIF(INDIRECT(V$3),'Struktur Aktuell'!$D266,INDIRECT(V$5)))</f>
        <v>0</v>
      </c>
      <c r="W266" s="593">
        <f ca="1">$E266*(-SUMIF(INDIRECT(W$3),'Struktur Aktuell'!$D266,INDIRECT(W$4))+SUMIF(INDIRECT(W$3),'Struktur Aktuell'!$D266,INDIRECT(W$5)))</f>
        <v>0</v>
      </c>
      <c r="X266" s="593">
        <f ca="1">$E266*(-SUMIF(INDIRECT(X$3),'Struktur Aktuell'!$D266,INDIRECT(X$4))+SUMIF(INDIRECT(X$3),'Struktur Aktuell'!$D266,INDIRECT(X$5)))</f>
        <v>0</v>
      </c>
      <c r="Y266" s="593">
        <f ca="1">$E266*(-SUMIF(INDIRECT(Y$3),'Struktur Aktuell'!$D266,INDIRECT(Y$4))+SUMIF(INDIRECT(Y$3),'Struktur Aktuell'!$D266,INDIRECT(Y$5)))</f>
        <v>0</v>
      </c>
      <c r="Z266" s="593">
        <f ca="1">$E266*(-SUMIF(INDIRECT(Z$3),'Struktur Aktuell'!$D266,INDIRECT(Z$4))+SUMIF(INDIRECT(Z$3),'Struktur Aktuell'!$D266,INDIRECT(Z$5)))</f>
        <v>0</v>
      </c>
      <c r="AA266" s="593">
        <f ca="1">$E266*(-SUMIF(INDIRECT(AA$3),'Struktur Aktuell'!$D266,INDIRECT(AA$4))+SUMIF(INDIRECT(AA$3),'Struktur Aktuell'!$D266,INDIRECT(AA$5)))</f>
        <v>0</v>
      </c>
      <c r="AB266" s="593">
        <f ca="1">$E266*(-SUMIF(INDIRECT(AB$3),'Struktur Aktuell'!$D266,INDIRECT(AB$4))+SUMIF(INDIRECT(AB$3),'Struktur Aktuell'!$D266,INDIRECT(AB$5)))</f>
        <v>0</v>
      </c>
      <c r="AC266" s="593">
        <f ca="1">$E266*(-SUMIF(INDIRECT(AC$3),'Struktur Aktuell'!$D266,INDIRECT(AC$4))+SUMIF(INDIRECT(AC$3),'Struktur Aktuell'!$D266,INDIRECT(AC$5)))</f>
        <v>0</v>
      </c>
      <c r="AD266" s="593">
        <f ca="1">$E266*(-SUMIF(INDIRECT(AD$3),'Struktur Aktuell'!$D266,INDIRECT(AD$4))+SUMIF(INDIRECT(AD$3),'Struktur Aktuell'!$D266,INDIRECT(AD$5)))</f>
        <v>0</v>
      </c>
      <c r="AE266" s="593">
        <f t="shared" ca="1" si="355"/>
        <v>0</v>
      </c>
      <c r="AF266" s="593">
        <f t="shared" ca="1" si="356"/>
        <v>0</v>
      </c>
      <c r="AG266" s="593">
        <f t="shared" ca="1" si="357"/>
        <v>0</v>
      </c>
      <c r="AH266" s="593">
        <f t="shared" ca="1" si="358"/>
        <v>0</v>
      </c>
      <c r="AI266" s="593">
        <f t="shared" ca="1" si="359"/>
        <v>0</v>
      </c>
      <c r="AJ266" s="593">
        <f t="shared" ca="1" si="360"/>
        <v>0</v>
      </c>
      <c r="AK266" s="593">
        <f t="shared" ca="1" si="361"/>
        <v>0</v>
      </c>
      <c r="AL266" s="593">
        <f t="shared" ca="1" si="362"/>
        <v>0</v>
      </c>
      <c r="AM266" s="593">
        <f t="shared" ca="1" si="363"/>
        <v>0</v>
      </c>
      <c r="AN266" s="593">
        <f t="shared" ca="1" si="364"/>
        <v>0</v>
      </c>
      <c r="AO266" s="593">
        <f t="shared" ca="1" si="365"/>
        <v>0</v>
      </c>
      <c r="AP266" s="593">
        <f t="shared" ca="1" si="366"/>
        <v>0</v>
      </c>
    </row>
    <row r="267" spans="1:42" s="589" customFormat="1" x14ac:dyDescent="0.2">
      <c r="A267" s="585">
        <v>24</v>
      </c>
      <c r="B267" s="586" t="s">
        <v>585</v>
      </c>
      <c r="C267" s="587">
        <f ca="1">SUM(G267:R267)</f>
        <v>3255.74</v>
      </c>
      <c r="D267" s="587"/>
      <c r="E267" s="588">
        <f t="shared" si="308"/>
        <v>1</v>
      </c>
      <c r="F267" s="585"/>
      <c r="G267" s="587">
        <f t="shared" ref="G267:R267" ca="1" si="367">SUM(G268:G285)</f>
        <v>168.98</v>
      </c>
      <c r="H267" s="587">
        <f t="shared" ca="1" si="367"/>
        <v>393.48</v>
      </c>
      <c r="I267" s="587">
        <f t="shared" ca="1" si="367"/>
        <v>459.4</v>
      </c>
      <c r="J267" s="587">
        <f t="shared" ca="1" si="367"/>
        <v>277.83</v>
      </c>
      <c r="K267" s="587">
        <f t="shared" ca="1" si="367"/>
        <v>293.74</v>
      </c>
      <c r="L267" s="587">
        <f t="shared" ca="1" si="367"/>
        <v>495.77</v>
      </c>
      <c r="M267" s="587">
        <f t="shared" ca="1" si="367"/>
        <v>315.00000000000006</v>
      </c>
      <c r="N267" s="587">
        <f t="shared" ca="1" si="367"/>
        <v>450.22</v>
      </c>
      <c r="O267" s="587">
        <f t="shared" ca="1" si="367"/>
        <v>127.83000000000001</v>
      </c>
      <c r="P267" s="587">
        <f t="shared" ca="1" si="367"/>
        <v>273.48999999999995</v>
      </c>
      <c r="Q267" s="587">
        <f t="shared" ca="1" si="367"/>
        <v>0</v>
      </c>
      <c r="R267" s="587">
        <f t="shared" ca="1" si="367"/>
        <v>0</v>
      </c>
      <c r="S267" s="587">
        <f t="shared" ref="S267:AP267" ca="1" si="368">SUM(S268:S285)</f>
        <v>168.98</v>
      </c>
      <c r="T267" s="587">
        <f t="shared" ca="1" si="368"/>
        <v>562.45999999999992</v>
      </c>
      <c r="U267" s="587">
        <f t="shared" ca="1" si="368"/>
        <v>1021.86</v>
      </c>
      <c r="V267" s="587">
        <f t="shared" ca="1" si="368"/>
        <v>1299.69</v>
      </c>
      <c r="W267" s="587">
        <f t="shared" ca="1" si="368"/>
        <v>1593.4299999999998</v>
      </c>
      <c r="X267" s="587">
        <f t="shared" ca="1" si="368"/>
        <v>2089.2000000000003</v>
      </c>
      <c r="Y267" s="587">
        <f t="shared" ca="1" si="368"/>
        <v>2404.1999999999998</v>
      </c>
      <c r="Z267" s="587">
        <f t="shared" ca="1" si="368"/>
        <v>2854.42</v>
      </c>
      <c r="AA267" s="587">
        <f t="shared" ca="1" si="368"/>
        <v>2982.2499999999995</v>
      </c>
      <c r="AB267" s="587">
        <f t="shared" ca="1" si="368"/>
        <v>3255.74</v>
      </c>
      <c r="AC267" s="587">
        <f t="shared" ca="1" si="368"/>
        <v>0</v>
      </c>
      <c r="AD267" s="587">
        <f t="shared" ca="1" si="368"/>
        <v>0</v>
      </c>
      <c r="AE267" s="587">
        <f t="shared" ca="1" si="368"/>
        <v>168.98</v>
      </c>
      <c r="AF267" s="587">
        <f t="shared" ca="1" si="368"/>
        <v>562.45999999999992</v>
      </c>
      <c r="AG267" s="587">
        <f t="shared" ca="1" si="368"/>
        <v>1021.8600000000001</v>
      </c>
      <c r="AH267" s="587">
        <f t="shared" ca="1" si="368"/>
        <v>1299.69</v>
      </c>
      <c r="AI267" s="587">
        <f t="shared" ca="1" si="368"/>
        <v>1593.43</v>
      </c>
      <c r="AJ267" s="587">
        <f t="shared" ca="1" si="368"/>
        <v>2089.1999999999998</v>
      </c>
      <c r="AK267" s="587">
        <f t="shared" ca="1" si="368"/>
        <v>2404.1999999999998</v>
      </c>
      <c r="AL267" s="587">
        <f t="shared" ca="1" si="368"/>
        <v>2854.4199999999996</v>
      </c>
      <c r="AM267" s="587">
        <f t="shared" ca="1" si="368"/>
        <v>2982.2499999999995</v>
      </c>
      <c r="AN267" s="587">
        <f t="shared" ca="1" si="368"/>
        <v>3255.7400000000002</v>
      </c>
      <c r="AO267" s="587">
        <f t="shared" ca="1" si="368"/>
        <v>3255.7400000000002</v>
      </c>
      <c r="AP267" s="587">
        <f t="shared" ca="1" si="368"/>
        <v>3255.7400000000002</v>
      </c>
    </row>
    <row r="268" spans="1:42" s="594" customFormat="1" ht="11.25" outlineLevel="1" x14ac:dyDescent="0.2">
      <c r="A268" s="590"/>
      <c r="B268" s="591" t="str">
        <f>IF(D268&lt;&gt;"",
IF(ISERROR(MATCH(D268,'Ist Aktuell Monat 01'!A:A,0))=FALSE,INDEX('Ist Aktuell Monat 01'!B:B,MATCH(D268,'Ist Aktuell Monat 01'!A:A,0)),
IF(ISERROR(MATCH(D268,'Ist Aktuell Monat 02'!A:A,0))=FALSE,INDEX('Ist Aktuell Monat 02'!B:B,MATCH(D268,'Ist Aktuell Monat 02'!A:A,0)),
IF(ISERROR(MATCH(D268,'Ist Aktuell Monat 03'!A:A,0))=FALSE,INDEX('Ist Aktuell Monat 03'!B:B,MATCH(D268,'Ist Aktuell Monat 03'!A:A,0)),
IF(ISERROR(MATCH(D268,'Ist Aktuell Monat 04'!A:A,0))=FALSE,INDEX('Ist Aktuell Monat 04'!B:B,MATCH(D268,'Ist Aktuell Monat 04'!A:A,0)),
IF(ISERROR(MATCH(D268,'Ist Aktuell Monat 05'!A:A,0))=FALSE,INDEX('Ist Aktuell Monat 05'!B:B,MATCH(D268,'Ist Aktuell Monat 05'!A:A,0)),
IF(ISERROR(MATCH(D268,'Ist Aktuell Monat 06'!A:A,0))=FALSE,INDEX('Ist Aktuell Monat 06'!B:B,MATCH(D268,'Ist Aktuell Monat 06'!A:A,0)),
IF(ISERROR(MATCH(D268,'Ist Aktuell Monat 07'!A:A,0))=FALSE,INDEX('Ist Aktuell Monat 07'!B:B,MATCH(D268,'Ist Aktuell Monat 07'!A:A,0)),
IF(ISERROR(MATCH(D268,'Ist Aktuell Monat 08'!A:A,0))=FALSE,INDEX('Ist Aktuell Monat 08'!B:B,MATCH(D268,'Ist Aktuell Monat 08'!A:A,0)),
IF(ISERROR(MATCH(D268,'Ist Aktuell Monat 09'!A:A,0))=FALSE,INDEX('Ist Aktuell Monat 09'!B:B,MATCH(D268,'Ist Aktuell Monat 09'!A:A,0)),
IF(ISERROR(MATCH(D268,'Ist Aktuell Monat 10'!A:A,0))=FALSE,INDEX('Ist Aktuell Monat 10'!B:B,MATCH(D268,'Ist Aktuell Monat 10'!A:A,0)),
IF(ISERROR(MATCH(D268,'Ist Aktuell Monat 11'!A:A,0))=FALSE,INDEX('Ist Aktuell Monat 11'!B:B,MATCH(D268,'Ist Aktuell Monat 11'!A:A,0)),
IF(ISERROR(MATCH(D268,'Ist Aktuell Monat 12'!A:A,0))=FALSE,INDEX('Ist Aktuell Monat 12'!B:B,MATCH(D268,'Ist Aktuell Monat 12'!A:A,0)),
"{Konto unbekannt}"
)))))))))))),"")</f>
        <v>Sonstige betriebliche Aufwendungen</v>
      </c>
      <c r="C268" s="591"/>
      <c r="D268" s="590">
        <v>4900</v>
      </c>
      <c r="E268" s="592">
        <f t="shared" si="308"/>
        <v>1</v>
      </c>
      <c r="F268" s="590"/>
      <c r="G268" s="593">
        <f ca="1">$E268*(-SUMIF(INDIRECT(G$3),'Struktur Aktuell'!$D268,INDIRECT(G$4))+SUMIF(INDIRECT(G$3),'Struktur Aktuell'!$D268,INDIRECT(G$5)))</f>
        <v>145.19999999999999</v>
      </c>
      <c r="H268" s="593">
        <f ca="1">$E268*(-SUMIF(INDIRECT(H$3),'Struktur Aktuell'!$D268,INDIRECT(H$4))+SUMIF(INDIRECT(H$3),'Struktur Aktuell'!$D268,INDIRECT(H$5)))</f>
        <v>166.49</v>
      </c>
      <c r="I268" s="593">
        <f ca="1">$E268*(-SUMIF(INDIRECT(I$3),'Struktur Aktuell'!$D268,INDIRECT(I$4))+SUMIF(INDIRECT(I$3),'Struktur Aktuell'!$D268,INDIRECT(I$5)))</f>
        <v>281.72000000000003</v>
      </c>
      <c r="J268" s="593">
        <f ca="1">$E268*(-SUMIF(INDIRECT(J$3),'Struktur Aktuell'!$D268,INDIRECT(J$4))+SUMIF(INDIRECT(J$3),'Struktur Aktuell'!$D268,INDIRECT(J$5)))</f>
        <v>62.58</v>
      </c>
      <c r="K268" s="593">
        <f ca="1">$E268*(-SUMIF(INDIRECT(K$3),'Struktur Aktuell'!$D268,INDIRECT(K$4))+SUMIF(INDIRECT(K$3),'Struktur Aktuell'!$D268,INDIRECT(K$5)))</f>
        <v>170.92</v>
      </c>
      <c r="L268" s="593">
        <f ca="1">$E268*(-SUMIF(INDIRECT(L$3),'Struktur Aktuell'!$D268,INDIRECT(L$4))+SUMIF(INDIRECT(L$3),'Struktur Aktuell'!$D268,INDIRECT(L$5)))</f>
        <v>93.07</v>
      </c>
      <c r="M268" s="593">
        <f ca="1">$E268*(-SUMIF(INDIRECT(M$3),'Struktur Aktuell'!$D268,INDIRECT(M$4))+SUMIF(INDIRECT(M$3),'Struktur Aktuell'!$D268,INDIRECT(M$5)))</f>
        <v>93.97</v>
      </c>
      <c r="N268" s="593">
        <f ca="1">$E268*(-SUMIF(INDIRECT(N$3),'Struktur Aktuell'!$D268,INDIRECT(N$4))+SUMIF(INDIRECT(N$3),'Struktur Aktuell'!$D268,INDIRECT(N$5)))</f>
        <v>126.9</v>
      </c>
      <c r="O268" s="593">
        <f ca="1">$E268*(-SUMIF(INDIRECT(O$3),'Struktur Aktuell'!$D268,INDIRECT(O$4))+SUMIF(INDIRECT(O$3),'Struktur Aktuell'!$D268,INDIRECT(O$5)))</f>
        <v>44.19</v>
      </c>
      <c r="P268" s="593">
        <f ca="1">$E268*(-SUMIF(INDIRECT(P$3),'Struktur Aktuell'!$D268,INDIRECT(P$4))+SUMIF(INDIRECT(P$3),'Struktur Aktuell'!$D268,INDIRECT(P$5)))</f>
        <v>119.64</v>
      </c>
      <c r="Q268" s="593">
        <f ca="1">$E268*(-SUMIF(INDIRECT(Q$3),'Struktur Aktuell'!$D268,INDIRECT(Q$4))+SUMIF(INDIRECT(Q$3),'Struktur Aktuell'!$D268,INDIRECT(Q$5)))</f>
        <v>0</v>
      </c>
      <c r="R268" s="593">
        <f ca="1">$E268*(-SUMIF(INDIRECT(R$3),'Struktur Aktuell'!$D268,INDIRECT(R$4))+SUMIF(INDIRECT(R$3),'Struktur Aktuell'!$D268,INDIRECT(R$5)))</f>
        <v>0</v>
      </c>
      <c r="S268" s="593">
        <f ca="1">$E268*(-SUMIF(INDIRECT(S$3),'Struktur Aktuell'!$D268,INDIRECT(S$4))+SUMIF(INDIRECT(S$3),'Struktur Aktuell'!$D268,INDIRECT(S$5)))</f>
        <v>145.19999999999999</v>
      </c>
      <c r="T268" s="593">
        <f ca="1">$E268*(-SUMIF(INDIRECT(T$3),'Struktur Aktuell'!$D268,INDIRECT(T$4))+SUMIF(INDIRECT(T$3),'Struktur Aktuell'!$D268,INDIRECT(T$5)))</f>
        <v>311.69</v>
      </c>
      <c r="U268" s="593">
        <f ca="1">$E268*(-SUMIF(INDIRECT(U$3),'Struktur Aktuell'!$D268,INDIRECT(U$4))+SUMIF(INDIRECT(U$3),'Struktur Aktuell'!$D268,INDIRECT(U$5)))</f>
        <v>593.41</v>
      </c>
      <c r="V268" s="593">
        <f ca="1">$E268*(-SUMIF(INDIRECT(V$3),'Struktur Aktuell'!$D268,INDIRECT(V$4))+SUMIF(INDIRECT(V$3),'Struktur Aktuell'!$D268,INDIRECT(V$5)))</f>
        <v>655.99</v>
      </c>
      <c r="W268" s="593">
        <f ca="1">$E268*(-SUMIF(INDIRECT(W$3),'Struktur Aktuell'!$D268,INDIRECT(W$4))+SUMIF(INDIRECT(W$3),'Struktur Aktuell'!$D268,INDIRECT(W$5)))</f>
        <v>826.91</v>
      </c>
      <c r="X268" s="593">
        <f ca="1">$E268*(-SUMIF(INDIRECT(X$3),'Struktur Aktuell'!$D268,INDIRECT(X$4))+SUMIF(INDIRECT(X$3),'Struktur Aktuell'!$D268,INDIRECT(X$5)))</f>
        <v>919.98</v>
      </c>
      <c r="Y268" s="593">
        <f ca="1">$E268*(-SUMIF(INDIRECT(Y$3),'Struktur Aktuell'!$D268,INDIRECT(Y$4))+SUMIF(INDIRECT(Y$3),'Struktur Aktuell'!$D268,INDIRECT(Y$5)))</f>
        <v>1013.95</v>
      </c>
      <c r="Z268" s="593">
        <f ca="1">$E268*(-SUMIF(INDIRECT(Z$3),'Struktur Aktuell'!$D268,INDIRECT(Z$4))+SUMIF(INDIRECT(Z$3),'Struktur Aktuell'!$D268,INDIRECT(Z$5)))</f>
        <v>1140.8499999999999</v>
      </c>
      <c r="AA268" s="593">
        <f ca="1">$E268*(-SUMIF(INDIRECT(AA$3),'Struktur Aktuell'!$D268,INDIRECT(AA$4))+SUMIF(INDIRECT(AA$3),'Struktur Aktuell'!$D268,INDIRECT(AA$5)))</f>
        <v>1185.04</v>
      </c>
      <c r="AB268" s="593">
        <f ca="1">$E268*(-SUMIF(INDIRECT(AB$3),'Struktur Aktuell'!$D268,INDIRECT(AB$4))+SUMIF(INDIRECT(AB$3),'Struktur Aktuell'!$D268,INDIRECT(AB$5)))</f>
        <v>1304.68</v>
      </c>
      <c r="AC268" s="593">
        <f ca="1">$E268*(-SUMIF(INDIRECT(AC$3),'Struktur Aktuell'!$D268,INDIRECT(AC$4))+SUMIF(INDIRECT(AC$3),'Struktur Aktuell'!$D268,INDIRECT(AC$5)))</f>
        <v>0</v>
      </c>
      <c r="AD268" s="593">
        <f ca="1">$E268*(-SUMIF(INDIRECT(AD$3),'Struktur Aktuell'!$D268,INDIRECT(AD$4))+SUMIF(INDIRECT(AD$3),'Struktur Aktuell'!$D268,INDIRECT(AD$5)))</f>
        <v>0</v>
      </c>
      <c r="AE268" s="593">
        <f t="shared" ref="AE268:AE285" ca="1" si="369">G268</f>
        <v>145.19999999999999</v>
      </c>
      <c r="AF268" s="593">
        <f t="shared" ref="AF268:AF285" ca="1" si="370">H268+AE268</f>
        <v>311.69</v>
      </c>
      <c r="AG268" s="593">
        <f t="shared" ref="AG268:AG285" ca="1" si="371">I268+AF268</f>
        <v>593.41000000000008</v>
      </c>
      <c r="AH268" s="593">
        <f t="shared" ref="AH268:AH285" ca="1" si="372">J268+AG268</f>
        <v>655.99000000000012</v>
      </c>
      <c r="AI268" s="593">
        <f t="shared" ref="AI268:AI285" ca="1" si="373">K268+AH268</f>
        <v>826.91000000000008</v>
      </c>
      <c r="AJ268" s="593">
        <f t="shared" ref="AJ268:AJ285" ca="1" si="374">L268+AI268</f>
        <v>919.98</v>
      </c>
      <c r="AK268" s="593">
        <f t="shared" ref="AK268:AK285" ca="1" si="375">M268+AJ268</f>
        <v>1013.95</v>
      </c>
      <c r="AL268" s="593">
        <f t="shared" ref="AL268:AL285" ca="1" si="376">N268+AK268</f>
        <v>1140.8500000000001</v>
      </c>
      <c r="AM268" s="593">
        <f t="shared" ref="AM268:AM285" ca="1" si="377">O268+AL268</f>
        <v>1185.0400000000002</v>
      </c>
      <c r="AN268" s="593">
        <f t="shared" ref="AN268:AN285" ca="1" si="378">P268+AM268</f>
        <v>1304.6800000000003</v>
      </c>
      <c r="AO268" s="593">
        <f t="shared" ref="AO268:AO285" ca="1" si="379">Q268+AN268</f>
        <v>1304.6800000000003</v>
      </c>
      <c r="AP268" s="593">
        <f t="shared" ref="AP268:AP285" ca="1" si="380">R268+AO268</f>
        <v>1304.6800000000003</v>
      </c>
    </row>
    <row r="269" spans="1:42" s="594" customFormat="1" ht="11.25" outlineLevel="1" x14ac:dyDescent="0.2">
      <c r="A269" s="590"/>
      <c r="B269" s="591" t="str">
        <f>IF(D269&lt;&gt;"",
IF(ISERROR(MATCH(D269,'Ist Aktuell Monat 01'!A:A,0))=FALSE,INDEX('Ist Aktuell Monat 01'!B:B,MATCH(D269,'Ist Aktuell Monat 01'!A:A,0)),
IF(ISERROR(MATCH(D269,'Ist Aktuell Monat 02'!A:A,0))=FALSE,INDEX('Ist Aktuell Monat 02'!B:B,MATCH(D269,'Ist Aktuell Monat 02'!A:A,0)),
IF(ISERROR(MATCH(D269,'Ist Aktuell Monat 03'!A:A,0))=FALSE,INDEX('Ist Aktuell Monat 03'!B:B,MATCH(D269,'Ist Aktuell Monat 03'!A:A,0)),
IF(ISERROR(MATCH(D269,'Ist Aktuell Monat 04'!A:A,0))=FALSE,INDEX('Ist Aktuell Monat 04'!B:B,MATCH(D269,'Ist Aktuell Monat 04'!A:A,0)),
IF(ISERROR(MATCH(D269,'Ist Aktuell Monat 05'!A:A,0))=FALSE,INDEX('Ist Aktuell Monat 05'!B:B,MATCH(D269,'Ist Aktuell Monat 05'!A:A,0)),
IF(ISERROR(MATCH(D269,'Ist Aktuell Monat 06'!A:A,0))=FALSE,INDEX('Ist Aktuell Monat 06'!B:B,MATCH(D269,'Ist Aktuell Monat 06'!A:A,0)),
IF(ISERROR(MATCH(D269,'Ist Aktuell Monat 07'!A:A,0))=FALSE,INDEX('Ist Aktuell Monat 07'!B:B,MATCH(D269,'Ist Aktuell Monat 07'!A:A,0)),
IF(ISERROR(MATCH(D269,'Ist Aktuell Monat 08'!A:A,0))=FALSE,INDEX('Ist Aktuell Monat 08'!B:B,MATCH(D269,'Ist Aktuell Monat 08'!A:A,0)),
IF(ISERROR(MATCH(D269,'Ist Aktuell Monat 09'!A:A,0))=FALSE,INDEX('Ist Aktuell Monat 09'!B:B,MATCH(D269,'Ist Aktuell Monat 09'!A:A,0)),
IF(ISERROR(MATCH(D269,'Ist Aktuell Monat 10'!A:A,0))=FALSE,INDEX('Ist Aktuell Monat 10'!B:B,MATCH(D269,'Ist Aktuell Monat 10'!A:A,0)),
IF(ISERROR(MATCH(D269,'Ist Aktuell Monat 11'!A:A,0))=FALSE,INDEX('Ist Aktuell Monat 11'!B:B,MATCH(D269,'Ist Aktuell Monat 11'!A:A,0)),
IF(ISERROR(MATCH(D269,'Ist Aktuell Monat 12'!A:A,0))=FALSE,INDEX('Ist Aktuell Monat 12'!B:B,MATCH(D269,'Ist Aktuell Monat 12'!A:A,0)),
"{Konto unbekannt}"
)))))))))))),"")</f>
        <v>Porto</v>
      </c>
      <c r="C269" s="591"/>
      <c r="D269" s="590">
        <v>4910</v>
      </c>
      <c r="E269" s="592">
        <f t="shared" si="308"/>
        <v>1</v>
      </c>
      <c r="F269" s="590"/>
      <c r="G269" s="593">
        <f ca="1">$E269*(-SUMIF(INDIRECT(G$3),'Struktur Aktuell'!$D269,INDIRECT(G$4))+SUMIF(INDIRECT(G$3),'Struktur Aktuell'!$D269,INDIRECT(G$5)))</f>
        <v>0</v>
      </c>
      <c r="H269" s="593">
        <f ca="1">$E269*(-SUMIF(INDIRECT(H$3),'Struktur Aktuell'!$D269,INDIRECT(H$4))+SUMIF(INDIRECT(H$3),'Struktur Aktuell'!$D269,INDIRECT(H$5)))</f>
        <v>84</v>
      </c>
      <c r="I269" s="593">
        <f ca="1">$E269*(-SUMIF(INDIRECT(I$3),'Struktur Aktuell'!$D269,INDIRECT(I$4))+SUMIF(INDIRECT(I$3),'Struktur Aktuell'!$D269,INDIRECT(I$5)))</f>
        <v>0</v>
      </c>
      <c r="J269" s="593">
        <f ca="1">$E269*(-SUMIF(INDIRECT(J$3),'Struktur Aktuell'!$D269,INDIRECT(J$4))+SUMIF(INDIRECT(J$3),'Struktur Aktuell'!$D269,INDIRECT(J$5)))</f>
        <v>2.85</v>
      </c>
      <c r="K269" s="593">
        <f ca="1">$E269*(-SUMIF(INDIRECT(K$3),'Struktur Aktuell'!$D269,INDIRECT(K$4))+SUMIF(INDIRECT(K$3),'Struktur Aktuell'!$D269,INDIRECT(K$5)))</f>
        <v>7.49</v>
      </c>
      <c r="L269" s="593">
        <f ca="1">$E269*(-SUMIF(INDIRECT(L$3),'Struktur Aktuell'!$D269,INDIRECT(L$4))+SUMIF(INDIRECT(L$3),'Struktur Aktuell'!$D269,INDIRECT(L$5)))</f>
        <v>0</v>
      </c>
      <c r="M269" s="593">
        <f ca="1">$E269*(-SUMIF(INDIRECT(M$3),'Struktur Aktuell'!$D269,INDIRECT(M$4))+SUMIF(INDIRECT(M$3),'Struktur Aktuell'!$D269,INDIRECT(M$5)))</f>
        <v>14.79</v>
      </c>
      <c r="N269" s="593">
        <f ca="1">$E269*(-SUMIF(INDIRECT(N$3),'Struktur Aktuell'!$D269,INDIRECT(N$4))+SUMIF(INDIRECT(N$3),'Struktur Aktuell'!$D269,INDIRECT(N$5)))</f>
        <v>0</v>
      </c>
      <c r="O269" s="593">
        <f ca="1">$E269*(-SUMIF(INDIRECT(O$3),'Struktur Aktuell'!$D269,INDIRECT(O$4))+SUMIF(INDIRECT(O$3),'Struktur Aktuell'!$D269,INDIRECT(O$5)))</f>
        <v>8.75</v>
      </c>
      <c r="P269" s="593">
        <f ca="1">$E269*(-SUMIF(INDIRECT(P$3),'Struktur Aktuell'!$D269,INDIRECT(P$4))+SUMIF(INDIRECT(P$3),'Struktur Aktuell'!$D269,INDIRECT(P$5)))</f>
        <v>8</v>
      </c>
      <c r="Q269" s="593">
        <f ca="1">$E269*(-SUMIF(INDIRECT(Q$3),'Struktur Aktuell'!$D269,INDIRECT(Q$4))+SUMIF(INDIRECT(Q$3),'Struktur Aktuell'!$D269,INDIRECT(Q$5)))</f>
        <v>0</v>
      </c>
      <c r="R269" s="593">
        <f ca="1">$E269*(-SUMIF(INDIRECT(R$3),'Struktur Aktuell'!$D269,INDIRECT(R$4))+SUMIF(INDIRECT(R$3),'Struktur Aktuell'!$D269,INDIRECT(R$5)))</f>
        <v>0</v>
      </c>
      <c r="S269" s="593">
        <f ca="1">$E269*(-SUMIF(INDIRECT(S$3),'Struktur Aktuell'!$D269,INDIRECT(S$4))+SUMIF(INDIRECT(S$3),'Struktur Aktuell'!$D269,INDIRECT(S$5)))</f>
        <v>0</v>
      </c>
      <c r="T269" s="593">
        <f ca="1">$E269*(-SUMIF(INDIRECT(T$3),'Struktur Aktuell'!$D269,INDIRECT(T$4))+SUMIF(INDIRECT(T$3),'Struktur Aktuell'!$D269,INDIRECT(T$5)))</f>
        <v>84</v>
      </c>
      <c r="U269" s="593">
        <f ca="1">$E269*(-SUMIF(INDIRECT(U$3),'Struktur Aktuell'!$D269,INDIRECT(U$4))+SUMIF(INDIRECT(U$3),'Struktur Aktuell'!$D269,INDIRECT(U$5)))</f>
        <v>84</v>
      </c>
      <c r="V269" s="593">
        <f ca="1">$E269*(-SUMIF(INDIRECT(V$3),'Struktur Aktuell'!$D269,INDIRECT(V$4))+SUMIF(INDIRECT(V$3),'Struktur Aktuell'!$D269,INDIRECT(V$5)))</f>
        <v>86.85</v>
      </c>
      <c r="W269" s="593">
        <f ca="1">$E269*(-SUMIF(INDIRECT(W$3),'Struktur Aktuell'!$D269,INDIRECT(W$4))+SUMIF(INDIRECT(W$3),'Struktur Aktuell'!$D269,INDIRECT(W$5)))</f>
        <v>94.34</v>
      </c>
      <c r="X269" s="593">
        <f ca="1">$E269*(-SUMIF(INDIRECT(X$3),'Struktur Aktuell'!$D269,INDIRECT(X$4))+SUMIF(INDIRECT(X$3),'Struktur Aktuell'!$D269,INDIRECT(X$5)))</f>
        <v>94.34</v>
      </c>
      <c r="Y269" s="593">
        <f ca="1">$E269*(-SUMIF(INDIRECT(Y$3),'Struktur Aktuell'!$D269,INDIRECT(Y$4))+SUMIF(INDIRECT(Y$3),'Struktur Aktuell'!$D269,INDIRECT(Y$5)))</f>
        <v>109.13</v>
      </c>
      <c r="Z269" s="593">
        <f ca="1">$E269*(-SUMIF(INDIRECT(Z$3),'Struktur Aktuell'!$D269,INDIRECT(Z$4))+SUMIF(INDIRECT(Z$3),'Struktur Aktuell'!$D269,INDIRECT(Z$5)))</f>
        <v>109.13</v>
      </c>
      <c r="AA269" s="593">
        <f ca="1">$E269*(-SUMIF(INDIRECT(AA$3),'Struktur Aktuell'!$D269,INDIRECT(AA$4))+SUMIF(INDIRECT(AA$3),'Struktur Aktuell'!$D269,INDIRECT(AA$5)))</f>
        <v>117.88</v>
      </c>
      <c r="AB269" s="593">
        <f ca="1">$E269*(-SUMIF(INDIRECT(AB$3),'Struktur Aktuell'!$D269,INDIRECT(AB$4))+SUMIF(INDIRECT(AB$3),'Struktur Aktuell'!$D269,INDIRECT(AB$5)))</f>
        <v>125.88</v>
      </c>
      <c r="AC269" s="593">
        <f ca="1">$E269*(-SUMIF(INDIRECT(AC$3),'Struktur Aktuell'!$D269,INDIRECT(AC$4))+SUMIF(INDIRECT(AC$3),'Struktur Aktuell'!$D269,INDIRECT(AC$5)))</f>
        <v>0</v>
      </c>
      <c r="AD269" s="593">
        <f ca="1">$E269*(-SUMIF(INDIRECT(AD$3),'Struktur Aktuell'!$D269,INDIRECT(AD$4))+SUMIF(INDIRECT(AD$3),'Struktur Aktuell'!$D269,INDIRECT(AD$5)))</f>
        <v>0</v>
      </c>
      <c r="AE269" s="593">
        <f t="shared" ca="1" si="369"/>
        <v>0</v>
      </c>
      <c r="AF269" s="593">
        <f t="shared" ca="1" si="370"/>
        <v>84</v>
      </c>
      <c r="AG269" s="593">
        <f t="shared" ca="1" si="371"/>
        <v>84</v>
      </c>
      <c r="AH269" s="593">
        <f t="shared" ca="1" si="372"/>
        <v>86.85</v>
      </c>
      <c r="AI269" s="593">
        <f t="shared" ca="1" si="373"/>
        <v>94.339999999999989</v>
      </c>
      <c r="AJ269" s="593">
        <f t="shared" ca="1" si="374"/>
        <v>94.339999999999989</v>
      </c>
      <c r="AK269" s="593">
        <f t="shared" ca="1" si="375"/>
        <v>109.13</v>
      </c>
      <c r="AL269" s="593">
        <f t="shared" ca="1" si="376"/>
        <v>109.13</v>
      </c>
      <c r="AM269" s="593">
        <f t="shared" ca="1" si="377"/>
        <v>117.88</v>
      </c>
      <c r="AN269" s="593">
        <f t="shared" ca="1" si="378"/>
        <v>125.88</v>
      </c>
      <c r="AO269" s="593">
        <f t="shared" ca="1" si="379"/>
        <v>125.88</v>
      </c>
      <c r="AP269" s="593">
        <f t="shared" ca="1" si="380"/>
        <v>125.88</v>
      </c>
    </row>
    <row r="270" spans="1:42" s="594" customFormat="1" ht="11.25" outlineLevel="1" x14ac:dyDescent="0.2">
      <c r="A270" s="590"/>
      <c r="B270" s="591" t="str">
        <f>IF(D270&lt;&gt;"",
IF(ISERROR(MATCH(D270,'Ist Aktuell Monat 01'!A:A,0))=FALSE,INDEX('Ist Aktuell Monat 01'!B:B,MATCH(D270,'Ist Aktuell Monat 01'!A:A,0)),
IF(ISERROR(MATCH(D270,'Ist Aktuell Monat 02'!A:A,0))=FALSE,INDEX('Ist Aktuell Monat 02'!B:B,MATCH(D270,'Ist Aktuell Monat 02'!A:A,0)),
IF(ISERROR(MATCH(D270,'Ist Aktuell Monat 03'!A:A,0))=FALSE,INDEX('Ist Aktuell Monat 03'!B:B,MATCH(D270,'Ist Aktuell Monat 03'!A:A,0)),
IF(ISERROR(MATCH(D270,'Ist Aktuell Monat 04'!A:A,0))=FALSE,INDEX('Ist Aktuell Monat 04'!B:B,MATCH(D270,'Ist Aktuell Monat 04'!A:A,0)),
IF(ISERROR(MATCH(D270,'Ist Aktuell Monat 05'!A:A,0))=FALSE,INDEX('Ist Aktuell Monat 05'!B:B,MATCH(D270,'Ist Aktuell Monat 05'!A:A,0)),
IF(ISERROR(MATCH(D270,'Ist Aktuell Monat 06'!A:A,0))=FALSE,INDEX('Ist Aktuell Monat 06'!B:B,MATCH(D270,'Ist Aktuell Monat 06'!A:A,0)),
IF(ISERROR(MATCH(D270,'Ist Aktuell Monat 07'!A:A,0))=FALSE,INDEX('Ist Aktuell Monat 07'!B:B,MATCH(D270,'Ist Aktuell Monat 07'!A:A,0)),
IF(ISERROR(MATCH(D270,'Ist Aktuell Monat 08'!A:A,0))=FALSE,INDEX('Ist Aktuell Monat 08'!B:B,MATCH(D270,'Ist Aktuell Monat 08'!A:A,0)),
IF(ISERROR(MATCH(D270,'Ist Aktuell Monat 09'!A:A,0))=FALSE,INDEX('Ist Aktuell Monat 09'!B:B,MATCH(D270,'Ist Aktuell Monat 09'!A:A,0)),
IF(ISERROR(MATCH(D270,'Ist Aktuell Monat 10'!A:A,0))=FALSE,INDEX('Ist Aktuell Monat 10'!B:B,MATCH(D270,'Ist Aktuell Monat 10'!A:A,0)),
IF(ISERROR(MATCH(D270,'Ist Aktuell Monat 11'!A:A,0))=FALSE,INDEX('Ist Aktuell Monat 11'!B:B,MATCH(D270,'Ist Aktuell Monat 11'!A:A,0)),
IF(ISERROR(MATCH(D270,'Ist Aktuell Monat 12'!A:A,0))=FALSE,INDEX('Ist Aktuell Monat 12'!B:B,MATCH(D270,'Ist Aktuell Monat 12'!A:A,0)),
"{Konto unbekannt}"
)))))))))))),"")</f>
        <v>Bürobedarf</v>
      </c>
      <c r="C270" s="591"/>
      <c r="D270" s="590">
        <v>4930</v>
      </c>
      <c r="E270" s="592">
        <f t="shared" si="308"/>
        <v>1</v>
      </c>
      <c r="F270" s="590"/>
      <c r="G270" s="593">
        <f ca="1">$E270*(-SUMIF(INDIRECT(G$3),'Struktur Aktuell'!$D270,INDIRECT(G$4))+SUMIF(INDIRECT(G$3),'Struktur Aktuell'!$D270,INDIRECT(G$5)))</f>
        <v>0</v>
      </c>
      <c r="H270" s="593">
        <f ca="1">$E270*(-SUMIF(INDIRECT(H$3),'Struktur Aktuell'!$D270,INDIRECT(H$4))+SUMIF(INDIRECT(H$3),'Struktur Aktuell'!$D270,INDIRECT(H$5)))</f>
        <v>0</v>
      </c>
      <c r="I270" s="593">
        <f ca="1">$E270*(-SUMIF(INDIRECT(I$3),'Struktur Aktuell'!$D270,INDIRECT(I$4))+SUMIF(INDIRECT(I$3),'Struktur Aktuell'!$D270,INDIRECT(I$5)))</f>
        <v>9.39</v>
      </c>
      <c r="J270" s="593">
        <f ca="1">$E270*(-SUMIF(INDIRECT(J$3),'Struktur Aktuell'!$D270,INDIRECT(J$4))+SUMIF(INDIRECT(J$3),'Struktur Aktuell'!$D270,INDIRECT(J$5)))</f>
        <v>0</v>
      </c>
      <c r="K270" s="593">
        <f ca="1">$E270*(-SUMIF(INDIRECT(K$3),'Struktur Aktuell'!$D270,INDIRECT(K$4))+SUMIF(INDIRECT(K$3),'Struktur Aktuell'!$D270,INDIRECT(K$5)))</f>
        <v>27</v>
      </c>
      <c r="L270" s="593">
        <f ca="1">$E270*(-SUMIF(INDIRECT(L$3),'Struktur Aktuell'!$D270,INDIRECT(L$4))+SUMIF(INDIRECT(L$3),'Struktur Aktuell'!$D270,INDIRECT(L$5)))</f>
        <v>264.08999999999997</v>
      </c>
      <c r="M270" s="593">
        <f ca="1">$E270*(-SUMIF(INDIRECT(M$3),'Struktur Aktuell'!$D270,INDIRECT(M$4))+SUMIF(INDIRECT(M$3),'Struktur Aktuell'!$D270,INDIRECT(M$5)))</f>
        <v>118.92</v>
      </c>
      <c r="N270" s="593">
        <f ca="1">$E270*(-SUMIF(INDIRECT(N$3),'Struktur Aktuell'!$D270,INDIRECT(N$4))+SUMIF(INDIRECT(N$3),'Struktur Aktuell'!$D270,INDIRECT(N$5)))</f>
        <v>226.2</v>
      </c>
      <c r="O270" s="593">
        <f ca="1">$E270*(-SUMIF(INDIRECT(O$3),'Struktur Aktuell'!$D270,INDIRECT(O$4))+SUMIF(INDIRECT(O$3),'Struktur Aktuell'!$D270,INDIRECT(O$5)))</f>
        <v>0</v>
      </c>
      <c r="P270" s="593">
        <f ca="1">$E270*(-SUMIF(INDIRECT(P$3),'Struktur Aktuell'!$D270,INDIRECT(P$4))+SUMIF(INDIRECT(P$3),'Struktur Aktuell'!$D270,INDIRECT(P$5)))</f>
        <v>33.57</v>
      </c>
      <c r="Q270" s="593">
        <f ca="1">$E270*(-SUMIF(INDIRECT(Q$3),'Struktur Aktuell'!$D270,INDIRECT(Q$4))+SUMIF(INDIRECT(Q$3),'Struktur Aktuell'!$D270,INDIRECT(Q$5)))</f>
        <v>0</v>
      </c>
      <c r="R270" s="593">
        <f ca="1">$E270*(-SUMIF(INDIRECT(R$3),'Struktur Aktuell'!$D270,INDIRECT(R$4))+SUMIF(INDIRECT(R$3),'Struktur Aktuell'!$D270,INDIRECT(R$5)))</f>
        <v>0</v>
      </c>
      <c r="S270" s="593">
        <f ca="1">$E270*(-SUMIF(INDIRECT(S$3),'Struktur Aktuell'!$D270,INDIRECT(S$4))+SUMIF(INDIRECT(S$3),'Struktur Aktuell'!$D270,INDIRECT(S$5)))</f>
        <v>0</v>
      </c>
      <c r="T270" s="593">
        <f ca="1">$E270*(-SUMIF(INDIRECT(T$3),'Struktur Aktuell'!$D270,INDIRECT(T$4))+SUMIF(INDIRECT(T$3),'Struktur Aktuell'!$D270,INDIRECT(T$5)))</f>
        <v>0</v>
      </c>
      <c r="U270" s="593">
        <f ca="1">$E270*(-SUMIF(INDIRECT(U$3),'Struktur Aktuell'!$D270,INDIRECT(U$4))+SUMIF(INDIRECT(U$3),'Struktur Aktuell'!$D270,INDIRECT(U$5)))</f>
        <v>9.39</v>
      </c>
      <c r="V270" s="593">
        <f ca="1">$E270*(-SUMIF(INDIRECT(V$3),'Struktur Aktuell'!$D270,INDIRECT(V$4))+SUMIF(INDIRECT(V$3),'Struktur Aktuell'!$D270,INDIRECT(V$5)))</f>
        <v>9.39</v>
      </c>
      <c r="W270" s="593">
        <f ca="1">$E270*(-SUMIF(INDIRECT(W$3),'Struktur Aktuell'!$D270,INDIRECT(W$4))+SUMIF(INDIRECT(W$3),'Struktur Aktuell'!$D270,INDIRECT(W$5)))</f>
        <v>36.39</v>
      </c>
      <c r="X270" s="593">
        <f ca="1">$E270*(-SUMIF(INDIRECT(X$3),'Struktur Aktuell'!$D270,INDIRECT(X$4))+SUMIF(INDIRECT(X$3),'Struktur Aktuell'!$D270,INDIRECT(X$5)))</f>
        <v>300.48</v>
      </c>
      <c r="Y270" s="593">
        <f ca="1">$E270*(-SUMIF(INDIRECT(Y$3),'Struktur Aktuell'!$D270,INDIRECT(Y$4))+SUMIF(INDIRECT(Y$3),'Struktur Aktuell'!$D270,INDIRECT(Y$5)))</f>
        <v>419.4</v>
      </c>
      <c r="Z270" s="593">
        <f ca="1">$E270*(-SUMIF(INDIRECT(Z$3),'Struktur Aktuell'!$D270,INDIRECT(Z$4))+SUMIF(INDIRECT(Z$3),'Struktur Aktuell'!$D270,INDIRECT(Z$5)))</f>
        <v>645.6</v>
      </c>
      <c r="AA270" s="593">
        <f ca="1">$E270*(-SUMIF(INDIRECT(AA$3),'Struktur Aktuell'!$D270,INDIRECT(AA$4))+SUMIF(INDIRECT(AA$3),'Struktur Aktuell'!$D270,INDIRECT(AA$5)))</f>
        <v>645.6</v>
      </c>
      <c r="AB270" s="593">
        <f ca="1">$E270*(-SUMIF(INDIRECT(AB$3),'Struktur Aktuell'!$D270,INDIRECT(AB$4))+SUMIF(INDIRECT(AB$3),'Struktur Aktuell'!$D270,INDIRECT(AB$5)))</f>
        <v>679.17</v>
      </c>
      <c r="AC270" s="593">
        <f ca="1">$E270*(-SUMIF(INDIRECT(AC$3),'Struktur Aktuell'!$D270,INDIRECT(AC$4))+SUMIF(INDIRECT(AC$3),'Struktur Aktuell'!$D270,INDIRECT(AC$5)))</f>
        <v>0</v>
      </c>
      <c r="AD270" s="593">
        <f ca="1">$E270*(-SUMIF(INDIRECT(AD$3),'Struktur Aktuell'!$D270,INDIRECT(AD$4))+SUMIF(INDIRECT(AD$3),'Struktur Aktuell'!$D270,INDIRECT(AD$5)))</f>
        <v>0</v>
      </c>
      <c r="AE270" s="593">
        <f t="shared" ca="1" si="369"/>
        <v>0</v>
      </c>
      <c r="AF270" s="593">
        <f t="shared" ca="1" si="370"/>
        <v>0</v>
      </c>
      <c r="AG270" s="593">
        <f t="shared" ca="1" si="371"/>
        <v>9.39</v>
      </c>
      <c r="AH270" s="593">
        <f t="shared" ca="1" si="372"/>
        <v>9.39</v>
      </c>
      <c r="AI270" s="593">
        <f t="shared" ca="1" si="373"/>
        <v>36.39</v>
      </c>
      <c r="AJ270" s="593">
        <f t="shared" ca="1" si="374"/>
        <v>300.47999999999996</v>
      </c>
      <c r="AK270" s="593">
        <f t="shared" ca="1" si="375"/>
        <v>419.4</v>
      </c>
      <c r="AL270" s="593">
        <f t="shared" ca="1" si="376"/>
        <v>645.59999999999991</v>
      </c>
      <c r="AM270" s="593">
        <f t="shared" ca="1" si="377"/>
        <v>645.59999999999991</v>
      </c>
      <c r="AN270" s="593">
        <f t="shared" ca="1" si="378"/>
        <v>679.17</v>
      </c>
      <c r="AO270" s="593">
        <f t="shared" ca="1" si="379"/>
        <v>679.17</v>
      </c>
      <c r="AP270" s="593">
        <f t="shared" ca="1" si="380"/>
        <v>679.17</v>
      </c>
    </row>
    <row r="271" spans="1:42" s="594" customFormat="1" ht="11.25" outlineLevel="1" x14ac:dyDescent="0.2">
      <c r="A271" s="590"/>
      <c r="B271" s="591" t="str">
        <f>IF(D271&lt;&gt;"",
IF(ISERROR(MATCH(D271,'Ist Aktuell Monat 01'!A:A,0))=FALSE,INDEX('Ist Aktuell Monat 01'!B:B,MATCH(D271,'Ist Aktuell Monat 01'!A:A,0)),
IF(ISERROR(MATCH(D271,'Ist Aktuell Monat 02'!A:A,0))=FALSE,INDEX('Ist Aktuell Monat 02'!B:B,MATCH(D271,'Ist Aktuell Monat 02'!A:A,0)),
IF(ISERROR(MATCH(D271,'Ist Aktuell Monat 03'!A:A,0))=FALSE,INDEX('Ist Aktuell Monat 03'!B:B,MATCH(D271,'Ist Aktuell Monat 03'!A:A,0)),
IF(ISERROR(MATCH(D271,'Ist Aktuell Monat 04'!A:A,0))=FALSE,INDEX('Ist Aktuell Monat 04'!B:B,MATCH(D271,'Ist Aktuell Monat 04'!A:A,0)),
IF(ISERROR(MATCH(D271,'Ist Aktuell Monat 05'!A:A,0))=FALSE,INDEX('Ist Aktuell Monat 05'!B:B,MATCH(D271,'Ist Aktuell Monat 05'!A:A,0)),
IF(ISERROR(MATCH(D271,'Ist Aktuell Monat 06'!A:A,0))=FALSE,INDEX('Ist Aktuell Monat 06'!B:B,MATCH(D271,'Ist Aktuell Monat 06'!A:A,0)),
IF(ISERROR(MATCH(D271,'Ist Aktuell Monat 07'!A:A,0))=FALSE,INDEX('Ist Aktuell Monat 07'!B:B,MATCH(D271,'Ist Aktuell Monat 07'!A:A,0)),
IF(ISERROR(MATCH(D271,'Ist Aktuell Monat 08'!A:A,0))=FALSE,INDEX('Ist Aktuell Monat 08'!B:B,MATCH(D271,'Ist Aktuell Monat 08'!A:A,0)),
IF(ISERROR(MATCH(D271,'Ist Aktuell Monat 09'!A:A,0))=FALSE,INDEX('Ist Aktuell Monat 09'!B:B,MATCH(D271,'Ist Aktuell Monat 09'!A:A,0)),
IF(ISERROR(MATCH(D271,'Ist Aktuell Monat 10'!A:A,0))=FALSE,INDEX('Ist Aktuell Monat 10'!B:B,MATCH(D271,'Ist Aktuell Monat 10'!A:A,0)),
IF(ISERROR(MATCH(D271,'Ist Aktuell Monat 11'!A:A,0))=FALSE,INDEX('Ist Aktuell Monat 11'!B:B,MATCH(D271,'Ist Aktuell Monat 11'!A:A,0)),
IF(ISERROR(MATCH(D271,'Ist Aktuell Monat 12'!A:A,0))=FALSE,INDEX('Ist Aktuell Monat 12'!B:B,MATCH(D271,'Ist Aktuell Monat 12'!A:A,0)),
"{Konto unbekannt}"
)))))))))))),"")</f>
        <v>Internet "Allgemein"</v>
      </c>
      <c r="C271" s="591"/>
      <c r="D271" s="590">
        <v>4935</v>
      </c>
      <c r="E271" s="592">
        <f t="shared" si="308"/>
        <v>1</v>
      </c>
      <c r="F271" s="590"/>
      <c r="G271" s="593">
        <f ca="1">$E271*(-SUMIF(INDIRECT(G$3),'Struktur Aktuell'!$D271,INDIRECT(G$4))+SUMIF(INDIRECT(G$3),'Struktur Aktuell'!$D271,INDIRECT(G$5)))</f>
        <v>13.78</v>
      </c>
      <c r="H271" s="593">
        <f ca="1">$E271*(-SUMIF(INDIRECT(H$3),'Struktur Aktuell'!$D271,INDIRECT(H$4))+SUMIF(INDIRECT(H$3),'Struktur Aktuell'!$D271,INDIRECT(H$5)))</f>
        <v>112.09</v>
      </c>
      <c r="I271" s="593">
        <f ca="1">$E271*(-SUMIF(INDIRECT(I$3),'Struktur Aktuell'!$D271,INDIRECT(I$4))+SUMIF(INDIRECT(I$3),'Struktur Aktuell'!$D271,INDIRECT(I$5)))</f>
        <v>17.13</v>
      </c>
      <c r="J271" s="593">
        <f ca="1">$E271*(-SUMIF(INDIRECT(J$3),'Struktur Aktuell'!$D271,INDIRECT(J$4))+SUMIF(INDIRECT(J$3),'Struktur Aktuell'!$D271,INDIRECT(J$5)))</f>
        <v>43.15</v>
      </c>
      <c r="K271" s="593">
        <f ca="1">$E271*(-SUMIF(INDIRECT(K$3),'Struktur Aktuell'!$D271,INDIRECT(K$4))+SUMIF(INDIRECT(K$3),'Struktur Aktuell'!$D271,INDIRECT(K$5)))</f>
        <v>20.07</v>
      </c>
      <c r="L271" s="593">
        <f ca="1">$E271*(-SUMIF(INDIRECT(L$3),'Struktur Aktuell'!$D271,INDIRECT(L$4))+SUMIF(INDIRECT(L$3),'Struktur Aktuell'!$D271,INDIRECT(L$5)))</f>
        <v>75.75</v>
      </c>
      <c r="M271" s="593">
        <f ca="1">$E271*(-SUMIF(INDIRECT(M$3),'Struktur Aktuell'!$D271,INDIRECT(M$4))+SUMIF(INDIRECT(M$3),'Struktur Aktuell'!$D271,INDIRECT(M$5)))</f>
        <v>20.059999999999999</v>
      </c>
      <c r="N271" s="593">
        <f ca="1">$E271*(-SUMIF(INDIRECT(N$3),'Struktur Aktuell'!$D271,INDIRECT(N$4))+SUMIF(INDIRECT(N$3),'Struktur Aktuell'!$D271,INDIRECT(N$5)))</f>
        <v>52.87</v>
      </c>
      <c r="O271" s="593">
        <f ca="1">$E271*(-SUMIF(INDIRECT(O$3),'Struktur Aktuell'!$D271,INDIRECT(O$4))+SUMIF(INDIRECT(O$3),'Struktur Aktuell'!$D271,INDIRECT(O$5)))</f>
        <v>37.24</v>
      </c>
      <c r="P271" s="593">
        <f ca="1">$E271*(-SUMIF(INDIRECT(P$3),'Struktur Aktuell'!$D271,INDIRECT(P$4))+SUMIF(INDIRECT(P$3),'Struktur Aktuell'!$D271,INDIRECT(P$5)))</f>
        <v>10.92</v>
      </c>
      <c r="Q271" s="593">
        <f ca="1">$E271*(-SUMIF(INDIRECT(Q$3),'Struktur Aktuell'!$D271,INDIRECT(Q$4))+SUMIF(INDIRECT(Q$3),'Struktur Aktuell'!$D271,INDIRECT(Q$5)))</f>
        <v>0</v>
      </c>
      <c r="R271" s="593">
        <f ca="1">$E271*(-SUMIF(INDIRECT(R$3),'Struktur Aktuell'!$D271,INDIRECT(R$4))+SUMIF(INDIRECT(R$3),'Struktur Aktuell'!$D271,INDIRECT(R$5)))</f>
        <v>0</v>
      </c>
      <c r="S271" s="593">
        <f ca="1">$E271*(-SUMIF(INDIRECT(S$3),'Struktur Aktuell'!$D271,INDIRECT(S$4))+SUMIF(INDIRECT(S$3),'Struktur Aktuell'!$D271,INDIRECT(S$5)))</f>
        <v>13.78</v>
      </c>
      <c r="T271" s="593">
        <f ca="1">$E271*(-SUMIF(INDIRECT(T$3),'Struktur Aktuell'!$D271,INDIRECT(T$4))+SUMIF(INDIRECT(T$3),'Struktur Aktuell'!$D271,INDIRECT(T$5)))</f>
        <v>125.87</v>
      </c>
      <c r="U271" s="593">
        <f ca="1">$E271*(-SUMIF(INDIRECT(U$3),'Struktur Aktuell'!$D271,INDIRECT(U$4))+SUMIF(INDIRECT(U$3),'Struktur Aktuell'!$D271,INDIRECT(U$5)))</f>
        <v>143</v>
      </c>
      <c r="V271" s="593">
        <f ca="1">$E271*(-SUMIF(INDIRECT(V$3),'Struktur Aktuell'!$D271,INDIRECT(V$4))+SUMIF(INDIRECT(V$3),'Struktur Aktuell'!$D271,INDIRECT(V$5)))</f>
        <v>186.15</v>
      </c>
      <c r="W271" s="593">
        <f ca="1">$E271*(-SUMIF(INDIRECT(W$3),'Struktur Aktuell'!$D271,INDIRECT(W$4))+SUMIF(INDIRECT(W$3),'Struktur Aktuell'!$D271,INDIRECT(W$5)))</f>
        <v>206.22</v>
      </c>
      <c r="X271" s="593">
        <f ca="1">$E271*(-SUMIF(INDIRECT(X$3),'Struktur Aktuell'!$D271,INDIRECT(X$4))+SUMIF(INDIRECT(X$3),'Struktur Aktuell'!$D271,INDIRECT(X$5)))</f>
        <v>281.97000000000003</v>
      </c>
      <c r="Y271" s="593">
        <f ca="1">$E271*(-SUMIF(INDIRECT(Y$3),'Struktur Aktuell'!$D271,INDIRECT(Y$4))+SUMIF(INDIRECT(Y$3),'Struktur Aktuell'!$D271,INDIRECT(Y$5)))</f>
        <v>302.02999999999997</v>
      </c>
      <c r="Z271" s="593">
        <f ca="1">$E271*(-SUMIF(INDIRECT(Z$3),'Struktur Aktuell'!$D271,INDIRECT(Z$4))+SUMIF(INDIRECT(Z$3),'Struktur Aktuell'!$D271,INDIRECT(Z$5)))</f>
        <v>354.9</v>
      </c>
      <c r="AA271" s="593">
        <f ca="1">$E271*(-SUMIF(INDIRECT(AA$3),'Struktur Aktuell'!$D271,INDIRECT(AA$4))+SUMIF(INDIRECT(AA$3),'Struktur Aktuell'!$D271,INDIRECT(AA$5)))</f>
        <v>392.14</v>
      </c>
      <c r="AB271" s="593">
        <f ca="1">$E271*(-SUMIF(INDIRECT(AB$3),'Struktur Aktuell'!$D271,INDIRECT(AB$4))+SUMIF(INDIRECT(AB$3),'Struktur Aktuell'!$D271,INDIRECT(AB$5)))</f>
        <v>403.06</v>
      </c>
      <c r="AC271" s="593">
        <f ca="1">$E271*(-SUMIF(INDIRECT(AC$3),'Struktur Aktuell'!$D271,INDIRECT(AC$4))+SUMIF(INDIRECT(AC$3),'Struktur Aktuell'!$D271,INDIRECT(AC$5)))</f>
        <v>0</v>
      </c>
      <c r="AD271" s="593">
        <f ca="1">$E271*(-SUMIF(INDIRECT(AD$3),'Struktur Aktuell'!$D271,INDIRECT(AD$4))+SUMIF(INDIRECT(AD$3),'Struktur Aktuell'!$D271,INDIRECT(AD$5)))</f>
        <v>0</v>
      </c>
      <c r="AE271" s="593">
        <f t="shared" ca="1" si="369"/>
        <v>13.78</v>
      </c>
      <c r="AF271" s="593">
        <f t="shared" ca="1" si="370"/>
        <v>125.87</v>
      </c>
      <c r="AG271" s="593">
        <f t="shared" ca="1" si="371"/>
        <v>143</v>
      </c>
      <c r="AH271" s="593">
        <f t="shared" ca="1" si="372"/>
        <v>186.15</v>
      </c>
      <c r="AI271" s="593">
        <f t="shared" ca="1" si="373"/>
        <v>206.22</v>
      </c>
      <c r="AJ271" s="593">
        <f t="shared" ca="1" si="374"/>
        <v>281.97000000000003</v>
      </c>
      <c r="AK271" s="593">
        <f t="shared" ca="1" si="375"/>
        <v>302.03000000000003</v>
      </c>
      <c r="AL271" s="593">
        <f t="shared" ca="1" si="376"/>
        <v>354.90000000000003</v>
      </c>
      <c r="AM271" s="593">
        <f t="shared" ca="1" si="377"/>
        <v>392.14000000000004</v>
      </c>
      <c r="AN271" s="593">
        <f t="shared" ca="1" si="378"/>
        <v>403.06000000000006</v>
      </c>
      <c r="AO271" s="593">
        <f t="shared" ca="1" si="379"/>
        <v>403.06000000000006</v>
      </c>
      <c r="AP271" s="593">
        <f t="shared" ca="1" si="380"/>
        <v>403.06000000000006</v>
      </c>
    </row>
    <row r="272" spans="1:42" s="594" customFormat="1" ht="11.25" outlineLevel="1" x14ac:dyDescent="0.2">
      <c r="A272" s="590"/>
      <c r="B272" s="591" t="str">
        <f>IF(D272&lt;&gt;"",
IF(ISERROR(MATCH(D272,'Ist Aktuell Monat 01'!A:A,0))=FALSE,INDEX('Ist Aktuell Monat 01'!B:B,MATCH(D272,'Ist Aktuell Monat 01'!A:A,0)),
IF(ISERROR(MATCH(D272,'Ist Aktuell Monat 02'!A:A,0))=FALSE,INDEX('Ist Aktuell Monat 02'!B:B,MATCH(D272,'Ist Aktuell Monat 02'!A:A,0)),
IF(ISERROR(MATCH(D272,'Ist Aktuell Monat 03'!A:A,0))=FALSE,INDEX('Ist Aktuell Monat 03'!B:B,MATCH(D272,'Ist Aktuell Monat 03'!A:A,0)),
IF(ISERROR(MATCH(D272,'Ist Aktuell Monat 04'!A:A,0))=FALSE,INDEX('Ist Aktuell Monat 04'!B:B,MATCH(D272,'Ist Aktuell Monat 04'!A:A,0)),
IF(ISERROR(MATCH(D272,'Ist Aktuell Monat 05'!A:A,0))=FALSE,INDEX('Ist Aktuell Monat 05'!B:B,MATCH(D272,'Ist Aktuell Monat 05'!A:A,0)),
IF(ISERROR(MATCH(D272,'Ist Aktuell Monat 06'!A:A,0))=FALSE,INDEX('Ist Aktuell Monat 06'!B:B,MATCH(D272,'Ist Aktuell Monat 06'!A:A,0)),
IF(ISERROR(MATCH(D272,'Ist Aktuell Monat 07'!A:A,0))=FALSE,INDEX('Ist Aktuell Monat 07'!B:B,MATCH(D272,'Ist Aktuell Monat 07'!A:A,0)),
IF(ISERROR(MATCH(D272,'Ist Aktuell Monat 08'!A:A,0))=FALSE,INDEX('Ist Aktuell Monat 08'!B:B,MATCH(D272,'Ist Aktuell Monat 08'!A:A,0)),
IF(ISERROR(MATCH(D272,'Ist Aktuell Monat 09'!A:A,0))=FALSE,INDEX('Ist Aktuell Monat 09'!B:B,MATCH(D272,'Ist Aktuell Monat 09'!A:A,0)),
IF(ISERROR(MATCH(D272,'Ist Aktuell Monat 10'!A:A,0))=FALSE,INDEX('Ist Aktuell Monat 10'!B:B,MATCH(D272,'Ist Aktuell Monat 10'!A:A,0)),
IF(ISERROR(MATCH(D272,'Ist Aktuell Monat 11'!A:A,0))=FALSE,INDEX('Ist Aktuell Monat 11'!B:B,MATCH(D272,'Ist Aktuell Monat 11'!A:A,0)),
IF(ISERROR(MATCH(D272,'Ist Aktuell Monat 12'!A:A,0))=FALSE,INDEX('Ist Aktuell Monat 12'!B:B,MATCH(D272,'Ist Aktuell Monat 12'!A:A,0)),
"{Konto unbekannt}"
)))))))))))),"")</f>
        <v>Zeitschriften, Bücher (Fachliteratur)</v>
      </c>
      <c r="C272" s="591"/>
      <c r="D272" s="590">
        <v>4940</v>
      </c>
      <c r="E272" s="592">
        <f t="shared" si="308"/>
        <v>1</v>
      </c>
      <c r="F272" s="590"/>
      <c r="G272" s="593">
        <f ca="1">$E272*(-SUMIF(INDIRECT(G$3),'Struktur Aktuell'!$D272,INDIRECT(G$4))+SUMIF(INDIRECT(G$3),'Struktur Aktuell'!$D272,INDIRECT(G$5)))</f>
        <v>0</v>
      </c>
      <c r="H272" s="593">
        <f ca="1">$E272*(-SUMIF(INDIRECT(H$3),'Struktur Aktuell'!$D272,INDIRECT(H$4))+SUMIF(INDIRECT(H$3),'Struktur Aktuell'!$D272,INDIRECT(H$5)))</f>
        <v>0</v>
      </c>
      <c r="I272" s="593">
        <f ca="1">$E272*(-SUMIF(INDIRECT(I$3),'Struktur Aktuell'!$D272,INDIRECT(I$4))+SUMIF(INDIRECT(I$3),'Struktur Aktuell'!$D272,INDIRECT(I$5)))</f>
        <v>0</v>
      </c>
      <c r="J272" s="593">
        <f ca="1">$E272*(-SUMIF(INDIRECT(J$3),'Struktur Aktuell'!$D272,INDIRECT(J$4))+SUMIF(INDIRECT(J$3),'Struktur Aktuell'!$D272,INDIRECT(J$5)))</f>
        <v>130.1</v>
      </c>
      <c r="K272" s="593">
        <f ca="1">$E272*(-SUMIF(INDIRECT(K$3),'Struktur Aktuell'!$D272,INDIRECT(K$4))+SUMIF(INDIRECT(K$3),'Struktur Aktuell'!$D272,INDIRECT(K$5)))</f>
        <v>0</v>
      </c>
      <c r="L272" s="593">
        <f ca="1">$E272*(-SUMIF(INDIRECT(L$3),'Struktur Aktuell'!$D272,INDIRECT(L$4))+SUMIF(INDIRECT(L$3),'Struktur Aktuell'!$D272,INDIRECT(L$5)))</f>
        <v>0</v>
      </c>
      <c r="M272" s="593">
        <f ca="1">$E272*(-SUMIF(INDIRECT(M$3),'Struktur Aktuell'!$D272,INDIRECT(M$4))+SUMIF(INDIRECT(M$3),'Struktur Aktuell'!$D272,INDIRECT(M$5)))</f>
        <v>27.94</v>
      </c>
      <c r="N272" s="593">
        <f ca="1">$E272*(-SUMIF(INDIRECT(N$3),'Struktur Aktuell'!$D272,INDIRECT(N$4))+SUMIF(INDIRECT(N$3),'Struktur Aktuell'!$D272,INDIRECT(N$5)))</f>
        <v>0</v>
      </c>
      <c r="O272" s="593">
        <f ca="1">$E272*(-SUMIF(INDIRECT(O$3),'Struktur Aktuell'!$D272,INDIRECT(O$4))+SUMIF(INDIRECT(O$3),'Struktur Aktuell'!$D272,INDIRECT(O$5)))</f>
        <v>0</v>
      </c>
      <c r="P272" s="593">
        <f ca="1">$E272*(-SUMIF(INDIRECT(P$3),'Struktur Aktuell'!$D272,INDIRECT(P$4))+SUMIF(INDIRECT(P$3),'Struktur Aktuell'!$D272,INDIRECT(P$5)))</f>
        <v>71.209999999999994</v>
      </c>
      <c r="Q272" s="593">
        <f ca="1">$E272*(-SUMIF(INDIRECT(Q$3),'Struktur Aktuell'!$D272,INDIRECT(Q$4))+SUMIF(INDIRECT(Q$3),'Struktur Aktuell'!$D272,INDIRECT(Q$5)))</f>
        <v>0</v>
      </c>
      <c r="R272" s="593">
        <f ca="1">$E272*(-SUMIF(INDIRECT(R$3),'Struktur Aktuell'!$D272,INDIRECT(R$4))+SUMIF(INDIRECT(R$3),'Struktur Aktuell'!$D272,INDIRECT(R$5)))</f>
        <v>0</v>
      </c>
      <c r="S272" s="593">
        <f ca="1">$E272*(-SUMIF(INDIRECT(S$3),'Struktur Aktuell'!$D272,INDIRECT(S$4))+SUMIF(INDIRECT(S$3),'Struktur Aktuell'!$D272,INDIRECT(S$5)))</f>
        <v>0</v>
      </c>
      <c r="T272" s="593">
        <f ca="1">$E272*(-SUMIF(INDIRECT(T$3),'Struktur Aktuell'!$D272,INDIRECT(T$4))+SUMIF(INDIRECT(T$3),'Struktur Aktuell'!$D272,INDIRECT(T$5)))</f>
        <v>0</v>
      </c>
      <c r="U272" s="593">
        <f ca="1">$E272*(-SUMIF(INDIRECT(U$3),'Struktur Aktuell'!$D272,INDIRECT(U$4))+SUMIF(INDIRECT(U$3),'Struktur Aktuell'!$D272,INDIRECT(U$5)))</f>
        <v>0</v>
      </c>
      <c r="V272" s="593">
        <f ca="1">$E272*(-SUMIF(INDIRECT(V$3),'Struktur Aktuell'!$D272,INDIRECT(V$4))+SUMIF(INDIRECT(V$3),'Struktur Aktuell'!$D272,INDIRECT(V$5)))</f>
        <v>130.1</v>
      </c>
      <c r="W272" s="593">
        <f ca="1">$E272*(-SUMIF(INDIRECT(W$3),'Struktur Aktuell'!$D272,INDIRECT(W$4))+SUMIF(INDIRECT(W$3),'Struktur Aktuell'!$D272,INDIRECT(W$5)))</f>
        <v>130.1</v>
      </c>
      <c r="X272" s="593">
        <f ca="1">$E272*(-SUMIF(INDIRECT(X$3),'Struktur Aktuell'!$D272,INDIRECT(X$4))+SUMIF(INDIRECT(X$3),'Struktur Aktuell'!$D272,INDIRECT(X$5)))</f>
        <v>130.1</v>
      </c>
      <c r="Y272" s="593">
        <f ca="1">$E272*(-SUMIF(INDIRECT(Y$3),'Struktur Aktuell'!$D272,INDIRECT(Y$4))+SUMIF(INDIRECT(Y$3),'Struktur Aktuell'!$D272,INDIRECT(Y$5)))</f>
        <v>158.04</v>
      </c>
      <c r="Z272" s="593">
        <f ca="1">$E272*(-SUMIF(INDIRECT(Z$3),'Struktur Aktuell'!$D272,INDIRECT(Z$4))+SUMIF(INDIRECT(Z$3),'Struktur Aktuell'!$D272,INDIRECT(Z$5)))</f>
        <v>158.04</v>
      </c>
      <c r="AA272" s="593">
        <f ca="1">$E272*(-SUMIF(INDIRECT(AA$3),'Struktur Aktuell'!$D272,INDIRECT(AA$4))+SUMIF(INDIRECT(AA$3),'Struktur Aktuell'!$D272,INDIRECT(AA$5)))</f>
        <v>158.04</v>
      </c>
      <c r="AB272" s="593">
        <f ca="1">$E272*(-SUMIF(INDIRECT(AB$3),'Struktur Aktuell'!$D272,INDIRECT(AB$4))+SUMIF(INDIRECT(AB$3),'Struktur Aktuell'!$D272,INDIRECT(AB$5)))</f>
        <v>229.25</v>
      </c>
      <c r="AC272" s="593">
        <f ca="1">$E272*(-SUMIF(INDIRECT(AC$3),'Struktur Aktuell'!$D272,INDIRECT(AC$4))+SUMIF(INDIRECT(AC$3),'Struktur Aktuell'!$D272,INDIRECT(AC$5)))</f>
        <v>0</v>
      </c>
      <c r="AD272" s="593">
        <f ca="1">$E272*(-SUMIF(INDIRECT(AD$3),'Struktur Aktuell'!$D272,INDIRECT(AD$4))+SUMIF(INDIRECT(AD$3),'Struktur Aktuell'!$D272,INDIRECT(AD$5)))</f>
        <v>0</v>
      </c>
      <c r="AE272" s="593">
        <f t="shared" ca="1" si="369"/>
        <v>0</v>
      </c>
      <c r="AF272" s="593">
        <f t="shared" ca="1" si="370"/>
        <v>0</v>
      </c>
      <c r="AG272" s="593">
        <f t="shared" ca="1" si="371"/>
        <v>0</v>
      </c>
      <c r="AH272" s="593">
        <f t="shared" ca="1" si="372"/>
        <v>130.1</v>
      </c>
      <c r="AI272" s="593">
        <f t="shared" ca="1" si="373"/>
        <v>130.1</v>
      </c>
      <c r="AJ272" s="593">
        <f t="shared" ca="1" si="374"/>
        <v>130.1</v>
      </c>
      <c r="AK272" s="593">
        <f t="shared" ca="1" si="375"/>
        <v>158.04</v>
      </c>
      <c r="AL272" s="593">
        <f t="shared" ca="1" si="376"/>
        <v>158.04</v>
      </c>
      <c r="AM272" s="593">
        <f t="shared" ca="1" si="377"/>
        <v>158.04</v>
      </c>
      <c r="AN272" s="593">
        <f t="shared" ca="1" si="378"/>
        <v>229.25</v>
      </c>
      <c r="AO272" s="593">
        <f t="shared" ca="1" si="379"/>
        <v>229.25</v>
      </c>
      <c r="AP272" s="593">
        <f t="shared" ca="1" si="380"/>
        <v>229.25</v>
      </c>
    </row>
    <row r="273" spans="1:42" s="594" customFormat="1" ht="11.25" outlineLevel="1" x14ac:dyDescent="0.2">
      <c r="A273" s="590"/>
      <c r="B273" s="591" t="str">
        <f>IF(D273&lt;&gt;"",
IF(ISERROR(MATCH(D273,'Ist Aktuell Monat 01'!A:A,0))=FALSE,INDEX('Ist Aktuell Monat 01'!B:B,MATCH(D273,'Ist Aktuell Monat 01'!A:A,0)),
IF(ISERROR(MATCH(D273,'Ist Aktuell Monat 02'!A:A,0))=FALSE,INDEX('Ist Aktuell Monat 02'!B:B,MATCH(D273,'Ist Aktuell Monat 02'!A:A,0)),
IF(ISERROR(MATCH(D273,'Ist Aktuell Monat 03'!A:A,0))=FALSE,INDEX('Ist Aktuell Monat 03'!B:B,MATCH(D273,'Ist Aktuell Monat 03'!A:A,0)),
IF(ISERROR(MATCH(D273,'Ist Aktuell Monat 04'!A:A,0))=FALSE,INDEX('Ist Aktuell Monat 04'!B:B,MATCH(D273,'Ist Aktuell Monat 04'!A:A,0)),
IF(ISERROR(MATCH(D273,'Ist Aktuell Monat 05'!A:A,0))=FALSE,INDEX('Ist Aktuell Monat 05'!B:B,MATCH(D273,'Ist Aktuell Monat 05'!A:A,0)),
IF(ISERROR(MATCH(D273,'Ist Aktuell Monat 06'!A:A,0))=FALSE,INDEX('Ist Aktuell Monat 06'!B:B,MATCH(D273,'Ist Aktuell Monat 06'!A:A,0)),
IF(ISERROR(MATCH(D273,'Ist Aktuell Monat 07'!A:A,0))=FALSE,INDEX('Ist Aktuell Monat 07'!B:B,MATCH(D273,'Ist Aktuell Monat 07'!A:A,0)),
IF(ISERROR(MATCH(D273,'Ist Aktuell Monat 08'!A:A,0))=FALSE,INDEX('Ist Aktuell Monat 08'!B:B,MATCH(D273,'Ist Aktuell Monat 08'!A:A,0)),
IF(ISERROR(MATCH(D273,'Ist Aktuell Monat 09'!A:A,0))=FALSE,INDEX('Ist Aktuell Monat 09'!B:B,MATCH(D273,'Ist Aktuell Monat 09'!A:A,0)),
IF(ISERROR(MATCH(D273,'Ist Aktuell Monat 10'!A:A,0))=FALSE,INDEX('Ist Aktuell Monat 10'!B:B,MATCH(D273,'Ist Aktuell Monat 10'!A:A,0)),
IF(ISERROR(MATCH(D273,'Ist Aktuell Monat 11'!A:A,0))=FALSE,INDEX('Ist Aktuell Monat 11'!B:B,MATCH(D273,'Ist Aktuell Monat 11'!A:A,0)),
IF(ISERROR(MATCH(D273,'Ist Aktuell Monat 12'!A:A,0))=FALSE,INDEX('Ist Aktuell Monat 12'!B:B,MATCH(D273,'Ist Aktuell Monat 12'!A:A,0)),
"{Konto unbekannt}"
)))))))))))),"")</f>
        <v>Nebenkosten des Geldverkehrs</v>
      </c>
      <c r="C273" s="591"/>
      <c r="D273" s="590">
        <v>4970</v>
      </c>
      <c r="E273" s="592">
        <f t="shared" si="308"/>
        <v>1</v>
      </c>
      <c r="F273" s="590"/>
      <c r="G273" s="593">
        <f ca="1">$E273*(-SUMIF(INDIRECT(G$3),'Struktur Aktuell'!$D273,INDIRECT(G$4))+SUMIF(INDIRECT(G$3),'Struktur Aktuell'!$D273,INDIRECT(G$5)))</f>
        <v>10</v>
      </c>
      <c r="H273" s="593">
        <f ca="1">$E273*(-SUMIF(INDIRECT(H$3),'Struktur Aktuell'!$D273,INDIRECT(H$4))+SUMIF(INDIRECT(H$3),'Struktur Aktuell'!$D273,INDIRECT(H$5)))</f>
        <v>30.9</v>
      </c>
      <c r="I273" s="593">
        <f ca="1">$E273*(-SUMIF(INDIRECT(I$3),'Struktur Aktuell'!$D273,INDIRECT(I$4))+SUMIF(INDIRECT(I$3),'Struktur Aktuell'!$D273,INDIRECT(I$5)))</f>
        <v>31.95</v>
      </c>
      <c r="J273" s="593">
        <f ca="1">$E273*(-SUMIF(INDIRECT(J$3),'Struktur Aktuell'!$D273,INDIRECT(J$4))+SUMIF(INDIRECT(J$3),'Struktur Aktuell'!$D273,INDIRECT(J$5)))</f>
        <v>39.15</v>
      </c>
      <c r="K273" s="593">
        <f ca="1">$E273*(-SUMIF(INDIRECT(K$3),'Struktur Aktuell'!$D273,INDIRECT(K$4))+SUMIF(INDIRECT(K$3),'Struktur Aktuell'!$D273,INDIRECT(K$5)))</f>
        <v>34.65</v>
      </c>
      <c r="L273" s="593">
        <f ca="1">$E273*(-SUMIF(INDIRECT(L$3),'Struktur Aktuell'!$D273,INDIRECT(L$4))+SUMIF(INDIRECT(L$3),'Struktur Aktuell'!$D273,INDIRECT(L$5)))</f>
        <v>37.049999999999997</v>
      </c>
      <c r="M273" s="593">
        <f ca="1">$E273*(-SUMIF(INDIRECT(M$3),'Struktur Aktuell'!$D273,INDIRECT(M$4))+SUMIF(INDIRECT(M$3),'Struktur Aktuell'!$D273,INDIRECT(M$5)))</f>
        <v>32.1</v>
      </c>
      <c r="N273" s="593">
        <f ca="1">$E273*(-SUMIF(INDIRECT(N$3),'Struktur Aktuell'!$D273,INDIRECT(N$4))+SUMIF(INDIRECT(N$3),'Struktur Aktuell'!$D273,INDIRECT(N$5)))</f>
        <v>44.25</v>
      </c>
      <c r="O273" s="593">
        <f ca="1">$E273*(-SUMIF(INDIRECT(O$3),'Struktur Aktuell'!$D273,INDIRECT(O$4))+SUMIF(INDIRECT(O$3),'Struktur Aktuell'!$D273,INDIRECT(O$5)))</f>
        <v>37.65</v>
      </c>
      <c r="P273" s="593">
        <f ca="1">$E273*(-SUMIF(INDIRECT(P$3),'Struktur Aktuell'!$D273,INDIRECT(P$4))+SUMIF(INDIRECT(P$3),'Struktur Aktuell'!$D273,INDIRECT(P$5)))</f>
        <v>30.15</v>
      </c>
      <c r="Q273" s="593">
        <f ca="1">$E273*(-SUMIF(INDIRECT(Q$3),'Struktur Aktuell'!$D273,INDIRECT(Q$4))+SUMIF(INDIRECT(Q$3),'Struktur Aktuell'!$D273,INDIRECT(Q$5)))</f>
        <v>0</v>
      </c>
      <c r="R273" s="593">
        <f ca="1">$E273*(-SUMIF(INDIRECT(R$3),'Struktur Aktuell'!$D273,INDIRECT(R$4))+SUMIF(INDIRECT(R$3),'Struktur Aktuell'!$D273,INDIRECT(R$5)))</f>
        <v>0</v>
      </c>
      <c r="S273" s="593">
        <f ca="1">$E273*(-SUMIF(INDIRECT(S$3),'Struktur Aktuell'!$D273,INDIRECT(S$4))+SUMIF(INDIRECT(S$3),'Struktur Aktuell'!$D273,INDIRECT(S$5)))</f>
        <v>10</v>
      </c>
      <c r="T273" s="593">
        <f ca="1">$E273*(-SUMIF(INDIRECT(T$3),'Struktur Aktuell'!$D273,INDIRECT(T$4))+SUMIF(INDIRECT(T$3),'Struktur Aktuell'!$D273,INDIRECT(T$5)))</f>
        <v>40.9</v>
      </c>
      <c r="U273" s="593">
        <f ca="1">$E273*(-SUMIF(INDIRECT(U$3),'Struktur Aktuell'!$D273,INDIRECT(U$4))+SUMIF(INDIRECT(U$3),'Struktur Aktuell'!$D273,INDIRECT(U$5)))</f>
        <v>72.849999999999994</v>
      </c>
      <c r="V273" s="593">
        <f ca="1">$E273*(-SUMIF(INDIRECT(V$3),'Struktur Aktuell'!$D273,INDIRECT(V$4))+SUMIF(INDIRECT(V$3),'Struktur Aktuell'!$D273,INDIRECT(V$5)))</f>
        <v>112</v>
      </c>
      <c r="W273" s="593">
        <f ca="1">$E273*(-SUMIF(INDIRECT(W$3),'Struktur Aktuell'!$D273,INDIRECT(W$4))+SUMIF(INDIRECT(W$3),'Struktur Aktuell'!$D273,INDIRECT(W$5)))</f>
        <v>146.65</v>
      </c>
      <c r="X273" s="593">
        <f ca="1">$E273*(-SUMIF(INDIRECT(X$3),'Struktur Aktuell'!$D273,INDIRECT(X$4))+SUMIF(INDIRECT(X$3),'Struktur Aktuell'!$D273,INDIRECT(X$5)))</f>
        <v>183.7</v>
      </c>
      <c r="Y273" s="593">
        <f ca="1">$E273*(-SUMIF(INDIRECT(Y$3),'Struktur Aktuell'!$D273,INDIRECT(Y$4))+SUMIF(INDIRECT(Y$3),'Struktur Aktuell'!$D273,INDIRECT(Y$5)))</f>
        <v>215.8</v>
      </c>
      <c r="Z273" s="593">
        <f ca="1">$E273*(-SUMIF(INDIRECT(Z$3),'Struktur Aktuell'!$D273,INDIRECT(Z$4))+SUMIF(INDIRECT(Z$3),'Struktur Aktuell'!$D273,INDIRECT(Z$5)))</f>
        <v>260.05</v>
      </c>
      <c r="AA273" s="593">
        <f ca="1">$E273*(-SUMIF(INDIRECT(AA$3),'Struktur Aktuell'!$D273,INDIRECT(AA$4))+SUMIF(INDIRECT(AA$3),'Struktur Aktuell'!$D273,INDIRECT(AA$5)))</f>
        <v>297.7</v>
      </c>
      <c r="AB273" s="593">
        <f ca="1">$E273*(-SUMIF(INDIRECT(AB$3),'Struktur Aktuell'!$D273,INDIRECT(AB$4))+SUMIF(INDIRECT(AB$3),'Struktur Aktuell'!$D273,INDIRECT(AB$5)))</f>
        <v>327.85</v>
      </c>
      <c r="AC273" s="593">
        <f ca="1">$E273*(-SUMIF(INDIRECT(AC$3),'Struktur Aktuell'!$D273,INDIRECT(AC$4))+SUMIF(INDIRECT(AC$3),'Struktur Aktuell'!$D273,INDIRECT(AC$5)))</f>
        <v>0</v>
      </c>
      <c r="AD273" s="593">
        <f ca="1">$E273*(-SUMIF(INDIRECT(AD$3),'Struktur Aktuell'!$D273,INDIRECT(AD$4))+SUMIF(INDIRECT(AD$3),'Struktur Aktuell'!$D273,INDIRECT(AD$5)))</f>
        <v>0</v>
      </c>
      <c r="AE273" s="593">
        <f t="shared" ca="1" si="369"/>
        <v>10</v>
      </c>
      <c r="AF273" s="593">
        <f t="shared" ca="1" si="370"/>
        <v>40.9</v>
      </c>
      <c r="AG273" s="593">
        <f t="shared" ca="1" si="371"/>
        <v>72.849999999999994</v>
      </c>
      <c r="AH273" s="593">
        <f t="shared" ca="1" si="372"/>
        <v>112</v>
      </c>
      <c r="AI273" s="593">
        <f t="shared" ca="1" si="373"/>
        <v>146.65</v>
      </c>
      <c r="AJ273" s="593">
        <f t="shared" ca="1" si="374"/>
        <v>183.7</v>
      </c>
      <c r="AK273" s="593">
        <f t="shared" ca="1" si="375"/>
        <v>215.79999999999998</v>
      </c>
      <c r="AL273" s="593">
        <f t="shared" ca="1" si="376"/>
        <v>260.04999999999995</v>
      </c>
      <c r="AM273" s="593">
        <f t="shared" ca="1" si="377"/>
        <v>297.69999999999993</v>
      </c>
      <c r="AN273" s="593">
        <f t="shared" ca="1" si="378"/>
        <v>327.84999999999991</v>
      </c>
      <c r="AO273" s="593">
        <f t="shared" ca="1" si="379"/>
        <v>327.84999999999991</v>
      </c>
      <c r="AP273" s="593">
        <f t="shared" ca="1" si="380"/>
        <v>327.84999999999991</v>
      </c>
    </row>
    <row r="274" spans="1:42" s="594" customFormat="1" ht="11.25" outlineLevel="1" x14ac:dyDescent="0.2">
      <c r="A274" s="590"/>
      <c r="B274" s="591" t="str">
        <f>IF(D274&lt;&gt;"",
IF(ISERROR(MATCH(D274,'Ist Aktuell Monat 01'!A:A,0))=FALSE,INDEX('Ist Aktuell Monat 01'!B:B,MATCH(D274,'Ist Aktuell Monat 01'!A:A,0)),
IF(ISERROR(MATCH(D274,'Ist Aktuell Monat 02'!A:A,0))=FALSE,INDEX('Ist Aktuell Monat 02'!B:B,MATCH(D274,'Ist Aktuell Monat 02'!A:A,0)),
IF(ISERROR(MATCH(D274,'Ist Aktuell Monat 03'!A:A,0))=FALSE,INDEX('Ist Aktuell Monat 03'!B:B,MATCH(D274,'Ist Aktuell Monat 03'!A:A,0)),
IF(ISERROR(MATCH(D274,'Ist Aktuell Monat 04'!A:A,0))=FALSE,INDEX('Ist Aktuell Monat 04'!B:B,MATCH(D274,'Ist Aktuell Monat 04'!A:A,0)),
IF(ISERROR(MATCH(D274,'Ist Aktuell Monat 05'!A:A,0))=FALSE,INDEX('Ist Aktuell Monat 05'!B:B,MATCH(D274,'Ist Aktuell Monat 05'!A:A,0)),
IF(ISERROR(MATCH(D274,'Ist Aktuell Monat 06'!A:A,0))=FALSE,INDEX('Ist Aktuell Monat 06'!B:B,MATCH(D274,'Ist Aktuell Monat 06'!A:A,0)),
IF(ISERROR(MATCH(D274,'Ist Aktuell Monat 07'!A:A,0))=FALSE,INDEX('Ist Aktuell Monat 07'!B:B,MATCH(D274,'Ist Aktuell Monat 07'!A:A,0)),
IF(ISERROR(MATCH(D274,'Ist Aktuell Monat 08'!A:A,0))=FALSE,INDEX('Ist Aktuell Monat 08'!B:B,MATCH(D274,'Ist Aktuell Monat 08'!A:A,0)),
IF(ISERROR(MATCH(D274,'Ist Aktuell Monat 09'!A:A,0))=FALSE,INDEX('Ist Aktuell Monat 09'!B:B,MATCH(D274,'Ist Aktuell Monat 09'!A:A,0)),
IF(ISERROR(MATCH(D274,'Ist Aktuell Monat 10'!A:A,0))=FALSE,INDEX('Ist Aktuell Monat 10'!B:B,MATCH(D274,'Ist Aktuell Monat 10'!A:A,0)),
IF(ISERROR(MATCH(D274,'Ist Aktuell Monat 11'!A:A,0))=FALSE,INDEX('Ist Aktuell Monat 11'!B:B,MATCH(D274,'Ist Aktuell Monat 11'!A:A,0)),
IF(ISERROR(MATCH(D274,'Ist Aktuell Monat 12'!A:A,0))=FALSE,INDEX('Ist Aktuell Monat 12'!B:B,MATCH(D274,'Ist Aktuell Monat 12'!A:A,0)),
"{Konto unbekannt}"
)))))))))))),"")</f>
        <v>Werkzeuge und Kleingeräte</v>
      </c>
      <c r="C274" s="591"/>
      <c r="D274" s="590">
        <v>4985</v>
      </c>
      <c r="E274" s="592">
        <f>IF(F274="-",-1,1)</f>
        <v>1</v>
      </c>
      <c r="F274" s="590"/>
      <c r="G274" s="593">
        <f ca="1">$E274*(-SUMIF(INDIRECT(G$3),'Struktur Aktuell'!$D274,INDIRECT(G$4))+SUMIF(INDIRECT(G$3),'Struktur Aktuell'!$D274,INDIRECT(G$5)))</f>
        <v>0</v>
      </c>
      <c r="H274" s="593">
        <f ca="1">$E274*(-SUMIF(INDIRECT(H$3),'Struktur Aktuell'!$D274,INDIRECT(H$4))+SUMIF(INDIRECT(H$3),'Struktur Aktuell'!$D274,INDIRECT(H$5)))</f>
        <v>0</v>
      </c>
      <c r="I274" s="593">
        <f ca="1">$E274*(-SUMIF(INDIRECT(I$3),'Struktur Aktuell'!$D274,INDIRECT(I$4))+SUMIF(INDIRECT(I$3),'Struktur Aktuell'!$D274,INDIRECT(I$5)))</f>
        <v>119.21</v>
      </c>
      <c r="J274" s="593">
        <f ca="1">$E274*(-SUMIF(INDIRECT(J$3),'Struktur Aktuell'!$D274,INDIRECT(J$4))+SUMIF(INDIRECT(J$3),'Struktur Aktuell'!$D274,INDIRECT(J$5)))</f>
        <v>0</v>
      </c>
      <c r="K274" s="593">
        <f ca="1">$E274*(-SUMIF(INDIRECT(K$3),'Struktur Aktuell'!$D274,INDIRECT(K$4))+SUMIF(INDIRECT(K$3),'Struktur Aktuell'!$D274,INDIRECT(K$5)))</f>
        <v>33.61</v>
      </c>
      <c r="L274" s="593">
        <f ca="1">$E274*(-SUMIF(INDIRECT(L$3),'Struktur Aktuell'!$D274,INDIRECT(L$4))+SUMIF(INDIRECT(L$3),'Struktur Aktuell'!$D274,INDIRECT(L$5)))</f>
        <v>25.81</v>
      </c>
      <c r="M274" s="593">
        <f ca="1">$E274*(-SUMIF(INDIRECT(M$3),'Struktur Aktuell'!$D274,INDIRECT(M$4))+SUMIF(INDIRECT(M$3),'Struktur Aktuell'!$D274,INDIRECT(M$5)))</f>
        <v>7.22</v>
      </c>
      <c r="N274" s="593">
        <f ca="1">$E274*(-SUMIF(INDIRECT(N$3),'Struktur Aktuell'!$D274,INDIRECT(N$4))+SUMIF(INDIRECT(N$3),'Struktur Aktuell'!$D274,INDIRECT(N$5)))</f>
        <v>0</v>
      </c>
      <c r="O274" s="593">
        <f ca="1">$E274*(-SUMIF(INDIRECT(O$3),'Struktur Aktuell'!$D274,INDIRECT(O$4))+SUMIF(INDIRECT(O$3),'Struktur Aktuell'!$D274,INDIRECT(O$5)))</f>
        <v>0</v>
      </c>
      <c r="P274" s="593">
        <f ca="1">$E274*(-SUMIF(INDIRECT(P$3),'Struktur Aktuell'!$D274,INDIRECT(P$4))+SUMIF(INDIRECT(P$3),'Struktur Aktuell'!$D274,INDIRECT(P$5)))</f>
        <v>0</v>
      </c>
      <c r="Q274" s="593">
        <f ca="1">$E274*(-SUMIF(INDIRECT(Q$3),'Struktur Aktuell'!$D274,INDIRECT(Q$4))+SUMIF(INDIRECT(Q$3),'Struktur Aktuell'!$D274,INDIRECT(Q$5)))</f>
        <v>0</v>
      </c>
      <c r="R274" s="593">
        <f ca="1">$E274*(-SUMIF(INDIRECT(R$3),'Struktur Aktuell'!$D274,INDIRECT(R$4))+SUMIF(INDIRECT(R$3),'Struktur Aktuell'!$D274,INDIRECT(R$5)))</f>
        <v>0</v>
      </c>
      <c r="S274" s="593">
        <f ca="1">$E274*(-SUMIF(INDIRECT(S$3),'Struktur Aktuell'!$D274,INDIRECT(S$4))+SUMIF(INDIRECT(S$3),'Struktur Aktuell'!$D274,INDIRECT(S$5)))</f>
        <v>0</v>
      </c>
      <c r="T274" s="593">
        <f ca="1">$E274*(-SUMIF(INDIRECT(T$3),'Struktur Aktuell'!$D274,INDIRECT(T$4))+SUMIF(INDIRECT(T$3),'Struktur Aktuell'!$D274,INDIRECT(T$5)))</f>
        <v>0</v>
      </c>
      <c r="U274" s="593">
        <f ca="1">$E274*(-SUMIF(INDIRECT(U$3),'Struktur Aktuell'!$D274,INDIRECT(U$4))+SUMIF(INDIRECT(U$3),'Struktur Aktuell'!$D274,INDIRECT(U$5)))</f>
        <v>119.21</v>
      </c>
      <c r="V274" s="593">
        <f ca="1">$E274*(-SUMIF(INDIRECT(V$3),'Struktur Aktuell'!$D274,INDIRECT(V$4))+SUMIF(INDIRECT(V$3),'Struktur Aktuell'!$D274,INDIRECT(V$5)))</f>
        <v>119.21</v>
      </c>
      <c r="W274" s="593">
        <f ca="1">$E274*(-SUMIF(INDIRECT(W$3),'Struktur Aktuell'!$D274,INDIRECT(W$4))+SUMIF(INDIRECT(W$3),'Struktur Aktuell'!$D274,INDIRECT(W$5)))</f>
        <v>152.82</v>
      </c>
      <c r="X274" s="593">
        <f ca="1">$E274*(-SUMIF(INDIRECT(X$3),'Struktur Aktuell'!$D274,INDIRECT(X$4))+SUMIF(INDIRECT(X$3),'Struktur Aktuell'!$D274,INDIRECT(X$5)))</f>
        <v>178.63</v>
      </c>
      <c r="Y274" s="593">
        <f ca="1">$E274*(-SUMIF(INDIRECT(Y$3),'Struktur Aktuell'!$D274,INDIRECT(Y$4))+SUMIF(INDIRECT(Y$3),'Struktur Aktuell'!$D274,INDIRECT(Y$5)))</f>
        <v>185.85</v>
      </c>
      <c r="Z274" s="593">
        <f ca="1">$E274*(-SUMIF(INDIRECT(Z$3),'Struktur Aktuell'!$D274,INDIRECT(Z$4))+SUMIF(INDIRECT(Z$3),'Struktur Aktuell'!$D274,INDIRECT(Z$5)))</f>
        <v>185.85</v>
      </c>
      <c r="AA274" s="593">
        <f ca="1">$E274*(-SUMIF(INDIRECT(AA$3),'Struktur Aktuell'!$D274,INDIRECT(AA$4))+SUMIF(INDIRECT(AA$3),'Struktur Aktuell'!$D274,INDIRECT(AA$5)))</f>
        <v>185.85</v>
      </c>
      <c r="AB274" s="593">
        <f ca="1">$E274*(-SUMIF(INDIRECT(AB$3),'Struktur Aktuell'!$D274,INDIRECT(AB$4))+SUMIF(INDIRECT(AB$3),'Struktur Aktuell'!$D274,INDIRECT(AB$5)))</f>
        <v>185.85</v>
      </c>
      <c r="AC274" s="593">
        <f ca="1">$E274*(-SUMIF(INDIRECT(AC$3),'Struktur Aktuell'!$D274,INDIRECT(AC$4))+SUMIF(INDIRECT(AC$3),'Struktur Aktuell'!$D274,INDIRECT(AC$5)))</f>
        <v>0</v>
      </c>
      <c r="AD274" s="593">
        <f ca="1">$E274*(-SUMIF(INDIRECT(AD$3),'Struktur Aktuell'!$D274,INDIRECT(AD$4))+SUMIF(INDIRECT(AD$3),'Struktur Aktuell'!$D274,INDIRECT(AD$5)))</f>
        <v>0</v>
      </c>
      <c r="AE274" s="593">
        <f t="shared" ca="1" si="369"/>
        <v>0</v>
      </c>
      <c r="AF274" s="593">
        <f t="shared" ca="1" si="370"/>
        <v>0</v>
      </c>
      <c r="AG274" s="593">
        <f t="shared" ca="1" si="371"/>
        <v>119.21</v>
      </c>
      <c r="AH274" s="593">
        <f t="shared" ca="1" si="372"/>
        <v>119.21</v>
      </c>
      <c r="AI274" s="593">
        <f t="shared" ca="1" si="373"/>
        <v>152.82</v>
      </c>
      <c r="AJ274" s="593">
        <f t="shared" ca="1" si="374"/>
        <v>178.63</v>
      </c>
      <c r="AK274" s="593">
        <f t="shared" ca="1" si="375"/>
        <v>185.85</v>
      </c>
      <c r="AL274" s="593">
        <f t="shared" ca="1" si="376"/>
        <v>185.85</v>
      </c>
      <c r="AM274" s="593">
        <f t="shared" ca="1" si="377"/>
        <v>185.85</v>
      </c>
      <c r="AN274" s="593">
        <f t="shared" ca="1" si="378"/>
        <v>185.85</v>
      </c>
      <c r="AO274" s="593">
        <f t="shared" ca="1" si="379"/>
        <v>185.85</v>
      </c>
      <c r="AP274" s="593">
        <f t="shared" ca="1" si="380"/>
        <v>185.85</v>
      </c>
    </row>
    <row r="275" spans="1:42" s="594" customFormat="1" ht="11.25" outlineLevel="1" x14ac:dyDescent="0.2">
      <c r="A275" s="590"/>
      <c r="B275" s="591" t="str">
        <f>IF(D275&lt;&gt;"",
IF(ISERROR(MATCH(D275,'Ist Aktuell Monat 01'!A:A,0))=FALSE,INDEX('Ist Aktuell Monat 01'!B:B,MATCH(D275,'Ist Aktuell Monat 01'!A:A,0)),
IF(ISERROR(MATCH(D275,'Ist Aktuell Monat 02'!A:A,0))=FALSE,INDEX('Ist Aktuell Monat 02'!B:B,MATCH(D275,'Ist Aktuell Monat 02'!A:A,0)),
IF(ISERROR(MATCH(D275,'Ist Aktuell Monat 03'!A:A,0))=FALSE,INDEX('Ist Aktuell Monat 03'!B:B,MATCH(D275,'Ist Aktuell Monat 03'!A:A,0)),
IF(ISERROR(MATCH(D275,'Ist Aktuell Monat 04'!A:A,0))=FALSE,INDEX('Ist Aktuell Monat 04'!B:B,MATCH(D275,'Ist Aktuell Monat 04'!A:A,0)),
IF(ISERROR(MATCH(D275,'Ist Aktuell Monat 05'!A:A,0))=FALSE,INDEX('Ist Aktuell Monat 05'!B:B,MATCH(D275,'Ist Aktuell Monat 05'!A:A,0)),
IF(ISERROR(MATCH(D275,'Ist Aktuell Monat 06'!A:A,0))=FALSE,INDEX('Ist Aktuell Monat 06'!B:B,MATCH(D275,'Ist Aktuell Monat 06'!A:A,0)),
IF(ISERROR(MATCH(D275,'Ist Aktuell Monat 07'!A:A,0))=FALSE,INDEX('Ist Aktuell Monat 07'!B:B,MATCH(D275,'Ist Aktuell Monat 07'!A:A,0)),
IF(ISERROR(MATCH(D275,'Ist Aktuell Monat 08'!A:A,0))=FALSE,INDEX('Ist Aktuell Monat 08'!B:B,MATCH(D275,'Ist Aktuell Monat 08'!A:A,0)),
IF(ISERROR(MATCH(D275,'Ist Aktuell Monat 09'!A:A,0))=FALSE,INDEX('Ist Aktuell Monat 09'!B:B,MATCH(D275,'Ist Aktuell Monat 09'!A:A,0)),
IF(ISERROR(MATCH(D275,'Ist Aktuell Monat 10'!A:A,0))=FALSE,INDEX('Ist Aktuell Monat 10'!B:B,MATCH(D275,'Ist Aktuell Monat 10'!A:A,0)),
IF(ISERROR(MATCH(D275,'Ist Aktuell Monat 11'!A:A,0))=FALSE,INDEX('Ist Aktuell Monat 11'!B:B,MATCH(D275,'Ist Aktuell Monat 11'!A:A,0)),
IF(ISERROR(MATCH(D275,'Ist Aktuell Monat 12'!A:A,0))=FALSE,INDEX('Ist Aktuell Monat 12'!B:B,MATCH(D275,'Ist Aktuell Monat 12'!A:A,0)),
"{Konto unbekannt}"
)))))))))))),"")</f>
        <v/>
      </c>
      <c r="C275" s="591"/>
      <c r="D275" s="590"/>
      <c r="E275" s="592">
        <f t="shared" si="308"/>
        <v>1</v>
      </c>
      <c r="F275" s="590"/>
      <c r="G275" s="593">
        <f ca="1">$E275*(-SUMIF(INDIRECT(G$3),'Struktur Aktuell'!$D275,INDIRECT(G$4))+SUMIF(INDIRECT(G$3),'Struktur Aktuell'!$D275,INDIRECT(G$5)))</f>
        <v>0</v>
      </c>
      <c r="H275" s="593">
        <f ca="1">$E275*(-SUMIF(INDIRECT(H$3),'Struktur Aktuell'!$D275,INDIRECT(H$4))+SUMIF(INDIRECT(H$3),'Struktur Aktuell'!$D275,INDIRECT(H$5)))</f>
        <v>0</v>
      </c>
      <c r="I275" s="593">
        <f ca="1">$E275*(-SUMIF(INDIRECT(I$3),'Struktur Aktuell'!$D275,INDIRECT(I$4))+SUMIF(INDIRECT(I$3),'Struktur Aktuell'!$D275,INDIRECT(I$5)))</f>
        <v>0</v>
      </c>
      <c r="J275" s="593">
        <f ca="1">$E275*(-SUMIF(INDIRECT(J$3),'Struktur Aktuell'!$D275,INDIRECT(J$4))+SUMIF(INDIRECT(J$3),'Struktur Aktuell'!$D275,INDIRECT(J$5)))</f>
        <v>0</v>
      </c>
      <c r="K275" s="593">
        <f ca="1">$E275*(-SUMIF(INDIRECT(K$3),'Struktur Aktuell'!$D275,INDIRECT(K$4))+SUMIF(INDIRECT(K$3),'Struktur Aktuell'!$D275,INDIRECT(K$5)))</f>
        <v>0</v>
      </c>
      <c r="L275" s="593">
        <f ca="1">$E275*(-SUMIF(INDIRECT(L$3),'Struktur Aktuell'!$D275,INDIRECT(L$4))+SUMIF(INDIRECT(L$3),'Struktur Aktuell'!$D275,INDIRECT(L$5)))</f>
        <v>0</v>
      </c>
      <c r="M275" s="593">
        <f ca="1">$E275*(-SUMIF(INDIRECT(M$3),'Struktur Aktuell'!$D275,INDIRECT(M$4))+SUMIF(INDIRECT(M$3),'Struktur Aktuell'!$D275,INDIRECT(M$5)))</f>
        <v>0</v>
      </c>
      <c r="N275" s="593">
        <f ca="1">$E275*(-SUMIF(INDIRECT(N$3),'Struktur Aktuell'!$D275,INDIRECT(N$4))+SUMIF(INDIRECT(N$3),'Struktur Aktuell'!$D275,INDIRECT(N$5)))</f>
        <v>0</v>
      </c>
      <c r="O275" s="593">
        <f ca="1">$E275*(-SUMIF(INDIRECT(O$3),'Struktur Aktuell'!$D275,INDIRECT(O$4))+SUMIF(INDIRECT(O$3),'Struktur Aktuell'!$D275,INDIRECT(O$5)))</f>
        <v>0</v>
      </c>
      <c r="P275" s="593">
        <f ca="1">$E275*(-SUMIF(INDIRECT(P$3),'Struktur Aktuell'!$D275,INDIRECT(P$4))+SUMIF(INDIRECT(P$3),'Struktur Aktuell'!$D275,INDIRECT(P$5)))</f>
        <v>0</v>
      </c>
      <c r="Q275" s="593">
        <f ca="1">$E275*(-SUMIF(INDIRECT(Q$3),'Struktur Aktuell'!$D275,INDIRECT(Q$4))+SUMIF(INDIRECT(Q$3),'Struktur Aktuell'!$D275,INDIRECT(Q$5)))</f>
        <v>0</v>
      </c>
      <c r="R275" s="593">
        <f ca="1">$E275*(-SUMIF(INDIRECT(R$3),'Struktur Aktuell'!$D275,INDIRECT(R$4))+SUMIF(INDIRECT(R$3),'Struktur Aktuell'!$D275,INDIRECT(R$5)))</f>
        <v>0</v>
      </c>
      <c r="S275" s="593">
        <f ca="1">$E275*(-SUMIF(INDIRECT(S$3),'Struktur Aktuell'!$D275,INDIRECT(S$4))+SUMIF(INDIRECT(S$3),'Struktur Aktuell'!$D275,INDIRECT(S$5)))</f>
        <v>0</v>
      </c>
      <c r="T275" s="593">
        <f ca="1">$E275*(-SUMIF(INDIRECT(T$3),'Struktur Aktuell'!$D275,INDIRECT(T$4))+SUMIF(INDIRECT(T$3),'Struktur Aktuell'!$D275,INDIRECT(T$5)))</f>
        <v>0</v>
      </c>
      <c r="U275" s="593">
        <f ca="1">$E275*(-SUMIF(INDIRECT(U$3),'Struktur Aktuell'!$D275,INDIRECT(U$4))+SUMIF(INDIRECT(U$3),'Struktur Aktuell'!$D275,INDIRECT(U$5)))</f>
        <v>0</v>
      </c>
      <c r="V275" s="593">
        <f ca="1">$E275*(-SUMIF(INDIRECT(V$3),'Struktur Aktuell'!$D275,INDIRECT(V$4))+SUMIF(INDIRECT(V$3),'Struktur Aktuell'!$D275,INDIRECT(V$5)))</f>
        <v>0</v>
      </c>
      <c r="W275" s="593">
        <f ca="1">$E275*(-SUMIF(INDIRECT(W$3),'Struktur Aktuell'!$D275,INDIRECT(W$4))+SUMIF(INDIRECT(W$3),'Struktur Aktuell'!$D275,INDIRECT(W$5)))</f>
        <v>0</v>
      </c>
      <c r="X275" s="593">
        <f ca="1">$E275*(-SUMIF(INDIRECT(X$3),'Struktur Aktuell'!$D275,INDIRECT(X$4))+SUMIF(INDIRECT(X$3),'Struktur Aktuell'!$D275,INDIRECT(X$5)))</f>
        <v>0</v>
      </c>
      <c r="Y275" s="593">
        <f ca="1">$E275*(-SUMIF(INDIRECT(Y$3),'Struktur Aktuell'!$D275,INDIRECT(Y$4))+SUMIF(INDIRECT(Y$3),'Struktur Aktuell'!$D275,INDIRECT(Y$5)))</f>
        <v>0</v>
      </c>
      <c r="Z275" s="593">
        <f ca="1">$E275*(-SUMIF(INDIRECT(Z$3),'Struktur Aktuell'!$D275,INDIRECT(Z$4))+SUMIF(INDIRECT(Z$3),'Struktur Aktuell'!$D275,INDIRECT(Z$5)))</f>
        <v>0</v>
      </c>
      <c r="AA275" s="593">
        <f ca="1">$E275*(-SUMIF(INDIRECT(AA$3),'Struktur Aktuell'!$D275,INDIRECT(AA$4))+SUMIF(INDIRECT(AA$3),'Struktur Aktuell'!$D275,INDIRECT(AA$5)))</f>
        <v>0</v>
      </c>
      <c r="AB275" s="593">
        <f ca="1">$E275*(-SUMIF(INDIRECT(AB$3),'Struktur Aktuell'!$D275,INDIRECT(AB$4))+SUMIF(INDIRECT(AB$3),'Struktur Aktuell'!$D275,INDIRECT(AB$5)))</f>
        <v>0</v>
      </c>
      <c r="AC275" s="593">
        <f ca="1">$E275*(-SUMIF(INDIRECT(AC$3),'Struktur Aktuell'!$D275,INDIRECT(AC$4))+SUMIF(INDIRECT(AC$3),'Struktur Aktuell'!$D275,INDIRECT(AC$5)))</f>
        <v>0</v>
      </c>
      <c r="AD275" s="593">
        <f ca="1">$E275*(-SUMIF(INDIRECT(AD$3),'Struktur Aktuell'!$D275,INDIRECT(AD$4))+SUMIF(INDIRECT(AD$3),'Struktur Aktuell'!$D275,INDIRECT(AD$5)))</f>
        <v>0</v>
      </c>
      <c r="AE275" s="593">
        <f t="shared" ca="1" si="369"/>
        <v>0</v>
      </c>
      <c r="AF275" s="593">
        <f t="shared" ca="1" si="370"/>
        <v>0</v>
      </c>
      <c r="AG275" s="593">
        <f t="shared" ca="1" si="371"/>
        <v>0</v>
      </c>
      <c r="AH275" s="593">
        <f t="shared" ca="1" si="372"/>
        <v>0</v>
      </c>
      <c r="AI275" s="593">
        <f t="shared" ca="1" si="373"/>
        <v>0</v>
      </c>
      <c r="AJ275" s="593">
        <f t="shared" ca="1" si="374"/>
        <v>0</v>
      </c>
      <c r="AK275" s="593">
        <f t="shared" ca="1" si="375"/>
        <v>0</v>
      </c>
      <c r="AL275" s="593">
        <f t="shared" ca="1" si="376"/>
        <v>0</v>
      </c>
      <c r="AM275" s="593">
        <f t="shared" ca="1" si="377"/>
        <v>0</v>
      </c>
      <c r="AN275" s="593">
        <f t="shared" ca="1" si="378"/>
        <v>0</v>
      </c>
      <c r="AO275" s="593">
        <f t="shared" ca="1" si="379"/>
        <v>0</v>
      </c>
      <c r="AP275" s="593">
        <f t="shared" ca="1" si="380"/>
        <v>0</v>
      </c>
    </row>
    <row r="276" spans="1:42" s="594" customFormat="1" ht="11.25" outlineLevel="1" x14ac:dyDescent="0.2">
      <c r="A276" s="590"/>
      <c r="B276" s="591" t="str">
        <f>IF(D276&lt;&gt;"",
IF(ISERROR(MATCH(D276,'Ist Aktuell Monat 01'!A:A,0))=FALSE,INDEX('Ist Aktuell Monat 01'!B:B,MATCH(D276,'Ist Aktuell Monat 01'!A:A,0)),
IF(ISERROR(MATCH(D276,'Ist Aktuell Monat 02'!A:A,0))=FALSE,INDEX('Ist Aktuell Monat 02'!B:B,MATCH(D276,'Ist Aktuell Monat 02'!A:A,0)),
IF(ISERROR(MATCH(D276,'Ist Aktuell Monat 03'!A:A,0))=FALSE,INDEX('Ist Aktuell Monat 03'!B:B,MATCH(D276,'Ist Aktuell Monat 03'!A:A,0)),
IF(ISERROR(MATCH(D276,'Ist Aktuell Monat 04'!A:A,0))=FALSE,INDEX('Ist Aktuell Monat 04'!B:B,MATCH(D276,'Ist Aktuell Monat 04'!A:A,0)),
IF(ISERROR(MATCH(D276,'Ist Aktuell Monat 05'!A:A,0))=FALSE,INDEX('Ist Aktuell Monat 05'!B:B,MATCH(D276,'Ist Aktuell Monat 05'!A:A,0)),
IF(ISERROR(MATCH(D276,'Ist Aktuell Monat 06'!A:A,0))=FALSE,INDEX('Ist Aktuell Monat 06'!B:B,MATCH(D276,'Ist Aktuell Monat 06'!A:A,0)),
IF(ISERROR(MATCH(D276,'Ist Aktuell Monat 07'!A:A,0))=FALSE,INDEX('Ist Aktuell Monat 07'!B:B,MATCH(D276,'Ist Aktuell Monat 07'!A:A,0)),
IF(ISERROR(MATCH(D276,'Ist Aktuell Monat 08'!A:A,0))=FALSE,INDEX('Ist Aktuell Monat 08'!B:B,MATCH(D276,'Ist Aktuell Monat 08'!A:A,0)),
IF(ISERROR(MATCH(D276,'Ist Aktuell Monat 09'!A:A,0))=FALSE,INDEX('Ist Aktuell Monat 09'!B:B,MATCH(D276,'Ist Aktuell Monat 09'!A:A,0)),
IF(ISERROR(MATCH(D276,'Ist Aktuell Monat 10'!A:A,0))=FALSE,INDEX('Ist Aktuell Monat 10'!B:B,MATCH(D276,'Ist Aktuell Monat 10'!A:A,0)),
IF(ISERROR(MATCH(D276,'Ist Aktuell Monat 11'!A:A,0))=FALSE,INDEX('Ist Aktuell Monat 11'!B:B,MATCH(D276,'Ist Aktuell Monat 11'!A:A,0)),
IF(ISERROR(MATCH(D276,'Ist Aktuell Monat 12'!A:A,0))=FALSE,INDEX('Ist Aktuell Monat 12'!B:B,MATCH(D276,'Ist Aktuell Monat 12'!A:A,0)),
"{Konto unbekannt}"
)))))))))))),"")</f>
        <v/>
      </c>
      <c r="C276" s="591"/>
      <c r="D276" s="590"/>
      <c r="E276" s="592">
        <f>IF(F276="-",-1,1)</f>
        <v>1</v>
      </c>
      <c r="F276" s="590"/>
      <c r="G276" s="593">
        <f ca="1">$E276*(-SUMIF(INDIRECT(G$3),'Struktur Aktuell'!$D276,INDIRECT(G$4))+SUMIF(INDIRECT(G$3),'Struktur Aktuell'!$D276,INDIRECT(G$5)))</f>
        <v>0</v>
      </c>
      <c r="H276" s="593">
        <f ca="1">$E276*(-SUMIF(INDIRECT(H$3),'Struktur Aktuell'!$D276,INDIRECT(H$4))+SUMIF(INDIRECT(H$3),'Struktur Aktuell'!$D276,INDIRECT(H$5)))</f>
        <v>0</v>
      </c>
      <c r="I276" s="593">
        <f ca="1">$E276*(-SUMIF(INDIRECT(I$3),'Struktur Aktuell'!$D276,INDIRECT(I$4))+SUMIF(INDIRECT(I$3),'Struktur Aktuell'!$D276,INDIRECT(I$5)))</f>
        <v>0</v>
      </c>
      <c r="J276" s="593">
        <f ca="1">$E276*(-SUMIF(INDIRECT(J$3),'Struktur Aktuell'!$D276,INDIRECT(J$4))+SUMIF(INDIRECT(J$3),'Struktur Aktuell'!$D276,INDIRECT(J$5)))</f>
        <v>0</v>
      </c>
      <c r="K276" s="593">
        <f ca="1">$E276*(-SUMIF(INDIRECT(K$3),'Struktur Aktuell'!$D276,INDIRECT(K$4))+SUMIF(INDIRECT(K$3),'Struktur Aktuell'!$D276,INDIRECT(K$5)))</f>
        <v>0</v>
      </c>
      <c r="L276" s="593">
        <f ca="1">$E276*(-SUMIF(INDIRECT(L$3),'Struktur Aktuell'!$D276,INDIRECT(L$4))+SUMIF(INDIRECT(L$3),'Struktur Aktuell'!$D276,INDIRECT(L$5)))</f>
        <v>0</v>
      </c>
      <c r="M276" s="593">
        <f ca="1">$E276*(-SUMIF(INDIRECT(M$3),'Struktur Aktuell'!$D276,INDIRECT(M$4))+SUMIF(INDIRECT(M$3),'Struktur Aktuell'!$D276,INDIRECT(M$5)))</f>
        <v>0</v>
      </c>
      <c r="N276" s="593">
        <f ca="1">$E276*(-SUMIF(INDIRECT(N$3),'Struktur Aktuell'!$D276,INDIRECT(N$4))+SUMIF(INDIRECT(N$3),'Struktur Aktuell'!$D276,INDIRECT(N$5)))</f>
        <v>0</v>
      </c>
      <c r="O276" s="593">
        <f ca="1">$E276*(-SUMIF(INDIRECT(O$3),'Struktur Aktuell'!$D276,INDIRECT(O$4))+SUMIF(INDIRECT(O$3),'Struktur Aktuell'!$D276,INDIRECT(O$5)))</f>
        <v>0</v>
      </c>
      <c r="P276" s="593">
        <f ca="1">$E276*(-SUMIF(INDIRECT(P$3),'Struktur Aktuell'!$D276,INDIRECT(P$4))+SUMIF(INDIRECT(P$3),'Struktur Aktuell'!$D276,INDIRECT(P$5)))</f>
        <v>0</v>
      </c>
      <c r="Q276" s="593">
        <f ca="1">$E276*(-SUMIF(INDIRECT(Q$3),'Struktur Aktuell'!$D276,INDIRECT(Q$4))+SUMIF(INDIRECT(Q$3),'Struktur Aktuell'!$D276,INDIRECT(Q$5)))</f>
        <v>0</v>
      </c>
      <c r="R276" s="593">
        <f ca="1">$E276*(-SUMIF(INDIRECT(R$3),'Struktur Aktuell'!$D276,INDIRECT(R$4))+SUMIF(INDIRECT(R$3),'Struktur Aktuell'!$D276,INDIRECT(R$5)))</f>
        <v>0</v>
      </c>
      <c r="S276" s="593">
        <f ca="1">$E276*(-SUMIF(INDIRECT(S$3),'Struktur Aktuell'!$D276,INDIRECT(S$4))+SUMIF(INDIRECT(S$3),'Struktur Aktuell'!$D276,INDIRECT(S$5)))</f>
        <v>0</v>
      </c>
      <c r="T276" s="593">
        <f ca="1">$E276*(-SUMIF(INDIRECT(T$3),'Struktur Aktuell'!$D276,INDIRECT(T$4))+SUMIF(INDIRECT(T$3),'Struktur Aktuell'!$D276,INDIRECT(T$5)))</f>
        <v>0</v>
      </c>
      <c r="U276" s="593">
        <f ca="1">$E276*(-SUMIF(INDIRECT(U$3),'Struktur Aktuell'!$D276,INDIRECT(U$4))+SUMIF(INDIRECT(U$3),'Struktur Aktuell'!$D276,INDIRECT(U$5)))</f>
        <v>0</v>
      </c>
      <c r="V276" s="593">
        <f ca="1">$E276*(-SUMIF(INDIRECT(V$3),'Struktur Aktuell'!$D276,INDIRECT(V$4))+SUMIF(INDIRECT(V$3),'Struktur Aktuell'!$D276,INDIRECT(V$5)))</f>
        <v>0</v>
      </c>
      <c r="W276" s="593">
        <f ca="1">$E276*(-SUMIF(INDIRECT(W$3),'Struktur Aktuell'!$D276,INDIRECT(W$4))+SUMIF(INDIRECT(W$3),'Struktur Aktuell'!$D276,INDIRECT(W$5)))</f>
        <v>0</v>
      </c>
      <c r="X276" s="593">
        <f ca="1">$E276*(-SUMIF(INDIRECT(X$3),'Struktur Aktuell'!$D276,INDIRECT(X$4))+SUMIF(INDIRECT(X$3),'Struktur Aktuell'!$D276,INDIRECT(X$5)))</f>
        <v>0</v>
      </c>
      <c r="Y276" s="593">
        <f ca="1">$E276*(-SUMIF(INDIRECT(Y$3),'Struktur Aktuell'!$D276,INDIRECT(Y$4))+SUMIF(INDIRECT(Y$3),'Struktur Aktuell'!$D276,INDIRECT(Y$5)))</f>
        <v>0</v>
      </c>
      <c r="Z276" s="593">
        <f ca="1">$E276*(-SUMIF(INDIRECT(Z$3),'Struktur Aktuell'!$D276,INDIRECT(Z$4))+SUMIF(INDIRECT(Z$3),'Struktur Aktuell'!$D276,INDIRECT(Z$5)))</f>
        <v>0</v>
      </c>
      <c r="AA276" s="593">
        <f ca="1">$E276*(-SUMIF(INDIRECT(AA$3),'Struktur Aktuell'!$D276,INDIRECT(AA$4))+SUMIF(INDIRECT(AA$3),'Struktur Aktuell'!$D276,INDIRECT(AA$5)))</f>
        <v>0</v>
      </c>
      <c r="AB276" s="593">
        <f ca="1">$E276*(-SUMIF(INDIRECT(AB$3),'Struktur Aktuell'!$D276,INDIRECT(AB$4))+SUMIF(INDIRECT(AB$3),'Struktur Aktuell'!$D276,INDIRECT(AB$5)))</f>
        <v>0</v>
      </c>
      <c r="AC276" s="593">
        <f ca="1">$E276*(-SUMIF(INDIRECT(AC$3),'Struktur Aktuell'!$D276,INDIRECT(AC$4))+SUMIF(INDIRECT(AC$3),'Struktur Aktuell'!$D276,INDIRECT(AC$5)))</f>
        <v>0</v>
      </c>
      <c r="AD276" s="593">
        <f ca="1">$E276*(-SUMIF(INDIRECT(AD$3),'Struktur Aktuell'!$D276,INDIRECT(AD$4))+SUMIF(INDIRECT(AD$3),'Struktur Aktuell'!$D276,INDIRECT(AD$5)))</f>
        <v>0</v>
      </c>
      <c r="AE276" s="593">
        <f t="shared" ca="1" si="369"/>
        <v>0</v>
      </c>
      <c r="AF276" s="593">
        <f t="shared" ca="1" si="370"/>
        <v>0</v>
      </c>
      <c r="AG276" s="593">
        <f t="shared" ca="1" si="371"/>
        <v>0</v>
      </c>
      <c r="AH276" s="593">
        <f t="shared" ca="1" si="372"/>
        <v>0</v>
      </c>
      <c r="AI276" s="593">
        <f t="shared" ca="1" si="373"/>
        <v>0</v>
      </c>
      <c r="AJ276" s="593">
        <f t="shared" ca="1" si="374"/>
        <v>0</v>
      </c>
      <c r="AK276" s="593">
        <f t="shared" ca="1" si="375"/>
        <v>0</v>
      </c>
      <c r="AL276" s="593">
        <f t="shared" ca="1" si="376"/>
        <v>0</v>
      </c>
      <c r="AM276" s="593">
        <f t="shared" ca="1" si="377"/>
        <v>0</v>
      </c>
      <c r="AN276" s="593">
        <f t="shared" ca="1" si="378"/>
        <v>0</v>
      </c>
      <c r="AO276" s="593">
        <f t="shared" ca="1" si="379"/>
        <v>0</v>
      </c>
      <c r="AP276" s="593">
        <f t="shared" ca="1" si="380"/>
        <v>0</v>
      </c>
    </row>
    <row r="277" spans="1:42" s="594" customFormat="1" ht="11.25" outlineLevel="1" x14ac:dyDescent="0.2">
      <c r="A277" s="590"/>
      <c r="B277" s="591" t="str">
        <f>IF(D277&lt;&gt;"",
IF(ISERROR(MATCH(D277,'Ist Aktuell Monat 01'!A:A,0))=FALSE,INDEX('Ist Aktuell Monat 01'!B:B,MATCH(D277,'Ist Aktuell Monat 01'!A:A,0)),
IF(ISERROR(MATCH(D277,'Ist Aktuell Monat 02'!A:A,0))=FALSE,INDEX('Ist Aktuell Monat 02'!B:B,MATCH(D277,'Ist Aktuell Monat 02'!A:A,0)),
IF(ISERROR(MATCH(D277,'Ist Aktuell Monat 03'!A:A,0))=FALSE,INDEX('Ist Aktuell Monat 03'!B:B,MATCH(D277,'Ist Aktuell Monat 03'!A:A,0)),
IF(ISERROR(MATCH(D277,'Ist Aktuell Monat 04'!A:A,0))=FALSE,INDEX('Ist Aktuell Monat 04'!B:B,MATCH(D277,'Ist Aktuell Monat 04'!A:A,0)),
IF(ISERROR(MATCH(D277,'Ist Aktuell Monat 05'!A:A,0))=FALSE,INDEX('Ist Aktuell Monat 05'!B:B,MATCH(D277,'Ist Aktuell Monat 05'!A:A,0)),
IF(ISERROR(MATCH(D277,'Ist Aktuell Monat 06'!A:A,0))=FALSE,INDEX('Ist Aktuell Monat 06'!B:B,MATCH(D277,'Ist Aktuell Monat 06'!A:A,0)),
IF(ISERROR(MATCH(D277,'Ist Aktuell Monat 07'!A:A,0))=FALSE,INDEX('Ist Aktuell Monat 07'!B:B,MATCH(D277,'Ist Aktuell Monat 07'!A:A,0)),
IF(ISERROR(MATCH(D277,'Ist Aktuell Monat 08'!A:A,0))=FALSE,INDEX('Ist Aktuell Monat 08'!B:B,MATCH(D277,'Ist Aktuell Monat 08'!A:A,0)),
IF(ISERROR(MATCH(D277,'Ist Aktuell Monat 09'!A:A,0))=FALSE,INDEX('Ist Aktuell Monat 09'!B:B,MATCH(D277,'Ist Aktuell Monat 09'!A:A,0)),
IF(ISERROR(MATCH(D277,'Ist Aktuell Monat 10'!A:A,0))=FALSE,INDEX('Ist Aktuell Monat 10'!B:B,MATCH(D277,'Ist Aktuell Monat 10'!A:A,0)),
IF(ISERROR(MATCH(D277,'Ist Aktuell Monat 11'!A:A,0))=FALSE,INDEX('Ist Aktuell Monat 11'!B:B,MATCH(D277,'Ist Aktuell Monat 11'!A:A,0)),
IF(ISERROR(MATCH(D277,'Ist Aktuell Monat 12'!A:A,0))=FALSE,INDEX('Ist Aktuell Monat 12'!B:B,MATCH(D277,'Ist Aktuell Monat 12'!A:A,0)),
"{Konto unbekannt}"
)))))))))))),"")</f>
        <v/>
      </c>
      <c r="C277" s="591"/>
      <c r="D277" s="590"/>
      <c r="E277" s="592">
        <f>IF(F277="-",-1,1)</f>
        <v>1</v>
      </c>
      <c r="F277" s="590"/>
      <c r="G277" s="593">
        <f ca="1">$E277*(-SUMIF(INDIRECT(G$3),'Struktur Aktuell'!$D277,INDIRECT(G$4))+SUMIF(INDIRECT(G$3),'Struktur Aktuell'!$D277,INDIRECT(G$5)))</f>
        <v>0</v>
      </c>
      <c r="H277" s="593">
        <f ca="1">$E277*(-SUMIF(INDIRECT(H$3),'Struktur Aktuell'!$D277,INDIRECT(H$4))+SUMIF(INDIRECT(H$3),'Struktur Aktuell'!$D277,INDIRECT(H$5)))</f>
        <v>0</v>
      </c>
      <c r="I277" s="593">
        <f ca="1">$E277*(-SUMIF(INDIRECT(I$3),'Struktur Aktuell'!$D277,INDIRECT(I$4))+SUMIF(INDIRECT(I$3),'Struktur Aktuell'!$D277,INDIRECT(I$5)))</f>
        <v>0</v>
      </c>
      <c r="J277" s="593">
        <f ca="1">$E277*(-SUMIF(INDIRECT(J$3),'Struktur Aktuell'!$D277,INDIRECT(J$4))+SUMIF(INDIRECT(J$3),'Struktur Aktuell'!$D277,INDIRECT(J$5)))</f>
        <v>0</v>
      </c>
      <c r="K277" s="593">
        <f ca="1">$E277*(-SUMIF(INDIRECT(K$3),'Struktur Aktuell'!$D277,INDIRECT(K$4))+SUMIF(INDIRECT(K$3),'Struktur Aktuell'!$D277,INDIRECT(K$5)))</f>
        <v>0</v>
      </c>
      <c r="L277" s="593">
        <f ca="1">$E277*(-SUMIF(INDIRECT(L$3),'Struktur Aktuell'!$D277,INDIRECT(L$4))+SUMIF(INDIRECT(L$3),'Struktur Aktuell'!$D277,INDIRECT(L$5)))</f>
        <v>0</v>
      </c>
      <c r="M277" s="593">
        <f ca="1">$E277*(-SUMIF(INDIRECT(M$3),'Struktur Aktuell'!$D277,INDIRECT(M$4))+SUMIF(INDIRECT(M$3),'Struktur Aktuell'!$D277,INDIRECT(M$5)))</f>
        <v>0</v>
      </c>
      <c r="N277" s="593">
        <f ca="1">$E277*(-SUMIF(INDIRECT(N$3),'Struktur Aktuell'!$D277,INDIRECT(N$4))+SUMIF(INDIRECT(N$3),'Struktur Aktuell'!$D277,INDIRECT(N$5)))</f>
        <v>0</v>
      </c>
      <c r="O277" s="593">
        <f ca="1">$E277*(-SUMIF(INDIRECT(O$3),'Struktur Aktuell'!$D277,INDIRECT(O$4))+SUMIF(INDIRECT(O$3),'Struktur Aktuell'!$D277,INDIRECT(O$5)))</f>
        <v>0</v>
      </c>
      <c r="P277" s="593">
        <f ca="1">$E277*(-SUMIF(INDIRECT(P$3),'Struktur Aktuell'!$D277,INDIRECT(P$4))+SUMIF(INDIRECT(P$3),'Struktur Aktuell'!$D277,INDIRECT(P$5)))</f>
        <v>0</v>
      </c>
      <c r="Q277" s="593">
        <f ca="1">$E277*(-SUMIF(INDIRECT(Q$3),'Struktur Aktuell'!$D277,INDIRECT(Q$4))+SUMIF(INDIRECT(Q$3),'Struktur Aktuell'!$D277,INDIRECT(Q$5)))</f>
        <v>0</v>
      </c>
      <c r="R277" s="593">
        <f ca="1">$E277*(-SUMIF(INDIRECT(R$3),'Struktur Aktuell'!$D277,INDIRECT(R$4))+SUMIF(INDIRECT(R$3),'Struktur Aktuell'!$D277,INDIRECT(R$5)))</f>
        <v>0</v>
      </c>
      <c r="S277" s="593">
        <f ca="1">$E277*(-SUMIF(INDIRECT(S$3),'Struktur Aktuell'!$D277,INDIRECT(S$4))+SUMIF(INDIRECT(S$3),'Struktur Aktuell'!$D277,INDIRECT(S$5)))</f>
        <v>0</v>
      </c>
      <c r="T277" s="593">
        <f ca="1">$E277*(-SUMIF(INDIRECT(T$3),'Struktur Aktuell'!$D277,INDIRECT(T$4))+SUMIF(INDIRECT(T$3),'Struktur Aktuell'!$D277,INDIRECT(T$5)))</f>
        <v>0</v>
      </c>
      <c r="U277" s="593">
        <f ca="1">$E277*(-SUMIF(INDIRECT(U$3),'Struktur Aktuell'!$D277,INDIRECT(U$4))+SUMIF(INDIRECT(U$3),'Struktur Aktuell'!$D277,INDIRECT(U$5)))</f>
        <v>0</v>
      </c>
      <c r="V277" s="593">
        <f ca="1">$E277*(-SUMIF(INDIRECT(V$3),'Struktur Aktuell'!$D277,INDIRECT(V$4))+SUMIF(INDIRECT(V$3),'Struktur Aktuell'!$D277,INDIRECT(V$5)))</f>
        <v>0</v>
      </c>
      <c r="W277" s="593">
        <f ca="1">$E277*(-SUMIF(INDIRECT(W$3),'Struktur Aktuell'!$D277,INDIRECT(W$4))+SUMIF(INDIRECT(W$3),'Struktur Aktuell'!$D277,INDIRECT(W$5)))</f>
        <v>0</v>
      </c>
      <c r="X277" s="593">
        <f ca="1">$E277*(-SUMIF(INDIRECT(X$3),'Struktur Aktuell'!$D277,INDIRECT(X$4))+SUMIF(INDIRECT(X$3),'Struktur Aktuell'!$D277,INDIRECT(X$5)))</f>
        <v>0</v>
      </c>
      <c r="Y277" s="593">
        <f ca="1">$E277*(-SUMIF(INDIRECT(Y$3),'Struktur Aktuell'!$D277,INDIRECT(Y$4))+SUMIF(INDIRECT(Y$3),'Struktur Aktuell'!$D277,INDIRECT(Y$5)))</f>
        <v>0</v>
      </c>
      <c r="Z277" s="593">
        <f ca="1">$E277*(-SUMIF(INDIRECT(Z$3),'Struktur Aktuell'!$D277,INDIRECT(Z$4))+SUMIF(INDIRECT(Z$3),'Struktur Aktuell'!$D277,INDIRECT(Z$5)))</f>
        <v>0</v>
      </c>
      <c r="AA277" s="593">
        <f ca="1">$E277*(-SUMIF(INDIRECT(AA$3),'Struktur Aktuell'!$D277,INDIRECT(AA$4))+SUMIF(INDIRECT(AA$3),'Struktur Aktuell'!$D277,INDIRECT(AA$5)))</f>
        <v>0</v>
      </c>
      <c r="AB277" s="593">
        <f ca="1">$E277*(-SUMIF(INDIRECT(AB$3),'Struktur Aktuell'!$D277,INDIRECT(AB$4))+SUMIF(INDIRECT(AB$3),'Struktur Aktuell'!$D277,INDIRECT(AB$5)))</f>
        <v>0</v>
      </c>
      <c r="AC277" s="593">
        <f ca="1">$E277*(-SUMIF(INDIRECT(AC$3),'Struktur Aktuell'!$D277,INDIRECT(AC$4))+SUMIF(INDIRECT(AC$3),'Struktur Aktuell'!$D277,INDIRECT(AC$5)))</f>
        <v>0</v>
      </c>
      <c r="AD277" s="593">
        <f ca="1">$E277*(-SUMIF(INDIRECT(AD$3),'Struktur Aktuell'!$D277,INDIRECT(AD$4))+SUMIF(INDIRECT(AD$3),'Struktur Aktuell'!$D277,INDIRECT(AD$5)))</f>
        <v>0</v>
      </c>
      <c r="AE277" s="593">
        <f t="shared" ca="1" si="369"/>
        <v>0</v>
      </c>
      <c r="AF277" s="593">
        <f t="shared" ca="1" si="370"/>
        <v>0</v>
      </c>
      <c r="AG277" s="593">
        <f t="shared" ca="1" si="371"/>
        <v>0</v>
      </c>
      <c r="AH277" s="593">
        <f t="shared" ca="1" si="372"/>
        <v>0</v>
      </c>
      <c r="AI277" s="593">
        <f t="shared" ca="1" si="373"/>
        <v>0</v>
      </c>
      <c r="AJ277" s="593">
        <f t="shared" ca="1" si="374"/>
        <v>0</v>
      </c>
      <c r="AK277" s="593">
        <f t="shared" ca="1" si="375"/>
        <v>0</v>
      </c>
      <c r="AL277" s="593">
        <f t="shared" ca="1" si="376"/>
        <v>0</v>
      </c>
      <c r="AM277" s="593">
        <f t="shared" ca="1" si="377"/>
        <v>0</v>
      </c>
      <c r="AN277" s="593">
        <f t="shared" ca="1" si="378"/>
        <v>0</v>
      </c>
      <c r="AO277" s="593">
        <f t="shared" ca="1" si="379"/>
        <v>0</v>
      </c>
      <c r="AP277" s="593">
        <f t="shared" ca="1" si="380"/>
        <v>0</v>
      </c>
    </row>
    <row r="278" spans="1:42" s="594" customFormat="1" ht="11.25" outlineLevel="1" x14ac:dyDescent="0.2">
      <c r="A278" s="590"/>
      <c r="B278" s="591" t="str">
        <f>IF(D278&lt;&gt;"",
IF(ISERROR(MATCH(D278,'Ist Aktuell Monat 01'!A:A,0))=FALSE,INDEX('Ist Aktuell Monat 01'!B:B,MATCH(D278,'Ist Aktuell Monat 01'!A:A,0)),
IF(ISERROR(MATCH(D278,'Ist Aktuell Monat 02'!A:A,0))=FALSE,INDEX('Ist Aktuell Monat 02'!B:B,MATCH(D278,'Ist Aktuell Monat 02'!A:A,0)),
IF(ISERROR(MATCH(D278,'Ist Aktuell Monat 03'!A:A,0))=FALSE,INDEX('Ist Aktuell Monat 03'!B:B,MATCH(D278,'Ist Aktuell Monat 03'!A:A,0)),
IF(ISERROR(MATCH(D278,'Ist Aktuell Monat 04'!A:A,0))=FALSE,INDEX('Ist Aktuell Monat 04'!B:B,MATCH(D278,'Ist Aktuell Monat 04'!A:A,0)),
IF(ISERROR(MATCH(D278,'Ist Aktuell Monat 05'!A:A,0))=FALSE,INDEX('Ist Aktuell Monat 05'!B:B,MATCH(D278,'Ist Aktuell Monat 05'!A:A,0)),
IF(ISERROR(MATCH(D278,'Ist Aktuell Monat 06'!A:A,0))=FALSE,INDEX('Ist Aktuell Monat 06'!B:B,MATCH(D278,'Ist Aktuell Monat 06'!A:A,0)),
IF(ISERROR(MATCH(D278,'Ist Aktuell Monat 07'!A:A,0))=FALSE,INDEX('Ist Aktuell Monat 07'!B:B,MATCH(D278,'Ist Aktuell Monat 07'!A:A,0)),
IF(ISERROR(MATCH(D278,'Ist Aktuell Monat 08'!A:A,0))=FALSE,INDEX('Ist Aktuell Monat 08'!B:B,MATCH(D278,'Ist Aktuell Monat 08'!A:A,0)),
IF(ISERROR(MATCH(D278,'Ist Aktuell Monat 09'!A:A,0))=FALSE,INDEX('Ist Aktuell Monat 09'!B:B,MATCH(D278,'Ist Aktuell Monat 09'!A:A,0)),
IF(ISERROR(MATCH(D278,'Ist Aktuell Monat 10'!A:A,0))=FALSE,INDEX('Ist Aktuell Monat 10'!B:B,MATCH(D278,'Ist Aktuell Monat 10'!A:A,0)),
IF(ISERROR(MATCH(D278,'Ist Aktuell Monat 11'!A:A,0))=FALSE,INDEX('Ist Aktuell Monat 11'!B:B,MATCH(D278,'Ist Aktuell Monat 11'!A:A,0)),
IF(ISERROR(MATCH(D278,'Ist Aktuell Monat 12'!A:A,0))=FALSE,INDEX('Ist Aktuell Monat 12'!B:B,MATCH(D278,'Ist Aktuell Monat 12'!A:A,0)),
"{Konto unbekannt}"
)))))))))))),"")</f>
        <v/>
      </c>
      <c r="C278" s="591"/>
      <c r="D278" s="590"/>
      <c r="E278" s="592">
        <f t="shared" si="308"/>
        <v>1</v>
      </c>
      <c r="F278" s="590"/>
      <c r="G278" s="593">
        <f ca="1">$E278*(-SUMIF(INDIRECT(G$3),'Struktur Aktuell'!$D278,INDIRECT(G$4))+SUMIF(INDIRECT(G$3),'Struktur Aktuell'!$D278,INDIRECT(G$5)))</f>
        <v>0</v>
      </c>
      <c r="H278" s="593">
        <f ca="1">$E278*(-SUMIF(INDIRECT(H$3),'Struktur Aktuell'!$D278,INDIRECT(H$4))+SUMIF(INDIRECT(H$3),'Struktur Aktuell'!$D278,INDIRECT(H$5)))</f>
        <v>0</v>
      </c>
      <c r="I278" s="593">
        <f ca="1">$E278*(-SUMIF(INDIRECT(I$3),'Struktur Aktuell'!$D278,INDIRECT(I$4))+SUMIF(INDIRECT(I$3),'Struktur Aktuell'!$D278,INDIRECT(I$5)))</f>
        <v>0</v>
      </c>
      <c r="J278" s="593">
        <f ca="1">$E278*(-SUMIF(INDIRECT(J$3),'Struktur Aktuell'!$D278,INDIRECT(J$4))+SUMIF(INDIRECT(J$3),'Struktur Aktuell'!$D278,INDIRECT(J$5)))</f>
        <v>0</v>
      </c>
      <c r="K278" s="593">
        <f ca="1">$E278*(-SUMIF(INDIRECT(K$3),'Struktur Aktuell'!$D278,INDIRECT(K$4))+SUMIF(INDIRECT(K$3),'Struktur Aktuell'!$D278,INDIRECT(K$5)))</f>
        <v>0</v>
      </c>
      <c r="L278" s="593">
        <f ca="1">$E278*(-SUMIF(INDIRECT(L$3),'Struktur Aktuell'!$D278,INDIRECT(L$4))+SUMIF(INDIRECT(L$3),'Struktur Aktuell'!$D278,INDIRECT(L$5)))</f>
        <v>0</v>
      </c>
      <c r="M278" s="593">
        <f ca="1">$E278*(-SUMIF(INDIRECT(M$3),'Struktur Aktuell'!$D278,INDIRECT(M$4))+SUMIF(INDIRECT(M$3),'Struktur Aktuell'!$D278,INDIRECT(M$5)))</f>
        <v>0</v>
      </c>
      <c r="N278" s="593">
        <f ca="1">$E278*(-SUMIF(INDIRECT(N$3),'Struktur Aktuell'!$D278,INDIRECT(N$4))+SUMIF(INDIRECT(N$3),'Struktur Aktuell'!$D278,INDIRECT(N$5)))</f>
        <v>0</v>
      </c>
      <c r="O278" s="593">
        <f ca="1">$E278*(-SUMIF(INDIRECT(O$3),'Struktur Aktuell'!$D278,INDIRECT(O$4))+SUMIF(INDIRECT(O$3),'Struktur Aktuell'!$D278,INDIRECT(O$5)))</f>
        <v>0</v>
      </c>
      <c r="P278" s="593">
        <f ca="1">$E278*(-SUMIF(INDIRECT(P$3),'Struktur Aktuell'!$D278,INDIRECT(P$4))+SUMIF(INDIRECT(P$3),'Struktur Aktuell'!$D278,INDIRECT(P$5)))</f>
        <v>0</v>
      </c>
      <c r="Q278" s="593">
        <f ca="1">$E278*(-SUMIF(INDIRECT(Q$3),'Struktur Aktuell'!$D278,INDIRECT(Q$4))+SUMIF(INDIRECT(Q$3),'Struktur Aktuell'!$D278,INDIRECT(Q$5)))</f>
        <v>0</v>
      </c>
      <c r="R278" s="593">
        <f ca="1">$E278*(-SUMIF(INDIRECT(R$3),'Struktur Aktuell'!$D278,INDIRECT(R$4))+SUMIF(INDIRECT(R$3),'Struktur Aktuell'!$D278,INDIRECT(R$5)))</f>
        <v>0</v>
      </c>
      <c r="S278" s="593">
        <f ca="1">$E278*(-SUMIF(INDIRECT(S$3),'Struktur Aktuell'!$D278,INDIRECT(S$4))+SUMIF(INDIRECT(S$3),'Struktur Aktuell'!$D278,INDIRECT(S$5)))</f>
        <v>0</v>
      </c>
      <c r="T278" s="593">
        <f ca="1">$E278*(-SUMIF(INDIRECT(T$3),'Struktur Aktuell'!$D278,INDIRECT(T$4))+SUMIF(INDIRECT(T$3),'Struktur Aktuell'!$D278,INDIRECT(T$5)))</f>
        <v>0</v>
      </c>
      <c r="U278" s="593">
        <f ca="1">$E278*(-SUMIF(INDIRECT(U$3),'Struktur Aktuell'!$D278,INDIRECT(U$4))+SUMIF(INDIRECT(U$3),'Struktur Aktuell'!$D278,INDIRECT(U$5)))</f>
        <v>0</v>
      </c>
      <c r="V278" s="593">
        <f ca="1">$E278*(-SUMIF(INDIRECT(V$3),'Struktur Aktuell'!$D278,INDIRECT(V$4))+SUMIF(INDIRECT(V$3),'Struktur Aktuell'!$D278,INDIRECT(V$5)))</f>
        <v>0</v>
      </c>
      <c r="W278" s="593">
        <f ca="1">$E278*(-SUMIF(INDIRECT(W$3),'Struktur Aktuell'!$D278,INDIRECT(W$4))+SUMIF(INDIRECT(W$3),'Struktur Aktuell'!$D278,INDIRECT(W$5)))</f>
        <v>0</v>
      </c>
      <c r="X278" s="593">
        <f ca="1">$E278*(-SUMIF(INDIRECT(X$3),'Struktur Aktuell'!$D278,INDIRECT(X$4))+SUMIF(INDIRECT(X$3),'Struktur Aktuell'!$D278,INDIRECT(X$5)))</f>
        <v>0</v>
      </c>
      <c r="Y278" s="593">
        <f ca="1">$E278*(-SUMIF(INDIRECT(Y$3),'Struktur Aktuell'!$D278,INDIRECT(Y$4))+SUMIF(INDIRECT(Y$3),'Struktur Aktuell'!$D278,INDIRECT(Y$5)))</f>
        <v>0</v>
      </c>
      <c r="Z278" s="593">
        <f ca="1">$E278*(-SUMIF(INDIRECT(Z$3),'Struktur Aktuell'!$D278,INDIRECT(Z$4))+SUMIF(INDIRECT(Z$3),'Struktur Aktuell'!$D278,INDIRECT(Z$5)))</f>
        <v>0</v>
      </c>
      <c r="AA278" s="593">
        <f ca="1">$E278*(-SUMIF(INDIRECT(AA$3),'Struktur Aktuell'!$D278,INDIRECT(AA$4))+SUMIF(INDIRECT(AA$3),'Struktur Aktuell'!$D278,INDIRECT(AA$5)))</f>
        <v>0</v>
      </c>
      <c r="AB278" s="593">
        <f ca="1">$E278*(-SUMIF(INDIRECT(AB$3),'Struktur Aktuell'!$D278,INDIRECT(AB$4))+SUMIF(INDIRECT(AB$3),'Struktur Aktuell'!$D278,INDIRECT(AB$5)))</f>
        <v>0</v>
      </c>
      <c r="AC278" s="593">
        <f ca="1">$E278*(-SUMIF(INDIRECT(AC$3),'Struktur Aktuell'!$D278,INDIRECT(AC$4))+SUMIF(INDIRECT(AC$3),'Struktur Aktuell'!$D278,INDIRECT(AC$5)))</f>
        <v>0</v>
      </c>
      <c r="AD278" s="593">
        <f ca="1">$E278*(-SUMIF(INDIRECT(AD$3),'Struktur Aktuell'!$D278,INDIRECT(AD$4))+SUMIF(INDIRECT(AD$3),'Struktur Aktuell'!$D278,INDIRECT(AD$5)))</f>
        <v>0</v>
      </c>
      <c r="AE278" s="593">
        <f t="shared" ca="1" si="369"/>
        <v>0</v>
      </c>
      <c r="AF278" s="593">
        <f t="shared" ca="1" si="370"/>
        <v>0</v>
      </c>
      <c r="AG278" s="593">
        <f t="shared" ca="1" si="371"/>
        <v>0</v>
      </c>
      <c r="AH278" s="593">
        <f t="shared" ca="1" si="372"/>
        <v>0</v>
      </c>
      <c r="AI278" s="593">
        <f t="shared" ca="1" si="373"/>
        <v>0</v>
      </c>
      <c r="AJ278" s="593">
        <f t="shared" ca="1" si="374"/>
        <v>0</v>
      </c>
      <c r="AK278" s="593">
        <f t="shared" ca="1" si="375"/>
        <v>0</v>
      </c>
      <c r="AL278" s="593">
        <f t="shared" ca="1" si="376"/>
        <v>0</v>
      </c>
      <c r="AM278" s="593">
        <f t="shared" ca="1" si="377"/>
        <v>0</v>
      </c>
      <c r="AN278" s="593">
        <f t="shared" ca="1" si="378"/>
        <v>0</v>
      </c>
      <c r="AO278" s="593">
        <f t="shared" ca="1" si="379"/>
        <v>0</v>
      </c>
      <c r="AP278" s="593">
        <f t="shared" ca="1" si="380"/>
        <v>0</v>
      </c>
    </row>
    <row r="279" spans="1:42" s="594" customFormat="1" ht="11.25" outlineLevel="1" x14ac:dyDescent="0.2">
      <c r="A279" s="590"/>
      <c r="B279" s="591" t="str">
        <f>IF(D279&lt;&gt;"",
IF(ISERROR(MATCH(D279,'Ist Aktuell Monat 01'!A:A,0))=FALSE,INDEX('Ist Aktuell Monat 01'!B:B,MATCH(D279,'Ist Aktuell Monat 01'!A:A,0)),
IF(ISERROR(MATCH(D279,'Ist Aktuell Monat 02'!A:A,0))=FALSE,INDEX('Ist Aktuell Monat 02'!B:B,MATCH(D279,'Ist Aktuell Monat 02'!A:A,0)),
IF(ISERROR(MATCH(D279,'Ist Aktuell Monat 03'!A:A,0))=FALSE,INDEX('Ist Aktuell Monat 03'!B:B,MATCH(D279,'Ist Aktuell Monat 03'!A:A,0)),
IF(ISERROR(MATCH(D279,'Ist Aktuell Monat 04'!A:A,0))=FALSE,INDEX('Ist Aktuell Monat 04'!B:B,MATCH(D279,'Ist Aktuell Monat 04'!A:A,0)),
IF(ISERROR(MATCH(D279,'Ist Aktuell Monat 05'!A:A,0))=FALSE,INDEX('Ist Aktuell Monat 05'!B:B,MATCH(D279,'Ist Aktuell Monat 05'!A:A,0)),
IF(ISERROR(MATCH(D279,'Ist Aktuell Monat 06'!A:A,0))=FALSE,INDEX('Ist Aktuell Monat 06'!B:B,MATCH(D279,'Ist Aktuell Monat 06'!A:A,0)),
IF(ISERROR(MATCH(D279,'Ist Aktuell Monat 07'!A:A,0))=FALSE,INDEX('Ist Aktuell Monat 07'!B:B,MATCH(D279,'Ist Aktuell Monat 07'!A:A,0)),
IF(ISERROR(MATCH(D279,'Ist Aktuell Monat 08'!A:A,0))=FALSE,INDEX('Ist Aktuell Monat 08'!B:B,MATCH(D279,'Ist Aktuell Monat 08'!A:A,0)),
IF(ISERROR(MATCH(D279,'Ist Aktuell Monat 09'!A:A,0))=FALSE,INDEX('Ist Aktuell Monat 09'!B:B,MATCH(D279,'Ist Aktuell Monat 09'!A:A,0)),
IF(ISERROR(MATCH(D279,'Ist Aktuell Monat 10'!A:A,0))=FALSE,INDEX('Ist Aktuell Monat 10'!B:B,MATCH(D279,'Ist Aktuell Monat 10'!A:A,0)),
IF(ISERROR(MATCH(D279,'Ist Aktuell Monat 11'!A:A,0))=FALSE,INDEX('Ist Aktuell Monat 11'!B:B,MATCH(D279,'Ist Aktuell Monat 11'!A:A,0)),
IF(ISERROR(MATCH(D279,'Ist Aktuell Monat 12'!A:A,0))=FALSE,INDEX('Ist Aktuell Monat 12'!B:B,MATCH(D279,'Ist Aktuell Monat 12'!A:A,0)),
"{Konto unbekannt}"
)))))))))))),"")</f>
        <v/>
      </c>
      <c r="C279" s="591"/>
      <c r="D279" s="590"/>
      <c r="E279" s="592">
        <f t="shared" si="308"/>
        <v>1</v>
      </c>
      <c r="F279" s="590"/>
      <c r="G279" s="593">
        <f ca="1">$E279*(-SUMIF(INDIRECT(G$3),'Struktur Aktuell'!$D279,INDIRECT(G$4))+SUMIF(INDIRECT(G$3),'Struktur Aktuell'!$D279,INDIRECT(G$5)))</f>
        <v>0</v>
      </c>
      <c r="H279" s="593">
        <f ca="1">$E279*(-SUMIF(INDIRECT(H$3),'Struktur Aktuell'!$D279,INDIRECT(H$4))+SUMIF(INDIRECT(H$3),'Struktur Aktuell'!$D279,INDIRECT(H$5)))</f>
        <v>0</v>
      </c>
      <c r="I279" s="593">
        <f ca="1">$E279*(-SUMIF(INDIRECT(I$3),'Struktur Aktuell'!$D279,INDIRECT(I$4))+SUMIF(INDIRECT(I$3),'Struktur Aktuell'!$D279,INDIRECT(I$5)))</f>
        <v>0</v>
      </c>
      <c r="J279" s="593">
        <f ca="1">$E279*(-SUMIF(INDIRECT(J$3),'Struktur Aktuell'!$D279,INDIRECT(J$4))+SUMIF(INDIRECT(J$3),'Struktur Aktuell'!$D279,INDIRECT(J$5)))</f>
        <v>0</v>
      </c>
      <c r="K279" s="593">
        <f ca="1">$E279*(-SUMIF(INDIRECT(K$3),'Struktur Aktuell'!$D279,INDIRECT(K$4))+SUMIF(INDIRECT(K$3),'Struktur Aktuell'!$D279,INDIRECT(K$5)))</f>
        <v>0</v>
      </c>
      <c r="L279" s="593">
        <f ca="1">$E279*(-SUMIF(INDIRECT(L$3),'Struktur Aktuell'!$D279,INDIRECT(L$4))+SUMIF(INDIRECT(L$3),'Struktur Aktuell'!$D279,INDIRECT(L$5)))</f>
        <v>0</v>
      </c>
      <c r="M279" s="593">
        <f ca="1">$E279*(-SUMIF(INDIRECT(M$3),'Struktur Aktuell'!$D279,INDIRECT(M$4))+SUMIF(INDIRECT(M$3),'Struktur Aktuell'!$D279,INDIRECT(M$5)))</f>
        <v>0</v>
      </c>
      <c r="N279" s="593">
        <f ca="1">$E279*(-SUMIF(INDIRECT(N$3),'Struktur Aktuell'!$D279,INDIRECT(N$4))+SUMIF(INDIRECT(N$3),'Struktur Aktuell'!$D279,INDIRECT(N$5)))</f>
        <v>0</v>
      </c>
      <c r="O279" s="593">
        <f ca="1">$E279*(-SUMIF(INDIRECT(O$3),'Struktur Aktuell'!$D279,INDIRECT(O$4))+SUMIF(INDIRECT(O$3),'Struktur Aktuell'!$D279,INDIRECT(O$5)))</f>
        <v>0</v>
      </c>
      <c r="P279" s="593">
        <f ca="1">$E279*(-SUMIF(INDIRECT(P$3),'Struktur Aktuell'!$D279,INDIRECT(P$4))+SUMIF(INDIRECT(P$3),'Struktur Aktuell'!$D279,INDIRECT(P$5)))</f>
        <v>0</v>
      </c>
      <c r="Q279" s="593">
        <f ca="1">$E279*(-SUMIF(INDIRECT(Q$3),'Struktur Aktuell'!$D279,INDIRECT(Q$4))+SUMIF(INDIRECT(Q$3),'Struktur Aktuell'!$D279,INDIRECT(Q$5)))</f>
        <v>0</v>
      </c>
      <c r="R279" s="593">
        <f ca="1">$E279*(-SUMIF(INDIRECT(R$3),'Struktur Aktuell'!$D279,INDIRECT(R$4))+SUMIF(INDIRECT(R$3),'Struktur Aktuell'!$D279,INDIRECT(R$5)))</f>
        <v>0</v>
      </c>
      <c r="S279" s="593">
        <f ca="1">$E279*(-SUMIF(INDIRECT(S$3),'Struktur Aktuell'!$D279,INDIRECT(S$4))+SUMIF(INDIRECT(S$3),'Struktur Aktuell'!$D279,INDIRECT(S$5)))</f>
        <v>0</v>
      </c>
      <c r="T279" s="593">
        <f ca="1">$E279*(-SUMIF(INDIRECT(T$3),'Struktur Aktuell'!$D279,INDIRECT(T$4))+SUMIF(INDIRECT(T$3),'Struktur Aktuell'!$D279,INDIRECT(T$5)))</f>
        <v>0</v>
      </c>
      <c r="U279" s="593">
        <f ca="1">$E279*(-SUMIF(INDIRECT(U$3),'Struktur Aktuell'!$D279,INDIRECT(U$4))+SUMIF(INDIRECT(U$3),'Struktur Aktuell'!$D279,INDIRECT(U$5)))</f>
        <v>0</v>
      </c>
      <c r="V279" s="593">
        <f ca="1">$E279*(-SUMIF(INDIRECT(V$3),'Struktur Aktuell'!$D279,INDIRECT(V$4))+SUMIF(INDIRECT(V$3),'Struktur Aktuell'!$D279,INDIRECT(V$5)))</f>
        <v>0</v>
      </c>
      <c r="W279" s="593">
        <f ca="1">$E279*(-SUMIF(INDIRECT(W$3),'Struktur Aktuell'!$D279,INDIRECT(W$4))+SUMIF(INDIRECT(W$3),'Struktur Aktuell'!$D279,INDIRECT(W$5)))</f>
        <v>0</v>
      </c>
      <c r="X279" s="593">
        <f ca="1">$E279*(-SUMIF(INDIRECT(X$3),'Struktur Aktuell'!$D279,INDIRECT(X$4))+SUMIF(INDIRECT(X$3),'Struktur Aktuell'!$D279,INDIRECT(X$5)))</f>
        <v>0</v>
      </c>
      <c r="Y279" s="593">
        <f ca="1">$E279*(-SUMIF(INDIRECT(Y$3),'Struktur Aktuell'!$D279,INDIRECT(Y$4))+SUMIF(INDIRECT(Y$3),'Struktur Aktuell'!$D279,INDIRECT(Y$5)))</f>
        <v>0</v>
      </c>
      <c r="Z279" s="593">
        <f ca="1">$E279*(-SUMIF(INDIRECT(Z$3),'Struktur Aktuell'!$D279,INDIRECT(Z$4))+SUMIF(INDIRECT(Z$3),'Struktur Aktuell'!$D279,INDIRECT(Z$5)))</f>
        <v>0</v>
      </c>
      <c r="AA279" s="593">
        <f ca="1">$E279*(-SUMIF(INDIRECT(AA$3),'Struktur Aktuell'!$D279,INDIRECT(AA$4))+SUMIF(INDIRECT(AA$3),'Struktur Aktuell'!$D279,INDIRECT(AA$5)))</f>
        <v>0</v>
      </c>
      <c r="AB279" s="593">
        <f ca="1">$E279*(-SUMIF(INDIRECT(AB$3),'Struktur Aktuell'!$D279,INDIRECT(AB$4))+SUMIF(INDIRECT(AB$3),'Struktur Aktuell'!$D279,INDIRECT(AB$5)))</f>
        <v>0</v>
      </c>
      <c r="AC279" s="593">
        <f ca="1">$E279*(-SUMIF(INDIRECT(AC$3),'Struktur Aktuell'!$D279,INDIRECT(AC$4))+SUMIF(INDIRECT(AC$3),'Struktur Aktuell'!$D279,INDIRECT(AC$5)))</f>
        <v>0</v>
      </c>
      <c r="AD279" s="593">
        <f ca="1">$E279*(-SUMIF(INDIRECT(AD$3),'Struktur Aktuell'!$D279,INDIRECT(AD$4))+SUMIF(INDIRECT(AD$3),'Struktur Aktuell'!$D279,INDIRECT(AD$5)))</f>
        <v>0</v>
      </c>
      <c r="AE279" s="593">
        <f t="shared" ca="1" si="369"/>
        <v>0</v>
      </c>
      <c r="AF279" s="593">
        <f t="shared" ca="1" si="370"/>
        <v>0</v>
      </c>
      <c r="AG279" s="593">
        <f t="shared" ca="1" si="371"/>
        <v>0</v>
      </c>
      <c r="AH279" s="593">
        <f t="shared" ca="1" si="372"/>
        <v>0</v>
      </c>
      <c r="AI279" s="593">
        <f t="shared" ca="1" si="373"/>
        <v>0</v>
      </c>
      <c r="AJ279" s="593">
        <f t="shared" ca="1" si="374"/>
        <v>0</v>
      </c>
      <c r="AK279" s="593">
        <f t="shared" ca="1" si="375"/>
        <v>0</v>
      </c>
      <c r="AL279" s="593">
        <f t="shared" ca="1" si="376"/>
        <v>0</v>
      </c>
      <c r="AM279" s="593">
        <f t="shared" ca="1" si="377"/>
        <v>0</v>
      </c>
      <c r="AN279" s="593">
        <f t="shared" ca="1" si="378"/>
        <v>0</v>
      </c>
      <c r="AO279" s="593">
        <f t="shared" ca="1" si="379"/>
        <v>0</v>
      </c>
      <c r="AP279" s="593">
        <f t="shared" ca="1" si="380"/>
        <v>0</v>
      </c>
    </row>
    <row r="280" spans="1:42" s="594" customFormat="1" ht="11.25" outlineLevel="1" x14ac:dyDescent="0.2">
      <c r="A280" s="590"/>
      <c r="B280" s="591" t="str">
        <f>IF(D280&lt;&gt;"",
IF(ISERROR(MATCH(D280,'Ist Aktuell Monat 01'!A:A,0))=FALSE,INDEX('Ist Aktuell Monat 01'!B:B,MATCH(D280,'Ist Aktuell Monat 01'!A:A,0)),
IF(ISERROR(MATCH(D280,'Ist Aktuell Monat 02'!A:A,0))=FALSE,INDEX('Ist Aktuell Monat 02'!B:B,MATCH(D280,'Ist Aktuell Monat 02'!A:A,0)),
IF(ISERROR(MATCH(D280,'Ist Aktuell Monat 03'!A:A,0))=FALSE,INDEX('Ist Aktuell Monat 03'!B:B,MATCH(D280,'Ist Aktuell Monat 03'!A:A,0)),
IF(ISERROR(MATCH(D280,'Ist Aktuell Monat 04'!A:A,0))=FALSE,INDEX('Ist Aktuell Monat 04'!B:B,MATCH(D280,'Ist Aktuell Monat 04'!A:A,0)),
IF(ISERROR(MATCH(D280,'Ist Aktuell Monat 05'!A:A,0))=FALSE,INDEX('Ist Aktuell Monat 05'!B:B,MATCH(D280,'Ist Aktuell Monat 05'!A:A,0)),
IF(ISERROR(MATCH(D280,'Ist Aktuell Monat 06'!A:A,0))=FALSE,INDEX('Ist Aktuell Monat 06'!B:B,MATCH(D280,'Ist Aktuell Monat 06'!A:A,0)),
IF(ISERROR(MATCH(D280,'Ist Aktuell Monat 07'!A:A,0))=FALSE,INDEX('Ist Aktuell Monat 07'!B:B,MATCH(D280,'Ist Aktuell Monat 07'!A:A,0)),
IF(ISERROR(MATCH(D280,'Ist Aktuell Monat 08'!A:A,0))=FALSE,INDEX('Ist Aktuell Monat 08'!B:B,MATCH(D280,'Ist Aktuell Monat 08'!A:A,0)),
IF(ISERROR(MATCH(D280,'Ist Aktuell Monat 09'!A:A,0))=FALSE,INDEX('Ist Aktuell Monat 09'!B:B,MATCH(D280,'Ist Aktuell Monat 09'!A:A,0)),
IF(ISERROR(MATCH(D280,'Ist Aktuell Monat 10'!A:A,0))=FALSE,INDEX('Ist Aktuell Monat 10'!B:B,MATCH(D280,'Ist Aktuell Monat 10'!A:A,0)),
IF(ISERROR(MATCH(D280,'Ist Aktuell Monat 11'!A:A,0))=FALSE,INDEX('Ist Aktuell Monat 11'!B:B,MATCH(D280,'Ist Aktuell Monat 11'!A:A,0)),
IF(ISERROR(MATCH(D280,'Ist Aktuell Monat 12'!A:A,0))=FALSE,INDEX('Ist Aktuell Monat 12'!B:B,MATCH(D280,'Ist Aktuell Monat 12'!A:A,0)),
"{Konto unbekannt}"
)))))))))))),"")</f>
        <v/>
      </c>
      <c r="C280" s="591"/>
      <c r="D280" s="590"/>
      <c r="E280" s="592">
        <f t="shared" si="308"/>
        <v>1</v>
      </c>
      <c r="F280" s="590"/>
      <c r="G280" s="593">
        <f ca="1">$E280*(-SUMIF(INDIRECT(G$3),'Struktur Aktuell'!$D280,INDIRECT(G$4))+SUMIF(INDIRECT(G$3),'Struktur Aktuell'!$D280,INDIRECT(G$5)))</f>
        <v>0</v>
      </c>
      <c r="H280" s="593">
        <f ca="1">$E280*(-SUMIF(INDIRECT(H$3),'Struktur Aktuell'!$D280,INDIRECT(H$4))+SUMIF(INDIRECT(H$3),'Struktur Aktuell'!$D280,INDIRECT(H$5)))</f>
        <v>0</v>
      </c>
      <c r="I280" s="593">
        <f ca="1">$E280*(-SUMIF(INDIRECT(I$3),'Struktur Aktuell'!$D280,INDIRECT(I$4))+SUMIF(INDIRECT(I$3),'Struktur Aktuell'!$D280,INDIRECT(I$5)))</f>
        <v>0</v>
      </c>
      <c r="J280" s="593">
        <f ca="1">$E280*(-SUMIF(INDIRECT(J$3),'Struktur Aktuell'!$D280,INDIRECT(J$4))+SUMIF(INDIRECT(J$3),'Struktur Aktuell'!$D280,INDIRECT(J$5)))</f>
        <v>0</v>
      </c>
      <c r="K280" s="593">
        <f ca="1">$E280*(-SUMIF(INDIRECT(K$3),'Struktur Aktuell'!$D280,INDIRECT(K$4))+SUMIF(INDIRECT(K$3),'Struktur Aktuell'!$D280,INDIRECT(K$5)))</f>
        <v>0</v>
      </c>
      <c r="L280" s="593">
        <f ca="1">$E280*(-SUMIF(INDIRECT(L$3),'Struktur Aktuell'!$D280,INDIRECT(L$4))+SUMIF(INDIRECT(L$3),'Struktur Aktuell'!$D280,INDIRECT(L$5)))</f>
        <v>0</v>
      </c>
      <c r="M280" s="593">
        <f ca="1">$E280*(-SUMIF(INDIRECT(M$3),'Struktur Aktuell'!$D280,INDIRECT(M$4))+SUMIF(INDIRECT(M$3),'Struktur Aktuell'!$D280,INDIRECT(M$5)))</f>
        <v>0</v>
      </c>
      <c r="N280" s="593">
        <f ca="1">$E280*(-SUMIF(INDIRECT(N$3),'Struktur Aktuell'!$D280,INDIRECT(N$4))+SUMIF(INDIRECT(N$3),'Struktur Aktuell'!$D280,INDIRECT(N$5)))</f>
        <v>0</v>
      </c>
      <c r="O280" s="593">
        <f ca="1">$E280*(-SUMIF(INDIRECT(O$3),'Struktur Aktuell'!$D280,INDIRECT(O$4))+SUMIF(INDIRECT(O$3),'Struktur Aktuell'!$D280,INDIRECT(O$5)))</f>
        <v>0</v>
      </c>
      <c r="P280" s="593">
        <f ca="1">$E280*(-SUMIF(INDIRECT(P$3),'Struktur Aktuell'!$D280,INDIRECT(P$4))+SUMIF(INDIRECT(P$3),'Struktur Aktuell'!$D280,INDIRECT(P$5)))</f>
        <v>0</v>
      </c>
      <c r="Q280" s="593">
        <f ca="1">$E280*(-SUMIF(INDIRECT(Q$3),'Struktur Aktuell'!$D280,INDIRECT(Q$4))+SUMIF(INDIRECT(Q$3),'Struktur Aktuell'!$D280,INDIRECT(Q$5)))</f>
        <v>0</v>
      </c>
      <c r="R280" s="593">
        <f ca="1">$E280*(-SUMIF(INDIRECT(R$3),'Struktur Aktuell'!$D280,INDIRECT(R$4))+SUMIF(INDIRECT(R$3),'Struktur Aktuell'!$D280,INDIRECT(R$5)))</f>
        <v>0</v>
      </c>
      <c r="S280" s="593">
        <f ca="1">$E280*(-SUMIF(INDIRECT(S$3),'Struktur Aktuell'!$D280,INDIRECT(S$4))+SUMIF(INDIRECT(S$3),'Struktur Aktuell'!$D280,INDIRECT(S$5)))</f>
        <v>0</v>
      </c>
      <c r="T280" s="593">
        <f ca="1">$E280*(-SUMIF(INDIRECT(T$3),'Struktur Aktuell'!$D280,INDIRECT(T$4))+SUMIF(INDIRECT(T$3),'Struktur Aktuell'!$D280,INDIRECT(T$5)))</f>
        <v>0</v>
      </c>
      <c r="U280" s="593">
        <f ca="1">$E280*(-SUMIF(INDIRECT(U$3),'Struktur Aktuell'!$D280,INDIRECT(U$4))+SUMIF(INDIRECT(U$3),'Struktur Aktuell'!$D280,INDIRECT(U$5)))</f>
        <v>0</v>
      </c>
      <c r="V280" s="593">
        <f ca="1">$E280*(-SUMIF(INDIRECT(V$3),'Struktur Aktuell'!$D280,INDIRECT(V$4))+SUMIF(INDIRECT(V$3),'Struktur Aktuell'!$D280,INDIRECT(V$5)))</f>
        <v>0</v>
      </c>
      <c r="W280" s="593">
        <f ca="1">$E280*(-SUMIF(INDIRECT(W$3),'Struktur Aktuell'!$D280,INDIRECT(W$4))+SUMIF(INDIRECT(W$3),'Struktur Aktuell'!$D280,INDIRECT(W$5)))</f>
        <v>0</v>
      </c>
      <c r="X280" s="593">
        <f ca="1">$E280*(-SUMIF(INDIRECT(X$3),'Struktur Aktuell'!$D280,INDIRECT(X$4))+SUMIF(INDIRECT(X$3),'Struktur Aktuell'!$D280,INDIRECT(X$5)))</f>
        <v>0</v>
      </c>
      <c r="Y280" s="593">
        <f ca="1">$E280*(-SUMIF(INDIRECT(Y$3),'Struktur Aktuell'!$D280,INDIRECT(Y$4))+SUMIF(INDIRECT(Y$3),'Struktur Aktuell'!$D280,INDIRECT(Y$5)))</f>
        <v>0</v>
      </c>
      <c r="Z280" s="593">
        <f ca="1">$E280*(-SUMIF(INDIRECT(Z$3),'Struktur Aktuell'!$D280,INDIRECT(Z$4))+SUMIF(INDIRECT(Z$3),'Struktur Aktuell'!$D280,INDIRECT(Z$5)))</f>
        <v>0</v>
      </c>
      <c r="AA280" s="593">
        <f ca="1">$E280*(-SUMIF(INDIRECT(AA$3),'Struktur Aktuell'!$D280,INDIRECT(AA$4))+SUMIF(INDIRECT(AA$3),'Struktur Aktuell'!$D280,INDIRECT(AA$5)))</f>
        <v>0</v>
      </c>
      <c r="AB280" s="593">
        <f ca="1">$E280*(-SUMIF(INDIRECT(AB$3),'Struktur Aktuell'!$D280,INDIRECT(AB$4))+SUMIF(INDIRECT(AB$3),'Struktur Aktuell'!$D280,INDIRECT(AB$5)))</f>
        <v>0</v>
      </c>
      <c r="AC280" s="593">
        <f ca="1">$E280*(-SUMIF(INDIRECT(AC$3),'Struktur Aktuell'!$D280,INDIRECT(AC$4))+SUMIF(INDIRECT(AC$3),'Struktur Aktuell'!$D280,INDIRECT(AC$5)))</f>
        <v>0</v>
      </c>
      <c r="AD280" s="593">
        <f ca="1">$E280*(-SUMIF(INDIRECT(AD$3),'Struktur Aktuell'!$D280,INDIRECT(AD$4))+SUMIF(INDIRECT(AD$3),'Struktur Aktuell'!$D280,INDIRECT(AD$5)))</f>
        <v>0</v>
      </c>
      <c r="AE280" s="593">
        <f t="shared" ca="1" si="369"/>
        <v>0</v>
      </c>
      <c r="AF280" s="593">
        <f t="shared" ca="1" si="370"/>
        <v>0</v>
      </c>
      <c r="AG280" s="593">
        <f t="shared" ca="1" si="371"/>
        <v>0</v>
      </c>
      <c r="AH280" s="593">
        <f t="shared" ca="1" si="372"/>
        <v>0</v>
      </c>
      <c r="AI280" s="593">
        <f t="shared" ca="1" si="373"/>
        <v>0</v>
      </c>
      <c r="AJ280" s="593">
        <f t="shared" ca="1" si="374"/>
        <v>0</v>
      </c>
      <c r="AK280" s="593">
        <f t="shared" ca="1" si="375"/>
        <v>0</v>
      </c>
      <c r="AL280" s="593">
        <f t="shared" ca="1" si="376"/>
        <v>0</v>
      </c>
      <c r="AM280" s="593">
        <f t="shared" ca="1" si="377"/>
        <v>0</v>
      </c>
      <c r="AN280" s="593">
        <f t="shared" ca="1" si="378"/>
        <v>0</v>
      </c>
      <c r="AO280" s="593">
        <f t="shared" ca="1" si="379"/>
        <v>0</v>
      </c>
      <c r="AP280" s="593">
        <f t="shared" ca="1" si="380"/>
        <v>0</v>
      </c>
    </row>
    <row r="281" spans="1:42" s="594" customFormat="1" ht="11.25" outlineLevel="1" x14ac:dyDescent="0.2">
      <c r="A281" s="590"/>
      <c r="B281" s="591" t="str">
        <f>IF(D281&lt;&gt;"",
IF(ISERROR(MATCH(D281,'Ist Aktuell Monat 01'!A:A,0))=FALSE,INDEX('Ist Aktuell Monat 01'!B:B,MATCH(D281,'Ist Aktuell Monat 01'!A:A,0)),
IF(ISERROR(MATCH(D281,'Ist Aktuell Monat 02'!A:A,0))=FALSE,INDEX('Ist Aktuell Monat 02'!B:B,MATCH(D281,'Ist Aktuell Monat 02'!A:A,0)),
IF(ISERROR(MATCH(D281,'Ist Aktuell Monat 03'!A:A,0))=FALSE,INDEX('Ist Aktuell Monat 03'!B:B,MATCH(D281,'Ist Aktuell Monat 03'!A:A,0)),
IF(ISERROR(MATCH(D281,'Ist Aktuell Monat 04'!A:A,0))=FALSE,INDEX('Ist Aktuell Monat 04'!B:B,MATCH(D281,'Ist Aktuell Monat 04'!A:A,0)),
IF(ISERROR(MATCH(D281,'Ist Aktuell Monat 05'!A:A,0))=FALSE,INDEX('Ist Aktuell Monat 05'!B:B,MATCH(D281,'Ist Aktuell Monat 05'!A:A,0)),
IF(ISERROR(MATCH(D281,'Ist Aktuell Monat 06'!A:A,0))=FALSE,INDEX('Ist Aktuell Monat 06'!B:B,MATCH(D281,'Ist Aktuell Monat 06'!A:A,0)),
IF(ISERROR(MATCH(D281,'Ist Aktuell Monat 07'!A:A,0))=FALSE,INDEX('Ist Aktuell Monat 07'!B:B,MATCH(D281,'Ist Aktuell Monat 07'!A:A,0)),
IF(ISERROR(MATCH(D281,'Ist Aktuell Monat 08'!A:A,0))=FALSE,INDEX('Ist Aktuell Monat 08'!B:B,MATCH(D281,'Ist Aktuell Monat 08'!A:A,0)),
IF(ISERROR(MATCH(D281,'Ist Aktuell Monat 09'!A:A,0))=FALSE,INDEX('Ist Aktuell Monat 09'!B:B,MATCH(D281,'Ist Aktuell Monat 09'!A:A,0)),
IF(ISERROR(MATCH(D281,'Ist Aktuell Monat 10'!A:A,0))=FALSE,INDEX('Ist Aktuell Monat 10'!B:B,MATCH(D281,'Ist Aktuell Monat 10'!A:A,0)),
IF(ISERROR(MATCH(D281,'Ist Aktuell Monat 11'!A:A,0))=FALSE,INDEX('Ist Aktuell Monat 11'!B:B,MATCH(D281,'Ist Aktuell Monat 11'!A:A,0)),
IF(ISERROR(MATCH(D281,'Ist Aktuell Monat 12'!A:A,0))=FALSE,INDEX('Ist Aktuell Monat 12'!B:B,MATCH(D281,'Ist Aktuell Monat 12'!A:A,0)),
"{Konto unbekannt}"
)))))))))))),"")</f>
        <v/>
      </c>
      <c r="C281" s="591"/>
      <c r="D281" s="590"/>
      <c r="E281" s="592">
        <f t="shared" ref="E281:E383" si="381">IF(F281="-",-1,1)</f>
        <v>1</v>
      </c>
      <c r="F281" s="590"/>
      <c r="G281" s="593">
        <f ca="1">$E281*(-SUMIF(INDIRECT(G$3),'Struktur Aktuell'!$D281,INDIRECT(G$4))+SUMIF(INDIRECT(G$3),'Struktur Aktuell'!$D281,INDIRECT(G$5)))</f>
        <v>0</v>
      </c>
      <c r="H281" s="593">
        <f ca="1">$E281*(-SUMIF(INDIRECT(H$3),'Struktur Aktuell'!$D281,INDIRECT(H$4))+SUMIF(INDIRECT(H$3),'Struktur Aktuell'!$D281,INDIRECT(H$5)))</f>
        <v>0</v>
      </c>
      <c r="I281" s="593">
        <f ca="1">$E281*(-SUMIF(INDIRECT(I$3),'Struktur Aktuell'!$D281,INDIRECT(I$4))+SUMIF(INDIRECT(I$3),'Struktur Aktuell'!$D281,INDIRECT(I$5)))</f>
        <v>0</v>
      </c>
      <c r="J281" s="593">
        <f ca="1">$E281*(-SUMIF(INDIRECT(J$3),'Struktur Aktuell'!$D281,INDIRECT(J$4))+SUMIF(INDIRECT(J$3),'Struktur Aktuell'!$D281,INDIRECT(J$5)))</f>
        <v>0</v>
      </c>
      <c r="K281" s="593">
        <f ca="1">$E281*(-SUMIF(INDIRECT(K$3),'Struktur Aktuell'!$D281,INDIRECT(K$4))+SUMIF(INDIRECT(K$3),'Struktur Aktuell'!$D281,INDIRECT(K$5)))</f>
        <v>0</v>
      </c>
      <c r="L281" s="593">
        <f ca="1">$E281*(-SUMIF(INDIRECT(L$3),'Struktur Aktuell'!$D281,INDIRECT(L$4))+SUMIF(INDIRECT(L$3),'Struktur Aktuell'!$D281,INDIRECT(L$5)))</f>
        <v>0</v>
      </c>
      <c r="M281" s="593">
        <f ca="1">$E281*(-SUMIF(INDIRECT(M$3),'Struktur Aktuell'!$D281,INDIRECT(M$4))+SUMIF(INDIRECT(M$3),'Struktur Aktuell'!$D281,INDIRECT(M$5)))</f>
        <v>0</v>
      </c>
      <c r="N281" s="593">
        <f ca="1">$E281*(-SUMIF(INDIRECT(N$3),'Struktur Aktuell'!$D281,INDIRECT(N$4))+SUMIF(INDIRECT(N$3),'Struktur Aktuell'!$D281,INDIRECT(N$5)))</f>
        <v>0</v>
      </c>
      <c r="O281" s="593">
        <f ca="1">$E281*(-SUMIF(INDIRECT(O$3),'Struktur Aktuell'!$D281,INDIRECT(O$4))+SUMIF(INDIRECT(O$3),'Struktur Aktuell'!$D281,INDIRECT(O$5)))</f>
        <v>0</v>
      </c>
      <c r="P281" s="593">
        <f ca="1">$E281*(-SUMIF(INDIRECT(P$3),'Struktur Aktuell'!$D281,INDIRECT(P$4))+SUMIF(INDIRECT(P$3),'Struktur Aktuell'!$D281,INDIRECT(P$5)))</f>
        <v>0</v>
      </c>
      <c r="Q281" s="593">
        <f ca="1">$E281*(-SUMIF(INDIRECT(Q$3),'Struktur Aktuell'!$D281,INDIRECT(Q$4))+SUMIF(INDIRECT(Q$3),'Struktur Aktuell'!$D281,INDIRECT(Q$5)))</f>
        <v>0</v>
      </c>
      <c r="R281" s="593">
        <f ca="1">$E281*(-SUMIF(INDIRECT(R$3),'Struktur Aktuell'!$D281,INDIRECT(R$4))+SUMIF(INDIRECT(R$3),'Struktur Aktuell'!$D281,INDIRECT(R$5)))</f>
        <v>0</v>
      </c>
      <c r="S281" s="593">
        <f ca="1">$E281*(-SUMIF(INDIRECT(S$3),'Struktur Aktuell'!$D281,INDIRECT(S$4))+SUMIF(INDIRECT(S$3),'Struktur Aktuell'!$D281,INDIRECT(S$5)))</f>
        <v>0</v>
      </c>
      <c r="T281" s="593">
        <f ca="1">$E281*(-SUMIF(INDIRECT(T$3),'Struktur Aktuell'!$D281,INDIRECT(T$4))+SUMIF(INDIRECT(T$3),'Struktur Aktuell'!$D281,INDIRECT(T$5)))</f>
        <v>0</v>
      </c>
      <c r="U281" s="593">
        <f ca="1">$E281*(-SUMIF(INDIRECT(U$3),'Struktur Aktuell'!$D281,INDIRECT(U$4))+SUMIF(INDIRECT(U$3),'Struktur Aktuell'!$D281,INDIRECT(U$5)))</f>
        <v>0</v>
      </c>
      <c r="V281" s="593">
        <f ca="1">$E281*(-SUMIF(INDIRECT(V$3),'Struktur Aktuell'!$D281,INDIRECT(V$4))+SUMIF(INDIRECT(V$3),'Struktur Aktuell'!$D281,INDIRECT(V$5)))</f>
        <v>0</v>
      </c>
      <c r="W281" s="593">
        <f ca="1">$E281*(-SUMIF(INDIRECT(W$3),'Struktur Aktuell'!$D281,INDIRECT(W$4))+SUMIF(INDIRECT(W$3),'Struktur Aktuell'!$D281,INDIRECT(W$5)))</f>
        <v>0</v>
      </c>
      <c r="X281" s="593">
        <f ca="1">$E281*(-SUMIF(INDIRECT(X$3),'Struktur Aktuell'!$D281,INDIRECT(X$4))+SUMIF(INDIRECT(X$3),'Struktur Aktuell'!$D281,INDIRECT(X$5)))</f>
        <v>0</v>
      </c>
      <c r="Y281" s="593">
        <f ca="1">$E281*(-SUMIF(INDIRECT(Y$3),'Struktur Aktuell'!$D281,INDIRECT(Y$4))+SUMIF(INDIRECT(Y$3),'Struktur Aktuell'!$D281,INDIRECT(Y$5)))</f>
        <v>0</v>
      </c>
      <c r="Z281" s="593">
        <f ca="1">$E281*(-SUMIF(INDIRECT(Z$3),'Struktur Aktuell'!$D281,INDIRECT(Z$4))+SUMIF(INDIRECT(Z$3),'Struktur Aktuell'!$D281,INDIRECT(Z$5)))</f>
        <v>0</v>
      </c>
      <c r="AA281" s="593">
        <f ca="1">$E281*(-SUMIF(INDIRECT(AA$3),'Struktur Aktuell'!$D281,INDIRECT(AA$4))+SUMIF(INDIRECT(AA$3),'Struktur Aktuell'!$D281,INDIRECT(AA$5)))</f>
        <v>0</v>
      </c>
      <c r="AB281" s="593">
        <f ca="1">$E281*(-SUMIF(INDIRECT(AB$3),'Struktur Aktuell'!$D281,INDIRECT(AB$4))+SUMIF(INDIRECT(AB$3),'Struktur Aktuell'!$D281,INDIRECT(AB$5)))</f>
        <v>0</v>
      </c>
      <c r="AC281" s="593">
        <f ca="1">$E281*(-SUMIF(INDIRECT(AC$3),'Struktur Aktuell'!$D281,INDIRECT(AC$4))+SUMIF(INDIRECT(AC$3),'Struktur Aktuell'!$D281,INDIRECT(AC$5)))</f>
        <v>0</v>
      </c>
      <c r="AD281" s="593">
        <f ca="1">$E281*(-SUMIF(INDIRECT(AD$3),'Struktur Aktuell'!$D281,INDIRECT(AD$4))+SUMIF(INDIRECT(AD$3),'Struktur Aktuell'!$D281,INDIRECT(AD$5)))</f>
        <v>0</v>
      </c>
      <c r="AE281" s="593">
        <f t="shared" ca="1" si="369"/>
        <v>0</v>
      </c>
      <c r="AF281" s="593">
        <f t="shared" ca="1" si="370"/>
        <v>0</v>
      </c>
      <c r="AG281" s="593">
        <f t="shared" ca="1" si="371"/>
        <v>0</v>
      </c>
      <c r="AH281" s="593">
        <f t="shared" ca="1" si="372"/>
        <v>0</v>
      </c>
      <c r="AI281" s="593">
        <f t="shared" ca="1" si="373"/>
        <v>0</v>
      </c>
      <c r="AJ281" s="593">
        <f t="shared" ca="1" si="374"/>
        <v>0</v>
      </c>
      <c r="AK281" s="593">
        <f t="shared" ca="1" si="375"/>
        <v>0</v>
      </c>
      <c r="AL281" s="593">
        <f t="shared" ca="1" si="376"/>
        <v>0</v>
      </c>
      <c r="AM281" s="593">
        <f t="shared" ca="1" si="377"/>
        <v>0</v>
      </c>
      <c r="AN281" s="593">
        <f t="shared" ca="1" si="378"/>
        <v>0</v>
      </c>
      <c r="AO281" s="593">
        <f t="shared" ca="1" si="379"/>
        <v>0</v>
      </c>
      <c r="AP281" s="593">
        <f t="shared" ca="1" si="380"/>
        <v>0</v>
      </c>
    </row>
    <row r="282" spans="1:42" s="594" customFormat="1" ht="11.25" outlineLevel="1" x14ac:dyDescent="0.2">
      <c r="A282" s="590"/>
      <c r="B282" s="591" t="str">
        <f>IF(D282&lt;&gt;"",
IF(ISERROR(MATCH(D282,'Ist Aktuell Monat 01'!A:A,0))=FALSE,INDEX('Ist Aktuell Monat 01'!B:B,MATCH(D282,'Ist Aktuell Monat 01'!A:A,0)),
IF(ISERROR(MATCH(D282,'Ist Aktuell Monat 02'!A:A,0))=FALSE,INDEX('Ist Aktuell Monat 02'!B:B,MATCH(D282,'Ist Aktuell Monat 02'!A:A,0)),
IF(ISERROR(MATCH(D282,'Ist Aktuell Monat 03'!A:A,0))=FALSE,INDEX('Ist Aktuell Monat 03'!B:B,MATCH(D282,'Ist Aktuell Monat 03'!A:A,0)),
IF(ISERROR(MATCH(D282,'Ist Aktuell Monat 04'!A:A,0))=FALSE,INDEX('Ist Aktuell Monat 04'!B:B,MATCH(D282,'Ist Aktuell Monat 04'!A:A,0)),
IF(ISERROR(MATCH(D282,'Ist Aktuell Monat 05'!A:A,0))=FALSE,INDEX('Ist Aktuell Monat 05'!B:B,MATCH(D282,'Ist Aktuell Monat 05'!A:A,0)),
IF(ISERROR(MATCH(D282,'Ist Aktuell Monat 06'!A:A,0))=FALSE,INDEX('Ist Aktuell Monat 06'!B:B,MATCH(D282,'Ist Aktuell Monat 06'!A:A,0)),
IF(ISERROR(MATCH(D282,'Ist Aktuell Monat 07'!A:A,0))=FALSE,INDEX('Ist Aktuell Monat 07'!B:B,MATCH(D282,'Ist Aktuell Monat 07'!A:A,0)),
IF(ISERROR(MATCH(D282,'Ist Aktuell Monat 08'!A:A,0))=FALSE,INDEX('Ist Aktuell Monat 08'!B:B,MATCH(D282,'Ist Aktuell Monat 08'!A:A,0)),
IF(ISERROR(MATCH(D282,'Ist Aktuell Monat 09'!A:A,0))=FALSE,INDEX('Ist Aktuell Monat 09'!B:B,MATCH(D282,'Ist Aktuell Monat 09'!A:A,0)),
IF(ISERROR(MATCH(D282,'Ist Aktuell Monat 10'!A:A,0))=FALSE,INDEX('Ist Aktuell Monat 10'!B:B,MATCH(D282,'Ist Aktuell Monat 10'!A:A,0)),
IF(ISERROR(MATCH(D282,'Ist Aktuell Monat 11'!A:A,0))=FALSE,INDEX('Ist Aktuell Monat 11'!B:B,MATCH(D282,'Ist Aktuell Monat 11'!A:A,0)),
IF(ISERROR(MATCH(D282,'Ist Aktuell Monat 12'!A:A,0))=FALSE,INDEX('Ist Aktuell Monat 12'!B:B,MATCH(D282,'Ist Aktuell Monat 12'!A:A,0)),
"{Konto unbekannt}"
)))))))))))),"")</f>
        <v/>
      </c>
      <c r="C282" s="591"/>
      <c r="D282" s="590"/>
      <c r="E282" s="592">
        <f t="shared" si="381"/>
        <v>1</v>
      </c>
      <c r="F282" s="590"/>
      <c r="G282" s="593">
        <f ca="1">$E282*(-SUMIF(INDIRECT(G$3),'Struktur Aktuell'!$D282,INDIRECT(G$4))+SUMIF(INDIRECT(G$3),'Struktur Aktuell'!$D282,INDIRECT(G$5)))</f>
        <v>0</v>
      </c>
      <c r="H282" s="593">
        <f ca="1">$E282*(-SUMIF(INDIRECT(H$3),'Struktur Aktuell'!$D282,INDIRECT(H$4))+SUMIF(INDIRECT(H$3),'Struktur Aktuell'!$D282,INDIRECT(H$5)))</f>
        <v>0</v>
      </c>
      <c r="I282" s="593">
        <f ca="1">$E282*(-SUMIF(INDIRECT(I$3),'Struktur Aktuell'!$D282,INDIRECT(I$4))+SUMIF(INDIRECT(I$3),'Struktur Aktuell'!$D282,INDIRECT(I$5)))</f>
        <v>0</v>
      </c>
      <c r="J282" s="593">
        <f ca="1">$E282*(-SUMIF(INDIRECT(J$3),'Struktur Aktuell'!$D282,INDIRECT(J$4))+SUMIF(INDIRECT(J$3),'Struktur Aktuell'!$D282,INDIRECT(J$5)))</f>
        <v>0</v>
      </c>
      <c r="K282" s="593">
        <f ca="1">$E282*(-SUMIF(INDIRECT(K$3),'Struktur Aktuell'!$D282,INDIRECT(K$4))+SUMIF(INDIRECT(K$3),'Struktur Aktuell'!$D282,INDIRECT(K$5)))</f>
        <v>0</v>
      </c>
      <c r="L282" s="593">
        <f ca="1">$E282*(-SUMIF(INDIRECT(L$3),'Struktur Aktuell'!$D282,INDIRECT(L$4))+SUMIF(INDIRECT(L$3),'Struktur Aktuell'!$D282,INDIRECT(L$5)))</f>
        <v>0</v>
      </c>
      <c r="M282" s="593">
        <f ca="1">$E282*(-SUMIF(INDIRECT(M$3),'Struktur Aktuell'!$D282,INDIRECT(M$4))+SUMIF(INDIRECT(M$3),'Struktur Aktuell'!$D282,INDIRECT(M$5)))</f>
        <v>0</v>
      </c>
      <c r="N282" s="593">
        <f ca="1">$E282*(-SUMIF(INDIRECT(N$3),'Struktur Aktuell'!$D282,INDIRECT(N$4))+SUMIF(INDIRECT(N$3),'Struktur Aktuell'!$D282,INDIRECT(N$5)))</f>
        <v>0</v>
      </c>
      <c r="O282" s="593">
        <f ca="1">$E282*(-SUMIF(INDIRECT(O$3),'Struktur Aktuell'!$D282,INDIRECT(O$4))+SUMIF(INDIRECT(O$3),'Struktur Aktuell'!$D282,INDIRECT(O$5)))</f>
        <v>0</v>
      </c>
      <c r="P282" s="593">
        <f ca="1">$E282*(-SUMIF(INDIRECT(P$3),'Struktur Aktuell'!$D282,INDIRECT(P$4))+SUMIF(INDIRECT(P$3),'Struktur Aktuell'!$D282,INDIRECT(P$5)))</f>
        <v>0</v>
      </c>
      <c r="Q282" s="593">
        <f ca="1">$E282*(-SUMIF(INDIRECT(Q$3),'Struktur Aktuell'!$D282,INDIRECT(Q$4))+SUMIF(INDIRECT(Q$3),'Struktur Aktuell'!$D282,INDIRECT(Q$5)))</f>
        <v>0</v>
      </c>
      <c r="R282" s="593">
        <f ca="1">$E282*(-SUMIF(INDIRECT(R$3),'Struktur Aktuell'!$D282,INDIRECT(R$4))+SUMIF(INDIRECT(R$3),'Struktur Aktuell'!$D282,INDIRECT(R$5)))</f>
        <v>0</v>
      </c>
      <c r="S282" s="593">
        <f ca="1">$E282*(-SUMIF(INDIRECT(S$3),'Struktur Aktuell'!$D282,INDIRECT(S$4))+SUMIF(INDIRECT(S$3),'Struktur Aktuell'!$D282,INDIRECT(S$5)))</f>
        <v>0</v>
      </c>
      <c r="T282" s="593">
        <f ca="1">$E282*(-SUMIF(INDIRECT(T$3),'Struktur Aktuell'!$D282,INDIRECT(T$4))+SUMIF(INDIRECT(T$3),'Struktur Aktuell'!$D282,INDIRECT(T$5)))</f>
        <v>0</v>
      </c>
      <c r="U282" s="593">
        <f ca="1">$E282*(-SUMIF(INDIRECT(U$3),'Struktur Aktuell'!$D282,INDIRECT(U$4))+SUMIF(INDIRECT(U$3),'Struktur Aktuell'!$D282,INDIRECT(U$5)))</f>
        <v>0</v>
      </c>
      <c r="V282" s="593">
        <f ca="1">$E282*(-SUMIF(INDIRECT(V$3),'Struktur Aktuell'!$D282,INDIRECT(V$4))+SUMIF(INDIRECT(V$3),'Struktur Aktuell'!$D282,INDIRECT(V$5)))</f>
        <v>0</v>
      </c>
      <c r="W282" s="593">
        <f ca="1">$E282*(-SUMIF(INDIRECT(W$3),'Struktur Aktuell'!$D282,INDIRECT(W$4))+SUMIF(INDIRECT(W$3),'Struktur Aktuell'!$D282,INDIRECT(W$5)))</f>
        <v>0</v>
      </c>
      <c r="X282" s="593">
        <f ca="1">$E282*(-SUMIF(INDIRECT(X$3),'Struktur Aktuell'!$D282,INDIRECT(X$4))+SUMIF(INDIRECT(X$3),'Struktur Aktuell'!$D282,INDIRECT(X$5)))</f>
        <v>0</v>
      </c>
      <c r="Y282" s="593">
        <f ca="1">$E282*(-SUMIF(INDIRECT(Y$3),'Struktur Aktuell'!$D282,INDIRECT(Y$4))+SUMIF(INDIRECT(Y$3),'Struktur Aktuell'!$D282,INDIRECT(Y$5)))</f>
        <v>0</v>
      </c>
      <c r="Z282" s="593">
        <f ca="1">$E282*(-SUMIF(INDIRECT(Z$3),'Struktur Aktuell'!$D282,INDIRECT(Z$4))+SUMIF(INDIRECT(Z$3),'Struktur Aktuell'!$D282,INDIRECT(Z$5)))</f>
        <v>0</v>
      </c>
      <c r="AA282" s="593">
        <f ca="1">$E282*(-SUMIF(INDIRECT(AA$3),'Struktur Aktuell'!$D282,INDIRECT(AA$4))+SUMIF(INDIRECT(AA$3),'Struktur Aktuell'!$D282,INDIRECT(AA$5)))</f>
        <v>0</v>
      </c>
      <c r="AB282" s="593">
        <f ca="1">$E282*(-SUMIF(INDIRECT(AB$3),'Struktur Aktuell'!$D282,INDIRECT(AB$4))+SUMIF(INDIRECT(AB$3),'Struktur Aktuell'!$D282,INDIRECT(AB$5)))</f>
        <v>0</v>
      </c>
      <c r="AC282" s="593">
        <f ca="1">$E282*(-SUMIF(INDIRECT(AC$3),'Struktur Aktuell'!$D282,INDIRECT(AC$4))+SUMIF(INDIRECT(AC$3),'Struktur Aktuell'!$D282,INDIRECT(AC$5)))</f>
        <v>0</v>
      </c>
      <c r="AD282" s="593">
        <f ca="1">$E282*(-SUMIF(INDIRECT(AD$3),'Struktur Aktuell'!$D282,INDIRECT(AD$4))+SUMIF(INDIRECT(AD$3),'Struktur Aktuell'!$D282,INDIRECT(AD$5)))</f>
        <v>0</v>
      </c>
      <c r="AE282" s="593">
        <f t="shared" ca="1" si="369"/>
        <v>0</v>
      </c>
      <c r="AF282" s="593">
        <f t="shared" ca="1" si="370"/>
        <v>0</v>
      </c>
      <c r="AG282" s="593">
        <f t="shared" ca="1" si="371"/>
        <v>0</v>
      </c>
      <c r="AH282" s="593">
        <f t="shared" ca="1" si="372"/>
        <v>0</v>
      </c>
      <c r="AI282" s="593">
        <f t="shared" ca="1" si="373"/>
        <v>0</v>
      </c>
      <c r="AJ282" s="593">
        <f t="shared" ca="1" si="374"/>
        <v>0</v>
      </c>
      <c r="AK282" s="593">
        <f t="shared" ca="1" si="375"/>
        <v>0</v>
      </c>
      <c r="AL282" s="593">
        <f t="shared" ca="1" si="376"/>
        <v>0</v>
      </c>
      <c r="AM282" s="593">
        <f t="shared" ca="1" si="377"/>
        <v>0</v>
      </c>
      <c r="AN282" s="593">
        <f t="shared" ca="1" si="378"/>
        <v>0</v>
      </c>
      <c r="AO282" s="593">
        <f t="shared" ca="1" si="379"/>
        <v>0</v>
      </c>
      <c r="AP282" s="593">
        <f t="shared" ca="1" si="380"/>
        <v>0</v>
      </c>
    </row>
    <row r="283" spans="1:42" s="594" customFormat="1" ht="11.25" outlineLevel="1" x14ac:dyDescent="0.2">
      <c r="A283" s="590"/>
      <c r="B283" s="591" t="str">
        <f>IF(D283&lt;&gt;"",
IF(ISERROR(MATCH(D283,'Ist Aktuell Monat 01'!A:A,0))=FALSE,INDEX('Ist Aktuell Monat 01'!B:B,MATCH(D283,'Ist Aktuell Monat 01'!A:A,0)),
IF(ISERROR(MATCH(D283,'Ist Aktuell Monat 02'!A:A,0))=FALSE,INDEX('Ist Aktuell Monat 02'!B:B,MATCH(D283,'Ist Aktuell Monat 02'!A:A,0)),
IF(ISERROR(MATCH(D283,'Ist Aktuell Monat 03'!A:A,0))=FALSE,INDEX('Ist Aktuell Monat 03'!B:B,MATCH(D283,'Ist Aktuell Monat 03'!A:A,0)),
IF(ISERROR(MATCH(D283,'Ist Aktuell Monat 04'!A:A,0))=FALSE,INDEX('Ist Aktuell Monat 04'!B:B,MATCH(D283,'Ist Aktuell Monat 04'!A:A,0)),
IF(ISERROR(MATCH(D283,'Ist Aktuell Monat 05'!A:A,0))=FALSE,INDEX('Ist Aktuell Monat 05'!B:B,MATCH(D283,'Ist Aktuell Monat 05'!A:A,0)),
IF(ISERROR(MATCH(D283,'Ist Aktuell Monat 06'!A:A,0))=FALSE,INDEX('Ist Aktuell Monat 06'!B:B,MATCH(D283,'Ist Aktuell Monat 06'!A:A,0)),
IF(ISERROR(MATCH(D283,'Ist Aktuell Monat 07'!A:A,0))=FALSE,INDEX('Ist Aktuell Monat 07'!B:B,MATCH(D283,'Ist Aktuell Monat 07'!A:A,0)),
IF(ISERROR(MATCH(D283,'Ist Aktuell Monat 08'!A:A,0))=FALSE,INDEX('Ist Aktuell Monat 08'!B:B,MATCH(D283,'Ist Aktuell Monat 08'!A:A,0)),
IF(ISERROR(MATCH(D283,'Ist Aktuell Monat 09'!A:A,0))=FALSE,INDEX('Ist Aktuell Monat 09'!B:B,MATCH(D283,'Ist Aktuell Monat 09'!A:A,0)),
IF(ISERROR(MATCH(D283,'Ist Aktuell Monat 10'!A:A,0))=FALSE,INDEX('Ist Aktuell Monat 10'!B:B,MATCH(D283,'Ist Aktuell Monat 10'!A:A,0)),
IF(ISERROR(MATCH(D283,'Ist Aktuell Monat 11'!A:A,0))=FALSE,INDEX('Ist Aktuell Monat 11'!B:B,MATCH(D283,'Ist Aktuell Monat 11'!A:A,0)),
IF(ISERROR(MATCH(D283,'Ist Aktuell Monat 12'!A:A,0))=FALSE,INDEX('Ist Aktuell Monat 12'!B:B,MATCH(D283,'Ist Aktuell Monat 12'!A:A,0)),
"{Konto unbekannt}"
)))))))))))),"")</f>
        <v/>
      </c>
      <c r="C283" s="591"/>
      <c r="D283" s="590"/>
      <c r="E283" s="592">
        <f t="shared" si="381"/>
        <v>1</v>
      </c>
      <c r="F283" s="590"/>
      <c r="G283" s="593">
        <f ca="1">$E283*(-SUMIF(INDIRECT(G$3),'Struktur Aktuell'!$D283,INDIRECT(G$4))+SUMIF(INDIRECT(G$3),'Struktur Aktuell'!$D283,INDIRECT(G$5)))</f>
        <v>0</v>
      </c>
      <c r="H283" s="593">
        <f ca="1">$E283*(-SUMIF(INDIRECT(H$3),'Struktur Aktuell'!$D283,INDIRECT(H$4))+SUMIF(INDIRECT(H$3),'Struktur Aktuell'!$D283,INDIRECT(H$5)))</f>
        <v>0</v>
      </c>
      <c r="I283" s="593">
        <f ca="1">$E283*(-SUMIF(INDIRECT(I$3),'Struktur Aktuell'!$D283,INDIRECT(I$4))+SUMIF(INDIRECT(I$3),'Struktur Aktuell'!$D283,INDIRECT(I$5)))</f>
        <v>0</v>
      </c>
      <c r="J283" s="593">
        <f ca="1">$E283*(-SUMIF(INDIRECT(J$3),'Struktur Aktuell'!$D283,INDIRECT(J$4))+SUMIF(INDIRECT(J$3),'Struktur Aktuell'!$D283,INDIRECT(J$5)))</f>
        <v>0</v>
      </c>
      <c r="K283" s="593">
        <f ca="1">$E283*(-SUMIF(INDIRECT(K$3),'Struktur Aktuell'!$D283,INDIRECT(K$4))+SUMIF(INDIRECT(K$3),'Struktur Aktuell'!$D283,INDIRECT(K$5)))</f>
        <v>0</v>
      </c>
      <c r="L283" s="593">
        <f ca="1">$E283*(-SUMIF(INDIRECT(L$3),'Struktur Aktuell'!$D283,INDIRECT(L$4))+SUMIF(INDIRECT(L$3),'Struktur Aktuell'!$D283,INDIRECT(L$5)))</f>
        <v>0</v>
      </c>
      <c r="M283" s="593">
        <f ca="1">$E283*(-SUMIF(INDIRECT(M$3),'Struktur Aktuell'!$D283,INDIRECT(M$4))+SUMIF(INDIRECT(M$3),'Struktur Aktuell'!$D283,INDIRECT(M$5)))</f>
        <v>0</v>
      </c>
      <c r="N283" s="593">
        <f ca="1">$E283*(-SUMIF(INDIRECT(N$3),'Struktur Aktuell'!$D283,INDIRECT(N$4))+SUMIF(INDIRECT(N$3),'Struktur Aktuell'!$D283,INDIRECT(N$5)))</f>
        <v>0</v>
      </c>
      <c r="O283" s="593">
        <f ca="1">$E283*(-SUMIF(INDIRECT(O$3),'Struktur Aktuell'!$D283,INDIRECT(O$4))+SUMIF(INDIRECT(O$3),'Struktur Aktuell'!$D283,INDIRECT(O$5)))</f>
        <v>0</v>
      </c>
      <c r="P283" s="593">
        <f ca="1">$E283*(-SUMIF(INDIRECT(P$3),'Struktur Aktuell'!$D283,INDIRECT(P$4))+SUMIF(INDIRECT(P$3),'Struktur Aktuell'!$D283,INDIRECT(P$5)))</f>
        <v>0</v>
      </c>
      <c r="Q283" s="593">
        <f ca="1">$E283*(-SUMIF(INDIRECT(Q$3),'Struktur Aktuell'!$D283,INDIRECT(Q$4))+SUMIF(INDIRECT(Q$3),'Struktur Aktuell'!$D283,INDIRECT(Q$5)))</f>
        <v>0</v>
      </c>
      <c r="R283" s="593">
        <f ca="1">$E283*(-SUMIF(INDIRECT(R$3),'Struktur Aktuell'!$D283,INDIRECT(R$4))+SUMIF(INDIRECT(R$3),'Struktur Aktuell'!$D283,INDIRECT(R$5)))</f>
        <v>0</v>
      </c>
      <c r="S283" s="593">
        <f ca="1">$E283*(-SUMIF(INDIRECT(S$3),'Struktur Aktuell'!$D283,INDIRECT(S$4))+SUMIF(INDIRECT(S$3),'Struktur Aktuell'!$D283,INDIRECT(S$5)))</f>
        <v>0</v>
      </c>
      <c r="T283" s="593">
        <f ca="1">$E283*(-SUMIF(INDIRECT(T$3),'Struktur Aktuell'!$D283,INDIRECT(T$4))+SUMIF(INDIRECT(T$3),'Struktur Aktuell'!$D283,INDIRECT(T$5)))</f>
        <v>0</v>
      </c>
      <c r="U283" s="593">
        <f ca="1">$E283*(-SUMIF(INDIRECT(U$3),'Struktur Aktuell'!$D283,INDIRECT(U$4))+SUMIF(INDIRECT(U$3),'Struktur Aktuell'!$D283,INDIRECT(U$5)))</f>
        <v>0</v>
      </c>
      <c r="V283" s="593">
        <f ca="1">$E283*(-SUMIF(INDIRECT(V$3),'Struktur Aktuell'!$D283,INDIRECT(V$4))+SUMIF(INDIRECT(V$3),'Struktur Aktuell'!$D283,INDIRECT(V$5)))</f>
        <v>0</v>
      </c>
      <c r="W283" s="593">
        <f ca="1">$E283*(-SUMIF(INDIRECT(W$3),'Struktur Aktuell'!$D283,INDIRECT(W$4))+SUMIF(INDIRECT(W$3),'Struktur Aktuell'!$D283,INDIRECT(W$5)))</f>
        <v>0</v>
      </c>
      <c r="X283" s="593">
        <f ca="1">$E283*(-SUMIF(INDIRECT(X$3),'Struktur Aktuell'!$D283,INDIRECT(X$4))+SUMIF(INDIRECT(X$3),'Struktur Aktuell'!$D283,INDIRECT(X$5)))</f>
        <v>0</v>
      </c>
      <c r="Y283" s="593">
        <f ca="1">$E283*(-SUMIF(INDIRECT(Y$3),'Struktur Aktuell'!$D283,INDIRECT(Y$4))+SUMIF(INDIRECT(Y$3),'Struktur Aktuell'!$D283,INDIRECT(Y$5)))</f>
        <v>0</v>
      </c>
      <c r="Z283" s="593">
        <f ca="1">$E283*(-SUMIF(INDIRECT(Z$3),'Struktur Aktuell'!$D283,INDIRECT(Z$4))+SUMIF(INDIRECT(Z$3),'Struktur Aktuell'!$D283,INDIRECT(Z$5)))</f>
        <v>0</v>
      </c>
      <c r="AA283" s="593">
        <f ca="1">$E283*(-SUMIF(INDIRECT(AA$3),'Struktur Aktuell'!$D283,INDIRECT(AA$4))+SUMIF(INDIRECT(AA$3),'Struktur Aktuell'!$D283,INDIRECT(AA$5)))</f>
        <v>0</v>
      </c>
      <c r="AB283" s="593">
        <f ca="1">$E283*(-SUMIF(INDIRECT(AB$3),'Struktur Aktuell'!$D283,INDIRECT(AB$4))+SUMIF(INDIRECT(AB$3),'Struktur Aktuell'!$D283,INDIRECT(AB$5)))</f>
        <v>0</v>
      </c>
      <c r="AC283" s="593">
        <f ca="1">$E283*(-SUMIF(INDIRECT(AC$3),'Struktur Aktuell'!$D283,INDIRECT(AC$4))+SUMIF(INDIRECT(AC$3),'Struktur Aktuell'!$D283,INDIRECT(AC$5)))</f>
        <v>0</v>
      </c>
      <c r="AD283" s="593">
        <f ca="1">$E283*(-SUMIF(INDIRECT(AD$3),'Struktur Aktuell'!$D283,INDIRECT(AD$4))+SUMIF(INDIRECT(AD$3),'Struktur Aktuell'!$D283,INDIRECT(AD$5)))</f>
        <v>0</v>
      </c>
      <c r="AE283" s="593">
        <f t="shared" ca="1" si="369"/>
        <v>0</v>
      </c>
      <c r="AF283" s="593">
        <f t="shared" ca="1" si="370"/>
        <v>0</v>
      </c>
      <c r="AG283" s="593">
        <f t="shared" ca="1" si="371"/>
        <v>0</v>
      </c>
      <c r="AH283" s="593">
        <f t="shared" ca="1" si="372"/>
        <v>0</v>
      </c>
      <c r="AI283" s="593">
        <f t="shared" ca="1" si="373"/>
        <v>0</v>
      </c>
      <c r="AJ283" s="593">
        <f t="shared" ca="1" si="374"/>
        <v>0</v>
      </c>
      <c r="AK283" s="593">
        <f t="shared" ca="1" si="375"/>
        <v>0</v>
      </c>
      <c r="AL283" s="593">
        <f t="shared" ca="1" si="376"/>
        <v>0</v>
      </c>
      <c r="AM283" s="593">
        <f t="shared" ca="1" si="377"/>
        <v>0</v>
      </c>
      <c r="AN283" s="593">
        <f t="shared" ca="1" si="378"/>
        <v>0</v>
      </c>
      <c r="AO283" s="593">
        <f t="shared" ca="1" si="379"/>
        <v>0</v>
      </c>
      <c r="AP283" s="593">
        <f t="shared" ca="1" si="380"/>
        <v>0</v>
      </c>
    </row>
    <row r="284" spans="1:42" s="594" customFormat="1" ht="11.25" outlineLevel="1" x14ac:dyDescent="0.2">
      <c r="A284" s="590"/>
      <c r="B284" s="591" t="str">
        <f>IF(D284&lt;&gt;"",
IF(ISERROR(MATCH(D284,'Ist Aktuell Monat 01'!A:A,0))=FALSE,INDEX('Ist Aktuell Monat 01'!B:B,MATCH(D284,'Ist Aktuell Monat 01'!A:A,0)),
IF(ISERROR(MATCH(D284,'Ist Aktuell Monat 02'!A:A,0))=FALSE,INDEX('Ist Aktuell Monat 02'!B:B,MATCH(D284,'Ist Aktuell Monat 02'!A:A,0)),
IF(ISERROR(MATCH(D284,'Ist Aktuell Monat 03'!A:A,0))=FALSE,INDEX('Ist Aktuell Monat 03'!B:B,MATCH(D284,'Ist Aktuell Monat 03'!A:A,0)),
IF(ISERROR(MATCH(D284,'Ist Aktuell Monat 04'!A:A,0))=FALSE,INDEX('Ist Aktuell Monat 04'!B:B,MATCH(D284,'Ist Aktuell Monat 04'!A:A,0)),
IF(ISERROR(MATCH(D284,'Ist Aktuell Monat 05'!A:A,0))=FALSE,INDEX('Ist Aktuell Monat 05'!B:B,MATCH(D284,'Ist Aktuell Monat 05'!A:A,0)),
IF(ISERROR(MATCH(D284,'Ist Aktuell Monat 06'!A:A,0))=FALSE,INDEX('Ist Aktuell Monat 06'!B:B,MATCH(D284,'Ist Aktuell Monat 06'!A:A,0)),
IF(ISERROR(MATCH(D284,'Ist Aktuell Monat 07'!A:A,0))=FALSE,INDEX('Ist Aktuell Monat 07'!B:B,MATCH(D284,'Ist Aktuell Monat 07'!A:A,0)),
IF(ISERROR(MATCH(D284,'Ist Aktuell Monat 08'!A:A,0))=FALSE,INDEX('Ist Aktuell Monat 08'!B:B,MATCH(D284,'Ist Aktuell Monat 08'!A:A,0)),
IF(ISERROR(MATCH(D284,'Ist Aktuell Monat 09'!A:A,0))=FALSE,INDEX('Ist Aktuell Monat 09'!B:B,MATCH(D284,'Ist Aktuell Monat 09'!A:A,0)),
IF(ISERROR(MATCH(D284,'Ist Aktuell Monat 10'!A:A,0))=FALSE,INDEX('Ist Aktuell Monat 10'!B:B,MATCH(D284,'Ist Aktuell Monat 10'!A:A,0)),
IF(ISERROR(MATCH(D284,'Ist Aktuell Monat 11'!A:A,0))=FALSE,INDEX('Ist Aktuell Monat 11'!B:B,MATCH(D284,'Ist Aktuell Monat 11'!A:A,0)),
IF(ISERROR(MATCH(D284,'Ist Aktuell Monat 12'!A:A,0))=FALSE,INDEX('Ist Aktuell Monat 12'!B:B,MATCH(D284,'Ist Aktuell Monat 12'!A:A,0)),
"{Konto unbekannt}"
)))))))))))),"")</f>
        <v/>
      </c>
      <c r="C284" s="591"/>
      <c r="D284" s="590"/>
      <c r="E284" s="592">
        <f t="shared" si="381"/>
        <v>1</v>
      </c>
      <c r="F284" s="590"/>
      <c r="G284" s="593">
        <f ca="1">$E284*(-SUMIF(INDIRECT(G$3),'Struktur Aktuell'!$D284,INDIRECT(G$4))+SUMIF(INDIRECT(G$3),'Struktur Aktuell'!$D284,INDIRECT(G$5)))</f>
        <v>0</v>
      </c>
      <c r="H284" s="593">
        <f ca="1">$E284*(-SUMIF(INDIRECT(H$3),'Struktur Aktuell'!$D284,INDIRECT(H$4))+SUMIF(INDIRECT(H$3),'Struktur Aktuell'!$D284,INDIRECT(H$5)))</f>
        <v>0</v>
      </c>
      <c r="I284" s="593">
        <f ca="1">$E284*(-SUMIF(INDIRECT(I$3),'Struktur Aktuell'!$D284,INDIRECT(I$4))+SUMIF(INDIRECT(I$3),'Struktur Aktuell'!$D284,INDIRECT(I$5)))</f>
        <v>0</v>
      </c>
      <c r="J284" s="593">
        <f ca="1">$E284*(-SUMIF(INDIRECT(J$3),'Struktur Aktuell'!$D284,INDIRECT(J$4))+SUMIF(INDIRECT(J$3),'Struktur Aktuell'!$D284,INDIRECT(J$5)))</f>
        <v>0</v>
      </c>
      <c r="K284" s="593">
        <f ca="1">$E284*(-SUMIF(INDIRECT(K$3),'Struktur Aktuell'!$D284,INDIRECT(K$4))+SUMIF(INDIRECT(K$3),'Struktur Aktuell'!$D284,INDIRECT(K$5)))</f>
        <v>0</v>
      </c>
      <c r="L284" s="593">
        <f ca="1">$E284*(-SUMIF(INDIRECT(L$3),'Struktur Aktuell'!$D284,INDIRECT(L$4))+SUMIF(INDIRECT(L$3),'Struktur Aktuell'!$D284,INDIRECT(L$5)))</f>
        <v>0</v>
      </c>
      <c r="M284" s="593">
        <f ca="1">$E284*(-SUMIF(INDIRECT(M$3),'Struktur Aktuell'!$D284,INDIRECT(M$4))+SUMIF(INDIRECT(M$3),'Struktur Aktuell'!$D284,INDIRECT(M$5)))</f>
        <v>0</v>
      </c>
      <c r="N284" s="593">
        <f ca="1">$E284*(-SUMIF(INDIRECT(N$3),'Struktur Aktuell'!$D284,INDIRECT(N$4))+SUMIF(INDIRECT(N$3),'Struktur Aktuell'!$D284,INDIRECT(N$5)))</f>
        <v>0</v>
      </c>
      <c r="O284" s="593">
        <f ca="1">$E284*(-SUMIF(INDIRECT(O$3),'Struktur Aktuell'!$D284,INDIRECT(O$4))+SUMIF(INDIRECT(O$3),'Struktur Aktuell'!$D284,INDIRECT(O$5)))</f>
        <v>0</v>
      </c>
      <c r="P284" s="593">
        <f ca="1">$E284*(-SUMIF(INDIRECT(P$3),'Struktur Aktuell'!$D284,INDIRECT(P$4))+SUMIF(INDIRECT(P$3),'Struktur Aktuell'!$D284,INDIRECT(P$5)))</f>
        <v>0</v>
      </c>
      <c r="Q284" s="593">
        <f ca="1">$E284*(-SUMIF(INDIRECT(Q$3),'Struktur Aktuell'!$D284,INDIRECT(Q$4))+SUMIF(INDIRECT(Q$3),'Struktur Aktuell'!$D284,INDIRECT(Q$5)))</f>
        <v>0</v>
      </c>
      <c r="R284" s="593">
        <f ca="1">$E284*(-SUMIF(INDIRECT(R$3),'Struktur Aktuell'!$D284,INDIRECT(R$4))+SUMIF(INDIRECT(R$3),'Struktur Aktuell'!$D284,INDIRECT(R$5)))</f>
        <v>0</v>
      </c>
      <c r="S284" s="593">
        <f ca="1">$E284*(-SUMIF(INDIRECT(S$3),'Struktur Aktuell'!$D284,INDIRECT(S$4))+SUMIF(INDIRECT(S$3),'Struktur Aktuell'!$D284,INDIRECT(S$5)))</f>
        <v>0</v>
      </c>
      <c r="T284" s="593">
        <f ca="1">$E284*(-SUMIF(INDIRECT(T$3),'Struktur Aktuell'!$D284,INDIRECT(T$4))+SUMIF(INDIRECT(T$3),'Struktur Aktuell'!$D284,INDIRECT(T$5)))</f>
        <v>0</v>
      </c>
      <c r="U284" s="593">
        <f ca="1">$E284*(-SUMIF(INDIRECT(U$3),'Struktur Aktuell'!$D284,INDIRECT(U$4))+SUMIF(INDIRECT(U$3),'Struktur Aktuell'!$D284,INDIRECT(U$5)))</f>
        <v>0</v>
      </c>
      <c r="V284" s="593">
        <f ca="1">$E284*(-SUMIF(INDIRECT(V$3),'Struktur Aktuell'!$D284,INDIRECT(V$4))+SUMIF(INDIRECT(V$3),'Struktur Aktuell'!$D284,INDIRECT(V$5)))</f>
        <v>0</v>
      </c>
      <c r="W284" s="593">
        <f ca="1">$E284*(-SUMIF(INDIRECT(W$3),'Struktur Aktuell'!$D284,INDIRECT(W$4))+SUMIF(INDIRECT(W$3),'Struktur Aktuell'!$D284,INDIRECT(W$5)))</f>
        <v>0</v>
      </c>
      <c r="X284" s="593">
        <f ca="1">$E284*(-SUMIF(INDIRECT(X$3),'Struktur Aktuell'!$D284,INDIRECT(X$4))+SUMIF(INDIRECT(X$3),'Struktur Aktuell'!$D284,INDIRECT(X$5)))</f>
        <v>0</v>
      </c>
      <c r="Y284" s="593">
        <f ca="1">$E284*(-SUMIF(INDIRECT(Y$3),'Struktur Aktuell'!$D284,INDIRECT(Y$4))+SUMIF(INDIRECT(Y$3),'Struktur Aktuell'!$D284,INDIRECT(Y$5)))</f>
        <v>0</v>
      </c>
      <c r="Z284" s="593">
        <f ca="1">$E284*(-SUMIF(INDIRECT(Z$3),'Struktur Aktuell'!$D284,INDIRECT(Z$4))+SUMIF(INDIRECT(Z$3),'Struktur Aktuell'!$D284,INDIRECT(Z$5)))</f>
        <v>0</v>
      </c>
      <c r="AA284" s="593">
        <f ca="1">$E284*(-SUMIF(INDIRECT(AA$3),'Struktur Aktuell'!$D284,INDIRECT(AA$4))+SUMIF(INDIRECT(AA$3),'Struktur Aktuell'!$D284,INDIRECT(AA$5)))</f>
        <v>0</v>
      </c>
      <c r="AB284" s="593">
        <f ca="1">$E284*(-SUMIF(INDIRECT(AB$3),'Struktur Aktuell'!$D284,INDIRECT(AB$4))+SUMIF(INDIRECT(AB$3),'Struktur Aktuell'!$D284,INDIRECT(AB$5)))</f>
        <v>0</v>
      </c>
      <c r="AC284" s="593">
        <f ca="1">$E284*(-SUMIF(INDIRECT(AC$3),'Struktur Aktuell'!$D284,INDIRECT(AC$4))+SUMIF(INDIRECT(AC$3),'Struktur Aktuell'!$D284,INDIRECT(AC$5)))</f>
        <v>0</v>
      </c>
      <c r="AD284" s="593">
        <f ca="1">$E284*(-SUMIF(INDIRECT(AD$3),'Struktur Aktuell'!$D284,INDIRECT(AD$4))+SUMIF(INDIRECT(AD$3),'Struktur Aktuell'!$D284,INDIRECT(AD$5)))</f>
        <v>0</v>
      </c>
      <c r="AE284" s="593">
        <f t="shared" ca="1" si="369"/>
        <v>0</v>
      </c>
      <c r="AF284" s="593">
        <f t="shared" ca="1" si="370"/>
        <v>0</v>
      </c>
      <c r="AG284" s="593">
        <f t="shared" ca="1" si="371"/>
        <v>0</v>
      </c>
      <c r="AH284" s="593">
        <f t="shared" ca="1" si="372"/>
        <v>0</v>
      </c>
      <c r="AI284" s="593">
        <f t="shared" ca="1" si="373"/>
        <v>0</v>
      </c>
      <c r="AJ284" s="593">
        <f t="shared" ca="1" si="374"/>
        <v>0</v>
      </c>
      <c r="AK284" s="593">
        <f t="shared" ca="1" si="375"/>
        <v>0</v>
      </c>
      <c r="AL284" s="593">
        <f t="shared" ca="1" si="376"/>
        <v>0</v>
      </c>
      <c r="AM284" s="593">
        <f t="shared" ca="1" si="377"/>
        <v>0</v>
      </c>
      <c r="AN284" s="593">
        <f t="shared" ca="1" si="378"/>
        <v>0</v>
      </c>
      <c r="AO284" s="593">
        <f t="shared" ca="1" si="379"/>
        <v>0</v>
      </c>
      <c r="AP284" s="593">
        <f t="shared" ca="1" si="380"/>
        <v>0</v>
      </c>
    </row>
    <row r="285" spans="1:42" s="594" customFormat="1" ht="11.25" outlineLevel="1" x14ac:dyDescent="0.2">
      <c r="A285" s="590"/>
      <c r="B285" s="591" t="str">
        <f>IF(D285&lt;&gt;"",
IF(ISERROR(MATCH(D285,'Ist Aktuell Monat 01'!A:A,0))=FALSE,INDEX('Ist Aktuell Monat 01'!B:B,MATCH(D285,'Ist Aktuell Monat 01'!A:A,0)),
IF(ISERROR(MATCH(D285,'Ist Aktuell Monat 02'!A:A,0))=FALSE,INDEX('Ist Aktuell Monat 02'!B:B,MATCH(D285,'Ist Aktuell Monat 02'!A:A,0)),
IF(ISERROR(MATCH(D285,'Ist Aktuell Monat 03'!A:A,0))=FALSE,INDEX('Ist Aktuell Monat 03'!B:B,MATCH(D285,'Ist Aktuell Monat 03'!A:A,0)),
IF(ISERROR(MATCH(D285,'Ist Aktuell Monat 04'!A:A,0))=FALSE,INDEX('Ist Aktuell Monat 04'!B:B,MATCH(D285,'Ist Aktuell Monat 04'!A:A,0)),
IF(ISERROR(MATCH(D285,'Ist Aktuell Monat 05'!A:A,0))=FALSE,INDEX('Ist Aktuell Monat 05'!B:B,MATCH(D285,'Ist Aktuell Monat 05'!A:A,0)),
IF(ISERROR(MATCH(D285,'Ist Aktuell Monat 06'!A:A,0))=FALSE,INDEX('Ist Aktuell Monat 06'!B:B,MATCH(D285,'Ist Aktuell Monat 06'!A:A,0)),
IF(ISERROR(MATCH(D285,'Ist Aktuell Monat 07'!A:A,0))=FALSE,INDEX('Ist Aktuell Monat 07'!B:B,MATCH(D285,'Ist Aktuell Monat 07'!A:A,0)),
IF(ISERROR(MATCH(D285,'Ist Aktuell Monat 08'!A:A,0))=FALSE,INDEX('Ist Aktuell Monat 08'!B:B,MATCH(D285,'Ist Aktuell Monat 08'!A:A,0)),
IF(ISERROR(MATCH(D285,'Ist Aktuell Monat 09'!A:A,0))=FALSE,INDEX('Ist Aktuell Monat 09'!B:B,MATCH(D285,'Ist Aktuell Monat 09'!A:A,0)),
IF(ISERROR(MATCH(D285,'Ist Aktuell Monat 10'!A:A,0))=FALSE,INDEX('Ist Aktuell Monat 10'!B:B,MATCH(D285,'Ist Aktuell Monat 10'!A:A,0)),
IF(ISERROR(MATCH(D285,'Ist Aktuell Monat 11'!A:A,0))=FALSE,INDEX('Ist Aktuell Monat 11'!B:B,MATCH(D285,'Ist Aktuell Monat 11'!A:A,0)),
IF(ISERROR(MATCH(D285,'Ist Aktuell Monat 12'!A:A,0))=FALSE,INDEX('Ist Aktuell Monat 12'!B:B,MATCH(D285,'Ist Aktuell Monat 12'!A:A,0)),
"{Konto unbekannt}"
)))))))))))),"")</f>
        <v/>
      </c>
      <c r="C285" s="591"/>
      <c r="D285" s="590"/>
      <c r="E285" s="592">
        <f t="shared" si="381"/>
        <v>1</v>
      </c>
      <c r="F285" s="590"/>
      <c r="G285" s="593">
        <f ca="1">$E285*(-SUMIF(INDIRECT(G$3),'Struktur Aktuell'!$D285,INDIRECT(G$4))+SUMIF(INDIRECT(G$3),'Struktur Aktuell'!$D285,INDIRECT(G$5)))</f>
        <v>0</v>
      </c>
      <c r="H285" s="593">
        <f ca="1">$E285*(-SUMIF(INDIRECT(H$3),'Struktur Aktuell'!$D285,INDIRECT(H$4))+SUMIF(INDIRECT(H$3),'Struktur Aktuell'!$D285,INDIRECT(H$5)))</f>
        <v>0</v>
      </c>
      <c r="I285" s="593">
        <f ca="1">$E285*(-SUMIF(INDIRECT(I$3),'Struktur Aktuell'!$D285,INDIRECT(I$4))+SUMIF(INDIRECT(I$3),'Struktur Aktuell'!$D285,INDIRECT(I$5)))</f>
        <v>0</v>
      </c>
      <c r="J285" s="593">
        <f ca="1">$E285*(-SUMIF(INDIRECT(J$3),'Struktur Aktuell'!$D285,INDIRECT(J$4))+SUMIF(INDIRECT(J$3),'Struktur Aktuell'!$D285,INDIRECT(J$5)))</f>
        <v>0</v>
      </c>
      <c r="K285" s="593">
        <f ca="1">$E285*(-SUMIF(INDIRECT(K$3),'Struktur Aktuell'!$D285,INDIRECT(K$4))+SUMIF(INDIRECT(K$3),'Struktur Aktuell'!$D285,INDIRECT(K$5)))</f>
        <v>0</v>
      </c>
      <c r="L285" s="593">
        <f ca="1">$E285*(-SUMIF(INDIRECT(L$3),'Struktur Aktuell'!$D285,INDIRECT(L$4))+SUMIF(INDIRECT(L$3),'Struktur Aktuell'!$D285,INDIRECT(L$5)))</f>
        <v>0</v>
      </c>
      <c r="M285" s="593">
        <f ca="1">$E285*(-SUMIF(INDIRECT(M$3),'Struktur Aktuell'!$D285,INDIRECT(M$4))+SUMIF(INDIRECT(M$3),'Struktur Aktuell'!$D285,INDIRECT(M$5)))</f>
        <v>0</v>
      </c>
      <c r="N285" s="593">
        <f ca="1">$E285*(-SUMIF(INDIRECT(N$3),'Struktur Aktuell'!$D285,INDIRECT(N$4))+SUMIF(INDIRECT(N$3),'Struktur Aktuell'!$D285,INDIRECT(N$5)))</f>
        <v>0</v>
      </c>
      <c r="O285" s="593">
        <f ca="1">$E285*(-SUMIF(INDIRECT(O$3),'Struktur Aktuell'!$D285,INDIRECT(O$4))+SUMIF(INDIRECT(O$3),'Struktur Aktuell'!$D285,INDIRECT(O$5)))</f>
        <v>0</v>
      </c>
      <c r="P285" s="593">
        <f ca="1">$E285*(-SUMIF(INDIRECT(P$3),'Struktur Aktuell'!$D285,INDIRECT(P$4))+SUMIF(INDIRECT(P$3),'Struktur Aktuell'!$D285,INDIRECT(P$5)))</f>
        <v>0</v>
      </c>
      <c r="Q285" s="593">
        <f ca="1">$E285*(-SUMIF(INDIRECT(Q$3),'Struktur Aktuell'!$D285,INDIRECT(Q$4))+SUMIF(INDIRECT(Q$3),'Struktur Aktuell'!$D285,INDIRECT(Q$5)))</f>
        <v>0</v>
      </c>
      <c r="R285" s="593">
        <f ca="1">$E285*(-SUMIF(INDIRECT(R$3),'Struktur Aktuell'!$D285,INDIRECT(R$4))+SUMIF(INDIRECT(R$3),'Struktur Aktuell'!$D285,INDIRECT(R$5)))</f>
        <v>0</v>
      </c>
      <c r="S285" s="593">
        <f ca="1">$E285*(-SUMIF(INDIRECT(S$3),'Struktur Aktuell'!$D285,INDIRECT(S$4))+SUMIF(INDIRECT(S$3),'Struktur Aktuell'!$D285,INDIRECT(S$5)))</f>
        <v>0</v>
      </c>
      <c r="T285" s="593">
        <f ca="1">$E285*(-SUMIF(INDIRECT(T$3),'Struktur Aktuell'!$D285,INDIRECT(T$4))+SUMIF(INDIRECT(T$3),'Struktur Aktuell'!$D285,INDIRECT(T$5)))</f>
        <v>0</v>
      </c>
      <c r="U285" s="593">
        <f ca="1">$E285*(-SUMIF(INDIRECT(U$3),'Struktur Aktuell'!$D285,INDIRECT(U$4))+SUMIF(INDIRECT(U$3),'Struktur Aktuell'!$D285,INDIRECT(U$5)))</f>
        <v>0</v>
      </c>
      <c r="V285" s="593">
        <f ca="1">$E285*(-SUMIF(INDIRECT(V$3),'Struktur Aktuell'!$D285,INDIRECT(V$4))+SUMIF(INDIRECT(V$3),'Struktur Aktuell'!$D285,INDIRECT(V$5)))</f>
        <v>0</v>
      </c>
      <c r="W285" s="593">
        <f ca="1">$E285*(-SUMIF(INDIRECT(W$3),'Struktur Aktuell'!$D285,INDIRECT(W$4))+SUMIF(INDIRECT(W$3),'Struktur Aktuell'!$D285,INDIRECT(W$5)))</f>
        <v>0</v>
      </c>
      <c r="X285" s="593">
        <f ca="1">$E285*(-SUMIF(INDIRECT(X$3),'Struktur Aktuell'!$D285,INDIRECT(X$4))+SUMIF(INDIRECT(X$3),'Struktur Aktuell'!$D285,INDIRECT(X$5)))</f>
        <v>0</v>
      </c>
      <c r="Y285" s="593">
        <f ca="1">$E285*(-SUMIF(INDIRECT(Y$3),'Struktur Aktuell'!$D285,INDIRECT(Y$4))+SUMIF(INDIRECT(Y$3),'Struktur Aktuell'!$D285,INDIRECT(Y$5)))</f>
        <v>0</v>
      </c>
      <c r="Z285" s="593">
        <f ca="1">$E285*(-SUMIF(INDIRECT(Z$3),'Struktur Aktuell'!$D285,INDIRECT(Z$4))+SUMIF(INDIRECT(Z$3),'Struktur Aktuell'!$D285,INDIRECT(Z$5)))</f>
        <v>0</v>
      </c>
      <c r="AA285" s="593">
        <f ca="1">$E285*(-SUMIF(INDIRECT(AA$3),'Struktur Aktuell'!$D285,INDIRECT(AA$4))+SUMIF(INDIRECT(AA$3),'Struktur Aktuell'!$D285,INDIRECT(AA$5)))</f>
        <v>0</v>
      </c>
      <c r="AB285" s="593">
        <f ca="1">$E285*(-SUMIF(INDIRECT(AB$3),'Struktur Aktuell'!$D285,INDIRECT(AB$4))+SUMIF(INDIRECT(AB$3),'Struktur Aktuell'!$D285,INDIRECT(AB$5)))</f>
        <v>0</v>
      </c>
      <c r="AC285" s="593">
        <f ca="1">$E285*(-SUMIF(INDIRECT(AC$3),'Struktur Aktuell'!$D285,INDIRECT(AC$4))+SUMIF(INDIRECT(AC$3),'Struktur Aktuell'!$D285,INDIRECT(AC$5)))</f>
        <v>0</v>
      </c>
      <c r="AD285" s="593">
        <f ca="1">$E285*(-SUMIF(INDIRECT(AD$3),'Struktur Aktuell'!$D285,INDIRECT(AD$4))+SUMIF(INDIRECT(AD$3),'Struktur Aktuell'!$D285,INDIRECT(AD$5)))</f>
        <v>0</v>
      </c>
      <c r="AE285" s="593">
        <f t="shared" ca="1" si="369"/>
        <v>0</v>
      </c>
      <c r="AF285" s="593">
        <f t="shared" ca="1" si="370"/>
        <v>0</v>
      </c>
      <c r="AG285" s="593">
        <f t="shared" ca="1" si="371"/>
        <v>0</v>
      </c>
      <c r="AH285" s="593">
        <f t="shared" ca="1" si="372"/>
        <v>0</v>
      </c>
      <c r="AI285" s="593">
        <f t="shared" ca="1" si="373"/>
        <v>0</v>
      </c>
      <c r="AJ285" s="593">
        <f t="shared" ca="1" si="374"/>
        <v>0</v>
      </c>
      <c r="AK285" s="593">
        <f t="shared" ca="1" si="375"/>
        <v>0</v>
      </c>
      <c r="AL285" s="593">
        <f t="shared" ca="1" si="376"/>
        <v>0</v>
      </c>
      <c r="AM285" s="593">
        <f t="shared" ca="1" si="377"/>
        <v>0</v>
      </c>
      <c r="AN285" s="593">
        <f t="shared" ca="1" si="378"/>
        <v>0</v>
      </c>
      <c r="AO285" s="593">
        <f t="shared" ca="1" si="379"/>
        <v>0</v>
      </c>
      <c r="AP285" s="593">
        <f t="shared" ca="1" si="380"/>
        <v>0</v>
      </c>
    </row>
    <row r="286" spans="1:42" s="589" customFormat="1" x14ac:dyDescent="0.2">
      <c r="A286" s="585">
        <v>25</v>
      </c>
      <c r="B286" s="586" t="s">
        <v>371</v>
      </c>
      <c r="C286" s="587">
        <f ca="1">SUM(G286:R286)</f>
        <v>2998.7599999999998</v>
      </c>
      <c r="D286" s="587"/>
      <c r="E286" s="588">
        <f t="shared" si="381"/>
        <v>1</v>
      </c>
      <c r="F286" s="585"/>
      <c r="G286" s="587">
        <f t="shared" ref="G286:R286" ca="1" si="382">SUM(G287:G292)</f>
        <v>91.22</v>
      </c>
      <c r="H286" s="587">
        <f t="shared" ca="1" si="382"/>
        <v>71.87</v>
      </c>
      <c r="I286" s="587">
        <f t="shared" ca="1" si="382"/>
        <v>1077.5999999999999</v>
      </c>
      <c r="J286" s="587">
        <f t="shared" ca="1" si="382"/>
        <v>353.57</v>
      </c>
      <c r="K286" s="587">
        <f t="shared" ca="1" si="382"/>
        <v>44.89</v>
      </c>
      <c r="L286" s="587">
        <f t="shared" ca="1" si="382"/>
        <v>782.72</v>
      </c>
      <c r="M286" s="587">
        <f t="shared" ca="1" si="382"/>
        <v>344.44</v>
      </c>
      <c r="N286" s="587">
        <f t="shared" ca="1" si="382"/>
        <v>63.34</v>
      </c>
      <c r="O286" s="587">
        <f t="shared" ca="1" si="382"/>
        <v>58.24</v>
      </c>
      <c r="P286" s="587">
        <f t="shared" ca="1" si="382"/>
        <v>110.87</v>
      </c>
      <c r="Q286" s="587">
        <f t="shared" ca="1" si="382"/>
        <v>0</v>
      </c>
      <c r="R286" s="587">
        <f t="shared" ca="1" si="382"/>
        <v>0</v>
      </c>
      <c r="S286" s="587">
        <f t="shared" ref="S286:AP286" ca="1" si="383">SUM(S287:S292)</f>
        <v>91.22</v>
      </c>
      <c r="T286" s="587">
        <f t="shared" ca="1" si="383"/>
        <v>163.09</v>
      </c>
      <c r="U286" s="587">
        <f t="shared" ca="1" si="383"/>
        <v>1240.69</v>
      </c>
      <c r="V286" s="587">
        <f t="shared" ca="1" si="383"/>
        <v>1594.26</v>
      </c>
      <c r="W286" s="587">
        <f t="shared" ca="1" si="383"/>
        <v>1639.15</v>
      </c>
      <c r="X286" s="587">
        <f t="shared" ca="1" si="383"/>
        <v>2421.87</v>
      </c>
      <c r="Y286" s="587">
        <f t="shared" ca="1" si="383"/>
        <v>2766.31</v>
      </c>
      <c r="Z286" s="587">
        <f t="shared" ca="1" si="383"/>
        <v>2829.65</v>
      </c>
      <c r="AA286" s="587">
        <f t="shared" ca="1" si="383"/>
        <v>2887.89</v>
      </c>
      <c r="AB286" s="587">
        <f t="shared" ca="1" si="383"/>
        <v>2998.76</v>
      </c>
      <c r="AC286" s="587">
        <f t="shared" ca="1" si="383"/>
        <v>0</v>
      </c>
      <c r="AD286" s="587">
        <f t="shared" ca="1" si="383"/>
        <v>0</v>
      </c>
      <c r="AE286" s="587">
        <f t="shared" ca="1" si="383"/>
        <v>91.22</v>
      </c>
      <c r="AF286" s="587">
        <f t="shared" ca="1" si="383"/>
        <v>163.09</v>
      </c>
      <c r="AG286" s="587">
        <f t="shared" ca="1" si="383"/>
        <v>1240.69</v>
      </c>
      <c r="AH286" s="587">
        <f t="shared" ca="1" si="383"/>
        <v>1594.2600000000002</v>
      </c>
      <c r="AI286" s="587">
        <f t="shared" ca="1" si="383"/>
        <v>1639.15</v>
      </c>
      <c r="AJ286" s="587">
        <f t="shared" ca="1" si="383"/>
        <v>2421.87</v>
      </c>
      <c r="AK286" s="587">
        <f t="shared" ca="1" si="383"/>
        <v>2766.31</v>
      </c>
      <c r="AL286" s="587">
        <f t="shared" ca="1" si="383"/>
        <v>2829.65</v>
      </c>
      <c r="AM286" s="587">
        <f t="shared" ca="1" si="383"/>
        <v>2887.89</v>
      </c>
      <c r="AN286" s="587">
        <f t="shared" ca="1" si="383"/>
        <v>2998.76</v>
      </c>
      <c r="AO286" s="587">
        <f t="shared" ca="1" si="383"/>
        <v>2998.76</v>
      </c>
      <c r="AP286" s="587">
        <f t="shared" ca="1" si="383"/>
        <v>2998.76</v>
      </c>
    </row>
    <row r="287" spans="1:42" s="594" customFormat="1" ht="11.25" outlineLevel="1" x14ac:dyDescent="0.2">
      <c r="A287" s="590"/>
      <c r="B287" s="591" t="str">
        <f>IF(D287&lt;&gt;"",
IF(ISERROR(MATCH(D287,'Ist Aktuell Monat 01'!A:A,0))=FALSE,INDEX('Ist Aktuell Monat 01'!B:B,MATCH(D287,'Ist Aktuell Monat 01'!A:A,0)),
IF(ISERROR(MATCH(D287,'Ist Aktuell Monat 02'!A:A,0))=FALSE,INDEX('Ist Aktuell Monat 02'!B:B,MATCH(D287,'Ist Aktuell Monat 02'!A:A,0)),
IF(ISERROR(MATCH(D287,'Ist Aktuell Monat 03'!A:A,0))=FALSE,INDEX('Ist Aktuell Monat 03'!B:B,MATCH(D287,'Ist Aktuell Monat 03'!A:A,0)),
IF(ISERROR(MATCH(D287,'Ist Aktuell Monat 04'!A:A,0))=FALSE,INDEX('Ist Aktuell Monat 04'!B:B,MATCH(D287,'Ist Aktuell Monat 04'!A:A,0)),
IF(ISERROR(MATCH(D287,'Ist Aktuell Monat 05'!A:A,0))=FALSE,INDEX('Ist Aktuell Monat 05'!B:B,MATCH(D287,'Ist Aktuell Monat 05'!A:A,0)),
IF(ISERROR(MATCH(D287,'Ist Aktuell Monat 06'!A:A,0))=FALSE,INDEX('Ist Aktuell Monat 06'!B:B,MATCH(D287,'Ist Aktuell Monat 06'!A:A,0)),
IF(ISERROR(MATCH(D287,'Ist Aktuell Monat 07'!A:A,0))=FALSE,INDEX('Ist Aktuell Monat 07'!B:B,MATCH(D287,'Ist Aktuell Monat 07'!A:A,0)),
IF(ISERROR(MATCH(D287,'Ist Aktuell Monat 08'!A:A,0))=FALSE,INDEX('Ist Aktuell Monat 08'!B:B,MATCH(D287,'Ist Aktuell Monat 08'!A:A,0)),
IF(ISERROR(MATCH(D287,'Ist Aktuell Monat 09'!A:A,0))=FALSE,INDEX('Ist Aktuell Monat 09'!B:B,MATCH(D287,'Ist Aktuell Monat 09'!A:A,0)),
IF(ISERROR(MATCH(D287,'Ist Aktuell Monat 10'!A:A,0))=FALSE,INDEX('Ist Aktuell Monat 10'!B:B,MATCH(D287,'Ist Aktuell Monat 10'!A:A,0)),
IF(ISERROR(MATCH(D287,'Ist Aktuell Monat 11'!A:A,0))=FALSE,INDEX('Ist Aktuell Monat 11'!B:B,MATCH(D287,'Ist Aktuell Monat 11'!A:A,0)),
IF(ISERROR(MATCH(D287,'Ist Aktuell Monat 12'!A:A,0))=FALSE,INDEX('Ist Aktuell Monat 12'!B:B,MATCH(D287,'Ist Aktuell Monat 12'!A:A,0)),
"{Konto unbekannt}"
)))))))))))),"")</f>
        <v>Reparatur/Instandh. Betriebs- u. Gesch.</v>
      </c>
      <c r="C287" s="591"/>
      <c r="D287" s="590">
        <v>4805</v>
      </c>
      <c r="E287" s="592">
        <f t="shared" si="381"/>
        <v>1</v>
      </c>
      <c r="F287" s="590"/>
      <c r="G287" s="593">
        <f ca="1">$E287*(-SUMIF(INDIRECT(G$3),'Struktur Aktuell'!$D287,INDIRECT(G$4))+SUMIF(INDIRECT(G$3),'Struktur Aktuell'!$D287,INDIRECT(G$5)))</f>
        <v>0</v>
      </c>
      <c r="H287" s="593">
        <f ca="1">$E287*(-SUMIF(INDIRECT(H$3),'Struktur Aktuell'!$D287,INDIRECT(H$4))+SUMIF(INDIRECT(H$3),'Struktur Aktuell'!$D287,INDIRECT(H$5)))</f>
        <v>16.78</v>
      </c>
      <c r="I287" s="593">
        <f ca="1">$E287*(-SUMIF(INDIRECT(I$3),'Struktur Aktuell'!$D287,INDIRECT(I$4))+SUMIF(INDIRECT(I$3),'Struktur Aktuell'!$D287,INDIRECT(I$5)))</f>
        <v>76.7</v>
      </c>
      <c r="J287" s="593">
        <f ca="1">$E287*(-SUMIF(INDIRECT(J$3),'Struktur Aktuell'!$D287,INDIRECT(J$4))+SUMIF(INDIRECT(J$3),'Struktur Aktuell'!$D287,INDIRECT(J$5)))</f>
        <v>0</v>
      </c>
      <c r="K287" s="593">
        <f ca="1">$E287*(-SUMIF(INDIRECT(K$3),'Struktur Aktuell'!$D287,INDIRECT(K$4))+SUMIF(INDIRECT(K$3),'Struktur Aktuell'!$D287,INDIRECT(K$5)))</f>
        <v>0</v>
      </c>
      <c r="L287" s="593">
        <f ca="1">$E287*(-SUMIF(INDIRECT(L$3),'Struktur Aktuell'!$D287,INDIRECT(L$4))+SUMIF(INDIRECT(L$3),'Struktur Aktuell'!$D287,INDIRECT(L$5)))</f>
        <v>0</v>
      </c>
      <c r="M287" s="593">
        <f ca="1">$E287*(-SUMIF(INDIRECT(M$3),'Struktur Aktuell'!$D287,INDIRECT(M$4))+SUMIF(INDIRECT(M$3),'Struktur Aktuell'!$D287,INDIRECT(M$5)))</f>
        <v>0</v>
      </c>
      <c r="N287" s="593">
        <f ca="1">$E287*(-SUMIF(INDIRECT(N$3),'Struktur Aktuell'!$D287,INDIRECT(N$4))+SUMIF(INDIRECT(N$3),'Struktur Aktuell'!$D287,INDIRECT(N$5)))</f>
        <v>0</v>
      </c>
      <c r="O287" s="593">
        <f ca="1">$E287*(-SUMIF(INDIRECT(O$3),'Struktur Aktuell'!$D287,INDIRECT(O$4))+SUMIF(INDIRECT(O$3),'Struktur Aktuell'!$D287,INDIRECT(O$5)))</f>
        <v>0</v>
      </c>
      <c r="P287" s="593">
        <f ca="1">$E287*(-SUMIF(INDIRECT(P$3),'Struktur Aktuell'!$D287,INDIRECT(P$4))+SUMIF(INDIRECT(P$3),'Struktur Aktuell'!$D287,INDIRECT(P$5)))</f>
        <v>0</v>
      </c>
      <c r="Q287" s="593">
        <f ca="1">$E287*(-SUMIF(INDIRECT(Q$3),'Struktur Aktuell'!$D287,INDIRECT(Q$4))+SUMIF(INDIRECT(Q$3),'Struktur Aktuell'!$D287,INDIRECT(Q$5)))</f>
        <v>0</v>
      </c>
      <c r="R287" s="593">
        <f ca="1">$E287*(-SUMIF(INDIRECT(R$3),'Struktur Aktuell'!$D287,INDIRECT(R$4))+SUMIF(INDIRECT(R$3),'Struktur Aktuell'!$D287,INDIRECT(R$5)))</f>
        <v>0</v>
      </c>
      <c r="S287" s="593">
        <f ca="1">$E287*(-SUMIF(INDIRECT(S$3),'Struktur Aktuell'!$D287,INDIRECT(S$4))+SUMIF(INDIRECT(S$3),'Struktur Aktuell'!$D287,INDIRECT(S$5)))</f>
        <v>0</v>
      </c>
      <c r="T287" s="593">
        <f ca="1">$E287*(-SUMIF(INDIRECT(T$3),'Struktur Aktuell'!$D287,INDIRECT(T$4))+SUMIF(INDIRECT(T$3),'Struktur Aktuell'!$D287,INDIRECT(T$5)))</f>
        <v>16.78</v>
      </c>
      <c r="U287" s="593">
        <f ca="1">$E287*(-SUMIF(INDIRECT(U$3),'Struktur Aktuell'!$D287,INDIRECT(U$4))+SUMIF(INDIRECT(U$3),'Struktur Aktuell'!$D287,INDIRECT(U$5)))</f>
        <v>93.48</v>
      </c>
      <c r="V287" s="593">
        <f ca="1">$E287*(-SUMIF(INDIRECT(V$3),'Struktur Aktuell'!$D287,INDIRECT(V$4))+SUMIF(INDIRECT(V$3),'Struktur Aktuell'!$D287,INDIRECT(V$5)))</f>
        <v>93.48</v>
      </c>
      <c r="W287" s="593">
        <f ca="1">$E287*(-SUMIF(INDIRECT(W$3),'Struktur Aktuell'!$D287,INDIRECT(W$4))+SUMIF(INDIRECT(W$3),'Struktur Aktuell'!$D287,INDIRECT(W$5)))</f>
        <v>93.48</v>
      </c>
      <c r="X287" s="593">
        <f ca="1">$E287*(-SUMIF(INDIRECT(X$3),'Struktur Aktuell'!$D287,INDIRECT(X$4))+SUMIF(INDIRECT(X$3),'Struktur Aktuell'!$D287,INDIRECT(X$5)))</f>
        <v>93.48</v>
      </c>
      <c r="Y287" s="593">
        <f ca="1">$E287*(-SUMIF(INDIRECT(Y$3),'Struktur Aktuell'!$D287,INDIRECT(Y$4))+SUMIF(INDIRECT(Y$3),'Struktur Aktuell'!$D287,INDIRECT(Y$5)))</f>
        <v>93.48</v>
      </c>
      <c r="Z287" s="593">
        <f ca="1">$E287*(-SUMIF(INDIRECT(Z$3),'Struktur Aktuell'!$D287,INDIRECT(Z$4))+SUMIF(INDIRECT(Z$3),'Struktur Aktuell'!$D287,INDIRECT(Z$5)))</f>
        <v>93.48</v>
      </c>
      <c r="AA287" s="593">
        <f ca="1">$E287*(-SUMIF(INDIRECT(AA$3),'Struktur Aktuell'!$D287,INDIRECT(AA$4))+SUMIF(INDIRECT(AA$3),'Struktur Aktuell'!$D287,INDIRECT(AA$5)))</f>
        <v>93.48</v>
      </c>
      <c r="AB287" s="593">
        <f ca="1">$E287*(-SUMIF(INDIRECT(AB$3),'Struktur Aktuell'!$D287,INDIRECT(AB$4))+SUMIF(INDIRECT(AB$3),'Struktur Aktuell'!$D287,INDIRECT(AB$5)))</f>
        <v>93.48</v>
      </c>
      <c r="AC287" s="593">
        <f ca="1">$E287*(-SUMIF(INDIRECT(AC$3),'Struktur Aktuell'!$D287,INDIRECT(AC$4))+SUMIF(INDIRECT(AC$3),'Struktur Aktuell'!$D287,INDIRECT(AC$5)))</f>
        <v>0</v>
      </c>
      <c r="AD287" s="593">
        <f ca="1">$E287*(-SUMIF(INDIRECT(AD$3),'Struktur Aktuell'!$D287,INDIRECT(AD$4))+SUMIF(INDIRECT(AD$3),'Struktur Aktuell'!$D287,INDIRECT(AD$5)))</f>
        <v>0</v>
      </c>
      <c r="AE287" s="593">
        <f t="shared" ref="AE287:AE292" ca="1" si="384">G287</f>
        <v>0</v>
      </c>
      <c r="AF287" s="593">
        <f t="shared" ref="AF287:AF292" ca="1" si="385">H287+AE287</f>
        <v>16.78</v>
      </c>
      <c r="AG287" s="593">
        <f t="shared" ref="AG287:AG292" ca="1" si="386">I287+AF287</f>
        <v>93.48</v>
      </c>
      <c r="AH287" s="593">
        <f t="shared" ref="AH287:AH292" ca="1" si="387">J287+AG287</f>
        <v>93.48</v>
      </c>
      <c r="AI287" s="593">
        <f t="shared" ref="AI287:AI292" ca="1" si="388">K287+AH287</f>
        <v>93.48</v>
      </c>
      <c r="AJ287" s="593">
        <f t="shared" ref="AJ287:AJ292" ca="1" si="389">L287+AI287</f>
        <v>93.48</v>
      </c>
      <c r="AK287" s="593">
        <f t="shared" ref="AK287:AK292" ca="1" si="390">M287+AJ287</f>
        <v>93.48</v>
      </c>
      <c r="AL287" s="593">
        <f t="shared" ref="AL287:AL292" ca="1" si="391">N287+AK287</f>
        <v>93.48</v>
      </c>
      <c r="AM287" s="593">
        <f t="shared" ref="AM287:AM292" ca="1" si="392">O287+AL287</f>
        <v>93.48</v>
      </c>
      <c r="AN287" s="593">
        <f t="shared" ref="AN287:AN292" ca="1" si="393">P287+AM287</f>
        <v>93.48</v>
      </c>
      <c r="AO287" s="593">
        <f t="shared" ref="AO287:AO292" ca="1" si="394">Q287+AN287</f>
        <v>93.48</v>
      </c>
      <c r="AP287" s="593">
        <f t="shared" ref="AP287:AP292" ca="1" si="395">R287+AO287</f>
        <v>93.48</v>
      </c>
    </row>
    <row r="288" spans="1:42" s="594" customFormat="1" ht="11.25" outlineLevel="1" x14ac:dyDescent="0.2">
      <c r="A288" s="590"/>
      <c r="B288" s="591" t="str">
        <f>IF(D288&lt;&gt;"",
IF(ISERROR(MATCH(D288,'Ist Aktuell Monat 01'!A:A,0))=FALSE,INDEX('Ist Aktuell Monat 01'!B:B,MATCH(D288,'Ist Aktuell Monat 01'!A:A,0)),
IF(ISERROR(MATCH(D288,'Ist Aktuell Monat 02'!A:A,0))=FALSE,INDEX('Ist Aktuell Monat 02'!B:B,MATCH(D288,'Ist Aktuell Monat 02'!A:A,0)),
IF(ISERROR(MATCH(D288,'Ist Aktuell Monat 03'!A:A,0))=FALSE,INDEX('Ist Aktuell Monat 03'!B:B,MATCH(D288,'Ist Aktuell Monat 03'!A:A,0)),
IF(ISERROR(MATCH(D288,'Ist Aktuell Monat 04'!A:A,0))=FALSE,INDEX('Ist Aktuell Monat 04'!B:B,MATCH(D288,'Ist Aktuell Monat 04'!A:A,0)),
IF(ISERROR(MATCH(D288,'Ist Aktuell Monat 05'!A:A,0))=FALSE,INDEX('Ist Aktuell Monat 05'!B:B,MATCH(D288,'Ist Aktuell Monat 05'!A:A,0)),
IF(ISERROR(MATCH(D288,'Ist Aktuell Monat 06'!A:A,0))=FALSE,INDEX('Ist Aktuell Monat 06'!B:B,MATCH(D288,'Ist Aktuell Monat 06'!A:A,0)),
IF(ISERROR(MATCH(D288,'Ist Aktuell Monat 07'!A:A,0))=FALSE,INDEX('Ist Aktuell Monat 07'!B:B,MATCH(D288,'Ist Aktuell Monat 07'!A:A,0)),
IF(ISERROR(MATCH(D288,'Ist Aktuell Monat 08'!A:A,0))=FALSE,INDEX('Ist Aktuell Monat 08'!B:B,MATCH(D288,'Ist Aktuell Monat 08'!A:A,0)),
IF(ISERROR(MATCH(D288,'Ist Aktuell Monat 09'!A:A,0))=FALSE,INDEX('Ist Aktuell Monat 09'!B:B,MATCH(D288,'Ist Aktuell Monat 09'!A:A,0)),
IF(ISERROR(MATCH(D288,'Ist Aktuell Monat 10'!A:A,0))=FALSE,INDEX('Ist Aktuell Monat 10'!B:B,MATCH(D288,'Ist Aktuell Monat 10'!A:A,0)),
IF(ISERROR(MATCH(D288,'Ist Aktuell Monat 11'!A:A,0))=FALSE,INDEX('Ist Aktuell Monat 11'!B:B,MATCH(D288,'Ist Aktuell Monat 11'!A:A,0)),
IF(ISERROR(MATCH(D288,'Ist Aktuell Monat 12'!A:A,0))=FALSE,INDEX('Ist Aktuell Monat 12'!B:B,MATCH(D288,'Ist Aktuell Monat 12'!A:A,0)),
"{Konto unbekannt}"
)))))))))))),"")</f>
        <v>Wartungskosten für Hard- und Software</v>
      </c>
      <c r="C288" s="591"/>
      <c r="D288" s="590">
        <v>4806</v>
      </c>
      <c r="E288" s="592">
        <f t="shared" si="381"/>
        <v>1</v>
      </c>
      <c r="F288" s="590"/>
      <c r="G288" s="593">
        <f ca="1">$E288*(-SUMIF(INDIRECT(G$3),'Struktur Aktuell'!$D288,INDIRECT(G$4))+SUMIF(INDIRECT(G$3),'Struktur Aktuell'!$D288,INDIRECT(G$5)))</f>
        <v>55.09</v>
      </c>
      <c r="H288" s="593">
        <f ca="1">$E288*(-SUMIF(INDIRECT(H$3),'Struktur Aktuell'!$D288,INDIRECT(H$4))+SUMIF(INDIRECT(H$3),'Struktur Aktuell'!$D288,INDIRECT(H$5)))</f>
        <v>55.09</v>
      </c>
      <c r="I288" s="593">
        <f ca="1">$E288*(-SUMIF(INDIRECT(I$3),'Struktur Aktuell'!$D288,INDIRECT(I$4))+SUMIF(INDIRECT(I$3),'Struktur Aktuell'!$D288,INDIRECT(I$5)))</f>
        <v>55.09</v>
      </c>
      <c r="J288" s="593">
        <f ca="1">$E288*(-SUMIF(INDIRECT(J$3),'Struktur Aktuell'!$D288,INDIRECT(J$4))+SUMIF(INDIRECT(J$3),'Struktur Aktuell'!$D288,INDIRECT(J$5)))</f>
        <v>304.57</v>
      </c>
      <c r="K288" s="593">
        <f ca="1">$E288*(-SUMIF(INDIRECT(K$3),'Struktur Aktuell'!$D288,INDIRECT(K$4))+SUMIF(INDIRECT(K$3),'Struktur Aktuell'!$D288,INDIRECT(K$5)))</f>
        <v>44.89</v>
      </c>
      <c r="L288" s="593">
        <f ca="1">$E288*(-SUMIF(INDIRECT(L$3),'Struktur Aktuell'!$D288,INDIRECT(L$4))+SUMIF(INDIRECT(L$3),'Struktur Aktuell'!$D288,INDIRECT(L$5)))</f>
        <v>138.99</v>
      </c>
      <c r="M288" s="593">
        <f ca="1">$E288*(-SUMIF(INDIRECT(M$3),'Struktur Aktuell'!$D288,INDIRECT(M$4))+SUMIF(INDIRECT(M$3),'Struktur Aktuell'!$D288,INDIRECT(M$5)))</f>
        <v>97.84</v>
      </c>
      <c r="N288" s="593">
        <f ca="1">$E288*(-SUMIF(INDIRECT(N$3),'Struktur Aktuell'!$D288,INDIRECT(N$4))+SUMIF(INDIRECT(N$3),'Struktur Aktuell'!$D288,INDIRECT(N$5)))</f>
        <v>57.89</v>
      </c>
      <c r="O288" s="593">
        <f ca="1">$E288*(-SUMIF(INDIRECT(O$3),'Struktur Aktuell'!$D288,INDIRECT(O$4))+SUMIF(INDIRECT(O$3),'Struktur Aktuell'!$D288,INDIRECT(O$5)))</f>
        <v>7.9</v>
      </c>
      <c r="P288" s="593">
        <f ca="1">$E288*(-SUMIF(INDIRECT(P$3),'Struktur Aktuell'!$D288,INDIRECT(P$4))+SUMIF(INDIRECT(P$3),'Struktur Aktuell'!$D288,INDIRECT(P$5)))</f>
        <v>110.87</v>
      </c>
      <c r="Q288" s="593">
        <f ca="1">$E288*(-SUMIF(INDIRECT(Q$3),'Struktur Aktuell'!$D288,INDIRECT(Q$4))+SUMIF(INDIRECT(Q$3),'Struktur Aktuell'!$D288,INDIRECT(Q$5)))</f>
        <v>0</v>
      </c>
      <c r="R288" s="593">
        <f ca="1">$E288*(-SUMIF(INDIRECT(R$3),'Struktur Aktuell'!$D288,INDIRECT(R$4))+SUMIF(INDIRECT(R$3),'Struktur Aktuell'!$D288,INDIRECT(R$5)))</f>
        <v>0</v>
      </c>
      <c r="S288" s="593">
        <f ca="1">$E288*(-SUMIF(INDIRECT(S$3),'Struktur Aktuell'!$D288,INDIRECT(S$4))+SUMIF(INDIRECT(S$3),'Struktur Aktuell'!$D288,INDIRECT(S$5)))</f>
        <v>55.09</v>
      </c>
      <c r="T288" s="593">
        <f ca="1">$E288*(-SUMIF(INDIRECT(T$3),'Struktur Aktuell'!$D288,INDIRECT(T$4))+SUMIF(INDIRECT(T$3),'Struktur Aktuell'!$D288,INDIRECT(T$5)))</f>
        <v>110.18</v>
      </c>
      <c r="U288" s="593">
        <f ca="1">$E288*(-SUMIF(INDIRECT(U$3),'Struktur Aktuell'!$D288,INDIRECT(U$4))+SUMIF(INDIRECT(U$3),'Struktur Aktuell'!$D288,INDIRECT(U$5)))</f>
        <v>165.27</v>
      </c>
      <c r="V288" s="593">
        <f ca="1">$E288*(-SUMIF(INDIRECT(V$3),'Struktur Aktuell'!$D288,INDIRECT(V$4))+SUMIF(INDIRECT(V$3),'Struktur Aktuell'!$D288,INDIRECT(V$5)))</f>
        <v>469.84</v>
      </c>
      <c r="W288" s="593">
        <f ca="1">$E288*(-SUMIF(INDIRECT(W$3),'Struktur Aktuell'!$D288,INDIRECT(W$4))+SUMIF(INDIRECT(W$3),'Struktur Aktuell'!$D288,INDIRECT(W$5)))</f>
        <v>514.73</v>
      </c>
      <c r="X288" s="593">
        <f ca="1">$E288*(-SUMIF(INDIRECT(X$3),'Struktur Aktuell'!$D288,INDIRECT(X$4))+SUMIF(INDIRECT(X$3),'Struktur Aktuell'!$D288,INDIRECT(X$5)))</f>
        <v>653.72</v>
      </c>
      <c r="Y288" s="593">
        <f ca="1">$E288*(-SUMIF(INDIRECT(Y$3),'Struktur Aktuell'!$D288,INDIRECT(Y$4))+SUMIF(INDIRECT(Y$3),'Struktur Aktuell'!$D288,INDIRECT(Y$5)))</f>
        <v>751.56</v>
      </c>
      <c r="Z288" s="593">
        <f ca="1">$E288*(-SUMIF(INDIRECT(Z$3),'Struktur Aktuell'!$D288,INDIRECT(Z$4))+SUMIF(INDIRECT(Z$3),'Struktur Aktuell'!$D288,INDIRECT(Z$5)))</f>
        <v>809.45</v>
      </c>
      <c r="AA288" s="593">
        <f ca="1">$E288*(-SUMIF(INDIRECT(AA$3),'Struktur Aktuell'!$D288,INDIRECT(AA$4))+SUMIF(INDIRECT(AA$3),'Struktur Aktuell'!$D288,INDIRECT(AA$5)))</f>
        <v>817.35</v>
      </c>
      <c r="AB288" s="593">
        <f ca="1">$E288*(-SUMIF(INDIRECT(AB$3),'Struktur Aktuell'!$D288,INDIRECT(AB$4))+SUMIF(INDIRECT(AB$3),'Struktur Aktuell'!$D288,INDIRECT(AB$5)))</f>
        <v>928.22</v>
      </c>
      <c r="AC288" s="593">
        <f ca="1">$E288*(-SUMIF(INDIRECT(AC$3),'Struktur Aktuell'!$D288,INDIRECT(AC$4))+SUMIF(INDIRECT(AC$3),'Struktur Aktuell'!$D288,INDIRECT(AC$5)))</f>
        <v>0</v>
      </c>
      <c r="AD288" s="593">
        <f ca="1">$E288*(-SUMIF(INDIRECT(AD$3),'Struktur Aktuell'!$D288,INDIRECT(AD$4))+SUMIF(INDIRECT(AD$3),'Struktur Aktuell'!$D288,INDIRECT(AD$5)))</f>
        <v>0</v>
      </c>
      <c r="AE288" s="593">
        <f t="shared" ca="1" si="384"/>
        <v>55.09</v>
      </c>
      <c r="AF288" s="593">
        <f t="shared" ca="1" si="385"/>
        <v>110.18</v>
      </c>
      <c r="AG288" s="593">
        <f t="shared" ca="1" si="386"/>
        <v>165.27</v>
      </c>
      <c r="AH288" s="593">
        <f t="shared" ca="1" si="387"/>
        <v>469.84000000000003</v>
      </c>
      <c r="AI288" s="593">
        <f t="shared" ca="1" si="388"/>
        <v>514.73</v>
      </c>
      <c r="AJ288" s="593">
        <f t="shared" ca="1" si="389"/>
        <v>653.72</v>
      </c>
      <c r="AK288" s="593">
        <f t="shared" ca="1" si="390"/>
        <v>751.56000000000006</v>
      </c>
      <c r="AL288" s="593">
        <f t="shared" ca="1" si="391"/>
        <v>809.45</v>
      </c>
      <c r="AM288" s="593">
        <f t="shared" ca="1" si="392"/>
        <v>817.35</v>
      </c>
      <c r="AN288" s="593">
        <f t="shared" ca="1" si="393"/>
        <v>928.22</v>
      </c>
      <c r="AO288" s="593">
        <f t="shared" ca="1" si="394"/>
        <v>928.22</v>
      </c>
      <c r="AP288" s="593">
        <f t="shared" ca="1" si="395"/>
        <v>928.22</v>
      </c>
    </row>
    <row r="289" spans="1:42" s="594" customFormat="1" ht="11.25" outlineLevel="1" x14ac:dyDescent="0.2">
      <c r="A289" s="590"/>
      <c r="B289" s="591" t="str">
        <f>IF(D289&lt;&gt;"",
IF(ISERROR(MATCH(D289,'Ist Aktuell Monat 01'!A:A,0))=FALSE,INDEX('Ist Aktuell Monat 01'!B:B,MATCH(D289,'Ist Aktuell Monat 01'!A:A,0)),
IF(ISERROR(MATCH(D289,'Ist Aktuell Monat 02'!A:A,0))=FALSE,INDEX('Ist Aktuell Monat 02'!B:B,MATCH(D289,'Ist Aktuell Monat 02'!A:A,0)),
IF(ISERROR(MATCH(D289,'Ist Aktuell Monat 03'!A:A,0))=FALSE,INDEX('Ist Aktuell Monat 03'!B:B,MATCH(D289,'Ist Aktuell Monat 03'!A:A,0)),
IF(ISERROR(MATCH(D289,'Ist Aktuell Monat 04'!A:A,0))=FALSE,INDEX('Ist Aktuell Monat 04'!B:B,MATCH(D289,'Ist Aktuell Monat 04'!A:A,0)),
IF(ISERROR(MATCH(D289,'Ist Aktuell Monat 05'!A:A,0))=FALSE,INDEX('Ist Aktuell Monat 05'!B:B,MATCH(D289,'Ist Aktuell Monat 05'!A:A,0)),
IF(ISERROR(MATCH(D289,'Ist Aktuell Monat 06'!A:A,0))=FALSE,INDEX('Ist Aktuell Monat 06'!B:B,MATCH(D289,'Ist Aktuell Monat 06'!A:A,0)),
IF(ISERROR(MATCH(D289,'Ist Aktuell Monat 07'!A:A,0))=FALSE,INDEX('Ist Aktuell Monat 07'!B:B,MATCH(D289,'Ist Aktuell Monat 07'!A:A,0)),
IF(ISERROR(MATCH(D289,'Ist Aktuell Monat 08'!A:A,0))=FALSE,INDEX('Ist Aktuell Monat 08'!B:B,MATCH(D289,'Ist Aktuell Monat 08'!A:A,0)),
IF(ISERROR(MATCH(D289,'Ist Aktuell Monat 09'!A:A,0))=FALSE,INDEX('Ist Aktuell Monat 09'!B:B,MATCH(D289,'Ist Aktuell Monat 09'!A:A,0)),
IF(ISERROR(MATCH(D289,'Ist Aktuell Monat 10'!A:A,0))=FALSE,INDEX('Ist Aktuell Monat 10'!B:B,MATCH(D289,'Ist Aktuell Monat 10'!A:A,0)),
IF(ISERROR(MATCH(D289,'Ist Aktuell Monat 11'!A:A,0))=FALSE,INDEX('Ist Aktuell Monat 11'!B:B,MATCH(D289,'Ist Aktuell Monat 11'!A:A,0)),
IF(ISERROR(MATCH(D289,'Ist Aktuell Monat 12'!A:A,0))=FALSE,INDEX('Ist Aktuell Monat 12'!B:B,MATCH(D289,'Ist Aktuell Monat 12'!A:A,0)),
"{Konto unbekannt}"
)))))))))))),"")</f>
        <v xml:space="preserve"> Computerkosten bzw. Zubehör</v>
      </c>
      <c r="C289" s="591"/>
      <c r="D289" s="590">
        <v>4931</v>
      </c>
      <c r="E289" s="592">
        <f>IF(F289="-",-1,1)</f>
        <v>1</v>
      </c>
      <c r="F289" s="590"/>
      <c r="G289" s="593">
        <f ca="1">$E289*(-SUMIF(INDIRECT(G$3),'Struktur Aktuell'!$D289,INDIRECT(G$4))+SUMIF(INDIRECT(G$3),'Struktur Aktuell'!$D289,INDIRECT(G$5)))</f>
        <v>36.130000000000003</v>
      </c>
      <c r="H289" s="593">
        <f ca="1">$E289*(-SUMIF(INDIRECT(H$3),'Struktur Aktuell'!$D289,INDIRECT(H$4))+SUMIF(INDIRECT(H$3),'Struktur Aktuell'!$D289,INDIRECT(H$5)))</f>
        <v>0</v>
      </c>
      <c r="I289" s="593">
        <f ca="1">$E289*(-SUMIF(INDIRECT(I$3),'Struktur Aktuell'!$D289,INDIRECT(I$4))+SUMIF(INDIRECT(I$3),'Struktur Aktuell'!$D289,INDIRECT(I$5)))</f>
        <v>945.81</v>
      </c>
      <c r="J289" s="593">
        <f ca="1">$E289*(-SUMIF(INDIRECT(J$3),'Struktur Aktuell'!$D289,INDIRECT(J$4))+SUMIF(INDIRECT(J$3),'Struktur Aktuell'!$D289,INDIRECT(J$5)))</f>
        <v>49</v>
      </c>
      <c r="K289" s="593">
        <f ca="1">$E289*(-SUMIF(INDIRECT(K$3),'Struktur Aktuell'!$D289,INDIRECT(K$4))+SUMIF(INDIRECT(K$3),'Struktur Aktuell'!$D289,INDIRECT(K$5)))</f>
        <v>0</v>
      </c>
      <c r="L289" s="593">
        <f ca="1">$E289*(-SUMIF(INDIRECT(L$3),'Struktur Aktuell'!$D289,INDIRECT(L$4))+SUMIF(INDIRECT(L$3),'Struktur Aktuell'!$D289,INDIRECT(L$5)))</f>
        <v>643.73</v>
      </c>
      <c r="M289" s="593">
        <f ca="1">$E289*(-SUMIF(INDIRECT(M$3),'Struktur Aktuell'!$D289,INDIRECT(M$4))+SUMIF(INDIRECT(M$3),'Struktur Aktuell'!$D289,INDIRECT(M$5)))</f>
        <v>246.6</v>
      </c>
      <c r="N289" s="593">
        <f ca="1">$E289*(-SUMIF(INDIRECT(N$3),'Struktur Aktuell'!$D289,INDIRECT(N$4))+SUMIF(INDIRECT(N$3),'Struktur Aktuell'!$D289,INDIRECT(N$5)))</f>
        <v>5.45</v>
      </c>
      <c r="O289" s="593">
        <f ca="1">$E289*(-SUMIF(INDIRECT(O$3),'Struktur Aktuell'!$D289,INDIRECT(O$4))+SUMIF(INDIRECT(O$3),'Struktur Aktuell'!$D289,INDIRECT(O$5)))</f>
        <v>50.34</v>
      </c>
      <c r="P289" s="593">
        <f ca="1">$E289*(-SUMIF(INDIRECT(P$3),'Struktur Aktuell'!$D289,INDIRECT(P$4))+SUMIF(INDIRECT(P$3),'Struktur Aktuell'!$D289,INDIRECT(P$5)))</f>
        <v>0</v>
      </c>
      <c r="Q289" s="593">
        <f ca="1">$E289*(-SUMIF(INDIRECT(Q$3),'Struktur Aktuell'!$D289,INDIRECT(Q$4))+SUMIF(INDIRECT(Q$3),'Struktur Aktuell'!$D289,INDIRECT(Q$5)))</f>
        <v>0</v>
      </c>
      <c r="R289" s="593">
        <f ca="1">$E289*(-SUMIF(INDIRECT(R$3),'Struktur Aktuell'!$D289,INDIRECT(R$4))+SUMIF(INDIRECT(R$3),'Struktur Aktuell'!$D289,INDIRECT(R$5)))</f>
        <v>0</v>
      </c>
      <c r="S289" s="593">
        <f ca="1">$E289*(-SUMIF(INDIRECT(S$3),'Struktur Aktuell'!$D289,INDIRECT(S$4))+SUMIF(INDIRECT(S$3),'Struktur Aktuell'!$D289,INDIRECT(S$5)))</f>
        <v>36.130000000000003</v>
      </c>
      <c r="T289" s="593">
        <f ca="1">$E289*(-SUMIF(INDIRECT(T$3),'Struktur Aktuell'!$D289,INDIRECT(T$4))+SUMIF(INDIRECT(T$3),'Struktur Aktuell'!$D289,INDIRECT(T$5)))</f>
        <v>36.130000000000003</v>
      </c>
      <c r="U289" s="593">
        <f ca="1">$E289*(-SUMIF(INDIRECT(U$3),'Struktur Aktuell'!$D289,INDIRECT(U$4))+SUMIF(INDIRECT(U$3),'Struktur Aktuell'!$D289,INDIRECT(U$5)))</f>
        <v>981.94</v>
      </c>
      <c r="V289" s="593">
        <f ca="1">$E289*(-SUMIF(INDIRECT(V$3),'Struktur Aktuell'!$D289,INDIRECT(V$4))+SUMIF(INDIRECT(V$3),'Struktur Aktuell'!$D289,INDIRECT(V$5)))</f>
        <v>1030.94</v>
      </c>
      <c r="W289" s="593">
        <f ca="1">$E289*(-SUMIF(INDIRECT(W$3),'Struktur Aktuell'!$D289,INDIRECT(W$4))+SUMIF(INDIRECT(W$3),'Struktur Aktuell'!$D289,INDIRECT(W$5)))</f>
        <v>1030.94</v>
      </c>
      <c r="X289" s="593">
        <f ca="1">$E289*(-SUMIF(INDIRECT(X$3),'Struktur Aktuell'!$D289,INDIRECT(X$4))+SUMIF(INDIRECT(X$3),'Struktur Aktuell'!$D289,INDIRECT(X$5)))</f>
        <v>1674.67</v>
      </c>
      <c r="Y289" s="593">
        <f ca="1">$E289*(-SUMIF(INDIRECT(Y$3),'Struktur Aktuell'!$D289,INDIRECT(Y$4))+SUMIF(INDIRECT(Y$3),'Struktur Aktuell'!$D289,INDIRECT(Y$5)))</f>
        <v>1921.27</v>
      </c>
      <c r="Z289" s="593">
        <f ca="1">$E289*(-SUMIF(INDIRECT(Z$3),'Struktur Aktuell'!$D289,INDIRECT(Z$4))+SUMIF(INDIRECT(Z$3),'Struktur Aktuell'!$D289,INDIRECT(Z$5)))</f>
        <v>1926.72</v>
      </c>
      <c r="AA289" s="593">
        <f ca="1">$E289*(-SUMIF(INDIRECT(AA$3),'Struktur Aktuell'!$D289,INDIRECT(AA$4))+SUMIF(INDIRECT(AA$3),'Struktur Aktuell'!$D289,INDIRECT(AA$5)))</f>
        <v>1977.06</v>
      </c>
      <c r="AB289" s="593">
        <f ca="1">$E289*(-SUMIF(INDIRECT(AB$3),'Struktur Aktuell'!$D289,INDIRECT(AB$4))+SUMIF(INDIRECT(AB$3),'Struktur Aktuell'!$D289,INDIRECT(AB$5)))</f>
        <v>1977.06</v>
      </c>
      <c r="AC289" s="593">
        <f ca="1">$E289*(-SUMIF(INDIRECT(AC$3),'Struktur Aktuell'!$D289,INDIRECT(AC$4))+SUMIF(INDIRECT(AC$3),'Struktur Aktuell'!$D289,INDIRECT(AC$5)))</f>
        <v>0</v>
      </c>
      <c r="AD289" s="593">
        <f ca="1">$E289*(-SUMIF(INDIRECT(AD$3),'Struktur Aktuell'!$D289,INDIRECT(AD$4))+SUMIF(INDIRECT(AD$3),'Struktur Aktuell'!$D289,INDIRECT(AD$5)))</f>
        <v>0</v>
      </c>
      <c r="AE289" s="593">
        <f t="shared" ca="1" si="384"/>
        <v>36.130000000000003</v>
      </c>
      <c r="AF289" s="593">
        <f t="shared" ca="1" si="385"/>
        <v>36.130000000000003</v>
      </c>
      <c r="AG289" s="593">
        <f t="shared" ca="1" si="386"/>
        <v>981.93999999999994</v>
      </c>
      <c r="AH289" s="593">
        <f t="shared" ca="1" si="387"/>
        <v>1030.94</v>
      </c>
      <c r="AI289" s="593">
        <f t="shared" ca="1" si="388"/>
        <v>1030.94</v>
      </c>
      <c r="AJ289" s="593">
        <f t="shared" ca="1" si="389"/>
        <v>1674.67</v>
      </c>
      <c r="AK289" s="593">
        <f t="shared" ca="1" si="390"/>
        <v>1921.27</v>
      </c>
      <c r="AL289" s="593">
        <f t="shared" ca="1" si="391"/>
        <v>1926.72</v>
      </c>
      <c r="AM289" s="593">
        <f t="shared" ca="1" si="392"/>
        <v>1977.06</v>
      </c>
      <c r="AN289" s="593">
        <f t="shared" ca="1" si="393"/>
        <v>1977.06</v>
      </c>
      <c r="AO289" s="593">
        <f t="shared" ca="1" si="394"/>
        <v>1977.06</v>
      </c>
      <c r="AP289" s="593">
        <f t="shared" ca="1" si="395"/>
        <v>1977.06</v>
      </c>
    </row>
    <row r="290" spans="1:42" s="594" customFormat="1" ht="11.25" outlineLevel="1" x14ac:dyDescent="0.2">
      <c r="A290" s="590"/>
      <c r="B290" s="591" t="str">
        <f>IF(D290&lt;&gt;"",
IF(ISERROR(MATCH(D290,'Ist Aktuell Monat 01'!A:A,0))=FALSE,INDEX('Ist Aktuell Monat 01'!B:B,MATCH(D290,'Ist Aktuell Monat 01'!A:A,0)),
IF(ISERROR(MATCH(D290,'Ist Aktuell Monat 02'!A:A,0))=FALSE,INDEX('Ist Aktuell Monat 02'!B:B,MATCH(D290,'Ist Aktuell Monat 02'!A:A,0)),
IF(ISERROR(MATCH(D290,'Ist Aktuell Monat 03'!A:A,0))=FALSE,INDEX('Ist Aktuell Monat 03'!B:B,MATCH(D290,'Ist Aktuell Monat 03'!A:A,0)),
IF(ISERROR(MATCH(D290,'Ist Aktuell Monat 04'!A:A,0))=FALSE,INDEX('Ist Aktuell Monat 04'!B:B,MATCH(D290,'Ist Aktuell Monat 04'!A:A,0)),
IF(ISERROR(MATCH(D290,'Ist Aktuell Monat 05'!A:A,0))=FALSE,INDEX('Ist Aktuell Monat 05'!B:B,MATCH(D290,'Ist Aktuell Monat 05'!A:A,0)),
IF(ISERROR(MATCH(D290,'Ist Aktuell Monat 06'!A:A,0))=FALSE,INDEX('Ist Aktuell Monat 06'!B:B,MATCH(D290,'Ist Aktuell Monat 06'!A:A,0)),
IF(ISERROR(MATCH(D290,'Ist Aktuell Monat 07'!A:A,0))=FALSE,INDEX('Ist Aktuell Monat 07'!B:B,MATCH(D290,'Ist Aktuell Monat 07'!A:A,0)),
IF(ISERROR(MATCH(D290,'Ist Aktuell Monat 08'!A:A,0))=FALSE,INDEX('Ist Aktuell Monat 08'!B:B,MATCH(D290,'Ist Aktuell Monat 08'!A:A,0)),
IF(ISERROR(MATCH(D290,'Ist Aktuell Monat 09'!A:A,0))=FALSE,INDEX('Ist Aktuell Monat 09'!B:B,MATCH(D290,'Ist Aktuell Monat 09'!A:A,0)),
IF(ISERROR(MATCH(D290,'Ist Aktuell Monat 10'!A:A,0))=FALSE,INDEX('Ist Aktuell Monat 10'!B:B,MATCH(D290,'Ist Aktuell Monat 10'!A:A,0)),
IF(ISERROR(MATCH(D290,'Ist Aktuell Monat 11'!A:A,0))=FALSE,INDEX('Ist Aktuell Monat 11'!B:B,MATCH(D290,'Ist Aktuell Monat 11'!A:A,0)),
IF(ISERROR(MATCH(D290,'Ist Aktuell Monat 12'!A:A,0))=FALSE,INDEX('Ist Aktuell Monat 12'!B:B,MATCH(D290,'Ist Aktuell Monat 12'!A:A,0)),
"{Konto unbekannt}"
)))))))))))),"")</f>
        <v>{Konto unbekannt}</v>
      </c>
      <c r="C290" s="591"/>
      <c r="D290" s="590">
        <v>4800</v>
      </c>
      <c r="E290" s="592">
        <f>IF(F290="-",-1,1)</f>
        <v>1</v>
      </c>
      <c r="F290" s="590"/>
      <c r="G290" s="593">
        <f ca="1">$E290*(-SUMIF(INDIRECT(G$3),'Struktur Aktuell'!$D290,INDIRECT(G$4))+SUMIF(INDIRECT(G$3),'Struktur Aktuell'!$D290,INDIRECT(G$5)))</f>
        <v>0</v>
      </c>
      <c r="H290" s="593">
        <f ca="1">$E290*(-SUMIF(INDIRECT(H$3),'Struktur Aktuell'!$D290,INDIRECT(H$4))+SUMIF(INDIRECT(H$3),'Struktur Aktuell'!$D290,INDIRECT(H$5)))</f>
        <v>0</v>
      </c>
      <c r="I290" s="593">
        <f ca="1">$E290*(-SUMIF(INDIRECT(I$3),'Struktur Aktuell'!$D290,INDIRECT(I$4))+SUMIF(INDIRECT(I$3),'Struktur Aktuell'!$D290,INDIRECT(I$5)))</f>
        <v>0</v>
      </c>
      <c r="J290" s="593">
        <f ca="1">$E290*(-SUMIF(INDIRECT(J$3),'Struktur Aktuell'!$D290,INDIRECT(J$4))+SUMIF(INDIRECT(J$3),'Struktur Aktuell'!$D290,INDIRECT(J$5)))</f>
        <v>0</v>
      </c>
      <c r="K290" s="593">
        <f ca="1">$E290*(-SUMIF(INDIRECT(K$3),'Struktur Aktuell'!$D290,INDIRECT(K$4))+SUMIF(INDIRECT(K$3),'Struktur Aktuell'!$D290,INDIRECT(K$5)))</f>
        <v>0</v>
      </c>
      <c r="L290" s="593">
        <f ca="1">$E290*(-SUMIF(INDIRECT(L$3),'Struktur Aktuell'!$D290,INDIRECT(L$4))+SUMIF(INDIRECT(L$3),'Struktur Aktuell'!$D290,INDIRECT(L$5)))</f>
        <v>0</v>
      </c>
      <c r="M290" s="593">
        <f ca="1">$E290*(-SUMIF(INDIRECT(M$3),'Struktur Aktuell'!$D290,INDIRECT(M$4))+SUMIF(INDIRECT(M$3),'Struktur Aktuell'!$D290,INDIRECT(M$5)))</f>
        <v>0</v>
      </c>
      <c r="N290" s="593">
        <f ca="1">$E290*(-SUMIF(INDIRECT(N$3),'Struktur Aktuell'!$D290,INDIRECT(N$4))+SUMIF(INDIRECT(N$3),'Struktur Aktuell'!$D290,INDIRECT(N$5)))</f>
        <v>0</v>
      </c>
      <c r="O290" s="593">
        <f ca="1">$E290*(-SUMIF(INDIRECT(O$3),'Struktur Aktuell'!$D290,INDIRECT(O$4))+SUMIF(INDIRECT(O$3),'Struktur Aktuell'!$D290,INDIRECT(O$5)))</f>
        <v>0</v>
      </c>
      <c r="P290" s="593">
        <f ca="1">$E290*(-SUMIF(INDIRECT(P$3),'Struktur Aktuell'!$D290,INDIRECT(P$4))+SUMIF(INDIRECT(P$3),'Struktur Aktuell'!$D290,INDIRECT(P$5)))</f>
        <v>0</v>
      </c>
      <c r="Q290" s="593">
        <f ca="1">$E290*(-SUMIF(INDIRECT(Q$3),'Struktur Aktuell'!$D290,INDIRECT(Q$4))+SUMIF(INDIRECT(Q$3),'Struktur Aktuell'!$D290,INDIRECT(Q$5)))</f>
        <v>0</v>
      </c>
      <c r="R290" s="593">
        <f ca="1">$E290*(-SUMIF(INDIRECT(R$3),'Struktur Aktuell'!$D290,INDIRECT(R$4))+SUMIF(INDIRECT(R$3),'Struktur Aktuell'!$D290,INDIRECT(R$5)))</f>
        <v>0</v>
      </c>
      <c r="S290" s="593">
        <f ca="1">$E290*(-SUMIF(INDIRECT(S$3),'Struktur Aktuell'!$D290,INDIRECT(S$4))+SUMIF(INDIRECT(S$3),'Struktur Aktuell'!$D290,INDIRECT(S$5)))</f>
        <v>0</v>
      </c>
      <c r="T290" s="593">
        <f ca="1">$E290*(-SUMIF(INDIRECT(T$3),'Struktur Aktuell'!$D290,INDIRECT(T$4))+SUMIF(INDIRECT(T$3),'Struktur Aktuell'!$D290,INDIRECT(T$5)))</f>
        <v>0</v>
      </c>
      <c r="U290" s="593">
        <f ca="1">$E290*(-SUMIF(INDIRECT(U$3),'Struktur Aktuell'!$D290,INDIRECT(U$4))+SUMIF(INDIRECT(U$3),'Struktur Aktuell'!$D290,INDIRECT(U$5)))</f>
        <v>0</v>
      </c>
      <c r="V290" s="593">
        <f ca="1">$E290*(-SUMIF(INDIRECT(V$3),'Struktur Aktuell'!$D290,INDIRECT(V$4))+SUMIF(INDIRECT(V$3),'Struktur Aktuell'!$D290,INDIRECT(V$5)))</f>
        <v>0</v>
      </c>
      <c r="W290" s="593">
        <f ca="1">$E290*(-SUMIF(INDIRECT(W$3),'Struktur Aktuell'!$D290,INDIRECT(W$4))+SUMIF(INDIRECT(W$3),'Struktur Aktuell'!$D290,INDIRECT(W$5)))</f>
        <v>0</v>
      </c>
      <c r="X290" s="593">
        <f ca="1">$E290*(-SUMIF(INDIRECT(X$3),'Struktur Aktuell'!$D290,INDIRECT(X$4))+SUMIF(INDIRECT(X$3),'Struktur Aktuell'!$D290,INDIRECT(X$5)))</f>
        <v>0</v>
      </c>
      <c r="Y290" s="593">
        <f ca="1">$E290*(-SUMIF(INDIRECT(Y$3),'Struktur Aktuell'!$D290,INDIRECT(Y$4))+SUMIF(INDIRECT(Y$3),'Struktur Aktuell'!$D290,INDIRECT(Y$5)))</f>
        <v>0</v>
      </c>
      <c r="Z290" s="593">
        <f ca="1">$E290*(-SUMIF(INDIRECT(Z$3),'Struktur Aktuell'!$D290,INDIRECT(Z$4))+SUMIF(INDIRECT(Z$3),'Struktur Aktuell'!$D290,INDIRECT(Z$5)))</f>
        <v>0</v>
      </c>
      <c r="AA290" s="593">
        <f ca="1">$E290*(-SUMIF(INDIRECT(AA$3),'Struktur Aktuell'!$D290,INDIRECT(AA$4))+SUMIF(INDIRECT(AA$3),'Struktur Aktuell'!$D290,INDIRECT(AA$5)))</f>
        <v>0</v>
      </c>
      <c r="AB290" s="593">
        <f ca="1">$E290*(-SUMIF(INDIRECT(AB$3),'Struktur Aktuell'!$D290,INDIRECT(AB$4))+SUMIF(INDIRECT(AB$3),'Struktur Aktuell'!$D290,INDIRECT(AB$5)))</f>
        <v>0</v>
      </c>
      <c r="AC290" s="593">
        <f ca="1">$E290*(-SUMIF(INDIRECT(AC$3),'Struktur Aktuell'!$D290,INDIRECT(AC$4))+SUMIF(INDIRECT(AC$3),'Struktur Aktuell'!$D290,INDIRECT(AC$5)))</f>
        <v>0</v>
      </c>
      <c r="AD290" s="593">
        <f ca="1">$E290*(-SUMIF(INDIRECT(AD$3),'Struktur Aktuell'!$D290,INDIRECT(AD$4))+SUMIF(INDIRECT(AD$3),'Struktur Aktuell'!$D290,INDIRECT(AD$5)))</f>
        <v>0</v>
      </c>
      <c r="AE290" s="593">
        <f t="shared" ca="1" si="384"/>
        <v>0</v>
      </c>
      <c r="AF290" s="593">
        <f t="shared" ca="1" si="385"/>
        <v>0</v>
      </c>
      <c r="AG290" s="593">
        <f t="shared" ca="1" si="386"/>
        <v>0</v>
      </c>
      <c r="AH290" s="593">
        <f t="shared" ca="1" si="387"/>
        <v>0</v>
      </c>
      <c r="AI290" s="593">
        <f t="shared" ca="1" si="388"/>
        <v>0</v>
      </c>
      <c r="AJ290" s="593">
        <f t="shared" ca="1" si="389"/>
        <v>0</v>
      </c>
      <c r="AK290" s="593">
        <f t="shared" ca="1" si="390"/>
        <v>0</v>
      </c>
      <c r="AL290" s="593">
        <f t="shared" ca="1" si="391"/>
        <v>0</v>
      </c>
      <c r="AM290" s="593">
        <f t="shared" ca="1" si="392"/>
        <v>0</v>
      </c>
      <c r="AN290" s="593">
        <f t="shared" ca="1" si="393"/>
        <v>0</v>
      </c>
      <c r="AO290" s="593">
        <f t="shared" ca="1" si="394"/>
        <v>0</v>
      </c>
      <c r="AP290" s="593">
        <f t="shared" ca="1" si="395"/>
        <v>0</v>
      </c>
    </row>
    <row r="291" spans="1:42" s="594" customFormat="1" ht="11.25" outlineLevel="1" x14ac:dyDescent="0.2">
      <c r="A291" s="590"/>
      <c r="B291" s="591" t="str">
        <f>IF(D291&lt;&gt;"",
IF(ISERROR(MATCH(D291,'Ist Aktuell Monat 01'!A:A,0))=FALSE,INDEX('Ist Aktuell Monat 01'!B:B,MATCH(D291,'Ist Aktuell Monat 01'!A:A,0)),
IF(ISERROR(MATCH(D291,'Ist Aktuell Monat 02'!A:A,0))=FALSE,INDEX('Ist Aktuell Monat 02'!B:B,MATCH(D291,'Ist Aktuell Monat 02'!A:A,0)),
IF(ISERROR(MATCH(D291,'Ist Aktuell Monat 03'!A:A,0))=FALSE,INDEX('Ist Aktuell Monat 03'!B:B,MATCH(D291,'Ist Aktuell Monat 03'!A:A,0)),
IF(ISERROR(MATCH(D291,'Ist Aktuell Monat 04'!A:A,0))=FALSE,INDEX('Ist Aktuell Monat 04'!B:B,MATCH(D291,'Ist Aktuell Monat 04'!A:A,0)),
IF(ISERROR(MATCH(D291,'Ist Aktuell Monat 05'!A:A,0))=FALSE,INDEX('Ist Aktuell Monat 05'!B:B,MATCH(D291,'Ist Aktuell Monat 05'!A:A,0)),
IF(ISERROR(MATCH(D291,'Ist Aktuell Monat 06'!A:A,0))=FALSE,INDEX('Ist Aktuell Monat 06'!B:B,MATCH(D291,'Ist Aktuell Monat 06'!A:A,0)),
IF(ISERROR(MATCH(D291,'Ist Aktuell Monat 07'!A:A,0))=FALSE,INDEX('Ist Aktuell Monat 07'!B:B,MATCH(D291,'Ist Aktuell Monat 07'!A:A,0)),
IF(ISERROR(MATCH(D291,'Ist Aktuell Monat 08'!A:A,0))=FALSE,INDEX('Ist Aktuell Monat 08'!B:B,MATCH(D291,'Ist Aktuell Monat 08'!A:A,0)),
IF(ISERROR(MATCH(D291,'Ist Aktuell Monat 09'!A:A,0))=FALSE,INDEX('Ist Aktuell Monat 09'!B:B,MATCH(D291,'Ist Aktuell Monat 09'!A:A,0)),
IF(ISERROR(MATCH(D291,'Ist Aktuell Monat 10'!A:A,0))=FALSE,INDEX('Ist Aktuell Monat 10'!B:B,MATCH(D291,'Ist Aktuell Monat 10'!A:A,0)),
IF(ISERROR(MATCH(D291,'Ist Aktuell Monat 11'!A:A,0))=FALSE,INDEX('Ist Aktuell Monat 11'!B:B,MATCH(D291,'Ist Aktuell Monat 11'!A:A,0)),
IF(ISERROR(MATCH(D291,'Ist Aktuell Monat 12'!A:A,0))=FALSE,INDEX('Ist Aktuell Monat 12'!B:B,MATCH(D291,'Ist Aktuell Monat 12'!A:A,0)),
"{Konto unbekannt}"
)))))))))))),"")</f>
        <v/>
      </c>
      <c r="C291" s="591"/>
      <c r="D291" s="590"/>
      <c r="E291" s="592">
        <f t="shared" si="381"/>
        <v>1</v>
      </c>
      <c r="F291" s="590"/>
      <c r="G291" s="593">
        <f ca="1">$E291*(-SUMIF(INDIRECT(G$3),'Struktur Aktuell'!$D291,INDIRECT(G$4))+SUMIF(INDIRECT(G$3),'Struktur Aktuell'!$D291,INDIRECT(G$5)))</f>
        <v>0</v>
      </c>
      <c r="H291" s="593">
        <f ca="1">$E291*(-SUMIF(INDIRECT(H$3),'Struktur Aktuell'!$D291,INDIRECT(H$4))+SUMIF(INDIRECT(H$3),'Struktur Aktuell'!$D291,INDIRECT(H$5)))</f>
        <v>0</v>
      </c>
      <c r="I291" s="593">
        <f ca="1">$E291*(-SUMIF(INDIRECT(I$3),'Struktur Aktuell'!$D291,INDIRECT(I$4))+SUMIF(INDIRECT(I$3),'Struktur Aktuell'!$D291,INDIRECT(I$5)))</f>
        <v>0</v>
      </c>
      <c r="J291" s="593">
        <f ca="1">$E291*(-SUMIF(INDIRECT(J$3),'Struktur Aktuell'!$D291,INDIRECT(J$4))+SUMIF(INDIRECT(J$3),'Struktur Aktuell'!$D291,INDIRECT(J$5)))</f>
        <v>0</v>
      </c>
      <c r="K291" s="593">
        <f ca="1">$E291*(-SUMIF(INDIRECT(K$3),'Struktur Aktuell'!$D291,INDIRECT(K$4))+SUMIF(INDIRECT(K$3),'Struktur Aktuell'!$D291,INDIRECT(K$5)))</f>
        <v>0</v>
      </c>
      <c r="L291" s="593">
        <f ca="1">$E291*(-SUMIF(INDIRECT(L$3),'Struktur Aktuell'!$D291,INDIRECT(L$4))+SUMIF(INDIRECT(L$3),'Struktur Aktuell'!$D291,INDIRECT(L$5)))</f>
        <v>0</v>
      </c>
      <c r="M291" s="593">
        <f ca="1">$E291*(-SUMIF(INDIRECT(M$3),'Struktur Aktuell'!$D291,INDIRECT(M$4))+SUMIF(INDIRECT(M$3),'Struktur Aktuell'!$D291,INDIRECT(M$5)))</f>
        <v>0</v>
      </c>
      <c r="N291" s="593">
        <f ca="1">$E291*(-SUMIF(INDIRECT(N$3),'Struktur Aktuell'!$D291,INDIRECT(N$4))+SUMIF(INDIRECT(N$3),'Struktur Aktuell'!$D291,INDIRECT(N$5)))</f>
        <v>0</v>
      </c>
      <c r="O291" s="593">
        <f ca="1">$E291*(-SUMIF(INDIRECT(O$3),'Struktur Aktuell'!$D291,INDIRECT(O$4))+SUMIF(INDIRECT(O$3),'Struktur Aktuell'!$D291,INDIRECT(O$5)))</f>
        <v>0</v>
      </c>
      <c r="P291" s="593">
        <f ca="1">$E291*(-SUMIF(INDIRECT(P$3),'Struktur Aktuell'!$D291,INDIRECT(P$4))+SUMIF(INDIRECT(P$3),'Struktur Aktuell'!$D291,INDIRECT(P$5)))</f>
        <v>0</v>
      </c>
      <c r="Q291" s="593">
        <f ca="1">$E291*(-SUMIF(INDIRECT(Q$3),'Struktur Aktuell'!$D291,INDIRECT(Q$4))+SUMIF(INDIRECT(Q$3),'Struktur Aktuell'!$D291,INDIRECT(Q$5)))</f>
        <v>0</v>
      </c>
      <c r="R291" s="593">
        <f ca="1">$E291*(-SUMIF(INDIRECT(R$3),'Struktur Aktuell'!$D291,INDIRECT(R$4))+SUMIF(INDIRECT(R$3),'Struktur Aktuell'!$D291,INDIRECT(R$5)))</f>
        <v>0</v>
      </c>
      <c r="S291" s="593">
        <f ca="1">$E291*(-SUMIF(INDIRECT(S$3),'Struktur Aktuell'!$D291,INDIRECT(S$4))+SUMIF(INDIRECT(S$3),'Struktur Aktuell'!$D291,INDIRECT(S$5)))</f>
        <v>0</v>
      </c>
      <c r="T291" s="593">
        <f ca="1">$E291*(-SUMIF(INDIRECT(T$3),'Struktur Aktuell'!$D291,INDIRECT(T$4))+SUMIF(INDIRECT(T$3),'Struktur Aktuell'!$D291,INDIRECT(T$5)))</f>
        <v>0</v>
      </c>
      <c r="U291" s="593">
        <f ca="1">$E291*(-SUMIF(INDIRECT(U$3),'Struktur Aktuell'!$D291,INDIRECT(U$4))+SUMIF(INDIRECT(U$3),'Struktur Aktuell'!$D291,INDIRECT(U$5)))</f>
        <v>0</v>
      </c>
      <c r="V291" s="593">
        <f ca="1">$E291*(-SUMIF(INDIRECT(V$3),'Struktur Aktuell'!$D291,INDIRECT(V$4))+SUMIF(INDIRECT(V$3),'Struktur Aktuell'!$D291,INDIRECT(V$5)))</f>
        <v>0</v>
      </c>
      <c r="W291" s="593">
        <f ca="1">$E291*(-SUMIF(INDIRECT(W$3),'Struktur Aktuell'!$D291,INDIRECT(W$4))+SUMIF(INDIRECT(W$3),'Struktur Aktuell'!$D291,INDIRECT(W$5)))</f>
        <v>0</v>
      </c>
      <c r="X291" s="593">
        <f ca="1">$E291*(-SUMIF(INDIRECT(X$3),'Struktur Aktuell'!$D291,INDIRECT(X$4))+SUMIF(INDIRECT(X$3),'Struktur Aktuell'!$D291,INDIRECT(X$5)))</f>
        <v>0</v>
      </c>
      <c r="Y291" s="593">
        <f ca="1">$E291*(-SUMIF(INDIRECT(Y$3),'Struktur Aktuell'!$D291,INDIRECT(Y$4))+SUMIF(INDIRECT(Y$3),'Struktur Aktuell'!$D291,INDIRECT(Y$5)))</f>
        <v>0</v>
      </c>
      <c r="Z291" s="593">
        <f ca="1">$E291*(-SUMIF(INDIRECT(Z$3),'Struktur Aktuell'!$D291,INDIRECT(Z$4))+SUMIF(INDIRECT(Z$3),'Struktur Aktuell'!$D291,INDIRECT(Z$5)))</f>
        <v>0</v>
      </c>
      <c r="AA291" s="593">
        <f ca="1">$E291*(-SUMIF(INDIRECT(AA$3),'Struktur Aktuell'!$D291,INDIRECT(AA$4))+SUMIF(INDIRECT(AA$3),'Struktur Aktuell'!$D291,INDIRECT(AA$5)))</f>
        <v>0</v>
      </c>
      <c r="AB291" s="593">
        <f ca="1">$E291*(-SUMIF(INDIRECT(AB$3),'Struktur Aktuell'!$D291,INDIRECT(AB$4))+SUMIF(INDIRECT(AB$3),'Struktur Aktuell'!$D291,INDIRECT(AB$5)))</f>
        <v>0</v>
      </c>
      <c r="AC291" s="593">
        <f ca="1">$E291*(-SUMIF(INDIRECT(AC$3),'Struktur Aktuell'!$D291,INDIRECT(AC$4))+SUMIF(INDIRECT(AC$3),'Struktur Aktuell'!$D291,INDIRECT(AC$5)))</f>
        <v>0</v>
      </c>
      <c r="AD291" s="593">
        <f ca="1">$E291*(-SUMIF(INDIRECT(AD$3),'Struktur Aktuell'!$D291,INDIRECT(AD$4))+SUMIF(INDIRECT(AD$3),'Struktur Aktuell'!$D291,INDIRECT(AD$5)))</f>
        <v>0</v>
      </c>
      <c r="AE291" s="593">
        <f t="shared" ca="1" si="384"/>
        <v>0</v>
      </c>
      <c r="AF291" s="593">
        <f t="shared" ca="1" si="385"/>
        <v>0</v>
      </c>
      <c r="AG291" s="593">
        <f t="shared" ca="1" si="386"/>
        <v>0</v>
      </c>
      <c r="AH291" s="593">
        <f t="shared" ca="1" si="387"/>
        <v>0</v>
      </c>
      <c r="AI291" s="593">
        <f t="shared" ca="1" si="388"/>
        <v>0</v>
      </c>
      <c r="AJ291" s="593">
        <f t="shared" ca="1" si="389"/>
        <v>0</v>
      </c>
      <c r="AK291" s="593">
        <f t="shared" ca="1" si="390"/>
        <v>0</v>
      </c>
      <c r="AL291" s="593">
        <f t="shared" ca="1" si="391"/>
        <v>0</v>
      </c>
      <c r="AM291" s="593">
        <f t="shared" ca="1" si="392"/>
        <v>0</v>
      </c>
      <c r="AN291" s="593">
        <f t="shared" ca="1" si="393"/>
        <v>0</v>
      </c>
      <c r="AO291" s="593">
        <f t="shared" ca="1" si="394"/>
        <v>0</v>
      </c>
      <c r="AP291" s="593">
        <f t="shared" ca="1" si="395"/>
        <v>0</v>
      </c>
    </row>
    <row r="292" spans="1:42" s="594" customFormat="1" ht="11.25" outlineLevel="1" x14ac:dyDescent="0.2">
      <c r="A292" s="590"/>
      <c r="B292" s="591" t="str">
        <f>IF(D292&lt;&gt;"",
IF(ISERROR(MATCH(D292,'Ist Aktuell Monat 01'!A:A,0))=FALSE,INDEX('Ist Aktuell Monat 01'!B:B,MATCH(D292,'Ist Aktuell Monat 01'!A:A,0)),
IF(ISERROR(MATCH(D292,'Ist Aktuell Monat 02'!A:A,0))=FALSE,INDEX('Ist Aktuell Monat 02'!B:B,MATCH(D292,'Ist Aktuell Monat 02'!A:A,0)),
IF(ISERROR(MATCH(D292,'Ist Aktuell Monat 03'!A:A,0))=FALSE,INDEX('Ist Aktuell Monat 03'!B:B,MATCH(D292,'Ist Aktuell Monat 03'!A:A,0)),
IF(ISERROR(MATCH(D292,'Ist Aktuell Monat 04'!A:A,0))=FALSE,INDEX('Ist Aktuell Monat 04'!B:B,MATCH(D292,'Ist Aktuell Monat 04'!A:A,0)),
IF(ISERROR(MATCH(D292,'Ist Aktuell Monat 05'!A:A,0))=FALSE,INDEX('Ist Aktuell Monat 05'!B:B,MATCH(D292,'Ist Aktuell Monat 05'!A:A,0)),
IF(ISERROR(MATCH(D292,'Ist Aktuell Monat 06'!A:A,0))=FALSE,INDEX('Ist Aktuell Monat 06'!B:B,MATCH(D292,'Ist Aktuell Monat 06'!A:A,0)),
IF(ISERROR(MATCH(D292,'Ist Aktuell Monat 07'!A:A,0))=FALSE,INDEX('Ist Aktuell Monat 07'!B:B,MATCH(D292,'Ist Aktuell Monat 07'!A:A,0)),
IF(ISERROR(MATCH(D292,'Ist Aktuell Monat 08'!A:A,0))=FALSE,INDEX('Ist Aktuell Monat 08'!B:B,MATCH(D292,'Ist Aktuell Monat 08'!A:A,0)),
IF(ISERROR(MATCH(D292,'Ist Aktuell Monat 09'!A:A,0))=FALSE,INDEX('Ist Aktuell Monat 09'!B:B,MATCH(D292,'Ist Aktuell Monat 09'!A:A,0)),
IF(ISERROR(MATCH(D292,'Ist Aktuell Monat 10'!A:A,0))=FALSE,INDEX('Ist Aktuell Monat 10'!B:B,MATCH(D292,'Ist Aktuell Monat 10'!A:A,0)),
IF(ISERROR(MATCH(D292,'Ist Aktuell Monat 11'!A:A,0))=FALSE,INDEX('Ist Aktuell Monat 11'!B:B,MATCH(D292,'Ist Aktuell Monat 11'!A:A,0)),
IF(ISERROR(MATCH(D292,'Ist Aktuell Monat 12'!A:A,0))=FALSE,INDEX('Ist Aktuell Monat 12'!B:B,MATCH(D292,'Ist Aktuell Monat 12'!A:A,0)),
"{Konto unbekannt}"
)))))))))))),"")</f>
        <v/>
      </c>
      <c r="C292" s="591"/>
      <c r="D292" s="590"/>
      <c r="E292" s="592">
        <f t="shared" si="381"/>
        <v>1</v>
      </c>
      <c r="F292" s="590"/>
      <c r="G292" s="593">
        <f ca="1">$E292*(-SUMIF(INDIRECT(G$3),'Struktur Aktuell'!$D292,INDIRECT(G$4))+SUMIF(INDIRECT(G$3),'Struktur Aktuell'!$D292,INDIRECT(G$5)))</f>
        <v>0</v>
      </c>
      <c r="H292" s="593">
        <f ca="1">$E292*(-SUMIF(INDIRECT(H$3),'Struktur Aktuell'!$D292,INDIRECT(H$4))+SUMIF(INDIRECT(H$3),'Struktur Aktuell'!$D292,INDIRECT(H$5)))</f>
        <v>0</v>
      </c>
      <c r="I292" s="593">
        <f ca="1">$E292*(-SUMIF(INDIRECT(I$3),'Struktur Aktuell'!$D292,INDIRECT(I$4))+SUMIF(INDIRECT(I$3),'Struktur Aktuell'!$D292,INDIRECT(I$5)))</f>
        <v>0</v>
      </c>
      <c r="J292" s="593">
        <f ca="1">$E292*(-SUMIF(INDIRECT(J$3),'Struktur Aktuell'!$D292,INDIRECT(J$4))+SUMIF(INDIRECT(J$3),'Struktur Aktuell'!$D292,INDIRECT(J$5)))</f>
        <v>0</v>
      </c>
      <c r="K292" s="593">
        <f ca="1">$E292*(-SUMIF(INDIRECT(K$3),'Struktur Aktuell'!$D292,INDIRECT(K$4))+SUMIF(INDIRECT(K$3),'Struktur Aktuell'!$D292,INDIRECT(K$5)))</f>
        <v>0</v>
      </c>
      <c r="L292" s="593">
        <f ca="1">$E292*(-SUMIF(INDIRECT(L$3),'Struktur Aktuell'!$D292,INDIRECT(L$4))+SUMIF(INDIRECT(L$3),'Struktur Aktuell'!$D292,INDIRECT(L$5)))</f>
        <v>0</v>
      </c>
      <c r="M292" s="593">
        <f ca="1">$E292*(-SUMIF(INDIRECT(M$3),'Struktur Aktuell'!$D292,INDIRECT(M$4))+SUMIF(INDIRECT(M$3),'Struktur Aktuell'!$D292,INDIRECT(M$5)))</f>
        <v>0</v>
      </c>
      <c r="N292" s="593">
        <f ca="1">$E292*(-SUMIF(INDIRECT(N$3),'Struktur Aktuell'!$D292,INDIRECT(N$4))+SUMIF(INDIRECT(N$3),'Struktur Aktuell'!$D292,INDIRECT(N$5)))</f>
        <v>0</v>
      </c>
      <c r="O292" s="593">
        <f ca="1">$E292*(-SUMIF(INDIRECT(O$3),'Struktur Aktuell'!$D292,INDIRECT(O$4))+SUMIF(INDIRECT(O$3),'Struktur Aktuell'!$D292,INDIRECT(O$5)))</f>
        <v>0</v>
      </c>
      <c r="P292" s="593">
        <f ca="1">$E292*(-SUMIF(INDIRECT(P$3),'Struktur Aktuell'!$D292,INDIRECT(P$4))+SUMIF(INDIRECT(P$3),'Struktur Aktuell'!$D292,INDIRECT(P$5)))</f>
        <v>0</v>
      </c>
      <c r="Q292" s="593">
        <f ca="1">$E292*(-SUMIF(INDIRECT(Q$3),'Struktur Aktuell'!$D292,INDIRECT(Q$4))+SUMIF(INDIRECT(Q$3),'Struktur Aktuell'!$D292,INDIRECT(Q$5)))</f>
        <v>0</v>
      </c>
      <c r="R292" s="593">
        <f ca="1">$E292*(-SUMIF(INDIRECT(R$3),'Struktur Aktuell'!$D292,INDIRECT(R$4))+SUMIF(INDIRECT(R$3),'Struktur Aktuell'!$D292,INDIRECT(R$5)))</f>
        <v>0</v>
      </c>
      <c r="S292" s="593">
        <f ca="1">$E292*(-SUMIF(INDIRECT(S$3),'Struktur Aktuell'!$D292,INDIRECT(S$4))+SUMIF(INDIRECT(S$3),'Struktur Aktuell'!$D292,INDIRECT(S$5)))</f>
        <v>0</v>
      </c>
      <c r="T292" s="593">
        <f ca="1">$E292*(-SUMIF(INDIRECT(T$3),'Struktur Aktuell'!$D292,INDIRECT(T$4))+SUMIF(INDIRECT(T$3),'Struktur Aktuell'!$D292,INDIRECT(T$5)))</f>
        <v>0</v>
      </c>
      <c r="U292" s="593">
        <f ca="1">$E292*(-SUMIF(INDIRECT(U$3),'Struktur Aktuell'!$D292,INDIRECT(U$4))+SUMIF(INDIRECT(U$3),'Struktur Aktuell'!$D292,INDIRECT(U$5)))</f>
        <v>0</v>
      </c>
      <c r="V292" s="593">
        <f ca="1">$E292*(-SUMIF(INDIRECT(V$3),'Struktur Aktuell'!$D292,INDIRECT(V$4))+SUMIF(INDIRECT(V$3),'Struktur Aktuell'!$D292,INDIRECT(V$5)))</f>
        <v>0</v>
      </c>
      <c r="W292" s="593">
        <f ca="1">$E292*(-SUMIF(INDIRECT(W$3),'Struktur Aktuell'!$D292,INDIRECT(W$4))+SUMIF(INDIRECT(W$3),'Struktur Aktuell'!$D292,INDIRECT(W$5)))</f>
        <v>0</v>
      </c>
      <c r="X292" s="593">
        <f ca="1">$E292*(-SUMIF(INDIRECT(X$3),'Struktur Aktuell'!$D292,INDIRECT(X$4))+SUMIF(INDIRECT(X$3),'Struktur Aktuell'!$D292,INDIRECT(X$5)))</f>
        <v>0</v>
      </c>
      <c r="Y292" s="593">
        <f ca="1">$E292*(-SUMIF(INDIRECT(Y$3),'Struktur Aktuell'!$D292,INDIRECT(Y$4))+SUMIF(INDIRECT(Y$3),'Struktur Aktuell'!$D292,INDIRECT(Y$5)))</f>
        <v>0</v>
      </c>
      <c r="Z292" s="593">
        <f ca="1">$E292*(-SUMIF(INDIRECT(Z$3),'Struktur Aktuell'!$D292,INDIRECT(Z$4))+SUMIF(INDIRECT(Z$3),'Struktur Aktuell'!$D292,INDIRECT(Z$5)))</f>
        <v>0</v>
      </c>
      <c r="AA292" s="593">
        <f ca="1">$E292*(-SUMIF(INDIRECT(AA$3),'Struktur Aktuell'!$D292,INDIRECT(AA$4))+SUMIF(INDIRECT(AA$3),'Struktur Aktuell'!$D292,INDIRECT(AA$5)))</f>
        <v>0</v>
      </c>
      <c r="AB292" s="593">
        <f ca="1">$E292*(-SUMIF(INDIRECT(AB$3),'Struktur Aktuell'!$D292,INDIRECT(AB$4))+SUMIF(INDIRECT(AB$3),'Struktur Aktuell'!$D292,INDIRECT(AB$5)))</f>
        <v>0</v>
      </c>
      <c r="AC292" s="593">
        <f ca="1">$E292*(-SUMIF(INDIRECT(AC$3),'Struktur Aktuell'!$D292,INDIRECT(AC$4))+SUMIF(INDIRECT(AC$3),'Struktur Aktuell'!$D292,INDIRECT(AC$5)))</f>
        <v>0</v>
      </c>
      <c r="AD292" s="593">
        <f ca="1">$E292*(-SUMIF(INDIRECT(AD$3),'Struktur Aktuell'!$D292,INDIRECT(AD$4))+SUMIF(INDIRECT(AD$3),'Struktur Aktuell'!$D292,INDIRECT(AD$5)))</f>
        <v>0</v>
      </c>
      <c r="AE292" s="593">
        <f t="shared" ca="1" si="384"/>
        <v>0</v>
      </c>
      <c r="AF292" s="593">
        <f t="shared" ca="1" si="385"/>
        <v>0</v>
      </c>
      <c r="AG292" s="593">
        <f t="shared" ca="1" si="386"/>
        <v>0</v>
      </c>
      <c r="AH292" s="593">
        <f t="shared" ca="1" si="387"/>
        <v>0</v>
      </c>
      <c r="AI292" s="593">
        <f t="shared" ca="1" si="388"/>
        <v>0</v>
      </c>
      <c r="AJ292" s="593">
        <f t="shared" ca="1" si="389"/>
        <v>0</v>
      </c>
      <c r="AK292" s="593">
        <f t="shared" ca="1" si="390"/>
        <v>0</v>
      </c>
      <c r="AL292" s="593">
        <f t="shared" ca="1" si="391"/>
        <v>0</v>
      </c>
      <c r="AM292" s="593">
        <f t="shared" ca="1" si="392"/>
        <v>0</v>
      </c>
      <c r="AN292" s="593">
        <f t="shared" ca="1" si="393"/>
        <v>0</v>
      </c>
      <c r="AO292" s="593">
        <f t="shared" ca="1" si="394"/>
        <v>0</v>
      </c>
      <c r="AP292" s="593">
        <f t="shared" ca="1" si="395"/>
        <v>0</v>
      </c>
    </row>
    <row r="293" spans="1:42" s="589" customFormat="1" x14ac:dyDescent="0.2">
      <c r="A293" s="585">
        <v>26</v>
      </c>
      <c r="B293" s="586" t="s">
        <v>293</v>
      </c>
      <c r="C293" s="587">
        <f ca="1">SUM(G293:R293)</f>
        <v>322.53999999999996</v>
      </c>
      <c r="D293" s="587"/>
      <c r="E293" s="588">
        <f t="shared" si="381"/>
        <v>1</v>
      </c>
      <c r="F293" s="585"/>
      <c r="G293" s="587">
        <f t="shared" ref="G293:R293" ca="1" si="396">SUM(G294:G299)</f>
        <v>0</v>
      </c>
      <c r="H293" s="587">
        <f t="shared" ca="1" si="396"/>
        <v>0</v>
      </c>
      <c r="I293" s="587">
        <f t="shared" ca="1" si="396"/>
        <v>27.18</v>
      </c>
      <c r="J293" s="587">
        <f t="shared" ca="1" si="396"/>
        <v>0</v>
      </c>
      <c r="K293" s="587">
        <f t="shared" ca="1" si="396"/>
        <v>0</v>
      </c>
      <c r="L293" s="587">
        <f t="shared" ca="1" si="396"/>
        <v>231.08</v>
      </c>
      <c r="M293" s="587">
        <f t="shared" ca="1" si="396"/>
        <v>64.28</v>
      </c>
      <c r="N293" s="587">
        <f t="shared" ca="1" si="396"/>
        <v>0</v>
      </c>
      <c r="O293" s="587">
        <f t="shared" ca="1" si="396"/>
        <v>0</v>
      </c>
      <c r="P293" s="587">
        <f t="shared" ca="1" si="396"/>
        <v>0</v>
      </c>
      <c r="Q293" s="587">
        <f t="shared" ca="1" si="396"/>
        <v>0</v>
      </c>
      <c r="R293" s="587">
        <f t="shared" ca="1" si="396"/>
        <v>0</v>
      </c>
      <c r="S293" s="587">
        <f t="shared" ref="S293:AP293" ca="1" si="397">SUM(S294:S299)</f>
        <v>0</v>
      </c>
      <c r="T293" s="587">
        <f t="shared" ca="1" si="397"/>
        <v>0</v>
      </c>
      <c r="U293" s="587">
        <f t="shared" ca="1" si="397"/>
        <v>27.18</v>
      </c>
      <c r="V293" s="587">
        <f t="shared" ca="1" si="397"/>
        <v>27.18</v>
      </c>
      <c r="W293" s="587">
        <f t="shared" ca="1" si="397"/>
        <v>27.18</v>
      </c>
      <c r="X293" s="587">
        <f t="shared" ca="1" si="397"/>
        <v>258.26</v>
      </c>
      <c r="Y293" s="587">
        <f t="shared" ca="1" si="397"/>
        <v>322.54000000000002</v>
      </c>
      <c r="Z293" s="587">
        <f t="shared" ca="1" si="397"/>
        <v>322.54000000000002</v>
      </c>
      <c r="AA293" s="587">
        <f t="shared" ca="1" si="397"/>
        <v>322.54000000000002</v>
      </c>
      <c r="AB293" s="587">
        <f t="shared" ca="1" si="397"/>
        <v>322.54000000000002</v>
      </c>
      <c r="AC293" s="587">
        <f t="shared" ca="1" si="397"/>
        <v>0</v>
      </c>
      <c r="AD293" s="587">
        <f t="shared" ca="1" si="397"/>
        <v>0</v>
      </c>
      <c r="AE293" s="587">
        <f t="shared" ca="1" si="397"/>
        <v>0</v>
      </c>
      <c r="AF293" s="587">
        <f t="shared" ca="1" si="397"/>
        <v>0</v>
      </c>
      <c r="AG293" s="587">
        <f t="shared" ca="1" si="397"/>
        <v>27.18</v>
      </c>
      <c r="AH293" s="587">
        <f t="shared" ca="1" si="397"/>
        <v>27.18</v>
      </c>
      <c r="AI293" s="587">
        <f t="shared" ca="1" si="397"/>
        <v>27.18</v>
      </c>
      <c r="AJ293" s="587">
        <f t="shared" ca="1" si="397"/>
        <v>258.26</v>
      </c>
      <c r="AK293" s="587">
        <f t="shared" ca="1" si="397"/>
        <v>322.53999999999996</v>
      </c>
      <c r="AL293" s="587">
        <f t="shared" ca="1" si="397"/>
        <v>322.53999999999996</v>
      </c>
      <c r="AM293" s="587">
        <f t="shared" ca="1" si="397"/>
        <v>322.53999999999996</v>
      </c>
      <c r="AN293" s="587">
        <f t="shared" ca="1" si="397"/>
        <v>322.53999999999996</v>
      </c>
      <c r="AO293" s="587">
        <f t="shared" ca="1" si="397"/>
        <v>322.53999999999996</v>
      </c>
      <c r="AP293" s="587">
        <f t="shared" ca="1" si="397"/>
        <v>322.53999999999996</v>
      </c>
    </row>
    <row r="294" spans="1:42" s="594" customFormat="1" ht="11.25" outlineLevel="1" x14ac:dyDescent="0.2">
      <c r="A294" s="590"/>
      <c r="B294" s="591" t="str">
        <f>IF(D294&lt;&gt;"",
IF(ISERROR(MATCH(D294,'Ist Aktuell Monat 01'!A:A,0))=FALSE,INDEX('Ist Aktuell Monat 01'!B:B,MATCH(D294,'Ist Aktuell Monat 01'!A:A,0)),
IF(ISERROR(MATCH(D294,'Ist Aktuell Monat 02'!A:A,0))=FALSE,INDEX('Ist Aktuell Monat 02'!B:B,MATCH(D294,'Ist Aktuell Monat 02'!A:A,0)),
IF(ISERROR(MATCH(D294,'Ist Aktuell Monat 03'!A:A,0))=FALSE,INDEX('Ist Aktuell Monat 03'!B:B,MATCH(D294,'Ist Aktuell Monat 03'!A:A,0)),
IF(ISERROR(MATCH(D294,'Ist Aktuell Monat 04'!A:A,0))=FALSE,INDEX('Ist Aktuell Monat 04'!B:B,MATCH(D294,'Ist Aktuell Monat 04'!A:A,0)),
IF(ISERROR(MATCH(D294,'Ist Aktuell Monat 05'!A:A,0))=FALSE,INDEX('Ist Aktuell Monat 05'!B:B,MATCH(D294,'Ist Aktuell Monat 05'!A:A,0)),
IF(ISERROR(MATCH(D294,'Ist Aktuell Monat 06'!A:A,0))=FALSE,INDEX('Ist Aktuell Monat 06'!B:B,MATCH(D294,'Ist Aktuell Monat 06'!A:A,0)),
IF(ISERROR(MATCH(D294,'Ist Aktuell Monat 07'!A:A,0))=FALSE,INDEX('Ist Aktuell Monat 07'!B:B,MATCH(D294,'Ist Aktuell Monat 07'!A:A,0)),
IF(ISERROR(MATCH(D294,'Ist Aktuell Monat 08'!A:A,0))=FALSE,INDEX('Ist Aktuell Monat 08'!B:B,MATCH(D294,'Ist Aktuell Monat 08'!A:A,0)),
IF(ISERROR(MATCH(D294,'Ist Aktuell Monat 09'!A:A,0))=FALSE,INDEX('Ist Aktuell Monat 09'!B:B,MATCH(D294,'Ist Aktuell Monat 09'!A:A,0)),
IF(ISERROR(MATCH(D294,'Ist Aktuell Monat 10'!A:A,0))=FALSE,INDEX('Ist Aktuell Monat 10'!B:B,MATCH(D294,'Ist Aktuell Monat 10'!A:A,0)),
IF(ISERROR(MATCH(D294,'Ist Aktuell Monat 11'!A:A,0))=FALSE,INDEX('Ist Aktuell Monat 11'!B:B,MATCH(D294,'Ist Aktuell Monat 11'!A:A,0)),
IF(ISERROR(MATCH(D294,'Ist Aktuell Monat 12'!A:A,0))=FALSE,INDEX('Ist Aktuell Monat 12'!B:B,MATCH(D294,'Ist Aktuell Monat 12'!A:A,0)),
"{Konto unbekannt}"
)))))))))))),"")</f>
        <v>Aufwand Abraum-/Abfallbeseitigung</v>
      </c>
      <c r="C294" s="591"/>
      <c r="D294" s="590">
        <v>4969</v>
      </c>
      <c r="E294" s="592">
        <f t="shared" si="381"/>
        <v>1</v>
      </c>
      <c r="F294" s="590"/>
      <c r="G294" s="593">
        <f ca="1">$E294*(-SUMIF(INDIRECT(G$3),'Struktur Aktuell'!$D294,INDIRECT(G$4))+SUMIF(INDIRECT(G$3),'Struktur Aktuell'!$D294,INDIRECT(G$5)))</f>
        <v>0</v>
      </c>
      <c r="H294" s="593">
        <f ca="1">$E294*(-SUMIF(INDIRECT(H$3),'Struktur Aktuell'!$D294,INDIRECT(H$4))+SUMIF(INDIRECT(H$3),'Struktur Aktuell'!$D294,INDIRECT(H$5)))</f>
        <v>0</v>
      </c>
      <c r="I294" s="593">
        <f ca="1">$E294*(-SUMIF(INDIRECT(I$3),'Struktur Aktuell'!$D294,INDIRECT(I$4))+SUMIF(INDIRECT(I$3),'Struktur Aktuell'!$D294,INDIRECT(I$5)))</f>
        <v>27.18</v>
      </c>
      <c r="J294" s="593">
        <f ca="1">$E294*(-SUMIF(INDIRECT(J$3),'Struktur Aktuell'!$D294,INDIRECT(J$4))+SUMIF(INDIRECT(J$3),'Struktur Aktuell'!$D294,INDIRECT(J$5)))</f>
        <v>0</v>
      </c>
      <c r="K294" s="593">
        <f ca="1">$E294*(-SUMIF(INDIRECT(K$3),'Struktur Aktuell'!$D294,INDIRECT(K$4))+SUMIF(INDIRECT(K$3),'Struktur Aktuell'!$D294,INDIRECT(K$5)))</f>
        <v>0</v>
      </c>
      <c r="L294" s="593">
        <f ca="1">$E294*(-SUMIF(INDIRECT(L$3),'Struktur Aktuell'!$D294,INDIRECT(L$4))+SUMIF(INDIRECT(L$3),'Struktur Aktuell'!$D294,INDIRECT(L$5)))</f>
        <v>231.08</v>
      </c>
      <c r="M294" s="593">
        <f ca="1">$E294*(-SUMIF(INDIRECT(M$3),'Struktur Aktuell'!$D294,INDIRECT(M$4))+SUMIF(INDIRECT(M$3),'Struktur Aktuell'!$D294,INDIRECT(M$5)))</f>
        <v>64.28</v>
      </c>
      <c r="N294" s="593">
        <f ca="1">$E294*(-SUMIF(INDIRECT(N$3),'Struktur Aktuell'!$D294,INDIRECT(N$4))+SUMIF(INDIRECT(N$3),'Struktur Aktuell'!$D294,INDIRECT(N$5)))</f>
        <v>0</v>
      </c>
      <c r="O294" s="593">
        <f ca="1">$E294*(-SUMIF(INDIRECT(O$3),'Struktur Aktuell'!$D294,INDIRECT(O$4))+SUMIF(INDIRECT(O$3),'Struktur Aktuell'!$D294,INDIRECT(O$5)))</f>
        <v>0</v>
      </c>
      <c r="P294" s="593">
        <f ca="1">$E294*(-SUMIF(INDIRECT(P$3),'Struktur Aktuell'!$D294,INDIRECT(P$4))+SUMIF(INDIRECT(P$3),'Struktur Aktuell'!$D294,INDIRECT(P$5)))</f>
        <v>0</v>
      </c>
      <c r="Q294" s="593">
        <f ca="1">$E294*(-SUMIF(INDIRECT(Q$3),'Struktur Aktuell'!$D294,INDIRECT(Q$4))+SUMIF(INDIRECT(Q$3),'Struktur Aktuell'!$D294,INDIRECT(Q$5)))</f>
        <v>0</v>
      </c>
      <c r="R294" s="593">
        <f ca="1">$E294*(-SUMIF(INDIRECT(R$3),'Struktur Aktuell'!$D294,INDIRECT(R$4))+SUMIF(INDIRECT(R$3),'Struktur Aktuell'!$D294,INDIRECT(R$5)))</f>
        <v>0</v>
      </c>
      <c r="S294" s="593">
        <f ca="1">$E294*(-SUMIF(INDIRECT(S$3),'Struktur Aktuell'!$D294,INDIRECT(S$4))+SUMIF(INDIRECT(S$3),'Struktur Aktuell'!$D294,INDIRECT(S$5)))</f>
        <v>0</v>
      </c>
      <c r="T294" s="593">
        <f ca="1">$E294*(-SUMIF(INDIRECT(T$3),'Struktur Aktuell'!$D294,INDIRECT(T$4))+SUMIF(INDIRECT(T$3),'Struktur Aktuell'!$D294,INDIRECT(T$5)))</f>
        <v>0</v>
      </c>
      <c r="U294" s="593">
        <f ca="1">$E294*(-SUMIF(INDIRECT(U$3),'Struktur Aktuell'!$D294,INDIRECT(U$4))+SUMIF(INDIRECT(U$3),'Struktur Aktuell'!$D294,INDIRECT(U$5)))</f>
        <v>27.18</v>
      </c>
      <c r="V294" s="593">
        <f ca="1">$E294*(-SUMIF(INDIRECT(V$3),'Struktur Aktuell'!$D294,INDIRECT(V$4))+SUMIF(INDIRECT(V$3),'Struktur Aktuell'!$D294,INDIRECT(V$5)))</f>
        <v>27.18</v>
      </c>
      <c r="W294" s="593">
        <f ca="1">$E294*(-SUMIF(INDIRECT(W$3),'Struktur Aktuell'!$D294,INDIRECT(W$4))+SUMIF(INDIRECT(W$3),'Struktur Aktuell'!$D294,INDIRECT(W$5)))</f>
        <v>27.18</v>
      </c>
      <c r="X294" s="593">
        <f ca="1">$E294*(-SUMIF(INDIRECT(X$3),'Struktur Aktuell'!$D294,INDIRECT(X$4))+SUMIF(INDIRECT(X$3),'Struktur Aktuell'!$D294,INDIRECT(X$5)))</f>
        <v>258.26</v>
      </c>
      <c r="Y294" s="593">
        <f ca="1">$E294*(-SUMIF(INDIRECT(Y$3),'Struktur Aktuell'!$D294,INDIRECT(Y$4))+SUMIF(INDIRECT(Y$3),'Struktur Aktuell'!$D294,INDIRECT(Y$5)))</f>
        <v>322.54000000000002</v>
      </c>
      <c r="Z294" s="593">
        <f ca="1">$E294*(-SUMIF(INDIRECT(Z$3),'Struktur Aktuell'!$D294,INDIRECT(Z$4))+SUMIF(INDIRECT(Z$3),'Struktur Aktuell'!$D294,INDIRECT(Z$5)))</f>
        <v>322.54000000000002</v>
      </c>
      <c r="AA294" s="593">
        <f ca="1">$E294*(-SUMIF(INDIRECT(AA$3),'Struktur Aktuell'!$D294,INDIRECT(AA$4))+SUMIF(INDIRECT(AA$3),'Struktur Aktuell'!$D294,INDIRECT(AA$5)))</f>
        <v>322.54000000000002</v>
      </c>
      <c r="AB294" s="593">
        <f ca="1">$E294*(-SUMIF(INDIRECT(AB$3),'Struktur Aktuell'!$D294,INDIRECT(AB$4))+SUMIF(INDIRECT(AB$3),'Struktur Aktuell'!$D294,INDIRECT(AB$5)))</f>
        <v>322.54000000000002</v>
      </c>
      <c r="AC294" s="593">
        <f ca="1">$E294*(-SUMIF(INDIRECT(AC$3),'Struktur Aktuell'!$D294,INDIRECT(AC$4))+SUMIF(INDIRECT(AC$3),'Struktur Aktuell'!$D294,INDIRECT(AC$5)))</f>
        <v>0</v>
      </c>
      <c r="AD294" s="593">
        <f ca="1">$E294*(-SUMIF(INDIRECT(AD$3),'Struktur Aktuell'!$D294,INDIRECT(AD$4))+SUMIF(INDIRECT(AD$3),'Struktur Aktuell'!$D294,INDIRECT(AD$5)))</f>
        <v>0</v>
      </c>
      <c r="AE294" s="593">
        <f t="shared" ref="AE294:AE299" ca="1" si="398">G294</f>
        <v>0</v>
      </c>
      <c r="AF294" s="593">
        <f t="shared" ref="AF294:AF299" ca="1" si="399">H294+AE294</f>
        <v>0</v>
      </c>
      <c r="AG294" s="593">
        <f t="shared" ref="AG294:AG299" ca="1" si="400">I294+AF294</f>
        <v>27.18</v>
      </c>
      <c r="AH294" s="593">
        <f t="shared" ref="AH294:AH299" ca="1" si="401">J294+AG294</f>
        <v>27.18</v>
      </c>
      <c r="AI294" s="593">
        <f t="shared" ref="AI294:AI299" ca="1" si="402">K294+AH294</f>
        <v>27.18</v>
      </c>
      <c r="AJ294" s="593">
        <f t="shared" ref="AJ294:AJ299" ca="1" si="403">L294+AI294</f>
        <v>258.26</v>
      </c>
      <c r="AK294" s="593">
        <f t="shared" ref="AK294:AK299" ca="1" si="404">M294+AJ294</f>
        <v>322.53999999999996</v>
      </c>
      <c r="AL294" s="593">
        <f t="shared" ref="AL294:AL299" ca="1" si="405">N294+AK294</f>
        <v>322.53999999999996</v>
      </c>
      <c r="AM294" s="593">
        <f t="shared" ref="AM294:AM299" ca="1" si="406">O294+AL294</f>
        <v>322.53999999999996</v>
      </c>
      <c r="AN294" s="593">
        <f t="shared" ref="AN294:AN299" ca="1" si="407">P294+AM294</f>
        <v>322.53999999999996</v>
      </c>
      <c r="AO294" s="593">
        <f t="shared" ref="AO294:AO299" ca="1" si="408">Q294+AN294</f>
        <v>322.53999999999996</v>
      </c>
      <c r="AP294" s="593">
        <f t="shared" ref="AP294:AP299" ca="1" si="409">R294+AO294</f>
        <v>322.53999999999996</v>
      </c>
    </row>
    <row r="295" spans="1:42" s="594" customFormat="1" ht="11.25" outlineLevel="1" x14ac:dyDescent="0.2">
      <c r="A295" s="590"/>
      <c r="B295" s="591" t="str">
        <f>IF(D295&lt;&gt;"",
IF(ISERROR(MATCH(D295,'Ist Aktuell Monat 01'!A:A,0))=FALSE,INDEX('Ist Aktuell Monat 01'!B:B,MATCH(D295,'Ist Aktuell Monat 01'!A:A,0)),
IF(ISERROR(MATCH(D295,'Ist Aktuell Monat 02'!A:A,0))=FALSE,INDEX('Ist Aktuell Monat 02'!B:B,MATCH(D295,'Ist Aktuell Monat 02'!A:A,0)),
IF(ISERROR(MATCH(D295,'Ist Aktuell Monat 03'!A:A,0))=FALSE,INDEX('Ist Aktuell Monat 03'!B:B,MATCH(D295,'Ist Aktuell Monat 03'!A:A,0)),
IF(ISERROR(MATCH(D295,'Ist Aktuell Monat 04'!A:A,0))=FALSE,INDEX('Ist Aktuell Monat 04'!B:B,MATCH(D295,'Ist Aktuell Monat 04'!A:A,0)),
IF(ISERROR(MATCH(D295,'Ist Aktuell Monat 05'!A:A,0))=FALSE,INDEX('Ist Aktuell Monat 05'!B:B,MATCH(D295,'Ist Aktuell Monat 05'!A:A,0)),
IF(ISERROR(MATCH(D295,'Ist Aktuell Monat 06'!A:A,0))=FALSE,INDEX('Ist Aktuell Monat 06'!B:B,MATCH(D295,'Ist Aktuell Monat 06'!A:A,0)),
IF(ISERROR(MATCH(D295,'Ist Aktuell Monat 07'!A:A,0))=FALSE,INDEX('Ist Aktuell Monat 07'!B:B,MATCH(D295,'Ist Aktuell Monat 07'!A:A,0)),
IF(ISERROR(MATCH(D295,'Ist Aktuell Monat 08'!A:A,0))=FALSE,INDEX('Ist Aktuell Monat 08'!B:B,MATCH(D295,'Ist Aktuell Monat 08'!A:A,0)),
IF(ISERROR(MATCH(D295,'Ist Aktuell Monat 09'!A:A,0))=FALSE,INDEX('Ist Aktuell Monat 09'!B:B,MATCH(D295,'Ist Aktuell Monat 09'!A:A,0)),
IF(ISERROR(MATCH(D295,'Ist Aktuell Monat 10'!A:A,0))=FALSE,INDEX('Ist Aktuell Monat 10'!B:B,MATCH(D295,'Ist Aktuell Monat 10'!A:A,0)),
IF(ISERROR(MATCH(D295,'Ist Aktuell Monat 11'!A:A,0))=FALSE,INDEX('Ist Aktuell Monat 11'!B:B,MATCH(D295,'Ist Aktuell Monat 11'!A:A,0)),
IF(ISERROR(MATCH(D295,'Ist Aktuell Monat 12'!A:A,0))=FALSE,INDEX('Ist Aktuell Monat 12'!B:B,MATCH(D295,'Ist Aktuell Monat 12'!A:A,0)),
"{Konto unbekannt}"
)))))))))))),"")</f>
        <v/>
      </c>
      <c r="C295" s="591"/>
      <c r="D295" s="590"/>
      <c r="E295" s="592">
        <f t="shared" si="381"/>
        <v>1</v>
      </c>
      <c r="F295" s="590"/>
      <c r="G295" s="593">
        <f ca="1">$E295*(-SUMIF(INDIRECT(G$3),'Struktur Aktuell'!$D295,INDIRECT(G$4))+SUMIF(INDIRECT(G$3),'Struktur Aktuell'!$D295,INDIRECT(G$5)))</f>
        <v>0</v>
      </c>
      <c r="H295" s="593">
        <f ca="1">$E295*(-SUMIF(INDIRECT(H$3),'Struktur Aktuell'!$D295,INDIRECT(H$4))+SUMIF(INDIRECT(H$3),'Struktur Aktuell'!$D295,INDIRECT(H$5)))</f>
        <v>0</v>
      </c>
      <c r="I295" s="593">
        <f ca="1">$E295*(-SUMIF(INDIRECT(I$3),'Struktur Aktuell'!$D295,INDIRECT(I$4))+SUMIF(INDIRECT(I$3),'Struktur Aktuell'!$D295,INDIRECT(I$5)))</f>
        <v>0</v>
      </c>
      <c r="J295" s="593">
        <f ca="1">$E295*(-SUMIF(INDIRECT(J$3),'Struktur Aktuell'!$D295,INDIRECT(J$4))+SUMIF(INDIRECT(J$3),'Struktur Aktuell'!$D295,INDIRECT(J$5)))</f>
        <v>0</v>
      </c>
      <c r="K295" s="593">
        <f ca="1">$E295*(-SUMIF(INDIRECT(K$3),'Struktur Aktuell'!$D295,INDIRECT(K$4))+SUMIF(INDIRECT(K$3),'Struktur Aktuell'!$D295,INDIRECT(K$5)))</f>
        <v>0</v>
      </c>
      <c r="L295" s="593">
        <f ca="1">$E295*(-SUMIF(INDIRECT(L$3),'Struktur Aktuell'!$D295,INDIRECT(L$4))+SUMIF(INDIRECT(L$3),'Struktur Aktuell'!$D295,INDIRECT(L$5)))</f>
        <v>0</v>
      </c>
      <c r="M295" s="593">
        <f ca="1">$E295*(-SUMIF(INDIRECT(M$3),'Struktur Aktuell'!$D295,INDIRECT(M$4))+SUMIF(INDIRECT(M$3),'Struktur Aktuell'!$D295,INDIRECT(M$5)))</f>
        <v>0</v>
      </c>
      <c r="N295" s="593">
        <f ca="1">$E295*(-SUMIF(INDIRECT(N$3),'Struktur Aktuell'!$D295,INDIRECT(N$4))+SUMIF(INDIRECT(N$3),'Struktur Aktuell'!$D295,INDIRECT(N$5)))</f>
        <v>0</v>
      </c>
      <c r="O295" s="593">
        <f ca="1">$E295*(-SUMIF(INDIRECT(O$3),'Struktur Aktuell'!$D295,INDIRECT(O$4))+SUMIF(INDIRECT(O$3),'Struktur Aktuell'!$D295,INDIRECT(O$5)))</f>
        <v>0</v>
      </c>
      <c r="P295" s="593">
        <f ca="1">$E295*(-SUMIF(INDIRECT(P$3),'Struktur Aktuell'!$D295,INDIRECT(P$4))+SUMIF(INDIRECT(P$3),'Struktur Aktuell'!$D295,INDIRECT(P$5)))</f>
        <v>0</v>
      </c>
      <c r="Q295" s="593">
        <f ca="1">$E295*(-SUMIF(INDIRECT(Q$3),'Struktur Aktuell'!$D295,INDIRECT(Q$4))+SUMIF(INDIRECT(Q$3),'Struktur Aktuell'!$D295,INDIRECT(Q$5)))</f>
        <v>0</v>
      </c>
      <c r="R295" s="593">
        <f ca="1">$E295*(-SUMIF(INDIRECT(R$3),'Struktur Aktuell'!$D295,INDIRECT(R$4))+SUMIF(INDIRECT(R$3),'Struktur Aktuell'!$D295,INDIRECT(R$5)))</f>
        <v>0</v>
      </c>
      <c r="S295" s="593">
        <f ca="1">$E295*(-SUMIF(INDIRECT(S$3),'Struktur Aktuell'!$D295,INDIRECT(S$4))+SUMIF(INDIRECT(S$3),'Struktur Aktuell'!$D295,INDIRECT(S$5)))</f>
        <v>0</v>
      </c>
      <c r="T295" s="593">
        <f ca="1">$E295*(-SUMIF(INDIRECT(T$3),'Struktur Aktuell'!$D295,INDIRECT(T$4))+SUMIF(INDIRECT(T$3),'Struktur Aktuell'!$D295,INDIRECT(T$5)))</f>
        <v>0</v>
      </c>
      <c r="U295" s="593">
        <f ca="1">$E295*(-SUMIF(INDIRECT(U$3),'Struktur Aktuell'!$D295,INDIRECT(U$4))+SUMIF(INDIRECT(U$3),'Struktur Aktuell'!$D295,INDIRECT(U$5)))</f>
        <v>0</v>
      </c>
      <c r="V295" s="593">
        <f ca="1">$E295*(-SUMIF(INDIRECT(V$3),'Struktur Aktuell'!$D295,INDIRECT(V$4))+SUMIF(INDIRECT(V$3),'Struktur Aktuell'!$D295,INDIRECT(V$5)))</f>
        <v>0</v>
      </c>
      <c r="W295" s="593">
        <f ca="1">$E295*(-SUMIF(INDIRECT(W$3),'Struktur Aktuell'!$D295,INDIRECT(W$4))+SUMIF(INDIRECT(W$3),'Struktur Aktuell'!$D295,INDIRECT(W$5)))</f>
        <v>0</v>
      </c>
      <c r="X295" s="593">
        <f ca="1">$E295*(-SUMIF(INDIRECT(X$3),'Struktur Aktuell'!$D295,INDIRECT(X$4))+SUMIF(INDIRECT(X$3),'Struktur Aktuell'!$D295,INDIRECT(X$5)))</f>
        <v>0</v>
      </c>
      <c r="Y295" s="593">
        <f ca="1">$E295*(-SUMIF(INDIRECT(Y$3),'Struktur Aktuell'!$D295,INDIRECT(Y$4))+SUMIF(INDIRECT(Y$3),'Struktur Aktuell'!$D295,INDIRECT(Y$5)))</f>
        <v>0</v>
      </c>
      <c r="Z295" s="593">
        <f ca="1">$E295*(-SUMIF(INDIRECT(Z$3),'Struktur Aktuell'!$D295,INDIRECT(Z$4))+SUMIF(INDIRECT(Z$3),'Struktur Aktuell'!$D295,INDIRECT(Z$5)))</f>
        <v>0</v>
      </c>
      <c r="AA295" s="593">
        <f ca="1">$E295*(-SUMIF(INDIRECT(AA$3),'Struktur Aktuell'!$D295,INDIRECT(AA$4))+SUMIF(INDIRECT(AA$3),'Struktur Aktuell'!$D295,INDIRECT(AA$5)))</f>
        <v>0</v>
      </c>
      <c r="AB295" s="593">
        <f ca="1">$E295*(-SUMIF(INDIRECT(AB$3),'Struktur Aktuell'!$D295,INDIRECT(AB$4))+SUMIF(INDIRECT(AB$3),'Struktur Aktuell'!$D295,INDIRECT(AB$5)))</f>
        <v>0</v>
      </c>
      <c r="AC295" s="593">
        <f ca="1">$E295*(-SUMIF(INDIRECT(AC$3),'Struktur Aktuell'!$D295,INDIRECT(AC$4))+SUMIF(INDIRECT(AC$3),'Struktur Aktuell'!$D295,INDIRECT(AC$5)))</f>
        <v>0</v>
      </c>
      <c r="AD295" s="593">
        <f ca="1">$E295*(-SUMIF(INDIRECT(AD$3),'Struktur Aktuell'!$D295,INDIRECT(AD$4))+SUMIF(INDIRECT(AD$3),'Struktur Aktuell'!$D295,INDIRECT(AD$5)))</f>
        <v>0</v>
      </c>
      <c r="AE295" s="593">
        <f t="shared" ca="1" si="398"/>
        <v>0</v>
      </c>
      <c r="AF295" s="593">
        <f t="shared" ca="1" si="399"/>
        <v>0</v>
      </c>
      <c r="AG295" s="593">
        <f t="shared" ca="1" si="400"/>
        <v>0</v>
      </c>
      <c r="AH295" s="593">
        <f t="shared" ca="1" si="401"/>
        <v>0</v>
      </c>
      <c r="AI295" s="593">
        <f t="shared" ca="1" si="402"/>
        <v>0</v>
      </c>
      <c r="AJ295" s="593">
        <f t="shared" ca="1" si="403"/>
        <v>0</v>
      </c>
      <c r="AK295" s="593">
        <f t="shared" ca="1" si="404"/>
        <v>0</v>
      </c>
      <c r="AL295" s="593">
        <f t="shared" ca="1" si="405"/>
        <v>0</v>
      </c>
      <c r="AM295" s="593">
        <f t="shared" ca="1" si="406"/>
        <v>0</v>
      </c>
      <c r="AN295" s="593">
        <f t="shared" ca="1" si="407"/>
        <v>0</v>
      </c>
      <c r="AO295" s="593">
        <f t="shared" ca="1" si="408"/>
        <v>0</v>
      </c>
      <c r="AP295" s="593">
        <f t="shared" ca="1" si="409"/>
        <v>0</v>
      </c>
    </row>
    <row r="296" spans="1:42" s="594" customFormat="1" ht="11.25" outlineLevel="1" x14ac:dyDescent="0.2">
      <c r="A296" s="590"/>
      <c r="B296" s="591" t="str">
        <f>IF(D296&lt;&gt;"",
IF(ISERROR(MATCH(D296,'Ist Aktuell Monat 01'!A:A,0))=FALSE,INDEX('Ist Aktuell Monat 01'!B:B,MATCH(D296,'Ist Aktuell Monat 01'!A:A,0)),
IF(ISERROR(MATCH(D296,'Ist Aktuell Monat 02'!A:A,0))=FALSE,INDEX('Ist Aktuell Monat 02'!B:B,MATCH(D296,'Ist Aktuell Monat 02'!A:A,0)),
IF(ISERROR(MATCH(D296,'Ist Aktuell Monat 03'!A:A,0))=FALSE,INDEX('Ist Aktuell Monat 03'!B:B,MATCH(D296,'Ist Aktuell Monat 03'!A:A,0)),
IF(ISERROR(MATCH(D296,'Ist Aktuell Monat 04'!A:A,0))=FALSE,INDEX('Ist Aktuell Monat 04'!B:B,MATCH(D296,'Ist Aktuell Monat 04'!A:A,0)),
IF(ISERROR(MATCH(D296,'Ist Aktuell Monat 05'!A:A,0))=FALSE,INDEX('Ist Aktuell Monat 05'!B:B,MATCH(D296,'Ist Aktuell Monat 05'!A:A,0)),
IF(ISERROR(MATCH(D296,'Ist Aktuell Monat 06'!A:A,0))=FALSE,INDEX('Ist Aktuell Monat 06'!B:B,MATCH(D296,'Ist Aktuell Monat 06'!A:A,0)),
IF(ISERROR(MATCH(D296,'Ist Aktuell Monat 07'!A:A,0))=FALSE,INDEX('Ist Aktuell Monat 07'!B:B,MATCH(D296,'Ist Aktuell Monat 07'!A:A,0)),
IF(ISERROR(MATCH(D296,'Ist Aktuell Monat 08'!A:A,0))=FALSE,INDEX('Ist Aktuell Monat 08'!B:B,MATCH(D296,'Ist Aktuell Monat 08'!A:A,0)),
IF(ISERROR(MATCH(D296,'Ist Aktuell Monat 09'!A:A,0))=FALSE,INDEX('Ist Aktuell Monat 09'!B:B,MATCH(D296,'Ist Aktuell Monat 09'!A:A,0)),
IF(ISERROR(MATCH(D296,'Ist Aktuell Monat 10'!A:A,0))=FALSE,INDEX('Ist Aktuell Monat 10'!B:B,MATCH(D296,'Ist Aktuell Monat 10'!A:A,0)),
IF(ISERROR(MATCH(D296,'Ist Aktuell Monat 11'!A:A,0))=FALSE,INDEX('Ist Aktuell Monat 11'!B:B,MATCH(D296,'Ist Aktuell Monat 11'!A:A,0)),
IF(ISERROR(MATCH(D296,'Ist Aktuell Monat 12'!A:A,0))=FALSE,INDEX('Ist Aktuell Monat 12'!B:B,MATCH(D296,'Ist Aktuell Monat 12'!A:A,0)),
"{Konto unbekannt}"
)))))))))))),"")</f>
        <v/>
      </c>
      <c r="C296" s="591"/>
      <c r="D296" s="590"/>
      <c r="E296" s="592">
        <f>IF(F296="-",-1,1)</f>
        <v>1</v>
      </c>
      <c r="F296" s="590"/>
      <c r="G296" s="593">
        <f ca="1">$E296*(-SUMIF(INDIRECT(G$3),'Struktur Aktuell'!$D296,INDIRECT(G$4))+SUMIF(INDIRECT(G$3),'Struktur Aktuell'!$D296,INDIRECT(G$5)))</f>
        <v>0</v>
      </c>
      <c r="H296" s="593">
        <f ca="1">$E296*(-SUMIF(INDIRECT(H$3),'Struktur Aktuell'!$D296,INDIRECT(H$4))+SUMIF(INDIRECT(H$3),'Struktur Aktuell'!$D296,INDIRECT(H$5)))</f>
        <v>0</v>
      </c>
      <c r="I296" s="593">
        <f ca="1">$E296*(-SUMIF(INDIRECT(I$3),'Struktur Aktuell'!$D296,INDIRECT(I$4))+SUMIF(INDIRECT(I$3),'Struktur Aktuell'!$D296,INDIRECT(I$5)))</f>
        <v>0</v>
      </c>
      <c r="J296" s="593">
        <f ca="1">$E296*(-SUMIF(INDIRECT(J$3),'Struktur Aktuell'!$D296,INDIRECT(J$4))+SUMIF(INDIRECT(J$3),'Struktur Aktuell'!$D296,INDIRECT(J$5)))</f>
        <v>0</v>
      </c>
      <c r="K296" s="593">
        <f ca="1">$E296*(-SUMIF(INDIRECT(K$3),'Struktur Aktuell'!$D296,INDIRECT(K$4))+SUMIF(INDIRECT(K$3),'Struktur Aktuell'!$D296,INDIRECT(K$5)))</f>
        <v>0</v>
      </c>
      <c r="L296" s="593">
        <f ca="1">$E296*(-SUMIF(INDIRECT(L$3),'Struktur Aktuell'!$D296,INDIRECT(L$4))+SUMIF(INDIRECT(L$3),'Struktur Aktuell'!$D296,INDIRECT(L$5)))</f>
        <v>0</v>
      </c>
      <c r="M296" s="593">
        <f ca="1">$E296*(-SUMIF(INDIRECT(M$3),'Struktur Aktuell'!$D296,INDIRECT(M$4))+SUMIF(INDIRECT(M$3),'Struktur Aktuell'!$D296,INDIRECT(M$5)))</f>
        <v>0</v>
      </c>
      <c r="N296" s="593">
        <f ca="1">$E296*(-SUMIF(INDIRECT(N$3),'Struktur Aktuell'!$D296,INDIRECT(N$4))+SUMIF(INDIRECT(N$3),'Struktur Aktuell'!$D296,INDIRECT(N$5)))</f>
        <v>0</v>
      </c>
      <c r="O296" s="593">
        <f ca="1">$E296*(-SUMIF(INDIRECT(O$3),'Struktur Aktuell'!$D296,INDIRECT(O$4))+SUMIF(INDIRECT(O$3),'Struktur Aktuell'!$D296,INDIRECT(O$5)))</f>
        <v>0</v>
      </c>
      <c r="P296" s="593">
        <f ca="1">$E296*(-SUMIF(INDIRECT(P$3),'Struktur Aktuell'!$D296,INDIRECT(P$4))+SUMIF(INDIRECT(P$3),'Struktur Aktuell'!$D296,INDIRECT(P$5)))</f>
        <v>0</v>
      </c>
      <c r="Q296" s="593">
        <f ca="1">$E296*(-SUMIF(INDIRECT(Q$3),'Struktur Aktuell'!$D296,INDIRECT(Q$4))+SUMIF(INDIRECT(Q$3),'Struktur Aktuell'!$D296,INDIRECT(Q$5)))</f>
        <v>0</v>
      </c>
      <c r="R296" s="593">
        <f ca="1">$E296*(-SUMIF(INDIRECT(R$3),'Struktur Aktuell'!$D296,INDIRECT(R$4))+SUMIF(INDIRECT(R$3),'Struktur Aktuell'!$D296,INDIRECT(R$5)))</f>
        <v>0</v>
      </c>
      <c r="S296" s="593">
        <f ca="1">$E296*(-SUMIF(INDIRECT(S$3),'Struktur Aktuell'!$D296,INDIRECT(S$4))+SUMIF(INDIRECT(S$3),'Struktur Aktuell'!$D296,INDIRECT(S$5)))</f>
        <v>0</v>
      </c>
      <c r="T296" s="593">
        <f ca="1">$E296*(-SUMIF(INDIRECT(T$3),'Struktur Aktuell'!$D296,INDIRECT(T$4))+SUMIF(INDIRECT(T$3),'Struktur Aktuell'!$D296,INDIRECT(T$5)))</f>
        <v>0</v>
      </c>
      <c r="U296" s="593">
        <f ca="1">$E296*(-SUMIF(INDIRECT(U$3),'Struktur Aktuell'!$D296,INDIRECT(U$4))+SUMIF(INDIRECT(U$3),'Struktur Aktuell'!$D296,INDIRECT(U$5)))</f>
        <v>0</v>
      </c>
      <c r="V296" s="593">
        <f ca="1">$E296*(-SUMIF(INDIRECT(V$3),'Struktur Aktuell'!$D296,INDIRECT(V$4))+SUMIF(INDIRECT(V$3),'Struktur Aktuell'!$D296,INDIRECT(V$5)))</f>
        <v>0</v>
      </c>
      <c r="W296" s="593">
        <f ca="1">$E296*(-SUMIF(INDIRECT(W$3),'Struktur Aktuell'!$D296,INDIRECT(W$4))+SUMIF(INDIRECT(W$3),'Struktur Aktuell'!$D296,INDIRECT(W$5)))</f>
        <v>0</v>
      </c>
      <c r="X296" s="593">
        <f ca="1">$E296*(-SUMIF(INDIRECT(X$3),'Struktur Aktuell'!$D296,INDIRECT(X$4))+SUMIF(INDIRECT(X$3),'Struktur Aktuell'!$D296,INDIRECT(X$5)))</f>
        <v>0</v>
      </c>
      <c r="Y296" s="593">
        <f ca="1">$E296*(-SUMIF(INDIRECT(Y$3),'Struktur Aktuell'!$D296,INDIRECT(Y$4))+SUMIF(INDIRECT(Y$3),'Struktur Aktuell'!$D296,INDIRECT(Y$5)))</f>
        <v>0</v>
      </c>
      <c r="Z296" s="593">
        <f ca="1">$E296*(-SUMIF(INDIRECT(Z$3),'Struktur Aktuell'!$D296,INDIRECT(Z$4))+SUMIF(INDIRECT(Z$3),'Struktur Aktuell'!$D296,INDIRECT(Z$5)))</f>
        <v>0</v>
      </c>
      <c r="AA296" s="593">
        <f ca="1">$E296*(-SUMIF(INDIRECT(AA$3),'Struktur Aktuell'!$D296,INDIRECT(AA$4))+SUMIF(INDIRECT(AA$3),'Struktur Aktuell'!$D296,INDIRECT(AA$5)))</f>
        <v>0</v>
      </c>
      <c r="AB296" s="593">
        <f ca="1">$E296*(-SUMIF(INDIRECT(AB$3),'Struktur Aktuell'!$D296,INDIRECT(AB$4))+SUMIF(INDIRECT(AB$3),'Struktur Aktuell'!$D296,INDIRECT(AB$5)))</f>
        <v>0</v>
      </c>
      <c r="AC296" s="593">
        <f ca="1">$E296*(-SUMIF(INDIRECT(AC$3),'Struktur Aktuell'!$D296,INDIRECT(AC$4))+SUMIF(INDIRECT(AC$3),'Struktur Aktuell'!$D296,INDIRECT(AC$5)))</f>
        <v>0</v>
      </c>
      <c r="AD296" s="593">
        <f ca="1">$E296*(-SUMIF(INDIRECT(AD$3),'Struktur Aktuell'!$D296,INDIRECT(AD$4))+SUMIF(INDIRECT(AD$3),'Struktur Aktuell'!$D296,INDIRECT(AD$5)))</f>
        <v>0</v>
      </c>
      <c r="AE296" s="593">
        <f t="shared" ca="1" si="398"/>
        <v>0</v>
      </c>
      <c r="AF296" s="593">
        <f t="shared" ca="1" si="399"/>
        <v>0</v>
      </c>
      <c r="AG296" s="593">
        <f t="shared" ca="1" si="400"/>
        <v>0</v>
      </c>
      <c r="AH296" s="593">
        <f t="shared" ca="1" si="401"/>
        <v>0</v>
      </c>
      <c r="AI296" s="593">
        <f t="shared" ca="1" si="402"/>
        <v>0</v>
      </c>
      <c r="AJ296" s="593">
        <f t="shared" ca="1" si="403"/>
        <v>0</v>
      </c>
      <c r="AK296" s="593">
        <f t="shared" ca="1" si="404"/>
        <v>0</v>
      </c>
      <c r="AL296" s="593">
        <f t="shared" ca="1" si="405"/>
        <v>0</v>
      </c>
      <c r="AM296" s="593">
        <f t="shared" ca="1" si="406"/>
        <v>0</v>
      </c>
      <c r="AN296" s="593">
        <f t="shared" ca="1" si="407"/>
        <v>0</v>
      </c>
      <c r="AO296" s="593">
        <f t="shared" ca="1" si="408"/>
        <v>0</v>
      </c>
      <c r="AP296" s="593">
        <f t="shared" ca="1" si="409"/>
        <v>0</v>
      </c>
    </row>
    <row r="297" spans="1:42" s="594" customFormat="1" ht="11.25" outlineLevel="1" x14ac:dyDescent="0.2">
      <c r="A297" s="590"/>
      <c r="B297" s="591" t="str">
        <f>IF(D297&lt;&gt;"",
IF(ISERROR(MATCH(D297,'Ist Aktuell Monat 01'!A:A,0))=FALSE,INDEX('Ist Aktuell Monat 01'!B:B,MATCH(D297,'Ist Aktuell Monat 01'!A:A,0)),
IF(ISERROR(MATCH(D297,'Ist Aktuell Monat 02'!A:A,0))=FALSE,INDEX('Ist Aktuell Monat 02'!B:B,MATCH(D297,'Ist Aktuell Monat 02'!A:A,0)),
IF(ISERROR(MATCH(D297,'Ist Aktuell Monat 03'!A:A,0))=FALSE,INDEX('Ist Aktuell Monat 03'!B:B,MATCH(D297,'Ist Aktuell Monat 03'!A:A,0)),
IF(ISERROR(MATCH(D297,'Ist Aktuell Monat 04'!A:A,0))=FALSE,INDEX('Ist Aktuell Monat 04'!B:B,MATCH(D297,'Ist Aktuell Monat 04'!A:A,0)),
IF(ISERROR(MATCH(D297,'Ist Aktuell Monat 05'!A:A,0))=FALSE,INDEX('Ist Aktuell Monat 05'!B:B,MATCH(D297,'Ist Aktuell Monat 05'!A:A,0)),
IF(ISERROR(MATCH(D297,'Ist Aktuell Monat 06'!A:A,0))=FALSE,INDEX('Ist Aktuell Monat 06'!B:B,MATCH(D297,'Ist Aktuell Monat 06'!A:A,0)),
IF(ISERROR(MATCH(D297,'Ist Aktuell Monat 07'!A:A,0))=FALSE,INDEX('Ist Aktuell Monat 07'!B:B,MATCH(D297,'Ist Aktuell Monat 07'!A:A,0)),
IF(ISERROR(MATCH(D297,'Ist Aktuell Monat 08'!A:A,0))=FALSE,INDEX('Ist Aktuell Monat 08'!B:B,MATCH(D297,'Ist Aktuell Monat 08'!A:A,0)),
IF(ISERROR(MATCH(D297,'Ist Aktuell Monat 09'!A:A,0))=FALSE,INDEX('Ist Aktuell Monat 09'!B:B,MATCH(D297,'Ist Aktuell Monat 09'!A:A,0)),
IF(ISERROR(MATCH(D297,'Ist Aktuell Monat 10'!A:A,0))=FALSE,INDEX('Ist Aktuell Monat 10'!B:B,MATCH(D297,'Ist Aktuell Monat 10'!A:A,0)),
IF(ISERROR(MATCH(D297,'Ist Aktuell Monat 11'!A:A,0))=FALSE,INDEX('Ist Aktuell Monat 11'!B:B,MATCH(D297,'Ist Aktuell Monat 11'!A:A,0)),
IF(ISERROR(MATCH(D297,'Ist Aktuell Monat 12'!A:A,0))=FALSE,INDEX('Ist Aktuell Monat 12'!B:B,MATCH(D297,'Ist Aktuell Monat 12'!A:A,0)),
"{Konto unbekannt}"
)))))))))))),"")</f>
        <v/>
      </c>
      <c r="C297" s="591"/>
      <c r="D297" s="590"/>
      <c r="E297" s="592">
        <f>IF(F297="-",-1,1)</f>
        <v>1</v>
      </c>
      <c r="F297" s="590"/>
      <c r="G297" s="593">
        <f ca="1">$E297*(-SUMIF(INDIRECT(G$3),'Struktur Aktuell'!$D297,INDIRECT(G$4))+SUMIF(INDIRECT(G$3),'Struktur Aktuell'!$D297,INDIRECT(G$5)))</f>
        <v>0</v>
      </c>
      <c r="H297" s="593">
        <f ca="1">$E297*(-SUMIF(INDIRECT(H$3),'Struktur Aktuell'!$D297,INDIRECT(H$4))+SUMIF(INDIRECT(H$3),'Struktur Aktuell'!$D297,INDIRECT(H$5)))</f>
        <v>0</v>
      </c>
      <c r="I297" s="593">
        <f ca="1">$E297*(-SUMIF(INDIRECT(I$3),'Struktur Aktuell'!$D297,INDIRECT(I$4))+SUMIF(INDIRECT(I$3),'Struktur Aktuell'!$D297,INDIRECT(I$5)))</f>
        <v>0</v>
      </c>
      <c r="J297" s="593">
        <f ca="1">$E297*(-SUMIF(INDIRECT(J$3),'Struktur Aktuell'!$D297,INDIRECT(J$4))+SUMIF(INDIRECT(J$3),'Struktur Aktuell'!$D297,INDIRECT(J$5)))</f>
        <v>0</v>
      </c>
      <c r="K297" s="593">
        <f ca="1">$E297*(-SUMIF(INDIRECT(K$3),'Struktur Aktuell'!$D297,INDIRECT(K$4))+SUMIF(INDIRECT(K$3),'Struktur Aktuell'!$D297,INDIRECT(K$5)))</f>
        <v>0</v>
      </c>
      <c r="L297" s="593">
        <f ca="1">$E297*(-SUMIF(INDIRECT(L$3),'Struktur Aktuell'!$D297,INDIRECT(L$4))+SUMIF(INDIRECT(L$3),'Struktur Aktuell'!$D297,INDIRECT(L$5)))</f>
        <v>0</v>
      </c>
      <c r="M297" s="593">
        <f ca="1">$E297*(-SUMIF(INDIRECT(M$3),'Struktur Aktuell'!$D297,INDIRECT(M$4))+SUMIF(INDIRECT(M$3),'Struktur Aktuell'!$D297,INDIRECT(M$5)))</f>
        <v>0</v>
      </c>
      <c r="N297" s="593">
        <f ca="1">$E297*(-SUMIF(INDIRECT(N$3),'Struktur Aktuell'!$D297,INDIRECT(N$4))+SUMIF(INDIRECT(N$3),'Struktur Aktuell'!$D297,INDIRECT(N$5)))</f>
        <v>0</v>
      </c>
      <c r="O297" s="593">
        <f ca="1">$E297*(-SUMIF(INDIRECT(O$3),'Struktur Aktuell'!$D297,INDIRECT(O$4))+SUMIF(INDIRECT(O$3),'Struktur Aktuell'!$D297,INDIRECT(O$5)))</f>
        <v>0</v>
      </c>
      <c r="P297" s="593">
        <f ca="1">$E297*(-SUMIF(INDIRECT(P$3),'Struktur Aktuell'!$D297,INDIRECT(P$4))+SUMIF(INDIRECT(P$3),'Struktur Aktuell'!$D297,INDIRECT(P$5)))</f>
        <v>0</v>
      </c>
      <c r="Q297" s="593">
        <f ca="1">$E297*(-SUMIF(INDIRECT(Q$3),'Struktur Aktuell'!$D297,INDIRECT(Q$4))+SUMIF(INDIRECT(Q$3),'Struktur Aktuell'!$D297,INDIRECT(Q$5)))</f>
        <v>0</v>
      </c>
      <c r="R297" s="593">
        <f ca="1">$E297*(-SUMIF(INDIRECT(R$3),'Struktur Aktuell'!$D297,INDIRECT(R$4))+SUMIF(INDIRECT(R$3),'Struktur Aktuell'!$D297,INDIRECT(R$5)))</f>
        <v>0</v>
      </c>
      <c r="S297" s="593">
        <f ca="1">$E297*(-SUMIF(INDIRECT(S$3),'Struktur Aktuell'!$D297,INDIRECT(S$4))+SUMIF(INDIRECT(S$3),'Struktur Aktuell'!$D297,INDIRECT(S$5)))</f>
        <v>0</v>
      </c>
      <c r="T297" s="593">
        <f ca="1">$E297*(-SUMIF(INDIRECT(T$3),'Struktur Aktuell'!$D297,INDIRECT(T$4))+SUMIF(INDIRECT(T$3),'Struktur Aktuell'!$D297,INDIRECT(T$5)))</f>
        <v>0</v>
      </c>
      <c r="U297" s="593">
        <f ca="1">$E297*(-SUMIF(INDIRECT(U$3),'Struktur Aktuell'!$D297,INDIRECT(U$4))+SUMIF(INDIRECT(U$3),'Struktur Aktuell'!$D297,INDIRECT(U$5)))</f>
        <v>0</v>
      </c>
      <c r="V297" s="593">
        <f ca="1">$E297*(-SUMIF(INDIRECT(V$3),'Struktur Aktuell'!$D297,INDIRECT(V$4))+SUMIF(INDIRECT(V$3),'Struktur Aktuell'!$D297,INDIRECT(V$5)))</f>
        <v>0</v>
      </c>
      <c r="W297" s="593">
        <f ca="1">$E297*(-SUMIF(INDIRECT(W$3),'Struktur Aktuell'!$D297,INDIRECT(W$4))+SUMIF(INDIRECT(W$3),'Struktur Aktuell'!$D297,INDIRECT(W$5)))</f>
        <v>0</v>
      </c>
      <c r="X297" s="593">
        <f ca="1">$E297*(-SUMIF(INDIRECT(X$3),'Struktur Aktuell'!$D297,INDIRECT(X$4))+SUMIF(INDIRECT(X$3),'Struktur Aktuell'!$D297,INDIRECT(X$5)))</f>
        <v>0</v>
      </c>
      <c r="Y297" s="593">
        <f ca="1">$E297*(-SUMIF(INDIRECT(Y$3),'Struktur Aktuell'!$D297,INDIRECT(Y$4))+SUMIF(INDIRECT(Y$3),'Struktur Aktuell'!$D297,INDIRECT(Y$5)))</f>
        <v>0</v>
      </c>
      <c r="Z297" s="593">
        <f ca="1">$E297*(-SUMIF(INDIRECT(Z$3),'Struktur Aktuell'!$D297,INDIRECT(Z$4))+SUMIF(INDIRECT(Z$3),'Struktur Aktuell'!$D297,INDIRECT(Z$5)))</f>
        <v>0</v>
      </c>
      <c r="AA297" s="593">
        <f ca="1">$E297*(-SUMIF(INDIRECT(AA$3),'Struktur Aktuell'!$D297,INDIRECT(AA$4))+SUMIF(INDIRECT(AA$3),'Struktur Aktuell'!$D297,INDIRECT(AA$5)))</f>
        <v>0</v>
      </c>
      <c r="AB297" s="593">
        <f ca="1">$E297*(-SUMIF(INDIRECT(AB$3),'Struktur Aktuell'!$D297,INDIRECT(AB$4))+SUMIF(INDIRECT(AB$3),'Struktur Aktuell'!$D297,INDIRECT(AB$5)))</f>
        <v>0</v>
      </c>
      <c r="AC297" s="593">
        <f ca="1">$E297*(-SUMIF(INDIRECT(AC$3),'Struktur Aktuell'!$D297,INDIRECT(AC$4))+SUMIF(INDIRECT(AC$3),'Struktur Aktuell'!$D297,INDIRECT(AC$5)))</f>
        <v>0</v>
      </c>
      <c r="AD297" s="593">
        <f ca="1">$E297*(-SUMIF(INDIRECT(AD$3),'Struktur Aktuell'!$D297,INDIRECT(AD$4))+SUMIF(INDIRECT(AD$3),'Struktur Aktuell'!$D297,INDIRECT(AD$5)))</f>
        <v>0</v>
      </c>
      <c r="AE297" s="593">
        <f t="shared" ca="1" si="398"/>
        <v>0</v>
      </c>
      <c r="AF297" s="593">
        <f t="shared" ca="1" si="399"/>
        <v>0</v>
      </c>
      <c r="AG297" s="593">
        <f t="shared" ca="1" si="400"/>
        <v>0</v>
      </c>
      <c r="AH297" s="593">
        <f t="shared" ca="1" si="401"/>
        <v>0</v>
      </c>
      <c r="AI297" s="593">
        <f t="shared" ca="1" si="402"/>
        <v>0</v>
      </c>
      <c r="AJ297" s="593">
        <f t="shared" ca="1" si="403"/>
        <v>0</v>
      </c>
      <c r="AK297" s="593">
        <f t="shared" ca="1" si="404"/>
        <v>0</v>
      </c>
      <c r="AL297" s="593">
        <f t="shared" ca="1" si="405"/>
        <v>0</v>
      </c>
      <c r="AM297" s="593">
        <f t="shared" ca="1" si="406"/>
        <v>0</v>
      </c>
      <c r="AN297" s="593">
        <f t="shared" ca="1" si="407"/>
        <v>0</v>
      </c>
      <c r="AO297" s="593">
        <f t="shared" ca="1" si="408"/>
        <v>0</v>
      </c>
      <c r="AP297" s="593">
        <f t="shared" ca="1" si="409"/>
        <v>0</v>
      </c>
    </row>
    <row r="298" spans="1:42" s="594" customFormat="1" ht="11.25" outlineLevel="1" x14ac:dyDescent="0.2">
      <c r="A298" s="590"/>
      <c r="B298" s="591" t="str">
        <f>IF(D298&lt;&gt;"",
IF(ISERROR(MATCH(D298,'Ist Aktuell Monat 01'!A:A,0))=FALSE,INDEX('Ist Aktuell Monat 01'!B:B,MATCH(D298,'Ist Aktuell Monat 01'!A:A,0)),
IF(ISERROR(MATCH(D298,'Ist Aktuell Monat 02'!A:A,0))=FALSE,INDEX('Ist Aktuell Monat 02'!B:B,MATCH(D298,'Ist Aktuell Monat 02'!A:A,0)),
IF(ISERROR(MATCH(D298,'Ist Aktuell Monat 03'!A:A,0))=FALSE,INDEX('Ist Aktuell Monat 03'!B:B,MATCH(D298,'Ist Aktuell Monat 03'!A:A,0)),
IF(ISERROR(MATCH(D298,'Ist Aktuell Monat 04'!A:A,0))=FALSE,INDEX('Ist Aktuell Monat 04'!B:B,MATCH(D298,'Ist Aktuell Monat 04'!A:A,0)),
IF(ISERROR(MATCH(D298,'Ist Aktuell Monat 05'!A:A,0))=FALSE,INDEX('Ist Aktuell Monat 05'!B:B,MATCH(D298,'Ist Aktuell Monat 05'!A:A,0)),
IF(ISERROR(MATCH(D298,'Ist Aktuell Monat 06'!A:A,0))=FALSE,INDEX('Ist Aktuell Monat 06'!B:B,MATCH(D298,'Ist Aktuell Monat 06'!A:A,0)),
IF(ISERROR(MATCH(D298,'Ist Aktuell Monat 07'!A:A,0))=FALSE,INDEX('Ist Aktuell Monat 07'!B:B,MATCH(D298,'Ist Aktuell Monat 07'!A:A,0)),
IF(ISERROR(MATCH(D298,'Ist Aktuell Monat 08'!A:A,0))=FALSE,INDEX('Ist Aktuell Monat 08'!B:B,MATCH(D298,'Ist Aktuell Monat 08'!A:A,0)),
IF(ISERROR(MATCH(D298,'Ist Aktuell Monat 09'!A:A,0))=FALSE,INDEX('Ist Aktuell Monat 09'!B:B,MATCH(D298,'Ist Aktuell Monat 09'!A:A,0)),
IF(ISERROR(MATCH(D298,'Ist Aktuell Monat 10'!A:A,0))=FALSE,INDEX('Ist Aktuell Monat 10'!B:B,MATCH(D298,'Ist Aktuell Monat 10'!A:A,0)),
IF(ISERROR(MATCH(D298,'Ist Aktuell Monat 11'!A:A,0))=FALSE,INDEX('Ist Aktuell Monat 11'!B:B,MATCH(D298,'Ist Aktuell Monat 11'!A:A,0)),
IF(ISERROR(MATCH(D298,'Ist Aktuell Monat 12'!A:A,0))=FALSE,INDEX('Ist Aktuell Monat 12'!B:B,MATCH(D298,'Ist Aktuell Monat 12'!A:A,0)),
"{Konto unbekannt}"
)))))))))))),"")</f>
        <v/>
      </c>
      <c r="C298" s="591"/>
      <c r="D298" s="590"/>
      <c r="E298" s="592">
        <f t="shared" ref="E298:E299" si="410">IF(F298="-",-1,1)</f>
        <v>1</v>
      </c>
      <c r="F298" s="590"/>
      <c r="G298" s="593">
        <f ca="1">$E298*(-SUMIF(INDIRECT(G$3),'Struktur Aktuell'!$D298,INDIRECT(G$4))+SUMIF(INDIRECT(G$3),'Struktur Aktuell'!$D298,INDIRECT(G$5)))</f>
        <v>0</v>
      </c>
      <c r="H298" s="593">
        <f ca="1">$E298*(-SUMIF(INDIRECT(H$3),'Struktur Aktuell'!$D298,INDIRECT(H$4))+SUMIF(INDIRECT(H$3),'Struktur Aktuell'!$D298,INDIRECT(H$5)))</f>
        <v>0</v>
      </c>
      <c r="I298" s="593">
        <f ca="1">$E298*(-SUMIF(INDIRECT(I$3),'Struktur Aktuell'!$D298,INDIRECT(I$4))+SUMIF(INDIRECT(I$3),'Struktur Aktuell'!$D298,INDIRECT(I$5)))</f>
        <v>0</v>
      </c>
      <c r="J298" s="593">
        <f ca="1">$E298*(-SUMIF(INDIRECT(J$3),'Struktur Aktuell'!$D298,INDIRECT(J$4))+SUMIF(INDIRECT(J$3),'Struktur Aktuell'!$D298,INDIRECT(J$5)))</f>
        <v>0</v>
      </c>
      <c r="K298" s="593">
        <f ca="1">$E298*(-SUMIF(INDIRECT(K$3),'Struktur Aktuell'!$D298,INDIRECT(K$4))+SUMIF(INDIRECT(K$3),'Struktur Aktuell'!$D298,INDIRECT(K$5)))</f>
        <v>0</v>
      </c>
      <c r="L298" s="593">
        <f ca="1">$E298*(-SUMIF(INDIRECT(L$3),'Struktur Aktuell'!$D298,INDIRECT(L$4))+SUMIF(INDIRECT(L$3),'Struktur Aktuell'!$D298,INDIRECT(L$5)))</f>
        <v>0</v>
      </c>
      <c r="M298" s="593">
        <f ca="1">$E298*(-SUMIF(INDIRECT(M$3),'Struktur Aktuell'!$D298,INDIRECT(M$4))+SUMIF(INDIRECT(M$3),'Struktur Aktuell'!$D298,INDIRECT(M$5)))</f>
        <v>0</v>
      </c>
      <c r="N298" s="593">
        <f ca="1">$E298*(-SUMIF(INDIRECT(N$3),'Struktur Aktuell'!$D298,INDIRECT(N$4))+SUMIF(INDIRECT(N$3),'Struktur Aktuell'!$D298,INDIRECT(N$5)))</f>
        <v>0</v>
      </c>
      <c r="O298" s="593">
        <f ca="1">$E298*(-SUMIF(INDIRECT(O$3),'Struktur Aktuell'!$D298,INDIRECT(O$4))+SUMIF(INDIRECT(O$3),'Struktur Aktuell'!$D298,INDIRECT(O$5)))</f>
        <v>0</v>
      </c>
      <c r="P298" s="593">
        <f ca="1">$E298*(-SUMIF(INDIRECT(P$3),'Struktur Aktuell'!$D298,INDIRECT(P$4))+SUMIF(INDIRECT(P$3),'Struktur Aktuell'!$D298,INDIRECT(P$5)))</f>
        <v>0</v>
      </c>
      <c r="Q298" s="593">
        <f ca="1">$E298*(-SUMIF(INDIRECT(Q$3),'Struktur Aktuell'!$D298,INDIRECT(Q$4))+SUMIF(INDIRECT(Q$3),'Struktur Aktuell'!$D298,INDIRECT(Q$5)))</f>
        <v>0</v>
      </c>
      <c r="R298" s="593">
        <f ca="1">$E298*(-SUMIF(INDIRECT(R$3),'Struktur Aktuell'!$D298,INDIRECT(R$4))+SUMIF(INDIRECT(R$3),'Struktur Aktuell'!$D298,INDIRECT(R$5)))</f>
        <v>0</v>
      </c>
      <c r="S298" s="593">
        <f ca="1">$E298*(-SUMIF(INDIRECT(S$3),'Struktur Aktuell'!$D298,INDIRECT(S$4))+SUMIF(INDIRECT(S$3),'Struktur Aktuell'!$D298,INDIRECT(S$5)))</f>
        <v>0</v>
      </c>
      <c r="T298" s="593">
        <f ca="1">$E298*(-SUMIF(INDIRECT(T$3),'Struktur Aktuell'!$D298,INDIRECT(T$4))+SUMIF(INDIRECT(T$3),'Struktur Aktuell'!$D298,INDIRECT(T$5)))</f>
        <v>0</v>
      </c>
      <c r="U298" s="593">
        <f ca="1">$E298*(-SUMIF(INDIRECT(U$3),'Struktur Aktuell'!$D298,INDIRECT(U$4))+SUMIF(INDIRECT(U$3),'Struktur Aktuell'!$D298,INDIRECT(U$5)))</f>
        <v>0</v>
      </c>
      <c r="V298" s="593">
        <f ca="1">$E298*(-SUMIF(INDIRECT(V$3),'Struktur Aktuell'!$D298,INDIRECT(V$4))+SUMIF(INDIRECT(V$3),'Struktur Aktuell'!$D298,INDIRECT(V$5)))</f>
        <v>0</v>
      </c>
      <c r="W298" s="593">
        <f ca="1">$E298*(-SUMIF(INDIRECT(W$3),'Struktur Aktuell'!$D298,INDIRECT(W$4))+SUMIF(INDIRECT(W$3),'Struktur Aktuell'!$D298,INDIRECT(W$5)))</f>
        <v>0</v>
      </c>
      <c r="X298" s="593">
        <f ca="1">$E298*(-SUMIF(INDIRECT(X$3),'Struktur Aktuell'!$D298,INDIRECT(X$4))+SUMIF(INDIRECT(X$3),'Struktur Aktuell'!$D298,INDIRECT(X$5)))</f>
        <v>0</v>
      </c>
      <c r="Y298" s="593">
        <f ca="1">$E298*(-SUMIF(INDIRECT(Y$3),'Struktur Aktuell'!$D298,INDIRECT(Y$4))+SUMIF(INDIRECT(Y$3),'Struktur Aktuell'!$D298,INDIRECT(Y$5)))</f>
        <v>0</v>
      </c>
      <c r="Z298" s="593">
        <f ca="1">$E298*(-SUMIF(INDIRECT(Z$3),'Struktur Aktuell'!$D298,INDIRECT(Z$4))+SUMIF(INDIRECT(Z$3),'Struktur Aktuell'!$D298,INDIRECT(Z$5)))</f>
        <v>0</v>
      </c>
      <c r="AA298" s="593">
        <f ca="1">$E298*(-SUMIF(INDIRECT(AA$3),'Struktur Aktuell'!$D298,INDIRECT(AA$4))+SUMIF(INDIRECT(AA$3),'Struktur Aktuell'!$D298,INDIRECT(AA$5)))</f>
        <v>0</v>
      </c>
      <c r="AB298" s="593">
        <f ca="1">$E298*(-SUMIF(INDIRECT(AB$3),'Struktur Aktuell'!$D298,INDIRECT(AB$4))+SUMIF(INDIRECT(AB$3),'Struktur Aktuell'!$D298,INDIRECT(AB$5)))</f>
        <v>0</v>
      </c>
      <c r="AC298" s="593">
        <f ca="1">$E298*(-SUMIF(INDIRECT(AC$3),'Struktur Aktuell'!$D298,INDIRECT(AC$4))+SUMIF(INDIRECT(AC$3),'Struktur Aktuell'!$D298,INDIRECT(AC$5)))</f>
        <v>0</v>
      </c>
      <c r="AD298" s="593">
        <f ca="1">$E298*(-SUMIF(INDIRECT(AD$3),'Struktur Aktuell'!$D298,INDIRECT(AD$4))+SUMIF(INDIRECT(AD$3),'Struktur Aktuell'!$D298,INDIRECT(AD$5)))</f>
        <v>0</v>
      </c>
      <c r="AE298" s="593">
        <f t="shared" ca="1" si="398"/>
        <v>0</v>
      </c>
      <c r="AF298" s="593">
        <f t="shared" ca="1" si="399"/>
        <v>0</v>
      </c>
      <c r="AG298" s="593">
        <f t="shared" ca="1" si="400"/>
        <v>0</v>
      </c>
      <c r="AH298" s="593">
        <f t="shared" ca="1" si="401"/>
        <v>0</v>
      </c>
      <c r="AI298" s="593">
        <f t="shared" ca="1" si="402"/>
        <v>0</v>
      </c>
      <c r="AJ298" s="593">
        <f t="shared" ca="1" si="403"/>
        <v>0</v>
      </c>
      <c r="AK298" s="593">
        <f t="shared" ca="1" si="404"/>
        <v>0</v>
      </c>
      <c r="AL298" s="593">
        <f t="shared" ca="1" si="405"/>
        <v>0</v>
      </c>
      <c r="AM298" s="593">
        <f t="shared" ca="1" si="406"/>
        <v>0</v>
      </c>
      <c r="AN298" s="593">
        <f t="shared" ca="1" si="407"/>
        <v>0</v>
      </c>
      <c r="AO298" s="593">
        <f t="shared" ca="1" si="408"/>
        <v>0</v>
      </c>
      <c r="AP298" s="593">
        <f t="shared" ca="1" si="409"/>
        <v>0</v>
      </c>
    </row>
    <row r="299" spans="1:42" s="594" customFormat="1" ht="11.25" outlineLevel="1" x14ac:dyDescent="0.2">
      <c r="A299" s="590"/>
      <c r="B299" s="591" t="str">
        <f>IF(D299&lt;&gt;"",
IF(ISERROR(MATCH(D299,'Ist Aktuell Monat 01'!A:A,0))=FALSE,INDEX('Ist Aktuell Monat 01'!B:B,MATCH(D299,'Ist Aktuell Monat 01'!A:A,0)),
IF(ISERROR(MATCH(D299,'Ist Aktuell Monat 02'!A:A,0))=FALSE,INDEX('Ist Aktuell Monat 02'!B:B,MATCH(D299,'Ist Aktuell Monat 02'!A:A,0)),
IF(ISERROR(MATCH(D299,'Ist Aktuell Monat 03'!A:A,0))=FALSE,INDEX('Ist Aktuell Monat 03'!B:B,MATCH(D299,'Ist Aktuell Monat 03'!A:A,0)),
IF(ISERROR(MATCH(D299,'Ist Aktuell Monat 04'!A:A,0))=FALSE,INDEX('Ist Aktuell Monat 04'!B:B,MATCH(D299,'Ist Aktuell Monat 04'!A:A,0)),
IF(ISERROR(MATCH(D299,'Ist Aktuell Monat 05'!A:A,0))=FALSE,INDEX('Ist Aktuell Monat 05'!B:B,MATCH(D299,'Ist Aktuell Monat 05'!A:A,0)),
IF(ISERROR(MATCH(D299,'Ist Aktuell Monat 06'!A:A,0))=FALSE,INDEX('Ist Aktuell Monat 06'!B:B,MATCH(D299,'Ist Aktuell Monat 06'!A:A,0)),
IF(ISERROR(MATCH(D299,'Ist Aktuell Monat 07'!A:A,0))=FALSE,INDEX('Ist Aktuell Monat 07'!B:B,MATCH(D299,'Ist Aktuell Monat 07'!A:A,0)),
IF(ISERROR(MATCH(D299,'Ist Aktuell Monat 08'!A:A,0))=FALSE,INDEX('Ist Aktuell Monat 08'!B:B,MATCH(D299,'Ist Aktuell Monat 08'!A:A,0)),
IF(ISERROR(MATCH(D299,'Ist Aktuell Monat 09'!A:A,0))=FALSE,INDEX('Ist Aktuell Monat 09'!B:B,MATCH(D299,'Ist Aktuell Monat 09'!A:A,0)),
IF(ISERROR(MATCH(D299,'Ist Aktuell Monat 10'!A:A,0))=FALSE,INDEX('Ist Aktuell Monat 10'!B:B,MATCH(D299,'Ist Aktuell Monat 10'!A:A,0)),
IF(ISERROR(MATCH(D299,'Ist Aktuell Monat 11'!A:A,0))=FALSE,INDEX('Ist Aktuell Monat 11'!B:B,MATCH(D299,'Ist Aktuell Monat 11'!A:A,0)),
IF(ISERROR(MATCH(D299,'Ist Aktuell Monat 12'!A:A,0))=FALSE,INDEX('Ist Aktuell Monat 12'!B:B,MATCH(D299,'Ist Aktuell Monat 12'!A:A,0)),
"{Konto unbekannt}"
)))))))))))),"")</f>
        <v/>
      </c>
      <c r="C299" s="591"/>
      <c r="D299" s="590"/>
      <c r="E299" s="592">
        <f t="shared" si="410"/>
        <v>1</v>
      </c>
      <c r="F299" s="590"/>
      <c r="G299" s="593">
        <f ca="1">$E299*(-SUMIF(INDIRECT(G$3),'Struktur Aktuell'!$D299,INDIRECT(G$4))+SUMIF(INDIRECT(G$3),'Struktur Aktuell'!$D299,INDIRECT(G$5)))</f>
        <v>0</v>
      </c>
      <c r="H299" s="593">
        <f ca="1">$E299*(-SUMIF(INDIRECT(H$3),'Struktur Aktuell'!$D299,INDIRECT(H$4))+SUMIF(INDIRECT(H$3),'Struktur Aktuell'!$D299,INDIRECT(H$5)))</f>
        <v>0</v>
      </c>
      <c r="I299" s="593">
        <f ca="1">$E299*(-SUMIF(INDIRECT(I$3),'Struktur Aktuell'!$D299,INDIRECT(I$4))+SUMIF(INDIRECT(I$3),'Struktur Aktuell'!$D299,INDIRECT(I$5)))</f>
        <v>0</v>
      </c>
      <c r="J299" s="593">
        <f ca="1">$E299*(-SUMIF(INDIRECT(J$3),'Struktur Aktuell'!$D299,INDIRECT(J$4))+SUMIF(INDIRECT(J$3),'Struktur Aktuell'!$D299,INDIRECT(J$5)))</f>
        <v>0</v>
      </c>
      <c r="K299" s="593">
        <f ca="1">$E299*(-SUMIF(INDIRECT(K$3),'Struktur Aktuell'!$D299,INDIRECT(K$4))+SUMIF(INDIRECT(K$3),'Struktur Aktuell'!$D299,INDIRECT(K$5)))</f>
        <v>0</v>
      </c>
      <c r="L299" s="593">
        <f ca="1">$E299*(-SUMIF(INDIRECT(L$3),'Struktur Aktuell'!$D299,INDIRECT(L$4))+SUMIF(INDIRECT(L$3),'Struktur Aktuell'!$D299,INDIRECT(L$5)))</f>
        <v>0</v>
      </c>
      <c r="M299" s="593">
        <f ca="1">$E299*(-SUMIF(INDIRECT(M$3),'Struktur Aktuell'!$D299,INDIRECT(M$4))+SUMIF(INDIRECT(M$3),'Struktur Aktuell'!$D299,INDIRECT(M$5)))</f>
        <v>0</v>
      </c>
      <c r="N299" s="593">
        <f ca="1">$E299*(-SUMIF(INDIRECT(N$3),'Struktur Aktuell'!$D299,INDIRECT(N$4))+SUMIF(INDIRECT(N$3),'Struktur Aktuell'!$D299,INDIRECT(N$5)))</f>
        <v>0</v>
      </c>
      <c r="O299" s="593">
        <f ca="1">$E299*(-SUMIF(INDIRECT(O$3),'Struktur Aktuell'!$D299,INDIRECT(O$4))+SUMIF(INDIRECT(O$3),'Struktur Aktuell'!$D299,INDIRECT(O$5)))</f>
        <v>0</v>
      </c>
      <c r="P299" s="593">
        <f ca="1">$E299*(-SUMIF(INDIRECT(P$3),'Struktur Aktuell'!$D299,INDIRECT(P$4))+SUMIF(INDIRECT(P$3),'Struktur Aktuell'!$D299,INDIRECT(P$5)))</f>
        <v>0</v>
      </c>
      <c r="Q299" s="593">
        <f ca="1">$E299*(-SUMIF(INDIRECT(Q$3),'Struktur Aktuell'!$D299,INDIRECT(Q$4))+SUMIF(INDIRECT(Q$3),'Struktur Aktuell'!$D299,INDIRECT(Q$5)))</f>
        <v>0</v>
      </c>
      <c r="R299" s="593">
        <f ca="1">$E299*(-SUMIF(INDIRECT(R$3),'Struktur Aktuell'!$D299,INDIRECT(R$4))+SUMIF(INDIRECT(R$3),'Struktur Aktuell'!$D299,INDIRECT(R$5)))</f>
        <v>0</v>
      </c>
      <c r="S299" s="593">
        <f ca="1">$E299*(-SUMIF(INDIRECT(S$3),'Struktur Aktuell'!$D299,INDIRECT(S$4))+SUMIF(INDIRECT(S$3),'Struktur Aktuell'!$D299,INDIRECT(S$5)))</f>
        <v>0</v>
      </c>
      <c r="T299" s="593">
        <f ca="1">$E299*(-SUMIF(INDIRECT(T$3),'Struktur Aktuell'!$D299,INDIRECT(T$4))+SUMIF(INDIRECT(T$3),'Struktur Aktuell'!$D299,INDIRECT(T$5)))</f>
        <v>0</v>
      </c>
      <c r="U299" s="593">
        <f ca="1">$E299*(-SUMIF(INDIRECT(U$3),'Struktur Aktuell'!$D299,INDIRECT(U$4))+SUMIF(INDIRECT(U$3),'Struktur Aktuell'!$D299,INDIRECT(U$5)))</f>
        <v>0</v>
      </c>
      <c r="V299" s="593">
        <f ca="1">$E299*(-SUMIF(INDIRECT(V$3),'Struktur Aktuell'!$D299,INDIRECT(V$4))+SUMIF(INDIRECT(V$3),'Struktur Aktuell'!$D299,INDIRECT(V$5)))</f>
        <v>0</v>
      </c>
      <c r="W299" s="593">
        <f ca="1">$E299*(-SUMIF(INDIRECT(W$3),'Struktur Aktuell'!$D299,INDIRECT(W$4))+SUMIF(INDIRECT(W$3),'Struktur Aktuell'!$D299,INDIRECT(W$5)))</f>
        <v>0</v>
      </c>
      <c r="X299" s="593">
        <f ca="1">$E299*(-SUMIF(INDIRECT(X$3),'Struktur Aktuell'!$D299,INDIRECT(X$4))+SUMIF(INDIRECT(X$3),'Struktur Aktuell'!$D299,INDIRECT(X$5)))</f>
        <v>0</v>
      </c>
      <c r="Y299" s="593">
        <f ca="1">$E299*(-SUMIF(INDIRECT(Y$3),'Struktur Aktuell'!$D299,INDIRECT(Y$4))+SUMIF(INDIRECT(Y$3),'Struktur Aktuell'!$D299,INDIRECT(Y$5)))</f>
        <v>0</v>
      </c>
      <c r="Z299" s="593">
        <f ca="1">$E299*(-SUMIF(INDIRECT(Z$3),'Struktur Aktuell'!$D299,INDIRECT(Z$4))+SUMIF(INDIRECT(Z$3),'Struktur Aktuell'!$D299,INDIRECT(Z$5)))</f>
        <v>0</v>
      </c>
      <c r="AA299" s="593">
        <f ca="1">$E299*(-SUMIF(INDIRECT(AA$3),'Struktur Aktuell'!$D299,INDIRECT(AA$4))+SUMIF(INDIRECT(AA$3),'Struktur Aktuell'!$D299,INDIRECT(AA$5)))</f>
        <v>0</v>
      </c>
      <c r="AB299" s="593">
        <f ca="1">$E299*(-SUMIF(INDIRECT(AB$3),'Struktur Aktuell'!$D299,INDIRECT(AB$4))+SUMIF(INDIRECT(AB$3),'Struktur Aktuell'!$D299,INDIRECT(AB$5)))</f>
        <v>0</v>
      </c>
      <c r="AC299" s="593">
        <f ca="1">$E299*(-SUMIF(INDIRECT(AC$3),'Struktur Aktuell'!$D299,INDIRECT(AC$4))+SUMIF(INDIRECT(AC$3),'Struktur Aktuell'!$D299,INDIRECT(AC$5)))</f>
        <v>0</v>
      </c>
      <c r="AD299" s="593">
        <f ca="1">$E299*(-SUMIF(INDIRECT(AD$3),'Struktur Aktuell'!$D299,INDIRECT(AD$4))+SUMIF(INDIRECT(AD$3),'Struktur Aktuell'!$D299,INDIRECT(AD$5)))</f>
        <v>0</v>
      </c>
      <c r="AE299" s="593">
        <f t="shared" ca="1" si="398"/>
        <v>0</v>
      </c>
      <c r="AF299" s="593">
        <f t="shared" ca="1" si="399"/>
        <v>0</v>
      </c>
      <c r="AG299" s="593">
        <f t="shared" ca="1" si="400"/>
        <v>0</v>
      </c>
      <c r="AH299" s="593">
        <f t="shared" ca="1" si="401"/>
        <v>0</v>
      </c>
      <c r="AI299" s="593">
        <f t="shared" ca="1" si="402"/>
        <v>0</v>
      </c>
      <c r="AJ299" s="593">
        <f t="shared" ca="1" si="403"/>
        <v>0</v>
      </c>
      <c r="AK299" s="593">
        <f t="shared" ca="1" si="404"/>
        <v>0</v>
      </c>
      <c r="AL299" s="593">
        <f t="shared" ca="1" si="405"/>
        <v>0</v>
      </c>
      <c r="AM299" s="593">
        <f t="shared" ca="1" si="406"/>
        <v>0</v>
      </c>
      <c r="AN299" s="593">
        <f t="shared" ca="1" si="407"/>
        <v>0</v>
      </c>
      <c r="AO299" s="593">
        <f t="shared" ca="1" si="408"/>
        <v>0</v>
      </c>
      <c r="AP299" s="593">
        <f t="shared" ca="1" si="409"/>
        <v>0</v>
      </c>
    </row>
    <row r="300" spans="1:42" s="589" customFormat="1" x14ac:dyDescent="0.2">
      <c r="A300" s="595"/>
      <c r="B300" s="596" t="s">
        <v>372</v>
      </c>
      <c r="C300" s="597">
        <f ca="1">SUM(G300:R300)</f>
        <v>-32469.819999999992</v>
      </c>
      <c r="D300" s="597"/>
      <c r="E300" s="598">
        <f t="shared" si="381"/>
        <v>1</v>
      </c>
      <c r="F300" s="595"/>
      <c r="G300" s="597">
        <f ca="1">G156-G157-G177</f>
        <v>-9329.1200000000008</v>
      </c>
      <c r="H300" s="597">
        <f t="shared" ref="H300:R300" ca="1" si="411">H156-H157-H177</f>
        <v>-8517.4599999999991</v>
      </c>
      <c r="I300" s="597">
        <f t="shared" ca="1" si="411"/>
        <v>-17290.11</v>
      </c>
      <c r="J300" s="597">
        <f t="shared" ca="1" si="411"/>
        <v>-9357.6400000000031</v>
      </c>
      <c r="K300" s="597">
        <f t="shared" ca="1" si="411"/>
        <v>-15077.769999999997</v>
      </c>
      <c r="L300" s="597">
        <f t="shared" ca="1" si="411"/>
        <v>-9068.6899999999987</v>
      </c>
      <c r="M300" s="597">
        <f t="shared" ca="1" si="411"/>
        <v>28137.950000000004</v>
      </c>
      <c r="N300" s="597">
        <f t="shared" ca="1" si="411"/>
        <v>1239.850000000001</v>
      </c>
      <c r="O300" s="597">
        <f t="shared" ca="1" si="411"/>
        <v>-7196.3599999999988</v>
      </c>
      <c r="P300" s="597">
        <f t="shared" ca="1" si="411"/>
        <v>13989.53</v>
      </c>
      <c r="Q300" s="597">
        <f t="shared" ca="1" si="411"/>
        <v>0</v>
      </c>
      <c r="R300" s="597">
        <f t="shared" ca="1" si="411"/>
        <v>0</v>
      </c>
      <c r="S300" s="597">
        <f ca="1">S156-S157-S177</f>
        <v>-9329.1200000000008</v>
      </c>
      <c r="T300" s="597">
        <f t="shared" ref="T300:AD300" ca="1" si="412">T156-T157-T177</f>
        <v>-17846.580000000005</v>
      </c>
      <c r="U300" s="597">
        <f t="shared" ca="1" si="412"/>
        <v>-35136.69000000001</v>
      </c>
      <c r="V300" s="597">
        <f t="shared" ca="1" si="412"/>
        <v>-44494.33</v>
      </c>
      <c r="W300" s="597">
        <f t="shared" ca="1" si="412"/>
        <v>-59572.1</v>
      </c>
      <c r="X300" s="597">
        <f t="shared" ca="1" si="412"/>
        <v>-68640.789999999994</v>
      </c>
      <c r="Y300" s="597">
        <f t="shared" ca="1" si="412"/>
        <v>-40502.839999999997</v>
      </c>
      <c r="Z300" s="597">
        <f t="shared" ca="1" si="412"/>
        <v>-39262.989999999991</v>
      </c>
      <c r="AA300" s="597">
        <f t="shared" ca="1" si="412"/>
        <v>-46459.350000000013</v>
      </c>
      <c r="AB300" s="597">
        <f t="shared" ca="1" si="412"/>
        <v>-32469.820000000007</v>
      </c>
      <c r="AC300" s="597">
        <f t="shared" ca="1" si="412"/>
        <v>0</v>
      </c>
      <c r="AD300" s="597">
        <f t="shared" ca="1" si="412"/>
        <v>0</v>
      </c>
      <c r="AE300" s="597">
        <f ca="1">AE156-AE157-AE177</f>
        <v>-9329.1200000000008</v>
      </c>
      <c r="AF300" s="597">
        <f t="shared" ref="AF300:AP300" ca="1" si="413">AF156-AF157-AF177</f>
        <v>-17846.580000000005</v>
      </c>
      <c r="AG300" s="597">
        <f t="shared" ca="1" si="413"/>
        <v>-35136.69000000001</v>
      </c>
      <c r="AH300" s="597">
        <f t="shared" ca="1" si="413"/>
        <v>-44494.33</v>
      </c>
      <c r="AI300" s="597">
        <f t="shared" ca="1" si="413"/>
        <v>-59572.100000000006</v>
      </c>
      <c r="AJ300" s="597">
        <f t="shared" ca="1" si="413"/>
        <v>-68640.789999999994</v>
      </c>
      <c r="AK300" s="597">
        <f t="shared" ca="1" si="413"/>
        <v>-40502.839999999997</v>
      </c>
      <c r="AL300" s="597">
        <f t="shared" ca="1" si="413"/>
        <v>-39262.989999999991</v>
      </c>
      <c r="AM300" s="597">
        <f t="shared" ca="1" si="413"/>
        <v>-46459.350000000013</v>
      </c>
      <c r="AN300" s="597">
        <f t="shared" ca="1" si="413"/>
        <v>-32469.819999999956</v>
      </c>
      <c r="AO300" s="597">
        <f t="shared" ca="1" si="413"/>
        <v>-32469.819999999956</v>
      </c>
      <c r="AP300" s="597">
        <f t="shared" ca="1" si="413"/>
        <v>-32469.819999999956</v>
      </c>
    </row>
    <row r="301" spans="1:42" s="589" customFormat="1" x14ac:dyDescent="0.2">
      <c r="A301" s="585">
        <v>27</v>
      </c>
      <c r="B301" s="586" t="s">
        <v>373</v>
      </c>
      <c r="C301" s="587">
        <f ca="1">SUM(G301:R301)</f>
        <v>0</v>
      </c>
      <c r="D301" s="587"/>
      <c r="E301" s="588">
        <f t="shared" si="381"/>
        <v>1</v>
      </c>
      <c r="F301" s="585"/>
      <c r="G301" s="587">
        <f t="shared" ref="G301:R301" ca="1" si="414">SUM(G302:G305)</f>
        <v>0</v>
      </c>
      <c r="H301" s="587">
        <f t="shared" ca="1" si="414"/>
        <v>0</v>
      </c>
      <c r="I301" s="587">
        <f t="shared" ca="1" si="414"/>
        <v>0</v>
      </c>
      <c r="J301" s="587">
        <f t="shared" ca="1" si="414"/>
        <v>0</v>
      </c>
      <c r="K301" s="587">
        <f t="shared" ca="1" si="414"/>
        <v>0</v>
      </c>
      <c r="L301" s="587">
        <f t="shared" ca="1" si="414"/>
        <v>0</v>
      </c>
      <c r="M301" s="587">
        <f t="shared" ca="1" si="414"/>
        <v>0</v>
      </c>
      <c r="N301" s="587">
        <f t="shared" ca="1" si="414"/>
        <v>0</v>
      </c>
      <c r="O301" s="587">
        <f t="shared" ca="1" si="414"/>
        <v>0</v>
      </c>
      <c r="P301" s="587">
        <f t="shared" ca="1" si="414"/>
        <v>0</v>
      </c>
      <c r="Q301" s="587">
        <f t="shared" ca="1" si="414"/>
        <v>0</v>
      </c>
      <c r="R301" s="587">
        <f t="shared" ca="1" si="414"/>
        <v>0</v>
      </c>
      <c r="S301" s="587">
        <f t="shared" ref="S301:AP301" ca="1" si="415">SUM(S302:S305)</f>
        <v>0</v>
      </c>
      <c r="T301" s="587">
        <f t="shared" ca="1" si="415"/>
        <v>0</v>
      </c>
      <c r="U301" s="587">
        <f t="shared" ca="1" si="415"/>
        <v>0</v>
      </c>
      <c r="V301" s="587">
        <f t="shared" ca="1" si="415"/>
        <v>0</v>
      </c>
      <c r="W301" s="587">
        <f t="shared" ca="1" si="415"/>
        <v>0</v>
      </c>
      <c r="X301" s="587">
        <f t="shared" ca="1" si="415"/>
        <v>0</v>
      </c>
      <c r="Y301" s="587">
        <f t="shared" ca="1" si="415"/>
        <v>0</v>
      </c>
      <c r="Z301" s="587">
        <f t="shared" ca="1" si="415"/>
        <v>0</v>
      </c>
      <c r="AA301" s="587">
        <f t="shared" ca="1" si="415"/>
        <v>0</v>
      </c>
      <c r="AB301" s="587">
        <f t="shared" ca="1" si="415"/>
        <v>0</v>
      </c>
      <c r="AC301" s="587">
        <f t="shared" ca="1" si="415"/>
        <v>0</v>
      </c>
      <c r="AD301" s="587">
        <f t="shared" ca="1" si="415"/>
        <v>0</v>
      </c>
      <c r="AE301" s="587">
        <f t="shared" ca="1" si="415"/>
        <v>0</v>
      </c>
      <c r="AF301" s="587">
        <f t="shared" ca="1" si="415"/>
        <v>0</v>
      </c>
      <c r="AG301" s="587">
        <f t="shared" ca="1" si="415"/>
        <v>0</v>
      </c>
      <c r="AH301" s="587">
        <f t="shared" ca="1" si="415"/>
        <v>0</v>
      </c>
      <c r="AI301" s="587">
        <f t="shared" ca="1" si="415"/>
        <v>0</v>
      </c>
      <c r="AJ301" s="587">
        <f t="shared" ca="1" si="415"/>
        <v>0</v>
      </c>
      <c r="AK301" s="587">
        <f t="shared" ca="1" si="415"/>
        <v>0</v>
      </c>
      <c r="AL301" s="587">
        <f t="shared" ca="1" si="415"/>
        <v>0</v>
      </c>
      <c r="AM301" s="587">
        <f t="shared" ca="1" si="415"/>
        <v>0</v>
      </c>
      <c r="AN301" s="587">
        <f t="shared" ca="1" si="415"/>
        <v>0</v>
      </c>
      <c r="AO301" s="587">
        <f t="shared" ca="1" si="415"/>
        <v>0</v>
      </c>
      <c r="AP301" s="587">
        <f t="shared" ca="1" si="415"/>
        <v>0</v>
      </c>
    </row>
    <row r="302" spans="1:42" s="594" customFormat="1" ht="11.25" outlineLevel="1" x14ac:dyDescent="0.2">
      <c r="A302" s="590"/>
      <c r="B302" s="591" t="str">
        <f>IF(D302&lt;&gt;"",
IF(ISERROR(MATCH(D302,'Ist Aktuell Monat 01'!A:A,0))=FALSE,INDEX('Ist Aktuell Monat 01'!B:B,MATCH(D302,'Ist Aktuell Monat 01'!A:A,0)),
IF(ISERROR(MATCH(D302,'Ist Aktuell Monat 02'!A:A,0))=FALSE,INDEX('Ist Aktuell Monat 02'!B:B,MATCH(D302,'Ist Aktuell Monat 02'!A:A,0)),
IF(ISERROR(MATCH(D302,'Ist Aktuell Monat 03'!A:A,0))=FALSE,INDEX('Ist Aktuell Monat 03'!B:B,MATCH(D302,'Ist Aktuell Monat 03'!A:A,0)),
IF(ISERROR(MATCH(D302,'Ist Aktuell Monat 04'!A:A,0))=FALSE,INDEX('Ist Aktuell Monat 04'!B:B,MATCH(D302,'Ist Aktuell Monat 04'!A:A,0)),
IF(ISERROR(MATCH(D302,'Ist Aktuell Monat 05'!A:A,0))=FALSE,INDEX('Ist Aktuell Monat 05'!B:B,MATCH(D302,'Ist Aktuell Monat 05'!A:A,0)),
IF(ISERROR(MATCH(D302,'Ist Aktuell Monat 06'!A:A,0))=FALSE,INDEX('Ist Aktuell Monat 06'!B:B,MATCH(D302,'Ist Aktuell Monat 06'!A:A,0)),
IF(ISERROR(MATCH(D302,'Ist Aktuell Monat 07'!A:A,0))=FALSE,INDEX('Ist Aktuell Monat 07'!B:B,MATCH(D302,'Ist Aktuell Monat 07'!A:A,0)),
IF(ISERROR(MATCH(D302,'Ist Aktuell Monat 08'!A:A,0))=FALSE,INDEX('Ist Aktuell Monat 08'!B:B,MATCH(D302,'Ist Aktuell Monat 08'!A:A,0)),
IF(ISERROR(MATCH(D302,'Ist Aktuell Monat 09'!A:A,0))=FALSE,INDEX('Ist Aktuell Monat 09'!B:B,MATCH(D302,'Ist Aktuell Monat 09'!A:A,0)),
IF(ISERROR(MATCH(D302,'Ist Aktuell Monat 10'!A:A,0))=FALSE,INDEX('Ist Aktuell Monat 10'!B:B,MATCH(D302,'Ist Aktuell Monat 10'!A:A,0)),
IF(ISERROR(MATCH(D302,'Ist Aktuell Monat 11'!A:A,0))=FALSE,INDEX('Ist Aktuell Monat 11'!B:B,MATCH(D302,'Ist Aktuell Monat 11'!A:A,0)),
IF(ISERROR(MATCH(D302,'Ist Aktuell Monat 12'!A:A,0))=FALSE,INDEX('Ist Aktuell Monat 12'!B:B,MATCH(D302,'Ist Aktuell Monat 12'!A:A,0)),
"{Konto unbekannt}"
)))))))))))),"")</f>
        <v/>
      </c>
      <c r="C302" s="591"/>
      <c r="D302" s="590"/>
      <c r="E302" s="592">
        <f t="shared" si="381"/>
        <v>-1</v>
      </c>
      <c r="F302" s="590" t="s">
        <v>996</v>
      </c>
      <c r="G302" s="593">
        <f ca="1">$E302*(-SUMIF(INDIRECT(G$3),'Struktur Aktuell'!$D302,INDIRECT(G$4))+SUMIF(INDIRECT(G$3),'Struktur Aktuell'!$D302,INDIRECT(G$5)))</f>
        <v>0</v>
      </c>
      <c r="H302" s="593">
        <f ca="1">$E302*(-SUMIF(INDIRECT(H$3),'Struktur Aktuell'!$D302,INDIRECT(H$4))+SUMIF(INDIRECT(H$3),'Struktur Aktuell'!$D302,INDIRECT(H$5)))</f>
        <v>0</v>
      </c>
      <c r="I302" s="593">
        <f ca="1">$E302*(-SUMIF(INDIRECT(I$3),'Struktur Aktuell'!$D302,INDIRECT(I$4))+SUMIF(INDIRECT(I$3),'Struktur Aktuell'!$D302,INDIRECT(I$5)))</f>
        <v>0</v>
      </c>
      <c r="J302" s="593">
        <f ca="1">$E302*(-SUMIF(INDIRECT(J$3),'Struktur Aktuell'!$D302,INDIRECT(J$4))+SUMIF(INDIRECT(J$3),'Struktur Aktuell'!$D302,INDIRECT(J$5)))</f>
        <v>0</v>
      </c>
      <c r="K302" s="593">
        <f ca="1">$E302*(-SUMIF(INDIRECT(K$3),'Struktur Aktuell'!$D302,INDIRECT(K$4))+SUMIF(INDIRECT(K$3),'Struktur Aktuell'!$D302,INDIRECT(K$5)))</f>
        <v>0</v>
      </c>
      <c r="L302" s="593">
        <f ca="1">$E302*(-SUMIF(INDIRECT(L$3),'Struktur Aktuell'!$D302,INDIRECT(L$4))+SUMIF(INDIRECT(L$3),'Struktur Aktuell'!$D302,INDIRECT(L$5)))</f>
        <v>0</v>
      </c>
      <c r="M302" s="593">
        <f ca="1">$E302*(-SUMIF(INDIRECT(M$3),'Struktur Aktuell'!$D302,INDIRECT(M$4))+SUMIF(INDIRECT(M$3),'Struktur Aktuell'!$D302,INDIRECT(M$5)))</f>
        <v>0</v>
      </c>
      <c r="N302" s="593">
        <f ca="1">$E302*(-SUMIF(INDIRECT(N$3),'Struktur Aktuell'!$D302,INDIRECT(N$4))+SUMIF(INDIRECT(N$3),'Struktur Aktuell'!$D302,INDIRECT(N$5)))</f>
        <v>0</v>
      </c>
      <c r="O302" s="593">
        <f ca="1">$E302*(-SUMIF(INDIRECT(O$3),'Struktur Aktuell'!$D302,INDIRECT(O$4))+SUMIF(INDIRECT(O$3),'Struktur Aktuell'!$D302,INDIRECT(O$5)))</f>
        <v>0</v>
      </c>
      <c r="P302" s="593">
        <f ca="1">$E302*(-SUMIF(INDIRECT(P$3),'Struktur Aktuell'!$D302,INDIRECT(P$4))+SUMIF(INDIRECT(P$3),'Struktur Aktuell'!$D302,INDIRECT(P$5)))</f>
        <v>0</v>
      </c>
      <c r="Q302" s="593">
        <f ca="1">$E302*(-SUMIF(INDIRECT(Q$3),'Struktur Aktuell'!$D302,INDIRECT(Q$4))+SUMIF(INDIRECT(Q$3),'Struktur Aktuell'!$D302,INDIRECT(Q$5)))</f>
        <v>0</v>
      </c>
      <c r="R302" s="593">
        <f ca="1">$E302*(-SUMIF(INDIRECT(R$3),'Struktur Aktuell'!$D302,INDIRECT(R$4))+SUMIF(INDIRECT(R$3),'Struktur Aktuell'!$D302,INDIRECT(R$5)))</f>
        <v>0</v>
      </c>
      <c r="S302" s="593">
        <f ca="1">$E302*(-SUMIF(INDIRECT(S$3),'Struktur Aktuell'!$D302,INDIRECT(S$4))+SUMIF(INDIRECT(S$3),'Struktur Aktuell'!$D302,INDIRECT(S$5)))</f>
        <v>0</v>
      </c>
      <c r="T302" s="593">
        <f ca="1">$E302*(-SUMIF(INDIRECT(T$3),'Struktur Aktuell'!$D302,INDIRECT(T$4))+SUMIF(INDIRECT(T$3),'Struktur Aktuell'!$D302,INDIRECT(T$5)))</f>
        <v>0</v>
      </c>
      <c r="U302" s="593">
        <f ca="1">$E302*(-SUMIF(INDIRECT(U$3),'Struktur Aktuell'!$D302,INDIRECT(U$4))+SUMIF(INDIRECT(U$3),'Struktur Aktuell'!$D302,INDIRECT(U$5)))</f>
        <v>0</v>
      </c>
      <c r="V302" s="593">
        <f ca="1">$E302*(-SUMIF(INDIRECT(V$3),'Struktur Aktuell'!$D302,INDIRECT(V$4))+SUMIF(INDIRECT(V$3),'Struktur Aktuell'!$D302,INDIRECT(V$5)))</f>
        <v>0</v>
      </c>
      <c r="W302" s="593">
        <f ca="1">$E302*(-SUMIF(INDIRECT(W$3),'Struktur Aktuell'!$D302,INDIRECT(W$4))+SUMIF(INDIRECT(W$3),'Struktur Aktuell'!$D302,INDIRECT(W$5)))</f>
        <v>0</v>
      </c>
      <c r="X302" s="593">
        <f ca="1">$E302*(-SUMIF(INDIRECT(X$3),'Struktur Aktuell'!$D302,INDIRECT(X$4))+SUMIF(INDIRECT(X$3),'Struktur Aktuell'!$D302,INDIRECT(X$5)))</f>
        <v>0</v>
      </c>
      <c r="Y302" s="593">
        <f ca="1">$E302*(-SUMIF(INDIRECT(Y$3),'Struktur Aktuell'!$D302,INDIRECT(Y$4))+SUMIF(INDIRECT(Y$3),'Struktur Aktuell'!$D302,INDIRECT(Y$5)))</f>
        <v>0</v>
      </c>
      <c r="Z302" s="593">
        <f ca="1">$E302*(-SUMIF(INDIRECT(Z$3),'Struktur Aktuell'!$D302,INDIRECT(Z$4))+SUMIF(INDIRECT(Z$3),'Struktur Aktuell'!$D302,INDIRECT(Z$5)))</f>
        <v>0</v>
      </c>
      <c r="AA302" s="593">
        <f ca="1">$E302*(-SUMIF(INDIRECT(AA$3),'Struktur Aktuell'!$D302,INDIRECT(AA$4))+SUMIF(INDIRECT(AA$3),'Struktur Aktuell'!$D302,INDIRECT(AA$5)))</f>
        <v>0</v>
      </c>
      <c r="AB302" s="593">
        <f ca="1">$E302*(-SUMIF(INDIRECT(AB$3),'Struktur Aktuell'!$D302,INDIRECT(AB$4))+SUMIF(INDIRECT(AB$3),'Struktur Aktuell'!$D302,INDIRECT(AB$5)))</f>
        <v>0</v>
      </c>
      <c r="AC302" s="593">
        <f ca="1">$E302*(-SUMIF(INDIRECT(AC$3),'Struktur Aktuell'!$D302,INDIRECT(AC$4))+SUMIF(INDIRECT(AC$3),'Struktur Aktuell'!$D302,INDIRECT(AC$5)))</f>
        <v>0</v>
      </c>
      <c r="AD302" s="593">
        <f ca="1">$E302*(-SUMIF(INDIRECT(AD$3),'Struktur Aktuell'!$D302,INDIRECT(AD$4))+SUMIF(INDIRECT(AD$3),'Struktur Aktuell'!$D302,INDIRECT(AD$5)))</f>
        <v>0</v>
      </c>
      <c r="AE302" s="593">
        <f t="shared" ref="AE302:AE305" ca="1" si="416">G302</f>
        <v>0</v>
      </c>
      <c r="AF302" s="593">
        <f t="shared" ref="AF302:AF305" ca="1" si="417">H302+AE302</f>
        <v>0</v>
      </c>
      <c r="AG302" s="593">
        <f t="shared" ref="AG302:AG305" ca="1" si="418">I302+AF302</f>
        <v>0</v>
      </c>
      <c r="AH302" s="593">
        <f t="shared" ref="AH302:AH305" ca="1" si="419">J302+AG302</f>
        <v>0</v>
      </c>
      <c r="AI302" s="593">
        <f t="shared" ref="AI302:AI305" ca="1" si="420">K302+AH302</f>
        <v>0</v>
      </c>
      <c r="AJ302" s="593">
        <f t="shared" ref="AJ302:AJ305" ca="1" si="421">L302+AI302</f>
        <v>0</v>
      </c>
      <c r="AK302" s="593">
        <f t="shared" ref="AK302:AK305" ca="1" si="422">M302+AJ302</f>
        <v>0</v>
      </c>
      <c r="AL302" s="593">
        <f t="shared" ref="AL302:AL305" ca="1" si="423">N302+AK302</f>
        <v>0</v>
      </c>
      <c r="AM302" s="593">
        <f t="shared" ref="AM302:AM305" ca="1" si="424">O302+AL302</f>
        <v>0</v>
      </c>
      <c r="AN302" s="593">
        <f t="shared" ref="AN302:AN305" ca="1" si="425">P302+AM302</f>
        <v>0</v>
      </c>
      <c r="AO302" s="593">
        <f t="shared" ref="AO302:AO305" ca="1" si="426">Q302+AN302</f>
        <v>0</v>
      </c>
      <c r="AP302" s="593">
        <f t="shared" ref="AP302:AP305" ca="1" si="427">R302+AO302</f>
        <v>0</v>
      </c>
    </row>
    <row r="303" spans="1:42" s="594" customFormat="1" ht="11.25" outlineLevel="1" x14ac:dyDescent="0.2">
      <c r="A303" s="590"/>
      <c r="B303" s="591" t="str">
        <f>IF(D303&lt;&gt;"",
IF(ISERROR(MATCH(D303,'Ist Aktuell Monat 01'!A:A,0))=FALSE,INDEX('Ist Aktuell Monat 01'!B:B,MATCH(D303,'Ist Aktuell Monat 01'!A:A,0)),
IF(ISERROR(MATCH(D303,'Ist Aktuell Monat 02'!A:A,0))=FALSE,INDEX('Ist Aktuell Monat 02'!B:B,MATCH(D303,'Ist Aktuell Monat 02'!A:A,0)),
IF(ISERROR(MATCH(D303,'Ist Aktuell Monat 03'!A:A,0))=FALSE,INDEX('Ist Aktuell Monat 03'!B:B,MATCH(D303,'Ist Aktuell Monat 03'!A:A,0)),
IF(ISERROR(MATCH(D303,'Ist Aktuell Monat 04'!A:A,0))=FALSE,INDEX('Ist Aktuell Monat 04'!B:B,MATCH(D303,'Ist Aktuell Monat 04'!A:A,0)),
IF(ISERROR(MATCH(D303,'Ist Aktuell Monat 05'!A:A,0))=FALSE,INDEX('Ist Aktuell Monat 05'!B:B,MATCH(D303,'Ist Aktuell Monat 05'!A:A,0)),
IF(ISERROR(MATCH(D303,'Ist Aktuell Monat 06'!A:A,0))=FALSE,INDEX('Ist Aktuell Monat 06'!B:B,MATCH(D303,'Ist Aktuell Monat 06'!A:A,0)),
IF(ISERROR(MATCH(D303,'Ist Aktuell Monat 07'!A:A,0))=FALSE,INDEX('Ist Aktuell Monat 07'!B:B,MATCH(D303,'Ist Aktuell Monat 07'!A:A,0)),
IF(ISERROR(MATCH(D303,'Ist Aktuell Monat 08'!A:A,0))=FALSE,INDEX('Ist Aktuell Monat 08'!B:B,MATCH(D303,'Ist Aktuell Monat 08'!A:A,0)),
IF(ISERROR(MATCH(D303,'Ist Aktuell Monat 09'!A:A,0))=FALSE,INDEX('Ist Aktuell Monat 09'!B:B,MATCH(D303,'Ist Aktuell Monat 09'!A:A,0)),
IF(ISERROR(MATCH(D303,'Ist Aktuell Monat 10'!A:A,0))=FALSE,INDEX('Ist Aktuell Monat 10'!B:B,MATCH(D303,'Ist Aktuell Monat 10'!A:A,0)),
IF(ISERROR(MATCH(D303,'Ist Aktuell Monat 11'!A:A,0))=FALSE,INDEX('Ist Aktuell Monat 11'!B:B,MATCH(D303,'Ist Aktuell Monat 11'!A:A,0)),
IF(ISERROR(MATCH(D303,'Ist Aktuell Monat 12'!A:A,0))=FALSE,INDEX('Ist Aktuell Monat 12'!B:B,MATCH(D303,'Ist Aktuell Monat 12'!A:A,0)),
"{Konto unbekannt}"
)))))))))))),"")</f>
        <v/>
      </c>
      <c r="C303" s="591"/>
      <c r="D303" s="590"/>
      <c r="E303" s="592">
        <f t="shared" si="381"/>
        <v>-1</v>
      </c>
      <c r="F303" s="590" t="s">
        <v>996</v>
      </c>
      <c r="G303" s="593">
        <f ca="1">$E303*(-SUMIF(INDIRECT(G$3),'Struktur Aktuell'!$D303,INDIRECT(G$4))+SUMIF(INDIRECT(G$3),'Struktur Aktuell'!$D303,INDIRECT(G$5)))</f>
        <v>0</v>
      </c>
      <c r="H303" s="593">
        <f ca="1">$E303*(-SUMIF(INDIRECT(H$3),'Struktur Aktuell'!$D303,INDIRECT(H$4))+SUMIF(INDIRECT(H$3),'Struktur Aktuell'!$D303,INDIRECT(H$5)))</f>
        <v>0</v>
      </c>
      <c r="I303" s="593">
        <f ca="1">$E303*(-SUMIF(INDIRECT(I$3),'Struktur Aktuell'!$D303,INDIRECT(I$4))+SUMIF(INDIRECT(I$3),'Struktur Aktuell'!$D303,INDIRECT(I$5)))</f>
        <v>0</v>
      </c>
      <c r="J303" s="593">
        <f ca="1">$E303*(-SUMIF(INDIRECT(J$3),'Struktur Aktuell'!$D303,INDIRECT(J$4))+SUMIF(INDIRECT(J$3),'Struktur Aktuell'!$D303,INDIRECT(J$5)))</f>
        <v>0</v>
      </c>
      <c r="K303" s="593">
        <f ca="1">$E303*(-SUMIF(INDIRECT(K$3),'Struktur Aktuell'!$D303,INDIRECT(K$4))+SUMIF(INDIRECT(K$3),'Struktur Aktuell'!$D303,INDIRECT(K$5)))</f>
        <v>0</v>
      </c>
      <c r="L303" s="593">
        <f ca="1">$E303*(-SUMIF(INDIRECT(L$3),'Struktur Aktuell'!$D303,INDIRECT(L$4))+SUMIF(INDIRECT(L$3),'Struktur Aktuell'!$D303,INDIRECT(L$5)))</f>
        <v>0</v>
      </c>
      <c r="M303" s="593">
        <f ca="1">$E303*(-SUMIF(INDIRECT(M$3),'Struktur Aktuell'!$D303,INDIRECT(M$4))+SUMIF(INDIRECT(M$3),'Struktur Aktuell'!$D303,INDIRECT(M$5)))</f>
        <v>0</v>
      </c>
      <c r="N303" s="593">
        <f ca="1">$E303*(-SUMIF(INDIRECT(N$3),'Struktur Aktuell'!$D303,INDIRECT(N$4))+SUMIF(INDIRECT(N$3),'Struktur Aktuell'!$D303,INDIRECT(N$5)))</f>
        <v>0</v>
      </c>
      <c r="O303" s="593">
        <f ca="1">$E303*(-SUMIF(INDIRECT(O$3),'Struktur Aktuell'!$D303,INDIRECT(O$4))+SUMIF(INDIRECT(O$3),'Struktur Aktuell'!$D303,INDIRECT(O$5)))</f>
        <v>0</v>
      </c>
      <c r="P303" s="593">
        <f ca="1">$E303*(-SUMIF(INDIRECT(P$3),'Struktur Aktuell'!$D303,INDIRECT(P$4))+SUMIF(INDIRECT(P$3),'Struktur Aktuell'!$D303,INDIRECT(P$5)))</f>
        <v>0</v>
      </c>
      <c r="Q303" s="593">
        <f ca="1">$E303*(-SUMIF(INDIRECT(Q$3),'Struktur Aktuell'!$D303,INDIRECT(Q$4))+SUMIF(INDIRECT(Q$3),'Struktur Aktuell'!$D303,INDIRECT(Q$5)))</f>
        <v>0</v>
      </c>
      <c r="R303" s="593">
        <f ca="1">$E303*(-SUMIF(INDIRECT(R$3),'Struktur Aktuell'!$D303,INDIRECT(R$4))+SUMIF(INDIRECT(R$3),'Struktur Aktuell'!$D303,INDIRECT(R$5)))</f>
        <v>0</v>
      </c>
      <c r="S303" s="593">
        <f ca="1">$E303*(-SUMIF(INDIRECT(S$3),'Struktur Aktuell'!$D303,INDIRECT(S$4))+SUMIF(INDIRECT(S$3),'Struktur Aktuell'!$D303,INDIRECT(S$5)))</f>
        <v>0</v>
      </c>
      <c r="T303" s="593">
        <f ca="1">$E303*(-SUMIF(INDIRECT(T$3),'Struktur Aktuell'!$D303,INDIRECT(T$4))+SUMIF(INDIRECT(T$3),'Struktur Aktuell'!$D303,INDIRECT(T$5)))</f>
        <v>0</v>
      </c>
      <c r="U303" s="593">
        <f ca="1">$E303*(-SUMIF(INDIRECT(U$3),'Struktur Aktuell'!$D303,INDIRECT(U$4))+SUMIF(INDIRECT(U$3),'Struktur Aktuell'!$D303,INDIRECT(U$5)))</f>
        <v>0</v>
      </c>
      <c r="V303" s="593">
        <f ca="1">$E303*(-SUMIF(INDIRECT(V$3),'Struktur Aktuell'!$D303,INDIRECT(V$4))+SUMIF(INDIRECT(V$3),'Struktur Aktuell'!$D303,INDIRECT(V$5)))</f>
        <v>0</v>
      </c>
      <c r="W303" s="593">
        <f ca="1">$E303*(-SUMIF(INDIRECT(W$3),'Struktur Aktuell'!$D303,INDIRECT(W$4))+SUMIF(INDIRECT(W$3),'Struktur Aktuell'!$D303,INDIRECT(W$5)))</f>
        <v>0</v>
      </c>
      <c r="X303" s="593">
        <f ca="1">$E303*(-SUMIF(INDIRECT(X$3),'Struktur Aktuell'!$D303,INDIRECT(X$4))+SUMIF(INDIRECT(X$3),'Struktur Aktuell'!$D303,INDIRECT(X$5)))</f>
        <v>0</v>
      </c>
      <c r="Y303" s="593">
        <f ca="1">$E303*(-SUMIF(INDIRECT(Y$3),'Struktur Aktuell'!$D303,INDIRECT(Y$4))+SUMIF(INDIRECT(Y$3),'Struktur Aktuell'!$D303,INDIRECT(Y$5)))</f>
        <v>0</v>
      </c>
      <c r="Z303" s="593">
        <f ca="1">$E303*(-SUMIF(INDIRECT(Z$3),'Struktur Aktuell'!$D303,INDIRECT(Z$4))+SUMIF(INDIRECT(Z$3),'Struktur Aktuell'!$D303,INDIRECT(Z$5)))</f>
        <v>0</v>
      </c>
      <c r="AA303" s="593">
        <f ca="1">$E303*(-SUMIF(INDIRECT(AA$3),'Struktur Aktuell'!$D303,INDIRECT(AA$4))+SUMIF(INDIRECT(AA$3),'Struktur Aktuell'!$D303,INDIRECT(AA$5)))</f>
        <v>0</v>
      </c>
      <c r="AB303" s="593">
        <f ca="1">$E303*(-SUMIF(INDIRECT(AB$3),'Struktur Aktuell'!$D303,INDIRECT(AB$4))+SUMIF(INDIRECT(AB$3),'Struktur Aktuell'!$D303,INDIRECT(AB$5)))</f>
        <v>0</v>
      </c>
      <c r="AC303" s="593">
        <f ca="1">$E303*(-SUMIF(INDIRECT(AC$3),'Struktur Aktuell'!$D303,INDIRECT(AC$4))+SUMIF(INDIRECT(AC$3),'Struktur Aktuell'!$D303,INDIRECT(AC$5)))</f>
        <v>0</v>
      </c>
      <c r="AD303" s="593">
        <f ca="1">$E303*(-SUMIF(INDIRECT(AD$3),'Struktur Aktuell'!$D303,INDIRECT(AD$4))+SUMIF(INDIRECT(AD$3),'Struktur Aktuell'!$D303,INDIRECT(AD$5)))</f>
        <v>0</v>
      </c>
      <c r="AE303" s="593">
        <f t="shared" ca="1" si="416"/>
        <v>0</v>
      </c>
      <c r="AF303" s="593">
        <f t="shared" ca="1" si="417"/>
        <v>0</v>
      </c>
      <c r="AG303" s="593">
        <f t="shared" ca="1" si="418"/>
        <v>0</v>
      </c>
      <c r="AH303" s="593">
        <f t="shared" ca="1" si="419"/>
        <v>0</v>
      </c>
      <c r="AI303" s="593">
        <f t="shared" ca="1" si="420"/>
        <v>0</v>
      </c>
      <c r="AJ303" s="593">
        <f t="shared" ca="1" si="421"/>
        <v>0</v>
      </c>
      <c r="AK303" s="593">
        <f t="shared" ca="1" si="422"/>
        <v>0</v>
      </c>
      <c r="AL303" s="593">
        <f t="shared" ca="1" si="423"/>
        <v>0</v>
      </c>
      <c r="AM303" s="593">
        <f t="shared" ca="1" si="424"/>
        <v>0</v>
      </c>
      <c r="AN303" s="593">
        <f t="shared" ca="1" si="425"/>
        <v>0</v>
      </c>
      <c r="AO303" s="593">
        <f t="shared" ca="1" si="426"/>
        <v>0</v>
      </c>
      <c r="AP303" s="593">
        <f t="shared" ca="1" si="427"/>
        <v>0</v>
      </c>
    </row>
    <row r="304" spans="1:42" s="594" customFormat="1" ht="11.25" outlineLevel="1" x14ac:dyDescent="0.2">
      <c r="A304" s="590"/>
      <c r="B304" s="591" t="str">
        <f>IF(D304&lt;&gt;"",
IF(ISERROR(MATCH(D304,'Ist Aktuell Monat 01'!A:A,0))=FALSE,INDEX('Ist Aktuell Monat 01'!B:B,MATCH(D304,'Ist Aktuell Monat 01'!A:A,0)),
IF(ISERROR(MATCH(D304,'Ist Aktuell Monat 02'!A:A,0))=FALSE,INDEX('Ist Aktuell Monat 02'!B:B,MATCH(D304,'Ist Aktuell Monat 02'!A:A,0)),
IF(ISERROR(MATCH(D304,'Ist Aktuell Monat 03'!A:A,0))=FALSE,INDEX('Ist Aktuell Monat 03'!B:B,MATCH(D304,'Ist Aktuell Monat 03'!A:A,0)),
IF(ISERROR(MATCH(D304,'Ist Aktuell Monat 04'!A:A,0))=FALSE,INDEX('Ist Aktuell Monat 04'!B:B,MATCH(D304,'Ist Aktuell Monat 04'!A:A,0)),
IF(ISERROR(MATCH(D304,'Ist Aktuell Monat 05'!A:A,0))=FALSE,INDEX('Ist Aktuell Monat 05'!B:B,MATCH(D304,'Ist Aktuell Monat 05'!A:A,0)),
IF(ISERROR(MATCH(D304,'Ist Aktuell Monat 06'!A:A,0))=FALSE,INDEX('Ist Aktuell Monat 06'!B:B,MATCH(D304,'Ist Aktuell Monat 06'!A:A,0)),
IF(ISERROR(MATCH(D304,'Ist Aktuell Monat 07'!A:A,0))=FALSE,INDEX('Ist Aktuell Monat 07'!B:B,MATCH(D304,'Ist Aktuell Monat 07'!A:A,0)),
IF(ISERROR(MATCH(D304,'Ist Aktuell Monat 08'!A:A,0))=FALSE,INDEX('Ist Aktuell Monat 08'!B:B,MATCH(D304,'Ist Aktuell Monat 08'!A:A,0)),
IF(ISERROR(MATCH(D304,'Ist Aktuell Monat 09'!A:A,0))=FALSE,INDEX('Ist Aktuell Monat 09'!B:B,MATCH(D304,'Ist Aktuell Monat 09'!A:A,0)),
IF(ISERROR(MATCH(D304,'Ist Aktuell Monat 10'!A:A,0))=FALSE,INDEX('Ist Aktuell Monat 10'!B:B,MATCH(D304,'Ist Aktuell Monat 10'!A:A,0)),
IF(ISERROR(MATCH(D304,'Ist Aktuell Monat 11'!A:A,0))=FALSE,INDEX('Ist Aktuell Monat 11'!B:B,MATCH(D304,'Ist Aktuell Monat 11'!A:A,0)),
IF(ISERROR(MATCH(D304,'Ist Aktuell Monat 12'!A:A,0))=FALSE,INDEX('Ist Aktuell Monat 12'!B:B,MATCH(D304,'Ist Aktuell Monat 12'!A:A,0)),
"{Konto unbekannt}"
)))))))))))),"")</f>
        <v/>
      </c>
      <c r="C304" s="591"/>
      <c r="D304" s="590"/>
      <c r="E304" s="592">
        <f t="shared" si="381"/>
        <v>-1</v>
      </c>
      <c r="F304" s="590" t="s">
        <v>996</v>
      </c>
      <c r="G304" s="593">
        <f ca="1">$E304*(-SUMIF(INDIRECT(G$3),'Struktur Aktuell'!$D304,INDIRECT(G$4))+SUMIF(INDIRECT(G$3),'Struktur Aktuell'!$D304,INDIRECT(G$5)))</f>
        <v>0</v>
      </c>
      <c r="H304" s="593">
        <f ca="1">$E304*(-SUMIF(INDIRECT(H$3),'Struktur Aktuell'!$D304,INDIRECT(H$4))+SUMIF(INDIRECT(H$3),'Struktur Aktuell'!$D304,INDIRECT(H$5)))</f>
        <v>0</v>
      </c>
      <c r="I304" s="593">
        <f ca="1">$E304*(-SUMIF(INDIRECT(I$3),'Struktur Aktuell'!$D304,INDIRECT(I$4))+SUMIF(INDIRECT(I$3),'Struktur Aktuell'!$D304,INDIRECT(I$5)))</f>
        <v>0</v>
      </c>
      <c r="J304" s="593">
        <f ca="1">$E304*(-SUMIF(INDIRECT(J$3),'Struktur Aktuell'!$D304,INDIRECT(J$4))+SUMIF(INDIRECT(J$3),'Struktur Aktuell'!$D304,INDIRECT(J$5)))</f>
        <v>0</v>
      </c>
      <c r="K304" s="593">
        <f ca="1">$E304*(-SUMIF(INDIRECT(K$3),'Struktur Aktuell'!$D304,INDIRECT(K$4))+SUMIF(INDIRECT(K$3),'Struktur Aktuell'!$D304,INDIRECT(K$5)))</f>
        <v>0</v>
      </c>
      <c r="L304" s="593">
        <f ca="1">$E304*(-SUMIF(INDIRECT(L$3),'Struktur Aktuell'!$D304,INDIRECT(L$4))+SUMIF(INDIRECT(L$3),'Struktur Aktuell'!$D304,INDIRECT(L$5)))</f>
        <v>0</v>
      </c>
      <c r="M304" s="593">
        <f ca="1">$E304*(-SUMIF(INDIRECT(M$3),'Struktur Aktuell'!$D304,INDIRECT(M$4))+SUMIF(INDIRECT(M$3),'Struktur Aktuell'!$D304,INDIRECT(M$5)))</f>
        <v>0</v>
      </c>
      <c r="N304" s="593">
        <f ca="1">$E304*(-SUMIF(INDIRECT(N$3),'Struktur Aktuell'!$D304,INDIRECT(N$4))+SUMIF(INDIRECT(N$3),'Struktur Aktuell'!$D304,INDIRECT(N$5)))</f>
        <v>0</v>
      </c>
      <c r="O304" s="593">
        <f ca="1">$E304*(-SUMIF(INDIRECT(O$3),'Struktur Aktuell'!$D304,INDIRECT(O$4))+SUMIF(INDIRECT(O$3),'Struktur Aktuell'!$D304,INDIRECT(O$5)))</f>
        <v>0</v>
      </c>
      <c r="P304" s="593">
        <f ca="1">$E304*(-SUMIF(INDIRECT(P$3),'Struktur Aktuell'!$D304,INDIRECT(P$4))+SUMIF(INDIRECT(P$3),'Struktur Aktuell'!$D304,INDIRECT(P$5)))</f>
        <v>0</v>
      </c>
      <c r="Q304" s="593">
        <f ca="1">$E304*(-SUMIF(INDIRECT(Q$3),'Struktur Aktuell'!$D304,INDIRECT(Q$4))+SUMIF(INDIRECT(Q$3),'Struktur Aktuell'!$D304,INDIRECT(Q$5)))</f>
        <v>0</v>
      </c>
      <c r="R304" s="593">
        <f ca="1">$E304*(-SUMIF(INDIRECT(R$3),'Struktur Aktuell'!$D304,INDIRECT(R$4))+SUMIF(INDIRECT(R$3),'Struktur Aktuell'!$D304,INDIRECT(R$5)))</f>
        <v>0</v>
      </c>
      <c r="S304" s="593">
        <f ca="1">$E304*(-SUMIF(INDIRECT(S$3),'Struktur Aktuell'!$D304,INDIRECT(S$4))+SUMIF(INDIRECT(S$3),'Struktur Aktuell'!$D304,INDIRECT(S$5)))</f>
        <v>0</v>
      </c>
      <c r="T304" s="593">
        <f ca="1">$E304*(-SUMIF(INDIRECT(T$3),'Struktur Aktuell'!$D304,INDIRECT(T$4))+SUMIF(INDIRECT(T$3),'Struktur Aktuell'!$D304,INDIRECT(T$5)))</f>
        <v>0</v>
      </c>
      <c r="U304" s="593">
        <f ca="1">$E304*(-SUMIF(INDIRECT(U$3),'Struktur Aktuell'!$D304,INDIRECT(U$4))+SUMIF(INDIRECT(U$3),'Struktur Aktuell'!$D304,INDIRECT(U$5)))</f>
        <v>0</v>
      </c>
      <c r="V304" s="593">
        <f ca="1">$E304*(-SUMIF(INDIRECT(V$3),'Struktur Aktuell'!$D304,INDIRECT(V$4))+SUMIF(INDIRECT(V$3),'Struktur Aktuell'!$D304,INDIRECT(V$5)))</f>
        <v>0</v>
      </c>
      <c r="W304" s="593">
        <f ca="1">$E304*(-SUMIF(INDIRECT(W$3),'Struktur Aktuell'!$D304,INDIRECT(W$4))+SUMIF(INDIRECT(W$3),'Struktur Aktuell'!$D304,INDIRECT(W$5)))</f>
        <v>0</v>
      </c>
      <c r="X304" s="593">
        <f ca="1">$E304*(-SUMIF(INDIRECT(X$3),'Struktur Aktuell'!$D304,INDIRECT(X$4))+SUMIF(INDIRECT(X$3),'Struktur Aktuell'!$D304,INDIRECT(X$5)))</f>
        <v>0</v>
      </c>
      <c r="Y304" s="593">
        <f ca="1">$E304*(-SUMIF(INDIRECT(Y$3),'Struktur Aktuell'!$D304,INDIRECT(Y$4))+SUMIF(INDIRECT(Y$3),'Struktur Aktuell'!$D304,INDIRECT(Y$5)))</f>
        <v>0</v>
      </c>
      <c r="Z304" s="593">
        <f ca="1">$E304*(-SUMIF(INDIRECT(Z$3),'Struktur Aktuell'!$D304,INDIRECT(Z$4))+SUMIF(INDIRECT(Z$3),'Struktur Aktuell'!$D304,INDIRECT(Z$5)))</f>
        <v>0</v>
      </c>
      <c r="AA304" s="593">
        <f ca="1">$E304*(-SUMIF(INDIRECT(AA$3),'Struktur Aktuell'!$D304,INDIRECT(AA$4))+SUMIF(INDIRECT(AA$3),'Struktur Aktuell'!$D304,INDIRECT(AA$5)))</f>
        <v>0</v>
      </c>
      <c r="AB304" s="593">
        <f ca="1">$E304*(-SUMIF(INDIRECT(AB$3),'Struktur Aktuell'!$D304,INDIRECT(AB$4))+SUMIF(INDIRECT(AB$3),'Struktur Aktuell'!$D304,INDIRECT(AB$5)))</f>
        <v>0</v>
      </c>
      <c r="AC304" s="593">
        <f ca="1">$E304*(-SUMIF(INDIRECT(AC$3),'Struktur Aktuell'!$D304,INDIRECT(AC$4))+SUMIF(INDIRECT(AC$3),'Struktur Aktuell'!$D304,INDIRECT(AC$5)))</f>
        <v>0</v>
      </c>
      <c r="AD304" s="593">
        <f ca="1">$E304*(-SUMIF(INDIRECT(AD$3),'Struktur Aktuell'!$D304,INDIRECT(AD$4))+SUMIF(INDIRECT(AD$3),'Struktur Aktuell'!$D304,INDIRECT(AD$5)))</f>
        <v>0</v>
      </c>
      <c r="AE304" s="593">
        <f t="shared" ca="1" si="416"/>
        <v>0</v>
      </c>
      <c r="AF304" s="593">
        <f t="shared" ca="1" si="417"/>
        <v>0</v>
      </c>
      <c r="AG304" s="593">
        <f t="shared" ca="1" si="418"/>
        <v>0</v>
      </c>
      <c r="AH304" s="593">
        <f t="shared" ca="1" si="419"/>
        <v>0</v>
      </c>
      <c r="AI304" s="593">
        <f t="shared" ca="1" si="420"/>
        <v>0</v>
      </c>
      <c r="AJ304" s="593">
        <f t="shared" ca="1" si="421"/>
        <v>0</v>
      </c>
      <c r="AK304" s="593">
        <f t="shared" ca="1" si="422"/>
        <v>0</v>
      </c>
      <c r="AL304" s="593">
        <f t="shared" ca="1" si="423"/>
        <v>0</v>
      </c>
      <c r="AM304" s="593">
        <f t="shared" ca="1" si="424"/>
        <v>0</v>
      </c>
      <c r="AN304" s="593">
        <f t="shared" ca="1" si="425"/>
        <v>0</v>
      </c>
      <c r="AO304" s="593">
        <f t="shared" ca="1" si="426"/>
        <v>0</v>
      </c>
      <c r="AP304" s="593">
        <f t="shared" ca="1" si="427"/>
        <v>0</v>
      </c>
    </row>
    <row r="305" spans="1:42" s="594" customFormat="1" ht="11.25" outlineLevel="1" x14ac:dyDescent="0.2">
      <c r="A305" s="590"/>
      <c r="B305" s="591" t="str">
        <f>IF(D305&lt;&gt;"",
IF(ISERROR(MATCH(D305,'Ist Aktuell Monat 01'!A:A,0))=FALSE,INDEX('Ist Aktuell Monat 01'!B:B,MATCH(D305,'Ist Aktuell Monat 01'!A:A,0)),
IF(ISERROR(MATCH(D305,'Ist Aktuell Monat 02'!A:A,0))=FALSE,INDEX('Ist Aktuell Monat 02'!B:B,MATCH(D305,'Ist Aktuell Monat 02'!A:A,0)),
IF(ISERROR(MATCH(D305,'Ist Aktuell Monat 03'!A:A,0))=FALSE,INDEX('Ist Aktuell Monat 03'!B:B,MATCH(D305,'Ist Aktuell Monat 03'!A:A,0)),
IF(ISERROR(MATCH(D305,'Ist Aktuell Monat 04'!A:A,0))=FALSE,INDEX('Ist Aktuell Monat 04'!B:B,MATCH(D305,'Ist Aktuell Monat 04'!A:A,0)),
IF(ISERROR(MATCH(D305,'Ist Aktuell Monat 05'!A:A,0))=FALSE,INDEX('Ist Aktuell Monat 05'!B:B,MATCH(D305,'Ist Aktuell Monat 05'!A:A,0)),
IF(ISERROR(MATCH(D305,'Ist Aktuell Monat 06'!A:A,0))=FALSE,INDEX('Ist Aktuell Monat 06'!B:B,MATCH(D305,'Ist Aktuell Monat 06'!A:A,0)),
IF(ISERROR(MATCH(D305,'Ist Aktuell Monat 07'!A:A,0))=FALSE,INDEX('Ist Aktuell Monat 07'!B:B,MATCH(D305,'Ist Aktuell Monat 07'!A:A,0)),
IF(ISERROR(MATCH(D305,'Ist Aktuell Monat 08'!A:A,0))=FALSE,INDEX('Ist Aktuell Monat 08'!B:B,MATCH(D305,'Ist Aktuell Monat 08'!A:A,0)),
IF(ISERROR(MATCH(D305,'Ist Aktuell Monat 09'!A:A,0))=FALSE,INDEX('Ist Aktuell Monat 09'!B:B,MATCH(D305,'Ist Aktuell Monat 09'!A:A,0)),
IF(ISERROR(MATCH(D305,'Ist Aktuell Monat 10'!A:A,0))=FALSE,INDEX('Ist Aktuell Monat 10'!B:B,MATCH(D305,'Ist Aktuell Monat 10'!A:A,0)),
IF(ISERROR(MATCH(D305,'Ist Aktuell Monat 11'!A:A,0))=FALSE,INDEX('Ist Aktuell Monat 11'!B:B,MATCH(D305,'Ist Aktuell Monat 11'!A:A,0)),
IF(ISERROR(MATCH(D305,'Ist Aktuell Monat 12'!A:A,0))=FALSE,INDEX('Ist Aktuell Monat 12'!B:B,MATCH(D305,'Ist Aktuell Monat 12'!A:A,0)),
"{Konto unbekannt}"
)))))))))))),"")</f>
        <v/>
      </c>
      <c r="C305" s="591"/>
      <c r="D305" s="590"/>
      <c r="E305" s="592">
        <f t="shared" si="381"/>
        <v>-1</v>
      </c>
      <c r="F305" s="590" t="s">
        <v>996</v>
      </c>
      <c r="G305" s="593">
        <f ca="1">$E305*(-SUMIF(INDIRECT(G$3),'Struktur Aktuell'!$D305,INDIRECT(G$4))+SUMIF(INDIRECT(G$3),'Struktur Aktuell'!$D305,INDIRECT(G$5)))</f>
        <v>0</v>
      </c>
      <c r="H305" s="593">
        <f ca="1">$E305*(-SUMIF(INDIRECT(H$3),'Struktur Aktuell'!$D305,INDIRECT(H$4))+SUMIF(INDIRECT(H$3),'Struktur Aktuell'!$D305,INDIRECT(H$5)))</f>
        <v>0</v>
      </c>
      <c r="I305" s="593">
        <f ca="1">$E305*(-SUMIF(INDIRECT(I$3),'Struktur Aktuell'!$D305,INDIRECT(I$4))+SUMIF(INDIRECT(I$3),'Struktur Aktuell'!$D305,INDIRECT(I$5)))</f>
        <v>0</v>
      </c>
      <c r="J305" s="593">
        <f ca="1">$E305*(-SUMIF(INDIRECT(J$3),'Struktur Aktuell'!$D305,INDIRECT(J$4))+SUMIF(INDIRECT(J$3),'Struktur Aktuell'!$D305,INDIRECT(J$5)))</f>
        <v>0</v>
      </c>
      <c r="K305" s="593">
        <f ca="1">$E305*(-SUMIF(INDIRECT(K$3),'Struktur Aktuell'!$D305,INDIRECT(K$4))+SUMIF(INDIRECT(K$3),'Struktur Aktuell'!$D305,INDIRECT(K$5)))</f>
        <v>0</v>
      </c>
      <c r="L305" s="593">
        <f ca="1">$E305*(-SUMIF(INDIRECT(L$3),'Struktur Aktuell'!$D305,INDIRECT(L$4))+SUMIF(INDIRECT(L$3),'Struktur Aktuell'!$D305,INDIRECT(L$5)))</f>
        <v>0</v>
      </c>
      <c r="M305" s="593">
        <f ca="1">$E305*(-SUMIF(INDIRECT(M$3),'Struktur Aktuell'!$D305,INDIRECT(M$4))+SUMIF(INDIRECT(M$3),'Struktur Aktuell'!$D305,INDIRECT(M$5)))</f>
        <v>0</v>
      </c>
      <c r="N305" s="593">
        <f ca="1">$E305*(-SUMIF(INDIRECT(N$3),'Struktur Aktuell'!$D305,INDIRECT(N$4))+SUMIF(INDIRECT(N$3),'Struktur Aktuell'!$D305,INDIRECT(N$5)))</f>
        <v>0</v>
      </c>
      <c r="O305" s="593">
        <f ca="1">$E305*(-SUMIF(INDIRECT(O$3),'Struktur Aktuell'!$D305,INDIRECT(O$4))+SUMIF(INDIRECT(O$3),'Struktur Aktuell'!$D305,INDIRECT(O$5)))</f>
        <v>0</v>
      </c>
      <c r="P305" s="593">
        <f ca="1">$E305*(-SUMIF(INDIRECT(P$3),'Struktur Aktuell'!$D305,INDIRECT(P$4))+SUMIF(INDIRECT(P$3),'Struktur Aktuell'!$D305,INDIRECT(P$5)))</f>
        <v>0</v>
      </c>
      <c r="Q305" s="593">
        <f ca="1">$E305*(-SUMIF(INDIRECT(Q$3),'Struktur Aktuell'!$D305,INDIRECT(Q$4))+SUMIF(INDIRECT(Q$3),'Struktur Aktuell'!$D305,INDIRECT(Q$5)))</f>
        <v>0</v>
      </c>
      <c r="R305" s="593">
        <f ca="1">$E305*(-SUMIF(INDIRECT(R$3),'Struktur Aktuell'!$D305,INDIRECT(R$4))+SUMIF(INDIRECT(R$3),'Struktur Aktuell'!$D305,INDIRECT(R$5)))</f>
        <v>0</v>
      </c>
      <c r="S305" s="593">
        <f ca="1">$E305*(-SUMIF(INDIRECT(S$3),'Struktur Aktuell'!$D305,INDIRECT(S$4))+SUMIF(INDIRECT(S$3),'Struktur Aktuell'!$D305,INDIRECT(S$5)))</f>
        <v>0</v>
      </c>
      <c r="T305" s="593">
        <f ca="1">$E305*(-SUMIF(INDIRECT(T$3),'Struktur Aktuell'!$D305,INDIRECT(T$4))+SUMIF(INDIRECT(T$3),'Struktur Aktuell'!$D305,INDIRECT(T$5)))</f>
        <v>0</v>
      </c>
      <c r="U305" s="593">
        <f ca="1">$E305*(-SUMIF(INDIRECT(U$3),'Struktur Aktuell'!$D305,INDIRECT(U$4))+SUMIF(INDIRECT(U$3),'Struktur Aktuell'!$D305,INDIRECT(U$5)))</f>
        <v>0</v>
      </c>
      <c r="V305" s="593">
        <f ca="1">$E305*(-SUMIF(INDIRECT(V$3),'Struktur Aktuell'!$D305,INDIRECT(V$4))+SUMIF(INDIRECT(V$3),'Struktur Aktuell'!$D305,INDIRECT(V$5)))</f>
        <v>0</v>
      </c>
      <c r="W305" s="593">
        <f ca="1">$E305*(-SUMIF(INDIRECT(W$3),'Struktur Aktuell'!$D305,INDIRECT(W$4))+SUMIF(INDIRECT(W$3),'Struktur Aktuell'!$D305,INDIRECT(W$5)))</f>
        <v>0</v>
      </c>
      <c r="X305" s="593">
        <f ca="1">$E305*(-SUMIF(INDIRECT(X$3),'Struktur Aktuell'!$D305,INDIRECT(X$4))+SUMIF(INDIRECT(X$3),'Struktur Aktuell'!$D305,INDIRECT(X$5)))</f>
        <v>0</v>
      </c>
      <c r="Y305" s="593">
        <f ca="1">$E305*(-SUMIF(INDIRECT(Y$3),'Struktur Aktuell'!$D305,INDIRECT(Y$4))+SUMIF(INDIRECT(Y$3),'Struktur Aktuell'!$D305,INDIRECT(Y$5)))</f>
        <v>0</v>
      </c>
      <c r="Z305" s="593">
        <f ca="1">$E305*(-SUMIF(INDIRECT(Z$3),'Struktur Aktuell'!$D305,INDIRECT(Z$4))+SUMIF(INDIRECT(Z$3),'Struktur Aktuell'!$D305,INDIRECT(Z$5)))</f>
        <v>0</v>
      </c>
      <c r="AA305" s="593">
        <f ca="1">$E305*(-SUMIF(INDIRECT(AA$3),'Struktur Aktuell'!$D305,INDIRECT(AA$4))+SUMIF(INDIRECT(AA$3),'Struktur Aktuell'!$D305,INDIRECT(AA$5)))</f>
        <v>0</v>
      </c>
      <c r="AB305" s="593">
        <f ca="1">$E305*(-SUMIF(INDIRECT(AB$3),'Struktur Aktuell'!$D305,INDIRECT(AB$4))+SUMIF(INDIRECT(AB$3),'Struktur Aktuell'!$D305,INDIRECT(AB$5)))</f>
        <v>0</v>
      </c>
      <c r="AC305" s="593">
        <f ca="1">$E305*(-SUMIF(INDIRECT(AC$3),'Struktur Aktuell'!$D305,INDIRECT(AC$4))+SUMIF(INDIRECT(AC$3),'Struktur Aktuell'!$D305,INDIRECT(AC$5)))</f>
        <v>0</v>
      </c>
      <c r="AD305" s="593">
        <f ca="1">$E305*(-SUMIF(INDIRECT(AD$3),'Struktur Aktuell'!$D305,INDIRECT(AD$4))+SUMIF(INDIRECT(AD$3),'Struktur Aktuell'!$D305,INDIRECT(AD$5)))</f>
        <v>0</v>
      </c>
      <c r="AE305" s="593">
        <f t="shared" ca="1" si="416"/>
        <v>0</v>
      </c>
      <c r="AF305" s="593">
        <f t="shared" ca="1" si="417"/>
        <v>0</v>
      </c>
      <c r="AG305" s="593">
        <f t="shared" ca="1" si="418"/>
        <v>0</v>
      </c>
      <c r="AH305" s="593">
        <f t="shared" ca="1" si="419"/>
        <v>0</v>
      </c>
      <c r="AI305" s="593">
        <f t="shared" ca="1" si="420"/>
        <v>0</v>
      </c>
      <c r="AJ305" s="593">
        <f t="shared" ca="1" si="421"/>
        <v>0</v>
      </c>
      <c r="AK305" s="593">
        <f t="shared" ca="1" si="422"/>
        <v>0</v>
      </c>
      <c r="AL305" s="593">
        <f t="shared" ca="1" si="423"/>
        <v>0</v>
      </c>
      <c r="AM305" s="593">
        <f t="shared" ca="1" si="424"/>
        <v>0</v>
      </c>
      <c r="AN305" s="593">
        <f t="shared" ca="1" si="425"/>
        <v>0</v>
      </c>
      <c r="AO305" s="593">
        <f t="shared" ca="1" si="426"/>
        <v>0</v>
      </c>
      <c r="AP305" s="593">
        <f t="shared" ca="1" si="427"/>
        <v>0</v>
      </c>
    </row>
    <row r="306" spans="1:42" s="589" customFormat="1" x14ac:dyDescent="0.2">
      <c r="A306" s="585">
        <v>28</v>
      </c>
      <c r="B306" s="586" t="s">
        <v>374</v>
      </c>
      <c r="C306" s="587">
        <f ca="1">SUM(G306:R306)</f>
        <v>0</v>
      </c>
      <c r="D306" s="587"/>
      <c r="E306" s="588">
        <f t="shared" si="381"/>
        <v>1</v>
      </c>
      <c r="F306" s="585"/>
      <c r="G306" s="587">
        <f t="shared" ref="G306:R306" ca="1" si="428">SUM(G307:G312)</f>
        <v>0</v>
      </c>
      <c r="H306" s="587">
        <f t="shared" ca="1" si="428"/>
        <v>0</v>
      </c>
      <c r="I306" s="587">
        <f t="shared" ca="1" si="428"/>
        <v>0</v>
      </c>
      <c r="J306" s="587">
        <f t="shared" ca="1" si="428"/>
        <v>0</v>
      </c>
      <c r="K306" s="587">
        <f t="shared" ca="1" si="428"/>
        <v>0</v>
      </c>
      <c r="L306" s="587">
        <f t="shared" ca="1" si="428"/>
        <v>0</v>
      </c>
      <c r="M306" s="587">
        <f t="shared" ca="1" si="428"/>
        <v>0</v>
      </c>
      <c r="N306" s="587">
        <f t="shared" ca="1" si="428"/>
        <v>0</v>
      </c>
      <c r="O306" s="587">
        <f t="shared" ca="1" si="428"/>
        <v>0</v>
      </c>
      <c r="P306" s="587">
        <f t="shared" ca="1" si="428"/>
        <v>0</v>
      </c>
      <c r="Q306" s="587">
        <f t="shared" ca="1" si="428"/>
        <v>0</v>
      </c>
      <c r="R306" s="587">
        <f t="shared" ca="1" si="428"/>
        <v>0</v>
      </c>
      <c r="S306" s="587">
        <f t="shared" ref="S306:AP306" ca="1" si="429">SUM(S307:S312)</f>
        <v>0</v>
      </c>
      <c r="T306" s="587">
        <f t="shared" ca="1" si="429"/>
        <v>0</v>
      </c>
      <c r="U306" s="587">
        <f t="shared" ca="1" si="429"/>
        <v>0</v>
      </c>
      <c r="V306" s="587">
        <f t="shared" ca="1" si="429"/>
        <v>0</v>
      </c>
      <c r="W306" s="587">
        <f t="shared" ca="1" si="429"/>
        <v>0</v>
      </c>
      <c r="X306" s="587">
        <f t="shared" ca="1" si="429"/>
        <v>0</v>
      </c>
      <c r="Y306" s="587">
        <f t="shared" ca="1" si="429"/>
        <v>0</v>
      </c>
      <c r="Z306" s="587">
        <f t="shared" ca="1" si="429"/>
        <v>0</v>
      </c>
      <c r="AA306" s="587">
        <f t="shared" ca="1" si="429"/>
        <v>0</v>
      </c>
      <c r="AB306" s="587">
        <f t="shared" ca="1" si="429"/>
        <v>0</v>
      </c>
      <c r="AC306" s="587">
        <f t="shared" ca="1" si="429"/>
        <v>0</v>
      </c>
      <c r="AD306" s="587">
        <f t="shared" ca="1" si="429"/>
        <v>0</v>
      </c>
      <c r="AE306" s="587">
        <f t="shared" ca="1" si="429"/>
        <v>0</v>
      </c>
      <c r="AF306" s="587">
        <f t="shared" ca="1" si="429"/>
        <v>0</v>
      </c>
      <c r="AG306" s="587">
        <f t="shared" ca="1" si="429"/>
        <v>0</v>
      </c>
      <c r="AH306" s="587">
        <f t="shared" ca="1" si="429"/>
        <v>0</v>
      </c>
      <c r="AI306" s="587">
        <f t="shared" ca="1" si="429"/>
        <v>0</v>
      </c>
      <c r="AJ306" s="587">
        <f t="shared" ca="1" si="429"/>
        <v>0</v>
      </c>
      <c r="AK306" s="587">
        <f t="shared" ca="1" si="429"/>
        <v>0</v>
      </c>
      <c r="AL306" s="587">
        <f t="shared" ca="1" si="429"/>
        <v>0</v>
      </c>
      <c r="AM306" s="587">
        <f t="shared" ca="1" si="429"/>
        <v>0</v>
      </c>
      <c r="AN306" s="587">
        <f t="shared" ca="1" si="429"/>
        <v>0</v>
      </c>
      <c r="AO306" s="587">
        <f t="shared" ca="1" si="429"/>
        <v>0</v>
      </c>
      <c r="AP306" s="587">
        <f t="shared" ca="1" si="429"/>
        <v>0</v>
      </c>
    </row>
    <row r="307" spans="1:42" s="594" customFormat="1" ht="11.25" outlineLevel="1" x14ac:dyDescent="0.2">
      <c r="A307" s="590"/>
      <c r="B307" s="591" t="str">
        <f>IF(D307&lt;&gt;"",
IF(ISERROR(MATCH(D307,'Ist Aktuell Monat 01'!A:A,0))=FALSE,INDEX('Ist Aktuell Monat 01'!B:B,MATCH(D307,'Ist Aktuell Monat 01'!A:A,0)),
IF(ISERROR(MATCH(D307,'Ist Aktuell Monat 02'!A:A,0))=FALSE,INDEX('Ist Aktuell Monat 02'!B:B,MATCH(D307,'Ist Aktuell Monat 02'!A:A,0)),
IF(ISERROR(MATCH(D307,'Ist Aktuell Monat 03'!A:A,0))=FALSE,INDEX('Ist Aktuell Monat 03'!B:B,MATCH(D307,'Ist Aktuell Monat 03'!A:A,0)),
IF(ISERROR(MATCH(D307,'Ist Aktuell Monat 04'!A:A,0))=FALSE,INDEX('Ist Aktuell Monat 04'!B:B,MATCH(D307,'Ist Aktuell Monat 04'!A:A,0)),
IF(ISERROR(MATCH(D307,'Ist Aktuell Monat 05'!A:A,0))=FALSE,INDEX('Ist Aktuell Monat 05'!B:B,MATCH(D307,'Ist Aktuell Monat 05'!A:A,0)),
IF(ISERROR(MATCH(D307,'Ist Aktuell Monat 06'!A:A,0))=FALSE,INDEX('Ist Aktuell Monat 06'!B:B,MATCH(D307,'Ist Aktuell Monat 06'!A:A,0)),
IF(ISERROR(MATCH(D307,'Ist Aktuell Monat 07'!A:A,0))=FALSE,INDEX('Ist Aktuell Monat 07'!B:B,MATCH(D307,'Ist Aktuell Monat 07'!A:A,0)),
IF(ISERROR(MATCH(D307,'Ist Aktuell Monat 08'!A:A,0))=FALSE,INDEX('Ist Aktuell Monat 08'!B:B,MATCH(D307,'Ist Aktuell Monat 08'!A:A,0)),
IF(ISERROR(MATCH(D307,'Ist Aktuell Monat 09'!A:A,0))=FALSE,INDEX('Ist Aktuell Monat 09'!B:B,MATCH(D307,'Ist Aktuell Monat 09'!A:A,0)),
IF(ISERROR(MATCH(D307,'Ist Aktuell Monat 10'!A:A,0))=FALSE,INDEX('Ist Aktuell Monat 10'!B:B,MATCH(D307,'Ist Aktuell Monat 10'!A:A,0)),
IF(ISERROR(MATCH(D307,'Ist Aktuell Monat 11'!A:A,0))=FALSE,INDEX('Ist Aktuell Monat 11'!B:B,MATCH(D307,'Ist Aktuell Monat 11'!A:A,0)),
IF(ISERROR(MATCH(D307,'Ist Aktuell Monat 12'!A:A,0))=FALSE,INDEX('Ist Aktuell Monat 12'!B:B,MATCH(D307,'Ist Aktuell Monat 12'!A:A,0)),
"{Konto unbekannt}"
)))))))))))),"")</f>
        <v>{Konto unbekannt}</v>
      </c>
      <c r="C307" s="591"/>
      <c r="D307" s="590">
        <v>2100</v>
      </c>
      <c r="E307" s="592">
        <f t="shared" si="381"/>
        <v>1</v>
      </c>
      <c r="F307" s="590"/>
      <c r="G307" s="593">
        <f ca="1">$E307*(-SUMIF(INDIRECT(G$3),'Struktur Aktuell'!$D307,INDIRECT(G$4))+SUMIF(INDIRECT(G$3),'Struktur Aktuell'!$D307,INDIRECT(G$5)))</f>
        <v>0</v>
      </c>
      <c r="H307" s="593">
        <f ca="1">$E307*(-SUMIF(INDIRECT(H$3),'Struktur Aktuell'!$D307,INDIRECT(H$4))+SUMIF(INDIRECT(H$3),'Struktur Aktuell'!$D307,INDIRECT(H$5)))</f>
        <v>0</v>
      </c>
      <c r="I307" s="593">
        <f ca="1">$E307*(-SUMIF(INDIRECT(I$3),'Struktur Aktuell'!$D307,INDIRECT(I$4))+SUMIF(INDIRECT(I$3),'Struktur Aktuell'!$D307,INDIRECT(I$5)))</f>
        <v>0</v>
      </c>
      <c r="J307" s="593">
        <f ca="1">$E307*(-SUMIF(INDIRECT(J$3),'Struktur Aktuell'!$D307,INDIRECT(J$4))+SUMIF(INDIRECT(J$3),'Struktur Aktuell'!$D307,INDIRECT(J$5)))</f>
        <v>0</v>
      </c>
      <c r="K307" s="593">
        <f ca="1">$E307*(-SUMIF(INDIRECT(K$3),'Struktur Aktuell'!$D307,INDIRECT(K$4))+SUMIF(INDIRECT(K$3),'Struktur Aktuell'!$D307,INDIRECT(K$5)))</f>
        <v>0</v>
      </c>
      <c r="L307" s="593">
        <f ca="1">$E307*(-SUMIF(INDIRECT(L$3),'Struktur Aktuell'!$D307,INDIRECT(L$4))+SUMIF(INDIRECT(L$3),'Struktur Aktuell'!$D307,INDIRECT(L$5)))</f>
        <v>0</v>
      </c>
      <c r="M307" s="593">
        <f ca="1">$E307*(-SUMIF(INDIRECT(M$3),'Struktur Aktuell'!$D307,INDIRECT(M$4))+SUMIF(INDIRECT(M$3),'Struktur Aktuell'!$D307,INDIRECT(M$5)))</f>
        <v>0</v>
      </c>
      <c r="N307" s="593">
        <f ca="1">$E307*(-SUMIF(INDIRECT(N$3),'Struktur Aktuell'!$D307,INDIRECT(N$4))+SUMIF(INDIRECT(N$3),'Struktur Aktuell'!$D307,INDIRECT(N$5)))</f>
        <v>0</v>
      </c>
      <c r="O307" s="593">
        <f ca="1">$E307*(-SUMIF(INDIRECT(O$3),'Struktur Aktuell'!$D307,INDIRECT(O$4))+SUMIF(INDIRECT(O$3),'Struktur Aktuell'!$D307,INDIRECT(O$5)))</f>
        <v>0</v>
      </c>
      <c r="P307" s="593">
        <f ca="1">$E307*(-SUMIF(INDIRECT(P$3),'Struktur Aktuell'!$D307,INDIRECT(P$4))+SUMIF(INDIRECT(P$3),'Struktur Aktuell'!$D307,INDIRECT(P$5)))</f>
        <v>0</v>
      </c>
      <c r="Q307" s="593">
        <f ca="1">$E307*(-SUMIF(INDIRECT(Q$3),'Struktur Aktuell'!$D307,INDIRECT(Q$4))+SUMIF(INDIRECT(Q$3),'Struktur Aktuell'!$D307,INDIRECT(Q$5)))</f>
        <v>0</v>
      </c>
      <c r="R307" s="593">
        <f ca="1">$E307*(-SUMIF(INDIRECT(R$3),'Struktur Aktuell'!$D307,INDIRECT(R$4))+SUMIF(INDIRECT(R$3),'Struktur Aktuell'!$D307,INDIRECT(R$5)))</f>
        <v>0</v>
      </c>
      <c r="S307" s="593">
        <f ca="1">$E307*(-SUMIF(INDIRECT(S$3),'Struktur Aktuell'!$D307,INDIRECT(S$4))+SUMIF(INDIRECT(S$3),'Struktur Aktuell'!$D307,INDIRECT(S$5)))</f>
        <v>0</v>
      </c>
      <c r="T307" s="593">
        <f ca="1">$E307*(-SUMIF(INDIRECT(T$3),'Struktur Aktuell'!$D307,INDIRECT(T$4))+SUMIF(INDIRECT(T$3),'Struktur Aktuell'!$D307,INDIRECT(T$5)))</f>
        <v>0</v>
      </c>
      <c r="U307" s="593">
        <f ca="1">$E307*(-SUMIF(INDIRECT(U$3),'Struktur Aktuell'!$D307,INDIRECT(U$4))+SUMIF(INDIRECT(U$3),'Struktur Aktuell'!$D307,INDIRECT(U$5)))</f>
        <v>0</v>
      </c>
      <c r="V307" s="593">
        <f ca="1">$E307*(-SUMIF(INDIRECT(V$3),'Struktur Aktuell'!$D307,INDIRECT(V$4))+SUMIF(INDIRECT(V$3),'Struktur Aktuell'!$D307,INDIRECT(V$5)))</f>
        <v>0</v>
      </c>
      <c r="W307" s="593">
        <f ca="1">$E307*(-SUMIF(INDIRECT(W$3),'Struktur Aktuell'!$D307,INDIRECT(W$4))+SUMIF(INDIRECT(W$3),'Struktur Aktuell'!$D307,INDIRECT(W$5)))</f>
        <v>0</v>
      </c>
      <c r="X307" s="593">
        <f ca="1">$E307*(-SUMIF(INDIRECT(X$3),'Struktur Aktuell'!$D307,INDIRECT(X$4))+SUMIF(INDIRECT(X$3),'Struktur Aktuell'!$D307,INDIRECT(X$5)))</f>
        <v>0</v>
      </c>
      <c r="Y307" s="593">
        <f ca="1">$E307*(-SUMIF(INDIRECT(Y$3),'Struktur Aktuell'!$D307,INDIRECT(Y$4))+SUMIF(INDIRECT(Y$3),'Struktur Aktuell'!$D307,INDIRECT(Y$5)))</f>
        <v>0</v>
      </c>
      <c r="Z307" s="593">
        <f ca="1">$E307*(-SUMIF(INDIRECT(Z$3),'Struktur Aktuell'!$D307,INDIRECT(Z$4))+SUMIF(INDIRECT(Z$3),'Struktur Aktuell'!$D307,INDIRECT(Z$5)))</f>
        <v>0</v>
      </c>
      <c r="AA307" s="593">
        <f ca="1">$E307*(-SUMIF(INDIRECT(AA$3),'Struktur Aktuell'!$D307,INDIRECT(AA$4))+SUMIF(INDIRECT(AA$3),'Struktur Aktuell'!$D307,INDIRECT(AA$5)))</f>
        <v>0</v>
      </c>
      <c r="AB307" s="593">
        <f ca="1">$E307*(-SUMIF(INDIRECT(AB$3),'Struktur Aktuell'!$D307,INDIRECT(AB$4))+SUMIF(INDIRECT(AB$3),'Struktur Aktuell'!$D307,INDIRECT(AB$5)))</f>
        <v>0</v>
      </c>
      <c r="AC307" s="593">
        <f ca="1">$E307*(-SUMIF(INDIRECT(AC$3),'Struktur Aktuell'!$D307,INDIRECT(AC$4))+SUMIF(INDIRECT(AC$3),'Struktur Aktuell'!$D307,INDIRECT(AC$5)))</f>
        <v>0</v>
      </c>
      <c r="AD307" s="593">
        <f ca="1">$E307*(-SUMIF(INDIRECT(AD$3),'Struktur Aktuell'!$D307,INDIRECT(AD$4))+SUMIF(INDIRECT(AD$3),'Struktur Aktuell'!$D307,INDIRECT(AD$5)))</f>
        <v>0</v>
      </c>
      <c r="AE307" s="593">
        <f t="shared" ref="AE307:AE312" ca="1" si="430">G307</f>
        <v>0</v>
      </c>
      <c r="AF307" s="593">
        <f t="shared" ref="AF307:AF312" ca="1" si="431">H307+AE307</f>
        <v>0</v>
      </c>
      <c r="AG307" s="593">
        <f t="shared" ref="AG307:AG312" ca="1" si="432">I307+AF307</f>
        <v>0</v>
      </c>
      <c r="AH307" s="593">
        <f t="shared" ref="AH307:AH312" ca="1" si="433">J307+AG307</f>
        <v>0</v>
      </c>
      <c r="AI307" s="593">
        <f t="shared" ref="AI307:AI312" ca="1" si="434">K307+AH307</f>
        <v>0</v>
      </c>
      <c r="AJ307" s="593">
        <f t="shared" ref="AJ307:AJ312" ca="1" si="435">L307+AI307</f>
        <v>0</v>
      </c>
      <c r="AK307" s="593">
        <f t="shared" ref="AK307:AK312" ca="1" si="436">M307+AJ307</f>
        <v>0</v>
      </c>
      <c r="AL307" s="593">
        <f t="shared" ref="AL307:AL312" ca="1" si="437">N307+AK307</f>
        <v>0</v>
      </c>
      <c r="AM307" s="593">
        <f t="shared" ref="AM307:AM312" ca="1" si="438">O307+AL307</f>
        <v>0</v>
      </c>
      <c r="AN307" s="593">
        <f t="shared" ref="AN307:AN312" ca="1" si="439">P307+AM307</f>
        <v>0</v>
      </c>
      <c r="AO307" s="593">
        <f t="shared" ref="AO307:AO312" ca="1" si="440">Q307+AN307</f>
        <v>0</v>
      </c>
      <c r="AP307" s="593">
        <f t="shared" ref="AP307:AP312" ca="1" si="441">R307+AO307</f>
        <v>0</v>
      </c>
    </row>
    <row r="308" spans="1:42" s="594" customFormat="1" ht="11.25" outlineLevel="1" x14ac:dyDescent="0.2">
      <c r="A308" s="590"/>
      <c r="B308" s="591" t="str">
        <f>IF(D308&lt;&gt;"",
IF(ISERROR(MATCH(D308,'Ist Aktuell Monat 01'!A:A,0))=FALSE,INDEX('Ist Aktuell Monat 01'!B:B,MATCH(D308,'Ist Aktuell Monat 01'!A:A,0)),
IF(ISERROR(MATCH(D308,'Ist Aktuell Monat 02'!A:A,0))=FALSE,INDEX('Ist Aktuell Monat 02'!B:B,MATCH(D308,'Ist Aktuell Monat 02'!A:A,0)),
IF(ISERROR(MATCH(D308,'Ist Aktuell Monat 03'!A:A,0))=FALSE,INDEX('Ist Aktuell Monat 03'!B:B,MATCH(D308,'Ist Aktuell Monat 03'!A:A,0)),
IF(ISERROR(MATCH(D308,'Ist Aktuell Monat 04'!A:A,0))=FALSE,INDEX('Ist Aktuell Monat 04'!B:B,MATCH(D308,'Ist Aktuell Monat 04'!A:A,0)),
IF(ISERROR(MATCH(D308,'Ist Aktuell Monat 05'!A:A,0))=FALSE,INDEX('Ist Aktuell Monat 05'!B:B,MATCH(D308,'Ist Aktuell Monat 05'!A:A,0)),
IF(ISERROR(MATCH(D308,'Ist Aktuell Monat 06'!A:A,0))=FALSE,INDEX('Ist Aktuell Monat 06'!B:B,MATCH(D308,'Ist Aktuell Monat 06'!A:A,0)),
IF(ISERROR(MATCH(D308,'Ist Aktuell Monat 07'!A:A,0))=FALSE,INDEX('Ist Aktuell Monat 07'!B:B,MATCH(D308,'Ist Aktuell Monat 07'!A:A,0)),
IF(ISERROR(MATCH(D308,'Ist Aktuell Monat 08'!A:A,0))=FALSE,INDEX('Ist Aktuell Monat 08'!B:B,MATCH(D308,'Ist Aktuell Monat 08'!A:A,0)),
IF(ISERROR(MATCH(D308,'Ist Aktuell Monat 09'!A:A,0))=FALSE,INDEX('Ist Aktuell Monat 09'!B:B,MATCH(D308,'Ist Aktuell Monat 09'!A:A,0)),
IF(ISERROR(MATCH(D308,'Ist Aktuell Monat 10'!A:A,0))=FALSE,INDEX('Ist Aktuell Monat 10'!B:B,MATCH(D308,'Ist Aktuell Monat 10'!A:A,0)),
IF(ISERROR(MATCH(D308,'Ist Aktuell Monat 11'!A:A,0))=FALSE,INDEX('Ist Aktuell Monat 11'!B:B,MATCH(D308,'Ist Aktuell Monat 11'!A:A,0)),
IF(ISERROR(MATCH(D308,'Ist Aktuell Monat 12'!A:A,0))=FALSE,INDEX('Ist Aktuell Monat 12'!B:B,MATCH(D308,'Ist Aktuell Monat 12'!A:A,0)),
"{Konto unbekannt}"
)))))))))))),"")</f>
        <v>{Konto unbekannt}</v>
      </c>
      <c r="C308" s="591"/>
      <c r="D308" s="590">
        <v>2114</v>
      </c>
      <c r="E308" s="592">
        <f t="shared" si="381"/>
        <v>1</v>
      </c>
      <c r="F308" s="590"/>
      <c r="G308" s="593">
        <f ca="1">$E308*(-SUMIF(INDIRECT(G$3),'Struktur Aktuell'!$D308,INDIRECT(G$4))+SUMIF(INDIRECT(G$3),'Struktur Aktuell'!$D308,INDIRECT(G$5)))</f>
        <v>0</v>
      </c>
      <c r="H308" s="593">
        <f ca="1">$E308*(-SUMIF(INDIRECT(H$3),'Struktur Aktuell'!$D308,INDIRECT(H$4))+SUMIF(INDIRECT(H$3),'Struktur Aktuell'!$D308,INDIRECT(H$5)))</f>
        <v>0</v>
      </c>
      <c r="I308" s="593">
        <f ca="1">$E308*(-SUMIF(INDIRECT(I$3),'Struktur Aktuell'!$D308,INDIRECT(I$4))+SUMIF(INDIRECT(I$3),'Struktur Aktuell'!$D308,INDIRECT(I$5)))</f>
        <v>0</v>
      </c>
      <c r="J308" s="593">
        <f ca="1">$E308*(-SUMIF(INDIRECT(J$3),'Struktur Aktuell'!$D308,INDIRECT(J$4))+SUMIF(INDIRECT(J$3),'Struktur Aktuell'!$D308,INDIRECT(J$5)))</f>
        <v>0</v>
      </c>
      <c r="K308" s="593">
        <f ca="1">$E308*(-SUMIF(INDIRECT(K$3),'Struktur Aktuell'!$D308,INDIRECT(K$4))+SUMIF(INDIRECT(K$3),'Struktur Aktuell'!$D308,INDIRECT(K$5)))</f>
        <v>0</v>
      </c>
      <c r="L308" s="593">
        <f ca="1">$E308*(-SUMIF(INDIRECT(L$3),'Struktur Aktuell'!$D308,INDIRECT(L$4))+SUMIF(INDIRECT(L$3),'Struktur Aktuell'!$D308,INDIRECT(L$5)))</f>
        <v>0</v>
      </c>
      <c r="M308" s="593">
        <f ca="1">$E308*(-SUMIF(INDIRECT(M$3),'Struktur Aktuell'!$D308,INDIRECT(M$4))+SUMIF(INDIRECT(M$3),'Struktur Aktuell'!$D308,INDIRECT(M$5)))</f>
        <v>0</v>
      </c>
      <c r="N308" s="593">
        <f ca="1">$E308*(-SUMIF(INDIRECT(N$3),'Struktur Aktuell'!$D308,INDIRECT(N$4))+SUMIF(INDIRECT(N$3),'Struktur Aktuell'!$D308,INDIRECT(N$5)))</f>
        <v>0</v>
      </c>
      <c r="O308" s="593">
        <f ca="1">$E308*(-SUMIF(INDIRECT(O$3),'Struktur Aktuell'!$D308,INDIRECT(O$4))+SUMIF(INDIRECT(O$3),'Struktur Aktuell'!$D308,INDIRECT(O$5)))</f>
        <v>0</v>
      </c>
      <c r="P308" s="593">
        <f ca="1">$E308*(-SUMIF(INDIRECT(P$3),'Struktur Aktuell'!$D308,INDIRECT(P$4))+SUMIF(INDIRECT(P$3),'Struktur Aktuell'!$D308,INDIRECT(P$5)))</f>
        <v>0</v>
      </c>
      <c r="Q308" s="593">
        <f ca="1">$E308*(-SUMIF(INDIRECT(Q$3),'Struktur Aktuell'!$D308,INDIRECT(Q$4))+SUMIF(INDIRECT(Q$3),'Struktur Aktuell'!$D308,INDIRECT(Q$5)))</f>
        <v>0</v>
      </c>
      <c r="R308" s="593">
        <f ca="1">$E308*(-SUMIF(INDIRECT(R$3),'Struktur Aktuell'!$D308,INDIRECT(R$4))+SUMIF(INDIRECT(R$3),'Struktur Aktuell'!$D308,INDIRECT(R$5)))</f>
        <v>0</v>
      </c>
      <c r="S308" s="593">
        <f ca="1">$E308*(-SUMIF(INDIRECT(S$3),'Struktur Aktuell'!$D308,INDIRECT(S$4))+SUMIF(INDIRECT(S$3),'Struktur Aktuell'!$D308,INDIRECT(S$5)))</f>
        <v>0</v>
      </c>
      <c r="T308" s="593">
        <f ca="1">$E308*(-SUMIF(INDIRECT(T$3),'Struktur Aktuell'!$D308,INDIRECT(T$4))+SUMIF(INDIRECT(T$3),'Struktur Aktuell'!$D308,INDIRECT(T$5)))</f>
        <v>0</v>
      </c>
      <c r="U308" s="593">
        <f ca="1">$E308*(-SUMIF(INDIRECT(U$3),'Struktur Aktuell'!$D308,INDIRECT(U$4))+SUMIF(INDIRECT(U$3),'Struktur Aktuell'!$D308,INDIRECT(U$5)))</f>
        <v>0</v>
      </c>
      <c r="V308" s="593">
        <f ca="1">$E308*(-SUMIF(INDIRECT(V$3),'Struktur Aktuell'!$D308,INDIRECT(V$4))+SUMIF(INDIRECT(V$3),'Struktur Aktuell'!$D308,INDIRECT(V$5)))</f>
        <v>0</v>
      </c>
      <c r="W308" s="593">
        <f ca="1">$E308*(-SUMIF(INDIRECT(W$3),'Struktur Aktuell'!$D308,INDIRECT(W$4))+SUMIF(INDIRECT(W$3),'Struktur Aktuell'!$D308,INDIRECT(W$5)))</f>
        <v>0</v>
      </c>
      <c r="X308" s="593">
        <f ca="1">$E308*(-SUMIF(INDIRECT(X$3),'Struktur Aktuell'!$D308,INDIRECT(X$4))+SUMIF(INDIRECT(X$3),'Struktur Aktuell'!$D308,INDIRECT(X$5)))</f>
        <v>0</v>
      </c>
      <c r="Y308" s="593">
        <f ca="1">$E308*(-SUMIF(INDIRECT(Y$3),'Struktur Aktuell'!$D308,INDIRECT(Y$4))+SUMIF(INDIRECT(Y$3),'Struktur Aktuell'!$D308,INDIRECT(Y$5)))</f>
        <v>0</v>
      </c>
      <c r="Z308" s="593">
        <f ca="1">$E308*(-SUMIF(INDIRECT(Z$3),'Struktur Aktuell'!$D308,INDIRECT(Z$4))+SUMIF(INDIRECT(Z$3),'Struktur Aktuell'!$D308,INDIRECT(Z$5)))</f>
        <v>0</v>
      </c>
      <c r="AA308" s="593">
        <f ca="1">$E308*(-SUMIF(INDIRECT(AA$3),'Struktur Aktuell'!$D308,INDIRECT(AA$4))+SUMIF(INDIRECT(AA$3),'Struktur Aktuell'!$D308,INDIRECT(AA$5)))</f>
        <v>0</v>
      </c>
      <c r="AB308" s="593">
        <f ca="1">$E308*(-SUMIF(INDIRECT(AB$3),'Struktur Aktuell'!$D308,INDIRECT(AB$4))+SUMIF(INDIRECT(AB$3),'Struktur Aktuell'!$D308,INDIRECT(AB$5)))</f>
        <v>0</v>
      </c>
      <c r="AC308" s="593">
        <f ca="1">$E308*(-SUMIF(INDIRECT(AC$3),'Struktur Aktuell'!$D308,INDIRECT(AC$4))+SUMIF(INDIRECT(AC$3),'Struktur Aktuell'!$D308,INDIRECT(AC$5)))</f>
        <v>0</v>
      </c>
      <c r="AD308" s="593">
        <f ca="1">$E308*(-SUMIF(INDIRECT(AD$3),'Struktur Aktuell'!$D308,INDIRECT(AD$4))+SUMIF(INDIRECT(AD$3),'Struktur Aktuell'!$D308,INDIRECT(AD$5)))</f>
        <v>0</v>
      </c>
      <c r="AE308" s="593">
        <f t="shared" ca="1" si="430"/>
        <v>0</v>
      </c>
      <c r="AF308" s="593">
        <f t="shared" ca="1" si="431"/>
        <v>0</v>
      </c>
      <c r="AG308" s="593">
        <f t="shared" ca="1" si="432"/>
        <v>0</v>
      </c>
      <c r="AH308" s="593">
        <f t="shared" ca="1" si="433"/>
        <v>0</v>
      </c>
      <c r="AI308" s="593">
        <f t="shared" ca="1" si="434"/>
        <v>0</v>
      </c>
      <c r="AJ308" s="593">
        <f t="shared" ca="1" si="435"/>
        <v>0</v>
      </c>
      <c r="AK308" s="593">
        <f t="shared" ca="1" si="436"/>
        <v>0</v>
      </c>
      <c r="AL308" s="593">
        <f t="shared" ca="1" si="437"/>
        <v>0</v>
      </c>
      <c r="AM308" s="593">
        <f t="shared" ca="1" si="438"/>
        <v>0</v>
      </c>
      <c r="AN308" s="593">
        <f t="shared" ca="1" si="439"/>
        <v>0</v>
      </c>
      <c r="AO308" s="593">
        <f t="shared" ca="1" si="440"/>
        <v>0</v>
      </c>
      <c r="AP308" s="593">
        <f t="shared" ca="1" si="441"/>
        <v>0</v>
      </c>
    </row>
    <row r="309" spans="1:42" s="594" customFormat="1" ht="11.25" outlineLevel="1" x14ac:dyDescent="0.2">
      <c r="A309" s="590"/>
      <c r="B309" s="591" t="str">
        <f>IF(D309&lt;&gt;"",
IF(ISERROR(MATCH(D309,'Ist Aktuell Monat 01'!A:A,0))=FALSE,INDEX('Ist Aktuell Monat 01'!B:B,MATCH(D309,'Ist Aktuell Monat 01'!A:A,0)),
IF(ISERROR(MATCH(D309,'Ist Aktuell Monat 02'!A:A,0))=FALSE,INDEX('Ist Aktuell Monat 02'!B:B,MATCH(D309,'Ist Aktuell Monat 02'!A:A,0)),
IF(ISERROR(MATCH(D309,'Ist Aktuell Monat 03'!A:A,0))=FALSE,INDEX('Ist Aktuell Monat 03'!B:B,MATCH(D309,'Ist Aktuell Monat 03'!A:A,0)),
IF(ISERROR(MATCH(D309,'Ist Aktuell Monat 04'!A:A,0))=FALSE,INDEX('Ist Aktuell Monat 04'!B:B,MATCH(D309,'Ist Aktuell Monat 04'!A:A,0)),
IF(ISERROR(MATCH(D309,'Ist Aktuell Monat 05'!A:A,0))=FALSE,INDEX('Ist Aktuell Monat 05'!B:B,MATCH(D309,'Ist Aktuell Monat 05'!A:A,0)),
IF(ISERROR(MATCH(D309,'Ist Aktuell Monat 06'!A:A,0))=FALSE,INDEX('Ist Aktuell Monat 06'!B:B,MATCH(D309,'Ist Aktuell Monat 06'!A:A,0)),
IF(ISERROR(MATCH(D309,'Ist Aktuell Monat 07'!A:A,0))=FALSE,INDEX('Ist Aktuell Monat 07'!B:B,MATCH(D309,'Ist Aktuell Monat 07'!A:A,0)),
IF(ISERROR(MATCH(D309,'Ist Aktuell Monat 08'!A:A,0))=FALSE,INDEX('Ist Aktuell Monat 08'!B:B,MATCH(D309,'Ist Aktuell Monat 08'!A:A,0)),
IF(ISERROR(MATCH(D309,'Ist Aktuell Monat 09'!A:A,0))=FALSE,INDEX('Ist Aktuell Monat 09'!B:B,MATCH(D309,'Ist Aktuell Monat 09'!A:A,0)),
IF(ISERROR(MATCH(D309,'Ist Aktuell Monat 10'!A:A,0))=FALSE,INDEX('Ist Aktuell Monat 10'!B:B,MATCH(D309,'Ist Aktuell Monat 10'!A:A,0)),
IF(ISERROR(MATCH(D309,'Ist Aktuell Monat 11'!A:A,0))=FALSE,INDEX('Ist Aktuell Monat 11'!B:B,MATCH(D309,'Ist Aktuell Monat 11'!A:A,0)),
IF(ISERROR(MATCH(D309,'Ist Aktuell Monat 12'!A:A,0))=FALSE,INDEX('Ist Aktuell Monat 12'!B:B,MATCH(D309,'Ist Aktuell Monat 12'!A:A,0)),
"{Konto unbekannt}"
)))))))))))),"")</f>
        <v>{Konto unbekannt}</v>
      </c>
      <c r="C309" s="591"/>
      <c r="D309" s="590">
        <v>2118</v>
      </c>
      <c r="E309" s="592">
        <f>IF(F309="-",-1,1)</f>
        <v>1</v>
      </c>
      <c r="F309" s="590"/>
      <c r="G309" s="593">
        <f ca="1">$E309*(-SUMIF(INDIRECT(G$3),'Struktur Aktuell'!$D309,INDIRECT(G$4))+SUMIF(INDIRECT(G$3),'Struktur Aktuell'!$D309,INDIRECT(G$5)))</f>
        <v>0</v>
      </c>
      <c r="H309" s="593">
        <f ca="1">$E309*(-SUMIF(INDIRECT(H$3),'Struktur Aktuell'!$D309,INDIRECT(H$4))+SUMIF(INDIRECT(H$3),'Struktur Aktuell'!$D309,INDIRECT(H$5)))</f>
        <v>0</v>
      </c>
      <c r="I309" s="593">
        <f ca="1">$E309*(-SUMIF(INDIRECT(I$3),'Struktur Aktuell'!$D309,INDIRECT(I$4))+SUMIF(INDIRECT(I$3),'Struktur Aktuell'!$D309,INDIRECT(I$5)))</f>
        <v>0</v>
      </c>
      <c r="J309" s="593">
        <f ca="1">$E309*(-SUMIF(INDIRECT(J$3),'Struktur Aktuell'!$D309,INDIRECT(J$4))+SUMIF(INDIRECT(J$3),'Struktur Aktuell'!$D309,INDIRECT(J$5)))</f>
        <v>0</v>
      </c>
      <c r="K309" s="593">
        <f ca="1">$E309*(-SUMIF(INDIRECT(K$3),'Struktur Aktuell'!$D309,INDIRECT(K$4))+SUMIF(INDIRECT(K$3),'Struktur Aktuell'!$D309,INDIRECT(K$5)))</f>
        <v>0</v>
      </c>
      <c r="L309" s="593">
        <f ca="1">$E309*(-SUMIF(INDIRECT(L$3),'Struktur Aktuell'!$D309,INDIRECT(L$4))+SUMIF(INDIRECT(L$3),'Struktur Aktuell'!$D309,INDIRECT(L$5)))</f>
        <v>0</v>
      </c>
      <c r="M309" s="593">
        <f ca="1">$E309*(-SUMIF(INDIRECT(M$3),'Struktur Aktuell'!$D309,INDIRECT(M$4))+SUMIF(INDIRECT(M$3),'Struktur Aktuell'!$D309,INDIRECT(M$5)))</f>
        <v>0</v>
      </c>
      <c r="N309" s="593">
        <f ca="1">$E309*(-SUMIF(INDIRECT(N$3),'Struktur Aktuell'!$D309,INDIRECT(N$4))+SUMIF(INDIRECT(N$3),'Struktur Aktuell'!$D309,INDIRECT(N$5)))</f>
        <v>0</v>
      </c>
      <c r="O309" s="593">
        <f ca="1">$E309*(-SUMIF(INDIRECT(O$3),'Struktur Aktuell'!$D309,INDIRECT(O$4))+SUMIF(INDIRECT(O$3),'Struktur Aktuell'!$D309,INDIRECT(O$5)))</f>
        <v>0</v>
      </c>
      <c r="P309" s="593">
        <f ca="1">$E309*(-SUMIF(INDIRECT(P$3),'Struktur Aktuell'!$D309,INDIRECT(P$4))+SUMIF(INDIRECT(P$3),'Struktur Aktuell'!$D309,INDIRECT(P$5)))</f>
        <v>0</v>
      </c>
      <c r="Q309" s="593">
        <f ca="1">$E309*(-SUMIF(INDIRECT(Q$3),'Struktur Aktuell'!$D309,INDIRECT(Q$4))+SUMIF(INDIRECT(Q$3),'Struktur Aktuell'!$D309,INDIRECT(Q$5)))</f>
        <v>0</v>
      </c>
      <c r="R309" s="593">
        <f ca="1">$E309*(-SUMIF(INDIRECT(R$3),'Struktur Aktuell'!$D309,INDIRECT(R$4))+SUMIF(INDIRECT(R$3),'Struktur Aktuell'!$D309,INDIRECT(R$5)))</f>
        <v>0</v>
      </c>
      <c r="S309" s="593">
        <f ca="1">$E309*(-SUMIF(INDIRECT(S$3),'Struktur Aktuell'!$D309,INDIRECT(S$4))+SUMIF(INDIRECT(S$3),'Struktur Aktuell'!$D309,INDIRECT(S$5)))</f>
        <v>0</v>
      </c>
      <c r="T309" s="593">
        <f ca="1">$E309*(-SUMIF(INDIRECT(T$3),'Struktur Aktuell'!$D309,INDIRECT(T$4))+SUMIF(INDIRECT(T$3),'Struktur Aktuell'!$D309,INDIRECT(T$5)))</f>
        <v>0</v>
      </c>
      <c r="U309" s="593">
        <f ca="1">$E309*(-SUMIF(INDIRECT(U$3),'Struktur Aktuell'!$D309,INDIRECT(U$4))+SUMIF(INDIRECT(U$3),'Struktur Aktuell'!$D309,INDIRECT(U$5)))</f>
        <v>0</v>
      </c>
      <c r="V309" s="593">
        <f ca="1">$E309*(-SUMIF(INDIRECT(V$3),'Struktur Aktuell'!$D309,INDIRECT(V$4))+SUMIF(INDIRECT(V$3),'Struktur Aktuell'!$D309,INDIRECT(V$5)))</f>
        <v>0</v>
      </c>
      <c r="W309" s="593">
        <f ca="1">$E309*(-SUMIF(INDIRECT(W$3),'Struktur Aktuell'!$D309,INDIRECT(W$4))+SUMIF(INDIRECT(W$3),'Struktur Aktuell'!$D309,INDIRECT(W$5)))</f>
        <v>0</v>
      </c>
      <c r="X309" s="593">
        <f ca="1">$E309*(-SUMIF(INDIRECT(X$3),'Struktur Aktuell'!$D309,INDIRECT(X$4))+SUMIF(INDIRECT(X$3),'Struktur Aktuell'!$D309,INDIRECT(X$5)))</f>
        <v>0</v>
      </c>
      <c r="Y309" s="593">
        <f ca="1">$E309*(-SUMIF(INDIRECT(Y$3),'Struktur Aktuell'!$D309,INDIRECT(Y$4))+SUMIF(INDIRECT(Y$3),'Struktur Aktuell'!$D309,INDIRECT(Y$5)))</f>
        <v>0</v>
      </c>
      <c r="Z309" s="593">
        <f ca="1">$E309*(-SUMIF(INDIRECT(Z$3),'Struktur Aktuell'!$D309,INDIRECT(Z$4))+SUMIF(INDIRECT(Z$3),'Struktur Aktuell'!$D309,INDIRECT(Z$5)))</f>
        <v>0</v>
      </c>
      <c r="AA309" s="593">
        <f ca="1">$E309*(-SUMIF(INDIRECT(AA$3),'Struktur Aktuell'!$D309,INDIRECT(AA$4))+SUMIF(INDIRECT(AA$3),'Struktur Aktuell'!$D309,INDIRECT(AA$5)))</f>
        <v>0</v>
      </c>
      <c r="AB309" s="593">
        <f ca="1">$E309*(-SUMIF(INDIRECT(AB$3),'Struktur Aktuell'!$D309,INDIRECT(AB$4))+SUMIF(INDIRECT(AB$3),'Struktur Aktuell'!$D309,INDIRECT(AB$5)))</f>
        <v>0</v>
      </c>
      <c r="AC309" s="593">
        <f ca="1">$E309*(-SUMIF(INDIRECT(AC$3),'Struktur Aktuell'!$D309,INDIRECT(AC$4))+SUMIF(INDIRECT(AC$3),'Struktur Aktuell'!$D309,INDIRECT(AC$5)))</f>
        <v>0</v>
      </c>
      <c r="AD309" s="593">
        <f ca="1">$E309*(-SUMIF(INDIRECT(AD$3),'Struktur Aktuell'!$D309,INDIRECT(AD$4))+SUMIF(INDIRECT(AD$3),'Struktur Aktuell'!$D309,INDIRECT(AD$5)))</f>
        <v>0</v>
      </c>
      <c r="AE309" s="593">
        <f t="shared" ca="1" si="430"/>
        <v>0</v>
      </c>
      <c r="AF309" s="593">
        <f t="shared" ca="1" si="431"/>
        <v>0</v>
      </c>
      <c r="AG309" s="593">
        <f t="shared" ca="1" si="432"/>
        <v>0</v>
      </c>
      <c r="AH309" s="593">
        <f t="shared" ca="1" si="433"/>
        <v>0</v>
      </c>
      <c r="AI309" s="593">
        <f t="shared" ca="1" si="434"/>
        <v>0</v>
      </c>
      <c r="AJ309" s="593">
        <f t="shared" ca="1" si="435"/>
        <v>0</v>
      </c>
      <c r="AK309" s="593">
        <f t="shared" ca="1" si="436"/>
        <v>0</v>
      </c>
      <c r="AL309" s="593">
        <f t="shared" ca="1" si="437"/>
        <v>0</v>
      </c>
      <c r="AM309" s="593">
        <f t="shared" ca="1" si="438"/>
        <v>0</v>
      </c>
      <c r="AN309" s="593">
        <f t="shared" ca="1" si="439"/>
        <v>0</v>
      </c>
      <c r="AO309" s="593">
        <f t="shared" ca="1" si="440"/>
        <v>0</v>
      </c>
      <c r="AP309" s="593">
        <f t="shared" ca="1" si="441"/>
        <v>0</v>
      </c>
    </row>
    <row r="310" spans="1:42" s="594" customFormat="1" ht="11.25" outlineLevel="1" x14ac:dyDescent="0.2">
      <c r="A310" s="590"/>
      <c r="B310" s="591" t="str">
        <f>IF(D310&lt;&gt;"",
IF(ISERROR(MATCH(D310,'Ist Aktuell Monat 01'!A:A,0))=FALSE,INDEX('Ist Aktuell Monat 01'!B:B,MATCH(D310,'Ist Aktuell Monat 01'!A:A,0)),
IF(ISERROR(MATCH(D310,'Ist Aktuell Monat 02'!A:A,0))=FALSE,INDEX('Ist Aktuell Monat 02'!B:B,MATCH(D310,'Ist Aktuell Monat 02'!A:A,0)),
IF(ISERROR(MATCH(D310,'Ist Aktuell Monat 03'!A:A,0))=FALSE,INDEX('Ist Aktuell Monat 03'!B:B,MATCH(D310,'Ist Aktuell Monat 03'!A:A,0)),
IF(ISERROR(MATCH(D310,'Ist Aktuell Monat 04'!A:A,0))=FALSE,INDEX('Ist Aktuell Monat 04'!B:B,MATCH(D310,'Ist Aktuell Monat 04'!A:A,0)),
IF(ISERROR(MATCH(D310,'Ist Aktuell Monat 05'!A:A,0))=FALSE,INDEX('Ist Aktuell Monat 05'!B:B,MATCH(D310,'Ist Aktuell Monat 05'!A:A,0)),
IF(ISERROR(MATCH(D310,'Ist Aktuell Monat 06'!A:A,0))=FALSE,INDEX('Ist Aktuell Monat 06'!B:B,MATCH(D310,'Ist Aktuell Monat 06'!A:A,0)),
IF(ISERROR(MATCH(D310,'Ist Aktuell Monat 07'!A:A,0))=FALSE,INDEX('Ist Aktuell Monat 07'!B:B,MATCH(D310,'Ist Aktuell Monat 07'!A:A,0)),
IF(ISERROR(MATCH(D310,'Ist Aktuell Monat 08'!A:A,0))=FALSE,INDEX('Ist Aktuell Monat 08'!B:B,MATCH(D310,'Ist Aktuell Monat 08'!A:A,0)),
IF(ISERROR(MATCH(D310,'Ist Aktuell Monat 09'!A:A,0))=FALSE,INDEX('Ist Aktuell Monat 09'!B:B,MATCH(D310,'Ist Aktuell Monat 09'!A:A,0)),
IF(ISERROR(MATCH(D310,'Ist Aktuell Monat 10'!A:A,0))=FALSE,INDEX('Ist Aktuell Monat 10'!B:B,MATCH(D310,'Ist Aktuell Monat 10'!A:A,0)),
IF(ISERROR(MATCH(D310,'Ist Aktuell Monat 11'!A:A,0))=FALSE,INDEX('Ist Aktuell Monat 11'!B:B,MATCH(D310,'Ist Aktuell Monat 11'!A:A,0)),
IF(ISERROR(MATCH(D310,'Ist Aktuell Monat 12'!A:A,0))=FALSE,INDEX('Ist Aktuell Monat 12'!B:B,MATCH(D310,'Ist Aktuell Monat 12'!A:A,0)),
"{Konto unbekannt}"
)))))))))))),"")</f>
        <v>{Konto unbekannt}</v>
      </c>
      <c r="C310" s="591"/>
      <c r="D310" s="590">
        <v>2120</v>
      </c>
      <c r="E310" s="592">
        <f>IF(F310="-",-1,1)</f>
        <v>1</v>
      </c>
      <c r="F310" s="590"/>
      <c r="G310" s="593">
        <f ca="1">$E310*(-SUMIF(INDIRECT(G$3),'Struktur Aktuell'!$D310,INDIRECT(G$4))+SUMIF(INDIRECT(G$3),'Struktur Aktuell'!$D310,INDIRECT(G$5)))</f>
        <v>0</v>
      </c>
      <c r="H310" s="593">
        <f ca="1">$E310*(-SUMIF(INDIRECT(H$3),'Struktur Aktuell'!$D310,INDIRECT(H$4))+SUMIF(INDIRECT(H$3),'Struktur Aktuell'!$D310,INDIRECT(H$5)))</f>
        <v>0</v>
      </c>
      <c r="I310" s="593">
        <f ca="1">$E310*(-SUMIF(INDIRECT(I$3),'Struktur Aktuell'!$D310,INDIRECT(I$4))+SUMIF(INDIRECT(I$3),'Struktur Aktuell'!$D310,INDIRECT(I$5)))</f>
        <v>0</v>
      </c>
      <c r="J310" s="593">
        <f ca="1">$E310*(-SUMIF(INDIRECT(J$3),'Struktur Aktuell'!$D310,INDIRECT(J$4))+SUMIF(INDIRECT(J$3),'Struktur Aktuell'!$D310,INDIRECT(J$5)))</f>
        <v>0</v>
      </c>
      <c r="K310" s="593">
        <f ca="1">$E310*(-SUMIF(INDIRECT(K$3),'Struktur Aktuell'!$D310,INDIRECT(K$4))+SUMIF(INDIRECT(K$3),'Struktur Aktuell'!$D310,INDIRECT(K$5)))</f>
        <v>0</v>
      </c>
      <c r="L310" s="593">
        <f ca="1">$E310*(-SUMIF(INDIRECT(L$3),'Struktur Aktuell'!$D310,INDIRECT(L$4))+SUMIF(INDIRECT(L$3),'Struktur Aktuell'!$D310,INDIRECT(L$5)))</f>
        <v>0</v>
      </c>
      <c r="M310" s="593">
        <f ca="1">$E310*(-SUMIF(INDIRECT(M$3),'Struktur Aktuell'!$D310,INDIRECT(M$4))+SUMIF(INDIRECT(M$3),'Struktur Aktuell'!$D310,INDIRECT(M$5)))</f>
        <v>0</v>
      </c>
      <c r="N310" s="593">
        <f ca="1">$E310*(-SUMIF(INDIRECT(N$3),'Struktur Aktuell'!$D310,INDIRECT(N$4))+SUMIF(INDIRECT(N$3),'Struktur Aktuell'!$D310,INDIRECT(N$5)))</f>
        <v>0</v>
      </c>
      <c r="O310" s="593">
        <f ca="1">$E310*(-SUMIF(INDIRECT(O$3),'Struktur Aktuell'!$D310,INDIRECT(O$4))+SUMIF(INDIRECT(O$3),'Struktur Aktuell'!$D310,INDIRECT(O$5)))</f>
        <v>0</v>
      </c>
      <c r="P310" s="593">
        <f ca="1">$E310*(-SUMIF(INDIRECT(P$3),'Struktur Aktuell'!$D310,INDIRECT(P$4))+SUMIF(INDIRECT(P$3),'Struktur Aktuell'!$D310,INDIRECT(P$5)))</f>
        <v>0</v>
      </c>
      <c r="Q310" s="593">
        <f ca="1">$E310*(-SUMIF(INDIRECT(Q$3),'Struktur Aktuell'!$D310,INDIRECT(Q$4))+SUMIF(INDIRECT(Q$3),'Struktur Aktuell'!$D310,INDIRECT(Q$5)))</f>
        <v>0</v>
      </c>
      <c r="R310" s="593">
        <f ca="1">$E310*(-SUMIF(INDIRECT(R$3),'Struktur Aktuell'!$D310,INDIRECT(R$4))+SUMIF(INDIRECT(R$3),'Struktur Aktuell'!$D310,INDIRECT(R$5)))</f>
        <v>0</v>
      </c>
      <c r="S310" s="593">
        <f ca="1">$E310*(-SUMIF(INDIRECT(S$3),'Struktur Aktuell'!$D310,INDIRECT(S$4))+SUMIF(INDIRECT(S$3),'Struktur Aktuell'!$D310,INDIRECT(S$5)))</f>
        <v>0</v>
      </c>
      <c r="T310" s="593">
        <f ca="1">$E310*(-SUMIF(INDIRECT(T$3),'Struktur Aktuell'!$D310,INDIRECT(T$4))+SUMIF(INDIRECT(T$3),'Struktur Aktuell'!$D310,INDIRECT(T$5)))</f>
        <v>0</v>
      </c>
      <c r="U310" s="593">
        <f ca="1">$E310*(-SUMIF(INDIRECT(U$3),'Struktur Aktuell'!$D310,INDIRECT(U$4))+SUMIF(INDIRECT(U$3),'Struktur Aktuell'!$D310,INDIRECT(U$5)))</f>
        <v>0</v>
      </c>
      <c r="V310" s="593">
        <f ca="1">$E310*(-SUMIF(INDIRECT(V$3),'Struktur Aktuell'!$D310,INDIRECT(V$4))+SUMIF(INDIRECT(V$3),'Struktur Aktuell'!$D310,INDIRECT(V$5)))</f>
        <v>0</v>
      </c>
      <c r="W310" s="593">
        <f ca="1">$E310*(-SUMIF(INDIRECT(W$3),'Struktur Aktuell'!$D310,INDIRECT(W$4))+SUMIF(INDIRECT(W$3),'Struktur Aktuell'!$D310,INDIRECT(W$5)))</f>
        <v>0</v>
      </c>
      <c r="X310" s="593">
        <f ca="1">$E310*(-SUMIF(INDIRECT(X$3),'Struktur Aktuell'!$D310,INDIRECT(X$4))+SUMIF(INDIRECT(X$3),'Struktur Aktuell'!$D310,INDIRECT(X$5)))</f>
        <v>0</v>
      </c>
      <c r="Y310" s="593">
        <f ca="1">$E310*(-SUMIF(INDIRECT(Y$3),'Struktur Aktuell'!$D310,INDIRECT(Y$4))+SUMIF(INDIRECT(Y$3),'Struktur Aktuell'!$D310,INDIRECT(Y$5)))</f>
        <v>0</v>
      </c>
      <c r="Z310" s="593">
        <f ca="1">$E310*(-SUMIF(INDIRECT(Z$3),'Struktur Aktuell'!$D310,INDIRECT(Z$4))+SUMIF(INDIRECT(Z$3),'Struktur Aktuell'!$D310,INDIRECT(Z$5)))</f>
        <v>0</v>
      </c>
      <c r="AA310" s="593">
        <f ca="1">$E310*(-SUMIF(INDIRECT(AA$3),'Struktur Aktuell'!$D310,INDIRECT(AA$4))+SUMIF(INDIRECT(AA$3),'Struktur Aktuell'!$D310,INDIRECT(AA$5)))</f>
        <v>0</v>
      </c>
      <c r="AB310" s="593">
        <f ca="1">$E310*(-SUMIF(INDIRECT(AB$3),'Struktur Aktuell'!$D310,INDIRECT(AB$4))+SUMIF(INDIRECT(AB$3),'Struktur Aktuell'!$D310,INDIRECT(AB$5)))</f>
        <v>0</v>
      </c>
      <c r="AC310" s="593">
        <f ca="1">$E310*(-SUMIF(INDIRECT(AC$3),'Struktur Aktuell'!$D310,INDIRECT(AC$4))+SUMIF(INDIRECT(AC$3),'Struktur Aktuell'!$D310,INDIRECT(AC$5)))</f>
        <v>0</v>
      </c>
      <c r="AD310" s="593">
        <f ca="1">$E310*(-SUMIF(INDIRECT(AD$3),'Struktur Aktuell'!$D310,INDIRECT(AD$4))+SUMIF(INDIRECT(AD$3),'Struktur Aktuell'!$D310,INDIRECT(AD$5)))</f>
        <v>0</v>
      </c>
      <c r="AE310" s="593">
        <f t="shared" ca="1" si="430"/>
        <v>0</v>
      </c>
      <c r="AF310" s="593">
        <f t="shared" ca="1" si="431"/>
        <v>0</v>
      </c>
      <c r="AG310" s="593">
        <f t="shared" ca="1" si="432"/>
        <v>0</v>
      </c>
      <c r="AH310" s="593">
        <f t="shared" ca="1" si="433"/>
        <v>0</v>
      </c>
      <c r="AI310" s="593">
        <f t="shared" ca="1" si="434"/>
        <v>0</v>
      </c>
      <c r="AJ310" s="593">
        <f t="shared" ca="1" si="435"/>
        <v>0</v>
      </c>
      <c r="AK310" s="593">
        <f t="shared" ca="1" si="436"/>
        <v>0</v>
      </c>
      <c r="AL310" s="593">
        <f t="shared" ca="1" si="437"/>
        <v>0</v>
      </c>
      <c r="AM310" s="593">
        <f t="shared" ca="1" si="438"/>
        <v>0</v>
      </c>
      <c r="AN310" s="593">
        <f t="shared" ca="1" si="439"/>
        <v>0</v>
      </c>
      <c r="AO310" s="593">
        <f t="shared" ca="1" si="440"/>
        <v>0</v>
      </c>
      <c r="AP310" s="593">
        <f t="shared" ca="1" si="441"/>
        <v>0</v>
      </c>
    </row>
    <row r="311" spans="1:42" s="594" customFormat="1" ht="11.25" outlineLevel="1" x14ac:dyDescent="0.2">
      <c r="A311" s="590"/>
      <c r="B311" s="591" t="str">
        <f>IF(D311&lt;&gt;"",
IF(ISERROR(MATCH(D311,'Ist Aktuell Monat 01'!A:A,0))=FALSE,INDEX('Ist Aktuell Monat 01'!B:B,MATCH(D311,'Ist Aktuell Monat 01'!A:A,0)),
IF(ISERROR(MATCH(D311,'Ist Aktuell Monat 02'!A:A,0))=FALSE,INDEX('Ist Aktuell Monat 02'!B:B,MATCH(D311,'Ist Aktuell Monat 02'!A:A,0)),
IF(ISERROR(MATCH(D311,'Ist Aktuell Monat 03'!A:A,0))=FALSE,INDEX('Ist Aktuell Monat 03'!B:B,MATCH(D311,'Ist Aktuell Monat 03'!A:A,0)),
IF(ISERROR(MATCH(D311,'Ist Aktuell Monat 04'!A:A,0))=FALSE,INDEX('Ist Aktuell Monat 04'!B:B,MATCH(D311,'Ist Aktuell Monat 04'!A:A,0)),
IF(ISERROR(MATCH(D311,'Ist Aktuell Monat 05'!A:A,0))=FALSE,INDEX('Ist Aktuell Monat 05'!B:B,MATCH(D311,'Ist Aktuell Monat 05'!A:A,0)),
IF(ISERROR(MATCH(D311,'Ist Aktuell Monat 06'!A:A,0))=FALSE,INDEX('Ist Aktuell Monat 06'!B:B,MATCH(D311,'Ist Aktuell Monat 06'!A:A,0)),
IF(ISERROR(MATCH(D311,'Ist Aktuell Monat 07'!A:A,0))=FALSE,INDEX('Ist Aktuell Monat 07'!B:B,MATCH(D311,'Ist Aktuell Monat 07'!A:A,0)),
IF(ISERROR(MATCH(D311,'Ist Aktuell Monat 08'!A:A,0))=FALSE,INDEX('Ist Aktuell Monat 08'!B:B,MATCH(D311,'Ist Aktuell Monat 08'!A:A,0)),
IF(ISERROR(MATCH(D311,'Ist Aktuell Monat 09'!A:A,0))=FALSE,INDEX('Ist Aktuell Monat 09'!B:B,MATCH(D311,'Ist Aktuell Monat 09'!A:A,0)),
IF(ISERROR(MATCH(D311,'Ist Aktuell Monat 10'!A:A,0))=FALSE,INDEX('Ist Aktuell Monat 10'!B:B,MATCH(D311,'Ist Aktuell Monat 10'!A:A,0)),
IF(ISERROR(MATCH(D311,'Ist Aktuell Monat 11'!A:A,0))=FALSE,INDEX('Ist Aktuell Monat 11'!B:B,MATCH(D311,'Ist Aktuell Monat 11'!A:A,0)),
IF(ISERROR(MATCH(D311,'Ist Aktuell Monat 12'!A:A,0))=FALSE,INDEX('Ist Aktuell Monat 12'!B:B,MATCH(D311,'Ist Aktuell Monat 12'!A:A,0)),
"{Konto unbekannt}"
)))))))))))),"")</f>
        <v/>
      </c>
      <c r="C311" s="591"/>
      <c r="D311" s="590"/>
      <c r="E311" s="592">
        <f t="shared" si="381"/>
        <v>1</v>
      </c>
      <c r="F311" s="590"/>
      <c r="G311" s="593">
        <f ca="1">$E311*(-SUMIF(INDIRECT(G$3),'Struktur Aktuell'!$D311,INDIRECT(G$4))+SUMIF(INDIRECT(G$3),'Struktur Aktuell'!$D311,INDIRECT(G$5)))</f>
        <v>0</v>
      </c>
      <c r="H311" s="593">
        <f ca="1">$E311*(-SUMIF(INDIRECT(H$3),'Struktur Aktuell'!$D311,INDIRECT(H$4))+SUMIF(INDIRECT(H$3),'Struktur Aktuell'!$D311,INDIRECT(H$5)))</f>
        <v>0</v>
      </c>
      <c r="I311" s="593">
        <f ca="1">$E311*(-SUMIF(INDIRECT(I$3),'Struktur Aktuell'!$D311,INDIRECT(I$4))+SUMIF(INDIRECT(I$3),'Struktur Aktuell'!$D311,INDIRECT(I$5)))</f>
        <v>0</v>
      </c>
      <c r="J311" s="593">
        <f ca="1">$E311*(-SUMIF(INDIRECT(J$3),'Struktur Aktuell'!$D311,INDIRECT(J$4))+SUMIF(INDIRECT(J$3),'Struktur Aktuell'!$D311,INDIRECT(J$5)))</f>
        <v>0</v>
      </c>
      <c r="K311" s="593">
        <f ca="1">$E311*(-SUMIF(INDIRECT(K$3),'Struktur Aktuell'!$D311,INDIRECT(K$4))+SUMIF(INDIRECT(K$3),'Struktur Aktuell'!$D311,INDIRECT(K$5)))</f>
        <v>0</v>
      </c>
      <c r="L311" s="593">
        <f ca="1">$E311*(-SUMIF(INDIRECT(L$3),'Struktur Aktuell'!$D311,INDIRECT(L$4))+SUMIF(INDIRECT(L$3),'Struktur Aktuell'!$D311,INDIRECT(L$5)))</f>
        <v>0</v>
      </c>
      <c r="M311" s="593">
        <f ca="1">$E311*(-SUMIF(INDIRECT(M$3),'Struktur Aktuell'!$D311,INDIRECT(M$4))+SUMIF(INDIRECT(M$3),'Struktur Aktuell'!$D311,INDIRECT(M$5)))</f>
        <v>0</v>
      </c>
      <c r="N311" s="593">
        <f ca="1">$E311*(-SUMIF(INDIRECT(N$3),'Struktur Aktuell'!$D311,INDIRECT(N$4))+SUMIF(INDIRECT(N$3),'Struktur Aktuell'!$D311,INDIRECT(N$5)))</f>
        <v>0</v>
      </c>
      <c r="O311" s="593">
        <f ca="1">$E311*(-SUMIF(INDIRECT(O$3),'Struktur Aktuell'!$D311,INDIRECT(O$4))+SUMIF(INDIRECT(O$3),'Struktur Aktuell'!$D311,INDIRECT(O$5)))</f>
        <v>0</v>
      </c>
      <c r="P311" s="593">
        <f ca="1">$E311*(-SUMIF(INDIRECT(P$3),'Struktur Aktuell'!$D311,INDIRECT(P$4))+SUMIF(INDIRECT(P$3),'Struktur Aktuell'!$D311,INDIRECT(P$5)))</f>
        <v>0</v>
      </c>
      <c r="Q311" s="593">
        <f ca="1">$E311*(-SUMIF(INDIRECT(Q$3),'Struktur Aktuell'!$D311,INDIRECT(Q$4))+SUMIF(INDIRECT(Q$3),'Struktur Aktuell'!$D311,INDIRECT(Q$5)))</f>
        <v>0</v>
      </c>
      <c r="R311" s="593">
        <f ca="1">$E311*(-SUMIF(INDIRECT(R$3),'Struktur Aktuell'!$D311,INDIRECT(R$4))+SUMIF(INDIRECT(R$3),'Struktur Aktuell'!$D311,INDIRECT(R$5)))</f>
        <v>0</v>
      </c>
      <c r="S311" s="593">
        <f ca="1">$E311*(-SUMIF(INDIRECT(S$3),'Struktur Aktuell'!$D311,INDIRECT(S$4))+SUMIF(INDIRECT(S$3),'Struktur Aktuell'!$D311,INDIRECT(S$5)))</f>
        <v>0</v>
      </c>
      <c r="T311" s="593">
        <f ca="1">$E311*(-SUMIF(INDIRECT(T$3),'Struktur Aktuell'!$D311,INDIRECT(T$4))+SUMIF(INDIRECT(T$3),'Struktur Aktuell'!$D311,INDIRECT(T$5)))</f>
        <v>0</v>
      </c>
      <c r="U311" s="593">
        <f ca="1">$E311*(-SUMIF(INDIRECT(U$3),'Struktur Aktuell'!$D311,INDIRECT(U$4))+SUMIF(INDIRECT(U$3),'Struktur Aktuell'!$D311,INDIRECT(U$5)))</f>
        <v>0</v>
      </c>
      <c r="V311" s="593">
        <f ca="1">$E311*(-SUMIF(INDIRECT(V$3),'Struktur Aktuell'!$D311,INDIRECT(V$4))+SUMIF(INDIRECT(V$3),'Struktur Aktuell'!$D311,INDIRECT(V$5)))</f>
        <v>0</v>
      </c>
      <c r="W311" s="593">
        <f ca="1">$E311*(-SUMIF(INDIRECT(W$3),'Struktur Aktuell'!$D311,INDIRECT(W$4))+SUMIF(INDIRECT(W$3),'Struktur Aktuell'!$D311,INDIRECT(W$5)))</f>
        <v>0</v>
      </c>
      <c r="X311" s="593">
        <f ca="1">$E311*(-SUMIF(INDIRECT(X$3),'Struktur Aktuell'!$D311,INDIRECT(X$4))+SUMIF(INDIRECT(X$3),'Struktur Aktuell'!$D311,INDIRECT(X$5)))</f>
        <v>0</v>
      </c>
      <c r="Y311" s="593">
        <f ca="1">$E311*(-SUMIF(INDIRECT(Y$3),'Struktur Aktuell'!$D311,INDIRECT(Y$4))+SUMIF(INDIRECT(Y$3),'Struktur Aktuell'!$D311,INDIRECT(Y$5)))</f>
        <v>0</v>
      </c>
      <c r="Z311" s="593">
        <f ca="1">$E311*(-SUMIF(INDIRECT(Z$3),'Struktur Aktuell'!$D311,INDIRECT(Z$4))+SUMIF(INDIRECT(Z$3),'Struktur Aktuell'!$D311,INDIRECT(Z$5)))</f>
        <v>0</v>
      </c>
      <c r="AA311" s="593">
        <f ca="1">$E311*(-SUMIF(INDIRECT(AA$3),'Struktur Aktuell'!$D311,INDIRECT(AA$4))+SUMIF(INDIRECT(AA$3),'Struktur Aktuell'!$D311,INDIRECT(AA$5)))</f>
        <v>0</v>
      </c>
      <c r="AB311" s="593">
        <f ca="1">$E311*(-SUMIF(INDIRECT(AB$3),'Struktur Aktuell'!$D311,INDIRECT(AB$4))+SUMIF(INDIRECT(AB$3),'Struktur Aktuell'!$D311,INDIRECT(AB$5)))</f>
        <v>0</v>
      </c>
      <c r="AC311" s="593">
        <f ca="1">$E311*(-SUMIF(INDIRECT(AC$3),'Struktur Aktuell'!$D311,INDIRECT(AC$4))+SUMIF(INDIRECT(AC$3),'Struktur Aktuell'!$D311,INDIRECT(AC$5)))</f>
        <v>0</v>
      </c>
      <c r="AD311" s="593">
        <f ca="1">$E311*(-SUMIF(INDIRECT(AD$3),'Struktur Aktuell'!$D311,INDIRECT(AD$4))+SUMIF(INDIRECT(AD$3),'Struktur Aktuell'!$D311,INDIRECT(AD$5)))</f>
        <v>0</v>
      </c>
      <c r="AE311" s="593">
        <f t="shared" ca="1" si="430"/>
        <v>0</v>
      </c>
      <c r="AF311" s="593">
        <f t="shared" ca="1" si="431"/>
        <v>0</v>
      </c>
      <c r="AG311" s="593">
        <f t="shared" ca="1" si="432"/>
        <v>0</v>
      </c>
      <c r="AH311" s="593">
        <f t="shared" ca="1" si="433"/>
        <v>0</v>
      </c>
      <c r="AI311" s="593">
        <f t="shared" ca="1" si="434"/>
        <v>0</v>
      </c>
      <c r="AJ311" s="593">
        <f t="shared" ca="1" si="435"/>
        <v>0</v>
      </c>
      <c r="AK311" s="593">
        <f t="shared" ca="1" si="436"/>
        <v>0</v>
      </c>
      <c r="AL311" s="593">
        <f t="shared" ca="1" si="437"/>
        <v>0</v>
      </c>
      <c r="AM311" s="593">
        <f t="shared" ca="1" si="438"/>
        <v>0</v>
      </c>
      <c r="AN311" s="593">
        <f t="shared" ca="1" si="439"/>
        <v>0</v>
      </c>
      <c r="AO311" s="593">
        <f t="shared" ca="1" si="440"/>
        <v>0</v>
      </c>
      <c r="AP311" s="593">
        <f t="shared" ca="1" si="441"/>
        <v>0</v>
      </c>
    </row>
    <row r="312" spans="1:42" s="594" customFormat="1" ht="11.25" outlineLevel="1" x14ac:dyDescent="0.2">
      <c r="A312" s="590"/>
      <c r="B312" s="591" t="str">
        <f>IF(D312&lt;&gt;"",
IF(ISERROR(MATCH(D312,'Ist Aktuell Monat 01'!A:A,0))=FALSE,INDEX('Ist Aktuell Monat 01'!B:B,MATCH(D312,'Ist Aktuell Monat 01'!A:A,0)),
IF(ISERROR(MATCH(D312,'Ist Aktuell Monat 02'!A:A,0))=FALSE,INDEX('Ist Aktuell Monat 02'!B:B,MATCH(D312,'Ist Aktuell Monat 02'!A:A,0)),
IF(ISERROR(MATCH(D312,'Ist Aktuell Monat 03'!A:A,0))=FALSE,INDEX('Ist Aktuell Monat 03'!B:B,MATCH(D312,'Ist Aktuell Monat 03'!A:A,0)),
IF(ISERROR(MATCH(D312,'Ist Aktuell Monat 04'!A:A,0))=FALSE,INDEX('Ist Aktuell Monat 04'!B:B,MATCH(D312,'Ist Aktuell Monat 04'!A:A,0)),
IF(ISERROR(MATCH(D312,'Ist Aktuell Monat 05'!A:A,0))=FALSE,INDEX('Ist Aktuell Monat 05'!B:B,MATCH(D312,'Ist Aktuell Monat 05'!A:A,0)),
IF(ISERROR(MATCH(D312,'Ist Aktuell Monat 06'!A:A,0))=FALSE,INDEX('Ist Aktuell Monat 06'!B:B,MATCH(D312,'Ist Aktuell Monat 06'!A:A,0)),
IF(ISERROR(MATCH(D312,'Ist Aktuell Monat 07'!A:A,0))=FALSE,INDEX('Ist Aktuell Monat 07'!B:B,MATCH(D312,'Ist Aktuell Monat 07'!A:A,0)),
IF(ISERROR(MATCH(D312,'Ist Aktuell Monat 08'!A:A,0))=FALSE,INDEX('Ist Aktuell Monat 08'!B:B,MATCH(D312,'Ist Aktuell Monat 08'!A:A,0)),
IF(ISERROR(MATCH(D312,'Ist Aktuell Monat 09'!A:A,0))=FALSE,INDEX('Ist Aktuell Monat 09'!B:B,MATCH(D312,'Ist Aktuell Monat 09'!A:A,0)),
IF(ISERROR(MATCH(D312,'Ist Aktuell Monat 10'!A:A,0))=FALSE,INDEX('Ist Aktuell Monat 10'!B:B,MATCH(D312,'Ist Aktuell Monat 10'!A:A,0)),
IF(ISERROR(MATCH(D312,'Ist Aktuell Monat 11'!A:A,0))=FALSE,INDEX('Ist Aktuell Monat 11'!B:B,MATCH(D312,'Ist Aktuell Monat 11'!A:A,0)),
IF(ISERROR(MATCH(D312,'Ist Aktuell Monat 12'!A:A,0))=FALSE,INDEX('Ist Aktuell Monat 12'!B:B,MATCH(D312,'Ist Aktuell Monat 12'!A:A,0)),
"{Konto unbekannt}"
)))))))))))),"")</f>
        <v/>
      </c>
      <c r="C312" s="591"/>
      <c r="D312" s="590"/>
      <c r="E312" s="592">
        <f t="shared" si="381"/>
        <v>1</v>
      </c>
      <c r="F312" s="590"/>
      <c r="G312" s="593">
        <f ca="1">$E312*(-SUMIF(INDIRECT(G$3),'Struktur Aktuell'!$D312,INDIRECT(G$4))+SUMIF(INDIRECT(G$3),'Struktur Aktuell'!$D312,INDIRECT(G$5)))</f>
        <v>0</v>
      </c>
      <c r="H312" s="593">
        <f ca="1">$E312*(-SUMIF(INDIRECT(H$3),'Struktur Aktuell'!$D312,INDIRECT(H$4))+SUMIF(INDIRECT(H$3),'Struktur Aktuell'!$D312,INDIRECT(H$5)))</f>
        <v>0</v>
      </c>
      <c r="I312" s="593">
        <f ca="1">$E312*(-SUMIF(INDIRECT(I$3),'Struktur Aktuell'!$D312,INDIRECT(I$4))+SUMIF(INDIRECT(I$3),'Struktur Aktuell'!$D312,INDIRECT(I$5)))</f>
        <v>0</v>
      </c>
      <c r="J312" s="593">
        <f ca="1">$E312*(-SUMIF(INDIRECT(J$3),'Struktur Aktuell'!$D312,INDIRECT(J$4))+SUMIF(INDIRECT(J$3),'Struktur Aktuell'!$D312,INDIRECT(J$5)))</f>
        <v>0</v>
      </c>
      <c r="K312" s="593">
        <f ca="1">$E312*(-SUMIF(INDIRECT(K$3),'Struktur Aktuell'!$D312,INDIRECT(K$4))+SUMIF(INDIRECT(K$3),'Struktur Aktuell'!$D312,INDIRECT(K$5)))</f>
        <v>0</v>
      </c>
      <c r="L312" s="593">
        <f ca="1">$E312*(-SUMIF(INDIRECT(L$3),'Struktur Aktuell'!$D312,INDIRECT(L$4))+SUMIF(INDIRECT(L$3),'Struktur Aktuell'!$D312,INDIRECT(L$5)))</f>
        <v>0</v>
      </c>
      <c r="M312" s="593">
        <f ca="1">$E312*(-SUMIF(INDIRECT(M$3),'Struktur Aktuell'!$D312,INDIRECT(M$4))+SUMIF(INDIRECT(M$3),'Struktur Aktuell'!$D312,INDIRECT(M$5)))</f>
        <v>0</v>
      </c>
      <c r="N312" s="593">
        <f ca="1">$E312*(-SUMIF(INDIRECT(N$3),'Struktur Aktuell'!$D312,INDIRECT(N$4))+SUMIF(INDIRECT(N$3),'Struktur Aktuell'!$D312,INDIRECT(N$5)))</f>
        <v>0</v>
      </c>
      <c r="O312" s="593">
        <f ca="1">$E312*(-SUMIF(INDIRECT(O$3),'Struktur Aktuell'!$D312,INDIRECT(O$4))+SUMIF(INDIRECT(O$3),'Struktur Aktuell'!$D312,INDIRECT(O$5)))</f>
        <v>0</v>
      </c>
      <c r="P312" s="593">
        <f ca="1">$E312*(-SUMIF(INDIRECT(P$3),'Struktur Aktuell'!$D312,INDIRECT(P$4))+SUMIF(INDIRECT(P$3),'Struktur Aktuell'!$D312,INDIRECT(P$5)))</f>
        <v>0</v>
      </c>
      <c r="Q312" s="593">
        <f ca="1">$E312*(-SUMIF(INDIRECT(Q$3),'Struktur Aktuell'!$D312,INDIRECT(Q$4))+SUMIF(INDIRECT(Q$3),'Struktur Aktuell'!$D312,INDIRECT(Q$5)))</f>
        <v>0</v>
      </c>
      <c r="R312" s="593">
        <f ca="1">$E312*(-SUMIF(INDIRECT(R$3),'Struktur Aktuell'!$D312,INDIRECT(R$4))+SUMIF(INDIRECT(R$3),'Struktur Aktuell'!$D312,INDIRECT(R$5)))</f>
        <v>0</v>
      </c>
      <c r="S312" s="593">
        <f ca="1">$E312*(-SUMIF(INDIRECT(S$3),'Struktur Aktuell'!$D312,INDIRECT(S$4))+SUMIF(INDIRECT(S$3),'Struktur Aktuell'!$D312,INDIRECT(S$5)))</f>
        <v>0</v>
      </c>
      <c r="T312" s="593">
        <f ca="1">$E312*(-SUMIF(INDIRECT(T$3),'Struktur Aktuell'!$D312,INDIRECT(T$4))+SUMIF(INDIRECT(T$3),'Struktur Aktuell'!$D312,INDIRECT(T$5)))</f>
        <v>0</v>
      </c>
      <c r="U312" s="593">
        <f ca="1">$E312*(-SUMIF(INDIRECT(U$3),'Struktur Aktuell'!$D312,INDIRECT(U$4))+SUMIF(INDIRECT(U$3),'Struktur Aktuell'!$D312,INDIRECT(U$5)))</f>
        <v>0</v>
      </c>
      <c r="V312" s="593">
        <f ca="1">$E312*(-SUMIF(INDIRECT(V$3),'Struktur Aktuell'!$D312,INDIRECT(V$4))+SUMIF(INDIRECT(V$3),'Struktur Aktuell'!$D312,INDIRECT(V$5)))</f>
        <v>0</v>
      </c>
      <c r="W312" s="593">
        <f ca="1">$E312*(-SUMIF(INDIRECT(W$3),'Struktur Aktuell'!$D312,INDIRECT(W$4))+SUMIF(INDIRECT(W$3),'Struktur Aktuell'!$D312,INDIRECT(W$5)))</f>
        <v>0</v>
      </c>
      <c r="X312" s="593">
        <f ca="1">$E312*(-SUMIF(INDIRECT(X$3),'Struktur Aktuell'!$D312,INDIRECT(X$4))+SUMIF(INDIRECT(X$3),'Struktur Aktuell'!$D312,INDIRECT(X$5)))</f>
        <v>0</v>
      </c>
      <c r="Y312" s="593">
        <f ca="1">$E312*(-SUMIF(INDIRECT(Y$3),'Struktur Aktuell'!$D312,INDIRECT(Y$4))+SUMIF(INDIRECT(Y$3),'Struktur Aktuell'!$D312,INDIRECT(Y$5)))</f>
        <v>0</v>
      </c>
      <c r="Z312" s="593">
        <f ca="1">$E312*(-SUMIF(INDIRECT(Z$3),'Struktur Aktuell'!$D312,INDIRECT(Z$4))+SUMIF(INDIRECT(Z$3),'Struktur Aktuell'!$D312,INDIRECT(Z$5)))</f>
        <v>0</v>
      </c>
      <c r="AA312" s="593">
        <f ca="1">$E312*(-SUMIF(INDIRECT(AA$3),'Struktur Aktuell'!$D312,INDIRECT(AA$4))+SUMIF(INDIRECT(AA$3),'Struktur Aktuell'!$D312,INDIRECT(AA$5)))</f>
        <v>0</v>
      </c>
      <c r="AB312" s="593">
        <f ca="1">$E312*(-SUMIF(INDIRECT(AB$3),'Struktur Aktuell'!$D312,INDIRECT(AB$4))+SUMIF(INDIRECT(AB$3),'Struktur Aktuell'!$D312,INDIRECT(AB$5)))</f>
        <v>0</v>
      </c>
      <c r="AC312" s="593">
        <f ca="1">$E312*(-SUMIF(INDIRECT(AC$3),'Struktur Aktuell'!$D312,INDIRECT(AC$4))+SUMIF(INDIRECT(AC$3),'Struktur Aktuell'!$D312,INDIRECT(AC$5)))</f>
        <v>0</v>
      </c>
      <c r="AD312" s="593">
        <f ca="1">$E312*(-SUMIF(INDIRECT(AD$3),'Struktur Aktuell'!$D312,INDIRECT(AD$4))+SUMIF(INDIRECT(AD$3),'Struktur Aktuell'!$D312,INDIRECT(AD$5)))</f>
        <v>0</v>
      </c>
      <c r="AE312" s="593">
        <f t="shared" ca="1" si="430"/>
        <v>0</v>
      </c>
      <c r="AF312" s="593">
        <f t="shared" ca="1" si="431"/>
        <v>0</v>
      </c>
      <c r="AG312" s="593">
        <f t="shared" ca="1" si="432"/>
        <v>0</v>
      </c>
      <c r="AH312" s="593">
        <f t="shared" ca="1" si="433"/>
        <v>0</v>
      </c>
      <c r="AI312" s="593">
        <f t="shared" ca="1" si="434"/>
        <v>0</v>
      </c>
      <c r="AJ312" s="593">
        <f t="shared" ca="1" si="435"/>
        <v>0</v>
      </c>
      <c r="AK312" s="593">
        <f t="shared" ca="1" si="436"/>
        <v>0</v>
      </c>
      <c r="AL312" s="593">
        <f t="shared" ca="1" si="437"/>
        <v>0</v>
      </c>
      <c r="AM312" s="593">
        <f t="shared" ca="1" si="438"/>
        <v>0</v>
      </c>
      <c r="AN312" s="593">
        <f t="shared" ca="1" si="439"/>
        <v>0</v>
      </c>
      <c r="AO312" s="593">
        <f t="shared" ca="1" si="440"/>
        <v>0</v>
      </c>
      <c r="AP312" s="593">
        <f t="shared" ca="1" si="441"/>
        <v>0</v>
      </c>
    </row>
    <row r="313" spans="1:42" s="589" customFormat="1" x14ac:dyDescent="0.2">
      <c r="A313" s="595"/>
      <c r="B313" s="596" t="s">
        <v>1014</v>
      </c>
      <c r="C313" s="597">
        <f ca="1">SUM(G313:R313)</f>
        <v>0</v>
      </c>
      <c r="D313" s="597"/>
      <c r="E313" s="598">
        <f t="shared" si="381"/>
        <v>1</v>
      </c>
      <c r="F313" s="595"/>
      <c r="G313" s="597">
        <f ca="1">-G301+G306</f>
        <v>0</v>
      </c>
      <c r="H313" s="597">
        <f t="shared" ref="H313:R313" ca="1" si="442">-H301+H306</f>
        <v>0</v>
      </c>
      <c r="I313" s="597">
        <f t="shared" ca="1" si="442"/>
        <v>0</v>
      </c>
      <c r="J313" s="597">
        <f t="shared" ca="1" si="442"/>
        <v>0</v>
      </c>
      <c r="K313" s="597">
        <f t="shared" ca="1" si="442"/>
        <v>0</v>
      </c>
      <c r="L313" s="597">
        <f t="shared" ca="1" si="442"/>
        <v>0</v>
      </c>
      <c r="M313" s="597">
        <f t="shared" ca="1" si="442"/>
        <v>0</v>
      </c>
      <c r="N313" s="597">
        <f t="shared" ca="1" si="442"/>
        <v>0</v>
      </c>
      <c r="O313" s="597">
        <f t="shared" ca="1" si="442"/>
        <v>0</v>
      </c>
      <c r="P313" s="597">
        <f t="shared" ca="1" si="442"/>
        <v>0</v>
      </c>
      <c r="Q313" s="597">
        <f t="shared" ca="1" si="442"/>
        <v>0</v>
      </c>
      <c r="R313" s="597">
        <f t="shared" ca="1" si="442"/>
        <v>0</v>
      </c>
      <c r="S313" s="597">
        <f ca="1">-S301+S306</f>
        <v>0</v>
      </c>
      <c r="T313" s="597">
        <f t="shared" ref="T313:AD313" ca="1" si="443">-T301+T306</f>
        <v>0</v>
      </c>
      <c r="U313" s="597">
        <f t="shared" ca="1" si="443"/>
        <v>0</v>
      </c>
      <c r="V313" s="597">
        <f t="shared" ca="1" si="443"/>
        <v>0</v>
      </c>
      <c r="W313" s="597">
        <f t="shared" ca="1" si="443"/>
        <v>0</v>
      </c>
      <c r="X313" s="597">
        <f t="shared" ca="1" si="443"/>
        <v>0</v>
      </c>
      <c r="Y313" s="597">
        <f t="shared" ca="1" si="443"/>
        <v>0</v>
      </c>
      <c r="Z313" s="597">
        <f t="shared" ca="1" si="443"/>
        <v>0</v>
      </c>
      <c r="AA313" s="597">
        <f t="shared" ca="1" si="443"/>
        <v>0</v>
      </c>
      <c r="AB313" s="597">
        <f t="shared" ca="1" si="443"/>
        <v>0</v>
      </c>
      <c r="AC313" s="597">
        <f t="shared" ca="1" si="443"/>
        <v>0</v>
      </c>
      <c r="AD313" s="597">
        <f t="shared" ca="1" si="443"/>
        <v>0</v>
      </c>
      <c r="AE313" s="597">
        <f ca="1">-AE301+AE306</f>
        <v>0</v>
      </c>
      <c r="AF313" s="597">
        <f t="shared" ref="AF313:AP313" ca="1" si="444">-AF301+AF306</f>
        <v>0</v>
      </c>
      <c r="AG313" s="597">
        <f t="shared" ca="1" si="444"/>
        <v>0</v>
      </c>
      <c r="AH313" s="597">
        <f t="shared" ca="1" si="444"/>
        <v>0</v>
      </c>
      <c r="AI313" s="597">
        <f t="shared" ca="1" si="444"/>
        <v>0</v>
      </c>
      <c r="AJ313" s="597">
        <f t="shared" ca="1" si="444"/>
        <v>0</v>
      </c>
      <c r="AK313" s="597">
        <f t="shared" ca="1" si="444"/>
        <v>0</v>
      </c>
      <c r="AL313" s="597">
        <f t="shared" ca="1" si="444"/>
        <v>0</v>
      </c>
      <c r="AM313" s="597">
        <f t="shared" ca="1" si="444"/>
        <v>0</v>
      </c>
      <c r="AN313" s="597">
        <f t="shared" ca="1" si="444"/>
        <v>0</v>
      </c>
      <c r="AO313" s="597">
        <f t="shared" ca="1" si="444"/>
        <v>0</v>
      </c>
      <c r="AP313" s="597">
        <f t="shared" ca="1" si="444"/>
        <v>0</v>
      </c>
    </row>
    <row r="314" spans="1:42" s="589" customFormat="1" x14ac:dyDescent="0.2">
      <c r="A314" s="595"/>
      <c r="B314" s="596" t="s">
        <v>1015</v>
      </c>
      <c r="C314" s="597">
        <f ca="1">SUM(G314:R314)</f>
        <v>-32469.819999999992</v>
      </c>
      <c r="D314" s="597"/>
      <c r="E314" s="598">
        <f t="shared" si="381"/>
        <v>1</v>
      </c>
      <c r="F314" s="595"/>
      <c r="G314" s="597">
        <f ca="1">G300-G313</f>
        <v>-9329.1200000000008</v>
      </c>
      <c r="H314" s="597">
        <f t="shared" ref="H314:R314" ca="1" si="445">H300-H313</f>
        <v>-8517.4599999999991</v>
      </c>
      <c r="I314" s="597">
        <f t="shared" ca="1" si="445"/>
        <v>-17290.11</v>
      </c>
      <c r="J314" s="597">
        <f t="shared" ca="1" si="445"/>
        <v>-9357.6400000000031</v>
      </c>
      <c r="K314" s="597">
        <f t="shared" ca="1" si="445"/>
        <v>-15077.769999999997</v>
      </c>
      <c r="L314" s="597">
        <f t="shared" ca="1" si="445"/>
        <v>-9068.6899999999987</v>
      </c>
      <c r="M314" s="597">
        <f t="shared" ca="1" si="445"/>
        <v>28137.950000000004</v>
      </c>
      <c r="N314" s="597">
        <f t="shared" ca="1" si="445"/>
        <v>1239.850000000001</v>
      </c>
      <c r="O314" s="597">
        <f t="shared" ca="1" si="445"/>
        <v>-7196.3599999999988</v>
      </c>
      <c r="P314" s="597">
        <f t="shared" ca="1" si="445"/>
        <v>13989.53</v>
      </c>
      <c r="Q314" s="597">
        <f t="shared" ca="1" si="445"/>
        <v>0</v>
      </c>
      <c r="R314" s="597">
        <f t="shared" ca="1" si="445"/>
        <v>0</v>
      </c>
      <c r="S314" s="597">
        <f ca="1">S300-S313</f>
        <v>-9329.1200000000008</v>
      </c>
      <c r="T314" s="597">
        <f t="shared" ref="T314:AD314" ca="1" si="446">T300-T313</f>
        <v>-17846.580000000005</v>
      </c>
      <c r="U314" s="597">
        <f t="shared" ca="1" si="446"/>
        <v>-35136.69000000001</v>
      </c>
      <c r="V314" s="597">
        <f t="shared" ca="1" si="446"/>
        <v>-44494.33</v>
      </c>
      <c r="W314" s="597">
        <f t="shared" ca="1" si="446"/>
        <v>-59572.1</v>
      </c>
      <c r="X314" s="597">
        <f t="shared" ca="1" si="446"/>
        <v>-68640.789999999994</v>
      </c>
      <c r="Y314" s="597">
        <f t="shared" ca="1" si="446"/>
        <v>-40502.839999999997</v>
      </c>
      <c r="Z314" s="597">
        <f t="shared" ca="1" si="446"/>
        <v>-39262.989999999991</v>
      </c>
      <c r="AA314" s="597">
        <f t="shared" ca="1" si="446"/>
        <v>-46459.350000000013</v>
      </c>
      <c r="AB314" s="597">
        <f t="shared" ca="1" si="446"/>
        <v>-32469.820000000007</v>
      </c>
      <c r="AC314" s="597">
        <f t="shared" ca="1" si="446"/>
        <v>0</v>
      </c>
      <c r="AD314" s="597">
        <f t="shared" ca="1" si="446"/>
        <v>0</v>
      </c>
      <c r="AE314" s="597">
        <f ca="1">AE300-AE313</f>
        <v>-9329.1200000000008</v>
      </c>
      <c r="AF314" s="597">
        <f t="shared" ref="AF314:AP314" ca="1" si="447">AF300-AF313</f>
        <v>-17846.580000000005</v>
      </c>
      <c r="AG314" s="597">
        <f t="shared" ca="1" si="447"/>
        <v>-35136.69000000001</v>
      </c>
      <c r="AH314" s="597">
        <f t="shared" ca="1" si="447"/>
        <v>-44494.33</v>
      </c>
      <c r="AI314" s="597">
        <f t="shared" ca="1" si="447"/>
        <v>-59572.100000000006</v>
      </c>
      <c r="AJ314" s="597">
        <f t="shared" ca="1" si="447"/>
        <v>-68640.789999999994</v>
      </c>
      <c r="AK314" s="597">
        <f t="shared" ca="1" si="447"/>
        <v>-40502.839999999997</v>
      </c>
      <c r="AL314" s="597">
        <f t="shared" ca="1" si="447"/>
        <v>-39262.989999999991</v>
      </c>
      <c r="AM314" s="597">
        <f t="shared" ca="1" si="447"/>
        <v>-46459.350000000013</v>
      </c>
      <c r="AN314" s="597">
        <f t="shared" ca="1" si="447"/>
        <v>-32469.819999999956</v>
      </c>
      <c r="AO314" s="597">
        <f t="shared" ca="1" si="447"/>
        <v>-32469.819999999956</v>
      </c>
      <c r="AP314" s="597">
        <f t="shared" ca="1" si="447"/>
        <v>-32469.819999999956</v>
      </c>
    </row>
    <row r="315" spans="1:42" s="589" customFormat="1" x14ac:dyDescent="0.2">
      <c r="A315" s="585">
        <v>29</v>
      </c>
      <c r="B315" s="586" t="s">
        <v>272</v>
      </c>
      <c r="C315" s="587">
        <f ca="1">SUM(G315:R315)</f>
        <v>4161.8900000000003</v>
      </c>
      <c r="D315" s="587"/>
      <c r="E315" s="588">
        <f t="shared" si="381"/>
        <v>1</v>
      </c>
      <c r="F315" s="585"/>
      <c r="G315" s="587">
        <f t="shared" ref="G315:R315" ca="1" si="448">SUM(G316:G320)</f>
        <v>232.46</v>
      </c>
      <c r="H315" s="587">
        <f t="shared" ca="1" si="448"/>
        <v>232.51999999999998</v>
      </c>
      <c r="I315" s="587">
        <f t="shared" ca="1" si="448"/>
        <v>400.51</v>
      </c>
      <c r="J315" s="587">
        <f t="shared" ca="1" si="448"/>
        <v>346.14</v>
      </c>
      <c r="K315" s="587">
        <f t="shared" ca="1" si="448"/>
        <v>740.75</v>
      </c>
      <c r="L315" s="587">
        <f t="shared" ca="1" si="448"/>
        <v>651.68000000000006</v>
      </c>
      <c r="M315" s="587">
        <f t="shared" ca="1" si="448"/>
        <v>687.79</v>
      </c>
      <c r="N315" s="587">
        <f t="shared" ca="1" si="448"/>
        <v>324.77999999999997</v>
      </c>
      <c r="O315" s="587">
        <f t="shared" ca="1" si="448"/>
        <v>272.60000000000002</v>
      </c>
      <c r="P315" s="587">
        <f t="shared" ca="1" si="448"/>
        <v>272.66000000000003</v>
      </c>
      <c r="Q315" s="587">
        <f t="shared" ca="1" si="448"/>
        <v>0</v>
      </c>
      <c r="R315" s="587">
        <f t="shared" ca="1" si="448"/>
        <v>0</v>
      </c>
      <c r="S315" s="587">
        <f t="shared" ref="S315:AP315" ca="1" si="449">SUM(S316:S320)</f>
        <v>232.46</v>
      </c>
      <c r="T315" s="587">
        <f t="shared" ca="1" si="449"/>
        <v>464.98</v>
      </c>
      <c r="U315" s="587">
        <f t="shared" ca="1" si="449"/>
        <v>865.49</v>
      </c>
      <c r="V315" s="587">
        <f t="shared" ca="1" si="449"/>
        <v>1211.6299999999999</v>
      </c>
      <c r="W315" s="587">
        <f t="shared" ca="1" si="449"/>
        <v>1952.38</v>
      </c>
      <c r="X315" s="587">
        <f t="shared" ca="1" si="449"/>
        <v>2604.06</v>
      </c>
      <c r="Y315" s="587">
        <f t="shared" ca="1" si="449"/>
        <v>3291.85</v>
      </c>
      <c r="Z315" s="587">
        <f t="shared" ca="1" si="449"/>
        <v>3616.63</v>
      </c>
      <c r="AA315" s="587">
        <f t="shared" ca="1" si="449"/>
        <v>3889.23</v>
      </c>
      <c r="AB315" s="587">
        <f t="shared" ca="1" si="449"/>
        <v>4161.8899999999994</v>
      </c>
      <c r="AC315" s="587">
        <f t="shared" ca="1" si="449"/>
        <v>0</v>
      </c>
      <c r="AD315" s="587">
        <f t="shared" ca="1" si="449"/>
        <v>0</v>
      </c>
      <c r="AE315" s="587">
        <f t="shared" ca="1" si="449"/>
        <v>232.46</v>
      </c>
      <c r="AF315" s="587">
        <f t="shared" ca="1" si="449"/>
        <v>464.97999999999996</v>
      </c>
      <c r="AG315" s="587">
        <f t="shared" ca="1" si="449"/>
        <v>865.49</v>
      </c>
      <c r="AH315" s="587">
        <f t="shared" ca="1" si="449"/>
        <v>1211.6299999999999</v>
      </c>
      <c r="AI315" s="587">
        <f t="shared" ca="1" si="449"/>
        <v>1952.38</v>
      </c>
      <c r="AJ315" s="587">
        <f t="shared" ca="1" si="449"/>
        <v>2604.06</v>
      </c>
      <c r="AK315" s="587">
        <f t="shared" ca="1" si="449"/>
        <v>3291.85</v>
      </c>
      <c r="AL315" s="587">
        <f t="shared" ca="1" si="449"/>
        <v>3616.6299999999997</v>
      </c>
      <c r="AM315" s="587">
        <f t="shared" ca="1" si="449"/>
        <v>3889.23</v>
      </c>
      <c r="AN315" s="587">
        <f t="shared" ca="1" si="449"/>
        <v>4161.8899999999994</v>
      </c>
      <c r="AO315" s="587">
        <f t="shared" ca="1" si="449"/>
        <v>4161.8899999999994</v>
      </c>
      <c r="AP315" s="587">
        <f t="shared" ca="1" si="449"/>
        <v>4161.8899999999994</v>
      </c>
    </row>
    <row r="316" spans="1:42" s="594" customFormat="1" ht="11.25" outlineLevel="1" x14ac:dyDescent="0.2">
      <c r="A316" s="590"/>
      <c r="B316" s="591" t="str">
        <f>IF(D316&lt;&gt;"",
IF(ISERROR(MATCH(D316,'Ist Aktuell Monat 01'!A:A,0))=FALSE,INDEX('Ist Aktuell Monat 01'!B:B,MATCH(D316,'Ist Aktuell Monat 01'!A:A,0)),
IF(ISERROR(MATCH(D316,'Ist Aktuell Monat 02'!A:A,0))=FALSE,INDEX('Ist Aktuell Monat 02'!B:B,MATCH(D316,'Ist Aktuell Monat 02'!A:A,0)),
IF(ISERROR(MATCH(D316,'Ist Aktuell Monat 03'!A:A,0))=FALSE,INDEX('Ist Aktuell Monat 03'!B:B,MATCH(D316,'Ist Aktuell Monat 03'!A:A,0)),
IF(ISERROR(MATCH(D316,'Ist Aktuell Monat 04'!A:A,0))=FALSE,INDEX('Ist Aktuell Monat 04'!B:B,MATCH(D316,'Ist Aktuell Monat 04'!A:A,0)),
IF(ISERROR(MATCH(D316,'Ist Aktuell Monat 05'!A:A,0))=FALSE,INDEX('Ist Aktuell Monat 05'!B:B,MATCH(D316,'Ist Aktuell Monat 05'!A:A,0)),
IF(ISERROR(MATCH(D316,'Ist Aktuell Monat 06'!A:A,0))=FALSE,INDEX('Ist Aktuell Monat 06'!B:B,MATCH(D316,'Ist Aktuell Monat 06'!A:A,0)),
IF(ISERROR(MATCH(D316,'Ist Aktuell Monat 07'!A:A,0))=FALSE,INDEX('Ist Aktuell Monat 07'!B:B,MATCH(D316,'Ist Aktuell Monat 07'!A:A,0)),
IF(ISERROR(MATCH(D316,'Ist Aktuell Monat 08'!A:A,0))=FALSE,INDEX('Ist Aktuell Monat 08'!B:B,MATCH(D316,'Ist Aktuell Monat 08'!A:A,0)),
IF(ISERROR(MATCH(D316,'Ist Aktuell Monat 09'!A:A,0))=FALSE,INDEX('Ist Aktuell Monat 09'!B:B,MATCH(D316,'Ist Aktuell Monat 09'!A:A,0)),
IF(ISERROR(MATCH(D316,'Ist Aktuell Monat 10'!A:A,0))=FALSE,INDEX('Ist Aktuell Monat 10'!B:B,MATCH(D316,'Ist Aktuell Monat 10'!A:A,0)),
IF(ISERROR(MATCH(D316,'Ist Aktuell Monat 11'!A:A,0))=FALSE,INDEX('Ist Aktuell Monat 11'!B:B,MATCH(D316,'Ist Aktuell Monat 11'!A:A,0)),
IF(ISERROR(MATCH(D316,'Ist Aktuell Monat 12'!A:A,0))=FALSE,INDEX('Ist Aktuell Monat 12'!B:B,MATCH(D316,'Ist Aktuell Monat 12'!A:A,0)),
"{Konto unbekannt}"
)))))))))))),"")</f>
        <v>Abschreibung immaterielle VermG</v>
      </c>
      <c r="C316" s="591"/>
      <c r="D316" s="590">
        <v>4822</v>
      </c>
      <c r="E316" s="592">
        <f t="shared" si="381"/>
        <v>1</v>
      </c>
      <c r="F316" s="590"/>
      <c r="G316" s="593">
        <f ca="1">$E316*(-SUMIF(INDIRECT(G$3),'Struktur Aktuell'!$D316,INDIRECT(G$4))+SUMIF(INDIRECT(G$3),'Struktur Aktuell'!$D316,INDIRECT(G$5)))</f>
        <v>104.28</v>
      </c>
      <c r="H316" s="593">
        <f ca="1">$E316*(-SUMIF(INDIRECT(H$3),'Struktur Aktuell'!$D316,INDIRECT(H$4))+SUMIF(INDIRECT(H$3),'Struktur Aktuell'!$D316,INDIRECT(H$5)))</f>
        <v>104.3</v>
      </c>
      <c r="I316" s="593">
        <f ca="1">$E316*(-SUMIF(INDIRECT(I$3),'Struktur Aktuell'!$D316,INDIRECT(I$4))+SUMIF(INDIRECT(I$3),'Struktur Aktuell'!$D316,INDIRECT(I$5)))</f>
        <v>104.28</v>
      </c>
      <c r="J316" s="593">
        <f ca="1">$E316*(-SUMIF(INDIRECT(J$3),'Struktur Aktuell'!$D316,INDIRECT(J$4))+SUMIF(INDIRECT(J$3),'Struktur Aktuell'!$D316,INDIRECT(J$5)))</f>
        <v>104.3</v>
      </c>
      <c r="K316" s="593">
        <f ca="1">$E316*(-SUMIF(INDIRECT(K$3),'Struktur Aktuell'!$D316,INDIRECT(K$4))+SUMIF(INDIRECT(K$3),'Struktur Aktuell'!$D316,INDIRECT(K$5)))</f>
        <v>104.29</v>
      </c>
      <c r="L316" s="593">
        <f ca="1">$E316*(-SUMIF(INDIRECT(L$3),'Struktur Aktuell'!$D316,INDIRECT(L$4))+SUMIF(INDIRECT(L$3),'Struktur Aktuell'!$D316,INDIRECT(L$5)))</f>
        <v>104.29</v>
      </c>
      <c r="M316" s="593">
        <f ca="1">$E316*(-SUMIF(INDIRECT(M$3),'Struktur Aktuell'!$D316,INDIRECT(M$4))+SUMIF(INDIRECT(M$3),'Struktur Aktuell'!$D316,INDIRECT(M$5)))</f>
        <v>104.29</v>
      </c>
      <c r="N316" s="593">
        <f ca="1">$E316*(-SUMIF(INDIRECT(N$3),'Struktur Aktuell'!$D316,INDIRECT(N$4))+SUMIF(INDIRECT(N$3),'Struktur Aktuell'!$D316,INDIRECT(N$5)))</f>
        <v>104.3</v>
      </c>
      <c r="O316" s="593">
        <f ca="1">$E316*(-SUMIF(INDIRECT(O$3),'Struktur Aktuell'!$D316,INDIRECT(O$4))+SUMIF(INDIRECT(O$3),'Struktur Aktuell'!$D316,INDIRECT(O$5)))</f>
        <v>52.16</v>
      </c>
      <c r="P316" s="593">
        <f ca="1">$E316*(-SUMIF(INDIRECT(P$3),'Struktur Aktuell'!$D316,INDIRECT(P$4))+SUMIF(INDIRECT(P$3),'Struktur Aktuell'!$D316,INDIRECT(P$5)))</f>
        <v>52.17</v>
      </c>
      <c r="Q316" s="593">
        <f ca="1">$E316*(-SUMIF(INDIRECT(Q$3),'Struktur Aktuell'!$D316,INDIRECT(Q$4))+SUMIF(INDIRECT(Q$3),'Struktur Aktuell'!$D316,INDIRECT(Q$5)))</f>
        <v>0</v>
      </c>
      <c r="R316" s="593">
        <f ca="1">$E316*(-SUMIF(INDIRECT(R$3),'Struktur Aktuell'!$D316,INDIRECT(R$4))+SUMIF(INDIRECT(R$3),'Struktur Aktuell'!$D316,INDIRECT(R$5)))</f>
        <v>0</v>
      </c>
      <c r="S316" s="593">
        <f ca="1">$E316*(-SUMIF(INDIRECT(S$3),'Struktur Aktuell'!$D316,INDIRECT(S$4))+SUMIF(INDIRECT(S$3),'Struktur Aktuell'!$D316,INDIRECT(S$5)))</f>
        <v>104.28</v>
      </c>
      <c r="T316" s="593">
        <f ca="1">$E316*(-SUMIF(INDIRECT(T$3),'Struktur Aktuell'!$D316,INDIRECT(T$4))+SUMIF(INDIRECT(T$3),'Struktur Aktuell'!$D316,INDIRECT(T$5)))</f>
        <v>208.58</v>
      </c>
      <c r="U316" s="593">
        <f ca="1">$E316*(-SUMIF(INDIRECT(U$3),'Struktur Aktuell'!$D316,INDIRECT(U$4))+SUMIF(INDIRECT(U$3),'Struktur Aktuell'!$D316,INDIRECT(U$5)))</f>
        <v>312.86</v>
      </c>
      <c r="V316" s="593">
        <f ca="1">$E316*(-SUMIF(INDIRECT(V$3),'Struktur Aktuell'!$D316,INDIRECT(V$4))+SUMIF(INDIRECT(V$3),'Struktur Aktuell'!$D316,INDIRECT(V$5)))</f>
        <v>417.16</v>
      </c>
      <c r="W316" s="593">
        <f ca="1">$E316*(-SUMIF(INDIRECT(W$3),'Struktur Aktuell'!$D316,INDIRECT(W$4))+SUMIF(INDIRECT(W$3),'Struktur Aktuell'!$D316,INDIRECT(W$5)))</f>
        <v>521.45000000000005</v>
      </c>
      <c r="X316" s="593">
        <f ca="1">$E316*(-SUMIF(INDIRECT(X$3),'Struktur Aktuell'!$D316,INDIRECT(X$4))+SUMIF(INDIRECT(X$3),'Struktur Aktuell'!$D316,INDIRECT(X$5)))</f>
        <v>625.74</v>
      </c>
      <c r="Y316" s="593">
        <f ca="1">$E316*(-SUMIF(INDIRECT(Y$3),'Struktur Aktuell'!$D316,INDIRECT(Y$4))+SUMIF(INDIRECT(Y$3),'Struktur Aktuell'!$D316,INDIRECT(Y$5)))</f>
        <v>730.03</v>
      </c>
      <c r="Z316" s="593">
        <f ca="1">$E316*(-SUMIF(INDIRECT(Z$3),'Struktur Aktuell'!$D316,INDIRECT(Z$4))+SUMIF(INDIRECT(Z$3),'Struktur Aktuell'!$D316,INDIRECT(Z$5)))</f>
        <v>834.33</v>
      </c>
      <c r="AA316" s="593">
        <f ca="1">$E316*(-SUMIF(INDIRECT(AA$3),'Struktur Aktuell'!$D316,INDIRECT(AA$4))+SUMIF(INDIRECT(AA$3),'Struktur Aktuell'!$D316,INDIRECT(AA$5)))</f>
        <v>886.49</v>
      </c>
      <c r="AB316" s="593">
        <f ca="1">$E316*(-SUMIF(INDIRECT(AB$3),'Struktur Aktuell'!$D316,INDIRECT(AB$4))+SUMIF(INDIRECT(AB$3),'Struktur Aktuell'!$D316,INDIRECT(AB$5)))</f>
        <v>938.66</v>
      </c>
      <c r="AC316" s="593">
        <f ca="1">$E316*(-SUMIF(INDIRECT(AC$3),'Struktur Aktuell'!$D316,INDIRECT(AC$4))+SUMIF(INDIRECT(AC$3),'Struktur Aktuell'!$D316,INDIRECT(AC$5)))</f>
        <v>0</v>
      </c>
      <c r="AD316" s="593">
        <f ca="1">$E316*(-SUMIF(INDIRECT(AD$3),'Struktur Aktuell'!$D316,INDIRECT(AD$4))+SUMIF(INDIRECT(AD$3),'Struktur Aktuell'!$D316,INDIRECT(AD$5)))</f>
        <v>0</v>
      </c>
      <c r="AE316" s="593">
        <f t="shared" ref="AE316:AE320" ca="1" si="450">G316</f>
        <v>104.28</v>
      </c>
      <c r="AF316" s="593">
        <f t="shared" ref="AF316:AF320" ca="1" si="451">H316+AE316</f>
        <v>208.57999999999998</v>
      </c>
      <c r="AG316" s="593">
        <f t="shared" ref="AG316:AG320" ca="1" si="452">I316+AF316</f>
        <v>312.86</v>
      </c>
      <c r="AH316" s="593">
        <f t="shared" ref="AH316:AH320" ca="1" si="453">J316+AG316</f>
        <v>417.16</v>
      </c>
      <c r="AI316" s="593">
        <f t="shared" ref="AI316:AI320" ca="1" si="454">K316+AH316</f>
        <v>521.45000000000005</v>
      </c>
      <c r="AJ316" s="593">
        <f t="shared" ref="AJ316:AJ320" ca="1" si="455">L316+AI316</f>
        <v>625.74</v>
      </c>
      <c r="AK316" s="593">
        <f t="shared" ref="AK316:AK320" ca="1" si="456">M316+AJ316</f>
        <v>730.03</v>
      </c>
      <c r="AL316" s="593">
        <f t="shared" ref="AL316:AL320" ca="1" si="457">N316+AK316</f>
        <v>834.32999999999993</v>
      </c>
      <c r="AM316" s="593">
        <f t="shared" ref="AM316:AM320" ca="1" si="458">O316+AL316</f>
        <v>886.4899999999999</v>
      </c>
      <c r="AN316" s="593">
        <f t="shared" ref="AN316:AN320" ca="1" si="459">P316+AM316</f>
        <v>938.65999999999985</v>
      </c>
      <c r="AO316" s="593">
        <f t="shared" ref="AO316:AO320" ca="1" si="460">Q316+AN316</f>
        <v>938.65999999999985</v>
      </c>
      <c r="AP316" s="593">
        <f t="shared" ref="AP316:AP320" ca="1" si="461">R316+AO316</f>
        <v>938.65999999999985</v>
      </c>
    </row>
    <row r="317" spans="1:42" s="594" customFormat="1" ht="11.25" outlineLevel="1" x14ac:dyDescent="0.2">
      <c r="A317" s="590"/>
      <c r="B317" s="591" t="str">
        <f>IF(D317&lt;&gt;"",
IF(ISERROR(MATCH(D317,'Ist Aktuell Monat 01'!A:A,0))=FALSE,INDEX('Ist Aktuell Monat 01'!B:B,MATCH(D317,'Ist Aktuell Monat 01'!A:A,0)),
IF(ISERROR(MATCH(D317,'Ist Aktuell Monat 02'!A:A,0))=FALSE,INDEX('Ist Aktuell Monat 02'!B:B,MATCH(D317,'Ist Aktuell Monat 02'!A:A,0)),
IF(ISERROR(MATCH(D317,'Ist Aktuell Monat 03'!A:A,0))=FALSE,INDEX('Ist Aktuell Monat 03'!B:B,MATCH(D317,'Ist Aktuell Monat 03'!A:A,0)),
IF(ISERROR(MATCH(D317,'Ist Aktuell Monat 04'!A:A,0))=FALSE,INDEX('Ist Aktuell Monat 04'!B:B,MATCH(D317,'Ist Aktuell Monat 04'!A:A,0)),
IF(ISERROR(MATCH(D317,'Ist Aktuell Monat 05'!A:A,0))=FALSE,INDEX('Ist Aktuell Monat 05'!B:B,MATCH(D317,'Ist Aktuell Monat 05'!A:A,0)),
IF(ISERROR(MATCH(D317,'Ist Aktuell Monat 06'!A:A,0))=FALSE,INDEX('Ist Aktuell Monat 06'!B:B,MATCH(D317,'Ist Aktuell Monat 06'!A:A,0)),
IF(ISERROR(MATCH(D317,'Ist Aktuell Monat 07'!A:A,0))=FALSE,INDEX('Ist Aktuell Monat 07'!B:B,MATCH(D317,'Ist Aktuell Monat 07'!A:A,0)),
IF(ISERROR(MATCH(D317,'Ist Aktuell Monat 08'!A:A,0))=FALSE,INDEX('Ist Aktuell Monat 08'!B:B,MATCH(D317,'Ist Aktuell Monat 08'!A:A,0)),
IF(ISERROR(MATCH(D317,'Ist Aktuell Monat 09'!A:A,0))=FALSE,INDEX('Ist Aktuell Monat 09'!B:B,MATCH(D317,'Ist Aktuell Monat 09'!A:A,0)),
IF(ISERROR(MATCH(D317,'Ist Aktuell Monat 10'!A:A,0))=FALSE,INDEX('Ist Aktuell Monat 10'!B:B,MATCH(D317,'Ist Aktuell Monat 10'!A:A,0)),
IF(ISERROR(MATCH(D317,'Ist Aktuell Monat 11'!A:A,0))=FALSE,INDEX('Ist Aktuell Monat 11'!B:B,MATCH(D317,'Ist Aktuell Monat 11'!A:A,0)),
IF(ISERROR(MATCH(D317,'Ist Aktuell Monat 12'!A:A,0))=FALSE,INDEX('Ist Aktuell Monat 12'!B:B,MATCH(D317,'Ist Aktuell Monat 12'!A:A,0)),
"{Konto unbekannt}"
)))))))))))),"")</f>
        <v>Abschreibungen auf Sachanlagen</v>
      </c>
      <c r="C317" s="591"/>
      <c r="D317" s="590">
        <v>4830</v>
      </c>
      <c r="E317" s="592">
        <f>IF(F317="-",-1,1)</f>
        <v>1</v>
      </c>
      <c r="F317" s="590"/>
      <c r="G317" s="593">
        <f ca="1">$E317*(-SUMIF(INDIRECT(G$3),'Struktur Aktuell'!$D317,INDIRECT(G$4))+SUMIF(INDIRECT(G$3),'Struktur Aktuell'!$D317,INDIRECT(G$5)))</f>
        <v>128.18</v>
      </c>
      <c r="H317" s="593">
        <f ca="1">$E317*(-SUMIF(INDIRECT(H$3),'Struktur Aktuell'!$D317,INDIRECT(H$4))+SUMIF(INDIRECT(H$3),'Struktur Aktuell'!$D317,INDIRECT(H$5)))</f>
        <v>128.22</v>
      </c>
      <c r="I317" s="593">
        <f ca="1">$E317*(-SUMIF(INDIRECT(I$3),'Struktur Aktuell'!$D317,INDIRECT(I$4))+SUMIF(INDIRECT(I$3),'Struktur Aktuell'!$D317,INDIRECT(I$5)))</f>
        <v>128.18</v>
      </c>
      <c r="J317" s="593">
        <f ca="1">$E317*(-SUMIF(INDIRECT(J$3),'Struktur Aktuell'!$D317,INDIRECT(J$4))+SUMIF(INDIRECT(J$3),'Struktur Aktuell'!$D317,INDIRECT(J$5)))</f>
        <v>241.84</v>
      </c>
      <c r="K317" s="593">
        <f ca="1">$E317*(-SUMIF(INDIRECT(K$3),'Struktur Aktuell'!$D317,INDIRECT(K$4))+SUMIF(INDIRECT(K$3),'Struktur Aktuell'!$D317,INDIRECT(K$5)))</f>
        <v>220.49</v>
      </c>
      <c r="L317" s="593">
        <f ca="1">$E317*(-SUMIF(INDIRECT(L$3),'Struktur Aktuell'!$D317,INDIRECT(L$4))+SUMIF(INDIRECT(L$3),'Struktur Aktuell'!$D317,INDIRECT(L$5)))</f>
        <v>220.43</v>
      </c>
      <c r="M317" s="593">
        <f ca="1">$E317*(-SUMIF(INDIRECT(M$3),'Struktur Aktuell'!$D317,INDIRECT(M$4))+SUMIF(INDIRECT(M$3),'Struktur Aktuell'!$D317,INDIRECT(M$5)))</f>
        <v>220.5</v>
      </c>
      <c r="N317" s="593">
        <f ca="1">$E317*(-SUMIF(INDIRECT(N$3),'Struktur Aktuell'!$D317,INDIRECT(N$4))+SUMIF(INDIRECT(N$3),'Struktur Aktuell'!$D317,INDIRECT(N$5)))</f>
        <v>220.48</v>
      </c>
      <c r="O317" s="593">
        <f ca="1">$E317*(-SUMIF(INDIRECT(O$3),'Struktur Aktuell'!$D317,INDIRECT(O$4))+SUMIF(INDIRECT(O$3),'Struktur Aktuell'!$D317,INDIRECT(O$5)))</f>
        <v>220.44</v>
      </c>
      <c r="P317" s="593">
        <f ca="1">$E317*(-SUMIF(INDIRECT(P$3),'Struktur Aktuell'!$D317,INDIRECT(P$4))+SUMIF(INDIRECT(P$3),'Struktur Aktuell'!$D317,INDIRECT(P$5)))</f>
        <v>220.49</v>
      </c>
      <c r="Q317" s="593">
        <f ca="1">$E317*(-SUMIF(INDIRECT(Q$3),'Struktur Aktuell'!$D317,INDIRECT(Q$4))+SUMIF(INDIRECT(Q$3),'Struktur Aktuell'!$D317,INDIRECT(Q$5)))</f>
        <v>0</v>
      </c>
      <c r="R317" s="593">
        <f ca="1">$E317*(-SUMIF(INDIRECT(R$3),'Struktur Aktuell'!$D317,INDIRECT(R$4))+SUMIF(INDIRECT(R$3),'Struktur Aktuell'!$D317,INDIRECT(R$5)))</f>
        <v>0</v>
      </c>
      <c r="S317" s="593">
        <f ca="1">$E317*(-SUMIF(INDIRECT(S$3),'Struktur Aktuell'!$D317,INDIRECT(S$4))+SUMIF(INDIRECT(S$3),'Struktur Aktuell'!$D317,INDIRECT(S$5)))</f>
        <v>128.18</v>
      </c>
      <c r="T317" s="593">
        <f ca="1">$E317*(-SUMIF(INDIRECT(T$3),'Struktur Aktuell'!$D317,INDIRECT(T$4))+SUMIF(INDIRECT(T$3),'Struktur Aktuell'!$D317,INDIRECT(T$5)))</f>
        <v>256.39999999999998</v>
      </c>
      <c r="U317" s="593">
        <f ca="1">$E317*(-SUMIF(INDIRECT(U$3),'Struktur Aktuell'!$D317,INDIRECT(U$4))+SUMIF(INDIRECT(U$3),'Struktur Aktuell'!$D317,INDIRECT(U$5)))</f>
        <v>384.58</v>
      </c>
      <c r="V317" s="593">
        <f ca="1">$E317*(-SUMIF(INDIRECT(V$3),'Struktur Aktuell'!$D317,INDIRECT(V$4))+SUMIF(INDIRECT(V$3),'Struktur Aktuell'!$D317,INDIRECT(V$5)))</f>
        <v>626.41999999999996</v>
      </c>
      <c r="W317" s="593">
        <f ca="1">$E317*(-SUMIF(INDIRECT(W$3),'Struktur Aktuell'!$D317,INDIRECT(W$4))+SUMIF(INDIRECT(W$3),'Struktur Aktuell'!$D317,INDIRECT(W$5)))</f>
        <v>846.91</v>
      </c>
      <c r="X317" s="593">
        <f ca="1">$E317*(-SUMIF(INDIRECT(X$3),'Struktur Aktuell'!$D317,INDIRECT(X$4))+SUMIF(INDIRECT(X$3),'Struktur Aktuell'!$D317,INDIRECT(X$5)))</f>
        <v>1067.3399999999999</v>
      </c>
      <c r="Y317" s="593">
        <f ca="1">$E317*(-SUMIF(INDIRECT(Y$3),'Struktur Aktuell'!$D317,INDIRECT(Y$4))+SUMIF(INDIRECT(Y$3),'Struktur Aktuell'!$D317,INDIRECT(Y$5)))</f>
        <v>1287.8399999999999</v>
      </c>
      <c r="Z317" s="593">
        <f ca="1">$E317*(-SUMIF(INDIRECT(Z$3),'Struktur Aktuell'!$D317,INDIRECT(Z$4))+SUMIF(INDIRECT(Z$3),'Struktur Aktuell'!$D317,INDIRECT(Z$5)))</f>
        <v>1508.32</v>
      </c>
      <c r="AA317" s="593">
        <f ca="1">$E317*(-SUMIF(INDIRECT(AA$3),'Struktur Aktuell'!$D317,INDIRECT(AA$4))+SUMIF(INDIRECT(AA$3),'Struktur Aktuell'!$D317,INDIRECT(AA$5)))</f>
        <v>1728.76</v>
      </c>
      <c r="AB317" s="593">
        <f ca="1">$E317*(-SUMIF(INDIRECT(AB$3),'Struktur Aktuell'!$D317,INDIRECT(AB$4))+SUMIF(INDIRECT(AB$3),'Struktur Aktuell'!$D317,INDIRECT(AB$5)))</f>
        <v>1949.25</v>
      </c>
      <c r="AC317" s="593">
        <f ca="1">$E317*(-SUMIF(INDIRECT(AC$3),'Struktur Aktuell'!$D317,INDIRECT(AC$4))+SUMIF(INDIRECT(AC$3),'Struktur Aktuell'!$D317,INDIRECT(AC$5)))</f>
        <v>0</v>
      </c>
      <c r="AD317" s="593">
        <f ca="1">$E317*(-SUMIF(INDIRECT(AD$3),'Struktur Aktuell'!$D317,INDIRECT(AD$4))+SUMIF(INDIRECT(AD$3),'Struktur Aktuell'!$D317,INDIRECT(AD$5)))</f>
        <v>0</v>
      </c>
      <c r="AE317" s="593">
        <f t="shared" ca="1" si="450"/>
        <v>128.18</v>
      </c>
      <c r="AF317" s="593">
        <f t="shared" ca="1" si="451"/>
        <v>256.39999999999998</v>
      </c>
      <c r="AG317" s="593">
        <f t="shared" ca="1" si="452"/>
        <v>384.58</v>
      </c>
      <c r="AH317" s="593">
        <f t="shared" ca="1" si="453"/>
        <v>626.41999999999996</v>
      </c>
      <c r="AI317" s="593">
        <f t="shared" ca="1" si="454"/>
        <v>846.91</v>
      </c>
      <c r="AJ317" s="593">
        <f t="shared" ca="1" si="455"/>
        <v>1067.3399999999999</v>
      </c>
      <c r="AK317" s="593">
        <f t="shared" ca="1" si="456"/>
        <v>1287.8399999999999</v>
      </c>
      <c r="AL317" s="593">
        <f t="shared" ca="1" si="457"/>
        <v>1508.32</v>
      </c>
      <c r="AM317" s="593">
        <f t="shared" ca="1" si="458"/>
        <v>1728.76</v>
      </c>
      <c r="AN317" s="593">
        <f t="shared" ca="1" si="459"/>
        <v>1949.25</v>
      </c>
      <c r="AO317" s="593">
        <f t="shared" ca="1" si="460"/>
        <v>1949.25</v>
      </c>
      <c r="AP317" s="593">
        <f t="shared" ca="1" si="461"/>
        <v>1949.25</v>
      </c>
    </row>
    <row r="318" spans="1:42" s="594" customFormat="1" ht="11.25" outlineLevel="1" x14ac:dyDescent="0.2">
      <c r="A318" s="590"/>
      <c r="B318" s="591" t="str">
        <f>IF(D318&lt;&gt;"",
IF(ISERROR(MATCH(D318,'Ist Aktuell Monat 01'!A:A,0))=FALSE,INDEX('Ist Aktuell Monat 01'!B:B,MATCH(D318,'Ist Aktuell Monat 01'!A:A,0)),
IF(ISERROR(MATCH(D318,'Ist Aktuell Monat 02'!A:A,0))=FALSE,INDEX('Ist Aktuell Monat 02'!B:B,MATCH(D318,'Ist Aktuell Monat 02'!A:A,0)),
IF(ISERROR(MATCH(D318,'Ist Aktuell Monat 03'!A:A,0))=FALSE,INDEX('Ist Aktuell Monat 03'!B:B,MATCH(D318,'Ist Aktuell Monat 03'!A:A,0)),
IF(ISERROR(MATCH(D318,'Ist Aktuell Monat 04'!A:A,0))=FALSE,INDEX('Ist Aktuell Monat 04'!B:B,MATCH(D318,'Ist Aktuell Monat 04'!A:A,0)),
IF(ISERROR(MATCH(D318,'Ist Aktuell Monat 05'!A:A,0))=FALSE,INDEX('Ist Aktuell Monat 05'!B:B,MATCH(D318,'Ist Aktuell Monat 05'!A:A,0)),
IF(ISERROR(MATCH(D318,'Ist Aktuell Monat 06'!A:A,0))=FALSE,INDEX('Ist Aktuell Monat 06'!B:B,MATCH(D318,'Ist Aktuell Monat 06'!A:A,0)),
IF(ISERROR(MATCH(D318,'Ist Aktuell Monat 07'!A:A,0))=FALSE,INDEX('Ist Aktuell Monat 07'!B:B,MATCH(D318,'Ist Aktuell Monat 07'!A:A,0)),
IF(ISERROR(MATCH(D318,'Ist Aktuell Monat 08'!A:A,0))=FALSE,INDEX('Ist Aktuell Monat 08'!B:B,MATCH(D318,'Ist Aktuell Monat 08'!A:A,0)),
IF(ISERROR(MATCH(D318,'Ist Aktuell Monat 09'!A:A,0))=FALSE,INDEX('Ist Aktuell Monat 09'!B:B,MATCH(D318,'Ist Aktuell Monat 09'!A:A,0)),
IF(ISERROR(MATCH(D318,'Ist Aktuell Monat 10'!A:A,0))=FALSE,INDEX('Ist Aktuell Monat 10'!B:B,MATCH(D318,'Ist Aktuell Monat 10'!A:A,0)),
IF(ISERROR(MATCH(D318,'Ist Aktuell Monat 11'!A:A,0))=FALSE,INDEX('Ist Aktuell Monat 11'!B:B,MATCH(D318,'Ist Aktuell Monat 11'!A:A,0)),
IF(ISERROR(MATCH(D318,'Ist Aktuell Monat 12'!A:A,0))=FALSE,INDEX('Ist Aktuell Monat 12'!B:B,MATCH(D318,'Ist Aktuell Monat 12'!A:A,0)),
"{Konto unbekannt}"
)))))))))))),"")</f>
        <v>Sofortabschreibung GWG</v>
      </c>
      <c r="C318" s="591"/>
      <c r="D318" s="590">
        <v>4855</v>
      </c>
      <c r="E318" s="592">
        <f>IF(F318="-",-1,1)</f>
        <v>1</v>
      </c>
      <c r="F318" s="590"/>
      <c r="G318" s="593">
        <f ca="1">$E318*(-SUMIF(INDIRECT(G$3),'Struktur Aktuell'!$D318,INDIRECT(G$4))+SUMIF(INDIRECT(G$3),'Struktur Aktuell'!$D318,INDIRECT(G$5)))</f>
        <v>0</v>
      </c>
      <c r="H318" s="593">
        <f ca="1">$E318*(-SUMIF(INDIRECT(H$3),'Struktur Aktuell'!$D318,INDIRECT(H$4))+SUMIF(INDIRECT(H$3),'Struktur Aktuell'!$D318,INDIRECT(H$5)))</f>
        <v>0</v>
      </c>
      <c r="I318" s="593">
        <f ca="1">$E318*(-SUMIF(INDIRECT(I$3),'Struktur Aktuell'!$D318,INDIRECT(I$4))+SUMIF(INDIRECT(I$3),'Struktur Aktuell'!$D318,INDIRECT(I$5)))</f>
        <v>168.05</v>
      </c>
      <c r="J318" s="593">
        <f ca="1">$E318*(-SUMIF(INDIRECT(J$3),'Struktur Aktuell'!$D318,INDIRECT(J$4))+SUMIF(INDIRECT(J$3),'Struktur Aktuell'!$D318,INDIRECT(J$5)))</f>
        <v>0</v>
      </c>
      <c r="K318" s="593">
        <f ca="1">$E318*(-SUMIF(INDIRECT(K$3),'Struktur Aktuell'!$D318,INDIRECT(K$4))+SUMIF(INDIRECT(K$3),'Struktur Aktuell'!$D318,INDIRECT(K$5)))</f>
        <v>415.97</v>
      </c>
      <c r="L318" s="593">
        <f ca="1">$E318*(-SUMIF(INDIRECT(L$3),'Struktur Aktuell'!$D318,INDIRECT(L$4))+SUMIF(INDIRECT(L$3),'Struktur Aktuell'!$D318,INDIRECT(L$5)))</f>
        <v>326.95999999999998</v>
      </c>
      <c r="M318" s="593">
        <f ca="1">$E318*(-SUMIF(INDIRECT(M$3),'Struktur Aktuell'!$D318,INDIRECT(M$4))+SUMIF(INDIRECT(M$3),'Struktur Aktuell'!$D318,INDIRECT(M$5)))</f>
        <v>363</v>
      </c>
      <c r="N318" s="593">
        <f ca="1">$E318*(-SUMIF(INDIRECT(N$3),'Struktur Aktuell'!$D318,INDIRECT(N$4))+SUMIF(INDIRECT(N$3),'Struktur Aktuell'!$D318,INDIRECT(N$5)))</f>
        <v>0</v>
      </c>
      <c r="O318" s="593">
        <f ca="1">$E318*(-SUMIF(INDIRECT(O$3),'Struktur Aktuell'!$D318,INDIRECT(O$4))+SUMIF(INDIRECT(O$3),'Struktur Aktuell'!$D318,INDIRECT(O$5)))</f>
        <v>0</v>
      </c>
      <c r="P318" s="593">
        <f ca="1">$E318*(-SUMIF(INDIRECT(P$3),'Struktur Aktuell'!$D318,INDIRECT(P$4))+SUMIF(INDIRECT(P$3),'Struktur Aktuell'!$D318,INDIRECT(P$5)))</f>
        <v>0</v>
      </c>
      <c r="Q318" s="593">
        <f ca="1">$E318*(-SUMIF(INDIRECT(Q$3),'Struktur Aktuell'!$D318,INDIRECT(Q$4))+SUMIF(INDIRECT(Q$3),'Struktur Aktuell'!$D318,INDIRECT(Q$5)))</f>
        <v>0</v>
      </c>
      <c r="R318" s="593">
        <f ca="1">$E318*(-SUMIF(INDIRECT(R$3),'Struktur Aktuell'!$D318,INDIRECT(R$4))+SUMIF(INDIRECT(R$3),'Struktur Aktuell'!$D318,INDIRECT(R$5)))</f>
        <v>0</v>
      </c>
      <c r="S318" s="593">
        <f ca="1">$E318*(-SUMIF(INDIRECT(S$3),'Struktur Aktuell'!$D318,INDIRECT(S$4))+SUMIF(INDIRECT(S$3),'Struktur Aktuell'!$D318,INDIRECT(S$5)))</f>
        <v>0</v>
      </c>
      <c r="T318" s="593">
        <f ca="1">$E318*(-SUMIF(INDIRECT(T$3),'Struktur Aktuell'!$D318,INDIRECT(T$4))+SUMIF(INDIRECT(T$3),'Struktur Aktuell'!$D318,INDIRECT(T$5)))</f>
        <v>0</v>
      </c>
      <c r="U318" s="593">
        <f ca="1">$E318*(-SUMIF(INDIRECT(U$3),'Struktur Aktuell'!$D318,INDIRECT(U$4))+SUMIF(INDIRECT(U$3),'Struktur Aktuell'!$D318,INDIRECT(U$5)))</f>
        <v>168.05</v>
      </c>
      <c r="V318" s="593">
        <f ca="1">$E318*(-SUMIF(INDIRECT(V$3),'Struktur Aktuell'!$D318,INDIRECT(V$4))+SUMIF(INDIRECT(V$3),'Struktur Aktuell'!$D318,INDIRECT(V$5)))</f>
        <v>168.05</v>
      </c>
      <c r="W318" s="593">
        <f ca="1">$E318*(-SUMIF(INDIRECT(W$3),'Struktur Aktuell'!$D318,INDIRECT(W$4))+SUMIF(INDIRECT(W$3),'Struktur Aktuell'!$D318,INDIRECT(W$5)))</f>
        <v>584.02</v>
      </c>
      <c r="X318" s="593">
        <f ca="1">$E318*(-SUMIF(INDIRECT(X$3),'Struktur Aktuell'!$D318,INDIRECT(X$4))+SUMIF(INDIRECT(X$3),'Struktur Aktuell'!$D318,INDIRECT(X$5)))</f>
        <v>910.98</v>
      </c>
      <c r="Y318" s="593">
        <f ca="1">$E318*(-SUMIF(INDIRECT(Y$3),'Struktur Aktuell'!$D318,INDIRECT(Y$4))+SUMIF(INDIRECT(Y$3),'Struktur Aktuell'!$D318,INDIRECT(Y$5)))</f>
        <v>1273.98</v>
      </c>
      <c r="Z318" s="593">
        <f ca="1">$E318*(-SUMIF(INDIRECT(Z$3),'Struktur Aktuell'!$D318,INDIRECT(Z$4))+SUMIF(INDIRECT(Z$3),'Struktur Aktuell'!$D318,INDIRECT(Z$5)))</f>
        <v>1273.98</v>
      </c>
      <c r="AA318" s="593">
        <f ca="1">$E318*(-SUMIF(INDIRECT(AA$3),'Struktur Aktuell'!$D318,INDIRECT(AA$4))+SUMIF(INDIRECT(AA$3),'Struktur Aktuell'!$D318,INDIRECT(AA$5)))</f>
        <v>1273.98</v>
      </c>
      <c r="AB318" s="593">
        <f ca="1">$E318*(-SUMIF(INDIRECT(AB$3),'Struktur Aktuell'!$D318,INDIRECT(AB$4))+SUMIF(INDIRECT(AB$3),'Struktur Aktuell'!$D318,INDIRECT(AB$5)))</f>
        <v>1273.98</v>
      </c>
      <c r="AC318" s="593">
        <f ca="1">$E318*(-SUMIF(INDIRECT(AC$3),'Struktur Aktuell'!$D318,INDIRECT(AC$4))+SUMIF(INDIRECT(AC$3),'Struktur Aktuell'!$D318,INDIRECT(AC$5)))</f>
        <v>0</v>
      </c>
      <c r="AD318" s="593">
        <f ca="1">$E318*(-SUMIF(INDIRECT(AD$3),'Struktur Aktuell'!$D318,INDIRECT(AD$4))+SUMIF(INDIRECT(AD$3),'Struktur Aktuell'!$D318,INDIRECT(AD$5)))</f>
        <v>0</v>
      </c>
      <c r="AE318" s="593">
        <f ca="1">G318</f>
        <v>0</v>
      </c>
      <c r="AF318" s="593">
        <f t="shared" ref="AF318:AP318" ca="1" si="462">H318+AE318</f>
        <v>0</v>
      </c>
      <c r="AG318" s="593">
        <f t="shared" ca="1" si="462"/>
        <v>168.05</v>
      </c>
      <c r="AH318" s="593">
        <f t="shared" ca="1" si="462"/>
        <v>168.05</v>
      </c>
      <c r="AI318" s="593">
        <f t="shared" ca="1" si="462"/>
        <v>584.02</v>
      </c>
      <c r="AJ318" s="593">
        <f t="shared" ca="1" si="462"/>
        <v>910.98</v>
      </c>
      <c r="AK318" s="593">
        <f t="shared" ca="1" si="462"/>
        <v>1273.98</v>
      </c>
      <c r="AL318" s="593">
        <f t="shared" ca="1" si="462"/>
        <v>1273.98</v>
      </c>
      <c r="AM318" s="593">
        <f t="shared" ca="1" si="462"/>
        <v>1273.98</v>
      </c>
      <c r="AN318" s="593">
        <f t="shared" ca="1" si="462"/>
        <v>1273.98</v>
      </c>
      <c r="AO318" s="593">
        <f t="shared" ca="1" si="462"/>
        <v>1273.98</v>
      </c>
      <c r="AP318" s="593">
        <f t="shared" ca="1" si="462"/>
        <v>1273.98</v>
      </c>
    </row>
    <row r="319" spans="1:42" s="594" customFormat="1" ht="11.25" outlineLevel="1" x14ac:dyDescent="0.2">
      <c r="A319" s="590"/>
      <c r="B319" s="591" t="str">
        <f>IF(D319&lt;&gt;"",
IF(ISERROR(MATCH(D319,'Ist Aktuell Monat 01'!A:A,0))=FALSE,INDEX('Ist Aktuell Monat 01'!B:B,MATCH(D319,'Ist Aktuell Monat 01'!A:A,0)),
IF(ISERROR(MATCH(D319,'Ist Aktuell Monat 02'!A:A,0))=FALSE,INDEX('Ist Aktuell Monat 02'!B:B,MATCH(D319,'Ist Aktuell Monat 02'!A:A,0)),
IF(ISERROR(MATCH(D319,'Ist Aktuell Monat 03'!A:A,0))=FALSE,INDEX('Ist Aktuell Monat 03'!B:B,MATCH(D319,'Ist Aktuell Monat 03'!A:A,0)),
IF(ISERROR(MATCH(D319,'Ist Aktuell Monat 04'!A:A,0))=FALSE,INDEX('Ist Aktuell Monat 04'!B:B,MATCH(D319,'Ist Aktuell Monat 04'!A:A,0)),
IF(ISERROR(MATCH(D319,'Ist Aktuell Monat 05'!A:A,0))=FALSE,INDEX('Ist Aktuell Monat 05'!B:B,MATCH(D319,'Ist Aktuell Monat 05'!A:A,0)),
IF(ISERROR(MATCH(D319,'Ist Aktuell Monat 06'!A:A,0))=FALSE,INDEX('Ist Aktuell Monat 06'!B:B,MATCH(D319,'Ist Aktuell Monat 06'!A:A,0)),
IF(ISERROR(MATCH(D319,'Ist Aktuell Monat 07'!A:A,0))=FALSE,INDEX('Ist Aktuell Monat 07'!B:B,MATCH(D319,'Ist Aktuell Monat 07'!A:A,0)),
IF(ISERROR(MATCH(D319,'Ist Aktuell Monat 08'!A:A,0))=FALSE,INDEX('Ist Aktuell Monat 08'!B:B,MATCH(D319,'Ist Aktuell Monat 08'!A:A,0)),
IF(ISERROR(MATCH(D319,'Ist Aktuell Monat 09'!A:A,0))=FALSE,INDEX('Ist Aktuell Monat 09'!B:B,MATCH(D319,'Ist Aktuell Monat 09'!A:A,0)),
IF(ISERROR(MATCH(D319,'Ist Aktuell Monat 10'!A:A,0))=FALSE,INDEX('Ist Aktuell Monat 10'!B:B,MATCH(D319,'Ist Aktuell Monat 10'!A:A,0)),
IF(ISERROR(MATCH(D319,'Ist Aktuell Monat 11'!A:A,0))=FALSE,INDEX('Ist Aktuell Monat 11'!B:B,MATCH(D319,'Ist Aktuell Monat 11'!A:A,0)),
IF(ISERROR(MATCH(D319,'Ist Aktuell Monat 12'!A:A,0))=FALSE,INDEX('Ist Aktuell Monat 12'!B:B,MATCH(D319,'Ist Aktuell Monat 12'!A:A,0)),
"{Konto unbekannt}"
)))))))))))),"")</f>
        <v/>
      </c>
      <c r="C319" s="591"/>
      <c r="D319" s="590"/>
      <c r="E319" s="592">
        <f>IF(F319="-",-1,1)</f>
        <v>1</v>
      </c>
      <c r="F319" s="590"/>
      <c r="G319" s="593">
        <f ca="1">$E319*(-SUMIF(INDIRECT(G$3),'Struktur Aktuell'!$D319,INDIRECT(G$4))+SUMIF(INDIRECT(G$3),'Struktur Aktuell'!$D319,INDIRECT(G$5)))</f>
        <v>0</v>
      </c>
      <c r="H319" s="593">
        <f ca="1">$E319*(-SUMIF(INDIRECT(H$3),'Struktur Aktuell'!$D319,INDIRECT(H$4))+SUMIF(INDIRECT(H$3),'Struktur Aktuell'!$D319,INDIRECT(H$5)))</f>
        <v>0</v>
      </c>
      <c r="I319" s="593">
        <f ca="1">$E319*(-SUMIF(INDIRECT(I$3),'Struktur Aktuell'!$D319,INDIRECT(I$4))+SUMIF(INDIRECT(I$3),'Struktur Aktuell'!$D319,INDIRECT(I$5)))</f>
        <v>0</v>
      </c>
      <c r="J319" s="593">
        <f ca="1">$E319*(-SUMIF(INDIRECT(J$3),'Struktur Aktuell'!$D319,INDIRECT(J$4))+SUMIF(INDIRECT(J$3),'Struktur Aktuell'!$D319,INDIRECT(J$5)))</f>
        <v>0</v>
      </c>
      <c r="K319" s="593">
        <f ca="1">$E319*(-SUMIF(INDIRECT(K$3),'Struktur Aktuell'!$D319,INDIRECT(K$4))+SUMIF(INDIRECT(K$3),'Struktur Aktuell'!$D319,INDIRECT(K$5)))</f>
        <v>0</v>
      </c>
      <c r="L319" s="593">
        <f ca="1">$E319*(-SUMIF(INDIRECT(L$3),'Struktur Aktuell'!$D319,INDIRECT(L$4))+SUMIF(INDIRECT(L$3),'Struktur Aktuell'!$D319,INDIRECT(L$5)))</f>
        <v>0</v>
      </c>
      <c r="M319" s="593">
        <f ca="1">$E319*(-SUMIF(INDIRECT(M$3),'Struktur Aktuell'!$D319,INDIRECT(M$4))+SUMIF(INDIRECT(M$3),'Struktur Aktuell'!$D319,INDIRECT(M$5)))</f>
        <v>0</v>
      </c>
      <c r="N319" s="593">
        <f ca="1">$E319*(-SUMIF(INDIRECT(N$3),'Struktur Aktuell'!$D319,INDIRECT(N$4))+SUMIF(INDIRECT(N$3),'Struktur Aktuell'!$D319,INDIRECT(N$5)))</f>
        <v>0</v>
      </c>
      <c r="O319" s="593">
        <f ca="1">$E319*(-SUMIF(INDIRECT(O$3),'Struktur Aktuell'!$D319,INDIRECT(O$4))+SUMIF(INDIRECT(O$3),'Struktur Aktuell'!$D319,INDIRECT(O$5)))</f>
        <v>0</v>
      </c>
      <c r="P319" s="593">
        <f ca="1">$E319*(-SUMIF(INDIRECT(P$3),'Struktur Aktuell'!$D319,INDIRECT(P$4))+SUMIF(INDIRECT(P$3),'Struktur Aktuell'!$D319,INDIRECT(P$5)))</f>
        <v>0</v>
      </c>
      <c r="Q319" s="593">
        <f ca="1">$E319*(-SUMIF(INDIRECT(Q$3),'Struktur Aktuell'!$D319,INDIRECT(Q$4))+SUMIF(INDIRECT(Q$3),'Struktur Aktuell'!$D319,INDIRECT(Q$5)))</f>
        <v>0</v>
      </c>
      <c r="R319" s="593">
        <f ca="1">$E319*(-SUMIF(INDIRECT(R$3),'Struktur Aktuell'!$D319,INDIRECT(R$4))+SUMIF(INDIRECT(R$3),'Struktur Aktuell'!$D319,INDIRECT(R$5)))</f>
        <v>0</v>
      </c>
      <c r="S319" s="593">
        <f ca="1">$E319*(-SUMIF(INDIRECT(S$3),'Struktur Aktuell'!$D319,INDIRECT(S$4))+SUMIF(INDIRECT(S$3),'Struktur Aktuell'!$D319,INDIRECT(S$5)))</f>
        <v>0</v>
      </c>
      <c r="T319" s="593">
        <f ca="1">$E319*(-SUMIF(INDIRECT(T$3),'Struktur Aktuell'!$D319,INDIRECT(T$4))+SUMIF(INDIRECT(T$3),'Struktur Aktuell'!$D319,INDIRECT(T$5)))</f>
        <v>0</v>
      </c>
      <c r="U319" s="593">
        <f ca="1">$E319*(-SUMIF(INDIRECT(U$3),'Struktur Aktuell'!$D319,INDIRECT(U$4))+SUMIF(INDIRECT(U$3),'Struktur Aktuell'!$D319,INDIRECT(U$5)))</f>
        <v>0</v>
      </c>
      <c r="V319" s="593">
        <f ca="1">$E319*(-SUMIF(INDIRECT(V$3),'Struktur Aktuell'!$D319,INDIRECT(V$4))+SUMIF(INDIRECT(V$3),'Struktur Aktuell'!$D319,INDIRECT(V$5)))</f>
        <v>0</v>
      </c>
      <c r="W319" s="593">
        <f ca="1">$E319*(-SUMIF(INDIRECT(W$3),'Struktur Aktuell'!$D319,INDIRECT(W$4))+SUMIF(INDIRECT(W$3),'Struktur Aktuell'!$D319,INDIRECT(W$5)))</f>
        <v>0</v>
      </c>
      <c r="X319" s="593">
        <f ca="1">$E319*(-SUMIF(INDIRECT(X$3),'Struktur Aktuell'!$D319,INDIRECT(X$4))+SUMIF(INDIRECT(X$3),'Struktur Aktuell'!$D319,INDIRECT(X$5)))</f>
        <v>0</v>
      </c>
      <c r="Y319" s="593">
        <f ca="1">$E319*(-SUMIF(INDIRECT(Y$3),'Struktur Aktuell'!$D319,INDIRECT(Y$4))+SUMIF(INDIRECT(Y$3),'Struktur Aktuell'!$D319,INDIRECT(Y$5)))</f>
        <v>0</v>
      </c>
      <c r="Z319" s="593">
        <f ca="1">$E319*(-SUMIF(INDIRECT(Z$3),'Struktur Aktuell'!$D319,INDIRECT(Z$4))+SUMIF(INDIRECT(Z$3),'Struktur Aktuell'!$D319,INDIRECT(Z$5)))</f>
        <v>0</v>
      </c>
      <c r="AA319" s="593">
        <f ca="1">$E319*(-SUMIF(INDIRECT(AA$3),'Struktur Aktuell'!$D319,INDIRECT(AA$4))+SUMIF(INDIRECT(AA$3),'Struktur Aktuell'!$D319,INDIRECT(AA$5)))</f>
        <v>0</v>
      </c>
      <c r="AB319" s="593">
        <f ca="1">$E319*(-SUMIF(INDIRECT(AB$3),'Struktur Aktuell'!$D319,INDIRECT(AB$4))+SUMIF(INDIRECT(AB$3),'Struktur Aktuell'!$D319,INDIRECT(AB$5)))</f>
        <v>0</v>
      </c>
      <c r="AC319" s="593">
        <f ca="1">$E319*(-SUMIF(INDIRECT(AC$3),'Struktur Aktuell'!$D319,INDIRECT(AC$4))+SUMIF(INDIRECT(AC$3),'Struktur Aktuell'!$D319,INDIRECT(AC$5)))</f>
        <v>0</v>
      </c>
      <c r="AD319" s="593">
        <f ca="1">$E319*(-SUMIF(INDIRECT(AD$3),'Struktur Aktuell'!$D319,INDIRECT(AD$4))+SUMIF(INDIRECT(AD$3),'Struktur Aktuell'!$D319,INDIRECT(AD$5)))</f>
        <v>0</v>
      </c>
      <c r="AE319" s="593">
        <f t="shared" ca="1" si="450"/>
        <v>0</v>
      </c>
      <c r="AF319" s="593">
        <f t="shared" ca="1" si="451"/>
        <v>0</v>
      </c>
      <c r="AG319" s="593">
        <f t="shared" ca="1" si="452"/>
        <v>0</v>
      </c>
      <c r="AH319" s="593">
        <f t="shared" ca="1" si="453"/>
        <v>0</v>
      </c>
      <c r="AI319" s="593">
        <f t="shared" ca="1" si="454"/>
        <v>0</v>
      </c>
      <c r="AJ319" s="593">
        <f t="shared" ca="1" si="455"/>
        <v>0</v>
      </c>
      <c r="AK319" s="593">
        <f t="shared" ca="1" si="456"/>
        <v>0</v>
      </c>
      <c r="AL319" s="593">
        <f t="shared" ca="1" si="457"/>
        <v>0</v>
      </c>
      <c r="AM319" s="593">
        <f t="shared" ca="1" si="458"/>
        <v>0</v>
      </c>
      <c r="AN319" s="593">
        <f t="shared" ca="1" si="459"/>
        <v>0</v>
      </c>
      <c r="AO319" s="593">
        <f t="shared" ca="1" si="460"/>
        <v>0</v>
      </c>
      <c r="AP319" s="593">
        <f t="shared" ca="1" si="461"/>
        <v>0</v>
      </c>
    </row>
    <row r="320" spans="1:42" s="594" customFormat="1" ht="11.25" outlineLevel="1" x14ac:dyDescent="0.2">
      <c r="A320" s="590"/>
      <c r="B320" s="591" t="str">
        <f>IF(D320&lt;&gt;"",
IF(ISERROR(MATCH(D320,'Ist Aktuell Monat 01'!A:A,0))=FALSE,INDEX('Ist Aktuell Monat 01'!B:B,MATCH(D320,'Ist Aktuell Monat 01'!A:A,0)),
IF(ISERROR(MATCH(D320,'Ist Aktuell Monat 02'!A:A,0))=FALSE,INDEX('Ist Aktuell Monat 02'!B:B,MATCH(D320,'Ist Aktuell Monat 02'!A:A,0)),
IF(ISERROR(MATCH(D320,'Ist Aktuell Monat 03'!A:A,0))=FALSE,INDEX('Ist Aktuell Monat 03'!B:B,MATCH(D320,'Ist Aktuell Monat 03'!A:A,0)),
IF(ISERROR(MATCH(D320,'Ist Aktuell Monat 04'!A:A,0))=FALSE,INDEX('Ist Aktuell Monat 04'!B:B,MATCH(D320,'Ist Aktuell Monat 04'!A:A,0)),
IF(ISERROR(MATCH(D320,'Ist Aktuell Monat 05'!A:A,0))=FALSE,INDEX('Ist Aktuell Monat 05'!B:B,MATCH(D320,'Ist Aktuell Monat 05'!A:A,0)),
IF(ISERROR(MATCH(D320,'Ist Aktuell Monat 06'!A:A,0))=FALSE,INDEX('Ist Aktuell Monat 06'!B:B,MATCH(D320,'Ist Aktuell Monat 06'!A:A,0)),
IF(ISERROR(MATCH(D320,'Ist Aktuell Monat 07'!A:A,0))=FALSE,INDEX('Ist Aktuell Monat 07'!B:B,MATCH(D320,'Ist Aktuell Monat 07'!A:A,0)),
IF(ISERROR(MATCH(D320,'Ist Aktuell Monat 08'!A:A,0))=FALSE,INDEX('Ist Aktuell Monat 08'!B:B,MATCH(D320,'Ist Aktuell Monat 08'!A:A,0)),
IF(ISERROR(MATCH(D320,'Ist Aktuell Monat 09'!A:A,0))=FALSE,INDEX('Ist Aktuell Monat 09'!B:B,MATCH(D320,'Ist Aktuell Monat 09'!A:A,0)),
IF(ISERROR(MATCH(D320,'Ist Aktuell Monat 10'!A:A,0))=FALSE,INDEX('Ist Aktuell Monat 10'!B:B,MATCH(D320,'Ist Aktuell Monat 10'!A:A,0)),
IF(ISERROR(MATCH(D320,'Ist Aktuell Monat 11'!A:A,0))=FALSE,INDEX('Ist Aktuell Monat 11'!B:B,MATCH(D320,'Ist Aktuell Monat 11'!A:A,0)),
IF(ISERROR(MATCH(D320,'Ist Aktuell Monat 12'!A:A,0))=FALSE,INDEX('Ist Aktuell Monat 12'!B:B,MATCH(D320,'Ist Aktuell Monat 12'!A:A,0)),
"{Konto unbekannt}"
)))))))))))),"")</f>
        <v/>
      </c>
      <c r="C320" s="591"/>
      <c r="D320" s="590"/>
      <c r="E320" s="592">
        <f t="shared" si="381"/>
        <v>1</v>
      </c>
      <c r="F320" s="590"/>
      <c r="G320" s="593">
        <f ca="1">$E320*(-SUMIF(INDIRECT(G$3),'Struktur Aktuell'!$D320,INDIRECT(G$4))+SUMIF(INDIRECT(G$3),'Struktur Aktuell'!$D320,INDIRECT(G$5)))</f>
        <v>0</v>
      </c>
      <c r="H320" s="593">
        <f ca="1">$E320*(-SUMIF(INDIRECT(H$3),'Struktur Aktuell'!$D320,INDIRECT(H$4))+SUMIF(INDIRECT(H$3),'Struktur Aktuell'!$D320,INDIRECT(H$5)))</f>
        <v>0</v>
      </c>
      <c r="I320" s="593">
        <f ca="1">$E320*(-SUMIF(INDIRECT(I$3),'Struktur Aktuell'!$D320,INDIRECT(I$4))+SUMIF(INDIRECT(I$3),'Struktur Aktuell'!$D320,INDIRECT(I$5)))</f>
        <v>0</v>
      </c>
      <c r="J320" s="593">
        <f ca="1">$E320*(-SUMIF(INDIRECT(J$3),'Struktur Aktuell'!$D320,INDIRECT(J$4))+SUMIF(INDIRECT(J$3),'Struktur Aktuell'!$D320,INDIRECT(J$5)))</f>
        <v>0</v>
      </c>
      <c r="K320" s="593">
        <f ca="1">$E320*(-SUMIF(INDIRECT(K$3),'Struktur Aktuell'!$D320,INDIRECT(K$4))+SUMIF(INDIRECT(K$3),'Struktur Aktuell'!$D320,INDIRECT(K$5)))</f>
        <v>0</v>
      </c>
      <c r="L320" s="593">
        <f ca="1">$E320*(-SUMIF(INDIRECT(L$3),'Struktur Aktuell'!$D320,INDIRECT(L$4))+SUMIF(INDIRECT(L$3),'Struktur Aktuell'!$D320,INDIRECT(L$5)))</f>
        <v>0</v>
      </c>
      <c r="M320" s="593">
        <f ca="1">$E320*(-SUMIF(INDIRECT(M$3),'Struktur Aktuell'!$D320,INDIRECT(M$4))+SUMIF(INDIRECT(M$3),'Struktur Aktuell'!$D320,INDIRECT(M$5)))</f>
        <v>0</v>
      </c>
      <c r="N320" s="593">
        <f ca="1">$E320*(-SUMIF(INDIRECT(N$3),'Struktur Aktuell'!$D320,INDIRECT(N$4))+SUMIF(INDIRECT(N$3),'Struktur Aktuell'!$D320,INDIRECT(N$5)))</f>
        <v>0</v>
      </c>
      <c r="O320" s="593">
        <f ca="1">$E320*(-SUMIF(INDIRECT(O$3),'Struktur Aktuell'!$D320,INDIRECT(O$4))+SUMIF(INDIRECT(O$3),'Struktur Aktuell'!$D320,INDIRECT(O$5)))</f>
        <v>0</v>
      </c>
      <c r="P320" s="593">
        <f ca="1">$E320*(-SUMIF(INDIRECT(P$3),'Struktur Aktuell'!$D320,INDIRECT(P$4))+SUMIF(INDIRECT(P$3),'Struktur Aktuell'!$D320,INDIRECT(P$5)))</f>
        <v>0</v>
      </c>
      <c r="Q320" s="593">
        <f ca="1">$E320*(-SUMIF(INDIRECT(Q$3),'Struktur Aktuell'!$D320,INDIRECT(Q$4))+SUMIF(INDIRECT(Q$3),'Struktur Aktuell'!$D320,INDIRECT(Q$5)))</f>
        <v>0</v>
      </c>
      <c r="R320" s="593">
        <f ca="1">$E320*(-SUMIF(INDIRECT(R$3),'Struktur Aktuell'!$D320,INDIRECT(R$4))+SUMIF(INDIRECT(R$3),'Struktur Aktuell'!$D320,INDIRECT(R$5)))</f>
        <v>0</v>
      </c>
      <c r="S320" s="593">
        <f ca="1">$E320*(-SUMIF(INDIRECT(S$3),'Struktur Aktuell'!$D320,INDIRECT(S$4))+SUMIF(INDIRECT(S$3),'Struktur Aktuell'!$D320,INDIRECT(S$5)))</f>
        <v>0</v>
      </c>
      <c r="T320" s="593">
        <f ca="1">$E320*(-SUMIF(INDIRECT(T$3),'Struktur Aktuell'!$D320,INDIRECT(T$4))+SUMIF(INDIRECT(T$3),'Struktur Aktuell'!$D320,INDIRECT(T$5)))</f>
        <v>0</v>
      </c>
      <c r="U320" s="593">
        <f ca="1">$E320*(-SUMIF(INDIRECT(U$3),'Struktur Aktuell'!$D320,INDIRECT(U$4))+SUMIF(INDIRECT(U$3),'Struktur Aktuell'!$D320,INDIRECT(U$5)))</f>
        <v>0</v>
      </c>
      <c r="V320" s="593">
        <f ca="1">$E320*(-SUMIF(INDIRECT(V$3),'Struktur Aktuell'!$D320,INDIRECT(V$4))+SUMIF(INDIRECT(V$3),'Struktur Aktuell'!$D320,INDIRECT(V$5)))</f>
        <v>0</v>
      </c>
      <c r="W320" s="593">
        <f ca="1">$E320*(-SUMIF(INDIRECT(W$3),'Struktur Aktuell'!$D320,INDIRECT(W$4))+SUMIF(INDIRECT(W$3),'Struktur Aktuell'!$D320,INDIRECT(W$5)))</f>
        <v>0</v>
      </c>
      <c r="X320" s="593">
        <f ca="1">$E320*(-SUMIF(INDIRECT(X$3),'Struktur Aktuell'!$D320,INDIRECT(X$4))+SUMIF(INDIRECT(X$3),'Struktur Aktuell'!$D320,INDIRECT(X$5)))</f>
        <v>0</v>
      </c>
      <c r="Y320" s="593">
        <f ca="1">$E320*(-SUMIF(INDIRECT(Y$3),'Struktur Aktuell'!$D320,INDIRECT(Y$4))+SUMIF(INDIRECT(Y$3),'Struktur Aktuell'!$D320,INDIRECT(Y$5)))</f>
        <v>0</v>
      </c>
      <c r="Z320" s="593">
        <f ca="1">$E320*(-SUMIF(INDIRECT(Z$3),'Struktur Aktuell'!$D320,INDIRECT(Z$4))+SUMIF(INDIRECT(Z$3),'Struktur Aktuell'!$D320,INDIRECT(Z$5)))</f>
        <v>0</v>
      </c>
      <c r="AA320" s="593">
        <f ca="1">$E320*(-SUMIF(INDIRECT(AA$3),'Struktur Aktuell'!$D320,INDIRECT(AA$4))+SUMIF(INDIRECT(AA$3),'Struktur Aktuell'!$D320,INDIRECT(AA$5)))</f>
        <v>0</v>
      </c>
      <c r="AB320" s="593">
        <f ca="1">$E320*(-SUMIF(INDIRECT(AB$3),'Struktur Aktuell'!$D320,INDIRECT(AB$4))+SUMIF(INDIRECT(AB$3),'Struktur Aktuell'!$D320,INDIRECT(AB$5)))</f>
        <v>0</v>
      </c>
      <c r="AC320" s="593">
        <f ca="1">$E320*(-SUMIF(INDIRECT(AC$3),'Struktur Aktuell'!$D320,INDIRECT(AC$4))+SUMIF(INDIRECT(AC$3),'Struktur Aktuell'!$D320,INDIRECT(AC$5)))</f>
        <v>0</v>
      </c>
      <c r="AD320" s="593">
        <f ca="1">$E320*(-SUMIF(INDIRECT(AD$3),'Struktur Aktuell'!$D320,INDIRECT(AD$4))+SUMIF(INDIRECT(AD$3),'Struktur Aktuell'!$D320,INDIRECT(AD$5)))</f>
        <v>0</v>
      </c>
      <c r="AE320" s="593">
        <f t="shared" ca="1" si="450"/>
        <v>0</v>
      </c>
      <c r="AF320" s="593">
        <f t="shared" ca="1" si="451"/>
        <v>0</v>
      </c>
      <c r="AG320" s="593">
        <f t="shared" ca="1" si="452"/>
        <v>0</v>
      </c>
      <c r="AH320" s="593">
        <f t="shared" ca="1" si="453"/>
        <v>0</v>
      </c>
      <c r="AI320" s="593">
        <f t="shared" ca="1" si="454"/>
        <v>0</v>
      </c>
      <c r="AJ320" s="593">
        <f t="shared" ca="1" si="455"/>
        <v>0</v>
      </c>
      <c r="AK320" s="593">
        <f t="shared" ca="1" si="456"/>
        <v>0</v>
      </c>
      <c r="AL320" s="593">
        <f t="shared" ca="1" si="457"/>
        <v>0</v>
      </c>
      <c r="AM320" s="593">
        <f t="shared" ca="1" si="458"/>
        <v>0</v>
      </c>
      <c r="AN320" s="593">
        <f t="shared" ca="1" si="459"/>
        <v>0</v>
      </c>
      <c r="AO320" s="593">
        <f t="shared" ca="1" si="460"/>
        <v>0</v>
      </c>
      <c r="AP320" s="593">
        <f t="shared" ca="1" si="461"/>
        <v>0</v>
      </c>
    </row>
    <row r="321" spans="1:42" s="589" customFormat="1" x14ac:dyDescent="0.2">
      <c r="A321" s="585">
        <v>30</v>
      </c>
      <c r="B321" s="586" t="s">
        <v>1016</v>
      </c>
      <c r="C321" s="587">
        <f ca="1">SUM(G321:R321)</f>
        <v>0</v>
      </c>
      <c r="D321" s="587"/>
      <c r="E321" s="588">
        <f t="shared" si="381"/>
        <v>1</v>
      </c>
      <c r="F321" s="585"/>
      <c r="G321" s="587">
        <f t="shared" ref="G321:R321" ca="1" si="463">SUM(G322:G327)</f>
        <v>0</v>
      </c>
      <c r="H321" s="587">
        <f t="shared" ca="1" si="463"/>
        <v>0</v>
      </c>
      <c r="I321" s="587">
        <f t="shared" ca="1" si="463"/>
        <v>0</v>
      </c>
      <c r="J321" s="587">
        <f t="shared" ca="1" si="463"/>
        <v>0</v>
      </c>
      <c r="K321" s="587">
        <f t="shared" ca="1" si="463"/>
        <v>0</v>
      </c>
      <c r="L321" s="587">
        <f t="shared" ca="1" si="463"/>
        <v>0</v>
      </c>
      <c r="M321" s="587">
        <f t="shared" ca="1" si="463"/>
        <v>0</v>
      </c>
      <c r="N321" s="587">
        <f t="shared" ca="1" si="463"/>
        <v>0</v>
      </c>
      <c r="O321" s="587">
        <f t="shared" ca="1" si="463"/>
        <v>0</v>
      </c>
      <c r="P321" s="587">
        <f t="shared" ca="1" si="463"/>
        <v>0</v>
      </c>
      <c r="Q321" s="587">
        <f t="shared" ca="1" si="463"/>
        <v>0</v>
      </c>
      <c r="R321" s="587">
        <f t="shared" ca="1" si="463"/>
        <v>0</v>
      </c>
      <c r="S321" s="587">
        <f t="shared" ref="S321:AP321" ca="1" si="464">SUM(S322:S327)</f>
        <v>0</v>
      </c>
      <c r="T321" s="587">
        <f t="shared" ca="1" si="464"/>
        <v>0</v>
      </c>
      <c r="U321" s="587">
        <f t="shared" ca="1" si="464"/>
        <v>0</v>
      </c>
      <c r="V321" s="587">
        <f t="shared" ca="1" si="464"/>
        <v>0</v>
      </c>
      <c r="W321" s="587">
        <f t="shared" ca="1" si="464"/>
        <v>0</v>
      </c>
      <c r="X321" s="587">
        <f t="shared" ca="1" si="464"/>
        <v>0</v>
      </c>
      <c r="Y321" s="587">
        <f t="shared" ca="1" si="464"/>
        <v>0</v>
      </c>
      <c r="Z321" s="587">
        <f t="shared" ca="1" si="464"/>
        <v>0</v>
      </c>
      <c r="AA321" s="587">
        <f t="shared" ca="1" si="464"/>
        <v>0</v>
      </c>
      <c r="AB321" s="587">
        <f t="shared" ca="1" si="464"/>
        <v>0</v>
      </c>
      <c r="AC321" s="587">
        <f t="shared" ca="1" si="464"/>
        <v>0</v>
      </c>
      <c r="AD321" s="587">
        <f t="shared" ca="1" si="464"/>
        <v>0</v>
      </c>
      <c r="AE321" s="587">
        <f t="shared" ca="1" si="464"/>
        <v>0</v>
      </c>
      <c r="AF321" s="587">
        <f t="shared" ca="1" si="464"/>
        <v>0</v>
      </c>
      <c r="AG321" s="587">
        <f t="shared" ca="1" si="464"/>
        <v>0</v>
      </c>
      <c r="AH321" s="587">
        <f t="shared" ca="1" si="464"/>
        <v>0</v>
      </c>
      <c r="AI321" s="587">
        <f t="shared" ca="1" si="464"/>
        <v>0</v>
      </c>
      <c r="AJ321" s="587">
        <f t="shared" ca="1" si="464"/>
        <v>0</v>
      </c>
      <c r="AK321" s="587">
        <f t="shared" ca="1" si="464"/>
        <v>0</v>
      </c>
      <c r="AL321" s="587">
        <f t="shared" ca="1" si="464"/>
        <v>0</v>
      </c>
      <c r="AM321" s="587">
        <f t="shared" ca="1" si="464"/>
        <v>0</v>
      </c>
      <c r="AN321" s="587">
        <f t="shared" ca="1" si="464"/>
        <v>0</v>
      </c>
      <c r="AO321" s="587">
        <f t="shared" ca="1" si="464"/>
        <v>0</v>
      </c>
      <c r="AP321" s="587">
        <f t="shared" ca="1" si="464"/>
        <v>0</v>
      </c>
    </row>
    <row r="322" spans="1:42" s="594" customFormat="1" ht="11.25" outlineLevel="1" x14ac:dyDescent="0.2">
      <c r="A322" s="590"/>
      <c r="B322" s="591" t="str">
        <f>IF(D322&lt;&gt;"",
IF(ISERROR(MATCH(D322,'Ist Aktuell Monat 01'!A:A,0))=FALSE,INDEX('Ist Aktuell Monat 01'!B:B,MATCH(D322,'Ist Aktuell Monat 01'!A:A,0)),
IF(ISERROR(MATCH(D322,'Ist Aktuell Monat 02'!A:A,0))=FALSE,INDEX('Ist Aktuell Monat 02'!B:B,MATCH(D322,'Ist Aktuell Monat 02'!A:A,0)),
IF(ISERROR(MATCH(D322,'Ist Aktuell Monat 03'!A:A,0))=FALSE,INDEX('Ist Aktuell Monat 03'!B:B,MATCH(D322,'Ist Aktuell Monat 03'!A:A,0)),
IF(ISERROR(MATCH(D322,'Ist Aktuell Monat 04'!A:A,0))=FALSE,INDEX('Ist Aktuell Monat 04'!B:B,MATCH(D322,'Ist Aktuell Monat 04'!A:A,0)),
IF(ISERROR(MATCH(D322,'Ist Aktuell Monat 05'!A:A,0))=FALSE,INDEX('Ist Aktuell Monat 05'!B:B,MATCH(D322,'Ist Aktuell Monat 05'!A:A,0)),
IF(ISERROR(MATCH(D322,'Ist Aktuell Monat 06'!A:A,0))=FALSE,INDEX('Ist Aktuell Monat 06'!B:B,MATCH(D322,'Ist Aktuell Monat 06'!A:A,0)),
IF(ISERROR(MATCH(D322,'Ist Aktuell Monat 07'!A:A,0))=FALSE,INDEX('Ist Aktuell Monat 07'!B:B,MATCH(D322,'Ist Aktuell Monat 07'!A:A,0)),
IF(ISERROR(MATCH(D322,'Ist Aktuell Monat 08'!A:A,0))=FALSE,INDEX('Ist Aktuell Monat 08'!B:B,MATCH(D322,'Ist Aktuell Monat 08'!A:A,0)),
IF(ISERROR(MATCH(D322,'Ist Aktuell Monat 09'!A:A,0))=FALSE,INDEX('Ist Aktuell Monat 09'!B:B,MATCH(D322,'Ist Aktuell Monat 09'!A:A,0)),
IF(ISERROR(MATCH(D322,'Ist Aktuell Monat 10'!A:A,0))=FALSE,INDEX('Ist Aktuell Monat 10'!B:B,MATCH(D322,'Ist Aktuell Monat 10'!A:A,0)),
IF(ISERROR(MATCH(D322,'Ist Aktuell Monat 11'!A:A,0))=FALSE,INDEX('Ist Aktuell Monat 11'!B:B,MATCH(D322,'Ist Aktuell Monat 11'!A:A,0)),
IF(ISERROR(MATCH(D322,'Ist Aktuell Monat 12'!A:A,0))=FALSE,INDEX('Ist Aktuell Monat 12'!B:B,MATCH(D322,'Ist Aktuell Monat 12'!A:A,0)),
"{Konto unbekannt}"
)))))))))))),"")</f>
        <v>{Konto unbekannt}</v>
      </c>
      <c r="C322" s="591"/>
      <c r="D322" s="590">
        <v>2020</v>
      </c>
      <c r="E322" s="592">
        <f t="shared" si="381"/>
        <v>1</v>
      </c>
      <c r="F322" s="590"/>
      <c r="G322" s="593">
        <f ca="1">$E322*(-SUMIF(INDIRECT(G$3),'Struktur Aktuell'!$D322,INDIRECT(G$4))+SUMIF(INDIRECT(G$3),'Struktur Aktuell'!$D322,INDIRECT(G$5)))</f>
        <v>0</v>
      </c>
      <c r="H322" s="593">
        <f ca="1">$E322*(-SUMIF(INDIRECT(H$3),'Struktur Aktuell'!$D322,INDIRECT(H$4))+SUMIF(INDIRECT(H$3),'Struktur Aktuell'!$D322,INDIRECT(H$5)))</f>
        <v>0</v>
      </c>
      <c r="I322" s="593">
        <f ca="1">$E322*(-SUMIF(INDIRECT(I$3),'Struktur Aktuell'!$D322,INDIRECT(I$4))+SUMIF(INDIRECT(I$3),'Struktur Aktuell'!$D322,INDIRECT(I$5)))</f>
        <v>0</v>
      </c>
      <c r="J322" s="593">
        <f ca="1">$E322*(-SUMIF(INDIRECT(J$3),'Struktur Aktuell'!$D322,INDIRECT(J$4))+SUMIF(INDIRECT(J$3),'Struktur Aktuell'!$D322,INDIRECT(J$5)))</f>
        <v>0</v>
      </c>
      <c r="K322" s="593">
        <f ca="1">$E322*(-SUMIF(INDIRECT(K$3),'Struktur Aktuell'!$D322,INDIRECT(K$4))+SUMIF(INDIRECT(K$3),'Struktur Aktuell'!$D322,INDIRECT(K$5)))</f>
        <v>0</v>
      </c>
      <c r="L322" s="593">
        <f ca="1">$E322*(-SUMIF(INDIRECT(L$3),'Struktur Aktuell'!$D322,INDIRECT(L$4))+SUMIF(INDIRECT(L$3),'Struktur Aktuell'!$D322,INDIRECT(L$5)))</f>
        <v>0</v>
      </c>
      <c r="M322" s="593">
        <f ca="1">$E322*(-SUMIF(INDIRECT(M$3),'Struktur Aktuell'!$D322,INDIRECT(M$4))+SUMIF(INDIRECT(M$3),'Struktur Aktuell'!$D322,INDIRECT(M$5)))</f>
        <v>0</v>
      </c>
      <c r="N322" s="593">
        <f ca="1">$E322*(-SUMIF(INDIRECT(N$3),'Struktur Aktuell'!$D322,INDIRECT(N$4))+SUMIF(INDIRECT(N$3),'Struktur Aktuell'!$D322,INDIRECT(N$5)))</f>
        <v>0</v>
      </c>
      <c r="O322" s="593">
        <f ca="1">$E322*(-SUMIF(INDIRECT(O$3),'Struktur Aktuell'!$D322,INDIRECT(O$4))+SUMIF(INDIRECT(O$3),'Struktur Aktuell'!$D322,INDIRECT(O$5)))</f>
        <v>0</v>
      </c>
      <c r="P322" s="593">
        <f ca="1">$E322*(-SUMIF(INDIRECT(P$3),'Struktur Aktuell'!$D322,INDIRECT(P$4))+SUMIF(INDIRECT(P$3),'Struktur Aktuell'!$D322,INDIRECT(P$5)))</f>
        <v>0</v>
      </c>
      <c r="Q322" s="593">
        <f ca="1">$E322*(-SUMIF(INDIRECT(Q$3),'Struktur Aktuell'!$D322,INDIRECT(Q$4))+SUMIF(INDIRECT(Q$3),'Struktur Aktuell'!$D322,INDIRECT(Q$5)))</f>
        <v>0</v>
      </c>
      <c r="R322" s="593">
        <f ca="1">$E322*(-SUMIF(INDIRECT(R$3),'Struktur Aktuell'!$D322,INDIRECT(R$4))+SUMIF(INDIRECT(R$3),'Struktur Aktuell'!$D322,INDIRECT(R$5)))</f>
        <v>0</v>
      </c>
      <c r="S322" s="593">
        <f ca="1">$E322*(-SUMIF(INDIRECT(S$3),'Struktur Aktuell'!$D322,INDIRECT(S$4))+SUMIF(INDIRECT(S$3),'Struktur Aktuell'!$D322,INDIRECT(S$5)))</f>
        <v>0</v>
      </c>
      <c r="T322" s="593">
        <f ca="1">$E322*(-SUMIF(INDIRECT(T$3),'Struktur Aktuell'!$D322,INDIRECT(T$4))+SUMIF(INDIRECT(T$3),'Struktur Aktuell'!$D322,INDIRECT(T$5)))</f>
        <v>0</v>
      </c>
      <c r="U322" s="593">
        <f ca="1">$E322*(-SUMIF(INDIRECT(U$3),'Struktur Aktuell'!$D322,INDIRECT(U$4))+SUMIF(INDIRECT(U$3),'Struktur Aktuell'!$D322,INDIRECT(U$5)))</f>
        <v>0</v>
      </c>
      <c r="V322" s="593">
        <f ca="1">$E322*(-SUMIF(INDIRECT(V$3),'Struktur Aktuell'!$D322,INDIRECT(V$4))+SUMIF(INDIRECT(V$3),'Struktur Aktuell'!$D322,INDIRECT(V$5)))</f>
        <v>0</v>
      </c>
      <c r="W322" s="593">
        <f ca="1">$E322*(-SUMIF(INDIRECT(W$3),'Struktur Aktuell'!$D322,INDIRECT(W$4))+SUMIF(INDIRECT(W$3),'Struktur Aktuell'!$D322,INDIRECT(W$5)))</f>
        <v>0</v>
      </c>
      <c r="X322" s="593">
        <f ca="1">$E322*(-SUMIF(INDIRECT(X$3),'Struktur Aktuell'!$D322,INDIRECT(X$4))+SUMIF(INDIRECT(X$3),'Struktur Aktuell'!$D322,INDIRECT(X$5)))</f>
        <v>0</v>
      </c>
      <c r="Y322" s="593">
        <f ca="1">$E322*(-SUMIF(INDIRECT(Y$3),'Struktur Aktuell'!$D322,INDIRECT(Y$4))+SUMIF(INDIRECT(Y$3),'Struktur Aktuell'!$D322,INDIRECT(Y$5)))</f>
        <v>0</v>
      </c>
      <c r="Z322" s="593">
        <f ca="1">$E322*(-SUMIF(INDIRECT(Z$3),'Struktur Aktuell'!$D322,INDIRECT(Z$4))+SUMIF(INDIRECT(Z$3),'Struktur Aktuell'!$D322,INDIRECT(Z$5)))</f>
        <v>0</v>
      </c>
      <c r="AA322" s="593">
        <f ca="1">$E322*(-SUMIF(INDIRECT(AA$3),'Struktur Aktuell'!$D322,INDIRECT(AA$4))+SUMIF(INDIRECT(AA$3),'Struktur Aktuell'!$D322,INDIRECT(AA$5)))</f>
        <v>0</v>
      </c>
      <c r="AB322" s="593">
        <f ca="1">$E322*(-SUMIF(INDIRECT(AB$3),'Struktur Aktuell'!$D322,INDIRECT(AB$4))+SUMIF(INDIRECT(AB$3),'Struktur Aktuell'!$D322,INDIRECT(AB$5)))</f>
        <v>0</v>
      </c>
      <c r="AC322" s="593">
        <f ca="1">$E322*(-SUMIF(INDIRECT(AC$3),'Struktur Aktuell'!$D322,INDIRECT(AC$4))+SUMIF(INDIRECT(AC$3),'Struktur Aktuell'!$D322,INDIRECT(AC$5)))</f>
        <v>0</v>
      </c>
      <c r="AD322" s="593">
        <f ca="1">$E322*(-SUMIF(INDIRECT(AD$3),'Struktur Aktuell'!$D322,INDIRECT(AD$4))+SUMIF(INDIRECT(AD$3),'Struktur Aktuell'!$D322,INDIRECT(AD$5)))</f>
        <v>0</v>
      </c>
      <c r="AE322" s="593">
        <f t="shared" ref="AE322:AE327" ca="1" si="465">G322</f>
        <v>0</v>
      </c>
      <c r="AF322" s="593">
        <f t="shared" ref="AF322:AF327" ca="1" si="466">H322+AE322</f>
        <v>0</v>
      </c>
      <c r="AG322" s="593">
        <f t="shared" ref="AG322:AG327" ca="1" si="467">I322+AF322</f>
        <v>0</v>
      </c>
      <c r="AH322" s="593">
        <f t="shared" ref="AH322:AH327" ca="1" si="468">J322+AG322</f>
        <v>0</v>
      </c>
      <c r="AI322" s="593">
        <f t="shared" ref="AI322:AI327" ca="1" si="469">K322+AH322</f>
        <v>0</v>
      </c>
      <c r="AJ322" s="593">
        <f t="shared" ref="AJ322:AJ327" ca="1" si="470">L322+AI322</f>
        <v>0</v>
      </c>
      <c r="AK322" s="593">
        <f t="shared" ref="AK322:AK327" ca="1" si="471">M322+AJ322</f>
        <v>0</v>
      </c>
      <c r="AL322" s="593">
        <f t="shared" ref="AL322:AL327" ca="1" si="472">N322+AK322</f>
        <v>0</v>
      </c>
      <c r="AM322" s="593">
        <f t="shared" ref="AM322:AM327" ca="1" si="473">O322+AL322</f>
        <v>0</v>
      </c>
      <c r="AN322" s="593">
        <f t="shared" ref="AN322:AN327" ca="1" si="474">P322+AM322</f>
        <v>0</v>
      </c>
      <c r="AO322" s="593">
        <f t="shared" ref="AO322:AO327" ca="1" si="475">Q322+AN322</f>
        <v>0</v>
      </c>
      <c r="AP322" s="593">
        <f t="shared" ref="AP322:AP327" ca="1" si="476">R322+AO322</f>
        <v>0</v>
      </c>
    </row>
    <row r="323" spans="1:42" s="594" customFormat="1" ht="11.25" outlineLevel="1" x14ac:dyDescent="0.2">
      <c r="A323" s="590"/>
      <c r="B323" s="591" t="str">
        <f>IF(D323&lt;&gt;"",
IF(ISERROR(MATCH(D323,'Ist Aktuell Monat 01'!A:A,0))=FALSE,INDEX('Ist Aktuell Monat 01'!B:B,MATCH(D323,'Ist Aktuell Monat 01'!A:A,0)),
IF(ISERROR(MATCH(D323,'Ist Aktuell Monat 02'!A:A,0))=FALSE,INDEX('Ist Aktuell Monat 02'!B:B,MATCH(D323,'Ist Aktuell Monat 02'!A:A,0)),
IF(ISERROR(MATCH(D323,'Ist Aktuell Monat 03'!A:A,0))=FALSE,INDEX('Ist Aktuell Monat 03'!B:B,MATCH(D323,'Ist Aktuell Monat 03'!A:A,0)),
IF(ISERROR(MATCH(D323,'Ist Aktuell Monat 04'!A:A,0))=FALSE,INDEX('Ist Aktuell Monat 04'!B:B,MATCH(D323,'Ist Aktuell Monat 04'!A:A,0)),
IF(ISERROR(MATCH(D323,'Ist Aktuell Monat 05'!A:A,0))=FALSE,INDEX('Ist Aktuell Monat 05'!B:B,MATCH(D323,'Ist Aktuell Monat 05'!A:A,0)),
IF(ISERROR(MATCH(D323,'Ist Aktuell Monat 06'!A:A,0))=FALSE,INDEX('Ist Aktuell Monat 06'!B:B,MATCH(D323,'Ist Aktuell Monat 06'!A:A,0)),
IF(ISERROR(MATCH(D323,'Ist Aktuell Monat 07'!A:A,0))=FALSE,INDEX('Ist Aktuell Monat 07'!B:B,MATCH(D323,'Ist Aktuell Monat 07'!A:A,0)),
IF(ISERROR(MATCH(D323,'Ist Aktuell Monat 08'!A:A,0))=FALSE,INDEX('Ist Aktuell Monat 08'!B:B,MATCH(D323,'Ist Aktuell Monat 08'!A:A,0)),
IF(ISERROR(MATCH(D323,'Ist Aktuell Monat 09'!A:A,0))=FALSE,INDEX('Ist Aktuell Monat 09'!B:B,MATCH(D323,'Ist Aktuell Monat 09'!A:A,0)),
IF(ISERROR(MATCH(D323,'Ist Aktuell Monat 10'!A:A,0))=FALSE,INDEX('Ist Aktuell Monat 10'!B:B,MATCH(D323,'Ist Aktuell Monat 10'!A:A,0)),
IF(ISERROR(MATCH(D323,'Ist Aktuell Monat 11'!A:A,0))=FALSE,INDEX('Ist Aktuell Monat 11'!B:B,MATCH(D323,'Ist Aktuell Monat 11'!A:A,0)),
IF(ISERROR(MATCH(D323,'Ist Aktuell Monat 12'!A:A,0))=FALSE,INDEX('Ist Aktuell Monat 12'!B:B,MATCH(D323,'Ist Aktuell Monat 12'!A:A,0)),
"{Konto unbekannt}"
)))))))))))),"")</f>
        <v/>
      </c>
      <c r="C323" s="591"/>
      <c r="D323" s="590"/>
      <c r="E323" s="592">
        <f t="shared" si="381"/>
        <v>1</v>
      </c>
      <c r="F323" s="590"/>
      <c r="G323" s="593">
        <f ca="1">$E323*(-SUMIF(INDIRECT(G$3),'Struktur Aktuell'!$D323,INDIRECT(G$4))+SUMIF(INDIRECT(G$3),'Struktur Aktuell'!$D323,INDIRECT(G$5)))</f>
        <v>0</v>
      </c>
      <c r="H323" s="593">
        <f ca="1">$E323*(-SUMIF(INDIRECT(H$3),'Struktur Aktuell'!$D323,INDIRECT(H$4))+SUMIF(INDIRECT(H$3),'Struktur Aktuell'!$D323,INDIRECT(H$5)))</f>
        <v>0</v>
      </c>
      <c r="I323" s="593">
        <f ca="1">$E323*(-SUMIF(INDIRECT(I$3),'Struktur Aktuell'!$D323,INDIRECT(I$4))+SUMIF(INDIRECT(I$3),'Struktur Aktuell'!$D323,INDIRECT(I$5)))</f>
        <v>0</v>
      </c>
      <c r="J323" s="593">
        <f ca="1">$E323*(-SUMIF(INDIRECT(J$3),'Struktur Aktuell'!$D323,INDIRECT(J$4))+SUMIF(INDIRECT(J$3),'Struktur Aktuell'!$D323,INDIRECT(J$5)))</f>
        <v>0</v>
      </c>
      <c r="K323" s="593">
        <f ca="1">$E323*(-SUMIF(INDIRECT(K$3),'Struktur Aktuell'!$D323,INDIRECT(K$4))+SUMIF(INDIRECT(K$3),'Struktur Aktuell'!$D323,INDIRECT(K$5)))</f>
        <v>0</v>
      </c>
      <c r="L323" s="593">
        <f ca="1">$E323*(-SUMIF(INDIRECT(L$3),'Struktur Aktuell'!$D323,INDIRECT(L$4))+SUMIF(INDIRECT(L$3),'Struktur Aktuell'!$D323,INDIRECT(L$5)))</f>
        <v>0</v>
      </c>
      <c r="M323" s="593">
        <f ca="1">$E323*(-SUMIF(INDIRECT(M$3),'Struktur Aktuell'!$D323,INDIRECT(M$4))+SUMIF(INDIRECT(M$3),'Struktur Aktuell'!$D323,INDIRECT(M$5)))</f>
        <v>0</v>
      </c>
      <c r="N323" s="593">
        <f ca="1">$E323*(-SUMIF(INDIRECT(N$3),'Struktur Aktuell'!$D323,INDIRECT(N$4))+SUMIF(INDIRECT(N$3),'Struktur Aktuell'!$D323,INDIRECT(N$5)))</f>
        <v>0</v>
      </c>
      <c r="O323" s="593">
        <f ca="1">$E323*(-SUMIF(INDIRECT(O$3),'Struktur Aktuell'!$D323,INDIRECT(O$4))+SUMIF(INDIRECT(O$3),'Struktur Aktuell'!$D323,INDIRECT(O$5)))</f>
        <v>0</v>
      </c>
      <c r="P323" s="593">
        <f ca="1">$E323*(-SUMIF(INDIRECT(P$3),'Struktur Aktuell'!$D323,INDIRECT(P$4))+SUMIF(INDIRECT(P$3),'Struktur Aktuell'!$D323,INDIRECT(P$5)))</f>
        <v>0</v>
      </c>
      <c r="Q323" s="593">
        <f ca="1">$E323*(-SUMIF(INDIRECT(Q$3),'Struktur Aktuell'!$D323,INDIRECT(Q$4))+SUMIF(INDIRECT(Q$3),'Struktur Aktuell'!$D323,INDIRECT(Q$5)))</f>
        <v>0</v>
      </c>
      <c r="R323" s="593">
        <f ca="1">$E323*(-SUMIF(INDIRECT(R$3),'Struktur Aktuell'!$D323,INDIRECT(R$4))+SUMIF(INDIRECT(R$3),'Struktur Aktuell'!$D323,INDIRECT(R$5)))</f>
        <v>0</v>
      </c>
      <c r="S323" s="593">
        <f ca="1">$E323*(-SUMIF(INDIRECT(S$3),'Struktur Aktuell'!$D323,INDIRECT(S$4))+SUMIF(INDIRECT(S$3),'Struktur Aktuell'!$D323,INDIRECT(S$5)))</f>
        <v>0</v>
      </c>
      <c r="T323" s="593">
        <f ca="1">$E323*(-SUMIF(INDIRECT(T$3),'Struktur Aktuell'!$D323,INDIRECT(T$4))+SUMIF(INDIRECT(T$3),'Struktur Aktuell'!$D323,INDIRECT(T$5)))</f>
        <v>0</v>
      </c>
      <c r="U323" s="593">
        <f ca="1">$E323*(-SUMIF(INDIRECT(U$3),'Struktur Aktuell'!$D323,INDIRECT(U$4))+SUMIF(INDIRECT(U$3),'Struktur Aktuell'!$D323,INDIRECT(U$5)))</f>
        <v>0</v>
      </c>
      <c r="V323" s="593">
        <f ca="1">$E323*(-SUMIF(INDIRECT(V$3),'Struktur Aktuell'!$D323,INDIRECT(V$4))+SUMIF(INDIRECT(V$3),'Struktur Aktuell'!$D323,INDIRECT(V$5)))</f>
        <v>0</v>
      </c>
      <c r="W323" s="593">
        <f ca="1">$E323*(-SUMIF(INDIRECT(W$3),'Struktur Aktuell'!$D323,INDIRECT(W$4))+SUMIF(INDIRECT(W$3),'Struktur Aktuell'!$D323,INDIRECT(W$5)))</f>
        <v>0</v>
      </c>
      <c r="X323" s="593">
        <f ca="1">$E323*(-SUMIF(INDIRECT(X$3),'Struktur Aktuell'!$D323,INDIRECT(X$4))+SUMIF(INDIRECT(X$3),'Struktur Aktuell'!$D323,INDIRECT(X$5)))</f>
        <v>0</v>
      </c>
      <c r="Y323" s="593">
        <f ca="1">$E323*(-SUMIF(INDIRECT(Y$3),'Struktur Aktuell'!$D323,INDIRECT(Y$4))+SUMIF(INDIRECT(Y$3),'Struktur Aktuell'!$D323,INDIRECT(Y$5)))</f>
        <v>0</v>
      </c>
      <c r="Z323" s="593">
        <f ca="1">$E323*(-SUMIF(INDIRECT(Z$3),'Struktur Aktuell'!$D323,INDIRECT(Z$4))+SUMIF(INDIRECT(Z$3),'Struktur Aktuell'!$D323,INDIRECT(Z$5)))</f>
        <v>0</v>
      </c>
      <c r="AA323" s="593">
        <f ca="1">$E323*(-SUMIF(INDIRECT(AA$3),'Struktur Aktuell'!$D323,INDIRECT(AA$4))+SUMIF(INDIRECT(AA$3),'Struktur Aktuell'!$D323,INDIRECT(AA$5)))</f>
        <v>0</v>
      </c>
      <c r="AB323" s="593">
        <f ca="1">$E323*(-SUMIF(INDIRECT(AB$3),'Struktur Aktuell'!$D323,INDIRECT(AB$4))+SUMIF(INDIRECT(AB$3),'Struktur Aktuell'!$D323,INDIRECT(AB$5)))</f>
        <v>0</v>
      </c>
      <c r="AC323" s="593">
        <f ca="1">$E323*(-SUMIF(INDIRECT(AC$3),'Struktur Aktuell'!$D323,INDIRECT(AC$4))+SUMIF(INDIRECT(AC$3),'Struktur Aktuell'!$D323,INDIRECT(AC$5)))</f>
        <v>0</v>
      </c>
      <c r="AD323" s="593">
        <f ca="1">$E323*(-SUMIF(INDIRECT(AD$3),'Struktur Aktuell'!$D323,INDIRECT(AD$4))+SUMIF(INDIRECT(AD$3),'Struktur Aktuell'!$D323,INDIRECT(AD$5)))</f>
        <v>0</v>
      </c>
      <c r="AE323" s="593">
        <f t="shared" ca="1" si="465"/>
        <v>0</v>
      </c>
      <c r="AF323" s="593">
        <f t="shared" ca="1" si="466"/>
        <v>0</v>
      </c>
      <c r="AG323" s="593">
        <f t="shared" ca="1" si="467"/>
        <v>0</v>
      </c>
      <c r="AH323" s="593">
        <f t="shared" ca="1" si="468"/>
        <v>0</v>
      </c>
      <c r="AI323" s="593">
        <f t="shared" ca="1" si="469"/>
        <v>0</v>
      </c>
      <c r="AJ323" s="593">
        <f t="shared" ca="1" si="470"/>
        <v>0</v>
      </c>
      <c r="AK323" s="593">
        <f t="shared" ca="1" si="471"/>
        <v>0</v>
      </c>
      <c r="AL323" s="593">
        <f t="shared" ca="1" si="472"/>
        <v>0</v>
      </c>
      <c r="AM323" s="593">
        <f t="shared" ca="1" si="473"/>
        <v>0</v>
      </c>
      <c r="AN323" s="593">
        <f t="shared" ca="1" si="474"/>
        <v>0</v>
      </c>
      <c r="AO323" s="593">
        <f t="shared" ca="1" si="475"/>
        <v>0</v>
      </c>
      <c r="AP323" s="593">
        <f t="shared" ca="1" si="476"/>
        <v>0</v>
      </c>
    </row>
    <row r="324" spans="1:42" s="594" customFormat="1" ht="11.25" outlineLevel="1" x14ac:dyDescent="0.2">
      <c r="A324" s="590"/>
      <c r="B324" s="591" t="str">
        <f>IF(D324&lt;&gt;"",
IF(ISERROR(MATCH(D324,'Ist Aktuell Monat 01'!A:A,0))=FALSE,INDEX('Ist Aktuell Monat 01'!B:B,MATCH(D324,'Ist Aktuell Monat 01'!A:A,0)),
IF(ISERROR(MATCH(D324,'Ist Aktuell Monat 02'!A:A,0))=FALSE,INDEX('Ist Aktuell Monat 02'!B:B,MATCH(D324,'Ist Aktuell Monat 02'!A:A,0)),
IF(ISERROR(MATCH(D324,'Ist Aktuell Monat 03'!A:A,0))=FALSE,INDEX('Ist Aktuell Monat 03'!B:B,MATCH(D324,'Ist Aktuell Monat 03'!A:A,0)),
IF(ISERROR(MATCH(D324,'Ist Aktuell Monat 04'!A:A,0))=FALSE,INDEX('Ist Aktuell Monat 04'!B:B,MATCH(D324,'Ist Aktuell Monat 04'!A:A,0)),
IF(ISERROR(MATCH(D324,'Ist Aktuell Monat 05'!A:A,0))=FALSE,INDEX('Ist Aktuell Monat 05'!B:B,MATCH(D324,'Ist Aktuell Monat 05'!A:A,0)),
IF(ISERROR(MATCH(D324,'Ist Aktuell Monat 06'!A:A,0))=FALSE,INDEX('Ist Aktuell Monat 06'!B:B,MATCH(D324,'Ist Aktuell Monat 06'!A:A,0)),
IF(ISERROR(MATCH(D324,'Ist Aktuell Monat 07'!A:A,0))=FALSE,INDEX('Ist Aktuell Monat 07'!B:B,MATCH(D324,'Ist Aktuell Monat 07'!A:A,0)),
IF(ISERROR(MATCH(D324,'Ist Aktuell Monat 08'!A:A,0))=FALSE,INDEX('Ist Aktuell Monat 08'!B:B,MATCH(D324,'Ist Aktuell Monat 08'!A:A,0)),
IF(ISERROR(MATCH(D324,'Ist Aktuell Monat 09'!A:A,0))=FALSE,INDEX('Ist Aktuell Monat 09'!B:B,MATCH(D324,'Ist Aktuell Monat 09'!A:A,0)),
IF(ISERROR(MATCH(D324,'Ist Aktuell Monat 10'!A:A,0))=FALSE,INDEX('Ist Aktuell Monat 10'!B:B,MATCH(D324,'Ist Aktuell Monat 10'!A:A,0)),
IF(ISERROR(MATCH(D324,'Ist Aktuell Monat 11'!A:A,0))=FALSE,INDEX('Ist Aktuell Monat 11'!B:B,MATCH(D324,'Ist Aktuell Monat 11'!A:A,0)),
IF(ISERROR(MATCH(D324,'Ist Aktuell Monat 12'!A:A,0))=FALSE,INDEX('Ist Aktuell Monat 12'!B:B,MATCH(D324,'Ist Aktuell Monat 12'!A:A,0)),
"{Konto unbekannt}"
)))))))))))),"")</f>
        <v/>
      </c>
      <c r="C324" s="591"/>
      <c r="D324" s="590"/>
      <c r="E324" s="592">
        <f t="shared" si="381"/>
        <v>1</v>
      </c>
      <c r="F324" s="590"/>
      <c r="G324" s="593">
        <f ca="1">$E324*(-SUMIF(INDIRECT(G$3),'Struktur Aktuell'!$D324,INDIRECT(G$4))+SUMIF(INDIRECT(G$3),'Struktur Aktuell'!$D324,INDIRECT(G$5)))</f>
        <v>0</v>
      </c>
      <c r="H324" s="593">
        <f ca="1">$E324*(-SUMIF(INDIRECT(H$3),'Struktur Aktuell'!$D324,INDIRECT(H$4))+SUMIF(INDIRECT(H$3),'Struktur Aktuell'!$D324,INDIRECT(H$5)))</f>
        <v>0</v>
      </c>
      <c r="I324" s="593">
        <f ca="1">$E324*(-SUMIF(INDIRECT(I$3),'Struktur Aktuell'!$D324,INDIRECT(I$4))+SUMIF(INDIRECT(I$3),'Struktur Aktuell'!$D324,INDIRECT(I$5)))</f>
        <v>0</v>
      </c>
      <c r="J324" s="593">
        <f ca="1">$E324*(-SUMIF(INDIRECT(J$3),'Struktur Aktuell'!$D324,INDIRECT(J$4))+SUMIF(INDIRECT(J$3),'Struktur Aktuell'!$D324,INDIRECT(J$5)))</f>
        <v>0</v>
      </c>
      <c r="K324" s="593">
        <f ca="1">$E324*(-SUMIF(INDIRECT(K$3),'Struktur Aktuell'!$D324,INDIRECT(K$4))+SUMIF(INDIRECT(K$3),'Struktur Aktuell'!$D324,INDIRECT(K$5)))</f>
        <v>0</v>
      </c>
      <c r="L324" s="593">
        <f ca="1">$E324*(-SUMIF(INDIRECT(L$3),'Struktur Aktuell'!$D324,INDIRECT(L$4))+SUMIF(INDIRECT(L$3),'Struktur Aktuell'!$D324,INDIRECT(L$5)))</f>
        <v>0</v>
      </c>
      <c r="M324" s="593">
        <f ca="1">$E324*(-SUMIF(INDIRECT(M$3),'Struktur Aktuell'!$D324,INDIRECT(M$4))+SUMIF(INDIRECT(M$3),'Struktur Aktuell'!$D324,INDIRECT(M$5)))</f>
        <v>0</v>
      </c>
      <c r="N324" s="593">
        <f ca="1">$E324*(-SUMIF(INDIRECT(N$3),'Struktur Aktuell'!$D324,INDIRECT(N$4))+SUMIF(INDIRECT(N$3),'Struktur Aktuell'!$D324,INDIRECT(N$5)))</f>
        <v>0</v>
      </c>
      <c r="O324" s="593">
        <f ca="1">$E324*(-SUMIF(INDIRECT(O$3),'Struktur Aktuell'!$D324,INDIRECT(O$4))+SUMIF(INDIRECT(O$3),'Struktur Aktuell'!$D324,INDIRECT(O$5)))</f>
        <v>0</v>
      </c>
      <c r="P324" s="593">
        <f ca="1">$E324*(-SUMIF(INDIRECT(P$3),'Struktur Aktuell'!$D324,INDIRECT(P$4))+SUMIF(INDIRECT(P$3),'Struktur Aktuell'!$D324,INDIRECT(P$5)))</f>
        <v>0</v>
      </c>
      <c r="Q324" s="593">
        <f ca="1">$E324*(-SUMIF(INDIRECT(Q$3),'Struktur Aktuell'!$D324,INDIRECT(Q$4))+SUMIF(INDIRECT(Q$3),'Struktur Aktuell'!$D324,INDIRECT(Q$5)))</f>
        <v>0</v>
      </c>
      <c r="R324" s="593">
        <f ca="1">$E324*(-SUMIF(INDIRECT(R$3),'Struktur Aktuell'!$D324,INDIRECT(R$4))+SUMIF(INDIRECT(R$3),'Struktur Aktuell'!$D324,INDIRECT(R$5)))</f>
        <v>0</v>
      </c>
      <c r="S324" s="593">
        <f ca="1">$E324*(-SUMIF(INDIRECT(S$3),'Struktur Aktuell'!$D324,INDIRECT(S$4))+SUMIF(INDIRECT(S$3),'Struktur Aktuell'!$D324,INDIRECT(S$5)))</f>
        <v>0</v>
      </c>
      <c r="T324" s="593">
        <f ca="1">$E324*(-SUMIF(INDIRECT(T$3),'Struktur Aktuell'!$D324,INDIRECT(T$4))+SUMIF(INDIRECT(T$3),'Struktur Aktuell'!$D324,INDIRECT(T$5)))</f>
        <v>0</v>
      </c>
      <c r="U324" s="593">
        <f ca="1">$E324*(-SUMIF(INDIRECT(U$3),'Struktur Aktuell'!$D324,INDIRECT(U$4))+SUMIF(INDIRECT(U$3),'Struktur Aktuell'!$D324,INDIRECT(U$5)))</f>
        <v>0</v>
      </c>
      <c r="V324" s="593">
        <f ca="1">$E324*(-SUMIF(INDIRECT(V$3),'Struktur Aktuell'!$D324,INDIRECT(V$4))+SUMIF(INDIRECT(V$3),'Struktur Aktuell'!$D324,INDIRECT(V$5)))</f>
        <v>0</v>
      </c>
      <c r="W324" s="593">
        <f ca="1">$E324*(-SUMIF(INDIRECT(W$3),'Struktur Aktuell'!$D324,INDIRECT(W$4))+SUMIF(INDIRECT(W$3),'Struktur Aktuell'!$D324,INDIRECT(W$5)))</f>
        <v>0</v>
      </c>
      <c r="X324" s="593">
        <f ca="1">$E324*(-SUMIF(INDIRECT(X$3),'Struktur Aktuell'!$D324,INDIRECT(X$4))+SUMIF(INDIRECT(X$3),'Struktur Aktuell'!$D324,INDIRECT(X$5)))</f>
        <v>0</v>
      </c>
      <c r="Y324" s="593">
        <f ca="1">$E324*(-SUMIF(INDIRECT(Y$3),'Struktur Aktuell'!$D324,INDIRECT(Y$4))+SUMIF(INDIRECT(Y$3),'Struktur Aktuell'!$D324,INDIRECT(Y$5)))</f>
        <v>0</v>
      </c>
      <c r="Z324" s="593">
        <f ca="1">$E324*(-SUMIF(INDIRECT(Z$3),'Struktur Aktuell'!$D324,INDIRECT(Z$4))+SUMIF(INDIRECT(Z$3),'Struktur Aktuell'!$D324,INDIRECT(Z$5)))</f>
        <v>0</v>
      </c>
      <c r="AA324" s="593">
        <f ca="1">$E324*(-SUMIF(INDIRECT(AA$3),'Struktur Aktuell'!$D324,INDIRECT(AA$4))+SUMIF(INDIRECT(AA$3),'Struktur Aktuell'!$D324,INDIRECT(AA$5)))</f>
        <v>0</v>
      </c>
      <c r="AB324" s="593">
        <f ca="1">$E324*(-SUMIF(INDIRECT(AB$3),'Struktur Aktuell'!$D324,INDIRECT(AB$4))+SUMIF(INDIRECT(AB$3),'Struktur Aktuell'!$D324,INDIRECT(AB$5)))</f>
        <v>0</v>
      </c>
      <c r="AC324" s="593">
        <f ca="1">$E324*(-SUMIF(INDIRECT(AC$3),'Struktur Aktuell'!$D324,INDIRECT(AC$4))+SUMIF(INDIRECT(AC$3),'Struktur Aktuell'!$D324,INDIRECT(AC$5)))</f>
        <v>0</v>
      </c>
      <c r="AD324" s="593">
        <f ca="1">$E324*(-SUMIF(INDIRECT(AD$3),'Struktur Aktuell'!$D324,INDIRECT(AD$4))+SUMIF(INDIRECT(AD$3),'Struktur Aktuell'!$D324,INDIRECT(AD$5)))</f>
        <v>0</v>
      </c>
      <c r="AE324" s="593">
        <f t="shared" ca="1" si="465"/>
        <v>0</v>
      </c>
      <c r="AF324" s="593">
        <f t="shared" ca="1" si="466"/>
        <v>0</v>
      </c>
      <c r="AG324" s="593">
        <f t="shared" ca="1" si="467"/>
        <v>0</v>
      </c>
      <c r="AH324" s="593">
        <f t="shared" ca="1" si="468"/>
        <v>0</v>
      </c>
      <c r="AI324" s="593">
        <f t="shared" ca="1" si="469"/>
        <v>0</v>
      </c>
      <c r="AJ324" s="593">
        <f t="shared" ca="1" si="470"/>
        <v>0</v>
      </c>
      <c r="AK324" s="593">
        <f t="shared" ca="1" si="471"/>
        <v>0</v>
      </c>
      <c r="AL324" s="593">
        <f t="shared" ca="1" si="472"/>
        <v>0</v>
      </c>
      <c r="AM324" s="593">
        <f t="shared" ca="1" si="473"/>
        <v>0</v>
      </c>
      <c r="AN324" s="593">
        <f t="shared" ca="1" si="474"/>
        <v>0</v>
      </c>
      <c r="AO324" s="593">
        <f t="shared" ca="1" si="475"/>
        <v>0</v>
      </c>
      <c r="AP324" s="593">
        <f t="shared" ca="1" si="476"/>
        <v>0</v>
      </c>
    </row>
    <row r="325" spans="1:42" s="594" customFormat="1" ht="11.25" outlineLevel="1" x14ac:dyDescent="0.2">
      <c r="A325" s="590"/>
      <c r="B325" s="591" t="str">
        <f>IF(D325&lt;&gt;"",
IF(ISERROR(MATCH(D325,'Ist Aktuell Monat 01'!A:A,0))=FALSE,INDEX('Ist Aktuell Monat 01'!B:B,MATCH(D325,'Ist Aktuell Monat 01'!A:A,0)),
IF(ISERROR(MATCH(D325,'Ist Aktuell Monat 02'!A:A,0))=FALSE,INDEX('Ist Aktuell Monat 02'!B:B,MATCH(D325,'Ist Aktuell Monat 02'!A:A,0)),
IF(ISERROR(MATCH(D325,'Ist Aktuell Monat 03'!A:A,0))=FALSE,INDEX('Ist Aktuell Monat 03'!B:B,MATCH(D325,'Ist Aktuell Monat 03'!A:A,0)),
IF(ISERROR(MATCH(D325,'Ist Aktuell Monat 04'!A:A,0))=FALSE,INDEX('Ist Aktuell Monat 04'!B:B,MATCH(D325,'Ist Aktuell Monat 04'!A:A,0)),
IF(ISERROR(MATCH(D325,'Ist Aktuell Monat 05'!A:A,0))=FALSE,INDEX('Ist Aktuell Monat 05'!B:B,MATCH(D325,'Ist Aktuell Monat 05'!A:A,0)),
IF(ISERROR(MATCH(D325,'Ist Aktuell Monat 06'!A:A,0))=FALSE,INDEX('Ist Aktuell Monat 06'!B:B,MATCH(D325,'Ist Aktuell Monat 06'!A:A,0)),
IF(ISERROR(MATCH(D325,'Ist Aktuell Monat 07'!A:A,0))=FALSE,INDEX('Ist Aktuell Monat 07'!B:B,MATCH(D325,'Ist Aktuell Monat 07'!A:A,0)),
IF(ISERROR(MATCH(D325,'Ist Aktuell Monat 08'!A:A,0))=FALSE,INDEX('Ist Aktuell Monat 08'!B:B,MATCH(D325,'Ist Aktuell Monat 08'!A:A,0)),
IF(ISERROR(MATCH(D325,'Ist Aktuell Monat 09'!A:A,0))=FALSE,INDEX('Ist Aktuell Monat 09'!B:B,MATCH(D325,'Ist Aktuell Monat 09'!A:A,0)),
IF(ISERROR(MATCH(D325,'Ist Aktuell Monat 10'!A:A,0))=FALSE,INDEX('Ist Aktuell Monat 10'!B:B,MATCH(D325,'Ist Aktuell Monat 10'!A:A,0)),
IF(ISERROR(MATCH(D325,'Ist Aktuell Monat 11'!A:A,0))=FALSE,INDEX('Ist Aktuell Monat 11'!B:B,MATCH(D325,'Ist Aktuell Monat 11'!A:A,0)),
IF(ISERROR(MATCH(D325,'Ist Aktuell Monat 12'!A:A,0))=FALSE,INDEX('Ist Aktuell Monat 12'!B:B,MATCH(D325,'Ist Aktuell Monat 12'!A:A,0)),
"{Konto unbekannt}"
)))))))))))),"")</f>
        <v/>
      </c>
      <c r="C325" s="591"/>
      <c r="D325" s="590"/>
      <c r="E325" s="592">
        <f t="shared" ref="E325:E326" si="477">IF(F325="-",-1,1)</f>
        <v>1</v>
      </c>
      <c r="F325" s="590"/>
      <c r="G325" s="593">
        <f ca="1">$E325*(-SUMIF(INDIRECT(G$3),'Struktur Aktuell'!$D325,INDIRECT(G$4))+SUMIF(INDIRECT(G$3),'Struktur Aktuell'!$D325,INDIRECT(G$5)))</f>
        <v>0</v>
      </c>
      <c r="H325" s="593">
        <f ca="1">$E325*(-SUMIF(INDIRECT(H$3),'Struktur Aktuell'!$D325,INDIRECT(H$4))+SUMIF(INDIRECT(H$3),'Struktur Aktuell'!$D325,INDIRECT(H$5)))</f>
        <v>0</v>
      </c>
      <c r="I325" s="593">
        <f ca="1">$E325*(-SUMIF(INDIRECT(I$3),'Struktur Aktuell'!$D325,INDIRECT(I$4))+SUMIF(INDIRECT(I$3),'Struktur Aktuell'!$D325,INDIRECT(I$5)))</f>
        <v>0</v>
      </c>
      <c r="J325" s="593">
        <f ca="1">$E325*(-SUMIF(INDIRECT(J$3),'Struktur Aktuell'!$D325,INDIRECT(J$4))+SUMIF(INDIRECT(J$3),'Struktur Aktuell'!$D325,INDIRECT(J$5)))</f>
        <v>0</v>
      </c>
      <c r="K325" s="593">
        <f ca="1">$E325*(-SUMIF(INDIRECT(K$3),'Struktur Aktuell'!$D325,INDIRECT(K$4))+SUMIF(INDIRECT(K$3),'Struktur Aktuell'!$D325,INDIRECT(K$5)))</f>
        <v>0</v>
      </c>
      <c r="L325" s="593">
        <f ca="1">$E325*(-SUMIF(INDIRECT(L$3),'Struktur Aktuell'!$D325,INDIRECT(L$4))+SUMIF(INDIRECT(L$3),'Struktur Aktuell'!$D325,INDIRECT(L$5)))</f>
        <v>0</v>
      </c>
      <c r="M325" s="593">
        <f ca="1">$E325*(-SUMIF(INDIRECT(M$3),'Struktur Aktuell'!$D325,INDIRECT(M$4))+SUMIF(INDIRECT(M$3),'Struktur Aktuell'!$D325,INDIRECT(M$5)))</f>
        <v>0</v>
      </c>
      <c r="N325" s="593">
        <f ca="1">$E325*(-SUMIF(INDIRECT(N$3),'Struktur Aktuell'!$D325,INDIRECT(N$4))+SUMIF(INDIRECT(N$3),'Struktur Aktuell'!$D325,INDIRECT(N$5)))</f>
        <v>0</v>
      </c>
      <c r="O325" s="593">
        <f ca="1">$E325*(-SUMIF(INDIRECT(O$3),'Struktur Aktuell'!$D325,INDIRECT(O$4))+SUMIF(INDIRECT(O$3),'Struktur Aktuell'!$D325,INDIRECT(O$5)))</f>
        <v>0</v>
      </c>
      <c r="P325" s="593">
        <f ca="1">$E325*(-SUMIF(INDIRECT(P$3),'Struktur Aktuell'!$D325,INDIRECT(P$4))+SUMIF(INDIRECT(P$3),'Struktur Aktuell'!$D325,INDIRECT(P$5)))</f>
        <v>0</v>
      </c>
      <c r="Q325" s="593">
        <f ca="1">$E325*(-SUMIF(INDIRECT(Q$3),'Struktur Aktuell'!$D325,INDIRECT(Q$4))+SUMIF(INDIRECT(Q$3),'Struktur Aktuell'!$D325,INDIRECT(Q$5)))</f>
        <v>0</v>
      </c>
      <c r="R325" s="593">
        <f ca="1">$E325*(-SUMIF(INDIRECT(R$3),'Struktur Aktuell'!$D325,INDIRECT(R$4))+SUMIF(INDIRECT(R$3),'Struktur Aktuell'!$D325,INDIRECT(R$5)))</f>
        <v>0</v>
      </c>
      <c r="S325" s="593">
        <f ca="1">$E325*(-SUMIF(INDIRECT(S$3),'Struktur Aktuell'!$D325,INDIRECT(S$4))+SUMIF(INDIRECT(S$3),'Struktur Aktuell'!$D325,INDIRECT(S$5)))</f>
        <v>0</v>
      </c>
      <c r="T325" s="593">
        <f ca="1">$E325*(-SUMIF(INDIRECT(T$3),'Struktur Aktuell'!$D325,INDIRECT(T$4))+SUMIF(INDIRECT(T$3),'Struktur Aktuell'!$D325,INDIRECT(T$5)))</f>
        <v>0</v>
      </c>
      <c r="U325" s="593">
        <f ca="1">$E325*(-SUMIF(INDIRECT(U$3),'Struktur Aktuell'!$D325,INDIRECT(U$4))+SUMIF(INDIRECT(U$3),'Struktur Aktuell'!$D325,INDIRECT(U$5)))</f>
        <v>0</v>
      </c>
      <c r="V325" s="593">
        <f ca="1">$E325*(-SUMIF(INDIRECT(V$3),'Struktur Aktuell'!$D325,INDIRECT(V$4))+SUMIF(INDIRECT(V$3),'Struktur Aktuell'!$D325,INDIRECT(V$5)))</f>
        <v>0</v>
      </c>
      <c r="W325" s="593">
        <f ca="1">$E325*(-SUMIF(INDIRECT(W$3),'Struktur Aktuell'!$D325,INDIRECT(W$4))+SUMIF(INDIRECT(W$3),'Struktur Aktuell'!$D325,INDIRECT(W$5)))</f>
        <v>0</v>
      </c>
      <c r="X325" s="593">
        <f ca="1">$E325*(-SUMIF(INDIRECT(X$3),'Struktur Aktuell'!$D325,INDIRECT(X$4))+SUMIF(INDIRECT(X$3),'Struktur Aktuell'!$D325,INDIRECT(X$5)))</f>
        <v>0</v>
      </c>
      <c r="Y325" s="593">
        <f ca="1">$E325*(-SUMIF(INDIRECT(Y$3),'Struktur Aktuell'!$D325,INDIRECT(Y$4))+SUMIF(INDIRECT(Y$3),'Struktur Aktuell'!$D325,INDIRECT(Y$5)))</f>
        <v>0</v>
      </c>
      <c r="Z325" s="593">
        <f ca="1">$E325*(-SUMIF(INDIRECT(Z$3),'Struktur Aktuell'!$D325,INDIRECT(Z$4))+SUMIF(INDIRECT(Z$3),'Struktur Aktuell'!$D325,INDIRECT(Z$5)))</f>
        <v>0</v>
      </c>
      <c r="AA325" s="593">
        <f ca="1">$E325*(-SUMIF(INDIRECT(AA$3),'Struktur Aktuell'!$D325,INDIRECT(AA$4))+SUMIF(INDIRECT(AA$3),'Struktur Aktuell'!$D325,INDIRECT(AA$5)))</f>
        <v>0</v>
      </c>
      <c r="AB325" s="593">
        <f ca="1">$E325*(-SUMIF(INDIRECT(AB$3),'Struktur Aktuell'!$D325,INDIRECT(AB$4))+SUMIF(INDIRECT(AB$3),'Struktur Aktuell'!$D325,INDIRECT(AB$5)))</f>
        <v>0</v>
      </c>
      <c r="AC325" s="593">
        <f ca="1">$E325*(-SUMIF(INDIRECT(AC$3),'Struktur Aktuell'!$D325,INDIRECT(AC$4))+SUMIF(INDIRECT(AC$3),'Struktur Aktuell'!$D325,INDIRECT(AC$5)))</f>
        <v>0</v>
      </c>
      <c r="AD325" s="593">
        <f ca="1">$E325*(-SUMIF(INDIRECT(AD$3),'Struktur Aktuell'!$D325,INDIRECT(AD$4))+SUMIF(INDIRECT(AD$3),'Struktur Aktuell'!$D325,INDIRECT(AD$5)))</f>
        <v>0</v>
      </c>
      <c r="AE325" s="593">
        <f t="shared" ca="1" si="465"/>
        <v>0</v>
      </c>
      <c r="AF325" s="593">
        <f t="shared" ca="1" si="466"/>
        <v>0</v>
      </c>
      <c r="AG325" s="593">
        <f t="shared" ca="1" si="467"/>
        <v>0</v>
      </c>
      <c r="AH325" s="593">
        <f t="shared" ca="1" si="468"/>
        <v>0</v>
      </c>
      <c r="AI325" s="593">
        <f t="shared" ca="1" si="469"/>
        <v>0</v>
      </c>
      <c r="AJ325" s="593">
        <f t="shared" ca="1" si="470"/>
        <v>0</v>
      </c>
      <c r="AK325" s="593">
        <f t="shared" ca="1" si="471"/>
        <v>0</v>
      </c>
      <c r="AL325" s="593">
        <f t="shared" ca="1" si="472"/>
        <v>0</v>
      </c>
      <c r="AM325" s="593">
        <f t="shared" ca="1" si="473"/>
        <v>0</v>
      </c>
      <c r="AN325" s="593">
        <f t="shared" ca="1" si="474"/>
        <v>0</v>
      </c>
      <c r="AO325" s="593">
        <f t="shared" ca="1" si="475"/>
        <v>0</v>
      </c>
      <c r="AP325" s="593">
        <f t="shared" ca="1" si="476"/>
        <v>0</v>
      </c>
    </row>
    <row r="326" spans="1:42" s="594" customFormat="1" ht="11.25" outlineLevel="1" x14ac:dyDescent="0.2">
      <c r="A326" s="590"/>
      <c r="B326" s="591" t="str">
        <f>IF(D326&lt;&gt;"",
IF(ISERROR(MATCH(D326,'Ist Aktuell Monat 01'!A:A,0))=FALSE,INDEX('Ist Aktuell Monat 01'!B:B,MATCH(D326,'Ist Aktuell Monat 01'!A:A,0)),
IF(ISERROR(MATCH(D326,'Ist Aktuell Monat 02'!A:A,0))=FALSE,INDEX('Ist Aktuell Monat 02'!B:B,MATCH(D326,'Ist Aktuell Monat 02'!A:A,0)),
IF(ISERROR(MATCH(D326,'Ist Aktuell Monat 03'!A:A,0))=FALSE,INDEX('Ist Aktuell Monat 03'!B:B,MATCH(D326,'Ist Aktuell Monat 03'!A:A,0)),
IF(ISERROR(MATCH(D326,'Ist Aktuell Monat 04'!A:A,0))=FALSE,INDEX('Ist Aktuell Monat 04'!B:B,MATCH(D326,'Ist Aktuell Monat 04'!A:A,0)),
IF(ISERROR(MATCH(D326,'Ist Aktuell Monat 05'!A:A,0))=FALSE,INDEX('Ist Aktuell Monat 05'!B:B,MATCH(D326,'Ist Aktuell Monat 05'!A:A,0)),
IF(ISERROR(MATCH(D326,'Ist Aktuell Monat 06'!A:A,0))=FALSE,INDEX('Ist Aktuell Monat 06'!B:B,MATCH(D326,'Ist Aktuell Monat 06'!A:A,0)),
IF(ISERROR(MATCH(D326,'Ist Aktuell Monat 07'!A:A,0))=FALSE,INDEX('Ist Aktuell Monat 07'!B:B,MATCH(D326,'Ist Aktuell Monat 07'!A:A,0)),
IF(ISERROR(MATCH(D326,'Ist Aktuell Monat 08'!A:A,0))=FALSE,INDEX('Ist Aktuell Monat 08'!B:B,MATCH(D326,'Ist Aktuell Monat 08'!A:A,0)),
IF(ISERROR(MATCH(D326,'Ist Aktuell Monat 09'!A:A,0))=FALSE,INDEX('Ist Aktuell Monat 09'!B:B,MATCH(D326,'Ist Aktuell Monat 09'!A:A,0)),
IF(ISERROR(MATCH(D326,'Ist Aktuell Monat 10'!A:A,0))=FALSE,INDEX('Ist Aktuell Monat 10'!B:B,MATCH(D326,'Ist Aktuell Monat 10'!A:A,0)),
IF(ISERROR(MATCH(D326,'Ist Aktuell Monat 11'!A:A,0))=FALSE,INDEX('Ist Aktuell Monat 11'!B:B,MATCH(D326,'Ist Aktuell Monat 11'!A:A,0)),
IF(ISERROR(MATCH(D326,'Ist Aktuell Monat 12'!A:A,0))=FALSE,INDEX('Ist Aktuell Monat 12'!B:B,MATCH(D326,'Ist Aktuell Monat 12'!A:A,0)),
"{Konto unbekannt}"
)))))))))))),"")</f>
        <v/>
      </c>
      <c r="C326" s="591"/>
      <c r="D326" s="590"/>
      <c r="E326" s="592">
        <f t="shared" si="477"/>
        <v>1</v>
      </c>
      <c r="F326" s="590"/>
      <c r="G326" s="593">
        <f ca="1">$E326*(-SUMIF(INDIRECT(G$3),'Struktur Aktuell'!$D326,INDIRECT(G$4))+SUMIF(INDIRECT(G$3),'Struktur Aktuell'!$D326,INDIRECT(G$5)))</f>
        <v>0</v>
      </c>
      <c r="H326" s="593">
        <f ca="1">$E326*(-SUMIF(INDIRECT(H$3),'Struktur Aktuell'!$D326,INDIRECT(H$4))+SUMIF(INDIRECT(H$3),'Struktur Aktuell'!$D326,INDIRECT(H$5)))</f>
        <v>0</v>
      </c>
      <c r="I326" s="593">
        <f ca="1">$E326*(-SUMIF(INDIRECT(I$3),'Struktur Aktuell'!$D326,INDIRECT(I$4))+SUMIF(INDIRECT(I$3),'Struktur Aktuell'!$D326,INDIRECT(I$5)))</f>
        <v>0</v>
      </c>
      <c r="J326" s="593">
        <f ca="1">$E326*(-SUMIF(INDIRECT(J$3),'Struktur Aktuell'!$D326,INDIRECT(J$4))+SUMIF(INDIRECT(J$3),'Struktur Aktuell'!$D326,INDIRECT(J$5)))</f>
        <v>0</v>
      </c>
      <c r="K326" s="593">
        <f ca="1">$E326*(-SUMIF(INDIRECT(K$3),'Struktur Aktuell'!$D326,INDIRECT(K$4))+SUMIF(INDIRECT(K$3),'Struktur Aktuell'!$D326,INDIRECT(K$5)))</f>
        <v>0</v>
      </c>
      <c r="L326" s="593">
        <f ca="1">$E326*(-SUMIF(INDIRECT(L$3),'Struktur Aktuell'!$D326,INDIRECT(L$4))+SUMIF(INDIRECT(L$3),'Struktur Aktuell'!$D326,INDIRECT(L$5)))</f>
        <v>0</v>
      </c>
      <c r="M326" s="593">
        <f ca="1">$E326*(-SUMIF(INDIRECT(M$3),'Struktur Aktuell'!$D326,INDIRECT(M$4))+SUMIF(INDIRECT(M$3),'Struktur Aktuell'!$D326,INDIRECT(M$5)))</f>
        <v>0</v>
      </c>
      <c r="N326" s="593">
        <f ca="1">$E326*(-SUMIF(INDIRECT(N$3),'Struktur Aktuell'!$D326,INDIRECT(N$4))+SUMIF(INDIRECT(N$3),'Struktur Aktuell'!$D326,INDIRECT(N$5)))</f>
        <v>0</v>
      </c>
      <c r="O326" s="593">
        <f ca="1">$E326*(-SUMIF(INDIRECT(O$3),'Struktur Aktuell'!$D326,INDIRECT(O$4))+SUMIF(INDIRECT(O$3),'Struktur Aktuell'!$D326,INDIRECT(O$5)))</f>
        <v>0</v>
      </c>
      <c r="P326" s="593">
        <f ca="1">$E326*(-SUMIF(INDIRECT(P$3),'Struktur Aktuell'!$D326,INDIRECT(P$4))+SUMIF(INDIRECT(P$3),'Struktur Aktuell'!$D326,INDIRECT(P$5)))</f>
        <v>0</v>
      </c>
      <c r="Q326" s="593">
        <f ca="1">$E326*(-SUMIF(INDIRECT(Q$3),'Struktur Aktuell'!$D326,INDIRECT(Q$4))+SUMIF(INDIRECT(Q$3),'Struktur Aktuell'!$D326,INDIRECT(Q$5)))</f>
        <v>0</v>
      </c>
      <c r="R326" s="593">
        <f ca="1">$E326*(-SUMIF(INDIRECT(R$3),'Struktur Aktuell'!$D326,INDIRECT(R$4))+SUMIF(INDIRECT(R$3),'Struktur Aktuell'!$D326,INDIRECT(R$5)))</f>
        <v>0</v>
      </c>
      <c r="S326" s="593">
        <f ca="1">$E326*(-SUMIF(INDIRECT(S$3),'Struktur Aktuell'!$D326,INDIRECT(S$4))+SUMIF(INDIRECT(S$3),'Struktur Aktuell'!$D326,INDIRECT(S$5)))</f>
        <v>0</v>
      </c>
      <c r="T326" s="593">
        <f ca="1">$E326*(-SUMIF(INDIRECT(T$3),'Struktur Aktuell'!$D326,INDIRECT(T$4))+SUMIF(INDIRECT(T$3),'Struktur Aktuell'!$D326,INDIRECT(T$5)))</f>
        <v>0</v>
      </c>
      <c r="U326" s="593">
        <f ca="1">$E326*(-SUMIF(INDIRECT(U$3),'Struktur Aktuell'!$D326,INDIRECT(U$4))+SUMIF(INDIRECT(U$3),'Struktur Aktuell'!$D326,INDIRECT(U$5)))</f>
        <v>0</v>
      </c>
      <c r="V326" s="593">
        <f ca="1">$E326*(-SUMIF(INDIRECT(V$3),'Struktur Aktuell'!$D326,INDIRECT(V$4))+SUMIF(INDIRECT(V$3),'Struktur Aktuell'!$D326,INDIRECT(V$5)))</f>
        <v>0</v>
      </c>
      <c r="W326" s="593">
        <f ca="1">$E326*(-SUMIF(INDIRECT(W$3),'Struktur Aktuell'!$D326,INDIRECT(W$4))+SUMIF(INDIRECT(W$3),'Struktur Aktuell'!$D326,INDIRECT(W$5)))</f>
        <v>0</v>
      </c>
      <c r="X326" s="593">
        <f ca="1">$E326*(-SUMIF(INDIRECT(X$3),'Struktur Aktuell'!$D326,INDIRECT(X$4))+SUMIF(INDIRECT(X$3),'Struktur Aktuell'!$D326,INDIRECT(X$5)))</f>
        <v>0</v>
      </c>
      <c r="Y326" s="593">
        <f ca="1">$E326*(-SUMIF(INDIRECT(Y$3),'Struktur Aktuell'!$D326,INDIRECT(Y$4))+SUMIF(INDIRECT(Y$3),'Struktur Aktuell'!$D326,INDIRECT(Y$5)))</f>
        <v>0</v>
      </c>
      <c r="Z326" s="593">
        <f ca="1">$E326*(-SUMIF(INDIRECT(Z$3),'Struktur Aktuell'!$D326,INDIRECT(Z$4))+SUMIF(INDIRECT(Z$3),'Struktur Aktuell'!$D326,INDIRECT(Z$5)))</f>
        <v>0</v>
      </c>
      <c r="AA326" s="593">
        <f ca="1">$E326*(-SUMIF(INDIRECT(AA$3),'Struktur Aktuell'!$D326,INDIRECT(AA$4))+SUMIF(INDIRECT(AA$3),'Struktur Aktuell'!$D326,INDIRECT(AA$5)))</f>
        <v>0</v>
      </c>
      <c r="AB326" s="593">
        <f ca="1">$E326*(-SUMIF(INDIRECT(AB$3),'Struktur Aktuell'!$D326,INDIRECT(AB$4))+SUMIF(INDIRECT(AB$3),'Struktur Aktuell'!$D326,INDIRECT(AB$5)))</f>
        <v>0</v>
      </c>
      <c r="AC326" s="593">
        <f ca="1">$E326*(-SUMIF(INDIRECT(AC$3),'Struktur Aktuell'!$D326,INDIRECT(AC$4))+SUMIF(INDIRECT(AC$3),'Struktur Aktuell'!$D326,INDIRECT(AC$5)))</f>
        <v>0</v>
      </c>
      <c r="AD326" s="593">
        <f ca="1">$E326*(-SUMIF(INDIRECT(AD$3),'Struktur Aktuell'!$D326,INDIRECT(AD$4))+SUMIF(INDIRECT(AD$3),'Struktur Aktuell'!$D326,INDIRECT(AD$5)))</f>
        <v>0</v>
      </c>
      <c r="AE326" s="593">
        <f t="shared" ca="1" si="465"/>
        <v>0</v>
      </c>
      <c r="AF326" s="593">
        <f t="shared" ca="1" si="466"/>
        <v>0</v>
      </c>
      <c r="AG326" s="593">
        <f t="shared" ca="1" si="467"/>
        <v>0</v>
      </c>
      <c r="AH326" s="593">
        <f t="shared" ca="1" si="468"/>
        <v>0</v>
      </c>
      <c r="AI326" s="593">
        <f t="shared" ca="1" si="469"/>
        <v>0</v>
      </c>
      <c r="AJ326" s="593">
        <f t="shared" ca="1" si="470"/>
        <v>0</v>
      </c>
      <c r="AK326" s="593">
        <f t="shared" ca="1" si="471"/>
        <v>0</v>
      </c>
      <c r="AL326" s="593">
        <f t="shared" ca="1" si="472"/>
        <v>0</v>
      </c>
      <c r="AM326" s="593">
        <f t="shared" ca="1" si="473"/>
        <v>0</v>
      </c>
      <c r="AN326" s="593">
        <f t="shared" ca="1" si="474"/>
        <v>0</v>
      </c>
      <c r="AO326" s="593">
        <f t="shared" ca="1" si="475"/>
        <v>0</v>
      </c>
      <c r="AP326" s="593">
        <f t="shared" ca="1" si="476"/>
        <v>0</v>
      </c>
    </row>
    <row r="327" spans="1:42" s="594" customFormat="1" ht="11.25" outlineLevel="1" x14ac:dyDescent="0.2">
      <c r="A327" s="590"/>
      <c r="B327" s="591" t="str">
        <f>IF(D327&lt;&gt;"",
IF(ISERROR(MATCH(D327,'Ist Aktuell Monat 01'!A:A,0))=FALSE,INDEX('Ist Aktuell Monat 01'!B:B,MATCH(D327,'Ist Aktuell Monat 01'!A:A,0)),
IF(ISERROR(MATCH(D327,'Ist Aktuell Monat 02'!A:A,0))=FALSE,INDEX('Ist Aktuell Monat 02'!B:B,MATCH(D327,'Ist Aktuell Monat 02'!A:A,0)),
IF(ISERROR(MATCH(D327,'Ist Aktuell Monat 03'!A:A,0))=FALSE,INDEX('Ist Aktuell Monat 03'!B:B,MATCH(D327,'Ist Aktuell Monat 03'!A:A,0)),
IF(ISERROR(MATCH(D327,'Ist Aktuell Monat 04'!A:A,0))=FALSE,INDEX('Ist Aktuell Monat 04'!B:B,MATCH(D327,'Ist Aktuell Monat 04'!A:A,0)),
IF(ISERROR(MATCH(D327,'Ist Aktuell Monat 05'!A:A,0))=FALSE,INDEX('Ist Aktuell Monat 05'!B:B,MATCH(D327,'Ist Aktuell Monat 05'!A:A,0)),
IF(ISERROR(MATCH(D327,'Ist Aktuell Monat 06'!A:A,0))=FALSE,INDEX('Ist Aktuell Monat 06'!B:B,MATCH(D327,'Ist Aktuell Monat 06'!A:A,0)),
IF(ISERROR(MATCH(D327,'Ist Aktuell Monat 07'!A:A,0))=FALSE,INDEX('Ist Aktuell Monat 07'!B:B,MATCH(D327,'Ist Aktuell Monat 07'!A:A,0)),
IF(ISERROR(MATCH(D327,'Ist Aktuell Monat 08'!A:A,0))=FALSE,INDEX('Ist Aktuell Monat 08'!B:B,MATCH(D327,'Ist Aktuell Monat 08'!A:A,0)),
IF(ISERROR(MATCH(D327,'Ist Aktuell Monat 09'!A:A,0))=FALSE,INDEX('Ist Aktuell Monat 09'!B:B,MATCH(D327,'Ist Aktuell Monat 09'!A:A,0)),
IF(ISERROR(MATCH(D327,'Ist Aktuell Monat 10'!A:A,0))=FALSE,INDEX('Ist Aktuell Monat 10'!B:B,MATCH(D327,'Ist Aktuell Monat 10'!A:A,0)),
IF(ISERROR(MATCH(D327,'Ist Aktuell Monat 11'!A:A,0))=FALSE,INDEX('Ist Aktuell Monat 11'!B:B,MATCH(D327,'Ist Aktuell Monat 11'!A:A,0)),
IF(ISERROR(MATCH(D327,'Ist Aktuell Monat 12'!A:A,0))=FALSE,INDEX('Ist Aktuell Monat 12'!B:B,MATCH(D327,'Ist Aktuell Monat 12'!A:A,0)),
"{Konto unbekannt}"
)))))))))))),"")</f>
        <v/>
      </c>
      <c r="C327" s="591"/>
      <c r="D327" s="590"/>
      <c r="E327" s="592">
        <f t="shared" si="381"/>
        <v>1</v>
      </c>
      <c r="F327" s="590"/>
      <c r="G327" s="593">
        <f ca="1">$E327*(-SUMIF(INDIRECT(G$3),'Struktur Aktuell'!$D327,INDIRECT(G$4))+SUMIF(INDIRECT(G$3),'Struktur Aktuell'!$D327,INDIRECT(G$5)))</f>
        <v>0</v>
      </c>
      <c r="H327" s="593">
        <f ca="1">$E327*(-SUMIF(INDIRECT(H$3),'Struktur Aktuell'!$D327,INDIRECT(H$4))+SUMIF(INDIRECT(H$3),'Struktur Aktuell'!$D327,INDIRECT(H$5)))</f>
        <v>0</v>
      </c>
      <c r="I327" s="593">
        <f ca="1">$E327*(-SUMIF(INDIRECT(I$3),'Struktur Aktuell'!$D327,INDIRECT(I$4))+SUMIF(INDIRECT(I$3),'Struktur Aktuell'!$D327,INDIRECT(I$5)))</f>
        <v>0</v>
      </c>
      <c r="J327" s="593">
        <f ca="1">$E327*(-SUMIF(INDIRECT(J$3),'Struktur Aktuell'!$D327,INDIRECT(J$4))+SUMIF(INDIRECT(J$3),'Struktur Aktuell'!$D327,INDIRECT(J$5)))</f>
        <v>0</v>
      </c>
      <c r="K327" s="593">
        <f ca="1">$E327*(-SUMIF(INDIRECT(K$3),'Struktur Aktuell'!$D327,INDIRECT(K$4))+SUMIF(INDIRECT(K$3),'Struktur Aktuell'!$D327,INDIRECT(K$5)))</f>
        <v>0</v>
      </c>
      <c r="L327" s="593">
        <f ca="1">$E327*(-SUMIF(INDIRECT(L$3),'Struktur Aktuell'!$D327,INDIRECT(L$4))+SUMIF(INDIRECT(L$3),'Struktur Aktuell'!$D327,INDIRECT(L$5)))</f>
        <v>0</v>
      </c>
      <c r="M327" s="593">
        <f ca="1">$E327*(-SUMIF(INDIRECT(M$3),'Struktur Aktuell'!$D327,INDIRECT(M$4))+SUMIF(INDIRECT(M$3),'Struktur Aktuell'!$D327,INDIRECT(M$5)))</f>
        <v>0</v>
      </c>
      <c r="N327" s="593">
        <f ca="1">$E327*(-SUMIF(INDIRECT(N$3),'Struktur Aktuell'!$D327,INDIRECT(N$4))+SUMIF(INDIRECT(N$3),'Struktur Aktuell'!$D327,INDIRECT(N$5)))</f>
        <v>0</v>
      </c>
      <c r="O327" s="593">
        <f ca="1">$E327*(-SUMIF(INDIRECT(O$3),'Struktur Aktuell'!$D327,INDIRECT(O$4))+SUMIF(INDIRECT(O$3),'Struktur Aktuell'!$D327,INDIRECT(O$5)))</f>
        <v>0</v>
      </c>
      <c r="P327" s="593">
        <f ca="1">$E327*(-SUMIF(INDIRECT(P$3),'Struktur Aktuell'!$D327,INDIRECT(P$4))+SUMIF(INDIRECT(P$3),'Struktur Aktuell'!$D327,INDIRECT(P$5)))</f>
        <v>0</v>
      </c>
      <c r="Q327" s="593">
        <f ca="1">$E327*(-SUMIF(INDIRECT(Q$3),'Struktur Aktuell'!$D327,INDIRECT(Q$4))+SUMIF(INDIRECT(Q$3),'Struktur Aktuell'!$D327,INDIRECT(Q$5)))</f>
        <v>0</v>
      </c>
      <c r="R327" s="593">
        <f ca="1">$E327*(-SUMIF(INDIRECT(R$3),'Struktur Aktuell'!$D327,INDIRECT(R$4))+SUMIF(INDIRECT(R$3),'Struktur Aktuell'!$D327,INDIRECT(R$5)))</f>
        <v>0</v>
      </c>
      <c r="S327" s="593">
        <f ca="1">$E327*(-SUMIF(INDIRECT(S$3),'Struktur Aktuell'!$D327,INDIRECT(S$4))+SUMIF(INDIRECT(S$3),'Struktur Aktuell'!$D327,INDIRECT(S$5)))</f>
        <v>0</v>
      </c>
      <c r="T327" s="593">
        <f ca="1">$E327*(-SUMIF(INDIRECT(T$3),'Struktur Aktuell'!$D327,INDIRECT(T$4))+SUMIF(INDIRECT(T$3),'Struktur Aktuell'!$D327,INDIRECT(T$5)))</f>
        <v>0</v>
      </c>
      <c r="U327" s="593">
        <f ca="1">$E327*(-SUMIF(INDIRECT(U$3),'Struktur Aktuell'!$D327,INDIRECT(U$4))+SUMIF(INDIRECT(U$3),'Struktur Aktuell'!$D327,INDIRECT(U$5)))</f>
        <v>0</v>
      </c>
      <c r="V327" s="593">
        <f ca="1">$E327*(-SUMIF(INDIRECT(V$3),'Struktur Aktuell'!$D327,INDIRECT(V$4))+SUMIF(INDIRECT(V$3),'Struktur Aktuell'!$D327,INDIRECT(V$5)))</f>
        <v>0</v>
      </c>
      <c r="W327" s="593">
        <f ca="1">$E327*(-SUMIF(INDIRECT(W$3),'Struktur Aktuell'!$D327,INDIRECT(W$4))+SUMIF(INDIRECT(W$3),'Struktur Aktuell'!$D327,INDIRECT(W$5)))</f>
        <v>0</v>
      </c>
      <c r="X327" s="593">
        <f ca="1">$E327*(-SUMIF(INDIRECT(X$3),'Struktur Aktuell'!$D327,INDIRECT(X$4))+SUMIF(INDIRECT(X$3),'Struktur Aktuell'!$D327,INDIRECT(X$5)))</f>
        <v>0</v>
      </c>
      <c r="Y327" s="593">
        <f ca="1">$E327*(-SUMIF(INDIRECT(Y$3),'Struktur Aktuell'!$D327,INDIRECT(Y$4))+SUMIF(INDIRECT(Y$3),'Struktur Aktuell'!$D327,INDIRECT(Y$5)))</f>
        <v>0</v>
      </c>
      <c r="Z327" s="593">
        <f ca="1">$E327*(-SUMIF(INDIRECT(Z$3),'Struktur Aktuell'!$D327,INDIRECT(Z$4))+SUMIF(INDIRECT(Z$3),'Struktur Aktuell'!$D327,INDIRECT(Z$5)))</f>
        <v>0</v>
      </c>
      <c r="AA327" s="593">
        <f ca="1">$E327*(-SUMIF(INDIRECT(AA$3),'Struktur Aktuell'!$D327,INDIRECT(AA$4))+SUMIF(INDIRECT(AA$3),'Struktur Aktuell'!$D327,INDIRECT(AA$5)))</f>
        <v>0</v>
      </c>
      <c r="AB327" s="593">
        <f ca="1">$E327*(-SUMIF(INDIRECT(AB$3),'Struktur Aktuell'!$D327,INDIRECT(AB$4))+SUMIF(INDIRECT(AB$3),'Struktur Aktuell'!$D327,INDIRECT(AB$5)))</f>
        <v>0</v>
      </c>
      <c r="AC327" s="593">
        <f ca="1">$E327*(-SUMIF(INDIRECT(AC$3),'Struktur Aktuell'!$D327,INDIRECT(AC$4))+SUMIF(INDIRECT(AC$3),'Struktur Aktuell'!$D327,INDIRECT(AC$5)))</f>
        <v>0</v>
      </c>
      <c r="AD327" s="593">
        <f ca="1">$E327*(-SUMIF(INDIRECT(AD$3),'Struktur Aktuell'!$D327,INDIRECT(AD$4))+SUMIF(INDIRECT(AD$3),'Struktur Aktuell'!$D327,INDIRECT(AD$5)))</f>
        <v>0</v>
      </c>
      <c r="AE327" s="593">
        <f t="shared" ca="1" si="465"/>
        <v>0</v>
      </c>
      <c r="AF327" s="593">
        <f t="shared" ca="1" si="466"/>
        <v>0</v>
      </c>
      <c r="AG327" s="593">
        <f t="shared" ca="1" si="467"/>
        <v>0</v>
      </c>
      <c r="AH327" s="593">
        <f t="shared" ca="1" si="468"/>
        <v>0</v>
      </c>
      <c r="AI327" s="593">
        <f t="shared" ca="1" si="469"/>
        <v>0</v>
      </c>
      <c r="AJ327" s="593">
        <f t="shared" ca="1" si="470"/>
        <v>0</v>
      </c>
      <c r="AK327" s="593">
        <f t="shared" ca="1" si="471"/>
        <v>0</v>
      </c>
      <c r="AL327" s="593">
        <f t="shared" ca="1" si="472"/>
        <v>0</v>
      </c>
      <c r="AM327" s="593">
        <f t="shared" ca="1" si="473"/>
        <v>0</v>
      </c>
      <c r="AN327" s="593">
        <f t="shared" ca="1" si="474"/>
        <v>0</v>
      </c>
      <c r="AO327" s="593">
        <f t="shared" ca="1" si="475"/>
        <v>0</v>
      </c>
      <c r="AP327" s="593">
        <f t="shared" ca="1" si="476"/>
        <v>0</v>
      </c>
    </row>
    <row r="328" spans="1:42" s="589" customFormat="1" x14ac:dyDescent="0.2">
      <c r="A328" s="585">
        <v>31</v>
      </c>
      <c r="B328" s="586" t="s">
        <v>1017</v>
      </c>
      <c r="C328" s="587">
        <f ca="1">SUM(G328:R328)</f>
        <v>0</v>
      </c>
      <c r="D328" s="587"/>
      <c r="E328" s="588">
        <f t="shared" si="381"/>
        <v>1</v>
      </c>
      <c r="F328" s="585"/>
      <c r="G328" s="587">
        <f t="shared" ref="G328:R328" ca="1" si="478">SUM(G329:G332)</f>
        <v>0</v>
      </c>
      <c r="H328" s="587">
        <f t="shared" ca="1" si="478"/>
        <v>0</v>
      </c>
      <c r="I328" s="587">
        <f t="shared" ca="1" si="478"/>
        <v>0</v>
      </c>
      <c r="J328" s="587">
        <f t="shared" ca="1" si="478"/>
        <v>0</v>
      </c>
      <c r="K328" s="587">
        <f t="shared" ca="1" si="478"/>
        <v>0</v>
      </c>
      <c r="L328" s="587">
        <f t="shared" ca="1" si="478"/>
        <v>0</v>
      </c>
      <c r="M328" s="587">
        <f t="shared" ca="1" si="478"/>
        <v>0</v>
      </c>
      <c r="N328" s="587">
        <f t="shared" ca="1" si="478"/>
        <v>0</v>
      </c>
      <c r="O328" s="587">
        <f t="shared" ca="1" si="478"/>
        <v>0</v>
      </c>
      <c r="P328" s="587">
        <f t="shared" ca="1" si="478"/>
        <v>0</v>
      </c>
      <c r="Q328" s="587">
        <f t="shared" ca="1" si="478"/>
        <v>0</v>
      </c>
      <c r="R328" s="587">
        <f t="shared" ca="1" si="478"/>
        <v>0</v>
      </c>
      <c r="S328" s="587">
        <f t="shared" ref="S328:AP328" ca="1" si="479">SUM(S329:S332)</f>
        <v>0</v>
      </c>
      <c r="T328" s="587">
        <f t="shared" ca="1" si="479"/>
        <v>0</v>
      </c>
      <c r="U328" s="587">
        <f t="shared" ca="1" si="479"/>
        <v>0</v>
      </c>
      <c r="V328" s="587">
        <f t="shared" ca="1" si="479"/>
        <v>0</v>
      </c>
      <c r="W328" s="587">
        <f t="shared" ca="1" si="479"/>
        <v>0</v>
      </c>
      <c r="X328" s="587">
        <f t="shared" ca="1" si="479"/>
        <v>0</v>
      </c>
      <c r="Y328" s="587">
        <f t="shared" ca="1" si="479"/>
        <v>0</v>
      </c>
      <c r="Z328" s="587">
        <f t="shared" ca="1" si="479"/>
        <v>0</v>
      </c>
      <c r="AA328" s="587">
        <f t="shared" ca="1" si="479"/>
        <v>0</v>
      </c>
      <c r="AB328" s="587">
        <f t="shared" ca="1" si="479"/>
        <v>0</v>
      </c>
      <c r="AC328" s="587">
        <f t="shared" ca="1" si="479"/>
        <v>0</v>
      </c>
      <c r="AD328" s="587">
        <f t="shared" ca="1" si="479"/>
        <v>0</v>
      </c>
      <c r="AE328" s="587">
        <f t="shared" ca="1" si="479"/>
        <v>0</v>
      </c>
      <c r="AF328" s="587">
        <f t="shared" ca="1" si="479"/>
        <v>0</v>
      </c>
      <c r="AG328" s="587">
        <f t="shared" ca="1" si="479"/>
        <v>0</v>
      </c>
      <c r="AH328" s="587">
        <f t="shared" ca="1" si="479"/>
        <v>0</v>
      </c>
      <c r="AI328" s="587">
        <f t="shared" ca="1" si="479"/>
        <v>0</v>
      </c>
      <c r="AJ328" s="587">
        <f t="shared" ca="1" si="479"/>
        <v>0</v>
      </c>
      <c r="AK328" s="587">
        <f t="shared" ca="1" si="479"/>
        <v>0</v>
      </c>
      <c r="AL328" s="587">
        <f t="shared" ca="1" si="479"/>
        <v>0</v>
      </c>
      <c r="AM328" s="587">
        <f t="shared" ca="1" si="479"/>
        <v>0</v>
      </c>
      <c r="AN328" s="587">
        <f t="shared" ca="1" si="479"/>
        <v>0</v>
      </c>
      <c r="AO328" s="587">
        <f t="shared" ca="1" si="479"/>
        <v>0</v>
      </c>
      <c r="AP328" s="587">
        <f t="shared" ca="1" si="479"/>
        <v>0</v>
      </c>
    </row>
    <row r="329" spans="1:42" s="594" customFormat="1" ht="11.25" outlineLevel="1" x14ac:dyDescent="0.2">
      <c r="A329" s="590"/>
      <c r="B329" s="591" t="str">
        <f>IF(D329&lt;&gt;"",
IF(ISERROR(MATCH(D329,'Ist Aktuell Monat 01'!A:A,0))=FALSE,INDEX('Ist Aktuell Monat 01'!B:B,MATCH(D329,'Ist Aktuell Monat 01'!A:A,0)),
IF(ISERROR(MATCH(D329,'Ist Aktuell Monat 02'!A:A,0))=FALSE,INDEX('Ist Aktuell Monat 02'!B:B,MATCH(D329,'Ist Aktuell Monat 02'!A:A,0)),
IF(ISERROR(MATCH(D329,'Ist Aktuell Monat 03'!A:A,0))=FALSE,INDEX('Ist Aktuell Monat 03'!B:B,MATCH(D329,'Ist Aktuell Monat 03'!A:A,0)),
IF(ISERROR(MATCH(D329,'Ist Aktuell Monat 04'!A:A,0))=FALSE,INDEX('Ist Aktuell Monat 04'!B:B,MATCH(D329,'Ist Aktuell Monat 04'!A:A,0)),
IF(ISERROR(MATCH(D329,'Ist Aktuell Monat 05'!A:A,0))=FALSE,INDEX('Ist Aktuell Monat 05'!B:B,MATCH(D329,'Ist Aktuell Monat 05'!A:A,0)),
IF(ISERROR(MATCH(D329,'Ist Aktuell Monat 06'!A:A,0))=FALSE,INDEX('Ist Aktuell Monat 06'!B:B,MATCH(D329,'Ist Aktuell Monat 06'!A:A,0)),
IF(ISERROR(MATCH(D329,'Ist Aktuell Monat 07'!A:A,0))=FALSE,INDEX('Ist Aktuell Monat 07'!B:B,MATCH(D329,'Ist Aktuell Monat 07'!A:A,0)),
IF(ISERROR(MATCH(D329,'Ist Aktuell Monat 08'!A:A,0))=FALSE,INDEX('Ist Aktuell Monat 08'!B:B,MATCH(D329,'Ist Aktuell Monat 08'!A:A,0)),
IF(ISERROR(MATCH(D329,'Ist Aktuell Monat 09'!A:A,0))=FALSE,INDEX('Ist Aktuell Monat 09'!B:B,MATCH(D329,'Ist Aktuell Monat 09'!A:A,0)),
IF(ISERROR(MATCH(D329,'Ist Aktuell Monat 10'!A:A,0))=FALSE,INDEX('Ist Aktuell Monat 10'!B:B,MATCH(D329,'Ist Aktuell Monat 10'!A:A,0)),
IF(ISERROR(MATCH(D329,'Ist Aktuell Monat 11'!A:A,0))=FALSE,INDEX('Ist Aktuell Monat 11'!B:B,MATCH(D329,'Ist Aktuell Monat 11'!A:A,0)),
IF(ISERROR(MATCH(D329,'Ist Aktuell Monat 12'!A:A,0))=FALSE,INDEX('Ist Aktuell Monat 12'!B:B,MATCH(D329,'Ist Aktuell Monat 12'!A:A,0)),
"{Konto unbekannt}"
)))))))))))),"")</f>
        <v/>
      </c>
      <c r="C329" s="591"/>
      <c r="D329" s="590"/>
      <c r="E329" s="592">
        <f t="shared" si="381"/>
        <v>1</v>
      </c>
      <c r="F329" s="590"/>
      <c r="G329" s="593">
        <f ca="1">$E329*(-SUMIF(INDIRECT(G$3),'Struktur Aktuell'!$D329,INDIRECT(G$4))+SUMIF(INDIRECT(G$3),'Struktur Aktuell'!$D329,INDIRECT(G$5)))</f>
        <v>0</v>
      </c>
      <c r="H329" s="593">
        <f ca="1">$E329*(-SUMIF(INDIRECT(H$3),'Struktur Aktuell'!$D329,INDIRECT(H$4))+SUMIF(INDIRECT(H$3),'Struktur Aktuell'!$D329,INDIRECT(H$5)))</f>
        <v>0</v>
      </c>
      <c r="I329" s="593">
        <f ca="1">$E329*(-SUMIF(INDIRECT(I$3),'Struktur Aktuell'!$D329,INDIRECT(I$4))+SUMIF(INDIRECT(I$3),'Struktur Aktuell'!$D329,INDIRECT(I$5)))</f>
        <v>0</v>
      </c>
      <c r="J329" s="593">
        <f ca="1">$E329*(-SUMIF(INDIRECT(J$3),'Struktur Aktuell'!$D329,INDIRECT(J$4))+SUMIF(INDIRECT(J$3),'Struktur Aktuell'!$D329,INDIRECT(J$5)))</f>
        <v>0</v>
      </c>
      <c r="K329" s="593">
        <f ca="1">$E329*(-SUMIF(INDIRECT(K$3),'Struktur Aktuell'!$D329,INDIRECT(K$4))+SUMIF(INDIRECT(K$3),'Struktur Aktuell'!$D329,INDIRECT(K$5)))</f>
        <v>0</v>
      </c>
      <c r="L329" s="593">
        <f ca="1">$E329*(-SUMIF(INDIRECT(L$3),'Struktur Aktuell'!$D329,INDIRECT(L$4))+SUMIF(INDIRECT(L$3),'Struktur Aktuell'!$D329,INDIRECT(L$5)))</f>
        <v>0</v>
      </c>
      <c r="M329" s="593">
        <f ca="1">$E329*(-SUMIF(INDIRECT(M$3),'Struktur Aktuell'!$D329,INDIRECT(M$4))+SUMIF(INDIRECT(M$3),'Struktur Aktuell'!$D329,INDIRECT(M$5)))</f>
        <v>0</v>
      </c>
      <c r="N329" s="593">
        <f ca="1">$E329*(-SUMIF(INDIRECT(N$3),'Struktur Aktuell'!$D329,INDIRECT(N$4))+SUMIF(INDIRECT(N$3),'Struktur Aktuell'!$D329,INDIRECT(N$5)))</f>
        <v>0</v>
      </c>
      <c r="O329" s="593">
        <f ca="1">$E329*(-SUMIF(INDIRECT(O$3),'Struktur Aktuell'!$D329,INDIRECT(O$4))+SUMIF(INDIRECT(O$3),'Struktur Aktuell'!$D329,INDIRECT(O$5)))</f>
        <v>0</v>
      </c>
      <c r="P329" s="593">
        <f ca="1">$E329*(-SUMIF(INDIRECT(P$3),'Struktur Aktuell'!$D329,INDIRECT(P$4))+SUMIF(INDIRECT(P$3),'Struktur Aktuell'!$D329,INDIRECT(P$5)))</f>
        <v>0</v>
      </c>
      <c r="Q329" s="593">
        <f ca="1">$E329*(-SUMIF(INDIRECT(Q$3),'Struktur Aktuell'!$D329,INDIRECT(Q$4))+SUMIF(INDIRECT(Q$3),'Struktur Aktuell'!$D329,INDIRECT(Q$5)))</f>
        <v>0</v>
      </c>
      <c r="R329" s="593">
        <f ca="1">$E329*(-SUMIF(INDIRECT(R$3),'Struktur Aktuell'!$D329,INDIRECT(R$4))+SUMIF(INDIRECT(R$3),'Struktur Aktuell'!$D329,INDIRECT(R$5)))</f>
        <v>0</v>
      </c>
      <c r="S329" s="593">
        <f ca="1">$E329*(-SUMIF(INDIRECT(S$3),'Struktur Aktuell'!$D329,INDIRECT(S$4))+SUMIF(INDIRECT(S$3),'Struktur Aktuell'!$D329,INDIRECT(S$5)))</f>
        <v>0</v>
      </c>
      <c r="T329" s="593">
        <f ca="1">$E329*(-SUMIF(INDIRECT(T$3),'Struktur Aktuell'!$D329,INDIRECT(T$4))+SUMIF(INDIRECT(T$3),'Struktur Aktuell'!$D329,INDIRECT(T$5)))</f>
        <v>0</v>
      </c>
      <c r="U329" s="593">
        <f ca="1">$E329*(-SUMIF(INDIRECT(U$3),'Struktur Aktuell'!$D329,INDIRECT(U$4))+SUMIF(INDIRECT(U$3),'Struktur Aktuell'!$D329,INDIRECT(U$5)))</f>
        <v>0</v>
      </c>
      <c r="V329" s="593">
        <f ca="1">$E329*(-SUMIF(INDIRECT(V$3),'Struktur Aktuell'!$D329,INDIRECT(V$4))+SUMIF(INDIRECT(V$3),'Struktur Aktuell'!$D329,INDIRECT(V$5)))</f>
        <v>0</v>
      </c>
      <c r="W329" s="593">
        <f ca="1">$E329*(-SUMIF(INDIRECT(W$3),'Struktur Aktuell'!$D329,INDIRECT(W$4))+SUMIF(INDIRECT(W$3),'Struktur Aktuell'!$D329,INDIRECT(W$5)))</f>
        <v>0</v>
      </c>
      <c r="X329" s="593">
        <f ca="1">$E329*(-SUMIF(INDIRECT(X$3),'Struktur Aktuell'!$D329,INDIRECT(X$4))+SUMIF(INDIRECT(X$3),'Struktur Aktuell'!$D329,INDIRECT(X$5)))</f>
        <v>0</v>
      </c>
      <c r="Y329" s="593">
        <f ca="1">$E329*(-SUMIF(INDIRECT(Y$3),'Struktur Aktuell'!$D329,INDIRECT(Y$4))+SUMIF(INDIRECT(Y$3),'Struktur Aktuell'!$D329,INDIRECT(Y$5)))</f>
        <v>0</v>
      </c>
      <c r="Z329" s="593">
        <f ca="1">$E329*(-SUMIF(INDIRECT(Z$3),'Struktur Aktuell'!$D329,INDIRECT(Z$4))+SUMIF(INDIRECT(Z$3),'Struktur Aktuell'!$D329,INDIRECT(Z$5)))</f>
        <v>0</v>
      </c>
      <c r="AA329" s="593">
        <f ca="1">$E329*(-SUMIF(INDIRECT(AA$3),'Struktur Aktuell'!$D329,INDIRECT(AA$4))+SUMIF(INDIRECT(AA$3),'Struktur Aktuell'!$D329,INDIRECT(AA$5)))</f>
        <v>0</v>
      </c>
      <c r="AB329" s="593">
        <f ca="1">$E329*(-SUMIF(INDIRECT(AB$3),'Struktur Aktuell'!$D329,INDIRECT(AB$4))+SUMIF(INDIRECT(AB$3),'Struktur Aktuell'!$D329,INDIRECT(AB$5)))</f>
        <v>0</v>
      </c>
      <c r="AC329" s="593">
        <f ca="1">$E329*(-SUMIF(INDIRECT(AC$3),'Struktur Aktuell'!$D329,INDIRECT(AC$4))+SUMIF(INDIRECT(AC$3),'Struktur Aktuell'!$D329,INDIRECT(AC$5)))</f>
        <v>0</v>
      </c>
      <c r="AD329" s="593">
        <f ca="1">$E329*(-SUMIF(INDIRECT(AD$3),'Struktur Aktuell'!$D329,INDIRECT(AD$4))+SUMIF(INDIRECT(AD$3),'Struktur Aktuell'!$D329,INDIRECT(AD$5)))</f>
        <v>0</v>
      </c>
      <c r="AE329" s="593">
        <f t="shared" ref="AE329:AE332" ca="1" si="480">G329</f>
        <v>0</v>
      </c>
      <c r="AF329" s="593">
        <f t="shared" ref="AF329:AF332" ca="1" si="481">H329+AE329</f>
        <v>0</v>
      </c>
      <c r="AG329" s="593">
        <f t="shared" ref="AG329:AG332" ca="1" si="482">I329+AF329</f>
        <v>0</v>
      </c>
      <c r="AH329" s="593">
        <f t="shared" ref="AH329:AH332" ca="1" si="483">J329+AG329</f>
        <v>0</v>
      </c>
      <c r="AI329" s="593">
        <f t="shared" ref="AI329:AI332" ca="1" si="484">K329+AH329</f>
        <v>0</v>
      </c>
      <c r="AJ329" s="593">
        <f t="shared" ref="AJ329:AJ332" ca="1" si="485">L329+AI329</f>
        <v>0</v>
      </c>
      <c r="AK329" s="593">
        <f t="shared" ref="AK329:AK332" ca="1" si="486">M329+AJ329</f>
        <v>0</v>
      </c>
      <c r="AL329" s="593">
        <f t="shared" ref="AL329:AL332" ca="1" si="487">N329+AK329</f>
        <v>0</v>
      </c>
      <c r="AM329" s="593">
        <f t="shared" ref="AM329:AM332" ca="1" si="488">O329+AL329</f>
        <v>0</v>
      </c>
      <c r="AN329" s="593">
        <f t="shared" ref="AN329:AN332" ca="1" si="489">P329+AM329</f>
        <v>0</v>
      </c>
      <c r="AO329" s="593">
        <f t="shared" ref="AO329:AO332" ca="1" si="490">Q329+AN329</f>
        <v>0</v>
      </c>
      <c r="AP329" s="593">
        <f t="shared" ref="AP329:AP332" ca="1" si="491">R329+AO329</f>
        <v>0</v>
      </c>
    </row>
    <row r="330" spans="1:42" s="594" customFormat="1" ht="11.25" outlineLevel="1" x14ac:dyDescent="0.2">
      <c r="A330" s="590"/>
      <c r="B330" s="591" t="str">
        <f>IF(D330&lt;&gt;"",
IF(ISERROR(MATCH(D330,'Ist Aktuell Monat 01'!A:A,0))=FALSE,INDEX('Ist Aktuell Monat 01'!B:B,MATCH(D330,'Ist Aktuell Monat 01'!A:A,0)),
IF(ISERROR(MATCH(D330,'Ist Aktuell Monat 02'!A:A,0))=FALSE,INDEX('Ist Aktuell Monat 02'!B:B,MATCH(D330,'Ist Aktuell Monat 02'!A:A,0)),
IF(ISERROR(MATCH(D330,'Ist Aktuell Monat 03'!A:A,0))=FALSE,INDEX('Ist Aktuell Monat 03'!B:B,MATCH(D330,'Ist Aktuell Monat 03'!A:A,0)),
IF(ISERROR(MATCH(D330,'Ist Aktuell Monat 04'!A:A,0))=FALSE,INDEX('Ist Aktuell Monat 04'!B:B,MATCH(D330,'Ist Aktuell Monat 04'!A:A,0)),
IF(ISERROR(MATCH(D330,'Ist Aktuell Monat 05'!A:A,0))=FALSE,INDEX('Ist Aktuell Monat 05'!B:B,MATCH(D330,'Ist Aktuell Monat 05'!A:A,0)),
IF(ISERROR(MATCH(D330,'Ist Aktuell Monat 06'!A:A,0))=FALSE,INDEX('Ist Aktuell Monat 06'!B:B,MATCH(D330,'Ist Aktuell Monat 06'!A:A,0)),
IF(ISERROR(MATCH(D330,'Ist Aktuell Monat 07'!A:A,0))=FALSE,INDEX('Ist Aktuell Monat 07'!B:B,MATCH(D330,'Ist Aktuell Monat 07'!A:A,0)),
IF(ISERROR(MATCH(D330,'Ist Aktuell Monat 08'!A:A,0))=FALSE,INDEX('Ist Aktuell Monat 08'!B:B,MATCH(D330,'Ist Aktuell Monat 08'!A:A,0)),
IF(ISERROR(MATCH(D330,'Ist Aktuell Monat 09'!A:A,0))=FALSE,INDEX('Ist Aktuell Monat 09'!B:B,MATCH(D330,'Ist Aktuell Monat 09'!A:A,0)),
IF(ISERROR(MATCH(D330,'Ist Aktuell Monat 10'!A:A,0))=FALSE,INDEX('Ist Aktuell Monat 10'!B:B,MATCH(D330,'Ist Aktuell Monat 10'!A:A,0)),
IF(ISERROR(MATCH(D330,'Ist Aktuell Monat 11'!A:A,0))=FALSE,INDEX('Ist Aktuell Monat 11'!B:B,MATCH(D330,'Ist Aktuell Monat 11'!A:A,0)),
IF(ISERROR(MATCH(D330,'Ist Aktuell Monat 12'!A:A,0))=FALSE,INDEX('Ist Aktuell Monat 12'!B:B,MATCH(D330,'Ist Aktuell Monat 12'!A:A,0)),
"{Konto unbekannt}"
)))))))))))),"")</f>
        <v/>
      </c>
      <c r="C330" s="591"/>
      <c r="D330" s="590"/>
      <c r="E330" s="592">
        <f t="shared" si="381"/>
        <v>1</v>
      </c>
      <c r="F330" s="590"/>
      <c r="G330" s="593">
        <f ca="1">$E330*(-SUMIF(INDIRECT(G$3),'Struktur Aktuell'!$D330,INDIRECT(G$4))+SUMIF(INDIRECT(G$3),'Struktur Aktuell'!$D330,INDIRECT(G$5)))</f>
        <v>0</v>
      </c>
      <c r="H330" s="593">
        <f ca="1">$E330*(-SUMIF(INDIRECT(H$3),'Struktur Aktuell'!$D330,INDIRECT(H$4))+SUMIF(INDIRECT(H$3),'Struktur Aktuell'!$D330,INDIRECT(H$5)))</f>
        <v>0</v>
      </c>
      <c r="I330" s="593">
        <f ca="1">$E330*(-SUMIF(INDIRECT(I$3),'Struktur Aktuell'!$D330,INDIRECT(I$4))+SUMIF(INDIRECT(I$3),'Struktur Aktuell'!$D330,INDIRECT(I$5)))</f>
        <v>0</v>
      </c>
      <c r="J330" s="593">
        <f ca="1">$E330*(-SUMIF(INDIRECT(J$3),'Struktur Aktuell'!$D330,INDIRECT(J$4))+SUMIF(INDIRECT(J$3),'Struktur Aktuell'!$D330,INDIRECT(J$5)))</f>
        <v>0</v>
      </c>
      <c r="K330" s="593">
        <f ca="1">$E330*(-SUMIF(INDIRECT(K$3),'Struktur Aktuell'!$D330,INDIRECT(K$4))+SUMIF(INDIRECT(K$3),'Struktur Aktuell'!$D330,INDIRECT(K$5)))</f>
        <v>0</v>
      </c>
      <c r="L330" s="593">
        <f ca="1">$E330*(-SUMIF(INDIRECT(L$3),'Struktur Aktuell'!$D330,INDIRECT(L$4))+SUMIF(INDIRECT(L$3),'Struktur Aktuell'!$D330,INDIRECT(L$5)))</f>
        <v>0</v>
      </c>
      <c r="M330" s="593">
        <f ca="1">$E330*(-SUMIF(INDIRECT(M$3),'Struktur Aktuell'!$D330,INDIRECT(M$4))+SUMIF(INDIRECT(M$3),'Struktur Aktuell'!$D330,INDIRECT(M$5)))</f>
        <v>0</v>
      </c>
      <c r="N330" s="593">
        <f ca="1">$E330*(-SUMIF(INDIRECT(N$3),'Struktur Aktuell'!$D330,INDIRECT(N$4))+SUMIF(INDIRECT(N$3),'Struktur Aktuell'!$D330,INDIRECT(N$5)))</f>
        <v>0</v>
      </c>
      <c r="O330" s="593">
        <f ca="1">$E330*(-SUMIF(INDIRECT(O$3),'Struktur Aktuell'!$D330,INDIRECT(O$4))+SUMIF(INDIRECT(O$3),'Struktur Aktuell'!$D330,INDIRECT(O$5)))</f>
        <v>0</v>
      </c>
      <c r="P330" s="593">
        <f ca="1">$E330*(-SUMIF(INDIRECT(P$3),'Struktur Aktuell'!$D330,INDIRECT(P$4))+SUMIF(INDIRECT(P$3),'Struktur Aktuell'!$D330,INDIRECT(P$5)))</f>
        <v>0</v>
      </c>
      <c r="Q330" s="593">
        <f ca="1">$E330*(-SUMIF(INDIRECT(Q$3),'Struktur Aktuell'!$D330,INDIRECT(Q$4))+SUMIF(INDIRECT(Q$3),'Struktur Aktuell'!$D330,INDIRECT(Q$5)))</f>
        <v>0</v>
      </c>
      <c r="R330" s="593">
        <f ca="1">$E330*(-SUMIF(INDIRECT(R$3),'Struktur Aktuell'!$D330,INDIRECT(R$4))+SUMIF(INDIRECT(R$3),'Struktur Aktuell'!$D330,INDIRECT(R$5)))</f>
        <v>0</v>
      </c>
      <c r="S330" s="593">
        <f ca="1">$E330*(-SUMIF(INDIRECT(S$3),'Struktur Aktuell'!$D330,INDIRECT(S$4))+SUMIF(INDIRECT(S$3),'Struktur Aktuell'!$D330,INDIRECT(S$5)))</f>
        <v>0</v>
      </c>
      <c r="T330" s="593">
        <f ca="1">$E330*(-SUMIF(INDIRECT(T$3),'Struktur Aktuell'!$D330,INDIRECT(T$4))+SUMIF(INDIRECT(T$3),'Struktur Aktuell'!$D330,INDIRECT(T$5)))</f>
        <v>0</v>
      </c>
      <c r="U330" s="593">
        <f ca="1">$E330*(-SUMIF(INDIRECT(U$3),'Struktur Aktuell'!$D330,INDIRECT(U$4))+SUMIF(INDIRECT(U$3),'Struktur Aktuell'!$D330,INDIRECT(U$5)))</f>
        <v>0</v>
      </c>
      <c r="V330" s="593">
        <f ca="1">$E330*(-SUMIF(INDIRECT(V$3),'Struktur Aktuell'!$D330,INDIRECT(V$4))+SUMIF(INDIRECT(V$3),'Struktur Aktuell'!$D330,INDIRECT(V$5)))</f>
        <v>0</v>
      </c>
      <c r="W330" s="593">
        <f ca="1">$E330*(-SUMIF(INDIRECT(W$3),'Struktur Aktuell'!$D330,INDIRECT(W$4))+SUMIF(INDIRECT(W$3),'Struktur Aktuell'!$D330,INDIRECT(W$5)))</f>
        <v>0</v>
      </c>
      <c r="X330" s="593">
        <f ca="1">$E330*(-SUMIF(INDIRECT(X$3),'Struktur Aktuell'!$D330,INDIRECT(X$4))+SUMIF(INDIRECT(X$3),'Struktur Aktuell'!$D330,INDIRECT(X$5)))</f>
        <v>0</v>
      </c>
      <c r="Y330" s="593">
        <f ca="1">$E330*(-SUMIF(INDIRECT(Y$3),'Struktur Aktuell'!$D330,INDIRECT(Y$4))+SUMIF(INDIRECT(Y$3),'Struktur Aktuell'!$D330,INDIRECT(Y$5)))</f>
        <v>0</v>
      </c>
      <c r="Z330" s="593">
        <f ca="1">$E330*(-SUMIF(INDIRECT(Z$3),'Struktur Aktuell'!$D330,INDIRECT(Z$4))+SUMIF(INDIRECT(Z$3),'Struktur Aktuell'!$D330,INDIRECT(Z$5)))</f>
        <v>0</v>
      </c>
      <c r="AA330" s="593">
        <f ca="1">$E330*(-SUMIF(INDIRECT(AA$3),'Struktur Aktuell'!$D330,INDIRECT(AA$4))+SUMIF(INDIRECT(AA$3),'Struktur Aktuell'!$D330,INDIRECT(AA$5)))</f>
        <v>0</v>
      </c>
      <c r="AB330" s="593">
        <f ca="1">$E330*(-SUMIF(INDIRECT(AB$3),'Struktur Aktuell'!$D330,INDIRECT(AB$4))+SUMIF(INDIRECT(AB$3),'Struktur Aktuell'!$D330,INDIRECT(AB$5)))</f>
        <v>0</v>
      </c>
      <c r="AC330" s="593">
        <f ca="1">$E330*(-SUMIF(INDIRECT(AC$3),'Struktur Aktuell'!$D330,INDIRECT(AC$4))+SUMIF(INDIRECT(AC$3),'Struktur Aktuell'!$D330,INDIRECT(AC$5)))</f>
        <v>0</v>
      </c>
      <c r="AD330" s="593">
        <f ca="1">$E330*(-SUMIF(INDIRECT(AD$3),'Struktur Aktuell'!$D330,INDIRECT(AD$4))+SUMIF(INDIRECT(AD$3),'Struktur Aktuell'!$D330,INDIRECT(AD$5)))</f>
        <v>0</v>
      </c>
      <c r="AE330" s="593">
        <f t="shared" ca="1" si="480"/>
        <v>0</v>
      </c>
      <c r="AF330" s="593">
        <f t="shared" ca="1" si="481"/>
        <v>0</v>
      </c>
      <c r="AG330" s="593">
        <f t="shared" ca="1" si="482"/>
        <v>0</v>
      </c>
      <c r="AH330" s="593">
        <f t="shared" ca="1" si="483"/>
        <v>0</v>
      </c>
      <c r="AI330" s="593">
        <f t="shared" ca="1" si="484"/>
        <v>0</v>
      </c>
      <c r="AJ330" s="593">
        <f t="shared" ca="1" si="485"/>
        <v>0</v>
      </c>
      <c r="AK330" s="593">
        <f t="shared" ca="1" si="486"/>
        <v>0</v>
      </c>
      <c r="AL330" s="593">
        <f t="shared" ca="1" si="487"/>
        <v>0</v>
      </c>
      <c r="AM330" s="593">
        <f t="shared" ca="1" si="488"/>
        <v>0</v>
      </c>
      <c r="AN330" s="593">
        <f t="shared" ca="1" si="489"/>
        <v>0</v>
      </c>
      <c r="AO330" s="593">
        <f t="shared" ca="1" si="490"/>
        <v>0</v>
      </c>
      <c r="AP330" s="593">
        <f t="shared" ca="1" si="491"/>
        <v>0</v>
      </c>
    </row>
    <row r="331" spans="1:42" s="594" customFormat="1" ht="11.25" outlineLevel="1" x14ac:dyDescent="0.2">
      <c r="A331" s="590"/>
      <c r="B331" s="591" t="str">
        <f>IF(D331&lt;&gt;"",
IF(ISERROR(MATCH(D331,'Ist Aktuell Monat 01'!A:A,0))=FALSE,INDEX('Ist Aktuell Monat 01'!B:B,MATCH(D331,'Ist Aktuell Monat 01'!A:A,0)),
IF(ISERROR(MATCH(D331,'Ist Aktuell Monat 02'!A:A,0))=FALSE,INDEX('Ist Aktuell Monat 02'!B:B,MATCH(D331,'Ist Aktuell Monat 02'!A:A,0)),
IF(ISERROR(MATCH(D331,'Ist Aktuell Monat 03'!A:A,0))=FALSE,INDEX('Ist Aktuell Monat 03'!B:B,MATCH(D331,'Ist Aktuell Monat 03'!A:A,0)),
IF(ISERROR(MATCH(D331,'Ist Aktuell Monat 04'!A:A,0))=FALSE,INDEX('Ist Aktuell Monat 04'!B:B,MATCH(D331,'Ist Aktuell Monat 04'!A:A,0)),
IF(ISERROR(MATCH(D331,'Ist Aktuell Monat 05'!A:A,0))=FALSE,INDEX('Ist Aktuell Monat 05'!B:B,MATCH(D331,'Ist Aktuell Monat 05'!A:A,0)),
IF(ISERROR(MATCH(D331,'Ist Aktuell Monat 06'!A:A,0))=FALSE,INDEX('Ist Aktuell Monat 06'!B:B,MATCH(D331,'Ist Aktuell Monat 06'!A:A,0)),
IF(ISERROR(MATCH(D331,'Ist Aktuell Monat 07'!A:A,0))=FALSE,INDEX('Ist Aktuell Monat 07'!B:B,MATCH(D331,'Ist Aktuell Monat 07'!A:A,0)),
IF(ISERROR(MATCH(D331,'Ist Aktuell Monat 08'!A:A,0))=FALSE,INDEX('Ist Aktuell Monat 08'!B:B,MATCH(D331,'Ist Aktuell Monat 08'!A:A,0)),
IF(ISERROR(MATCH(D331,'Ist Aktuell Monat 09'!A:A,0))=FALSE,INDEX('Ist Aktuell Monat 09'!B:B,MATCH(D331,'Ist Aktuell Monat 09'!A:A,0)),
IF(ISERROR(MATCH(D331,'Ist Aktuell Monat 10'!A:A,0))=FALSE,INDEX('Ist Aktuell Monat 10'!B:B,MATCH(D331,'Ist Aktuell Monat 10'!A:A,0)),
IF(ISERROR(MATCH(D331,'Ist Aktuell Monat 11'!A:A,0))=FALSE,INDEX('Ist Aktuell Monat 11'!B:B,MATCH(D331,'Ist Aktuell Monat 11'!A:A,0)),
IF(ISERROR(MATCH(D331,'Ist Aktuell Monat 12'!A:A,0))=FALSE,INDEX('Ist Aktuell Monat 12'!B:B,MATCH(D331,'Ist Aktuell Monat 12'!A:A,0)),
"{Konto unbekannt}"
)))))))))))),"")</f>
        <v/>
      </c>
      <c r="C331" s="591"/>
      <c r="D331" s="590"/>
      <c r="E331" s="592">
        <f t="shared" si="381"/>
        <v>1</v>
      </c>
      <c r="F331" s="590"/>
      <c r="G331" s="593">
        <f ca="1">$E331*(-SUMIF(INDIRECT(G$3),'Struktur Aktuell'!$D331,INDIRECT(G$4))+SUMIF(INDIRECT(G$3),'Struktur Aktuell'!$D331,INDIRECT(G$5)))</f>
        <v>0</v>
      </c>
      <c r="H331" s="593">
        <f ca="1">$E331*(-SUMIF(INDIRECT(H$3),'Struktur Aktuell'!$D331,INDIRECT(H$4))+SUMIF(INDIRECT(H$3),'Struktur Aktuell'!$D331,INDIRECT(H$5)))</f>
        <v>0</v>
      </c>
      <c r="I331" s="593">
        <f ca="1">$E331*(-SUMIF(INDIRECT(I$3),'Struktur Aktuell'!$D331,INDIRECT(I$4))+SUMIF(INDIRECT(I$3),'Struktur Aktuell'!$D331,INDIRECT(I$5)))</f>
        <v>0</v>
      </c>
      <c r="J331" s="593">
        <f ca="1">$E331*(-SUMIF(INDIRECT(J$3),'Struktur Aktuell'!$D331,INDIRECT(J$4))+SUMIF(INDIRECT(J$3),'Struktur Aktuell'!$D331,INDIRECT(J$5)))</f>
        <v>0</v>
      </c>
      <c r="K331" s="593">
        <f ca="1">$E331*(-SUMIF(INDIRECT(K$3),'Struktur Aktuell'!$D331,INDIRECT(K$4))+SUMIF(INDIRECT(K$3),'Struktur Aktuell'!$D331,INDIRECT(K$5)))</f>
        <v>0</v>
      </c>
      <c r="L331" s="593">
        <f ca="1">$E331*(-SUMIF(INDIRECT(L$3),'Struktur Aktuell'!$D331,INDIRECT(L$4))+SUMIF(INDIRECT(L$3),'Struktur Aktuell'!$D331,INDIRECT(L$5)))</f>
        <v>0</v>
      </c>
      <c r="M331" s="593">
        <f ca="1">$E331*(-SUMIF(INDIRECT(M$3),'Struktur Aktuell'!$D331,INDIRECT(M$4))+SUMIF(INDIRECT(M$3),'Struktur Aktuell'!$D331,INDIRECT(M$5)))</f>
        <v>0</v>
      </c>
      <c r="N331" s="593">
        <f ca="1">$E331*(-SUMIF(INDIRECT(N$3),'Struktur Aktuell'!$D331,INDIRECT(N$4))+SUMIF(INDIRECT(N$3),'Struktur Aktuell'!$D331,INDIRECT(N$5)))</f>
        <v>0</v>
      </c>
      <c r="O331" s="593">
        <f ca="1">$E331*(-SUMIF(INDIRECT(O$3),'Struktur Aktuell'!$D331,INDIRECT(O$4))+SUMIF(INDIRECT(O$3),'Struktur Aktuell'!$D331,INDIRECT(O$5)))</f>
        <v>0</v>
      </c>
      <c r="P331" s="593">
        <f ca="1">$E331*(-SUMIF(INDIRECT(P$3),'Struktur Aktuell'!$D331,INDIRECT(P$4))+SUMIF(INDIRECT(P$3),'Struktur Aktuell'!$D331,INDIRECT(P$5)))</f>
        <v>0</v>
      </c>
      <c r="Q331" s="593">
        <f ca="1">$E331*(-SUMIF(INDIRECT(Q$3),'Struktur Aktuell'!$D331,INDIRECT(Q$4))+SUMIF(INDIRECT(Q$3),'Struktur Aktuell'!$D331,INDIRECT(Q$5)))</f>
        <v>0</v>
      </c>
      <c r="R331" s="593">
        <f ca="1">$E331*(-SUMIF(INDIRECT(R$3),'Struktur Aktuell'!$D331,INDIRECT(R$4))+SUMIF(INDIRECT(R$3),'Struktur Aktuell'!$D331,INDIRECT(R$5)))</f>
        <v>0</v>
      </c>
      <c r="S331" s="593">
        <f ca="1">$E331*(-SUMIF(INDIRECT(S$3),'Struktur Aktuell'!$D331,INDIRECT(S$4))+SUMIF(INDIRECT(S$3),'Struktur Aktuell'!$D331,INDIRECT(S$5)))</f>
        <v>0</v>
      </c>
      <c r="T331" s="593">
        <f ca="1">$E331*(-SUMIF(INDIRECT(T$3),'Struktur Aktuell'!$D331,INDIRECT(T$4))+SUMIF(INDIRECT(T$3),'Struktur Aktuell'!$D331,INDIRECT(T$5)))</f>
        <v>0</v>
      </c>
      <c r="U331" s="593">
        <f ca="1">$E331*(-SUMIF(INDIRECT(U$3),'Struktur Aktuell'!$D331,INDIRECT(U$4))+SUMIF(INDIRECT(U$3),'Struktur Aktuell'!$D331,INDIRECT(U$5)))</f>
        <v>0</v>
      </c>
      <c r="V331" s="593">
        <f ca="1">$E331*(-SUMIF(INDIRECT(V$3),'Struktur Aktuell'!$D331,INDIRECT(V$4))+SUMIF(INDIRECT(V$3),'Struktur Aktuell'!$D331,INDIRECT(V$5)))</f>
        <v>0</v>
      </c>
      <c r="W331" s="593">
        <f ca="1">$E331*(-SUMIF(INDIRECT(W$3),'Struktur Aktuell'!$D331,INDIRECT(W$4))+SUMIF(INDIRECT(W$3),'Struktur Aktuell'!$D331,INDIRECT(W$5)))</f>
        <v>0</v>
      </c>
      <c r="X331" s="593">
        <f ca="1">$E331*(-SUMIF(INDIRECT(X$3),'Struktur Aktuell'!$D331,INDIRECT(X$4))+SUMIF(INDIRECT(X$3),'Struktur Aktuell'!$D331,INDIRECT(X$5)))</f>
        <v>0</v>
      </c>
      <c r="Y331" s="593">
        <f ca="1">$E331*(-SUMIF(INDIRECT(Y$3),'Struktur Aktuell'!$D331,INDIRECT(Y$4))+SUMIF(INDIRECT(Y$3),'Struktur Aktuell'!$D331,INDIRECT(Y$5)))</f>
        <v>0</v>
      </c>
      <c r="Z331" s="593">
        <f ca="1">$E331*(-SUMIF(INDIRECT(Z$3),'Struktur Aktuell'!$D331,INDIRECT(Z$4))+SUMIF(INDIRECT(Z$3),'Struktur Aktuell'!$D331,INDIRECT(Z$5)))</f>
        <v>0</v>
      </c>
      <c r="AA331" s="593">
        <f ca="1">$E331*(-SUMIF(INDIRECT(AA$3),'Struktur Aktuell'!$D331,INDIRECT(AA$4))+SUMIF(INDIRECT(AA$3),'Struktur Aktuell'!$D331,INDIRECT(AA$5)))</f>
        <v>0</v>
      </c>
      <c r="AB331" s="593">
        <f ca="1">$E331*(-SUMIF(INDIRECT(AB$3),'Struktur Aktuell'!$D331,INDIRECT(AB$4))+SUMIF(INDIRECT(AB$3),'Struktur Aktuell'!$D331,INDIRECT(AB$5)))</f>
        <v>0</v>
      </c>
      <c r="AC331" s="593">
        <f ca="1">$E331*(-SUMIF(INDIRECT(AC$3),'Struktur Aktuell'!$D331,INDIRECT(AC$4))+SUMIF(INDIRECT(AC$3),'Struktur Aktuell'!$D331,INDIRECT(AC$5)))</f>
        <v>0</v>
      </c>
      <c r="AD331" s="593">
        <f ca="1">$E331*(-SUMIF(INDIRECT(AD$3),'Struktur Aktuell'!$D331,INDIRECT(AD$4))+SUMIF(INDIRECT(AD$3),'Struktur Aktuell'!$D331,INDIRECT(AD$5)))</f>
        <v>0</v>
      </c>
      <c r="AE331" s="593">
        <f t="shared" ca="1" si="480"/>
        <v>0</v>
      </c>
      <c r="AF331" s="593">
        <f t="shared" ca="1" si="481"/>
        <v>0</v>
      </c>
      <c r="AG331" s="593">
        <f t="shared" ca="1" si="482"/>
        <v>0</v>
      </c>
      <c r="AH331" s="593">
        <f t="shared" ca="1" si="483"/>
        <v>0</v>
      </c>
      <c r="AI331" s="593">
        <f t="shared" ca="1" si="484"/>
        <v>0</v>
      </c>
      <c r="AJ331" s="593">
        <f t="shared" ca="1" si="485"/>
        <v>0</v>
      </c>
      <c r="AK331" s="593">
        <f t="shared" ca="1" si="486"/>
        <v>0</v>
      </c>
      <c r="AL331" s="593">
        <f t="shared" ca="1" si="487"/>
        <v>0</v>
      </c>
      <c r="AM331" s="593">
        <f t="shared" ca="1" si="488"/>
        <v>0</v>
      </c>
      <c r="AN331" s="593">
        <f t="shared" ca="1" si="489"/>
        <v>0</v>
      </c>
      <c r="AO331" s="593">
        <f t="shared" ca="1" si="490"/>
        <v>0</v>
      </c>
      <c r="AP331" s="593">
        <f t="shared" ca="1" si="491"/>
        <v>0</v>
      </c>
    </row>
    <row r="332" spans="1:42" s="594" customFormat="1" ht="11.25" outlineLevel="1" x14ac:dyDescent="0.2">
      <c r="A332" s="590"/>
      <c r="B332" s="591" t="str">
        <f>IF(D332&lt;&gt;"",
IF(ISERROR(MATCH(D332,'Ist Aktuell Monat 01'!A:A,0))=FALSE,INDEX('Ist Aktuell Monat 01'!B:B,MATCH(D332,'Ist Aktuell Monat 01'!A:A,0)),
IF(ISERROR(MATCH(D332,'Ist Aktuell Monat 02'!A:A,0))=FALSE,INDEX('Ist Aktuell Monat 02'!B:B,MATCH(D332,'Ist Aktuell Monat 02'!A:A,0)),
IF(ISERROR(MATCH(D332,'Ist Aktuell Monat 03'!A:A,0))=FALSE,INDEX('Ist Aktuell Monat 03'!B:B,MATCH(D332,'Ist Aktuell Monat 03'!A:A,0)),
IF(ISERROR(MATCH(D332,'Ist Aktuell Monat 04'!A:A,0))=FALSE,INDEX('Ist Aktuell Monat 04'!B:B,MATCH(D332,'Ist Aktuell Monat 04'!A:A,0)),
IF(ISERROR(MATCH(D332,'Ist Aktuell Monat 05'!A:A,0))=FALSE,INDEX('Ist Aktuell Monat 05'!B:B,MATCH(D332,'Ist Aktuell Monat 05'!A:A,0)),
IF(ISERROR(MATCH(D332,'Ist Aktuell Monat 06'!A:A,0))=FALSE,INDEX('Ist Aktuell Monat 06'!B:B,MATCH(D332,'Ist Aktuell Monat 06'!A:A,0)),
IF(ISERROR(MATCH(D332,'Ist Aktuell Monat 07'!A:A,0))=FALSE,INDEX('Ist Aktuell Monat 07'!B:B,MATCH(D332,'Ist Aktuell Monat 07'!A:A,0)),
IF(ISERROR(MATCH(D332,'Ist Aktuell Monat 08'!A:A,0))=FALSE,INDEX('Ist Aktuell Monat 08'!B:B,MATCH(D332,'Ist Aktuell Monat 08'!A:A,0)),
IF(ISERROR(MATCH(D332,'Ist Aktuell Monat 09'!A:A,0))=FALSE,INDEX('Ist Aktuell Monat 09'!B:B,MATCH(D332,'Ist Aktuell Monat 09'!A:A,0)),
IF(ISERROR(MATCH(D332,'Ist Aktuell Monat 10'!A:A,0))=FALSE,INDEX('Ist Aktuell Monat 10'!B:B,MATCH(D332,'Ist Aktuell Monat 10'!A:A,0)),
IF(ISERROR(MATCH(D332,'Ist Aktuell Monat 11'!A:A,0))=FALSE,INDEX('Ist Aktuell Monat 11'!B:B,MATCH(D332,'Ist Aktuell Monat 11'!A:A,0)),
IF(ISERROR(MATCH(D332,'Ist Aktuell Monat 12'!A:A,0))=FALSE,INDEX('Ist Aktuell Monat 12'!B:B,MATCH(D332,'Ist Aktuell Monat 12'!A:A,0)),
"{Konto unbekannt}"
)))))))))))),"")</f>
        <v/>
      </c>
      <c r="C332" s="591"/>
      <c r="D332" s="590"/>
      <c r="E332" s="592">
        <f t="shared" si="381"/>
        <v>1</v>
      </c>
      <c r="F332" s="590"/>
      <c r="G332" s="593">
        <f ca="1">$E332*(-SUMIF(INDIRECT(G$3),'Struktur Aktuell'!$D332,INDIRECT(G$4))+SUMIF(INDIRECT(G$3),'Struktur Aktuell'!$D332,INDIRECT(G$5)))</f>
        <v>0</v>
      </c>
      <c r="H332" s="593">
        <f ca="1">$E332*(-SUMIF(INDIRECT(H$3),'Struktur Aktuell'!$D332,INDIRECT(H$4))+SUMIF(INDIRECT(H$3),'Struktur Aktuell'!$D332,INDIRECT(H$5)))</f>
        <v>0</v>
      </c>
      <c r="I332" s="593">
        <f ca="1">$E332*(-SUMIF(INDIRECT(I$3),'Struktur Aktuell'!$D332,INDIRECT(I$4))+SUMIF(INDIRECT(I$3),'Struktur Aktuell'!$D332,INDIRECT(I$5)))</f>
        <v>0</v>
      </c>
      <c r="J332" s="593">
        <f ca="1">$E332*(-SUMIF(INDIRECT(J$3),'Struktur Aktuell'!$D332,INDIRECT(J$4))+SUMIF(INDIRECT(J$3),'Struktur Aktuell'!$D332,INDIRECT(J$5)))</f>
        <v>0</v>
      </c>
      <c r="K332" s="593">
        <f ca="1">$E332*(-SUMIF(INDIRECT(K$3),'Struktur Aktuell'!$D332,INDIRECT(K$4))+SUMIF(INDIRECT(K$3),'Struktur Aktuell'!$D332,INDIRECT(K$5)))</f>
        <v>0</v>
      </c>
      <c r="L332" s="593">
        <f ca="1">$E332*(-SUMIF(INDIRECT(L$3),'Struktur Aktuell'!$D332,INDIRECT(L$4))+SUMIF(INDIRECT(L$3),'Struktur Aktuell'!$D332,INDIRECT(L$5)))</f>
        <v>0</v>
      </c>
      <c r="M332" s="593">
        <f ca="1">$E332*(-SUMIF(INDIRECT(M$3),'Struktur Aktuell'!$D332,INDIRECT(M$4))+SUMIF(INDIRECT(M$3),'Struktur Aktuell'!$D332,INDIRECT(M$5)))</f>
        <v>0</v>
      </c>
      <c r="N332" s="593">
        <f ca="1">$E332*(-SUMIF(INDIRECT(N$3),'Struktur Aktuell'!$D332,INDIRECT(N$4))+SUMIF(INDIRECT(N$3),'Struktur Aktuell'!$D332,INDIRECT(N$5)))</f>
        <v>0</v>
      </c>
      <c r="O332" s="593">
        <f ca="1">$E332*(-SUMIF(INDIRECT(O$3),'Struktur Aktuell'!$D332,INDIRECT(O$4))+SUMIF(INDIRECT(O$3),'Struktur Aktuell'!$D332,INDIRECT(O$5)))</f>
        <v>0</v>
      </c>
      <c r="P332" s="593">
        <f ca="1">$E332*(-SUMIF(INDIRECT(P$3),'Struktur Aktuell'!$D332,INDIRECT(P$4))+SUMIF(INDIRECT(P$3),'Struktur Aktuell'!$D332,INDIRECT(P$5)))</f>
        <v>0</v>
      </c>
      <c r="Q332" s="593">
        <f ca="1">$E332*(-SUMIF(INDIRECT(Q$3),'Struktur Aktuell'!$D332,INDIRECT(Q$4))+SUMIF(INDIRECT(Q$3),'Struktur Aktuell'!$D332,INDIRECT(Q$5)))</f>
        <v>0</v>
      </c>
      <c r="R332" s="593">
        <f ca="1">$E332*(-SUMIF(INDIRECT(R$3),'Struktur Aktuell'!$D332,INDIRECT(R$4))+SUMIF(INDIRECT(R$3),'Struktur Aktuell'!$D332,INDIRECT(R$5)))</f>
        <v>0</v>
      </c>
      <c r="S332" s="593">
        <f ca="1">$E332*(-SUMIF(INDIRECT(S$3),'Struktur Aktuell'!$D332,INDIRECT(S$4))+SUMIF(INDIRECT(S$3),'Struktur Aktuell'!$D332,INDIRECT(S$5)))</f>
        <v>0</v>
      </c>
      <c r="T332" s="593">
        <f ca="1">$E332*(-SUMIF(INDIRECT(T$3),'Struktur Aktuell'!$D332,INDIRECT(T$4))+SUMIF(INDIRECT(T$3),'Struktur Aktuell'!$D332,INDIRECT(T$5)))</f>
        <v>0</v>
      </c>
      <c r="U332" s="593">
        <f ca="1">$E332*(-SUMIF(INDIRECT(U$3),'Struktur Aktuell'!$D332,INDIRECT(U$4))+SUMIF(INDIRECT(U$3),'Struktur Aktuell'!$D332,INDIRECT(U$5)))</f>
        <v>0</v>
      </c>
      <c r="V332" s="593">
        <f ca="1">$E332*(-SUMIF(INDIRECT(V$3),'Struktur Aktuell'!$D332,INDIRECT(V$4))+SUMIF(INDIRECT(V$3),'Struktur Aktuell'!$D332,INDIRECT(V$5)))</f>
        <v>0</v>
      </c>
      <c r="W332" s="593">
        <f ca="1">$E332*(-SUMIF(INDIRECT(W$3),'Struktur Aktuell'!$D332,INDIRECT(W$4))+SUMIF(INDIRECT(W$3),'Struktur Aktuell'!$D332,INDIRECT(W$5)))</f>
        <v>0</v>
      </c>
      <c r="X332" s="593">
        <f ca="1">$E332*(-SUMIF(INDIRECT(X$3),'Struktur Aktuell'!$D332,INDIRECT(X$4))+SUMIF(INDIRECT(X$3),'Struktur Aktuell'!$D332,INDIRECT(X$5)))</f>
        <v>0</v>
      </c>
      <c r="Y332" s="593">
        <f ca="1">$E332*(-SUMIF(INDIRECT(Y$3),'Struktur Aktuell'!$D332,INDIRECT(Y$4))+SUMIF(INDIRECT(Y$3),'Struktur Aktuell'!$D332,INDIRECT(Y$5)))</f>
        <v>0</v>
      </c>
      <c r="Z332" s="593">
        <f ca="1">$E332*(-SUMIF(INDIRECT(Z$3),'Struktur Aktuell'!$D332,INDIRECT(Z$4))+SUMIF(INDIRECT(Z$3),'Struktur Aktuell'!$D332,INDIRECT(Z$5)))</f>
        <v>0</v>
      </c>
      <c r="AA332" s="593">
        <f ca="1">$E332*(-SUMIF(INDIRECT(AA$3),'Struktur Aktuell'!$D332,INDIRECT(AA$4))+SUMIF(INDIRECT(AA$3),'Struktur Aktuell'!$D332,INDIRECT(AA$5)))</f>
        <v>0</v>
      </c>
      <c r="AB332" s="593">
        <f ca="1">$E332*(-SUMIF(INDIRECT(AB$3),'Struktur Aktuell'!$D332,INDIRECT(AB$4))+SUMIF(INDIRECT(AB$3),'Struktur Aktuell'!$D332,INDIRECT(AB$5)))</f>
        <v>0</v>
      </c>
      <c r="AC332" s="593">
        <f ca="1">$E332*(-SUMIF(INDIRECT(AC$3),'Struktur Aktuell'!$D332,INDIRECT(AC$4))+SUMIF(INDIRECT(AC$3),'Struktur Aktuell'!$D332,INDIRECT(AC$5)))</f>
        <v>0</v>
      </c>
      <c r="AD332" s="593">
        <f ca="1">$E332*(-SUMIF(INDIRECT(AD$3),'Struktur Aktuell'!$D332,INDIRECT(AD$4))+SUMIF(INDIRECT(AD$3),'Struktur Aktuell'!$D332,INDIRECT(AD$5)))</f>
        <v>0</v>
      </c>
      <c r="AE332" s="593">
        <f t="shared" ca="1" si="480"/>
        <v>0</v>
      </c>
      <c r="AF332" s="593">
        <f t="shared" ca="1" si="481"/>
        <v>0</v>
      </c>
      <c r="AG332" s="593">
        <f t="shared" ca="1" si="482"/>
        <v>0</v>
      </c>
      <c r="AH332" s="593">
        <f t="shared" ca="1" si="483"/>
        <v>0</v>
      </c>
      <c r="AI332" s="593">
        <f t="shared" ca="1" si="484"/>
        <v>0</v>
      </c>
      <c r="AJ332" s="593">
        <f t="shared" ca="1" si="485"/>
        <v>0</v>
      </c>
      <c r="AK332" s="593">
        <f t="shared" ca="1" si="486"/>
        <v>0</v>
      </c>
      <c r="AL332" s="593">
        <f t="shared" ca="1" si="487"/>
        <v>0</v>
      </c>
      <c r="AM332" s="593">
        <f t="shared" ca="1" si="488"/>
        <v>0</v>
      </c>
      <c r="AN332" s="593">
        <f t="shared" ca="1" si="489"/>
        <v>0</v>
      </c>
      <c r="AO332" s="593">
        <f t="shared" ca="1" si="490"/>
        <v>0</v>
      </c>
      <c r="AP332" s="593">
        <f t="shared" ca="1" si="491"/>
        <v>0</v>
      </c>
    </row>
    <row r="333" spans="1:42" s="589" customFormat="1" x14ac:dyDescent="0.2">
      <c r="A333" s="585">
        <v>32</v>
      </c>
      <c r="B333" s="586" t="s">
        <v>1018</v>
      </c>
      <c r="C333" s="587">
        <f ca="1">SUM(G333:R333)</f>
        <v>1255.8399999999999</v>
      </c>
      <c r="D333" s="587"/>
      <c r="E333" s="588">
        <f t="shared" si="381"/>
        <v>1</v>
      </c>
      <c r="F333" s="585"/>
      <c r="G333" s="587">
        <f t="shared" ref="G333:R333" ca="1" si="492">SUM(G334:G339)</f>
        <v>234.92</v>
      </c>
      <c r="H333" s="587">
        <f t="shared" ca="1" si="492"/>
        <v>0</v>
      </c>
      <c r="I333" s="587">
        <f t="shared" ca="1" si="492"/>
        <v>0</v>
      </c>
      <c r="J333" s="587">
        <f t="shared" ca="1" si="492"/>
        <v>0</v>
      </c>
      <c r="K333" s="587">
        <f t="shared" ca="1" si="492"/>
        <v>0</v>
      </c>
      <c r="L333" s="587">
        <f t="shared" ca="1" si="492"/>
        <v>234.92</v>
      </c>
      <c r="M333" s="587">
        <f t="shared" ca="1" si="492"/>
        <v>518.17000000000007</v>
      </c>
      <c r="N333" s="587">
        <f t="shared" ca="1" si="492"/>
        <v>176.74</v>
      </c>
      <c r="O333" s="587">
        <f t="shared" ca="1" si="492"/>
        <v>91.09</v>
      </c>
      <c r="P333" s="587">
        <f t="shared" ca="1" si="492"/>
        <v>0</v>
      </c>
      <c r="Q333" s="587">
        <f t="shared" ca="1" si="492"/>
        <v>0</v>
      </c>
      <c r="R333" s="587">
        <f t="shared" ca="1" si="492"/>
        <v>0</v>
      </c>
      <c r="S333" s="587">
        <f t="shared" ref="S333:AP333" ca="1" si="493">SUM(S334:S339)</f>
        <v>234.92</v>
      </c>
      <c r="T333" s="587">
        <f t="shared" ca="1" si="493"/>
        <v>234.92</v>
      </c>
      <c r="U333" s="587">
        <f t="shared" ca="1" si="493"/>
        <v>234.92</v>
      </c>
      <c r="V333" s="587">
        <f t="shared" ca="1" si="493"/>
        <v>234.92</v>
      </c>
      <c r="W333" s="587">
        <f t="shared" ca="1" si="493"/>
        <v>234.92</v>
      </c>
      <c r="X333" s="587">
        <f t="shared" ca="1" si="493"/>
        <v>469.84</v>
      </c>
      <c r="Y333" s="587">
        <f t="shared" ca="1" si="493"/>
        <v>988.01</v>
      </c>
      <c r="Z333" s="587">
        <f t="shared" ca="1" si="493"/>
        <v>1164.75</v>
      </c>
      <c r="AA333" s="587">
        <f t="shared" ca="1" si="493"/>
        <v>1255.8399999999999</v>
      </c>
      <c r="AB333" s="587">
        <f t="shared" ca="1" si="493"/>
        <v>1255.8399999999999</v>
      </c>
      <c r="AC333" s="587">
        <f t="shared" ca="1" si="493"/>
        <v>0</v>
      </c>
      <c r="AD333" s="587">
        <f t="shared" ca="1" si="493"/>
        <v>0</v>
      </c>
      <c r="AE333" s="587">
        <f t="shared" ca="1" si="493"/>
        <v>234.92</v>
      </c>
      <c r="AF333" s="587">
        <f t="shared" ca="1" si="493"/>
        <v>234.92</v>
      </c>
      <c r="AG333" s="587">
        <f t="shared" ca="1" si="493"/>
        <v>234.92</v>
      </c>
      <c r="AH333" s="587">
        <f t="shared" ca="1" si="493"/>
        <v>234.92</v>
      </c>
      <c r="AI333" s="587">
        <f t="shared" ca="1" si="493"/>
        <v>234.92</v>
      </c>
      <c r="AJ333" s="587">
        <f t="shared" ca="1" si="493"/>
        <v>469.84</v>
      </c>
      <c r="AK333" s="587">
        <f t="shared" ca="1" si="493"/>
        <v>988.01</v>
      </c>
      <c r="AL333" s="587">
        <f t="shared" ca="1" si="493"/>
        <v>1164.75</v>
      </c>
      <c r="AM333" s="587">
        <f t="shared" ca="1" si="493"/>
        <v>1255.8400000000001</v>
      </c>
      <c r="AN333" s="587">
        <f t="shared" ca="1" si="493"/>
        <v>1255.8400000000001</v>
      </c>
      <c r="AO333" s="587">
        <f t="shared" ca="1" si="493"/>
        <v>1255.8400000000001</v>
      </c>
      <c r="AP333" s="587">
        <f t="shared" ca="1" si="493"/>
        <v>1255.8400000000001</v>
      </c>
    </row>
    <row r="334" spans="1:42" s="594" customFormat="1" ht="11.25" outlineLevel="1" x14ac:dyDescent="0.2">
      <c r="A334" s="590"/>
      <c r="B334" s="591" t="str">
        <f>IF(D334&lt;&gt;"",
IF(ISERROR(MATCH(D334,'Ist Aktuell Monat 01'!A:A,0))=FALSE,INDEX('Ist Aktuell Monat 01'!B:B,MATCH(D334,'Ist Aktuell Monat 01'!A:A,0)),
IF(ISERROR(MATCH(D334,'Ist Aktuell Monat 02'!A:A,0))=FALSE,INDEX('Ist Aktuell Monat 02'!B:B,MATCH(D334,'Ist Aktuell Monat 02'!A:A,0)),
IF(ISERROR(MATCH(D334,'Ist Aktuell Monat 03'!A:A,0))=FALSE,INDEX('Ist Aktuell Monat 03'!B:B,MATCH(D334,'Ist Aktuell Monat 03'!A:A,0)),
IF(ISERROR(MATCH(D334,'Ist Aktuell Monat 04'!A:A,0))=FALSE,INDEX('Ist Aktuell Monat 04'!B:B,MATCH(D334,'Ist Aktuell Monat 04'!A:A,0)),
IF(ISERROR(MATCH(D334,'Ist Aktuell Monat 05'!A:A,0))=FALSE,INDEX('Ist Aktuell Monat 05'!B:B,MATCH(D334,'Ist Aktuell Monat 05'!A:A,0)),
IF(ISERROR(MATCH(D334,'Ist Aktuell Monat 06'!A:A,0))=FALSE,INDEX('Ist Aktuell Monat 06'!B:B,MATCH(D334,'Ist Aktuell Monat 06'!A:A,0)),
IF(ISERROR(MATCH(D334,'Ist Aktuell Monat 07'!A:A,0))=FALSE,INDEX('Ist Aktuell Monat 07'!B:B,MATCH(D334,'Ist Aktuell Monat 07'!A:A,0)),
IF(ISERROR(MATCH(D334,'Ist Aktuell Monat 08'!A:A,0))=FALSE,INDEX('Ist Aktuell Monat 08'!B:B,MATCH(D334,'Ist Aktuell Monat 08'!A:A,0)),
IF(ISERROR(MATCH(D334,'Ist Aktuell Monat 09'!A:A,0))=FALSE,INDEX('Ist Aktuell Monat 09'!B:B,MATCH(D334,'Ist Aktuell Monat 09'!A:A,0)),
IF(ISERROR(MATCH(D334,'Ist Aktuell Monat 10'!A:A,0))=FALSE,INDEX('Ist Aktuell Monat 10'!B:B,MATCH(D334,'Ist Aktuell Monat 10'!A:A,0)),
IF(ISERROR(MATCH(D334,'Ist Aktuell Monat 11'!A:A,0))=FALSE,INDEX('Ist Aktuell Monat 11'!B:B,MATCH(D334,'Ist Aktuell Monat 11'!A:A,0)),
IF(ISERROR(MATCH(D334,'Ist Aktuell Monat 12'!A:A,0))=FALSE,INDEX('Ist Aktuell Monat 12'!B:B,MATCH(D334,'Ist Aktuell Monat 12'!A:A,0)),
"{Konto unbekannt}"
)))))))))))),"")</f>
        <v>Versich.entschädigung, Schadenersatz</v>
      </c>
      <c r="C334" s="591"/>
      <c r="D334" s="590">
        <v>2742</v>
      </c>
      <c r="E334" s="592">
        <f t="shared" si="381"/>
        <v>-1</v>
      </c>
      <c r="F334" s="590" t="s">
        <v>996</v>
      </c>
      <c r="G334" s="593">
        <f ca="1">$E334*(-SUMIF(INDIRECT(G$3),'Struktur Aktuell'!$D334,INDIRECT(G$4))+SUMIF(INDIRECT(G$3),'Struktur Aktuell'!$D334,INDIRECT(G$5)))</f>
        <v>0</v>
      </c>
      <c r="H334" s="593">
        <f ca="1">$E334*(-SUMIF(INDIRECT(H$3),'Struktur Aktuell'!$D334,INDIRECT(H$4))+SUMIF(INDIRECT(H$3),'Struktur Aktuell'!$D334,INDIRECT(H$5)))</f>
        <v>0</v>
      </c>
      <c r="I334" s="593">
        <f ca="1">$E334*(-SUMIF(INDIRECT(I$3),'Struktur Aktuell'!$D334,INDIRECT(I$4))+SUMIF(INDIRECT(I$3),'Struktur Aktuell'!$D334,INDIRECT(I$5)))</f>
        <v>0</v>
      </c>
      <c r="J334" s="593">
        <f ca="1">$E334*(-SUMIF(INDIRECT(J$3),'Struktur Aktuell'!$D334,INDIRECT(J$4))+SUMIF(INDIRECT(J$3),'Struktur Aktuell'!$D334,INDIRECT(J$5)))</f>
        <v>0</v>
      </c>
      <c r="K334" s="593">
        <f ca="1">$E334*(-SUMIF(INDIRECT(K$3),'Struktur Aktuell'!$D334,INDIRECT(K$4))+SUMIF(INDIRECT(K$3),'Struktur Aktuell'!$D334,INDIRECT(K$5)))</f>
        <v>0</v>
      </c>
      <c r="L334" s="593">
        <f ca="1">$E334*(-SUMIF(INDIRECT(L$3),'Struktur Aktuell'!$D334,INDIRECT(L$4))+SUMIF(INDIRECT(L$3),'Struktur Aktuell'!$D334,INDIRECT(L$5)))</f>
        <v>0</v>
      </c>
      <c r="M334" s="593">
        <f ca="1">$E334*(-SUMIF(INDIRECT(M$3),'Struktur Aktuell'!$D334,INDIRECT(M$4))+SUMIF(INDIRECT(M$3),'Struktur Aktuell'!$D334,INDIRECT(M$5)))</f>
        <v>467.16</v>
      </c>
      <c r="N334" s="593">
        <f ca="1">$E334*(-SUMIF(INDIRECT(N$3),'Struktur Aktuell'!$D334,INDIRECT(N$4))+SUMIF(INDIRECT(N$3),'Struktur Aktuell'!$D334,INDIRECT(N$5)))</f>
        <v>0</v>
      </c>
      <c r="O334" s="593">
        <f ca="1">$E334*(-SUMIF(INDIRECT(O$3),'Struktur Aktuell'!$D334,INDIRECT(O$4))+SUMIF(INDIRECT(O$3),'Struktur Aktuell'!$D334,INDIRECT(O$5)))</f>
        <v>0</v>
      </c>
      <c r="P334" s="593">
        <f ca="1">$E334*(-SUMIF(INDIRECT(P$3),'Struktur Aktuell'!$D334,INDIRECT(P$4))+SUMIF(INDIRECT(P$3),'Struktur Aktuell'!$D334,INDIRECT(P$5)))</f>
        <v>0</v>
      </c>
      <c r="Q334" s="593">
        <f ca="1">$E334*(-SUMIF(INDIRECT(Q$3),'Struktur Aktuell'!$D334,INDIRECT(Q$4))+SUMIF(INDIRECT(Q$3),'Struktur Aktuell'!$D334,INDIRECT(Q$5)))</f>
        <v>0</v>
      </c>
      <c r="R334" s="593">
        <f ca="1">$E334*(-SUMIF(INDIRECT(R$3),'Struktur Aktuell'!$D334,INDIRECT(R$4))+SUMIF(INDIRECT(R$3),'Struktur Aktuell'!$D334,INDIRECT(R$5)))</f>
        <v>0</v>
      </c>
      <c r="S334" s="593">
        <f ca="1">$E334*(-SUMIF(INDIRECT(S$3),'Struktur Aktuell'!$D334,INDIRECT(S$4))+SUMIF(INDIRECT(S$3),'Struktur Aktuell'!$D334,INDIRECT(S$5)))</f>
        <v>0</v>
      </c>
      <c r="T334" s="593">
        <f ca="1">$E334*(-SUMIF(INDIRECT(T$3),'Struktur Aktuell'!$D334,INDIRECT(T$4))+SUMIF(INDIRECT(T$3),'Struktur Aktuell'!$D334,INDIRECT(T$5)))</f>
        <v>0</v>
      </c>
      <c r="U334" s="593">
        <f ca="1">$E334*(-SUMIF(INDIRECT(U$3),'Struktur Aktuell'!$D334,INDIRECT(U$4))+SUMIF(INDIRECT(U$3),'Struktur Aktuell'!$D334,INDIRECT(U$5)))</f>
        <v>0</v>
      </c>
      <c r="V334" s="593">
        <f ca="1">$E334*(-SUMIF(INDIRECT(V$3),'Struktur Aktuell'!$D334,INDIRECT(V$4))+SUMIF(INDIRECT(V$3),'Struktur Aktuell'!$D334,INDIRECT(V$5)))</f>
        <v>0</v>
      </c>
      <c r="W334" s="593">
        <f ca="1">$E334*(-SUMIF(INDIRECT(W$3),'Struktur Aktuell'!$D334,INDIRECT(W$4))+SUMIF(INDIRECT(W$3),'Struktur Aktuell'!$D334,INDIRECT(W$5)))</f>
        <v>0</v>
      </c>
      <c r="X334" s="593">
        <f ca="1">$E334*(-SUMIF(INDIRECT(X$3),'Struktur Aktuell'!$D334,INDIRECT(X$4))+SUMIF(INDIRECT(X$3),'Struktur Aktuell'!$D334,INDIRECT(X$5)))</f>
        <v>0</v>
      </c>
      <c r="Y334" s="593">
        <f ca="1">$E334*(-SUMIF(INDIRECT(Y$3),'Struktur Aktuell'!$D334,INDIRECT(Y$4))+SUMIF(INDIRECT(Y$3),'Struktur Aktuell'!$D334,INDIRECT(Y$5)))</f>
        <v>467.16</v>
      </c>
      <c r="Z334" s="593">
        <f ca="1">$E334*(-SUMIF(INDIRECT(Z$3),'Struktur Aktuell'!$D334,INDIRECT(Z$4))+SUMIF(INDIRECT(Z$3),'Struktur Aktuell'!$D334,INDIRECT(Z$5)))</f>
        <v>467.16</v>
      </c>
      <c r="AA334" s="593">
        <f ca="1">$E334*(-SUMIF(INDIRECT(AA$3),'Struktur Aktuell'!$D334,INDIRECT(AA$4))+SUMIF(INDIRECT(AA$3),'Struktur Aktuell'!$D334,INDIRECT(AA$5)))</f>
        <v>467.16</v>
      </c>
      <c r="AB334" s="593">
        <f ca="1">$E334*(-SUMIF(INDIRECT(AB$3),'Struktur Aktuell'!$D334,INDIRECT(AB$4))+SUMIF(INDIRECT(AB$3),'Struktur Aktuell'!$D334,INDIRECT(AB$5)))</f>
        <v>467.16</v>
      </c>
      <c r="AC334" s="593">
        <f ca="1">$E334*(-SUMIF(INDIRECT(AC$3),'Struktur Aktuell'!$D334,INDIRECT(AC$4))+SUMIF(INDIRECT(AC$3),'Struktur Aktuell'!$D334,INDIRECT(AC$5)))</f>
        <v>0</v>
      </c>
      <c r="AD334" s="593">
        <f ca="1">$E334*(-SUMIF(INDIRECT(AD$3),'Struktur Aktuell'!$D334,INDIRECT(AD$4))+SUMIF(INDIRECT(AD$3),'Struktur Aktuell'!$D334,INDIRECT(AD$5)))</f>
        <v>0</v>
      </c>
      <c r="AE334" s="593">
        <f t="shared" ref="AE334:AE339" ca="1" si="494">G334</f>
        <v>0</v>
      </c>
      <c r="AF334" s="593">
        <f t="shared" ref="AF334:AF339" ca="1" si="495">H334+AE334</f>
        <v>0</v>
      </c>
      <c r="AG334" s="593">
        <f t="shared" ref="AG334:AG339" ca="1" si="496">I334+AF334</f>
        <v>0</v>
      </c>
      <c r="AH334" s="593">
        <f t="shared" ref="AH334:AH339" ca="1" si="497">J334+AG334</f>
        <v>0</v>
      </c>
      <c r="AI334" s="593">
        <f t="shared" ref="AI334:AI339" ca="1" si="498">K334+AH334</f>
        <v>0</v>
      </c>
      <c r="AJ334" s="593">
        <f t="shared" ref="AJ334:AJ339" ca="1" si="499">L334+AI334</f>
        <v>0</v>
      </c>
      <c r="AK334" s="593">
        <f t="shared" ref="AK334:AK339" ca="1" si="500">M334+AJ334</f>
        <v>467.16</v>
      </c>
      <c r="AL334" s="593">
        <f t="shared" ref="AL334:AL339" ca="1" si="501">N334+AK334</f>
        <v>467.16</v>
      </c>
      <c r="AM334" s="593">
        <f t="shared" ref="AM334:AM339" ca="1" si="502">O334+AL334</f>
        <v>467.16</v>
      </c>
      <c r="AN334" s="593">
        <f t="shared" ref="AN334:AN339" ca="1" si="503">P334+AM334</f>
        <v>467.16</v>
      </c>
      <c r="AO334" s="593">
        <f t="shared" ref="AO334:AO339" ca="1" si="504">Q334+AN334</f>
        <v>467.16</v>
      </c>
      <c r="AP334" s="593">
        <f t="shared" ref="AP334:AP339" ca="1" si="505">R334+AO334</f>
        <v>467.16</v>
      </c>
    </row>
    <row r="335" spans="1:42" s="594" customFormat="1" ht="11.25" outlineLevel="1" x14ac:dyDescent="0.2">
      <c r="A335" s="590"/>
      <c r="B335" s="591" t="str">
        <f>IF(D335&lt;&gt;"",
IF(ISERROR(MATCH(D335,'Ist Aktuell Monat 01'!A:A,0))=FALSE,INDEX('Ist Aktuell Monat 01'!B:B,MATCH(D335,'Ist Aktuell Monat 01'!A:A,0)),
IF(ISERROR(MATCH(D335,'Ist Aktuell Monat 02'!A:A,0))=FALSE,INDEX('Ist Aktuell Monat 02'!B:B,MATCH(D335,'Ist Aktuell Monat 02'!A:A,0)),
IF(ISERROR(MATCH(D335,'Ist Aktuell Monat 03'!A:A,0))=FALSE,INDEX('Ist Aktuell Monat 03'!B:B,MATCH(D335,'Ist Aktuell Monat 03'!A:A,0)),
IF(ISERROR(MATCH(D335,'Ist Aktuell Monat 04'!A:A,0))=FALSE,INDEX('Ist Aktuell Monat 04'!B:B,MATCH(D335,'Ist Aktuell Monat 04'!A:A,0)),
IF(ISERROR(MATCH(D335,'Ist Aktuell Monat 05'!A:A,0))=FALSE,INDEX('Ist Aktuell Monat 05'!B:B,MATCH(D335,'Ist Aktuell Monat 05'!A:A,0)),
IF(ISERROR(MATCH(D335,'Ist Aktuell Monat 06'!A:A,0))=FALSE,INDEX('Ist Aktuell Monat 06'!B:B,MATCH(D335,'Ist Aktuell Monat 06'!A:A,0)),
IF(ISERROR(MATCH(D335,'Ist Aktuell Monat 07'!A:A,0))=FALSE,INDEX('Ist Aktuell Monat 07'!B:B,MATCH(D335,'Ist Aktuell Monat 07'!A:A,0)),
IF(ISERROR(MATCH(D335,'Ist Aktuell Monat 08'!A:A,0))=FALSE,INDEX('Ist Aktuell Monat 08'!B:B,MATCH(D335,'Ist Aktuell Monat 08'!A:A,0)),
IF(ISERROR(MATCH(D335,'Ist Aktuell Monat 09'!A:A,0))=FALSE,INDEX('Ist Aktuell Monat 09'!B:B,MATCH(D335,'Ist Aktuell Monat 09'!A:A,0)),
IF(ISERROR(MATCH(D335,'Ist Aktuell Monat 10'!A:A,0))=FALSE,INDEX('Ist Aktuell Monat 10'!B:B,MATCH(D335,'Ist Aktuell Monat 10'!A:A,0)),
IF(ISERROR(MATCH(D335,'Ist Aktuell Monat 11'!A:A,0))=FALSE,INDEX('Ist Aktuell Monat 11'!B:B,MATCH(D335,'Ist Aktuell Monat 11'!A:A,0)),
IF(ISERROR(MATCH(D335,'Ist Aktuell Monat 12'!A:A,0))=FALSE,INDEX('Ist Aktuell Monat 12'!B:B,MATCH(D335,'Ist Aktuell Monat 12'!A:A,0)),
"{Konto unbekannt}"
)))))))))))),"")</f>
        <v>Erstattungen AufwendungsausgleichsG</v>
      </c>
      <c r="C335" s="591"/>
      <c r="D335" s="590">
        <v>2749</v>
      </c>
      <c r="E335" s="592">
        <f>IF(F335="-",-1,1)</f>
        <v>-1</v>
      </c>
      <c r="F335" s="590" t="s">
        <v>996</v>
      </c>
      <c r="G335" s="593">
        <f ca="1">$E335*(-SUMIF(INDIRECT(G$3),'Struktur Aktuell'!$D335,INDIRECT(G$4))+SUMIF(INDIRECT(G$3),'Struktur Aktuell'!$D335,INDIRECT(G$5)))</f>
        <v>234.92</v>
      </c>
      <c r="H335" s="593">
        <f ca="1">$E335*(-SUMIF(INDIRECT(H$3),'Struktur Aktuell'!$D335,INDIRECT(H$4))+SUMIF(INDIRECT(H$3),'Struktur Aktuell'!$D335,INDIRECT(H$5)))</f>
        <v>0</v>
      </c>
      <c r="I335" s="593">
        <f ca="1">$E335*(-SUMIF(INDIRECT(I$3),'Struktur Aktuell'!$D335,INDIRECT(I$4))+SUMIF(INDIRECT(I$3),'Struktur Aktuell'!$D335,INDIRECT(I$5)))</f>
        <v>0</v>
      </c>
      <c r="J335" s="593">
        <f ca="1">$E335*(-SUMIF(INDIRECT(J$3),'Struktur Aktuell'!$D335,INDIRECT(J$4))+SUMIF(INDIRECT(J$3),'Struktur Aktuell'!$D335,INDIRECT(J$5)))</f>
        <v>0</v>
      </c>
      <c r="K335" s="593">
        <f ca="1">$E335*(-SUMIF(INDIRECT(K$3),'Struktur Aktuell'!$D335,INDIRECT(K$4))+SUMIF(INDIRECT(K$3),'Struktur Aktuell'!$D335,INDIRECT(K$5)))</f>
        <v>0</v>
      </c>
      <c r="L335" s="593">
        <f ca="1">$E335*(-SUMIF(INDIRECT(L$3),'Struktur Aktuell'!$D335,INDIRECT(L$4))+SUMIF(INDIRECT(L$3),'Struktur Aktuell'!$D335,INDIRECT(L$5)))</f>
        <v>234.92</v>
      </c>
      <c r="M335" s="593">
        <f ca="1">$E335*(-SUMIF(INDIRECT(M$3),'Struktur Aktuell'!$D335,INDIRECT(M$4))+SUMIF(INDIRECT(M$3),'Struktur Aktuell'!$D335,INDIRECT(M$5)))</f>
        <v>51.01</v>
      </c>
      <c r="N335" s="593">
        <f ca="1">$E335*(-SUMIF(INDIRECT(N$3),'Struktur Aktuell'!$D335,INDIRECT(N$4))+SUMIF(INDIRECT(N$3),'Struktur Aktuell'!$D335,INDIRECT(N$5)))</f>
        <v>176.74</v>
      </c>
      <c r="O335" s="593">
        <f ca="1">$E335*(-SUMIF(INDIRECT(O$3),'Struktur Aktuell'!$D335,INDIRECT(O$4))+SUMIF(INDIRECT(O$3),'Struktur Aktuell'!$D335,INDIRECT(O$5)))</f>
        <v>91.09</v>
      </c>
      <c r="P335" s="593">
        <f ca="1">$E335*(-SUMIF(INDIRECT(P$3),'Struktur Aktuell'!$D335,INDIRECT(P$4))+SUMIF(INDIRECT(P$3),'Struktur Aktuell'!$D335,INDIRECT(P$5)))</f>
        <v>0</v>
      </c>
      <c r="Q335" s="593">
        <f ca="1">$E335*(-SUMIF(INDIRECT(Q$3),'Struktur Aktuell'!$D335,INDIRECT(Q$4))+SUMIF(INDIRECT(Q$3),'Struktur Aktuell'!$D335,INDIRECT(Q$5)))</f>
        <v>0</v>
      </c>
      <c r="R335" s="593">
        <f ca="1">$E335*(-SUMIF(INDIRECT(R$3),'Struktur Aktuell'!$D335,INDIRECT(R$4))+SUMIF(INDIRECT(R$3),'Struktur Aktuell'!$D335,INDIRECT(R$5)))</f>
        <v>0</v>
      </c>
      <c r="S335" s="593">
        <f ca="1">$E335*(-SUMIF(INDIRECT(S$3),'Struktur Aktuell'!$D335,INDIRECT(S$4))+SUMIF(INDIRECT(S$3),'Struktur Aktuell'!$D335,INDIRECT(S$5)))</f>
        <v>234.92</v>
      </c>
      <c r="T335" s="593">
        <f ca="1">$E335*(-SUMIF(INDIRECT(T$3),'Struktur Aktuell'!$D335,INDIRECT(T$4))+SUMIF(INDIRECT(T$3),'Struktur Aktuell'!$D335,INDIRECT(T$5)))</f>
        <v>234.92</v>
      </c>
      <c r="U335" s="593">
        <f ca="1">$E335*(-SUMIF(INDIRECT(U$3),'Struktur Aktuell'!$D335,INDIRECT(U$4))+SUMIF(INDIRECT(U$3),'Struktur Aktuell'!$D335,INDIRECT(U$5)))</f>
        <v>234.92</v>
      </c>
      <c r="V335" s="593">
        <f ca="1">$E335*(-SUMIF(INDIRECT(V$3),'Struktur Aktuell'!$D335,INDIRECT(V$4))+SUMIF(INDIRECT(V$3),'Struktur Aktuell'!$D335,INDIRECT(V$5)))</f>
        <v>234.92</v>
      </c>
      <c r="W335" s="593">
        <f ca="1">$E335*(-SUMIF(INDIRECT(W$3),'Struktur Aktuell'!$D335,INDIRECT(W$4))+SUMIF(INDIRECT(W$3),'Struktur Aktuell'!$D335,INDIRECT(W$5)))</f>
        <v>234.92</v>
      </c>
      <c r="X335" s="593">
        <f ca="1">$E335*(-SUMIF(INDIRECT(X$3),'Struktur Aktuell'!$D335,INDIRECT(X$4))+SUMIF(INDIRECT(X$3),'Struktur Aktuell'!$D335,INDIRECT(X$5)))</f>
        <v>469.84</v>
      </c>
      <c r="Y335" s="593">
        <f ca="1">$E335*(-SUMIF(INDIRECT(Y$3),'Struktur Aktuell'!$D335,INDIRECT(Y$4))+SUMIF(INDIRECT(Y$3),'Struktur Aktuell'!$D335,INDIRECT(Y$5)))</f>
        <v>520.85</v>
      </c>
      <c r="Z335" s="593">
        <f ca="1">$E335*(-SUMIF(INDIRECT(Z$3),'Struktur Aktuell'!$D335,INDIRECT(Z$4))+SUMIF(INDIRECT(Z$3),'Struktur Aktuell'!$D335,INDIRECT(Z$5)))</f>
        <v>697.59</v>
      </c>
      <c r="AA335" s="593">
        <f ca="1">$E335*(-SUMIF(INDIRECT(AA$3),'Struktur Aktuell'!$D335,INDIRECT(AA$4))+SUMIF(INDIRECT(AA$3),'Struktur Aktuell'!$D335,INDIRECT(AA$5)))</f>
        <v>788.68</v>
      </c>
      <c r="AB335" s="593">
        <f ca="1">$E335*(-SUMIF(INDIRECT(AB$3),'Struktur Aktuell'!$D335,INDIRECT(AB$4))+SUMIF(INDIRECT(AB$3),'Struktur Aktuell'!$D335,INDIRECT(AB$5)))</f>
        <v>788.68</v>
      </c>
      <c r="AC335" s="593">
        <f ca="1">$E335*(-SUMIF(INDIRECT(AC$3),'Struktur Aktuell'!$D335,INDIRECT(AC$4))+SUMIF(INDIRECT(AC$3),'Struktur Aktuell'!$D335,INDIRECT(AC$5)))</f>
        <v>0</v>
      </c>
      <c r="AD335" s="593">
        <f ca="1">$E335*(-SUMIF(INDIRECT(AD$3),'Struktur Aktuell'!$D335,INDIRECT(AD$4))+SUMIF(INDIRECT(AD$3),'Struktur Aktuell'!$D335,INDIRECT(AD$5)))</f>
        <v>0</v>
      </c>
      <c r="AE335" s="593">
        <f t="shared" ca="1" si="494"/>
        <v>234.92</v>
      </c>
      <c r="AF335" s="593">
        <f t="shared" ca="1" si="495"/>
        <v>234.92</v>
      </c>
      <c r="AG335" s="593">
        <f t="shared" ca="1" si="496"/>
        <v>234.92</v>
      </c>
      <c r="AH335" s="593">
        <f t="shared" ca="1" si="497"/>
        <v>234.92</v>
      </c>
      <c r="AI335" s="593">
        <f t="shared" ca="1" si="498"/>
        <v>234.92</v>
      </c>
      <c r="AJ335" s="593">
        <f t="shared" ca="1" si="499"/>
        <v>469.84</v>
      </c>
      <c r="AK335" s="593">
        <f t="shared" ca="1" si="500"/>
        <v>520.85</v>
      </c>
      <c r="AL335" s="593">
        <f t="shared" ca="1" si="501"/>
        <v>697.59</v>
      </c>
      <c r="AM335" s="593">
        <f t="shared" ca="1" si="502"/>
        <v>788.68000000000006</v>
      </c>
      <c r="AN335" s="593">
        <f t="shared" ca="1" si="503"/>
        <v>788.68000000000006</v>
      </c>
      <c r="AO335" s="593">
        <f t="shared" ca="1" si="504"/>
        <v>788.68000000000006</v>
      </c>
      <c r="AP335" s="593">
        <f t="shared" ca="1" si="505"/>
        <v>788.68000000000006</v>
      </c>
    </row>
    <row r="336" spans="1:42" s="594" customFormat="1" ht="11.25" outlineLevel="1" x14ac:dyDescent="0.2">
      <c r="A336" s="590"/>
      <c r="B336" s="591" t="str">
        <f>IF(D336&lt;&gt;"",
IF(ISERROR(MATCH(D336,'Ist Aktuell Monat 01'!A:A,0))=FALSE,INDEX('Ist Aktuell Monat 01'!B:B,MATCH(D336,'Ist Aktuell Monat 01'!A:A,0)),
IF(ISERROR(MATCH(D336,'Ist Aktuell Monat 02'!A:A,0))=FALSE,INDEX('Ist Aktuell Monat 02'!B:B,MATCH(D336,'Ist Aktuell Monat 02'!A:A,0)),
IF(ISERROR(MATCH(D336,'Ist Aktuell Monat 03'!A:A,0))=FALSE,INDEX('Ist Aktuell Monat 03'!B:B,MATCH(D336,'Ist Aktuell Monat 03'!A:A,0)),
IF(ISERROR(MATCH(D336,'Ist Aktuell Monat 04'!A:A,0))=FALSE,INDEX('Ist Aktuell Monat 04'!B:B,MATCH(D336,'Ist Aktuell Monat 04'!A:A,0)),
IF(ISERROR(MATCH(D336,'Ist Aktuell Monat 05'!A:A,0))=FALSE,INDEX('Ist Aktuell Monat 05'!B:B,MATCH(D336,'Ist Aktuell Monat 05'!A:A,0)),
IF(ISERROR(MATCH(D336,'Ist Aktuell Monat 06'!A:A,0))=FALSE,INDEX('Ist Aktuell Monat 06'!B:B,MATCH(D336,'Ist Aktuell Monat 06'!A:A,0)),
IF(ISERROR(MATCH(D336,'Ist Aktuell Monat 07'!A:A,0))=FALSE,INDEX('Ist Aktuell Monat 07'!B:B,MATCH(D336,'Ist Aktuell Monat 07'!A:A,0)),
IF(ISERROR(MATCH(D336,'Ist Aktuell Monat 08'!A:A,0))=FALSE,INDEX('Ist Aktuell Monat 08'!B:B,MATCH(D336,'Ist Aktuell Monat 08'!A:A,0)),
IF(ISERROR(MATCH(D336,'Ist Aktuell Monat 09'!A:A,0))=FALSE,INDEX('Ist Aktuell Monat 09'!B:B,MATCH(D336,'Ist Aktuell Monat 09'!A:A,0)),
IF(ISERROR(MATCH(D336,'Ist Aktuell Monat 10'!A:A,0))=FALSE,INDEX('Ist Aktuell Monat 10'!B:B,MATCH(D336,'Ist Aktuell Monat 10'!A:A,0)),
IF(ISERROR(MATCH(D336,'Ist Aktuell Monat 11'!A:A,0))=FALSE,INDEX('Ist Aktuell Monat 11'!B:B,MATCH(D336,'Ist Aktuell Monat 11'!A:A,0)),
IF(ISERROR(MATCH(D336,'Ist Aktuell Monat 12'!A:A,0))=FALSE,INDEX('Ist Aktuell Monat 12'!B:B,MATCH(D336,'Ist Aktuell Monat 12'!A:A,0)),
"{Konto unbekannt}"
)))))))))))),"")</f>
        <v>{Konto unbekannt}</v>
      </c>
      <c r="C336" s="591"/>
      <c r="D336" s="590">
        <v>2520</v>
      </c>
      <c r="E336" s="592">
        <f>IF(F336="-",-1,1)</f>
        <v>-1</v>
      </c>
      <c r="F336" s="590" t="s">
        <v>996</v>
      </c>
      <c r="G336" s="593">
        <f ca="1">$E336*(-SUMIF(INDIRECT(G$3),'Struktur Aktuell'!$D336,INDIRECT(G$4))+SUMIF(INDIRECT(G$3),'Struktur Aktuell'!$D336,INDIRECT(G$5)))</f>
        <v>0</v>
      </c>
      <c r="H336" s="593">
        <f ca="1">$E336*(-SUMIF(INDIRECT(H$3),'Struktur Aktuell'!$D336,INDIRECT(H$4))+SUMIF(INDIRECT(H$3),'Struktur Aktuell'!$D336,INDIRECT(H$5)))</f>
        <v>0</v>
      </c>
      <c r="I336" s="593">
        <f ca="1">$E336*(-SUMIF(INDIRECT(I$3),'Struktur Aktuell'!$D336,INDIRECT(I$4))+SUMIF(INDIRECT(I$3),'Struktur Aktuell'!$D336,INDIRECT(I$5)))</f>
        <v>0</v>
      </c>
      <c r="J336" s="593">
        <f ca="1">$E336*(-SUMIF(INDIRECT(J$3),'Struktur Aktuell'!$D336,INDIRECT(J$4))+SUMIF(INDIRECT(J$3),'Struktur Aktuell'!$D336,INDIRECT(J$5)))</f>
        <v>0</v>
      </c>
      <c r="K336" s="593">
        <f ca="1">$E336*(-SUMIF(INDIRECT(K$3),'Struktur Aktuell'!$D336,INDIRECT(K$4))+SUMIF(INDIRECT(K$3),'Struktur Aktuell'!$D336,INDIRECT(K$5)))</f>
        <v>0</v>
      </c>
      <c r="L336" s="593">
        <f ca="1">$E336*(-SUMIF(INDIRECT(L$3),'Struktur Aktuell'!$D336,INDIRECT(L$4))+SUMIF(INDIRECT(L$3),'Struktur Aktuell'!$D336,INDIRECT(L$5)))</f>
        <v>0</v>
      </c>
      <c r="M336" s="593">
        <f ca="1">$E336*(-SUMIF(INDIRECT(M$3),'Struktur Aktuell'!$D336,INDIRECT(M$4))+SUMIF(INDIRECT(M$3),'Struktur Aktuell'!$D336,INDIRECT(M$5)))</f>
        <v>0</v>
      </c>
      <c r="N336" s="593">
        <f ca="1">$E336*(-SUMIF(INDIRECT(N$3),'Struktur Aktuell'!$D336,INDIRECT(N$4))+SUMIF(INDIRECT(N$3),'Struktur Aktuell'!$D336,INDIRECT(N$5)))</f>
        <v>0</v>
      </c>
      <c r="O336" s="593">
        <f ca="1">$E336*(-SUMIF(INDIRECT(O$3),'Struktur Aktuell'!$D336,INDIRECT(O$4))+SUMIF(INDIRECT(O$3),'Struktur Aktuell'!$D336,INDIRECT(O$5)))</f>
        <v>0</v>
      </c>
      <c r="P336" s="593">
        <f ca="1">$E336*(-SUMIF(INDIRECT(P$3),'Struktur Aktuell'!$D336,INDIRECT(P$4))+SUMIF(INDIRECT(P$3),'Struktur Aktuell'!$D336,INDIRECT(P$5)))</f>
        <v>0</v>
      </c>
      <c r="Q336" s="593">
        <f ca="1">$E336*(-SUMIF(INDIRECT(Q$3),'Struktur Aktuell'!$D336,INDIRECT(Q$4))+SUMIF(INDIRECT(Q$3),'Struktur Aktuell'!$D336,INDIRECT(Q$5)))</f>
        <v>0</v>
      </c>
      <c r="R336" s="593">
        <f ca="1">$E336*(-SUMIF(INDIRECT(R$3),'Struktur Aktuell'!$D336,INDIRECT(R$4))+SUMIF(INDIRECT(R$3),'Struktur Aktuell'!$D336,INDIRECT(R$5)))</f>
        <v>0</v>
      </c>
      <c r="S336" s="593">
        <f ca="1">$E336*(-SUMIF(INDIRECT(S$3),'Struktur Aktuell'!$D336,INDIRECT(S$4))+SUMIF(INDIRECT(S$3),'Struktur Aktuell'!$D336,INDIRECT(S$5)))</f>
        <v>0</v>
      </c>
      <c r="T336" s="593">
        <f ca="1">$E336*(-SUMIF(INDIRECT(T$3),'Struktur Aktuell'!$D336,INDIRECT(T$4))+SUMIF(INDIRECT(T$3),'Struktur Aktuell'!$D336,INDIRECT(T$5)))</f>
        <v>0</v>
      </c>
      <c r="U336" s="593">
        <f ca="1">$E336*(-SUMIF(INDIRECT(U$3),'Struktur Aktuell'!$D336,INDIRECT(U$4))+SUMIF(INDIRECT(U$3),'Struktur Aktuell'!$D336,INDIRECT(U$5)))</f>
        <v>0</v>
      </c>
      <c r="V336" s="593">
        <f ca="1">$E336*(-SUMIF(INDIRECT(V$3),'Struktur Aktuell'!$D336,INDIRECT(V$4))+SUMIF(INDIRECT(V$3),'Struktur Aktuell'!$D336,INDIRECT(V$5)))</f>
        <v>0</v>
      </c>
      <c r="W336" s="593">
        <f ca="1">$E336*(-SUMIF(INDIRECT(W$3),'Struktur Aktuell'!$D336,INDIRECT(W$4))+SUMIF(INDIRECT(W$3),'Struktur Aktuell'!$D336,INDIRECT(W$5)))</f>
        <v>0</v>
      </c>
      <c r="X336" s="593">
        <f ca="1">$E336*(-SUMIF(INDIRECT(X$3),'Struktur Aktuell'!$D336,INDIRECT(X$4))+SUMIF(INDIRECT(X$3),'Struktur Aktuell'!$D336,INDIRECT(X$5)))</f>
        <v>0</v>
      </c>
      <c r="Y336" s="593">
        <f ca="1">$E336*(-SUMIF(INDIRECT(Y$3),'Struktur Aktuell'!$D336,INDIRECT(Y$4))+SUMIF(INDIRECT(Y$3),'Struktur Aktuell'!$D336,INDIRECT(Y$5)))</f>
        <v>0</v>
      </c>
      <c r="Z336" s="593">
        <f ca="1">$E336*(-SUMIF(INDIRECT(Z$3),'Struktur Aktuell'!$D336,INDIRECT(Z$4))+SUMIF(INDIRECT(Z$3),'Struktur Aktuell'!$D336,INDIRECT(Z$5)))</f>
        <v>0</v>
      </c>
      <c r="AA336" s="593">
        <f ca="1">$E336*(-SUMIF(INDIRECT(AA$3),'Struktur Aktuell'!$D336,INDIRECT(AA$4))+SUMIF(INDIRECT(AA$3),'Struktur Aktuell'!$D336,INDIRECT(AA$5)))</f>
        <v>0</v>
      </c>
      <c r="AB336" s="593">
        <f ca="1">$E336*(-SUMIF(INDIRECT(AB$3),'Struktur Aktuell'!$D336,INDIRECT(AB$4))+SUMIF(INDIRECT(AB$3),'Struktur Aktuell'!$D336,INDIRECT(AB$5)))</f>
        <v>0</v>
      </c>
      <c r="AC336" s="593">
        <f ca="1">$E336*(-SUMIF(INDIRECT(AC$3),'Struktur Aktuell'!$D336,INDIRECT(AC$4))+SUMIF(INDIRECT(AC$3),'Struktur Aktuell'!$D336,INDIRECT(AC$5)))</f>
        <v>0</v>
      </c>
      <c r="AD336" s="593">
        <f ca="1">$E336*(-SUMIF(INDIRECT(AD$3),'Struktur Aktuell'!$D336,INDIRECT(AD$4))+SUMIF(INDIRECT(AD$3),'Struktur Aktuell'!$D336,INDIRECT(AD$5)))</f>
        <v>0</v>
      </c>
      <c r="AE336" s="593">
        <f t="shared" ca="1" si="494"/>
        <v>0</v>
      </c>
      <c r="AF336" s="593">
        <f t="shared" ca="1" si="495"/>
        <v>0</v>
      </c>
      <c r="AG336" s="593">
        <f t="shared" ca="1" si="496"/>
        <v>0</v>
      </c>
      <c r="AH336" s="593">
        <f t="shared" ca="1" si="497"/>
        <v>0</v>
      </c>
      <c r="AI336" s="593">
        <f t="shared" ca="1" si="498"/>
        <v>0</v>
      </c>
      <c r="AJ336" s="593">
        <f t="shared" ca="1" si="499"/>
        <v>0</v>
      </c>
      <c r="AK336" s="593">
        <f t="shared" ca="1" si="500"/>
        <v>0</v>
      </c>
      <c r="AL336" s="593">
        <f t="shared" ca="1" si="501"/>
        <v>0</v>
      </c>
      <c r="AM336" s="593">
        <f t="shared" ca="1" si="502"/>
        <v>0</v>
      </c>
      <c r="AN336" s="593">
        <f t="shared" ca="1" si="503"/>
        <v>0</v>
      </c>
      <c r="AO336" s="593">
        <f t="shared" ca="1" si="504"/>
        <v>0</v>
      </c>
      <c r="AP336" s="593">
        <f t="shared" ca="1" si="505"/>
        <v>0</v>
      </c>
    </row>
    <row r="337" spans="1:42" s="594" customFormat="1" ht="11.25" outlineLevel="1" x14ac:dyDescent="0.2">
      <c r="A337" s="590"/>
      <c r="B337" s="591" t="str">
        <f>IF(D337&lt;&gt;"",
IF(ISERROR(MATCH(D337,'Ist Aktuell Monat 01'!A:A,0))=FALSE,INDEX('Ist Aktuell Monat 01'!B:B,MATCH(D337,'Ist Aktuell Monat 01'!A:A,0)),
IF(ISERROR(MATCH(D337,'Ist Aktuell Monat 02'!A:A,0))=FALSE,INDEX('Ist Aktuell Monat 02'!B:B,MATCH(D337,'Ist Aktuell Monat 02'!A:A,0)),
IF(ISERROR(MATCH(D337,'Ist Aktuell Monat 03'!A:A,0))=FALSE,INDEX('Ist Aktuell Monat 03'!B:B,MATCH(D337,'Ist Aktuell Monat 03'!A:A,0)),
IF(ISERROR(MATCH(D337,'Ist Aktuell Monat 04'!A:A,0))=FALSE,INDEX('Ist Aktuell Monat 04'!B:B,MATCH(D337,'Ist Aktuell Monat 04'!A:A,0)),
IF(ISERROR(MATCH(D337,'Ist Aktuell Monat 05'!A:A,0))=FALSE,INDEX('Ist Aktuell Monat 05'!B:B,MATCH(D337,'Ist Aktuell Monat 05'!A:A,0)),
IF(ISERROR(MATCH(D337,'Ist Aktuell Monat 06'!A:A,0))=FALSE,INDEX('Ist Aktuell Monat 06'!B:B,MATCH(D337,'Ist Aktuell Monat 06'!A:A,0)),
IF(ISERROR(MATCH(D337,'Ist Aktuell Monat 07'!A:A,0))=FALSE,INDEX('Ist Aktuell Monat 07'!B:B,MATCH(D337,'Ist Aktuell Monat 07'!A:A,0)),
IF(ISERROR(MATCH(D337,'Ist Aktuell Monat 08'!A:A,0))=FALSE,INDEX('Ist Aktuell Monat 08'!B:B,MATCH(D337,'Ist Aktuell Monat 08'!A:A,0)),
IF(ISERROR(MATCH(D337,'Ist Aktuell Monat 09'!A:A,0))=FALSE,INDEX('Ist Aktuell Monat 09'!B:B,MATCH(D337,'Ist Aktuell Monat 09'!A:A,0)),
IF(ISERROR(MATCH(D337,'Ist Aktuell Monat 10'!A:A,0))=FALSE,INDEX('Ist Aktuell Monat 10'!B:B,MATCH(D337,'Ist Aktuell Monat 10'!A:A,0)),
IF(ISERROR(MATCH(D337,'Ist Aktuell Monat 11'!A:A,0))=FALSE,INDEX('Ist Aktuell Monat 11'!B:B,MATCH(D337,'Ist Aktuell Monat 11'!A:A,0)),
IF(ISERROR(MATCH(D337,'Ist Aktuell Monat 12'!A:A,0))=FALSE,INDEX('Ist Aktuell Monat 12'!B:B,MATCH(D337,'Ist Aktuell Monat 12'!A:A,0)),
"{Konto unbekannt}"
)))))))))))),"")</f>
        <v/>
      </c>
      <c r="C337" s="591"/>
      <c r="D337" s="590"/>
      <c r="E337" s="592">
        <f t="shared" si="381"/>
        <v>-1</v>
      </c>
      <c r="F337" s="590" t="s">
        <v>996</v>
      </c>
      <c r="G337" s="593">
        <f ca="1">$E337*(-SUMIF(INDIRECT(G$3),'Struktur Aktuell'!$D337,INDIRECT(G$4))+SUMIF(INDIRECT(G$3),'Struktur Aktuell'!$D337,INDIRECT(G$5)))</f>
        <v>0</v>
      </c>
      <c r="H337" s="593">
        <f ca="1">$E337*(-SUMIF(INDIRECT(H$3),'Struktur Aktuell'!$D337,INDIRECT(H$4))+SUMIF(INDIRECT(H$3),'Struktur Aktuell'!$D337,INDIRECT(H$5)))</f>
        <v>0</v>
      </c>
      <c r="I337" s="593">
        <f ca="1">$E337*(-SUMIF(INDIRECT(I$3),'Struktur Aktuell'!$D337,INDIRECT(I$4))+SUMIF(INDIRECT(I$3),'Struktur Aktuell'!$D337,INDIRECT(I$5)))</f>
        <v>0</v>
      </c>
      <c r="J337" s="593">
        <f ca="1">$E337*(-SUMIF(INDIRECT(J$3),'Struktur Aktuell'!$D337,INDIRECT(J$4))+SUMIF(INDIRECT(J$3),'Struktur Aktuell'!$D337,INDIRECT(J$5)))</f>
        <v>0</v>
      </c>
      <c r="K337" s="593">
        <f ca="1">$E337*(-SUMIF(INDIRECT(K$3),'Struktur Aktuell'!$D337,INDIRECT(K$4))+SUMIF(INDIRECT(K$3),'Struktur Aktuell'!$D337,INDIRECT(K$5)))</f>
        <v>0</v>
      </c>
      <c r="L337" s="593">
        <f ca="1">$E337*(-SUMIF(INDIRECT(L$3),'Struktur Aktuell'!$D337,INDIRECT(L$4))+SUMIF(INDIRECT(L$3),'Struktur Aktuell'!$D337,INDIRECT(L$5)))</f>
        <v>0</v>
      </c>
      <c r="M337" s="593">
        <f ca="1">$E337*(-SUMIF(INDIRECT(M$3),'Struktur Aktuell'!$D337,INDIRECT(M$4))+SUMIF(INDIRECT(M$3),'Struktur Aktuell'!$D337,INDIRECT(M$5)))</f>
        <v>0</v>
      </c>
      <c r="N337" s="593">
        <f ca="1">$E337*(-SUMIF(INDIRECT(N$3),'Struktur Aktuell'!$D337,INDIRECT(N$4))+SUMIF(INDIRECT(N$3),'Struktur Aktuell'!$D337,INDIRECT(N$5)))</f>
        <v>0</v>
      </c>
      <c r="O337" s="593">
        <f ca="1">$E337*(-SUMIF(INDIRECT(O$3),'Struktur Aktuell'!$D337,INDIRECT(O$4))+SUMIF(INDIRECT(O$3),'Struktur Aktuell'!$D337,INDIRECT(O$5)))</f>
        <v>0</v>
      </c>
      <c r="P337" s="593">
        <f ca="1">$E337*(-SUMIF(INDIRECT(P$3),'Struktur Aktuell'!$D337,INDIRECT(P$4))+SUMIF(INDIRECT(P$3),'Struktur Aktuell'!$D337,INDIRECT(P$5)))</f>
        <v>0</v>
      </c>
      <c r="Q337" s="593">
        <f ca="1">$E337*(-SUMIF(INDIRECT(Q$3),'Struktur Aktuell'!$D337,INDIRECT(Q$4))+SUMIF(INDIRECT(Q$3),'Struktur Aktuell'!$D337,INDIRECT(Q$5)))</f>
        <v>0</v>
      </c>
      <c r="R337" s="593">
        <f ca="1">$E337*(-SUMIF(INDIRECT(R$3),'Struktur Aktuell'!$D337,INDIRECT(R$4))+SUMIF(INDIRECT(R$3),'Struktur Aktuell'!$D337,INDIRECT(R$5)))</f>
        <v>0</v>
      </c>
      <c r="S337" s="593">
        <f ca="1">$E337*(-SUMIF(INDIRECT(S$3),'Struktur Aktuell'!$D337,INDIRECT(S$4))+SUMIF(INDIRECT(S$3),'Struktur Aktuell'!$D337,INDIRECT(S$5)))</f>
        <v>0</v>
      </c>
      <c r="T337" s="593">
        <f ca="1">$E337*(-SUMIF(INDIRECT(T$3),'Struktur Aktuell'!$D337,INDIRECT(T$4))+SUMIF(INDIRECT(T$3),'Struktur Aktuell'!$D337,INDIRECT(T$5)))</f>
        <v>0</v>
      </c>
      <c r="U337" s="593">
        <f ca="1">$E337*(-SUMIF(INDIRECT(U$3),'Struktur Aktuell'!$D337,INDIRECT(U$4))+SUMIF(INDIRECT(U$3),'Struktur Aktuell'!$D337,INDIRECT(U$5)))</f>
        <v>0</v>
      </c>
      <c r="V337" s="593">
        <f ca="1">$E337*(-SUMIF(INDIRECT(V$3),'Struktur Aktuell'!$D337,INDIRECT(V$4))+SUMIF(INDIRECT(V$3),'Struktur Aktuell'!$D337,INDIRECT(V$5)))</f>
        <v>0</v>
      </c>
      <c r="W337" s="593">
        <f ca="1">$E337*(-SUMIF(INDIRECT(W$3),'Struktur Aktuell'!$D337,INDIRECT(W$4))+SUMIF(INDIRECT(W$3),'Struktur Aktuell'!$D337,INDIRECT(W$5)))</f>
        <v>0</v>
      </c>
      <c r="X337" s="593">
        <f ca="1">$E337*(-SUMIF(INDIRECT(X$3),'Struktur Aktuell'!$D337,INDIRECT(X$4))+SUMIF(INDIRECT(X$3),'Struktur Aktuell'!$D337,INDIRECT(X$5)))</f>
        <v>0</v>
      </c>
      <c r="Y337" s="593">
        <f ca="1">$E337*(-SUMIF(INDIRECT(Y$3),'Struktur Aktuell'!$D337,INDIRECT(Y$4))+SUMIF(INDIRECT(Y$3),'Struktur Aktuell'!$D337,INDIRECT(Y$5)))</f>
        <v>0</v>
      </c>
      <c r="Z337" s="593">
        <f ca="1">$E337*(-SUMIF(INDIRECT(Z$3),'Struktur Aktuell'!$D337,INDIRECT(Z$4))+SUMIF(INDIRECT(Z$3),'Struktur Aktuell'!$D337,INDIRECT(Z$5)))</f>
        <v>0</v>
      </c>
      <c r="AA337" s="593">
        <f ca="1">$E337*(-SUMIF(INDIRECT(AA$3),'Struktur Aktuell'!$D337,INDIRECT(AA$4))+SUMIF(INDIRECT(AA$3),'Struktur Aktuell'!$D337,INDIRECT(AA$5)))</f>
        <v>0</v>
      </c>
      <c r="AB337" s="593">
        <f ca="1">$E337*(-SUMIF(INDIRECT(AB$3),'Struktur Aktuell'!$D337,INDIRECT(AB$4))+SUMIF(INDIRECT(AB$3),'Struktur Aktuell'!$D337,INDIRECT(AB$5)))</f>
        <v>0</v>
      </c>
      <c r="AC337" s="593">
        <f ca="1">$E337*(-SUMIF(INDIRECT(AC$3),'Struktur Aktuell'!$D337,INDIRECT(AC$4))+SUMIF(INDIRECT(AC$3),'Struktur Aktuell'!$D337,INDIRECT(AC$5)))</f>
        <v>0</v>
      </c>
      <c r="AD337" s="593">
        <f ca="1">$E337*(-SUMIF(INDIRECT(AD$3),'Struktur Aktuell'!$D337,INDIRECT(AD$4))+SUMIF(INDIRECT(AD$3),'Struktur Aktuell'!$D337,INDIRECT(AD$5)))</f>
        <v>0</v>
      </c>
      <c r="AE337" s="593">
        <f t="shared" ca="1" si="494"/>
        <v>0</v>
      </c>
      <c r="AF337" s="593">
        <f t="shared" ca="1" si="495"/>
        <v>0</v>
      </c>
      <c r="AG337" s="593">
        <f t="shared" ca="1" si="496"/>
        <v>0</v>
      </c>
      <c r="AH337" s="593">
        <f t="shared" ca="1" si="497"/>
        <v>0</v>
      </c>
      <c r="AI337" s="593">
        <f t="shared" ca="1" si="498"/>
        <v>0</v>
      </c>
      <c r="AJ337" s="593">
        <f t="shared" ca="1" si="499"/>
        <v>0</v>
      </c>
      <c r="AK337" s="593">
        <f t="shared" ca="1" si="500"/>
        <v>0</v>
      </c>
      <c r="AL337" s="593">
        <f t="shared" ca="1" si="501"/>
        <v>0</v>
      </c>
      <c r="AM337" s="593">
        <f t="shared" ca="1" si="502"/>
        <v>0</v>
      </c>
      <c r="AN337" s="593">
        <f t="shared" ca="1" si="503"/>
        <v>0</v>
      </c>
      <c r="AO337" s="593">
        <f t="shared" ca="1" si="504"/>
        <v>0</v>
      </c>
      <c r="AP337" s="593">
        <f t="shared" ca="1" si="505"/>
        <v>0</v>
      </c>
    </row>
    <row r="338" spans="1:42" s="594" customFormat="1" ht="11.25" outlineLevel="1" x14ac:dyDescent="0.2">
      <c r="A338" s="590"/>
      <c r="B338" s="591" t="str">
        <f>IF(D338&lt;&gt;"",
IF(ISERROR(MATCH(D338,'Ist Aktuell Monat 01'!A:A,0))=FALSE,INDEX('Ist Aktuell Monat 01'!B:B,MATCH(D338,'Ist Aktuell Monat 01'!A:A,0)),
IF(ISERROR(MATCH(D338,'Ist Aktuell Monat 02'!A:A,0))=FALSE,INDEX('Ist Aktuell Monat 02'!B:B,MATCH(D338,'Ist Aktuell Monat 02'!A:A,0)),
IF(ISERROR(MATCH(D338,'Ist Aktuell Monat 03'!A:A,0))=FALSE,INDEX('Ist Aktuell Monat 03'!B:B,MATCH(D338,'Ist Aktuell Monat 03'!A:A,0)),
IF(ISERROR(MATCH(D338,'Ist Aktuell Monat 04'!A:A,0))=FALSE,INDEX('Ist Aktuell Monat 04'!B:B,MATCH(D338,'Ist Aktuell Monat 04'!A:A,0)),
IF(ISERROR(MATCH(D338,'Ist Aktuell Monat 05'!A:A,0))=FALSE,INDEX('Ist Aktuell Monat 05'!B:B,MATCH(D338,'Ist Aktuell Monat 05'!A:A,0)),
IF(ISERROR(MATCH(D338,'Ist Aktuell Monat 06'!A:A,0))=FALSE,INDEX('Ist Aktuell Monat 06'!B:B,MATCH(D338,'Ist Aktuell Monat 06'!A:A,0)),
IF(ISERROR(MATCH(D338,'Ist Aktuell Monat 07'!A:A,0))=FALSE,INDEX('Ist Aktuell Monat 07'!B:B,MATCH(D338,'Ist Aktuell Monat 07'!A:A,0)),
IF(ISERROR(MATCH(D338,'Ist Aktuell Monat 08'!A:A,0))=FALSE,INDEX('Ist Aktuell Monat 08'!B:B,MATCH(D338,'Ist Aktuell Monat 08'!A:A,0)),
IF(ISERROR(MATCH(D338,'Ist Aktuell Monat 09'!A:A,0))=FALSE,INDEX('Ist Aktuell Monat 09'!B:B,MATCH(D338,'Ist Aktuell Monat 09'!A:A,0)),
IF(ISERROR(MATCH(D338,'Ist Aktuell Monat 10'!A:A,0))=FALSE,INDEX('Ist Aktuell Monat 10'!B:B,MATCH(D338,'Ist Aktuell Monat 10'!A:A,0)),
IF(ISERROR(MATCH(D338,'Ist Aktuell Monat 11'!A:A,0))=FALSE,INDEX('Ist Aktuell Monat 11'!B:B,MATCH(D338,'Ist Aktuell Monat 11'!A:A,0)),
IF(ISERROR(MATCH(D338,'Ist Aktuell Monat 12'!A:A,0))=FALSE,INDEX('Ist Aktuell Monat 12'!B:B,MATCH(D338,'Ist Aktuell Monat 12'!A:A,0)),
"{Konto unbekannt}"
)))))))))))),"")</f>
        <v/>
      </c>
      <c r="C338" s="591"/>
      <c r="D338" s="590"/>
      <c r="E338" s="592">
        <f t="shared" si="381"/>
        <v>-1</v>
      </c>
      <c r="F338" s="590" t="s">
        <v>996</v>
      </c>
      <c r="G338" s="593">
        <f ca="1">$E338*(-SUMIF(INDIRECT(G$3),'Struktur Aktuell'!$D338,INDIRECT(G$4))+SUMIF(INDIRECT(G$3),'Struktur Aktuell'!$D338,INDIRECT(G$5)))</f>
        <v>0</v>
      </c>
      <c r="H338" s="593">
        <f ca="1">$E338*(-SUMIF(INDIRECT(H$3),'Struktur Aktuell'!$D338,INDIRECT(H$4))+SUMIF(INDIRECT(H$3),'Struktur Aktuell'!$D338,INDIRECT(H$5)))</f>
        <v>0</v>
      </c>
      <c r="I338" s="593">
        <f ca="1">$E338*(-SUMIF(INDIRECT(I$3),'Struktur Aktuell'!$D338,INDIRECT(I$4))+SUMIF(INDIRECT(I$3),'Struktur Aktuell'!$D338,INDIRECT(I$5)))</f>
        <v>0</v>
      </c>
      <c r="J338" s="593">
        <f ca="1">$E338*(-SUMIF(INDIRECT(J$3),'Struktur Aktuell'!$D338,INDIRECT(J$4))+SUMIF(INDIRECT(J$3),'Struktur Aktuell'!$D338,INDIRECT(J$5)))</f>
        <v>0</v>
      </c>
      <c r="K338" s="593">
        <f ca="1">$E338*(-SUMIF(INDIRECT(K$3),'Struktur Aktuell'!$D338,INDIRECT(K$4))+SUMIF(INDIRECT(K$3),'Struktur Aktuell'!$D338,INDIRECT(K$5)))</f>
        <v>0</v>
      </c>
      <c r="L338" s="593">
        <f ca="1">$E338*(-SUMIF(INDIRECT(L$3),'Struktur Aktuell'!$D338,INDIRECT(L$4))+SUMIF(INDIRECT(L$3),'Struktur Aktuell'!$D338,INDIRECT(L$5)))</f>
        <v>0</v>
      </c>
      <c r="M338" s="593">
        <f ca="1">$E338*(-SUMIF(INDIRECT(M$3),'Struktur Aktuell'!$D338,INDIRECT(M$4))+SUMIF(INDIRECT(M$3),'Struktur Aktuell'!$D338,INDIRECT(M$5)))</f>
        <v>0</v>
      </c>
      <c r="N338" s="593">
        <f ca="1">$E338*(-SUMIF(INDIRECT(N$3),'Struktur Aktuell'!$D338,INDIRECT(N$4))+SUMIF(INDIRECT(N$3),'Struktur Aktuell'!$D338,INDIRECT(N$5)))</f>
        <v>0</v>
      </c>
      <c r="O338" s="593">
        <f ca="1">$E338*(-SUMIF(INDIRECT(O$3),'Struktur Aktuell'!$D338,INDIRECT(O$4))+SUMIF(INDIRECT(O$3),'Struktur Aktuell'!$D338,INDIRECT(O$5)))</f>
        <v>0</v>
      </c>
      <c r="P338" s="593">
        <f ca="1">$E338*(-SUMIF(INDIRECT(P$3),'Struktur Aktuell'!$D338,INDIRECT(P$4))+SUMIF(INDIRECT(P$3),'Struktur Aktuell'!$D338,INDIRECT(P$5)))</f>
        <v>0</v>
      </c>
      <c r="Q338" s="593">
        <f ca="1">$E338*(-SUMIF(INDIRECT(Q$3),'Struktur Aktuell'!$D338,INDIRECT(Q$4))+SUMIF(INDIRECT(Q$3),'Struktur Aktuell'!$D338,INDIRECT(Q$5)))</f>
        <v>0</v>
      </c>
      <c r="R338" s="593">
        <f ca="1">$E338*(-SUMIF(INDIRECT(R$3),'Struktur Aktuell'!$D338,INDIRECT(R$4))+SUMIF(INDIRECT(R$3),'Struktur Aktuell'!$D338,INDIRECT(R$5)))</f>
        <v>0</v>
      </c>
      <c r="S338" s="593">
        <f ca="1">$E338*(-SUMIF(INDIRECT(S$3),'Struktur Aktuell'!$D338,INDIRECT(S$4))+SUMIF(INDIRECT(S$3),'Struktur Aktuell'!$D338,INDIRECT(S$5)))</f>
        <v>0</v>
      </c>
      <c r="T338" s="593">
        <f ca="1">$E338*(-SUMIF(INDIRECT(T$3),'Struktur Aktuell'!$D338,INDIRECT(T$4))+SUMIF(INDIRECT(T$3),'Struktur Aktuell'!$D338,INDIRECT(T$5)))</f>
        <v>0</v>
      </c>
      <c r="U338" s="593">
        <f ca="1">$E338*(-SUMIF(INDIRECT(U$3),'Struktur Aktuell'!$D338,INDIRECT(U$4))+SUMIF(INDIRECT(U$3),'Struktur Aktuell'!$D338,INDIRECT(U$5)))</f>
        <v>0</v>
      </c>
      <c r="V338" s="593">
        <f ca="1">$E338*(-SUMIF(INDIRECT(V$3),'Struktur Aktuell'!$D338,INDIRECT(V$4))+SUMIF(INDIRECT(V$3),'Struktur Aktuell'!$D338,INDIRECT(V$5)))</f>
        <v>0</v>
      </c>
      <c r="W338" s="593">
        <f ca="1">$E338*(-SUMIF(INDIRECT(W$3),'Struktur Aktuell'!$D338,INDIRECT(W$4))+SUMIF(INDIRECT(W$3),'Struktur Aktuell'!$D338,INDIRECT(W$5)))</f>
        <v>0</v>
      </c>
      <c r="X338" s="593">
        <f ca="1">$E338*(-SUMIF(INDIRECT(X$3),'Struktur Aktuell'!$D338,INDIRECT(X$4))+SUMIF(INDIRECT(X$3),'Struktur Aktuell'!$D338,INDIRECT(X$5)))</f>
        <v>0</v>
      </c>
      <c r="Y338" s="593">
        <f ca="1">$E338*(-SUMIF(INDIRECT(Y$3),'Struktur Aktuell'!$D338,INDIRECT(Y$4))+SUMIF(INDIRECT(Y$3),'Struktur Aktuell'!$D338,INDIRECT(Y$5)))</f>
        <v>0</v>
      </c>
      <c r="Z338" s="593">
        <f ca="1">$E338*(-SUMIF(INDIRECT(Z$3),'Struktur Aktuell'!$D338,INDIRECT(Z$4))+SUMIF(INDIRECT(Z$3),'Struktur Aktuell'!$D338,INDIRECT(Z$5)))</f>
        <v>0</v>
      </c>
      <c r="AA338" s="593">
        <f ca="1">$E338*(-SUMIF(INDIRECT(AA$3),'Struktur Aktuell'!$D338,INDIRECT(AA$4))+SUMIF(INDIRECT(AA$3),'Struktur Aktuell'!$D338,INDIRECT(AA$5)))</f>
        <v>0</v>
      </c>
      <c r="AB338" s="593">
        <f ca="1">$E338*(-SUMIF(INDIRECT(AB$3),'Struktur Aktuell'!$D338,INDIRECT(AB$4))+SUMIF(INDIRECT(AB$3),'Struktur Aktuell'!$D338,INDIRECT(AB$5)))</f>
        <v>0</v>
      </c>
      <c r="AC338" s="593">
        <f ca="1">$E338*(-SUMIF(INDIRECT(AC$3),'Struktur Aktuell'!$D338,INDIRECT(AC$4))+SUMIF(INDIRECT(AC$3),'Struktur Aktuell'!$D338,INDIRECT(AC$5)))</f>
        <v>0</v>
      </c>
      <c r="AD338" s="593">
        <f ca="1">$E338*(-SUMIF(INDIRECT(AD$3),'Struktur Aktuell'!$D338,INDIRECT(AD$4))+SUMIF(INDIRECT(AD$3),'Struktur Aktuell'!$D338,INDIRECT(AD$5)))</f>
        <v>0</v>
      </c>
      <c r="AE338" s="593">
        <f t="shared" ca="1" si="494"/>
        <v>0</v>
      </c>
      <c r="AF338" s="593">
        <f t="shared" ca="1" si="495"/>
        <v>0</v>
      </c>
      <c r="AG338" s="593">
        <f t="shared" ca="1" si="496"/>
        <v>0</v>
      </c>
      <c r="AH338" s="593">
        <f t="shared" ca="1" si="497"/>
        <v>0</v>
      </c>
      <c r="AI338" s="593">
        <f t="shared" ca="1" si="498"/>
        <v>0</v>
      </c>
      <c r="AJ338" s="593">
        <f t="shared" ca="1" si="499"/>
        <v>0</v>
      </c>
      <c r="AK338" s="593">
        <f t="shared" ca="1" si="500"/>
        <v>0</v>
      </c>
      <c r="AL338" s="593">
        <f t="shared" ca="1" si="501"/>
        <v>0</v>
      </c>
      <c r="AM338" s="593">
        <f t="shared" ca="1" si="502"/>
        <v>0</v>
      </c>
      <c r="AN338" s="593">
        <f t="shared" ca="1" si="503"/>
        <v>0</v>
      </c>
      <c r="AO338" s="593">
        <f t="shared" ca="1" si="504"/>
        <v>0</v>
      </c>
      <c r="AP338" s="593">
        <f t="shared" ca="1" si="505"/>
        <v>0</v>
      </c>
    </row>
    <row r="339" spans="1:42" s="594" customFormat="1" ht="11.25" outlineLevel="1" x14ac:dyDescent="0.2">
      <c r="A339" s="590"/>
      <c r="B339" s="591" t="str">
        <f>IF(D339&lt;&gt;"",
IF(ISERROR(MATCH(D339,'Ist Aktuell Monat 01'!A:A,0))=FALSE,INDEX('Ist Aktuell Monat 01'!B:B,MATCH(D339,'Ist Aktuell Monat 01'!A:A,0)),
IF(ISERROR(MATCH(D339,'Ist Aktuell Monat 02'!A:A,0))=FALSE,INDEX('Ist Aktuell Monat 02'!B:B,MATCH(D339,'Ist Aktuell Monat 02'!A:A,0)),
IF(ISERROR(MATCH(D339,'Ist Aktuell Monat 03'!A:A,0))=FALSE,INDEX('Ist Aktuell Monat 03'!B:B,MATCH(D339,'Ist Aktuell Monat 03'!A:A,0)),
IF(ISERROR(MATCH(D339,'Ist Aktuell Monat 04'!A:A,0))=FALSE,INDEX('Ist Aktuell Monat 04'!B:B,MATCH(D339,'Ist Aktuell Monat 04'!A:A,0)),
IF(ISERROR(MATCH(D339,'Ist Aktuell Monat 05'!A:A,0))=FALSE,INDEX('Ist Aktuell Monat 05'!B:B,MATCH(D339,'Ist Aktuell Monat 05'!A:A,0)),
IF(ISERROR(MATCH(D339,'Ist Aktuell Monat 06'!A:A,0))=FALSE,INDEX('Ist Aktuell Monat 06'!B:B,MATCH(D339,'Ist Aktuell Monat 06'!A:A,0)),
IF(ISERROR(MATCH(D339,'Ist Aktuell Monat 07'!A:A,0))=FALSE,INDEX('Ist Aktuell Monat 07'!B:B,MATCH(D339,'Ist Aktuell Monat 07'!A:A,0)),
IF(ISERROR(MATCH(D339,'Ist Aktuell Monat 08'!A:A,0))=FALSE,INDEX('Ist Aktuell Monat 08'!B:B,MATCH(D339,'Ist Aktuell Monat 08'!A:A,0)),
IF(ISERROR(MATCH(D339,'Ist Aktuell Monat 09'!A:A,0))=FALSE,INDEX('Ist Aktuell Monat 09'!B:B,MATCH(D339,'Ist Aktuell Monat 09'!A:A,0)),
IF(ISERROR(MATCH(D339,'Ist Aktuell Monat 10'!A:A,0))=FALSE,INDEX('Ist Aktuell Monat 10'!B:B,MATCH(D339,'Ist Aktuell Monat 10'!A:A,0)),
IF(ISERROR(MATCH(D339,'Ist Aktuell Monat 11'!A:A,0))=FALSE,INDEX('Ist Aktuell Monat 11'!B:B,MATCH(D339,'Ist Aktuell Monat 11'!A:A,0)),
IF(ISERROR(MATCH(D339,'Ist Aktuell Monat 12'!A:A,0))=FALSE,INDEX('Ist Aktuell Monat 12'!B:B,MATCH(D339,'Ist Aktuell Monat 12'!A:A,0)),
"{Konto unbekannt}"
)))))))))))),"")</f>
        <v/>
      </c>
      <c r="C339" s="591"/>
      <c r="D339" s="590"/>
      <c r="E339" s="592">
        <f t="shared" si="381"/>
        <v>-1</v>
      </c>
      <c r="F339" s="590" t="s">
        <v>996</v>
      </c>
      <c r="G339" s="593">
        <f ca="1">$E339*(-SUMIF(INDIRECT(G$3),'Struktur Aktuell'!$D339,INDIRECT(G$4))+SUMIF(INDIRECT(G$3),'Struktur Aktuell'!$D339,INDIRECT(G$5)))</f>
        <v>0</v>
      </c>
      <c r="H339" s="593">
        <f ca="1">$E339*(-SUMIF(INDIRECT(H$3),'Struktur Aktuell'!$D339,INDIRECT(H$4))+SUMIF(INDIRECT(H$3),'Struktur Aktuell'!$D339,INDIRECT(H$5)))</f>
        <v>0</v>
      </c>
      <c r="I339" s="593">
        <f ca="1">$E339*(-SUMIF(INDIRECT(I$3),'Struktur Aktuell'!$D339,INDIRECT(I$4))+SUMIF(INDIRECT(I$3),'Struktur Aktuell'!$D339,INDIRECT(I$5)))</f>
        <v>0</v>
      </c>
      <c r="J339" s="593">
        <f ca="1">$E339*(-SUMIF(INDIRECT(J$3),'Struktur Aktuell'!$D339,INDIRECT(J$4))+SUMIF(INDIRECT(J$3),'Struktur Aktuell'!$D339,INDIRECT(J$5)))</f>
        <v>0</v>
      </c>
      <c r="K339" s="593">
        <f ca="1">$E339*(-SUMIF(INDIRECT(K$3),'Struktur Aktuell'!$D339,INDIRECT(K$4))+SUMIF(INDIRECT(K$3),'Struktur Aktuell'!$D339,INDIRECT(K$5)))</f>
        <v>0</v>
      </c>
      <c r="L339" s="593">
        <f ca="1">$E339*(-SUMIF(INDIRECT(L$3),'Struktur Aktuell'!$D339,INDIRECT(L$4))+SUMIF(INDIRECT(L$3),'Struktur Aktuell'!$D339,INDIRECT(L$5)))</f>
        <v>0</v>
      </c>
      <c r="M339" s="593">
        <f ca="1">$E339*(-SUMIF(INDIRECT(M$3),'Struktur Aktuell'!$D339,INDIRECT(M$4))+SUMIF(INDIRECT(M$3),'Struktur Aktuell'!$D339,INDIRECT(M$5)))</f>
        <v>0</v>
      </c>
      <c r="N339" s="593">
        <f ca="1">$E339*(-SUMIF(INDIRECT(N$3),'Struktur Aktuell'!$D339,INDIRECT(N$4))+SUMIF(INDIRECT(N$3),'Struktur Aktuell'!$D339,INDIRECT(N$5)))</f>
        <v>0</v>
      </c>
      <c r="O339" s="593">
        <f ca="1">$E339*(-SUMIF(INDIRECT(O$3),'Struktur Aktuell'!$D339,INDIRECT(O$4))+SUMIF(INDIRECT(O$3),'Struktur Aktuell'!$D339,INDIRECT(O$5)))</f>
        <v>0</v>
      </c>
      <c r="P339" s="593">
        <f ca="1">$E339*(-SUMIF(INDIRECT(P$3),'Struktur Aktuell'!$D339,INDIRECT(P$4))+SUMIF(INDIRECT(P$3),'Struktur Aktuell'!$D339,INDIRECT(P$5)))</f>
        <v>0</v>
      </c>
      <c r="Q339" s="593">
        <f ca="1">$E339*(-SUMIF(INDIRECT(Q$3),'Struktur Aktuell'!$D339,INDIRECT(Q$4))+SUMIF(INDIRECT(Q$3),'Struktur Aktuell'!$D339,INDIRECT(Q$5)))</f>
        <v>0</v>
      </c>
      <c r="R339" s="593">
        <f ca="1">$E339*(-SUMIF(INDIRECT(R$3),'Struktur Aktuell'!$D339,INDIRECT(R$4))+SUMIF(INDIRECT(R$3),'Struktur Aktuell'!$D339,INDIRECT(R$5)))</f>
        <v>0</v>
      </c>
      <c r="S339" s="593">
        <f ca="1">$E339*(-SUMIF(INDIRECT(S$3),'Struktur Aktuell'!$D339,INDIRECT(S$4))+SUMIF(INDIRECT(S$3),'Struktur Aktuell'!$D339,INDIRECT(S$5)))</f>
        <v>0</v>
      </c>
      <c r="T339" s="593">
        <f ca="1">$E339*(-SUMIF(INDIRECT(T$3),'Struktur Aktuell'!$D339,INDIRECT(T$4))+SUMIF(INDIRECT(T$3),'Struktur Aktuell'!$D339,INDIRECT(T$5)))</f>
        <v>0</v>
      </c>
      <c r="U339" s="593">
        <f ca="1">$E339*(-SUMIF(INDIRECT(U$3),'Struktur Aktuell'!$D339,INDIRECT(U$4))+SUMIF(INDIRECT(U$3),'Struktur Aktuell'!$D339,INDIRECT(U$5)))</f>
        <v>0</v>
      </c>
      <c r="V339" s="593">
        <f ca="1">$E339*(-SUMIF(INDIRECT(V$3),'Struktur Aktuell'!$D339,INDIRECT(V$4))+SUMIF(INDIRECT(V$3),'Struktur Aktuell'!$D339,INDIRECT(V$5)))</f>
        <v>0</v>
      </c>
      <c r="W339" s="593">
        <f ca="1">$E339*(-SUMIF(INDIRECT(W$3),'Struktur Aktuell'!$D339,INDIRECT(W$4))+SUMIF(INDIRECT(W$3),'Struktur Aktuell'!$D339,INDIRECT(W$5)))</f>
        <v>0</v>
      </c>
      <c r="X339" s="593">
        <f ca="1">$E339*(-SUMIF(INDIRECT(X$3),'Struktur Aktuell'!$D339,INDIRECT(X$4))+SUMIF(INDIRECT(X$3),'Struktur Aktuell'!$D339,INDIRECT(X$5)))</f>
        <v>0</v>
      </c>
      <c r="Y339" s="593">
        <f ca="1">$E339*(-SUMIF(INDIRECT(Y$3),'Struktur Aktuell'!$D339,INDIRECT(Y$4))+SUMIF(INDIRECT(Y$3),'Struktur Aktuell'!$D339,INDIRECT(Y$5)))</f>
        <v>0</v>
      </c>
      <c r="Z339" s="593">
        <f ca="1">$E339*(-SUMIF(INDIRECT(Z$3),'Struktur Aktuell'!$D339,INDIRECT(Z$4))+SUMIF(INDIRECT(Z$3),'Struktur Aktuell'!$D339,INDIRECT(Z$5)))</f>
        <v>0</v>
      </c>
      <c r="AA339" s="593">
        <f ca="1">$E339*(-SUMIF(INDIRECT(AA$3),'Struktur Aktuell'!$D339,INDIRECT(AA$4))+SUMIF(INDIRECT(AA$3),'Struktur Aktuell'!$D339,INDIRECT(AA$5)))</f>
        <v>0</v>
      </c>
      <c r="AB339" s="593">
        <f ca="1">$E339*(-SUMIF(INDIRECT(AB$3),'Struktur Aktuell'!$D339,INDIRECT(AB$4))+SUMIF(INDIRECT(AB$3),'Struktur Aktuell'!$D339,INDIRECT(AB$5)))</f>
        <v>0</v>
      </c>
      <c r="AC339" s="593">
        <f ca="1">$E339*(-SUMIF(INDIRECT(AC$3),'Struktur Aktuell'!$D339,INDIRECT(AC$4))+SUMIF(INDIRECT(AC$3),'Struktur Aktuell'!$D339,INDIRECT(AC$5)))</f>
        <v>0</v>
      </c>
      <c r="AD339" s="593">
        <f ca="1">$E339*(-SUMIF(INDIRECT(AD$3),'Struktur Aktuell'!$D339,INDIRECT(AD$4))+SUMIF(INDIRECT(AD$3),'Struktur Aktuell'!$D339,INDIRECT(AD$5)))</f>
        <v>0</v>
      </c>
      <c r="AE339" s="593">
        <f t="shared" ca="1" si="494"/>
        <v>0</v>
      </c>
      <c r="AF339" s="593">
        <f t="shared" ca="1" si="495"/>
        <v>0</v>
      </c>
      <c r="AG339" s="593">
        <f t="shared" ca="1" si="496"/>
        <v>0</v>
      </c>
      <c r="AH339" s="593">
        <f t="shared" ca="1" si="497"/>
        <v>0</v>
      </c>
      <c r="AI339" s="593">
        <f t="shared" ca="1" si="498"/>
        <v>0</v>
      </c>
      <c r="AJ339" s="593">
        <f t="shared" ca="1" si="499"/>
        <v>0</v>
      </c>
      <c r="AK339" s="593">
        <f t="shared" ca="1" si="500"/>
        <v>0</v>
      </c>
      <c r="AL339" s="593">
        <f t="shared" ca="1" si="501"/>
        <v>0</v>
      </c>
      <c r="AM339" s="593">
        <f t="shared" ca="1" si="502"/>
        <v>0</v>
      </c>
      <c r="AN339" s="593">
        <f t="shared" ca="1" si="503"/>
        <v>0</v>
      </c>
      <c r="AO339" s="593">
        <f t="shared" ca="1" si="504"/>
        <v>0</v>
      </c>
      <c r="AP339" s="593">
        <f t="shared" ca="1" si="505"/>
        <v>0</v>
      </c>
    </row>
    <row r="340" spans="1:42" s="589" customFormat="1" x14ac:dyDescent="0.2">
      <c r="A340" s="585">
        <v>33</v>
      </c>
      <c r="B340" s="586" t="s">
        <v>1019</v>
      </c>
      <c r="C340" s="587">
        <f ca="1">SUM(G340:R340)</f>
        <v>0</v>
      </c>
      <c r="D340" s="587"/>
      <c r="E340" s="588">
        <f t="shared" si="381"/>
        <v>1</v>
      </c>
      <c r="F340" s="585"/>
      <c r="G340" s="587">
        <f t="shared" ref="G340:R340" ca="1" si="506">SUM(G341:G346)</f>
        <v>0</v>
      </c>
      <c r="H340" s="587">
        <f t="shared" ca="1" si="506"/>
        <v>0</v>
      </c>
      <c r="I340" s="587">
        <f t="shared" ca="1" si="506"/>
        <v>0</v>
      </c>
      <c r="J340" s="587">
        <f t="shared" ca="1" si="506"/>
        <v>0</v>
      </c>
      <c r="K340" s="587">
        <f t="shared" ca="1" si="506"/>
        <v>0</v>
      </c>
      <c r="L340" s="587">
        <f t="shared" ca="1" si="506"/>
        <v>0</v>
      </c>
      <c r="M340" s="587">
        <f t="shared" ca="1" si="506"/>
        <v>0</v>
      </c>
      <c r="N340" s="587">
        <f t="shared" ca="1" si="506"/>
        <v>0</v>
      </c>
      <c r="O340" s="587">
        <f t="shared" ca="1" si="506"/>
        <v>0</v>
      </c>
      <c r="P340" s="587">
        <f t="shared" ca="1" si="506"/>
        <v>0</v>
      </c>
      <c r="Q340" s="587">
        <f t="shared" ca="1" si="506"/>
        <v>0</v>
      </c>
      <c r="R340" s="587">
        <f t="shared" ca="1" si="506"/>
        <v>0</v>
      </c>
      <c r="S340" s="587">
        <f t="shared" ref="S340:AP340" ca="1" si="507">SUM(S341:S346)</f>
        <v>0</v>
      </c>
      <c r="T340" s="587">
        <f t="shared" ca="1" si="507"/>
        <v>0</v>
      </c>
      <c r="U340" s="587">
        <f t="shared" ca="1" si="507"/>
        <v>0</v>
      </c>
      <c r="V340" s="587">
        <f t="shared" ca="1" si="507"/>
        <v>0</v>
      </c>
      <c r="W340" s="587">
        <f t="shared" ca="1" si="507"/>
        <v>0</v>
      </c>
      <c r="X340" s="587">
        <f t="shared" ca="1" si="507"/>
        <v>0</v>
      </c>
      <c r="Y340" s="587">
        <f t="shared" ca="1" si="507"/>
        <v>0</v>
      </c>
      <c r="Z340" s="587">
        <f t="shared" ca="1" si="507"/>
        <v>0</v>
      </c>
      <c r="AA340" s="587">
        <f t="shared" ca="1" si="507"/>
        <v>0</v>
      </c>
      <c r="AB340" s="587">
        <f t="shared" ca="1" si="507"/>
        <v>0</v>
      </c>
      <c r="AC340" s="587">
        <f t="shared" ca="1" si="507"/>
        <v>0</v>
      </c>
      <c r="AD340" s="587">
        <f t="shared" ca="1" si="507"/>
        <v>0</v>
      </c>
      <c r="AE340" s="587">
        <f t="shared" ca="1" si="507"/>
        <v>0</v>
      </c>
      <c r="AF340" s="587">
        <f t="shared" ca="1" si="507"/>
        <v>0</v>
      </c>
      <c r="AG340" s="587">
        <f t="shared" ca="1" si="507"/>
        <v>0</v>
      </c>
      <c r="AH340" s="587">
        <f t="shared" ca="1" si="507"/>
        <v>0</v>
      </c>
      <c r="AI340" s="587">
        <f t="shared" ca="1" si="507"/>
        <v>0</v>
      </c>
      <c r="AJ340" s="587">
        <f t="shared" ca="1" si="507"/>
        <v>0</v>
      </c>
      <c r="AK340" s="587">
        <f t="shared" ca="1" si="507"/>
        <v>0</v>
      </c>
      <c r="AL340" s="587">
        <f t="shared" ca="1" si="507"/>
        <v>0</v>
      </c>
      <c r="AM340" s="587">
        <f t="shared" ca="1" si="507"/>
        <v>0</v>
      </c>
      <c r="AN340" s="587">
        <f t="shared" ca="1" si="507"/>
        <v>0</v>
      </c>
      <c r="AO340" s="587">
        <f t="shared" ca="1" si="507"/>
        <v>0</v>
      </c>
      <c r="AP340" s="587">
        <f t="shared" ca="1" si="507"/>
        <v>0</v>
      </c>
    </row>
    <row r="341" spans="1:42" s="594" customFormat="1" ht="11.25" outlineLevel="1" x14ac:dyDescent="0.2">
      <c r="A341" s="590"/>
      <c r="B341" s="591" t="str">
        <f>IF(D341&lt;&gt;"",
IF(ISERROR(MATCH(D341,'Ist Aktuell Monat 01'!A:A,0))=FALSE,INDEX('Ist Aktuell Monat 01'!B:B,MATCH(D341,'Ist Aktuell Monat 01'!A:A,0)),
IF(ISERROR(MATCH(D341,'Ist Aktuell Monat 02'!A:A,0))=FALSE,INDEX('Ist Aktuell Monat 02'!B:B,MATCH(D341,'Ist Aktuell Monat 02'!A:A,0)),
IF(ISERROR(MATCH(D341,'Ist Aktuell Monat 03'!A:A,0))=FALSE,INDEX('Ist Aktuell Monat 03'!B:B,MATCH(D341,'Ist Aktuell Monat 03'!A:A,0)),
IF(ISERROR(MATCH(D341,'Ist Aktuell Monat 04'!A:A,0))=FALSE,INDEX('Ist Aktuell Monat 04'!B:B,MATCH(D341,'Ist Aktuell Monat 04'!A:A,0)),
IF(ISERROR(MATCH(D341,'Ist Aktuell Monat 05'!A:A,0))=FALSE,INDEX('Ist Aktuell Monat 05'!B:B,MATCH(D341,'Ist Aktuell Monat 05'!A:A,0)),
IF(ISERROR(MATCH(D341,'Ist Aktuell Monat 06'!A:A,0))=FALSE,INDEX('Ist Aktuell Monat 06'!B:B,MATCH(D341,'Ist Aktuell Monat 06'!A:A,0)),
IF(ISERROR(MATCH(D341,'Ist Aktuell Monat 07'!A:A,0))=FALSE,INDEX('Ist Aktuell Monat 07'!B:B,MATCH(D341,'Ist Aktuell Monat 07'!A:A,0)),
IF(ISERROR(MATCH(D341,'Ist Aktuell Monat 08'!A:A,0))=FALSE,INDEX('Ist Aktuell Monat 08'!B:B,MATCH(D341,'Ist Aktuell Monat 08'!A:A,0)),
IF(ISERROR(MATCH(D341,'Ist Aktuell Monat 09'!A:A,0))=FALSE,INDEX('Ist Aktuell Monat 09'!B:B,MATCH(D341,'Ist Aktuell Monat 09'!A:A,0)),
IF(ISERROR(MATCH(D341,'Ist Aktuell Monat 10'!A:A,0))=FALSE,INDEX('Ist Aktuell Monat 10'!B:B,MATCH(D341,'Ist Aktuell Monat 10'!A:A,0)),
IF(ISERROR(MATCH(D341,'Ist Aktuell Monat 11'!A:A,0))=FALSE,INDEX('Ist Aktuell Monat 11'!B:B,MATCH(D341,'Ist Aktuell Monat 11'!A:A,0)),
IF(ISERROR(MATCH(D341,'Ist Aktuell Monat 12'!A:A,0))=FALSE,INDEX('Ist Aktuell Monat 12'!B:B,MATCH(D341,'Ist Aktuell Monat 12'!A:A,0)),
"{Konto unbekannt}"
)))))))))))),"")</f>
        <v/>
      </c>
      <c r="C341" s="591"/>
      <c r="D341" s="590"/>
      <c r="E341" s="592">
        <f t="shared" si="381"/>
        <v>-1</v>
      </c>
      <c r="F341" s="590" t="s">
        <v>996</v>
      </c>
      <c r="G341" s="593">
        <f ca="1">$E341*(-SUMIF(INDIRECT(G$3),'Struktur Aktuell'!$D341,INDIRECT(G$4))+SUMIF(INDIRECT(G$3),'Struktur Aktuell'!$D341,INDIRECT(G$5)))</f>
        <v>0</v>
      </c>
      <c r="H341" s="593">
        <f ca="1">$E341*(-SUMIF(INDIRECT(H$3),'Struktur Aktuell'!$D341,INDIRECT(H$4))+SUMIF(INDIRECT(H$3),'Struktur Aktuell'!$D341,INDIRECT(H$5)))</f>
        <v>0</v>
      </c>
      <c r="I341" s="593">
        <f ca="1">$E341*(-SUMIF(INDIRECT(I$3),'Struktur Aktuell'!$D341,INDIRECT(I$4))+SUMIF(INDIRECT(I$3),'Struktur Aktuell'!$D341,INDIRECT(I$5)))</f>
        <v>0</v>
      </c>
      <c r="J341" s="593">
        <f ca="1">$E341*(-SUMIF(INDIRECT(J$3),'Struktur Aktuell'!$D341,INDIRECT(J$4))+SUMIF(INDIRECT(J$3),'Struktur Aktuell'!$D341,INDIRECT(J$5)))</f>
        <v>0</v>
      </c>
      <c r="K341" s="593">
        <f ca="1">$E341*(-SUMIF(INDIRECT(K$3),'Struktur Aktuell'!$D341,INDIRECT(K$4))+SUMIF(INDIRECT(K$3),'Struktur Aktuell'!$D341,INDIRECT(K$5)))</f>
        <v>0</v>
      </c>
      <c r="L341" s="593">
        <f ca="1">$E341*(-SUMIF(INDIRECT(L$3),'Struktur Aktuell'!$D341,INDIRECT(L$4))+SUMIF(INDIRECT(L$3),'Struktur Aktuell'!$D341,INDIRECT(L$5)))</f>
        <v>0</v>
      </c>
      <c r="M341" s="593">
        <f ca="1">$E341*(-SUMIF(INDIRECT(M$3),'Struktur Aktuell'!$D341,INDIRECT(M$4))+SUMIF(INDIRECT(M$3),'Struktur Aktuell'!$D341,INDIRECT(M$5)))</f>
        <v>0</v>
      </c>
      <c r="N341" s="593">
        <f ca="1">$E341*(-SUMIF(INDIRECT(N$3),'Struktur Aktuell'!$D341,INDIRECT(N$4))+SUMIF(INDIRECT(N$3),'Struktur Aktuell'!$D341,INDIRECT(N$5)))</f>
        <v>0</v>
      </c>
      <c r="O341" s="593">
        <f ca="1">$E341*(-SUMIF(INDIRECT(O$3),'Struktur Aktuell'!$D341,INDIRECT(O$4))+SUMIF(INDIRECT(O$3),'Struktur Aktuell'!$D341,INDIRECT(O$5)))</f>
        <v>0</v>
      </c>
      <c r="P341" s="593">
        <f ca="1">$E341*(-SUMIF(INDIRECT(P$3),'Struktur Aktuell'!$D341,INDIRECT(P$4))+SUMIF(INDIRECT(P$3),'Struktur Aktuell'!$D341,INDIRECT(P$5)))</f>
        <v>0</v>
      </c>
      <c r="Q341" s="593">
        <f ca="1">$E341*(-SUMIF(INDIRECT(Q$3),'Struktur Aktuell'!$D341,INDIRECT(Q$4))+SUMIF(INDIRECT(Q$3),'Struktur Aktuell'!$D341,INDIRECT(Q$5)))</f>
        <v>0</v>
      </c>
      <c r="R341" s="593">
        <f ca="1">$E341*(-SUMIF(INDIRECT(R$3),'Struktur Aktuell'!$D341,INDIRECT(R$4))+SUMIF(INDIRECT(R$3),'Struktur Aktuell'!$D341,INDIRECT(R$5)))</f>
        <v>0</v>
      </c>
      <c r="S341" s="593">
        <f ca="1">$E341*(-SUMIF(INDIRECT(S$3),'Struktur Aktuell'!$D341,INDIRECT(S$4))+SUMIF(INDIRECT(S$3),'Struktur Aktuell'!$D341,INDIRECT(S$5)))</f>
        <v>0</v>
      </c>
      <c r="T341" s="593">
        <f ca="1">$E341*(-SUMIF(INDIRECT(T$3),'Struktur Aktuell'!$D341,INDIRECT(T$4))+SUMIF(INDIRECT(T$3),'Struktur Aktuell'!$D341,INDIRECT(T$5)))</f>
        <v>0</v>
      </c>
      <c r="U341" s="593">
        <f ca="1">$E341*(-SUMIF(INDIRECT(U$3),'Struktur Aktuell'!$D341,INDIRECT(U$4))+SUMIF(INDIRECT(U$3),'Struktur Aktuell'!$D341,INDIRECT(U$5)))</f>
        <v>0</v>
      </c>
      <c r="V341" s="593">
        <f ca="1">$E341*(-SUMIF(INDIRECT(V$3),'Struktur Aktuell'!$D341,INDIRECT(V$4))+SUMIF(INDIRECT(V$3),'Struktur Aktuell'!$D341,INDIRECT(V$5)))</f>
        <v>0</v>
      </c>
      <c r="W341" s="593">
        <f ca="1">$E341*(-SUMIF(INDIRECT(W$3),'Struktur Aktuell'!$D341,INDIRECT(W$4))+SUMIF(INDIRECT(W$3),'Struktur Aktuell'!$D341,INDIRECT(W$5)))</f>
        <v>0</v>
      </c>
      <c r="X341" s="593">
        <f ca="1">$E341*(-SUMIF(INDIRECT(X$3),'Struktur Aktuell'!$D341,INDIRECT(X$4))+SUMIF(INDIRECT(X$3),'Struktur Aktuell'!$D341,INDIRECT(X$5)))</f>
        <v>0</v>
      </c>
      <c r="Y341" s="593">
        <f ca="1">$E341*(-SUMIF(INDIRECT(Y$3),'Struktur Aktuell'!$D341,INDIRECT(Y$4))+SUMIF(INDIRECT(Y$3),'Struktur Aktuell'!$D341,INDIRECT(Y$5)))</f>
        <v>0</v>
      </c>
      <c r="Z341" s="593">
        <f ca="1">$E341*(-SUMIF(INDIRECT(Z$3),'Struktur Aktuell'!$D341,INDIRECT(Z$4))+SUMIF(INDIRECT(Z$3),'Struktur Aktuell'!$D341,INDIRECT(Z$5)))</f>
        <v>0</v>
      </c>
      <c r="AA341" s="593">
        <f ca="1">$E341*(-SUMIF(INDIRECT(AA$3),'Struktur Aktuell'!$D341,INDIRECT(AA$4))+SUMIF(INDIRECT(AA$3),'Struktur Aktuell'!$D341,INDIRECT(AA$5)))</f>
        <v>0</v>
      </c>
      <c r="AB341" s="593">
        <f ca="1">$E341*(-SUMIF(INDIRECT(AB$3),'Struktur Aktuell'!$D341,INDIRECT(AB$4))+SUMIF(INDIRECT(AB$3),'Struktur Aktuell'!$D341,INDIRECT(AB$5)))</f>
        <v>0</v>
      </c>
      <c r="AC341" s="593">
        <f ca="1">$E341*(-SUMIF(INDIRECT(AC$3),'Struktur Aktuell'!$D341,INDIRECT(AC$4))+SUMIF(INDIRECT(AC$3),'Struktur Aktuell'!$D341,INDIRECT(AC$5)))</f>
        <v>0</v>
      </c>
      <c r="AD341" s="593">
        <f ca="1">$E341*(-SUMIF(INDIRECT(AD$3),'Struktur Aktuell'!$D341,INDIRECT(AD$4))+SUMIF(INDIRECT(AD$3),'Struktur Aktuell'!$D341,INDIRECT(AD$5)))</f>
        <v>0</v>
      </c>
      <c r="AE341" s="593">
        <f t="shared" ref="AE341:AE346" ca="1" si="508">G341</f>
        <v>0</v>
      </c>
      <c r="AF341" s="593">
        <f t="shared" ref="AF341:AF346" ca="1" si="509">H341+AE341</f>
        <v>0</v>
      </c>
      <c r="AG341" s="593">
        <f t="shared" ref="AG341:AG346" ca="1" si="510">I341+AF341</f>
        <v>0</v>
      </c>
      <c r="AH341" s="593">
        <f t="shared" ref="AH341:AH346" ca="1" si="511">J341+AG341</f>
        <v>0</v>
      </c>
      <c r="AI341" s="593">
        <f t="shared" ref="AI341:AI346" ca="1" si="512">K341+AH341</f>
        <v>0</v>
      </c>
      <c r="AJ341" s="593">
        <f t="shared" ref="AJ341:AJ346" ca="1" si="513">L341+AI341</f>
        <v>0</v>
      </c>
      <c r="AK341" s="593">
        <f t="shared" ref="AK341:AK346" ca="1" si="514">M341+AJ341</f>
        <v>0</v>
      </c>
      <c r="AL341" s="593">
        <f t="shared" ref="AL341:AL346" ca="1" si="515">N341+AK341</f>
        <v>0</v>
      </c>
      <c r="AM341" s="593">
        <f t="shared" ref="AM341:AM346" ca="1" si="516">O341+AL341</f>
        <v>0</v>
      </c>
      <c r="AN341" s="593">
        <f t="shared" ref="AN341:AN346" ca="1" si="517">P341+AM341</f>
        <v>0</v>
      </c>
      <c r="AO341" s="593">
        <f t="shared" ref="AO341:AO346" ca="1" si="518">Q341+AN341</f>
        <v>0</v>
      </c>
      <c r="AP341" s="593">
        <f t="shared" ref="AP341:AP346" ca="1" si="519">R341+AO341</f>
        <v>0</v>
      </c>
    </row>
    <row r="342" spans="1:42" s="594" customFormat="1" ht="11.25" outlineLevel="1" x14ac:dyDescent="0.2">
      <c r="A342" s="590"/>
      <c r="B342" s="591" t="str">
        <f>IF(D342&lt;&gt;"",
IF(ISERROR(MATCH(D342,'Ist Aktuell Monat 01'!A:A,0))=FALSE,INDEX('Ist Aktuell Monat 01'!B:B,MATCH(D342,'Ist Aktuell Monat 01'!A:A,0)),
IF(ISERROR(MATCH(D342,'Ist Aktuell Monat 02'!A:A,0))=FALSE,INDEX('Ist Aktuell Monat 02'!B:B,MATCH(D342,'Ist Aktuell Monat 02'!A:A,0)),
IF(ISERROR(MATCH(D342,'Ist Aktuell Monat 03'!A:A,0))=FALSE,INDEX('Ist Aktuell Monat 03'!B:B,MATCH(D342,'Ist Aktuell Monat 03'!A:A,0)),
IF(ISERROR(MATCH(D342,'Ist Aktuell Monat 04'!A:A,0))=FALSE,INDEX('Ist Aktuell Monat 04'!B:B,MATCH(D342,'Ist Aktuell Monat 04'!A:A,0)),
IF(ISERROR(MATCH(D342,'Ist Aktuell Monat 05'!A:A,0))=FALSE,INDEX('Ist Aktuell Monat 05'!B:B,MATCH(D342,'Ist Aktuell Monat 05'!A:A,0)),
IF(ISERROR(MATCH(D342,'Ist Aktuell Monat 06'!A:A,0))=FALSE,INDEX('Ist Aktuell Monat 06'!B:B,MATCH(D342,'Ist Aktuell Monat 06'!A:A,0)),
IF(ISERROR(MATCH(D342,'Ist Aktuell Monat 07'!A:A,0))=FALSE,INDEX('Ist Aktuell Monat 07'!B:B,MATCH(D342,'Ist Aktuell Monat 07'!A:A,0)),
IF(ISERROR(MATCH(D342,'Ist Aktuell Monat 08'!A:A,0))=FALSE,INDEX('Ist Aktuell Monat 08'!B:B,MATCH(D342,'Ist Aktuell Monat 08'!A:A,0)),
IF(ISERROR(MATCH(D342,'Ist Aktuell Monat 09'!A:A,0))=FALSE,INDEX('Ist Aktuell Monat 09'!B:B,MATCH(D342,'Ist Aktuell Monat 09'!A:A,0)),
IF(ISERROR(MATCH(D342,'Ist Aktuell Monat 10'!A:A,0))=FALSE,INDEX('Ist Aktuell Monat 10'!B:B,MATCH(D342,'Ist Aktuell Monat 10'!A:A,0)),
IF(ISERROR(MATCH(D342,'Ist Aktuell Monat 11'!A:A,0))=FALSE,INDEX('Ist Aktuell Monat 11'!B:B,MATCH(D342,'Ist Aktuell Monat 11'!A:A,0)),
IF(ISERROR(MATCH(D342,'Ist Aktuell Monat 12'!A:A,0))=FALSE,INDEX('Ist Aktuell Monat 12'!B:B,MATCH(D342,'Ist Aktuell Monat 12'!A:A,0)),
"{Konto unbekannt}"
)))))))))))),"")</f>
        <v/>
      </c>
      <c r="C342" s="591"/>
      <c r="D342" s="590"/>
      <c r="E342" s="592">
        <f>IF(F342="-",-1,1)</f>
        <v>-1</v>
      </c>
      <c r="F342" s="590" t="s">
        <v>996</v>
      </c>
      <c r="G342" s="593">
        <f ca="1">$E342*(-SUMIF(INDIRECT(G$3),'Struktur Aktuell'!$D342,INDIRECT(G$4))+SUMIF(INDIRECT(G$3),'Struktur Aktuell'!$D342,INDIRECT(G$5)))</f>
        <v>0</v>
      </c>
      <c r="H342" s="593">
        <f ca="1">$E342*(-SUMIF(INDIRECT(H$3),'Struktur Aktuell'!$D342,INDIRECT(H$4))+SUMIF(INDIRECT(H$3),'Struktur Aktuell'!$D342,INDIRECT(H$5)))</f>
        <v>0</v>
      </c>
      <c r="I342" s="593">
        <f ca="1">$E342*(-SUMIF(INDIRECT(I$3),'Struktur Aktuell'!$D342,INDIRECT(I$4))+SUMIF(INDIRECT(I$3),'Struktur Aktuell'!$D342,INDIRECT(I$5)))</f>
        <v>0</v>
      </c>
      <c r="J342" s="593">
        <f ca="1">$E342*(-SUMIF(INDIRECT(J$3),'Struktur Aktuell'!$D342,INDIRECT(J$4))+SUMIF(INDIRECT(J$3),'Struktur Aktuell'!$D342,INDIRECT(J$5)))</f>
        <v>0</v>
      </c>
      <c r="K342" s="593">
        <f ca="1">$E342*(-SUMIF(INDIRECT(K$3),'Struktur Aktuell'!$D342,INDIRECT(K$4))+SUMIF(INDIRECT(K$3),'Struktur Aktuell'!$D342,INDIRECT(K$5)))</f>
        <v>0</v>
      </c>
      <c r="L342" s="593">
        <f ca="1">$E342*(-SUMIF(INDIRECT(L$3),'Struktur Aktuell'!$D342,INDIRECT(L$4))+SUMIF(INDIRECT(L$3),'Struktur Aktuell'!$D342,INDIRECT(L$5)))</f>
        <v>0</v>
      </c>
      <c r="M342" s="593">
        <f ca="1">$E342*(-SUMIF(INDIRECT(M$3),'Struktur Aktuell'!$D342,INDIRECT(M$4))+SUMIF(INDIRECT(M$3),'Struktur Aktuell'!$D342,INDIRECT(M$5)))</f>
        <v>0</v>
      </c>
      <c r="N342" s="593">
        <f ca="1">$E342*(-SUMIF(INDIRECT(N$3),'Struktur Aktuell'!$D342,INDIRECT(N$4))+SUMIF(INDIRECT(N$3),'Struktur Aktuell'!$D342,INDIRECT(N$5)))</f>
        <v>0</v>
      </c>
      <c r="O342" s="593">
        <f ca="1">$E342*(-SUMIF(INDIRECT(O$3),'Struktur Aktuell'!$D342,INDIRECT(O$4))+SUMIF(INDIRECT(O$3),'Struktur Aktuell'!$D342,INDIRECT(O$5)))</f>
        <v>0</v>
      </c>
      <c r="P342" s="593">
        <f ca="1">$E342*(-SUMIF(INDIRECT(P$3),'Struktur Aktuell'!$D342,INDIRECT(P$4))+SUMIF(INDIRECT(P$3),'Struktur Aktuell'!$D342,INDIRECT(P$5)))</f>
        <v>0</v>
      </c>
      <c r="Q342" s="593">
        <f ca="1">$E342*(-SUMIF(INDIRECT(Q$3),'Struktur Aktuell'!$D342,INDIRECT(Q$4))+SUMIF(INDIRECT(Q$3),'Struktur Aktuell'!$D342,INDIRECT(Q$5)))</f>
        <v>0</v>
      </c>
      <c r="R342" s="593">
        <f ca="1">$E342*(-SUMIF(INDIRECT(R$3),'Struktur Aktuell'!$D342,INDIRECT(R$4))+SUMIF(INDIRECT(R$3),'Struktur Aktuell'!$D342,INDIRECT(R$5)))</f>
        <v>0</v>
      </c>
      <c r="S342" s="593">
        <f ca="1">$E342*(-SUMIF(INDIRECT(S$3),'Struktur Aktuell'!$D342,INDIRECT(S$4))+SUMIF(INDIRECT(S$3),'Struktur Aktuell'!$D342,INDIRECT(S$5)))</f>
        <v>0</v>
      </c>
      <c r="T342" s="593">
        <f ca="1">$E342*(-SUMIF(INDIRECT(T$3),'Struktur Aktuell'!$D342,INDIRECT(T$4))+SUMIF(INDIRECT(T$3),'Struktur Aktuell'!$D342,INDIRECT(T$5)))</f>
        <v>0</v>
      </c>
      <c r="U342" s="593">
        <f ca="1">$E342*(-SUMIF(INDIRECT(U$3),'Struktur Aktuell'!$D342,INDIRECT(U$4))+SUMIF(INDIRECT(U$3),'Struktur Aktuell'!$D342,INDIRECT(U$5)))</f>
        <v>0</v>
      </c>
      <c r="V342" s="593">
        <f ca="1">$E342*(-SUMIF(INDIRECT(V$3),'Struktur Aktuell'!$D342,INDIRECT(V$4))+SUMIF(INDIRECT(V$3),'Struktur Aktuell'!$D342,INDIRECT(V$5)))</f>
        <v>0</v>
      </c>
      <c r="W342" s="593">
        <f ca="1">$E342*(-SUMIF(INDIRECT(W$3),'Struktur Aktuell'!$D342,INDIRECT(W$4))+SUMIF(INDIRECT(W$3),'Struktur Aktuell'!$D342,INDIRECT(W$5)))</f>
        <v>0</v>
      </c>
      <c r="X342" s="593">
        <f ca="1">$E342*(-SUMIF(INDIRECT(X$3),'Struktur Aktuell'!$D342,INDIRECT(X$4))+SUMIF(INDIRECT(X$3),'Struktur Aktuell'!$D342,INDIRECT(X$5)))</f>
        <v>0</v>
      </c>
      <c r="Y342" s="593">
        <f ca="1">$E342*(-SUMIF(INDIRECT(Y$3),'Struktur Aktuell'!$D342,INDIRECT(Y$4))+SUMIF(INDIRECT(Y$3),'Struktur Aktuell'!$D342,INDIRECT(Y$5)))</f>
        <v>0</v>
      </c>
      <c r="Z342" s="593">
        <f ca="1">$E342*(-SUMIF(INDIRECT(Z$3),'Struktur Aktuell'!$D342,INDIRECT(Z$4))+SUMIF(INDIRECT(Z$3),'Struktur Aktuell'!$D342,INDIRECT(Z$5)))</f>
        <v>0</v>
      </c>
      <c r="AA342" s="593">
        <f ca="1">$E342*(-SUMIF(INDIRECT(AA$3),'Struktur Aktuell'!$D342,INDIRECT(AA$4))+SUMIF(INDIRECT(AA$3),'Struktur Aktuell'!$D342,INDIRECT(AA$5)))</f>
        <v>0</v>
      </c>
      <c r="AB342" s="593">
        <f ca="1">$E342*(-SUMIF(INDIRECT(AB$3),'Struktur Aktuell'!$D342,INDIRECT(AB$4))+SUMIF(INDIRECT(AB$3),'Struktur Aktuell'!$D342,INDIRECT(AB$5)))</f>
        <v>0</v>
      </c>
      <c r="AC342" s="593">
        <f ca="1">$E342*(-SUMIF(INDIRECT(AC$3),'Struktur Aktuell'!$D342,INDIRECT(AC$4))+SUMIF(INDIRECT(AC$3),'Struktur Aktuell'!$D342,INDIRECT(AC$5)))</f>
        <v>0</v>
      </c>
      <c r="AD342" s="593">
        <f ca="1">$E342*(-SUMIF(INDIRECT(AD$3),'Struktur Aktuell'!$D342,INDIRECT(AD$4))+SUMIF(INDIRECT(AD$3),'Struktur Aktuell'!$D342,INDIRECT(AD$5)))</f>
        <v>0</v>
      </c>
      <c r="AE342" s="593">
        <f t="shared" ca="1" si="508"/>
        <v>0</v>
      </c>
      <c r="AF342" s="593">
        <f t="shared" ca="1" si="509"/>
        <v>0</v>
      </c>
      <c r="AG342" s="593">
        <f t="shared" ca="1" si="510"/>
        <v>0</v>
      </c>
      <c r="AH342" s="593">
        <f t="shared" ca="1" si="511"/>
        <v>0</v>
      </c>
      <c r="AI342" s="593">
        <f t="shared" ca="1" si="512"/>
        <v>0</v>
      </c>
      <c r="AJ342" s="593">
        <f t="shared" ca="1" si="513"/>
        <v>0</v>
      </c>
      <c r="AK342" s="593">
        <f t="shared" ca="1" si="514"/>
        <v>0</v>
      </c>
      <c r="AL342" s="593">
        <f t="shared" ca="1" si="515"/>
        <v>0</v>
      </c>
      <c r="AM342" s="593">
        <f t="shared" ca="1" si="516"/>
        <v>0</v>
      </c>
      <c r="AN342" s="593">
        <f t="shared" ca="1" si="517"/>
        <v>0</v>
      </c>
      <c r="AO342" s="593">
        <f t="shared" ca="1" si="518"/>
        <v>0</v>
      </c>
      <c r="AP342" s="593">
        <f t="shared" ca="1" si="519"/>
        <v>0</v>
      </c>
    </row>
    <row r="343" spans="1:42" s="594" customFormat="1" ht="11.25" outlineLevel="1" x14ac:dyDescent="0.2">
      <c r="A343" s="590"/>
      <c r="B343" s="591" t="str">
        <f>IF(D343&lt;&gt;"",
IF(ISERROR(MATCH(D343,'Ist Aktuell Monat 01'!A:A,0))=FALSE,INDEX('Ist Aktuell Monat 01'!B:B,MATCH(D343,'Ist Aktuell Monat 01'!A:A,0)),
IF(ISERROR(MATCH(D343,'Ist Aktuell Monat 02'!A:A,0))=FALSE,INDEX('Ist Aktuell Monat 02'!B:B,MATCH(D343,'Ist Aktuell Monat 02'!A:A,0)),
IF(ISERROR(MATCH(D343,'Ist Aktuell Monat 03'!A:A,0))=FALSE,INDEX('Ist Aktuell Monat 03'!B:B,MATCH(D343,'Ist Aktuell Monat 03'!A:A,0)),
IF(ISERROR(MATCH(D343,'Ist Aktuell Monat 04'!A:A,0))=FALSE,INDEX('Ist Aktuell Monat 04'!B:B,MATCH(D343,'Ist Aktuell Monat 04'!A:A,0)),
IF(ISERROR(MATCH(D343,'Ist Aktuell Monat 05'!A:A,0))=FALSE,INDEX('Ist Aktuell Monat 05'!B:B,MATCH(D343,'Ist Aktuell Monat 05'!A:A,0)),
IF(ISERROR(MATCH(D343,'Ist Aktuell Monat 06'!A:A,0))=FALSE,INDEX('Ist Aktuell Monat 06'!B:B,MATCH(D343,'Ist Aktuell Monat 06'!A:A,0)),
IF(ISERROR(MATCH(D343,'Ist Aktuell Monat 07'!A:A,0))=FALSE,INDEX('Ist Aktuell Monat 07'!B:B,MATCH(D343,'Ist Aktuell Monat 07'!A:A,0)),
IF(ISERROR(MATCH(D343,'Ist Aktuell Monat 08'!A:A,0))=FALSE,INDEX('Ist Aktuell Monat 08'!B:B,MATCH(D343,'Ist Aktuell Monat 08'!A:A,0)),
IF(ISERROR(MATCH(D343,'Ist Aktuell Monat 09'!A:A,0))=FALSE,INDEX('Ist Aktuell Monat 09'!B:B,MATCH(D343,'Ist Aktuell Monat 09'!A:A,0)),
IF(ISERROR(MATCH(D343,'Ist Aktuell Monat 10'!A:A,0))=FALSE,INDEX('Ist Aktuell Monat 10'!B:B,MATCH(D343,'Ist Aktuell Monat 10'!A:A,0)),
IF(ISERROR(MATCH(D343,'Ist Aktuell Monat 11'!A:A,0))=FALSE,INDEX('Ist Aktuell Monat 11'!B:B,MATCH(D343,'Ist Aktuell Monat 11'!A:A,0)),
IF(ISERROR(MATCH(D343,'Ist Aktuell Monat 12'!A:A,0))=FALSE,INDEX('Ist Aktuell Monat 12'!B:B,MATCH(D343,'Ist Aktuell Monat 12'!A:A,0)),
"{Konto unbekannt}"
)))))))))))),"")</f>
        <v/>
      </c>
      <c r="C343" s="591"/>
      <c r="D343" s="590"/>
      <c r="E343" s="592">
        <f>IF(F343="-",-1,1)</f>
        <v>-1</v>
      </c>
      <c r="F343" s="590" t="s">
        <v>996</v>
      </c>
      <c r="G343" s="593">
        <f ca="1">$E343*(-SUMIF(INDIRECT(G$3),'Struktur Aktuell'!$D343,INDIRECT(G$4))+SUMIF(INDIRECT(G$3),'Struktur Aktuell'!$D343,INDIRECT(G$5)))</f>
        <v>0</v>
      </c>
      <c r="H343" s="593">
        <f ca="1">$E343*(-SUMIF(INDIRECT(H$3),'Struktur Aktuell'!$D343,INDIRECT(H$4))+SUMIF(INDIRECT(H$3),'Struktur Aktuell'!$D343,INDIRECT(H$5)))</f>
        <v>0</v>
      </c>
      <c r="I343" s="593">
        <f ca="1">$E343*(-SUMIF(INDIRECT(I$3),'Struktur Aktuell'!$D343,INDIRECT(I$4))+SUMIF(INDIRECT(I$3),'Struktur Aktuell'!$D343,INDIRECT(I$5)))</f>
        <v>0</v>
      </c>
      <c r="J343" s="593">
        <f ca="1">$E343*(-SUMIF(INDIRECT(J$3),'Struktur Aktuell'!$D343,INDIRECT(J$4))+SUMIF(INDIRECT(J$3),'Struktur Aktuell'!$D343,INDIRECT(J$5)))</f>
        <v>0</v>
      </c>
      <c r="K343" s="593">
        <f ca="1">$E343*(-SUMIF(INDIRECT(K$3),'Struktur Aktuell'!$D343,INDIRECT(K$4))+SUMIF(INDIRECT(K$3),'Struktur Aktuell'!$D343,INDIRECT(K$5)))</f>
        <v>0</v>
      </c>
      <c r="L343" s="593">
        <f ca="1">$E343*(-SUMIF(INDIRECT(L$3),'Struktur Aktuell'!$D343,INDIRECT(L$4))+SUMIF(INDIRECT(L$3),'Struktur Aktuell'!$D343,INDIRECT(L$5)))</f>
        <v>0</v>
      </c>
      <c r="M343" s="593">
        <f ca="1">$E343*(-SUMIF(INDIRECT(M$3),'Struktur Aktuell'!$D343,INDIRECT(M$4))+SUMIF(INDIRECT(M$3),'Struktur Aktuell'!$D343,INDIRECT(M$5)))</f>
        <v>0</v>
      </c>
      <c r="N343" s="593">
        <f ca="1">$E343*(-SUMIF(INDIRECT(N$3),'Struktur Aktuell'!$D343,INDIRECT(N$4))+SUMIF(INDIRECT(N$3),'Struktur Aktuell'!$D343,INDIRECT(N$5)))</f>
        <v>0</v>
      </c>
      <c r="O343" s="593">
        <f ca="1">$E343*(-SUMIF(INDIRECT(O$3),'Struktur Aktuell'!$D343,INDIRECT(O$4))+SUMIF(INDIRECT(O$3),'Struktur Aktuell'!$D343,INDIRECT(O$5)))</f>
        <v>0</v>
      </c>
      <c r="P343" s="593">
        <f ca="1">$E343*(-SUMIF(INDIRECT(P$3),'Struktur Aktuell'!$D343,INDIRECT(P$4))+SUMIF(INDIRECT(P$3),'Struktur Aktuell'!$D343,INDIRECT(P$5)))</f>
        <v>0</v>
      </c>
      <c r="Q343" s="593">
        <f ca="1">$E343*(-SUMIF(INDIRECT(Q$3),'Struktur Aktuell'!$D343,INDIRECT(Q$4))+SUMIF(INDIRECT(Q$3),'Struktur Aktuell'!$D343,INDIRECT(Q$5)))</f>
        <v>0</v>
      </c>
      <c r="R343" s="593">
        <f ca="1">$E343*(-SUMIF(INDIRECT(R$3),'Struktur Aktuell'!$D343,INDIRECT(R$4))+SUMIF(INDIRECT(R$3),'Struktur Aktuell'!$D343,INDIRECT(R$5)))</f>
        <v>0</v>
      </c>
      <c r="S343" s="593">
        <f ca="1">$E343*(-SUMIF(INDIRECT(S$3),'Struktur Aktuell'!$D343,INDIRECT(S$4))+SUMIF(INDIRECT(S$3),'Struktur Aktuell'!$D343,INDIRECT(S$5)))</f>
        <v>0</v>
      </c>
      <c r="T343" s="593">
        <f ca="1">$E343*(-SUMIF(INDIRECT(T$3),'Struktur Aktuell'!$D343,INDIRECT(T$4))+SUMIF(INDIRECT(T$3),'Struktur Aktuell'!$D343,INDIRECT(T$5)))</f>
        <v>0</v>
      </c>
      <c r="U343" s="593">
        <f ca="1">$E343*(-SUMIF(INDIRECT(U$3),'Struktur Aktuell'!$D343,INDIRECT(U$4))+SUMIF(INDIRECT(U$3),'Struktur Aktuell'!$D343,INDIRECT(U$5)))</f>
        <v>0</v>
      </c>
      <c r="V343" s="593">
        <f ca="1">$E343*(-SUMIF(INDIRECT(V$3),'Struktur Aktuell'!$D343,INDIRECT(V$4))+SUMIF(INDIRECT(V$3),'Struktur Aktuell'!$D343,INDIRECT(V$5)))</f>
        <v>0</v>
      </c>
      <c r="W343" s="593">
        <f ca="1">$E343*(-SUMIF(INDIRECT(W$3),'Struktur Aktuell'!$D343,INDIRECT(W$4))+SUMIF(INDIRECT(W$3),'Struktur Aktuell'!$D343,INDIRECT(W$5)))</f>
        <v>0</v>
      </c>
      <c r="X343" s="593">
        <f ca="1">$E343*(-SUMIF(INDIRECT(X$3),'Struktur Aktuell'!$D343,INDIRECT(X$4))+SUMIF(INDIRECT(X$3),'Struktur Aktuell'!$D343,INDIRECT(X$5)))</f>
        <v>0</v>
      </c>
      <c r="Y343" s="593">
        <f ca="1">$E343*(-SUMIF(INDIRECT(Y$3),'Struktur Aktuell'!$D343,INDIRECT(Y$4))+SUMIF(INDIRECT(Y$3),'Struktur Aktuell'!$D343,INDIRECT(Y$5)))</f>
        <v>0</v>
      </c>
      <c r="Z343" s="593">
        <f ca="1">$E343*(-SUMIF(INDIRECT(Z$3),'Struktur Aktuell'!$D343,INDIRECT(Z$4))+SUMIF(INDIRECT(Z$3),'Struktur Aktuell'!$D343,INDIRECT(Z$5)))</f>
        <v>0</v>
      </c>
      <c r="AA343" s="593">
        <f ca="1">$E343*(-SUMIF(INDIRECT(AA$3),'Struktur Aktuell'!$D343,INDIRECT(AA$4))+SUMIF(INDIRECT(AA$3),'Struktur Aktuell'!$D343,INDIRECT(AA$5)))</f>
        <v>0</v>
      </c>
      <c r="AB343" s="593">
        <f ca="1">$E343*(-SUMIF(INDIRECT(AB$3),'Struktur Aktuell'!$D343,INDIRECT(AB$4))+SUMIF(INDIRECT(AB$3),'Struktur Aktuell'!$D343,INDIRECT(AB$5)))</f>
        <v>0</v>
      </c>
      <c r="AC343" s="593">
        <f ca="1">$E343*(-SUMIF(INDIRECT(AC$3),'Struktur Aktuell'!$D343,INDIRECT(AC$4))+SUMIF(INDIRECT(AC$3),'Struktur Aktuell'!$D343,INDIRECT(AC$5)))</f>
        <v>0</v>
      </c>
      <c r="AD343" s="593">
        <f ca="1">$E343*(-SUMIF(INDIRECT(AD$3),'Struktur Aktuell'!$D343,INDIRECT(AD$4))+SUMIF(INDIRECT(AD$3),'Struktur Aktuell'!$D343,INDIRECT(AD$5)))</f>
        <v>0</v>
      </c>
      <c r="AE343" s="593">
        <f t="shared" ca="1" si="508"/>
        <v>0</v>
      </c>
      <c r="AF343" s="593">
        <f t="shared" ca="1" si="509"/>
        <v>0</v>
      </c>
      <c r="AG343" s="593">
        <f t="shared" ca="1" si="510"/>
        <v>0</v>
      </c>
      <c r="AH343" s="593">
        <f t="shared" ca="1" si="511"/>
        <v>0</v>
      </c>
      <c r="AI343" s="593">
        <f t="shared" ca="1" si="512"/>
        <v>0</v>
      </c>
      <c r="AJ343" s="593">
        <f t="shared" ca="1" si="513"/>
        <v>0</v>
      </c>
      <c r="AK343" s="593">
        <f t="shared" ca="1" si="514"/>
        <v>0</v>
      </c>
      <c r="AL343" s="593">
        <f t="shared" ca="1" si="515"/>
        <v>0</v>
      </c>
      <c r="AM343" s="593">
        <f t="shared" ca="1" si="516"/>
        <v>0</v>
      </c>
      <c r="AN343" s="593">
        <f t="shared" ca="1" si="517"/>
        <v>0</v>
      </c>
      <c r="AO343" s="593">
        <f t="shared" ca="1" si="518"/>
        <v>0</v>
      </c>
      <c r="AP343" s="593">
        <f t="shared" ca="1" si="519"/>
        <v>0</v>
      </c>
    </row>
    <row r="344" spans="1:42" s="594" customFormat="1" ht="11.25" outlineLevel="1" x14ac:dyDescent="0.2">
      <c r="A344" s="590"/>
      <c r="B344" s="591" t="str">
        <f>IF(D344&lt;&gt;"",
IF(ISERROR(MATCH(D344,'Ist Aktuell Monat 01'!A:A,0))=FALSE,INDEX('Ist Aktuell Monat 01'!B:B,MATCH(D344,'Ist Aktuell Monat 01'!A:A,0)),
IF(ISERROR(MATCH(D344,'Ist Aktuell Monat 02'!A:A,0))=FALSE,INDEX('Ist Aktuell Monat 02'!B:B,MATCH(D344,'Ist Aktuell Monat 02'!A:A,0)),
IF(ISERROR(MATCH(D344,'Ist Aktuell Monat 03'!A:A,0))=FALSE,INDEX('Ist Aktuell Monat 03'!B:B,MATCH(D344,'Ist Aktuell Monat 03'!A:A,0)),
IF(ISERROR(MATCH(D344,'Ist Aktuell Monat 04'!A:A,0))=FALSE,INDEX('Ist Aktuell Monat 04'!B:B,MATCH(D344,'Ist Aktuell Monat 04'!A:A,0)),
IF(ISERROR(MATCH(D344,'Ist Aktuell Monat 05'!A:A,0))=FALSE,INDEX('Ist Aktuell Monat 05'!B:B,MATCH(D344,'Ist Aktuell Monat 05'!A:A,0)),
IF(ISERROR(MATCH(D344,'Ist Aktuell Monat 06'!A:A,0))=FALSE,INDEX('Ist Aktuell Monat 06'!B:B,MATCH(D344,'Ist Aktuell Monat 06'!A:A,0)),
IF(ISERROR(MATCH(D344,'Ist Aktuell Monat 07'!A:A,0))=FALSE,INDEX('Ist Aktuell Monat 07'!B:B,MATCH(D344,'Ist Aktuell Monat 07'!A:A,0)),
IF(ISERROR(MATCH(D344,'Ist Aktuell Monat 08'!A:A,0))=FALSE,INDEX('Ist Aktuell Monat 08'!B:B,MATCH(D344,'Ist Aktuell Monat 08'!A:A,0)),
IF(ISERROR(MATCH(D344,'Ist Aktuell Monat 09'!A:A,0))=FALSE,INDEX('Ist Aktuell Monat 09'!B:B,MATCH(D344,'Ist Aktuell Monat 09'!A:A,0)),
IF(ISERROR(MATCH(D344,'Ist Aktuell Monat 10'!A:A,0))=FALSE,INDEX('Ist Aktuell Monat 10'!B:B,MATCH(D344,'Ist Aktuell Monat 10'!A:A,0)),
IF(ISERROR(MATCH(D344,'Ist Aktuell Monat 11'!A:A,0))=FALSE,INDEX('Ist Aktuell Monat 11'!B:B,MATCH(D344,'Ist Aktuell Monat 11'!A:A,0)),
IF(ISERROR(MATCH(D344,'Ist Aktuell Monat 12'!A:A,0))=FALSE,INDEX('Ist Aktuell Monat 12'!B:B,MATCH(D344,'Ist Aktuell Monat 12'!A:A,0)),
"{Konto unbekannt}"
)))))))))))),"")</f>
        <v/>
      </c>
      <c r="C344" s="591"/>
      <c r="D344" s="590"/>
      <c r="E344" s="592">
        <f t="shared" ref="E344:E348" si="520">IF(F344="-",-1,1)</f>
        <v>-1</v>
      </c>
      <c r="F344" s="590" t="s">
        <v>996</v>
      </c>
      <c r="G344" s="593">
        <f ca="1">$E344*(-SUMIF(INDIRECT(G$3),'Struktur Aktuell'!$D344,INDIRECT(G$4))+SUMIF(INDIRECT(G$3),'Struktur Aktuell'!$D344,INDIRECT(G$5)))</f>
        <v>0</v>
      </c>
      <c r="H344" s="593">
        <f ca="1">$E344*(-SUMIF(INDIRECT(H$3),'Struktur Aktuell'!$D344,INDIRECT(H$4))+SUMIF(INDIRECT(H$3),'Struktur Aktuell'!$D344,INDIRECT(H$5)))</f>
        <v>0</v>
      </c>
      <c r="I344" s="593">
        <f ca="1">$E344*(-SUMIF(INDIRECT(I$3),'Struktur Aktuell'!$D344,INDIRECT(I$4))+SUMIF(INDIRECT(I$3),'Struktur Aktuell'!$D344,INDIRECT(I$5)))</f>
        <v>0</v>
      </c>
      <c r="J344" s="593">
        <f ca="1">$E344*(-SUMIF(INDIRECT(J$3),'Struktur Aktuell'!$D344,INDIRECT(J$4))+SUMIF(INDIRECT(J$3),'Struktur Aktuell'!$D344,INDIRECT(J$5)))</f>
        <v>0</v>
      </c>
      <c r="K344" s="593">
        <f ca="1">$E344*(-SUMIF(INDIRECT(K$3),'Struktur Aktuell'!$D344,INDIRECT(K$4))+SUMIF(INDIRECT(K$3),'Struktur Aktuell'!$D344,INDIRECT(K$5)))</f>
        <v>0</v>
      </c>
      <c r="L344" s="593">
        <f ca="1">$E344*(-SUMIF(INDIRECT(L$3),'Struktur Aktuell'!$D344,INDIRECT(L$4))+SUMIF(INDIRECT(L$3),'Struktur Aktuell'!$D344,INDIRECT(L$5)))</f>
        <v>0</v>
      </c>
      <c r="M344" s="593">
        <f ca="1">$E344*(-SUMIF(INDIRECT(M$3),'Struktur Aktuell'!$D344,INDIRECT(M$4))+SUMIF(INDIRECT(M$3),'Struktur Aktuell'!$D344,INDIRECT(M$5)))</f>
        <v>0</v>
      </c>
      <c r="N344" s="593">
        <f ca="1">$E344*(-SUMIF(INDIRECT(N$3),'Struktur Aktuell'!$D344,INDIRECT(N$4))+SUMIF(INDIRECT(N$3),'Struktur Aktuell'!$D344,INDIRECT(N$5)))</f>
        <v>0</v>
      </c>
      <c r="O344" s="593">
        <f ca="1">$E344*(-SUMIF(INDIRECT(O$3),'Struktur Aktuell'!$D344,INDIRECT(O$4))+SUMIF(INDIRECT(O$3),'Struktur Aktuell'!$D344,INDIRECT(O$5)))</f>
        <v>0</v>
      </c>
      <c r="P344" s="593">
        <f ca="1">$E344*(-SUMIF(INDIRECT(P$3),'Struktur Aktuell'!$D344,INDIRECT(P$4))+SUMIF(INDIRECT(P$3),'Struktur Aktuell'!$D344,INDIRECT(P$5)))</f>
        <v>0</v>
      </c>
      <c r="Q344" s="593">
        <f ca="1">$E344*(-SUMIF(INDIRECT(Q$3),'Struktur Aktuell'!$D344,INDIRECT(Q$4))+SUMIF(INDIRECT(Q$3),'Struktur Aktuell'!$D344,INDIRECT(Q$5)))</f>
        <v>0</v>
      </c>
      <c r="R344" s="593">
        <f ca="1">$E344*(-SUMIF(INDIRECT(R$3),'Struktur Aktuell'!$D344,INDIRECT(R$4))+SUMIF(INDIRECT(R$3),'Struktur Aktuell'!$D344,INDIRECT(R$5)))</f>
        <v>0</v>
      </c>
      <c r="S344" s="593">
        <f ca="1">$E344*(-SUMIF(INDIRECT(S$3),'Struktur Aktuell'!$D344,INDIRECT(S$4))+SUMIF(INDIRECT(S$3),'Struktur Aktuell'!$D344,INDIRECT(S$5)))</f>
        <v>0</v>
      </c>
      <c r="T344" s="593">
        <f ca="1">$E344*(-SUMIF(INDIRECT(T$3),'Struktur Aktuell'!$D344,INDIRECT(T$4))+SUMIF(INDIRECT(T$3),'Struktur Aktuell'!$D344,INDIRECT(T$5)))</f>
        <v>0</v>
      </c>
      <c r="U344" s="593">
        <f ca="1">$E344*(-SUMIF(INDIRECT(U$3),'Struktur Aktuell'!$D344,INDIRECT(U$4))+SUMIF(INDIRECT(U$3),'Struktur Aktuell'!$D344,INDIRECT(U$5)))</f>
        <v>0</v>
      </c>
      <c r="V344" s="593">
        <f ca="1">$E344*(-SUMIF(INDIRECT(V$3),'Struktur Aktuell'!$D344,INDIRECT(V$4))+SUMIF(INDIRECT(V$3),'Struktur Aktuell'!$D344,INDIRECT(V$5)))</f>
        <v>0</v>
      </c>
      <c r="W344" s="593">
        <f ca="1">$E344*(-SUMIF(INDIRECT(W$3),'Struktur Aktuell'!$D344,INDIRECT(W$4))+SUMIF(INDIRECT(W$3),'Struktur Aktuell'!$D344,INDIRECT(W$5)))</f>
        <v>0</v>
      </c>
      <c r="X344" s="593">
        <f ca="1">$E344*(-SUMIF(INDIRECT(X$3),'Struktur Aktuell'!$D344,INDIRECT(X$4))+SUMIF(INDIRECT(X$3),'Struktur Aktuell'!$D344,INDIRECT(X$5)))</f>
        <v>0</v>
      </c>
      <c r="Y344" s="593">
        <f ca="1">$E344*(-SUMIF(INDIRECT(Y$3),'Struktur Aktuell'!$D344,INDIRECT(Y$4))+SUMIF(INDIRECT(Y$3),'Struktur Aktuell'!$D344,INDIRECT(Y$5)))</f>
        <v>0</v>
      </c>
      <c r="Z344" s="593">
        <f ca="1">$E344*(-SUMIF(INDIRECT(Z$3),'Struktur Aktuell'!$D344,INDIRECT(Z$4))+SUMIF(INDIRECT(Z$3),'Struktur Aktuell'!$D344,INDIRECT(Z$5)))</f>
        <v>0</v>
      </c>
      <c r="AA344" s="593">
        <f ca="1">$E344*(-SUMIF(INDIRECT(AA$3),'Struktur Aktuell'!$D344,INDIRECT(AA$4))+SUMIF(INDIRECT(AA$3),'Struktur Aktuell'!$D344,INDIRECT(AA$5)))</f>
        <v>0</v>
      </c>
      <c r="AB344" s="593">
        <f ca="1">$E344*(-SUMIF(INDIRECT(AB$3),'Struktur Aktuell'!$D344,INDIRECT(AB$4))+SUMIF(INDIRECT(AB$3),'Struktur Aktuell'!$D344,INDIRECT(AB$5)))</f>
        <v>0</v>
      </c>
      <c r="AC344" s="593">
        <f ca="1">$E344*(-SUMIF(INDIRECT(AC$3),'Struktur Aktuell'!$D344,INDIRECT(AC$4))+SUMIF(INDIRECT(AC$3),'Struktur Aktuell'!$D344,INDIRECT(AC$5)))</f>
        <v>0</v>
      </c>
      <c r="AD344" s="593">
        <f ca="1">$E344*(-SUMIF(INDIRECT(AD$3),'Struktur Aktuell'!$D344,INDIRECT(AD$4))+SUMIF(INDIRECT(AD$3),'Struktur Aktuell'!$D344,INDIRECT(AD$5)))</f>
        <v>0</v>
      </c>
      <c r="AE344" s="593">
        <f t="shared" ca="1" si="508"/>
        <v>0</v>
      </c>
      <c r="AF344" s="593">
        <f t="shared" ca="1" si="509"/>
        <v>0</v>
      </c>
      <c r="AG344" s="593">
        <f t="shared" ca="1" si="510"/>
        <v>0</v>
      </c>
      <c r="AH344" s="593">
        <f t="shared" ca="1" si="511"/>
        <v>0</v>
      </c>
      <c r="AI344" s="593">
        <f t="shared" ca="1" si="512"/>
        <v>0</v>
      </c>
      <c r="AJ344" s="593">
        <f t="shared" ca="1" si="513"/>
        <v>0</v>
      </c>
      <c r="AK344" s="593">
        <f t="shared" ca="1" si="514"/>
        <v>0</v>
      </c>
      <c r="AL344" s="593">
        <f t="shared" ca="1" si="515"/>
        <v>0</v>
      </c>
      <c r="AM344" s="593">
        <f t="shared" ca="1" si="516"/>
        <v>0</v>
      </c>
      <c r="AN344" s="593">
        <f t="shared" ca="1" si="517"/>
        <v>0</v>
      </c>
      <c r="AO344" s="593">
        <f t="shared" ca="1" si="518"/>
        <v>0</v>
      </c>
      <c r="AP344" s="593">
        <f t="shared" ca="1" si="519"/>
        <v>0</v>
      </c>
    </row>
    <row r="345" spans="1:42" s="594" customFormat="1" ht="11.25" outlineLevel="1" x14ac:dyDescent="0.2">
      <c r="A345" s="590"/>
      <c r="B345" s="591" t="str">
        <f>IF(D345&lt;&gt;"",
IF(ISERROR(MATCH(D345,'Ist Aktuell Monat 01'!A:A,0))=FALSE,INDEX('Ist Aktuell Monat 01'!B:B,MATCH(D345,'Ist Aktuell Monat 01'!A:A,0)),
IF(ISERROR(MATCH(D345,'Ist Aktuell Monat 02'!A:A,0))=FALSE,INDEX('Ist Aktuell Monat 02'!B:B,MATCH(D345,'Ist Aktuell Monat 02'!A:A,0)),
IF(ISERROR(MATCH(D345,'Ist Aktuell Monat 03'!A:A,0))=FALSE,INDEX('Ist Aktuell Monat 03'!B:B,MATCH(D345,'Ist Aktuell Monat 03'!A:A,0)),
IF(ISERROR(MATCH(D345,'Ist Aktuell Monat 04'!A:A,0))=FALSE,INDEX('Ist Aktuell Monat 04'!B:B,MATCH(D345,'Ist Aktuell Monat 04'!A:A,0)),
IF(ISERROR(MATCH(D345,'Ist Aktuell Monat 05'!A:A,0))=FALSE,INDEX('Ist Aktuell Monat 05'!B:B,MATCH(D345,'Ist Aktuell Monat 05'!A:A,0)),
IF(ISERROR(MATCH(D345,'Ist Aktuell Monat 06'!A:A,0))=FALSE,INDEX('Ist Aktuell Monat 06'!B:B,MATCH(D345,'Ist Aktuell Monat 06'!A:A,0)),
IF(ISERROR(MATCH(D345,'Ist Aktuell Monat 07'!A:A,0))=FALSE,INDEX('Ist Aktuell Monat 07'!B:B,MATCH(D345,'Ist Aktuell Monat 07'!A:A,0)),
IF(ISERROR(MATCH(D345,'Ist Aktuell Monat 08'!A:A,0))=FALSE,INDEX('Ist Aktuell Monat 08'!B:B,MATCH(D345,'Ist Aktuell Monat 08'!A:A,0)),
IF(ISERROR(MATCH(D345,'Ist Aktuell Monat 09'!A:A,0))=FALSE,INDEX('Ist Aktuell Monat 09'!B:B,MATCH(D345,'Ist Aktuell Monat 09'!A:A,0)),
IF(ISERROR(MATCH(D345,'Ist Aktuell Monat 10'!A:A,0))=FALSE,INDEX('Ist Aktuell Monat 10'!B:B,MATCH(D345,'Ist Aktuell Monat 10'!A:A,0)),
IF(ISERROR(MATCH(D345,'Ist Aktuell Monat 11'!A:A,0))=FALSE,INDEX('Ist Aktuell Monat 11'!B:B,MATCH(D345,'Ist Aktuell Monat 11'!A:A,0)),
IF(ISERROR(MATCH(D345,'Ist Aktuell Monat 12'!A:A,0))=FALSE,INDEX('Ist Aktuell Monat 12'!B:B,MATCH(D345,'Ist Aktuell Monat 12'!A:A,0)),
"{Konto unbekannt}"
)))))))))))),"")</f>
        <v/>
      </c>
      <c r="C345" s="591"/>
      <c r="D345" s="590"/>
      <c r="E345" s="592">
        <f t="shared" si="520"/>
        <v>-1</v>
      </c>
      <c r="F345" s="590" t="s">
        <v>996</v>
      </c>
      <c r="G345" s="593">
        <f ca="1">$E345*(-SUMIF(INDIRECT(G$3),'Struktur Aktuell'!$D345,INDIRECT(G$4))+SUMIF(INDIRECT(G$3),'Struktur Aktuell'!$D345,INDIRECT(G$5)))</f>
        <v>0</v>
      </c>
      <c r="H345" s="593">
        <f ca="1">$E345*(-SUMIF(INDIRECT(H$3),'Struktur Aktuell'!$D345,INDIRECT(H$4))+SUMIF(INDIRECT(H$3),'Struktur Aktuell'!$D345,INDIRECT(H$5)))</f>
        <v>0</v>
      </c>
      <c r="I345" s="593">
        <f ca="1">$E345*(-SUMIF(INDIRECT(I$3),'Struktur Aktuell'!$D345,INDIRECT(I$4))+SUMIF(INDIRECT(I$3),'Struktur Aktuell'!$D345,INDIRECT(I$5)))</f>
        <v>0</v>
      </c>
      <c r="J345" s="593">
        <f ca="1">$E345*(-SUMIF(INDIRECT(J$3),'Struktur Aktuell'!$D345,INDIRECT(J$4))+SUMIF(INDIRECT(J$3),'Struktur Aktuell'!$D345,INDIRECT(J$5)))</f>
        <v>0</v>
      </c>
      <c r="K345" s="593">
        <f ca="1">$E345*(-SUMIF(INDIRECT(K$3),'Struktur Aktuell'!$D345,INDIRECT(K$4))+SUMIF(INDIRECT(K$3),'Struktur Aktuell'!$D345,INDIRECT(K$5)))</f>
        <v>0</v>
      </c>
      <c r="L345" s="593">
        <f ca="1">$E345*(-SUMIF(INDIRECT(L$3),'Struktur Aktuell'!$D345,INDIRECT(L$4))+SUMIF(INDIRECT(L$3),'Struktur Aktuell'!$D345,INDIRECT(L$5)))</f>
        <v>0</v>
      </c>
      <c r="M345" s="593">
        <f ca="1">$E345*(-SUMIF(INDIRECT(M$3),'Struktur Aktuell'!$D345,INDIRECT(M$4))+SUMIF(INDIRECT(M$3),'Struktur Aktuell'!$D345,INDIRECT(M$5)))</f>
        <v>0</v>
      </c>
      <c r="N345" s="593">
        <f ca="1">$E345*(-SUMIF(INDIRECT(N$3),'Struktur Aktuell'!$D345,INDIRECT(N$4))+SUMIF(INDIRECT(N$3),'Struktur Aktuell'!$D345,INDIRECT(N$5)))</f>
        <v>0</v>
      </c>
      <c r="O345" s="593">
        <f ca="1">$E345*(-SUMIF(INDIRECT(O$3),'Struktur Aktuell'!$D345,INDIRECT(O$4))+SUMIF(INDIRECT(O$3),'Struktur Aktuell'!$D345,INDIRECT(O$5)))</f>
        <v>0</v>
      </c>
      <c r="P345" s="593">
        <f ca="1">$E345*(-SUMIF(INDIRECT(P$3),'Struktur Aktuell'!$D345,INDIRECT(P$4))+SUMIF(INDIRECT(P$3),'Struktur Aktuell'!$D345,INDIRECT(P$5)))</f>
        <v>0</v>
      </c>
      <c r="Q345" s="593">
        <f ca="1">$E345*(-SUMIF(INDIRECT(Q$3),'Struktur Aktuell'!$D345,INDIRECT(Q$4))+SUMIF(INDIRECT(Q$3),'Struktur Aktuell'!$D345,INDIRECT(Q$5)))</f>
        <v>0</v>
      </c>
      <c r="R345" s="593">
        <f ca="1">$E345*(-SUMIF(INDIRECT(R$3),'Struktur Aktuell'!$D345,INDIRECT(R$4))+SUMIF(INDIRECT(R$3),'Struktur Aktuell'!$D345,INDIRECT(R$5)))</f>
        <v>0</v>
      </c>
      <c r="S345" s="593">
        <f ca="1">$E345*(-SUMIF(INDIRECT(S$3),'Struktur Aktuell'!$D345,INDIRECT(S$4))+SUMIF(INDIRECT(S$3),'Struktur Aktuell'!$D345,INDIRECT(S$5)))</f>
        <v>0</v>
      </c>
      <c r="T345" s="593">
        <f ca="1">$E345*(-SUMIF(INDIRECT(T$3),'Struktur Aktuell'!$D345,INDIRECT(T$4))+SUMIF(INDIRECT(T$3),'Struktur Aktuell'!$D345,INDIRECT(T$5)))</f>
        <v>0</v>
      </c>
      <c r="U345" s="593">
        <f ca="1">$E345*(-SUMIF(INDIRECT(U$3),'Struktur Aktuell'!$D345,INDIRECT(U$4))+SUMIF(INDIRECT(U$3),'Struktur Aktuell'!$D345,INDIRECT(U$5)))</f>
        <v>0</v>
      </c>
      <c r="V345" s="593">
        <f ca="1">$E345*(-SUMIF(INDIRECT(V$3),'Struktur Aktuell'!$D345,INDIRECT(V$4))+SUMIF(INDIRECT(V$3),'Struktur Aktuell'!$D345,INDIRECT(V$5)))</f>
        <v>0</v>
      </c>
      <c r="W345" s="593">
        <f ca="1">$E345*(-SUMIF(INDIRECT(W$3),'Struktur Aktuell'!$D345,INDIRECT(W$4))+SUMIF(INDIRECT(W$3),'Struktur Aktuell'!$D345,INDIRECT(W$5)))</f>
        <v>0</v>
      </c>
      <c r="X345" s="593">
        <f ca="1">$E345*(-SUMIF(INDIRECT(X$3),'Struktur Aktuell'!$D345,INDIRECT(X$4))+SUMIF(INDIRECT(X$3),'Struktur Aktuell'!$D345,INDIRECT(X$5)))</f>
        <v>0</v>
      </c>
      <c r="Y345" s="593">
        <f ca="1">$E345*(-SUMIF(INDIRECT(Y$3),'Struktur Aktuell'!$D345,INDIRECT(Y$4))+SUMIF(INDIRECT(Y$3),'Struktur Aktuell'!$D345,INDIRECT(Y$5)))</f>
        <v>0</v>
      </c>
      <c r="Z345" s="593">
        <f ca="1">$E345*(-SUMIF(INDIRECT(Z$3),'Struktur Aktuell'!$D345,INDIRECT(Z$4))+SUMIF(INDIRECT(Z$3),'Struktur Aktuell'!$D345,INDIRECT(Z$5)))</f>
        <v>0</v>
      </c>
      <c r="AA345" s="593">
        <f ca="1">$E345*(-SUMIF(INDIRECT(AA$3),'Struktur Aktuell'!$D345,INDIRECT(AA$4))+SUMIF(INDIRECT(AA$3),'Struktur Aktuell'!$D345,INDIRECT(AA$5)))</f>
        <v>0</v>
      </c>
      <c r="AB345" s="593">
        <f ca="1">$E345*(-SUMIF(INDIRECT(AB$3),'Struktur Aktuell'!$D345,INDIRECT(AB$4))+SUMIF(INDIRECT(AB$3),'Struktur Aktuell'!$D345,INDIRECT(AB$5)))</f>
        <v>0</v>
      </c>
      <c r="AC345" s="593">
        <f ca="1">$E345*(-SUMIF(INDIRECT(AC$3),'Struktur Aktuell'!$D345,INDIRECT(AC$4))+SUMIF(INDIRECT(AC$3),'Struktur Aktuell'!$D345,INDIRECT(AC$5)))</f>
        <v>0</v>
      </c>
      <c r="AD345" s="593">
        <f ca="1">$E345*(-SUMIF(INDIRECT(AD$3),'Struktur Aktuell'!$D345,INDIRECT(AD$4))+SUMIF(INDIRECT(AD$3),'Struktur Aktuell'!$D345,INDIRECT(AD$5)))</f>
        <v>0</v>
      </c>
      <c r="AE345" s="593">
        <f t="shared" ca="1" si="508"/>
        <v>0</v>
      </c>
      <c r="AF345" s="593">
        <f t="shared" ca="1" si="509"/>
        <v>0</v>
      </c>
      <c r="AG345" s="593">
        <f t="shared" ca="1" si="510"/>
        <v>0</v>
      </c>
      <c r="AH345" s="593">
        <f t="shared" ca="1" si="511"/>
        <v>0</v>
      </c>
      <c r="AI345" s="593">
        <f t="shared" ca="1" si="512"/>
        <v>0</v>
      </c>
      <c r="AJ345" s="593">
        <f t="shared" ca="1" si="513"/>
        <v>0</v>
      </c>
      <c r="AK345" s="593">
        <f t="shared" ca="1" si="514"/>
        <v>0</v>
      </c>
      <c r="AL345" s="593">
        <f t="shared" ca="1" si="515"/>
        <v>0</v>
      </c>
      <c r="AM345" s="593">
        <f t="shared" ca="1" si="516"/>
        <v>0</v>
      </c>
      <c r="AN345" s="593">
        <f t="shared" ca="1" si="517"/>
        <v>0</v>
      </c>
      <c r="AO345" s="593">
        <f t="shared" ca="1" si="518"/>
        <v>0</v>
      </c>
      <c r="AP345" s="593">
        <f t="shared" ca="1" si="519"/>
        <v>0</v>
      </c>
    </row>
    <row r="346" spans="1:42" s="594" customFormat="1" ht="11.25" outlineLevel="1" x14ac:dyDescent="0.2">
      <c r="A346" s="590"/>
      <c r="B346" s="591" t="str">
        <f>IF(D346&lt;&gt;"",
IF(ISERROR(MATCH(D346,'Ist Aktuell Monat 01'!A:A,0))=FALSE,INDEX('Ist Aktuell Monat 01'!B:B,MATCH(D346,'Ist Aktuell Monat 01'!A:A,0)),
IF(ISERROR(MATCH(D346,'Ist Aktuell Monat 02'!A:A,0))=FALSE,INDEX('Ist Aktuell Monat 02'!B:B,MATCH(D346,'Ist Aktuell Monat 02'!A:A,0)),
IF(ISERROR(MATCH(D346,'Ist Aktuell Monat 03'!A:A,0))=FALSE,INDEX('Ist Aktuell Monat 03'!B:B,MATCH(D346,'Ist Aktuell Monat 03'!A:A,0)),
IF(ISERROR(MATCH(D346,'Ist Aktuell Monat 04'!A:A,0))=FALSE,INDEX('Ist Aktuell Monat 04'!B:B,MATCH(D346,'Ist Aktuell Monat 04'!A:A,0)),
IF(ISERROR(MATCH(D346,'Ist Aktuell Monat 05'!A:A,0))=FALSE,INDEX('Ist Aktuell Monat 05'!B:B,MATCH(D346,'Ist Aktuell Monat 05'!A:A,0)),
IF(ISERROR(MATCH(D346,'Ist Aktuell Monat 06'!A:A,0))=FALSE,INDEX('Ist Aktuell Monat 06'!B:B,MATCH(D346,'Ist Aktuell Monat 06'!A:A,0)),
IF(ISERROR(MATCH(D346,'Ist Aktuell Monat 07'!A:A,0))=FALSE,INDEX('Ist Aktuell Monat 07'!B:B,MATCH(D346,'Ist Aktuell Monat 07'!A:A,0)),
IF(ISERROR(MATCH(D346,'Ist Aktuell Monat 08'!A:A,0))=FALSE,INDEX('Ist Aktuell Monat 08'!B:B,MATCH(D346,'Ist Aktuell Monat 08'!A:A,0)),
IF(ISERROR(MATCH(D346,'Ist Aktuell Monat 09'!A:A,0))=FALSE,INDEX('Ist Aktuell Monat 09'!B:B,MATCH(D346,'Ist Aktuell Monat 09'!A:A,0)),
IF(ISERROR(MATCH(D346,'Ist Aktuell Monat 10'!A:A,0))=FALSE,INDEX('Ist Aktuell Monat 10'!B:B,MATCH(D346,'Ist Aktuell Monat 10'!A:A,0)),
IF(ISERROR(MATCH(D346,'Ist Aktuell Monat 11'!A:A,0))=FALSE,INDEX('Ist Aktuell Monat 11'!B:B,MATCH(D346,'Ist Aktuell Monat 11'!A:A,0)),
IF(ISERROR(MATCH(D346,'Ist Aktuell Monat 12'!A:A,0))=FALSE,INDEX('Ist Aktuell Monat 12'!B:B,MATCH(D346,'Ist Aktuell Monat 12'!A:A,0)),
"{Konto unbekannt}"
)))))))))))),"")</f>
        <v/>
      </c>
      <c r="C346" s="591"/>
      <c r="D346" s="590"/>
      <c r="E346" s="592">
        <f t="shared" si="520"/>
        <v>-1</v>
      </c>
      <c r="F346" s="590" t="s">
        <v>996</v>
      </c>
      <c r="G346" s="593">
        <f ca="1">$E346*(-SUMIF(INDIRECT(G$3),'Struktur Aktuell'!$D346,INDIRECT(G$4))+SUMIF(INDIRECT(G$3),'Struktur Aktuell'!$D346,INDIRECT(G$5)))</f>
        <v>0</v>
      </c>
      <c r="H346" s="593">
        <f ca="1">$E346*(-SUMIF(INDIRECT(H$3),'Struktur Aktuell'!$D346,INDIRECT(H$4))+SUMIF(INDIRECT(H$3),'Struktur Aktuell'!$D346,INDIRECT(H$5)))</f>
        <v>0</v>
      </c>
      <c r="I346" s="593">
        <f ca="1">$E346*(-SUMIF(INDIRECT(I$3),'Struktur Aktuell'!$D346,INDIRECT(I$4))+SUMIF(INDIRECT(I$3),'Struktur Aktuell'!$D346,INDIRECT(I$5)))</f>
        <v>0</v>
      </c>
      <c r="J346" s="593">
        <f ca="1">$E346*(-SUMIF(INDIRECT(J$3),'Struktur Aktuell'!$D346,INDIRECT(J$4))+SUMIF(INDIRECT(J$3),'Struktur Aktuell'!$D346,INDIRECT(J$5)))</f>
        <v>0</v>
      </c>
      <c r="K346" s="593">
        <f ca="1">$E346*(-SUMIF(INDIRECT(K$3),'Struktur Aktuell'!$D346,INDIRECT(K$4))+SUMIF(INDIRECT(K$3),'Struktur Aktuell'!$D346,INDIRECT(K$5)))</f>
        <v>0</v>
      </c>
      <c r="L346" s="593">
        <f ca="1">$E346*(-SUMIF(INDIRECT(L$3),'Struktur Aktuell'!$D346,INDIRECT(L$4))+SUMIF(INDIRECT(L$3),'Struktur Aktuell'!$D346,INDIRECT(L$5)))</f>
        <v>0</v>
      </c>
      <c r="M346" s="593">
        <f ca="1">$E346*(-SUMIF(INDIRECT(M$3),'Struktur Aktuell'!$D346,INDIRECT(M$4))+SUMIF(INDIRECT(M$3),'Struktur Aktuell'!$D346,INDIRECT(M$5)))</f>
        <v>0</v>
      </c>
      <c r="N346" s="593">
        <f ca="1">$E346*(-SUMIF(INDIRECT(N$3),'Struktur Aktuell'!$D346,INDIRECT(N$4))+SUMIF(INDIRECT(N$3),'Struktur Aktuell'!$D346,INDIRECT(N$5)))</f>
        <v>0</v>
      </c>
      <c r="O346" s="593">
        <f ca="1">$E346*(-SUMIF(INDIRECT(O$3),'Struktur Aktuell'!$D346,INDIRECT(O$4))+SUMIF(INDIRECT(O$3),'Struktur Aktuell'!$D346,INDIRECT(O$5)))</f>
        <v>0</v>
      </c>
      <c r="P346" s="593">
        <f ca="1">$E346*(-SUMIF(INDIRECT(P$3),'Struktur Aktuell'!$D346,INDIRECT(P$4))+SUMIF(INDIRECT(P$3),'Struktur Aktuell'!$D346,INDIRECT(P$5)))</f>
        <v>0</v>
      </c>
      <c r="Q346" s="593">
        <f ca="1">$E346*(-SUMIF(INDIRECT(Q$3),'Struktur Aktuell'!$D346,INDIRECT(Q$4))+SUMIF(INDIRECT(Q$3),'Struktur Aktuell'!$D346,INDIRECT(Q$5)))</f>
        <v>0</v>
      </c>
      <c r="R346" s="593">
        <f ca="1">$E346*(-SUMIF(INDIRECT(R$3),'Struktur Aktuell'!$D346,INDIRECT(R$4))+SUMIF(INDIRECT(R$3),'Struktur Aktuell'!$D346,INDIRECT(R$5)))</f>
        <v>0</v>
      </c>
      <c r="S346" s="593">
        <f ca="1">$E346*(-SUMIF(INDIRECT(S$3),'Struktur Aktuell'!$D346,INDIRECT(S$4))+SUMIF(INDIRECT(S$3),'Struktur Aktuell'!$D346,INDIRECT(S$5)))</f>
        <v>0</v>
      </c>
      <c r="T346" s="593">
        <f ca="1">$E346*(-SUMIF(INDIRECT(T$3),'Struktur Aktuell'!$D346,INDIRECT(T$4))+SUMIF(INDIRECT(T$3),'Struktur Aktuell'!$D346,INDIRECT(T$5)))</f>
        <v>0</v>
      </c>
      <c r="U346" s="593">
        <f ca="1">$E346*(-SUMIF(INDIRECT(U$3),'Struktur Aktuell'!$D346,INDIRECT(U$4))+SUMIF(INDIRECT(U$3),'Struktur Aktuell'!$D346,INDIRECT(U$5)))</f>
        <v>0</v>
      </c>
      <c r="V346" s="593">
        <f ca="1">$E346*(-SUMIF(INDIRECT(V$3),'Struktur Aktuell'!$D346,INDIRECT(V$4))+SUMIF(INDIRECT(V$3),'Struktur Aktuell'!$D346,INDIRECT(V$5)))</f>
        <v>0</v>
      </c>
      <c r="W346" s="593">
        <f ca="1">$E346*(-SUMIF(INDIRECT(W$3),'Struktur Aktuell'!$D346,INDIRECT(W$4))+SUMIF(INDIRECT(W$3),'Struktur Aktuell'!$D346,INDIRECT(W$5)))</f>
        <v>0</v>
      </c>
      <c r="X346" s="593">
        <f ca="1">$E346*(-SUMIF(INDIRECT(X$3),'Struktur Aktuell'!$D346,INDIRECT(X$4))+SUMIF(INDIRECT(X$3),'Struktur Aktuell'!$D346,INDIRECT(X$5)))</f>
        <v>0</v>
      </c>
      <c r="Y346" s="593">
        <f ca="1">$E346*(-SUMIF(INDIRECT(Y$3),'Struktur Aktuell'!$D346,INDIRECT(Y$4))+SUMIF(INDIRECT(Y$3),'Struktur Aktuell'!$D346,INDIRECT(Y$5)))</f>
        <v>0</v>
      </c>
      <c r="Z346" s="593">
        <f ca="1">$E346*(-SUMIF(INDIRECT(Z$3),'Struktur Aktuell'!$D346,INDIRECT(Z$4))+SUMIF(INDIRECT(Z$3),'Struktur Aktuell'!$D346,INDIRECT(Z$5)))</f>
        <v>0</v>
      </c>
      <c r="AA346" s="593">
        <f ca="1">$E346*(-SUMIF(INDIRECT(AA$3),'Struktur Aktuell'!$D346,INDIRECT(AA$4))+SUMIF(INDIRECT(AA$3),'Struktur Aktuell'!$D346,INDIRECT(AA$5)))</f>
        <v>0</v>
      </c>
      <c r="AB346" s="593">
        <f ca="1">$E346*(-SUMIF(INDIRECT(AB$3),'Struktur Aktuell'!$D346,INDIRECT(AB$4))+SUMIF(INDIRECT(AB$3),'Struktur Aktuell'!$D346,INDIRECT(AB$5)))</f>
        <v>0</v>
      </c>
      <c r="AC346" s="593">
        <f ca="1">$E346*(-SUMIF(INDIRECT(AC$3),'Struktur Aktuell'!$D346,INDIRECT(AC$4))+SUMIF(INDIRECT(AC$3),'Struktur Aktuell'!$D346,INDIRECT(AC$5)))</f>
        <v>0</v>
      </c>
      <c r="AD346" s="593">
        <f ca="1">$E346*(-SUMIF(INDIRECT(AD$3),'Struktur Aktuell'!$D346,INDIRECT(AD$4))+SUMIF(INDIRECT(AD$3),'Struktur Aktuell'!$D346,INDIRECT(AD$5)))</f>
        <v>0</v>
      </c>
      <c r="AE346" s="593">
        <f t="shared" ca="1" si="508"/>
        <v>0</v>
      </c>
      <c r="AF346" s="593">
        <f t="shared" ca="1" si="509"/>
        <v>0</v>
      </c>
      <c r="AG346" s="593">
        <f t="shared" ca="1" si="510"/>
        <v>0</v>
      </c>
      <c r="AH346" s="593">
        <f t="shared" ca="1" si="511"/>
        <v>0</v>
      </c>
      <c r="AI346" s="593">
        <f t="shared" ca="1" si="512"/>
        <v>0</v>
      </c>
      <c r="AJ346" s="593">
        <f t="shared" ca="1" si="513"/>
        <v>0</v>
      </c>
      <c r="AK346" s="593">
        <f t="shared" ca="1" si="514"/>
        <v>0</v>
      </c>
      <c r="AL346" s="593">
        <f t="shared" ca="1" si="515"/>
        <v>0</v>
      </c>
      <c r="AM346" s="593">
        <f t="shared" ca="1" si="516"/>
        <v>0</v>
      </c>
      <c r="AN346" s="593">
        <f t="shared" ca="1" si="517"/>
        <v>0</v>
      </c>
      <c r="AO346" s="593">
        <f t="shared" ca="1" si="518"/>
        <v>0</v>
      </c>
      <c r="AP346" s="593">
        <f t="shared" ca="1" si="519"/>
        <v>0</v>
      </c>
    </row>
    <row r="347" spans="1:42" s="589" customFormat="1" x14ac:dyDescent="0.2">
      <c r="A347" s="585">
        <v>34</v>
      </c>
      <c r="B347" s="586" t="s">
        <v>1020</v>
      </c>
      <c r="C347" s="587">
        <f ca="1">SUM(G347:R347)</f>
        <v>0</v>
      </c>
      <c r="D347" s="587"/>
      <c r="E347" s="588">
        <f t="shared" si="520"/>
        <v>1</v>
      </c>
      <c r="F347" s="585"/>
      <c r="G347" s="587">
        <f t="shared" ref="G347:R347" ca="1" si="521">SUM(G348:G353)</f>
        <v>0</v>
      </c>
      <c r="H347" s="587">
        <f t="shared" ca="1" si="521"/>
        <v>0</v>
      </c>
      <c r="I347" s="587">
        <f t="shared" ca="1" si="521"/>
        <v>0</v>
      </c>
      <c r="J347" s="587">
        <f t="shared" ca="1" si="521"/>
        <v>0</v>
      </c>
      <c r="K347" s="587">
        <f t="shared" ca="1" si="521"/>
        <v>0</v>
      </c>
      <c r="L347" s="587">
        <f t="shared" ca="1" si="521"/>
        <v>0</v>
      </c>
      <c r="M347" s="587">
        <f t="shared" ca="1" si="521"/>
        <v>0</v>
      </c>
      <c r="N347" s="587">
        <f t="shared" ca="1" si="521"/>
        <v>0</v>
      </c>
      <c r="O347" s="587">
        <f t="shared" ca="1" si="521"/>
        <v>0</v>
      </c>
      <c r="P347" s="587">
        <f t="shared" ca="1" si="521"/>
        <v>0</v>
      </c>
      <c r="Q347" s="587">
        <f t="shared" ca="1" si="521"/>
        <v>0</v>
      </c>
      <c r="R347" s="587">
        <f t="shared" ca="1" si="521"/>
        <v>0</v>
      </c>
      <c r="S347" s="587">
        <f t="shared" ref="S347:AP347" ca="1" si="522">SUM(S348:S353)</f>
        <v>0</v>
      </c>
      <c r="T347" s="587">
        <f t="shared" ca="1" si="522"/>
        <v>0</v>
      </c>
      <c r="U347" s="587">
        <f t="shared" ca="1" si="522"/>
        <v>0</v>
      </c>
      <c r="V347" s="587">
        <f t="shared" ca="1" si="522"/>
        <v>0</v>
      </c>
      <c r="W347" s="587">
        <f t="shared" ca="1" si="522"/>
        <v>0</v>
      </c>
      <c r="X347" s="587">
        <f t="shared" ca="1" si="522"/>
        <v>0</v>
      </c>
      <c r="Y347" s="587">
        <f t="shared" ca="1" si="522"/>
        <v>0</v>
      </c>
      <c r="Z347" s="587">
        <f t="shared" ca="1" si="522"/>
        <v>0</v>
      </c>
      <c r="AA347" s="587">
        <f t="shared" ca="1" si="522"/>
        <v>0</v>
      </c>
      <c r="AB347" s="587">
        <f t="shared" ca="1" si="522"/>
        <v>0</v>
      </c>
      <c r="AC347" s="587">
        <f t="shared" ca="1" si="522"/>
        <v>0</v>
      </c>
      <c r="AD347" s="587">
        <f t="shared" ca="1" si="522"/>
        <v>0</v>
      </c>
      <c r="AE347" s="587">
        <f t="shared" ca="1" si="522"/>
        <v>0</v>
      </c>
      <c r="AF347" s="587">
        <f t="shared" ca="1" si="522"/>
        <v>0</v>
      </c>
      <c r="AG347" s="587">
        <f t="shared" ca="1" si="522"/>
        <v>0</v>
      </c>
      <c r="AH347" s="587">
        <f t="shared" ca="1" si="522"/>
        <v>0</v>
      </c>
      <c r="AI347" s="587">
        <f t="shared" ca="1" si="522"/>
        <v>0</v>
      </c>
      <c r="AJ347" s="587">
        <f t="shared" ca="1" si="522"/>
        <v>0</v>
      </c>
      <c r="AK347" s="587">
        <f t="shared" ca="1" si="522"/>
        <v>0</v>
      </c>
      <c r="AL347" s="587">
        <f t="shared" ca="1" si="522"/>
        <v>0</v>
      </c>
      <c r="AM347" s="587">
        <f t="shared" ca="1" si="522"/>
        <v>0</v>
      </c>
      <c r="AN347" s="587">
        <f t="shared" ca="1" si="522"/>
        <v>0</v>
      </c>
      <c r="AO347" s="587">
        <f t="shared" ca="1" si="522"/>
        <v>0</v>
      </c>
      <c r="AP347" s="587">
        <f t="shared" ca="1" si="522"/>
        <v>0</v>
      </c>
    </row>
    <row r="348" spans="1:42" s="594" customFormat="1" ht="11.25" outlineLevel="1" x14ac:dyDescent="0.2">
      <c r="A348" s="590"/>
      <c r="B348" s="591" t="str">
        <f>IF(D348&lt;&gt;"",
IF(ISERROR(MATCH(D348,'Ist Aktuell Monat 01'!A:A,0))=FALSE,INDEX('Ist Aktuell Monat 01'!B:B,MATCH(D348,'Ist Aktuell Monat 01'!A:A,0)),
IF(ISERROR(MATCH(D348,'Ist Aktuell Monat 02'!A:A,0))=FALSE,INDEX('Ist Aktuell Monat 02'!B:B,MATCH(D348,'Ist Aktuell Monat 02'!A:A,0)),
IF(ISERROR(MATCH(D348,'Ist Aktuell Monat 03'!A:A,0))=FALSE,INDEX('Ist Aktuell Monat 03'!B:B,MATCH(D348,'Ist Aktuell Monat 03'!A:A,0)),
IF(ISERROR(MATCH(D348,'Ist Aktuell Monat 04'!A:A,0))=FALSE,INDEX('Ist Aktuell Monat 04'!B:B,MATCH(D348,'Ist Aktuell Monat 04'!A:A,0)),
IF(ISERROR(MATCH(D348,'Ist Aktuell Monat 05'!A:A,0))=FALSE,INDEX('Ist Aktuell Monat 05'!B:B,MATCH(D348,'Ist Aktuell Monat 05'!A:A,0)),
IF(ISERROR(MATCH(D348,'Ist Aktuell Monat 06'!A:A,0))=FALSE,INDEX('Ist Aktuell Monat 06'!B:B,MATCH(D348,'Ist Aktuell Monat 06'!A:A,0)),
IF(ISERROR(MATCH(D348,'Ist Aktuell Monat 07'!A:A,0))=FALSE,INDEX('Ist Aktuell Monat 07'!B:B,MATCH(D348,'Ist Aktuell Monat 07'!A:A,0)),
IF(ISERROR(MATCH(D348,'Ist Aktuell Monat 08'!A:A,0))=FALSE,INDEX('Ist Aktuell Monat 08'!B:B,MATCH(D348,'Ist Aktuell Monat 08'!A:A,0)),
IF(ISERROR(MATCH(D348,'Ist Aktuell Monat 09'!A:A,0))=FALSE,INDEX('Ist Aktuell Monat 09'!B:B,MATCH(D348,'Ist Aktuell Monat 09'!A:A,0)),
IF(ISERROR(MATCH(D348,'Ist Aktuell Monat 10'!A:A,0))=FALSE,INDEX('Ist Aktuell Monat 10'!B:B,MATCH(D348,'Ist Aktuell Monat 10'!A:A,0)),
IF(ISERROR(MATCH(D348,'Ist Aktuell Monat 11'!A:A,0))=FALSE,INDEX('Ist Aktuell Monat 11'!B:B,MATCH(D348,'Ist Aktuell Monat 11'!A:A,0)),
IF(ISERROR(MATCH(D348,'Ist Aktuell Monat 12'!A:A,0))=FALSE,INDEX('Ist Aktuell Monat 12'!B:B,MATCH(D348,'Ist Aktuell Monat 12'!A:A,0)),
"{Konto unbekannt}"
)))))))))))),"")</f>
        <v>{Konto unbekannt}</v>
      </c>
      <c r="C348" s="591"/>
      <c r="D348" s="590">
        <v>8590</v>
      </c>
      <c r="E348" s="592">
        <f t="shared" si="520"/>
        <v>-1</v>
      </c>
      <c r="F348" s="590" t="s">
        <v>996</v>
      </c>
      <c r="G348" s="593">
        <f ca="1">$E348*(-SUMIF(INDIRECT(G$3),'Struktur Aktuell'!$D348,INDIRECT(G$4))+SUMIF(INDIRECT(G$3),'Struktur Aktuell'!$D348,INDIRECT(G$5)))</f>
        <v>0</v>
      </c>
      <c r="H348" s="593">
        <f ca="1">$E348*(-SUMIF(INDIRECT(H$3),'Struktur Aktuell'!$D348,INDIRECT(H$4))+SUMIF(INDIRECT(H$3),'Struktur Aktuell'!$D348,INDIRECT(H$5)))</f>
        <v>0</v>
      </c>
      <c r="I348" s="593">
        <f ca="1">$E348*(-SUMIF(INDIRECT(I$3),'Struktur Aktuell'!$D348,INDIRECT(I$4))+SUMIF(INDIRECT(I$3),'Struktur Aktuell'!$D348,INDIRECT(I$5)))</f>
        <v>0</v>
      </c>
      <c r="J348" s="593">
        <f ca="1">$E348*(-SUMIF(INDIRECT(J$3),'Struktur Aktuell'!$D348,INDIRECT(J$4))+SUMIF(INDIRECT(J$3),'Struktur Aktuell'!$D348,INDIRECT(J$5)))</f>
        <v>0</v>
      </c>
      <c r="K348" s="593">
        <f ca="1">$E348*(-SUMIF(INDIRECT(K$3),'Struktur Aktuell'!$D348,INDIRECT(K$4))+SUMIF(INDIRECT(K$3),'Struktur Aktuell'!$D348,INDIRECT(K$5)))</f>
        <v>0</v>
      </c>
      <c r="L348" s="593">
        <f ca="1">$E348*(-SUMIF(INDIRECT(L$3),'Struktur Aktuell'!$D348,INDIRECT(L$4))+SUMIF(INDIRECT(L$3),'Struktur Aktuell'!$D348,INDIRECT(L$5)))</f>
        <v>0</v>
      </c>
      <c r="M348" s="593">
        <f ca="1">$E348*(-SUMIF(INDIRECT(M$3),'Struktur Aktuell'!$D348,INDIRECT(M$4))+SUMIF(INDIRECT(M$3),'Struktur Aktuell'!$D348,INDIRECT(M$5)))</f>
        <v>0</v>
      </c>
      <c r="N348" s="593">
        <f ca="1">$E348*(-SUMIF(INDIRECT(N$3),'Struktur Aktuell'!$D348,INDIRECT(N$4))+SUMIF(INDIRECT(N$3),'Struktur Aktuell'!$D348,INDIRECT(N$5)))</f>
        <v>0</v>
      </c>
      <c r="O348" s="593">
        <f ca="1">$E348*(-SUMIF(INDIRECT(O$3),'Struktur Aktuell'!$D348,INDIRECT(O$4))+SUMIF(INDIRECT(O$3),'Struktur Aktuell'!$D348,INDIRECT(O$5)))</f>
        <v>0</v>
      </c>
      <c r="P348" s="593">
        <f ca="1">$E348*(-SUMIF(INDIRECT(P$3),'Struktur Aktuell'!$D348,INDIRECT(P$4))+SUMIF(INDIRECT(P$3),'Struktur Aktuell'!$D348,INDIRECT(P$5)))</f>
        <v>0</v>
      </c>
      <c r="Q348" s="593">
        <f ca="1">$E348*(-SUMIF(INDIRECT(Q$3),'Struktur Aktuell'!$D348,INDIRECT(Q$4))+SUMIF(INDIRECT(Q$3),'Struktur Aktuell'!$D348,INDIRECT(Q$5)))</f>
        <v>0</v>
      </c>
      <c r="R348" s="593">
        <f ca="1">$E348*(-SUMIF(INDIRECT(R$3),'Struktur Aktuell'!$D348,INDIRECT(R$4))+SUMIF(INDIRECT(R$3),'Struktur Aktuell'!$D348,INDIRECT(R$5)))</f>
        <v>0</v>
      </c>
      <c r="S348" s="593">
        <f ca="1">$E348*(-SUMIF(INDIRECT(S$3),'Struktur Aktuell'!$D348,INDIRECT(S$4))+SUMIF(INDIRECT(S$3),'Struktur Aktuell'!$D348,INDIRECT(S$5)))</f>
        <v>0</v>
      </c>
      <c r="T348" s="593">
        <f ca="1">$E348*(-SUMIF(INDIRECT(T$3),'Struktur Aktuell'!$D348,INDIRECT(T$4))+SUMIF(INDIRECT(T$3),'Struktur Aktuell'!$D348,INDIRECT(T$5)))</f>
        <v>0</v>
      </c>
      <c r="U348" s="593">
        <f ca="1">$E348*(-SUMIF(INDIRECT(U$3),'Struktur Aktuell'!$D348,INDIRECT(U$4))+SUMIF(INDIRECT(U$3),'Struktur Aktuell'!$D348,INDIRECT(U$5)))</f>
        <v>0</v>
      </c>
      <c r="V348" s="593">
        <f ca="1">$E348*(-SUMIF(INDIRECT(V$3),'Struktur Aktuell'!$D348,INDIRECT(V$4))+SUMIF(INDIRECT(V$3),'Struktur Aktuell'!$D348,INDIRECT(V$5)))</f>
        <v>0</v>
      </c>
      <c r="W348" s="593">
        <f ca="1">$E348*(-SUMIF(INDIRECT(W$3),'Struktur Aktuell'!$D348,INDIRECT(W$4))+SUMIF(INDIRECT(W$3),'Struktur Aktuell'!$D348,INDIRECT(W$5)))</f>
        <v>0</v>
      </c>
      <c r="X348" s="593">
        <f ca="1">$E348*(-SUMIF(INDIRECT(X$3),'Struktur Aktuell'!$D348,INDIRECT(X$4))+SUMIF(INDIRECT(X$3),'Struktur Aktuell'!$D348,INDIRECT(X$5)))</f>
        <v>0</v>
      </c>
      <c r="Y348" s="593">
        <f ca="1">$E348*(-SUMIF(INDIRECT(Y$3),'Struktur Aktuell'!$D348,INDIRECT(Y$4))+SUMIF(INDIRECT(Y$3),'Struktur Aktuell'!$D348,INDIRECT(Y$5)))</f>
        <v>0</v>
      </c>
      <c r="Z348" s="593">
        <f ca="1">$E348*(-SUMIF(INDIRECT(Z$3),'Struktur Aktuell'!$D348,INDIRECT(Z$4))+SUMIF(INDIRECT(Z$3),'Struktur Aktuell'!$D348,INDIRECT(Z$5)))</f>
        <v>0</v>
      </c>
      <c r="AA348" s="593">
        <f ca="1">$E348*(-SUMIF(INDIRECT(AA$3),'Struktur Aktuell'!$D348,INDIRECT(AA$4))+SUMIF(INDIRECT(AA$3),'Struktur Aktuell'!$D348,INDIRECT(AA$5)))</f>
        <v>0</v>
      </c>
      <c r="AB348" s="593">
        <f ca="1">$E348*(-SUMIF(INDIRECT(AB$3),'Struktur Aktuell'!$D348,INDIRECT(AB$4))+SUMIF(INDIRECT(AB$3),'Struktur Aktuell'!$D348,INDIRECT(AB$5)))</f>
        <v>0</v>
      </c>
      <c r="AC348" s="593">
        <f ca="1">$E348*(-SUMIF(INDIRECT(AC$3),'Struktur Aktuell'!$D348,INDIRECT(AC$4))+SUMIF(INDIRECT(AC$3),'Struktur Aktuell'!$D348,INDIRECT(AC$5)))</f>
        <v>0</v>
      </c>
      <c r="AD348" s="593">
        <f ca="1">$E348*(-SUMIF(INDIRECT(AD$3),'Struktur Aktuell'!$D348,INDIRECT(AD$4))+SUMIF(INDIRECT(AD$3),'Struktur Aktuell'!$D348,INDIRECT(AD$5)))</f>
        <v>0</v>
      </c>
      <c r="AE348" s="593">
        <f t="shared" ref="AE348:AE353" ca="1" si="523">G348</f>
        <v>0</v>
      </c>
      <c r="AF348" s="593">
        <f t="shared" ref="AF348:AF353" ca="1" si="524">H348+AE348</f>
        <v>0</v>
      </c>
      <c r="AG348" s="593">
        <f t="shared" ref="AG348:AG353" ca="1" si="525">I348+AF348</f>
        <v>0</v>
      </c>
      <c r="AH348" s="593">
        <f t="shared" ref="AH348:AH353" ca="1" si="526">J348+AG348</f>
        <v>0</v>
      </c>
      <c r="AI348" s="593">
        <f t="shared" ref="AI348:AI353" ca="1" si="527">K348+AH348</f>
        <v>0</v>
      </c>
      <c r="AJ348" s="593">
        <f t="shared" ref="AJ348:AJ353" ca="1" si="528">L348+AI348</f>
        <v>0</v>
      </c>
      <c r="AK348" s="593">
        <f t="shared" ref="AK348:AK353" ca="1" si="529">M348+AJ348</f>
        <v>0</v>
      </c>
      <c r="AL348" s="593">
        <f t="shared" ref="AL348:AL353" ca="1" si="530">N348+AK348</f>
        <v>0</v>
      </c>
      <c r="AM348" s="593">
        <f t="shared" ref="AM348:AM353" ca="1" si="531">O348+AL348</f>
        <v>0</v>
      </c>
      <c r="AN348" s="593">
        <f t="shared" ref="AN348:AN353" ca="1" si="532">P348+AM348</f>
        <v>0</v>
      </c>
      <c r="AO348" s="593">
        <f t="shared" ref="AO348:AO353" ca="1" si="533">Q348+AN348</f>
        <v>0</v>
      </c>
      <c r="AP348" s="593">
        <f t="shared" ref="AP348:AP353" ca="1" si="534">R348+AO348</f>
        <v>0</v>
      </c>
    </row>
    <row r="349" spans="1:42" s="594" customFormat="1" ht="11.25" outlineLevel="1" x14ac:dyDescent="0.2">
      <c r="A349" s="590"/>
      <c r="B349" s="591" t="str">
        <f>IF(D349&lt;&gt;"",
IF(ISERROR(MATCH(D349,'Ist Aktuell Monat 01'!A:A,0))=FALSE,INDEX('Ist Aktuell Monat 01'!B:B,MATCH(D349,'Ist Aktuell Monat 01'!A:A,0)),
IF(ISERROR(MATCH(D349,'Ist Aktuell Monat 02'!A:A,0))=FALSE,INDEX('Ist Aktuell Monat 02'!B:B,MATCH(D349,'Ist Aktuell Monat 02'!A:A,0)),
IF(ISERROR(MATCH(D349,'Ist Aktuell Monat 03'!A:A,0))=FALSE,INDEX('Ist Aktuell Monat 03'!B:B,MATCH(D349,'Ist Aktuell Monat 03'!A:A,0)),
IF(ISERROR(MATCH(D349,'Ist Aktuell Monat 04'!A:A,0))=FALSE,INDEX('Ist Aktuell Monat 04'!B:B,MATCH(D349,'Ist Aktuell Monat 04'!A:A,0)),
IF(ISERROR(MATCH(D349,'Ist Aktuell Monat 05'!A:A,0))=FALSE,INDEX('Ist Aktuell Monat 05'!B:B,MATCH(D349,'Ist Aktuell Monat 05'!A:A,0)),
IF(ISERROR(MATCH(D349,'Ist Aktuell Monat 06'!A:A,0))=FALSE,INDEX('Ist Aktuell Monat 06'!B:B,MATCH(D349,'Ist Aktuell Monat 06'!A:A,0)),
IF(ISERROR(MATCH(D349,'Ist Aktuell Monat 07'!A:A,0))=FALSE,INDEX('Ist Aktuell Monat 07'!B:B,MATCH(D349,'Ist Aktuell Monat 07'!A:A,0)),
IF(ISERROR(MATCH(D349,'Ist Aktuell Monat 08'!A:A,0))=FALSE,INDEX('Ist Aktuell Monat 08'!B:B,MATCH(D349,'Ist Aktuell Monat 08'!A:A,0)),
IF(ISERROR(MATCH(D349,'Ist Aktuell Monat 09'!A:A,0))=FALSE,INDEX('Ist Aktuell Monat 09'!B:B,MATCH(D349,'Ist Aktuell Monat 09'!A:A,0)),
IF(ISERROR(MATCH(D349,'Ist Aktuell Monat 10'!A:A,0))=FALSE,INDEX('Ist Aktuell Monat 10'!B:B,MATCH(D349,'Ist Aktuell Monat 10'!A:A,0)),
IF(ISERROR(MATCH(D349,'Ist Aktuell Monat 11'!A:A,0))=FALSE,INDEX('Ist Aktuell Monat 11'!B:B,MATCH(D349,'Ist Aktuell Monat 11'!A:A,0)),
IF(ISERROR(MATCH(D349,'Ist Aktuell Monat 12'!A:A,0))=FALSE,INDEX('Ist Aktuell Monat 12'!B:B,MATCH(D349,'Ist Aktuell Monat 12'!A:A,0)),
"{Konto unbekannt}"
)))))))))))),"")</f>
        <v/>
      </c>
      <c r="C349" s="591"/>
      <c r="D349" s="590"/>
      <c r="E349" s="592">
        <f>IF(F349="-",-1,1)</f>
        <v>-1</v>
      </c>
      <c r="F349" s="590" t="s">
        <v>996</v>
      </c>
      <c r="G349" s="593">
        <f ca="1">$E349*(-SUMIF(INDIRECT(G$3),'Struktur Aktuell'!$D349,INDIRECT(G$4))+SUMIF(INDIRECT(G$3),'Struktur Aktuell'!$D349,INDIRECT(G$5)))</f>
        <v>0</v>
      </c>
      <c r="H349" s="593">
        <f ca="1">$E349*(-SUMIF(INDIRECT(H$3),'Struktur Aktuell'!$D349,INDIRECT(H$4))+SUMIF(INDIRECT(H$3),'Struktur Aktuell'!$D349,INDIRECT(H$5)))</f>
        <v>0</v>
      </c>
      <c r="I349" s="593">
        <f ca="1">$E349*(-SUMIF(INDIRECT(I$3),'Struktur Aktuell'!$D349,INDIRECT(I$4))+SUMIF(INDIRECT(I$3),'Struktur Aktuell'!$D349,INDIRECT(I$5)))</f>
        <v>0</v>
      </c>
      <c r="J349" s="593">
        <f ca="1">$E349*(-SUMIF(INDIRECT(J$3),'Struktur Aktuell'!$D349,INDIRECT(J$4))+SUMIF(INDIRECT(J$3),'Struktur Aktuell'!$D349,INDIRECT(J$5)))</f>
        <v>0</v>
      </c>
      <c r="K349" s="593">
        <f ca="1">$E349*(-SUMIF(INDIRECT(K$3),'Struktur Aktuell'!$D349,INDIRECT(K$4))+SUMIF(INDIRECT(K$3),'Struktur Aktuell'!$D349,INDIRECT(K$5)))</f>
        <v>0</v>
      </c>
      <c r="L349" s="593">
        <f ca="1">$E349*(-SUMIF(INDIRECT(L$3),'Struktur Aktuell'!$D349,INDIRECT(L$4))+SUMIF(INDIRECT(L$3),'Struktur Aktuell'!$D349,INDIRECT(L$5)))</f>
        <v>0</v>
      </c>
      <c r="M349" s="593">
        <f ca="1">$E349*(-SUMIF(INDIRECT(M$3),'Struktur Aktuell'!$D349,INDIRECT(M$4))+SUMIF(INDIRECT(M$3),'Struktur Aktuell'!$D349,INDIRECT(M$5)))</f>
        <v>0</v>
      </c>
      <c r="N349" s="593">
        <f ca="1">$E349*(-SUMIF(INDIRECT(N$3),'Struktur Aktuell'!$D349,INDIRECT(N$4))+SUMIF(INDIRECT(N$3),'Struktur Aktuell'!$D349,INDIRECT(N$5)))</f>
        <v>0</v>
      </c>
      <c r="O349" s="593">
        <f ca="1">$E349*(-SUMIF(INDIRECT(O$3),'Struktur Aktuell'!$D349,INDIRECT(O$4))+SUMIF(INDIRECT(O$3),'Struktur Aktuell'!$D349,INDIRECT(O$5)))</f>
        <v>0</v>
      </c>
      <c r="P349" s="593">
        <f ca="1">$E349*(-SUMIF(INDIRECT(P$3),'Struktur Aktuell'!$D349,INDIRECT(P$4))+SUMIF(INDIRECT(P$3),'Struktur Aktuell'!$D349,INDIRECT(P$5)))</f>
        <v>0</v>
      </c>
      <c r="Q349" s="593">
        <f ca="1">$E349*(-SUMIF(INDIRECT(Q$3),'Struktur Aktuell'!$D349,INDIRECT(Q$4))+SUMIF(INDIRECT(Q$3),'Struktur Aktuell'!$D349,INDIRECT(Q$5)))</f>
        <v>0</v>
      </c>
      <c r="R349" s="593">
        <f ca="1">$E349*(-SUMIF(INDIRECT(R$3),'Struktur Aktuell'!$D349,INDIRECT(R$4))+SUMIF(INDIRECT(R$3),'Struktur Aktuell'!$D349,INDIRECT(R$5)))</f>
        <v>0</v>
      </c>
      <c r="S349" s="593">
        <f ca="1">$E349*(-SUMIF(INDIRECT(S$3),'Struktur Aktuell'!$D349,INDIRECT(S$4))+SUMIF(INDIRECT(S$3),'Struktur Aktuell'!$D349,INDIRECT(S$5)))</f>
        <v>0</v>
      </c>
      <c r="T349" s="593">
        <f ca="1">$E349*(-SUMIF(INDIRECT(T$3),'Struktur Aktuell'!$D349,INDIRECT(T$4))+SUMIF(INDIRECT(T$3),'Struktur Aktuell'!$D349,INDIRECT(T$5)))</f>
        <v>0</v>
      </c>
      <c r="U349" s="593">
        <f ca="1">$E349*(-SUMIF(INDIRECT(U$3),'Struktur Aktuell'!$D349,INDIRECT(U$4))+SUMIF(INDIRECT(U$3),'Struktur Aktuell'!$D349,INDIRECT(U$5)))</f>
        <v>0</v>
      </c>
      <c r="V349" s="593">
        <f ca="1">$E349*(-SUMIF(INDIRECT(V$3),'Struktur Aktuell'!$D349,INDIRECT(V$4))+SUMIF(INDIRECT(V$3),'Struktur Aktuell'!$D349,INDIRECT(V$5)))</f>
        <v>0</v>
      </c>
      <c r="W349" s="593">
        <f ca="1">$E349*(-SUMIF(INDIRECT(W$3),'Struktur Aktuell'!$D349,INDIRECT(W$4))+SUMIF(INDIRECT(W$3),'Struktur Aktuell'!$D349,INDIRECT(W$5)))</f>
        <v>0</v>
      </c>
      <c r="X349" s="593">
        <f ca="1">$E349*(-SUMIF(INDIRECT(X$3),'Struktur Aktuell'!$D349,INDIRECT(X$4))+SUMIF(INDIRECT(X$3),'Struktur Aktuell'!$D349,INDIRECT(X$5)))</f>
        <v>0</v>
      </c>
      <c r="Y349" s="593">
        <f ca="1">$E349*(-SUMIF(INDIRECT(Y$3),'Struktur Aktuell'!$D349,INDIRECT(Y$4))+SUMIF(INDIRECT(Y$3),'Struktur Aktuell'!$D349,INDIRECT(Y$5)))</f>
        <v>0</v>
      </c>
      <c r="Z349" s="593">
        <f ca="1">$E349*(-SUMIF(INDIRECT(Z$3),'Struktur Aktuell'!$D349,INDIRECT(Z$4))+SUMIF(INDIRECT(Z$3),'Struktur Aktuell'!$D349,INDIRECT(Z$5)))</f>
        <v>0</v>
      </c>
      <c r="AA349" s="593">
        <f ca="1">$E349*(-SUMIF(INDIRECT(AA$3),'Struktur Aktuell'!$D349,INDIRECT(AA$4))+SUMIF(INDIRECT(AA$3),'Struktur Aktuell'!$D349,INDIRECT(AA$5)))</f>
        <v>0</v>
      </c>
      <c r="AB349" s="593">
        <f ca="1">$E349*(-SUMIF(INDIRECT(AB$3),'Struktur Aktuell'!$D349,INDIRECT(AB$4))+SUMIF(INDIRECT(AB$3),'Struktur Aktuell'!$D349,INDIRECT(AB$5)))</f>
        <v>0</v>
      </c>
      <c r="AC349" s="593">
        <f ca="1">$E349*(-SUMIF(INDIRECT(AC$3),'Struktur Aktuell'!$D349,INDIRECT(AC$4))+SUMIF(INDIRECT(AC$3),'Struktur Aktuell'!$D349,INDIRECT(AC$5)))</f>
        <v>0</v>
      </c>
      <c r="AD349" s="593">
        <f ca="1">$E349*(-SUMIF(INDIRECT(AD$3),'Struktur Aktuell'!$D349,INDIRECT(AD$4))+SUMIF(INDIRECT(AD$3),'Struktur Aktuell'!$D349,INDIRECT(AD$5)))</f>
        <v>0</v>
      </c>
      <c r="AE349" s="593">
        <f t="shared" ca="1" si="523"/>
        <v>0</v>
      </c>
      <c r="AF349" s="593">
        <f t="shared" ca="1" si="524"/>
        <v>0</v>
      </c>
      <c r="AG349" s="593">
        <f t="shared" ca="1" si="525"/>
        <v>0</v>
      </c>
      <c r="AH349" s="593">
        <f t="shared" ca="1" si="526"/>
        <v>0</v>
      </c>
      <c r="AI349" s="593">
        <f t="shared" ca="1" si="527"/>
        <v>0</v>
      </c>
      <c r="AJ349" s="593">
        <f t="shared" ca="1" si="528"/>
        <v>0</v>
      </c>
      <c r="AK349" s="593">
        <f t="shared" ca="1" si="529"/>
        <v>0</v>
      </c>
      <c r="AL349" s="593">
        <f t="shared" ca="1" si="530"/>
        <v>0</v>
      </c>
      <c r="AM349" s="593">
        <f t="shared" ca="1" si="531"/>
        <v>0</v>
      </c>
      <c r="AN349" s="593">
        <f t="shared" ca="1" si="532"/>
        <v>0</v>
      </c>
      <c r="AO349" s="593">
        <f t="shared" ca="1" si="533"/>
        <v>0</v>
      </c>
      <c r="AP349" s="593">
        <f t="shared" ca="1" si="534"/>
        <v>0</v>
      </c>
    </row>
    <row r="350" spans="1:42" s="594" customFormat="1" ht="11.25" outlineLevel="1" x14ac:dyDescent="0.2">
      <c r="A350" s="590"/>
      <c r="B350" s="591" t="str">
        <f>IF(D350&lt;&gt;"",
IF(ISERROR(MATCH(D350,'Ist Aktuell Monat 01'!A:A,0))=FALSE,INDEX('Ist Aktuell Monat 01'!B:B,MATCH(D350,'Ist Aktuell Monat 01'!A:A,0)),
IF(ISERROR(MATCH(D350,'Ist Aktuell Monat 02'!A:A,0))=FALSE,INDEX('Ist Aktuell Monat 02'!B:B,MATCH(D350,'Ist Aktuell Monat 02'!A:A,0)),
IF(ISERROR(MATCH(D350,'Ist Aktuell Monat 03'!A:A,0))=FALSE,INDEX('Ist Aktuell Monat 03'!B:B,MATCH(D350,'Ist Aktuell Monat 03'!A:A,0)),
IF(ISERROR(MATCH(D350,'Ist Aktuell Monat 04'!A:A,0))=FALSE,INDEX('Ist Aktuell Monat 04'!B:B,MATCH(D350,'Ist Aktuell Monat 04'!A:A,0)),
IF(ISERROR(MATCH(D350,'Ist Aktuell Monat 05'!A:A,0))=FALSE,INDEX('Ist Aktuell Monat 05'!B:B,MATCH(D350,'Ist Aktuell Monat 05'!A:A,0)),
IF(ISERROR(MATCH(D350,'Ist Aktuell Monat 06'!A:A,0))=FALSE,INDEX('Ist Aktuell Monat 06'!B:B,MATCH(D350,'Ist Aktuell Monat 06'!A:A,0)),
IF(ISERROR(MATCH(D350,'Ist Aktuell Monat 07'!A:A,0))=FALSE,INDEX('Ist Aktuell Monat 07'!B:B,MATCH(D350,'Ist Aktuell Monat 07'!A:A,0)),
IF(ISERROR(MATCH(D350,'Ist Aktuell Monat 08'!A:A,0))=FALSE,INDEX('Ist Aktuell Monat 08'!B:B,MATCH(D350,'Ist Aktuell Monat 08'!A:A,0)),
IF(ISERROR(MATCH(D350,'Ist Aktuell Monat 09'!A:A,0))=FALSE,INDEX('Ist Aktuell Monat 09'!B:B,MATCH(D350,'Ist Aktuell Monat 09'!A:A,0)),
IF(ISERROR(MATCH(D350,'Ist Aktuell Monat 10'!A:A,0))=FALSE,INDEX('Ist Aktuell Monat 10'!B:B,MATCH(D350,'Ist Aktuell Monat 10'!A:A,0)),
IF(ISERROR(MATCH(D350,'Ist Aktuell Monat 11'!A:A,0))=FALSE,INDEX('Ist Aktuell Monat 11'!B:B,MATCH(D350,'Ist Aktuell Monat 11'!A:A,0)),
IF(ISERROR(MATCH(D350,'Ist Aktuell Monat 12'!A:A,0))=FALSE,INDEX('Ist Aktuell Monat 12'!B:B,MATCH(D350,'Ist Aktuell Monat 12'!A:A,0)),
"{Konto unbekannt}"
)))))))))))),"")</f>
        <v/>
      </c>
      <c r="C350" s="591"/>
      <c r="D350" s="590"/>
      <c r="E350" s="592">
        <f>IF(F350="-",-1,1)</f>
        <v>-1</v>
      </c>
      <c r="F350" s="590" t="s">
        <v>996</v>
      </c>
      <c r="G350" s="593">
        <f ca="1">$E350*(-SUMIF(INDIRECT(G$3),'Struktur Aktuell'!$D350,INDIRECT(G$4))+SUMIF(INDIRECT(G$3),'Struktur Aktuell'!$D350,INDIRECT(G$5)))</f>
        <v>0</v>
      </c>
      <c r="H350" s="593">
        <f ca="1">$E350*(-SUMIF(INDIRECT(H$3),'Struktur Aktuell'!$D350,INDIRECT(H$4))+SUMIF(INDIRECT(H$3),'Struktur Aktuell'!$D350,INDIRECT(H$5)))</f>
        <v>0</v>
      </c>
      <c r="I350" s="593">
        <f ca="1">$E350*(-SUMIF(INDIRECT(I$3),'Struktur Aktuell'!$D350,INDIRECT(I$4))+SUMIF(INDIRECT(I$3),'Struktur Aktuell'!$D350,INDIRECT(I$5)))</f>
        <v>0</v>
      </c>
      <c r="J350" s="593">
        <f ca="1">$E350*(-SUMIF(INDIRECT(J$3),'Struktur Aktuell'!$D350,INDIRECT(J$4))+SUMIF(INDIRECT(J$3),'Struktur Aktuell'!$D350,INDIRECT(J$5)))</f>
        <v>0</v>
      </c>
      <c r="K350" s="593">
        <f ca="1">$E350*(-SUMIF(INDIRECT(K$3),'Struktur Aktuell'!$D350,INDIRECT(K$4))+SUMIF(INDIRECT(K$3),'Struktur Aktuell'!$D350,INDIRECT(K$5)))</f>
        <v>0</v>
      </c>
      <c r="L350" s="593">
        <f ca="1">$E350*(-SUMIF(INDIRECT(L$3),'Struktur Aktuell'!$D350,INDIRECT(L$4))+SUMIF(INDIRECT(L$3),'Struktur Aktuell'!$D350,INDIRECT(L$5)))</f>
        <v>0</v>
      </c>
      <c r="M350" s="593">
        <f ca="1">$E350*(-SUMIF(INDIRECT(M$3),'Struktur Aktuell'!$D350,INDIRECT(M$4))+SUMIF(INDIRECT(M$3),'Struktur Aktuell'!$D350,INDIRECT(M$5)))</f>
        <v>0</v>
      </c>
      <c r="N350" s="593">
        <f ca="1">$E350*(-SUMIF(INDIRECT(N$3),'Struktur Aktuell'!$D350,INDIRECT(N$4))+SUMIF(INDIRECT(N$3),'Struktur Aktuell'!$D350,INDIRECT(N$5)))</f>
        <v>0</v>
      </c>
      <c r="O350" s="593">
        <f ca="1">$E350*(-SUMIF(INDIRECT(O$3),'Struktur Aktuell'!$D350,INDIRECT(O$4))+SUMIF(INDIRECT(O$3),'Struktur Aktuell'!$D350,INDIRECT(O$5)))</f>
        <v>0</v>
      </c>
      <c r="P350" s="593">
        <f ca="1">$E350*(-SUMIF(INDIRECT(P$3),'Struktur Aktuell'!$D350,INDIRECT(P$4))+SUMIF(INDIRECT(P$3),'Struktur Aktuell'!$D350,INDIRECT(P$5)))</f>
        <v>0</v>
      </c>
      <c r="Q350" s="593">
        <f ca="1">$E350*(-SUMIF(INDIRECT(Q$3),'Struktur Aktuell'!$D350,INDIRECT(Q$4))+SUMIF(INDIRECT(Q$3),'Struktur Aktuell'!$D350,INDIRECT(Q$5)))</f>
        <v>0</v>
      </c>
      <c r="R350" s="593">
        <f ca="1">$E350*(-SUMIF(INDIRECT(R$3),'Struktur Aktuell'!$D350,INDIRECT(R$4))+SUMIF(INDIRECT(R$3),'Struktur Aktuell'!$D350,INDIRECT(R$5)))</f>
        <v>0</v>
      </c>
      <c r="S350" s="593">
        <f ca="1">$E350*(-SUMIF(INDIRECT(S$3),'Struktur Aktuell'!$D350,INDIRECT(S$4))+SUMIF(INDIRECT(S$3),'Struktur Aktuell'!$D350,INDIRECT(S$5)))</f>
        <v>0</v>
      </c>
      <c r="T350" s="593">
        <f ca="1">$E350*(-SUMIF(INDIRECT(T$3),'Struktur Aktuell'!$D350,INDIRECT(T$4))+SUMIF(INDIRECT(T$3),'Struktur Aktuell'!$D350,INDIRECT(T$5)))</f>
        <v>0</v>
      </c>
      <c r="U350" s="593">
        <f ca="1">$E350*(-SUMIF(INDIRECT(U$3),'Struktur Aktuell'!$D350,INDIRECT(U$4))+SUMIF(INDIRECT(U$3),'Struktur Aktuell'!$D350,INDIRECT(U$5)))</f>
        <v>0</v>
      </c>
      <c r="V350" s="593">
        <f ca="1">$E350*(-SUMIF(INDIRECT(V$3),'Struktur Aktuell'!$D350,INDIRECT(V$4))+SUMIF(INDIRECT(V$3),'Struktur Aktuell'!$D350,INDIRECT(V$5)))</f>
        <v>0</v>
      </c>
      <c r="W350" s="593">
        <f ca="1">$E350*(-SUMIF(INDIRECT(W$3),'Struktur Aktuell'!$D350,INDIRECT(W$4))+SUMIF(INDIRECT(W$3),'Struktur Aktuell'!$D350,INDIRECT(W$5)))</f>
        <v>0</v>
      </c>
      <c r="X350" s="593">
        <f ca="1">$E350*(-SUMIF(INDIRECT(X$3),'Struktur Aktuell'!$D350,INDIRECT(X$4))+SUMIF(INDIRECT(X$3),'Struktur Aktuell'!$D350,INDIRECT(X$5)))</f>
        <v>0</v>
      </c>
      <c r="Y350" s="593">
        <f ca="1">$E350*(-SUMIF(INDIRECT(Y$3),'Struktur Aktuell'!$D350,INDIRECT(Y$4))+SUMIF(INDIRECT(Y$3),'Struktur Aktuell'!$D350,INDIRECT(Y$5)))</f>
        <v>0</v>
      </c>
      <c r="Z350" s="593">
        <f ca="1">$E350*(-SUMIF(INDIRECT(Z$3),'Struktur Aktuell'!$D350,INDIRECT(Z$4))+SUMIF(INDIRECT(Z$3),'Struktur Aktuell'!$D350,INDIRECT(Z$5)))</f>
        <v>0</v>
      </c>
      <c r="AA350" s="593">
        <f ca="1">$E350*(-SUMIF(INDIRECT(AA$3),'Struktur Aktuell'!$D350,INDIRECT(AA$4))+SUMIF(INDIRECT(AA$3),'Struktur Aktuell'!$D350,INDIRECT(AA$5)))</f>
        <v>0</v>
      </c>
      <c r="AB350" s="593">
        <f ca="1">$E350*(-SUMIF(INDIRECT(AB$3),'Struktur Aktuell'!$D350,INDIRECT(AB$4))+SUMIF(INDIRECT(AB$3),'Struktur Aktuell'!$D350,INDIRECT(AB$5)))</f>
        <v>0</v>
      </c>
      <c r="AC350" s="593">
        <f ca="1">$E350*(-SUMIF(INDIRECT(AC$3),'Struktur Aktuell'!$D350,INDIRECT(AC$4))+SUMIF(INDIRECT(AC$3),'Struktur Aktuell'!$D350,INDIRECT(AC$5)))</f>
        <v>0</v>
      </c>
      <c r="AD350" s="593">
        <f ca="1">$E350*(-SUMIF(INDIRECT(AD$3),'Struktur Aktuell'!$D350,INDIRECT(AD$4))+SUMIF(INDIRECT(AD$3),'Struktur Aktuell'!$D350,INDIRECT(AD$5)))</f>
        <v>0</v>
      </c>
      <c r="AE350" s="593">
        <f t="shared" ca="1" si="523"/>
        <v>0</v>
      </c>
      <c r="AF350" s="593">
        <f t="shared" ca="1" si="524"/>
        <v>0</v>
      </c>
      <c r="AG350" s="593">
        <f t="shared" ca="1" si="525"/>
        <v>0</v>
      </c>
      <c r="AH350" s="593">
        <f t="shared" ca="1" si="526"/>
        <v>0</v>
      </c>
      <c r="AI350" s="593">
        <f t="shared" ca="1" si="527"/>
        <v>0</v>
      </c>
      <c r="AJ350" s="593">
        <f t="shared" ca="1" si="528"/>
        <v>0</v>
      </c>
      <c r="AK350" s="593">
        <f t="shared" ca="1" si="529"/>
        <v>0</v>
      </c>
      <c r="AL350" s="593">
        <f t="shared" ca="1" si="530"/>
        <v>0</v>
      </c>
      <c r="AM350" s="593">
        <f t="shared" ca="1" si="531"/>
        <v>0</v>
      </c>
      <c r="AN350" s="593">
        <f t="shared" ca="1" si="532"/>
        <v>0</v>
      </c>
      <c r="AO350" s="593">
        <f t="shared" ca="1" si="533"/>
        <v>0</v>
      </c>
      <c r="AP350" s="593">
        <f t="shared" ca="1" si="534"/>
        <v>0</v>
      </c>
    </row>
    <row r="351" spans="1:42" s="594" customFormat="1" ht="11.25" outlineLevel="1" x14ac:dyDescent="0.2">
      <c r="A351" s="590"/>
      <c r="B351" s="591" t="str">
        <f>IF(D351&lt;&gt;"",
IF(ISERROR(MATCH(D351,'Ist Aktuell Monat 01'!A:A,0))=FALSE,INDEX('Ist Aktuell Monat 01'!B:B,MATCH(D351,'Ist Aktuell Monat 01'!A:A,0)),
IF(ISERROR(MATCH(D351,'Ist Aktuell Monat 02'!A:A,0))=FALSE,INDEX('Ist Aktuell Monat 02'!B:B,MATCH(D351,'Ist Aktuell Monat 02'!A:A,0)),
IF(ISERROR(MATCH(D351,'Ist Aktuell Monat 03'!A:A,0))=FALSE,INDEX('Ist Aktuell Monat 03'!B:B,MATCH(D351,'Ist Aktuell Monat 03'!A:A,0)),
IF(ISERROR(MATCH(D351,'Ist Aktuell Monat 04'!A:A,0))=FALSE,INDEX('Ist Aktuell Monat 04'!B:B,MATCH(D351,'Ist Aktuell Monat 04'!A:A,0)),
IF(ISERROR(MATCH(D351,'Ist Aktuell Monat 05'!A:A,0))=FALSE,INDEX('Ist Aktuell Monat 05'!B:B,MATCH(D351,'Ist Aktuell Monat 05'!A:A,0)),
IF(ISERROR(MATCH(D351,'Ist Aktuell Monat 06'!A:A,0))=FALSE,INDEX('Ist Aktuell Monat 06'!B:B,MATCH(D351,'Ist Aktuell Monat 06'!A:A,0)),
IF(ISERROR(MATCH(D351,'Ist Aktuell Monat 07'!A:A,0))=FALSE,INDEX('Ist Aktuell Monat 07'!B:B,MATCH(D351,'Ist Aktuell Monat 07'!A:A,0)),
IF(ISERROR(MATCH(D351,'Ist Aktuell Monat 08'!A:A,0))=FALSE,INDEX('Ist Aktuell Monat 08'!B:B,MATCH(D351,'Ist Aktuell Monat 08'!A:A,0)),
IF(ISERROR(MATCH(D351,'Ist Aktuell Monat 09'!A:A,0))=FALSE,INDEX('Ist Aktuell Monat 09'!B:B,MATCH(D351,'Ist Aktuell Monat 09'!A:A,0)),
IF(ISERROR(MATCH(D351,'Ist Aktuell Monat 10'!A:A,0))=FALSE,INDEX('Ist Aktuell Monat 10'!B:B,MATCH(D351,'Ist Aktuell Monat 10'!A:A,0)),
IF(ISERROR(MATCH(D351,'Ist Aktuell Monat 11'!A:A,0))=FALSE,INDEX('Ist Aktuell Monat 11'!B:B,MATCH(D351,'Ist Aktuell Monat 11'!A:A,0)),
IF(ISERROR(MATCH(D351,'Ist Aktuell Monat 12'!A:A,0))=FALSE,INDEX('Ist Aktuell Monat 12'!B:B,MATCH(D351,'Ist Aktuell Monat 12'!A:A,0)),
"{Konto unbekannt}"
)))))))))))),"")</f>
        <v/>
      </c>
      <c r="C351" s="591"/>
      <c r="D351" s="590"/>
      <c r="E351" s="592">
        <f t="shared" ref="E351:E353" si="535">IF(F351="-",-1,1)</f>
        <v>-1</v>
      </c>
      <c r="F351" s="590" t="s">
        <v>996</v>
      </c>
      <c r="G351" s="593">
        <f ca="1">$E351*(-SUMIF(INDIRECT(G$3),'Struktur Aktuell'!$D351,INDIRECT(G$4))+SUMIF(INDIRECT(G$3),'Struktur Aktuell'!$D351,INDIRECT(G$5)))</f>
        <v>0</v>
      </c>
      <c r="H351" s="593">
        <f ca="1">$E351*(-SUMIF(INDIRECT(H$3),'Struktur Aktuell'!$D351,INDIRECT(H$4))+SUMIF(INDIRECT(H$3),'Struktur Aktuell'!$D351,INDIRECT(H$5)))</f>
        <v>0</v>
      </c>
      <c r="I351" s="593">
        <f ca="1">$E351*(-SUMIF(INDIRECT(I$3),'Struktur Aktuell'!$D351,INDIRECT(I$4))+SUMIF(INDIRECT(I$3),'Struktur Aktuell'!$D351,INDIRECT(I$5)))</f>
        <v>0</v>
      </c>
      <c r="J351" s="593">
        <f ca="1">$E351*(-SUMIF(INDIRECT(J$3),'Struktur Aktuell'!$D351,INDIRECT(J$4))+SUMIF(INDIRECT(J$3),'Struktur Aktuell'!$D351,INDIRECT(J$5)))</f>
        <v>0</v>
      </c>
      <c r="K351" s="593">
        <f ca="1">$E351*(-SUMIF(INDIRECT(K$3),'Struktur Aktuell'!$D351,INDIRECT(K$4))+SUMIF(INDIRECT(K$3),'Struktur Aktuell'!$D351,INDIRECT(K$5)))</f>
        <v>0</v>
      </c>
      <c r="L351" s="593">
        <f ca="1">$E351*(-SUMIF(INDIRECT(L$3),'Struktur Aktuell'!$D351,INDIRECT(L$4))+SUMIF(INDIRECT(L$3),'Struktur Aktuell'!$D351,INDIRECT(L$5)))</f>
        <v>0</v>
      </c>
      <c r="M351" s="593">
        <f ca="1">$E351*(-SUMIF(INDIRECT(M$3),'Struktur Aktuell'!$D351,INDIRECT(M$4))+SUMIF(INDIRECT(M$3),'Struktur Aktuell'!$D351,INDIRECT(M$5)))</f>
        <v>0</v>
      </c>
      <c r="N351" s="593">
        <f ca="1">$E351*(-SUMIF(INDIRECT(N$3),'Struktur Aktuell'!$D351,INDIRECT(N$4))+SUMIF(INDIRECT(N$3),'Struktur Aktuell'!$D351,INDIRECT(N$5)))</f>
        <v>0</v>
      </c>
      <c r="O351" s="593">
        <f ca="1">$E351*(-SUMIF(INDIRECT(O$3),'Struktur Aktuell'!$D351,INDIRECT(O$4))+SUMIF(INDIRECT(O$3),'Struktur Aktuell'!$D351,INDIRECT(O$5)))</f>
        <v>0</v>
      </c>
      <c r="P351" s="593">
        <f ca="1">$E351*(-SUMIF(INDIRECT(P$3),'Struktur Aktuell'!$D351,INDIRECT(P$4))+SUMIF(INDIRECT(P$3),'Struktur Aktuell'!$D351,INDIRECT(P$5)))</f>
        <v>0</v>
      </c>
      <c r="Q351" s="593">
        <f ca="1">$E351*(-SUMIF(INDIRECT(Q$3),'Struktur Aktuell'!$D351,INDIRECT(Q$4))+SUMIF(INDIRECT(Q$3),'Struktur Aktuell'!$D351,INDIRECT(Q$5)))</f>
        <v>0</v>
      </c>
      <c r="R351" s="593">
        <f ca="1">$E351*(-SUMIF(INDIRECT(R$3),'Struktur Aktuell'!$D351,INDIRECT(R$4))+SUMIF(INDIRECT(R$3),'Struktur Aktuell'!$D351,INDIRECT(R$5)))</f>
        <v>0</v>
      </c>
      <c r="S351" s="593">
        <f ca="1">$E351*(-SUMIF(INDIRECT(S$3),'Struktur Aktuell'!$D351,INDIRECT(S$4))+SUMIF(INDIRECT(S$3),'Struktur Aktuell'!$D351,INDIRECT(S$5)))</f>
        <v>0</v>
      </c>
      <c r="T351" s="593">
        <f ca="1">$E351*(-SUMIF(INDIRECT(T$3),'Struktur Aktuell'!$D351,INDIRECT(T$4))+SUMIF(INDIRECT(T$3),'Struktur Aktuell'!$D351,INDIRECT(T$5)))</f>
        <v>0</v>
      </c>
      <c r="U351" s="593">
        <f ca="1">$E351*(-SUMIF(INDIRECT(U$3),'Struktur Aktuell'!$D351,INDIRECT(U$4))+SUMIF(INDIRECT(U$3),'Struktur Aktuell'!$D351,INDIRECT(U$5)))</f>
        <v>0</v>
      </c>
      <c r="V351" s="593">
        <f ca="1">$E351*(-SUMIF(INDIRECT(V$3),'Struktur Aktuell'!$D351,INDIRECT(V$4))+SUMIF(INDIRECT(V$3),'Struktur Aktuell'!$D351,INDIRECT(V$5)))</f>
        <v>0</v>
      </c>
      <c r="W351" s="593">
        <f ca="1">$E351*(-SUMIF(INDIRECT(W$3),'Struktur Aktuell'!$D351,INDIRECT(W$4))+SUMIF(INDIRECT(W$3),'Struktur Aktuell'!$D351,INDIRECT(W$5)))</f>
        <v>0</v>
      </c>
      <c r="X351" s="593">
        <f ca="1">$E351*(-SUMIF(INDIRECT(X$3),'Struktur Aktuell'!$D351,INDIRECT(X$4))+SUMIF(INDIRECT(X$3),'Struktur Aktuell'!$D351,INDIRECT(X$5)))</f>
        <v>0</v>
      </c>
      <c r="Y351" s="593">
        <f ca="1">$E351*(-SUMIF(INDIRECT(Y$3),'Struktur Aktuell'!$D351,INDIRECT(Y$4))+SUMIF(INDIRECT(Y$3),'Struktur Aktuell'!$D351,INDIRECT(Y$5)))</f>
        <v>0</v>
      </c>
      <c r="Z351" s="593">
        <f ca="1">$E351*(-SUMIF(INDIRECT(Z$3),'Struktur Aktuell'!$D351,INDIRECT(Z$4))+SUMIF(INDIRECT(Z$3),'Struktur Aktuell'!$D351,INDIRECT(Z$5)))</f>
        <v>0</v>
      </c>
      <c r="AA351" s="593">
        <f ca="1">$E351*(-SUMIF(INDIRECT(AA$3),'Struktur Aktuell'!$D351,INDIRECT(AA$4))+SUMIF(INDIRECT(AA$3),'Struktur Aktuell'!$D351,INDIRECT(AA$5)))</f>
        <v>0</v>
      </c>
      <c r="AB351" s="593">
        <f ca="1">$E351*(-SUMIF(INDIRECT(AB$3),'Struktur Aktuell'!$D351,INDIRECT(AB$4))+SUMIF(INDIRECT(AB$3),'Struktur Aktuell'!$D351,INDIRECT(AB$5)))</f>
        <v>0</v>
      </c>
      <c r="AC351" s="593">
        <f ca="1">$E351*(-SUMIF(INDIRECT(AC$3),'Struktur Aktuell'!$D351,INDIRECT(AC$4))+SUMIF(INDIRECT(AC$3),'Struktur Aktuell'!$D351,INDIRECT(AC$5)))</f>
        <v>0</v>
      </c>
      <c r="AD351" s="593">
        <f ca="1">$E351*(-SUMIF(INDIRECT(AD$3),'Struktur Aktuell'!$D351,INDIRECT(AD$4))+SUMIF(INDIRECT(AD$3),'Struktur Aktuell'!$D351,INDIRECT(AD$5)))</f>
        <v>0</v>
      </c>
      <c r="AE351" s="593">
        <f t="shared" ca="1" si="523"/>
        <v>0</v>
      </c>
      <c r="AF351" s="593">
        <f t="shared" ca="1" si="524"/>
        <v>0</v>
      </c>
      <c r="AG351" s="593">
        <f t="shared" ca="1" si="525"/>
        <v>0</v>
      </c>
      <c r="AH351" s="593">
        <f t="shared" ca="1" si="526"/>
        <v>0</v>
      </c>
      <c r="AI351" s="593">
        <f t="shared" ca="1" si="527"/>
        <v>0</v>
      </c>
      <c r="AJ351" s="593">
        <f t="shared" ca="1" si="528"/>
        <v>0</v>
      </c>
      <c r="AK351" s="593">
        <f t="shared" ca="1" si="529"/>
        <v>0</v>
      </c>
      <c r="AL351" s="593">
        <f t="shared" ca="1" si="530"/>
        <v>0</v>
      </c>
      <c r="AM351" s="593">
        <f t="shared" ca="1" si="531"/>
        <v>0</v>
      </c>
      <c r="AN351" s="593">
        <f t="shared" ca="1" si="532"/>
        <v>0</v>
      </c>
      <c r="AO351" s="593">
        <f t="shared" ca="1" si="533"/>
        <v>0</v>
      </c>
      <c r="AP351" s="593">
        <f t="shared" ca="1" si="534"/>
        <v>0</v>
      </c>
    </row>
    <row r="352" spans="1:42" s="594" customFormat="1" ht="11.25" outlineLevel="1" x14ac:dyDescent="0.2">
      <c r="A352" s="590"/>
      <c r="B352" s="591" t="str">
        <f>IF(D352&lt;&gt;"",
IF(ISERROR(MATCH(D352,'Ist Aktuell Monat 01'!A:A,0))=FALSE,INDEX('Ist Aktuell Monat 01'!B:B,MATCH(D352,'Ist Aktuell Monat 01'!A:A,0)),
IF(ISERROR(MATCH(D352,'Ist Aktuell Monat 02'!A:A,0))=FALSE,INDEX('Ist Aktuell Monat 02'!B:B,MATCH(D352,'Ist Aktuell Monat 02'!A:A,0)),
IF(ISERROR(MATCH(D352,'Ist Aktuell Monat 03'!A:A,0))=FALSE,INDEX('Ist Aktuell Monat 03'!B:B,MATCH(D352,'Ist Aktuell Monat 03'!A:A,0)),
IF(ISERROR(MATCH(D352,'Ist Aktuell Monat 04'!A:A,0))=FALSE,INDEX('Ist Aktuell Monat 04'!B:B,MATCH(D352,'Ist Aktuell Monat 04'!A:A,0)),
IF(ISERROR(MATCH(D352,'Ist Aktuell Monat 05'!A:A,0))=FALSE,INDEX('Ist Aktuell Monat 05'!B:B,MATCH(D352,'Ist Aktuell Monat 05'!A:A,0)),
IF(ISERROR(MATCH(D352,'Ist Aktuell Monat 06'!A:A,0))=FALSE,INDEX('Ist Aktuell Monat 06'!B:B,MATCH(D352,'Ist Aktuell Monat 06'!A:A,0)),
IF(ISERROR(MATCH(D352,'Ist Aktuell Monat 07'!A:A,0))=FALSE,INDEX('Ist Aktuell Monat 07'!B:B,MATCH(D352,'Ist Aktuell Monat 07'!A:A,0)),
IF(ISERROR(MATCH(D352,'Ist Aktuell Monat 08'!A:A,0))=FALSE,INDEX('Ist Aktuell Monat 08'!B:B,MATCH(D352,'Ist Aktuell Monat 08'!A:A,0)),
IF(ISERROR(MATCH(D352,'Ist Aktuell Monat 09'!A:A,0))=FALSE,INDEX('Ist Aktuell Monat 09'!B:B,MATCH(D352,'Ist Aktuell Monat 09'!A:A,0)),
IF(ISERROR(MATCH(D352,'Ist Aktuell Monat 10'!A:A,0))=FALSE,INDEX('Ist Aktuell Monat 10'!B:B,MATCH(D352,'Ist Aktuell Monat 10'!A:A,0)),
IF(ISERROR(MATCH(D352,'Ist Aktuell Monat 11'!A:A,0))=FALSE,INDEX('Ist Aktuell Monat 11'!B:B,MATCH(D352,'Ist Aktuell Monat 11'!A:A,0)),
IF(ISERROR(MATCH(D352,'Ist Aktuell Monat 12'!A:A,0))=FALSE,INDEX('Ist Aktuell Monat 12'!B:B,MATCH(D352,'Ist Aktuell Monat 12'!A:A,0)),
"{Konto unbekannt}"
)))))))))))),"")</f>
        <v/>
      </c>
      <c r="C352" s="591"/>
      <c r="D352" s="590"/>
      <c r="E352" s="592">
        <f t="shared" si="535"/>
        <v>-1</v>
      </c>
      <c r="F352" s="590" t="s">
        <v>996</v>
      </c>
      <c r="G352" s="593">
        <f ca="1">$E352*(-SUMIF(INDIRECT(G$3),'Struktur Aktuell'!$D352,INDIRECT(G$4))+SUMIF(INDIRECT(G$3),'Struktur Aktuell'!$D352,INDIRECT(G$5)))</f>
        <v>0</v>
      </c>
      <c r="H352" s="593">
        <f ca="1">$E352*(-SUMIF(INDIRECT(H$3),'Struktur Aktuell'!$D352,INDIRECT(H$4))+SUMIF(INDIRECT(H$3),'Struktur Aktuell'!$D352,INDIRECT(H$5)))</f>
        <v>0</v>
      </c>
      <c r="I352" s="593">
        <f ca="1">$E352*(-SUMIF(INDIRECT(I$3),'Struktur Aktuell'!$D352,INDIRECT(I$4))+SUMIF(INDIRECT(I$3),'Struktur Aktuell'!$D352,INDIRECT(I$5)))</f>
        <v>0</v>
      </c>
      <c r="J352" s="593">
        <f ca="1">$E352*(-SUMIF(INDIRECT(J$3),'Struktur Aktuell'!$D352,INDIRECT(J$4))+SUMIF(INDIRECT(J$3),'Struktur Aktuell'!$D352,INDIRECT(J$5)))</f>
        <v>0</v>
      </c>
      <c r="K352" s="593">
        <f ca="1">$E352*(-SUMIF(INDIRECT(K$3),'Struktur Aktuell'!$D352,INDIRECT(K$4))+SUMIF(INDIRECT(K$3),'Struktur Aktuell'!$D352,INDIRECT(K$5)))</f>
        <v>0</v>
      </c>
      <c r="L352" s="593">
        <f ca="1">$E352*(-SUMIF(INDIRECT(L$3),'Struktur Aktuell'!$D352,INDIRECT(L$4))+SUMIF(INDIRECT(L$3),'Struktur Aktuell'!$D352,INDIRECT(L$5)))</f>
        <v>0</v>
      </c>
      <c r="M352" s="593">
        <f ca="1">$E352*(-SUMIF(INDIRECT(M$3),'Struktur Aktuell'!$D352,INDIRECT(M$4))+SUMIF(INDIRECT(M$3),'Struktur Aktuell'!$D352,INDIRECT(M$5)))</f>
        <v>0</v>
      </c>
      <c r="N352" s="593">
        <f ca="1">$E352*(-SUMIF(INDIRECT(N$3),'Struktur Aktuell'!$D352,INDIRECT(N$4))+SUMIF(INDIRECT(N$3),'Struktur Aktuell'!$D352,INDIRECT(N$5)))</f>
        <v>0</v>
      </c>
      <c r="O352" s="593">
        <f ca="1">$E352*(-SUMIF(INDIRECT(O$3),'Struktur Aktuell'!$D352,INDIRECT(O$4))+SUMIF(INDIRECT(O$3),'Struktur Aktuell'!$D352,INDIRECT(O$5)))</f>
        <v>0</v>
      </c>
      <c r="P352" s="593">
        <f ca="1">$E352*(-SUMIF(INDIRECT(P$3),'Struktur Aktuell'!$D352,INDIRECT(P$4))+SUMIF(INDIRECT(P$3),'Struktur Aktuell'!$D352,INDIRECT(P$5)))</f>
        <v>0</v>
      </c>
      <c r="Q352" s="593">
        <f ca="1">$E352*(-SUMIF(INDIRECT(Q$3),'Struktur Aktuell'!$D352,INDIRECT(Q$4))+SUMIF(INDIRECT(Q$3),'Struktur Aktuell'!$D352,INDIRECT(Q$5)))</f>
        <v>0</v>
      </c>
      <c r="R352" s="593">
        <f ca="1">$E352*(-SUMIF(INDIRECT(R$3),'Struktur Aktuell'!$D352,INDIRECT(R$4))+SUMIF(INDIRECT(R$3),'Struktur Aktuell'!$D352,INDIRECT(R$5)))</f>
        <v>0</v>
      </c>
      <c r="S352" s="593">
        <f ca="1">$E352*(-SUMIF(INDIRECT(S$3),'Struktur Aktuell'!$D352,INDIRECT(S$4))+SUMIF(INDIRECT(S$3),'Struktur Aktuell'!$D352,INDIRECT(S$5)))</f>
        <v>0</v>
      </c>
      <c r="T352" s="593">
        <f ca="1">$E352*(-SUMIF(INDIRECT(T$3),'Struktur Aktuell'!$D352,INDIRECT(T$4))+SUMIF(INDIRECT(T$3),'Struktur Aktuell'!$D352,INDIRECT(T$5)))</f>
        <v>0</v>
      </c>
      <c r="U352" s="593">
        <f ca="1">$E352*(-SUMIF(INDIRECT(U$3),'Struktur Aktuell'!$D352,INDIRECT(U$4))+SUMIF(INDIRECT(U$3),'Struktur Aktuell'!$D352,INDIRECT(U$5)))</f>
        <v>0</v>
      </c>
      <c r="V352" s="593">
        <f ca="1">$E352*(-SUMIF(INDIRECT(V$3),'Struktur Aktuell'!$D352,INDIRECT(V$4))+SUMIF(INDIRECT(V$3),'Struktur Aktuell'!$D352,INDIRECT(V$5)))</f>
        <v>0</v>
      </c>
      <c r="W352" s="593">
        <f ca="1">$E352*(-SUMIF(INDIRECT(W$3),'Struktur Aktuell'!$D352,INDIRECT(W$4))+SUMIF(INDIRECT(W$3),'Struktur Aktuell'!$D352,INDIRECT(W$5)))</f>
        <v>0</v>
      </c>
      <c r="X352" s="593">
        <f ca="1">$E352*(-SUMIF(INDIRECT(X$3),'Struktur Aktuell'!$D352,INDIRECT(X$4))+SUMIF(INDIRECT(X$3),'Struktur Aktuell'!$D352,INDIRECT(X$5)))</f>
        <v>0</v>
      </c>
      <c r="Y352" s="593">
        <f ca="1">$E352*(-SUMIF(INDIRECT(Y$3),'Struktur Aktuell'!$D352,INDIRECT(Y$4))+SUMIF(INDIRECT(Y$3),'Struktur Aktuell'!$D352,INDIRECT(Y$5)))</f>
        <v>0</v>
      </c>
      <c r="Z352" s="593">
        <f ca="1">$E352*(-SUMIF(INDIRECT(Z$3),'Struktur Aktuell'!$D352,INDIRECT(Z$4))+SUMIF(INDIRECT(Z$3),'Struktur Aktuell'!$D352,INDIRECT(Z$5)))</f>
        <v>0</v>
      </c>
      <c r="AA352" s="593">
        <f ca="1">$E352*(-SUMIF(INDIRECT(AA$3),'Struktur Aktuell'!$D352,INDIRECT(AA$4))+SUMIF(INDIRECT(AA$3),'Struktur Aktuell'!$D352,INDIRECT(AA$5)))</f>
        <v>0</v>
      </c>
      <c r="AB352" s="593">
        <f ca="1">$E352*(-SUMIF(INDIRECT(AB$3),'Struktur Aktuell'!$D352,INDIRECT(AB$4))+SUMIF(INDIRECT(AB$3),'Struktur Aktuell'!$D352,INDIRECT(AB$5)))</f>
        <v>0</v>
      </c>
      <c r="AC352" s="593">
        <f ca="1">$E352*(-SUMIF(INDIRECT(AC$3),'Struktur Aktuell'!$D352,INDIRECT(AC$4))+SUMIF(INDIRECT(AC$3),'Struktur Aktuell'!$D352,INDIRECT(AC$5)))</f>
        <v>0</v>
      </c>
      <c r="AD352" s="593">
        <f ca="1">$E352*(-SUMIF(INDIRECT(AD$3),'Struktur Aktuell'!$D352,INDIRECT(AD$4))+SUMIF(INDIRECT(AD$3),'Struktur Aktuell'!$D352,INDIRECT(AD$5)))</f>
        <v>0</v>
      </c>
      <c r="AE352" s="593">
        <f t="shared" ca="1" si="523"/>
        <v>0</v>
      </c>
      <c r="AF352" s="593">
        <f t="shared" ca="1" si="524"/>
        <v>0</v>
      </c>
      <c r="AG352" s="593">
        <f t="shared" ca="1" si="525"/>
        <v>0</v>
      </c>
      <c r="AH352" s="593">
        <f t="shared" ca="1" si="526"/>
        <v>0</v>
      </c>
      <c r="AI352" s="593">
        <f t="shared" ca="1" si="527"/>
        <v>0</v>
      </c>
      <c r="AJ352" s="593">
        <f t="shared" ca="1" si="528"/>
        <v>0</v>
      </c>
      <c r="AK352" s="593">
        <f t="shared" ca="1" si="529"/>
        <v>0</v>
      </c>
      <c r="AL352" s="593">
        <f t="shared" ca="1" si="530"/>
        <v>0</v>
      </c>
      <c r="AM352" s="593">
        <f t="shared" ca="1" si="531"/>
        <v>0</v>
      </c>
      <c r="AN352" s="593">
        <f t="shared" ca="1" si="532"/>
        <v>0</v>
      </c>
      <c r="AO352" s="593">
        <f t="shared" ca="1" si="533"/>
        <v>0</v>
      </c>
      <c r="AP352" s="593">
        <f t="shared" ca="1" si="534"/>
        <v>0</v>
      </c>
    </row>
    <row r="353" spans="1:42" s="594" customFormat="1" ht="11.25" outlineLevel="1" x14ac:dyDescent="0.2">
      <c r="A353" s="590"/>
      <c r="B353" s="591" t="str">
        <f>IF(D353&lt;&gt;"",
IF(ISERROR(MATCH(D353,'Ist Aktuell Monat 01'!A:A,0))=FALSE,INDEX('Ist Aktuell Monat 01'!B:B,MATCH(D353,'Ist Aktuell Monat 01'!A:A,0)),
IF(ISERROR(MATCH(D353,'Ist Aktuell Monat 02'!A:A,0))=FALSE,INDEX('Ist Aktuell Monat 02'!B:B,MATCH(D353,'Ist Aktuell Monat 02'!A:A,0)),
IF(ISERROR(MATCH(D353,'Ist Aktuell Monat 03'!A:A,0))=FALSE,INDEX('Ist Aktuell Monat 03'!B:B,MATCH(D353,'Ist Aktuell Monat 03'!A:A,0)),
IF(ISERROR(MATCH(D353,'Ist Aktuell Monat 04'!A:A,0))=FALSE,INDEX('Ist Aktuell Monat 04'!B:B,MATCH(D353,'Ist Aktuell Monat 04'!A:A,0)),
IF(ISERROR(MATCH(D353,'Ist Aktuell Monat 05'!A:A,0))=FALSE,INDEX('Ist Aktuell Monat 05'!B:B,MATCH(D353,'Ist Aktuell Monat 05'!A:A,0)),
IF(ISERROR(MATCH(D353,'Ist Aktuell Monat 06'!A:A,0))=FALSE,INDEX('Ist Aktuell Monat 06'!B:B,MATCH(D353,'Ist Aktuell Monat 06'!A:A,0)),
IF(ISERROR(MATCH(D353,'Ist Aktuell Monat 07'!A:A,0))=FALSE,INDEX('Ist Aktuell Monat 07'!B:B,MATCH(D353,'Ist Aktuell Monat 07'!A:A,0)),
IF(ISERROR(MATCH(D353,'Ist Aktuell Monat 08'!A:A,0))=FALSE,INDEX('Ist Aktuell Monat 08'!B:B,MATCH(D353,'Ist Aktuell Monat 08'!A:A,0)),
IF(ISERROR(MATCH(D353,'Ist Aktuell Monat 09'!A:A,0))=FALSE,INDEX('Ist Aktuell Monat 09'!B:B,MATCH(D353,'Ist Aktuell Monat 09'!A:A,0)),
IF(ISERROR(MATCH(D353,'Ist Aktuell Monat 10'!A:A,0))=FALSE,INDEX('Ist Aktuell Monat 10'!B:B,MATCH(D353,'Ist Aktuell Monat 10'!A:A,0)),
IF(ISERROR(MATCH(D353,'Ist Aktuell Monat 11'!A:A,0))=FALSE,INDEX('Ist Aktuell Monat 11'!B:B,MATCH(D353,'Ist Aktuell Monat 11'!A:A,0)),
IF(ISERROR(MATCH(D353,'Ist Aktuell Monat 12'!A:A,0))=FALSE,INDEX('Ist Aktuell Monat 12'!B:B,MATCH(D353,'Ist Aktuell Monat 12'!A:A,0)),
"{Konto unbekannt}"
)))))))))))),"")</f>
        <v/>
      </c>
      <c r="C353" s="591"/>
      <c r="D353" s="590"/>
      <c r="E353" s="592">
        <f t="shared" si="535"/>
        <v>-1</v>
      </c>
      <c r="F353" s="590" t="s">
        <v>996</v>
      </c>
      <c r="G353" s="593">
        <f ca="1">$E353*(-SUMIF(INDIRECT(G$3),'Struktur Aktuell'!$D353,INDIRECT(G$4))+SUMIF(INDIRECT(G$3),'Struktur Aktuell'!$D353,INDIRECT(G$5)))</f>
        <v>0</v>
      </c>
      <c r="H353" s="593">
        <f ca="1">$E353*(-SUMIF(INDIRECT(H$3),'Struktur Aktuell'!$D353,INDIRECT(H$4))+SUMIF(INDIRECT(H$3),'Struktur Aktuell'!$D353,INDIRECT(H$5)))</f>
        <v>0</v>
      </c>
      <c r="I353" s="593">
        <f ca="1">$E353*(-SUMIF(INDIRECT(I$3),'Struktur Aktuell'!$D353,INDIRECT(I$4))+SUMIF(INDIRECT(I$3),'Struktur Aktuell'!$D353,INDIRECT(I$5)))</f>
        <v>0</v>
      </c>
      <c r="J353" s="593">
        <f ca="1">$E353*(-SUMIF(INDIRECT(J$3),'Struktur Aktuell'!$D353,INDIRECT(J$4))+SUMIF(INDIRECT(J$3),'Struktur Aktuell'!$D353,INDIRECT(J$5)))</f>
        <v>0</v>
      </c>
      <c r="K353" s="593">
        <f ca="1">$E353*(-SUMIF(INDIRECT(K$3),'Struktur Aktuell'!$D353,INDIRECT(K$4))+SUMIF(INDIRECT(K$3),'Struktur Aktuell'!$D353,INDIRECT(K$5)))</f>
        <v>0</v>
      </c>
      <c r="L353" s="593">
        <f ca="1">$E353*(-SUMIF(INDIRECT(L$3),'Struktur Aktuell'!$D353,INDIRECT(L$4))+SUMIF(INDIRECT(L$3),'Struktur Aktuell'!$D353,INDIRECT(L$5)))</f>
        <v>0</v>
      </c>
      <c r="M353" s="593">
        <f ca="1">$E353*(-SUMIF(INDIRECT(M$3),'Struktur Aktuell'!$D353,INDIRECT(M$4))+SUMIF(INDIRECT(M$3),'Struktur Aktuell'!$D353,INDIRECT(M$5)))</f>
        <v>0</v>
      </c>
      <c r="N353" s="593">
        <f ca="1">$E353*(-SUMIF(INDIRECT(N$3),'Struktur Aktuell'!$D353,INDIRECT(N$4))+SUMIF(INDIRECT(N$3),'Struktur Aktuell'!$D353,INDIRECT(N$5)))</f>
        <v>0</v>
      </c>
      <c r="O353" s="593">
        <f ca="1">$E353*(-SUMIF(INDIRECT(O$3),'Struktur Aktuell'!$D353,INDIRECT(O$4))+SUMIF(INDIRECT(O$3),'Struktur Aktuell'!$D353,INDIRECT(O$5)))</f>
        <v>0</v>
      </c>
      <c r="P353" s="593">
        <f ca="1">$E353*(-SUMIF(INDIRECT(P$3),'Struktur Aktuell'!$D353,INDIRECT(P$4))+SUMIF(INDIRECT(P$3),'Struktur Aktuell'!$D353,INDIRECT(P$5)))</f>
        <v>0</v>
      </c>
      <c r="Q353" s="593">
        <f ca="1">$E353*(-SUMIF(INDIRECT(Q$3),'Struktur Aktuell'!$D353,INDIRECT(Q$4))+SUMIF(INDIRECT(Q$3),'Struktur Aktuell'!$D353,INDIRECT(Q$5)))</f>
        <v>0</v>
      </c>
      <c r="R353" s="593">
        <f ca="1">$E353*(-SUMIF(INDIRECT(R$3),'Struktur Aktuell'!$D353,INDIRECT(R$4))+SUMIF(INDIRECT(R$3),'Struktur Aktuell'!$D353,INDIRECT(R$5)))</f>
        <v>0</v>
      </c>
      <c r="S353" s="593">
        <f ca="1">$E353*(-SUMIF(INDIRECT(S$3),'Struktur Aktuell'!$D353,INDIRECT(S$4))+SUMIF(INDIRECT(S$3),'Struktur Aktuell'!$D353,INDIRECT(S$5)))</f>
        <v>0</v>
      </c>
      <c r="T353" s="593">
        <f ca="1">$E353*(-SUMIF(INDIRECT(T$3),'Struktur Aktuell'!$D353,INDIRECT(T$4))+SUMIF(INDIRECT(T$3),'Struktur Aktuell'!$D353,INDIRECT(T$5)))</f>
        <v>0</v>
      </c>
      <c r="U353" s="593">
        <f ca="1">$E353*(-SUMIF(INDIRECT(U$3),'Struktur Aktuell'!$D353,INDIRECT(U$4))+SUMIF(INDIRECT(U$3),'Struktur Aktuell'!$D353,INDIRECT(U$5)))</f>
        <v>0</v>
      </c>
      <c r="V353" s="593">
        <f ca="1">$E353*(-SUMIF(INDIRECT(V$3),'Struktur Aktuell'!$D353,INDIRECT(V$4))+SUMIF(INDIRECT(V$3),'Struktur Aktuell'!$D353,INDIRECT(V$5)))</f>
        <v>0</v>
      </c>
      <c r="W353" s="593">
        <f ca="1">$E353*(-SUMIF(INDIRECT(W$3),'Struktur Aktuell'!$D353,INDIRECT(W$4))+SUMIF(INDIRECT(W$3),'Struktur Aktuell'!$D353,INDIRECT(W$5)))</f>
        <v>0</v>
      </c>
      <c r="X353" s="593">
        <f ca="1">$E353*(-SUMIF(INDIRECT(X$3),'Struktur Aktuell'!$D353,INDIRECT(X$4))+SUMIF(INDIRECT(X$3),'Struktur Aktuell'!$D353,INDIRECT(X$5)))</f>
        <v>0</v>
      </c>
      <c r="Y353" s="593">
        <f ca="1">$E353*(-SUMIF(INDIRECT(Y$3),'Struktur Aktuell'!$D353,INDIRECT(Y$4))+SUMIF(INDIRECT(Y$3),'Struktur Aktuell'!$D353,INDIRECT(Y$5)))</f>
        <v>0</v>
      </c>
      <c r="Z353" s="593">
        <f ca="1">$E353*(-SUMIF(INDIRECT(Z$3),'Struktur Aktuell'!$D353,INDIRECT(Z$4))+SUMIF(INDIRECT(Z$3),'Struktur Aktuell'!$D353,INDIRECT(Z$5)))</f>
        <v>0</v>
      </c>
      <c r="AA353" s="593">
        <f ca="1">$E353*(-SUMIF(INDIRECT(AA$3),'Struktur Aktuell'!$D353,INDIRECT(AA$4))+SUMIF(INDIRECT(AA$3),'Struktur Aktuell'!$D353,INDIRECT(AA$5)))</f>
        <v>0</v>
      </c>
      <c r="AB353" s="593">
        <f ca="1">$E353*(-SUMIF(INDIRECT(AB$3),'Struktur Aktuell'!$D353,INDIRECT(AB$4))+SUMIF(INDIRECT(AB$3),'Struktur Aktuell'!$D353,INDIRECT(AB$5)))</f>
        <v>0</v>
      </c>
      <c r="AC353" s="593">
        <f ca="1">$E353*(-SUMIF(INDIRECT(AC$3),'Struktur Aktuell'!$D353,INDIRECT(AC$4))+SUMIF(INDIRECT(AC$3),'Struktur Aktuell'!$D353,INDIRECT(AC$5)))</f>
        <v>0</v>
      </c>
      <c r="AD353" s="593">
        <f ca="1">$E353*(-SUMIF(INDIRECT(AD$3),'Struktur Aktuell'!$D353,INDIRECT(AD$4))+SUMIF(INDIRECT(AD$3),'Struktur Aktuell'!$D353,INDIRECT(AD$5)))</f>
        <v>0</v>
      </c>
      <c r="AE353" s="593">
        <f t="shared" ca="1" si="523"/>
        <v>0</v>
      </c>
      <c r="AF353" s="593">
        <f t="shared" ca="1" si="524"/>
        <v>0</v>
      </c>
      <c r="AG353" s="593">
        <f t="shared" ca="1" si="525"/>
        <v>0</v>
      </c>
      <c r="AH353" s="593">
        <f t="shared" ca="1" si="526"/>
        <v>0</v>
      </c>
      <c r="AI353" s="593">
        <f t="shared" ca="1" si="527"/>
        <v>0</v>
      </c>
      <c r="AJ353" s="593">
        <f t="shared" ca="1" si="528"/>
        <v>0</v>
      </c>
      <c r="AK353" s="593">
        <f t="shared" ca="1" si="529"/>
        <v>0</v>
      </c>
      <c r="AL353" s="593">
        <f t="shared" ca="1" si="530"/>
        <v>0</v>
      </c>
      <c r="AM353" s="593">
        <f t="shared" ca="1" si="531"/>
        <v>0</v>
      </c>
      <c r="AN353" s="593">
        <f t="shared" ca="1" si="532"/>
        <v>0</v>
      </c>
      <c r="AO353" s="593">
        <f t="shared" ca="1" si="533"/>
        <v>0</v>
      </c>
      <c r="AP353" s="593">
        <f t="shared" ca="1" si="534"/>
        <v>0</v>
      </c>
    </row>
    <row r="354" spans="1:42" s="589" customFormat="1" x14ac:dyDescent="0.2">
      <c r="A354" s="595"/>
      <c r="B354" s="596" t="s">
        <v>1021</v>
      </c>
      <c r="C354" s="597">
        <f ca="1">SUM(G354:R354)</f>
        <v>-2906.05</v>
      </c>
      <c r="D354" s="597"/>
      <c r="E354" s="598">
        <f t="shared" si="381"/>
        <v>1</v>
      </c>
      <c r="F354" s="595"/>
      <c r="G354" s="597">
        <f ca="1">-G315-G321-G328+G333+G340+G347</f>
        <v>2.4599999999999795</v>
      </c>
      <c r="H354" s="597">
        <f t="shared" ref="H354:R354" ca="1" si="536">-H315-H321-H328+H333+H340+H347</f>
        <v>-232.51999999999998</v>
      </c>
      <c r="I354" s="597">
        <f t="shared" ca="1" si="536"/>
        <v>-400.51</v>
      </c>
      <c r="J354" s="597">
        <f t="shared" ca="1" si="536"/>
        <v>-346.14</v>
      </c>
      <c r="K354" s="597">
        <f t="shared" ca="1" si="536"/>
        <v>-740.75</v>
      </c>
      <c r="L354" s="597">
        <f t="shared" ca="1" si="536"/>
        <v>-416.7600000000001</v>
      </c>
      <c r="M354" s="597">
        <f t="shared" ca="1" si="536"/>
        <v>-169.61999999999989</v>
      </c>
      <c r="N354" s="597">
        <f t="shared" ca="1" si="536"/>
        <v>-148.03999999999996</v>
      </c>
      <c r="O354" s="597">
        <f t="shared" ca="1" si="536"/>
        <v>-181.51000000000002</v>
      </c>
      <c r="P354" s="597">
        <f t="shared" ca="1" si="536"/>
        <v>-272.66000000000003</v>
      </c>
      <c r="Q354" s="597">
        <f t="shared" ca="1" si="536"/>
        <v>0</v>
      </c>
      <c r="R354" s="597">
        <f t="shared" ca="1" si="536"/>
        <v>0</v>
      </c>
      <c r="S354" s="597">
        <f ca="1">-S315-S321-S328+S333+S340+S347</f>
        <v>2.4599999999999795</v>
      </c>
      <c r="T354" s="597">
        <f t="shared" ref="T354:AD354" ca="1" si="537">-T315-T321-T328+T333+T340+T347</f>
        <v>-230.06000000000003</v>
      </c>
      <c r="U354" s="597">
        <f t="shared" ca="1" si="537"/>
        <v>-630.57000000000005</v>
      </c>
      <c r="V354" s="597">
        <f t="shared" ca="1" si="537"/>
        <v>-976.70999999999992</v>
      </c>
      <c r="W354" s="597">
        <f t="shared" ca="1" si="537"/>
        <v>-1717.46</v>
      </c>
      <c r="X354" s="597">
        <f t="shared" ca="1" si="537"/>
        <v>-2134.2199999999998</v>
      </c>
      <c r="Y354" s="597">
        <f t="shared" ca="1" si="537"/>
        <v>-2303.84</v>
      </c>
      <c r="Z354" s="597">
        <f t="shared" ca="1" si="537"/>
        <v>-2451.88</v>
      </c>
      <c r="AA354" s="597">
        <f t="shared" ca="1" si="537"/>
        <v>-2633.3900000000003</v>
      </c>
      <c r="AB354" s="597">
        <f t="shared" ca="1" si="537"/>
        <v>-2906.0499999999993</v>
      </c>
      <c r="AC354" s="597">
        <f t="shared" ca="1" si="537"/>
        <v>0</v>
      </c>
      <c r="AD354" s="597">
        <f t="shared" ca="1" si="537"/>
        <v>0</v>
      </c>
      <c r="AE354" s="597">
        <f ca="1">-AE315-AE321-AE328+AE333+AE340+AE347</f>
        <v>2.4599999999999795</v>
      </c>
      <c r="AF354" s="597">
        <f t="shared" ref="AF354:AP354" ca="1" si="538">-AF315-AF321-AF328+AF333+AF340+AF347</f>
        <v>-230.05999999999997</v>
      </c>
      <c r="AG354" s="597">
        <f t="shared" ca="1" si="538"/>
        <v>-630.57000000000005</v>
      </c>
      <c r="AH354" s="597">
        <f t="shared" ca="1" si="538"/>
        <v>-976.70999999999992</v>
      </c>
      <c r="AI354" s="597">
        <f t="shared" ca="1" si="538"/>
        <v>-1717.46</v>
      </c>
      <c r="AJ354" s="597">
        <f t="shared" ca="1" si="538"/>
        <v>-2134.2199999999998</v>
      </c>
      <c r="AK354" s="597">
        <f t="shared" ca="1" si="538"/>
        <v>-2303.84</v>
      </c>
      <c r="AL354" s="597">
        <f t="shared" ca="1" si="538"/>
        <v>-2451.8799999999997</v>
      </c>
      <c r="AM354" s="597">
        <f t="shared" ca="1" si="538"/>
        <v>-2633.39</v>
      </c>
      <c r="AN354" s="597">
        <f t="shared" ca="1" si="538"/>
        <v>-2906.0499999999993</v>
      </c>
      <c r="AO354" s="597">
        <f t="shared" ca="1" si="538"/>
        <v>-2906.0499999999993</v>
      </c>
      <c r="AP354" s="597">
        <f t="shared" ca="1" si="538"/>
        <v>-2906.0499999999993</v>
      </c>
    </row>
    <row r="355" spans="1:42" x14ac:dyDescent="0.2">
      <c r="A355" s="595"/>
      <c r="B355" s="596" t="s">
        <v>380</v>
      </c>
      <c r="C355" s="597">
        <f ca="1">SUM(G355:R355)</f>
        <v>-35375.869999999988</v>
      </c>
      <c r="D355" s="597"/>
      <c r="E355" s="598">
        <f t="shared" si="381"/>
        <v>1</v>
      </c>
      <c r="F355" s="595"/>
      <c r="G355" s="597">
        <f ca="1">G314+G354</f>
        <v>-9326.6600000000017</v>
      </c>
      <c r="H355" s="597">
        <f t="shared" ref="H355:R355" ca="1" si="539">H314+H354</f>
        <v>-8749.98</v>
      </c>
      <c r="I355" s="597">
        <f t="shared" ca="1" si="539"/>
        <v>-17690.62</v>
      </c>
      <c r="J355" s="597">
        <f t="shared" ca="1" si="539"/>
        <v>-9703.7800000000025</v>
      </c>
      <c r="K355" s="597">
        <f t="shared" ca="1" si="539"/>
        <v>-15818.519999999997</v>
      </c>
      <c r="L355" s="597">
        <f t="shared" ca="1" si="539"/>
        <v>-9485.4499999999989</v>
      </c>
      <c r="M355" s="597">
        <f t="shared" ca="1" si="539"/>
        <v>27968.330000000005</v>
      </c>
      <c r="N355" s="597">
        <f t="shared" ca="1" si="539"/>
        <v>1091.8100000000011</v>
      </c>
      <c r="O355" s="597">
        <f t="shared" ca="1" si="539"/>
        <v>-7377.869999999999</v>
      </c>
      <c r="P355" s="597">
        <f t="shared" ca="1" si="539"/>
        <v>13716.87</v>
      </c>
      <c r="Q355" s="597">
        <f t="shared" ca="1" si="539"/>
        <v>0</v>
      </c>
      <c r="R355" s="597">
        <f t="shared" ca="1" si="539"/>
        <v>0</v>
      </c>
      <c r="S355" s="597">
        <f ca="1">S314+S354</f>
        <v>-9326.6600000000017</v>
      </c>
      <c r="T355" s="597">
        <f t="shared" ref="T355:AD355" ca="1" si="540">T314+T354</f>
        <v>-18076.640000000007</v>
      </c>
      <c r="U355" s="597">
        <f t="shared" ca="1" si="540"/>
        <v>-35767.260000000009</v>
      </c>
      <c r="V355" s="597">
        <f t="shared" ca="1" si="540"/>
        <v>-45471.040000000001</v>
      </c>
      <c r="W355" s="597">
        <f t="shared" ca="1" si="540"/>
        <v>-61289.56</v>
      </c>
      <c r="X355" s="597">
        <f t="shared" ca="1" si="540"/>
        <v>-70775.009999999995</v>
      </c>
      <c r="Y355" s="597">
        <f t="shared" ca="1" si="540"/>
        <v>-42806.679999999993</v>
      </c>
      <c r="Z355" s="597">
        <f t="shared" ca="1" si="540"/>
        <v>-41714.869999999988</v>
      </c>
      <c r="AA355" s="597">
        <f t="shared" ca="1" si="540"/>
        <v>-49092.740000000013</v>
      </c>
      <c r="AB355" s="597">
        <f t="shared" ca="1" si="540"/>
        <v>-35375.87000000001</v>
      </c>
      <c r="AC355" s="597">
        <f t="shared" ca="1" si="540"/>
        <v>0</v>
      </c>
      <c r="AD355" s="597">
        <f t="shared" ca="1" si="540"/>
        <v>0</v>
      </c>
      <c r="AE355" s="597">
        <f ca="1">AE314+AE354</f>
        <v>-9326.6600000000017</v>
      </c>
      <c r="AF355" s="597">
        <f t="shared" ref="AF355:AP355" ca="1" si="541">AF314+AF354</f>
        <v>-18076.640000000007</v>
      </c>
      <c r="AG355" s="597">
        <f t="shared" ca="1" si="541"/>
        <v>-35767.260000000009</v>
      </c>
      <c r="AH355" s="597">
        <f t="shared" ca="1" si="541"/>
        <v>-45471.040000000001</v>
      </c>
      <c r="AI355" s="597">
        <f t="shared" ca="1" si="541"/>
        <v>-61289.560000000005</v>
      </c>
      <c r="AJ355" s="597">
        <f t="shared" ca="1" si="541"/>
        <v>-70775.009999999995</v>
      </c>
      <c r="AK355" s="597">
        <f t="shared" ca="1" si="541"/>
        <v>-42806.679999999993</v>
      </c>
      <c r="AL355" s="597">
        <f t="shared" ca="1" si="541"/>
        <v>-41714.869999999988</v>
      </c>
      <c r="AM355" s="597">
        <f t="shared" ca="1" si="541"/>
        <v>-49092.740000000013</v>
      </c>
      <c r="AN355" s="597">
        <f t="shared" ca="1" si="541"/>
        <v>-35375.869999999952</v>
      </c>
      <c r="AO355" s="597">
        <f t="shared" ca="1" si="541"/>
        <v>-35375.869999999952</v>
      </c>
      <c r="AP355" s="597">
        <f t="shared" ca="1" si="541"/>
        <v>-35375.869999999952</v>
      </c>
    </row>
    <row r="356" spans="1:42" s="589" customFormat="1" x14ac:dyDescent="0.2">
      <c r="A356" s="585">
        <v>35</v>
      </c>
      <c r="B356" s="586" t="s">
        <v>381</v>
      </c>
      <c r="C356" s="587">
        <f ca="1">SUM(G356:R356)</f>
        <v>197.27999999999975</v>
      </c>
      <c r="D356" s="587"/>
      <c r="E356" s="588">
        <f t="shared" si="381"/>
        <v>1</v>
      </c>
      <c r="F356" s="585"/>
      <c r="G356" s="587">
        <f t="shared" ref="G356:R356" ca="1" si="542">SUM(G357:G365)</f>
        <v>0</v>
      </c>
      <c r="H356" s="587">
        <f t="shared" ca="1" si="542"/>
        <v>93</v>
      </c>
      <c r="I356" s="587">
        <f t="shared" ca="1" si="542"/>
        <v>197.28</v>
      </c>
      <c r="J356" s="587">
        <f t="shared" ca="1" si="542"/>
        <v>0</v>
      </c>
      <c r="K356" s="587">
        <f t="shared" ca="1" si="542"/>
        <v>5416.5</v>
      </c>
      <c r="L356" s="587">
        <f t="shared" ca="1" si="542"/>
        <v>0</v>
      </c>
      <c r="M356" s="587">
        <f t="shared" ca="1" si="542"/>
        <v>0</v>
      </c>
      <c r="N356" s="587">
        <f t="shared" ca="1" si="542"/>
        <v>0</v>
      </c>
      <c r="O356" s="587">
        <f t="shared" ca="1" si="542"/>
        <v>0</v>
      </c>
      <c r="P356" s="587">
        <f t="shared" ca="1" si="542"/>
        <v>-5509.5</v>
      </c>
      <c r="Q356" s="587">
        <f t="shared" ca="1" si="542"/>
        <v>0</v>
      </c>
      <c r="R356" s="587">
        <f t="shared" ca="1" si="542"/>
        <v>0</v>
      </c>
      <c r="S356" s="587">
        <f t="shared" ref="S356:AP356" ca="1" si="543">SUM(S357:S365)</f>
        <v>0</v>
      </c>
      <c r="T356" s="587">
        <f t="shared" ca="1" si="543"/>
        <v>93</v>
      </c>
      <c r="U356" s="587">
        <f t="shared" ca="1" si="543"/>
        <v>290.27999999999997</v>
      </c>
      <c r="V356" s="587">
        <f t="shared" ca="1" si="543"/>
        <v>290.27999999999997</v>
      </c>
      <c r="W356" s="587">
        <f t="shared" ca="1" si="543"/>
        <v>5706.78</v>
      </c>
      <c r="X356" s="587">
        <f t="shared" ca="1" si="543"/>
        <v>5706.78</v>
      </c>
      <c r="Y356" s="587">
        <f t="shared" ca="1" si="543"/>
        <v>5706.78</v>
      </c>
      <c r="Z356" s="587">
        <f t="shared" ca="1" si="543"/>
        <v>5706.78</v>
      </c>
      <c r="AA356" s="587">
        <f t="shared" ca="1" si="543"/>
        <v>5706.78</v>
      </c>
      <c r="AB356" s="587">
        <f t="shared" ca="1" si="543"/>
        <v>197.28</v>
      </c>
      <c r="AC356" s="587">
        <f t="shared" ca="1" si="543"/>
        <v>0</v>
      </c>
      <c r="AD356" s="587">
        <f t="shared" ca="1" si="543"/>
        <v>0</v>
      </c>
      <c r="AE356" s="587">
        <f t="shared" ca="1" si="543"/>
        <v>0</v>
      </c>
      <c r="AF356" s="587">
        <f t="shared" ca="1" si="543"/>
        <v>93</v>
      </c>
      <c r="AG356" s="587">
        <f t="shared" ca="1" si="543"/>
        <v>290.27999999999997</v>
      </c>
      <c r="AH356" s="587">
        <f t="shared" ca="1" si="543"/>
        <v>290.27999999999997</v>
      </c>
      <c r="AI356" s="587">
        <f t="shared" ca="1" si="543"/>
        <v>5706.78</v>
      </c>
      <c r="AJ356" s="587">
        <f t="shared" ca="1" si="543"/>
        <v>5706.78</v>
      </c>
      <c r="AK356" s="587">
        <f t="shared" ca="1" si="543"/>
        <v>5706.78</v>
      </c>
      <c r="AL356" s="587">
        <f t="shared" ca="1" si="543"/>
        <v>5706.78</v>
      </c>
      <c r="AM356" s="587">
        <f t="shared" ca="1" si="543"/>
        <v>5706.78</v>
      </c>
      <c r="AN356" s="587">
        <f t="shared" ca="1" si="543"/>
        <v>197.28</v>
      </c>
      <c r="AO356" s="587">
        <f t="shared" ca="1" si="543"/>
        <v>197.28</v>
      </c>
      <c r="AP356" s="587">
        <f t="shared" ca="1" si="543"/>
        <v>197.28</v>
      </c>
    </row>
    <row r="357" spans="1:42" s="594" customFormat="1" ht="11.25" outlineLevel="1" x14ac:dyDescent="0.2">
      <c r="A357" s="590"/>
      <c r="B357" s="591" t="str">
        <f>IF(D357&lt;&gt;"",
IF(ISERROR(MATCH(D357,'Ist Aktuell Monat 01'!A:A,0))=FALSE,INDEX('Ist Aktuell Monat 01'!B:B,MATCH(D357,'Ist Aktuell Monat 01'!A:A,0)),
IF(ISERROR(MATCH(D357,'Ist Aktuell Monat 02'!A:A,0))=FALSE,INDEX('Ist Aktuell Monat 02'!B:B,MATCH(D357,'Ist Aktuell Monat 02'!A:A,0)),
IF(ISERROR(MATCH(D357,'Ist Aktuell Monat 03'!A:A,0))=FALSE,INDEX('Ist Aktuell Monat 03'!B:B,MATCH(D357,'Ist Aktuell Monat 03'!A:A,0)),
IF(ISERROR(MATCH(D357,'Ist Aktuell Monat 04'!A:A,0))=FALSE,INDEX('Ist Aktuell Monat 04'!B:B,MATCH(D357,'Ist Aktuell Monat 04'!A:A,0)),
IF(ISERROR(MATCH(D357,'Ist Aktuell Monat 05'!A:A,0))=FALSE,INDEX('Ist Aktuell Monat 05'!B:B,MATCH(D357,'Ist Aktuell Monat 05'!A:A,0)),
IF(ISERROR(MATCH(D357,'Ist Aktuell Monat 06'!A:A,0))=FALSE,INDEX('Ist Aktuell Monat 06'!B:B,MATCH(D357,'Ist Aktuell Monat 06'!A:A,0)),
IF(ISERROR(MATCH(D357,'Ist Aktuell Monat 07'!A:A,0))=FALSE,INDEX('Ist Aktuell Monat 07'!B:B,MATCH(D357,'Ist Aktuell Monat 07'!A:A,0)),
IF(ISERROR(MATCH(D357,'Ist Aktuell Monat 08'!A:A,0))=FALSE,INDEX('Ist Aktuell Monat 08'!B:B,MATCH(D357,'Ist Aktuell Monat 08'!A:A,0)),
IF(ISERROR(MATCH(D357,'Ist Aktuell Monat 09'!A:A,0))=FALSE,INDEX('Ist Aktuell Monat 09'!B:B,MATCH(D357,'Ist Aktuell Monat 09'!A:A,0)),
IF(ISERROR(MATCH(D357,'Ist Aktuell Monat 10'!A:A,0))=FALSE,INDEX('Ist Aktuell Monat 10'!B:B,MATCH(D357,'Ist Aktuell Monat 10'!A:A,0)),
IF(ISERROR(MATCH(D357,'Ist Aktuell Monat 11'!A:A,0))=FALSE,INDEX('Ist Aktuell Monat 11'!B:B,MATCH(D357,'Ist Aktuell Monat 11'!A:A,0)),
IF(ISERROR(MATCH(D357,'Ist Aktuell Monat 12'!A:A,0))=FALSE,INDEX('Ist Aktuell Monat 12'!B:B,MATCH(D357,'Ist Aktuell Monat 12'!A:A,0)),
"{Konto unbekannt}"
)))))))))))),"")</f>
        <v>Körperschaftsteuer</v>
      </c>
      <c r="C357" s="591"/>
      <c r="D357" s="590">
        <v>2200</v>
      </c>
      <c r="E357" s="592">
        <f t="shared" si="381"/>
        <v>1</v>
      </c>
      <c r="F357" s="590"/>
      <c r="G357" s="593">
        <f ca="1">$E357*(-SUMIF(INDIRECT(G$3),'Struktur Aktuell'!$D357,INDIRECT(G$4))+SUMIF(INDIRECT(G$3),'Struktur Aktuell'!$D357,INDIRECT(G$5)))</f>
        <v>0</v>
      </c>
      <c r="H357" s="593">
        <f ca="1">$E357*(-SUMIF(INDIRECT(H$3),'Struktur Aktuell'!$D357,INDIRECT(H$4))+SUMIF(INDIRECT(H$3),'Struktur Aktuell'!$D357,INDIRECT(H$5)))</f>
        <v>0</v>
      </c>
      <c r="I357" s="593">
        <f ca="1">$E357*(-SUMIF(INDIRECT(I$3),'Struktur Aktuell'!$D357,INDIRECT(I$4))+SUMIF(INDIRECT(I$3),'Struktur Aktuell'!$D357,INDIRECT(I$5)))</f>
        <v>197.28</v>
      </c>
      <c r="J357" s="593">
        <f ca="1">$E357*(-SUMIF(INDIRECT(J$3),'Struktur Aktuell'!$D357,INDIRECT(J$4))+SUMIF(INDIRECT(J$3),'Struktur Aktuell'!$D357,INDIRECT(J$5)))</f>
        <v>0</v>
      </c>
      <c r="K357" s="593">
        <f ca="1">$E357*(-SUMIF(INDIRECT(K$3),'Struktur Aktuell'!$D357,INDIRECT(K$4))+SUMIF(INDIRECT(K$3),'Struktur Aktuell'!$D357,INDIRECT(K$5)))</f>
        <v>0</v>
      </c>
      <c r="L357" s="593">
        <f ca="1">$E357*(-SUMIF(INDIRECT(L$3),'Struktur Aktuell'!$D357,INDIRECT(L$4))+SUMIF(INDIRECT(L$3),'Struktur Aktuell'!$D357,INDIRECT(L$5)))</f>
        <v>0</v>
      </c>
      <c r="M357" s="593">
        <f ca="1">$E357*(-SUMIF(INDIRECT(M$3),'Struktur Aktuell'!$D357,INDIRECT(M$4))+SUMIF(INDIRECT(M$3),'Struktur Aktuell'!$D357,INDIRECT(M$5)))</f>
        <v>0</v>
      </c>
      <c r="N357" s="593">
        <f ca="1">$E357*(-SUMIF(INDIRECT(N$3),'Struktur Aktuell'!$D357,INDIRECT(N$4))+SUMIF(INDIRECT(N$3),'Struktur Aktuell'!$D357,INDIRECT(N$5)))</f>
        <v>0</v>
      </c>
      <c r="O357" s="593">
        <f ca="1">$E357*(-SUMIF(INDIRECT(O$3),'Struktur Aktuell'!$D357,INDIRECT(O$4))+SUMIF(INDIRECT(O$3),'Struktur Aktuell'!$D357,INDIRECT(O$5)))</f>
        <v>0</v>
      </c>
      <c r="P357" s="593">
        <f ca="1">$E357*(-SUMIF(INDIRECT(P$3),'Struktur Aktuell'!$D357,INDIRECT(P$4))+SUMIF(INDIRECT(P$3),'Struktur Aktuell'!$D357,INDIRECT(P$5)))</f>
        <v>0</v>
      </c>
      <c r="Q357" s="593">
        <f ca="1">$E357*(-SUMIF(INDIRECT(Q$3),'Struktur Aktuell'!$D357,INDIRECT(Q$4))+SUMIF(INDIRECT(Q$3),'Struktur Aktuell'!$D357,INDIRECT(Q$5)))</f>
        <v>0</v>
      </c>
      <c r="R357" s="593">
        <f ca="1">$E357*(-SUMIF(INDIRECT(R$3),'Struktur Aktuell'!$D357,INDIRECT(R$4))+SUMIF(INDIRECT(R$3),'Struktur Aktuell'!$D357,INDIRECT(R$5)))</f>
        <v>0</v>
      </c>
      <c r="S357" s="593">
        <f ca="1">$E357*(-SUMIF(INDIRECT(S$3),'Struktur Aktuell'!$D357,INDIRECT(S$4))+SUMIF(INDIRECT(S$3),'Struktur Aktuell'!$D357,INDIRECT(S$5)))</f>
        <v>0</v>
      </c>
      <c r="T357" s="593">
        <f ca="1">$E357*(-SUMIF(INDIRECT(T$3),'Struktur Aktuell'!$D357,INDIRECT(T$4))+SUMIF(INDIRECT(T$3),'Struktur Aktuell'!$D357,INDIRECT(T$5)))</f>
        <v>0</v>
      </c>
      <c r="U357" s="593">
        <f ca="1">$E357*(-SUMIF(INDIRECT(U$3),'Struktur Aktuell'!$D357,INDIRECT(U$4))+SUMIF(INDIRECT(U$3),'Struktur Aktuell'!$D357,INDIRECT(U$5)))</f>
        <v>197.28</v>
      </c>
      <c r="V357" s="593">
        <f ca="1">$E357*(-SUMIF(INDIRECT(V$3),'Struktur Aktuell'!$D357,INDIRECT(V$4))+SUMIF(INDIRECT(V$3),'Struktur Aktuell'!$D357,INDIRECT(V$5)))</f>
        <v>197.28</v>
      </c>
      <c r="W357" s="593">
        <f ca="1">$E357*(-SUMIF(INDIRECT(W$3),'Struktur Aktuell'!$D357,INDIRECT(W$4))+SUMIF(INDIRECT(W$3),'Struktur Aktuell'!$D357,INDIRECT(W$5)))</f>
        <v>197.28</v>
      </c>
      <c r="X357" s="593">
        <f ca="1">$E357*(-SUMIF(INDIRECT(X$3),'Struktur Aktuell'!$D357,INDIRECT(X$4))+SUMIF(INDIRECT(X$3),'Struktur Aktuell'!$D357,INDIRECT(X$5)))</f>
        <v>197.28</v>
      </c>
      <c r="Y357" s="593">
        <f ca="1">$E357*(-SUMIF(INDIRECT(Y$3),'Struktur Aktuell'!$D357,INDIRECT(Y$4))+SUMIF(INDIRECT(Y$3),'Struktur Aktuell'!$D357,INDIRECT(Y$5)))</f>
        <v>197.28</v>
      </c>
      <c r="Z357" s="593">
        <f ca="1">$E357*(-SUMIF(INDIRECT(Z$3),'Struktur Aktuell'!$D357,INDIRECT(Z$4))+SUMIF(INDIRECT(Z$3),'Struktur Aktuell'!$D357,INDIRECT(Z$5)))</f>
        <v>197.28</v>
      </c>
      <c r="AA357" s="593">
        <f ca="1">$E357*(-SUMIF(INDIRECT(AA$3),'Struktur Aktuell'!$D357,INDIRECT(AA$4))+SUMIF(INDIRECT(AA$3),'Struktur Aktuell'!$D357,INDIRECT(AA$5)))</f>
        <v>197.28</v>
      </c>
      <c r="AB357" s="593">
        <f ca="1">$E357*(-SUMIF(INDIRECT(AB$3),'Struktur Aktuell'!$D357,INDIRECT(AB$4))+SUMIF(INDIRECT(AB$3),'Struktur Aktuell'!$D357,INDIRECT(AB$5)))</f>
        <v>197.28</v>
      </c>
      <c r="AC357" s="593">
        <f ca="1">$E357*(-SUMIF(INDIRECT(AC$3),'Struktur Aktuell'!$D357,INDIRECT(AC$4))+SUMIF(INDIRECT(AC$3),'Struktur Aktuell'!$D357,INDIRECT(AC$5)))</f>
        <v>0</v>
      </c>
      <c r="AD357" s="593">
        <f ca="1">$E357*(-SUMIF(INDIRECT(AD$3),'Struktur Aktuell'!$D357,INDIRECT(AD$4))+SUMIF(INDIRECT(AD$3),'Struktur Aktuell'!$D357,INDIRECT(AD$5)))</f>
        <v>0</v>
      </c>
      <c r="AE357" s="593">
        <f t="shared" ref="AE357:AE365" ca="1" si="544">G357</f>
        <v>0</v>
      </c>
      <c r="AF357" s="593">
        <f t="shared" ref="AF357:AF365" ca="1" si="545">H357+AE357</f>
        <v>0</v>
      </c>
      <c r="AG357" s="593">
        <f t="shared" ref="AG357:AG365" ca="1" si="546">I357+AF357</f>
        <v>197.28</v>
      </c>
      <c r="AH357" s="593">
        <f t="shared" ref="AH357:AH365" ca="1" si="547">J357+AG357</f>
        <v>197.28</v>
      </c>
      <c r="AI357" s="593">
        <f t="shared" ref="AI357:AI365" ca="1" si="548">K357+AH357</f>
        <v>197.28</v>
      </c>
      <c r="AJ357" s="593">
        <f t="shared" ref="AJ357:AJ365" ca="1" si="549">L357+AI357</f>
        <v>197.28</v>
      </c>
      <c r="AK357" s="593">
        <f t="shared" ref="AK357:AK365" ca="1" si="550">M357+AJ357</f>
        <v>197.28</v>
      </c>
      <c r="AL357" s="593">
        <f t="shared" ref="AL357:AL365" ca="1" si="551">N357+AK357</f>
        <v>197.28</v>
      </c>
      <c r="AM357" s="593">
        <f t="shared" ref="AM357:AM365" ca="1" si="552">O357+AL357</f>
        <v>197.28</v>
      </c>
      <c r="AN357" s="593">
        <f t="shared" ref="AN357:AN365" ca="1" si="553">P357+AM357</f>
        <v>197.28</v>
      </c>
      <c r="AO357" s="593">
        <f t="shared" ref="AO357:AO365" ca="1" si="554">Q357+AN357</f>
        <v>197.28</v>
      </c>
      <c r="AP357" s="593">
        <f t="shared" ref="AP357:AP365" ca="1" si="555">R357+AO357</f>
        <v>197.28</v>
      </c>
    </row>
    <row r="358" spans="1:42" s="594" customFormat="1" ht="11.25" outlineLevel="1" x14ac:dyDescent="0.2">
      <c r="A358" s="590"/>
      <c r="B358" s="591" t="str">
        <f>IF(D358&lt;&gt;"",
IF(ISERROR(MATCH(D358,'Ist Aktuell Monat 01'!A:A,0))=FALSE,INDEX('Ist Aktuell Monat 01'!B:B,MATCH(D358,'Ist Aktuell Monat 01'!A:A,0)),
IF(ISERROR(MATCH(D358,'Ist Aktuell Monat 02'!A:A,0))=FALSE,INDEX('Ist Aktuell Monat 02'!B:B,MATCH(D358,'Ist Aktuell Monat 02'!A:A,0)),
IF(ISERROR(MATCH(D358,'Ist Aktuell Monat 03'!A:A,0))=FALSE,INDEX('Ist Aktuell Monat 03'!B:B,MATCH(D358,'Ist Aktuell Monat 03'!A:A,0)),
IF(ISERROR(MATCH(D358,'Ist Aktuell Monat 04'!A:A,0))=FALSE,INDEX('Ist Aktuell Monat 04'!B:B,MATCH(D358,'Ist Aktuell Monat 04'!A:A,0)),
IF(ISERROR(MATCH(D358,'Ist Aktuell Monat 05'!A:A,0))=FALSE,INDEX('Ist Aktuell Monat 05'!B:B,MATCH(D358,'Ist Aktuell Monat 05'!A:A,0)),
IF(ISERROR(MATCH(D358,'Ist Aktuell Monat 06'!A:A,0))=FALSE,INDEX('Ist Aktuell Monat 06'!B:B,MATCH(D358,'Ist Aktuell Monat 06'!A:A,0)),
IF(ISERROR(MATCH(D358,'Ist Aktuell Monat 07'!A:A,0))=FALSE,INDEX('Ist Aktuell Monat 07'!B:B,MATCH(D358,'Ist Aktuell Monat 07'!A:A,0)),
IF(ISERROR(MATCH(D358,'Ist Aktuell Monat 08'!A:A,0))=FALSE,INDEX('Ist Aktuell Monat 08'!B:B,MATCH(D358,'Ist Aktuell Monat 08'!A:A,0)),
IF(ISERROR(MATCH(D358,'Ist Aktuell Monat 09'!A:A,0))=FALSE,INDEX('Ist Aktuell Monat 09'!B:B,MATCH(D358,'Ist Aktuell Monat 09'!A:A,0)),
IF(ISERROR(MATCH(D358,'Ist Aktuell Monat 10'!A:A,0))=FALSE,INDEX('Ist Aktuell Monat 10'!B:B,MATCH(D358,'Ist Aktuell Monat 10'!A:A,0)),
IF(ISERROR(MATCH(D358,'Ist Aktuell Monat 11'!A:A,0))=FALSE,INDEX('Ist Aktuell Monat 11'!B:B,MATCH(D358,'Ist Aktuell Monat 11'!A:A,0)),
IF(ISERROR(MATCH(D358,'Ist Aktuell Monat 12'!A:A,0))=FALSE,INDEX('Ist Aktuell Monat 12'!B:B,MATCH(D358,'Ist Aktuell Monat 12'!A:A,0)),
"{Konto unbekannt}"
)))))))))))),"")</f>
        <v>Gewerbesteuer</v>
      </c>
      <c r="C358" s="591"/>
      <c r="D358" s="590">
        <v>4320</v>
      </c>
      <c r="E358" s="592">
        <f t="shared" si="381"/>
        <v>1</v>
      </c>
      <c r="F358" s="590"/>
      <c r="G358" s="593">
        <f ca="1">$E358*(-SUMIF(INDIRECT(G$3),'Struktur Aktuell'!$D358,INDIRECT(G$4))+SUMIF(INDIRECT(G$3),'Struktur Aktuell'!$D358,INDIRECT(G$5)))</f>
        <v>0</v>
      </c>
      <c r="H358" s="593">
        <f ca="1">$E358*(-SUMIF(INDIRECT(H$3),'Struktur Aktuell'!$D358,INDIRECT(H$4))+SUMIF(INDIRECT(H$3),'Struktur Aktuell'!$D358,INDIRECT(H$5)))</f>
        <v>93</v>
      </c>
      <c r="I358" s="593">
        <f ca="1">$E358*(-SUMIF(INDIRECT(I$3),'Struktur Aktuell'!$D358,INDIRECT(I$4))+SUMIF(INDIRECT(I$3),'Struktur Aktuell'!$D358,INDIRECT(I$5)))</f>
        <v>0</v>
      </c>
      <c r="J358" s="593">
        <f ca="1">$E358*(-SUMIF(INDIRECT(J$3),'Struktur Aktuell'!$D358,INDIRECT(J$4))+SUMIF(INDIRECT(J$3),'Struktur Aktuell'!$D358,INDIRECT(J$5)))</f>
        <v>0</v>
      </c>
      <c r="K358" s="593">
        <f ca="1">$E358*(-SUMIF(INDIRECT(K$3),'Struktur Aktuell'!$D358,INDIRECT(K$4))+SUMIF(INDIRECT(K$3),'Struktur Aktuell'!$D358,INDIRECT(K$5)))</f>
        <v>5416.5</v>
      </c>
      <c r="L358" s="593">
        <f ca="1">$E358*(-SUMIF(INDIRECT(L$3),'Struktur Aktuell'!$D358,INDIRECT(L$4))+SUMIF(INDIRECT(L$3),'Struktur Aktuell'!$D358,INDIRECT(L$5)))</f>
        <v>0</v>
      </c>
      <c r="M358" s="593">
        <f ca="1">$E358*(-SUMIF(INDIRECT(M$3),'Struktur Aktuell'!$D358,INDIRECT(M$4))+SUMIF(INDIRECT(M$3),'Struktur Aktuell'!$D358,INDIRECT(M$5)))</f>
        <v>0</v>
      </c>
      <c r="N358" s="593">
        <f ca="1">$E358*(-SUMIF(INDIRECT(N$3),'Struktur Aktuell'!$D358,INDIRECT(N$4))+SUMIF(INDIRECT(N$3),'Struktur Aktuell'!$D358,INDIRECT(N$5)))</f>
        <v>0</v>
      </c>
      <c r="O358" s="593">
        <f ca="1">$E358*(-SUMIF(INDIRECT(O$3),'Struktur Aktuell'!$D358,INDIRECT(O$4))+SUMIF(INDIRECT(O$3),'Struktur Aktuell'!$D358,INDIRECT(O$5)))</f>
        <v>0</v>
      </c>
      <c r="P358" s="593">
        <f ca="1">$E358*(-SUMIF(INDIRECT(P$3),'Struktur Aktuell'!$D358,INDIRECT(P$4))+SUMIF(INDIRECT(P$3),'Struktur Aktuell'!$D358,INDIRECT(P$5)))</f>
        <v>-5509.5</v>
      </c>
      <c r="Q358" s="593">
        <f ca="1">$E358*(-SUMIF(INDIRECT(Q$3),'Struktur Aktuell'!$D358,INDIRECT(Q$4))+SUMIF(INDIRECT(Q$3),'Struktur Aktuell'!$D358,INDIRECT(Q$5)))</f>
        <v>0</v>
      </c>
      <c r="R358" s="593">
        <f ca="1">$E358*(-SUMIF(INDIRECT(R$3),'Struktur Aktuell'!$D358,INDIRECT(R$4))+SUMIF(INDIRECT(R$3),'Struktur Aktuell'!$D358,INDIRECT(R$5)))</f>
        <v>0</v>
      </c>
      <c r="S358" s="593">
        <f ca="1">$E358*(-SUMIF(INDIRECT(S$3),'Struktur Aktuell'!$D358,INDIRECT(S$4))+SUMIF(INDIRECT(S$3),'Struktur Aktuell'!$D358,INDIRECT(S$5)))</f>
        <v>0</v>
      </c>
      <c r="T358" s="593">
        <f ca="1">$E358*(-SUMIF(INDIRECT(T$3),'Struktur Aktuell'!$D358,INDIRECT(T$4))+SUMIF(INDIRECT(T$3),'Struktur Aktuell'!$D358,INDIRECT(T$5)))</f>
        <v>93</v>
      </c>
      <c r="U358" s="593">
        <f ca="1">$E358*(-SUMIF(INDIRECT(U$3),'Struktur Aktuell'!$D358,INDIRECT(U$4))+SUMIF(INDIRECT(U$3),'Struktur Aktuell'!$D358,INDIRECT(U$5)))</f>
        <v>93</v>
      </c>
      <c r="V358" s="593">
        <f ca="1">$E358*(-SUMIF(INDIRECT(V$3),'Struktur Aktuell'!$D358,INDIRECT(V$4))+SUMIF(INDIRECT(V$3),'Struktur Aktuell'!$D358,INDIRECT(V$5)))</f>
        <v>93</v>
      </c>
      <c r="W358" s="593">
        <f ca="1">$E358*(-SUMIF(INDIRECT(W$3),'Struktur Aktuell'!$D358,INDIRECT(W$4))+SUMIF(INDIRECT(W$3),'Struktur Aktuell'!$D358,INDIRECT(W$5)))</f>
        <v>5509.5</v>
      </c>
      <c r="X358" s="593">
        <f ca="1">$E358*(-SUMIF(INDIRECT(X$3),'Struktur Aktuell'!$D358,INDIRECT(X$4))+SUMIF(INDIRECT(X$3),'Struktur Aktuell'!$D358,INDIRECT(X$5)))</f>
        <v>5509.5</v>
      </c>
      <c r="Y358" s="593">
        <f ca="1">$E358*(-SUMIF(INDIRECT(Y$3),'Struktur Aktuell'!$D358,INDIRECT(Y$4))+SUMIF(INDIRECT(Y$3),'Struktur Aktuell'!$D358,INDIRECT(Y$5)))</f>
        <v>5509.5</v>
      </c>
      <c r="Z358" s="593">
        <f ca="1">$E358*(-SUMIF(INDIRECT(Z$3),'Struktur Aktuell'!$D358,INDIRECT(Z$4))+SUMIF(INDIRECT(Z$3),'Struktur Aktuell'!$D358,INDIRECT(Z$5)))</f>
        <v>5509.5</v>
      </c>
      <c r="AA358" s="593">
        <f ca="1">$E358*(-SUMIF(INDIRECT(AA$3),'Struktur Aktuell'!$D358,INDIRECT(AA$4))+SUMIF(INDIRECT(AA$3),'Struktur Aktuell'!$D358,INDIRECT(AA$5)))</f>
        <v>5509.5</v>
      </c>
      <c r="AB358" s="593">
        <f ca="1">$E358*(-SUMIF(INDIRECT(AB$3),'Struktur Aktuell'!$D358,INDIRECT(AB$4))+SUMIF(INDIRECT(AB$3),'Struktur Aktuell'!$D358,INDIRECT(AB$5)))</f>
        <v>0</v>
      </c>
      <c r="AC358" s="593">
        <f ca="1">$E358*(-SUMIF(INDIRECT(AC$3),'Struktur Aktuell'!$D358,INDIRECT(AC$4))+SUMIF(INDIRECT(AC$3),'Struktur Aktuell'!$D358,INDIRECT(AC$5)))</f>
        <v>0</v>
      </c>
      <c r="AD358" s="593">
        <f ca="1">$E358*(-SUMIF(INDIRECT(AD$3),'Struktur Aktuell'!$D358,INDIRECT(AD$4))+SUMIF(INDIRECT(AD$3),'Struktur Aktuell'!$D358,INDIRECT(AD$5)))</f>
        <v>0</v>
      </c>
      <c r="AE358" s="593">
        <f t="shared" ca="1" si="544"/>
        <v>0</v>
      </c>
      <c r="AF358" s="593">
        <f t="shared" ca="1" si="545"/>
        <v>93</v>
      </c>
      <c r="AG358" s="593">
        <f t="shared" ca="1" si="546"/>
        <v>93</v>
      </c>
      <c r="AH358" s="593">
        <f t="shared" ca="1" si="547"/>
        <v>93</v>
      </c>
      <c r="AI358" s="593">
        <f t="shared" ca="1" si="548"/>
        <v>5509.5</v>
      </c>
      <c r="AJ358" s="593">
        <f t="shared" ca="1" si="549"/>
        <v>5509.5</v>
      </c>
      <c r="AK358" s="593">
        <f t="shared" ca="1" si="550"/>
        <v>5509.5</v>
      </c>
      <c r="AL358" s="593">
        <f t="shared" ca="1" si="551"/>
        <v>5509.5</v>
      </c>
      <c r="AM358" s="593">
        <f t="shared" ca="1" si="552"/>
        <v>5509.5</v>
      </c>
      <c r="AN358" s="593">
        <f t="shared" ca="1" si="553"/>
        <v>0</v>
      </c>
      <c r="AO358" s="593">
        <f t="shared" ca="1" si="554"/>
        <v>0</v>
      </c>
      <c r="AP358" s="593">
        <f t="shared" ca="1" si="555"/>
        <v>0</v>
      </c>
    </row>
    <row r="359" spans="1:42" s="594" customFormat="1" ht="11.25" outlineLevel="1" x14ac:dyDescent="0.2">
      <c r="A359" s="590"/>
      <c r="B359" s="591" t="str">
        <f>IF(D359&lt;&gt;"",
IF(ISERROR(MATCH(D359,'Ist Aktuell Monat 01'!A:A,0))=FALSE,INDEX('Ist Aktuell Monat 01'!B:B,MATCH(D359,'Ist Aktuell Monat 01'!A:A,0)),
IF(ISERROR(MATCH(D359,'Ist Aktuell Monat 02'!A:A,0))=FALSE,INDEX('Ist Aktuell Monat 02'!B:B,MATCH(D359,'Ist Aktuell Monat 02'!A:A,0)),
IF(ISERROR(MATCH(D359,'Ist Aktuell Monat 03'!A:A,0))=FALSE,INDEX('Ist Aktuell Monat 03'!B:B,MATCH(D359,'Ist Aktuell Monat 03'!A:A,0)),
IF(ISERROR(MATCH(D359,'Ist Aktuell Monat 04'!A:A,0))=FALSE,INDEX('Ist Aktuell Monat 04'!B:B,MATCH(D359,'Ist Aktuell Monat 04'!A:A,0)),
IF(ISERROR(MATCH(D359,'Ist Aktuell Monat 05'!A:A,0))=FALSE,INDEX('Ist Aktuell Monat 05'!B:B,MATCH(D359,'Ist Aktuell Monat 05'!A:A,0)),
IF(ISERROR(MATCH(D359,'Ist Aktuell Monat 06'!A:A,0))=FALSE,INDEX('Ist Aktuell Monat 06'!B:B,MATCH(D359,'Ist Aktuell Monat 06'!A:A,0)),
IF(ISERROR(MATCH(D359,'Ist Aktuell Monat 07'!A:A,0))=FALSE,INDEX('Ist Aktuell Monat 07'!B:B,MATCH(D359,'Ist Aktuell Monat 07'!A:A,0)),
IF(ISERROR(MATCH(D359,'Ist Aktuell Monat 08'!A:A,0))=FALSE,INDEX('Ist Aktuell Monat 08'!B:B,MATCH(D359,'Ist Aktuell Monat 08'!A:A,0)),
IF(ISERROR(MATCH(D359,'Ist Aktuell Monat 09'!A:A,0))=FALSE,INDEX('Ist Aktuell Monat 09'!B:B,MATCH(D359,'Ist Aktuell Monat 09'!A:A,0)),
IF(ISERROR(MATCH(D359,'Ist Aktuell Monat 10'!A:A,0))=FALSE,INDEX('Ist Aktuell Monat 10'!B:B,MATCH(D359,'Ist Aktuell Monat 10'!A:A,0)),
IF(ISERROR(MATCH(D359,'Ist Aktuell Monat 11'!A:A,0))=FALSE,INDEX('Ist Aktuell Monat 11'!B:B,MATCH(D359,'Ist Aktuell Monat 11'!A:A,0)),
IF(ISERROR(MATCH(D359,'Ist Aktuell Monat 12'!A:A,0))=FALSE,INDEX('Ist Aktuell Monat 12'!B:B,MATCH(D359,'Ist Aktuell Monat 12'!A:A,0)),
"{Konto unbekannt}"
)))))))))))),"")</f>
        <v/>
      </c>
      <c r="C359" s="591"/>
      <c r="D359" s="590"/>
      <c r="E359" s="592">
        <f t="shared" si="381"/>
        <v>1</v>
      </c>
      <c r="F359" s="590"/>
      <c r="G359" s="593">
        <f ca="1">$E359*(-SUMIF(INDIRECT(G$3),'Struktur Aktuell'!$D359,INDIRECT(G$4))+SUMIF(INDIRECT(G$3),'Struktur Aktuell'!$D359,INDIRECT(G$5)))</f>
        <v>0</v>
      </c>
      <c r="H359" s="593">
        <f ca="1">$E359*(-SUMIF(INDIRECT(H$3),'Struktur Aktuell'!$D359,INDIRECT(H$4))+SUMIF(INDIRECT(H$3),'Struktur Aktuell'!$D359,INDIRECT(H$5)))</f>
        <v>0</v>
      </c>
      <c r="I359" s="593">
        <f ca="1">$E359*(-SUMIF(INDIRECT(I$3),'Struktur Aktuell'!$D359,INDIRECT(I$4))+SUMIF(INDIRECT(I$3),'Struktur Aktuell'!$D359,INDIRECT(I$5)))</f>
        <v>0</v>
      </c>
      <c r="J359" s="593">
        <f ca="1">$E359*(-SUMIF(INDIRECT(J$3),'Struktur Aktuell'!$D359,INDIRECT(J$4))+SUMIF(INDIRECT(J$3),'Struktur Aktuell'!$D359,INDIRECT(J$5)))</f>
        <v>0</v>
      </c>
      <c r="K359" s="593">
        <f ca="1">$E359*(-SUMIF(INDIRECT(K$3),'Struktur Aktuell'!$D359,INDIRECT(K$4))+SUMIF(INDIRECT(K$3),'Struktur Aktuell'!$D359,INDIRECT(K$5)))</f>
        <v>0</v>
      </c>
      <c r="L359" s="593">
        <f ca="1">$E359*(-SUMIF(INDIRECT(L$3),'Struktur Aktuell'!$D359,INDIRECT(L$4))+SUMIF(INDIRECT(L$3),'Struktur Aktuell'!$D359,INDIRECT(L$5)))</f>
        <v>0</v>
      </c>
      <c r="M359" s="593">
        <f ca="1">$E359*(-SUMIF(INDIRECT(M$3),'Struktur Aktuell'!$D359,INDIRECT(M$4))+SUMIF(INDIRECT(M$3),'Struktur Aktuell'!$D359,INDIRECT(M$5)))</f>
        <v>0</v>
      </c>
      <c r="N359" s="593">
        <f ca="1">$E359*(-SUMIF(INDIRECT(N$3),'Struktur Aktuell'!$D359,INDIRECT(N$4))+SUMIF(INDIRECT(N$3),'Struktur Aktuell'!$D359,INDIRECT(N$5)))</f>
        <v>0</v>
      </c>
      <c r="O359" s="593">
        <f ca="1">$E359*(-SUMIF(INDIRECT(O$3),'Struktur Aktuell'!$D359,INDIRECT(O$4))+SUMIF(INDIRECT(O$3),'Struktur Aktuell'!$D359,INDIRECT(O$5)))</f>
        <v>0</v>
      </c>
      <c r="P359" s="593">
        <f ca="1">$E359*(-SUMIF(INDIRECT(P$3),'Struktur Aktuell'!$D359,INDIRECT(P$4))+SUMIF(INDIRECT(P$3),'Struktur Aktuell'!$D359,INDIRECT(P$5)))</f>
        <v>0</v>
      </c>
      <c r="Q359" s="593">
        <f ca="1">$E359*(-SUMIF(INDIRECT(Q$3),'Struktur Aktuell'!$D359,INDIRECT(Q$4))+SUMIF(INDIRECT(Q$3),'Struktur Aktuell'!$D359,INDIRECT(Q$5)))</f>
        <v>0</v>
      </c>
      <c r="R359" s="593">
        <f ca="1">$E359*(-SUMIF(INDIRECT(R$3),'Struktur Aktuell'!$D359,INDIRECT(R$4))+SUMIF(INDIRECT(R$3),'Struktur Aktuell'!$D359,INDIRECT(R$5)))</f>
        <v>0</v>
      </c>
      <c r="S359" s="593">
        <f ca="1">$E359*(-SUMIF(INDIRECT(S$3),'Struktur Aktuell'!$D359,INDIRECT(S$4))+SUMIF(INDIRECT(S$3),'Struktur Aktuell'!$D359,INDIRECT(S$5)))</f>
        <v>0</v>
      </c>
      <c r="T359" s="593">
        <f ca="1">$E359*(-SUMIF(INDIRECT(T$3),'Struktur Aktuell'!$D359,INDIRECT(T$4))+SUMIF(INDIRECT(T$3),'Struktur Aktuell'!$D359,INDIRECT(T$5)))</f>
        <v>0</v>
      </c>
      <c r="U359" s="593">
        <f ca="1">$E359*(-SUMIF(INDIRECT(U$3),'Struktur Aktuell'!$D359,INDIRECT(U$4))+SUMIF(INDIRECT(U$3),'Struktur Aktuell'!$D359,INDIRECT(U$5)))</f>
        <v>0</v>
      </c>
      <c r="V359" s="593">
        <f ca="1">$E359*(-SUMIF(INDIRECT(V$3),'Struktur Aktuell'!$D359,INDIRECT(V$4))+SUMIF(INDIRECT(V$3),'Struktur Aktuell'!$D359,INDIRECT(V$5)))</f>
        <v>0</v>
      </c>
      <c r="W359" s="593">
        <f ca="1">$E359*(-SUMIF(INDIRECT(W$3),'Struktur Aktuell'!$D359,INDIRECT(W$4))+SUMIF(INDIRECT(W$3),'Struktur Aktuell'!$D359,INDIRECT(W$5)))</f>
        <v>0</v>
      </c>
      <c r="X359" s="593">
        <f ca="1">$E359*(-SUMIF(INDIRECT(X$3),'Struktur Aktuell'!$D359,INDIRECT(X$4))+SUMIF(INDIRECT(X$3),'Struktur Aktuell'!$D359,INDIRECT(X$5)))</f>
        <v>0</v>
      </c>
      <c r="Y359" s="593">
        <f ca="1">$E359*(-SUMIF(INDIRECT(Y$3),'Struktur Aktuell'!$D359,INDIRECT(Y$4))+SUMIF(INDIRECT(Y$3),'Struktur Aktuell'!$D359,INDIRECT(Y$5)))</f>
        <v>0</v>
      </c>
      <c r="Z359" s="593">
        <f ca="1">$E359*(-SUMIF(INDIRECT(Z$3),'Struktur Aktuell'!$D359,INDIRECT(Z$4))+SUMIF(INDIRECT(Z$3),'Struktur Aktuell'!$D359,INDIRECT(Z$5)))</f>
        <v>0</v>
      </c>
      <c r="AA359" s="593">
        <f ca="1">$E359*(-SUMIF(INDIRECT(AA$3),'Struktur Aktuell'!$D359,INDIRECT(AA$4))+SUMIF(INDIRECT(AA$3),'Struktur Aktuell'!$D359,INDIRECT(AA$5)))</f>
        <v>0</v>
      </c>
      <c r="AB359" s="593">
        <f ca="1">$E359*(-SUMIF(INDIRECT(AB$3),'Struktur Aktuell'!$D359,INDIRECT(AB$4))+SUMIF(INDIRECT(AB$3),'Struktur Aktuell'!$D359,INDIRECT(AB$5)))</f>
        <v>0</v>
      </c>
      <c r="AC359" s="593">
        <f ca="1">$E359*(-SUMIF(INDIRECT(AC$3),'Struktur Aktuell'!$D359,INDIRECT(AC$4))+SUMIF(INDIRECT(AC$3),'Struktur Aktuell'!$D359,INDIRECT(AC$5)))</f>
        <v>0</v>
      </c>
      <c r="AD359" s="593">
        <f ca="1">$E359*(-SUMIF(INDIRECT(AD$3),'Struktur Aktuell'!$D359,INDIRECT(AD$4))+SUMIF(INDIRECT(AD$3),'Struktur Aktuell'!$D359,INDIRECT(AD$5)))</f>
        <v>0</v>
      </c>
      <c r="AE359" s="593">
        <f t="shared" ca="1" si="544"/>
        <v>0</v>
      </c>
      <c r="AF359" s="593">
        <f t="shared" ca="1" si="545"/>
        <v>0</v>
      </c>
      <c r="AG359" s="593">
        <f t="shared" ca="1" si="546"/>
        <v>0</v>
      </c>
      <c r="AH359" s="593">
        <f t="shared" ca="1" si="547"/>
        <v>0</v>
      </c>
      <c r="AI359" s="593">
        <f t="shared" ca="1" si="548"/>
        <v>0</v>
      </c>
      <c r="AJ359" s="593">
        <f t="shared" ca="1" si="549"/>
        <v>0</v>
      </c>
      <c r="AK359" s="593">
        <f t="shared" ca="1" si="550"/>
        <v>0</v>
      </c>
      <c r="AL359" s="593">
        <f t="shared" ca="1" si="551"/>
        <v>0</v>
      </c>
      <c r="AM359" s="593">
        <f t="shared" ca="1" si="552"/>
        <v>0</v>
      </c>
      <c r="AN359" s="593">
        <f t="shared" ca="1" si="553"/>
        <v>0</v>
      </c>
      <c r="AO359" s="593">
        <f t="shared" ca="1" si="554"/>
        <v>0</v>
      </c>
      <c r="AP359" s="593">
        <f t="shared" ca="1" si="555"/>
        <v>0</v>
      </c>
    </row>
    <row r="360" spans="1:42" s="594" customFormat="1" ht="11.25" outlineLevel="1" x14ac:dyDescent="0.2">
      <c r="A360" s="590"/>
      <c r="B360" s="591" t="str">
        <f>IF(D360&lt;&gt;"",
IF(ISERROR(MATCH(D360,'Ist Aktuell Monat 01'!A:A,0))=FALSE,INDEX('Ist Aktuell Monat 01'!B:B,MATCH(D360,'Ist Aktuell Monat 01'!A:A,0)),
IF(ISERROR(MATCH(D360,'Ist Aktuell Monat 02'!A:A,0))=FALSE,INDEX('Ist Aktuell Monat 02'!B:B,MATCH(D360,'Ist Aktuell Monat 02'!A:A,0)),
IF(ISERROR(MATCH(D360,'Ist Aktuell Monat 03'!A:A,0))=FALSE,INDEX('Ist Aktuell Monat 03'!B:B,MATCH(D360,'Ist Aktuell Monat 03'!A:A,0)),
IF(ISERROR(MATCH(D360,'Ist Aktuell Monat 04'!A:A,0))=FALSE,INDEX('Ist Aktuell Monat 04'!B:B,MATCH(D360,'Ist Aktuell Monat 04'!A:A,0)),
IF(ISERROR(MATCH(D360,'Ist Aktuell Monat 05'!A:A,0))=FALSE,INDEX('Ist Aktuell Monat 05'!B:B,MATCH(D360,'Ist Aktuell Monat 05'!A:A,0)),
IF(ISERROR(MATCH(D360,'Ist Aktuell Monat 06'!A:A,0))=FALSE,INDEX('Ist Aktuell Monat 06'!B:B,MATCH(D360,'Ist Aktuell Monat 06'!A:A,0)),
IF(ISERROR(MATCH(D360,'Ist Aktuell Monat 07'!A:A,0))=FALSE,INDEX('Ist Aktuell Monat 07'!B:B,MATCH(D360,'Ist Aktuell Monat 07'!A:A,0)),
IF(ISERROR(MATCH(D360,'Ist Aktuell Monat 08'!A:A,0))=FALSE,INDEX('Ist Aktuell Monat 08'!B:B,MATCH(D360,'Ist Aktuell Monat 08'!A:A,0)),
IF(ISERROR(MATCH(D360,'Ist Aktuell Monat 09'!A:A,0))=FALSE,INDEX('Ist Aktuell Monat 09'!B:B,MATCH(D360,'Ist Aktuell Monat 09'!A:A,0)),
IF(ISERROR(MATCH(D360,'Ist Aktuell Monat 10'!A:A,0))=FALSE,INDEX('Ist Aktuell Monat 10'!B:B,MATCH(D360,'Ist Aktuell Monat 10'!A:A,0)),
IF(ISERROR(MATCH(D360,'Ist Aktuell Monat 11'!A:A,0))=FALSE,INDEX('Ist Aktuell Monat 11'!B:B,MATCH(D360,'Ist Aktuell Monat 11'!A:A,0)),
IF(ISERROR(MATCH(D360,'Ist Aktuell Monat 12'!A:A,0))=FALSE,INDEX('Ist Aktuell Monat 12'!B:B,MATCH(D360,'Ist Aktuell Monat 12'!A:A,0)),
"{Konto unbekannt}"
)))))))))))),"")</f>
        <v/>
      </c>
      <c r="C360" s="591"/>
      <c r="D360" s="590"/>
      <c r="E360" s="592">
        <f>IF(F360="-",-1,1)</f>
        <v>1</v>
      </c>
      <c r="F360" s="590"/>
      <c r="G360" s="593">
        <f ca="1">$E360*(-SUMIF(INDIRECT(G$3),'Struktur Aktuell'!$D360,INDIRECT(G$4))+SUMIF(INDIRECT(G$3),'Struktur Aktuell'!$D360,INDIRECT(G$5)))</f>
        <v>0</v>
      </c>
      <c r="H360" s="593">
        <f ca="1">$E360*(-SUMIF(INDIRECT(H$3),'Struktur Aktuell'!$D360,INDIRECT(H$4))+SUMIF(INDIRECT(H$3),'Struktur Aktuell'!$D360,INDIRECT(H$5)))</f>
        <v>0</v>
      </c>
      <c r="I360" s="593">
        <f ca="1">$E360*(-SUMIF(INDIRECT(I$3),'Struktur Aktuell'!$D360,INDIRECT(I$4))+SUMIF(INDIRECT(I$3),'Struktur Aktuell'!$D360,INDIRECT(I$5)))</f>
        <v>0</v>
      </c>
      <c r="J360" s="593">
        <f ca="1">$E360*(-SUMIF(INDIRECT(J$3),'Struktur Aktuell'!$D360,INDIRECT(J$4))+SUMIF(INDIRECT(J$3),'Struktur Aktuell'!$D360,INDIRECT(J$5)))</f>
        <v>0</v>
      </c>
      <c r="K360" s="593">
        <f ca="1">$E360*(-SUMIF(INDIRECT(K$3),'Struktur Aktuell'!$D360,INDIRECT(K$4))+SUMIF(INDIRECT(K$3),'Struktur Aktuell'!$D360,INDIRECT(K$5)))</f>
        <v>0</v>
      </c>
      <c r="L360" s="593">
        <f ca="1">$E360*(-SUMIF(INDIRECT(L$3),'Struktur Aktuell'!$D360,INDIRECT(L$4))+SUMIF(INDIRECT(L$3),'Struktur Aktuell'!$D360,INDIRECT(L$5)))</f>
        <v>0</v>
      </c>
      <c r="M360" s="593">
        <f ca="1">$E360*(-SUMIF(INDIRECT(M$3),'Struktur Aktuell'!$D360,INDIRECT(M$4))+SUMIF(INDIRECT(M$3),'Struktur Aktuell'!$D360,INDIRECT(M$5)))</f>
        <v>0</v>
      </c>
      <c r="N360" s="593">
        <f ca="1">$E360*(-SUMIF(INDIRECT(N$3),'Struktur Aktuell'!$D360,INDIRECT(N$4))+SUMIF(INDIRECT(N$3),'Struktur Aktuell'!$D360,INDIRECT(N$5)))</f>
        <v>0</v>
      </c>
      <c r="O360" s="593">
        <f ca="1">$E360*(-SUMIF(INDIRECT(O$3),'Struktur Aktuell'!$D360,INDIRECT(O$4))+SUMIF(INDIRECT(O$3),'Struktur Aktuell'!$D360,INDIRECT(O$5)))</f>
        <v>0</v>
      </c>
      <c r="P360" s="593">
        <f ca="1">$E360*(-SUMIF(INDIRECT(P$3),'Struktur Aktuell'!$D360,INDIRECT(P$4))+SUMIF(INDIRECT(P$3),'Struktur Aktuell'!$D360,INDIRECT(P$5)))</f>
        <v>0</v>
      </c>
      <c r="Q360" s="593">
        <f ca="1">$E360*(-SUMIF(INDIRECT(Q$3),'Struktur Aktuell'!$D360,INDIRECT(Q$4))+SUMIF(INDIRECT(Q$3),'Struktur Aktuell'!$D360,INDIRECT(Q$5)))</f>
        <v>0</v>
      </c>
      <c r="R360" s="593">
        <f ca="1">$E360*(-SUMIF(INDIRECT(R$3),'Struktur Aktuell'!$D360,INDIRECT(R$4))+SUMIF(INDIRECT(R$3),'Struktur Aktuell'!$D360,INDIRECT(R$5)))</f>
        <v>0</v>
      </c>
      <c r="S360" s="593">
        <f ca="1">$E360*(-SUMIF(INDIRECT(S$3),'Struktur Aktuell'!$D360,INDIRECT(S$4))+SUMIF(INDIRECT(S$3),'Struktur Aktuell'!$D360,INDIRECT(S$5)))</f>
        <v>0</v>
      </c>
      <c r="T360" s="593">
        <f ca="1">$E360*(-SUMIF(INDIRECT(T$3),'Struktur Aktuell'!$D360,INDIRECT(T$4))+SUMIF(INDIRECT(T$3),'Struktur Aktuell'!$D360,INDIRECT(T$5)))</f>
        <v>0</v>
      </c>
      <c r="U360" s="593">
        <f ca="1">$E360*(-SUMIF(INDIRECT(U$3),'Struktur Aktuell'!$D360,INDIRECT(U$4))+SUMIF(INDIRECT(U$3),'Struktur Aktuell'!$D360,INDIRECT(U$5)))</f>
        <v>0</v>
      </c>
      <c r="V360" s="593">
        <f ca="1">$E360*(-SUMIF(INDIRECT(V$3),'Struktur Aktuell'!$D360,INDIRECT(V$4))+SUMIF(INDIRECT(V$3),'Struktur Aktuell'!$D360,INDIRECT(V$5)))</f>
        <v>0</v>
      </c>
      <c r="W360" s="593">
        <f ca="1">$E360*(-SUMIF(INDIRECT(W$3),'Struktur Aktuell'!$D360,INDIRECT(W$4))+SUMIF(INDIRECT(W$3),'Struktur Aktuell'!$D360,INDIRECT(W$5)))</f>
        <v>0</v>
      </c>
      <c r="X360" s="593">
        <f ca="1">$E360*(-SUMIF(INDIRECT(X$3),'Struktur Aktuell'!$D360,INDIRECT(X$4))+SUMIF(INDIRECT(X$3),'Struktur Aktuell'!$D360,INDIRECT(X$5)))</f>
        <v>0</v>
      </c>
      <c r="Y360" s="593">
        <f ca="1">$E360*(-SUMIF(INDIRECT(Y$3),'Struktur Aktuell'!$D360,INDIRECT(Y$4))+SUMIF(INDIRECT(Y$3),'Struktur Aktuell'!$D360,INDIRECT(Y$5)))</f>
        <v>0</v>
      </c>
      <c r="Z360" s="593">
        <f ca="1">$E360*(-SUMIF(INDIRECT(Z$3),'Struktur Aktuell'!$D360,INDIRECT(Z$4))+SUMIF(INDIRECT(Z$3),'Struktur Aktuell'!$D360,INDIRECT(Z$5)))</f>
        <v>0</v>
      </c>
      <c r="AA360" s="593">
        <f ca="1">$E360*(-SUMIF(INDIRECT(AA$3),'Struktur Aktuell'!$D360,INDIRECT(AA$4))+SUMIF(INDIRECT(AA$3),'Struktur Aktuell'!$D360,INDIRECT(AA$5)))</f>
        <v>0</v>
      </c>
      <c r="AB360" s="593">
        <f ca="1">$E360*(-SUMIF(INDIRECT(AB$3),'Struktur Aktuell'!$D360,INDIRECT(AB$4))+SUMIF(INDIRECT(AB$3),'Struktur Aktuell'!$D360,INDIRECT(AB$5)))</f>
        <v>0</v>
      </c>
      <c r="AC360" s="593">
        <f ca="1">$E360*(-SUMIF(INDIRECT(AC$3),'Struktur Aktuell'!$D360,INDIRECT(AC$4))+SUMIF(INDIRECT(AC$3),'Struktur Aktuell'!$D360,INDIRECT(AC$5)))</f>
        <v>0</v>
      </c>
      <c r="AD360" s="593">
        <f ca="1">$E360*(-SUMIF(INDIRECT(AD$3),'Struktur Aktuell'!$D360,INDIRECT(AD$4))+SUMIF(INDIRECT(AD$3),'Struktur Aktuell'!$D360,INDIRECT(AD$5)))</f>
        <v>0</v>
      </c>
      <c r="AE360" s="593">
        <f t="shared" ca="1" si="544"/>
        <v>0</v>
      </c>
      <c r="AF360" s="593">
        <f t="shared" ca="1" si="545"/>
        <v>0</v>
      </c>
      <c r="AG360" s="593">
        <f t="shared" ca="1" si="546"/>
        <v>0</v>
      </c>
      <c r="AH360" s="593">
        <f t="shared" ca="1" si="547"/>
        <v>0</v>
      </c>
      <c r="AI360" s="593">
        <f t="shared" ca="1" si="548"/>
        <v>0</v>
      </c>
      <c r="AJ360" s="593">
        <f t="shared" ca="1" si="549"/>
        <v>0</v>
      </c>
      <c r="AK360" s="593">
        <f t="shared" ca="1" si="550"/>
        <v>0</v>
      </c>
      <c r="AL360" s="593">
        <f t="shared" ca="1" si="551"/>
        <v>0</v>
      </c>
      <c r="AM360" s="593">
        <f t="shared" ca="1" si="552"/>
        <v>0</v>
      </c>
      <c r="AN360" s="593">
        <f t="shared" ca="1" si="553"/>
        <v>0</v>
      </c>
      <c r="AO360" s="593">
        <f t="shared" ca="1" si="554"/>
        <v>0</v>
      </c>
      <c r="AP360" s="593">
        <f t="shared" ca="1" si="555"/>
        <v>0</v>
      </c>
    </row>
    <row r="361" spans="1:42" s="594" customFormat="1" ht="11.25" outlineLevel="1" x14ac:dyDescent="0.2">
      <c r="A361" s="590"/>
      <c r="B361" s="591" t="str">
        <f>IF(D361&lt;&gt;"",
IF(ISERROR(MATCH(D361,'Ist Aktuell Monat 01'!A:A,0))=FALSE,INDEX('Ist Aktuell Monat 01'!B:B,MATCH(D361,'Ist Aktuell Monat 01'!A:A,0)),
IF(ISERROR(MATCH(D361,'Ist Aktuell Monat 02'!A:A,0))=FALSE,INDEX('Ist Aktuell Monat 02'!B:B,MATCH(D361,'Ist Aktuell Monat 02'!A:A,0)),
IF(ISERROR(MATCH(D361,'Ist Aktuell Monat 03'!A:A,0))=FALSE,INDEX('Ist Aktuell Monat 03'!B:B,MATCH(D361,'Ist Aktuell Monat 03'!A:A,0)),
IF(ISERROR(MATCH(D361,'Ist Aktuell Monat 04'!A:A,0))=FALSE,INDEX('Ist Aktuell Monat 04'!B:B,MATCH(D361,'Ist Aktuell Monat 04'!A:A,0)),
IF(ISERROR(MATCH(D361,'Ist Aktuell Monat 05'!A:A,0))=FALSE,INDEX('Ist Aktuell Monat 05'!B:B,MATCH(D361,'Ist Aktuell Monat 05'!A:A,0)),
IF(ISERROR(MATCH(D361,'Ist Aktuell Monat 06'!A:A,0))=FALSE,INDEX('Ist Aktuell Monat 06'!B:B,MATCH(D361,'Ist Aktuell Monat 06'!A:A,0)),
IF(ISERROR(MATCH(D361,'Ist Aktuell Monat 07'!A:A,0))=FALSE,INDEX('Ist Aktuell Monat 07'!B:B,MATCH(D361,'Ist Aktuell Monat 07'!A:A,0)),
IF(ISERROR(MATCH(D361,'Ist Aktuell Monat 08'!A:A,0))=FALSE,INDEX('Ist Aktuell Monat 08'!B:B,MATCH(D361,'Ist Aktuell Monat 08'!A:A,0)),
IF(ISERROR(MATCH(D361,'Ist Aktuell Monat 09'!A:A,0))=FALSE,INDEX('Ist Aktuell Monat 09'!B:B,MATCH(D361,'Ist Aktuell Monat 09'!A:A,0)),
IF(ISERROR(MATCH(D361,'Ist Aktuell Monat 10'!A:A,0))=FALSE,INDEX('Ist Aktuell Monat 10'!B:B,MATCH(D361,'Ist Aktuell Monat 10'!A:A,0)),
IF(ISERROR(MATCH(D361,'Ist Aktuell Monat 11'!A:A,0))=FALSE,INDEX('Ist Aktuell Monat 11'!B:B,MATCH(D361,'Ist Aktuell Monat 11'!A:A,0)),
IF(ISERROR(MATCH(D361,'Ist Aktuell Monat 12'!A:A,0))=FALSE,INDEX('Ist Aktuell Monat 12'!B:B,MATCH(D361,'Ist Aktuell Monat 12'!A:A,0)),
"{Konto unbekannt}"
)))))))))))),"")</f>
        <v/>
      </c>
      <c r="C361" s="591"/>
      <c r="D361" s="590"/>
      <c r="E361" s="592">
        <f>IF(F361="-",-1,1)</f>
        <v>1</v>
      </c>
      <c r="F361" s="590"/>
      <c r="G361" s="593">
        <f ca="1">$E361*(-SUMIF(INDIRECT(G$3),'Struktur Aktuell'!$D361,INDIRECT(G$4))+SUMIF(INDIRECT(G$3),'Struktur Aktuell'!$D361,INDIRECT(G$5)))</f>
        <v>0</v>
      </c>
      <c r="H361" s="593">
        <f ca="1">$E361*(-SUMIF(INDIRECT(H$3),'Struktur Aktuell'!$D361,INDIRECT(H$4))+SUMIF(INDIRECT(H$3),'Struktur Aktuell'!$D361,INDIRECT(H$5)))</f>
        <v>0</v>
      </c>
      <c r="I361" s="593">
        <f ca="1">$E361*(-SUMIF(INDIRECT(I$3),'Struktur Aktuell'!$D361,INDIRECT(I$4))+SUMIF(INDIRECT(I$3),'Struktur Aktuell'!$D361,INDIRECT(I$5)))</f>
        <v>0</v>
      </c>
      <c r="J361" s="593">
        <f ca="1">$E361*(-SUMIF(INDIRECT(J$3),'Struktur Aktuell'!$D361,INDIRECT(J$4))+SUMIF(INDIRECT(J$3),'Struktur Aktuell'!$D361,INDIRECT(J$5)))</f>
        <v>0</v>
      </c>
      <c r="K361" s="593">
        <f ca="1">$E361*(-SUMIF(INDIRECT(K$3),'Struktur Aktuell'!$D361,INDIRECT(K$4))+SUMIF(INDIRECT(K$3),'Struktur Aktuell'!$D361,INDIRECT(K$5)))</f>
        <v>0</v>
      </c>
      <c r="L361" s="593">
        <f ca="1">$E361*(-SUMIF(INDIRECT(L$3),'Struktur Aktuell'!$D361,INDIRECT(L$4))+SUMIF(INDIRECT(L$3),'Struktur Aktuell'!$D361,INDIRECT(L$5)))</f>
        <v>0</v>
      </c>
      <c r="M361" s="593">
        <f ca="1">$E361*(-SUMIF(INDIRECT(M$3),'Struktur Aktuell'!$D361,INDIRECT(M$4))+SUMIF(INDIRECT(M$3),'Struktur Aktuell'!$D361,INDIRECT(M$5)))</f>
        <v>0</v>
      </c>
      <c r="N361" s="593">
        <f ca="1">$E361*(-SUMIF(INDIRECT(N$3),'Struktur Aktuell'!$D361,INDIRECT(N$4))+SUMIF(INDIRECT(N$3),'Struktur Aktuell'!$D361,INDIRECT(N$5)))</f>
        <v>0</v>
      </c>
      <c r="O361" s="593">
        <f ca="1">$E361*(-SUMIF(INDIRECT(O$3),'Struktur Aktuell'!$D361,INDIRECT(O$4))+SUMIF(INDIRECT(O$3),'Struktur Aktuell'!$D361,INDIRECT(O$5)))</f>
        <v>0</v>
      </c>
      <c r="P361" s="593">
        <f ca="1">$E361*(-SUMIF(INDIRECT(P$3),'Struktur Aktuell'!$D361,INDIRECT(P$4))+SUMIF(INDIRECT(P$3),'Struktur Aktuell'!$D361,INDIRECT(P$5)))</f>
        <v>0</v>
      </c>
      <c r="Q361" s="593">
        <f ca="1">$E361*(-SUMIF(INDIRECT(Q$3),'Struktur Aktuell'!$D361,INDIRECT(Q$4))+SUMIF(INDIRECT(Q$3),'Struktur Aktuell'!$D361,INDIRECT(Q$5)))</f>
        <v>0</v>
      </c>
      <c r="R361" s="593">
        <f ca="1">$E361*(-SUMIF(INDIRECT(R$3),'Struktur Aktuell'!$D361,INDIRECT(R$4))+SUMIF(INDIRECT(R$3),'Struktur Aktuell'!$D361,INDIRECT(R$5)))</f>
        <v>0</v>
      </c>
      <c r="S361" s="593">
        <f ca="1">$E361*(-SUMIF(INDIRECT(S$3),'Struktur Aktuell'!$D361,INDIRECT(S$4))+SUMIF(INDIRECT(S$3),'Struktur Aktuell'!$D361,INDIRECT(S$5)))</f>
        <v>0</v>
      </c>
      <c r="T361" s="593">
        <f ca="1">$E361*(-SUMIF(INDIRECT(T$3),'Struktur Aktuell'!$D361,INDIRECT(T$4))+SUMIF(INDIRECT(T$3),'Struktur Aktuell'!$D361,INDIRECT(T$5)))</f>
        <v>0</v>
      </c>
      <c r="U361" s="593">
        <f ca="1">$E361*(-SUMIF(INDIRECT(U$3),'Struktur Aktuell'!$D361,INDIRECT(U$4))+SUMIF(INDIRECT(U$3),'Struktur Aktuell'!$D361,INDIRECT(U$5)))</f>
        <v>0</v>
      </c>
      <c r="V361" s="593">
        <f ca="1">$E361*(-SUMIF(INDIRECT(V$3),'Struktur Aktuell'!$D361,INDIRECT(V$4))+SUMIF(INDIRECT(V$3),'Struktur Aktuell'!$D361,INDIRECT(V$5)))</f>
        <v>0</v>
      </c>
      <c r="W361" s="593">
        <f ca="1">$E361*(-SUMIF(INDIRECT(W$3),'Struktur Aktuell'!$D361,INDIRECT(W$4))+SUMIF(INDIRECT(W$3),'Struktur Aktuell'!$D361,INDIRECT(W$5)))</f>
        <v>0</v>
      </c>
      <c r="X361" s="593">
        <f ca="1">$E361*(-SUMIF(INDIRECT(X$3),'Struktur Aktuell'!$D361,INDIRECT(X$4))+SUMIF(INDIRECT(X$3),'Struktur Aktuell'!$D361,INDIRECT(X$5)))</f>
        <v>0</v>
      </c>
      <c r="Y361" s="593">
        <f ca="1">$E361*(-SUMIF(INDIRECT(Y$3),'Struktur Aktuell'!$D361,INDIRECT(Y$4))+SUMIF(INDIRECT(Y$3),'Struktur Aktuell'!$D361,INDIRECT(Y$5)))</f>
        <v>0</v>
      </c>
      <c r="Z361" s="593">
        <f ca="1">$E361*(-SUMIF(INDIRECT(Z$3),'Struktur Aktuell'!$D361,INDIRECT(Z$4))+SUMIF(INDIRECT(Z$3),'Struktur Aktuell'!$D361,INDIRECT(Z$5)))</f>
        <v>0</v>
      </c>
      <c r="AA361" s="593">
        <f ca="1">$E361*(-SUMIF(INDIRECT(AA$3),'Struktur Aktuell'!$D361,INDIRECT(AA$4))+SUMIF(INDIRECT(AA$3),'Struktur Aktuell'!$D361,INDIRECT(AA$5)))</f>
        <v>0</v>
      </c>
      <c r="AB361" s="593">
        <f ca="1">$E361*(-SUMIF(INDIRECT(AB$3),'Struktur Aktuell'!$D361,INDIRECT(AB$4))+SUMIF(INDIRECT(AB$3),'Struktur Aktuell'!$D361,INDIRECT(AB$5)))</f>
        <v>0</v>
      </c>
      <c r="AC361" s="593">
        <f ca="1">$E361*(-SUMIF(INDIRECT(AC$3),'Struktur Aktuell'!$D361,INDIRECT(AC$4))+SUMIF(INDIRECT(AC$3),'Struktur Aktuell'!$D361,INDIRECT(AC$5)))</f>
        <v>0</v>
      </c>
      <c r="AD361" s="593">
        <f ca="1">$E361*(-SUMIF(INDIRECT(AD$3),'Struktur Aktuell'!$D361,INDIRECT(AD$4))+SUMIF(INDIRECT(AD$3),'Struktur Aktuell'!$D361,INDIRECT(AD$5)))</f>
        <v>0</v>
      </c>
      <c r="AE361" s="593">
        <f t="shared" ca="1" si="544"/>
        <v>0</v>
      </c>
      <c r="AF361" s="593">
        <f t="shared" ca="1" si="545"/>
        <v>0</v>
      </c>
      <c r="AG361" s="593">
        <f t="shared" ca="1" si="546"/>
        <v>0</v>
      </c>
      <c r="AH361" s="593">
        <f t="shared" ca="1" si="547"/>
        <v>0</v>
      </c>
      <c r="AI361" s="593">
        <f t="shared" ca="1" si="548"/>
        <v>0</v>
      </c>
      <c r="AJ361" s="593">
        <f t="shared" ca="1" si="549"/>
        <v>0</v>
      </c>
      <c r="AK361" s="593">
        <f t="shared" ca="1" si="550"/>
        <v>0</v>
      </c>
      <c r="AL361" s="593">
        <f t="shared" ca="1" si="551"/>
        <v>0</v>
      </c>
      <c r="AM361" s="593">
        <f t="shared" ca="1" si="552"/>
        <v>0</v>
      </c>
      <c r="AN361" s="593">
        <f t="shared" ca="1" si="553"/>
        <v>0</v>
      </c>
      <c r="AO361" s="593">
        <f t="shared" ca="1" si="554"/>
        <v>0</v>
      </c>
      <c r="AP361" s="593">
        <f t="shared" ca="1" si="555"/>
        <v>0</v>
      </c>
    </row>
    <row r="362" spans="1:42" s="594" customFormat="1" ht="11.25" outlineLevel="1" x14ac:dyDescent="0.2">
      <c r="A362" s="590"/>
      <c r="B362" s="591" t="str">
        <f>IF(D362&lt;&gt;"",
IF(ISERROR(MATCH(D362,'Ist Aktuell Monat 01'!A:A,0))=FALSE,INDEX('Ist Aktuell Monat 01'!B:B,MATCH(D362,'Ist Aktuell Monat 01'!A:A,0)),
IF(ISERROR(MATCH(D362,'Ist Aktuell Monat 02'!A:A,0))=FALSE,INDEX('Ist Aktuell Monat 02'!B:B,MATCH(D362,'Ist Aktuell Monat 02'!A:A,0)),
IF(ISERROR(MATCH(D362,'Ist Aktuell Monat 03'!A:A,0))=FALSE,INDEX('Ist Aktuell Monat 03'!B:B,MATCH(D362,'Ist Aktuell Monat 03'!A:A,0)),
IF(ISERROR(MATCH(D362,'Ist Aktuell Monat 04'!A:A,0))=FALSE,INDEX('Ist Aktuell Monat 04'!B:B,MATCH(D362,'Ist Aktuell Monat 04'!A:A,0)),
IF(ISERROR(MATCH(D362,'Ist Aktuell Monat 05'!A:A,0))=FALSE,INDEX('Ist Aktuell Monat 05'!B:B,MATCH(D362,'Ist Aktuell Monat 05'!A:A,0)),
IF(ISERROR(MATCH(D362,'Ist Aktuell Monat 06'!A:A,0))=FALSE,INDEX('Ist Aktuell Monat 06'!B:B,MATCH(D362,'Ist Aktuell Monat 06'!A:A,0)),
IF(ISERROR(MATCH(D362,'Ist Aktuell Monat 07'!A:A,0))=FALSE,INDEX('Ist Aktuell Monat 07'!B:B,MATCH(D362,'Ist Aktuell Monat 07'!A:A,0)),
IF(ISERROR(MATCH(D362,'Ist Aktuell Monat 08'!A:A,0))=FALSE,INDEX('Ist Aktuell Monat 08'!B:B,MATCH(D362,'Ist Aktuell Monat 08'!A:A,0)),
IF(ISERROR(MATCH(D362,'Ist Aktuell Monat 09'!A:A,0))=FALSE,INDEX('Ist Aktuell Monat 09'!B:B,MATCH(D362,'Ist Aktuell Monat 09'!A:A,0)),
IF(ISERROR(MATCH(D362,'Ist Aktuell Monat 10'!A:A,0))=FALSE,INDEX('Ist Aktuell Monat 10'!B:B,MATCH(D362,'Ist Aktuell Monat 10'!A:A,0)),
IF(ISERROR(MATCH(D362,'Ist Aktuell Monat 11'!A:A,0))=FALSE,INDEX('Ist Aktuell Monat 11'!B:B,MATCH(D362,'Ist Aktuell Monat 11'!A:A,0)),
IF(ISERROR(MATCH(D362,'Ist Aktuell Monat 12'!A:A,0))=FALSE,INDEX('Ist Aktuell Monat 12'!B:B,MATCH(D362,'Ist Aktuell Monat 12'!A:A,0)),
"{Konto unbekannt}"
)))))))))))),"")</f>
        <v/>
      </c>
      <c r="C362" s="591"/>
      <c r="D362" s="590"/>
      <c r="E362" s="592">
        <f>IF(F362="-",-1,1)</f>
        <v>1</v>
      </c>
      <c r="F362" s="590"/>
      <c r="G362" s="593">
        <f ca="1">$E362*(-SUMIF(INDIRECT(G$3),'Struktur Aktuell'!$D362,INDIRECT(G$4))+SUMIF(INDIRECT(G$3),'Struktur Aktuell'!$D362,INDIRECT(G$5)))</f>
        <v>0</v>
      </c>
      <c r="H362" s="593">
        <f ca="1">$E362*(-SUMIF(INDIRECT(H$3),'Struktur Aktuell'!$D362,INDIRECT(H$4))+SUMIF(INDIRECT(H$3),'Struktur Aktuell'!$D362,INDIRECT(H$5)))</f>
        <v>0</v>
      </c>
      <c r="I362" s="593">
        <f ca="1">$E362*(-SUMIF(INDIRECT(I$3),'Struktur Aktuell'!$D362,INDIRECT(I$4))+SUMIF(INDIRECT(I$3),'Struktur Aktuell'!$D362,INDIRECT(I$5)))</f>
        <v>0</v>
      </c>
      <c r="J362" s="593">
        <f ca="1">$E362*(-SUMIF(INDIRECT(J$3),'Struktur Aktuell'!$D362,INDIRECT(J$4))+SUMIF(INDIRECT(J$3),'Struktur Aktuell'!$D362,INDIRECT(J$5)))</f>
        <v>0</v>
      </c>
      <c r="K362" s="593">
        <f ca="1">$E362*(-SUMIF(INDIRECT(K$3),'Struktur Aktuell'!$D362,INDIRECT(K$4))+SUMIF(INDIRECT(K$3),'Struktur Aktuell'!$D362,INDIRECT(K$5)))</f>
        <v>0</v>
      </c>
      <c r="L362" s="593">
        <f ca="1">$E362*(-SUMIF(INDIRECT(L$3),'Struktur Aktuell'!$D362,INDIRECT(L$4))+SUMIF(INDIRECT(L$3),'Struktur Aktuell'!$D362,INDIRECT(L$5)))</f>
        <v>0</v>
      </c>
      <c r="M362" s="593">
        <f ca="1">$E362*(-SUMIF(INDIRECT(M$3),'Struktur Aktuell'!$D362,INDIRECT(M$4))+SUMIF(INDIRECT(M$3),'Struktur Aktuell'!$D362,INDIRECT(M$5)))</f>
        <v>0</v>
      </c>
      <c r="N362" s="593">
        <f ca="1">$E362*(-SUMIF(INDIRECT(N$3),'Struktur Aktuell'!$D362,INDIRECT(N$4))+SUMIF(INDIRECT(N$3),'Struktur Aktuell'!$D362,INDIRECT(N$5)))</f>
        <v>0</v>
      </c>
      <c r="O362" s="593">
        <f ca="1">$E362*(-SUMIF(INDIRECT(O$3),'Struktur Aktuell'!$D362,INDIRECT(O$4))+SUMIF(INDIRECT(O$3),'Struktur Aktuell'!$D362,INDIRECT(O$5)))</f>
        <v>0</v>
      </c>
      <c r="P362" s="593">
        <f ca="1">$E362*(-SUMIF(INDIRECT(P$3),'Struktur Aktuell'!$D362,INDIRECT(P$4))+SUMIF(INDIRECT(P$3),'Struktur Aktuell'!$D362,INDIRECT(P$5)))</f>
        <v>0</v>
      </c>
      <c r="Q362" s="593">
        <f ca="1">$E362*(-SUMIF(INDIRECT(Q$3),'Struktur Aktuell'!$D362,INDIRECT(Q$4))+SUMIF(INDIRECT(Q$3),'Struktur Aktuell'!$D362,INDIRECT(Q$5)))</f>
        <v>0</v>
      </c>
      <c r="R362" s="593">
        <f ca="1">$E362*(-SUMIF(INDIRECT(R$3),'Struktur Aktuell'!$D362,INDIRECT(R$4))+SUMIF(INDIRECT(R$3),'Struktur Aktuell'!$D362,INDIRECT(R$5)))</f>
        <v>0</v>
      </c>
      <c r="S362" s="593">
        <f ca="1">$E362*(-SUMIF(INDIRECT(S$3),'Struktur Aktuell'!$D362,INDIRECT(S$4))+SUMIF(INDIRECT(S$3),'Struktur Aktuell'!$D362,INDIRECT(S$5)))</f>
        <v>0</v>
      </c>
      <c r="T362" s="593">
        <f ca="1">$E362*(-SUMIF(INDIRECT(T$3),'Struktur Aktuell'!$D362,INDIRECT(T$4))+SUMIF(INDIRECT(T$3),'Struktur Aktuell'!$D362,INDIRECT(T$5)))</f>
        <v>0</v>
      </c>
      <c r="U362" s="593">
        <f ca="1">$E362*(-SUMIF(INDIRECT(U$3),'Struktur Aktuell'!$D362,INDIRECT(U$4))+SUMIF(INDIRECT(U$3),'Struktur Aktuell'!$D362,INDIRECT(U$5)))</f>
        <v>0</v>
      </c>
      <c r="V362" s="593">
        <f ca="1">$E362*(-SUMIF(INDIRECT(V$3),'Struktur Aktuell'!$D362,INDIRECT(V$4))+SUMIF(INDIRECT(V$3),'Struktur Aktuell'!$D362,INDIRECT(V$5)))</f>
        <v>0</v>
      </c>
      <c r="W362" s="593">
        <f ca="1">$E362*(-SUMIF(INDIRECT(W$3),'Struktur Aktuell'!$D362,INDIRECT(W$4))+SUMIF(INDIRECT(W$3),'Struktur Aktuell'!$D362,INDIRECT(W$5)))</f>
        <v>0</v>
      </c>
      <c r="X362" s="593">
        <f ca="1">$E362*(-SUMIF(INDIRECT(X$3),'Struktur Aktuell'!$D362,INDIRECT(X$4))+SUMIF(INDIRECT(X$3),'Struktur Aktuell'!$D362,INDIRECT(X$5)))</f>
        <v>0</v>
      </c>
      <c r="Y362" s="593">
        <f ca="1">$E362*(-SUMIF(INDIRECT(Y$3),'Struktur Aktuell'!$D362,INDIRECT(Y$4))+SUMIF(INDIRECT(Y$3),'Struktur Aktuell'!$D362,INDIRECT(Y$5)))</f>
        <v>0</v>
      </c>
      <c r="Z362" s="593">
        <f ca="1">$E362*(-SUMIF(INDIRECT(Z$3),'Struktur Aktuell'!$D362,INDIRECT(Z$4))+SUMIF(INDIRECT(Z$3),'Struktur Aktuell'!$D362,INDIRECT(Z$5)))</f>
        <v>0</v>
      </c>
      <c r="AA362" s="593">
        <f ca="1">$E362*(-SUMIF(INDIRECT(AA$3),'Struktur Aktuell'!$D362,INDIRECT(AA$4))+SUMIF(INDIRECT(AA$3),'Struktur Aktuell'!$D362,INDIRECT(AA$5)))</f>
        <v>0</v>
      </c>
      <c r="AB362" s="593">
        <f ca="1">$E362*(-SUMIF(INDIRECT(AB$3),'Struktur Aktuell'!$D362,INDIRECT(AB$4))+SUMIF(INDIRECT(AB$3),'Struktur Aktuell'!$D362,INDIRECT(AB$5)))</f>
        <v>0</v>
      </c>
      <c r="AC362" s="593">
        <f ca="1">$E362*(-SUMIF(INDIRECT(AC$3),'Struktur Aktuell'!$D362,INDIRECT(AC$4))+SUMIF(INDIRECT(AC$3),'Struktur Aktuell'!$D362,INDIRECT(AC$5)))</f>
        <v>0</v>
      </c>
      <c r="AD362" s="593">
        <f ca="1">$E362*(-SUMIF(INDIRECT(AD$3),'Struktur Aktuell'!$D362,INDIRECT(AD$4))+SUMIF(INDIRECT(AD$3),'Struktur Aktuell'!$D362,INDIRECT(AD$5)))</f>
        <v>0</v>
      </c>
      <c r="AE362" s="593">
        <f t="shared" ca="1" si="544"/>
        <v>0</v>
      </c>
      <c r="AF362" s="593">
        <f t="shared" ca="1" si="545"/>
        <v>0</v>
      </c>
      <c r="AG362" s="593">
        <f t="shared" ca="1" si="546"/>
        <v>0</v>
      </c>
      <c r="AH362" s="593">
        <f t="shared" ca="1" si="547"/>
        <v>0</v>
      </c>
      <c r="AI362" s="593">
        <f t="shared" ca="1" si="548"/>
        <v>0</v>
      </c>
      <c r="AJ362" s="593">
        <f t="shared" ca="1" si="549"/>
        <v>0</v>
      </c>
      <c r="AK362" s="593">
        <f t="shared" ca="1" si="550"/>
        <v>0</v>
      </c>
      <c r="AL362" s="593">
        <f t="shared" ca="1" si="551"/>
        <v>0</v>
      </c>
      <c r="AM362" s="593">
        <f t="shared" ca="1" si="552"/>
        <v>0</v>
      </c>
      <c r="AN362" s="593">
        <f t="shared" ca="1" si="553"/>
        <v>0</v>
      </c>
      <c r="AO362" s="593">
        <f t="shared" ca="1" si="554"/>
        <v>0</v>
      </c>
      <c r="AP362" s="593">
        <f t="shared" ca="1" si="555"/>
        <v>0</v>
      </c>
    </row>
    <row r="363" spans="1:42" s="594" customFormat="1" ht="11.25" outlineLevel="1" x14ac:dyDescent="0.2">
      <c r="A363" s="590"/>
      <c r="B363" s="591" t="str">
        <f>IF(D363&lt;&gt;"",
IF(ISERROR(MATCH(D363,'Ist Aktuell Monat 01'!A:A,0))=FALSE,INDEX('Ist Aktuell Monat 01'!B:B,MATCH(D363,'Ist Aktuell Monat 01'!A:A,0)),
IF(ISERROR(MATCH(D363,'Ist Aktuell Monat 02'!A:A,0))=FALSE,INDEX('Ist Aktuell Monat 02'!B:B,MATCH(D363,'Ist Aktuell Monat 02'!A:A,0)),
IF(ISERROR(MATCH(D363,'Ist Aktuell Monat 03'!A:A,0))=FALSE,INDEX('Ist Aktuell Monat 03'!B:B,MATCH(D363,'Ist Aktuell Monat 03'!A:A,0)),
IF(ISERROR(MATCH(D363,'Ist Aktuell Monat 04'!A:A,0))=FALSE,INDEX('Ist Aktuell Monat 04'!B:B,MATCH(D363,'Ist Aktuell Monat 04'!A:A,0)),
IF(ISERROR(MATCH(D363,'Ist Aktuell Monat 05'!A:A,0))=FALSE,INDEX('Ist Aktuell Monat 05'!B:B,MATCH(D363,'Ist Aktuell Monat 05'!A:A,0)),
IF(ISERROR(MATCH(D363,'Ist Aktuell Monat 06'!A:A,0))=FALSE,INDEX('Ist Aktuell Monat 06'!B:B,MATCH(D363,'Ist Aktuell Monat 06'!A:A,0)),
IF(ISERROR(MATCH(D363,'Ist Aktuell Monat 07'!A:A,0))=FALSE,INDEX('Ist Aktuell Monat 07'!B:B,MATCH(D363,'Ist Aktuell Monat 07'!A:A,0)),
IF(ISERROR(MATCH(D363,'Ist Aktuell Monat 08'!A:A,0))=FALSE,INDEX('Ist Aktuell Monat 08'!B:B,MATCH(D363,'Ist Aktuell Monat 08'!A:A,0)),
IF(ISERROR(MATCH(D363,'Ist Aktuell Monat 09'!A:A,0))=FALSE,INDEX('Ist Aktuell Monat 09'!B:B,MATCH(D363,'Ist Aktuell Monat 09'!A:A,0)),
IF(ISERROR(MATCH(D363,'Ist Aktuell Monat 10'!A:A,0))=FALSE,INDEX('Ist Aktuell Monat 10'!B:B,MATCH(D363,'Ist Aktuell Monat 10'!A:A,0)),
IF(ISERROR(MATCH(D363,'Ist Aktuell Monat 11'!A:A,0))=FALSE,INDEX('Ist Aktuell Monat 11'!B:B,MATCH(D363,'Ist Aktuell Monat 11'!A:A,0)),
IF(ISERROR(MATCH(D363,'Ist Aktuell Monat 12'!A:A,0))=FALSE,INDEX('Ist Aktuell Monat 12'!B:B,MATCH(D363,'Ist Aktuell Monat 12'!A:A,0)),
"{Konto unbekannt}"
)))))))))))),"")</f>
        <v/>
      </c>
      <c r="C363" s="591"/>
      <c r="D363" s="590"/>
      <c r="E363" s="592">
        <f t="shared" si="381"/>
        <v>1</v>
      </c>
      <c r="F363" s="590"/>
      <c r="G363" s="593">
        <f ca="1">$E363*(-SUMIF(INDIRECT(G$3),'Struktur Aktuell'!$D363,INDIRECT(G$4))+SUMIF(INDIRECT(G$3),'Struktur Aktuell'!$D363,INDIRECT(G$5)))</f>
        <v>0</v>
      </c>
      <c r="H363" s="593">
        <f ca="1">$E363*(-SUMIF(INDIRECT(H$3),'Struktur Aktuell'!$D363,INDIRECT(H$4))+SUMIF(INDIRECT(H$3),'Struktur Aktuell'!$D363,INDIRECT(H$5)))</f>
        <v>0</v>
      </c>
      <c r="I363" s="593">
        <f ca="1">$E363*(-SUMIF(INDIRECT(I$3),'Struktur Aktuell'!$D363,INDIRECT(I$4))+SUMIF(INDIRECT(I$3),'Struktur Aktuell'!$D363,INDIRECT(I$5)))</f>
        <v>0</v>
      </c>
      <c r="J363" s="593">
        <f ca="1">$E363*(-SUMIF(INDIRECT(J$3),'Struktur Aktuell'!$D363,INDIRECT(J$4))+SUMIF(INDIRECT(J$3),'Struktur Aktuell'!$D363,INDIRECT(J$5)))</f>
        <v>0</v>
      </c>
      <c r="K363" s="593">
        <f ca="1">$E363*(-SUMIF(INDIRECT(K$3),'Struktur Aktuell'!$D363,INDIRECT(K$4))+SUMIF(INDIRECT(K$3),'Struktur Aktuell'!$D363,INDIRECT(K$5)))</f>
        <v>0</v>
      </c>
      <c r="L363" s="593">
        <f ca="1">$E363*(-SUMIF(INDIRECT(L$3),'Struktur Aktuell'!$D363,INDIRECT(L$4))+SUMIF(INDIRECT(L$3),'Struktur Aktuell'!$D363,INDIRECT(L$5)))</f>
        <v>0</v>
      </c>
      <c r="M363" s="593">
        <f ca="1">$E363*(-SUMIF(INDIRECT(M$3),'Struktur Aktuell'!$D363,INDIRECT(M$4))+SUMIF(INDIRECT(M$3),'Struktur Aktuell'!$D363,INDIRECT(M$5)))</f>
        <v>0</v>
      </c>
      <c r="N363" s="593">
        <f ca="1">$E363*(-SUMIF(INDIRECT(N$3),'Struktur Aktuell'!$D363,INDIRECT(N$4))+SUMIF(INDIRECT(N$3),'Struktur Aktuell'!$D363,INDIRECT(N$5)))</f>
        <v>0</v>
      </c>
      <c r="O363" s="593">
        <f ca="1">$E363*(-SUMIF(INDIRECT(O$3),'Struktur Aktuell'!$D363,INDIRECT(O$4))+SUMIF(INDIRECT(O$3),'Struktur Aktuell'!$D363,INDIRECT(O$5)))</f>
        <v>0</v>
      </c>
      <c r="P363" s="593">
        <f ca="1">$E363*(-SUMIF(INDIRECT(P$3),'Struktur Aktuell'!$D363,INDIRECT(P$4))+SUMIF(INDIRECT(P$3),'Struktur Aktuell'!$D363,INDIRECT(P$5)))</f>
        <v>0</v>
      </c>
      <c r="Q363" s="593">
        <f ca="1">$E363*(-SUMIF(INDIRECT(Q$3),'Struktur Aktuell'!$D363,INDIRECT(Q$4))+SUMIF(INDIRECT(Q$3),'Struktur Aktuell'!$D363,INDIRECT(Q$5)))</f>
        <v>0</v>
      </c>
      <c r="R363" s="593">
        <f ca="1">$E363*(-SUMIF(INDIRECT(R$3),'Struktur Aktuell'!$D363,INDIRECT(R$4))+SUMIF(INDIRECT(R$3),'Struktur Aktuell'!$D363,INDIRECT(R$5)))</f>
        <v>0</v>
      </c>
      <c r="S363" s="593">
        <f ca="1">$E363*(-SUMIF(INDIRECT(S$3),'Struktur Aktuell'!$D363,INDIRECT(S$4))+SUMIF(INDIRECT(S$3),'Struktur Aktuell'!$D363,INDIRECT(S$5)))</f>
        <v>0</v>
      </c>
      <c r="T363" s="593">
        <f ca="1">$E363*(-SUMIF(INDIRECT(T$3),'Struktur Aktuell'!$D363,INDIRECT(T$4))+SUMIF(INDIRECT(T$3),'Struktur Aktuell'!$D363,INDIRECT(T$5)))</f>
        <v>0</v>
      </c>
      <c r="U363" s="593">
        <f ca="1">$E363*(-SUMIF(INDIRECT(U$3),'Struktur Aktuell'!$D363,INDIRECT(U$4))+SUMIF(INDIRECT(U$3),'Struktur Aktuell'!$D363,INDIRECT(U$5)))</f>
        <v>0</v>
      </c>
      <c r="V363" s="593">
        <f ca="1">$E363*(-SUMIF(INDIRECT(V$3),'Struktur Aktuell'!$D363,INDIRECT(V$4))+SUMIF(INDIRECT(V$3),'Struktur Aktuell'!$D363,INDIRECT(V$5)))</f>
        <v>0</v>
      </c>
      <c r="W363" s="593">
        <f ca="1">$E363*(-SUMIF(INDIRECT(W$3),'Struktur Aktuell'!$D363,INDIRECT(W$4))+SUMIF(INDIRECT(W$3),'Struktur Aktuell'!$D363,INDIRECT(W$5)))</f>
        <v>0</v>
      </c>
      <c r="X363" s="593">
        <f ca="1">$E363*(-SUMIF(INDIRECT(X$3),'Struktur Aktuell'!$D363,INDIRECT(X$4))+SUMIF(INDIRECT(X$3),'Struktur Aktuell'!$D363,INDIRECT(X$5)))</f>
        <v>0</v>
      </c>
      <c r="Y363" s="593">
        <f ca="1">$E363*(-SUMIF(INDIRECT(Y$3),'Struktur Aktuell'!$D363,INDIRECT(Y$4))+SUMIF(INDIRECT(Y$3),'Struktur Aktuell'!$D363,INDIRECT(Y$5)))</f>
        <v>0</v>
      </c>
      <c r="Z363" s="593">
        <f ca="1">$E363*(-SUMIF(INDIRECT(Z$3),'Struktur Aktuell'!$D363,INDIRECT(Z$4))+SUMIF(INDIRECT(Z$3),'Struktur Aktuell'!$D363,INDIRECT(Z$5)))</f>
        <v>0</v>
      </c>
      <c r="AA363" s="593">
        <f ca="1">$E363*(-SUMIF(INDIRECT(AA$3),'Struktur Aktuell'!$D363,INDIRECT(AA$4))+SUMIF(INDIRECT(AA$3),'Struktur Aktuell'!$D363,INDIRECT(AA$5)))</f>
        <v>0</v>
      </c>
      <c r="AB363" s="593">
        <f ca="1">$E363*(-SUMIF(INDIRECT(AB$3),'Struktur Aktuell'!$D363,INDIRECT(AB$4))+SUMIF(INDIRECT(AB$3),'Struktur Aktuell'!$D363,INDIRECT(AB$5)))</f>
        <v>0</v>
      </c>
      <c r="AC363" s="593">
        <f ca="1">$E363*(-SUMIF(INDIRECT(AC$3),'Struktur Aktuell'!$D363,INDIRECT(AC$4))+SUMIF(INDIRECT(AC$3),'Struktur Aktuell'!$D363,INDIRECT(AC$5)))</f>
        <v>0</v>
      </c>
      <c r="AD363" s="593">
        <f ca="1">$E363*(-SUMIF(INDIRECT(AD$3),'Struktur Aktuell'!$D363,INDIRECT(AD$4))+SUMIF(INDIRECT(AD$3),'Struktur Aktuell'!$D363,INDIRECT(AD$5)))</f>
        <v>0</v>
      </c>
      <c r="AE363" s="593">
        <f t="shared" ca="1" si="544"/>
        <v>0</v>
      </c>
      <c r="AF363" s="593">
        <f t="shared" ca="1" si="545"/>
        <v>0</v>
      </c>
      <c r="AG363" s="593">
        <f t="shared" ca="1" si="546"/>
        <v>0</v>
      </c>
      <c r="AH363" s="593">
        <f t="shared" ca="1" si="547"/>
        <v>0</v>
      </c>
      <c r="AI363" s="593">
        <f t="shared" ca="1" si="548"/>
        <v>0</v>
      </c>
      <c r="AJ363" s="593">
        <f t="shared" ca="1" si="549"/>
        <v>0</v>
      </c>
      <c r="AK363" s="593">
        <f t="shared" ca="1" si="550"/>
        <v>0</v>
      </c>
      <c r="AL363" s="593">
        <f t="shared" ca="1" si="551"/>
        <v>0</v>
      </c>
      <c r="AM363" s="593">
        <f t="shared" ca="1" si="552"/>
        <v>0</v>
      </c>
      <c r="AN363" s="593">
        <f t="shared" ca="1" si="553"/>
        <v>0</v>
      </c>
      <c r="AO363" s="593">
        <f t="shared" ca="1" si="554"/>
        <v>0</v>
      </c>
      <c r="AP363" s="593">
        <f t="shared" ca="1" si="555"/>
        <v>0</v>
      </c>
    </row>
    <row r="364" spans="1:42" s="594" customFormat="1" ht="11.25" outlineLevel="1" x14ac:dyDescent="0.2">
      <c r="A364" s="590"/>
      <c r="B364" s="591" t="str">
        <f>IF(D364&lt;&gt;"",
IF(ISERROR(MATCH(D364,'Ist Aktuell Monat 01'!A:A,0))=FALSE,INDEX('Ist Aktuell Monat 01'!B:B,MATCH(D364,'Ist Aktuell Monat 01'!A:A,0)),
IF(ISERROR(MATCH(D364,'Ist Aktuell Monat 02'!A:A,0))=FALSE,INDEX('Ist Aktuell Monat 02'!B:B,MATCH(D364,'Ist Aktuell Monat 02'!A:A,0)),
IF(ISERROR(MATCH(D364,'Ist Aktuell Monat 03'!A:A,0))=FALSE,INDEX('Ist Aktuell Monat 03'!B:B,MATCH(D364,'Ist Aktuell Monat 03'!A:A,0)),
IF(ISERROR(MATCH(D364,'Ist Aktuell Monat 04'!A:A,0))=FALSE,INDEX('Ist Aktuell Monat 04'!B:B,MATCH(D364,'Ist Aktuell Monat 04'!A:A,0)),
IF(ISERROR(MATCH(D364,'Ist Aktuell Monat 05'!A:A,0))=FALSE,INDEX('Ist Aktuell Monat 05'!B:B,MATCH(D364,'Ist Aktuell Monat 05'!A:A,0)),
IF(ISERROR(MATCH(D364,'Ist Aktuell Monat 06'!A:A,0))=FALSE,INDEX('Ist Aktuell Monat 06'!B:B,MATCH(D364,'Ist Aktuell Monat 06'!A:A,0)),
IF(ISERROR(MATCH(D364,'Ist Aktuell Monat 07'!A:A,0))=FALSE,INDEX('Ist Aktuell Monat 07'!B:B,MATCH(D364,'Ist Aktuell Monat 07'!A:A,0)),
IF(ISERROR(MATCH(D364,'Ist Aktuell Monat 08'!A:A,0))=FALSE,INDEX('Ist Aktuell Monat 08'!B:B,MATCH(D364,'Ist Aktuell Monat 08'!A:A,0)),
IF(ISERROR(MATCH(D364,'Ist Aktuell Monat 09'!A:A,0))=FALSE,INDEX('Ist Aktuell Monat 09'!B:B,MATCH(D364,'Ist Aktuell Monat 09'!A:A,0)),
IF(ISERROR(MATCH(D364,'Ist Aktuell Monat 10'!A:A,0))=FALSE,INDEX('Ist Aktuell Monat 10'!B:B,MATCH(D364,'Ist Aktuell Monat 10'!A:A,0)),
IF(ISERROR(MATCH(D364,'Ist Aktuell Monat 11'!A:A,0))=FALSE,INDEX('Ist Aktuell Monat 11'!B:B,MATCH(D364,'Ist Aktuell Monat 11'!A:A,0)),
IF(ISERROR(MATCH(D364,'Ist Aktuell Monat 12'!A:A,0))=FALSE,INDEX('Ist Aktuell Monat 12'!B:B,MATCH(D364,'Ist Aktuell Monat 12'!A:A,0)),
"{Konto unbekannt}"
)))))))))))),"")</f>
        <v/>
      </c>
      <c r="C364" s="591"/>
      <c r="D364" s="590"/>
      <c r="E364" s="592">
        <f>IF(F364="-",-1,1)</f>
        <v>1</v>
      </c>
      <c r="F364" s="590"/>
      <c r="G364" s="593">
        <f ca="1">$E364*(-SUMIF(INDIRECT(G$3),'Struktur Aktuell'!$D364,INDIRECT(G$4))+SUMIF(INDIRECT(G$3),'Struktur Aktuell'!$D364,INDIRECT(G$5)))</f>
        <v>0</v>
      </c>
      <c r="H364" s="593">
        <f ca="1">$E364*(-SUMIF(INDIRECT(H$3),'Struktur Aktuell'!$D364,INDIRECT(H$4))+SUMIF(INDIRECT(H$3),'Struktur Aktuell'!$D364,INDIRECT(H$5)))</f>
        <v>0</v>
      </c>
      <c r="I364" s="593">
        <f ca="1">$E364*(-SUMIF(INDIRECT(I$3),'Struktur Aktuell'!$D364,INDIRECT(I$4))+SUMIF(INDIRECT(I$3),'Struktur Aktuell'!$D364,INDIRECT(I$5)))</f>
        <v>0</v>
      </c>
      <c r="J364" s="593">
        <f ca="1">$E364*(-SUMIF(INDIRECT(J$3),'Struktur Aktuell'!$D364,INDIRECT(J$4))+SUMIF(INDIRECT(J$3),'Struktur Aktuell'!$D364,INDIRECT(J$5)))</f>
        <v>0</v>
      </c>
      <c r="K364" s="593">
        <f ca="1">$E364*(-SUMIF(INDIRECT(K$3),'Struktur Aktuell'!$D364,INDIRECT(K$4))+SUMIF(INDIRECT(K$3),'Struktur Aktuell'!$D364,INDIRECT(K$5)))</f>
        <v>0</v>
      </c>
      <c r="L364" s="593">
        <f ca="1">$E364*(-SUMIF(INDIRECT(L$3),'Struktur Aktuell'!$D364,INDIRECT(L$4))+SUMIF(INDIRECT(L$3),'Struktur Aktuell'!$D364,INDIRECT(L$5)))</f>
        <v>0</v>
      </c>
      <c r="M364" s="593">
        <f ca="1">$E364*(-SUMIF(INDIRECT(M$3),'Struktur Aktuell'!$D364,INDIRECT(M$4))+SUMIF(INDIRECT(M$3),'Struktur Aktuell'!$D364,INDIRECT(M$5)))</f>
        <v>0</v>
      </c>
      <c r="N364" s="593">
        <f ca="1">$E364*(-SUMIF(INDIRECT(N$3),'Struktur Aktuell'!$D364,INDIRECT(N$4))+SUMIF(INDIRECT(N$3),'Struktur Aktuell'!$D364,INDIRECT(N$5)))</f>
        <v>0</v>
      </c>
      <c r="O364" s="593">
        <f ca="1">$E364*(-SUMIF(INDIRECT(O$3),'Struktur Aktuell'!$D364,INDIRECT(O$4))+SUMIF(INDIRECT(O$3),'Struktur Aktuell'!$D364,INDIRECT(O$5)))</f>
        <v>0</v>
      </c>
      <c r="P364" s="593">
        <f ca="1">$E364*(-SUMIF(INDIRECT(P$3),'Struktur Aktuell'!$D364,INDIRECT(P$4))+SUMIF(INDIRECT(P$3),'Struktur Aktuell'!$D364,INDIRECT(P$5)))</f>
        <v>0</v>
      </c>
      <c r="Q364" s="593">
        <f ca="1">$E364*(-SUMIF(INDIRECT(Q$3),'Struktur Aktuell'!$D364,INDIRECT(Q$4))+SUMIF(INDIRECT(Q$3),'Struktur Aktuell'!$D364,INDIRECT(Q$5)))</f>
        <v>0</v>
      </c>
      <c r="R364" s="593">
        <f ca="1">$E364*(-SUMIF(INDIRECT(R$3),'Struktur Aktuell'!$D364,INDIRECT(R$4))+SUMIF(INDIRECT(R$3),'Struktur Aktuell'!$D364,INDIRECT(R$5)))</f>
        <v>0</v>
      </c>
      <c r="S364" s="593">
        <f ca="1">$E364*(-SUMIF(INDIRECT(S$3),'Struktur Aktuell'!$D364,INDIRECT(S$4))+SUMIF(INDIRECT(S$3),'Struktur Aktuell'!$D364,INDIRECT(S$5)))</f>
        <v>0</v>
      </c>
      <c r="T364" s="593">
        <f ca="1">$E364*(-SUMIF(INDIRECT(T$3),'Struktur Aktuell'!$D364,INDIRECT(T$4))+SUMIF(INDIRECT(T$3),'Struktur Aktuell'!$D364,INDIRECT(T$5)))</f>
        <v>0</v>
      </c>
      <c r="U364" s="593">
        <f ca="1">$E364*(-SUMIF(INDIRECT(U$3),'Struktur Aktuell'!$D364,INDIRECT(U$4))+SUMIF(INDIRECT(U$3),'Struktur Aktuell'!$D364,INDIRECT(U$5)))</f>
        <v>0</v>
      </c>
      <c r="V364" s="593">
        <f ca="1">$E364*(-SUMIF(INDIRECT(V$3),'Struktur Aktuell'!$D364,INDIRECT(V$4))+SUMIF(INDIRECT(V$3),'Struktur Aktuell'!$D364,INDIRECT(V$5)))</f>
        <v>0</v>
      </c>
      <c r="W364" s="593">
        <f ca="1">$E364*(-SUMIF(INDIRECT(W$3),'Struktur Aktuell'!$D364,INDIRECT(W$4))+SUMIF(INDIRECT(W$3),'Struktur Aktuell'!$D364,INDIRECT(W$5)))</f>
        <v>0</v>
      </c>
      <c r="X364" s="593">
        <f ca="1">$E364*(-SUMIF(INDIRECT(X$3),'Struktur Aktuell'!$D364,INDIRECT(X$4))+SUMIF(INDIRECT(X$3),'Struktur Aktuell'!$D364,INDIRECT(X$5)))</f>
        <v>0</v>
      </c>
      <c r="Y364" s="593">
        <f ca="1">$E364*(-SUMIF(INDIRECT(Y$3),'Struktur Aktuell'!$D364,INDIRECT(Y$4))+SUMIF(INDIRECT(Y$3),'Struktur Aktuell'!$D364,INDIRECT(Y$5)))</f>
        <v>0</v>
      </c>
      <c r="Z364" s="593">
        <f ca="1">$E364*(-SUMIF(INDIRECT(Z$3),'Struktur Aktuell'!$D364,INDIRECT(Z$4))+SUMIF(INDIRECT(Z$3),'Struktur Aktuell'!$D364,INDIRECT(Z$5)))</f>
        <v>0</v>
      </c>
      <c r="AA364" s="593">
        <f ca="1">$E364*(-SUMIF(INDIRECT(AA$3),'Struktur Aktuell'!$D364,INDIRECT(AA$4))+SUMIF(INDIRECT(AA$3),'Struktur Aktuell'!$D364,INDIRECT(AA$5)))</f>
        <v>0</v>
      </c>
      <c r="AB364" s="593">
        <f ca="1">$E364*(-SUMIF(INDIRECT(AB$3),'Struktur Aktuell'!$D364,INDIRECT(AB$4))+SUMIF(INDIRECT(AB$3),'Struktur Aktuell'!$D364,INDIRECT(AB$5)))</f>
        <v>0</v>
      </c>
      <c r="AC364" s="593">
        <f ca="1">$E364*(-SUMIF(INDIRECT(AC$3),'Struktur Aktuell'!$D364,INDIRECT(AC$4))+SUMIF(INDIRECT(AC$3),'Struktur Aktuell'!$D364,INDIRECT(AC$5)))</f>
        <v>0</v>
      </c>
      <c r="AD364" s="593">
        <f ca="1">$E364*(-SUMIF(INDIRECT(AD$3),'Struktur Aktuell'!$D364,INDIRECT(AD$4))+SUMIF(INDIRECT(AD$3),'Struktur Aktuell'!$D364,INDIRECT(AD$5)))</f>
        <v>0</v>
      </c>
      <c r="AE364" s="593">
        <f t="shared" ca="1" si="544"/>
        <v>0</v>
      </c>
      <c r="AF364" s="593">
        <f t="shared" ca="1" si="545"/>
        <v>0</v>
      </c>
      <c r="AG364" s="593">
        <f t="shared" ca="1" si="546"/>
        <v>0</v>
      </c>
      <c r="AH364" s="593">
        <f t="shared" ca="1" si="547"/>
        <v>0</v>
      </c>
      <c r="AI364" s="593">
        <f t="shared" ca="1" si="548"/>
        <v>0</v>
      </c>
      <c r="AJ364" s="593">
        <f t="shared" ca="1" si="549"/>
        <v>0</v>
      </c>
      <c r="AK364" s="593">
        <f t="shared" ca="1" si="550"/>
        <v>0</v>
      </c>
      <c r="AL364" s="593">
        <f t="shared" ca="1" si="551"/>
        <v>0</v>
      </c>
      <c r="AM364" s="593">
        <f t="shared" ca="1" si="552"/>
        <v>0</v>
      </c>
      <c r="AN364" s="593">
        <f t="shared" ca="1" si="553"/>
        <v>0</v>
      </c>
      <c r="AO364" s="593">
        <f t="shared" ca="1" si="554"/>
        <v>0</v>
      </c>
      <c r="AP364" s="593">
        <f t="shared" ca="1" si="555"/>
        <v>0</v>
      </c>
    </row>
    <row r="365" spans="1:42" s="594" customFormat="1" ht="11.25" outlineLevel="1" x14ac:dyDescent="0.2">
      <c r="A365" s="590"/>
      <c r="B365" s="591" t="str">
        <f>IF(D365&lt;&gt;"",
IF(ISERROR(MATCH(D365,'Ist Aktuell Monat 01'!A:A,0))=FALSE,INDEX('Ist Aktuell Monat 01'!B:B,MATCH(D365,'Ist Aktuell Monat 01'!A:A,0)),
IF(ISERROR(MATCH(D365,'Ist Aktuell Monat 02'!A:A,0))=FALSE,INDEX('Ist Aktuell Monat 02'!B:B,MATCH(D365,'Ist Aktuell Monat 02'!A:A,0)),
IF(ISERROR(MATCH(D365,'Ist Aktuell Monat 03'!A:A,0))=FALSE,INDEX('Ist Aktuell Monat 03'!B:B,MATCH(D365,'Ist Aktuell Monat 03'!A:A,0)),
IF(ISERROR(MATCH(D365,'Ist Aktuell Monat 04'!A:A,0))=FALSE,INDEX('Ist Aktuell Monat 04'!B:B,MATCH(D365,'Ist Aktuell Monat 04'!A:A,0)),
IF(ISERROR(MATCH(D365,'Ist Aktuell Monat 05'!A:A,0))=FALSE,INDEX('Ist Aktuell Monat 05'!B:B,MATCH(D365,'Ist Aktuell Monat 05'!A:A,0)),
IF(ISERROR(MATCH(D365,'Ist Aktuell Monat 06'!A:A,0))=FALSE,INDEX('Ist Aktuell Monat 06'!B:B,MATCH(D365,'Ist Aktuell Monat 06'!A:A,0)),
IF(ISERROR(MATCH(D365,'Ist Aktuell Monat 07'!A:A,0))=FALSE,INDEX('Ist Aktuell Monat 07'!B:B,MATCH(D365,'Ist Aktuell Monat 07'!A:A,0)),
IF(ISERROR(MATCH(D365,'Ist Aktuell Monat 08'!A:A,0))=FALSE,INDEX('Ist Aktuell Monat 08'!B:B,MATCH(D365,'Ist Aktuell Monat 08'!A:A,0)),
IF(ISERROR(MATCH(D365,'Ist Aktuell Monat 09'!A:A,0))=FALSE,INDEX('Ist Aktuell Monat 09'!B:B,MATCH(D365,'Ist Aktuell Monat 09'!A:A,0)),
IF(ISERROR(MATCH(D365,'Ist Aktuell Monat 10'!A:A,0))=FALSE,INDEX('Ist Aktuell Monat 10'!B:B,MATCH(D365,'Ist Aktuell Monat 10'!A:A,0)),
IF(ISERROR(MATCH(D365,'Ist Aktuell Monat 11'!A:A,0))=FALSE,INDEX('Ist Aktuell Monat 11'!B:B,MATCH(D365,'Ist Aktuell Monat 11'!A:A,0)),
IF(ISERROR(MATCH(D365,'Ist Aktuell Monat 12'!A:A,0))=FALSE,INDEX('Ist Aktuell Monat 12'!B:B,MATCH(D365,'Ist Aktuell Monat 12'!A:A,0)),
"{Konto unbekannt}"
)))))))))))),"")</f>
        <v/>
      </c>
      <c r="C365" s="591"/>
      <c r="D365" s="590"/>
      <c r="E365" s="592">
        <f t="shared" si="381"/>
        <v>1</v>
      </c>
      <c r="F365" s="590"/>
      <c r="G365" s="593">
        <f ca="1">$E365*(-SUMIF(INDIRECT(G$3),'Struktur Aktuell'!$D365,INDIRECT(G$4))+SUMIF(INDIRECT(G$3),'Struktur Aktuell'!$D365,INDIRECT(G$5)))</f>
        <v>0</v>
      </c>
      <c r="H365" s="593">
        <f ca="1">$E365*(-SUMIF(INDIRECT(H$3),'Struktur Aktuell'!$D365,INDIRECT(H$4))+SUMIF(INDIRECT(H$3),'Struktur Aktuell'!$D365,INDIRECT(H$5)))</f>
        <v>0</v>
      </c>
      <c r="I365" s="593">
        <f ca="1">$E365*(-SUMIF(INDIRECT(I$3),'Struktur Aktuell'!$D365,INDIRECT(I$4))+SUMIF(INDIRECT(I$3),'Struktur Aktuell'!$D365,INDIRECT(I$5)))</f>
        <v>0</v>
      </c>
      <c r="J365" s="593">
        <f ca="1">$E365*(-SUMIF(INDIRECT(J$3),'Struktur Aktuell'!$D365,INDIRECT(J$4))+SUMIF(INDIRECT(J$3),'Struktur Aktuell'!$D365,INDIRECT(J$5)))</f>
        <v>0</v>
      </c>
      <c r="K365" s="593">
        <f ca="1">$E365*(-SUMIF(INDIRECT(K$3),'Struktur Aktuell'!$D365,INDIRECT(K$4))+SUMIF(INDIRECT(K$3),'Struktur Aktuell'!$D365,INDIRECT(K$5)))</f>
        <v>0</v>
      </c>
      <c r="L365" s="593">
        <f ca="1">$E365*(-SUMIF(INDIRECT(L$3),'Struktur Aktuell'!$D365,INDIRECT(L$4))+SUMIF(INDIRECT(L$3),'Struktur Aktuell'!$D365,INDIRECT(L$5)))</f>
        <v>0</v>
      </c>
      <c r="M365" s="593">
        <f ca="1">$E365*(-SUMIF(INDIRECT(M$3),'Struktur Aktuell'!$D365,INDIRECT(M$4))+SUMIF(INDIRECT(M$3),'Struktur Aktuell'!$D365,INDIRECT(M$5)))</f>
        <v>0</v>
      </c>
      <c r="N365" s="593">
        <f ca="1">$E365*(-SUMIF(INDIRECT(N$3),'Struktur Aktuell'!$D365,INDIRECT(N$4))+SUMIF(INDIRECT(N$3),'Struktur Aktuell'!$D365,INDIRECT(N$5)))</f>
        <v>0</v>
      </c>
      <c r="O365" s="593">
        <f ca="1">$E365*(-SUMIF(INDIRECT(O$3),'Struktur Aktuell'!$D365,INDIRECT(O$4))+SUMIF(INDIRECT(O$3),'Struktur Aktuell'!$D365,INDIRECT(O$5)))</f>
        <v>0</v>
      </c>
      <c r="P365" s="593">
        <f ca="1">$E365*(-SUMIF(INDIRECT(P$3),'Struktur Aktuell'!$D365,INDIRECT(P$4))+SUMIF(INDIRECT(P$3),'Struktur Aktuell'!$D365,INDIRECT(P$5)))</f>
        <v>0</v>
      </c>
      <c r="Q365" s="593">
        <f ca="1">$E365*(-SUMIF(INDIRECT(Q$3),'Struktur Aktuell'!$D365,INDIRECT(Q$4))+SUMIF(INDIRECT(Q$3),'Struktur Aktuell'!$D365,INDIRECT(Q$5)))</f>
        <v>0</v>
      </c>
      <c r="R365" s="593">
        <f ca="1">$E365*(-SUMIF(INDIRECT(R$3),'Struktur Aktuell'!$D365,INDIRECT(R$4))+SUMIF(INDIRECT(R$3),'Struktur Aktuell'!$D365,INDIRECT(R$5)))</f>
        <v>0</v>
      </c>
      <c r="S365" s="593">
        <f ca="1">$E365*(-SUMIF(INDIRECT(S$3),'Struktur Aktuell'!$D365,INDIRECT(S$4))+SUMIF(INDIRECT(S$3),'Struktur Aktuell'!$D365,INDIRECT(S$5)))</f>
        <v>0</v>
      </c>
      <c r="T365" s="593">
        <f ca="1">$E365*(-SUMIF(INDIRECT(T$3),'Struktur Aktuell'!$D365,INDIRECT(T$4))+SUMIF(INDIRECT(T$3),'Struktur Aktuell'!$D365,INDIRECT(T$5)))</f>
        <v>0</v>
      </c>
      <c r="U365" s="593">
        <f ca="1">$E365*(-SUMIF(INDIRECT(U$3),'Struktur Aktuell'!$D365,INDIRECT(U$4))+SUMIF(INDIRECT(U$3),'Struktur Aktuell'!$D365,INDIRECT(U$5)))</f>
        <v>0</v>
      </c>
      <c r="V365" s="593">
        <f ca="1">$E365*(-SUMIF(INDIRECT(V$3),'Struktur Aktuell'!$D365,INDIRECT(V$4))+SUMIF(INDIRECT(V$3),'Struktur Aktuell'!$D365,INDIRECT(V$5)))</f>
        <v>0</v>
      </c>
      <c r="W365" s="593">
        <f ca="1">$E365*(-SUMIF(INDIRECT(W$3),'Struktur Aktuell'!$D365,INDIRECT(W$4))+SUMIF(INDIRECT(W$3),'Struktur Aktuell'!$D365,INDIRECT(W$5)))</f>
        <v>0</v>
      </c>
      <c r="X365" s="593">
        <f ca="1">$E365*(-SUMIF(INDIRECT(X$3),'Struktur Aktuell'!$D365,INDIRECT(X$4))+SUMIF(INDIRECT(X$3),'Struktur Aktuell'!$D365,INDIRECT(X$5)))</f>
        <v>0</v>
      </c>
      <c r="Y365" s="593">
        <f ca="1">$E365*(-SUMIF(INDIRECT(Y$3),'Struktur Aktuell'!$D365,INDIRECT(Y$4))+SUMIF(INDIRECT(Y$3),'Struktur Aktuell'!$D365,INDIRECT(Y$5)))</f>
        <v>0</v>
      </c>
      <c r="Z365" s="593">
        <f ca="1">$E365*(-SUMIF(INDIRECT(Z$3),'Struktur Aktuell'!$D365,INDIRECT(Z$4))+SUMIF(INDIRECT(Z$3),'Struktur Aktuell'!$D365,INDIRECT(Z$5)))</f>
        <v>0</v>
      </c>
      <c r="AA365" s="593">
        <f ca="1">$E365*(-SUMIF(INDIRECT(AA$3),'Struktur Aktuell'!$D365,INDIRECT(AA$4))+SUMIF(INDIRECT(AA$3),'Struktur Aktuell'!$D365,INDIRECT(AA$5)))</f>
        <v>0</v>
      </c>
      <c r="AB365" s="593">
        <f ca="1">$E365*(-SUMIF(INDIRECT(AB$3),'Struktur Aktuell'!$D365,INDIRECT(AB$4))+SUMIF(INDIRECT(AB$3),'Struktur Aktuell'!$D365,INDIRECT(AB$5)))</f>
        <v>0</v>
      </c>
      <c r="AC365" s="593">
        <f ca="1">$E365*(-SUMIF(INDIRECT(AC$3),'Struktur Aktuell'!$D365,INDIRECT(AC$4))+SUMIF(INDIRECT(AC$3),'Struktur Aktuell'!$D365,INDIRECT(AC$5)))</f>
        <v>0</v>
      </c>
      <c r="AD365" s="593">
        <f ca="1">$E365*(-SUMIF(INDIRECT(AD$3),'Struktur Aktuell'!$D365,INDIRECT(AD$4))+SUMIF(INDIRECT(AD$3),'Struktur Aktuell'!$D365,INDIRECT(AD$5)))</f>
        <v>0</v>
      </c>
      <c r="AE365" s="593">
        <f t="shared" ca="1" si="544"/>
        <v>0</v>
      </c>
      <c r="AF365" s="593">
        <f t="shared" ca="1" si="545"/>
        <v>0</v>
      </c>
      <c r="AG365" s="593">
        <f t="shared" ca="1" si="546"/>
        <v>0</v>
      </c>
      <c r="AH365" s="593">
        <f t="shared" ca="1" si="547"/>
        <v>0</v>
      </c>
      <c r="AI365" s="593">
        <f t="shared" ca="1" si="548"/>
        <v>0</v>
      </c>
      <c r="AJ365" s="593">
        <f t="shared" ca="1" si="549"/>
        <v>0</v>
      </c>
      <c r="AK365" s="593">
        <f t="shared" ca="1" si="550"/>
        <v>0</v>
      </c>
      <c r="AL365" s="593">
        <f t="shared" ca="1" si="551"/>
        <v>0</v>
      </c>
      <c r="AM365" s="593">
        <f t="shared" ca="1" si="552"/>
        <v>0</v>
      </c>
      <c r="AN365" s="593">
        <f t="shared" ca="1" si="553"/>
        <v>0</v>
      </c>
      <c r="AO365" s="593">
        <f t="shared" ca="1" si="554"/>
        <v>0</v>
      </c>
      <c r="AP365" s="593">
        <f t="shared" ca="1" si="555"/>
        <v>0</v>
      </c>
    </row>
    <row r="366" spans="1:42" s="589" customFormat="1" x14ac:dyDescent="0.2">
      <c r="A366" s="825">
        <v>35.1</v>
      </c>
      <c r="B366" s="826" t="s">
        <v>1022</v>
      </c>
      <c r="C366" s="587">
        <f ca="1">SUM(G366:R366)</f>
        <v>197.27999999999975</v>
      </c>
      <c r="D366" s="587"/>
      <c r="E366" s="588">
        <f t="shared" si="381"/>
        <v>1</v>
      </c>
      <c r="F366" s="585"/>
      <c r="G366" s="587">
        <f t="shared" ref="G366:R366" ca="1" si="556">SUM(G367:G375)</f>
        <v>0</v>
      </c>
      <c r="H366" s="587">
        <f t="shared" ca="1" si="556"/>
        <v>93</v>
      </c>
      <c r="I366" s="587">
        <f t="shared" ca="1" si="556"/>
        <v>197.28</v>
      </c>
      <c r="J366" s="587">
        <f t="shared" ca="1" si="556"/>
        <v>0</v>
      </c>
      <c r="K366" s="587">
        <f t="shared" ca="1" si="556"/>
        <v>5416.5</v>
      </c>
      <c r="L366" s="587">
        <f t="shared" ca="1" si="556"/>
        <v>0</v>
      </c>
      <c r="M366" s="587">
        <f t="shared" ca="1" si="556"/>
        <v>0</v>
      </c>
      <c r="N366" s="587">
        <f t="shared" ca="1" si="556"/>
        <v>0</v>
      </c>
      <c r="O366" s="587">
        <f t="shared" ca="1" si="556"/>
        <v>0</v>
      </c>
      <c r="P366" s="587">
        <f t="shared" ca="1" si="556"/>
        <v>-5509.5</v>
      </c>
      <c r="Q366" s="587">
        <f t="shared" ca="1" si="556"/>
        <v>0</v>
      </c>
      <c r="R366" s="587">
        <f t="shared" ca="1" si="556"/>
        <v>0</v>
      </c>
      <c r="S366" s="587">
        <f t="shared" ref="S366:AP366" ca="1" si="557">SUM(S367:S375)</f>
        <v>0</v>
      </c>
      <c r="T366" s="587">
        <f t="shared" ca="1" si="557"/>
        <v>93</v>
      </c>
      <c r="U366" s="587">
        <f t="shared" ca="1" si="557"/>
        <v>290.27999999999997</v>
      </c>
      <c r="V366" s="587">
        <f t="shared" ca="1" si="557"/>
        <v>290.27999999999997</v>
      </c>
      <c r="W366" s="587">
        <f t="shared" ca="1" si="557"/>
        <v>5706.78</v>
      </c>
      <c r="X366" s="587">
        <f t="shared" ca="1" si="557"/>
        <v>5706.78</v>
      </c>
      <c r="Y366" s="587">
        <f t="shared" ca="1" si="557"/>
        <v>5706.78</v>
      </c>
      <c r="Z366" s="587">
        <f t="shared" ca="1" si="557"/>
        <v>5706.78</v>
      </c>
      <c r="AA366" s="587">
        <f t="shared" ca="1" si="557"/>
        <v>5706.78</v>
      </c>
      <c r="AB366" s="587">
        <f t="shared" ca="1" si="557"/>
        <v>197.28</v>
      </c>
      <c r="AC366" s="587">
        <f t="shared" ca="1" si="557"/>
        <v>0</v>
      </c>
      <c r="AD366" s="587">
        <f t="shared" ca="1" si="557"/>
        <v>0</v>
      </c>
      <c r="AE366" s="587">
        <f t="shared" ca="1" si="557"/>
        <v>0</v>
      </c>
      <c r="AF366" s="587">
        <f t="shared" ca="1" si="557"/>
        <v>93</v>
      </c>
      <c r="AG366" s="587">
        <f t="shared" ca="1" si="557"/>
        <v>290.27999999999997</v>
      </c>
      <c r="AH366" s="587">
        <f t="shared" ca="1" si="557"/>
        <v>290.27999999999997</v>
      </c>
      <c r="AI366" s="587">
        <f t="shared" ca="1" si="557"/>
        <v>5706.78</v>
      </c>
      <c r="AJ366" s="587">
        <f t="shared" ca="1" si="557"/>
        <v>5706.78</v>
      </c>
      <c r="AK366" s="587">
        <f t="shared" ca="1" si="557"/>
        <v>5706.78</v>
      </c>
      <c r="AL366" s="587">
        <f t="shared" ca="1" si="557"/>
        <v>5706.78</v>
      </c>
      <c r="AM366" s="587">
        <f t="shared" ca="1" si="557"/>
        <v>5706.78</v>
      </c>
      <c r="AN366" s="587">
        <f t="shared" ca="1" si="557"/>
        <v>197.28</v>
      </c>
      <c r="AO366" s="587">
        <f t="shared" ca="1" si="557"/>
        <v>197.28</v>
      </c>
      <c r="AP366" s="587">
        <f t="shared" ca="1" si="557"/>
        <v>197.28</v>
      </c>
    </row>
    <row r="367" spans="1:42" s="594" customFormat="1" ht="11.25" x14ac:dyDescent="0.2">
      <c r="A367" s="590"/>
      <c r="B367" s="591" t="str">
        <f>IF(D367&lt;&gt;"",
IF(ISERROR(MATCH(D367,'Ist Aktuell Monat 01'!A:A,0))=FALSE,INDEX('Ist Aktuell Monat 01'!B:B,MATCH(D367,'Ist Aktuell Monat 01'!A:A,0)),
IF(ISERROR(MATCH(D367,'Ist Aktuell Monat 02'!A:A,0))=FALSE,INDEX('Ist Aktuell Monat 02'!B:B,MATCH(D367,'Ist Aktuell Monat 02'!A:A,0)),
IF(ISERROR(MATCH(D367,'Ist Aktuell Monat 03'!A:A,0))=FALSE,INDEX('Ist Aktuell Monat 03'!B:B,MATCH(D367,'Ist Aktuell Monat 03'!A:A,0)),
IF(ISERROR(MATCH(D367,'Ist Aktuell Monat 04'!A:A,0))=FALSE,INDEX('Ist Aktuell Monat 04'!B:B,MATCH(D367,'Ist Aktuell Monat 04'!A:A,0)),
IF(ISERROR(MATCH(D367,'Ist Aktuell Monat 05'!A:A,0))=FALSE,INDEX('Ist Aktuell Monat 05'!B:B,MATCH(D367,'Ist Aktuell Monat 05'!A:A,0)),
IF(ISERROR(MATCH(D367,'Ist Aktuell Monat 06'!A:A,0))=FALSE,INDEX('Ist Aktuell Monat 06'!B:B,MATCH(D367,'Ist Aktuell Monat 06'!A:A,0)),
IF(ISERROR(MATCH(D367,'Ist Aktuell Monat 07'!A:A,0))=FALSE,INDEX('Ist Aktuell Monat 07'!B:B,MATCH(D367,'Ist Aktuell Monat 07'!A:A,0)),
IF(ISERROR(MATCH(D367,'Ist Aktuell Monat 08'!A:A,0))=FALSE,INDEX('Ist Aktuell Monat 08'!B:B,MATCH(D367,'Ist Aktuell Monat 08'!A:A,0)),
IF(ISERROR(MATCH(D367,'Ist Aktuell Monat 09'!A:A,0))=FALSE,INDEX('Ist Aktuell Monat 09'!B:B,MATCH(D367,'Ist Aktuell Monat 09'!A:A,0)),
IF(ISERROR(MATCH(D367,'Ist Aktuell Monat 10'!A:A,0))=FALSE,INDEX('Ist Aktuell Monat 10'!B:B,MATCH(D367,'Ist Aktuell Monat 10'!A:A,0)),
IF(ISERROR(MATCH(D367,'Ist Aktuell Monat 11'!A:A,0))=FALSE,INDEX('Ist Aktuell Monat 11'!B:B,MATCH(D367,'Ist Aktuell Monat 11'!A:A,0)),
IF(ISERROR(MATCH(D367,'Ist Aktuell Monat 12'!A:A,0))=FALSE,INDEX('Ist Aktuell Monat 12'!B:B,MATCH(D367,'Ist Aktuell Monat 12'!A:A,0)),
"{Konto unbekannt}"
)))))))))))),"")</f>
        <v>Körperschaftsteuer</v>
      </c>
      <c r="C367" s="591"/>
      <c r="D367" s="590">
        <v>2200</v>
      </c>
      <c r="E367" s="592">
        <f t="shared" si="381"/>
        <v>1</v>
      </c>
      <c r="F367" s="590"/>
      <c r="G367" s="593">
        <f ca="1">$E367*(-SUMIF(INDIRECT(G$3),'Struktur Aktuell'!$D367,INDIRECT(G$4))+SUMIF(INDIRECT(G$3),'Struktur Aktuell'!$D367,INDIRECT(G$5)))</f>
        <v>0</v>
      </c>
      <c r="H367" s="593">
        <f ca="1">$E367*(-SUMIF(INDIRECT(H$3),'Struktur Aktuell'!$D367,INDIRECT(H$4))+SUMIF(INDIRECT(H$3),'Struktur Aktuell'!$D367,INDIRECT(H$5)))</f>
        <v>0</v>
      </c>
      <c r="I367" s="593">
        <f ca="1">$E367*(-SUMIF(INDIRECT(I$3),'Struktur Aktuell'!$D367,INDIRECT(I$4))+SUMIF(INDIRECT(I$3),'Struktur Aktuell'!$D367,INDIRECT(I$5)))</f>
        <v>197.28</v>
      </c>
      <c r="J367" s="593">
        <f ca="1">$E367*(-SUMIF(INDIRECT(J$3),'Struktur Aktuell'!$D367,INDIRECT(J$4))+SUMIF(INDIRECT(J$3),'Struktur Aktuell'!$D367,INDIRECT(J$5)))</f>
        <v>0</v>
      </c>
      <c r="K367" s="593">
        <f ca="1">$E367*(-SUMIF(INDIRECT(K$3),'Struktur Aktuell'!$D367,INDIRECT(K$4))+SUMIF(INDIRECT(K$3),'Struktur Aktuell'!$D367,INDIRECT(K$5)))</f>
        <v>0</v>
      </c>
      <c r="L367" s="593">
        <f ca="1">$E367*(-SUMIF(INDIRECT(L$3),'Struktur Aktuell'!$D367,INDIRECT(L$4))+SUMIF(INDIRECT(L$3),'Struktur Aktuell'!$D367,INDIRECT(L$5)))</f>
        <v>0</v>
      </c>
      <c r="M367" s="593">
        <f ca="1">$E367*(-SUMIF(INDIRECT(M$3),'Struktur Aktuell'!$D367,INDIRECT(M$4))+SUMIF(INDIRECT(M$3),'Struktur Aktuell'!$D367,INDIRECT(M$5)))</f>
        <v>0</v>
      </c>
      <c r="N367" s="593">
        <f ca="1">$E367*(-SUMIF(INDIRECT(N$3),'Struktur Aktuell'!$D367,INDIRECT(N$4))+SUMIF(INDIRECT(N$3),'Struktur Aktuell'!$D367,INDIRECT(N$5)))</f>
        <v>0</v>
      </c>
      <c r="O367" s="593">
        <f ca="1">$E367*(-SUMIF(INDIRECT(O$3),'Struktur Aktuell'!$D367,INDIRECT(O$4))+SUMIF(INDIRECT(O$3),'Struktur Aktuell'!$D367,INDIRECT(O$5)))</f>
        <v>0</v>
      </c>
      <c r="P367" s="593">
        <f ca="1">$E367*(-SUMIF(INDIRECT(P$3),'Struktur Aktuell'!$D367,INDIRECT(P$4))+SUMIF(INDIRECT(P$3),'Struktur Aktuell'!$D367,INDIRECT(P$5)))</f>
        <v>0</v>
      </c>
      <c r="Q367" s="593">
        <f ca="1">$E367*(-SUMIF(INDIRECT(Q$3),'Struktur Aktuell'!$D367,INDIRECT(Q$4))+SUMIF(INDIRECT(Q$3),'Struktur Aktuell'!$D367,INDIRECT(Q$5)))</f>
        <v>0</v>
      </c>
      <c r="R367" s="593">
        <f ca="1">$E367*(-SUMIF(INDIRECT(R$3),'Struktur Aktuell'!$D367,INDIRECT(R$4))+SUMIF(INDIRECT(R$3),'Struktur Aktuell'!$D367,INDIRECT(R$5)))</f>
        <v>0</v>
      </c>
      <c r="S367" s="593">
        <f ca="1">$E367*(-SUMIF(INDIRECT(S$3),'Struktur Aktuell'!$D367,INDIRECT(S$4))+SUMIF(INDIRECT(S$3),'Struktur Aktuell'!$D367,INDIRECT(S$5)))</f>
        <v>0</v>
      </c>
      <c r="T367" s="593">
        <f ca="1">$E367*(-SUMIF(INDIRECT(T$3),'Struktur Aktuell'!$D367,INDIRECT(T$4))+SUMIF(INDIRECT(T$3),'Struktur Aktuell'!$D367,INDIRECT(T$5)))</f>
        <v>0</v>
      </c>
      <c r="U367" s="593">
        <f ca="1">$E367*(-SUMIF(INDIRECT(U$3),'Struktur Aktuell'!$D367,INDIRECT(U$4))+SUMIF(INDIRECT(U$3),'Struktur Aktuell'!$D367,INDIRECT(U$5)))</f>
        <v>197.28</v>
      </c>
      <c r="V367" s="593">
        <f ca="1">$E367*(-SUMIF(INDIRECT(V$3),'Struktur Aktuell'!$D367,INDIRECT(V$4))+SUMIF(INDIRECT(V$3),'Struktur Aktuell'!$D367,INDIRECT(V$5)))</f>
        <v>197.28</v>
      </c>
      <c r="W367" s="593">
        <f ca="1">$E367*(-SUMIF(INDIRECT(W$3),'Struktur Aktuell'!$D367,INDIRECT(W$4))+SUMIF(INDIRECT(W$3),'Struktur Aktuell'!$D367,INDIRECT(W$5)))</f>
        <v>197.28</v>
      </c>
      <c r="X367" s="593">
        <f ca="1">$E367*(-SUMIF(INDIRECT(X$3),'Struktur Aktuell'!$D367,INDIRECT(X$4))+SUMIF(INDIRECT(X$3),'Struktur Aktuell'!$D367,INDIRECT(X$5)))</f>
        <v>197.28</v>
      </c>
      <c r="Y367" s="593">
        <f ca="1">$E367*(-SUMIF(INDIRECT(Y$3),'Struktur Aktuell'!$D367,INDIRECT(Y$4))+SUMIF(INDIRECT(Y$3),'Struktur Aktuell'!$D367,INDIRECT(Y$5)))</f>
        <v>197.28</v>
      </c>
      <c r="Z367" s="593">
        <f ca="1">$E367*(-SUMIF(INDIRECT(Z$3),'Struktur Aktuell'!$D367,INDIRECT(Z$4))+SUMIF(INDIRECT(Z$3),'Struktur Aktuell'!$D367,INDIRECT(Z$5)))</f>
        <v>197.28</v>
      </c>
      <c r="AA367" s="593">
        <f ca="1">$E367*(-SUMIF(INDIRECT(AA$3),'Struktur Aktuell'!$D367,INDIRECT(AA$4))+SUMIF(INDIRECT(AA$3),'Struktur Aktuell'!$D367,INDIRECT(AA$5)))</f>
        <v>197.28</v>
      </c>
      <c r="AB367" s="593">
        <f ca="1">$E367*(-SUMIF(INDIRECT(AB$3),'Struktur Aktuell'!$D367,INDIRECT(AB$4))+SUMIF(INDIRECT(AB$3),'Struktur Aktuell'!$D367,INDIRECT(AB$5)))</f>
        <v>197.28</v>
      </c>
      <c r="AC367" s="593">
        <f ca="1">$E367*(-SUMIF(INDIRECT(AC$3),'Struktur Aktuell'!$D367,INDIRECT(AC$4))+SUMIF(INDIRECT(AC$3),'Struktur Aktuell'!$D367,INDIRECT(AC$5)))</f>
        <v>0</v>
      </c>
      <c r="AD367" s="593">
        <f ca="1">$E367*(-SUMIF(INDIRECT(AD$3),'Struktur Aktuell'!$D367,INDIRECT(AD$4))+SUMIF(INDIRECT(AD$3),'Struktur Aktuell'!$D367,INDIRECT(AD$5)))</f>
        <v>0</v>
      </c>
      <c r="AE367" s="593">
        <f t="shared" ref="AE367:AE375" ca="1" si="558">G367</f>
        <v>0</v>
      </c>
      <c r="AF367" s="593">
        <f t="shared" ref="AF367:AF375" ca="1" si="559">H367+AE367</f>
        <v>0</v>
      </c>
      <c r="AG367" s="593">
        <f t="shared" ref="AG367:AG375" ca="1" si="560">I367+AF367</f>
        <v>197.28</v>
      </c>
      <c r="AH367" s="593">
        <f t="shared" ref="AH367:AH375" ca="1" si="561">J367+AG367</f>
        <v>197.28</v>
      </c>
      <c r="AI367" s="593">
        <f t="shared" ref="AI367:AI375" ca="1" si="562">K367+AH367</f>
        <v>197.28</v>
      </c>
      <c r="AJ367" s="593">
        <f t="shared" ref="AJ367:AJ375" ca="1" si="563">L367+AI367</f>
        <v>197.28</v>
      </c>
      <c r="AK367" s="593">
        <f t="shared" ref="AK367:AK375" ca="1" si="564">M367+AJ367</f>
        <v>197.28</v>
      </c>
      <c r="AL367" s="593">
        <f t="shared" ref="AL367:AL375" ca="1" si="565">N367+AK367</f>
        <v>197.28</v>
      </c>
      <c r="AM367" s="593">
        <f t="shared" ref="AM367:AM375" ca="1" si="566">O367+AL367</f>
        <v>197.28</v>
      </c>
      <c r="AN367" s="593">
        <f t="shared" ref="AN367:AN375" ca="1" si="567">P367+AM367</f>
        <v>197.28</v>
      </c>
      <c r="AO367" s="593">
        <f t="shared" ref="AO367:AO375" ca="1" si="568">Q367+AN367</f>
        <v>197.28</v>
      </c>
      <c r="AP367" s="593">
        <f t="shared" ref="AP367:AP375" ca="1" si="569">R367+AO367</f>
        <v>197.28</v>
      </c>
    </row>
    <row r="368" spans="1:42" s="594" customFormat="1" ht="11.25" outlineLevel="1" x14ac:dyDescent="0.2">
      <c r="A368" s="590"/>
      <c r="B368" s="591" t="str">
        <f>IF(D368&lt;&gt;"",
IF(ISERROR(MATCH(D368,'Ist Aktuell Monat 01'!A:A,0))=FALSE,INDEX('Ist Aktuell Monat 01'!B:B,MATCH(D368,'Ist Aktuell Monat 01'!A:A,0)),
IF(ISERROR(MATCH(D368,'Ist Aktuell Monat 02'!A:A,0))=FALSE,INDEX('Ist Aktuell Monat 02'!B:B,MATCH(D368,'Ist Aktuell Monat 02'!A:A,0)),
IF(ISERROR(MATCH(D368,'Ist Aktuell Monat 03'!A:A,0))=FALSE,INDEX('Ist Aktuell Monat 03'!B:B,MATCH(D368,'Ist Aktuell Monat 03'!A:A,0)),
IF(ISERROR(MATCH(D368,'Ist Aktuell Monat 04'!A:A,0))=FALSE,INDEX('Ist Aktuell Monat 04'!B:B,MATCH(D368,'Ist Aktuell Monat 04'!A:A,0)),
IF(ISERROR(MATCH(D368,'Ist Aktuell Monat 05'!A:A,0))=FALSE,INDEX('Ist Aktuell Monat 05'!B:B,MATCH(D368,'Ist Aktuell Monat 05'!A:A,0)),
IF(ISERROR(MATCH(D368,'Ist Aktuell Monat 06'!A:A,0))=FALSE,INDEX('Ist Aktuell Monat 06'!B:B,MATCH(D368,'Ist Aktuell Monat 06'!A:A,0)),
IF(ISERROR(MATCH(D368,'Ist Aktuell Monat 07'!A:A,0))=FALSE,INDEX('Ist Aktuell Monat 07'!B:B,MATCH(D368,'Ist Aktuell Monat 07'!A:A,0)),
IF(ISERROR(MATCH(D368,'Ist Aktuell Monat 08'!A:A,0))=FALSE,INDEX('Ist Aktuell Monat 08'!B:B,MATCH(D368,'Ist Aktuell Monat 08'!A:A,0)),
IF(ISERROR(MATCH(D368,'Ist Aktuell Monat 09'!A:A,0))=FALSE,INDEX('Ist Aktuell Monat 09'!B:B,MATCH(D368,'Ist Aktuell Monat 09'!A:A,0)),
IF(ISERROR(MATCH(D368,'Ist Aktuell Monat 10'!A:A,0))=FALSE,INDEX('Ist Aktuell Monat 10'!B:B,MATCH(D368,'Ist Aktuell Monat 10'!A:A,0)),
IF(ISERROR(MATCH(D368,'Ist Aktuell Monat 11'!A:A,0))=FALSE,INDEX('Ist Aktuell Monat 11'!B:B,MATCH(D368,'Ist Aktuell Monat 11'!A:A,0)),
IF(ISERROR(MATCH(D368,'Ist Aktuell Monat 12'!A:A,0))=FALSE,INDEX('Ist Aktuell Monat 12'!B:B,MATCH(D368,'Ist Aktuell Monat 12'!A:A,0)),
"{Konto unbekannt}"
)))))))))))),"")</f>
        <v>Gewerbesteuer</v>
      </c>
      <c r="C368" s="591"/>
      <c r="D368" s="590">
        <v>4320</v>
      </c>
      <c r="E368" s="592">
        <f t="shared" si="381"/>
        <v>1</v>
      </c>
      <c r="F368" s="590"/>
      <c r="G368" s="593">
        <f ca="1">$E368*(-SUMIF(INDIRECT(G$3),'Struktur Aktuell'!$D368,INDIRECT(G$4))+SUMIF(INDIRECT(G$3),'Struktur Aktuell'!$D368,INDIRECT(G$5)))</f>
        <v>0</v>
      </c>
      <c r="H368" s="593">
        <f ca="1">$E368*(-SUMIF(INDIRECT(H$3),'Struktur Aktuell'!$D368,INDIRECT(H$4))+SUMIF(INDIRECT(H$3),'Struktur Aktuell'!$D368,INDIRECT(H$5)))</f>
        <v>93</v>
      </c>
      <c r="I368" s="593">
        <f ca="1">$E368*(-SUMIF(INDIRECT(I$3),'Struktur Aktuell'!$D368,INDIRECT(I$4))+SUMIF(INDIRECT(I$3),'Struktur Aktuell'!$D368,INDIRECT(I$5)))</f>
        <v>0</v>
      </c>
      <c r="J368" s="593">
        <f ca="1">$E368*(-SUMIF(INDIRECT(J$3),'Struktur Aktuell'!$D368,INDIRECT(J$4))+SUMIF(INDIRECT(J$3),'Struktur Aktuell'!$D368,INDIRECT(J$5)))</f>
        <v>0</v>
      </c>
      <c r="K368" s="593">
        <f ca="1">$E368*(-SUMIF(INDIRECT(K$3),'Struktur Aktuell'!$D368,INDIRECT(K$4))+SUMIF(INDIRECT(K$3),'Struktur Aktuell'!$D368,INDIRECT(K$5)))</f>
        <v>5416.5</v>
      </c>
      <c r="L368" s="593">
        <f ca="1">$E368*(-SUMIF(INDIRECT(L$3),'Struktur Aktuell'!$D368,INDIRECT(L$4))+SUMIF(INDIRECT(L$3),'Struktur Aktuell'!$D368,INDIRECT(L$5)))</f>
        <v>0</v>
      </c>
      <c r="M368" s="593">
        <f ca="1">$E368*(-SUMIF(INDIRECT(M$3),'Struktur Aktuell'!$D368,INDIRECT(M$4))+SUMIF(INDIRECT(M$3),'Struktur Aktuell'!$D368,INDIRECT(M$5)))</f>
        <v>0</v>
      </c>
      <c r="N368" s="593">
        <f ca="1">$E368*(-SUMIF(INDIRECT(N$3),'Struktur Aktuell'!$D368,INDIRECT(N$4))+SUMIF(INDIRECT(N$3),'Struktur Aktuell'!$D368,INDIRECT(N$5)))</f>
        <v>0</v>
      </c>
      <c r="O368" s="593">
        <f ca="1">$E368*(-SUMIF(INDIRECT(O$3),'Struktur Aktuell'!$D368,INDIRECT(O$4))+SUMIF(INDIRECT(O$3),'Struktur Aktuell'!$D368,INDIRECT(O$5)))</f>
        <v>0</v>
      </c>
      <c r="P368" s="593">
        <f ca="1">$E368*(-SUMIF(INDIRECT(P$3),'Struktur Aktuell'!$D368,INDIRECT(P$4))+SUMIF(INDIRECT(P$3),'Struktur Aktuell'!$D368,INDIRECT(P$5)))</f>
        <v>-5509.5</v>
      </c>
      <c r="Q368" s="593">
        <f ca="1">$E368*(-SUMIF(INDIRECT(Q$3),'Struktur Aktuell'!$D368,INDIRECT(Q$4))+SUMIF(INDIRECT(Q$3),'Struktur Aktuell'!$D368,INDIRECT(Q$5)))</f>
        <v>0</v>
      </c>
      <c r="R368" s="593">
        <f ca="1">$E368*(-SUMIF(INDIRECT(R$3),'Struktur Aktuell'!$D368,INDIRECT(R$4))+SUMIF(INDIRECT(R$3),'Struktur Aktuell'!$D368,INDIRECT(R$5)))</f>
        <v>0</v>
      </c>
      <c r="S368" s="593">
        <f ca="1">$E368*(-SUMIF(INDIRECT(S$3),'Struktur Aktuell'!$D368,INDIRECT(S$4))+SUMIF(INDIRECT(S$3),'Struktur Aktuell'!$D368,INDIRECT(S$5)))</f>
        <v>0</v>
      </c>
      <c r="T368" s="593">
        <f ca="1">$E368*(-SUMIF(INDIRECT(T$3),'Struktur Aktuell'!$D368,INDIRECT(T$4))+SUMIF(INDIRECT(T$3),'Struktur Aktuell'!$D368,INDIRECT(T$5)))</f>
        <v>93</v>
      </c>
      <c r="U368" s="593">
        <f ca="1">$E368*(-SUMIF(INDIRECT(U$3),'Struktur Aktuell'!$D368,INDIRECT(U$4))+SUMIF(INDIRECT(U$3),'Struktur Aktuell'!$D368,INDIRECT(U$5)))</f>
        <v>93</v>
      </c>
      <c r="V368" s="593">
        <f ca="1">$E368*(-SUMIF(INDIRECT(V$3),'Struktur Aktuell'!$D368,INDIRECT(V$4))+SUMIF(INDIRECT(V$3),'Struktur Aktuell'!$D368,INDIRECT(V$5)))</f>
        <v>93</v>
      </c>
      <c r="W368" s="593">
        <f ca="1">$E368*(-SUMIF(INDIRECT(W$3),'Struktur Aktuell'!$D368,INDIRECT(W$4))+SUMIF(INDIRECT(W$3),'Struktur Aktuell'!$D368,INDIRECT(W$5)))</f>
        <v>5509.5</v>
      </c>
      <c r="X368" s="593">
        <f ca="1">$E368*(-SUMIF(INDIRECT(X$3),'Struktur Aktuell'!$D368,INDIRECT(X$4))+SUMIF(INDIRECT(X$3),'Struktur Aktuell'!$D368,INDIRECT(X$5)))</f>
        <v>5509.5</v>
      </c>
      <c r="Y368" s="593">
        <f ca="1">$E368*(-SUMIF(INDIRECT(Y$3),'Struktur Aktuell'!$D368,INDIRECT(Y$4))+SUMIF(INDIRECT(Y$3),'Struktur Aktuell'!$D368,INDIRECT(Y$5)))</f>
        <v>5509.5</v>
      </c>
      <c r="Z368" s="593">
        <f ca="1">$E368*(-SUMIF(INDIRECT(Z$3),'Struktur Aktuell'!$D368,INDIRECT(Z$4))+SUMIF(INDIRECT(Z$3),'Struktur Aktuell'!$D368,INDIRECT(Z$5)))</f>
        <v>5509.5</v>
      </c>
      <c r="AA368" s="593">
        <f ca="1">$E368*(-SUMIF(INDIRECT(AA$3),'Struktur Aktuell'!$D368,INDIRECT(AA$4))+SUMIF(INDIRECT(AA$3),'Struktur Aktuell'!$D368,INDIRECT(AA$5)))</f>
        <v>5509.5</v>
      </c>
      <c r="AB368" s="593">
        <f ca="1">$E368*(-SUMIF(INDIRECT(AB$3),'Struktur Aktuell'!$D368,INDIRECT(AB$4))+SUMIF(INDIRECT(AB$3),'Struktur Aktuell'!$D368,INDIRECT(AB$5)))</f>
        <v>0</v>
      </c>
      <c r="AC368" s="593">
        <f ca="1">$E368*(-SUMIF(INDIRECT(AC$3),'Struktur Aktuell'!$D368,INDIRECT(AC$4))+SUMIF(INDIRECT(AC$3),'Struktur Aktuell'!$D368,INDIRECT(AC$5)))</f>
        <v>0</v>
      </c>
      <c r="AD368" s="593">
        <f ca="1">$E368*(-SUMIF(INDIRECT(AD$3),'Struktur Aktuell'!$D368,INDIRECT(AD$4))+SUMIF(INDIRECT(AD$3),'Struktur Aktuell'!$D368,INDIRECT(AD$5)))</f>
        <v>0</v>
      </c>
      <c r="AE368" s="593">
        <f t="shared" ca="1" si="558"/>
        <v>0</v>
      </c>
      <c r="AF368" s="593">
        <f t="shared" ca="1" si="559"/>
        <v>93</v>
      </c>
      <c r="AG368" s="593">
        <f t="shared" ca="1" si="560"/>
        <v>93</v>
      </c>
      <c r="AH368" s="593">
        <f t="shared" ca="1" si="561"/>
        <v>93</v>
      </c>
      <c r="AI368" s="593">
        <f t="shared" ca="1" si="562"/>
        <v>5509.5</v>
      </c>
      <c r="AJ368" s="593">
        <f t="shared" ca="1" si="563"/>
        <v>5509.5</v>
      </c>
      <c r="AK368" s="593">
        <f t="shared" ca="1" si="564"/>
        <v>5509.5</v>
      </c>
      <c r="AL368" s="593">
        <f t="shared" ca="1" si="565"/>
        <v>5509.5</v>
      </c>
      <c r="AM368" s="593">
        <f t="shared" ca="1" si="566"/>
        <v>5509.5</v>
      </c>
      <c r="AN368" s="593">
        <f t="shared" ca="1" si="567"/>
        <v>0</v>
      </c>
      <c r="AO368" s="593">
        <f t="shared" ca="1" si="568"/>
        <v>0</v>
      </c>
      <c r="AP368" s="593">
        <f t="shared" ca="1" si="569"/>
        <v>0</v>
      </c>
    </row>
    <row r="369" spans="1:42" s="594" customFormat="1" ht="11.25" outlineLevel="1" x14ac:dyDescent="0.2">
      <c r="A369" s="590"/>
      <c r="B369" s="591" t="str">
        <f>IF(D369&lt;&gt;"",
IF(ISERROR(MATCH(D369,'Ist Aktuell Monat 01'!A:A,0))=FALSE,INDEX('Ist Aktuell Monat 01'!B:B,MATCH(D369,'Ist Aktuell Monat 01'!A:A,0)),
IF(ISERROR(MATCH(D369,'Ist Aktuell Monat 02'!A:A,0))=FALSE,INDEX('Ist Aktuell Monat 02'!B:B,MATCH(D369,'Ist Aktuell Monat 02'!A:A,0)),
IF(ISERROR(MATCH(D369,'Ist Aktuell Monat 03'!A:A,0))=FALSE,INDEX('Ist Aktuell Monat 03'!B:B,MATCH(D369,'Ist Aktuell Monat 03'!A:A,0)),
IF(ISERROR(MATCH(D369,'Ist Aktuell Monat 04'!A:A,0))=FALSE,INDEX('Ist Aktuell Monat 04'!B:B,MATCH(D369,'Ist Aktuell Monat 04'!A:A,0)),
IF(ISERROR(MATCH(D369,'Ist Aktuell Monat 05'!A:A,0))=FALSE,INDEX('Ist Aktuell Monat 05'!B:B,MATCH(D369,'Ist Aktuell Monat 05'!A:A,0)),
IF(ISERROR(MATCH(D369,'Ist Aktuell Monat 06'!A:A,0))=FALSE,INDEX('Ist Aktuell Monat 06'!B:B,MATCH(D369,'Ist Aktuell Monat 06'!A:A,0)),
IF(ISERROR(MATCH(D369,'Ist Aktuell Monat 07'!A:A,0))=FALSE,INDEX('Ist Aktuell Monat 07'!B:B,MATCH(D369,'Ist Aktuell Monat 07'!A:A,0)),
IF(ISERROR(MATCH(D369,'Ist Aktuell Monat 08'!A:A,0))=FALSE,INDEX('Ist Aktuell Monat 08'!B:B,MATCH(D369,'Ist Aktuell Monat 08'!A:A,0)),
IF(ISERROR(MATCH(D369,'Ist Aktuell Monat 09'!A:A,0))=FALSE,INDEX('Ist Aktuell Monat 09'!B:B,MATCH(D369,'Ist Aktuell Monat 09'!A:A,0)),
IF(ISERROR(MATCH(D369,'Ist Aktuell Monat 10'!A:A,0))=FALSE,INDEX('Ist Aktuell Monat 10'!B:B,MATCH(D369,'Ist Aktuell Monat 10'!A:A,0)),
IF(ISERROR(MATCH(D369,'Ist Aktuell Monat 11'!A:A,0))=FALSE,INDEX('Ist Aktuell Monat 11'!B:B,MATCH(D369,'Ist Aktuell Monat 11'!A:A,0)),
IF(ISERROR(MATCH(D369,'Ist Aktuell Monat 12'!A:A,0))=FALSE,INDEX('Ist Aktuell Monat 12'!B:B,MATCH(D369,'Ist Aktuell Monat 12'!A:A,0)),
"{Konto unbekannt}"
)))))))))))),"")</f>
        <v/>
      </c>
      <c r="C369" s="591"/>
      <c r="D369" s="590"/>
      <c r="E369" s="592">
        <f t="shared" si="381"/>
        <v>1</v>
      </c>
      <c r="F369" s="590"/>
      <c r="G369" s="593">
        <f ca="1">$E369*(-SUMIF(INDIRECT(G$3),'Struktur Aktuell'!$D369,INDIRECT(G$4))+SUMIF(INDIRECT(G$3),'Struktur Aktuell'!$D369,INDIRECT(G$5)))</f>
        <v>0</v>
      </c>
      <c r="H369" s="593">
        <f ca="1">$E369*(-SUMIF(INDIRECT(H$3),'Struktur Aktuell'!$D369,INDIRECT(H$4))+SUMIF(INDIRECT(H$3),'Struktur Aktuell'!$D369,INDIRECT(H$5)))</f>
        <v>0</v>
      </c>
      <c r="I369" s="593">
        <f ca="1">$E369*(-SUMIF(INDIRECT(I$3),'Struktur Aktuell'!$D369,INDIRECT(I$4))+SUMIF(INDIRECT(I$3),'Struktur Aktuell'!$D369,INDIRECT(I$5)))</f>
        <v>0</v>
      </c>
      <c r="J369" s="593">
        <f ca="1">$E369*(-SUMIF(INDIRECT(J$3),'Struktur Aktuell'!$D369,INDIRECT(J$4))+SUMIF(INDIRECT(J$3),'Struktur Aktuell'!$D369,INDIRECT(J$5)))</f>
        <v>0</v>
      </c>
      <c r="K369" s="593">
        <f ca="1">$E369*(-SUMIF(INDIRECT(K$3),'Struktur Aktuell'!$D369,INDIRECT(K$4))+SUMIF(INDIRECT(K$3),'Struktur Aktuell'!$D369,INDIRECT(K$5)))</f>
        <v>0</v>
      </c>
      <c r="L369" s="593">
        <f ca="1">$E369*(-SUMIF(INDIRECT(L$3),'Struktur Aktuell'!$D369,INDIRECT(L$4))+SUMIF(INDIRECT(L$3),'Struktur Aktuell'!$D369,INDIRECT(L$5)))</f>
        <v>0</v>
      </c>
      <c r="M369" s="593">
        <f ca="1">$E369*(-SUMIF(INDIRECT(M$3),'Struktur Aktuell'!$D369,INDIRECT(M$4))+SUMIF(INDIRECT(M$3),'Struktur Aktuell'!$D369,INDIRECT(M$5)))</f>
        <v>0</v>
      </c>
      <c r="N369" s="593">
        <f ca="1">$E369*(-SUMIF(INDIRECT(N$3),'Struktur Aktuell'!$D369,INDIRECT(N$4))+SUMIF(INDIRECT(N$3),'Struktur Aktuell'!$D369,INDIRECT(N$5)))</f>
        <v>0</v>
      </c>
      <c r="O369" s="593">
        <f ca="1">$E369*(-SUMIF(INDIRECT(O$3),'Struktur Aktuell'!$D369,INDIRECT(O$4))+SUMIF(INDIRECT(O$3),'Struktur Aktuell'!$D369,INDIRECT(O$5)))</f>
        <v>0</v>
      </c>
      <c r="P369" s="593">
        <f ca="1">$E369*(-SUMIF(INDIRECT(P$3),'Struktur Aktuell'!$D369,INDIRECT(P$4))+SUMIF(INDIRECT(P$3),'Struktur Aktuell'!$D369,INDIRECT(P$5)))</f>
        <v>0</v>
      </c>
      <c r="Q369" s="593">
        <f ca="1">$E369*(-SUMIF(INDIRECT(Q$3),'Struktur Aktuell'!$D369,INDIRECT(Q$4))+SUMIF(INDIRECT(Q$3),'Struktur Aktuell'!$D369,INDIRECT(Q$5)))</f>
        <v>0</v>
      </c>
      <c r="R369" s="593">
        <f ca="1">$E369*(-SUMIF(INDIRECT(R$3),'Struktur Aktuell'!$D369,INDIRECT(R$4))+SUMIF(INDIRECT(R$3),'Struktur Aktuell'!$D369,INDIRECT(R$5)))</f>
        <v>0</v>
      </c>
      <c r="S369" s="593">
        <f ca="1">$E369*(-SUMIF(INDIRECT(S$3),'Struktur Aktuell'!$D369,INDIRECT(S$4))+SUMIF(INDIRECT(S$3),'Struktur Aktuell'!$D369,INDIRECT(S$5)))</f>
        <v>0</v>
      </c>
      <c r="T369" s="593">
        <f ca="1">$E369*(-SUMIF(INDIRECT(T$3),'Struktur Aktuell'!$D369,INDIRECT(T$4))+SUMIF(INDIRECT(T$3),'Struktur Aktuell'!$D369,INDIRECT(T$5)))</f>
        <v>0</v>
      </c>
      <c r="U369" s="593">
        <f ca="1">$E369*(-SUMIF(INDIRECT(U$3),'Struktur Aktuell'!$D369,INDIRECT(U$4))+SUMIF(INDIRECT(U$3),'Struktur Aktuell'!$D369,INDIRECT(U$5)))</f>
        <v>0</v>
      </c>
      <c r="V369" s="593">
        <f ca="1">$E369*(-SUMIF(INDIRECT(V$3),'Struktur Aktuell'!$D369,INDIRECT(V$4))+SUMIF(INDIRECT(V$3),'Struktur Aktuell'!$D369,INDIRECT(V$5)))</f>
        <v>0</v>
      </c>
      <c r="W369" s="593">
        <f ca="1">$E369*(-SUMIF(INDIRECT(W$3),'Struktur Aktuell'!$D369,INDIRECT(W$4))+SUMIF(INDIRECT(W$3),'Struktur Aktuell'!$D369,INDIRECT(W$5)))</f>
        <v>0</v>
      </c>
      <c r="X369" s="593">
        <f ca="1">$E369*(-SUMIF(INDIRECT(X$3),'Struktur Aktuell'!$D369,INDIRECT(X$4))+SUMIF(INDIRECT(X$3),'Struktur Aktuell'!$D369,INDIRECT(X$5)))</f>
        <v>0</v>
      </c>
      <c r="Y369" s="593">
        <f ca="1">$E369*(-SUMIF(INDIRECT(Y$3),'Struktur Aktuell'!$D369,INDIRECT(Y$4))+SUMIF(INDIRECT(Y$3),'Struktur Aktuell'!$D369,INDIRECT(Y$5)))</f>
        <v>0</v>
      </c>
      <c r="Z369" s="593">
        <f ca="1">$E369*(-SUMIF(INDIRECT(Z$3),'Struktur Aktuell'!$D369,INDIRECT(Z$4))+SUMIF(INDIRECT(Z$3),'Struktur Aktuell'!$D369,INDIRECT(Z$5)))</f>
        <v>0</v>
      </c>
      <c r="AA369" s="593">
        <f ca="1">$E369*(-SUMIF(INDIRECT(AA$3),'Struktur Aktuell'!$D369,INDIRECT(AA$4))+SUMIF(INDIRECT(AA$3),'Struktur Aktuell'!$D369,INDIRECT(AA$5)))</f>
        <v>0</v>
      </c>
      <c r="AB369" s="593">
        <f ca="1">$E369*(-SUMIF(INDIRECT(AB$3),'Struktur Aktuell'!$D369,INDIRECT(AB$4))+SUMIF(INDIRECT(AB$3),'Struktur Aktuell'!$D369,INDIRECT(AB$5)))</f>
        <v>0</v>
      </c>
      <c r="AC369" s="593">
        <f ca="1">$E369*(-SUMIF(INDIRECT(AC$3),'Struktur Aktuell'!$D369,INDIRECT(AC$4))+SUMIF(INDIRECT(AC$3),'Struktur Aktuell'!$D369,INDIRECT(AC$5)))</f>
        <v>0</v>
      </c>
      <c r="AD369" s="593">
        <f ca="1">$E369*(-SUMIF(INDIRECT(AD$3),'Struktur Aktuell'!$D369,INDIRECT(AD$4))+SUMIF(INDIRECT(AD$3),'Struktur Aktuell'!$D369,INDIRECT(AD$5)))</f>
        <v>0</v>
      </c>
      <c r="AE369" s="593">
        <f t="shared" ca="1" si="558"/>
        <v>0</v>
      </c>
      <c r="AF369" s="593">
        <f t="shared" ca="1" si="559"/>
        <v>0</v>
      </c>
      <c r="AG369" s="593">
        <f t="shared" ca="1" si="560"/>
        <v>0</v>
      </c>
      <c r="AH369" s="593">
        <f t="shared" ca="1" si="561"/>
        <v>0</v>
      </c>
      <c r="AI369" s="593">
        <f t="shared" ca="1" si="562"/>
        <v>0</v>
      </c>
      <c r="AJ369" s="593">
        <f t="shared" ca="1" si="563"/>
        <v>0</v>
      </c>
      <c r="AK369" s="593">
        <f t="shared" ca="1" si="564"/>
        <v>0</v>
      </c>
      <c r="AL369" s="593">
        <f t="shared" ca="1" si="565"/>
        <v>0</v>
      </c>
      <c r="AM369" s="593">
        <f t="shared" ca="1" si="566"/>
        <v>0</v>
      </c>
      <c r="AN369" s="593">
        <f t="shared" ca="1" si="567"/>
        <v>0</v>
      </c>
      <c r="AO369" s="593">
        <f t="shared" ca="1" si="568"/>
        <v>0</v>
      </c>
      <c r="AP369" s="593">
        <f t="shared" ca="1" si="569"/>
        <v>0</v>
      </c>
    </row>
    <row r="370" spans="1:42" s="594" customFormat="1" ht="11.25" outlineLevel="1" x14ac:dyDescent="0.2">
      <c r="A370" s="590"/>
      <c r="B370" s="591" t="str">
        <f>IF(D370&lt;&gt;"",
IF(ISERROR(MATCH(D370,'Ist Aktuell Monat 01'!A:A,0))=FALSE,INDEX('Ist Aktuell Monat 01'!B:B,MATCH(D370,'Ist Aktuell Monat 01'!A:A,0)),
IF(ISERROR(MATCH(D370,'Ist Aktuell Monat 02'!A:A,0))=FALSE,INDEX('Ist Aktuell Monat 02'!B:B,MATCH(D370,'Ist Aktuell Monat 02'!A:A,0)),
IF(ISERROR(MATCH(D370,'Ist Aktuell Monat 03'!A:A,0))=FALSE,INDEX('Ist Aktuell Monat 03'!B:B,MATCH(D370,'Ist Aktuell Monat 03'!A:A,0)),
IF(ISERROR(MATCH(D370,'Ist Aktuell Monat 04'!A:A,0))=FALSE,INDEX('Ist Aktuell Monat 04'!B:B,MATCH(D370,'Ist Aktuell Monat 04'!A:A,0)),
IF(ISERROR(MATCH(D370,'Ist Aktuell Monat 05'!A:A,0))=FALSE,INDEX('Ist Aktuell Monat 05'!B:B,MATCH(D370,'Ist Aktuell Monat 05'!A:A,0)),
IF(ISERROR(MATCH(D370,'Ist Aktuell Monat 06'!A:A,0))=FALSE,INDEX('Ist Aktuell Monat 06'!B:B,MATCH(D370,'Ist Aktuell Monat 06'!A:A,0)),
IF(ISERROR(MATCH(D370,'Ist Aktuell Monat 07'!A:A,0))=FALSE,INDEX('Ist Aktuell Monat 07'!B:B,MATCH(D370,'Ist Aktuell Monat 07'!A:A,0)),
IF(ISERROR(MATCH(D370,'Ist Aktuell Monat 08'!A:A,0))=FALSE,INDEX('Ist Aktuell Monat 08'!B:B,MATCH(D370,'Ist Aktuell Monat 08'!A:A,0)),
IF(ISERROR(MATCH(D370,'Ist Aktuell Monat 09'!A:A,0))=FALSE,INDEX('Ist Aktuell Monat 09'!B:B,MATCH(D370,'Ist Aktuell Monat 09'!A:A,0)),
IF(ISERROR(MATCH(D370,'Ist Aktuell Monat 10'!A:A,0))=FALSE,INDEX('Ist Aktuell Monat 10'!B:B,MATCH(D370,'Ist Aktuell Monat 10'!A:A,0)),
IF(ISERROR(MATCH(D370,'Ist Aktuell Monat 11'!A:A,0))=FALSE,INDEX('Ist Aktuell Monat 11'!B:B,MATCH(D370,'Ist Aktuell Monat 11'!A:A,0)),
IF(ISERROR(MATCH(D370,'Ist Aktuell Monat 12'!A:A,0))=FALSE,INDEX('Ist Aktuell Monat 12'!B:B,MATCH(D370,'Ist Aktuell Monat 12'!A:A,0)),
"{Konto unbekannt}"
)))))))))))),"")</f>
        <v/>
      </c>
      <c r="C370" s="591"/>
      <c r="D370" s="590"/>
      <c r="E370" s="592">
        <f t="shared" ref="E370:E375" si="570">IF(F370="-",-1,1)</f>
        <v>1</v>
      </c>
      <c r="F370" s="590"/>
      <c r="G370" s="593">
        <f ca="1">$E370*(-SUMIF(INDIRECT(G$3),'Struktur Aktuell'!$D370,INDIRECT(G$4))+SUMIF(INDIRECT(G$3),'Struktur Aktuell'!$D370,INDIRECT(G$5)))</f>
        <v>0</v>
      </c>
      <c r="H370" s="593">
        <f ca="1">$E370*(-SUMIF(INDIRECT(H$3),'Struktur Aktuell'!$D370,INDIRECT(H$4))+SUMIF(INDIRECT(H$3),'Struktur Aktuell'!$D370,INDIRECT(H$5)))</f>
        <v>0</v>
      </c>
      <c r="I370" s="593">
        <f ca="1">$E370*(-SUMIF(INDIRECT(I$3),'Struktur Aktuell'!$D370,INDIRECT(I$4))+SUMIF(INDIRECT(I$3),'Struktur Aktuell'!$D370,INDIRECT(I$5)))</f>
        <v>0</v>
      </c>
      <c r="J370" s="593">
        <f ca="1">$E370*(-SUMIF(INDIRECT(J$3),'Struktur Aktuell'!$D370,INDIRECT(J$4))+SUMIF(INDIRECT(J$3),'Struktur Aktuell'!$D370,INDIRECT(J$5)))</f>
        <v>0</v>
      </c>
      <c r="K370" s="593">
        <f ca="1">$E370*(-SUMIF(INDIRECT(K$3),'Struktur Aktuell'!$D370,INDIRECT(K$4))+SUMIF(INDIRECT(K$3),'Struktur Aktuell'!$D370,INDIRECT(K$5)))</f>
        <v>0</v>
      </c>
      <c r="L370" s="593">
        <f ca="1">$E370*(-SUMIF(INDIRECT(L$3),'Struktur Aktuell'!$D370,INDIRECT(L$4))+SUMIF(INDIRECT(L$3),'Struktur Aktuell'!$D370,INDIRECT(L$5)))</f>
        <v>0</v>
      </c>
      <c r="M370" s="593">
        <f ca="1">$E370*(-SUMIF(INDIRECT(M$3),'Struktur Aktuell'!$D370,INDIRECT(M$4))+SUMIF(INDIRECT(M$3),'Struktur Aktuell'!$D370,INDIRECT(M$5)))</f>
        <v>0</v>
      </c>
      <c r="N370" s="593">
        <f ca="1">$E370*(-SUMIF(INDIRECT(N$3),'Struktur Aktuell'!$D370,INDIRECT(N$4))+SUMIF(INDIRECT(N$3),'Struktur Aktuell'!$D370,INDIRECT(N$5)))</f>
        <v>0</v>
      </c>
      <c r="O370" s="593">
        <f ca="1">$E370*(-SUMIF(INDIRECT(O$3),'Struktur Aktuell'!$D370,INDIRECT(O$4))+SUMIF(INDIRECT(O$3),'Struktur Aktuell'!$D370,INDIRECT(O$5)))</f>
        <v>0</v>
      </c>
      <c r="P370" s="593">
        <f ca="1">$E370*(-SUMIF(INDIRECT(P$3),'Struktur Aktuell'!$D370,INDIRECT(P$4))+SUMIF(INDIRECT(P$3),'Struktur Aktuell'!$D370,INDIRECT(P$5)))</f>
        <v>0</v>
      </c>
      <c r="Q370" s="593">
        <f ca="1">$E370*(-SUMIF(INDIRECT(Q$3),'Struktur Aktuell'!$D370,INDIRECT(Q$4))+SUMIF(INDIRECT(Q$3),'Struktur Aktuell'!$D370,INDIRECT(Q$5)))</f>
        <v>0</v>
      </c>
      <c r="R370" s="593">
        <f ca="1">$E370*(-SUMIF(INDIRECT(R$3),'Struktur Aktuell'!$D370,INDIRECT(R$4))+SUMIF(INDIRECT(R$3),'Struktur Aktuell'!$D370,INDIRECT(R$5)))</f>
        <v>0</v>
      </c>
      <c r="S370" s="593">
        <f ca="1">$E370*(-SUMIF(INDIRECT(S$3),'Struktur Aktuell'!$D370,INDIRECT(S$4))+SUMIF(INDIRECT(S$3),'Struktur Aktuell'!$D370,INDIRECT(S$5)))</f>
        <v>0</v>
      </c>
      <c r="T370" s="593">
        <f ca="1">$E370*(-SUMIF(INDIRECT(T$3),'Struktur Aktuell'!$D370,INDIRECT(T$4))+SUMIF(INDIRECT(T$3),'Struktur Aktuell'!$D370,INDIRECT(T$5)))</f>
        <v>0</v>
      </c>
      <c r="U370" s="593">
        <f ca="1">$E370*(-SUMIF(INDIRECT(U$3),'Struktur Aktuell'!$D370,INDIRECT(U$4))+SUMIF(INDIRECT(U$3),'Struktur Aktuell'!$D370,INDIRECT(U$5)))</f>
        <v>0</v>
      </c>
      <c r="V370" s="593">
        <f ca="1">$E370*(-SUMIF(INDIRECT(V$3),'Struktur Aktuell'!$D370,INDIRECT(V$4))+SUMIF(INDIRECT(V$3),'Struktur Aktuell'!$D370,INDIRECT(V$5)))</f>
        <v>0</v>
      </c>
      <c r="W370" s="593">
        <f ca="1">$E370*(-SUMIF(INDIRECT(W$3),'Struktur Aktuell'!$D370,INDIRECT(W$4))+SUMIF(INDIRECT(W$3),'Struktur Aktuell'!$D370,INDIRECT(W$5)))</f>
        <v>0</v>
      </c>
      <c r="X370" s="593">
        <f ca="1">$E370*(-SUMIF(INDIRECT(X$3),'Struktur Aktuell'!$D370,INDIRECT(X$4))+SUMIF(INDIRECT(X$3),'Struktur Aktuell'!$D370,INDIRECT(X$5)))</f>
        <v>0</v>
      </c>
      <c r="Y370" s="593">
        <f ca="1">$E370*(-SUMIF(INDIRECT(Y$3),'Struktur Aktuell'!$D370,INDIRECT(Y$4))+SUMIF(INDIRECT(Y$3),'Struktur Aktuell'!$D370,INDIRECT(Y$5)))</f>
        <v>0</v>
      </c>
      <c r="Z370" s="593">
        <f ca="1">$E370*(-SUMIF(INDIRECT(Z$3),'Struktur Aktuell'!$D370,INDIRECT(Z$4))+SUMIF(INDIRECT(Z$3),'Struktur Aktuell'!$D370,INDIRECT(Z$5)))</f>
        <v>0</v>
      </c>
      <c r="AA370" s="593">
        <f ca="1">$E370*(-SUMIF(INDIRECT(AA$3),'Struktur Aktuell'!$D370,INDIRECT(AA$4))+SUMIF(INDIRECT(AA$3),'Struktur Aktuell'!$D370,INDIRECT(AA$5)))</f>
        <v>0</v>
      </c>
      <c r="AB370" s="593">
        <f ca="1">$E370*(-SUMIF(INDIRECT(AB$3),'Struktur Aktuell'!$D370,INDIRECT(AB$4))+SUMIF(INDIRECT(AB$3),'Struktur Aktuell'!$D370,INDIRECT(AB$5)))</f>
        <v>0</v>
      </c>
      <c r="AC370" s="593">
        <f ca="1">$E370*(-SUMIF(INDIRECT(AC$3),'Struktur Aktuell'!$D370,INDIRECT(AC$4))+SUMIF(INDIRECT(AC$3),'Struktur Aktuell'!$D370,INDIRECT(AC$5)))</f>
        <v>0</v>
      </c>
      <c r="AD370" s="593">
        <f ca="1">$E370*(-SUMIF(INDIRECT(AD$3),'Struktur Aktuell'!$D370,INDIRECT(AD$4))+SUMIF(INDIRECT(AD$3),'Struktur Aktuell'!$D370,INDIRECT(AD$5)))</f>
        <v>0</v>
      </c>
      <c r="AE370" s="593">
        <f t="shared" ca="1" si="558"/>
        <v>0</v>
      </c>
      <c r="AF370" s="593">
        <f t="shared" ca="1" si="559"/>
        <v>0</v>
      </c>
      <c r="AG370" s="593">
        <f t="shared" ca="1" si="560"/>
        <v>0</v>
      </c>
      <c r="AH370" s="593">
        <f t="shared" ca="1" si="561"/>
        <v>0</v>
      </c>
      <c r="AI370" s="593">
        <f t="shared" ca="1" si="562"/>
        <v>0</v>
      </c>
      <c r="AJ370" s="593">
        <f t="shared" ca="1" si="563"/>
        <v>0</v>
      </c>
      <c r="AK370" s="593">
        <f t="shared" ca="1" si="564"/>
        <v>0</v>
      </c>
      <c r="AL370" s="593">
        <f t="shared" ca="1" si="565"/>
        <v>0</v>
      </c>
      <c r="AM370" s="593">
        <f t="shared" ca="1" si="566"/>
        <v>0</v>
      </c>
      <c r="AN370" s="593">
        <f t="shared" ca="1" si="567"/>
        <v>0</v>
      </c>
      <c r="AO370" s="593">
        <f t="shared" ca="1" si="568"/>
        <v>0</v>
      </c>
      <c r="AP370" s="593">
        <f t="shared" ca="1" si="569"/>
        <v>0</v>
      </c>
    </row>
    <row r="371" spans="1:42" s="594" customFormat="1" ht="11.25" outlineLevel="1" x14ac:dyDescent="0.2">
      <c r="A371" s="590"/>
      <c r="B371" s="591" t="str">
        <f>IF(D371&lt;&gt;"",
IF(ISERROR(MATCH(D371,'Ist Aktuell Monat 01'!A:A,0))=FALSE,INDEX('Ist Aktuell Monat 01'!B:B,MATCH(D371,'Ist Aktuell Monat 01'!A:A,0)),
IF(ISERROR(MATCH(D371,'Ist Aktuell Monat 02'!A:A,0))=FALSE,INDEX('Ist Aktuell Monat 02'!B:B,MATCH(D371,'Ist Aktuell Monat 02'!A:A,0)),
IF(ISERROR(MATCH(D371,'Ist Aktuell Monat 03'!A:A,0))=FALSE,INDEX('Ist Aktuell Monat 03'!B:B,MATCH(D371,'Ist Aktuell Monat 03'!A:A,0)),
IF(ISERROR(MATCH(D371,'Ist Aktuell Monat 04'!A:A,0))=FALSE,INDEX('Ist Aktuell Monat 04'!B:B,MATCH(D371,'Ist Aktuell Monat 04'!A:A,0)),
IF(ISERROR(MATCH(D371,'Ist Aktuell Monat 05'!A:A,0))=FALSE,INDEX('Ist Aktuell Monat 05'!B:B,MATCH(D371,'Ist Aktuell Monat 05'!A:A,0)),
IF(ISERROR(MATCH(D371,'Ist Aktuell Monat 06'!A:A,0))=FALSE,INDEX('Ist Aktuell Monat 06'!B:B,MATCH(D371,'Ist Aktuell Monat 06'!A:A,0)),
IF(ISERROR(MATCH(D371,'Ist Aktuell Monat 07'!A:A,0))=FALSE,INDEX('Ist Aktuell Monat 07'!B:B,MATCH(D371,'Ist Aktuell Monat 07'!A:A,0)),
IF(ISERROR(MATCH(D371,'Ist Aktuell Monat 08'!A:A,0))=FALSE,INDEX('Ist Aktuell Monat 08'!B:B,MATCH(D371,'Ist Aktuell Monat 08'!A:A,0)),
IF(ISERROR(MATCH(D371,'Ist Aktuell Monat 09'!A:A,0))=FALSE,INDEX('Ist Aktuell Monat 09'!B:B,MATCH(D371,'Ist Aktuell Monat 09'!A:A,0)),
IF(ISERROR(MATCH(D371,'Ist Aktuell Monat 10'!A:A,0))=FALSE,INDEX('Ist Aktuell Monat 10'!B:B,MATCH(D371,'Ist Aktuell Monat 10'!A:A,0)),
IF(ISERROR(MATCH(D371,'Ist Aktuell Monat 11'!A:A,0))=FALSE,INDEX('Ist Aktuell Monat 11'!B:B,MATCH(D371,'Ist Aktuell Monat 11'!A:A,0)),
IF(ISERROR(MATCH(D371,'Ist Aktuell Monat 12'!A:A,0))=FALSE,INDEX('Ist Aktuell Monat 12'!B:B,MATCH(D371,'Ist Aktuell Monat 12'!A:A,0)),
"{Konto unbekannt}"
)))))))))))),"")</f>
        <v/>
      </c>
      <c r="C371" s="591"/>
      <c r="D371" s="590"/>
      <c r="E371" s="592">
        <f t="shared" si="570"/>
        <v>1</v>
      </c>
      <c r="F371" s="590"/>
      <c r="G371" s="593">
        <f ca="1">$E371*(-SUMIF(INDIRECT(G$3),'Struktur Aktuell'!$D371,INDIRECT(G$4))+SUMIF(INDIRECT(G$3),'Struktur Aktuell'!$D371,INDIRECT(G$5)))</f>
        <v>0</v>
      </c>
      <c r="H371" s="593">
        <f ca="1">$E371*(-SUMIF(INDIRECT(H$3),'Struktur Aktuell'!$D371,INDIRECT(H$4))+SUMIF(INDIRECT(H$3),'Struktur Aktuell'!$D371,INDIRECT(H$5)))</f>
        <v>0</v>
      </c>
      <c r="I371" s="593">
        <f ca="1">$E371*(-SUMIF(INDIRECT(I$3),'Struktur Aktuell'!$D371,INDIRECT(I$4))+SUMIF(INDIRECT(I$3),'Struktur Aktuell'!$D371,INDIRECT(I$5)))</f>
        <v>0</v>
      </c>
      <c r="J371" s="593">
        <f ca="1">$E371*(-SUMIF(INDIRECT(J$3),'Struktur Aktuell'!$D371,INDIRECT(J$4))+SUMIF(INDIRECT(J$3),'Struktur Aktuell'!$D371,INDIRECT(J$5)))</f>
        <v>0</v>
      </c>
      <c r="K371" s="593">
        <f ca="1">$E371*(-SUMIF(INDIRECT(K$3),'Struktur Aktuell'!$D371,INDIRECT(K$4))+SUMIF(INDIRECT(K$3),'Struktur Aktuell'!$D371,INDIRECT(K$5)))</f>
        <v>0</v>
      </c>
      <c r="L371" s="593">
        <f ca="1">$E371*(-SUMIF(INDIRECT(L$3),'Struktur Aktuell'!$D371,INDIRECT(L$4))+SUMIF(INDIRECT(L$3),'Struktur Aktuell'!$D371,INDIRECT(L$5)))</f>
        <v>0</v>
      </c>
      <c r="M371" s="593">
        <f ca="1">$E371*(-SUMIF(INDIRECT(M$3),'Struktur Aktuell'!$D371,INDIRECT(M$4))+SUMIF(INDIRECT(M$3),'Struktur Aktuell'!$D371,INDIRECT(M$5)))</f>
        <v>0</v>
      </c>
      <c r="N371" s="593">
        <f ca="1">$E371*(-SUMIF(INDIRECT(N$3),'Struktur Aktuell'!$D371,INDIRECT(N$4))+SUMIF(INDIRECT(N$3),'Struktur Aktuell'!$D371,INDIRECT(N$5)))</f>
        <v>0</v>
      </c>
      <c r="O371" s="593">
        <f ca="1">$E371*(-SUMIF(INDIRECT(O$3),'Struktur Aktuell'!$D371,INDIRECT(O$4))+SUMIF(INDIRECT(O$3),'Struktur Aktuell'!$D371,INDIRECT(O$5)))</f>
        <v>0</v>
      </c>
      <c r="P371" s="593">
        <f ca="1">$E371*(-SUMIF(INDIRECT(P$3),'Struktur Aktuell'!$D371,INDIRECT(P$4))+SUMIF(INDIRECT(P$3),'Struktur Aktuell'!$D371,INDIRECT(P$5)))</f>
        <v>0</v>
      </c>
      <c r="Q371" s="593">
        <f ca="1">$E371*(-SUMIF(INDIRECT(Q$3),'Struktur Aktuell'!$D371,INDIRECT(Q$4))+SUMIF(INDIRECT(Q$3),'Struktur Aktuell'!$D371,INDIRECT(Q$5)))</f>
        <v>0</v>
      </c>
      <c r="R371" s="593">
        <f ca="1">$E371*(-SUMIF(INDIRECT(R$3),'Struktur Aktuell'!$D371,INDIRECT(R$4))+SUMIF(INDIRECT(R$3),'Struktur Aktuell'!$D371,INDIRECT(R$5)))</f>
        <v>0</v>
      </c>
      <c r="S371" s="593">
        <f ca="1">$E371*(-SUMIF(INDIRECT(S$3),'Struktur Aktuell'!$D371,INDIRECT(S$4))+SUMIF(INDIRECT(S$3),'Struktur Aktuell'!$D371,INDIRECT(S$5)))</f>
        <v>0</v>
      </c>
      <c r="T371" s="593">
        <f ca="1">$E371*(-SUMIF(INDIRECT(T$3),'Struktur Aktuell'!$D371,INDIRECT(T$4))+SUMIF(INDIRECT(T$3),'Struktur Aktuell'!$D371,INDIRECT(T$5)))</f>
        <v>0</v>
      </c>
      <c r="U371" s="593">
        <f ca="1">$E371*(-SUMIF(INDIRECT(U$3),'Struktur Aktuell'!$D371,INDIRECT(U$4))+SUMIF(INDIRECT(U$3),'Struktur Aktuell'!$D371,INDIRECT(U$5)))</f>
        <v>0</v>
      </c>
      <c r="V371" s="593">
        <f ca="1">$E371*(-SUMIF(INDIRECT(V$3),'Struktur Aktuell'!$D371,INDIRECT(V$4))+SUMIF(INDIRECT(V$3),'Struktur Aktuell'!$D371,INDIRECT(V$5)))</f>
        <v>0</v>
      </c>
      <c r="W371" s="593">
        <f ca="1">$E371*(-SUMIF(INDIRECT(W$3),'Struktur Aktuell'!$D371,INDIRECT(W$4))+SUMIF(INDIRECT(W$3),'Struktur Aktuell'!$D371,INDIRECT(W$5)))</f>
        <v>0</v>
      </c>
      <c r="X371" s="593">
        <f ca="1">$E371*(-SUMIF(INDIRECT(X$3),'Struktur Aktuell'!$D371,INDIRECT(X$4))+SUMIF(INDIRECT(X$3),'Struktur Aktuell'!$D371,INDIRECT(X$5)))</f>
        <v>0</v>
      </c>
      <c r="Y371" s="593">
        <f ca="1">$E371*(-SUMIF(INDIRECT(Y$3),'Struktur Aktuell'!$D371,INDIRECT(Y$4))+SUMIF(INDIRECT(Y$3),'Struktur Aktuell'!$D371,INDIRECT(Y$5)))</f>
        <v>0</v>
      </c>
      <c r="Z371" s="593">
        <f ca="1">$E371*(-SUMIF(INDIRECT(Z$3),'Struktur Aktuell'!$D371,INDIRECT(Z$4))+SUMIF(INDIRECT(Z$3),'Struktur Aktuell'!$D371,INDIRECT(Z$5)))</f>
        <v>0</v>
      </c>
      <c r="AA371" s="593">
        <f ca="1">$E371*(-SUMIF(INDIRECT(AA$3),'Struktur Aktuell'!$D371,INDIRECT(AA$4))+SUMIF(INDIRECT(AA$3),'Struktur Aktuell'!$D371,INDIRECT(AA$5)))</f>
        <v>0</v>
      </c>
      <c r="AB371" s="593">
        <f ca="1">$E371*(-SUMIF(INDIRECT(AB$3),'Struktur Aktuell'!$D371,INDIRECT(AB$4))+SUMIF(INDIRECT(AB$3),'Struktur Aktuell'!$D371,INDIRECT(AB$5)))</f>
        <v>0</v>
      </c>
      <c r="AC371" s="593">
        <f ca="1">$E371*(-SUMIF(INDIRECT(AC$3),'Struktur Aktuell'!$D371,INDIRECT(AC$4))+SUMIF(INDIRECT(AC$3),'Struktur Aktuell'!$D371,INDIRECT(AC$5)))</f>
        <v>0</v>
      </c>
      <c r="AD371" s="593">
        <f ca="1">$E371*(-SUMIF(INDIRECT(AD$3),'Struktur Aktuell'!$D371,INDIRECT(AD$4))+SUMIF(INDIRECT(AD$3),'Struktur Aktuell'!$D371,INDIRECT(AD$5)))</f>
        <v>0</v>
      </c>
      <c r="AE371" s="593">
        <f t="shared" ca="1" si="558"/>
        <v>0</v>
      </c>
      <c r="AF371" s="593">
        <f t="shared" ca="1" si="559"/>
        <v>0</v>
      </c>
      <c r="AG371" s="593">
        <f t="shared" ca="1" si="560"/>
        <v>0</v>
      </c>
      <c r="AH371" s="593">
        <f t="shared" ca="1" si="561"/>
        <v>0</v>
      </c>
      <c r="AI371" s="593">
        <f t="shared" ca="1" si="562"/>
        <v>0</v>
      </c>
      <c r="AJ371" s="593">
        <f t="shared" ca="1" si="563"/>
        <v>0</v>
      </c>
      <c r="AK371" s="593">
        <f t="shared" ca="1" si="564"/>
        <v>0</v>
      </c>
      <c r="AL371" s="593">
        <f t="shared" ca="1" si="565"/>
        <v>0</v>
      </c>
      <c r="AM371" s="593">
        <f t="shared" ca="1" si="566"/>
        <v>0</v>
      </c>
      <c r="AN371" s="593">
        <f t="shared" ca="1" si="567"/>
        <v>0</v>
      </c>
      <c r="AO371" s="593">
        <f t="shared" ca="1" si="568"/>
        <v>0</v>
      </c>
      <c r="AP371" s="593">
        <f t="shared" ca="1" si="569"/>
        <v>0</v>
      </c>
    </row>
    <row r="372" spans="1:42" s="594" customFormat="1" ht="11.25" x14ac:dyDescent="0.2">
      <c r="A372" s="590"/>
      <c r="B372" s="591" t="str">
        <f>IF(D372&lt;&gt;"",
IF(ISERROR(MATCH(D372,'Ist Aktuell Monat 01'!A:A,0))=FALSE,INDEX('Ist Aktuell Monat 01'!B:B,MATCH(D372,'Ist Aktuell Monat 01'!A:A,0)),
IF(ISERROR(MATCH(D372,'Ist Aktuell Monat 02'!A:A,0))=FALSE,INDEX('Ist Aktuell Monat 02'!B:B,MATCH(D372,'Ist Aktuell Monat 02'!A:A,0)),
IF(ISERROR(MATCH(D372,'Ist Aktuell Monat 03'!A:A,0))=FALSE,INDEX('Ist Aktuell Monat 03'!B:B,MATCH(D372,'Ist Aktuell Monat 03'!A:A,0)),
IF(ISERROR(MATCH(D372,'Ist Aktuell Monat 04'!A:A,0))=FALSE,INDEX('Ist Aktuell Monat 04'!B:B,MATCH(D372,'Ist Aktuell Monat 04'!A:A,0)),
IF(ISERROR(MATCH(D372,'Ist Aktuell Monat 05'!A:A,0))=FALSE,INDEX('Ist Aktuell Monat 05'!B:B,MATCH(D372,'Ist Aktuell Monat 05'!A:A,0)),
IF(ISERROR(MATCH(D372,'Ist Aktuell Monat 06'!A:A,0))=FALSE,INDEX('Ist Aktuell Monat 06'!B:B,MATCH(D372,'Ist Aktuell Monat 06'!A:A,0)),
IF(ISERROR(MATCH(D372,'Ist Aktuell Monat 07'!A:A,0))=FALSE,INDEX('Ist Aktuell Monat 07'!B:B,MATCH(D372,'Ist Aktuell Monat 07'!A:A,0)),
IF(ISERROR(MATCH(D372,'Ist Aktuell Monat 08'!A:A,0))=FALSE,INDEX('Ist Aktuell Monat 08'!B:B,MATCH(D372,'Ist Aktuell Monat 08'!A:A,0)),
IF(ISERROR(MATCH(D372,'Ist Aktuell Monat 09'!A:A,0))=FALSE,INDEX('Ist Aktuell Monat 09'!B:B,MATCH(D372,'Ist Aktuell Monat 09'!A:A,0)),
IF(ISERROR(MATCH(D372,'Ist Aktuell Monat 10'!A:A,0))=FALSE,INDEX('Ist Aktuell Monat 10'!B:B,MATCH(D372,'Ist Aktuell Monat 10'!A:A,0)),
IF(ISERROR(MATCH(D372,'Ist Aktuell Monat 11'!A:A,0))=FALSE,INDEX('Ist Aktuell Monat 11'!B:B,MATCH(D372,'Ist Aktuell Monat 11'!A:A,0)),
IF(ISERROR(MATCH(D372,'Ist Aktuell Monat 12'!A:A,0))=FALSE,INDEX('Ist Aktuell Monat 12'!B:B,MATCH(D372,'Ist Aktuell Monat 12'!A:A,0)),
"{Konto unbekannt}"
)))))))))))),"")</f>
        <v/>
      </c>
      <c r="C372" s="591"/>
      <c r="D372" s="590"/>
      <c r="E372" s="592">
        <f t="shared" si="570"/>
        <v>1</v>
      </c>
      <c r="F372" s="590"/>
      <c r="G372" s="593">
        <f ca="1">$E372*(-SUMIF(INDIRECT(G$3),'Struktur Aktuell'!$D372,INDIRECT(G$4))+SUMIF(INDIRECT(G$3),'Struktur Aktuell'!$D372,INDIRECT(G$5)))</f>
        <v>0</v>
      </c>
      <c r="H372" s="593">
        <f ca="1">$E372*(-SUMIF(INDIRECT(H$3),'Struktur Aktuell'!$D372,INDIRECT(H$4))+SUMIF(INDIRECT(H$3),'Struktur Aktuell'!$D372,INDIRECT(H$5)))</f>
        <v>0</v>
      </c>
      <c r="I372" s="593">
        <f ca="1">$E372*(-SUMIF(INDIRECT(I$3),'Struktur Aktuell'!$D372,INDIRECT(I$4))+SUMIF(INDIRECT(I$3),'Struktur Aktuell'!$D372,INDIRECT(I$5)))</f>
        <v>0</v>
      </c>
      <c r="J372" s="593">
        <f ca="1">$E372*(-SUMIF(INDIRECT(J$3),'Struktur Aktuell'!$D372,INDIRECT(J$4))+SUMIF(INDIRECT(J$3),'Struktur Aktuell'!$D372,INDIRECT(J$5)))</f>
        <v>0</v>
      </c>
      <c r="K372" s="593">
        <f ca="1">$E372*(-SUMIF(INDIRECT(K$3),'Struktur Aktuell'!$D372,INDIRECT(K$4))+SUMIF(INDIRECT(K$3),'Struktur Aktuell'!$D372,INDIRECT(K$5)))</f>
        <v>0</v>
      </c>
      <c r="L372" s="593">
        <f ca="1">$E372*(-SUMIF(INDIRECT(L$3),'Struktur Aktuell'!$D372,INDIRECT(L$4))+SUMIF(INDIRECT(L$3),'Struktur Aktuell'!$D372,INDIRECT(L$5)))</f>
        <v>0</v>
      </c>
      <c r="M372" s="593">
        <f ca="1">$E372*(-SUMIF(INDIRECT(M$3),'Struktur Aktuell'!$D372,INDIRECT(M$4))+SUMIF(INDIRECT(M$3),'Struktur Aktuell'!$D372,INDIRECT(M$5)))</f>
        <v>0</v>
      </c>
      <c r="N372" s="593">
        <f ca="1">$E372*(-SUMIF(INDIRECT(N$3),'Struktur Aktuell'!$D372,INDIRECT(N$4))+SUMIF(INDIRECT(N$3),'Struktur Aktuell'!$D372,INDIRECT(N$5)))</f>
        <v>0</v>
      </c>
      <c r="O372" s="593">
        <f ca="1">$E372*(-SUMIF(INDIRECT(O$3),'Struktur Aktuell'!$D372,INDIRECT(O$4))+SUMIF(INDIRECT(O$3),'Struktur Aktuell'!$D372,INDIRECT(O$5)))</f>
        <v>0</v>
      </c>
      <c r="P372" s="593">
        <f ca="1">$E372*(-SUMIF(INDIRECT(P$3),'Struktur Aktuell'!$D372,INDIRECT(P$4))+SUMIF(INDIRECT(P$3),'Struktur Aktuell'!$D372,INDIRECT(P$5)))</f>
        <v>0</v>
      </c>
      <c r="Q372" s="593">
        <f ca="1">$E372*(-SUMIF(INDIRECT(Q$3),'Struktur Aktuell'!$D372,INDIRECT(Q$4))+SUMIF(INDIRECT(Q$3),'Struktur Aktuell'!$D372,INDIRECT(Q$5)))</f>
        <v>0</v>
      </c>
      <c r="R372" s="593">
        <f ca="1">$E372*(-SUMIF(INDIRECT(R$3),'Struktur Aktuell'!$D372,INDIRECT(R$4))+SUMIF(INDIRECT(R$3),'Struktur Aktuell'!$D372,INDIRECT(R$5)))</f>
        <v>0</v>
      </c>
      <c r="S372" s="593">
        <f ca="1">$E372*(-SUMIF(INDIRECT(S$3),'Struktur Aktuell'!$D372,INDIRECT(S$4))+SUMIF(INDIRECT(S$3),'Struktur Aktuell'!$D372,INDIRECT(S$5)))</f>
        <v>0</v>
      </c>
      <c r="T372" s="593">
        <f ca="1">$E372*(-SUMIF(INDIRECT(T$3),'Struktur Aktuell'!$D372,INDIRECT(T$4))+SUMIF(INDIRECT(T$3),'Struktur Aktuell'!$D372,INDIRECT(T$5)))</f>
        <v>0</v>
      </c>
      <c r="U372" s="593">
        <f ca="1">$E372*(-SUMIF(INDIRECT(U$3),'Struktur Aktuell'!$D372,INDIRECT(U$4))+SUMIF(INDIRECT(U$3),'Struktur Aktuell'!$D372,INDIRECT(U$5)))</f>
        <v>0</v>
      </c>
      <c r="V372" s="593">
        <f ca="1">$E372*(-SUMIF(INDIRECT(V$3),'Struktur Aktuell'!$D372,INDIRECT(V$4))+SUMIF(INDIRECT(V$3),'Struktur Aktuell'!$D372,INDIRECT(V$5)))</f>
        <v>0</v>
      </c>
      <c r="W372" s="593">
        <f ca="1">$E372*(-SUMIF(INDIRECT(W$3),'Struktur Aktuell'!$D372,INDIRECT(W$4))+SUMIF(INDIRECT(W$3),'Struktur Aktuell'!$D372,INDIRECT(W$5)))</f>
        <v>0</v>
      </c>
      <c r="X372" s="593">
        <f ca="1">$E372*(-SUMIF(INDIRECT(X$3),'Struktur Aktuell'!$D372,INDIRECT(X$4))+SUMIF(INDIRECT(X$3),'Struktur Aktuell'!$D372,INDIRECT(X$5)))</f>
        <v>0</v>
      </c>
      <c r="Y372" s="593">
        <f ca="1">$E372*(-SUMIF(INDIRECT(Y$3),'Struktur Aktuell'!$D372,INDIRECT(Y$4))+SUMIF(INDIRECT(Y$3),'Struktur Aktuell'!$D372,INDIRECT(Y$5)))</f>
        <v>0</v>
      </c>
      <c r="Z372" s="593">
        <f ca="1">$E372*(-SUMIF(INDIRECT(Z$3),'Struktur Aktuell'!$D372,INDIRECT(Z$4))+SUMIF(INDIRECT(Z$3),'Struktur Aktuell'!$D372,INDIRECT(Z$5)))</f>
        <v>0</v>
      </c>
      <c r="AA372" s="593">
        <f ca="1">$E372*(-SUMIF(INDIRECT(AA$3),'Struktur Aktuell'!$D372,INDIRECT(AA$4))+SUMIF(INDIRECT(AA$3),'Struktur Aktuell'!$D372,INDIRECT(AA$5)))</f>
        <v>0</v>
      </c>
      <c r="AB372" s="593">
        <f ca="1">$E372*(-SUMIF(INDIRECT(AB$3),'Struktur Aktuell'!$D372,INDIRECT(AB$4))+SUMIF(INDIRECT(AB$3),'Struktur Aktuell'!$D372,INDIRECT(AB$5)))</f>
        <v>0</v>
      </c>
      <c r="AC372" s="593">
        <f ca="1">$E372*(-SUMIF(INDIRECT(AC$3),'Struktur Aktuell'!$D372,INDIRECT(AC$4))+SUMIF(INDIRECT(AC$3),'Struktur Aktuell'!$D372,INDIRECT(AC$5)))</f>
        <v>0</v>
      </c>
      <c r="AD372" s="593">
        <f ca="1">$E372*(-SUMIF(INDIRECT(AD$3),'Struktur Aktuell'!$D372,INDIRECT(AD$4))+SUMIF(INDIRECT(AD$3),'Struktur Aktuell'!$D372,INDIRECT(AD$5)))</f>
        <v>0</v>
      </c>
      <c r="AE372" s="593">
        <f t="shared" ca="1" si="558"/>
        <v>0</v>
      </c>
      <c r="AF372" s="593">
        <f t="shared" ca="1" si="559"/>
        <v>0</v>
      </c>
      <c r="AG372" s="593">
        <f t="shared" ca="1" si="560"/>
        <v>0</v>
      </c>
      <c r="AH372" s="593">
        <f t="shared" ca="1" si="561"/>
        <v>0</v>
      </c>
      <c r="AI372" s="593">
        <f t="shared" ca="1" si="562"/>
        <v>0</v>
      </c>
      <c r="AJ372" s="593">
        <f t="shared" ca="1" si="563"/>
        <v>0</v>
      </c>
      <c r="AK372" s="593">
        <f t="shared" ca="1" si="564"/>
        <v>0</v>
      </c>
      <c r="AL372" s="593">
        <f t="shared" ca="1" si="565"/>
        <v>0</v>
      </c>
      <c r="AM372" s="593">
        <f t="shared" ca="1" si="566"/>
        <v>0</v>
      </c>
      <c r="AN372" s="593">
        <f t="shared" ca="1" si="567"/>
        <v>0</v>
      </c>
      <c r="AO372" s="593">
        <f t="shared" ca="1" si="568"/>
        <v>0</v>
      </c>
      <c r="AP372" s="593">
        <f t="shared" ca="1" si="569"/>
        <v>0</v>
      </c>
    </row>
    <row r="373" spans="1:42" s="594" customFormat="1" ht="11.25" outlineLevel="1" x14ac:dyDescent="0.2">
      <c r="A373" s="590"/>
      <c r="B373" s="591" t="str">
        <f>IF(D373&lt;&gt;"",
IF(ISERROR(MATCH(D373,'Ist Aktuell Monat 01'!A:A,0))=FALSE,INDEX('Ist Aktuell Monat 01'!B:B,MATCH(D373,'Ist Aktuell Monat 01'!A:A,0)),
IF(ISERROR(MATCH(D373,'Ist Aktuell Monat 02'!A:A,0))=FALSE,INDEX('Ist Aktuell Monat 02'!B:B,MATCH(D373,'Ist Aktuell Monat 02'!A:A,0)),
IF(ISERROR(MATCH(D373,'Ist Aktuell Monat 03'!A:A,0))=FALSE,INDEX('Ist Aktuell Monat 03'!B:B,MATCH(D373,'Ist Aktuell Monat 03'!A:A,0)),
IF(ISERROR(MATCH(D373,'Ist Aktuell Monat 04'!A:A,0))=FALSE,INDEX('Ist Aktuell Monat 04'!B:B,MATCH(D373,'Ist Aktuell Monat 04'!A:A,0)),
IF(ISERROR(MATCH(D373,'Ist Aktuell Monat 05'!A:A,0))=FALSE,INDEX('Ist Aktuell Monat 05'!B:B,MATCH(D373,'Ist Aktuell Monat 05'!A:A,0)),
IF(ISERROR(MATCH(D373,'Ist Aktuell Monat 06'!A:A,0))=FALSE,INDEX('Ist Aktuell Monat 06'!B:B,MATCH(D373,'Ist Aktuell Monat 06'!A:A,0)),
IF(ISERROR(MATCH(D373,'Ist Aktuell Monat 07'!A:A,0))=FALSE,INDEX('Ist Aktuell Monat 07'!B:B,MATCH(D373,'Ist Aktuell Monat 07'!A:A,0)),
IF(ISERROR(MATCH(D373,'Ist Aktuell Monat 08'!A:A,0))=FALSE,INDEX('Ist Aktuell Monat 08'!B:B,MATCH(D373,'Ist Aktuell Monat 08'!A:A,0)),
IF(ISERROR(MATCH(D373,'Ist Aktuell Monat 09'!A:A,0))=FALSE,INDEX('Ist Aktuell Monat 09'!B:B,MATCH(D373,'Ist Aktuell Monat 09'!A:A,0)),
IF(ISERROR(MATCH(D373,'Ist Aktuell Monat 10'!A:A,0))=FALSE,INDEX('Ist Aktuell Monat 10'!B:B,MATCH(D373,'Ist Aktuell Monat 10'!A:A,0)),
IF(ISERROR(MATCH(D373,'Ist Aktuell Monat 11'!A:A,0))=FALSE,INDEX('Ist Aktuell Monat 11'!B:B,MATCH(D373,'Ist Aktuell Monat 11'!A:A,0)),
IF(ISERROR(MATCH(D373,'Ist Aktuell Monat 12'!A:A,0))=FALSE,INDEX('Ist Aktuell Monat 12'!B:B,MATCH(D373,'Ist Aktuell Monat 12'!A:A,0)),
"{Konto unbekannt}"
)))))))))))),"")</f>
        <v/>
      </c>
      <c r="C373" s="591"/>
      <c r="D373" s="590"/>
      <c r="E373" s="592">
        <f t="shared" si="570"/>
        <v>1</v>
      </c>
      <c r="F373" s="590"/>
      <c r="G373" s="593">
        <f ca="1">$E373*(-SUMIF(INDIRECT(G$3),'Struktur Aktuell'!$D373,INDIRECT(G$4))+SUMIF(INDIRECT(G$3),'Struktur Aktuell'!$D373,INDIRECT(G$5)))</f>
        <v>0</v>
      </c>
      <c r="H373" s="593">
        <f ca="1">$E373*(-SUMIF(INDIRECT(H$3),'Struktur Aktuell'!$D373,INDIRECT(H$4))+SUMIF(INDIRECT(H$3),'Struktur Aktuell'!$D373,INDIRECT(H$5)))</f>
        <v>0</v>
      </c>
      <c r="I373" s="593">
        <f ca="1">$E373*(-SUMIF(INDIRECT(I$3),'Struktur Aktuell'!$D373,INDIRECT(I$4))+SUMIF(INDIRECT(I$3),'Struktur Aktuell'!$D373,INDIRECT(I$5)))</f>
        <v>0</v>
      </c>
      <c r="J373" s="593">
        <f ca="1">$E373*(-SUMIF(INDIRECT(J$3),'Struktur Aktuell'!$D373,INDIRECT(J$4))+SUMIF(INDIRECT(J$3),'Struktur Aktuell'!$D373,INDIRECT(J$5)))</f>
        <v>0</v>
      </c>
      <c r="K373" s="593">
        <f ca="1">$E373*(-SUMIF(INDIRECT(K$3),'Struktur Aktuell'!$D373,INDIRECT(K$4))+SUMIF(INDIRECT(K$3),'Struktur Aktuell'!$D373,INDIRECT(K$5)))</f>
        <v>0</v>
      </c>
      <c r="L373" s="593">
        <f ca="1">$E373*(-SUMIF(INDIRECT(L$3),'Struktur Aktuell'!$D373,INDIRECT(L$4))+SUMIF(INDIRECT(L$3),'Struktur Aktuell'!$D373,INDIRECT(L$5)))</f>
        <v>0</v>
      </c>
      <c r="M373" s="593">
        <f ca="1">$E373*(-SUMIF(INDIRECT(M$3),'Struktur Aktuell'!$D373,INDIRECT(M$4))+SUMIF(INDIRECT(M$3),'Struktur Aktuell'!$D373,INDIRECT(M$5)))</f>
        <v>0</v>
      </c>
      <c r="N373" s="593">
        <f ca="1">$E373*(-SUMIF(INDIRECT(N$3),'Struktur Aktuell'!$D373,INDIRECT(N$4))+SUMIF(INDIRECT(N$3),'Struktur Aktuell'!$D373,INDIRECT(N$5)))</f>
        <v>0</v>
      </c>
      <c r="O373" s="593">
        <f ca="1">$E373*(-SUMIF(INDIRECT(O$3),'Struktur Aktuell'!$D373,INDIRECT(O$4))+SUMIF(INDIRECT(O$3),'Struktur Aktuell'!$D373,INDIRECT(O$5)))</f>
        <v>0</v>
      </c>
      <c r="P373" s="593">
        <f ca="1">$E373*(-SUMIF(INDIRECT(P$3),'Struktur Aktuell'!$D373,INDIRECT(P$4))+SUMIF(INDIRECT(P$3),'Struktur Aktuell'!$D373,INDIRECT(P$5)))</f>
        <v>0</v>
      </c>
      <c r="Q373" s="593">
        <f ca="1">$E373*(-SUMIF(INDIRECT(Q$3),'Struktur Aktuell'!$D373,INDIRECT(Q$4))+SUMIF(INDIRECT(Q$3),'Struktur Aktuell'!$D373,INDIRECT(Q$5)))</f>
        <v>0</v>
      </c>
      <c r="R373" s="593">
        <f ca="1">$E373*(-SUMIF(INDIRECT(R$3),'Struktur Aktuell'!$D373,INDIRECT(R$4))+SUMIF(INDIRECT(R$3),'Struktur Aktuell'!$D373,INDIRECT(R$5)))</f>
        <v>0</v>
      </c>
      <c r="S373" s="593">
        <f ca="1">$E373*(-SUMIF(INDIRECT(S$3),'Struktur Aktuell'!$D373,INDIRECT(S$4))+SUMIF(INDIRECT(S$3),'Struktur Aktuell'!$D373,INDIRECT(S$5)))</f>
        <v>0</v>
      </c>
      <c r="T373" s="593">
        <f ca="1">$E373*(-SUMIF(INDIRECT(T$3),'Struktur Aktuell'!$D373,INDIRECT(T$4))+SUMIF(INDIRECT(T$3),'Struktur Aktuell'!$D373,INDIRECT(T$5)))</f>
        <v>0</v>
      </c>
      <c r="U373" s="593">
        <f ca="1">$E373*(-SUMIF(INDIRECT(U$3),'Struktur Aktuell'!$D373,INDIRECT(U$4))+SUMIF(INDIRECT(U$3),'Struktur Aktuell'!$D373,INDIRECT(U$5)))</f>
        <v>0</v>
      </c>
      <c r="V373" s="593">
        <f ca="1">$E373*(-SUMIF(INDIRECT(V$3),'Struktur Aktuell'!$D373,INDIRECT(V$4))+SUMIF(INDIRECT(V$3),'Struktur Aktuell'!$D373,INDIRECT(V$5)))</f>
        <v>0</v>
      </c>
      <c r="W373" s="593">
        <f ca="1">$E373*(-SUMIF(INDIRECT(W$3),'Struktur Aktuell'!$D373,INDIRECT(W$4))+SUMIF(INDIRECT(W$3),'Struktur Aktuell'!$D373,INDIRECT(W$5)))</f>
        <v>0</v>
      </c>
      <c r="X373" s="593">
        <f ca="1">$E373*(-SUMIF(INDIRECT(X$3),'Struktur Aktuell'!$D373,INDIRECT(X$4))+SUMIF(INDIRECT(X$3),'Struktur Aktuell'!$D373,INDIRECT(X$5)))</f>
        <v>0</v>
      </c>
      <c r="Y373" s="593">
        <f ca="1">$E373*(-SUMIF(INDIRECT(Y$3),'Struktur Aktuell'!$D373,INDIRECT(Y$4))+SUMIF(INDIRECT(Y$3),'Struktur Aktuell'!$D373,INDIRECT(Y$5)))</f>
        <v>0</v>
      </c>
      <c r="Z373" s="593">
        <f ca="1">$E373*(-SUMIF(INDIRECT(Z$3),'Struktur Aktuell'!$D373,INDIRECT(Z$4))+SUMIF(INDIRECT(Z$3),'Struktur Aktuell'!$D373,INDIRECT(Z$5)))</f>
        <v>0</v>
      </c>
      <c r="AA373" s="593">
        <f ca="1">$E373*(-SUMIF(INDIRECT(AA$3),'Struktur Aktuell'!$D373,INDIRECT(AA$4))+SUMIF(INDIRECT(AA$3),'Struktur Aktuell'!$D373,INDIRECT(AA$5)))</f>
        <v>0</v>
      </c>
      <c r="AB373" s="593">
        <f ca="1">$E373*(-SUMIF(INDIRECT(AB$3),'Struktur Aktuell'!$D373,INDIRECT(AB$4))+SUMIF(INDIRECT(AB$3),'Struktur Aktuell'!$D373,INDIRECT(AB$5)))</f>
        <v>0</v>
      </c>
      <c r="AC373" s="593">
        <f ca="1">$E373*(-SUMIF(INDIRECT(AC$3),'Struktur Aktuell'!$D373,INDIRECT(AC$4))+SUMIF(INDIRECT(AC$3),'Struktur Aktuell'!$D373,INDIRECT(AC$5)))</f>
        <v>0</v>
      </c>
      <c r="AD373" s="593">
        <f ca="1">$E373*(-SUMIF(INDIRECT(AD$3),'Struktur Aktuell'!$D373,INDIRECT(AD$4))+SUMIF(INDIRECT(AD$3),'Struktur Aktuell'!$D373,INDIRECT(AD$5)))</f>
        <v>0</v>
      </c>
      <c r="AE373" s="593">
        <f t="shared" ca="1" si="558"/>
        <v>0</v>
      </c>
      <c r="AF373" s="593">
        <f t="shared" ca="1" si="559"/>
        <v>0</v>
      </c>
      <c r="AG373" s="593">
        <f t="shared" ca="1" si="560"/>
        <v>0</v>
      </c>
      <c r="AH373" s="593">
        <f t="shared" ca="1" si="561"/>
        <v>0</v>
      </c>
      <c r="AI373" s="593">
        <f t="shared" ca="1" si="562"/>
        <v>0</v>
      </c>
      <c r="AJ373" s="593">
        <f t="shared" ca="1" si="563"/>
        <v>0</v>
      </c>
      <c r="AK373" s="593">
        <f t="shared" ca="1" si="564"/>
        <v>0</v>
      </c>
      <c r="AL373" s="593">
        <f t="shared" ca="1" si="565"/>
        <v>0</v>
      </c>
      <c r="AM373" s="593">
        <f t="shared" ca="1" si="566"/>
        <v>0</v>
      </c>
      <c r="AN373" s="593">
        <f t="shared" ca="1" si="567"/>
        <v>0</v>
      </c>
      <c r="AO373" s="593">
        <f t="shared" ca="1" si="568"/>
        <v>0</v>
      </c>
      <c r="AP373" s="593">
        <f t="shared" ca="1" si="569"/>
        <v>0</v>
      </c>
    </row>
    <row r="374" spans="1:42" s="594" customFormat="1" ht="11.25" outlineLevel="1" x14ac:dyDescent="0.2">
      <c r="A374" s="590"/>
      <c r="B374" s="591" t="str">
        <f>IF(D374&lt;&gt;"",
IF(ISERROR(MATCH(D374,'Ist Aktuell Monat 01'!A:A,0))=FALSE,INDEX('Ist Aktuell Monat 01'!B:B,MATCH(D374,'Ist Aktuell Monat 01'!A:A,0)),
IF(ISERROR(MATCH(D374,'Ist Aktuell Monat 02'!A:A,0))=FALSE,INDEX('Ist Aktuell Monat 02'!B:B,MATCH(D374,'Ist Aktuell Monat 02'!A:A,0)),
IF(ISERROR(MATCH(D374,'Ist Aktuell Monat 03'!A:A,0))=FALSE,INDEX('Ist Aktuell Monat 03'!B:B,MATCH(D374,'Ist Aktuell Monat 03'!A:A,0)),
IF(ISERROR(MATCH(D374,'Ist Aktuell Monat 04'!A:A,0))=FALSE,INDEX('Ist Aktuell Monat 04'!B:B,MATCH(D374,'Ist Aktuell Monat 04'!A:A,0)),
IF(ISERROR(MATCH(D374,'Ist Aktuell Monat 05'!A:A,0))=FALSE,INDEX('Ist Aktuell Monat 05'!B:B,MATCH(D374,'Ist Aktuell Monat 05'!A:A,0)),
IF(ISERROR(MATCH(D374,'Ist Aktuell Monat 06'!A:A,0))=FALSE,INDEX('Ist Aktuell Monat 06'!B:B,MATCH(D374,'Ist Aktuell Monat 06'!A:A,0)),
IF(ISERROR(MATCH(D374,'Ist Aktuell Monat 07'!A:A,0))=FALSE,INDEX('Ist Aktuell Monat 07'!B:B,MATCH(D374,'Ist Aktuell Monat 07'!A:A,0)),
IF(ISERROR(MATCH(D374,'Ist Aktuell Monat 08'!A:A,0))=FALSE,INDEX('Ist Aktuell Monat 08'!B:B,MATCH(D374,'Ist Aktuell Monat 08'!A:A,0)),
IF(ISERROR(MATCH(D374,'Ist Aktuell Monat 09'!A:A,0))=FALSE,INDEX('Ist Aktuell Monat 09'!B:B,MATCH(D374,'Ist Aktuell Monat 09'!A:A,0)),
IF(ISERROR(MATCH(D374,'Ist Aktuell Monat 10'!A:A,0))=FALSE,INDEX('Ist Aktuell Monat 10'!B:B,MATCH(D374,'Ist Aktuell Monat 10'!A:A,0)),
IF(ISERROR(MATCH(D374,'Ist Aktuell Monat 11'!A:A,0))=FALSE,INDEX('Ist Aktuell Monat 11'!B:B,MATCH(D374,'Ist Aktuell Monat 11'!A:A,0)),
IF(ISERROR(MATCH(D374,'Ist Aktuell Monat 12'!A:A,0))=FALSE,INDEX('Ist Aktuell Monat 12'!B:B,MATCH(D374,'Ist Aktuell Monat 12'!A:A,0)),
"{Konto unbekannt}"
)))))))))))),"")</f>
        <v/>
      </c>
      <c r="C374" s="591"/>
      <c r="D374" s="590"/>
      <c r="E374" s="592">
        <f t="shared" si="570"/>
        <v>1</v>
      </c>
      <c r="F374" s="590"/>
      <c r="G374" s="593">
        <f ca="1">$E374*(-SUMIF(INDIRECT(G$3),'Struktur Aktuell'!$D374,INDIRECT(G$4))+SUMIF(INDIRECT(G$3),'Struktur Aktuell'!$D374,INDIRECT(G$5)))</f>
        <v>0</v>
      </c>
      <c r="H374" s="593">
        <f ca="1">$E374*(-SUMIF(INDIRECT(H$3),'Struktur Aktuell'!$D374,INDIRECT(H$4))+SUMIF(INDIRECT(H$3),'Struktur Aktuell'!$D374,INDIRECT(H$5)))</f>
        <v>0</v>
      </c>
      <c r="I374" s="593">
        <f ca="1">$E374*(-SUMIF(INDIRECT(I$3),'Struktur Aktuell'!$D374,INDIRECT(I$4))+SUMIF(INDIRECT(I$3),'Struktur Aktuell'!$D374,INDIRECT(I$5)))</f>
        <v>0</v>
      </c>
      <c r="J374" s="593">
        <f ca="1">$E374*(-SUMIF(INDIRECT(J$3),'Struktur Aktuell'!$D374,INDIRECT(J$4))+SUMIF(INDIRECT(J$3),'Struktur Aktuell'!$D374,INDIRECT(J$5)))</f>
        <v>0</v>
      </c>
      <c r="K374" s="593">
        <f ca="1">$E374*(-SUMIF(INDIRECT(K$3),'Struktur Aktuell'!$D374,INDIRECT(K$4))+SUMIF(INDIRECT(K$3),'Struktur Aktuell'!$D374,INDIRECT(K$5)))</f>
        <v>0</v>
      </c>
      <c r="L374" s="593">
        <f ca="1">$E374*(-SUMIF(INDIRECT(L$3),'Struktur Aktuell'!$D374,INDIRECT(L$4))+SUMIF(INDIRECT(L$3),'Struktur Aktuell'!$D374,INDIRECT(L$5)))</f>
        <v>0</v>
      </c>
      <c r="M374" s="593">
        <f ca="1">$E374*(-SUMIF(INDIRECT(M$3),'Struktur Aktuell'!$D374,INDIRECT(M$4))+SUMIF(INDIRECT(M$3),'Struktur Aktuell'!$D374,INDIRECT(M$5)))</f>
        <v>0</v>
      </c>
      <c r="N374" s="593">
        <f ca="1">$E374*(-SUMIF(INDIRECT(N$3),'Struktur Aktuell'!$D374,INDIRECT(N$4))+SUMIF(INDIRECT(N$3),'Struktur Aktuell'!$D374,INDIRECT(N$5)))</f>
        <v>0</v>
      </c>
      <c r="O374" s="593">
        <f ca="1">$E374*(-SUMIF(INDIRECT(O$3),'Struktur Aktuell'!$D374,INDIRECT(O$4))+SUMIF(INDIRECT(O$3),'Struktur Aktuell'!$D374,INDIRECT(O$5)))</f>
        <v>0</v>
      </c>
      <c r="P374" s="593">
        <f ca="1">$E374*(-SUMIF(INDIRECT(P$3),'Struktur Aktuell'!$D374,INDIRECT(P$4))+SUMIF(INDIRECT(P$3),'Struktur Aktuell'!$D374,INDIRECT(P$5)))</f>
        <v>0</v>
      </c>
      <c r="Q374" s="593">
        <f ca="1">$E374*(-SUMIF(INDIRECT(Q$3),'Struktur Aktuell'!$D374,INDIRECT(Q$4))+SUMIF(INDIRECT(Q$3),'Struktur Aktuell'!$D374,INDIRECT(Q$5)))</f>
        <v>0</v>
      </c>
      <c r="R374" s="593">
        <f ca="1">$E374*(-SUMIF(INDIRECT(R$3),'Struktur Aktuell'!$D374,INDIRECT(R$4))+SUMIF(INDIRECT(R$3),'Struktur Aktuell'!$D374,INDIRECT(R$5)))</f>
        <v>0</v>
      </c>
      <c r="S374" s="593">
        <f ca="1">$E374*(-SUMIF(INDIRECT(S$3),'Struktur Aktuell'!$D374,INDIRECT(S$4))+SUMIF(INDIRECT(S$3),'Struktur Aktuell'!$D374,INDIRECT(S$5)))</f>
        <v>0</v>
      </c>
      <c r="T374" s="593">
        <f ca="1">$E374*(-SUMIF(INDIRECT(T$3),'Struktur Aktuell'!$D374,INDIRECT(T$4))+SUMIF(INDIRECT(T$3),'Struktur Aktuell'!$D374,INDIRECT(T$5)))</f>
        <v>0</v>
      </c>
      <c r="U374" s="593">
        <f ca="1">$E374*(-SUMIF(INDIRECT(U$3),'Struktur Aktuell'!$D374,INDIRECT(U$4))+SUMIF(INDIRECT(U$3),'Struktur Aktuell'!$D374,INDIRECT(U$5)))</f>
        <v>0</v>
      </c>
      <c r="V374" s="593">
        <f ca="1">$E374*(-SUMIF(INDIRECT(V$3),'Struktur Aktuell'!$D374,INDIRECT(V$4))+SUMIF(INDIRECT(V$3),'Struktur Aktuell'!$D374,INDIRECT(V$5)))</f>
        <v>0</v>
      </c>
      <c r="W374" s="593">
        <f ca="1">$E374*(-SUMIF(INDIRECT(W$3),'Struktur Aktuell'!$D374,INDIRECT(W$4))+SUMIF(INDIRECT(W$3),'Struktur Aktuell'!$D374,INDIRECT(W$5)))</f>
        <v>0</v>
      </c>
      <c r="X374" s="593">
        <f ca="1">$E374*(-SUMIF(INDIRECT(X$3),'Struktur Aktuell'!$D374,INDIRECT(X$4))+SUMIF(INDIRECT(X$3),'Struktur Aktuell'!$D374,INDIRECT(X$5)))</f>
        <v>0</v>
      </c>
      <c r="Y374" s="593">
        <f ca="1">$E374*(-SUMIF(INDIRECT(Y$3),'Struktur Aktuell'!$D374,INDIRECT(Y$4))+SUMIF(INDIRECT(Y$3),'Struktur Aktuell'!$D374,INDIRECT(Y$5)))</f>
        <v>0</v>
      </c>
      <c r="Z374" s="593">
        <f ca="1">$E374*(-SUMIF(INDIRECT(Z$3),'Struktur Aktuell'!$D374,INDIRECT(Z$4))+SUMIF(INDIRECT(Z$3),'Struktur Aktuell'!$D374,INDIRECT(Z$5)))</f>
        <v>0</v>
      </c>
      <c r="AA374" s="593">
        <f ca="1">$E374*(-SUMIF(INDIRECT(AA$3),'Struktur Aktuell'!$D374,INDIRECT(AA$4))+SUMIF(INDIRECT(AA$3),'Struktur Aktuell'!$D374,INDIRECT(AA$5)))</f>
        <v>0</v>
      </c>
      <c r="AB374" s="593">
        <f ca="1">$E374*(-SUMIF(INDIRECT(AB$3),'Struktur Aktuell'!$D374,INDIRECT(AB$4))+SUMIF(INDIRECT(AB$3),'Struktur Aktuell'!$D374,INDIRECT(AB$5)))</f>
        <v>0</v>
      </c>
      <c r="AC374" s="593">
        <f ca="1">$E374*(-SUMIF(INDIRECT(AC$3),'Struktur Aktuell'!$D374,INDIRECT(AC$4))+SUMIF(INDIRECT(AC$3),'Struktur Aktuell'!$D374,INDIRECT(AC$5)))</f>
        <v>0</v>
      </c>
      <c r="AD374" s="593">
        <f ca="1">$E374*(-SUMIF(INDIRECT(AD$3),'Struktur Aktuell'!$D374,INDIRECT(AD$4))+SUMIF(INDIRECT(AD$3),'Struktur Aktuell'!$D374,INDIRECT(AD$5)))</f>
        <v>0</v>
      </c>
      <c r="AE374" s="593">
        <f t="shared" ca="1" si="558"/>
        <v>0</v>
      </c>
      <c r="AF374" s="593">
        <f t="shared" ca="1" si="559"/>
        <v>0</v>
      </c>
      <c r="AG374" s="593">
        <f t="shared" ca="1" si="560"/>
        <v>0</v>
      </c>
      <c r="AH374" s="593">
        <f t="shared" ca="1" si="561"/>
        <v>0</v>
      </c>
      <c r="AI374" s="593">
        <f t="shared" ca="1" si="562"/>
        <v>0</v>
      </c>
      <c r="AJ374" s="593">
        <f t="shared" ca="1" si="563"/>
        <v>0</v>
      </c>
      <c r="AK374" s="593">
        <f t="shared" ca="1" si="564"/>
        <v>0</v>
      </c>
      <c r="AL374" s="593">
        <f t="shared" ca="1" si="565"/>
        <v>0</v>
      </c>
      <c r="AM374" s="593">
        <f t="shared" ca="1" si="566"/>
        <v>0</v>
      </c>
      <c r="AN374" s="593">
        <f t="shared" ca="1" si="567"/>
        <v>0</v>
      </c>
      <c r="AO374" s="593">
        <f t="shared" ca="1" si="568"/>
        <v>0</v>
      </c>
      <c r="AP374" s="593">
        <f t="shared" ca="1" si="569"/>
        <v>0</v>
      </c>
    </row>
    <row r="375" spans="1:42" s="594" customFormat="1" ht="11.25" outlineLevel="1" x14ac:dyDescent="0.2">
      <c r="A375" s="590"/>
      <c r="B375" s="591" t="str">
        <f>IF(D375&lt;&gt;"",
IF(ISERROR(MATCH(D375,'Ist Aktuell Monat 01'!A:A,0))=FALSE,INDEX('Ist Aktuell Monat 01'!B:B,MATCH(D375,'Ist Aktuell Monat 01'!A:A,0)),
IF(ISERROR(MATCH(D375,'Ist Aktuell Monat 02'!A:A,0))=FALSE,INDEX('Ist Aktuell Monat 02'!B:B,MATCH(D375,'Ist Aktuell Monat 02'!A:A,0)),
IF(ISERROR(MATCH(D375,'Ist Aktuell Monat 03'!A:A,0))=FALSE,INDEX('Ist Aktuell Monat 03'!B:B,MATCH(D375,'Ist Aktuell Monat 03'!A:A,0)),
IF(ISERROR(MATCH(D375,'Ist Aktuell Monat 04'!A:A,0))=FALSE,INDEX('Ist Aktuell Monat 04'!B:B,MATCH(D375,'Ist Aktuell Monat 04'!A:A,0)),
IF(ISERROR(MATCH(D375,'Ist Aktuell Monat 05'!A:A,0))=FALSE,INDEX('Ist Aktuell Monat 05'!B:B,MATCH(D375,'Ist Aktuell Monat 05'!A:A,0)),
IF(ISERROR(MATCH(D375,'Ist Aktuell Monat 06'!A:A,0))=FALSE,INDEX('Ist Aktuell Monat 06'!B:B,MATCH(D375,'Ist Aktuell Monat 06'!A:A,0)),
IF(ISERROR(MATCH(D375,'Ist Aktuell Monat 07'!A:A,0))=FALSE,INDEX('Ist Aktuell Monat 07'!B:B,MATCH(D375,'Ist Aktuell Monat 07'!A:A,0)),
IF(ISERROR(MATCH(D375,'Ist Aktuell Monat 08'!A:A,0))=FALSE,INDEX('Ist Aktuell Monat 08'!B:B,MATCH(D375,'Ist Aktuell Monat 08'!A:A,0)),
IF(ISERROR(MATCH(D375,'Ist Aktuell Monat 09'!A:A,0))=FALSE,INDEX('Ist Aktuell Monat 09'!B:B,MATCH(D375,'Ist Aktuell Monat 09'!A:A,0)),
IF(ISERROR(MATCH(D375,'Ist Aktuell Monat 10'!A:A,0))=FALSE,INDEX('Ist Aktuell Monat 10'!B:B,MATCH(D375,'Ist Aktuell Monat 10'!A:A,0)),
IF(ISERROR(MATCH(D375,'Ist Aktuell Monat 11'!A:A,0))=FALSE,INDEX('Ist Aktuell Monat 11'!B:B,MATCH(D375,'Ist Aktuell Monat 11'!A:A,0)),
IF(ISERROR(MATCH(D375,'Ist Aktuell Monat 12'!A:A,0))=FALSE,INDEX('Ist Aktuell Monat 12'!B:B,MATCH(D375,'Ist Aktuell Monat 12'!A:A,0)),
"{Konto unbekannt}"
)))))))))))),"")</f>
        <v/>
      </c>
      <c r="C375" s="591"/>
      <c r="D375" s="590"/>
      <c r="E375" s="592">
        <f t="shared" si="570"/>
        <v>1</v>
      </c>
      <c r="F375" s="590"/>
      <c r="G375" s="593">
        <f ca="1">$E375*(-SUMIF(INDIRECT(G$3),'Struktur Aktuell'!$D375,INDIRECT(G$4))+SUMIF(INDIRECT(G$3),'Struktur Aktuell'!$D375,INDIRECT(G$5)))</f>
        <v>0</v>
      </c>
      <c r="H375" s="593">
        <f ca="1">$E375*(-SUMIF(INDIRECT(H$3),'Struktur Aktuell'!$D375,INDIRECT(H$4))+SUMIF(INDIRECT(H$3),'Struktur Aktuell'!$D375,INDIRECT(H$5)))</f>
        <v>0</v>
      </c>
      <c r="I375" s="593">
        <f ca="1">$E375*(-SUMIF(INDIRECT(I$3),'Struktur Aktuell'!$D375,INDIRECT(I$4))+SUMIF(INDIRECT(I$3),'Struktur Aktuell'!$D375,INDIRECT(I$5)))</f>
        <v>0</v>
      </c>
      <c r="J375" s="593">
        <f ca="1">$E375*(-SUMIF(INDIRECT(J$3),'Struktur Aktuell'!$D375,INDIRECT(J$4))+SUMIF(INDIRECT(J$3),'Struktur Aktuell'!$D375,INDIRECT(J$5)))</f>
        <v>0</v>
      </c>
      <c r="K375" s="593">
        <f ca="1">$E375*(-SUMIF(INDIRECT(K$3),'Struktur Aktuell'!$D375,INDIRECT(K$4))+SUMIF(INDIRECT(K$3),'Struktur Aktuell'!$D375,INDIRECT(K$5)))</f>
        <v>0</v>
      </c>
      <c r="L375" s="593">
        <f ca="1">$E375*(-SUMIF(INDIRECT(L$3),'Struktur Aktuell'!$D375,INDIRECT(L$4))+SUMIF(INDIRECT(L$3),'Struktur Aktuell'!$D375,INDIRECT(L$5)))</f>
        <v>0</v>
      </c>
      <c r="M375" s="593">
        <f ca="1">$E375*(-SUMIF(INDIRECT(M$3),'Struktur Aktuell'!$D375,INDIRECT(M$4))+SUMIF(INDIRECT(M$3),'Struktur Aktuell'!$D375,INDIRECT(M$5)))</f>
        <v>0</v>
      </c>
      <c r="N375" s="593">
        <f ca="1">$E375*(-SUMIF(INDIRECT(N$3),'Struktur Aktuell'!$D375,INDIRECT(N$4))+SUMIF(INDIRECT(N$3),'Struktur Aktuell'!$D375,INDIRECT(N$5)))</f>
        <v>0</v>
      </c>
      <c r="O375" s="593">
        <f ca="1">$E375*(-SUMIF(INDIRECT(O$3),'Struktur Aktuell'!$D375,INDIRECT(O$4))+SUMIF(INDIRECT(O$3),'Struktur Aktuell'!$D375,INDIRECT(O$5)))</f>
        <v>0</v>
      </c>
      <c r="P375" s="593">
        <f ca="1">$E375*(-SUMIF(INDIRECT(P$3),'Struktur Aktuell'!$D375,INDIRECT(P$4))+SUMIF(INDIRECT(P$3),'Struktur Aktuell'!$D375,INDIRECT(P$5)))</f>
        <v>0</v>
      </c>
      <c r="Q375" s="593">
        <f ca="1">$E375*(-SUMIF(INDIRECT(Q$3),'Struktur Aktuell'!$D375,INDIRECT(Q$4))+SUMIF(INDIRECT(Q$3),'Struktur Aktuell'!$D375,INDIRECT(Q$5)))</f>
        <v>0</v>
      </c>
      <c r="R375" s="593">
        <f ca="1">$E375*(-SUMIF(INDIRECT(R$3),'Struktur Aktuell'!$D375,INDIRECT(R$4))+SUMIF(INDIRECT(R$3),'Struktur Aktuell'!$D375,INDIRECT(R$5)))</f>
        <v>0</v>
      </c>
      <c r="S375" s="593">
        <f ca="1">$E375*(-SUMIF(INDIRECT(S$3),'Struktur Aktuell'!$D375,INDIRECT(S$4))+SUMIF(INDIRECT(S$3),'Struktur Aktuell'!$D375,INDIRECT(S$5)))</f>
        <v>0</v>
      </c>
      <c r="T375" s="593">
        <f ca="1">$E375*(-SUMIF(INDIRECT(T$3),'Struktur Aktuell'!$D375,INDIRECT(T$4))+SUMIF(INDIRECT(T$3),'Struktur Aktuell'!$D375,INDIRECT(T$5)))</f>
        <v>0</v>
      </c>
      <c r="U375" s="593">
        <f ca="1">$E375*(-SUMIF(INDIRECT(U$3),'Struktur Aktuell'!$D375,INDIRECT(U$4))+SUMIF(INDIRECT(U$3),'Struktur Aktuell'!$D375,INDIRECT(U$5)))</f>
        <v>0</v>
      </c>
      <c r="V375" s="593">
        <f ca="1">$E375*(-SUMIF(INDIRECT(V$3),'Struktur Aktuell'!$D375,INDIRECT(V$4))+SUMIF(INDIRECT(V$3),'Struktur Aktuell'!$D375,INDIRECT(V$5)))</f>
        <v>0</v>
      </c>
      <c r="W375" s="593">
        <f ca="1">$E375*(-SUMIF(INDIRECT(W$3),'Struktur Aktuell'!$D375,INDIRECT(W$4))+SUMIF(INDIRECT(W$3),'Struktur Aktuell'!$D375,INDIRECT(W$5)))</f>
        <v>0</v>
      </c>
      <c r="X375" s="593">
        <f ca="1">$E375*(-SUMIF(INDIRECT(X$3),'Struktur Aktuell'!$D375,INDIRECT(X$4))+SUMIF(INDIRECT(X$3),'Struktur Aktuell'!$D375,INDIRECT(X$5)))</f>
        <v>0</v>
      </c>
      <c r="Y375" s="593">
        <f ca="1">$E375*(-SUMIF(INDIRECT(Y$3),'Struktur Aktuell'!$D375,INDIRECT(Y$4))+SUMIF(INDIRECT(Y$3),'Struktur Aktuell'!$D375,INDIRECT(Y$5)))</f>
        <v>0</v>
      </c>
      <c r="Z375" s="593">
        <f ca="1">$E375*(-SUMIF(INDIRECT(Z$3),'Struktur Aktuell'!$D375,INDIRECT(Z$4))+SUMIF(INDIRECT(Z$3),'Struktur Aktuell'!$D375,INDIRECT(Z$5)))</f>
        <v>0</v>
      </c>
      <c r="AA375" s="593">
        <f ca="1">$E375*(-SUMIF(INDIRECT(AA$3),'Struktur Aktuell'!$D375,INDIRECT(AA$4))+SUMIF(INDIRECT(AA$3),'Struktur Aktuell'!$D375,INDIRECT(AA$5)))</f>
        <v>0</v>
      </c>
      <c r="AB375" s="593">
        <f ca="1">$E375*(-SUMIF(INDIRECT(AB$3),'Struktur Aktuell'!$D375,INDIRECT(AB$4))+SUMIF(INDIRECT(AB$3),'Struktur Aktuell'!$D375,INDIRECT(AB$5)))</f>
        <v>0</v>
      </c>
      <c r="AC375" s="593">
        <f ca="1">$E375*(-SUMIF(INDIRECT(AC$3),'Struktur Aktuell'!$D375,INDIRECT(AC$4))+SUMIF(INDIRECT(AC$3),'Struktur Aktuell'!$D375,INDIRECT(AC$5)))</f>
        <v>0</v>
      </c>
      <c r="AD375" s="593">
        <f ca="1">$E375*(-SUMIF(INDIRECT(AD$3),'Struktur Aktuell'!$D375,INDIRECT(AD$4))+SUMIF(INDIRECT(AD$3),'Struktur Aktuell'!$D375,INDIRECT(AD$5)))</f>
        <v>0</v>
      </c>
      <c r="AE375" s="593">
        <f t="shared" ca="1" si="558"/>
        <v>0</v>
      </c>
      <c r="AF375" s="593">
        <f t="shared" ca="1" si="559"/>
        <v>0</v>
      </c>
      <c r="AG375" s="593">
        <f t="shared" ca="1" si="560"/>
        <v>0</v>
      </c>
      <c r="AH375" s="593">
        <f t="shared" ca="1" si="561"/>
        <v>0</v>
      </c>
      <c r="AI375" s="593">
        <f t="shared" ca="1" si="562"/>
        <v>0</v>
      </c>
      <c r="AJ375" s="593">
        <f t="shared" ca="1" si="563"/>
        <v>0</v>
      </c>
      <c r="AK375" s="593">
        <f t="shared" ca="1" si="564"/>
        <v>0</v>
      </c>
      <c r="AL375" s="593">
        <f t="shared" ca="1" si="565"/>
        <v>0</v>
      </c>
      <c r="AM375" s="593">
        <f t="shared" ca="1" si="566"/>
        <v>0</v>
      </c>
      <c r="AN375" s="593">
        <f t="shared" ca="1" si="567"/>
        <v>0</v>
      </c>
      <c r="AO375" s="593">
        <f t="shared" ca="1" si="568"/>
        <v>0</v>
      </c>
      <c r="AP375" s="593">
        <f t="shared" ca="1" si="569"/>
        <v>0</v>
      </c>
    </row>
    <row r="376" spans="1:42" outlineLevel="1" x14ac:dyDescent="0.2">
      <c r="A376" s="603"/>
      <c r="B376" s="604" t="s">
        <v>1023</v>
      </c>
      <c r="C376" s="597">
        <f ca="1">SUM(G376:R376)</f>
        <v>-35573.149999999987</v>
      </c>
      <c r="D376" s="597"/>
      <c r="E376" s="605">
        <f t="shared" si="381"/>
        <v>1</v>
      </c>
      <c r="F376" s="603"/>
      <c r="G376" s="606">
        <f ca="1">G355-G356</f>
        <v>-9326.6600000000017</v>
      </c>
      <c r="H376" s="606">
        <f t="shared" ref="H376:R376" ca="1" si="571">H355-H356</f>
        <v>-8842.98</v>
      </c>
      <c r="I376" s="606">
        <f t="shared" ca="1" si="571"/>
        <v>-17887.899999999998</v>
      </c>
      <c r="J376" s="606">
        <f t="shared" ca="1" si="571"/>
        <v>-9703.7800000000025</v>
      </c>
      <c r="K376" s="606">
        <f t="shared" ca="1" si="571"/>
        <v>-21235.019999999997</v>
      </c>
      <c r="L376" s="606">
        <f t="shared" ca="1" si="571"/>
        <v>-9485.4499999999989</v>
      </c>
      <c r="M376" s="606">
        <f t="shared" ca="1" si="571"/>
        <v>27968.330000000005</v>
      </c>
      <c r="N376" s="606">
        <f t="shared" ca="1" si="571"/>
        <v>1091.8100000000011</v>
      </c>
      <c r="O376" s="606">
        <f t="shared" ca="1" si="571"/>
        <v>-7377.869999999999</v>
      </c>
      <c r="P376" s="606">
        <f t="shared" ca="1" si="571"/>
        <v>19226.370000000003</v>
      </c>
      <c r="Q376" s="606">
        <f t="shared" ca="1" si="571"/>
        <v>0</v>
      </c>
      <c r="R376" s="606">
        <f t="shared" ca="1" si="571"/>
        <v>0</v>
      </c>
      <c r="S376" s="606">
        <f ca="1">S355-S356</f>
        <v>-9326.6600000000017</v>
      </c>
      <c r="T376" s="606">
        <f t="shared" ref="T376:AD376" ca="1" si="572">T355-T356</f>
        <v>-18169.640000000007</v>
      </c>
      <c r="U376" s="606">
        <f t="shared" ca="1" si="572"/>
        <v>-36057.540000000008</v>
      </c>
      <c r="V376" s="606">
        <f t="shared" ca="1" si="572"/>
        <v>-45761.32</v>
      </c>
      <c r="W376" s="606">
        <f t="shared" ca="1" si="572"/>
        <v>-66996.34</v>
      </c>
      <c r="X376" s="606">
        <f t="shared" ca="1" si="572"/>
        <v>-76481.789999999994</v>
      </c>
      <c r="Y376" s="606">
        <f t="shared" ca="1" si="572"/>
        <v>-48513.459999999992</v>
      </c>
      <c r="Z376" s="606">
        <f t="shared" ca="1" si="572"/>
        <v>-47421.649999999987</v>
      </c>
      <c r="AA376" s="606">
        <f t="shared" ca="1" si="572"/>
        <v>-54799.520000000011</v>
      </c>
      <c r="AB376" s="606">
        <f t="shared" ca="1" si="572"/>
        <v>-35573.150000000009</v>
      </c>
      <c r="AC376" s="606">
        <f t="shared" ca="1" si="572"/>
        <v>0</v>
      </c>
      <c r="AD376" s="606">
        <f t="shared" ca="1" si="572"/>
        <v>0</v>
      </c>
      <c r="AE376" s="606">
        <f ca="1">AE355-AE356</f>
        <v>-9326.6600000000017</v>
      </c>
      <c r="AF376" s="606">
        <f t="shared" ref="AF376:AP376" ca="1" si="573">AF355-AF356</f>
        <v>-18169.640000000007</v>
      </c>
      <c r="AG376" s="606">
        <f t="shared" ca="1" si="573"/>
        <v>-36057.540000000008</v>
      </c>
      <c r="AH376" s="606">
        <f t="shared" ca="1" si="573"/>
        <v>-45761.32</v>
      </c>
      <c r="AI376" s="606">
        <f t="shared" ca="1" si="573"/>
        <v>-66996.340000000011</v>
      </c>
      <c r="AJ376" s="606">
        <f t="shared" ca="1" si="573"/>
        <v>-76481.789999999994</v>
      </c>
      <c r="AK376" s="606">
        <f t="shared" ca="1" si="573"/>
        <v>-48513.459999999992</v>
      </c>
      <c r="AL376" s="606">
        <f t="shared" ca="1" si="573"/>
        <v>-47421.649999999987</v>
      </c>
      <c r="AM376" s="606">
        <f t="shared" ca="1" si="573"/>
        <v>-54799.520000000011</v>
      </c>
      <c r="AN376" s="606">
        <f t="shared" ca="1" si="573"/>
        <v>-35573.149999999951</v>
      </c>
      <c r="AO376" s="606">
        <f t="shared" ca="1" si="573"/>
        <v>-35573.149999999951</v>
      </c>
      <c r="AP376" s="606">
        <f t="shared" ca="1" si="573"/>
        <v>-35573.149999999951</v>
      </c>
    </row>
    <row r="377" spans="1:42" s="589" customFormat="1" x14ac:dyDescent="0.2">
      <c r="A377" s="585">
        <v>36</v>
      </c>
      <c r="B377" s="586" t="s">
        <v>1024</v>
      </c>
      <c r="C377" s="587">
        <f ca="1">SUM(G377:R377)</f>
        <v>0</v>
      </c>
      <c r="D377" s="587"/>
      <c r="E377" s="588">
        <f t="shared" si="381"/>
        <v>1</v>
      </c>
      <c r="F377" s="585"/>
      <c r="G377" s="587">
        <f t="shared" ref="G377:R377" ca="1" si="574">SUM(G378:G381)</f>
        <v>0</v>
      </c>
      <c r="H377" s="587">
        <f t="shared" ca="1" si="574"/>
        <v>0</v>
      </c>
      <c r="I377" s="587">
        <f t="shared" ca="1" si="574"/>
        <v>0</v>
      </c>
      <c r="J377" s="587">
        <f t="shared" ca="1" si="574"/>
        <v>0</v>
      </c>
      <c r="K377" s="587">
        <f t="shared" ca="1" si="574"/>
        <v>0</v>
      </c>
      <c r="L377" s="587">
        <f t="shared" ca="1" si="574"/>
        <v>0</v>
      </c>
      <c r="M377" s="587">
        <f t="shared" ca="1" si="574"/>
        <v>0</v>
      </c>
      <c r="N377" s="587">
        <f t="shared" ca="1" si="574"/>
        <v>0</v>
      </c>
      <c r="O377" s="587">
        <f t="shared" ca="1" si="574"/>
        <v>0</v>
      </c>
      <c r="P377" s="587">
        <f t="shared" ca="1" si="574"/>
        <v>0</v>
      </c>
      <c r="Q377" s="587">
        <f t="shared" ca="1" si="574"/>
        <v>0</v>
      </c>
      <c r="R377" s="587">
        <f t="shared" ca="1" si="574"/>
        <v>0</v>
      </c>
      <c r="S377" s="587">
        <f t="shared" ref="S377:AP377" ca="1" si="575">SUM(S378:S381)</f>
        <v>0</v>
      </c>
      <c r="T377" s="587">
        <f t="shared" ca="1" si="575"/>
        <v>0</v>
      </c>
      <c r="U377" s="587">
        <f t="shared" ca="1" si="575"/>
        <v>0</v>
      </c>
      <c r="V377" s="587">
        <f t="shared" ca="1" si="575"/>
        <v>0</v>
      </c>
      <c r="W377" s="587">
        <f t="shared" ca="1" si="575"/>
        <v>0</v>
      </c>
      <c r="X377" s="587">
        <f t="shared" ca="1" si="575"/>
        <v>0</v>
      </c>
      <c r="Y377" s="587">
        <f t="shared" ca="1" si="575"/>
        <v>0</v>
      </c>
      <c r="Z377" s="587">
        <f t="shared" ca="1" si="575"/>
        <v>0</v>
      </c>
      <c r="AA377" s="587">
        <f t="shared" ca="1" si="575"/>
        <v>0</v>
      </c>
      <c r="AB377" s="587">
        <f t="shared" ca="1" si="575"/>
        <v>0</v>
      </c>
      <c r="AC377" s="587">
        <f t="shared" ca="1" si="575"/>
        <v>0</v>
      </c>
      <c r="AD377" s="587">
        <f t="shared" ca="1" si="575"/>
        <v>0</v>
      </c>
      <c r="AE377" s="587">
        <f t="shared" ca="1" si="575"/>
        <v>0</v>
      </c>
      <c r="AF377" s="587">
        <f t="shared" ca="1" si="575"/>
        <v>0</v>
      </c>
      <c r="AG377" s="587">
        <f t="shared" ca="1" si="575"/>
        <v>0</v>
      </c>
      <c r="AH377" s="587">
        <f t="shared" ca="1" si="575"/>
        <v>0</v>
      </c>
      <c r="AI377" s="587">
        <f t="shared" ca="1" si="575"/>
        <v>0</v>
      </c>
      <c r="AJ377" s="587">
        <f t="shared" ca="1" si="575"/>
        <v>0</v>
      </c>
      <c r="AK377" s="587">
        <f t="shared" ca="1" si="575"/>
        <v>0</v>
      </c>
      <c r="AL377" s="587">
        <f t="shared" ca="1" si="575"/>
        <v>0</v>
      </c>
      <c r="AM377" s="587">
        <f t="shared" ca="1" si="575"/>
        <v>0</v>
      </c>
      <c r="AN377" s="587">
        <f t="shared" ca="1" si="575"/>
        <v>0</v>
      </c>
      <c r="AO377" s="587">
        <f t="shared" ca="1" si="575"/>
        <v>0</v>
      </c>
      <c r="AP377" s="587">
        <f t="shared" ca="1" si="575"/>
        <v>0</v>
      </c>
    </row>
    <row r="378" spans="1:42" s="594" customFormat="1" ht="11.25" x14ac:dyDescent="0.2">
      <c r="A378" s="607"/>
      <c r="B378" s="591" t="str">
        <f>IF(D378&lt;&gt;"",
IF(ISERROR(MATCH(D378,'Ist Aktuell Monat 01'!A:A,0))=FALSE,INDEX('Ist Aktuell Monat 01'!B:B,MATCH(D378,'Ist Aktuell Monat 01'!A:A,0)),
IF(ISERROR(MATCH(D378,'Ist Aktuell Monat 02'!A:A,0))=FALSE,INDEX('Ist Aktuell Monat 02'!B:B,MATCH(D378,'Ist Aktuell Monat 02'!A:A,0)),
IF(ISERROR(MATCH(D378,'Ist Aktuell Monat 03'!A:A,0))=FALSE,INDEX('Ist Aktuell Monat 03'!B:B,MATCH(D378,'Ist Aktuell Monat 03'!A:A,0)),
IF(ISERROR(MATCH(D378,'Ist Aktuell Monat 04'!A:A,0))=FALSE,INDEX('Ist Aktuell Monat 04'!B:B,MATCH(D378,'Ist Aktuell Monat 04'!A:A,0)),
IF(ISERROR(MATCH(D378,'Ist Aktuell Monat 05'!A:A,0))=FALSE,INDEX('Ist Aktuell Monat 05'!B:B,MATCH(D378,'Ist Aktuell Monat 05'!A:A,0)),
IF(ISERROR(MATCH(D378,'Ist Aktuell Monat 06'!A:A,0))=FALSE,INDEX('Ist Aktuell Monat 06'!B:B,MATCH(D378,'Ist Aktuell Monat 06'!A:A,0)),
IF(ISERROR(MATCH(D378,'Ist Aktuell Monat 07'!A:A,0))=FALSE,INDEX('Ist Aktuell Monat 07'!B:B,MATCH(D378,'Ist Aktuell Monat 07'!A:A,0)),
IF(ISERROR(MATCH(D378,'Ist Aktuell Monat 08'!A:A,0))=FALSE,INDEX('Ist Aktuell Monat 08'!B:B,MATCH(D378,'Ist Aktuell Monat 08'!A:A,0)),
IF(ISERROR(MATCH(D378,'Ist Aktuell Monat 09'!A:A,0))=FALSE,INDEX('Ist Aktuell Monat 09'!B:B,MATCH(D378,'Ist Aktuell Monat 09'!A:A,0)),
IF(ISERROR(MATCH(D378,'Ist Aktuell Monat 10'!A:A,0))=FALSE,INDEX('Ist Aktuell Monat 10'!B:B,MATCH(D378,'Ist Aktuell Monat 10'!A:A,0)),
IF(ISERROR(MATCH(D378,'Ist Aktuell Monat 11'!A:A,0))=FALSE,INDEX('Ist Aktuell Monat 11'!B:B,MATCH(D378,'Ist Aktuell Monat 11'!A:A,0)),
IF(ISERROR(MATCH(D378,'Ist Aktuell Monat 12'!A:A,0))=FALSE,INDEX('Ist Aktuell Monat 12'!B:B,MATCH(D378,'Ist Aktuell Monat 12'!A:A,0)),
"{Konto unbekannt}"
)))))))))))),"")</f>
        <v/>
      </c>
      <c r="C378" s="591"/>
      <c r="D378" s="590"/>
      <c r="E378" s="592">
        <f t="shared" si="381"/>
        <v>1</v>
      </c>
      <c r="F378" s="590"/>
      <c r="G378" s="593">
        <f ca="1">$E378*(-SUMIF(INDIRECT(G$3),'Struktur Aktuell'!$D378,INDIRECT(G$4))+SUMIF(INDIRECT(G$3),'Struktur Aktuell'!$D378,INDIRECT(G$5)))</f>
        <v>0</v>
      </c>
      <c r="H378" s="593">
        <f ca="1">$E378*(-SUMIF(INDIRECT(H$3),'Struktur Aktuell'!$D378,INDIRECT(H$4))+SUMIF(INDIRECT(H$3),'Struktur Aktuell'!$D378,INDIRECT(H$5)))</f>
        <v>0</v>
      </c>
      <c r="I378" s="593">
        <f ca="1">$E378*(-SUMIF(INDIRECT(I$3),'Struktur Aktuell'!$D378,INDIRECT(I$4))+SUMIF(INDIRECT(I$3),'Struktur Aktuell'!$D378,INDIRECT(I$5)))</f>
        <v>0</v>
      </c>
      <c r="J378" s="593">
        <f ca="1">$E378*(-SUMIF(INDIRECT(J$3),'Struktur Aktuell'!$D378,INDIRECT(J$4))+SUMIF(INDIRECT(J$3),'Struktur Aktuell'!$D378,INDIRECT(J$5)))</f>
        <v>0</v>
      </c>
      <c r="K378" s="593">
        <f ca="1">$E378*(-SUMIF(INDIRECT(K$3),'Struktur Aktuell'!$D378,INDIRECT(K$4))+SUMIF(INDIRECT(K$3),'Struktur Aktuell'!$D378,INDIRECT(K$5)))</f>
        <v>0</v>
      </c>
      <c r="L378" s="593">
        <f ca="1">$E378*(-SUMIF(INDIRECT(L$3),'Struktur Aktuell'!$D378,INDIRECT(L$4))+SUMIF(INDIRECT(L$3),'Struktur Aktuell'!$D378,INDIRECT(L$5)))</f>
        <v>0</v>
      </c>
      <c r="M378" s="593">
        <f ca="1">$E378*(-SUMIF(INDIRECT(M$3),'Struktur Aktuell'!$D378,INDIRECT(M$4))+SUMIF(INDIRECT(M$3),'Struktur Aktuell'!$D378,INDIRECT(M$5)))</f>
        <v>0</v>
      </c>
      <c r="N378" s="593">
        <f ca="1">$E378*(-SUMIF(INDIRECT(N$3),'Struktur Aktuell'!$D378,INDIRECT(N$4))+SUMIF(INDIRECT(N$3),'Struktur Aktuell'!$D378,INDIRECT(N$5)))</f>
        <v>0</v>
      </c>
      <c r="O378" s="593">
        <f ca="1">$E378*(-SUMIF(INDIRECT(O$3),'Struktur Aktuell'!$D378,INDIRECT(O$4))+SUMIF(INDIRECT(O$3),'Struktur Aktuell'!$D378,INDIRECT(O$5)))</f>
        <v>0</v>
      </c>
      <c r="P378" s="593">
        <f ca="1">$E378*(-SUMIF(INDIRECT(P$3),'Struktur Aktuell'!$D378,INDIRECT(P$4))+SUMIF(INDIRECT(P$3),'Struktur Aktuell'!$D378,INDIRECT(P$5)))</f>
        <v>0</v>
      </c>
      <c r="Q378" s="593">
        <f ca="1">$E378*(-SUMIF(INDIRECT(Q$3),'Struktur Aktuell'!$D378,INDIRECT(Q$4))+SUMIF(INDIRECT(Q$3),'Struktur Aktuell'!$D378,INDIRECT(Q$5)))</f>
        <v>0</v>
      </c>
      <c r="R378" s="593">
        <f ca="1">$E378*(-SUMIF(INDIRECT(R$3),'Struktur Aktuell'!$D378,INDIRECT(R$4))+SUMIF(INDIRECT(R$3),'Struktur Aktuell'!$D378,INDIRECT(R$5)))</f>
        <v>0</v>
      </c>
      <c r="S378" s="593">
        <f ca="1">$E378*(-SUMIF(INDIRECT(S$3),'Struktur Aktuell'!$D378,INDIRECT(S$4))+SUMIF(INDIRECT(S$3),'Struktur Aktuell'!$D378,INDIRECT(S$5)))</f>
        <v>0</v>
      </c>
      <c r="T378" s="593">
        <f ca="1">$E378*(-SUMIF(INDIRECT(T$3),'Struktur Aktuell'!$D378,INDIRECT(T$4))+SUMIF(INDIRECT(T$3),'Struktur Aktuell'!$D378,INDIRECT(T$5)))</f>
        <v>0</v>
      </c>
      <c r="U378" s="593">
        <f ca="1">$E378*(-SUMIF(INDIRECT(U$3),'Struktur Aktuell'!$D378,INDIRECT(U$4))+SUMIF(INDIRECT(U$3),'Struktur Aktuell'!$D378,INDIRECT(U$5)))</f>
        <v>0</v>
      </c>
      <c r="V378" s="593">
        <f ca="1">$E378*(-SUMIF(INDIRECT(V$3),'Struktur Aktuell'!$D378,INDIRECT(V$4))+SUMIF(INDIRECT(V$3),'Struktur Aktuell'!$D378,INDIRECT(V$5)))</f>
        <v>0</v>
      </c>
      <c r="W378" s="593">
        <f ca="1">$E378*(-SUMIF(INDIRECT(W$3),'Struktur Aktuell'!$D378,INDIRECT(W$4))+SUMIF(INDIRECT(W$3),'Struktur Aktuell'!$D378,INDIRECT(W$5)))</f>
        <v>0</v>
      </c>
      <c r="X378" s="593">
        <f ca="1">$E378*(-SUMIF(INDIRECT(X$3),'Struktur Aktuell'!$D378,INDIRECT(X$4))+SUMIF(INDIRECT(X$3),'Struktur Aktuell'!$D378,INDIRECT(X$5)))</f>
        <v>0</v>
      </c>
      <c r="Y378" s="593">
        <f ca="1">$E378*(-SUMIF(INDIRECT(Y$3),'Struktur Aktuell'!$D378,INDIRECT(Y$4))+SUMIF(INDIRECT(Y$3),'Struktur Aktuell'!$D378,INDIRECT(Y$5)))</f>
        <v>0</v>
      </c>
      <c r="Z378" s="593">
        <f ca="1">$E378*(-SUMIF(INDIRECT(Z$3),'Struktur Aktuell'!$D378,INDIRECT(Z$4))+SUMIF(INDIRECT(Z$3),'Struktur Aktuell'!$D378,INDIRECT(Z$5)))</f>
        <v>0</v>
      </c>
      <c r="AA378" s="593">
        <f ca="1">$E378*(-SUMIF(INDIRECT(AA$3),'Struktur Aktuell'!$D378,INDIRECT(AA$4))+SUMIF(INDIRECT(AA$3),'Struktur Aktuell'!$D378,INDIRECT(AA$5)))</f>
        <v>0</v>
      </c>
      <c r="AB378" s="593">
        <f ca="1">$E378*(-SUMIF(INDIRECT(AB$3),'Struktur Aktuell'!$D378,INDIRECT(AB$4))+SUMIF(INDIRECT(AB$3),'Struktur Aktuell'!$D378,INDIRECT(AB$5)))</f>
        <v>0</v>
      </c>
      <c r="AC378" s="593">
        <f ca="1">$E378*(-SUMIF(INDIRECT(AC$3),'Struktur Aktuell'!$D378,INDIRECT(AC$4))+SUMIF(INDIRECT(AC$3),'Struktur Aktuell'!$D378,INDIRECT(AC$5)))</f>
        <v>0</v>
      </c>
      <c r="AD378" s="593">
        <f ca="1">$E378*(-SUMIF(INDIRECT(AD$3),'Struktur Aktuell'!$D378,INDIRECT(AD$4))+SUMIF(INDIRECT(AD$3),'Struktur Aktuell'!$D378,INDIRECT(AD$5)))</f>
        <v>0</v>
      </c>
      <c r="AE378" s="593">
        <f t="shared" ref="AE378:AE381" ca="1" si="576">G378</f>
        <v>0</v>
      </c>
      <c r="AF378" s="593">
        <f t="shared" ref="AF378:AF381" ca="1" si="577">H378+AE378</f>
        <v>0</v>
      </c>
      <c r="AG378" s="593">
        <f t="shared" ref="AG378:AG381" ca="1" si="578">I378+AF378</f>
        <v>0</v>
      </c>
      <c r="AH378" s="593">
        <f t="shared" ref="AH378:AH381" ca="1" si="579">J378+AG378</f>
        <v>0</v>
      </c>
      <c r="AI378" s="593">
        <f t="shared" ref="AI378:AI381" ca="1" si="580">K378+AH378</f>
        <v>0</v>
      </c>
      <c r="AJ378" s="593">
        <f t="shared" ref="AJ378:AJ381" ca="1" si="581">L378+AI378</f>
        <v>0</v>
      </c>
      <c r="AK378" s="593">
        <f t="shared" ref="AK378:AK381" ca="1" si="582">M378+AJ378</f>
        <v>0</v>
      </c>
      <c r="AL378" s="593">
        <f t="shared" ref="AL378:AL381" ca="1" si="583">N378+AK378</f>
        <v>0</v>
      </c>
      <c r="AM378" s="593">
        <f t="shared" ref="AM378:AM381" ca="1" si="584">O378+AL378</f>
        <v>0</v>
      </c>
      <c r="AN378" s="593">
        <f t="shared" ref="AN378:AN381" ca="1" si="585">P378+AM378</f>
        <v>0</v>
      </c>
      <c r="AO378" s="593">
        <f t="shared" ref="AO378:AO381" ca="1" si="586">Q378+AN378</f>
        <v>0</v>
      </c>
      <c r="AP378" s="593">
        <f t="shared" ref="AP378:AP381" ca="1" si="587">R378+AO378</f>
        <v>0</v>
      </c>
    </row>
    <row r="379" spans="1:42" s="594" customFormat="1" ht="11.25" x14ac:dyDescent="0.2">
      <c r="A379" s="607"/>
      <c r="B379" s="591" t="str">
        <f>IF(D379&lt;&gt;"",
IF(ISERROR(MATCH(D379,'Ist Aktuell Monat 01'!A:A,0))=FALSE,INDEX('Ist Aktuell Monat 01'!B:B,MATCH(D379,'Ist Aktuell Monat 01'!A:A,0)),
IF(ISERROR(MATCH(D379,'Ist Aktuell Monat 02'!A:A,0))=FALSE,INDEX('Ist Aktuell Monat 02'!B:B,MATCH(D379,'Ist Aktuell Monat 02'!A:A,0)),
IF(ISERROR(MATCH(D379,'Ist Aktuell Monat 03'!A:A,0))=FALSE,INDEX('Ist Aktuell Monat 03'!B:B,MATCH(D379,'Ist Aktuell Monat 03'!A:A,0)),
IF(ISERROR(MATCH(D379,'Ist Aktuell Monat 04'!A:A,0))=FALSE,INDEX('Ist Aktuell Monat 04'!B:B,MATCH(D379,'Ist Aktuell Monat 04'!A:A,0)),
IF(ISERROR(MATCH(D379,'Ist Aktuell Monat 05'!A:A,0))=FALSE,INDEX('Ist Aktuell Monat 05'!B:B,MATCH(D379,'Ist Aktuell Monat 05'!A:A,0)),
IF(ISERROR(MATCH(D379,'Ist Aktuell Monat 06'!A:A,0))=FALSE,INDEX('Ist Aktuell Monat 06'!B:B,MATCH(D379,'Ist Aktuell Monat 06'!A:A,0)),
IF(ISERROR(MATCH(D379,'Ist Aktuell Monat 07'!A:A,0))=FALSE,INDEX('Ist Aktuell Monat 07'!B:B,MATCH(D379,'Ist Aktuell Monat 07'!A:A,0)),
IF(ISERROR(MATCH(D379,'Ist Aktuell Monat 08'!A:A,0))=FALSE,INDEX('Ist Aktuell Monat 08'!B:B,MATCH(D379,'Ist Aktuell Monat 08'!A:A,0)),
IF(ISERROR(MATCH(D379,'Ist Aktuell Monat 09'!A:A,0))=FALSE,INDEX('Ist Aktuell Monat 09'!B:B,MATCH(D379,'Ist Aktuell Monat 09'!A:A,0)),
IF(ISERROR(MATCH(D379,'Ist Aktuell Monat 10'!A:A,0))=FALSE,INDEX('Ist Aktuell Monat 10'!B:B,MATCH(D379,'Ist Aktuell Monat 10'!A:A,0)),
IF(ISERROR(MATCH(D379,'Ist Aktuell Monat 11'!A:A,0))=FALSE,INDEX('Ist Aktuell Monat 11'!B:B,MATCH(D379,'Ist Aktuell Monat 11'!A:A,0)),
IF(ISERROR(MATCH(D379,'Ist Aktuell Monat 12'!A:A,0))=FALSE,INDEX('Ist Aktuell Monat 12'!B:B,MATCH(D379,'Ist Aktuell Monat 12'!A:A,0)),
"{Konto unbekannt}"
)))))))))))),"")</f>
        <v/>
      </c>
      <c r="C379" s="591"/>
      <c r="D379" s="590"/>
      <c r="E379" s="592">
        <f t="shared" si="381"/>
        <v>1</v>
      </c>
      <c r="F379" s="590"/>
      <c r="G379" s="593">
        <f ca="1">$E379*(-SUMIF(INDIRECT(G$3),'Struktur Aktuell'!$D379,INDIRECT(G$4))+SUMIF(INDIRECT(G$3),'Struktur Aktuell'!$D379,INDIRECT(G$5)))</f>
        <v>0</v>
      </c>
      <c r="H379" s="593">
        <f ca="1">$E379*(-SUMIF(INDIRECT(H$3),'Struktur Aktuell'!$D379,INDIRECT(H$4))+SUMIF(INDIRECT(H$3),'Struktur Aktuell'!$D379,INDIRECT(H$5)))</f>
        <v>0</v>
      </c>
      <c r="I379" s="593">
        <f ca="1">$E379*(-SUMIF(INDIRECT(I$3),'Struktur Aktuell'!$D379,INDIRECT(I$4))+SUMIF(INDIRECT(I$3),'Struktur Aktuell'!$D379,INDIRECT(I$5)))</f>
        <v>0</v>
      </c>
      <c r="J379" s="593">
        <f ca="1">$E379*(-SUMIF(INDIRECT(J$3),'Struktur Aktuell'!$D379,INDIRECT(J$4))+SUMIF(INDIRECT(J$3),'Struktur Aktuell'!$D379,INDIRECT(J$5)))</f>
        <v>0</v>
      </c>
      <c r="K379" s="593">
        <f ca="1">$E379*(-SUMIF(INDIRECT(K$3),'Struktur Aktuell'!$D379,INDIRECT(K$4))+SUMIF(INDIRECT(K$3),'Struktur Aktuell'!$D379,INDIRECT(K$5)))</f>
        <v>0</v>
      </c>
      <c r="L379" s="593">
        <f ca="1">$E379*(-SUMIF(INDIRECT(L$3),'Struktur Aktuell'!$D379,INDIRECT(L$4))+SUMIF(INDIRECT(L$3),'Struktur Aktuell'!$D379,INDIRECT(L$5)))</f>
        <v>0</v>
      </c>
      <c r="M379" s="593">
        <f ca="1">$E379*(-SUMIF(INDIRECT(M$3),'Struktur Aktuell'!$D379,INDIRECT(M$4))+SUMIF(INDIRECT(M$3),'Struktur Aktuell'!$D379,INDIRECT(M$5)))</f>
        <v>0</v>
      </c>
      <c r="N379" s="593">
        <f ca="1">$E379*(-SUMIF(INDIRECT(N$3),'Struktur Aktuell'!$D379,INDIRECT(N$4))+SUMIF(INDIRECT(N$3),'Struktur Aktuell'!$D379,INDIRECT(N$5)))</f>
        <v>0</v>
      </c>
      <c r="O379" s="593">
        <f ca="1">$E379*(-SUMIF(INDIRECT(O$3),'Struktur Aktuell'!$D379,INDIRECT(O$4))+SUMIF(INDIRECT(O$3),'Struktur Aktuell'!$D379,INDIRECT(O$5)))</f>
        <v>0</v>
      </c>
      <c r="P379" s="593">
        <f ca="1">$E379*(-SUMIF(INDIRECT(P$3),'Struktur Aktuell'!$D379,INDIRECT(P$4))+SUMIF(INDIRECT(P$3),'Struktur Aktuell'!$D379,INDIRECT(P$5)))</f>
        <v>0</v>
      </c>
      <c r="Q379" s="593">
        <f ca="1">$E379*(-SUMIF(INDIRECT(Q$3),'Struktur Aktuell'!$D379,INDIRECT(Q$4))+SUMIF(INDIRECT(Q$3),'Struktur Aktuell'!$D379,INDIRECT(Q$5)))</f>
        <v>0</v>
      </c>
      <c r="R379" s="593">
        <f ca="1">$E379*(-SUMIF(INDIRECT(R$3),'Struktur Aktuell'!$D379,INDIRECT(R$4))+SUMIF(INDIRECT(R$3),'Struktur Aktuell'!$D379,INDIRECT(R$5)))</f>
        <v>0</v>
      </c>
      <c r="S379" s="593">
        <f ca="1">$E379*(-SUMIF(INDIRECT(S$3),'Struktur Aktuell'!$D379,INDIRECT(S$4))+SUMIF(INDIRECT(S$3),'Struktur Aktuell'!$D379,INDIRECT(S$5)))</f>
        <v>0</v>
      </c>
      <c r="T379" s="593">
        <f ca="1">$E379*(-SUMIF(INDIRECT(T$3),'Struktur Aktuell'!$D379,INDIRECT(T$4))+SUMIF(INDIRECT(T$3),'Struktur Aktuell'!$D379,INDIRECT(T$5)))</f>
        <v>0</v>
      </c>
      <c r="U379" s="593">
        <f ca="1">$E379*(-SUMIF(INDIRECT(U$3),'Struktur Aktuell'!$D379,INDIRECT(U$4))+SUMIF(INDIRECT(U$3),'Struktur Aktuell'!$D379,INDIRECT(U$5)))</f>
        <v>0</v>
      </c>
      <c r="V379" s="593">
        <f ca="1">$E379*(-SUMIF(INDIRECT(V$3),'Struktur Aktuell'!$D379,INDIRECT(V$4))+SUMIF(INDIRECT(V$3),'Struktur Aktuell'!$D379,INDIRECT(V$5)))</f>
        <v>0</v>
      </c>
      <c r="W379" s="593">
        <f ca="1">$E379*(-SUMIF(INDIRECT(W$3),'Struktur Aktuell'!$D379,INDIRECT(W$4))+SUMIF(INDIRECT(W$3),'Struktur Aktuell'!$D379,INDIRECT(W$5)))</f>
        <v>0</v>
      </c>
      <c r="X379" s="593">
        <f ca="1">$E379*(-SUMIF(INDIRECT(X$3),'Struktur Aktuell'!$D379,INDIRECT(X$4))+SUMIF(INDIRECT(X$3),'Struktur Aktuell'!$D379,INDIRECT(X$5)))</f>
        <v>0</v>
      </c>
      <c r="Y379" s="593">
        <f ca="1">$E379*(-SUMIF(INDIRECT(Y$3),'Struktur Aktuell'!$D379,INDIRECT(Y$4))+SUMIF(INDIRECT(Y$3),'Struktur Aktuell'!$D379,INDIRECT(Y$5)))</f>
        <v>0</v>
      </c>
      <c r="Z379" s="593">
        <f ca="1">$E379*(-SUMIF(INDIRECT(Z$3),'Struktur Aktuell'!$D379,INDIRECT(Z$4))+SUMIF(INDIRECT(Z$3),'Struktur Aktuell'!$D379,INDIRECT(Z$5)))</f>
        <v>0</v>
      </c>
      <c r="AA379" s="593">
        <f ca="1">$E379*(-SUMIF(INDIRECT(AA$3),'Struktur Aktuell'!$D379,INDIRECT(AA$4))+SUMIF(INDIRECT(AA$3),'Struktur Aktuell'!$D379,INDIRECT(AA$5)))</f>
        <v>0</v>
      </c>
      <c r="AB379" s="593">
        <f ca="1">$E379*(-SUMIF(INDIRECT(AB$3),'Struktur Aktuell'!$D379,INDIRECT(AB$4))+SUMIF(INDIRECT(AB$3),'Struktur Aktuell'!$D379,INDIRECT(AB$5)))</f>
        <v>0</v>
      </c>
      <c r="AC379" s="593">
        <f ca="1">$E379*(-SUMIF(INDIRECT(AC$3),'Struktur Aktuell'!$D379,INDIRECT(AC$4))+SUMIF(INDIRECT(AC$3),'Struktur Aktuell'!$D379,INDIRECT(AC$5)))</f>
        <v>0</v>
      </c>
      <c r="AD379" s="593">
        <f ca="1">$E379*(-SUMIF(INDIRECT(AD$3),'Struktur Aktuell'!$D379,INDIRECT(AD$4))+SUMIF(INDIRECT(AD$3),'Struktur Aktuell'!$D379,INDIRECT(AD$5)))</f>
        <v>0</v>
      </c>
      <c r="AE379" s="593">
        <f t="shared" ca="1" si="576"/>
        <v>0</v>
      </c>
      <c r="AF379" s="593">
        <f t="shared" ca="1" si="577"/>
        <v>0</v>
      </c>
      <c r="AG379" s="593">
        <f t="shared" ca="1" si="578"/>
        <v>0</v>
      </c>
      <c r="AH379" s="593">
        <f t="shared" ca="1" si="579"/>
        <v>0</v>
      </c>
      <c r="AI379" s="593">
        <f t="shared" ca="1" si="580"/>
        <v>0</v>
      </c>
      <c r="AJ379" s="593">
        <f t="shared" ca="1" si="581"/>
        <v>0</v>
      </c>
      <c r="AK379" s="593">
        <f t="shared" ca="1" si="582"/>
        <v>0</v>
      </c>
      <c r="AL379" s="593">
        <f t="shared" ca="1" si="583"/>
        <v>0</v>
      </c>
      <c r="AM379" s="593">
        <f t="shared" ca="1" si="584"/>
        <v>0</v>
      </c>
      <c r="AN379" s="593">
        <f t="shared" ca="1" si="585"/>
        <v>0</v>
      </c>
      <c r="AO379" s="593">
        <f t="shared" ca="1" si="586"/>
        <v>0</v>
      </c>
      <c r="AP379" s="593">
        <f t="shared" ca="1" si="587"/>
        <v>0</v>
      </c>
    </row>
    <row r="380" spans="1:42" s="594" customFormat="1" ht="11.25" x14ac:dyDescent="0.2">
      <c r="A380" s="607"/>
      <c r="B380" s="591" t="str">
        <f>IF(D380&lt;&gt;"",
IF(ISERROR(MATCH(D380,'Ist Aktuell Monat 01'!A:A,0))=FALSE,INDEX('Ist Aktuell Monat 01'!B:B,MATCH(D380,'Ist Aktuell Monat 01'!A:A,0)),
IF(ISERROR(MATCH(D380,'Ist Aktuell Monat 02'!A:A,0))=FALSE,INDEX('Ist Aktuell Monat 02'!B:B,MATCH(D380,'Ist Aktuell Monat 02'!A:A,0)),
IF(ISERROR(MATCH(D380,'Ist Aktuell Monat 03'!A:A,0))=FALSE,INDEX('Ist Aktuell Monat 03'!B:B,MATCH(D380,'Ist Aktuell Monat 03'!A:A,0)),
IF(ISERROR(MATCH(D380,'Ist Aktuell Monat 04'!A:A,0))=FALSE,INDEX('Ist Aktuell Monat 04'!B:B,MATCH(D380,'Ist Aktuell Monat 04'!A:A,0)),
IF(ISERROR(MATCH(D380,'Ist Aktuell Monat 05'!A:A,0))=FALSE,INDEX('Ist Aktuell Monat 05'!B:B,MATCH(D380,'Ist Aktuell Monat 05'!A:A,0)),
IF(ISERROR(MATCH(D380,'Ist Aktuell Monat 06'!A:A,0))=FALSE,INDEX('Ist Aktuell Monat 06'!B:B,MATCH(D380,'Ist Aktuell Monat 06'!A:A,0)),
IF(ISERROR(MATCH(D380,'Ist Aktuell Monat 07'!A:A,0))=FALSE,INDEX('Ist Aktuell Monat 07'!B:B,MATCH(D380,'Ist Aktuell Monat 07'!A:A,0)),
IF(ISERROR(MATCH(D380,'Ist Aktuell Monat 08'!A:A,0))=FALSE,INDEX('Ist Aktuell Monat 08'!B:B,MATCH(D380,'Ist Aktuell Monat 08'!A:A,0)),
IF(ISERROR(MATCH(D380,'Ist Aktuell Monat 09'!A:A,0))=FALSE,INDEX('Ist Aktuell Monat 09'!B:B,MATCH(D380,'Ist Aktuell Monat 09'!A:A,0)),
IF(ISERROR(MATCH(D380,'Ist Aktuell Monat 10'!A:A,0))=FALSE,INDEX('Ist Aktuell Monat 10'!B:B,MATCH(D380,'Ist Aktuell Monat 10'!A:A,0)),
IF(ISERROR(MATCH(D380,'Ist Aktuell Monat 11'!A:A,0))=FALSE,INDEX('Ist Aktuell Monat 11'!B:B,MATCH(D380,'Ist Aktuell Monat 11'!A:A,0)),
IF(ISERROR(MATCH(D380,'Ist Aktuell Monat 12'!A:A,0))=FALSE,INDEX('Ist Aktuell Monat 12'!B:B,MATCH(D380,'Ist Aktuell Monat 12'!A:A,0)),
"{Konto unbekannt}"
)))))))))))),"")</f>
        <v/>
      </c>
      <c r="C380" s="591"/>
      <c r="D380" s="590"/>
      <c r="E380" s="592">
        <f t="shared" si="381"/>
        <v>1</v>
      </c>
      <c r="F380" s="590"/>
      <c r="G380" s="593">
        <f ca="1">$E380*(-SUMIF(INDIRECT(G$3),'Struktur Aktuell'!$D380,INDIRECT(G$4))+SUMIF(INDIRECT(G$3),'Struktur Aktuell'!$D380,INDIRECT(G$5)))</f>
        <v>0</v>
      </c>
      <c r="H380" s="593">
        <f ca="1">$E380*(-SUMIF(INDIRECT(H$3),'Struktur Aktuell'!$D380,INDIRECT(H$4))+SUMIF(INDIRECT(H$3),'Struktur Aktuell'!$D380,INDIRECT(H$5)))</f>
        <v>0</v>
      </c>
      <c r="I380" s="593">
        <f ca="1">$E380*(-SUMIF(INDIRECT(I$3),'Struktur Aktuell'!$D380,INDIRECT(I$4))+SUMIF(INDIRECT(I$3),'Struktur Aktuell'!$D380,INDIRECT(I$5)))</f>
        <v>0</v>
      </c>
      <c r="J380" s="593">
        <f ca="1">$E380*(-SUMIF(INDIRECT(J$3),'Struktur Aktuell'!$D380,INDIRECT(J$4))+SUMIF(INDIRECT(J$3),'Struktur Aktuell'!$D380,INDIRECT(J$5)))</f>
        <v>0</v>
      </c>
      <c r="K380" s="593">
        <f ca="1">$E380*(-SUMIF(INDIRECT(K$3),'Struktur Aktuell'!$D380,INDIRECT(K$4))+SUMIF(INDIRECT(K$3),'Struktur Aktuell'!$D380,INDIRECT(K$5)))</f>
        <v>0</v>
      </c>
      <c r="L380" s="593">
        <f ca="1">$E380*(-SUMIF(INDIRECT(L$3),'Struktur Aktuell'!$D380,INDIRECT(L$4))+SUMIF(INDIRECT(L$3),'Struktur Aktuell'!$D380,INDIRECT(L$5)))</f>
        <v>0</v>
      </c>
      <c r="M380" s="593">
        <f ca="1">$E380*(-SUMIF(INDIRECT(M$3),'Struktur Aktuell'!$D380,INDIRECT(M$4))+SUMIF(INDIRECT(M$3),'Struktur Aktuell'!$D380,INDIRECT(M$5)))</f>
        <v>0</v>
      </c>
      <c r="N380" s="593">
        <f ca="1">$E380*(-SUMIF(INDIRECT(N$3),'Struktur Aktuell'!$D380,INDIRECT(N$4))+SUMIF(INDIRECT(N$3),'Struktur Aktuell'!$D380,INDIRECT(N$5)))</f>
        <v>0</v>
      </c>
      <c r="O380" s="593">
        <f ca="1">$E380*(-SUMIF(INDIRECT(O$3),'Struktur Aktuell'!$D380,INDIRECT(O$4))+SUMIF(INDIRECT(O$3),'Struktur Aktuell'!$D380,INDIRECT(O$5)))</f>
        <v>0</v>
      </c>
      <c r="P380" s="593">
        <f ca="1">$E380*(-SUMIF(INDIRECT(P$3),'Struktur Aktuell'!$D380,INDIRECT(P$4))+SUMIF(INDIRECT(P$3),'Struktur Aktuell'!$D380,INDIRECT(P$5)))</f>
        <v>0</v>
      </c>
      <c r="Q380" s="593">
        <f ca="1">$E380*(-SUMIF(INDIRECT(Q$3),'Struktur Aktuell'!$D380,INDIRECT(Q$4))+SUMIF(INDIRECT(Q$3),'Struktur Aktuell'!$D380,INDIRECT(Q$5)))</f>
        <v>0</v>
      </c>
      <c r="R380" s="593">
        <f ca="1">$E380*(-SUMIF(INDIRECT(R$3),'Struktur Aktuell'!$D380,INDIRECT(R$4))+SUMIF(INDIRECT(R$3),'Struktur Aktuell'!$D380,INDIRECT(R$5)))</f>
        <v>0</v>
      </c>
      <c r="S380" s="593">
        <f ca="1">$E380*(-SUMIF(INDIRECT(S$3),'Struktur Aktuell'!$D380,INDIRECT(S$4))+SUMIF(INDIRECT(S$3),'Struktur Aktuell'!$D380,INDIRECT(S$5)))</f>
        <v>0</v>
      </c>
      <c r="T380" s="593">
        <f ca="1">$E380*(-SUMIF(INDIRECT(T$3),'Struktur Aktuell'!$D380,INDIRECT(T$4))+SUMIF(INDIRECT(T$3),'Struktur Aktuell'!$D380,INDIRECT(T$5)))</f>
        <v>0</v>
      </c>
      <c r="U380" s="593">
        <f ca="1">$E380*(-SUMIF(INDIRECT(U$3),'Struktur Aktuell'!$D380,INDIRECT(U$4))+SUMIF(INDIRECT(U$3),'Struktur Aktuell'!$D380,INDIRECT(U$5)))</f>
        <v>0</v>
      </c>
      <c r="V380" s="593">
        <f ca="1">$E380*(-SUMIF(INDIRECT(V$3),'Struktur Aktuell'!$D380,INDIRECT(V$4))+SUMIF(INDIRECT(V$3),'Struktur Aktuell'!$D380,INDIRECT(V$5)))</f>
        <v>0</v>
      </c>
      <c r="W380" s="593">
        <f ca="1">$E380*(-SUMIF(INDIRECT(W$3),'Struktur Aktuell'!$D380,INDIRECT(W$4))+SUMIF(INDIRECT(W$3),'Struktur Aktuell'!$D380,INDIRECT(W$5)))</f>
        <v>0</v>
      </c>
      <c r="X380" s="593">
        <f ca="1">$E380*(-SUMIF(INDIRECT(X$3),'Struktur Aktuell'!$D380,INDIRECT(X$4))+SUMIF(INDIRECT(X$3),'Struktur Aktuell'!$D380,INDIRECT(X$5)))</f>
        <v>0</v>
      </c>
      <c r="Y380" s="593">
        <f ca="1">$E380*(-SUMIF(INDIRECT(Y$3),'Struktur Aktuell'!$D380,INDIRECT(Y$4))+SUMIF(INDIRECT(Y$3),'Struktur Aktuell'!$D380,INDIRECT(Y$5)))</f>
        <v>0</v>
      </c>
      <c r="Z380" s="593">
        <f ca="1">$E380*(-SUMIF(INDIRECT(Z$3),'Struktur Aktuell'!$D380,INDIRECT(Z$4))+SUMIF(INDIRECT(Z$3),'Struktur Aktuell'!$D380,INDIRECT(Z$5)))</f>
        <v>0</v>
      </c>
      <c r="AA380" s="593">
        <f ca="1">$E380*(-SUMIF(INDIRECT(AA$3),'Struktur Aktuell'!$D380,INDIRECT(AA$4))+SUMIF(INDIRECT(AA$3),'Struktur Aktuell'!$D380,INDIRECT(AA$5)))</f>
        <v>0</v>
      </c>
      <c r="AB380" s="593">
        <f ca="1">$E380*(-SUMIF(INDIRECT(AB$3),'Struktur Aktuell'!$D380,INDIRECT(AB$4))+SUMIF(INDIRECT(AB$3),'Struktur Aktuell'!$D380,INDIRECT(AB$5)))</f>
        <v>0</v>
      </c>
      <c r="AC380" s="593">
        <f ca="1">$E380*(-SUMIF(INDIRECT(AC$3),'Struktur Aktuell'!$D380,INDIRECT(AC$4))+SUMIF(INDIRECT(AC$3),'Struktur Aktuell'!$D380,INDIRECT(AC$5)))</f>
        <v>0</v>
      </c>
      <c r="AD380" s="593">
        <f ca="1">$E380*(-SUMIF(INDIRECT(AD$3),'Struktur Aktuell'!$D380,INDIRECT(AD$4))+SUMIF(INDIRECT(AD$3),'Struktur Aktuell'!$D380,INDIRECT(AD$5)))</f>
        <v>0</v>
      </c>
      <c r="AE380" s="593">
        <f t="shared" ca="1" si="576"/>
        <v>0</v>
      </c>
      <c r="AF380" s="593">
        <f t="shared" ca="1" si="577"/>
        <v>0</v>
      </c>
      <c r="AG380" s="593">
        <f t="shared" ca="1" si="578"/>
        <v>0</v>
      </c>
      <c r="AH380" s="593">
        <f t="shared" ca="1" si="579"/>
        <v>0</v>
      </c>
      <c r="AI380" s="593">
        <f t="shared" ca="1" si="580"/>
        <v>0</v>
      </c>
      <c r="AJ380" s="593">
        <f t="shared" ca="1" si="581"/>
        <v>0</v>
      </c>
      <c r="AK380" s="593">
        <f t="shared" ca="1" si="582"/>
        <v>0</v>
      </c>
      <c r="AL380" s="593">
        <f t="shared" ca="1" si="583"/>
        <v>0</v>
      </c>
      <c r="AM380" s="593">
        <f t="shared" ca="1" si="584"/>
        <v>0</v>
      </c>
      <c r="AN380" s="593">
        <f t="shared" ca="1" si="585"/>
        <v>0</v>
      </c>
      <c r="AO380" s="593">
        <f t="shared" ca="1" si="586"/>
        <v>0</v>
      </c>
      <c r="AP380" s="593">
        <f t="shared" ca="1" si="587"/>
        <v>0</v>
      </c>
    </row>
    <row r="381" spans="1:42" s="594" customFormat="1" ht="11.25" x14ac:dyDescent="0.2">
      <c r="A381" s="607"/>
      <c r="B381" s="591" t="str">
        <f>IF(D381&lt;&gt;"",
IF(ISERROR(MATCH(D381,'Ist Aktuell Monat 01'!A:A,0))=FALSE,INDEX('Ist Aktuell Monat 01'!B:B,MATCH(D381,'Ist Aktuell Monat 01'!A:A,0)),
IF(ISERROR(MATCH(D381,'Ist Aktuell Monat 02'!A:A,0))=FALSE,INDEX('Ist Aktuell Monat 02'!B:B,MATCH(D381,'Ist Aktuell Monat 02'!A:A,0)),
IF(ISERROR(MATCH(D381,'Ist Aktuell Monat 03'!A:A,0))=FALSE,INDEX('Ist Aktuell Monat 03'!B:B,MATCH(D381,'Ist Aktuell Monat 03'!A:A,0)),
IF(ISERROR(MATCH(D381,'Ist Aktuell Monat 04'!A:A,0))=FALSE,INDEX('Ist Aktuell Monat 04'!B:B,MATCH(D381,'Ist Aktuell Monat 04'!A:A,0)),
IF(ISERROR(MATCH(D381,'Ist Aktuell Monat 05'!A:A,0))=FALSE,INDEX('Ist Aktuell Monat 05'!B:B,MATCH(D381,'Ist Aktuell Monat 05'!A:A,0)),
IF(ISERROR(MATCH(D381,'Ist Aktuell Monat 06'!A:A,0))=FALSE,INDEX('Ist Aktuell Monat 06'!B:B,MATCH(D381,'Ist Aktuell Monat 06'!A:A,0)),
IF(ISERROR(MATCH(D381,'Ist Aktuell Monat 07'!A:A,0))=FALSE,INDEX('Ist Aktuell Monat 07'!B:B,MATCH(D381,'Ist Aktuell Monat 07'!A:A,0)),
IF(ISERROR(MATCH(D381,'Ist Aktuell Monat 08'!A:A,0))=FALSE,INDEX('Ist Aktuell Monat 08'!B:B,MATCH(D381,'Ist Aktuell Monat 08'!A:A,0)),
IF(ISERROR(MATCH(D381,'Ist Aktuell Monat 09'!A:A,0))=FALSE,INDEX('Ist Aktuell Monat 09'!B:B,MATCH(D381,'Ist Aktuell Monat 09'!A:A,0)),
IF(ISERROR(MATCH(D381,'Ist Aktuell Monat 10'!A:A,0))=FALSE,INDEX('Ist Aktuell Monat 10'!B:B,MATCH(D381,'Ist Aktuell Monat 10'!A:A,0)),
IF(ISERROR(MATCH(D381,'Ist Aktuell Monat 11'!A:A,0))=FALSE,INDEX('Ist Aktuell Monat 11'!B:B,MATCH(D381,'Ist Aktuell Monat 11'!A:A,0)),
IF(ISERROR(MATCH(D381,'Ist Aktuell Monat 12'!A:A,0))=FALSE,INDEX('Ist Aktuell Monat 12'!B:B,MATCH(D381,'Ist Aktuell Monat 12'!A:A,0)),
"{Konto unbekannt}"
)))))))))))),"")</f>
        <v/>
      </c>
      <c r="C381" s="591"/>
      <c r="D381" s="590"/>
      <c r="E381" s="592">
        <f t="shared" si="381"/>
        <v>1</v>
      </c>
      <c r="F381" s="590"/>
      <c r="G381" s="593">
        <f ca="1">$E381*(-SUMIF(INDIRECT(G$3),'Struktur Aktuell'!$D381,INDIRECT(G$4))+SUMIF(INDIRECT(G$3),'Struktur Aktuell'!$D381,INDIRECT(G$5)))</f>
        <v>0</v>
      </c>
      <c r="H381" s="593">
        <f ca="1">$E381*(-SUMIF(INDIRECT(H$3),'Struktur Aktuell'!$D381,INDIRECT(H$4))+SUMIF(INDIRECT(H$3),'Struktur Aktuell'!$D381,INDIRECT(H$5)))</f>
        <v>0</v>
      </c>
      <c r="I381" s="593">
        <f ca="1">$E381*(-SUMIF(INDIRECT(I$3),'Struktur Aktuell'!$D381,INDIRECT(I$4))+SUMIF(INDIRECT(I$3),'Struktur Aktuell'!$D381,INDIRECT(I$5)))</f>
        <v>0</v>
      </c>
      <c r="J381" s="593">
        <f ca="1">$E381*(-SUMIF(INDIRECT(J$3),'Struktur Aktuell'!$D381,INDIRECT(J$4))+SUMIF(INDIRECT(J$3),'Struktur Aktuell'!$D381,INDIRECT(J$5)))</f>
        <v>0</v>
      </c>
      <c r="K381" s="593">
        <f ca="1">$E381*(-SUMIF(INDIRECT(K$3),'Struktur Aktuell'!$D381,INDIRECT(K$4))+SUMIF(INDIRECT(K$3),'Struktur Aktuell'!$D381,INDIRECT(K$5)))</f>
        <v>0</v>
      </c>
      <c r="L381" s="593">
        <f ca="1">$E381*(-SUMIF(INDIRECT(L$3),'Struktur Aktuell'!$D381,INDIRECT(L$4))+SUMIF(INDIRECT(L$3),'Struktur Aktuell'!$D381,INDIRECT(L$5)))</f>
        <v>0</v>
      </c>
      <c r="M381" s="593">
        <f ca="1">$E381*(-SUMIF(INDIRECT(M$3),'Struktur Aktuell'!$D381,INDIRECT(M$4))+SUMIF(INDIRECT(M$3),'Struktur Aktuell'!$D381,INDIRECT(M$5)))</f>
        <v>0</v>
      </c>
      <c r="N381" s="593">
        <f ca="1">$E381*(-SUMIF(INDIRECT(N$3),'Struktur Aktuell'!$D381,INDIRECT(N$4))+SUMIF(INDIRECT(N$3),'Struktur Aktuell'!$D381,INDIRECT(N$5)))</f>
        <v>0</v>
      </c>
      <c r="O381" s="593">
        <f ca="1">$E381*(-SUMIF(INDIRECT(O$3),'Struktur Aktuell'!$D381,INDIRECT(O$4))+SUMIF(INDIRECT(O$3),'Struktur Aktuell'!$D381,INDIRECT(O$5)))</f>
        <v>0</v>
      </c>
      <c r="P381" s="593">
        <f ca="1">$E381*(-SUMIF(INDIRECT(P$3),'Struktur Aktuell'!$D381,INDIRECT(P$4))+SUMIF(INDIRECT(P$3),'Struktur Aktuell'!$D381,INDIRECT(P$5)))</f>
        <v>0</v>
      </c>
      <c r="Q381" s="593">
        <f ca="1">$E381*(-SUMIF(INDIRECT(Q$3),'Struktur Aktuell'!$D381,INDIRECT(Q$4))+SUMIF(INDIRECT(Q$3),'Struktur Aktuell'!$D381,INDIRECT(Q$5)))</f>
        <v>0</v>
      </c>
      <c r="R381" s="593">
        <f ca="1">$E381*(-SUMIF(INDIRECT(R$3),'Struktur Aktuell'!$D381,INDIRECT(R$4))+SUMIF(INDIRECT(R$3),'Struktur Aktuell'!$D381,INDIRECT(R$5)))</f>
        <v>0</v>
      </c>
      <c r="S381" s="593">
        <f ca="1">$E381*(-SUMIF(INDIRECT(S$3),'Struktur Aktuell'!$D381,INDIRECT(S$4))+SUMIF(INDIRECT(S$3),'Struktur Aktuell'!$D381,INDIRECT(S$5)))</f>
        <v>0</v>
      </c>
      <c r="T381" s="593">
        <f ca="1">$E381*(-SUMIF(INDIRECT(T$3),'Struktur Aktuell'!$D381,INDIRECT(T$4))+SUMIF(INDIRECT(T$3),'Struktur Aktuell'!$D381,INDIRECT(T$5)))</f>
        <v>0</v>
      </c>
      <c r="U381" s="593">
        <f ca="1">$E381*(-SUMIF(INDIRECT(U$3),'Struktur Aktuell'!$D381,INDIRECT(U$4))+SUMIF(INDIRECT(U$3),'Struktur Aktuell'!$D381,INDIRECT(U$5)))</f>
        <v>0</v>
      </c>
      <c r="V381" s="593">
        <f ca="1">$E381*(-SUMIF(INDIRECT(V$3),'Struktur Aktuell'!$D381,INDIRECT(V$4))+SUMIF(INDIRECT(V$3),'Struktur Aktuell'!$D381,INDIRECT(V$5)))</f>
        <v>0</v>
      </c>
      <c r="W381" s="593">
        <f ca="1">$E381*(-SUMIF(INDIRECT(W$3),'Struktur Aktuell'!$D381,INDIRECT(W$4))+SUMIF(INDIRECT(W$3),'Struktur Aktuell'!$D381,INDIRECT(W$5)))</f>
        <v>0</v>
      </c>
      <c r="X381" s="593">
        <f ca="1">$E381*(-SUMIF(INDIRECT(X$3),'Struktur Aktuell'!$D381,INDIRECT(X$4))+SUMIF(INDIRECT(X$3),'Struktur Aktuell'!$D381,INDIRECT(X$5)))</f>
        <v>0</v>
      </c>
      <c r="Y381" s="593">
        <f ca="1">$E381*(-SUMIF(INDIRECT(Y$3),'Struktur Aktuell'!$D381,INDIRECT(Y$4))+SUMIF(INDIRECT(Y$3),'Struktur Aktuell'!$D381,INDIRECT(Y$5)))</f>
        <v>0</v>
      </c>
      <c r="Z381" s="593">
        <f ca="1">$E381*(-SUMIF(INDIRECT(Z$3),'Struktur Aktuell'!$D381,INDIRECT(Z$4))+SUMIF(INDIRECT(Z$3),'Struktur Aktuell'!$D381,INDIRECT(Z$5)))</f>
        <v>0</v>
      </c>
      <c r="AA381" s="593">
        <f ca="1">$E381*(-SUMIF(INDIRECT(AA$3),'Struktur Aktuell'!$D381,INDIRECT(AA$4))+SUMIF(INDIRECT(AA$3),'Struktur Aktuell'!$D381,INDIRECT(AA$5)))</f>
        <v>0</v>
      </c>
      <c r="AB381" s="593">
        <f ca="1">$E381*(-SUMIF(INDIRECT(AB$3),'Struktur Aktuell'!$D381,INDIRECT(AB$4))+SUMIF(INDIRECT(AB$3),'Struktur Aktuell'!$D381,INDIRECT(AB$5)))</f>
        <v>0</v>
      </c>
      <c r="AC381" s="593">
        <f ca="1">$E381*(-SUMIF(INDIRECT(AC$3),'Struktur Aktuell'!$D381,INDIRECT(AC$4))+SUMIF(INDIRECT(AC$3),'Struktur Aktuell'!$D381,INDIRECT(AC$5)))</f>
        <v>0</v>
      </c>
      <c r="AD381" s="593">
        <f ca="1">$E381*(-SUMIF(INDIRECT(AD$3),'Struktur Aktuell'!$D381,INDIRECT(AD$4))+SUMIF(INDIRECT(AD$3),'Struktur Aktuell'!$D381,INDIRECT(AD$5)))</f>
        <v>0</v>
      </c>
      <c r="AE381" s="593">
        <f t="shared" ca="1" si="576"/>
        <v>0</v>
      </c>
      <c r="AF381" s="593">
        <f t="shared" ca="1" si="577"/>
        <v>0</v>
      </c>
      <c r="AG381" s="593">
        <f t="shared" ca="1" si="578"/>
        <v>0</v>
      </c>
      <c r="AH381" s="593">
        <f t="shared" ca="1" si="579"/>
        <v>0</v>
      </c>
      <c r="AI381" s="593">
        <f t="shared" ca="1" si="580"/>
        <v>0</v>
      </c>
      <c r="AJ381" s="593">
        <f t="shared" ca="1" si="581"/>
        <v>0</v>
      </c>
      <c r="AK381" s="593">
        <f t="shared" ca="1" si="582"/>
        <v>0</v>
      </c>
      <c r="AL381" s="593">
        <f t="shared" ca="1" si="583"/>
        <v>0</v>
      </c>
      <c r="AM381" s="593">
        <f t="shared" ca="1" si="584"/>
        <v>0</v>
      </c>
      <c r="AN381" s="593">
        <f t="shared" ca="1" si="585"/>
        <v>0</v>
      </c>
      <c r="AO381" s="593">
        <f t="shared" ca="1" si="586"/>
        <v>0</v>
      </c>
      <c r="AP381" s="593">
        <f t="shared" ca="1" si="587"/>
        <v>0</v>
      </c>
    </row>
    <row r="382" spans="1:42" s="589" customFormat="1" x14ac:dyDescent="0.2">
      <c r="A382" s="585">
        <v>37</v>
      </c>
      <c r="B382" s="586" t="s">
        <v>182</v>
      </c>
      <c r="C382" s="587">
        <f ca="1">SUM(G382:R382)</f>
        <v>0</v>
      </c>
      <c r="D382" s="587"/>
      <c r="E382" s="588">
        <f t="shared" si="381"/>
        <v>1</v>
      </c>
      <c r="F382" s="585"/>
      <c r="G382" s="587">
        <f t="shared" ref="G382:R382" ca="1" si="588">SUM(G383:G386)</f>
        <v>0</v>
      </c>
      <c r="H382" s="587">
        <f t="shared" ca="1" si="588"/>
        <v>0</v>
      </c>
      <c r="I382" s="587">
        <f t="shared" ca="1" si="588"/>
        <v>0</v>
      </c>
      <c r="J382" s="587">
        <f t="shared" ca="1" si="588"/>
        <v>0</v>
      </c>
      <c r="K382" s="587">
        <f t="shared" ca="1" si="588"/>
        <v>0</v>
      </c>
      <c r="L382" s="587">
        <f t="shared" ca="1" si="588"/>
        <v>0</v>
      </c>
      <c r="M382" s="587">
        <f t="shared" ca="1" si="588"/>
        <v>0</v>
      </c>
      <c r="N382" s="587">
        <f t="shared" ca="1" si="588"/>
        <v>0</v>
      </c>
      <c r="O382" s="587">
        <f t="shared" ca="1" si="588"/>
        <v>0</v>
      </c>
      <c r="P382" s="587">
        <f t="shared" ca="1" si="588"/>
        <v>0</v>
      </c>
      <c r="Q382" s="587">
        <f t="shared" ca="1" si="588"/>
        <v>0</v>
      </c>
      <c r="R382" s="587">
        <f t="shared" ca="1" si="588"/>
        <v>0</v>
      </c>
      <c r="S382" s="587">
        <f t="shared" ref="S382:AP382" ca="1" si="589">SUM(S383:S386)</f>
        <v>0</v>
      </c>
      <c r="T382" s="587">
        <f t="shared" ca="1" si="589"/>
        <v>0</v>
      </c>
      <c r="U382" s="587">
        <f t="shared" ca="1" si="589"/>
        <v>0</v>
      </c>
      <c r="V382" s="587">
        <f t="shared" ca="1" si="589"/>
        <v>0</v>
      </c>
      <c r="W382" s="587">
        <f t="shared" ca="1" si="589"/>
        <v>0</v>
      </c>
      <c r="X382" s="587">
        <f t="shared" ca="1" si="589"/>
        <v>0</v>
      </c>
      <c r="Y382" s="587">
        <f t="shared" ca="1" si="589"/>
        <v>0</v>
      </c>
      <c r="Z382" s="587">
        <f t="shared" ca="1" si="589"/>
        <v>0</v>
      </c>
      <c r="AA382" s="587">
        <f t="shared" ca="1" si="589"/>
        <v>0</v>
      </c>
      <c r="AB382" s="587">
        <f t="shared" ca="1" si="589"/>
        <v>0</v>
      </c>
      <c r="AC382" s="587">
        <f t="shared" ca="1" si="589"/>
        <v>0</v>
      </c>
      <c r="AD382" s="587">
        <f t="shared" ca="1" si="589"/>
        <v>0</v>
      </c>
      <c r="AE382" s="587">
        <f t="shared" ca="1" si="589"/>
        <v>0</v>
      </c>
      <c r="AF382" s="587">
        <f t="shared" ca="1" si="589"/>
        <v>0</v>
      </c>
      <c r="AG382" s="587">
        <f t="shared" ca="1" si="589"/>
        <v>0</v>
      </c>
      <c r="AH382" s="587">
        <f t="shared" ca="1" si="589"/>
        <v>0</v>
      </c>
      <c r="AI382" s="587">
        <f t="shared" ca="1" si="589"/>
        <v>0</v>
      </c>
      <c r="AJ382" s="587">
        <f t="shared" ca="1" si="589"/>
        <v>0</v>
      </c>
      <c r="AK382" s="587">
        <f t="shared" ca="1" si="589"/>
        <v>0</v>
      </c>
      <c r="AL382" s="587">
        <f t="shared" ca="1" si="589"/>
        <v>0</v>
      </c>
      <c r="AM382" s="587">
        <f t="shared" ca="1" si="589"/>
        <v>0</v>
      </c>
      <c r="AN382" s="587">
        <f t="shared" ca="1" si="589"/>
        <v>0</v>
      </c>
      <c r="AO382" s="587">
        <f t="shared" ca="1" si="589"/>
        <v>0</v>
      </c>
      <c r="AP382" s="587">
        <f t="shared" ca="1" si="589"/>
        <v>0</v>
      </c>
    </row>
    <row r="383" spans="1:42" s="594" customFormat="1" ht="11.25" x14ac:dyDescent="0.2">
      <c r="A383" s="607"/>
      <c r="B383" s="591" t="str">
        <f>IF(D383&lt;&gt;"",
IF(ISERROR(MATCH(D383,'Ist Aktuell Monat 01'!A:A,0))=FALSE,INDEX('Ist Aktuell Monat 01'!B:B,MATCH(D383,'Ist Aktuell Monat 01'!A:A,0)),
IF(ISERROR(MATCH(D383,'Ist Aktuell Monat 02'!A:A,0))=FALSE,INDEX('Ist Aktuell Monat 02'!B:B,MATCH(D383,'Ist Aktuell Monat 02'!A:A,0)),
IF(ISERROR(MATCH(D383,'Ist Aktuell Monat 03'!A:A,0))=FALSE,INDEX('Ist Aktuell Monat 03'!B:B,MATCH(D383,'Ist Aktuell Monat 03'!A:A,0)),
IF(ISERROR(MATCH(D383,'Ist Aktuell Monat 04'!A:A,0))=FALSE,INDEX('Ist Aktuell Monat 04'!B:B,MATCH(D383,'Ist Aktuell Monat 04'!A:A,0)),
IF(ISERROR(MATCH(D383,'Ist Aktuell Monat 05'!A:A,0))=FALSE,INDEX('Ist Aktuell Monat 05'!B:B,MATCH(D383,'Ist Aktuell Monat 05'!A:A,0)),
IF(ISERROR(MATCH(D383,'Ist Aktuell Monat 06'!A:A,0))=FALSE,INDEX('Ist Aktuell Monat 06'!B:B,MATCH(D383,'Ist Aktuell Monat 06'!A:A,0)),
IF(ISERROR(MATCH(D383,'Ist Aktuell Monat 07'!A:A,0))=FALSE,INDEX('Ist Aktuell Monat 07'!B:B,MATCH(D383,'Ist Aktuell Monat 07'!A:A,0)),
IF(ISERROR(MATCH(D383,'Ist Aktuell Monat 08'!A:A,0))=FALSE,INDEX('Ist Aktuell Monat 08'!B:B,MATCH(D383,'Ist Aktuell Monat 08'!A:A,0)),
IF(ISERROR(MATCH(D383,'Ist Aktuell Monat 09'!A:A,0))=FALSE,INDEX('Ist Aktuell Monat 09'!B:B,MATCH(D383,'Ist Aktuell Monat 09'!A:A,0)),
IF(ISERROR(MATCH(D383,'Ist Aktuell Monat 10'!A:A,0))=FALSE,INDEX('Ist Aktuell Monat 10'!B:B,MATCH(D383,'Ist Aktuell Monat 10'!A:A,0)),
IF(ISERROR(MATCH(D383,'Ist Aktuell Monat 11'!A:A,0))=FALSE,INDEX('Ist Aktuell Monat 11'!B:B,MATCH(D383,'Ist Aktuell Monat 11'!A:A,0)),
IF(ISERROR(MATCH(D383,'Ist Aktuell Monat 12'!A:A,0))=FALSE,INDEX('Ist Aktuell Monat 12'!B:B,MATCH(D383,'Ist Aktuell Monat 12'!A:A,0)),
"{Konto unbekannt}"
)))))))))))),"")</f>
        <v/>
      </c>
      <c r="C383" s="591"/>
      <c r="D383" s="590"/>
      <c r="E383" s="592">
        <f t="shared" si="381"/>
        <v>1</v>
      </c>
      <c r="F383" s="590"/>
      <c r="G383" s="593">
        <f ca="1">$E383*(-SUMIF(INDIRECT(G$3),'Struktur Aktuell'!$D383,INDIRECT(G$4))+SUMIF(INDIRECT(G$3),'Struktur Aktuell'!$D383,INDIRECT(G$5)))</f>
        <v>0</v>
      </c>
      <c r="H383" s="593">
        <f ca="1">$E383*(-SUMIF(INDIRECT(H$3),'Struktur Aktuell'!$D383,INDIRECT(H$4))+SUMIF(INDIRECT(H$3),'Struktur Aktuell'!$D383,INDIRECT(H$5)))</f>
        <v>0</v>
      </c>
      <c r="I383" s="593">
        <f ca="1">$E383*(-SUMIF(INDIRECT(I$3),'Struktur Aktuell'!$D383,INDIRECT(I$4))+SUMIF(INDIRECT(I$3),'Struktur Aktuell'!$D383,INDIRECT(I$5)))</f>
        <v>0</v>
      </c>
      <c r="J383" s="593">
        <f ca="1">$E383*(-SUMIF(INDIRECT(J$3),'Struktur Aktuell'!$D383,INDIRECT(J$4))+SUMIF(INDIRECT(J$3),'Struktur Aktuell'!$D383,INDIRECT(J$5)))</f>
        <v>0</v>
      </c>
      <c r="K383" s="593">
        <f ca="1">$E383*(-SUMIF(INDIRECT(K$3),'Struktur Aktuell'!$D383,INDIRECT(K$4))+SUMIF(INDIRECT(K$3),'Struktur Aktuell'!$D383,INDIRECT(K$5)))</f>
        <v>0</v>
      </c>
      <c r="L383" s="593">
        <f ca="1">$E383*(-SUMIF(INDIRECT(L$3),'Struktur Aktuell'!$D383,INDIRECT(L$4))+SUMIF(INDIRECT(L$3),'Struktur Aktuell'!$D383,INDIRECT(L$5)))</f>
        <v>0</v>
      </c>
      <c r="M383" s="593">
        <f ca="1">$E383*(-SUMIF(INDIRECT(M$3),'Struktur Aktuell'!$D383,INDIRECT(M$4))+SUMIF(INDIRECT(M$3),'Struktur Aktuell'!$D383,INDIRECT(M$5)))</f>
        <v>0</v>
      </c>
      <c r="N383" s="593">
        <f ca="1">$E383*(-SUMIF(INDIRECT(N$3),'Struktur Aktuell'!$D383,INDIRECT(N$4))+SUMIF(INDIRECT(N$3),'Struktur Aktuell'!$D383,INDIRECT(N$5)))</f>
        <v>0</v>
      </c>
      <c r="O383" s="593">
        <f ca="1">$E383*(-SUMIF(INDIRECT(O$3),'Struktur Aktuell'!$D383,INDIRECT(O$4))+SUMIF(INDIRECT(O$3),'Struktur Aktuell'!$D383,INDIRECT(O$5)))</f>
        <v>0</v>
      </c>
      <c r="P383" s="593">
        <f ca="1">$E383*(-SUMIF(INDIRECT(P$3),'Struktur Aktuell'!$D383,INDIRECT(P$4))+SUMIF(INDIRECT(P$3),'Struktur Aktuell'!$D383,INDIRECT(P$5)))</f>
        <v>0</v>
      </c>
      <c r="Q383" s="593">
        <f ca="1">$E383*(-SUMIF(INDIRECT(Q$3),'Struktur Aktuell'!$D383,INDIRECT(Q$4))+SUMIF(INDIRECT(Q$3),'Struktur Aktuell'!$D383,INDIRECT(Q$5)))</f>
        <v>0</v>
      </c>
      <c r="R383" s="593">
        <f ca="1">$E383*(-SUMIF(INDIRECT(R$3),'Struktur Aktuell'!$D383,INDIRECT(R$4))+SUMIF(INDIRECT(R$3),'Struktur Aktuell'!$D383,INDIRECT(R$5)))</f>
        <v>0</v>
      </c>
      <c r="S383" s="593">
        <f ca="1">$E383*(-SUMIF(INDIRECT(S$3),'Struktur Aktuell'!$D383,INDIRECT(S$4))+SUMIF(INDIRECT(S$3),'Struktur Aktuell'!$D383,INDIRECT(S$5)))</f>
        <v>0</v>
      </c>
      <c r="T383" s="593">
        <f ca="1">$E383*(-SUMIF(INDIRECT(T$3),'Struktur Aktuell'!$D383,INDIRECT(T$4))+SUMIF(INDIRECT(T$3),'Struktur Aktuell'!$D383,INDIRECT(T$5)))</f>
        <v>0</v>
      </c>
      <c r="U383" s="593">
        <f ca="1">$E383*(-SUMIF(INDIRECT(U$3),'Struktur Aktuell'!$D383,INDIRECT(U$4))+SUMIF(INDIRECT(U$3),'Struktur Aktuell'!$D383,INDIRECT(U$5)))</f>
        <v>0</v>
      </c>
      <c r="V383" s="593">
        <f ca="1">$E383*(-SUMIF(INDIRECT(V$3),'Struktur Aktuell'!$D383,INDIRECT(V$4))+SUMIF(INDIRECT(V$3),'Struktur Aktuell'!$D383,INDIRECT(V$5)))</f>
        <v>0</v>
      </c>
      <c r="W383" s="593">
        <f ca="1">$E383*(-SUMIF(INDIRECT(W$3),'Struktur Aktuell'!$D383,INDIRECT(W$4))+SUMIF(INDIRECT(W$3),'Struktur Aktuell'!$D383,INDIRECT(W$5)))</f>
        <v>0</v>
      </c>
      <c r="X383" s="593">
        <f ca="1">$E383*(-SUMIF(INDIRECT(X$3),'Struktur Aktuell'!$D383,INDIRECT(X$4))+SUMIF(INDIRECT(X$3),'Struktur Aktuell'!$D383,INDIRECT(X$5)))</f>
        <v>0</v>
      </c>
      <c r="Y383" s="593">
        <f ca="1">$E383*(-SUMIF(INDIRECT(Y$3),'Struktur Aktuell'!$D383,INDIRECT(Y$4))+SUMIF(INDIRECT(Y$3),'Struktur Aktuell'!$D383,INDIRECT(Y$5)))</f>
        <v>0</v>
      </c>
      <c r="Z383" s="593">
        <f ca="1">$E383*(-SUMIF(INDIRECT(Z$3),'Struktur Aktuell'!$D383,INDIRECT(Z$4))+SUMIF(INDIRECT(Z$3),'Struktur Aktuell'!$D383,INDIRECT(Z$5)))</f>
        <v>0</v>
      </c>
      <c r="AA383" s="593">
        <f ca="1">$E383*(-SUMIF(INDIRECT(AA$3),'Struktur Aktuell'!$D383,INDIRECT(AA$4))+SUMIF(INDIRECT(AA$3),'Struktur Aktuell'!$D383,INDIRECT(AA$5)))</f>
        <v>0</v>
      </c>
      <c r="AB383" s="593">
        <f ca="1">$E383*(-SUMIF(INDIRECT(AB$3),'Struktur Aktuell'!$D383,INDIRECT(AB$4))+SUMIF(INDIRECT(AB$3),'Struktur Aktuell'!$D383,INDIRECT(AB$5)))</f>
        <v>0</v>
      </c>
      <c r="AC383" s="593">
        <f ca="1">$E383*(-SUMIF(INDIRECT(AC$3),'Struktur Aktuell'!$D383,INDIRECT(AC$4))+SUMIF(INDIRECT(AC$3),'Struktur Aktuell'!$D383,INDIRECT(AC$5)))</f>
        <v>0</v>
      </c>
      <c r="AD383" s="593">
        <f ca="1">$E383*(-SUMIF(INDIRECT(AD$3),'Struktur Aktuell'!$D383,INDIRECT(AD$4))+SUMIF(INDIRECT(AD$3),'Struktur Aktuell'!$D383,INDIRECT(AD$5)))</f>
        <v>0</v>
      </c>
      <c r="AE383" s="593">
        <f t="shared" ref="AE383:AE386" ca="1" si="590">G383</f>
        <v>0</v>
      </c>
      <c r="AF383" s="593">
        <f t="shared" ref="AF383:AF386" ca="1" si="591">H383+AE383</f>
        <v>0</v>
      </c>
      <c r="AG383" s="593">
        <f t="shared" ref="AG383:AG386" ca="1" si="592">I383+AF383</f>
        <v>0</v>
      </c>
      <c r="AH383" s="593">
        <f t="shared" ref="AH383:AH386" ca="1" si="593">J383+AG383</f>
        <v>0</v>
      </c>
      <c r="AI383" s="593">
        <f t="shared" ref="AI383:AI386" ca="1" si="594">K383+AH383</f>
        <v>0</v>
      </c>
      <c r="AJ383" s="593">
        <f t="shared" ref="AJ383:AJ386" ca="1" si="595">L383+AI383</f>
        <v>0</v>
      </c>
      <c r="AK383" s="593">
        <f t="shared" ref="AK383:AK386" ca="1" si="596">M383+AJ383</f>
        <v>0</v>
      </c>
      <c r="AL383" s="593">
        <f t="shared" ref="AL383:AL386" ca="1" si="597">N383+AK383</f>
        <v>0</v>
      </c>
      <c r="AM383" s="593">
        <f t="shared" ref="AM383:AM386" ca="1" si="598">O383+AL383</f>
        <v>0</v>
      </c>
      <c r="AN383" s="593">
        <f t="shared" ref="AN383:AN386" ca="1" si="599">P383+AM383</f>
        <v>0</v>
      </c>
      <c r="AO383" s="593">
        <f t="shared" ref="AO383:AO386" ca="1" si="600">Q383+AN383</f>
        <v>0</v>
      </c>
      <c r="AP383" s="593">
        <f t="shared" ref="AP383:AP386" ca="1" si="601">R383+AO383</f>
        <v>0</v>
      </c>
    </row>
    <row r="384" spans="1:42" s="594" customFormat="1" ht="11.25" x14ac:dyDescent="0.2">
      <c r="A384" s="607"/>
      <c r="B384" s="591" t="str">
        <f>IF(D384&lt;&gt;"",
IF(ISERROR(MATCH(D384,'Ist Aktuell Monat 01'!A:A,0))=FALSE,INDEX('Ist Aktuell Monat 01'!B:B,MATCH(D384,'Ist Aktuell Monat 01'!A:A,0)),
IF(ISERROR(MATCH(D384,'Ist Aktuell Monat 02'!A:A,0))=FALSE,INDEX('Ist Aktuell Monat 02'!B:B,MATCH(D384,'Ist Aktuell Monat 02'!A:A,0)),
IF(ISERROR(MATCH(D384,'Ist Aktuell Monat 03'!A:A,0))=FALSE,INDEX('Ist Aktuell Monat 03'!B:B,MATCH(D384,'Ist Aktuell Monat 03'!A:A,0)),
IF(ISERROR(MATCH(D384,'Ist Aktuell Monat 04'!A:A,0))=FALSE,INDEX('Ist Aktuell Monat 04'!B:B,MATCH(D384,'Ist Aktuell Monat 04'!A:A,0)),
IF(ISERROR(MATCH(D384,'Ist Aktuell Monat 05'!A:A,0))=FALSE,INDEX('Ist Aktuell Monat 05'!B:B,MATCH(D384,'Ist Aktuell Monat 05'!A:A,0)),
IF(ISERROR(MATCH(D384,'Ist Aktuell Monat 06'!A:A,0))=FALSE,INDEX('Ist Aktuell Monat 06'!B:B,MATCH(D384,'Ist Aktuell Monat 06'!A:A,0)),
IF(ISERROR(MATCH(D384,'Ist Aktuell Monat 07'!A:A,0))=FALSE,INDEX('Ist Aktuell Monat 07'!B:B,MATCH(D384,'Ist Aktuell Monat 07'!A:A,0)),
IF(ISERROR(MATCH(D384,'Ist Aktuell Monat 08'!A:A,0))=FALSE,INDEX('Ist Aktuell Monat 08'!B:B,MATCH(D384,'Ist Aktuell Monat 08'!A:A,0)),
IF(ISERROR(MATCH(D384,'Ist Aktuell Monat 09'!A:A,0))=FALSE,INDEX('Ist Aktuell Monat 09'!B:B,MATCH(D384,'Ist Aktuell Monat 09'!A:A,0)),
IF(ISERROR(MATCH(D384,'Ist Aktuell Monat 10'!A:A,0))=FALSE,INDEX('Ist Aktuell Monat 10'!B:B,MATCH(D384,'Ist Aktuell Monat 10'!A:A,0)),
IF(ISERROR(MATCH(D384,'Ist Aktuell Monat 11'!A:A,0))=FALSE,INDEX('Ist Aktuell Monat 11'!B:B,MATCH(D384,'Ist Aktuell Monat 11'!A:A,0)),
IF(ISERROR(MATCH(D384,'Ist Aktuell Monat 12'!A:A,0))=FALSE,INDEX('Ist Aktuell Monat 12'!B:B,MATCH(D384,'Ist Aktuell Monat 12'!A:A,0)),
"{Konto unbekannt}"
)))))))))))),"")</f>
        <v/>
      </c>
      <c r="C384" s="591"/>
      <c r="D384" s="590"/>
      <c r="E384" s="592">
        <f t="shared" ref="E384:E469" si="602">IF(F384="-",-1,1)</f>
        <v>1</v>
      </c>
      <c r="F384" s="590"/>
      <c r="G384" s="593">
        <f ca="1">$E384*(-SUMIF(INDIRECT(G$3),'Struktur Aktuell'!$D384,INDIRECT(G$4))+SUMIF(INDIRECT(G$3),'Struktur Aktuell'!$D384,INDIRECT(G$5)))</f>
        <v>0</v>
      </c>
      <c r="H384" s="593">
        <f ca="1">$E384*(-SUMIF(INDIRECT(H$3),'Struktur Aktuell'!$D384,INDIRECT(H$4))+SUMIF(INDIRECT(H$3),'Struktur Aktuell'!$D384,INDIRECT(H$5)))</f>
        <v>0</v>
      </c>
      <c r="I384" s="593">
        <f ca="1">$E384*(-SUMIF(INDIRECT(I$3),'Struktur Aktuell'!$D384,INDIRECT(I$4))+SUMIF(INDIRECT(I$3),'Struktur Aktuell'!$D384,INDIRECT(I$5)))</f>
        <v>0</v>
      </c>
      <c r="J384" s="593">
        <f ca="1">$E384*(-SUMIF(INDIRECT(J$3),'Struktur Aktuell'!$D384,INDIRECT(J$4))+SUMIF(INDIRECT(J$3),'Struktur Aktuell'!$D384,INDIRECT(J$5)))</f>
        <v>0</v>
      </c>
      <c r="K384" s="593">
        <f ca="1">$E384*(-SUMIF(INDIRECT(K$3),'Struktur Aktuell'!$D384,INDIRECT(K$4))+SUMIF(INDIRECT(K$3),'Struktur Aktuell'!$D384,INDIRECT(K$5)))</f>
        <v>0</v>
      </c>
      <c r="L384" s="593">
        <f ca="1">$E384*(-SUMIF(INDIRECT(L$3),'Struktur Aktuell'!$D384,INDIRECT(L$4))+SUMIF(INDIRECT(L$3),'Struktur Aktuell'!$D384,INDIRECT(L$5)))</f>
        <v>0</v>
      </c>
      <c r="M384" s="593">
        <f ca="1">$E384*(-SUMIF(INDIRECT(M$3),'Struktur Aktuell'!$D384,INDIRECT(M$4))+SUMIF(INDIRECT(M$3),'Struktur Aktuell'!$D384,INDIRECT(M$5)))</f>
        <v>0</v>
      </c>
      <c r="N384" s="593">
        <f ca="1">$E384*(-SUMIF(INDIRECT(N$3),'Struktur Aktuell'!$D384,INDIRECT(N$4))+SUMIF(INDIRECT(N$3),'Struktur Aktuell'!$D384,INDIRECT(N$5)))</f>
        <v>0</v>
      </c>
      <c r="O384" s="593">
        <f ca="1">$E384*(-SUMIF(INDIRECT(O$3),'Struktur Aktuell'!$D384,INDIRECT(O$4))+SUMIF(INDIRECT(O$3),'Struktur Aktuell'!$D384,INDIRECT(O$5)))</f>
        <v>0</v>
      </c>
      <c r="P384" s="593">
        <f ca="1">$E384*(-SUMIF(INDIRECT(P$3),'Struktur Aktuell'!$D384,INDIRECT(P$4))+SUMIF(INDIRECT(P$3),'Struktur Aktuell'!$D384,INDIRECT(P$5)))</f>
        <v>0</v>
      </c>
      <c r="Q384" s="593">
        <f ca="1">$E384*(-SUMIF(INDIRECT(Q$3),'Struktur Aktuell'!$D384,INDIRECT(Q$4))+SUMIF(INDIRECT(Q$3),'Struktur Aktuell'!$D384,INDIRECT(Q$5)))</f>
        <v>0</v>
      </c>
      <c r="R384" s="593">
        <f ca="1">$E384*(-SUMIF(INDIRECT(R$3),'Struktur Aktuell'!$D384,INDIRECT(R$4))+SUMIF(INDIRECT(R$3),'Struktur Aktuell'!$D384,INDIRECT(R$5)))</f>
        <v>0</v>
      </c>
      <c r="S384" s="593">
        <f ca="1">$E384*(-SUMIF(INDIRECT(S$3),'Struktur Aktuell'!$D384,INDIRECT(S$4))+SUMIF(INDIRECT(S$3),'Struktur Aktuell'!$D384,INDIRECT(S$5)))</f>
        <v>0</v>
      </c>
      <c r="T384" s="593">
        <f ca="1">$E384*(-SUMIF(INDIRECT(T$3),'Struktur Aktuell'!$D384,INDIRECT(T$4))+SUMIF(INDIRECT(T$3),'Struktur Aktuell'!$D384,INDIRECT(T$5)))</f>
        <v>0</v>
      </c>
      <c r="U384" s="593">
        <f ca="1">$E384*(-SUMIF(INDIRECT(U$3),'Struktur Aktuell'!$D384,INDIRECT(U$4))+SUMIF(INDIRECT(U$3),'Struktur Aktuell'!$D384,INDIRECT(U$5)))</f>
        <v>0</v>
      </c>
      <c r="V384" s="593">
        <f ca="1">$E384*(-SUMIF(INDIRECT(V$3),'Struktur Aktuell'!$D384,INDIRECT(V$4))+SUMIF(INDIRECT(V$3),'Struktur Aktuell'!$D384,INDIRECT(V$5)))</f>
        <v>0</v>
      </c>
      <c r="W384" s="593">
        <f ca="1">$E384*(-SUMIF(INDIRECT(W$3),'Struktur Aktuell'!$D384,INDIRECT(W$4))+SUMIF(INDIRECT(W$3),'Struktur Aktuell'!$D384,INDIRECT(W$5)))</f>
        <v>0</v>
      </c>
      <c r="X384" s="593">
        <f ca="1">$E384*(-SUMIF(INDIRECT(X$3),'Struktur Aktuell'!$D384,INDIRECT(X$4))+SUMIF(INDIRECT(X$3),'Struktur Aktuell'!$D384,INDIRECT(X$5)))</f>
        <v>0</v>
      </c>
      <c r="Y384" s="593">
        <f ca="1">$E384*(-SUMIF(INDIRECT(Y$3),'Struktur Aktuell'!$D384,INDIRECT(Y$4))+SUMIF(INDIRECT(Y$3),'Struktur Aktuell'!$D384,INDIRECT(Y$5)))</f>
        <v>0</v>
      </c>
      <c r="Z384" s="593">
        <f ca="1">$E384*(-SUMIF(INDIRECT(Z$3),'Struktur Aktuell'!$D384,INDIRECT(Z$4))+SUMIF(INDIRECT(Z$3),'Struktur Aktuell'!$D384,INDIRECT(Z$5)))</f>
        <v>0</v>
      </c>
      <c r="AA384" s="593">
        <f ca="1">$E384*(-SUMIF(INDIRECT(AA$3),'Struktur Aktuell'!$D384,INDIRECT(AA$4))+SUMIF(INDIRECT(AA$3),'Struktur Aktuell'!$D384,INDIRECT(AA$5)))</f>
        <v>0</v>
      </c>
      <c r="AB384" s="593">
        <f ca="1">$E384*(-SUMIF(INDIRECT(AB$3),'Struktur Aktuell'!$D384,INDIRECT(AB$4))+SUMIF(INDIRECT(AB$3),'Struktur Aktuell'!$D384,INDIRECT(AB$5)))</f>
        <v>0</v>
      </c>
      <c r="AC384" s="593">
        <f ca="1">$E384*(-SUMIF(INDIRECT(AC$3),'Struktur Aktuell'!$D384,INDIRECT(AC$4))+SUMIF(INDIRECT(AC$3),'Struktur Aktuell'!$D384,INDIRECT(AC$5)))</f>
        <v>0</v>
      </c>
      <c r="AD384" s="593">
        <f ca="1">$E384*(-SUMIF(INDIRECT(AD$3),'Struktur Aktuell'!$D384,INDIRECT(AD$4))+SUMIF(INDIRECT(AD$3),'Struktur Aktuell'!$D384,INDIRECT(AD$5)))</f>
        <v>0</v>
      </c>
      <c r="AE384" s="593">
        <f t="shared" ca="1" si="590"/>
        <v>0</v>
      </c>
      <c r="AF384" s="593">
        <f t="shared" ca="1" si="591"/>
        <v>0</v>
      </c>
      <c r="AG384" s="593">
        <f t="shared" ca="1" si="592"/>
        <v>0</v>
      </c>
      <c r="AH384" s="593">
        <f t="shared" ca="1" si="593"/>
        <v>0</v>
      </c>
      <c r="AI384" s="593">
        <f t="shared" ca="1" si="594"/>
        <v>0</v>
      </c>
      <c r="AJ384" s="593">
        <f t="shared" ca="1" si="595"/>
        <v>0</v>
      </c>
      <c r="AK384" s="593">
        <f t="shared" ca="1" si="596"/>
        <v>0</v>
      </c>
      <c r="AL384" s="593">
        <f t="shared" ca="1" si="597"/>
        <v>0</v>
      </c>
      <c r="AM384" s="593">
        <f t="shared" ca="1" si="598"/>
        <v>0</v>
      </c>
      <c r="AN384" s="593">
        <f t="shared" ca="1" si="599"/>
        <v>0</v>
      </c>
      <c r="AO384" s="593">
        <f t="shared" ca="1" si="600"/>
        <v>0</v>
      </c>
      <c r="AP384" s="593">
        <f t="shared" ca="1" si="601"/>
        <v>0</v>
      </c>
    </row>
    <row r="385" spans="1:42" s="594" customFormat="1" ht="11.25" outlineLevel="1" x14ac:dyDescent="0.2">
      <c r="A385" s="607"/>
      <c r="B385" s="591" t="str">
        <f>IF(D385&lt;&gt;"",
IF(ISERROR(MATCH(D385,'Ist Aktuell Monat 01'!A:A,0))=FALSE,INDEX('Ist Aktuell Monat 01'!B:B,MATCH(D385,'Ist Aktuell Monat 01'!A:A,0)),
IF(ISERROR(MATCH(D385,'Ist Aktuell Monat 02'!A:A,0))=FALSE,INDEX('Ist Aktuell Monat 02'!B:B,MATCH(D385,'Ist Aktuell Monat 02'!A:A,0)),
IF(ISERROR(MATCH(D385,'Ist Aktuell Monat 03'!A:A,0))=FALSE,INDEX('Ist Aktuell Monat 03'!B:B,MATCH(D385,'Ist Aktuell Monat 03'!A:A,0)),
IF(ISERROR(MATCH(D385,'Ist Aktuell Monat 04'!A:A,0))=FALSE,INDEX('Ist Aktuell Monat 04'!B:B,MATCH(D385,'Ist Aktuell Monat 04'!A:A,0)),
IF(ISERROR(MATCH(D385,'Ist Aktuell Monat 05'!A:A,0))=FALSE,INDEX('Ist Aktuell Monat 05'!B:B,MATCH(D385,'Ist Aktuell Monat 05'!A:A,0)),
IF(ISERROR(MATCH(D385,'Ist Aktuell Monat 06'!A:A,0))=FALSE,INDEX('Ist Aktuell Monat 06'!B:B,MATCH(D385,'Ist Aktuell Monat 06'!A:A,0)),
IF(ISERROR(MATCH(D385,'Ist Aktuell Monat 07'!A:A,0))=FALSE,INDEX('Ist Aktuell Monat 07'!B:B,MATCH(D385,'Ist Aktuell Monat 07'!A:A,0)),
IF(ISERROR(MATCH(D385,'Ist Aktuell Monat 08'!A:A,0))=FALSE,INDEX('Ist Aktuell Monat 08'!B:B,MATCH(D385,'Ist Aktuell Monat 08'!A:A,0)),
IF(ISERROR(MATCH(D385,'Ist Aktuell Monat 09'!A:A,0))=FALSE,INDEX('Ist Aktuell Monat 09'!B:B,MATCH(D385,'Ist Aktuell Monat 09'!A:A,0)),
IF(ISERROR(MATCH(D385,'Ist Aktuell Monat 10'!A:A,0))=FALSE,INDEX('Ist Aktuell Monat 10'!B:B,MATCH(D385,'Ist Aktuell Monat 10'!A:A,0)),
IF(ISERROR(MATCH(D385,'Ist Aktuell Monat 11'!A:A,0))=FALSE,INDEX('Ist Aktuell Monat 11'!B:B,MATCH(D385,'Ist Aktuell Monat 11'!A:A,0)),
IF(ISERROR(MATCH(D385,'Ist Aktuell Monat 12'!A:A,0))=FALSE,INDEX('Ist Aktuell Monat 12'!B:B,MATCH(D385,'Ist Aktuell Monat 12'!A:A,0)),
"{Konto unbekannt}"
)))))))))))),"")</f>
        <v/>
      </c>
      <c r="C385" s="591"/>
      <c r="D385" s="590"/>
      <c r="E385" s="592">
        <f t="shared" si="602"/>
        <v>1</v>
      </c>
      <c r="F385" s="590"/>
      <c r="G385" s="593">
        <f ca="1">$E385*(-SUMIF(INDIRECT(G$3),'Struktur Aktuell'!$D385,INDIRECT(G$4))+SUMIF(INDIRECT(G$3),'Struktur Aktuell'!$D385,INDIRECT(G$5)))</f>
        <v>0</v>
      </c>
      <c r="H385" s="593">
        <f ca="1">$E385*(-SUMIF(INDIRECT(H$3),'Struktur Aktuell'!$D385,INDIRECT(H$4))+SUMIF(INDIRECT(H$3),'Struktur Aktuell'!$D385,INDIRECT(H$5)))</f>
        <v>0</v>
      </c>
      <c r="I385" s="593">
        <f ca="1">$E385*(-SUMIF(INDIRECT(I$3),'Struktur Aktuell'!$D385,INDIRECT(I$4))+SUMIF(INDIRECT(I$3),'Struktur Aktuell'!$D385,INDIRECT(I$5)))</f>
        <v>0</v>
      </c>
      <c r="J385" s="593">
        <f ca="1">$E385*(-SUMIF(INDIRECT(J$3),'Struktur Aktuell'!$D385,INDIRECT(J$4))+SUMIF(INDIRECT(J$3),'Struktur Aktuell'!$D385,INDIRECT(J$5)))</f>
        <v>0</v>
      </c>
      <c r="K385" s="593">
        <f ca="1">$E385*(-SUMIF(INDIRECT(K$3),'Struktur Aktuell'!$D385,INDIRECT(K$4))+SUMIF(INDIRECT(K$3),'Struktur Aktuell'!$D385,INDIRECT(K$5)))</f>
        <v>0</v>
      </c>
      <c r="L385" s="593">
        <f ca="1">$E385*(-SUMIF(INDIRECT(L$3),'Struktur Aktuell'!$D385,INDIRECT(L$4))+SUMIF(INDIRECT(L$3),'Struktur Aktuell'!$D385,INDIRECT(L$5)))</f>
        <v>0</v>
      </c>
      <c r="M385" s="593">
        <f ca="1">$E385*(-SUMIF(INDIRECT(M$3),'Struktur Aktuell'!$D385,INDIRECT(M$4))+SUMIF(INDIRECT(M$3),'Struktur Aktuell'!$D385,INDIRECT(M$5)))</f>
        <v>0</v>
      </c>
      <c r="N385" s="593">
        <f ca="1">$E385*(-SUMIF(INDIRECT(N$3),'Struktur Aktuell'!$D385,INDIRECT(N$4))+SUMIF(INDIRECT(N$3),'Struktur Aktuell'!$D385,INDIRECT(N$5)))</f>
        <v>0</v>
      </c>
      <c r="O385" s="593">
        <f ca="1">$E385*(-SUMIF(INDIRECT(O$3),'Struktur Aktuell'!$D385,INDIRECT(O$4))+SUMIF(INDIRECT(O$3),'Struktur Aktuell'!$D385,INDIRECT(O$5)))</f>
        <v>0</v>
      </c>
      <c r="P385" s="593">
        <f ca="1">$E385*(-SUMIF(INDIRECT(P$3),'Struktur Aktuell'!$D385,INDIRECT(P$4))+SUMIF(INDIRECT(P$3),'Struktur Aktuell'!$D385,INDIRECT(P$5)))</f>
        <v>0</v>
      </c>
      <c r="Q385" s="593">
        <f ca="1">$E385*(-SUMIF(INDIRECT(Q$3),'Struktur Aktuell'!$D385,INDIRECT(Q$4))+SUMIF(INDIRECT(Q$3),'Struktur Aktuell'!$D385,INDIRECT(Q$5)))</f>
        <v>0</v>
      </c>
      <c r="R385" s="593">
        <f ca="1">$E385*(-SUMIF(INDIRECT(R$3),'Struktur Aktuell'!$D385,INDIRECT(R$4))+SUMIF(INDIRECT(R$3),'Struktur Aktuell'!$D385,INDIRECT(R$5)))</f>
        <v>0</v>
      </c>
      <c r="S385" s="593">
        <f ca="1">$E385*(-SUMIF(INDIRECT(S$3),'Struktur Aktuell'!$D385,INDIRECT(S$4))+SUMIF(INDIRECT(S$3),'Struktur Aktuell'!$D385,INDIRECT(S$5)))</f>
        <v>0</v>
      </c>
      <c r="T385" s="593">
        <f ca="1">$E385*(-SUMIF(INDIRECT(T$3),'Struktur Aktuell'!$D385,INDIRECT(T$4))+SUMIF(INDIRECT(T$3),'Struktur Aktuell'!$D385,INDIRECT(T$5)))</f>
        <v>0</v>
      </c>
      <c r="U385" s="593">
        <f ca="1">$E385*(-SUMIF(INDIRECT(U$3),'Struktur Aktuell'!$D385,INDIRECT(U$4))+SUMIF(INDIRECT(U$3),'Struktur Aktuell'!$D385,INDIRECT(U$5)))</f>
        <v>0</v>
      </c>
      <c r="V385" s="593">
        <f ca="1">$E385*(-SUMIF(INDIRECT(V$3),'Struktur Aktuell'!$D385,INDIRECT(V$4))+SUMIF(INDIRECT(V$3),'Struktur Aktuell'!$D385,INDIRECT(V$5)))</f>
        <v>0</v>
      </c>
      <c r="W385" s="593">
        <f ca="1">$E385*(-SUMIF(INDIRECT(W$3),'Struktur Aktuell'!$D385,INDIRECT(W$4))+SUMIF(INDIRECT(W$3),'Struktur Aktuell'!$D385,INDIRECT(W$5)))</f>
        <v>0</v>
      </c>
      <c r="X385" s="593">
        <f ca="1">$E385*(-SUMIF(INDIRECT(X$3),'Struktur Aktuell'!$D385,INDIRECT(X$4))+SUMIF(INDIRECT(X$3),'Struktur Aktuell'!$D385,INDIRECT(X$5)))</f>
        <v>0</v>
      </c>
      <c r="Y385" s="593">
        <f ca="1">$E385*(-SUMIF(INDIRECT(Y$3),'Struktur Aktuell'!$D385,INDIRECT(Y$4))+SUMIF(INDIRECT(Y$3),'Struktur Aktuell'!$D385,INDIRECT(Y$5)))</f>
        <v>0</v>
      </c>
      <c r="Z385" s="593">
        <f ca="1">$E385*(-SUMIF(INDIRECT(Z$3),'Struktur Aktuell'!$D385,INDIRECT(Z$4))+SUMIF(INDIRECT(Z$3),'Struktur Aktuell'!$D385,INDIRECT(Z$5)))</f>
        <v>0</v>
      </c>
      <c r="AA385" s="593">
        <f ca="1">$E385*(-SUMIF(INDIRECT(AA$3),'Struktur Aktuell'!$D385,INDIRECT(AA$4))+SUMIF(INDIRECT(AA$3),'Struktur Aktuell'!$D385,INDIRECT(AA$5)))</f>
        <v>0</v>
      </c>
      <c r="AB385" s="593">
        <f ca="1">$E385*(-SUMIF(INDIRECT(AB$3),'Struktur Aktuell'!$D385,INDIRECT(AB$4))+SUMIF(INDIRECT(AB$3),'Struktur Aktuell'!$D385,INDIRECT(AB$5)))</f>
        <v>0</v>
      </c>
      <c r="AC385" s="593">
        <f ca="1">$E385*(-SUMIF(INDIRECT(AC$3),'Struktur Aktuell'!$D385,INDIRECT(AC$4))+SUMIF(INDIRECT(AC$3),'Struktur Aktuell'!$D385,INDIRECT(AC$5)))</f>
        <v>0</v>
      </c>
      <c r="AD385" s="593">
        <f ca="1">$E385*(-SUMIF(INDIRECT(AD$3),'Struktur Aktuell'!$D385,INDIRECT(AD$4))+SUMIF(INDIRECT(AD$3),'Struktur Aktuell'!$D385,INDIRECT(AD$5)))</f>
        <v>0</v>
      </c>
      <c r="AE385" s="593">
        <f t="shared" ca="1" si="590"/>
        <v>0</v>
      </c>
      <c r="AF385" s="593">
        <f t="shared" ca="1" si="591"/>
        <v>0</v>
      </c>
      <c r="AG385" s="593">
        <f t="shared" ca="1" si="592"/>
        <v>0</v>
      </c>
      <c r="AH385" s="593">
        <f t="shared" ca="1" si="593"/>
        <v>0</v>
      </c>
      <c r="AI385" s="593">
        <f t="shared" ca="1" si="594"/>
        <v>0</v>
      </c>
      <c r="AJ385" s="593">
        <f t="shared" ca="1" si="595"/>
        <v>0</v>
      </c>
      <c r="AK385" s="593">
        <f t="shared" ca="1" si="596"/>
        <v>0</v>
      </c>
      <c r="AL385" s="593">
        <f t="shared" ca="1" si="597"/>
        <v>0</v>
      </c>
      <c r="AM385" s="593">
        <f t="shared" ca="1" si="598"/>
        <v>0</v>
      </c>
      <c r="AN385" s="593">
        <f t="shared" ca="1" si="599"/>
        <v>0</v>
      </c>
      <c r="AO385" s="593">
        <f t="shared" ca="1" si="600"/>
        <v>0</v>
      </c>
      <c r="AP385" s="593">
        <f t="shared" ca="1" si="601"/>
        <v>0</v>
      </c>
    </row>
    <row r="386" spans="1:42" s="594" customFormat="1" ht="11.25" outlineLevel="1" x14ac:dyDescent="0.2">
      <c r="A386" s="607"/>
      <c r="B386" s="591" t="str">
        <f>IF(D386&lt;&gt;"",
IF(ISERROR(MATCH(D386,'Ist Aktuell Monat 01'!A:A,0))=FALSE,INDEX('Ist Aktuell Monat 01'!B:B,MATCH(D386,'Ist Aktuell Monat 01'!A:A,0)),
IF(ISERROR(MATCH(D386,'Ist Aktuell Monat 02'!A:A,0))=FALSE,INDEX('Ist Aktuell Monat 02'!B:B,MATCH(D386,'Ist Aktuell Monat 02'!A:A,0)),
IF(ISERROR(MATCH(D386,'Ist Aktuell Monat 03'!A:A,0))=FALSE,INDEX('Ist Aktuell Monat 03'!B:B,MATCH(D386,'Ist Aktuell Monat 03'!A:A,0)),
IF(ISERROR(MATCH(D386,'Ist Aktuell Monat 04'!A:A,0))=FALSE,INDEX('Ist Aktuell Monat 04'!B:B,MATCH(D386,'Ist Aktuell Monat 04'!A:A,0)),
IF(ISERROR(MATCH(D386,'Ist Aktuell Monat 05'!A:A,0))=FALSE,INDEX('Ist Aktuell Monat 05'!B:B,MATCH(D386,'Ist Aktuell Monat 05'!A:A,0)),
IF(ISERROR(MATCH(D386,'Ist Aktuell Monat 06'!A:A,0))=FALSE,INDEX('Ist Aktuell Monat 06'!B:B,MATCH(D386,'Ist Aktuell Monat 06'!A:A,0)),
IF(ISERROR(MATCH(D386,'Ist Aktuell Monat 07'!A:A,0))=FALSE,INDEX('Ist Aktuell Monat 07'!B:B,MATCH(D386,'Ist Aktuell Monat 07'!A:A,0)),
IF(ISERROR(MATCH(D386,'Ist Aktuell Monat 08'!A:A,0))=FALSE,INDEX('Ist Aktuell Monat 08'!B:B,MATCH(D386,'Ist Aktuell Monat 08'!A:A,0)),
IF(ISERROR(MATCH(D386,'Ist Aktuell Monat 09'!A:A,0))=FALSE,INDEX('Ist Aktuell Monat 09'!B:B,MATCH(D386,'Ist Aktuell Monat 09'!A:A,0)),
IF(ISERROR(MATCH(D386,'Ist Aktuell Monat 10'!A:A,0))=FALSE,INDEX('Ist Aktuell Monat 10'!B:B,MATCH(D386,'Ist Aktuell Monat 10'!A:A,0)),
IF(ISERROR(MATCH(D386,'Ist Aktuell Monat 11'!A:A,0))=FALSE,INDEX('Ist Aktuell Monat 11'!B:B,MATCH(D386,'Ist Aktuell Monat 11'!A:A,0)),
IF(ISERROR(MATCH(D386,'Ist Aktuell Monat 12'!A:A,0))=FALSE,INDEX('Ist Aktuell Monat 12'!B:B,MATCH(D386,'Ist Aktuell Monat 12'!A:A,0)),
"{Konto unbekannt}"
)))))))))))),"")</f>
        <v/>
      </c>
      <c r="C386" s="591"/>
      <c r="D386" s="590"/>
      <c r="E386" s="592">
        <f t="shared" si="602"/>
        <v>1</v>
      </c>
      <c r="F386" s="590"/>
      <c r="G386" s="593">
        <f ca="1">$E386*(-SUMIF(INDIRECT(G$3),'Struktur Aktuell'!$D386,INDIRECT(G$4))+SUMIF(INDIRECT(G$3),'Struktur Aktuell'!$D386,INDIRECT(G$5)))</f>
        <v>0</v>
      </c>
      <c r="H386" s="593">
        <f ca="1">$E386*(-SUMIF(INDIRECT(H$3),'Struktur Aktuell'!$D386,INDIRECT(H$4))+SUMIF(INDIRECT(H$3),'Struktur Aktuell'!$D386,INDIRECT(H$5)))</f>
        <v>0</v>
      </c>
      <c r="I386" s="593">
        <f ca="1">$E386*(-SUMIF(INDIRECT(I$3),'Struktur Aktuell'!$D386,INDIRECT(I$4))+SUMIF(INDIRECT(I$3),'Struktur Aktuell'!$D386,INDIRECT(I$5)))</f>
        <v>0</v>
      </c>
      <c r="J386" s="593">
        <f ca="1">$E386*(-SUMIF(INDIRECT(J$3),'Struktur Aktuell'!$D386,INDIRECT(J$4))+SUMIF(INDIRECT(J$3),'Struktur Aktuell'!$D386,INDIRECT(J$5)))</f>
        <v>0</v>
      </c>
      <c r="K386" s="593">
        <f ca="1">$E386*(-SUMIF(INDIRECT(K$3),'Struktur Aktuell'!$D386,INDIRECT(K$4))+SUMIF(INDIRECT(K$3),'Struktur Aktuell'!$D386,INDIRECT(K$5)))</f>
        <v>0</v>
      </c>
      <c r="L386" s="593">
        <f ca="1">$E386*(-SUMIF(INDIRECT(L$3),'Struktur Aktuell'!$D386,INDIRECT(L$4))+SUMIF(INDIRECT(L$3),'Struktur Aktuell'!$D386,INDIRECT(L$5)))</f>
        <v>0</v>
      </c>
      <c r="M386" s="593">
        <f ca="1">$E386*(-SUMIF(INDIRECT(M$3),'Struktur Aktuell'!$D386,INDIRECT(M$4))+SUMIF(INDIRECT(M$3),'Struktur Aktuell'!$D386,INDIRECT(M$5)))</f>
        <v>0</v>
      </c>
      <c r="N386" s="593">
        <f ca="1">$E386*(-SUMIF(INDIRECT(N$3),'Struktur Aktuell'!$D386,INDIRECT(N$4))+SUMIF(INDIRECT(N$3),'Struktur Aktuell'!$D386,INDIRECT(N$5)))</f>
        <v>0</v>
      </c>
      <c r="O386" s="593">
        <f ca="1">$E386*(-SUMIF(INDIRECT(O$3),'Struktur Aktuell'!$D386,INDIRECT(O$4))+SUMIF(INDIRECT(O$3),'Struktur Aktuell'!$D386,INDIRECT(O$5)))</f>
        <v>0</v>
      </c>
      <c r="P386" s="593">
        <f ca="1">$E386*(-SUMIF(INDIRECT(P$3),'Struktur Aktuell'!$D386,INDIRECT(P$4))+SUMIF(INDIRECT(P$3),'Struktur Aktuell'!$D386,INDIRECT(P$5)))</f>
        <v>0</v>
      </c>
      <c r="Q386" s="593">
        <f ca="1">$E386*(-SUMIF(INDIRECT(Q$3),'Struktur Aktuell'!$D386,INDIRECT(Q$4))+SUMIF(INDIRECT(Q$3),'Struktur Aktuell'!$D386,INDIRECT(Q$5)))</f>
        <v>0</v>
      </c>
      <c r="R386" s="593">
        <f ca="1">$E386*(-SUMIF(INDIRECT(R$3),'Struktur Aktuell'!$D386,INDIRECT(R$4))+SUMIF(INDIRECT(R$3),'Struktur Aktuell'!$D386,INDIRECT(R$5)))</f>
        <v>0</v>
      </c>
      <c r="S386" s="593">
        <f ca="1">$E386*(-SUMIF(INDIRECT(S$3),'Struktur Aktuell'!$D386,INDIRECT(S$4))+SUMIF(INDIRECT(S$3),'Struktur Aktuell'!$D386,INDIRECT(S$5)))</f>
        <v>0</v>
      </c>
      <c r="T386" s="593">
        <f ca="1">$E386*(-SUMIF(INDIRECT(T$3),'Struktur Aktuell'!$D386,INDIRECT(T$4))+SUMIF(INDIRECT(T$3),'Struktur Aktuell'!$D386,INDIRECT(T$5)))</f>
        <v>0</v>
      </c>
      <c r="U386" s="593">
        <f ca="1">$E386*(-SUMIF(INDIRECT(U$3),'Struktur Aktuell'!$D386,INDIRECT(U$4))+SUMIF(INDIRECT(U$3),'Struktur Aktuell'!$D386,INDIRECT(U$5)))</f>
        <v>0</v>
      </c>
      <c r="V386" s="593">
        <f ca="1">$E386*(-SUMIF(INDIRECT(V$3),'Struktur Aktuell'!$D386,INDIRECT(V$4))+SUMIF(INDIRECT(V$3),'Struktur Aktuell'!$D386,INDIRECT(V$5)))</f>
        <v>0</v>
      </c>
      <c r="W386" s="593">
        <f ca="1">$E386*(-SUMIF(INDIRECT(W$3),'Struktur Aktuell'!$D386,INDIRECT(W$4))+SUMIF(INDIRECT(W$3),'Struktur Aktuell'!$D386,INDIRECT(W$5)))</f>
        <v>0</v>
      </c>
      <c r="X386" s="593">
        <f ca="1">$E386*(-SUMIF(INDIRECT(X$3),'Struktur Aktuell'!$D386,INDIRECT(X$4))+SUMIF(INDIRECT(X$3),'Struktur Aktuell'!$D386,INDIRECT(X$5)))</f>
        <v>0</v>
      </c>
      <c r="Y386" s="593">
        <f ca="1">$E386*(-SUMIF(INDIRECT(Y$3),'Struktur Aktuell'!$D386,INDIRECT(Y$4))+SUMIF(INDIRECT(Y$3),'Struktur Aktuell'!$D386,INDIRECT(Y$5)))</f>
        <v>0</v>
      </c>
      <c r="Z386" s="593">
        <f ca="1">$E386*(-SUMIF(INDIRECT(Z$3),'Struktur Aktuell'!$D386,INDIRECT(Z$4))+SUMIF(INDIRECT(Z$3),'Struktur Aktuell'!$D386,INDIRECT(Z$5)))</f>
        <v>0</v>
      </c>
      <c r="AA386" s="593">
        <f ca="1">$E386*(-SUMIF(INDIRECT(AA$3),'Struktur Aktuell'!$D386,INDIRECT(AA$4))+SUMIF(INDIRECT(AA$3),'Struktur Aktuell'!$D386,INDIRECT(AA$5)))</f>
        <v>0</v>
      </c>
      <c r="AB386" s="593">
        <f ca="1">$E386*(-SUMIF(INDIRECT(AB$3),'Struktur Aktuell'!$D386,INDIRECT(AB$4))+SUMIF(INDIRECT(AB$3),'Struktur Aktuell'!$D386,INDIRECT(AB$5)))</f>
        <v>0</v>
      </c>
      <c r="AC386" s="593">
        <f ca="1">$E386*(-SUMIF(INDIRECT(AC$3),'Struktur Aktuell'!$D386,INDIRECT(AC$4))+SUMIF(INDIRECT(AC$3),'Struktur Aktuell'!$D386,INDIRECT(AC$5)))</f>
        <v>0</v>
      </c>
      <c r="AD386" s="593">
        <f ca="1">$E386*(-SUMIF(INDIRECT(AD$3),'Struktur Aktuell'!$D386,INDIRECT(AD$4))+SUMIF(INDIRECT(AD$3),'Struktur Aktuell'!$D386,INDIRECT(AD$5)))</f>
        <v>0</v>
      </c>
      <c r="AE386" s="593">
        <f t="shared" ca="1" si="590"/>
        <v>0</v>
      </c>
      <c r="AF386" s="593">
        <f t="shared" ca="1" si="591"/>
        <v>0</v>
      </c>
      <c r="AG386" s="593">
        <f t="shared" ca="1" si="592"/>
        <v>0</v>
      </c>
      <c r="AH386" s="593">
        <f t="shared" ca="1" si="593"/>
        <v>0</v>
      </c>
      <c r="AI386" s="593">
        <f t="shared" ca="1" si="594"/>
        <v>0</v>
      </c>
      <c r="AJ386" s="593">
        <f t="shared" ca="1" si="595"/>
        <v>0</v>
      </c>
      <c r="AK386" s="593">
        <f t="shared" ca="1" si="596"/>
        <v>0</v>
      </c>
      <c r="AL386" s="593">
        <f t="shared" ca="1" si="597"/>
        <v>0</v>
      </c>
      <c r="AM386" s="593">
        <f t="shared" ca="1" si="598"/>
        <v>0</v>
      </c>
      <c r="AN386" s="593">
        <f t="shared" ca="1" si="599"/>
        <v>0</v>
      </c>
      <c r="AO386" s="593">
        <f t="shared" ca="1" si="600"/>
        <v>0</v>
      </c>
      <c r="AP386" s="593">
        <f t="shared" ca="1" si="601"/>
        <v>0</v>
      </c>
    </row>
    <row r="387" spans="1:42" outlineLevel="1" x14ac:dyDescent="0.2">
      <c r="A387" s="608"/>
      <c r="B387" s="609" t="s">
        <v>274</v>
      </c>
      <c r="C387" s="597">
        <f ca="1">SUM(G387:R387)</f>
        <v>-35573.149999999987</v>
      </c>
      <c r="D387" s="597"/>
      <c r="E387" s="610">
        <f t="shared" si="602"/>
        <v>1</v>
      </c>
      <c r="F387" s="608"/>
      <c r="G387" s="597">
        <f ca="1">G376-G377-G382</f>
        <v>-9326.6600000000017</v>
      </c>
      <c r="H387" s="597">
        <f t="shared" ref="H387:R387" ca="1" si="603">H376-H377-H382</f>
        <v>-8842.98</v>
      </c>
      <c r="I387" s="597">
        <f t="shared" ca="1" si="603"/>
        <v>-17887.899999999998</v>
      </c>
      <c r="J387" s="597">
        <f t="shared" ca="1" si="603"/>
        <v>-9703.7800000000025</v>
      </c>
      <c r="K387" s="597">
        <f t="shared" ca="1" si="603"/>
        <v>-21235.019999999997</v>
      </c>
      <c r="L387" s="597">
        <f t="shared" ca="1" si="603"/>
        <v>-9485.4499999999989</v>
      </c>
      <c r="M387" s="597">
        <f t="shared" ca="1" si="603"/>
        <v>27968.330000000005</v>
      </c>
      <c r="N387" s="597">
        <f t="shared" ca="1" si="603"/>
        <v>1091.8100000000011</v>
      </c>
      <c r="O387" s="597">
        <f t="shared" ca="1" si="603"/>
        <v>-7377.869999999999</v>
      </c>
      <c r="P387" s="597">
        <f t="shared" ca="1" si="603"/>
        <v>19226.370000000003</v>
      </c>
      <c r="Q387" s="597">
        <f t="shared" ca="1" si="603"/>
        <v>0</v>
      </c>
      <c r="R387" s="597">
        <f t="shared" ca="1" si="603"/>
        <v>0</v>
      </c>
      <c r="S387" s="597">
        <f ca="1">S376-S377-S382</f>
        <v>-9326.6600000000017</v>
      </c>
      <c r="T387" s="597">
        <f t="shared" ref="T387:AD387" ca="1" si="604">T376-T377-T382</f>
        <v>-18169.640000000007</v>
      </c>
      <c r="U387" s="597">
        <f t="shared" ca="1" si="604"/>
        <v>-36057.540000000008</v>
      </c>
      <c r="V387" s="597">
        <f t="shared" ca="1" si="604"/>
        <v>-45761.32</v>
      </c>
      <c r="W387" s="597">
        <f t="shared" ca="1" si="604"/>
        <v>-66996.34</v>
      </c>
      <c r="X387" s="597">
        <f t="shared" ca="1" si="604"/>
        <v>-76481.789999999994</v>
      </c>
      <c r="Y387" s="597">
        <f t="shared" ca="1" si="604"/>
        <v>-48513.459999999992</v>
      </c>
      <c r="Z387" s="597">
        <f t="shared" ca="1" si="604"/>
        <v>-47421.649999999987</v>
      </c>
      <c r="AA387" s="597">
        <f t="shared" ca="1" si="604"/>
        <v>-54799.520000000011</v>
      </c>
      <c r="AB387" s="597">
        <f t="shared" ca="1" si="604"/>
        <v>-35573.150000000009</v>
      </c>
      <c r="AC387" s="597">
        <f t="shared" ca="1" si="604"/>
        <v>0</v>
      </c>
      <c r="AD387" s="597">
        <f t="shared" ca="1" si="604"/>
        <v>0</v>
      </c>
      <c r="AE387" s="597">
        <f ca="1">AE376-AE377-AE382</f>
        <v>-9326.6600000000017</v>
      </c>
      <c r="AF387" s="597">
        <f t="shared" ref="AF387:AP387" ca="1" si="605">AF376-AF377-AF382</f>
        <v>-18169.640000000007</v>
      </c>
      <c r="AG387" s="597">
        <f t="shared" ca="1" si="605"/>
        <v>-36057.540000000008</v>
      </c>
      <c r="AH387" s="597">
        <f t="shared" ca="1" si="605"/>
        <v>-45761.32</v>
      </c>
      <c r="AI387" s="597">
        <f t="shared" ca="1" si="605"/>
        <v>-66996.340000000011</v>
      </c>
      <c r="AJ387" s="597">
        <f t="shared" ca="1" si="605"/>
        <v>-76481.789999999994</v>
      </c>
      <c r="AK387" s="597">
        <f t="shared" ca="1" si="605"/>
        <v>-48513.459999999992</v>
      </c>
      <c r="AL387" s="597">
        <f t="shared" ca="1" si="605"/>
        <v>-47421.649999999987</v>
      </c>
      <c r="AM387" s="597">
        <f t="shared" ca="1" si="605"/>
        <v>-54799.520000000011</v>
      </c>
      <c r="AN387" s="597">
        <f t="shared" ca="1" si="605"/>
        <v>-35573.149999999951</v>
      </c>
      <c r="AO387" s="597">
        <f t="shared" ca="1" si="605"/>
        <v>-35573.149999999951</v>
      </c>
      <c r="AP387" s="597">
        <f t="shared" ca="1" si="605"/>
        <v>-35573.149999999951</v>
      </c>
    </row>
    <row r="388" spans="1:42" outlineLevel="1" x14ac:dyDescent="0.2">
      <c r="B388" s="612"/>
      <c r="C388" s="612"/>
      <c r="D388" s="614"/>
      <c r="E388" s="613"/>
      <c r="F388" s="614"/>
      <c r="G388" s="615"/>
      <c r="H388" s="615"/>
      <c r="I388" s="615"/>
      <c r="J388" s="615"/>
      <c r="K388" s="615"/>
      <c r="L388" s="615"/>
      <c r="M388" s="615"/>
      <c r="N388" s="615"/>
      <c r="O388" s="615"/>
      <c r="P388" s="615"/>
      <c r="Q388" s="615"/>
      <c r="R388" s="615"/>
      <c r="S388" s="615"/>
      <c r="T388" s="615"/>
      <c r="U388" s="615"/>
      <c r="V388" s="615"/>
      <c r="W388" s="615"/>
      <c r="X388" s="615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615"/>
      <c r="AL388" s="615"/>
      <c r="AM388" s="615"/>
      <c r="AN388" s="615"/>
      <c r="AO388" s="615"/>
      <c r="AP388" s="615"/>
    </row>
    <row r="389" spans="1:42" outlineLevel="1" x14ac:dyDescent="0.2">
      <c r="B389" s="616" t="s">
        <v>794</v>
      </c>
      <c r="C389" s="616"/>
      <c r="D389" s="618"/>
      <c r="E389" s="617"/>
      <c r="F389" s="618"/>
      <c r="G389" s="619"/>
      <c r="H389" s="619"/>
      <c r="I389" s="619"/>
      <c r="J389" s="619"/>
      <c r="K389" s="619"/>
      <c r="L389" s="619"/>
      <c r="M389" s="619"/>
      <c r="N389" s="619"/>
      <c r="O389" s="619"/>
      <c r="P389" s="619"/>
      <c r="Q389" s="619"/>
      <c r="R389" s="619"/>
      <c r="S389" s="619"/>
      <c r="T389" s="619"/>
      <c r="U389" s="619"/>
      <c r="V389" s="619"/>
      <c r="W389" s="619"/>
      <c r="X389" s="619"/>
      <c r="Y389" s="619"/>
      <c r="Z389" s="619"/>
      <c r="AA389" s="619"/>
      <c r="AB389" s="619"/>
      <c r="AC389" s="619"/>
      <c r="AD389" s="619"/>
      <c r="AE389" s="619"/>
      <c r="AF389" s="619"/>
      <c r="AG389" s="619"/>
      <c r="AH389" s="619"/>
      <c r="AI389" s="619"/>
      <c r="AJ389" s="619"/>
      <c r="AK389" s="619"/>
      <c r="AL389" s="619"/>
      <c r="AM389" s="619"/>
      <c r="AN389" s="619"/>
      <c r="AO389" s="619"/>
      <c r="AP389" s="619"/>
    </row>
    <row r="390" spans="1:42" outlineLevel="1" x14ac:dyDescent="0.2">
      <c r="B390" s="612"/>
      <c r="C390" s="612"/>
      <c r="D390" s="614"/>
      <c r="E390" s="613"/>
      <c r="F390" s="614"/>
      <c r="G390" s="615"/>
      <c r="H390" s="615"/>
      <c r="I390" s="615"/>
      <c r="J390" s="615"/>
      <c r="K390" s="615"/>
      <c r="L390" s="615"/>
      <c r="M390" s="615"/>
      <c r="N390" s="615"/>
      <c r="O390" s="615"/>
      <c r="P390" s="615"/>
      <c r="Q390" s="615"/>
      <c r="R390" s="615"/>
      <c r="S390" s="615"/>
      <c r="T390" s="615"/>
      <c r="U390" s="615"/>
      <c r="V390" s="615"/>
      <c r="W390" s="615"/>
      <c r="X390" s="615"/>
      <c r="Y390" s="615"/>
      <c r="Z390" s="615"/>
      <c r="AA390" s="615"/>
      <c r="AB390" s="615"/>
      <c r="AC390" s="615"/>
      <c r="AD390" s="615"/>
      <c r="AE390" s="615"/>
      <c r="AF390" s="615"/>
      <c r="AG390" s="615"/>
      <c r="AH390" s="615"/>
      <c r="AI390" s="615"/>
      <c r="AJ390" s="615"/>
      <c r="AK390" s="615"/>
      <c r="AL390" s="615"/>
      <c r="AM390" s="615"/>
      <c r="AN390" s="615"/>
      <c r="AO390" s="615"/>
      <c r="AP390" s="615"/>
    </row>
    <row r="391" spans="1:42" outlineLevel="1" x14ac:dyDescent="0.2">
      <c r="A391" s="827"/>
      <c r="B391" s="827" t="str">
        <f>B376</f>
        <v>Jahresüberschuss / -fehlbetrag</v>
      </c>
      <c r="C391" s="597">
        <f ca="1">SUM(G391:R391)</f>
        <v>-35573.149999999987</v>
      </c>
      <c r="D391" s="597"/>
      <c r="E391" s="620">
        <v>1</v>
      </c>
      <c r="F391" s="828"/>
      <c r="G391" s="597">
        <f ca="1">G376</f>
        <v>-9326.6600000000017</v>
      </c>
      <c r="H391" s="597">
        <f t="shared" ref="H391:R391" ca="1" si="606">H376</f>
        <v>-8842.98</v>
      </c>
      <c r="I391" s="597">
        <f t="shared" ca="1" si="606"/>
        <v>-17887.899999999998</v>
      </c>
      <c r="J391" s="597">
        <f t="shared" ca="1" si="606"/>
        <v>-9703.7800000000025</v>
      </c>
      <c r="K391" s="597">
        <f t="shared" ca="1" si="606"/>
        <v>-21235.019999999997</v>
      </c>
      <c r="L391" s="597">
        <f t="shared" ca="1" si="606"/>
        <v>-9485.4499999999989</v>
      </c>
      <c r="M391" s="597">
        <f t="shared" ca="1" si="606"/>
        <v>27968.330000000005</v>
      </c>
      <c r="N391" s="597">
        <f t="shared" ca="1" si="606"/>
        <v>1091.8100000000011</v>
      </c>
      <c r="O391" s="597">
        <f t="shared" ca="1" si="606"/>
        <v>-7377.869999999999</v>
      </c>
      <c r="P391" s="597">
        <f t="shared" ca="1" si="606"/>
        <v>19226.370000000003</v>
      </c>
      <c r="Q391" s="597">
        <f t="shared" ca="1" si="606"/>
        <v>0</v>
      </c>
      <c r="R391" s="597">
        <f t="shared" ca="1" si="606"/>
        <v>0</v>
      </c>
      <c r="S391" s="597">
        <f ca="1">S376</f>
        <v>-9326.6600000000017</v>
      </c>
      <c r="T391" s="597">
        <f t="shared" ref="T391:AD391" ca="1" si="607">T376</f>
        <v>-18169.640000000007</v>
      </c>
      <c r="U391" s="597">
        <f t="shared" ca="1" si="607"/>
        <v>-36057.540000000008</v>
      </c>
      <c r="V391" s="597">
        <f t="shared" ca="1" si="607"/>
        <v>-45761.32</v>
      </c>
      <c r="W391" s="597">
        <f t="shared" ca="1" si="607"/>
        <v>-66996.34</v>
      </c>
      <c r="X391" s="597">
        <f t="shared" ca="1" si="607"/>
        <v>-76481.789999999994</v>
      </c>
      <c r="Y391" s="597">
        <f t="shared" ca="1" si="607"/>
        <v>-48513.459999999992</v>
      </c>
      <c r="Z391" s="597">
        <f t="shared" ca="1" si="607"/>
        <v>-47421.649999999987</v>
      </c>
      <c r="AA391" s="597">
        <f t="shared" ca="1" si="607"/>
        <v>-54799.520000000011</v>
      </c>
      <c r="AB391" s="597">
        <f t="shared" ca="1" si="607"/>
        <v>-35573.150000000009</v>
      </c>
      <c r="AC391" s="597">
        <f t="shared" ca="1" si="607"/>
        <v>0</v>
      </c>
      <c r="AD391" s="597">
        <f t="shared" ca="1" si="607"/>
        <v>0</v>
      </c>
      <c r="AE391" s="597">
        <f ca="1">AE376</f>
        <v>-9326.6600000000017</v>
      </c>
      <c r="AF391" s="597">
        <f t="shared" ref="AF391:AP391" ca="1" si="608">AF376</f>
        <v>-18169.640000000007</v>
      </c>
      <c r="AG391" s="597">
        <f t="shared" ca="1" si="608"/>
        <v>-36057.540000000008</v>
      </c>
      <c r="AH391" s="597">
        <f t="shared" ca="1" si="608"/>
        <v>-45761.32</v>
      </c>
      <c r="AI391" s="597">
        <f t="shared" ca="1" si="608"/>
        <v>-66996.340000000011</v>
      </c>
      <c r="AJ391" s="597">
        <f t="shared" ca="1" si="608"/>
        <v>-76481.789999999994</v>
      </c>
      <c r="AK391" s="597">
        <f t="shared" ca="1" si="608"/>
        <v>-48513.459999999992</v>
      </c>
      <c r="AL391" s="597">
        <f t="shared" ca="1" si="608"/>
        <v>-47421.649999999987</v>
      </c>
      <c r="AM391" s="597">
        <f t="shared" ca="1" si="608"/>
        <v>-54799.520000000011</v>
      </c>
      <c r="AN391" s="597">
        <f t="shared" ca="1" si="608"/>
        <v>-35573.149999999951</v>
      </c>
      <c r="AO391" s="597">
        <f t="shared" ca="1" si="608"/>
        <v>-35573.149999999951</v>
      </c>
      <c r="AP391" s="597">
        <f t="shared" ca="1" si="608"/>
        <v>-35573.149999999951</v>
      </c>
    </row>
    <row r="392" spans="1:42" outlineLevel="1" x14ac:dyDescent="0.2">
      <c r="A392" s="829"/>
      <c r="B392" s="830" t="s">
        <v>272</v>
      </c>
      <c r="C392" s="831">
        <f ca="1">SUM(G392:R392)</f>
        <v>4161.8900000000003</v>
      </c>
      <c r="D392" s="831"/>
      <c r="E392" s="832">
        <f t="shared" si="602"/>
        <v>1</v>
      </c>
      <c r="F392" s="829"/>
      <c r="G392" s="831">
        <f ca="1">G315</f>
        <v>232.46</v>
      </c>
      <c r="H392" s="831">
        <f ca="1">H315</f>
        <v>232.51999999999998</v>
      </c>
      <c r="I392" s="831">
        <f t="shared" ref="I392:R392" ca="1" si="609">I315</f>
        <v>400.51</v>
      </c>
      <c r="J392" s="831">
        <f t="shared" ca="1" si="609"/>
        <v>346.14</v>
      </c>
      <c r="K392" s="831">
        <f t="shared" ca="1" si="609"/>
        <v>740.75</v>
      </c>
      <c r="L392" s="831">
        <f t="shared" ca="1" si="609"/>
        <v>651.68000000000006</v>
      </c>
      <c r="M392" s="831">
        <f t="shared" ca="1" si="609"/>
        <v>687.79</v>
      </c>
      <c r="N392" s="831">
        <f t="shared" ca="1" si="609"/>
        <v>324.77999999999997</v>
      </c>
      <c r="O392" s="831">
        <f t="shared" ca="1" si="609"/>
        <v>272.60000000000002</v>
      </c>
      <c r="P392" s="831">
        <f t="shared" ca="1" si="609"/>
        <v>272.66000000000003</v>
      </c>
      <c r="Q392" s="831">
        <f t="shared" ca="1" si="609"/>
        <v>0</v>
      </c>
      <c r="R392" s="831">
        <f t="shared" ca="1" si="609"/>
        <v>0</v>
      </c>
      <c r="S392" s="831">
        <f ca="1">S315</f>
        <v>232.46</v>
      </c>
      <c r="T392" s="831">
        <f ca="1">T315</f>
        <v>464.98</v>
      </c>
      <c r="U392" s="831">
        <f t="shared" ref="U392:AD392" ca="1" si="610">U315</f>
        <v>865.49</v>
      </c>
      <c r="V392" s="831">
        <f t="shared" ca="1" si="610"/>
        <v>1211.6299999999999</v>
      </c>
      <c r="W392" s="831">
        <f t="shared" ca="1" si="610"/>
        <v>1952.38</v>
      </c>
      <c r="X392" s="831">
        <f t="shared" ca="1" si="610"/>
        <v>2604.06</v>
      </c>
      <c r="Y392" s="831">
        <f t="shared" ca="1" si="610"/>
        <v>3291.85</v>
      </c>
      <c r="Z392" s="831">
        <f t="shared" ca="1" si="610"/>
        <v>3616.63</v>
      </c>
      <c r="AA392" s="831">
        <f t="shared" ca="1" si="610"/>
        <v>3889.23</v>
      </c>
      <c r="AB392" s="831">
        <f t="shared" ca="1" si="610"/>
        <v>4161.8899999999994</v>
      </c>
      <c r="AC392" s="831">
        <f t="shared" ca="1" si="610"/>
        <v>0</v>
      </c>
      <c r="AD392" s="831">
        <f t="shared" ca="1" si="610"/>
        <v>0</v>
      </c>
      <c r="AE392" s="831">
        <f ca="1">AE315</f>
        <v>232.46</v>
      </c>
      <c r="AF392" s="831">
        <f ca="1">AF315</f>
        <v>464.97999999999996</v>
      </c>
      <c r="AG392" s="831">
        <f t="shared" ref="AG392:AP392" ca="1" si="611">AG315</f>
        <v>865.49</v>
      </c>
      <c r="AH392" s="831">
        <f t="shared" ca="1" si="611"/>
        <v>1211.6299999999999</v>
      </c>
      <c r="AI392" s="831">
        <f t="shared" ca="1" si="611"/>
        <v>1952.38</v>
      </c>
      <c r="AJ392" s="831">
        <f t="shared" ca="1" si="611"/>
        <v>2604.06</v>
      </c>
      <c r="AK392" s="831">
        <f t="shared" ca="1" si="611"/>
        <v>3291.85</v>
      </c>
      <c r="AL392" s="831">
        <f t="shared" ca="1" si="611"/>
        <v>3616.6299999999997</v>
      </c>
      <c r="AM392" s="831">
        <f t="shared" ca="1" si="611"/>
        <v>3889.23</v>
      </c>
      <c r="AN392" s="831">
        <f t="shared" ca="1" si="611"/>
        <v>4161.8899999999994</v>
      </c>
      <c r="AO392" s="831">
        <f t="shared" ca="1" si="611"/>
        <v>4161.8899999999994</v>
      </c>
      <c r="AP392" s="831">
        <f t="shared" ca="1" si="611"/>
        <v>4161.8899999999994</v>
      </c>
    </row>
    <row r="393" spans="1:42" s="589" customFormat="1" x14ac:dyDescent="0.2">
      <c r="A393" s="585">
        <v>29.1</v>
      </c>
      <c r="B393" s="586" t="s">
        <v>1025</v>
      </c>
      <c r="C393" s="587">
        <f ca="1">SUM(G393:R393)</f>
        <v>4161.8900000000003</v>
      </c>
      <c r="D393" s="587"/>
      <c r="E393" s="588">
        <f t="shared" si="602"/>
        <v>1</v>
      </c>
      <c r="F393" s="585"/>
      <c r="G393" s="587">
        <f t="shared" ref="G393:R393" ca="1" si="612">SUM(G394:G397)</f>
        <v>232.46</v>
      </c>
      <c r="H393" s="587">
        <f t="shared" ca="1" si="612"/>
        <v>232.51999999999998</v>
      </c>
      <c r="I393" s="587">
        <f t="shared" ca="1" si="612"/>
        <v>400.51</v>
      </c>
      <c r="J393" s="587">
        <f t="shared" ca="1" si="612"/>
        <v>346.14</v>
      </c>
      <c r="K393" s="587">
        <f t="shared" ca="1" si="612"/>
        <v>740.75</v>
      </c>
      <c r="L393" s="587">
        <f t="shared" ca="1" si="612"/>
        <v>651.68000000000006</v>
      </c>
      <c r="M393" s="587">
        <f t="shared" ca="1" si="612"/>
        <v>687.79</v>
      </c>
      <c r="N393" s="587">
        <f t="shared" ca="1" si="612"/>
        <v>324.77999999999997</v>
      </c>
      <c r="O393" s="587">
        <f t="shared" ca="1" si="612"/>
        <v>272.60000000000002</v>
      </c>
      <c r="P393" s="587">
        <f t="shared" ca="1" si="612"/>
        <v>272.66000000000003</v>
      </c>
      <c r="Q393" s="587">
        <f t="shared" ca="1" si="612"/>
        <v>0</v>
      </c>
      <c r="R393" s="587">
        <f t="shared" ca="1" si="612"/>
        <v>0</v>
      </c>
      <c r="S393" s="587">
        <f t="shared" ref="S393:AP393" ca="1" si="613">SUM(S394:S397)</f>
        <v>232.46</v>
      </c>
      <c r="T393" s="587">
        <f t="shared" ca="1" si="613"/>
        <v>464.98</v>
      </c>
      <c r="U393" s="587">
        <f t="shared" ca="1" si="613"/>
        <v>865.49</v>
      </c>
      <c r="V393" s="587">
        <f t="shared" ca="1" si="613"/>
        <v>1211.6299999999999</v>
      </c>
      <c r="W393" s="587">
        <f t="shared" ca="1" si="613"/>
        <v>1952.38</v>
      </c>
      <c r="X393" s="587">
        <f t="shared" ca="1" si="613"/>
        <v>2604.06</v>
      </c>
      <c r="Y393" s="587">
        <f t="shared" ca="1" si="613"/>
        <v>3291.85</v>
      </c>
      <c r="Z393" s="587">
        <f t="shared" ca="1" si="613"/>
        <v>3616.63</v>
      </c>
      <c r="AA393" s="587">
        <f t="shared" ca="1" si="613"/>
        <v>3889.23</v>
      </c>
      <c r="AB393" s="587">
        <f t="shared" ca="1" si="613"/>
        <v>4161.8899999999994</v>
      </c>
      <c r="AC393" s="587">
        <f t="shared" ca="1" si="613"/>
        <v>0</v>
      </c>
      <c r="AD393" s="587">
        <f t="shared" ca="1" si="613"/>
        <v>0</v>
      </c>
      <c r="AE393" s="587">
        <f t="shared" ca="1" si="613"/>
        <v>232.46</v>
      </c>
      <c r="AF393" s="587">
        <f t="shared" ca="1" si="613"/>
        <v>464.97999999999996</v>
      </c>
      <c r="AG393" s="587">
        <f t="shared" ca="1" si="613"/>
        <v>865.49</v>
      </c>
      <c r="AH393" s="587">
        <f t="shared" ca="1" si="613"/>
        <v>1211.6299999999999</v>
      </c>
      <c r="AI393" s="587">
        <f t="shared" ca="1" si="613"/>
        <v>1952.38</v>
      </c>
      <c r="AJ393" s="587">
        <f t="shared" ca="1" si="613"/>
        <v>2604.06</v>
      </c>
      <c r="AK393" s="587">
        <f t="shared" ca="1" si="613"/>
        <v>3291.85</v>
      </c>
      <c r="AL393" s="587">
        <f t="shared" ca="1" si="613"/>
        <v>3616.6299999999997</v>
      </c>
      <c r="AM393" s="587">
        <f t="shared" ca="1" si="613"/>
        <v>3889.23</v>
      </c>
      <c r="AN393" s="587">
        <f t="shared" ca="1" si="613"/>
        <v>4161.8899999999994</v>
      </c>
      <c r="AO393" s="587">
        <f t="shared" ca="1" si="613"/>
        <v>4161.8899999999994</v>
      </c>
      <c r="AP393" s="587">
        <f t="shared" ca="1" si="613"/>
        <v>4161.8899999999994</v>
      </c>
    </row>
    <row r="394" spans="1:42" s="594" customFormat="1" ht="11.25" outlineLevel="1" x14ac:dyDescent="0.2">
      <c r="A394" s="607"/>
      <c r="B394" s="591" t="str">
        <f>IF(D394&lt;&gt;"",
IF(ISERROR(MATCH(D394,'Ist Aktuell Monat 01'!A:A,0))=FALSE,INDEX('Ist Aktuell Monat 01'!B:B,MATCH(D394,'Ist Aktuell Monat 01'!A:A,0)),
IF(ISERROR(MATCH(D394,'Ist Aktuell Monat 02'!A:A,0))=FALSE,INDEX('Ist Aktuell Monat 02'!B:B,MATCH(D394,'Ist Aktuell Monat 02'!A:A,0)),
IF(ISERROR(MATCH(D394,'Ist Aktuell Monat 03'!A:A,0))=FALSE,INDEX('Ist Aktuell Monat 03'!B:B,MATCH(D394,'Ist Aktuell Monat 03'!A:A,0)),
IF(ISERROR(MATCH(D394,'Ist Aktuell Monat 04'!A:A,0))=FALSE,INDEX('Ist Aktuell Monat 04'!B:B,MATCH(D394,'Ist Aktuell Monat 04'!A:A,0)),
IF(ISERROR(MATCH(D394,'Ist Aktuell Monat 05'!A:A,0))=FALSE,INDEX('Ist Aktuell Monat 05'!B:B,MATCH(D394,'Ist Aktuell Monat 05'!A:A,0)),
IF(ISERROR(MATCH(D394,'Ist Aktuell Monat 06'!A:A,0))=FALSE,INDEX('Ist Aktuell Monat 06'!B:B,MATCH(D394,'Ist Aktuell Monat 06'!A:A,0)),
IF(ISERROR(MATCH(D394,'Ist Aktuell Monat 07'!A:A,0))=FALSE,INDEX('Ist Aktuell Monat 07'!B:B,MATCH(D394,'Ist Aktuell Monat 07'!A:A,0)),
IF(ISERROR(MATCH(D394,'Ist Aktuell Monat 08'!A:A,0))=FALSE,INDEX('Ist Aktuell Monat 08'!B:B,MATCH(D394,'Ist Aktuell Monat 08'!A:A,0)),
IF(ISERROR(MATCH(D394,'Ist Aktuell Monat 09'!A:A,0))=FALSE,INDEX('Ist Aktuell Monat 09'!B:B,MATCH(D394,'Ist Aktuell Monat 09'!A:A,0)),
IF(ISERROR(MATCH(D394,'Ist Aktuell Monat 10'!A:A,0))=FALSE,INDEX('Ist Aktuell Monat 10'!B:B,MATCH(D394,'Ist Aktuell Monat 10'!A:A,0)),
IF(ISERROR(MATCH(D394,'Ist Aktuell Monat 11'!A:A,0))=FALSE,INDEX('Ist Aktuell Monat 11'!B:B,MATCH(D394,'Ist Aktuell Monat 11'!A:A,0)),
IF(ISERROR(MATCH(D394,'Ist Aktuell Monat 12'!A:A,0))=FALSE,INDEX('Ist Aktuell Monat 12'!B:B,MATCH(D394,'Ist Aktuell Monat 12'!A:A,0)),
"{Konto unbekannt}"
)))))))))))),"")</f>
        <v>Abschreibung immaterielle VermG</v>
      </c>
      <c r="C394" s="591"/>
      <c r="D394" s="590">
        <v>4822</v>
      </c>
      <c r="E394" s="592">
        <f t="shared" si="602"/>
        <v>1</v>
      </c>
      <c r="F394" s="590"/>
      <c r="G394" s="593">
        <f ca="1">$E394*(-SUMIF(INDIRECT(G$3),'Struktur Aktuell'!$D394,INDIRECT(G$4))+SUMIF(INDIRECT(G$3),'Struktur Aktuell'!$D394,INDIRECT(G$5)))</f>
        <v>104.28</v>
      </c>
      <c r="H394" s="593">
        <f ca="1">$E394*(-SUMIF(INDIRECT(H$3),'Struktur Aktuell'!$D394,INDIRECT(H$4))+SUMIF(INDIRECT(H$3),'Struktur Aktuell'!$D394,INDIRECT(H$5)))</f>
        <v>104.3</v>
      </c>
      <c r="I394" s="593">
        <f ca="1">$E394*(-SUMIF(INDIRECT(I$3),'Struktur Aktuell'!$D394,INDIRECT(I$4))+SUMIF(INDIRECT(I$3),'Struktur Aktuell'!$D394,INDIRECT(I$5)))</f>
        <v>104.28</v>
      </c>
      <c r="J394" s="593">
        <f ca="1">$E394*(-SUMIF(INDIRECT(J$3),'Struktur Aktuell'!$D394,INDIRECT(J$4))+SUMIF(INDIRECT(J$3),'Struktur Aktuell'!$D394,INDIRECT(J$5)))</f>
        <v>104.3</v>
      </c>
      <c r="K394" s="593">
        <f ca="1">$E394*(-SUMIF(INDIRECT(K$3),'Struktur Aktuell'!$D394,INDIRECT(K$4))+SUMIF(INDIRECT(K$3),'Struktur Aktuell'!$D394,INDIRECT(K$5)))</f>
        <v>104.29</v>
      </c>
      <c r="L394" s="593">
        <f ca="1">$E394*(-SUMIF(INDIRECT(L$3),'Struktur Aktuell'!$D394,INDIRECT(L$4))+SUMIF(INDIRECT(L$3),'Struktur Aktuell'!$D394,INDIRECT(L$5)))</f>
        <v>104.29</v>
      </c>
      <c r="M394" s="593">
        <f ca="1">$E394*(-SUMIF(INDIRECT(M$3),'Struktur Aktuell'!$D394,INDIRECT(M$4))+SUMIF(INDIRECT(M$3),'Struktur Aktuell'!$D394,INDIRECT(M$5)))</f>
        <v>104.29</v>
      </c>
      <c r="N394" s="593">
        <f ca="1">$E394*(-SUMIF(INDIRECT(N$3),'Struktur Aktuell'!$D394,INDIRECT(N$4))+SUMIF(INDIRECT(N$3),'Struktur Aktuell'!$D394,INDIRECT(N$5)))</f>
        <v>104.3</v>
      </c>
      <c r="O394" s="593">
        <f ca="1">$E394*(-SUMIF(INDIRECT(O$3),'Struktur Aktuell'!$D394,INDIRECT(O$4))+SUMIF(INDIRECT(O$3),'Struktur Aktuell'!$D394,INDIRECT(O$5)))</f>
        <v>52.16</v>
      </c>
      <c r="P394" s="593">
        <f ca="1">$E394*(-SUMIF(INDIRECT(P$3),'Struktur Aktuell'!$D394,INDIRECT(P$4))+SUMIF(INDIRECT(P$3),'Struktur Aktuell'!$D394,INDIRECT(P$5)))</f>
        <v>52.17</v>
      </c>
      <c r="Q394" s="593">
        <f ca="1">$E394*(-SUMIF(INDIRECT(Q$3),'Struktur Aktuell'!$D394,INDIRECT(Q$4))+SUMIF(INDIRECT(Q$3),'Struktur Aktuell'!$D394,INDIRECT(Q$5)))</f>
        <v>0</v>
      </c>
      <c r="R394" s="593">
        <f ca="1">$E394*(-SUMIF(INDIRECT(R$3),'Struktur Aktuell'!$D394,INDIRECT(R$4))+SUMIF(INDIRECT(R$3),'Struktur Aktuell'!$D394,INDIRECT(R$5)))</f>
        <v>0</v>
      </c>
      <c r="S394" s="593">
        <f ca="1">$E394*(-SUMIF(INDIRECT(S$3),'Struktur Aktuell'!$D394,INDIRECT(S$4))+SUMIF(INDIRECT(S$3),'Struktur Aktuell'!$D394,INDIRECT(S$5)))</f>
        <v>104.28</v>
      </c>
      <c r="T394" s="593">
        <f ca="1">$E394*(-SUMIF(INDIRECT(T$3),'Struktur Aktuell'!$D394,INDIRECT(T$4))+SUMIF(INDIRECT(T$3),'Struktur Aktuell'!$D394,INDIRECT(T$5)))</f>
        <v>208.58</v>
      </c>
      <c r="U394" s="593">
        <f ca="1">$E394*(-SUMIF(INDIRECT(U$3),'Struktur Aktuell'!$D394,INDIRECT(U$4))+SUMIF(INDIRECT(U$3),'Struktur Aktuell'!$D394,INDIRECT(U$5)))</f>
        <v>312.86</v>
      </c>
      <c r="V394" s="593">
        <f ca="1">$E394*(-SUMIF(INDIRECT(V$3),'Struktur Aktuell'!$D394,INDIRECT(V$4))+SUMIF(INDIRECT(V$3),'Struktur Aktuell'!$D394,INDIRECT(V$5)))</f>
        <v>417.16</v>
      </c>
      <c r="W394" s="593">
        <f ca="1">$E394*(-SUMIF(INDIRECT(W$3),'Struktur Aktuell'!$D394,INDIRECT(W$4))+SUMIF(INDIRECT(W$3),'Struktur Aktuell'!$D394,INDIRECT(W$5)))</f>
        <v>521.45000000000005</v>
      </c>
      <c r="X394" s="593">
        <f ca="1">$E394*(-SUMIF(INDIRECT(X$3),'Struktur Aktuell'!$D394,INDIRECT(X$4))+SUMIF(INDIRECT(X$3),'Struktur Aktuell'!$D394,INDIRECT(X$5)))</f>
        <v>625.74</v>
      </c>
      <c r="Y394" s="593">
        <f ca="1">$E394*(-SUMIF(INDIRECT(Y$3),'Struktur Aktuell'!$D394,INDIRECT(Y$4))+SUMIF(INDIRECT(Y$3),'Struktur Aktuell'!$D394,INDIRECT(Y$5)))</f>
        <v>730.03</v>
      </c>
      <c r="Z394" s="593">
        <f ca="1">$E394*(-SUMIF(INDIRECT(Z$3),'Struktur Aktuell'!$D394,INDIRECT(Z$4))+SUMIF(INDIRECT(Z$3),'Struktur Aktuell'!$D394,INDIRECT(Z$5)))</f>
        <v>834.33</v>
      </c>
      <c r="AA394" s="593">
        <f ca="1">$E394*(-SUMIF(INDIRECT(AA$3),'Struktur Aktuell'!$D394,INDIRECT(AA$4))+SUMIF(INDIRECT(AA$3),'Struktur Aktuell'!$D394,INDIRECT(AA$5)))</f>
        <v>886.49</v>
      </c>
      <c r="AB394" s="593">
        <f ca="1">$E394*(-SUMIF(INDIRECT(AB$3),'Struktur Aktuell'!$D394,INDIRECT(AB$4))+SUMIF(INDIRECT(AB$3),'Struktur Aktuell'!$D394,INDIRECT(AB$5)))</f>
        <v>938.66</v>
      </c>
      <c r="AC394" s="593">
        <f ca="1">$E394*(-SUMIF(INDIRECT(AC$3),'Struktur Aktuell'!$D394,INDIRECT(AC$4))+SUMIF(INDIRECT(AC$3),'Struktur Aktuell'!$D394,INDIRECT(AC$5)))</f>
        <v>0</v>
      </c>
      <c r="AD394" s="593">
        <f ca="1">$E394*(-SUMIF(INDIRECT(AD$3),'Struktur Aktuell'!$D394,INDIRECT(AD$4))+SUMIF(INDIRECT(AD$3),'Struktur Aktuell'!$D394,INDIRECT(AD$5)))</f>
        <v>0</v>
      </c>
      <c r="AE394" s="593">
        <f t="shared" ref="AE394:AE397" ca="1" si="614">G394</f>
        <v>104.28</v>
      </c>
      <c r="AF394" s="593">
        <f t="shared" ref="AF394:AF397" ca="1" si="615">H394+AE394</f>
        <v>208.57999999999998</v>
      </c>
      <c r="AG394" s="593">
        <f t="shared" ref="AG394:AG397" ca="1" si="616">I394+AF394</f>
        <v>312.86</v>
      </c>
      <c r="AH394" s="593">
        <f t="shared" ref="AH394:AH397" ca="1" si="617">J394+AG394</f>
        <v>417.16</v>
      </c>
      <c r="AI394" s="593">
        <f t="shared" ref="AI394:AI397" ca="1" si="618">K394+AH394</f>
        <v>521.45000000000005</v>
      </c>
      <c r="AJ394" s="593">
        <f t="shared" ref="AJ394:AJ397" ca="1" si="619">L394+AI394</f>
        <v>625.74</v>
      </c>
      <c r="AK394" s="593">
        <f t="shared" ref="AK394:AK397" ca="1" si="620">M394+AJ394</f>
        <v>730.03</v>
      </c>
      <c r="AL394" s="593">
        <f t="shared" ref="AL394:AL397" ca="1" si="621">N394+AK394</f>
        <v>834.32999999999993</v>
      </c>
      <c r="AM394" s="593">
        <f t="shared" ref="AM394:AM397" ca="1" si="622">O394+AL394</f>
        <v>886.4899999999999</v>
      </c>
      <c r="AN394" s="593">
        <f t="shared" ref="AN394:AN397" ca="1" si="623">P394+AM394</f>
        <v>938.65999999999985</v>
      </c>
      <c r="AO394" s="593">
        <f t="shared" ref="AO394:AO397" ca="1" si="624">Q394+AN394</f>
        <v>938.65999999999985</v>
      </c>
      <c r="AP394" s="593">
        <f t="shared" ref="AP394:AP397" ca="1" si="625">R394+AO394</f>
        <v>938.65999999999985</v>
      </c>
    </row>
    <row r="395" spans="1:42" s="594" customFormat="1" ht="11.25" outlineLevel="1" x14ac:dyDescent="0.2">
      <c r="A395" s="607"/>
      <c r="B395" s="591" t="str">
        <f>IF(D395&lt;&gt;"",
IF(ISERROR(MATCH(D395,'Ist Aktuell Monat 01'!A:A,0))=FALSE,INDEX('Ist Aktuell Monat 01'!B:B,MATCH(D395,'Ist Aktuell Monat 01'!A:A,0)),
IF(ISERROR(MATCH(D395,'Ist Aktuell Monat 02'!A:A,0))=FALSE,INDEX('Ist Aktuell Monat 02'!B:B,MATCH(D395,'Ist Aktuell Monat 02'!A:A,0)),
IF(ISERROR(MATCH(D395,'Ist Aktuell Monat 03'!A:A,0))=FALSE,INDEX('Ist Aktuell Monat 03'!B:B,MATCH(D395,'Ist Aktuell Monat 03'!A:A,0)),
IF(ISERROR(MATCH(D395,'Ist Aktuell Monat 04'!A:A,0))=FALSE,INDEX('Ist Aktuell Monat 04'!B:B,MATCH(D395,'Ist Aktuell Monat 04'!A:A,0)),
IF(ISERROR(MATCH(D395,'Ist Aktuell Monat 05'!A:A,0))=FALSE,INDEX('Ist Aktuell Monat 05'!B:B,MATCH(D395,'Ist Aktuell Monat 05'!A:A,0)),
IF(ISERROR(MATCH(D395,'Ist Aktuell Monat 06'!A:A,0))=FALSE,INDEX('Ist Aktuell Monat 06'!B:B,MATCH(D395,'Ist Aktuell Monat 06'!A:A,0)),
IF(ISERROR(MATCH(D395,'Ist Aktuell Monat 07'!A:A,0))=FALSE,INDEX('Ist Aktuell Monat 07'!B:B,MATCH(D395,'Ist Aktuell Monat 07'!A:A,0)),
IF(ISERROR(MATCH(D395,'Ist Aktuell Monat 08'!A:A,0))=FALSE,INDEX('Ist Aktuell Monat 08'!B:B,MATCH(D395,'Ist Aktuell Monat 08'!A:A,0)),
IF(ISERROR(MATCH(D395,'Ist Aktuell Monat 09'!A:A,0))=FALSE,INDEX('Ist Aktuell Monat 09'!B:B,MATCH(D395,'Ist Aktuell Monat 09'!A:A,0)),
IF(ISERROR(MATCH(D395,'Ist Aktuell Monat 10'!A:A,0))=FALSE,INDEX('Ist Aktuell Monat 10'!B:B,MATCH(D395,'Ist Aktuell Monat 10'!A:A,0)),
IF(ISERROR(MATCH(D395,'Ist Aktuell Monat 11'!A:A,0))=FALSE,INDEX('Ist Aktuell Monat 11'!B:B,MATCH(D395,'Ist Aktuell Monat 11'!A:A,0)),
IF(ISERROR(MATCH(D395,'Ist Aktuell Monat 12'!A:A,0))=FALSE,INDEX('Ist Aktuell Monat 12'!B:B,MATCH(D395,'Ist Aktuell Monat 12'!A:A,0)),
"{Konto unbekannt}"
)))))))))))),"")</f>
        <v>Abschreibungen auf Sachanlagen</v>
      </c>
      <c r="C395" s="591"/>
      <c r="D395" s="590">
        <v>4830</v>
      </c>
      <c r="E395" s="592">
        <f t="shared" si="602"/>
        <v>1</v>
      </c>
      <c r="F395" s="590"/>
      <c r="G395" s="593">
        <f ca="1">$E395*(-SUMIF(INDIRECT(G$3),'Struktur Aktuell'!$D395,INDIRECT(G$4))+SUMIF(INDIRECT(G$3),'Struktur Aktuell'!$D395,INDIRECT(G$5)))</f>
        <v>128.18</v>
      </c>
      <c r="H395" s="593">
        <f ca="1">$E395*(-SUMIF(INDIRECT(H$3),'Struktur Aktuell'!$D395,INDIRECT(H$4))+SUMIF(INDIRECT(H$3),'Struktur Aktuell'!$D395,INDIRECT(H$5)))</f>
        <v>128.22</v>
      </c>
      <c r="I395" s="593">
        <f ca="1">$E395*(-SUMIF(INDIRECT(I$3),'Struktur Aktuell'!$D395,INDIRECT(I$4))+SUMIF(INDIRECT(I$3),'Struktur Aktuell'!$D395,INDIRECT(I$5)))</f>
        <v>128.18</v>
      </c>
      <c r="J395" s="593">
        <f ca="1">$E395*(-SUMIF(INDIRECT(J$3),'Struktur Aktuell'!$D395,INDIRECT(J$4))+SUMIF(INDIRECT(J$3),'Struktur Aktuell'!$D395,INDIRECT(J$5)))</f>
        <v>241.84</v>
      </c>
      <c r="K395" s="593">
        <f ca="1">$E395*(-SUMIF(INDIRECT(K$3),'Struktur Aktuell'!$D395,INDIRECT(K$4))+SUMIF(INDIRECT(K$3),'Struktur Aktuell'!$D395,INDIRECT(K$5)))</f>
        <v>220.49</v>
      </c>
      <c r="L395" s="593">
        <f ca="1">$E395*(-SUMIF(INDIRECT(L$3),'Struktur Aktuell'!$D395,INDIRECT(L$4))+SUMIF(INDIRECT(L$3),'Struktur Aktuell'!$D395,INDIRECT(L$5)))</f>
        <v>220.43</v>
      </c>
      <c r="M395" s="593">
        <f ca="1">$E395*(-SUMIF(INDIRECT(M$3),'Struktur Aktuell'!$D395,INDIRECT(M$4))+SUMIF(INDIRECT(M$3),'Struktur Aktuell'!$D395,INDIRECT(M$5)))</f>
        <v>220.5</v>
      </c>
      <c r="N395" s="593">
        <f ca="1">$E395*(-SUMIF(INDIRECT(N$3),'Struktur Aktuell'!$D395,INDIRECT(N$4))+SUMIF(INDIRECT(N$3),'Struktur Aktuell'!$D395,INDIRECT(N$5)))</f>
        <v>220.48</v>
      </c>
      <c r="O395" s="593">
        <f ca="1">$E395*(-SUMIF(INDIRECT(O$3),'Struktur Aktuell'!$D395,INDIRECT(O$4))+SUMIF(INDIRECT(O$3),'Struktur Aktuell'!$D395,INDIRECT(O$5)))</f>
        <v>220.44</v>
      </c>
      <c r="P395" s="593">
        <f ca="1">$E395*(-SUMIF(INDIRECT(P$3),'Struktur Aktuell'!$D395,INDIRECT(P$4))+SUMIF(INDIRECT(P$3),'Struktur Aktuell'!$D395,INDIRECT(P$5)))</f>
        <v>220.49</v>
      </c>
      <c r="Q395" s="593">
        <f ca="1">$E395*(-SUMIF(INDIRECT(Q$3),'Struktur Aktuell'!$D395,INDIRECT(Q$4))+SUMIF(INDIRECT(Q$3),'Struktur Aktuell'!$D395,INDIRECT(Q$5)))</f>
        <v>0</v>
      </c>
      <c r="R395" s="593">
        <f ca="1">$E395*(-SUMIF(INDIRECT(R$3),'Struktur Aktuell'!$D395,INDIRECT(R$4))+SUMIF(INDIRECT(R$3),'Struktur Aktuell'!$D395,INDIRECT(R$5)))</f>
        <v>0</v>
      </c>
      <c r="S395" s="593">
        <f ca="1">$E395*(-SUMIF(INDIRECT(S$3),'Struktur Aktuell'!$D395,INDIRECT(S$4))+SUMIF(INDIRECT(S$3),'Struktur Aktuell'!$D395,INDIRECT(S$5)))</f>
        <v>128.18</v>
      </c>
      <c r="T395" s="593">
        <f ca="1">$E395*(-SUMIF(INDIRECT(T$3),'Struktur Aktuell'!$D395,INDIRECT(T$4))+SUMIF(INDIRECT(T$3),'Struktur Aktuell'!$D395,INDIRECT(T$5)))</f>
        <v>256.39999999999998</v>
      </c>
      <c r="U395" s="593">
        <f ca="1">$E395*(-SUMIF(INDIRECT(U$3),'Struktur Aktuell'!$D395,INDIRECT(U$4))+SUMIF(INDIRECT(U$3),'Struktur Aktuell'!$D395,INDIRECT(U$5)))</f>
        <v>384.58</v>
      </c>
      <c r="V395" s="593">
        <f ca="1">$E395*(-SUMIF(INDIRECT(V$3),'Struktur Aktuell'!$D395,INDIRECT(V$4))+SUMIF(INDIRECT(V$3),'Struktur Aktuell'!$D395,INDIRECT(V$5)))</f>
        <v>626.41999999999996</v>
      </c>
      <c r="W395" s="593">
        <f ca="1">$E395*(-SUMIF(INDIRECT(W$3),'Struktur Aktuell'!$D395,INDIRECT(W$4))+SUMIF(INDIRECT(W$3),'Struktur Aktuell'!$D395,INDIRECT(W$5)))</f>
        <v>846.91</v>
      </c>
      <c r="X395" s="593">
        <f ca="1">$E395*(-SUMIF(INDIRECT(X$3),'Struktur Aktuell'!$D395,INDIRECT(X$4))+SUMIF(INDIRECT(X$3),'Struktur Aktuell'!$D395,INDIRECT(X$5)))</f>
        <v>1067.3399999999999</v>
      </c>
      <c r="Y395" s="593">
        <f ca="1">$E395*(-SUMIF(INDIRECT(Y$3),'Struktur Aktuell'!$D395,INDIRECT(Y$4))+SUMIF(INDIRECT(Y$3),'Struktur Aktuell'!$D395,INDIRECT(Y$5)))</f>
        <v>1287.8399999999999</v>
      </c>
      <c r="Z395" s="593">
        <f ca="1">$E395*(-SUMIF(INDIRECT(Z$3),'Struktur Aktuell'!$D395,INDIRECT(Z$4))+SUMIF(INDIRECT(Z$3),'Struktur Aktuell'!$D395,INDIRECT(Z$5)))</f>
        <v>1508.32</v>
      </c>
      <c r="AA395" s="593">
        <f ca="1">$E395*(-SUMIF(INDIRECT(AA$3),'Struktur Aktuell'!$D395,INDIRECT(AA$4))+SUMIF(INDIRECT(AA$3),'Struktur Aktuell'!$D395,INDIRECT(AA$5)))</f>
        <v>1728.76</v>
      </c>
      <c r="AB395" s="593">
        <f ca="1">$E395*(-SUMIF(INDIRECT(AB$3),'Struktur Aktuell'!$D395,INDIRECT(AB$4))+SUMIF(INDIRECT(AB$3),'Struktur Aktuell'!$D395,INDIRECT(AB$5)))</f>
        <v>1949.25</v>
      </c>
      <c r="AC395" s="593">
        <f ca="1">$E395*(-SUMIF(INDIRECT(AC$3),'Struktur Aktuell'!$D395,INDIRECT(AC$4))+SUMIF(INDIRECT(AC$3),'Struktur Aktuell'!$D395,INDIRECT(AC$5)))</f>
        <v>0</v>
      </c>
      <c r="AD395" s="593">
        <f ca="1">$E395*(-SUMIF(INDIRECT(AD$3),'Struktur Aktuell'!$D395,INDIRECT(AD$4))+SUMIF(INDIRECT(AD$3),'Struktur Aktuell'!$D395,INDIRECT(AD$5)))</f>
        <v>0</v>
      </c>
      <c r="AE395" s="593">
        <f t="shared" ca="1" si="614"/>
        <v>128.18</v>
      </c>
      <c r="AF395" s="593">
        <f t="shared" ca="1" si="615"/>
        <v>256.39999999999998</v>
      </c>
      <c r="AG395" s="593">
        <f t="shared" ca="1" si="616"/>
        <v>384.58</v>
      </c>
      <c r="AH395" s="593">
        <f t="shared" ca="1" si="617"/>
        <v>626.41999999999996</v>
      </c>
      <c r="AI395" s="593">
        <f t="shared" ca="1" si="618"/>
        <v>846.91</v>
      </c>
      <c r="AJ395" s="593">
        <f t="shared" ca="1" si="619"/>
        <v>1067.3399999999999</v>
      </c>
      <c r="AK395" s="593">
        <f t="shared" ca="1" si="620"/>
        <v>1287.8399999999999</v>
      </c>
      <c r="AL395" s="593">
        <f t="shared" ca="1" si="621"/>
        <v>1508.32</v>
      </c>
      <c r="AM395" s="593">
        <f t="shared" ca="1" si="622"/>
        <v>1728.76</v>
      </c>
      <c r="AN395" s="593">
        <f t="shared" ca="1" si="623"/>
        <v>1949.25</v>
      </c>
      <c r="AO395" s="593">
        <f t="shared" ca="1" si="624"/>
        <v>1949.25</v>
      </c>
      <c r="AP395" s="593">
        <f t="shared" ca="1" si="625"/>
        <v>1949.25</v>
      </c>
    </row>
    <row r="396" spans="1:42" s="594" customFormat="1" ht="11.25" outlineLevel="1" x14ac:dyDescent="0.2">
      <c r="A396" s="607"/>
      <c r="B396" s="591" t="str">
        <f>IF(D396&lt;&gt;"",
IF(ISERROR(MATCH(D396,'Ist Aktuell Monat 01'!A:A,0))=FALSE,INDEX('Ist Aktuell Monat 01'!B:B,MATCH(D396,'Ist Aktuell Monat 01'!A:A,0)),
IF(ISERROR(MATCH(D396,'Ist Aktuell Monat 02'!A:A,0))=FALSE,INDEX('Ist Aktuell Monat 02'!B:B,MATCH(D396,'Ist Aktuell Monat 02'!A:A,0)),
IF(ISERROR(MATCH(D396,'Ist Aktuell Monat 03'!A:A,0))=FALSE,INDEX('Ist Aktuell Monat 03'!B:B,MATCH(D396,'Ist Aktuell Monat 03'!A:A,0)),
IF(ISERROR(MATCH(D396,'Ist Aktuell Monat 04'!A:A,0))=FALSE,INDEX('Ist Aktuell Monat 04'!B:B,MATCH(D396,'Ist Aktuell Monat 04'!A:A,0)),
IF(ISERROR(MATCH(D396,'Ist Aktuell Monat 05'!A:A,0))=FALSE,INDEX('Ist Aktuell Monat 05'!B:B,MATCH(D396,'Ist Aktuell Monat 05'!A:A,0)),
IF(ISERROR(MATCH(D396,'Ist Aktuell Monat 06'!A:A,0))=FALSE,INDEX('Ist Aktuell Monat 06'!B:B,MATCH(D396,'Ist Aktuell Monat 06'!A:A,0)),
IF(ISERROR(MATCH(D396,'Ist Aktuell Monat 07'!A:A,0))=FALSE,INDEX('Ist Aktuell Monat 07'!B:B,MATCH(D396,'Ist Aktuell Monat 07'!A:A,0)),
IF(ISERROR(MATCH(D396,'Ist Aktuell Monat 08'!A:A,0))=FALSE,INDEX('Ist Aktuell Monat 08'!B:B,MATCH(D396,'Ist Aktuell Monat 08'!A:A,0)),
IF(ISERROR(MATCH(D396,'Ist Aktuell Monat 09'!A:A,0))=FALSE,INDEX('Ist Aktuell Monat 09'!B:B,MATCH(D396,'Ist Aktuell Monat 09'!A:A,0)),
IF(ISERROR(MATCH(D396,'Ist Aktuell Monat 10'!A:A,0))=FALSE,INDEX('Ist Aktuell Monat 10'!B:B,MATCH(D396,'Ist Aktuell Monat 10'!A:A,0)),
IF(ISERROR(MATCH(D396,'Ist Aktuell Monat 11'!A:A,0))=FALSE,INDEX('Ist Aktuell Monat 11'!B:B,MATCH(D396,'Ist Aktuell Monat 11'!A:A,0)),
IF(ISERROR(MATCH(D396,'Ist Aktuell Monat 12'!A:A,0))=FALSE,INDEX('Ist Aktuell Monat 12'!B:B,MATCH(D396,'Ist Aktuell Monat 12'!A:A,0)),
"{Konto unbekannt}"
)))))))))))),"")</f>
        <v>Sofortabschreibung GWG</v>
      </c>
      <c r="C396" s="591"/>
      <c r="D396" s="590">
        <v>4855</v>
      </c>
      <c r="E396" s="592">
        <f t="shared" si="602"/>
        <v>1</v>
      </c>
      <c r="F396" s="590"/>
      <c r="G396" s="593">
        <f ca="1">$E396*(-SUMIF(INDIRECT(G$3),'Struktur Aktuell'!$D396,INDIRECT(G$4))+SUMIF(INDIRECT(G$3),'Struktur Aktuell'!$D396,INDIRECT(G$5)))</f>
        <v>0</v>
      </c>
      <c r="H396" s="593">
        <f ca="1">$E396*(-SUMIF(INDIRECT(H$3),'Struktur Aktuell'!$D396,INDIRECT(H$4))+SUMIF(INDIRECT(H$3),'Struktur Aktuell'!$D396,INDIRECT(H$5)))</f>
        <v>0</v>
      </c>
      <c r="I396" s="593">
        <f ca="1">$E396*(-SUMIF(INDIRECT(I$3),'Struktur Aktuell'!$D396,INDIRECT(I$4))+SUMIF(INDIRECT(I$3),'Struktur Aktuell'!$D396,INDIRECT(I$5)))</f>
        <v>168.05</v>
      </c>
      <c r="J396" s="593">
        <f ca="1">$E396*(-SUMIF(INDIRECT(J$3),'Struktur Aktuell'!$D396,INDIRECT(J$4))+SUMIF(INDIRECT(J$3),'Struktur Aktuell'!$D396,INDIRECT(J$5)))</f>
        <v>0</v>
      </c>
      <c r="K396" s="593">
        <f ca="1">$E396*(-SUMIF(INDIRECT(K$3),'Struktur Aktuell'!$D396,INDIRECT(K$4))+SUMIF(INDIRECT(K$3),'Struktur Aktuell'!$D396,INDIRECT(K$5)))</f>
        <v>415.97</v>
      </c>
      <c r="L396" s="593">
        <f ca="1">$E396*(-SUMIF(INDIRECT(L$3),'Struktur Aktuell'!$D396,INDIRECT(L$4))+SUMIF(INDIRECT(L$3),'Struktur Aktuell'!$D396,INDIRECT(L$5)))</f>
        <v>326.95999999999998</v>
      </c>
      <c r="M396" s="593">
        <f ca="1">$E396*(-SUMIF(INDIRECT(M$3),'Struktur Aktuell'!$D396,INDIRECT(M$4))+SUMIF(INDIRECT(M$3),'Struktur Aktuell'!$D396,INDIRECT(M$5)))</f>
        <v>363</v>
      </c>
      <c r="N396" s="593">
        <f ca="1">$E396*(-SUMIF(INDIRECT(N$3),'Struktur Aktuell'!$D396,INDIRECT(N$4))+SUMIF(INDIRECT(N$3),'Struktur Aktuell'!$D396,INDIRECT(N$5)))</f>
        <v>0</v>
      </c>
      <c r="O396" s="593">
        <f ca="1">$E396*(-SUMIF(INDIRECT(O$3),'Struktur Aktuell'!$D396,INDIRECT(O$4))+SUMIF(INDIRECT(O$3),'Struktur Aktuell'!$D396,INDIRECT(O$5)))</f>
        <v>0</v>
      </c>
      <c r="P396" s="593">
        <f ca="1">$E396*(-SUMIF(INDIRECT(P$3),'Struktur Aktuell'!$D396,INDIRECT(P$4))+SUMIF(INDIRECT(P$3),'Struktur Aktuell'!$D396,INDIRECT(P$5)))</f>
        <v>0</v>
      </c>
      <c r="Q396" s="593">
        <f ca="1">$E396*(-SUMIF(INDIRECT(Q$3),'Struktur Aktuell'!$D396,INDIRECT(Q$4))+SUMIF(INDIRECT(Q$3),'Struktur Aktuell'!$D396,INDIRECT(Q$5)))</f>
        <v>0</v>
      </c>
      <c r="R396" s="593">
        <f ca="1">$E396*(-SUMIF(INDIRECT(R$3),'Struktur Aktuell'!$D396,INDIRECT(R$4))+SUMIF(INDIRECT(R$3),'Struktur Aktuell'!$D396,INDIRECT(R$5)))</f>
        <v>0</v>
      </c>
      <c r="S396" s="593">
        <f ca="1">$E396*(-SUMIF(INDIRECT(S$3),'Struktur Aktuell'!$D396,INDIRECT(S$4))+SUMIF(INDIRECT(S$3),'Struktur Aktuell'!$D396,INDIRECT(S$5)))</f>
        <v>0</v>
      </c>
      <c r="T396" s="593">
        <f ca="1">$E396*(-SUMIF(INDIRECT(T$3),'Struktur Aktuell'!$D396,INDIRECT(T$4))+SUMIF(INDIRECT(T$3),'Struktur Aktuell'!$D396,INDIRECT(T$5)))</f>
        <v>0</v>
      </c>
      <c r="U396" s="593">
        <f ca="1">$E396*(-SUMIF(INDIRECT(U$3),'Struktur Aktuell'!$D396,INDIRECT(U$4))+SUMIF(INDIRECT(U$3),'Struktur Aktuell'!$D396,INDIRECT(U$5)))</f>
        <v>168.05</v>
      </c>
      <c r="V396" s="593">
        <f ca="1">$E396*(-SUMIF(INDIRECT(V$3),'Struktur Aktuell'!$D396,INDIRECT(V$4))+SUMIF(INDIRECT(V$3),'Struktur Aktuell'!$D396,INDIRECT(V$5)))</f>
        <v>168.05</v>
      </c>
      <c r="W396" s="593">
        <f ca="1">$E396*(-SUMIF(INDIRECT(W$3),'Struktur Aktuell'!$D396,INDIRECT(W$4))+SUMIF(INDIRECT(W$3),'Struktur Aktuell'!$D396,INDIRECT(W$5)))</f>
        <v>584.02</v>
      </c>
      <c r="X396" s="593">
        <f ca="1">$E396*(-SUMIF(INDIRECT(X$3),'Struktur Aktuell'!$D396,INDIRECT(X$4))+SUMIF(INDIRECT(X$3),'Struktur Aktuell'!$D396,INDIRECT(X$5)))</f>
        <v>910.98</v>
      </c>
      <c r="Y396" s="593">
        <f ca="1">$E396*(-SUMIF(INDIRECT(Y$3),'Struktur Aktuell'!$D396,INDIRECT(Y$4))+SUMIF(INDIRECT(Y$3),'Struktur Aktuell'!$D396,INDIRECT(Y$5)))</f>
        <v>1273.98</v>
      </c>
      <c r="Z396" s="593">
        <f ca="1">$E396*(-SUMIF(INDIRECT(Z$3),'Struktur Aktuell'!$D396,INDIRECT(Z$4))+SUMIF(INDIRECT(Z$3),'Struktur Aktuell'!$D396,INDIRECT(Z$5)))</f>
        <v>1273.98</v>
      </c>
      <c r="AA396" s="593">
        <f ca="1">$E396*(-SUMIF(INDIRECT(AA$3),'Struktur Aktuell'!$D396,INDIRECT(AA$4))+SUMIF(INDIRECT(AA$3),'Struktur Aktuell'!$D396,INDIRECT(AA$5)))</f>
        <v>1273.98</v>
      </c>
      <c r="AB396" s="593">
        <f ca="1">$E396*(-SUMIF(INDIRECT(AB$3),'Struktur Aktuell'!$D396,INDIRECT(AB$4))+SUMIF(INDIRECT(AB$3),'Struktur Aktuell'!$D396,INDIRECT(AB$5)))</f>
        <v>1273.98</v>
      </c>
      <c r="AC396" s="593">
        <f ca="1">$E396*(-SUMIF(INDIRECT(AC$3),'Struktur Aktuell'!$D396,INDIRECT(AC$4))+SUMIF(INDIRECT(AC$3),'Struktur Aktuell'!$D396,INDIRECT(AC$5)))</f>
        <v>0</v>
      </c>
      <c r="AD396" s="593">
        <f ca="1">$E396*(-SUMIF(INDIRECT(AD$3),'Struktur Aktuell'!$D396,INDIRECT(AD$4))+SUMIF(INDIRECT(AD$3),'Struktur Aktuell'!$D396,INDIRECT(AD$5)))</f>
        <v>0</v>
      </c>
      <c r="AE396" s="593">
        <f t="shared" ca="1" si="614"/>
        <v>0</v>
      </c>
      <c r="AF396" s="593">
        <f t="shared" ca="1" si="615"/>
        <v>0</v>
      </c>
      <c r="AG396" s="593">
        <f t="shared" ca="1" si="616"/>
        <v>168.05</v>
      </c>
      <c r="AH396" s="593">
        <f t="shared" ca="1" si="617"/>
        <v>168.05</v>
      </c>
      <c r="AI396" s="593">
        <f t="shared" ca="1" si="618"/>
        <v>584.02</v>
      </c>
      <c r="AJ396" s="593">
        <f t="shared" ca="1" si="619"/>
        <v>910.98</v>
      </c>
      <c r="AK396" s="593">
        <f t="shared" ca="1" si="620"/>
        <v>1273.98</v>
      </c>
      <c r="AL396" s="593">
        <f t="shared" ca="1" si="621"/>
        <v>1273.98</v>
      </c>
      <c r="AM396" s="593">
        <f t="shared" ca="1" si="622"/>
        <v>1273.98</v>
      </c>
      <c r="AN396" s="593">
        <f t="shared" ca="1" si="623"/>
        <v>1273.98</v>
      </c>
      <c r="AO396" s="593">
        <f t="shared" ca="1" si="624"/>
        <v>1273.98</v>
      </c>
      <c r="AP396" s="593">
        <f t="shared" ca="1" si="625"/>
        <v>1273.98</v>
      </c>
    </row>
    <row r="397" spans="1:42" s="594" customFormat="1" ht="11.25" outlineLevel="1" x14ac:dyDescent="0.2">
      <c r="A397" s="607"/>
      <c r="B397" s="591" t="str">
        <f>IF(D397&lt;&gt;"",
IF(ISERROR(MATCH(D397,'Ist Aktuell Monat 01'!A:A,0))=FALSE,INDEX('Ist Aktuell Monat 01'!B:B,MATCH(D397,'Ist Aktuell Monat 01'!A:A,0)),
IF(ISERROR(MATCH(D397,'Ist Aktuell Monat 02'!A:A,0))=FALSE,INDEX('Ist Aktuell Monat 02'!B:B,MATCH(D397,'Ist Aktuell Monat 02'!A:A,0)),
IF(ISERROR(MATCH(D397,'Ist Aktuell Monat 03'!A:A,0))=FALSE,INDEX('Ist Aktuell Monat 03'!B:B,MATCH(D397,'Ist Aktuell Monat 03'!A:A,0)),
IF(ISERROR(MATCH(D397,'Ist Aktuell Monat 04'!A:A,0))=FALSE,INDEX('Ist Aktuell Monat 04'!B:B,MATCH(D397,'Ist Aktuell Monat 04'!A:A,0)),
IF(ISERROR(MATCH(D397,'Ist Aktuell Monat 05'!A:A,0))=FALSE,INDEX('Ist Aktuell Monat 05'!B:B,MATCH(D397,'Ist Aktuell Monat 05'!A:A,0)),
IF(ISERROR(MATCH(D397,'Ist Aktuell Monat 06'!A:A,0))=FALSE,INDEX('Ist Aktuell Monat 06'!B:B,MATCH(D397,'Ist Aktuell Monat 06'!A:A,0)),
IF(ISERROR(MATCH(D397,'Ist Aktuell Monat 07'!A:A,0))=FALSE,INDEX('Ist Aktuell Monat 07'!B:B,MATCH(D397,'Ist Aktuell Monat 07'!A:A,0)),
IF(ISERROR(MATCH(D397,'Ist Aktuell Monat 08'!A:A,0))=FALSE,INDEX('Ist Aktuell Monat 08'!B:B,MATCH(D397,'Ist Aktuell Monat 08'!A:A,0)),
IF(ISERROR(MATCH(D397,'Ist Aktuell Monat 09'!A:A,0))=FALSE,INDEX('Ist Aktuell Monat 09'!B:B,MATCH(D397,'Ist Aktuell Monat 09'!A:A,0)),
IF(ISERROR(MATCH(D397,'Ist Aktuell Monat 10'!A:A,0))=FALSE,INDEX('Ist Aktuell Monat 10'!B:B,MATCH(D397,'Ist Aktuell Monat 10'!A:A,0)),
IF(ISERROR(MATCH(D397,'Ist Aktuell Monat 11'!A:A,0))=FALSE,INDEX('Ist Aktuell Monat 11'!B:B,MATCH(D397,'Ist Aktuell Monat 11'!A:A,0)),
IF(ISERROR(MATCH(D397,'Ist Aktuell Monat 12'!A:A,0))=FALSE,INDEX('Ist Aktuell Monat 12'!B:B,MATCH(D397,'Ist Aktuell Monat 12'!A:A,0)),
"{Konto unbekannt}"
)))))))))))),"")</f>
        <v/>
      </c>
      <c r="C397" s="591"/>
      <c r="D397" s="590"/>
      <c r="E397" s="592">
        <f t="shared" si="602"/>
        <v>1</v>
      </c>
      <c r="F397" s="590"/>
      <c r="G397" s="593">
        <f ca="1">$E397*(-SUMIF(INDIRECT(G$3),'Struktur Aktuell'!$D397,INDIRECT(G$4))+SUMIF(INDIRECT(G$3),'Struktur Aktuell'!$D397,INDIRECT(G$5)))</f>
        <v>0</v>
      </c>
      <c r="H397" s="593">
        <f ca="1">$E397*(-SUMIF(INDIRECT(H$3),'Struktur Aktuell'!$D397,INDIRECT(H$4))+SUMIF(INDIRECT(H$3),'Struktur Aktuell'!$D397,INDIRECT(H$5)))</f>
        <v>0</v>
      </c>
      <c r="I397" s="593">
        <f ca="1">$E397*(-SUMIF(INDIRECT(I$3),'Struktur Aktuell'!$D397,INDIRECT(I$4))+SUMIF(INDIRECT(I$3),'Struktur Aktuell'!$D397,INDIRECT(I$5)))</f>
        <v>0</v>
      </c>
      <c r="J397" s="593">
        <f ca="1">$E397*(-SUMIF(INDIRECT(J$3),'Struktur Aktuell'!$D397,INDIRECT(J$4))+SUMIF(INDIRECT(J$3),'Struktur Aktuell'!$D397,INDIRECT(J$5)))</f>
        <v>0</v>
      </c>
      <c r="K397" s="593">
        <f ca="1">$E397*(-SUMIF(INDIRECT(K$3),'Struktur Aktuell'!$D397,INDIRECT(K$4))+SUMIF(INDIRECT(K$3),'Struktur Aktuell'!$D397,INDIRECT(K$5)))</f>
        <v>0</v>
      </c>
      <c r="L397" s="593">
        <f ca="1">$E397*(-SUMIF(INDIRECT(L$3),'Struktur Aktuell'!$D397,INDIRECT(L$4))+SUMIF(INDIRECT(L$3),'Struktur Aktuell'!$D397,INDIRECT(L$5)))</f>
        <v>0</v>
      </c>
      <c r="M397" s="593">
        <f ca="1">$E397*(-SUMIF(INDIRECT(M$3),'Struktur Aktuell'!$D397,INDIRECT(M$4))+SUMIF(INDIRECT(M$3),'Struktur Aktuell'!$D397,INDIRECT(M$5)))</f>
        <v>0</v>
      </c>
      <c r="N397" s="593">
        <f ca="1">$E397*(-SUMIF(INDIRECT(N$3),'Struktur Aktuell'!$D397,INDIRECT(N$4))+SUMIF(INDIRECT(N$3),'Struktur Aktuell'!$D397,INDIRECT(N$5)))</f>
        <v>0</v>
      </c>
      <c r="O397" s="593">
        <f ca="1">$E397*(-SUMIF(INDIRECT(O$3),'Struktur Aktuell'!$D397,INDIRECT(O$4))+SUMIF(INDIRECT(O$3),'Struktur Aktuell'!$D397,INDIRECT(O$5)))</f>
        <v>0</v>
      </c>
      <c r="P397" s="593">
        <f ca="1">$E397*(-SUMIF(INDIRECT(P$3),'Struktur Aktuell'!$D397,INDIRECT(P$4))+SUMIF(INDIRECT(P$3),'Struktur Aktuell'!$D397,INDIRECT(P$5)))</f>
        <v>0</v>
      </c>
      <c r="Q397" s="593">
        <f ca="1">$E397*(-SUMIF(INDIRECT(Q$3),'Struktur Aktuell'!$D397,INDIRECT(Q$4))+SUMIF(INDIRECT(Q$3),'Struktur Aktuell'!$D397,INDIRECT(Q$5)))</f>
        <v>0</v>
      </c>
      <c r="R397" s="593">
        <f ca="1">$E397*(-SUMIF(INDIRECT(R$3),'Struktur Aktuell'!$D397,INDIRECT(R$4))+SUMIF(INDIRECT(R$3),'Struktur Aktuell'!$D397,INDIRECT(R$5)))</f>
        <v>0</v>
      </c>
      <c r="S397" s="593">
        <f ca="1">$E397*(-SUMIF(INDIRECT(S$3),'Struktur Aktuell'!$D397,INDIRECT(S$4))+SUMIF(INDIRECT(S$3),'Struktur Aktuell'!$D397,INDIRECT(S$5)))</f>
        <v>0</v>
      </c>
      <c r="T397" s="593">
        <f ca="1">$E397*(-SUMIF(INDIRECT(T$3),'Struktur Aktuell'!$D397,INDIRECT(T$4))+SUMIF(INDIRECT(T$3),'Struktur Aktuell'!$D397,INDIRECT(T$5)))</f>
        <v>0</v>
      </c>
      <c r="U397" s="593">
        <f ca="1">$E397*(-SUMIF(INDIRECT(U$3),'Struktur Aktuell'!$D397,INDIRECT(U$4))+SUMIF(INDIRECT(U$3),'Struktur Aktuell'!$D397,INDIRECT(U$5)))</f>
        <v>0</v>
      </c>
      <c r="V397" s="593">
        <f ca="1">$E397*(-SUMIF(INDIRECT(V$3),'Struktur Aktuell'!$D397,INDIRECT(V$4))+SUMIF(INDIRECT(V$3),'Struktur Aktuell'!$D397,INDIRECT(V$5)))</f>
        <v>0</v>
      </c>
      <c r="W397" s="593">
        <f ca="1">$E397*(-SUMIF(INDIRECT(W$3),'Struktur Aktuell'!$D397,INDIRECT(W$4))+SUMIF(INDIRECT(W$3),'Struktur Aktuell'!$D397,INDIRECT(W$5)))</f>
        <v>0</v>
      </c>
      <c r="X397" s="593">
        <f ca="1">$E397*(-SUMIF(INDIRECT(X$3),'Struktur Aktuell'!$D397,INDIRECT(X$4))+SUMIF(INDIRECT(X$3),'Struktur Aktuell'!$D397,INDIRECT(X$5)))</f>
        <v>0</v>
      </c>
      <c r="Y397" s="593">
        <f ca="1">$E397*(-SUMIF(INDIRECT(Y$3),'Struktur Aktuell'!$D397,INDIRECT(Y$4))+SUMIF(INDIRECT(Y$3),'Struktur Aktuell'!$D397,INDIRECT(Y$5)))</f>
        <v>0</v>
      </c>
      <c r="Z397" s="593">
        <f ca="1">$E397*(-SUMIF(INDIRECT(Z$3),'Struktur Aktuell'!$D397,INDIRECT(Z$4))+SUMIF(INDIRECT(Z$3),'Struktur Aktuell'!$D397,INDIRECT(Z$5)))</f>
        <v>0</v>
      </c>
      <c r="AA397" s="593">
        <f ca="1">$E397*(-SUMIF(INDIRECT(AA$3),'Struktur Aktuell'!$D397,INDIRECT(AA$4))+SUMIF(INDIRECT(AA$3),'Struktur Aktuell'!$D397,INDIRECT(AA$5)))</f>
        <v>0</v>
      </c>
      <c r="AB397" s="593">
        <f ca="1">$E397*(-SUMIF(INDIRECT(AB$3),'Struktur Aktuell'!$D397,INDIRECT(AB$4))+SUMIF(INDIRECT(AB$3),'Struktur Aktuell'!$D397,INDIRECT(AB$5)))</f>
        <v>0</v>
      </c>
      <c r="AC397" s="593">
        <f ca="1">$E397*(-SUMIF(INDIRECT(AC$3),'Struktur Aktuell'!$D397,INDIRECT(AC$4))+SUMIF(INDIRECT(AC$3),'Struktur Aktuell'!$D397,INDIRECT(AC$5)))</f>
        <v>0</v>
      </c>
      <c r="AD397" s="593">
        <f ca="1">$E397*(-SUMIF(INDIRECT(AD$3),'Struktur Aktuell'!$D397,INDIRECT(AD$4))+SUMIF(INDIRECT(AD$3),'Struktur Aktuell'!$D397,INDIRECT(AD$5)))</f>
        <v>0</v>
      </c>
      <c r="AE397" s="593">
        <f t="shared" ca="1" si="614"/>
        <v>0</v>
      </c>
      <c r="AF397" s="593">
        <f t="shared" ca="1" si="615"/>
        <v>0</v>
      </c>
      <c r="AG397" s="593">
        <f t="shared" ca="1" si="616"/>
        <v>0</v>
      </c>
      <c r="AH397" s="593">
        <f t="shared" ca="1" si="617"/>
        <v>0</v>
      </c>
      <c r="AI397" s="593">
        <f t="shared" ca="1" si="618"/>
        <v>0</v>
      </c>
      <c r="AJ397" s="593">
        <f t="shared" ca="1" si="619"/>
        <v>0</v>
      </c>
      <c r="AK397" s="593">
        <f t="shared" ca="1" si="620"/>
        <v>0</v>
      </c>
      <c r="AL397" s="593">
        <f t="shared" ca="1" si="621"/>
        <v>0</v>
      </c>
      <c r="AM397" s="593">
        <f t="shared" ca="1" si="622"/>
        <v>0</v>
      </c>
      <c r="AN397" s="593">
        <f t="shared" ca="1" si="623"/>
        <v>0</v>
      </c>
      <c r="AO397" s="593">
        <f t="shared" ca="1" si="624"/>
        <v>0</v>
      </c>
      <c r="AP397" s="593">
        <f t="shared" ca="1" si="625"/>
        <v>0</v>
      </c>
    </row>
    <row r="398" spans="1:42" outlineLevel="1" x14ac:dyDescent="0.2">
      <c r="A398" s="621"/>
      <c r="B398" s="621" t="s">
        <v>309</v>
      </c>
      <c r="C398" s="597">
        <f ca="1">SUM(G398:R398)</f>
        <v>-27249.369999999988</v>
      </c>
      <c r="D398" s="597"/>
      <c r="E398" s="620">
        <f t="shared" si="602"/>
        <v>1</v>
      </c>
      <c r="F398" s="622"/>
      <c r="G398" s="597">
        <f ca="1">G391+G392+G393</f>
        <v>-8861.7400000000034</v>
      </c>
      <c r="H398" s="597">
        <f t="shared" ref="H398:Q398" ca="1" si="626">H391+H392+H393</f>
        <v>-8377.9399999999987</v>
      </c>
      <c r="I398" s="597">
        <f t="shared" ca="1" si="626"/>
        <v>-17086.88</v>
      </c>
      <c r="J398" s="597">
        <f t="shared" ca="1" si="626"/>
        <v>-9011.5000000000036</v>
      </c>
      <c r="K398" s="597">
        <f t="shared" ca="1" si="626"/>
        <v>-19753.519999999997</v>
      </c>
      <c r="L398" s="597">
        <f t="shared" ca="1" si="626"/>
        <v>-8182.0899999999983</v>
      </c>
      <c r="M398" s="597">
        <f t="shared" ca="1" si="626"/>
        <v>29343.910000000007</v>
      </c>
      <c r="N398" s="597">
        <f t="shared" ca="1" si="626"/>
        <v>1741.370000000001</v>
      </c>
      <c r="O398" s="597">
        <f t="shared" ca="1" si="626"/>
        <v>-6832.6699999999983</v>
      </c>
      <c r="P398" s="597">
        <f t="shared" ca="1" si="626"/>
        <v>19771.690000000002</v>
      </c>
      <c r="Q398" s="597">
        <f t="shared" ca="1" si="626"/>
        <v>0</v>
      </c>
      <c r="R398" s="597">
        <f ca="1">R391+R392+R393</f>
        <v>0</v>
      </c>
      <c r="S398" s="597">
        <f ca="1">S391+S392+S393</f>
        <v>-8861.7400000000034</v>
      </c>
      <c r="T398" s="597">
        <f t="shared" ref="T398:AC398" ca="1" si="627">T391+T392+T393</f>
        <v>-17239.680000000008</v>
      </c>
      <c r="U398" s="597">
        <f t="shared" ca="1" si="627"/>
        <v>-34326.560000000012</v>
      </c>
      <c r="V398" s="597">
        <f t="shared" ca="1" si="627"/>
        <v>-43338.060000000005</v>
      </c>
      <c r="W398" s="597">
        <f t="shared" ca="1" si="627"/>
        <v>-63091.58</v>
      </c>
      <c r="X398" s="597">
        <f t="shared" ca="1" si="627"/>
        <v>-71273.67</v>
      </c>
      <c r="Y398" s="597">
        <f t="shared" ca="1" si="627"/>
        <v>-41929.759999999995</v>
      </c>
      <c r="Z398" s="597">
        <f t="shared" ca="1" si="627"/>
        <v>-40188.389999999992</v>
      </c>
      <c r="AA398" s="597">
        <f t="shared" ca="1" si="627"/>
        <v>-47021.060000000005</v>
      </c>
      <c r="AB398" s="597">
        <f t="shared" ca="1" si="627"/>
        <v>-27249.37000000001</v>
      </c>
      <c r="AC398" s="597">
        <f t="shared" ca="1" si="627"/>
        <v>0</v>
      </c>
      <c r="AD398" s="597">
        <f ca="1">AD391+AD392+AD393</f>
        <v>0</v>
      </c>
      <c r="AE398" s="597">
        <f ca="1">AE391+AE392+AE393</f>
        <v>-8861.7400000000034</v>
      </c>
      <c r="AF398" s="597">
        <f t="shared" ref="AF398:AO398" ca="1" si="628">AF391+AF392+AF393</f>
        <v>-17239.680000000008</v>
      </c>
      <c r="AG398" s="597">
        <f t="shared" ca="1" si="628"/>
        <v>-34326.560000000012</v>
      </c>
      <c r="AH398" s="597">
        <f t="shared" ca="1" si="628"/>
        <v>-43338.060000000005</v>
      </c>
      <c r="AI398" s="597">
        <f t="shared" ca="1" si="628"/>
        <v>-63091.580000000016</v>
      </c>
      <c r="AJ398" s="597">
        <f t="shared" ca="1" si="628"/>
        <v>-71273.67</v>
      </c>
      <c r="AK398" s="597">
        <f t="shared" ca="1" si="628"/>
        <v>-41929.759999999995</v>
      </c>
      <c r="AL398" s="597">
        <f t="shared" ca="1" si="628"/>
        <v>-40188.389999999992</v>
      </c>
      <c r="AM398" s="597">
        <f t="shared" ca="1" si="628"/>
        <v>-47021.060000000005</v>
      </c>
      <c r="AN398" s="597">
        <f t="shared" ca="1" si="628"/>
        <v>-27249.369999999952</v>
      </c>
      <c r="AO398" s="597">
        <f t="shared" ca="1" si="628"/>
        <v>-27249.369999999952</v>
      </c>
      <c r="AP398" s="597">
        <f ca="1">AP391+AP392+AP393</f>
        <v>-27249.369999999952</v>
      </c>
    </row>
    <row r="399" spans="1:42" s="589" customFormat="1" outlineLevel="1" x14ac:dyDescent="0.2">
      <c r="A399" s="629">
        <v>38</v>
      </c>
      <c r="B399" s="623" t="s">
        <v>275</v>
      </c>
      <c r="C399" s="587">
        <f ca="1">SUM(G399:R399)</f>
        <v>6595.7200000000012</v>
      </c>
      <c r="D399" s="587"/>
      <c r="E399" s="624">
        <f t="shared" si="602"/>
        <v>1</v>
      </c>
      <c r="F399" s="585"/>
      <c r="G399" s="587">
        <f ca="1">SUM(G400:G415)+G392</f>
        <v>0</v>
      </c>
      <c r="H399" s="587">
        <f t="shared" ref="H399:R399" ca="1" si="629">SUM(H400:H415)+H392</f>
        <v>168.04999999999998</v>
      </c>
      <c r="I399" s="587">
        <f t="shared" ca="1" si="629"/>
        <v>0</v>
      </c>
      <c r="J399" s="587">
        <f t="shared" ca="1" si="629"/>
        <v>5321.7400000000007</v>
      </c>
      <c r="K399" s="587">
        <f t="shared" ca="1" si="629"/>
        <v>415.96999999999997</v>
      </c>
      <c r="L399" s="587">
        <f t="shared" ca="1" si="629"/>
        <v>326.96000000000009</v>
      </c>
      <c r="M399" s="587">
        <f t="shared" ca="1" si="629"/>
        <v>362.99999999999994</v>
      </c>
      <c r="N399" s="587">
        <f t="shared" ca="1" si="629"/>
        <v>0</v>
      </c>
      <c r="O399" s="587">
        <f t="shared" ca="1" si="629"/>
        <v>0</v>
      </c>
      <c r="P399" s="587">
        <f t="shared" ca="1" si="629"/>
        <v>0</v>
      </c>
      <c r="Q399" s="587">
        <f t="shared" ca="1" si="629"/>
        <v>0</v>
      </c>
      <c r="R399" s="587">
        <f t="shared" ca="1" si="629"/>
        <v>0</v>
      </c>
      <c r="S399" s="587">
        <f ca="1">SUM(S400:S415)+S392</f>
        <v>4647.5</v>
      </c>
      <c r="T399" s="587">
        <f t="shared" ref="T399:AD399" ca="1" si="630">SUM(T400:T415)+T392</f>
        <v>4815.5499999999993</v>
      </c>
      <c r="U399" s="587">
        <f t="shared" ca="1" si="630"/>
        <v>4815.55</v>
      </c>
      <c r="V399" s="587">
        <f t="shared" ca="1" si="630"/>
        <v>10137.289999999999</v>
      </c>
      <c r="W399" s="587">
        <f t="shared" ca="1" si="630"/>
        <v>10553.260000000002</v>
      </c>
      <c r="X399" s="587">
        <f t="shared" ca="1" si="630"/>
        <v>10880.22</v>
      </c>
      <c r="Y399" s="587">
        <f t="shared" ca="1" si="630"/>
        <v>11243.22</v>
      </c>
      <c r="Z399" s="587">
        <f t="shared" ca="1" si="630"/>
        <v>11243.220000000001</v>
      </c>
      <c r="AA399" s="587">
        <f t="shared" ca="1" si="630"/>
        <v>11243.22</v>
      </c>
      <c r="AB399" s="587">
        <f t="shared" ca="1" si="630"/>
        <v>11243.22</v>
      </c>
      <c r="AC399" s="587">
        <f t="shared" ca="1" si="630"/>
        <v>0</v>
      </c>
      <c r="AD399" s="587">
        <f t="shared" ca="1" si="630"/>
        <v>0</v>
      </c>
      <c r="AE399" s="587">
        <f ca="1">SUM(AE400:AE415)+AE392</f>
        <v>0</v>
      </c>
      <c r="AF399" s="587">
        <f t="shared" ref="AF399:AP399" ca="1" si="631">SUM(AF400:AF415)+AF392</f>
        <v>168.05</v>
      </c>
      <c r="AG399" s="587">
        <f t="shared" ca="1" si="631"/>
        <v>168.04999999999995</v>
      </c>
      <c r="AH399" s="587">
        <f t="shared" ca="1" si="631"/>
        <v>5489.79</v>
      </c>
      <c r="AI399" s="587">
        <f t="shared" ca="1" si="631"/>
        <v>5905.76</v>
      </c>
      <c r="AJ399" s="587">
        <f t="shared" ca="1" si="631"/>
        <v>6232.7200000000012</v>
      </c>
      <c r="AK399" s="587">
        <f t="shared" ca="1" si="631"/>
        <v>6595.7200000000012</v>
      </c>
      <c r="AL399" s="587">
        <f t="shared" ca="1" si="631"/>
        <v>6595.72</v>
      </c>
      <c r="AM399" s="587">
        <f t="shared" ca="1" si="631"/>
        <v>6595.7200000000012</v>
      </c>
      <c r="AN399" s="587">
        <f t="shared" ca="1" si="631"/>
        <v>6595.7199999999993</v>
      </c>
      <c r="AO399" s="587">
        <f t="shared" ca="1" si="631"/>
        <v>6595.7199999999993</v>
      </c>
      <c r="AP399" s="587">
        <f t="shared" ca="1" si="631"/>
        <v>6595.7199999999993</v>
      </c>
    </row>
    <row r="400" spans="1:42" s="594" customFormat="1" ht="11.25" outlineLevel="1" x14ac:dyDescent="0.2">
      <c r="A400" s="644"/>
      <c r="B400" s="591" t="str">
        <f>IF(D400&lt;&gt;"",
IF(ISERROR(MATCH(D400,'Ist Aktuell Monat 01'!A:A,0))=FALSE,INDEX('Ist Aktuell Monat 01'!B:B,MATCH(D400,'Ist Aktuell Monat 01'!A:A,0)),
IF(ISERROR(MATCH(D400,'Ist Aktuell Monat 02'!A:A,0))=FALSE,INDEX('Ist Aktuell Monat 02'!B:B,MATCH(D400,'Ist Aktuell Monat 02'!A:A,0)),
IF(ISERROR(MATCH(D400,'Ist Aktuell Monat 03'!A:A,0))=FALSE,INDEX('Ist Aktuell Monat 03'!B:B,MATCH(D400,'Ist Aktuell Monat 03'!A:A,0)),
IF(ISERROR(MATCH(D400,'Ist Aktuell Monat 04'!A:A,0))=FALSE,INDEX('Ist Aktuell Monat 04'!B:B,MATCH(D400,'Ist Aktuell Monat 04'!A:A,0)),
IF(ISERROR(MATCH(D400,'Ist Aktuell Monat 05'!A:A,0))=FALSE,INDEX('Ist Aktuell Monat 05'!B:B,MATCH(D400,'Ist Aktuell Monat 05'!A:A,0)),
IF(ISERROR(MATCH(D400,'Ist Aktuell Monat 06'!A:A,0))=FALSE,INDEX('Ist Aktuell Monat 06'!B:B,MATCH(D400,'Ist Aktuell Monat 06'!A:A,0)),
IF(ISERROR(MATCH(D400,'Ist Aktuell Monat 07'!A:A,0))=FALSE,INDEX('Ist Aktuell Monat 07'!B:B,MATCH(D400,'Ist Aktuell Monat 07'!A:A,0)),
IF(ISERROR(MATCH(D400,'Ist Aktuell Monat 08'!A:A,0))=FALSE,INDEX('Ist Aktuell Monat 08'!B:B,MATCH(D400,'Ist Aktuell Monat 08'!A:A,0)),
IF(ISERROR(MATCH(D400,'Ist Aktuell Monat 09'!A:A,0))=FALSE,INDEX('Ist Aktuell Monat 09'!B:B,MATCH(D400,'Ist Aktuell Monat 09'!A:A,0)),
IF(ISERROR(MATCH(D400,'Ist Aktuell Monat 10'!A:A,0))=FALSE,INDEX('Ist Aktuell Monat 10'!B:B,MATCH(D400,'Ist Aktuell Monat 10'!A:A,0)),
IF(ISERROR(MATCH(D400,'Ist Aktuell Monat 11'!A:A,0))=FALSE,INDEX('Ist Aktuell Monat 11'!B:B,MATCH(D400,'Ist Aktuell Monat 11'!A:A,0)),
IF(ISERROR(MATCH(D400,'Ist Aktuell Monat 12'!A:A,0))=FALSE,INDEX('Ist Aktuell Monat 12'!B:B,MATCH(D400,'Ist Aktuell Monat 12'!A:A,0)),
"{Konto unbekannt}"
)))))))))))),"")</f>
        <v>EDV-Software Lizenzen</v>
      </c>
      <c r="C400" s="1062"/>
      <c r="D400" s="1067">
        <v>27</v>
      </c>
      <c r="E400" s="625">
        <f t="shared" si="602"/>
        <v>1</v>
      </c>
      <c r="F400" s="626"/>
      <c r="G400" s="593">
        <f ca="1">$E400*(-SUMIF(INDIRECT(G$3),'Struktur Aktuell'!$D400,INDIRECT(G$4))+SUMIF(INDIRECT(G$3),'Struktur Aktuell'!$D400,INDIRECT(G$5)))</f>
        <v>-104.28</v>
      </c>
      <c r="H400" s="593">
        <f ca="1">$E400*(-SUMIF(INDIRECT(H$3),'Struktur Aktuell'!$D400,INDIRECT(H$4))+SUMIF(INDIRECT(H$3),'Struktur Aktuell'!$D400,INDIRECT(H$5)))</f>
        <v>-104.3</v>
      </c>
      <c r="I400" s="593">
        <f ca="1">$E400*(-SUMIF(INDIRECT(I$3),'Struktur Aktuell'!$D400,INDIRECT(I$4))+SUMIF(INDIRECT(I$3),'Struktur Aktuell'!$D400,INDIRECT(I$5)))</f>
        <v>-104.28</v>
      </c>
      <c r="J400" s="593">
        <f ca="1">$E400*(-SUMIF(INDIRECT(J$3),'Struktur Aktuell'!$D400,INDIRECT(J$4))+SUMIF(INDIRECT(J$3),'Struktur Aktuell'!$D400,INDIRECT(J$5)))</f>
        <v>-104.3</v>
      </c>
      <c r="K400" s="593">
        <f ca="1">$E400*(-SUMIF(INDIRECT(K$3),'Struktur Aktuell'!$D400,INDIRECT(K$4))+SUMIF(INDIRECT(K$3),'Struktur Aktuell'!$D400,INDIRECT(K$5)))</f>
        <v>-104.29</v>
      </c>
      <c r="L400" s="593">
        <f ca="1">$E400*(-SUMIF(INDIRECT(L$3),'Struktur Aktuell'!$D400,INDIRECT(L$4))+SUMIF(INDIRECT(L$3),'Struktur Aktuell'!$D400,INDIRECT(L$5)))</f>
        <v>-104.29</v>
      </c>
      <c r="M400" s="593">
        <f ca="1">$E400*(-SUMIF(INDIRECT(M$3),'Struktur Aktuell'!$D400,INDIRECT(M$4))+SUMIF(INDIRECT(M$3),'Struktur Aktuell'!$D400,INDIRECT(M$5)))</f>
        <v>-104.29</v>
      </c>
      <c r="N400" s="593">
        <f ca="1">$E400*(-SUMIF(INDIRECT(N$3),'Struktur Aktuell'!$D400,INDIRECT(N$4))+SUMIF(INDIRECT(N$3),'Struktur Aktuell'!$D400,INDIRECT(N$5)))</f>
        <v>-104.3</v>
      </c>
      <c r="O400" s="593">
        <f ca="1">$E400*(-SUMIF(INDIRECT(O$3),'Struktur Aktuell'!$D400,INDIRECT(O$4))+SUMIF(INDIRECT(O$3),'Struktur Aktuell'!$D400,INDIRECT(O$5)))</f>
        <v>-52.16</v>
      </c>
      <c r="P400" s="593">
        <f ca="1">$E400*(-SUMIF(INDIRECT(P$3),'Struktur Aktuell'!$D400,INDIRECT(P$4))+SUMIF(INDIRECT(P$3),'Struktur Aktuell'!$D400,INDIRECT(P$5)))</f>
        <v>-52.17</v>
      </c>
      <c r="Q400" s="593">
        <f ca="1">$E400*(-SUMIF(INDIRECT(Q$3),'Struktur Aktuell'!$D400,INDIRECT(Q$4))+SUMIF(INDIRECT(Q$3),'Struktur Aktuell'!$D400,INDIRECT(Q$5)))</f>
        <v>0</v>
      </c>
      <c r="R400" s="593">
        <f ca="1">$E400*(-SUMIF(INDIRECT(R$3),'Struktur Aktuell'!$D400,INDIRECT(R$4))+SUMIF(INDIRECT(R$3),'Struktur Aktuell'!$D400,INDIRECT(R$5)))</f>
        <v>0</v>
      </c>
      <c r="S400" s="593">
        <f ca="1">$E400*(-SUMIF(INDIRECT(S$3),'Struktur Aktuell'!$D400,INDIRECT(S$4))+SUMIF(INDIRECT(S$3),'Struktur Aktuell'!$D400,INDIRECT(S$5)))</f>
        <v>1407.22</v>
      </c>
      <c r="T400" s="593">
        <f ca="1">$E400*(-SUMIF(INDIRECT(T$3),'Struktur Aktuell'!$D400,INDIRECT(T$4))+SUMIF(INDIRECT(T$3),'Struktur Aktuell'!$D400,INDIRECT(T$5)))</f>
        <v>1302.92</v>
      </c>
      <c r="U400" s="593">
        <f ca="1">$E400*(-SUMIF(INDIRECT(U$3),'Struktur Aktuell'!$D400,INDIRECT(U$4))+SUMIF(INDIRECT(U$3),'Struktur Aktuell'!$D400,INDIRECT(U$5)))</f>
        <v>1198.6400000000001</v>
      </c>
      <c r="V400" s="593">
        <f ca="1">$E400*(-SUMIF(INDIRECT(V$3),'Struktur Aktuell'!$D400,INDIRECT(V$4))+SUMIF(INDIRECT(V$3),'Struktur Aktuell'!$D400,INDIRECT(V$5)))</f>
        <v>1094.3399999999999</v>
      </c>
      <c r="W400" s="593">
        <f ca="1">$E400*(-SUMIF(INDIRECT(W$3),'Struktur Aktuell'!$D400,INDIRECT(W$4))+SUMIF(INDIRECT(W$3),'Struktur Aktuell'!$D400,INDIRECT(W$5)))</f>
        <v>990.05</v>
      </c>
      <c r="X400" s="593">
        <f ca="1">$E400*(-SUMIF(INDIRECT(X$3),'Struktur Aktuell'!$D400,INDIRECT(X$4))+SUMIF(INDIRECT(X$3),'Struktur Aktuell'!$D400,INDIRECT(X$5)))</f>
        <v>885.76</v>
      </c>
      <c r="Y400" s="593">
        <f ca="1">$E400*(-SUMIF(INDIRECT(Y$3),'Struktur Aktuell'!$D400,INDIRECT(Y$4))+SUMIF(INDIRECT(Y$3),'Struktur Aktuell'!$D400,INDIRECT(Y$5)))</f>
        <v>781.47</v>
      </c>
      <c r="Z400" s="593">
        <f ca="1">$E400*(-SUMIF(INDIRECT(Z$3),'Struktur Aktuell'!$D400,INDIRECT(Z$4))+SUMIF(INDIRECT(Z$3),'Struktur Aktuell'!$D400,INDIRECT(Z$5)))</f>
        <v>677.17</v>
      </c>
      <c r="AA400" s="593">
        <f ca="1">$E400*(-SUMIF(INDIRECT(AA$3),'Struktur Aktuell'!$D400,INDIRECT(AA$4))+SUMIF(INDIRECT(AA$3),'Struktur Aktuell'!$D400,INDIRECT(AA$5)))</f>
        <v>625.01</v>
      </c>
      <c r="AB400" s="593">
        <f ca="1">$E400*(-SUMIF(INDIRECT(AB$3),'Struktur Aktuell'!$D400,INDIRECT(AB$4))+SUMIF(INDIRECT(AB$3),'Struktur Aktuell'!$D400,INDIRECT(AB$5)))</f>
        <v>572.84</v>
      </c>
      <c r="AC400" s="593">
        <f ca="1">$E400*(-SUMIF(INDIRECT(AC$3),'Struktur Aktuell'!$D400,INDIRECT(AC$4))+SUMIF(INDIRECT(AC$3),'Struktur Aktuell'!$D400,INDIRECT(AC$5)))</f>
        <v>0</v>
      </c>
      <c r="AD400" s="593">
        <f ca="1">$E400*(-SUMIF(INDIRECT(AD$3),'Struktur Aktuell'!$D400,INDIRECT(AD$4))+SUMIF(INDIRECT(AD$3),'Struktur Aktuell'!$D400,INDIRECT(AD$5)))</f>
        <v>0</v>
      </c>
      <c r="AE400" s="593">
        <f t="shared" ref="AE400:AE415" ca="1" si="632">G400</f>
        <v>-104.28</v>
      </c>
      <c r="AF400" s="593">
        <f t="shared" ref="AF400:AF415" ca="1" si="633">H400+AE400</f>
        <v>-208.57999999999998</v>
      </c>
      <c r="AG400" s="593">
        <f t="shared" ref="AG400:AG415" ca="1" si="634">I400+AF400</f>
        <v>-312.86</v>
      </c>
      <c r="AH400" s="593">
        <f t="shared" ref="AH400:AH415" ca="1" si="635">J400+AG400</f>
        <v>-417.16</v>
      </c>
      <c r="AI400" s="593">
        <f t="shared" ref="AI400:AI415" ca="1" si="636">K400+AH400</f>
        <v>-521.45000000000005</v>
      </c>
      <c r="AJ400" s="593">
        <f t="shared" ref="AJ400:AJ415" ca="1" si="637">L400+AI400</f>
        <v>-625.74</v>
      </c>
      <c r="AK400" s="593">
        <f t="shared" ref="AK400:AK415" ca="1" si="638">M400+AJ400</f>
        <v>-730.03</v>
      </c>
      <c r="AL400" s="593">
        <f t="shared" ref="AL400:AL415" ca="1" si="639">N400+AK400</f>
        <v>-834.32999999999993</v>
      </c>
      <c r="AM400" s="593">
        <f t="shared" ref="AM400:AM415" ca="1" si="640">O400+AL400</f>
        <v>-886.4899999999999</v>
      </c>
      <c r="AN400" s="593">
        <f t="shared" ref="AN400:AN415" ca="1" si="641">P400+AM400</f>
        <v>-938.65999999999985</v>
      </c>
      <c r="AO400" s="593">
        <f t="shared" ref="AO400:AO415" ca="1" si="642">Q400+AN400</f>
        <v>-938.65999999999985</v>
      </c>
      <c r="AP400" s="593">
        <f t="shared" ref="AP400:AP415" ca="1" si="643">R400+AO400</f>
        <v>-938.65999999999985</v>
      </c>
    </row>
    <row r="401" spans="1:42" s="594" customFormat="1" ht="11.25" outlineLevel="1" x14ac:dyDescent="0.2">
      <c r="A401" s="644"/>
      <c r="B401" s="591" t="str">
        <f>IF(D401&lt;&gt;"",
IF(ISERROR(MATCH(D401,'Ist Aktuell Monat 01'!A:A,0))=FALSE,INDEX('Ist Aktuell Monat 01'!B:B,MATCH(D401,'Ist Aktuell Monat 01'!A:A,0)),
IF(ISERROR(MATCH(D401,'Ist Aktuell Monat 02'!A:A,0))=FALSE,INDEX('Ist Aktuell Monat 02'!B:B,MATCH(D401,'Ist Aktuell Monat 02'!A:A,0)),
IF(ISERROR(MATCH(D401,'Ist Aktuell Monat 03'!A:A,0))=FALSE,INDEX('Ist Aktuell Monat 03'!B:B,MATCH(D401,'Ist Aktuell Monat 03'!A:A,0)),
IF(ISERROR(MATCH(D401,'Ist Aktuell Monat 04'!A:A,0))=FALSE,INDEX('Ist Aktuell Monat 04'!B:B,MATCH(D401,'Ist Aktuell Monat 04'!A:A,0)),
IF(ISERROR(MATCH(D401,'Ist Aktuell Monat 05'!A:A,0))=FALSE,INDEX('Ist Aktuell Monat 05'!B:B,MATCH(D401,'Ist Aktuell Monat 05'!A:A,0)),
IF(ISERROR(MATCH(D401,'Ist Aktuell Monat 06'!A:A,0))=FALSE,INDEX('Ist Aktuell Monat 06'!B:B,MATCH(D401,'Ist Aktuell Monat 06'!A:A,0)),
IF(ISERROR(MATCH(D401,'Ist Aktuell Monat 07'!A:A,0))=FALSE,INDEX('Ist Aktuell Monat 07'!B:B,MATCH(D401,'Ist Aktuell Monat 07'!A:A,0)),
IF(ISERROR(MATCH(D401,'Ist Aktuell Monat 08'!A:A,0))=FALSE,INDEX('Ist Aktuell Monat 08'!B:B,MATCH(D401,'Ist Aktuell Monat 08'!A:A,0)),
IF(ISERROR(MATCH(D401,'Ist Aktuell Monat 09'!A:A,0))=FALSE,INDEX('Ist Aktuell Monat 09'!B:B,MATCH(D401,'Ist Aktuell Monat 09'!A:A,0)),
IF(ISERROR(MATCH(D401,'Ist Aktuell Monat 10'!A:A,0))=FALSE,INDEX('Ist Aktuell Monat 10'!B:B,MATCH(D401,'Ist Aktuell Monat 10'!A:A,0)),
IF(ISERROR(MATCH(D401,'Ist Aktuell Monat 11'!A:A,0))=FALSE,INDEX('Ist Aktuell Monat 11'!B:B,MATCH(D401,'Ist Aktuell Monat 11'!A:A,0)),
IF(ISERROR(MATCH(D401,'Ist Aktuell Monat 12'!A:A,0))=FALSE,INDEX('Ist Aktuell Monat 12'!B:B,MATCH(D401,'Ist Aktuell Monat 12'!A:A,0)),
"{Konto unbekannt}"
)))))))))))),"")</f>
        <v>Geschäftsausstattung</v>
      </c>
      <c r="C401" s="1062"/>
      <c r="D401" s="1067">
        <v>410</v>
      </c>
      <c r="E401" s="625">
        <f t="shared" si="602"/>
        <v>1</v>
      </c>
      <c r="F401" s="626"/>
      <c r="G401" s="593">
        <f ca="1">$E401*(-SUMIF(INDIRECT(G$3),'Struktur Aktuell'!$D401,INDIRECT(G$4))+SUMIF(INDIRECT(G$3),'Struktur Aktuell'!$D401,INDIRECT(G$5)))</f>
        <v>0</v>
      </c>
      <c r="H401" s="593">
        <f ca="1">$E401*(-SUMIF(INDIRECT(H$3),'Struktur Aktuell'!$D401,INDIRECT(H$4))+SUMIF(INDIRECT(H$3),'Struktur Aktuell'!$D401,INDIRECT(H$5)))</f>
        <v>0</v>
      </c>
      <c r="I401" s="593">
        <f ca="1">$E401*(-SUMIF(INDIRECT(I$3),'Struktur Aktuell'!$D401,INDIRECT(I$4))+SUMIF(INDIRECT(I$3),'Struktur Aktuell'!$D401,INDIRECT(I$5)))</f>
        <v>0</v>
      </c>
      <c r="J401" s="593">
        <f ca="1">$E401*(-SUMIF(INDIRECT(J$3),'Struktur Aktuell'!$D401,INDIRECT(J$4))+SUMIF(INDIRECT(J$3),'Struktur Aktuell'!$D401,INDIRECT(J$5)))</f>
        <v>0</v>
      </c>
      <c r="K401" s="593">
        <f ca="1">$E401*(-SUMIF(INDIRECT(K$3),'Struktur Aktuell'!$D401,INDIRECT(K$4))+SUMIF(INDIRECT(K$3),'Struktur Aktuell'!$D401,INDIRECT(K$5)))</f>
        <v>0</v>
      </c>
      <c r="L401" s="593">
        <f ca="1">$E401*(-SUMIF(INDIRECT(L$3),'Struktur Aktuell'!$D401,INDIRECT(L$4))+SUMIF(INDIRECT(L$3),'Struktur Aktuell'!$D401,INDIRECT(L$5)))</f>
        <v>0</v>
      </c>
      <c r="M401" s="593">
        <f ca="1">$E401*(-SUMIF(INDIRECT(M$3),'Struktur Aktuell'!$D401,INDIRECT(M$4))+SUMIF(INDIRECT(M$3),'Struktur Aktuell'!$D401,INDIRECT(M$5)))</f>
        <v>0</v>
      </c>
      <c r="N401" s="593">
        <f ca="1">$E401*(-SUMIF(INDIRECT(N$3),'Struktur Aktuell'!$D401,INDIRECT(N$4))+SUMIF(INDIRECT(N$3),'Struktur Aktuell'!$D401,INDIRECT(N$5)))</f>
        <v>0</v>
      </c>
      <c r="O401" s="593">
        <f ca="1">$E401*(-SUMIF(INDIRECT(O$3),'Struktur Aktuell'!$D401,INDIRECT(O$4))+SUMIF(INDIRECT(O$3),'Struktur Aktuell'!$D401,INDIRECT(O$5)))</f>
        <v>0</v>
      </c>
      <c r="P401" s="593">
        <f ca="1">$E401*(-SUMIF(INDIRECT(P$3),'Struktur Aktuell'!$D401,INDIRECT(P$4))+SUMIF(INDIRECT(P$3),'Struktur Aktuell'!$D401,INDIRECT(P$5)))</f>
        <v>0</v>
      </c>
      <c r="Q401" s="593">
        <f ca="1">$E401*(-SUMIF(INDIRECT(Q$3),'Struktur Aktuell'!$D401,INDIRECT(Q$4))+SUMIF(INDIRECT(Q$3),'Struktur Aktuell'!$D401,INDIRECT(Q$5)))</f>
        <v>0</v>
      </c>
      <c r="R401" s="593">
        <f ca="1">$E401*(-SUMIF(INDIRECT(R$3),'Struktur Aktuell'!$D401,INDIRECT(R$4))+SUMIF(INDIRECT(R$3),'Struktur Aktuell'!$D401,INDIRECT(R$5)))</f>
        <v>0</v>
      </c>
      <c r="S401" s="593">
        <f ca="1">$E401*(-SUMIF(INDIRECT(S$3),'Struktur Aktuell'!$D401,INDIRECT(S$4))+SUMIF(INDIRECT(S$3),'Struktur Aktuell'!$D401,INDIRECT(S$5)))</f>
        <v>1</v>
      </c>
      <c r="T401" s="593">
        <f ca="1">$E401*(-SUMIF(INDIRECT(T$3),'Struktur Aktuell'!$D401,INDIRECT(T$4))+SUMIF(INDIRECT(T$3),'Struktur Aktuell'!$D401,INDIRECT(T$5)))</f>
        <v>1</v>
      </c>
      <c r="U401" s="593">
        <f ca="1">$E401*(-SUMIF(INDIRECT(U$3),'Struktur Aktuell'!$D401,INDIRECT(U$4))+SUMIF(INDIRECT(U$3),'Struktur Aktuell'!$D401,INDIRECT(U$5)))</f>
        <v>1</v>
      </c>
      <c r="V401" s="593">
        <f ca="1">$E401*(-SUMIF(INDIRECT(V$3),'Struktur Aktuell'!$D401,INDIRECT(V$4))+SUMIF(INDIRECT(V$3),'Struktur Aktuell'!$D401,INDIRECT(V$5)))</f>
        <v>1</v>
      </c>
      <c r="W401" s="593">
        <f ca="1">$E401*(-SUMIF(INDIRECT(W$3),'Struktur Aktuell'!$D401,INDIRECT(W$4))+SUMIF(INDIRECT(W$3),'Struktur Aktuell'!$D401,INDIRECT(W$5)))</f>
        <v>1</v>
      </c>
      <c r="X401" s="593">
        <f ca="1">$E401*(-SUMIF(INDIRECT(X$3),'Struktur Aktuell'!$D401,INDIRECT(X$4))+SUMIF(INDIRECT(X$3),'Struktur Aktuell'!$D401,INDIRECT(X$5)))</f>
        <v>1</v>
      </c>
      <c r="Y401" s="593">
        <f ca="1">$E401*(-SUMIF(INDIRECT(Y$3),'Struktur Aktuell'!$D401,INDIRECT(Y$4))+SUMIF(INDIRECT(Y$3),'Struktur Aktuell'!$D401,INDIRECT(Y$5)))</f>
        <v>1</v>
      </c>
      <c r="Z401" s="593">
        <f ca="1">$E401*(-SUMIF(INDIRECT(Z$3),'Struktur Aktuell'!$D401,INDIRECT(Z$4))+SUMIF(INDIRECT(Z$3),'Struktur Aktuell'!$D401,INDIRECT(Z$5)))</f>
        <v>1</v>
      </c>
      <c r="AA401" s="593">
        <f ca="1">$E401*(-SUMIF(INDIRECT(AA$3),'Struktur Aktuell'!$D401,INDIRECT(AA$4))+SUMIF(INDIRECT(AA$3),'Struktur Aktuell'!$D401,INDIRECT(AA$5)))</f>
        <v>1</v>
      </c>
      <c r="AB401" s="593">
        <f ca="1">$E401*(-SUMIF(INDIRECT(AB$3),'Struktur Aktuell'!$D401,INDIRECT(AB$4))+SUMIF(INDIRECT(AB$3),'Struktur Aktuell'!$D401,INDIRECT(AB$5)))</f>
        <v>1</v>
      </c>
      <c r="AC401" s="593">
        <f ca="1">$E401*(-SUMIF(INDIRECT(AC$3),'Struktur Aktuell'!$D401,INDIRECT(AC$4))+SUMIF(INDIRECT(AC$3),'Struktur Aktuell'!$D401,INDIRECT(AC$5)))</f>
        <v>0</v>
      </c>
      <c r="AD401" s="593">
        <f ca="1">$E401*(-SUMIF(INDIRECT(AD$3),'Struktur Aktuell'!$D401,INDIRECT(AD$4))+SUMIF(INDIRECT(AD$3),'Struktur Aktuell'!$D401,INDIRECT(AD$5)))</f>
        <v>0</v>
      </c>
      <c r="AE401" s="593">
        <f t="shared" ca="1" si="632"/>
        <v>0</v>
      </c>
      <c r="AF401" s="593">
        <f t="shared" ca="1" si="633"/>
        <v>0</v>
      </c>
      <c r="AG401" s="593">
        <f t="shared" ca="1" si="634"/>
        <v>0</v>
      </c>
      <c r="AH401" s="593">
        <f t="shared" ca="1" si="635"/>
        <v>0</v>
      </c>
      <c r="AI401" s="593">
        <f t="shared" ca="1" si="636"/>
        <v>0</v>
      </c>
      <c r="AJ401" s="593">
        <f t="shared" ca="1" si="637"/>
        <v>0</v>
      </c>
      <c r="AK401" s="593">
        <f t="shared" ca="1" si="638"/>
        <v>0</v>
      </c>
      <c r="AL401" s="593">
        <f t="shared" ca="1" si="639"/>
        <v>0</v>
      </c>
      <c r="AM401" s="593">
        <f t="shared" ca="1" si="640"/>
        <v>0</v>
      </c>
      <c r="AN401" s="593">
        <f t="shared" ca="1" si="641"/>
        <v>0</v>
      </c>
      <c r="AO401" s="593">
        <f t="shared" ca="1" si="642"/>
        <v>0</v>
      </c>
      <c r="AP401" s="593">
        <f t="shared" ca="1" si="643"/>
        <v>0</v>
      </c>
    </row>
    <row r="402" spans="1:42" s="594" customFormat="1" ht="11.25" outlineLevel="1" x14ac:dyDescent="0.2">
      <c r="A402" s="644"/>
      <c r="B402" s="591" t="str">
        <f>IF(D402&lt;&gt;"",
IF(ISERROR(MATCH(D402,'Ist Aktuell Monat 01'!A:A,0))=FALSE,INDEX('Ist Aktuell Monat 01'!B:B,MATCH(D402,'Ist Aktuell Monat 01'!A:A,0)),
IF(ISERROR(MATCH(D402,'Ist Aktuell Monat 02'!A:A,0))=FALSE,INDEX('Ist Aktuell Monat 02'!B:B,MATCH(D402,'Ist Aktuell Monat 02'!A:A,0)),
IF(ISERROR(MATCH(D402,'Ist Aktuell Monat 03'!A:A,0))=FALSE,INDEX('Ist Aktuell Monat 03'!B:B,MATCH(D402,'Ist Aktuell Monat 03'!A:A,0)),
IF(ISERROR(MATCH(D402,'Ist Aktuell Monat 04'!A:A,0))=FALSE,INDEX('Ist Aktuell Monat 04'!B:B,MATCH(D402,'Ist Aktuell Monat 04'!A:A,0)),
IF(ISERROR(MATCH(D402,'Ist Aktuell Monat 05'!A:A,0))=FALSE,INDEX('Ist Aktuell Monat 05'!B:B,MATCH(D402,'Ist Aktuell Monat 05'!A:A,0)),
IF(ISERROR(MATCH(D402,'Ist Aktuell Monat 06'!A:A,0))=FALSE,INDEX('Ist Aktuell Monat 06'!B:B,MATCH(D402,'Ist Aktuell Monat 06'!A:A,0)),
IF(ISERROR(MATCH(D402,'Ist Aktuell Monat 07'!A:A,0))=FALSE,INDEX('Ist Aktuell Monat 07'!B:B,MATCH(D402,'Ist Aktuell Monat 07'!A:A,0)),
IF(ISERROR(MATCH(D402,'Ist Aktuell Monat 08'!A:A,0))=FALSE,INDEX('Ist Aktuell Monat 08'!B:B,MATCH(D402,'Ist Aktuell Monat 08'!A:A,0)),
IF(ISERROR(MATCH(D402,'Ist Aktuell Monat 09'!A:A,0))=FALSE,INDEX('Ist Aktuell Monat 09'!B:B,MATCH(D402,'Ist Aktuell Monat 09'!A:A,0)),
IF(ISERROR(MATCH(D402,'Ist Aktuell Monat 10'!A:A,0))=FALSE,INDEX('Ist Aktuell Monat 10'!B:B,MATCH(D402,'Ist Aktuell Monat 10'!A:A,0)),
IF(ISERROR(MATCH(D402,'Ist Aktuell Monat 11'!A:A,0))=FALSE,INDEX('Ist Aktuell Monat 11'!B:B,MATCH(D402,'Ist Aktuell Monat 11'!A:A,0)),
IF(ISERROR(MATCH(D402,'Ist Aktuell Monat 12'!A:A,0))=FALSE,INDEX('Ist Aktuell Monat 12'!B:B,MATCH(D402,'Ist Aktuell Monat 12'!A:A,0)),
"{Konto unbekannt}"
)))))))))))),"")</f>
        <v>Büroeinrichtung</v>
      </c>
      <c r="C402" s="1062"/>
      <c r="D402" s="1067">
        <v>420</v>
      </c>
      <c r="E402" s="625">
        <f t="shared" si="602"/>
        <v>1</v>
      </c>
      <c r="F402" s="626"/>
      <c r="G402" s="593">
        <f ca="1">$E402*(-SUMIF(INDIRECT(G$3),'Struktur Aktuell'!$D402,INDIRECT(G$4))+SUMIF(INDIRECT(G$3),'Struktur Aktuell'!$D402,INDIRECT(G$5)))</f>
        <v>0</v>
      </c>
      <c r="H402" s="593">
        <f ca="1">$E402*(-SUMIF(INDIRECT(H$3),'Struktur Aktuell'!$D402,INDIRECT(H$4))+SUMIF(INDIRECT(H$3),'Struktur Aktuell'!$D402,INDIRECT(H$5)))</f>
        <v>0</v>
      </c>
      <c r="I402" s="593">
        <f ca="1">$E402*(-SUMIF(INDIRECT(I$3),'Struktur Aktuell'!$D402,INDIRECT(I$4))+SUMIF(INDIRECT(I$3),'Struktur Aktuell'!$D402,INDIRECT(I$5)))</f>
        <v>0</v>
      </c>
      <c r="J402" s="593">
        <f ca="1">$E402*(-SUMIF(INDIRECT(J$3),'Struktur Aktuell'!$D402,INDIRECT(J$4))+SUMIF(INDIRECT(J$3),'Struktur Aktuell'!$D402,INDIRECT(J$5)))</f>
        <v>0</v>
      </c>
      <c r="K402" s="593">
        <f ca="1">$E402*(-SUMIF(INDIRECT(K$3),'Struktur Aktuell'!$D402,INDIRECT(K$4))+SUMIF(INDIRECT(K$3),'Struktur Aktuell'!$D402,INDIRECT(K$5)))</f>
        <v>0</v>
      </c>
      <c r="L402" s="593">
        <f ca="1">$E402*(-SUMIF(INDIRECT(L$3),'Struktur Aktuell'!$D402,INDIRECT(L$4))+SUMIF(INDIRECT(L$3),'Struktur Aktuell'!$D402,INDIRECT(L$5)))</f>
        <v>0</v>
      </c>
      <c r="M402" s="593">
        <f ca="1">$E402*(-SUMIF(INDIRECT(M$3),'Struktur Aktuell'!$D402,INDIRECT(M$4))+SUMIF(INDIRECT(M$3),'Struktur Aktuell'!$D402,INDIRECT(M$5)))</f>
        <v>0</v>
      </c>
      <c r="N402" s="593">
        <f ca="1">$E402*(-SUMIF(INDIRECT(N$3),'Struktur Aktuell'!$D402,INDIRECT(N$4))+SUMIF(INDIRECT(N$3),'Struktur Aktuell'!$D402,INDIRECT(N$5)))</f>
        <v>0</v>
      </c>
      <c r="O402" s="593">
        <f ca="1">$E402*(-SUMIF(INDIRECT(O$3),'Struktur Aktuell'!$D402,INDIRECT(O$4))+SUMIF(INDIRECT(O$3),'Struktur Aktuell'!$D402,INDIRECT(O$5)))</f>
        <v>0</v>
      </c>
      <c r="P402" s="593">
        <f ca="1">$E402*(-SUMIF(INDIRECT(P$3),'Struktur Aktuell'!$D402,INDIRECT(P$4))+SUMIF(INDIRECT(P$3),'Struktur Aktuell'!$D402,INDIRECT(P$5)))</f>
        <v>0</v>
      </c>
      <c r="Q402" s="593">
        <f ca="1">$E402*(-SUMIF(INDIRECT(Q$3),'Struktur Aktuell'!$D402,INDIRECT(Q$4))+SUMIF(INDIRECT(Q$3),'Struktur Aktuell'!$D402,INDIRECT(Q$5)))</f>
        <v>0</v>
      </c>
      <c r="R402" s="593">
        <f ca="1">$E402*(-SUMIF(INDIRECT(R$3),'Struktur Aktuell'!$D402,INDIRECT(R$4))+SUMIF(INDIRECT(R$3),'Struktur Aktuell'!$D402,INDIRECT(R$5)))</f>
        <v>0</v>
      </c>
      <c r="S402" s="593">
        <f ca="1">$E402*(-SUMIF(INDIRECT(S$3),'Struktur Aktuell'!$D402,INDIRECT(S$4))+SUMIF(INDIRECT(S$3),'Struktur Aktuell'!$D402,INDIRECT(S$5)))</f>
        <v>3.5</v>
      </c>
      <c r="T402" s="593">
        <f ca="1">$E402*(-SUMIF(INDIRECT(T$3),'Struktur Aktuell'!$D402,INDIRECT(T$4))+SUMIF(INDIRECT(T$3),'Struktur Aktuell'!$D402,INDIRECT(T$5)))</f>
        <v>3.5</v>
      </c>
      <c r="U402" s="593">
        <f ca="1">$E402*(-SUMIF(INDIRECT(U$3),'Struktur Aktuell'!$D402,INDIRECT(U$4))+SUMIF(INDIRECT(U$3),'Struktur Aktuell'!$D402,INDIRECT(U$5)))</f>
        <v>3.5</v>
      </c>
      <c r="V402" s="593">
        <f ca="1">$E402*(-SUMIF(INDIRECT(V$3),'Struktur Aktuell'!$D402,INDIRECT(V$4))+SUMIF(INDIRECT(V$3),'Struktur Aktuell'!$D402,INDIRECT(V$5)))</f>
        <v>3.5</v>
      </c>
      <c r="W402" s="593">
        <f ca="1">$E402*(-SUMIF(INDIRECT(W$3),'Struktur Aktuell'!$D402,INDIRECT(W$4))+SUMIF(INDIRECT(W$3),'Struktur Aktuell'!$D402,INDIRECT(W$5)))</f>
        <v>3.5</v>
      </c>
      <c r="X402" s="593">
        <f ca="1">$E402*(-SUMIF(INDIRECT(X$3),'Struktur Aktuell'!$D402,INDIRECT(X$4))+SUMIF(INDIRECT(X$3),'Struktur Aktuell'!$D402,INDIRECT(X$5)))</f>
        <v>3.5</v>
      </c>
      <c r="Y402" s="593">
        <f ca="1">$E402*(-SUMIF(INDIRECT(Y$3),'Struktur Aktuell'!$D402,INDIRECT(Y$4))+SUMIF(INDIRECT(Y$3),'Struktur Aktuell'!$D402,INDIRECT(Y$5)))</f>
        <v>3.5</v>
      </c>
      <c r="Z402" s="593">
        <f ca="1">$E402*(-SUMIF(INDIRECT(Z$3),'Struktur Aktuell'!$D402,INDIRECT(Z$4))+SUMIF(INDIRECT(Z$3),'Struktur Aktuell'!$D402,INDIRECT(Z$5)))</f>
        <v>3.5</v>
      </c>
      <c r="AA402" s="593">
        <f ca="1">$E402*(-SUMIF(INDIRECT(AA$3),'Struktur Aktuell'!$D402,INDIRECT(AA$4))+SUMIF(INDIRECT(AA$3),'Struktur Aktuell'!$D402,INDIRECT(AA$5)))</f>
        <v>3.5</v>
      </c>
      <c r="AB402" s="593">
        <f ca="1">$E402*(-SUMIF(INDIRECT(AB$3),'Struktur Aktuell'!$D402,INDIRECT(AB$4))+SUMIF(INDIRECT(AB$3),'Struktur Aktuell'!$D402,INDIRECT(AB$5)))</f>
        <v>3.5</v>
      </c>
      <c r="AC402" s="593">
        <f ca="1">$E402*(-SUMIF(INDIRECT(AC$3),'Struktur Aktuell'!$D402,INDIRECT(AC$4))+SUMIF(INDIRECT(AC$3),'Struktur Aktuell'!$D402,INDIRECT(AC$5)))</f>
        <v>0</v>
      </c>
      <c r="AD402" s="593">
        <f ca="1">$E402*(-SUMIF(INDIRECT(AD$3),'Struktur Aktuell'!$D402,INDIRECT(AD$4))+SUMIF(INDIRECT(AD$3),'Struktur Aktuell'!$D402,INDIRECT(AD$5)))</f>
        <v>0</v>
      </c>
      <c r="AE402" s="593">
        <f t="shared" ca="1" si="632"/>
        <v>0</v>
      </c>
      <c r="AF402" s="593">
        <f t="shared" ca="1" si="633"/>
        <v>0</v>
      </c>
      <c r="AG402" s="593">
        <f t="shared" ca="1" si="634"/>
        <v>0</v>
      </c>
      <c r="AH402" s="593">
        <f t="shared" ca="1" si="635"/>
        <v>0</v>
      </c>
      <c r="AI402" s="593">
        <f t="shared" ca="1" si="636"/>
        <v>0</v>
      </c>
      <c r="AJ402" s="593">
        <f t="shared" ca="1" si="637"/>
        <v>0</v>
      </c>
      <c r="AK402" s="593">
        <f t="shared" ca="1" si="638"/>
        <v>0</v>
      </c>
      <c r="AL402" s="593">
        <f t="shared" ca="1" si="639"/>
        <v>0</v>
      </c>
      <c r="AM402" s="593">
        <f t="shared" ca="1" si="640"/>
        <v>0</v>
      </c>
      <c r="AN402" s="593">
        <f t="shared" ca="1" si="641"/>
        <v>0</v>
      </c>
      <c r="AO402" s="593">
        <f t="shared" ca="1" si="642"/>
        <v>0</v>
      </c>
      <c r="AP402" s="593">
        <f t="shared" ca="1" si="643"/>
        <v>0</v>
      </c>
    </row>
    <row r="403" spans="1:42" s="594" customFormat="1" ht="11.25" outlineLevel="1" x14ac:dyDescent="0.2">
      <c r="A403" s="644"/>
      <c r="B403" s="591" t="str">
        <f>IF(D403&lt;&gt;"",
IF(ISERROR(MATCH(D403,'Ist Aktuell Monat 01'!A:A,0))=FALSE,INDEX('Ist Aktuell Monat 01'!B:B,MATCH(D403,'Ist Aktuell Monat 01'!A:A,0)),
IF(ISERROR(MATCH(D403,'Ist Aktuell Monat 02'!A:A,0))=FALSE,INDEX('Ist Aktuell Monat 02'!B:B,MATCH(D403,'Ist Aktuell Monat 02'!A:A,0)),
IF(ISERROR(MATCH(D403,'Ist Aktuell Monat 03'!A:A,0))=FALSE,INDEX('Ist Aktuell Monat 03'!B:B,MATCH(D403,'Ist Aktuell Monat 03'!A:A,0)),
IF(ISERROR(MATCH(D403,'Ist Aktuell Monat 04'!A:A,0))=FALSE,INDEX('Ist Aktuell Monat 04'!B:B,MATCH(D403,'Ist Aktuell Monat 04'!A:A,0)),
IF(ISERROR(MATCH(D403,'Ist Aktuell Monat 05'!A:A,0))=FALSE,INDEX('Ist Aktuell Monat 05'!B:B,MATCH(D403,'Ist Aktuell Monat 05'!A:A,0)),
IF(ISERROR(MATCH(D403,'Ist Aktuell Monat 06'!A:A,0))=FALSE,INDEX('Ist Aktuell Monat 06'!B:B,MATCH(D403,'Ist Aktuell Monat 06'!A:A,0)),
IF(ISERROR(MATCH(D403,'Ist Aktuell Monat 07'!A:A,0))=FALSE,INDEX('Ist Aktuell Monat 07'!B:B,MATCH(D403,'Ist Aktuell Monat 07'!A:A,0)),
IF(ISERROR(MATCH(D403,'Ist Aktuell Monat 08'!A:A,0))=FALSE,INDEX('Ist Aktuell Monat 08'!B:B,MATCH(D403,'Ist Aktuell Monat 08'!A:A,0)),
IF(ISERROR(MATCH(D403,'Ist Aktuell Monat 09'!A:A,0))=FALSE,INDEX('Ist Aktuell Monat 09'!B:B,MATCH(D403,'Ist Aktuell Monat 09'!A:A,0)),
IF(ISERROR(MATCH(D403,'Ist Aktuell Monat 10'!A:A,0))=FALSE,INDEX('Ist Aktuell Monat 10'!B:B,MATCH(D403,'Ist Aktuell Monat 10'!A:A,0)),
IF(ISERROR(MATCH(D403,'Ist Aktuell Monat 11'!A:A,0))=FALSE,INDEX('Ist Aktuell Monat 11'!B:B,MATCH(D403,'Ist Aktuell Monat 11'!A:A,0)),
IF(ISERROR(MATCH(D403,'Ist Aktuell Monat 12'!A:A,0))=FALSE,INDEX('Ist Aktuell Monat 12'!B:B,MATCH(D403,'Ist Aktuell Monat 12'!A:A,0)),
"{Konto unbekannt}"
)))))))))))),"")</f>
        <v>Hard- u. Software</v>
      </c>
      <c r="C403" s="1062"/>
      <c r="D403" s="1067">
        <v>425</v>
      </c>
      <c r="E403" s="625">
        <f t="shared" si="602"/>
        <v>1</v>
      </c>
      <c r="F403" s="626"/>
      <c r="G403" s="593">
        <f ca="1">$E403*(-SUMIF(INDIRECT(G$3),'Struktur Aktuell'!$D403,INDIRECT(G$4))+SUMIF(INDIRECT(G$3),'Struktur Aktuell'!$D403,INDIRECT(G$5)))</f>
        <v>-53.12</v>
      </c>
      <c r="H403" s="593">
        <f ca="1">$E403*(-SUMIF(INDIRECT(H$3),'Struktur Aktuell'!$D403,INDIRECT(H$4))+SUMIF(INDIRECT(H$3),'Struktur Aktuell'!$D403,INDIRECT(H$5)))</f>
        <v>-53.13</v>
      </c>
      <c r="I403" s="593">
        <f ca="1">$E403*(-SUMIF(INDIRECT(I$3),'Struktur Aktuell'!$D403,INDIRECT(I$4))+SUMIF(INDIRECT(I$3),'Struktur Aktuell'!$D403,INDIRECT(I$5)))</f>
        <v>-53.12</v>
      </c>
      <c r="J403" s="593">
        <f ca="1">$E403*(-SUMIF(INDIRECT(J$3),'Struktur Aktuell'!$D403,INDIRECT(J$4))+SUMIF(INDIRECT(J$3),'Struktur Aktuell'!$D403,INDIRECT(J$5)))</f>
        <v>3609.78</v>
      </c>
      <c r="K403" s="593">
        <f ca="1">$E403*(-SUMIF(INDIRECT(K$3),'Struktur Aktuell'!$D403,INDIRECT(K$4))+SUMIF(INDIRECT(K$3),'Struktur Aktuell'!$D403,INDIRECT(K$5)))</f>
        <v>-136.62</v>
      </c>
      <c r="L403" s="593">
        <f ca="1">$E403*(-SUMIF(INDIRECT(L$3),'Struktur Aktuell'!$D403,INDIRECT(L$4))+SUMIF(INDIRECT(L$3),'Struktur Aktuell'!$D403,INDIRECT(L$5)))</f>
        <v>-136.6</v>
      </c>
      <c r="M403" s="593">
        <f ca="1">$E403*(-SUMIF(INDIRECT(M$3),'Struktur Aktuell'!$D403,INDIRECT(M$4))+SUMIF(INDIRECT(M$3),'Struktur Aktuell'!$D403,INDIRECT(M$5)))</f>
        <v>-136.62</v>
      </c>
      <c r="N403" s="593">
        <f ca="1">$E403*(-SUMIF(INDIRECT(N$3),'Struktur Aktuell'!$D403,INDIRECT(N$4))+SUMIF(INDIRECT(N$3),'Struktur Aktuell'!$D403,INDIRECT(N$5)))</f>
        <v>-136.61000000000001</v>
      </c>
      <c r="O403" s="593">
        <f ca="1">$E403*(-SUMIF(INDIRECT(O$3),'Struktur Aktuell'!$D403,INDIRECT(O$4))+SUMIF(INDIRECT(O$3),'Struktur Aktuell'!$D403,INDIRECT(O$5)))</f>
        <v>-136.61000000000001</v>
      </c>
      <c r="P403" s="593">
        <f ca="1">$E403*(-SUMIF(INDIRECT(P$3),'Struktur Aktuell'!$D403,INDIRECT(P$4))+SUMIF(INDIRECT(P$3),'Struktur Aktuell'!$D403,INDIRECT(P$5)))</f>
        <v>-136.61000000000001</v>
      </c>
      <c r="Q403" s="593">
        <f ca="1">$E403*(-SUMIF(INDIRECT(Q$3),'Struktur Aktuell'!$D403,INDIRECT(Q$4))+SUMIF(INDIRECT(Q$3),'Struktur Aktuell'!$D403,INDIRECT(Q$5)))</f>
        <v>0</v>
      </c>
      <c r="R403" s="593">
        <f ca="1">$E403*(-SUMIF(INDIRECT(R$3),'Struktur Aktuell'!$D403,INDIRECT(R$4))+SUMIF(INDIRECT(R$3),'Struktur Aktuell'!$D403,INDIRECT(R$5)))</f>
        <v>0</v>
      </c>
      <c r="S403" s="593">
        <f ca="1">$E403*(-SUMIF(INDIRECT(S$3),'Struktur Aktuell'!$D403,INDIRECT(S$4))+SUMIF(INDIRECT(S$3),'Struktur Aktuell'!$D403,INDIRECT(S$5)))</f>
        <v>990.38</v>
      </c>
      <c r="T403" s="593">
        <f ca="1">$E403*(-SUMIF(INDIRECT(T$3),'Struktur Aktuell'!$D403,INDIRECT(T$4))+SUMIF(INDIRECT(T$3),'Struktur Aktuell'!$D403,INDIRECT(T$5)))</f>
        <v>937.25</v>
      </c>
      <c r="U403" s="593">
        <f ca="1">$E403*(-SUMIF(INDIRECT(U$3),'Struktur Aktuell'!$D403,INDIRECT(U$4))+SUMIF(INDIRECT(U$3),'Struktur Aktuell'!$D403,INDIRECT(U$5)))</f>
        <v>884.13</v>
      </c>
      <c r="V403" s="593">
        <f ca="1">$E403*(-SUMIF(INDIRECT(V$3),'Struktur Aktuell'!$D403,INDIRECT(V$4))+SUMIF(INDIRECT(V$3),'Struktur Aktuell'!$D403,INDIRECT(V$5)))</f>
        <v>4493.91</v>
      </c>
      <c r="W403" s="593">
        <f ca="1">$E403*(-SUMIF(INDIRECT(W$3),'Struktur Aktuell'!$D403,INDIRECT(W$4))+SUMIF(INDIRECT(W$3),'Struktur Aktuell'!$D403,INDIRECT(W$5)))</f>
        <v>4357.29</v>
      </c>
      <c r="X403" s="593">
        <f ca="1">$E403*(-SUMIF(INDIRECT(X$3),'Struktur Aktuell'!$D403,INDIRECT(X$4))+SUMIF(INDIRECT(X$3),'Struktur Aktuell'!$D403,INDIRECT(X$5)))</f>
        <v>4220.6899999999996</v>
      </c>
      <c r="Y403" s="593">
        <f ca="1">$E403*(-SUMIF(INDIRECT(Y$3),'Struktur Aktuell'!$D403,INDIRECT(Y$4))+SUMIF(INDIRECT(Y$3),'Struktur Aktuell'!$D403,INDIRECT(Y$5)))</f>
        <v>4084.07</v>
      </c>
      <c r="Z403" s="593">
        <f ca="1">$E403*(-SUMIF(INDIRECT(Z$3),'Struktur Aktuell'!$D403,INDIRECT(Z$4))+SUMIF(INDIRECT(Z$3),'Struktur Aktuell'!$D403,INDIRECT(Z$5)))</f>
        <v>3947.46</v>
      </c>
      <c r="AA403" s="593">
        <f ca="1">$E403*(-SUMIF(INDIRECT(AA$3),'Struktur Aktuell'!$D403,INDIRECT(AA$4))+SUMIF(INDIRECT(AA$3),'Struktur Aktuell'!$D403,INDIRECT(AA$5)))</f>
        <v>3810.85</v>
      </c>
      <c r="AB403" s="593">
        <f ca="1">$E403*(-SUMIF(INDIRECT(AB$3),'Struktur Aktuell'!$D403,INDIRECT(AB$4))+SUMIF(INDIRECT(AB$3),'Struktur Aktuell'!$D403,INDIRECT(AB$5)))</f>
        <v>3674.24</v>
      </c>
      <c r="AC403" s="593">
        <f ca="1">$E403*(-SUMIF(INDIRECT(AC$3),'Struktur Aktuell'!$D403,INDIRECT(AC$4))+SUMIF(INDIRECT(AC$3),'Struktur Aktuell'!$D403,INDIRECT(AC$5)))</f>
        <v>0</v>
      </c>
      <c r="AD403" s="593">
        <f ca="1">$E403*(-SUMIF(INDIRECT(AD$3),'Struktur Aktuell'!$D403,INDIRECT(AD$4))+SUMIF(INDIRECT(AD$3),'Struktur Aktuell'!$D403,INDIRECT(AD$5)))</f>
        <v>0</v>
      </c>
      <c r="AE403" s="593">
        <f t="shared" ca="1" si="632"/>
        <v>-53.12</v>
      </c>
      <c r="AF403" s="593">
        <f t="shared" ca="1" si="633"/>
        <v>-106.25</v>
      </c>
      <c r="AG403" s="593">
        <f t="shared" ca="1" si="634"/>
        <v>-159.37</v>
      </c>
      <c r="AH403" s="593">
        <f t="shared" ca="1" si="635"/>
        <v>3450.4100000000003</v>
      </c>
      <c r="AI403" s="593">
        <f t="shared" ca="1" si="636"/>
        <v>3313.7900000000004</v>
      </c>
      <c r="AJ403" s="593">
        <f t="shared" ca="1" si="637"/>
        <v>3177.1900000000005</v>
      </c>
      <c r="AK403" s="593">
        <f t="shared" ca="1" si="638"/>
        <v>3040.5700000000006</v>
      </c>
      <c r="AL403" s="593">
        <f t="shared" ca="1" si="639"/>
        <v>2903.9600000000005</v>
      </c>
      <c r="AM403" s="593">
        <f t="shared" ca="1" si="640"/>
        <v>2767.3500000000004</v>
      </c>
      <c r="AN403" s="593">
        <f t="shared" ca="1" si="641"/>
        <v>2630.7400000000002</v>
      </c>
      <c r="AO403" s="593">
        <f t="shared" ca="1" si="642"/>
        <v>2630.7400000000002</v>
      </c>
      <c r="AP403" s="593">
        <f t="shared" ca="1" si="643"/>
        <v>2630.7400000000002</v>
      </c>
    </row>
    <row r="404" spans="1:42" s="594" customFormat="1" ht="11.25" outlineLevel="1" x14ac:dyDescent="0.2">
      <c r="A404" s="644"/>
      <c r="B404" s="591" t="str">
        <f>IF(D404&lt;&gt;"",
IF(ISERROR(MATCH(D404,'Ist Aktuell Monat 01'!A:A,0))=FALSE,INDEX('Ist Aktuell Monat 01'!B:B,MATCH(D404,'Ist Aktuell Monat 01'!A:A,0)),
IF(ISERROR(MATCH(D404,'Ist Aktuell Monat 02'!A:A,0))=FALSE,INDEX('Ist Aktuell Monat 02'!B:B,MATCH(D404,'Ist Aktuell Monat 02'!A:A,0)),
IF(ISERROR(MATCH(D404,'Ist Aktuell Monat 03'!A:A,0))=FALSE,INDEX('Ist Aktuell Monat 03'!B:B,MATCH(D404,'Ist Aktuell Monat 03'!A:A,0)),
IF(ISERROR(MATCH(D404,'Ist Aktuell Monat 04'!A:A,0))=FALSE,INDEX('Ist Aktuell Monat 04'!B:B,MATCH(D404,'Ist Aktuell Monat 04'!A:A,0)),
IF(ISERROR(MATCH(D404,'Ist Aktuell Monat 05'!A:A,0))=FALSE,INDEX('Ist Aktuell Monat 05'!B:B,MATCH(D404,'Ist Aktuell Monat 05'!A:A,0)),
IF(ISERROR(MATCH(D404,'Ist Aktuell Monat 06'!A:A,0))=FALSE,INDEX('Ist Aktuell Monat 06'!B:B,MATCH(D404,'Ist Aktuell Monat 06'!A:A,0)),
IF(ISERROR(MATCH(D404,'Ist Aktuell Monat 07'!A:A,0))=FALSE,INDEX('Ist Aktuell Monat 07'!B:B,MATCH(D404,'Ist Aktuell Monat 07'!A:A,0)),
IF(ISERROR(MATCH(D404,'Ist Aktuell Monat 08'!A:A,0))=FALSE,INDEX('Ist Aktuell Monat 08'!B:B,MATCH(D404,'Ist Aktuell Monat 08'!A:A,0)),
IF(ISERROR(MATCH(D404,'Ist Aktuell Monat 09'!A:A,0))=FALSE,INDEX('Ist Aktuell Monat 09'!B:B,MATCH(D404,'Ist Aktuell Monat 09'!A:A,0)),
IF(ISERROR(MATCH(D404,'Ist Aktuell Monat 10'!A:A,0))=FALSE,INDEX('Ist Aktuell Monat 10'!B:B,MATCH(D404,'Ist Aktuell Monat 10'!A:A,0)),
IF(ISERROR(MATCH(D404,'Ist Aktuell Monat 11'!A:A,0))=FALSE,INDEX('Ist Aktuell Monat 11'!B:B,MATCH(D404,'Ist Aktuell Monat 11'!A:A,0)),
IF(ISERROR(MATCH(D404,'Ist Aktuell Monat 12'!A:A,0))=FALSE,INDEX('Ist Aktuell Monat 12'!B:B,MATCH(D404,'Ist Aktuell Monat 12'!A:A,0)),
"{Konto unbekannt}"
)))))))))))),"")</f>
        <v>Geringwertige Wirtschaftsgüter</v>
      </c>
      <c r="C404" s="1062"/>
      <c r="D404" s="1067">
        <v>480</v>
      </c>
      <c r="E404" s="625">
        <f t="shared" si="602"/>
        <v>1</v>
      </c>
      <c r="F404" s="626"/>
      <c r="G404" s="593">
        <f ca="1">$E404*(-SUMIF(INDIRECT(G$3),'Struktur Aktuell'!$D404,INDIRECT(G$4))+SUMIF(INDIRECT(G$3),'Struktur Aktuell'!$D404,INDIRECT(G$5)))</f>
        <v>0</v>
      </c>
      <c r="H404" s="593">
        <f ca="1">$E404*(-SUMIF(INDIRECT(H$3),'Struktur Aktuell'!$D404,INDIRECT(H$4))+SUMIF(INDIRECT(H$3),'Struktur Aktuell'!$D404,INDIRECT(H$5)))</f>
        <v>168.05</v>
      </c>
      <c r="I404" s="593">
        <f ca="1">$E404*(-SUMIF(INDIRECT(I$3),'Struktur Aktuell'!$D404,INDIRECT(I$4))+SUMIF(INDIRECT(I$3),'Struktur Aktuell'!$D404,INDIRECT(I$5)))</f>
        <v>-168.05</v>
      </c>
      <c r="J404" s="593">
        <f ca="1">$E404*(-SUMIF(INDIRECT(J$3),'Struktur Aktuell'!$D404,INDIRECT(J$4))+SUMIF(INDIRECT(J$3),'Struktur Aktuell'!$D404,INDIRECT(J$5)))</f>
        <v>0</v>
      </c>
      <c r="K404" s="593">
        <f ca="1">$E404*(-SUMIF(INDIRECT(K$3),'Struktur Aktuell'!$D404,INDIRECT(K$4))+SUMIF(INDIRECT(K$3),'Struktur Aktuell'!$D404,INDIRECT(K$5)))</f>
        <v>0</v>
      </c>
      <c r="L404" s="593">
        <f ca="1">$E404*(-SUMIF(INDIRECT(L$3),'Struktur Aktuell'!$D404,INDIRECT(L$4))+SUMIF(INDIRECT(L$3),'Struktur Aktuell'!$D404,INDIRECT(L$5)))</f>
        <v>0</v>
      </c>
      <c r="M404" s="593">
        <f ca="1">$E404*(-SUMIF(INDIRECT(M$3),'Struktur Aktuell'!$D404,INDIRECT(M$4))+SUMIF(INDIRECT(M$3),'Struktur Aktuell'!$D404,INDIRECT(M$5)))</f>
        <v>0</v>
      </c>
      <c r="N404" s="593">
        <f ca="1">$E404*(-SUMIF(INDIRECT(N$3),'Struktur Aktuell'!$D404,INDIRECT(N$4))+SUMIF(INDIRECT(N$3),'Struktur Aktuell'!$D404,INDIRECT(N$5)))</f>
        <v>0</v>
      </c>
      <c r="O404" s="593">
        <f ca="1">$E404*(-SUMIF(INDIRECT(O$3),'Struktur Aktuell'!$D404,INDIRECT(O$4))+SUMIF(INDIRECT(O$3),'Struktur Aktuell'!$D404,INDIRECT(O$5)))</f>
        <v>0</v>
      </c>
      <c r="P404" s="593">
        <f ca="1">$E404*(-SUMIF(INDIRECT(P$3),'Struktur Aktuell'!$D404,INDIRECT(P$4))+SUMIF(INDIRECT(P$3),'Struktur Aktuell'!$D404,INDIRECT(P$5)))</f>
        <v>0</v>
      </c>
      <c r="Q404" s="593">
        <f ca="1">$E404*(-SUMIF(INDIRECT(Q$3),'Struktur Aktuell'!$D404,INDIRECT(Q$4))+SUMIF(INDIRECT(Q$3),'Struktur Aktuell'!$D404,INDIRECT(Q$5)))</f>
        <v>0</v>
      </c>
      <c r="R404" s="593">
        <f ca="1">$E404*(-SUMIF(INDIRECT(R$3),'Struktur Aktuell'!$D404,INDIRECT(R$4))+SUMIF(INDIRECT(R$3),'Struktur Aktuell'!$D404,INDIRECT(R$5)))</f>
        <v>0</v>
      </c>
      <c r="S404" s="593">
        <f ca="1">$E404*(-SUMIF(INDIRECT(S$3),'Struktur Aktuell'!$D404,INDIRECT(S$4))+SUMIF(INDIRECT(S$3),'Struktur Aktuell'!$D404,INDIRECT(S$5)))</f>
        <v>0</v>
      </c>
      <c r="T404" s="593">
        <f ca="1">$E404*(-SUMIF(INDIRECT(T$3),'Struktur Aktuell'!$D404,INDIRECT(T$4))+SUMIF(INDIRECT(T$3),'Struktur Aktuell'!$D404,INDIRECT(T$5)))</f>
        <v>168.05</v>
      </c>
      <c r="U404" s="593">
        <f ca="1">$E404*(-SUMIF(INDIRECT(U$3),'Struktur Aktuell'!$D404,INDIRECT(U$4))+SUMIF(INDIRECT(U$3),'Struktur Aktuell'!$D404,INDIRECT(U$5)))</f>
        <v>0</v>
      </c>
      <c r="V404" s="593">
        <f ca="1">$E404*(-SUMIF(INDIRECT(V$3),'Struktur Aktuell'!$D404,INDIRECT(V$4))+SUMIF(INDIRECT(V$3),'Struktur Aktuell'!$D404,INDIRECT(V$5)))</f>
        <v>0</v>
      </c>
      <c r="W404" s="593">
        <f ca="1">$E404*(-SUMIF(INDIRECT(W$3),'Struktur Aktuell'!$D404,INDIRECT(W$4))+SUMIF(INDIRECT(W$3),'Struktur Aktuell'!$D404,INDIRECT(W$5)))</f>
        <v>0</v>
      </c>
      <c r="X404" s="593">
        <f ca="1">$E404*(-SUMIF(INDIRECT(X$3),'Struktur Aktuell'!$D404,INDIRECT(X$4))+SUMIF(INDIRECT(X$3),'Struktur Aktuell'!$D404,INDIRECT(X$5)))</f>
        <v>0</v>
      </c>
      <c r="Y404" s="593">
        <f ca="1">$E404*(-SUMIF(INDIRECT(Y$3),'Struktur Aktuell'!$D404,INDIRECT(Y$4))+SUMIF(INDIRECT(Y$3),'Struktur Aktuell'!$D404,INDIRECT(Y$5)))</f>
        <v>0</v>
      </c>
      <c r="Z404" s="593">
        <f ca="1">$E404*(-SUMIF(INDIRECT(Z$3),'Struktur Aktuell'!$D404,INDIRECT(Z$4))+SUMIF(INDIRECT(Z$3),'Struktur Aktuell'!$D404,INDIRECT(Z$5)))</f>
        <v>0</v>
      </c>
      <c r="AA404" s="593">
        <f ca="1">$E404*(-SUMIF(INDIRECT(AA$3),'Struktur Aktuell'!$D404,INDIRECT(AA$4))+SUMIF(INDIRECT(AA$3),'Struktur Aktuell'!$D404,INDIRECT(AA$5)))</f>
        <v>0</v>
      </c>
      <c r="AB404" s="593">
        <f ca="1">$E404*(-SUMIF(INDIRECT(AB$3),'Struktur Aktuell'!$D404,INDIRECT(AB$4))+SUMIF(INDIRECT(AB$3),'Struktur Aktuell'!$D404,INDIRECT(AB$5)))</f>
        <v>0</v>
      </c>
      <c r="AC404" s="593">
        <f ca="1">$E404*(-SUMIF(INDIRECT(AC$3),'Struktur Aktuell'!$D404,INDIRECT(AC$4))+SUMIF(INDIRECT(AC$3),'Struktur Aktuell'!$D404,INDIRECT(AC$5)))</f>
        <v>0</v>
      </c>
      <c r="AD404" s="593">
        <f ca="1">$E404*(-SUMIF(INDIRECT(AD$3),'Struktur Aktuell'!$D404,INDIRECT(AD$4))+SUMIF(INDIRECT(AD$3),'Struktur Aktuell'!$D404,INDIRECT(AD$5)))</f>
        <v>0</v>
      </c>
      <c r="AE404" s="593">
        <f t="shared" ca="1" si="632"/>
        <v>0</v>
      </c>
      <c r="AF404" s="593">
        <f t="shared" ca="1" si="633"/>
        <v>168.05</v>
      </c>
      <c r="AG404" s="593">
        <f t="shared" ca="1" si="634"/>
        <v>0</v>
      </c>
      <c r="AH404" s="593">
        <f t="shared" ca="1" si="635"/>
        <v>0</v>
      </c>
      <c r="AI404" s="593">
        <f t="shared" ca="1" si="636"/>
        <v>0</v>
      </c>
      <c r="AJ404" s="593">
        <f t="shared" ca="1" si="637"/>
        <v>0</v>
      </c>
      <c r="AK404" s="593">
        <f t="shared" ca="1" si="638"/>
        <v>0</v>
      </c>
      <c r="AL404" s="593">
        <f t="shared" ca="1" si="639"/>
        <v>0</v>
      </c>
      <c r="AM404" s="593">
        <f t="shared" ca="1" si="640"/>
        <v>0</v>
      </c>
      <c r="AN404" s="593">
        <f t="shared" ca="1" si="641"/>
        <v>0</v>
      </c>
      <c r="AO404" s="593">
        <f t="shared" ca="1" si="642"/>
        <v>0</v>
      </c>
      <c r="AP404" s="593">
        <f t="shared" ca="1" si="643"/>
        <v>0</v>
      </c>
    </row>
    <row r="405" spans="1:42" s="594" customFormat="1" ht="11.25" x14ac:dyDescent="0.2">
      <c r="A405" s="644"/>
      <c r="B405" s="591" t="str">
        <f>IF(D405&lt;&gt;"",
IF(ISERROR(MATCH(D405,'Ist Aktuell Monat 01'!A:A,0))=FALSE,INDEX('Ist Aktuell Monat 01'!B:B,MATCH(D405,'Ist Aktuell Monat 01'!A:A,0)),
IF(ISERROR(MATCH(D405,'Ist Aktuell Monat 02'!A:A,0))=FALSE,INDEX('Ist Aktuell Monat 02'!B:B,MATCH(D405,'Ist Aktuell Monat 02'!A:A,0)),
IF(ISERROR(MATCH(D405,'Ist Aktuell Monat 03'!A:A,0))=FALSE,INDEX('Ist Aktuell Monat 03'!B:B,MATCH(D405,'Ist Aktuell Monat 03'!A:A,0)),
IF(ISERROR(MATCH(D405,'Ist Aktuell Monat 04'!A:A,0))=FALSE,INDEX('Ist Aktuell Monat 04'!B:B,MATCH(D405,'Ist Aktuell Monat 04'!A:A,0)),
IF(ISERROR(MATCH(D405,'Ist Aktuell Monat 05'!A:A,0))=FALSE,INDEX('Ist Aktuell Monat 05'!B:B,MATCH(D405,'Ist Aktuell Monat 05'!A:A,0)),
IF(ISERROR(MATCH(D405,'Ist Aktuell Monat 06'!A:A,0))=FALSE,INDEX('Ist Aktuell Monat 06'!B:B,MATCH(D405,'Ist Aktuell Monat 06'!A:A,0)),
IF(ISERROR(MATCH(D405,'Ist Aktuell Monat 07'!A:A,0))=FALSE,INDEX('Ist Aktuell Monat 07'!B:B,MATCH(D405,'Ist Aktuell Monat 07'!A:A,0)),
IF(ISERROR(MATCH(D405,'Ist Aktuell Monat 08'!A:A,0))=FALSE,INDEX('Ist Aktuell Monat 08'!B:B,MATCH(D405,'Ist Aktuell Monat 08'!A:A,0)),
IF(ISERROR(MATCH(D405,'Ist Aktuell Monat 09'!A:A,0))=FALSE,INDEX('Ist Aktuell Monat 09'!B:B,MATCH(D405,'Ist Aktuell Monat 09'!A:A,0)),
IF(ISERROR(MATCH(D405,'Ist Aktuell Monat 10'!A:A,0))=FALSE,INDEX('Ist Aktuell Monat 10'!B:B,MATCH(D405,'Ist Aktuell Monat 10'!A:A,0)),
IF(ISERROR(MATCH(D405,'Ist Aktuell Monat 11'!A:A,0))=FALSE,INDEX('Ist Aktuell Monat 11'!B:B,MATCH(D405,'Ist Aktuell Monat 11'!A:A,0)),
IF(ISERROR(MATCH(D405,'Ist Aktuell Monat 12'!A:A,0))=FALSE,INDEX('Ist Aktuell Monat 12'!B:B,MATCH(D405,'Ist Aktuell Monat 12'!A:A,0)),
"{Konto unbekannt}"
)))))))))))),"")</f>
        <v>Sonstige Betriebs-u.Gesch.ausstattung</v>
      </c>
      <c r="C405" s="1062"/>
      <c r="D405" s="1067">
        <v>490</v>
      </c>
      <c r="E405" s="625">
        <f t="shared" si="602"/>
        <v>1</v>
      </c>
      <c r="F405" s="626"/>
      <c r="G405" s="593">
        <f ca="1">$E405*(-SUMIF(INDIRECT(G$3),'Struktur Aktuell'!$D405,INDIRECT(G$4))+SUMIF(INDIRECT(G$3),'Struktur Aktuell'!$D405,INDIRECT(G$5)))</f>
        <v>-75.06</v>
      </c>
      <c r="H405" s="593">
        <f ca="1">$E405*(-SUMIF(INDIRECT(H$3),'Struktur Aktuell'!$D405,INDIRECT(H$4))+SUMIF(INDIRECT(H$3),'Struktur Aktuell'!$D405,INDIRECT(H$5)))</f>
        <v>-75.09</v>
      </c>
      <c r="I405" s="593">
        <f ca="1">$E405*(-SUMIF(INDIRECT(I$3),'Struktur Aktuell'!$D405,INDIRECT(I$4))+SUMIF(INDIRECT(I$3),'Struktur Aktuell'!$D405,INDIRECT(I$5)))</f>
        <v>-75.06</v>
      </c>
      <c r="J405" s="593">
        <f ca="1">$E405*(-SUMIF(INDIRECT(J$3),'Struktur Aktuell'!$D405,INDIRECT(J$4))+SUMIF(INDIRECT(J$3),'Struktur Aktuell'!$D405,INDIRECT(J$5)))</f>
        <v>1470.12</v>
      </c>
      <c r="K405" s="593">
        <f ca="1">$E405*(-SUMIF(INDIRECT(K$3),'Struktur Aktuell'!$D405,INDIRECT(K$4))+SUMIF(INDIRECT(K$3),'Struktur Aktuell'!$D405,INDIRECT(K$5)))</f>
        <v>-83.87</v>
      </c>
      <c r="L405" s="593">
        <f ca="1">$E405*(-SUMIF(INDIRECT(L$3),'Struktur Aktuell'!$D405,INDIRECT(L$4))+SUMIF(INDIRECT(L$3),'Struktur Aktuell'!$D405,INDIRECT(L$5)))</f>
        <v>-83.83</v>
      </c>
      <c r="M405" s="593">
        <f ca="1">$E405*(-SUMIF(INDIRECT(M$3),'Struktur Aktuell'!$D405,INDIRECT(M$4))+SUMIF(INDIRECT(M$3),'Struktur Aktuell'!$D405,INDIRECT(M$5)))</f>
        <v>-83.88</v>
      </c>
      <c r="N405" s="593">
        <f ca="1">$E405*(-SUMIF(INDIRECT(N$3),'Struktur Aktuell'!$D405,INDIRECT(N$4))+SUMIF(INDIRECT(N$3),'Struktur Aktuell'!$D405,INDIRECT(N$5)))</f>
        <v>-83.87</v>
      </c>
      <c r="O405" s="593">
        <f ca="1">$E405*(-SUMIF(INDIRECT(O$3),'Struktur Aktuell'!$D405,INDIRECT(O$4))+SUMIF(INDIRECT(O$3),'Struktur Aktuell'!$D405,INDIRECT(O$5)))</f>
        <v>-83.83</v>
      </c>
      <c r="P405" s="593">
        <f ca="1">$E405*(-SUMIF(INDIRECT(P$3),'Struktur Aktuell'!$D405,INDIRECT(P$4))+SUMIF(INDIRECT(P$3),'Struktur Aktuell'!$D405,INDIRECT(P$5)))</f>
        <v>-83.88</v>
      </c>
      <c r="Q405" s="593">
        <f ca="1">$E405*(-SUMIF(INDIRECT(Q$3),'Struktur Aktuell'!$D405,INDIRECT(Q$4))+SUMIF(INDIRECT(Q$3),'Struktur Aktuell'!$D405,INDIRECT(Q$5)))</f>
        <v>0</v>
      </c>
      <c r="R405" s="593">
        <f ca="1">$E405*(-SUMIF(INDIRECT(R$3),'Struktur Aktuell'!$D405,INDIRECT(R$4))+SUMIF(INDIRECT(R$3),'Struktur Aktuell'!$D405,INDIRECT(R$5)))</f>
        <v>0</v>
      </c>
      <c r="S405" s="593">
        <f ca="1">$E405*(-SUMIF(INDIRECT(S$3),'Struktur Aktuell'!$D405,INDIRECT(S$4))+SUMIF(INDIRECT(S$3),'Struktur Aktuell'!$D405,INDIRECT(S$5)))</f>
        <v>2012.94</v>
      </c>
      <c r="T405" s="593">
        <f ca="1">$E405*(-SUMIF(INDIRECT(T$3),'Struktur Aktuell'!$D405,INDIRECT(T$4))+SUMIF(INDIRECT(T$3),'Struktur Aktuell'!$D405,INDIRECT(T$5)))</f>
        <v>1937.85</v>
      </c>
      <c r="U405" s="593">
        <f ca="1">$E405*(-SUMIF(INDIRECT(U$3),'Struktur Aktuell'!$D405,INDIRECT(U$4))+SUMIF(INDIRECT(U$3),'Struktur Aktuell'!$D405,INDIRECT(U$5)))</f>
        <v>1862.79</v>
      </c>
      <c r="V405" s="593">
        <f ca="1">$E405*(-SUMIF(INDIRECT(V$3),'Struktur Aktuell'!$D405,INDIRECT(V$4))+SUMIF(INDIRECT(V$3),'Struktur Aktuell'!$D405,INDIRECT(V$5)))</f>
        <v>3332.91</v>
      </c>
      <c r="W405" s="593">
        <f ca="1">$E405*(-SUMIF(INDIRECT(W$3),'Struktur Aktuell'!$D405,INDIRECT(W$4))+SUMIF(INDIRECT(W$3),'Struktur Aktuell'!$D405,INDIRECT(W$5)))</f>
        <v>3249.04</v>
      </c>
      <c r="X405" s="593">
        <f ca="1">$E405*(-SUMIF(INDIRECT(X$3),'Struktur Aktuell'!$D405,INDIRECT(X$4))+SUMIF(INDIRECT(X$3),'Struktur Aktuell'!$D405,INDIRECT(X$5)))</f>
        <v>3165.21</v>
      </c>
      <c r="Y405" s="593">
        <f ca="1">$E405*(-SUMIF(INDIRECT(Y$3),'Struktur Aktuell'!$D405,INDIRECT(Y$4))+SUMIF(INDIRECT(Y$3),'Struktur Aktuell'!$D405,INDIRECT(Y$5)))</f>
        <v>3081.33</v>
      </c>
      <c r="Z405" s="593">
        <f ca="1">$E405*(-SUMIF(INDIRECT(Z$3),'Struktur Aktuell'!$D405,INDIRECT(Z$4))+SUMIF(INDIRECT(Z$3),'Struktur Aktuell'!$D405,INDIRECT(Z$5)))</f>
        <v>2997.46</v>
      </c>
      <c r="AA405" s="593">
        <f ca="1">$E405*(-SUMIF(INDIRECT(AA$3),'Struktur Aktuell'!$D405,INDIRECT(AA$4))+SUMIF(INDIRECT(AA$3),'Struktur Aktuell'!$D405,INDIRECT(AA$5)))</f>
        <v>2913.63</v>
      </c>
      <c r="AB405" s="593">
        <f ca="1">$E405*(-SUMIF(INDIRECT(AB$3),'Struktur Aktuell'!$D405,INDIRECT(AB$4))+SUMIF(INDIRECT(AB$3),'Struktur Aktuell'!$D405,INDIRECT(AB$5)))</f>
        <v>2829.75</v>
      </c>
      <c r="AC405" s="593">
        <f ca="1">$E405*(-SUMIF(INDIRECT(AC$3),'Struktur Aktuell'!$D405,INDIRECT(AC$4))+SUMIF(INDIRECT(AC$3),'Struktur Aktuell'!$D405,INDIRECT(AC$5)))</f>
        <v>0</v>
      </c>
      <c r="AD405" s="593">
        <f ca="1">$E405*(-SUMIF(INDIRECT(AD$3),'Struktur Aktuell'!$D405,INDIRECT(AD$4))+SUMIF(INDIRECT(AD$3),'Struktur Aktuell'!$D405,INDIRECT(AD$5)))</f>
        <v>0</v>
      </c>
      <c r="AE405" s="593">
        <f t="shared" ca="1" si="632"/>
        <v>-75.06</v>
      </c>
      <c r="AF405" s="593">
        <f t="shared" ca="1" si="633"/>
        <v>-150.15</v>
      </c>
      <c r="AG405" s="593">
        <f t="shared" ca="1" si="634"/>
        <v>-225.21</v>
      </c>
      <c r="AH405" s="593">
        <f t="shared" ca="1" si="635"/>
        <v>1244.9099999999999</v>
      </c>
      <c r="AI405" s="593">
        <f t="shared" ca="1" si="636"/>
        <v>1161.04</v>
      </c>
      <c r="AJ405" s="593">
        <f t="shared" ca="1" si="637"/>
        <v>1077.21</v>
      </c>
      <c r="AK405" s="593">
        <f t="shared" ca="1" si="638"/>
        <v>993.33</v>
      </c>
      <c r="AL405" s="593">
        <f t="shared" ca="1" si="639"/>
        <v>909.46</v>
      </c>
      <c r="AM405" s="593">
        <f t="shared" ca="1" si="640"/>
        <v>825.63</v>
      </c>
      <c r="AN405" s="593">
        <f t="shared" ca="1" si="641"/>
        <v>741.75</v>
      </c>
      <c r="AO405" s="593">
        <f t="shared" ca="1" si="642"/>
        <v>741.75</v>
      </c>
      <c r="AP405" s="593">
        <f t="shared" ca="1" si="643"/>
        <v>741.75</v>
      </c>
    </row>
    <row r="406" spans="1:42" s="594" customFormat="1" ht="11.25" outlineLevel="1" x14ac:dyDescent="0.2">
      <c r="A406" s="644"/>
      <c r="B406" s="591" t="str">
        <f>IF(D406&lt;&gt;"",
IF(ISERROR(MATCH(D406,'Ist Aktuell Monat 01'!A:A,0))=FALSE,INDEX('Ist Aktuell Monat 01'!B:B,MATCH(D406,'Ist Aktuell Monat 01'!A:A,0)),
IF(ISERROR(MATCH(D406,'Ist Aktuell Monat 02'!A:A,0))=FALSE,INDEX('Ist Aktuell Monat 02'!B:B,MATCH(D406,'Ist Aktuell Monat 02'!A:A,0)),
IF(ISERROR(MATCH(D406,'Ist Aktuell Monat 03'!A:A,0))=FALSE,INDEX('Ist Aktuell Monat 03'!B:B,MATCH(D406,'Ist Aktuell Monat 03'!A:A,0)),
IF(ISERROR(MATCH(D406,'Ist Aktuell Monat 04'!A:A,0))=FALSE,INDEX('Ist Aktuell Monat 04'!B:B,MATCH(D406,'Ist Aktuell Monat 04'!A:A,0)),
IF(ISERROR(MATCH(D406,'Ist Aktuell Monat 05'!A:A,0))=FALSE,INDEX('Ist Aktuell Monat 05'!B:B,MATCH(D406,'Ist Aktuell Monat 05'!A:A,0)),
IF(ISERROR(MATCH(D406,'Ist Aktuell Monat 06'!A:A,0))=FALSE,INDEX('Ist Aktuell Monat 06'!B:B,MATCH(D406,'Ist Aktuell Monat 06'!A:A,0)),
IF(ISERROR(MATCH(D406,'Ist Aktuell Monat 07'!A:A,0))=FALSE,INDEX('Ist Aktuell Monat 07'!B:B,MATCH(D406,'Ist Aktuell Monat 07'!A:A,0)),
IF(ISERROR(MATCH(D406,'Ist Aktuell Monat 08'!A:A,0))=FALSE,INDEX('Ist Aktuell Monat 08'!B:B,MATCH(D406,'Ist Aktuell Monat 08'!A:A,0)),
IF(ISERROR(MATCH(D406,'Ist Aktuell Monat 09'!A:A,0))=FALSE,INDEX('Ist Aktuell Monat 09'!B:B,MATCH(D406,'Ist Aktuell Monat 09'!A:A,0)),
IF(ISERROR(MATCH(D406,'Ist Aktuell Monat 10'!A:A,0))=FALSE,INDEX('Ist Aktuell Monat 10'!B:B,MATCH(D406,'Ist Aktuell Monat 10'!A:A,0)),
IF(ISERROR(MATCH(D406,'Ist Aktuell Monat 11'!A:A,0))=FALSE,INDEX('Ist Aktuell Monat 11'!B:B,MATCH(D406,'Ist Aktuell Monat 11'!A:A,0)),
IF(ISERROR(MATCH(D406,'Ist Aktuell Monat 12'!A:A,0))=FALSE,INDEX('Ist Aktuell Monat 12'!B:B,MATCH(D406,'Ist Aktuell Monat 12'!A:A,0)),
"{Konto unbekannt}"
)))))))))))),"")</f>
        <v/>
      </c>
      <c r="C406" s="1062"/>
      <c r="D406" s="1067"/>
      <c r="E406" s="625">
        <f t="shared" si="602"/>
        <v>1</v>
      </c>
      <c r="F406" s="626"/>
      <c r="G406" s="593">
        <f ca="1">$E406*(-SUMIF(INDIRECT(G$3),'Struktur Aktuell'!$D406,INDIRECT(G$4))+SUMIF(INDIRECT(G$3),'Struktur Aktuell'!$D406,INDIRECT(G$5)))</f>
        <v>0</v>
      </c>
      <c r="H406" s="593">
        <f ca="1">$E406*(-SUMIF(INDIRECT(H$3),'Struktur Aktuell'!$D406,INDIRECT(H$4))+SUMIF(INDIRECT(H$3),'Struktur Aktuell'!$D406,INDIRECT(H$5)))</f>
        <v>0</v>
      </c>
      <c r="I406" s="593">
        <f ca="1">$E406*(-SUMIF(INDIRECT(I$3),'Struktur Aktuell'!$D406,INDIRECT(I$4))+SUMIF(INDIRECT(I$3),'Struktur Aktuell'!$D406,INDIRECT(I$5)))</f>
        <v>0</v>
      </c>
      <c r="J406" s="593">
        <f ca="1">$E406*(-SUMIF(INDIRECT(J$3),'Struktur Aktuell'!$D406,INDIRECT(J$4))+SUMIF(INDIRECT(J$3),'Struktur Aktuell'!$D406,INDIRECT(J$5)))</f>
        <v>0</v>
      </c>
      <c r="K406" s="593">
        <f ca="1">$E406*(-SUMIF(INDIRECT(K$3),'Struktur Aktuell'!$D406,INDIRECT(K$4))+SUMIF(INDIRECT(K$3),'Struktur Aktuell'!$D406,INDIRECT(K$5)))</f>
        <v>0</v>
      </c>
      <c r="L406" s="593">
        <f ca="1">$E406*(-SUMIF(INDIRECT(L$3),'Struktur Aktuell'!$D406,INDIRECT(L$4))+SUMIF(INDIRECT(L$3),'Struktur Aktuell'!$D406,INDIRECT(L$5)))</f>
        <v>0</v>
      </c>
      <c r="M406" s="593">
        <f ca="1">$E406*(-SUMIF(INDIRECT(M$3),'Struktur Aktuell'!$D406,INDIRECT(M$4))+SUMIF(INDIRECT(M$3),'Struktur Aktuell'!$D406,INDIRECT(M$5)))</f>
        <v>0</v>
      </c>
      <c r="N406" s="593">
        <f ca="1">$E406*(-SUMIF(INDIRECT(N$3),'Struktur Aktuell'!$D406,INDIRECT(N$4))+SUMIF(INDIRECT(N$3),'Struktur Aktuell'!$D406,INDIRECT(N$5)))</f>
        <v>0</v>
      </c>
      <c r="O406" s="593">
        <f ca="1">$E406*(-SUMIF(INDIRECT(O$3),'Struktur Aktuell'!$D406,INDIRECT(O$4))+SUMIF(INDIRECT(O$3),'Struktur Aktuell'!$D406,INDIRECT(O$5)))</f>
        <v>0</v>
      </c>
      <c r="P406" s="593">
        <f ca="1">$E406*(-SUMIF(INDIRECT(P$3),'Struktur Aktuell'!$D406,INDIRECT(P$4))+SUMIF(INDIRECT(P$3),'Struktur Aktuell'!$D406,INDIRECT(P$5)))</f>
        <v>0</v>
      </c>
      <c r="Q406" s="593">
        <f ca="1">$E406*(-SUMIF(INDIRECT(Q$3),'Struktur Aktuell'!$D406,INDIRECT(Q$4))+SUMIF(INDIRECT(Q$3),'Struktur Aktuell'!$D406,INDIRECT(Q$5)))</f>
        <v>0</v>
      </c>
      <c r="R406" s="593">
        <f ca="1">$E406*(-SUMIF(INDIRECT(R$3),'Struktur Aktuell'!$D406,INDIRECT(R$4))+SUMIF(INDIRECT(R$3),'Struktur Aktuell'!$D406,INDIRECT(R$5)))</f>
        <v>0</v>
      </c>
      <c r="S406" s="593">
        <f ca="1">$E406*(-SUMIF(INDIRECT(S$3),'Struktur Aktuell'!$D406,INDIRECT(S$4))+SUMIF(INDIRECT(S$3),'Struktur Aktuell'!$D406,INDIRECT(S$5)))</f>
        <v>0</v>
      </c>
      <c r="T406" s="593">
        <f ca="1">$E406*(-SUMIF(INDIRECT(T$3),'Struktur Aktuell'!$D406,INDIRECT(T$4))+SUMIF(INDIRECT(T$3),'Struktur Aktuell'!$D406,INDIRECT(T$5)))</f>
        <v>0</v>
      </c>
      <c r="U406" s="593">
        <f ca="1">$E406*(-SUMIF(INDIRECT(U$3),'Struktur Aktuell'!$D406,INDIRECT(U$4))+SUMIF(INDIRECT(U$3),'Struktur Aktuell'!$D406,INDIRECT(U$5)))</f>
        <v>0</v>
      </c>
      <c r="V406" s="593">
        <f ca="1">$E406*(-SUMIF(INDIRECT(V$3),'Struktur Aktuell'!$D406,INDIRECT(V$4))+SUMIF(INDIRECT(V$3),'Struktur Aktuell'!$D406,INDIRECT(V$5)))</f>
        <v>0</v>
      </c>
      <c r="W406" s="593">
        <f ca="1">$E406*(-SUMIF(INDIRECT(W$3),'Struktur Aktuell'!$D406,INDIRECT(W$4))+SUMIF(INDIRECT(W$3),'Struktur Aktuell'!$D406,INDIRECT(W$5)))</f>
        <v>0</v>
      </c>
      <c r="X406" s="593">
        <f ca="1">$E406*(-SUMIF(INDIRECT(X$3),'Struktur Aktuell'!$D406,INDIRECT(X$4))+SUMIF(INDIRECT(X$3),'Struktur Aktuell'!$D406,INDIRECT(X$5)))</f>
        <v>0</v>
      </c>
      <c r="Y406" s="593">
        <f ca="1">$E406*(-SUMIF(INDIRECT(Y$3),'Struktur Aktuell'!$D406,INDIRECT(Y$4))+SUMIF(INDIRECT(Y$3),'Struktur Aktuell'!$D406,INDIRECT(Y$5)))</f>
        <v>0</v>
      </c>
      <c r="Z406" s="593">
        <f ca="1">$E406*(-SUMIF(INDIRECT(Z$3),'Struktur Aktuell'!$D406,INDIRECT(Z$4))+SUMIF(INDIRECT(Z$3),'Struktur Aktuell'!$D406,INDIRECT(Z$5)))</f>
        <v>0</v>
      </c>
      <c r="AA406" s="593">
        <f ca="1">$E406*(-SUMIF(INDIRECT(AA$3),'Struktur Aktuell'!$D406,INDIRECT(AA$4))+SUMIF(INDIRECT(AA$3),'Struktur Aktuell'!$D406,INDIRECT(AA$5)))</f>
        <v>0</v>
      </c>
      <c r="AB406" s="593">
        <f ca="1">$E406*(-SUMIF(INDIRECT(AB$3),'Struktur Aktuell'!$D406,INDIRECT(AB$4))+SUMIF(INDIRECT(AB$3),'Struktur Aktuell'!$D406,INDIRECT(AB$5)))</f>
        <v>0</v>
      </c>
      <c r="AC406" s="593">
        <f ca="1">$E406*(-SUMIF(INDIRECT(AC$3),'Struktur Aktuell'!$D406,INDIRECT(AC$4))+SUMIF(INDIRECT(AC$3),'Struktur Aktuell'!$D406,INDIRECT(AC$5)))</f>
        <v>0</v>
      </c>
      <c r="AD406" s="593">
        <f ca="1">$E406*(-SUMIF(INDIRECT(AD$3),'Struktur Aktuell'!$D406,INDIRECT(AD$4))+SUMIF(INDIRECT(AD$3),'Struktur Aktuell'!$D406,INDIRECT(AD$5)))</f>
        <v>0</v>
      </c>
      <c r="AE406" s="593">
        <f t="shared" ca="1" si="632"/>
        <v>0</v>
      </c>
      <c r="AF406" s="593">
        <f t="shared" ca="1" si="633"/>
        <v>0</v>
      </c>
      <c r="AG406" s="593">
        <f t="shared" ca="1" si="634"/>
        <v>0</v>
      </c>
      <c r="AH406" s="593">
        <f t="shared" ca="1" si="635"/>
        <v>0</v>
      </c>
      <c r="AI406" s="593">
        <f t="shared" ca="1" si="636"/>
        <v>0</v>
      </c>
      <c r="AJ406" s="593">
        <f t="shared" ca="1" si="637"/>
        <v>0</v>
      </c>
      <c r="AK406" s="593">
        <f t="shared" ca="1" si="638"/>
        <v>0</v>
      </c>
      <c r="AL406" s="593">
        <f t="shared" ca="1" si="639"/>
        <v>0</v>
      </c>
      <c r="AM406" s="593">
        <f t="shared" ca="1" si="640"/>
        <v>0</v>
      </c>
      <c r="AN406" s="593">
        <f t="shared" ca="1" si="641"/>
        <v>0</v>
      </c>
      <c r="AO406" s="593">
        <f t="shared" ca="1" si="642"/>
        <v>0</v>
      </c>
      <c r="AP406" s="593">
        <f t="shared" ca="1" si="643"/>
        <v>0</v>
      </c>
    </row>
    <row r="407" spans="1:42" s="594" customFormat="1" ht="11.25" outlineLevel="1" x14ac:dyDescent="0.2">
      <c r="A407" s="644"/>
      <c r="B407" s="591" t="str">
        <f>IF(D407&lt;&gt;"",
IF(ISERROR(MATCH(D407,'Ist Aktuell Monat 01'!A:A,0))=FALSE,INDEX('Ist Aktuell Monat 01'!B:B,MATCH(D407,'Ist Aktuell Monat 01'!A:A,0)),
IF(ISERROR(MATCH(D407,'Ist Aktuell Monat 02'!A:A,0))=FALSE,INDEX('Ist Aktuell Monat 02'!B:B,MATCH(D407,'Ist Aktuell Monat 02'!A:A,0)),
IF(ISERROR(MATCH(D407,'Ist Aktuell Monat 03'!A:A,0))=FALSE,INDEX('Ist Aktuell Monat 03'!B:B,MATCH(D407,'Ist Aktuell Monat 03'!A:A,0)),
IF(ISERROR(MATCH(D407,'Ist Aktuell Monat 04'!A:A,0))=FALSE,INDEX('Ist Aktuell Monat 04'!B:B,MATCH(D407,'Ist Aktuell Monat 04'!A:A,0)),
IF(ISERROR(MATCH(D407,'Ist Aktuell Monat 05'!A:A,0))=FALSE,INDEX('Ist Aktuell Monat 05'!B:B,MATCH(D407,'Ist Aktuell Monat 05'!A:A,0)),
IF(ISERROR(MATCH(D407,'Ist Aktuell Monat 06'!A:A,0))=FALSE,INDEX('Ist Aktuell Monat 06'!B:B,MATCH(D407,'Ist Aktuell Monat 06'!A:A,0)),
IF(ISERROR(MATCH(D407,'Ist Aktuell Monat 07'!A:A,0))=FALSE,INDEX('Ist Aktuell Monat 07'!B:B,MATCH(D407,'Ist Aktuell Monat 07'!A:A,0)),
IF(ISERROR(MATCH(D407,'Ist Aktuell Monat 08'!A:A,0))=FALSE,INDEX('Ist Aktuell Monat 08'!B:B,MATCH(D407,'Ist Aktuell Monat 08'!A:A,0)),
IF(ISERROR(MATCH(D407,'Ist Aktuell Monat 09'!A:A,0))=FALSE,INDEX('Ist Aktuell Monat 09'!B:B,MATCH(D407,'Ist Aktuell Monat 09'!A:A,0)),
IF(ISERROR(MATCH(D407,'Ist Aktuell Monat 10'!A:A,0))=FALSE,INDEX('Ist Aktuell Monat 10'!B:B,MATCH(D407,'Ist Aktuell Monat 10'!A:A,0)),
IF(ISERROR(MATCH(D407,'Ist Aktuell Monat 11'!A:A,0))=FALSE,INDEX('Ist Aktuell Monat 11'!B:B,MATCH(D407,'Ist Aktuell Monat 11'!A:A,0)),
IF(ISERROR(MATCH(D407,'Ist Aktuell Monat 12'!A:A,0))=FALSE,INDEX('Ist Aktuell Monat 12'!B:B,MATCH(D407,'Ist Aktuell Monat 12'!A:A,0)),
"{Konto unbekannt}"
)))))))))))),"")</f>
        <v/>
      </c>
      <c r="C407" s="1062"/>
      <c r="D407" s="1067"/>
      <c r="E407" s="625">
        <f t="shared" ref="E407:E408" si="644">IF(F407="-",-1,1)</f>
        <v>1</v>
      </c>
      <c r="F407" s="626"/>
      <c r="G407" s="593">
        <f ca="1">$E407*(-SUMIF(INDIRECT(G$3),'Struktur Aktuell'!$D407,INDIRECT(G$4))+SUMIF(INDIRECT(G$3),'Struktur Aktuell'!$D407,INDIRECT(G$5)))</f>
        <v>0</v>
      </c>
      <c r="H407" s="593">
        <f ca="1">$E407*(-SUMIF(INDIRECT(H$3),'Struktur Aktuell'!$D407,INDIRECT(H$4))+SUMIF(INDIRECT(H$3),'Struktur Aktuell'!$D407,INDIRECT(H$5)))</f>
        <v>0</v>
      </c>
      <c r="I407" s="593">
        <f ca="1">$E407*(-SUMIF(INDIRECT(I$3),'Struktur Aktuell'!$D407,INDIRECT(I$4))+SUMIF(INDIRECT(I$3),'Struktur Aktuell'!$D407,INDIRECT(I$5)))</f>
        <v>0</v>
      </c>
      <c r="J407" s="593">
        <f ca="1">$E407*(-SUMIF(INDIRECT(J$3),'Struktur Aktuell'!$D407,INDIRECT(J$4))+SUMIF(INDIRECT(J$3),'Struktur Aktuell'!$D407,INDIRECT(J$5)))</f>
        <v>0</v>
      </c>
      <c r="K407" s="593">
        <f ca="1">$E407*(-SUMIF(INDIRECT(K$3),'Struktur Aktuell'!$D407,INDIRECT(K$4))+SUMIF(INDIRECT(K$3),'Struktur Aktuell'!$D407,INDIRECT(K$5)))</f>
        <v>0</v>
      </c>
      <c r="L407" s="593">
        <f ca="1">$E407*(-SUMIF(INDIRECT(L$3),'Struktur Aktuell'!$D407,INDIRECT(L$4))+SUMIF(INDIRECT(L$3),'Struktur Aktuell'!$D407,INDIRECT(L$5)))</f>
        <v>0</v>
      </c>
      <c r="M407" s="593">
        <f ca="1">$E407*(-SUMIF(INDIRECT(M$3),'Struktur Aktuell'!$D407,INDIRECT(M$4))+SUMIF(INDIRECT(M$3),'Struktur Aktuell'!$D407,INDIRECT(M$5)))</f>
        <v>0</v>
      </c>
      <c r="N407" s="593">
        <f ca="1">$E407*(-SUMIF(INDIRECT(N$3),'Struktur Aktuell'!$D407,INDIRECT(N$4))+SUMIF(INDIRECT(N$3),'Struktur Aktuell'!$D407,INDIRECT(N$5)))</f>
        <v>0</v>
      </c>
      <c r="O407" s="593">
        <f ca="1">$E407*(-SUMIF(INDIRECT(O$3),'Struktur Aktuell'!$D407,INDIRECT(O$4))+SUMIF(INDIRECT(O$3),'Struktur Aktuell'!$D407,INDIRECT(O$5)))</f>
        <v>0</v>
      </c>
      <c r="P407" s="593">
        <f ca="1">$E407*(-SUMIF(INDIRECT(P$3),'Struktur Aktuell'!$D407,INDIRECT(P$4))+SUMIF(INDIRECT(P$3),'Struktur Aktuell'!$D407,INDIRECT(P$5)))</f>
        <v>0</v>
      </c>
      <c r="Q407" s="593">
        <f ca="1">$E407*(-SUMIF(INDIRECT(Q$3),'Struktur Aktuell'!$D407,INDIRECT(Q$4))+SUMIF(INDIRECT(Q$3),'Struktur Aktuell'!$D407,INDIRECT(Q$5)))</f>
        <v>0</v>
      </c>
      <c r="R407" s="593">
        <f ca="1">$E407*(-SUMIF(INDIRECT(R$3),'Struktur Aktuell'!$D407,INDIRECT(R$4))+SUMIF(INDIRECT(R$3),'Struktur Aktuell'!$D407,INDIRECT(R$5)))</f>
        <v>0</v>
      </c>
      <c r="S407" s="593">
        <f ca="1">$E407*(-SUMIF(INDIRECT(S$3),'Struktur Aktuell'!$D407,INDIRECT(S$4))+SUMIF(INDIRECT(S$3),'Struktur Aktuell'!$D407,INDIRECT(S$5)))</f>
        <v>0</v>
      </c>
      <c r="T407" s="593">
        <f ca="1">$E407*(-SUMIF(INDIRECT(T$3),'Struktur Aktuell'!$D407,INDIRECT(T$4))+SUMIF(INDIRECT(T$3),'Struktur Aktuell'!$D407,INDIRECT(T$5)))</f>
        <v>0</v>
      </c>
      <c r="U407" s="593">
        <f ca="1">$E407*(-SUMIF(INDIRECT(U$3),'Struktur Aktuell'!$D407,INDIRECT(U$4))+SUMIF(INDIRECT(U$3),'Struktur Aktuell'!$D407,INDIRECT(U$5)))</f>
        <v>0</v>
      </c>
      <c r="V407" s="593">
        <f ca="1">$E407*(-SUMIF(INDIRECT(V$3),'Struktur Aktuell'!$D407,INDIRECT(V$4))+SUMIF(INDIRECT(V$3),'Struktur Aktuell'!$D407,INDIRECT(V$5)))</f>
        <v>0</v>
      </c>
      <c r="W407" s="593">
        <f ca="1">$E407*(-SUMIF(INDIRECT(W$3),'Struktur Aktuell'!$D407,INDIRECT(W$4))+SUMIF(INDIRECT(W$3),'Struktur Aktuell'!$D407,INDIRECT(W$5)))</f>
        <v>0</v>
      </c>
      <c r="X407" s="593">
        <f ca="1">$E407*(-SUMIF(INDIRECT(X$3),'Struktur Aktuell'!$D407,INDIRECT(X$4))+SUMIF(INDIRECT(X$3),'Struktur Aktuell'!$D407,INDIRECT(X$5)))</f>
        <v>0</v>
      </c>
      <c r="Y407" s="593">
        <f ca="1">$E407*(-SUMIF(INDIRECT(Y$3),'Struktur Aktuell'!$D407,INDIRECT(Y$4))+SUMIF(INDIRECT(Y$3),'Struktur Aktuell'!$D407,INDIRECT(Y$5)))</f>
        <v>0</v>
      </c>
      <c r="Z407" s="593">
        <f ca="1">$E407*(-SUMIF(INDIRECT(Z$3),'Struktur Aktuell'!$D407,INDIRECT(Z$4))+SUMIF(INDIRECT(Z$3),'Struktur Aktuell'!$D407,INDIRECT(Z$5)))</f>
        <v>0</v>
      </c>
      <c r="AA407" s="593">
        <f ca="1">$E407*(-SUMIF(INDIRECT(AA$3),'Struktur Aktuell'!$D407,INDIRECT(AA$4))+SUMIF(INDIRECT(AA$3),'Struktur Aktuell'!$D407,INDIRECT(AA$5)))</f>
        <v>0</v>
      </c>
      <c r="AB407" s="593">
        <f ca="1">$E407*(-SUMIF(INDIRECT(AB$3),'Struktur Aktuell'!$D407,INDIRECT(AB$4))+SUMIF(INDIRECT(AB$3),'Struktur Aktuell'!$D407,INDIRECT(AB$5)))</f>
        <v>0</v>
      </c>
      <c r="AC407" s="593">
        <f ca="1">$E407*(-SUMIF(INDIRECT(AC$3),'Struktur Aktuell'!$D407,INDIRECT(AC$4))+SUMIF(INDIRECT(AC$3),'Struktur Aktuell'!$D407,INDIRECT(AC$5)))</f>
        <v>0</v>
      </c>
      <c r="AD407" s="593">
        <f ca="1">$E407*(-SUMIF(INDIRECT(AD$3),'Struktur Aktuell'!$D407,INDIRECT(AD$4))+SUMIF(INDIRECT(AD$3),'Struktur Aktuell'!$D407,INDIRECT(AD$5)))</f>
        <v>0</v>
      </c>
      <c r="AE407" s="593">
        <f t="shared" ca="1" si="632"/>
        <v>0</v>
      </c>
      <c r="AF407" s="593">
        <f t="shared" ca="1" si="633"/>
        <v>0</v>
      </c>
      <c r="AG407" s="593">
        <f t="shared" ca="1" si="634"/>
        <v>0</v>
      </c>
      <c r="AH407" s="593">
        <f t="shared" ca="1" si="635"/>
        <v>0</v>
      </c>
      <c r="AI407" s="593">
        <f t="shared" ca="1" si="636"/>
        <v>0</v>
      </c>
      <c r="AJ407" s="593">
        <f t="shared" ca="1" si="637"/>
        <v>0</v>
      </c>
      <c r="AK407" s="593">
        <f t="shared" ca="1" si="638"/>
        <v>0</v>
      </c>
      <c r="AL407" s="593">
        <f t="shared" ca="1" si="639"/>
        <v>0</v>
      </c>
      <c r="AM407" s="593">
        <f t="shared" ca="1" si="640"/>
        <v>0</v>
      </c>
      <c r="AN407" s="593">
        <f t="shared" ca="1" si="641"/>
        <v>0</v>
      </c>
      <c r="AO407" s="593">
        <f t="shared" ca="1" si="642"/>
        <v>0</v>
      </c>
      <c r="AP407" s="593">
        <f t="shared" ca="1" si="643"/>
        <v>0</v>
      </c>
    </row>
    <row r="408" spans="1:42" s="594" customFormat="1" ht="11.25" outlineLevel="1" x14ac:dyDescent="0.2">
      <c r="A408" s="644"/>
      <c r="B408" s="591" t="str">
        <f>IF(D408&lt;&gt;"",
IF(ISERROR(MATCH(D408,'Ist Aktuell Monat 01'!A:A,0))=FALSE,INDEX('Ist Aktuell Monat 01'!B:B,MATCH(D408,'Ist Aktuell Monat 01'!A:A,0)),
IF(ISERROR(MATCH(D408,'Ist Aktuell Monat 02'!A:A,0))=FALSE,INDEX('Ist Aktuell Monat 02'!B:B,MATCH(D408,'Ist Aktuell Monat 02'!A:A,0)),
IF(ISERROR(MATCH(D408,'Ist Aktuell Monat 03'!A:A,0))=FALSE,INDEX('Ist Aktuell Monat 03'!B:B,MATCH(D408,'Ist Aktuell Monat 03'!A:A,0)),
IF(ISERROR(MATCH(D408,'Ist Aktuell Monat 04'!A:A,0))=FALSE,INDEX('Ist Aktuell Monat 04'!B:B,MATCH(D408,'Ist Aktuell Monat 04'!A:A,0)),
IF(ISERROR(MATCH(D408,'Ist Aktuell Monat 05'!A:A,0))=FALSE,INDEX('Ist Aktuell Monat 05'!B:B,MATCH(D408,'Ist Aktuell Monat 05'!A:A,0)),
IF(ISERROR(MATCH(D408,'Ist Aktuell Monat 06'!A:A,0))=FALSE,INDEX('Ist Aktuell Monat 06'!B:B,MATCH(D408,'Ist Aktuell Monat 06'!A:A,0)),
IF(ISERROR(MATCH(D408,'Ist Aktuell Monat 07'!A:A,0))=FALSE,INDEX('Ist Aktuell Monat 07'!B:B,MATCH(D408,'Ist Aktuell Monat 07'!A:A,0)),
IF(ISERROR(MATCH(D408,'Ist Aktuell Monat 08'!A:A,0))=FALSE,INDEX('Ist Aktuell Monat 08'!B:B,MATCH(D408,'Ist Aktuell Monat 08'!A:A,0)),
IF(ISERROR(MATCH(D408,'Ist Aktuell Monat 09'!A:A,0))=FALSE,INDEX('Ist Aktuell Monat 09'!B:B,MATCH(D408,'Ist Aktuell Monat 09'!A:A,0)),
IF(ISERROR(MATCH(D408,'Ist Aktuell Monat 10'!A:A,0))=FALSE,INDEX('Ist Aktuell Monat 10'!B:B,MATCH(D408,'Ist Aktuell Monat 10'!A:A,0)),
IF(ISERROR(MATCH(D408,'Ist Aktuell Monat 11'!A:A,0))=FALSE,INDEX('Ist Aktuell Monat 11'!B:B,MATCH(D408,'Ist Aktuell Monat 11'!A:A,0)),
IF(ISERROR(MATCH(D408,'Ist Aktuell Monat 12'!A:A,0))=FALSE,INDEX('Ist Aktuell Monat 12'!B:B,MATCH(D408,'Ist Aktuell Monat 12'!A:A,0)),
"{Konto unbekannt}"
)))))))))))),"")</f>
        <v/>
      </c>
      <c r="C408" s="1062"/>
      <c r="D408" s="1067"/>
      <c r="E408" s="625">
        <f t="shared" si="644"/>
        <v>1</v>
      </c>
      <c r="F408" s="626"/>
      <c r="G408" s="593">
        <f ca="1">$E408*(-SUMIF(INDIRECT(G$3),'Struktur Aktuell'!$D408,INDIRECT(G$4))+SUMIF(INDIRECT(G$3),'Struktur Aktuell'!$D408,INDIRECT(G$5)))</f>
        <v>0</v>
      </c>
      <c r="H408" s="593">
        <f ca="1">$E408*(-SUMIF(INDIRECT(H$3),'Struktur Aktuell'!$D408,INDIRECT(H$4))+SUMIF(INDIRECT(H$3),'Struktur Aktuell'!$D408,INDIRECT(H$5)))</f>
        <v>0</v>
      </c>
      <c r="I408" s="593">
        <f ca="1">$E408*(-SUMIF(INDIRECT(I$3),'Struktur Aktuell'!$D408,INDIRECT(I$4))+SUMIF(INDIRECT(I$3),'Struktur Aktuell'!$D408,INDIRECT(I$5)))</f>
        <v>0</v>
      </c>
      <c r="J408" s="593">
        <f ca="1">$E408*(-SUMIF(INDIRECT(J$3),'Struktur Aktuell'!$D408,INDIRECT(J$4))+SUMIF(INDIRECT(J$3),'Struktur Aktuell'!$D408,INDIRECT(J$5)))</f>
        <v>0</v>
      </c>
      <c r="K408" s="593">
        <f ca="1">$E408*(-SUMIF(INDIRECT(K$3),'Struktur Aktuell'!$D408,INDIRECT(K$4))+SUMIF(INDIRECT(K$3),'Struktur Aktuell'!$D408,INDIRECT(K$5)))</f>
        <v>0</v>
      </c>
      <c r="L408" s="593">
        <f ca="1">$E408*(-SUMIF(INDIRECT(L$3),'Struktur Aktuell'!$D408,INDIRECT(L$4))+SUMIF(INDIRECT(L$3),'Struktur Aktuell'!$D408,INDIRECT(L$5)))</f>
        <v>0</v>
      </c>
      <c r="M408" s="593">
        <f ca="1">$E408*(-SUMIF(INDIRECT(M$3),'Struktur Aktuell'!$D408,INDIRECT(M$4))+SUMIF(INDIRECT(M$3),'Struktur Aktuell'!$D408,INDIRECT(M$5)))</f>
        <v>0</v>
      </c>
      <c r="N408" s="593">
        <f ca="1">$E408*(-SUMIF(INDIRECT(N$3),'Struktur Aktuell'!$D408,INDIRECT(N$4))+SUMIF(INDIRECT(N$3),'Struktur Aktuell'!$D408,INDIRECT(N$5)))</f>
        <v>0</v>
      </c>
      <c r="O408" s="593">
        <f ca="1">$E408*(-SUMIF(INDIRECT(O$3),'Struktur Aktuell'!$D408,INDIRECT(O$4))+SUMIF(INDIRECT(O$3),'Struktur Aktuell'!$D408,INDIRECT(O$5)))</f>
        <v>0</v>
      </c>
      <c r="P408" s="593">
        <f ca="1">$E408*(-SUMIF(INDIRECT(P$3),'Struktur Aktuell'!$D408,INDIRECT(P$4))+SUMIF(INDIRECT(P$3),'Struktur Aktuell'!$D408,INDIRECT(P$5)))</f>
        <v>0</v>
      </c>
      <c r="Q408" s="593">
        <f ca="1">$E408*(-SUMIF(INDIRECT(Q$3),'Struktur Aktuell'!$D408,INDIRECT(Q$4))+SUMIF(INDIRECT(Q$3),'Struktur Aktuell'!$D408,INDIRECT(Q$5)))</f>
        <v>0</v>
      </c>
      <c r="R408" s="593">
        <f ca="1">$E408*(-SUMIF(INDIRECT(R$3),'Struktur Aktuell'!$D408,INDIRECT(R$4))+SUMIF(INDIRECT(R$3),'Struktur Aktuell'!$D408,INDIRECT(R$5)))</f>
        <v>0</v>
      </c>
      <c r="S408" s="593">
        <f ca="1">$E408*(-SUMIF(INDIRECT(S$3),'Struktur Aktuell'!$D408,INDIRECT(S$4))+SUMIF(INDIRECT(S$3),'Struktur Aktuell'!$D408,INDIRECT(S$5)))</f>
        <v>0</v>
      </c>
      <c r="T408" s="593">
        <f ca="1">$E408*(-SUMIF(INDIRECT(T$3),'Struktur Aktuell'!$D408,INDIRECT(T$4))+SUMIF(INDIRECT(T$3),'Struktur Aktuell'!$D408,INDIRECT(T$5)))</f>
        <v>0</v>
      </c>
      <c r="U408" s="593">
        <f ca="1">$E408*(-SUMIF(INDIRECT(U$3),'Struktur Aktuell'!$D408,INDIRECT(U$4))+SUMIF(INDIRECT(U$3),'Struktur Aktuell'!$D408,INDIRECT(U$5)))</f>
        <v>0</v>
      </c>
      <c r="V408" s="593">
        <f ca="1">$E408*(-SUMIF(INDIRECT(V$3),'Struktur Aktuell'!$D408,INDIRECT(V$4))+SUMIF(INDIRECT(V$3),'Struktur Aktuell'!$D408,INDIRECT(V$5)))</f>
        <v>0</v>
      </c>
      <c r="W408" s="593">
        <f ca="1">$E408*(-SUMIF(INDIRECT(W$3),'Struktur Aktuell'!$D408,INDIRECT(W$4))+SUMIF(INDIRECT(W$3),'Struktur Aktuell'!$D408,INDIRECT(W$5)))</f>
        <v>0</v>
      </c>
      <c r="X408" s="593">
        <f ca="1">$E408*(-SUMIF(INDIRECT(X$3),'Struktur Aktuell'!$D408,INDIRECT(X$4))+SUMIF(INDIRECT(X$3),'Struktur Aktuell'!$D408,INDIRECT(X$5)))</f>
        <v>0</v>
      </c>
      <c r="Y408" s="593">
        <f ca="1">$E408*(-SUMIF(INDIRECT(Y$3),'Struktur Aktuell'!$D408,INDIRECT(Y$4))+SUMIF(INDIRECT(Y$3),'Struktur Aktuell'!$D408,INDIRECT(Y$5)))</f>
        <v>0</v>
      </c>
      <c r="Z408" s="593">
        <f ca="1">$E408*(-SUMIF(INDIRECT(Z$3),'Struktur Aktuell'!$D408,INDIRECT(Z$4))+SUMIF(INDIRECT(Z$3),'Struktur Aktuell'!$D408,INDIRECT(Z$5)))</f>
        <v>0</v>
      </c>
      <c r="AA408" s="593">
        <f ca="1">$E408*(-SUMIF(INDIRECT(AA$3),'Struktur Aktuell'!$D408,INDIRECT(AA$4))+SUMIF(INDIRECT(AA$3),'Struktur Aktuell'!$D408,INDIRECT(AA$5)))</f>
        <v>0</v>
      </c>
      <c r="AB408" s="593">
        <f ca="1">$E408*(-SUMIF(INDIRECT(AB$3),'Struktur Aktuell'!$D408,INDIRECT(AB$4))+SUMIF(INDIRECT(AB$3),'Struktur Aktuell'!$D408,INDIRECT(AB$5)))</f>
        <v>0</v>
      </c>
      <c r="AC408" s="593">
        <f ca="1">$E408*(-SUMIF(INDIRECT(AC$3),'Struktur Aktuell'!$D408,INDIRECT(AC$4))+SUMIF(INDIRECT(AC$3),'Struktur Aktuell'!$D408,INDIRECT(AC$5)))</f>
        <v>0</v>
      </c>
      <c r="AD408" s="593">
        <f ca="1">$E408*(-SUMIF(INDIRECT(AD$3),'Struktur Aktuell'!$D408,INDIRECT(AD$4))+SUMIF(INDIRECT(AD$3),'Struktur Aktuell'!$D408,INDIRECT(AD$5)))</f>
        <v>0</v>
      </c>
      <c r="AE408" s="593">
        <f t="shared" ca="1" si="632"/>
        <v>0</v>
      </c>
      <c r="AF408" s="593">
        <f t="shared" ca="1" si="633"/>
        <v>0</v>
      </c>
      <c r="AG408" s="593">
        <f t="shared" ca="1" si="634"/>
        <v>0</v>
      </c>
      <c r="AH408" s="593">
        <f t="shared" ca="1" si="635"/>
        <v>0</v>
      </c>
      <c r="AI408" s="593">
        <f t="shared" ca="1" si="636"/>
        <v>0</v>
      </c>
      <c r="AJ408" s="593">
        <f t="shared" ca="1" si="637"/>
        <v>0</v>
      </c>
      <c r="AK408" s="593">
        <f t="shared" ca="1" si="638"/>
        <v>0</v>
      </c>
      <c r="AL408" s="593">
        <f t="shared" ca="1" si="639"/>
        <v>0</v>
      </c>
      <c r="AM408" s="593">
        <f t="shared" ca="1" si="640"/>
        <v>0</v>
      </c>
      <c r="AN408" s="593">
        <f t="shared" ca="1" si="641"/>
        <v>0</v>
      </c>
      <c r="AO408" s="593">
        <f t="shared" ca="1" si="642"/>
        <v>0</v>
      </c>
      <c r="AP408" s="593">
        <f t="shared" ca="1" si="643"/>
        <v>0</v>
      </c>
    </row>
    <row r="409" spans="1:42" s="594" customFormat="1" ht="11.25" outlineLevel="1" x14ac:dyDescent="0.2">
      <c r="A409" s="644"/>
      <c r="B409" s="591" t="str">
        <f>IF(D409&lt;&gt;"",
IF(ISERROR(MATCH(D409,'Ist Aktuell Monat 01'!A:A,0))=FALSE,INDEX('Ist Aktuell Monat 01'!B:B,MATCH(D409,'Ist Aktuell Monat 01'!A:A,0)),
IF(ISERROR(MATCH(D409,'Ist Aktuell Monat 02'!A:A,0))=FALSE,INDEX('Ist Aktuell Monat 02'!B:B,MATCH(D409,'Ist Aktuell Monat 02'!A:A,0)),
IF(ISERROR(MATCH(D409,'Ist Aktuell Monat 03'!A:A,0))=FALSE,INDEX('Ist Aktuell Monat 03'!B:B,MATCH(D409,'Ist Aktuell Monat 03'!A:A,0)),
IF(ISERROR(MATCH(D409,'Ist Aktuell Monat 04'!A:A,0))=FALSE,INDEX('Ist Aktuell Monat 04'!B:B,MATCH(D409,'Ist Aktuell Monat 04'!A:A,0)),
IF(ISERROR(MATCH(D409,'Ist Aktuell Monat 05'!A:A,0))=FALSE,INDEX('Ist Aktuell Monat 05'!B:B,MATCH(D409,'Ist Aktuell Monat 05'!A:A,0)),
IF(ISERROR(MATCH(D409,'Ist Aktuell Monat 06'!A:A,0))=FALSE,INDEX('Ist Aktuell Monat 06'!B:B,MATCH(D409,'Ist Aktuell Monat 06'!A:A,0)),
IF(ISERROR(MATCH(D409,'Ist Aktuell Monat 07'!A:A,0))=FALSE,INDEX('Ist Aktuell Monat 07'!B:B,MATCH(D409,'Ist Aktuell Monat 07'!A:A,0)),
IF(ISERROR(MATCH(D409,'Ist Aktuell Monat 08'!A:A,0))=FALSE,INDEX('Ist Aktuell Monat 08'!B:B,MATCH(D409,'Ist Aktuell Monat 08'!A:A,0)),
IF(ISERROR(MATCH(D409,'Ist Aktuell Monat 09'!A:A,0))=FALSE,INDEX('Ist Aktuell Monat 09'!B:B,MATCH(D409,'Ist Aktuell Monat 09'!A:A,0)),
IF(ISERROR(MATCH(D409,'Ist Aktuell Monat 10'!A:A,0))=FALSE,INDEX('Ist Aktuell Monat 10'!B:B,MATCH(D409,'Ist Aktuell Monat 10'!A:A,0)),
IF(ISERROR(MATCH(D409,'Ist Aktuell Monat 11'!A:A,0))=FALSE,INDEX('Ist Aktuell Monat 11'!B:B,MATCH(D409,'Ist Aktuell Monat 11'!A:A,0)),
IF(ISERROR(MATCH(D409,'Ist Aktuell Monat 12'!A:A,0))=FALSE,INDEX('Ist Aktuell Monat 12'!B:B,MATCH(D409,'Ist Aktuell Monat 12'!A:A,0)),
"{Konto unbekannt}"
)))))))))))),"")</f>
        <v/>
      </c>
      <c r="C409" s="1062"/>
      <c r="D409" s="1067"/>
      <c r="E409" s="625">
        <f t="shared" ref="E409:E414" si="645">IF(F409="-",-1,1)</f>
        <v>1</v>
      </c>
      <c r="F409" s="626"/>
      <c r="G409" s="593">
        <f ca="1">$E409*(-SUMIF(INDIRECT(G$3),'Struktur Aktuell'!$D409,INDIRECT(G$4))+SUMIF(INDIRECT(G$3),'Struktur Aktuell'!$D409,INDIRECT(G$5)))</f>
        <v>0</v>
      </c>
      <c r="H409" s="593">
        <f ca="1">$E409*(-SUMIF(INDIRECT(H$3),'Struktur Aktuell'!$D409,INDIRECT(H$4))+SUMIF(INDIRECT(H$3),'Struktur Aktuell'!$D409,INDIRECT(H$5)))</f>
        <v>0</v>
      </c>
      <c r="I409" s="593">
        <f ca="1">$E409*(-SUMIF(INDIRECT(I$3),'Struktur Aktuell'!$D409,INDIRECT(I$4))+SUMIF(INDIRECT(I$3),'Struktur Aktuell'!$D409,INDIRECT(I$5)))</f>
        <v>0</v>
      </c>
      <c r="J409" s="593">
        <f ca="1">$E409*(-SUMIF(INDIRECT(J$3),'Struktur Aktuell'!$D409,INDIRECT(J$4))+SUMIF(INDIRECT(J$3),'Struktur Aktuell'!$D409,INDIRECT(J$5)))</f>
        <v>0</v>
      </c>
      <c r="K409" s="593">
        <f ca="1">$E409*(-SUMIF(INDIRECT(K$3),'Struktur Aktuell'!$D409,INDIRECT(K$4))+SUMIF(INDIRECT(K$3),'Struktur Aktuell'!$D409,INDIRECT(K$5)))</f>
        <v>0</v>
      </c>
      <c r="L409" s="593">
        <f ca="1">$E409*(-SUMIF(INDIRECT(L$3),'Struktur Aktuell'!$D409,INDIRECT(L$4))+SUMIF(INDIRECT(L$3),'Struktur Aktuell'!$D409,INDIRECT(L$5)))</f>
        <v>0</v>
      </c>
      <c r="M409" s="593">
        <f ca="1">$E409*(-SUMIF(INDIRECT(M$3),'Struktur Aktuell'!$D409,INDIRECT(M$4))+SUMIF(INDIRECT(M$3),'Struktur Aktuell'!$D409,INDIRECT(M$5)))</f>
        <v>0</v>
      </c>
      <c r="N409" s="593">
        <f ca="1">$E409*(-SUMIF(INDIRECT(N$3),'Struktur Aktuell'!$D409,INDIRECT(N$4))+SUMIF(INDIRECT(N$3),'Struktur Aktuell'!$D409,INDIRECT(N$5)))</f>
        <v>0</v>
      </c>
      <c r="O409" s="593">
        <f ca="1">$E409*(-SUMIF(INDIRECT(O$3),'Struktur Aktuell'!$D409,INDIRECT(O$4))+SUMIF(INDIRECT(O$3),'Struktur Aktuell'!$D409,INDIRECT(O$5)))</f>
        <v>0</v>
      </c>
      <c r="P409" s="593">
        <f ca="1">$E409*(-SUMIF(INDIRECT(P$3),'Struktur Aktuell'!$D409,INDIRECT(P$4))+SUMIF(INDIRECT(P$3),'Struktur Aktuell'!$D409,INDIRECT(P$5)))</f>
        <v>0</v>
      </c>
      <c r="Q409" s="593">
        <f ca="1">$E409*(-SUMIF(INDIRECT(Q$3),'Struktur Aktuell'!$D409,INDIRECT(Q$4))+SUMIF(INDIRECT(Q$3),'Struktur Aktuell'!$D409,INDIRECT(Q$5)))</f>
        <v>0</v>
      </c>
      <c r="R409" s="593">
        <f ca="1">$E409*(-SUMIF(INDIRECT(R$3),'Struktur Aktuell'!$D409,INDIRECT(R$4))+SUMIF(INDIRECT(R$3),'Struktur Aktuell'!$D409,INDIRECT(R$5)))</f>
        <v>0</v>
      </c>
      <c r="S409" s="593">
        <f ca="1">$E409*(-SUMIF(INDIRECT(S$3),'Struktur Aktuell'!$D409,INDIRECT(S$4))+SUMIF(INDIRECT(S$3),'Struktur Aktuell'!$D409,INDIRECT(S$5)))</f>
        <v>0</v>
      </c>
      <c r="T409" s="593">
        <f ca="1">$E409*(-SUMIF(INDIRECT(T$3),'Struktur Aktuell'!$D409,INDIRECT(T$4))+SUMIF(INDIRECT(T$3),'Struktur Aktuell'!$D409,INDIRECT(T$5)))</f>
        <v>0</v>
      </c>
      <c r="U409" s="593">
        <f ca="1">$E409*(-SUMIF(INDIRECT(U$3),'Struktur Aktuell'!$D409,INDIRECT(U$4))+SUMIF(INDIRECT(U$3),'Struktur Aktuell'!$D409,INDIRECT(U$5)))</f>
        <v>0</v>
      </c>
      <c r="V409" s="593">
        <f ca="1">$E409*(-SUMIF(INDIRECT(V$3),'Struktur Aktuell'!$D409,INDIRECT(V$4))+SUMIF(INDIRECT(V$3),'Struktur Aktuell'!$D409,INDIRECT(V$5)))</f>
        <v>0</v>
      </c>
      <c r="W409" s="593">
        <f ca="1">$E409*(-SUMIF(INDIRECT(W$3),'Struktur Aktuell'!$D409,INDIRECT(W$4))+SUMIF(INDIRECT(W$3),'Struktur Aktuell'!$D409,INDIRECT(W$5)))</f>
        <v>0</v>
      </c>
      <c r="X409" s="593">
        <f ca="1">$E409*(-SUMIF(INDIRECT(X$3),'Struktur Aktuell'!$D409,INDIRECT(X$4))+SUMIF(INDIRECT(X$3),'Struktur Aktuell'!$D409,INDIRECT(X$5)))</f>
        <v>0</v>
      </c>
      <c r="Y409" s="593">
        <f ca="1">$E409*(-SUMIF(INDIRECT(Y$3),'Struktur Aktuell'!$D409,INDIRECT(Y$4))+SUMIF(INDIRECT(Y$3),'Struktur Aktuell'!$D409,INDIRECT(Y$5)))</f>
        <v>0</v>
      </c>
      <c r="Z409" s="593">
        <f ca="1">$E409*(-SUMIF(INDIRECT(Z$3),'Struktur Aktuell'!$D409,INDIRECT(Z$4))+SUMIF(INDIRECT(Z$3),'Struktur Aktuell'!$D409,INDIRECT(Z$5)))</f>
        <v>0</v>
      </c>
      <c r="AA409" s="593">
        <f ca="1">$E409*(-SUMIF(INDIRECT(AA$3),'Struktur Aktuell'!$D409,INDIRECT(AA$4))+SUMIF(INDIRECT(AA$3),'Struktur Aktuell'!$D409,INDIRECT(AA$5)))</f>
        <v>0</v>
      </c>
      <c r="AB409" s="593">
        <f ca="1">$E409*(-SUMIF(INDIRECT(AB$3),'Struktur Aktuell'!$D409,INDIRECT(AB$4))+SUMIF(INDIRECT(AB$3),'Struktur Aktuell'!$D409,INDIRECT(AB$5)))</f>
        <v>0</v>
      </c>
      <c r="AC409" s="593">
        <f ca="1">$E409*(-SUMIF(INDIRECT(AC$3),'Struktur Aktuell'!$D409,INDIRECT(AC$4))+SUMIF(INDIRECT(AC$3),'Struktur Aktuell'!$D409,INDIRECT(AC$5)))</f>
        <v>0</v>
      </c>
      <c r="AD409" s="593">
        <f ca="1">$E409*(-SUMIF(INDIRECT(AD$3),'Struktur Aktuell'!$D409,INDIRECT(AD$4))+SUMIF(INDIRECT(AD$3),'Struktur Aktuell'!$D409,INDIRECT(AD$5)))</f>
        <v>0</v>
      </c>
      <c r="AE409" s="593">
        <f t="shared" ca="1" si="632"/>
        <v>0</v>
      </c>
      <c r="AF409" s="593">
        <f t="shared" ca="1" si="633"/>
        <v>0</v>
      </c>
      <c r="AG409" s="593">
        <f t="shared" ca="1" si="634"/>
        <v>0</v>
      </c>
      <c r="AH409" s="593">
        <f t="shared" ca="1" si="635"/>
        <v>0</v>
      </c>
      <c r="AI409" s="593">
        <f t="shared" ca="1" si="636"/>
        <v>0</v>
      </c>
      <c r="AJ409" s="593">
        <f t="shared" ca="1" si="637"/>
        <v>0</v>
      </c>
      <c r="AK409" s="593">
        <f t="shared" ca="1" si="638"/>
        <v>0</v>
      </c>
      <c r="AL409" s="593">
        <f t="shared" ca="1" si="639"/>
        <v>0</v>
      </c>
      <c r="AM409" s="593">
        <f t="shared" ca="1" si="640"/>
        <v>0</v>
      </c>
      <c r="AN409" s="593">
        <f t="shared" ca="1" si="641"/>
        <v>0</v>
      </c>
      <c r="AO409" s="593">
        <f t="shared" ca="1" si="642"/>
        <v>0</v>
      </c>
      <c r="AP409" s="593">
        <f t="shared" ca="1" si="643"/>
        <v>0</v>
      </c>
    </row>
    <row r="410" spans="1:42" s="594" customFormat="1" ht="11.25" outlineLevel="1" x14ac:dyDescent="0.2">
      <c r="A410" s="644"/>
      <c r="B410" s="591" t="str">
        <f>IF(D410&lt;&gt;"",
IF(ISERROR(MATCH(D410,'Ist Aktuell Monat 01'!A:A,0))=FALSE,INDEX('Ist Aktuell Monat 01'!B:B,MATCH(D410,'Ist Aktuell Monat 01'!A:A,0)),
IF(ISERROR(MATCH(D410,'Ist Aktuell Monat 02'!A:A,0))=FALSE,INDEX('Ist Aktuell Monat 02'!B:B,MATCH(D410,'Ist Aktuell Monat 02'!A:A,0)),
IF(ISERROR(MATCH(D410,'Ist Aktuell Monat 03'!A:A,0))=FALSE,INDEX('Ist Aktuell Monat 03'!B:B,MATCH(D410,'Ist Aktuell Monat 03'!A:A,0)),
IF(ISERROR(MATCH(D410,'Ist Aktuell Monat 04'!A:A,0))=FALSE,INDEX('Ist Aktuell Monat 04'!B:B,MATCH(D410,'Ist Aktuell Monat 04'!A:A,0)),
IF(ISERROR(MATCH(D410,'Ist Aktuell Monat 05'!A:A,0))=FALSE,INDEX('Ist Aktuell Monat 05'!B:B,MATCH(D410,'Ist Aktuell Monat 05'!A:A,0)),
IF(ISERROR(MATCH(D410,'Ist Aktuell Monat 06'!A:A,0))=FALSE,INDEX('Ist Aktuell Monat 06'!B:B,MATCH(D410,'Ist Aktuell Monat 06'!A:A,0)),
IF(ISERROR(MATCH(D410,'Ist Aktuell Monat 07'!A:A,0))=FALSE,INDEX('Ist Aktuell Monat 07'!B:B,MATCH(D410,'Ist Aktuell Monat 07'!A:A,0)),
IF(ISERROR(MATCH(D410,'Ist Aktuell Monat 08'!A:A,0))=FALSE,INDEX('Ist Aktuell Monat 08'!B:B,MATCH(D410,'Ist Aktuell Monat 08'!A:A,0)),
IF(ISERROR(MATCH(D410,'Ist Aktuell Monat 09'!A:A,0))=FALSE,INDEX('Ist Aktuell Monat 09'!B:B,MATCH(D410,'Ist Aktuell Monat 09'!A:A,0)),
IF(ISERROR(MATCH(D410,'Ist Aktuell Monat 10'!A:A,0))=FALSE,INDEX('Ist Aktuell Monat 10'!B:B,MATCH(D410,'Ist Aktuell Monat 10'!A:A,0)),
IF(ISERROR(MATCH(D410,'Ist Aktuell Monat 11'!A:A,0))=FALSE,INDEX('Ist Aktuell Monat 11'!B:B,MATCH(D410,'Ist Aktuell Monat 11'!A:A,0)),
IF(ISERROR(MATCH(D410,'Ist Aktuell Monat 12'!A:A,0))=FALSE,INDEX('Ist Aktuell Monat 12'!B:B,MATCH(D410,'Ist Aktuell Monat 12'!A:A,0)),
"{Konto unbekannt}"
)))))))))))),"")</f>
        <v/>
      </c>
      <c r="C410" s="1062"/>
      <c r="D410" s="1067"/>
      <c r="E410" s="625">
        <f t="shared" si="645"/>
        <v>1</v>
      </c>
      <c r="F410" s="626"/>
      <c r="G410" s="593">
        <f ca="1">$E410*(-SUMIF(INDIRECT(G$3),'Struktur Aktuell'!$D410,INDIRECT(G$4))+SUMIF(INDIRECT(G$3),'Struktur Aktuell'!$D410,INDIRECT(G$5)))</f>
        <v>0</v>
      </c>
      <c r="H410" s="593">
        <f ca="1">$E410*(-SUMIF(INDIRECT(H$3),'Struktur Aktuell'!$D410,INDIRECT(H$4))+SUMIF(INDIRECT(H$3),'Struktur Aktuell'!$D410,INDIRECT(H$5)))</f>
        <v>0</v>
      </c>
      <c r="I410" s="593">
        <f ca="1">$E410*(-SUMIF(INDIRECT(I$3),'Struktur Aktuell'!$D410,INDIRECT(I$4))+SUMIF(INDIRECT(I$3),'Struktur Aktuell'!$D410,INDIRECT(I$5)))</f>
        <v>0</v>
      </c>
      <c r="J410" s="593">
        <f ca="1">$E410*(-SUMIF(INDIRECT(J$3),'Struktur Aktuell'!$D410,INDIRECT(J$4))+SUMIF(INDIRECT(J$3),'Struktur Aktuell'!$D410,INDIRECT(J$5)))</f>
        <v>0</v>
      </c>
      <c r="K410" s="593">
        <f ca="1">$E410*(-SUMIF(INDIRECT(K$3),'Struktur Aktuell'!$D410,INDIRECT(K$4))+SUMIF(INDIRECT(K$3),'Struktur Aktuell'!$D410,INDIRECT(K$5)))</f>
        <v>0</v>
      </c>
      <c r="L410" s="593">
        <f ca="1">$E410*(-SUMIF(INDIRECT(L$3),'Struktur Aktuell'!$D410,INDIRECT(L$4))+SUMIF(INDIRECT(L$3),'Struktur Aktuell'!$D410,INDIRECT(L$5)))</f>
        <v>0</v>
      </c>
      <c r="M410" s="593">
        <f ca="1">$E410*(-SUMIF(INDIRECT(M$3),'Struktur Aktuell'!$D410,INDIRECT(M$4))+SUMIF(INDIRECT(M$3),'Struktur Aktuell'!$D410,INDIRECT(M$5)))</f>
        <v>0</v>
      </c>
      <c r="N410" s="593">
        <f ca="1">$E410*(-SUMIF(INDIRECT(N$3),'Struktur Aktuell'!$D410,INDIRECT(N$4))+SUMIF(INDIRECT(N$3),'Struktur Aktuell'!$D410,INDIRECT(N$5)))</f>
        <v>0</v>
      </c>
      <c r="O410" s="593">
        <f ca="1">$E410*(-SUMIF(INDIRECT(O$3),'Struktur Aktuell'!$D410,INDIRECT(O$4))+SUMIF(INDIRECT(O$3),'Struktur Aktuell'!$D410,INDIRECT(O$5)))</f>
        <v>0</v>
      </c>
      <c r="P410" s="593">
        <f ca="1">$E410*(-SUMIF(INDIRECT(P$3),'Struktur Aktuell'!$D410,INDIRECT(P$4))+SUMIF(INDIRECT(P$3),'Struktur Aktuell'!$D410,INDIRECT(P$5)))</f>
        <v>0</v>
      </c>
      <c r="Q410" s="593">
        <f ca="1">$E410*(-SUMIF(INDIRECT(Q$3),'Struktur Aktuell'!$D410,INDIRECT(Q$4))+SUMIF(INDIRECT(Q$3),'Struktur Aktuell'!$D410,INDIRECT(Q$5)))</f>
        <v>0</v>
      </c>
      <c r="R410" s="593">
        <f ca="1">$E410*(-SUMIF(INDIRECT(R$3),'Struktur Aktuell'!$D410,INDIRECT(R$4))+SUMIF(INDIRECT(R$3),'Struktur Aktuell'!$D410,INDIRECT(R$5)))</f>
        <v>0</v>
      </c>
      <c r="S410" s="593">
        <f ca="1">$E410*(-SUMIF(INDIRECT(S$3),'Struktur Aktuell'!$D410,INDIRECT(S$4))+SUMIF(INDIRECT(S$3),'Struktur Aktuell'!$D410,INDIRECT(S$5)))</f>
        <v>0</v>
      </c>
      <c r="T410" s="593">
        <f ca="1">$E410*(-SUMIF(INDIRECT(T$3),'Struktur Aktuell'!$D410,INDIRECT(T$4))+SUMIF(INDIRECT(T$3),'Struktur Aktuell'!$D410,INDIRECT(T$5)))</f>
        <v>0</v>
      </c>
      <c r="U410" s="593">
        <f ca="1">$E410*(-SUMIF(INDIRECT(U$3),'Struktur Aktuell'!$D410,INDIRECT(U$4))+SUMIF(INDIRECT(U$3),'Struktur Aktuell'!$D410,INDIRECT(U$5)))</f>
        <v>0</v>
      </c>
      <c r="V410" s="593">
        <f ca="1">$E410*(-SUMIF(INDIRECT(V$3),'Struktur Aktuell'!$D410,INDIRECT(V$4))+SUMIF(INDIRECT(V$3),'Struktur Aktuell'!$D410,INDIRECT(V$5)))</f>
        <v>0</v>
      </c>
      <c r="W410" s="593">
        <f ca="1">$E410*(-SUMIF(INDIRECT(W$3),'Struktur Aktuell'!$D410,INDIRECT(W$4))+SUMIF(INDIRECT(W$3),'Struktur Aktuell'!$D410,INDIRECT(W$5)))</f>
        <v>0</v>
      </c>
      <c r="X410" s="593">
        <f ca="1">$E410*(-SUMIF(INDIRECT(X$3),'Struktur Aktuell'!$D410,INDIRECT(X$4))+SUMIF(INDIRECT(X$3),'Struktur Aktuell'!$D410,INDIRECT(X$5)))</f>
        <v>0</v>
      </c>
      <c r="Y410" s="593">
        <f ca="1">$E410*(-SUMIF(INDIRECT(Y$3),'Struktur Aktuell'!$D410,INDIRECT(Y$4))+SUMIF(INDIRECT(Y$3),'Struktur Aktuell'!$D410,INDIRECT(Y$5)))</f>
        <v>0</v>
      </c>
      <c r="Z410" s="593">
        <f ca="1">$E410*(-SUMIF(INDIRECT(Z$3),'Struktur Aktuell'!$D410,INDIRECT(Z$4))+SUMIF(INDIRECT(Z$3),'Struktur Aktuell'!$D410,INDIRECT(Z$5)))</f>
        <v>0</v>
      </c>
      <c r="AA410" s="593">
        <f ca="1">$E410*(-SUMIF(INDIRECT(AA$3),'Struktur Aktuell'!$D410,INDIRECT(AA$4))+SUMIF(INDIRECT(AA$3),'Struktur Aktuell'!$D410,INDIRECT(AA$5)))</f>
        <v>0</v>
      </c>
      <c r="AB410" s="593">
        <f ca="1">$E410*(-SUMIF(INDIRECT(AB$3),'Struktur Aktuell'!$D410,INDIRECT(AB$4))+SUMIF(INDIRECT(AB$3),'Struktur Aktuell'!$D410,INDIRECT(AB$5)))</f>
        <v>0</v>
      </c>
      <c r="AC410" s="593">
        <f ca="1">$E410*(-SUMIF(INDIRECT(AC$3),'Struktur Aktuell'!$D410,INDIRECT(AC$4))+SUMIF(INDIRECT(AC$3),'Struktur Aktuell'!$D410,INDIRECT(AC$5)))</f>
        <v>0</v>
      </c>
      <c r="AD410" s="593">
        <f ca="1">$E410*(-SUMIF(INDIRECT(AD$3),'Struktur Aktuell'!$D410,INDIRECT(AD$4))+SUMIF(INDIRECT(AD$3),'Struktur Aktuell'!$D410,INDIRECT(AD$5)))</f>
        <v>0</v>
      </c>
      <c r="AE410" s="593">
        <f t="shared" ca="1" si="632"/>
        <v>0</v>
      </c>
      <c r="AF410" s="593">
        <f t="shared" ca="1" si="633"/>
        <v>0</v>
      </c>
      <c r="AG410" s="593">
        <f t="shared" ca="1" si="634"/>
        <v>0</v>
      </c>
      <c r="AH410" s="593">
        <f t="shared" ca="1" si="635"/>
        <v>0</v>
      </c>
      <c r="AI410" s="593">
        <f t="shared" ca="1" si="636"/>
        <v>0</v>
      </c>
      <c r="AJ410" s="593">
        <f t="shared" ca="1" si="637"/>
        <v>0</v>
      </c>
      <c r="AK410" s="593">
        <f t="shared" ca="1" si="638"/>
        <v>0</v>
      </c>
      <c r="AL410" s="593">
        <f t="shared" ca="1" si="639"/>
        <v>0</v>
      </c>
      <c r="AM410" s="593">
        <f t="shared" ca="1" si="640"/>
        <v>0</v>
      </c>
      <c r="AN410" s="593">
        <f t="shared" ca="1" si="641"/>
        <v>0</v>
      </c>
      <c r="AO410" s="593">
        <f t="shared" ca="1" si="642"/>
        <v>0</v>
      </c>
      <c r="AP410" s="593">
        <f t="shared" ca="1" si="643"/>
        <v>0</v>
      </c>
    </row>
    <row r="411" spans="1:42" s="594" customFormat="1" ht="11.25" outlineLevel="1" x14ac:dyDescent="0.2">
      <c r="A411" s="644"/>
      <c r="B411" s="591" t="str">
        <f>IF(D411&lt;&gt;"",
IF(ISERROR(MATCH(D411,'Ist Aktuell Monat 01'!A:A,0))=FALSE,INDEX('Ist Aktuell Monat 01'!B:B,MATCH(D411,'Ist Aktuell Monat 01'!A:A,0)),
IF(ISERROR(MATCH(D411,'Ist Aktuell Monat 02'!A:A,0))=FALSE,INDEX('Ist Aktuell Monat 02'!B:B,MATCH(D411,'Ist Aktuell Monat 02'!A:A,0)),
IF(ISERROR(MATCH(D411,'Ist Aktuell Monat 03'!A:A,0))=FALSE,INDEX('Ist Aktuell Monat 03'!B:B,MATCH(D411,'Ist Aktuell Monat 03'!A:A,0)),
IF(ISERROR(MATCH(D411,'Ist Aktuell Monat 04'!A:A,0))=FALSE,INDEX('Ist Aktuell Monat 04'!B:B,MATCH(D411,'Ist Aktuell Monat 04'!A:A,0)),
IF(ISERROR(MATCH(D411,'Ist Aktuell Monat 05'!A:A,0))=FALSE,INDEX('Ist Aktuell Monat 05'!B:B,MATCH(D411,'Ist Aktuell Monat 05'!A:A,0)),
IF(ISERROR(MATCH(D411,'Ist Aktuell Monat 06'!A:A,0))=FALSE,INDEX('Ist Aktuell Monat 06'!B:B,MATCH(D411,'Ist Aktuell Monat 06'!A:A,0)),
IF(ISERROR(MATCH(D411,'Ist Aktuell Monat 07'!A:A,0))=FALSE,INDEX('Ist Aktuell Monat 07'!B:B,MATCH(D411,'Ist Aktuell Monat 07'!A:A,0)),
IF(ISERROR(MATCH(D411,'Ist Aktuell Monat 08'!A:A,0))=FALSE,INDEX('Ist Aktuell Monat 08'!B:B,MATCH(D411,'Ist Aktuell Monat 08'!A:A,0)),
IF(ISERROR(MATCH(D411,'Ist Aktuell Monat 09'!A:A,0))=FALSE,INDEX('Ist Aktuell Monat 09'!B:B,MATCH(D411,'Ist Aktuell Monat 09'!A:A,0)),
IF(ISERROR(MATCH(D411,'Ist Aktuell Monat 10'!A:A,0))=FALSE,INDEX('Ist Aktuell Monat 10'!B:B,MATCH(D411,'Ist Aktuell Monat 10'!A:A,0)),
IF(ISERROR(MATCH(D411,'Ist Aktuell Monat 11'!A:A,0))=FALSE,INDEX('Ist Aktuell Monat 11'!B:B,MATCH(D411,'Ist Aktuell Monat 11'!A:A,0)),
IF(ISERROR(MATCH(D411,'Ist Aktuell Monat 12'!A:A,0))=FALSE,INDEX('Ist Aktuell Monat 12'!B:B,MATCH(D411,'Ist Aktuell Monat 12'!A:A,0)),
"{Konto unbekannt}"
)))))))))))),"")</f>
        <v/>
      </c>
      <c r="C411" s="1062"/>
      <c r="D411" s="1067"/>
      <c r="E411" s="625">
        <f t="shared" si="645"/>
        <v>1</v>
      </c>
      <c r="F411" s="626"/>
      <c r="G411" s="593">
        <f ca="1">$E411*(-SUMIF(INDIRECT(G$3),'Struktur Aktuell'!$D411,INDIRECT(G$4))+SUMIF(INDIRECT(G$3),'Struktur Aktuell'!$D411,INDIRECT(G$5)))</f>
        <v>0</v>
      </c>
      <c r="H411" s="593">
        <f ca="1">$E411*(-SUMIF(INDIRECT(H$3),'Struktur Aktuell'!$D411,INDIRECT(H$4))+SUMIF(INDIRECT(H$3),'Struktur Aktuell'!$D411,INDIRECT(H$5)))</f>
        <v>0</v>
      </c>
      <c r="I411" s="593">
        <f ca="1">$E411*(-SUMIF(INDIRECT(I$3),'Struktur Aktuell'!$D411,INDIRECT(I$4))+SUMIF(INDIRECT(I$3),'Struktur Aktuell'!$D411,INDIRECT(I$5)))</f>
        <v>0</v>
      </c>
      <c r="J411" s="593">
        <f ca="1">$E411*(-SUMIF(INDIRECT(J$3),'Struktur Aktuell'!$D411,INDIRECT(J$4))+SUMIF(INDIRECT(J$3),'Struktur Aktuell'!$D411,INDIRECT(J$5)))</f>
        <v>0</v>
      </c>
      <c r="K411" s="593">
        <f ca="1">$E411*(-SUMIF(INDIRECT(K$3),'Struktur Aktuell'!$D411,INDIRECT(K$4))+SUMIF(INDIRECT(K$3),'Struktur Aktuell'!$D411,INDIRECT(K$5)))</f>
        <v>0</v>
      </c>
      <c r="L411" s="593">
        <f ca="1">$E411*(-SUMIF(INDIRECT(L$3),'Struktur Aktuell'!$D411,INDIRECT(L$4))+SUMIF(INDIRECT(L$3),'Struktur Aktuell'!$D411,INDIRECT(L$5)))</f>
        <v>0</v>
      </c>
      <c r="M411" s="593">
        <f ca="1">$E411*(-SUMIF(INDIRECT(M$3),'Struktur Aktuell'!$D411,INDIRECT(M$4))+SUMIF(INDIRECT(M$3),'Struktur Aktuell'!$D411,INDIRECT(M$5)))</f>
        <v>0</v>
      </c>
      <c r="N411" s="593">
        <f ca="1">$E411*(-SUMIF(INDIRECT(N$3),'Struktur Aktuell'!$D411,INDIRECT(N$4))+SUMIF(INDIRECT(N$3),'Struktur Aktuell'!$D411,INDIRECT(N$5)))</f>
        <v>0</v>
      </c>
      <c r="O411" s="593">
        <f ca="1">$E411*(-SUMIF(INDIRECT(O$3),'Struktur Aktuell'!$D411,INDIRECT(O$4))+SUMIF(INDIRECT(O$3),'Struktur Aktuell'!$D411,INDIRECT(O$5)))</f>
        <v>0</v>
      </c>
      <c r="P411" s="593">
        <f ca="1">$E411*(-SUMIF(INDIRECT(P$3),'Struktur Aktuell'!$D411,INDIRECT(P$4))+SUMIF(INDIRECT(P$3),'Struktur Aktuell'!$D411,INDIRECT(P$5)))</f>
        <v>0</v>
      </c>
      <c r="Q411" s="593">
        <f ca="1">$E411*(-SUMIF(INDIRECT(Q$3),'Struktur Aktuell'!$D411,INDIRECT(Q$4))+SUMIF(INDIRECT(Q$3),'Struktur Aktuell'!$D411,INDIRECT(Q$5)))</f>
        <v>0</v>
      </c>
      <c r="R411" s="593">
        <f ca="1">$E411*(-SUMIF(INDIRECT(R$3),'Struktur Aktuell'!$D411,INDIRECT(R$4))+SUMIF(INDIRECT(R$3),'Struktur Aktuell'!$D411,INDIRECT(R$5)))</f>
        <v>0</v>
      </c>
      <c r="S411" s="593">
        <f ca="1">$E411*(-SUMIF(INDIRECT(S$3),'Struktur Aktuell'!$D411,INDIRECT(S$4))+SUMIF(INDIRECT(S$3),'Struktur Aktuell'!$D411,INDIRECT(S$5)))</f>
        <v>0</v>
      </c>
      <c r="T411" s="593">
        <f ca="1">$E411*(-SUMIF(INDIRECT(T$3),'Struktur Aktuell'!$D411,INDIRECT(T$4))+SUMIF(INDIRECT(T$3),'Struktur Aktuell'!$D411,INDIRECT(T$5)))</f>
        <v>0</v>
      </c>
      <c r="U411" s="593">
        <f ca="1">$E411*(-SUMIF(INDIRECT(U$3),'Struktur Aktuell'!$D411,INDIRECT(U$4))+SUMIF(INDIRECT(U$3),'Struktur Aktuell'!$D411,INDIRECT(U$5)))</f>
        <v>0</v>
      </c>
      <c r="V411" s="593">
        <f ca="1">$E411*(-SUMIF(INDIRECT(V$3),'Struktur Aktuell'!$D411,INDIRECT(V$4))+SUMIF(INDIRECT(V$3),'Struktur Aktuell'!$D411,INDIRECT(V$5)))</f>
        <v>0</v>
      </c>
      <c r="W411" s="593">
        <f ca="1">$E411*(-SUMIF(INDIRECT(W$3),'Struktur Aktuell'!$D411,INDIRECT(W$4))+SUMIF(INDIRECT(W$3),'Struktur Aktuell'!$D411,INDIRECT(W$5)))</f>
        <v>0</v>
      </c>
      <c r="X411" s="593">
        <f ca="1">$E411*(-SUMIF(INDIRECT(X$3),'Struktur Aktuell'!$D411,INDIRECT(X$4))+SUMIF(INDIRECT(X$3),'Struktur Aktuell'!$D411,INDIRECT(X$5)))</f>
        <v>0</v>
      </c>
      <c r="Y411" s="593">
        <f ca="1">$E411*(-SUMIF(INDIRECT(Y$3),'Struktur Aktuell'!$D411,INDIRECT(Y$4))+SUMIF(INDIRECT(Y$3),'Struktur Aktuell'!$D411,INDIRECT(Y$5)))</f>
        <v>0</v>
      </c>
      <c r="Z411" s="593">
        <f ca="1">$E411*(-SUMIF(INDIRECT(Z$3),'Struktur Aktuell'!$D411,INDIRECT(Z$4))+SUMIF(INDIRECT(Z$3),'Struktur Aktuell'!$D411,INDIRECT(Z$5)))</f>
        <v>0</v>
      </c>
      <c r="AA411" s="593">
        <f ca="1">$E411*(-SUMIF(INDIRECT(AA$3),'Struktur Aktuell'!$D411,INDIRECT(AA$4))+SUMIF(INDIRECT(AA$3),'Struktur Aktuell'!$D411,INDIRECT(AA$5)))</f>
        <v>0</v>
      </c>
      <c r="AB411" s="593">
        <f ca="1">$E411*(-SUMIF(INDIRECT(AB$3),'Struktur Aktuell'!$D411,INDIRECT(AB$4))+SUMIF(INDIRECT(AB$3),'Struktur Aktuell'!$D411,INDIRECT(AB$5)))</f>
        <v>0</v>
      </c>
      <c r="AC411" s="593">
        <f ca="1">$E411*(-SUMIF(INDIRECT(AC$3),'Struktur Aktuell'!$D411,INDIRECT(AC$4))+SUMIF(INDIRECT(AC$3),'Struktur Aktuell'!$D411,INDIRECT(AC$5)))</f>
        <v>0</v>
      </c>
      <c r="AD411" s="593">
        <f ca="1">$E411*(-SUMIF(INDIRECT(AD$3),'Struktur Aktuell'!$D411,INDIRECT(AD$4))+SUMIF(INDIRECT(AD$3),'Struktur Aktuell'!$D411,INDIRECT(AD$5)))</f>
        <v>0</v>
      </c>
      <c r="AE411" s="593">
        <f t="shared" ca="1" si="632"/>
        <v>0</v>
      </c>
      <c r="AF411" s="593">
        <f t="shared" ca="1" si="633"/>
        <v>0</v>
      </c>
      <c r="AG411" s="593">
        <f t="shared" ca="1" si="634"/>
        <v>0</v>
      </c>
      <c r="AH411" s="593">
        <f t="shared" ca="1" si="635"/>
        <v>0</v>
      </c>
      <c r="AI411" s="593">
        <f t="shared" ca="1" si="636"/>
        <v>0</v>
      </c>
      <c r="AJ411" s="593">
        <f t="shared" ca="1" si="637"/>
        <v>0</v>
      </c>
      <c r="AK411" s="593">
        <f t="shared" ca="1" si="638"/>
        <v>0</v>
      </c>
      <c r="AL411" s="593">
        <f t="shared" ca="1" si="639"/>
        <v>0</v>
      </c>
      <c r="AM411" s="593">
        <f t="shared" ca="1" si="640"/>
        <v>0</v>
      </c>
      <c r="AN411" s="593">
        <f t="shared" ca="1" si="641"/>
        <v>0</v>
      </c>
      <c r="AO411" s="593">
        <f t="shared" ca="1" si="642"/>
        <v>0</v>
      </c>
      <c r="AP411" s="593">
        <f t="shared" ca="1" si="643"/>
        <v>0</v>
      </c>
    </row>
    <row r="412" spans="1:42" s="594" customFormat="1" ht="11.25" outlineLevel="1" x14ac:dyDescent="0.2">
      <c r="A412" s="644"/>
      <c r="B412" s="591" t="str">
        <f>IF(D412&lt;&gt;"",
IF(ISERROR(MATCH(D412,'Ist Aktuell Monat 01'!A:A,0))=FALSE,INDEX('Ist Aktuell Monat 01'!B:B,MATCH(D412,'Ist Aktuell Monat 01'!A:A,0)),
IF(ISERROR(MATCH(D412,'Ist Aktuell Monat 02'!A:A,0))=FALSE,INDEX('Ist Aktuell Monat 02'!B:B,MATCH(D412,'Ist Aktuell Monat 02'!A:A,0)),
IF(ISERROR(MATCH(D412,'Ist Aktuell Monat 03'!A:A,0))=FALSE,INDEX('Ist Aktuell Monat 03'!B:B,MATCH(D412,'Ist Aktuell Monat 03'!A:A,0)),
IF(ISERROR(MATCH(D412,'Ist Aktuell Monat 04'!A:A,0))=FALSE,INDEX('Ist Aktuell Monat 04'!B:B,MATCH(D412,'Ist Aktuell Monat 04'!A:A,0)),
IF(ISERROR(MATCH(D412,'Ist Aktuell Monat 05'!A:A,0))=FALSE,INDEX('Ist Aktuell Monat 05'!B:B,MATCH(D412,'Ist Aktuell Monat 05'!A:A,0)),
IF(ISERROR(MATCH(D412,'Ist Aktuell Monat 06'!A:A,0))=FALSE,INDEX('Ist Aktuell Monat 06'!B:B,MATCH(D412,'Ist Aktuell Monat 06'!A:A,0)),
IF(ISERROR(MATCH(D412,'Ist Aktuell Monat 07'!A:A,0))=FALSE,INDEX('Ist Aktuell Monat 07'!B:B,MATCH(D412,'Ist Aktuell Monat 07'!A:A,0)),
IF(ISERROR(MATCH(D412,'Ist Aktuell Monat 08'!A:A,0))=FALSE,INDEX('Ist Aktuell Monat 08'!B:B,MATCH(D412,'Ist Aktuell Monat 08'!A:A,0)),
IF(ISERROR(MATCH(D412,'Ist Aktuell Monat 09'!A:A,0))=FALSE,INDEX('Ist Aktuell Monat 09'!B:B,MATCH(D412,'Ist Aktuell Monat 09'!A:A,0)),
IF(ISERROR(MATCH(D412,'Ist Aktuell Monat 10'!A:A,0))=FALSE,INDEX('Ist Aktuell Monat 10'!B:B,MATCH(D412,'Ist Aktuell Monat 10'!A:A,0)),
IF(ISERROR(MATCH(D412,'Ist Aktuell Monat 11'!A:A,0))=FALSE,INDEX('Ist Aktuell Monat 11'!B:B,MATCH(D412,'Ist Aktuell Monat 11'!A:A,0)),
IF(ISERROR(MATCH(D412,'Ist Aktuell Monat 12'!A:A,0))=FALSE,INDEX('Ist Aktuell Monat 12'!B:B,MATCH(D412,'Ist Aktuell Monat 12'!A:A,0)),
"{Konto unbekannt}"
)))))))))))),"")</f>
        <v/>
      </c>
      <c r="C412" s="1062"/>
      <c r="D412" s="1067"/>
      <c r="E412" s="625">
        <f t="shared" si="645"/>
        <v>1</v>
      </c>
      <c r="F412" s="626"/>
      <c r="G412" s="593">
        <f ca="1">$E412*(-SUMIF(INDIRECT(G$3),'Struktur Aktuell'!$D412,INDIRECT(G$4))+SUMIF(INDIRECT(G$3),'Struktur Aktuell'!$D412,INDIRECT(G$5)))</f>
        <v>0</v>
      </c>
      <c r="H412" s="593">
        <f ca="1">$E412*(-SUMIF(INDIRECT(H$3),'Struktur Aktuell'!$D412,INDIRECT(H$4))+SUMIF(INDIRECT(H$3),'Struktur Aktuell'!$D412,INDIRECT(H$5)))</f>
        <v>0</v>
      </c>
      <c r="I412" s="593">
        <f ca="1">$E412*(-SUMIF(INDIRECT(I$3),'Struktur Aktuell'!$D412,INDIRECT(I$4))+SUMIF(INDIRECT(I$3),'Struktur Aktuell'!$D412,INDIRECT(I$5)))</f>
        <v>0</v>
      </c>
      <c r="J412" s="593">
        <f ca="1">$E412*(-SUMIF(INDIRECT(J$3),'Struktur Aktuell'!$D412,INDIRECT(J$4))+SUMIF(INDIRECT(J$3),'Struktur Aktuell'!$D412,INDIRECT(J$5)))</f>
        <v>0</v>
      </c>
      <c r="K412" s="593">
        <f ca="1">$E412*(-SUMIF(INDIRECT(K$3),'Struktur Aktuell'!$D412,INDIRECT(K$4))+SUMIF(INDIRECT(K$3),'Struktur Aktuell'!$D412,INDIRECT(K$5)))</f>
        <v>0</v>
      </c>
      <c r="L412" s="593">
        <f ca="1">$E412*(-SUMIF(INDIRECT(L$3),'Struktur Aktuell'!$D412,INDIRECT(L$4))+SUMIF(INDIRECT(L$3),'Struktur Aktuell'!$D412,INDIRECT(L$5)))</f>
        <v>0</v>
      </c>
      <c r="M412" s="593">
        <f ca="1">$E412*(-SUMIF(INDIRECT(M$3),'Struktur Aktuell'!$D412,INDIRECT(M$4))+SUMIF(INDIRECT(M$3),'Struktur Aktuell'!$D412,INDIRECT(M$5)))</f>
        <v>0</v>
      </c>
      <c r="N412" s="593">
        <f ca="1">$E412*(-SUMIF(INDIRECT(N$3),'Struktur Aktuell'!$D412,INDIRECT(N$4))+SUMIF(INDIRECT(N$3),'Struktur Aktuell'!$D412,INDIRECT(N$5)))</f>
        <v>0</v>
      </c>
      <c r="O412" s="593">
        <f ca="1">$E412*(-SUMIF(INDIRECT(O$3),'Struktur Aktuell'!$D412,INDIRECT(O$4))+SUMIF(INDIRECT(O$3),'Struktur Aktuell'!$D412,INDIRECT(O$5)))</f>
        <v>0</v>
      </c>
      <c r="P412" s="593">
        <f ca="1">$E412*(-SUMIF(INDIRECT(P$3),'Struktur Aktuell'!$D412,INDIRECT(P$4))+SUMIF(INDIRECT(P$3),'Struktur Aktuell'!$D412,INDIRECT(P$5)))</f>
        <v>0</v>
      </c>
      <c r="Q412" s="593">
        <f ca="1">$E412*(-SUMIF(INDIRECT(Q$3),'Struktur Aktuell'!$D412,INDIRECT(Q$4))+SUMIF(INDIRECT(Q$3),'Struktur Aktuell'!$D412,INDIRECT(Q$5)))</f>
        <v>0</v>
      </c>
      <c r="R412" s="593">
        <f ca="1">$E412*(-SUMIF(INDIRECT(R$3),'Struktur Aktuell'!$D412,INDIRECT(R$4))+SUMIF(INDIRECT(R$3),'Struktur Aktuell'!$D412,INDIRECT(R$5)))</f>
        <v>0</v>
      </c>
      <c r="S412" s="593">
        <f ca="1">$E412*(-SUMIF(INDIRECT(S$3),'Struktur Aktuell'!$D412,INDIRECT(S$4))+SUMIF(INDIRECT(S$3),'Struktur Aktuell'!$D412,INDIRECT(S$5)))</f>
        <v>0</v>
      </c>
      <c r="T412" s="593">
        <f ca="1">$E412*(-SUMIF(INDIRECT(T$3),'Struktur Aktuell'!$D412,INDIRECT(T$4))+SUMIF(INDIRECT(T$3),'Struktur Aktuell'!$D412,INDIRECT(T$5)))</f>
        <v>0</v>
      </c>
      <c r="U412" s="593">
        <f ca="1">$E412*(-SUMIF(INDIRECT(U$3),'Struktur Aktuell'!$D412,INDIRECT(U$4))+SUMIF(INDIRECT(U$3),'Struktur Aktuell'!$D412,INDIRECT(U$5)))</f>
        <v>0</v>
      </c>
      <c r="V412" s="593">
        <f ca="1">$E412*(-SUMIF(INDIRECT(V$3),'Struktur Aktuell'!$D412,INDIRECT(V$4))+SUMIF(INDIRECT(V$3),'Struktur Aktuell'!$D412,INDIRECT(V$5)))</f>
        <v>0</v>
      </c>
      <c r="W412" s="593">
        <f ca="1">$E412*(-SUMIF(INDIRECT(W$3),'Struktur Aktuell'!$D412,INDIRECT(W$4))+SUMIF(INDIRECT(W$3),'Struktur Aktuell'!$D412,INDIRECT(W$5)))</f>
        <v>0</v>
      </c>
      <c r="X412" s="593">
        <f ca="1">$E412*(-SUMIF(INDIRECT(X$3),'Struktur Aktuell'!$D412,INDIRECT(X$4))+SUMIF(INDIRECT(X$3),'Struktur Aktuell'!$D412,INDIRECT(X$5)))</f>
        <v>0</v>
      </c>
      <c r="Y412" s="593">
        <f ca="1">$E412*(-SUMIF(INDIRECT(Y$3),'Struktur Aktuell'!$D412,INDIRECT(Y$4))+SUMIF(INDIRECT(Y$3),'Struktur Aktuell'!$D412,INDIRECT(Y$5)))</f>
        <v>0</v>
      </c>
      <c r="Z412" s="593">
        <f ca="1">$E412*(-SUMIF(INDIRECT(Z$3),'Struktur Aktuell'!$D412,INDIRECT(Z$4))+SUMIF(INDIRECT(Z$3),'Struktur Aktuell'!$D412,INDIRECT(Z$5)))</f>
        <v>0</v>
      </c>
      <c r="AA412" s="593">
        <f ca="1">$E412*(-SUMIF(INDIRECT(AA$3),'Struktur Aktuell'!$D412,INDIRECT(AA$4))+SUMIF(INDIRECT(AA$3),'Struktur Aktuell'!$D412,INDIRECT(AA$5)))</f>
        <v>0</v>
      </c>
      <c r="AB412" s="593">
        <f ca="1">$E412*(-SUMIF(INDIRECT(AB$3),'Struktur Aktuell'!$D412,INDIRECT(AB$4))+SUMIF(INDIRECT(AB$3),'Struktur Aktuell'!$D412,INDIRECT(AB$5)))</f>
        <v>0</v>
      </c>
      <c r="AC412" s="593">
        <f ca="1">$E412*(-SUMIF(INDIRECT(AC$3),'Struktur Aktuell'!$D412,INDIRECT(AC$4))+SUMIF(INDIRECT(AC$3),'Struktur Aktuell'!$D412,INDIRECT(AC$5)))</f>
        <v>0</v>
      </c>
      <c r="AD412" s="593">
        <f ca="1">$E412*(-SUMIF(INDIRECT(AD$3),'Struktur Aktuell'!$D412,INDIRECT(AD$4))+SUMIF(INDIRECT(AD$3),'Struktur Aktuell'!$D412,INDIRECT(AD$5)))</f>
        <v>0</v>
      </c>
      <c r="AE412" s="593">
        <f t="shared" ca="1" si="632"/>
        <v>0</v>
      </c>
      <c r="AF412" s="593">
        <f t="shared" ca="1" si="633"/>
        <v>0</v>
      </c>
      <c r="AG412" s="593">
        <f t="shared" ca="1" si="634"/>
        <v>0</v>
      </c>
      <c r="AH412" s="593">
        <f t="shared" ca="1" si="635"/>
        <v>0</v>
      </c>
      <c r="AI412" s="593">
        <f t="shared" ca="1" si="636"/>
        <v>0</v>
      </c>
      <c r="AJ412" s="593">
        <f t="shared" ca="1" si="637"/>
        <v>0</v>
      </c>
      <c r="AK412" s="593">
        <f t="shared" ca="1" si="638"/>
        <v>0</v>
      </c>
      <c r="AL412" s="593">
        <f t="shared" ca="1" si="639"/>
        <v>0</v>
      </c>
      <c r="AM412" s="593">
        <f t="shared" ca="1" si="640"/>
        <v>0</v>
      </c>
      <c r="AN412" s="593">
        <f t="shared" ca="1" si="641"/>
        <v>0</v>
      </c>
      <c r="AO412" s="593">
        <f t="shared" ca="1" si="642"/>
        <v>0</v>
      </c>
      <c r="AP412" s="593">
        <f t="shared" ca="1" si="643"/>
        <v>0</v>
      </c>
    </row>
    <row r="413" spans="1:42" s="594" customFormat="1" ht="11.25" outlineLevel="1" x14ac:dyDescent="0.2">
      <c r="A413" s="644"/>
      <c r="B413" s="591" t="str">
        <f>IF(D413&lt;&gt;"",
IF(ISERROR(MATCH(D413,'Ist Aktuell Monat 01'!A:A,0))=FALSE,INDEX('Ist Aktuell Monat 01'!B:B,MATCH(D413,'Ist Aktuell Monat 01'!A:A,0)),
IF(ISERROR(MATCH(D413,'Ist Aktuell Monat 02'!A:A,0))=FALSE,INDEX('Ist Aktuell Monat 02'!B:B,MATCH(D413,'Ist Aktuell Monat 02'!A:A,0)),
IF(ISERROR(MATCH(D413,'Ist Aktuell Monat 03'!A:A,0))=FALSE,INDEX('Ist Aktuell Monat 03'!B:B,MATCH(D413,'Ist Aktuell Monat 03'!A:A,0)),
IF(ISERROR(MATCH(D413,'Ist Aktuell Monat 04'!A:A,0))=FALSE,INDEX('Ist Aktuell Monat 04'!B:B,MATCH(D413,'Ist Aktuell Monat 04'!A:A,0)),
IF(ISERROR(MATCH(D413,'Ist Aktuell Monat 05'!A:A,0))=FALSE,INDEX('Ist Aktuell Monat 05'!B:B,MATCH(D413,'Ist Aktuell Monat 05'!A:A,0)),
IF(ISERROR(MATCH(D413,'Ist Aktuell Monat 06'!A:A,0))=FALSE,INDEX('Ist Aktuell Monat 06'!B:B,MATCH(D413,'Ist Aktuell Monat 06'!A:A,0)),
IF(ISERROR(MATCH(D413,'Ist Aktuell Monat 07'!A:A,0))=FALSE,INDEX('Ist Aktuell Monat 07'!B:B,MATCH(D413,'Ist Aktuell Monat 07'!A:A,0)),
IF(ISERROR(MATCH(D413,'Ist Aktuell Monat 08'!A:A,0))=FALSE,INDEX('Ist Aktuell Monat 08'!B:B,MATCH(D413,'Ist Aktuell Monat 08'!A:A,0)),
IF(ISERROR(MATCH(D413,'Ist Aktuell Monat 09'!A:A,0))=FALSE,INDEX('Ist Aktuell Monat 09'!B:B,MATCH(D413,'Ist Aktuell Monat 09'!A:A,0)),
IF(ISERROR(MATCH(D413,'Ist Aktuell Monat 10'!A:A,0))=FALSE,INDEX('Ist Aktuell Monat 10'!B:B,MATCH(D413,'Ist Aktuell Monat 10'!A:A,0)),
IF(ISERROR(MATCH(D413,'Ist Aktuell Monat 11'!A:A,0))=FALSE,INDEX('Ist Aktuell Monat 11'!B:B,MATCH(D413,'Ist Aktuell Monat 11'!A:A,0)),
IF(ISERROR(MATCH(D413,'Ist Aktuell Monat 12'!A:A,0))=FALSE,INDEX('Ist Aktuell Monat 12'!B:B,MATCH(D413,'Ist Aktuell Monat 12'!A:A,0)),
"{Konto unbekannt}"
)))))))))))),"")</f>
        <v/>
      </c>
      <c r="C413" s="1062"/>
      <c r="D413" s="1067"/>
      <c r="E413" s="625">
        <f t="shared" si="645"/>
        <v>1</v>
      </c>
      <c r="F413" s="626"/>
      <c r="G413" s="593">
        <f ca="1">$E413*(-SUMIF(INDIRECT(G$3),'Struktur Aktuell'!$D413,INDIRECT(G$4))+SUMIF(INDIRECT(G$3),'Struktur Aktuell'!$D413,INDIRECT(G$5)))</f>
        <v>0</v>
      </c>
      <c r="H413" s="593">
        <f ca="1">$E413*(-SUMIF(INDIRECT(H$3),'Struktur Aktuell'!$D413,INDIRECT(H$4))+SUMIF(INDIRECT(H$3),'Struktur Aktuell'!$D413,INDIRECT(H$5)))</f>
        <v>0</v>
      </c>
      <c r="I413" s="593">
        <f ca="1">$E413*(-SUMIF(INDIRECT(I$3),'Struktur Aktuell'!$D413,INDIRECT(I$4))+SUMIF(INDIRECT(I$3),'Struktur Aktuell'!$D413,INDIRECT(I$5)))</f>
        <v>0</v>
      </c>
      <c r="J413" s="593">
        <f ca="1">$E413*(-SUMIF(INDIRECT(J$3),'Struktur Aktuell'!$D413,INDIRECT(J$4))+SUMIF(INDIRECT(J$3),'Struktur Aktuell'!$D413,INDIRECT(J$5)))</f>
        <v>0</v>
      </c>
      <c r="K413" s="593">
        <f ca="1">$E413*(-SUMIF(INDIRECT(K$3),'Struktur Aktuell'!$D413,INDIRECT(K$4))+SUMIF(INDIRECT(K$3),'Struktur Aktuell'!$D413,INDIRECT(K$5)))</f>
        <v>0</v>
      </c>
      <c r="L413" s="593">
        <f ca="1">$E413*(-SUMIF(INDIRECT(L$3),'Struktur Aktuell'!$D413,INDIRECT(L$4))+SUMIF(INDIRECT(L$3),'Struktur Aktuell'!$D413,INDIRECT(L$5)))</f>
        <v>0</v>
      </c>
      <c r="M413" s="593">
        <f ca="1">$E413*(-SUMIF(INDIRECT(M$3),'Struktur Aktuell'!$D413,INDIRECT(M$4))+SUMIF(INDIRECT(M$3),'Struktur Aktuell'!$D413,INDIRECT(M$5)))</f>
        <v>0</v>
      </c>
      <c r="N413" s="593">
        <f ca="1">$E413*(-SUMIF(INDIRECT(N$3),'Struktur Aktuell'!$D413,INDIRECT(N$4))+SUMIF(INDIRECT(N$3),'Struktur Aktuell'!$D413,INDIRECT(N$5)))</f>
        <v>0</v>
      </c>
      <c r="O413" s="593">
        <f ca="1">$E413*(-SUMIF(INDIRECT(O$3),'Struktur Aktuell'!$D413,INDIRECT(O$4))+SUMIF(INDIRECT(O$3),'Struktur Aktuell'!$D413,INDIRECT(O$5)))</f>
        <v>0</v>
      </c>
      <c r="P413" s="593">
        <f ca="1">$E413*(-SUMIF(INDIRECT(P$3),'Struktur Aktuell'!$D413,INDIRECT(P$4))+SUMIF(INDIRECT(P$3),'Struktur Aktuell'!$D413,INDIRECT(P$5)))</f>
        <v>0</v>
      </c>
      <c r="Q413" s="593">
        <f ca="1">$E413*(-SUMIF(INDIRECT(Q$3),'Struktur Aktuell'!$D413,INDIRECT(Q$4))+SUMIF(INDIRECT(Q$3),'Struktur Aktuell'!$D413,INDIRECT(Q$5)))</f>
        <v>0</v>
      </c>
      <c r="R413" s="593">
        <f ca="1">$E413*(-SUMIF(INDIRECT(R$3),'Struktur Aktuell'!$D413,INDIRECT(R$4))+SUMIF(INDIRECT(R$3),'Struktur Aktuell'!$D413,INDIRECT(R$5)))</f>
        <v>0</v>
      </c>
      <c r="S413" s="593">
        <f ca="1">$E413*(-SUMIF(INDIRECT(S$3),'Struktur Aktuell'!$D413,INDIRECT(S$4))+SUMIF(INDIRECT(S$3),'Struktur Aktuell'!$D413,INDIRECT(S$5)))</f>
        <v>0</v>
      </c>
      <c r="T413" s="593">
        <f ca="1">$E413*(-SUMIF(INDIRECT(T$3),'Struktur Aktuell'!$D413,INDIRECT(T$4))+SUMIF(INDIRECT(T$3),'Struktur Aktuell'!$D413,INDIRECT(T$5)))</f>
        <v>0</v>
      </c>
      <c r="U413" s="593">
        <f ca="1">$E413*(-SUMIF(INDIRECT(U$3),'Struktur Aktuell'!$D413,INDIRECT(U$4))+SUMIF(INDIRECT(U$3),'Struktur Aktuell'!$D413,INDIRECT(U$5)))</f>
        <v>0</v>
      </c>
      <c r="V413" s="593">
        <f ca="1">$E413*(-SUMIF(INDIRECT(V$3),'Struktur Aktuell'!$D413,INDIRECT(V$4))+SUMIF(INDIRECT(V$3),'Struktur Aktuell'!$D413,INDIRECT(V$5)))</f>
        <v>0</v>
      </c>
      <c r="W413" s="593">
        <f ca="1">$E413*(-SUMIF(INDIRECT(W$3),'Struktur Aktuell'!$D413,INDIRECT(W$4))+SUMIF(INDIRECT(W$3),'Struktur Aktuell'!$D413,INDIRECT(W$5)))</f>
        <v>0</v>
      </c>
      <c r="X413" s="593">
        <f ca="1">$E413*(-SUMIF(INDIRECT(X$3),'Struktur Aktuell'!$D413,INDIRECT(X$4))+SUMIF(INDIRECT(X$3),'Struktur Aktuell'!$D413,INDIRECT(X$5)))</f>
        <v>0</v>
      </c>
      <c r="Y413" s="593">
        <f ca="1">$E413*(-SUMIF(INDIRECT(Y$3),'Struktur Aktuell'!$D413,INDIRECT(Y$4))+SUMIF(INDIRECT(Y$3),'Struktur Aktuell'!$D413,INDIRECT(Y$5)))</f>
        <v>0</v>
      </c>
      <c r="Z413" s="593">
        <f ca="1">$E413*(-SUMIF(INDIRECT(Z$3),'Struktur Aktuell'!$D413,INDIRECT(Z$4))+SUMIF(INDIRECT(Z$3),'Struktur Aktuell'!$D413,INDIRECT(Z$5)))</f>
        <v>0</v>
      </c>
      <c r="AA413" s="593">
        <f ca="1">$E413*(-SUMIF(INDIRECT(AA$3),'Struktur Aktuell'!$D413,INDIRECT(AA$4))+SUMIF(INDIRECT(AA$3),'Struktur Aktuell'!$D413,INDIRECT(AA$5)))</f>
        <v>0</v>
      </c>
      <c r="AB413" s="593">
        <f ca="1">$E413*(-SUMIF(INDIRECT(AB$3),'Struktur Aktuell'!$D413,INDIRECT(AB$4))+SUMIF(INDIRECT(AB$3),'Struktur Aktuell'!$D413,INDIRECT(AB$5)))</f>
        <v>0</v>
      </c>
      <c r="AC413" s="593">
        <f ca="1">$E413*(-SUMIF(INDIRECT(AC$3),'Struktur Aktuell'!$D413,INDIRECT(AC$4))+SUMIF(INDIRECT(AC$3),'Struktur Aktuell'!$D413,INDIRECT(AC$5)))</f>
        <v>0</v>
      </c>
      <c r="AD413" s="593">
        <f ca="1">$E413*(-SUMIF(INDIRECT(AD$3),'Struktur Aktuell'!$D413,INDIRECT(AD$4))+SUMIF(INDIRECT(AD$3),'Struktur Aktuell'!$D413,INDIRECT(AD$5)))</f>
        <v>0</v>
      </c>
      <c r="AE413" s="593">
        <f t="shared" ca="1" si="632"/>
        <v>0</v>
      </c>
      <c r="AF413" s="593">
        <f t="shared" ca="1" si="633"/>
        <v>0</v>
      </c>
      <c r="AG413" s="593">
        <f t="shared" ca="1" si="634"/>
        <v>0</v>
      </c>
      <c r="AH413" s="593">
        <f t="shared" ca="1" si="635"/>
        <v>0</v>
      </c>
      <c r="AI413" s="593">
        <f t="shared" ca="1" si="636"/>
        <v>0</v>
      </c>
      <c r="AJ413" s="593">
        <f t="shared" ca="1" si="637"/>
        <v>0</v>
      </c>
      <c r="AK413" s="593">
        <f t="shared" ca="1" si="638"/>
        <v>0</v>
      </c>
      <c r="AL413" s="593">
        <f t="shared" ca="1" si="639"/>
        <v>0</v>
      </c>
      <c r="AM413" s="593">
        <f t="shared" ca="1" si="640"/>
        <v>0</v>
      </c>
      <c r="AN413" s="593">
        <f t="shared" ca="1" si="641"/>
        <v>0</v>
      </c>
      <c r="AO413" s="593">
        <f t="shared" ca="1" si="642"/>
        <v>0</v>
      </c>
      <c r="AP413" s="593">
        <f t="shared" ca="1" si="643"/>
        <v>0</v>
      </c>
    </row>
    <row r="414" spans="1:42" s="594" customFormat="1" ht="11.25" outlineLevel="1" x14ac:dyDescent="0.2">
      <c r="A414" s="644"/>
      <c r="B414" s="591" t="str">
        <f>IF(D414&lt;&gt;"",
IF(ISERROR(MATCH(D414,'Ist Aktuell Monat 01'!A:A,0))=FALSE,INDEX('Ist Aktuell Monat 01'!B:B,MATCH(D414,'Ist Aktuell Monat 01'!A:A,0)),
IF(ISERROR(MATCH(D414,'Ist Aktuell Monat 02'!A:A,0))=FALSE,INDEX('Ist Aktuell Monat 02'!B:B,MATCH(D414,'Ist Aktuell Monat 02'!A:A,0)),
IF(ISERROR(MATCH(D414,'Ist Aktuell Monat 03'!A:A,0))=FALSE,INDEX('Ist Aktuell Monat 03'!B:B,MATCH(D414,'Ist Aktuell Monat 03'!A:A,0)),
IF(ISERROR(MATCH(D414,'Ist Aktuell Monat 04'!A:A,0))=FALSE,INDEX('Ist Aktuell Monat 04'!B:B,MATCH(D414,'Ist Aktuell Monat 04'!A:A,0)),
IF(ISERROR(MATCH(D414,'Ist Aktuell Monat 05'!A:A,0))=FALSE,INDEX('Ist Aktuell Monat 05'!B:B,MATCH(D414,'Ist Aktuell Monat 05'!A:A,0)),
IF(ISERROR(MATCH(D414,'Ist Aktuell Monat 06'!A:A,0))=FALSE,INDEX('Ist Aktuell Monat 06'!B:B,MATCH(D414,'Ist Aktuell Monat 06'!A:A,0)),
IF(ISERROR(MATCH(D414,'Ist Aktuell Monat 07'!A:A,0))=FALSE,INDEX('Ist Aktuell Monat 07'!B:B,MATCH(D414,'Ist Aktuell Monat 07'!A:A,0)),
IF(ISERROR(MATCH(D414,'Ist Aktuell Monat 08'!A:A,0))=FALSE,INDEX('Ist Aktuell Monat 08'!B:B,MATCH(D414,'Ist Aktuell Monat 08'!A:A,0)),
IF(ISERROR(MATCH(D414,'Ist Aktuell Monat 09'!A:A,0))=FALSE,INDEX('Ist Aktuell Monat 09'!B:B,MATCH(D414,'Ist Aktuell Monat 09'!A:A,0)),
IF(ISERROR(MATCH(D414,'Ist Aktuell Monat 10'!A:A,0))=FALSE,INDEX('Ist Aktuell Monat 10'!B:B,MATCH(D414,'Ist Aktuell Monat 10'!A:A,0)),
IF(ISERROR(MATCH(D414,'Ist Aktuell Monat 11'!A:A,0))=FALSE,INDEX('Ist Aktuell Monat 11'!B:B,MATCH(D414,'Ist Aktuell Monat 11'!A:A,0)),
IF(ISERROR(MATCH(D414,'Ist Aktuell Monat 12'!A:A,0))=FALSE,INDEX('Ist Aktuell Monat 12'!B:B,MATCH(D414,'Ist Aktuell Monat 12'!A:A,0)),
"{Konto unbekannt}"
)))))))))))),"")</f>
        <v/>
      </c>
      <c r="C414" s="1062"/>
      <c r="D414" s="1067"/>
      <c r="E414" s="625">
        <f t="shared" si="645"/>
        <v>1</v>
      </c>
      <c r="F414" s="626"/>
      <c r="G414" s="593">
        <f ca="1">$E414*(-SUMIF(INDIRECT(G$3),'Struktur Aktuell'!$D414,INDIRECT(G$4))+SUMIF(INDIRECT(G$3),'Struktur Aktuell'!$D414,INDIRECT(G$5)))</f>
        <v>0</v>
      </c>
      <c r="H414" s="593">
        <f ca="1">$E414*(-SUMIF(INDIRECT(H$3),'Struktur Aktuell'!$D414,INDIRECT(H$4))+SUMIF(INDIRECT(H$3),'Struktur Aktuell'!$D414,INDIRECT(H$5)))</f>
        <v>0</v>
      </c>
      <c r="I414" s="593">
        <f ca="1">$E414*(-SUMIF(INDIRECT(I$3),'Struktur Aktuell'!$D414,INDIRECT(I$4))+SUMIF(INDIRECT(I$3),'Struktur Aktuell'!$D414,INDIRECT(I$5)))</f>
        <v>0</v>
      </c>
      <c r="J414" s="593">
        <f ca="1">$E414*(-SUMIF(INDIRECT(J$3),'Struktur Aktuell'!$D414,INDIRECT(J$4))+SUMIF(INDIRECT(J$3),'Struktur Aktuell'!$D414,INDIRECT(J$5)))</f>
        <v>0</v>
      </c>
      <c r="K414" s="593">
        <f ca="1">$E414*(-SUMIF(INDIRECT(K$3),'Struktur Aktuell'!$D414,INDIRECT(K$4))+SUMIF(INDIRECT(K$3),'Struktur Aktuell'!$D414,INDIRECT(K$5)))</f>
        <v>0</v>
      </c>
      <c r="L414" s="593">
        <f ca="1">$E414*(-SUMIF(INDIRECT(L$3),'Struktur Aktuell'!$D414,INDIRECT(L$4))+SUMIF(INDIRECT(L$3),'Struktur Aktuell'!$D414,INDIRECT(L$5)))</f>
        <v>0</v>
      </c>
      <c r="M414" s="593">
        <f ca="1">$E414*(-SUMIF(INDIRECT(M$3),'Struktur Aktuell'!$D414,INDIRECT(M$4))+SUMIF(INDIRECT(M$3),'Struktur Aktuell'!$D414,INDIRECT(M$5)))</f>
        <v>0</v>
      </c>
      <c r="N414" s="593">
        <f ca="1">$E414*(-SUMIF(INDIRECT(N$3),'Struktur Aktuell'!$D414,INDIRECT(N$4))+SUMIF(INDIRECT(N$3),'Struktur Aktuell'!$D414,INDIRECT(N$5)))</f>
        <v>0</v>
      </c>
      <c r="O414" s="593">
        <f ca="1">$E414*(-SUMIF(INDIRECT(O$3),'Struktur Aktuell'!$D414,INDIRECT(O$4))+SUMIF(INDIRECT(O$3),'Struktur Aktuell'!$D414,INDIRECT(O$5)))</f>
        <v>0</v>
      </c>
      <c r="P414" s="593">
        <f ca="1">$E414*(-SUMIF(INDIRECT(P$3),'Struktur Aktuell'!$D414,INDIRECT(P$4))+SUMIF(INDIRECT(P$3),'Struktur Aktuell'!$D414,INDIRECT(P$5)))</f>
        <v>0</v>
      </c>
      <c r="Q414" s="593">
        <f ca="1">$E414*(-SUMIF(INDIRECT(Q$3),'Struktur Aktuell'!$D414,INDIRECT(Q$4))+SUMIF(INDIRECT(Q$3),'Struktur Aktuell'!$D414,INDIRECT(Q$5)))</f>
        <v>0</v>
      </c>
      <c r="R414" s="593">
        <f ca="1">$E414*(-SUMIF(INDIRECT(R$3),'Struktur Aktuell'!$D414,INDIRECT(R$4))+SUMIF(INDIRECT(R$3),'Struktur Aktuell'!$D414,INDIRECT(R$5)))</f>
        <v>0</v>
      </c>
      <c r="S414" s="593">
        <f ca="1">$E414*(-SUMIF(INDIRECT(S$3),'Struktur Aktuell'!$D414,INDIRECT(S$4))+SUMIF(INDIRECT(S$3),'Struktur Aktuell'!$D414,INDIRECT(S$5)))</f>
        <v>0</v>
      </c>
      <c r="T414" s="593">
        <f ca="1">$E414*(-SUMIF(INDIRECT(T$3),'Struktur Aktuell'!$D414,INDIRECT(T$4))+SUMIF(INDIRECT(T$3),'Struktur Aktuell'!$D414,INDIRECT(T$5)))</f>
        <v>0</v>
      </c>
      <c r="U414" s="593">
        <f ca="1">$E414*(-SUMIF(INDIRECT(U$3),'Struktur Aktuell'!$D414,INDIRECT(U$4))+SUMIF(INDIRECT(U$3),'Struktur Aktuell'!$D414,INDIRECT(U$5)))</f>
        <v>0</v>
      </c>
      <c r="V414" s="593">
        <f ca="1">$E414*(-SUMIF(INDIRECT(V$3),'Struktur Aktuell'!$D414,INDIRECT(V$4))+SUMIF(INDIRECT(V$3),'Struktur Aktuell'!$D414,INDIRECT(V$5)))</f>
        <v>0</v>
      </c>
      <c r="W414" s="593">
        <f ca="1">$E414*(-SUMIF(INDIRECT(W$3),'Struktur Aktuell'!$D414,INDIRECT(W$4))+SUMIF(INDIRECT(W$3),'Struktur Aktuell'!$D414,INDIRECT(W$5)))</f>
        <v>0</v>
      </c>
      <c r="X414" s="593">
        <f ca="1">$E414*(-SUMIF(INDIRECT(X$3),'Struktur Aktuell'!$D414,INDIRECT(X$4))+SUMIF(INDIRECT(X$3),'Struktur Aktuell'!$D414,INDIRECT(X$5)))</f>
        <v>0</v>
      </c>
      <c r="Y414" s="593">
        <f ca="1">$E414*(-SUMIF(INDIRECT(Y$3),'Struktur Aktuell'!$D414,INDIRECT(Y$4))+SUMIF(INDIRECT(Y$3),'Struktur Aktuell'!$D414,INDIRECT(Y$5)))</f>
        <v>0</v>
      </c>
      <c r="Z414" s="593">
        <f ca="1">$E414*(-SUMIF(INDIRECT(Z$3),'Struktur Aktuell'!$D414,INDIRECT(Z$4))+SUMIF(INDIRECT(Z$3),'Struktur Aktuell'!$D414,INDIRECT(Z$5)))</f>
        <v>0</v>
      </c>
      <c r="AA414" s="593">
        <f ca="1">$E414*(-SUMIF(INDIRECT(AA$3),'Struktur Aktuell'!$D414,INDIRECT(AA$4))+SUMIF(INDIRECT(AA$3),'Struktur Aktuell'!$D414,INDIRECT(AA$5)))</f>
        <v>0</v>
      </c>
      <c r="AB414" s="593">
        <f ca="1">$E414*(-SUMIF(INDIRECT(AB$3),'Struktur Aktuell'!$D414,INDIRECT(AB$4))+SUMIF(INDIRECT(AB$3),'Struktur Aktuell'!$D414,INDIRECT(AB$5)))</f>
        <v>0</v>
      </c>
      <c r="AC414" s="593">
        <f ca="1">$E414*(-SUMIF(INDIRECT(AC$3),'Struktur Aktuell'!$D414,INDIRECT(AC$4))+SUMIF(INDIRECT(AC$3),'Struktur Aktuell'!$D414,INDIRECT(AC$5)))</f>
        <v>0</v>
      </c>
      <c r="AD414" s="593">
        <f ca="1">$E414*(-SUMIF(INDIRECT(AD$3),'Struktur Aktuell'!$D414,INDIRECT(AD$4))+SUMIF(INDIRECT(AD$3),'Struktur Aktuell'!$D414,INDIRECT(AD$5)))</f>
        <v>0</v>
      </c>
      <c r="AE414" s="593">
        <f t="shared" ca="1" si="632"/>
        <v>0</v>
      </c>
      <c r="AF414" s="593">
        <f t="shared" ca="1" si="633"/>
        <v>0</v>
      </c>
      <c r="AG414" s="593">
        <f t="shared" ca="1" si="634"/>
        <v>0</v>
      </c>
      <c r="AH414" s="593">
        <f t="shared" ca="1" si="635"/>
        <v>0</v>
      </c>
      <c r="AI414" s="593">
        <f t="shared" ca="1" si="636"/>
        <v>0</v>
      </c>
      <c r="AJ414" s="593">
        <f t="shared" ca="1" si="637"/>
        <v>0</v>
      </c>
      <c r="AK414" s="593">
        <f t="shared" ca="1" si="638"/>
        <v>0</v>
      </c>
      <c r="AL414" s="593">
        <f t="shared" ca="1" si="639"/>
        <v>0</v>
      </c>
      <c r="AM414" s="593">
        <f t="shared" ca="1" si="640"/>
        <v>0</v>
      </c>
      <c r="AN414" s="593">
        <f t="shared" ca="1" si="641"/>
        <v>0</v>
      </c>
      <c r="AO414" s="593">
        <f t="shared" ca="1" si="642"/>
        <v>0</v>
      </c>
      <c r="AP414" s="593">
        <f t="shared" ca="1" si="643"/>
        <v>0</v>
      </c>
    </row>
    <row r="415" spans="1:42" s="594" customFormat="1" ht="11.25" outlineLevel="1" x14ac:dyDescent="0.2">
      <c r="A415" s="644"/>
      <c r="B415" s="591" t="str">
        <f>IF(D415&lt;&gt;"",
IF(ISERROR(MATCH(D415,'Ist Aktuell Monat 01'!A:A,0))=FALSE,INDEX('Ist Aktuell Monat 01'!B:B,MATCH(D415,'Ist Aktuell Monat 01'!A:A,0)),
IF(ISERROR(MATCH(D415,'Ist Aktuell Monat 02'!A:A,0))=FALSE,INDEX('Ist Aktuell Monat 02'!B:B,MATCH(D415,'Ist Aktuell Monat 02'!A:A,0)),
IF(ISERROR(MATCH(D415,'Ist Aktuell Monat 03'!A:A,0))=FALSE,INDEX('Ist Aktuell Monat 03'!B:B,MATCH(D415,'Ist Aktuell Monat 03'!A:A,0)),
IF(ISERROR(MATCH(D415,'Ist Aktuell Monat 04'!A:A,0))=FALSE,INDEX('Ist Aktuell Monat 04'!B:B,MATCH(D415,'Ist Aktuell Monat 04'!A:A,0)),
IF(ISERROR(MATCH(D415,'Ist Aktuell Monat 05'!A:A,0))=FALSE,INDEX('Ist Aktuell Monat 05'!B:B,MATCH(D415,'Ist Aktuell Monat 05'!A:A,0)),
IF(ISERROR(MATCH(D415,'Ist Aktuell Monat 06'!A:A,0))=FALSE,INDEX('Ist Aktuell Monat 06'!B:B,MATCH(D415,'Ist Aktuell Monat 06'!A:A,0)),
IF(ISERROR(MATCH(D415,'Ist Aktuell Monat 07'!A:A,0))=FALSE,INDEX('Ist Aktuell Monat 07'!B:B,MATCH(D415,'Ist Aktuell Monat 07'!A:A,0)),
IF(ISERROR(MATCH(D415,'Ist Aktuell Monat 08'!A:A,0))=FALSE,INDEX('Ist Aktuell Monat 08'!B:B,MATCH(D415,'Ist Aktuell Monat 08'!A:A,0)),
IF(ISERROR(MATCH(D415,'Ist Aktuell Monat 09'!A:A,0))=FALSE,INDEX('Ist Aktuell Monat 09'!B:B,MATCH(D415,'Ist Aktuell Monat 09'!A:A,0)),
IF(ISERROR(MATCH(D415,'Ist Aktuell Monat 10'!A:A,0))=FALSE,INDEX('Ist Aktuell Monat 10'!B:B,MATCH(D415,'Ist Aktuell Monat 10'!A:A,0)),
IF(ISERROR(MATCH(D415,'Ist Aktuell Monat 11'!A:A,0))=FALSE,INDEX('Ist Aktuell Monat 11'!B:B,MATCH(D415,'Ist Aktuell Monat 11'!A:A,0)),
IF(ISERROR(MATCH(D415,'Ist Aktuell Monat 12'!A:A,0))=FALSE,INDEX('Ist Aktuell Monat 12'!B:B,MATCH(D415,'Ist Aktuell Monat 12'!A:A,0)),
"{Konto unbekannt}"
)))))))))))),"")</f>
        <v/>
      </c>
      <c r="C415" s="1062"/>
      <c r="D415" s="1067"/>
      <c r="E415" s="625">
        <f t="shared" si="602"/>
        <v>1</v>
      </c>
      <c r="F415" s="626"/>
      <c r="G415" s="593">
        <f ca="1">$E415*(-SUMIF(INDIRECT(G$3),'Struktur Aktuell'!$D415,INDIRECT(G$4))+SUMIF(INDIRECT(G$3),'Struktur Aktuell'!$D415,INDIRECT(G$5)))</f>
        <v>0</v>
      </c>
      <c r="H415" s="593">
        <f ca="1">$E415*(-SUMIF(INDIRECT(H$3),'Struktur Aktuell'!$D415,INDIRECT(H$4))+SUMIF(INDIRECT(H$3),'Struktur Aktuell'!$D415,INDIRECT(H$5)))</f>
        <v>0</v>
      </c>
      <c r="I415" s="593">
        <f ca="1">$E415*(-SUMIF(INDIRECT(I$3),'Struktur Aktuell'!$D415,INDIRECT(I$4))+SUMIF(INDIRECT(I$3),'Struktur Aktuell'!$D415,INDIRECT(I$5)))</f>
        <v>0</v>
      </c>
      <c r="J415" s="593">
        <f ca="1">$E415*(-SUMIF(INDIRECT(J$3),'Struktur Aktuell'!$D415,INDIRECT(J$4))+SUMIF(INDIRECT(J$3),'Struktur Aktuell'!$D415,INDIRECT(J$5)))</f>
        <v>0</v>
      </c>
      <c r="K415" s="593">
        <f ca="1">$E415*(-SUMIF(INDIRECT(K$3),'Struktur Aktuell'!$D415,INDIRECT(K$4))+SUMIF(INDIRECT(K$3),'Struktur Aktuell'!$D415,INDIRECT(K$5)))</f>
        <v>0</v>
      </c>
      <c r="L415" s="593">
        <f ca="1">$E415*(-SUMIF(INDIRECT(L$3),'Struktur Aktuell'!$D415,INDIRECT(L$4))+SUMIF(INDIRECT(L$3),'Struktur Aktuell'!$D415,INDIRECT(L$5)))</f>
        <v>0</v>
      </c>
      <c r="M415" s="593">
        <f ca="1">$E415*(-SUMIF(INDIRECT(M$3),'Struktur Aktuell'!$D415,INDIRECT(M$4))+SUMIF(INDIRECT(M$3),'Struktur Aktuell'!$D415,INDIRECT(M$5)))</f>
        <v>0</v>
      </c>
      <c r="N415" s="593">
        <f ca="1">$E415*(-SUMIF(INDIRECT(N$3),'Struktur Aktuell'!$D415,INDIRECT(N$4))+SUMIF(INDIRECT(N$3),'Struktur Aktuell'!$D415,INDIRECT(N$5)))</f>
        <v>0</v>
      </c>
      <c r="O415" s="593">
        <f ca="1">$E415*(-SUMIF(INDIRECT(O$3),'Struktur Aktuell'!$D415,INDIRECT(O$4))+SUMIF(INDIRECT(O$3),'Struktur Aktuell'!$D415,INDIRECT(O$5)))</f>
        <v>0</v>
      </c>
      <c r="P415" s="593">
        <f ca="1">$E415*(-SUMIF(INDIRECT(P$3),'Struktur Aktuell'!$D415,INDIRECT(P$4))+SUMIF(INDIRECT(P$3),'Struktur Aktuell'!$D415,INDIRECT(P$5)))</f>
        <v>0</v>
      </c>
      <c r="Q415" s="593">
        <f ca="1">$E415*(-SUMIF(INDIRECT(Q$3),'Struktur Aktuell'!$D415,INDIRECT(Q$4))+SUMIF(INDIRECT(Q$3),'Struktur Aktuell'!$D415,INDIRECT(Q$5)))</f>
        <v>0</v>
      </c>
      <c r="R415" s="593">
        <f ca="1">$E415*(-SUMIF(INDIRECT(R$3),'Struktur Aktuell'!$D415,INDIRECT(R$4))+SUMIF(INDIRECT(R$3),'Struktur Aktuell'!$D415,INDIRECT(R$5)))</f>
        <v>0</v>
      </c>
      <c r="S415" s="593">
        <f ca="1">$E415*(-SUMIF(INDIRECT(S$3),'Struktur Aktuell'!$D415,INDIRECT(S$4))+SUMIF(INDIRECT(S$3),'Struktur Aktuell'!$D415,INDIRECT(S$5)))</f>
        <v>0</v>
      </c>
      <c r="T415" s="593">
        <f ca="1">$E415*(-SUMIF(INDIRECT(T$3),'Struktur Aktuell'!$D415,INDIRECT(T$4))+SUMIF(INDIRECT(T$3),'Struktur Aktuell'!$D415,INDIRECT(T$5)))</f>
        <v>0</v>
      </c>
      <c r="U415" s="593">
        <f ca="1">$E415*(-SUMIF(INDIRECT(U$3),'Struktur Aktuell'!$D415,INDIRECT(U$4))+SUMIF(INDIRECT(U$3),'Struktur Aktuell'!$D415,INDIRECT(U$5)))</f>
        <v>0</v>
      </c>
      <c r="V415" s="593">
        <f ca="1">$E415*(-SUMIF(INDIRECT(V$3),'Struktur Aktuell'!$D415,INDIRECT(V$4))+SUMIF(INDIRECT(V$3),'Struktur Aktuell'!$D415,INDIRECT(V$5)))</f>
        <v>0</v>
      </c>
      <c r="W415" s="593">
        <f ca="1">$E415*(-SUMIF(INDIRECT(W$3),'Struktur Aktuell'!$D415,INDIRECT(W$4))+SUMIF(INDIRECT(W$3),'Struktur Aktuell'!$D415,INDIRECT(W$5)))</f>
        <v>0</v>
      </c>
      <c r="X415" s="593">
        <f ca="1">$E415*(-SUMIF(INDIRECT(X$3),'Struktur Aktuell'!$D415,INDIRECT(X$4))+SUMIF(INDIRECT(X$3),'Struktur Aktuell'!$D415,INDIRECT(X$5)))</f>
        <v>0</v>
      </c>
      <c r="Y415" s="593">
        <f ca="1">$E415*(-SUMIF(INDIRECT(Y$3),'Struktur Aktuell'!$D415,INDIRECT(Y$4))+SUMIF(INDIRECT(Y$3),'Struktur Aktuell'!$D415,INDIRECT(Y$5)))</f>
        <v>0</v>
      </c>
      <c r="Z415" s="593">
        <f ca="1">$E415*(-SUMIF(INDIRECT(Z$3),'Struktur Aktuell'!$D415,INDIRECT(Z$4))+SUMIF(INDIRECT(Z$3),'Struktur Aktuell'!$D415,INDIRECT(Z$5)))</f>
        <v>0</v>
      </c>
      <c r="AA415" s="593">
        <f ca="1">$E415*(-SUMIF(INDIRECT(AA$3),'Struktur Aktuell'!$D415,INDIRECT(AA$4))+SUMIF(INDIRECT(AA$3),'Struktur Aktuell'!$D415,INDIRECT(AA$5)))</f>
        <v>0</v>
      </c>
      <c r="AB415" s="593">
        <f ca="1">$E415*(-SUMIF(INDIRECT(AB$3),'Struktur Aktuell'!$D415,INDIRECT(AB$4))+SUMIF(INDIRECT(AB$3),'Struktur Aktuell'!$D415,INDIRECT(AB$5)))</f>
        <v>0</v>
      </c>
      <c r="AC415" s="593">
        <f ca="1">$E415*(-SUMIF(INDIRECT(AC$3),'Struktur Aktuell'!$D415,INDIRECT(AC$4))+SUMIF(INDIRECT(AC$3),'Struktur Aktuell'!$D415,INDIRECT(AC$5)))</f>
        <v>0</v>
      </c>
      <c r="AD415" s="593">
        <f ca="1">$E415*(-SUMIF(INDIRECT(AD$3),'Struktur Aktuell'!$D415,INDIRECT(AD$4))+SUMIF(INDIRECT(AD$3),'Struktur Aktuell'!$D415,INDIRECT(AD$5)))</f>
        <v>0</v>
      </c>
      <c r="AE415" s="593">
        <f t="shared" ca="1" si="632"/>
        <v>0</v>
      </c>
      <c r="AF415" s="593">
        <f t="shared" ca="1" si="633"/>
        <v>0</v>
      </c>
      <c r="AG415" s="593">
        <f t="shared" ca="1" si="634"/>
        <v>0</v>
      </c>
      <c r="AH415" s="593">
        <f t="shared" ca="1" si="635"/>
        <v>0</v>
      </c>
      <c r="AI415" s="593">
        <f t="shared" ca="1" si="636"/>
        <v>0</v>
      </c>
      <c r="AJ415" s="593">
        <f t="shared" ca="1" si="637"/>
        <v>0</v>
      </c>
      <c r="AK415" s="593">
        <f t="shared" ca="1" si="638"/>
        <v>0</v>
      </c>
      <c r="AL415" s="593">
        <f t="shared" ca="1" si="639"/>
        <v>0</v>
      </c>
      <c r="AM415" s="593">
        <f t="shared" ca="1" si="640"/>
        <v>0</v>
      </c>
      <c r="AN415" s="593">
        <f t="shared" ca="1" si="641"/>
        <v>0</v>
      </c>
      <c r="AO415" s="593">
        <f t="shared" ca="1" si="642"/>
        <v>0</v>
      </c>
      <c r="AP415" s="593">
        <f t="shared" ca="1" si="643"/>
        <v>0</v>
      </c>
    </row>
    <row r="416" spans="1:42" s="589" customFormat="1" outlineLevel="1" x14ac:dyDescent="0.2">
      <c r="A416" s="629">
        <v>39</v>
      </c>
      <c r="B416" s="623" t="s">
        <v>1026</v>
      </c>
      <c r="C416" s="627">
        <f ca="1">SUM(G416:R416)</f>
        <v>0</v>
      </c>
      <c r="D416" s="627"/>
      <c r="E416" s="628">
        <f t="shared" si="602"/>
        <v>1</v>
      </c>
      <c r="F416" s="629"/>
      <c r="G416" s="627">
        <f ca="1">SUM(G417:G428)-G421-G422</f>
        <v>0</v>
      </c>
      <c r="H416" s="627">
        <f t="shared" ref="H416:K416" ca="1" si="646">SUM(H417:H428)-H421-H422</f>
        <v>0</v>
      </c>
      <c r="I416" s="627">
        <f t="shared" ca="1" si="646"/>
        <v>0</v>
      </c>
      <c r="J416" s="627">
        <f t="shared" ca="1" si="646"/>
        <v>0</v>
      </c>
      <c r="K416" s="627">
        <f t="shared" ca="1" si="646"/>
        <v>0</v>
      </c>
      <c r="L416" s="627">
        <f t="shared" ref="L416:S416" ca="1" si="647">SUM(L417:L428)-L421-L422</f>
        <v>0</v>
      </c>
      <c r="M416" s="627">
        <f t="shared" ca="1" si="647"/>
        <v>0</v>
      </c>
      <c r="N416" s="627">
        <f t="shared" ca="1" si="647"/>
        <v>0</v>
      </c>
      <c r="O416" s="627">
        <f t="shared" ca="1" si="647"/>
        <v>0</v>
      </c>
      <c r="P416" s="627">
        <f t="shared" ca="1" si="647"/>
        <v>0</v>
      </c>
      <c r="Q416" s="627">
        <f t="shared" ca="1" si="647"/>
        <v>0</v>
      </c>
      <c r="R416" s="627">
        <f t="shared" ca="1" si="647"/>
        <v>0</v>
      </c>
      <c r="S416" s="627">
        <f t="shared" ca="1" si="647"/>
        <v>0</v>
      </c>
      <c r="T416" s="627">
        <f t="shared" ref="T416:W416" ca="1" si="648">SUM(T417:T428)-T421-T422</f>
        <v>0</v>
      </c>
      <c r="U416" s="627">
        <f t="shared" ca="1" si="648"/>
        <v>0</v>
      </c>
      <c r="V416" s="627">
        <f t="shared" ca="1" si="648"/>
        <v>0</v>
      </c>
      <c r="W416" s="627">
        <f t="shared" ca="1" si="648"/>
        <v>0</v>
      </c>
      <c r="X416" s="627">
        <f ca="1">SUM(X417:X428)-X421-X422</f>
        <v>0</v>
      </c>
      <c r="Y416" s="627">
        <f t="shared" ref="Y416:AD416" ca="1" si="649">SUM(Y417:Y428)-Y421-Y422</f>
        <v>0</v>
      </c>
      <c r="Z416" s="627">
        <f t="shared" ca="1" si="649"/>
        <v>0</v>
      </c>
      <c r="AA416" s="627">
        <f t="shared" ca="1" si="649"/>
        <v>0</v>
      </c>
      <c r="AB416" s="627">
        <f t="shared" ca="1" si="649"/>
        <v>0</v>
      </c>
      <c r="AC416" s="627">
        <f t="shared" ca="1" si="649"/>
        <v>0</v>
      </c>
      <c r="AD416" s="627">
        <f t="shared" ca="1" si="649"/>
        <v>0</v>
      </c>
      <c r="AE416" s="627">
        <f ca="1">SUM(AE417:AE428)-AE421-AE422</f>
        <v>0</v>
      </c>
      <c r="AF416" s="627">
        <f t="shared" ref="AF416:AI416" ca="1" si="650">SUM(AF417:AF428)-AF421-AF422</f>
        <v>0</v>
      </c>
      <c r="AG416" s="627">
        <f t="shared" ca="1" si="650"/>
        <v>0</v>
      </c>
      <c r="AH416" s="627">
        <f t="shared" ca="1" si="650"/>
        <v>0</v>
      </c>
      <c r="AI416" s="627">
        <f t="shared" ca="1" si="650"/>
        <v>0</v>
      </c>
      <c r="AJ416" s="627">
        <f ca="1">SUM(AJ417:AJ428)-AJ421-AJ422</f>
        <v>0</v>
      </c>
      <c r="AK416" s="627">
        <f t="shared" ref="AK416:AP416" ca="1" si="651">SUM(AK417:AK428)-AK421-AK422</f>
        <v>0</v>
      </c>
      <c r="AL416" s="627">
        <f t="shared" ca="1" si="651"/>
        <v>0</v>
      </c>
      <c r="AM416" s="627">
        <f t="shared" ca="1" si="651"/>
        <v>0</v>
      </c>
      <c r="AN416" s="627">
        <f t="shared" ca="1" si="651"/>
        <v>0</v>
      </c>
      <c r="AO416" s="627">
        <f t="shared" ca="1" si="651"/>
        <v>0</v>
      </c>
      <c r="AP416" s="627">
        <f t="shared" ca="1" si="651"/>
        <v>0</v>
      </c>
    </row>
    <row r="417" spans="1:42" s="594" customFormat="1" ht="11.25" outlineLevel="1" x14ac:dyDescent="0.2">
      <c r="A417" s="644"/>
      <c r="B417" s="591" t="str">
        <f>IF(D417&lt;&gt;"",
IF(ISERROR(MATCH(D417,'Ist Aktuell Monat 01'!A:A,0))=FALSE,INDEX('Ist Aktuell Monat 01'!B:B,MATCH(D417,'Ist Aktuell Monat 01'!A:A,0)),
IF(ISERROR(MATCH(D417,'Ist Aktuell Monat 02'!A:A,0))=FALSE,INDEX('Ist Aktuell Monat 02'!B:B,MATCH(D417,'Ist Aktuell Monat 02'!A:A,0)),
IF(ISERROR(MATCH(D417,'Ist Aktuell Monat 03'!A:A,0))=FALSE,INDEX('Ist Aktuell Monat 03'!B:B,MATCH(D417,'Ist Aktuell Monat 03'!A:A,0)),
IF(ISERROR(MATCH(D417,'Ist Aktuell Monat 04'!A:A,0))=FALSE,INDEX('Ist Aktuell Monat 04'!B:B,MATCH(D417,'Ist Aktuell Monat 04'!A:A,0)),
IF(ISERROR(MATCH(D417,'Ist Aktuell Monat 05'!A:A,0))=FALSE,INDEX('Ist Aktuell Monat 05'!B:B,MATCH(D417,'Ist Aktuell Monat 05'!A:A,0)),
IF(ISERROR(MATCH(D417,'Ist Aktuell Monat 06'!A:A,0))=FALSE,INDEX('Ist Aktuell Monat 06'!B:B,MATCH(D417,'Ist Aktuell Monat 06'!A:A,0)),
IF(ISERROR(MATCH(D417,'Ist Aktuell Monat 07'!A:A,0))=FALSE,INDEX('Ist Aktuell Monat 07'!B:B,MATCH(D417,'Ist Aktuell Monat 07'!A:A,0)),
IF(ISERROR(MATCH(D417,'Ist Aktuell Monat 08'!A:A,0))=FALSE,INDEX('Ist Aktuell Monat 08'!B:B,MATCH(D417,'Ist Aktuell Monat 08'!A:A,0)),
IF(ISERROR(MATCH(D417,'Ist Aktuell Monat 09'!A:A,0))=FALSE,INDEX('Ist Aktuell Monat 09'!B:B,MATCH(D417,'Ist Aktuell Monat 09'!A:A,0)),
IF(ISERROR(MATCH(D417,'Ist Aktuell Monat 10'!A:A,0))=FALSE,INDEX('Ist Aktuell Monat 10'!B:B,MATCH(D417,'Ist Aktuell Monat 10'!A:A,0)),
IF(ISERROR(MATCH(D417,'Ist Aktuell Monat 11'!A:A,0))=FALSE,INDEX('Ist Aktuell Monat 11'!B:B,MATCH(D417,'Ist Aktuell Monat 11'!A:A,0)),
IF(ISERROR(MATCH(D417,'Ist Aktuell Monat 12'!A:A,0))=FALSE,INDEX('Ist Aktuell Monat 12'!B:B,MATCH(D417,'Ist Aktuell Monat 12'!A:A,0)),
"{Konto unbekannt}"
)))))))))))),"")</f>
        <v/>
      </c>
      <c r="C417" s="1062"/>
      <c r="D417" s="1067"/>
      <c r="E417" s="625">
        <f t="shared" si="602"/>
        <v>1</v>
      </c>
      <c r="F417" s="626"/>
      <c r="G417" s="593">
        <f ca="1">$E417*(SUMIF(INDIRECT(G$3),'Struktur Aktuell'!$D417,INDIRECT(G$4)))</f>
        <v>0</v>
      </c>
      <c r="H417" s="593">
        <f ca="1">$E417*(SUMIF(INDIRECT(H$3),'Struktur Aktuell'!$D417,INDIRECT(H$4)))</f>
        <v>0</v>
      </c>
      <c r="I417" s="593">
        <f ca="1">$E417*(SUMIF(INDIRECT(I$3),'Struktur Aktuell'!$D417,INDIRECT(I$4)))</f>
        <v>0</v>
      </c>
      <c r="J417" s="593">
        <f ca="1">$E417*(SUMIF(INDIRECT(J$3),'Struktur Aktuell'!$D417,INDIRECT(J$4)))</f>
        <v>0</v>
      </c>
      <c r="K417" s="593">
        <f ca="1">$E417*(SUMIF(INDIRECT(K$3),'Struktur Aktuell'!$D417,INDIRECT(K$4)))</f>
        <v>0</v>
      </c>
      <c r="L417" s="593">
        <f ca="1">$E417*(SUMIF(INDIRECT(L$3),'Struktur Aktuell'!$D417,INDIRECT(L$4)))</f>
        <v>0</v>
      </c>
      <c r="M417" s="593">
        <f ca="1">$E417*(SUMIF(INDIRECT(M$3),'Struktur Aktuell'!$D417,INDIRECT(M$4)))</f>
        <v>0</v>
      </c>
      <c r="N417" s="593">
        <f ca="1">$E417*(SUMIF(INDIRECT(N$3),'Struktur Aktuell'!$D417,INDIRECT(N$4)))</f>
        <v>0</v>
      </c>
      <c r="O417" s="593">
        <f ca="1">$E417*(SUMIF(INDIRECT(O$3),'Struktur Aktuell'!$D417,INDIRECT(O$4)))</f>
        <v>0</v>
      </c>
      <c r="P417" s="593">
        <f ca="1">$E417*(SUMIF(INDIRECT(P$3),'Struktur Aktuell'!$D417,INDIRECT(P$4)))</f>
        <v>0</v>
      </c>
      <c r="Q417" s="593">
        <f ca="1">$E417*(SUMIF(INDIRECT(Q$3),'Struktur Aktuell'!$D417,INDIRECT(Q$4)))</f>
        <v>0</v>
      </c>
      <c r="R417" s="593">
        <f ca="1">$E417*(SUMIF(INDIRECT(R$3),'Struktur Aktuell'!$D417,INDIRECT(R$4)))</f>
        <v>0</v>
      </c>
      <c r="S417" s="593">
        <f ca="1">$E417*(SUMIF(INDIRECT(S$3),'Struktur Aktuell'!$D417,INDIRECT(S$4)))</f>
        <v>0</v>
      </c>
      <c r="T417" s="593">
        <f ca="1">$E417*(SUMIF(INDIRECT(T$3),'Struktur Aktuell'!$D417,INDIRECT(T$4)))</f>
        <v>0</v>
      </c>
      <c r="U417" s="593">
        <f ca="1">$E417*(SUMIF(INDIRECT(U$3),'Struktur Aktuell'!$D417,INDIRECT(U$4)))</f>
        <v>0</v>
      </c>
      <c r="V417" s="593">
        <f ca="1">$E417*(SUMIF(INDIRECT(V$3),'Struktur Aktuell'!$D417,INDIRECT(V$4)))</f>
        <v>0</v>
      </c>
      <c r="W417" s="593">
        <f ca="1">$E417*(SUMIF(INDIRECT(W$3),'Struktur Aktuell'!$D417,INDIRECT(W$4)))</f>
        <v>0</v>
      </c>
      <c r="X417" s="593">
        <f ca="1">$E417*(SUMIF(INDIRECT(X$3),'Struktur Aktuell'!$D417,INDIRECT(X$4)))</f>
        <v>0</v>
      </c>
      <c r="Y417" s="593">
        <f ca="1">$E417*(SUMIF(INDIRECT(Y$3),'Struktur Aktuell'!$D417,INDIRECT(Y$4)))</f>
        <v>0</v>
      </c>
      <c r="Z417" s="593">
        <f ca="1">$E417*(SUMIF(INDIRECT(Z$3),'Struktur Aktuell'!$D417,INDIRECT(Z$4)))</f>
        <v>0</v>
      </c>
      <c r="AA417" s="593">
        <f ca="1">$E417*(SUMIF(INDIRECT(AA$3),'Struktur Aktuell'!$D417,INDIRECT(AA$4)))</f>
        <v>0</v>
      </c>
      <c r="AB417" s="593">
        <f ca="1">$E417*(SUMIF(INDIRECT(AB$3),'Struktur Aktuell'!$D417,INDIRECT(AB$4)))</f>
        <v>0</v>
      </c>
      <c r="AC417" s="593">
        <f ca="1">$E417*(SUMIF(INDIRECT(AC$3),'Struktur Aktuell'!$D417,INDIRECT(AC$4)))</f>
        <v>0</v>
      </c>
      <c r="AD417" s="593">
        <f ca="1">$E417*(SUMIF(INDIRECT(AD$3),'Struktur Aktuell'!$D417,INDIRECT(AD$4)))</f>
        <v>0</v>
      </c>
      <c r="AE417" s="593">
        <f t="shared" ref="AE417:AE428" ca="1" si="652">G417</f>
        <v>0</v>
      </c>
      <c r="AF417" s="593">
        <f t="shared" ref="AF417:AF428" ca="1" si="653">H417+AE417</f>
        <v>0</v>
      </c>
      <c r="AG417" s="593">
        <f t="shared" ref="AG417:AG428" ca="1" si="654">I417+AF417</f>
        <v>0</v>
      </c>
      <c r="AH417" s="593">
        <f t="shared" ref="AH417:AH428" ca="1" si="655">J417+AG417</f>
        <v>0</v>
      </c>
      <c r="AI417" s="593">
        <f t="shared" ref="AI417:AI428" ca="1" si="656">K417+AH417</f>
        <v>0</v>
      </c>
      <c r="AJ417" s="593">
        <f t="shared" ref="AJ417:AJ428" ca="1" si="657">L417+AI417</f>
        <v>0</v>
      </c>
      <c r="AK417" s="593">
        <f t="shared" ref="AK417:AK428" ca="1" si="658">M417+AJ417</f>
        <v>0</v>
      </c>
      <c r="AL417" s="593">
        <f t="shared" ref="AL417:AL428" ca="1" si="659">N417+AK417</f>
        <v>0</v>
      </c>
      <c r="AM417" s="593">
        <f t="shared" ref="AM417:AM428" ca="1" si="660">O417+AL417</f>
        <v>0</v>
      </c>
      <c r="AN417" s="593">
        <f t="shared" ref="AN417:AN428" ca="1" si="661">P417+AM417</f>
        <v>0</v>
      </c>
      <c r="AO417" s="593">
        <f t="shared" ref="AO417:AO428" ca="1" si="662">Q417+AN417</f>
        <v>0</v>
      </c>
      <c r="AP417" s="593">
        <f t="shared" ref="AP417:AP428" ca="1" si="663">R417+AO417</f>
        <v>0</v>
      </c>
    </row>
    <row r="418" spans="1:42" s="594" customFormat="1" ht="11.25" outlineLevel="1" x14ac:dyDescent="0.2">
      <c r="A418" s="644"/>
      <c r="B418" s="591" t="str">
        <f>IF(D418&lt;&gt;"",
IF(ISERROR(MATCH(D418,'Ist Aktuell Monat 01'!A:A,0))=FALSE,INDEX('Ist Aktuell Monat 01'!B:B,MATCH(D418,'Ist Aktuell Monat 01'!A:A,0)),
IF(ISERROR(MATCH(D418,'Ist Aktuell Monat 02'!A:A,0))=FALSE,INDEX('Ist Aktuell Monat 02'!B:B,MATCH(D418,'Ist Aktuell Monat 02'!A:A,0)),
IF(ISERROR(MATCH(D418,'Ist Aktuell Monat 03'!A:A,0))=FALSE,INDEX('Ist Aktuell Monat 03'!B:B,MATCH(D418,'Ist Aktuell Monat 03'!A:A,0)),
IF(ISERROR(MATCH(D418,'Ist Aktuell Monat 04'!A:A,0))=FALSE,INDEX('Ist Aktuell Monat 04'!B:B,MATCH(D418,'Ist Aktuell Monat 04'!A:A,0)),
IF(ISERROR(MATCH(D418,'Ist Aktuell Monat 05'!A:A,0))=FALSE,INDEX('Ist Aktuell Monat 05'!B:B,MATCH(D418,'Ist Aktuell Monat 05'!A:A,0)),
IF(ISERROR(MATCH(D418,'Ist Aktuell Monat 06'!A:A,0))=FALSE,INDEX('Ist Aktuell Monat 06'!B:B,MATCH(D418,'Ist Aktuell Monat 06'!A:A,0)),
IF(ISERROR(MATCH(D418,'Ist Aktuell Monat 07'!A:A,0))=FALSE,INDEX('Ist Aktuell Monat 07'!B:B,MATCH(D418,'Ist Aktuell Monat 07'!A:A,0)),
IF(ISERROR(MATCH(D418,'Ist Aktuell Monat 08'!A:A,0))=FALSE,INDEX('Ist Aktuell Monat 08'!B:B,MATCH(D418,'Ist Aktuell Monat 08'!A:A,0)),
IF(ISERROR(MATCH(D418,'Ist Aktuell Monat 09'!A:A,0))=FALSE,INDEX('Ist Aktuell Monat 09'!B:B,MATCH(D418,'Ist Aktuell Monat 09'!A:A,0)),
IF(ISERROR(MATCH(D418,'Ist Aktuell Monat 10'!A:A,0))=FALSE,INDEX('Ist Aktuell Monat 10'!B:B,MATCH(D418,'Ist Aktuell Monat 10'!A:A,0)),
IF(ISERROR(MATCH(D418,'Ist Aktuell Monat 11'!A:A,0))=FALSE,INDEX('Ist Aktuell Monat 11'!B:B,MATCH(D418,'Ist Aktuell Monat 11'!A:A,0)),
IF(ISERROR(MATCH(D418,'Ist Aktuell Monat 12'!A:A,0))=FALSE,INDEX('Ist Aktuell Monat 12'!B:B,MATCH(D418,'Ist Aktuell Monat 12'!A:A,0)),
"{Konto unbekannt}"
)))))))))))),"")</f>
        <v/>
      </c>
      <c r="C418" s="1062"/>
      <c r="D418" s="1067"/>
      <c r="E418" s="625">
        <f t="shared" si="602"/>
        <v>1</v>
      </c>
      <c r="F418" s="626"/>
      <c r="G418" s="593">
        <f ca="1">$E418*(SUMIF(INDIRECT(G$3),'Struktur Aktuell'!$D418,INDIRECT(G$4)))</f>
        <v>0</v>
      </c>
      <c r="H418" s="593">
        <f ca="1">$E418*(SUMIF(INDIRECT(H$3),'Struktur Aktuell'!$D418,INDIRECT(H$4)))</f>
        <v>0</v>
      </c>
      <c r="I418" s="593">
        <f ca="1">$E418*(SUMIF(INDIRECT(I$3),'Struktur Aktuell'!$D418,INDIRECT(I$4)))</f>
        <v>0</v>
      </c>
      <c r="J418" s="593">
        <f ca="1">$E418*(SUMIF(INDIRECT(J$3),'Struktur Aktuell'!$D418,INDIRECT(J$4)))</f>
        <v>0</v>
      </c>
      <c r="K418" s="593">
        <f ca="1">$E418*(SUMIF(INDIRECT(K$3),'Struktur Aktuell'!$D418,INDIRECT(K$4)))</f>
        <v>0</v>
      </c>
      <c r="L418" s="593">
        <f ca="1">$E418*(SUMIF(INDIRECT(L$3),'Struktur Aktuell'!$D418,INDIRECT(L$4)))</f>
        <v>0</v>
      </c>
      <c r="M418" s="593">
        <f ca="1">$E418*(SUMIF(INDIRECT(M$3),'Struktur Aktuell'!$D418,INDIRECT(M$4)))</f>
        <v>0</v>
      </c>
      <c r="N418" s="593">
        <f ca="1">$E418*(SUMIF(INDIRECT(N$3),'Struktur Aktuell'!$D418,INDIRECT(N$4)))</f>
        <v>0</v>
      </c>
      <c r="O418" s="593">
        <f ca="1">$E418*(SUMIF(INDIRECT(O$3),'Struktur Aktuell'!$D418,INDIRECT(O$4)))</f>
        <v>0</v>
      </c>
      <c r="P418" s="593">
        <f ca="1">$E418*(SUMIF(INDIRECT(P$3),'Struktur Aktuell'!$D418,INDIRECT(P$4)))</f>
        <v>0</v>
      </c>
      <c r="Q418" s="593">
        <f ca="1">$E418*(SUMIF(INDIRECT(Q$3),'Struktur Aktuell'!$D418,INDIRECT(Q$4)))</f>
        <v>0</v>
      </c>
      <c r="R418" s="593">
        <f ca="1">$E418*(SUMIF(INDIRECT(R$3),'Struktur Aktuell'!$D418,INDIRECT(R$4)))</f>
        <v>0</v>
      </c>
      <c r="S418" s="593">
        <f ca="1">$E418*(SUMIF(INDIRECT(S$3),'Struktur Aktuell'!$D418,INDIRECT(S$4)))</f>
        <v>0</v>
      </c>
      <c r="T418" s="593">
        <f ca="1">$E418*(SUMIF(INDIRECT(T$3),'Struktur Aktuell'!$D418,INDIRECT(T$4)))</f>
        <v>0</v>
      </c>
      <c r="U418" s="593">
        <f ca="1">$E418*(SUMIF(INDIRECT(U$3),'Struktur Aktuell'!$D418,INDIRECT(U$4)))</f>
        <v>0</v>
      </c>
      <c r="V418" s="593">
        <f ca="1">$E418*(SUMIF(INDIRECT(V$3),'Struktur Aktuell'!$D418,INDIRECT(V$4)))</f>
        <v>0</v>
      </c>
      <c r="W418" s="593">
        <f ca="1">$E418*(SUMIF(INDIRECT(W$3),'Struktur Aktuell'!$D418,INDIRECT(W$4)))</f>
        <v>0</v>
      </c>
      <c r="X418" s="593">
        <f ca="1">$E418*(SUMIF(INDIRECT(X$3),'Struktur Aktuell'!$D418,INDIRECT(X$4)))</f>
        <v>0</v>
      </c>
      <c r="Y418" s="593">
        <f ca="1">$E418*(SUMIF(INDIRECT(Y$3),'Struktur Aktuell'!$D418,INDIRECT(Y$4)))</f>
        <v>0</v>
      </c>
      <c r="Z418" s="593">
        <f ca="1">$E418*(SUMIF(INDIRECT(Z$3),'Struktur Aktuell'!$D418,INDIRECT(Z$4)))</f>
        <v>0</v>
      </c>
      <c r="AA418" s="593">
        <f ca="1">$E418*(SUMIF(INDIRECT(AA$3),'Struktur Aktuell'!$D418,INDIRECT(AA$4)))</f>
        <v>0</v>
      </c>
      <c r="AB418" s="593">
        <f ca="1">$E418*(SUMIF(INDIRECT(AB$3),'Struktur Aktuell'!$D418,INDIRECT(AB$4)))</f>
        <v>0</v>
      </c>
      <c r="AC418" s="593">
        <f ca="1">$E418*(SUMIF(INDIRECT(AC$3),'Struktur Aktuell'!$D418,INDIRECT(AC$4)))</f>
        <v>0</v>
      </c>
      <c r="AD418" s="593">
        <f ca="1">$E418*(SUMIF(INDIRECT(AD$3),'Struktur Aktuell'!$D418,INDIRECT(AD$4)))</f>
        <v>0</v>
      </c>
      <c r="AE418" s="593">
        <f t="shared" ca="1" si="652"/>
        <v>0</v>
      </c>
      <c r="AF418" s="593">
        <f t="shared" ca="1" si="653"/>
        <v>0</v>
      </c>
      <c r="AG418" s="593">
        <f t="shared" ca="1" si="654"/>
        <v>0</v>
      </c>
      <c r="AH418" s="593">
        <f t="shared" ca="1" si="655"/>
        <v>0</v>
      </c>
      <c r="AI418" s="593">
        <f t="shared" ca="1" si="656"/>
        <v>0</v>
      </c>
      <c r="AJ418" s="593">
        <f t="shared" ca="1" si="657"/>
        <v>0</v>
      </c>
      <c r="AK418" s="593">
        <f t="shared" ca="1" si="658"/>
        <v>0</v>
      </c>
      <c r="AL418" s="593">
        <f t="shared" ca="1" si="659"/>
        <v>0</v>
      </c>
      <c r="AM418" s="593">
        <f t="shared" ca="1" si="660"/>
        <v>0</v>
      </c>
      <c r="AN418" s="593">
        <f t="shared" ca="1" si="661"/>
        <v>0</v>
      </c>
      <c r="AO418" s="593">
        <f t="shared" ca="1" si="662"/>
        <v>0</v>
      </c>
      <c r="AP418" s="593">
        <f t="shared" ca="1" si="663"/>
        <v>0</v>
      </c>
    </row>
    <row r="419" spans="1:42" s="594" customFormat="1" ht="11.25" outlineLevel="1" x14ac:dyDescent="0.2">
      <c r="A419" s="644"/>
      <c r="B419" s="591" t="str">
        <f>IF(D419&lt;&gt;"",
IF(ISERROR(MATCH(D419,'Ist Aktuell Monat 01'!A:A,0))=FALSE,INDEX('Ist Aktuell Monat 01'!B:B,MATCH(D419,'Ist Aktuell Monat 01'!A:A,0)),
IF(ISERROR(MATCH(D419,'Ist Aktuell Monat 02'!A:A,0))=FALSE,INDEX('Ist Aktuell Monat 02'!B:B,MATCH(D419,'Ist Aktuell Monat 02'!A:A,0)),
IF(ISERROR(MATCH(D419,'Ist Aktuell Monat 03'!A:A,0))=FALSE,INDEX('Ist Aktuell Monat 03'!B:B,MATCH(D419,'Ist Aktuell Monat 03'!A:A,0)),
IF(ISERROR(MATCH(D419,'Ist Aktuell Monat 04'!A:A,0))=FALSE,INDEX('Ist Aktuell Monat 04'!B:B,MATCH(D419,'Ist Aktuell Monat 04'!A:A,0)),
IF(ISERROR(MATCH(D419,'Ist Aktuell Monat 05'!A:A,0))=FALSE,INDEX('Ist Aktuell Monat 05'!B:B,MATCH(D419,'Ist Aktuell Monat 05'!A:A,0)),
IF(ISERROR(MATCH(D419,'Ist Aktuell Monat 06'!A:A,0))=FALSE,INDEX('Ist Aktuell Monat 06'!B:B,MATCH(D419,'Ist Aktuell Monat 06'!A:A,0)),
IF(ISERROR(MATCH(D419,'Ist Aktuell Monat 07'!A:A,0))=FALSE,INDEX('Ist Aktuell Monat 07'!B:B,MATCH(D419,'Ist Aktuell Monat 07'!A:A,0)),
IF(ISERROR(MATCH(D419,'Ist Aktuell Monat 08'!A:A,0))=FALSE,INDEX('Ist Aktuell Monat 08'!B:B,MATCH(D419,'Ist Aktuell Monat 08'!A:A,0)),
IF(ISERROR(MATCH(D419,'Ist Aktuell Monat 09'!A:A,0))=FALSE,INDEX('Ist Aktuell Monat 09'!B:B,MATCH(D419,'Ist Aktuell Monat 09'!A:A,0)),
IF(ISERROR(MATCH(D419,'Ist Aktuell Monat 10'!A:A,0))=FALSE,INDEX('Ist Aktuell Monat 10'!B:B,MATCH(D419,'Ist Aktuell Monat 10'!A:A,0)),
IF(ISERROR(MATCH(D419,'Ist Aktuell Monat 11'!A:A,0))=FALSE,INDEX('Ist Aktuell Monat 11'!B:B,MATCH(D419,'Ist Aktuell Monat 11'!A:A,0)),
IF(ISERROR(MATCH(D419,'Ist Aktuell Monat 12'!A:A,0))=FALSE,INDEX('Ist Aktuell Monat 12'!B:B,MATCH(D419,'Ist Aktuell Monat 12'!A:A,0)),
"{Konto unbekannt}"
)))))))))))),"")</f>
        <v/>
      </c>
      <c r="C419" s="1062"/>
      <c r="D419" s="1067"/>
      <c r="E419" s="625">
        <f t="shared" si="602"/>
        <v>1</v>
      </c>
      <c r="F419" s="626"/>
      <c r="G419" s="593">
        <f ca="1">$E419*(SUMIF(INDIRECT(G$3),'Struktur Aktuell'!$D419,INDIRECT(G$4)))</f>
        <v>0</v>
      </c>
      <c r="H419" s="593">
        <f ca="1">$E419*(SUMIF(INDIRECT(H$3),'Struktur Aktuell'!$D419,INDIRECT(H$4)))</f>
        <v>0</v>
      </c>
      <c r="I419" s="593">
        <f ca="1">$E419*(SUMIF(INDIRECT(I$3),'Struktur Aktuell'!$D419,INDIRECT(I$4)))</f>
        <v>0</v>
      </c>
      <c r="J419" s="593">
        <f ca="1">$E419*(SUMIF(INDIRECT(J$3),'Struktur Aktuell'!$D419,INDIRECT(J$4)))</f>
        <v>0</v>
      </c>
      <c r="K419" s="593">
        <f ca="1">$E419*(SUMIF(INDIRECT(K$3),'Struktur Aktuell'!$D419,INDIRECT(K$4)))</f>
        <v>0</v>
      </c>
      <c r="L419" s="593">
        <f ca="1">$E419*(SUMIF(INDIRECT(L$3),'Struktur Aktuell'!$D419,INDIRECT(L$4)))</f>
        <v>0</v>
      </c>
      <c r="M419" s="593">
        <f ca="1">$E419*(SUMIF(INDIRECT(M$3),'Struktur Aktuell'!$D419,INDIRECT(M$4)))</f>
        <v>0</v>
      </c>
      <c r="N419" s="593">
        <f ca="1">$E419*(SUMIF(INDIRECT(N$3),'Struktur Aktuell'!$D419,INDIRECT(N$4)))</f>
        <v>0</v>
      </c>
      <c r="O419" s="593">
        <f ca="1">$E419*(SUMIF(INDIRECT(O$3),'Struktur Aktuell'!$D419,INDIRECT(O$4)))</f>
        <v>0</v>
      </c>
      <c r="P419" s="593">
        <f ca="1">$E419*(SUMIF(INDIRECT(P$3),'Struktur Aktuell'!$D419,INDIRECT(P$4)))</f>
        <v>0</v>
      </c>
      <c r="Q419" s="593">
        <f ca="1">$E419*(SUMIF(INDIRECT(Q$3),'Struktur Aktuell'!$D419,INDIRECT(Q$4)))</f>
        <v>0</v>
      </c>
      <c r="R419" s="593">
        <f ca="1">$E419*(SUMIF(INDIRECT(R$3),'Struktur Aktuell'!$D419,INDIRECT(R$4)))</f>
        <v>0</v>
      </c>
      <c r="S419" s="593">
        <f ca="1">$E419*(SUMIF(INDIRECT(S$3),'Struktur Aktuell'!$D419,INDIRECT(S$4)))</f>
        <v>0</v>
      </c>
      <c r="T419" s="593">
        <f ca="1">$E419*(SUMIF(INDIRECT(T$3),'Struktur Aktuell'!$D419,INDIRECT(T$4)))</f>
        <v>0</v>
      </c>
      <c r="U419" s="593">
        <f ca="1">$E419*(SUMIF(INDIRECT(U$3),'Struktur Aktuell'!$D419,INDIRECT(U$4)))</f>
        <v>0</v>
      </c>
      <c r="V419" s="593">
        <f ca="1">$E419*(SUMIF(INDIRECT(V$3),'Struktur Aktuell'!$D419,INDIRECT(V$4)))</f>
        <v>0</v>
      </c>
      <c r="W419" s="593">
        <f ca="1">$E419*(SUMIF(INDIRECT(W$3),'Struktur Aktuell'!$D419,INDIRECT(W$4)))</f>
        <v>0</v>
      </c>
      <c r="X419" s="593">
        <f ca="1">$E419*(SUMIF(INDIRECT(X$3),'Struktur Aktuell'!$D419,INDIRECT(X$4)))</f>
        <v>0</v>
      </c>
      <c r="Y419" s="593">
        <f ca="1">$E419*(SUMIF(INDIRECT(Y$3),'Struktur Aktuell'!$D419,INDIRECT(Y$4)))</f>
        <v>0</v>
      </c>
      <c r="Z419" s="593">
        <f ca="1">$E419*(SUMIF(INDIRECT(Z$3),'Struktur Aktuell'!$D419,INDIRECT(Z$4)))</f>
        <v>0</v>
      </c>
      <c r="AA419" s="593">
        <f ca="1">$E419*(SUMIF(INDIRECT(AA$3),'Struktur Aktuell'!$D419,INDIRECT(AA$4)))</f>
        <v>0</v>
      </c>
      <c r="AB419" s="593">
        <f ca="1">$E419*(SUMIF(INDIRECT(AB$3),'Struktur Aktuell'!$D419,INDIRECT(AB$4)))</f>
        <v>0</v>
      </c>
      <c r="AC419" s="593">
        <f ca="1">$E419*(SUMIF(INDIRECT(AC$3),'Struktur Aktuell'!$D419,INDIRECT(AC$4)))</f>
        <v>0</v>
      </c>
      <c r="AD419" s="593">
        <f ca="1">$E419*(SUMIF(INDIRECT(AD$3),'Struktur Aktuell'!$D419,INDIRECT(AD$4)))</f>
        <v>0</v>
      </c>
      <c r="AE419" s="593">
        <f t="shared" ca="1" si="652"/>
        <v>0</v>
      </c>
      <c r="AF419" s="593">
        <f t="shared" ca="1" si="653"/>
        <v>0</v>
      </c>
      <c r="AG419" s="593">
        <f t="shared" ca="1" si="654"/>
        <v>0</v>
      </c>
      <c r="AH419" s="593">
        <f t="shared" ca="1" si="655"/>
        <v>0</v>
      </c>
      <c r="AI419" s="593">
        <f t="shared" ca="1" si="656"/>
        <v>0</v>
      </c>
      <c r="AJ419" s="593">
        <f t="shared" ca="1" si="657"/>
        <v>0</v>
      </c>
      <c r="AK419" s="593">
        <f t="shared" ca="1" si="658"/>
        <v>0</v>
      </c>
      <c r="AL419" s="593">
        <f t="shared" ca="1" si="659"/>
        <v>0</v>
      </c>
      <c r="AM419" s="593">
        <f t="shared" ca="1" si="660"/>
        <v>0</v>
      </c>
      <c r="AN419" s="593">
        <f t="shared" ca="1" si="661"/>
        <v>0</v>
      </c>
      <c r="AO419" s="593">
        <f t="shared" ca="1" si="662"/>
        <v>0</v>
      </c>
      <c r="AP419" s="593">
        <f t="shared" ca="1" si="663"/>
        <v>0</v>
      </c>
    </row>
    <row r="420" spans="1:42" s="594" customFormat="1" ht="11.25" outlineLevel="1" x14ac:dyDescent="0.2">
      <c r="A420" s="644"/>
      <c r="B420" s="591" t="str">
        <f>IF(D420&lt;&gt;"",
IF(ISERROR(MATCH(D420,'Ist Aktuell Monat 01'!A:A,0))=FALSE,INDEX('Ist Aktuell Monat 01'!B:B,MATCH(D420,'Ist Aktuell Monat 01'!A:A,0)),
IF(ISERROR(MATCH(D420,'Ist Aktuell Monat 02'!A:A,0))=FALSE,INDEX('Ist Aktuell Monat 02'!B:B,MATCH(D420,'Ist Aktuell Monat 02'!A:A,0)),
IF(ISERROR(MATCH(D420,'Ist Aktuell Monat 03'!A:A,0))=FALSE,INDEX('Ist Aktuell Monat 03'!B:B,MATCH(D420,'Ist Aktuell Monat 03'!A:A,0)),
IF(ISERROR(MATCH(D420,'Ist Aktuell Monat 04'!A:A,0))=FALSE,INDEX('Ist Aktuell Monat 04'!B:B,MATCH(D420,'Ist Aktuell Monat 04'!A:A,0)),
IF(ISERROR(MATCH(D420,'Ist Aktuell Monat 05'!A:A,0))=FALSE,INDEX('Ist Aktuell Monat 05'!B:B,MATCH(D420,'Ist Aktuell Monat 05'!A:A,0)),
IF(ISERROR(MATCH(D420,'Ist Aktuell Monat 06'!A:A,0))=FALSE,INDEX('Ist Aktuell Monat 06'!B:B,MATCH(D420,'Ist Aktuell Monat 06'!A:A,0)),
IF(ISERROR(MATCH(D420,'Ist Aktuell Monat 07'!A:A,0))=FALSE,INDEX('Ist Aktuell Monat 07'!B:B,MATCH(D420,'Ist Aktuell Monat 07'!A:A,0)),
IF(ISERROR(MATCH(D420,'Ist Aktuell Monat 08'!A:A,0))=FALSE,INDEX('Ist Aktuell Monat 08'!B:B,MATCH(D420,'Ist Aktuell Monat 08'!A:A,0)),
IF(ISERROR(MATCH(D420,'Ist Aktuell Monat 09'!A:A,0))=FALSE,INDEX('Ist Aktuell Monat 09'!B:B,MATCH(D420,'Ist Aktuell Monat 09'!A:A,0)),
IF(ISERROR(MATCH(D420,'Ist Aktuell Monat 10'!A:A,0))=FALSE,INDEX('Ist Aktuell Monat 10'!B:B,MATCH(D420,'Ist Aktuell Monat 10'!A:A,0)),
IF(ISERROR(MATCH(D420,'Ist Aktuell Monat 11'!A:A,0))=FALSE,INDEX('Ist Aktuell Monat 11'!B:B,MATCH(D420,'Ist Aktuell Monat 11'!A:A,0)),
IF(ISERROR(MATCH(D420,'Ist Aktuell Monat 12'!A:A,0))=FALSE,INDEX('Ist Aktuell Monat 12'!B:B,MATCH(D420,'Ist Aktuell Monat 12'!A:A,0)),
"{Konto unbekannt}"
)))))))))))),"")</f>
        <v/>
      </c>
      <c r="C420" s="1062"/>
      <c r="D420" s="1067"/>
      <c r="E420" s="625">
        <f>IF(F420="-",-1,1)</f>
        <v>1</v>
      </c>
      <c r="F420" s="626"/>
      <c r="G420" s="593">
        <f ca="1">$E420*(SUMIF(INDIRECT(G$3),'Struktur Aktuell'!$D420,INDIRECT(G$4)))</f>
        <v>0</v>
      </c>
      <c r="H420" s="593">
        <f ca="1">$E420*(SUMIF(INDIRECT(H$3),'Struktur Aktuell'!$D420,INDIRECT(H$4)))</f>
        <v>0</v>
      </c>
      <c r="I420" s="593">
        <f ca="1">$E420*(SUMIF(INDIRECT(I$3),'Struktur Aktuell'!$D420,INDIRECT(I$4)))</f>
        <v>0</v>
      </c>
      <c r="J420" s="593">
        <f ca="1">$E420*(SUMIF(INDIRECT(J$3),'Struktur Aktuell'!$D420,INDIRECT(J$4)))</f>
        <v>0</v>
      </c>
      <c r="K420" s="593">
        <f ca="1">$E420*(SUMIF(INDIRECT(K$3),'Struktur Aktuell'!$D420,INDIRECT(K$4)))</f>
        <v>0</v>
      </c>
      <c r="L420" s="593">
        <f ca="1">$E420*(SUMIF(INDIRECT(L$3),'Struktur Aktuell'!$D420,INDIRECT(L$4)))</f>
        <v>0</v>
      </c>
      <c r="M420" s="593">
        <f ca="1">$E420*(SUMIF(INDIRECT(M$3),'Struktur Aktuell'!$D420,INDIRECT(M$4)))</f>
        <v>0</v>
      </c>
      <c r="N420" s="593">
        <f ca="1">$E420*(SUMIF(INDIRECT(N$3),'Struktur Aktuell'!$D420,INDIRECT(N$4)))</f>
        <v>0</v>
      </c>
      <c r="O420" s="593">
        <f ca="1">$E420*(SUMIF(INDIRECT(O$3),'Struktur Aktuell'!$D420,INDIRECT(O$4)))</f>
        <v>0</v>
      </c>
      <c r="P420" s="593">
        <f ca="1">$E420*(SUMIF(INDIRECT(P$3),'Struktur Aktuell'!$D420,INDIRECT(P$4)))</f>
        <v>0</v>
      </c>
      <c r="Q420" s="593">
        <f ca="1">$E420*(SUMIF(INDIRECT(Q$3),'Struktur Aktuell'!$D420,INDIRECT(Q$4)))</f>
        <v>0</v>
      </c>
      <c r="R420" s="593">
        <f ca="1">$E420*(SUMIF(INDIRECT(R$3),'Struktur Aktuell'!$D420,INDIRECT(R$4)))</f>
        <v>0</v>
      </c>
      <c r="S420" s="593">
        <f ca="1">$E420*(SUMIF(INDIRECT(S$3),'Struktur Aktuell'!$D420,INDIRECT(S$4)))</f>
        <v>0</v>
      </c>
      <c r="T420" s="593">
        <f ca="1">$E420*(SUMIF(INDIRECT(T$3),'Struktur Aktuell'!$D420,INDIRECT(T$4)))</f>
        <v>0</v>
      </c>
      <c r="U420" s="593">
        <f ca="1">$E420*(SUMIF(INDIRECT(U$3),'Struktur Aktuell'!$D420,INDIRECT(U$4)))</f>
        <v>0</v>
      </c>
      <c r="V420" s="593">
        <f ca="1">$E420*(SUMIF(INDIRECT(V$3),'Struktur Aktuell'!$D420,INDIRECT(V$4)))</f>
        <v>0</v>
      </c>
      <c r="W420" s="593">
        <f ca="1">$E420*(SUMIF(INDIRECT(W$3),'Struktur Aktuell'!$D420,INDIRECT(W$4)))</f>
        <v>0</v>
      </c>
      <c r="X420" s="593">
        <f ca="1">$E420*(SUMIF(INDIRECT(X$3),'Struktur Aktuell'!$D420,INDIRECT(X$4)))</f>
        <v>0</v>
      </c>
      <c r="Y420" s="593">
        <f ca="1">$E420*(SUMIF(INDIRECT(Y$3),'Struktur Aktuell'!$D420,INDIRECT(Y$4)))</f>
        <v>0</v>
      </c>
      <c r="Z420" s="593">
        <f ca="1">$E420*(SUMIF(INDIRECT(Z$3),'Struktur Aktuell'!$D420,INDIRECT(Z$4)))</f>
        <v>0</v>
      </c>
      <c r="AA420" s="593">
        <f ca="1">$E420*(SUMIF(INDIRECT(AA$3),'Struktur Aktuell'!$D420,INDIRECT(AA$4)))</f>
        <v>0</v>
      </c>
      <c r="AB420" s="593">
        <f ca="1">$E420*(SUMIF(INDIRECT(AB$3),'Struktur Aktuell'!$D420,INDIRECT(AB$4)))</f>
        <v>0</v>
      </c>
      <c r="AC420" s="593">
        <f ca="1">$E420*(SUMIF(INDIRECT(AC$3),'Struktur Aktuell'!$D420,INDIRECT(AC$4)))</f>
        <v>0</v>
      </c>
      <c r="AD420" s="593">
        <f ca="1">$E420*(SUMIF(INDIRECT(AD$3),'Struktur Aktuell'!$D420,INDIRECT(AD$4)))</f>
        <v>0</v>
      </c>
      <c r="AE420" s="593">
        <f t="shared" ca="1" si="652"/>
        <v>0</v>
      </c>
      <c r="AF420" s="593">
        <f t="shared" ca="1" si="653"/>
        <v>0</v>
      </c>
      <c r="AG420" s="593">
        <f t="shared" ca="1" si="654"/>
        <v>0</v>
      </c>
      <c r="AH420" s="593">
        <f t="shared" ca="1" si="655"/>
        <v>0</v>
      </c>
      <c r="AI420" s="593">
        <f t="shared" ca="1" si="656"/>
        <v>0</v>
      </c>
      <c r="AJ420" s="593">
        <f t="shared" ca="1" si="657"/>
        <v>0</v>
      </c>
      <c r="AK420" s="593">
        <f t="shared" ca="1" si="658"/>
        <v>0</v>
      </c>
      <c r="AL420" s="593">
        <f t="shared" ca="1" si="659"/>
        <v>0</v>
      </c>
      <c r="AM420" s="593">
        <f t="shared" ca="1" si="660"/>
        <v>0</v>
      </c>
      <c r="AN420" s="593">
        <f t="shared" ca="1" si="661"/>
        <v>0</v>
      </c>
      <c r="AO420" s="593">
        <f t="shared" ca="1" si="662"/>
        <v>0</v>
      </c>
      <c r="AP420" s="593">
        <f t="shared" ca="1" si="663"/>
        <v>0</v>
      </c>
    </row>
    <row r="421" spans="1:42" s="594" customFormat="1" ht="11.25" outlineLevel="1" x14ac:dyDescent="0.2">
      <c r="A421" s="644"/>
      <c r="B421" s="591" t="str">
        <f>IF(D421&lt;&gt;"",
IF(ISERROR(MATCH(D421,'Ist Aktuell Monat 01'!A:A,0))=FALSE,INDEX('Ist Aktuell Monat 01'!B:B,MATCH(D421,'Ist Aktuell Monat 01'!A:A,0)),
IF(ISERROR(MATCH(D421,'Ist Aktuell Monat 02'!A:A,0))=FALSE,INDEX('Ist Aktuell Monat 02'!B:B,MATCH(D421,'Ist Aktuell Monat 02'!A:A,0)),
IF(ISERROR(MATCH(D421,'Ist Aktuell Monat 03'!A:A,0))=FALSE,INDEX('Ist Aktuell Monat 03'!B:B,MATCH(D421,'Ist Aktuell Monat 03'!A:A,0)),
IF(ISERROR(MATCH(D421,'Ist Aktuell Monat 04'!A:A,0))=FALSE,INDEX('Ist Aktuell Monat 04'!B:B,MATCH(D421,'Ist Aktuell Monat 04'!A:A,0)),
IF(ISERROR(MATCH(D421,'Ist Aktuell Monat 05'!A:A,0))=FALSE,INDEX('Ist Aktuell Monat 05'!B:B,MATCH(D421,'Ist Aktuell Monat 05'!A:A,0)),
IF(ISERROR(MATCH(D421,'Ist Aktuell Monat 06'!A:A,0))=FALSE,INDEX('Ist Aktuell Monat 06'!B:B,MATCH(D421,'Ist Aktuell Monat 06'!A:A,0)),
IF(ISERROR(MATCH(D421,'Ist Aktuell Monat 07'!A:A,0))=FALSE,INDEX('Ist Aktuell Monat 07'!B:B,MATCH(D421,'Ist Aktuell Monat 07'!A:A,0)),
IF(ISERROR(MATCH(D421,'Ist Aktuell Monat 08'!A:A,0))=FALSE,INDEX('Ist Aktuell Monat 08'!B:B,MATCH(D421,'Ist Aktuell Monat 08'!A:A,0)),
IF(ISERROR(MATCH(D421,'Ist Aktuell Monat 09'!A:A,0))=FALSE,INDEX('Ist Aktuell Monat 09'!B:B,MATCH(D421,'Ist Aktuell Monat 09'!A:A,0)),
IF(ISERROR(MATCH(D421,'Ist Aktuell Monat 10'!A:A,0))=FALSE,INDEX('Ist Aktuell Monat 10'!B:B,MATCH(D421,'Ist Aktuell Monat 10'!A:A,0)),
IF(ISERROR(MATCH(D421,'Ist Aktuell Monat 11'!A:A,0))=FALSE,INDEX('Ist Aktuell Monat 11'!B:B,MATCH(D421,'Ist Aktuell Monat 11'!A:A,0)),
IF(ISERROR(MATCH(D421,'Ist Aktuell Monat 12'!A:A,0))=FALSE,INDEX('Ist Aktuell Monat 12'!B:B,MATCH(D421,'Ist Aktuell Monat 12'!A:A,0)),
"{Konto unbekannt}"
)))))))))))),"")</f>
        <v/>
      </c>
      <c r="C421" s="1062"/>
      <c r="D421" s="1067"/>
      <c r="E421" s="625">
        <f t="shared" ref="E421:E427" si="664">IF(F421="-",-1,1)</f>
        <v>1</v>
      </c>
      <c r="F421" s="626"/>
      <c r="G421" s="838">
        <f ca="1">$E421*(SUMIF(INDIRECT(G$3),'Struktur Aktuell'!$D421,INDIRECT(G$4)))</f>
        <v>0</v>
      </c>
      <c r="H421" s="838">
        <f ca="1">$E421*(SUMIF(INDIRECT(H$3),'Struktur Aktuell'!$D421,INDIRECT(H$4)))</f>
        <v>0</v>
      </c>
      <c r="I421" s="838">
        <f ca="1">$E421*(SUMIF(INDIRECT(I$3),'Struktur Aktuell'!$D421,INDIRECT(I$4)))</f>
        <v>0</v>
      </c>
      <c r="J421" s="838">
        <f ca="1">$E421*(SUMIF(INDIRECT(J$3),'Struktur Aktuell'!$D421,INDIRECT(J$4)))</f>
        <v>0</v>
      </c>
      <c r="K421" s="838">
        <f ca="1">$E421*(SUMIF(INDIRECT(K$3),'Struktur Aktuell'!$D421,INDIRECT(K$4)))</f>
        <v>0</v>
      </c>
      <c r="L421" s="838">
        <f ca="1">$E421*(SUMIF(INDIRECT(L$3),'Struktur Aktuell'!$D421,INDIRECT(L$4)))</f>
        <v>0</v>
      </c>
      <c r="M421" s="838">
        <f ca="1">$E421*(SUMIF(INDIRECT(M$3),'Struktur Aktuell'!$D421,INDIRECT(M$4)))</f>
        <v>0</v>
      </c>
      <c r="N421" s="838">
        <f ca="1">$E421*(SUMIF(INDIRECT(N$3),'Struktur Aktuell'!$D421,INDIRECT(N$4)))</f>
        <v>0</v>
      </c>
      <c r="O421" s="838">
        <f ca="1">$E421*(SUMIF(INDIRECT(O$3),'Struktur Aktuell'!$D421,INDIRECT(O$4)))</f>
        <v>0</v>
      </c>
      <c r="P421" s="838">
        <f ca="1">$E421*(SUMIF(INDIRECT(P$3),'Struktur Aktuell'!$D421,INDIRECT(P$4)))</f>
        <v>0</v>
      </c>
      <c r="Q421" s="838">
        <f ca="1">$E421*(SUMIF(INDIRECT(Q$3),'Struktur Aktuell'!$D421,INDIRECT(Q$4)))</f>
        <v>0</v>
      </c>
      <c r="R421" s="838">
        <f ca="1">$E421*(SUMIF(INDIRECT(R$3),'Struktur Aktuell'!$D421,INDIRECT(R$4)))</f>
        <v>0</v>
      </c>
      <c r="S421" s="838">
        <f ca="1">$E421*(SUMIF(INDIRECT(S$3),'Struktur Aktuell'!$D421,INDIRECT(S$4)))</f>
        <v>0</v>
      </c>
      <c r="T421" s="838">
        <f ca="1">$E421*(SUMIF(INDIRECT(T$3),'Struktur Aktuell'!$D421,INDIRECT(T$4)))</f>
        <v>0</v>
      </c>
      <c r="U421" s="838">
        <f ca="1">$E421*(SUMIF(INDIRECT(U$3),'Struktur Aktuell'!$D421,INDIRECT(U$4)))</f>
        <v>0</v>
      </c>
      <c r="V421" s="838">
        <f ca="1">$E421*(SUMIF(INDIRECT(V$3),'Struktur Aktuell'!$D421,INDIRECT(V$4)))</f>
        <v>0</v>
      </c>
      <c r="W421" s="838">
        <f ca="1">$E421*(SUMIF(INDIRECT(W$3),'Struktur Aktuell'!$D421,INDIRECT(W$4)))</f>
        <v>0</v>
      </c>
      <c r="X421" s="838">
        <f ca="1">$E421*(SUMIF(INDIRECT(X$3),'Struktur Aktuell'!$D421,INDIRECT(X$4)))</f>
        <v>0</v>
      </c>
      <c r="Y421" s="838">
        <f ca="1">$E421*(SUMIF(INDIRECT(Y$3),'Struktur Aktuell'!$D421,INDIRECT(Y$4)))</f>
        <v>0</v>
      </c>
      <c r="Z421" s="838">
        <f ca="1">$E421*(SUMIF(INDIRECT(Z$3),'Struktur Aktuell'!$D421,INDIRECT(Z$4)))</f>
        <v>0</v>
      </c>
      <c r="AA421" s="838">
        <f ca="1">$E421*(SUMIF(INDIRECT(AA$3),'Struktur Aktuell'!$D421,INDIRECT(AA$4)))</f>
        <v>0</v>
      </c>
      <c r="AB421" s="838">
        <f ca="1">$E421*(SUMIF(INDIRECT(AB$3),'Struktur Aktuell'!$D421,INDIRECT(AB$4)))</f>
        <v>0</v>
      </c>
      <c r="AC421" s="838">
        <f ca="1">$E421*(SUMIF(INDIRECT(AC$3),'Struktur Aktuell'!$D421,INDIRECT(AC$4)))</f>
        <v>0</v>
      </c>
      <c r="AD421" s="838">
        <f ca="1">$E421*(SUMIF(INDIRECT(AD$3),'Struktur Aktuell'!$D421,INDIRECT(AD$4)))</f>
        <v>0</v>
      </c>
      <c r="AE421" s="593">
        <f t="shared" ca="1" si="652"/>
        <v>0</v>
      </c>
      <c r="AF421" s="593">
        <f t="shared" ca="1" si="653"/>
        <v>0</v>
      </c>
      <c r="AG421" s="593">
        <f t="shared" ca="1" si="654"/>
        <v>0</v>
      </c>
      <c r="AH421" s="593">
        <f t="shared" ca="1" si="655"/>
        <v>0</v>
      </c>
      <c r="AI421" s="593">
        <f t="shared" ca="1" si="656"/>
        <v>0</v>
      </c>
      <c r="AJ421" s="593">
        <f t="shared" ca="1" si="657"/>
        <v>0</v>
      </c>
      <c r="AK421" s="593">
        <f t="shared" ca="1" si="658"/>
        <v>0</v>
      </c>
      <c r="AL421" s="593">
        <f t="shared" ca="1" si="659"/>
        <v>0</v>
      </c>
      <c r="AM421" s="593">
        <f t="shared" ca="1" si="660"/>
        <v>0</v>
      </c>
      <c r="AN421" s="593">
        <f t="shared" ca="1" si="661"/>
        <v>0</v>
      </c>
      <c r="AO421" s="593">
        <f t="shared" ca="1" si="662"/>
        <v>0</v>
      </c>
      <c r="AP421" s="593">
        <f t="shared" ca="1" si="663"/>
        <v>0</v>
      </c>
    </row>
    <row r="422" spans="1:42" s="594" customFormat="1" ht="11.25" outlineLevel="1" x14ac:dyDescent="0.2">
      <c r="A422" s="644"/>
      <c r="B422" s="591" t="str">
        <f>IF(D422&lt;&gt;"",
IF(ISERROR(MATCH(D422,'Ist Aktuell Monat 01'!A:A,0))=FALSE,INDEX('Ist Aktuell Monat 01'!B:B,MATCH(D422,'Ist Aktuell Monat 01'!A:A,0)),
IF(ISERROR(MATCH(D422,'Ist Aktuell Monat 02'!A:A,0))=FALSE,INDEX('Ist Aktuell Monat 02'!B:B,MATCH(D422,'Ist Aktuell Monat 02'!A:A,0)),
IF(ISERROR(MATCH(D422,'Ist Aktuell Monat 03'!A:A,0))=FALSE,INDEX('Ist Aktuell Monat 03'!B:B,MATCH(D422,'Ist Aktuell Monat 03'!A:A,0)),
IF(ISERROR(MATCH(D422,'Ist Aktuell Monat 04'!A:A,0))=FALSE,INDEX('Ist Aktuell Monat 04'!B:B,MATCH(D422,'Ist Aktuell Monat 04'!A:A,0)),
IF(ISERROR(MATCH(D422,'Ist Aktuell Monat 05'!A:A,0))=FALSE,INDEX('Ist Aktuell Monat 05'!B:B,MATCH(D422,'Ist Aktuell Monat 05'!A:A,0)),
IF(ISERROR(MATCH(D422,'Ist Aktuell Monat 06'!A:A,0))=FALSE,INDEX('Ist Aktuell Monat 06'!B:B,MATCH(D422,'Ist Aktuell Monat 06'!A:A,0)),
IF(ISERROR(MATCH(D422,'Ist Aktuell Monat 07'!A:A,0))=FALSE,INDEX('Ist Aktuell Monat 07'!B:B,MATCH(D422,'Ist Aktuell Monat 07'!A:A,0)),
IF(ISERROR(MATCH(D422,'Ist Aktuell Monat 08'!A:A,0))=FALSE,INDEX('Ist Aktuell Monat 08'!B:B,MATCH(D422,'Ist Aktuell Monat 08'!A:A,0)),
IF(ISERROR(MATCH(D422,'Ist Aktuell Monat 09'!A:A,0))=FALSE,INDEX('Ist Aktuell Monat 09'!B:B,MATCH(D422,'Ist Aktuell Monat 09'!A:A,0)),
IF(ISERROR(MATCH(D422,'Ist Aktuell Monat 10'!A:A,0))=FALSE,INDEX('Ist Aktuell Monat 10'!B:B,MATCH(D422,'Ist Aktuell Monat 10'!A:A,0)),
IF(ISERROR(MATCH(D422,'Ist Aktuell Monat 11'!A:A,0))=FALSE,INDEX('Ist Aktuell Monat 11'!B:B,MATCH(D422,'Ist Aktuell Monat 11'!A:A,0)),
IF(ISERROR(MATCH(D422,'Ist Aktuell Monat 12'!A:A,0))=FALSE,INDEX('Ist Aktuell Monat 12'!B:B,MATCH(D422,'Ist Aktuell Monat 12'!A:A,0)),
"{Konto unbekannt}"
)))))))))))),"")</f>
        <v/>
      </c>
      <c r="C422" s="1062"/>
      <c r="D422" s="1067"/>
      <c r="E422" s="625">
        <f t="shared" si="664"/>
        <v>1</v>
      </c>
      <c r="F422" s="626"/>
      <c r="G422" s="838">
        <f ca="1">$E422*(SUMIF(INDIRECT(G$3),'Struktur Aktuell'!$D422,INDIRECT(G$4)))</f>
        <v>0</v>
      </c>
      <c r="H422" s="838">
        <f ca="1">$E422*(SUMIF(INDIRECT(H$3),'Struktur Aktuell'!$D422,INDIRECT(H$4)))</f>
        <v>0</v>
      </c>
      <c r="I422" s="838">
        <f ca="1">$E422*(SUMIF(INDIRECT(I$3),'Struktur Aktuell'!$D422,INDIRECT(I$4)))</f>
        <v>0</v>
      </c>
      <c r="J422" s="838">
        <f ca="1">$E422*(SUMIF(INDIRECT(J$3),'Struktur Aktuell'!$D422,INDIRECT(J$4)))</f>
        <v>0</v>
      </c>
      <c r="K422" s="838">
        <f ca="1">$E422*(SUMIF(INDIRECT(K$3),'Struktur Aktuell'!$D422,INDIRECT(K$4)))</f>
        <v>0</v>
      </c>
      <c r="L422" s="838">
        <f ca="1">$E422*(SUMIF(INDIRECT(L$3),'Struktur Aktuell'!$D422,INDIRECT(L$4)))</f>
        <v>0</v>
      </c>
      <c r="M422" s="838">
        <f ca="1">$E422*(SUMIF(INDIRECT(M$3),'Struktur Aktuell'!$D422,INDIRECT(M$4)))</f>
        <v>0</v>
      </c>
      <c r="N422" s="838">
        <f ca="1">$E422*(SUMIF(INDIRECT(N$3),'Struktur Aktuell'!$D422,INDIRECT(N$4)))</f>
        <v>0</v>
      </c>
      <c r="O422" s="838">
        <f ca="1">$E422*(SUMIF(INDIRECT(O$3),'Struktur Aktuell'!$D422,INDIRECT(O$4)))</f>
        <v>0</v>
      </c>
      <c r="P422" s="838">
        <f ca="1">$E422*(SUMIF(INDIRECT(P$3),'Struktur Aktuell'!$D422,INDIRECT(P$4)))</f>
        <v>0</v>
      </c>
      <c r="Q422" s="838">
        <f ca="1">$E422*(SUMIF(INDIRECT(Q$3),'Struktur Aktuell'!$D422,INDIRECT(Q$4)))</f>
        <v>0</v>
      </c>
      <c r="R422" s="838">
        <f ca="1">$E422*(SUMIF(INDIRECT(R$3),'Struktur Aktuell'!$D422,INDIRECT(R$4)))</f>
        <v>0</v>
      </c>
      <c r="S422" s="838">
        <f ca="1">$E422*(SUMIF(INDIRECT(S$3),'Struktur Aktuell'!$D422,INDIRECT(S$4)))</f>
        <v>0</v>
      </c>
      <c r="T422" s="838">
        <f ca="1">$E422*(SUMIF(INDIRECT(T$3),'Struktur Aktuell'!$D422,INDIRECT(T$4)))</f>
        <v>0</v>
      </c>
      <c r="U422" s="838">
        <f ca="1">$E422*(SUMIF(INDIRECT(U$3),'Struktur Aktuell'!$D422,INDIRECT(U$4)))</f>
        <v>0</v>
      </c>
      <c r="V422" s="838">
        <f ca="1">$E422*(SUMIF(INDIRECT(V$3),'Struktur Aktuell'!$D422,INDIRECT(V$4)))</f>
        <v>0</v>
      </c>
      <c r="W422" s="838">
        <f ca="1">$E422*(SUMIF(INDIRECT(W$3),'Struktur Aktuell'!$D422,INDIRECT(W$4)))</f>
        <v>0</v>
      </c>
      <c r="X422" s="838">
        <f ca="1">$E422*(SUMIF(INDIRECT(X$3),'Struktur Aktuell'!$D422,INDIRECT(X$4)))</f>
        <v>0</v>
      </c>
      <c r="Y422" s="838">
        <f ca="1">$E422*(SUMIF(INDIRECT(Y$3),'Struktur Aktuell'!$D422,INDIRECT(Y$4)))</f>
        <v>0</v>
      </c>
      <c r="Z422" s="838">
        <f ca="1">$E422*(SUMIF(INDIRECT(Z$3),'Struktur Aktuell'!$D422,INDIRECT(Z$4)))</f>
        <v>0</v>
      </c>
      <c r="AA422" s="838">
        <f ca="1">$E422*(SUMIF(INDIRECT(AA$3),'Struktur Aktuell'!$D422,INDIRECT(AA$4)))</f>
        <v>0</v>
      </c>
      <c r="AB422" s="838">
        <f ca="1">$E422*(SUMIF(INDIRECT(AB$3),'Struktur Aktuell'!$D422,INDIRECT(AB$4)))</f>
        <v>0</v>
      </c>
      <c r="AC422" s="838">
        <f ca="1">$E422*(SUMIF(INDIRECT(AC$3),'Struktur Aktuell'!$D422,INDIRECT(AC$4)))</f>
        <v>0</v>
      </c>
      <c r="AD422" s="838">
        <f ca="1">$E422*(SUMIF(INDIRECT(AD$3),'Struktur Aktuell'!$D422,INDIRECT(AD$4)))</f>
        <v>0</v>
      </c>
      <c r="AE422" s="593">
        <f t="shared" ca="1" si="652"/>
        <v>0</v>
      </c>
      <c r="AF422" s="593">
        <f t="shared" ca="1" si="653"/>
        <v>0</v>
      </c>
      <c r="AG422" s="593">
        <f t="shared" ca="1" si="654"/>
        <v>0</v>
      </c>
      <c r="AH422" s="593">
        <f t="shared" ca="1" si="655"/>
        <v>0</v>
      </c>
      <c r="AI422" s="593">
        <f t="shared" ca="1" si="656"/>
        <v>0</v>
      </c>
      <c r="AJ422" s="593">
        <f t="shared" ca="1" si="657"/>
        <v>0</v>
      </c>
      <c r="AK422" s="593">
        <f t="shared" ca="1" si="658"/>
        <v>0</v>
      </c>
      <c r="AL422" s="593">
        <f t="shared" ca="1" si="659"/>
        <v>0</v>
      </c>
      <c r="AM422" s="593">
        <f t="shared" ca="1" si="660"/>
        <v>0</v>
      </c>
      <c r="AN422" s="593">
        <f t="shared" ca="1" si="661"/>
        <v>0</v>
      </c>
      <c r="AO422" s="593">
        <f t="shared" ca="1" si="662"/>
        <v>0</v>
      </c>
      <c r="AP422" s="593">
        <f t="shared" ca="1" si="663"/>
        <v>0</v>
      </c>
    </row>
    <row r="423" spans="1:42" s="594" customFormat="1" ht="11.25" outlineLevel="1" x14ac:dyDescent="0.2">
      <c r="A423" s="644"/>
      <c r="B423" s="591" t="str">
        <f>IF(D423&lt;&gt;"",
IF(ISERROR(MATCH(D423,'Ist Aktuell Monat 01'!A:A,0))=FALSE,INDEX('Ist Aktuell Monat 01'!B:B,MATCH(D423,'Ist Aktuell Monat 01'!A:A,0)),
IF(ISERROR(MATCH(D423,'Ist Aktuell Monat 02'!A:A,0))=FALSE,INDEX('Ist Aktuell Monat 02'!B:B,MATCH(D423,'Ist Aktuell Monat 02'!A:A,0)),
IF(ISERROR(MATCH(D423,'Ist Aktuell Monat 03'!A:A,0))=FALSE,INDEX('Ist Aktuell Monat 03'!B:B,MATCH(D423,'Ist Aktuell Monat 03'!A:A,0)),
IF(ISERROR(MATCH(D423,'Ist Aktuell Monat 04'!A:A,0))=FALSE,INDEX('Ist Aktuell Monat 04'!B:B,MATCH(D423,'Ist Aktuell Monat 04'!A:A,0)),
IF(ISERROR(MATCH(D423,'Ist Aktuell Monat 05'!A:A,0))=FALSE,INDEX('Ist Aktuell Monat 05'!B:B,MATCH(D423,'Ist Aktuell Monat 05'!A:A,0)),
IF(ISERROR(MATCH(D423,'Ist Aktuell Monat 06'!A:A,0))=FALSE,INDEX('Ist Aktuell Monat 06'!B:B,MATCH(D423,'Ist Aktuell Monat 06'!A:A,0)),
IF(ISERROR(MATCH(D423,'Ist Aktuell Monat 07'!A:A,0))=FALSE,INDEX('Ist Aktuell Monat 07'!B:B,MATCH(D423,'Ist Aktuell Monat 07'!A:A,0)),
IF(ISERROR(MATCH(D423,'Ist Aktuell Monat 08'!A:A,0))=FALSE,INDEX('Ist Aktuell Monat 08'!B:B,MATCH(D423,'Ist Aktuell Monat 08'!A:A,0)),
IF(ISERROR(MATCH(D423,'Ist Aktuell Monat 09'!A:A,0))=FALSE,INDEX('Ist Aktuell Monat 09'!B:B,MATCH(D423,'Ist Aktuell Monat 09'!A:A,0)),
IF(ISERROR(MATCH(D423,'Ist Aktuell Monat 10'!A:A,0))=FALSE,INDEX('Ist Aktuell Monat 10'!B:B,MATCH(D423,'Ist Aktuell Monat 10'!A:A,0)),
IF(ISERROR(MATCH(D423,'Ist Aktuell Monat 11'!A:A,0))=FALSE,INDEX('Ist Aktuell Monat 11'!B:B,MATCH(D423,'Ist Aktuell Monat 11'!A:A,0)),
IF(ISERROR(MATCH(D423,'Ist Aktuell Monat 12'!A:A,0))=FALSE,INDEX('Ist Aktuell Monat 12'!B:B,MATCH(D423,'Ist Aktuell Monat 12'!A:A,0)),
"{Konto unbekannt}"
)))))))))))),"")</f>
        <v/>
      </c>
      <c r="C423" s="1062"/>
      <c r="D423" s="1067"/>
      <c r="E423" s="625">
        <f t="shared" si="664"/>
        <v>1</v>
      </c>
      <c r="F423" s="626"/>
      <c r="G423" s="593">
        <f ca="1">$E423*(SUMIF(INDIRECT(G$3),'Struktur Aktuell'!$D423,INDIRECT(G$4)))</f>
        <v>0</v>
      </c>
      <c r="H423" s="593">
        <f ca="1">$E423*(SUMIF(INDIRECT(H$3),'Struktur Aktuell'!$D423,INDIRECT(H$4)))</f>
        <v>0</v>
      </c>
      <c r="I423" s="593">
        <f ca="1">$E423*(SUMIF(INDIRECT(I$3),'Struktur Aktuell'!$D423,INDIRECT(I$4)))</f>
        <v>0</v>
      </c>
      <c r="J423" s="593">
        <f ca="1">$E423*(SUMIF(INDIRECT(J$3),'Struktur Aktuell'!$D423,INDIRECT(J$4)))</f>
        <v>0</v>
      </c>
      <c r="K423" s="593">
        <f ca="1">$E423*(SUMIF(INDIRECT(K$3),'Struktur Aktuell'!$D423,INDIRECT(K$4)))</f>
        <v>0</v>
      </c>
      <c r="L423" s="593">
        <f ca="1">$E423*(SUMIF(INDIRECT(L$3),'Struktur Aktuell'!$D423,INDIRECT(L$4)))</f>
        <v>0</v>
      </c>
      <c r="M423" s="593">
        <f ca="1">$E423*(SUMIF(INDIRECT(M$3),'Struktur Aktuell'!$D423,INDIRECT(M$4)))</f>
        <v>0</v>
      </c>
      <c r="N423" s="593">
        <f ca="1">$E423*(SUMIF(INDIRECT(N$3),'Struktur Aktuell'!$D423,INDIRECT(N$4)))</f>
        <v>0</v>
      </c>
      <c r="O423" s="593">
        <f ca="1">$E423*(SUMIF(INDIRECT(O$3),'Struktur Aktuell'!$D423,INDIRECT(O$4)))</f>
        <v>0</v>
      </c>
      <c r="P423" s="593">
        <f ca="1">$E423*(SUMIF(INDIRECT(P$3),'Struktur Aktuell'!$D423,INDIRECT(P$4)))</f>
        <v>0</v>
      </c>
      <c r="Q423" s="593">
        <f ca="1">$E423*(SUMIF(INDIRECT(Q$3),'Struktur Aktuell'!$D423,INDIRECT(Q$4)))</f>
        <v>0</v>
      </c>
      <c r="R423" s="593">
        <f ca="1">$E423*(SUMIF(INDIRECT(R$3),'Struktur Aktuell'!$D423,INDIRECT(R$4)))</f>
        <v>0</v>
      </c>
      <c r="S423" s="593">
        <f ca="1">$E423*(SUMIF(INDIRECT(S$3),'Struktur Aktuell'!$D423,INDIRECT(S$4)))</f>
        <v>0</v>
      </c>
      <c r="T423" s="593">
        <f ca="1">$E423*(SUMIF(INDIRECT(T$3),'Struktur Aktuell'!$D423,INDIRECT(T$4)))</f>
        <v>0</v>
      </c>
      <c r="U423" s="593">
        <f ca="1">$E423*(SUMIF(INDIRECT(U$3),'Struktur Aktuell'!$D423,INDIRECT(U$4)))</f>
        <v>0</v>
      </c>
      <c r="V423" s="593">
        <f ca="1">$E423*(SUMIF(INDIRECT(V$3),'Struktur Aktuell'!$D423,INDIRECT(V$4)))</f>
        <v>0</v>
      </c>
      <c r="W423" s="593">
        <f ca="1">$E423*(SUMIF(INDIRECT(W$3),'Struktur Aktuell'!$D423,INDIRECT(W$4)))</f>
        <v>0</v>
      </c>
      <c r="X423" s="593">
        <f ca="1">$E423*(SUMIF(INDIRECT(X$3),'Struktur Aktuell'!$D423,INDIRECT(X$4)))</f>
        <v>0</v>
      </c>
      <c r="Y423" s="593">
        <f ca="1">$E423*(SUMIF(INDIRECT(Y$3),'Struktur Aktuell'!$D423,INDIRECT(Y$4)))</f>
        <v>0</v>
      </c>
      <c r="Z423" s="593">
        <f ca="1">$E423*(SUMIF(INDIRECT(Z$3),'Struktur Aktuell'!$D423,INDIRECT(Z$4)))</f>
        <v>0</v>
      </c>
      <c r="AA423" s="593">
        <f ca="1">$E423*(SUMIF(INDIRECT(AA$3),'Struktur Aktuell'!$D423,INDIRECT(AA$4)))</f>
        <v>0</v>
      </c>
      <c r="AB423" s="593">
        <f ca="1">$E423*(SUMIF(INDIRECT(AB$3),'Struktur Aktuell'!$D423,INDIRECT(AB$4)))</f>
        <v>0</v>
      </c>
      <c r="AC423" s="593">
        <f ca="1">$E423*(SUMIF(INDIRECT(AC$3),'Struktur Aktuell'!$D423,INDIRECT(AC$4)))</f>
        <v>0</v>
      </c>
      <c r="AD423" s="593">
        <f ca="1">$E423*(SUMIF(INDIRECT(AD$3),'Struktur Aktuell'!$D423,INDIRECT(AD$4)))</f>
        <v>0</v>
      </c>
      <c r="AE423" s="593">
        <f t="shared" ca="1" si="652"/>
        <v>0</v>
      </c>
      <c r="AF423" s="593">
        <f t="shared" ca="1" si="653"/>
        <v>0</v>
      </c>
      <c r="AG423" s="593">
        <f t="shared" ca="1" si="654"/>
        <v>0</v>
      </c>
      <c r="AH423" s="593">
        <f t="shared" ca="1" si="655"/>
        <v>0</v>
      </c>
      <c r="AI423" s="593">
        <f t="shared" ca="1" si="656"/>
        <v>0</v>
      </c>
      <c r="AJ423" s="593">
        <f t="shared" ca="1" si="657"/>
        <v>0</v>
      </c>
      <c r="AK423" s="593">
        <f t="shared" ca="1" si="658"/>
        <v>0</v>
      </c>
      <c r="AL423" s="593">
        <f t="shared" ca="1" si="659"/>
        <v>0</v>
      </c>
      <c r="AM423" s="593">
        <f t="shared" ca="1" si="660"/>
        <v>0</v>
      </c>
      <c r="AN423" s="593">
        <f t="shared" ca="1" si="661"/>
        <v>0</v>
      </c>
      <c r="AO423" s="593">
        <f t="shared" ca="1" si="662"/>
        <v>0</v>
      </c>
      <c r="AP423" s="593">
        <f t="shared" ca="1" si="663"/>
        <v>0</v>
      </c>
    </row>
    <row r="424" spans="1:42" s="594" customFormat="1" ht="11.25" outlineLevel="1" x14ac:dyDescent="0.2">
      <c r="A424" s="644"/>
      <c r="B424" s="591" t="str">
        <f>IF(D424&lt;&gt;"",
IF(ISERROR(MATCH(D424,'Ist Aktuell Monat 01'!A:A,0))=FALSE,INDEX('Ist Aktuell Monat 01'!B:B,MATCH(D424,'Ist Aktuell Monat 01'!A:A,0)),
IF(ISERROR(MATCH(D424,'Ist Aktuell Monat 02'!A:A,0))=FALSE,INDEX('Ist Aktuell Monat 02'!B:B,MATCH(D424,'Ist Aktuell Monat 02'!A:A,0)),
IF(ISERROR(MATCH(D424,'Ist Aktuell Monat 03'!A:A,0))=FALSE,INDEX('Ist Aktuell Monat 03'!B:B,MATCH(D424,'Ist Aktuell Monat 03'!A:A,0)),
IF(ISERROR(MATCH(D424,'Ist Aktuell Monat 04'!A:A,0))=FALSE,INDEX('Ist Aktuell Monat 04'!B:B,MATCH(D424,'Ist Aktuell Monat 04'!A:A,0)),
IF(ISERROR(MATCH(D424,'Ist Aktuell Monat 05'!A:A,0))=FALSE,INDEX('Ist Aktuell Monat 05'!B:B,MATCH(D424,'Ist Aktuell Monat 05'!A:A,0)),
IF(ISERROR(MATCH(D424,'Ist Aktuell Monat 06'!A:A,0))=FALSE,INDEX('Ist Aktuell Monat 06'!B:B,MATCH(D424,'Ist Aktuell Monat 06'!A:A,0)),
IF(ISERROR(MATCH(D424,'Ist Aktuell Monat 07'!A:A,0))=FALSE,INDEX('Ist Aktuell Monat 07'!B:B,MATCH(D424,'Ist Aktuell Monat 07'!A:A,0)),
IF(ISERROR(MATCH(D424,'Ist Aktuell Monat 08'!A:A,0))=FALSE,INDEX('Ist Aktuell Monat 08'!B:B,MATCH(D424,'Ist Aktuell Monat 08'!A:A,0)),
IF(ISERROR(MATCH(D424,'Ist Aktuell Monat 09'!A:A,0))=FALSE,INDEX('Ist Aktuell Monat 09'!B:B,MATCH(D424,'Ist Aktuell Monat 09'!A:A,0)),
IF(ISERROR(MATCH(D424,'Ist Aktuell Monat 10'!A:A,0))=FALSE,INDEX('Ist Aktuell Monat 10'!B:B,MATCH(D424,'Ist Aktuell Monat 10'!A:A,0)),
IF(ISERROR(MATCH(D424,'Ist Aktuell Monat 11'!A:A,0))=FALSE,INDEX('Ist Aktuell Monat 11'!B:B,MATCH(D424,'Ist Aktuell Monat 11'!A:A,0)),
IF(ISERROR(MATCH(D424,'Ist Aktuell Monat 12'!A:A,0))=FALSE,INDEX('Ist Aktuell Monat 12'!B:B,MATCH(D424,'Ist Aktuell Monat 12'!A:A,0)),
"{Konto unbekannt}"
)))))))))))),"")</f>
        <v/>
      </c>
      <c r="C424" s="1062"/>
      <c r="D424" s="1067"/>
      <c r="E424" s="625">
        <f t="shared" si="664"/>
        <v>1</v>
      </c>
      <c r="F424" s="626"/>
      <c r="G424" s="593">
        <f ca="1">$E424*(SUMIF(INDIRECT(G$3),'Struktur Aktuell'!$D424,INDIRECT(G$4)))</f>
        <v>0</v>
      </c>
      <c r="H424" s="593">
        <f ca="1">$E424*(SUMIF(INDIRECT(H$3),'Struktur Aktuell'!$D424,INDIRECT(H$4)))</f>
        <v>0</v>
      </c>
      <c r="I424" s="593">
        <f ca="1">$E424*(SUMIF(INDIRECT(I$3),'Struktur Aktuell'!$D424,INDIRECT(I$4)))</f>
        <v>0</v>
      </c>
      <c r="J424" s="593">
        <f ca="1">$E424*(SUMIF(INDIRECT(J$3),'Struktur Aktuell'!$D424,INDIRECT(J$4)))</f>
        <v>0</v>
      </c>
      <c r="K424" s="593">
        <f ca="1">$E424*(SUMIF(INDIRECT(K$3),'Struktur Aktuell'!$D424,INDIRECT(K$4)))</f>
        <v>0</v>
      </c>
      <c r="L424" s="593">
        <f ca="1">$E424*(SUMIF(INDIRECT(L$3),'Struktur Aktuell'!$D424,INDIRECT(L$4)))</f>
        <v>0</v>
      </c>
      <c r="M424" s="593">
        <f ca="1">$E424*(SUMIF(INDIRECT(M$3),'Struktur Aktuell'!$D424,INDIRECT(M$4)))</f>
        <v>0</v>
      </c>
      <c r="N424" s="593">
        <f ca="1">$E424*(SUMIF(INDIRECT(N$3),'Struktur Aktuell'!$D424,INDIRECT(N$4)))</f>
        <v>0</v>
      </c>
      <c r="O424" s="593">
        <f ca="1">$E424*(SUMIF(INDIRECT(O$3),'Struktur Aktuell'!$D424,INDIRECT(O$4)))</f>
        <v>0</v>
      </c>
      <c r="P424" s="593">
        <f ca="1">$E424*(SUMIF(INDIRECT(P$3),'Struktur Aktuell'!$D424,INDIRECT(P$4)))</f>
        <v>0</v>
      </c>
      <c r="Q424" s="593">
        <f ca="1">$E424*(SUMIF(INDIRECT(Q$3),'Struktur Aktuell'!$D424,INDIRECT(Q$4)))</f>
        <v>0</v>
      </c>
      <c r="R424" s="593">
        <f ca="1">$E424*(SUMIF(INDIRECT(R$3),'Struktur Aktuell'!$D424,INDIRECT(R$4)))</f>
        <v>0</v>
      </c>
      <c r="S424" s="593">
        <f ca="1">$E424*(SUMIF(INDIRECT(S$3),'Struktur Aktuell'!$D424,INDIRECT(S$4)))</f>
        <v>0</v>
      </c>
      <c r="T424" s="593">
        <f ca="1">$E424*(SUMIF(INDIRECT(T$3),'Struktur Aktuell'!$D424,INDIRECT(T$4)))</f>
        <v>0</v>
      </c>
      <c r="U424" s="593">
        <f ca="1">$E424*(SUMIF(INDIRECT(U$3),'Struktur Aktuell'!$D424,INDIRECT(U$4)))</f>
        <v>0</v>
      </c>
      <c r="V424" s="593">
        <f ca="1">$E424*(SUMIF(INDIRECT(V$3),'Struktur Aktuell'!$D424,INDIRECT(V$4)))</f>
        <v>0</v>
      </c>
      <c r="W424" s="593">
        <f ca="1">$E424*(SUMIF(INDIRECT(W$3),'Struktur Aktuell'!$D424,INDIRECT(W$4)))</f>
        <v>0</v>
      </c>
      <c r="X424" s="593">
        <f ca="1">$E424*(SUMIF(INDIRECT(X$3),'Struktur Aktuell'!$D424,INDIRECT(X$4)))</f>
        <v>0</v>
      </c>
      <c r="Y424" s="593">
        <f ca="1">$E424*(SUMIF(INDIRECT(Y$3),'Struktur Aktuell'!$D424,INDIRECT(Y$4)))</f>
        <v>0</v>
      </c>
      <c r="Z424" s="593">
        <f ca="1">$E424*(SUMIF(INDIRECT(Z$3),'Struktur Aktuell'!$D424,INDIRECT(Z$4)))</f>
        <v>0</v>
      </c>
      <c r="AA424" s="593">
        <f ca="1">$E424*(SUMIF(INDIRECT(AA$3),'Struktur Aktuell'!$D424,INDIRECT(AA$4)))</f>
        <v>0</v>
      </c>
      <c r="AB424" s="593">
        <f ca="1">$E424*(SUMIF(INDIRECT(AB$3),'Struktur Aktuell'!$D424,INDIRECT(AB$4)))</f>
        <v>0</v>
      </c>
      <c r="AC424" s="593">
        <f ca="1">$E424*(SUMIF(INDIRECT(AC$3),'Struktur Aktuell'!$D424,INDIRECT(AC$4)))</f>
        <v>0</v>
      </c>
      <c r="AD424" s="593">
        <f ca="1">$E424*(SUMIF(INDIRECT(AD$3),'Struktur Aktuell'!$D424,INDIRECT(AD$4)))</f>
        <v>0</v>
      </c>
      <c r="AE424" s="593">
        <f t="shared" ca="1" si="652"/>
        <v>0</v>
      </c>
      <c r="AF424" s="593">
        <f t="shared" ca="1" si="653"/>
        <v>0</v>
      </c>
      <c r="AG424" s="593">
        <f t="shared" ca="1" si="654"/>
        <v>0</v>
      </c>
      <c r="AH424" s="593">
        <f t="shared" ca="1" si="655"/>
        <v>0</v>
      </c>
      <c r="AI424" s="593">
        <f t="shared" ca="1" si="656"/>
        <v>0</v>
      </c>
      <c r="AJ424" s="593">
        <f t="shared" ca="1" si="657"/>
        <v>0</v>
      </c>
      <c r="AK424" s="593">
        <f t="shared" ca="1" si="658"/>
        <v>0</v>
      </c>
      <c r="AL424" s="593">
        <f t="shared" ca="1" si="659"/>
        <v>0</v>
      </c>
      <c r="AM424" s="593">
        <f t="shared" ca="1" si="660"/>
        <v>0</v>
      </c>
      <c r="AN424" s="593">
        <f t="shared" ca="1" si="661"/>
        <v>0</v>
      </c>
      <c r="AO424" s="593">
        <f t="shared" ca="1" si="662"/>
        <v>0</v>
      </c>
      <c r="AP424" s="593">
        <f t="shared" ca="1" si="663"/>
        <v>0</v>
      </c>
    </row>
    <row r="425" spans="1:42" s="594" customFormat="1" ht="11.25" x14ac:dyDescent="0.2">
      <c r="A425" s="644"/>
      <c r="B425" s="591" t="str">
        <f>IF(D425&lt;&gt;"",
IF(ISERROR(MATCH(D425,'Ist Aktuell Monat 01'!A:A,0))=FALSE,INDEX('Ist Aktuell Monat 01'!B:B,MATCH(D425,'Ist Aktuell Monat 01'!A:A,0)),
IF(ISERROR(MATCH(D425,'Ist Aktuell Monat 02'!A:A,0))=FALSE,INDEX('Ist Aktuell Monat 02'!B:B,MATCH(D425,'Ist Aktuell Monat 02'!A:A,0)),
IF(ISERROR(MATCH(D425,'Ist Aktuell Monat 03'!A:A,0))=FALSE,INDEX('Ist Aktuell Monat 03'!B:B,MATCH(D425,'Ist Aktuell Monat 03'!A:A,0)),
IF(ISERROR(MATCH(D425,'Ist Aktuell Monat 04'!A:A,0))=FALSE,INDEX('Ist Aktuell Monat 04'!B:B,MATCH(D425,'Ist Aktuell Monat 04'!A:A,0)),
IF(ISERROR(MATCH(D425,'Ist Aktuell Monat 05'!A:A,0))=FALSE,INDEX('Ist Aktuell Monat 05'!B:B,MATCH(D425,'Ist Aktuell Monat 05'!A:A,0)),
IF(ISERROR(MATCH(D425,'Ist Aktuell Monat 06'!A:A,0))=FALSE,INDEX('Ist Aktuell Monat 06'!B:B,MATCH(D425,'Ist Aktuell Monat 06'!A:A,0)),
IF(ISERROR(MATCH(D425,'Ist Aktuell Monat 07'!A:A,0))=FALSE,INDEX('Ist Aktuell Monat 07'!B:B,MATCH(D425,'Ist Aktuell Monat 07'!A:A,0)),
IF(ISERROR(MATCH(D425,'Ist Aktuell Monat 08'!A:A,0))=FALSE,INDEX('Ist Aktuell Monat 08'!B:B,MATCH(D425,'Ist Aktuell Monat 08'!A:A,0)),
IF(ISERROR(MATCH(D425,'Ist Aktuell Monat 09'!A:A,0))=FALSE,INDEX('Ist Aktuell Monat 09'!B:B,MATCH(D425,'Ist Aktuell Monat 09'!A:A,0)),
IF(ISERROR(MATCH(D425,'Ist Aktuell Monat 10'!A:A,0))=FALSE,INDEX('Ist Aktuell Monat 10'!B:B,MATCH(D425,'Ist Aktuell Monat 10'!A:A,0)),
IF(ISERROR(MATCH(D425,'Ist Aktuell Monat 11'!A:A,0))=FALSE,INDEX('Ist Aktuell Monat 11'!B:B,MATCH(D425,'Ist Aktuell Monat 11'!A:A,0)),
IF(ISERROR(MATCH(D425,'Ist Aktuell Monat 12'!A:A,0))=FALSE,INDEX('Ist Aktuell Monat 12'!B:B,MATCH(D425,'Ist Aktuell Monat 12'!A:A,0)),
"{Konto unbekannt}"
)))))))))))),"")</f>
        <v/>
      </c>
      <c r="C425" s="1062"/>
      <c r="D425" s="1067"/>
      <c r="E425" s="625">
        <f t="shared" si="664"/>
        <v>1</v>
      </c>
      <c r="F425" s="626"/>
      <c r="G425" s="593">
        <f ca="1">$E425*(SUMIF(INDIRECT(G$3),'Struktur Aktuell'!$D425,INDIRECT(G$4)))</f>
        <v>0</v>
      </c>
      <c r="H425" s="593">
        <f ca="1">$E425*(SUMIF(INDIRECT(H$3),'Struktur Aktuell'!$D425,INDIRECT(H$4)))</f>
        <v>0</v>
      </c>
      <c r="I425" s="593">
        <f ca="1">$E425*(SUMIF(INDIRECT(I$3),'Struktur Aktuell'!$D425,INDIRECT(I$4)))</f>
        <v>0</v>
      </c>
      <c r="J425" s="593">
        <f ca="1">$E425*(SUMIF(INDIRECT(J$3),'Struktur Aktuell'!$D425,INDIRECT(J$4)))</f>
        <v>0</v>
      </c>
      <c r="K425" s="593">
        <f ca="1">$E425*(SUMIF(INDIRECT(K$3),'Struktur Aktuell'!$D425,INDIRECT(K$4)))</f>
        <v>0</v>
      </c>
      <c r="L425" s="593">
        <f ca="1">$E425*(SUMIF(INDIRECT(L$3),'Struktur Aktuell'!$D425,INDIRECT(L$4)))</f>
        <v>0</v>
      </c>
      <c r="M425" s="593">
        <f ca="1">$E425*(SUMIF(INDIRECT(M$3),'Struktur Aktuell'!$D425,INDIRECT(M$4)))</f>
        <v>0</v>
      </c>
      <c r="N425" s="593">
        <f ca="1">$E425*(SUMIF(INDIRECT(N$3),'Struktur Aktuell'!$D425,INDIRECT(N$4)))</f>
        <v>0</v>
      </c>
      <c r="O425" s="593">
        <f ca="1">$E425*(SUMIF(INDIRECT(O$3),'Struktur Aktuell'!$D425,INDIRECT(O$4)))</f>
        <v>0</v>
      </c>
      <c r="P425" s="593">
        <f ca="1">$E425*(SUMIF(INDIRECT(P$3),'Struktur Aktuell'!$D425,INDIRECT(P$4)))</f>
        <v>0</v>
      </c>
      <c r="Q425" s="593">
        <f ca="1">$E425*(SUMIF(INDIRECT(Q$3),'Struktur Aktuell'!$D425,INDIRECT(Q$4)))</f>
        <v>0</v>
      </c>
      <c r="R425" s="593">
        <f ca="1">$E425*(SUMIF(INDIRECT(R$3),'Struktur Aktuell'!$D425,INDIRECT(R$4)))</f>
        <v>0</v>
      </c>
      <c r="S425" s="593">
        <f ca="1">$E425*(SUMIF(INDIRECT(S$3),'Struktur Aktuell'!$D425,INDIRECT(S$4)))</f>
        <v>0</v>
      </c>
      <c r="T425" s="593">
        <f ca="1">$E425*(SUMIF(INDIRECT(T$3),'Struktur Aktuell'!$D425,INDIRECT(T$4)))</f>
        <v>0</v>
      </c>
      <c r="U425" s="593">
        <f ca="1">$E425*(SUMIF(INDIRECT(U$3),'Struktur Aktuell'!$D425,INDIRECT(U$4)))</f>
        <v>0</v>
      </c>
      <c r="V425" s="593">
        <f ca="1">$E425*(SUMIF(INDIRECT(V$3),'Struktur Aktuell'!$D425,INDIRECT(V$4)))</f>
        <v>0</v>
      </c>
      <c r="W425" s="593">
        <f ca="1">$E425*(SUMIF(INDIRECT(W$3),'Struktur Aktuell'!$D425,INDIRECT(W$4)))</f>
        <v>0</v>
      </c>
      <c r="X425" s="593">
        <f ca="1">$E425*(SUMIF(INDIRECT(X$3),'Struktur Aktuell'!$D425,INDIRECT(X$4)))</f>
        <v>0</v>
      </c>
      <c r="Y425" s="593">
        <f ca="1">$E425*(SUMIF(INDIRECT(Y$3),'Struktur Aktuell'!$D425,INDIRECT(Y$4)))</f>
        <v>0</v>
      </c>
      <c r="Z425" s="593">
        <f ca="1">$E425*(SUMIF(INDIRECT(Z$3),'Struktur Aktuell'!$D425,INDIRECT(Z$4)))</f>
        <v>0</v>
      </c>
      <c r="AA425" s="593">
        <f ca="1">$E425*(SUMIF(INDIRECT(AA$3),'Struktur Aktuell'!$D425,INDIRECT(AA$4)))</f>
        <v>0</v>
      </c>
      <c r="AB425" s="593">
        <f ca="1">$E425*(SUMIF(INDIRECT(AB$3),'Struktur Aktuell'!$D425,INDIRECT(AB$4)))</f>
        <v>0</v>
      </c>
      <c r="AC425" s="593">
        <f ca="1">$E425*(SUMIF(INDIRECT(AC$3),'Struktur Aktuell'!$D425,INDIRECT(AC$4)))</f>
        <v>0</v>
      </c>
      <c r="AD425" s="593">
        <f ca="1">$E425*(SUMIF(INDIRECT(AD$3),'Struktur Aktuell'!$D425,INDIRECT(AD$4)))</f>
        <v>0</v>
      </c>
      <c r="AE425" s="593">
        <f t="shared" ca="1" si="652"/>
        <v>0</v>
      </c>
      <c r="AF425" s="593">
        <f t="shared" ca="1" si="653"/>
        <v>0</v>
      </c>
      <c r="AG425" s="593">
        <f t="shared" ca="1" si="654"/>
        <v>0</v>
      </c>
      <c r="AH425" s="593">
        <f t="shared" ca="1" si="655"/>
        <v>0</v>
      </c>
      <c r="AI425" s="593">
        <f t="shared" ca="1" si="656"/>
        <v>0</v>
      </c>
      <c r="AJ425" s="593">
        <f t="shared" ca="1" si="657"/>
        <v>0</v>
      </c>
      <c r="AK425" s="593">
        <f t="shared" ca="1" si="658"/>
        <v>0</v>
      </c>
      <c r="AL425" s="593">
        <f t="shared" ca="1" si="659"/>
        <v>0</v>
      </c>
      <c r="AM425" s="593">
        <f t="shared" ca="1" si="660"/>
        <v>0</v>
      </c>
      <c r="AN425" s="593">
        <f t="shared" ca="1" si="661"/>
        <v>0</v>
      </c>
      <c r="AO425" s="593">
        <f t="shared" ca="1" si="662"/>
        <v>0</v>
      </c>
      <c r="AP425" s="593">
        <f t="shared" ca="1" si="663"/>
        <v>0</v>
      </c>
    </row>
    <row r="426" spans="1:42" s="594" customFormat="1" ht="11.25" outlineLevel="1" x14ac:dyDescent="0.2">
      <c r="A426" s="644"/>
      <c r="B426" s="591" t="str">
        <f>IF(D426&lt;&gt;"",
IF(ISERROR(MATCH(D426,'Ist Aktuell Monat 01'!A:A,0))=FALSE,INDEX('Ist Aktuell Monat 01'!B:B,MATCH(D426,'Ist Aktuell Monat 01'!A:A,0)),
IF(ISERROR(MATCH(D426,'Ist Aktuell Monat 02'!A:A,0))=FALSE,INDEX('Ist Aktuell Monat 02'!B:B,MATCH(D426,'Ist Aktuell Monat 02'!A:A,0)),
IF(ISERROR(MATCH(D426,'Ist Aktuell Monat 03'!A:A,0))=FALSE,INDEX('Ist Aktuell Monat 03'!B:B,MATCH(D426,'Ist Aktuell Monat 03'!A:A,0)),
IF(ISERROR(MATCH(D426,'Ist Aktuell Monat 04'!A:A,0))=FALSE,INDEX('Ist Aktuell Monat 04'!B:B,MATCH(D426,'Ist Aktuell Monat 04'!A:A,0)),
IF(ISERROR(MATCH(D426,'Ist Aktuell Monat 05'!A:A,0))=FALSE,INDEX('Ist Aktuell Monat 05'!B:B,MATCH(D426,'Ist Aktuell Monat 05'!A:A,0)),
IF(ISERROR(MATCH(D426,'Ist Aktuell Monat 06'!A:A,0))=FALSE,INDEX('Ist Aktuell Monat 06'!B:B,MATCH(D426,'Ist Aktuell Monat 06'!A:A,0)),
IF(ISERROR(MATCH(D426,'Ist Aktuell Monat 07'!A:A,0))=FALSE,INDEX('Ist Aktuell Monat 07'!B:B,MATCH(D426,'Ist Aktuell Monat 07'!A:A,0)),
IF(ISERROR(MATCH(D426,'Ist Aktuell Monat 08'!A:A,0))=FALSE,INDEX('Ist Aktuell Monat 08'!B:B,MATCH(D426,'Ist Aktuell Monat 08'!A:A,0)),
IF(ISERROR(MATCH(D426,'Ist Aktuell Monat 09'!A:A,0))=FALSE,INDEX('Ist Aktuell Monat 09'!B:B,MATCH(D426,'Ist Aktuell Monat 09'!A:A,0)),
IF(ISERROR(MATCH(D426,'Ist Aktuell Monat 10'!A:A,0))=FALSE,INDEX('Ist Aktuell Monat 10'!B:B,MATCH(D426,'Ist Aktuell Monat 10'!A:A,0)),
IF(ISERROR(MATCH(D426,'Ist Aktuell Monat 11'!A:A,0))=FALSE,INDEX('Ist Aktuell Monat 11'!B:B,MATCH(D426,'Ist Aktuell Monat 11'!A:A,0)),
IF(ISERROR(MATCH(D426,'Ist Aktuell Monat 12'!A:A,0))=FALSE,INDEX('Ist Aktuell Monat 12'!B:B,MATCH(D426,'Ist Aktuell Monat 12'!A:A,0)),
"{Konto unbekannt}"
)))))))))))),"")</f>
        <v/>
      </c>
      <c r="C426" s="1062"/>
      <c r="D426" s="1067"/>
      <c r="E426" s="625">
        <f t="shared" si="664"/>
        <v>1</v>
      </c>
      <c r="F426" s="626"/>
      <c r="G426" s="593">
        <f ca="1">$E426*(SUMIF(INDIRECT(G$3),'Struktur Aktuell'!$D426,INDIRECT(G$4)))</f>
        <v>0</v>
      </c>
      <c r="H426" s="593">
        <f ca="1">$E426*(SUMIF(INDIRECT(H$3),'Struktur Aktuell'!$D426,INDIRECT(H$4)))</f>
        <v>0</v>
      </c>
      <c r="I426" s="593">
        <f ca="1">$E426*(SUMIF(INDIRECT(I$3),'Struktur Aktuell'!$D426,INDIRECT(I$4)))</f>
        <v>0</v>
      </c>
      <c r="J426" s="593">
        <f ca="1">$E426*(SUMIF(INDIRECT(J$3),'Struktur Aktuell'!$D426,INDIRECT(J$4)))</f>
        <v>0</v>
      </c>
      <c r="K426" s="593">
        <f ca="1">$E426*(SUMIF(INDIRECT(K$3),'Struktur Aktuell'!$D426,INDIRECT(K$4)))</f>
        <v>0</v>
      </c>
      <c r="L426" s="593">
        <f ca="1">$E426*(SUMIF(INDIRECT(L$3),'Struktur Aktuell'!$D426,INDIRECT(L$4)))</f>
        <v>0</v>
      </c>
      <c r="M426" s="593">
        <f ca="1">$E426*(SUMIF(INDIRECT(M$3),'Struktur Aktuell'!$D426,INDIRECT(M$4)))</f>
        <v>0</v>
      </c>
      <c r="N426" s="593">
        <f ca="1">$E426*(SUMIF(INDIRECT(N$3),'Struktur Aktuell'!$D426,INDIRECT(N$4)))</f>
        <v>0</v>
      </c>
      <c r="O426" s="838">
        <f ca="1">$E426*(SUMIF(INDIRECT(O$3),'Struktur Aktuell'!$D426,INDIRECT(O$4)))</f>
        <v>0</v>
      </c>
      <c r="P426" s="593">
        <f ca="1">$E426*(SUMIF(INDIRECT(P$3),'Struktur Aktuell'!$D426,INDIRECT(P$4)))</f>
        <v>0</v>
      </c>
      <c r="Q426" s="593">
        <f ca="1">$E426*(SUMIF(INDIRECT(Q$3),'Struktur Aktuell'!$D426,INDIRECT(Q$4)))</f>
        <v>0</v>
      </c>
      <c r="R426" s="593">
        <f ca="1">$E426*(SUMIF(INDIRECT(R$3),'Struktur Aktuell'!$D426,INDIRECT(R$4)))</f>
        <v>0</v>
      </c>
      <c r="S426" s="593">
        <f ca="1">$E426*(SUMIF(INDIRECT(S$3),'Struktur Aktuell'!$D426,INDIRECT(S$4)))</f>
        <v>0</v>
      </c>
      <c r="T426" s="593">
        <f ca="1">$E426*(SUMIF(INDIRECT(T$3),'Struktur Aktuell'!$D426,INDIRECT(T$4)))</f>
        <v>0</v>
      </c>
      <c r="U426" s="593">
        <f ca="1">$E426*(SUMIF(INDIRECT(U$3),'Struktur Aktuell'!$D426,INDIRECT(U$4)))</f>
        <v>0</v>
      </c>
      <c r="V426" s="593">
        <f ca="1">$E426*(SUMIF(INDIRECT(V$3),'Struktur Aktuell'!$D426,INDIRECT(V$4)))</f>
        <v>0</v>
      </c>
      <c r="W426" s="593">
        <f ca="1">$E426*(SUMIF(INDIRECT(W$3),'Struktur Aktuell'!$D426,INDIRECT(W$4)))</f>
        <v>0</v>
      </c>
      <c r="X426" s="593">
        <f ca="1">$E426*(SUMIF(INDIRECT(X$3),'Struktur Aktuell'!$D426,INDIRECT(X$4)))</f>
        <v>0</v>
      </c>
      <c r="Y426" s="593">
        <f ca="1">$E426*(SUMIF(INDIRECT(Y$3),'Struktur Aktuell'!$D426,INDIRECT(Y$4)))</f>
        <v>0</v>
      </c>
      <c r="Z426" s="593">
        <f ca="1">$E426*(SUMIF(INDIRECT(Z$3),'Struktur Aktuell'!$D426,INDIRECT(Z$4)))</f>
        <v>0</v>
      </c>
      <c r="AA426" s="838">
        <f ca="1">$E426*(SUMIF(INDIRECT(AA$3),'Struktur Aktuell'!$D426,INDIRECT(AA$4)))</f>
        <v>0</v>
      </c>
      <c r="AB426" s="593">
        <f ca="1">$E426*(SUMIF(INDIRECT(AB$3),'Struktur Aktuell'!$D426,INDIRECT(AB$4)))</f>
        <v>0</v>
      </c>
      <c r="AC426" s="593">
        <f ca="1">$E426*(SUMIF(INDIRECT(AC$3),'Struktur Aktuell'!$D426,INDIRECT(AC$4)))</f>
        <v>0</v>
      </c>
      <c r="AD426" s="593">
        <f ca="1">$E426*(SUMIF(INDIRECT(AD$3),'Struktur Aktuell'!$D426,INDIRECT(AD$4)))</f>
        <v>0</v>
      </c>
      <c r="AE426" s="593">
        <f t="shared" ca="1" si="652"/>
        <v>0</v>
      </c>
      <c r="AF426" s="593">
        <f t="shared" ca="1" si="653"/>
        <v>0</v>
      </c>
      <c r="AG426" s="593">
        <f t="shared" ca="1" si="654"/>
        <v>0</v>
      </c>
      <c r="AH426" s="593">
        <f t="shared" ca="1" si="655"/>
        <v>0</v>
      </c>
      <c r="AI426" s="593">
        <f t="shared" ca="1" si="656"/>
        <v>0</v>
      </c>
      <c r="AJ426" s="593">
        <f t="shared" ca="1" si="657"/>
        <v>0</v>
      </c>
      <c r="AK426" s="593">
        <f t="shared" ca="1" si="658"/>
        <v>0</v>
      </c>
      <c r="AL426" s="593">
        <f t="shared" ca="1" si="659"/>
        <v>0</v>
      </c>
      <c r="AM426" s="593">
        <f t="shared" ca="1" si="660"/>
        <v>0</v>
      </c>
      <c r="AN426" s="593">
        <f t="shared" ca="1" si="661"/>
        <v>0</v>
      </c>
      <c r="AO426" s="593">
        <f t="shared" ca="1" si="662"/>
        <v>0</v>
      </c>
      <c r="AP426" s="593">
        <f t="shared" ca="1" si="663"/>
        <v>0</v>
      </c>
    </row>
    <row r="427" spans="1:42" s="594" customFormat="1" ht="11.25" outlineLevel="1" x14ac:dyDescent="0.2">
      <c r="A427" s="644"/>
      <c r="B427" s="591" t="str">
        <f>IF(D427&lt;&gt;"",
IF(ISERROR(MATCH(D427,'Ist Aktuell Monat 01'!A:A,0))=FALSE,INDEX('Ist Aktuell Monat 01'!B:B,MATCH(D427,'Ist Aktuell Monat 01'!A:A,0)),
IF(ISERROR(MATCH(D427,'Ist Aktuell Monat 02'!A:A,0))=FALSE,INDEX('Ist Aktuell Monat 02'!B:B,MATCH(D427,'Ist Aktuell Monat 02'!A:A,0)),
IF(ISERROR(MATCH(D427,'Ist Aktuell Monat 03'!A:A,0))=FALSE,INDEX('Ist Aktuell Monat 03'!B:B,MATCH(D427,'Ist Aktuell Monat 03'!A:A,0)),
IF(ISERROR(MATCH(D427,'Ist Aktuell Monat 04'!A:A,0))=FALSE,INDEX('Ist Aktuell Monat 04'!B:B,MATCH(D427,'Ist Aktuell Monat 04'!A:A,0)),
IF(ISERROR(MATCH(D427,'Ist Aktuell Monat 05'!A:A,0))=FALSE,INDEX('Ist Aktuell Monat 05'!B:B,MATCH(D427,'Ist Aktuell Monat 05'!A:A,0)),
IF(ISERROR(MATCH(D427,'Ist Aktuell Monat 06'!A:A,0))=FALSE,INDEX('Ist Aktuell Monat 06'!B:B,MATCH(D427,'Ist Aktuell Monat 06'!A:A,0)),
IF(ISERROR(MATCH(D427,'Ist Aktuell Monat 07'!A:A,0))=FALSE,INDEX('Ist Aktuell Monat 07'!B:B,MATCH(D427,'Ist Aktuell Monat 07'!A:A,0)),
IF(ISERROR(MATCH(D427,'Ist Aktuell Monat 08'!A:A,0))=FALSE,INDEX('Ist Aktuell Monat 08'!B:B,MATCH(D427,'Ist Aktuell Monat 08'!A:A,0)),
IF(ISERROR(MATCH(D427,'Ist Aktuell Monat 09'!A:A,0))=FALSE,INDEX('Ist Aktuell Monat 09'!B:B,MATCH(D427,'Ist Aktuell Monat 09'!A:A,0)),
IF(ISERROR(MATCH(D427,'Ist Aktuell Monat 10'!A:A,0))=FALSE,INDEX('Ist Aktuell Monat 10'!B:B,MATCH(D427,'Ist Aktuell Monat 10'!A:A,0)),
IF(ISERROR(MATCH(D427,'Ist Aktuell Monat 11'!A:A,0))=FALSE,INDEX('Ist Aktuell Monat 11'!B:B,MATCH(D427,'Ist Aktuell Monat 11'!A:A,0)),
IF(ISERROR(MATCH(D427,'Ist Aktuell Monat 12'!A:A,0))=FALSE,INDEX('Ist Aktuell Monat 12'!B:B,MATCH(D427,'Ist Aktuell Monat 12'!A:A,0)),
"{Konto unbekannt}"
)))))))))))),"")</f>
        <v/>
      </c>
      <c r="C427" s="1062"/>
      <c r="D427" s="1067"/>
      <c r="E427" s="625">
        <f t="shared" si="664"/>
        <v>1</v>
      </c>
      <c r="F427" s="626"/>
      <c r="G427" s="593">
        <f ca="1">$E427*(SUMIF(INDIRECT(G$3),'Struktur Aktuell'!$D427,INDIRECT(G$4)))</f>
        <v>0</v>
      </c>
      <c r="H427" s="593">
        <f ca="1">$E427*(SUMIF(INDIRECT(H$3),'Struktur Aktuell'!$D427,INDIRECT(H$4)))</f>
        <v>0</v>
      </c>
      <c r="I427" s="593">
        <f ca="1">$E427*(SUMIF(INDIRECT(I$3),'Struktur Aktuell'!$D427,INDIRECT(I$4)))</f>
        <v>0</v>
      </c>
      <c r="J427" s="593">
        <f ca="1">$E427*(SUMIF(INDIRECT(J$3),'Struktur Aktuell'!$D427,INDIRECT(J$4)))</f>
        <v>0</v>
      </c>
      <c r="K427" s="593">
        <f ca="1">$E427*(SUMIF(INDIRECT(K$3),'Struktur Aktuell'!$D427,INDIRECT(K$4)))</f>
        <v>0</v>
      </c>
      <c r="L427" s="593">
        <f ca="1">$E427*(SUMIF(INDIRECT(L$3),'Struktur Aktuell'!$D427,INDIRECT(L$4)))</f>
        <v>0</v>
      </c>
      <c r="M427" s="593">
        <f ca="1">$E427*(SUMIF(INDIRECT(M$3),'Struktur Aktuell'!$D427,INDIRECT(M$4)))</f>
        <v>0</v>
      </c>
      <c r="N427" s="593">
        <f ca="1">$E427*(SUMIF(INDIRECT(N$3),'Struktur Aktuell'!$D427,INDIRECT(N$4)))</f>
        <v>0</v>
      </c>
      <c r="O427" s="838">
        <f ca="1">$E427*(SUMIF(INDIRECT(O$3),'Struktur Aktuell'!$D427,INDIRECT(O$4)))</f>
        <v>0</v>
      </c>
      <c r="P427" s="593">
        <f ca="1">$E427*(SUMIF(INDIRECT(P$3),'Struktur Aktuell'!$D427,INDIRECT(P$4)))</f>
        <v>0</v>
      </c>
      <c r="Q427" s="593">
        <f ca="1">$E427*(SUMIF(INDIRECT(Q$3),'Struktur Aktuell'!$D427,INDIRECT(Q$4)))</f>
        <v>0</v>
      </c>
      <c r="R427" s="593">
        <f ca="1">$E427*(SUMIF(INDIRECT(R$3),'Struktur Aktuell'!$D427,INDIRECT(R$4)))</f>
        <v>0</v>
      </c>
      <c r="S427" s="593">
        <f ca="1">$E427*(SUMIF(INDIRECT(S$3),'Struktur Aktuell'!$D427,INDIRECT(S$4)))</f>
        <v>0</v>
      </c>
      <c r="T427" s="593">
        <f ca="1">$E427*(SUMIF(INDIRECT(T$3),'Struktur Aktuell'!$D427,INDIRECT(T$4)))</f>
        <v>0</v>
      </c>
      <c r="U427" s="593">
        <f ca="1">$E427*(SUMIF(INDIRECT(U$3),'Struktur Aktuell'!$D427,INDIRECT(U$4)))</f>
        <v>0</v>
      </c>
      <c r="V427" s="593">
        <f ca="1">$E427*(SUMIF(INDIRECT(V$3),'Struktur Aktuell'!$D427,INDIRECT(V$4)))</f>
        <v>0</v>
      </c>
      <c r="W427" s="593">
        <f ca="1">$E427*(SUMIF(INDIRECT(W$3),'Struktur Aktuell'!$D427,INDIRECT(W$4)))</f>
        <v>0</v>
      </c>
      <c r="X427" s="593">
        <f ca="1">$E427*(SUMIF(INDIRECT(X$3),'Struktur Aktuell'!$D427,INDIRECT(X$4)))</f>
        <v>0</v>
      </c>
      <c r="Y427" s="593">
        <f ca="1">$E427*(SUMIF(INDIRECT(Y$3),'Struktur Aktuell'!$D427,INDIRECT(Y$4)))</f>
        <v>0</v>
      </c>
      <c r="Z427" s="593">
        <f ca="1">$E427*(SUMIF(INDIRECT(Z$3),'Struktur Aktuell'!$D427,INDIRECT(Z$4)))</f>
        <v>0</v>
      </c>
      <c r="AA427" s="838">
        <f ca="1">$E427*(SUMIF(INDIRECT(AA$3),'Struktur Aktuell'!$D427,INDIRECT(AA$4)))</f>
        <v>0</v>
      </c>
      <c r="AB427" s="593">
        <f ca="1">$E427*(SUMIF(INDIRECT(AB$3),'Struktur Aktuell'!$D427,INDIRECT(AB$4)))</f>
        <v>0</v>
      </c>
      <c r="AC427" s="593">
        <f ca="1">$E427*(SUMIF(INDIRECT(AC$3),'Struktur Aktuell'!$D427,INDIRECT(AC$4)))</f>
        <v>0</v>
      </c>
      <c r="AD427" s="593">
        <f ca="1">$E427*(SUMIF(INDIRECT(AD$3),'Struktur Aktuell'!$D427,INDIRECT(AD$4)))</f>
        <v>0</v>
      </c>
      <c r="AE427" s="593">
        <f t="shared" ca="1" si="652"/>
        <v>0</v>
      </c>
      <c r="AF427" s="593">
        <f t="shared" ca="1" si="653"/>
        <v>0</v>
      </c>
      <c r="AG427" s="593">
        <f t="shared" ca="1" si="654"/>
        <v>0</v>
      </c>
      <c r="AH427" s="593">
        <f t="shared" ca="1" si="655"/>
        <v>0</v>
      </c>
      <c r="AI427" s="593">
        <f t="shared" ca="1" si="656"/>
        <v>0</v>
      </c>
      <c r="AJ427" s="593">
        <f t="shared" ca="1" si="657"/>
        <v>0</v>
      </c>
      <c r="AK427" s="593">
        <f t="shared" ca="1" si="658"/>
        <v>0</v>
      </c>
      <c r="AL427" s="593">
        <f t="shared" ca="1" si="659"/>
        <v>0</v>
      </c>
      <c r="AM427" s="593">
        <f t="shared" ca="1" si="660"/>
        <v>0</v>
      </c>
      <c r="AN427" s="593">
        <f t="shared" ca="1" si="661"/>
        <v>0</v>
      </c>
      <c r="AO427" s="593">
        <f t="shared" ca="1" si="662"/>
        <v>0</v>
      </c>
      <c r="AP427" s="593">
        <f t="shared" ca="1" si="663"/>
        <v>0</v>
      </c>
    </row>
    <row r="428" spans="1:42" s="594" customFormat="1" ht="11.25" outlineLevel="1" x14ac:dyDescent="0.2">
      <c r="A428" s="644"/>
      <c r="B428" s="591" t="str">
        <f>IF(D428&lt;&gt;"",
IF(ISERROR(MATCH(D428,'Ist Aktuell Monat 01'!A:A,0))=FALSE,INDEX('Ist Aktuell Monat 01'!B:B,MATCH(D428,'Ist Aktuell Monat 01'!A:A,0)),
IF(ISERROR(MATCH(D428,'Ist Aktuell Monat 02'!A:A,0))=FALSE,INDEX('Ist Aktuell Monat 02'!B:B,MATCH(D428,'Ist Aktuell Monat 02'!A:A,0)),
IF(ISERROR(MATCH(D428,'Ist Aktuell Monat 03'!A:A,0))=FALSE,INDEX('Ist Aktuell Monat 03'!B:B,MATCH(D428,'Ist Aktuell Monat 03'!A:A,0)),
IF(ISERROR(MATCH(D428,'Ist Aktuell Monat 04'!A:A,0))=FALSE,INDEX('Ist Aktuell Monat 04'!B:B,MATCH(D428,'Ist Aktuell Monat 04'!A:A,0)),
IF(ISERROR(MATCH(D428,'Ist Aktuell Monat 05'!A:A,0))=FALSE,INDEX('Ist Aktuell Monat 05'!B:B,MATCH(D428,'Ist Aktuell Monat 05'!A:A,0)),
IF(ISERROR(MATCH(D428,'Ist Aktuell Monat 06'!A:A,0))=FALSE,INDEX('Ist Aktuell Monat 06'!B:B,MATCH(D428,'Ist Aktuell Monat 06'!A:A,0)),
IF(ISERROR(MATCH(D428,'Ist Aktuell Monat 07'!A:A,0))=FALSE,INDEX('Ist Aktuell Monat 07'!B:B,MATCH(D428,'Ist Aktuell Monat 07'!A:A,0)),
IF(ISERROR(MATCH(D428,'Ist Aktuell Monat 08'!A:A,0))=FALSE,INDEX('Ist Aktuell Monat 08'!B:B,MATCH(D428,'Ist Aktuell Monat 08'!A:A,0)),
IF(ISERROR(MATCH(D428,'Ist Aktuell Monat 09'!A:A,0))=FALSE,INDEX('Ist Aktuell Monat 09'!B:B,MATCH(D428,'Ist Aktuell Monat 09'!A:A,0)),
IF(ISERROR(MATCH(D428,'Ist Aktuell Monat 10'!A:A,0))=FALSE,INDEX('Ist Aktuell Monat 10'!B:B,MATCH(D428,'Ist Aktuell Monat 10'!A:A,0)),
IF(ISERROR(MATCH(D428,'Ist Aktuell Monat 11'!A:A,0))=FALSE,INDEX('Ist Aktuell Monat 11'!B:B,MATCH(D428,'Ist Aktuell Monat 11'!A:A,0)),
IF(ISERROR(MATCH(D428,'Ist Aktuell Monat 12'!A:A,0))=FALSE,INDEX('Ist Aktuell Monat 12'!B:B,MATCH(D428,'Ist Aktuell Monat 12'!A:A,0)),
"{Konto unbekannt}"
)))))))))))),"")</f>
        <v/>
      </c>
      <c r="C428" s="1062"/>
      <c r="D428" s="1067"/>
      <c r="E428" s="625">
        <f t="shared" si="602"/>
        <v>1</v>
      </c>
      <c r="F428" s="626"/>
      <c r="G428" s="593">
        <f ca="1">$E428*(SUMIF(INDIRECT(G$3),'Struktur Aktuell'!$D428,INDIRECT(G$4)))</f>
        <v>0</v>
      </c>
      <c r="H428" s="593">
        <f ca="1">$E428*(SUMIF(INDIRECT(H$3),'Struktur Aktuell'!$D428,INDIRECT(H$4)))</f>
        <v>0</v>
      </c>
      <c r="I428" s="593">
        <f ca="1">$E428*(SUMIF(INDIRECT(I$3),'Struktur Aktuell'!$D428,INDIRECT(I$4)))</f>
        <v>0</v>
      </c>
      <c r="J428" s="593">
        <f ca="1">$E428*(SUMIF(INDIRECT(J$3),'Struktur Aktuell'!$D428,INDIRECT(J$4)))</f>
        <v>0</v>
      </c>
      <c r="K428" s="593">
        <f ca="1">$E428*(SUMIF(INDIRECT(K$3),'Struktur Aktuell'!$D428,INDIRECT(K$4)))</f>
        <v>0</v>
      </c>
      <c r="L428" s="593">
        <f ca="1">$E428*(SUMIF(INDIRECT(L$3),'Struktur Aktuell'!$D428,INDIRECT(L$4)))</f>
        <v>0</v>
      </c>
      <c r="M428" s="593">
        <f ca="1">$E428*(SUMIF(INDIRECT(M$3),'Struktur Aktuell'!$D428,INDIRECT(M$4)))</f>
        <v>0</v>
      </c>
      <c r="N428" s="593">
        <f ca="1">$E428*(SUMIF(INDIRECT(N$3),'Struktur Aktuell'!$D428,INDIRECT(N$4)))</f>
        <v>0</v>
      </c>
      <c r="O428" s="593">
        <f ca="1">$E428*(SUMIF(INDIRECT(O$3),'Struktur Aktuell'!$D428,INDIRECT(O$4)))</f>
        <v>0</v>
      </c>
      <c r="P428" s="593">
        <f ca="1">$E428*(SUMIF(INDIRECT(P$3),'Struktur Aktuell'!$D428,INDIRECT(P$4)))</f>
        <v>0</v>
      </c>
      <c r="Q428" s="593">
        <f ca="1">$E428*(SUMIF(INDIRECT(Q$3),'Struktur Aktuell'!$D428,INDIRECT(Q$4)))</f>
        <v>0</v>
      </c>
      <c r="R428" s="593">
        <f ca="1">$E428*(SUMIF(INDIRECT(R$3),'Struktur Aktuell'!$D428,INDIRECT(R$4)))</f>
        <v>0</v>
      </c>
      <c r="S428" s="593">
        <f ca="1">$E428*(SUMIF(INDIRECT(S$3),'Struktur Aktuell'!$D428,INDIRECT(S$4)))</f>
        <v>0</v>
      </c>
      <c r="T428" s="593">
        <f ca="1">$E428*(SUMIF(INDIRECT(T$3),'Struktur Aktuell'!$D428,INDIRECT(T$4)))</f>
        <v>0</v>
      </c>
      <c r="U428" s="593">
        <f ca="1">$E428*(SUMIF(INDIRECT(U$3),'Struktur Aktuell'!$D428,INDIRECT(U$4)))</f>
        <v>0</v>
      </c>
      <c r="V428" s="593">
        <f ca="1">$E428*(SUMIF(INDIRECT(V$3),'Struktur Aktuell'!$D428,INDIRECT(V$4)))</f>
        <v>0</v>
      </c>
      <c r="W428" s="593">
        <f ca="1">$E428*(SUMIF(INDIRECT(W$3),'Struktur Aktuell'!$D428,INDIRECT(W$4)))</f>
        <v>0</v>
      </c>
      <c r="X428" s="593">
        <f ca="1">$E428*(SUMIF(INDIRECT(X$3),'Struktur Aktuell'!$D428,INDIRECT(X$4)))</f>
        <v>0</v>
      </c>
      <c r="Y428" s="593">
        <f ca="1">$E428*(SUMIF(INDIRECT(Y$3),'Struktur Aktuell'!$D428,INDIRECT(Y$4)))</f>
        <v>0</v>
      </c>
      <c r="Z428" s="593">
        <f ca="1">$E428*(SUMIF(INDIRECT(Z$3),'Struktur Aktuell'!$D428,INDIRECT(Z$4)))</f>
        <v>0</v>
      </c>
      <c r="AA428" s="593">
        <f ca="1">$E428*(SUMIF(INDIRECT(AA$3),'Struktur Aktuell'!$D428,INDIRECT(AA$4)))</f>
        <v>0</v>
      </c>
      <c r="AB428" s="593">
        <f ca="1">$E428*(SUMIF(INDIRECT(AB$3),'Struktur Aktuell'!$D428,INDIRECT(AB$4)))</f>
        <v>0</v>
      </c>
      <c r="AC428" s="593">
        <f ca="1">$E428*(SUMIF(INDIRECT(AC$3),'Struktur Aktuell'!$D428,INDIRECT(AC$4)))</f>
        <v>0</v>
      </c>
      <c r="AD428" s="593">
        <f ca="1">$E428*(SUMIF(INDIRECT(AD$3),'Struktur Aktuell'!$D428,INDIRECT(AD$4)))</f>
        <v>0</v>
      </c>
      <c r="AE428" s="593">
        <f t="shared" ca="1" si="652"/>
        <v>0</v>
      </c>
      <c r="AF428" s="593">
        <f t="shared" ca="1" si="653"/>
        <v>0</v>
      </c>
      <c r="AG428" s="593">
        <f t="shared" ca="1" si="654"/>
        <v>0</v>
      </c>
      <c r="AH428" s="593">
        <f t="shared" ca="1" si="655"/>
        <v>0</v>
      </c>
      <c r="AI428" s="593">
        <f t="shared" ca="1" si="656"/>
        <v>0</v>
      </c>
      <c r="AJ428" s="593">
        <f t="shared" ca="1" si="657"/>
        <v>0</v>
      </c>
      <c r="AK428" s="593">
        <f t="shared" ca="1" si="658"/>
        <v>0</v>
      </c>
      <c r="AL428" s="593">
        <f t="shared" ca="1" si="659"/>
        <v>0</v>
      </c>
      <c r="AM428" s="593">
        <f t="shared" ca="1" si="660"/>
        <v>0</v>
      </c>
      <c r="AN428" s="593">
        <f t="shared" ca="1" si="661"/>
        <v>0</v>
      </c>
      <c r="AO428" s="593">
        <f t="shared" ca="1" si="662"/>
        <v>0</v>
      </c>
      <c r="AP428" s="593">
        <f t="shared" ca="1" si="663"/>
        <v>0</v>
      </c>
    </row>
    <row r="429" spans="1:42" s="589" customFormat="1" outlineLevel="1" x14ac:dyDescent="0.2">
      <c r="A429" s="629">
        <v>40</v>
      </c>
      <c r="B429" s="623" t="s">
        <v>859</v>
      </c>
      <c r="C429" s="627">
        <f ca="1">SUM(G429:R429)</f>
        <v>0</v>
      </c>
      <c r="D429" s="627"/>
      <c r="E429" s="628">
        <f t="shared" si="602"/>
        <v>1</v>
      </c>
      <c r="F429" s="629"/>
      <c r="G429" s="627">
        <f ca="1">SUM(G430:G441)</f>
        <v>0</v>
      </c>
      <c r="H429" s="627">
        <f ca="1">SUM(H430:H441)</f>
        <v>0</v>
      </c>
      <c r="I429" s="627">
        <f t="shared" ref="I429:R429" ca="1" si="665">SUM(I430:I441)</f>
        <v>0</v>
      </c>
      <c r="J429" s="627">
        <f t="shared" ca="1" si="665"/>
        <v>0</v>
      </c>
      <c r="K429" s="627">
        <f t="shared" ca="1" si="665"/>
        <v>0</v>
      </c>
      <c r="L429" s="627">
        <f t="shared" ca="1" si="665"/>
        <v>0</v>
      </c>
      <c r="M429" s="627">
        <f t="shared" ca="1" si="665"/>
        <v>0</v>
      </c>
      <c r="N429" s="627">
        <f t="shared" ca="1" si="665"/>
        <v>0</v>
      </c>
      <c r="O429" s="627">
        <f t="shared" ca="1" si="665"/>
        <v>0</v>
      </c>
      <c r="P429" s="627">
        <f t="shared" ca="1" si="665"/>
        <v>0</v>
      </c>
      <c r="Q429" s="627">
        <f t="shared" ca="1" si="665"/>
        <v>0</v>
      </c>
      <c r="R429" s="627">
        <f t="shared" ca="1" si="665"/>
        <v>0</v>
      </c>
      <c r="S429" s="627">
        <f ca="1">SUM(S430:S441)</f>
        <v>0</v>
      </c>
      <c r="T429" s="627">
        <f ca="1">SUM(T430:T441)</f>
        <v>0</v>
      </c>
      <c r="U429" s="627">
        <f t="shared" ref="U429:AD429" ca="1" si="666">SUM(U430:U441)</f>
        <v>0</v>
      </c>
      <c r="V429" s="627">
        <f t="shared" ca="1" si="666"/>
        <v>0</v>
      </c>
      <c r="W429" s="627">
        <f t="shared" ca="1" si="666"/>
        <v>0</v>
      </c>
      <c r="X429" s="627">
        <f t="shared" ca="1" si="666"/>
        <v>0</v>
      </c>
      <c r="Y429" s="627">
        <f t="shared" ca="1" si="666"/>
        <v>0</v>
      </c>
      <c r="Z429" s="627">
        <f t="shared" ca="1" si="666"/>
        <v>0</v>
      </c>
      <c r="AA429" s="627">
        <f t="shared" ca="1" si="666"/>
        <v>0</v>
      </c>
      <c r="AB429" s="627">
        <f t="shared" ca="1" si="666"/>
        <v>0</v>
      </c>
      <c r="AC429" s="627">
        <f t="shared" ca="1" si="666"/>
        <v>0</v>
      </c>
      <c r="AD429" s="627">
        <f t="shared" ca="1" si="666"/>
        <v>0</v>
      </c>
      <c r="AE429" s="627">
        <f ca="1">SUM(AE430:AE441)</f>
        <v>0</v>
      </c>
      <c r="AF429" s="627">
        <f ca="1">SUM(AF430:AF441)</f>
        <v>0</v>
      </c>
      <c r="AG429" s="627">
        <f t="shared" ref="AG429:AP429" ca="1" si="667">SUM(AG430:AG441)</f>
        <v>0</v>
      </c>
      <c r="AH429" s="627">
        <f t="shared" ca="1" si="667"/>
        <v>0</v>
      </c>
      <c r="AI429" s="627">
        <f t="shared" ca="1" si="667"/>
        <v>0</v>
      </c>
      <c r="AJ429" s="627">
        <f t="shared" ca="1" si="667"/>
        <v>0</v>
      </c>
      <c r="AK429" s="627">
        <f t="shared" ca="1" si="667"/>
        <v>0</v>
      </c>
      <c r="AL429" s="627">
        <f t="shared" ca="1" si="667"/>
        <v>0</v>
      </c>
      <c r="AM429" s="627">
        <f t="shared" ca="1" si="667"/>
        <v>0</v>
      </c>
      <c r="AN429" s="627">
        <f t="shared" ca="1" si="667"/>
        <v>0</v>
      </c>
      <c r="AO429" s="627">
        <f t="shared" ca="1" si="667"/>
        <v>0</v>
      </c>
      <c r="AP429" s="627">
        <f t="shared" ca="1" si="667"/>
        <v>0</v>
      </c>
    </row>
    <row r="430" spans="1:42" s="594" customFormat="1" ht="11.25" outlineLevel="1" x14ac:dyDescent="0.2">
      <c r="A430" s="644"/>
      <c r="B430" s="591" t="str">
        <f>IF(D430&lt;&gt;"",
IF(ISERROR(MATCH(D430,'Ist Aktuell Monat 01'!A:A,0))=FALSE,INDEX('Ist Aktuell Monat 01'!B:B,MATCH(D430,'Ist Aktuell Monat 01'!A:A,0)),
IF(ISERROR(MATCH(D430,'Ist Aktuell Monat 02'!A:A,0))=FALSE,INDEX('Ist Aktuell Monat 02'!B:B,MATCH(D430,'Ist Aktuell Monat 02'!A:A,0)),
IF(ISERROR(MATCH(D430,'Ist Aktuell Monat 03'!A:A,0))=FALSE,INDEX('Ist Aktuell Monat 03'!B:B,MATCH(D430,'Ist Aktuell Monat 03'!A:A,0)),
IF(ISERROR(MATCH(D430,'Ist Aktuell Monat 04'!A:A,0))=FALSE,INDEX('Ist Aktuell Monat 04'!B:B,MATCH(D430,'Ist Aktuell Monat 04'!A:A,0)),
IF(ISERROR(MATCH(D430,'Ist Aktuell Monat 05'!A:A,0))=FALSE,INDEX('Ist Aktuell Monat 05'!B:B,MATCH(D430,'Ist Aktuell Monat 05'!A:A,0)),
IF(ISERROR(MATCH(D430,'Ist Aktuell Monat 06'!A:A,0))=FALSE,INDEX('Ist Aktuell Monat 06'!B:B,MATCH(D430,'Ist Aktuell Monat 06'!A:A,0)),
IF(ISERROR(MATCH(D430,'Ist Aktuell Monat 07'!A:A,0))=FALSE,INDEX('Ist Aktuell Monat 07'!B:B,MATCH(D430,'Ist Aktuell Monat 07'!A:A,0)),
IF(ISERROR(MATCH(D430,'Ist Aktuell Monat 08'!A:A,0))=FALSE,INDEX('Ist Aktuell Monat 08'!B:B,MATCH(D430,'Ist Aktuell Monat 08'!A:A,0)),
IF(ISERROR(MATCH(D430,'Ist Aktuell Monat 09'!A:A,0))=FALSE,INDEX('Ist Aktuell Monat 09'!B:B,MATCH(D430,'Ist Aktuell Monat 09'!A:A,0)),
IF(ISERROR(MATCH(D430,'Ist Aktuell Monat 10'!A:A,0))=FALSE,INDEX('Ist Aktuell Monat 10'!B:B,MATCH(D430,'Ist Aktuell Monat 10'!A:A,0)),
IF(ISERROR(MATCH(D430,'Ist Aktuell Monat 11'!A:A,0))=FALSE,INDEX('Ist Aktuell Monat 11'!B:B,MATCH(D430,'Ist Aktuell Monat 11'!A:A,0)),
IF(ISERROR(MATCH(D430,'Ist Aktuell Monat 12'!A:A,0))=FALSE,INDEX('Ist Aktuell Monat 12'!B:B,MATCH(D430,'Ist Aktuell Monat 12'!A:A,0)),
"{Konto unbekannt}"
)))))))))))),"")</f>
        <v/>
      </c>
      <c r="C430" s="1062"/>
      <c r="D430" s="1067"/>
      <c r="E430" s="625">
        <f t="shared" si="602"/>
        <v>1</v>
      </c>
      <c r="F430" s="626"/>
      <c r="G430" s="593">
        <f ca="1">$E430*(SUMIF(INDIRECT(G$3),'Struktur Aktuell'!$D430,INDIRECT(G$5)))</f>
        <v>0</v>
      </c>
      <c r="H430" s="593">
        <f ca="1">$E430*(SUMIF(INDIRECT(H$3),'Struktur Aktuell'!$D430,INDIRECT(H$5)))</f>
        <v>0</v>
      </c>
      <c r="I430" s="593">
        <f ca="1">$E430*(SUMIF(INDIRECT(I$3),'Struktur Aktuell'!$D430,INDIRECT(I$5)))</f>
        <v>0</v>
      </c>
      <c r="J430" s="593">
        <f ca="1">$E430*(SUMIF(INDIRECT(J$3),'Struktur Aktuell'!$D430,INDIRECT(J$5)))</f>
        <v>0</v>
      </c>
      <c r="K430" s="593">
        <f ca="1">$E430*(SUMIF(INDIRECT(K$3),'Struktur Aktuell'!$D430,INDIRECT(K$5)))</f>
        <v>0</v>
      </c>
      <c r="L430" s="593">
        <f ca="1">$E430*(SUMIF(INDIRECT(L$3),'Struktur Aktuell'!$D430,INDIRECT(L$5)))</f>
        <v>0</v>
      </c>
      <c r="M430" s="593">
        <f ca="1">$E430*(SUMIF(INDIRECT(M$3),'Struktur Aktuell'!$D430,INDIRECT(M$5)))</f>
        <v>0</v>
      </c>
      <c r="N430" s="593">
        <f ca="1">$E430*(SUMIF(INDIRECT(N$3),'Struktur Aktuell'!$D430,INDIRECT(N$5)))</f>
        <v>0</v>
      </c>
      <c r="O430" s="593">
        <f ca="1">$E430*(SUMIF(INDIRECT(O$3),'Struktur Aktuell'!$D430,INDIRECT(O$5)))</f>
        <v>0</v>
      </c>
      <c r="P430" s="593">
        <f ca="1">$E430*(SUMIF(INDIRECT(P$3),'Struktur Aktuell'!$D430,INDIRECT(P$5)))</f>
        <v>0</v>
      </c>
      <c r="Q430" s="593">
        <f ca="1">$E430*(SUMIF(INDIRECT(Q$3),'Struktur Aktuell'!$D430,INDIRECT(Q$5)))</f>
        <v>0</v>
      </c>
      <c r="R430" s="593">
        <f ca="1">$E430*(SUMIF(INDIRECT(R$3),'Struktur Aktuell'!$D430,INDIRECT(R$5)))</f>
        <v>0</v>
      </c>
      <c r="S430" s="593">
        <f ca="1">$E430*(SUMIF(INDIRECT(S$3),'Struktur Aktuell'!$D430,INDIRECT(S$5)))</f>
        <v>0</v>
      </c>
      <c r="T430" s="593">
        <f ca="1">$E430*(SUMIF(INDIRECT(T$3),'Struktur Aktuell'!$D430,INDIRECT(T$5)))</f>
        <v>0</v>
      </c>
      <c r="U430" s="593">
        <f ca="1">$E430*(SUMIF(INDIRECT(U$3),'Struktur Aktuell'!$D430,INDIRECT(U$5)))</f>
        <v>0</v>
      </c>
      <c r="V430" s="593">
        <f ca="1">$E430*(SUMIF(INDIRECT(V$3),'Struktur Aktuell'!$D430,INDIRECT(V$5)))</f>
        <v>0</v>
      </c>
      <c r="W430" s="593">
        <f ca="1">$E430*(SUMIF(INDIRECT(W$3),'Struktur Aktuell'!$D430,INDIRECT(W$5)))</f>
        <v>0</v>
      </c>
      <c r="X430" s="593">
        <f ca="1">$E430*(SUMIF(INDIRECT(X$3),'Struktur Aktuell'!$D430,INDIRECT(X$5)))</f>
        <v>0</v>
      </c>
      <c r="Y430" s="593">
        <f ca="1">$E430*(SUMIF(INDIRECT(Y$3),'Struktur Aktuell'!$D430,INDIRECT(Y$5)))</f>
        <v>0</v>
      </c>
      <c r="Z430" s="593">
        <f ca="1">$E430*(SUMIF(INDIRECT(Z$3),'Struktur Aktuell'!$D430,INDIRECT(Z$5)))</f>
        <v>0</v>
      </c>
      <c r="AA430" s="593">
        <f ca="1">$E430*(SUMIF(INDIRECT(AA$3),'Struktur Aktuell'!$D430,INDIRECT(AA$5)))</f>
        <v>0</v>
      </c>
      <c r="AB430" s="593">
        <f ca="1">$E430*(SUMIF(INDIRECT(AB$3),'Struktur Aktuell'!$D430,INDIRECT(AB$5)))</f>
        <v>0</v>
      </c>
      <c r="AC430" s="593">
        <f ca="1">$E430*(SUMIF(INDIRECT(AC$3),'Struktur Aktuell'!$D430,INDIRECT(AC$5)))</f>
        <v>0</v>
      </c>
      <c r="AD430" s="593">
        <f ca="1">$E430*(SUMIF(INDIRECT(AD$3),'Struktur Aktuell'!$D430,INDIRECT(AD$5)))</f>
        <v>0</v>
      </c>
      <c r="AE430" s="593">
        <f t="shared" ref="AE430:AE441" ca="1" si="668">G430</f>
        <v>0</v>
      </c>
      <c r="AF430" s="593">
        <f t="shared" ref="AF430:AF441" ca="1" si="669">H430+AE430</f>
        <v>0</v>
      </c>
      <c r="AG430" s="593">
        <f t="shared" ref="AG430:AG441" ca="1" si="670">I430+AF430</f>
        <v>0</v>
      </c>
      <c r="AH430" s="593">
        <f t="shared" ref="AH430:AH441" ca="1" si="671">J430+AG430</f>
        <v>0</v>
      </c>
      <c r="AI430" s="593">
        <f t="shared" ref="AI430:AI441" ca="1" si="672">K430+AH430</f>
        <v>0</v>
      </c>
      <c r="AJ430" s="593">
        <f t="shared" ref="AJ430:AJ441" ca="1" si="673">L430+AI430</f>
        <v>0</v>
      </c>
      <c r="AK430" s="593">
        <f t="shared" ref="AK430:AK441" ca="1" si="674">M430+AJ430</f>
        <v>0</v>
      </c>
      <c r="AL430" s="593">
        <f t="shared" ref="AL430:AL441" ca="1" si="675">N430+AK430</f>
        <v>0</v>
      </c>
      <c r="AM430" s="593">
        <f t="shared" ref="AM430:AM441" ca="1" si="676">O430+AL430</f>
        <v>0</v>
      </c>
      <c r="AN430" s="593">
        <f t="shared" ref="AN430:AN441" ca="1" si="677">P430+AM430</f>
        <v>0</v>
      </c>
      <c r="AO430" s="593">
        <f t="shared" ref="AO430:AO441" ca="1" si="678">Q430+AN430</f>
        <v>0</v>
      </c>
      <c r="AP430" s="593">
        <f t="shared" ref="AP430:AP441" ca="1" si="679">R430+AO430</f>
        <v>0</v>
      </c>
    </row>
    <row r="431" spans="1:42" s="594" customFormat="1" ht="11.25" outlineLevel="1" x14ac:dyDescent="0.2">
      <c r="A431" s="644"/>
      <c r="B431" s="591" t="str">
        <f>IF(D431&lt;&gt;"",
IF(ISERROR(MATCH(D431,'Ist Aktuell Monat 01'!A:A,0))=FALSE,INDEX('Ist Aktuell Monat 01'!B:B,MATCH(D431,'Ist Aktuell Monat 01'!A:A,0)),
IF(ISERROR(MATCH(D431,'Ist Aktuell Monat 02'!A:A,0))=FALSE,INDEX('Ist Aktuell Monat 02'!B:B,MATCH(D431,'Ist Aktuell Monat 02'!A:A,0)),
IF(ISERROR(MATCH(D431,'Ist Aktuell Monat 03'!A:A,0))=FALSE,INDEX('Ist Aktuell Monat 03'!B:B,MATCH(D431,'Ist Aktuell Monat 03'!A:A,0)),
IF(ISERROR(MATCH(D431,'Ist Aktuell Monat 04'!A:A,0))=FALSE,INDEX('Ist Aktuell Monat 04'!B:B,MATCH(D431,'Ist Aktuell Monat 04'!A:A,0)),
IF(ISERROR(MATCH(D431,'Ist Aktuell Monat 05'!A:A,0))=FALSE,INDEX('Ist Aktuell Monat 05'!B:B,MATCH(D431,'Ist Aktuell Monat 05'!A:A,0)),
IF(ISERROR(MATCH(D431,'Ist Aktuell Monat 06'!A:A,0))=FALSE,INDEX('Ist Aktuell Monat 06'!B:B,MATCH(D431,'Ist Aktuell Monat 06'!A:A,0)),
IF(ISERROR(MATCH(D431,'Ist Aktuell Monat 07'!A:A,0))=FALSE,INDEX('Ist Aktuell Monat 07'!B:B,MATCH(D431,'Ist Aktuell Monat 07'!A:A,0)),
IF(ISERROR(MATCH(D431,'Ist Aktuell Monat 08'!A:A,0))=FALSE,INDEX('Ist Aktuell Monat 08'!B:B,MATCH(D431,'Ist Aktuell Monat 08'!A:A,0)),
IF(ISERROR(MATCH(D431,'Ist Aktuell Monat 09'!A:A,0))=FALSE,INDEX('Ist Aktuell Monat 09'!B:B,MATCH(D431,'Ist Aktuell Monat 09'!A:A,0)),
IF(ISERROR(MATCH(D431,'Ist Aktuell Monat 10'!A:A,0))=FALSE,INDEX('Ist Aktuell Monat 10'!B:B,MATCH(D431,'Ist Aktuell Monat 10'!A:A,0)),
IF(ISERROR(MATCH(D431,'Ist Aktuell Monat 11'!A:A,0))=FALSE,INDEX('Ist Aktuell Monat 11'!B:B,MATCH(D431,'Ist Aktuell Monat 11'!A:A,0)),
IF(ISERROR(MATCH(D431,'Ist Aktuell Monat 12'!A:A,0))=FALSE,INDEX('Ist Aktuell Monat 12'!B:B,MATCH(D431,'Ist Aktuell Monat 12'!A:A,0)),
"{Konto unbekannt}"
)))))))))))),"")</f>
        <v/>
      </c>
      <c r="C431" s="1062"/>
      <c r="D431" s="1067"/>
      <c r="E431" s="625">
        <f t="shared" si="602"/>
        <v>1</v>
      </c>
      <c r="F431" s="626"/>
      <c r="G431" s="593">
        <f ca="1">$E431*(SUMIF(INDIRECT(G$3),'Struktur Aktuell'!$D431,INDIRECT(G$5)))</f>
        <v>0</v>
      </c>
      <c r="H431" s="593">
        <f ca="1">$E431*(SUMIF(INDIRECT(H$3),'Struktur Aktuell'!$D431,INDIRECT(H$5)))</f>
        <v>0</v>
      </c>
      <c r="I431" s="593">
        <f ca="1">$E431*(SUMIF(INDIRECT(I$3),'Struktur Aktuell'!$D431,INDIRECT(I$5)))</f>
        <v>0</v>
      </c>
      <c r="J431" s="593">
        <f ca="1">$E431*(SUMIF(INDIRECT(J$3),'Struktur Aktuell'!$D431,INDIRECT(J$5)))</f>
        <v>0</v>
      </c>
      <c r="K431" s="593">
        <f ca="1">$E431*(SUMIF(INDIRECT(K$3),'Struktur Aktuell'!$D431,INDIRECT(K$5)))</f>
        <v>0</v>
      </c>
      <c r="L431" s="593">
        <f ca="1">$E431*(SUMIF(INDIRECT(L$3),'Struktur Aktuell'!$D431,INDIRECT(L$5)))</f>
        <v>0</v>
      </c>
      <c r="M431" s="593">
        <f ca="1">$E431*(SUMIF(INDIRECT(M$3),'Struktur Aktuell'!$D431,INDIRECT(M$5)))</f>
        <v>0</v>
      </c>
      <c r="N431" s="593">
        <f ca="1">$E431*(SUMIF(INDIRECT(N$3),'Struktur Aktuell'!$D431,INDIRECT(N$5)))</f>
        <v>0</v>
      </c>
      <c r="O431" s="593">
        <f ca="1">$E431*(SUMIF(INDIRECT(O$3),'Struktur Aktuell'!$D431,INDIRECT(O$5)))</f>
        <v>0</v>
      </c>
      <c r="P431" s="593">
        <f ca="1">$E431*(SUMIF(INDIRECT(P$3),'Struktur Aktuell'!$D431,INDIRECT(P$5)))</f>
        <v>0</v>
      </c>
      <c r="Q431" s="593">
        <f ca="1">$E431*(SUMIF(INDIRECT(Q$3),'Struktur Aktuell'!$D431,INDIRECT(Q$5)))</f>
        <v>0</v>
      </c>
      <c r="R431" s="593">
        <f ca="1">$E431*(SUMIF(INDIRECT(R$3),'Struktur Aktuell'!$D431,INDIRECT(R$5)))</f>
        <v>0</v>
      </c>
      <c r="S431" s="593">
        <f ca="1">$E431*(SUMIF(INDIRECT(S$3),'Struktur Aktuell'!$D431,INDIRECT(S$5)))</f>
        <v>0</v>
      </c>
      <c r="T431" s="593">
        <f ca="1">$E431*(SUMIF(INDIRECT(T$3),'Struktur Aktuell'!$D431,INDIRECT(T$5)))</f>
        <v>0</v>
      </c>
      <c r="U431" s="593">
        <f ca="1">$E431*(SUMIF(INDIRECT(U$3),'Struktur Aktuell'!$D431,INDIRECT(U$5)))</f>
        <v>0</v>
      </c>
      <c r="V431" s="593">
        <f ca="1">$E431*(SUMIF(INDIRECT(V$3),'Struktur Aktuell'!$D431,INDIRECT(V$5)))</f>
        <v>0</v>
      </c>
      <c r="W431" s="593">
        <f ca="1">$E431*(SUMIF(INDIRECT(W$3),'Struktur Aktuell'!$D431,INDIRECT(W$5)))</f>
        <v>0</v>
      </c>
      <c r="X431" s="593">
        <f ca="1">$E431*(SUMIF(INDIRECT(X$3),'Struktur Aktuell'!$D431,INDIRECT(X$5)))</f>
        <v>0</v>
      </c>
      <c r="Y431" s="593">
        <f ca="1">$E431*(SUMIF(INDIRECT(Y$3),'Struktur Aktuell'!$D431,INDIRECT(Y$5)))</f>
        <v>0</v>
      </c>
      <c r="Z431" s="593">
        <f ca="1">$E431*(SUMIF(INDIRECT(Z$3),'Struktur Aktuell'!$D431,INDIRECT(Z$5)))</f>
        <v>0</v>
      </c>
      <c r="AA431" s="593">
        <f ca="1">$E431*(SUMIF(INDIRECT(AA$3),'Struktur Aktuell'!$D431,INDIRECT(AA$5)))</f>
        <v>0</v>
      </c>
      <c r="AB431" s="593">
        <f ca="1">$E431*(SUMIF(INDIRECT(AB$3),'Struktur Aktuell'!$D431,INDIRECT(AB$5)))</f>
        <v>0</v>
      </c>
      <c r="AC431" s="593">
        <f ca="1">$E431*(SUMIF(INDIRECT(AC$3),'Struktur Aktuell'!$D431,INDIRECT(AC$5)))</f>
        <v>0</v>
      </c>
      <c r="AD431" s="593">
        <f ca="1">$E431*(SUMIF(INDIRECT(AD$3),'Struktur Aktuell'!$D431,INDIRECT(AD$5)))</f>
        <v>0</v>
      </c>
      <c r="AE431" s="593">
        <f t="shared" ca="1" si="668"/>
        <v>0</v>
      </c>
      <c r="AF431" s="593">
        <f t="shared" ca="1" si="669"/>
        <v>0</v>
      </c>
      <c r="AG431" s="593">
        <f t="shared" ca="1" si="670"/>
        <v>0</v>
      </c>
      <c r="AH431" s="593">
        <f t="shared" ca="1" si="671"/>
        <v>0</v>
      </c>
      <c r="AI431" s="593">
        <f t="shared" ca="1" si="672"/>
        <v>0</v>
      </c>
      <c r="AJ431" s="593">
        <f t="shared" ca="1" si="673"/>
        <v>0</v>
      </c>
      <c r="AK431" s="593">
        <f t="shared" ca="1" si="674"/>
        <v>0</v>
      </c>
      <c r="AL431" s="593">
        <f t="shared" ca="1" si="675"/>
        <v>0</v>
      </c>
      <c r="AM431" s="593">
        <f t="shared" ca="1" si="676"/>
        <v>0</v>
      </c>
      <c r="AN431" s="593">
        <f t="shared" ca="1" si="677"/>
        <v>0</v>
      </c>
      <c r="AO431" s="593">
        <f t="shared" ca="1" si="678"/>
        <v>0</v>
      </c>
      <c r="AP431" s="593">
        <f t="shared" ca="1" si="679"/>
        <v>0</v>
      </c>
    </row>
    <row r="432" spans="1:42" s="594" customFormat="1" ht="11.25" outlineLevel="1" x14ac:dyDescent="0.2">
      <c r="A432" s="644"/>
      <c r="B432" s="591" t="str">
        <f>IF(D432&lt;&gt;"",
IF(ISERROR(MATCH(D432,'Ist Aktuell Monat 01'!A:A,0))=FALSE,INDEX('Ist Aktuell Monat 01'!B:B,MATCH(D432,'Ist Aktuell Monat 01'!A:A,0)),
IF(ISERROR(MATCH(D432,'Ist Aktuell Monat 02'!A:A,0))=FALSE,INDEX('Ist Aktuell Monat 02'!B:B,MATCH(D432,'Ist Aktuell Monat 02'!A:A,0)),
IF(ISERROR(MATCH(D432,'Ist Aktuell Monat 03'!A:A,0))=FALSE,INDEX('Ist Aktuell Monat 03'!B:B,MATCH(D432,'Ist Aktuell Monat 03'!A:A,0)),
IF(ISERROR(MATCH(D432,'Ist Aktuell Monat 04'!A:A,0))=FALSE,INDEX('Ist Aktuell Monat 04'!B:B,MATCH(D432,'Ist Aktuell Monat 04'!A:A,0)),
IF(ISERROR(MATCH(D432,'Ist Aktuell Monat 05'!A:A,0))=FALSE,INDEX('Ist Aktuell Monat 05'!B:B,MATCH(D432,'Ist Aktuell Monat 05'!A:A,0)),
IF(ISERROR(MATCH(D432,'Ist Aktuell Monat 06'!A:A,0))=FALSE,INDEX('Ist Aktuell Monat 06'!B:B,MATCH(D432,'Ist Aktuell Monat 06'!A:A,0)),
IF(ISERROR(MATCH(D432,'Ist Aktuell Monat 07'!A:A,0))=FALSE,INDEX('Ist Aktuell Monat 07'!B:B,MATCH(D432,'Ist Aktuell Monat 07'!A:A,0)),
IF(ISERROR(MATCH(D432,'Ist Aktuell Monat 08'!A:A,0))=FALSE,INDEX('Ist Aktuell Monat 08'!B:B,MATCH(D432,'Ist Aktuell Monat 08'!A:A,0)),
IF(ISERROR(MATCH(D432,'Ist Aktuell Monat 09'!A:A,0))=FALSE,INDEX('Ist Aktuell Monat 09'!B:B,MATCH(D432,'Ist Aktuell Monat 09'!A:A,0)),
IF(ISERROR(MATCH(D432,'Ist Aktuell Monat 10'!A:A,0))=FALSE,INDEX('Ist Aktuell Monat 10'!B:B,MATCH(D432,'Ist Aktuell Monat 10'!A:A,0)),
IF(ISERROR(MATCH(D432,'Ist Aktuell Monat 11'!A:A,0))=FALSE,INDEX('Ist Aktuell Monat 11'!B:B,MATCH(D432,'Ist Aktuell Monat 11'!A:A,0)),
IF(ISERROR(MATCH(D432,'Ist Aktuell Monat 12'!A:A,0))=FALSE,INDEX('Ist Aktuell Monat 12'!B:B,MATCH(D432,'Ist Aktuell Monat 12'!A:A,0)),
"{Konto unbekannt}"
)))))))))))),"")</f>
        <v/>
      </c>
      <c r="C432" s="1062"/>
      <c r="D432" s="1067"/>
      <c r="E432" s="625">
        <f t="shared" si="602"/>
        <v>1</v>
      </c>
      <c r="F432" s="626"/>
      <c r="G432" s="593">
        <f ca="1">$E432*(SUMIF(INDIRECT(G$3),'Struktur Aktuell'!$D432,INDIRECT(G$5)))</f>
        <v>0</v>
      </c>
      <c r="H432" s="593">
        <f ca="1">$E432*(SUMIF(INDIRECT(H$3),'Struktur Aktuell'!$D432,INDIRECT(H$5)))</f>
        <v>0</v>
      </c>
      <c r="I432" s="593">
        <f ca="1">$E432*(SUMIF(INDIRECT(I$3),'Struktur Aktuell'!$D432,INDIRECT(I$5)))</f>
        <v>0</v>
      </c>
      <c r="J432" s="593">
        <f ca="1">$E432*(SUMIF(INDIRECT(J$3),'Struktur Aktuell'!$D432,INDIRECT(J$5)))</f>
        <v>0</v>
      </c>
      <c r="K432" s="593">
        <f ca="1">$E432*(SUMIF(INDIRECT(K$3),'Struktur Aktuell'!$D432,INDIRECT(K$5)))</f>
        <v>0</v>
      </c>
      <c r="L432" s="593">
        <f ca="1">$E432*(SUMIF(INDIRECT(L$3),'Struktur Aktuell'!$D432,INDIRECT(L$5)))</f>
        <v>0</v>
      </c>
      <c r="M432" s="593">
        <f ca="1">$E432*(SUMIF(INDIRECT(M$3),'Struktur Aktuell'!$D432,INDIRECT(M$5)))</f>
        <v>0</v>
      </c>
      <c r="N432" s="593">
        <f ca="1">$E432*(SUMIF(INDIRECT(N$3),'Struktur Aktuell'!$D432,INDIRECT(N$5)))</f>
        <v>0</v>
      </c>
      <c r="O432" s="593">
        <f ca="1">$E432*(SUMIF(INDIRECT(O$3),'Struktur Aktuell'!$D432,INDIRECT(O$5)))</f>
        <v>0</v>
      </c>
      <c r="P432" s="593">
        <f ca="1">$E432*(SUMIF(INDIRECT(P$3),'Struktur Aktuell'!$D432,INDIRECT(P$5)))</f>
        <v>0</v>
      </c>
      <c r="Q432" s="593">
        <f ca="1">$E432*(SUMIF(INDIRECT(Q$3),'Struktur Aktuell'!$D432,INDIRECT(Q$5)))</f>
        <v>0</v>
      </c>
      <c r="R432" s="593">
        <f ca="1">$E432*(SUMIF(INDIRECT(R$3),'Struktur Aktuell'!$D432,INDIRECT(R$5)))</f>
        <v>0</v>
      </c>
      <c r="S432" s="593">
        <f ca="1">$E432*(SUMIF(INDIRECT(S$3),'Struktur Aktuell'!$D432,INDIRECT(S$5)))</f>
        <v>0</v>
      </c>
      <c r="T432" s="593">
        <f ca="1">$E432*(SUMIF(INDIRECT(T$3),'Struktur Aktuell'!$D432,INDIRECT(T$5)))</f>
        <v>0</v>
      </c>
      <c r="U432" s="593">
        <f ca="1">$E432*(SUMIF(INDIRECT(U$3),'Struktur Aktuell'!$D432,INDIRECT(U$5)))</f>
        <v>0</v>
      </c>
      <c r="V432" s="593">
        <f ca="1">$E432*(SUMIF(INDIRECT(V$3),'Struktur Aktuell'!$D432,INDIRECT(V$5)))</f>
        <v>0</v>
      </c>
      <c r="W432" s="593">
        <f ca="1">$E432*(SUMIF(INDIRECT(W$3),'Struktur Aktuell'!$D432,INDIRECT(W$5)))</f>
        <v>0</v>
      </c>
      <c r="X432" s="593">
        <f ca="1">$E432*(SUMIF(INDIRECT(X$3),'Struktur Aktuell'!$D432,INDIRECT(X$5)))</f>
        <v>0</v>
      </c>
      <c r="Y432" s="593">
        <f ca="1">$E432*(SUMIF(INDIRECT(Y$3),'Struktur Aktuell'!$D432,INDIRECT(Y$5)))</f>
        <v>0</v>
      </c>
      <c r="Z432" s="593">
        <f ca="1">$E432*(SUMIF(INDIRECT(Z$3),'Struktur Aktuell'!$D432,INDIRECT(Z$5)))</f>
        <v>0</v>
      </c>
      <c r="AA432" s="593">
        <f ca="1">$E432*(SUMIF(INDIRECT(AA$3),'Struktur Aktuell'!$D432,INDIRECT(AA$5)))</f>
        <v>0</v>
      </c>
      <c r="AB432" s="593">
        <f ca="1">$E432*(SUMIF(INDIRECT(AB$3),'Struktur Aktuell'!$D432,INDIRECT(AB$5)))</f>
        <v>0</v>
      </c>
      <c r="AC432" s="593">
        <f ca="1">$E432*(SUMIF(INDIRECT(AC$3),'Struktur Aktuell'!$D432,INDIRECT(AC$5)))</f>
        <v>0</v>
      </c>
      <c r="AD432" s="593">
        <f ca="1">$E432*(SUMIF(INDIRECT(AD$3),'Struktur Aktuell'!$D432,INDIRECT(AD$5)))</f>
        <v>0</v>
      </c>
      <c r="AE432" s="593">
        <f t="shared" ca="1" si="668"/>
        <v>0</v>
      </c>
      <c r="AF432" s="593">
        <f t="shared" ca="1" si="669"/>
        <v>0</v>
      </c>
      <c r="AG432" s="593">
        <f t="shared" ca="1" si="670"/>
        <v>0</v>
      </c>
      <c r="AH432" s="593">
        <f t="shared" ca="1" si="671"/>
        <v>0</v>
      </c>
      <c r="AI432" s="593">
        <f t="shared" ca="1" si="672"/>
        <v>0</v>
      </c>
      <c r="AJ432" s="593">
        <f t="shared" ca="1" si="673"/>
        <v>0</v>
      </c>
      <c r="AK432" s="593">
        <f t="shared" ca="1" si="674"/>
        <v>0</v>
      </c>
      <c r="AL432" s="593">
        <f t="shared" ca="1" si="675"/>
        <v>0</v>
      </c>
      <c r="AM432" s="593">
        <f t="shared" ca="1" si="676"/>
        <v>0</v>
      </c>
      <c r="AN432" s="593">
        <f t="shared" ca="1" si="677"/>
        <v>0</v>
      </c>
      <c r="AO432" s="593">
        <f t="shared" ca="1" si="678"/>
        <v>0</v>
      </c>
      <c r="AP432" s="593">
        <f t="shared" ca="1" si="679"/>
        <v>0</v>
      </c>
    </row>
    <row r="433" spans="1:42" s="594" customFormat="1" ht="11.25" outlineLevel="1" x14ac:dyDescent="0.2">
      <c r="A433" s="644"/>
      <c r="B433" s="591" t="str">
        <f>IF(D433&lt;&gt;"",
IF(ISERROR(MATCH(D433,'Ist Aktuell Monat 01'!A:A,0))=FALSE,INDEX('Ist Aktuell Monat 01'!B:B,MATCH(D433,'Ist Aktuell Monat 01'!A:A,0)),
IF(ISERROR(MATCH(D433,'Ist Aktuell Monat 02'!A:A,0))=FALSE,INDEX('Ist Aktuell Monat 02'!B:B,MATCH(D433,'Ist Aktuell Monat 02'!A:A,0)),
IF(ISERROR(MATCH(D433,'Ist Aktuell Monat 03'!A:A,0))=FALSE,INDEX('Ist Aktuell Monat 03'!B:B,MATCH(D433,'Ist Aktuell Monat 03'!A:A,0)),
IF(ISERROR(MATCH(D433,'Ist Aktuell Monat 04'!A:A,0))=FALSE,INDEX('Ist Aktuell Monat 04'!B:B,MATCH(D433,'Ist Aktuell Monat 04'!A:A,0)),
IF(ISERROR(MATCH(D433,'Ist Aktuell Monat 05'!A:A,0))=FALSE,INDEX('Ist Aktuell Monat 05'!B:B,MATCH(D433,'Ist Aktuell Monat 05'!A:A,0)),
IF(ISERROR(MATCH(D433,'Ist Aktuell Monat 06'!A:A,0))=FALSE,INDEX('Ist Aktuell Monat 06'!B:B,MATCH(D433,'Ist Aktuell Monat 06'!A:A,0)),
IF(ISERROR(MATCH(D433,'Ist Aktuell Monat 07'!A:A,0))=FALSE,INDEX('Ist Aktuell Monat 07'!B:B,MATCH(D433,'Ist Aktuell Monat 07'!A:A,0)),
IF(ISERROR(MATCH(D433,'Ist Aktuell Monat 08'!A:A,0))=FALSE,INDEX('Ist Aktuell Monat 08'!B:B,MATCH(D433,'Ist Aktuell Monat 08'!A:A,0)),
IF(ISERROR(MATCH(D433,'Ist Aktuell Monat 09'!A:A,0))=FALSE,INDEX('Ist Aktuell Monat 09'!B:B,MATCH(D433,'Ist Aktuell Monat 09'!A:A,0)),
IF(ISERROR(MATCH(D433,'Ist Aktuell Monat 10'!A:A,0))=FALSE,INDEX('Ist Aktuell Monat 10'!B:B,MATCH(D433,'Ist Aktuell Monat 10'!A:A,0)),
IF(ISERROR(MATCH(D433,'Ist Aktuell Monat 11'!A:A,0))=FALSE,INDEX('Ist Aktuell Monat 11'!B:B,MATCH(D433,'Ist Aktuell Monat 11'!A:A,0)),
IF(ISERROR(MATCH(D433,'Ist Aktuell Monat 12'!A:A,0))=FALSE,INDEX('Ist Aktuell Monat 12'!B:B,MATCH(D433,'Ist Aktuell Monat 12'!A:A,0)),
"{Konto unbekannt}"
)))))))))))),"")</f>
        <v/>
      </c>
      <c r="C433" s="1062"/>
      <c r="D433" s="1067"/>
      <c r="E433" s="625">
        <f>IF(F433="-",-1,1)</f>
        <v>1</v>
      </c>
      <c r="F433" s="626"/>
      <c r="G433" s="593">
        <f ca="1">$E433*(SUMIF(INDIRECT(G$3),'Struktur Aktuell'!$D433,INDIRECT(G$5)))</f>
        <v>0</v>
      </c>
      <c r="H433" s="593">
        <f ca="1">$E433*(SUMIF(INDIRECT(H$3),'Struktur Aktuell'!$D433,INDIRECT(H$5)))</f>
        <v>0</v>
      </c>
      <c r="I433" s="593">
        <f ca="1">$E433*(SUMIF(INDIRECT(I$3),'Struktur Aktuell'!$D433,INDIRECT(I$5)))</f>
        <v>0</v>
      </c>
      <c r="J433" s="593">
        <f ca="1">$E433*(SUMIF(INDIRECT(J$3),'Struktur Aktuell'!$D433,INDIRECT(J$5)))</f>
        <v>0</v>
      </c>
      <c r="K433" s="593">
        <f ca="1">$E433*(SUMIF(INDIRECT(K$3),'Struktur Aktuell'!$D433,INDIRECT(K$5)))</f>
        <v>0</v>
      </c>
      <c r="L433" s="593">
        <f ca="1">$E433*(SUMIF(INDIRECT(L$3),'Struktur Aktuell'!$D433,INDIRECT(L$5)))</f>
        <v>0</v>
      </c>
      <c r="M433" s="593">
        <f ca="1">$E433*(SUMIF(INDIRECT(M$3),'Struktur Aktuell'!$D433,INDIRECT(M$5)))</f>
        <v>0</v>
      </c>
      <c r="N433" s="593">
        <f ca="1">$E433*(SUMIF(INDIRECT(N$3),'Struktur Aktuell'!$D433,INDIRECT(N$5)))</f>
        <v>0</v>
      </c>
      <c r="O433" s="593">
        <f ca="1">$E433*(SUMIF(INDIRECT(O$3),'Struktur Aktuell'!$D433,INDIRECT(O$5)))</f>
        <v>0</v>
      </c>
      <c r="P433" s="593">
        <f ca="1">$E433*(SUMIF(INDIRECT(P$3),'Struktur Aktuell'!$D433,INDIRECT(P$5)))</f>
        <v>0</v>
      </c>
      <c r="Q433" s="593">
        <f ca="1">$E433*(SUMIF(INDIRECT(Q$3),'Struktur Aktuell'!$D433,INDIRECT(Q$5)))</f>
        <v>0</v>
      </c>
      <c r="R433" s="593">
        <f ca="1">$E433*(SUMIF(INDIRECT(R$3),'Struktur Aktuell'!$D433,INDIRECT(R$5)))</f>
        <v>0</v>
      </c>
      <c r="S433" s="593">
        <f ca="1">$E433*(SUMIF(INDIRECT(S$3),'Struktur Aktuell'!$D433,INDIRECT(S$5)))</f>
        <v>0</v>
      </c>
      <c r="T433" s="593">
        <f ca="1">$E433*(SUMIF(INDIRECT(T$3),'Struktur Aktuell'!$D433,INDIRECT(T$5)))</f>
        <v>0</v>
      </c>
      <c r="U433" s="593">
        <f ca="1">$E433*(SUMIF(INDIRECT(U$3),'Struktur Aktuell'!$D433,INDIRECT(U$5)))</f>
        <v>0</v>
      </c>
      <c r="V433" s="593">
        <f ca="1">$E433*(SUMIF(INDIRECT(V$3),'Struktur Aktuell'!$D433,INDIRECT(V$5)))</f>
        <v>0</v>
      </c>
      <c r="W433" s="593">
        <f ca="1">$E433*(SUMIF(INDIRECT(W$3),'Struktur Aktuell'!$D433,INDIRECT(W$5)))</f>
        <v>0</v>
      </c>
      <c r="X433" s="593">
        <f ca="1">$E433*(SUMIF(INDIRECT(X$3),'Struktur Aktuell'!$D433,INDIRECT(X$5)))</f>
        <v>0</v>
      </c>
      <c r="Y433" s="593">
        <f ca="1">$E433*(SUMIF(INDIRECT(Y$3),'Struktur Aktuell'!$D433,INDIRECT(Y$5)))</f>
        <v>0</v>
      </c>
      <c r="Z433" s="593">
        <f ca="1">$E433*(SUMIF(INDIRECT(Z$3),'Struktur Aktuell'!$D433,INDIRECT(Z$5)))</f>
        <v>0</v>
      </c>
      <c r="AA433" s="593">
        <f ca="1">$E433*(SUMIF(INDIRECT(AA$3),'Struktur Aktuell'!$D433,INDIRECT(AA$5)))</f>
        <v>0</v>
      </c>
      <c r="AB433" s="593">
        <f ca="1">$E433*(SUMIF(INDIRECT(AB$3),'Struktur Aktuell'!$D433,INDIRECT(AB$5)))</f>
        <v>0</v>
      </c>
      <c r="AC433" s="593">
        <f ca="1">$E433*(SUMIF(INDIRECT(AC$3),'Struktur Aktuell'!$D433,INDIRECT(AC$5)))</f>
        <v>0</v>
      </c>
      <c r="AD433" s="593">
        <f ca="1">$E433*(SUMIF(INDIRECT(AD$3),'Struktur Aktuell'!$D433,INDIRECT(AD$5)))</f>
        <v>0</v>
      </c>
      <c r="AE433" s="593">
        <f t="shared" ca="1" si="668"/>
        <v>0</v>
      </c>
      <c r="AF433" s="593">
        <f t="shared" ca="1" si="669"/>
        <v>0</v>
      </c>
      <c r="AG433" s="593">
        <f t="shared" ca="1" si="670"/>
        <v>0</v>
      </c>
      <c r="AH433" s="593">
        <f t="shared" ca="1" si="671"/>
        <v>0</v>
      </c>
      <c r="AI433" s="593">
        <f t="shared" ca="1" si="672"/>
        <v>0</v>
      </c>
      <c r="AJ433" s="593">
        <f t="shared" ca="1" si="673"/>
        <v>0</v>
      </c>
      <c r="AK433" s="593">
        <f t="shared" ca="1" si="674"/>
        <v>0</v>
      </c>
      <c r="AL433" s="593">
        <f t="shared" ca="1" si="675"/>
        <v>0</v>
      </c>
      <c r="AM433" s="593">
        <f t="shared" ca="1" si="676"/>
        <v>0</v>
      </c>
      <c r="AN433" s="593">
        <f t="shared" ca="1" si="677"/>
        <v>0</v>
      </c>
      <c r="AO433" s="593">
        <f t="shared" ca="1" si="678"/>
        <v>0</v>
      </c>
      <c r="AP433" s="593">
        <f t="shared" ca="1" si="679"/>
        <v>0</v>
      </c>
    </row>
    <row r="434" spans="1:42" s="594" customFormat="1" ht="11.25" outlineLevel="1" x14ac:dyDescent="0.2">
      <c r="A434" s="644"/>
      <c r="B434" s="591" t="str">
        <f>IF(D434&lt;&gt;"",
IF(ISERROR(MATCH(D434,'Ist Aktuell Monat 01'!A:A,0))=FALSE,INDEX('Ist Aktuell Monat 01'!B:B,MATCH(D434,'Ist Aktuell Monat 01'!A:A,0)),
IF(ISERROR(MATCH(D434,'Ist Aktuell Monat 02'!A:A,0))=FALSE,INDEX('Ist Aktuell Monat 02'!B:B,MATCH(D434,'Ist Aktuell Monat 02'!A:A,0)),
IF(ISERROR(MATCH(D434,'Ist Aktuell Monat 03'!A:A,0))=FALSE,INDEX('Ist Aktuell Monat 03'!B:B,MATCH(D434,'Ist Aktuell Monat 03'!A:A,0)),
IF(ISERROR(MATCH(D434,'Ist Aktuell Monat 04'!A:A,0))=FALSE,INDEX('Ist Aktuell Monat 04'!B:B,MATCH(D434,'Ist Aktuell Monat 04'!A:A,0)),
IF(ISERROR(MATCH(D434,'Ist Aktuell Monat 05'!A:A,0))=FALSE,INDEX('Ist Aktuell Monat 05'!B:B,MATCH(D434,'Ist Aktuell Monat 05'!A:A,0)),
IF(ISERROR(MATCH(D434,'Ist Aktuell Monat 06'!A:A,0))=FALSE,INDEX('Ist Aktuell Monat 06'!B:B,MATCH(D434,'Ist Aktuell Monat 06'!A:A,0)),
IF(ISERROR(MATCH(D434,'Ist Aktuell Monat 07'!A:A,0))=FALSE,INDEX('Ist Aktuell Monat 07'!B:B,MATCH(D434,'Ist Aktuell Monat 07'!A:A,0)),
IF(ISERROR(MATCH(D434,'Ist Aktuell Monat 08'!A:A,0))=FALSE,INDEX('Ist Aktuell Monat 08'!B:B,MATCH(D434,'Ist Aktuell Monat 08'!A:A,0)),
IF(ISERROR(MATCH(D434,'Ist Aktuell Monat 09'!A:A,0))=FALSE,INDEX('Ist Aktuell Monat 09'!B:B,MATCH(D434,'Ist Aktuell Monat 09'!A:A,0)),
IF(ISERROR(MATCH(D434,'Ist Aktuell Monat 10'!A:A,0))=FALSE,INDEX('Ist Aktuell Monat 10'!B:B,MATCH(D434,'Ist Aktuell Monat 10'!A:A,0)),
IF(ISERROR(MATCH(D434,'Ist Aktuell Monat 11'!A:A,0))=FALSE,INDEX('Ist Aktuell Monat 11'!B:B,MATCH(D434,'Ist Aktuell Monat 11'!A:A,0)),
IF(ISERROR(MATCH(D434,'Ist Aktuell Monat 12'!A:A,0))=FALSE,INDEX('Ist Aktuell Monat 12'!B:B,MATCH(D434,'Ist Aktuell Monat 12'!A:A,0)),
"{Konto unbekannt}"
)))))))))))),"")</f>
        <v/>
      </c>
      <c r="C434" s="1062"/>
      <c r="D434" s="1067"/>
      <c r="E434" s="625">
        <f t="shared" ref="E434:E441" si="680">IF(F434="-",-1,1)</f>
        <v>1</v>
      </c>
      <c r="F434" s="626"/>
      <c r="G434" s="593">
        <f ca="1">$E434*(SUMIF(INDIRECT(G$3),'Struktur Aktuell'!$D434,INDIRECT(G$5)))</f>
        <v>0</v>
      </c>
      <c r="H434" s="593">
        <f ca="1">$E434*(SUMIF(INDIRECT(H$3),'Struktur Aktuell'!$D434,INDIRECT(H$5)))</f>
        <v>0</v>
      </c>
      <c r="I434" s="593">
        <f ca="1">$E434*(SUMIF(INDIRECT(I$3),'Struktur Aktuell'!$D434,INDIRECT(I$5)))</f>
        <v>0</v>
      </c>
      <c r="J434" s="593">
        <f ca="1">$E434*(SUMIF(INDIRECT(J$3),'Struktur Aktuell'!$D434,INDIRECT(J$5)))</f>
        <v>0</v>
      </c>
      <c r="K434" s="593">
        <f ca="1">$E434*(SUMIF(INDIRECT(K$3),'Struktur Aktuell'!$D434,INDIRECT(K$5)))</f>
        <v>0</v>
      </c>
      <c r="L434" s="593">
        <f ca="1">$E434*(SUMIF(INDIRECT(L$3),'Struktur Aktuell'!$D434,INDIRECT(L$5)))</f>
        <v>0</v>
      </c>
      <c r="M434" s="593">
        <f ca="1">$E434*(SUMIF(INDIRECT(M$3),'Struktur Aktuell'!$D434,INDIRECT(M$5)))</f>
        <v>0</v>
      </c>
      <c r="N434" s="593">
        <f ca="1">$E434*(SUMIF(INDIRECT(N$3),'Struktur Aktuell'!$D434,INDIRECT(N$5)))</f>
        <v>0</v>
      </c>
      <c r="O434" s="593">
        <f ca="1">$E434*(SUMIF(INDIRECT(O$3),'Struktur Aktuell'!$D434,INDIRECT(O$5)))</f>
        <v>0</v>
      </c>
      <c r="P434" s="593">
        <f ca="1">$E434*(SUMIF(INDIRECT(P$3),'Struktur Aktuell'!$D434,INDIRECT(P$5)))</f>
        <v>0</v>
      </c>
      <c r="Q434" s="593">
        <f ca="1">$E434*(SUMIF(INDIRECT(Q$3),'Struktur Aktuell'!$D434,INDIRECT(Q$5)))</f>
        <v>0</v>
      </c>
      <c r="R434" s="593">
        <f ca="1">$E434*(SUMIF(INDIRECT(R$3),'Struktur Aktuell'!$D434,INDIRECT(R$5)))</f>
        <v>0</v>
      </c>
      <c r="S434" s="593">
        <f ca="1">$E434*(SUMIF(INDIRECT(S$3),'Struktur Aktuell'!$D434,INDIRECT(S$5)))</f>
        <v>0</v>
      </c>
      <c r="T434" s="593">
        <f ca="1">$E434*(SUMIF(INDIRECT(T$3),'Struktur Aktuell'!$D434,INDIRECT(T$5)))</f>
        <v>0</v>
      </c>
      <c r="U434" s="593">
        <f ca="1">$E434*(SUMIF(INDIRECT(U$3),'Struktur Aktuell'!$D434,INDIRECT(U$5)))</f>
        <v>0</v>
      </c>
      <c r="V434" s="593">
        <f ca="1">$E434*(SUMIF(INDIRECT(V$3),'Struktur Aktuell'!$D434,INDIRECT(V$5)))</f>
        <v>0</v>
      </c>
      <c r="W434" s="593">
        <f ca="1">$E434*(SUMIF(INDIRECT(W$3),'Struktur Aktuell'!$D434,INDIRECT(W$5)))</f>
        <v>0</v>
      </c>
      <c r="X434" s="593">
        <f ca="1">$E434*(SUMIF(INDIRECT(X$3),'Struktur Aktuell'!$D434,INDIRECT(X$5)))</f>
        <v>0</v>
      </c>
      <c r="Y434" s="593">
        <f ca="1">$E434*(SUMIF(INDIRECT(Y$3),'Struktur Aktuell'!$D434,INDIRECT(Y$5)))</f>
        <v>0</v>
      </c>
      <c r="Z434" s="593">
        <f ca="1">$E434*(SUMIF(INDIRECT(Z$3),'Struktur Aktuell'!$D434,INDIRECT(Z$5)))</f>
        <v>0</v>
      </c>
      <c r="AA434" s="593">
        <f ca="1">$E434*(SUMIF(INDIRECT(AA$3),'Struktur Aktuell'!$D434,INDIRECT(AA$5)))</f>
        <v>0</v>
      </c>
      <c r="AB434" s="593">
        <f ca="1">$E434*(SUMIF(INDIRECT(AB$3),'Struktur Aktuell'!$D434,INDIRECT(AB$5)))</f>
        <v>0</v>
      </c>
      <c r="AC434" s="593">
        <f ca="1">$E434*(SUMIF(INDIRECT(AC$3),'Struktur Aktuell'!$D434,INDIRECT(AC$5)))</f>
        <v>0</v>
      </c>
      <c r="AD434" s="593">
        <f ca="1">$E434*(SUMIF(INDIRECT(AD$3),'Struktur Aktuell'!$D434,INDIRECT(AD$5)))</f>
        <v>0</v>
      </c>
      <c r="AE434" s="593">
        <f t="shared" ca="1" si="668"/>
        <v>0</v>
      </c>
      <c r="AF434" s="593">
        <f t="shared" ca="1" si="669"/>
        <v>0</v>
      </c>
      <c r="AG434" s="593">
        <f t="shared" ca="1" si="670"/>
        <v>0</v>
      </c>
      <c r="AH434" s="593">
        <f t="shared" ca="1" si="671"/>
        <v>0</v>
      </c>
      <c r="AI434" s="593">
        <f t="shared" ca="1" si="672"/>
        <v>0</v>
      </c>
      <c r="AJ434" s="593">
        <f t="shared" ca="1" si="673"/>
        <v>0</v>
      </c>
      <c r="AK434" s="593">
        <f t="shared" ca="1" si="674"/>
        <v>0</v>
      </c>
      <c r="AL434" s="593">
        <f t="shared" ca="1" si="675"/>
        <v>0</v>
      </c>
      <c r="AM434" s="593">
        <f t="shared" ca="1" si="676"/>
        <v>0</v>
      </c>
      <c r="AN434" s="593">
        <f t="shared" ca="1" si="677"/>
        <v>0</v>
      </c>
      <c r="AO434" s="593">
        <f t="shared" ca="1" si="678"/>
        <v>0</v>
      </c>
      <c r="AP434" s="593">
        <f t="shared" ca="1" si="679"/>
        <v>0</v>
      </c>
    </row>
    <row r="435" spans="1:42" s="594" customFormat="1" ht="11.25" outlineLevel="1" x14ac:dyDescent="0.2">
      <c r="A435" s="644"/>
      <c r="B435" s="591" t="str">
        <f>IF(D435&lt;&gt;"",
IF(ISERROR(MATCH(D435,'Ist Aktuell Monat 01'!A:A,0))=FALSE,INDEX('Ist Aktuell Monat 01'!B:B,MATCH(D435,'Ist Aktuell Monat 01'!A:A,0)),
IF(ISERROR(MATCH(D435,'Ist Aktuell Monat 02'!A:A,0))=FALSE,INDEX('Ist Aktuell Monat 02'!B:B,MATCH(D435,'Ist Aktuell Monat 02'!A:A,0)),
IF(ISERROR(MATCH(D435,'Ist Aktuell Monat 03'!A:A,0))=FALSE,INDEX('Ist Aktuell Monat 03'!B:B,MATCH(D435,'Ist Aktuell Monat 03'!A:A,0)),
IF(ISERROR(MATCH(D435,'Ist Aktuell Monat 04'!A:A,0))=FALSE,INDEX('Ist Aktuell Monat 04'!B:B,MATCH(D435,'Ist Aktuell Monat 04'!A:A,0)),
IF(ISERROR(MATCH(D435,'Ist Aktuell Monat 05'!A:A,0))=FALSE,INDEX('Ist Aktuell Monat 05'!B:B,MATCH(D435,'Ist Aktuell Monat 05'!A:A,0)),
IF(ISERROR(MATCH(D435,'Ist Aktuell Monat 06'!A:A,0))=FALSE,INDEX('Ist Aktuell Monat 06'!B:B,MATCH(D435,'Ist Aktuell Monat 06'!A:A,0)),
IF(ISERROR(MATCH(D435,'Ist Aktuell Monat 07'!A:A,0))=FALSE,INDEX('Ist Aktuell Monat 07'!B:B,MATCH(D435,'Ist Aktuell Monat 07'!A:A,0)),
IF(ISERROR(MATCH(D435,'Ist Aktuell Monat 08'!A:A,0))=FALSE,INDEX('Ist Aktuell Monat 08'!B:B,MATCH(D435,'Ist Aktuell Monat 08'!A:A,0)),
IF(ISERROR(MATCH(D435,'Ist Aktuell Monat 09'!A:A,0))=FALSE,INDEX('Ist Aktuell Monat 09'!B:B,MATCH(D435,'Ist Aktuell Monat 09'!A:A,0)),
IF(ISERROR(MATCH(D435,'Ist Aktuell Monat 10'!A:A,0))=FALSE,INDEX('Ist Aktuell Monat 10'!B:B,MATCH(D435,'Ist Aktuell Monat 10'!A:A,0)),
IF(ISERROR(MATCH(D435,'Ist Aktuell Monat 11'!A:A,0))=FALSE,INDEX('Ist Aktuell Monat 11'!B:B,MATCH(D435,'Ist Aktuell Monat 11'!A:A,0)),
IF(ISERROR(MATCH(D435,'Ist Aktuell Monat 12'!A:A,0))=FALSE,INDEX('Ist Aktuell Monat 12'!B:B,MATCH(D435,'Ist Aktuell Monat 12'!A:A,0)),
"{Konto unbekannt}"
)))))))))))),"")</f>
        <v/>
      </c>
      <c r="C435" s="1062"/>
      <c r="D435" s="1067"/>
      <c r="E435" s="625">
        <f t="shared" si="680"/>
        <v>1</v>
      </c>
      <c r="F435" s="626"/>
      <c r="G435" s="838">
        <f ca="1">$E435*(SUMIF(INDIRECT(G$3),'Struktur Aktuell'!$D435,INDIRECT(G$5)))-G421</f>
        <v>0</v>
      </c>
      <c r="H435" s="838">
        <f ca="1">$E435*(SUMIF(INDIRECT(H$3),'Struktur Aktuell'!$D435,INDIRECT(H$5)))-H421</f>
        <v>0</v>
      </c>
      <c r="I435" s="838">
        <f ca="1">$E435*(SUMIF(INDIRECT(I$3),'Struktur Aktuell'!$D435,INDIRECT(I$5)))-I421</f>
        <v>0</v>
      </c>
      <c r="J435" s="838">
        <f ca="1">$E435*(SUMIF(INDIRECT(J$3),'Struktur Aktuell'!$D435,INDIRECT(J$5)))-J421</f>
        <v>0</v>
      </c>
      <c r="K435" s="838">
        <f ca="1">$E435*(SUMIF(INDIRECT(K$3),'Struktur Aktuell'!$D435,INDIRECT(K$5)))-K421</f>
        <v>0</v>
      </c>
      <c r="L435" s="838">
        <f ca="1">$E435*(SUMIF(INDIRECT(L$3),'Struktur Aktuell'!$D435,INDIRECT(L$5)))-L421</f>
        <v>0</v>
      </c>
      <c r="M435" s="838">
        <f ca="1">$E435*(SUMIF(INDIRECT(M$3),'Struktur Aktuell'!$D435,INDIRECT(M$5)))-M421</f>
        <v>0</v>
      </c>
      <c r="N435" s="838">
        <f ca="1">$E435*(SUMIF(INDIRECT(N$3),'Struktur Aktuell'!$D435,INDIRECT(N$5)))-N421</f>
        <v>0</v>
      </c>
      <c r="O435" s="838">
        <f ca="1">$E435*(SUMIF(INDIRECT(O$3),'Struktur Aktuell'!$D435,INDIRECT(O$5)))-O421</f>
        <v>0</v>
      </c>
      <c r="P435" s="838">
        <f ca="1">$E435*(SUMIF(INDIRECT(P$3),'Struktur Aktuell'!$D435,INDIRECT(P$5)))-P421</f>
        <v>0</v>
      </c>
      <c r="Q435" s="593">
        <f ca="1">$E435*(SUMIF(INDIRECT(Q$3),'Struktur Aktuell'!$D435,INDIRECT(Q$5)))-Q421</f>
        <v>0</v>
      </c>
      <c r="R435" s="593">
        <f ca="1">$E435*(SUMIF(INDIRECT(R$3),'Struktur Aktuell'!$D435,INDIRECT(R$5)))-R421</f>
        <v>0</v>
      </c>
      <c r="S435" s="838">
        <f ca="1">$E435*(SUMIF(INDIRECT(S$3),'Struktur Aktuell'!$D435,INDIRECT(S$5)))-S421</f>
        <v>0</v>
      </c>
      <c r="T435" s="838">
        <f ca="1">$E435*(SUMIF(INDIRECT(T$3),'Struktur Aktuell'!$D435,INDIRECT(T$5)))-T421</f>
        <v>0</v>
      </c>
      <c r="U435" s="838">
        <f ca="1">$E435*(SUMIF(INDIRECT(U$3),'Struktur Aktuell'!$D435,INDIRECT(U$5)))-U421</f>
        <v>0</v>
      </c>
      <c r="V435" s="838">
        <f ca="1">$E435*(SUMIF(INDIRECT(V$3),'Struktur Aktuell'!$D435,INDIRECT(V$5)))-V421</f>
        <v>0</v>
      </c>
      <c r="W435" s="838">
        <f ca="1">$E435*(SUMIF(INDIRECT(W$3),'Struktur Aktuell'!$D435,INDIRECT(W$5)))-W421</f>
        <v>0</v>
      </c>
      <c r="X435" s="838">
        <f ca="1">$E435*(SUMIF(INDIRECT(X$3),'Struktur Aktuell'!$D435,INDIRECT(X$5)))-X421</f>
        <v>0</v>
      </c>
      <c r="Y435" s="838">
        <f ca="1">$E435*(SUMIF(INDIRECT(Y$3),'Struktur Aktuell'!$D435,INDIRECT(Y$5)))-Y421</f>
        <v>0</v>
      </c>
      <c r="Z435" s="838">
        <f ca="1">$E435*(SUMIF(INDIRECT(Z$3),'Struktur Aktuell'!$D435,INDIRECT(Z$5)))-Z421</f>
        <v>0</v>
      </c>
      <c r="AA435" s="838">
        <f ca="1">$E435*(SUMIF(INDIRECT(AA$3),'Struktur Aktuell'!$D435,INDIRECT(AA$5)))-AA421</f>
        <v>0</v>
      </c>
      <c r="AB435" s="838">
        <f ca="1">$E435*(SUMIF(INDIRECT(AB$3),'Struktur Aktuell'!$D435,INDIRECT(AB$5)))-AB421</f>
        <v>0</v>
      </c>
      <c r="AC435" s="593">
        <f ca="1">$E435*(SUMIF(INDIRECT(AC$3),'Struktur Aktuell'!$D435,INDIRECT(AC$5)))-AC421</f>
        <v>0</v>
      </c>
      <c r="AD435" s="593">
        <f ca="1">$E435*(SUMIF(INDIRECT(AD$3),'Struktur Aktuell'!$D435,INDIRECT(AD$5)))-AD421</f>
        <v>0</v>
      </c>
      <c r="AE435" s="593">
        <f t="shared" ca="1" si="668"/>
        <v>0</v>
      </c>
      <c r="AF435" s="593">
        <f t="shared" ca="1" si="669"/>
        <v>0</v>
      </c>
      <c r="AG435" s="593">
        <f t="shared" ca="1" si="670"/>
        <v>0</v>
      </c>
      <c r="AH435" s="593">
        <f t="shared" ca="1" si="671"/>
        <v>0</v>
      </c>
      <c r="AI435" s="593">
        <f t="shared" ca="1" si="672"/>
        <v>0</v>
      </c>
      <c r="AJ435" s="593">
        <f t="shared" ca="1" si="673"/>
        <v>0</v>
      </c>
      <c r="AK435" s="593">
        <f t="shared" ca="1" si="674"/>
        <v>0</v>
      </c>
      <c r="AL435" s="593">
        <f t="shared" ca="1" si="675"/>
        <v>0</v>
      </c>
      <c r="AM435" s="593">
        <f t="shared" ca="1" si="676"/>
        <v>0</v>
      </c>
      <c r="AN435" s="593">
        <f t="shared" ca="1" si="677"/>
        <v>0</v>
      </c>
      <c r="AO435" s="593">
        <f t="shared" ca="1" si="678"/>
        <v>0</v>
      </c>
      <c r="AP435" s="593">
        <f t="shared" ca="1" si="679"/>
        <v>0</v>
      </c>
    </row>
    <row r="436" spans="1:42" s="594" customFormat="1" ht="11.25" outlineLevel="1" x14ac:dyDescent="0.2">
      <c r="A436" s="644"/>
      <c r="B436" s="591" t="str">
        <f>IF(D436&lt;&gt;"",
IF(ISERROR(MATCH(D436,'Ist Aktuell Monat 01'!A:A,0))=FALSE,INDEX('Ist Aktuell Monat 01'!B:B,MATCH(D436,'Ist Aktuell Monat 01'!A:A,0)),
IF(ISERROR(MATCH(D436,'Ist Aktuell Monat 02'!A:A,0))=FALSE,INDEX('Ist Aktuell Monat 02'!B:B,MATCH(D436,'Ist Aktuell Monat 02'!A:A,0)),
IF(ISERROR(MATCH(D436,'Ist Aktuell Monat 03'!A:A,0))=FALSE,INDEX('Ist Aktuell Monat 03'!B:B,MATCH(D436,'Ist Aktuell Monat 03'!A:A,0)),
IF(ISERROR(MATCH(D436,'Ist Aktuell Monat 04'!A:A,0))=FALSE,INDEX('Ist Aktuell Monat 04'!B:B,MATCH(D436,'Ist Aktuell Monat 04'!A:A,0)),
IF(ISERROR(MATCH(D436,'Ist Aktuell Monat 05'!A:A,0))=FALSE,INDEX('Ist Aktuell Monat 05'!B:B,MATCH(D436,'Ist Aktuell Monat 05'!A:A,0)),
IF(ISERROR(MATCH(D436,'Ist Aktuell Monat 06'!A:A,0))=FALSE,INDEX('Ist Aktuell Monat 06'!B:B,MATCH(D436,'Ist Aktuell Monat 06'!A:A,0)),
IF(ISERROR(MATCH(D436,'Ist Aktuell Monat 07'!A:A,0))=FALSE,INDEX('Ist Aktuell Monat 07'!B:B,MATCH(D436,'Ist Aktuell Monat 07'!A:A,0)),
IF(ISERROR(MATCH(D436,'Ist Aktuell Monat 08'!A:A,0))=FALSE,INDEX('Ist Aktuell Monat 08'!B:B,MATCH(D436,'Ist Aktuell Monat 08'!A:A,0)),
IF(ISERROR(MATCH(D436,'Ist Aktuell Monat 09'!A:A,0))=FALSE,INDEX('Ist Aktuell Monat 09'!B:B,MATCH(D436,'Ist Aktuell Monat 09'!A:A,0)),
IF(ISERROR(MATCH(D436,'Ist Aktuell Monat 10'!A:A,0))=FALSE,INDEX('Ist Aktuell Monat 10'!B:B,MATCH(D436,'Ist Aktuell Monat 10'!A:A,0)),
IF(ISERROR(MATCH(D436,'Ist Aktuell Monat 11'!A:A,0))=FALSE,INDEX('Ist Aktuell Monat 11'!B:B,MATCH(D436,'Ist Aktuell Monat 11'!A:A,0)),
IF(ISERROR(MATCH(D436,'Ist Aktuell Monat 12'!A:A,0))=FALSE,INDEX('Ist Aktuell Monat 12'!B:B,MATCH(D436,'Ist Aktuell Monat 12'!A:A,0)),
"{Konto unbekannt}"
)))))))))))),"")</f>
        <v/>
      </c>
      <c r="C436" s="1062"/>
      <c r="D436" s="1067"/>
      <c r="E436" s="625">
        <f t="shared" si="680"/>
        <v>1</v>
      </c>
      <c r="F436" s="626"/>
      <c r="G436" s="838">
        <f ca="1">$E436*(SUMIF(INDIRECT(G$3),'Struktur Aktuell'!$D436,INDIRECT(G$5)))-G422</f>
        <v>0</v>
      </c>
      <c r="H436" s="838">
        <f ca="1">$E436*(SUMIF(INDIRECT(H$3),'Struktur Aktuell'!$D436,INDIRECT(H$5)))-H422</f>
        <v>0</v>
      </c>
      <c r="I436" s="838">
        <f ca="1">$E436*(SUMIF(INDIRECT(I$3),'Struktur Aktuell'!$D436,INDIRECT(I$5)))-I422</f>
        <v>0</v>
      </c>
      <c r="J436" s="838">
        <f ca="1">$E436*(SUMIF(INDIRECT(J$3),'Struktur Aktuell'!$D436,INDIRECT(J$5)))-J422</f>
        <v>0</v>
      </c>
      <c r="K436" s="838">
        <f ca="1">$E436*(SUMIF(INDIRECT(K$3),'Struktur Aktuell'!$D436,INDIRECT(K$5)))-K422</f>
        <v>0</v>
      </c>
      <c r="L436" s="838">
        <f ca="1">$E436*(SUMIF(INDIRECT(L$3),'Struktur Aktuell'!$D436,INDIRECT(L$5)))-L422</f>
        <v>0</v>
      </c>
      <c r="M436" s="838">
        <f ca="1">$E436*(SUMIF(INDIRECT(M$3),'Struktur Aktuell'!$D436,INDIRECT(M$5)))-M422</f>
        <v>0</v>
      </c>
      <c r="N436" s="838">
        <f ca="1">$E436*(SUMIF(INDIRECT(N$3),'Struktur Aktuell'!$D436,INDIRECT(N$5)))-N422</f>
        <v>0</v>
      </c>
      <c r="O436" s="838">
        <f ca="1">$E436*(SUMIF(INDIRECT(O$3),'Struktur Aktuell'!$D436,INDIRECT(O$5)))-O422</f>
        <v>0</v>
      </c>
      <c r="P436" s="838">
        <f ca="1">$E436*(SUMIF(INDIRECT(P$3),'Struktur Aktuell'!$D436,INDIRECT(P$5)))-P422</f>
        <v>0</v>
      </c>
      <c r="Q436" s="593">
        <f ca="1">$E436*(SUMIF(INDIRECT(Q$3),'Struktur Aktuell'!$D436,INDIRECT(Q$5)))-Q422</f>
        <v>0</v>
      </c>
      <c r="R436" s="593">
        <f ca="1">$E436*(SUMIF(INDIRECT(R$3),'Struktur Aktuell'!$D436,INDIRECT(R$5)))-R422</f>
        <v>0</v>
      </c>
      <c r="S436" s="838">
        <f ca="1">$E436*(SUMIF(INDIRECT(S$3),'Struktur Aktuell'!$D436,INDIRECT(S$5)))-S422</f>
        <v>0</v>
      </c>
      <c r="T436" s="838">
        <f ca="1">$E436*(SUMIF(INDIRECT(T$3),'Struktur Aktuell'!$D436,INDIRECT(T$5)))-T422</f>
        <v>0</v>
      </c>
      <c r="U436" s="838">
        <f ca="1">$E436*(SUMIF(INDIRECT(U$3),'Struktur Aktuell'!$D436,INDIRECT(U$5)))-U422</f>
        <v>0</v>
      </c>
      <c r="V436" s="838">
        <f ca="1">$E436*(SUMIF(INDIRECT(V$3),'Struktur Aktuell'!$D436,INDIRECT(V$5)))-V422</f>
        <v>0</v>
      </c>
      <c r="W436" s="838">
        <f ca="1">$E436*(SUMIF(INDIRECT(W$3),'Struktur Aktuell'!$D436,INDIRECT(W$5)))-W422</f>
        <v>0</v>
      </c>
      <c r="X436" s="838">
        <f ca="1">$E436*(SUMIF(INDIRECT(X$3),'Struktur Aktuell'!$D436,INDIRECT(X$5)))-X422</f>
        <v>0</v>
      </c>
      <c r="Y436" s="838">
        <f ca="1">$E436*(SUMIF(INDIRECT(Y$3),'Struktur Aktuell'!$D436,INDIRECT(Y$5)))-Y422</f>
        <v>0</v>
      </c>
      <c r="Z436" s="838">
        <f ca="1">$E436*(SUMIF(INDIRECT(Z$3),'Struktur Aktuell'!$D436,INDIRECT(Z$5)))-Z422</f>
        <v>0</v>
      </c>
      <c r="AA436" s="838">
        <f ca="1">$E436*(SUMIF(INDIRECT(AA$3),'Struktur Aktuell'!$D436,INDIRECT(AA$5)))-AA422</f>
        <v>0</v>
      </c>
      <c r="AB436" s="838">
        <f ca="1">$E436*(SUMIF(INDIRECT(AB$3),'Struktur Aktuell'!$D436,INDIRECT(AB$5)))-AB422</f>
        <v>0</v>
      </c>
      <c r="AC436" s="593">
        <f ca="1">$E436*(SUMIF(INDIRECT(AC$3),'Struktur Aktuell'!$D436,INDIRECT(AC$5)))-AC422</f>
        <v>0</v>
      </c>
      <c r="AD436" s="593">
        <f ca="1">$E436*(SUMIF(INDIRECT(AD$3),'Struktur Aktuell'!$D436,INDIRECT(AD$5)))-AD422</f>
        <v>0</v>
      </c>
      <c r="AE436" s="593">
        <f t="shared" ca="1" si="668"/>
        <v>0</v>
      </c>
      <c r="AF436" s="593">
        <f t="shared" ca="1" si="669"/>
        <v>0</v>
      </c>
      <c r="AG436" s="593">
        <f t="shared" ca="1" si="670"/>
        <v>0</v>
      </c>
      <c r="AH436" s="593">
        <f t="shared" ca="1" si="671"/>
        <v>0</v>
      </c>
      <c r="AI436" s="593">
        <f t="shared" ca="1" si="672"/>
        <v>0</v>
      </c>
      <c r="AJ436" s="593">
        <f t="shared" ca="1" si="673"/>
        <v>0</v>
      </c>
      <c r="AK436" s="593">
        <f t="shared" ca="1" si="674"/>
        <v>0</v>
      </c>
      <c r="AL436" s="593">
        <f t="shared" ca="1" si="675"/>
        <v>0</v>
      </c>
      <c r="AM436" s="593">
        <f t="shared" ca="1" si="676"/>
        <v>0</v>
      </c>
      <c r="AN436" s="593">
        <f t="shared" ca="1" si="677"/>
        <v>0</v>
      </c>
      <c r="AO436" s="593">
        <f t="shared" ca="1" si="678"/>
        <v>0</v>
      </c>
      <c r="AP436" s="593">
        <f t="shared" ca="1" si="679"/>
        <v>0</v>
      </c>
    </row>
    <row r="437" spans="1:42" s="594" customFormat="1" ht="11.25" outlineLevel="1" x14ac:dyDescent="0.2">
      <c r="A437" s="644"/>
      <c r="B437" s="591" t="str">
        <f>IF(D437&lt;&gt;"",
IF(ISERROR(MATCH(D437,'Ist Aktuell Monat 01'!A:A,0))=FALSE,INDEX('Ist Aktuell Monat 01'!B:B,MATCH(D437,'Ist Aktuell Monat 01'!A:A,0)),
IF(ISERROR(MATCH(D437,'Ist Aktuell Monat 02'!A:A,0))=FALSE,INDEX('Ist Aktuell Monat 02'!B:B,MATCH(D437,'Ist Aktuell Monat 02'!A:A,0)),
IF(ISERROR(MATCH(D437,'Ist Aktuell Monat 03'!A:A,0))=FALSE,INDEX('Ist Aktuell Monat 03'!B:B,MATCH(D437,'Ist Aktuell Monat 03'!A:A,0)),
IF(ISERROR(MATCH(D437,'Ist Aktuell Monat 04'!A:A,0))=FALSE,INDEX('Ist Aktuell Monat 04'!B:B,MATCH(D437,'Ist Aktuell Monat 04'!A:A,0)),
IF(ISERROR(MATCH(D437,'Ist Aktuell Monat 05'!A:A,0))=FALSE,INDEX('Ist Aktuell Monat 05'!B:B,MATCH(D437,'Ist Aktuell Monat 05'!A:A,0)),
IF(ISERROR(MATCH(D437,'Ist Aktuell Monat 06'!A:A,0))=FALSE,INDEX('Ist Aktuell Monat 06'!B:B,MATCH(D437,'Ist Aktuell Monat 06'!A:A,0)),
IF(ISERROR(MATCH(D437,'Ist Aktuell Monat 07'!A:A,0))=FALSE,INDEX('Ist Aktuell Monat 07'!B:B,MATCH(D437,'Ist Aktuell Monat 07'!A:A,0)),
IF(ISERROR(MATCH(D437,'Ist Aktuell Monat 08'!A:A,0))=FALSE,INDEX('Ist Aktuell Monat 08'!B:B,MATCH(D437,'Ist Aktuell Monat 08'!A:A,0)),
IF(ISERROR(MATCH(D437,'Ist Aktuell Monat 09'!A:A,0))=FALSE,INDEX('Ist Aktuell Monat 09'!B:B,MATCH(D437,'Ist Aktuell Monat 09'!A:A,0)),
IF(ISERROR(MATCH(D437,'Ist Aktuell Monat 10'!A:A,0))=FALSE,INDEX('Ist Aktuell Monat 10'!B:B,MATCH(D437,'Ist Aktuell Monat 10'!A:A,0)),
IF(ISERROR(MATCH(D437,'Ist Aktuell Monat 11'!A:A,0))=FALSE,INDEX('Ist Aktuell Monat 11'!B:B,MATCH(D437,'Ist Aktuell Monat 11'!A:A,0)),
IF(ISERROR(MATCH(D437,'Ist Aktuell Monat 12'!A:A,0))=FALSE,INDEX('Ist Aktuell Monat 12'!B:B,MATCH(D437,'Ist Aktuell Monat 12'!A:A,0)),
"{Konto unbekannt}"
)))))))))))),"")</f>
        <v/>
      </c>
      <c r="C437" s="1062"/>
      <c r="D437" s="1067"/>
      <c r="E437" s="625">
        <f t="shared" si="680"/>
        <v>1</v>
      </c>
      <c r="F437" s="626"/>
      <c r="G437" s="593">
        <f ca="1">$E437*(SUMIF(INDIRECT(G$3),'Struktur Aktuell'!$D437,INDIRECT(G$5)))</f>
        <v>0</v>
      </c>
      <c r="H437" s="593">
        <f ca="1">$E437*(SUMIF(INDIRECT(H$3),'Struktur Aktuell'!$D437,INDIRECT(H$5)))</f>
        <v>0</v>
      </c>
      <c r="I437" s="593">
        <f ca="1">$E437*(SUMIF(INDIRECT(I$3),'Struktur Aktuell'!$D437,INDIRECT(I$5)))</f>
        <v>0</v>
      </c>
      <c r="J437" s="593">
        <f ca="1">$E437*(SUMIF(INDIRECT(J$3),'Struktur Aktuell'!$D437,INDIRECT(J$5)))</f>
        <v>0</v>
      </c>
      <c r="K437" s="593">
        <f ca="1">$E437*(SUMIF(INDIRECT(K$3),'Struktur Aktuell'!$D437,INDIRECT(K$5)))</f>
        <v>0</v>
      </c>
      <c r="L437" s="593">
        <f ca="1">$E437*(SUMIF(INDIRECT(L$3),'Struktur Aktuell'!$D437,INDIRECT(L$5)))</f>
        <v>0</v>
      </c>
      <c r="M437" s="593">
        <f ca="1">$E437*(SUMIF(INDIRECT(M$3),'Struktur Aktuell'!$D437,INDIRECT(M$5)))</f>
        <v>0</v>
      </c>
      <c r="N437" s="838">
        <f ca="1">$E437*(SUMIF(INDIRECT(N$3),'Struktur Aktuell'!$D437,INDIRECT(N$5)))</f>
        <v>0</v>
      </c>
      <c r="O437" s="593">
        <f ca="1">$E437*(SUMIF(INDIRECT(O$3),'Struktur Aktuell'!$D437,INDIRECT(O$5)))</f>
        <v>0</v>
      </c>
      <c r="P437" s="593">
        <f ca="1">$E437*(SUMIF(INDIRECT(P$3),'Struktur Aktuell'!$D437,INDIRECT(P$5)))</f>
        <v>0</v>
      </c>
      <c r="Q437" s="593">
        <f ca="1">$E437*(SUMIF(INDIRECT(Q$3),'Struktur Aktuell'!$D437,INDIRECT(Q$5)))</f>
        <v>0</v>
      </c>
      <c r="R437" s="593">
        <f ca="1">$E437*(SUMIF(INDIRECT(R$3),'Struktur Aktuell'!$D437,INDIRECT(R$5)))</f>
        <v>0</v>
      </c>
      <c r="S437" s="593">
        <f ca="1">$E437*(SUMIF(INDIRECT(S$3),'Struktur Aktuell'!$D437,INDIRECT(S$5)))</f>
        <v>0</v>
      </c>
      <c r="T437" s="593">
        <f ca="1">$E437*(SUMIF(INDIRECT(T$3),'Struktur Aktuell'!$D437,INDIRECT(T$5)))</f>
        <v>0</v>
      </c>
      <c r="U437" s="593">
        <f ca="1">$E437*(SUMIF(INDIRECT(U$3),'Struktur Aktuell'!$D437,INDIRECT(U$5)))</f>
        <v>0</v>
      </c>
      <c r="V437" s="593">
        <f ca="1">$E437*(SUMIF(INDIRECT(V$3),'Struktur Aktuell'!$D437,INDIRECT(V$5)))</f>
        <v>0</v>
      </c>
      <c r="W437" s="593">
        <f ca="1">$E437*(SUMIF(INDIRECT(W$3),'Struktur Aktuell'!$D437,INDIRECT(W$5)))</f>
        <v>0</v>
      </c>
      <c r="X437" s="593">
        <f ca="1">$E437*(SUMIF(INDIRECT(X$3),'Struktur Aktuell'!$D437,INDIRECT(X$5)))</f>
        <v>0</v>
      </c>
      <c r="Y437" s="593">
        <f ca="1">$E437*(SUMIF(INDIRECT(Y$3),'Struktur Aktuell'!$D437,INDIRECT(Y$5)))</f>
        <v>0</v>
      </c>
      <c r="Z437" s="838">
        <f ca="1">$E437*(SUMIF(INDIRECT(Z$3),'Struktur Aktuell'!$D437,INDIRECT(Z$5)))</f>
        <v>0</v>
      </c>
      <c r="AA437" s="593">
        <f ca="1">$E437*(SUMIF(INDIRECT(AA$3),'Struktur Aktuell'!$D437,INDIRECT(AA$5)))</f>
        <v>0</v>
      </c>
      <c r="AB437" s="593">
        <f ca="1">$E437*(SUMIF(INDIRECT(AB$3),'Struktur Aktuell'!$D437,INDIRECT(AB$5)))</f>
        <v>0</v>
      </c>
      <c r="AC437" s="593">
        <f ca="1">$E437*(SUMIF(INDIRECT(AC$3),'Struktur Aktuell'!$D437,INDIRECT(AC$5)))</f>
        <v>0</v>
      </c>
      <c r="AD437" s="593">
        <f ca="1">$E437*(SUMIF(INDIRECT(AD$3),'Struktur Aktuell'!$D437,INDIRECT(AD$5)))</f>
        <v>0</v>
      </c>
      <c r="AE437" s="593">
        <f t="shared" ca="1" si="668"/>
        <v>0</v>
      </c>
      <c r="AF437" s="593">
        <f t="shared" ca="1" si="669"/>
        <v>0</v>
      </c>
      <c r="AG437" s="593">
        <f t="shared" ca="1" si="670"/>
        <v>0</v>
      </c>
      <c r="AH437" s="593">
        <f t="shared" ca="1" si="671"/>
        <v>0</v>
      </c>
      <c r="AI437" s="593">
        <f t="shared" ca="1" si="672"/>
        <v>0</v>
      </c>
      <c r="AJ437" s="593">
        <f t="shared" ca="1" si="673"/>
        <v>0</v>
      </c>
      <c r="AK437" s="593">
        <f t="shared" ca="1" si="674"/>
        <v>0</v>
      </c>
      <c r="AL437" s="593">
        <f t="shared" ca="1" si="675"/>
        <v>0</v>
      </c>
      <c r="AM437" s="593">
        <f t="shared" ca="1" si="676"/>
        <v>0</v>
      </c>
      <c r="AN437" s="593">
        <f t="shared" ca="1" si="677"/>
        <v>0</v>
      </c>
      <c r="AO437" s="593">
        <f t="shared" ca="1" si="678"/>
        <v>0</v>
      </c>
      <c r="AP437" s="593">
        <f t="shared" ca="1" si="679"/>
        <v>0</v>
      </c>
    </row>
    <row r="438" spans="1:42" s="594" customFormat="1" ht="11.25" outlineLevel="1" x14ac:dyDescent="0.2">
      <c r="A438" s="644"/>
      <c r="B438" s="591" t="str">
        <f>IF(D438&lt;&gt;"",
IF(ISERROR(MATCH(D438,'Ist Aktuell Monat 01'!A:A,0))=FALSE,INDEX('Ist Aktuell Monat 01'!B:B,MATCH(D438,'Ist Aktuell Monat 01'!A:A,0)),
IF(ISERROR(MATCH(D438,'Ist Aktuell Monat 02'!A:A,0))=FALSE,INDEX('Ist Aktuell Monat 02'!B:B,MATCH(D438,'Ist Aktuell Monat 02'!A:A,0)),
IF(ISERROR(MATCH(D438,'Ist Aktuell Monat 03'!A:A,0))=FALSE,INDEX('Ist Aktuell Monat 03'!B:B,MATCH(D438,'Ist Aktuell Monat 03'!A:A,0)),
IF(ISERROR(MATCH(D438,'Ist Aktuell Monat 04'!A:A,0))=FALSE,INDEX('Ist Aktuell Monat 04'!B:B,MATCH(D438,'Ist Aktuell Monat 04'!A:A,0)),
IF(ISERROR(MATCH(D438,'Ist Aktuell Monat 05'!A:A,0))=FALSE,INDEX('Ist Aktuell Monat 05'!B:B,MATCH(D438,'Ist Aktuell Monat 05'!A:A,0)),
IF(ISERROR(MATCH(D438,'Ist Aktuell Monat 06'!A:A,0))=FALSE,INDEX('Ist Aktuell Monat 06'!B:B,MATCH(D438,'Ist Aktuell Monat 06'!A:A,0)),
IF(ISERROR(MATCH(D438,'Ist Aktuell Monat 07'!A:A,0))=FALSE,INDEX('Ist Aktuell Monat 07'!B:B,MATCH(D438,'Ist Aktuell Monat 07'!A:A,0)),
IF(ISERROR(MATCH(D438,'Ist Aktuell Monat 08'!A:A,0))=FALSE,INDEX('Ist Aktuell Monat 08'!B:B,MATCH(D438,'Ist Aktuell Monat 08'!A:A,0)),
IF(ISERROR(MATCH(D438,'Ist Aktuell Monat 09'!A:A,0))=FALSE,INDEX('Ist Aktuell Monat 09'!B:B,MATCH(D438,'Ist Aktuell Monat 09'!A:A,0)),
IF(ISERROR(MATCH(D438,'Ist Aktuell Monat 10'!A:A,0))=FALSE,INDEX('Ist Aktuell Monat 10'!B:B,MATCH(D438,'Ist Aktuell Monat 10'!A:A,0)),
IF(ISERROR(MATCH(D438,'Ist Aktuell Monat 11'!A:A,0))=FALSE,INDEX('Ist Aktuell Monat 11'!B:B,MATCH(D438,'Ist Aktuell Monat 11'!A:A,0)),
IF(ISERROR(MATCH(D438,'Ist Aktuell Monat 12'!A:A,0))=FALSE,INDEX('Ist Aktuell Monat 12'!B:B,MATCH(D438,'Ist Aktuell Monat 12'!A:A,0)),
"{Konto unbekannt}"
)))))))))))),"")</f>
        <v/>
      </c>
      <c r="C438" s="1062"/>
      <c r="D438" s="1067"/>
      <c r="E438" s="625">
        <f t="shared" si="680"/>
        <v>1</v>
      </c>
      <c r="F438" s="626"/>
      <c r="G438" s="593">
        <f ca="1">$E438*(SUMIF(INDIRECT(G$3),'Struktur Aktuell'!$D438,INDIRECT(G$5)))</f>
        <v>0</v>
      </c>
      <c r="H438" s="593">
        <f ca="1">$E438*(SUMIF(INDIRECT(H$3),'Struktur Aktuell'!$D438,INDIRECT(H$5)))</f>
        <v>0</v>
      </c>
      <c r="I438" s="593">
        <f ca="1">$E438*(SUMIF(INDIRECT(I$3),'Struktur Aktuell'!$D438,INDIRECT(I$5)))</f>
        <v>0</v>
      </c>
      <c r="J438" s="593">
        <f ca="1">$E438*(SUMIF(INDIRECT(J$3),'Struktur Aktuell'!$D438,INDIRECT(J$5)))</f>
        <v>0</v>
      </c>
      <c r="K438" s="593">
        <f ca="1">$E438*(SUMIF(INDIRECT(K$3),'Struktur Aktuell'!$D438,INDIRECT(K$5)))</f>
        <v>0</v>
      </c>
      <c r="L438" s="593">
        <f ca="1">$E438*(SUMIF(INDIRECT(L$3),'Struktur Aktuell'!$D438,INDIRECT(L$5)))</f>
        <v>0</v>
      </c>
      <c r="M438" s="593">
        <f ca="1">$E438*(SUMIF(INDIRECT(M$3),'Struktur Aktuell'!$D438,INDIRECT(M$5)))</f>
        <v>0</v>
      </c>
      <c r="N438" s="838">
        <f ca="1">$E438*(SUMIF(INDIRECT(N$3),'Struktur Aktuell'!$D438,INDIRECT(N$5)))</f>
        <v>0</v>
      </c>
      <c r="O438" s="593">
        <f ca="1">$E438*(SUMIF(INDIRECT(O$3),'Struktur Aktuell'!$D438,INDIRECT(O$5)))</f>
        <v>0</v>
      </c>
      <c r="P438" s="593">
        <f ca="1">$E438*(SUMIF(INDIRECT(P$3),'Struktur Aktuell'!$D438,INDIRECT(P$5)))</f>
        <v>0</v>
      </c>
      <c r="Q438" s="593">
        <f ca="1">$E438*(SUMIF(INDIRECT(Q$3),'Struktur Aktuell'!$D438,INDIRECT(Q$5)))</f>
        <v>0</v>
      </c>
      <c r="R438" s="593">
        <f ca="1">$E438*(SUMIF(INDIRECT(R$3),'Struktur Aktuell'!$D438,INDIRECT(R$5)))</f>
        <v>0</v>
      </c>
      <c r="S438" s="593">
        <f ca="1">$E438*(SUMIF(INDIRECT(S$3),'Struktur Aktuell'!$D438,INDIRECT(S$5)))</f>
        <v>0</v>
      </c>
      <c r="T438" s="593">
        <f ca="1">$E438*(SUMIF(INDIRECT(T$3),'Struktur Aktuell'!$D438,INDIRECT(T$5)))</f>
        <v>0</v>
      </c>
      <c r="U438" s="593">
        <f ca="1">$E438*(SUMIF(INDIRECT(U$3),'Struktur Aktuell'!$D438,INDIRECT(U$5)))</f>
        <v>0</v>
      </c>
      <c r="V438" s="593">
        <f ca="1">$E438*(SUMIF(INDIRECT(V$3),'Struktur Aktuell'!$D438,INDIRECT(V$5)))</f>
        <v>0</v>
      </c>
      <c r="W438" s="593">
        <f ca="1">$E438*(SUMIF(INDIRECT(W$3),'Struktur Aktuell'!$D438,INDIRECT(W$5)))</f>
        <v>0</v>
      </c>
      <c r="X438" s="593">
        <f ca="1">$E438*(SUMIF(INDIRECT(X$3),'Struktur Aktuell'!$D438,INDIRECT(X$5)))</f>
        <v>0</v>
      </c>
      <c r="Y438" s="593">
        <f ca="1">$E438*(SUMIF(INDIRECT(Y$3),'Struktur Aktuell'!$D438,INDIRECT(Y$5)))</f>
        <v>0</v>
      </c>
      <c r="Z438" s="838">
        <f ca="1">$E438*(SUMIF(INDIRECT(Z$3),'Struktur Aktuell'!$D438,INDIRECT(Z$5)))</f>
        <v>0</v>
      </c>
      <c r="AA438" s="593">
        <f ca="1">$E438*(SUMIF(INDIRECT(AA$3),'Struktur Aktuell'!$D438,INDIRECT(AA$5)))</f>
        <v>0</v>
      </c>
      <c r="AB438" s="593">
        <f ca="1">$E438*(SUMIF(INDIRECT(AB$3),'Struktur Aktuell'!$D438,INDIRECT(AB$5)))</f>
        <v>0</v>
      </c>
      <c r="AC438" s="593">
        <f ca="1">$E438*(SUMIF(INDIRECT(AC$3),'Struktur Aktuell'!$D438,INDIRECT(AC$5)))</f>
        <v>0</v>
      </c>
      <c r="AD438" s="593">
        <f ca="1">$E438*(SUMIF(INDIRECT(AD$3),'Struktur Aktuell'!$D438,INDIRECT(AD$5)))</f>
        <v>0</v>
      </c>
      <c r="AE438" s="593">
        <f t="shared" ca="1" si="668"/>
        <v>0</v>
      </c>
      <c r="AF438" s="593">
        <f t="shared" ca="1" si="669"/>
        <v>0</v>
      </c>
      <c r="AG438" s="593">
        <f t="shared" ca="1" si="670"/>
        <v>0</v>
      </c>
      <c r="AH438" s="593">
        <f t="shared" ca="1" si="671"/>
        <v>0</v>
      </c>
      <c r="AI438" s="593">
        <f t="shared" ca="1" si="672"/>
        <v>0</v>
      </c>
      <c r="AJ438" s="593">
        <f t="shared" ca="1" si="673"/>
        <v>0</v>
      </c>
      <c r="AK438" s="593">
        <f t="shared" ca="1" si="674"/>
        <v>0</v>
      </c>
      <c r="AL438" s="593">
        <f t="shared" ca="1" si="675"/>
        <v>0</v>
      </c>
      <c r="AM438" s="593">
        <f t="shared" ca="1" si="676"/>
        <v>0</v>
      </c>
      <c r="AN438" s="593">
        <f t="shared" ca="1" si="677"/>
        <v>0</v>
      </c>
      <c r="AO438" s="593">
        <f t="shared" ca="1" si="678"/>
        <v>0</v>
      </c>
      <c r="AP438" s="593">
        <f t="shared" ca="1" si="679"/>
        <v>0</v>
      </c>
    </row>
    <row r="439" spans="1:42" s="594" customFormat="1" ht="11.25" outlineLevel="1" x14ac:dyDescent="0.2">
      <c r="A439" s="644"/>
      <c r="B439" s="591" t="str">
        <f>IF(D439&lt;&gt;"",
IF(ISERROR(MATCH(D439,'Ist Aktuell Monat 01'!A:A,0))=FALSE,INDEX('Ist Aktuell Monat 01'!B:B,MATCH(D439,'Ist Aktuell Monat 01'!A:A,0)),
IF(ISERROR(MATCH(D439,'Ist Aktuell Monat 02'!A:A,0))=FALSE,INDEX('Ist Aktuell Monat 02'!B:B,MATCH(D439,'Ist Aktuell Monat 02'!A:A,0)),
IF(ISERROR(MATCH(D439,'Ist Aktuell Monat 03'!A:A,0))=FALSE,INDEX('Ist Aktuell Monat 03'!B:B,MATCH(D439,'Ist Aktuell Monat 03'!A:A,0)),
IF(ISERROR(MATCH(D439,'Ist Aktuell Monat 04'!A:A,0))=FALSE,INDEX('Ist Aktuell Monat 04'!B:B,MATCH(D439,'Ist Aktuell Monat 04'!A:A,0)),
IF(ISERROR(MATCH(D439,'Ist Aktuell Monat 05'!A:A,0))=FALSE,INDEX('Ist Aktuell Monat 05'!B:B,MATCH(D439,'Ist Aktuell Monat 05'!A:A,0)),
IF(ISERROR(MATCH(D439,'Ist Aktuell Monat 06'!A:A,0))=FALSE,INDEX('Ist Aktuell Monat 06'!B:B,MATCH(D439,'Ist Aktuell Monat 06'!A:A,0)),
IF(ISERROR(MATCH(D439,'Ist Aktuell Monat 07'!A:A,0))=FALSE,INDEX('Ist Aktuell Monat 07'!B:B,MATCH(D439,'Ist Aktuell Monat 07'!A:A,0)),
IF(ISERROR(MATCH(D439,'Ist Aktuell Monat 08'!A:A,0))=FALSE,INDEX('Ist Aktuell Monat 08'!B:B,MATCH(D439,'Ist Aktuell Monat 08'!A:A,0)),
IF(ISERROR(MATCH(D439,'Ist Aktuell Monat 09'!A:A,0))=FALSE,INDEX('Ist Aktuell Monat 09'!B:B,MATCH(D439,'Ist Aktuell Monat 09'!A:A,0)),
IF(ISERROR(MATCH(D439,'Ist Aktuell Monat 10'!A:A,0))=FALSE,INDEX('Ist Aktuell Monat 10'!B:B,MATCH(D439,'Ist Aktuell Monat 10'!A:A,0)),
IF(ISERROR(MATCH(D439,'Ist Aktuell Monat 11'!A:A,0))=FALSE,INDEX('Ist Aktuell Monat 11'!B:B,MATCH(D439,'Ist Aktuell Monat 11'!A:A,0)),
IF(ISERROR(MATCH(D439,'Ist Aktuell Monat 12'!A:A,0))=FALSE,INDEX('Ist Aktuell Monat 12'!B:B,MATCH(D439,'Ist Aktuell Monat 12'!A:A,0)),
"{Konto unbekannt}"
)))))))))))),"")</f>
        <v/>
      </c>
      <c r="C439" s="1062"/>
      <c r="D439" s="1067"/>
      <c r="E439" s="625">
        <f t="shared" si="680"/>
        <v>1</v>
      </c>
      <c r="F439" s="626"/>
      <c r="G439" s="593">
        <f ca="1">$E439*(SUMIF(INDIRECT(G$3),'Struktur Aktuell'!$D439,INDIRECT(G$5)))</f>
        <v>0</v>
      </c>
      <c r="H439" s="593">
        <f ca="1">$E439*(SUMIF(INDIRECT(H$3),'Struktur Aktuell'!$D439,INDIRECT(H$5)))</f>
        <v>0</v>
      </c>
      <c r="I439" s="593">
        <f ca="1">$E439*(SUMIF(INDIRECT(I$3),'Struktur Aktuell'!$D439,INDIRECT(I$5)))</f>
        <v>0</v>
      </c>
      <c r="J439" s="593">
        <f ca="1">$E439*(SUMIF(INDIRECT(J$3),'Struktur Aktuell'!$D439,INDIRECT(J$5)))</f>
        <v>0</v>
      </c>
      <c r="K439" s="593">
        <f ca="1">$E439*(SUMIF(INDIRECT(K$3),'Struktur Aktuell'!$D439,INDIRECT(K$5)))</f>
        <v>0</v>
      </c>
      <c r="L439" s="593">
        <f ca="1">$E439*(SUMIF(INDIRECT(L$3),'Struktur Aktuell'!$D439,INDIRECT(L$5)))</f>
        <v>0</v>
      </c>
      <c r="M439" s="593">
        <f ca="1">$E439*(SUMIF(INDIRECT(M$3),'Struktur Aktuell'!$D439,INDIRECT(M$5)))</f>
        <v>0</v>
      </c>
      <c r="N439" s="593">
        <f ca="1">$E439*(SUMIF(INDIRECT(N$3),'Struktur Aktuell'!$D439,INDIRECT(N$5)))</f>
        <v>0</v>
      </c>
      <c r="O439" s="593">
        <f ca="1">$E439*(SUMIF(INDIRECT(O$3),'Struktur Aktuell'!$D439,INDIRECT(O$5)))</f>
        <v>0</v>
      </c>
      <c r="P439" s="593">
        <f ca="1">$E439*(SUMIF(INDIRECT(P$3),'Struktur Aktuell'!$D439,INDIRECT(P$5)))</f>
        <v>0</v>
      </c>
      <c r="Q439" s="593">
        <f ca="1">$E439*(SUMIF(INDIRECT(Q$3),'Struktur Aktuell'!$D439,INDIRECT(Q$5)))</f>
        <v>0</v>
      </c>
      <c r="R439" s="593">
        <f ca="1">$E439*(SUMIF(INDIRECT(R$3),'Struktur Aktuell'!$D439,INDIRECT(R$5)))</f>
        <v>0</v>
      </c>
      <c r="S439" s="593">
        <f ca="1">$E439*(SUMIF(INDIRECT(S$3),'Struktur Aktuell'!$D439,INDIRECT(S$5)))</f>
        <v>0</v>
      </c>
      <c r="T439" s="593">
        <f ca="1">$E439*(SUMIF(INDIRECT(T$3),'Struktur Aktuell'!$D439,INDIRECT(T$5)))</f>
        <v>0</v>
      </c>
      <c r="U439" s="593">
        <f ca="1">$E439*(SUMIF(INDIRECT(U$3),'Struktur Aktuell'!$D439,INDIRECT(U$5)))</f>
        <v>0</v>
      </c>
      <c r="V439" s="593">
        <f ca="1">$E439*(SUMIF(INDIRECT(V$3),'Struktur Aktuell'!$D439,INDIRECT(V$5)))</f>
        <v>0</v>
      </c>
      <c r="W439" s="593">
        <f ca="1">$E439*(SUMIF(INDIRECT(W$3),'Struktur Aktuell'!$D439,INDIRECT(W$5)))</f>
        <v>0</v>
      </c>
      <c r="X439" s="593">
        <f ca="1">$E439*(SUMIF(INDIRECT(X$3),'Struktur Aktuell'!$D439,INDIRECT(X$5)))</f>
        <v>0</v>
      </c>
      <c r="Y439" s="593">
        <f ca="1">$E439*(SUMIF(INDIRECT(Y$3),'Struktur Aktuell'!$D439,INDIRECT(Y$5)))</f>
        <v>0</v>
      </c>
      <c r="Z439" s="593">
        <f ca="1">$E439*(SUMIF(INDIRECT(Z$3),'Struktur Aktuell'!$D439,INDIRECT(Z$5)))</f>
        <v>0</v>
      </c>
      <c r="AA439" s="593">
        <f ca="1">$E439*(SUMIF(INDIRECT(AA$3),'Struktur Aktuell'!$D439,INDIRECT(AA$5)))</f>
        <v>0</v>
      </c>
      <c r="AB439" s="593">
        <f ca="1">$E439*(SUMIF(INDIRECT(AB$3),'Struktur Aktuell'!$D439,INDIRECT(AB$5)))</f>
        <v>0</v>
      </c>
      <c r="AC439" s="593">
        <f ca="1">$E439*(SUMIF(INDIRECT(AC$3),'Struktur Aktuell'!$D439,INDIRECT(AC$5)))</f>
        <v>0</v>
      </c>
      <c r="AD439" s="593">
        <f ca="1">$E439*(SUMIF(INDIRECT(AD$3),'Struktur Aktuell'!$D439,INDIRECT(AD$5)))</f>
        <v>0</v>
      </c>
      <c r="AE439" s="593">
        <f t="shared" ca="1" si="668"/>
        <v>0</v>
      </c>
      <c r="AF439" s="593">
        <f t="shared" ca="1" si="669"/>
        <v>0</v>
      </c>
      <c r="AG439" s="593">
        <f t="shared" ca="1" si="670"/>
        <v>0</v>
      </c>
      <c r="AH439" s="593">
        <f t="shared" ca="1" si="671"/>
        <v>0</v>
      </c>
      <c r="AI439" s="593">
        <f t="shared" ca="1" si="672"/>
        <v>0</v>
      </c>
      <c r="AJ439" s="593">
        <f t="shared" ca="1" si="673"/>
        <v>0</v>
      </c>
      <c r="AK439" s="593">
        <f t="shared" ca="1" si="674"/>
        <v>0</v>
      </c>
      <c r="AL439" s="593">
        <f t="shared" ca="1" si="675"/>
        <v>0</v>
      </c>
      <c r="AM439" s="593">
        <f t="shared" ca="1" si="676"/>
        <v>0</v>
      </c>
      <c r="AN439" s="593">
        <f t="shared" ca="1" si="677"/>
        <v>0</v>
      </c>
      <c r="AO439" s="593">
        <f t="shared" ca="1" si="678"/>
        <v>0</v>
      </c>
      <c r="AP439" s="593">
        <f t="shared" ca="1" si="679"/>
        <v>0</v>
      </c>
    </row>
    <row r="440" spans="1:42" s="594" customFormat="1" ht="11.25" outlineLevel="1" x14ac:dyDescent="0.2">
      <c r="A440" s="644"/>
      <c r="B440" s="591" t="str">
        <f>IF(D440&lt;&gt;"",
IF(ISERROR(MATCH(D440,'Ist Aktuell Monat 01'!A:A,0))=FALSE,INDEX('Ist Aktuell Monat 01'!B:B,MATCH(D440,'Ist Aktuell Monat 01'!A:A,0)),
IF(ISERROR(MATCH(D440,'Ist Aktuell Monat 02'!A:A,0))=FALSE,INDEX('Ist Aktuell Monat 02'!B:B,MATCH(D440,'Ist Aktuell Monat 02'!A:A,0)),
IF(ISERROR(MATCH(D440,'Ist Aktuell Monat 03'!A:A,0))=FALSE,INDEX('Ist Aktuell Monat 03'!B:B,MATCH(D440,'Ist Aktuell Monat 03'!A:A,0)),
IF(ISERROR(MATCH(D440,'Ist Aktuell Monat 04'!A:A,0))=FALSE,INDEX('Ist Aktuell Monat 04'!B:B,MATCH(D440,'Ist Aktuell Monat 04'!A:A,0)),
IF(ISERROR(MATCH(D440,'Ist Aktuell Monat 05'!A:A,0))=FALSE,INDEX('Ist Aktuell Monat 05'!B:B,MATCH(D440,'Ist Aktuell Monat 05'!A:A,0)),
IF(ISERROR(MATCH(D440,'Ist Aktuell Monat 06'!A:A,0))=FALSE,INDEX('Ist Aktuell Monat 06'!B:B,MATCH(D440,'Ist Aktuell Monat 06'!A:A,0)),
IF(ISERROR(MATCH(D440,'Ist Aktuell Monat 07'!A:A,0))=FALSE,INDEX('Ist Aktuell Monat 07'!B:B,MATCH(D440,'Ist Aktuell Monat 07'!A:A,0)),
IF(ISERROR(MATCH(D440,'Ist Aktuell Monat 08'!A:A,0))=FALSE,INDEX('Ist Aktuell Monat 08'!B:B,MATCH(D440,'Ist Aktuell Monat 08'!A:A,0)),
IF(ISERROR(MATCH(D440,'Ist Aktuell Monat 09'!A:A,0))=FALSE,INDEX('Ist Aktuell Monat 09'!B:B,MATCH(D440,'Ist Aktuell Monat 09'!A:A,0)),
IF(ISERROR(MATCH(D440,'Ist Aktuell Monat 10'!A:A,0))=FALSE,INDEX('Ist Aktuell Monat 10'!B:B,MATCH(D440,'Ist Aktuell Monat 10'!A:A,0)),
IF(ISERROR(MATCH(D440,'Ist Aktuell Monat 11'!A:A,0))=FALSE,INDEX('Ist Aktuell Monat 11'!B:B,MATCH(D440,'Ist Aktuell Monat 11'!A:A,0)),
IF(ISERROR(MATCH(D440,'Ist Aktuell Monat 12'!A:A,0))=FALSE,INDEX('Ist Aktuell Monat 12'!B:B,MATCH(D440,'Ist Aktuell Monat 12'!A:A,0)),
"{Konto unbekannt}"
)))))))))))),"")</f>
        <v/>
      </c>
      <c r="C440" s="1062"/>
      <c r="D440" s="1067"/>
      <c r="E440" s="625">
        <f>IF(F440="-",-1,1)</f>
        <v>1</v>
      </c>
      <c r="F440" s="626"/>
      <c r="G440" s="593">
        <f ca="1">$E440*(SUMIF(INDIRECT(G$3),'Struktur Aktuell'!$D440,INDIRECT(G$5)))</f>
        <v>0</v>
      </c>
      <c r="H440" s="593">
        <f ca="1">$E440*(SUMIF(INDIRECT(H$3),'Struktur Aktuell'!$D440,INDIRECT(H$5)))</f>
        <v>0</v>
      </c>
      <c r="I440" s="593">
        <f ca="1">$E440*(SUMIF(INDIRECT(I$3),'Struktur Aktuell'!$D440,INDIRECT(I$5)))</f>
        <v>0</v>
      </c>
      <c r="J440" s="593">
        <f ca="1">$E440*(SUMIF(INDIRECT(J$3),'Struktur Aktuell'!$D440,INDIRECT(J$5)))</f>
        <v>0</v>
      </c>
      <c r="K440" s="593">
        <f ca="1">$E440*(SUMIF(INDIRECT(K$3),'Struktur Aktuell'!$D440,INDIRECT(K$5)))</f>
        <v>0</v>
      </c>
      <c r="L440" s="593">
        <f ca="1">$E440*(SUMIF(INDIRECT(L$3),'Struktur Aktuell'!$D440,INDIRECT(L$5)))</f>
        <v>0</v>
      </c>
      <c r="M440" s="593">
        <f ca="1">$E440*(SUMIF(INDIRECT(M$3),'Struktur Aktuell'!$D440,INDIRECT(M$5)))</f>
        <v>0</v>
      </c>
      <c r="N440" s="593">
        <f ca="1">$E440*(SUMIF(INDIRECT(N$3),'Struktur Aktuell'!$D440,INDIRECT(N$5)))</f>
        <v>0</v>
      </c>
      <c r="O440" s="593">
        <f ca="1">$E440*(SUMIF(INDIRECT(O$3),'Struktur Aktuell'!$D440,INDIRECT(O$5)))</f>
        <v>0</v>
      </c>
      <c r="P440" s="593">
        <f ca="1">$E440*(SUMIF(INDIRECT(P$3),'Struktur Aktuell'!$D440,INDIRECT(P$5)))</f>
        <v>0</v>
      </c>
      <c r="Q440" s="593">
        <f ca="1">$E440*(SUMIF(INDIRECT(Q$3),'Struktur Aktuell'!$D440,INDIRECT(Q$5)))</f>
        <v>0</v>
      </c>
      <c r="R440" s="593">
        <f ca="1">$E440*(SUMIF(INDIRECT(R$3),'Struktur Aktuell'!$D440,INDIRECT(R$5)))</f>
        <v>0</v>
      </c>
      <c r="S440" s="593">
        <f ca="1">$E440*(SUMIF(INDIRECT(S$3),'Struktur Aktuell'!$D440,INDIRECT(S$5)))</f>
        <v>0</v>
      </c>
      <c r="T440" s="593">
        <f ca="1">$E440*(SUMIF(INDIRECT(T$3),'Struktur Aktuell'!$D440,INDIRECT(T$5)))</f>
        <v>0</v>
      </c>
      <c r="U440" s="593">
        <f ca="1">$E440*(SUMIF(INDIRECT(U$3),'Struktur Aktuell'!$D440,INDIRECT(U$5)))</f>
        <v>0</v>
      </c>
      <c r="V440" s="593">
        <f ca="1">$E440*(SUMIF(INDIRECT(V$3),'Struktur Aktuell'!$D440,INDIRECT(V$5)))</f>
        <v>0</v>
      </c>
      <c r="W440" s="593">
        <f ca="1">$E440*(SUMIF(INDIRECT(W$3),'Struktur Aktuell'!$D440,INDIRECT(W$5)))</f>
        <v>0</v>
      </c>
      <c r="X440" s="593">
        <f ca="1">$E440*(SUMIF(INDIRECT(X$3),'Struktur Aktuell'!$D440,INDIRECT(X$5)))</f>
        <v>0</v>
      </c>
      <c r="Y440" s="593">
        <f ca="1">$E440*(SUMIF(INDIRECT(Y$3),'Struktur Aktuell'!$D440,INDIRECT(Y$5)))</f>
        <v>0</v>
      </c>
      <c r="Z440" s="593">
        <f ca="1">$E440*(SUMIF(INDIRECT(Z$3),'Struktur Aktuell'!$D440,INDIRECT(Z$5)))</f>
        <v>0</v>
      </c>
      <c r="AA440" s="593">
        <f ca="1">$E440*(SUMIF(INDIRECT(AA$3),'Struktur Aktuell'!$D440,INDIRECT(AA$5)))</f>
        <v>0</v>
      </c>
      <c r="AB440" s="593">
        <f ca="1">$E440*(SUMIF(INDIRECT(AB$3),'Struktur Aktuell'!$D440,INDIRECT(AB$5)))</f>
        <v>0</v>
      </c>
      <c r="AC440" s="593">
        <f ca="1">$E440*(SUMIF(INDIRECT(AC$3),'Struktur Aktuell'!$D440,INDIRECT(AC$5)))</f>
        <v>0</v>
      </c>
      <c r="AD440" s="593">
        <f ca="1">$E440*(SUMIF(INDIRECT(AD$3),'Struktur Aktuell'!$D440,INDIRECT(AD$5)))</f>
        <v>0</v>
      </c>
      <c r="AE440" s="593">
        <f ca="1">G440</f>
        <v>0</v>
      </c>
      <c r="AF440" s="593">
        <f t="shared" ref="AF440:AP440" ca="1" si="681">H440+AE440</f>
        <v>0</v>
      </c>
      <c r="AG440" s="593">
        <f t="shared" ca="1" si="681"/>
        <v>0</v>
      </c>
      <c r="AH440" s="593">
        <f t="shared" ca="1" si="681"/>
        <v>0</v>
      </c>
      <c r="AI440" s="593">
        <f t="shared" ca="1" si="681"/>
        <v>0</v>
      </c>
      <c r="AJ440" s="593">
        <f t="shared" ca="1" si="681"/>
        <v>0</v>
      </c>
      <c r="AK440" s="593">
        <f t="shared" ca="1" si="681"/>
        <v>0</v>
      </c>
      <c r="AL440" s="593">
        <f t="shared" ca="1" si="681"/>
        <v>0</v>
      </c>
      <c r="AM440" s="593">
        <f t="shared" ca="1" si="681"/>
        <v>0</v>
      </c>
      <c r="AN440" s="593">
        <f t="shared" ca="1" si="681"/>
        <v>0</v>
      </c>
      <c r="AO440" s="593">
        <f t="shared" ca="1" si="681"/>
        <v>0</v>
      </c>
      <c r="AP440" s="593">
        <f t="shared" ca="1" si="681"/>
        <v>0</v>
      </c>
    </row>
    <row r="441" spans="1:42" s="594" customFormat="1" ht="11.25" outlineLevel="1" x14ac:dyDescent="0.2">
      <c r="A441" s="644"/>
      <c r="B441" s="591" t="str">
        <f>IF(D441&lt;&gt;"",
IF(ISERROR(MATCH(D441,'Ist Aktuell Monat 01'!A:A,0))=FALSE,INDEX('Ist Aktuell Monat 01'!B:B,MATCH(D441,'Ist Aktuell Monat 01'!A:A,0)),
IF(ISERROR(MATCH(D441,'Ist Aktuell Monat 02'!A:A,0))=FALSE,INDEX('Ist Aktuell Monat 02'!B:B,MATCH(D441,'Ist Aktuell Monat 02'!A:A,0)),
IF(ISERROR(MATCH(D441,'Ist Aktuell Monat 03'!A:A,0))=FALSE,INDEX('Ist Aktuell Monat 03'!B:B,MATCH(D441,'Ist Aktuell Monat 03'!A:A,0)),
IF(ISERROR(MATCH(D441,'Ist Aktuell Monat 04'!A:A,0))=FALSE,INDEX('Ist Aktuell Monat 04'!B:B,MATCH(D441,'Ist Aktuell Monat 04'!A:A,0)),
IF(ISERROR(MATCH(D441,'Ist Aktuell Monat 05'!A:A,0))=FALSE,INDEX('Ist Aktuell Monat 05'!B:B,MATCH(D441,'Ist Aktuell Monat 05'!A:A,0)),
IF(ISERROR(MATCH(D441,'Ist Aktuell Monat 06'!A:A,0))=FALSE,INDEX('Ist Aktuell Monat 06'!B:B,MATCH(D441,'Ist Aktuell Monat 06'!A:A,0)),
IF(ISERROR(MATCH(D441,'Ist Aktuell Monat 07'!A:A,0))=FALSE,INDEX('Ist Aktuell Monat 07'!B:B,MATCH(D441,'Ist Aktuell Monat 07'!A:A,0)),
IF(ISERROR(MATCH(D441,'Ist Aktuell Monat 08'!A:A,0))=FALSE,INDEX('Ist Aktuell Monat 08'!B:B,MATCH(D441,'Ist Aktuell Monat 08'!A:A,0)),
IF(ISERROR(MATCH(D441,'Ist Aktuell Monat 09'!A:A,0))=FALSE,INDEX('Ist Aktuell Monat 09'!B:B,MATCH(D441,'Ist Aktuell Monat 09'!A:A,0)),
IF(ISERROR(MATCH(D441,'Ist Aktuell Monat 10'!A:A,0))=FALSE,INDEX('Ist Aktuell Monat 10'!B:B,MATCH(D441,'Ist Aktuell Monat 10'!A:A,0)),
IF(ISERROR(MATCH(D441,'Ist Aktuell Monat 11'!A:A,0))=FALSE,INDEX('Ist Aktuell Monat 11'!B:B,MATCH(D441,'Ist Aktuell Monat 11'!A:A,0)),
IF(ISERROR(MATCH(D441,'Ist Aktuell Monat 12'!A:A,0))=FALSE,INDEX('Ist Aktuell Monat 12'!B:B,MATCH(D441,'Ist Aktuell Monat 12'!A:A,0)),
"{Konto unbekannt}"
)))))))))))),"")</f>
        <v/>
      </c>
      <c r="C441" s="1062"/>
      <c r="D441" s="1067"/>
      <c r="E441" s="625">
        <f t="shared" si="680"/>
        <v>1</v>
      </c>
      <c r="F441" s="626"/>
      <c r="G441" s="593">
        <f ca="1">$E441*(SUMIF(INDIRECT(G$3),'Struktur Aktuell'!$D441,INDIRECT(G$5)))</f>
        <v>0</v>
      </c>
      <c r="H441" s="593">
        <f ca="1">$E441*(SUMIF(INDIRECT(H$3),'Struktur Aktuell'!$D441,INDIRECT(H$5)))</f>
        <v>0</v>
      </c>
      <c r="I441" s="593">
        <f ca="1">$E441*(SUMIF(INDIRECT(I$3),'Struktur Aktuell'!$D441,INDIRECT(I$5)))</f>
        <v>0</v>
      </c>
      <c r="J441" s="593">
        <f ca="1">$E441*(SUMIF(INDIRECT(J$3),'Struktur Aktuell'!$D441,INDIRECT(J$5)))</f>
        <v>0</v>
      </c>
      <c r="K441" s="593">
        <f ca="1">$E441*(SUMIF(INDIRECT(K$3),'Struktur Aktuell'!$D441,INDIRECT(K$5)))</f>
        <v>0</v>
      </c>
      <c r="L441" s="593">
        <f ca="1">$E441*(SUMIF(INDIRECT(L$3),'Struktur Aktuell'!$D441,INDIRECT(L$5)))</f>
        <v>0</v>
      </c>
      <c r="M441" s="593">
        <f ca="1">$E441*(SUMIF(INDIRECT(M$3),'Struktur Aktuell'!$D441,INDIRECT(M$5)))</f>
        <v>0</v>
      </c>
      <c r="N441" s="593">
        <f ca="1">$E441*(SUMIF(INDIRECT(N$3),'Struktur Aktuell'!$D441,INDIRECT(N$5)))</f>
        <v>0</v>
      </c>
      <c r="O441" s="593">
        <f ca="1">$E441*(SUMIF(INDIRECT(O$3),'Struktur Aktuell'!$D441,INDIRECT(O$5)))</f>
        <v>0</v>
      </c>
      <c r="P441" s="593">
        <f ca="1">$E441*(SUMIF(INDIRECT(P$3),'Struktur Aktuell'!$D441,INDIRECT(P$5)))</f>
        <v>0</v>
      </c>
      <c r="Q441" s="593">
        <f ca="1">$E441*(SUMIF(INDIRECT(Q$3),'Struktur Aktuell'!$D441,INDIRECT(Q$5)))</f>
        <v>0</v>
      </c>
      <c r="R441" s="593">
        <f ca="1">$E441*(SUMIF(INDIRECT(R$3),'Struktur Aktuell'!$D441,INDIRECT(R$5)))</f>
        <v>0</v>
      </c>
      <c r="S441" s="593">
        <f ca="1">$E441*(SUMIF(INDIRECT(S$3),'Struktur Aktuell'!$D441,INDIRECT(S$5)))</f>
        <v>0</v>
      </c>
      <c r="T441" s="593">
        <f ca="1">$E441*(SUMIF(INDIRECT(T$3),'Struktur Aktuell'!$D441,INDIRECT(T$5)))</f>
        <v>0</v>
      </c>
      <c r="U441" s="593">
        <f ca="1">$E441*(SUMIF(INDIRECT(U$3),'Struktur Aktuell'!$D441,INDIRECT(U$5)))</f>
        <v>0</v>
      </c>
      <c r="V441" s="593">
        <f ca="1">$E441*(SUMIF(INDIRECT(V$3),'Struktur Aktuell'!$D441,INDIRECT(V$5)))</f>
        <v>0</v>
      </c>
      <c r="W441" s="593">
        <f ca="1">$E441*(SUMIF(INDIRECT(W$3),'Struktur Aktuell'!$D441,INDIRECT(W$5)))</f>
        <v>0</v>
      </c>
      <c r="X441" s="593">
        <f ca="1">$E441*(SUMIF(INDIRECT(X$3),'Struktur Aktuell'!$D441,INDIRECT(X$5)))</f>
        <v>0</v>
      </c>
      <c r="Y441" s="593">
        <f ca="1">$E441*(SUMIF(INDIRECT(Y$3),'Struktur Aktuell'!$D441,INDIRECT(Y$5)))</f>
        <v>0</v>
      </c>
      <c r="Z441" s="593">
        <f ca="1">$E441*(SUMIF(INDIRECT(Z$3),'Struktur Aktuell'!$D441,INDIRECT(Z$5)))</f>
        <v>0</v>
      </c>
      <c r="AA441" s="593">
        <f ca="1">$E441*(SUMIF(INDIRECT(AA$3),'Struktur Aktuell'!$D441,INDIRECT(AA$5)))</f>
        <v>0</v>
      </c>
      <c r="AB441" s="593">
        <f ca="1">$E441*(SUMIF(INDIRECT(AB$3),'Struktur Aktuell'!$D441,INDIRECT(AB$5)))</f>
        <v>0</v>
      </c>
      <c r="AC441" s="593">
        <f ca="1">$E441*(SUMIF(INDIRECT(AC$3),'Struktur Aktuell'!$D441,INDIRECT(AC$5)))</f>
        <v>0</v>
      </c>
      <c r="AD441" s="593">
        <f ca="1">$E441*(SUMIF(INDIRECT(AD$3),'Struktur Aktuell'!$D441,INDIRECT(AD$5)))</f>
        <v>0</v>
      </c>
      <c r="AE441" s="593">
        <f t="shared" ca="1" si="668"/>
        <v>0</v>
      </c>
      <c r="AF441" s="593">
        <f t="shared" ca="1" si="669"/>
        <v>0</v>
      </c>
      <c r="AG441" s="593">
        <f t="shared" ca="1" si="670"/>
        <v>0</v>
      </c>
      <c r="AH441" s="593">
        <f t="shared" ca="1" si="671"/>
        <v>0</v>
      </c>
      <c r="AI441" s="593">
        <f t="shared" ca="1" si="672"/>
        <v>0</v>
      </c>
      <c r="AJ441" s="593">
        <f t="shared" ca="1" si="673"/>
        <v>0</v>
      </c>
      <c r="AK441" s="593">
        <f t="shared" ca="1" si="674"/>
        <v>0</v>
      </c>
      <c r="AL441" s="593">
        <f t="shared" ca="1" si="675"/>
        <v>0</v>
      </c>
      <c r="AM441" s="593">
        <f t="shared" ca="1" si="676"/>
        <v>0</v>
      </c>
      <c r="AN441" s="593">
        <f t="shared" ca="1" si="677"/>
        <v>0</v>
      </c>
      <c r="AO441" s="593">
        <f t="shared" ca="1" si="678"/>
        <v>0</v>
      </c>
      <c r="AP441" s="593">
        <f t="shared" ca="1" si="679"/>
        <v>0</v>
      </c>
    </row>
    <row r="442" spans="1:42" s="589" customFormat="1" outlineLevel="1" x14ac:dyDescent="0.2">
      <c r="A442" s="629">
        <v>41</v>
      </c>
      <c r="B442" s="623" t="s">
        <v>85</v>
      </c>
      <c r="C442" s="627">
        <f ca="1">SUM(G442:R442)</f>
        <v>0</v>
      </c>
      <c r="D442" s="627"/>
      <c r="E442" s="628">
        <f t="shared" si="602"/>
        <v>1</v>
      </c>
      <c r="F442" s="629"/>
      <c r="G442" s="627">
        <f ca="1">SUM(G443:G458)</f>
        <v>0</v>
      </c>
      <c r="H442" s="627">
        <f t="shared" ref="H442:R442" ca="1" si="682">SUM(H443:H458)</f>
        <v>0</v>
      </c>
      <c r="I442" s="627">
        <f t="shared" ca="1" si="682"/>
        <v>0</v>
      </c>
      <c r="J442" s="627">
        <f t="shared" ca="1" si="682"/>
        <v>0</v>
      </c>
      <c r="K442" s="627">
        <f t="shared" ca="1" si="682"/>
        <v>0</v>
      </c>
      <c r="L442" s="627">
        <f t="shared" ca="1" si="682"/>
        <v>0</v>
      </c>
      <c r="M442" s="627">
        <f t="shared" ca="1" si="682"/>
        <v>0</v>
      </c>
      <c r="N442" s="627">
        <f t="shared" ca="1" si="682"/>
        <v>0</v>
      </c>
      <c r="O442" s="627">
        <f t="shared" ca="1" si="682"/>
        <v>0</v>
      </c>
      <c r="P442" s="627">
        <f t="shared" ca="1" si="682"/>
        <v>0</v>
      </c>
      <c r="Q442" s="627">
        <f t="shared" ca="1" si="682"/>
        <v>0</v>
      </c>
      <c r="R442" s="627">
        <f t="shared" ca="1" si="682"/>
        <v>0</v>
      </c>
      <c r="S442" s="627">
        <f ca="1">SUM(S443:S458)</f>
        <v>0</v>
      </c>
      <c r="T442" s="627">
        <f t="shared" ref="T442:AD442" ca="1" si="683">SUM(T443:T458)</f>
        <v>0</v>
      </c>
      <c r="U442" s="627">
        <f t="shared" ca="1" si="683"/>
        <v>0</v>
      </c>
      <c r="V442" s="627">
        <f t="shared" ca="1" si="683"/>
        <v>0</v>
      </c>
      <c r="W442" s="627">
        <f t="shared" ca="1" si="683"/>
        <v>0</v>
      </c>
      <c r="X442" s="627">
        <f t="shared" ca="1" si="683"/>
        <v>0</v>
      </c>
      <c r="Y442" s="627">
        <f t="shared" ca="1" si="683"/>
        <v>0</v>
      </c>
      <c r="Z442" s="627">
        <f t="shared" ca="1" si="683"/>
        <v>0</v>
      </c>
      <c r="AA442" s="627">
        <f t="shared" ca="1" si="683"/>
        <v>0</v>
      </c>
      <c r="AB442" s="627">
        <f t="shared" ca="1" si="683"/>
        <v>0</v>
      </c>
      <c r="AC442" s="627">
        <f t="shared" ca="1" si="683"/>
        <v>0</v>
      </c>
      <c r="AD442" s="627">
        <f t="shared" ca="1" si="683"/>
        <v>0</v>
      </c>
      <c r="AE442" s="627">
        <f ca="1">SUM(AE443:AE458)</f>
        <v>0</v>
      </c>
      <c r="AF442" s="627">
        <f t="shared" ref="AF442:AP442" ca="1" si="684">SUM(AF443:AF458)</f>
        <v>0</v>
      </c>
      <c r="AG442" s="627">
        <f t="shared" ca="1" si="684"/>
        <v>0</v>
      </c>
      <c r="AH442" s="627">
        <f t="shared" ca="1" si="684"/>
        <v>0</v>
      </c>
      <c r="AI442" s="627">
        <f t="shared" ca="1" si="684"/>
        <v>0</v>
      </c>
      <c r="AJ442" s="627">
        <f t="shared" ca="1" si="684"/>
        <v>0</v>
      </c>
      <c r="AK442" s="627">
        <f t="shared" ca="1" si="684"/>
        <v>0</v>
      </c>
      <c r="AL442" s="627">
        <f t="shared" ca="1" si="684"/>
        <v>0</v>
      </c>
      <c r="AM442" s="627">
        <f t="shared" ca="1" si="684"/>
        <v>0</v>
      </c>
      <c r="AN442" s="627">
        <f t="shared" ca="1" si="684"/>
        <v>0</v>
      </c>
      <c r="AO442" s="627">
        <f t="shared" ca="1" si="684"/>
        <v>0</v>
      </c>
      <c r="AP442" s="627">
        <f t="shared" ca="1" si="684"/>
        <v>0</v>
      </c>
    </row>
    <row r="443" spans="1:42" s="594" customFormat="1" ht="11.25" outlineLevel="1" x14ac:dyDescent="0.2">
      <c r="A443" s="644"/>
      <c r="B443" s="591" t="str">
        <f>IF(D443&lt;&gt;"",
IF(ISERROR(MATCH(D443,'Ist Aktuell Monat 01'!A:A,0))=FALSE,INDEX('Ist Aktuell Monat 01'!B:B,MATCH(D443,'Ist Aktuell Monat 01'!A:A,0)),
IF(ISERROR(MATCH(D443,'Ist Aktuell Monat 02'!A:A,0))=FALSE,INDEX('Ist Aktuell Monat 02'!B:B,MATCH(D443,'Ist Aktuell Monat 02'!A:A,0)),
IF(ISERROR(MATCH(D443,'Ist Aktuell Monat 03'!A:A,0))=FALSE,INDEX('Ist Aktuell Monat 03'!B:B,MATCH(D443,'Ist Aktuell Monat 03'!A:A,0)),
IF(ISERROR(MATCH(D443,'Ist Aktuell Monat 04'!A:A,0))=FALSE,INDEX('Ist Aktuell Monat 04'!B:B,MATCH(D443,'Ist Aktuell Monat 04'!A:A,0)),
IF(ISERROR(MATCH(D443,'Ist Aktuell Monat 05'!A:A,0))=FALSE,INDEX('Ist Aktuell Monat 05'!B:B,MATCH(D443,'Ist Aktuell Monat 05'!A:A,0)),
IF(ISERROR(MATCH(D443,'Ist Aktuell Monat 06'!A:A,0))=FALSE,INDEX('Ist Aktuell Monat 06'!B:B,MATCH(D443,'Ist Aktuell Monat 06'!A:A,0)),
IF(ISERROR(MATCH(D443,'Ist Aktuell Monat 07'!A:A,0))=FALSE,INDEX('Ist Aktuell Monat 07'!B:B,MATCH(D443,'Ist Aktuell Monat 07'!A:A,0)),
IF(ISERROR(MATCH(D443,'Ist Aktuell Monat 08'!A:A,0))=FALSE,INDEX('Ist Aktuell Monat 08'!B:B,MATCH(D443,'Ist Aktuell Monat 08'!A:A,0)),
IF(ISERROR(MATCH(D443,'Ist Aktuell Monat 09'!A:A,0))=FALSE,INDEX('Ist Aktuell Monat 09'!B:B,MATCH(D443,'Ist Aktuell Monat 09'!A:A,0)),
IF(ISERROR(MATCH(D443,'Ist Aktuell Monat 10'!A:A,0))=FALSE,INDEX('Ist Aktuell Monat 10'!B:B,MATCH(D443,'Ist Aktuell Monat 10'!A:A,0)),
IF(ISERROR(MATCH(D443,'Ist Aktuell Monat 11'!A:A,0))=FALSE,INDEX('Ist Aktuell Monat 11'!B:B,MATCH(D443,'Ist Aktuell Monat 11'!A:A,0)),
IF(ISERROR(MATCH(D443,'Ist Aktuell Monat 12'!A:A,0))=FALSE,INDEX('Ist Aktuell Monat 12'!B:B,MATCH(D443,'Ist Aktuell Monat 12'!A:A,0)),
"{Konto unbekannt}"
)))))))))))),"")</f>
        <v/>
      </c>
      <c r="C443" s="1062"/>
      <c r="D443" s="1067"/>
      <c r="E443" s="625">
        <f t="shared" si="602"/>
        <v>1</v>
      </c>
      <c r="F443" s="626"/>
      <c r="G443" s="593">
        <f ca="1">$E443*(-SUMIF(INDIRECT(G$3),'Struktur Aktuell'!$D443,INDIRECT(G$4))+SUMIF(INDIRECT(G$3),'Struktur Aktuell'!$D443,INDIRECT(G$5)))</f>
        <v>0</v>
      </c>
      <c r="H443" s="593">
        <f ca="1">$E443*(-SUMIF(INDIRECT(H$3),'Struktur Aktuell'!$D443,INDIRECT(H$4))+SUMIF(INDIRECT(H$3),'Struktur Aktuell'!$D443,INDIRECT(H$5)))</f>
        <v>0</v>
      </c>
      <c r="I443" s="593">
        <f ca="1">$E443*(-SUMIF(INDIRECT(I$3),'Struktur Aktuell'!$D443,INDIRECT(I$4))+SUMIF(INDIRECT(I$3),'Struktur Aktuell'!$D443,INDIRECT(I$5)))</f>
        <v>0</v>
      </c>
      <c r="J443" s="593">
        <f ca="1">$E443*(-SUMIF(INDIRECT(J$3),'Struktur Aktuell'!$D443,INDIRECT(J$4))+SUMIF(INDIRECT(J$3),'Struktur Aktuell'!$D443,INDIRECT(J$5)))</f>
        <v>0</v>
      </c>
      <c r="K443" s="593">
        <f ca="1">$E443*(-SUMIF(INDIRECT(K$3),'Struktur Aktuell'!$D443,INDIRECT(K$4))+SUMIF(INDIRECT(K$3),'Struktur Aktuell'!$D443,INDIRECT(K$5)))</f>
        <v>0</v>
      </c>
      <c r="L443" s="593">
        <f ca="1">$E443*(-SUMIF(INDIRECT(L$3),'Struktur Aktuell'!$D443,INDIRECT(L$4))+SUMIF(INDIRECT(L$3),'Struktur Aktuell'!$D443,INDIRECT(L$5)))</f>
        <v>0</v>
      </c>
      <c r="M443" s="593">
        <f ca="1">$E443*(-SUMIF(INDIRECT(M$3),'Struktur Aktuell'!$D443,INDIRECT(M$4))+SUMIF(INDIRECT(M$3),'Struktur Aktuell'!$D443,INDIRECT(M$5)))</f>
        <v>0</v>
      </c>
      <c r="N443" s="593">
        <f ca="1">$E443*(-SUMIF(INDIRECT(N$3),'Struktur Aktuell'!$D443,INDIRECT(N$4))+SUMIF(INDIRECT(N$3),'Struktur Aktuell'!$D443,INDIRECT(N$5)))</f>
        <v>0</v>
      </c>
      <c r="O443" s="593">
        <f ca="1">$E443*(-SUMIF(INDIRECT(O$3),'Struktur Aktuell'!$D443,INDIRECT(O$4))+SUMIF(INDIRECT(O$3),'Struktur Aktuell'!$D443,INDIRECT(O$5)))</f>
        <v>0</v>
      </c>
      <c r="P443" s="593">
        <f ca="1">$E443*(-SUMIF(INDIRECT(P$3),'Struktur Aktuell'!$D443,INDIRECT(P$4))+SUMIF(INDIRECT(P$3),'Struktur Aktuell'!$D443,INDIRECT(P$5)))</f>
        <v>0</v>
      </c>
      <c r="Q443" s="593">
        <f ca="1">$E443*(-SUMIF(INDIRECT(Q$3),'Struktur Aktuell'!$D443,INDIRECT(Q$4))+SUMIF(INDIRECT(Q$3),'Struktur Aktuell'!$D443,INDIRECT(Q$5)))</f>
        <v>0</v>
      </c>
      <c r="R443" s="593">
        <f ca="1">$E443*(-SUMIF(INDIRECT(R$3),'Struktur Aktuell'!$D443,INDIRECT(R$4))+SUMIF(INDIRECT(R$3),'Struktur Aktuell'!$D443,INDIRECT(R$5)))</f>
        <v>0</v>
      </c>
      <c r="S443" s="593">
        <f ca="1">$E443*(-SUMIF(INDIRECT(S$3),'Struktur Aktuell'!$D443,INDIRECT(S$4))+SUMIF(INDIRECT(S$3),'Struktur Aktuell'!$D443,INDIRECT(S$5)))</f>
        <v>0</v>
      </c>
      <c r="T443" s="593">
        <f ca="1">$E443*(-SUMIF(INDIRECT(T$3),'Struktur Aktuell'!$D443,INDIRECT(T$4))+SUMIF(INDIRECT(T$3),'Struktur Aktuell'!$D443,INDIRECT(T$5)))</f>
        <v>0</v>
      </c>
      <c r="U443" s="593">
        <f ca="1">$E443*(-SUMIF(INDIRECT(U$3),'Struktur Aktuell'!$D443,INDIRECT(U$4))+SUMIF(INDIRECT(U$3),'Struktur Aktuell'!$D443,INDIRECT(U$5)))</f>
        <v>0</v>
      </c>
      <c r="V443" s="593">
        <f ca="1">$E443*(-SUMIF(INDIRECT(V$3),'Struktur Aktuell'!$D443,INDIRECT(V$4))+SUMIF(INDIRECT(V$3),'Struktur Aktuell'!$D443,INDIRECT(V$5)))</f>
        <v>0</v>
      </c>
      <c r="W443" s="593">
        <f ca="1">$E443*(-SUMIF(INDIRECT(W$3),'Struktur Aktuell'!$D443,INDIRECT(W$4))+SUMIF(INDIRECT(W$3),'Struktur Aktuell'!$D443,INDIRECT(W$5)))</f>
        <v>0</v>
      </c>
      <c r="X443" s="593">
        <f ca="1">$E443*(-SUMIF(INDIRECT(X$3),'Struktur Aktuell'!$D443,INDIRECT(X$4))+SUMIF(INDIRECT(X$3),'Struktur Aktuell'!$D443,INDIRECT(X$5)))</f>
        <v>0</v>
      </c>
      <c r="Y443" s="593">
        <f ca="1">$E443*(-SUMIF(INDIRECT(Y$3),'Struktur Aktuell'!$D443,INDIRECT(Y$4))+SUMIF(INDIRECT(Y$3),'Struktur Aktuell'!$D443,INDIRECT(Y$5)))</f>
        <v>0</v>
      </c>
      <c r="Z443" s="593">
        <f ca="1">$E443*(-SUMIF(INDIRECT(Z$3),'Struktur Aktuell'!$D443,INDIRECT(Z$4))+SUMIF(INDIRECT(Z$3),'Struktur Aktuell'!$D443,INDIRECT(Z$5)))</f>
        <v>0</v>
      </c>
      <c r="AA443" s="593">
        <f ca="1">$E443*(-SUMIF(INDIRECT(AA$3),'Struktur Aktuell'!$D443,INDIRECT(AA$4))+SUMIF(INDIRECT(AA$3),'Struktur Aktuell'!$D443,INDIRECT(AA$5)))</f>
        <v>0</v>
      </c>
      <c r="AB443" s="593">
        <f ca="1">$E443*(-SUMIF(INDIRECT(AB$3),'Struktur Aktuell'!$D443,INDIRECT(AB$4))+SUMIF(INDIRECT(AB$3),'Struktur Aktuell'!$D443,INDIRECT(AB$5)))</f>
        <v>0</v>
      </c>
      <c r="AC443" s="593">
        <f ca="1">$E443*(-SUMIF(INDIRECT(AC$3),'Struktur Aktuell'!$D443,INDIRECT(AC$4))+SUMIF(INDIRECT(AC$3),'Struktur Aktuell'!$D443,INDIRECT(AC$5)))</f>
        <v>0</v>
      </c>
      <c r="AD443" s="593">
        <f ca="1">$E443*(-SUMIF(INDIRECT(AD$3),'Struktur Aktuell'!$D443,INDIRECT(AD$4))+SUMIF(INDIRECT(AD$3),'Struktur Aktuell'!$D443,INDIRECT(AD$5)))</f>
        <v>0</v>
      </c>
      <c r="AE443" s="593">
        <f t="shared" ref="AE443:AE458" ca="1" si="685">G443</f>
        <v>0</v>
      </c>
      <c r="AF443" s="593">
        <f t="shared" ref="AF443:AF458" ca="1" si="686">H443+AE443</f>
        <v>0</v>
      </c>
      <c r="AG443" s="593">
        <f t="shared" ref="AG443:AG458" ca="1" si="687">I443+AF443</f>
        <v>0</v>
      </c>
      <c r="AH443" s="593">
        <f t="shared" ref="AH443:AH458" ca="1" si="688">J443+AG443</f>
        <v>0</v>
      </c>
      <c r="AI443" s="593">
        <f t="shared" ref="AI443:AI458" ca="1" si="689">K443+AH443</f>
        <v>0</v>
      </c>
      <c r="AJ443" s="593">
        <f t="shared" ref="AJ443:AJ458" ca="1" si="690">L443+AI443</f>
        <v>0</v>
      </c>
      <c r="AK443" s="593">
        <f t="shared" ref="AK443:AK458" ca="1" si="691">M443+AJ443</f>
        <v>0</v>
      </c>
      <c r="AL443" s="593">
        <f t="shared" ref="AL443:AL458" ca="1" si="692">N443+AK443</f>
        <v>0</v>
      </c>
      <c r="AM443" s="593">
        <f t="shared" ref="AM443:AM458" ca="1" si="693">O443+AL443</f>
        <v>0</v>
      </c>
      <c r="AN443" s="593">
        <f t="shared" ref="AN443:AN458" ca="1" si="694">P443+AM443</f>
        <v>0</v>
      </c>
      <c r="AO443" s="593">
        <f t="shared" ref="AO443:AO458" ca="1" si="695">Q443+AN443</f>
        <v>0</v>
      </c>
      <c r="AP443" s="593">
        <f t="shared" ref="AP443:AP458" ca="1" si="696">R443+AO443</f>
        <v>0</v>
      </c>
    </row>
    <row r="444" spans="1:42" s="594" customFormat="1" ht="11.25" x14ac:dyDescent="0.2">
      <c r="A444" s="644"/>
      <c r="B444" s="591" t="str">
        <f>IF(D444&lt;&gt;"",
IF(ISERROR(MATCH(D444,'Ist Aktuell Monat 01'!A:A,0))=FALSE,INDEX('Ist Aktuell Monat 01'!B:B,MATCH(D444,'Ist Aktuell Monat 01'!A:A,0)),
IF(ISERROR(MATCH(D444,'Ist Aktuell Monat 02'!A:A,0))=FALSE,INDEX('Ist Aktuell Monat 02'!B:B,MATCH(D444,'Ist Aktuell Monat 02'!A:A,0)),
IF(ISERROR(MATCH(D444,'Ist Aktuell Monat 03'!A:A,0))=FALSE,INDEX('Ist Aktuell Monat 03'!B:B,MATCH(D444,'Ist Aktuell Monat 03'!A:A,0)),
IF(ISERROR(MATCH(D444,'Ist Aktuell Monat 04'!A:A,0))=FALSE,INDEX('Ist Aktuell Monat 04'!B:B,MATCH(D444,'Ist Aktuell Monat 04'!A:A,0)),
IF(ISERROR(MATCH(D444,'Ist Aktuell Monat 05'!A:A,0))=FALSE,INDEX('Ist Aktuell Monat 05'!B:B,MATCH(D444,'Ist Aktuell Monat 05'!A:A,0)),
IF(ISERROR(MATCH(D444,'Ist Aktuell Monat 06'!A:A,0))=FALSE,INDEX('Ist Aktuell Monat 06'!B:B,MATCH(D444,'Ist Aktuell Monat 06'!A:A,0)),
IF(ISERROR(MATCH(D444,'Ist Aktuell Monat 07'!A:A,0))=FALSE,INDEX('Ist Aktuell Monat 07'!B:B,MATCH(D444,'Ist Aktuell Monat 07'!A:A,0)),
IF(ISERROR(MATCH(D444,'Ist Aktuell Monat 08'!A:A,0))=FALSE,INDEX('Ist Aktuell Monat 08'!B:B,MATCH(D444,'Ist Aktuell Monat 08'!A:A,0)),
IF(ISERROR(MATCH(D444,'Ist Aktuell Monat 09'!A:A,0))=FALSE,INDEX('Ist Aktuell Monat 09'!B:B,MATCH(D444,'Ist Aktuell Monat 09'!A:A,0)),
IF(ISERROR(MATCH(D444,'Ist Aktuell Monat 10'!A:A,0))=FALSE,INDEX('Ist Aktuell Monat 10'!B:B,MATCH(D444,'Ist Aktuell Monat 10'!A:A,0)),
IF(ISERROR(MATCH(D444,'Ist Aktuell Monat 11'!A:A,0))=FALSE,INDEX('Ist Aktuell Monat 11'!B:B,MATCH(D444,'Ist Aktuell Monat 11'!A:A,0)),
IF(ISERROR(MATCH(D444,'Ist Aktuell Monat 12'!A:A,0))=FALSE,INDEX('Ist Aktuell Monat 12'!B:B,MATCH(D444,'Ist Aktuell Monat 12'!A:A,0)),
"{Konto unbekannt}"
)))))))))))),"")</f>
        <v/>
      </c>
      <c r="C444" s="1062"/>
      <c r="D444" s="1067"/>
      <c r="E444" s="625">
        <f t="shared" si="602"/>
        <v>1</v>
      </c>
      <c r="F444" s="626"/>
      <c r="G444" s="593">
        <f ca="1">$E444*(-SUMIF(INDIRECT(G$3),'Struktur Aktuell'!$D444,INDIRECT(G$4))+SUMIF(INDIRECT(G$3),'Struktur Aktuell'!$D444,INDIRECT(G$5)))</f>
        <v>0</v>
      </c>
      <c r="H444" s="593">
        <f ca="1">$E444*(-SUMIF(INDIRECT(H$3),'Struktur Aktuell'!$D444,INDIRECT(H$4))+SUMIF(INDIRECT(H$3),'Struktur Aktuell'!$D444,INDIRECT(H$5)))</f>
        <v>0</v>
      </c>
      <c r="I444" s="593">
        <f ca="1">$E444*(-SUMIF(INDIRECT(I$3),'Struktur Aktuell'!$D444,INDIRECT(I$4))+SUMIF(INDIRECT(I$3),'Struktur Aktuell'!$D444,INDIRECT(I$5)))</f>
        <v>0</v>
      </c>
      <c r="J444" s="593">
        <f ca="1">$E444*(-SUMIF(INDIRECT(J$3),'Struktur Aktuell'!$D444,INDIRECT(J$4))+SUMIF(INDIRECT(J$3),'Struktur Aktuell'!$D444,INDIRECT(J$5)))</f>
        <v>0</v>
      </c>
      <c r="K444" s="593">
        <f ca="1">$E444*(-SUMIF(INDIRECT(K$3),'Struktur Aktuell'!$D444,INDIRECT(K$4))+SUMIF(INDIRECT(K$3),'Struktur Aktuell'!$D444,INDIRECT(K$5)))</f>
        <v>0</v>
      </c>
      <c r="L444" s="593">
        <f ca="1">$E444*(-SUMIF(INDIRECT(L$3),'Struktur Aktuell'!$D444,INDIRECT(L$4))+SUMIF(INDIRECT(L$3),'Struktur Aktuell'!$D444,INDIRECT(L$5)))</f>
        <v>0</v>
      </c>
      <c r="M444" s="593">
        <f ca="1">$E444*(-SUMIF(INDIRECT(M$3),'Struktur Aktuell'!$D444,INDIRECT(M$4))+SUMIF(INDIRECT(M$3),'Struktur Aktuell'!$D444,INDIRECT(M$5)))</f>
        <v>0</v>
      </c>
      <c r="N444" s="593">
        <f ca="1">$E444*(-SUMIF(INDIRECT(N$3),'Struktur Aktuell'!$D444,INDIRECT(N$4))+SUMIF(INDIRECT(N$3),'Struktur Aktuell'!$D444,INDIRECT(N$5)))</f>
        <v>0</v>
      </c>
      <c r="O444" s="593">
        <f ca="1">$E444*(-SUMIF(INDIRECT(O$3),'Struktur Aktuell'!$D444,INDIRECT(O$4))+SUMIF(INDIRECT(O$3),'Struktur Aktuell'!$D444,INDIRECT(O$5)))</f>
        <v>0</v>
      </c>
      <c r="P444" s="593">
        <f ca="1">$E444*(-SUMIF(INDIRECT(P$3),'Struktur Aktuell'!$D444,INDIRECT(P$4))+SUMIF(INDIRECT(P$3),'Struktur Aktuell'!$D444,INDIRECT(P$5)))</f>
        <v>0</v>
      </c>
      <c r="Q444" s="593">
        <f ca="1">$E444*(-SUMIF(INDIRECT(Q$3),'Struktur Aktuell'!$D444,INDIRECT(Q$4))+SUMIF(INDIRECT(Q$3),'Struktur Aktuell'!$D444,INDIRECT(Q$5)))</f>
        <v>0</v>
      </c>
      <c r="R444" s="593">
        <f ca="1">$E444*(-SUMIF(INDIRECT(R$3),'Struktur Aktuell'!$D444,INDIRECT(R$4))+SUMIF(INDIRECT(R$3),'Struktur Aktuell'!$D444,INDIRECT(R$5)))</f>
        <v>0</v>
      </c>
      <c r="S444" s="593">
        <f ca="1">$E444*(-SUMIF(INDIRECT(S$3),'Struktur Aktuell'!$D444,INDIRECT(S$4))+SUMIF(INDIRECT(S$3),'Struktur Aktuell'!$D444,INDIRECT(S$5)))</f>
        <v>0</v>
      </c>
      <c r="T444" s="593">
        <f ca="1">$E444*(-SUMIF(INDIRECT(T$3),'Struktur Aktuell'!$D444,INDIRECT(T$4))+SUMIF(INDIRECT(T$3),'Struktur Aktuell'!$D444,INDIRECT(T$5)))</f>
        <v>0</v>
      </c>
      <c r="U444" s="593">
        <f ca="1">$E444*(-SUMIF(INDIRECT(U$3),'Struktur Aktuell'!$D444,INDIRECT(U$4))+SUMIF(INDIRECT(U$3),'Struktur Aktuell'!$D444,INDIRECT(U$5)))</f>
        <v>0</v>
      </c>
      <c r="V444" s="593">
        <f ca="1">$E444*(-SUMIF(INDIRECT(V$3),'Struktur Aktuell'!$D444,INDIRECT(V$4))+SUMIF(INDIRECT(V$3),'Struktur Aktuell'!$D444,INDIRECT(V$5)))</f>
        <v>0</v>
      </c>
      <c r="W444" s="593">
        <f ca="1">$E444*(-SUMIF(INDIRECT(W$3),'Struktur Aktuell'!$D444,INDIRECT(W$4))+SUMIF(INDIRECT(W$3),'Struktur Aktuell'!$D444,INDIRECT(W$5)))</f>
        <v>0</v>
      </c>
      <c r="X444" s="593">
        <f ca="1">$E444*(-SUMIF(INDIRECT(X$3),'Struktur Aktuell'!$D444,INDIRECT(X$4))+SUMIF(INDIRECT(X$3),'Struktur Aktuell'!$D444,INDIRECT(X$5)))</f>
        <v>0</v>
      </c>
      <c r="Y444" s="593">
        <f ca="1">$E444*(-SUMIF(INDIRECT(Y$3),'Struktur Aktuell'!$D444,INDIRECT(Y$4))+SUMIF(INDIRECT(Y$3),'Struktur Aktuell'!$D444,INDIRECT(Y$5)))</f>
        <v>0</v>
      </c>
      <c r="Z444" s="593">
        <f ca="1">$E444*(-SUMIF(INDIRECT(Z$3),'Struktur Aktuell'!$D444,INDIRECT(Z$4))+SUMIF(INDIRECT(Z$3),'Struktur Aktuell'!$D444,INDIRECT(Z$5)))</f>
        <v>0</v>
      </c>
      <c r="AA444" s="593">
        <f ca="1">$E444*(-SUMIF(INDIRECT(AA$3),'Struktur Aktuell'!$D444,INDIRECT(AA$4))+SUMIF(INDIRECT(AA$3),'Struktur Aktuell'!$D444,INDIRECT(AA$5)))</f>
        <v>0</v>
      </c>
      <c r="AB444" s="593">
        <f ca="1">$E444*(-SUMIF(INDIRECT(AB$3),'Struktur Aktuell'!$D444,INDIRECT(AB$4))+SUMIF(INDIRECT(AB$3),'Struktur Aktuell'!$D444,INDIRECT(AB$5)))</f>
        <v>0</v>
      </c>
      <c r="AC444" s="593">
        <f ca="1">$E444*(-SUMIF(INDIRECT(AC$3),'Struktur Aktuell'!$D444,INDIRECT(AC$4))+SUMIF(INDIRECT(AC$3),'Struktur Aktuell'!$D444,INDIRECT(AC$5)))</f>
        <v>0</v>
      </c>
      <c r="AD444" s="593">
        <f ca="1">$E444*(-SUMIF(INDIRECT(AD$3),'Struktur Aktuell'!$D444,INDIRECT(AD$4))+SUMIF(INDIRECT(AD$3),'Struktur Aktuell'!$D444,INDIRECT(AD$5)))</f>
        <v>0</v>
      </c>
      <c r="AE444" s="593">
        <f t="shared" ca="1" si="685"/>
        <v>0</v>
      </c>
      <c r="AF444" s="593">
        <f t="shared" ca="1" si="686"/>
        <v>0</v>
      </c>
      <c r="AG444" s="593">
        <f t="shared" ca="1" si="687"/>
        <v>0</v>
      </c>
      <c r="AH444" s="593">
        <f t="shared" ca="1" si="688"/>
        <v>0</v>
      </c>
      <c r="AI444" s="593">
        <f t="shared" ca="1" si="689"/>
        <v>0</v>
      </c>
      <c r="AJ444" s="593">
        <f t="shared" ca="1" si="690"/>
        <v>0</v>
      </c>
      <c r="AK444" s="593">
        <f t="shared" ca="1" si="691"/>
        <v>0</v>
      </c>
      <c r="AL444" s="593">
        <f t="shared" ca="1" si="692"/>
        <v>0</v>
      </c>
      <c r="AM444" s="593">
        <f t="shared" ca="1" si="693"/>
        <v>0</v>
      </c>
      <c r="AN444" s="593">
        <f t="shared" ca="1" si="694"/>
        <v>0</v>
      </c>
      <c r="AO444" s="593">
        <f t="shared" ca="1" si="695"/>
        <v>0</v>
      </c>
      <c r="AP444" s="593">
        <f t="shared" ca="1" si="696"/>
        <v>0</v>
      </c>
    </row>
    <row r="445" spans="1:42" s="594" customFormat="1" ht="11.25" outlineLevel="1" x14ac:dyDescent="0.2">
      <c r="A445" s="644"/>
      <c r="B445" s="591" t="str">
        <f>IF(D445&lt;&gt;"",
IF(ISERROR(MATCH(D445,'Ist Aktuell Monat 01'!A:A,0))=FALSE,INDEX('Ist Aktuell Monat 01'!B:B,MATCH(D445,'Ist Aktuell Monat 01'!A:A,0)),
IF(ISERROR(MATCH(D445,'Ist Aktuell Monat 02'!A:A,0))=FALSE,INDEX('Ist Aktuell Monat 02'!B:B,MATCH(D445,'Ist Aktuell Monat 02'!A:A,0)),
IF(ISERROR(MATCH(D445,'Ist Aktuell Monat 03'!A:A,0))=FALSE,INDEX('Ist Aktuell Monat 03'!B:B,MATCH(D445,'Ist Aktuell Monat 03'!A:A,0)),
IF(ISERROR(MATCH(D445,'Ist Aktuell Monat 04'!A:A,0))=FALSE,INDEX('Ist Aktuell Monat 04'!B:B,MATCH(D445,'Ist Aktuell Monat 04'!A:A,0)),
IF(ISERROR(MATCH(D445,'Ist Aktuell Monat 05'!A:A,0))=FALSE,INDEX('Ist Aktuell Monat 05'!B:B,MATCH(D445,'Ist Aktuell Monat 05'!A:A,0)),
IF(ISERROR(MATCH(D445,'Ist Aktuell Monat 06'!A:A,0))=FALSE,INDEX('Ist Aktuell Monat 06'!B:B,MATCH(D445,'Ist Aktuell Monat 06'!A:A,0)),
IF(ISERROR(MATCH(D445,'Ist Aktuell Monat 07'!A:A,0))=FALSE,INDEX('Ist Aktuell Monat 07'!B:B,MATCH(D445,'Ist Aktuell Monat 07'!A:A,0)),
IF(ISERROR(MATCH(D445,'Ist Aktuell Monat 08'!A:A,0))=FALSE,INDEX('Ist Aktuell Monat 08'!B:B,MATCH(D445,'Ist Aktuell Monat 08'!A:A,0)),
IF(ISERROR(MATCH(D445,'Ist Aktuell Monat 09'!A:A,0))=FALSE,INDEX('Ist Aktuell Monat 09'!B:B,MATCH(D445,'Ist Aktuell Monat 09'!A:A,0)),
IF(ISERROR(MATCH(D445,'Ist Aktuell Monat 10'!A:A,0))=FALSE,INDEX('Ist Aktuell Monat 10'!B:B,MATCH(D445,'Ist Aktuell Monat 10'!A:A,0)),
IF(ISERROR(MATCH(D445,'Ist Aktuell Monat 11'!A:A,0))=FALSE,INDEX('Ist Aktuell Monat 11'!B:B,MATCH(D445,'Ist Aktuell Monat 11'!A:A,0)),
IF(ISERROR(MATCH(D445,'Ist Aktuell Monat 12'!A:A,0))=FALSE,INDEX('Ist Aktuell Monat 12'!B:B,MATCH(D445,'Ist Aktuell Monat 12'!A:A,0)),
"{Konto unbekannt}"
)))))))))))),"")</f>
        <v/>
      </c>
      <c r="C445" s="1062"/>
      <c r="D445" s="1067"/>
      <c r="E445" s="625">
        <f t="shared" si="602"/>
        <v>1</v>
      </c>
      <c r="F445" s="626"/>
      <c r="G445" s="593">
        <f ca="1">$E445*(-SUMIF(INDIRECT(G$3),'Struktur Aktuell'!$D445,INDIRECT(G$4))+SUMIF(INDIRECT(G$3),'Struktur Aktuell'!$D445,INDIRECT(G$5)))</f>
        <v>0</v>
      </c>
      <c r="H445" s="593">
        <f ca="1">$E445*(-SUMIF(INDIRECT(H$3),'Struktur Aktuell'!$D445,INDIRECT(H$4))+SUMIF(INDIRECT(H$3),'Struktur Aktuell'!$D445,INDIRECT(H$5)))</f>
        <v>0</v>
      </c>
      <c r="I445" s="593">
        <f ca="1">$E445*(-SUMIF(INDIRECT(I$3),'Struktur Aktuell'!$D445,INDIRECT(I$4))+SUMIF(INDIRECT(I$3),'Struktur Aktuell'!$D445,INDIRECT(I$5)))</f>
        <v>0</v>
      </c>
      <c r="J445" s="593">
        <f ca="1">$E445*(-SUMIF(INDIRECT(J$3),'Struktur Aktuell'!$D445,INDIRECT(J$4))+SUMIF(INDIRECT(J$3),'Struktur Aktuell'!$D445,INDIRECT(J$5)))</f>
        <v>0</v>
      </c>
      <c r="K445" s="593">
        <f ca="1">$E445*(-SUMIF(INDIRECT(K$3),'Struktur Aktuell'!$D445,INDIRECT(K$4))+SUMIF(INDIRECT(K$3),'Struktur Aktuell'!$D445,INDIRECT(K$5)))</f>
        <v>0</v>
      </c>
      <c r="L445" s="593">
        <f ca="1">$E445*(-SUMIF(INDIRECT(L$3),'Struktur Aktuell'!$D445,INDIRECT(L$4))+SUMIF(INDIRECT(L$3),'Struktur Aktuell'!$D445,INDIRECT(L$5)))</f>
        <v>0</v>
      </c>
      <c r="M445" s="593">
        <f ca="1">$E445*(-SUMIF(INDIRECT(M$3),'Struktur Aktuell'!$D445,INDIRECT(M$4))+SUMIF(INDIRECT(M$3),'Struktur Aktuell'!$D445,INDIRECT(M$5)))</f>
        <v>0</v>
      </c>
      <c r="N445" s="593">
        <f ca="1">$E445*(-SUMIF(INDIRECT(N$3),'Struktur Aktuell'!$D445,INDIRECT(N$4))+SUMIF(INDIRECT(N$3),'Struktur Aktuell'!$D445,INDIRECT(N$5)))</f>
        <v>0</v>
      </c>
      <c r="O445" s="593">
        <f ca="1">$E445*(-SUMIF(INDIRECT(O$3),'Struktur Aktuell'!$D445,INDIRECT(O$4))+SUMIF(INDIRECT(O$3),'Struktur Aktuell'!$D445,INDIRECT(O$5)))</f>
        <v>0</v>
      </c>
      <c r="P445" s="593">
        <f ca="1">$E445*(-SUMIF(INDIRECT(P$3),'Struktur Aktuell'!$D445,INDIRECT(P$4))+SUMIF(INDIRECT(P$3),'Struktur Aktuell'!$D445,INDIRECT(P$5)))</f>
        <v>0</v>
      </c>
      <c r="Q445" s="593">
        <f ca="1">$E445*(-SUMIF(INDIRECT(Q$3),'Struktur Aktuell'!$D445,INDIRECT(Q$4))+SUMIF(INDIRECT(Q$3),'Struktur Aktuell'!$D445,INDIRECT(Q$5)))</f>
        <v>0</v>
      </c>
      <c r="R445" s="593">
        <f ca="1">$E445*(-SUMIF(INDIRECT(R$3),'Struktur Aktuell'!$D445,INDIRECT(R$4))+SUMIF(INDIRECT(R$3),'Struktur Aktuell'!$D445,INDIRECT(R$5)))</f>
        <v>0</v>
      </c>
      <c r="S445" s="593">
        <f ca="1">$E445*(-SUMIF(INDIRECT(S$3),'Struktur Aktuell'!$D445,INDIRECT(S$4))+SUMIF(INDIRECT(S$3),'Struktur Aktuell'!$D445,INDIRECT(S$5)))</f>
        <v>0</v>
      </c>
      <c r="T445" s="593">
        <f ca="1">$E445*(-SUMIF(INDIRECT(T$3),'Struktur Aktuell'!$D445,INDIRECT(T$4))+SUMIF(INDIRECT(T$3),'Struktur Aktuell'!$D445,INDIRECT(T$5)))</f>
        <v>0</v>
      </c>
      <c r="U445" s="593">
        <f ca="1">$E445*(-SUMIF(INDIRECT(U$3),'Struktur Aktuell'!$D445,INDIRECT(U$4))+SUMIF(INDIRECT(U$3),'Struktur Aktuell'!$D445,INDIRECT(U$5)))</f>
        <v>0</v>
      </c>
      <c r="V445" s="593">
        <f ca="1">$E445*(-SUMIF(INDIRECT(V$3),'Struktur Aktuell'!$D445,INDIRECT(V$4))+SUMIF(INDIRECT(V$3),'Struktur Aktuell'!$D445,INDIRECT(V$5)))</f>
        <v>0</v>
      </c>
      <c r="W445" s="593">
        <f ca="1">$E445*(-SUMIF(INDIRECT(W$3),'Struktur Aktuell'!$D445,INDIRECT(W$4))+SUMIF(INDIRECT(W$3),'Struktur Aktuell'!$D445,INDIRECT(W$5)))</f>
        <v>0</v>
      </c>
      <c r="X445" s="593">
        <f ca="1">$E445*(-SUMIF(INDIRECT(X$3),'Struktur Aktuell'!$D445,INDIRECT(X$4))+SUMIF(INDIRECT(X$3),'Struktur Aktuell'!$D445,INDIRECT(X$5)))</f>
        <v>0</v>
      </c>
      <c r="Y445" s="593">
        <f ca="1">$E445*(-SUMIF(INDIRECT(Y$3),'Struktur Aktuell'!$D445,INDIRECT(Y$4))+SUMIF(INDIRECT(Y$3),'Struktur Aktuell'!$D445,INDIRECT(Y$5)))</f>
        <v>0</v>
      </c>
      <c r="Z445" s="593">
        <f ca="1">$E445*(-SUMIF(INDIRECT(Z$3),'Struktur Aktuell'!$D445,INDIRECT(Z$4))+SUMIF(INDIRECT(Z$3),'Struktur Aktuell'!$D445,INDIRECT(Z$5)))</f>
        <v>0</v>
      </c>
      <c r="AA445" s="593">
        <f ca="1">$E445*(-SUMIF(INDIRECT(AA$3),'Struktur Aktuell'!$D445,INDIRECT(AA$4))+SUMIF(INDIRECT(AA$3),'Struktur Aktuell'!$D445,INDIRECT(AA$5)))</f>
        <v>0</v>
      </c>
      <c r="AB445" s="593">
        <f ca="1">$E445*(-SUMIF(INDIRECT(AB$3),'Struktur Aktuell'!$D445,INDIRECT(AB$4))+SUMIF(INDIRECT(AB$3),'Struktur Aktuell'!$D445,INDIRECT(AB$5)))</f>
        <v>0</v>
      </c>
      <c r="AC445" s="593">
        <f ca="1">$E445*(-SUMIF(INDIRECT(AC$3),'Struktur Aktuell'!$D445,INDIRECT(AC$4))+SUMIF(INDIRECT(AC$3),'Struktur Aktuell'!$D445,INDIRECT(AC$5)))</f>
        <v>0</v>
      </c>
      <c r="AD445" s="593">
        <f ca="1">$E445*(-SUMIF(INDIRECT(AD$3),'Struktur Aktuell'!$D445,INDIRECT(AD$4))+SUMIF(INDIRECT(AD$3),'Struktur Aktuell'!$D445,INDIRECT(AD$5)))</f>
        <v>0</v>
      </c>
      <c r="AE445" s="593">
        <f t="shared" ca="1" si="685"/>
        <v>0</v>
      </c>
      <c r="AF445" s="593">
        <f t="shared" ca="1" si="686"/>
        <v>0</v>
      </c>
      <c r="AG445" s="593">
        <f t="shared" ca="1" si="687"/>
        <v>0</v>
      </c>
      <c r="AH445" s="593">
        <f t="shared" ca="1" si="688"/>
        <v>0</v>
      </c>
      <c r="AI445" s="593">
        <f t="shared" ca="1" si="689"/>
        <v>0</v>
      </c>
      <c r="AJ445" s="593">
        <f t="shared" ca="1" si="690"/>
        <v>0</v>
      </c>
      <c r="AK445" s="593">
        <f t="shared" ca="1" si="691"/>
        <v>0</v>
      </c>
      <c r="AL445" s="593">
        <f t="shared" ca="1" si="692"/>
        <v>0</v>
      </c>
      <c r="AM445" s="593">
        <f t="shared" ca="1" si="693"/>
        <v>0</v>
      </c>
      <c r="AN445" s="593">
        <f t="shared" ca="1" si="694"/>
        <v>0</v>
      </c>
      <c r="AO445" s="593">
        <f t="shared" ca="1" si="695"/>
        <v>0</v>
      </c>
      <c r="AP445" s="593">
        <f t="shared" ca="1" si="696"/>
        <v>0</v>
      </c>
    </row>
    <row r="446" spans="1:42" s="594" customFormat="1" ht="11.25" outlineLevel="1" x14ac:dyDescent="0.2">
      <c r="A446" s="644"/>
      <c r="B446" s="591" t="str">
        <f>IF(D446&lt;&gt;"",
IF(ISERROR(MATCH(D446,'Ist Aktuell Monat 01'!A:A,0))=FALSE,INDEX('Ist Aktuell Monat 01'!B:B,MATCH(D446,'Ist Aktuell Monat 01'!A:A,0)),
IF(ISERROR(MATCH(D446,'Ist Aktuell Monat 02'!A:A,0))=FALSE,INDEX('Ist Aktuell Monat 02'!B:B,MATCH(D446,'Ist Aktuell Monat 02'!A:A,0)),
IF(ISERROR(MATCH(D446,'Ist Aktuell Monat 03'!A:A,0))=FALSE,INDEX('Ist Aktuell Monat 03'!B:B,MATCH(D446,'Ist Aktuell Monat 03'!A:A,0)),
IF(ISERROR(MATCH(D446,'Ist Aktuell Monat 04'!A:A,0))=FALSE,INDEX('Ist Aktuell Monat 04'!B:B,MATCH(D446,'Ist Aktuell Monat 04'!A:A,0)),
IF(ISERROR(MATCH(D446,'Ist Aktuell Monat 05'!A:A,0))=FALSE,INDEX('Ist Aktuell Monat 05'!B:B,MATCH(D446,'Ist Aktuell Monat 05'!A:A,0)),
IF(ISERROR(MATCH(D446,'Ist Aktuell Monat 06'!A:A,0))=FALSE,INDEX('Ist Aktuell Monat 06'!B:B,MATCH(D446,'Ist Aktuell Monat 06'!A:A,0)),
IF(ISERROR(MATCH(D446,'Ist Aktuell Monat 07'!A:A,0))=FALSE,INDEX('Ist Aktuell Monat 07'!B:B,MATCH(D446,'Ist Aktuell Monat 07'!A:A,0)),
IF(ISERROR(MATCH(D446,'Ist Aktuell Monat 08'!A:A,0))=FALSE,INDEX('Ist Aktuell Monat 08'!B:B,MATCH(D446,'Ist Aktuell Monat 08'!A:A,0)),
IF(ISERROR(MATCH(D446,'Ist Aktuell Monat 09'!A:A,0))=FALSE,INDEX('Ist Aktuell Monat 09'!B:B,MATCH(D446,'Ist Aktuell Monat 09'!A:A,0)),
IF(ISERROR(MATCH(D446,'Ist Aktuell Monat 10'!A:A,0))=FALSE,INDEX('Ist Aktuell Monat 10'!B:B,MATCH(D446,'Ist Aktuell Monat 10'!A:A,0)),
IF(ISERROR(MATCH(D446,'Ist Aktuell Monat 11'!A:A,0))=FALSE,INDEX('Ist Aktuell Monat 11'!B:B,MATCH(D446,'Ist Aktuell Monat 11'!A:A,0)),
IF(ISERROR(MATCH(D446,'Ist Aktuell Monat 12'!A:A,0))=FALSE,INDEX('Ist Aktuell Monat 12'!B:B,MATCH(D446,'Ist Aktuell Monat 12'!A:A,0)),
"{Konto unbekannt}"
)))))))))))),"")</f>
        <v/>
      </c>
      <c r="C446" s="1062"/>
      <c r="D446" s="1067"/>
      <c r="E446" s="625">
        <f t="shared" si="602"/>
        <v>1</v>
      </c>
      <c r="F446" s="626"/>
      <c r="G446" s="593">
        <f ca="1">$E446*(-SUMIF(INDIRECT(G$3),'Struktur Aktuell'!$D446,INDIRECT(G$4))+SUMIF(INDIRECT(G$3),'Struktur Aktuell'!$D446,INDIRECT(G$5)))</f>
        <v>0</v>
      </c>
      <c r="H446" s="593">
        <f ca="1">$E446*(-SUMIF(INDIRECT(H$3),'Struktur Aktuell'!$D446,INDIRECT(H$4))+SUMIF(INDIRECT(H$3),'Struktur Aktuell'!$D446,INDIRECT(H$5)))</f>
        <v>0</v>
      </c>
      <c r="I446" s="593">
        <f ca="1">$E446*(-SUMIF(INDIRECT(I$3),'Struktur Aktuell'!$D446,INDIRECT(I$4))+SUMIF(INDIRECT(I$3),'Struktur Aktuell'!$D446,INDIRECT(I$5)))</f>
        <v>0</v>
      </c>
      <c r="J446" s="593">
        <f ca="1">$E446*(-SUMIF(INDIRECT(J$3),'Struktur Aktuell'!$D446,INDIRECT(J$4))+SUMIF(INDIRECT(J$3),'Struktur Aktuell'!$D446,INDIRECT(J$5)))</f>
        <v>0</v>
      </c>
      <c r="K446" s="593">
        <f ca="1">$E446*(-SUMIF(INDIRECT(K$3),'Struktur Aktuell'!$D446,INDIRECT(K$4))+SUMIF(INDIRECT(K$3),'Struktur Aktuell'!$D446,INDIRECT(K$5)))</f>
        <v>0</v>
      </c>
      <c r="L446" s="593">
        <f ca="1">$E446*(-SUMIF(INDIRECT(L$3),'Struktur Aktuell'!$D446,INDIRECT(L$4))+SUMIF(INDIRECT(L$3),'Struktur Aktuell'!$D446,INDIRECT(L$5)))</f>
        <v>0</v>
      </c>
      <c r="M446" s="593">
        <f ca="1">$E446*(-SUMIF(INDIRECT(M$3),'Struktur Aktuell'!$D446,INDIRECT(M$4))+SUMIF(INDIRECT(M$3),'Struktur Aktuell'!$D446,INDIRECT(M$5)))</f>
        <v>0</v>
      </c>
      <c r="N446" s="593">
        <f ca="1">$E446*(-SUMIF(INDIRECT(N$3),'Struktur Aktuell'!$D446,INDIRECT(N$4))+SUMIF(INDIRECT(N$3),'Struktur Aktuell'!$D446,INDIRECT(N$5)))</f>
        <v>0</v>
      </c>
      <c r="O446" s="593">
        <f ca="1">$E446*(-SUMIF(INDIRECT(O$3),'Struktur Aktuell'!$D446,INDIRECT(O$4))+SUMIF(INDIRECT(O$3),'Struktur Aktuell'!$D446,INDIRECT(O$5)))</f>
        <v>0</v>
      </c>
      <c r="P446" s="593">
        <f ca="1">$E446*(-SUMIF(INDIRECT(P$3),'Struktur Aktuell'!$D446,INDIRECT(P$4))+SUMIF(INDIRECT(P$3),'Struktur Aktuell'!$D446,INDIRECT(P$5)))</f>
        <v>0</v>
      </c>
      <c r="Q446" s="593">
        <f ca="1">$E446*(-SUMIF(INDIRECT(Q$3),'Struktur Aktuell'!$D446,INDIRECT(Q$4))+SUMIF(INDIRECT(Q$3),'Struktur Aktuell'!$D446,INDIRECT(Q$5)))</f>
        <v>0</v>
      </c>
      <c r="R446" s="593">
        <f ca="1">$E446*(-SUMIF(INDIRECT(R$3),'Struktur Aktuell'!$D446,INDIRECT(R$4))+SUMIF(INDIRECT(R$3),'Struktur Aktuell'!$D446,INDIRECT(R$5)))</f>
        <v>0</v>
      </c>
      <c r="S446" s="593">
        <f ca="1">$E446*(-SUMIF(INDIRECT(S$3),'Struktur Aktuell'!$D446,INDIRECT(S$4))+SUMIF(INDIRECT(S$3),'Struktur Aktuell'!$D446,INDIRECT(S$5)))</f>
        <v>0</v>
      </c>
      <c r="T446" s="593">
        <f ca="1">$E446*(-SUMIF(INDIRECT(T$3),'Struktur Aktuell'!$D446,INDIRECT(T$4))+SUMIF(INDIRECT(T$3),'Struktur Aktuell'!$D446,INDIRECT(T$5)))</f>
        <v>0</v>
      </c>
      <c r="U446" s="593">
        <f ca="1">$E446*(-SUMIF(INDIRECT(U$3),'Struktur Aktuell'!$D446,INDIRECT(U$4))+SUMIF(INDIRECT(U$3),'Struktur Aktuell'!$D446,INDIRECT(U$5)))</f>
        <v>0</v>
      </c>
      <c r="V446" s="593">
        <f ca="1">$E446*(-SUMIF(INDIRECT(V$3),'Struktur Aktuell'!$D446,INDIRECT(V$4))+SUMIF(INDIRECT(V$3),'Struktur Aktuell'!$D446,INDIRECT(V$5)))</f>
        <v>0</v>
      </c>
      <c r="W446" s="593">
        <f ca="1">$E446*(-SUMIF(INDIRECT(W$3),'Struktur Aktuell'!$D446,INDIRECT(W$4))+SUMIF(INDIRECT(W$3),'Struktur Aktuell'!$D446,INDIRECT(W$5)))</f>
        <v>0</v>
      </c>
      <c r="X446" s="593">
        <f ca="1">$E446*(-SUMIF(INDIRECT(X$3),'Struktur Aktuell'!$D446,INDIRECT(X$4))+SUMIF(INDIRECT(X$3),'Struktur Aktuell'!$D446,INDIRECT(X$5)))</f>
        <v>0</v>
      </c>
      <c r="Y446" s="593">
        <f ca="1">$E446*(-SUMIF(INDIRECT(Y$3),'Struktur Aktuell'!$D446,INDIRECT(Y$4))+SUMIF(INDIRECT(Y$3),'Struktur Aktuell'!$D446,INDIRECT(Y$5)))</f>
        <v>0</v>
      </c>
      <c r="Z446" s="593">
        <f ca="1">$E446*(-SUMIF(INDIRECT(Z$3),'Struktur Aktuell'!$D446,INDIRECT(Z$4))+SUMIF(INDIRECT(Z$3),'Struktur Aktuell'!$D446,INDIRECT(Z$5)))</f>
        <v>0</v>
      </c>
      <c r="AA446" s="593">
        <f ca="1">$E446*(-SUMIF(INDIRECT(AA$3),'Struktur Aktuell'!$D446,INDIRECT(AA$4))+SUMIF(INDIRECT(AA$3),'Struktur Aktuell'!$D446,INDIRECT(AA$5)))</f>
        <v>0</v>
      </c>
      <c r="AB446" s="593">
        <f ca="1">$E446*(-SUMIF(INDIRECT(AB$3),'Struktur Aktuell'!$D446,INDIRECT(AB$4))+SUMIF(INDIRECT(AB$3),'Struktur Aktuell'!$D446,INDIRECT(AB$5)))</f>
        <v>0</v>
      </c>
      <c r="AC446" s="593">
        <f ca="1">$E446*(-SUMIF(INDIRECT(AC$3),'Struktur Aktuell'!$D446,INDIRECT(AC$4))+SUMIF(INDIRECT(AC$3),'Struktur Aktuell'!$D446,INDIRECT(AC$5)))</f>
        <v>0</v>
      </c>
      <c r="AD446" s="593">
        <f ca="1">$E446*(-SUMIF(INDIRECT(AD$3),'Struktur Aktuell'!$D446,INDIRECT(AD$4))+SUMIF(INDIRECT(AD$3),'Struktur Aktuell'!$D446,INDIRECT(AD$5)))</f>
        <v>0</v>
      </c>
      <c r="AE446" s="593">
        <f t="shared" ca="1" si="685"/>
        <v>0</v>
      </c>
      <c r="AF446" s="593">
        <f t="shared" ca="1" si="686"/>
        <v>0</v>
      </c>
      <c r="AG446" s="593">
        <f t="shared" ca="1" si="687"/>
        <v>0</v>
      </c>
      <c r="AH446" s="593">
        <f t="shared" ca="1" si="688"/>
        <v>0</v>
      </c>
      <c r="AI446" s="593">
        <f t="shared" ca="1" si="689"/>
        <v>0</v>
      </c>
      <c r="AJ446" s="593">
        <f t="shared" ca="1" si="690"/>
        <v>0</v>
      </c>
      <c r="AK446" s="593">
        <f t="shared" ca="1" si="691"/>
        <v>0</v>
      </c>
      <c r="AL446" s="593">
        <f t="shared" ca="1" si="692"/>
        <v>0</v>
      </c>
      <c r="AM446" s="593">
        <f t="shared" ca="1" si="693"/>
        <v>0</v>
      </c>
      <c r="AN446" s="593">
        <f t="shared" ca="1" si="694"/>
        <v>0</v>
      </c>
      <c r="AO446" s="593">
        <f t="shared" ca="1" si="695"/>
        <v>0</v>
      </c>
      <c r="AP446" s="593">
        <f t="shared" ca="1" si="696"/>
        <v>0</v>
      </c>
    </row>
    <row r="447" spans="1:42" s="594" customFormat="1" ht="11.25" outlineLevel="1" x14ac:dyDescent="0.2">
      <c r="A447" s="644"/>
      <c r="B447" s="591" t="str">
        <f>IF(D447&lt;&gt;"",
IF(ISERROR(MATCH(D447,'Ist Aktuell Monat 01'!A:A,0))=FALSE,INDEX('Ist Aktuell Monat 01'!B:B,MATCH(D447,'Ist Aktuell Monat 01'!A:A,0)),
IF(ISERROR(MATCH(D447,'Ist Aktuell Monat 02'!A:A,0))=FALSE,INDEX('Ist Aktuell Monat 02'!B:B,MATCH(D447,'Ist Aktuell Monat 02'!A:A,0)),
IF(ISERROR(MATCH(D447,'Ist Aktuell Monat 03'!A:A,0))=FALSE,INDEX('Ist Aktuell Monat 03'!B:B,MATCH(D447,'Ist Aktuell Monat 03'!A:A,0)),
IF(ISERROR(MATCH(D447,'Ist Aktuell Monat 04'!A:A,0))=FALSE,INDEX('Ist Aktuell Monat 04'!B:B,MATCH(D447,'Ist Aktuell Monat 04'!A:A,0)),
IF(ISERROR(MATCH(D447,'Ist Aktuell Monat 05'!A:A,0))=FALSE,INDEX('Ist Aktuell Monat 05'!B:B,MATCH(D447,'Ist Aktuell Monat 05'!A:A,0)),
IF(ISERROR(MATCH(D447,'Ist Aktuell Monat 06'!A:A,0))=FALSE,INDEX('Ist Aktuell Monat 06'!B:B,MATCH(D447,'Ist Aktuell Monat 06'!A:A,0)),
IF(ISERROR(MATCH(D447,'Ist Aktuell Monat 07'!A:A,0))=FALSE,INDEX('Ist Aktuell Monat 07'!B:B,MATCH(D447,'Ist Aktuell Monat 07'!A:A,0)),
IF(ISERROR(MATCH(D447,'Ist Aktuell Monat 08'!A:A,0))=FALSE,INDEX('Ist Aktuell Monat 08'!B:B,MATCH(D447,'Ist Aktuell Monat 08'!A:A,0)),
IF(ISERROR(MATCH(D447,'Ist Aktuell Monat 09'!A:A,0))=FALSE,INDEX('Ist Aktuell Monat 09'!B:B,MATCH(D447,'Ist Aktuell Monat 09'!A:A,0)),
IF(ISERROR(MATCH(D447,'Ist Aktuell Monat 10'!A:A,0))=FALSE,INDEX('Ist Aktuell Monat 10'!B:B,MATCH(D447,'Ist Aktuell Monat 10'!A:A,0)),
IF(ISERROR(MATCH(D447,'Ist Aktuell Monat 11'!A:A,0))=FALSE,INDEX('Ist Aktuell Monat 11'!B:B,MATCH(D447,'Ist Aktuell Monat 11'!A:A,0)),
IF(ISERROR(MATCH(D447,'Ist Aktuell Monat 12'!A:A,0))=FALSE,INDEX('Ist Aktuell Monat 12'!B:B,MATCH(D447,'Ist Aktuell Monat 12'!A:A,0)),
"{Konto unbekannt}"
)))))))))))),"")</f>
        <v/>
      </c>
      <c r="C447" s="1062"/>
      <c r="D447" s="1067"/>
      <c r="E447" s="625">
        <f t="shared" si="602"/>
        <v>1</v>
      </c>
      <c r="F447" s="626"/>
      <c r="G447" s="593">
        <f ca="1">$E447*(-SUMIF(INDIRECT(G$3),'Struktur Aktuell'!$D447,INDIRECT(G$4))+SUMIF(INDIRECT(G$3),'Struktur Aktuell'!$D447,INDIRECT(G$5)))</f>
        <v>0</v>
      </c>
      <c r="H447" s="593">
        <f ca="1">$E447*(-SUMIF(INDIRECT(H$3),'Struktur Aktuell'!$D447,INDIRECT(H$4))+SUMIF(INDIRECT(H$3),'Struktur Aktuell'!$D447,INDIRECT(H$5)))</f>
        <v>0</v>
      </c>
      <c r="I447" s="593">
        <f ca="1">$E447*(-SUMIF(INDIRECT(I$3),'Struktur Aktuell'!$D447,INDIRECT(I$4))+SUMIF(INDIRECT(I$3),'Struktur Aktuell'!$D447,INDIRECT(I$5)))</f>
        <v>0</v>
      </c>
      <c r="J447" s="593">
        <f ca="1">$E447*(-SUMIF(INDIRECT(J$3),'Struktur Aktuell'!$D447,INDIRECT(J$4))+SUMIF(INDIRECT(J$3),'Struktur Aktuell'!$D447,INDIRECT(J$5)))</f>
        <v>0</v>
      </c>
      <c r="K447" s="593">
        <f ca="1">$E447*(-SUMIF(INDIRECT(K$3),'Struktur Aktuell'!$D447,INDIRECT(K$4))+SUMIF(INDIRECT(K$3),'Struktur Aktuell'!$D447,INDIRECT(K$5)))</f>
        <v>0</v>
      </c>
      <c r="L447" s="593">
        <f ca="1">$E447*(-SUMIF(INDIRECT(L$3),'Struktur Aktuell'!$D447,INDIRECT(L$4))+SUMIF(INDIRECT(L$3),'Struktur Aktuell'!$D447,INDIRECT(L$5)))</f>
        <v>0</v>
      </c>
      <c r="M447" s="593">
        <f ca="1">$E447*(-SUMIF(INDIRECT(M$3),'Struktur Aktuell'!$D447,INDIRECT(M$4))+SUMIF(INDIRECT(M$3),'Struktur Aktuell'!$D447,INDIRECT(M$5)))</f>
        <v>0</v>
      </c>
      <c r="N447" s="593">
        <f ca="1">$E447*(-SUMIF(INDIRECT(N$3),'Struktur Aktuell'!$D447,INDIRECT(N$4))+SUMIF(INDIRECT(N$3),'Struktur Aktuell'!$D447,INDIRECT(N$5)))</f>
        <v>0</v>
      </c>
      <c r="O447" s="593">
        <f ca="1">$E447*(-SUMIF(INDIRECT(O$3),'Struktur Aktuell'!$D447,INDIRECT(O$4))+SUMIF(INDIRECT(O$3),'Struktur Aktuell'!$D447,INDIRECT(O$5)))</f>
        <v>0</v>
      </c>
      <c r="P447" s="593">
        <f ca="1">$E447*(-SUMIF(INDIRECT(P$3),'Struktur Aktuell'!$D447,INDIRECT(P$4))+SUMIF(INDIRECT(P$3),'Struktur Aktuell'!$D447,INDIRECT(P$5)))</f>
        <v>0</v>
      </c>
      <c r="Q447" s="593">
        <f ca="1">$E447*(-SUMIF(INDIRECT(Q$3),'Struktur Aktuell'!$D447,INDIRECT(Q$4))+SUMIF(INDIRECT(Q$3),'Struktur Aktuell'!$D447,INDIRECT(Q$5)))</f>
        <v>0</v>
      </c>
      <c r="R447" s="593">
        <f ca="1">$E447*(-SUMIF(INDIRECT(R$3),'Struktur Aktuell'!$D447,INDIRECT(R$4))+SUMIF(INDIRECT(R$3),'Struktur Aktuell'!$D447,INDIRECT(R$5)))</f>
        <v>0</v>
      </c>
      <c r="S447" s="593">
        <f ca="1">$E447*(-SUMIF(INDIRECT(S$3),'Struktur Aktuell'!$D447,INDIRECT(S$4))+SUMIF(INDIRECT(S$3),'Struktur Aktuell'!$D447,INDIRECT(S$5)))</f>
        <v>0</v>
      </c>
      <c r="T447" s="593">
        <f ca="1">$E447*(-SUMIF(INDIRECT(T$3),'Struktur Aktuell'!$D447,INDIRECT(T$4))+SUMIF(INDIRECT(T$3),'Struktur Aktuell'!$D447,INDIRECT(T$5)))</f>
        <v>0</v>
      </c>
      <c r="U447" s="593">
        <f ca="1">$E447*(-SUMIF(INDIRECT(U$3),'Struktur Aktuell'!$D447,INDIRECT(U$4))+SUMIF(INDIRECT(U$3),'Struktur Aktuell'!$D447,INDIRECT(U$5)))</f>
        <v>0</v>
      </c>
      <c r="V447" s="593">
        <f ca="1">$E447*(-SUMIF(INDIRECT(V$3),'Struktur Aktuell'!$D447,INDIRECT(V$4))+SUMIF(INDIRECT(V$3),'Struktur Aktuell'!$D447,INDIRECT(V$5)))</f>
        <v>0</v>
      </c>
      <c r="W447" s="593">
        <f ca="1">$E447*(-SUMIF(INDIRECT(W$3),'Struktur Aktuell'!$D447,INDIRECT(W$4))+SUMIF(INDIRECT(W$3),'Struktur Aktuell'!$D447,INDIRECT(W$5)))</f>
        <v>0</v>
      </c>
      <c r="X447" s="593">
        <f ca="1">$E447*(-SUMIF(INDIRECT(X$3),'Struktur Aktuell'!$D447,INDIRECT(X$4))+SUMIF(INDIRECT(X$3),'Struktur Aktuell'!$D447,INDIRECT(X$5)))</f>
        <v>0</v>
      </c>
      <c r="Y447" s="593">
        <f ca="1">$E447*(-SUMIF(INDIRECT(Y$3),'Struktur Aktuell'!$D447,INDIRECT(Y$4))+SUMIF(INDIRECT(Y$3),'Struktur Aktuell'!$D447,INDIRECT(Y$5)))</f>
        <v>0</v>
      </c>
      <c r="Z447" s="593">
        <f ca="1">$E447*(-SUMIF(INDIRECT(Z$3),'Struktur Aktuell'!$D447,INDIRECT(Z$4))+SUMIF(INDIRECT(Z$3),'Struktur Aktuell'!$D447,INDIRECT(Z$5)))</f>
        <v>0</v>
      </c>
      <c r="AA447" s="593">
        <f ca="1">$E447*(-SUMIF(INDIRECT(AA$3),'Struktur Aktuell'!$D447,INDIRECT(AA$4))+SUMIF(INDIRECT(AA$3),'Struktur Aktuell'!$D447,INDIRECT(AA$5)))</f>
        <v>0</v>
      </c>
      <c r="AB447" s="593">
        <f ca="1">$E447*(-SUMIF(INDIRECT(AB$3),'Struktur Aktuell'!$D447,INDIRECT(AB$4))+SUMIF(INDIRECT(AB$3),'Struktur Aktuell'!$D447,INDIRECT(AB$5)))</f>
        <v>0</v>
      </c>
      <c r="AC447" s="593">
        <f ca="1">$E447*(-SUMIF(INDIRECT(AC$3),'Struktur Aktuell'!$D447,INDIRECT(AC$4))+SUMIF(INDIRECT(AC$3),'Struktur Aktuell'!$D447,INDIRECT(AC$5)))</f>
        <v>0</v>
      </c>
      <c r="AD447" s="593">
        <f ca="1">$E447*(-SUMIF(INDIRECT(AD$3),'Struktur Aktuell'!$D447,INDIRECT(AD$4))+SUMIF(INDIRECT(AD$3),'Struktur Aktuell'!$D447,INDIRECT(AD$5)))</f>
        <v>0</v>
      </c>
      <c r="AE447" s="593">
        <f t="shared" ca="1" si="685"/>
        <v>0</v>
      </c>
      <c r="AF447" s="593">
        <f t="shared" ca="1" si="686"/>
        <v>0</v>
      </c>
      <c r="AG447" s="593">
        <f t="shared" ca="1" si="687"/>
        <v>0</v>
      </c>
      <c r="AH447" s="593">
        <f t="shared" ca="1" si="688"/>
        <v>0</v>
      </c>
      <c r="AI447" s="593">
        <f t="shared" ca="1" si="689"/>
        <v>0</v>
      </c>
      <c r="AJ447" s="593">
        <f t="shared" ca="1" si="690"/>
        <v>0</v>
      </c>
      <c r="AK447" s="593">
        <f t="shared" ca="1" si="691"/>
        <v>0</v>
      </c>
      <c r="AL447" s="593">
        <f t="shared" ca="1" si="692"/>
        <v>0</v>
      </c>
      <c r="AM447" s="593">
        <f t="shared" ca="1" si="693"/>
        <v>0</v>
      </c>
      <c r="AN447" s="593">
        <f t="shared" ca="1" si="694"/>
        <v>0</v>
      </c>
      <c r="AO447" s="593">
        <f t="shared" ca="1" si="695"/>
        <v>0</v>
      </c>
      <c r="AP447" s="593">
        <f t="shared" ca="1" si="696"/>
        <v>0</v>
      </c>
    </row>
    <row r="448" spans="1:42" s="594" customFormat="1" ht="11.25" outlineLevel="1" x14ac:dyDescent="0.2">
      <c r="A448" s="644"/>
      <c r="B448" s="591" t="str">
        <f>IF(D448&lt;&gt;"",
IF(ISERROR(MATCH(D448,'Ist Aktuell Monat 01'!A:A,0))=FALSE,INDEX('Ist Aktuell Monat 01'!B:B,MATCH(D448,'Ist Aktuell Monat 01'!A:A,0)),
IF(ISERROR(MATCH(D448,'Ist Aktuell Monat 02'!A:A,0))=FALSE,INDEX('Ist Aktuell Monat 02'!B:B,MATCH(D448,'Ist Aktuell Monat 02'!A:A,0)),
IF(ISERROR(MATCH(D448,'Ist Aktuell Monat 03'!A:A,0))=FALSE,INDEX('Ist Aktuell Monat 03'!B:B,MATCH(D448,'Ist Aktuell Monat 03'!A:A,0)),
IF(ISERROR(MATCH(D448,'Ist Aktuell Monat 04'!A:A,0))=FALSE,INDEX('Ist Aktuell Monat 04'!B:B,MATCH(D448,'Ist Aktuell Monat 04'!A:A,0)),
IF(ISERROR(MATCH(D448,'Ist Aktuell Monat 05'!A:A,0))=FALSE,INDEX('Ist Aktuell Monat 05'!B:B,MATCH(D448,'Ist Aktuell Monat 05'!A:A,0)),
IF(ISERROR(MATCH(D448,'Ist Aktuell Monat 06'!A:A,0))=FALSE,INDEX('Ist Aktuell Monat 06'!B:B,MATCH(D448,'Ist Aktuell Monat 06'!A:A,0)),
IF(ISERROR(MATCH(D448,'Ist Aktuell Monat 07'!A:A,0))=FALSE,INDEX('Ist Aktuell Monat 07'!B:B,MATCH(D448,'Ist Aktuell Monat 07'!A:A,0)),
IF(ISERROR(MATCH(D448,'Ist Aktuell Monat 08'!A:A,0))=FALSE,INDEX('Ist Aktuell Monat 08'!B:B,MATCH(D448,'Ist Aktuell Monat 08'!A:A,0)),
IF(ISERROR(MATCH(D448,'Ist Aktuell Monat 09'!A:A,0))=FALSE,INDEX('Ist Aktuell Monat 09'!B:B,MATCH(D448,'Ist Aktuell Monat 09'!A:A,0)),
IF(ISERROR(MATCH(D448,'Ist Aktuell Monat 10'!A:A,0))=FALSE,INDEX('Ist Aktuell Monat 10'!B:B,MATCH(D448,'Ist Aktuell Monat 10'!A:A,0)),
IF(ISERROR(MATCH(D448,'Ist Aktuell Monat 11'!A:A,0))=FALSE,INDEX('Ist Aktuell Monat 11'!B:B,MATCH(D448,'Ist Aktuell Monat 11'!A:A,0)),
IF(ISERROR(MATCH(D448,'Ist Aktuell Monat 12'!A:A,0))=FALSE,INDEX('Ist Aktuell Monat 12'!B:B,MATCH(D448,'Ist Aktuell Monat 12'!A:A,0)),
"{Konto unbekannt}"
)))))))))))),"")</f>
        <v/>
      </c>
      <c r="C448" s="1062"/>
      <c r="D448" s="1067"/>
      <c r="E448" s="625">
        <f t="shared" si="602"/>
        <v>1</v>
      </c>
      <c r="F448" s="626"/>
      <c r="G448" s="593">
        <f ca="1">$E448*(-SUMIF(INDIRECT(G$3),'Struktur Aktuell'!$D448,INDIRECT(G$4))+SUMIF(INDIRECT(G$3),'Struktur Aktuell'!$D448,INDIRECT(G$5)))</f>
        <v>0</v>
      </c>
      <c r="H448" s="593">
        <f ca="1">$E448*(-SUMIF(INDIRECT(H$3),'Struktur Aktuell'!$D448,INDIRECT(H$4))+SUMIF(INDIRECT(H$3),'Struktur Aktuell'!$D448,INDIRECT(H$5)))</f>
        <v>0</v>
      </c>
      <c r="I448" s="593">
        <f ca="1">$E448*(-SUMIF(INDIRECT(I$3),'Struktur Aktuell'!$D448,INDIRECT(I$4))+SUMIF(INDIRECT(I$3),'Struktur Aktuell'!$D448,INDIRECT(I$5)))</f>
        <v>0</v>
      </c>
      <c r="J448" s="593">
        <f ca="1">$E448*(-SUMIF(INDIRECT(J$3),'Struktur Aktuell'!$D448,INDIRECT(J$4))+SUMIF(INDIRECT(J$3),'Struktur Aktuell'!$D448,INDIRECT(J$5)))</f>
        <v>0</v>
      </c>
      <c r="K448" s="593">
        <f ca="1">$E448*(-SUMIF(INDIRECT(K$3),'Struktur Aktuell'!$D448,INDIRECT(K$4))+SUMIF(INDIRECT(K$3),'Struktur Aktuell'!$D448,INDIRECT(K$5)))</f>
        <v>0</v>
      </c>
      <c r="L448" s="593">
        <f ca="1">$E448*(-SUMIF(INDIRECT(L$3),'Struktur Aktuell'!$D448,INDIRECT(L$4))+SUMIF(INDIRECT(L$3),'Struktur Aktuell'!$D448,INDIRECT(L$5)))</f>
        <v>0</v>
      </c>
      <c r="M448" s="593">
        <f ca="1">$E448*(-SUMIF(INDIRECT(M$3),'Struktur Aktuell'!$D448,INDIRECT(M$4))+SUMIF(INDIRECT(M$3),'Struktur Aktuell'!$D448,INDIRECT(M$5)))</f>
        <v>0</v>
      </c>
      <c r="N448" s="593">
        <f ca="1">$E448*(-SUMIF(INDIRECT(N$3),'Struktur Aktuell'!$D448,INDIRECT(N$4))+SUMIF(INDIRECT(N$3),'Struktur Aktuell'!$D448,INDIRECT(N$5)))</f>
        <v>0</v>
      </c>
      <c r="O448" s="593">
        <f ca="1">$E448*(-SUMIF(INDIRECT(O$3),'Struktur Aktuell'!$D448,INDIRECT(O$4))+SUMIF(INDIRECT(O$3),'Struktur Aktuell'!$D448,INDIRECT(O$5)))</f>
        <v>0</v>
      </c>
      <c r="P448" s="593">
        <f ca="1">$E448*(-SUMIF(INDIRECT(P$3),'Struktur Aktuell'!$D448,INDIRECT(P$4))+SUMIF(INDIRECT(P$3),'Struktur Aktuell'!$D448,INDIRECT(P$5)))</f>
        <v>0</v>
      </c>
      <c r="Q448" s="593">
        <f ca="1">$E448*(-SUMIF(INDIRECT(Q$3),'Struktur Aktuell'!$D448,INDIRECT(Q$4))+SUMIF(INDIRECT(Q$3),'Struktur Aktuell'!$D448,INDIRECT(Q$5)))</f>
        <v>0</v>
      </c>
      <c r="R448" s="593">
        <f ca="1">$E448*(-SUMIF(INDIRECT(R$3),'Struktur Aktuell'!$D448,INDIRECT(R$4))+SUMIF(INDIRECT(R$3),'Struktur Aktuell'!$D448,INDIRECT(R$5)))</f>
        <v>0</v>
      </c>
      <c r="S448" s="593">
        <f ca="1">$E448*(-SUMIF(INDIRECT(S$3),'Struktur Aktuell'!$D448,INDIRECT(S$4))+SUMIF(INDIRECT(S$3),'Struktur Aktuell'!$D448,INDIRECT(S$5)))</f>
        <v>0</v>
      </c>
      <c r="T448" s="593">
        <f ca="1">$E448*(-SUMIF(INDIRECT(T$3),'Struktur Aktuell'!$D448,INDIRECT(T$4))+SUMIF(INDIRECT(T$3),'Struktur Aktuell'!$D448,INDIRECT(T$5)))</f>
        <v>0</v>
      </c>
      <c r="U448" s="593">
        <f ca="1">$E448*(-SUMIF(INDIRECT(U$3),'Struktur Aktuell'!$D448,INDIRECT(U$4))+SUMIF(INDIRECT(U$3),'Struktur Aktuell'!$D448,INDIRECT(U$5)))</f>
        <v>0</v>
      </c>
      <c r="V448" s="593">
        <f ca="1">$E448*(-SUMIF(INDIRECT(V$3),'Struktur Aktuell'!$D448,INDIRECT(V$4))+SUMIF(INDIRECT(V$3),'Struktur Aktuell'!$D448,INDIRECT(V$5)))</f>
        <v>0</v>
      </c>
      <c r="W448" s="593">
        <f ca="1">$E448*(-SUMIF(INDIRECT(W$3),'Struktur Aktuell'!$D448,INDIRECT(W$4))+SUMIF(INDIRECT(W$3),'Struktur Aktuell'!$D448,INDIRECT(W$5)))</f>
        <v>0</v>
      </c>
      <c r="X448" s="593">
        <f ca="1">$E448*(-SUMIF(INDIRECT(X$3),'Struktur Aktuell'!$D448,INDIRECT(X$4))+SUMIF(INDIRECT(X$3),'Struktur Aktuell'!$D448,INDIRECT(X$5)))</f>
        <v>0</v>
      </c>
      <c r="Y448" s="593">
        <f ca="1">$E448*(-SUMIF(INDIRECT(Y$3),'Struktur Aktuell'!$D448,INDIRECT(Y$4))+SUMIF(INDIRECT(Y$3),'Struktur Aktuell'!$D448,INDIRECT(Y$5)))</f>
        <v>0</v>
      </c>
      <c r="Z448" s="593">
        <f ca="1">$E448*(-SUMIF(INDIRECT(Z$3),'Struktur Aktuell'!$D448,INDIRECT(Z$4))+SUMIF(INDIRECT(Z$3),'Struktur Aktuell'!$D448,INDIRECT(Z$5)))</f>
        <v>0</v>
      </c>
      <c r="AA448" s="593">
        <f ca="1">$E448*(-SUMIF(INDIRECT(AA$3),'Struktur Aktuell'!$D448,INDIRECT(AA$4))+SUMIF(INDIRECT(AA$3),'Struktur Aktuell'!$D448,INDIRECT(AA$5)))</f>
        <v>0</v>
      </c>
      <c r="AB448" s="593">
        <f ca="1">$E448*(-SUMIF(INDIRECT(AB$3),'Struktur Aktuell'!$D448,INDIRECT(AB$4))+SUMIF(INDIRECT(AB$3),'Struktur Aktuell'!$D448,INDIRECT(AB$5)))</f>
        <v>0</v>
      </c>
      <c r="AC448" s="593">
        <f ca="1">$E448*(-SUMIF(INDIRECT(AC$3),'Struktur Aktuell'!$D448,INDIRECT(AC$4))+SUMIF(INDIRECT(AC$3),'Struktur Aktuell'!$D448,INDIRECT(AC$5)))</f>
        <v>0</v>
      </c>
      <c r="AD448" s="593">
        <f ca="1">$E448*(-SUMIF(INDIRECT(AD$3),'Struktur Aktuell'!$D448,INDIRECT(AD$4))+SUMIF(INDIRECT(AD$3),'Struktur Aktuell'!$D448,INDIRECT(AD$5)))</f>
        <v>0</v>
      </c>
      <c r="AE448" s="593">
        <f t="shared" ca="1" si="685"/>
        <v>0</v>
      </c>
      <c r="AF448" s="593">
        <f t="shared" ca="1" si="686"/>
        <v>0</v>
      </c>
      <c r="AG448" s="593">
        <f t="shared" ca="1" si="687"/>
        <v>0</v>
      </c>
      <c r="AH448" s="593">
        <f t="shared" ca="1" si="688"/>
        <v>0</v>
      </c>
      <c r="AI448" s="593">
        <f t="shared" ca="1" si="689"/>
        <v>0</v>
      </c>
      <c r="AJ448" s="593">
        <f t="shared" ca="1" si="690"/>
        <v>0</v>
      </c>
      <c r="AK448" s="593">
        <f t="shared" ca="1" si="691"/>
        <v>0</v>
      </c>
      <c r="AL448" s="593">
        <f t="shared" ca="1" si="692"/>
        <v>0</v>
      </c>
      <c r="AM448" s="593">
        <f t="shared" ca="1" si="693"/>
        <v>0</v>
      </c>
      <c r="AN448" s="593">
        <f t="shared" ca="1" si="694"/>
        <v>0</v>
      </c>
      <c r="AO448" s="593">
        <f t="shared" ca="1" si="695"/>
        <v>0</v>
      </c>
      <c r="AP448" s="593">
        <f t="shared" ca="1" si="696"/>
        <v>0</v>
      </c>
    </row>
    <row r="449" spans="1:42" s="594" customFormat="1" ht="11.25" outlineLevel="1" x14ac:dyDescent="0.2">
      <c r="A449" s="644"/>
      <c r="B449" s="591" t="str">
        <f>IF(D449&lt;&gt;"",
IF(ISERROR(MATCH(D449,'Ist Aktuell Monat 01'!A:A,0))=FALSE,INDEX('Ist Aktuell Monat 01'!B:B,MATCH(D449,'Ist Aktuell Monat 01'!A:A,0)),
IF(ISERROR(MATCH(D449,'Ist Aktuell Monat 02'!A:A,0))=FALSE,INDEX('Ist Aktuell Monat 02'!B:B,MATCH(D449,'Ist Aktuell Monat 02'!A:A,0)),
IF(ISERROR(MATCH(D449,'Ist Aktuell Monat 03'!A:A,0))=FALSE,INDEX('Ist Aktuell Monat 03'!B:B,MATCH(D449,'Ist Aktuell Monat 03'!A:A,0)),
IF(ISERROR(MATCH(D449,'Ist Aktuell Monat 04'!A:A,0))=FALSE,INDEX('Ist Aktuell Monat 04'!B:B,MATCH(D449,'Ist Aktuell Monat 04'!A:A,0)),
IF(ISERROR(MATCH(D449,'Ist Aktuell Monat 05'!A:A,0))=FALSE,INDEX('Ist Aktuell Monat 05'!B:B,MATCH(D449,'Ist Aktuell Monat 05'!A:A,0)),
IF(ISERROR(MATCH(D449,'Ist Aktuell Monat 06'!A:A,0))=FALSE,INDEX('Ist Aktuell Monat 06'!B:B,MATCH(D449,'Ist Aktuell Monat 06'!A:A,0)),
IF(ISERROR(MATCH(D449,'Ist Aktuell Monat 07'!A:A,0))=FALSE,INDEX('Ist Aktuell Monat 07'!B:B,MATCH(D449,'Ist Aktuell Monat 07'!A:A,0)),
IF(ISERROR(MATCH(D449,'Ist Aktuell Monat 08'!A:A,0))=FALSE,INDEX('Ist Aktuell Monat 08'!B:B,MATCH(D449,'Ist Aktuell Monat 08'!A:A,0)),
IF(ISERROR(MATCH(D449,'Ist Aktuell Monat 09'!A:A,0))=FALSE,INDEX('Ist Aktuell Monat 09'!B:B,MATCH(D449,'Ist Aktuell Monat 09'!A:A,0)),
IF(ISERROR(MATCH(D449,'Ist Aktuell Monat 10'!A:A,0))=FALSE,INDEX('Ist Aktuell Monat 10'!B:B,MATCH(D449,'Ist Aktuell Monat 10'!A:A,0)),
IF(ISERROR(MATCH(D449,'Ist Aktuell Monat 11'!A:A,0))=FALSE,INDEX('Ist Aktuell Monat 11'!B:B,MATCH(D449,'Ist Aktuell Monat 11'!A:A,0)),
IF(ISERROR(MATCH(D449,'Ist Aktuell Monat 12'!A:A,0))=FALSE,INDEX('Ist Aktuell Monat 12'!B:B,MATCH(D449,'Ist Aktuell Monat 12'!A:A,0)),
"{Konto unbekannt}"
)))))))))))),"")</f>
        <v/>
      </c>
      <c r="C449" s="1062"/>
      <c r="D449" s="1067"/>
      <c r="E449" s="625">
        <f t="shared" si="602"/>
        <v>1</v>
      </c>
      <c r="F449" s="626"/>
      <c r="G449" s="593">
        <f ca="1">$E449*(-SUMIF(INDIRECT(G$3),'Struktur Aktuell'!$D449,INDIRECT(G$4))+SUMIF(INDIRECT(G$3),'Struktur Aktuell'!$D449,INDIRECT(G$5)))</f>
        <v>0</v>
      </c>
      <c r="H449" s="593">
        <f ca="1">$E449*(-SUMIF(INDIRECT(H$3),'Struktur Aktuell'!$D449,INDIRECT(H$4))+SUMIF(INDIRECT(H$3),'Struktur Aktuell'!$D449,INDIRECT(H$5)))</f>
        <v>0</v>
      </c>
      <c r="I449" s="593">
        <f ca="1">$E449*(-SUMIF(INDIRECT(I$3),'Struktur Aktuell'!$D449,INDIRECT(I$4))+SUMIF(INDIRECT(I$3),'Struktur Aktuell'!$D449,INDIRECT(I$5)))</f>
        <v>0</v>
      </c>
      <c r="J449" s="593">
        <f ca="1">$E449*(-SUMIF(INDIRECT(J$3),'Struktur Aktuell'!$D449,INDIRECT(J$4))+SUMIF(INDIRECT(J$3),'Struktur Aktuell'!$D449,INDIRECT(J$5)))</f>
        <v>0</v>
      </c>
      <c r="K449" s="593">
        <f ca="1">$E449*(-SUMIF(INDIRECT(K$3),'Struktur Aktuell'!$D449,INDIRECT(K$4))+SUMIF(INDIRECT(K$3),'Struktur Aktuell'!$D449,INDIRECT(K$5)))</f>
        <v>0</v>
      </c>
      <c r="L449" s="593">
        <f ca="1">$E449*(-SUMIF(INDIRECT(L$3),'Struktur Aktuell'!$D449,INDIRECT(L$4))+SUMIF(INDIRECT(L$3),'Struktur Aktuell'!$D449,INDIRECT(L$5)))</f>
        <v>0</v>
      </c>
      <c r="M449" s="593">
        <f ca="1">$E449*(-SUMIF(INDIRECT(M$3),'Struktur Aktuell'!$D449,INDIRECT(M$4))+SUMIF(INDIRECT(M$3),'Struktur Aktuell'!$D449,INDIRECT(M$5)))</f>
        <v>0</v>
      </c>
      <c r="N449" s="593">
        <f ca="1">$E449*(-SUMIF(INDIRECT(N$3),'Struktur Aktuell'!$D449,INDIRECT(N$4))+SUMIF(INDIRECT(N$3),'Struktur Aktuell'!$D449,INDIRECT(N$5)))</f>
        <v>0</v>
      </c>
      <c r="O449" s="593">
        <f ca="1">$E449*(-SUMIF(INDIRECT(O$3),'Struktur Aktuell'!$D449,INDIRECT(O$4))+SUMIF(INDIRECT(O$3),'Struktur Aktuell'!$D449,INDIRECT(O$5)))</f>
        <v>0</v>
      </c>
      <c r="P449" s="593">
        <f ca="1">$E449*(-SUMIF(INDIRECT(P$3),'Struktur Aktuell'!$D449,INDIRECT(P$4))+SUMIF(INDIRECT(P$3),'Struktur Aktuell'!$D449,INDIRECT(P$5)))</f>
        <v>0</v>
      </c>
      <c r="Q449" s="593">
        <f ca="1">$E449*(-SUMIF(INDIRECT(Q$3),'Struktur Aktuell'!$D449,INDIRECT(Q$4))+SUMIF(INDIRECT(Q$3),'Struktur Aktuell'!$D449,INDIRECT(Q$5)))</f>
        <v>0</v>
      </c>
      <c r="R449" s="593">
        <f ca="1">$E449*(-SUMIF(INDIRECT(R$3),'Struktur Aktuell'!$D449,INDIRECT(R$4))+SUMIF(INDIRECT(R$3),'Struktur Aktuell'!$D449,INDIRECT(R$5)))</f>
        <v>0</v>
      </c>
      <c r="S449" s="593">
        <f ca="1">$E449*(-SUMIF(INDIRECT(S$3),'Struktur Aktuell'!$D449,INDIRECT(S$4))+SUMIF(INDIRECT(S$3),'Struktur Aktuell'!$D449,INDIRECT(S$5)))</f>
        <v>0</v>
      </c>
      <c r="T449" s="593">
        <f ca="1">$E449*(-SUMIF(INDIRECT(T$3),'Struktur Aktuell'!$D449,INDIRECT(T$4))+SUMIF(INDIRECT(T$3),'Struktur Aktuell'!$D449,INDIRECT(T$5)))</f>
        <v>0</v>
      </c>
      <c r="U449" s="593">
        <f ca="1">$E449*(-SUMIF(INDIRECT(U$3),'Struktur Aktuell'!$D449,INDIRECT(U$4))+SUMIF(INDIRECT(U$3),'Struktur Aktuell'!$D449,INDIRECT(U$5)))</f>
        <v>0</v>
      </c>
      <c r="V449" s="593">
        <f ca="1">$E449*(-SUMIF(INDIRECT(V$3),'Struktur Aktuell'!$D449,INDIRECT(V$4))+SUMIF(INDIRECT(V$3),'Struktur Aktuell'!$D449,INDIRECT(V$5)))</f>
        <v>0</v>
      </c>
      <c r="W449" s="593">
        <f ca="1">$E449*(-SUMIF(INDIRECT(W$3),'Struktur Aktuell'!$D449,INDIRECT(W$4))+SUMIF(INDIRECT(W$3),'Struktur Aktuell'!$D449,INDIRECT(W$5)))</f>
        <v>0</v>
      </c>
      <c r="X449" s="593">
        <f ca="1">$E449*(-SUMIF(INDIRECT(X$3),'Struktur Aktuell'!$D449,INDIRECT(X$4))+SUMIF(INDIRECT(X$3),'Struktur Aktuell'!$D449,INDIRECT(X$5)))</f>
        <v>0</v>
      </c>
      <c r="Y449" s="593">
        <f ca="1">$E449*(-SUMIF(INDIRECT(Y$3),'Struktur Aktuell'!$D449,INDIRECT(Y$4))+SUMIF(INDIRECT(Y$3),'Struktur Aktuell'!$D449,INDIRECT(Y$5)))</f>
        <v>0</v>
      </c>
      <c r="Z449" s="593">
        <f ca="1">$E449*(-SUMIF(INDIRECT(Z$3),'Struktur Aktuell'!$D449,INDIRECT(Z$4))+SUMIF(INDIRECT(Z$3),'Struktur Aktuell'!$D449,INDIRECT(Z$5)))</f>
        <v>0</v>
      </c>
      <c r="AA449" s="593">
        <f ca="1">$E449*(-SUMIF(INDIRECT(AA$3),'Struktur Aktuell'!$D449,INDIRECT(AA$4))+SUMIF(INDIRECT(AA$3),'Struktur Aktuell'!$D449,INDIRECT(AA$5)))</f>
        <v>0</v>
      </c>
      <c r="AB449" s="593">
        <f ca="1">$E449*(-SUMIF(INDIRECT(AB$3),'Struktur Aktuell'!$D449,INDIRECT(AB$4))+SUMIF(INDIRECT(AB$3),'Struktur Aktuell'!$D449,INDIRECT(AB$5)))</f>
        <v>0</v>
      </c>
      <c r="AC449" s="593">
        <f ca="1">$E449*(-SUMIF(INDIRECT(AC$3),'Struktur Aktuell'!$D449,INDIRECT(AC$4))+SUMIF(INDIRECT(AC$3),'Struktur Aktuell'!$D449,INDIRECT(AC$5)))</f>
        <v>0</v>
      </c>
      <c r="AD449" s="593">
        <f ca="1">$E449*(-SUMIF(INDIRECT(AD$3),'Struktur Aktuell'!$D449,INDIRECT(AD$4))+SUMIF(INDIRECT(AD$3),'Struktur Aktuell'!$D449,INDIRECT(AD$5)))</f>
        <v>0</v>
      </c>
      <c r="AE449" s="593">
        <f t="shared" ca="1" si="685"/>
        <v>0</v>
      </c>
      <c r="AF449" s="593">
        <f t="shared" ca="1" si="686"/>
        <v>0</v>
      </c>
      <c r="AG449" s="593">
        <f t="shared" ca="1" si="687"/>
        <v>0</v>
      </c>
      <c r="AH449" s="593">
        <f t="shared" ca="1" si="688"/>
        <v>0</v>
      </c>
      <c r="AI449" s="593">
        <f t="shared" ca="1" si="689"/>
        <v>0</v>
      </c>
      <c r="AJ449" s="593">
        <f t="shared" ca="1" si="690"/>
        <v>0</v>
      </c>
      <c r="AK449" s="593">
        <f t="shared" ca="1" si="691"/>
        <v>0</v>
      </c>
      <c r="AL449" s="593">
        <f t="shared" ca="1" si="692"/>
        <v>0</v>
      </c>
      <c r="AM449" s="593">
        <f t="shared" ca="1" si="693"/>
        <v>0</v>
      </c>
      <c r="AN449" s="593">
        <f t="shared" ca="1" si="694"/>
        <v>0</v>
      </c>
      <c r="AO449" s="593">
        <f t="shared" ca="1" si="695"/>
        <v>0</v>
      </c>
      <c r="AP449" s="593">
        <f t="shared" ca="1" si="696"/>
        <v>0</v>
      </c>
    </row>
    <row r="450" spans="1:42" s="594" customFormat="1" ht="11.25" outlineLevel="1" x14ac:dyDescent="0.2">
      <c r="A450" s="644"/>
      <c r="B450" s="591" t="str">
        <f>IF(D450&lt;&gt;"",
IF(ISERROR(MATCH(D450,'Ist Aktuell Monat 01'!A:A,0))=FALSE,INDEX('Ist Aktuell Monat 01'!B:B,MATCH(D450,'Ist Aktuell Monat 01'!A:A,0)),
IF(ISERROR(MATCH(D450,'Ist Aktuell Monat 02'!A:A,0))=FALSE,INDEX('Ist Aktuell Monat 02'!B:B,MATCH(D450,'Ist Aktuell Monat 02'!A:A,0)),
IF(ISERROR(MATCH(D450,'Ist Aktuell Monat 03'!A:A,0))=FALSE,INDEX('Ist Aktuell Monat 03'!B:B,MATCH(D450,'Ist Aktuell Monat 03'!A:A,0)),
IF(ISERROR(MATCH(D450,'Ist Aktuell Monat 04'!A:A,0))=FALSE,INDEX('Ist Aktuell Monat 04'!B:B,MATCH(D450,'Ist Aktuell Monat 04'!A:A,0)),
IF(ISERROR(MATCH(D450,'Ist Aktuell Monat 05'!A:A,0))=FALSE,INDEX('Ist Aktuell Monat 05'!B:B,MATCH(D450,'Ist Aktuell Monat 05'!A:A,0)),
IF(ISERROR(MATCH(D450,'Ist Aktuell Monat 06'!A:A,0))=FALSE,INDEX('Ist Aktuell Monat 06'!B:B,MATCH(D450,'Ist Aktuell Monat 06'!A:A,0)),
IF(ISERROR(MATCH(D450,'Ist Aktuell Monat 07'!A:A,0))=FALSE,INDEX('Ist Aktuell Monat 07'!B:B,MATCH(D450,'Ist Aktuell Monat 07'!A:A,0)),
IF(ISERROR(MATCH(D450,'Ist Aktuell Monat 08'!A:A,0))=FALSE,INDEX('Ist Aktuell Monat 08'!B:B,MATCH(D450,'Ist Aktuell Monat 08'!A:A,0)),
IF(ISERROR(MATCH(D450,'Ist Aktuell Monat 09'!A:A,0))=FALSE,INDEX('Ist Aktuell Monat 09'!B:B,MATCH(D450,'Ist Aktuell Monat 09'!A:A,0)),
IF(ISERROR(MATCH(D450,'Ist Aktuell Monat 10'!A:A,0))=FALSE,INDEX('Ist Aktuell Monat 10'!B:B,MATCH(D450,'Ist Aktuell Monat 10'!A:A,0)),
IF(ISERROR(MATCH(D450,'Ist Aktuell Monat 11'!A:A,0))=FALSE,INDEX('Ist Aktuell Monat 11'!B:B,MATCH(D450,'Ist Aktuell Monat 11'!A:A,0)),
IF(ISERROR(MATCH(D450,'Ist Aktuell Monat 12'!A:A,0))=FALSE,INDEX('Ist Aktuell Monat 12'!B:B,MATCH(D450,'Ist Aktuell Monat 12'!A:A,0)),
"{Konto unbekannt}"
)))))))))))),"")</f>
        <v/>
      </c>
      <c r="C450" s="1062"/>
      <c r="D450" s="1067"/>
      <c r="E450" s="625">
        <f t="shared" si="602"/>
        <v>1</v>
      </c>
      <c r="F450" s="626"/>
      <c r="G450" s="593">
        <f ca="1">$E450*(-SUMIF(INDIRECT(G$3),'Struktur Aktuell'!$D450,INDIRECT(G$4))+SUMIF(INDIRECT(G$3),'Struktur Aktuell'!$D450,INDIRECT(G$5)))</f>
        <v>0</v>
      </c>
      <c r="H450" s="593">
        <f ca="1">$E450*(-SUMIF(INDIRECT(H$3),'Struktur Aktuell'!$D450,INDIRECT(H$4))+SUMIF(INDIRECT(H$3),'Struktur Aktuell'!$D450,INDIRECT(H$5)))</f>
        <v>0</v>
      </c>
      <c r="I450" s="593">
        <f ca="1">$E450*(-SUMIF(INDIRECT(I$3),'Struktur Aktuell'!$D450,INDIRECT(I$4))+SUMIF(INDIRECT(I$3),'Struktur Aktuell'!$D450,INDIRECT(I$5)))</f>
        <v>0</v>
      </c>
      <c r="J450" s="593">
        <f ca="1">$E450*(-SUMIF(INDIRECT(J$3),'Struktur Aktuell'!$D450,INDIRECT(J$4))+SUMIF(INDIRECT(J$3),'Struktur Aktuell'!$D450,INDIRECT(J$5)))</f>
        <v>0</v>
      </c>
      <c r="K450" s="593">
        <f ca="1">$E450*(-SUMIF(INDIRECT(K$3),'Struktur Aktuell'!$D450,INDIRECT(K$4))+SUMIF(INDIRECT(K$3),'Struktur Aktuell'!$D450,INDIRECT(K$5)))</f>
        <v>0</v>
      </c>
      <c r="L450" s="593">
        <f ca="1">$E450*(-SUMIF(INDIRECT(L$3),'Struktur Aktuell'!$D450,INDIRECT(L$4))+SUMIF(INDIRECT(L$3),'Struktur Aktuell'!$D450,INDIRECT(L$5)))</f>
        <v>0</v>
      </c>
      <c r="M450" s="593">
        <f ca="1">$E450*(-SUMIF(INDIRECT(M$3),'Struktur Aktuell'!$D450,INDIRECT(M$4))+SUMIF(INDIRECT(M$3),'Struktur Aktuell'!$D450,INDIRECT(M$5)))</f>
        <v>0</v>
      </c>
      <c r="N450" s="593">
        <f ca="1">$E450*(-SUMIF(INDIRECT(N$3),'Struktur Aktuell'!$D450,INDIRECT(N$4))+SUMIF(INDIRECT(N$3),'Struktur Aktuell'!$D450,INDIRECT(N$5)))</f>
        <v>0</v>
      </c>
      <c r="O450" s="593">
        <f ca="1">$E450*(-SUMIF(INDIRECT(O$3),'Struktur Aktuell'!$D450,INDIRECT(O$4))+SUMIF(INDIRECT(O$3),'Struktur Aktuell'!$D450,INDIRECT(O$5)))</f>
        <v>0</v>
      </c>
      <c r="P450" s="593">
        <f ca="1">$E450*(-SUMIF(INDIRECT(P$3),'Struktur Aktuell'!$D450,INDIRECT(P$4))+SUMIF(INDIRECT(P$3),'Struktur Aktuell'!$D450,INDIRECT(P$5)))</f>
        <v>0</v>
      </c>
      <c r="Q450" s="593">
        <f ca="1">$E450*(-SUMIF(INDIRECT(Q$3),'Struktur Aktuell'!$D450,INDIRECT(Q$4))+SUMIF(INDIRECT(Q$3),'Struktur Aktuell'!$D450,INDIRECT(Q$5)))</f>
        <v>0</v>
      </c>
      <c r="R450" s="593">
        <f ca="1">$E450*(-SUMIF(INDIRECT(R$3),'Struktur Aktuell'!$D450,INDIRECT(R$4))+SUMIF(INDIRECT(R$3),'Struktur Aktuell'!$D450,INDIRECT(R$5)))</f>
        <v>0</v>
      </c>
      <c r="S450" s="593">
        <f ca="1">$E450*(-SUMIF(INDIRECT(S$3),'Struktur Aktuell'!$D450,INDIRECT(S$4))+SUMIF(INDIRECT(S$3),'Struktur Aktuell'!$D450,INDIRECT(S$5)))</f>
        <v>0</v>
      </c>
      <c r="T450" s="593">
        <f ca="1">$E450*(-SUMIF(INDIRECT(T$3),'Struktur Aktuell'!$D450,INDIRECT(T$4))+SUMIF(INDIRECT(T$3),'Struktur Aktuell'!$D450,INDIRECT(T$5)))</f>
        <v>0</v>
      </c>
      <c r="U450" s="593">
        <f ca="1">$E450*(-SUMIF(INDIRECT(U$3),'Struktur Aktuell'!$D450,INDIRECT(U$4))+SUMIF(INDIRECT(U$3),'Struktur Aktuell'!$D450,INDIRECT(U$5)))</f>
        <v>0</v>
      </c>
      <c r="V450" s="593">
        <f ca="1">$E450*(-SUMIF(INDIRECT(V$3),'Struktur Aktuell'!$D450,INDIRECT(V$4))+SUMIF(INDIRECT(V$3),'Struktur Aktuell'!$D450,INDIRECT(V$5)))</f>
        <v>0</v>
      </c>
      <c r="W450" s="593">
        <f ca="1">$E450*(-SUMIF(INDIRECT(W$3),'Struktur Aktuell'!$D450,INDIRECT(W$4))+SUMIF(INDIRECT(W$3),'Struktur Aktuell'!$D450,INDIRECT(W$5)))</f>
        <v>0</v>
      </c>
      <c r="X450" s="593">
        <f ca="1">$E450*(-SUMIF(INDIRECT(X$3),'Struktur Aktuell'!$D450,INDIRECT(X$4))+SUMIF(INDIRECT(X$3),'Struktur Aktuell'!$D450,INDIRECT(X$5)))</f>
        <v>0</v>
      </c>
      <c r="Y450" s="593">
        <f ca="1">$E450*(-SUMIF(INDIRECT(Y$3),'Struktur Aktuell'!$D450,INDIRECT(Y$4))+SUMIF(INDIRECT(Y$3),'Struktur Aktuell'!$D450,INDIRECT(Y$5)))</f>
        <v>0</v>
      </c>
      <c r="Z450" s="593">
        <f ca="1">$E450*(-SUMIF(INDIRECT(Z$3),'Struktur Aktuell'!$D450,INDIRECT(Z$4))+SUMIF(INDIRECT(Z$3),'Struktur Aktuell'!$D450,INDIRECT(Z$5)))</f>
        <v>0</v>
      </c>
      <c r="AA450" s="593">
        <f ca="1">$E450*(-SUMIF(INDIRECT(AA$3),'Struktur Aktuell'!$D450,INDIRECT(AA$4))+SUMIF(INDIRECT(AA$3),'Struktur Aktuell'!$D450,INDIRECT(AA$5)))</f>
        <v>0</v>
      </c>
      <c r="AB450" s="593">
        <f ca="1">$E450*(-SUMIF(INDIRECT(AB$3),'Struktur Aktuell'!$D450,INDIRECT(AB$4))+SUMIF(INDIRECT(AB$3),'Struktur Aktuell'!$D450,INDIRECT(AB$5)))</f>
        <v>0</v>
      </c>
      <c r="AC450" s="593">
        <f ca="1">$E450*(-SUMIF(INDIRECT(AC$3),'Struktur Aktuell'!$D450,INDIRECT(AC$4))+SUMIF(INDIRECT(AC$3),'Struktur Aktuell'!$D450,INDIRECT(AC$5)))</f>
        <v>0</v>
      </c>
      <c r="AD450" s="593">
        <f ca="1">$E450*(-SUMIF(INDIRECT(AD$3),'Struktur Aktuell'!$D450,INDIRECT(AD$4))+SUMIF(INDIRECT(AD$3),'Struktur Aktuell'!$D450,INDIRECT(AD$5)))</f>
        <v>0</v>
      </c>
      <c r="AE450" s="593">
        <f t="shared" ca="1" si="685"/>
        <v>0</v>
      </c>
      <c r="AF450" s="593">
        <f t="shared" ca="1" si="686"/>
        <v>0</v>
      </c>
      <c r="AG450" s="593">
        <f t="shared" ca="1" si="687"/>
        <v>0</v>
      </c>
      <c r="AH450" s="593">
        <f t="shared" ca="1" si="688"/>
        <v>0</v>
      </c>
      <c r="AI450" s="593">
        <f t="shared" ca="1" si="689"/>
        <v>0</v>
      </c>
      <c r="AJ450" s="593">
        <f t="shared" ca="1" si="690"/>
        <v>0</v>
      </c>
      <c r="AK450" s="593">
        <f t="shared" ca="1" si="691"/>
        <v>0</v>
      </c>
      <c r="AL450" s="593">
        <f t="shared" ca="1" si="692"/>
        <v>0</v>
      </c>
      <c r="AM450" s="593">
        <f t="shared" ca="1" si="693"/>
        <v>0</v>
      </c>
      <c r="AN450" s="593">
        <f t="shared" ca="1" si="694"/>
        <v>0</v>
      </c>
      <c r="AO450" s="593">
        <f t="shared" ca="1" si="695"/>
        <v>0</v>
      </c>
      <c r="AP450" s="593">
        <f t="shared" ca="1" si="696"/>
        <v>0</v>
      </c>
    </row>
    <row r="451" spans="1:42" s="594" customFormat="1" ht="11.25" x14ac:dyDescent="0.2">
      <c r="A451" s="644"/>
      <c r="B451" s="591" t="str">
        <f>IF(D451&lt;&gt;"",
IF(ISERROR(MATCH(D451,'Ist Aktuell Monat 01'!A:A,0))=FALSE,INDEX('Ist Aktuell Monat 01'!B:B,MATCH(D451,'Ist Aktuell Monat 01'!A:A,0)),
IF(ISERROR(MATCH(D451,'Ist Aktuell Monat 02'!A:A,0))=FALSE,INDEX('Ist Aktuell Monat 02'!B:B,MATCH(D451,'Ist Aktuell Monat 02'!A:A,0)),
IF(ISERROR(MATCH(D451,'Ist Aktuell Monat 03'!A:A,0))=FALSE,INDEX('Ist Aktuell Monat 03'!B:B,MATCH(D451,'Ist Aktuell Monat 03'!A:A,0)),
IF(ISERROR(MATCH(D451,'Ist Aktuell Monat 04'!A:A,0))=FALSE,INDEX('Ist Aktuell Monat 04'!B:B,MATCH(D451,'Ist Aktuell Monat 04'!A:A,0)),
IF(ISERROR(MATCH(D451,'Ist Aktuell Monat 05'!A:A,0))=FALSE,INDEX('Ist Aktuell Monat 05'!B:B,MATCH(D451,'Ist Aktuell Monat 05'!A:A,0)),
IF(ISERROR(MATCH(D451,'Ist Aktuell Monat 06'!A:A,0))=FALSE,INDEX('Ist Aktuell Monat 06'!B:B,MATCH(D451,'Ist Aktuell Monat 06'!A:A,0)),
IF(ISERROR(MATCH(D451,'Ist Aktuell Monat 07'!A:A,0))=FALSE,INDEX('Ist Aktuell Monat 07'!B:B,MATCH(D451,'Ist Aktuell Monat 07'!A:A,0)),
IF(ISERROR(MATCH(D451,'Ist Aktuell Monat 08'!A:A,0))=FALSE,INDEX('Ist Aktuell Monat 08'!B:B,MATCH(D451,'Ist Aktuell Monat 08'!A:A,0)),
IF(ISERROR(MATCH(D451,'Ist Aktuell Monat 09'!A:A,0))=FALSE,INDEX('Ist Aktuell Monat 09'!B:B,MATCH(D451,'Ist Aktuell Monat 09'!A:A,0)),
IF(ISERROR(MATCH(D451,'Ist Aktuell Monat 10'!A:A,0))=FALSE,INDEX('Ist Aktuell Monat 10'!B:B,MATCH(D451,'Ist Aktuell Monat 10'!A:A,0)),
IF(ISERROR(MATCH(D451,'Ist Aktuell Monat 11'!A:A,0))=FALSE,INDEX('Ist Aktuell Monat 11'!B:B,MATCH(D451,'Ist Aktuell Monat 11'!A:A,0)),
IF(ISERROR(MATCH(D451,'Ist Aktuell Monat 12'!A:A,0))=FALSE,INDEX('Ist Aktuell Monat 12'!B:B,MATCH(D451,'Ist Aktuell Monat 12'!A:A,0)),
"{Konto unbekannt}"
)))))))))))),"")</f>
        <v/>
      </c>
      <c r="C451" s="1062"/>
      <c r="D451" s="1067"/>
      <c r="E451" s="625">
        <f t="shared" si="602"/>
        <v>1</v>
      </c>
      <c r="F451" s="626"/>
      <c r="G451" s="593">
        <f ca="1">$E451*(-SUMIF(INDIRECT(G$3),'Struktur Aktuell'!$D451,INDIRECT(G$4))+SUMIF(INDIRECT(G$3),'Struktur Aktuell'!$D451,INDIRECT(G$5)))</f>
        <v>0</v>
      </c>
      <c r="H451" s="593">
        <f ca="1">$E451*(-SUMIF(INDIRECT(H$3),'Struktur Aktuell'!$D451,INDIRECT(H$4))+SUMIF(INDIRECT(H$3),'Struktur Aktuell'!$D451,INDIRECT(H$5)))</f>
        <v>0</v>
      </c>
      <c r="I451" s="593">
        <f ca="1">$E451*(-SUMIF(INDIRECT(I$3),'Struktur Aktuell'!$D451,INDIRECT(I$4))+SUMIF(INDIRECT(I$3),'Struktur Aktuell'!$D451,INDIRECT(I$5)))</f>
        <v>0</v>
      </c>
      <c r="J451" s="593">
        <f ca="1">$E451*(-SUMIF(INDIRECT(J$3),'Struktur Aktuell'!$D451,INDIRECT(J$4))+SUMIF(INDIRECT(J$3),'Struktur Aktuell'!$D451,INDIRECT(J$5)))</f>
        <v>0</v>
      </c>
      <c r="K451" s="593">
        <f ca="1">$E451*(-SUMIF(INDIRECT(K$3),'Struktur Aktuell'!$D451,INDIRECT(K$4))+SUMIF(INDIRECT(K$3),'Struktur Aktuell'!$D451,INDIRECT(K$5)))</f>
        <v>0</v>
      </c>
      <c r="L451" s="593">
        <f ca="1">$E451*(-SUMIF(INDIRECT(L$3),'Struktur Aktuell'!$D451,INDIRECT(L$4))+SUMIF(INDIRECT(L$3),'Struktur Aktuell'!$D451,INDIRECT(L$5)))</f>
        <v>0</v>
      </c>
      <c r="M451" s="593">
        <f ca="1">$E451*(-SUMIF(INDIRECT(M$3),'Struktur Aktuell'!$D451,INDIRECT(M$4))+SUMIF(INDIRECT(M$3),'Struktur Aktuell'!$D451,INDIRECT(M$5)))</f>
        <v>0</v>
      </c>
      <c r="N451" s="593">
        <f ca="1">$E451*(-SUMIF(INDIRECT(N$3),'Struktur Aktuell'!$D451,INDIRECT(N$4))+SUMIF(INDIRECT(N$3),'Struktur Aktuell'!$D451,INDIRECT(N$5)))</f>
        <v>0</v>
      </c>
      <c r="O451" s="593">
        <f ca="1">$E451*(-SUMIF(INDIRECT(O$3),'Struktur Aktuell'!$D451,INDIRECT(O$4))+SUMIF(INDIRECT(O$3),'Struktur Aktuell'!$D451,INDIRECT(O$5)))</f>
        <v>0</v>
      </c>
      <c r="P451" s="593">
        <f ca="1">$E451*(-SUMIF(INDIRECT(P$3),'Struktur Aktuell'!$D451,INDIRECT(P$4))+SUMIF(INDIRECT(P$3),'Struktur Aktuell'!$D451,INDIRECT(P$5)))</f>
        <v>0</v>
      </c>
      <c r="Q451" s="593">
        <f ca="1">$E451*(-SUMIF(INDIRECT(Q$3),'Struktur Aktuell'!$D451,INDIRECT(Q$4))+SUMIF(INDIRECT(Q$3),'Struktur Aktuell'!$D451,INDIRECT(Q$5)))</f>
        <v>0</v>
      </c>
      <c r="R451" s="593">
        <f ca="1">$E451*(-SUMIF(INDIRECT(R$3),'Struktur Aktuell'!$D451,INDIRECT(R$4))+SUMIF(INDIRECT(R$3),'Struktur Aktuell'!$D451,INDIRECT(R$5)))</f>
        <v>0</v>
      </c>
      <c r="S451" s="593">
        <f ca="1">$E451*(-SUMIF(INDIRECT(S$3),'Struktur Aktuell'!$D451,INDIRECT(S$4))+SUMIF(INDIRECT(S$3),'Struktur Aktuell'!$D451,INDIRECT(S$5)))</f>
        <v>0</v>
      </c>
      <c r="T451" s="593">
        <f ca="1">$E451*(-SUMIF(INDIRECT(T$3),'Struktur Aktuell'!$D451,INDIRECT(T$4))+SUMIF(INDIRECT(T$3),'Struktur Aktuell'!$D451,INDIRECT(T$5)))</f>
        <v>0</v>
      </c>
      <c r="U451" s="593">
        <f ca="1">$E451*(-SUMIF(INDIRECT(U$3),'Struktur Aktuell'!$D451,INDIRECT(U$4))+SUMIF(INDIRECT(U$3),'Struktur Aktuell'!$D451,INDIRECT(U$5)))</f>
        <v>0</v>
      </c>
      <c r="V451" s="593">
        <f ca="1">$E451*(-SUMIF(INDIRECT(V$3),'Struktur Aktuell'!$D451,INDIRECT(V$4))+SUMIF(INDIRECT(V$3),'Struktur Aktuell'!$D451,INDIRECT(V$5)))</f>
        <v>0</v>
      </c>
      <c r="W451" s="593">
        <f ca="1">$E451*(-SUMIF(INDIRECT(W$3),'Struktur Aktuell'!$D451,INDIRECT(W$4))+SUMIF(INDIRECT(W$3),'Struktur Aktuell'!$D451,INDIRECT(W$5)))</f>
        <v>0</v>
      </c>
      <c r="X451" s="593">
        <f ca="1">$E451*(-SUMIF(INDIRECT(X$3),'Struktur Aktuell'!$D451,INDIRECT(X$4))+SUMIF(INDIRECT(X$3),'Struktur Aktuell'!$D451,INDIRECT(X$5)))</f>
        <v>0</v>
      </c>
      <c r="Y451" s="593">
        <f ca="1">$E451*(-SUMIF(INDIRECT(Y$3),'Struktur Aktuell'!$D451,INDIRECT(Y$4))+SUMIF(INDIRECT(Y$3),'Struktur Aktuell'!$D451,INDIRECT(Y$5)))</f>
        <v>0</v>
      </c>
      <c r="Z451" s="593">
        <f ca="1">$E451*(-SUMIF(INDIRECT(Z$3),'Struktur Aktuell'!$D451,INDIRECT(Z$4))+SUMIF(INDIRECT(Z$3),'Struktur Aktuell'!$D451,INDIRECT(Z$5)))</f>
        <v>0</v>
      </c>
      <c r="AA451" s="593">
        <f ca="1">$E451*(-SUMIF(INDIRECT(AA$3),'Struktur Aktuell'!$D451,INDIRECT(AA$4))+SUMIF(INDIRECT(AA$3),'Struktur Aktuell'!$D451,INDIRECT(AA$5)))</f>
        <v>0</v>
      </c>
      <c r="AB451" s="593">
        <f ca="1">$E451*(-SUMIF(INDIRECT(AB$3),'Struktur Aktuell'!$D451,INDIRECT(AB$4))+SUMIF(INDIRECT(AB$3),'Struktur Aktuell'!$D451,INDIRECT(AB$5)))</f>
        <v>0</v>
      </c>
      <c r="AC451" s="593">
        <f ca="1">$E451*(-SUMIF(INDIRECT(AC$3),'Struktur Aktuell'!$D451,INDIRECT(AC$4))+SUMIF(INDIRECT(AC$3),'Struktur Aktuell'!$D451,INDIRECT(AC$5)))</f>
        <v>0</v>
      </c>
      <c r="AD451" s="593">
        <f ca="1">$E451*(-SUMIF(INDIRECT(AD$3),'Struktur Aktuell'!$D451,INDIRECT(AD$4))+SUMIF(INDIRECT(AD$3),'Struktur Aktuell'!$D451,INDIRECT(AD$5)))</f>
        <v>0</v>
      </c>
      <c r="AE451" s="593">
        <f t="shared" ca="1" si="685"/>
        <v>0</v>
      </c>
      <c r="AF451" s="593">
        <f t="shared" ca="1" si="686"/>
        <v>0</v>
      </c>
      <c r="AG451" s="593">
        <f t="shared" ca="1" si="687"/>
        <v>0</v>
      </c>
      <c r="AH451" s="593">
        <f t="shared" ca="1" si="688"/>
        <v>0</v>
      </c>
      <c r="AI451" s="593">
        <f t="shared" ca="1" si="689"/>
        <v>0</v>
      </c>
      <c r="AJ451" s="593">
        <f t="shared" ca="1" si="690"/>
        <v>0</v>
      </c>
      <c r="AK451" s="593">
        <f t="shared" ca="1" si="691"/>
        <v>0</v>
      </c>
      <c r="AL451" s="593">
        <f t="shared" ca="1" si="692"/>
        <v>0</v>
      </c>
      <c r="AM451" s="593">
        <f t="shared" ca="1" si="693"/>
        <v>0</v>
      </c>
      <c r="AN451" s="593">
        <f t="shared" ca="1" si="694"/>
        <v>0</v>
      </c>
      <c r="AO451" s="593">
        <f t="shared" ca="1" si="695"/>
        <v>0</v>
      </c>
      <c r="AP451" s="593">
        <f t="shared" ca="1" si="696"/>
        <v>0</v>
      </c>
    </row>
    <row r="452" spans="1:42" s="594" customFormat="1" ht="11.25" outlineLevel="1" x14ac:dyDescent="0.2">
      <c r="A452" s="644"/>
      <c r="B452" s="591" t="str">
        <f>IF(D452&lt;&gt;"",
IF(ISERROR(MATCH(D452,'Ist Aktuell Monat 01'!A:A,0))=FALSE,INDEX('Ist Aktuell Monat 01'!B:B,MATCH(D452,'Ist Aktuell Monat 01'!A:A,0)),
IF(ISERROR(MATCH(D452,'Ist Aktuell Monat 02'!A:A,0))=FALSE,INDEX('Ist Aktuell Monat 02'!B:B,MATCH(D452,'Ist Aktuell Monat 02'!A:A,0)),
IF(ISERROR(MATCH(D452,'Ist Aktuell Monat 03'!A:A,0))=FALSE,INDEX('Ist Aktuell Monat 03'!B:B,MATCH(D452,'Ist Aktuell Monat 03'!A:A,0)),
IF(ISERROR(MATCH(D452,'Ist Aktuell Monat 04'!A:A,0))=FALSE,INDEX('Ist Aktuell Monat 04'!B:B,MATCH(D452,'Ist Aktuell Monat 04'!A:A,0)),
IF(ISERROR(MATCH(D452,'Ist Aktuell Monat 05'!A:A,0))=FALSE,INDEX('Ist Aktuell Monat 05'!B:B,MATCH(D452,'Ist Aktuell Monat 05'!A:A,0)),
IF(ISERROR(MATCH(D452,'Ist Aktuell Monat 06'!A:A,0))=FALSE,INDEX('Ist Aktuell Monat 06'!B:B,MATCH(D452,'Ist Aktuell Monat 06'!A:A,0)),
IF(ISERROR(MATCH(D452,'Ist Aktuell Monat 07'!A:A,0))=FALSE,INDEX('Ist Aktuell Monat 07'!B:B,MATCH(D452,'Ist Aktuell Monat 07'!A:A,0)),
IF(ISERROR(MATCH(D452,'Ist Aktuell Monat 08'!A:A,0))=FALSE,INDEX('Ist Aktuell Monat 08'!B:B,MATCH(D452,'Ist Aktuell Monat 08'!A:A,0)),
IF(ISERROR(MATCH(D452,'Ist Aktuell Monat 09'!A:A,0))=FALSE,INDEX('Ist Aktuell Monat 09'!B:B,MATCH(D452,'Ist Aktuell Monat 09'!A:A,0)),
IF(ISERROR(MATCH(D452,'Ist Aktuell Monat 10'!A:A,0))=FALSE,INDEX('Ist Aktuell Monat 10'!B:B,MATCH(D452,'Ist Aktuell Monat 10'!A:A,0)),
IF(ISERROR(MATCH(D452,'Ist Aktuell Monat 11'!A:A,0))=FALSE,INDEX('Ist Aktuell Monat 11'!B:B,MATCH(D452,'Ist Aktuell Monat 11'!A:A,0)),
IF(ISERROR(MATCH(D452,'Ist Aktuell Monat 12'!A:A,0))=FALSE,INDEX('Ist Aktuell Monat 12'!B:B,MATCH(D452,'Ist Aktuell Monat 12'!A:A,0)),
"{Konto unbekannt}"
)))))))))))),"")</f>
        <v/>
      </c>
      <c r="C452" s="1062"/>
      <c r="D452" s="1067"/>
      <c r="E452" s="625">
        <f t="shared" si="602"/>
        <v>1</v>
      </c>
      <c r="F452" s="626"/>
      <c r="G452" s="593">
        <f ca="1">$E452*(-SUMIF(INDIRECT(G$3),'Struktur Aktuell'!$D452,INDIRECT(G$4))+SUMIF(INDIRECT(G$3),'Struktur Aktuell'!$D452,INDIRECT(G$5)))</f>
        <v>0</v>
      </c>
      <c r="H452" s="593">
        <f ca="1">$E452*(-SUMIF(INDIRECT(H$3),'Struktur Aktuell'!$D452,INDIRECT(H$4))+SUMIF(INDIRECT(H$3),'Struktur Aktuell'!$D452,INDIRECT(H$5)))</f>
        <v>0</v>
      </c>
      <c r="I452" s="593">
        <f ca="1">$E452*(-SUMIF(INDIRECT(I$3),'Struktur Aktuell'!$D452,INDIRECT(I$4))+SUMIF(INDIRECT(I$3),'Struktur Aktuell'!$D452,INDIRECT(I$5)))</f>
        <v>0</v>
      </c>
      <c r="J452" s="593">
        <f ca="1">$E452*(-SUMIF(INDIRECT(J$3),'Struktur Aktuell'!$D452,INDIRECT(J$4))+SUMIF(INDIRECT(J$3),'Struktur Aktuell'!$D452,INDIRECT(J$5)))</f>
        <v>0</v>
      </c>
      <c r="K452" s="593">
        <f ca="1">$E452*(-SUMIF(INDIRECT(K$3),'Struktur Aktuell'!$D452,INDIRECT(K$4))+SUMIF(INDIRECT(K$3),'Struktur Aktuell'!$D452,INDIRECT(K$5)))</f>
        <v>0</v>
      </c>
      <c r="L452" s="593">
        <f ca="1">$E452*(-SUMIF(INDIRECT(L$3),'Struktur Aktuell'!$D452,INDIRECT(L$4))+SUMIF(INDIRECT(L$3),'Struktur Aktuell'!$D452,INDIRECT(L$5)))</f>
        <v>0</v>
      </c>
      <c r="M452" s="593">
        <f ca="1">$E452*(-SUMIF(INDIRECT(M$3),'Struktur Aktuell'!$D452,INDIRECT(M$4))+SUMIF(INDIRECT(M$3),'Struktur Aktuell'!$D452,INDIRECT(M$5)))</f>
        <v>0</v>
      </c>
      <c r="N452" s="593">
        <f ca="1">$E452*(-SUMIF(INDIRECT(N$3),'Struktur Aktuell'!$D452,INDIRECT(N$4))+SUMIF(INDIRECT(N$3),'Struktur Aktuell'!$D452,INDIRECT(N$5)))</f>
        <v>0</v>
      </c>
      <c r="O452" s="593">
        <f ca="1">$E452*(-SUMIF(INDIRECT(O$3),'Struktur Aktuell'!$D452,INDIRECT(O$4))+SUMIF(INDIRECT(O$3),'Struktur Aktuell'!$D452,INDIRECT(O$5)))</f>
        <v>0</v>
      </c>
      <c r="P452" s="593">
        <f ca="1">$E452*(-SUMIF(INDIRECT(P$3),'Struktur Aktuell'!$D452,INDIRECT(P$4))+SUMIF(INDIRECT(P$3),'Struktur Aktuell'!$D452,INDIRECT(P$5)))</f>
        <v>0</v>
      </c>
      <c r="Q452" s="593">
        <f ca="1">$E452*(-SUMIF(INDIRECT(Q$3),'Struktur Aktuell'!$D452,INDIRECT(Q$4))+SUMIF(INDIRECT(Q$3),'Struktur Aktuell'!$D452,INDIRECT(Q$5)))</f>
        <v>0</v>
      </c>
      <c r="R452" s="593">
        <f ca="1">$E452*(-SUMIF(INDIRECT(R$3),'Struktur Aktuell'!$D452,INDIRECT(R$4))+SUMIF(INDIRECT(R$3),'Struktur Aktuell'!$D452,INDIRECT(R$5)))</f>
        <v>0</v>
      </c>
      <c r="S452" s="593">
        <f ca="1">$E452*(-SUMIF(INDIRECT(S$3),'Struktur Aktuell'!$D452,INDIRECT(S$4))+SUMIF(INDIRECT(S$3),'Struktur Aktuell'!$D452,INDIRECT(S$5)))</f>
        <v>0</v>
      </c>
      <c r="T452" s="593">
        <f ca="1">$E452*(-SUMIF(INDIRECT(T$3),'Struktur Aktuell'!$D452,INDIRECT(T$4))+SUMIF(INDIRECT(T$3),'Struktur Aktuell'!$D452,INDIRECT(T$5)))</f>
        <v>0</v>
      </c>
      <c r="U452" s="593">
        <f ca="1">$E452*(-SUMIF(INDIRECT(U$3),'Struktur Aktuell'!$D452,INDIRECT(U$4))+SUMIF(INDIRECT(U$3),'Struktur Aktuell'!$D452,INDIRECT(U$5)))</f>
        <v>0</v>
      </c>
      <c r="V452" s="593">
        <f ca="1">$E452*(-SUMIF(INDIRECT(V$3),'Struktur Aktuell'!$D452,INDIRECT(V$4))+SUMIF(INDIRECT(V$3),'Struktur Aktuell'!$D452,INDIRECT(V$5)))</f>
        <v>0</v>
      </c>
      <c r="W452" s="593">
        <f ca="1">$E452*(-SUMIF(INDIRECT(W$3),'Struktur Aktuell'!$D452,INDIRECT(W$4))+SUMIF(INDIRECT(W$3),'Struktur Aktuell'!$D452,INDIRECT(W$5)))</f>
        <v>0</v>
      </c>
      <c r="X452" s="593">
        <f ca="1">$E452*(-SUMIF(INDIRECT(X$3),'Struktur Aktuell'!$D452,INDIRECT(X$4))+SUMIF(INDIRECT(X$3),'Struktur Aktuell'!$D452,INDIRECT(X$5)))</f>
        <v>0</v>
      </c>
      <c r="Y452" s="593">
        <f ca="1">$E452*(-SUMIF(INDIRECT(Y$3),'Struktur Aktuell'!$D452,INDIRECT(Y$4))+SUMIF(INDIRECT(Y$3),'Struktur Aktuell'!$D452,INDIRECT(Y$5)))</f>
        <v>0</v>
      </c>
      <c r="Z452" s="593">
        <f ca="1">$E452*(-SUMIF(INDIRECT(Z$3),'Struktur Aktuell'!$D452,INDIRECT(Z$4))+SUMIF(INDIRECT(Z$3),'Struktur Aktuell'!$D452,INDIRECT(Z$5)))</f>
        <v>0</v>
      </c>
      <c r="AA452" s="593">
        <f ca="1">$E452*(-SUMIF(INDIRECT(AA$3),'Struktur Aktuell'!$D452,INDIRECT(AA$4))+SUMIF(INDIRECT(AA$3),'Struktur Aktuell'!$D452,INDIRECT(AA$5)))</f>
        <v>0</v>
      </c>
      <c r="AB452" s="593">
        <f ca="1">$E452*(-SUMIF(INDIRECT(AB$3),'Struktur Aktuell'!$D452,INDIRECT(AB$4))+SUMIF(INDIRECT(AB$3),'Struktur Aktuell'!$D452,INDIRECT(AB$5)))</f>
        <v>0</v>
      </c>
      <c r="AC452" s="593">
        <f ca="1">$E452*(-SUMIF(INDIRECT(AC$3),'Struktur Aktuell'!$D452,INDIRECT(AC$4))+SUMIF(INDIRECT(AC$3),'Struktur Aktuell'!$D452,INDIRECT(AC$5)))</f>
        <v>0</v>
      </c>
      <c r="AD452" s="593">
        <f ca="1">$E452*(-SUMIF(INDIRECT(AD$3),'Struktur Aktuell'!$D452,INDIRECT(AD$4))+SUMIF(INDIRECT(AD$3),'Struktur Aktuell'!$D452,INDIRECT(AD$5)))</f>
        <v>0</v>
      </c>
      <c r="AE452" s="593">
        <f t="shared" ca="1" si="685"/>
        <v>0</v>
      </c>
      <c r="AF452" s="593">
        <f t="shared" ca="1" si="686"/>
        <v>0</v>
      </c>
      <c r="AG452" s="593">
        <f t="shared" ca="1" si="687"/>
        <v>0</v>
      </c>
      <c r="AH452" s="593">
        <f t="shared" ca="1" si="688"/>
        <v>0</v>
      </c>
      <c r="AI452" s="593">
        <f t="shared" ca="1" si="689"/>
        <v>0</v>
      </c>
      <c r="AJ452" s="593">
        <f t="shared" ca="1" si="690"/>
        <v>0</v>
      </c>
      <c r="AK452" s="593">
        <f t="shared" ca="1" si="691"/>
        <v>0</v>
      </c>
      <c r="AL452" s="593">
        <f t="shared" ca="1" si="692"/>
        <v>0</v>
      </c>
      <c r="AM452" s="593">
        <f t="shared" ca="1" si="693"/>
        <v>0</v>
      </c>
      <c r="AN452" s="593">
        <f t="shared" ca="1" si="694"/>
        <v>0</v>
      </c>
      <c r="AO452" s="593">
        <f t="shared" ca="1" si="695"/>
        <v>0</v>
      </c>
      <c r="AP452" s="593">
        <f t="shared" ca="1" si="696"/>
        <v>0</v>
      </c>
    </row>
    <row r="453" spans="1:42" s="594" customFormat="1" ht="11.25" outlineLevel="1" x14ac:dyDescent="0.2">
      <c r="A453" s="644"/>
      <c r="B453" s="591" t="str">
        <f>IF(D453&lt;&gt;"",
IF(ISERROR(MATCH(D453,'Ist Aktuell Monat 01'!A:A,0))=FALSE,INDEX('Ist Aktuell Monat 01'!B:B,MATCH(D453,'Ist Aktuell Monat 01'!A:A,0)),
IF(ISERROR(MATCH(D453,'Ist Aktuell Monat 02'!A:A,0))=FALSE,INDEX('Ist Aktuell Monat 02'!B:B,MATCH(D453,'Ist Aktuell Monat 02'!A:A,0)),
IF(ISERROR(MATCH(D453,'Ist Aktuell Monat 03'!A:A,0))=FALSE,INDEX('Ist Aktuell Monat 03'!B:B,MATCH(D453,'Ist Aktuell Monat 03'!A:A,0)),
IF(ISERROR(MATCH(D453,'Ist Aktuell Monat 04'!A:A,0))=FALSE,INDEX('Ist Aktuell Monat 04'!B:B,MATCH(D453,'Ist Aktuell Monat 04'!A:A,0)),
IF(ISERROR(MATCH(D453,'Ist Aktuell Monat 05'!A:A,0))=FALSE,INDEX('Ist Aktuell Monat 05'!B:B,MATCH(D453,'Ist Aktuell Monat 05'!A:A,0)),
IF(ISERROR(MATCH(D453,'Ist Aktuell Monat 06'!A:A,0))=FALSE,INDEX('Ist Aktuell Monat 06'!B:B,MATCH(D453,'Ist Aktuell Monat 06'!A:A,0)),
IF(ISERROR(MATCH(D453,'Ist Aktuell Monat 07'!A:A,0))=FALSE,INDEX('Ist Aktuell Monat 07'!B:B,MATCH(D453,'Ist Aktuell Monat 07'!A:A,0)),
IF(ISERROR(MATCH(D453,'Ist Aktuell Monat 08'!A:A,0))=FALSE,INDEX('Ist Aktuell Monat 08'!B:B,MATCH(D453,'Ist Aktuell Monat 08'!A:A,0)),
IF(ISERROR(MATCH(D453,'Ist Aktuell Monat 09'!A:A,0))=FALSE,INDEX('Ist Aktuell Monat 09'!B:B,MATCH(D453,'Ist Aktuell Monat 09'!A:A,0)),
IF(ISERROR(MATCH(D453,'Ist Aktuell Monat 10'!A:A,0))=FALSE,INDEX('Ist Aktuell Monat 10'!B:B,MATCH(D453,'Ist Aktuell Monat 10'!A:A,0)),
IF(ISERROR(MATCH(D453,'Ist Aktuell Monat 11'!A:A,0))=FALSE,INDEX('Ist Aktuell Monat 11'!B:B,MATCH(D453,'Ist Aktuell Monat 11'!A:A,0)),
IF(ISERROR(MATCH(D453,'Ist Aktuell Monat 12'!A:A,0))=FALSE,INDEX('Ist Aktuell Monat 12'!B:B,MATCH(D453,'Ist Aktuell Monat 12'!A:A,0)),
"{Konto unbekannt}"
)))))))))))),"")</f>
        <v/>
      </c>
      <c r="C453" s="1062"/>
      <c r="D453" s="1067"/>
      <c r="E453" s="625">
        <f t="shared" si="602"/>
        <v>1</v>
      </c>
      <c r="F453" s="626"/>
      <c r="G453" s="593">
        <f ca="1">$E453*(-SUMIF(INDIRECT(G$3),'Struktur Aktuell'!$D453,INDIRECT(G$4))+SUMIF(INDIRECT(G$3),'Struktur Aktuell'!$D453,INDIRECT(G$5)))</f>
        <v>0</v>
      </c>
      <c r="H453" s="593">
        <f ca="1">$E453*(-SUMIF(INDIRECT(H$3),'Struktur Aktuell'!$D453,INDIRECT(H$4))+SUMIF(INDIRECT(H$3),'Struktur Aktuell'!$D453,INDIRECT(H$5)))</f>
        <v>0</v>
      </c>
      <c r="I453" s="593">
        <f ca="1">$E453*(-SUMIF(INDIRECT(I$3),'Struktur Aktuell'!$D453,INDIRECT(I$4))+SUMIF(INDIRECT(I$3),'Struktur Aktuell'!$D453,INDIRECT(I$5)))</f>
        <v>0</v>
      </c>
      <c r="J453" s="593">
        <f ca="1">$E453*(-SUMIF(INDIRECT(J$3),'Struktur Aktuell'!$D453,INDIRECT(J$4))+SUMIF(INDIRECT(J$3),'Struktur Aktuell'!$D453,INDIRECT(J$5)))</f>
        <v>0</v>
      </c>
      <c r="K453" s="593">
        <f ca="1">$E453*(-SUMIF(INDIRECT(K$3),'Struktur Aktuell'!$D453,INDIRECT(K$4))+SUMIF(INDIRECT(K$3),'Struktur Aktuell'!$D453,INDIRECT(K$5)))</f>
        <v>0</v>
      </c>
      <c r="L453" s="593">
        <f ca="1">$E453*(-SUMIF(INDIRECT(L$3),'Struktur Aktuell'!$D453,INDIRECT(L$4))+SUMIF(INDIRECT(L$3),'Struktur Aktuell'!$D453,INDIRECT(L$5)))</f>
        <v>0</v>
      </c>
      <c r="M453" s="593">
        <f ca="1">$E453*(-SUMIF(INDIRECT(M$3),'Struktur Aktuell'!$D453,INDIRECT(M$4))+SUMIF(INDIRECT(M$3),'Struktur Aktuell'!$D453,INDIRECT(M$5)))</f>
        <v>0</v>
      </c>
      <c r="N453" s="593">
        <f ca="1">$E453*(-SUMIF(INDIRECT(N$3),'Struktur Aktuell'!$D453,INDIRECT(N$4))+SUMIF(INDIRECT(N$3),'Struktur Aktuell'!$D453,INDIRECT(N$5)))</f>
        <v>0</v>
      </c>
      <c r="O453" s="593">
        <f ca="1">$E453*(-SUMIF(INDIRECT(O$3),'Struktur Aktuell'!$D453,INDIRECT(O$4))+SUMIF(INDIRECT(O$3),'Struktur Aktuell'!$D453,INDIRECT(O$5)))</f>
        <v>0</v>
      </c>
      <c r="P453" s="593">
        <f ca="1">$E453*(-SUMIF(INDIRECT(P$3),'Struktur Aktuell'!$D453,INDIRECT(P$4))+SUMIF(INDIRECT(P$3),'Struktur Aktuell'!$D453,INDIRECT(P$5)))</f>
        <v>0</v>
      </c>
      <c r="Q453" s="593">
        <f ca="1">$E453*(-SUMIF(INDIRECT(Q$3),'Struktur Aktuell'!$D453,INDIRECT(Q$4))+SUMIF(INDIRECT(Q$3),'Struktur Aktuell'!$D453,INDIRECT(Q$5)))</f>
        <v>0</v>
      </c>
      <c r="R453" s="593">
        <f ca="1">$E453*(-SUMIF(INDIRECT(R$3),'Struktur Aktuell'!$D453,INDIRECT(R$4))+SUMIF(INDIRECT(R$3),'Struktur Aktuell'!$D453,INDIRECT(R$5)))</f>
        <v>0</v>
      </c>
      <c r="S453" s="593">
        <f ca="1">$E453*(-SUMIF(INDIRECT(S$3),'Struktur Aktuell'!$D453,INDIRECT(S$4))+SUMIF(INDIRECT(S$3),'Struktur Aktuell'!$D453,INDIRECT(S$5)))</f>
        <v>0</v>
      </c>
      <c r="T453" s="593">
        <f ca="1">$E453*(-SUMIF(INDIRECT(T$3),'Struktur Aktuell'!$D453,INDIRECT(T$4))+SUMIF(INDIRECT(T$3),'Struktur Aktuell'!$D453,INDIRECT(T$5)))</f>
        <v>0</v>
      </c>
      <c r="U453" s="593">
        <f ca="1">$E453*(-SUMIF(INDIRECT(U$3),'Struktur Aktuell'!$D453,INDIRECT(U$4))+SUMIF(INDIRECT(U$3),'Struktur Aktuell'!$D453,INDIRECT(U$5)))</f>
        <v>0</v>
      </c>
      <c r="V453" s="593">
        <f ca="1">$E453*(-SUMIF(INDIRECT(V$3),'Struktur Aktuell'!$D453,INDIRECT(V$4))+SUMIF(INDIRECT(V$3),'Struktur Aktuell'!$D453,INDIRECT(V$5)))</f>
        <v>0</v>
      </c>
      <c r="W453" s="593">
        <f ca="1">$E453*(-SUMIF(INDIRECT(W$3),'Struktur Aktuell'!$D453,INDIRECT(W$4))+SUMIF(INDIRECT(W$3),'Struktur Aktuell'!$D453,INDIRECT(W$5)))</f>
        <v>0</v>
      </c>
      <c r="X453" s="593">
        <f ca="1">$E453*(-SUMIF(INDIRECT(X$3),'Struktur Aktuell'!$D453,INDIRECT(X$4))+SUMIF(INDIRECT(X$3),'Struktur Aktuell'!$D453,INDIRECT(X$5)))</f>
        <v>0</v>
      </c>
      <c r="Y453" s="593">
        <f ca="1">$E453*(-SUMIF(INDIRECT(Y$3),'Struktur Aktuell'!$D453,INDIRECT(Y$4))+SUMIF(INDIRECT(Y$3),'Struktur Aktuell'!$D453,INDIRECT(Y$5)))</f>
        <v>0</v>
      </c>
      <c r="Z453" s="593">
        <f ca="1">$E453*(-SUMIF(INDIRECT(Z$3),'Struktur Aktuell'!$D453,INDIRECT(Z$4))+SUMIF(INDIRECT(Z$3),'Struktur Aktuell'!$D453,INDIRECT(Z$5)))</f>
        <v>0</v>
      </c>
      <c r="AA453" s="593">
        <f ca="1">$E453*(-SUMIF(INDIRECT(AA$3),'Struktur Aktuell'!$D453,INDIRECT(AA$4))+SUMIF(INDIRECT(AA$3),'Struktur Aktuell'!$D453,INDIRECT(AA$5)))</f>
        <v>0</v>
      </c>
      <c r="AB453" s="593">
        <f ca="1">$E453*(-SUMIF(INDIRECT(AB$3),'Struktur Aktuell'!$D453,INDIRECT(AB$4))+SUMIF(INDIRECT(AB$3),'Struktur Aktuell'!$D453,INDIRECT(AB$5)))</f>
        <v>0</v>
      </c>
      <c r="AC453" s="593">
        <f ca="1">$E453*(-SUMIF(INDIRECT(AC$3),'Struktur Aktuell'!$D453,INDIRECT(AC$4))+SUMIF(INDIRECT(AC$3),'Struktur Aktuell'!$D453,INDIRECT(AC$5)))</f>
        <v>0</v>
      </c>
      <c r="AD453" s="593">
        <f ca="1">$E453*(-SUMIF(INDIRECT(AD$3),'Struktur Aktuell'!$D453,INDIRECT(AD$4))+SUMIF(INDIRECT(AD$3),'Struktur Aktuell'!$D453,INDIRECT(AD$5)))</f>
        <v>0</v>
      </c>
      <c r="AE453" s="593">
        <f t="shared" ca="1" si="685"/>
        <v>0</v>
      </c>
      <c r="AF453" s="593">
        <f t="shared" ca="1" si="686"/>
        <v>0</v>
      </c>
      <c r="AG453" s="593">
        <f t="shared" ca="1" si="687"/>
        <v>0</v>
      </c>
      <c r="AH453" s="593">
        <f t="shared" ca="1" si="688"/>
        <v>0</v>
      </c>
      <c r="AI453" s="593">
        <f t="shared" ca="1" si="689"/>
        <v>0</v>
      </c>
      <c r="AJ453" s="593">
        <f t="shared" ca="1" si="690"/>
        <v>0</v>
      </c>
      <c r="AK453" s="593">
        <f t="shared" ca="1" si="691"/>
        <v>0</v>
      </c>
      <c r="AL453" s="593">
        <f t="shared" ca="1" si="692"/>
        <v>0</v>
      </c>
      <c r="AM453" s="593">
        <f t="shared" ca="1" si="693"/>
        <v>0</v>
      </c>
      <c r="AN453" s="593">
        <f t="shared" ca="1" si="694"/>
        <v>0</v>
      </c>
      <c r="AO453" s="593">
        <f t="shared" ca="1" si="695"/>
        <v>0</v>
      </c>
      <c r="AP453" s="593">
        <f t="shared" ca="1" si="696"/>
        <v>0</v>
      </c>
    </row>
    <row r="454" spans="1:42" s="594" customFormat="1" ht="11.25" outlineLevel="1" x14ac:dyDescent="0.2">
      <c r="A454" s="644"/>
      <c r="B454" s="591" t="str">
        <f>IF(D454&lt;&gt;"",
IF(ISERROR(MATCH(D454,'Ist Aktuell Monat 01'!A:A,0))=FALSE,INDEX('Ist Aktuell Monat 01'!B:B,MATCH(D454,'Ist Aktuell Monat 01'!A:A,0)),
IF(ISERROR(MATCH(D454,'Ist Aktuell Monat 02'!A:A,0))=FALSE,INDEX('Ist Aktuell Monat 02'!B:B,MATCH(D454,'Ist Aktuell Monat 02'!A:A,0)),
IF(ISERROR(MATCH(D454,'Ist Aktuell Monat 03'!A:A,0))=FALSE,INDEX('Ist Aktuell Monat 03'!B:B,MATCH(D454,'Ist Aktuell Monat 03'!A:A,0)),
IF(ISERROR(MATCH(D454,'Ist Aktuell Monat 04'!A:A,0))=FALSE,INDEX('Ist Aktuell Monat 04'!B:B,MATCH(D454,'Ist Aktuell Monat 04'!A:A,0)),
IF(ISERROR(MATCH(D454,'Ist Aktuell Monat 05'!A:A,0))=FALSE,INDEX('Ist Aktuell Monat 05'!B:B,MATCH(D454,'Ist Aktuell Monat 05'!A:A,0)),
IF(ISERROR(MATCH(D454,'Ist Aktuell Monat 06'!A:A,0))=FALSE,INDEX('Ist Aktuell Monat 06'!B:B,MATCH(D454,'Ist Aktuell Monat 06'!A:A,0)),
IF(ISERROR(MATCH(D454,'Ist Aktuell Monat 07'!A:A,0))=FALSE,INDEX('Ist Aktuell Monat 07'!B:B,MATCH(D454,'Ist Aktuell Monat 07'!A:A,0)),
IF(ISERROR(MATCH(D454,'Ist Aktuell Monat 08'!A:A,0))=FALSE,INDEX('Ist Aktuell Monat 08'!B:B,MATCH(D454,'Ist Aktuell Monat 08'!A:A,0)),
IF(ISERROR(MATCH(D454,'Ist Aktuell Monat 09'!A:A,0))=FALSE,INDEX('Ist Aktuell Monat 09'!B:B,MATCH(D454,'Ist Aktuell Monat 09'!A:A,0)),
IF(ISERROR(MATCH(D454,'Ist Aktuell Monat 10'!A:A,0))=FALSE,INDEX('Ist Aktuell Monat 10'!B:B,MATCH(D454,'Ist Aktuell Monat 10'!A:A,0)),
IF(ISERROR(MATCH(D454,'Ist Aktuell Monat 11'!A:A,0))=FALSE,INDEX('Ist Aktuell Monat 11'!B:B,MATCH(D454,'Ist Aktuell Monat 11'!A:A,0)),
IF(ISERROR(MATCH(D454,'Ist Aktuell Monat 12'!A:A,0))=FALSE,INDEX('Ist Aktuell Monat 12'!B:B,MATCH(D454,'Ist Aktuell Monat 12'!A:A,0)),
"{Konto unbekannt}"
)))))))))))),"")</f>
        <v/>
      </c>
      <c r="C454" s="1062"/>
      <c r="D454" s="1067"/>
      <c r="E454" s="625">
        <f t="shared" si="602"/>
        <v>1</v>
      </c>
      <c r="F454" s="626"/>
      <c r="G454" s="593">
        <f ca="1">$E454*(-SUMIF(INDIRECT(G$3),'Struktur Aktuell'!$D454,INDIRECT(G$4))+SUMIF(INDIRECT(G$3),'Struktur Aktuell'!$D454,INDIRECT(G$5)))</f>
        <v>0</v>
      </c>
      <c r="H454" s="593">
        <f ca="1">$E454*(-SUMIF(INDIRECT(H$3),'Struktur Aktuell'!$D454,INDIRECT(H$4))+SUMIF(INDIRECT(H$3),'Struktur Aktuell'!$D454,INDIRECT(H$5)))</f>
        <v>0</v>
      </c>
      <c r="I454" s="593">
        <f ca="1">$E454*(-SUMIF(INDIRECT(I$3),'Struktur Aktuell'!$D454,INDIRECT(I$4))+SUMIF(INDIRECT(I$3),'Struktur Aktuell'!$D454,INDIRECT(I$5)))</f>
        <v>0</v>
      </c>
      <c r="J454" s="593">
        <f ca="1">$E454*(-SUMIF(INDIRECT(J$3),'Struktur Aktuell'!$D454,INDIRECT(J$4))+SUMIF(INDIRECT(J$3),'Struktur Aktuell'!$D454,INDIRECT(J$5)))</f>
        <v>0</v>
      </c>
      <c r="K454" s="593">
        <f ca="1">$E454*(-SUMIF(INDIRECT(K$3),'Struktur Aktuell'!$D454,INDIRECT(K$4))+SUMIF(INDIRECT(K$3),'Struktur Aktuell'!$D454,INDIRECT(K$5)))</f>
        <v>0</v>
      </c>
      <c r="L454" s="593">
        <f ca="1">$E454*(-SUMIF(INDIRECT(L$3),'Struktur Aktuell'!$D454,INDIRECT(L$4))+SUMIF(INDIRECT(L$3),'Struktur Aktuell'!$D454,INDIRECT(L$5)))</f>
        <v>0</v>
      </c>
      <c r="M454" s="593">
        <f ca="1">$E454*(-SUMIF(INDIRECT(M$3),'Struktur Aktuell'!$D454,INDIRECT(M$4))+SUMIF(INDIRECT(M$3),'Struktur Aktuell'!$D454,INDIRECT(M$5)))</f>
        <v>0</v>
      </c>
      <c r="N454" s="593">
        <f ca="1">$E454*(-SUMIF(INDIRECT(N$3),'Struktur Aktuell'!$D454,INDIRECT(N$4))+SUMIF(INDIRECT(N$3),'Struktur Aktuell'!$D454,INDIRECT(N$5)))</f>
        <v>0</v>
      </c>
      <c r="O454" s="593">
        <f ca="1">$E454*(-SUMIF(INDIRECT(O$3),'Struktur Aktuell'!$D454,INDIRECT(O$4))+SUMIF(INDIRECT(O$3),'Struktur Aktuell'!$D454,INDIRECT(O$5)))</f>
        <v>0</v>
      </c>
      <c r="P454" s="593">
        <f ca="1">$E454*(-SUMIF(INDIRECT(P$3),'Struktur Aktuell'!$D454,INDIRECT(P$4))+SUMIF(INDIRECT(P$3),'Struktur Aktuell'!$D454,INDIRECT(P$5)))</f>
        <v>0</v>
      </c>
      <c r="Q454" s="593">
        <f ca="1">$E454*(-SUMIF(INDIRECT(Q$3),'Struktur Aktuell'!$D454,INDIRECT(Q$4))+SUMIF(INDIRECT(Q$3),'Struktur Aktuell'!$D454,INDIRECT(Q$5)))</f>
        <v>0</v>
      </c>
      <c r="R454" s="593">
        <f ca="1">$E454*(-SUMIF(INDIRECT(R$3),'Struktur Aktuell'!$D454,INDIRECT(R$4))+SUMIF(INDIRECT(R$3),'Struktur Aktuell'!$D454,INDIRECT(R$5)))</f>
        <v>0</v>
      </c>
      <c r="S454" s="593">
        <f ca="1">$E454*(-SUMIF(INDIRECT(S$3),'Struktur Aktuell'!$D454,INDIRECT(S$4))+SUMIF(INDIRECT(S$3),'Struktur Aktuell'!$D454,INDIRECT(S$5)))</f>
        <v>0</v>
      </c>
      <c r="T454" s="593">
        <f ca="1">$E454*(-SUMIF(INDIRECT(T$3),'Struktur Aktuell'!$D454,INDIRECT(T$4))+SUMIF(INDIRECT(T$3),'Struktur Aktuell'!$D454,INDIRECT(T$5)))</f>
        <v>0</v>
      </c>
      <c r="U454" s="593">
        <f ca="1">$E454*(-SUMIF(INDIRECT(U$3),'Struktur Aktuell'!$D454,INDIRECT(U$4))+SUMIF(INDIRECT(U$3),'Struktur Aktuell'!$D454,INDIRECT(U$5)))</f>
        <v>0</v>
      </c>
      <c r="V454" s="593">
        <f ca="1">$E454*(-SUMIF(INDIRECT(V$3),'Struktur Aktuell'!$D454,INDIRECT(V$4))+SUMIF(INDIRECT(V$3),'Struktur Aktuell'!$D454,INDIRECT(V$5)))</f>
        <v>0</v>
      </c>
      <c r="W454" s="593">
        <f ca="1">$E454*(-SUMIF(INDIRECT(W$3),'Struktur Aktuell'!$D454,INDIRECT(W$4))+SUMIF(INDIRECT(W$3),'Struktur Aktuell'!$D454,INDIRECT(W$5)))</f>
        <v>0</v>
      </c>
      <c r="X454" s="593">
        <f ca="1">$E454*(-SUMIF(INDIRECT(X$3),'Struktur Aktuell'!$D454,INDIRECT(X$4))+SUMIF(INDIRECT(X$3),'Struktur Aktuell'!$D454,INDIRECT(X$5)))</f>
        <v>0</v>
      </c>
      <c r="Y454" s="593">
        <f ca="1">$E454*(-SUMIF(INDIRECT(Y$3),'Struktur Aktuell'!$D454,INDIRECT(Y$4))+SUMIF(INDIRECT(Y$3),'Struktur Aktuell'!$D454,INDIRECT(Y$5)))</f>
        <v>0</v>
      </c>
      <c r="Z454" s="593">
        <f ca="1">$E454*(-SUMIF(INDIRECT(Z$3),'Struktur Aktuell'!$D454,INDIRECT(Z$4))+SUMIF(INDIRECT(Z$3),'Struktur Aktuell'!$D454,INDIRECT(Z$5)))</f>
        <v>0</v>
      </c>
      <c r="AA454" s="593">
        <f ca="1">$E454*(-SUMIF(INDIRECT(AA$3),'Struktur Aktuell'!$D454,INDIRECT(AA$4))+SUMIF(INDIRECT(AA$3),'Struktur Aktuell'!$D454,INDIRECT(AA$5)))</f>
        <v>0</v>
      </c>
      <c r="AB454" s="593">
        <f ca="1">$E454*(-SUMIF(INDIRECT(AB$3),'Struktur Aktuell'!$D454,INDIRECT(AB$4))+SUMIF(INDIRECT(AB$3),'Struktur Aktuell'!$D454,INDIRECT(AB$5)))</f>
        <v>0</v>
      </c>
      <c r="AC454" s="593">
        <f ca="1">$E454*(-SUMIF(INDIRECT(AC$3),'Struktur Aktuell'!$D454,INDIRECT(AC$4))+SUMIF(INDIRECT(AC$3),'Struktur Aktuell'!$D454,INDIRECT(AC$5)))</f>
        <v>0</v>
      </c>
      <c r="AD454" s="593">
        <f ca="1">$E454*(-SUMIF(INDIRECT(AD$3),'Struktur Aktuell'!$D454,INDIRECT(AD$4))+SUMIF(INDIRECT(AD$3),'Struktur Aktuell'!$D454,INDIRECT(AD$5)))</f>
        <v>0</v>
      </c>
      <c r="AE454" s="593">
        <f t="shared" ca="1" si="685"/>
        <v>0</v>
      </c>
      <c r="AF454" s="593">
        <f t="shared" ca="1" si="686"/>
        <v>0</v>
      </c>
      <c r="AG454" s="593">
        <f t="shared" ca="1" si="687"/>
        <v>0</v>
      </c>
      <c r="AH454" s="593">
        <f t="shared" ca="1" si="688"/>
        <v>0</v>
      </c>
      <c r="AI454" s="593">
        <f t="shared" ca="1" si="689"/>
        <v>0</v>
      </c>
      <c r="AJ454" s="593">
        <f t="shared" ca="1" si="690"/>
        <v>0</v>
      </c>
      <c r="AK454" s="593">
        <f t="shared" ca="1" si="691"/>
        <v>0</v>
      </c>
      <c r="AL454" s="593">
        <f t="shared" ca="1" si="692"/>
        <v>0</v>
      </c>
      <c r="AM454" s="593">
        <f t="shared" ca="1" si="693"/>
        <v>0</v>
      </c>
      <c r="AN454" s="593">
        <f t="shared" ca="1" si="694"/>
        <v>0</v>
      </c>
      <c r="AO454" s="593">
        <f t="shared" ca="1" si="695"/>
        <v>0</v>
      </c>
      <c r="AP454" s="593">
        <f t="shared" ca="1" si="696"/>
        <v>0</v>
      </c>
    </row>
    <row r="455" spans="1:42" s="594" customFormat="1" ht="11.25" outlineLevel="1" x14ac:dyDescent="0.2">
      <c r="A455" s="644"/>
      <c r="B455" s="591" t="str">
        <f>IF(D455&lt;&gt;"",
IF(ISERROR(MATCH(D455,'Ist Aktuell Monat 01'!A:A,0))=FALSE,INDEX('Ist Aktuell Monat 01'!B:B,MATCH(D455,'Ist Aktuell Monat 01'!A:A,0)),
IF(ISERROR(MATCH(D455,'Ist Aktuell Monat 02'!A:A,0))=FALSE,INDEX('Ist Aktuell Monat 02'!B:B,MATCH(D455,'Ist Aktuell Monat 02'!A:A,0)),
IF(ISERROR(MATCH(D455,'Ist Aktuell Monat 03'!A:A,0))=FALSE,INDEX('Ist Aktuell Monat 03'!B:B,MATCH(D455,'Ist Aktuell Monat 03'!A:A,0)),
IF(ISERROR(MATCH(D455,'Ist Aktuell Monat 04'!A:A,0))=FALSE,INDEX('Ist Aktuell Monat 04'!B:B,MATCH(D455,'Ist Aktuell Monat 04'!A:A,0)),
IF(ISERROR(MATCH(D455,'Ist Aktuell Monat 05'!A:A,0))=FALSE,INDEX('Ist Aktuell Monat 05'!B:B,MATCH(D455,'Ist Aktuell Monat 05'!A:A,0)),
IF(ISERROR(MATCH(D455,'Ist Aktuell Monat 06'!A:A,0))=FALSE,INDEX('Ist Aktuell Monat 06'!B:B,MATCH(D455,'Ist Aktuell Monat 06'!A:A,0)),
IF(ISERROR(MATCH(D455,'Ist Aktuell Monat 07'!A:A,0))=FALSE,INDEX('Ist Aktuell Monat 07'!B:B,MATCH(D455,'Ist Aktuell Monat 07'!A:A,0)),
IF(ISERROR(MATCH(D455,'Ist Aktuell Monat 08'!A:A,0))=FALSE,INDEX('Ist Aktuell Monat 08'!B:B,MATCH(D455,'Ist Aktuell Monat 08'!A:A,0)),
IF(ISERROR(MATCH(D455,'Ist Aktuell Monat 09'!A:A,0))=FALSE,INDEX('Ist Aktuell Monat 09'!B:B,MATCH(D455,'Ist Aktuell Monat 09'!A:A,0)),
IF(ISERROR(MATCH(D455,'Ist Aktuell Monat 10'!A:A,0))=FALSE,INDEX('Ist Aktuell Monat 10'!B:B,MATCH(D455,'Ist Aktuell Monat 10'!A:A,0)),
IF(ISERROR(MATCH(D455,'Ist Aktuell Monat 11'!A:A,0))=FALSE,INDEX('Ist Aktuell Monat 11'!B:B,MATCH(D455,'Ist Aktuell Monat 11'!A:A,0)),
IF(ISERROR(MATCH(D455,'Ist Aktuell Monat 12'!A:A,0))=FALSE,INDEX('Ist Aktuell Monat 12'!B:B,MATCH(D455,'Ist Aktuell Monat 12'!A:A,0)),
"{Konto unbekannt}"
)))))))))))),"")</f>
        <v/>
      </c>
      <c r="C455" s="1062"/>
      <c r="D455" s="1067"/>
      <c r="E455" s="625">
        <f t="shared" si="602"/>
        <v>1</v>
      </c>
      <c r="F455" s="626"/>
      <c r="G455" s="593">
        <f ca="1">$E455*(-SUMIF(INDIRECT(G$3),'Struktur Aktuell'!$D455,INDIRECT(G$4))+SUMIF(INDIRECT(G$3),'Struktur Aktuell'!$D455,INDIRECT(G$5)))</f>
        <v>0</v>
      </c>
      <c r="H455" s="593">
        <f ca="1">$E455*(-SUMIF(INDIRECT(H$3),'Struktur Aktuell'!$D455,INDIRECT(H$4))+SUMIF(INDIRECT(H$3),'Struktur Aktuell'!$D455,INDIRECT(H$5)))</f>
        <v>0</v>
      </c>
      <c r="I455" s="593">
        <f ca="1">$E455*(-SUMIF(INDIRECT(I$3),'Struktur Aktuell'!$D455,INDIRECT(I$4))+SUMIF(INDIRECT(I$3),'Struktur Aktuell'!$D455,INDIRECT(I$5)))</f>
        <v>0</v>
      </c>
      <c r="J455" s="593">
        <f ca="1">$E455*(-SUMIF(INDIRECT(J$3),'Struktur Aktuell'!$D455,INDIRECT(J$4))+SUMIF(INDIRECT(J$3),'Struktur Aktuell'!$D455,INDIRECT(J$5)))</f>
        <v>0</v>
      </c>
      <c r="K455" s="593">
        <f ca="1">$E455*(-SUMIF(INDIRECT(K$3),'Struktur Aktuell'!$D455,INDIRECT(K$4))+SUMIF(INDIRECT(K$3),'Struktur Aktuell'!$D455,INDIRECT(K$5)))</f>
        <v>0</v>
      </c>
      <c r="L455" s="593">
        <f ca="1">$E455*(-SUMIF(INDIRECT(L$3),'Struktur Aktuell'!$D455,INDIRECT(L$4))+SUMIF(INDIRECT(L$3),'Struktur Aktuell'!$D455,INDIRECT(L$5)))</f>
        <v>0</v>
      </c>
      <c r="M455" s="593">
        <f ca="1">$E455*(-SUMIF(INDIRECT(M$3),'Struktur Aktuell'!$D455,INDIRECT(M$4))+SUMIF(INDIRECT(M$3),'Struktur Aktuell'!$D455,INDIRECT(M$5)))</f>
        <v>0</v>
      </c>
      <c r="N455" s="593">
        <f ca="1">$E455*(-SUMIF(INDIRECT(N$3),'Struktur Aktuell'!$D455,INDIRECT(N$4))+SUMIF(INDIRECT(N$3),'Struktur Aktuell'!$D455,INDIRECT(N$5)))</f>
        <v>0</v>
      </c>
      <c r="O455" s="593">
        <f ca="1">$E455*(-SUMIF(INDIRECT(O$3),'Struktur Aktuell'!$D455,INDIRECT(O$4))+SUMIF(INDIRECT(O$3),'Struktur Aktuell'!$D455,INDIRECT(O$5)))</f>
        <v>0</v>
      </c>
      <c r="P455" s="593">
        <f ca="1">$E455*(-SUMIF(INDIRECT(P$3),'Struktur Aktuell'!$D455,INDIRECT(P$4))+SUMIF(INDIRECT(P$3),'Struktur Aktuell'!$D455,INDIRECT(P$5)))</f>
        <v>0</v>
      </c>
      <c r="Q455" s="593">
        <f ca="1">$E455*(-SUMIF(INDIRECT(Q$3),'Struktur Aktuell'!$D455,INDIRECT(Q$4))+SUMIF(INDIRECT(Q$3),'Struktur Aktuell'!$D455,INDIRECT(Q$5)))</f>
        <v>0</v>
      </c>
      <c r="R455" s="593">
        <f ca="1">$E455*(-SUMIF(INDIRECT(R$3),'Struktur Aktuell'!$D455,INDIRECT(R$4))+SUMIF(INDIRECT(R$3),'Struktur Aktuell'!$D455,INDIRECT(R$5)))</f>
        <v>0</v>
      </c>
      <c r="S455" s="593">
        <f ca="1">$E455*(-SUMIF(INDIRECT(S$3),'Struktur Aktuell'!$D455,INDIRECT(S$4))+SUMIF(INDIRECT(S$3),'Struktur Aktuell'!$D455,INDIRECT(S$5)))</f>
        <v>0</v>
      </c>
      <c r="T455" s="593">
        <f ca="1">$E455*(-SUMIF(INDIRECT(T$3),'Struktur Aktuell'!$D455,INDIRECT(T$4))+SUMIF(INDIRECT(T$3),'Struktur Aktuell'!$D455,INDIRECT(T$5)))</f>
        <v>0</v>
      </c>
      <c r="U455" s="593">
        <f ca="1">$E455*(-SUMIF(INDIRECT(U$3),'Struktur Aktuell'!$D455,INDIRECT(U$4))+SUMIF(INDIRECT(U$3),'Struktur Aktuell'!$D455,INDIRECT(U$5)))</f>
        <v>0</v>
      </c>
      <c r="V455" s="593">
        <f ca="1">$E455*(-SUMIF(INDIRECT(V$3),'Struktur Aktuell'!$D455,INDIRECT(V$4))+SUMIF(INDIRECT(V$3),'Struktur Aktuell'!$D455,INDIRECT(V$5)))</f>
        <v>0</v>
      </c>
      <c r="W455" s="593">
        <f ca="1">$E455*(-SUMIF(INDIRECT(W$3),'Struktur Aktuell'!$D455,INDIRECT(W$4))+SUMIF(INDIRECT(W$3),'Struktur Aktuell'!$D455,INDIRECT(W$5)))</f>
        <v>0</v>
      </c>
      <c r="X455" s="593">
        <f ca="1">$E455*(-SUMIF(INDIRECT(X$3),'Struktur Aktuell'!$D455,INDIRECT(X$4))+SUMIF(INDIRECT(X$3),'Struktur Aktuell'!$D455,INDIRECT(X$5)))</f>
        <v>0</v>
      </c>
      <c r="Y455" s="593">
        <f ca="1">$E455*(-SUMIF(INDIRECT(Y$3),'Struktur Aktuell'!$D455,INDIRECT(Y$4))+SUMIF(INDIRECT(Y$3),'Struktur Aktuell'!$D455,INDIRECT(Y$5)))</f>
        <v>0</v>
      </c>
      <c r="Z455" s="593">
        <f ca="1">$E455*(-SUMIF(INDIRECT(Z$3),'Struktur Aktuell'!$D455,INDIRECT(Z$4))+SUMIF(INDIRECT(Z$3),'Struktur Aktuell'!$D455,INDIRECT(Z$5)))</f>
        <v>0</v>
      </c>
      <c r="AA455" s="593">
        <f ca="1">$E455*(-SUMIF(INDIRECT(AA$3),'Struktur Aktuell'!$D455,INDIRECT(AA$4))+SUMIF(INDIRECT(AA$3),'Struktur Aktuell'!$D455,INDIRECT(AA$5)))</f>
        <v>0</v>
      </c>
      <c r="AB455" s="593">
        <f ca="1">$E455*(-SUMIF(INDIRECT(AB$3),'Struktur Aktuell'!$D455,INDIRECT(AB$4))+SUMIF(INDIRECT(AB$3),'Struktur Aktuell'!$D455,INDIRECT(AB$5)))</f>
        <v>0</v>
      </c>
      <c r="AC455" s="593">
        <f ca="1">$E455*(-SUMIF(INDIRECT(AC$3),'Struktur Aktuell'!$D455,INDIRECT(AC$4))+SUMIF(INDIRECT(AC$3),'Struktur Aktuell'!$D455,INDIRECT(AC$5)))</f>
        <v>0</v>
      </c>
      <c r="AD455" s="593">
        <f ca="1">$E455*(-SUMIF(INDIRECT(AD$3),'Struktur Aktuell'!$D455,INDIRECT(AD$4))+SUMIF(INDIRECT(AD$3),'Struktur Aktuell'!$D455,INDIRECT(AD$5)))</f>
        <v>0</v>
      </c>
      <c r="AE455" s="593">
        <f t="shared" ca="1" si="685"/>
        <v>0</v>
      </c>
      <c r="AF455" s="593">
        <f t="shared" ca="1" si="686"/>
        <v>0</v>
      </c>
      <c r="AG455" s="593">
        <f t="shared" ca="1" si="687"/>
        <v>0</v>
      </c>
      <c r="AH455" s="593">
        <f t="shared" ca="1" si="688"/>
        <v>0</v>
      </c>
      <c r="AI455" s="593">
        <f t="shared" ca="1" si="689"/>
        <v>0</v>
      </c>
      <c r="AJ455" s="593">
        <f t="shared" ca="1" si="690"/>
        <v>0</v>
      </c>
      <c r="AK455" s="593">
        <f t="shared" ca="1" si="691"/>
        <v>0</v>
      </c>
      <c r="AL455" s="593">
        <f t="shared" ca="1" si="692"/>
        <v>0</v>
      </c>
      <c r="AM455" s="593">
        <f t="shared" ca="1" si="693"/>
        <v>0</v>
      </c>
      <c r="AN455" s="593">
        <f t="shared" ca="1" si="694"/>
        <v>0</v>
      </c>
      <c r="AO455" s="593">
        <f t="shared" ca="1" si="695"/>
        <v>0</v>
      </c>
      <c r="AP455" s="593">
        <f t="shared" ca="1" si="696"/>
        <v>0</v>
      </c>
    </row>
    <row r="456" spans="1:42" s="594" customFormat="1" ht="11.25" x14ac:dyDescent="0.2">
      <c r="A456" s="644"/>
      <c r="B456" s="591" t="str">
        <f>IF(D456&lt;&gt;"",
IF(ISERROR(MATCH(D456,'Ist Aktuell Monat 01'!A:A,0))=FALSE,INDEX('Ist Aktuell Monat 01'!B:B,MATCH(D456,'Ist Aktuell Monat 01'!A:A,0)),
IF(ISERROR(MATCH(D456,'Ist Aktuell Monat 02'!A:A,0))=FALSE,INDEX('Ist Aktuell Monat 02'!B:B,MATCH(D456,'Ist Aktuell Monat 02'!A:A,0)),
IF(ISERROR(MATCH(D456,'Ist Aktuell Monat 03'!A:A,0))=FALSE,INDEX('Ist Aktuell Monat 03'!B:B,MATCH(D456,'Ist Aktuell Monat 03'!A:A,0)),
IF(ISERROR(MATCH(D456,'Ist Aktuell Monat 04'!A:A,0))=FALSE,INDEX('Ist Aktuell Monat 04'!B:B,MATCH(D456,'Ist Aktuell Monat 04'!A:A,0)),
IF(ISERROR(MATCH(D456,'Ist Aktuell Monat 05'!A:A,0))=FALSE,INDEX('Ist Aktuell Monat 05'!B:B,MATCH(D456,'Ist Aktuell Monat 05'!A:A,0)),
IF(ISERROR(MATCH(D456,'Ist Aktuell Monat 06'!A:A,0))=FALSE,INDEX('Ist Aktuell Monat 06'!B:B,MATCH(D456,'Ist Aktuell Monat 06'!A:A,0)),
IF(ISERROR(MATCH(D456,'Ist Aktuell Monat 07'!A:A,0))=FALSE,INDEX('Ist Aktuell Monat 07'!B:B,MATCH(D456,'Ist Aktuell Monat 07'!A:A,0)),
IF(ISERROR(MATCH(D456,'Ist Aktuell Monat 08'!A:A,0))=FALSE,INDEX('Ist Aktuell Monat 08'!B:B,MATCH(D456,'Ist Aktuell Monat 08'!A:A,0)),
IF(ISERROR(MATCH(D456,'Ist Aktuell Monat 09'!A:A,0))=FALSE,INDEX('Ist Aktuell Monat 09'!B:B,MATCH(D456,'Ist Aktuell Monat 09'!A:A,0)),
IF(ISERROR(MATCH(D456,'Ist Aktuell Monat 10'!A:A,0))=FALSE,INDEX('Ist Aktuell Monat 10'!B:B,MATCH(D456,'Ist Aktuell Monat 10'!A:A,0)),
IF(ISERROR(MATCH(D456,'Ist Aktuell Monat 11'!A:A,0))=FALSE,INDEX('Ist Aktuell Monat 11'!B:B,MATCH(D456,'Ist Aktuell Monat 11'!A:A,0)),
IF(ISERROR(MATCH(D456,'Ist Aktuell Monat 12'!A:A,0))=FALSE,INDEX('Ist Aktuell Monat 12'!B:B,MATCH(D456,'Ist Aktuell Monat 12'!A:A,0)),
"{Konto unbekannt}"
)))))))))))),"")</f>
        <v/>
      </c>
      <c r="C456" s="1062"/>
      <c r="D456" s="1067"/>
      <c r="E456" s="625">
        <f t="shared" si="602"/>
        <v>1</v>
      </c>
      <c r="F456" s="626"/>
      <c r="G456" s="593">
        <f ca="1">$E456*(-SUMIF(INDIRECT(G$3),'Struktur Aktuell'!$D456,INDIRECT(G$4))+SUMIF(INDIRECT(G$3),'Struktur Aktuell'!$D456,INDIRECT(G$5)))</f>
        <v>0</v>
      </c>
      <c r="H456" s="593">
        <f ca="1">$E456*(-SUMIF(INDIRECT(H$3),'Struktur Aktuell'!$D456,INDIRECT(H$4))+SUMIF(INDIRECT(H$3),'Struktur Aktuell'!$D456,INDIRECT(H$5)))</f>
        <v>0</v>
      </c>
      <c r="I456" s="593">
        <f ca="1">$E456*(-SUMIF(INDIRECT(I$3),'Struktur Aktuell'!$D456,INDIRECT(I$4))+SUMIF(INDIRECT(I$3),'Struktur Aktuell'!$D456,INDIRECT(I$5)))</f>
        <v>0</v>
      </c>
      <c r="J456" s="593">
        <f ca="1">$E456*(-SUMIF(INDIRECT(J$3),'Struktur Aktuell'!$D456,INDIRECT(J$4))+SUMIF(INDIRECT(J$3),'Struktur Aktuell'!$D456,INDIRECT(J$5)))</f>
        <v>0</v>
      </c>
      <c r="K456" s="593">
        <f ca="1">$E456*(-SUMIF(INDIRECT(K$3),'Struktur Aktuell'!$D456,INDIRECT(K$4))+SUMIF(INDIRECT(K$3),'Struktur Aktuell'!$D456,INDIRECT(K$5)))</f>
        <v>0</v>
      </c>
      <c r="L456" s="593">
        <f ca="1">$E456*(-SUMIF(INDIRECT(L$3),'Struktur Aktuell'!$D456,INDIRECT(L$4))+SUMIF(INDIRECT(L$3),'Struktur Aktuell'!$D456,INDIRECT(L$5)))</f>
        <v>0</v>
      </c>
      <c r="M456" s="593">
        <f ca="1">$E456*(-SUMIF(INDIRECT(M$3),'Struktur Aktuell'!$D456,INDIRECT(M$4))+SUMIF(INDIRECT(M$3),'Struktur Aktuell'!$D456,INDIRECT(M$5)))</f>
        <v>0</v>
      </c>
      <c r="N456" s="593">
        <f ca="1">$E456*(-SUMIF(INDIRECT(N$3),'Struktur Aktuell'!$D456,INDIRECT(N$4))+SUMIF(INDIRECT(N$3),'Struktur Aktuell'!$D456,INDIRECT(N$5)))</f>
        <v>0</v>
      </c>
      <c r="O456" s="593">
        <f ca="1">$E456*(-SUMIF(INDIRECT(O$3),'Struktur Aktuell'!$D456,INDIRECT(O$4))+SUMIF(INDIRECT(O$3),'Struktur Aktuell'!$D456,INDIRECT(O$5)))</f>
        <v>0</v>
      </c>
      <c r="P456" s="593">
        <f ca="1">$E456*(-SUMIF(INDIRECT(P$3),'Struktur Aktuell'!$D456,INDIRECT(P$4))+SUMIF(INDIRECT(P$3),'Struktur Aktuell'!$D456,INDIRECT(P$5)))</f>
        <v>0</v>
      </c>
      <c r="Q456" s="593">
        <f ca="1">$E456*(-SUMIF(INDIRECT(Q$3),'Struktur Aktuell'!$D456,INDIRECT(Q$4))+SUMIF(INDIRECT(Q$3),'Struktur Aktuell'!$D456,INDIRECT(Q$5)))</f>
        <v>0</v>
      </c>
      <c r="R456" s="593">
        <f ca="1">$E456*(-SUMIF(INDIRECT(R$3),'Struktur Aktuell'!$D456,INDIRECT(R$4))+SUMIF(INDIRECT(R$3),'Struktur Aktuell'!$D456,INDIRECT(R$5)))</f>
        <v>0</v>
      </c>
      <c r="S456" s="593">
        <f ca="1">$E456*(-SUMIF(INDIRECT(S$3),'Struktur Aktuell'!$D456,INDIRECT(S$4))+SUMIF(INDIRECT(S$3),'Struktur Aktuell'!$D456,INDIRECT(S$5)))</f>
        <v>0</v>
      </c>
      <c r="T456" s="593">
        <f ca="1">$E456*(-SUMIF(INDIRECT(T$3),'Struktur Aktuell'!$D456,INDIRECT(T$4))+SUMIF(INDIRECT(T$3),'Struktur Aktuell'!$D456,INDIRECT(T$5)))</f>
        <v>0</v>
      </c>
      <c r="U456" s="593">
        <f ca="1">$E456*(-SUMIF(INDIRECT(U$3),'Struktur Aktuell'!$D456,INDIRECT(U$4))+SUMIF(INDIRECT(U$3),'Struktur Aktuell'!$D456,INDIRECT(U$5)))</f>
        <v>0</v>
      </c>
      <c r="V456" s="593">
        <f ca="1">$E456*(-SUMIF(INDIRECT(V$3),'Struktur Aktuell'!$D456,INDIRECT(V$4))+SUMIF(INDIRECT(V$3),'Struktur Aktuell'!$D456,INDIRECT(V$5)))</f>
        <v>0</v>
      </c>
      <c r="W456" s="593">
        <f ca="1">$E456*(-SUMIF(INDIRECT(W$3),'Struktur Aktuell'!$D456,INDIRECT(W$4))+SUMIF(INDIRECT(W$3),'Struktur Aktuell'!$D456,INDIRECT(W$5)))</f>
        <v>0</v>
      </c>
      <c r="X456" s="593">
        <f ca="1">$E456*(-SUMIF(INDIRECT(X$3),'Struktur Aktuell'!$D456,INDIRECT(X$4))+SUMIF(INDIRECT(X$3),'Struktur Aktuell'!$D456,INDIRECT(X$5)))</f>
        <v>0</v>
      </c>
      <c r="Y456" s="593">
        <f ca="1">$E456*(-SUMIF(INDIRECT(Y$3),'Struktur Aktuell'!$D456,INDIRECT(Y$4))+SUMIF(INDIRECT(Y$3),'Struktur Aktuell'!$D456,INDIRECT(Y$5)))</f>
        <v>0</v>
      </c>
      <c r="Z456" s="593">
        <f ca="1">$E456*(-SUMIF(INDIRECT(Z$3),'Struktur Aktuell'!$D456,INDIRECT(Z$4))+SUMIF(INDIRECT(Z$3),'Struktur Aktuell'!$D456,INDIRECT(Z$5)))</f>
        <v>0</v>
      </c>
      <c r="AA456" s="593">
        <f ca="1">$E456*(-SUMIF(INDIRECT(AA$3),'Struktur Aktuell'!$D456,INDIRECT(AA$4))+SUMIF(INDIRECT(AA$3),'Struktur Aktuell'!$D456,INDIRECT(AA$5)))</f>
        <v>0</v>
      </c>
      <c r="AB456" s="593">
        <f ca="1">$E456*(-SUMIF(INDIRECT(AB$3),'Struktur Aktuell'!$D456,INDIRECT(AB$4))+SUMIF(INDIRECT(AB$3),'Struktur Aktuell'!$D456,INDIRECT(AB$5)))</f>
        <v>0</v>
      </c>
      <c r="AC456" s="593">
        <f ca="1">$E456*(-SUMIF(INDIRECT(AC$3),'Struktur Aktuell'!$D456,INDIRECT(AC$4))+SUMIF(INDIRECT(AC$3),'Struktur Aktuell'!$D456,INDIRECT(AC$5)))</f>
        <v>0</v>
      </c>
      <c r="AD456" s="593">
        <f ca="1">$E456*(-SUMIF(INDIRECT(AD$3),'Struktur Aktuell'!$D456,INDIRECT(AD$4))+SUMIF(INDIRECT(AD$3),'Struktur Aktuell'!$D456,INDIRECT(AD$5)))</f>
        <v>0</v>
      </c>
      <c r="AE456" s="593">
        <f t="shared" ca="1" si="685"/>
        <v>0</v>
      </c>
      <c r="AF456" s="593">
        <f t="shared" ca="1" si="686"/>
        <v>0</v>
      </c>
      <c r="AG456" s="593">
        <f t="shared" ca="1" si="687"/>
        <v>0</v>
      </c>
      <c r="AH456" s="593">
        <f t="shared" ca="1" si="688"/>
        <v>0</v>
      </c>
      <c r="AI456" s="593">
        <f t="shared" ca="1" si="689"/>
        <v>0</v>
      </c>
      <c r="AJ456" s="593">
        <f t="shared" ca="1" si="690"/>
        <v>0</v>
      </c>
      <c r="AK456" s="593">
        <f t="shared" ca="1" si="691"/>
        <v>0</v>
      </c>
      <c r="AL456" s="593">
        <f t="shared" ca="1" si="692"/>
        <v>0</v>
      </c>
      <c r="AM456" s="593">
        <f t="shared" ca="1" si="693"/>
        <v>0</v>
      </c>
      <c r="AN456" s="593">
        <f t="shared" ca="1" si="694"/>
        <v>0</v>
      </c>
      <c r="AO456" s="593">
        <f t="shared" ca="1" si="695"/>
        <v>0</v>
      </c>
      <c r="AP456" s="593">
        <f t="shared" ca="1" si="696"/>
        <v>0</v>
      </c>
    </row>
    <row r="457" spans="1:42" s="594" customFormat="1" ht="11.25" x14ac:dyDescent="0.2">
      <c r="A457" s="644"/>
      <c r="B457" s="591" t="str">
        <f>IF(D457&lt;&gt;"",
IF(ISERROR(MATCH(D457,'Ist Aktuell Monat 01'!A:A,0))=FALSE,INDEX('Ist Aktuell Monat 01'!B:B,MATCH(D457,'Ist Aktuell Monat 01'!A:A,0)),
IF(ISERROR(MATCH(D457,'Ist Aktuell Monat 02'!A:A,0))=FALSE,INDEX('Ist Aktuell Monat 02'!B:B,MATCH(D457,'Ist Aktuell Monat 02'!A:A,0)),
IF(ISERROR(MATCH(D457,'Ist Aktuell Monat 03'!A:A,0))=FALSE,INDEX('Ist Aktuell Monat 03'!B:B,MATCH(D457,'Ist Aktuell Monat 03'!A:A,0)),
IF(ISERROR(MATCH(D457,'Ist Aktuell Monat 04'!A:A,0))=FALSE,INDEX('Ist Aktuell Monat 04'!B:B,MATCH(D457,'Ist Aktuell Monat 04'!A:A,0)),
IF(ISERROR(MATCH(D457,'Ist Aktuell Monat 05'!A:A,0))=FALSE,INDEX('Ist Aktuell Monat 05'!B:B,MATCH(D457,'Ist Aktuell Monat 05'!A:A,0)),
IF(ISERROR(MATCH(D457,'Ist Aktuell Monat 06'!A:A,0))=FALSE,INDEX('Ist Aktuell Monat 06'!B:B,MATCH(D457,'Ist Aktuell Monat 06'!A:A,0)),
IF(ISERROR(MATCH(D457,'Ist Aktuell Monat 07'!A:A,0))=FALSE,INDEX('Ist Aktuell Monat 07'!B:B,MATCH(D457,'Ist Aktuell Monat 07'!A:A,0)),
IF(ISERROR(MATCH(D457,'Ist Aktuell Monat 08'!A:A,0))=FALSE,INDEX('Ist Aktuell Monat 08'!B:B,MATCH(D457,'Ist Aktuell Monat 08'!A:A,0)),
IF(ISERROR(MATCH(D457,'Ist Aktuell Monat 09'!A:A,0))=FALSE,INDEX('Ist Aktuell Monat 09'!B:B,MATCH(D457,'Ist Aktuell Monat 09'!A:A,0)),
IF(ISERROR(MATCH(D457,'Ist Aktuell Monat 10'!A:A,0))=FALSE,INDEX('Ist Aktuell Monat 10'!B:B,MATCH(D457,'Ist Aktuell Monat 10'!A:A,0)),
IF(ISERROR(MATCH(D457,'Ist Aktuell Monat 11'!A:A,0))=FALSE,INDEX('Ist Aktuell Monat 11'!B:B,MATCH(D457,'Ist Aktuell Monat 11'!A:A,0)),
IF(ISERROR(MATCH(D457,'Ist Aktuell Monat 12'!A:A,0))=FALSE,INDEX('Ist Aktuell Monat 12'!B:B,MATCH(D457,'Ist Aktuell Monat 12'!A:A,0)),
"{Konto unbekannt}"
)))))))))))),"")</f>
        <v/>
      </c>
      <c r="C457" s="1062"/>
      <c r="D457" s="1067"/>
      <c r="E457" s="625">
        <f t="shared" si="602"/>
        <v>1</v>
      </c>
      <c r="F457" s="626"/>
      <c r="G457" s="593">
        <f ca="1">$E457*(-SUMIF(INDIRECT(G$3),'Struktur Aktuell'!$D457,INDIRECT(G$4))+SUMIF(INDIRECT(G$3),'Struktur Aktuell'!$D457,INDIRECT(G$5)))</f>
        <v>0</v>
      </c>
      <c r="H457" s="593">
        <f ca="1">$E457*(-SUMIF(INDIRECT(H$3),'Struktur Aktuell'!$D457,INDIRECT(H$4))+SUMIF(INDIRECT(H$3),'Struktur Aktuell'!$D457,INDIRECT(H$5)))</f>
        <v>0</v>
      </c>
      <c r="I457" s="593">
        <f ca="1">$E457*(-SUMIF(INDIRECT(I$3),'Struktur Aktuell'!$D457,INDIRECT(I$4))+SUMIF(INDIRECT(I$3),'Struktur Aktuell'!$D457,INDIRECT(I$5)))</f>
        <v>0</v>
      </c>
      <c r="J457" s="593">
        <f ca="1">$E457*(-SUMIF(INDIRECT(J$3),'Struktur Aktuell'!$D457,INDIRECT(J$4))+SUMIF(INDIRECT(J$3),'Struktur Aktuell'!$D457,INDIRECT(J$5)))</f>
        <v>0</v>
      </c>
      <c r="K457" s="593">
        <f ca="1">$E457*(-SUMIF(INDIRECT(K$3),'Struktur Aktuell'!$D457,INDIRECT(K$4))+SUMIF(INDIRECT(K$3),'Struktur Aktuell'!$D457,INDIRECT(K$5)))</f>
        <v>0</v>
      </c>
      <c r="L457" s="593">
        <f ca="1">$E457*(-SUMIF(INDIRECT(L$3),'Struktur Aktuell'!$D457,INDIRECT(L$4))+SUMIF(INDIRECT(L$3),'Struktur Aktuell'!$D457,INDIRECT(L$5)))</f>
        <v>0</v>
      </c>
      <c r="M457" s="593">
        <f ca="1">$E457*(-SUMIF(INDIRECT(M$3),'Struktur Aktuell'!$D457,INDIRECT(M$4))+SUMIF(INDIRECT(M$3),'Struktur Aktuell'!$D457,INDIRECT(M$5)))</f>
        <v>0</v>
      </c>
      <c r="N457" s="593">
        <f ca="1">$E457*(-SUMIF(INDIRECT(N$3),'Struktur Aktuell'!$D457,INDIRECT(N$4))+SUMIF(INDIRECT(N$3),'Struktur Aktuell'!$D457,INDIRECT(N$5)))</f>
        <v>0</v>
      </c>
      <c r="O457" s="593">
        <f ca="1">$E457*(-SUMIF(INDIRECT(O$3),'Struktur Aktuell'!$D457,INDIRECT(O$4))+SUMIF(INDIRECT(O$3),'Struktur Aktuell'!$D457,INDIRECT(O$5)))</f>
        <v>0</v>
      </c>
      <c r="P457" s="593">
        <f ca="1">$E457*(-SUMIF(INDIRECT(P$3),'Struktur Aktuell'!$D457,INDIRECT(P$4))+SUMIF(INDIRECT(P$3),'Struktur Aktuell'!$D457,INDIRECT(P$5)))</f>
        <v>0</v>
      </c>
      <c r="Q457" s="593">
        <f ca="1">$E457*(-SUMIF(INDIRECT(Q$3),'Struktur Aktuell'!$D457,INDIRECT(Q$4))+SUMIF(INDIRECT(Q$3),'Struktur Aktuell'!$D457,INDIRECT(Q$5)))</f>
        <v>0</v>
      </c>
      <c r="R457" s="593">
        <f ca="1">$E457*(-SUMIF(INDIRECT(R$3),'Struktur Aktuell'!$D457,INDIRECT(R$4))+SUMIF(INDIRECT(R$3),'Struktur Aktuell'!$D457,INDIRECT(R$5)))</f>
        <v>0</v>
      </c>
      <c r="S457" s="593">
        <f ca="1">$E457*(-SUMIF(INDIRECT(S$3),'Struktur Aktuell'!$D457,INDIRECT(S$4))+SUMIF(INDIRECT(S$3),'Struktur Aktuell'!$D457,INDIRECT(S$5)))</f>
        <v>0</v>
      </c>
      <c r="T457" s="593">
        <f ca="1">$E457*(-SUMIF(INDIRECT(T$3),'Struktur Aktuell'!$D457,INDIRECT(T$4))+SUMIF(INDIRECT(T$3),'Struktur Aktuell'!$D457,INDIRECT(T$5)))</f>
        <v>0</v>
      </c>
      <c r="U457" s="593">
        <f ca="1">$E457*(-SUMIF(INDIRECT(U$3),'Struktur Aktuell'!$D457,INDIRECT(U$4))+SUMIF(INDIRECT(U$3),'Struktur Aktuell'!$D457,INDIRECT(U$5)))</f>
        <v>0</v>
      </c>
      <c r="V457" s="593">
        <f ca="1">$E457*(-SUMIF(INDIRECT(V$3),'Struktur Aktuell'!$D457,INDIRECT(V$4))+SUMIF(INDIRECT(V$3),'Struktur Aktuell'!$D457,INDIRECT(V$5)))</f>
        <v>0</v>
      </c>
      <c r="W457" s="593">
        <f ca="1">$E457*(-SUMIF(INDIRECT(W$3),'Struktur Aktuell'!$D457,INDIRECT(W$4))+SUMIF(INDIRECT(W$3),'Struktur Aktuell'!$D457,INDIRECT(W$5)))</f>
        <v>0</v>
      </c>
      <c r="X457" s="593">
        <f ca="1">$E457*(-SUMIF(INDIRECT(X$3),'Struktur Aktuell'!$D457,INDIRECT(X$4))+SUMIF(INDIRECT(X$3),'Struktur Aktuell'!$D457,INDIRECT(X$5)))</f>
        <v>0</v>
      </c>
      <c r="Y457" s="593">
        <f ca="1">$E457*(-SUMIF(INDIRECT(Y$3),'Struktur Aktuell'!$D457,INDIRECT(Y$4))+SUMIF(INDIRECT(Y$3),'Struktur Aktuell'!$D457,INDIRECT(Y$5)))</f>
        <v>0</v>
      </c>
      <c r="Z457" s="593">
        <f ca="1">$E457*(-SUMIF(INDIRECT(Z$3),'Struktur Aktuell'!$D457,INDIRECT(Z$4))+SUMIF(INDIRECT(Z$3),'Struktur Aktuell'!$D457,INDIRECT(Z$5)))</f>
        <v>0</v>
      </c>
      <c r="AA457" s="593">
        <f ca="1">$E457*(-SUMIF(INDIRECT(AA$3),'Struktur Aktuell'!$D457,INDIRECT(AA$4))+SUMIF(INDIRECT(AA$3),'Struktur Aktuell'!$D457,INDIRECT(AA$5)))</f>
        <v>0</v>
      </c>
      <c r="AB457" s="593">
        <f ca="1">$E457*(-SUMIF(INDIRECT(AB$3),'Struktur Aktuell'!$D457,INDIRECT(AB$4))+SUMIF(INDIRECT(AB$3),'Struktur Aktuell'!$D457,INDIRECT(AB$5)))</f>
        <v>0</v>
      </c>
      <c r="AC457" s="593">
        <f ca="1">$E457*(-SUMIF(INDIRECT(AC$3),'Struktur Aktuell'!$D457,INDIRECT(AC$4))+SUMIF(INDIRECT(AC$3),'Struktur Aktuell'!$D457,INDIRECT(AC$5)))</f>
        <v>0</v>
      </c>
      <c r="AD457" s="593">
        <f ca="1">$E457*(-SUMIF(INDIRECT(AD$3),'Struktur Aktuell'!$D457,INDIRECT(AD$4))+SUMIF(INDIRECT(AD$3),'Struktur Aktuell'!$D457,INDIRECT(AD$5)))</f>
        <v>0</v>
      </c>
      <c r="AE457" s="593">
        <f t="shared" ca="1" si="685"/>
        <v>0</v>
      </c>
      <c r="AF457" s="593">
        <f t="shared" ca="1" si="686"/>
        <v>0</v>
      </c>
      <c r="AG457" s="593">
        <f t="shared" ca="1" si="687"/>
        <v>0</v>
      </c>
      <c r="AH457" s="593">
        <f t="shared" ca="1" si="688"/>
        <v>0</v>
      </c>
      <c r="AI457" s="593">
        <f t="shared" ca="1" si="689"/>
        <v>0</v>
      </c>
      <c r="AJ457" s="593">
        <f t="shared" ca="1" si="690"/>
        <v>0</v>
      </c>
      <c r="AK457" s="593">
        <f t="shared" ca="1" si="691"/>
        <v>0</v>
      </c>
      <c r="AL457" s="593">
        <f t="shared" ca="1" si="692"/>
        <v>0</v>
      </c>
      <c r="AM457" s="593">
        <f t="shared" ca="1" si="693"/>
        <v>0</v>
      </c>
      <c r="AN457" s="593">
        <f t="shared" ca="1" si="694"/>
        <v>0</v>
      </c>
      <c r="AO457" s="593">
        <f t="shared" ca="1" si="695"/>
        <v>0</v>
      </c>
      <c r="AP457" s="593">
        <f t="shared" ca="1" si="696"/>
        <v>0</v>
      </c>
    </row>
    <row r="458" spans="1:42" s="594" customFormat="1" ht="11.25" outlineLevel="1" x14ac:dyDescent="0.2">
      <c r="A458" s="644"/>
      <c r="B458" s="591" t="str">
        <f>IF(D458&lt;&gt;"",
IF(ISERROR(MATCH(D458,'Ist Aktuell Monat 01'!A:A,0))=FALSE,INDEX('Ist Aktuell Monat 01'!B:B,MATCH(D458,'Ist Aktuell Monat 01'!A:A,0)),
IF(ISERROR(MATCH(D458,'Ist Aktuell Monat 02'!A:A,0))=FALSE,INDEX('Ist Aktuell Monat 02'!B:B,MATCH(D458,'Ist Aktuell Monat 02'!A:A,0)),
IF(ISERROR(MATCH(D458,'Ist Aktuell Monat 03'!A:A,0))=FALSE,INDEX('Ist Aktuell Monat 03'!B:B,MATCH(D458,'Ist Aktuell Monat 03'!A:A,0)),
IF(ISERROR(MATCH(D458,'Ist Aktuell Monat 04'!A:A,0))=FALSE,INDEX('Ist Aktuell Monat 04'!B:B,MATCH(D458,'Ist Aktuell Monat 04'!A:A,0)),
IF(ISERROR(MATCH(D458,'Ist Aktuell Monat 05'!A:A,0))=FALSE,INDEX('Ist Aktuell Monat 05'!B:B,MATCH(D458,'Ist Aktuell Monat 05'!A:A,0)),
IF(ISERROR(MATCH(D458,'Ist Aktuell Monat 06'!A:A,0))=FALSE,INDEX('Ist Aktuell Monat 06'!B:B,MATCH(D458,'Ist Aktuell Monat 06'!A:A,0)),
IF(ISERROR(MATCH(D458,'Ist Aktuell Monat 07'!A:A,0))=FALSE,INDEX('Ist Aktuell Monat 07'!B:B,MATCH(D458,'Ist Aktuell Monat 07'!A:A,0)),
IF(ISERROR(MATCH(D458,'Ist Aktuell Monat 08'!A:A,0))=FALSE,INDEX('Ist Aktuell Monat 08'!B:B,MATCH(D458,'Ist Aktuell Monat 08'!A:A,0)),
IF(ISERROR(MATCH(D458,'Ist Aktuell Monat 09'!A:A,0))=FALSE,INDEX('Ist Aktuell Monat 09'!B:B,MATCH(D458,'Ist Aktuell Monat 09'!A:A,0)),
IF(ISERROR(MATCH(D458,'Ist Aktuell Monat 10'!A:A,0))=FALSE,INDEX('Ist Aktuell Monat 10'!B:B,MATCH(D458,'Ist Aktuell Monat 10'!A:A,0)),
IF(ISERROR(MATCH(D458,'Ist Aktuell Monat 11'!A:A,0))=FALSE,INDEX('Ist Aktuell Monat 11'!B:B,MATCH(D458,'Ist Aktuell Monat 11'!A:A,0)),
IF(ISERROR(MATCH(D458,'Ist Aktuell Monat 12'!A:A,0))=FALSE,INDEX('Ist Aktuell Monat 12'!B:B,MATCH(D458,'Ist Aktuell Monat 12'!A:A,0)),
"{Konto unbekannt}"
)))))))))))),"")</f>
        <v/>
      </c>
      <c r="C458" s="1062"/>
      <c r="D458" s="1067"/>
      <c r="E458" s="625">
        <f t="shared" si="602"/>
        <v>1</v>
      </c>
      <c r="F458" s="626"/>
      <c r="G458" s="593">
        <f ca="1">$E458*(-SUMIF(INDIRECT(G$3),'Struktur Aktuell'!$D458,INDIRECT(G$4))+SUMIF(INDIRECT(G$3),'Struktur Aktuell'!$D458,INDIRECT(G$5)))</f>
        <v>0</v>
      </c>
      <c r="H458" s="593">
        <f ca="1">$E458*(-SUMIF(INDIRECT(H$3),'Struktur Aktuell'!$D458,INDIRECT(H$4))+SUMIF(INDIRECT(H$3),'Struktur Aktuell'!$D458,INDIRECT(H$5)))</f>
        <v>0</v>
      </c>
      <c r="I458" s="593">
        <f ca="1">$E458*(-SUMIF(INDIRECT(I$3),'Struktur Aktuell'!$D458,INDIRECT(I$4))+SUMIF(INDIRECT(I$3),'Struktur Aktuell'!$D458,INDIRECT(I$5)))</f>
        <v>0</v>
      </c>
      <c r="J458" s="593">
        <f ca="1">$E458*(-SUMIF(INDIRECT(J$3),'Struktur Aktuell'!$D458,INDIRECT(J$4))+SUMIF(INDIRECT(J$3),'Struktur Aktuell'!$D458,INDIRECT(J$5)))</f>
        <v>0</v>
      </c>
      <c r="K458" s="593">
        <f ca="1">$E458*(-SUMIF(INDIRECT(K$3),'Struktur Aktuell'!$D458,INDIRECT(K$4))+SUMIF(INDIRECT(K$3),'Struktur Aktuell'!$D458,INDIRECT(K$5)))</f>
        <v>0</v>
      </c>
      <c r="L458" s="593">
        <f ca="1">$E458*(-SUMIF(INDIRECT(L$3),'Struktur Aktuell'!$D458,INDIRECT(L$4))+SUMIF(INDIRECT(L$3),'Struktur Aktuell'!$D458,INDIRECT(L$5)))</f>
        <v>0</v>
      </c>
      <c r="M458" s="593">
        <f ca="1">$E458*(-SUMIF(INDIRECT(M$3),'Struktur Aktuell'!$D458,INDIRECT(M$4))+SUMIF(INDIRECT(M$3),'Struktur Aktuell'!$D458,INDIRECT(M$5)))</f>
        <v>0</v>
      </c>
      <c r="N458" s="593">
        <f ca="1">$E458*(-SUMIF(INDIRECT(N$3),'Struktur Aktuell'!$D458,INDIRECT(N$4))+SUMIF(INDIRECT(N$3),'Struktur Aktuell'!$D458,INDIRECT(N$5)))</f>
        <v>0</v>
      </c>
      <c r="O458" s="593">
        <f ca="1">$E458*(-SUMIF(INDIRECT(O$3),'Struktur Aktuell'!$D458,INDIRECT(O$4))+SUMIF(INDIRECT(O$3),'Struktur Aktuell'!$D458,INDIRECT(O$5)))</f>
        <v>0</v>
      </c>
      <c r="P458" s="593">
        <f ca="1">$E458*(-SUMIF(INDIRECT(P$3),'Struktur Aktuell'!$D458,INDIRECT(P$4))+SUMIF(INDIRECT(P$3),'Struktur Aktuell'!$D458,INDIRECT(P$5)))</f>
        <v>0</v>
      </c>
      <c r="Q458" s="593">
        <f ca="1">$E458*(-SUMIF(INDIRECT(Q$3),'Struktur Aktuell'!$D458,INDIRECT(Q$4))+SUMIF(INDIRECT(Q$3),'Struktur Aktuell'!$D458,INDIRECT(Q$5)))</f>
        <v>0</v>
      </c>
      <c r="R458" s="593">
        <f ca="1">$E458*(-SUMIF(INDIRECT(R$3),'Struktur Aktuell'!$D458,INDIRECT(R$4))+SUMIF(INDIRECT(R$3),'Struktur Aktuell'!$D458,INDIRECT(R$5)))</f>
        <v>0</v>
      </c>
      <c r="S458" s="593">
        <f ca="1">$E458*(-SUMIF(INDIRECT(S$3),'Struktur Aktuell'!$D458,INDIRECT(S$4))+SUMIF(INDIRECT(S$3),'Struktur Aktuell'!$D458,INDIRECT(S$5)))</f>
        <v>0</v>
      </c>
      <c r="T458" s="593">
        <f ca="1">$E458*(-SUMIF(INDIRECT(T$3),'Struktur Aktuell'!$D458,INDIRECT(T$4))+SUMIF(INDIRECT(T$3),'Struktur Aktuell'!$D458,INDIRECT(T$5)))</f>
        <v>0</v>
      </c>
      <c r="U458" s="593">
        <f ca="1">$E458*(-SUMIF(INDIRECT(U$3),'Struktur Aktuell'!$D458,INDIRECT(U$4))+SUMIF(INDIRECT(U$3),'Struktur Aktuell'!$D458,INDIRECT(U$5)))</f>
        <v>0</v>
      </c>
      <c r="V458" s="593">
        <f ca="1">$E458*(-SUMIF(INDIRECT(V$3),'Struktur Aktuell'!$D458,INDIRECT(V$4))+SUMIF(INDIRECT(V$3),'Struktur Aktuell'!$D458,INDIRECT(V$5)))</f>
        <v>0</v>
      </c>
      <c r="W458" s="593">
        <f ca="1">$E458*(-SUMIF(INDIRECT(W$3),'Struktur Aktuell'!$D458,INDIRECT(W$4))+SUMIF(INDIRECT(W$3),'Struktur Aktuell'!$D458,INDIRECT(W$5)))</f>
        <v>0</v>
      </c>
      <c r="X458" s="593">
        <f ca="1">$E458*(-SUMIF(INDIRECT(X$3),'Struktur Aktuell'!$D458,INDIRECT(X$4))+SUMIF(INDIRECT(X$3),'Struktur Aktuell'!$D458,INDIRECT(X$5)))</f>
        <v>0</v>
      </c>
      <c r="Y458" s="593">
        <f ca="1">$E458*(-SUMIF(INDIRECT(Y$3),'Struktur Aktuell'!$D458,INDIRECT(Y$4))+SUMIF(INDIRECT(Y$3),'Struktur Aktuell'!$D458,INDIRECT(Y$5)))</f>
        <v>0</v>
      </c>
      <c r="Z458" s="593">
        <f ca="1">$E458*(-SUMIF(INDIRECT(Z$3),'Struktur Aktuell'!$D458,INDIRECT(Z$4))+SUMIF(INDIRECT(Z$3),'Struktur Aktuell'!$D458,INDIRECT(Z$5)))</f>
        <v>0</v>
      </c>
      <c r="AA458" s="593">
        <f ca="1">$E458*(-SUMIF(INDIRECT(AA$3),'Struktur Aktuell'!$D458,INDIRECT(AA$4))+SUMIF(INDIRECT(AA$3),'Struktur Aktuell'!$D458,INDIRECT(AA$5)))</f>
        <v>0</v>
      </c>
      <c r="AB458" s="593">
        <f ca="1">$E458*(-SUMIF(INDIRECT(AB$3),'Struktur Aktuell'!$D458,INDIRECT(AB$4))+SUMIF(INDIRECT(AB$3),'Struktur Aktuell'!$D458,INDIRECT(AB$5)))</f>
        <v>0</v>
      </c>
      <c r="AC458" s="593">
        <f ca="1">$E458*(-SUMIF(INDIRECT(AC$3),'Struktur Aktuell'!$D458,INDIRECT(AC$4))+SUMIF(INDIRECT(AC$3),'Struktur Aktuell'!$D458,INDIRECT(AC$5)))</f>
        <v>0</v>
      </c>
      <c r="AD458" s="593">
        <f ca="1">$E458*(-SUMIF(INDIRECT(AD$3),'Struktur Aktuell'!$D458,INDIRECT(AD$4))+SUMIF(INDIRECT(AD$3),'Struktur Aktuell'!$D458,INDIRECT(AD$5)))</f>
        <v>0</v>
      </c>
      <c r="AE458" s="593">
        <f t="shared" ca="1" si="685"/>
        <v>0</v>
      </c>
      <c r="AF458" s="593">
        <f t="shared" ca="1" si="686"/>
        <v>0</v>
      </c>
      <c r="AG458" s="593">
        <f t="shared" ca="1" si="687"/>
        <v>0</v>
      </c>
      <c r="AH458" s="593">
        <f t="shared" ca="1" si="688"/>
        <v>0</v>
      </c>
      <c r="AI458" s="593">
        <f t="shared" ca="1" si="689"/>
        <v>0</v>
      </c>
      <c r="AJ458" s="593">
        <f t="shared" ca="1" si="690"/>
        <v>0</v>
      </c>
      <c r="AK458" s="593">
        <f t="shared" ca="1" si="691"/>
        <v>0</v>
      </c>
      <c r="AL458" s="593">
        <f t="shared" ca="1" si="692"/>
        <v>0</v>
      </c>
      <c r="AM458" s="593">
        <f t="shared" ca="1" si="693"/>
        <v>0</v>
      </c>
      <c r="AN458" s="593">
        <f t="shared" ca="1" si="694"/>
        <v>0</v>
      </c>
      <c r="AO458" s="593">
        <f t="shared" ca="1" si="695"/>
        <v>0</v>
      </c>
      <c r="AP458" s="593">
        <f t="shared" ca="1" si="696"/>
        <v>0</v>
      </c>
    </row>
    <row r="459" spans="1:42" s="589" customFormat="1" outlineLevel="1" x14ac:dyDescent="0.2">
      <c r="A459" s="833">
        <v>41.1</v>
      </c>
      <c r="B459" s="834" t="s">
        <v>1027</v>
      </c>
      <c r="C459" s="627">
        <f ca="1">SUM(G459:R459)</f>
        <v>0</v>
      </c>
      <c r="D459" s="627"/>
      <c r="E459" s="628">
        <f t="shared" si="602"/>
        <v>1</v>
      </c>
      <c r="F459" s="629"/>
      <c r="G459" s="627">
        <f ca="1">SUM(G460:G468)</f>
        <v>0</v>
      </c>
      <c r="H459" s="627">
        <f t="shared" ref="H459:R459" ca="1" si="697">SUM(H460:H468)</f>
        <v>0</v>
      </c>
      <c r="I459" s="627">
        <f t="shared" ca="1" si="697"/>
        <v>0</v>
      </c>
      <c r="J459" s="627">
        <f t="shared" ca="1" si="697"/>
        <v>0</v>
      </c>
      <c r="K459" s="627">
        <f t="shared" ca="1" si="697"/>
        <v>0</v>
      </c>
      <c r="L459" s="627">
        <f t="shared" ca="1" si="697"/>
        <v>0</v>
      </c>
      <c r="M459" s="627">
        <f t="shared" ca="1" si="697"/>
        <v>0</v>
      </c>
      <c r="N459" s="627">
        <f t="shared" ca="1" si="697"/>
        <v>0</v>
      </c>
      <c r="O459" s="627">
        <f t="shared" ca="1" si="697"/>
        <v>0</v>
      </c>
      <c r="P459" s="627">
        <f t="shared" ca="1" si="697"/>
        <v>0</v>
      </c>
      <c r="Q459" s="627">
        <f t="shared" ca="1" si="697"/>
        <v>0</v>
      </c>
      <c r="R459" s="627">
        <f t="shared" ca="1" si="697"/>
        <v>0</v>
      </c>
      <c r="S459" s="627">
        <f ca="1">SUM(S460:S468)</f>
        <v>0</v>
      </c>
      <c r="T459" s="627">
        <f t="shared" ref="T459:AD459" ca="1" si="698">SUM(T460:T468)</f>
        <v>0</v>
      </c>
      <c r="U459" s="627">
        <f t="shared" ca="1" si="698"/>
        <v>0</v>
      </c>
      <c r="V459" s="627">
        <f t="shared" ca="1" si="698"/>
        <v>0</v>
      </c>
      <c r="W459" s="627">
        <f t="shared" ca="1" si="698"/>
        <v>0</v>
      </c>
      <c r="X459" s="627">
        <f t="shared" ca="1" si="698"/>
        <v>0</v>
      </c>
      <c r="Y459" s="627">
        <f t="shared" ca="1" si="698"/>
        <v>0</v>
      </c>
      <c r="Z459" s="627">
        <f t="shared" ca="1" si="698"/>
        <v>0</v>
      </c>
      <c r="AA459" s="627">
        <f t="shared" ca="1" si="698"/>
        <v>0</v>
      </c>
      <c r="AB459" s="627">
        <f t="shared" ca="1" si="698"/>
        <v>0</v>
      </c>
      <c r="AC459" s="627">
        <f t="shared" ca="1" si="698"/>
        <v>0</v>
      </c>
      <c r="AD459" s="627">
        <f t="shared" ca="1" si="698"/>
        <v>0</v>
      </c>
      <c r="AE459" s="627">
        <f ca="1">SUM(AE460:AE468)</f>
        <v>0</v>
      </c>
      <c r="AF459" s="627">
        <f t="shared" ref="AF459:AP459" ca="1" si="699">SUM(AF460:AF468)</f>
        <v>0</v>
      </c>
      <c r="AG459" s="627">
        <f t="shared" ca="1" si="699"/>
        <v>0</v>
      </c>
      <c r="AH459" s="627">
        <f t="shared" ca="1" si="699"/>
        <v>0</v>
      </c>
      <c r="AI459" s="627">
        <f t="shared" ca="1" si="699"/>
        <v>0</v>
      </c>
      <c r="AJ459" s="627">
        <f t="shared" ca="1" si="699"/>
        <v>0</v>
      </c>
      <c r="AK459" s="627">
        <f t="shared" ca="1" si="699"/>
        <v>0</v>
      </c>
      <c r="AL459" s="627">
        <f t="shared" ca="1" si="699"/>
        <v>0</v>
      </c>
      <c r="AM459" s="627">
        <f t="shared" ca="1" si="699"/>
        <v>0</v>
      </c>
      <c r="AN459" s="627">
        <f t="shared" ca="1" si="699"/>
        <v>0</v>
      </c>
      <c r="AO459" s="627">
        <f t="shared" ca="1" si="699"/>
        <v>0</v>
      </c>
      <c r="AP459" s="627">
        <f t="shared" ca="1" si="699"/>
        <v>0</v>
      </c>
    </row>
    <row r="460" spans="1:42" s="594" customFormat="1" ht="11.25" outlineLevel="1" x14ac:dyDescent="0.2">
      <c r="A460" s="644"/>
      <c r="B460" s="591" t="str">
        <f>IF(D460&lt;&gt;"",
IF(ISERROR(MATCH(D460,'Ist Aktuell Monat 01'!A:A,0))=FALSE,INDEX('Ist Aktuell Monat 01'!B:B,MATCH(D460,'Ist Aktuell Monat 01'!A:A,0)),
IF(ISERROR(MATCH(D460,'Ist Aktuell Monat 02'!A:A,0))=FALSE,INDEX('Ist Aktuell Monat 02'!B:B,MATCH(D460,'Ist Aktuell Monat 02'!A:A,0)),
IF(ISERROR(MATCH(D460,'Ist Aktuell Monat 03'!A:A,0))=FALSE,INDEX('Ist Aktuell Monat 03'!B:B,MATCH(D460,'Ist Aktuell Monat 03'!A:A,0)),
IF(ISERROR(MATCH(D460,'Ist Aktuell Monat 04'!A:A,0))=FALSE,INDEX('Ist Aktuell Monat 04'!B:B,MATCH(D460,'Ist Aktuell Monat 04'!A:A,0)),
IF(ISERROR(MATCH(D460,'Ist Aktuell Monat 05'!A:A,0))=FALSE,INDEX('Ist Aktuell Monat 05'!B:B,MATCH(D460,'Ist Aktuell Monat 05'!A:A,0)),
IF(ISERROR(MATCH(D460,'Ist Aktuell Monat 06'!A:A,0))=FALSE,INDEX('Ist Aktuell Monat 06'!B:B,MATCH(D460,'Ist Aktuell Monat 06'!A:A,0)),
IF(ISERROR(MATCH(D460,'Ist Aktuell Monat 07'!A:A,0))=FALSE,INDEX('Ist Aktuell Monat 07'!B:B,MATCH(D460,'Ist Aktuell Monat 07'!A:A,0)),
IF(ISERROR(MATCH(D460,'Ist Aktuell Monat 08'!A:A,0))=FALSE,INDEX('Ist Aktuell Monat 08'!B:B,MATCH(D460,'Ist Aktuell Monat 08'!A:A,0)),
IF(ISERROR(MATCH(D460,'Ist Aktuell Monat 09'!A:A,0))=FALSE,INDEX('Ist Aktuell Monat 09'!B:B,MATCH(D460,'Ist Aktuell Monat 09'!A:A,0)),
IF(ISERROR(MATCH(D460,'Ist Aktuell Monat 10'!A:A,0))=FALSE,INDEX('Ist Aktuell Monat 10'!B:B,MATCH(D460,'Ist Aktuell Monat 10'!A:A,0)),
IF(ISERROR(MATCH(D460,'Ist Aktuell Monat 11'!A:A,0))=FALSE,INDEX('Ist Aktuell Monat 11'!B:B,MATCH(D460,'Ist Aktuell Monat 11'!A:A,0)),
IF(ISERROR(MATCH(D460,'Ist Aktuell Monat 12'!A:A,0))=FALSE,INDEX('Ist Aktuell Monat 12'!B:B,MATCH(D460,'Ist Aktuell Monat 12'!A:A,0)),
"{Konto unbekannt}"
)))))))))))),"")</f>
        <v/>
      </c>
      <c r="C460" s="1062"/>
      <c r="D460" s="1067"/>
      <c r="E460" s="625">
        <f t="shared" si="602"/>
        <v>1</v>
      </c>
      <c r="F460" s="626"/>
      <c r="G460" s="593">
        <f ca="1">$E460*(-SUMIF(INDIRECT(G$3),'Struktur Aktuell'!$D460,INDIRECT(G$4))+SUMIF(INDIRECT(G$3),'Struktur Aktuell'!$D460,INDIRECT(G$5)))</f>
        <v>0</v>
      </c>
      <c r="H460" s="593">
        <f ca="1">$E460*(-SUMIF(INDIRECT(H$3),'Struktur Aktuell'!$D460,INDIRECT(H$4))+SUMIF(INDIRECT(H$3),'Struktur Aktuell'!$D460,INDIRECT(H$5)))</f>
        <v>0</v>
      </c>
      <c r="I460" s="593">
        <f ca="1">$E460*(-SUMIF(INDIRECT(I$3),'Struktur Aktuell'!$D460,INDIRECT(I$4))+SUMIF(INDIRECT(I$3),'Struktur Aktuell'!$D460,INDIRECT(I$5)))</f>
        <v>0</v>
      </c>
      <c r="J460" s="593">
        <f ca="1">$E460*(-SUMIF(INDIRECT(J$3),'Struktur Aktuell'!$D460,INDIRECT(J$4))+SUMIF(INDIRECT(J$3),'Struktur Aktuell'!$D460,INDIRECT(J$5)))</f>
        <v>0</v>
      </c>
      <c r="K460" s="593">
        <f ca="1">$E460*(-SUMIF(INDIRECT(K$3),'Struktur Aktuell'!$D460,INDIRECT(K$4))+SUMIF(INDIRECT(K$3),'Struktur Aktuell'!$D460,INDIRECT(K$5)))</f>
        <v>0</v>
      </c>
      <c r="L460" s="593">
        <f ca="1">$E460*(-SUMIF(INDIRECT(L$3),'Struktur Aktuell'!$D460,INDIRECT(L$4))+SUMIF(INDIRECT(L$3),'Struktur Aktuell'!$D460,INDIRECT(L$5)))</f>
        <v>0</v>
      </c>
      <c r="M460" s="593">
        <f ca="1">$E460*(-SUMIF(INDIRECT(M$3),'Struktur Aktuell'!$D460,INDIRECT(M$4))+SUMIF(INDIRECT(M$3),'Struktur Aktuell'!$D460,INDIRECT(M$5)))</f>
        <v>0</v>
      </c>
      <c r="N460" s="593">
        <f ca="1">$E460*(-SUMIF(INDIRECT(N$3),'Struktur Aktuell'!$D460,INDIRECT(N$4))+SUMIF(INDIRECT(N$3),'Struktur Aktuell'!$D460,INDIRECT(N$5)))</f>
        <v>0</v>
      </c>
      <c r="O460" s="593">
        <f ca="1">$E460*(-SUMIF(INDIRECT(O$3),'Struktur Aktuell'!$D460,INDIRECT(O$4))+SUMIF(INDIRECT(O$3),'Struktur Aktuell'!$D460,INDIRECT(O$5)))</f>
        <v>0</v>
      </c>
      <c r="P460" s="593">
        <f ca="1">$E460*(-SUMIF(INDIRECT(P$3),'Struktur Aktuell'!$D460,INDIRECT(P$4))+SUMIF(INDIRECT(P$3),'Struktur Aktuell'!$D460,INDIRECT(P$5)))</f>
        <v>0</v>
      </c>
      <c r="Q460" s="593">
        <f ca="1">$E460*(-SUMIF(INDIRECT(Q$3),'Struktur Aktuell'!$D460,INDIRECT(Q$4))+SUMIF(INDIRECT(Q$3),'Struktur Aktuell'!$D460,INDIRECT(Q$5)))</f>
        <v>0</v>
      </c>
      <c r="R460" s="593">
        <f ca="1">$E460*(-SUMIF(INDIRECT(R$3),'Struktur Aktuell'!$D460,INDIRECT(R$4))+SUMIF(INDIRECT(R$3),'Struktur Aktuell'!$D460,INDIRECT(R$5)))</f>
        <v>0</v>
      </c>
      <c r="S460" s="593">
        <f ca="1">$E460*(-SUMIF(INDIRECT(S$3),'Struktur Aktuell'!$D460,INDIRECT(S$4))+SUMIF(INDIRECT(S$3),'Struktur Aktuell'!$D460,INDIRECT(S$5)))</f>
        <v>0</v>
      </c>
      <c r="T460" s="593">
        <f ca="1">$E460*(-SUMIF(INDIRECT(T$3),'Struktur Aktuell'!$D460,INDIRECT(T$4))+SUMIF(INDIRECT(T$3),'Struktur Aktuell'!$D460,INDIRECT(T$5)))</f>
        <v>0</v>
      </c>
      <c r="U460" s="593">
        <f ca="1">$E460*(-SUMIF(INDIRECT(U$3),'Struktur Aktuell'!$D460,INDIRECT(U$4))+SUMIF(INDIRECT(U$3),'Struktur Aktuell'!$D460,INDIRECT(U$5)))</f>
        <v>0</v>
      </c>
      <c r="V460" s="593">
        <f ca="1">$E460*(-SUMIF(INDIRECT(V$3),'Struktur Aktuell'!$D460,INDIRECT(V$4))+SUMIF(INDIRECT(V$3),'Struktur Aktuell'!$D460,INDIRECT(V$5)))</f>
        <v>0</v>
      </c>
      <c r="W460" s="593">
        <f ca="1">$E460*(-SUMIF(INDIRECT(W$3),'Struktur Aktuell'!$D460,INDIRECT(W$4))+SUMIF(INDIRECT(W$3),'Struktur Aktuell'!$D460,INDIRECT(W$5)))</f>
        <v>0</v>
      </c>
      <c r="X460" s="593">
        <f ca="1">$E460*(-SUMIF(INDIRECT(X$3),'Struktur Aktuell'!$D460,INDIRECT(X$4))+SUMIF(INDIRECT(X$3),'Struktur Aktuell'!$D460,INDIRECT(X$5)))</f>
        <v>0</v>
      </c>
      <c r="Y460" s="593">
        <f ca="1">$E460*(-SUMIF(INDIRECT(Y$3),'Struktur Aktuell'!$D460,INDIRECT(Y$4))+SUMIF(INDIRECT(Y$3),'Struktur Aktuell'!$D460,INDIRECT(Y$5)))</f>
        <v>0</v>
      </c>
      <c r="Z460" s="593">
        <f ca="1">$E460*(-SUMIF(INDIRECT(Z$3),'Struktur Aktuell'!$D460,INDIRECT(Z$4))+SUMIF(INDIRECT(Z$3),'Struktur Aktuell'!$D460,INDIRECT(Z$5)))</f>
        <v>0</v>
      </c>
      <c r="AA460" s="593">
        <f ca="1">$E460*(-SUMIF(INDIRECT(AA$3),'Struktur Aktuell'!$D460,INDIRECT(AA$4))+SUMIF(INDIRECT(AA$3),'Struktur Aktuell'!$D460,INDIRECT(AA$5)))</f>
        <v>0</v>
      </c>
      <c r="AB460" s="593">
        <f ca="1">$E460*(-SUMIF(INDIRECT(AB$3),'Struktur Aktuell'!$D460,INDIRECT(AB$4))+SUMIF(INDIRECT(AB$3),'Struktur Aktuell'!$D460,INDIRECT(AB$5)))</f>
        <v>0</v>
      </c>
      <c r="AC460" s="593">
        <f ca="1">$E460*(-SUMIF(INDIRECT(AC$3),'Struktur Aktuell'!$D460,INDIRECT(AC$4))+SUMIF(INDIRECT(AC$3),'Struktur Aktuell'!$D460,INDIRECT(AC$5)))</f>
        <v>0</v>
      </c>
      <c r="AD460" s="593">
        <f ca="1">$E460*(-SUMIF(INDIRECT(AD$3),'Struktur Aktuell'!$D460,INDIRECT(AD$4))+SUMIF(INDIRECT(AD$3),'Struktur Aktuell'!$D460,INDIRECT(AD$5)))</f>
        <v>0</v>
      </c>
      <c r="AE460" s="593">
        <f t="shared" ref="AE460:AE468" ca="1" si="700">G460</f>
        <v>0</v>
      </c>
      <c r="AF460" s="593">
        <f t="shared" ref="AF460:AF468" ca="1" si="701">H460+AE460</f>
        <v>0</v>
      </c>
      <c r="AG460" s="593">
        <f t="shared" ref="AG460:AG468" ca="1" si="702">I460+AF460</f>
        <v>0</v>
      </c>
      <c r="AH460" s="593">
        <f t="shared" ref="AH460:AH468" ca="1" si="703">J460+AG460</f>
        <v>0</v>
      </c>
      <c r="AI460" s="593">
        <f t="shared" ref="AI460:AI468" ca="1" si="704">K460+AH460</f>
        <v>0</v>
      </c>
      <c r="AJ460" s="593">
        <f t="shared" ref="AJ460:AJ468" ca="1" si="705">L460+AI460</f>
        <v>0</v>
      </c>
      <c r="AK460" s="593">
        <f t="shared" ref="AK460:AK468" ca="1" si="706">M460+AJ460</f>
        <v>0</v>
      </c>
      <c r="AL460" s="593">
        <f t="shared" ref="AL460:AL468" ca="1" si="707">N460+AK460</f>
        <v>0</v>
      </c>
      <c r="AM460" s="593">
        <f t="shared" ref="AM460:AM468" ca="1" si="708">O460+AL460</f>
        <v>0</v>
      </c>
      <c r="AN460" s="593">
        <f t="shared" ref="AN460:AN468" ca="1" si="709">P460+AM460</f>
        <v>0</v>
      </c>
      <c r="AO460" s="593">
        <f t="shared" ref="AO460:AO468" ca="1" si="710">Q460+AN460</f>
        <v>0</v>
      </c>
      <c r="AP460" s="593">
        <f t="shared" ref="AP460:AP468" ca="1" si="711">R460+AO460</f>
        <v>0</v>
      </c>
    </row>
    <row r="461" spans="1:42" s="594" customFormat="1" ht="11.25" outlineLevel="1" x14ac:dyDescent="0.2">
      <c r="A461" s="644"/>
      <c r="B461" s="591" t="str">
        <f>IF(D461&lt;&gt;"",
IF(ISERROR(MATCH(D461,'Ist Aktuell Monat 01'!A:A,0))=FALSE,INDEX('Ist Aktuell Monat 01'!B:B,MATCH(D461,'Ist Aktuell Monat 01'!A:A,0)),
IF(ISERROR(MATCH(D461,'Ist Aktuell Monat 02'!A:A,0))=FALSE,INDEX('Ist Aktuell Monat 02'!B:B,MATCH(D461,'Ist Aktuell Monat 02'!A:A,0)),
IF(ISERROR(MATCH(D461,'Ist Aktuell Monat 03'!A:A,0))=FALSE,INDEX('Ist Aktuell Monat 03'!B:B,MATCH(D461,'Ist Aktuell Monat 03'!A:A,0)),
IF(ISERROR(MATCH(D461,'Ist Aktuell Monat 04'!A:A,0))=FALSE,INDEX('Ist Aktuell Monat 04'!B:B,MATCH(D461,'Ist Aktuell Monat 04'!A:A,0)),
IF(ISERROR(MATCH(D461,'Ist Aktuell Monat 05'!A:A,0))=FALSE,INDEX('Ist Aktuell Monat 05'!B:B,MATCH(D461,'Ist Aktuell Monat 05'!A:A,0)),
IF(ISERROR(MATCH(D461,'Ist Aktuell Monat 06'!A:A,0))=FALSE,INDEX('Ist Aktuell Monat 06'!B:B,MATCH(D461,'Ist Aktuell Monat 06'!A:A,0)),
IF(ISERROR(MATCH(D461,'Ist Aktuell Monat 07'!A:A,0))=FALSE,INDEX('Ist Aktuell Monat 07'!B:B,MATCH(D461,'Ist Aktuell Monat 07'!A:A,0)),
IF(ISERROR(MATCH(D461,'Ist Aktuell Monat 08'!A:A,0))=FALSE,INDEX('Ist Aktuell Monat 08'!B:B,MATCH(D461,'Ist Aktuell Monat 08'!A:A,0)),
IF(ISERROR(MATCH(D461,'Ist Aktuell Monat 09'!A:A,0))=FALSE,INDEX('Ist Aktuell Monat 09'!B:B,MATCH(D461,'Ist Aktuell Monat 09'!A:A,0)),
IF(ISERROR(MATCH(D461,'Ist Aktuell Monat 10'!A:A,0))=FALSE,INDEX('Ist Aktuell Monat 10'!B:B,MATCH(D461,'Ist Aktuell Monat 10'!A:A,0)),
IF(ISERROR(MATCH(D461,'Ist Aktuell Monat 11'!A:A,0))=FALSE,INDEX('Ist Aktuell Monat 11'!B:B,MATCH(D461,'Ist Aktuell Monat 11'!A:A,0)),
IF(ISERROR(MATCH(D461,'Ist Aktuell Monat 12'!A:A,0))=FALSE,INDEX('Ist Aktuell Monat 12'!B:B,MATCH(D461,'Ist Aktuell Monat 12'!A:A,0)),
"{Konto unbekannt}"
)))))))))))),"")</f>
        <v/>
      </c>
      <c r="C461" s="1062"/>
      <c r="D461" s="1067"/>
      <c r="E461" s="625">
        <f t="shared" si="602"/>
        <v>1</v>
      </c>
      <c r="F461" s="626"/>
      <c r="G461" s="593">
        <f ca="1">$E461*(-SUMIF(INDIRECT(G$3),'Struktur Aktuell'!$D461,INDIRECT(G$4))+SUMIF(INDIRECT(G$3),'Struktur Aktuell'!$D461,INDIRECT(G$5)))</f>
        <v>0</v>
      </c>
      <c r="H461" s="593">
        <f ca="1">$E461*(-SUMIF(INDIRECT(H$3),'Struktur Aktuell'!$D461,INDIRECT(H$4))+SUMIF(INDIRECT(H$3),'Struktur Aktuell'!$D461,INDIRECT(H$5)))</f>
        <v>0</v>
      </c>
      <c r="I461" s="593">
        <f ca="1">$E461*(-SUMIF(INDIRECT(I$3),'Struktur Aktuell'!$D461,INDIRECT(I$4))+SUMIF(INDIRECT(I$3),'Struktur Aktuell'!$D461,INDIRECT(I$5)))</f>
        <v>0</v>
      </c>
      <c r="J461" s="593">
        <f ca="1">$E461*(-SUMIF(INDIRECT(J$3),'Struktur Aktuell'!$D461,INDIRECT(J$4))+SUMIF(INDIRECT(J$3),'Struktur Aktuell'!$D461,INDIRECT(J$5)))</f>
        <v>0</v>
      </c>
      <c r="K461" s="593">
        <f ca="1">$E461*(-SUMIF(INDIRECT(K$3),'Struktur Aktuell'!$D461,INDIRECT(K$4))+SUMIF(INDIRECT(K$3),'Struktur Aktuell'!$D461,INDIRECT(K$5)))</f>
        <v>0</v>
      </c>
      <c r="L461" s="593">
        <f ca="1">$E461*(-SUMIF(INDIRECT(L$3),'Struktur Aktuell'!$D461,INDIRECT(L$4))+SUMIF(INDIRECT(L$3),'Struktur Aktuell'!$D461,INDIRECT(L$5)))</f>
        <v>0</v>
      </c>
      <c r="M461" s="593">
        <f ca="1">$E461*(-SUMIF(INDIRECT(M$3),'Struktur Aktuell'!$D461,INDIRECT(M$4))+SUMIF(INDIRECT(M$3),'Struktur Aktuell'!$D461,INDIRECT(M$5)))</f>
        <v>0</v>
      </c>
      <c r="N461" s="593">
        <f ca="1">$E461*(-SUMIF(INDIRECT(N$3),'Struktur Aktuell'!$D461,INDIRECT(N$4))+SUMIF(INDIRECT(N$3),'Struktur Aktuell'!$D461,INDIRECT(N$5)))</f>
        <v>0</v>
      </c>
      <c r="O461" s="593">
        <f ca="1">$E461*(-SUMIF(INDIRECT(O$3),'Struktur Aktuell'!$D461,INDIRECT(O$4))+SUMIF(INDIRECT(O$3),'Struktur Aktuell'!$D461,INDIRECT(O$5)))</f>
        <v>0</v>
      </c>
      <c r="P461" s="593">
        <f ca="1">$E461*(-SUMIF(INDIRECT(P$3),'Struktur Aktuell'!$D461,INDIRECT(P$4))+SUMIF(INDIRECT(P$3),'Struktur Aktuell'!$D461,INDIRECT(P$5)))</f>
        <v>0</v>
      </c>
      <c r="Q461" s="593">
        <f ca="1">$E461*(-SUMIF(INDIRECT(Q$3),'Struktur Aktuell'!$D461,INDIRECT(Q$4))+SUMIF(INDIRECT(Q$3),'Struktur Aktuell'!$D461,INDIRECT(Q$5)))</f>
        <v>0</v>
      </c>
      <c r="R461" s="593">
        <f ca="1">$E461*(-SUMIF(INDIRECT(R$3),'Struktur Aktuell'!$D461,INDIRECT(R$4))+SUMIF(INDIRECT(R$3),'Struktur Aktuell'!$D461,INDIRECT(R$5)))</f>
        <v>0</v>
      </c>
      <c r="S461" s="593">
        <f ca="1">$E461*(-SUMIF(INDIRECT(S$3),'Struktur Aktuell'!$D461,INDIRECT(S$4))+SUMIF(INDIRECT(S$3),'Struktur Aktuell'!$D461,INDIRECT(S$5)))</f>
        <v>0</v>
      </c>
      <c r="T461" s="593">
        <f ca="1">$E461*(-SUMIF(INDIRECT(T$3),'Struktur Aktuell'!$D461,INDIRECT(T$4))+SUMIF(INDIRECT(T$3),'Struktur Aktuell'!$D461,INDIRECT(T$5)))</f>
        <v>0</v>
      </c>
      <c r="U461" s="593">
        <f ca="1">$E461*(-SUMIF(INDIRECT(U$3),'Struktur Aktuell'!$D461,INDIRECT(U$4))+SUMIF(INDIRECT(U$3),'Struktur Aktuell'!$D461,INDIRECT(U$5)))</f>
        <v>0</v>
      </c>
      <c r="V461" s="593">
        <f ca="1">$E461*(-SUMIF(INDIRECT(V$3),'Struktur Aktuell'!$D461,INDIRECT(V$4))+SUMIF(INDIRECT(V$3),'Struktur Aktuell'!$D461,INDIRECT(V$5)))</f>
        <v>0</v>
      </c>
      <c r="W461" s="593">
        <f ca="1">$E461*(-SUMIF(INDIRECT(W$3),'Struktur Aktuell'!$D461,INDIRECT(W$4))+SUMIF(INDIRECT(W$3),'Struktur Aktuell'!$D461,INDIRECT(W$5)))</f>
        <v>0</v>
      </c>
      <c r="X461" s="593">
        <f ca="1">$E461*(-SUMIF(INDIRECT(X$3),'Struktur Aktuell'!$D461,INDIRECT(X$4))+SUMIF(INDIRECT(X$3),'Struktur Aktuell'!$D461,INDIRECT(X$5)))</f>
        <v>0</v>
      </c>
      <c r="Y461" s="593">
        <f ca="1">$E461*(-SUMIF(INDIRECT(Y$3),'Struktur Aktuell'!$D461,INDIRECT(Y$4))+SUMIF(INDIRECT(Y$3),'Struktur Aktuell'!$D461,INDIRECT(Y$5)))</f>
        <v>0</v>
      </c>
      <c r="Z461" s="593">
        <f ca="1">$E461*(-SUMIF(INDIRECT(Z$3),'Struktur Aktuell'!$D461,INDIRECT(Z$4))+SUMIF(INDIRECT(Z$3),'Struktur Aktuell'!$D461,INDIRECT(Z$5)))</f>
        <v>0</v>
      </c>
      <c r="AA461" s="593">
        <f ca="1">$E461*(-SUMIF(INDIRECT(AA$3),'Struktur Aktuell'!$D461,INDIRECT(AA$4))+SUMIF(INDIRECT(AA$3),'Struktur Aktuell'!$D461,INDIRECT(AA$5)))</f>
        <v>0</v>
      </c>
      <c r="AB461" s="593">
        <f ca="1">$E461*(-SUMIF(INDIRECT(AB$3),'Struktur Aktuell'!$D461,INDIRECT(AB$4))+SUMIF(INDIRECT(AB$3),'Struktur Aktuell'!$D461,INDIRECT(AB$5)))</f>
        <v>0</v>
      </c>
      <c r="AC461" s="593">
        <f ca="1">$E461*(-SUMIF(INDIRECT(AC$3),'Struktur Aktuell'!$D461,INDIRECT(AC$4))+SUMIF(INDIRECT(AC$3),'Struktur Aktuell'!$D461,INDIRECT(AC$5)))</f>
        <v>0</v>
      </c>
      <c r="AD461" s="593">
        <f ca="1">$E461*(-SUMIF(INDIRECT(AD$3),'Struktur Aktuell'!$D461,INDIRECT(AD$4))+SUMIF(INDIRECT(AD$3),'Struktur Aktuell'!$D461,INDIRECT(AD$5)))</f>
        <v>0</v>
      </c>
      <c r="AE461" s="593">
        <f t="shared" ca="1" si="700"/>
        <v>0</v>
      </c>
      <c r="AF461" s="593">
        <f t="shared" ca="1" si="701"/>
        <v>0</v>
      </c>
      <c r="AG461" s="593">
        <f t="shared" ca="1" si="702"/>
        <v>0</v>
      </c>
      <c r="AH461" s="593">
        <f t="shared" ca="1" si="703"/>
        <v>0</v>
      </c>
      <c r="AI461" s="593">
        <f t="shared" ca="1" si="704"/>
        <v>0</v>
      </c>
      <c r="AJ461" s="593">
        <f t="shared" ca="1" si="705"/>
        <v>0</v>
      </c>
      <c r="AK461" s="593">
        <f t="shared" ca="1" si="706"/>
        <v>0</v>
      </c>
      <c r="AL461" s="593">
        <f t="shared" ca="1" si="707"/>
        <v>0</v>
      </c>
      <c r="AM461" s="593">
        <f t="shared" ca="1" si="708"/>
        <v>0</v>
      </c>
      <c r="AN461" s="593">
        <f t="shared" ca="1" si="709"/>
        <v>0</v>
      </c>
      <c r="AO461" s="593">
        <f t="shared" ca="1" si="710"/>
        <v>0</v>
      </c>
      <c r="AP461" s="593">
        <f t="shared" ca="1" si="711"/>
        <v>0</v>
      </c>
    </row>
    <row r="462" spans="1:42" s="594" customFormat="1" ht="11.25" x14ac:dyDescent="0.2">
      <c r="A462" s="644"/>
      <c r="B462" s="591" t="str">
        <f>IF(D462&lt;&gt;"",
IF(ISERROR(MATCH(D462,'Ist Aktuell Monat 01'!A:A,0))=FALSE,INDEX('Ist Aktuell Monat 01'!B:B,MATCH(D462,'Ist Aktuell Monat 01'!A:A,0)),
IF(ISERROR(MATCH(D462,'Ist Aktuell Monat 02'!A:A,0))=FALSE,INDEX('Ist Aktuell Monat 02'!B:B,MATCH(D462,'Ist Aktuell Monat 02'!A:A,0)),
IF(ISERROR(MATCH(D462,'Ist Aktuell Monat 03'!A:A,0))=FALSE,INDEX('Ist Aktuell Monat 03'!B:B,MATCH(D462,'Ist Aktuell Monat 03'!A:A,0)),
IF(ISERROR(MATCH(D462,'Ist Aktuell Monat 04'!A:A,0))=FALSE,INDEX('Ist Aktuell Monat 04'!B:B,MATCH(D462,'Ist Aktuell Monat 04'!A:A,0)),
IF(ISERROR(MATCH(D462,'Ist Aktuell Monat 05'!A:A,0))=FALSE,INDEX('Ist Aktuell Monat 05'!B:B,MATCH(D462,'Ist Aktuell Monat 05'!A:A,0)),
IF(ISERROR(MATCH(D462,'Ist Aktuell Monat 06'!A:A,0))=FALSE,INDEX('Ist Aktuell Monat 06'!B:B,MATCH(D462,'Ist Aktuell Monat 06'!A:A,0)),
IF(ISERROR(MATCH(D462,'Ist Aktuell Monat 07'!A:A,0))=FALSE,INDEX('Ist Aktuell Monat 07'!B:B,MATCH(D462,'Ist Aktuell Monat 07'!A:A,0)),
IF(ISERROR(MATCH(D462,'Ist Aktuell Monat 08'!A:A,0))=FALSE,INDEX('Ist Aktuell Monat 08'!B:B,MATCH(D462,'Ist Aktuell Monat 08'!A:A,0)),
IF(ISERROR(MATCH(D462,'Ist Aktuell Monat 09'!A:A,0))=FALSE,INDEX('Ist Aktuell Monat 09'!B:B,MATCH(D462,'Ist Aktuell Monat 09'!A:A,0)),
IF(ISERROR(MATCH(D462,'Ist Aktuell Monat 10'!A:A,0))=FALSE,INDEX('Ist Aktuell Monat 10'!B:B,MATCH(D462,'Ist Aktuell Monat 10'!A:A,0)),
IF(ISERROR(MATCH(D462,'Ist Aktuell Monat 11'!A:A,0))=FALSE,INDEX('Ist Aktuell Monat 11'!B:B,MATCH(D462,'Ist Aktuell Monat 11'!A:A,0)),
IF(ISERROR(MATCH(D462,'Ist Aktuell Monat 12'!A:A,0))=FALSE,INDEX('Ist Aktuell Monat 12'!B:B,MATCH(D462,'Ist Aktuell Monat 12'!A:A,0)),
"{Konto unbekannt}"
)))))))))))),"")</f>
        <v/>
      </c>
      <c r="C462" s="1062"/>
      <c r="D462" s="1067"/>
      <c r="E462" s="625">
        <f t="shared" si="602"/>
        <v>1</v>
      </c>
      <c r="F462" s="626"/>
      <c r="G462" s="593">
        <f ca="1">$E462*(-SUMIF(INDIRECT(G$3),'Struktur Aktuell'!$D462,INDIRECT(G$4))+SUMIF(INDIRECT(G$3),'Struktur Aktuell'!$D462,INDIRECT(G$5)))</f>
        <v>0</v>
      </c>
      <c r="H462" s="593">
        <f ca="1">$E462*(-SUMIF(INDIRECT(H$3),'Struktur Aktuell'!$D462,INDIRECT(H$4))+SUMIF(INDIRECT(H$3),'Struktur Aktuell'!$D462,INDIRECT(H$5)))</f>
        <v>0</v>
      </c>
      <c r="I462" s="593">
        <f ca="1">$E462*(-SUMIF(INDIRECT(I$3),'Struktur Aktuell'!$D462,INDIRECT(I$4))+SUMIF(INDIRECT(I$3),'Struktur Aktuell'!$D462,INDIRECT(I$5)))</f>
        <v>0</v>
      </c>
      <c r="J462" s="593">
        <f ca="1">$E462*(-SUMIF(INDIRECT(J$3),'Struktur Aktuell'!$D462,INDIRECT(J$4))+SUMIF(INDIRECT(J$3),'Struktur Aktuell'!$D462,INDIRECT(J$5)))</f>
        <v>0</v>
      </c>
      <c r="K462" s="593">
        <f ca="1">$E462*(-SUMIF(INDIRECT(K$3),'Struktur Aktuell'!$D462,INDIRECT(K$4))+SUMIF(INDIRECT(K$3),'Struktur Aktuell'!$D462,INDIRECT(K$5)))</f>
        <v>0</v>
      </c>
      <c r="L462" s="593">
        <f ca="1">$E462*(-SUMIF(INDIRECT(L$3),'Struktur Aktuell'!$D462,INDIRECT(L$4))+SUMIF(INDIRECT(L$3),'Struktur Aktuell'!$D462,INDIRECT(L$5)))</f>
        <v>0</v>
      </c>
      <c r="M462" s="593">
        <f ca="1">$E462*(-SUMIF(INDIRECT(M$3),'Struktur Aktuell'!$D462,INDIRECT(M$4))+SUMIF(INDIRECT(M$3),'Struktur Aktuell'!$D462,INDIRECT(M$5)))</f>
        <v>0</v>
      </c>
      <c r="N462" s="593">
        <f ca="1">$E462*(-SUMIF(INDIRECT(N$3),'Struktur Aktuell'!$D462,INDIRECT(N$4))+SUMIF(INDIRECT(N$3),'Struktur Aktuell'!$D462,INDIRECT(N$5)))</f>
        <v>0</v>
      </c>
      <c r="O462" s="593">
        <f ca="1">$E462*(-SUMIF(INDIRECT(O$3),'Struktur Aktuell'!$D462,INDIRECT(O$4))+SUMIF(INDIRECT(O$3),'Struktur Aktuell'!$D462,INDIRECT(O$5)))</f>
        <v>0</v>
      </c>
      <c r="P462" s="593">
        <f ca="1">$E462*(-SUMIF(INDIRECT(P$3),'Struktur Aktuell'!$D462,INDIRECT(P$4))+SUMIF(INDIRECT(P$3),'Struktur Aktuell'!$D462,INDIRECT(P$5)))</f>
        <v>0</v>
      </c>
      <c r="Q462" s="593">
        <f ca="1">$E462*(-SUMIF(INDIRECT(Q$3),'Struktur Aktuell'!$D462,INDIRECT(Q$4))+SUMIF(INDIRECT(Q$3),'Struktur Aktuell'!$D462,INDIRECT(Q$5)))</f>
        <v>0</v>
      </c>
      <c r="R462" s="593">
        <f ca="1">$E462*(-SUMIF(INDIRECT(R$3),'Struktur Aktuell'!$D462,INDIRECT(R$4))+SUMIF(INDIRECT(R$3),'Struktur Aktuell'!$D462,INDIRECT(R$5)))</f>
        <v>0</v>
      </c>
      <c r="S462" s="593">
        <f ca="1">$E462*(-SUMIF(INDIRECT(S$3),'Struktur Aktuell'!$D462,INDIRECT(S$4))+SUMIF(INDIRECT(S$3),'Struktur Aktuell'!$D462,INDIRECT(S$5)))</f>
        <v>0</v>
      </c>
      <c r="T462" s="593">
        <f ca="1">$E462*(-SUMIF(INDIRECT(T$3),'Struktur Aktuell'!$D462,INDIRECT(T$4))+SUMIF(INDIRECT(T$3),'Struktur Aktuell'!$D462,INDIRECT(T$5)))</f>
        <v>0</v>
      </c>
      <c r="U462" s="593">
        <f ca="1">$E462*(-SUMIF(INDIRECT(U$3),'Struktur Aktuell'!$D462,INDIRECT(U$4))+SUMIF(INDIRECT(U$3),'Struktur Aktuell'!$D462,INDIRECT(U$5)))</f>
        <v>0</v>
      </c>
      <c r="V462" s="593">
        <f ca="1">$E462*(-SUMIF(INDIRECT(V$3),'Struktur Aktuell'!$D462,INDIRECT(V$4))+SUMIF(INDIRECT(V$3),'Struktur Aktuell'!$D462,INDIRECT(V$5)))</f>
        <v>0</v>
      </c>
      <c r="W462" s="593">
        <f ca="1">$E462*(-SUMIF(INDIRECT(W$3),'Struktur Aktuell'!$D462,INDIRECT(W$4))+SUMIF(INDIRECT(W$3),'Struktur Aktuell'!$D462,INDIRECT(W$5)))</f>
        <v>0</v>
      </c>
      <c r="X462" s="593">
        <f ca="1">$E462*(-SUMIF(INDIRECT(X$3),'Struktur Aktuell'!$D462,INDIRECT(X$4))+SUMIF(INDIRECT(X$3),'Struktur Aktuell'!$D462,INDIRECT(X$5)))</f>
        <v>0</v>
      </c>
      <c r="Y462" s="593">
        <f ca="1">$E462*(-SUMIF(INDIRECT(Y$3),'Struktur Aktuell'!$D462,INDIRECT(Y$4))+SUMIF(INDIRECT(Y$3),'Struktur Aktuell'!$D462,INDIRECT(Y$5)))</f>
        <v>0</v>
      </c>
      <c r="Z462" s="593">
        <f ca="1">$E462*(-SUMIF(INDIRECT(Z$3),'Struktur Aktuell'!$D462,INDIRECT(Z$4))+SUMIF(INDIRECT(Z$3),'Struktur Aktuell'!$D462,INDIRECT(Z$5)))</f>
        <v>0</v>
      </c>
      <c r="AA462" s="593">
        <f ca="1">$E462*(-SUMIF(INDIRECT(AA$3),'Struktur Aktuell'!$D462,INDIRECT(AA$4))+SUMIF(INDIRECT(AA$3),'Struktur Aktuell'!$D462,INDIRECT(AA$5)))</f>
        <v>0</v>
      </c>
      <c r="AB462" s="593">
        <f ca="1">$E462*(-SUMIF(INDIRECT(AB$3),'Struktur Aktuell'!$D462,INDIRECT(AB$4))+SUMIF(INDIRECT(AB$3),'Struktur Aktuell'!$D462,INDIRECT(AB$5)))</f>
        <v>0</v>
      </c>
      <c r="AC462" s="593">
        <f ca="1">$E462*(-SUMIF(INDIRECT(AC$3),'Struktur Aktuell'!$D462,INDIRECT(AC$4))+SUMIF(INDIRECT(AC$3),'Struktur Aktuell'!$D462,INDIRECT(AC$5)))</f>
        <v>0</v>
      </c>
      <c r="AD462" s="593">
        <f ca="1">$E462*(-SUMIF(INDIRECT(AD$3),'Struktur Aktuell'!$D462,INDIRECT(AD$4))+SUMIF(INDIRECT(AD$3),'Struktur Aktuell'!$D462,INDIRECT(AD$5)))</f>
        <v>0</v>
      </c>
      <c r="AE462" s="593">
        <f t="shared" ca="1" si="700"/>
        <v>0</v>
      </c>
      <c r="AF462" s="593">
        <f t="shared" ca="1" si="701"/>
        <v>0</v>
      </c>
      <c r="AG462" s="593">
        <f t="shared" ca="1" si="702"/>
        <v>0</v>
      </c>
      <c r="AH462" s="593">
        <f t="shared" ca="1" si="703"/>
        <v>0</v>
      </c>
      <c r="AI462" s="593">
        <f t="shared" ca="1" si="704"/>
        <v>0</v>
      </c>
      <c r="AJ462" s="593">
        <f t="shared" ca="1" si="705"/>
        <v>0</v>
      </c>
      <c r="AK462" s="593">
        <f t="shared" ca="1" si="706"/>
        <v>0</v>
      </c>
      <c r="AL462" s="593">
        <f t="shared" ca="1" si="707"/>
        <v>0</v>
      </c>
      <c r="AM462" s="593">
        <f t="shared" ca="1" si="708"/>
        <v>0</v>
      </c>
      <c r="AN462" s="593">
        <f t="shared" ca="1" si="709"/>
        <v>0</v>
      </c>
      <c r="AO462" s="593">
        <f t="shared" ca="1" si="710"/>
        <v>0</v>
      </c>
      <c r="AP462" s="593">
        <f t="shared" ca="1" si="711"/>
        <v>0</v>
      </c>
    </row>
    <row r="463" spans="1:42" s="594" customFormat="1" ht="11.25" outlineLevel="1" x14ac:dyDescent="0.2">
      <c r="A463" s="644"/>
      <c r="B463" s="591" t="str">
        <f>IF(D463&lt;&gt;"",
IF(ISERROR(MATCH(D463,'Ist Aktuell Monat 01'!A:A,0))=FALSE,INDEX('Ist Aktuell Monat 01'!B:B,MATCH(D463,'Ist Aktuell Monat 01'!A:A,0)),
IF(ISERROR(MATCH(D463,'Ist Aktuell Monat 02'!A:A,0))=FALSE,INDEX('Ist Aktuell Monat 02'!B:B,MATCH(D463,'Ist Aktuell Monat 02'!A:A,0)),
IF(ISERROR(MATCH(D463,'Ist Aktuell Monat 03'!A:A,0))=FALSE,INDEX('Ist Aktuell Monat 03'!B:B,MATCH(D463,'Ist Aktuell Monat 03'!A:A,0)),
IF(ISERROR(MATCH(D463,'Ist Aktuell Monat 04'!A:A,0))=FALSE,INDEX('Ist Aktuell Monat 04'!B:B,MATCH(D463,'Ist Aktuell Monat 04'!A:A,0)),
IF(ISERROR(MATCH(D463,'Ist Aktuell Monat 05'!A:A,0))=FALSE,INDEX('Ist Aktuell Monat 05'!B:B,MATCH(D463,'Ist Aktuell Monat 05'!A:A,0)),
IF(ISERROR(MATCH(D463,'Ist Aktuell Monat 06'!A:A,0))=FALSE,INDEX('Ist Aktuell Monat 06'!B:B,MATCH(D463,'Ist Aktuell Monat 06'!A:A,0)),
IF(ISERROR(MATCH(D463,'Ist Aktuell Monat 07'!A:A,0))=FALSE,INDEX('Ist Aktuell Monat 07'!B:B,MATCH(D463,'Ist Aktuell Monat 07'!A:A,0)),
IF(ISERROR(MATCH(D463,'Ist Aktuell Monat 08'!A:A,0))=FALSE,INDEX('Ist Aktuell Monat 08'!B:B,MATCH(D463,'Ist Aktuell Monat 08'!A:A,0)),
IF(ISERROR(MATCH(D463,'Ist Aktuell Monat 09'!A:A,0))=FALSE,INDEX('Ist Aktuell Monat 09'!B:B,MATCH(D463,'Ist Aktuell Monat 09'!A:A,0)),
IF(ISERROR(MATCH(D463,'Ist Aktuell Monat 10'!A:A,0))=FALSE,INDEX('Ist Aktuell Monat 10'!B:B,MATCH(D463,'Ist Aktuell Monat 10'!A:A,0)),
IF(ISERROR(MATCH(D463,'Ist Aktuell Monat 11'!A:A,0))=FALSE,INDEX('Ist Aktuell Monat 11'!B:B,MATCH(D463,'Ist Aktuell Monat 11'!A:A,0)),
IF(ISERROR(MATCH(D463,'Ist Aktuell Monat 12'!A:A,0))=FALSE,INDEX('Ist Aktuell Monat 12'!B:B,MATCH(D463,'Ist Aktuell Monat 12'!A:A,0)),
"{Konto unbekannt}"
)))))))))))),"")</f>
        <v/>
      </c>
      <c r="C463" s="1062"/>
      <c r="D463" s="1067"/>
      <c r="E463" s="625">
        <f t="shared" si="602"/>
        <v>1</v>
      </c>
      <c r="F463" s="626"/>
      <c r="G463" s="593">
        <f ca="1">$E463*(-SUMIF(INDIRECT(G$3),'Struktur Aktuell'!$D463,INDIRECT(G$4))+SUMIF(INDIRECT(G$3),'Struktur Aktuell'!$D463,INDIRECT(G$5)))</f>
        <v>0</v>
      </c>
      <c r="H463" s="593">
        <f ca="1">$E463*(-SUMIF(INDIRECT(H$3),'Struktur Aktuell'!$D463,INDIRECT(H$4))+SUMIF(INDIRECT(H$3),'Struktur Aktuell'!$D463,INDIRECT(H$5)))</f>
        <v>0</v>
      </c>
      <c r="I463" s="593">
        <f ca="1">$E463*(-SUMIF(INDIRECT(I$3),'Struktur Aktuell'!$D463,INDIRECT(I$4))+SUMIF(INDIRECT(I$3),'Struktur Aktuell'!$D463,INDIRECT(I$5)))</f>
        <v>0</v>
      </c>
      <c r="J463" s="593">
        <f ca="1">$E463*(-SUMIF(INDIRECT(J$3),'Struktur Aktuell'!$D463,INDIRECT(J$4))+SUMIF(INDIRECT(J$3),'Struktur Aktuell'!$D463,INDIRECT(J$5)))</f>
        <v>0</v>
      </c>
      <c r="K463" s="593">
        <f ca="1">$E463*(-SUMIF(INDIRECT(K$3),'Struktur Aktuell'!$D463,INDIRECT(K$4))+SUMIF(INDIRECT(K$3),'Struktur Aktuell'!$D463,INDIRECT(K$5)))</f>
        <v>0</v>
      </c>
      <c r="L463" s="593">
        <f ca="1">$E463*(-SUMIF(INDIRECT(L$3),'Struktur Aktuell'!$D463,INDIRECT(L$4))+SUMIF(INDIRECT(L$3),'Struktur Aktuell'!$D463,INDIRECT(L$5)))</f>
        <v>0</v>
      </c>
      <c r="M463" s="593">
        <f ca="1">$E463*(-SUMIF(INDIRECT(M$3),'Struktur Aktuell'!$D463,INDIRECT(M$4))+SUMIF(INDIRECT(M$3),'Struktur Aktuell'!$D463,INDIRECT(M$5)))</f>
        <v>0</v>
      </c>
      <c r="N463" s="593">
        <f ca="1">$E463*(-SUMIF(INDIRECT(N$3),'Struktur Aktuell'!$D463,INDIRECT(N$4))+SUMIF(INDIRECT(N$3),'Struktur Aktuell'!$D463,INDIRECT(N$5)))</f>
        <v>0</v>
      </c>
      <c r="O463" s="593">
        <f ca="1">$E463*(-SUMIF(INDIRECT(O$3),'Struktur Aktuell'!$D463,INDIRECT(O$4))+SUMIF(INDIRECT(O$3),'Struktur Aktuell'!$D463,INDIRECT(O$5)))</f>
        <v>0</v>
      </c>
      <c r="P463" s="593">
        <f ca="1">$E463*(-SUMIF(INDIRECT(P$3),'Struktur Aktuell'!$D463,INDIRECT(P$4))+SUMIF(INDIRECT(P$3),'Struktur Aktuell'!$D463,INDIRECT(P$5)))</f>
        <v>0</v>
      </c>
      <c r="Q463" s="593">
        <f ca="1">$E463*(-SUMIF(INDIRECT(Q$3),'Struktur Aktuell'!$D463,INDIRECT(Q$4))+SUMIF(INDIRECT(Q$3),'Struktur Aktuell'!$D463,INDIRECT(Q$5)))</f>
        <v>0</v>
      </c>
      <c r="R463" s="593">
        <f ca="1">$E463*(-SUMIF(INDIRECT(R$3),'Struktur Aktuell'!$D463,INDIRECT(R$4))+SUMIF(INDIRECT(R$3),'Struktur Aktuell'!$D463,INDIRECT(R$5)))</f>
        <v>0</v>
      </c>
      <c r="S463" s="593">
        <f ca="1">$E463*(-SUMIF(INDIRECT(S$3),'Struktur Aktuell'!$D463,INDIRECT(S$4))+SUMIF(INDIRECT(S$3),'Struktur Aktuell'!$D463,INDIRECT(S$5)))</f>
        <v>0</v>
      </c>
      <c r="T463" s="593">
        <f ca="1">$E463*(-SUMIF(INDIRECT(T$3),'Struktur Aktuell'!$D463,INDIRECT(T$4))+SUMIF(INDIRECT(T$3),'Struktur Aktuell'!$D463,INDIRECT(T$5)))</f>
        <v>0</v>
      </c>
      <c r="U463" s="593">
        <f ca="1">$E463*(-SUMIF(INDIRECT(U$3),'Struktur Aktuell'!$D463,INDIRECT(U$4))+SUMIF(INDIRECT(U$3),'Struktur Aktuell'!$D463,INDIRECT(U$5)))</f>
        <v>0</v>
      </c>
      <c r="V463" s="593">
        <f ca="1">$E463*(-SUMIF(INDIRECT(V$3),'Struktur Aktuell'!$D463,INDIRECT(V$4))+SUMIF(INDIRECT(V$3),'Struktur Aktuell'!$D463,INDIRECT(V$5)))</f>
        <v>0</v>
      </c>
      <c r="W463" s="593">
        <f ca="1">$E463*(-SUMIF(INDIRECT(W$3),'Struktur Aktuell'!$D463,INDIRECT(W$4))+SUMIF(INDIRECT(W$3),'Struktur Aktuell'!$D463,INDIRECT(W$5)))</f>
        <v>0</v>
      </c>
      <c r="X463" s="593">
        <f ca="1">$E463*(-SUMIF(INDIRECT(X$3),'Struktur Aktuell'!$D463,INDIRECT(X$4))+SUMIF(INDIRECT(X$3),'Struktur Aktuell'!$D463,INDIRECT(X$5)))</f>
        <v>0</v>
      </c>
      <c r="Y463" s="593">
        <f ca="1">$E463*(-SUMIF(INDIRECT(Y$3),'Struktur Aktuell'!$D463,INDIRECT(Y$4))+SUMIF(INDIRECT(Y$3),'Struktur Aktuell'!$D463,INDIRECT(Y$5)))</f>
        <v>0</v>
      </c>
      <c r="Z463" s="593">
        <f ca="1">$E463*(-SUMIF(INDIRECT(Z$3),'Struktur Aktuell'!$D463,INDIRECT(Z$4))+SUMIF(INDIRECT(Z$3),'Struktur Aktuell'!$D463,INDIRECT(Z$5)))</f>
        <v>0</v>
      </c>
      <c r="AA463" s="593">
        <f ca="1">$E463*(-SUMIF(INDIRECT(AA$3),'Struktur Aktuell'!$D463,INDIRECT(AA$4))+SUMIF(INDIRECT(AA$3),'Struktur Aktuell'!$D463,INDIRECT(AA$5)))</f>
        <v>0</v>
      </c>
      <c r="AB463" s="593">
        <f ca="1">$E463*(-SUMIF(INDIRECT(AB$3),'Struktur Aktuell'!$D463,INDIRECT(AB$4))+SUMIF(INDIRECT(AB$3),'Struktur Aktuell'!$D463,INDIRECT(AB$5)))</f>
        <v>0</v>
      </c>
      <c r="AC463" s="593">
        <f ca="1">$E463*(-SUMIF(INDIRECT(AC$3),'Struktur Aktuell'!$D463,INDIRECT(AC$4))+SUMIF(INDIRECT(AC$3),'Struktur Aktuell'!$D463,INDIRECT(AC$5)))</f>
        <v>0</v>
      </c>
      <c r="AD463" s="593">
        <f ca="1">$E463*(-SUMIF(INDIRECT(AD$3),'Struktur Aktuell'!$D463,INDIRECT(AD$4))+SUMIF(INDIRECT(AD$3),'Struktur Aktuell'!$D463,INDIRECT(AD$5)))</f>
        <v>0</v>
      </c>
      <c r="AE463" s="593">
        <f t="shared" ca="1" si="700"/>
        <v>0</v>
      </c>
      <c r="AF463" s="593">
        <f t="shared" ca="1" si="701"/>
        <v>0</v>
      </c>
      <c r="AG463" s="593">
        <f t="shared" ca="1" si="702"/>
        <v>0</v>
      </c>
      <c r="AH463" s="593">
        <f t="shared" ca="1" si="703"/>
        <v>0</v>
      </c>
      <c r="AI463" s="593">
        <f t="shared" ca="1" si="704"/>
        <v>0</v>
      </c>
      <c r="AJ463" s="593">
        <f t="shared" ca="1" si="705"/>
        <v>0</v>
      </c>
      <c r="AK463" s="593">
        <f t="shared" ca="1" si="706"/>
        <v>0</v>
      </c>
      <c r="AL463" s="593">
        <f t="shared" ca="1" si="707"/>
        <v>0</v>
      </c>
      <c r="AM463" s="593">
        <f t="shared" ca="1" si="708"/>
        <v>0</v>
      </c>
      <c r="AN463" s="593">
        <f t="shared" ca="1" si="709"/>
        <v>0</v>
      </c>
      <c r="AO463" s="593">
        <f t="shared" ca="1" si="710"/>
        <v>0</v>
      </c>
      <c r="AP463" s="593">
        <f t="shared" ca="1" si="711"/>
        <v>0</v>
      </c>
    </row>
    <row r="464" spans="1:42" s="594" customFormat="1" ht="11.25" outlineLevel="1" x14ac:dyDescent="0.2">
      <c r="A464" s="644"/>
      <c r="B464" s="591" t="str">
        <f>IF(D464&lt;&gt;"",
IF(ISERROR(MATCH(D464,'Ist Aktuell Monat 01'!A:A,0))=FALSE,INDEX('Ist Aktuell Monat 01'!B:B,MATCH(D464,'Ist Aktuell Monat 01'!A:A,0)),
IF(ISERROR(MATCH(D464,'Ist Aktuell Monat 02'!A:A,0))=FALSE,INDEX('Ist Aktuell Monat 02'!B:B,MATCH(D464,'Ist Aktuell Monat 02'!A:A,0)),
IF(ISERROR(MATCH(D464,'Ist Aktuell Monat 03'!A:A,0))=FALSE,INDEX('Ist Aktuell Monat 03'!B:B,MATCH(D464,'Ist Aktuell Monat 03'!A:A,0)),
IF(ISERROR(MATCH(D464,'Ist Aktuell Monat 04'!A:A,0))=FALSE,INDEX('Ist Aktuell Monat 04'!B:B,MATCH(D464,'Ist Aktuell Monat 04'!A:A,0)),
IF(ISERROR(MATCH(D464,'Ist Aktuell Monat 05'!A:A,0))=FALSE,INDEX('Ist Aktuell Monat 05'!B:B,MATCH(D464,'Ist Aktuell Monat 05'!A:A,0)),
IF(ISERROR(MATCH(D464,'Ist Aktuell Monat 06'!A:A,0))=FALSE,INDEX('Ist Aktuell Monat 06'!B:B,MATCH(D464,'Ist Aktuell Monat 06'!A:A,0)),
IF(ISERROR(MATCH(D464,'Ist Aktuell Monat 07'!A:A,0))=FALSE,INDEX('Ist Aktuell Monat 07'!B:B,MATCH(D464,'Ist Aktuell Monat 07'!A:A,0)),
IF(ISERROR(MATCH(D464,'Ist Aktuell Monat 08'!A:A,0))=FALSE,INDEX('Ist Aktuell Monat 08'!B:B,MATCH(D464,'Ist Aktuell Monat 08'!A:A,0)),
IF(ISERROR(MATCH(D464,'Ist Aktuell Monat 09'!A:A,0))=FALSE,INDEX('Ist Aktuell Monat 09'!B:B,MATCH(D464,'Ist Aktuell Monat 09'!A:A,0)),
IF(ISERROR(MATCH(D464,'Ist Aktuell Monat 10'!A:A,0))=FALSE,INDEX('Ist Aktuell Monat 10'!B:B,MATCH(D464,'Ist Aktuell Monat 10'!A:A,0)),
IF(ISERROR(MATCH(D464,'Ist Aktuell Monat 11'!A:A,0))=FALSE,INDEX('Ist Aktuell Monat 11'!B:B,MATCH(D464,'Ist Aktuell Monat 11'!A:A,0)),
IF(ISERROR(MATCH(D464,'Ist Aktuell Monat 12'!A:A,0))=FALSE,INDEX('Ist Aktuell Monat 12'!B:B,MATCH(D464,'Ist Aktuell Monat 12'!A:A,0)),
"{Konto unbekannt}"
)))))))))))),"")</f>
        <v/>
      </c>
      <c r="C464" s="1062"/>
      <c r="D464" s="1067"/>
      <c r="E464" s="625">
        <f t="shared" si="602"/>
        <v>1</v>
      </c>
      <c r="F464" s="626"/>
      <c r="G464" s="593">
        <f ca="1">$E464*(-SUMIF(INDIRECT(G$3),'Struktur Aktuell'!$D464,INDIRECT(G$4))+SUMIF(INDIRECT(G$3),'Struktur Aktuell'!$D464,INDIRECT(G$5)))</f>
        <v>0</v>
      </c>
      <c r="H464" s="593">
        <f ca="1">$E464*(-SUMIF(INDIRECT(H$3),'Struktur Aktuell'!$D464,INDIRECT(H$4))+SUMIF(INDIRECT(H$3),'Struktur Aktuell'!$D464,INDIRECT(H$5)))</f>
        <v>0</v>
      </c>
      <c r="I464" s="593">
        <f ca="1">$E464*(-SUMIF(INDIRECT(I$3),'Struktur Aktuell'!$D464,INDIRECT(I$4))+SUMIF(INDIRECT(I$3),'Struktur Aktuell'!$D464,INDIRECT(I$5)))</f>
        <v>0</v>
      </c>
      <c r="J464" s="593">
        <f ca="1">$E464*(-SUMIF(INDIRECT(J$3),'Struktur Aktuell'!$D464,INDIRECT(J$4))+SUMIF(INDIRECT(J$3),'Struktur Aktuell'!$D464,INDIRECT(J$5)))</f>
        <v>0</v>
      </c>
      <c r="K464" s="593">
        <f ca="1">$E464*(-SUMIF(INDIRECT(K$3),'Struktur Aktuell'!$D464,INDIRECT(K$4))+SUMIF(INDIRECT(K$3),'Struktur Aktuell'!$D464,INDIRECT(K$5)))</f>
        <v>0</v>
      </c>
      <c r="L464" s="593">
        <f ca="1">$E464*(-SUMIF(INDIRECT(L$3),'Struktur Aktuell'!$D464,INDIRECT(L$4))+SUMIF(INDIRECT(L$3),'Struktur Aktuell'!$D464,INDIRECT(L$5)))</f>
        <v>0</v>
      </c>
      <c r="M464" s="593">
        <f ca="1">$E464*(-SUMIF(INDIRECT(M$3),'Struktur Aktuell'!$D464,INDIRECT(M$4))+SUMIF(INDIRECT(M$3),'Struktur Aktuell'!$D464,INDIRECT(M$5)))</f>
        <v>0</v>
      </c>
      <c r="N464" s="593">
        <f ca="1">$E464*(-SUMIF(INDIRECT(N$3),'Struktur Aktuell'!$D464,INDIRECT(N$4))+SUMIF(INDIRECT(N$3),'Struktur Aktuell'!$D464,INDIRECT(N$5)))</f>
        <v>0</v>
      </c>
      <c r="O464" s="593">
        <f ca="1">$E464*(-SUMIF(INDIRECT(O$3),'Struktur Aktuell'!$D464,INDIRECT(O$4))+SUMIF(INDIRECT(O$3),'Struktur Aktuell'!$D464,INDIRECT(O$5)))</f>
        <v>0</v>
      </c>
      <c r="P464" s="593">
        <f ca="1">$E464*(-SUMIF(INDIRECT(P$3),'Struktur Aktuell'!$D464,INDIRECT(P$4))+SUMIF(INDIRECT(P$3),'Struktur Aktuell'!$D464,INDIRECT(P$5)))</f>
        <v>0</v>
      </c>
      <c r="Q464" s="593">
        <f ca="1">$E464*(-SUMIF(INDIRECT(Q$3),'Struktur Aktuell'!$D464,INDIRECT(Q$4))+SUMIF(INDIRECT(Q$3),'Struktur Aktuell'!$D464,INDIRECT(Q$5)))</f>
        <v>0</v>
      </c>
      <c r="R464" s="593">
        <f ca="1">$E464*(-SUMIF(INDIRECT(R$3),'Struktur Aktuell'!$D464,INDIRECT(R$4))+SUMIF(INDIRECT(R$3),'Struktur Aktuell'!$D464,INDIRECT(R$5)))</f>
        <v>0</v>
      </c>
      <c r="S464" s="593">
        <f ca="1">$E464*(-SUMIF(INDIRECT(S$3),'Struktur Aktuell'!$D464,INDIRECT(S$4))+SUMIF(INDIRECT(S$3),'Struktur Aktuell'!$D464,INDIRECT(S$5)))</f>
        <v>0</v>
      </c>
      <c r="T464" s="593">
        <f ca="1">$E464*(-SUMIF(INDIRECT(T$3),'Struktur Aktuell'!$D464,INDIRECT(T$4))+SUMIF(INDIRECT(T$3),'Struktur Aktuell'!$D464,INDIRECT(T$5)))</f>
        <v>0</v>
      </c>
      <c r="U464" s="593">
        <f ca="1">$E464*(-SUMIF(INDIRECT(U$3),'Struktur Aktuell'!$D464,INDIRECT(U$4))+SUMIF(INDIRECT(U$3),'Struktur Aktuell'!$D464,INDIRECT(U$5)))</f>
        <v>0</v>
      </c>
      <c r="V464" s="593">
        <f ca="1">$E464*(-SUMIF(INDIRECT(V$3),'Struktur Aktuell'!$D464,INDIRECT(V$4))+SUMIF(INDIRECT(V$3),'Struktur Aktuell'!$D464,INDIRECT(V$5)))</f>
        <v>0</v>
      </c>
      <c r="W464" s="593">
        <f ca="1">$E464*(-SUMIF(INDIRECT(W$3),'Struktur Aktuell'!$D464,INDIRECT(W$4))+SUMIF(INDIRECT(W$3),'Struktur Aktuell'!$D464,INDIRECT(W$5)))</f>
        <v>0</v>
      </c>
      <c r="X464" s="593">
        <f ca="1">$E464*(-SUMIF(INDIRECT(X$3),'Struktur Aktuell'!$D464,INDIRECT(X$4))+SUMIF(INDIRECT(X$3),'Struktur Aktuell'!$D464,INDIRECT(X$5)))</f>
        <v>0</v>
      </c>
      <c r="Y464" s="593">
        <f ca="1">$E464*(-SUMIF(INDIRECT(Y$3),'Struktur Aktuell'!$D464,INDIRECT(Y$4))+SUMIF(INDIRECT(Y$3),'Struktur Aktuell'!$D464,INDIRECT(Y$5)))</f>
        <v>0</v>
      </c>
      <c r="Z464" s="593">
        <f ca="1">$E464*(-SUMIF(INDIRECT(Z$3),'Struktur Aktuell'!$D464,INDIRECT(Z$4))+SUMIF(INDIRECT(Z$3),'Struktur Aktuell'!$D464,INDIRECT(Z$5)))</f>
        <v>0</v>
      </c>
      <c r="AA464" s="593">
        <f ca="1">$E464*(-SUMIF(INDIRECT(AA$3),'Struktur Aktuell'!$D464,INDIRECT(AA$4))+SUMIF(INDIRECT(AA$3),'Struktur Aktuell'!$D464,INDIRECT(AA$5)))</f>
        <v>0</v>
      </c>
      <c r="AB464" s="593">
        <f ca="1">$E464*(-SUMIF(INDIRECT(AB$3),'Struktur Aktuell'!$D464,INDIRECT(AB$4))+SUMIF(INDIRECT(AB$3),'Struktur Aktuell'!$D464,INDIRECT(AB$5)))</f>
        <v>0</v>
      </c>
      <c r="AC464" s="593">
        <f ca="1">$E464*(-SUMIF(INDIRECT(AC$3),'Struktur Aktuell'!$D464,INDIRECT(AC$4))+SUMIF(INDIRECT(AC$3),'Struktur Aktuell'!$D464,INDIRECT(AC$5)))</f>
        <v>0</v>
      </c>
      <c r="AD464" s="593">
        <f ca="1">$E464*(-SUMIF(INDIRECT(AD$3),'Struktur Aktuell'!$D464,INDIRECT(AD$4))+SUMIF(INDIRECT(AD$3),'Struktur Aktuell'!$D464,INDIRECT(AD$5)))</f>
        <v>0</v>
      </c>
      <c r="AE464" s="593">
        <f t="shared" ca="1" si="700"/>
        <v>0</v>
      </c>
      <c r="AF464" s="593">
        <f t="shared" ca="1" si="701"/>
        <v>0</v>
      </c>
      <c r="AG464" s="593">
        <f t="shared" ca="1" si="702"/>
        <v>0</v>
      </c>
      <c r="AH464" s="593">
        <f t="shared" ca="1" si="703"/>
        <v>0</v>
      </c>
      <c r="AI464" s="593">
        <f t="shared" ca="1" si="704"/>
        <v>0</v>
      </c>
      <c r="AJ464" s="593">
        <f t="shared" ca="1" si="705"/>
        <v>0</v>
      </c>
      <c r="AK464" s="593">
        <f t="shared" ca="1" si="706"/>
        <v>0</v>
      </c>
      <c r="AL464" s="593">
        <f t="shared" ca="1" si="707"/>
        <v>0</v>
      </c>
      <c r="AM464" s="593">
        <f t="shared" ca="1" si="708"/>
        <v>0</v>
      </c>
      <c r="AN464" s="593">
        <f t="shared" ca="1" si="709"/>
        <v>0</v>
      </c>
      <c r="AO464" s="593">
        <f t="shared" ca="1" si="710"/>
        <v>0</v>
      </c>
      <c r="AP464" s="593">
        <f t="shared" ca="1" si="711"/>
        <v>0</v>
      </c>
    </row>
    <row r="465" spans="1:42" s="594" customFormat="1" ht="11.25" outlineLevel="1" x14ac:dyDescent="0.2">
      <c r="A465" s="644"/>
      <c r="B465" s="591" t="str">
        <f>IF(D465&lt;&gt;"",
IF(ISERROR(MATCH(D465,'Ist Aktuell Monat 01'!A:A,0))=FALSE,INDEX('Ist Aktuell Monat 01'!B:B,MATCH(D465,'Ist Aktuell Monat 01'!A:A,0)),
IF(ISERROR(MATCH(D465,'Ist Aktuell Monat 02'!A:A,0))=FALSE,INDEX('Ist Aktuell Monat 02'!B:B,MATCH(D465,'Ist Aktuell Monat 02'!A:A,0)),
IF(ISERROR(MATCH(D465,'Ist Aktuell Monat 03'!A:A,0))=FALSE,INDEX('Ist Aktuell Monat 03'!B:B,MATCH(D465,'Ist Aktuell Monat 03'!A:A,0)),
IF(ISERROR(MATCH(D465,'Ist Aktuell Monat 04'!A:A,0))=FALSE,INDEX('Ist Aktuell Monat 04'!B:B,MATCH(D465,'Ist Aktuell Monat 04'!A:A,0)),
IF(ISERROR(MATCH(D465,'Ist Aktuell Monat 05'!A:A,0))=FALSE,INDEX('Ist Aktuell Monat 05'!B:B,MATCH(D465,'Ist Aktuell Monat 05'!A:A,0)),
IF(ISERROR(MATCH(D465,'Ist Aktuell Monat 06'!A:A,0))=FALSE,INDEX('Ist Aktuell Monat 06'!B:B,MATCH(D465,'Ist Aktuell Monat 06'!A:A,0)),
IF(ISERROR(MATCH(D465,'Ist Aktuell Monat 07'!A:A,0))=FALSE,INDEX('Ist Aktuell Monat 07'!B:B,MATCH(D465,'Ist Aktuell Monat 07'!A:A,0)),
IF(ISERROR(MATCH(D465,'Ist Aktuell Monat 08'!A:A,0))=FALSE,INDEX('Ist Aktuell Monat 08'!B:B,MATCH(D465,'Ist Aktuell Monat 08'!A:A,0)),
IF(ISERROR(MATCH(D465,'Ist Aktuell Monat 09'!A:A,0))=FALSE,INDEX('Ist Aktuell Monat 09'!B:B,MATCH(D465,'Ist Aktuell Monat 09'!A:A,0)),
IF(ISERROR(MATCH(D465,'Ist Aktuell Monat 10'!A:A,0))=FALSE,INDEX('Ist Aktuell Monat 10'!B:B,MATCH(D465,'Ist Aktuell Monat 10'!A:A,0)),
IF(ISERROR(MATCH(D465,'Ist Aktuell Monat 11'!A:A,0))=FALSE,INDEX('Ist Aktuell Monat 11'!B:B,MATCH(D465,'Ist Aktuell Monat 11'!A:A,0)),
IF(ISERROR(MATCH(D465,'Ist Aktuell Monat 12'!A:A,0))=FALSE,INDEX('Ist Aktuell Monat 12'!B:B,MATCH(D465,'Ist Aktuell Monat 12'!A:A,0)),
"{Konto unbekannt}"
)))))))))))),"")</f>
        <v/>
      </c>
      <c r="C465" s="1062"/>
      <c r="D465" s="1067"/>
      <c r="E465" s="625">
        <f t="shared" si="602"/>
        <v>1</v>
      </c>
      <c r="F465" s="626"/>
      <c r="G465" s="593">
        <f ca="1">$E465*(-SUMIF(INDIRECT(G$3),'Struktur Aktuell'!$D465,INDIRECT(G$4))+SUMIF(INDIRECT(G$3),'Struktur Aktuell'!$D465,INDIRECT(G$5)))</f>
        <v>0</v>
      </c>
      <c r="H465" s="593">
        <f ca="1">$E465*(-SUMIF(INDIRECT(H$3),'Struktur Aktuell'!$D465,INDIRECT(H$4))+SUMIF(INDIRECT(H$3),'Struktur Aktuell'!$D465,INDIRECT(H$5)))</f>
        <v>0</v>
      </c>
      <c r="I465" s="593">
        <f ca="1">$E465*(-SUMIF(INDIRECT(I$3),'Struktur Aktuell'!$D465,INDIRECT(I$4))+SUMIF(INDIRECT(I$3),'Struktur Aktuell'!$D465,INDIRECT(I$5)))</f>
        <v>0</v>
      </c>
      <c r="J465" s="593">
        <f ca="1">$E465*(-SUMIF(INDIRECT(J$3),'Struktur Aktuell'!$D465,INDIRECT(J$4))+SUMIF(INDIRECT(J$3),'Struktur Aktuell'!$D465,INDIRECT(J$5)))</f>
        <v>0</v>
      </c>
      <c r="K465" s="593">
        <f ca="1">$E465*(-SUMIF(INDIRECT(K$3),'Struktur Aktuell'!$D465,INDIRECT(K$4))+SUMIF(INDIRECT(K$3),'Struktur Aktuell'!$D465,INDIRECT(K$5)))</f>
        <v>0</v>
      </c>
      <c r="L465" s="593">
        <f ca="1">$E465*(-SUMIF(INDIRECT(L$3),'Struktur Aktuell'!$D465,INDIRECT(L$4))+SUMIF(INDIRECT(L$3),'Struktur Aktuell'!$D465,INDIRECT(L$5)))</f>
        <v>0</v>
      </c>
      <c r="M465" s="593">
        <f ca="1">$E465*(-SUMIF(INDIRECT(M$3),'Struktur Aktuell'!$D465,INDIRECT(M$4))+SUMIF(INDIRECT(M$3),'Struktur Aktuell'!$D465,INDIRECT(M$5)))</f>
        <v>0</v>
      </c>
      <c r="N465" s="593">
        <f ca="1">$E465*(-SUMIF(INDIRECT(N$3),'Struktur Aktuell'!$D465,INDIRECT(N$4))+SUMIF(INDIRECT(N$3),'Struktur Aktuell'!$D465,INDIRECT(N$5)))</f>
        <v>0</v>
      </c>
      <c r="O465" s="593">
        <f ca="1">$E465*(-SUMIF(INDIRECT(O$3),'Struktur Aktuell'!$D465,INDIRECT(O$4))+SUMIF(INDIRECT(O$3),'Struktur Aktuell'!$D465,INDIRECT(O$5)))</f>
        <v>0</v>
      </c>
      <c r="P465" s="593">
        <f ca="1">$E465*(-SUMIF(INDIRECT(P$3),'Struktur Aktuell'!$D465,INDIRECT(P$4))+SUMIF(INDIRECT(P$3),'Struktur Aktuell'!$D465,INDIRECT(P$5)))</f>
        <v>0</v>
      </c>
      <c r="Q465" s="593">
        <f ca="1">$E465*(-SUMIF(INDIRECT(Q$3),'Struktur Aktuell'!$D465,INDIRECT(Q$4))+SUMIF(INDIRECT(Q$3),'Struktur Aktuell'!$D465,INDIRECT(Q$5)))</f>
        <v>0</v>
      </c>
      <c r="R465" s="593">
        <f ca="1">$E465*(-SUMIF(INDIRECT(R$3),'Struktur Aktuell'!$D465,INDIRECT(R$4))+SUMIF(INDIRECT(R$3),'Struktur Aktuell'!$D465,INDIRECT(R$5)))</f>
        <v>0</v>
      </c>
      <c r="S465" s="593">
        <f ca="1">$E465*(-SUMIF(INDIRECT(S$3),'Struktur Aktuell'!$D465,INDIRECT(S$4))+SUMIF(INDIRECT(S$3),'Struktur Aktuell'!$D465,INDIRECT(S$5)))</f>
        <v>0</v>
      </c>
      <c r="T465" s="593">
        <f ca="1">$E465*(-SUMIF(INDIRECT(T$3),'Struktur Aktuell'!$D465,INDIRECT(T$4))+SUMIF(INDIRECT(T$3),'Struktur Aktuell'!$D465,INDIRECT(T$5)))</f>
        <v>0</v>
      </c>
      <c r="U465" s="593">
        <f ca="1">$E465*(-SUMIF(INDIRECT(U$3),'Struktur Aktuell'!$D465,INDIRECT(U$4))+SUMIF(INDIRECT(U$3),'Struktur Aktuell'!$D465,INDIRECT(U$5)))</f>
        <v>0</v>
      </c>
      <c r="V465" s="593">
        <f ca="1">$E465*(-SUMIF(INDIRECT(V$3),'Struktur Aktuell'!$D465,INDIRECT(V$4))+SUMIF(INDIRECT(V$3),'Struktur Aktuell'!$D465,INDIRECT(V$5)))</f>
        <v>0</v>
      </c>
      <c r="W465" s="593">
        <f ca="1">$E465*(-SUMIF(INDIRECT(W$3),'Struktur Aktuell'!$D465,INDIRECT(W$4))+SUMIF(INDIRECT(W$3),'Struktur Aktuell'!$D465,INDIRECT(W$5)))</f>
        <v>0</v>
      </c>
      <c r="X465" s="593">
        <f ca="1">$E465*(-SUMIF(INDIRECT(X$3),'Struktur Aktuell'!$D465,INDIRECT(X$4))+SUMIF(INDIRECT(X$3),'Struktur Aktuell'!$D465,INDIRECT(X$5)))</f>
        <v>0</v>
      </c>
      <c r="Y465" s="593">
        <f ca="1">$E465*(-SUMIF(INDIRECT(Y$3),'Struktur Aktuell'!$D465,INDIRECT(Y$4))+SUMIF(INDIRECT(Y$3),'Struktur Aktuell'!$D465,INDIRECT(Y$5)))</f>
        <v>0</v>
      </c>
      <c r="Z465" s="593">
        <f ca="1">$E465*(-SUMIF(INDIRECT(Z$3),'Struktur Aktuell'!$D465,INDIRECT(Z$4))+SUMIF(INDIRECT(Z$3),'Struktur Aktuell'!$D465,INDIRECT(Z$5)))</f>
        <v>0</v>
      </c>
      <c r="AA465" s="593">
        <f ca="1">$E465*(-SUMIF(INDIRECT(AA$3),'Struktur Aktuell'!$D465,INDIRECT(AA$4))+SUMIF(INDIRECT(AA$3),'Struktur Aktuell'!$D465,INDIRECT(AA$5)))</f>
        <v>0</v>
      </c>
      <c r="AB465" s="593">
        <f ca="1">$E465*(-SUMIF(INDIRECT(AB$3),'Struktur Aktuell'!$D465,INDIRECT(AB$4))+SUMIF(INDIRECT(AB$3),'Struktur Aktuell'!$D465,INDIRECT(AB$5)))</f>
        <v>0</v>
      </c>
      <c r="AC465" s="593">
        <f ca="1">$E465*(-SUMIF(INDIRECT(AC$3),'Struktur Aktuell'!$D465,INDIRECT(AC$4))+SUMIF(INDIRECT(AC$3),'Struktur Aktuell'!$D465,INDIRECT(AC$5)))</f>
        <v>0</v>
      </c>
      <c r="AD465" s="593">
        <f ca="1">$E465*(-SUMIF(INDIRECT(AD$3),'Struktur Aktuell'!$D465,INDIRECT(AD$4))+SUMIF(INDIRECT(AD$3),'Struktur Aktuell'!$D465,INDIRECT(AD$5)))</f>
        <v>0</v>
      </c>
      <c r="AE465" s="593">
        <f t="shared" ca="1" si="700"/>
        <v>0</v>
      </c>
      <c r="AF465" s="593">
        <f t="shared" ca="1" si="701"/>
        <v>0</v>
      </c>
      <c r="AG465" s="593">
        <f t="shared" ca="1" si="702"/>
        <v>0</v>
      </c>
      <c r="AH465" s="593">
        <f t="shared" ca="1" si="703"/>
        <v>0</v>
      </c>
      <c r="AI465" s="593">
        <f t="shared" ca="1" si="704"/>
        <v>0</v>
      </c>
      <c r="AJ465" s="593">
        <f t="shared" ca="1" si="705"/>
        <v>0</v>
      </c>
      <c r="AK465" s="593">
        <f t="shared" ca="1" si="706"/>
        <v>0</v>
      </c>
      <c r="AL465" s="593">
        <f t="shared" ca="1" si="707"/>
        <v>0</v>
      </c>
      <c r="AM465" s="593">
        <f t="shared" ca="1" si="708"/>
        <v>0</v>
      </c>
      <c r="AN465" s="593">
        <f t="shared" ca="1" si="709"/>
        <v>0</v>
      </c>
      <c r="AO465" s="593">
        <f t="shared" ca="1" si="710"/>
        <v>0</v>
      </c>
      <c r="AP465" s="593">
        <f t="shared" ca="1" si="711"/>
        <v>0</v>
      </c>
    </row>
    <row r="466" spans="1:42" s="594" customFormat="1" ht="11.25" outlineLevel="1" x14ac:dyDescent="0.2">
      <c r="A466" s="644"/>
      <c r="B466" s="591" t="str">
        <f>IF(D466&lt;&gt;"",
IF(ISERROR(MATCH(D466,'Ist Aktuell Monat 01'!A:A,0))=FALSE,INDEX('Ist Aktuell Monat 01'!B:B,MATCH(D466,'Ist Aktuell Monat 01'!A:A,0)),
IF(ISERROR(MATCH(D466,'Ist Aktuell Monat 02'!A:A,0))=FALSE,INDEX('Ist Aktuell Monat 02'!B:B,MATCH(D466,'Ist Aktuell Monat 02'!A:A,0)),
IF(ISERROR(MATCH(D466,'Ist Aktuell Monat 03'!A:A,0))=FALSE,INDEX('Ist Aktuell Monat 03'!B:B,MATCH(D466,'Ist Aktuell Monat 03'!A:A,0)),
IF(ISERROR(MATCH(D466,'Ist Aktuell Monat 04'!A:A,0))=FALSE,INDEX('Ist Aktuell Monat 04'!B:B,MATCH(D466,'Ist Aktuell Monat 04'!A:A,0)),
IF(ISERROR(MATCH(D466,'Ist Aktuell Monat 05'!A:A,0))=FALSE,INDEX('Ist Aktuell Monat 05'!B:B,MATCH(D466,'Ist Aktuell Monat 05'!A:A,0)),
IF(ISERROR(MATCH(D466,'Ist Aktuell Monat 06'!A:A,0))=FALSE,INDEX('Ist Aktuell Monat 06'!B:B,MATCH(D466,'Ist Aktuell Monat 06'!A:A,0)),
IF(ISERROR(MATCH(D466,'Ist Aktuell Monat 07'!A:A,0))=FALSE,INDEX('Ist Aktuell Monat 07'!B:B,MATCH(D466,'Ist Aktuell Monat 07'!A:A,0)),
IF(ISERROR(MATCH(D466,'Ist Aktuell Monat 08'!A:A,0))=FALSE,INDEX('Ist Aktuell Monat 08'!B:B,MATCH(D466,'Ist Aktuell Monat 08'!A:A,0)),
IF(ISERROR(MATCH(D466,'Ist Aktuell Monat 09'!A:A,0))=FALSE,INDEX('Ist Aktuell Monat 09'!B:B,MATCH(D466,'Ist Aktuell Monat 09'!A:A,0)),
IF(ISERROR(MATCH(D466,'Ist Aktuell Monat 10'!A:A,0))=FALSE,INDEX('Ist Aktuell Monat 10'!B:B,MATCH(D466,'Ist Aktuell Monat 10'!A:A,0)),
IF(ISERROR(MATCH(D466,'Ist Aktuell Monat 11'!A:A,0))=FALSE,INDEX('Ist Aktuell Monat 11'!B:B,MATCH(D466,'Ist Aktuell Monat 11'!A:A,0)),
IF(ISERROR(MATCH(D466,'Ist Aktuell Monat 12'!A:A,0))=FALSE,INDEX('Ist Aktuell Monat 12'!B:B,MATCH(D466,'Ist Aktuell Monat 12'!A:A,0)),
"{Konto unbekannt}"
)))))))))))),"")</f>
        <v/>
      </c>
      <c r="C466" s="1062"/>
      <c r="D466" s="1067"/>
      <c r="E466" s="625">
        <f t="shared" si="602"/>
        <v>1</v>
      </c>
      <c r="F466" s="626"/>
      <c r="G466" s="593">
        <f ca="1">$E466*(-SUMIF(INDIRECT(G$3),'Struktur Aktuell'!$D466,INDIRECT(G$4))+SUMIF(INDIRECT(G$3),'Struktur Aktuell'!$D466,INDIRECT(G$5)))</f>
        <v>0</v>
      </c>
      <c r="H466" s="593">
        <f ca="1">$E466*(-SUMIF(INDIRECT(H$3),'Struktur Aktuell'!$D466,INDIRECT(H$4))+SUMIF(INDIRECT(H$3),'Struktur Aktuell'!$D466,INDIRECT(H$5)))</f>
        <v>0</v>
      </c>
      <c r="I466" s="593">
        <f ca="1">$E466*(-SUMIF(INDIRECT(I$3),'Struktur Aktuell'!$D466,INDIRECT(I$4))+SUMIF(INDIRECT(I$3),'Struktur Aktuell'!$D466,INDIRECT(I$5)))</f>
        <v>0</v>
      </c>
      <c r="J466" s="593">
        <f ca="1">$E466*(-SUMIF(INDIRECT(J$3),'Struktur Aktuell'!$D466,INDIRECT(J$4))+SUMIF(INDIRECT(J$3),'Struktur Aktuell'!$D466,INDIRECT(J$5)))</f>
        <v>0</v>
      </c>
      <c r="K466" s="593">
        <f ca="1">$E466*(-SUMIF(INDIRECT(K$3),'Struktur Aktuell'!$D466,INDIRECT(K$4))+SUMIF(INDIRECT(K$3),'Struktur Aktuell'!$D466,INDIRECT(K$5)))</f>
        <v>0</v>
      </c>
      <c r="L466" s="593">
        <f ca="1">$E466*(-SUMIF(INDIRECT(L$3),'Struktur Aktuell'!$D466,INDIRECT(L$4))+SUMIF(INDIRECT(L$3),'Struktur Aktuell'!$D466,INDIRECT(L$5)))</f>
        <v>0</v>
      </c>
      <c r="M466" s="593">
        <f ca="1">$E466*(-SUMIF(INDIRECT(M$3),'Struktur Aktuell'!$D466,INDIRECT(M$4))+SUMIF(INDIRECT(M$3),'Struktur Aktuell'!$D466,INDIRECT(M$5)))</f>
        <v>0</v>
      </c>
      <c r="N466" s="593">
        <f ca="1">$E466*(-SUMIF(INDIRECT(N$3),'Struktur Aktuell'!$D466,INDIRECT(N$4))+SUMIF(INDIRECT(N$3),'Struktur Aktuell'!$D466,INDIRECT(N$5)))</f>
        <v>0</v>
      </c>
      <c r="O466" s="593">
        <f ca="1">$E466*(-SUMIF(INDIRECT(O$3),'Struktur Aktuell'!$D466,INDIRECT(O$4))+SUMIF(INDIRECT(O$3),'Struktur Aktuell'!$D466,INDIRECT(O$5)))</f>
        <v>0</v>
      </c>
      <c r="P466" s="593">
        <f ca="1">$E466*(-SUMIF(INDIRECT(P$3),'Struktur Aktuell'!$D466,INDIRECT(P$4))+SUMIF(INDIRECT(P$3),'Struktur Aktuell'!$D466,INDIRECT(P$5)))</f>
        <v>0</v>
      </c>
      <c r="Q466" s="593">
        <f ca="1">$E466*(-SUMIF(INDIRECT(Q$3),'Struktur Aktuell'!$D466,INDIRECT(Q$4))+SUMIF(INDIRECT(Q$3),'Struktur Aktuell'!$D466,INDIRECT(Q$5)))</f>
        <v>0</v>
      </c>
      <c r="R466" s="593">
        <f ca="1">$E466*(-SUMIF(INDIRECT(R$3),'Struktur Aktuell'!$D466,INDIRECT(R$4))+SUMIF(INDIRECT(R$3),'Struktur Aktuell'!$D466,INDIRECT(R$5)))</f>
        <v>0</v>
      </c>
      <c r="S466" s="593">
        <f ca="1">$E466*(-SUMIF(INDIRECT(S$3),'Struktur Aktuell'!$D466,INDIRECT(S$4))+SUMIF(INDIRECT(S$3),'Struktur Aktuell'!$D466,INDIRECT(S$5)))</f>
        <v>0</v>
      </c>
      <c r="T466" s="593">
        <f ca="1">$E466*(-SUMIF(INDIRECT(T$3),'Struktur Aktuell'!$D466,INDIRECT(T$4))+SUMIF(INDIRECT(T$3),'Struktur Aktuell'!$D466,INDIRECT(T$5)))</f>
        <v>0</v>
      </c>
      <c r="U466" s="593">
        <f ca="1">$E466*(-SUMIF(INDIRECT(U$3),'Struktur Aktuell'!$D466,INDIRECT(U$4))+SUMIF(INDIRECT(U$3),'Struktur Aktuell'!$D466,INDIRECT(U$5)))</f>
        <v>0</v>
      </c>
      <c r="V466" s="593">
        <f ca="1">$E466*(-SUMIF(INDIRECT(V$3),'Struktur Aktuell'!$D466,INDIRECT(V$4))+SUMIF(INDIRECT(V$3),'Struktur Aktuell'!$D466,INDIRECT(V$5)))</f>
        <v>0</v>
      </c>
      <c r="W466" s="593">
        <f ca="1">$E466*(-SUMIF(INDIRECT(W$3),'Struktur Aktuell'!$D466,INDIRECT(W$4))+SUMIF(INDIRECT(W$3),'Struktur Aktuell'!$D466,INDIRECT(W$5)))</f>
        <v>0</v>
      </c>
      <c r="X466" s="593">
        <f ca="1">$E466*(-SUMIF(INDIRECT(X$3),'Struktur Aktuell'!$D466,INDIRECT(X$4))+SUMIF(INDIRECT(X$3),'Struktur Aktuell'!$D466,INDIRECT(X$5)))</f>
        <v>0</v>
      </c>
      <c r="Y466" s="593">
        <f ca="1">$E466*(-SUMIF(INDIRECT(Y$3),'Struktur Aktuell'!$D466,INDIRECT(Y$4))+SUMIF(INDIRECT(Y$3),'Struktur Aktuell'!$D466,INDIRECT(Y$5)))</f>
        <v>0</v>
      </c>
      <c r="Z466" s="593">
        <f ca="1">$E466*(-SUMIF(INDIRECT(Z$3),'Struktur Aktuell'!$D466,INDIRECT(Z$4))+SUMIF(INDIRECT(Z$3),'Struktur Aktuell'!$D466,INDIRECT(Z$5)))</f>
        <v>0</v>
      </c>
      <c r="AA466" s="593">
        <f ca="1">$E466*(-SUMIF(INDIRECT(AA$3),'Struktur Aktuell'!$D466,INDIRECT(AA$4))+SUMIF(INDIRECT(AA$3),'Struktur Aktuell'!$D466,INDIRECT(AA$5)))</f>
        <v>0</v>
      </c>
      <c r="AB466" s="593">
        <f ca="1">$E466*(-SUMIF(INDIRECT(AB$3),'Struktur Aktuell'!$D466,INDIRECT(AB$4))+SUMIF(INDIRECT(AB$3),'Struktur Aktuell'!$D466,INDIRECT(AB$5)))</f>
        <v>0</v>
      </c>
      <c r="AC466" s="593">
        <f ca="1">$E466*(-SUMIF(INDIRECT(AC$3),'Struktur Aktuell'!$D466,INDIRECT(AC$4))+SUMIF(INDIRECT(AC$3),'Struktur Aktuell'!$D466,INDIRECT(AC$5)))</f>
        <v>0</v>
      </c>
      <c r="AD466" s="593">
        <f ca="1">$E466*(-SUMIF(INDIRECT(AD$3),'Struktur Aktuell'!$D466,INDIRECT(AD$4))+SUMIF(INDIRECT(AD$3),'Struktur Aktuell'!$D466,INDIRECT(AD$5)))</f>
        <v>0</v>
      </c>
      <c r="AE466" s="593">
        <f t="shared" ca="1" si="700"/>
        <v>0</v>
      </c>
      <c r="AF466" s="593">
        <f t="shared" ca="1" si="701"/>
        <v>0</v>
      </c>
      <c r="AG466" s="593">
        <f t="shared" ca="1" si="702"/>
        <v>0</v>
      </c>
      <c r="AH466" s="593">
        <f t="shared" ca="1" si="703"/>
        <v>0</v>
      </c>
      <c r="AI466" s="593">
        <f t="shared" ca="1" si="704"/>
        <v>0</v>
      </c>
      <c r="AJ466" s="593">
        <f t="shared" ca="1" si="705"/>
        <v>0</v>
      </c>
      <c r="AK466" s="593">
        <f t="shared" ca="1" si="706"/>
        <v>0</v>
      </c>
      <c r="AL466" s="593">
        <f t="shared" ca="1" si="707"/>
        <v>0</v>
      </c>
      <c r="AM466" s="593">
        <f t="shared" ca="1" si="708"/>
        <v>0</v>
      </c>
      <c r="AN466" s="593">
        <f t="shared" ca="1" si="709"/>
        <v>0</v>
      </c>
      <c r="AO466" s="593">
        <f t="shared" ca="1" si="710"/>
        <v>0</v>
      </c>
      <c r="AP466" s="593">
        <f t="shared" ca="1" si="711"/>
        <v>0</v>
      </c>
    </row>
    <row r="467" spans="1:42" s="594" customFormat="1" ht="11.25" outlineLevel="1" x14ac:dyDescent="0.2">
      <c r="A467" s="644"/>
      <c r="B467" s="591" t="str">
        <f>IF(D467&lt;&gt;"",
IF(ISERROR(MATCH(D467,'Ist Aktuell Monat 01'!A:A,0))=FALSE,INDEX('Ist Aktuell Monat 01'!B:B,MATCH(D467,'Ist Aktuell Monat 01'!A:A,0)),
IF(ISERROR(MATCH(D467,'Ist Aktuell Monat 02'!A:A,0))=FALSE,INDEX('Ist Aktuell Monat 02'!B:B,MATCH(D467,'Ist Aktuell Monat 02'!A:A,0)),
IF(ISERROR(MATCH(D467,'Ist Aktuell Monat 03'!A:A,0))=FALSE,INDEX('Ist Aktuell Monat 03'!B:B,MATCH(D467,'Ist Aktuell Monat 03'!A:A,0)),
IF(ISERROR(MATCH(D467,'Ist Aktuell Monat 04'!A:A,0))=FALSE,INDEX('Ist Aktuell Monat 04'!B:B,MATCH(D467,'Ist Aktuell Monat 04'!A:A,0)),
IF(ISERROR(MATCH(D467,'Ist Aktuell Monat 05'!A:A,0))=FALSE,INDEX('Ist Aktuell Monat 05'!B:B,MATCH(D467,'Ist Aktuell Monat 05'!A:A,0)),
IF(ISERROR(MATCH(D467,'Ist Aktuell Monat 06'!A:A,0))=FALSE,INDEX('Ist Aktuell Monat 06'!B:B,MATCH(D467,'Ist Aktuell Monat 06'!A:A,0)),
IF(ISERROR(MATCH(D467,'Ist Aktuell Monat 07'!A:A,0))=FALSE,INDEX('Ist Aktuell Monat 07'!B:B,MATCH(D467,'Ist Aktuell Monat 07'!A:A,0)),
IF(ISERROR(MATCH(D467,'Ist Aktuell Monat 08'!A:A,0))=FALSE,INDEX('Ist Aktuell Monat 08'!B:B,MATCH(D467,'Ist Aktuell Monat 08'!A:A,0)),
IF(ISERROR(MATCH(D467,'Ist Aktuell Monat 09'!A:A,0))=FALSE,INDEX('Ist Aktuell Monat 09'!B:B,MATCH(D467,'Ist Aktuell Monat 09'!A:A,0)),
IF(ISERROR(MATCH(D467,'Ist Aktuell Monat 10'!A:A,0))=FALSE,INDEX('Ist Aktuell Monat 10'!B:B,MATCH(D467,'Ist Aktuell Monat 10'!A:A,0)),
IF(ISERROR(MATCH(D467,'Ist Aktuell Monat 11'!A:A,0))=FALSE,INDEX('Ist Aktuell Monat 11'!B:B,MATCH(D467,'Ist Aktuell Monat 11'!A:A,0)),
IF(ISERROR(MATCH(D467,'Ist Aktuell Monat 12'!A:A,0))=FALSE,INDEX('Ist Aktuell Monat 12'!B:B,MATCH(D467,'Ist Aktuell Monat 12'!A:A,0)),
"{Konto unbekannt}"
)))))))))))),"")</f>
        <v/>
      </c>
      <c r="C467" s="1062"/>
      <c r="D467" s="1067"/>
      <c r="E467" s="625">
        <f t="shared" si="602"/>
        <v>1</v>
      </c>
      <c r="F467" s="626"/>
      <c r="G467" s="593">
        <f ca="1">$E467*(-SUMIF(INDIRECT(G$3),'Struktur Aktuell'!$D467,INDIRECT(G$4))+SUMIF(INDIRECT(G$3),'Struktur Aktuell'!$D467,INDIRECT(G$5)))</f>
        <v>0</v>
      </c>
      <c r="H467" s="593">
        <f ca="1">$E467*(-SUMIF(INDIRECT(H$3),'Struktur Aktuell'!$D467,INDIRECT(H$4))+SUMIF(INDIRECT(H$3),'Struktur Aktuell'!$D467,INDIRECT(H$5)))</f>
        <v>0</v>
      </c>
      <c r="I467" s="593">
        <f ca="1">$E467*(-SUMIF(INDIRECT(I$3),'Struktur Aktuell'!$D467,INDIRECT(I$4))+SUMIF(INDIRECT(I$3),'Struktur Aktuell'!$D467,INDIRECT(I$5)))</f>
        <v>0</v>
      </c>
      <c r="J467" s="593">
        <f ca="1">$E467*(-SUMIF(INDIRECT(J$3),'Struktur Aktuell'!$D467,INDIRECT(J$4))+SUMIF(INDIRECT(J$3),'Struktur Aktuell'!$D467,INDIRECT(J$5)))</f>
        <v>0</v>
      </c>
      <c r="K467" s="593">
        <f ca="1">$E467*(-SUMIF(INDIRECT(K$3),'Struktur Aktuell'!$D467,INDIRECT(K$4))+SUMIF(INDIRECT(K$3),'Struktur Aktuell'!$D467,INDIRECT(K$5)))</f>
        <v>0</v>
      </c>
      <c r="L467" s="593">
        <f ca="1">$E467*(-SUMIF(INDIRECT(L$3),'Struktur Aktuell'!$D467,INDIRECT(L$4))+SUMIF(INDIRECT(L$3),'Struktur Aktuell'!$D467,INDIRECT(L$5)))</f>
        <v>0</v>
      </c>
      <c r="M467" s="593">
        <f ca="1">$E467*(-SUMIF(INDIRECT(M$3),'Struktur Aktuell'!$D467,INDIRECT(M$4))+SUMIF(INDIRECT(M$3),'Struktur Aktuell'!$D467,INDIRECT(M$5)))</f>
        <v>0</v>
      </c>
      <c r="N467" s="593">
        <f ca="1">$E467*(-SUMIF(INDIRECT(N$3),'Struktur Aktuell'!$D467,INDIRECT(N$4))+SUMIF(INDIRECT(N$3),'Struktur Aktuell'!$D467,INDIRECT(N$5)))</f>
        <v>0</v>
      </c>
      <c r="O467" s="593">
        <f ca="1">$E467*(-SUMIF(INDIRECT(O$3),'Struktur Aktuell'!$D467,INDIRECT(O$4))+SUMIF(INDIRECT(O$3),'Struktur Aktuell'!$D467,INDIRECT(O$5)))</f>
        <v>0</v>
      </c>
      <c r="P467" s="593">
        <f ca="1">$E467*(-SUMIF(INDIRECT(P$3),'Struktur Aktuell'!$D467,INDIRECT(P$4))+SUMIF(INDIRECT(P$3),'Struktur Aktuell'!$D467,INDIRECT(P$5)))</f>
        <v>0</v>
      </c>
      <c r="Q467" s="593">
        <f ca="1">$E467*(-SUMIF(INDIRECT(Q$3),'Struktur Aktuell'!$D467,INDIRECT(Q$4))+SUMIF(INDIRECT(Q$3),'Struktur Aktuell'!$D467,INDIRECT(Q$5)))</f>
        <v>0</v>
      </c>
      <c r="R467" s="593">
        <f ca="1">$E467*(-SUMIF(INDIRECT(R$3),'Struktur Aktuell'!$D467,INDIRECT(R$4))+SUMIF(INDIRECT(R$3),'Struktur Aktuell'!$D467,INDIRECT(R$5)))</f>
        <v>0</v>
      </c>
      <c r="S467" s="593">
        <f ca="1">$E467*(-SUMIF(INDIRECT(S$3),'Struktur Aktuell'!$D467,INDIRECT(S$4))+SUMIF(INDIRECT(S$3),'Struktur Aktuell'!$D467,INDIRECT(S$5)))</f>
        <v>0</v>
      </c>
      <c r="T467" s="593">
        <f ca="1">$E467*(-SUMIF(INDIRECT(T$3),'Struktur Aktuell'!$D467,INDIRECT(T$4))+SUMIF(INDIRECT(T$3),'Struktur Aktuell'!$D467,INDIRECT(T$5)))</f>
        <v>0</v>
      </c>
      <c r="U467" s="593">
        <f ca="1">$E467*(-SUMIF(INDIRECT(U$3),'Struktur Aktuell'!$D467,INDIRECT(U$4))+SUMIF(INDIRECT(U$3),'Struktur Aktuell'!$D467,INDIRECT(U$5)))</f>
        <v>0</v>
      </c>
      <c r="V467" s="593">
        <f ca="1">$E467*(-SUMIF(INDIRECT(V$3),'Struktur Aktuell'!$D467,INDIRECT(V$4))+SUMIF(INDIRECT(V$3),'Struktur Aktuell'!$D467,INDIRECT(V$5)))</f>
        <v>0</v>
      </c>
      <c r="W467" s="593">
        <f ca="1">$E467*(-SUMIF(INDIRECT(W$3),'Struktur Aktuell'!$D467,INDIRECT(W$4))+SUMIF(INDIRECT(W$3),'Struktur Aktuell'!$D467,INDIRECT(W$5)))</f>
        <v>0</v>
      </c>
      <c r="X467" s="593">
        <f ca="1">$E467*(-SUMIF(INDIRECT(X$3),'Struktur Aktuell'!$D467,INDIRECT(X$4))+SUMIF(INDIRECT(X$3),'Struktur Aktuell'!$D467,INDIRECT(X$5)))</f>
        <v>0</v>
      </c>
      <c r="Y467" s="593">
        <f ca="1">$E467*(-SUMIF(INDIRECT(Y$3),'Struktur Aktuell'!$D467,INDIRECT(Y$4))+SUMIF(INDIRECT(Y$3),'Struktur Aktuell'!$D467,INDIRECT(Y$5)))</f>
        <v>0</v>
      </c>
      <c r="Z467" s="593">
        <f ca="1">$E467*(-SUMIF(INDIRECT(Z$3),'Struktur Aktuell'!$D467,INDIRECT(Z$4))+SUMIF(INDIRECT(Z$3),'Struktur Aktuell'!$D467,INDIRECT(Z$5)))</f>
        <v>0</v>
      </c>
      <c r="AA467" s="593">
        <f ca="1">$E467*(-SUMIF(INDIRECT(AA$3),'Struktur Aktuell'!$D467,INDIRECT(AA$4))+SUMIF(INDIRECT(AA$3),'Struktur Aktuell'!$D467,INDIRECT(AA$5)))</f>
        <v>0</v>
      </c>
      <c r="AB467" s="593">
        <f ca="1">$E467*(-SUMIF(INDIRECT(AB$3),'Struktur Aktuell'!$D467,INDIRECT(AB$4))+SUMIF(INDIRECT(AB$3),'Struktur Aktuell'!$D467,INDIRECT(AB$5)))</f>
        <v>0</v>
      </c>
      <c r="AC467" s="593">
        <f ca="1">$E467*(-SUMIF(INDIRECT(AC$3),'Struktur Aktuell'!$D467,INDIRECT(AC$4))+SUMIF(INDIRECT(AC$3),'Struktur Aktuell'!$D467,INDIRECT(AC$5)))</f>
        <v>0</v>
      </c>
      <c r="AD467" s="593">
        <f ca="1">$E467*(-SUMIF(INDIRECT(AD$3),'Struktur Aktuell'!$D467,INDIRECT(AD$4))+SUMIF(INDIRECT(AD$3),'Struktur Aktuell'!$D467,INDIRECT(AD$5)))</f>
        <v>0</v>
      </c>
      <c r="AE467" s="593">
        <f t="shared" ca="1" si="700"/>
        <v>0</v>
      </c>
      <c r="AF467" s="593">
        <f t="shared" ca="1" si="701"/>
        <v>0</v>
      </c>
      <c r="AG467" s="593">
        <f t="shared" ca="1" si="702"/>
        <v>0</v>
      </c>
      <c r="AH467" s="593">
        <f t="shared" ca="1" si="703"/>
        <v>0</v>
      </c>
      <c r="AI467" s="593">
        <f t="shared" ca="1" si="704"/>
        <v>0</v>
      </c>
      <c r="AJ467" s="593">
        <f t="shared" ca="1" si="705"/>
        <v>0</v>
      </c>
      <c r="AK467" s="593">
        <f t="shared" ca="1" si="706"/>
        <v>0</v>
      </c>
      <c r="AL467" s="593">
        <f t="shared" ca="1" si="707"/>
        <v>0</v>
      </c>
      <c r="AM467" s="593">
        <f t="shared" ca="1" si="708"/>
        <v>0</v>
      </c>
      <c r="AN467" s="593">
        <f t="shared" ca="1" si="709"/>
        <v>0</v>
      </c>
      <c r="AO467" s="593">
        <f t="shared" ca="1" si="710"/>
        <v>0</v>
      </c>
      <c r="AP467" s="593">
        <f t="shared" ca="1" si="711"/>
        <v>0</v>
      </c>
    </row>
    <row r="468" spans="1:42" s="594" customFormat="1" ht="11.25" outlineLevel="1" x14ac:dyDescent="0.2">
      <c r="A468" s="644"/>
      <c r="B468" s="591" t="str">
        <f>IF(D468&lt;&gt;"",
IF(ISERROR(MATCH(D468,'Ist Aktuell Monat 01'!A:A,0))=FALSE,INDEX('Ist Aktuell Monat 01'!B:B,MATCH(D468,'Ist Aktuell Monat 01'!A:A,0)),
IF(ISERROR(MATCH(D468,'Ist Aktuell Monat 02'!A:A,0))=FALSE,INDEX('Ist Aktuell Monat 02'!B:B,MATCH(D468,'Ist Aktuell Monat 02'!A:A,0)),
IF(ISERROR(MATCH(D468,'Ist Aktuell Monat 03'!A:A,0))=FALSE,INDEX('Ist Aktuell Monat 03'!B:B,MATCH(D468,'Ist Aktuell Monat 03'!A:A,0)),
IF(ISERROR(MATCH(D468,'Ist Aktuell Monat 04'!A:A,0))=FALSE,INDEX('Ist Aktuell Monat 04'!B:B,MATCH(D468,'Ist Aktuell Monat 04'!A:A,0)),
IF(ISERROR(MATCH(D468,'Ist Aktuell Monat 05'!A:A,0))=FALSE,INDEX('Ist Aktuell Monat 05'!B:B,MATCH(D468,'Ist Aktuell Monat 05'!A:A,0)),
IF(ISERROR(MATCH(D468,'Ist Aktuell Monat 06'!A:A,0))=FALSE,INDEX('Ist Aktuell Monat 06'!B:B,MATCH(D468,'Ist Aktuell Monat 06'!A:A,0)),
IF(ISERROR(MATCH(D468,'Ist Aktuell Monat 07'!A:A,0))=FALSE,INDEX('Ist Aktuell Monat 07'!B:B,MATCH(D468,'Ist Aktuell Monat 07'!A:A,0)),
IF(ISERROR(MATCH(D468,'Ist Aktuell Monat 08'!A:A,0))=FALSE,INDEX('Ist Aktuell Monat 08'!B:B,MATCH(D468,'Ist Aktuell Monat 08'!A:A,0)),
IF(ISERROR(MATCH(D468,'Ist Aktuell Monat 09'!A:A,0))=FALSE,INDEX('Ist Aktuell Monat 09'!B:B,MATCH(D468,'Ist Aktuell Monat 09'!A:A,0)),
IF(ISERROR(MATCH(D468,'Ist Aktuell Monat 10'!A:A,0))=FALSE,INDEX('Ist Aktuell Monat 10'!B:B,MATCH(D468,'Ist Aktuell Monat 10'!A:A,0)),
IF(ISERROR(MATCH(D468,'Ist Aktuell Monat 11'!A:A,0))=FALSE,INDEX('Ist Aktuell Monat 11'!B:B,MATCH(D468,'Ist Aktuell Monat 11'!A:A,0)),
IF(ISERROR(MATCH(D468,'Ist Aktuell Monat 12'!A:A,0))=FALSE,INDEX('Ist Aktuell Monat 12'!B:B,MATCH(D468,'Ist Aktuell Monat 12'!A:A,0)),
"{Konto unbekannt}"
)))))))))))),"")</f>
        <v/>
      </c>
      <c r="C468" s="1062"/>
      <c r="D468" s="1067"/>
      <c r="E468" s="625">
        <f t="shared" si="602"/>
        <v>1</v>
      </c>
      <c r="F468" s="626"/>
      <c r="G468" s="593">
        <f ca="1">$E468*(-SUMIF(INDIRECT(G$3),'Struktur Aktuell'!$D468,INDIRECT(G$4))+SUMIF(INDIRECT(G$3),'Struktur Aktuell'!$D468,INDIRECT(G$5)))</f>
        <v>0</v>
      </c>
      <c r="H468" s="593">
        <f ca="1">$E468*(-SUMIF(INDIRECT(H$3),'Struktur Aktuell'!$D468,INDIRECT(H$4))+SUMIF(INDIRECT(H$3),'Struktur Aktuell'!$D468,INDIRECT(H$5)))</f>
        <v>0</v>
      </c>
      <c r="I468" s="593">
        <f ca="1">$E468*(-SUMIF(INDIRECT(I$3),'Struktur Aktuell'!$D468,INDIRECT(I$4))+SUMIF(INDIRECT(I$3),'Struktur Aktuell'!$D468,INDIRECT(I$5)))</f>
        <v>0</v>
      </c>
      <c r="J468" s="593">
        <f ca="1">$E468*(-SUMIF(INDIRECT(J$3),'Struktur Aktuell'!$D468,INDIRECT(J$4))+SUMIF(INDIRECT(J$3),'Struktur Aktuell'!$D468,INDIRECT(J$5)))</f>
        <v>0</v>
      </c>
      <c r="K468" s="593">
        <f ca="1">$E468*(-SUMIF(INDIRECT(K$3),'Struktur Aktuell'!$D468,INDIRECT(K$4))+SUMIF(INDIRECT(K$3),'Struktur Aktuell'!$D468,INDIRECT(K$5)))</f>
        <v>0</v>
      </c>
      <c r="L468" s="593">
        <f ca="1">$E468*(-SUMIF(INDIRECT(L$3),'Struktur Aktuell'!$D468,INDIRECT(L$4))+SUMIF(INDIRECT(L$3),'Struktur Aktuell'!$D468,INDIRECT(L$5)))</f>
        <v>0</v>
      </c>
      <c r="M468" s="593">
        <f ca="1">$E468*(-SUMIF(INDIRECT(M$3),'Struktur Aktuell'!$D468,INDIRECT(M$4))+SUMIF(INDIRECT(M$3),'Struktur Aktuell'!$D468,INDIRECT(M$5)))</f>
        <v>0</v>
      </c>
      <c r="N468" s="593">
        <f ca="1">$E468*(-SUMIF(INDIRECT(N$3),'Struktur Aktuell'!$D468,INDIRECT(N$4))+SUMIF(INDIRECT(N$3),'Struktur Aktuell'!$D468,INDIRECT(N$5)))</f>
        <v>0</v>
      </c>
      <c r="O468" s="593">
        <f ca="1">$E468*(-SUMIF(INDIRECT(O$3),'Struktur Aktuell'!$D468,INDIRECT(O$4))+SUMIF(INDIRECT(O$3),'Struktur Aktuell'!$D468,INDIRECT(O$5)))</f>
        <v>0</v>
      </c>
      <c r="P468" s="593">
        <f ca="1">$E468*(-SUMIF(INDIRECT(P$3),'Struktur Aktuell'!$D468,INDIRECT(P$4))+SUMIF(INDIRECT(P$3),'Struktur Aktuell'!$D468,INDIRECT(P$5)))</f>
        <v>0</v>
      </c>
      <c r="Q468" s="593">
        <f ca="1">$E468*(-SUMIF(INDIRECT(Q$3),'Struktur Aktuell'!$D468,INDIRECT(Q$4))+SUMIF(INDIRECT(Q$3),'Struktur Aktuell'!$D468,INDIRECT(Q$5)))</f>
        <v>0</v>
      </c>
      <c r="R468" s="593">
        <f ca="1">$E468*(-SUMIF(INDIRECT(R$3),'Struktur Aktuell'!$D468,INDIRECT(R$4))+SUMIF(INDIRECT(R$3),'Struktur Aktuell'!$D468,INDIRECT(R$5)))</f>
        <v>0</v>
      </c>
      <c r="S468" s="593">
        <f ca="1">$E468*(-SUMIF(INDIRECT(S$3),'Struktur Aktuell'!$D468,INDIRECT(S$4))+SUMIF(INDIRECT(S$3),'Struktur Aktuell'!$D468,INDIRECT(S$5)))</f>
        <v>0</v>
      </c>
      <c r="T468" s="593">
        <f ca="1">$E468*(-SUMIF(INDIRECT(T$3),'Struktur Aktuell'!$D468,INDIRECT(T$4))+SUMIF(INDIRECT(T$3),'Struktur Aktuell'!$D468,INDIRECT(T$5)))</f>
        <v>0</v>
      </c>
      <c r="U468" s="593">
        <f ca="1">$E468*(-SUMIF(INDIRECT(U$3),'Struktur Aktuell'!$D468,INDIRECT(U$4))+SUMIF(INDIRECT(U$3),'Struktur Aktuell'!$D468,INDIRECT(U$5)))</f>
        <v>0</v>
      </c>
      <c r="V468" s="593">
        <f ca="1">$E468*(-SUMIF(INDIRECT(V$3),'Struktur Aktuell'!$D468,INDIRECT(V$4))+SUMIF(INDIRECT(V$3),'Struktur Aktuell'!$D468,INDIRECT(V$5)))</f>
        <v>0</v>
      </c>
      <c r="W468" s="593">
        <f ca="1">$E468*(-SUMIF(INDIRECT(W$3),'Struktur Aktuell'!$D468,INDIRECT(W$4))+SUMIF(INDIRECT(W$3),'Struktur Aktuell'!$D468,INDIRECT(W$5)))</f>
        <v>0</v>
      </c>
      <c r="X468" s="593">
        <f ca="1">$E468*(-SUMIF(INDIRECT(X$3),'Struktur Aktuell'!$D468,INDIRECT(X$4))+SUMIF(INDIRECT(X$3),'Struktur Aktuell'!$D468,INDIRECT(X$5)))</f>
        <v>0</v>
      </c>
      <c r="Y468" s="593">
        <f ca="1">$E468*(-SUMIF(INDIRECT(Y$3),'Struktur Aktuell'!$D468,INDIRECT(Y$4))+SUMIF(INDIRECT(Y$3),'Struktur Aktuell'!$D468,INDIRECT(Y$5)))</f>
        <v>0</v>
      </c>
      <c r="Z468" s="593">
        <f ca="1">$E468*(-SUMIF(INDIRECT(Z$3),'Struktur Aktuell'!$D468,INDIRECT(Z$4))+SUMIF(INDIRECT(Z$3),'Struktur Aktuell'!$D468,INDIRECT(Z$5)))</f>
        <v>0</v>
      </c>
      <c r="AA468" s="593">
        <f ca="1">$E468*(-SUMIF(INDIRECT(AA$3),'Struktur Aktuell'!$D468,INDIRECT(AA$4))+SUMIF(INDIRECT(AA$3),'Struktur Aktuell'!$D468,INDIRECT(AA$5)))</f>
        <v>0</v>
      </c>
      <c r="AB468" s="593">
        <f ca="1">$E468*(-SUMIF(INDIRECT(AB$3),'Struktur Aktuell'!$D468,INDIRECT(AB$4))+SUMIF(INDIRECT(AB$3),'Struktur Aktuell'!$D468,INDIRECT(AB$5)))</f>
        <v>0</v>
      </c>
      <c r="AC468" s="593">
        <f ca="1">$E468*(-SUMIF(INDIRECT(AC$3),'Struktur Aktuell'!$D468,INDIRECT(AC$4))+SUMIF(INDIRECT(AC$3),'Struktur Aktuell'!$D468,INDIRECT(AC$5)))</f>
        <v>0</v>
      </c>
      <c r="AD468" s="593">
        <f ca="1">$E468*(-SUMIF(INDIRECT(AD$3),'Struktur Aktuell'!$D468,INDIRECT(AD$4))+SUMIF(INDIRECT(AD$3),'Struktur Aktuell'!$D468,INDIRECT(AD$5)))</f>
        <v>0</v>
      </c>
      <c r="AE468" s="593">
        <f t="shared" ca="1" si="700"/>
        <v>0</v>
      </c>
      <c r="AF468" s="593">
        <f t="shared" ca="1" si="701"/>
        <v>0</v>
      </c>
      <c r="AG468" s="593">
        <f t="shared" ca="1" si="702"/>
        <v>0</v>
      </c>
      <c r="AH468" s="593">
        <f t="shared" ca="1" si="703"/>
        <v>0</v>
      </c>
      <c r="AI468" s="593">
        <f t="shared" ca="1" si="704"/>
        <v>0</v>
      </c>
      <c r="AJ468" s="593">
        <f t="shared" ca="1" si="705"/>
        <v>0</v>
      </c>
      <c r="AK468" s="593">
        <f t="shared" ca="1" si="706"/>
        <v>0</v>
      </c>
      <c r="AL468" s="593">
        <f t="shared" ca="1" si="707"/>
        <v>0</v>
      </c>
      <c r="AM468" s="593">
        <f t="shared" ca="1" si="708"/>
        <v>0</v>
      </c>
      <c r="AN468" s="593">
        <f t="shared" ca="1" si="709"/>
        <v>0</v>
      </c>
      <c r="AO468" s="593">
        <f t="shared" ca="1" si="710"/>
        <v>0</v>
      </c>
      <c r="AP468" s="593">
        <f t="shared" ca="1" si="711"/>
        <v>0</v>
      </c>
    </row>
    <row r="469" spans="1:42" s="589" customFormat="1" outlineLevel="1" x14ac:dyDescent="0.2">
      <c r="A469" s="629">
        <v>42</v>
      </c>
      <c r="B469" s="623" t="s">
        <v>278</v>
      </c>
      <c r="C469" s="627"/>
      <c r="D469" s="627"/>
      <c r="E469" s="628">
        <f t="shared" si="602"/>
        <v>1</v>
      </c>
      <c r="F469" s="629"/>
      <c r="G469" s="627">
        <f ca="1">SUM(G470:G475)</f>
        <v>0</v>
      </c>
      <c r="H469" s="627">
        <f t="shared" ref="H469:R469" ca="1" si="712">SUM(H470:H475)</f>
        <v>0</v>
      </c>
      <c r="I469" s="627">
        <f t="shared" ca="1" si="712"/>
        <v>0</v>
      </c>
      <c r="J469" s="627">
        <f t="shared" ca="1" si="712"/>
        <v>0</v>
      </c>
      <c r="K469" s="627">
        <f t="shared" ca="1" si="712"/>
        <v>0</v>
      </c>
      <c r="L469" s="627">
        <f t="shared" ca="1" si="712"/>
        <v>0</v>
      </c>
      <c r="M469" s="627">
        <f t="shared" ca="1" si="712"/>
        <v>0</v>
      </c>
      <c r="N469" s="627">
        <f t="shared" ca="1" si="712"/>
        <v>0</v>
      </c>
      <c r="O469" s="627">
        <f t="shared" ca="1" si="712"/>
        <v>0</v>
      </c>
      <c r="P469" s="627">
        <f t="shared" ca="1" si="712"/>
        <v>0</v>
      </c>
      <c r="Q469" s="627">
        <f t="shared" ca="1" si="712"/>
        <v>0</v>
      </c>
      <c r="R469" s="627">
        <f t="shared" ca="1" si="712"/>
        <v>0</v>
      </c>
      <c r="S469" s="627">
        <f ca="1">SUM(S470:S475)</f>
        <v>0</v>
      </c>
      <c r="T469" s="627">
        <f t="shared" ref="T469:AD469" ca="1" si="713">SUM(T470:T475)</f>
        <v>0</v>
      </c>
      <c r="U469" s="627">
        <f t="shared" ca="1" si="713"/>
        <v>0</v>
      </c>
      <c r="V469" s="627">
        <f t="shared" ca="1" si="713"/>
        <v>0</v>
      </c>
      <c r="W469" s="627">
        <f t="shared" ca="1" si="713"/>
        <v>0</v>
      </c>
      <c r="X469" s="627">
        <f t="shared" ca="1" si="713"/>
        <v>0</v>
      </c>
      <c r="Y469" s="627">
        <f t="shared" ca="1" si="713"/>
        <v>0</v>
      </c>
      <c r="Z469" s="627">
        <f t="shared" ca="1" si="713"/>
        <v>0</v>
      </c>
      <c r="AA469" s="627">
        <f t="shared" ca="1" si="713"/>
        <v>0</v>
      </c>
      <c r="AB469" s="627">
        <f t="shared" ca="1" si="713"/>
        <v>0</v>
      </c>
      <c r="AC469" s="627">
        <f t="shared" ca="1" si="713"/>
        <v>0</v>
      </c>
      <c r="AD469" s="627">
        <f t="shared" ca="1" si="713"/>
        <v>0</v>
      </c>
      <c r="AE469" s="627">
        <f ca="1">SUM(AE470:AE475)</f>
        <v>0</v>
      </c>
      <c r="AF469" s="627">
        <f t="shared" ref="AF469:AP469" ca="1" si="714">SUM(AF470:AF475)</f>
        <v>0</v>
      </c>
      <c r="AG469" s="627">
        <f t="shared" ca="1" si="714"/>
        <v>0</v>
      </c>
      <c r="AH469" s="627">
        <f t="shared" ca="1" si="714"/>
        <v>0</v>
      </c>
      <c r="AI469" s="627">
        <f t="shared" ca="1" si="714"/>
        <v>0</v>
      </c>
      <c r="AJ469" s="627">
        <f t="shared" ca="1" si="714"/>
        <v>0</v>
      </c>
      <c r="AK469" s="627">
        <f t="shared" ca="1" si="714"/>
        <v>0</v>
      </c>
      <c r="AL469" s="627">
        <f t="shared" ca="1" si="714"/>
        <v>0</v>
      </c>
      <c r="AM469" s="627">
        <f t="shared" ca="1" si="714"/>
        <v>0</v>
      </c>
      <c r="AN469" s="627">
        <f t="shared" ca="1" si="714"/>
        <v>0</v>
      </c>
      <c r="AO469" s="627">
        <f t="shared" ca="1" si="714"/>
        <v>0</v>
      </c>
      <c r="AP469" s="627">
        <f t="shared" ca="1" si="714"/>
        <v>0</v>
      </c>
    </row>
    <row r="470" spans="1:42" s="594" customFormat="1" ht="11.25" outlineLevel="1" x14ac:dyDescent="0.2">
      <c r="A470" s="644"/>
      <c r="B470" s="591" t="str">
        <f>IF(D470&lt;&gt;"",
IF(ISERROR(MATCH(D470,'Ist Aktuell Monat 01'!A:A,0))=FALSE,INDEX('Ist Aktuell Monat 01'!B:B,MATCH(D470,'Ist Aktuell Monat 01'!A:A,0)),
IF(ISERROR(MATCH(D470,'Ist Aktuell Monat 02'!A:A,0))=FALSE,INDEX('Ist Aktuell Monat 02'!B:B,MATCH(D470,'Ist Aktuell Monat 02'!A:A,0)),
IF(ISERROR(MATCH(D470,'Ist Aktuell Monat 03'!A:A,0))=FALSE,INDEX('Ist Aktuell Monat 03'!B:B,MATCH(D470,'Ist Aktuell Monat 03'!A:A,0)),
IF(ISERROR(MATCH(D470,'Ist Aktuell Monat 04'!A:A,0))=FALSE,INDEX('Ist Aktuell Monat 04'!B:B,MATCH(D470,'Ist Aktuell Monat 04'!A:A,0)),
IF(ISERROR(MATCH(D470,'Ist Aktuell Monat 05'!A:A,0))=FALSE,INDEX('Ist Aktuell Monat 05'!B:B,MATCH(D470,'Ist Aktuell Monat 05'!A:A,0)),
IF(ISERROR(MATCH(D470,'Ist Aktuell Monat 06'!A:A,0))=FALSE,INDEX('Ist Aktuell Monat 06'!B:B,MATCH(D470,'Ist Aktuell Monat 06'!A:A,0)),
IF(ISERROR(MATCH(D470,'Ist Aktuell Monat 07'!A:A,0))=FALSE,INDEX('Ist Aktuell Monat 07'!B:B,MATCH(D470,'Ist Aktuell Monat 07'!A:A,0)),
IF(ISERROR(MATCH(D470,'Ist Aktuell Monat 08'!A:A,0))=FALSE,INDEX('Ist Aktuell Monat 08'!B:B,MATCH(D470,'Ist Aktuell Monat 08'!A:A,0)),
IF(ISERROR(MATCH(D470,'Ist Aktuell Monat 09'!A:A,0))=FALSE,INDEX('Ist Aktuell Monat 09'!B:B,MATCH(D470,'Ist Aktuell Monat 09'!A:A,0)),
IF(ISERROR(MATCH(D470,'Ist Aktuell Monat 10'!A:A,0))=FALSE,INDEX('Ist Aktuell Monat 10'!B:B,MATCH(D470,'Ist Aktuell Monat 10'!A:A,0)),
IF(ISERROR(MATCH(D470,'Ist Aktuell Monat 11'!A:A,0))=FALSE,INDEX('Ist Aktuell Monat 11'!B:B,MATCH(D470,'Ist Aktuell Monat 11'!A:A,0)),
IF(ISERROR(MATCH(D470,'Ist Aktuell Monat 12'!A:A,0))=FALSE,INDEX('Ist Aktuell Monat 12'!B:B,MATCH(D470,'Ist Aktuell Monat 12'!A:A,0)),
"{Konto unbekannt}"
)))))))))))),"")</f>
        <v/>
      </c>
      <c r="C470" s="1062"/>
      <c r="D470" s="1067"/>
      <c r="E470" s="625">
        <f>IF(F470="-",-1,1)</f>
        <v>-1</v>
      </c>
      <c r="F470" s="626" t="s">
        <v>996</v>
      </c>
      <c r="G470" s="593">
        <f ca="1">$E470*(-SUMIF(INDIRECT(G$3),'Struktur Aktuell'!$D470,INDIRECT(G$4))+SUMIF(INDIRECT(G$3),'Struktur Aktuell'!$D470,INDIRECT(G$5)))</f>
        <v>0</v>
      </c>
      <c r="H470" s="593">
        <f ca="1">$E470*(-SUMIF(INDIRECT(H$3),'Struktur Aktuell'!$D470,INDIRECT(H$4))+SUMIF(INDIRECT(H$3),'Struktur Aktuell'!$D470,INDIRECT(H$5)))</f>
        <v>0</v>
      </c>
      <c r="I470" s="593">
        <f ca="1">$E470*(-SUMIF(INDIRECT(I$3),'Struktur Aktuell'!$D470,INDIRECT(I$4))+SUMIF(INDIRECT(I$3),'Struktur Aktuell'!$D470,INDIRECT(I$5)))</f>
        <v>0</v>
      </c>
      <c r="J470" s="593">
        <f ca="1">$E470*(-SUMIF(INDIRECT(J$3),'Struktur Aktuell'!$D470,INDIRECT(J$4))+SUMIF(INDIRECT(J$3),'Struktur Aktuell'!$D470,INDIRECT(J$5)))</f>
        <v>0</v>
      </c>
      <c r="K470" s="593">
        <f ca="1">$E470*(-SUMIF(INDIRECT(K$3),'Struktur Aktuell'!$D470,INDIRECT(K$4))+SUMIF(INDIRECT(K$3),'Struktur Aktuell'!$D470,INDIRECT(K$5)))</f>
        <v>0</v>
      </c>
      <c r="L470" s="593">
        <f ca="1">$E470*(-SUMIF(INDIRECT(L$3),'Struktur Aktuell'!$D470,INDIRECT(L$4))+SUMIF(INDIRECT(L$3),'Struktur Aktuell'!$D470,INDIRECT(L$5)))</f>
        <v>0</v>
      </c>
      <c r="M470" s="593">
        <f ca="1">$E470*(-SUMIF(INDIRECT(M$3),'Struktur Aktuell'!$D470,INDIRECT(M$4))+SUMIF(INDIRECT(M$3),'Struktur Aktuell'!$D470,INDIRECT(M$5)))</f>
        <v>0</v>
      </c>
      <c r="N470" s="593">
        <f ca="1">$E470*(-SUMIF(INDIRECT(N$3),'Struktur Aktuell'!$D470,INDIRECT(N$4))+SUMIF(INDIRECT(N$3),'Struktur Aktuell'!$D470,INDIRECT(N$5)))</f>
        <v>0</v>
      </c>
      <c r="O470" s="593">
        <f ca="1">$E470*(-SUMIF(INDIRECT(O$3),'Struktur Aktuell'!$D470,INDIRECT(O$4))+SUMIF(INDIRECT(O$3),'Struktur Aktuell'!$D470,INDIRECT(O$5)))</f>
        <v>0</v>
      </c>
      <c r="P470" s="593">
        <f ca="1">$E470*(-SUMIF(INDIRECT(P$3),'Struktur Aktuell'!$D470,INDIRECT(P$4))+SUMIF(INDIRECT(P$3),'Struktur Aktuell'!$D470,INDIRECT(P$5)))</f>
        <v>0</v>
      </c>
      <c r="Q470" s="593">
        <f ca="1">$E470*(-SUMIF(INDIRECT(Q$3),'Struktur Aktuell'!$D470,INDIRECT(Q$4))+SUMIF(INDIRECT(Q$3),'Struktur Aktuell'!$D470,INDIRECT(Q$5)))</f>
        <v>0</v>
      </c>
      <c r="R470" s="593">
        <f ca="1">$E470*(-SUMIF(INDIRECT(R$3),'Struktur Aktuell'!$D470,INDIRECT(R$4))+SUMIF(INDIRECT(R$3),'Struktur Aktuell'!$D470,INDIRECT(R$5)))</f>
        <v>0</v>
      </c>
      <c r="S470" s="593">
        <f ca="1">$E470*(-SUMIF(INDIRECT(S$3),'Struktur Aktuell'!$D470,INDIRECT(S$4))+SUMIF(INDIRECT(S$3),'Struktur Aktuell'!$D470,INDIRECT(S$5)))</f>
        <v>0</v>
      </c>
      <c r="T470" s="593">
        <f ca="1">$E470*(-SUMIF(INDIRECT(T$3),'Struktur Aktuell'!$D470,INDIRECT(T$4))+SUMIF(INDIRECT(T$3),'Struktur Aktuell'!$D470,INDIRECT(T$5)))</f>
        <v>0</v>
      </c>
      <c r="U470" s="593">
        <f ca="1">$E470*(-SUMIF(INDIRECT(U$3),'Struktur Aktuell'!$D470,INDIRECT(U$4))+SUMIF(INDIRECT(U$3),'Struktur Aktuell'!$D470,INDIRECT(U$5)))</f>
        <v>0</v>
      </c>
      <c r="V470" s="593">
        <f ca="1">$E470*(-SUMIF(INDIRECT(V$3),'Struktur Aktuell'!$D470,INDIRECT(V$4))+SUMIF(INDIRECT(V$3),'Struktur Aktuell'!$D470,INDIRECT(V$5)))</f>
        <v>0</v>
      </c>
      <c r="W470" s="593">
        <f ca="1">$E470*(-SUMIF(INDIRECT(W$3),'Struktur Aktuell'!$D470,INDIRECT(W$4))+SUMIF(INDIRECT(W$3),'Struktur Aktuell'!$D470,INDIRECT(W$5)))</f>
        <v>0</v>
      </c>
      <c r="X470" s="593">
        <f ca="1">$E470*(-SUMIF(INDIRECT(X$3),'Struktur Aktuell'!$D470,INDIRECT(X$4))+SUMIF(INDIRECT(X$3),'Struktur Aktuell'!$D470,INDIRECT(X$5)))</f>
        <v>0</v>
      </c>
      <c r="Y470" s="593">
        <f ca="1">$E470*(-SUMIF(INDIRECT(Y$3),'Struktur Aktuell'!$D470,INDIRECT(Y$4))+SUMIF(INDIRECT(Y$3),'Struktur Aktuell'!$D470,INDIRECT(Y$5)))</f>
        <v>0</v>
      </c>
      <c r="Z470" s="593">
        <f ca="1">$E470*(-SUMIF(INDIRECT(Z$3),'Struktur Aktuell'!$D470,INDIRECT(Z$4))+SUMIF(INDIRECT(Z$3),'Struktur Aktuell'!$D470,INDIRECT(Z$5)))</f>
        <v>0</v>
      </c>
      <c r="AA470" s="593">
        <f ca="1">$E470*(-SUMIF(INDIRECT(AA$3),'Struktur Aktuell'!$D470,INDIRECT(AA$4))+SUMIF(INDIRECT(AA$3),'Struktur Aktuell'!$D470,INDIRECT(AA$5)))</f>
        <v>0</v>
      </c>
      <c r="AB470" s="593">
        <f ca="1">$E470*(-SUMIF(INDIRECT(AB$3),'Struktur Aktuell'!$D470,INDIRECT(AB$4))+SUMIF(INDIRECT(AB$3),'Struktur Aktuell'!$D470,INDIRECT(AB$5)))</f>
        <v>0</v>
      </c>
      <c r="AC470" s="593">
        <f ca="1">$E470*(-SUMIF(INDIRECT(AC$3),'Struktur Aktuell'!$D470,INDIRECT(AC$4))+SUMIF(INDIRECT(AC$3),'Struktur Aktuell'!$D470,INDIRECT(AC$5)))</f>
        <v>0</v>
      </c>
      <c r="AD470" s="593">
        <f ca="1">$E470*(-SUMIF(INDIRECT(AD$3),'Struktur Aktuell'!$D470,INDIRECT(AD$4))+SUMIF(INDIRECT(AD$3),'Struktur Aktuell'!$D470,INDIRECT(AD$5)))</f>
        <v>0</v>
      </c>
      <c r="AE470" s="593">
        <f t="shared" ref="AE470:AE475" ca="1" si="715">G470</f>
        <v>0</v>
      </c>
      <c r="AF470" s="593">
        <f t="shared" ref="AF470:AF475" ca="1" si="716">H470+AE470</f>
        <v>0</v>
      </c>
      <c r="AG470" s="593">
        <f t="shared" ref="AG470:AG475" ca="1" si="717">I470+AF470</f>
        <v>0</v>
      </c>
      <c r="AH470" s="593">
        <f t="shared" ref="AH470:AH475" ca="1" si="718">J470+AG470</f>
        <v>0</v>
      </c>
      <c r="AI470" s="593">
        <f t="shared" ref="AI470:AI475" ca="1" si="719">K470+AH470</f>
        <v>0</v>
      </c>
      <c r="AJ470" s="593">
        <f t="shared" ref="AJ470:AJ475" ca="1" si="720">L470+AI470</f>
        <v>0</v>
      </c>
      <c r="AK470" s="593">
        <f t="shared" ref="AK470:AK475" ca="1" si="721">M470+AJ470</f>
        <v>0</v>
      </c>
      <c r="AL470" s="593">
        <f t="shared" ref="AL470:AL475" ca="1" si="722">N470+AK470</f>
        <v>0</v>
      </c>
      <c r="AM470" s="593">
        <f t="shared" ref="AM470:AM475" ca="1" si="723">O470+AL470</f>
        <v>0</v>
      </c>
      <c r="AN470" s="593">
        <f t="shared" ref="AN470:AN475" ca="1" si="724">P470+AM470</f>
        <v>0</v>
      </c>
      <c r="AO470" s="593">
        <f t="shared" ref="AO470:AO475" ca="1" si="725">Q470+AN470</f>
        <v>0</v>
      </c>
      <c r="AP470" s="593">
        <f t="shared" ref="AP470:AP475" ca="1" si="726">R470+AO470</f>
        <v>0</v>
      </c>
    </row>
    <row r="471" spans="1:42" s="594" customFormat="1" ht="11.25" outlineLevel="1" x14ac:dyDescent="0.2">
      <c r="A471" s="644"/>
      <c r="B471" s="591" t="str">
        <f>IF(D471&lt;&gt;"",
IF(ISERROR(MATCH(D471,'Ist Aktuell Monat 01'!A:A,0))=FALSE,INDEX('Ist Aktuell Monat 01'!B:B,MATCH(D471,'Ist Aktuell Monat 01'!A:A,0)),
IF(ISERROR(MATCH(D471,'Ist Aktuell Monat 02'!A:A,0))=FALSE,INDEX('Ist Aktuell Monat 02'!B:B,MATCH(D471,'Ist Aktuell Monat 02'!A:A,0)),
IF(ISERROR(MATCH(D471,'Ist Aktuell Monat 03'!A:A,0))=FALSE,INDEX('Ist Aktuell Monat 03'!B:B,MATCH(D471,'Ist Aktuell Monat 03'!A:A,0)),
IF(ISERROR(MATCH(D471,'Ist Aktuell Monat 04'!A:A,0))=FALSE,INDEX('Ist Aktuell Monat 04'!B:B,MATCH(D471,'Ist Aktuell Monat 04'!A:A,0)),
IF(ISERROR(MATCH(D471,'Ist Aktuell Monat 05'!A:A,0))=FALSE,INDEX('Ist Aktuell Monat 05'!B:B,MATCH(D471,'Ist Aktuell Monat 05'!A:A,0)),
IF(ISERROR(MATCH(D471,'Ist Aktuell Monat 06'!A:A,0))=FALSE,INDEX('Ist Aktuell Monat 06'!B:B,MATCH(D471,'Ist Aktuell Monat 06'!A:A,0)),
IF(ISERROR(MATCH(D471,'Ist Aktuell Monat 07'!A:A,0))=FALSE,INDEX('Ist Aktuell Monat 07'!B:B,MATCH(D471,'Ist Aktuell Monat 07'!A:A,0)),
IF(ISERROR(MATCH(D471,'Ist Aktuell Monat 08'!A:A,0))=FALSE,INDEX('Ist Aktuell Monat 08'!B:B,MATCH(D471,'Ist Aktuell Monat 08'!A:A,0)),
IF(ISERROR(MATCH(D471,'Ist Aktuell Monat 09'!A:A,0))=FALSE,INDEX('Ist Aktuell Monat 09'!B:B,MATCH(D471,'Ist Aktuell Monat 09'!A:A,0)),
IF(ISERROR(MATCH(D471,'Ist Aktuell Monat 10'!A:A,0))=FALSE,INDEX('Ist Aktuell Monat 10'!B:B,MATCH(D471,'Ist Aktuell Monat 10'!A:A,0)),
IF(ISERROR(MATCH(D471,'Ist Aktuell Monat 11'!A:A,0))=FALSE,INDEX('Ist Aktuell Monat 11'!B:B,MATCH(D471,'Ist Aktuell Monat 11'!A:A,0)),
IF(ISERROR(MATCH(D471,'Ist Aktuell Monat 12'!A:A,0))=FALSE,INDEX('Ist Aktuell Monat 12'!B:B,MATCH(D471,'Ist Aktuell Monat 12'!A:A,0)),
"{Konto unbekannt}"
)))))))))))),"")</f>
        <v/>
      </c>
      <c r="C471" s="1062"/>
      <c r="D471" s="1067"/>
      <c r="E471" s="625">
        <f t="shared" ref="E471:E608" si="727">IF(F471="-",-1,1)</f>
        <v>-1</v>
      </c>
      <c r="F471" s="626" t="s">
        <v>996</v>
      </c>
      <c r="G471" s="593">
        <f ca="1">$E471*(-SUMIF(INDIRECT(G$3),'Struktur Aktuell'!$D471,INDIRECT(G$4))+SUMIF(INDIRECT(G$3),'Struktur Aktuell'!$D471,INDIRECT(G$5)))</f>
        <v>0</v>
      </c>
      <c r="H471" s="593">
        <f ca="1">$E471*(-SUMIF(INDIRECT(H$3),'Struktur Aktuell'!$D471,INDIRECT(H$4))+SUMIF(INDIRECT(H$3),'Struktur Aktuell'!$D471,INDIRECT(H$5)))</f>
        <v>0</v>
      </c>
      <c r="I471" s="593">
        <f ca="1">$E471*(-SUMIF(INDIRECT(I$3),'Struktur Aktuell'!$D471,INDIRECT(I$4))+SUMIF(INDIRECT(I$3),'Struktur Aktuell'!$D471,INDIRECT(I$5)))</f>
        <v>0</v>
      </c>
      <c r="J471" s="593">
        <f ca="1">$E471*(-SUMIF(INDIRECT(J$3),'Struktur Aktuell'!$D471,INDIRECT(J$4))+SUMIF(INDIRECT(J$3),'Struktur Aktuell'!$D471,INDIRECT(J$5)))</f>
        <v>0</v>
      </c>
      <c r="K471" s="593">
        <f ca="1">$E471*(-SUMIF(INDIRECT(K$3),'Struktur Aktuell'!$D471,INDIRECT(K$4))+SUMIF(INDIRECT(K$3),'Struktur Aktuell'!$D471,INDIRECT(K$5)))</f>
        <v>0</v>
      </c>
      <c r="L471" s="593">
        <f ca="1">$E471*(-SUMIF(INDIRECT(L$3),'Struktur Aktuell'!$D471,INDIRECT(L$4))+SUMIF(INDIRECT(L$3),'Struktur Aktuell'!$D471,INDIRECT(L$5)))</f>
        <v>0</v>
      </c>
      <c r="M471" s="593">
        <f ca="1">$E471*(-SUMIF(INDIRECT(M$3),'Struktur Aktuell'!$D471,INDIRECT(M$4))+SUMIF(INDIRECT(M$3),'Struktur Aktuell'!$D471,INDIRECT(M$5)))</f>
        <v>0</v>
      </c>
      <c r="N471" s="593">
        <f ca="1">$E471*(-SUMIF(INDIRECT(N$3),'Struktur Aktuell'!$D471,INDIRECT(N$4))+SUMIF(INDIRECT(N$3),'Struktur Aktuell'!$D471,INDIRECT(N$5)))</f>
        <v>0</v>
      </c>
      <c r="O471" s="593">
        <f ca="1">$E471*(-SUMIF(INDIRECT(O$3),'Struktur Aktuell'!$D471,INDIRECT(O$4))+SUMIF(INDIRECT(O$3),'Struktur Aktuell'!$D471,INDIRECT(O$5)))</f>
        <v>0</v>
      </c>
      <c r="P471" s="593">
        <f ca="1">$E471*(-SUMIF(INDIRECT(P$3),'Struktur Aktuell'!$D471,INDIRECT(P$4))+SUMIF(INDIRECT(P$3),'Struktur Aktuell'!$D471,INDIRECT(P$5)))</f>
        <v>0</v>
      </c>
      <c r="Q471" s="593">
        <f ca="1">$E471*(-SUMIF(INDIRECT(Q$3),'Struktur Aktuell'!$D471,INDIRECT(Q$4))+SUMIF(INDIRECT(Q$3),'Struktur Aktuell'!$D471,INDIRECT(Q$5)))</f>
        <v>0</v>
      </c>
      <c r="R471" s="593">
        <f ca="1">$E471*(-SUMIF(INDIRECT(R$3),'Struktur Aktuell'!$D471,INDIRECT(R$4))+SUMIF(INDIRECT(R$3),'Struktur Aktuell'!$D471,INDIRECT(R$5)))</f>
        <v>0</v>
      </c>
      <c r="S471" s="593">
        <f ca="1">$E471*(-SUMIF(INDIRECT(S$3),'Struktur Aktuell'!$D471,INDIRECT(S$4))+SUMIF(INDIRECT(S$3),'Struktur Aktuell'!$D471,INDIRECT(S$5)))</f>
        <v>0</v>
      </c>
      <c r="T471" s="593">
        <f ca="1">$E471*(-SUMIF(INDIRECT(T$3),'Struktur Aktuell'!$D471,INDIRECT(T$4))+SUMIF(INDIRECT(T$3),'Struktur Aktuell'!$D471,INDIRECT(T$5)))</f>
        <v>0</v>
      </c>
      <c r="U471" s="593">
        <f ca="1">$E471*(-SUMIF(INDIRECT(U$3),'Struktur Aktuell'!$D471,INDIRECT(U$4))+SUMIF(INDIRECT(U$3),'Struktur Aktuell'!$D471,INDIRECT(U$5)))</f>
        <v>0</v>
      </c>
      <c r="V471" s="593">
        <f ca="1">$E471*(-SUMIF(INDIRECT(V$3),'Struktur Aktuell'!$D471,INDIRECT(V$4))+SUMIF(INDIRECT(V$3),'Struktur Aktuell'!$D471,INDIRECT(V$5)))</f>
        <v>0</v>
      </c>
      <c r="W471" s="593">
        <f ca="1">$E471*(-SUMIF(INDIRECT(W$3),'Struktur Aktuell'!$D471,INDIRECT(W$4))+SUMIF(INDIRECT(W$3),'Struktur Aktuell'!$D471,INDIRECT(W$5)))</f>
        <v>0</v>
      </c>
      <c r="X471" s="593">
        <f ca="1">$E471*(-SUMIF(INDIRECT(X$3),'Struktur Aktuell'!$D471,INDIRECT(X$4))+SUMIF(INDIRECT(X$3),'Struktur Aktuell'!$D471,INDIRECT(X$5)))</f>
        <v>0</v>
      </c>
      <c r="Y471" s="593">
        <f ca="1">$E471*(-SUMIF(INDIRECT(Y$3),'Struktur Aktuell'!$D471,INDIRECT(Y$4))+SUMIF(INDIRECT(Y$3),'Struktur Aktuell'!$D471,INDIRECT(Y$5)))</f>
        <v>0</v>
      </c>
      <c r="Z471" s="593">
        <f ca="1">$E471*(-SUMIF(INDIRECT(Z$3),'Struktur Aktuell'!$D471,INDIRECT(Z$4))+SUMIF(INDIRECT(Z$3),'Struktur Aktuell'!$D471,INDIRECT(Z$5)))</f>
        <v>0</v>
      </c>
      <c r="AA471" s="593">
        <f ca="1">$E471*(-SUMIF(INDIRECT(AA$3),'Struktur Aktuell'!$D471,INDIRECT(AA$4))+SUMIF(INDIRECT(AA$3),'Struktur Aktuell'!$D471,INDIRECT(AA$5)))</f>
        <v>0</v>
      </c>
      <c r="AB471" s="593">
        <f ca="1">$E471*(-SUMIF(INDIRECT(AB$3),'Struktur Aktuell'!$D471,INDIRECT(AB$4))+SUMIF(INDIRECT(AB$3),'Struktur Aktuell'!$D471,INDIRECT(AB$5)))</f>
        <v>0</v>
      </c>
      <c r="AC471" s="593">
        <f ca="1">$E471*(-SUMIF(INDIRECT(AC$3),'Struktur Aktuell'!$D471,INDIRECT(AC$4))+SUMIF(INDIRECT(AC$3),'Struktur Aktuell'!$D471,INDIRECT(AC$5)))</f>
        <v>0</v>
      </c>
      <c r="AD471" s="593">
        <f ca="1">$E471*(-SUMIF(INDIRECT(AD$3),'Struktur Aktuell'!$D471,INDIRECT(AD$4))+SUMIF(INDIRECT(AD$3),'Struktur Aktuell'!$D471,INDIRECT(AD$5)))</f>
        <v>0</v>
      </c>
      <c r="AE471" s="593">
        <f t="shared" ca="1" si="715"/>
        <v>0</v>
      </c>
      <c r="AF471" s="593">
        <f t="shared" ca="1" si="716"/>
        <v>0</v>
      </c>
      <c r="AG471" s="593">
        <f t="shared" ca="1" si="717"/>
        <v>0</v>
      </c>
      <c r="AH471" s="593">
        <f t="shared" ca="1" si="718"/>
        <v>0</v>
      </c>
      <c r="AI471" s="593">
        <f t="shared" ca="1" si="719"/>
        <v>0</v>
      </c>
      <c r="AJ471" s="593">
        <f t="shared" ca="1" si="720"/>
        <v>0</v>
      </c>
      <c r="AK471" s="593">
        <f t="shared" ca="1" si="721"/>
        <v>0</v>
      </c>
      <c r="AL471" s="593">
        <f t="shared" ca="1" si="722"/>
        <v>0</v>
      </c>
      <c r="AM471" s="593">
        <f t="shared" ca="1" si="723"/>
        <v>0</v>
      </c>
      <c r="AN471" s="593">
        <f t="shared" ca="1" si="724"/>
        <v>0</v>
      </c>
      <c r="AO471" s="593">
        <f t="shared" ca="1" si="725"/>
        <v>0</v>
      </c>
      <c r="AP471" s="593">
        <f t="shared" ca="1" si="726"/>
        <v>0</v>
      </c>
    </row>
    <row r="472" spans="1:42" s="594" customFormat="1" ht="11.25" outlineLevel="1" x14ac:dyDescent="0.2">
      <c r="A472" s="644"/>
      <c r="B472" s="591" t="str">
        <f>IF(D472&lt;&gt;"",
IF(ISERROR(MATCH(D472,'Ist Aktuell Monat 01'!A:A,0))=FALSE,INDEX('Ist Aktuell Monat 01'!B:B,MATCH(D472,'Ist Aktuell Monat 01'!A:A,0)),
IF(ISERROR(MATCH(D472,'Ist Aktuell Monat 02'!A:A,0))=FALSE,INDEX('Ist Aktuell Monat 02'!B:B,MATCH(D472,'Ist Aktuell Monat 02'!A:A,0)),
IF(ISERROR(MATCH(D472,'Ist Aktuell Monat 03'!A:A,0))=FALSE,INDEX('Ist Aktuell Monat 03'!B:B,MATCH(D472,'Ist Aktuell Monat 03'!A:A,0)),
IF(ISERROR(MATCH(D472,'Ist Aktuell Monat 04'!A:A,0))=FALSE,INDEX('Ist Aktuell Monat 04'!B:B,MATCH(D472,'Ist Aktuell Monat 04'!A:A,0)),
IF(ISERROR(MATCH(D472,'Ist Aktuell Monat 05'!A:A,0))=FALSE,INDEX('Ist Aktuell Monat 05'!B:B,MATCH(D472,'Ist Aktuell Monat 05'!A:A,0)),
IF(ISERROR(MATCH(D472,'Ist Aktuell Monat 06'!A:A,0))=FALSE,INDEX('Ist Aktuell Monat 06'!B:B,MATCH(D472,'Ist Aktuell Monat 06'!A:A,0)),
IF(ISERROR(MATCH(D472,'Ist Aktuell Monat 07'!A:A,0))=FALSE,INDEX('Ist Aktuell Monat 07'!B:B,MATCH(D472,'Ist Aktuell Monat 07'!A:A,0)),
IF(ISERROR(MATCH(D472,'Ist Aktuell Monat 08'!A:A,0))=FALSE,INDEX('Ist Aktuell Monat 08'!B:B,MATCH(D472,'Ist Aktuell Monat 08'!A:A,0)),
IF(ISERROR(MATCH(D472,'Ist Aktuell Monat 09'!A:A,0))=FALSE,INDEX('Ist Aktuell Monat 09'!B:B,MATCH(D472,'Ist Aktuell Monat 09'!A:A,0)),
IF(ISERROR(MATCH(D472,'Ist Aktuell Monat 10'!A:A,0))=FALSE,INDEX('Ist Aktuell Monat 10'!B:B,MATCH(D472,'Ist Aktuell Monat 10'!A:A,0)),
IF(ISERROR(MATCH(D472,'Ist Aktuell Monat 11'!A:A,0))=FALSE,INDEX('Ist Aktuell Monat 11'!B:B,MATCH(D472,'Ist Aktuell Monat 11'!A:A,0)),
IF(ISERROR(MATCH(D472,'Ist Aktuell Monat 12'!A:A,0))=FALSE,INDEX('Ist Aktuell Monat 12'!B:B,MATCH(D472,'Ist Aktuell Monat 12'!A:A,0)),
"{Konto unbekannt}"
)))))))))))),"")</f>
        <v/>
      </c>
      <c r="C472" s="1062"/>
      <c r="D472" s="1067"/>
      <c r="E472" s="625">
        <f t="shared" si="727"/>
        <v>-1</v>
      </c>
      <c r="F472" s="626" t="s">
        <v>996</v>
      </c>
      <c r="G472" s="593">
        <f ca="1">$E472*(-SUMIF(INDIRECT(G$3),'Struktur Aktuell'!$D472,INDIRECT(G$4))+SUMIF(INDIRECT(G$3),'Struktur Aktuell'!$D472,INDIRECT(G$5)))</f>
        <v>0</v>
      </c>
      <c r="H472" s="593">
        <f ca="1">$E472*(-SUMIF(INDIRECT(H$3),'Struktur Aktuell'!$D472,INDIRECT(H$4))+SUMIF(INDIRECT(H$3),'Struktur Aktuell'!$D472,INDIRECT(H$5)))</f>
        <v>0</v>
      </c>
      <c r="I472" s="593">
        <f ca="1">$E472*(-SUMIF(INDIRECT(I$3),'Struktur Aktuell'!$D472,INDIRECT(I$4))+SUMIF(INDIRECT(I$3),'Struktur Aktuell'!$D472,INDIRECT(I$5)))</f>
        <v>0</v>
      </c>
      <c r="J472" s="593">
        <f ca="1">$E472*(-SUMIF(INDIRECT(J$3),'Struktur Aktuell'!$D472,INDIRECT(J$4))+SUMIF(INDIRECT(J$3),'Struktur Aktuell'!$D472,INDIRECT(J$5)))</f>
        <v>0</v>
      </c>
      <c r="K472" s="593">
        <f ca="1">$E472*(-SUMIF(INDIRECT(K$3),'Struktur Aktuell'!$D472,INDIRECT(K$4))+SUMIF(INDIRECT(K$3),'Struktur Aktuell'!$D472,INDIRECT(K$5)))</f>
        <v>0</v>
      </c>
      <c r="L472" s="593">
        <f ca="1">$E472*(-SUMIF(INDIRECT(L$3),'Struktur Aktuell'!$D472,INDIRECT(L$4))+SUMIF(INDIRECT(L$3),'Struktur Aktuell'!$D472,INDIRECT(L$5)))</f>
        <v>0</v>
      </c>
      <c r="M472" s="593">
        <f ca="1">$E472*(-SUMIF(INDIRECT(M$3),'Struktur Aktuell'!$D472,INDIRECT(M$4))+SUMIF(INDIRECT(M$3),'Struktur Aktuell'!$D472,INDIRECT(M$5)))</f>
        <v>0</v>
      </c>
      <c r="N472" s="593">
        <f ca="1">$E472*(-SUMIF(INDIRECT(N$3),'Struktur Aktuell'!$D472,INDIRECT(N$4))+SUMIF(INDIRECT(N$3),'Struktur Aktuell'!$D472,INDIRECT(N$5)))</f>
        <v>0</v>
      </c>
      <c r="O472" s="593">
        <f ca="1">$E472*(-SUMIF(INDIRECT(O$3),'Struktur Aktuell'!$D472,INDIRECT(O$4))+SUMIF(INDIRECT(O$3),'Struktur Aktuell'!$D472,INDIRECT(O$5)))</f>
        <v>0</v>
      </c>
      <c r="P472" s="593">
        <f ca="1">$E472*(-SUMIF(INDIRECT(P$3),'Struktur Aktuell'!$D472,INDIRECT(P$4))+SUMIF(INDIRECT(P$3),'Struktur Aktuell'!$D472,INDIRECT(P$5)))</f>
        <v>0</v>
      </c>
      <c r="Q472" s="593">
        <f ca="1">$E472*(-SUMIF(INDIRECT(Q$3),'Struktur Aktuell'!$D472,INDIRECT(Q$4))+SUMIF(INDIRECT(Q$3),'Struktur Aktuell'!$D472,INDIRECT(Q$5)))</f>
        <v>0</v>
      </c>
      <c r="R472" s="593">
        <f ca="1">$E472*(-SUMIF(INDIRECT(R$3),'Struktur Aktuell'!$D472,INDIRECT(R$4))+SUMIF(INDIRECT(R$3),'Struktur Aktuell'!$D472,INDIRECT(R$5)))</f>
        <v>0</v>
      </c>
      <c r="S472" s="593">
        <f ca="1">$E472*(-SUMIF(INDIRECT(S$3),'Struktur Aktuell'!$D472,INDIRECT(S$4))+SUMIF(INDIRECT(S$3),'Struktur Aktuell'!$D472,INDIRECT(S$5)))</f>
        <v>0</v>
      </c>
      <c r="T472" s="593">
        <f ca="1">$E472*(-SUMIF(INDIRECT(T$3),'Struktur Aktuell'!$D472,INDIRECT(T$4))+SUMIF(INDIRECT(T$3),'Struktur Aktuell'!$D472,INDIRECT(T$5)))</f>
        <v>0</v>
      </c>
      <c r="U472" s="593">
        <f ca="1">$E472*(-SUMIF(INDIRECT(U$3),'Struktur Aktuell'!$D472,INDIRECT(U$4))+SUMIF(INDIRECT(U$3),'Struktur Aktuell'!$D472,INDIRECT(U$5)))</f>
        <v>0</v>
      </c>
      <c r="V472" s="593">
        <f ca="1">$E472*(-SUMIF(INDIRECT(V$3),'Struktur Aktuell'!$D472,INDIRECT(V$4))+SUMIF(INDIRECT(V$3),'Struktur Aktuell'!$D472,INDIRECT(V$5)))</f>
        <v>0</v>
      </c>
      <c r="W472" s="593">
        <f ca="1">$E472*(-SUMIF(INDIRECT(W$3),'Struktur Aktuell'!$D472,INDIRECT(W$4))+SUMIF(INDIRECT(W$3),'Struktur Aktuell'!$D472,INDIRECT(W$5)))</f>
        <v>0</v>
      </c>
      <c r="X472" s="593">
        <f ca="1">$E472*(-SUMIF(INDIRECT(X$3),'Struktur Aktuell'!$D472,INDIRECT(X$4))+SUMIF(INDIRECT(X$3),'Struktur Aktuell'!$D472,INDIRECT(X$5)))</f>
        <v>0</v>
      </c>
      <c r="Y472" s="593">
        <f ca="1">$E472*(-SUMIF(INDIRECT(Y$3),'Struktur Aktuell'!$D472,INDIRECT(Y$4))+SUMIF(INDIRECT(Y$3),'Struktur Aktuell'!$D472,INDIRECT(Y$5)))</f>
        <v>0</v>
      </c>
      <c r="Z472" s="593">
        <f ca="1">$E472*(-SUMIF(INDIRECT(Z$3),'Struktur Aktuell'!$D472,INDIRECT(Z$4))+SUMIF(INDIRECT(Z$3),'Struktur Aktuell'!$D472,INDIRECT(Z$5)))</f>
        <v>0</v>
      </c>
      <c r="AA472" s="593">
        <f ca="1">$E472*(-SUMIF(INDIRECT(AA$3),'Struktur Aktuell'!$D472,INDIRECT(AA$4))+SUMIF(INDIRECT(AA$3),'Struktur Aktuell'!$D472,INDIRECT(AA$5)))</f>
        <v>0</v>
      </c>
      <c r="AB472" s="593">
        <f ca="1">$E472*(-SUMIF(INDIRECT(AB$3),'Struktur Aktuell'!$D472,INDIRECT(AB$4))+SUMIF(INDIRECT(AB$3),'Struktur Aktuell'!$D472,INDIRECT(AB$5)))</f>
        <v>0</v>
      </c>
      <c r="AC472" s="593">
        <f ca="1">$E472*(-SUMIF(INDIRECT(AC$3),'Struktur Aktuell'!$D472,INDIRECT(AC$4))+SUMIF(INDIRECT(AC$3),'Struktur Aktuell'!$D472,INDIRECT(AC$5)))</f>
        <v>0</v>
      </c>
      <c r="AD472" s="593">
        <f ca="1">$E472*(-SUMIF(INDIRECT(AD$3),'Struktur Aktuell'!$D472,INDIRECT(AD$4))+SUMIF(INDIRECT(AD$3),'Struktur Aktuell'!$D472,INDIRECT(AD$5)))</f>
        <v>0</v>
      </c>
      <c r="AE472" s="593">
        <f t="shared" ca="1" si="715"/>
        <v>0</v>
      </c>
      <c r="AF472" s="593">
        <f t="shared" ca="1" si="716"/>
        <v>0</v>
      </c>
      <c r="AG472" s="593">
        <f t="shared" ca="1" si="717"/>
        <v>0</v>
      </c>
      <c r="AH472" s="593">
        <f t="shared" ca="1" si="718"/>
        <v>0</v>
      </c>
      <c r="AI472" s="593">
        <f t="shared" ca="1" si="719"/>
        <v>0</v>
      </c>
      <c r="AJ472" s="593">
        <f t="shared" ca="1" si="720"/>
        <v>0</v>
      </c>
      <c r="AK472" s="593">
        <f t="shared" ca="1" si="721"/>
        <v>0</v>
      </c>
      <c r="AL472" s="593">
        <f t="shared" ca="1" si="722"/>
        <v>0</v>
      </c>
      <c r="AM472" s="593">
        <f t="shared" ca="1" si="723"/>
        <v>0</v>
      </c>
      <c r="AN472" s="593">
        <f t="shared" ca="1" si="724"/>
        <v>0</v>
      </c>
      <c r="AO472" s="593">
        <f t="shared" ca="1" si="725"/>
        <v>0</v>
      </c>
      <c r="AP472" s="593">
        <f t="shared" ca="1" si="726"/>
        <v>0</v>
      </c>
    </row>
    <row r="473" spans="1:42" s="594" customFormat="1" ht="11.25" outlineLevel="1" x14ac:dyDescent="0.2">
      <c r="A473" s="644"/>
      <c r="B473" s="591" t="str">
        <f>IF(D473&lt;&gt;"",
IF(ISERROR(MATCH(D473,'Ist Aktuell Monat 01'!A:A,0))=FALSE,INDEX('Ist Aktuell Monat 01'!B:B,MATCH(D473,'Ist Aktuell Monat 01'!A:A,0)),
IF(ISERROR(MATCH(D473,'Ist Aktuell Monat 02'!A:A,0))=FALSE,INDEX('Ist Aktuell Monat 02'!B:B,MATCH(D473,'Ist Aktuell Monat 02'!A:A,0)),
IF(ISERROR(MATCH(D473,'Ist Aktuell Monat 03'!A:A,0))=FALSE,INDEX('Ist Aktuell Monat 03'!B:B,MATCH(D473,'Ist Aktuell Monat 03'!A:A,0)),
IF(ISERROR(MATCH(D473,'Ist Aktuell Monat 04'!A:A,0))=FALSE,INDEX('Ist Aktuell Monat 04'!B:B,MATCH(D473,'Ist Aktuell Monat 04'!A:A,0)),
IF(ISERROR(MATCH(D473,'Ist Aktuell Monat 05'!A:A,0))=FALSE,INDEX('Ist Aktuell Monat 05'!B:B,MATCH(D473,'Ist Aktuell Monat 05'!A:A,0)),
IF(ISERROR(MATCH(D473,'Ist Aktuell Monat 06'!A:A,0))=FALSE,INDEX('Ist Aktuell Monat 06'!B:B,MATCH(D473,'Ist Aktuell Monat 06'!A:A,0)),
IF(ISERROR(MATCH(D473,'Ist Aktuell Monat 07'!A:A,0))=FALSE,INDEX('Ist Aktuell Monat 07'!B:B,MATCH(D473,'Ist Aktuell Monat 07'!A:A,0)),
IF(ISERROR(MATCH(D473,'Ist Aktuell Monat 08'!A:A,0))=FALSE,INDEX('Ist Aktuell Monat 08'!B:B,MATCH(D473,'Ist Aktuell Monat 08'!A:A,0)),
IF(ISERROR(MATCH(D473,'Ist Aktuell Monat 09'!A:A,0))=FALSE,INDEX('Ist Aktuell Monat 09'!B:B,MATCH(D473,'Ist Aktuell Monat 09'!A:A,0)),
IF(ISERROR(MATCH(D473,'Ist Aktuell Monat 10'!A:A,0))=FALSE,INDEX('Ist Aktuell Monat 10'!B:B,MATCH(D473,'Ist Aktuell Monat 10'!A:A,0)),
IF(ISERROR(MATCH(D473,'Ist Aktuell Monat 11'!A:A,0))=FALSE,INDEX('Ist Aktuell Monat 11'!B:B,MATCH(D473,'Ist Aktuell Monat 11'!A:A,0)),
IF(ISERROR(MATCH(D473,'Ist Aktuell Monat 12'!A:A,0))=FALSE,INDEX('Ist Aktuell Monat 12'!B:B,MATCH(D473,'Ist Aktuell Monat 12'!A:A,0)),
"{Konto unbekannt}"
)))))))))))),"")</f>
        <v/>
      </c>
      <c r="C473" s="1062"/>
      <c r="D473" s="1067"/>
      <c r="E473" s="625">
        <f t="shared" si="727"/>
        <v>-1</v>
      </c>
      <c r="F473" s="626" t="s">
        <v>996</v>
      </c>
      <c r="G473" s="593">
        <f ca="1">$E473*(-SUMIF(INDIRECT(G$3),'Struktur Aktuell'!$D473,INDIRECT(G$4))+SUMIF(INDIRECT(G$3),'Struktur Aktuell'!$D473,INDIRECT(G$5)))</f>
        <v>0</v>
      </c>
      <c r="H473" s="593">
        <f ca="1">$E473*(-SUMIF(INDIRECT(H$3),'Struktur Aktuell'!$D473,INDIRECT(H$4))+SUMIF(INDIRECT(H$3),'Struktur Aktuell'!$D473,INDIRECT(H$5)))</f>
        <v>0</v>
      </c>
      <c r="I473" s="593">
        <f ca="1">$E473*(-SUMIF(INDIRECT(I$3),'Struktur Aktuell'!$D473,INDIRECT(I$4))+SUMIF(INDIRECT(I$3),'Struktur Aktuell'!$D473,INDIRECT(I$5)))</f>
        <v>0</v>
      </c>
      <c r="J473" s="593">
        <f ca="1">$E473*(-SUMIF(INDIRECT(J$3),'Struktur Aktuell'!$D473,INDIRECT(J$4))+SUMIF(INDIRECT(J$3),'Struktur Aktuell'!$D473,INDIRECT(J$5)))</f>
        <v>0</v>
      </c>
      <c r="K473" s="593">
        <f ca="1">$E473*(-SUMIF(INDIRECT(K$3),'Struktur Aktuell'!$D473,INDIRECT(K$4))+SUMIF(INDIRECT(K$3),'Struktur Aktuell'!$D473,INDIRECT(K$5)))</f>
        <v>0</v>
      </c>
      <c r="L473" s="593">
        <f ca="1">$E473*(-SUMIF(INDIRECT(L$3),'Struktur Aktuell'!$D473,INDIRECT(L$4))+SUMIF(INDIRECT(L$3),'Struktur Aktuell'!$D473,INDIRECT(L$5)))</f>
        <v>0</v>
      </c>
      <c r="M473" s="593">
        <f ca="1">$E473*(-SUMIF(INDIRECT(M$3),'Struktur Aktuell'!$D473,INDIRECT(M$4))+SUMIF(INDIRECT(M$3),'Struktur Aktuell'!$D473,INDIRECT(M$5)))</f>
        <v>0</v>
      </c>
      <c r="N473" s="593">
        <f ca="1">$E473*(-SUMIF(INDIRECT(N$3),'Struktur Aktuell'!$D473,INDIRECT(N$4))+SUMIF(INDIRECT(N$3),'Struktur Aktuell'!$D473,INDIRECT(N$5)))</f>
        <v>0</v>
      </c>
      <c r="O473" s="593">
        <f ca="1">$E473*(-SUMIF(INDIRECT(O$3),'Struktur Aktuell'!$D473,INDIRECT(O$4))+SUMIF(INDIRECT(O$3),'Struktur Aktuell'!$D473,INDIRECT(O$5)))</f>
        <v>0</v>
      </c>
      <c r="P473" s="593">
        <f ca="1">$E473*(-SUMIF(INDIRECT(P$3),'Struktur Aktuell'!$D473,INDIRECT(P$4))+SUMIF(INDIRECT(P$3),'Struktur Aktuell'!$D473,INDIRECT(P$5)))</f>
        <v>0</v>
      </c>
      <c r="Q473" s="593">
        <f ca="1">$E473*(-SUMIF(INDIRECT(Q$3),'Struktur Aktuell'!$D473,INDIRECT(Q$4))+SUMIF(INDIRECT(Q$3),'Struktur Aktuell'!$D473,INDIRECT(Q$5)))</f>
        <v>0</v>
      </c>
      <c r="R473" s="593">
        <f ca="1">$E473*(-SUMIF(INDIRECT(R$3),'Struktur Aktuell'!$D473,INDIRECT(R$4))+SUMIF(INDIRECT(R$3),'Struktur Aktuell'!$D473,INDIRECT(R$5)))</f>
        <v>0</v>
      </c>
      <c r="S473" s="593">
        <f ca="1">$E473*(-SUMIF(INDIRECT(S$3),'Struktur Aktuell'!$D473,INDIRECT(S$4))+SUMIF(INDIRECT(S$3),'Struktur Aktuell'!$D473,INDIRECT(S$5)))</f>
        <v>0</v>
      </c>
      <c r="T473" s="593">
        <f ca="1">$E473*(-SUMIF(INDIRECT(T$3),'Struktur Aktuell'!$D473,INDIRECT(T$4))+SUMIF(INDIRECT(T$3),'Struktur Aktuell'!$D473,INDIRECT(T$5)))</f>
        <v>0</v>
      </c>
      <c r="U473" s="593">
        <f ca="1">$E473*(-SUMIF(INDIRECT(U$3),'Struktur Aktuell'!$D473,INDIRECT(U$4))+SUMIF(INDIRECT(U$3),'Struktur Aktuell'!$D473,INDIRECT(U$5)))</f>
        <v>0</v>
      </c>
      <c r="V473" s="593">
        <f ca="1">$E473*(-SUMIF(INDIRECT(V$3),'Struktur Aktuell'!$D473,INDIRECT(V$4))+SUMIF(INDIRECT(V$3),'Struktur Aktuell'!$D473,INDIRECT(V$5)))</f>
        <v>0</v>
      </c>
      <c r="W473" s="593">
        <f ca="1">$E473*(-SUMIF(INDIRECT(W$3),'Struktur Aktuell'!$D473,INDIRECT(W$4))+SUMIF(INDIRECT(W$3),'Struktur Aktuell'!$D473,INDIRECT(W$5)))</f>
        <v>0</v>
      </c>
      <c r="X473" s="593">
        <f ca="1">$E473*(-SUMIF(INDIRECT(X$3),'Struktur Aktuell'!$D473,INDIRECT(X$4))+SUMIF(INDIRECT(X$3),'Struktur Aktuell'!$D473,INDIRECT(X$5)))</f>
        <v>0</v>
      </c>
      <c r="Y473" s="593">
        <f ca="1">$E473*(-SUMIF(INDIRECT(Y$3),'Struktur Aktuell'!$D473,INDIRECT(Y$4))+SUMIF(INDIRECT(Y$3),'Struktur Aktuell'!$D473,INDIRECT(Y$5)))</f>
        <v>0</v>
      </c>
      <c r="Z473" s="593">
        <f ca="1">$E473*(-SUMIF(INDIRECT(Z$3),'Struktur Aktuell'!$D473,INDIRECT(Z$4))+SUMIF(INDIRECT(Z$3),'Struktur Aktuell'!$D473,INDIRECT(Z$5)))</f>
        <v>0</v>
      </c>
      <c r="AA473" s="593">
        <f ca="1">$E473*(-SUMIF(INDIRECT(AA$3),'Struktur Aktuell'!$D473,INDIRECT(AA$4))+SUMIF(INDIRECT(AA$3),'Struktur Aktuell'!$D473,INDIRECT(AA$5)))</f>
        <v>0</v>
      </c>
      <c r="AB473" s="593">
        <f ca="1">$E473*(-SUMIF(INDIRECT(AB$3),'Struktur Aktuell'!$D473,INDIRECT(AB$4))+SUMIF(INDIRECT(AB$3),'Struktur Aktuell'!$D473,INDIRECT(AB$5)))</f>
        <v>0</v>
      </c>
      <c r="AC473" s="593">
        <f ca="1">$E473*(-SUMIF(INDIRECT(AC$3),'Struktur Aktuell'!$D473,INDIRECT(AC$4))+SUMIF(INDIRECT(AC$3),'Struktur Aktuell'!$D473,INDIRECT(AC$5)))</f>
        <v>0</v>
      </c>
      <c r="AD473" s="593">
        <f ca="1">$E473*(-SUMIF(INDIRECT(AD$3),'Struktur Aktuell'!$D473,INDIRECT(AD$4))+SUMIF(INDIRECT(AD$3),'Struktur Aktuell'!$D473,INDIRECT(AD$5)))</f>
        <v>0</v>
      </c>
      <c r="AE473" s="593">
        <f t="shared" ca="1" si="715"/>
        <v>0</v>
      </c>
      <c r="AF473" s="593">
        <f t="shared" ca="1" si="716"/>
        <v>0</v>
      </c>
      <c r="AG473" s="593">
        <f t="shared" ca="1" si="717"/>
        <v>0</v>
      </c>
      <c r="AH473" s="593">
        <f t="shared" ca="1" si="718"/>
        <v>0</v>
      </c>
      <c r="AI473" s="593">
        <f t="shared" ca="1" si="719"/>
        <v>0</v>
      </c>
      <c r="AJ473" s="593">
        <f t="shared" ca="1" si="720"/>
        <v>0</v>
      </c>
      <c r="AK473" s="593">
        <f t="shared" ca="1" si="721"/>
        <v>0</v>
      </c>
      <c r="AL473" s="593">
        <f t="shared" ca="1" si="722"/>
        <v>0</v>
      </c>
      <c r="AM473" s="593">
        <f t="shared" ca="1" si="723"/>
        <v>0</v>
      </c>
      <c r="AN473" s="593">
        <f t="shared" ca="1" si="724"/>
        <v>0</v>
      </c>
      <c r="AO473" s="593">
        <f t="shared" ca="1" si="725"/>
        <v>0</v>
      </c>
      <c r="AP473" s="593">
        <f t="shared" ca="1" si="726"/>
        <v>0</v>
      </c>
    </row>
    <row r="474" spans="1:42" s="594" customFormat="1" ht="11.25" outlineLevel="1" x14ac:dyDescent="0.2">
      <c r="A474" s="644"/>
      <c r="B474" s="591" t="str">
        <f>IF(D474&lt;&gt;"",
IF(ISERROR(MATCH(D474,'Ist Aktuell Monat 01'!A:A,0))=FALSE,INDEX('Ist Aktuell Monat 01'!B:B,MATCH(D474,'Ist Aktuell Monat 01'!A:A,0)),
IF(ISERROR(MATCH(D474,'Ist Aktuell Monat 02'!A:A,0))=FALSE,INDEX('Ist Aktuell Monat 02'!B:B,MATCH(D474,'Ist Aktuell Monat 02'!A:A,0)),
IF(ISERROR(MATCH(D474,'Ist Aktuell Monat 03'!A:A,0))=FALSE,INDEX('Ist Aktuell Monat 03'!B:B,MATCH(D474,'Ist Aktuell Monat 03'!A:A,0)),
IF(ISERROR(MATCH(D474,'Ist Aktuell Monat 04'!A:A,0))=FALSE,INDEX('Ist Aktuell Monat 04'!B:B,MATCH(D474,'Ist Aktuell Monat 04'!A:A,0)),
IF(ISERROR(MATCH(D474,'Ist Aktuell Monat 05'!A:A,0))=FALSE,INDEX('Ist Aktuell Monat 05'!B:B,MATCH(D474,'Ist Aktuell Monat 05'!A:A,0)),
IF(ISERROR(MATCH(D474,'Ist Aktuell Monat 06'!A:A,0))=FALSE,INDEX('Ist Aktuell Monat 06'!B:B,MATCH(D474,'Ist Aktuell Monat 06'!A:A,0)),
IF(ISERROR(MATCH(D474,'Ist Aktuell Monat 07'!A:A,0))=FALSE,INDEX('Ist Aktuell Monat 07'!B:B,MATCH(D474,'Ist Aktuell Monat 07'!A:A,0)),
IF(ISERROR(MATCH(D474,'Ist Aktuell Monat 08'!A:A,0))=FALSE,INDEX('Ist Aktuell Monat 08'!B:B,MATCH(D474,'Ist Aktuell Monat 08'!A:A,0)),
IF(ISERROR(MATCH(D474,'Ist Aktuell Monat 09'!A:A,0))=FALSE,INDEX('Ist Aktuell Monat 09'!B:B,MATCH(D474,'Ist Aktuell Monat 09'!A:A,0)),
IF(ISERROR(MATCH(D474,'Ist Aktuell Monat 10'!A:A,0))=FALSE,INDEX('Ist Aktuell Monat 10'!B:B,MATCH(D474,'Ist Aktuell Monat 10'!A:A,0)),
IF(ISERROR(MATCH(D474,'Ist Aktuell Monat 11'!A:A,0))=FALSE,INDEX('Ist Aktuell Monat 11'!B:B,MATCH(D474,'Ist Aktuell Monat 11'!A:A,0)),
IF(ISERROR(MATCH(D474,'Ist Aktuell Monat 12'!A:A,0))=FALSE,INDEX('Ist Aktuell Monat 12'!B:B,MATCH(D474,'Ist Aktuell Monat 12'!A:A,0)),
"{Konto unbekannt}"
)))))))))))),"")</f>
        <v/>
      </c>
      <c r="C474" s="1062"/>
      <c r="D474" s="1067"/>
      <c r="E474" s="625">
        <f t="shared" si="727"/>
        <v>-1</v>
      </c>
      <c r="F474" s="626" t="s">
        <v>996</v>
      </c>
      <c r="G474" s="593">
        <f ca="1">$E474*(-SUMIF(INDIRECT(G$3),'Struktur Aktuell'!$D474,INDIRECT(G$4))+SUMIF(INDIRECT(G$3),'Struktur Aktuell'!$D474,INDIRECT(G$5)))</f>
        <v>0</v>
      </c>
      <c r="H474" s="593">
        <f ca="1">$E474*(-SUMIF(INDIRECT(H$3),'Struktur Aktuell'!$D474,INDIRECT(H$4))+SUMIF(INDIRECT(H$3),'Struktur Aktuell'!$D474,INDIRECT(H$5)))</f>
        <v>0</v>
      </c>
      <c r="I474" s="593">
        <f ca="1">$E474*(-SUMIF(INDIRECT(I$3),'Struktur Aktuell'!$D474,INDIRECT(I$4))+SUMIF(INDIRECT(I$3),'Struktur Aktuell'!$D474,INDIRECT(I$5)))</f>
        <v>0</v>
      </c>
      <c r="J474" s="593">
        <f ca="1">$E474*(-SUMIF(INDIRECT(J$3),'Struktur Aktuell'!$D474,INDIRECT(J$4))+SUMIF(INDIRECT(J$3),'Struktur Aktuell'!$D474,INDIRECT(J$5)))</f>
        <v>0</v>
      </c>
      <c r="K474" s="593">
        <f ca="1">$E474*(-SUMIF(INDIRECT(K$3),'Struktur Aktuell'!$D474,INDIRECT(K$4))+SUMIF(INDIRECT(K$3),'Struktur Aktuell'!$D474,INDIRECT(K$5)))</f>
        <v>0</v>
      </c>
      <c r="L474" s="593">
        <f ca="1">$E474*(-SUMIF(INDIRECT(L$3),'Struktur Aktuell'!$D474,INDIRECT(L$4))+SUMIF(INDIRECT(L$3),'Struktur Aktuell'!$D474,INDIRECT(L$5)))</f>
        <v>0</v>
      </c>
      <c r="M474" s="593">
        <f ca="1">$E474*(-SUMIF(INDIRECT(M$3),'Struktur Aktuell'!$D474,INDIRECT(M$4))+SUMIF(INDIRECT(M$3),'Struktur Aktuell'!$D474,INDIRECT(M$5)))</f>
        <v>0</v>
      </c>
      <c r="N474" s="593">
        <f ca="1">$E474*(-SUMIF(INDIRECT(N$3),'Struktur Aktuell'!$D474,INDIRECT(N$4))+SUMIF(INDIRECT(N$3),'Struktur Aktuell'!$D474,INDIRECT(N$5)))</f>
        <v>0</v>
      </c>
      <c r="O474" s="593">
        <f ca="1">$E474*(-SUMIF(INDIRECT(O$3),'Struktur Aktuell'!$D474,INDIRECT(O$4))+SUMIF(INDIRECT(O$3),'Struktur Aktuell'!$D474,INDIRECT(O$5)))</f>
        <v>0</v>
      </c>
      <c r="P474" s="593">
        <f ca="1">$E474*(-SUMIF(INDIRECT(P$3),'Struktur Aktuell'!$D474,INDIRECT(P$4))+SUMIF(INDIRECT(P$3),'Struktur Aktuell'!$D474,INDIRECT(P$5)))</f>
        <v>0</v>
      </c>
      <c r="Q474" s="593">
        <f ca="1">$E474*(-SUMIF(INDIRECT(Q$3),'Struktur Aktuell'!$D474,INDIRECT(Q$4))+SUMIF(INDIRECT(Q$3),'Struktur Aktuell'!$D474,INDIRECT(Q$5)))</f>
        <v>0</v>
      </c>
      <c r="R474" s="593">
        <f ca="1">$E474*(-SUMIF(INDIRECT(R$3),'Struktur Aktuell'!$D474,INDIRECT(R$4))+SUMIF(INDIRECT(R$3),'Struktur Aktuell'!$D474,INDIRECT(R$5)))</f>
        <v>0</v>
      </c>
      <c r="S474" s="593">
        <f ca="1">$E474*(-SUMIF(INDIRECT(S$3),'Struktur Aktuell'!$D474,INDIRECT(S$4))+SUMIF(INDIRECT(S$3),'Struktur Aktuell'!$D474,INDIRECT(S$5)))</f>
        <v>0</v>
      </c>
      <c r="T474" s="593">
        <f ca="1">$E474*(-SUMIF(INDIRECT(T$3),'Struktur Aktuell'!$D474,INDIRECT(T$4))+SUMIF(INDIRECT(T$3),'Struktur Aktuell'!$D474,INDIRECT(T$5)))</f>
        <v>0</v>
      </c>
      <c r="U474" s="593">
        <f ca="1">$E474*(-SUMIF(INDIRECT(U$3),'Struktur Aktuell'!$D474,INDIRECT(U$4))+SUMIF(INDIRECT(U$3),'Struktur Aktuell'!$D474,INDIRECT(U$5)))</f>
        <v>0</v>
      </c>
      <c r="V474" s="593">
        <f ca="1">$E474*(-SUMIF(INDIRECT(V$3),'Struktur Aktuell'!$D474,INDIRECT(V$4))+SUMIF(INDIRECT(V$3),'Struktur Aktuell'!$D474,INDIRECT(V$5)))</f>
        <v>0</v>
      </c>
      <c r="W474" s="593">
        <f ca="1">$E474*(-SUMIF(INDIRECT(W$3),'Struktur Aktuell'!$D474,INDIRECT(W$4))+SUMIF(INDIRECT(W$3),'Struktur Aktuell'!$D474,INDIRECT(W$5)))</f>
        <v>0</v>
      </c>
      <c r="X474" s="593">
        <f ca="1">$E474*(-SUMIF(INDIRECT(X$3),'Struktur Aktuell'!$D474,INDIRECT(X$4))+SUMIF(INDIRECT(X$3),'Struktur Aktuell'!$D474,INDIRECT(X$5)))</f>
        <v>0</v>
      </c>
      <c r="Y474" s="593">
        <f ca="1">$E474*(-SUMIF(INDIRECT(Y$3),'Struktur Aktuell'!$D474,INDIRECT(Y$4))+SUMIF(INDIRECT(Y$3),'Struktur Aktuell'!$D474,INDIRECT(Y$5)))</f>
        <v>0</v>
      </c>
      <c r="Z474" s="593">
        <f ca="1">$E474*(-SUMIF(INDIRECT(Z$3),'Struktur Aktuell'!$D474,INDIRECT(Z$4))+SUMIF(INDIRECT(Z$3),'Struktur Aktuell'!$D474,INDIRECT(Z$5)))</f>
        <v>0</v>
      </c>
      <c r="AA474" s="593">
        <f ca="1">$E474*(-SUMIF(INDIRECT(AA$3),'Struktur Aktuell'!$D474,INDIRECT(AA$4))+SUMIF(INDIRECT(AA$3),'Struktur Aktuell'!$D474,INDIRECT(AA$5)))</f>
        <v>0</v>
      </c>
      <c r="AB474" s="593">
        <f ca="1">$E474*(-SUMIF(INDIRECT(AB$3),'Struktur Aktuell'!$D474,INDIRECT(AB$4))+SUMIF(INDIRECT(AB$3),'Struktur Aktuell'!$D474,INDIRECT(AB$5)))</f>
        <v>0</v>
      </c>
      <c r="AC474" s="593">
        <f ca="1">$E474*(-SUMIF(INDIRECT(AC$3),'Struktur Aktuell'!$D474,INDIRECT(AC$4))+SUMIF(INDIRECT(AC$3),'Struktur Aktuell'!$D474,INDIRECT(AC$5)))</f>
        <v>0</v>
      </c>
      <c r="AD474" s="593">
        <f ca="1">$E474*(-SUMIF(INDIRECT(AD$3),'Struktur Aktuell'!$D474,INDIRECT(AD$4))+SUMIF(INDIRECT(AD$3),'Struktur Aktuell'!$D474,INDIRECT(AD$5)))</f>
        <v>0</v>
      </c>
      <c r="AE474" s="593">
        <f t="shared" ca="1" si="715"/>
        <v>0</v>
      </c>
      <c r="AF474" s="593">
        <f t="shared" ca="1" si="716"/>
        <v>0</v>
      </c>
      <c r="AG474" s="593">
        <f t="shared" ca="1" si="717"/>
        <v>0</v>
      </c>
      <c r="AH474" s="593">
        <f t="shared" ca="1" si="718"/>
        <v>0</v>
      </c>
      <c r="AI474" s="593">
        <f t="shared" ca="1" si="719"/>
        <v>0</v>
      </c>
      <c r="AJ474" s="593">
        <f t="shared" ca="1" si="720"/>
        <v>0</v>
      </c>
      <c r="AK474" s="593">
        <f t="shared" ca="1" si="721"/>
        <v>0</v>
      </c>
      <c r="AL474" s="593">
        <f t="shared" ca="1" si="722"/>
        <v>0</v>
      </c>
      <c r="AM474" s="593">
        <f t="shared" ca="1" si="723"/>
        <v>0</v>
      </c>
      <c r="AN474" s="593">
        <f t="shared" ca="1" si="724"/>
        <v>0</v>
      </c>
      <c r="AO474" s="593">
        <f t="shared" ca="1" si="725"/>
        <v>0</v>
      </c>
      <c r="AP474" s="593">
        <f t="shared" ca="1" si="726"/>
        <v>0</v>
      </c>
    </row>
    <row r="475" spans="1:42" s="594" customFormat="1" ht="11.25" outlineLevel="1" x14ac:dyDescent="0.2">
      <c r="A475" s="644"/>
      <c r="B475" s="591" t="str">
        <f>IF(D475&lt;&gt;"",
IF(ISERROR(MATCH(D475,'Ist Aktuell Monat 01'!A:A,0))=FALSE,INDEX('Ist Aktuell Monat 01'!B:B,MATCH(D475,'Ist Aktuell Monat 01'!A:A,0)),
IF(ISERROR(MATCH(D475,'Ist Aktuell Monat 02'!A:A,0))=FALSE,INDEX('Ist Aktuell Monat 02'!B:B,MATCH(D475,'Ist Aktuell Monat 02'!A:A,0)),
IF(ISERROR(MATCH(D475,'Ist Aktuell Monat 03'!A:A,0))=FALSE,INDEX('Ist Aktuell Monat 03'!B:B,MATCH(D475,'Ist Aktuell Monat 03'!A:A,0)),
IF(ISERROR(MATCH(D475,'Ist Aktuell Monat 04'!A:A,0))=FALSE,INDEX('Ist Aktuell Monat 04'!B:B,MATCH(D475,'Ist Aktuell Monat 04'!A:A,0)),
IF(ISERROR(MATCH(D475,'Ist Aktuell Monat 05'!A:A,0))=FALSE,INDEX('Ist Aktuell Monat 05'!B:B,MATCH(D475,'Ist Aktuell Monat 05'!A:A,0)),
IF(ISERROR(MATCH(D475,'Ist Aktuell Monat 06'!A:A,0))=FALSE,INDEX('Ist Aktuell Monat 06'!B:B,MATCH(D475,'Ist Aktuell Monat 06'!A:A,0)),
IF(ISERROR(MATCH(D475,'Ist Aktuell Monat 07'!A:A,0))=FALSE,INDEX('Ist Aktuell Monat 07'!B:B,MATCH(D475,'Ist Aktuell Monat 07'!A:A,0)),
IF(ISERROR(MATCH(D475,'Ist Aktuell Monat 08'!A:A,0))=FALSE,INDEX('Ist Aktuell Monat 08'!B:B,MATCH(D475,'Ist Aktuell Monat 08'!A:A,0)),
IF(ISERROR(MATCH(D475,'Ist Aktuell Monat 09'!A:A,0))=FALSE,INDEX('Ist Aktuell Monat 09'!B:B,MATCH(D475,'Ist Aktuell Monat 09'!A:A,0)),
IF(ISERROR(MATCH(D475,'Ist Aktuell Monat 10'!A:A,0))=FALSE,INDEX('Ist Aktuell Monat 10'!B:B,MATCH(D475,'Ist Aktuell Monat 10'!A:A,0)),
IF(ISERROR(MATCH(D475,'Ist Aktuell Monat 11'!A:A,0))=FALSE,INDEX('Ist Aktuell Monat 11'!B:B,MATCH(D475,'Ist Aktuell Monat 11'!A:A,0)),
IF(ISERROR(MATCH(D475,'Ist Aktuell Monat 12'!A:A,0))=FALSE,INDEX('Ist Aktuell Monat 12'!B:B,MATCH(D475,'Ist Aktuell Monat 12'!A:A,0)),
"{Konto unbekannt}"
)))))))))))),"")</f>
        <v/>
      </c>
      <c r="C475" s="1062"/>
      <c r="D475" s="1067"/>
      <c r="E475" s="625">
        <f t="shared" si="727"/>
        <v>-1</v>
      </c>
      <c r="F475" s="626" t="s">
        <v>996</v>
      </c>
      <c r="G475" s="593">
        <f ca="1">$E475*(-SUMIF(INDIRECT(G$3),'Struktur Aktuell'!$D475,INDIRECT(G$4))+SUMIF(INDIRECT(G$3),'Struktur Aktuell'!$D475,INDIRECT(G$5)))</f>
        <v>0</v>
      </c>
      <c r="H475" s="593">
        <f ca="1">$E475*(-SUMIF(INDIRECT(H$3),'Struktur Aktuell'!$D475,INDIRECT(H$4))+SUMIF(INDIRECT(H$3),'Struktur Aktuell'!$D475,INDIRECT(H$5)))</f>
        <v>0</v>
      </c>
      <c r="I475" s="593">
        <f ca="1">$E475*(-SUMIF(INDIRECT(I$3),'Struktur Aktuell'!$D475,INDIRECT(I$4))+SUMIF(INDIRECT(I$3),'Struktur Aktuell'!$D475,INDIRECT(I$5)))</f>
        <v>0</v>
      </c>
      <c r="J475" s="593">
        <f ca="1">$E475*(-SUMIF(INDIRECT(J$3),'Struktur Aktuell'!$D475,INDIRECT(J$4))+SUMIF(INDIRECT(J$3),'Struktur Aktuell'!$D475,INDIRECT(J$5)))</f>
        <v>0</v>
      </c>
      <c r="K475" s="593">
        <f ca="1">$E475*(-SUMIF(INDIRECT(K$3),'Struktur Aktuell'!$D475,INDIRECT(K$4))+SUMIF(INDIRECT(K$3),'Struktur Aktuell'!$D475,INDIRECT(K$5)))</f>
        <v>0</v>
      </c>
      <c r="L475" s="593">
        <f ca="1">$E475*(-SUMIF(INDIRECT(L$3),'Struktur Aktuell'!$D475,INDIRECT(L$4))+SUMIF(INDIRECT(L$3),'Struktur Aktuell'!$D475,INDIRECT(L$5)))</f>
        <v>0</v>
      </c>
      <c r="M475" s="593">
        <f ca="1">$E475*(-SUMIF(INDIRECT(M$3),'Struktur Aktuell'!$D475,INDIRECT(M$4))+SUMIF(INDIRECT(M$3),'Struktur Aktuell'!$D475,INDIRECT(M$5)))</f>
        <v>0</v>
      </c>
      <c r="N475" s="593">
        <f ca="1">$E475*(-SUMIF(INDIRECT(N$3),'Struktur Aktuell'!$D475,INDIRECT(N$4))+SUMIF(INDIRECT(N$3),'Struktur Aktuell'!$D475,INDIRECT(N$5)))</f>
        <v>0</v>
      </c>
      <c r="O475" s="593">
        <f ca="1">$E475*(-SUMIF(INDIRECT(O$3),'Struktur Aktuell'!$D475,INDIRECT(O$4))+SUMIF(INDIRECT(O$3),'Struktur Aktuell'!$D475,INDIRECT(O$5)))</f>
        <v>0</v>
      </c>
      <c r="P475" s="593">
        <f ca="1">$E475*(-SUMIF(INDIRECT(P$3),'Struktur Aktuell'!$D475,INDIRECT(P$4))+SUMIF(INDIRECT(P$3),'Struktur Aktuell'!$D475,INDIRECT(P$5)))</f>
        <v>0</v>
      </c>
      <c r="Q475" s="593">
        <f ca="1">$E475*(-SUMIF(INDIRECT(Q$3),'Struktur Aktuell'!$D475,INDIRECT(Q$4))+SUMIF(INDIRECT(Q$3),'Struktur Aktuell'!$D475,INDIRECT(Q$5)))</f>
        <v>0</v>
      </c>
      <c r="R475" s="593">
        <f ca="1">$E475*(-SUMIF(INDIRECT(R$3),'Struktur Aktuell'!$D475,INDIRECT(R$4))+SUMIF(INDIRECT(R$3),'Struktur Aktuell'!$D475,INDIRECT(R$5)))</f>
        <v>0</v>
      </c>
      <c r="S475" s="593">
        <f ca="1">$E475*(-SUMIF(INDIRECT(S$3),'Struktur Aktuell'!$D475,INDIRECT(S$4))+SUMIF(INDIRECT(S$3),'Struktur Aktuell'!$D475,INDIRECT(S$5)))</f>
        <v>0</v>
      </c>
      <c r="T475" s="593">
        <f ca="1">$E475*(-SUMIF(INDIRECT(T$3),'Struktur Aktuell'!$D475,INDIRECT(T$4))+SUMIF(INDIRECT(T$3),'Struktur Aktuell'!$D475,INDIRECT(T$5)))</f>
        <v>0</v>
      </c>
      <c r="U475" s="593">
        <f ca="1">$E475*(-SUMIF(INDIRECT(U$3),'Struktur Aktuell'!$D475,INDIRECT(U$4))+SUMIF(INDIRECT(U$3),'Struktur Aktuell'!$D475,INDIRECT(U$5)))</f>
        <v>0</v>
      </c>
      <c r="V475" s="593">
        <f ca="1">$E475*(-SUMIF(INDIRECT(V$3),'Struktur Aktuell'!$D475,INDIRECT(V$4))+SUMIF(INDIRECT(V$3),'Struktur Aktuell'!$D475,INDIRECT(V$5)))</f>
        <v>0</v>
      </c>
      <c r="W475" s="593">
        <f ca="1">$E475*(-SUMIF(INDIRECT(W$3),'Struktur Aktuell'!$D475,INDIRECT(W$4))+SUMIF(INDIRECT(W$3),'Struktur Aktuell'!$D475,INDIRECT(W$5)))</f>
        <v>0</v>
      </c>
      <c r="X475" s="593">
        <f ca="1">$E475*(-SUMIF(INDIRECT(X$3),'Struktur Aktuell'!$D475,INDIRECT(X$4))+SUMIF(INDIRECT(X$3),'Struktur Aktuell'!$D475,INDIRECT(X$5)))</f>
        <v>0</v>
      </c>
      <c r="Y475" s="593">
        <f ca="1">$E475*(-SUMIF(INDIRECT(Y$3),'Struktur Aktuell'!$D475,INDIRECT(Y$4))+SUMIF(INDIRECT(Y$3),'Struktur Aktuell'!$D475,INDIRECT(Y$5)))</f>
        <v>0</v>
      </c>
      <c r="Z475" s="593">
        <f ca="1">$E475*(-SUMIF(INDIRECT(Z$3),'Struktur Aktuell'!$D475,INDIRECT(Z$4))+SUMIF(INDIRECT(Z$3),'Struktur Aktuell'!$D475,INDIRECT(Z$5)))</f>
        <v>0</v>
      </c>
      <c r="AA475" s="593">
        <f ca="1">$E475*(-SUMIF(INDIRECT(AA$3),'Struktur Aktuell'!$D475,INDIRECT(AA$4))+SUMIF(INDIRECT(AA$3),'Struktur Aktuell'!$D475,INDIRECT(AA$5)))</f>
        <v>0</v>
      </c>
      <c r="AB475" s="593">
        <f ca="1">$E475*(-SUMIF(INDIRECT(AB$3),'Struktur Aktuell'!$D475,INDIRECT(AB$4))+SUMIF(INDIRECT(AB$3),'Struktur Aktuell'!$D475,INDIRECT(AB$5)))</f>
        <v>0</v>
      </c>
      <c r="AC475" s="593">
        <f ca="1">$E475*(-SUMIF(INDIRECT(AC$3),'Struktur Aktuell'!$D475,INDIRECT(AC$4))+SUMIF(INDIRECT(AC$3),'Struktur Aktuell'!$D475,INDIRECT(AC$5)))</f>
        <v>0</v>
      </c>
      <c r="AD475" s="593">
        <f ca="1">$E475*(-SUMIF(INDIRECT(AD$3),'Struktur Aktuell'!$D475,INDIRECT(AD$4))+SUMIF(INDIRECT(AD$3),'Struktur Aktuell'!$D475,INDIRECT(AD$5)))</f>
        <v>0</v>
      </c>
      <c r="AE475" s="593">
        <f t="shared" ca="1" si="715"/>
        <v>0</v>
      </c>
      <c r="AF475" s="593">
        <f t="shared" ca="1" si="716"/>
        <v>0</v>
      </c>
      <c r="AG475" s="593">
        <f t="shared" ca="1" si="717"/>
        <v>0</v>
      </c>
      <c r="AH475" s="593">
        <f t="shared" ca="1" si="718"/>
        <v>0</v>
      </c>
      <c r="AI475" s="593">
        <f t="shared" ca="1" si="719"/>
        <v>0</v>
      </c>
      <c r="AJ475" s="593">
        <f t="shared" ca="1" si="720"/>
        <v>0</v>
      </c>
      <c r="AK475" s="593">
        <f t="shared" ca="1" si="721"/>
        <v>0</v>
      </c>
      <c r="AL475" s="593">
        <f t="shared" ca="1" si="722"/>
        <v>0</v>
      </c>
      <c r="AM475" s="593">
        <f t="shared" ca="1" si="723"/>
        <v>0</v>
      </c>
      <c r="AN475" s="593">
        <f t="shared" ca="1" si="724"/>
        <v>0</v>
      </c>
      <c r="AO475" s="593">
        <f t="shared" ca="1" si="725"/>
        <v>0</v>
      </c>
      <c r="AP475" s="593">
        <f t="shared" ca="1" si="726"/>
        <v>0</v>
      </c>
    </row>
    <row r="476" spans="1:42" s="589" customFormat="1" outlineLevel="1" x14ac:dyDescent="0.2">
      <c r="A476" s="629">
        <v>43</v>
      </c>
      <c r="B476" s="623" t="s">
        <v>279</v>
      </c>
      <c r="C476" s="627">
        <f ca="1">SUM(G476:R476)</f>
        <v>0</v>
      </c>
      <c r="D476" s="627"/>
      <c r="E476" s="628">
        <f t="shared" si="727"/>
        <v>1</v>
      </c>
      <c r="F476" s="628"/>
      <c r="G476" s="627">
        <f ca="1">SUM(G477:G480)</f>
        <v>0</v>
      </c>
      <c r="H476" s="627">
        <f ca="1">SUM(H477:H480)</f>
        <v>0</v>
      </c>
      <c r="I476" s="627">
        <f t="shared" ref="I476:R476" ca="1" si="728">SUM(I477:I480)</f>
        <v>0</v>
      </c>
      <c r="J476" s="627">
        <f t="shared" ca="1" si="728"/>
        <v>0</v>
      </c>
      <c r="K476" s="627">
        <f t="shared" ca="1" si="728"/>
        <v>0</v>
      </c>
      <c r="L476" s="627">
        <f t="shared" ca="1" si="728"/>
        <v>0</v>
      </c>
      <c r="M476" s="627">
        <f t="shared" ca="1" si="728"/>
        <v>0</v>
      </c>
      <c r="N476" s="627">
        <f t="shared" ca="1" si="728"/>
        <v>0</v>
      </c>
      <c r="O476" s="627">
        <f t="shared" ca="1" si="728"/>
        <v>0</v>
      </c>
      <c r="P476" s="627">
        <f t="shared" ca="1" si="728"/>
        <v>0</v>
      </c>
      <c r="Q476" s="627">
        <f t="shared" ca="1" si="728"/>
        <v>0</v>
      </c>
      <c r="R476" s="627">
        <f t="shared" ca="1" si="728"/>
        <v>0</v>
      </c>
      <c r="S476" s="627">
        <f ca="1">SUM(S477:S480)</f>
        <v>0</v>
      </c>
      <c r="T476" s="627">
        <f ca="1">SUM(T477:T480)</f>
        <v>0</v>
      </c>
      <c r="U476" s="627">
        <f t="shared" ref="U476:AD476" ca="1" si="729">SUM(U477:U480)</f>
        <v>0</v>
      </c>
      <c r="V476" s="627">
        <f t="shared" ca="1" si="729"/>
        <v>0</v>
      </c>
      <c r="W476" s="627">
        <f t="shared" ca="1" si="729"/>
        <v>0</v>
      </c>
      <c r="X476" s="627">
        <f t="shared" ca="1" si="729"/>
        <v>0</v>
      </c>
      <c r="Y476" s="627">
        <f t="shared" ca="1" si="729"/>
        <v>0</v>
      </c>
      <c r="Z476" s="627">
        <f t="shared" ca="1" si="729"/>
        <v>0</v>
      </c>
      <c r="AA476" s="627">
        <f t="shared" ca="1" si="729"/>
        <v>0</v>
      </c>
      <c r="AB476" s="627">
        <f t="shared" ca="1" si="729"/>
        <v>0</v>
      </c>
      <c r="AC476" s="627">
        <f t="shared" ca="1" si="729"/>
        <v>0</v>
      </c>
      <c r="AD476" s="627">
        <f t="shared" ca="1" si="729"/>
        <v>0</v>
      </c>
      <c r="AE476" s="627">
        <f ca="1">SUM(AE477:AE480)</f>
        <v>0</v>
      </c>
      <c r="AF476" s="627">
        <f ca="1">SUM(AF477:AF480)</f>
        <v>0</v>
      </c>
      <c r="AG476" s="627">
        <f t="shared" ref="AG476:AP476" ca="1" si="730">SUM(AG477:AG480)</f>
        <v>0</v>
      </c>
      <c r="AH476" s="627">
        <f t="shared" ca="1" si="730"/>
        <v>0</v>
      </c>
      <c r="AI476" s="627">
        <f t="shared" ca="1" si="730"/>
        <v>0</v>
      </c>
      <c r="AJ476" s="627">
        <f t="shared" ca="1" si="730"/>
        <v>0</v>
      </c>
      <c r="AK476" s="627">
        <f t="shared" ca="1" si="730"/>
        <v>0</v>
      </c>
      <c r="AL476" s="627">
        <f t="shared" ca="1" si="730"/>
        <v>0</v>
      </c>
      <c r="AM476" s="627">
        <f t="shared" ca="1" si="730"/>
        <v>0</v>
      </c>
      <c r="AN476" s="627">
        <f t="shared" ca="1" si="730"/>
        <v>0</v>
      </c>
      <c r="AO476" s="627">
        <f t="shared" ca="1" si="730"/>
        <v>0</v>
      </c>
      <c r="AP476" s="627">
        <f t="shared" ca="1" si="730"/>
        <v>0</v>
      </c>
    </row>
    <row r="477" spans="1:42" s="594" customFormat="1" ht="11.25" outlineLevel="1" x14ac:dyDescent="0.2">
      <c r="A477" s="644"/>
      <c r="B477" s="591" t="str">
        <f>IF(D477&lt;&gt;"",
IF(ISERROR(MATCH(D477,'Ist Aktuell Monat 01'!A:A,0))=FALSE,INDEX('Ist Aktuell Monat 01'!B:B,MATCH(D477,'Ist Aktuell Monat 01'!A:A,0)),
IF(ISERROR(MATCH(D477,'Ist Aktuell Monat 02'!A:A,0))=FALSE,INDEX('Ist Aktuell Monat 02'!B:B,MATCH(D477,'Ist Aktuell Monat 02'!A:A,0)),
IF(ISERROR(MATCH(D477,'Ist Aktuell Monat 03'!A:A,0))=FALSE,INDEX('Ist Aktuell Monat 03'!B:B,MATCH(D477,'Ist Aktuell Monat 03'!A:A,0)),
IF(ISERROR(MATCH(D477,'Ist Aktuell Monat 04'!A:A,0))=FALSE,INDEX('Ist Aktuell Monat 04'!B:B,MATCH(D477,'Ist Aktuell Monat 04'!A:A,0)),
IF(ISERROR(MATCH(D477,'Ist Aktuell Monat 05'!A:A,0))=FALSE,INDEX('Ist Aktuell Monat 05'!B:B,MATCH(D477,'Ist Aktuell Monat 05'!A:A,0)),
IF(ISERROR(MATCH(D477,'Ist Aktuell Monat 06'!A:A,0))=FALSE,INDEX('Ist Aktuell Monat 06'!B:B,MATCH(D477,'Ist Aktuell Monat 06'!A:A,0)),
IF(ISERROR(MATCH(D477,'Ist Aktuell Monat 07'!A:A,0))=FALSE,INDEX('Ist Aktuell Monat 07'!B:B,MATCH(D477,'Ist Aktuell Monat 07'!A:A,0)),
IF(ISERROR(MATCH(D477,'Ist Aktuell Monat 08'!A:A,0))=FALSE,INDEX('Ist Aktuell Monat 08'!B:B,MATCH(D477,'Ist Aktuell Monat 08'!A:A,0)),
IF(ISERROR(MATCH(D477,'Ist Aktuell Monat 09'!A:A,0))=FALSE,INDEX('Ist Aktuell Monat 09'!B:B,MATCH(D477,'Ist Aktuell Monat 09'!A:A,0)),
IF(ISERROR(MATCH(D477,'Ist Aktuell Monat 10'!A:A,0))=FALSE,INDEX('Ist Aktuell Monat 10'!B:B,MATCH(D477,'Ist Aktuell Monat 10'!A:A,0)),
IF(ISERROR(MATCH(D477,'Ist Aktuell Monat 11'!A:A,0))=FALSE,INDEX('Ist Aktuell Monat 11'!B:B,MATCH(D477,'Ist Aktuell Monat 11'!A:A,0)),
IF(ISERROR(MATCH(D477,'Ist Aktuell Monat 12'!A:A,0))=FALSE,INDEX('Ist Aktuell Monat 12'!B:B,MATCH(D477,'Ist Aktuell Monat 12'!A:A,0)),
"{Konto unbekannt}"
)))))))))))),"")</f>
        <v/>
      </c>
      <c r="C477" s="1062"/>
      <c r="D477" s="1067"/>
      <c r="E477" s="625">
        <f t="shared" si="727"/>
        <v>1</v>
      </c>
      <c r="F477" s="626"/>
      <c r="G477" s="593">
        <f ca="1">$E477*(-SUMIF(INDIRECT(G$3),'Struktur Aktuell'!$D477,INDIRECT(G$4))+SUMIF(INDIRECT(G$3),'Struktur Aktuell'!$D477,INDIRECT(G$5)))</f>
        <v>0</v>
      </c>
      <c r="H477" s="593">
        <f ca="1">$E477*(-SUMIF(INDIRECT(H$3),'Struktur Aktuell'!$D477,INDIRECT(H$4))+SUMIF(INDIRECT(H$3),'Struktur Aktuell'!$D477,INDIRECT(H$5)))</f>
        <v>0</v>
      </c>
      <c r="I477" s="593">
        <f ca="1">$E477*(-SUMIF(INDIRECT(I$3),'Struktur Aktuell'!$D477,INDIRECT(I$4))+SUMIF(INDIRECT(I$3),'Struktur Aktuell'!$D477,INDIRECT(I$5)))</f>
        <v>0</v>
      </c>
      <c r="J477" s="593">
        <f ca="1">$E477*(-SUMIF(INDIRECT(J$3),'Struktur Aktuell'!$D477,INDIRECT(J$4))+SUMIF(INDIRECT(J$3),'Struktur Aktuell'!$D477,INDIRECT(J$5)))</f>
        <v>0</v>
      </c>
      <c r="K477" s="593">
        <f ca="1">$E477*(-SUMIF(INDIRECT(K$3),'Struktur Aktuell'!$D477,INDIRECT(K$4))+SUMIF(INDIRECT(K$3),'Struktur Aktuell'!$D477,INDIRECT(K$5)))</f>
        <v>0</v>
      </c>
      <c r="L477" s="593">
        <f ca="1">$E477*(-SUMIF(INDIRECT(L$3),'Struktur Aktuell'!$D477,INDIRECT(L$4))+SUMIF(INDIRECT(L$3),'Struktur Aktuell'!$D477,INDIRECT(L$5)))</f>
        <v>0</v>
      </c>
      <c r="M477" s="593">
        <f ca="1">$E477*(-SUMIF(INDIRECT(M$3),'Struktur Aktuell'!$D477,INDIRECT(M$4))+SUMIF(INDIRECT(M$3),'Struktur Aktuell'!$D477,INDIRECT(M$5)))</f>
        <v>0</v>
      </c>
      <c r="N477" s="593">
        <f ca="1">$E477*(-SUMIF(INDIRECT(N$3),'Struktur Aktuell'!$D477,INDIRECT(N$4))+SUMIF(INDIRECT(N$3),'Struktur Aktuell'!$D477,INDIRECT(N$5)))</f>
        <v>0</v>
      </c>
      <c r="O477" s="593">
        <f ca="1">$E477*(-SUMIF(INDIRECT(O$3),'Struktur Aktuell'!$D477,INDIRECT(O$4))+SUMIF(INDIRECT(O$3),'Struktur Aktuell'!$D477,INDIRECT(O$5)))</f>
        <v>0</v>
      </c>
      <c r="P477" s="593">
        <f ca="1">$E477*(-SUMIF(INDIRECT(P$3),'Struktur Aktuell'!$D477,INDIRECT(P$4))+SUMIF(INDIRECT(P$3),'Struktur Aktuell'!$D477,INDIRECT(P$5)))</f>
        <v>0</v>
      </c>
      <c r="Q477" s="593">
        <f ca="1">$E477*(-SUMIF(INDIRECT(Q$3),'Struktur Aktuell'!$D477,INDIRECT(Q$4))+SUMIF(INDIRECT(Q$3),'Struktur Aktuell'!$D477,INDIRECT(Q$5)))</f>
        <v>0</v>
      </c>
      <c r="R477" s="593">
        <f ca="1">$E477*(-SUMIF(INDIRECT(R$3),'Struktur Aktuell'!$D477,INDIRECT(R$4))+SUMIF(INDIRECT(R$3),'Struktur Aktuell'!$D477,INDIRECT(R$5)))</f>
        <v>0</v>
      </c>
      <c r="S477" s="593">
        <f ca="1">$E477*(-SUMIF(INDIRECT(S$3),'Struktur Aktuell'!$D477,INDIRECT(S$4))+SUMIF(INDIRECT(S$3),'Struktur Aktuell'!$D477,INDIRECT(S$5)))</f>
        <v>0</v>
      </c>
      <c r="T477" s="593">
        <f ca="1">$E477*(-SUMIF(INDIRECT(T$3),'Struktur Aktuell'!$D477,INDIRECT(T$4))+SUMIF(INDIRECT(T$3),'Struktur Aktuell'!$D477,INDIRECT(T$5)))</f>
        <v>0</v>
      </c>
      <c r="U477" s="593">
        <f ca="1">$E477*(-SUMIF(INDIRECT(U$3),'Struktur Aktuell'!$D477,INDIRECT(U$4))+SUMIF(INDIRECT(U$3),'Struktur Aktuell'!$D477,INDIRECT(U$5)))</f>
        <v>0</v>
      </c>
      <c r="V477" s="593">
        <f ca="1">$E477*(-SUMIF(INDIRECT(V$3),'Struktur Aktuell'!$D477,INDIRECT(V$4))+SUMIF(INDIRECT(V$3),'Struktur Aktuell'!$D477,INDIRECT(V$5)))</f>
        <v>0</v>
      </c>
      <c r="W477" s="593">
        <f ca="1">$E477*(-SUMIF(INDIRECT(W$3),'Struktur Aktuell'!$D477,INDIRECT(W$4))+SUMIF(INDIRECT(W$3),'Struktur Aktuell'!$D477,INDIRECT(W$5)))</f>
        <v>0</v>
      </c>
      <c r="X477" s="593">
        <f ca="1">$E477*(-SUMIF(INDIRECT(X$3),'Struktur Aktuell'!$D477,INDIRECT(X$4))+SUMIF(INDIRECT(X$3),'Struktur Aktuell'!$D477,INDIRECT(X$5)))</f>
        <v>0</v>
      </c>
      <c r="Y477" s="593">
        <f ca="1">$E477*(-SUMIF(INDIRECT(Y$3),'Struktur Aktuell'!$D477,INDIRECT(Y$4))+SUMIF(INDIRECT(Y$3),'Struktur Aktuell'!$D477,INDIRECT(Y$5)))</f>
        <v>0</v>
      </c>
      <c r="Z477" s="593">
        <f ca="1">$E477*(-SUMIF(INDIRECT(Z$3),'Struktur Aktuell'!$D477,INDIRECT(Z$4))+SUMIF(INDIRECT(Z$3),'Struktur Aktuell'!$D477,INDIRECT(Z$5)))</f>
        <v>0</v>
      </c>
      <c r="AA477" s="593">
        <f ca="1">$E477*(-SUMIF(INDIRECT(AA$3),'Struktur Aktuell'!$D477,INDIRECT(AA$4))+SUMIF(INDIRECT(AA$3),'Struktur Aktuell'!$D477,INDIRECT(AA$5)))</f>
        <v>0</v>
      </c>
      <c r="AB477" s="593">
        <f ca="1">$E477*(-SUMIF(INDIRECT(AB$3),'Struktur Aktuell'!$D477,INDIRECT(AB$4))+SUMIF(INDIRECT(AB$3),'Struktur Aktuell'!$D477,INDIRECT(AB$5)))</f>
        <v>0</v>
      </c>
      <c r="AC477" s="593">
        <f ca="1">$E477*(-SUMIF(INDIRECT(AC$3),'Struktur Aktuell'!$D477,INDIRECT(AC$4))+SUMIF(INDIRECT(AC$3),'Struktur Aktuell'!$D477,INDIRECT(AC$5)))</f>
        <v>0</v>
      </c>
      <c r="AD477" s="593">
        <f ca="1">$E477*(-SUMIF(INDIRECT(AD$3),'Struktur Aktuell'!$D477,INDIRECT(AD$4))+SUMIF(INDIRECT(AD$3),'Struktur Aktuell'!$D477,INDIRECT(AD$5)))</f>
        <v>0</v>
      </c>
      <c r="AE477" s="593">
        <f t="shared" ref="AE477:AE480" ca="1" si="731">G477</f>
        <v>0</v>
      </c>
      <c r="AF477" s="593">
        <f t="shared" ref="AF477:AF480" ca="1" si="732">H477+AE477</f>
        <v>0</v>
      </c>
      <c r="AG477" s="593">
        <f t="shared" ref="AG477:AG480" ca="1" si="733">I477+AF477</f>
        <v>0</v>
      </c>
      <c r="AH477" s="593">
        <f t="shared" ref="AH477:AH480" ca="1" si="734">J477+AG477</f>
        <v>0</v>
      </c>
      <c r="AI477" s="593">
        <f t="shared" ref="AI477:AI480" ca="1" si="735">K477+AH477</f>
        <v>0</v>
      </c>
      <c r="AJ477" s="593">
        <f t="shared" ref="AJ477:AJ480" ca="1" si="736">L477+AI477</f>
        <v>0</v>
      </c>
      <c r="AK477" s="593">
        <f t="shared" ref="AK477:AK480" ca="1" si="737">M477+AJ477</f>
        <v>0</v>
      </c>
      <c r="AL477" s="593">
        <f t="shared" ref="AL477:AL480" ca="1" si="738">N477+AK477</f>
        <v>0</v>
      </c>
      <c r="AM477" s="593">
        <f t="shared" ref="AM477:AM480" ca="1" si="739">O477+AL477</f>
        <v>0</v>
      </c>
      <c r="AN477" s="593">
        <f t="shared" ref="AN477:AN480" ca="1" si="740">P477+AM477</f>
        <v>0</v>
      </c>
      <c r="AO477" s="593">
        <f t="shared" ref="AO477:AO480" ca="1" si="741">Q477+AN477</f>
        <v>0</v>
      </c>
      <c r="AP477" s="593">
        <f t="shared" ref="AP477:AP480" ca="1" si="742">R477+AO477</f>
        <v>0</v>
      </c>
    </row>
    <row r="478" spans="1:42" s="594" customFormat="1" ht="11.25" x14ac:dyDescent="0.2">
      <c r="A478" s="644"/>
      <c r="B478" s="591" t="str">
        <f>IF(D478&lt;&gt;"",
IF(ISERROR(MATCH(D478,'Ist Aktuell Monat 01'!A:A,0))=FALSE,INDEX('Ist Aktuell Monat 01'!B:B,MATCH(D478,'Ist Aktuell Monat 01'!A:A,0)),
IF(ISERROR(MATCH(D478,'Ist Aktuell Monat 02'!A:A,0))=FALSE,INDEX('Ist Aktuell Monat 02'!B:B,MATCH(D478,'Ist Aktuell Monat 02'!A:A,0)),
IF(ISERROR(MATCH(D478,'Ist Aktuell Monat 03'!A:A,0))=FALSE,INDEX('Ist Aktuell Monat 03'!B:B,MATCH(D478,'Ist Aktuell Monat 03'!A:A,0)),
IF(ISERROR(MATCH(D478,'Ist Aktuell Monat 04'!A:A,0))=FALSE,INDEX('Ist Aktuell Monat 04'!B:B,MATCH(D478,'Ist Aktuell Monat 04'!A:A,0)),
IF(ISERROR(MATCH(D478,'Ist Aktuell Monat 05'!A:A,0))=FALSE,INDEX('Ist Aktuell Monat 05'!B:B,MATCH(D478,'Ist Aktuell Monat 05'!A:A,0)),
IF(ISERROR(MATCH(D478,'Ist Aktuell Monat 06'!A:A,0))=FALSE,INDEX('Ist Aktuell Monat 06'!B:B,MATCH(D478,'Ist Aktuell Monat 06'!A:A,0)),
IF(ISERROR(MATCH(D478,'Ist Aktuell Monat 07'!A:A,0))=FALSE,INDEX('Ist Aktuell Monat 07'!B:B,MATCH(D478,'Ist Aktuell Monat 07'!A:A,0)),
IF(ISERROR(MATCH(D478,'Ist Aktuell Monat 08'!A:A,0))=FALSE,INDEX('Ist Aktuell Monat 08'!B:B,MATCH(D478,'Ist Aktuell Monat 08'!A:A,0)),
IF(ISERROR(MATCH(D478,'Ist Aktuell Monat 09'!A:A,0))=FALSE,INDEX('Ist Aktuell Monat 09'!B:B,MATCH(D478,'Ist Aktuell Monat 09'!A:A,0)),
IF(ISERROR(MATCH(D478,'Ist Aktuell Monat 10'!A:A,0))=FALSE,INDEX('Ist Aktuell Monat 10'!B:B,MATCH(D478,'Ist Aktuell Monat 10'!A:A,0)),
IF(ISERROR(MATCH(D478,'Ist Aktuell Monat 11'!A:A,0))=FALSE,INDEX('Ist Aktuell Monat 11'!B:B,MATCH(D478,'Ist Aktuell Monat 11'!A:A,0)),
IF(ISERROR(MATCH(D478,'Ist Aktuell Monat 12'!A:A,0))=FALSE,INDEX('Ist Aktuell Monat 12'!B:B,MATCH(D478,'Ist Aktuell Monat 12'!A:A,0)),
"{Konto unbekannt}"
)))))))))))),"")</f>
        <v/>
      </c>
      <c r="C478" s="1062"/>
      <c r="D478" s="1067"/>
      <c r="E478" s="625">
        <f t="shared" si="727"/>
        <v>1</v>
      </c>
      <c r="F478" s="626"/>
      <c r="G478" s="593">
        <f ca="1">$E478*(-SUMIF(INDIRECT(G$3),'Struktur Aktuell'!$D478,INDIRECT(G$4))+SUMIF(INDIRECT(G$3),'Struktur Aktuell'!$D478,INDIRECT(G$5)))</f>
        <v>0</v>
      </c>
      <c r="H478" s="593">
        <f ca="1">$E478*(-SUMIF(INDIRECT(H$3),'Struktur Aktuell'!$D478,INDIRECT(H$4))+SUMIF(INDIRECT(H$3),'Struktur Aktuell'!$D478,INDIRECT(H$5)))</f>
        <v>0</v>
      </c>
      <c r="I478" s="593">
        <f ca="1">$E478*(-SUMIF(INDIRECT(I$3),'Struktur Aktuell'!$D478,INDIRECT(I$4))+SUMIF(INDIRECT(I$3),'Struktur Aktuell'!$D478,INDIRECT(I$5)))</f>
        <v>0</v>
      </c>
      <c r="J478" s="593">
        <f ca="1">$E478*(-SUMIF(INDIRECT(J$3),'Struktur Aktuell'!$D478,INDIRECT(J$4))+SUMIF(INDIRECT(J$3),'Struktur Aktuell'!$D478,INDIRECT(J$5)))</f>
        <v>0</v>
      </c>
      <c r="K478" s="593">
        <f ca="1">$E478*(-SUMIF(INDIRECT(K$3),'Struktur Aktuell'!$D478,INDIRECT(K$4))+SUMIF(INDIRECT(K$3),'Struktur Aktuell'!$D478,INDIRECT(K$5)))</f>
        <v>0</v>
      </c>
      <c r="L478" s="593">
        <f ca="1">$E478*(-SUMIF(INDIRECT(L$3),'Struktur Aktuell'!$D478,INDIRECT(L$4))+SUMIF(INDIRECT(L$3),'Struktur Aktuell'!$D478,INDIRECT(L$5)))</f>
        <v>0</v>
      </c>
      <c r="M478" s="593">
        <f ca="1">$E478*(-SUMIF(INDIRECT(M$3),'Struktur Aktuell'!$D478,INDIRECT(M$4))+SUMIF(INDIRECT(M$3),'Struktur Aktuell'!$D478,INDIRECT(M$5)))</f>
        <v>0</v>
      </c>
      <c r="N478" s="593">
        <f ca="1">$E478*(-SUMIF(INDIRECT(N$3),'Struktur Aktuell'!$D478,INDIRECT(N$4))+SUMIF(INDIRECT(N$3),'Struktur Aktuell'!$D478,INDIRECT(N$5)))</f>
        <v>0</v>
      </c>
      <c r="O478" s="593">
        <f ca="1">$E478*(-SUMIF(INDIRECT(O$3),'Struktur Aktuell'!$D478,INDIRECT(O$4))+SUMIF(INDIRECT(O$3),'Struktur Aktuell'!$D478,INDIRECT(O$5)))</f>
        <v>0</v>
      </c>
      <c r="P478" s="593">
        <f ca="1">$E478*(-SUMIF(INDIRECT(P$3),'Struktur Aktuell'!$D478,INDIRECT(P$4))+SUMIF(INDIRECT(P$3),'Struktur Aktuell'!$D478,INDIRECT(P$5)))</f>
        <v>0</v>
      </c>
      <c r="Q478" s="593">
        <f ca="1">$E478*(-SUMIF(INDIRECT(Q$3),'Struktur Aktuell'!$D478,INDIRECT(Q$4))+SUMIF(INDIRECT(Q$3),'Struktur Aktuell'!$D478,INDIRECT(Q$5)))</f>
        <v>0</v>
      </c>
      <c r="R478" s="593">
        <f ca="1">$E478*(-SUMIF(INDIRECT(R$3),'Struktur Aktuell'!$D478,INDIRECT(R$4))+SUMIF(INDIRECT(R$3),'Struktur Aktuell'!$D478,INDIRECT(R$5)))</f>
        <v>0</v>
      </c>
      <c r="S478" s="593">
        <f ca="1">$E478*(-SUMIF(INDIRECT(S$3),'Struktur Aktuell'!$D478,INDIRECT(S$4))+SUMIF(INDIRECT(S$3),'Struktur Aktuell'!$D478,INDIRECT(S$5)))</f>
        <v>0</v>
      </c>
      <c r="T478" s="593">
        <f ca="1">$E478*(-SUMIF(INDIRECT(T$3),'Struktur Aktuell'!$D478,INDIRECT(T$4))+SUMIF(INDIRECT(T$3),'Struktur Aktuell'!$D478,INDIRECT(T$5)))</f>
        <v>0</v>
      </c>
      <c r="U478" s="593">
        <f ca="1">$E478*(-SUMIF(INDIRECT(U$3),'Struktur Aktuell'!$D478,INDIRECT(U$4))+SUMIF(INDIRECT(U$3),'Struktur Aktuell'!$D478,INDIRECT(U$5)))</f>
        <v>0</v>
      </c>
      <c r="V478" s="593">
        <f ca="1">$E478*(-SUMIF(INDIRECT(V$3),'Struktur Aktuell'!$D478,INDIRECT(V$4))+SUMIF(INDIRECT(V$3),'Struktur Aktuell'!$D478,INDIRECT(V$5)))</f>
        <v>0</v>
      </c>
      <c r="W478" s="593">
        <f ca="1">$E478*(-SUMIF(INDIRECT(W$3),'Struktur Aktuell'!$D478,INDIRECT(W$4))+SUMIF(INDIRECT(W$3),'Struktur Aktuell'!$D478,INDIRECT(W$5)))</f>
        <v>0</v>
      </c>
      <c r="X478" s="593">
        <f ca="1">$E478*(-SUMIF(INDIRECT(X$3),'Struktur Aktuell'!$D478,INDIRECT(X$4))+SUMIF(INDIRECT(X$3),'Struktur Aktuell'!$D478,INDIRECT(X$5)))</f>
        <v>0</v>
      </c>
      <c r="Y478" s="593">
        <f ca="1">$E478*(-SUMIF(INDIRECT(Y$3),'Struktur Aktuell'!$D478,INDIRECT(Y$4))+SUMIF(INDIRECT(Y$3),'Struktur Aktuell'!$D478,INDIRECT(Y$5)))</f>
        <v>0</v>
      </c>
      <c r="Z478" s="593">
        <f ca="1">$E478*(-SUMIF(INDIRECT(Z$3),'Struktur Aktuell'!$D478,INDIRECT(Z$4))+SUMIF(INDIRECT(Z$3),'Struktur Aktuell'!$D478,INDIRECT(Z$5)))</f>
        <v>0</v>
      </c>
      <c r="AA478" s="593">
        <f ca="1">$E478*(-SUMIF(INDIRECT(AA$3),'Struktur Aktuell'!$D478,INDIRECT(AA$4))+SUMIF(INDIRECT(AA$3),'Struktur Aktuell'!$D478,INDIRECT(AA$5)))</f>
        <v>0</v>
      </c>
      <c r="AB478" s="593">
        <f ca="1">$E478*(-SUMIF(INDIRECT(AB$3),'Struktur Aktuell'!$D478,INDIRECT(AB$4))+SUMIF(INDIRECT(AB$3),'Struktur Aktuell'!$D478,INDIRECT(AB$5)))</f>
        <v>0</v>
      </c>
      <c r="AC478" s="593">
        <f ca="1">$E478*(-SUMIF(INDIRECT(AC$3),'Struktur Aktuell'!$D478,INDIRECT(AC$4))+SUMIF(INDIRECT(AC$3),'Struktur Aktuell'!$D478,INDIRECT(AC$5)))</f>
        <v>0</v>
      </c>
      <c r="AD478" s="593">
        <f ca="1">$E478*(-SUMIF(INDIRECT(AD$3),'Struktur Aktuell'!$D478,INDIRECT(AD$4))+SUMIF(INDIRECT(AD$3),'Struktur Aktuell'!$D478,INDIRECT(AD$5)))</f>
        <v>0</v>
      </c>
      <c r="AE478" s="593">
        <f t="shared" ca="1" si="731"/>
        <v>0</v>
      </c>
      <c r="AF478" s="593">
        <f t="shared" ca="1" si="732"/>
        <v>0</v>
      </c>
      <c r="AG478" s="593">
        <f t="shared" ca="1" si="733"/>
        <v>0</v>
      </c>
      <c r="AH478" s="593">
        <f t="shared" ca="1" si="734"/>
        <v>0</v>
      </c>
      <c r="AI478" s="593">
        <f t="shared" ca="1" si="735"/>
        <v>0</v>
      </c>
      <c r="AJ478" s="593">
        <f t="shared" ca="1" si="736"/>
        <v>0</v>
      </c>
      <c r="AK478" s="593">
        <f t="shared" ca="1" si="737"/>
        <v>0</v>
      </c>
      <c r="AL478" s="593">
        <f t="shared" ca="1" si="738"/>
        <v>0</v>
      </c>
      <c r="AM478" s="593">
        <f t="shared" ca="1" si="739"/>
        <v>0</v>
      </c>
      <c r="AN478" s="593">
        <f t="shared" ca="1" si="740"/>
        <v>0</v>
      </c>
      <c r="AO478" s="593">
        <f t="shared" ca="1" si="741"/>
        <v>0</v>
      </c>
      <c r="AP478" s="593">
        <f t="shared" ca="1" si="742"/>
        <v>0</v>
      </c>
    </row>
    <row r="479" spans="1:42" s="594" customFormat="1" ht="11.25" outlineLevel="1" x14ac:dyDescent="0.2">
      <c r="A479" s="644"/>
      <c r="B479" s="591" t="str">
        <f>IF(D479&lt;&gt;"",
IF(ISERROR(MATCH(D479,'Ist Aktuell Monat 01'!A:A,0))=FALSE,INDEX('Ist Aktuell Monat 01'!B:B,MATCH(D479,'Ist Aktuell Monat 01'!A:A,0)),
IF(ISERROR(MATCH(D479,'Ist Aktuell Monat 02'!A:A,0))=FALSE,INDEX('Ist Aktuell Monat 02'!B:B,MATCH(D479,'Ist Aktuell Monat 02'!A:A,0)),
IF(ISERROR(MATCH(D479,'Ist Aktuell Monat 03'!A:A,0))=FALSE,INDEX('Ist Aktuell Monat 03'!B:B,MATCH(D479,'Ist Aktuell Monat 03'!A:A,0)),
IF(ISERROR(MATCH(D479,'Ist Aktuell Monat 04'!A:A,0))=FALSE,INDEX('Ist Aktuell Monat 04'!B:B,MATCH(D479,'Ist Aktuell Monat 04'!A:A,0)),
IF(ISERROR(MATCH(D479,'Ist Aktuell Monat 05'!A:A,0))=FALSE,INDEX('Ist Aktuell Monat 05'!B:B,MATCH(D479,'Ist Aktuell Monat 05'!A:A,0)),
IF(ISERROR(MATCH(D479,'Ist Aktuell Monat 06'!A:A,0))=FALSE,INDEX('Ist Aktuell Monat 06'!B:B,MATCH(D479,'Ist Aktuell Monat 06'!A:A,0)),
IF(ISERROR(MATCH(D479,'Ist Aktuell Monat 07'!A:A,0))=FALSE,INDEX('Ist Aktuell Monat 07'!B:B,MATCH(D479,'Ist Aktuell Monat 07'!A:A,0)),
IF(ISERROR(MATCH(D479,'Ist Aktuell Monat 08'!A:A,0))=FALSE,INDEX('Ist Aktuell Monat 08'!B:B,MATCH(D479,'Ist Aktuell Monat 08'!A:A,0)),
IF(ISERROR(MATCH(D479,'Ist Aktuell Monat 09'!A:A,0))=FALSE,INDEX('Ist Aktuell Monat 09'!B:B,MATCH(D479,'Ist Aktuell Monat 09'!A:A,0)),
IF(ISERROR(MATCH(D479,'Ist Aktuell Monat 10'!A:A,0))=FALSE,INDEX('Ist Aktuell Monat 10'!B:B,MATCH(D479,'Ist Aktuell Monat 10'!A:A,0)),
IF(ISERROR(MATCH(D479,'Ist Aktuell Monat 11'!A:A,0))=FALSE,INDEX('Ist Aktuell Monat 11'!B:B,MATCH(D479,'Ist Aktuell Monat 11'!A:A,0)),
IF(ISERROR(MATCH(D479,'Ist Aktuell Monat 12'!A:A,0))=FALSE,INDEX('Ist Aktuell Monat 12'!B:B,MATCH(D479,'Ist Aktuell Monat 12'!A:A,0)),
"{Konto unbekannt}"
)))))))))))),"")</f>
        <v/>
      </c>
      <c r="C479" s="1062"/>
      <c r="D479" s="1067"/>
      <c r="E479" s="625">
        <f t="shared" si="727"/>
        <v>1</v>
      </c>
      <c r="F479" s="626"/>
      <c r="G479" s="593">
        <f ca="1">$E479*(-SUMIF(INDIRECT(G$3),'Struktur Aktuell'!$D479,INDIRECT(G$4))+SUMIF(INDIRECT(G$3),'Struktur Aktuell'!$D479,INDIRECT(G$5)))</f>
        <v>0</v>
      </c>
      <c r="H479" s="593">
        <f ca="1">$E479*(-SUMIF(INDIRECT(H$3),'Struktur Aktuell'!$D479,INDIRECT(H$4))+SUMIF(INDIRECT(H$3),'Struktur Aktuell'!$D479,INDIRECT(H$5)))</f>
        <v>0</v>
      </c>
      <c r="I479" s="593">
        <f ca="1">$E479*(-SUMIF(INDIRECT(I$3),'Struktur Aktuell'!$D479,INDIRECT(I$4))+SUMIF(INDIRECT(I$3),'Struktur Aktuell'!$D479,INDIRECT(I$5)))</f>
        <v>0</v>
      </c>
      <c r="J479" s="593">
        <f ca="1">$E479*(-SUMIF(INDIRECT(J$3),'Struktur Aktuell'!$D479,INDIRECT(J$4))+SUMIF(INDIRECT(J$3),'Struktur Aktuell'!$D479,INDIRECT(J$5)))</f>
        <v>0</v>
      </c>
      <c r="K479" s="593">
        <f ca="1">$E479*(-SUMIF(INDIRECT(K$3),'Struktur Aktuell'!$D479,INDIRECT(K$4))+SUMIF(INDIRECT(K$3),'Struktur Aktuell'!$D479,INDIRECT(K$5)))</f>
        <v>0</v>
      </c>
      <c r="L479" s="593">
        <f ca="1">$E479*(-SUMIF(INDIRECT(L$3),'Struktur Aktuell'!$D479,INDIRECT(L$4))+SUMIF(INDIRECT(L$3),'Struktur Aktuell'!$D479,INDIRECT(L$5)))</f>
        <v>0</v>
      </c>
      <c r="M479" s="593">
        <f ca="1">$E479*(-SUMIF(INDIRECT(M$3),'Struktur Aktuell'!$D479,INDIRECT(M$4))+SUMIF(INDIRECT(M$3),'Struktur Aktuell'!$D479,INDIRECT(M$5)))</f>
        <v>0</v>
      </c>
      <c r="N479" s="593">
        <f ca="1">$E479*(-SUMIF(INDIRECT(N$3),'Struktur Aktuell'!$D479,INDIRECT(N$4))+SUMIF(INDIRECT(N$3),'Struktur Aktuell'!$D479,INDIRECT(N$5)))</f>
        <v>0</v>
      </c>
      <c r="O479" s="593">
        <f ca="1">$E479*(-SUMIF(INDIRECT(O$3),'Struktur Aktuell'!$D479,INDIRECT(O$4))+SUMIF(INDIRECT(O$3),'Struktur Aktuell'!$D479,INDIRECT(O$5)))</f>
        <v>0</v>
      </c>
      <c r="P479" s="593">
        <f ca="1">$E479*(-SUMIF(INDIRECT(P$3),'Struktur Aktuell'!$D479,INDIRECT(P$4))+SUMIF(INDIRECT(P$3),'Struktur Aktuell'!$D479,INDIRECT(P$5)))</f>
        <v>0</v>
      </c>
      <c r="Q479" s="593">
        <f ca="1">$E479*(-SUMIF(INDIRECT(Q$3),'Struktur Aktuell'!$D479,INDIRECT(Q$4))+SUMIF(INDIRECT(Q$3),'Struktur Aktuell'!$D479,INDIRECT(Q$5)))</f>
        <v>0</v>
      </c>
      <c r="R479" s="593">
        <f ca="1">$E479*(-SUMIF(INDIRECT(R$3),'Struktur Aktuell'!$D479,INDIRECT(R$4))+SUMIF(INDIRECT(R$3),'Struktur Aktuell'!$D479,INDIRECT(R$5)))</f>
        <v>0</v>
      </c>
      <c r="S479" s="593">
        <f ca="1">$E479*(-SUMIF(INDIRECT(S$3),'Struktur Aktuell'!$D479,INDIRECT(S$4))+SUMIF(INDIRECT(S$3),'Struktur Aktuell'!$D479,INDIRECT(S$5)))</f>
        <v>0</v>
      </c>
      <c r="T479" s="593">
        <f ca="1">$E479*(-SUMIF(INDIRECT(T$3),'Struktur Aktuell'!$D479,INDIRECT(T$4))+SUMIF(INDIRECT(T$3),'Struktur Aktuell'!$D479,INDIRECT(T$5)))</f>
        <v>0</v>
      </c>
      <c r="U479" s="593">
        <f ca="1">$E479*(-SUMIF(INDIRECT(U$3),'Struktur Aktuell'!$D479,INDIRECT(U$4))+SUMIF(INDIRECT(U$3),'Struktur Aktuell'!$D479,INDIRECT(U$5)))</f>
        <v>0</v>
      </c>
      <c r="V479" s="593">
        <f ca="1">$E479*(-SUMIF(INDIRECT(V$3),'Struktur Aktuell'!$D479,INDIRECT(V$4))+SUMIF(INDIRECT(V$3),'Struktur Aktuell'!$D479,INDIRECT(V$5)))</f>
        <v>0</v>
      </c>
      <c r="W479" s="593">
        <f ca="1">$E479*(-SUMIF(INDIRECT(W$3),'Struktur Aktuell'!$D479,INDIRECT(W$4))+SUMIF(INDIRECT(W$3),'Struktur Aktuell'!$D479,INDIRECT(W$5)))</f>
        <v>0</v>
      </c>
      <c r="X479" s="593">
        <f ca="1">$E479*(-SUMIF(INDIRECT(X$3),'Struktur Aktuell'!$D479,INDIRECT(X$4))+SUMIF(INDIRECT(X$3),'Struktur Aktuell'!$D479,INDIRECT(X$5)))</f>
        <v>0</v>
      </c>
      <c r="Y479" s="593">
        <f ca="1">$E479*(-SUMIF(INDIRECT(Y$3),'Struktur Aktuell'!$D479,INDIRECT(Y$4))+SUMIF(INDIRECT(Y$3),'Struktur Aktuell'!$D479,INDIRECT(Y$5)))</f>
        <v>0</v>
      </c>
      <c r="Z479" s="593">
        <f ca="1">$E479*(-SUMIF(INDIRECT(Z$3),'Struktur Aktuell'!$D479,INDIRECT(Z$4))+SUMIF(INDIRECT(Z$3),'Struktur Aktuell'!$D479,INDIRECT(Z$5)))</f>
        <v>0</v>
      </c>
      <c r="AA479" s="593">
        <f ca="1">$E479*(-SUMIF(INDIRECT(AA$3),'Struktur Aktuell'!$D479,INDIRECT(AA$4))+SUMIF(INDIRECT(AA$3),'Struktur Aktuell'!$D479,INDIRECT(AA$5)))</f>
        <v>0</v>
      </c>
      <c r="AB479" s="593">
        <f ca="1">$E479*(-SUMIF(INDIRECT(AB$3),'Struktur Aktuell'!$D479,INDIRECT(AB$4))+SUMIF(INDIRECT(AB$3),'Struktur Aktuell'!$D479,INDIRECT(AB$5)))</f>
        <v>0</v>
      </c>
      <c r="AC479" s="593">
        <f ca="1">$E479*(-SUMIF(INDIRECT(AC$3),'Struktur Aktuell'!$D479,INDIRECT(AC$4))+SUMIF(INDIRECT(AC$3),'Struktur Aktuell'!$D479,INDIRECT(AC$5)))</f>
        <v>0</v>
      </c>
      <c r="AD479" s="593">
        <f ca="1">$E479*(-SUMIF(INDIRECT(AD$3),'Struktur Aktuell'!$D479,INDIRECT(AD$4))+SUMIF(INDIRECT(AD$3),'Struktur Aktuell'!$D479,INDIRECT(AD$5)))</f>
        <v>0</v>
      </c>
      <c r="AE479" s="593">
        <f t="shared" ca="1" si="731"/>
        <v>0</v>
      </c>
      <c r="AF479" s="593">
        <f t="shared" ca="1" si="732"/>
        <v>0</v>
      </c>
      <c r="AG479" s="593">
        <f t="shared" ca="1" si="733"/>
        <v>0</v>
      </c>
      <c r="AH479" s="593">
        <f t="shared" ca="1" si="734"/>
        <v>0</v>
      </c>
      <c r="AI479" s="593">
        <f t="shared" ca="1" si="735"/>
        <v>0</v>
      </c>
      <c r="AJ479" s="593">
        <f t="shared" ca="1" si="736"/>
        <v>0</v>
      </c>
      <c r="AK479" s="593">
        <f t="shared" ca="1" si="737"/>
        <v>0</v>
      </c>
      <c r="AL479" s="593">
        <f t="shared" ca="1" si="738"/>
        <v>0</v>
      </c>
      <c r="AM479" s="593">
        <f t="shared" ca="1" si="739"/>
        <v>0</v>
      </c>
      <c r="AN479" s="593">
        <f t="shared" ca="1" si="740"/>
        <v>0</v>
      </c>
      <c r="AO479" s="593">
        <f t="shared" ca="1" si="741"/>
        <v>0</v>
      </c>
      <c r="AP479" s="593">
        <f t="shared" ca="1" si="742"/>
        <v>0</v>
      </c>
    </row>
    <row r="480" spans="1:42" s="594" customFormat="1" ht="11.25" outlineLevel="1" x14ac:dyDescent="0.2">
      <c r="A480" s="645"/>
      <c r="B480" s="591" t="str">
        <f>IF(D480&lt;&gt;"",
IF(ISERROR(MATCH(D480,'Ist Aktuell Monat 01'!A:A,0))=FALSE,INDEX('Ist Aktuell Monat 01'!B:B,MATCH(D480,'Ist Aktuell Monat 01'!A:A,0)),
IF(ISERROR(MATCH(D480,'Ist Aktuell Monat 02'!A:A,0))=FALSE,INDEX('Ist Aktuell Monat 02'!B:B,MATCH(D480,'Ist Aktuell Monat 02'!A:A,0)),
IF(ISERROR(MATCH(D480,'Ist Aktuell Monat 03'!A:A,0))=FALSE,INDEX('Ist Aktuell Monat 03'!B:B,MATCH(D480,'Ist Aktuell Monat 03'!A:A,0)),
IF(ISERROR(MATCH(D480,'Ist Aktuell Monat 04'!A:A,0))=FALSE,INDEX('Ist Aktuell Monat 04'!B:B,MATCH(D480,'Ist Aktuell Monat 04'!A:A,0)),
IF(ISERROR(MATCH(D480,'Ist Aktuell Monat 05'!A:A,0))=FALSE,INDEX('Ist Aktuell Monat 05'!B:B,MATCH(D480,'Ist Aktuell Monat 05'!A:A,0)),
IF(ISERROR(MATCH(D480,'Ist Aktuell Monat 06'!A:A,0))=FALSE,INDEX('Ist Aktuell Monat 06'!B:B,MATCH(D480,'Ist Aktuell Monat 06'!A:A,0)),
IF(ISERROR(MATCH(D480,'Ist Aktuell Monat 07'!A:A,0))=FALSE,INDEX('Ist Aktuell Monat 07'!B:B,MATCH(D480,'Ist Aktuell Monat 07'!A:A,0)),
IF(ISERROR(MATCH(D480,'Ist Aktuell Monat 08'!A:A,0))=FALSE,INDEX('Ist Aktuell Monat 08'!B:B,MATCH(D480,'Ist Aktuell Monat 08'!A:A,0)),
IF(ISERROR(MATCH(D480,'Ist Aktuell Monat 09'!A:A,0))=FALSE,INDEX('Ist Aktuell Monat 09'!B:B,MATCH(D480,'Ist Aktuell Monat 09'!A:A,0)),
IF(ISERROR(MATCH(D480,'Ist Aktuell Monat 10'!A:A,0))=FALSE,INDEX('Ist Aktuell Monat 10'!B:B,MATCH(D480,'Ist Aktuell Monat 10'!A:A,0)),
IF(ISERROR(MATCH(D480,'Ist Aktuell Monat 11'!A:A,0))=FALSE,INDEX('Ist Aktuell Monat 11'!B:B,MATCH(D480,'Ist Aktuell Monat 11'!A:A,0)),
IF(ISERROR(MATCH(D480,'Ist Aktuell Monat 12'!A:A,0))=FALSE,INDEX('Ist Aktuell Monat 12'!B:B,MATCH(D480,'Ist Aktuell Monat 12'!A:A,0)),
"{Konto unbekannt}"
)))))))))))),"")</f>
        <v/>
      </c>
      <c r="C480" s="1062"/>
      <c r="D480" s="1067"/>
      <c r="E480" s="630">
        <f t="shared" si="727"/>
        <v>1</v>
      </c>
      <c r="F480" s="631"/>
      <c r="G480" s="593">
        <f ca="1">$E480*(-SUMIF(INDIRECT(G$3),'Struktur Aktuell'!$D480,INDIRECT(G$4))+SUMIF(INDIRECT(G$3),'Struktur Aktuell'!$D480,INDIRECT(G$5)))</f>
        <v>0</v>
      </c>
      <c r="H480" s="593">
        <f ca="1">$E480*(-SUMIF(INDIRECT(H$3),'Struktur Aktuell'!$D480,INDIRECT(H$4))+SUMIF(INDIRECT(H$3),'Struktur Aktuell'!$D480,INDIRECT(H$5)))</f>
        <v>0</v>
      </c>
      <c r="I480" s="593">
        <f ca="1">$E480*(-SUMIF(INDIRECT(I$3),'Struktur Aktuell'!$D480,INDIRECT(I$4))+SUMIF(INDIRECT(I$3),'Struktur Aktuell'!$D480,INDIRECT(I$5)))</f>
        <v>0</v>
      </c>
      <c r="J480" s="593">
        <f ca="1">$E480*(-SUMIF(INDIRECT(J$3),'Struktur Aktuell'!$D480,INDIRECT(J$4))+SUMIF(INDIRECT(J$3),'Struktur Aktuell'!$D480,INDIRECT(J$5)))</f>
        <v>0</v>
      </c>
      <c r="K480" s="593">
        <f ca="1">$E480*(-SUMIF(INDIRECT(K$3),'Struktur Aktuell'!$D480,INDIRECT(K$4))+SUMIF(INDIRECT(K$3),'Struktur Aktuell'!$D480,INDIRECT(K$5)))</f>
        <v>0</v>
      </c>
      <c r="L480" s="593">
        <f ca="1">$E480*(-SUMIF(INDIRECT(L$3),'Struktur Aktuell'!$D480,INDIRECT(L$4))+SUMIF(INDIRECT(L$3),'Struktur Aktuell'!$D480,INDIRECT(L$5)))</f>
        <v>0</v>
      </c>
      <c r="M480" s="593">
        <f ca="1">$E480*(-SUMIF(INDIRECT(M$3),'Struktur Aktuell'!$D480,INDIRECT(M$4))+SUMIF(INDIRECT(M$3),'Struktur Aktuell'!$D480,INDIRECT(M$5)))</f>
        <v>0</v>
      </c>
      <c r="N480" s="593">
        <f ca="1">$E480*(-SUMIF(INDIRECT(N$3),'Struktur Aktuell'!$D480,INDIRECT(N$4))+SUMIF(INDIRECT(N$3),'Struktur Aktuell'!$D480,INDIRECT(N$5)))</f>
        <v>0</v>
      </c>
      <c r="O480" s="593">
        <f ca="1">$E480*(-SUMIF(INDIRECT(O$3),'Struktur Aktuell'!$D480,INDIRECT(O$4))+SUMIF(INDIRECT(O$3),'Struktur Aktuell'!$D480,INDIRECT(O$5)))</f>
        <v>0</v>
      </c>
      <c r="P480" s="593">
        <f ca="1">$E480*(-SUMIF(INDIRECT(P$3),'Struktur Aktuell'!$D480,INDIRECT(P$4))+SUMIF(INDIRECT(P$3),'Struktur Aktuell'!$D480,INDIRECT(P$5)))</f>
        <v>0</v>
      </c>
      <c r="Q480" s="593">
        <f ca="1">$E480*(-SUMIF(INDIRECT(Q$3),'Struktur Aktuell'!$D480,INDIRECT(Q$4))+SUMIF(INDIRECT(Q$3),'Struktur Aktuell'!$D480,INDIRECT(Q$5)))</f>
        <v>0</v>
      </c>
      <c r="R480" s="593">
        <f ca="1">$E480*(-SUMIF(INDIRECT(R$3),'Struktur Aktuell'!$D480,INDIRECT(R$4))+SUMIF(INDIRECT(R$3),'Struktur Aktuell'!$D480,INDIRECT(R$5)))</f>
        <v>0</v>
      </c>
      <c r="S480" s="593">
        <f ca="1">$E480*(-SUMIF(INDIRECT(S$3),'Struktur Aktuell'!$D480,INDIRECT(S$4))+SUMIF(INDIRECT(S$3),'Struktur Aktuell'!$D480,INDIRECT(S$5)))</f>
        <v>0</v>
      </c>
      <c r="T480" s="593">
        <f ca="1">$E480*(-SUMIF(INDIRECT(T$3),'Struktur Aktuell'!$D480,INDIRECT(T$4))+SUMIF(INDIRECT(T$3),'Struktur Aktuell'!$D480,INDIRECT(T$5)))</f>
        <v>0</v>
      </c>
      <c r="U480" s="593">
        <f ca="1">$E480*(-SUMIF(INDIRECT(U$3),'Struktur Aktuell'!$D480,INDIRECT(U$4))+SUMIF(INDIRECT(U$3),'Struktur Aktuell'!$D480,INDIRECT(U$5)))</f>
        <v>0</v>
      </c>
      <c r="V480" s="593">
        <f ca="1">$E480*(-SUMIF(INDIRECT(V$3),'Struktur Aktuell'!$D480,INDIRECT(V$4))+SUMIF(INDIRECT(V$3),'Struktur Aktuell'!$D480,INDIRECT(V$5)))</f>
        <v>0</v>
      </c>
      <c r="W480" s="593">
        <f ca="1">$E480*(-SUMIF(INDIRECT(W$3),'Struktur Aktuell'!$D480,INDIRECT(W$4))+SUMIF(INDIRECT(W$3),'Struktur Aktuell'!$D480,INDIRECT(W$5)))</f>
        <v>0</v>
      </c>
      <c r="X480" s="593">
        <f ca="1">$E480*(-SUMIF(INDIRECT(X$3),'Struktur Aktuell'!$D480,INDIRECT(X$4))+SUMIF(INDIRECT(X$3),'Struktur Aktuell'!$D480,INDIRECT(X$5)))</f>
        <v>0</v>
      </c>
      <c r="Y480" s="593">
        <f ca="1">$E480*(-SUMIF(INDIRECT(Y$3),'Struktur Aktuell'!$D480,INDIRECT(Y$4))+SUMIF(INDIRECT(Y$3),'Struktur Aktuell'!$D480,INDIRECT(Y$5)))</f>
        <v>0</v>
      </c>
      <c r="Z480" s="593">
        <f ca="1">$E480*(-SUMIF(INDIRECT(Z$3),'Struktur Aktuell'!$D480,INDIRECT(Z$4))+SUMIF(INDIRECT(Z$3),'Struktur Aktuell'!$D480,INDIRECT(Z$5)))</f>
        <v>0</v>
      </c>
      <c r="AA480" s="593">
        <f ca="1">$E480*(-SUMIF(INDIRECT(AA$3),'Struktur Aktuell'!$D480,INDIRECT(AA$4))+SUMIF(INDIRECT(AA$3),'Struktur Aktuell'!$D480,INDIRECT(AA$5)))</f>
        <v>0</v>
      </c>
      <c r="AB480" s="593">
        <f ca="1">$E480*(-SUMIF(INDIRECT(AB$3),'Struktur Aktuell'!$D480,INDIRECT(AB$4))+SUMIF(INDIRECT(AB$3),'Struktur Aktuell'!$D480,INDIRECT(AB$5)))</f>
        <v>0</v>
      </c>
      <c r="AC480" s="593">
        <f ca="1">$E480*(-SUMIF(INDIRECT(AC$3),'Struktur Aktuell'!$D480,INDIRECT(AC$4))+SUMIF(INDIRECT(AC$3),'Struktur Aktuell'!$D480,INDIRECT(AC$5)))</f>
        <v>0</v>
      </c>
      <c r="AD480" s="593">
        <f ca="1">$E480*(-SUMIF(INDIRECT(AD$3),'Struktur Aktuell'!$D480,INDIRECT(AD$4))+SUMIF(INDIRECT(AD$3),'Struktur Aktuell'!$D480,INDIRECT(AD$5)))</f>
        <v>0</v>
      </c>
      <c r="AE480" s="593">
        <f t="shared" ca="1" si="731"/>
        <v>0</v>
      </c>
      <c r="AF480" s="593">
        <f t="shared" ca="1" si="732"/>
        <v>0</v>
      </c>
      <c r="AG480" s="593">
        <f t="shared" ca="1" si="733"/>
        <v>0</v>
      </c>
      <c r="AH480" s="593">
        <f t="shared" ca="1" si="734"/>
        <v>0</v>
      </c>
      <c r="AI480" s="593">
        <f t="shared" ca="1" si="735"/>
        <v>0</v>
      </c>
      <c r="AJ480" s="593">
        <f t="shared" ca="1" si="736"/>
        <v>0</v>
      </c>
      <c r="AK480" s="593">
        <f t="shared" ca="1" si="737"/>
        <v>0</v>
      </c>
      <c r="AL480" s="593">
        <f t="shared" ca="1" si="738"/>
        <v>0</v>
      </c>
      <c r="AM480" s="593">
        <f t="shared" ca="1" si="739"/>
        <v>0</v>
      </c>
      <c r="AN480" s="593">
        <f t="shared" ca="1" si="740"/>
        <v>0</v>
      </c>
      <c r="AO480" s="593">
        <f t="shared" ca="1" si="741"/>
        <v>0</v>
      </c>
      <c r="AP480" s="593">
        <f t="shared" ca="1" si="742"/>
        <v>0</v>
      </c>
    </row>
    <row r="481" spans="1:42" outlineLevel="1" x14ac:dyDescent="0.2">
      <c r="A481" s="595"/>
      <c r="B481" s="596" t="s">
        <v>281</v>
      </c>
      <c r="C481" s="597">
        <f ca="1">SUM(G481:R481)</f>
        <v>-33845.089999999989</v>
      </c>
      <c r="D481" s="597"/>
      <c r="E481" s="598">
        <f t="shared" si="727"/>
        <v>1</v>
      </c>
      <c r="F481" s="598"/>
      <c r="G481" s="597">
        <f t="shared" ref="G481:R481" ca="1" si="743">G398-G399+G416-G429-G442+G469-G476</f>
        <v>-8861.7400000000034</v>
      </c>
      <c r="H481" s="597">
        <f t="shared" ca="1" si="743"/>
        <v>-8545.989999999998</v>
      </c>
      <c r="I481" s="597">
        <f t="shared" ca="1" si="743"/>
        <v>-17086.88</v>
      </c>
      <c r="J481" s="597">
        <f t="shared" ca="1" si="743"/>
        <v>-14333.240000000005</v>
      </c>
      <c r="K481" s="597">
        <f t="shared" ca="1" si="743"/>
        <v>-20169.489999999998</v>
      </c>
      <c r="L481" s="597">
        <f t="shared" ca="1" si="743"/>
        <v>-8509.0499999999993</v>
      </c>
      <c r="M481" s="597">
        <f t="shared" ca="1" si="743"/>
        <v>28980.910000000007</v>
      </c>
      <c r="N481" s="597">
        <f t="shared" ca="1" si="743"/>
        <v>1741.370000000001</v>
      </c>
      <c r="O481" s="597">
        <f t="shared" ca="1" si="743"/>
        <v>-6832.6699999999983</v>
      </c>
      <c r="P481" s="597">
        <f t="shared" ca="1" si="743"/>
        <v>19771.690000000002</v>
      </c>
      <c r="Q481" s="597">
        <f t="shared" ca="1" si="743"/>
        <v>0</v>
      </c>
      <c r="R481" s="597">
        <f t="shared" ca="1" si="743"/>
        <v>0</v>
      </c>
      <c r="S481" s="597">
        <f t="shared" ref="S481:AP481" ca="1" si="744">S398-S399+S416-S429-S442+S469-S476</f>
        <v>-13509.240000000003</v>
      </c>
      <c r="T481" s="597">
        <f t="shared" ca="1" si="744"/>
        <v>-22055.230000000007</v>
      </c>
      <c r="U481" s="597">
        <f t="shared" ca="1" si="744"/>
        <v>-39142.110000000015</v>
      </c>
      <c r="V481" s="597">
        <f t="shared" ca="1" si="744"/>
        <v>-53475.350000000006</v>
      </c>
      <c r="W481" s="597">
        <f t="shared" ca="1" si="744"/>
        <v>-73644.84</v>
      </c>
      <c r="X481" s="597">
        <f t="shared" ca="1" si="744"/>
        <v>-82153.89</v>
      </c>
      <c r="Y481" s="597">
        <f t="shared" ca="1" si="744"/>
        <v>-53172.979999999996</v>
      </c>
      <c r="Z481" s="597">
        <f t="shared" ca="1" si="744"/>
        <v>-51431.609999999993</v>
      </c>
      <c r="AA481" s="597">
        <f t="shared" ca="1" si="744"/>
        <v>-58264.280000000006</v>
      </c>
      <c r="AB481" s="597">
        <f t="shared" ca="1" si="744"/>
        <v>-38492.590000000011</v>
      </c>
      <c r="AC481" s="597">
        <f t="shared" ca="1" si="744"/>
        <v>0</v>
      </c>
      <c r="AD481" s="597">
        <f t="shared" ca="1" si="744"/>
        <v>0</v>
      </c>
      <c r="AE481" s="597">
        <f t="shared" ca="1" si="744"/>
        <v>-8861.7400000000034</v>
      </c>
      <c r="AF481" s="597">
        <f t="shared" ca="1" si="744"/>
        <v>-17407.730000000007</v>
      </c>
      <c r="AG481" s="597">
        <f t="shared" ca="1" si="744"/>
        <v>-34494.610000000015</v>
      </c>
      <c r="AH481" s="597">
        <f t="shared" ca="1" si="744"/>
        <v>-48827.850000000006</v>
      </c>
      <c r="AI481" s="597">
        <f t="shared" ca="1" si="744"/>
        <v>-68997.340000000011</v>
      </c>
      <c r="AJ481" s="597">
        <f t="shared" ca="1" si="744"/>
        <v>-77506.39</v>
      </c>
      <c r="AK481" s="597">
        <f t="shared" ca="1" si="744"/>
        <v>-48525.479999999996</v>
      </c>
      <c r="AL481" s="597">
        <f t="shared" ca="1" si="744"/>
        <v>-46784.109999999993</v>
      </c>
      <c r="AM481" s="597">
        <f t="shared" ca="1" si="744"/>
        <v>-53616.780000000006</v>
      </c>
      <c r="AN481" s="597">
        <f t="shared" ca="1" si="744"/>
        <v>-33845.089999999953</v>
      </c>
      <c r="AO481" s="597">
        <f t="shared" ca="1" si="744"/>
        <v>-33845.089999999953</v>
      </c>
      <c r="AP481" s="597">
        <f t="shared" ca="1" si="744"/>
        <v>-33845.089999999953</v>
      </c>
    </row>
    <row r="482" spans="1:42" s="589" customFormat="1" outlineLevel="1" x14ac:dyDescent="0.2">
      <c r="A482" s="629">
        <v>44</v>
      </c>
      <c r="B482" s="623" t="s">
        <v>1028</v>
      </c>
      <c r="C482" s="627">
        <f ca="1">SUM(G482:R482)</f>
        <v>0</v>
      </c>
      <c r="D482" s="627"/>
      <c r="E482" s="628">
        <f t="shared" si="727"/>
        <v>1</v>
      </c>
      <c r="F482" s="628"/>
      <c r="G482" s="627">
        <f ca="1">SUM(G483:G486)</f>
        <v>0</v>
      </c>
      <c r="H482" s="627">
        <f t="shared" ref="H482:R482" ca="1" si="745">SUM(H483:H486)</f>
        <v>0</v>
      </c>
      <c r="I482" s="627">
        <f t="shared" ca="1" si="745"/>
        <v>0</v>
      </c>
      <c r="J482" s="627">
        <f t="shared" ca="1" si="745"/>
        <v>0</v>
      </c>
      <c r="K482" s="627">
        <f t="shared" ca="1" si="745"/>
        <v>0</v>
      </c>
      <c r="L482" s="627">
        <f t="shared" ca="1" si="745"/>
        <v>0</v>
      </c>
      <c r="M482" s="627">
        <f t="shared" ca="1" si="745"/>
        <v>0</v>
      </c>
      <c r="N482" s="627">
        <f t="shared" ca="1" si="745"/>
        <v>0</v>
      </c>
      <c r="O482" s="627">
        <f t="shared" ca="1" si="745"/>
        <v>0</v>
      </c>
      <c r="P482" s="627">
        <f t="shared" ca="1" si="745"/>
        <v>0</v>
      </c>
      <c r="Q482" s="627">
        <f t="shared" ca="1" si="745"/>
        <v>0</v>
      </c>
      <c r="R482" s="627">
        <f t="shared" ca="1" si="745"/>
        <v>0</v>
      </c>
      <c r="S482" s="627">
        <f ca="1">SUM(S483:S486)</f>
        <v>0</v>
      </c>
      <c r="T482" s="627">
        <f t="shared" ref="T482:AD482" ca="1" si="746">SUM(T483:T486)</f>
        <v>0</v>
      </c>
      <c r="U482" s="627">
        <f t="shared" ca="1" si="746"/>
        <v>0</v>
      </c>
      <c r="V482" s="627">
        <f t="shared" ca="1" si="746"/>
        <v>0</v>
      </c>
      <c r="W482" s="627">
        <f t="shared" ca="1" si="746"/>
        <v>0</v>
      </c>
      <c r="X482" s="627">
        <f t="shared" ca="1" si="746"/>
        <v>0</v>
      </c>
      <c r="Y482" s="627">
        <f t="shared" ca="1" si="746"/>
        <v>0</v>
      </c>
      <c r="Z482" s="627">
        <f t="shared" ca="1" si="746"/>
        <v>0</v>
      </c>
      <c r="AA482" s="627">
        <f t="shared" ca="1" si="746"/>
        <v>0</v>
      </c>
      <c r="AB482" s="627">
        <f t="shared" ca="1" si="746"/>
        <v>0</v>
      </c>
      <c r="AC482" s="627">
        <f t="shared" ca="1" si="746"/>
        <v>0</v>
      </c>
      <c r="AD482" s="627">
        <f t="shared" ca="1" si="746"/>
        <v>0</v>
      </c>
      <c r="AE482" s="627">
        <f ca="1">SUM(AE483:AE486)</f>
        <v>0</v>
      </c>
      <c r="AF482" s="627">
        <f t="shared" ref="AF482:AP482" ca="1" si="747">SUM(AF483:AF486)</f>
        <v>0</v>
      </c>
      <c r="AG482" s="627">
        <f t="shared" ca="1" si="747"/>
        <v>0</v>
      </c>
      <c r="AH482" s="627">
        <f t="shared" ca="1" si="747"/>
        <v>0</v>
      </c>
      <c r="AI482" s="627">
        <f t="shared" ca="1" si="747"/>
        <v>0</v>
      </c>
      <c r="AJ482" s="627">
        <f t="shared" ca="1" si="747"/>
        <v>0</v>
      </c>
      <c r="AK482" s="627">
        <f t="shared" ca="1" si="747"/>
        <v>0</v>
      </c>
      <c r="AL482" s="627">
        <f t="shared" ca="1" si="747"/>
        <v>0</v>
      </c>
      <c r="AM482" s="627">
        <f t="shared" ca="1" si="747"/>
        <v>0</v>
      </c>
      <c r="AN482" s="627">
        <f t="shared" ca="1" si="747"/>
        <v>0</v>
      </c>
      <c r="AO482" s="627">
        <f t="shared" ca="1" si="747"/>
        <v>0</v>
      </c>
      <c r="AP482" s="627">
        <f t="shared" ca="1" si="747"/>
        <v>0</v>
      </c>
    </row>
    <row r="483" spans="1:42" s="594" customFormat="1" ht="11.25" outlineLevel="1" x14ac:dyDescent="0.2">
      <c r="A483" s="644"/>
      <c r="B483" s="591" t="str">
        <f>IF(D483&lt;&gt;"",
IF(ISERROR(MATCH(D483,'Ist Aktuell Monat 01'!A:A,0))=FALSE,INDEX('Ist Aktuell Monat 01'!B:B,MATCH(D483,'Ist Aktuell Monat 01'!A:A,0)),
IF(ISERROR(MATCH(D483,'Ist Aktuell Monat 02'!A:A,0))=FALSE,INDEX('Ist Aktuell Monat 02'!B:B,MATCH(D483,'Ist Aktuell Monat 02'!A:A,0)),
IF(ISERROR(MATCH(D483,'Ist Aktuell Monat 03'!A:A,0))=FALSE,INDEX('Ist Aktuell Monat 03'!B:B,MATCH(D483,'Ist Aktuell Monat 03'!A:A,0)),
IF(ISERROR(MATCH(D483,'Ist Aktuell Monat 04'!A:A,0))=FALSE,INDEX('Ist Aktuell Monat 04'!B:B,MATCH(D483,'Ist Aktuell Monat 04'!A:A,0)),
IF(ISERROR(MATCH(D483,'Ist Aktuell Monat 05'!A:A,0))=FALSE,INDEX('Ist Aktuell Monat 05'!B:B,MATCH(D483,'Ist Aktuell Monat 05'!A:A,0)),
IF(ISERROR(MATCH(D483,'Ist Aktuell Monat 06'!A:A,0))=FALSE,INDEX('Ist Aktuell Monat 06'!B:B,MATCH(D483,'Ist Aktuell Monat 06'!A:A,0)),
IF(ISERROR(MATCH(D483,'Ist Aktuell Monat 07'!A:A,0))=FALSE,INDEX('Ist Aktuell Monat 07'!B:B,MATCH(D483,'Ist Aktuell Monat 07'!A:A,0)),
IF(ISERROR(MATCH(D483,'Ist Aktuell Monat 08'!A:A,0))=FALSE,INDEX('Ist Aktuell Monat 08'!B:B,MATCH(D483,'Ist Aktuell Monat 08'!A:A,0)),
IF(ISERROR(MATCH(D483,'Ist Aktuell Monat 09'!A:A,0))=FALSE,INDEX('Ist Aktuell Monat 09'!B:B,MATCH(D483,'Ist Aktuell Monat 09'!A:A,0)),
IF(ISERROR(MATCH(D483,'Ist Aktuell Monat 10'!A:A,0))=FALSE,INDEX('Ist Aktuell Monat 10'!B:B,MATCH(D483,'Ist Aktuell Monat 10'!A:A,0)),
IF(ISERROR(MATCH(D483,'Ist Aktuell Monat 11'!A:A,0))=FALSE,INDEX('Ist Aktuell Monat 11'!B:B,MATCH(D483,'Ist Aktuell Monat 11'!A:A,0)),
IF(ISERROR(MATCH(D483,'Ist Aktuell Monat 12'!A:A,0))=FALSE,INDEX('Ist Aktuell Monat 12'!B:B,MATCH(D483,'Ist Aktuell Monat 12'!A:A,0)),
"{Konto unbekannt}"
)))))))))))),"")</f>
        <v/>
      </c>
      <c r="C483" s="1062"/>
      <c r="D483" s="1067"/>
      <c r="E483" s="625">
        <f t="shared" si="727"/>
        <v>1</v>
      </c>
      <c r="F483" s="626"/>
      <c r="G483" s="593">
        <f ca="1">$E483*(SUMIF(INDIRECT(G$3),'Struktur Aktuell'!$D483,INDIRECT(G$4))-SUMIF(INDIRECT(G$3),'Struktur Aktuell'!$D483,INDIRECT(G$5)))</f>
        <v>0</v>
      </c>
      <c r="H483" s="593">
        <f ca="1">$E483*(SUMIF(INDIRECT(H$3),'Struktur Aktuell'!$D483,INDIRECT(H$4))-SUMIF(INDIRECT(H$3),'Struktur Aktuell'!$D483,INDIRECT(H$5)))</f>
        <v>0</v>
      </c>
      <c r="I483" s="593">
        <f ca="1">$E483*(SUMIF(INDIRECT(I$3),'Struktur Aktuell'!$D483,INDIRECT(I$4))-SUMIF(INDIRECT(I$3),'Struktur Aktuell'!$D483,INDIRECT(I$5)))</f>
        <v>0</v>
      </c>
      <c r="J483" s="593">
        <f ca="1">$E483*(SUMIF(INDIRECT(J$3),'Struktur Aktuell'!$D483,INDIRECT(J$4))-SUMIF(INDIRECT(J$3),'Struktur Aktuell'!$D483,INDIRECT(J$5)))</f>
        <v>0</v>
      </c>
      <c r="K483" s="593">
        <f ca="1">$E483*(SUMIF(INDIRECT(K$3),'Struktur Aktuell'!$D483,INDIRECT(K$4))-SUMIF(INDIRECT(K$3),'Struktur Aktuell'!$D483,INDIRECT(K$5)))</f>
        <v>0</v>
      </c>
      <c r="L483" s="593">
        <f ca="1">$E483*(SUMIF(INDIRECT(L$3),'Struktur Aktuell'!$D483,INDIRECT(L$4))-SUMIF(INDIRECT(L$3),'Struktur Aktuell'!$D483,INDIRECT(L$5)))</f>
        <v>0</v>
      </c>
      <c r="M483" s="593">
        <f ca="1">$E483*(SUMIF(INDIRECT(M$3),'Struktur Aktuell'!$D483,INDIRECT(M$4))-SUMIF(INDIRECT(M$3),'Struktur Aktuell'!$D483,INDIRECT(M$5)))</f>
        <v>0</v>
      </c>
      <c r="N483" s="593">
        <f ca="1">$E483*(SUMIF(INDIRECT(N$3),'Struktur Aktuell'!$D483,INDIRECT(N$4))-SUMIF(INDIRECT(N$3),'Struktur Aktuell'!$D483,INDIRECT(N$5)))</f>
        <v>0</v>
      </c>
      <c r="O483" s="593">
        <f ca="1">$E483*(SUMIF(INDIRECT(O$3),'Struktur Aktuell'!$D483,INDIRECT(O$4))-SUMIF(INDIRECT(O$3),'Struktur Aktuell'!$D483,INDIRECT(O$5)))</f>
        <v>0</v>
      </c>
      <c r="P483" s="593">
        <f ca="1">$E483*(SUMIF(INDIRECT(P$3),'Struktur Aktuell'!$D483,INDIRECT(P$4))-SUMIF(INDIRECT(P$3),'Struktur Aktuell'!$D483,INDIRECT(P$5)))</f>
        <v>0</v>
      </c>
      <c r="Q483" s="593">
        <f ca="1">$E483*(SUMIF(INDIRECT(Q$3),'Struktur Aktuell'!$D483,INDIRECT(Q$4))-SUMIF(INDIRECT(Q$3),'Struktur Aktuell'!$D483,INDIRECT(Q$5)))</f>
        <v>0</v>
      </c>
      <c r="R483" s="593">
        <f ca="1">$E483*(SUMIF(INDIRECT(R$3),'Struktur Aktuell'!$D483,INDIRECT(R$4))-SUMIF(INDIRECT(R$3),'Struktur Aktuell'!$D483,INDIRECT(R$5)))</f>
        <v>0</v>
      </c>
      <c r="S483" s="593">
        <f ca="1">$E483*(SUMIF(INDIRECT(S$3),'Struktur Aktuell'!$D483,INDIRECT(S$4))-SUMIF(INDIRECT(S$3),'Struktur Aktuell'!$D483,INDIRECT(S$5)))</f>
        <v>0</v>
      </c>
      <c r="T483" s="593">
        <f ca="1">$E483*(SUMIF(INDIRECT(T$3),'Struktur Aktuell'!$D483,INDIRECT(T$4))-SUMIF(INDIRECT(T$3),'Struktur Aktuell'!$D483,INDIRECT(T$5)))</f>
        <v>0</v>
      </c>
      <c r="U483" s="593">
        <f ca="1">$E483*(SUMIF(INDIRECT(U$3),'Struktur Aktuell'!$D483,INDIRECT(U$4))-SUMIF(INDIRECT(U$3),'Struktur Aktuell'!$D483,INDIRECT(U$5)))</f>
        <v>0</v>
      </c>
      <c r="V483" s="593">
        <f ca="1">$E483*(SUMIF(INDIRECT(V$3),'Struktur Aktuell'!$D483,INDIRECT(V$4))-SUMIF(INDIRECT(V$3),'Struktur Aktuell'!$D483,INDIRECT(V$5)))</f>
        <v>0</v>
      </c>
      <c r="W483" s="593">
        <f ca="1">$E483*(SUMIF(INDIRECT(W$3),'Struktur Aktuell'!$D483,INDIRECT(W$4))-SUMIF(INDIRECT(W$3),'Struktur Aktuell'!$D483,INDIRECT(W$5)))</f>
        <v>0</v>
      </c>
      <c r="X483" s="593">
        <f ca="1">$E483*(SUMIF(INDIRECT(X$3),'Struktur Aktuell'!$D483,INDIRECT(X$4))-SUMIF(INDIRECT(X$3),'Struktur Aktuell'!$D483,INDIRECT(X$5)))</f>
        <v>0</v>
      </c>
      <c r="Y483" s="593">
        <f ca="1">$E483*(SUMIF(INDIRECT(Y$3),'Struktur Aktuell'!$D483,INDIRECT(Y$4))-SUMIF(INDIRECT(Y$3),'Struktur Aktuell'!$D483,INDIRECT(Y$5)))</f>
        <v>0</v>
      </c>
      <c r="Z483" s="593">
        <f ca="1">$E483*(SUMIF(INDIRECT(Z$3),'Struktur Aktuell'!$D483,INDIRECT(Z$4))-SUMIF(INDIRECT(Z$3),'Struktur Aktuell'!$D483,INDIRECT(Z$5)))</f>
        <v>0</v>
      </c>
      <c r="AA483" s="593">
        <f ca="1">$E483*(SUMIF(INDIRECT(AA$3),'Struktur Aktuell'!$D483,INDIRECT(AA$4))-SUMIF(INDIRECT(AA$3),'Struktur Aktuell'!$D483,INDIRECT(AA$5)))</f>
        <v>0</v>
      </c>
      <c r="AB483" s="593">
        <f ca="1">$E483*(SUMIF(INDIRECT(AB$3),'Struktur Aktuell'!$D483,INDIRECT(AB$4))-SUMIF(INDIRECT(AB$3),'Struktur Aktuell'!$D483,INDIRECT(AB$5)))</f>
        <v>0</v>
      </c>
      <c r="AC483" s="593">
        <f ca="1">$E483*(SUMIF(INDIRECT(AC$3),'Struktur Aktuell'!$D483,INDIRECT(AC$4))-SUMIF(INDIRECT(AC$3),'Struktur Aktuell'!$D483,INDIRECT(AC$5)))</f>
        <v>0</v>
      </c>
      <c r="AD483" s="593">
        <f ca="1">$E483*(SUMIF(INDIRECT(AD$3),'Struktur Aktuell'!$D483,INDIRECT(AD$4))-SUMIF(INDIRECT(AD$3),'Struktur Aktuell'!$D483,INDIRECT(AD$5)))</f>
        <v>0</v>
      </c>
      <c r="AE483" s="593">
        <f t="shared" ref="AE483:AE486" ca="1" si="748">G483</f>
        <v>0</v>
      </c>
      <c r="AF483" s="593">
        <f t="shared" ref="AF483:AF486" ca="1" si="749">H483+AE483</f>
        <v>0</v>
      </c>
      <c r="AG483" s="593">
        <f t="shared" ref="AG483:AG486" ca="1" si="750">I483+AF483</f>
        <v>0</v>
      </c>
      <c r="AH483" s="593">
        <f t="shared" ref="AH483:AH486" ca="1" si="751">J483+AG483</f>
        <v>0</v>
      </c>
      <c r="AI483" s="593">
        <f t="shared" ref="AI483:AI486" ca="1" si="752">K483+AH483</f>
        <v>0</v>
      </c>
      <c r="AJ483" s="593">
        <f t="shared" ref="AJ483:AJ486" ca="1" si="753">L483+AI483</f>
        <v>0</v>
      </c>
      <c r="AK483" s="593">
        <f t="shared" ref="AK483:AK486" ca="1" si="754">M483+AJ483</f>
        <v>0</v>
      </c>
      <c r="AL483" s="593">
        <f t="shared" ref="AL483:AL486" ca="1" si="755">N483+AK483</f>
        <v>0</v>
      </c>
      <c r="AM483" s="593">
        <f t="shared" ref="AM483:AM486" ca="1" si="756">O483+AL483</f>
        <v>0</v>
      </c>
      <c r="AN483" s="593">
        <f t="shared" ref="AN483:AN486" ca="1" si="757">P483+AM483</f>
        <v>0</v>
      </c>
      <c r="AO483" s="593">
        <f t="shared" ref="AO483:AO486" ca="1" si="758">Q483+AN483</f>
        <v>0</v>
      </c>
      <c r="AP483" s="593">
        <f t="shared" ref="AP483:AP486" ca="1" si="759">R483+AO483</f>
        <v>0</v>
      </c>
    </row>
    <row r="484" spans="1:42" s="594" customFormat="1" ht="11.25" outlineLevel="1" x14ac:dyDescent="0.2">
      <c r="A484" s="644"/>
      <c r="B484" s="591" t="str">
        <f>IF(D484&lt;&gt;"",
IF(ISERROR(MATCH(D484,'Ist Aktuell Monat 01'!A:A,0))=FALSE,INDEX('Ist Aktuell Monat 01'!B:B,MATCH(D484,'Ist Aktuell Monat 01'!A:A,0)),
IF(ISERROR(MATCH(D484,'Ist Aktuell Monat 02'!A:A,0))=FALSE,INDEX('Ist Aktuell Monat 02'!B:B,MATCH(D484,'Ist Aktuell Monat 02'!A:A,0)),
IF(ISERROR(MATCH(D484,'Ist Aktuell Monat 03'!A:A,0))=FALSE,INDEX('Ist Aktuell Monat 03'!B:B,MATCH(D484,'Ist Aktuell Monat 03'!A:A,0)),
IF(ISERROR(MATCH(D484,'Ist Aktuell Monat 04'!A:A,0))=FALSE,INDEX('Ist Aktuell Monat 04'!B:B,MATCH(D484,'Ist Aktuell Monat 04'!A:A,0)),
IF(ISERROR(MATCH(D484,'Ist Aktuell Monat 05'!A:A,0))=FALSE,INDEX('Ist Aktuell Monat 05'!B:B,MATCH(D484,'Ist Aktuell Monat 05'!A:A,0)),
IF(ISERROR(MATCH(D484,'Ist Aktuell Monat 06'!A:A,0))=FALSE,INDEX('Ist Aktuell Monat 06'!B:B,MATCH(D484,'Ist Aktuell Monat 06'!A:A,0)),
IF(ISERROR(MATCH(D484,'Ist Aktuell Monat 07'!A:A,0))=FALSE,INDEX('Ist Aktuell Monat 07'!B:B,MATCH(D484,'Ist Aktuell Monat 07'!A:A,0)),
IF(ISERROR(MATCH(D484,'Ist Aktuell Monat 08'!A:A,0))=FALSE,INDEX('Ist Aktuell Monat 08'!B:B,MATCH(D484,'Ist Aktuell Monat 08'!A:A,0)),
IF(ISERROR(MATCH(D484,'Ist Aktuell Monat 09'!A:A,0))=FALSE,INDEX('Ist Aktuell Monat 09'!B:B,MATCH(D484,'Ist Aktuell Monat 09'!A:A,0)),
IF(ISERROR(MATCH(D484,'Ist Aktuell Monat 10'!A:A,0))=FALSE,INDEX('Ist Aktuell Monat 10'!B:B,MATCH(D484,'Ist Aktuell Monat 10'!A:A,0)),
IF(ISERROR(MATCH(D484,'Ist Aktuell Monat 11'!A:A,0))=FALSE,INDEX('Ist Aktuell Monat 11'!B:B,MATCH(D484,'Ist Aktuell Monat 11'!A:A,0)),
IF(ISERROR(MATCH(D484,'Ist Aktuell Monat 12'!A:A,0))=FALSE,INDEX('Ist Aktuell Monat 12'!B:B,MATCH(D484,'Ist Aktuell Monat 12'!A:A,0)),
"{Konto unbekannt}"
)))))))))))),"")</f>
        <v/>
      </c>
      <c r="C484" s="1062"/>
      <c r="D484" s="1067"/>
      <c r="E484" s="625">
        <f t="shared" si="727"/>
        <v>1</v>
      </c>
      <c r="F484" s="626"/>
      <c r="G484" s="593">
        <f ca="1">$E484*(SUMIF(INDIRECT(G$3),'Struktur Aktuell'!$D484,INDIRECT(G$4))-SUMIF(INDIRECT(G$3),'Struktur Aktuell'!$D484,INDIRECT(G$5)))</f>
        <v>0</v>
      </c>
      <c r="H484" s="593">
        <f ca="1">$E484*(SUMIF(INDIRECT(H$3),'Struktur Aktuell'!$D484,INDIRECT(H$4))-SUMIF(INDIRECT(H$3),'Struktur Aktuell'!$D484,INDIRECT(H$5)))</f>
        <v>0</v>
      </c>
      <c r="I484" s="593">
        <f ca="1">$E484*(SUMIF(INDIRECT(I$3),'Struktur Aktuell'!$D484,INDIRECT(I$4))-SUMIF(INDIRECT(I$3),'Struktur Aktuell'!$D484,INDIRECT(I$5)))</f>
        <v>0</v>
      </c>
      <c r="J484" s="593">
        <f ca="1">$E484*(SUMIF(INDIRECT(J$3),'Struktur Aktuell'!$D484,INDIRECT(J$4))-SUMIF(INDIRECT(J$3),'Struktur Aktuell'!$D484,INDIRECT(J$5)))</f>
        <v>0</v>
      </c>
      <c r="K484" s="593">
        <f ca="1">$E484*(SUMIF(INDIRECT(K$3),'Struktur Aktuell'!$D484,INDIRECT(K$4))-SUMIF(INDIRECT(K$3),'Struktur Aktuell'!$D484,INDIRECT(K$5)))</f>
        <v>0</v>
      </c>
      <c r="L484" s="593">
        <f ca="1">$E484*(SUMIF(INDIRECT(L$3),'Struktur Aktuell'!$D484,INDIRECT(L$4))-SUMIF(INDIRECT(L$3),'Struktur Aktuell'!$D484,INDIRECT(L$5)))</f>
        <v>0</v>
      </c>
      <c r="M484" s="593">
        <f ca="1">$E484*(SUMIF(INDIRECT(M$3),'Struktur Aktuell'!$D484,INDIRECT(M$4))-SUMIF(INDIRECT(M$3),'Struktur Aktuell'!$D484,INDIRECT(M$5)))</f>
        <v>0</v>
      </c>
      <c r="N484" s="593">
        <f ca="1">$E484*(SUMIF(INDIRECT(N$3),'Struktur Aktuell'!$D484,INDIRECT(N$4))-SUMIF(INDIRECT(N$3),'Struktur Aktuell'!$D484,INDIRECT(N$5)))</f>
        <v>0</v>
      </c>
      <c r="O484" s="593">
        <f ca="1">$E484*(SUMIF(INDIRECT(O$3),'Struktur Aktuell'!$D484,INDIRECT(O$4))-SUMIF(INDIRECT(O$3),'Struktur Aktuell'!$D484,INDIRECT(O$5)))</f>
        <v>0</v>
      </c>
      <c r="P484" s="593">
        <f ca="1">$E484*(SUMIF(INDIRECT(P$3),'Struktur Aktuell'!$D484,INDIRECT(P$4))-SUMIF(INDIRECT(P$3),'Struktur Aktuell'!$D484,INDIRECT(P$5)))</f>
        <v>0</v>
      </c>
      <c r="Q484" s="593">
        <f ca="1">$E484*(SUMIF(INDIRECT(Q$3),'Struktur Aktuell'!$D484,INDIRECT(Q$4))-SUMIF(INDIRECT(Q$3),'Struktur Aktuell'!$D484,INDIRECT(Q$5)))</f>
        <v>0</v>
      </c>
      <c r="R484" s="593">
        <f ca="1">$E484*(SUMIF(INDIRECT(R$3),'Struktur Aktuell'!$D484,INDIRECT(R$4))-SUMIF(INDIRECT(R$3),'Struktur Aktuell'!$D484,INDIRECT(R$5)))</f>
        <v>0</v>
      </c>
      <c r="S484" s="593">
        <f ca="1">$E484*(SUMIF(INDIRECT(S$3),'Struktur Aktuell'!$D484,INDIRECT(S$4))-SUMIF(INDIRECT(S$3),'Struktur Aktuell'!$D484,INDIRECT(S$5)))</f>
        <v>0</v>
      </c>
      <c r="T484" s="593">
        <f ca="1">$E484*(SUMIF(INDIRECT(T$3),'Struktur Aktuell'!$D484,INDIRECT(T$4))-SUMIF(INDIRECT(T$3),'Struktur Aktuell'!$D484,INDIRECT(T$5)))</f>
        <v>0</v>
      </c>
      <c r="U484" s="593">
        <f ca="1">$E484*(SUMIF(INDIRECT(U$3),'Struktur Aktuell'!$D484,INDIRECT(U$4))-SUMIF(INDIRECT(U$3),'Struktur Aktuell'!$D484,INDIRECT(U$5)))</f>
        <v>0</v>
      </c>
      <c r="V484" s="593">
        <f ca="1">$E484*(SUMIF(INDIRECT(V$3),'Struktur Aktuell'!$D484,INDIRECT(V$4))-SUMIF(INDIRECT(V$3),'Struktur Aktuell'!$D484,INDIRECT(V$5)))</f>
        <v>0</v>
      </c>
      <c r="W484" s="593">
        <f ca="1">$E484*(SUMIF(INDIRECT(W$3),'Struktur Aktuell'!$D484,INDIRECT(W$4))-SUMIF(INDIRECT(W$3),'Struktur Aktuell'!$D484,INDIRECT(W$5)))</f>
        <v>0</v>
      </c>
      <c r="X484" s="593">
        <f ca="1">$E484*(SUMIF(INDIRECT(X$3),'Struktur Aktuell'!$D484,INDIRECT(X$4))-SUMIF(INDIRECT(X$3),'Struktur Aktuell'!$D484,INDIRECT(X$5)))</f>
        <v>0</v>
      </c>
      <c r="Y484" s="593">
        <f ca="1">$E484*(SUMIF(INDIRECT(Y$3),'Struktur Aktuell'!$D484,INDIRECT(Y$4))-SUMIF(INDIRECT(Y$3),'Struktur Aktuell'!$D484,INDIRECT(Y$5)))</f>
        <v>0</v>
      </c>
      <c r="Z484" s="593">
        <f ca="1">$E484*(SUMIF(INDIRECT(Z$3),'Struktur Aktuell'!$D484,INDIRECT(Z$4))-SUMIF(INDIRECT(Z$3),'Struktur Aktuell'!$D484,INDIRECT(Z$5)))</f>
        <v>0</v>
      </c>
      <c r="AA484" s="593">
        <f ca="1">$E484*(SUMIF(INDIRECT(AA$3),'Struktur Aktuell'!$D484,INDIRECT(AA$4))-SUMIF(INDIRECT(AA$3),'Struktur Aktuell'!$D484,INDIRECT(AA$5)))</f>
        <v>0</v>
      </c>
      <c r="AB484" s="593">
        <f ca="1">$E484*(SUMIF(INDIRECT(AB$3),'Struktur Aktuell'!$D484,INDIRECT(AB$4))-SUMIF(INDIRECT(AB$3),'Struktur Aktuell'!$D484,INDIRECT(AB$5)))</f>
        <v>0</v>
      </c>
      <c r="AC484" s="593">
        <f ca="1">$E484*(SUMIF(INDIRECT(AC$3),'Struktur Aktuell'!$D484,INDIRECT(AC$4))-SUMIF(INDIRECT(AC$3),'Struktur Aktuell'!$D484,INDIRECT(AC$5)))</f>
        <v>0</v>
      </c>
      <c r="AD484" s="593">
        <f ca="1">$E484*(SUMIF(INDIRECT(AD$3),'Struktur Aktuell'!$D484,INDIRECT(AD$4))-SUMIF(INDIRECT(AD$3),'Struktur Aktuell'!$D484,INDIRECT(AD$5)))</f>
        <v>0</v>
      </c>
      <c r="AE484" s="593">
        <f t="shared" ca="1" si="748"/>
        <v>0</v>
      </c>
      <c r="AF484" s="593">
        <f t="shared" ca="1" si="749"/>
        <v>0</v>
      </c>
      <c r="AG484" s="593">
        <f t="shared" ca="1" si="750"/>
        <v>0</v>
      </c>
      <c r="AH484" s="593">
        <f t="shared" ca="1" si="751"/>
        <v>0</v>
      </c>
      <c r="AI484" s="593">
        <f t="shared" ca="1" si="752"/>
        <v>0</v>
      </c>
      <c r="AJ484" s="593">
        <f t="shared" ca="1" si="753"/>
        <v>0</v>
      </c>
      <c r="AK484" s="593">
        <f t="shared" ca="1" si="754"/>
        <v>0</v>
      </c>
      <c r="AL484" s="593">
        <f t="shared" ca="1" si="755"/>
        <v>0</v>
      </c>
      <c r="AM484" s="593">
        <f t="shared" ca="1" si="756"/>
        <v>0</v>
      </c>
      <c r="AN484" s="593">
        <f t="shared" ca="1" si="757"/>
        <v>0</v>
      </c>
      <c r="AO484" s="593">
        <f t="shared" ca="1" si="758"/>
        <v>0</v>
      </c>
      <c r="AP484" s="593">
        <f t="shared" ca="1" si="759"/>
        <v>0</v>
      </c>
    </row>
    <row r="485" spans="1:42" s="594" customFormat="1" ht="11.25" outlineLevel="1" x14ac:dyDescent="0.2">
      <c r="A485" s="644"/>
      <c r="B485" s="591" t="str">
        <f>IF(D485&lt;&gt;"",
IF(ISERROR(MATCH(D485,'Ist Aktuell Monat 01'!A:A,0))=FALSE,INDEX('Ist Aktuell Monat 01'!B:B,MATCH(D485,'Ist Aktuell Monat 01'!A:A,0)),
IF(ISERROR(MATCH(D485,'Ist Aktuell Monat 02'!A:A,0))=FALSE,INDEX('Ist Aktuell Monat 02'!B:B,MATCH(D485,'Ist Aktuell Monat 02'!A:A,0)),
IF(ISERROR(MATCH(D485,'Ist Aktuell Monat 03'!A:A,0))=FALSE,INDEX('Ist Aktuell Monat 03'!B:B,MATCH(D485,'Ist Aktuell Monat 03'!A:A,0)),
IF(ISERROR(MATCH(D485,'Ist Aktuell Monat 04'!A:A,0))=FALSE,INDEX('Ist Aktuell Monat 04'!B:B,MATCH(D485,'Ist Aktuell Monat 04'!A:A,0)),
IF(ISERROR(MATCH(D485,'Ist Aktuell Monat 05'!A:A,0))=FALSE,INDEX('Ist Aktuell Monat 05'!B:B,MATCH(D485,'Ist Aktuell Monat 05'!A:A,0)),
IF(ISERROR(MATCH(D485,'Ist Aktuell Monat 06'!A:A,0))=FALSE,INDEX('Ist Aktuell Monat 06'!B:B,MATCH(D485,'Ist Aktuell Monat 06'!A:A,0)),
IF(ISERROR(MATCH(D485,'Ist Aktuell Monat 07'!A:A,0))=FALSE,INDEX('Ist Aktuell Monat 07'!B:B,MATCH(D485,'Ist Aktuell Monat 07'!A:A,0)),
IF(ISERROR(MATCH(D485,'Ist Aktuell Monat 08'!A:A,0))=FALSE,INDEX('Ist Aktuell Monat 08'!B:B,MATCH(D485,'Ist Aktuell Monat 08'!A:A,0)),
IF(ISERROR(MATCH(D485,'Ist Aktuell Monat 09'!A:A,0))=FALSE,INDEX('Ist Aktuell Monat 09'!B:B,MATCH(D485,'Ist Aktuell Monat 09'!A:A,0)),
IF(ISERROR(MATCH(D485,'Ist Aktuell Monat 10'!A:A,0))=FALSE,INDEX('Ist Aktuell Monat 10'!B:B,MATCH(D485,'Ist Aktuell Monat 10'!A:A,0)),
IF(ISERROR(MATCH(D485,'Ist Aktuell Monat 11'!A:A,0))=FALSE,INDEX('Ist Aktuell Monat 11'!B:B,MATCH(D485,'Ist Aktuell Monat 11'!A:A,0)),
IF(ISERROR(MATCH(D485,'Ist Aktuell Monat 12'!A:A,0))=FALSE,INDEX('Ist Aktuell Monat 12'!B:B,MATCH(D485,'Ist Aktuell Monat 12'!A:A,0)),
"{Konto unbekannt}"
)))))))))))),"")</f>
        <v/>
      </c>
      <c r="C485" s="1062"/>
      <c r="D485" s="1067"/>
      <c r="E485" s="625">
        <f t="shared" si="727"/>
        <v>1</v>
      </c>
      <c r="F485" s="626"/>
      <c r="G485" s="593">
        <f ca="1">$E485*(SUMIF(INDIRECT(G$3),'Struktur Aktuell'!$D485,INDIRECT(G$4))-SUMIF(INDIRECT(G$3),'Struktur Aktuell'!$D485,INDIRECT(G$5)))</f>
        <v>0</v>
      </c>
      <c r="H485" s="593">
        <f ca="1">$E485*(SUMIF(INDIRECT(H$3),'Struktur Aktuell'!$D485,INDIRECT(H$4))-SUMIF(INDIRECT(H$3),'Struktur Aktuell'!$D485,INDIRECT(H$5)))</f>
        <v>0</v>
      </c>
      <c r="I485" s="593">
        <f ca="1">$E485*(SUMIF(INDIRECT(I$3),'Struktur Aktuell'!$D485,INDIRECT(I$4))-SUMIF(INDIRECT(I$3),'Struktur Aktuell'!$D485,INDIRECT(I$5)))</f>
        <v>0</v>
      </c>
      <c r="J485" s="593">
        <f ca="1">$E485*(SUMIF(INDIRECT(J$3),'Struktur Aktuell'!$D485,INDIRECT(J$4))-SUMIF(INDIRECT(J$3),'Struktur Aktuell'!$D485,INDIRECT(J$5)))</f>
        <v>0</v>
      </c>
      <c r="K485" s="593">
        <f ca="1">$E485*(SUMIF(INDIRECT(K$3),'Struktur Aktuell'!$D485,INDIRECT(K$4))-SUMIF(INDIRECT(K$3),'Struktur Aktuell'!$D485,INDIRECT(K$5)))</f>
        <v>0</v>
      </c>
      <c r="L485" s="593">
        <f ca="1">$E485*(SUMIF(INDIRECT(L$3),'Struktur Aktuell'!$D485,INDIRECT(L$4))-SUMIF(INDIRECT(L$3),'Struktur Aktuell'!$D485,INDIRECT(L$5)))</f>
        <v>0</v>
      </c>
      <c r="M485" s="593">
        <f ca="1">$E485*(SUMIF(INDIRECT(M$3),'Struktur Aktuell'!$D485,INDIRECT(M$4))-SUMIF(INDIRECT(M$3),'Struktur Aktuell'!$D485,INDIRECT(M$5)))</f>
        <v>0</v>
      </c>
      <c r="N485" s="593">
        <f ca="1">$E485*(SUMIF(INDIRECT(N$3),'Struktur Aktuell'!$D485,INDIRECT(N$4))-SUMIF(INDIRECT(N$3),'Struktur Aktuell'!$D485,INDIRECT(N$5)))</f>
        <v>0</v>
      </c>
      <c r="O485" s="593">
        <f ca="1">$E485*(SUMIF(INDIRECT(O$3),'Struktur Aktuell'!$D485,INDIRECT(O$4))-SUMIF(INDIRECT(O$3),'Struktur Aktuell'!$D485,INDIRECT(O$5)))</f>
        <v>0</v>
      </c>
      <c r="P485" s="593">
        <f ca="1">$E485*(SUMIF(INDIRECT(P$3),'Struktur Aktuell'!$D485,INDIRECT(P$4))-SUMIF(INDIRECT(P$3),'Struktur Aktuell'!$D485,INDIRECT(P$5)))</f>
        <v>0</v>
      </c>
      <c r="Q485" s="593">
        <f ca="1">$E485*(SUMIF(INDIRECT(Q$3),'Struktur Aktuell'!$D485,INDIRECT(Q$4))-SUMIF(INDIRECT(Q$3),'Struktur Aktuell'!$D485,INDIRECT(Q$5)))</f>
        <v>0</v>
      </c>
      <c r="R485" s="593">
        <f ca="1">$E485*(SUMIF(INDIRECT(R$3),'Struktur Aktuell'!$D485,INDIRECT(R$4))-SUMIF(INDIRECT(R$3),'Struktur Aktuell'!$D485,INDIRECT(R$5)))</f>
        <v>0</v>
      </c>
      <c r="S485" s="593">
        <f ca="1">$E485*(SUMIF(INDIRECT(S$3),'Struktur Aktuell'!$D485,INDIRECT(S$4))-SUMIF(INDIRECT(S$3),'Struktur Aktuell'!$D485,INDIRECT(S$5)))</f>
        <v>0</v>
      </c>
      <c r="T485" s="593">
        <f ca="1">$E485*(SUMIF(INDIRECT(T$3),'Struktur Aktuell'!$D485,INDIRECT(T$4))-SUMIF(INDIRECT(T$3),'Struktur Aktuell'!$D485,INDIRECT(T$5)))</f>
        <v>0</v>
      </c>
      <c r="U485" s="593">
        <f ca="1">$E485*(SUMIF(INDIRECT(U$3),'Struktur Aktuell'!$D485,INDIRECT(U$4))-SUMIF(INDIRECT(U$3),'Struktur Aktuell'!$D485,INDIRECT(U$5)))</f>
        <v>0</v>
      </c>
      <c r="V485" s="593">
        <f ca="1">$E485*(SUMIF(INDIRECT(V$3),'Struktur Aktuell'!$D485,INDIRECT(V$4))-SUMIF(INDIRECT(V$3),'Struktur Aktuell'!$D485,INDIRECT(V$5)))</f>
        <v>0</v>
      </c>
      <c r="W485" s="593">
        <f ca="1">$E485*(SUMIF(INDIRECT(W$3),'Struktur Aktuell'!$D485,INDIRECT(W$4))-SUMIF(INDIRECT(W$3),'Struktur Aktuell'!$D485,INDIRECT(W$5)))</f>
        <v>0</v>
      </c>
      <c r="X485" s="593">
        <f ca="1">$E485*(SUMIF(INDIRECT(X$3),'Struktur Aktuell'!$D485,INDIRECT(X$4))-SUMIF(INDIRECT(X$3),'Struktur Aktuell'!$D485,INDIRECT(X$5)))</f>
        <v>0</v>
      </c>
      <c r="Y485" s="593">
        <f ca="1">$E485*(SUMIF(INDIRECT(Y$3),'Struktur Aktuell'!$D485,INDIRECT(Y$4))-SUMIF(INDIRECT(Y$3),'Struktur Aktuell'!$D485,INDIRECT(Y$5)))</f>
        <v>0</v>
      </c>
      <c r="Z485" s="593">
        <f ca="1">$E485*(SUMIF(INDIRECT(Z$3),'Struktur Aktuell'!$D485,INDIRECT(Z$4))-SUMIF(INDIRECT(Z$3),'Struktur Aktuell'!$D485,INDIRECT(Z$5)))</f>
        <v>0</v>
      </c>
      <c r="AA485" s="593">
        <f ca="1">$E485*(SUMIF(INDIRECT(AA$3),'Struktur Aktuell'!$D485,INDIRECT(AA$4))-SUMIF(INDIRECT(AA$3),'Struktur Aktuell'!$D485,INDIRECT(AA$5)))</f>
        <v>0</v>
      </c>
      <c r="AB485" s="593">
        <f ca="1">$E485*(SUMIF(INDIRECT(AB$3),'Struktur Aktuell'!$D485,INDIRECT(AB$4))-SUMIF(INDIRECT(AB$3),'Struktur Aktuell'!$D485,INDIRECT(AB$5)))</f>
        <v>0</v>
      </c>
      <c r="AC485" s="593">
        <f ca="1">$E485*(SUMIF(INDIRECT(AC$3),'Struktur Aktuell'!$D485,INDIRECT(AC$4))-SUMIF(INDIRECT(AC$3),'Struktur Aktuell'!$D485,INDIRECT(AC$5)))</f>
        <v>0</v>
      </c>
      <c r="AD485" s="593">
        <f ca="1">$E485*(SUMIF(INDIRECT(AD$3),'Struktur Aktuell'!$D485,INDIRECT(AD$4))-SUMIF(INDIRECT(AD$3),'Struktur Aktuell'!$D485,INDIRECT(AD$5)))</f>
        <v>0</v>
      </c>
      <c r="AE485" s="593">
        <f t="shared" ca="1" si="748"/>
        <v>0</v>
      </c>
      <c r="AF485" s="593">
        <f t="shared" ca="1" si="749"/>
        <v>0</v>
      </c>
      <c r="AG485" s="593">
        <f t="shared" ca="1" si="750"/>
        <v>0</v>
      </c>
      <c r="AH485" s="593">
        <f t="shared" ca="1" si="751"/>
        <v>0</v>
      </c>
      <c r="AI485" s="593">
        <f t="shared" ca="1" si="752"/>
        <v>0</v>
      </c>
      <c r="AJ485" s="593">
        <f t="shared" ca="1" si="753"/>
        <v>0</v>
      </c>
      <c r="AK485" s="593">
        <f t="shared" ca="1" si="754"/>
        <v>0</v>
      </c>
      <c r="AL485" s="593">
        <f t="shared" ca="1" si="755"/>
        <v>0</v>
      </c>
      <c r="AM485" s="593">
        <f t="shared" ca="1" si="756"/>
        <v>0</v>
      </c>
      <c r="AN485" s="593">
        <f t="shared" ca="1" si="757"/>
        <v>0</v>
      </c>
      <c r="AO485" s="593">
        <f t="shared" ca="1" si="758"/>
        <v>0</v>
      </c>
      <c r="AP485" s="593">
        <f t="shared" ca="1" si="759"/>
        <v>0</v>
      </c>
    </row>
    <row r="486" spans="1:42" s="594" customFormat="1" ht="11.25" outlineLevel="1" x14ac:dyDescent="0.2">
      <c r="A486" s="645"/>
      <c r="B486" s="591" t="str">
        <f>IF(D486&lt;&gt;"",
IF(ISERROR(MATCH(D486,'Ist Aktuell Monat 01'!A:A,0))=FALSE,INDEX('Ist Aktuell Monat 01'!B:B,MATCH(D486,'Ist Aktuell Monat 01'!A:A,0)),
IF(ISERROR(MATCH(D486,'Ist Aktuell Monat 02'!A:A,0))=FALSE,INDEX('Ist Aktuell Monat 02'!B:B,MATCH(D486,'Ist Aktuell Monat 02'!A:A,0)),
IF(ISERROR(MATCH(D486,'Ist Aktuell Monat 03'!A:A,0))=FALSE,INDEX('Ist Aktuell Monat 03'!B:B,MATCH(D486,'Ist Aktuell Monat 03'!A:A,0)),
IF(ISERROR(MATCH(D486,'Ist Aktuell Monat 04'!A:A,0))=FALSE,INDEX('Ist Aktuell Monat 04'!B:B,MATCH(D486,'Ist Aktuell Monat 04'!A:A,0)),
IF(ISERROR(MATCH(D486,'Ist Aktuell Monat 05'!A:A,0))=FALSE,INDEX('Ist Aktuell Monat 05'!B:B,MATCH(D486,'Ist Aktuell Monat 05'!A:A,0)),
IF(ISERROR(MATCH(D486,'Ist Aktuell Monat 06'!A:A,0))=FALSE,INDEX('Ist Aktuell Monat 06'!B:B,MATCH(D486,'Ist Aktuell Monat 06'!A:A,0)),
IF(ISERROR(MATCH(D486,'Ist Aktuell Monat 07'!A:A,0))=FALSE,INDEX('Ist Aktuell Monat 07'!B:B,MATCH(D486,'Ist Aktuell Monat 07'!A:A,0)),
IF(ISERROR(MATCH(D486,'Ist Aktuell Monat 08'!A:A,0))=FALSE,INDEX('Ist Aktuell Monat 08'!B:B,MATCH(D486,'Ist Aktuell Monat 08'!A:A,0)),
IF(ISERROR(MATCH(D486,'Ist Aktuell Monat 09'!A:A,0))=FALSE,INDEX('Ist Aktuell Monat 09'!B:B,MATCH(D486,'Ist Aktuell Monat 09'!A:A,0)),
IF(ISERROR(MATCH(D486,'Ist Aktuell Monat 10'!A:A,0))=FALSE,INDEX('Ist Aktuell Monat 10'!B:B,MATCH(D486,'Ist Aktuell Monat 10'!A:A,0)),
IF(ISERROR(MATCH(D486,'Ist Aktuell Monat 11'!A:A,0))=FALSE,INDEX('Ist Aktuell Monat 11'!B:B,MATCH(D486,'Ist Aktuell Monat 11'!A:A,0)),
IF(ISERROR(MATCH(D486,'Ist Aktuell Monat 12'!A:A,0))=FALSE,INDEX('Ist Aktuell Monat 12'!B:B,MATCH(D486,'Ist Aktuell Monat 12'!A:A,0)),
"{Konto unbekannt}"
)))))))))))),"")</f>
        <v/>
      </c>
      <c r="C486" s="1062"/>
      <c r="D486" s="1067"/>
      <c r="E486" s="630">
        <f t="shared" si="727"/>
        <v>1</v>
      </c>
      <c r="F486" s="631"/>
      <c r="G486" s="632">
        <f ca="1">$E486*(SUMIF(INDIRECT(G$3),'Struktur Aktuell'!$D486,INDIRECT(G$4))-SUMIF(INDIRECT(G$3),'Struktur Aktuell'!$D486,INDIRECT(G$5)))</f>
        <v>0</v>
      </c>
      <c r="H486" s="632">
        <f ca="1">$E486*(SUMIF(INDIRECT(H$3),'Struktur Aktuell'!$D486,INDIRECT(H$4))-SUMIF(INDIRECT(H$3),'Struktur Aktuell'!$D486,INDIRECT(H$5)))</f>
        <v>0</v>
      </c>
      <c r="I486" s="632">
        <f ca="1">$E486*(SUMIF(INDIRECT(I$3),'Struktur Aktuell'!$D486,INDIRECT(I$4))-SUMIF(INDIRECT(I$3),'Struktur Aktuell'!$D486,INDIRECT(I$5)))</f>
        <v>0</v>
      </c>
      <c r="J486" s="632">
        <f ca="1">$E486*(SUMIF(INDIRECT(J$3),'Struktur Aktuell'!$D486,INDIRECT(J$4))-SUMIF(INDIRECT(J$3),'Struktur Aktuell'!$D486,INDIRECT(J$5)))</f>
        <v>0</v>
      </c>
      <c r="K486" s="632">
        <f ca="1">$E486*(SUMIF(INDIRECT(K$3),'Struktur Aktuell'!$D486,INDIRECT(K$4))-SUMIF(INDIRECT(K$3),'Struktur Aktuell'!$D486,INDIRECT(K$5)))</f>
        <v>0</v>
      </c>
      <c r="L486" s="632">
        <f ca="1">$E486*(SUMIF(INDIRECT(L$3),'Struktur Aktuell'!$D486,INDIRECT(L$4))-SUMIF(INDIRECT(L$3),'Struktur Aktuell'!$D486,INDIRECT(L$5)))</f>
        <v>0</v>
      </c>
      <c r="M486" s="632">
        <f ca="1">$E486*(SUMIF(INDIRECT(M$3),'Struktur Aktuell'!$D486,INDIRECT(M$4))-SUMIF(INDIRECT(M$3),'Struktur Aktuell'!$D486,INDIRECT(M$5)))</f>
        <v>0</v>
      </c>
      <c r="N486" s="632">
        <f ca="1">$E486*(SUMIF(INDIRECT(N$3),'Struktur Aktuell'!$D486,INDIRECT(N$4))-SUMIF(INDIRECT(N$3),'Struktur Aktuell'!$D486,INDIRECT(N$5)))</f>
        <v>0</v>
      </c>
      <c r="O486" s="632">
        <f ca="1">$E486*(SUMIF(INDIRECT(O$3),'Struktur Aktuell'!$D486,INDIRECT(O$4))-SUMIF(INDIRECT(O$3),'Struktur Aktuell'!$D486,INDIRECT(O$5)))</f>
        <v>0</v>
      </c>
      <c r="P486" s="632">
        <f ca="1">$E486*(SUMIF(INDIRECT(P$3),'Struktur Aktuell'!$D486,INDIRECT(P$4))-SUMIF(INDIRECT(P$3),'Struktur Aktuell'!$D486,INDIRECT(P$5)))</f>
        <v>0</v>
      </c>
      <c r="Q486" s="632">
        <f ca="1">$E486*(SUMIF(INDIRECT(Q$3),'Struktur Aktuell'!$D486,INDIRECT(Q$4))-SUMIF(INDIRECT(Q$3),'Struktur Aktuell'!$D486,INDIRECT(Q$5)))</f>
        <v>0</v>
      </c>
      <c r="R486" s="632">
        <f ca="1">$E486*(SUMIF(INDIRECT(R$3),'Struktur Aktuell'!$D486,INDIRECT(R$4))-SUMIF(INDIRECT(R$3),'Struktur Aktuell'!$D486,INDIRECT(R$5)))</f>
        <v>0</v>
      </c>
      <c r="S486" s="632">
        <f ca="1">$E486*(SUMIF(INDIRECT(S$3),'Struktur Aktuell'!$D486,INDIRECT(S$4))-SUMIF(INDIRECT(S$3),'Struktur Aktuell'!$D486,INDIRECT(S$5)))</f>
        <v>0</v>
      </c>
      <c r="T486" s="632">
        <f ca="1">$E486*(SUMIF(INDIRECT(T$3),'Struktur Aktuell'!$D486,INDIRECT(T$4))-SUMIF(INDIRECT(T$3),'Struktur Aktuell'!$D486,INDIRECT(T$5)))</f>
        <v>0</v>
      </c>
      <c r="U486" s="632">
        <f ca="1">$E486*(SUMIF(INDIRECT(U$3),'Struktur Aktuell'!$D486,INDIRECT(U$4))-SUMIF(INDIRECT(U$3),'Struktur Aktuell'!$D486,INDIRECT(U$5)))</f>
        <v>0</v>
      </c>
      <c r="V486" s="632">
        <f ca="1">$E486*(SUMIF(INDIRECT(V$3),'Struktur Aktuell'!$D486,INDIRECT(V$4))-SUMIF(INDIRECT(V$3),'Struktur Aktuell'!$D486,INDIRECT(V$5)))</f>
        <v>0</v>
      </c>
      <c r="W486" s="632">
        <f ca="1">$E486*(SUMIF(INDIRECT(W$3),'Struktur Aktuell'!$D486,INDIRECT(W$4))-SUMIF(INDIRECT(W$3),'Struktur Aktuell'!$D486,INDIRECT(W$5)))</f>
        <v>0</v>
      </c>
      <c r="X486" s="632">
        <f ca="1">$E486*(SUMIF(INDIRECT(X$3),'Struktur Aktuell'!$D486,INDIRECT(X$4))-SUMIF(INDIRECT(X$3),'Struktur Aktuell'!$D486,INDIRECT(X$5)))</f>
        <v>0</v>
      </c>
      <c r="Y486" s="632">
        <f ca="1">$E486*(SUMIF(INDIRECT(Y$3),'Struktur Aktuell'!$D486,INDIRECT(Y$4))-SUMIF(INDIRECT(Y$3),'Struktur Aktuell'!$D486,INDIRECT(Y$5)))</f>
        <v>0</v>
      </c>
      <c r="Z486" s="632">
        <f ca="1">$E486*(SUMIF(INDIRECT(Z$3),'Struktur Aktuell'!$D486,INDIRECT(Z$4))-SUMIF(INDIRECT(Z$3),'Struktur Aktuell'!$D486,INDIRECT(Z$5)))</f>
        <v>0</v>
      </c>
      <c r="AA486" s="632">
        <f ca="1">$E486*(SUMIF(INDIRECT(AA$3),'Struktur Aktuell'!$D486,INDIRECT(AA$4))-SUMIF(INDIRECT(AA$3),'Struktur Aktuell'!$D486,INDIRECT(AA$5)))</f>
        <v>0</v>
      </c>
      <c r="AB486" s="632">
        <f ca="1">$E486*(SUMIF(INDIRECT(AB$3),'Struktur Aktuell'!$D486,INDIRECT(AB$4))-SUMIF(INDIRECT(AB$3),'Struktur Aktuell'!$D486,INDIRECT(AB$5)))</f>
        <v>0</v>
      </c>
      <c r="AC486" s="632">
        <f ca="1">$E486*(SUMIF(INDIRECT(AC$3),'Struktur Aktuell'!$D486,INDIRECT(AC$4))-SUMIF(INDIRECT(AC$3),'Struktur Aktuell'!$D486,INDIRECT(AC$5)))</f>
        <v>0</v>
      </c>
      <c r="AD486" s="632">
        <f ca="1">$E486*(SUMIF(INDIRECT(AD$3),'Struktur Aktuell'!$D486,INDIRECT(AD$4))-SUMIF(INDIRECT(AD$3),'Struktur Aktuell'!$D486,INDIRECT(AD$5)))</f>
        <v>0</v>
      </c>
      <c r="AE486" s="593">
        <f t="shared" ca="1" si="748"/>
        <v>0</v>
      </c>
      <c r="AF486" s="593">
        <f t="shared" ca="1" si="749"/>
        <v>0</v>
      </c>
      <c r="AG486" s="593">
        <f t="shared" ca="1" si="750"/>
        <v>0</v>
      </c>
      <c r="AH486" s="593">
        <f t="shared" ca="1" si="751"/>
        <v>0</v>
      </c>
      <c r="AI486" s="593">
        <f t="shared" ca="1" si="752"/>
        <v>0</v>
      </c>
      <c r="AJ486" s="593">
        <f t="shared" ca="1" si="753"/>
        <v>0</v>
      </c>
      <c r="AK486" s="593">
        <f t="shared" ca="1" si="754"/>
        <v>0</v>
      </c>
      <c r="AL486" s="593">
        <f t="shared" ca="1" si="755"/>
        <v>0</v>
      </c>
      <c r="AM486" s="593">
        <f t="shared" ca="1" si="756"/>
        <v>0</v>
      </c>
      <c r="AN486" s="593">
        <f t="shared" ca="1" si="757"/>
        <v>0</v>
      </c>
      <c r="AO486" s="593">
        <f t="shared" ca="1" si="758"/>
        <v>0</v>
      </c>
      <c r="AP486" s="593">
        <f t="shared" ca="1" si="759"/>
        <v>0</v>
      </c>
    </row>
    <row r="487" spans="1:42" s="589" customFormat="1" outlineLevel="1" x14ac:dyDescent="0.2">
      <c r="A487" s="629">
        <v>45</v>
      </c>
      <c r="B487" s="623" t="s">
        <v>284</v>
      </c>
      <c r="C487" s="627">
        <f ca="1">SUM(G487:R487)</f>
        <v>-23295.550000000003</v>
      </c>
      <c r="D487" s="627"/>
      <c r="E487" s="628">
        <f t="shared" si="727"/>
        <v>-1</v>
      </c>
      <c r="F487" s="628" t="s">
        <v>996</v>
      </c>
      <c r="G487" s="627">
        <f ca="1">SUM(G488:G505)</f>
        <v>-52668.81</v>
      </c>
      <c r="H487" s="627">
        <f t="shared" ref="H487:R487" ca="1" si="760">SUM(H488:H505)</f>
        <v>-488.82999999999981</v>
      </c>
      <c r="I487" s="627">
        <f t="shared" ca="1" si="760"/>
        <v>-7316.6000000000013</v>
      </c>
      <c r="J487" s="627">
        <f t="shared" ca="1" si="760"/>
        <v>6624.63</v>
      </c>
      <c r="K487" s="627">
        <f t="shared" ca="1" si="760"/>
        <v>-6529.54</v>
      </c>
      <c r="L487" s="627">
        <f t="shared" ca="1" si="760"/>
        <v>3897.7000000000003</v>
      </c>
      <c r="M487" s="627">
        <f ca="1">SUM(M488:M505)</f>
        <v>44866.16</v>
      </c>
      <c r="N487" s="627">
        <f t="shared" ca="1" si="760"/>
        <v>-35874.280000000006</v>
      </c>
      <c r="O487" s="627">
        <f t="shared" ca="1" si="760"/>
        <v>-2328.09</v>
      </c>
      <c r="P487" s="627">
        <f t="shared" ca="1" si="760"/>
        <v>26522.11</v>
      </c>
      <c r="Q487" s="627">
        <f t="shared" ca="1" si="760"/>
        <v>0</v>
      </c>
      <c r="R487" s="627">
        <f t="shared" ca="1" si="760"/>
        <v>0</v>
      </c>
      <c r="S487" s="627">
        <f ca="1">SUM(S488:S505)</f>
        <v>29027.690000000002</v>
      </c>
      <c r="T487" s="627">
        <f t="shared" ref="T487:X487" ca="1" si="761">SUM(T488:T505)</f>
        <v>28538.859999999997</v>
      </c>
      <c r="U487" s="627">
        <f t="shared" ca="1" si="761"/>
        <v>21222.26</v>
      </c>
      <c r="V487" s="627">
        <f t="shared" ca="1" si="761"/>
        <v>27846.890000000003</v>
      </c>
      <c r="W487" s="627">
        <f t="shared" ca="1" si="761"/>
        <v>21317.35</v>
      </c>
      <c r="X487" s="627">
        <f t="shared" ca="1" si="761"/>
        <v>25215.050000000003</v>
      </c>
      <c r="Y487" s="627">
        <f ca="1">SUM(Y488:Y505)</f>
        <v>70081.209999999992</v>
      </c>
      <c r="Z487" s="627">
        <f t="shared" ref="Z487:AD487" ca="1" si="762">SUM(Z488:Z505)</f>
        <v>34206.93</v>
      </c>
      <c r="AA487" s="627">
        <f t="shared" ca="1" si="762"/>
        <v>31878.84</v>
      </c>
      <c r="AB487" s="627">
        <f t="shared" ca="1" si="762"/>
        <v>58400.94999999999</v>
      </c>
      <c r="AC487" s="627">
        <f t="shared" ca="1" si="762"/>
        <v>0</v>
      </c>
      <c r="AD487" s="627">
        <f t="shared" ca="1" si="762"/>
        <v>0</v>
      </c>
      <c r="AE487" s="627">
        <f ca="1">SUM(AE488:AE505)</f>
        <v>-52668.81</v>
      </c>
      <c r="AF487" s="627">
        <f t="shared" ref="AF487:AJ487" ca="1" si="763">SUM(AF488:AF505)</f>
        <v>-53157.639999999992</v>
      </c>
      <c r="AG487" s="627">
        <f t="shared" ca="1" si="763"/>
        <v>-60474.239999999998</v>
      </c>
      <c r="AH487" s="627">
        <f t="shared" ca="1" si="763"/>
        <v>-53849.61</v>
      </c>
      <c r="AI487" s="627">
        <f t="shared" ca="1" si="763"/>
        <v>-60379.149999999994</v>
      </c>
      <c r="AJ487" s="627">
        <f t="shared" ca="1" si="763"/>
        <v>-56481.450000000004</v>
      </c>
      <c r="AK487" s="627">
        <f ca="1">SUM(AK488:AK505)</f>
        <v>-11615.29</v>
      </c>
      <c r="AL487" s="627">
        <f t="shared" ref="AL487:AP487" ca="1" si="764">SUM(AL488:AL505)</f>
        <v>-47489.57</v>
      </c>
      <c r="AM487" s="627">
        <f t="shared" ca="1" si="764"/>
        <v>-49817.66</v>
      </c>
      <c r="AN487" s="627">
        <f t="shared" ca="1" si="764"/>
        <v>-23295.550000000003</v>
      </c>
      <c r="AO487" s="627">
        <f t="shared" ca="1" si="764"/>
        <v>-23295.550000000003</v>
      </c>
      <c r="AP487" s="627">
        <f t="shared" ca="1" si="764"/>
        <v>-23295.550000000003</v>
      </c>
    </row>
    <row r="488" spans="1:42" s="594" customFormat="1" ht="11.25" outlineLevel="1" x14ac:dyDescent="0.2">
      <c r="A488" s="644"/>
      <c r="B488" s="591" t="str">
        <f>IF(D488&lt;&gt;"",
IF(ISERROR(MATCH(D488,'Ist Aktuell Monat 01'!A:A,0))=FALSE,INDEX('Ist Aktuell Monat 01'!B:B,MATCH(D488,'Ist Aktuell Monat 01'!A:A,0)),
IF(ISERROR(MATCH(D488,'Ist Aktuell Monat 02'!A:A,0))=FALSE,INDEX('Ist Aktuell Monat 02'!B:B,MATCH(D488,'Ist Aktuell Monat 02'!A:A,0)),
IF(ISERROR(MATCH(D488,'Ist Aktuell Monat 03'!A:A,0))=FALSE,INDEX('Ist Aktuell Monat 03'!B:B,MATCH(D488,'Ist Aktuell Monat 03'!A:A,0)),
IF(ISERROR(MATCH(D488,'Ist Aktuell Monat 04'!A:A,0))=FALSE,INDEX('Ist Aktuell Monat 04'!B:B,MATCH(D488,'Ist Aktuell Monat 04'!A:A,0)),
IF(ISERROR(MATCH(D488,'Ist Aktuell Monat 05'!A:A,0))=FALSE,INDEX('Ist Aktuell Monat 05'!B:B,MATCH(D488,'Ist Aktuell Monat 05'!A:A,0)),
IF(ISERROR(MATCH(D488,'Ist Aktuell Monat 06'!A:A,0))=FALSE,INDEX('Ist Aktuell Monat 06'!B:B,MATCH(D488,'Ist Aktuell Monat 06'!A:A,0)),
IF(ISERROR(MATCH(D488,'Ist Aktuell Monat 07'!A:A,0))=FALSE,INDEX('Ist Aktuell Monat 07'!B:B,MATCH(D488,'Ist Aktuell Monat 07'!A:A,0)),
IF(ISERROR(MATCH(D488,'Ist Aktuell Monat 08'!A:A,0))=FALSE,INDEX('Ist Aktuell Monat 08'!B:B,MATCH(D488,'Ist Aktuell Monat 08'!A:A,0)),
IF(ISERROR(MATCH(D488,'Ist Aktuell Monat 09'!A:A,0))=FALSE,INDEX('Ist Aktuell Monat 09'!B:B,MATCH(D488,'Ist Aktuell Monat 09'!A:A,0)),
IF(ISERROR(MATCH(D488,'Ist Aktuell Monat 10'!A:A,0))=FALSE,INDEX('Ist Aktuell Monat 10'!B:B,MATCH(D488,'Ist Aktuell Monat 10'!A:A,0)),
IF(ISERROR(MATCH(D488,'Ist Aktuell Monat 11'!A:A,0))=FALSE,INDEX('Ist Aktuell Monat 11'!B:B,MATCH(D488,'Ist Aktuell Monat 11'!A:A,0)),
IF(ISERROR(MATCH(D488,'Ist Aktuell Monat 12'!A:A,0))=FALSE,INDEX('Ist Aktuell Monat 12'!B:B,MATCH(D488,'Ist Aktuell Monat 12'!A:A,0)),
"{Konto unbekannt}"
)))))))))))),"")</f>
        <v>Forderungen aus Lieferungen u.Leistung</v>
      </c>
      <c r="C488" s="1062"/>
      <c r="D488" s="1067">
        <v>1400</v>
      </c>
      <c r="E488" s="625">
        <f t="shared" si="727"/>
        <v>-1</v>
      </c>
      <c r="F488" s="626" t="s">
        <v>996</v>
      </c>
      <c r="G488" s="593">
        <f ca="1">$E488*(SUMIF(INDIRECT(G$3),'Struktur Aktuell'!$D488,INDIRECT(G$4))-SUMIF(INDIRECT(G$3),'Struktur Aktuell'!$D488,INDIRECT(G$5)))</f>
        <v>-53195.15</v>
      </c>
      <c r="H488" s="593">
        <f ca="1">$E488*(SUMIF(INDIRECT(H$3),'Struktur Aktuell'!$D488,INDIRECT(H$4))-SUMIF(INDIRECT(H$3),'Struktur Aktuell'!$D488,INDIRECT(H$5)))</f>
        <v>-585.03</v>
      </c>
      <c r="I488" s="593">
        <f ca="1">$E488*(SUMIF(INDIRECT(I$3),'Struktur Aktuell'!$D488,INDIRECT(I$4))-SUMIF(INDIRECT(I$3),'Struktur Aktuell'!$D488,INDIRECT(I$5)))</f>
        <v>-9961.1</v>
      </c>
      <c r="J488" s="593">
        <f ca="1">$E488*(SUMIF(INDIRECT(J$3),'Struktur Aktuell'!$D488,INDIRECT(J$4))-SUMIF(INDIRECT(J$3),'Struktur Aktuell'!$D488,INDIRECT(J$5)))</f>
        <v>6948.46</v>
      </c>
      <c r="K488" s="593">
        <f ca="1">$E488*(SUMIF(INDIRECT(K$3),'Struktur Aktuell'!$D488,INDIRECT(K$4))-SUMIF(INDIRECT(K$3),'Struktur Aktuell'!$D488,INDIRECT(K$5)))</f>
        <v>-7973.54</v>
      </c>
      <c r="L488" s="593">
        <f ca="1">$E488*(SUMIF(INDIRECT(L$3),'Struktur Aktuell'!$D488,INDIRECT(L$4))-SUMIF(INDIRECT(L$3),'Struktur Aktuell'!$D488,INDIRECT(L$5)))</f>
        <v>3431.71</v>
      </c>
      <c r="M488" s="593">
        <f ca="1">$E488*(SUMIF(INDIRECT(M$3),'Struktur Aktuell'!$D488,INDIRECT(M$4))-SUMIF(INDIRECT(M$3),'Struktur Aktuell'!$D488,INDIRECT(M$5)))</f>
        <v>43316.54</v>
      </c>
      <c r="N488" s="593">
        <f ca="1">$E488*(SUMIF(INDIRECT(N$3),'Struktur Aktuell'!$D488,INDIRECT(N$4))-SUMIF(INDIRECT(N$3),'Struktur Aktuell'!$D488,INDIRECT(N$5)))</f>
        <v>-36936.300000000003</v>
      </c>
      <c r="O488" s="593">
        <f ca="1">$E488*(SUMIF(INDIRECT(O$3),'Struktur Aktuell'!$D488,INDIRECT(O$4))-SUMIF(INDIRECT(O$3),'Struktur Aktuell'!$D488,INDIRECT(O$5)))</f>
        <v>-2541.62</v>
      </c>
      <c r="P488" s="593">
        <f ca="1">$E488*(SUMIF(INDIRECT(P$3),'Struktur Aktuell'!$D488,INDIRECT(P$4))-SUMIF(INDIRECT(P$3),'Struktur Aktuell'!$D488,INDIRECT(P$5)))</f>
        <v>26214.43</v>
      </c>
      <c r="Q488" s="593">
        <f ca="1">$E488*(SUMIF(INDIRECT(Q$3),'Struktur Aktuell'!$D488,INDIRECT(Q$4))-SUMIF(INDIRECT(Q$3),'Struktur Aktuell'!$D488,INDIRECT(Q$5)))</f>
        <v>0</v>
      </c>
      <c r="R488" s="593">
        <f ca="1">$E488*(SUMIF(INDIRECT(R$3),'Struktur Aktuell'!$D488,INDIRECT(R$4))-SUMIF(INDIRECT(R$3),'Struktur Aktuell'!$D488,INDIRECT(R$5)))</f>
        <v>0</v>
      </c>
      <c r="S488" s="593">
        <f ca="1">$E488*(SUMIF(INDIRECT(S$3),'Struktur Aktuell'!$D488,INDIRECT(S$4))-SUMIF(INDIRECT(S$3),'Struktur Aktuell'!$D488,INDIRECT(S$5)))</f>
        <v>24554.15</v>
      </c>
      <c r="T488" s="593">
        <f ca="1">$E488*(SUMIF(INDIRECT(T$3),'Struktur Aktuell'!$D488,INDIRECT(T$4))-SUMIF(INDIRECT(T$3),'Struktur Aktuell'!$D488,INDIRECT(T$5)))</f>
        <v>23969.119999999999</v>
      </c>
      <c r="U488" s="593">
        <f ca="1">$E488*(SUMIF(INDIRECT(U$3),'Struktur Aktuell'!$D488,INDIRECT(U$4))-SUMIF(INDIRECT(U$3),'Struktur Aktuell'!$D488,INDIRECT(U$5)))</f>
        <v>14008.02</v>
      </c>
      <c r="V488" s="593">
        <f ca="1">$E488*(SUMIF(INDIRECT(V$3),'Struktur Aktuell'!$D488,INDIRECT(V$4))-SUMIF(INDIRECT(V$3),'Struktur Aktuell'!$D488,INDIRECT(V$5)))</f>
        <v>20956.48</v>
      </c>
      <c r="W488" s="593">
        <f ca="1">$E488*(SUMIF(INDIRECT(W$3),'Struktur Aktuell'!$D488,INDIRECT(W$4))-SUMIF(INDIRECT(W$3),'Struktur Aktuell'!$D488,INDIRECT(W$5)))</f>
        <v>12982.94</v>
      </c>
      <c r="X488" s="593">
        <f ca="1">$E488*(SUMIF(INDIRECT(X$3),'Struktur Aktuell'!$D488,INDIRECT(X$4))-SUMIF(INDIRECT(X$3),'Struktur Aktuell'!$D488,INDIRECT(X$5)))</f>
        <v>16414.650000000001</v>
      </c>
      <c r="Y488" s="593">
        <f ca="1">$E488*(SUMIF(INDIRECT(Y$3),'Struktur Aktuell'!$D488,INDIRECT(Y$4))-SUMIF(INDIRECT(Y$3),'Struktur Aktuell'!$D488,INDIRECT(Y$5)))</f>
        <v>59731.19</v>
      </c>
      <c r="Z488" s="593">
        <f ca="1">$E488*(SUMIF(INDIRECT(Z$3),'Struktur Aktuell'!$D488,INDIRECT(Z$4))-SUMIF(INDIRECT(Z$3),'Struktur Aktuell'!$D488,INDIRECT(Z$5)))</f>
        <v>22794.89</v>
      </c>
      <c r="AA488" s="593">
        <f ca="1">$E488*(SUMIF(INDIRECT(AA$3),'Struktur Aktuell'!$D488,INDIRECT(AA$4))-SUMIF(INDIRECT(AA$3),'Struktur Aktuell'!$D488,INDIRECT(AA$5)))</f>
        <v>20253.27</v>
      </c>
      <c r="AB488" s="593">
        <f ca="1">$E488*(SUMIF(INDIRECT(AB$3),'Struktur Aktuell'!$D488,INDIRECT(AB$4))-SUMIF(INDIRECT(AB$3),'Struktur Aktuell'!$D488,INDIRECT(AB$5)))</f>
        <v>46467.7</v>
      </c>
      <c r="AC488" s="593">
        <f ca="1">$E488*(SUMIF(INDIRECT(AC$3),'Struktur Aktuell'!$D488,INDIRECT(AC$4))-SUMIF(INDIRECT(AC$3),'Struktur Aktuell'!$D488,INDIRECT(AC$5)))</f>
        <v>0</v>
      </c>
      <c r="AD488" s="593">
        <f ca="1">$E488*(SUMIF(INDIRECT(AD$3),'Struktur Aktuell'!$D488,INDIRECT(AD$4))-SUMIF(INDIRECT(AD$3),'Struktur Aktuell'!$D488,INDIRECT(AD$5)))</f>
        <v>0</v>
      </c>
      <c r="AE488" s="593">
        <f t="shared" ref="AE488:AE505" ca="1" si="765">G488</f>
        <v>-53195.15</v>
      </c>
      <c r="AF488" s="593">
        <f t="shared" ref="AF488:AF505" ca="1" si="766">H488+AE488</f>
        <v>-53780.18</v>
      </c>
      <c r="AG488" s="593">
        <f t="shared" ref="AG488:AG505" ca="1" si="767">I488+AF488</f>
        <v>-63741.279999999999</v>
      </c>
      <c r="AH488" s="593">
        <f t="shared" ref="AH488:AH505" ca="1" si="768">J488+AG488</f>
        <v>-56792.82</v>
      </c>
      <c r="AI488" s="593">
        <f t="shared" ref="AI488:AI505" ca="1" si="769">K488+AH488</f>
        <v>-64766.36</v>
      </c>
      <c r="AJ488" s="593">
        <f t="shared" ref="AJ488:AJ505" ca="1" si="770">L488+AI488</f>
        <v>-61334.65</v>
      </c>
      <c r="AK488" s="593">
        <f t="shared" ref="AK488:AK505" ca="1" si="771">M488+AJ488</f>
        <v>-18018.11</v>
      </c>
      <c r="AL488" s="593">
        <f t="shared" ref="AL488:AL505" ca="1" si="772">N488+AK488</f>
        <v>-54954.41</v>
      </c>
      <c r="AM488" s="593">
        <f t="shared" ref="AM488:AM505" ca="1" si="773">O488+AL488</f>
        <v>-57496.030000000006</v>
      </c>
      <c r="AN488" s="593">
        <f t="shared" ref="AN488:AN505" ca="1" si="774">P488+AM488</f>
        <v>-31281.600000000006</v>
      </c>
      <c r="AO488" s="593">
        <f t="shared" ref="AO488:AO505" ca="1" si="775">Q488+AN488</f>
        <v>-31281.600000000006</v>
      </c>
      <c r="AP488" s="593">
        <f t="shared" ref="AP488:AP505" ca="1" si="776">R488+AO488</f>
        <v>-31281.600000000006</v>
      </c>
    </row>
    <row r="489" spans="1:42" s="594" customFormat="1" ht="11.25" outlineLevel="1" x14ac:dyDescent="0.2">
      <c r="A489" s="644"/>
      <c r="B489" s="591" t="str">
        <f>IF(D489&lt;&gt;"",
IF(ISERROR(MATCH(D489,'Ist Aktuell Monat 01'!A:A,0))=FALSE,INDEX('Ist Aktuell Monat 01'!B:B,MATCH(D489,'Ist Aktuell Monat 01'!A:A,0)),
IF(ISERROR(MATCH(D489,'Ist Aktuell Monat 02'!A:A,0))=FALSE,INDEX('Ist Aktuell Monat 02'!B:B,MATCH(D489,'Ist Aktuell Monat 02'!A:A,0)),
IF(ISERROR(MATCH(D489,'Ist Aktuell Monat 03'!A:A,0))=FALSE,INDEX('Ist Aktuell Monat 03'!B:B,MATCH(D489,'Ist Aktuell Monat 03'!A:A,0)),
IF(ISERROR(MATCH(D489,'Ist Aktuell Monat 04'!A:A,0))=FALSE,INDEX('Ist Aktuell Monat 04'!B:B,MATCH(D489,'Ist Aktuell Monat 04'!A:A,0)),
IF(ISERROR(MATCH(D489,'Ist Aktuell Monat 05'!A:A,0))=FALSE,INDEX('Ist Aktuell Monat 05'!B:B,MATCH(D489,'Ist Aktuell Monat 05'!A:A,0)),
IF(ISERROR(MATCH(D489,'Ist Aktuell Monat 06'!A:A,0))=FALSE,INDEX('Ist Aktuell Monat 06'!B:B,MATCH(D489,'Ist Aktuell Monat 06'!A:A,0)),
IF(ISERROR(MATCH(D489,'Ist Aktuell Monat 07'!A:A,0))=FALSE,INDEX('Ist Aktuell Monat 07'!B:B,MATCH(D489,'Ist Aktuell Monat 07'!A:A,0)),
IF(ISERROR(MATCH(D489,'Ist Aktuell Monat 08'!A:A,0))=FALSE,INDEX('Ist Aktuell Monat 08'!B:B,MATCH(D489,'Ist Aktuell Monat 08'!A:A,0)),
IF(ISERROR(MATCH(D489,'Ist Aktuell Monat 09'!A:A,0))=FALSE,INDEX('Ist Aktuell Monat 09'!B:B,MATCH(D489,'Ist Aktuell Monat 09'!A:A,0)),
IF(ISERROR(MATCH(D489,'Ist Aktuell Monat 10'!A:A,0))=FALSE,INDEX('Ist Aktuell Monat 10'!B:B,MATCH(D489,'Ist Aktuell Monat 10'!A:A,0)),
IF(ISERROR(MATCH(D489,'Ist Aktuell Monat 11'!A:A,0))=FALSE,INDEX('Ist Aktuell Monat 11'!B:B,MATCH(D489,'Ist Aktuell Monat 11'!A:A,0)),
IF(ISERROR(MATCH(D489,'Ist Aktuell Monat 12'!A:A,0))=FALSE,INDEX('Ist Aktuell Monat 12'!B:B,MATCH(D489,'Ist Aktuell Monat 12'!A:A,0)),
"{Konto unbekannt}"
)))))))))))),"")</f>
        <v>Durchlaufende Posten</v>
      </c>
      <c r="C489" s="1062"/>
      <c r="D489" s="1067">
        <v>1590</v>
      </c>
      <c r="E489" s="625">
        <f t="shared" si="727"/>
        <v>-1</v>
      </c>
      <c r="F489" s="626" t="s">
        <v>996</v>
      </c>
      <c r="G489" s="593">
        <f ca="1">$E489*(SUMIF(INDIRECT(G$3),'Struktur Aktuell'!$D489,INDIRECT(G$4))-SUMIF(INDIRECT(G$3),'Struktur Aktuell'!$D489,INDIRECT(G$5)))</f>
        <v>9.4</v>
      </c>
      <c r="H489" s="593">
        <f ca="1">$E489*(SUMIF(INDIRECT(H$3),'Struktur Aktuell'!$D489,INDIRECT(H$4))-SUMIF(INDIRECT(H$3),'Struktur Aktuell'!$D489,INDIRECT(H$5)))</f>
        <v>-526.79</v>
      </c>
      <c r="I489" s="593">
        <f ca="1">$E489*(SUMIF(INDIRECT(I$3),'Struktur Aktuell'!$D489,INDIRECT(I$4))-SUMIF(INDIRECT(I$3),'Struktur Aktuell'!$D489,INDIRECT(I$5)))</f>
        <v>1638.87</v>
      </c>
      <c r="J489" s="593">
        <f ca="1">$E489*(SUMIF(INDIRECT(J$3),'Struktur Aktuell'!$D489,INDIRECT(J$4))-SUMIF(INDIRECT(J$3),'Struktur Aktuell'!$D489,INDIRECT(J$5)))</f>
        <v>-1554.36</v>
      </c>
      <c r="K489" s="593">
        <f ca="1">$E489*(SUMIF(INDIRECT(K$3),'Struktur Aktuell'!$D489,INDIRECT(K$4))-SUMIF(INDIRECT(K$3),'Struktur Aktuell'!$D489,INDIRECT(K$5)))</f>
        <v>268.52</v>
      </c>
      <c r="L489" s="593">
        <f ca="1">$E489*(SUMIF(INDIRECT(L$3),'Struktur Aktuell'!$D489,INDIRECT(L$4))-SUMIF(INDIRECT(L$3),'Struktur Aktuell'!$D489,INDIRECT(L$5)))</f>
        <v>-211.92</v>
      </c>
      <c r="M489" s="593">
        <f ca="1">$E489*(SUMIF(INDIRECT(M$3),'Struktur Aktuell'!$D489,INDIRECT(M$4))-SUMIF(INDIRECT(M$3),'Struktur Aktuell'!$D489,INDIRECT(M$5)))</f>
        <v>121.89</v>
      </c>
      <c r="N489" s="593">
        <f ca="1">$E489*(SUMIF(INDIRECT(N$3),'Struktur Aktuell'!$D489,INDIRECT(N$4))-SUMIF(INDIRECT(N$3),'Struktur Aktuell'!$D489,INDIRECT(N$5)))</f>
        <v>122.55</v>
      </c>
      <c r="O489" s="593">
        <f ca="1">$E489*(SUMIF(INDIRECT(O$3),'Struktur Aktuell'!$D489,INDIRECT(O$4))-SUMIF(INDIRECT(O$3),'Struktur Aktuell'!$D489,INDIRECT(O$5)))</f>
        <v>0</v>
      </c>
      <c r="P489" s="593">
        <f ca="1">$E489*(SUMIF(INDIRECT(P$3),'Struktur Aktuell'!$D489,INDIRECT(P$4))-SUMIF(INDIRECT(P$3),'Struktur Aktuell'!$D489,INDIRECT(P$5)))</f>
        <v>-127.42</v>
      </c>
      <c r="Q489" s="593">
        <f ca="1">$E489*(SUMIF(INDIRECT(Q$3),'Struktur Aktuell'!$D489,INDIRECT(Q$4))-SUMIF(INDIRECT(Q$3),'Struktur Aktuell'!$D489,INDIRECT(Q$5)))</f>
        <v>0</v>
      </c>
      <c r="R489" s="593">
        <f ca="1">$E489*(SUMIF(INDIRECT(R$3),'Struktur Aktuell'!$D489,INDIRECT(R$4))-SUMIF(INDIRECT(R$3),'Struktur Aktuell'!$D489,INDIRECT(R$5)))</f>
        <v>0</v>
      </c>
      <c r="S489" s="593">
        <f ca="1">$E489*(SUMIF(INDIRECT(S$3),'Struktur Aktuell'!$D489,INDIRECT(S$4))-SUMIF(INDIRECT(S$3),'Struktur Aktuell'!$D489,INDIRECT(S$5)))</f>
        <v>9.4</v>
      </c>
      <c r="T489" s="593">
        <f ca="1">$E489*(SUMIF(INDIRECT(T$3),'Struktur Aktuell'!$D489,INDIRECT(T$4))-SUMIF(INDIRECT(T$3),'Struktur Aktuell'!$D489,INDIRECT(T$5)))</f>
        <v>-517.39</v>
      </c>
      <c r="U489" s="593">
        <f ca="1">$E489*(SUMIF(INDIRECT(U$3),'Struktur Aktuell'!$D489,INDIRECT(U$4))-SUMIF(INDIRECT(U$3),'Struktur Aktuell'!$D489,INDIRECT(U$5)))</f>
        <v>1121.48</v>
      </c>
      <c r="V489" s="593">
        <f ca="1">$E489*(SUMIF(INDIRECT(V$3),'Struktur Aktuell'!$D489,INDIRECT(V$4))-SUMIF(INDIRECT(V$3),'Struktur Aktuell'!$D489,INDIRECT(V$5)))</f>
        <v>-432.88</v>
      </c>
      <c r="W489" s="593">
        <f ca="1">$E489*(SUMIF(INDIRECT(W$3),'Struktur Aktuell'!$D489,INDIRECT(W$4))-SUMIF(INDIRECT(W$3),'Struktur Aktuell'!$D489,INDIRECT(W$5)))</f>
        <v>-164.36</v>
      </c>
      <c r="X489" s="593">
        <f ca="1">$E489*(SUMIF(INDIRECT(X$3),'Struktur Aktuell'!$D489,INDIRECT(X$4))-SUMIF(INDIRECT(X$3),'Struktur Aktuell'!$D489,INDIRECT(X$5)))</f>
        <v>-376.28</v>
      </c>
      <c r="Y489" s="593">
        <f ca="1">$E489*(SUMIF(INDIRECT(Y$3),'Struktur Aktuell'!$D489,INDIRECT(Y$4))-SUMIF(INDIRECT(Y$3),'Struktur Aktuell'!$D489,INDIRECT(Y$5)))</f>
        <v>-254.39</v>
      </c>
      <c r="Z489" s="593">
        <f ca="1">$E489*(SUMIF(INDIRECT(Z$3),'Struktur Aktuell'!$D489,INDIRECT(Z$4))-SUMIF(INDIRECT(Z$3),'Struktur Aktuell'!$D489,INDIRECT(Z$5)))</f>
        <v>-131.84</v>
      </c>
      <c r="AA489" s="593">
        <f ca="1">$E489*(SUMIF(INDIRECT(AA$3),'Struktur Aktuell'!$D489,INDIRECT(AA$4))-SUMIF(INDIRECT(AA$3),'Struktur Aktuell'!$D489,INDIRECT(AA$5)))</f>
        <v>-131.84</v>
      </c>
      <c r="AB489" s="593">
        <f ca="1">$E489*(SUMIF(INDIRECT(AB$3),'Struktur Aktuell'!$D489,INDIRECT(AB$4))-SUMIF(INDIRECT(AB$3),'Struktur Aktuell'!$D489,INDIRECT(AB$5)))</f>
        <v>-259.26</v>
      </c>
      <c r="AC489" s="593">
        <f ca="1">$E489*(SUMIF(INDIRECT(AC$3),'Struktur Aktuell'!$D489,INDIRECT(AC$4))-SUMIF(INDIRECT(AC$3),'Struktur Aktuell'!$D489,INDIRECT(AC$5)))</f>
        <v>0</v>
      </c>
      <c r="AD489" s="593">
        <f ca="1">$E489*(SUMIF(INDIRECT(AD$3),'Struktur Aktuell'!$D489,INDIRECT(AD$4))-SUMIF(INDIRECT(AD$3),'Struktur Aktuell'!$D489,INDIRECT(AD$5)))</f>
        <v>0</v>
      </c>
      <c r="AE489" s="593">
        <f t="shared" ca="1" si="765"/>
        <v>9.4</v>
      </c>
      <c r="AF489" s="593">
        <f t="shared" ca="1" si="766"/>
        <v>-517.39</v>
      </c>
      <c r="AG489" s="593">
        <f t="shared" ca="1" si="767"/>
        <v>1121.48</v>
      </c>
      <c r="AH489" s="593">
        <f t="shared" ca="1" si="768"/>
        <v>-432.87999999999988</v>
      </c>
      <c r="AI489" s="593">
        <f t="shared" ca="1" si="769"/>
        <v>-164.3599999999999</v>
      </c>
      <c r="AJ489" s="593">
        <f t="shared" ca="1" si="770"/>
        <v>-376.27999999999986</v>
      </c>
      <c r="AK489" s="593">
        <f t="shared" ca="1" si="771"/>
        <v>-254.38999999999987</v>
      </c>
      <c r="AL489" s="593">
        <f t="shared" ca="1" si="772"/>
        <v>-131.83999999999986</v>
      </c>
      <c r="AM489" s="593">
        <f t="shared" ca="1" si="773"/>
        <v>-131.83999999999986</v>
      </c>
      <c r="AN489" s="593">
        <f t="shared" ca="1" si="774"/>
        <v>-259.25999999999988</v>
      </c>
      <c r="AO489" s="593">
        <f t="shared" ca="1" si="775"/>
        <v>-259.25999999999988</v>
      </c>
      <c r="AP489" s="593">
        <f t="shared" ca="1" si="776"/>
        <v>-259.25999999999988</v>
      </c>
    </row>
    <row r="490" spans="1:42" s="594" customFormat="1" ht="11.25" outlineLevel="1" x14ac:dyDescent="0.2">
      <c r="A490" s="644"/>
      <c r="B490" s="591" t="str">
        <f>IF(D490&lt;&gt;"",
IF(ISERROR(MATCH(D490,'Ist Aktuell Monat 01'!A:A,0))=FALSE,INDEX('Ist Aktuell Monat 01'!B:B,MATCH(D490,'Ist Aktuell Monat 01'!A:A,0)),
IF(ISERROR(MATCH(D490,'Ist Aktuell Monat 02'!A:A,0))=FALSE,INDEX('Ist Aktuell Monat 02'!B:B,MATCH(D490,'Ist Aktuell Monat 02'!A:A,0)),
IF(ISERROR(MATCH(D490,'Ist Aktuell Monat 03'!A:A,0))=FALSE,INDEX('Ist Aktuell Monat 03'!B:B,MATCH(D490,'Ist Aktuell Monat 03'!A:A,0)),
IF(ISERROR(MATCH(D490,'Ist Aktuell Monat 04'!A:A,0))=FALSE,INDEX('Ist Aktuell Monat 04'!B:B,MATCH(D490,'Ist Aktuell Monat 04'!A:A,0)),
IF(ISERROR(MATCH(D490,'Ist Aktuell Monat 05'!A:A,0))=FALSE,INDEX('Ist Aktuell Monat 05'!B:B,MATCH(D490,'Ist Aktuell Monat 05'!A:A,0)),
IF(ISERROR(MATCH(D490,'Ist Aktuell Monat 06'!A:A,0))=FALSE,INDEX('Ist Aktuell Monat 06'!B:B,MATCH(D490,'Ist Aktuell Monat 06'!A:A,0)),
IF(ISERROR(MATCH(D490,'Ist Aktuell Monat 07'!A:A,0))=FALSE,INDEX('Ist Aktuell Monat 07'!B:B,MATCH(D490,'Ist Aktuell Monat 07'!A:A,0)),
IF(ISERROR(MATCH(D490,'Ist Aktuell Monat 08'!A:A,0))=FALSE,INDEX('Ist Aktuell Monat 08'!B:B,MATCH(D490,'Ist Aktuell Monat 08'!A:A,0)),
IF(ISERROR(MATCH(D490,'Ist Aktuell Monat 09'!A:A,0))=FALSE,INDEX('Ist Aktuell Monat 09'!B:B,MATCH(D490,'Ist Aktuell Monat 09'!A:A,0)),
IF(ISERROR(MATCH(D490,'Ist Aktuell Monat 10'!A:A,0))=FALSE,INDEX('Ist Aktuell Monat 10'!B:B,MATCH(D490,'Ist Aktuell Monat 10'!A:A,0)),
IF(ISERROR(MATCH(D490,'Ist Aktuell Monat 11'!A:A,0))=FALSE,INDEX('Ist Aktuell Monat 11'!B:B,MATCH(D490,'Ist Aktuell Monat 11'!A:A,0)),
IF(ISERROR(MATCH(D490,'Ist Aktuell Monat 12'!A:A,0))=FALSE,INDEX('Ist Aktuell Monat 12'!B:B,MATCH(D490,'Ist Aktuell Monat 12'!A:A,0)),
"{Konto unbekannt}"
)))))))))))),"")</f>
        <v>Abziehbare Vorsteuer 7%</v>
      </c>
      <c r="C490" s="1062"/>
      <c r="D490" s="1067">
        <v>1571</v>
      </c>
      <c r="E490" s="625">
        <f t="shared" si="727"/>
        <v>-1</v>
      </c>
      <c r="F490" s="642" t="s">
        <v>996</v>
      </c>
      <c r="G490" s="593">
        <f ca="1">$E490*(SUMIF(INDIRECT(G$3),'Struktur Aktuell'!$D490,INDIRECT(G$4))-SUMIF(INDIRECT(G$3),'Struktur Aktuell'!$D490,INDIRECT(G$5)))</f>
        <v>7.69</v>
      </c>
      <c r="H490" s="593">
        <f ca="1">$E490*(SUMIF(INDIRECT(H$3),'Struktur Aktuell'!$D490,INDIRECT(H$4))-SUMIF(INDIRECT(H$3),'Struktur Aktuell'!$D490,INDIRECT(H$5)))</f>
        <v>1.47</v>
      </c>
      <c r="I490" s="593">
        <f ca="1">$E490*(SUMIF(INDIRECT(I$3),'Struktur Aktuell'!$D490,INDIRECT(I$4))-SUMIF(INDIRECT(I$3),'Struktur Aktuell'!$D490,INDIRECT(I$5)))</f>
        <v>16.55</v>
      </c>
      <c r="J490" s="593">
        <f ca="1">$E490*(SUMIF(INDIRECT(J$3),'Struktur Aktuell'!$D490,INDIRECT(J$4))-SUMIF(INDIRECT(J$3),'Struktur Aktuell'!$D490,INDIRECT(J$5)))</f>
        <v>11.69</v>
      </c>
      <c r="K490" s="593">
        <f ca="1">$E490*(SUMIF(INDIRECT(K$3),'Struktur Aktuell'!$D490,INDIRECT(K$4))-SUMIF(INDIRECT(K$3),'Struktur Aktuell'!$D490,INDIRECT(K$5)))</f>
        <v>4.63</v>
      </c>
      <c r="L490" s="593">
        <f ca="1">$E490*(SUMIF(INDIRECT(L$3),'Struktur Aktuell'!$D490,INDIRECT(L$4))-SUMIF(INDIRECT(L$3),'Struktur Aktuell'!$D490,INDIRECT(L$5)))</f>
        <v>7.59</v>
      </c>
      <c r="M490" s="593">
        <f ca="1">$E490*(SUMIF(INDIRECT(M$3),'Struktur Aktuell'!$D490,INDIRECT(M$4))-SUMIF(INDIRECT(M$3),'Struktur Aktuell'!$D490,INDIRECT(M$5)))</f>
        <v>2.4500000000000002</v>
      </c>
      <c r="N490" s="593">
        <f ca="1">$E490*(SUMIF(INDIRECT(N$3),'Struktur Aktuell'!$D490,INDIRECT(N$4))-SUMIF(INDIRECT(N$3),'Struktur Aktuell'!$D490,INDIRECT(N$5)))</f>
        <v>2.2200000000000002</v>
      </c>
      <c r="O490" s="593">
        <f ca="1">$E490*(SUMIF(INDIRECT(O$3),'Struktur Aktuell'!$D490,INDIRECT(O$4))-SUMIF(INDIRECT(O$3),'Struktur Aktuell'!$D490,INDIRECT(O$5)))</f>
        <v>2.4500000000000002</v>
      </c>
      <c r="P490" s="593">
        <f ca="1">$E490*(SUMIF(INDIRECT(P$3),'Struktur Aktuell'!$D490,INDIRECT(P$4))-SUMIF(INDIRECT(P$3),'Struktur Aktuell'!$D490,INDIRECT(P$5)))</f>
        <v>11.52</v>
      </c>
      <c r="Q490" s="593">
        <f ca="1">$E490*(SUMIF(INDIRECT(Q$3),'Struktur Aktuell'!$D490,INDIRECT(Q$4))-SUMIF(INDIRECT(Q$3),'Struktur Aktuell'!$D490,INDIRECT(Q$5)))</f>
        <v>0</v>
      </c>
      <c r="R490" s="593">
        <f ca="1">$E490*(SUMIF(INDIRECT(R$3),'Struktur Aktuell'!$D490,INDIRECT(R$4))-SUMIF(INDIRECT(R$3),'Struktur Aktuell'!$D490,INDIRECT(R$5)))</f>
        <v>0</v>
      </c>
      <c r="S490" s="593">
        <f ca="1">$E490*(SUMIF(INDIRECT(S$3),'Struktur Aktuell'!$D490,INDIRECT(S$4))-SUMIF(INDIRECT(S$3),'Struktur Aktuell'!$D490,INDIRECT(S$5)))</f>
        <v>7.69</v>
      </c>
      <c r="T490" s="593">
        <f ca="1">$E490*(SUMIF(INDIRECT(T$3),'Struktur Aktuell'!$D490,INDIRECT(T$4))-SUMIF(INDIRECT(T$3),'Struktur Aktuell'!$D490,INDIRECT(T$5)))</f>
        <v>9.16</v>
      </c>
      <c r="U490" s="593">
        <f ca="1">$E490*(SUMIF(INDIRECT(U$3),'Struktur Aktuell'!$D490,INDIRECT(U$4))-SUMIF(INDIRECT(U$3),'Struktur Aktuell'!$D490,INDIRECT(U$5)))</f>
        <v>25.71</v>
      </c>
      <c r="V490" s="593">
        <f ca="1">$E490*(SUMIF(INDIRECT(V$3),'Struktur Aktuell'!$D490,INDIRECT(V$4))-SUMIF(INDIRECT(V$3),'Struktur Aktuell'!$D490,INDIRECT(V$5)))</f>
        <v>37.4</v>
      </c>
      <c r="W490" s="593">
        <f ca="1">$E490*(SUMIF(INDIRECT(W$3),'Struktur Aktuell'!$D490,INDIRECT(W$4))-SUMIF(INDIRECT(W$3),'Struktur Aktuell'!$D490,INDIRECT(W$5)))</f>
        <v>42.03</v>
      </c>
      <c r="X490" s="593">
        <f ca="1">$E490*(SUMIF(INDIRECT(X$3),'Struktur Aktuell'!$D490,INDIRECT(X$4))-SUMIF(INDIRECT(X$3),'Struktur Aktuell'!$D490,INDIRECT(X$5)))</f>
        <v>49.62</v>
      </c>
      <c r="Y490" s="593">
        <f ca="1">$E490*(SUMIF(INDIRECT(Y$3),'Struktur Aktuell'!$D490,INDIRECT(Y$4))-SUMIF(INDIRECT(Y$3),'Struktur Aktuell'!$D490,INDIRECT(Y$5)))</f>
        <v>52.07</v>
      </c>
      <c r="Z490" s="593">
        <f ca="1">$E490*(SUMIF(INDIRECT(Z$3),'Struktur Aktuell'!$D490,INDIRECT(Z$4))-SUMIF(INDIRECT(Z$3),'Struktur Aktuell'!$D490,INDIRECT(Z$5)))</f>
        <v>54.29</v>
      </c>
      <c r="AA490" s="593">
        <f ca="1">$E490*(SUMIF(INDIRECT(AA$3),'Struktur Aktuell'!$D490,INDIRECT(AA$4))-SUMIF(INDIRECT(AA$3),'Struktur Aktuell'!$D490,INDIRECT(AA$5)))</f>
        <v>56.74</v>
      </c>
      <c r="AB490" s="593">
        <f ca="1">$E490*(SUMIF(INDIRECT(AB$3),'Struktur Aktuell'!$D490,INDIRECT(AB$4))-SUMIF(INDIRECT(AB$3),'Struktur Aktuell'!$D490,INDIRECT(AB$5)))</f>
        <v>68.260000000000005</v>
      </c>
      <c r="AC490" s="593">
        <f ca="1">$E490*(SUMIF(INDIRECT(AC$3),'Struktur Aktuell'!$D490,INDIRECT(AC$4))-SUMIF(INDIRECT(AC$3),'Struktur Aktuell'!$D490,INDIRECT(AC$5)))</f>
        <v>0</v>
      </c>
      <c r="AD490" s="593">
        <f ca="1">$E490*(SUMIF(INDIRECT(AD$3),'Struktur Aktuell'!$D490,INDIRECT(AD$4))-SUMIF(INDIRECT(AD$3),'Struktur Aktuell'!$D490,INDIRECT(AD$5)))</f>
        <v>0</v>
      </c>
      <c r="AE490" s="593">
        <f t="shared" ca="1" si="765"/>
        <v>7.69</v>
      </c>
      <c r="AF490" s="593">
        <f t="shared" ca="1" si="766"/>
        <v>9.16</v>
      </c>
      <c r="AG490" s="593">
        <f t="shared" ca="1" si="767"/>
        <v>25.71</v>
      </c>
      <c r="AH490" s="593">
        <f t="shared" ca="1" si="768"/>
        <v>37.4</v>
      </c>
      <c r="AI490" s="593">
        <f t="shared" ca="1" si="769"/>
        <v>42.03</v>
      </c>
      <c r="AJ490" s="593">
        <f t="shared" ca="1" si="770"/>
        <v>49.620000000000005</v>
      </c>
      <c r="AK490" s="593">
        <f t="shared" ca="1" si="771"/>
        <v>52.070000000000007</v>
      </c>
      <c r="AL490" s="593">
        <f t="shared" ca="1" si="772"/>
        <v>54.290000000000006</v>
      </c>
      <c r="AM490" s="593">
        <f t="shared" ca="1" si="773"/>
        <v>56.740000000000009</v>
      </c>
      <c r="AN490" s="593">
        <f t="shared" ca="1" si="774"/>
        <v>68.260000000000005</v>
      </c>
      <c r="AO490" s="593">
        <f t="shared" ca="1" si="775"/>
        <v>68.260000000000005</v>
      </c>
      <c r="AP490" s="593">
        <f t="shared" ca="1" si="776"/>
        <v>68.260000000000005</v>
      </c>
    </row>
    <row r="491" spans="1:42" s="594" customFormat="1" ht="11.25" outlineLevel="1" x14ac:dyDescent="0.2">
      <c r="A491" s="644"/>
      <c r="B491" s="591" t="str">
        <f>IF(D491&lt;&gt;"",
IF(ISERROR(MATCH(D491,'Ist Aktuell Monat 01'!A:A,0))=FALSE,INDEX('Ist Aktuell Monat 01'!B:B,MATCH(D491,'Ist Aktuell Monat 01'!A:A,0)),
IF(ISERROR(MATCH(D491,'Ist Aktuell Monat 02'!A:A,0))=FALSE,INDEX('Ist Aktuell Monat 02'!B:B,MATCH(D491,'Ist Aktuell Monat 02'!A:A,0)),
IF(ISERROR(MATCH(D491,'Ist Aktuell Monat 03'!A:A,0))=FALSE,INDEX('Ist Aktuell Monat 03'!B:B,MATCH(D491,'Ist Aktuell Monat 03'!A:A,0)),
IF(ISERROR(MATCH(D491,'Ist Aktuell Monat 04'!A:A,0))=FALSE,INDEX('Ist Aktuell Monat 04'!B:B,MATCH(D491,'Ist Aktuell Monat 04'!A:A,0)),
IF(ISERROR(MATCH(D491,'Ist Aktuell Monat 05'!A:A,0))=FALSE,INDEX('Ist Aktuell Monat 05'!B:B,MATCH(D491,'Ist Aktuell Monat 05'!A:A,0)),
IF(ISERROR(MATCH(D491,'Ist Aktuell Monat 06'!A:A,0))=FALSE,INDEX('Ist Aktuell Monat 06'!B:B,MATCH(D491,'Ist Aktuell Monat 06'!A:A,0)),
IF(ISERROR(MATCH(D491,'Ist Aktuell Monat 07'!A:A,0))=FALSE,INDEX('Ist Aktuell Monat 07'!B:B,MATCH(D491,'Ist Aktuell Monat 07'!A:A,0)),
IF(ISERROR(MATCH(D491,'Ist Aktuell Monat 08'!A:A,0))=FALSE,INDEX('Ist Aktuell Monat 08'!B:B,MATCH(D491,'Ist Aktuell Monat 08'!A:A,0)),
IF(ISERROR(MATCH(D491,'Ist Aktuell Monat 09'!A:A,0))=FALSE,INDEX('Ist Aktuell Monat 09'!B:B,MATCH(D491,'Ist Aktuell Monat 09'!A:A,0)),
IF(ISERROR(MATCH(D491,'Ist Aktuell Monat 10'!A:A,0))=FALSE,INDEX('Ist Aktuell Monat 10'!B:B,MATCH(D491,'Ist Aktuell Monat 10'!A:A,0)),
IF(ISERROR(MATCH(D491,'Ist Aktuell Monat 11'!A:A,0))=FALSE,INDEX('Ist Aktuell Monat 11'!B:B,MATCH(D491,'Ist Aktuell Monat 11'!A:A,0)),
IF(ISERROR(MATCH(D491,'Ist Aktuell Monat 12'!A:A,0))=FALSE,INDEX('Ist Aktuell Monat 12'!B:B,MATCH(D491,'Ist Aktuell Monat 12'!A:A,0)),
"{Konto unbekannt}"
)))))))))))),"")</f>
        <v>Abziehbare Vorsteuer aus EU-Erwerb 19%</v>
      </c>
      <c r="C491" s="1062"/>
      <c r="D491" s="1067">
        <v>1574</v>
      </c>
      <c r="E491" s="625">
        <f t="shared" si="727"/>
        <v>-1</v>
      </c>
      <c r="F491" s="626" t="s">
        <v>996</v>
      </c>
      <c r="G491" s="593">
        <f ca="1">$E491*(SUMIF(INDIRECT(G$3),'Struktur Aktuell'!$D491,INDIRECT(G$4))-SUMIF(INDIRECT(G$3),'Struktur Aktuell'!$D491,INDIRECT(G$5)))</f>
        <v>10.47</v>
      </c>
      <c r="H491" s="593">
        <f ca="1">$E491*(SUMIF(INDIRECT(H$3),'Struktur Aktuell'!$D491,INDIRECT(H$4))-SUMIF(INDIRECT(H$3),'Struktur Aktuell'!$D491,INDIRECT(H$5)))</f>
        <v>10.47</v>
      </c>
      <c r="I491" s="593">
        <f ca="1">$E491*(SUMIF(INDIRECT(I$3),'Struktur Aktuell'!$D491,INDIRECT(I$4))-SUMIF(INDIRECT(I$3),'Struktur Aktuell'!$D491,INDIRECT(I$5)))</f>
        <v>18.809999999999999</v>
      </c>
      <c r="J491" s="593">
        <f ca="1">$E491*(SUMIF(INDIRECT(J$3),'Struktur Aktuell'!$D491,INDIRECT(J$4))-SUMIF(INDIRECT(J$3),'Struktur Aktuell'!$D491,INDIRECT(J$5)))</f>
        <v>19.02</v>
      </c>
      <c r="K491" s="593">
        <f ca="1">$E491*(SUMIF(INDIRECT(K$3),'Struktur Aktuell'!$D491,INDIRECT(K$4))-SUMIF(INDIRECT(K$3),'Struktur Aktuell'!$D491,INDIRECT(K$5)))</f>
        <v>8.5299999999999994</v>
      </c>
      <c r="L491" s="593">
        <f ca="1">$E491*(SUMIF(INDIRECT(L$3),'Struktur Aktuell'!$D491,INDIRECT(L$4))-SUMIF(INDIRECT(L$3),'Struktur Aktuell'!$D491,INDIRECT(L$5)))</f>
        <v>39.9</v>
      </c>
      <c r="M491" s="593">
        <f ca="1">$E491*(SUMIF(INDIRECT(M$3),'Struktur Aktuell'!$D491,INDIRECT(M$4))-SUMIF(INDIRECT(M$3),'Struktur Aktuell'!$D491,INDIRECT(M$5)))</f>
        <v>25.64</v>
      </c>
      <c r="N491" s="593">
        <f ca="1">$E491*(SUMIF(INDIRECT(N$3),'Struktur Aktuell'!$D491,INDIRECT(N$4))-SUMIF(INDIRECT(N$3),'Struktur Aktuell'!$D491,INDIRECT(N$5)))</f>
        <v>9.5</v>
      </c>
      <c r="O491" s="593">
        <f ca="1">$E491*(SUMIF(INDIRECT(O$3),'Struktur Aktuell'!$D491,INDIRECT(O$4))-SUMIF(INDIRECT(O$3),'Struktur Aktuell'!$D491,INDIRECT(O$5)))</f>
        <v>0</v>
      </c>
      <c r="P491" s="593">
        <f ca="1">$E491*(SUMIF(INDIRECT(P$3),'Struktur Aktuell'!$D491,INDIRECT(P$4))-SUMIF(INDIRECT(P$3),'Struktur Aktuell'!$D491,INDIRECT(P$5)))</f>
        <v>19</v>
      </c>
      <c r="Q491" s="593">
        <f ca="1">$E491*(SUMIF(INDIRECT(Q$3),'Struktur Aktuell'!$D491,INDIRECT(Q$4))-SUMIF(INDIRECT(Q$3),'Struktur Aktuell'!$D491,INDIRECT(Q$5)))</f>
        <v>0</v>
      </c>
      <c r="R491" s="593">
        <f ca="1">$E491*(SUMIF(INDIRECT(R$3),'Struktur Aktuell'!$D491,INDIRECT(R$4))-SUMIF(INDIRECT(R$3),'Struktur Aktuell'!$D491,INDIRECT(R$5)))</f>
        <v>0</v>
      </c>
      <c r="S491" s="593">
        <f ca="1">$E491*(SUMIF(INDIRECT(S$3),'Struktur Aktuell'!$D491,INDIRECT(S$4))-SUMIF(INDIRECT(S$3),'Struktur Aktuell'!$D491,INDIRECT(S$5)))</f>
        <v>10.47</v>
      </c>
      <c r="T491" s="593">
        <f ca="1">$E491*(SUMIF(INDIRECT(T$3),'Struktur Aktuell'!$D491,INDIRECT(T$4))-SUMIF(INDIRECT(T$3),'Struktur Aktuell'!$D491,INDIRECT(T$5)))</f>
        <v>20.94</v>
      </c>
      <c r="U491" s="593">
        <f ca="1">$E491*(SUMIF(INDIRECT(U$3),'Struktur Aktuell'!$D491,INDIRECT(U$4))-SUMIF(INDIRECT(U$3),'Struktur Aktuell'!$D491,INDIRECT(U$5)))</f>
        <v>39.75</v>
      </c>
      <c r="V491" s="593">
        <f ca="1">$E491*(SUMIF(INDIRECT(V$3),'Struktur Aktuell'!$D491,INDIRECT(V$4))-SUMIF(INDIRECT(V$3),'Struktur Aktuell'!$D491,INDIRECT(V$5)))</f>
        <v>58.77</v>
      </c>
      <c r="W491" s="593">
        <f ca="1">$E491*(SUMIF(INDIRECT(W$3),'Struktur Aktuell'!$D491,INDIRECT(W$4))-SUMIF(INDIRECT(W$3),'Struktur Aktuell'!$D491,INDIRECT(W$5)))</f>
        <v>67.3</v>
      </c>
      <c r="X491" s="593">
        <f ca="1">$E491*(SUMIF(INDIRECT(X$3),'Struktur Aktuell'!$D491,INDIRECT(X$4))-SUMIF(INDIRECT(X$3),'Struktur Aktuell'!$D491,INDIRECT(X$5)))</f>
        <v>107.2</v>
      </c>
      <c r="Y491" s="593">
        <f ca="1">$E491*(SUMIF(INDIRECT(Y$3),'Struktur Aktuell'!$D491,INDIRECT(Y$4))-SUMIF(INDIRECT(Y$3),'Struktur Aktuell'!$D491,INDIRECT(Y$5)))</f>
        <v>132.84</v>
      </c>
      <c r="Z491" s="593">
        <f ca="1">$E491*(SUMIF(INDIRECT(Z$3),'Struktur Aktuell'!$D491,INDIRECT(Z$4))-SUMIF(INDIRECT(Z$3),'Struktur Aktuell'!$D491,INDIRECT(Z$5)))</f>
        <v>142.34</v>
      </c>
      <c r="AA491" s="593">
        <f ca="1">$E491*(SUMIF(INDIRECT(AA$3),'Struktur Aktuell'!$D491,INDIRECT(AA$4))-SUMIF(INDIRECT(AA$3),'Struktur Aktuell'!$D491,INDIRECT(AA$5)))</f>
        <v>142.34</v>
      </c>
      <c r="AB491" s="593">
        <f ca="1">$E491*(SUMIF(INDIRECT(AB$3),'Struktur Aktuell'!$D491,INDIRECT(AB$4))-SUMIF(INDIRECT(AB$3),'Struktur Aktuell'!$D491,INDIRECT(AB$5)))</f>
        <v>161.34</v>
      </c>
      <c r="AC491" s="593">
        <f ca="1">$E491*(SUMIF(INDIRECT(AC$3),'Struktur Aktuell'!$D491,INDIRECT(AC$4))-SUMIF(INDIRECT(AC$3),'Struktur Aktuell'!$D491,INDIRECT(AC$5)))</f>
        <v>0</v>
      </c>
      <c r="AD491" s="593">
        <f ca="1">$E491*(SUMIF(INDIRECT(AD$3),'Struktur Aktuell'!$D491,INDIRECT(AD$4))-SUMIF(INDIRECT(AD$3),'Struktur Aktuell'!$D491,INDIRECT(AD$5)))</f>
        <v>0</v>
      </c>
      <c r="AE491" s="593">
        <f t="shared" ca="1" si="765"/>
        <v>10.47</v>
      </c>
      <c r="AF491" s="593">
        <f t="shared" ca="1" si="766"/>
        <v>20.94</v>
      </c>
      <c r="AG491" s="593">
        <f t="shared" ca="1" si="767"/>
        <v>39.75</v>
      </c>
      <c r="AH491" s="593">
        <f t="shared" ca="1" si="768"/>
        <v>58.769999999999996</v>
      </c>
      <c r="AI491" s="593">
        <f t="shared" ca="1" si="769"/>
        <v>67.3</v>
      </c>
      <c r="AJ491" s="593">
        <f t="shared" ca="1" si="770"/>
        <v>107.19999999999999</v>
      </c>
      <c r="AK491" s="593">
        <f t="shared" ca="1" si="771"/>
        <v>132.83999999999997</v>
      </c>
      <c r="AL491" s="593">
        <f t="shared" ca="1" si="772"/>
        <v>142.33999999999997</v>
      </c>
      <c r="AM491" s="593">
        <f t="shared" ca="1" si="773"/>
        <v>142.33999999999997</v>
      </c>
      <c r="AN491" s="593">
        <f t="shared" ca="1" si="774"/>
        <v>161.33999999999997</v>
      </c>
      <c r="AO491" s="593">
        <f t="shared" ca="1" si="775"/>
        <v>161.33999999999997</v>
      </c>
      <c r="AP491" s="593">
        <f t="shared" ca="1" si="776"/>
        <v>161.33999999999997</v>
      </c>
    </row>
    <row r="492" spans="1:42" s="594" customFormat="1" ht="11.25" outlineLevel="1" x14ac:dyDescent="0.2">
      <c r="A492" s="644"/>
      <c r="B492" s="591" t="str">
        <f>IF(D492&lt;&gt;"",
IF(ISERROR(MATCH(D492,'Ist Aktuell Monat 01'!A:A,0))=FALSE,INDEX('Ist Aktuell Monat 01'!B:B,MATCH(D492,'Ist Aktuell Monat 01'!A:A,0)),
IF(ISERROR(MATCH(D492,'Ist Aktuell Monat 02'!A:A,0))=FALSE,INDEX('Ist Aktuell Monat 02'!B:B,MATCH(D492,'Ist Aktuell Monat 02'!A:A,0)),
IF(ISERROR(MATCH(D492,'Ist Aktuell Monat 03'!A:A,0))=FALSE,INDEX('Ist Aktuell Monat 03'!B:B,MATCH(D492,'Ist Aktuell Monat 03'!A:A,0)),
IF(ISERROR(MATCH(D492,'Ist Aktuell Monat 04'!A:A,0))=FALSE,INDEX('Ist Aktuell Monat 04'!B:B,MATCH(D492,'Ist Aktuell Monat 04'!A:A,0)),
IF(ISERROR(MATCH(D492,'Ist Aktuell Monat 05'!A:A,0))=FALSE,INDEX('Ist Aktuell Monat 05'!B:B,MATCH(D492,'Ist Aktuell Monat 05'!A:A,0)),
IF(ISERROR(MATCH(D492,'Ist Aktuell Monat 06'!A:A,0))=FALSE,INDEX('Ist Aktuell Monat 06'!B:B,MATCH(D492,'Ist Aktuell Monat 06'!A:A,0)),
IF(ISERROR(MATCH(D492,'Ist Aktuell Monat 07'!A:A,0))=FALSE,INDEX('Ist Aktuell Monat 07'!B:B,MATCH(D492,'Ist Aktuell Monat 07'!A:A,0)),
IF(ISERROR(MATCH(D492,'Ist Aktuell Monat 08'!A:A,0))=FALSE,INDEX('Ist Aktuell Monat 08'!B:B,MATCH(D492,'Ist Aktuell Monat 08'!A:A,0)),
IF(ISERROR(MATCH(D492,'Ist Aktuell Monat 09'!A:A,0))=FALSE,INDEX('Ist Aktuell Monat 09'!B:B,MATCH(D492,'Ist Aktuell Monat 09'!A:A,0)),
IF(ISERROR(MATCH(D492,'Ist Aktuell Monat 10'!A:A,0))=FALSE,INDEX('Ist Aktuell Monat 10'!B:B,MATCH(D492,'Ist Aktuell Monat 10'!A:A,0)),
IF(ISERROR(MATCH(D492,'Ist Aktuell Monat 11'!A:A,0))=FALSE,INDEX('Ist Aktuell Monat 11'!B:B,MATCH(D492,'Ist Aktuell Monat 11'!A:A,0)),
IF(ISERROR(MATCH(D492,'Ist Aktuell Monat 12'!A:A,0))=FALSE,INDEX('Ist Aktuell Monat 12'!B:B,MATCH(D492,'Ist Aktuell Monat 12'!A:A,0)),
"{Konto unbekannt}"
)))))))))))),"")</f>
        <v>Abziehbare Vorsteuer 19%</v>
      </c>
      <c r="C492" s="1062"/>
      <c r="D492" s="1067">
        <v>1576</v>
      </c>
      <c r="E492" s="625">
        <f t="shared" si="727"/>
        <v>-1</v>
      </c>
      <c r="F492" s="626" t="s">
        <v>996</v>
      </c>
      <c r="G492" s="593">
        <f ca="1">$E492*(SUMIF(INDIRECT(G$3),'Struktur Aktuell'!$D492,INDIRECT(G$4))-SUMIF(INDIRECT(G$3),'Struktur Aktuell'!$D492,INDIRECT(G$5)))</f>
        <v>651.92999999999995</v>
      </c>
      <c r="H492" s="593">
        <f ca="1">$E492*(SUMIF(INDIRECT(H$3),'Struktur Aktuell'!$D492,INDIRECT(H$4))-SUMIF(INDIRECT(H$3),'Struktur Aktuell'!$D492,INDIRECT(H$5)))</f>
        <v>615.83000000000004</v>
      </c>
      <c r="I492" s="593">
        <f ca="1">$E492*(SUMIF(INDIRECT(I$3),'Struktur Aktuell'!$D492,INDIRECT(I$4))-SUMIF(INDIRECT(I$3),'Struktur Aktuell'!$D492,INDIRECT(I$5)))</f>
        <v>965.49</v>
      </c>
      <c r="J492" s="593">
        <f ca="1">$E492*(SUMIF(INDIRECT(J$3),'Struktur Aktuell'!$D492,INDIRECT(J$4))-SUMIF(INDIRECT(J$3),'Struktur Aktuell'!$D492,INDIRECT(J$5)))</f>
        <v>1200.04</v>
      </c>
      <c r="K492" s="593">
        <f ca="1">$E492*(SUMIF(INDIRECT(K$3),'Struktur Aktuell'!$D492,INDIRECT(K$4))-SUMIF(INDIRECT(K$3),'Struktur Aktuell'!$D492,INDIRECT(K$5)))</f>
        <v>1057.72</v>
      </c>
      <c r="L492" s="593">
        <f ca="1">$E492*(SUMIF(INDIRECT(L$3),'Struktur Aktuell'!$D492,INDIRECT(L$4))-SUMIF(INDIRECT(L$3),'Struktur Aktuell'!$D492,INDIRECT(L$5)))</f>
        <v>740.94</v>
      </c>
      <c r="M492" s="593">
        <f ca="1">$E492*(SUMIF(INDIRECT(M$3),'Struktur Aktuell'!$D492,INDIRECT(M$4))-SUMIF(INDIRECT(M$3),'Struktur Aktuell'!$D492,INDIRECT(M$5)))</f>
        <v>861.53</v>
      </c>
      <c r="N492" s="593">
        <f ca="1">$E492*(SUMIF(INDIRECT(N$3),'Struktur Aktuell'!$D492,INDIRECT(N$4))-SUMIF(INDIRECT(N$3),'Struktur Aktuell'!$D492,INDIRECT(N$5)))</f>
        <v>770.95</v>
      </c>
      <c r="O492" s="593">
        <f ca="1">$E492*(SUMIF(INDIRECT(O$3),'Struktur Aktuell'!$D492,INDIRECT(O$4))-SUMIF(INDIRECT(O$3),'Struktur Aktuell'!$D492,INDIRECT(O$5)))</f>
        <v>403.1</v>
      </c>
      <c r="P492" s="593">
        <f ca="1">$E492*(SUMIF(INDIRECT(P$3),'Struktur Aktuell'!$D492,INDIRECT(P$4))-SUMIF(INDIRECT(P$3),'Struktur Aktuell'!$D492,INDIRECT(P$5)))</f>
        <v>435.53</v>
      </c>
      <c r="Q492" s="593">
        <f ca="1">$E492*(SUMIF(INDIRECT(Q$3),'Struktur Aktuell'!$D492,INDIRECT(Q$4))-SUMIF(INDIRECT(Q$3),'Struktur Aktuell'!$D492,INDIRECT(Q$5)))</f>
        <v>0</v>
      </c>
      <c r="R492" s="593">
        <f ca="1">$E492*(SUMIF(INDIRECT(R$3),'Struktur Aktuell'!$D492,INDIRECT(R$4))-SUMIF(INDIRECT(R$3),'Struktur Aktuell'!$D492,INDIRECT(R$5)))</f>
        <v>0</v>
      </c>
      <c r="S492" s="593">
        <f ca="1">$E492*(SUMIF(INDIRECT(S$3),'Struktur Aktuell'!$D492,INDIRECT(S$4))-SUMIF(INDIRECT(S$3),'Struktur Aktuell'!$D492,INDIRECT(S$5)))</f>
        <v>651.92999999999995</v>
      </c>
      <c r="T492" s="593">
        <f ca="1">$E492*(SUMIF(INDIRECT(T$3),'Struktur Aktuell'!$D492,INDIRECT(T$4))-SUMIF(INDIRECT(T$3),'Struktur Aktuell'!$D492,INDIRECT(T$5)))</f>
        <v>1267.76</v>
      </c>
      <c r="U492" s="593">
        <f ca="1">$E492*(SUMIF(INDIRECT(U$3),'Struktur Aktuell'!$D492,INDIRECT(U$4))-SUMIF(INDIRECT(U$3),'Struktur Aktuell'!$D492,INDIRECT(U$5)))</f>
        <v>2233.25</v>
      </c>
      <c r="V492" s="593">
        <f ca="1">$E492*(SUMIF(INDIRECT(V$3),'Struktur Aktuell'!$D492,INDIRECT(V$4))-SUMIF(INDIRECT(V$3),'Struktur Aktuell'!$D492,INDIRECT(V$5)))</f>
        <v>3433.29</v>
      </c>
      <c r="W492" s="593">
        <f ca="1">$E492*(SUMIF(INDIRECT(W$3),'Struktur Aktuell'!$D492,INDIRECT(W$4))-SUMIF(INDIRECT(W$3),'Struktur Aktuell'!$D492,INDIRECT(W$5)))</f>
        <v>4491.01</v>
      </c>
      <c r="X492" s="593">
        <f ca="1">$E492*(SUMIF(INDIRECT(X$3),'Struktur Aktuell'!$D492,INDIRECT(X$4))-SUMIF(INDIRECT(X$3),'Struktur Aktuell'!$D492,INDIRECT(X$5)))</f>
        <v>5231.95</v>
      </c>
      <c r="Y492" s="593">
        <f ca="1">$E492*(SUMIF(INDIRECT(Y$3),'Struktur Aktuell'!$D492,INDIRECT(Y$4))-SUMIF(INDIRECT(Y$3),'Struktur Aktuell'!$D492,INDIRECT(Y$5)))</f>
        <v>6093.48</v>
      </c>
      <c r="Z492" s="593">
        <f ca="1">$E492*(SUMIF(INDIRECT(Z$3),'Struktur Aktuell'!$D492,INDIRECT(Z$4))-SUMIF(INDIRECT(Z$3),'Struktur Aktuell'!$D492,INDIRECT(Z$5)))</f>
        <v>6864.43</v>
      </c>
      <c r="AA492" s="593">
        <f ca="1">$E492*(SUMIF(INDIRECT(AA$3),'Struktur Aktuell'!$D492,INDIRECT(AA$4))-SUMIF(INDIRECT(AA$3),'Struktur Aktuell'!$D492,INDIRECT(AA$5)))</f>
        <v>7267.53</v>
      </c>
      <c r="AB492" s="593">
        <f ca="1">$E492*(SUMIF(INDIRECT(AB$3),'Struktur Aktuell'!$D492,INDIRECT(AB$4))-SUMIF(INDIRECT(AB$3),'Struktur Aktuell'!$D492,INDIRECT(AB$5)))</f>
        <v>7703.06</v>
      </c>
      <c r="AC492" s="593">
        <f ca="1">$E492*(SUMIF(INDIRECT(AC$3),'Struktur Aktuell'!$D492,INDIRECT(AC$4))-SUMIF(INDIRECT(AC$3),'Struktur Aktuell'!$D492,INDIRECT(AC$5)))</f>
        <v>0</v>
      </c>
      <c r="AD492" s="593">
        <f ca="1">$E492*(SUMIF(INDIRECT(AD$3),'Struktur Aktuell'!$D492,INDIRECT(AD$4))-SUMIF(INDIRECT(AD$3),'Struktur Aktuell'!$D492,INDIRECT(AD$5)))</f>
        <v>0</v>
      </c>
      <c r="AE492" s="593">
        <f t="shared" ca="1" si="765"/>
        <v>651.92999999999995</v>
      </c>
      <c r="AF492" s="593">
        <f t="shared" ca="1" si="766"/>
        <v>1267.76</v>
      </c>
      <c r="AG492" s="593">
        <f t="shared" ca="1" si="767"/>
        <v>2233.25</v>
      </c>
      <c r="AH492" s="593">
        <f t="shared" ca="1" si="768"/>
        <v>3433.29</v>
      </c>
      <c r="AI492" s="593">
        <f t="shared" ca="1" si="769"/>
        <v>4491.01</v>
      </c>
      <c r="AJ492" s="593">
        <f t="shared" ca="1" si="770"/>
        <v>5231.9500000000007</v>
      </c>
      <c r="AK492" s="593">
        <f t="shared" ca="1" si="771"/>
        <v>6093.4800000000005</v>
      </c>
      <c r="AL492" s="593">
        <f t="shared" ca="1" si="772"/>
        <v>6864.43</v>
      </c>
      <c r="AM492" s="593">
        <f t="shared" ca="1" si="773"/>
        <v>7267.5300000000007</v>
      </c>
      <c r="AN492" s="593">
        <f t="shared" ca="1" si="774"/>
        <v>7703.06</v>
      </c>
      <c r="AO492" s="593">
        <f t="shared" ca="1" si="775"/>
        <v>7703.06</v>
      </c>
      <c r="AP492" s="593">
        <f t="shared" ca="1" si="776"/>
        <v>7703.06</v>
      </c>
    </row>
    <row r="493" spans="1:42" s="594" customFormat="1" ht="11.25" outlineLevel="1" x14ac:dyDescent="0.2">
      <c r="A493" s="644"/>
      <c r="B493" s="591" t="str">
        <f>IF(D493&lt;&gt;"",
IF(ISERROR(MATCH(D493,'Ist Aktuell Monat 01'!A:A,0))=FALSE,INDEX('Ist Aktuell Monat 01'!B:B,MATCH(D493,'Ist Aktuell Monat 01'!A:A,0)),
IF(ISERROR(MATCH(D493,'Ist Aktuell Monat 02'!A:A,0))=FALSE,INDEX('Ist Aktuell Monat 02'!B:B,MATCH(D493,'Ist Aktuell Monat 02'!A:A,0)),
IF(ISERROR(MATCH(D493,'Ist Aktuell Monat 03'!A:A,0))=FALSE,INDEX('Ist Aktuell Monat 03'!B:B,MATCH(D493,'Ist Aktuell Monat 03'!A:A,0)),
IF(ISERROR(MATCH(D493,'Ist Aktuell Monat 04'!A:A,0))=FALSE,INDEX('Ist Aktuell Monat 04'!B:B,MATCH(D493,'Ist Aktuell Monat 04'!A:A,0)),
IF(ISERROR(MATCH(D493,'Ist Aktuell Monat 05'!A:A,0))=FALSE,INDEX('Ist Aktuell Monat 05'!B:B,MATCH(D493,'Ist Aktuell Monat 05'!A:A,0)),
IF(ISERROR(MATCH(D493,'Ist Aktuell Monat 06'!A:A,0))=FALSE,INDEX('Ist Aktuell Monat 06'!B:B,MATCH(D493,'Ist Aktuell Monat 06'!A:A,0)),
IF(ISERROR(MATCH(D493,'Ist Aktuell Monat 07'!A:A,0))=FALSE,INDEX('Ist Aktuell Monat 07'!B:B,MATCH(D493,'Ist Aktuell Monat 07'!A:A,0)),
IF(ISERROR(MATCH(D493,'Ist Aktuell Monat 08'!A:A,0))=FALSE,INDEX('Ist Aktuell Monat 08'!B:B,MATCH(D493,'Ist Aktuell Monat 08'!A:A,0)),
IF(ISERROR(MATCH(D493,'Ist Aktuell Monat 09'!A:A,0))=FALSE,INDEX('Ist Aktuell Monat 09'!B:B,MATCH(D493,'Ist Aktuell Monat 09'!A:A,0)),
IF(ISERROR(MATCH(D493,'Ist Aktuell Monat 10'!A:A,0))=FALSE,INDEX('Ist Aktuell Monat 10'!B:B,MATCH(D493,'Ist Aktuell Monat 10'!A:A,0)),
IF(ISERROR(MATCH(D493,'Ist Aktuell Monat 11'!A:A,0))=FALSE,INDEX('Ist Aktuell Monat 11'!B:B,MATCH(D493,'Ist Aktuell Monat 11'!A:A,0)),
IF(ISERROR(MATCH(D493,'Ist Aktuell Monat 12'!A:A,0))=FALSE,INDEX('Ist Aktuell Monat 12'!B:B,MATCH(D493,'Ist Aktuell Monat 12'!A:A,0)),
"{Konto unbekannt}"
)))))))))))),"")</f>
        <v>Vorst. in Folgeperiode /-jahr abziehbar</v>
      </c>
      <c r="C493" s="1062"/>
      <c r="D493" s="1067">
        <v>1548</v>
      </c>
      <c r="E493" s="625">
        <f t="shared" si="727"/>
        <v>-1</v>
      </c>
      <c r="F493" s="626" t="s">
        <v>996</v>
      </c>
      <c r="G493" s="593">
        <f ca="1">$E493*(SUMIF(INDIRECT(G$3),'Struktur Aktuell'!$D493,INDIRECT(G$4))-SUMIF(INDIRECT(G$3),'Struktur Aktuell'!$D493,INDIRECT(G$5)))</f>
        <v>-153.15</v>
      </c>
      <c r="H493" s="593">
        <f ca="1">$E493*(SUMIF(INDIRECT(H$3),'Struktur Aktuell'!$D493,INDIRECT(H$4))-SUMIF(INDIRECT(H$3),'Struktur Aktuell'!$D493,INDIRECT(H$5)))</f>
        <v>-4.78</v>
      </c>
      <c r="I493" s="593">
        <f ca="1">$E493*(SUMIF(INDIRECT(I$3),'Struktur Aktuell'!$D493,INDIRECT(I$4))-SUMIF(INDIRECT(I$3),'Struktur Aktuell'!$D493,INDIRECT(I$5)))</f>
        <v>4.78</v>
      </c>
      <c r="J493" s="593">
        <f ca="1">$E493*(SUMIF(INDIRECT(J$3),'Struktur Aktuell'!$D493,INDIRECT(J$4))-SUMIF(INDIRECT(J$3),'Struktur Aktuell'!$D493,INDIRECT(J$5)))</f>
        <v>-0.22</v>
      </c>
      <c r="K493" s="593">
        <f ca="1">$E493*(SUMIF(INDIRECT(K$3),'Struktur Aktuell'!$D493,INDIRECT(K$4))-SUMIF(INDIRECT(K$3),'Struktur Aktuell'!$D493,INDIRECT(K$5)))</f>
        <v>104.6</v>
      </c>
      <c r="L493" s="593">
        <f ca="1">$E493*(SUMIF(INDIRECT(L$3),'Struktur Aktuell'!$D493,INDIRECT(L$4))-SUMIF(INDIRECT(L$3),'Struktur Aktuell'!$D493,INDIRECT(L$5)))</f>
        <v>-110.52</v>
      </c>
      <c r="M493" s="593">
        <f ca="1">$E493*(SUMIF(INDIRECT(M$3),'Struktur Aktuell'!$D493,INDIRECT(M$4))-SUMIF(INDIRECT(M$3),'Struktur Aktuell'!$D493,INDIRECT(M$5)))</f>
        <v>19.940000000000001</v>
      </c>
      <c r="N493" s="593">
        <f ca="1">$E493*(SUMIF(INDIRECT(N$3),'Struktur Aktuell'!$D493,INDIRECT(N$4))-SUMIF(INDIRECT(N$3),'Struktur Aktuell'!$D493,INDIRECT(N$5)))</f>
        <v>-19.940000000000001</v>
      </c>
      <c r="O493" s="593">
        <f ca="1">$E493*(SUMIF(INDIRECT(O$3),'Struktur Aktuell'!$D493,INDIRECT(O$4))-SUMIF(INDIRECT(O$3),'Struktur Aktuell'!$D493,INDIRECT(O$5)))</f>
        <v>35.729999999999997</v>
      </c>
      <c r="P493" s="593">
        <f ca="1">$E493*(SUMIF(INDIRECT(P$3),'Struktur Aktuell'!$D493,INDIRECT(P$4))-SUMIF(INDIRECT(P$3),'Struktur Aktuell'!$D493,INDIRECT(P$5)))</f>
        <v>-30.95</v>
      </c>
      <c r="Q493" s="593">
        <f ca="1">$E493*(SUMIF(INDIRECT(Q$3),'Struktur Aktuell'!$D493,INDIRECT(Q$4))-SUMIF(INDIRECT(Q$3),'Struktur Aktuell'!$D493,INDIRECT(Q$5)))</f>
        <v>0</v>
      </c>
      <c r="R493" s="593">
        <f ca="1">$E493*(SUMIF(INDIRECT(R$3),'Struktur Aktuell'!$D493,INDIRECT(R$4))-SUMIF(INDIRECT(R$3),'Struktur Aktuell'!$D493,INDIRECT(R$5)))</f>
        <v>0</v>
      </c>
      <c r="S493" s="593">
        <f ca="1">$E493*(SUMIF(INDIRECT(S$3),'Struktur Aktuell'!$D493,INDIRECT(S$4))-SUMIF(INDIRECT(S$3),'Struktur Aktuell'!$D493,INDIRECT(S$5)))</f>
        <v>-153.15</v>
      </c>
      <c r="T493" s="593">
        <f ca="1">$E493*(SUMIF(INDIRECT(T$3),'Struktur Aktuell'!$D493,INDIRECT(T$4))-SUMIF(INDIRECT(T$3),'Struktur Aktuell'!$D493,INDIRECT(T$5)))</f>
        <v>-157.93</v>
      </c>
      <c r="U493" s="593">
        <f ca="1">$E493*(SUMIF(INDIRECT(U$3),'Struktur Aktuell'!$D493,INDIRECT(U$4))-SUMIF(INDIRECT(U$3),'Struktur Aktuell'!$D493,INDIRECT(U$5)))</f>
        <v>-153.15</v>
      </c>
      <c r="V493" s="593">
        <f ca="1">$E493*(SUMIF(INDIRECT(V$3),'Struktur Aktuell'!$D493,INDIRECT(V$4))-SUMIF(INDIRECT(V$3),'Struktur Aktuell'!$D493,INDIRECT(V$5)))</f>
        <v>-153.37</v>
      </c>
      <c r="W493" s="593">
        <f ca="1">$E493*(SUMIF(INDIRECT(W$3),'Struktur Aktuell'!$D493,INDIRECT(W$4))-SUMIF(INDIRECT(W$3),'Struktur Aktuell'!$D493,INDIRECT(W$5)))</f>
        <v>-48.77</v>
      </c>
      <c r="X493" s="593">
        <f ca="1">$E493*(SUMIF(INDIRECT(X$3),'Struktur Aktuell'!$D493,INDIRECT(X$4))-SUMIF(INDIRECT(X$3),'Struktur Aktuell'!$D493,INDIRECT(X$5)))</f>
        <v>-159.29</v>
      </c>
      <c r="Y493" s="593">
        <f ca="1">$E493*(SUMIF(INDIRECT(Y$3),'Struktur Aktuell'!$D493,INDIRECT(Y$4))-SUMIF(INDIRECT(Y$3),'Struktur Aktuell'!$D493,INDIRECT(Y$5)))</f>
        <v>-139.35</v>
      </c>
      <c r="Z493" s="593">
        <f ca="1">$E493*(SUMIF(INDIRECT(Z$3),'Struktur Aktuell'!$D493,INDIRECT(Z$4))-SUMIF(INDIRECT(Z$3),'Struktur Aktuell'!$D493,INDIRECT(Z$5)))</f>
        <v>-159.29</v>
      </c>
      <c r="AA493" s="593">
        <f ca="1">$E493*(SUMIF(INDIRECT(AA$3),'Struktur Aktuell'!$D493,INDIRECT(AA$4))-SUMIF(INDIRECT(AA$3),'Struktur Aktuell'!$D493,INDIRECT(AA$5)))</f>
        <v>-123.56</v>
      </c>
      <c r="AB493" s="593">
        <f ca="1">$E493*(SUMIF(INDIRECT(AB$3),'Struktur Aktuell'!$D493,INDIRECT(AB$4))-SUMIF(INDIRECT(AB$3),'Struktur Aktuell'!$D493,INDIRECT(AB$5)))</f>
        <v>-154.51</v>
      </c>
      <c r="AC493" s="593">
        <f ca="1">$E493*(SUMIF(INDIRECT(AC$3),'Struktur Aktuell'!$D493,INDIRECT(AC$4))-SUMIF(INDIRECT(AC$3),'Struktur Aktuell'!$D493,INDIRECT(AC$5)))</f>
        <v>0</v>
      </c>
      <c r="AD493" s="593">
        <f ca="1">$E493*(SUMIF(INDIRECT(AD$3),'Struktur Aktuell'!$D493,INDIRECT(AD$4))-SUMIF(INDIRECT(AD$3),'Struktur Aktuell'!$D493,INDIRECT(AD$5)))</f>
        <v>0</v>
      </c>
      <c r="AE493" s="593">
        <f t="shared" ca="1" si="765"/>
        <v>-153.15</v>
      </c>
      <c r="AF493" s="593">
        <f t="shared" ca="1" si="766"/>
        <v>-157.93</v>
      </c>
      <c r="AG493" s="593">
        <f t="shared" ca="1" si="767"/>
        <v>-153.15</v>
      </c>
      <c r="AH493" s="593">
        <f t="shared" ca="1" si="768"/>
        <v>-153.37</v>
      </c>
      <c r="AI493" s="593">
        <f t="shared" ca="1" si="769"/>
        <v>-48.77000000000001</v>
      </c>
      <c r="AJ493" s="593">
        <f t="shared" ca="1" si="770"/>
        <v>-159.29000000000002</v>
      </c>
      <c r="AK493" s="593">
        <f t="shared" ca="1" si="771"/>
        <v>-139.35000000000002</v>
      </c>
      <c r="AL493" s="593">
        <f t="shared" ca="1" si="772"/>
        <v>-159.29000000000002</v>
      </c>
      <c r="AM493" s="593">
        <f t="shared" ca="1" si="773"/>
        <v>-123.56000000000003</v>
      </c>
      <c r="AN493" s="593">
        <f t="shared" ca="1" si="774"/>
        <v>-154.51000000000002</v>
      </c>
      <c r="AO493" s="593">
        <f t="shared" ca="1" si="775"/>
        <v>-154.51000000000002</v>
      </c>
      <c r="AP493" s="593">
        <f t="shared" ca="1" si="776"/>
        <v>-154.51000000000002</v>
      </c>
    </row>
    <row r="494" spans="1:42" s="594" customFormat="1" ht="11.25" x14ac:dyDescent="0.2">
      <c r="A494" s="644"/>
      <c r="B494" s="591" t="str">
        <f>IF(D494&lt;&gt;"",
IF(ISERROR(MATCH(D494,'Ist Aktuell Monat 01'!A:A,0))=FALSE,INDEX('Ist Aktuell Monat 01'!B:B,MATCH(D494,'Ist Aktuell Monat 01'!A:A,0)),
IF(ISERROR(MATCH(D494,'Ist Aktuell Monat 02'!A:A,0))=FALSE,INDEX('Ist Aktuell Monat 02'!B:B,MATCH(D494,'Ist Aktuell Monat 02'!A:A,0)),
IF(ISERROR(MATCH(D494,'Ist Aktuell Monat 03'!A:A,0))=FALSE,INDEX('Ist Aktuell Monat 03'!B:B,MATCH(D494,'Ist Aktuell Monat 03'!A:A,0)),
IF(ISERROR(MATCH(D494,'Ist Aktuell Monat 04'!A:A,0))=FALSE,INDEX('Ist Aktuell Monat 04'!B:B,MATCH(D494,'Ist Aktuell Monat 04'!A:A,0)),
IF(ISERROR(MATCH(D494,'Ist Aktuell Monat 05'!A:A,0))=FALSE,INDEX('Ist Aktuell Monat 05'!B:B,MATCH(D494,'Ist Aktuell Monat 05'!A:A,0)),
IF(ISERROR(MATCH(D494,'Ist Aktuell Monat 06'!A:A,0))=FALSE,INDEX('Ist Aktuell Monat 06'!B:B,MATCH(D494,'Ist Aktuell Monat 06'!A:A,0)),
IF(ISERROR(MATCH(D494,'Ist Aktuell Monat 07'!A:A,0))=FALSE,INDEX('Ist Aktuell Monat 07'!B:B,MATCH(D494,'Ist Aktuell Monat 07'!A:A,0)),
IF(ISERROR(MATCH(D494,'Ist Aktuell Monat 08'!A:A,0))=FALSE,INDEX('Ist Aktuell Monat 08'!B:B,MATCH(D494,'Ist Aktuell Monat 08'!A:A,0)),
IF(ISERROR(MATCH(D494,'Ist Aktuell Monat 09'!A:A,0))=FALSE,INDEX('Ist Aktuell Monat 09'!B:B,MATCH(D494,'Ist Aktuell Monat 09'!A:A,0)),
IF(ISERROR(MATCH(D494,'Ist Aktuell Monat 10'!A:A,0))=FALSE,INDEX('Ist Aktuell Monat 10'!B:B,MATCH(D494,'Ist Aktuell Monat 10'!A:A,0)),
IF(ISERROR(MATCH(D494,'Ist Aktuell Monat 11'!A:A,0))=FALSE,INDEX('Ist Aktuell Monat 11'!B:B,MATCH(D494,'Ist Aktuell Monat 11'!A:A,0)),
IF(ISERROR(MATCH(D494,'Ist Aktuell Monat 12'!A:A,0))=FALSE,INDEX('Ist Aktuell Monat 12'!B:B,MATCH(D494,'Ist Aktuell Monat 12'!A:A,0)),
"{Konto unbekannt}"
)))))))))))),"")</f>
        <v>Geldtransit</v>
      </c>
      <c r="C494" s="1062"/>
      <c r="D494" s="1067">
        <v>1360</v>
      </c>
      <c r="E494" s="625">
        <f t="shared" si="727"/>
        <v>-1</v>
      </c>
      <c r="F494" s="626" t="s">
        <v>996</v>
      </c>
      <c r="G494" s="593">
        <f ca="1">$E494*(SUMIF(INDIRECT(G$3),'Struktur Aktuell'!$D494,INDIRECT(G$4))-SUMIF(INDIRECT(G$3),'Struktur Aktuell'!$D494,INDIRECT(G$5)))</f>
        <v>0</v>
      </c>
      <c r="H494" s="593">
        <f ca="1">$E494*(SUMIF(INDIRECT(H$3),'Struktur Aktuell'!$D494,INDIRECT(H$4))-SUMIF(INDIRECT(H$3),'Struktur Aktuell'!$D494,INDIRECT(H$5)))</f>
        <v>0</v>
      </c>
      <c r="I494" s="593">
        <f ca="1">$E494*(SUMIF(INDIRECT(I$3),'Struktur Aktuell'!$D494,INDIRECT(I$4))-SUMIF(INDIRECT(I$3),'Struktur Aktuell'!$D494,INDIRECT(I$5)))</f>
        <v>0</v>
      </c>
      <c r="J494" s="593">
        <f ca="1">$E494*(SUMIF(INDIRECT(J$3),'Struktur Aktuell'!$D494,INDIRECT(J$4))-SUMIF(INDIRECT(J$3),'Struktur Aktuell'!$D494,INDIRECT(J$5)))</f>
        <v>0</v>
      </c>
      <c r="K494" s="593">
        <f ca="1">$E494*(SUMIF(INDIRECT(K$3),'Struktur Aktuell'!$D494,INDIRECT(K$4))-SUMIF(INDIRECT(K$3),'Struktur Aktuell'!$D494,INDIRECT(K$5)))</f>
        <v>0</v>
      </c>
      <c r="L494" s="593">
        <f ca="1">$E494*(SUMIF(INDIRECT(L$3),'Struktur Aktuell'!$D494,INDIRECT(L$4))-SUMIF(INDIRECT(L$3),'Struktur Aktuell'!$D494,INDIRECT(L$5)))</f>
        <v>0</v>
      </c>
      <c r="M494" s="593">
        <f ca="1">$E494*(SUMIF(INDIRECT(M$3),'Struktur Aktuell'!$D494,INDIRECT(M$4))-SUMIF(INDIRECT(M$3),'Struktur Aktuell'!$D494,INDIRECT(M$5)))</f>
        <v>0</v>
      </c>
      <c r="N494" s="593">
        <f ca="1">$E494*(SUMIF(INDIRECT(N$3),'Struktur Aktuell'!$D494,INDIRECT(N$4))-SUMIF(INDIRECT(N$3),'Struktur Aktuell'!$D494,INDIRECT(N$5)))</f>
        <v>0</v>
      </c>
      <c r="O494" s="593">
        <f ca="1">$E494*(SUMIF(INDIRECT(O$3),'Struktur Aktuell'!$D494,INDIRECT(O$4))-SUMIF(INDIRECT(O$3),'Struktur Aktuell'!$D494,INDIRECT(O$5)))</f>
        <v>0</v>
      </c>
      <c r="P494" s="593">
        <f ca="1">$E494*(SUMIF(INDIRECT(P$3),'Struktur Aktuell'!$D494,INDIRECT(P$4))-SUMIF(INDIRECT(P$3),'Struktur Aktuell'!$D494,INDIRECT(P$5)))</f>
        <v>0</v>
      </c>
      <c r="Q494" s="593">
        <f ca="1">$E494*(SUMIF(INDIRECT(Q$3),'Struktur Aktuell'!$D494,INDIRECT(Q$4))-SUMIF(INDIRECT(Q$3),'Struktur Aktuell'!$D494,INDIRECT(Q$5)))</f>
        <v>0</v>
      </c>
      <c r="R494" s="593">
        <f ca="1">$E494*(SUMIF(INDIRECT(R$3),'Struktur Aktuell'!$D494,INDIRECT(R$4))-SUMIF(INDIRECT(R$3),'Struktur Aktuell'!$D494,INDIRECT(R$5)))</f>
        <v>0</v>
      </c>
      <c r="S494" s="593">
        <f ca="1">$E494*(SUMIF(INDIRECT(S$3),'Struktur Aktuell'!$D494,INDIRECT(S$4))-SUMIF(INDIRECT(S$3),'Struktur Aktuell'!$D494,INDIRECT(S$5)))</f>
        <v>0</v>
      </c>
      <c r="T494" s="593">
        <f ca="1">$E494*(SUMIF(INDIRECT(T$3),'Struktur Aktuell'!$D494,INDIRECT(T$4))-SUMIF(INDIRECT(T$3),'Struktur Aktuell'!$D494,INDIRECT(T$5)))</f>
        <v>0</v>
      </c>
      <c r="U494" s="593">
        <f ca="1">$E494*(SUMIF(INDIRECT(U$3),'Struktur Aktuell'!$D494,INDIRECT(U$4))-SUMIF(INDIRECT(U$3),'Struktur Aktuell'!$D494,INDIRECT(U$5)))</f>
        <v>0</v>
      </c>
      <c r="V494" s="593">
        <f ca="1">$E494*(SUMIF(INDIRECT(V$3),'Struktur Aktuell'!$D494,INDIRECT(V$4))-SUMIF(INDIRECT(V$3),'Struktur Aktuell'!$D494,INDIRECT(V$5)))</f>
        <v>0</v>
      </c>
      <c r="W494" s="593">
        <f ca="1">$E494*(SUMIF(INDIRECT(W$3),'Struktur Aktuell'!$D494,INDIRECT(W$4))-SUMIF(INDIRECT(W$3),'Struktur Aktuell'!$D494,INDIRECT(W$5)))</f>
        <v>0</v>
      </c>
      <c r="X494" s="593">
        <f ca="1">$E494*(SUMIF(INDIRECT(X$3),'Struktur Aktuell'!$D494,INDIRECT(X$4))-SUMIF(INDIRECT(X$3),'Struktur Aktuell'!$D494,INDIRECT(X$5)))</f>
        <v>0</v>
      </c>
      <c r="Y494" s="593">
        <f ca="1">$E494*(SUMIF(INDIRECT(Y$3),'Struktur Aktuell'!$D494,INDIRECT(Y$4))-SUMIF(INDIRECT(Y$3),'Struktur Aktuell'!$D494,INDIRECT(Y$5)))</f>
        <v>0</v>
      </c>
      <c r="Z494" s="593">
        <f ca="1">$E494*(SUMIF(INDIRECT(Z$3),'Struktur Aktuell'!$D494,INDIRECT(Z$4))-SUMIF(INDIRECT(Z$3),'Struktur Aktuell'!$D494,INDIRECT(Z$5)))</f>
        <v>0</v>
      </c>
      <c r="AA494" s="593">
        <f ca="1">$E494*(SUMIF(INDIRECT(AA$3),'Struktur Aktuell'!$D494,INDIRECT(AA$4))-SUMIF(INDIRECT(AA$3),'Struktur Aktuell'!$D494,INDIRECT(AA$5)))</f>
        <v>0</v>
      </c>
      <c r="AB494" s="593">
        <f ca="1">$E494*(SUMIF(INDIRECT(AB$3),'Struktur Aktuell'!$D494,INDIRECT(AB$4))-SUMIF(INDIRECT(AB$3),'Struktur Aktuell'!$D494,INDIRECT(AB$5)))</f>
        <v>0</v>
      </c>
      <c r="AC494" s="593">
        <f ca="1">$E494*(SUMIF(INDIRECT(AC$3),'Struktur Aktuell'!$D494,INDIRECT(AC$4))-SUMIF(INDIRECT(AC$3),'Struktur Aktuell'!$D494,INDIRECT(AC$5)))</f>
        <v>0</v>
      </c>
      <c r="AD494" s="593">
        <f ca="1">$E494*(SUMIF(INDIRECT(AD$3),'Struktur Aktuell'!$D494,INDIRECT(AD$4))-SUMIF(INDIRECT(AD$3),'Struktur Aktuell'!$D494,INDIRECT(AD$5)))</f>
        <v>0</v>
      </c>
      <c r="AE494" s="593">
        <f t="shared" ca="1" si="765"/>
        <v>0</v>
      </c>
      <c r="AF494" s="593">
        <f t="shared" ca="1" si="766"/>
        <v>0</v>
      </c>
      <c r="AG494" s="593">
        <f t="shared" ca="1" si="767"/>
        <v>0</v>
      </c>
      <c r="AH494" s="593">
        <f t="shared" ca="1" si="768"/>
        <v>0</v>
      </c>
      <c r="AI494" s="593">
        <f t="shared" ca="1" si="769"/>
        <v>0</v>
      </c>
      <c r="AJ494" s="593">
        <f t="shared" ca="1" si="770"/>
        <v>0</v>
      </c>
      <c r="AK494" s="593">
        <f t="shared" ca="1" si="771"/>
        <v>0</v>
      </c>
      <c r="AL494" s="593">
        <f t="shared" ca="1" si="772"/>
        <v>0</v>
      </c>
      <c r="AM494" s="593">
        <f t="shared" ca="1" si="773"/>
        <v>0</v>
      </c>
      <c r="AN494" s="593">
        <f t="shared" ca="1" si="774"/>
        <v>0</v>
      </c>
      <c r="AO494" s="593">
        <f t="shared" ca="1" si="775"/>
        <v>0</v>
      </c>
      <c r="AP494" s="593">
        <f t="shared" ca="1" si="776"/>
        <v>0</v>
      </c>
    </row>
    <row r="495" spans="1:42" s="594" customFormat="1" ht="11.25" x14ac:dyDescent="0.2">
      <c r="A495" s="644"/>
      <c r="B495" s="591" t="str">
        <f>IF(D495&lt;&gt;"",
IF(ISERROR(MATCH(D495,'Ist Aktuell Monat 01'!A:A,0))=FALSE,INDEX('Ist Aktuell Monat 01'!B:B,MATCH(D495,'Ist Aktuell Monat 01'!A:A,0)),
IF(ISERROR(MATCH(D495,'Ist Aktuell Monat 02'!A:A,0))=FALSE,INDEX('Ist Aktuell Monat 02'!B:B,MATCH(D495,'Ist Aktuell Monat 02'!A:A,0)),
IF(ISERROR(MATCH(D495,'Ist Aktuell Monat 03'!A:A,0))=FALSE,INDEX('Ist Aktuell Monat 03'!B:B,MATCH(D495,'Ist Aktuell Monat 03'!A:A,0)),
IF(ISERROR(MATCH(D495,'Ist Aktuell Monat 04'!A:A,0))=FALSE,INDEX('Ist Aktuell Monat 04'!B:B,MATCH(D495,'Ist Aktuell Monat 04'!A:A,0)),
IF(ISERROR(MATCH(D495,'Ist Aktuell Monat 05'!A:A,0))=FALSE,INDEX('Ist Aktuell Monat 05'!B:B,MATCH(D495,'Ist Aktuell Monat 05'!A:A,0)),
IF(ISERROR(MATCH(D495,'Ist Aktuell Monat 06'!A:A,0))=FALSE,INDEX('Ist Aktuell Monat 06'!B:B,MATCH(D495,'Ist Aktuell Monat 06'!A:A,0)),
IF(ISERROR(MATCH(D495,'Ist Aktuell Monat 07'!A:A,0))=FALSE,INDEX('Ist Aktuell Monat 07'!B:B,MATCH(D495,'Ist Aktuell Monat 07'!A:A,0)),
IF(ISERROR(MATCH(D495,'Ist Aktuell Monat 08'!A:A,0))=FALSE,INDEX('Ist Aktuell Monat 08'!B:B,MATCH(D495,'Ist Aktuell Monat 08'!A:A,0)),
IF(ISERROR(MATCH(D495,'Ist Aktuell Monat 09'!A:A,0))=FALSE,INDEX('Ist Aktuell Monat 09'!B:B,MATCH(D495,'Ist Aktuell Monat 09'!A:A,0)),
IF(ISERROR(MATCH(D495,'Ist Aktuell Monat 10'!A:A,0))=FALSE,INDEX('Ist Aktuell Monat 10'!B:B,MATCH(D495,'Ist Aktuell Monat 10'!A:A,0)),
IF(ISERROR(MATCH(D495,'Ist Aktuell Monat 11'!A:A,0))=FALSE,INDEX('Ist Aktuell Monat 11'!B:B,MATCH(D495,'Ist Aktuell Monat 11'!A:A,0)),
IF(ISERROR(MATCH(D495,'Ist Aktuell Monat 12'!A:A,0))=FALSE,INDEX('Ist Aktuell Monat 12'!B:B,MATCH(D495,'Ist Aktuell Monat 12'!A:A,0)),
"{Konto unbekannt}"
)))))))))))),"")</f>
        <v>Schecks</v>
      </c>
      <c r="C495" s="1062"/>
      <c r="D495" s="1067">
        <v>1330</v>
      </c>
      <c r="E495" s="625">
        <f t="shared" si="727"/>
        <v>-1</v>
      </c>
      <c r="F495" s="626" t="s">
        <v>996</v>
      </c>
      <c r="G495" s="593">
        <f ca="1">$E495*(SUMIF(INDIRECT(G$3),'Struktur Aktuell'!$D495,INDIRECT(G$4))-SUMIF(INDIRECT(G$3),'Struktur Aktuell'!$D495,INDIRECT(G$5)))</f>
        <v>0</v>
      </c>
      <c r="H495" s="593">
        <f ca="1">$E495*(SUMIF(INDIRECT(H$3),'Struktur Aktuell'!$D495,INDIRECT(H$4))-SUMIF(INDIRECT(H$3),'Struktur Aktuell'!$D495,INDIRECT(H$5)))</f>
        <v>0</v>
      </c>
      <c r="I495" s="593">
        <f ca="1">$E495*(SUMIF(INDIRECT(I$3),'Struktur Aktuell'!$D495,INDIRECT(I$4))-SUMIF(INDIRECT(I$3),'Struktur Aktuell'!$D495,INDIRECT(I$5)))</f>
        <v>0</v>
      </c>
      <c r="J495" s="593">
        <f ca="1">$E495*(SUMIF(INDIRECT(J$3),'Struktur Aktuell'!$D495,INDIRECT(J$4))-SUMIF(INDIRECT(J$3),'Struktur Aktuell'!$D495,INDIRECT(J$5)))</f>
        <v>0</v>
      </c>
      <c r="K495" s="593">
        <f ca="1">$E495*(SUMIF(INDIRECT(K$3),'Struktur Aktuell'!$D495,INDIRECT(K$4))-SUMIF(INDIRECT(K$3),'Struktur Aktuell'!$D495,INDIRECT(K$5)))</f>
        <v>0</v>
      </c>
      <c r="L495" s="593">
        <f ca="1">$E495*(SUMIF(INDIRECT(L$3),'Struktur Aktuell'!$D495,INDIRECT(L$4))-SUMIF(INDIRECT(L$3),'Struktur Aktuell'!$D495,INDIRECT(L$5)))</f>
        <v>0</v>
      </c>
      <c r="M495" s="593">
        <f ca="1">$E495*(SUMIF(INDIRECT(M$3),'Struktur Aktuell'!$D495,INDIRECT(M$4))-SUMIF(INDIRECT(M$3),'Struktur Aktuell'!$D495,INDIRECT(M$5)))</f>
        <v>0</v>
      </c>
      <c r="N495" s="593">
        <f ca="1">$E495*(SUMIF(INDIRECT(N$3),'Struktur Aktuell'!$D495,INDIRECT(N$4))-SUMIF(INDIRECT(N$3),'Struktur Aktuell'!$D495,INDIRECT(N$5)))</f>
        <v>0</v>
      </c>
      <c r="O495" s="593">
        <f ca="1">$E495*(SUMIF(INDIRECT(O$3),'Struktur Aktuell'!$D495,INDIRECT(O$4))-SUMIF(INDIRECT(O$3),'Struktur Aktuell'!$D495,INDIRECT(O$5)))</f>
        <v>0</v>
      </c>
      <c r="P495" s="593">
        <f ca="1">$E495*(SUMIF(INDIRECT(P$3),'Struktur Aktuell'!$D495,INDIRECT(P$4))-SUMIF(INDIRECT(P$3),'Struktur Aktuell'!$D495,INDIRECT(P$5)))</f>
        <v>0</v>
      </c>
      <c r="Q495" s="593">
        <f ca="1">$E495*(SUMIF(INDIRECT(Q$3),'Struktur Aktuell'!$D495,INDIRECT(Q$4))-SUMIF(INDIRECT(Q$3),'Struktur Aktuell'!$D495,INDIRECT(Q$5)))</f>
        <v>0</v>
      </c>
      <c r="R495" s="593">
        <f ca="1">$E495*(SUMIF(INDIRECT(R$3),'Struktur Aktuell'!$D495,INDIRECT(R$4))-SUMIF(INDIRECT(R$3),'Struktur Aktuell'!$D495,INDIRECT(R$5)))</f>
        <v>0</v>
      </c>
      <c r="S495" s="593">
        <f ca="1">$E495*(SUMIF(INDIRECT(S$3),'Struktur Aktuell'!$D495,INDIRECT(S$4))-SUMIF(INDIRECT(S$3),'Struktur Aktuell'!$D495,INDIRECT(S$5)))</f>
        <v>0</v>
      </c>
      <c r="T495" s="593">
        <f ca="1">$E495*(SUMIF(INDIRECT(T$3),'Struktur Aktuell'!$D495,INDIRECT(T$4))-SUMIF(INDIRECT(T$3),'Struktur Aktuell'!$D495,INDIRECT(T$5)))</f>
        <v>0</v>
      </c>
      <c r="U495" s="593">
        <f ca="1">$E495*(SUMIF(INDIRECT(U$3),'Struktur Aktuell'!$D495,INDIRECT(U$4))-SUMIF(INDIRECT(U$3),'Struktur Aktuell'!$D495,INDIRECT(U$5)))</f>
        <v>0</v>
      </c>
      <c r="V495" s="593">
        <f ca="1">$E495*(SUMIF(INDIRECT(V$3),'Struktur Aktuell'!$D495,INDIRECT(V$4))-SUMIF(INDIRECT(V$3),'Struktur Aktuell'!$D495,INDIRECT(V$5)))</f>
        <v>0</v>
      </c>
      <c r="W495" s="593">
        <f ca="1">$E495*(SUMIF(INDIRECT(W$3),'Struktur Aktuell'!$D495,INDIRECT(W$4))-SUMIF(INDIRECT(W$3),'Struktur Aktuell'!$D495,INDIRECT(W$5)))</f>
        <v>0</v>
      </c>
      <c r="X495" s="593">
        <f ca="1">$E495*(SUMIF(INDIRECT(X$3),'Struktur Aktuell'!$D495,INDIRECT(X$4))-SUMIF(INDIRECT(X$3),'Struktur Aktuell'!$D495,INDIRECT(X$5)))</f>
        <v>0</v>
      </c>
      <c r="Y495" s="593">
        <f ca="1">$E495*(SUMIF(INDIRECT(Y$3),'Struktur Aktuell'!$D495,INDIRECT(Y$4))-SUMIF(INDIRECT(Y$3),'Struktur Aktuell'!$D495,INDIRECT(Y$5)))</f>
        <v>0</v>
      </c>
      <c r="Z495" s="593">
        <f ca="1">$E495*(SUMIF(INDIRECT(Z$3),'Struktur Aktuell'!$D495,INDIRECT(Z$4))-SUMIF(INDIRECT(Z$3),'Struktur Aktuell'!$D495,INDIRECT(Z$5)))</f>
        <v>0</v>
      </c>
      <c r="AA495" s="593">
        <f ca="1">$E495*(SUMIF(INDIRECT(AA$3),'Struktur Aktuell'!$D495,INDIRECT(AA$4))-SUMIF(INDIRECT(AA$3),'Struktur Aktuell'!$D495,INDIRECT(AA$5)))</f>
        <v>0</v>
      </c>
      <c r="AB495" s="593">
        <f ca="1">$E495*(SUMIF(INDIRECT(AB$3),'Struktur Aktuell'!$D495,INDIRECT(AB$4))-SUMIF(INDIRECT(AB$3),'Struktur Aktuell'!$D495,INDIRECT(AB$5)))</f>
        <v>0</v>
      </c>
      <c r="AC495" s="593">
        <f ca="1">$E495*(SUMIF(INDIRECT(AC$3),'Struktur Aktuell'!$D495,INDIRECT(AC$4))-SUMIF(INDIRECT(AC$3),'Struktur Aktuell'!$D495,INDIRECT(AC$5)))</f>
        <v>0</v>
      </c>
      <c r="AD495" s="593">
        <f ca="1">$E495*(SUMIF(INDIRECT(AD$3),'Struktur Aktuell'!$D495,INDIRECT(AD$4))-SUMIF(INDIRECT(AD$3),'Struktur Aktuell'!$D495,INDIRECT(AD$5)))</f>
        <v>0</v>
      </c>
      <c r="AE495" s="593">
        <f t="shared" ca="1" si="765"/>
        <v>0</v>
      </c>
      <c r="AF495" s="593">
        <f t="shared" ca="1" si="766"/>
        <v>0</v>
      </c>
      <c r="AG495" s="593">
        <f t="shared" ca="1" si="767"/>
        <v>0</v>
      </c>
      <c r="AH495" s="593">
        <f t="shared" ca="1" si="768"/>
        <v>0</v>
      </c>
      <c r="AI495" s="593">
        <f t="shared" ca="1" si="769"/>
        <v>0</v>
      </c>
      <c r="AJ495" s="593">
        <f t="shared" ca="1" si="770"/>
        <v>0</v>
      </c>
      <c r="AK495" s="593">
        <f t="shared" ca="1" si="771"/>
        <v>0</v>
      </c>
      <c r="AL495" s="593">
        <f t="shared" ca="1" si="772"/>
        <v>0</v>
      </c>
      <c r="AM495" s="593">
        <f t="shared" ca="1" si="773"/>
        <v>0</v>
      </c>
      <c r="AN495" s="593">
        <f t="shared" ca="1" si="774"/>
        <v>0</v>
      </c>
      <c r="AO495" s="593">
        <f t="shared" ca="1" si="775"/>
        <v>0</v>
      </c>
      <c r="AP495" s="593">
        <f t="shared" ca="1" si="776"/>
        <v>0</v>
      </c>
    </row>
    <row r="496" spans="1:42" s="594" customFormat="1" ht="11.25" x14ac:dyDescent="0.2">
      <c r="A496" s="644"/>
      <c r="B496" s="591" t="str">
        <f>IF(D496&lt;&gt;"",
IF(ISERROR(MATCH(D496,'Ist Aktuell Monat 01'!A:A,0))=FALSE,INDEX('Ist Aktuell Monat 01'!B:B,MATCH(D496,'Ist Aktuell Monat 01'!A:A,0)),
IF(ISERROR(MATCH(D496,'Ist Aktuell Monat 02'!A:A,0))=FALSE,INDEX('Ist Aktuell Monat 02'!B:B,MATCH(D496,'Ist Aktuell Monat 02'!A:A,0)),
IF(ISERROR(MATCH(D496,'Ist Aktuell Monat 03'!A:A,0))=FALSE,INDEX('Ist Aktuell Monat 03'!B:B,MATCH(D496,'Ist Aktuell Monat 03'!A:A,0)),
IF(ISERROR(MATCH(D496,'Ist Aktuell Monat 04'!A:A,0))=FALSE,INDEX('Ist Aktuell Monat 04'!B:B,MATCH(D496,'Ist Aktuell Monat 04'!A:A,0)),
IF(ISERROR(MATCH(D496,'Ist Aktuell Monat 05'!A:A,0))=FALSE,INDEX('Ist Aktuell Monat 05'!B:B,MATCH(D496,'Ist Aktuell Monat 05'!A:A,0)),
IF(ISERROR(MATCH(D496,'Ist Aktuell Monat 06'!A:A,0))=FALSE,INDEX('Ist Aktuell Monat 06'!B:B,MATCH(D496,'Ist Aktuell Monat 06'!A:A,0)),
IF(ISERROR(MATCH(D496,'Ist Aktuell Monat 07'!A:A,0))=FALSE,INDEX('Ist Aktuell Monat 07'!B:B,MATCH(D496,'Ist Aktuell Monat 07'!A:A,0)),
IF(ISERROR(MATCH(D496,'Ist Aktuell Monat 08'!A:A,0))=FALSE,INDEX('Ist Aktuell Monat 08'!B:B,MATCH(D496,'Ist Aktuell Monat 08'!A:A,0)),
IF(ISERROR(MATCH(D496,'Ist Aktuell Monat 09'!A:A,0))=FALSE,INDEX('Ist Aktuell Monat 09'!B:B,MATCH(D496,'Ist Aktuell Monat 09'!A:A,0)),
IF(ISERROR(MATCH(D496,'Ist Aktuell Monat 10'!A:A,0))=FALSE,INDEX('Ist Aktuell Monat 10'!B:B,MATCH(D496,'Ist Aktuell Monat 10'!A:A,0)),
IF(ISERROR(MATCH(D496,'Ist Aktuell Monat 11'!A:A,0))=FALSE,INDEX('Ist Aktuell Monat 11'!B:B,MATCH(D496,'Ist Aktuell Monat 11'!A:A,0)),
IF(ISERROR(MATCH(D496,'Ist Aktuell Monat 12'!A:A,0))=FALSE,INDEX('Ist Aktuell Monat 12'!B:B,MATCH(D496,'Ist Aktuell Monat 12'!A:A,0)),
"{Konto unbekannt}"
)))))))))))),"")</f>
        <v>Sonstige Vermögensgegenstände</v>
      </c>
      <c r="C496" s="1062"/>
      <c r="D496" s="1067">
        <v>1500</v>
      </c>
      <c r="E496" s="625">
        <f t="shared" si="727"/>
        <v>-1</v>
      </c>
      <c r="F496" s="626" t="s">
        <v>996</v>
      </c>
      <c r="G496" s="593">
        <f ca="1">$E496*(SUMIF(INDIRECT(G$3),'Struktur Aktuell'!$D496,INDIRECT(G$4))-SUMIF(INDIRECT(G$3),'Struktur Aktuell'!$D496,INDIRECT(G$5)))</f>
        <v>0</v>
      </c>
      <c r="H496" s="593">
        <f ca="1">$E496*(SUMIF(INDIRECT(H$3),'Struktur Aktuell'!$D496,INDIRECT(H$4))-SUMIF(INDIRECT(H$3),'Struktur Aktuell'!$D496,INDIRECT(H$5)))</f>
        <v>0</v>
      </c>
      <c r="I496" s="593">
        <f ca="1">$E496*(SUMIF(INDIRECT(I$3),'Struktur Aktuell'!$D496,INDIRECT(I$4))-SUMIF(INDIRECT(I$3),'Struktur Aktuell'!$D496,INDIRECT(I$5)))</f>
        <v>0</v>
      </c>
      <c r="J496" s="593">
        <f ca="1">$E496*(SUMIF(INDIRECT(J$3),'Struktur Aktuell'!$D496,INDIRECT(J$4))-SUMIF(INDIRECT(J$3),'Struktur Aktuell'!$D496,INDIRECT(J$5)))</f>
        <v>0</v>
      </c>
      <c r="K496" s="593">
        <f ca="1">$E496*(SUMIF(INDIRECT(K$3),'Struktur Aktuell'!$D496,INDIRECT(K$4))-SUMIF(INDIRECT(K$3),'Struktur Aktuell'!$D496,INDIRECT(K$5)))</f>
        <v>0</v>
      </c>
      <c r="L496" s="593">
        <f ca="1">$E496*(SUMIF(INDIRECT(L$3),'Struktur Aktuell'!$D496,INDIRECT(L$4))-SUMIF(INDIRECT(L$3),'Struktur Aktuell'!$D496,INDIRECT(L$5)))</f>
        <v>0</v>
      </c>
      <c r="M496" s="593">
        <f ca="1">$E496*(SUMIF(INDIRECT(M$3),'Struktur Aktuell'!$D496,INDIRECT(M$4))-SUMIF(INDIRECT(M$3),'Struktur Aktuell'!$D496,INDIRECT(M$5)))</f>
        <v>467.16</v>
      </c>
      <c r="N496" s="593">
        <f ca="1">$E496*(SUMIF(INDIRECT(N$3),'Struktur Aktuell'!$D496,INDIRECT(N$4))-SUMIF(INDIRECT(N$3),'Struktur Aktuell'!$D496,INDIRECT(N$5)))</f>
        <v>0</v>
      </c>
      <c r="O496" s="593">
        <f ca="1">$E496*(SUMIF(INDIRECT(O$3),'Struktur Aktuell'!$D496,INDIRECT(O$4))-SUMIF(INDIRECT(O$3),'Struktur Aktuell'!$D496,INDIRECT(O$5)))</f>
        <v>0</v>
      </c>
      <c r="P496" s="593">
        <f ca="1">$E496*(SUMIF(INDIRECT(P$3),'Struktur Aktuell'!$D496,INDIRECT(P$4))-SUMIF(INDIRECT(P$3),'Struktur Aktuell'!$D496,INDIRECT(P$5)))</f>
        <v>0</v>
      </c>
      <c r="Q496" s="593">
        <f ca="1">$E496*(SUMIF(INDIRECT(Q$3),'Struktur Aktuell'!$D496,INDIRECT(Q$4))-SUMIF(INDIRECT(Q$3),'Struktur Aktuell'!$D496,INDIRECT(Q$5)))</f>
        <v>0</v>
      </c>
      <c r="R496" s="593">
        <f ca="1">$E496*(SUMIF(INDIRECT(R$3),'Struktur Aktuell'!$D496,INDIRECT(R$4))-SUMIF(INDIRECT(R$3),'Struktur Aktuell'!$D496,INDIRECT(R$5)))</f>
        <v>0</v>
      </c>
      <c r="S496" s="593">
        <f ca="1">$E496*(SUMIF(INDIRECT(S$3),'Struktur Aktuell'!$D496,INDIRECT(S$4))-SUMIF(INDIRECT(S$3),'Struktur Aktuell'!$D496,INDIRECT(S$5)))</f>
        <v>0</v>
      </c>
      <c r="T496" s="593">
        <f ca="1">$E496*(SUMIF(INDIRECT(T$3),'Struktur Aktuell'!$D496,INDIRECT(T$4))-SUMIF(INDIRECT(T$3),'Struktur Aktuell'!$D496,INDIRECT(T$5)))</f>
        <v>0</v>
      </c>
      <c r="U496" s="593">
        <f ca="1">$E496*(SUMIF(INDIRECT(U$3),'Struktur Aktuell'!$D496,INDIRECT(U$4))-SUMIF(INDIRECT(U$3),'Struktur Aktuell'!$D496,INDIRECT(U$5)))</f>
        <v>0</v>
      </c>
      <c r="V496" s="593">
        <f ca="1">$E496*(SUMIF(INDIRECT(V$3),'Struktur Aktuell'!$D496,INDIRECT(V$4))-SUMIF(INDIRECT(V$3),'Struktur Aktuell'!$D496,INDIRECT(V$5)))</f>
        <v>0</v>
      </c>
      <c r="W496" s="593">
        <f ca="1">$E496*(SUMIF(INDIRECT(W$3),'Struktur Aktuell'!$D496,INDIRECT(W$4))-SUMIF(INDIRECT(W$3),'Struktur Aktuell'!$D496,INDIRECT(W$5)))</f>
        <v>0</v>
      </c>
      <c r="X496" s="593">
        <f ca="1">$E496*(SUMIF(INDIRECT(X$3),'Struktur Aktuell'!$D496,INDIRECT(X$4))-SUMIF(INDIRECT(X$3),'Struktur Aktuell'!$D496,INDIRECT(X$5)))</f>
        <v>0</v>
      </c>
      <c r="Y496" s="593">
        <f ca="1">$E496*(SUMIF(INDIRECT(Y$3),'Struktur Aktuell'!$D496,INDIRECT(Y$4))-SUMIF(INDIRECT(Y$3),'Struktur Aktuell'!$D496,INDIRECT(Y$5)))</f>
        <v>467.16</v>
      </c>
      <c r="Z496" s="593">
        <f ca="1">$E496*(SUMIF(INDIRECT(Z$3),'Struktur Aktuell'!$D496,INDIRECT(Z$4))-SUMIF(INDIRECT(Z$3),'Struktur Aktuell'!$D496,INDIRECT(Z$5)))</f>
        <v>467.16</v>
      </c>
      <c r="AA496" s="593">
        <f ca="1">$E496*(SUMIF(INDIRECT(AA$3),'Struktur Aktuell'!$D496,INDIRECT(AA$4))-SUMIF(INDIRECT(AA$3),'Struktur Aktuell'!$D496,INDIRECT(AA$5)))</f>
        <v>467.16</v>
      </c>
      <c r="AB496" s="593">
        <f ca="1">$E496*(SUMIF(INDIRECT(AB$3),'Struktur Aktuell'!$D496,INDIRECT(AB$4))-SUMIF(INDIRECT(AB$3),'Struktur Aktuell'!$D496,INDIRECT(AB$5)))</f>
        <v>467.16</v>
      </c>
      <c r="AC496" s="593">
        <f ca="1">$E496*(SUMIF(INDIRECT(AC$3),'Struktur Aktuell'!$D496,INDIRECT(AC$4))-SUMIF(INDIRECT(AC$3),'Struktur Aktuell'!$D496,INDIRECT(AC$5)))</f>
        <v>0</v>
      </c>
      <c r="AD496" s="593">
        <f ca="1">$E496*(SUMIF(INDIRECT(AD$3),'Struktur Aktuell'!$D496,INDIRECT(AD$4))-SUMIF(INDIRECT(AD$3),'Struktur Aktuell'!$D496,INDIRECT(AD$5)))</f>
        <v>0</v>
      </c>
      <c r="AE496" s="593">
        <f t="shared" ca="1" si="765"/>
        <v>0</v>
      </c>
      <c r="AF496" s="593">
        <f t="shared" ca="1" si="766"/>
        <v>0</v>
      </c>
      <c r="AG496" s="593">
        <f t="shared" ca="1" si="767"/>
        <v>0</v>
      </c>
      <c r="AH496" s="593">
        <f t="shared" ca="1" si="768"/>
        <v>0</v>
      </c>
      <c r="AI496" s="593">
        <f t="shared" ca="1" si="769"/>
        <v>0</v>
      </c>
      <c r="AJ496" s="593">
        <f t="shared" ca="1" si="770"/>
        <v>0</v>
      </c>
      <c r="AK496" s="593">
        <f t="shared" ca="1" si="771"/>
        <v>467.16</v>
      </c>
      <c r="AL496" s="593">
        <f t="shared" ca="1" si="772"/>
        <v>467.16</v>
      </c>
      <c r="AM496" s="593">
        <f t="shared" ca="1" si="773"/>
        <v>467.16</v>
      </c>
      <c r="AN496" s="593">
        <f t="shared" ca="1" si="774"/>
        <v>467.16</v>
      </c>
      <c r="AO496" s="593">
        <f t="shared" ca="1" si="775"/>
        <v>467.16</v>
      </c>
      <c r="AP496" s="593">
        <f t="shared" ca="1" si="776"/>
        <v>467.16</v>
      </c>
    </row>
    <row r="497" spans="1:42" s="594" customFormat="1" ht="11.25" x14ac:dyDescent="0.2">
      <c r="A497" s="644"/>
      <c r="B497" s="591" t="str">
        <f>IF(D497&lt;&gt;"",
IF(ISERROR(MATCH(D497,'Ist Aktuell Monat 01'!A:A,0))=FALSE,INDEX('Ist Aktuell Monat 01'!B:B,MATCH(D497,'Ist Aktuell Monat 01'!A:A,0)),
IF(ISERROR(MATCH(D497,'Ist Aktuell Monat 02'!A:A,0))=FALSE,INDEX('Ist Aktuell Monat 02'!B:B,MATCH(D497,'Ist Aktuell Monat 02'!A:A,0)),
IF(ISERROR(MATCH(D497,'Ist Aktuell Monat 03'!A:A,0))=FALSE,INDEX('Ist Aktuell Monat 03'!B:B,MATCH(D497,'Ist Aktuell Monat 03'!A:A,0)),
IF(ISERROR(MATCH(D497,'Ist Aktuell Monat 04'!A:A,0))=FALSE,INDEX('Ist Aktuell Monat 04'!B:B,MATCH(D497,'Ist Aktuell Monat 04'!A:A,0)),
IF(ISERROR(MATCH(D497,'Ist Aktuell Monat 05'!A:A,0))=FALSE,INDEX('Ist Aktuell Monat 05'!B:B,MATCH(D497,'Ist Aktuell Monat 05'!A:A,0)),
IF(ISERROR(MATCH(D497,'Ist Aktuell Monat 06'!A:A,0))=FALSE,INDEX('Ist Aktuell Monat 06'!B:B,MATCH(D497,'Ist Aktuell Monat 06'!A:A,0)),
IF(ISERROR(MATCH(D497,'Ist Aktuell Monat 07'!A:A,0))=FALSE,INDEX('Ist Aktuell Monat 07'!B:B,MATCH(D497,'Ist Aktuell Monat 07'!A:A,0)),
IF(ISERROR(MATCH(D497,'Ist Aktuell Monat 08'!A:A,0))=FALSE,INDEX('Ist Aktuell Monat 08'!B:B,MATCH(D497,'Ist Aktuell Monat 08'!A:A,0)),
IF(ISERROR(MATCH(D497,'Ist Aktuell Monat 09'!A:A,0))=FALSE,INDEX('Ist Aktuell Monat 09'!B:B,MATCH(D497,'Ist Aktuell Monat 09'!A:A,0)),
IF(ISERROR(MATCH(D497,'Ist Aktuell Monat 10'!A:A,0))=FALSE,INDEX('Ist Aktuell Monat 10'!B:B,MATCH(D497,'Ist Aktuell Monat 10'!A:A,0)),
IF(ISERROR(MATCH(D497,'Ist Aktuell Monat 11'!A:A,0))=FALSE,INDEX('Ist Aktuell Monat 11'!B:B,MATCH(D497,'Ist Aktuell Monat 11'!A:A,0)),
IF(ISERROR(MATCH(D497,'Ist Aktuell Monat 12'!A:A,0))=FALSE,INDEX('Ist Aktuell Monat 12'!B:B,MATCH(D497,'Ist Aktuell Monat 12'!A:A,0)),
"{Konto unbekannt}"
)))))))))))),"")</f>
        <v>Forderungen ggb. Krankenkasse aus AAG</v>
      </c>
      <c r="C497" s="1062"/>
      <c r="D497" s="1067">
        <v>1520</v>
      </c>
      <c r="E497" s="625">
        <f t="shared" si="727"/>
        <v>-1</v>
      </c>
      <c r="F497" s="626" t="s">
        <v>996</v>
      </c>
      <c r="G497" s="593">
        <f ca="1">$E497*(SUMIF(INDIRECT(G$3),'Struktur Aktuell'!$D497,INDIRECT(G$4))-SUMIF(INDIRECT(G$3),'Struktur Aktuell'!$D497,INDIRECT(G$5)))</f>
        <v>0</v>
      </c>
      <c r="H497" s="593">
        <f ca="1">$E497*(SUMIF(INDIRECT(H$3),'Struktur Aktuell'!$D497,INDIRECT(H$4))-SUMIF(INDIRECT(H$3),'Struktur Aktuell'!$D497,INDIRECT(H$5)))</f>
        <v>0</v>
      </c>
      <c r="I497" s="593">
        <f ca="1">$E497*(SUMIF(INDIRECT(I$3),'Struktur Aktuell'!$D497,INDIRECT(I$4))-SUMIF(INDIRECT(I$3),'Struktur Aktuell'!$D497,INDIRECT(I$5)))</f>
        <v>0</v>
      </c>
      <c r="J497" s="593">
        <f ca="1">$E497*(SUMIF(INDIRECT(J$3),'Struktur Aktuell'!$D497,INDIRECT(J$4))-SUMIF(INDIRECT(J$3),'Struktur Aktuell'!$D497,INDIRECT(J$5)))</f>
        <v>0</v>
      </c>
      <c r="K497" s="593">
        <f ca="1">$E497*(SUMIF(INDIRECT(K$3),'Struktur Aktuell'!$D497,INDIRECT(K$4))-SUMIF(INDIRECT(K$3),'Struktur Aktuell'!$D497,INDIRECT(K$5)))</f>
        <v>0</v>
      </c>
      <c r="L497" s="593">
        <f ca="1">$E497*(SUMIF(INDIRECT(L$3),'Struktur Aktuell'!$D497,INDIRECT(L$4))-SUMIF(INDIRECT(L$3),'Struktur Aktuell'!$D497,INDIRECT(L$5)))</f>
        <v>0</v>
      </c>
      <c r="M497" s="593">
        <f ca="1">$E497*(SUMIF(INDIRECT(M$3),'Struktur Aktuell'!$D497,INDIRECT(M$4))-SUMIF(INDIRECT(M$3),'Struktur Aktuell'!$D497,INDIRECT(M$5)))</f>
        <v>51.01</v>
      </c>
      <c r="N497" s="593">
        <f ca="1">$E497*(SUMIF(INDIRECT(N$3),'Struktur Aktuell'!$D497,INDIRECT(N$4))-SUMIF(INDIRECT(N$3),'Struktur Aktuell'!$D497,INDIRECT(N$5)))</f>
        <v>176.74</v>
      </c>
      <c r="O497" s="593">
        <f ca="1">$E497*(SUMIF(INDIRECT(O$3),'Struktur Aktuell'!$D497,INDIRECT(O$4))-SUMIF(INDIRECT(O$3),'Struktur Aktuell'!$D497,INDIRECT(O$5)))</f>
        <v>-227.75</v>
      </c>
      <c r="P497" s="593">
        <f ca="1">$E497*(SUMIF(INDIRECT(P$3),'Struktur Aktuell'!$D497,INDIRECT(P$4))-SUMIF(INDIRECT(P$3),'Struktur Aktuell'!$D497,INDIRECT(P$5)))</f>
        <v>0</v>
      </c>
      <c r="Q497" s="593">
        <f ca="1">$E497*(SUMIF(INDIRECT(Q$3),'Struktur Aktuell'!$D497,INDIRECT(Q$4))-SUMIF(INDIRECT(Q$3),'Struktur Aktuell'!$D497,INDIRECT(Q$5)))</f>
        <v>0</v>
      </c>
      <c r="R497" s="593">
        <f ca="1">$E497*(SUMIF(INDIRECT(R$3),'Struktur Aktuell'!$D497,INDIRECT(R$4))-SUMIF(INDIRECT(R$3),'Struktur Aktuell'!$D497,INDIRECT(R$5)))</f>
        <v>0</v>
      </c>
      <c r="S497" s="593">
        <f ca="1">$E497*(SUMIF(INDIRECT(S$3),'Struktur Aktuell'!$D497,INDIRECT(S$4))-SUMIF(INDIRECT(S$3),'Struktur Aktuell'!$D497,INDIRECT(S$5)))</f>
        <v>0</v>
      </c>
      <c r="T497" s="593">
        <f ca="1">$E497*(SUMIF(INDIRECT(T$3),'Struktur Aktuell'!$D497,INDIRECT(T$4))-SUMIF(INDIRECT(T$3),'Struktur Aktuell'!$D497,INDIRECT(T$5)))</f>
        <v>0</v>
      </c>
      <c r="U497" s="593">
        <f ca="1">$E497*(SUMIF(INDIRECT(U$3),'Struktur Aktuell'!$D497,INDIRECT(U$4))-SUMIF(INDIRECT(U$3),'Struktur Aktuell'!$D497,INDIRECT(U$5)))</f>
        <v>0</v>
      </c>
      <c r="V497" s="593">
        <f ca="1">$E497*(SUMIF(INDIRECT(V$3),'Struktur Aktuell'!$D497,INDIRECT(V$4))-SUMIF(INDIRECT(V$3),'Struktur Aktuell'!$D497,INDIRECT(V$5)))</f>
        <v>0</v>
      </c>
      <c r="W497" s="593">
        <f ca="1">$E497*(SUMIF(INDIRECT(W$3),'Struktur Aktuell'!$D497,INDIRECT(W$4))-SUMIF(INDIRECT(W$3),'Struktur Aktuell'!$D497,INDIRECT(W$5)))</f>
        <v>0</v>
      </c>
      <c r="X497" s="593">
        <f ca="1">$E497*(SUMIF(INDIRECT(X$3),'Struktur Aktuell'!$D497,INDIRECT(X$4))-SUMIF(INDIRECT(X$3),'Struktur Aktuell'!$D497,INDIRECT(X$5)))</f>
        <v>0</v>
      </c>
      <c r="Y497" s="593">
        <f ca="1">$E497*(SUMIF(INDIRECT(Y$3),'Struktur Aktuell'!$D497,INDIRECT(Y$4))-SUMIF(INDIRECT(Y$3),'Struktur Aktuell'!$D497,INDIRECT(Y$5)))</f>
        <v>51.01</v>
      </c>
      <c r="Z497" s="593">
        <f ca="1">$E497*(SUMIF(INDIRECT(Z$3),'Struktur Aktuell'!$D497,INDIRECT(Z$4))-SUMIF(INDIRECT(Z$3),'Struktur Aktuell'!$D497,INDIRECT(Z$5)))</f>
        <v>227.75</v>
      </c>
      <c r="AA497" s="593">
        <f ca="1">$E497*(SUMIF(INDIRECT(AA$3),'Struktur Aktuell'!$D497,INDIRECT(AA$4))-SUMIF(INDIRECT(AA$3),'Struktur Aktuell'!$D497,INDIRECT(AA$5)))</f>
        <v>0</v>
      </c>
      <c r="AB497" s="593">
        <f ca="1">$E497*(SUMIF(INDIRECT(AB$3),'Struktur Aktuell'!$D497,INDIRECT(AB$4))-SUMIF(INDIRECT(AB$3),'Struktur Aktuell'!$D497,INDIRECT(AB$5)))</f>
        <v>0</v>
      </c>
      <c r="AC497" s="593">
        <f ca="1">$E497*(SUMIF(INDIRECT(AC$3),'Struktur Aktuell'!$D497,INDIRECT(AC$4))-SUMIF(INDIRECT(AC$3),'Struktur Aktuell'!$D497,INDIRECT(AC$5)))</f>
        <v>0</v>
      </c>
      <c r="AD497" s="593">
        <f ca="1">$E497*(SUMIF(INDIRECT(AD$3),'Struktur Aktuell'!$D497,INDIRECT(AD$4))-SUMIF(INDIRECT(AD$3),'Struktur Aktuell'!$D497,INDIRECT(AD$5)))</f>
        <v>0</v>
      </c>
      <c r="AE497" s="593">
        <f t="shared" ca="1" si="765"/>
        <v>0</v>
      </c>
      <c r="AF497" s="593">
        <f t="shared" ca="1" si="766"/>
        <v>0</v>
      </c>
      <c r="AG497" s="593">
        <f t="shared" ca="1" si="767"/>
        <v>0</v>
      </c>
      <c r="AH497" s="593">
        <f t="shared" ca="1" si="768"/>
        <v>0</v>
      </c>
      <c r="AI497" s="593">
        <f t="shared" ca="1" si="769"/>
        <v>0</v>
      </c>
      <c r="AJ497" s="593">
        <f t="shared" ca="1" si="770"/>
        <v>0</v>
      </c>
      <c r="AK497" s="593">
        <f t="shared" ca="1" si="771"/>
        <v>51.01</v>
      </c>
      <c r="AL497" s="593">
        <f t="shared" ca="1" si="772"/>
        <v>227.75</v>
      </c>
      <c r="AM497" s="593">
        <f t="shared" ca="1" si="773"/>
        <v>0</v>
      </c>
      <c r="AN497" s="593">
        <f t="shared" ca="1" si="774"/>
        <v>0</v>
      </c>
      <c r="AO497" s="593">
        <f t="shared" ca="1" si="775"/>
        <v>0</v>
      </c>
      <c r="AP497" s="593">
        <f t="shared" ca="1" si="776"/>
        <v>0</v>
      </c>
    </row>
    <row r="498" spans="1:42" s="594" customFormat="1" ht="11.25" x14ac:dyDescent="0.2">
      <c r="A498" s="644"/>
      <c r="B498" s="591" t="str">
        <f>IF(D498&lt;&gt;"",
IF(ISERROR(MATCH(D498,'Ist Aktuell Monat 01'!A:A,0))=FALSE,INDEX('Ist Aktuell Monat 01'!B:B,MATCH(D498,'Ist Aktuell Monat 01'!A:A,0)),
IF(ISERROR(MATCH(D498,'Ist Aktuell Monat 02'!A:A,0))=FALSE,INDEX('Ist Aktuell Monat 02'!B:B,MATCH(D498,'Ist Aktuell Monat 02'!A:A,0)),
IF(ISERROR(MATCH(D498,'Ist Aktuell Monat 03'!A:A,0))=FALSE,INDEX('Ist Aktuell Monat 03'!B:B,MATCH(D498,'Ist Aktuell Monat 03'!A:A,0)),
IF(ISERROR(MATCH(D498,'Ist Aktuell Monat 04'!A:A,0))=FALSE,INDEX('Ist Aktuell Monat 04'!B:B,MATCH(D498,'Ist Aktuell Monat 04'!A:A,0)),
IF(ISERROR(MATCH(D498,'Ist Aktuell Monat 05'!A:A,0))=FALSE,INDEX('Ist Aktuell Monat 05'!B:B,MATCH(D498,'Ist Aktuell Monat 05'!A:A,0)),
IF(ISERROR(MATCH(D498,'Ist Aktuell Monat 06'!A:A,0))=FALSE,INDEX('Ist Aktuell Monat 06'!B:B,MATCH(D498,'Ist Aktuell Monat 06'!A:A,0)),
IF(ISERROR(MATCH(D498,'Ist Aktuell Monat 07'!A:A,0))=FALSE,INDEX('Ist Aktuell Monat 07'!B:B,MATCH(D498,'Ist Aktuell Monat 07'!A:A,0)),
IF(ISERROR(MATCH(D498,'Ist Aktuell Monat 08'!A:A,0))=FALSE,INDEX('Ist Aktuell Monat 08'!B:B,MATCH(D498,'Ist Aktuell Monat 08'!A:A,0)),
IF(ISERROR(MATCH(D498,'Ist Aktuell Monat 09'!A:A,0))=FALSE,INDEX('Ist Aktuell Monat 09'!B:B,MATCH(D498,'Ist Aktuell Monat 09'!A:A,0)),
IF(ISERROR(MATCH(D498,'Ist Aktuell Monat 10'!A:A,0))=FALSE,INDEX('Ist Aktuell Monat 10'!B:B,MATCH(D498,'Ist Aktuell Monat 10'!A:A,0)),
IF(ISERROR(MATCH(D498,'Ist Aktuell Monat 11'!A:A,0))=FALSE,INDEX('Ist Aktuell Monat 11'!B:B,MATCH(D498,'Ist Aktuell Monat 11'!A:A,0)),
IF(ISERROR(MATCH(D498,'Ist Aktuell Monat 12'!A:A,0))=FALSE,INDEX('Ist Aktuell Monat 12'!B:B,MATCH(D498,'Ist Aktuell Monat 12'!A:A,0)),
"{Konto unbekannt}"
)))))))))))),"")</f>
        <v>Kautionen</v>
      </c>
      <c r="C498" s="1062"/>
      <c r="D498" s="1067">
        <v>1525</v>
      </c>
      <c r="E498" s="625">
        <f t="shared" si="727"/>
        <v>-1</v>
      </c>
      <c r="F498" s="626" t="s">
        <v>996</v>
      </c>
      <c r="G498" s="593">
        <f ca="1">$E498*(SUMIF(INDIRECT(G$3),'Struktur Aktuell'!$D498,INDIRECT(G$4))-SUMIF(INDIRECT(G$3),'Struktur Aktuell'!$D498,INDIRECT(G$5)))</f>
        <v>0</v>
      </c>
      <c r="H498" s="593">
        <f ca="1">$E498*(SUMIF(INDIRECT(H$3),'Struktur Aktuell'!$D498,INDIRECT(H$4))-SUMIF(INDIRECT(H$3),'Struktur Aktuell'!$D498,INDIRECT(H$5)))</f>
        <v>0</v>
      </c>
      <c r="I498" s="593">
        <f ca="1">$E498*(SUMIF(INDIRECT(I$3),'Struktur Aktuell'!$D498,INDIRECT(I$4))-SUMIF(INDIRECT(I$3),'Struktur Aktuell'!$D498,INDIRECT(I$5)))</f>
        <v>0</v>
      </c>
      <c r="J498" s="593">
        <f ca="1">$E498*(SUMIF(INDIRECT(J$3),'Struktur Aktuell'!$D498,INDIRECT(J$4))-SUMIF(INDIRECT(J$3),'Struktur Aktuell'!$D498,INDIRECT(J$5)))</f>
        <v>0</v>
      </c>
      <c r="K498" s="593">
        <f ca="1">$E498*(SUMIF(INDIRECT(K$3),'Struktur Aktuell'!$D498,INDIRECT(K$4))-SUMIF(INDIRECT(K$3),'Struktur Aktuell'!$D498,INDIRECT(K$5)))</f>
        <v>0</v>
      </c>
      <c r="L498" s="593">
        <f ca="1">$E498*(SUMIF(INDIRECT(L$3),'Struktur Aktuell'!$D498,INDIRECT(L$4))-SUMIF(INDIRECT(L$3),'Struktur Aktuell'!$D498,INDIRECT(L$5)))</f>
        <v>0</v>
      </c>
      <c r="M498" s="593">
        <f ca="1">$E498*(SUMIF(INDIRECT(M$3),'Struktur Aktuell'!$D498,INDIRECT(M$4))-SUMIF(INDIRECT(M$3),'Struktur Aktuell'!$D498,INDIRECT(M$5)))</f>
        <v>0</v>
      </c>
      <c r="N498" s="593">
        <f ca="1">$E498*(SUMIF(INDIRECT(N$3),'Struktur Aktuell'!$D498,INDIRECT(N$4))-SUMIF(INDIRECT(N$3),'Struktur Aktuell'!$D498,INDIRECT(N$5)))</f>
        <v>0</v>
      </c>
      <c r="O498" s="593">
        <f ca="1">$E498*(SUMIF(INDIRECT(O$3),'Struktur Aktuell'!$D498,INDIRECT(O$4))-SUMIF(INDIRECT(O$3),'Struktur Aktuell'!$D498,INDIRECT(O$5)))</f>
        <v>0</v>
      </c>
      <c r="P498" s="593">
        <f ca="1">$E498*(SUMIF(INDIRECT(P$3),'Struktur Aktuell'!$D498,INDIRECT(P$4))-SUMIF(INDIRECT(P$3),'Struktur Aktuell'!$D498,INDIRECT(P$5)))</f>
        <v>0</v>
      </c>
      <c r="Q498" s="593">
        <f ca="1">$E498*(SUMIF(INDIRECT(Q$3),'Struktur Aktuell'!$D498,INDIRECT(Q$4))-SUMIF(INDIRECT(Q$3),'Struktur Aktuell'!$D498,INDIRECT(Q$5)))</f>
        <v>0</v>
      </c>
      <c r="R498" s="593">
        <f ca="1">$E498*(SUMIF(INDIRECT(R$3),'Struktur Aktuell'!$D498,INDIRECT(R$4))-SUMIF(INDIRECT(R$3),'Struktur Aktuell'!$D498,INDIRECT(R$5)))</f>
        <v>0</v>
      </c>
      <c r="S498" s="593">
        <f ca="1">$E498*(SUMIF(INDIRECT(S$3),'Struktur Aktuell'!$D498,INDIRECT(S$4))-SUMIF(INDIRECT(S$3),'Struktur Aktuell'!$D498,INDIRECT(S$5)))</f>
        <v>3947.2</v>
      </c>
      <c r="T498" s="593">
        <f ca="1">$E498*(SUMIF(INDIRECT(T$3),'Struktur Aktuell'!$D498,INDIRECT(T$4))-SUMIF(INDIRECT(T$3),'Struktur Aktuell'!$D498,INDIRECT(T$5)))</f>
        <v>3947.2</v>
      </c>
      <c r="U498" s="593">
        <f ca="1">$E498*(SUMIF(INDIRECT(U$3),'Struktur Aktuell'!$D498,INDIRECT(U$4))-SUMIF(INDIRECT(U$3),'Struktur Aktuell'!$D498,INDIRECT(U$5)))</f>
        <v>3947.2</v>
      </c>
      <c r="V498" s="593">
        <f ca="1">$E498*(SUMIF(INDIRECT(V$3),'Struktur Aktuell'!$D498,INDIRECT(V$4))-SUMIF(INDIRECT(V$3),'Struktur Aktuell'!$D498,INDIRECT(V$5)))</f>
        <v>3947.2</v>
      </c>
      <c r="W498" s="593">
        <f ca="1">$E498*(SUMIF(INDIRECT(W$3),'Struktur Aktuell'!$D498,INDIRECT(W$4))-SUMIF(INDIRECT(W$3),'Struktur Aktuell'!$D498,INDIRECT(W$5)))</f>
        <v>3947.2</v>
      </c>
      <c r="X498" s="593">
        <f ca="1">$E498*(SUMIF(INDIRECT(X$3),'Struktur Aktuell'!$D498,INDIRECT(X$4))-SUMIF(INDIRECT(X$3),'Struktur Aktuell'!$D498,INDIRECT(X$5)))</f>
        <v>3947.2</v>
      </c>
      <c r="Y498" s="593">
        <f ca="1">$E498*(SUMIF(INDIRECT(Y$3),'Struktur Aktuell'!$D498,INDIRECT(Y$4))-SUMIF(INDIRECT(Y$3),'Struktur Aktuell'!$D498,INDIRECT(Y$5)))</f>
        <v>3947.2</v>
      </c>
      <c r="Z498" s="593">
        <f ca="1">$E498*(SUMIF(INDIRECT(Z$3),'Struktur Aktuell'!$D498,INDIRECT(Z$4))-SUMIF(INDIRECT(Z$3),'Struktur Aktuell'!$D498,INDIRECT(Z$5)))</f>
        <v>3947.2</v>
      </c>
      <c r="AA498" s="593">
        <f ca="1">$E498*(SUMIF(INDIRECT(AA$3),'Struktur Aktuell'!$D498,INDIRECT(AA$4))-SUMIF(INDIRECT(AA$3),'Struktur Aktuell'!$D498,INDIRECT(AA$5)))</f>
        <v>3947.2</v>
      </c>
      <c r="AB498" s="593">
        <f ca="1">$E498*(SUMIF(INDIRECT(AB$3),'Struktur Aktuell'!$D498,INDIRECT(AB$4))-SUMIF(INDIRECT(AB$3),'Struktur Aktuell'!$D498,INDIRECT(AB$5)))</f>
        <v>3947.2</v>
      </c>
      <c r="AC498" s="593">
        <f ca="1">$E498*(SUMIF(INDIRECT(AC$3),'Struktur Aktuell'!$D498,INDIRECT(AC$4))-SUMIF(INDIRECT(AC$3),'Struktur Aktuell'!$D498,INDIRECT(AC$5)))</f>
        <v>0</v>
      </c>
      <c r="AD498" s="593">
        <f ca="1">$E498*(SUMIF(INDIRECT(AD$3),'Struktur Aktuell'!$D498,INDIRECT(AD$4))-SUMIF(INDIRECT(AD$3),'Struktur Aktuell'!$D498,INDIRECT(AD$5)))</f>
        <v>0</v>
      </c>
      <c r="AE498" s="593">
        <f t="shared" ca="1" si="765"/>
        <v>0</v>
      </c>
      <c r="AF498" s="593">
        <f t="shared" ca="1" si="766"/>
        <v>0</v>
      </c>
      <c r="AG498" s="593">
        <f t="shared" ca="1" si="767"/>
        <v>0</v>
      </c>
      <c r="AH498" s="593">
        <f t="shared" ca="1" si="768"/>
        <v>0</v>
      </c>
      <c r="AI498" s="593">
        <f t="shared" ca="1" si="769"/>
        <v>0</v>
      </c>
      <c r="AJ498" s="593">
        <f t="shared" ca="1" si="770"/>
        <v>0</v>
      </c>
      <c r="AK498" s="593">
        <f t="shared" ca="1" si="771"/>
        <v>0</v>
      </c>
      <c r="AL498" s="593">
        <f t="shared" ca="1" si="772"/>
        <v>0</v>
      </c>
      <c r="AM498" s="593">
        <f t="shared" ca="1" si="773"/>
        <v>0</v>
      </c>
      <c r="AN498" s="593">
        <f t="shared" ca="1" si="774"/>
        <v>0</v>
      </c>
      <c r="AO498" s="593">
        <f t="shared" ca="1" si="775"/>
        <v>0</v>
      </c>
      <c r="AP498" s="593">
        <f t="shared" ca="1" si="776"/>
        <v>0</v>
      </c>
    </row>
    <row r="499" spans="1:42" s="594" customFormat="1" ht="11.25" outlineLevel="1" x14ac:dyDescent="0.2">
      <c r="A499" s="644"/>
      <c r="B499" s="591" t="str">
        <f>IF(D499&lt;&gt;"",
IF(ISERROR(MATCH(D499,'Ist Aktuell Monat 01'!A:A,0))=FALSE,INDEX('Ist Aktuell Monat 01'!B:B,MATCH(D499,'Ist Aktuell Monat 01'!A:A,0)),
IF(ISERROR(MATCH(D499,'Ist Aktuell Monat 02'!A:A,0))=FALSE,INDEX('Ist Aktuell Monat 02'!B:B,MATCH(D499,'Ist Aktuell Monat 02'!A:A,0)),
IF(ISERROR(MATCH(D499,'Ist Aktuell Monat 03'!A:A,0))=FALSE,INDEX('Ist Aktuell Monat 03'!B:B,MATCH(D499,'Ist Aktuell Monat 03'!A:A,0)),
IF(ISERROR(MATCH(D499,'Ist Aktuell Monat 04'!A:A,0))=FALSE,INDEX('Ist Aktuell Monat 04'!B:B,MATCH(D499,'Ist Aktuell Monat 04'!A:A,0)),
IF(ISERROR(MATCH(D499,'Ist Aktuell Monat 05'!A:A,0))=FALSE,INDEX('Ist Aktuell Monat 05'!B:B,MATCH(D499,'Ist Aktuell Monat 05'!A:A,0)),
IF(ISERROR(MATCH(D499,'Ist Aktuell Monat 06'!A:A,0))=FALSE,INDEX('Ist Aktuell Monat 06'!B:B,MATCH(D499,'Ist Aktuell Monat 06'!A:A,0)),
IF(ISERROR(MATCH(D499,'Ist Aktuell Monat 07'!A:A,0))=FALSE,INDEX('Ist Aktuell Monat 07'!B:B,MATCH(D499,'Ist Aktuell Monat 07'!A:A,0)),
IF(ISERROR(MATCH(D499,'Ist Aktuell Monat 08'!A:A,0))=FALSE,INDEX('Ist Aktuell Monat 08'!B:B,MATCH(D499,'Ist Aktuell Monat 08'!A:A,0)),
IF(ISERROR(MATCH(D499,'Ist Aktuell Monat 09'!A:A,0))=FALSE,INDEX('Ist Aktuell Monat 09'!B:B,MATCH(D499,'Ist Aktuell Monat 09'!A:A,0)),
IF(ISERROR(MATCH(D499,'Ist Aktuell Monat 10'!A:A,0))=FALSE,INDEX('Ist Aktuell Monat 10'!B:B,MATCH(D499,'Ist Aktuell Monat 10'!A:A,0)),
IF(ISERROR(MATCH(D499,'Ist Aktuell Monat 11'!A:A,0))=FALSE,INDEX('Ist Aktuell Monat 11'!B:B,MATCH(D499,'Ist Aktuell Monat 11'!A:A,0)),
IF(ISERROR(MATCH(D499,'Ist Aktuell Monat 12'!A:A,0))=FALSE,INDEX('Ist Aktuell Monat 12'!B:B,MATCH(D499,'Ist Aktuell Monat 12'!A:A,0)),
"{Konto unbekannt}"
)))))))))))),"")</f>
        <v/>
      </c>
      <c r="C499" s="1062"/>
      <c r="D499" s="1067"/>
      <c r="E499" s="625">
        <f t="shared" si="727"/>
        <v>-1</v>
      </c>
      <c r="F499" s="626" t="s">
        <v>996</v>
      </c>
      <c r="G499" s="593">
        <f ca="1">$E499*(SUMIF(INDIRECT(G$3),'Struktur Aktuell'!$D499,INDIRECT(G$4))-SUMIF(INDIRECT(G$3),'Struktur Aktuell'!$D499,INDIRECT(G$5)))</f>
        <v>0</v>
      </c>
      <c r="H499" s="593">
        <f ca="1">$E499*(SUMIF(INDIRECT(H$3),'Struktur Aktuell'!$D499,INDIRECT(H$4))-SUMIF(INDIRECT(H$3),'Struktur Aktuell'!$D499,INDIRECT(H$5)))</f>
        <v>0</v>
      </c>
      <c r="I499" s="593">
        <f ca="1">$E499*(SUMIF(INDIRECT(I$3),'Struktur Aktuell'!$D499,INDIRECT(I$4))-SUMIF(INDIRECT(I$3),'Struktur Aktuell'!$D499,INDIRECT(I$5)))</f>
        <v>0</v>
      </c>
      <c r="J499" s="593">
        <f ca="1">$E499*(SUMIF(INDIRECT(J$3),'Struktur Aktuell'!$D499,INDIRECT(J$4))-SUMIF(INDIRECT(J$3),'Struktur Aktuell'!$D499,INDIRECT(J$5)))</f>
        <v>0</v>
      </c>
      <c r="K499" s="593">
        <f ca="1">$E499*(SUMIF(INDIRECT(K$3),'Struktur Aktuell'!$D499,INDIRECT(K$4))-SUMIF(INDIRECT(K$3),'Struktur Aktuell'!$D499,INDIRECT(K$5)))</f>
        <v>0</v>
      </c>
      <c r="L499" s="593">
        <f ca="1">$E499*(SUMIF(INDIRECT(L$3),'Struktur Aktuell'!$D499,INDIRECT(L$4))-SUMIF(INDIRECT(L$3),'Struktur Aktuell'!$D499,INDIRECT(L$5)))</f>
        <v>0</v>
      </c>
      <c r="M499" s="593">
        <f ca="1">$E499*(SUMIF(INDIRECT(M$3),'Struktur Aktuell'!$D499,INDIRECT(M$4))-SUMIF(INDIRECT(M$3),'Struktur Aktuell'!$D499,INDIRECT(M$5)))</f>
        <v>0</v>
      </c>
      <c r="N499" s="593">
        <f ca="1">$E499*(SUMIF(INDIRECT(N$3),'Struktur Aktuell'!$D499,INDIRECT(N$4))-SUMIF(INDIRECT(N$3),'Struktur Aktuell'!$D499,INDIRECT(N$5)))</f>
        <v>0</v>
      </c>
      <c r="O499" s="593">
        <f ca="1">$E499*(SUMIF(INDIRECT(O$3),'Struktur Aktuell'!$D499,INDIRECT(O$4))-SUMIF(INDIRECT(O$3),'Struktur Aktuell'!$D499,INDIRECT(O$5)))</f>
        <v>0</v>
      </c>
      <c r="P499" s="593">
        <f ca="1">$E499*(SUMIF(INDIRECT(P$3),'Struktur Aktuell'!$D499,INDIRECT(P$4))-SUMIF(INDIRECT(P$3),'Struktur Aktuell'!$D499,INDIRECT(P$5)))</f>
        <v>0</v>
      </c>
      <c r="Q499" s="593">
        <f ca="1">$E499*(SUMIF(INDIRECT(Q$3),'Struktur Aktuell'!$D499,INDIRECT(Q$4))-SUMIF(INDIRECT(Q$3),'Struktur Aktuell'!$D499,INDIRECT(Q$5)))</f>
        <v>0</v>
      </c>
      <c r="R499" s="593">
        <f ca="1">$E499*(SUMIF(INDIRECT(R$3),'Struktur Aktuell'!$D499,INDIRECT(R$4))-SUMIF(INDIRECT(R$3),'Struktur Aktuell'!$D499,INDIRECT(R$5)))</f>
        <v>0</v>
      </c>
      <c r="S499" s="593">
        <f ca="1">$E499*(SUMIF(INDIRECT(S$3),'Struktur Aktuell'!$D499,INDIRECT(S$4))-SUMIF(INDIRECT(S$3),'Struktur Aktuell'!$D499,INDIRECT(S$5)))</f>
        <v>0</v>
      </c>
      <c r="T499" s="593">
        <f ca="1">$E499*(SUMIF(INDIRECT(T$3),'Struktur Aktuell'!$D499,INDIRECT(T$4))-SUMIF(INDIRECT(T$3),'Struktur Aktuell'!$D499,INDIRECT(T$5)))</f>
        <v>0</v>
      </c>
      <c r="U499" s="593">
        <f ca="1">$E499*(SUMIF(INDIRECT(U$3),'Struktur Aktuell'!$D499,INDIRECT(U$4))-SUMIF(INDIRECT(U$3),'Struktur Aktuell'!$D499,INDIRECT(U$5)))</f>
        <v>0</v>
      </c>
      <c r="V499" s="593">
        <f ca="1">$E499*(SUMIF(INDIRECT(V$3),'Struktur Aktuell'!$D499,INDIRECT(V$4))-SUMIF(INDIRECT(V$3),'Struktur Aktuell'!$D499,INDIRECT(V$5)))</f>
        <v>0</v>
      </c>
      <c r="W499" s="593">
        <f ca="1">$E499*(SUMIF(INDIRECT(W$3),'Struktur Aktuell'!$D499,INDIRECT(W$4))-SUMIF(INDIRECT(W$3),'Struktur Aktuell'!$D499,INDIRECT(W$5)))</f>
        <v>0</v>
      </c>
      <c r="X499" s="593">
        <f ca="1">$E499*(SUMIF(INDIRECT(X$3),'Struktur Aktuell'!$D499,INDIRECT(X$4))-SUMIF(INDIRECT(X$3),'Struktur Aktuell'!$D499,INDIRECT(X$5)))</f>
        <v>0</v>
      </c>
      <c r="Y499" s="593">
        <f ca="1">$E499*(SUMIF(INDIRECT(Y$3),'Struktur Aktuell'!$D499,INDIRECT(Y$4))-SUMIF(INDIRECT(Y$3),'Struktur Aktuell'!$D499,INDIRECT(Y$5)))</f>
        <v>0</v>
      </c>
      <c r="Z499" s="593">
        <f ca="1">$E499*(SUMIF(INDIRECT(Z$3),'Struktur Aktuell'!$D499,INDIRECT(Z$4))-SUMIF(INDIRECT(Z$3),'Struktur Aktuell'!$D499,INDIRECT(Z$5)))</f>
        <v>0</v>
      </c>
      <c r="AA499" s="593">
        <f ca="1">$E499*(SUMIF(INDIRECT(AA$3),'Struktur Aktuell'!$D499,INDIRECT(AA$4))-SUMIF(INDIRECT(AA$3),'Struktur Aktuell'!$D499,INDIRECT(AA$5)))</f>
        <v>0</v>
      </c>
      <c r="AB499" s="593">
        <f ca="1">$E499*(SUMIF(INDIRECT(AB$3),'Struktur Aktuell'!$D499,INDIRECT(AB$4))-SUMIF(INDIRECT(AB$3),'Struktur Aktuell'!$D499,INDIRECT(AB$5)))</f>
        <v>0</v>
      </c>
      <c r="AC499" s="593">
        <f ca="1">$E499*(SUMIF(INDIRECT(AC$3),'Struktur Aktuell'!$D499,INDIRECT(AC$4))-SUMIF(INDIRECT(AC$3),'Struktur Aktuell'!$D499,INDIRECT(AC$5)))</f>
        <v>0</v>
      </c>
      <c r="AD499" s="593">
        <f ca="1">$E499*(SUMIF(INDIRECT(AD$3),'Struktur Aktuell'!$D499,INDIRECT(AD$4))-SUMIF(INDIRECT(AD$3),'Struktur Aktuell'!$D499,INDIRECT(AD$5)))</f>
        <v>0</v>
      </c>
      <c r="AE499" s="593">
        <f t="shared" ca="1" si="765"/>
        <v>0</v>
      </c>
      <c r="AF499" s="593">
        <f t="shared" ca="1" si="766"/>
        <v>0</v>
      </c>
      <c r="AG499" s="593">
        <f t="shared" ca="1" si="767"/>
        <v>0</v>
      </c>
      <c r="AH499" s="593">
        <f t="shared" ca="1" si="768"/>
        <v>0</v>
      </c>
      <c r="AI499" s="593">
        <f t="shared" ca="1" si="769"/>
        <v>0</v>
      </c>
      <c r="AJ499" s="593">
        <f t="shared" ca="1" si="770"/>
        <v>0</v>
      </c>
      <c r="AK499" s="593">
        <f t="shared" ca="1" si="771"/>
        <v>0</v>
      </c>
      <c r="AL499" s="593">
        <f t="shared" ca="1" si="772"/>
        <v>0</v>
      </c>
      <c r="AM499" s="593">
        <f t="shared" ca="1" si="773"/>
        <v>0</v>
      </c>
      <c r="AN499" s="593">
        <f t="shared" ca="1" si="774"/>
        <v>0</v>
      </c>
      <c r="AO499" s="593">
        <f t="shared" ca="1" si="775"/>
        <v>0</v>
      </c>
      <c r="AP499" s="593">
        <f t="shared" ca="1" si="776"/>
        <v>0</v>
      </c>
    </row>
    <row r="500" spans="1:42" s="594" customFormat="1" ht="11.25" outlineLevel="1" x14ac:dyDescent="0.2">
      <c r="A500" s="644"/>
      <c r="B500" s="591" t="str">
        <f>IF(D500&lt;&gt;"",
IF(ISERROR(MATCH(D500,'Ist Aktuell Monat 01'!A:A,0))=FALSE,INDEX('Ist Aktuell Monat 01'!B:B,MATCH(D500,'Ist Aktuell Monat 01'!A:A,0)),
IF(ISERROR(MATCH(D500,'Ist Aktuell Monat 02'!A:A,0))=FALSE,INDEX('Ist Aktuell Monat 02'!B:B,MATCH(D500,'Ist Aktuell Monat 02'!A:A,0)),
IF(ISERROR(MATCH(D500,'Ist Aktuell Monat 03'!A:A,0))=FALSE,INDEX('Ist Aktuell Monat 03'!B:B,MATCH(D500,'Ist Aktuell Monat 03'!A:A,0)),
IF(ISERROR(MATCH(D500,'Ist Aktuell Monat 04'!A:A,0))=FALSE,INDEX('Ist Aktuell Monat 04'!B:B,MATCH(D500,'Ist Aktuell Monat 04'!A:A,0)),
IF(ISERROR(MATCH(D500,'Ist Aktuell Monat 05'!A:A,0))=FALSE,INDEX('Ist Aktuell Monat 05'!B:B,MATCH(D500,'Ist Aktuell Monat 05'!A:A,0)),
IF(ISERROR(MATCH(D500,'Ist Aktuell Monat 06'!A:A,0))=FALSE,INDEX('Ist Aktuell Monat 06'!B:B,MATCH(D500,'Ist Aktuell Monat 06'!A:A,0)),
IF(ISERROR(MATCH(D500,'Ist Aktuell Monat 07'!A:A,0))=FALSE,INDEX('Ist Aktuell Monat 07'!B:B,MATCH(D500,'Ist Aktuell Monat 07'!A:A,0)),
IF(ISERROR(MATCH(D500,'Ist Aktuell Monat 08'!A:A,0))=FALSE,INDEX('Ist Aktuell Monat 08'!B:B,MATCH(D500,'Ist Aktuell Monat 08'!A:A,0)),
IF(ISERROR(MATCH(D500,'Ist Aktuell Monat 09'!A:A,0))=FALSE,INDEX('Ist Aktuell Monat 09'!B:B,MATCH(D500,'Ist Aktuell Monat 09'!A:A,0)),
IF(ISERROR(MATCH(D500,'Ist Aktuell Monat 10'!A:A,0))=FALSE,INDEX('Ist Aktuell Monat 10'!B:B,MATCH(D500,'Ist Aktuell Monat 10'!A:A,0)),
IF(ISERROR(MATCH(D500,'Ist Aktuell Monat 11'!A:A,0))=FALSE,INDEX('Ist Aktuell Monat 11'!B:B,MATCH(D500,'Ist Aktuell Monat 11'!A:A,0)),
IF(ISERROR(MATCH(D500,'Ist Aktuell Monat 12'!A:A,0))=FALSE,INDEX('Ist Aktuell Monat 12'!B:B,MATCH(D500,'Ist Aktuell Monat 12'!A:A,0)),
"{Konto unbekannt}"
)))))))))))),"")</f>
        <v/>
      </c>
      <c r="C500" s="1062"/>
      <c r="D500" s="1067"/>
      <c r="E500" s="625">
        <f t="shared" si="727"/>
        <v>-1</v>
      </c>
      <c r="F500" s="626" t="s">
        <v>996</v>
      </c>
      <c r="G500" s="593">
        <f ca="1">$E500*(SUMIF(INDIRECT(G$3),'Struktur Aktuell'!$D500,INDIRECT(G$4))-SUMIF(INDIRECT(G$3),'Struktur Aktuell'!$D500,INDIRECT(G$5)))</f>
        <v>0</v>
      </c>
      <c r="H500" s="593">
        <f ca="1">$E500*(SUMIF(INDIRECT(H$3),'Struktur Aktuell'!$D500,INDIRECT(H$4))-SUMIF(INDIRECT(H$3),'Struktur Aktuell'!$D500,INDIRECT(H$5)))</f>
        <v>0</v>
      </c>
      <c r="I500" s="593">
        <f ca="1">$E500*(SUMIF(INDIRECT(I$3),'Struktur Aktuell'!$D500,INDIRECT(I$4))-SUMIF(INDIRECT(I$3),'Struktur Aktuell'!$D500,INDIRECT(I$5)))</f>
        <v>0</v>
      </c>
      <c r="J500" s="593">
        <f ca="1">$E500*(SUMIF(INDIRECT(J$3),'Struktur Aktuell'!$D500,INDIRECT(J$4))-SUMIF(INDIRECT(J$3),'Struktur Aktuell'!$D500,INDIRECT(J$5)))</f>
        <v>0</v>
      </c>
      <c r="K500" s="593">
        <f ca="1">$E500*(SUMIF(INDIRECT(K$3),'Struktur Aktuell'!$D500,INDIRECT(K$4))-SUMIF(INDIRECT(K$3),'Struktur Aktuell'!$D500,INDIRECT(K$5)))</f>
        <v>0</v>
      </c>
      <c r="L500" s="593">
        <f ca="1">$E500*(SUMIF(INDIRECT(L$3),'Struktur Aktuell'!$D500,INDIRECT(L$4))-SUMIF(INDIRECT(L$3),'Struktur Aktuell'!$D500,INDIRECT(L$5)))</f>
        <v>0</v>
      </c>
      <c r="M500" s="593">
        <f ca="1">$E500*(SUMIF(INDIRECT(M$3),'Struktur Aktuell'!$D500,INDIRECT(M$4))-SUMIF(INDIRECT(M$3),'Struktur Aktuell'!$D500,INDIRECT(M$5)))</f>
        <v>0</v>
      </c>
      <c r="N500" s="593">
        <f ca="1">$E500*(SUMIF(INDIRECT(N$3),'Struktur Aktuell'!$D500,INDIRECT(N$4))-SUMIF(INDIRECT(N$3),'Struktur Aktuell'!$D500,INDIRECT(N$5)))</f>
        <v>0</v>
      </c>
      <c r="O500" s="593">
        <f ca="1">$E500*(SUMIF(INDIRECT(O$3),'Struktur Aktuell'!$D500,INDIRECT(O$4))-SUMIF(INDIRECT(O$3),'Struktur Aktuell'!$D500,INDIRECT(O$5)))</f>
        <v>0</v>
      </c>
      <c r="P500" s="593">
        <f ca="1">$E500*(SUMIF(INDIRECT(P$3),'Struktur Aktuell'!$D500,INDIRECT(P$4))-SUMIF(INDIRECT(P$3),'Struktur Aktuell'!$D500,INDIRECT(P$5)))</f>
        <v>0</v>
      </c>
      <c r="Q500" s="593">
        <f ca="1">$E500*(SUMIF(INDIRECT(Q$3),'Struktur Aktuell'!$D500,INDIRECT(Q$4))-SUMIF(INDIRECT(Q$3),'Struktur Aktuell'!$D500,INDIRECT(Q$5)))</f>
        <v>0</v>
      </c>
      <c r="R500" s="593">
        <f ca="1">$E500*(SUMIF(INDIRECT(R$3),'Struktur Aktuell'!$D500,INDIRECT(R$4))-SUMIF(INDIRECT(R$3),'Struktur Aktuell'!$D500,INDIRECT(R$5)))</f>
        <v>0</v>
      </c>
      <c r="S500" s="593">
        <f ca="1">$E500*(SUMIF(INDIRECT(S$3),'Struktur Aktuell'!$D500,INDIRECT(S$4))-SUMIF(INDIRECT(S$3),'Struktur Aktuell'!$D500,INDIRECT(S$5)))</f>
        <v>0</v>
      </c>
      <c r="T500" s="593">
        <f ca="1">$E500*(SUMIF(INDIRECT(T$3),'Struktur Aktuell'!$D500,INDIRECT(T$4))-SUMIF(INDIRECT(T$3),'Struktur Aktuell'!$D500,INDIRECT(T$5)))</f>
        <v>0</v>
      </c>
      <c r="U500" s="593">
        <f ca="1">$E500*(SUMIF(INDIRECT(U$3),'Struktur Aktuell'!$D500,INDIRECT(U$4))-SUMIF(INDIRECT(U$3),'Struktur Aktuell'!$D500,INDIRECT(U$5)))</f>
        <v>0</v>
      </c>
      <c r="V500" s="593">
        <f ca="1">$E500*(SUMIF(INDIRECT(V$3),'Struktur Aktuell'!$D500,INDIRECT(V$4))-SUMIF(INDIRECT(V$3),'Struktur Aktuell'!$D500,INDIRECT(V$5)))</f>
        <v>0</v>
      </c>
      <c r="W500" s="593">
        <f ca="1">$E500*(SUMIF(INDIRECT(W$3),'Struktur Aktuell'!$D500,INDIRECT(W$4))-SUMIF(INDIRECT(W$3),'Struktur Aktuell'!$D500,INDIRECT(W$5)))</f>
        <v>0</v>
      </c>
      <c r="X500" s="593">
        <f ca="1">$E500*(SUMIF(INDIRECT(X$3),'Struktur Aktuell'!$D500,INDIRECT(X$4))-SUMIF(INDIRECT(X$3),'Struktur Aktuell'!$D500,INDIRECT(X$5)))</f>
        <v>0</v>
      </c>
      <c r="Y500" s="593">
        <f ca="1">$E500*(SUMIF(INDIRECT(Y$3),'Struktur Aktuell'!$D500,INDIRECT(Y$4))-SUMIF(INDIRECT(Y$3),'Struktur Aktuell'!$D500,INDIRECT(Y$5)))</f>
        <v>0</v>
      </c>
      <c r="Z500" s="593">
        <f ca="1">$E500*(SUMIF(INDIRECT(Z$3),'Struktur Aktuell'!$D500,INDIRECT(Z$4))-SUMIF(INDIRECT(Z$3),'Struktur Aktuell'!$D500,INDIRECT(Z$5)))</f>
        <v>0</v>
      </c>
      <c r="AA500" s="593">
        <f ca="1">$E500*(SUMIF(INDIRECT(AA$3),'Struktur Aktuell'!$D500,INDIRECT(AA$4))-SUMIF(INDIRECT(AA$3),'Struktur Aktuell'!$D500,INDIRECT(AA$5)))</f>
        <v>0</v>
      </c>
      <c r="AB500" s="593">
        <f ca="1">$E500*(SUMIF(INDIRECT(AB$3),'Struktur Aktuell'!$D500,INDIRECT(AB$4))-SUMIF(INDIRECT(AB$3),'Struktur Aktuell'!$D500,INDIRECT(AB$5)))</f>
        <v>0</v>
      </c>
      <c r="AC500" s="593">
        <f ca="1">$E500*(SUMIF(INDIRECT(AC$3),'Struktur Aktuell'!$D500,INDIRECT(AC$4))-SUMIF(INDIRECT(AC$3),'Struktur Aktuell'!$D500,INDIRECT(AC$5)))</f>
        <v>0</v>
      </c>
      <c r="AD500" s="593">
        <f ca="1">$E500*(SUMIF(INDIRECT(AD$3),'Struktur Aktuell'!$D500,INDIRECT(AD$4))-SUMIF(INDIRECT(AD$3),'Struktur Aktuell'!$D500,INDIRECT(AD$5)))</f>
        <v>0</v>
      </c>
      <c r="AE500" s="593">
        <f t="shared" ca="1" si="765"/>
        <v>0</v>
      </c>
      <c r="AF500" s="593">
        <f t="shared" ca="1" si="766"/>
        <v>0</v>
      </c>
      <c r="AG500" s="593">
        <f t="shared" ca="1" si="767"/>
        <v>0</v>
      </c>
      <c r="AH500" s="593">
        <f t="shared" ca="1" si="768"/>
        <v>0</v>
      </c>
      <c r="AI500" s="593">
        <f t="shared" ca="1" si="769"/>
        <v>0</v>
      </c>
      <c r="AJ500" s="593">
        <f t="shared" ca="1" si="770"/>
        <v>0</v>
      </c>
      <c r="AK500" s="593">
        <f t="shared" ca="1" si="771"/>
        <v>0</v>
      </c>
      <c r="AL500" s="593">
        <f t="shared" ca="1" si="772"/>
        <v>0</v>
      </c>
      <c r="AM500" s="593">
        <f t="shared" ca="1" si="773"/>
        <v>0</v>
      </c>
      <c r="AN500" s="593">
        <f t="shared" ca="1" si="774"/>
        <v>0</v>
      </c>
      <c r="AO500" s="593">
        <f t="shared" ca="1" si="775"/>
        <v>0</v>
      </c>
      <c r="AP500" s="593">
        <f t="shared" ca="1" si="776"/>
        <v>0</v>
      </c>
    </row>
    <row r="501" spans="1:42" s="594" customFormat="1" ht="11.25" outlineLevel="1" x14ac:dyDescent="0.2">
      <c r="A501" s="644"/>
      <c r="B501" s="591" t="str">
        <f>IF(D501&lt;&gt;"",
IF(ISERROR(MATCH(D501,'Ist Aktuell Monat 01'!A:A,0))=FALSE,INDEX('Ist Aktuell Monat 01'!B:B,MATCH(D501,'Ist Aktuell Monat 01'!A:A,0)),
IF(ISERROR(MATCH(D501,'Ist Aktuell Monat 02'!A:A,0))=FALSE,INDEX('Ist Aktuell Monat 02'!B:B,MATCH(D501,'Ist Aktuell Monat 02'!A:A,0)),
IF(ISERROR(MATCH(D501,'Ist Aktuell Monat 03'!A:A,0))=FALSE,INDEX('Ist Aktuell Monat 03'!B:B,MATCH(D501,'Ist Aktuell Monat 03'!A:A,0)),
IF(ISERROR(MATCH(D501,'Ist Aktuell Monat 04'!A:A,0))=FALSE,INDEX('Ist Aktuell Monat 04'!B:B,MATCH(D501,'Ist Aktuell Monat 04'!A:A,0)),
IF(ISERROR(MATCH(D501,'Ist Aktuell Monat 05'!A:A,0))=FALSE,INDEX('Ist Aktuell Monat 05'!B:B,MATCH(D501,'Ist Aktuell Monat 05'!A:A,0)),
IF(ISERROR(MATCH(D501,'Ist Aktuell Monat 06'!A:A,0))=FALSE,INDEX('Ist Aktuell Monat 06'!B:B,MATCH(D501,'Ist Aktuell Monat 06'!A:A,0)),
IF(ISERROR(MATCH(D501,'Ist Aktuell Monat 07'!A:A,0))=FALSE,INDEX('Ist Aktuell Monat 07'!B:B,MATCH(D501,'Ist Aktuell Monat 07'!A:A,0)),
IF(ISERROR(MATCH(D501,'Ist Aktuell Monat 08'!A:A,0))=FALSE,INDEX('Ist Aktuell Monat 08'!B:B,MATCH(D501,'Ist Aktuell Monat 08'!A:A,0)),
IF(ISERROR(MATCH(D501,'Ist Aktuell Monat 09'!A:A,0))=FALSE,INDEX('Ist Aktuell Monat 09'!B:B,MATCH(D501,'Ist Aktuell Monat 09'!A:A,0)),
IF(ISERROR(MATCH(D501,'Ist Aktuell Monat 10'!A:A,0))=FALSE,INDEX('Ist Aktuell Monat 10'!B:B,MATCH(D501,'Ist Aktuell Monat 10'!A:A,0)),
IF(ISERROR(MATCH(D501,'Ist Aktuell Monat 11'!A:A,0))=FALSE,INDEX('Ist Aktuell Monat 11'!B:B,MATCH(D501,'Ist Aktuell Monat 11'!A:A,0)),
IF(ISERROR(MATCH(D501,'Ist Aktuell Monat 12'!A:A,0))=FALSE,INDEX('Ist Aktuell Monat 12'!B:B,MATCH(D501,'Ist Aktuell Monat 12'!A:A,0)),
"{Konto unbekannt}"
)))))))))))),"")</f>
        <v/>
      </c>
      <c r="C501" s="1062"/>
      <c r="D501" s="1067"/>
      <c r="E501" s="625">
        <f t="shared" si="727"/>
        <v>-1</v>
      </c>
      <c r="F501" s="626" t="s">
        <v>996</v>
      </c>
      <c r="G501" s="593">
        <f ca="1">$E501*(SUMIF(INDIRECT(G$3),'Struktur Aktuell'!$D501,INDIRECT(G$4))-SUMIF(INDIRECT(G$3),'Struktur Aktuell'!$D501,INDIRECT(G$5)))</f>
        <v>0</v>
      </c>
      <c r="H501" s="593">
        <f ca="1">$E501*(SUMIF(INDIRECT(H$3),'Struktur Aktuell'!$D501,INDIRECT(H$4))-SUMIF(INDIRECT(H$3),'Struktur Aktuell'!$D501,INDIRECT(H$5)))</f>
        <v>0</v>
      </c>
      <c r="I501" s="593">
        <f ca="1">$E501*(SUMIF(INDIRECT(I$3),'Struktur Aktuell'!$D501,INDIRECT(I$4))-SUMIF(INDIRECT(I$3),'Struktur Aktuell'!$D501,INDIRECT(I$5)))</f>
        <v>0</v>
      </c>
      <c r="J501" s="593">
        <f ca="1">$E501*(SUMIF(INDIRECT(J$3),'Struktur Aktuell'!$D501,INDIRECT(J$4))-SUMIF(INDIRECT(J$3),'Struktur Aktuell'!$D501,INDIRECT(J$5)))</f>
        <v>0</v>
      </c>
      <c r="K501" s="593">
        <f ca="1">$E501*(SUMIF(INDIRECT(K$3),'Struktur Aktuell'!$D501,INDIRECT(K$4))-SUMIF(INDIRECT(K$3),'Struktur Aktuell'!$D501,INDIRECT(K$5)))</f>
        <v>0</v>
      </c>
      <c r="L501" s="593">
        <f ca="1">$E501*(SUMIF(INDIRECT(L$3),'Struktur Aktuell'!$D501,INDIRECT(L$4))-SUMIF(INDIRECT(L$3),'Struktur Aktuell'!$D501,INDIRECT(L$5)))</f>
        <v>0</v>
      </c>
      <c r="M501" s="593">
        <f ca="1">$E501*(SUMIF(INDIRECT(M$3),'Struktur Aktuell'!$D501,INDIRECT(M$4))-SUMIF(INDIRECT(M$3),'Struktur Aktuell'!$D501,INDIRECT(M$5)))</f>
        <v>0</v>
      </c>
      <c r="N501" s="593">
        <f ca="1">$E501*(SUMIF(INDIRECT(N$3),'Struktur Aktuell'!$D501,INDIRECT(N$4))-SUMIF(INDIRECT(N$3),'Struktur Aktuell'!$D501,INDIRECT(N$5)))</f>
        <v>0</v>
      </c>
      <c r="O501" s="593">
        <f ca="1">$E501*(SUMIF(INDIRECT(O$3),'Struktur Aktuell'!$D501,INDIRECT(O$4))-SUMIF(INDIRECT(O$3),'Struktur Aktuell'!$D501,INDIRECT(O$5)))</f>
        <v>0</v>
      </c>
      <c r="P501" s="593">
        <f ca="1">$E501*(SUMIF(INDIRECT(P$3),'Struktur Aktuell'!$D501,INDIRECT(P$4))-SUMIF(INDIRECT(P$3),'Struktur Aktuell'!$D501,INDIRECT(P$5)))</f>
        <v>0</v>
      </c>
      <c r="Q501" s="593">
        <f ca="1">$E501*(SUMIF(INDIRECT(Q$3),'Struktur Aktuell'!$D501,INDIRECT(Q$4))-SUMIF(INDIRECT(Q$3),'Struktur Aktuell'!$D501,INDIRECT(Q$5)))</f>
        <v>0</v>
      </c>
      <c r="R501" s="593">
        <f ca="1">$E501*(SUMIF(INDIRECT(R$3),'Struktur Aktuell'!$D501,INDIRECT(R$4))-SUMIF(INDIRECT(R$3),'Struktur Aktuell'!$D501,INDIRECT(R$5)))</f>
        <v>0</v>
      </c>
      <c r="S501" s="593">
        <f ca="1">$E501*(SUMIF(INDIRECT(S$3),'Struktur Aktuell'!$D501,INDIRECT(S$4))-SUMIF(INDIRECT(S$3),'Struktur Aktuell'!$D501,INDIRECT(S$5)))</f>
        <v>0</v>
      </c>
      <c r="T501" s="593">
        <f ca="1">$E501*(SUMIF(INDIRECT(T$3),'Struktur Aktuell'!$D501,INDIRECT(T$4))-SUMIF(INDIRECT(T$3),'Struktur Aktuell'!$D501,INDIRECT(T$5)))</f>
        <v>0</v>
      </c>
      <c r="U501" s="593">
        <f ca="1">$E501*(SUMIF(INDIRECT(U$3),'Struktur Aktuell'!$D501,INDIRECT(U$4))-SUMIF(INDIRECT(U$3),'Struktur Aktuell'!$D501,INDIRECT(U$5)))</f>
        <v>0</v>
      </c>
      <c r="V501" s="593">
        <f ca="1">$E501*(SUMIF(INDIRECT(V$3),'Struktur Aktuell'!$D501,INDIRECT(V$4))-SUMIF(INDIRECT(V$3),'Struktur Aktuell'!$D501,INDIRECT(V$5)))</f>
        <v>0</v>
      </c>
      <c r="W501" s="593">
        <f ca="1">$E501*(SUMIF(INDIRECT(W$3),'Struktur Aktuell'!$D501,INDIRECT(W$4))-SUMIF(INDIRECT(W$3),'Struktur Aktuell'!$D501,INDIRECT(W$5)))</f>
        <v>0</v>
      </c>
      <c r="X501" s="593">
        <f ca="1">$E501*(SUMIF(INDIRECT(X$3),'Struktur Aktuell'!$D501,INDIRECT(X$4))-SUMIF(INDIRECT(X$3),'Struktur Aktuell'!$D501,INDIRECT(X$5)))</f>
        <v>0</v>
      </c>
      <c r="Y501" s="593">
        <f ca="1">$E501*(SUMIF(INDIRECT(Y$3),'Struktur Aktuell'!$D501,INDIRECT(Y$4))-SUMIF(INDIRECT(Y$3),'Struktur Aktuell'!$D501,INDIRECT(Y$5)))</f>
        <v>0</v>
      </c>
      <c r="Z501" s="593">
        <f ca="1">$E501*(SUMIF(INDIRECT(Z$3),'Struktur Aktuell'!$D501,INDIRECT(Z$4))-SUMIF(INDIRECT(Z$3),'Struktur Aktuell'!$D501,INDIRECT(Z$5)))</f>
        <v>0</v>
      </c>
      <c r="AA501" s="593">
        <f ca="1">$E501*(SUMIF(INDIRECT(AA$3),'Struktur Aktuell'!$D501,INDIRECT(AA$4))-SUMIF(INDIRECT(AA$3),'Struktur Aktuell'!$D501,INDIRECT(AA$5)))</f>
        <v>0</v>
      </c>
      <c r="AB501" s="593">
        <f ca="1">$E501*(SUMIF(INDIRECT(AB$3),'Struktur Aktuell'!$D501,INDIRECT(AB$4))-SUMIF(INDIRECT(AB$3),'Struktur Aktuell'!$D501,INDIRECT(AB$5)))</f>
        <v>0</v>
      </c>
      <c r="AC501" s="593">
        <f ca="1">$E501*(SUMIF(INDIRECT(AC$3),'Struktur Aktuell'!$D501,INDIRECT(AC$4))-SUMIF(INDIRECT(AC$3),'Struktur Aktuell'!$D501,INDIRECT(AC$5)))</f>
        <v>0</v>
      </c>
      <c r="AD501" s="593">
        <f ca="1">$E501*(SUMIF(INDIRECT(AD$3),'Struktur Aktuell'!$D501,INDIRECT(AD$4))-SUMIF(INDIRECT(AD$3),'Struktur Aktuell'!$D501,INDIRECT(AD$5)))</f>
        <v>0</v>
      </c>
      <c r="AE501" s="593">
        <f t="shared" ca="1" si="765"/>
        <v>0</v>
      </c>
      <c r="AF501" s="593">
        <f t="shared" ca="1" si="766"/>
        <v>0</v>
      </c>
      <c r="AG501" s="593">
        <f t="shared" ca="1" si="767"/>
        <v>0</v>
      </c>
      <c r="AH501" s="593">
        <f t="shared" ca="1" si="768"/>
        <v>0</v>
      </c>
      <c r="AI501" s="593">
        <f t="shared" ca="1" si="769"/>
        <v>0</v>
      </c>
      <c r="AJ501" s="593">
        <f t="shared" ca="1" si="770"/>
        <v>0</v>
      </c>
      <c r="AK501" s="593">
        <f t="shared" ca="1" si="771"/>
        <v>0</v>
      </c>
      <c r="AL501" s="593">
        <f t="shared" ca="1" si="772"/>
        <v>0</v>
      </c>
      <c r="AM501" s="593">
        <f t="shared" ca="1" si="773"/>
        <v>0</v>
      </c>
      <c r="AN501" s="593">
        <f t="shared" ca="1" si="774"/>
        <v>0</v>
      </c>
      <c r="AO501" s="593">
        <f t="shared" ca="1" si="775"/>
        <v>0</v>
      </c>
      <c r="AP501" s="593">
        <f t="shared" ca="1" si="776"/>
        <v>0</v>
      </c>
    </row>
    <row r="502" spans="1:42" s="594" customFormat="1" ht="11.25" outlineLevel="1" x14ac:dyDescent="0.2">
      <c r="A502" s="644"/>
      <c r="B502" s="591" t="str">
        <f>IF(D502&lt;&gt;"",
IF(ISERROR(MATCH(D502,'Ist Aktuell Monat 01'!A:A,0))=FALSE,INDEX('Ist Aktuell Monat 01'!B:B,MATCH(D502,'Ist Aktuell Monat 01'!A:A,0)),
IF(ISERROR(MATCH(D502,'Ist Aktuell Monat 02'!A:A,0))=FALSE,INDEX('Ist Aktuell Monat 02'!B:B,MATCH(D502,'Ist Aktuell Monat 02'!A:A,0)),
IF(ISERROR(MATCH(D502,'Ist Aktuell Monat 03'!A:A,0))=FALSE,INDEX('Ist Aktuell Monat 03'!B:B,MATCH(D502,'Ist Aktuell Monat 03'!A:A,0)),
IF(ISERROR(MATCH(D502,'Ist Aktuell Monat 04'!A:A,0))=FALSE,INDEX('Ist Aktuell Monat 04'!B:B,MATCH(D502,'Ist Aktuell Monat 04'!A:A,0)),
IF(ISERROR(MATCH(D502,'Ist Aktuell Monat 05'!A:A,0))=FALSE,INDEX('Ist Aktuell Monat 05'!B:B,MATCH(D502,'Ist Aktuell Monat 05'!A:A,0)),
IF(ISERROR(MATCH(D502,'Ist Aktuell Monat 06'!A:A,0))=FALSE,INDEX('Ist Aktuell Monat 06'!B:B,MATCH(D502,'Ist Aktuell Monat 06'!A:A,0)),
IF(ISERROR(MATCH(D502,'Ist Aktuell Monat 07'!A:A,0))=FALSE,INDEX('Ist Aktuell Monat 07'!B:B,MATCH(D502,'Ist Aktuell Monat 07'!A:A,0)),
IF(ISERROR(MATCH(D502,'Ist Aktuell Monat 08'!A:A,0))=FALSE,INDEX('Ist Aktuell Monat 08'!B:B,MATCH(D502,'Ist Aktuell Monat 08'!A:A,0)),
IF(ISERROR(MATCH(D502,'Ist Aktuell Monat 09'!A:A,0))=FALSE,INDEX('Ist Aktuell Monat 09'!B:B,MATCH(D502,'Ist Aktuell Monat 09'!A:A,0)),
IF(ISERROR(MATCH(D502,'Ist Aktuell Monat 10'!A:A,0))=FALSE,INDEX('Ist Aktuell Monat 10'!B:B,MATCH(D502,'Ist Aktuell Monat 10'!A:A,0)),
IF(ISERROR(MATCH(D502,'Ist Aktuell Monat 11'!A:A,0))=FALSE,INDEX('Ist Aktuell Monat 11'!B:B,MATCH(D502,'Ist Aktuell Monat 11'!A:A,0)),
IF(ISERROR(MATCH(D502,'Ist Aktuell Monat 12'!A:A,0))=FALSE,INDEX('Ist Aktuell Monat 12'!B:B,MATCH(D502,'Ist Aktuell Monat 12'!A:A,0)),
"{Konto unbekannt}"
)))))))))))),"")</f>
        <v/>
      </c>
      <c r="C502" s="1062"/>
      <c r="D502" s="1067"/>
      <c r="E502" s="625">
        <f t="shared" ref="E502:E504" si="777">IF(F502="-",-1,1)</f>
        <v>-1</v>
      </c>
      <c r="F502" s="626" t="s">
        <v>996</v>
      </c>
      <c r="G502" s="593">
        <f ca="1">$E502*(SUMIF(INDIRECT(G$3),'Struktur Aktuell'!$D502,INDIRECT(G$4))-SUMIF(INDIRECT(G$3),'Struktur Aktuell'!$D502,INDIRECT(G$5)))</f>
        <v>0</v>
      </c>
      <c r="H502" s="593">
        <f ca="1">$E502*(SUMIF(INDIRECT(H$3),'Struktur Aktuell'!$D502,INDIRECT(H$4))-SUMIF(INDIRECT(H$3),'Struktur Aktuell'!$D502,INDIRECT(H$5)))</f>
        <v>0</v>
      </c>
      <c r="I502" s="593">
        <f ca="1">$E502*(SUMIF(INDIRECT(I$3),'Struktur Aktuell'!$D502,INDIRECT(I$4))-SUMIF(INDIRECT(I$3),'Struktur Aktuell'!$D502,INDIRECT(I$5)))</f>
        <v>0</v>
      </c>
      <c r="J502" s="593">
        <f ca="1">$E502*(SUMIF(INDIRECT(J$3),'Struktur Aktuell'!$D502,INDIRECT(J$4))-SUMIF(INDIRECT(J$3),'Struktur Aktuell'!$D502,INDIRECT(J$5)))</f>
        <v>0</v>
      </c>
      <c r="K502" s="593">
        <f ca="1">$E502*(SUMIF(INDIRECT(K$3),'Struktur Aktuell'!$D502,INDIRECT(K$4))-SUMIF(INDIRECT(K$3),'Struktur Aktuell'!$D502,INDIRECT(K$5)))</f>
        <v>0</v>
      </c>
      <c r="L502" s="593">
        <f ca="1">$E502*(SUMIF(INDIRECT(L$3),'Struktur Aktuell'!$D502,INDIRECT(L$4))-SUMIF(INDIRECT(L$3),'Struktur Aktuell'!$D502,INDIRECT(L$5)))</f>
        <v>0</v>
      </c>
      <c r="M502" s="593">
        <f ca="1">$E502*(SUMIF(INDIRECT(M$3),'Struktur Aktuell'!$D502,INDIRECT(M$4))-SUMIF(INDIRECT(M$3),'Struktur Aktuell'!$D502,INDIRECT(M$5)))</f>
        <v>0</v>
      </c>
      <c r="N502" s="593">
        <f ca="1">$E502*(SUMIF(INDIRECT(N$3),'Struktur Aktuell'!$D502,INDIRECT(N$4))-SUMIF(INDIRECT(N$3),'Struktur Aktuell'!$D502,INDIRECT(N$5)))</f>
        <v>0</v>
      </c>
      <c r="O502" s="593">
        <f ca="1">$E502*(SUMIF(INDIRECT(O$3),'Struktur Aktuell'!$D502,INDIRECT(O$4))-SUMIF(INDIRECT(O$3),'Struktur Aktuell'!$D502,INDIRECT(O$5)))</f>
        <v>0</v>
      </c>
      <c r="P502" s="593">
        <f ca="1">$E502*(SUMIF(INDIRECT(P$3),'Struktur Aktuell'!$D502,INDIRECT(P$4))-SUMIF(INDIRECT(P$3),'Struktur Aktuell'!$D502,INDIRECT(P$5)))</f>
        <v>0</v>
      </c>
      <c r="Q502" s="593">
        <f ca="1">$E502*(SUMIF(INDIRECT(Q$3),'Struktur Aktuell'!$D502,INDIRECT(Q$4))-SUMIF(INDIRECT(Q$3),'Struktur Aktuell'!$D502,INDIRECT(Q$5)))</f>
        <v>0</v>
      </c>
      <c r="R502" s="593">
        <f ca="1">$E502*(SUMIF(INDIRECT(R$3),'Struktur Aktuell'!$D502,INDIRECT(R$4))-SUMIF(INDIRECT(R$3),'Struktur Aktuell'!$D502,INDIRECT(R$5)))</f>
        <v>0</v>
      </c>
      <c r="S502" s="593">
        <f ca="1">$E502*(SUMIF(INDIRECT(S$3),'Struktur Aktuell'!$D502,INDIRECT(S$4))-SUMIF(INDIRECT(S$3),'Struktur Aktuell'!$D502,INDIRECT(S$5)))</f>
        <v>0</v>
      </c>
      <c r="T502" s="593">
        <f ca="1">$E502*(SUMIF(INDIRECT(T$3),'Struktur Aktuell'!$D502,INDIRECT(T$4))-SUMIF(INDIRECT(T$3),'Struktur Aktuell'!$D502,INDIRECT(T$5)))</f>
        <v>0</v>
      </c>
      <c r="U502" s="593">
        <f ca="1">$E502*(SUMIF(INDIRECT(U$3),'Struktur Aktuell'!$D502,INDIRECT(U$4))-SUMIF(INDIRECT(U$3),'Struktur Aktuell'!$D502,INDIRECT(U$5)))</f>
        <v>0</v>
      </c>
      <c r="V502" s="593">
        <f ca="1">$E502*(SUMIF(INDIRECT(V$3),'Struktur Aktuell'!$D502,INDIRECT(V$4))-SUMIF(INDIRECT(V$3),'Struktur Aktuell'!$D502,INDIRECT(V$5)))</f>
        <v>0</v>
      </c>
      <c r="W502" s="593">
        <f ca="1">$E502*(SUMIF(INDIRECT(W$3),'Struktur Aktuell'!$D502,INDIRECT(W$4))-SUMIF(INDIRECT(W$3),'Struktur Aktuell'!$D502,INDIRECT(W$5)))</f>
        <v>0</v>
      </c>
      <c r="X502" s="593">
        <f ca="1">$E502*(SUMIF(INDIRECT(X$3),'Struktur Aktuell'!$D502,INDIRECT(X$4))-SUMIF(INDIRECT(X$3),'Struktur Aktuell'!$D502,INDIRECT(X$5)))</f>
        <v>0</v>
      </c>
      <c r="Y502" s="593">
        <f ca="1">$E502*(SUMIF(INDIRECT(Y$3),'Struktur Aktuell'!$D502,INDIRECT(Y$4))-SUMIF(INDIRECT(Y$3),'Struktur Aktuell'!$D502,INDIRECT(Y$5)))</f>
        <v>0</v>
      </c>
      <c r="Z502" s="593">
        <f ca="1">$E502*(SUMIF(INDIRECT(Z$3),'Struktur Aktuell'!$D502,INDIRECT(Z$4))-SUMIF(INDIRECT(Z$3),'Struktur Aktuell'!$D502,INDIRECT(Z$5)))</f>
        <v>0</v>
      </c>
      <c r="AA502" s="593">
        <f ca="1">$E502*(SUMIF(INDIRECT(AA$3),'Struktur Aktuell'!$D502,INDIRECT(AA$4))-SUMIF(INDIRECT(AA$3),'Struktur Aktuell'!$D502,INDIRECT(AA$5)))</f>
        <v>0</v>
      </c>
      <c r="AB502" s="593">
        <f ca="1">$E502*(SUMIF(INDIRECT(AB$3),'Struktur Aktuell'!$D502,INDIRECT(AB$4))-SUMIF(INDIRECT(AB$3),'Struktur Aktuell'!$D502,INDIRECT(AB$5)))</f>
        <v>0</v>
      </c>
      <c r="AC502" s="593">
        <f ca="1">$E502*(SUMIF(INDIRECT(AC$3),'Struktur Aktuell'!$D502,INDIRECT(AC$4))-SUMIF(INDIRECT(AC$3),'Struktur Aktuell'!$D502,INDIRECT(AC$5)))</f>
        <v>0</v>
      </c>
      <c r="AD502" s="593">
        <f ca="1">$E502*(SUMIF(INDIRECT(AD$3),'Struktur Aktuell'!$D502,INDIRECT(AD$4))-SUMIF(INDIRECT(AD$3),'Struktur Aktuell'!$D502,INDIRECT(AD$5)))</f>
        <v>0</v>
      </c>
      <c r="AE502" s="593">
        <f t="shared" ca="1" si="765"/>
        <v>0</v>
      </c>
      <c r="AF502" s="593">
        <f t="shared" ca="1" si="766"/>
        <v>0</v>
      </c>
      <c r="AG502" s="593">
        <f t="shared" ca="1" si="767"/>
        <v>0</v>
      </c>
      <c r="AH502" s="593">
        <f t="shared" ca="1" si="768"/>
        <v>0</v>
      </c>
      <c r="AI502" s="593">
        <f t="shared" ca="1" si="769"/>
        <v>0</v>
      </c>
      <c r="AJ502" s="593">
        <f t="shared" ca="1" si="770"/>
        <v>0</v>
      </c>
      <c r="AK502" s="593">
        <f t="shared" ca="1" si="771"/>
        <v>0</v>
      </c>
      <c r="AL502" s="593">
        <f t="shared" ca="1" si="772"/>
        <v>0</v>
      </c>
      <c r="AM502" s="593">
        <f t="shared" ca="1" si="773"/>
        <v>0</v>
      </c>
      <c r="AN502" s="593">
        <f t="shared" ca="1" si="774"/>
        <v>0</v>
      </c>
      <c r="AO502" s="593">
        <f t="shared" ca="1" si="775"/>
        <v>0</v>
      </c>
      <c r="AP502" s="593">
        <f t="shared" ca="1" si="776"/>
        <v>0</v>
      </c>
    </row>
    <row r="503" spans="1:42" s="594" customFormat="1" ht="11.25" outlineLevel="1" x14ac:dyDescent="0.2">
      <c r="A503" s="644"/>
      <c r="B503" s="591" t="str">
        <f>IF(D503&lt;&gt;"",
IF(ISERROR(MATCH(D503,'Ist Aktuell Monat 01'!A:A,0))=FALSE,INDEX('Ist Aktuell Monat 01'!B:B,MATCH(D503,'Ist Aktuell Monat 01'!A:A,0)),
IF(ISERROR(MATCH(D503,'Ist Aktuell Monat 02'!A:A,0))=FALSE,INDEX('Ist Aktuell Monat 02'!B:B,MATCH(D503,'Ist Aktuell Monat 02'!A:A,0)),
IF(ISERROR(MATCH(D503,'Ist Aktuell Monat 03'!A:A,0))=FALSE,INDEX('Ist Aktuell Monat 03'!B:B,MATCH(D503,'Ist Aktuell Monat 03'!A:A,0)),
IF(ISERROR(MATCH(D503,'Ist Aktuell Monat 04'!A:A,0))=FALSE,INDEX('Ist Aktuell Monat 04'!B:B,MATCH(D503,'Ist Aktuell Monat 04'!A:A,0)),
IF(ISERROR(MATCH(D503,'Ist Aktuell Monat 05'!A:A,0))=FALSE,INDEX('Ist Aktuell Monat 05'!B:B,MATCH(D503,'Ist Aktuell Monat 05'!A:A,0)),
IF(ISERROR(MATCH(D503,'Ist Aktuell Monat 06'!A:A,0))=FALSE,INDEX('Ist Aktuell Monat 06'!B:B,MATCH(D503,'Ist Aktuell Monat 06'!A:A,0)),
IF(ISERROR(MATCH(D503,'Ist Aktuell Monat 07'!A:A,0))=FALSE,INDEX('Ist Aktuell Monat 07'!B:B,MATCH(D503,'Ist Aktuell Monat 07'!A:A,0)),
IF(ISERROR(MATCH(D503,'Ist Aktuell Monat 08'!A:A,0))=FALSE,INDEX('Ist Aktuell Monat 08'!B:B,MATCH(D503,'Ist Aktuell Monat 08'!A:A,0)),
IF(ISERROR(MATCH(D503,'Ist Aktuell Monat 09'!A:A,0))=FALSE,INDEX('Ist Aktuell Monat 09'!B:B,MATCH(D503,'Ist Aktuell Monat 09'!A:A,0)),
IF(ISERROR(MATCH(D503,'Ist Aktuell Monat 10'!A:A,0))=FALSE,INDEX('Ist Aktuell Monat 10'!B:B,MATCH(D503,'Ist Aktuell Monat 10'!A:A,0)),
IF(ISERROR(MATCH(D503,'Ist Aktuell Monat 11'!A:A,0))=FALSE,INDEX('Ist Aktuell Monat 11'!B:B,MATCH(D503,'Ist Aktuell Monat 11'!A:A,0)),
IF(ISERROR(MATCH(D503,'Ist Aktuell Monat 12'!A:A,0))=FALSE,INDEX('Ist Aktuell Monat 12'!B:B,MATCH(D503,'Ist Aktuell Monat 12'!A:A,0)),
"{Konto unbekannt}"
)))))))))))),"")</f>
        <v/>
      </c>
      <c r="C503" s="1062"/>
      <c r="D503" s="1067"/>
      <c r="E503" s="625">
        <f t="shared" si="777"/>
        <v>-1</v>
      </c>
      <c r="F503" s="626" t="s">
        <v>996</v>
      </c>
      <c r="G503" s="593">
        <f ca="1">$E503*(SUMIF(INDIRECT(G$3),'Struktur Aktuell'!$D503,INDIRECT(G$4))-SUMIF(INDIRECT(G$3),'Struktur Aktuell'!$D503,INDIRECT(G$5)))</f>
        <v>0</v>
      </c>
      <c r="H503" s="593">
        <f ca="1">$E503*(SUMIF(INDIRECT(H$3),'Struktur Aktuell'!$D503,INDIRECT(H$4))-SUMIF(INDIRECT(H$3),'Struktur Aktuell'!$D503,INDIRECT(H$5)))</f>
        <v>0</v>
      </c>
      <c r="I503" s="593">
        <f ca="1">$E503*(SUMIF(INDIRECT(I$3),'Struktur Aktuell'!$D503,INDIRECT(I$4))-SUMIF(INDIRECT(I$3),'Struktur Aktuell'!$D503,INDIRECT(I$5)))</f>
        <v>0</v>
      </c>
      <c r="J503" s="593">
        <f ca="1">$E503*(SUMIF(INDIRECT(J$3),'Struktur Aktuell'!$D503,INDIRECT(J$4))-SUMIF(INDIRECT(J$3),'Struktur Aktuell'!$D503,INDIRECT(J$5)))</f>
        <v>0</v>
      </c>
      <c r="K503" s="593">
        <f ca="1">$E503*(SUMIF(INDIRECT(K$3),'Struktur Aktuell'!$D503,INDIRECT(K$4))-SUMIF(INDIRECT(K$3),'Struktur Aktuell'!$D503,INDIRECT(K$5)))</f>
        <v>0</v>
      </c>
      <c r="L503" s="593">
        <f ca="1">$E503*(SUMIF(INDIRECT(L$3),'Struktur Aktuell'!$D503,INDIRECT(L$4))-SUMIF(INDIRECT(L$3),'Struktur Aktuell'!$D503,INDIRECT(L$5)))</f>
        <v>0</v>
      </c>
      <c r="M503" s="593">
        <f ca="1">$E503*(SUMIF(INDIRECT(M$3),'Struktur Aktuell'!$D503,INDIRECT(M$4))-SUMIF(INDIRECT(M$3),'Struktur Aktuell'!$D503,INDIRECT(M$5)))</f>
        <v>0</v>
      </c>
      <c r="N503" s="593">
        <f ca="1">$E503*(SUMIF(INDIRECT(N$3),'Struktur Aktuell'!$D503,INDIRECT(N$4))-SUMIF(INDIRECT(N$3),'Struktur Aktuell'!$D503,INDIRECT(N$5)))</f>
        <v>0</v>
      </c>
      <c r="O503" s="593">
        <f ca="1">$E503*(SUMIF(INDIRECT(O$3),'Struktur Aktuell'!$D503,INDIRECT(O$4))-SUMIF(INDIRECT(O$3),'Struktur Aktuell'!$D503,INDIRECT(O$5)))</f>
        <v>0</v>
      </c>
      <c r="P503" s="593">
        <f ca="1">$E503*(SUMIF(INDIRECT(P$3),'Struktur Aktuell'!$D503,INDIRECT(P$4))-SUMIF(INDIRECT(P$3),'Struktur Aktuell'!$D503,INDIRECT(P$5)))</f>
        <v>0</v>
      </c>
      <c r="Q503" s="593">
        <f ca="1">$E503*(SUMIF(INDIRECT(Q$3),'Struktur Aktuell'!$D503,INDIRECT(Q$4))-SUMIF(INDIRECT(Q$3),'Struktur Aktuell'!$D503,INDIRECT(Q$5)))</f>
        <v>0</v>
      </c>
      <c r="R503" s="593">
        <f ca="1">$E503*(SUMIF(INDIRECT(R$3),'Struktur Aktuell'!$D503,INDIRECT(R$4))-SUMIF(INDIRECT(R$3),'Struktur Aktuell'!$D503,INDIRECT(R$5)))</f>
        <v>0</v>
      </c>
      <c r="S503" s="593">
        <f ca="1">$E503*(SUMIF(INDIRECT(S$3),'Struktur Aktuell'!$D503,INDIRECT(S$4))-SUMIF(INDIRECT(S$3),'Struktur Aktuell'!$D503,INDIRECT(S$5)))</f>
        <v>0</v>
      </c>
      <c r="T503" s="593">
        <f ca="1">$E503*(SUMIF(INDIRECT(T$3),'Struktur Aktuell'!$D503,INDIRECT(T$4))-SUMIF(INDIRECT(T$3),'Struktur Aktuell'!$D503,INDIRECT(T$5)))</f>
        <v>0</v>
      </c>
      <c r="U503" s="593">
        <f ca="1">$E503*(SUMIF(INDIRECT(U$3),'Struktur Aktuell'!$D503,INDIRECT(U$4))-SUMIF(INDIRECT(U$3),'Struktur Aktuell'!$D503,INDIRECT(U$5)))</f>
        <v>0</v>
      </c>
      <c r="V503" s="593">
        <f ca="1">$E503*(SUMIF(INDIRECT(V$3),'Struktur Aktuell'!$D503,INDIRECT(V$4))-SUMIF(INDIRECT(V$3),'Struktur Aktuell'!$D503,INDIRECT(V$5)))</f>
        <v>0</v>
      </c>
      <c r="W503" s="593">
        <f ca="1">$E503*(SUMIF(INDIRECT(W$3),'Struktur Aktuell'!$D503,INDIRECT(W$4))-SUMIF(INDIRECT(W$3),'Struktur Aktuell'!$D503,INDIRECT(W$5)))</f>
        <v>0</v>
      </c>
      <c r="X503" s="593">
        <f ca="1">$E503*(SUMIF(INDIRECT(X$3),'Struktur Aktuell'!$D503,INDIRECT(X$4))-SUMIF(INDIRECT(X$3),'Struktur Aktuell'!$D503,INDIRECT(X$5)))</f>
        <v>0</v>
      </c>
      <c r="Y503" s="593">
        <f ca="1">$E503*(SUMIF(INDIRECT(Y$3),'Struktur Aktuell'!$D503,INDIRECT(Y$4))-SUMIF(INDIRECT(Y$3),'Struktur Aktuell'!$D503,INDIRECT(Y$5)))</f>
        <v>0</v>
      </c>
      <c r="Z503" s="593">
        <f ca="1">$E503*(SUMIF(INDIRECT(Z$3),'Struktur Aktuell'!$D503,INDIRECT(Z$4))-SUMIF(INDIRECT(Z$3),'Struktur Aktuell'!$D503,INDIRECT(Z$5)))</f>
        <v>0</v>
      </c>
      <c r="AA503" s="593">
        <f ca="1">$E503*(SUMIF(INDIRECT(AA$3),'Struktur Aktuell'!$D503,INDIRECT(AA$4))-SUMIF(INDIRECT(AA$3),'Struktur Aktuell'!$D503,INDIRECT(AA$5)))</f>
        <v>0</v>
      </c>
      <c r="AB503" s="593">
        <f ca="1">$E503*(SUMIF(INDIRECT(AB$3),'Struktur Aktuell'!$D503,INDIRECT(AB$4))-SUMIF(INDIRECT(AB$3),'Struktur Aktuell'!$D503,INDIRECT(AB$5)))</f>
        <v>0</v>
      </c>
      <c r="AC503" s="593">
        <f ca="1">$E503*(SUMIF(INDIRECT(AC$3),'Struktur Aktuell'!$D503,INDIRECT(AC$4))-SUMIF(INDIRECT(AC$3),'Struktur Aktuell'!$D503,INDIRECT(AC$5)))</f>
        <v>0</v>
      </c>
      <c r="AD503" s="593">
        <f ca="1">$E503*(SUMIF(INDIRECT(AD$3),'Struktur Aktuell'!$D503,INDIRECT(AD$4))-SUMIF(INDIRECT(AD$3),'Struktur Aktuell'!$D503,INDIRECT(AD$5)))</f>
        <v>0</v>
      </c>
      <c r="AE503" s="593">
        <f t="shared" ca="1" si="765"/>
        <v>0</v>
      </c>
      <c r="AF503" s="593">
        <f t="shared" ca="1" si="766"/>
        <v>0</v>
      </c>
      <c r="AG503" s="593">
        <f t="shared" ca="1" si="767"/>
        <v>0</v>
      </c>
      <c r="AH503" s="593">
        <f t="shared" ca="1" si="768"/>
        <v>0</v>
      </c>
      <c r="AI503" s="593">
        <f t="shared" ca="1" si="769"/>
        <v>0</v>
      </c>
      <c r="AJ503" s="593">
        <f t="shared" ca="1" si="770"/>
        <v>0</v>
      </c>
      <c r="AK503" s="593">
        <f t="shared" ca="1" si="771"/>
        <v>0</v>
      </c>
      <c r="AL503" s="593">
        <f t="shared" ca="1" si="772"/>
        <v>0</v>
      </c>
      <c r="AM503" s="593">
        <f t="shared" ca="1" si="773"/>
        <v>0</v>
      </c>
      <c r="AN503" s="593">
        <f t="shared" ca="1" si="774"/>
        <v>0</v>
      </c>
      <c r="AO503" s="593">
        <f t="shared" ca="1" si="775"/>
        <v>0</v>
      </c>
      <c r="AP503" s="593">
        <f t="shared" ca="1" si="776"/>
        <v>0</v>
      </c>
    </row>
    <row r="504" spans="1:42" s="594" customFormat="1" ht="11.25" outlineLevel="1" x14ac:dyDescent="0.2">
      <c r="A504" s="644"/>
      <c r="B504" s="591" t="str">
        <f>IF(D504&lt;&gt;"",
IF(ISERROR(MATCH(D504,'Ist Aktuell Monat 01'!A:A,0))=FALSE,INDEX('Ist Aktuell Monat 01'!B:B,MATCH(D504,'Ist Aktuell Monat 01'!A:A,0)),
IF(ISERROR(MATCH(D504,'Ist Aktuell Monat 02'!A:A,0))=FALSE,INDEX('Ist Aktuell Monat 02'!B:B,MATCH(D504,'Ist Aktuell Monat 02'!A:A,0)),
IF(ISERROR(MATCH(D504,'Ist Aktuell Monat 03'!A:A,0))=FALSE,INDEX('Ist Aktuell Monat 03'!B:B,MATCH(D504,'Ist Aktuell Monat 03'!A:A,0)),
IF(ISERROR(MATCH(D504,'Ist Aktuell Monat 04'!A:A,0))=FALSE,INDEX('Ist Aktuell Monat 04'!B:B,MATCH(D504,'Ist Aktuell Monat 04'!A:A,0)),
IF(ISERROR(MATCH(D504,'Ist Aktuell Monat 05'!A:A,0))=FALSE,INDEX('Ist Aktuell Monat 05'!B:B,MATCH(D504,'Ist Aktuell Monat 05'!A:A,0)),
IF(ISERROR(MATCH(D504,'Ist Aktuell Monat 06'!A:A,0))=FALSE,INDEX('Ist Aktuell Monat 06'!B:B,MATCH(D504,'Ist Aktuell Monat 06'!A:A,0)),
IF(ISERROR(MATCH(D504,'Ist Aktuell Monat 07'!A:A,0))=FALSE,INDEX('Ist Aktuell Monat 07'!B:B,MATCH(D504,'Ist Aktuell Monat 07'!A:A,0)),
IF(ISERROR(MATCH(D504,'Ist Aktuell Monat 08'!A:A,0))=FALSE,INDEX('Ist Aktuell Monat 08'!B:B,MATCH(D504,'Ist Aktuell Monat 08'!A:A,0)),
IF(ISERROR(MATCH(D504,'Ist Aktuell Monat 09'!A:A,0))=FALSE,INDEX('Ist Aktuell Monat 09'!B:B,MATCH(D504,'Ist Aktuell Monat 09'!A:A,0)),
IF(ISERROR(MATCH(D504,'Ist Aktuell Monat 10'!A:A,0))=FALSE,INDEX('Ist Aktuell Monat 10'!B:B,MATCH(D504,'Ist Aktuell Monat 10'!A:A,0)),
IF(ISERROR(MATCH(D504,'Ist Aktuell Monat 11'!A:A,0))=FALSE,INDEX('Ist Aktuell Monat 11'!B:B,MATCH(D504,'Ist Aktuell Monat 11'!A:A,0)),
IF(ISERROR(MATCH(D504,'Ist Aktuell Monat 12'!A:A,0))=FALSE,INDEX('Ist Aktuell Monat 12'!B:B,MATCH(D504,'Ist Aktuell Monat 12'!A:A,0)),
"{Konto unbekannt}"
)))))))))))),"")</f>
        <v/>
      </c>
      <c r="C504" s="1062"/>
      <c r="D504" s="1067"/>
      <c r="E504" s="625">
        <f t="shared" si="777"/>
        <v>-1</v>
      </c>
      <c r="F504" s="626" t="s">
        <v>996</v>
      </c>
      <c r="G504" s="593">
        <f ca="1">$E504*(SUMIF(INDIRECT(G$3),'Struktur Aktuell'!$D504,INDIRECT(G$4))-SUMIF(INDIRECT(G$3),'Struktur Aktuell'!$D504,INDIRECT(G$5)))</f>
        <v>0</v>
      </c>
      <c r="H504" s="593">
        <f ca="1">$E504*(SUMIF(INDIRECT(H$3),'Struktur Aktuell'!$D504,INDIRECT(H$4))-SUMIF(INDIRECT(H$3),'Struktur Aktuell'!$D504,INDIRECT(H$5)))</f>
        <v>0</v>
      </c>
      <c r="I504" s="593">
        <f ca="1">$E504*(SUMIF(INDIRECT(I$3),'Struktur Aktuell'!$D504,INDIRECT(I$4))-SUMIF(INDIRECT(I$3),'Struktur Aktuell'!$D504,INDIRECT(I$5)))</f>
        <v>0</v>
      </c>
      <c r="J504" s="593">
        <f ca="1">$E504*(SUMIF(INDIRECT(J$3),'Struktur Aktuell'!$D504,INDIRECT(J$4))-SUMIF(INDIRECT(J$3),'Struktur Aktuell'!$D504,INDIRECT(J$5)))</f>
        <v>0</v>
      </c>
      <c r="K504" s="593">
        <f ca="1">$E504*(SUMIF(INDIRECT(K$3),'Struktur Aktuell'!$D504,INDIRECT(K$4))-SUMIF(INDIRECT(K$3),'Struktur Aktuell'!$D504,INDIRECT(K$5)))</f>
        <v>0</v>
      </c>
      <c r="L504" s="593">
        <f ca="1">$E504*(SUMIF(INDIRECT(L$3),'Struktur Aktuell'!$D504,INDIRECT(L$4))-SUMIF(INDIRECT(L$3),'Struktur Aktuell'!$D504,INDIRECT(L$5)))</f>
        <v>0</v>
      </c>
      <c r="M504" s="593">
        <f ca="1">$E504*(SUMIF(INDIRECT(M$3),'Struktur Aktuell'!$D504,INDIRECT(M$4))-SUMIF(INDIRECT(M$3),'Struktur Aktuell'!$D504,INDIRECT(M$5)))</f>
        <v>0</v>
      </c>
      <c r="N504" s="593">
        <f ca="1">$E504*(SUMIF(INDIRECT(N$3),'Struktur Aktuell'!$D504,INDIRECT(N$4))-SUMIF(INDIRECT(N$3),'Struktur Aktuell'!$D504,INDIRECT(N$5)))</f>
        <v>0</v>
      </c>
      <c r="O504" s="593">
        <f ca="1">$E504*(SUMIF(INDIRECT(O$3),'Struktur Aktuell'!$D504,INDIRECT(O$4))-SUMIF(INDIRECT(O$3),'Struktur Aktuell'!$D504,INDIRECT(O$5)))</f>
        <v>0</v>
      </c>
      <c r="P504" s="593">
        <f ca="1">$E504*(SUMIF(INDIRECT(P$3),'Struktur Aktuell'!$D504,INDIRECT(P$4))-SUMIF(INDIRECT(P$3),'Struktur Aktuell'!$D504,INDIRECT(P$5)))</f>
        <v>0</v>
      </c>
      <c r="Q504" s="593">
        <f ca="1">$E504*(SUMIF(INDIRECT(Q$3),'Struktur Aktuell'!$D504,INDIRECT(Q$4))-SUMIF(INDIRECT(Q$3),'Struktur Aktuell'!$D504,INDIRECT(Q$5)))</f>
        <v>0</v>
      </c>
      <c r="R504" s="593">
        <f ca="1">$E504*(SUMIF(INDIRECT(R$3),'Struktur Aktuell'!$D504,INDIRECT(R$4))-SUMIF(INDIRECT(R$3),'Struktur Aktuell'!$D504,INDIRECT(R$5)))</f>
        <v>0</v>
      </c>
      <c r="S504" s="593">
        <f ca="1">$E504*(SUMIF(INDIRECT(S$3),'Struktur Aktuell'!$D504,INDIRECT(S$4))-SUMIF(INDIRECT(S$3),'Struktur Aktuell'!$D504,INDIRECT(S$5)))</f>
        <v>0</v>
      </c>
      <c r="T504" s="593">
        <f ca="1">$E504*(SUMIF(INDIRECT(T$3),'Struktur Aktuell'!$D504,INDIRECT(T$4))-SUMIF(INDIRECT(T$3),'Struktur Aktuell'!$D504,INDIRECT(T$5)))</f>
        <v>0</v>
      </c>
      <c r="U504" s="593">
        <f ca="1">$E504*(SUMIF(INDIRECT(U$3),'Struktur Aktuell'!$D504,INDIRECT(U$4))-SUMIF(INDIRECT(U$3),'Struktur Aktuell'!$D504,INDIRECT(U$5)))</f>
        <v>0</v>
      </c>
      <c r="V504" s="593">
        <f ca="1">$E504*(SUMIF(INDIRECT(V$3),'Struktur Aktuell'!$D504,INDIRECT(V$4))-SUMIF(INDIRECT(V$3),'Struktur Aktuell'!$D504,INDIRECT(V$5)))</f>
        <v>0</v>
      </c>
      <c r="W504" s="593">
        <f ca="1">$E504*(SUMIF(INDIRECT(W$3),'Struktur Aktuell'!$D504,INDIRECT(W$4))-SUMIF(INDIRECT(W$3),'Struktur Aktuell'!$D504,INDIRECT(W$5)))</f>
        <v>0</v>
      </c>
      <c r="X504" s="593">
        <f ca="1">$E504*(SUMIF(INDIRECT(X$3),'Struktur Aktuell'!$D504,INDIRECT(X$4))-SUMIF(INDIRECT(X$3),'Struktur Aktuell'!$D504,INDIRECT(X$5)))</f>
        <v>0</v>
      </c>
      <c r="Y504" s="593">
        <f ca="1">$E504*(SUMIF(INDIRECT(Y$3),'Struktur Aktuell'!$D504,INDIRECT(Y$4))-SUMIF(INDIRECT(Y$3),'Struktur Aktuell'!$D504,INDIRECT(Y$5)))</f>
        <v>0</v>
      </c>
      <c r="Z504" s="593">
        <f ca="1">$E504*(SUMIF(INDIRECT(Z$3),'Struktur Aktuell'!$D504,INDIRECT(Z$4))-SUMIF(INDIRECT(Z$3),'Struktur Aktuell'!$D504,INDIRECT(Z$5)))</f>
        <v>0</v>
      </c>
      <c r="AA504" s="593">
        <f ca="1">$E504*(SUMIF(INDIRECT(AA$3),'Struktur Aktuell'!$D504,INDIRECT(AA$4))-SUMIF(INDIRECT(AA$3),'Struktur Aktuell'!$D504,INDIRECT(AA$5)))</f>
        <v>0</v>
      </c>
      <c r="AB504" s="593">
        <f ca="1">$E504*(SUMIF(INDIRECT(AB$3),'Struktur Aktuell'!$D504,INDIRECT(AB$4))-SUMIF(INDIRECT(AB$3),'Struktur Aktuell'!$D504,INDIRECT(AB$5)))</f>
        <v>0</v>
      </c>
      <c r="AC504" s="593">
        <f ca="1">$E504*(SUMIF(INDIRECT(AC$3),'Struktur Aktuell'!$D504,INDIRECT(AC$4))-SUMIF(INDIRECT(AC$3),'Struktur Aktuell'!$D504,INDIRECT(AC$5)))</f>
        <v>0</v>
      </c>
      <c r="AD504" s="593">
        <f ca="1">$E504*(SUMIF(INDIRECT(AD$3),'Struktur Aktuell'!$D504,INDIRECT(AD$4))-SUMIF(INDIRECT(AD$3),'Struktur Aktuell'!$D504,INDIRECT(AD$5)))</f>
        <v>0</v>
      </c>
      <c r="AE504" s="593">
        <f t="shared" ca="1" si="765"/>
        <v>0</v>
      </c>
      <c r="AF504" s="593">
        <f t="shared" ca="1" si="766"/>
        <v>0</v>
      </c>
      <c r="AG504" s="593">
        <f t="shared" ca="1" si="767"/>
        <v>0</v>
      </c>
      <c r="AH504" s="593">
        <f t="shared" ca="1" si="768"/>
        <v>0</v>
      </c>
      <c r="AI504" s="593">
        <f t="shared" ca="1" si="769"/>
        <v>0</v>
      </c>
      <c r="AJ504" s="593">
        <f t="shared" ca="1" si="770"/>
        <v>0</v>
      </c>
      <c r="AK504" s="593">
        <f t="shared" ca="1" si="771"/>
        <v>0</v>
      </c>
      <c r="AL504" s="593">
        <f t="shared" ca="1" si="772"/>
        <v>0</v>
      </c>
      <c r="AM504" s="593">
        <f t="shared" ca="1" si="773"/>
        <v>0</v>
      </c>
      <c r="AN504" s="593">
        <f t="shared" ca="1" si="774"/>
        <v>0</v>
      </c>
      <c r="AO504" s="593">
        <f t="shared" ca="1" si="775"/>
        <v>0</v>
      </c>
      <c r="AP504" s="593">
        <f t="shared" ca="1" si="776"/>
        <v>0</v>
      </c>
    </row>
    <row r="505" spans="1:42" s="594" customFormat="1" ht="11.25" outlineLevel="1" x14ac:dyDescent="0.2">
      <c r="A505" s="645"/>
      <c r="B505" s="591" t="str">
        <f>IF(D505&lt;&gt;"",
IF(ISERROR(MATCH(D505,'Ist Aktuell Monat 01'!A:A,0))=FALSE,INDEX('Ist Aktuell Monat 01'!B:B,MATCH(D505,'Ist Aktuell Monat 01'!A:A,0)),
IF(ISERROR(MATCH(D505,'Ist Aktuell Monat 02'!A:A,0))=FALSE,INDEX('Ist Aktuell Monat 02'!B:B,MATCH(D505,'Ist Aktuell Monat 02'!A:A,0)),
IF(ISERROR(MATCH(D505,'Ist Aktuell Monat 03'!A:A,0))=FALSE,INDEX('Ist Aktuell Monat 03'!B:B,MATCH(D505,'Ist Aktuell Monat 03'!A:A,0)),
IF(ISERROR(MATCH(D505,'Ist Aktuell Monat 04'!A:A,0))=FALSE,INDEX('Ist Aktuell Monat 04'!B:B,MATCH(D505,'Ist Aktuell Monat 04'!A:A,0)),
IF(ISERROR(MATCH(D505,'Ist Aktuell Monat 05'!A:A,0))=FALSE,INDEX('Ist Aktuell Monat 05'!B:B,MATCH(D505,'Ist Aktuell Monat 05'!A:A,0)),
IF(ISERROR(MATCH(D505,'Ist Aktuell Monat 06'!A:A,0))=FALSE,INDEX('Ist Aktuell Monat 06'!B:B,MATCH(D505,'Ist Aktuell Monat 06'!A:A,0)),
IF(ISERROR(MATCH(D505,'Ist Aktuell Monat 07'!A:A,0))=FALSE,INDEX('Ist Aktuell Monat 07'!B:B,MATCH(D505,'Ist Aktuell Monat 07'!A:A,0)),
IF(ISERROR(MATCH(D505,'Ist Aktuell Monat 08'!A:A,0))=FALSE,INDEX('Ist Aktuell Monat 08'!B:B,MATCH(D505,'Ist Aktuell Monat 08'!A:A,0)),
IF(ISERROR(MATCH(D505,'Ist Aktuell Monat 09'!A:A,0))=FALSE,INDEX('Ist Aktuell Monat 09'!B:B,MATCH(D505,'Ist Aktuell Monat 09'!A:A,0)),
IF(ISERROR(MATCH(D505,'Ist Aktuell Monat 10'!A:A,0))=FALSE,INDEX('Ist Aktuell Monat 10'!B:B,MATCH(D505,'Ist Aktuell Monat 10'!A:A,0)),
IF(ISERROR(MATCH(D505,'Ist Aktuell Monat 11'!A:A,0))=FALSE,INDEX('Ist Aktuell Monat 11'!B:B,MATCH(D505,'Ist Aktuell Monat 11'!A:A,0)),
IF(ISERROR(MATCH(D505,'Ist Aktuell Monat 12'!A:A,0))=FALSE,INDEX('Ist Aktuell Monat 12'!B:B,MATCH(D505,'Ist Aktuell Monat 12'!A:A,0)),
"{Konto unbekannt}"
)))))))))))),"")</f>
        <v/>
      </c>
      <c r="C505" s="1062"/>
      <c r="D505" s="1067"/>
      <c r="E505" s="630">
        <f t="shared" si="727"/>
        <v>-1</v>
      </c>
      <c r="F505" s="631" t="s">
        <v>996</v>
      </c>
      <c r="G505" s="632">
        <f ca="1">$E505*(SUMIF(INDIRECT(G$3),'Struktur Aktuell'!$D505,INDIRECT(G$4))-SUMIF(INDIRECT(G$3),'Struktur Aktuell'!$D505,INDIRECT(G$5)))</f>
        <v>0</v>
      </c>
      <c r="H505" s="632">
        <f ca="1">$E505*(SUMIF(INDIRECT(H$3),'Struktur Aktuell'!$D505,INDIRECT(H$4))-SUMIF(INDIRECT(H$3),'Struktur Aktuell'!$D505,INDIRECT(H$5)))</f>
        <v>0</v>
      </c>
      <c r="I505" s="632">
        <f ca="1">$E505*(SUMIF(INDIRECT(I$3),'Struktur Aktuell'!$D505,INDIRECT(I$4))-SUMIF(INDIRECT(I$3),'Struktur Aktuell'!$D505,INDIRECT(I$5)))</f>
        <v>0</v>
      </c>
      <c r="J505" s="632">
        <f ca="1">$E505*(SUMIF(INDIRECT(J$3),'Struktur Aktuell'!$D505,INDIRECT(J$4))-SUMIF(INDIRECT(J$3),'Struktur Aktuell'!$D505,INDIRECT(J$5)))</f>
        <v>0</v>
      </c>
      <c r="K505" s="632">
        <f ca="1">$E505*(SUMIF(INDIRECT(K$3),'Struktur Aktuell'!$D505,INDIRECT(K$4))-SUMIF(INDIRECT(K$3),'Struktur Aktuell'!$D505,INDIRECT(K$5)))</f>
        <v>0</v>
      </c>
      <c r="L505" s="632">
        <f ca="1">$E505*(SUMIF(INDIRECT(L$3),'Struktur Aktuell'!$D505,INDIRECT(L$4))-SUMIF(INDIRECT(L$3),'Struktur Aktuell'!$D505,INDIRECT(L$5)))</f>
        <v>0</v>
      </c>
      <c r="M505" s="632">
        <f ca="1">$E505*(SUMIF(INDIRECT(M$3),'Struktur Aktuell'!$D505,INDIRECT(M$4))-SUMIF(INDIRECT(M$3),'Struktur Aktuell'!$D505,INDIRECT(M$5)))</f>
        <v>0</v>
      </c>
      <c r="N505" s="632">
        <f ca="1">$E505*(SUMIF(INDIRECT(N$3),'Struktur Aktuell'!$D505,INDIRECT(N$4))-SUMIF(INDIRECT(N$3),'Struktur Aktuell'!$D505,INDIRECT(N$5)))</f>
        <v>0</v>
      </c>
      <c r="O505" s="632">
        <f ca="1">$E505*(SUMIF(INDIRECT(O$3),'Struktur Aktuell'!$D505,INDIRECT(O$4))-SUMIF(INDIRECT(O$3),'Struktur Aktuell'!$D505,INDIRECT(O$5)))</f>
        <v>0</v>
      </c>
      <c r="P505" s="632">
        <f ca="1">$E505*(SUMIF(INDIRECT(P$3),'Struktur Aktuell'!$D505,INDIRECT(P$4))-SUMIF(INDIRECT(P$3),'Struktur Aktuell'!$D505,INDIRECT(P$5)))</f>
        <v>0</v>
      </c>
      <c r="Q505" s="632">
        <f ca="1">$E505*(SUMIF(INDIRECT(Q$3),'Struktur Aktuell'!$D505,INDIRECT(Q$4))-SUMIF(INDIRECT(Q$3),'Struktur Aktuell'!$D505,INDIRECT(Q$5)))</f>
        <v>0</v>
      </c>
      <c r="R505" s="632">
        <f ca="1">$E505*(SUMIF(INDIRECT(R$3),'Struktur Aktuell'!$D505,INDIRECT(R$4))-SUMIF(INDIRECT(R$3),'Struktur Aktuell'!$D505,INDIRECT(R$5)))</f>
        <v>0</v>
      </c>
      <c r="S505" s="632">
        <f ca="1">$E505*(SUMIF(INDIRECT(S$3),'Struktur Aktuell'!$D505,INDIRECT(S$4))-SUMIF(INDIRECT(S$3),'Struktur Aktuell'!$D505,INDIRECT(S$5)))</f>
        <v>0</v>
      </c>
      <c r="T505" s="632">
        <f ca="1">$E505*(SUMIF(INDIRECT(T$3),'Struktur Aktuell'!$D505,INDIRECT(T$4))-SUMIF(INDIRECT(T$3),'Struktur Aktuell'!$D505,INDIRECT(T$5)))</f>
        <v>0</v>
      </c>
      <c r="U505" s="632">
        <f ca="1">$E505*(SUMIF(INDIRECT(U$3),'Struktur Aktuell'!$D505,INDIRECT(U$4))-SUMIF(INDIRECT(U$3),'Struktur Aktuell'!$D505,INDIRECT(U$5)))</f>
        <v>0</v>
      </c>
      <c r="V505" s="632">
        <f ca="1">$E505*(SUMIF(INDIRECT(V$3),'Struktur Aktuell'!$D505,INDIRECT(V$4))-SUMIF(INDIRECT(V$3),'Struktur Aktuell'!$D505,INDIRECT(V$5)))</f>
        <v>0</v>
      </c>
      <c r="W505" s="632">
        <f ca="1">$E505*(SUMIF(INDIRECT(W$3),'Struktur Aktuell'!$D505,INDIRECT(W$4))-SUMIF(INDIRECT(W$3),'Struktur Aktuell'!$D505,INDIRECT(W$5)))</f>
        <v>0</v>
      </c>
      <c r="X505" s="632">
        <f ca="1">$E505*(SUMIF(INDIRECT(X$3),'Struktur Aktuell'!$D505,INDIRECT(X$4))-SUMIF(INDIRECT(X$3),'Struktur Aktuell'!$D505,INDIRECT(X$5)))</f>
        <v>0</v>
      </c>
      <c r="Y505" s="632">
        <f ca="1">$E505*(SUMIF(INDIRECT(Y$3),'Struktur Aktuell'!$D505,INDIRECT(Y$4))-SUMIF(INDIRECT(Y$3),'Struktur Aktuell'!$D505,INDIRECT(Y$5)))</f>
        <v>0</v>
      </c>
      <c r="Z505" s="632">
        <f ca="1">$E505*(SUMIF(INDIRECT(Z$3),'Struktur Aktuell'!$D505,INDIRECT(Z$4))-SUMIF(INDIRECT(Z$3),'Struktur Aktuell'!$D505,INDIRECT(Z$5)))</f>
        <v>0</v>
      </c>
      <c r="AA505" s="632">
        <f ca="1">$E505*(SUMIF(INDIRECT(AA$3),'Struktur Aktuell'!$D505,INDIRECT(AA$4))-SUMIF(INDIRECT(AA$3),'Struktur Aktuell'!$D505,INDIRECT(AA$5)))</f>
        <v>0</v>
      </c>
      <c r="AB505" s="632">
        <f ca="1">$E505*(SUMIF(INDIRECT(AB$3),'Struktur Aktuell'!$D505,INDIRECT(AB$4))-SUMIF(INDIRECT(AB$3),'Struktur Aktuell'!$D505,INDIRECT(AB$5)))</f>
        <v>0</v>
      </c>
      <c r="AC505" s="632">
        <f ca="1">$E505*(SUMIF(INDIRECT(AC$3),'Struktur Aktuell'!$D505,INDIRECT(AC$4))-SUMIF(INDIRECT(AC$3),'Struktur Aktuell'!$D505,INDIRECT(AC$5)))</f>
        <v>0</v>
      </c>
      <c r="AD505" s="632">
        <f ca="1">$E505*(SUMIF(INDIRECT(AD$3),'Struktur Aktuell'!$D505,INDIRECT(AD$4))-SUMIF(INDIRECT(AD$3),'Struktur Aktuell'!$D505,INDIRECT(AD$5)))</f>
        <v>0</v>
      </c>
      <c r="AE505" s="593">
        <f t="shared" ca="1" si="765"/>
        <v>0</v>
      </c>
      <c r="AF505" s="593">
        <f t="shared" ca="1" si="766"/>
        <v>0</v>
      </c>
      <c r="AG505" s="593">
        <f t="shared" ca="1" si="767"/>
        <v>0</v>
      </c>
      <c r="AH505" s="593">
        <f t="shared" ca="1" si="768"/>
        <v>0</v>
      </c>
      <c r="AI505" s="593">
        <f t="shared" ca="1" si="769"/>
        <v>0</v>
      </c>
      <c r="AJ505" s="593">
        <f t="shared" ca="1" si="770"/>
        <v>0</v>
      </c>
      <c r="AK505" s="593">
        <f t="shared" ca="1" si="771"/>
        <v>0</v>
      </c>
      <c r="AL505" s="593">
        <f t="shared" ca="1" si="772"/>
        <v>0</v>
      </c>
      <c r="AM505" s="593">
        <f t="shared" ca="1" si="773"/>
        <v>0</v>
      </c>
      <c r="AN505" s="593">
        <f t="shared" ca="1" si="774"/>
        <v>0</v>
      </c>
      <c r="AO505" s="593">
        <f t="shared" ca="1" si="775"/>
        <v>0</v>
      </c>
      <c r="AP505" s="593">
        <f t="shared" ca="1" si="776"/>
        <v>0</v>
      </c>
    </row>
    <row r="506" spans="1:42" s="589" customFormat="1" outlineLevel="1" x14ac:dyDescent="0.2">
      <c r="A506" s="585">
        <v>46</v>
      </c>
      <c r="B506" s="623" t="s">
        <v>285</v>
      </c>
      <c r="C506" s="627">
        <f ca="1">SUM(G506:R506)</f>
        <v>-34696.05999999999</v>
      </c>
      <c r="D506" s="627"/>
      <c r="E506" s="624">
        <f t="shared" si="727"/>
        <v>1</v>
      </c>
      <c r="F506" s="624"/>
      <c r="G506" s="627">
        <f ca="1">SUM(G507:G526)</f>
        <v>1878.94</v>
      </c>
      <c r="H506" s="627">
        <f t="shared" ref="H506:R506" ca="1" si="778">SUM(H507:H526)</f>
        <v>-5604.4</v>
      </c>
      <c r="I506" s="627">
        <f t="shared" ca="1" si="778"/>
        <v>1744.3499999999997</v>
      </c>
      <c r="J506" s="627">
        <f t="shared" ca="1" si="778"/>
        <v>1002.6899999999998</v>
      </c>
      <c r="K506" s="627">
        <f t="shared" ca="1" si="778"/>
        <v>-35963.18</v>
      </c>
      <c r="L506" s="627">
        <f t="shared" ca="1" si="778"/>
        <v>-562.33999999999992</v>
      </c>
      <c r="M506" s="627">
        <f ca="1">SUM(M507:M526)</f>
        <v>10350.39</v>
      </c>
      <c r="N506" s="627">
        <f t="shared" ca="1" si="778"/>
        <v>2335.58</v>
      </c>
      <c r="O506" s="627">
        <f t="shared" ca="1" si="778"/>
        <v>-7541.66</v>
      </c>
      <c r="P506" s="627">
        <f t="shared" ca="1" si="778"/>
        <v>-2336.4299999999998</v>
      </c>
      <c r="Q506" s="627">
        <f t="shared" ca="1" si="778"/>
        <v>0</v>
      </c>
      <c r="R506" s="627">
        <f t="shared" ca="1" si="778"/>
        <v>0</v>
      </c>
      <c r="S506" s="627">
        <f ca="1">SUM(S507:S526)</f>
        <v>4283.2899999999991</v>
      </c>
      <c r="T506" s="627">
        <f t="shared" ref="T506:X506" ca="1" si="779">SUM(T507:T526)</f>
        <v>-1321.1100000000006</v>
      </c>
      <c r="U506" s="627">
        <f t="shared" ca="1" si="779"/>
        <v>423.2400000000016</v>
      </c>
      <c r="V506" s="627">
        <f t="shared" ca="1" si="779"/>
        <v>1425.9299999999985</v>
      </c>
      <c r="W506" s="627">
        <f t="shared" ca="1" si="779"/>
        <v>-34537.25</v>
      </c>
      <c r="X506" s="627">
        <f t="shared" ca="1" si="779"/>
        <v>-35099.589999999997</v>
      </c>
      <c r="Y506" s="627">
        <f ca="1">SUM(Y507:Y526)</f>
        <v>-24749.199999999997</v>
      </c>
      <c r="Z506" s="627">
        <f t="shared" ref="Z506:AD506" ca="1" si="780">SUM(Z507:Z526)</f>
        <v>-22413.620000000003</v>
      </c>
      <c r="AA506" s="627">
        <f t="shared" ca="1" si="780"/>
        <v>-29955.279999999999</v>
      </c>
      <c r="AB506" s="627">
        <f t="shared" ca="1" si="780"/>
        <v>-32291.71</v>
      </c>
      <c r="AC506" s="627">
        <f t="shared" ca="1" si="780"/>
        <v>0</v>
      </c>
      <c r="AD506" s="627">
        <f t="shared" ca="1" si="780"/>
        <v>0</v>
      </c>
      <c r="AE506" s="627">
        <f ca="1">SUM(AE507:AE526)</f>
        <v>1878.94</v>
      </c>
      <c r="AF506" s="627">
        <f t="shared" ref="AF506:AJ506" ca="1" si="781">SUM(AF507:AF526)</f>
        <v>-3725.46</v>
      </c>
      <c r="AG506" s="627">
        <f t="shared" ca="1" si="781"/>
        <v>-1981.1100000000006</v>
      </c>
      <c r="AH506" s="627">
        <f t="shared" ca="1" si="781"/>
        <v>-978.42000000000007</v>
      </c>
      <c r="AI506" s="627">
        <f t="shared" ca="1" si="781"/>
        <v>-36941.599999999999</v>
      </c>
      <c r="AJ506" s="627">
        <f t="shared" ca="1" si="781"/>
        <v>-37503.94</v>
      </c>
      <c r="AK506" s="627">
        <f ca="1">SUM(AK507:AK526)</f>
        <v>-27153.550000000003</v>
      </c>
      <c r="AL506" s="627">
        <f t="shared" ref="AL506:AP506" ca="1" si="782">SUM(AL507:AL526)</f>
        <v>-24817.97</v>
      </c>
      <c r="AM506" s="627">
        <f t="shared" ca="1" si="782"/>
        <v>-32359.629999999997</v>
      </c>
      <c r="AN506" s="627">
        <f t="shared" ca="1" si="782"/>
        <v>-34696.06</v>
      </c>
      <c r="AO506" s="627">
        <f t="shared" ca="1" si="782"/>
        <v>-34696.06</v>
      </c>
      <c r="AP506" s="627">
        <f t="shared" ca="1" si="782"/>
        <v>-34696.06</v>
      </c>
    </row>
    <row r="507" spans="1:42" s="594" customFormat="1" ht="11.25" outlineLevel="1" x14ac:dyDescent="0.2">
      <c r="A507" s="644"/>
      <c r="B507" s="591" t="str">
        <f>IF(D507&lt;&gt;"",
IF(ISERROR(MATCH(D507,'Ist Aktuell Monat 01'!A:A,0))=FALSE,INDEX('Ist Aktuell Monat 01'!B:B,MATCH(D507,'Ist Aktuell Monat 01'!A:A,0)),
IF(ISERROR(MATCH(D507,'Ist Aktuell Monat 02'!A:A,0))=FALSE,INDEX('Ist Aktuell Monat 02'!B:B,MATCH(D507,'Ist Aktuell Monat 02'!A:A,0)),
IF(ISERROR(MATCH(D507,'Ist Aktuell Monat 03'!A:A,0))=FALSE,INDEX('Ist Aktuell Monat 03'!B:B,MATCH(D507,'Ist Aktuell Monat 03'!A:A,0)),
IF(ISERROR(MATCH(D507,'Ist Aktuell Monat 04'!A:A,0))=FALSE,INDEX('Ist Aktuell Monat 04'!B:B,MATCH(D507,'Ist Aktuell Monat 04'!A:A,0)),
IF(ISERROR(MATCH(D507,'Ist Aktuell Monat 05'!A:A,0))=FALSE,INDEX('Ist Aktuell Monat 05'!B:B,MATCH(D507,'Ist Aktuell Monat 05'!A:A,0)),
IF(ISERROR(MATCH(D507,'Ist Aktuell Monat 06'!A:A,0))=FALSE,INDEX('Ist Aktuell Monat 06'!B:B,MATCH(D507,'Ist Aktuell Monat 06'!A:A,0)),
IF(ISERROR(MATCH(D507,'Ist Aktuell Monat 07'!A:A,0))=FALSE,INDEX('Ist Aktuell Monat 07'!B:B,MATCH(D507,'Ist Aktuell Monat 07'!A:A,0)),
IF(ISERROR(MATCH(D507,'Ist Aktuell Monat 08'!A:A,0))=FALSE,INDEX('Ist Aktuell Monat 08'!B:B,MATCH(D507,'Ist Aktuell Monat 08'!A:A,0)),
IF(ISERROR(MATCH(D507,'Ist Aktuell Monat 09'!A:A,0))=FALSE,INDEX('Ist Aktuell Monat 09'!B:B,MATCH(D507,'Ist Aktuell Monat 09'!A:A,0)),
IF(ISERROR(MATCH(D507,'Ist Aktuell Monat 10'!A:A,0))=FALSE,INDEX('Ist Aktuell Monat 10'!B:B,MATCH(D507,'Ist Aktuell Monat 10'!A:A,0)),
IF(ISERROR(MATCH(D507,'Ist Aktuell Monat 11'!A:A,0))=FALSE,INDEX('Ist Aktuell Monat 11'!B:B,MATCH(D507,'Ist Aktuell Monat 11'!A:A,0)),
IF(ISERROR(MATCH(D507,'Ist Aktuell Monat 12'!A:A,0))=FALSE,INDEX('Ist Aktuell Monat 12'!B:B,MATCH(D507,'Ist Aktuell Monat 12'!A:A,0)),
"{Konto unbekannt}"
)))))))))))),"")</f>
        <v>Verbindl. aus Lieferungen u. Leistungen</v>
      </c>
      <c r="C507" s="1062"/>
      <c r="D507" s="1067">
        <v>1600</v>
      </c>
      <c r="E507" s="625">
        <f t="shared" si="727"/>
        <v>1</v>
      </c>
      <c r="F507" s="626"/>
      <c r="G507" s="593">
        <f ca="1">$E507*(SUMIF(INDIRECT(G$3),'Struktur Aktuell'!$D507,INDIRECT(G$4))-SUMIF(INDIRECT(G$3),'Struktur Aktuell'!$D507,INDIRECT(G$5)))</f>
        <v>-189.19</v>
      </c>
      <c r="H507" s="593">
        <f ca="1">$E507*(SUMIF(INDIRECT(H$3),'Struktur Aktuell'!$D507,INDIRECT(H$4))-SUMIF(INDIRECT(H$3),'Struktur Aktuell'!$D507,INDIRECT(H$5)))</f>
        <v>-215.36</v>
      </c>
      <c r="I507" s="593">
        <f ca="1">$E507*(SUMIF(INDIRECT(I$3),'Struktur Aktuell'!$D507,INDIRECT(I$4))-SUMIF(INDIRECT(I$3),'Struktur Aktuell'!$D507,INDIRECT(I$5)))</f>
        <v>1543.33</v>
      </c>
      <c r="J507" s="593">
        <f ca="1">$E507*(SUMIF(INDIRECT(J$3),'Struktur Aktuell'!$D507,INDIRECT(J$4))-SUMIF(INDIRECT(J$3),'Struktur Aktuell'!$D507,INDIRECT(J$5)))</f>
        <v>-165.24</v>
      </c>
      <c r="K507" s="593">
        <f ca="1">$E507*(SUMIF(INDIRECT(K$3),'Struktur Aktuell'!$D507,INDIRECT(K$4))-SUMIF(INDIRECT(K$3),'Struktur Aktuell'!$D507,INDIRECT(K$5)))</f>
        <v>-479.25</v>
      </c>
      <c r="L507" s="593">
        <f ca="1">$E507*(SUMIF(INDIRECT(L$3),'Struktur Aktuell'!$D507,INDIRECT(L$4))-SUMIF(INDIRECT(L$3),'Struktur Aktuell'!$D507,INDIRECT(L$5)))</f>
        <v>-1456.88</v>
      </c>
      <c r="M507" s="593">
        <f ca="1">$E507*(SUMIF(INDIRECT(M$3),'Struktur Aktuell'!$D507,INDIRECT(M$4))-SUMIF(INDIRECT(M$3),'Struktur Aktuell'!$D507,INDIRECT(M$5)))</f>
        <v>653.91</v>
      </c>
      <c r="N507" s="593">
        <f ca="1">$E507*(SUMIF(INDIRECT(N$3),'Struktur Aktuell'!$D507,INDIRECT(N$4))-SUMIF(INDIRECT(N$3),'Struktur Aktuell'!$D507,INDIRECT(N$5)))</f>
        <v>1022.49</v>
      </c>
      <c r="O507" s="593">
        <f ca="1">$E507*(SUMIF(INDIRECT(O$3),'Struktur Aktuell'!$D507,INDIRECT(O$4))-SUMIF(INDIRECT(O$3),'Struktur Aktuell'!$D507,INDIRECT(O$5)))</f>
        <v>-1110.6400000000001</v>
      </c>
      <c r="P507" s="593">
        <f ca="1">$E507*(SUMIF(INDIRECT(P$3),'Struktur Aktuell'!$D507,INDIRECT(P$4))-SUMIF(INDIRECT(P$3),'Struktur Aktuell'!$D507,INDIRECT(P$5)))</f>
        <v>-200.4</v>
      </c>
      <c r="Q507" s="593">
        <f ca="1">$E507*(SUMIF(INDIRECT(Q$3),'Struktur Aktuell'!$D507,INDIRECT(Q$4))-SUMIF(INDIRECT(Q$3),'Struktur Aktuell'!$D507,INDIRECT(Q$5)))</f>
        <v>0</v>
      </c>
      <c r="R507" s="593">
        <f ca="1">$E507*(SUMIF(INDIRECT(R$3),'Struktur Aktuell'!$D507,INDIRECT(R$4))-SUMIF(INDIRECT(R$3),'Struktur Aktuell'!$D507,INDIRECT(R$5)))</f>
        <v>0</v>
      </c>
      <c r="S507" s="593">
        <f ca="1">$E507*(SUMIF(INDIRECT(S$3),'Struktur Aktuell'!$D507,INDIRECT(S$4))-SUMIF(INDIRECT(S$3),'Struktur Aktuell'!$D507,INDIRECT(S$5)))</f>
        <v>1206.06</v>
      </c>
      <c r="T507" s="593">
        <f ca="1">$E507*(SUMIF(INDIRECT(T$3),'Struktur Aktuell'!$D507,INDIRECT(T$4))-SUMIF(INDIRECT(T$3),'Struktur Aktuell'!$D507,INDIRECT(T$5)))</f>
        <v>990.7</v>
      </c>
      <c r="U507" s="593">
        <f ca="1">$E507*(SUMIF(INDIRECT(U$3),'Struktur Aktuell'!$D507,INDIRECT(U$4))-SUMIF(INDIRECT(U$3),'Struktur Aktuell'!$D507,INDIRECT(U$5)))</f>
        <v>2534.0300000000002</v>
      </c>
      <c r="V507" s="593">
        <f ca="1">$E507*(SUMIF(INDIRECT(V$3),'Struktur Aktuell'!$D507,INDIRECT(V$4))-SUMIF(INDIRECT(V$3),'Struktur Aktuell'!$D507,INDIRECT(V$5)))</f>
        <v>2368.79</v>
      </c>
      <c r="W507" s="593">
        <f ca="1">$E507*(SUMIF(INDIRECT(W$3),'Struktur Aktuell'!$D507,INDIRECT(W$4))-SUMIF(INDIRECT(W$3),'Struktur Aktuell'!$D507,INDIRECT(W$5)))</f>
        <v>1889.54</v>
      </c>
      <c r="X507" s="593">
        <f ca="1">$E507*(SUMIF(INDIRECT(X$3),'Struktur Aktuell'!$D507,INDIRECT(X$4))-SUMIF(INDIRECT(X$3),'Struktur Aktuell'!$D507,INDIRECT(X$5)))</f>
        <v>432.66</v>
      </c>
      <c r="Y507" s="593">
        <f ca="1">$E507*(SUMIF(INDIRECT(Y$3),'Struktur Aktuell'!$D507,INDIRECT(Y$4))-SUMIF(INDIRECT(Y$3),'Struktur Aktuell'!$D507,INDIRECT(Y$5)))</f>
        <v>1086.57</v>
      </c>
      <c r="Z507" s="593">
        <f ca="1">$E507*(SUMIF(INDIRECT(Z$3),'Struktur Aktuell'!$D507,INDIRECT(Z$4))-SUMIF(INDIRECT(Z$3),'Struktur Aktuell'!$D507,INDIRECT(Z$5)))</f>
        <v>2109.06</v>
      </c>
      <c r="AA507" s="593">
        <f ca="1">$E507*(SUMIF(INDIRECT(AA$3),'Struktur Aktuell'!$D507,INDIRECT(AA$4))-SUMIF(INDIRECT(AA$3),'Struktur Aktuell'!$D507,INDIRECT(AA$5)))</f>
        <v>998.42</v>
      </c>
      <c r="AB507" s="593">
        <f ca="1">$E507*(SUMIF(INDIRECT(AB$3),'Struktur Aktuell'!$D507,INDIRECT(AB$4))-SUMIF(INDIRECT(AB$3),'Struktur Aktuell'!$D507,INDIRECT(AB$5)))</f>
        <v>798.02</v>
      </c>
      <c r="AC507" s="593">
        <f ca="1">$E507*(SUMIF(INDIRECT(AC$3),'Struktur Aktuell'!$D507,INDIRECT(AC$4))-SUMIF(INDIRECT(AC$3),'Struktur Aktuell'!$D507,INDIRECT(AC$5)))</f>
        <v>0</v>
      </c>
      <c r="AD507" s="593">
        <f ca="1">$E507*(SUMIF(INDIRECT(AD$3),'Struktur Aktuell'!$D507,INDIRECT(AD$4))-SUMIF(INDIRECT(AD$3),'Struktur Aktuell'!$D507,INDIRECT(AD$5)))</f>
        <v>0</v>
      </c>
      <c r="AE507" s="593">
        <f t="shared" ref="AE507:AE526" ca="1" si="783">G507</f>
        <v>-189.19</v>
      </c>
      <c r="AF507" s="593">
        <f t="shared" ref="AF507:AF526" ca="1" si="784">H507+AE507</f>
        <v>-404.55</v>
      </c>
      <c r="AG507" s="593">
        <f t="shared" ref="AG507:AG526" ca="1" si="785">I507+AF507</f>
        <v>1138.78</v>
      </c>
      <c r="AH507" s="593">
        <f t="shared" ref="AH507:AH526" ca="1" si="786">J507+AG507</f>
        <v>973.54</v>
      </c>
      <c r="AI507" s="593">
        <f t="shared" ref="AI507:AI526" ca="1" si="787">K507+AH507</f>
        <v>494.28999999999996</v>
      </c>
      <c r="AJ507" s="593">
        <f t="shared" ref="AJ507:AJ526" ca="1" si="788">L507+AI507</f>
        <v>-962.59000000000015</v>
      </c>
      <c r="AK507" s="593">
        <f t="shared" ref="AK507:AK526" ca="1" si="789">M507+AJ507</f>
        <v>-308.68000000000018</v>
      </c>
      <c r="AL507" s="593">
        <f t="shared" ref="AL507:AL526" ca="1" si="790">N507+AK507</f>
        <v>713.80999999999983</v>
      </c>
      <c r="AM507" s="593">
        <f t="shared" ref="AM507:AM526" ca="1" si="791">O507+AL507</f>
        <v>-396.83000000000027</v>
      </c>
      <c r="AN507" s="593">
        <f t="shared" ref="AN507:AN526" ca="1" si="792">P507+AM507</f>
        <v>-597.23000000000025</v>
      </c>
      <c r="AO507" s="593">
        <f t="shared" ref="AO507:AO526" ca="1" si="793">Q507+AN507</f>
        <v>-597.23000000000025</v>
      </c>
      <c r="AP507" s="593">
        <f t="shared" ref="AP507:AP526" ca="1" si="794">R507+AO507</f>
        <v>-597.23000000000025</v>
      </c>
    </row>
    <row r="508" spans="1:42" s="594" customFormat="1" ht="11.25" x14ac:dyDescent="0.2">
      <c r="A508" s="644"/>
      <c r="B508" s="591" t="str">
        <f>IF(D508&lt;&gt;"",
IF(ISERROR(MATCH(D508,'Ist Aktuell Monat 01'!A:A,0))=FALSE,INDEX('Ist Aktuell Monat 01'!B:B,MATCH(D508,'Ist Aktuell Monat 01'!A:A,0)),
IF(ISERROR(MATCH(D508,'Ist Aktuell Monat 02'!A:A,0))=FALSE,INDEX('Ist Aktuell Monat 02'!B:B,MATCH(D508,'Ist Aktuell Monat 02'!A:A,0)),
IF(ISERROR(MATCH(D508,'Ist Aktuell Monat 03'!A:A,0))=FALSE,INDEX('Ist Aktuell Monat 03'!B:B,MATCH(D508,'Ist Aktuell Monat 03'!A:A,0)),
IF(ISERROR(MATCH(D508,'Ist Aktuell Monat 04'!A:A,0))=FALSE,INDEX('Ist Aktuell Monat 04'!B:B,MATCH(D508,'Ist Aktuell Monat 04'!A:A,0)),
IF(ISERROR(MATCH(D508,'Ist Aktuell Monat 05'!A:A,0))=FALSE,INDEX('Ist Aktuell Monat 05'!B:B,MATCH(D508,'Ist Aktuell Monat 05'!A:A,0)),
IF(ISERROR(MATCH(D508,'Ist Aktuell Monat 06'!A:A,0))=FALSE,INDEX('Ist Aktuell Monat 06'!B:B,MATCH(D508,'Ist Aktuell Monat 06'!A:A,0)),
IF(ISERROR(MATCH(D508,'Ist Aktuell Monat 07'!A:A,0))=FALSE,INDEX('Ist Aktuell Monat 07'!B:B,MATCH(D508,'Ist Aktuell Monat 07'!A:A,0)),
IF(ISERROR(MATCH(D508,'Ist Aktuell Monat 08'!A:A,0))=FALSE,INDEX('Ist Aktuell Monat 08'!B:B,MATCH(D508,'Ist Aktuell Monat 08'!A:A,0)),
IF(ISERROR(MATCH(D508,'Ist Aktuell Monat 09'!A:A,0))=FALSE,INDEX('Ist Aktuell Monat 09'!B:B,MATCH(D508,'Ist Aktuell Monat 09'!A:A,0)),
IF(ISERROR(MATCH(D508,'Ist Aktuell Monat 10'!A:A,0))=FALSE,INDEX('Ist Aktuell Monat 10'!B:B,MATCH(D508,'Ist Aktuell Monat 10'!A:A,0)),
IF(ISERROR(MATCH(D508,'Ist Aktuell Monat 11'!A:A,0))=FALSE,INDEX('Ist Aktuell Monat 11'!B:B,MATCH(D508,'Ist Aktuell Monat 11'!A:A,0)),
IF(ISERROR(MATCH(D508,'Ist Aktuell Monat 12'!A:A,0))=FALSE,INDEX('Ist Aktuell Monat 12'!B:B,MATCH(D508,'Ist Aktuell Monat 12'!A:A,0)),
"{Konto unbekannt}"
)))))))))))),"")</f>
        <v>Verbindlichkeiten aus Lohn und Gehalt</v>
      </c>
      <c r="C508" s="1062"/>
      <c r="D508" s="1067">
        <v>1740</v>
      </c>
      <c r="E508" s="625">
        <f t="shared" si="727"/>
        <v>1</v>
      </c>
      <c r="F508" s="626"/>
      <c r="G508" s="593">
        <f ca="1">$E508*(SUMIF(INDIRECT(G$3),'Struktur Aktuell'!$D508,INDIRECT(G$4))-SUMIF(INDIRECT(G$3),'Struktur Aktuell'!$D508,INDIRECT(G$5)))</f>
        <v>18.899999999999999</v>
      </c>
      <c r="H508" s="593">
        <f ca="1">$E508*(SUMIF(INDIRECT(H$3),'Struktur Aktuell'!$D508,INDIRECT(H$4))-SUMIF(INDIRECT(H$3),'Struktur Aktuell'!$D508,INDIRECT(H$5)))</f>
        <v>0</v>
      </c>
      <c r="I508" s="593">
        <f ca="1">$E508*(SUMIF(INDIRECT(I$3),'Struktur Aktuell'!$D508,INDIRECT(I$4))-SUMIF(INDIRECT(I$3),'Struktur Aktuell'!$D508,INDIRECT(I$5)))</f>
        <v>27</v>
      </c>
      <c r="J508" s="593">
        <f ca="1">$E508*(SUMIF(INDIRECT(J$3),'Struktur Aktuell'!$D508,INDIRECT(J$4))-SUMIF(INDIRECT(J$3),'Struktur Aktuell'!$D508,INDIRECT(J$5)))</f>
        <v>44.4</v>
      </c>
      <c r="K508" s="593">
        <f ca="1">$E508*(SUMIF(INDIRECT(K$3),'Struktur Aktuell'!$D508,INDIRECT(K$4))-SUMIF(INDIRECT(K$3),'Struktur Aktuell'!$D508,INDIRECT(K$5)))</f>
        <v>45.3</v>
      </c>
      <c r="L508" s="593">
        <f ca="1">$E508*(SUMIF(INDIRECT(L$3),'Struktur Aktuell'!$D508,INDIRECT(L$4))-SUMIF(INDIRECT(L$3),'Struktur Aktuell'!$D508,INDIRECT(L$5)))</f>
        <v>115.2</v>
      </c>
      <c r="M508" s="593">
        <f ca="1">$E508*(SUMIF(INDIRECT(M$3),'Struktur Aktuell'!$D508,INDIRECT(M$4))-SUMIF(INDIRECT(M$3),'Struktur Aktuell'!$D508,INDIRECT(M$5)))</f>
        <v>41.7</v>
      </c>
      <c r="N508" s="593">
        <f ca="1">$E508*(SUMIF(INDIRECT(N$3),'Struktur Aktuell'!$D508,INDIRECT(N$4))-SUMIF(INDIRECT(N$3),'Struktur Aktuell'!$D508,INDIRECT(N$5)))</f>
        <v>0</v>
      </c>
      <c r="O508" s="593">
        <f ca="1">$E508*(SUMIF(INDIRECT(O$3),'Struktur Aktuell'!$D508,INDIRECT(O$4))-SUMIF(INDIRECT(O$3),'Struktur Aktuell'!$D508,INDIRECT(O$5)))</f>
        <v>8.4</v>
      </c>
      <c r="P508" s="593">
        <f ca="1">$E508*(SUMIF(INDIRECT(P$3),'Struktur Aktuell'!$D508,INDIRECT(P$4))-SUMIF(INDIRECT(P$3),'Struktur Aktuell'!$D508,INDIRECT(P$5)))</f>
        <v>208.8</v>
      </c>
      <c r="Q508" s="593">
        <f ca="1">$E508*(SUMIF(INDIRECT(Q$3),'Struktur Aktuell'!$D508,INDIRECT(Q$4))-SUMIF(INDIRECT(Q$3),'Struktur Aktuell'!$D508,INDIRECT(Q$5)))</f>
        <v>0</v>
      </c>
      <c r="R508" s="593">
        <f ca="1">$E508*(SUMIF(INDIRECT(R$3),'Struktur Aktuell'!$D508,INDIRECT(R$4))-SUMIF(INDIRECT(R$3),'Struktur Aktuell'!$D508,INDIRECT(R$5)))</f>
        <v>0</v>
      </c>
      <c r="S508" s="593">
        <f ca="1">$E508*(SUMIF(INDIRECT(S$3),'Struktur Aktuell'!$D508,INDIRECT(S$4))-SUMIF(INDIRECT(S$3),'Struktur Aktuell'!$D508,INDIRECT(S$5)))</f>
        <v>364.5</v>
      </c>
      <c r="T508" s="593">
        <f ca="1">$E508*(SUMIF(INDIRECT(T$3),'Struktur Aktuell'!$D508,INDIRECT(T$4))-SUMIF(INDIRECT(T$3),'Struktur Aktuell'!$D508,INDIRECT(T$5)))</f>
        <v>364.5</v>
      </c>
      <c r="U508" s="593">
        <f ca="1">$E508*(SUMIF(INDIRECT(U$3),'Struktur Aktuell'!$D508,INDIRECT(U$4))-SUMIF(INDIRECT(U$3),'Struktur Aktuell'!$D508,INDIRECT(U$5)))</f>
        <v>391.5</v>
      </c>
      <c r="V508" s="593">
        <f ca="1">$E508*(SUMIF(INDIRECT(V$3),'Struktur Aktuell'!$D508,INDIRECT(V$4))-SUMIF(INDIRECT(V$3),'Struktur Aktuell'!$D508,INDIRECT(V$5)))</f>
        <v>435.9</v>
      </c>
      <c r="W508" s="593">
        <f ca="1">$E508*(SUMIF(INDIRECT(W$3),'Struktur Aktuell'!$D508,INDIRECT(W$4))-SUMIF(INDIRECT(W$3),'Struktur Aktuell'!$D508,INDIRECT(W$5)))</f>
        <v>481.2</v>
      </c>
      <c r="X508" s="593">
        <f ca="1">$E508*(SUMIF(INDIRECT(X$3),'Struktur Aktuell'!$D508,INDIRECT(X$4))-SUMIF(INDIRECT(X$3),'Struktur Aktuell'!$D508,INDIRECT(X$5)))</f>
        <v>596.4</v>
      </c>
      <c r="Y508" s="593">
        <f ca="1">$E508*(SUMIF(INDIRECT(Y$3),'Struktur Aktuell'!$D508,INDIRECT(Y$4))-SUMIF(INDIRECT(Y$3),'Struktur Aktuell'!$D508,INDIRECT(Y$5)))</f>
        <v>638.1</v>
      </c>
      <c r="Z508" s="593">
        <f ca="1">$E508*(SUMIF(INDIRECT(Z$3),'Struktur Aktuell'!$D508,INDIRECT(Z$4))-SUMIF(INDIRECT(Z$3),'Struktur Aktuell'!$D508,INDIRECT(Z$5)))</f>
        <v>638.1</v>
      </c>
      <c r="AA508" s="593">
        <f ca="1">$E508*(SUMIF(INDIRECT(AA$3),'Struktur Aktuell'!$D508,INDIRECT(AA$4))-SUMIF(INDIRECT(AA$3),'Struktur Aktuell'!$D508,INDIRECT(AA$5)))</f>
        <v>646.5</v>
      </c>
      <c r="AB508" s="593">
        <f ca="1">$E508*(SUMIF(INDIRECT(AB$3),'Struktur Aktuell'!$D508,INDIRECT(AB$4))-SUMIF(INDIRECT(AB$3),'Struktur Aktuell'!$D508,INDIRECT(AB$5)))</f>
        <v>855.3</v>
      </c>
      <c r="AC508" s="593">
        <f ca="1">$E508*(SUMIF(INDIRECT(AC$3),'Struktur Aktuell'!$D508,INDIRECT(AC$4))-SUMIF(INDIRECT(AC$3),'Struktur Aktuell'!$D508,INDIRECT(AC$5)))</f>
        <v>0</v>
      </c>
      <c r="AD508" s="593">
        <f ca="1">$E508*(SUMIF(INDIRECT(AD$3),'Struktur Aktuell'!$D508,INDIRECT(AD$4))-SUMIF(INDIRECT(AD$3),'Struktur Aktuell'!$D508,INDIRECT(AD$5)))</f>
        <v>0</v>
      </c>
      <c r="AE508" s="593">
        <f t="shared" ca="1" si="783"/>
        <v>18.899999999999999</v>
      </c>
      <c r="AF508" s="593">
        <f t="shared" ca="1" si="784"/>
        <v>18.899999999999999</v>
      </c>
      <c r="AG508" s="593">
        <f t="shared" ca="1" si="785"/>
        <v>45.9</v>
      </c>
      <c r="AH508" s="593">
        <f t="shared" ca="1" si="786"/>
        <v>90.3</v>
      </c>
      <c r="AI508" s="593">
        <f t="shared" ca="1" si="787"/>
        <v>135.6</v>
      </c>
      <c r="AJ508" s="593">
        <f t="shared" ca="1" si="788"/>
        <v>250.8</v>
      </c>
      <c r="AK508" s="593">
        <f t="shared" ca="1" si="789"/>
        <v>292.5</v>
      </c>
      <c r="AL508" s="593">
        <f t="shared" ca="1" si="790"/>
        <v>292.5</v>
      </c>
      <c r="AM508" s="593">
        <f t="shared" ca="1" si="791"/>
        <v>300.89999999999998</v>
      </c>
      <c r="AN508" s="593">
        <f t="shared" ca="1" si="792"/>
        <v>509.7</v>
      </c>
      <c r="AO508" s="593">
        <f t="shared" ca="1" si="793"/>
        <v>509.7</v>
      </c>
      <c r="AP508" s="593">
        <f t="shared" ca="1" si="794"/>
        <v>509.7</v>
      </c>
    </row>
    <row r="509" spans="1:42" s="594" customFormat="1" ht="11.25" x14ac:dyDescent="0.2">
      <c r="A509" s="644"/>
      <c r="B509" s="591" t="str">
        <f>IF(D509&lt;&gt;"",
IF(ISERROR(MATCH(D509,'Ist Aktuell Monat 01'!A:A,0))=FALSE,INDEX('Ist Aktuell Monat 01'!B:B,MATCH(D509,'Ist Aktuell Monat 01'!A:A,0)),
IF(ISERROR(MATCH(D509,'Ist Aktuell Monat 02'!A:A,0))=FALSE,INDEX('Ist Aktuell Monat 02'!B:B,MATCH(D509,'Ist Aktuell Monat 02'!A:A,0)),
IF(ISERROR(MATCH(D509,'Ist Aktuell Monat 03'!A:A,0))=FALSE,INDEX('Ist Aktuell Monat 03'!B:B,MATCH(D509,'Ist Aktuell Monat 03'!A:A,0)),
IF(ISERROR(MATCH(D509,'Ist Aktuell Monat 04'!A:A,0))=FALSE,INDEX('Ist Aktuell Monat 04'!B:B,MATCH(D509,'Ist Aktuell Monat 04'!A:A,0)),
IF(ISERROR(MATCH(D509,'Ist Aktuell Monat 05'!A:A,0))=FALSE,INDEX('Ist Aktuell Monat 05'!B:B,MATCH(D509,'Ist Aktuell Monat 05'!A:A,0)),
IF(ISERROR(MATCH(D509,'Ist Aktuell Monat 06'!A:A,0))=FALSE,INDEX('Ist Aktuell Monat 06'!B:B,MATCH(D509,'Ist Aktuell Monat 06'!A:A,0)),
IF(ISERROR(MATCH(D509,'Ist Aktuell Monat 07'!A:A,0))=FALSE,INDEX('Ist Aktuell Monat 07'!B:B,MATCH(D509,'Ist Aktuell Monat 07'!A:A,0)),
IF(ISERROR(MATCH(D509,'Ist Aktuell Monat 08'!A:A,0))=FALSE,INDEX('Ist Aktuell Monat 08'!B:B,MATCH(D509,'Ist Aktuell Monat 08'!A:A,0)),
IF(ISERROR(MATCH(D509,'Ist Aktuell Monat 09'!A:A,0))=FALSE,INDEX('Ist Aktuell Monat 09'!B:B,MATCH(D509,'Ist Aktuell Monat 09'!A:A,0)),
IF(ISERROR(MATCH(D509,'Ist Aktuell Monat 10'!A:A,0))=FALSE,INDEX('Ist Aktuell Monat 10'!B:B,MATCH(D509,'Ist Aktuell Monat 10'!A:A,0)),
IF(ISERROR(MATCH(D509,'Ist Aktuell Monat 11'!A:A,0))=FALSE,INDEX('Ist Aktuell Monat 11'!B:B,MATCH(D509,'Ist Aktuell Monat 11'!A:A,0)),
IF(ISERROR(MATCH(D509,'Ist Aktuell Monat 12'!A:A,0))=FALSE,INDEX('Ist Aktuell Monat 12'!B:B,MATCH(D509,'Ist Aktuell Monat 12'!A:A,0)),
"{Konto unbekannt}"
)))))))))))),"")</f>
        <v>Verbindlichk. Lohn- und Kirchensteuer</v>
      </c>
      <c r="C509" s="1062"/>
      <c r="D509" s="1067">
        <v>1741</v>
      </c>
      <c r="E509" s="625">
        <f t="shared" si="727"/>
        <v>1</v>
      </c>
      <c r="F509" s="626"/>
      <c r="G509" s="593">
        <f ca="1">$E509*(SUMIF(INDIRECT(G$3),'Struktur Aktuell'!$D509,INDIRECT(G$4))-SUMIF(INDIRECT(G$3),'Struktur Aktuell'!$D509,INDIRECT(G$5)))</f>
        <v>731.59</v>
      </c>
      <c r="H509" s="593">
        <f ca="1">$E509*(SUMIF(INDIRECT(H$3),'Struktur Aktuell'!$D509,INDIRECT(H$4))-SUMIF(INDIRECT(H$3),'Struktur Aktuell'!$D509,INDIRECT(H$5)))</f>
        <v>-136.44999999999999</v>
      </c>
      <c r="I509" s="593">
        <f ca="1">$E509*(SUMIF(INDIRECT(I$3),'Struktur Aktuell'!$D509,INDIRECT(I$4))-SUMIF(INDIRECT(I$3),'Struktur Aktuell'!$D509,INDIRECT(I$5)))</f>
        <v>159.62</v>
      </c>
      <c r="J509" s="593">
        <f ca="1">$E509*(SUMIF(INDIRECT(J$3),'Struktur Aktuell'!$D509,INDIRECT(J$4))-SUMIF(INDIRECT(J$3),'Struktur Aktuell'!$D509,INDIRECT(J$5)))</f>
        <v>202.7</v>
      </c>
      <c r="K509" s="593">
        <f ca="1">$E509*(SUMIF(INDIRECT(K$3),'Struktur Aktuell'!$D509,INDIRECT(K$4))-SUMIF(INDIRECT(K$3),'Struktur Aktuell'!$D509,INDIRECT(K$5)))</f>
        <v>-282.27</v>
      </c>
      <c r="L509" s="593">
        <f ca="1">$E509*(SUMIF(INDIRECT(L$3),'Struktur Aktuell'!$D509,INDIRECT(L$4))-SUMIF(INDIRECT(L$3),'Struktur Aktuell'!$D509,INDIRECT(L$5)))</f>
        <v>-26.31</v>
      </c>
      <c r="M509" s="593">
        <f ca="1">$E509*(SUMIF(INDIRECT(M$3),'Struktur Aktuell'!$D509,INDIRECT(M$4))-SUMIF(INDIRECT(M$3),'Struktur Aktuell'!$D509,INDIRECT(M$5)))</f>
        <v>662.29</v>
      </c>
      <c r="N509" s="593">
        <f ca="1">$E509*(SUMIF(INDIRECT(N$3),'Struktur Aktuell'!$D509,INDIRECT(N$4))-SUMIF(INDIRECT(N$3),'Struktur Aktuell'!$D509,INDIRECT(N$5)))</f>
        <v>-879.1</v>
      </c>
      <c r="O509" s="593">
        <f ca="1">$E509*(SUMIF(INDIRECT(O$3),'Struktur Aktuell'!$D509,INDIRECT(O$4))-SUMIF(INDIRECT(O$3),'Struktur Aktuell'!$D509,INDIRECT(O$5)))</f>
        <v>0</v>
      </c>
      <c r="P509" s="593">
        <f ca="1">$E509*(SUMIF(INDIRECT(P$3),'Struktur Aktuell'!$D509,INDIRECT(P$4))-SUMIF(INDIRECT(P$3),'Struktur Aktuell'!$D509,INDIRECT(P$5)))</f>
        <v>-5.63</v>
      </c>
      <c r="Q509" s="593">
        <f ca="1">$E509*(SUMIF(INDIRECT(Q$3),'Struktur Aktuell'!$D509,INDIRECT(Q$4))-SUMIF(INDIRECT(Q$3),'Struktur Aktuell'!$D509,INDIRECT(Q$5)))</f>
        <v>0</v>
      </c>
      <c r="R509" s="593">
        <f ca="1">$E509*(SUMIF(INDIRECT(R$3),'Struktur Aktuell'!$D509,INDIRECT(R$4))-SUMIF(INDIRECT(R$3),'Struktur Aktuell'!$D509,INDIRECT(R$5)))</f>
        <v>0</v>
      </c>
      <c r="S509" s="593">
        <f ca="1">$E509*(SUMIF(INDIRECT(S$3),'Struktur Aktuell'!$D509,INDIRECT(S$4))-SUMIF(INDIRECT(S$3),'Struktur Aktuell'!$D509,INDIRECT(S$5)))</f>
        <v>1295.0899999999999</v>
      </c>
      <c r="T509" s="593">
        <f ca="1">$E509*(SUMIF(INDIRECT(T$3),'Struktur Aktuell'!$D509,INDIRECT(T$4))-SUMIF(INDIRECT(T$3),'Struktur Aktuell'!$D509,INDIRECT(T$5)))</f>
        <v>1158.6400000000001</v>
      </c>
      <c r="U509" s="593">
        <f ca="1">$E509*(SUMIF(INDIRECT(U$3),'Struktur Aktuell'!$D509,INDIRECT(U$4))-SUMIF(INDIRECT(U$3),'Struktur Aktuell'!$D509,INDIRECT(U$5)))</f>
        <v>1318.26</v>
      </c>
      <c r="V509" s="593">
        <f ca="1">$E509*(SUMIF(INDIRECT(V$3),'Struktur Aktuell'!$D509,INDIRECT(V$4))-SUMIF(INDIRECT(V$3),'Struktur Aktuell'!$D509,INDIRECT(V$5)))</f>
        <v>1520.96</v>
      </c>
      <c r="W509" s="593">
        <f ca="1">$E509*(SUMIF(INDIRECT(W$3),'Struktur Aktuell'!$D509,INDIRECT(W$4))-SUMIF(INDIRECT(W$3),'Struktur Aktuell'!$D509,INDIRECT(W$5)))</f>
        <v>1238.69</v>
      </c>
      <c r="X509" s="593">
        <f ca="1">$E509*(SUMIF(INDIRECT(X$3),'Struktur Aktuell'!$D509,INDIRECT(X$4))-SUMIF(INDIRECT(X$3),'Struktur Aktuell'!$D509,INDIRECT(X$5)))</f>
        <v>1212.3800000000001</v>
      </c>
      <c r="Y509" s="593">
        <f ca="1">$E509*(SUMIF(INDIRECT(Y$3),'Struktur Aktuell'!$D509,INDIRECT(Y$4))-SUMIF(INDIRECT(Y$3),'Struktur Aktuell'!$D509,INDIRECT(Y$5)))</f>
        <v>1874.67</v>
      </c>
      <c r="Z509" s="593">
        <f ca="1">$E509*(SUMIF(INDIRECT(Z$3),'Struktur Aktuell'!$D509,INDIRECT(Z$4))-SUMIF(INDIRECT(Z$3),'Struktur Aktuell'!$D509,INDIRECT(Z$5)))</f>
        <v>995.57</v>
      </c>
      <c r="AA509" s="593">
        <f ca="1">$E509*(SUMIF(INDIRECT(AA$3),'Struktur Aktuell'!$D509,INDIRECT(AA$4))-SUMIF(INDIRECT(AA$3),'Struktur Aktuell'!$D509,INDIRECT(AA$5)))</f>
        <v>995.57</v>
      </c>
      <c r="AB509" s="593">
        <f ca="1">$E509*(SUMIF(INDIRECT(AB$3),'Struktur Aktuell'!$D509,INDIRECT(AB$4))-SUMIF(INDIRECT(AB$3),'Struktur Aktuell'!$D509,INDIRECT(AB$5)))</f>
        <v>989.94</v>
      </c>
      <c r="AC509" s="593">
        <f ca="1">$E509*(SUMIF(INDIRECT(AC$3),'Struktur Aktuell'!$D509,INDIRECT(AC$4))-SUMIF(INDIRECT(AC$3),'Struktur Aktuell'!$D509,INDIRECT(AC$5)))</f>
        <v>0</v>
      </c>
      <c r="AD509" s="593">
        <f ca="1">$E509*(SUMIF(INDIRECT(AD$3),'Struktur Aktuell'!$D509,INDIRECT(AD$4))-SUMIF(INDIRECT(AD$3),'Struktur Aktuell'!$D509,INDIRECT(AD$5)))</f>
        <v>0</v>
      </c>
      <c r="AE509" s="593">
        <f t="shared" ca="1" si="783"/>
        <v>731.59</v>
      </c>
      <c r="AF509" s="593">
        <f t="shared" ca="1" si="784"/>
        <v>595.1400000000001</v>
      </c>
      <c r="AG509" s="593">
        <f t="shared" ca="1" si="785"/>
        <v>754.7600000000001</v>
      </c>
      <c r="AH509" s="593">
        <f t="shared" ca="1" si="786"/>
        <v>957.46</v>
      </c>
      <c r="AI509" s="593">
        <f t="shared" ca="1" si="787"/>
        <v>675.19</v>
      </c>
      <c r="AJ509" s="593">
        <f t="shared" ca="1" si="788"/>
        <v>648.88000000000011</v>
      </c>
      <c r="AK509" s="593">
        <f t="shared" ca="1" si="789"/>
        <v>1311.17</v>
      </c>
      <c r="AL509" s="593">
        <f t="shared" ca="1" si="790"/>
        <v>432.07000000000005</v>
      </c>
      <c r="AM509" s="593">
        <f t="shared" ca="1" si="791"/>
        <v>432.07000000000005</v>
      </c>
      <c r="AN509" s="593">
        <f t="shared" ca="1" si="792"/>
        <v>426.44000000000005</v>
      </c>
      <c r="AO509" s="593">
        <f t="shared" ca="1" si="793"/>
        <v>426.44000000000005</v>
      </c>
      <c r="AP509" s="593">
        <f t="shared" ca="1" si="794"/>
        <v>426.44000000000005</v>
      </c>
    </row>
    <row r="510" spans="1:42" s="594" customFormat="1" ht="11.25" x14ac:dyDescent="0.2">
      <c r="A510" s="644"/>
      <c r="B510" s="591" t="str">
        <f>IF(D510&lt;&gt;"",
IF(ISERROR(MATCH(D510,'Ist Aktuell Monat 01'!A:A,0))=FALSE,INDEX('Ist Aktuell Monat 01'!B:B,MATCH(D510,'Ist Aktuell Monat 01'!A:A,0)),
IF(ISERROR(MATCH(D510,'Ist Aktuell Monat 02'!A:A,0))=FALSE,INDEX('Ist Aktuell Monat 02'!B:B,MATCH(D510,'Ist Aktuell Monat 02'!A:A,0)),
IF(ISERROR(MATCH(D510,'Ist Aktuell Monat 03'!A:A,0))=FALSE,INDEX('Ist Aktuell Monat 03'!B:B,MATCH(D510,'Ist Aktuell Monat 03'!A:A,0)),
IF(ISERROR(MATCH(D510,'Ist Aktuell Monat 04'!A:A,0))=FALSE,INDEX('Ist Aktuell Monat 04'!B:B,MATCH(D510,'Ist Aktuell Monat 04'!A:A,0)),
IF(ISERROR(MATCH(D510,'Ist Aktuell Monat 05'!A:A,0))=FALSE,INDEX('Ist Aktuell Monat 05'!B:B,MATCH(D510,'Ist Aktuell Monat 05'!A:A,0)),
IF(ISERROR(MATCH(D510,'Ist Aktuell Monat 06'!A:A,0))=FALSE,INDEX('Ist Aktuell Monat 06'!B:B,MATCH(D510,'Ist Aktuell Monat 06'!A:A,0)),
IF(ISERROR(MATCH(D510,'Ist Aktuell Monat 07'!A:A,0))=FALSE,INDEX('Ist Aktuell Monat 07'!B:B,MATCH(D510,'Ist Aktuell Monat 07'!A:A,0)),
IF(ISERROR(MATCH(D510,'Ist Aktuell Monat 08'!A:A,0))=FALSE,INDEX('Ist Aktuell Monat 08'!B:B,MATCH(D510,'Ist Aktuell Monat 08'!A:A,0)),
IF(ISERROR(MATCH(D510,'Ist Aktuell Monat 09'!A:A,0))=FALSE,INDEX('Ist Aktuell Monat 09'!B:B,MATCH(D510,'Ist Aktuell Monat 09'!A:A,0)),
IF(ISERROR(MATCH(D510,'Ist Aktuell Monat 10'!A:A,0))=FALSE,INDEX('Ist Aktuell Monat 10'!B:B,MATCH(D510,'Ist Aktuell Monat 10'!A:A,0)),
IF(ISERROR(MATCH(D510,'Ist Aktuell Monat 11'!A:A,0))=FALSE,INDEX('Ist Aktuell Monat 11'!B:B,MATCH(D510,'Ist Aktuell Monat 11'!A:A,0)),
IF(ISERROR(MATCH(D510,'Ist Aktuell Monat 12'!A:A,0))=FALSE,INDEX('Ist Aktuell Monat 12'!B:B,MATCH(D510,'Ist Aktuell Monat 12'!A:A,0)),
"{Konto unbekannt}"
)))))))))))),"")</f>
        <v>Verbindlichkeiten soziale Sicherheit</v>
      </c>
      <c r="C510" s="1062"/>
      <c r="D510" s="1067">
        <v>1742</v>
      </c>
      <c r="E510" s="625">
        <f t="shared" si="727"/>
        <v>1</v>
      </c>
      <c r="F510" s="626"/>
      <c r="G510" s="593">
        <f ca="1">$E510*(SUMIF(INDIRECT(G$3),'Struktur Aktuell'!$D510,INDIRECT(G$4))-SUMIF(INDIRECT(G$3),'Struktur Aktuell'!$D510,INDIRECT(G$5)))</f>
        <v>0</v>
      </c>
      <c r="H510" s="593">
        <f ca="1">$E510*(SUMIF(INDIRECT(H$3),'Struktur Aktuell'!$D510,INDIRECT(H$4))-SUMIF(INDIRECT(H$3),'Struktur Aktuell'!$D510,INDIRECT(H$5)))</f>
        <v>88</v>
      </c>
      <c r="I510" s="593">
        <f ca="1">$E510*(SUMIF(INDIRECT(I$3),'Struktur Aktuell'!$D510,INDIRECT(I$4))-SUMIF(INDIRECT(I$3),'Struktur Aktuell'!$D510,INDIRECT(I$5)))</f>
        <v>52.32</v>
      </c>
      <c r="J510" s="593">
        <f ca="1">$E510*(SUMIF(INDIRECT(J$3),'Struktur Aktuell'!$D510,INDIRECT(J$4))-SUMIF(INDIRECT(J$3),'Struktur Aktuell'!$D510,INDIRECT(J$5)))</f>
        <v>46.32</v>
      </c>
      <c r="K510" s="593">
        <f ca="1">$E510*(SUMIF(INDIRECT(K$3),'Struktur Aktuell'!$D510,INDIRECT(K$4))-SUMIF(INDIRECT(K$3),'Struktur Aktuell'!$D510,INDIRECT(K$5)))</f>
        <v>-53.97</v>
      </c>
      <c r="L510" s="593">
        <f ca="1">$E510*(SUMIF(INDIRECT(L$3),'Struktur Aktuell'!$D510,INDIRECT(L$4))-SUMIF(INDIRECT(L$3),'Struktur Aktuell'!$D510,INDIRECT(L$5)))</f>
        <v>44.67</v>
      </c>
      <c r="M510" s="593">
        <f ca="1">$E510*(SUMIF(INDIRECT(M$3),'Struktur Aktuell'!$D510,INDIRECT(M$4))-SUMIF(INDIRECT(M$3),'Struktur Aktuell'!$D510,INDIRECT(M$5)))</f>
        <v>0</v>
      </c>
      <c r="N510" s="593">
        <f ca="1">$E510*(SUMIF(INDIRECT(N$3),'Struktur Aktuell'!$D510,INDIRECT(N$4))-SUMIF(INDIRECT(N$3),'Struktur Aktuell'!$D510,INDIRECT(N$5)))</f>
        <v>0</v>
      </c>
      <c r="O510" s="593">
        <f ca="1">$E510*(SUMIF(INDIRECT(O$3),'Struktur Aktuell'!$D510,INDIRECT(O$4))-SUMIF(INDIRECT(O$3),'Struktur Aktuell'!$D510,INDIRECT(O$5)))</f>
        <v>268</v>
      </c>
      <c r="P510" s="593">
        <f ca="1">$E510*(SUMIF(INDIRECT(P$3),'Struktur Aktuell'!$D510,INDIRECT(P$4))-SUMIF(INDIRECT(P$3),'Struktur Aktuell'!$D510,INDIRECT(P$5)))</f>
        <v>0</v>
      </c>
      <c r="Q510" s="593">
        <f ca="1">$E510*(SUMIF(INDIRECT(Q$3),'Struktur Aktuell'!$D510,INDIRECT(Q$4))-SUMIF(INDIRECT(Q$3),'Struktur Aktuell'!$D510,INDIRECT(Q$5)))</f>
        <v>0</v>
      </c>
      <c r="R510" s="593">
        <f ca="1">$E510*(SUMIF(INDIRECT(R$3),'Struktur Aktuell'!$D510,INDIRECT(R$4))-SUMIF(INDIRECT(R$3),'Struktur Aktuell'!$D510,INDIRECT(R$5)))</f>
        <v>0</v>
      </c>
      <c r="S510" s="593">
        <f ca="1">$E510*(SUMIF(INDIRECT(S$3),'Struktur Aktuell'!$D510,INDIRECT(S$4))-SUMIF(INDIRECT(S$3),'Struktur Aktuell'!$D510,INDIRECT(S$5)))</f>
        <v>0</v>
      </c>
      <c r="T510" s="593">
        <f ca="1">$E510*(SUMIF(INDIRECT(T$3),'Struktur Aktuell'!$D510,INDIRECT(T$4))-SUMIF(INDIRECT(T$3),'Struktur Aktuell'!$D510,INDIRECT(T$5)))</f>
        <v>88</v>
      </c>
      <c r="U510" s="593">
        <f ca="1">$E510*(SUMIF(INDIRECT(U$3),'Struktur Aktuell'!$D510,INDIRECT(U$4))-SUMIF(INDIRECT(U$3),'Struktur Aktuell'!$D510,INDIRECT(U$5)))</f>
        <v>140.32</v>
      </c>
      <c r="V510" s="593">
        <f ca="1">$E510*(SUMIF(INDIRECT(V$3),'Struktur Aktuell'!$D510,INDIRECT(V$4))-SUMIF(INDIRECT(V$3),'Struktur Aktuell'!$D510,INDIRECT(V$5)))</f>
        <v>186.64</v>
      </c>
      <c r="W510" s="593">
        <f ca="1">$E510*(SUMIF(INDIRECT(W$3),'Struktur Aktuell'!$D510,INDIRECT(W$4))-SUMIF(INDIRECT(W$3),'Struktur Aktuell'!$D510,INDIRECT(W$5)))</f>
        <v>132.66999999999999</v>
      </c>
      <c r="X510" s="593">
        <f ca="1">$E510*(SUMIF(INDIRECT(X$3),'Struktur Aktuell'!$D510,INDIRECT(X$4))-SUMIF(INDIRECT(X$3),'Struktur Aktuell'!$D510,INDIRECT(X$5)))</f>
        <v>177.34</v>
      </c>
      <c r="Y510" s="593">
        <f ca="1">$E510*(SUMIF(INDIRECT(Y$3),'Struktur Aktuell'!$D510,INDIRECT(Y$4))-SUMIF(INDIRECT(Y$3),'Struktur Aktuell'!$D510,INDIRECT(Y$5)))</f>
        <v>177.34</v>
      </c>
      <c r="Z510" s="593">
        <f ca="1">$E510*(SUMIF(INDIRECT(Z$3),'Struktur Aktuell'!$D510,INDIRECT(Z$4))-SUMIF(INDIRECT(Z$3),'Struktur Aktuell'!$D510,INDIRECT(Z$5)))</f>
        <v>177.34</v>
      </c>
      <c r="AA510" s="593">
        <f ca="1">$E510*(SUMIF(INDIRECT(AA$3),'Struktur Aktuell'!$D510,INDIRECT(AA$4))-SUMIF(INDIRECT(AA$3),'Struktur Aktuell'!$D510,INDIRECT(AA$5)))</f>
        <v>445.34</v>
      </c>
      <c r="AB510" s="593">
        <f ca="1">$E510*(SUMIF(INDIRECT(AB$3),'Struktur Aktuell'!$D510,INDIRECT(AB$4))-SUMIF(INDIRECT(AB$3),'Struktur Aktuell'!$D510,INDIRECT(AB$5)))</f>
        <v>445.34</v>
      </c>
      <c r="AC510" s="593">
        <f ca="1">$E510*(SUMIF(INDIRECT(AC$3),'Struktur Aktuell'!$D510,INDIRECT(AC$4))-SUMIF(INDIRECT(AC$3),'Struktur Aktuell'!$D510,INDIRECT(AC$5)))</f>
        <v>0</v>
      </c>
      <c r="AD510" s="593">
        <f ca="1">$E510*(SUMIF(INDIRECT(AD$3),'Struktur Aktuell'!$D510,INDIRECT(AD$4))-SUMIF(INDIRECT(AD$3),'Struktur Aktuell'!$D510,INDIRECT(AD$5)))</f>
        <v>0</v>
      </c>
      <c r="AE510" s="593">
        <f t="shared" ca="1" si="783"/>
        <v>0</v>
      </c>
      <c r="AF510" s="593">
        <f t="shared" ca="1" si="784"/>
        <v>88</v>
      </c>
      <c r="AG510" s="593">
        <f t="shared" ca="1" si="785"/>
        <v>140.32</v>
      </c>
      <c r="AH510" s="593">
        <f t="shared" ca="1" si="786"/>
        <v>186.64</v>
      </c>
      <c r="AI510" s="593">
        <f t="shared" ca="1" si="787"/>
        <v>132.66999999999999</v>
      </c>
      <c r="AJ510" s="593">
        <f t="shared" ca="1" si="788"/>
        <v>177.33999999999997</v>
      </c>
      <c r="AK510" s="593">
        <f t="shared" ca="1" si="789"/>
        <v>177.33999999999997</v>
      </c>
      <c r="AL510" s="593">
        <f t="shared" ca="1" si="790"/>
        <v>177.33999999999997</v>
      </c>
      <c r="AM510" s="593">
        <f t="shared" ca="1" si="791"/>
        <v>445.34</v>
      </c>
      <c r="AN510" s="593">
        <f t="shared" ca="1" si="792"/>
        <v>445.34</v>
      </c>
      <c r="AO510" s="593">
        <f t="shared" ca="1" si="793"/>
        <v>445.34</v>
      </c>
      <c r="AP510" s="593">
        <f t="shared" ca="1" si="794"/>
        <v>445.34</v>
      </c>
    </row>
    <row r="511" spans="1:42" s="594" customFormat="1" ht="11.25" x14ac:dyDescent="0.2">
      <c r="A511" s="644"/>
      <c r="B511" s="591" t="str">
        <f>IF(D511&lt;&gt;"",
IF(ISERROR(MATCH(D511,'Ist Aktuell Monat 01'!A:A,0))=FALSE,INDEX('Ist Aktuell Monat 01'!B:B,MATCH(D511,'Ist Aktuell Monat 01'!A:A,0)),
IF(ISERROR(MATCH(D511,'Ist Aktuell Monat 02'!A:A,0))=FALSE,INDEX('Ist Aktuell Monat 02'!B:B,MATCH(D511,'Ist Aktuell Monat 02'!A:A,0)),
IF(ISERROR(MATCH(D511,'Ist Aktuell Monat 03'!A:A,0))=FALSE,INDEX('Ist Aktuell Monat 03'!B:B,MATCH(D511,'Ist Aktuell Monat 03'!A:A,0)),
IF(ISERROR(MATCH(D511,'Ist Aktuell Monat 04'!A:A,0))=FALSE,INDEX('Ist Aktuell Monat 04'!B:B,MATCH(D511,'Ist Aktuell Monat 04'!A:A,0)),
IF(ISERROR(MATCH(D511,'Ist Aktuell Monat 05'!A:A,0))=FALSE,INDEX('Ist Aktuell Monat 05'!B:B,MATCH(D511,'Ist Aktuell Monat 05'!A:A,0)),
IF(ISERROR(MATCH(D511,'Ist Aktuell Monat 06'!A:A,0))=FALSE,INDEX('Ist Aktuell Monat 06'!B:B,MATCH(D511,'Ist Aktuell Monat 06'!A:A,0)),
IF(ISERROR(MATCH(D511,'Ist Aktuell Monat 07'!A:A,0))=FALSE,INDEX('Ist Aktuell Monat 07'!B:B,MATCH(D511,'Ist Aktuell Monat 07'!A:A,0)),
IF(ISERROR(MATCH(D511,'Ist Aktuell Monat 08'!A:A,0))=FALSE,INDEX('Ist Aktuell Monat 08'!B:B,MATCH(D511,'Ist Aktuell Monat 08'!A:A,0)),
IF(ISERROR(MATCH(D511,'Ist Aktuell Monat 09'!A:A,0))=FALSE,INDEX('Ist Aktuell Monat 09'!B:B,MATCH(D511,'Ist Aktuell Monat 09'!A:A,0)),
IF(ISERROR(MATCH(D511,'Ist Aktuell Monat 10'!A:A,0))=FALSE,INDEX('Ist Aktuell Monat 10'!B:B,MATCH(D511,'Ist Aktuell Monat 10'!A:A,0)),
IF(ISERROR(MATCH(D511,'Ist Aktuell Monat 11'!A:A,0))=FALSE,INDEX('Ist Aktuell Monat 11'!B:B,MATCH(D511,'Ist Aktuell Monat 11'!A:A,0)),
IF(ISERROR(MATCH(D511,'Ist Aktuell Monat 12'!A:A,0))=FALSE,INDEX('Ist Aktuell Monat 12'!B:B,MATCH(D511,'Ist Aktuell Monat 12'!A:A,0)),
"{Konto unbekannt}"
)))))))))))),"")</f>
        <v>Verbindlichk. Einbehaltung Arbeitnehmer</v>
      </c>
      <c r="C511" s="1062"/>
      <c r="D511" s="1067">
        <v>1748</v>
      </c>
      <c r="E511" s="625">
        <f t="shared" si="727"/>
        <v>1</v>
      </c>
      <c r="F511" s="626"/>
      <c r="G511" s="593">
        <f ca="1">$E511*(SUMIF(INDIRECT(G$3),'Struktur Aktuell'!$D511,INDIRECT(G$4))-SUMIF(INDIRECT(G$3),'Struktur Aktuell'!$D511,INDIRECT(G$5)))</f>
        <v>-260</v>
      </c>
      <c r="H511" s="593">
        <f ca="1">$E511*(SUMIF(INDIRECT(H$3),'Struktur Aktuell'!$D511,INDIRECT(H$4))-SUMIF(INDIRECT(H$3),'Struktur Aktuell'!$D511,INDIRECT(H$5)))</f>
        <v>172</v>
      </c>
      <c r="I511" s="593">
        <f ca="1">$E511*(SUMIF(INDIRECT(I$3),'Struktur Aktuell'!$D511,INDIRECT(I$4))-SUMIF(INDIRECT(I$3),'Struktur Aktuell'!$D511,INDIRECT(I$5)))</f>
        <v>0</v>
      </c>
      <c r="J511" s="593">
        <f ca="1">$E511*(SUMIF(INDIRECT(J$3),'Struktur Aktuell'!$D511,INDIRECT(J$4))-SUMIF(INDIRECT(J$3),'Struktur Aktuell'!$D511,INDIRECT(J$5)))</f>
        <v>0</v>
      </c>
      <c r="K511" s="593">
        <f ca="1">$E511*(SUMIF(INDIRECT(K$3),'Struktur Aktuell'!$D511,INDIRECT(K$4))-SUMIF(INDIRECT(K$3),'Struktur Aktuell'!$D511,INDIRECT(K$5)))</f>
        <v>-44.67</v>
      </c>
      <c r="L511" s="593">
        <f ca="1">$E511*(SUMIF(INDIRECT(L$3),'Struktur Aktuell'!$D511,INDIRECT(L$4))-SUMIF(INDIRECT(L$3),'Struktur Aktuell'!$D511,INDIRECT(L$5)))</f>
        <v>-44.67</v>
      </c>
      <c r="M511" s="593">
        <f ca="1">$E511*(SUMIF(INDIRECT(M$3),'Struktur Aktuell'!$D511,INDIRECT(M$4))-SUMIF(INDIRECT(M$3),'Struktur Aktuell'!$D511,INDIRECT(M$5)))</f>
        <v>-268</v>
      </c>
      <c r="N511" s="593">
        <f ca="1">$E511*(SUMIF(INDIRECT(N$3),'Struktur Aktuell'!$D511,INDIRECT(N$4))-SUMIF(INDIRECT(N$3),'Struktur Aktuell'!$D511,INDIRECT(N$5)))</f>
        <v>-268</v>
      </c>
      <c r="O511" s="593">
        <f ca="1">$E511*(SUMIF(INDIRECT(O$3),'Struktur Aktuell'!$D511,INDIRECT(O$4))-SUMIF(INDIRECT(O$3),'Struktur Aktuell'!$D511,INDIRECT(O$5)))</f>
        <v>0</v>
      </c>
      <c r="P511" s="593">
        <f ca="1">$E511*(SUMIF(INDIRECT(P$3),'Struktur Aktuell'!$D511,INDIRECT(P$4))-SUMIF(INDIRECT(P$3),'Struktur Aktuell'!$D511,INDIRECT(P$5)))</f>
        <v>0</v>
      </c>
      <c r="Q511" s="593">
        <f ca="1">$E511*(SUMIF(INDIRECT(Q$3),'Struktur Aktuell'!$D511,INDIRECT(Q$4))-SUMIF(INDIRECT(Q$3),'Struktur Aktuell'!$D511,INDIRECT(Q$5)))</f>
        <v>0</v>
      </c>
      <c r="R511" s="593">
        <f ca="1">$E511*(SUMIF(INDIRECT(R$3),'Struktur Aktuell'!$D511,INDIRECT(R$4))-SUMIF(INDIRECT(R$3),'Struktur Aktuell'!$D511,INDIRECT(R$5)))</f>
        <v>0</v>
      </c>
      <c r="S511" s="593">
        <f ca="1">$E511*(SUMIF(INDIRECT(S$3),'Struktur Aktuell'!$D511,INDIRECT(S$4))-SUMIF(INDIRECT(S$3),'Struktur Aktuell'!$D511,INDIRECT(S$5)))</f>
        <v>-160</v>
      </c>
      <c r="T511" s="593">
        <f ca="1">$E511*(SUMIF(INDIRECT(T$3),'Struktur Aktuell'!$D511,INDIRECT(T$4))-SUMIF(INDIRECT(T$3),'Struktur Aktuell'!$D511,INDIRECT(T$5)))</f>
        <v>12</v>
      </c>
      <c r="U511" s="593">
        <f ca="1">$E511*(SUMIF(INDIRECT(U$3),'Struktur Aktuell'!$D511,INDIRECT(U$4))-SUMIF(INDIRECT(U$3),'Struktur Aktuell'!$D511,INDIRECT(U$5)))</f>
        <v>12</v>
      </c>
      <c r="V511" s="593">
        <f ca="1">$E511*(SUMIF(INDIRECT(V$3),'Struktur Aktuell'!$D511,INDIRECT(V$4))-SUMIF(INDIRECT(V$3),'Struktur Aktuell'!$D511,INDIRECT(V$5)))</f>
        <v>12</v>
      </c>
      <c r="W511" s="593">
        <f ca="1">$E511*(SUMIF(INDIRECT(W$3),'Struktur Aktuell'!$D511,INDIRECT(W$4))-SUMIF(INDIRECT(W$3),'Struktur Aktuell'!$D511,INDIRECT(W$5)))</f>
        <v>-32.67</v>
      </c>
      <c r="X511" s="593">
        <f ca="1">$E511*(SUMIF(INDIRECT(X$3),'Struktur Aktuell'!$D511,INDIRECT(X$4))-SUMIF(INDIRECT(X$3),'Struktur Aktuell'!$D511,INDIRECT(X$5)))</f>
        <v>-77.34</v>
      </c>
      <c r="Y511" s="593">
        <f ca="1">$E511*(SUMIF(INDIRECT(Y$3),'Struktur Aktuell'!$D511,INDIRECT(Y$4))-SUMIF(INDIRECT(Y$3),'Struktur Aktuell'!$D511,INDIRECT(Y$5)))</f>
        <v>-345.34</v>
      </c>
      <c r="Z511" s="593">
        <f ca="1">$E511*(SUMIF(INDIRECT(Z$3),'Struktur Aktuell'!$D511,INDIRECT(Z$4))-SUMIF(INDIRECT(Z$3),'Struktur Aktuell'!$D511,INDIRECT(Z$5)))</f>
        <v>-613.34</v>
      </c>
      <c r="AA511" s="593">
        <f ca="1">$E511*(SUMIF(INDIRECT(AA$3),'Struktur Aktuell'!$D511,INDIRECT(AA$4))-SUMIF(INDIRECT(AA$3),'Struktur Aktuell'!$D511,INDIRECT(AA$5)))</f>
        <v>-613.34</v>
      </c>
      <c r="AB511" s="593">
        <f ca="1">$E511*(SUMIF(INDIRECT(AB$3),'Struktur Aktuell'!$D511,INDIRECT(AB$4))-SUMIF(INDIRECT(AB$3),'Struktur Aktuell'!$D511,INDIRECT(AB$5)))</f>
        <v>-613.34</v>
      </c>
      <c r="AC511" s="593">
        <f ca="1">$E511*(SUMIF(INDIRECT(AC$3),'Struktur Aktuell'!$D511,INDIRECT(AC$4))-SUMIF(INDIRECT(AC$3),'Struktur Aktuell'!$D511,INDIRECT(AC$5)))</f>
        <v>0</v>
      </c>
      <c r="AD511" s="593">
        <f ca="1">$E511*(SUMIF(INDIRECT(AD$3),'Struktur Aktuell'!$D511,INDIRECT(AD$4))-SUMIF(INDIRECT(AD$3),'Struktur Aktuell'!$D511,INDIRECT(AD$5)))</f>
        <v>0</v>
      </c>
      <c r="AE511" s="593">
        <f t="shared" ca="1" si="783"/>
        <v>-260</v>
      </c>
      <c r="AF511" s="593">
        <f t="shared" ca="1" si="784"/>
        <v>-88</v>
      </c>
      <c r="AG511" s="593">
        <f t="shared" ca="1" si="785"/>
        <v>-88</v>
      </c>
      <c r="AH511" s="593">
        <f t="shared" ca="1" si="786"/>
        <v>-88</v>
      </c>
      <c r="AI511" s="593">
        <f t="shared" ca="1" si="787"/>
        <v>-132.67000000000002</v>
      </c>
      <c r="AJ511" s="593">
        <f t="shared" ca="1" si="788"/>
        <v>-177.34000000000003</v>
      </c>
      <c r="AK511" s="593">
        <f t="shared" ca="1" si="789"/>
        <v>-445.34000000000003</v>
      </c>
      <c r="AL511" s="593">
        <f t="shared" ca="1" si="790"/>
        <v>-713.34</v>
      </c>
      <c r="AM511" s="593">
        <f t="shared" ca="1" si="791"/>
        <v>-713.34</v>
      </c>
      <c r="AN511" s="593">
        <f t="shared" ca="1" si="792"/>
        <v>-713.34</v>
      </c>
      <c r="AO511" s="593">
        <f t="shared" ca="1" si="793"/>
        <v>-713.34</v>
      </c>
      <c r="AP511" s="593">
        <f t="shared" ca="1" si="794"/>
        <v>-713.34</v>
      </c>
    </row>
    <row r="512" spans="1:42" s="594" customFormat="1" ht="11.25" x14ac:dyDescent="0.2">
      <c r="A512" s="644"/>
      <c r="B512" s="591" t="str">
        <f>IF(D512&lt;&gt;"",
IF(ISERROR(MATCH(D512,'Ist Aktuell Monat 01'!A:A,0))=FALSE,INDEX('Ist Aktuell Monat 01'!B:B,MATCH(D512,'Ist Aktuell Monat 01'!A:A,0)),
IF(ISERROR(MATCH(D512,'Ist Aktuell Monat 02'!A:A,0))=FALSE,INDEX('Ist Aktuell Monat 02'!B:B,MATCH(D512,'Ist Aktuell Monat 02'!A:A,0)),
IF(ISERROR(MATCH(D512,'Ist Aktuell Monat 03'!A:A,0))=FALSE,INDEX('Ist Aktuell Monat 03'!B:B,MATCH(D512,'Ist Aktuell Monat 03'!A:A,0)),
IF(ISERROR(MATCH(D512,'Ist Aktuell Monat 04'!A:A,0))=FALSE,INDEX('Ist Aktuell Monat 04'!B:B,MATCH(D512,'Ist Aktuell Monat 04'!A:A,0)),
IF(ISERROR(MATCH(D512,'Ist Aktuell Monat 05'!A:A,0))=FALSE,INDEX('Ist Aktuell Monat 05'!B:B,MATCH(D512,'Ist Aktuell Monat 05'!A:A,0)),
IF(ISERROR(MATCH(D512,'Ist Aktuell Monat 06'!A:A,0))=FALSE,INDEX('Ist Aktuell Monat 06'!B:B,MATCH(D512,'Ist Aktuell Monat 06'!A:A,0)),
IF(ISERROR(MATCH(D512,'Ist Aktuell Monat 07'!A:A,0))=FALSE,INDEX('Ist Aktuell Monat 07'!B:B,MATCH(D512,'Ist Aktuell Monat 07'!A:A,0)),
IF(ISERROR(MATCH(D512,'Ist Aktuell Monat 08'!A:A,0))=FALSE,INDEX('Ist Aktuell Monat 08'!B:B,MATCH(D512,'Ist Aktuell Monat 08'!A:A,0)),
IF(ISERROR(MATCH(D512,'Ist Aktuell Monat 09'!A:A,0))=FALSE,INDEX('Ist Aktuell Monat 09'!B:B,MATCH(D512,'Ist Aktuell Monat 09'!A:A,0)),
IF(ISERROR(MATCH(D512,'Ist Aktuell Monat 10'!A:A,0))=FALSE,INDEX('Ist Aktuell Monat 10'!B:B,MATCH(D512,'Ist Aktuell Monat 10'!A:A,0)),
IF(ISERROR(MATCH(D512,'Ist Aktuell Monat 11'!A:A,0))=FALSE,INDEX('Ist Aktuell Monat 11'!B:B,MATCH(D512,'Ist Aktuell Monat 11'!A:A,0)),
IF(ISERROR(MATCH(D512,'Ist Aktuell Monat 12'!A:A,0))=FALSE,INDEX('Ist Aktuell Monat 12'!B:B,MATCH(D512,'Ist Aktuell Monat 12'!A:A,0)),
"{Konto unbekannt}"
)))))))))))),"")</f>
        <v>Lohn- und Gehaltsverrechnungen</v>
      </c>
      <c r="C512" s="1062"/>
      <c r="D512" s="1067">
        <v>1755</v>
      </c>
      <c r="E512" s="625">
        <f t="shared" si="727"/>
        <v>1</v>
      </c>
      <c r="F512" s="626"/>
      <c r="G512" s="593">
        <f ca="1">$E512*(SUMIF(INDIRECT(G$3),'Struktur Aktuell'!$D512,INDIRECT(G$4))-SUMIF(INDIRECT(G$3),'Struktur Aktuell'!$D512,INDIRECT(G$5)))</f>
        <v>0</v>
      </c>
      <c r="H512" s="593">
        <f ca="1">$E512*(SUMIF(INDIRECT(H$3),'Struktur Aktuell'!$D512,INDIRECT(H$4))-SUMIF(INDIRECT(H$3),'Struktur Aktuell'!$D512,INDIRECT(H$5)))</f>
        <v>0</v>
      </c>
      <c r="I512" s="593">
        <f ca="1">$E512*(SUMIF(INDIRECT(I$3),'Struktur Aktuell'!$D512,INDIRECT(I$4))-SUMIF(INDIRECT(I$3),'Struktur Aktuell'!$D512,INDIRECT(I$5)))</f>
        <v>0</v>
      </c>
      <c r="J512" s="593">
        <f ca="1">$E512*(SUMIF(INDIRECT(J$3),'Struktur Aktuell'!$D512,INDIRECT(J$4))-SUMIF(INDIRECT(J$3),'Struktur Aktuell'!$D512,INDIRECT(J$5)))</f>
        <v>0</v>
      </c>
      <c r="K512" s="593">
        <f ca="1">$E512*(SUMIF(INDIRECT(K$3),'Struktur Aktuell'!$D512,INDIRECT(K$4))-SUMIF(INDIRECT(K$3),'Struktur Aktuell'!$D512,INDIRECT(K$5)))</f>
        <v>0</v>
      </c>
      <c r="L512" s="593">
        <f ca="1">$E512*(SUMIF(INDIRECT(L$3),'Struktur Aktuell'!$D512,INDIRECT(L$4))-SUMIF(INDIRECT(L$3),'Struktur Aktuell'!$D512,INDIRECT(L$5)))</f>
        <v>0</v>
      </c>
      <c r="M512" s="593">
        <f ca="1">$E512*(SUMIF(INDIRECT(M$3),'Struktur Aktuell'!$D512,INDIRECT(M$4))-SUMIF(INDIRECT(M$3),'Struktur Aktuell'!$D512,INDIRECT(M$5)))</f>
        <v>0</v>
      </c>
      <c r="N512" s="593">
        <f ca="1">$E512*(SUMIF(INDIRECT(N$3),'Struktur Aktuell'!$D512,INDIRECT(N$4))-SUMIF(INDIRECT(N$3),'Struktur Aktuell'!$D512,INDIRECT(N$5)))</f>
        <v>0</v>
      </c>
      <c r="O512" s="593">
        <f ca="1">$E512*(SUMIF(INDIRECT(O$3),'Struktur Aktuell'!$D512,INDIRECT(O$4))-SUMIF(INDIRECT(O$3),'Struktur Aktuell'!$D512,INDIRECT(O$5)))</f>
        <v>0</v>
      </c>
      <c r="P512" s="593">
        <f ca="1">$E512*(SUMIF(INDIRECT(P$3),'Struktur Aktuell'!$D512,INDIRECT(P$4))-SUMIF(INDIRECT(P$3),'Struktur Aktuell'!$D512,INDIRECT(P$5)))</f>
        <v>0</v>
      </c>
      <c r="Q512" s="593">
        <f ca="1">$E512*(SUMIF(INDIRECT(Q$3),'Struktur Aktuell'!$D512,INDIRECT(Q$4))-SUMIF(INDIRECT(Q$3),'Struktur Aktuell'!$D512,INDIRECT(Q$5)))</f>
        <v>0</v>
      </c>
      <c r="R512" s="593">
        <f ca="1">$E512*(SUMIF(INDIRECT(R$3),'Struktur Aktuell'!$D512,INDIRECT(R$4))-SUMIF(INDIRECT(R$3),'Struktur Aktuell'!$D512,INDIRECT(R$5)))</f>
        <v>0</v>
      </c>
      <c r="S512" s="593">
        <f ca="1">$E512*(SUMIF(INDIRECT(S$3),'Struktur Aktuell'!$D512,INDIRECT(S$4))-SUMIF(INDIRECT(S$3),'Struktur Aktuell'!$D512,INDIRECT(S$5)))</f>
        <v>0</v>
      </c>
      <c r="T512" s="593">
        <f ca="1">$E512*(SUMIF(INDIRECT(T$3),'Struktur Aktuell'!$D512,INDIRECT(T$4))-SUMIF(INDIRECT(T$3),'Struktur Aktuell'!$D512,INDIRECT(T$5)))</f>
        <v>0</v>
      </c>
      <c r="U512" s="593">
        <f ca="1">$E512*(SUMIF(INDIRECT(U$3),'Struktur Aktuell'!$D512,INDIRECT(U$4))-SUMIF(INDIRECT(U$3),'Struktur Aktuell'!$D512,INDIRECT(U$5)))</f>
        <v>0</v>
      </c>
      <c r="V512" s="593">
        <f ca="1">$E512*(SUMIF(INDIRECT(V$3),'Struktur Aktuell'!$D512,INDIRECT(V$4))-SUMIF(INDIRECT(V$3),'Struktur Aktuell'!$D512,INDIRECT(V$5)))</f>
        <v>0</v>
      </c>
      <c r="W512" s="593">
        <f ca="1">$E512*(SUMIF(INDIRECT(W$3),'Struktur Aktuell'!$D512,INDIRECT(W$4))-SUMIF(INDIRECT(W$3),'Struktur Aktuell'!$D512,INDIRECT(W$5)))</f>
        <v>0</v>
      </c>
      <c r="X512" s="593">
        <f ca="1">$E512*(SUMIF(INDIRECT(X$3),'Struktur Aktuell'!$D512,INDIRECT(X$4))-SUMIF(INDIRECT(X$3),'Struktur Aktuell'!$D512,INDIRECT(X$5)))</f>
        <v>0</v>
      </c>
      <c r="Y512" s="593">
        <f ca="1">$E512*(SUMIF(INDIRECT(Y$3),'Struktur Aktuell'!$D512,INDIRECT(Y$4))-SUMIF(INDIRECT(Y$3),'Struktur Aktuell'!$D512,INDIRECT(Y$5)))</f>
        <v>0</v>
      </c>
      <c r="Z512" s="593">
        <f ca="1">$E512*(SUMIF(INDIRECT(Z$3),'Struktur Aktuell'!$D512,INDIRECT(Z$4))-SUMIF(INDIRECT(Z$3),'Struktur Aktuell'!$D512,INDIRECT(Z$5)))</f>
        <v>0</v>
      </c>
      <c r="AA512" s="593">
        <f ca="1">$E512*(SUMIF(INDIRECT(AA$3),'Struktur Aktuell'!$D512,INDIRECT(AA$4))-SUMIF(INDIRECT(AA$3),'Struktur Aktuell'!$D512,INDIRECT(AA$5)))</f>
        <v>0</v>
      </c>
      <c r="AB512" s="593">
        <f ca="1">$E512*(SUMIF(INDIRECT(AB$3),'Struktur Aktuell'!$D512,INDIRECT(AB$4))-SUMIF(INDIRECT(AB$3),'Struktur Aktuell'!$D512,INDIRECT(AB$5)))</f>
        <v>0</v>
      </c>
      <c r="AC512" s="593">
        <f ca="1">$E512*(SUMIF(INDIRECT(AC$3),'Struktur Aktuell'!$D512,INDIRECT(AC$4))-SUMIF(INDIRECT(AC$3),'Struktur Aktuell'!$D512,INDIRECT(AC$5)))</f>
        <v>0</v>
      </c>
      <c r="AD512" s="593">
        <f ca="1">$E512*(SUMIF(INDIRECT(AD$3),'Struktur Aktuell'!$D512,INDIRECT(AD$4))-SUMIF(INDIRECT(AD$3),'Struktur Aktuell'!$D512,INDIRECT(AD$5)))</f>
        <v>0</v>
      </c>
      <c r="AE512" s="593">
        <f t="shared" ca="1" si="783"/>
        <v>0</v>
      </c>
      <c r="AF512" s="593">
        <f t="shared" ca="1" si="784"/>
        <v>0</v>
      </c>
      <c r="AG512" s="593">
        <f t="shared" ca="1" si="785"/>
        <v>0</v>
      </c>
      <c r="AH512" s="593">
        <f t="shared" ca="1" si="786"/>
        <v>0</v>
      </c>
      <c r="AI512" s="593">
        <f t="shared" ca="1" si="787"/>
        <v>0</v>
      </c>
      <c r="AJ512" s="593">
        <f t="shared" ca="1" si="788"/>
        <v>0</v>
      </c>
      <c r="AK512" s="593">
        <f t="shared" ca="1" si="789"/>
        <v>0</v>
      </c>
      <c r="AL512" s="593">
        <f t="shared" ca="1" si="790"/>
        <v>0</v>
      </c>
      <c r="AM512" s="593">
        <f t="shared" ca="1" si="791"/>
        <v>0</v>
      </c>
      <c r="AN512" s="593">
        <f t="shared" ca="1" si="792"/>
        <v>0</v>
      </c>
      <c r="AO512" s="593">
        <f t="shared" ca="1" si="793"/>
        <v>0</v>
      </c>
      <c r="AP512" s="593">
        <f t="shared" ca="1" si="794"/>
        <v>0</v>
      </c>
    </row>
    <row r="513" spans="1:42" s="594" customFormat="1" ht="11.25" outlineLevel="1" x14ac:dyDescent="0.2">
      <c r="A513" s="644"/>
      <c r="B513" s="591" t="str">
        <f>IF(D513&lt;&gt;"",
IF(ISERROR(MATCH(D513,'Ist Aktuell Monat 01'!A:A,0))=FALSE,INDEX('Ist Aktuell Monat 01'!B:B,MATCH(D513,'Ist Aktuell Monat 01'!A:A,0)),
IF(ISERROR(MATCH(D513,'Ist Aktuell Monat 02'!A:A,0))=FALSE,INDEX('Ist Aktuell Monat 02'!B:B,MATCH(D513,'Ist Aktuell Monat 02'!A:A,0)),
IF(ISERROR(MATCH(D513,'Ist Aktuell Monat 03'!A:A,0))=FALSE,INDEX('Ist Aktuell Monat 03'!B:B,MATCH(D513,'Ist Aktuell Monat 03'!A:A,0)),
IF(ISERROR(MATCH(D513,'Ist Aktuell Monat 04'!A:A,0))=FALSE,INDEX('Ist Aktuell Monat 04'!B:B,MATCH(D513,'Ist Aktuell Monat 04'!A:A,0)),
IF(ISERROR(MATCH(D513,'Ist Aktuell Monat 05'!A:A,0))=FALSE,INDEX('Ist Aktuell Monat 05'!B:B,MATCH(D513,'Ist Aktuell Monat 05'!A:A,0)),
IF(ISERROR(MATCH(D513,'Ist Aktuell Monat 06'!A:A,0))=FALSE,INDEX('Ist Aktuell Monat 06'!B:B,MATCH(D513,'Ist Aktuell Monat 06'!A:A,0)),
IF(ISERROR(MATCH(D513,'Ist Aktuell Monat 07'!A:A,0))=FALSE,INDEX('Ist Aktuell Monat 07'!B:B,MATCH(D513,'Ist Aktuell Monat 07'!A:A,0)),
IF(ISERROR(MATCH(D513,'Ist Aktuell Monat 08'!A:A,0))=FALSE,INDEX('Ist Aktuell Monat 08'!B:B,MATCH(D513,'Ist Aktuell Monat 08'!A:A,0)),
IF(ISERROR(MATCH(D513,'Ist Aktuell Monat 09'!A:A,0))=FALSE,INDEX('Ist Aktuell Monat 09'!B:B,MATCH(D513,'Ist Aktuell Monat 09'!A:A,0)),
IF(ISERROR(MATCH(D513,'Ist Aktuell Monat 10'!A:A,0))=FALSE,INDEX('Ist Aktuell Monat 10'!B:B,MATCH(D513,'Ist Aktuell Monat 10'!A:A,0)),
IF(ISERROR(MATCH(D513,'Ist Aktuell Monat 11'!A:A,0))=FALSE,INDEX('Ist Aktuell Monat 11'!B:B,MATCH(D513,'Ist Aktuell Monat 11'!A:A,0)),
IF(ISERROR(MATCH(D513,'Ist Aktuell Monat 12'!A:A,0))=FALSE,INDEX('Ist Aktuell Monat 12'!B:B,MATCH(D513,'Ist Aktuell Monat 12'!A:A,0)),
"{Konto unbekannt}"
)))))))))))),"")</f>
        <v>Umsatzsteuer aus EU-Erwerb 19%</v>
      </c>
      <c r="C513" s="1062"/>
      <c r="D513" s="1067">
        <v>1774</v>
      </c>
      <c r="E513" s="625">
        <f t="shared" si="727"/>
        <v>1</v>
      </c>
      <c r="F513" s="626"/>
      <c r="G513" s="593">
        <f ca="1">$E513*(SUMIF(INDIRECT(G$3),'Struktur Aktuell'!$D513,INDIRECT(G$4))-SUMIF(INDIRECT(G$3),'Struktur Aktuell'!$D513,INDIRECT(G$5)))</f>
        <v>10.47</v>
      </c>
      <c r="H513" s="593">
        <f ca="1">$E513*(SUMIF(INDIRECT(H$3),'Struktur Aktuell'!$D513,INDIRECT(H$4))-SUMIF(INDIRECT(H$3),'Struktur Aktuell'!$D513,INDIRECT(H$5)))</f>
        <v>10.47</v>
      </c>
      <c r="I513" s="593">
        <f ca="1">$E513*(SUMIF(INDIRECT(I$3),'Struktur Aktuell'!$D513,INDIRECT(I$4))-SUMIF(INDIRECT(I$3),'Struktur Aktuell'!$D513,INDIRECT(I$5)))</f>
        <v>18.809999999999999</v>
      </c>
      <c r="J513" s="593">
        <f ca="1">$E513*(SUMIF(INDIRECT(J$3),'Struktur Aktuell'!$D513,INDIRECT(J$4))-SUMIF(INDIRECT(J$3),'Struktur Aktuell'!$D513,INDIRECT(J$5)))</f>
        <v>19.02</v>
      </c>
      <c r="K513" s="593">
        <f ca="1">$E513*(SUMIF(INDIRECT(K$3),'Struktur Aktuell'!$D513,INDIRECT(K$4))-SUMIF(INDIRECT(K$3),'Struktur Aktuell'!$D513,INDIRECT(K$5)))</f>
        <v>8.5299999999999994</v>
      </c>
      <c r="L513" s="593">
        <f ca="1">$E513*(SUMIF(INDIRECT(L$3),'Struktur Aktuell'!$D513,INDIRECT(L$4))-SUMIF(INDIRECT(L$3),'Struktur Aktuell'!$D513,INDIRECT(L$5)))</f>
        <v>39.9</v>
      </c>
      <c r="M513" s="593">
        <f ca="1">$E513*(SUMIF(INDIRECT(M$3),'Struktur Aktuell'!$D513,INDIRECT(M$4))-SUMIF(INDIRECT(M$3),'Struktur Aktuell'!$D513,INDIRECT(M$5)))</f>
        <v>25.64</v>
      </c>
      <c r="N513" s="593">
        <f ca="1">$E513*(SUMIF(INDIRECT(N$3),'Struktur Aktuell'!$D513,INDIRECT(N$4))-SUMIF(INDIRECT(N$3),'Struktur Aktuell'!$D513,INDIRECT(N$5)))</f>
        <v>9.5</v>
      </c>
      <c r="O513" s="593">
        <f ca="1">$E513*(SUMIF(INDIRECT(O$3),'Struktur Aktuell'!$D513,INDIRECT(O$4))-SUMIF(INDIRECT(O$3),'Struktur Aktuell'!$D513,INDIRECT(O$5)))</f>
        <v>0</v>
      </c>
      <c r="P513" s="593">
        <f ca="1">$E513*(SUMIF(INDIRECT(P$3),'Struktur Aktuell'!$D513,INDIRECT(P$4))-SUMIF(INDIRECT(P$3),'Struktur Aktuell'!$D513,INDIRECT(P$5)))</f>
        <v>19</v>
      </c>
      <c r="Q513" s="593">
        <f ca="1">$E513*(SUMIF(INDIRECT(Q$3),'Struktur Aktuell'!$D513,INDIRECT(Q$4))-SUMIF(INDIRECT(Q$3),'Struktur Aktuell'!$D513,INDIRECT(Q$5)))</f>
        <v>0</v>
      </c>
      <c r="R513" s="593">
        <f ca="1">$E513*(SUMIF(INDIRECT(R$3),'Struktur Aktuell'!$D513,INDIRECT(R$4))-SUMIF(INDIRECT(R$3),'Struktur Aktuell'!$D513,INDIRECT(R$5)))</f>
        <v>0</v>
      </c>
      <c r="S513" s="593">
        <f ca="1">$E513*(SUMIF(INDIRECT(S$3),'Struktur Aktuell'!$D513,INDIRECT(S$4))-SUMIF(INDIRECT(S$3),'Struktur Aktuell'!$D513,INDIRECT(S$5)))</f>
        <v>10.47</v>
      </c>
      <c r="T513" s="593">
        <f ca="1">$E513*(SUMIF(INDIRECT(T$3),'Struktur Aktuell'!$D513,INDIRECT(T$4))-SUMIF(INDIRECT(T$3),'Struktur Aktuell'!$D513,INDIRECT(T$5)))</f>
        <v>20.94</v>
      </c>
      <c r="U513" s="593">
        <f ca="1">$E513*(SUMIF(INDIRECT(U$3),'Struktur Aktuell'!$D513,INDIRECT(U$4))-SUMIF(INDIRECT(U$3),'Struktur Aktuell'!$D513,INDIRECT(U$5)))</f>
        <v>39.75</v>
      </c>
      <c r="V513" s="593">
        <f ca="1">$E513*(SUMIF(INDIRECT(V$3),'Struktur Aktuell'!$D513,INDIRECT(V$4))-SUMIF(INDIRECT(V$3),'Struktur Aktuell'!$D513,INDIRECT(V$5)))</f>
        <v>58.77</v>
      </c>
      <c r="W513" s="593">
        <f ca="1">$E513*(SUMIF(INDIRECT(W$3),'Struktur Aktuell'!$D513,INDIRECT(W$4))-SUMIF(INDIRECT(W$3),'Struktur Aktuell'!$D513,INDIRECT(W$5)))</f>
        <v>67.3</v>
      </c>
      <c r="X513" s="593">
        <f ca="1">$E513*(SUMIF(INDIRECT(X$3),'Struktur Aktuell'!$D513,INDIRECT(X$4))-SUMIF(INDIRECT(X$3),'Struktur Aktuell'!$D513,INDIRECT(X$5)))</f>
        <v>107.2</v>
      </c>
      <c r="Y513" s="593">
        <f ca="1">$E513*(SUMIF(INDIRECT(Y$3),'Struktur Aktuell'!$D513,INDIRECT(Y$4))-SUMIF(INDIRECT(Y$3),'Struktur Aktuell'!$D513,INDIRECT(Y$5)))</f>
        <v>132.84</v>
      </c>
      <c r="Z513" s="593">
        <f ca="1">$E513*(SUMIF(INDIRECT(Z$3),'Struktur Aktuell'!$D513,INDIRECT(Z$4))-SUMIF(INDIRECT(Z$3),'Struktur Aktuell'!$D513,INDIRECT(Z$5)))</f>
        <v>142.34</v>
      </c>
      <c r="AA513" s="593">
        <f ca="1">$E513*(SUMIF(INDIRECT(AA$3),'Struktur Aktuell'!$D513,INDIRECT(AA$4))-SUMIF(INDIRECT(AA$3),'Struktur Aktuell'!$D513,INDIRECT(AA$5)))</f>
        <v>142.34</v>
      </c>
      <c r="AB513" s="593">
        <f ca="1">$E513*(SUMIF(INDIRECT(AB$3),'Struktur Aktuell'!$D513,INDIRECT(AB$4))-SUMIF(INDIRECT(AB$3),'Struktur Aktuell'!$D513,INDIRECT(AB$5)))</f>
        <v>161.34</v>
      </c>
      <c r="AC513" s="593">
        <f ca="1">$E513*(SUMIF(INDIRECT(AC$3),'Struktur Aktuell'!$D513,INDIRECT(AC$4))-SUMIF(INDIRECT(AC$3),'Struktur Aktuell'!$D513,INDIRECT(AC$5)))</f>
        <v>0</v>
      </c>
      <c r="AD513" s="593">
        <f ca="1">$E513*(SUMIF(INDIRECT(AD$3),'Struktur Aktuell'!$D513,INDIRECT(AD$4))-SUMIF(INDIRECT(AD$3),'Struktur Aktuell'!$D513,INDIRECT(AD$5)))</f>
        <v>0</v>
      </c>
      <c r="AE513" s="593">
        <f t="shared" ca="1" si="783"/>
        <v>10.47</v>
      </c>
      <c r="AF513" s="593">
        <f t="shared" ca="1" si="784"/>
        <v>20.94</v>
      </c>
      <c r="AG513" s="593">
        <f t="shared" ca="1" si="785"/>
        <v>39.75</v>
      </c>
      <c r="AH513" s="593">
        <f t="shared" ca="1" si="786"/>
        <v>58.769999999999996</v>
      </c>
      <c r="AI513" s="593">
        <f t="shared" ca="1" si="787"/>
        <v>67.3</v>
      </c>
      <c r="AJ513" s="593">
        <f t="shared" ca="1" si="788"/>
        <v>107.19999999999999</v>
      </c>
      <c r="AK513" s="593">
        <f t="shared" ca="1" si="789"/>
        <v>132.83999999999997</v>
      </c>
      <c r="AL513" s="593">
        <f t="shared" ca="1" si="790"/>
        <v>142.33999999999997</v>
      </c>
      <c r="AM513" s="593">
        <f t="shared" ca="1" si="791"/>
        <v>142.33999999999997</v>
      </c>
      <c r="AN513" s="593">
        <f t="shared" ca="1" si="792"/>
        <v>161.33999999999997</v>
      </c>
      <c r="AO513" s="593">
        <f t="shared" ca="1" si="793"/>
        <v>161.33999999999997</v>
      </c>
      <c r="AP513" s="593">
        <f t="shared" ca="1" si="794"/>
        <v>161.33999999999997</v>
      </c>
    </row>
    <row r="514" spans="1:42" s="594" customFormat="1" ht="11.25" outlineLevel="1" x14ac:dyDescent="0.2">
      <c r="A514" s="644"/>
      <c r="B514" s="591" t="str">
        <f>IF(D514&lt;&gt;"",
IF(ISERROR(MATCH(D514,'Ist Aktuell Monat 01'!A:A,0))=FALSE,INDEX('Ist Aktuell Monat 01'!B:B,MATCH(D514,'Ist Aktuell Monat 01'!A:A,0)),
IF(ISERROR(MATCH(D514,'Ist Aktuell Monat 02'!A:A,0))=FALSE,INDEX('Ist Aktuell Monat 02'!B:B,MATCH(D514,'Ist Aktuell Monat 02'!A:A,0)),
IF(ISERROR(MATCH(D514,'Ist Aktuell Monat 03'!A:A,0))=FALSE,INDEX('Ist Aktuell Monat 03'!B:B,MATCH(D514,'Ist Aktuell Monat 03'!A:A,0)),
IF(ISERROR(MATCH(D514,'Ist Aktuell Monat 04'!A:A,0))=FALSE,INDEX('Ist Aktuell Monat 04'!B:B,MATCH(D514,'Ist Aktuell Monat 04'!A:A,0)),
IF(ISERROR(MATCH(D514,'Ist Aktuell Monat 05'!A:A,0))=FALSE,INDEX('Ist Aktuell Monat 05'!B:B,MATCH(D514,'Ist Aktuell Monat 05'!A:A,0)),
IF(ISERROR(MATCH(D514,'Ist Aktuell Monat 06'!A:A,0))=FALSE,INDEX('Ist Aktuell Monat 06'!B:B,MATCH(D514,'Ist Aktuell Monat 06'!A:A,0)),
IF(ISERROR(MATCH(D514,'Ist Aktuell Monat 07'!A:A,0))=FALSE,INDEX('Ist Aktuell Monat 07'!B:B,MATCH(D514,'Ist Aktuell Monat 07'!A:A,0)),
IF(ISERROR(MATCH(D514,'Ist Aktuell Monat 08'!A:A,0))=FALSE,INDEX('Ist Aktuell Monat 08'!B:B,MATCH(D514,'Ist Aktuell Monat 08'!A:A,0)),
IF(ISERROR(MATCH(D514,'Ist Aktuell Monat 09'!A:A,0))=FALSE,INDEX('Ist Aktuell Monat 09'!B:B,MATCH(D514,'Ist Aktuell Monat 09'!A:A,0)),
IF(ISERROR(MATCH(D514,'Ist Aktuell Monat 10'!A:A,0))=FALSE,INDEX('Ist Aktuell Monat 10'!B:B,MATCH(D514,'Ist Aktuell Monat 10'!A:A,0)),
IF(ISERROR(MATCH(D514,'Ist Aktuell Monat 11'!A:A,0))=FALSE,INDEX('Ist Aktuell Monat 11'!B:B,MATCH(D514,'Ist Aktuell Monat 11'!A:A,0)),
IF(ISERROR(MATCH(D514,'Ist Aktuell Monat 12'!A:A,0))=FALSE,INDEX('Ist Aktuell Monat 12'!B:B,MATCH(D514,'Ist Aktuell Monat 12'!A:A,0)),
"{Konto unbekannt}"
)))))))))))),"")</f>
        <v>Umsatzsteuer 19%</v>
      </c>
      <c r="C514" s="1062"/>
      <c r="D514" s="1067">
        <v>1776</v>
      </c>
      <c r="E514" s="625">
        <f t="shared" si="727"/>
        <v>1</v>
      </c>
      <c r="F514" s="626"/>
      <c r="G514" s="593">
        <f ca="1">$E514*(SUMIF(INDIRECT(G$3),'Struktur Aktuell'!$D514,INDIRECT(G$4))-SUMIF(INDIRECT(G$3),'Struktur Aktuell'!$D514,INDIRECT(G$5)))</f>
        <v>2042.84</v>
      </c>
      <c r="H514" s="593">
        <f ca="1">$E514*(SUMIF(INDIRECT(H$3),'Struktur Aktuell'!$D514,INDIRECT(H$4))-SUMIF(INDIRECT(H$3),'Struktur Aktuell'!$D514,INDIRECT(H$5)))</f>
        <v>2313.94</v>
      </c>
      <c r="I514" s="593">
        <f ca="1">$E514*(SUMIF(INDIRECT(I$3),'Struktur Aktuell'!$D514,INDIRECT(I$4))-SUMIF(INDIRECT(I$3),'Struktur Aktuell'!$D514,INDIRECT(I$5)))</f>
        <v>1326.49</v>
      </c>
      <c r="J514" s="593">
        <f ca="1">$E514*(SUMIF(INDIRECT(J$3),'Struktur Aktuell'!$D514,INDIRECT(J$4))-SUMIF(INDIRECT(J$3),'Struktur Aktuell'!$D514,INDIRECT(J$5)))</f>
        <v>2552.13</v>
      </c>
      <c r="K514" s="593">
        <f ca="1">$E514*(SUMIF(INDIRECT(K$3),'Struktur Aktuell'!$D514,INDIRECT(K$4))-SUMIF(INDIRECT(K$3),'Struktur Aktuell'!$D514,INDIRECT(K$5)))</f>
        <v>1475.38</v>
      </c>
      <c r="L514" s="593">
        <f ca="1">$E514*(SUMIF(INDIRECT(L$3),'Struktur Aktuell'!$D514,INDIRECT(L$4))-SUMIF(INDIRECT(L$3),'Struktur Aktuell'!$D514,INDIRECT(L$5)))</f>
        <v>2106.15</v>
      </c>
      <c r="M514" s="593">
        <f ca="1">$E514*(SUMIF(INDIRECT(M$3),'Struktur Aktuell'!$D514,INDIRECT(M$4))-SUMIF(INDIRECT(M$3),'Struktur Aktuell'!$D514,INDIRECT(M$5)))</f>
        <v>9647.8799999999992</v>
      </c>
      <c r="N514" s="593">
        <f ca="1">$E514*(SUMIF(INDIRECT(N$3),'Struktur Aktuell'!$D514,INDIRECT(N$4))-SUMIF(INDIRECT(N$3),'Struktur Aktuell'!$D514,INDIRECT(N$5)))</f>
        <v>3808.31</v>
      </c>
      <c r="O514" s="593">
        <f ca="1">$E514*(SUMIF(INDIRECT(O$3),'Struktur Aktuell'!$D514,INDIRECT(O$4))-SUMIF(INDIRECT(O$3),'Struktur Aktuell'!$D514,INDIRECT(O$5)))</f>
        <v>2076.48</v>
      </c>
      <c r="P514" s="593">
        <f ca="1">$E514*(SUMIF(INDIRECT(P$3),'Struktur Aktuell'!$D514,INDIRECT(P$4))-SUMIF(INDIRECT(P$3),'Struktur Aktuell'!$D514,INDIRECT(P$5)))</f>
        <v>6186.44</v>
      </c>
      <c r="Q514" s="593">
        <f ca="1">$E514*(SUMIF(INDIRECT(Q$3),'Struktur Aktuell'!$D514,INDIRECT(Q$4))-SUMIF(INDIRECT(Q$3),'Struktur Aktuell'!$D514,INDIRECT(Q$5)))</f>
        <v>0</v>
      </c>
      <c r="R514" s="593">
        <f ca="1">$E514*(SUMIF(INDIRECT(R$3),'Struktur Aktuell'!$D514,INDIRECT(R$4))-SUMIF(INDIRECT(R$3),'Struktur Aktuell'!$D514,INDIRECT(R$5)))</f>
        <v>0</v>
      </c>
      <c r="S514" s="593">
        <f ca="1">$E514*(SUMIF(INDIRECT(S$3),'Struktur Aktuell'!$D514,INDIRECT(S$4))-SUMIF(INDIRECT(S$3),'Struktur Aktuell'!$D514,INDIRECT(S$5)))</f>
        <v>2042.84</v>
      </c>
      <c r="T514" s="593">
        <f ca="1">$E514*(SUMIF(INDIRECT(T$3),'Struktur Aktuell'!$D514,INDIRECT(T$4))-SUMIF(INDIRECT(T$3),'Struktur Aktuell'!$D514,INDIRECT(T$5)))</f>
        <v>4356.78</v>
      </c>
      <c r="U514" s="593">
        <f ca="1">$E514*(SUMIF(INDIRECT(U$3),'Struktur Aktuell'!$D514,INDIRECT(U$4))-SUMIF(INDIRECT(U$3),'Struktur Aktuell'!$D514,INDIRECT(U$5)))</f>
        <v>5683.27</v>
      </c>
      <c r="V514" s="593">
        <f ca="1">$E514*(SUMIF(INDIRECT(V$3),'Struktur Aktuell'!$D514,INDIRECT(V$4))-SUMIF(INDIRECT(V$3),'Struktur Aktuell'!$D514,INDIRECT(V$5)))</f>
        <v>8235.4</v>
      </c>
      <c r="W514" s="593">
        <f ca="1">$E514*(SUMIF(INDIRECT(W$3),'Struktur Aktuell'!$D514,INDIRECT(W$4))-SUMIF(INDIRECT(W$3),'Struktur Aktuell'!$D514,INDIRECT(W$5)))</f>
        <v>9710.7800000000007</v>
      </c>
      <c r="X514" s="593">
        <f ca="1">$E514*(SUMIF(INDIRECT(X$3),'Struktur Aktuell'!$D514,INDIRECT(X$4))-SUMIF(INDIRECT(X$3),'Struktur Aktuell'!$D514,INDIRECT(X$5)))</f>
        <v>11816.93</v>
      </c>
      <c r="Y514" s="593">
        <f ca="1">$E514*(SUMIF(INDIRECT(Y$3),'Struktur Aktuell'!$D514,INDIRECT(Y$4))-SUMIF(INDIRECT(Y$3),'Struktur Aktuell'!$D514,INDIRECT(Y$5)))</f>
        <v>21464.81</v>
      </c>
      <c r="Z514" s="593">
        <f ca="1">$E514*(SUMIF(INDIRECT(Z$3),'Struktur Aktuell'!$D514,INDIRECT(Z$4))-SUMIF(INDIRECT(Z$3),'Struktur Aktuell'!$D514,INDIRECT(Z$5)))</f>
        <v>25273.119999999999</v>
      </c>
      <c r="AA514" s="593">
        <f ca="1">$E514*(SUMIF(INDIRECT(AA$3),'Struktur Aktuell'!$D514,INDIRECT(AA$4))-SUMIF(INDIRECT(AA$3),'Struktur Aktuell'!$D514,INDIRECT(AA$5)))</f>
        <v>27349.599999999999</v>
      </c>
      <c r="AB514" s="593">
        <f ca="1">$E514*(SUMIF(INDIRECT(AB$3),'Struktur Aktuell'!$D514,INDIRECT(AB$4))-SUMIF(INDIRECT(AB$3),'Struktur Aktuell'!$D514,INDIRECT(AB$5)))</f>
        <v>33536.04</v>
      </c>
      <c r="AC514" s="593">
        <f ca="1">$E514*(SUMIF(INDIRECT(AC$3),'Struktur Aktuell'!$D514,INDIRECT(AC$4))-SUMIF(INDIRECT(AC$3),'Struktur Aktuell'!$D514,INDIRECT(AC$5)))</f>
        <v>0</v>
      </c>
      <c r="AD514" s="593">
        <f ca="1">$E514*(SUMIF(INDIRECT(AD$3),'Struktur Aktuell'!$D514,INDIRECT(AD$4))-SUMIF(INDIRECT(AD$3),'Struktur Aktuell'!$D514,INDIRECT(AD$5)))</f>
        <v>0</v>
      </c>
      <c r="AE514" s="593">
        <f t="shared" ca="1" si="783"/>
        <v>2042.84</v>
      </c>
      <c r="AF514" s="593">
        <f t="shared" ca="1" si="784"/>
        <v>4356.78</v>
      </c>
      <c r="AG514" s="593">
        <f t="shared" ca="1" si="785"/>
        <v>5683.2699999999995</v>
      </c>
      <c r="AH514" s="593">
        <f t="shared" ca="1" si="786"/>
        <v>8235.4</v>
      </c>
      <c r="AI514" s="593">
        <f t="shared" ca="1" si="787"/>
        <v>9710.7799999999988</v>
      </c>
      <c r="AJ514" s="593">
        <f t="shared" ca="1" si="788"/>
        <v>11816.929999999998</v>
      </c>
      <c r="AK514" s="593">
        <f t="shared" ca="1" si="789"/>
        <v>21464.809999999998</v>
      </c>
      <c r="AL514" s="593">
        <f t="shared" ca="1" si="790"/>
        <v>25273.119999999999</v>
      </c>
      <c r="AM514" s="593">
        <f t="shared" ca="1" si="791"/>
        <v>27349.599999999999</v>
      </c>
      <c r="AN514" s="593">
        <f t="shared" ca="1" si="792"/>
        <v>33536.04</v>
      </c>
      <c r="AO514" s="593">
        <f t="shared" ca="1" si="793"/>
        <v>33536.04</v>
      </c>
      <c r="AP514" s="593">
        <f t="shared" ca="1" si="794"/>
        <v>33536.04</v>
      </c>
    </row>
    <row r="515" spans="1:42" s="594" customFormat="1" ht="11.25" outlineLevel="1" x14ac:dyDescent="0.2">
      <c r="A515" s="644"/>
      <c r="B515" s="591" t="str">
        <f>IF(D515&lt;&gt;"",
IF(ISERROR(MATCH(D515,'Ist Aktuell Monat 01'!A:A,0))=FALSE,INDEX('Ist Aktuell Monat 01'!B:B,MATCH(D515,'Ist Aktuell Monat 01'!A:A,0)),
IF(ISERROR(MATCH(D515,'Ist Aktuell Monat 02'!A:A,0))=FALSE,INDEX('Ist Aktuell Monat 02'!B:B,MATCH(D515,'Ist Aktuell Monat 02'!A:A,0)),
IF(ISERROR(MATCH(D515,'Ist Aktuell Monat 03'!A:A,0))=FALSE,INDEX('Ist Aktuell Monat 03'!B:B,MATCH(D515,'Ist Aktuell Monat 03'!A:A,0)),
IF(ISERROR(MATCH(D515,'Ist Aktuell Monat 04'!A:A,0))=FALSE,INDEX('Ist Aktuell Monat 04'!B:B,MATCH(D515,'Ist Aktuell Monat 04'!A:A,0)),
IF(ISERROR(MATCH(D515,'Ist Aktuell Monat 05'!A:A,0))=FALSE,INDEX('Ist Aktuell Monat 05'!B:B,MATCH(D515,'Ist Aktuell Monat 05'!A:A,0)),
IF(ISERROR(MATCH(D515,'Ist Aktuell Monat 06'!A:A,0))=FALSE,INDEX('Ist Aktuell Monat 06'!B:B,MATCH(D515,'Ist Aktuell Monat 06'!A:A,0)),
IF(ISERROR(MATCH(D515,'Ist Aktuell Monat 07'!A:A,0))=FALSE,INDEX('Ist Aktuell Monat 07'!B:B,MATCH(D515,'Ist Aktuell Monat 07'!A:A,0)),
IF(ISERROR(MATCH(D515,'Ist Aktuell Monat 08'!A:A,0))=FALSE,INDEX('Ist Aktuell Monat 08'!B:B,MATCH(D515,'Ist Aktuell Monat 08'!A:A,0)),
IF(ISERROR(MATCH(D515,'Ist Aktuell Monat 09'!A:A,0))=FALSE,INDEX('Ist Aktuell Monat 09'!B:B,MATCH(D515,'Ist Aktuell Monat 09'!A:A,0)),
IF(ISERROR(MATCH(D515,'Ist Aktuell Monat 10'!A:A,0))=FALSE,INDEX('Ist Aktuell Monat 10'!B:B,MATCH(D515,'Ist Aktuell Monat 10'!A:A,0)),
IF(ISERROR(MATCH(D515,'Ist Aktuell Monat 11'!A:A,0))=FALSE,INDEX('Ist Aktuell Monat 11'!B:B,MATCH(D515,'Ist Aktuell Monat 11'!A:A,0)),
IF(ISERROR(MATCH(D515,'Ist Aktuell Monat 12'!A:A,0))=FALSE,INDEX('Ist Aktuell Monat 12'!B:B,MATCH(D515,'Ist Aktuell Monat 12'!A:A,0)),
"{Konto unbekannt}"
)))))))))))),"")</f>
        <v>Umsatzsteuer-Vorauszahlungen</v>
      </c>
      <c r="C515" s="1062"/>
      <c r="D515" s="1067">
        <v>1780</v>
      </c>
      <c r="E515" s="625">
        <f t="shared" si="727"/>
        <v>1</v>
      </c>
      <c r="F515" s="626"/>
      <c r="G515" s="593">
        <f ca="1">$E515*(SUMIF(INDIRECT(G$3),'Struktur Aktuell'!$D515,INDIRECT(G$4))-SUMIF(INDIRECT(G$3),'Struktur Aktuell'!$D515,INDIRECT(G$5)))</f>
        <v>0</v>
      </c>
      <c r="H515" s="593">
        <f ca="1">$E515*(SUMIF(INDIRECT(H$3),'Struktur Aktuell'!$D515,INDIRECT(H$4))-SUMIF(INDIRECT(H$3),'Struktur Aktuell'!$D515,INDIRECT(H$5)))</f>
        <v>0</v>
      </c>
      <c r="I515" s="593">
        <f ca="1">$E515*(SUMIF(INDIRECT(I$3),'Struktur Aktuell'!$D515,INDIRECT(I$4))-SUMIF(INDIRECT(I$3),'Struktur Aktuell'!$D515,INDIRECT(I$5)))</f>
        <v>-1383.22</v>
      </c>
      <c r="J515" s="593">
        <f ca="1">$E515*(SUMIF(INDIRECT(J$3),'Struktur Aktuell'!$D515,INDIRECT(J$4))-SUMIF(INDIRECT(J$3),'Struktur Aktuell'!$D515,INDIRECT(J$5)))</f>
        <v>-1696.64</v>
      </c>
      <c r="K515" s="593">
        <f ca="1">$E515*(SUMIF(INDIRECT(K$3),'Struktur Aktuell'!$D515,INDIRECT(K$4))-SUMIF(INDIRECT(K$3),'Struktur Aktuell'!$D515,INDIRECT(K$5)))</f>
        <v>-344.45</v>
      </c>
      <c r="L515" s="593">
        <f ca="1">$E515*(SUMIF(INDIRECT(L$3),'Struktur Aktuell'!$D515,INDIRECT(L$4))-SUMIF(INDIRECT(L$3),'Struktur Aktuell'!$D515,INDIRECT(L$5)))</f>
        <v>-1340.4</v>
      </c>
      <c r="M515" s="593">
        <f ca="1">$E515*(SUMIF(INDIRECT(M$3),'Struktur Aktuell'!$D515,INDIRECT(M$4))-SUMIF(INDIRECT(M$3),'Struktur Aktuell'!$D515,INDIRECT(M$5)))</f>
        <v>-413.03</v>
      </c>
      <c r="N515" s="593">
        <f ca="1">$E515*(SUMIF(INDIRECT(N$3),'Struktur Aktuell'!$D515,INDIRECT(N$4))-SUMIF(INDIRECT(N$3),'Struktur Aktuell'!$D515,INDIRECT(N$5)))</f>
        <v>-1357.62</v>
      </c>
      <c r="O515" s="593">
        <f ca="1">$E515*(SUMIF(INDIRECT(O$3),'Struktur Aktuell'!$D515,INDIRECT(O$4))-SUMIF(INDIRECT(O$3),'Struktur Aktuell'!$D515,INDIRECT(O$5)))</f>
        <v>-8783.9</v>
      </c>
      <c r="P515" s="593">
        <f ca="1">$E515*(SUMIF(INDIRECT(P$3),'Struktur Aktuell'!$D515,INDIRECT(P$4))-SUMIF(INDIRECT(P$3),'Struktur Aktuell'!$D515,INDIRECT(P$5)))</f>
        <v>-3035.14</v>
      </c>
      <c r="Q515" s="593">
        <f ca="1">$E515*(SUMIF(INDIRECT(Q$3),'Struktur Aktuell'!$D515,INDIRECT(Q$4))-SUMIF(INDIRECT(Q$3),'Struktur Aktuell'!$D515,INDIRECT(Q$5)))</f>
        <v>0</v>
      </c>
      <c r="R515" s="593">
        <f ca="1">$E515*(SUMIF(INDIRECT(R$3),'Struktur Aktuell'!$D515,INDIRECT(R$4))-SUMIF(INDIRECT(R$3),'Struktur Aktuell'!$D515,INDIRECT(R$5)))</f>
        <v>0</v>
      </c>
      <c r="S515" s="593">
        <f ca="1">$E515*(SUMIF(INDIRECT(S$3),'Struktur Aktuell'!$D515,INDIRECT(S$4))-SUMIF(INDIRECT(S$3),'Struktur Aktuell'!$D515,INDIRECT(S$5)))</f>
        <v>0</v>
      </c>
      <c r="T515" s="593">
        <f ca="1">$E515*(SUMIF(INDIRECT(T$3),'Struktur Aktuell'!$D515,INDIRECT(T$4))-SUMIF(INDIRECT(T$3),'Struktur Aktuell'!$D515,INDIRECT(T$5)))</f>
        <v>0</v>
      </c>
      <c r="U515" s="593">
        <f ca="1">$E515*(SUMIF(INDIRECT(U$3),'Struktur Aktuell'!$D515,INDIRECT(U$4))-SUMIF(INDIRECT(U$3),'Struktur Aktuell'!$D515,INDIRECT(U$5)))</f>
        <v>-1383.22</v>
      </c>
      <c r="V515" s="593">
        <f ca="1">$E515*(SUMIF(INDIRECT(V$3),'Struktur Aktuell'!$D515,INDIRECT(V$4))-SUMIF(INDIRECT(V$3),'Struktur Aktuell'!$D515,INDIRECT(V$5)))</f>
        <v>-3079.86</v>
      </c>
      <c r="W515" s="593">
        <f ca="1">$E515*(SUMIF(INDIRECT(W$3),'Struktur Aktuell'!$D515,INDIRECT(W$4))-SUMIF(INDIRECT(W$3),'Struktur Aktuell'!$D515,INDIRECT(W$5)))</f>
        <v>-3424.31</v>
      </c>
      <c r="X515" s="593">
        <f ca="1">$E515*(SUMIF(INDIRECT(X$3),'Struktur Aktuell'!$D515,INDIRECT(X$4))-SUMIF(INDIRECT(X$3),'Struktur Aktuell'!$D515,INDIRECT(X$5)))</f>
        <v>-4764.71</v>
      </c>
      <c r="Y515" s="593">
        <f ca="1">$E515*(SUMIF(INDIRECT(Y$3),'Struktur Aktuell'!$D515,INDIRECT(Y$4))-SUMIF(INDIRECT(Y$3),'Struktur Aktuell'!$D515,INDIRECT(Y$5)))</f>
        <v>-5177.74</v>
      </c>
      <c r="Z515" s="593">
        <f ca="1">$E515*(SUMIF(INDIRECT(Z$3),'Struktur Aktuell'!$D515,INDIRECT(Z$4))-SUMIF(INDIRECT(Z$3),'Struktur Aktuell'!$D515,INDIRECT(Z$5)))</f>
        <v>-6535.36</v>
      </c>
      <c r="AA515" s="593">
        <f ca="1">$E515*(SUMIF(INDIRECT(AA$3),'Struktur Aktuell'!$D515,INDIRECT(AA$4))-SUMIF(INDIRECT(AA$3),'Struktur Aktuell'!$D515,INDIRECT(AA$5)))</f>
        <v>-15319.26</v>
      </c>
      <c r="AB515" s="593">
        <f ca="1">$E515*(SUMIF(INDIRECT(AB$3),'Struktur Aktuell'!$D515,INDIRECT(AB$4))-SUMIF(INDIRECT(AB$3),'Struktur Aktuell'!$D515,INDIRECT(AB$5)))</f>
        <v>-18354.400000000001</v>
      </c>
      <c r="AC515" s="593">
        <f ca="1">$E515*(SUMIF(INDIRECT(AC$3),'Struktur Aktuell'!$D515,INDIRECT(AC$4))-SUMIF(INDIRECT(AC$3),'Struktur Aktuell'!$D515,INDIRECT(AC$5)))</f>
        <v>0</v>
      </c>
      <c r="AD515" s="593">
        <f ca="1">$E515*(SUMIF(INDIRECT(AD$3),'Struktur Aktuell'!$D515,INDIRECT(AD$4))-SUMIF(INDIRECT(AD$3),'Struktur Aktuell'!$D515,INDIRECT(AD$5)))</f>
        <v>0</v>
      </c>
      <c r="AE515" s="593">
        <f t="shared" ca="1" si="783"/>
        <v>0</v>
      </c>
      <c r="AF515" s="593">
        <f t="shared" ca="1" si="784"/>
        <v>0</v>
      </c>
      <c r="AG515" s="593">
        <f t="shared" ca="1" si="785"/>
        <v>-1383.22</v>
      </c>
      <c r="AH515" s="593">
        <f t="shared" ca="1" si="786"/>
        <v>-3079.86</v>
      </c>
      <c r="AI515" s="593">
        <f t="shared" ca="1" si="787"/>
        <v>-3424.31</v>
      </c>
      <c r="AJ515" s="593">
        <f t="shared" ca="1" si="788"/>
        <v>-4764.71</v>
      </c>
      <c r="AK515" s="593">
        <f t="shared" ca="1" si="789"/>
        <v>-5177.74</v>
      </c>
      <c r="AL515" s="593">
        <f t="shared" ca="1" si="790"/>
        <v>-6535.36</v>
      </c>
      <c r="AM515" s="593">
        <f t="shared" ca="1" si="791"/>
        <v>-15319.259999999998</v>
      </c>
      <c r="AN515" s="593">
        <f t="shared" ca="1" si="792"/>
        <v>-18354.399999999998</v>
      </c>
      <c r="AO515" s="593">
        <f t="shared" ca="1" si="793"/>
        <v>-18354.399999999998</v>
      </c>
      <c r="AP515" s="593">
        <f t="shared" ca="1" si="794"/>
        <v>-18354.399999999998</v>
      </c>
    </row>
    <row r="516" spans="1:42" s="594" customFormat="1" ht="11.25" outlineLevel="1" x14ac:dyDescent="0.2">
      <c r="A516" s="644"/>
      <c r="B516" s="591" t="str">
        <f>IF(D516&lt;&gt;"",
IF(ISERROR(MATCH(D516,'Ist Aktuell Monat 01'!A:A,0))=FALSE,INDEX('Ist Aktuell Monat 01'!B:B,MATCH(D516,'Ist Aktuell Monat 01'!A:A,0)),
IF(ISERROR(MATCH(D516,'Ist Aktuell Monat 02'!A:A,0))=FALSE,INDEX('Ist Aktuell Monat 02'!B:B,MATCH(D516,'Ist Aktuell Monat 02'!A:A,0)),
IF(ISERROR(MATCH(D516,'Ist Aktuell Monat 03'!A:A,0))=FALSE,INDEX('Ist Aktuell Monat 03'!B:B,MATCH(D516,'Ist Aktuell Monat 03'!A:A,0)),
IF(ISERROR(MATCH(D516,'Ist Aktuell Monat 04'!A:A,0))=FALSE,INDEX('Ist Aktuell Monat 04'!B:B,MATCH(D516,'Ist Aktuell Monat 04'!A:A,0)),
IF(ISERROR(MATCH(D516,'Ist Aktuell Monat 05'!A:A,0))=FALSE,INDEX('Ist Aktuell Monat 05'!B:B,MATCH(D516,'Ist Aktuell Monat 05'!A:A,0)),
IF(ISERROR(MATCH(D516,'Ist Aktuell Monat 06'!A:A,0))=FALSE,INDEX('Ist Aktuell Monat 06'!B:B,MATCH(D516,'Ist Aktuell Monat 06'!A:A,0)),
IF(ISERROR(MATCH(D516,'Ist Aktuell Monat 07'!A:A,0))=FALSE,INDEX('Ist Aktuell Monat 07'!B:B,MATCH(D516,'Ist Aktuell Monat 07'!A:A,0)),
IF(ISERROR(MATCH(D516,'Ist Aktuell Monat 08'!A:A,0))=FALSE,INDEX('Ist Aktuell Monat 08'!B:B,MATCH(D516,'Ist Aktuell Monat 08'!A:A,0)),
IF(ISERROR(MATCH(D516,'Ist Aktuell Monat 09'!A:A,0))=FALSE,INDEX('Ist Aktuell Monat 09'!B:B,MATCH(D516,'Ist Aktuell Monat 09'!A:A,0)),
IF(ISERROR(MATCH(D516,'Ist Aktuell Monat 10'!A:A,0))=FALSE,INDEX('Ist Aktuell Monat 10'!B:B,MATCH(D516,'Ist Aktuell Monat 10'!A:A,0)),
IF(ISERROR(MATCH(D516,'Ist Aktuell Monat 11'!A:A,0))=FALSE,INDEX('Ist Aktuell Monat 11'!B:B,MATCH(D516,'Ist Aktuell Monat 11'!A:A,0)),
IF(ISERROR(MATCH(D516,'Ist Aktuell Monat 12'!A:A,0))=FALSE,INDEX('Ist Aktuell Monat 12'!B:B,MATCH(D516,'Ist Aktuell Monat 12'!A:A,0)),
"{Konto unbekannt}"
)))))))))))),"")</f>
        <v>Umsatzsteuer Vorjahr</v>
      </c>
      <c r="C516" s="1062"/>
      <c r="D516" s="1067">
        <v>1790</v>
      </c>
      <c r="E516" s="625">
        <f t="shared" si="727"/>
        <v>1</v>
      </c>
      <c r="F516" s="626"/>
      <c r="G516" s="593">
        <f ca="1">$E516*(SUMIF(INDIRECT(G$3),'Struktur Aktuell'!$D516,INDIRECT(G$4))-SUMIF(INDIRECT(G$3),'Struktur Aktuell'!$D516,INDIRECT(G$5)))</f>
        <v>-475.67</v>
      </c>
      <c r="H516" s="593">
        <f ca="1">$E516*(SUMIF(INDIRECT(H$3),'Struktur Aktuell'!$D516,INDIRECT(H$4))-SUMIF(INDIRECT(H$3),'Struktur Aktuell'!$D516,INDIRECT(H$5)))</f>
        <v>-7837</v>
      </c>
      <c r="I516" s="593">
        <f ca="1">$E516*(SUMIF(INDIRECT(I$3),'Struktur Aktuell'!$D516,INDIRECT(I$4))-SUMIF(INDIRECT(I$3),'Struktur Aktuell'!$D516,INDIRECT(I$5)))</f>
        <v>0</v>
      </c>
      <c r="J516" s="593">
        <f ca="1">$E516*(SUMIF(INDIRECT(J$3),'Struktur Aktuell'!$D516,INDIRECT(J$4))-SUMIF(INDIRECT(J$3),'Struktur Aktuell'!$D516,INDIRECT(J$5)))</f>
        <v>0</v>
      </c>
      <c r="K516" s="593">
        <f ca="1">$E516*(SUMIF(INDIRECT(K$3),'Struktur Aktuell'!$D516,INDIRECT(K$4))-SUMIF(INDIRECT(K$3),'Struktur Aktuell'!$D516,INDIRECT(K$5)))</f>
        <v>0</v>
      </c>
      <c r="L516" s="593">
        <f ca="1">$E516*(SUMIF(INDIRECT(L$3),'Struktur Aktuell'!$D516,INDIRECT(L$4))-SUMIF(INDIRECT(L$3),'Struktur Aktuell'!$D516,INDIRECT(L$5)))</f>
        <v>0</v>
      </c>
      <c r="M516" s="593">
        <f ca="1">$E516*(SUMIF(INDIRECT(M$3),'Struktur Aktuell'!$D516,INDIRECT(M$4))-SUMIF(INDIRECT(M$3),'Struktur Aktuell'!$D516,INDIRECT(M$5)))</f>
        <v>0</v>
      </c>
      <c r="N516" s="593">
        <f ca="1">$E516*(SUMIF(INDIRECT(N$3),'Struktur Aktuell'!$D516,INDIRECT(N$4))-SUMIF(INDIRECT(N$3),'Struktur Aktuell'!$D516,INDIRECT(N$5)))</f>
        <v>0</v>
      </c>
      <c r="O516" s="593">
        <f ca="1">$E516*(SUMIF(INDIRECT(O$3),'Struktur Aktuell'!$D516,INDIRECT(O$4))-SUMIF(INDIRECT(O$3),'Struktur Aktuell'!$D516,INDIRECT(O$5)))</f>
        <v>0</v>
      </c>
      <c r="P516" s="593">
        <f ca="1">$E516*(SUMIF(INDIRECT(P$3),'Struktur Aktuell'!$D516,INDIRECT(P$4))-SUMIF(INDIRECT(P$3),'Struktur Aktuell'!$D516,INDIRECT(P$5)))</f>
        <v>0</v>
      </c>
      <c r="Q516" s="593">
        <f ca="1">$E516*(SUMIF(INDIRECT(Q$3),'Struktur Aktuell'!$D516,INDIRECT(Q$4))-SUMIF(INDIRECT(Q$3),'Struktur Aktuell'!$D516,INDIRECT(Q$5)))</f>
        <v>0</v>
      </c>
      <c r="R516" s="593">
        <f ca="1">$E516*(SUMIF(INDIRECT(R$3),'Struktur Aktuell'!$D516,INDIRECT(R$4))-SUMIF(INDIRECT(R$3),'Struktur Aktuell'!$D516,INDIRECT(R$5)))</f>
        <v>0</v>
      </c>
      <c r="S516" s="593">
        <f ca="1">$E516*(SUMIF(INDIRECT(S$3),'Struktur Aktuell'!$D516,INDIRECT(S$4))-SUMIF(INDIRECT(S$3),'Struktur Aktuell'!$D516,INDIRECT(S$5)))</f>
        <v>-475.67</v>
      </c>
      <c r="T516" s="593">
        <f ca="1">$E516*(SUMIF(INDIRECT(T$3),'Struktur Aktuell'!$D516,INDIRECT(T$4))-SUMIF(INDIRECT(T$3),'Struktur Aktuell'!$D516,INDIRECT(T$5)))</f>
        <v>-8312.67</v>
      </c>
      <c r="U516" s="593">
        <f ca="1">$E516*(SUMIF(INDIRECT(U$3),'Struktur Aktuell'!$D516,INDIRECT(U$4))-SUMIF(INDIRECT(U$3),'Struktur Aktuell'!$D516,INDIRECT(U$5)))</f>
        <v>-8312.67</v>
      </c>
      <c r="V516" s="593">
        <f ca="1">$E516*(SUMIF(INDIRECT(V$3),'Struktur Aktuell'!$D516,INDIRECT(V$4))-SUMIF(INDIRECT(V$3),'Struktur Aktuell'!$D516,INDIRECT(V$5)))</f>
        <v>-8312.67</v>
      </c>
      <c r="W516" s="593">
        <f ca="1">$E516*(SUMIF(INDIRECT(W$3),'Struktur Aktuell'!$D516,INDIRECT(W$4))-SUMIF(INDIRECT(W$3),'Struktur Aktuell'!$D516,INDIRECT(W$5)))</f>
        <v>-8312.67</v>
      </c>
      <c r="X516" s="593">
        <f ca="1">$E516*(SUMIF(INDIRECT(X$3),'Struktur Aktuell'!$D516,INDIRECT(X$4))-SUMIF(INDIRECT(X$3),'Struktur Aktuell'!$D516,INDIRECT(X$5)))</f>
        <v>-8312.67</v>
      </c>
      <c r="Y516" s="593">
        <f ca="1">$E516*(SUMIF(INDIRECT(Y$3),'Struktur Aktuell'!$D516,INDIRECT(Y$4))-SUMIF(INDIRECT(Y$3),'Struktur Aktuell'!$D516,INDIRECT(Y$5)))</f>
        <v>-8312.67</v>
      </c>
      <c r="Z516" s="593">
        <f ca="1">$E516*(SUMIF(INDIRECT(Z$3),'Struktur Aktuell'!$D516,INDIRECT(Z$4))-SUMIF(INDIRECT(Z$3),'Struktur Aktuell'!$D516,INDIRECT(Z$5)))</f>
        <v>-8312.67</v>
      </c>
      <c r="AA516" s="593">
        <f ca="1">$E516*(SUMIF(INDIRECT(AA$3),'Struktur Aktuell'!$D516,INDIRECT(AA$4))-SUMIF(INDIRECT(AA$3),'Struktur Aktuell'!$D516,INDIRECT(AA$5)))</f>
        <v>-8312.67</v>
      </c>
      <c r="AB516" s="593">
        <f ca="1">$E516*(SUMIF(INDIRECT(AB$3),'Struktur Aktuell'!$D516,INDIRECT(AB$4))-SUMIF(INDIRECT(AB$3),'Struktur Aktuell'!$D516,INDIRECT(AB$5)))</f>
        <v>-8312.67</v>
      </c>
      <c r="AC516" s="593">
        <f ca="1">$E516*(SUMIF(INDIRECT(AC$3),'Struktur Aktuell'!$D516,INDIRECT(AC$4))-SUMIF(INDIRECT(AC$3),'Struktur Aktuell'!$D516,INDIRECT(AC$5)))</f>
        <v>0</v>
      </c>
      <c r="AD516" s="593">
        <f ca="1">$E516*(SUMIF(INDIRECT(AD$3),'Struktur Aktuell'!$D516,INDIRECT(AD$4))-SUMIF(INDIRECT(AD$3),'Struktur Aktuell'!$D516,INDIRECT(AD$5)))</f>
        <v>0</v>
      </c>
      <c r="AE516" s="593">
        <f t="shared" ca="1" si="783"/>
        <v>-475.67</v>
      </c>
      <c r="AF516" s="593">
        <f t="shared" ca="1" si="784"/>
        <v>-8312.67</v>
      </c>
      <c r="AG516" s="593">
        <f t="shared" ca="1" si="785"/>
        <v>-8312.67</v>
      </c>
      <c r="AH516" s="593">
        <f t="shared" ca="1" si="786"/>
        <v>-8312.67</v>
      </c>
      <c r="AI516" s="593">
        <f t="shared" ca="1" si="787"/>
        <v>-8312.67</v>
      </c>
      <c r="AJ516" s="593">
        <f t="shared" ca="1" si="788"/>
        <v>-8312.67</v>
      </c>
      <c r="AK516" s="593">
        <f t="shared" ca="1" si="789"/>
        <v>-8312.67</v>
      </c>
      <c r="AL516" s="593">
        <f t="shared" ca="1" si="790"/>
        <v>-8312.67</v>
      </c>
      <c r="AM516" s="593">
        <f t="shared" ca="1" si="791"/>
        <v>-8312.67</v>
      </c>
      <c r="AN516" s="593">
        <f t="shared" ca="1" si="792"/>
        <v>-8312.67</v>
      </c>
      <c r="AO516" s="593">
        <f t="shared" ca="1" si="793"/>
        <v>-8312.67</v>
      </c>
      <c r="AP516" s="593">
        <f t="shared" ca="1" si="794"/>
        <v>-8312.67</v>
      </c>
    </row>
    <row r="517" spans="1:42" s="594" customFormat="1" ht="11.25" outlineLevel="1" x14ac:dyDescent="0.2">
      <c r="A517" s="644"/>
      <c r="B517" s="591" t="str">
        <f>IF(D517&lt;&gt;"",
IF(ISERROR(MATCH(D517,'Ist Aktuell Monat 01'!A:A,0))=FALSE,INDEX('Ist Aktuell Monat 01'!B:B,MATCH(D517,'Ist Aktuell Monat 01'!A:A,0)),
IF(ISERROR(MATCH(D517,'Ist Aktuell Monat 02'!A:A,0))=FALSE,INDEX('Ist Aktuell Monat 02'!B:B,MATCH(D517,'Ist Aktuell Monat 02'!A:A,0)),
IF(ISERROR(MATCH(D517,'Ist Aktuell Monat 03'!A:A,0))=FALSE,INDEX('Ist Aktuell Monat 03'!B:B,MATCH(D517,'Ist Aktuell Monat 03'!A:A,0)),
IF(ISERROR(MATCH(D517,'Ist Aktuell Monat 04'!A:A,0))=FALSE,INDEX('Ist Aktuell Monat 04'!B:B,MATCH(D517,'Ist Aktuell Monat 04'!A:A,0)),
IF(ISERROR(MATCH(D517,'Ist Aktuell Monat 05'!A:A,0))=FALSE,INDEX('Ist Aktuell Monat 05'!B:B,MATCH(D517,'Ist Aktuell Monat 05'!A:A,0)),
IF(ISERROR(MATCH(D517,'Ist Aktuell Monat 06'!A:A,0))=FALSE,INDEX('Ist Aktuell Monat 06'!B:B,MATCH(D517,'Ist Aktuell Monat 06'!A:A,0)),
IF(ISERROR(MATCH(D517,'Ist Aktuell Monat 07'!A:A,0))=FALSE,INDEX('Ist Aktuell Monat 07'!B:B,MATCH(D517,'Ist Aktuell Monat 07'!A:A,0)),
IF(ISERROR(MATCH(D517,'Ist Aktuell Monat 08'!A:A,0))=FALSE,INDEX('Ist Aktuell Monat 08'!B:B,MATCH(D517,'Ist Aktuell Monat 08'!A:A,0)),
IF(ISERROR(MATCH(D517,'Ist Aktuell Monat 09'!A:A,0))=FALSE,INDEX('Ist Aktuell Monat 09'!B:B,MATCH(D517,'Ist Aktuell Monat 09'!A:A,0)),
IF(ISERROR(MATCH(D517,'Ist Aktuell Monat 10'!A:A,0))=FALSE,INDEX('Ist Aktuell Monat 10'!B:B,MATCH(D517,'Ist Aktuell Monat 10'!A:A,0)),
IF(ISERROR(MATCH(D517,'Ist Aktuell Monat 11'!A:A,0))=FALSE,INDEX('Ist Aktuell Monat 11'!B:B,MATCH(D517,'Ist Aktuell Monat 11'!A:A,0)),
IF(ISERROR(MATCH(D517,'Ist Aktuell Monat 12'!A:A,0))=FALSE,INDEX('Ist Aktuell Monat 12'!B:B,MATCH(D517,'Ist Aktuell Monat 12'!A:A,0)),
"{Konto unbekannt}"
)))))))))))),"")</f>
        <v>Gewerbesteuerrückstellung § 4 Abs. 5b</v>
      </c>
      <c r="C517" s="1062"/>
      <c r="D517" s="1067">
        <v>956</v>
      </c>
      <c r="E517" s="625">
        <f t="shared" si="727"/>
        <v>1</v>
      </c>
      <c r="F517" s="626"/>
      <c r="G517" s="593">
        <f ca="1">$E517*(SUMIF(INDIRECT(G$3),'Struktur Aktuell'!$D517,INDIRECT(G$4))-SUMIF(INDIRECT(G$3),'Struktur Aktuell'!$D517,INDIRECT(G$5)))</f>
        <v>0</v>
      </c>
      <c r="H517" s="593">
        <f ca="1">$E517*(SUMIF(INDIRECT(H$3),'Struktur Aktuell'!$D517,INDIRECT(H$4))-SUMIF(INDIRECT(H$3),'Struktur Aktuell'!$D517,INDIRECT(H$5)))</f>
        <v>0</v>
      </c>
      <c r="I517" s="593">
        <f ca="1">$E517*(SUMIF(INDIRECT(I$3),'Struktur Aktuell'!$D517,INDIRECT(I$4))-SUMIF(INDIRECT(I$3),'Struktur Aktuell'!$D517,INDIRECT(I$5)))</f>
        <v>0</v>
      </c>
      <c r="J517" s="593">
        <f ca="1">$E517*(SUMIF(INDIRECT(J$3),'Struktur Aktuell'!$D517,INDIRECT(J$4))-SUMIF(INDIRECT(J$3),'Struktur Aktuell'!$D517,INDIRECT(J$5)))</f>
        <v>0</v>
      </c>
      <c r="K517" s="593">
        <f ca="1">$E517*(SUMIF(INDIRECT(K$3),'Struktur Aktuell'!$D517,INDIRECT(K$4))-SUMIF(INDIRECT(K$3),'Struktur Aktuell'!$D517,INDIRECT(K$5)))</f>
        <v>-36287.78</v>
      </c>
      <c r="L517" s="593">
        <f ca="1">$E517*(SUMIF(INDIRECT(L$3),'Struktur Aktuell'!$D517,INDIRECT(L$4))-SUMIF(INDIRECT(L$3),'Struktur Aktuell'!$D517,INDIRECT(L$5)))</f>
        <v>0</v>
      </c>
      <c r="M517" s="593">
        <f ca="1">$E517*(SUMIF(INDIRECT(M$3),'Struktur Aktuell'!$D517,INDIRECT(M$4))-SUMIF(INDIRECT(M$3),'Struktur Aktuell'!$D517,INDIRECT(M$5)))</f>
        <v>0</v>
      </c>
      <c r="N517" s="593">
        <f ca="1">$E517*(SUMIF(INDIRECT(N$3),'Struktur Aktuell'!$D517,INDIRECT(N$4))-SUMIF(INDIRECT(N$3),'Struktur Aktuell'!$D517,INDIRECT(N$5)))</f>
        <v>0</v>
      </c>
      <c r="O517" s="593">
        <f ca="1">$E517*(SUMIF(INDIRECT(O$3),'Struktur Aktuell'!$D517,INDIRECT(O$4))-SUMIF(INDIRECT(O$3),'Struktur Aktuell'!$D517,INDIRECT(O$5)))</f>
        <v>0</v>
      </c>
      <c r="P517" s="593">
        <f ca="1">$E517*(SUMIF(INDIRECT(P$3),'Struktur Aktuell'!$D517,INDIRECT(P$4))-SUMIF(INDIRECT(P$3),'Struktur Aktuell'!$D517,INDIRECT(P$5)))</f>
        <v>-5509.5</v>
      </c>
      <c r="Q517" s="593">
        <f ca="1">$E517*(SUMIF(INDIRECT(Q$3),'Struktur Aktuell'!$D517,INDIRECT(Q$4))-SUMIF(INDIRECT(Q$3),'Struktur Aktuell'!$D517,INDIRECT(Q$5)))</f>
        <v>0</v>
      </c>
      <c r="R517" s="593">
        <f ca="1">$E517*(SUMIF(INDIRECT(R$3),'Struktur Aktuell'!$D517,INDIRECT(R$4))-SUMIF(INDIRECT(R$3),'Struktur Aktuell'!$D517,INDIRECT(R$5)))</f>
        <v>0</v>
      </c>
      <c r="S517" s="593">
        <f ca="1">$E517*(SUMIF(INDIRECT(S$3),'Struktur Aktuell'!$D517,INDIRECT(S$4))-SUMIF(INDIRECT(S$3),'Struktur Aktuell'!$D517,INDIRECT(S$5)))</f>
        <v>0</v>
      </c>
      <c r="T517" s="593">
        <f ca="1">$E517*(SUMIF(INDIRECT(T$3),'Struktur Aktuell'!$D517,INDIRECT(T$4))-SUMIF(INDIRECT(T$3),'Struktur Aktuell'!$D517,INDIRECT(T$5)))</f>
        <v>0</v>
      </c>
      <c r="U517" s="593">
        <f ca="1">$E517*(SUMIF(INDIRECT(U$3),'Struktur Aktuell'!$D517,INDIRECT(U$4))-SUMIF(INDIRECT(U$3),'Struktur Aktuell'!$D517,INDIRECT(U$5)))</f>
        <v>0</v>
      </c>
      <c r="V517" s="593">
        <f ca="1">$E517*(SUMIF(INDIRECT(V$3),'Struktur Aktuell'!$D517,INDIRECT(V$4))-SUMIF(INDIRECT(V$3),'Struktur Aktuell'!$D517,INDIRECT(V$5)))</f>
        <v>0</v>
      </c>
      <c r="W517" s="593">
        <f ca="1">$E517*(SUMIF(INDIRECT(W$3),'Struktur Aktuell'!$D517,INDIRECT(W$4))-SUMIF(INDIRECT(W$3),'Struktur Aktuell'!$D517,INDIRECT(W$5)))</f>
        <v>-36287.78</v>
      </c>
      <c r="X517" s="593">
        <f ca="1">$E517*(SUMIF(INDIRECT(X$3),'Struktur Aktuell'!$D517,INDIRECT(X$4))-SUMIF(INDIRECT(X$3),'Struktur Aktuell'!$D517,INDIRECT(X$5)))</f>
        <v>-36287.78</v>
      </c>
      <c r="Y517" s="593">
        <f ca="1">$E517*(SUMIF(INDIRECT(Y$3),'Struktur Aktuell'!$D517,INDIRECT(Y$4))-SUMIF(INDIRECT(Y$3),'Struktur Aktuell'!$D517,INDIRECT(Y$5)))</f>
        <v>-36287.78</v>
      </c>
      <c r="Z517" s="593">
        <f ca="1">$E517*(SUMIF(INDIRECT(Z$3),'Struktur Aktuell'!$D517,INDIRECT(Z$4))-SUMIF(INDIRECT(Z$3),'Struktur Aktuell'!$D517,INDIRECT(Z$5)))</f>
        <v>-36287.78</v>
      </c>
      <c r="AA517" s="593">
        <f ca="1">$E517*(SUMIF(INDIRECT(AA$3),'Struktur Aktuell'!$D517,INDIRECT(AA$4))-SUMIF(INDIRECT(AA$3),'Struktur Aktuell'!$D517,INDIRECT(AA$5)))</f>
        <v>-36287.78</v>
      </c>
      <c r="AB517" s="593">
        <f ca="1">$E517*(SUMIF(INDIRECT(AB$3),'Struktur Aktuell'!$D517,INDIRECT(AB$4))-SUMIF(INDIRECT(AB$3),'Struktur Aktuell'!$D517,INDIRECT(AB$5)))</f>
        <v>-41797.279999999999</v>
      </c>
      <c r="AC517" s="593">
        <f ca="1">$E517*(SUMIF(INDIRECT(AC$3),'Struktur Aktuell'!$D517,INDIRECT(AC$4))-SUMIF(INDIRECT(AC$3),'Struktur Aktuell'!$D517,INDIRECT(AC$5)))</f>
        <v>0</v>
      </c>
      <c r="AD517" s="593">
        <f ca="1">$E517*(SUMIF(INDIRECT(AD$3),'Struktur Aktuell'!$D517,INDIRECT(AD$4))-SUMIF(INDIRECT(AD$3),'Struktur Aktuell'!$D517,INDIRECT(AD$5)))</f>
        <v>0</v>
      </c>
      <c r="AE517" s="593">
        <f t="shared" ca="1" si="783"/>
        <v>0</v>
      </c>
      <c r="AF517" s="593">
        <f t="shared" ca="1" si="784"/>
        <v>0</v>
      </c>
      <c r="AG517" s="593">
        <f t="shared" ca="1" si="785"/>
        <v>0</v>
      </c>
      <c r="AH517" s="593">
        <f t="shared" ca="1" si="786"/>
        <v>0</v>
      </c>
      <c r="AI517" s="593">
        <f t="shared" ca="1" si="787"/>
        <v>-36287.78</v>
      </c>
      <c r="AJ517" s="593">
        <f t="shared" ca="1" si="788"/>
        <v>-36287.78</v>
      </c>
      <c r="AK517" s="593">
        <f t="shared" ca="1" si="789"/>
        <v>-36287.78</v>
      </c>
      <c r="AL517" s="593">
        <f t="shared" ca="1" si="790"/>
        <v>-36287.78</v>
      </c>
      <c r="AM517" s="593">
        <f t="shared" ca="1" si="791"/>
        <v>-36287.78</v>
      </c>
      <c r="AN517" s="593">
        <f t="shared" ca="1" si="792"/>
        <v>-41797.279999999999</v>
      </c>
      <c r="AO517" s="593">
        <f t="shared" ca="1" si="793"/>
        <v>-41797.279999999999</v>
      </c>
      <c r="AP517" s="593">
        <f t="shared" ca="1" si="794"/>
        <v>-41797.279999999999</v>
      </c>
    </row>
    <row r="518" spans="1:42" s="594" customFormat="1" ht="11.25" outlineLevel="1" x14ac:dyDescent="0.2">
      <c r="A518" s="644"/>
      <c r="B518" s="591" t="str">
        <f>IF(D518&lt;&gt;"",
IF(ISERROR(MATCH(D518,'Ist Aktuell Monat 01'!A:A,0))=FALSE,INDEX('Ist Aktuell Monat 01'!B:B,MATCH(D518,'Ist Aktuell Monat 01'!A:A,0)),
IF(ISERROR(MATCH(D518,'Ist Aktuell Monat 02'!A:A,0))=FALSE,INDEX('Ist Aktuell Monat 02'!B:B,MATCH(D518,'Ist Aktuell Monat 02'!A:A,0)),
IF(ISERROR(MATCH(D518,'Ist Aktuell Monat 03'!A:A,0))=FALSE,INDEX('Ist Aktuell Monat 03'!B:B,MATCH(D518,'Ist Aktuell Monat 03'!A:A,0)),
IF(ISERROR(MATCH(D518,'Ist Aktuell Monat 04'!A:A,0))=FALSE,INDEX('Ist Aktuell Monat 04'!B:B,MATCH(D518,'Ist Aktuell Monat 04'!A:A,0)),
IF(ISERROR(MATCH(D518,'Ist Aktuell Monat 05'!A:A,0))=FALSE,INDEX('Ist Aktuell Monat 05'!B:B,MATCH(D518,'Ist Aktuell Monat 05'!A:A,0)),
IF(ISERROR(MATCH(D518,'Ist Aktuell Monat 06'!A:A,0))=FALSE,INDEX('Ist Aktuell Monat 06'!B:B,MATCH(D518,'Ist Aktuell Monat 06'!A:A,0)),
IF(ISERROR(MATCH(D518,'Ist Aktuell Monat 07'!A:A,0))=FALSE,INDEX('Ist Aktuell Monat 07'!B:B,MATCH(D518,'Ist Aktuell Monat 07'!A:A,0)),
IF(ISERROR(MATCH(D518,'Ist Aktuell Monat 08'!A:A,0))=FALSE,INDEX('Ist Aktuell Monat 08'!B:B,MATCH(D518,'Ist Aktuell Monat 08'!A:A,0)),
IF(ISERROR(MATCH(D518,'Ist Aktuell Monat 09'!A:A,0))=FALSE,INDEX('Ist Aktuell Monat 09'!B:B,MATCH(D518,'Ist Aktuell Monat 09'!A:A,0)),
IF(ISERROR(MATCH(D518,'Ist Aktuell Monat 10'!A:A,0))=FALSE,INDEX('Ist Aktuell Monat 10'!B:B,MATCH(D518,'Ist Aktuell Monat 10'!A:A,0)),
IF(ISERROR(MATCH(D518,'Ist Aktuell Monat 11'!A:A,0))=FALSE,INDEX('Ist Aktuell Monat 11'!B:B,MATCH(D518,'Ist Aktuell Monat 11'!A:A,0)),
IF(ISERROR(MATCH(D518,'Ist Aktuell Monat 12'!A:A,0))=FALSE,INDEX('Ist Aktuell Monat 12'!B:B,MATCH(D518,'Ist Aktuell Monat 12'!A:A,0)),
"{Konto unbekannt}"
)))))))))))),"")</f>
        <v/>
      </c>
      <c r="C518" s="1062"/>
      <c r="D518" s="1067"/>
      <c r="E518" s="625">
        <f t="shared" ref="E518:E522" si="795">IF(F518="-",-1,1)</f>
        <v>1</v>
      </c>
      <c r="F518" s="626"/>
      <c r="G518" s="593">
        <f ca="1">$E518*(SUMIF(INDIRECT(G$3),'Struktur Aktuell'!$D518,INDIRECT(G$4))-SUMIF(INDIRECT(G$3),'Struktur Aktuell'!$D518,INDIRECT(G$5)))</f>
        <v>0</v>
      </c>
      <c r="H518" s="593">
        <f ca="1">$E518*(SUMIF(INDIRECT(H$3),'Struktur Aktuell'!$D518,INDIRECT(H$4))-SUMIF(INDIRECT(H$3),'Struktur Aktuell'!$D518,INDIRECT(H$5)))</f>
        <v>0</v>
      </c>
      <c r="I518" s="593">
        <f ca="1">$E518*(SUMIF(INDIRECT(I$3),'Struktur Aktuell'!$D518,INDIRECT(I$4))-SUMIF(INDIRECT(I$3),'Struktur Aktuell'!$D518,INDIRECT(I$5)))</f>
        <v>0</v>
      </c>
      <c r="J518" s="593">
        <f ca="1">$E518*(SUMIF(INDIRECT(J$3),'Struktur Aktuell'!$D518,INDIRECT(J$4))-SUMIF(INDIRECT(J$3),'Struktur Aktuell'!$D518,INDIRECT(J$5)))</f>
        <v>0</v>
      </c>
      <c r="K518" s="593">
        <f ca="1">$E518*(SUMIF(INDIRECT(K$3),'Struktur Aktuell'!$D518,INDIRECT(K$4))-SUMIF(INDIRECT(K$3),'Struktur Aktuell'!$D518,INDIRECT(K$5)))</f>
        <v>0</v>
      </c>
      <c r="L518" s="593">
        <f ca="1">$E518*(SUMIF(INDIRECT(L$3),'Struktur Aktuell'!$D518,INDIRECT(L$4))-SUMIF(INDIRECT(L$3),'Struktur Aktuell'!$D518,INDIRECT(L$5)))</f>
        <v>0</v>
      </c>
      <c r="M518" s="593">
        <f ca="1">$E518*(SUMIF(INDIRECT(M$3),'Struktur Aktuell'!$D518,INDIRECT(M$4))-SUMIF(INDIRECT(M$3),'Struktur Aktuell'!$D518,INDIRECT(M$5)))</f>
        <v>0</v>
      </c>
      <c r="N518" s="593">
        <f ca="1">$E518*(SUMIF(INDIRECT(N$3),'Struktur Aktuell'!$D518,INDIRECT(N$4))-SUMIF(INDIRECT(N$3),'Struktur Aktuell'!$D518,INDIRECT(N$5)))</f>
        <v>0</v>
      </c>
      <c r="O518" s="593">
        <f ca="1">$E518*(SUMIF(INDIRECT(O$3),'Struktur Aktuell'!$D518,INDIRECT(O$4))-SUMIF(INDIRECT(O$3),'Struktur Aktuell'!$D518,INDIRECT(O$5)))</f>
        <v>0</v>
      </c>
      <c r="P518" s="593">
        <f ca="1">$E518*(SUMIF(INDIRECT(P$3),'Struktur Aktuell'!$D518,INDIRECT(P$4))-SUMIF(INDIRECT(P$3),'Struktur Aktuell'!$D518,INDIRECT(P$5)))</f>
        <v>0</v>
      </c>
      <c r="Q518" s="593">
        <f ca="1">$E518*(SUMIF(INDIRECT(Q$3),'Struktur Aktuell'!$D518,INDIRECT(Q$4))-SUMIF(INDIRECT(Q$3),'Struktur Aktuell'!$D518,INDIRECT(Q$5)))</f>
        <v>0</v>
      </c>
      <c r="R518" s="593">
        <f ca="1">$E518*(SUMIF(INDIRECT(R$3),'Struktur Aktuell'!$D518,INDIRECT(R$4))-SUMIF(INDIRECT(R$3),'Struktur Aktuell'!$D518,INDIRECT(R$5)))</f>
        <v>0</v>
      </c>
      <c r="S518" s="593">
        <f ca="1">$E518*(SUMIF(INDIRECT(S$3),'Struktur Aktuell'!$D518,INDIRECT(S$4))-SUMIF(INDIRECT(S$3),'Struktur Aktuell'!$D518,INDIRECT(S$5)))</f>
        <v>0</v>
      </c>
      <c r="T518" s="593">
        <f ca="1">$E518*(SUMIF(INDIRECT(T$3),'Struktur Aktuell'!$D518,INDIRECT(T$4))-SUMIF(INDIRECT(T$3),'Struktur Aktuell'!$D518,INDIRECT(T$5)))</f>
        <v>0</v>
      </c>
      <c r="U518" s="593">
        <f ca="1">$E518*(SUMIF(INDIRECT(U$3),'Struktur Aktuell'!$D518,INDIRECT(U$4))-SUMIF(INDIRECT(U$3),'Struktur Aktuell'!$D518,INDIRECT(U$5)))</f>
        <v>0</v>
      </c>
      <c r="V518" s="593">
        <f ca="1">$E518*(SUMIF(INDIRECT(V$3),'Struktur Aktuell'!$D518,INDIRECT(V$4))-SUMIF(INDIRECT(V$3),'Struktur Aktuell'!$D518,INDIRECT(V$5)))</f>
        <v>0</v>
      </c>
      <c r="W518" s="593">
        <f ca="1">$E518*(SUMIF(INDIRECT(W$3),'Struktur Aktuell'!$D518,INDIRECT(W$4))-SUMIF(INDIRECT(W$3),'Struktur Aktuell'!$D518,INDIRECT(W$5)))</f>
        <v>0</v>
      </c>
      <c r="X518" s="593">
        <f ca="1">$E518*(SUMIF(INDIRECT(X$3),'Struktur Aktuell'!$D518,INDIRECT(X$4))-SUMIF(INDIRECT(X$3),'Struktur Aktuell'!$D518,INDIRECT(X$5)))</f>
        <v>0</v>
      </c>
      <c r="Y518" s="593">
        <f ca="1">$E518*(SUMIF(INDIRECT(Y$3),'Struktur Aktuell'!$D518,INDIRECT(Y$4))-SUMIF(INDIRECT(Y$3),'Struktur Aktuell'!$D518,INDIRECT(Y$5)))</f>
        <v>0</v>
      </c>
      <c r="Z518" s="593">
        <f ca="1">$E518*(SUMIF(INDIRECT(Z$3),'Struktur Aktuell'!$D518,INDIRECT(Z$4))-SUMIF(INDIRECT(Z$3),'Struktur Aktuell'!$D518,INDIRECT(Z$5)))</f>
        <v>0</v>
      </c>
      <c r="AA518" s="593">
        <f ca="1">$E518*(SUMIF(INDIRECT(AA$3),'Struktur Aktuell'!$D518,INDIRECT(AA$4))-SUMIF(INDIRECT(AA$3),'Struktur Aktuell'!$D518,INDIRECT(AA$5)))</f>
        <v>0</v>
      </c>
      <c r="AB518" s="593">
        <f ca="1">$E518*(SUMIF(INDIRECT(AB$3),'Struktur Aktuell'!$D518,INDIRECT(AB$4))-SUMIF(INDIRECT(AB$3),'Struktur Aktuell'!$D518,INDIRECT(AB$5)))</f>
        <v>0</v>
      </c>
      <c r="AC518" s="593">
        <f ca="1">$E518*(SUMIF(INDIRECT(AC$3),'Struktur Aktuell'!$D518,INDIRECT(AC$4))-SUMIF(INDIRECT(AC$3),'Struktur Aktuell'!$D518,INDIRECT(AC$5)))</f>
        <v>0</v>
      </c>
      <c r="AD518" s="593">
        <f ca="1">$E518*(SUMIF(INDIRECT(AD$3),'Struktur Aktuell'!$D518,INDIRECT(AD$4))-SUMIF(INDIRECT(AD$3),'Struktur Aktuell'!$D518,INDIRECT(AD$5)))</f>
        <v>0</v>
      </c>
      <c r="AE518" s="593">
        <f t="shared" ca="1" si="783"/>
        <v>0</v>
      </c>
      <c r="AF518" s="593">
        <f t="shared" ca="1" si="784"/>
        <v>0</v>
      </c>
      <c r="AG518" s="593">
        <f t="shared" ca="1" si="785"/>
        <v>0</v>
      </c>
      <c r="AH518" s="593">
        <f t="shared" ca="1" si="786"/>
        <v>0</v>
      </c>
      <c r="AI518" s="593">
        <f t="shared" ca="1" si="787"/>
        <v>0</v>
      </c>
      <c r="AJ518" s="593">
        <f t="shared" ca="1" si="788"/>
        <v>0</v>
      </c>
      <c r="AK518" s="593">
        <f t="shared" ca="1" si="789"/>
        <v>0</v>
      </c>
      <c r="AL518" s="593">
        <f t="shared" ca="1" si="790"/>
        <v>0</v>
      </c>
      <c r="AM518" s="593">
        <f t="shared" ca="1" si="791"/>
        <v>0</v>
      </c>
      <c r="AN518" s="593">
        <f t="shared" ca="1" si="792"/>
        <v>0</v>
      </c>
      <c r="AO518" s="593">
        <f t="shared" ca="1" si="793"/>
        <v>0</v>
      </c>
      <c r="AP518" s="593">
        <f t="shared" ca="1" si="794"/>
        <v>0</v>
      </c>
    </row>
    <row r="519" spans="1:42" s="594" customFormat="1" ht="11.25" outlineLevel="1" x14ac:dyDescent="0.2">
      <c r="A519" s="644"/>
      <c r="B519" s="591" t="str">
        <f>IF(D519&lt;&gt;"",
IF(ISERROR(MATCH(D519,'Ist Aktuell Monat 01'!A:A,0))=FALSE,INDEX('Ist Aktuell Monat 01'!B:B,MATCH(D519,'Ist Aktuell Monat 01'!A:A,0)),
IF(ISERROR(MATCH(D519,'Ist Aktuell Monat 02'!A:A,0))=FALSE,INDEX('Ist Aktuell Monat 02'!B:B,MATCH(D519,'Ist Aktuell Monat 02'!A:A,0)),
IF(ISERROR(MATCH(D519,'Ist Aktuell Monat 03'!A:A,0))=FALSE,INDEX('Ist Aktuell Monat 03'!B:B,MATCH(D519,'Ist Aktuell Monat 03'!A:A,0)),
IF(ISERROR(MATCH(D519,'Ist Aktuell Monat 04'!A:A,0))=FALSE,INDEX('Ist Aktuell Monat 04'!B:B,MATCH(D519,'Ist Aktuell Monat 04'!A:A,0)),
IF(ISERROR(MATCH(D519,'Ist Aktuell Monat 05'!A:A,0))=FALSE,INDEX('Ist Aktuell Monat 05'!B:B,MATCH(D519,'Ist Aktuell Monat 05'!A:A,0)),
IF(ISERROR(MATCH(D519,'Ist Aktuell Monat 06'!A:A,0))=FALSE,INDEX('Ist Aktuell Monat 06'!B:B,MATCH(D519,'Ist Aktuell Monat 06'!A:A,0)),
IF(ISERROR(MATCH(D519,'Ist Aktuell Monat 07'!A:A,0))=FALSE,INDEX('Ist Aktuell Monat 07'!B:B,MATCH(D519,'Ist Aktuell Monat 07'!A:A,0)),
IF(ISERROR(MATCH(D519,'Ist Aktuell Monat 08'!A:A,0))=FALSE,INDEX('Ist Aktuell Monat 08'!B:B,MATCH(D519,'Ist Aktuell Monat 08'!A:A,0)),
IF(ISERROR(MATCH(D519,'Ist Aktuell Monat 09'!A:A,0))=FALSE,INDEX('Ist Aktuell Monat 09'!B:B,MATCH(D519,'Ist Aktuell Monat 09'!A:A,0)),
IF(ISERROR(MATCH(D519,'Ist Aktuell Monat 10'!A:A,0))=FALSE,INDEX('Ist Aktuell Monat 10'!B:B,MATCH(D519,'Ist Aktuell Monat 10'!A:A,0)),
IF(ISERROR(MATCH(D519,'Ist Aktuell Monat 11'!A:A,0))=FALSE,INDEX('Ist Aktuell Monat 11'!B:B,MATCH(D519,'Ist Aktuell Monat 11'!A:A,0)),
IF(ISERROR(MATCH(D519,'Ist Aktuell Monat 12'!A:A,0))=FALSE,INDEX('Ist Aktuell Monat 12'!B:B,MATCH(D519,'Ist Aktuell Monat 12'!A:A,0)),
"{Konto unbekannt}"
)))))))))))),"")</f>
        <v/>
      </c>
      <c r="C519" s="1062"/>
      <c r="D519" s="1067"/>
      <c r="E519" s="625">
        <f t="shared" si="795"/>
        <v>1</v>
      </c>
      <c r="F519" s="626"/>
      <c r="G519" s="593">
        <f ca="1">$E519*(SUMIF(INDIRECT(G$3),'Struktur Aktuell'!$D519,INDIRECT(G$4))-SUMIF(INDIRECT(G$3),'Struktur Aktuell'!$D519,INDIRECT(G$5)))</f>
        <v>0</v>
      </c>
      <c r="H519" s="593">
        <f ca="1">$E519*(SUMIF(INDIRECT(H$3),'Struktur Aktuell'!$D519,INDIRECT(H$4))-SUMIF(INDIRECT(H$3),'Struktur Aktuell'!$D519,INDIRECT(H$5)))</f>
        <v>0</v>
      </c>
      <c r="I519" s="593">
        <f ca="1">$E519*(SUMIF(INDIRECT(I$3),'Struktur Aktuell'!$D519,INDIRECT(I$4))-SUMIF(INDIRECT(I$3),'Struktur Aktuell'!$D519,INDIRECT(I$5)))</f>
        <v>0</v>
      </c>
      <c r="J519" s="593">
        <f ca="1">$E519*(SUMIF(INDIRECT(J$3),'Struktur Aktuell'!$D519,INDIRECT(J$4))-SUMIF(INDIRECT(J$3),'Struktur Aktuell'!$D519,INDIRECT(J$5)))</f>
        <v>0</v>
      </c>
      <c r="K519" s="593">
        <f ca="1">$E519*(SUMIF(INDIRECT(K$3),'Struktur Aktuell'!$D519,INDIRECT(K$4))-SUMIF(INDIRECT(K$3),'Struktur Aktuell'!$D519,INDIRECT(K$5)))</f>
        <v>0</v>
      </c>
      <c r="L519" s="593">
        <f ca="1">$E519*(SUMIF(INDIRECT(L$3),'Struktur Aktuell'!$D519,INDIRECT(L$4))-SUMIF(INDIRECT(L$3),'Struktur Aktuell'!$D519,INDIRECT(L$5)))</f>
        <v>0</v>
      </c>
      <c r="M519" s="593">
        <f ca="1">$E519*(SUMIF(INDIRECT(M$3),'Struktur Aktuell'!$D519,INDIRECT(M$4))-SUMIF(INDIRECT(M$3),'Struktur Aktuell'!$D519,INDIRECT(M$5)))</f>
        <v>0</v>
      </c>
      <c r="N519" s="593">
        <f ca="1">$E519*(SUMIF(INDIRECT(N$3),'Struktur Aktuell'!$D519,INDIRECT(N$4))-SUMIF(INDIRECT(N$3),'Struktur Aktuell'!$D519,INDIRECT(N$5)))</f>
        <v>0</v>
      </c>
      <c r="O519" s="593">
        <f ca="1">$E519*(SUMIF(INDIRECT(O$3),'Struktur Aktuell'!$D519,INDIRECT(O$4))-SUMIF(INDIRECT(O$3),'Struktur Aktuell'!$D519,INDIRECT(O$5)))</f>
        <v>0</v>
      </c>
      <c r="P519" s="593">
        <f ca="1">$E519*(SUMIF(INDIRECT(P$3),'Struktur Aktuell'!$D519,INDIRECT(P$4))-SUMIF(INDIRECT(P$3),'Struktur Aktuell'!$D519,INDIRECT(P$5)))</f>
        <v>0</v>
      </c>
      <c r="Q519" s="593">
        <f ca="1">$E519*(SUMIF(INDIRECT(Q$3),'Struktur Aktuell'!$D519,INDIRECT(Q$4))-SUMIF(INDIRECT(Q$3),'Struktur Aktuell'!$D519,INDIRECT(Q$5)))</f>
        <v>0</v>
      </c>
      <c r="R519" s="593">
        <f ca="1">$E519*(SUMIF(INDIRECT(R$3),'Struktur Aktuell'!$D519,INDIRECT(R$4))-SUMIF(INDIRECT(R$3),'Struktur Aktuell'!$D519,INDIRECT(R$5)))</f>
        <v>0</v>
      </c>
      <c r="S519" s="593">
        <f ca="1">$E519*(SUMIF(INDIRECT(S$3),'Struktur Aktuell'!$D519,INDIRECT(S$4))-SUMIF(INDIRECT(S$3),'Struktur Aktuell'!$D519,INDIRECT(S$5)))</f>
        <v>0</v>
      </c>
      <c r="T519" s="593">
        <f ca="1">$E519*(SUMIF(INDIRECT(T$3),'Struktur Aktuell'!$D519,INDIRECT(T$4))-SUMIF(INDIRECT(T$3),'Struktur Aktuell'!$D519,INDIRECT(T$5)))</f>
        <v>0</v>
      </c>
      <c r="U519" s="593">
        <f ca="1">$E519*(SUMIF(INDIRECT(U$3),'Struktur Aktuell'!$D519,INDIRECT(U$4))-SUMIF(INDIRECT(U$3),'Struktur Aktuell'!$D519,INDIRECT(U$5)))</f>
        <v>0</v>
      </c>
      <c r="V519" s="593">
        <f ca="1">$E519*(SUMIF(INDIRECT(V$3),'Struktur Aktuell'!$D519,INDIRECT(V$4))-SUMIF(INDIRECT(V$3),'Struktur Aktuell'!$D519,INDIRECT(V$5)))</f>
        <v>0</v>
      </c>
      <c r="W519" s="593">
        <f ca="1">$E519*(SUMIF(INDIRECT(W$3),'Struktur Aktuell'!$D519,INDIRECT(W$4))-SUMIF(INDIRECT(W$3),'Struktur Aktuell'!$D519,INDIRECT(W$5)))</f>
        <v>0</v>
      </c>
      <c r="X519" s="593">
        <f ca="1">$E519*(SUMIF(INDIRECT(X$3),'Struktur Aktuell'!$D519,INDIRECT(X$4))-SUMIF(INDIRECT(X$3),'Struktur Aktuell'!$D519,INDIRECT(X$5)))</f>
        <v>0</v>
      </c>
      <c r="Y519" s="593">
        <f ca="1">$E519*(SUMIF(INDIRECT(Y$3),'Struktur Aktuell'!$D519,INDIRECT(Y$4))-SUMIF(INDIRECT(Y$3),'Struktur Aktuell'!$D519,INDIRECT(Y$5)))</f>
        <v>0</v>
      </c>
      <c r="Z519" s="593">
        <f ca="1">$E519*(SUMIF(INDIRECT(Z$3),'Struktur Aktuell'!$D519,INDIRECT(Z$4))-SUMIF(INDIRECT(Z$3),'Struktur Aktuell'!$D519,INDIRECT(Z$5)))</f>
        <v>0</v>
      </c>
      <c r="AA519" s="593">
        <f ca="1">$E519*(SUMIF(INDIRECT(AA$3),'Struktur Aktuell'!$D519,INDIRECT(AA$4))-SUMIF(INDIRECT(AA$3),'Struktur Aktuell'!$D519,INDIRECT(AA$5)))</f>
        <v>0</v>
      </c>
      <c r="AB519" s="593">
        <f ca="1">$E519*(SUMIF(INDIRECT(AB$3),'Struktur Aktuell'!$D519,INDIRECT(AB$4))-SUMIF(INDIRECT(AB$3),'Struktur Aktuell'!$D519,INDIRECT(AB$5)))</f>
        <v>0</v>
      </c>
      <c r="AC519" s="593">
        <f ca="1">$E519*(SUMIF(INDIRECT(AC$3),'Struktur Aktuell'!$D519,INDIRECT(AC$4))-SUMIF(INDIRECT(AC$3),'Struktur Aktuell'!$D519,INDIRECT(AC$5)))</f>
        <v>0</v>
      </c>
      <c r="AD519" s="593">
        <f ca="1">$E519*(SUMIF(INDIRECT(AD$3),'Struktur Aktuell'!$D519,INDIRECT(AD$4))-SUMIF(INDIRECT(AD$3),'Struktur Aktuell'!$D519,INDIRECT(AD$5)))</f>
        <v>0</v>
      </c>
      <c r="AE519" s="593">
        <f t="shared" ca="1" si="783"/>
        <v>0</v>
      </c>
      <c r="AF519" s="593">
        <f t="shared" ca="1" si="784"/>
        <v>0</v>
      </c>
      <c r="AG519" s="593">
        <f t="shared" ca="1" si="785"/>
        <v>0</v>
      </c>
      <c r="AH519" s="593">
        <f t="shared" ca="1" si="786"/>
        <v>0</v>
      </c>
      <c r="AI519" s="593">
        <f t="shared" ca="1" si="787"/>
        <v>0</v>
      </c>
      <c r="AJ519" s="593">
        <f t="shared" ca="1" si="788"/>
        <v>0</v>
      </c>
      <c r="AK519" s="593">
        <f t="shared" ca="1" si="789"/>
        <v>0</v>
      </c>
      <c r="AL519" s="593">
        <f t="shared" ca="1" si="790"/>
        <v>0</v>
      </c>
      <c r="AM519" s="593">
        <f t="shared" ca="1" si="791"/>
        <v>0</v>
      </c>
      <c r="AN519" s="593">
        <f t="shared" ca="1" si="792"/>
        <v>0</v>
      </c>
      <c r="AO519" s="593">
        <f t="shared" ca="1" si="793"/>
        <v>0</v>
      </c>
      <c r="AP519" s="593">
        <f t="shared" ca="1" si="794"/>
        <v>0</v>
      </c>
    </row>
    <row r="520" spans="1:42" s="594" customFormat="1" ht="11.25" outlineLevel="1" x14ac:dyDescent="0.2">
      <c r="A520" s="644"/>
      <c r="B520" s="591" t="str">
        <f>IF(D520&lt;&gt;"",
IF(ISERROR(MATCH(D520,'Ist Aktuell Monat 01'!A:A,0))=FALSE,INDEX('Ist Aktuell Monat 01'!B:B,MATCH(D520,'Ist Aktuell Monat 01'!A:A,0)),
IF(ISERROR(MATCH(D520,'Ist Aktuell Monat 02'!A:A,0))=FALSE,INDEX('Ist Aktuell Monat 02'!B:B,MATCH(D520,'Ist Aktuell Monat 02'!A:A,0)),
IF(ISERROR(MATCH(D520,'Ist Aktuell Monat 03'!A:A,0))=FALSE,INDEX('Ist Aktuell Monat 03'!B:B,MATCH(D520,'Ist Aktuell Monat 03'!A:A,0)),
IF(ISERROR(MATCH(D520,'Ist Aktuell Monat 04'!A:A,0))=FALSE,INDEX('Ist Aktuell Monat 04'!B:B,MATCH(D520,'Ist Aktuell Monat 04'!A:A,0)),
IF(ISERROR(MATCH(D520,'Ist Aktuell Monat 05'!A:A,0))=FALSE,INDEX('Ist Aktuell Monat 05'!B:B,MATCH(D520,'Ist Aktuell Monat 05'!A:A,0)),
IF(ISERROR(MATCH(D520,'Ist Aktuell Monat 06'!A:A,0))=FALSE,INDEX('Ist Aktuell Monat 06'!B:B,MATCH(D520,'Ist Aktuell Monat 06'!A:A,0)),
IF(ISERROR(MATCH(D520,'Ist Aktuell Monat 07'!A:A,0))=FALSE,INDEX('Ist Aktuell Monat 07'!B:B,MATCH(D520,'Ist Aktuell Monat 07'!A:A,0)),
IF(ISERROR(MATCH(D520,'Ist Aktuell Monat 08'!A:A,0))=FALSE,INDEX('Ist Aktuell Monat 08'!B:B,MATCH(D520,'Ist Aktuell Monat 08'!A:A,0)),
IF(ISERROR(MATCH(D520,'Ist Aktuell Monat 09'!A:A,0))=FALSE,INDEX('Ist Aktuell Monat 09'!B:B,MATCH(D520,'Ist Aktuell Monat 09'!A:A,0)),
IF(ISERROR(MATCH(D520,'Ist Aktuell Monat 10'!A:A,0))=FALSE,INDEX('Ist Aktuell Monat 10'!B:B,MATCH(D520,'Ist Aktuell Monat 10'!A:A,0)),
IF(ISERROR(MATCH(D520,'Ist Aktuell Monat 11'!A:A,0))=FALSE,INDEX('Ist Aktuell Monat 11'!B:B,MATCH(D520,'Ist Aktuell Monat 11'!A:A,0)),
IF(ISERROR(MATCH(D520,'Ist Aktuell Monat 12'!A:A,0))=FALSE,INDEX('Ist Aktuell Monat 12'!B:B,MATCH(D520,'Ist Aktuell Monat 12'!A:A,0)),
"{Konto unbekannt}"
)))))))))))),"")</f>
        <v/>
      </c>
      <c r="C520" s="1062"/>
      <c r="D520" s="1067"/>
      <c r="E520" s="625">
        <f t="shared" si="795"/>
        <v>1</v>
      </c>
      <c r="F520" s="626"/>
      <c r="G520" s="593">
        <f ca="1">$E520*(SUMIF(INDIRECT(G$3),'Struktur Aktuell'!$D520,INDIRECT(G$4))-SUMIF(INDIRECT(G$3),'Struktur Aktuell'!$D520,INDIRECT(G$5)))</f>
        <v>0</v>
      </c>
      <c r="H520" s="593">
        <f ca="1">$E520*(SUMIF(INDIRECT(H$3),'Struktur Aktuell'!$D520,INDIRECT(H$4))-SUMIF(INDIRECT(H$3),'Struktur Aktuell'!$D520,INDIRECT(H$5)))</f>
        <v>0</v>
      </c>
      <c r="I520" s="593">
        <f ca="1">$E520*(SUMIF(INDIRECT(I$3),'Struktur Aktuell'!$D520,INDIRECT(I$4))-SUMIF(INDIRECT(I$3),'Struktur Aktuell'!$D520,INDIRECT(I$5)))</f>
        <v>0</v>
      </c>
      <c r="J520" s="593">
        <f ca="1">$E520*(SUMIF(INDIRECT(J$3),'Struktur Aktuell'!$D520,INDIRECT(J$4))-SUMIF(INDIRECT(J$3),'Struktur Aktuell'!$D520,INDIRECT(J$5)))</f>
        <v>0</v>
      </c>
      <c r="K520" s="593">
        <f ca="1">$E520*(SUMIF(INDIRECT(K$3),'Struktur Aktuell'!$D520,INDIRECT(K$4))-SUMIF(INDIRECT(K$3),'Struktur Aktuell'!$D520,INDIRECT(K$5)))</f>
        <v>0</v>
      </c>
      <c r="L520" s="593">
        <f ca="1">$E520*(SUMIF(INDIRECT(L$3),'Struktur Aktuell'!$D520,INDIRECT(L$4))-SUMIF(INDIRECT(L$3),'Struktur Aktuell'!$D520,INDIRECT(L$5)))</f>
        <v>0</v>
      </c>
      <c r="M520" s="593">
        <f ca="1">$E520*(SUMIF(INDIRECT(M$3),'Struktur Aktuell'!$D520,INDIRECT(M$4))-SUMIF(INDIRECT(M$3),'Struktur Aktuell'!$D520,INDIRECT(M$5)))</f>
        <v>0</v>
      </c>
      <c r="N520" s="593">
        <f ca="1">$E520*(SUMIF(INDIRECT(N$3),'Struktur Aktuell'!$D520,INDIRECT(N$4))-SUMIF(INDIRECT(N$3),'Struktur Aktuell'!$D520,INDIRECT(N$5)))</f>
        <v>0</v>
      </c>
      <c r="O520" s="593">
        <f ca="1">$E520*(SUMIF(INDIRECT(O$3),'Struktur Aktuell'!$D520,INDIRECT(O$4))-SUMIF(INDIRECT(O$3),'Struktur Aktuell'!$D520,INDIRECT(O$5)))</f>
        <v>0</v>
      </c>
      <c r="P520" s="593">
        <f ca="1">$E520*(SUMIF(INDIRECT(P$3),'Struktur Aktuell'!$D520,INDIRECT(P$4))-SUMIF(INDIRECT(P$3),'Struktur Aktuell'!$D520,INDIRECT(P$5)))</f>
        <v>0</v>
      </c>
      <c r="Q520" s="593">
        <f ca="1">$E520*(SUMIF(INDIRECT(Q$3),'Struktur Aktuell'!$D520,INDIRECT(Q$4))-SUMIF(INDIRECT(Q$3),'Struktur Aktuell'!$D520,INDIRECT(Q$5)))</f>
        <v>0</v>
      </c>
      <c r="R520" s="593">
        <f ca="1">$E520*(SUMIF(INDIRECT(R$3),'Struktur Aktuell'!$D520,INDIRECT(R$4))-SUMIF(INDIRECT(R$3),'Struktur Aktuell'!$D520,INDIRECT(R$5)))</f>
        <v>0</v>
      </c>
      <c r="S520" s="593">
        <f ca="1">$E520*(SUMIF(INDIRECT(S$3),'Struktur Aktuell'!$D520,INDIRECT(S$4))-SUMIF(INDIRECT(S$3),'Struktur Aktuell'!$D520,INDIRECT(S$5)))</f>
        <v>0</v>
      </c>
      <c r="T520" s="593">
        <f ca="1">$E520*(SUMIF(INDIRECT(T$3),'Struktur Aktuell'!$D520,INDIRECT(T$4))-SUMIF(INDIRECT(T$3),'Struktur Aktuell'!$D520,INDIRECT(T$5)))</f>
        <v>0</v>
      </c>
      <c r="U520" s="593">
        <f ca="1">$E520*(SUMIF(INDIRECT(U$3),'Struktur Aktuell'!$D520,INDIRECT(U$4))-SUMIF(INDIRECT(U$3),'Struktur Aktuell'!$D520,INDIRECT(U$5)))</f>
        <v>0</v>
      </c>
      <c r="V520" s="593">
        <f ca="1">$E520*(SUMIF(INDIRECT(V$3),'Struktur Aktuell'!$D520,INDIRECT(V$4))-SUMIF(INDIRECT(V$3),'Struktur Aktuell'!$D520,INDIRECT(V$5)))</f>
        <v>0</v>
      </c>
      <c r="W520" s="593">
        <f ca="1">$E520*(SUMIF(INDIRECT(W$3),'Struktur Aktuell'!$D520,INDIRECT(W$4))-SUMIF(INDIRECT(W$3),'Struktur Aktuell'!$D520,INDIRECT(W$5)))</f>
        <v>0</v>
      </c>
      <c r="X520" s="593">
        <f ca="1">$E520*(SUMIF(INDIRECT(X$3),'Struktur Aktuell'!$D520,INDIRECT(X$4))-SUMIF(INDIRECT(X$3),'Struktur Aktuell'!$D520,INDIRECT(X$5)))</f>
        <v>0</v>
      </c>
      <c r="Y520" s="593">
        <f ca="1">$E520*(SUMIF(INDIRECT(Y$3),'Struktur Aktuell'!$D520,INDIRECT(Y$4))-SUMIF(INDIRECT(Y$3),'Struktur Aktuell'!$D520,INDIRECT(Y$5)))</f>
        <v>0</v>
      </c>
      <c r="Z520" s="593">
        <f ca="1">$E520*(SUMIF(INDIRECT(Z$3),'Struktur Aktuell'!$D520,INDIRECT(Z$4))-SUMIF(INDIRECT(Z$3),'Struktur Aktuell'!$D520,INDIRECT(Z$5)))</f>
        <v>0</v>
      </c>
      <c r="AA520" s="593">
        <f ca="1">$E520*(SUMIF(INDIRECT(AA$3),'Struktur Aktuell'!$D520,INDIRECT(AA$4))-SUMIF(INDIRECT(AA$3),'Struktur Aktuell'!$D520,INDIRECT(AA$5)))</f>
        <v>0</v>
      </c>
      <c r="AB520" s="593">
        <f ca="1">$E520*(SUMIF(INDIRECT(AB$3),'Struktur Aktuell'!$D520,INDIRECT(AB$4))-SUMIF(INDIRECT(AB$3),'Struktur Aktuell'!$D520,INDIRECT(AB$5)))</f>
        <v>0</v>
      </c>
      <c r="AC520" s="593">
        <f ca="1">$E520*(SUMIF(INDIRECT(AC$3),'Struktur Aktuell'!$D520,INDIRECT(AC$4))-SUMIF(INDIRECT(AC$3),'Struktur Aktuell'!$D520,INDIRECT(AC$5)))</f>
        <v>0</v>
      </c>
      <c r="AD520" s="593">
        <f ca="1">$E520*(SUMIF(INDIRECT(AD$3),'Struktur Aktuell'!$D520,INDIRECT(AD$4))-SUMIF(INDIRECT(AD$3),'Struktur Aktuell'!$D520,INDIRECT(AD$5)))</f>
        <v>0</v>
      </c>
      <c r="AE520" s="593">
        <f t="shared" ca="1" si="783"/>
        <v>0</v>
      </c>
      <c r="AF520" s="593">
        <f t="shared" ca="1" si="784"/>
        <v>0</v>
      </c>
      <c r="AG520" s="593">
        <f t="shared" ca="1" si="785"/>
        <v>0</v>
      </c>
      <c r="AH520" s="593">
        <f t="shared" ca="1" si="786"/>
        <v>0</v>
      </c>
      <c r="AI520" s="593">
        <f t="shared" ca="1" si="787"/>
        <v>0</v>
      </c>
      <c r="AJ520" s="593">
        <f t="shared" ca="1" si="788"/>
        <v>0</v>
      </c>
      <c r="AK520" s="593">
        <f t="shared" ca="1" si="789"/>
        <v>0</v>
      </c>
      <c r="AL520" s="593">
        <f t="shared" ca="1" si="790"/>
        <v>0</v>
      </c>
      <c r="AM520" s="593">
        <f t="shared" ca="1" si="791"/>
        <v>0</v>
      </c>
      <c r="AN520" s="593">
        <f t="shared" ca="1" si="792"/>
        <v>0</v>
      </c>
      <c r="AO520" s="593">
        <f t="shared" ca="1" si="793"/>
        <v>0</v>
      </c>
      <c r="AP520" s="593">
        <f t="shared" ca="1" si="794"/>
        <v>0</v>
      </c>
    </row>
    <row r="521" spans="1:42" s="594" customFormat="1" ht="11.25" outlineLevel="1" x14ac:dyDescent="0.2">
      <c r="A521" s="644"/>
      <c r="B521" s="591" t="str">
        <f>IF(D521&lt;&gt;"",
IF(ISERROR(MATCH(D521,'Ist Aktuell Monat 01'!A:A,0))=FALSE,INDEX('Ist Aktuell Monat 01'!B:B,MATCH(D521,'Ist Aktuell Monat 01'!A:A,0)),
IF(ISERROR(MATCH(D521,'Ist Aktuell Monat 02'!A:A,0))=FALSE,INDEX('Ist Aktuell Monat 02'!B:B,MATCH(D521,'Ist Aktuell Monat 02'!A:A,0)),
IF(ISERROR(MATCH(D521,'Ist Aktuell Monat 03'!A:A,0))=FALSE,INDEX('Ist Aktuell Monat 03'!B:B,MATCH(D521,'Ist Aktuell Monat 03'!A:A,0)),
IF(ISERROR(MATCH(D521,'Ist Aktuell Monat 04'!A:A,0))=FALSE,INDEX('Ist Aktuell Monat 04'!B:B,MATCH(D521,'Ist Aktuell Monat 04'!A:A,0)),
IF(ISERROR(MATCH(D521,'Ist Aktuell Monat 05'!A:A,0))=FALSE,INDEX('Ist Aktuell Monat 05'!B:B,MATCH(D521,'Ist Aktuell Monat 05'!A:A,0)),
IF(ISERROR(MATCH(D521,'Ist Aktuell Monat 06'!A:A,0))=FALSE,INDEX('Ist Aktuell Monat 06'!B:B,MATCH(D521,'Ist Aktuell Monat 06'!A:A,0)),
IF(ISERROR(MATCH(D521,'Ist Aktuell Monat 07'!A:A,0))=FALSE,INDEX('Ist Aktuell Monat 07'!B:B,MATCH(D521,'Ist Aktuell Monat 07'!A:A,0)),
IF(ISERROR(MATCH(D521,'Ist Aktuell Monat 08'!A:A,0))=FALSE,INDEX('Ist Aktuell Monat 08'!B:B,MATCH(D521,'Ist Aktuell Monat 08'!A:A,0)),
IF(ISERROR(MATCH(D521,'Ist Aktuell Monat 09'!A:A,0))=FALSE,INDEX('Ist Aktuell Monat 09'!B:B,MATCH(D521,'Ist Aktuell Monat 09'!A:A,0)),
IF(ISERROR(MATCH(D521,'Ist Aktuell Monat 10'!A:A,0))=FALSE,INDEX('Ist Aktuell Monat 10'!B:B,MATCH(D521,'Ist Aktuell Monat 10'!A:A,0)),
IF(ISERROR(MATCH(D521,'Ist Aktuell Monat 11'!A:A,0))=FALSE,INDEX('Ist Aktuell Monat 11'!B:B,MATCH(D521,'Ist Aktuell Monat 11'!A:A,0)),
IF(ISERROR(MATCH(D521,'Ist Aktuell Monat 12'!A:A,0))=FALSE,INDEX('Ist Aktuell Monat 12'!B:B,MATCH(D521,'Ist Aktuell Monat 12'!A:A,0)),
"{Konto unbekannt}"
)))))))))))),"")</f>
        <v/>
      </c>
      <c r="C521" s="1062"/>
      <c r="D521" s="1067"/>
      <c r="E521" s="625">
        <f t="shared" si="795"/>
        <v>1</v>
      </c>
      <c r="F521" s="626"/>
      <c r="G521" s="593">
        <f ca="1">$E521*(SUMIF(INDIRECT(G$3),'Struktur Aktuell'!$D521,INDIRECT(G$4))-SUMIF(INDIRECT(G$3),'Struktur Aktuell'!$D521,INDIRECT(G$5)))</f>
        <v>0</v>
      </c>
      <c r="H521" s="593">
        <f ca="1">$E521*(SUMIF(INDIRECT(H$3),'Struktur Aktuell'!$D521,INDIRECT(H$4))-SUMIF(INDIRECT(H$3),'Struktur Aktuell'!$D521,INDIRECT(H$5)))</f>
        <v>0</v>
      </c>
      <c r="I521" s="593">
        <f ca="1">$E521*(SUMIF(INDIRECT(I$3),'Struktur Aktuell'!$D521,INDIRECT(I$4))-SUMIF(INDIRECT(I$3),'Struktur Aktuell'!$D521,INDIRECT(I$5)))</f>
        <v>0</v>
      </c>
      <c r="J521" s="593">
        <f ca="1">$E521*(SUMIF(INDIRECT(J$3),'Struktur Aktuell'!$D521,INDIRECT(J$4))-SUMIF(INDIRECT(J$3),'Struktur Aktuell'!$D521,INDIRECT(J$5)))</f>
        <v>0</v>
      </c>
      <c r="K521" s="593">
        <f ca="1">$E521*(SUMIF(INDIRECT(K$3),'Struktur Aktuell'!$D521,INDIRECT(K$4))-SUMIF(INDIRECT(K$3),'Struktur Aktuell'!$D521,INDIRECT(K$5)))</f>
        <v>0</v>
      </c>
      <c r="L521" s="593">
        <f ca="1">$E521*(SUMIF(INDIRECT(L$3),'Struktur Aktuell'!$D521,INDIRECT(L$4))-SUMIF(INDIRECT(L$3),'Struktur Aktuell'!$D521,INDIRECT(L$5)))</f>
        <v>0</v>
      </c>
      <c r="M521" s="593">
        <f ca="1">$E521*(SUMIF(INDIRECT(M$3),'Struktur Aktuell'!$D521,INDIRECT(M$4))-SUMIF(INDIRECT(M$3),'Struktur Aktuell'!$D521,INDIRECT(M$5)))</f>
        <v>0</v>
      </c>
      <c r="N521" s="593">
        <f ca="1">$E521*(SUMIF(INDIRECT(N$3),'Struktur Aktuell'!$D521,INDIRECT(N$4))-SUMIF(INDIRECT(N$3),'Struktur Aktuell'!$D521,INDIRECT(N$5)))</f>
        <v>0</v>
      </c>
      <c r="O521" s="593">
        <f ca="1">$E521*(SUMIF(INDIRECT(O$3),'Struktur Aktuell'!$D521,INDIRECT(O$4))-SUMIF(INDIRECT(O$3),'Struktur Aktuell'!$D521,INDIRECT(O$5)))</f>
        <v>0</v>
      </c>
      <c r="P521" s="593">
        <f ca="1">$E521*(SUMIF(INDIRECT(P$3),'Struktur Aktuell'!$D521,INDIRECT(P$4))-SUMIF(INDIRECT(P$3),'Struktur Aktuell'!$D521,INDIRECT(P$5)))</f>
        <v>0</v>
      </c>
      <c r="Q521" s="593">
        <f ca="1">$E521*(SUMIF(INDIRECT(Q$3),'Struktur Aktuell'!$D521,INDIRECT(Q$4))-SUMIF(INDIRECT(Q$3),'Struktur Aktuell'!$D521,INDIRECT(Q$5)))</f>
        <v>0</v>
      </c>
      <c r="R521" s="593">
        <f ca="1">$E521*(SUMIF(INDIRECT(R$3),'Struktur Aktuell'!$D521,INDIRECT(R$4))-SUMIF(INDIRECT(R$3),'Struktur Aktuell'!$D521,INDIRECT(R$5)))</f>
        <v>0</v>
      </c>
      <c r="S521" s="593">
        <f ca="1">$E521*(SUMIF(INDIRECT(S$3),'Struktur Aktuell'!$D521,INDIRECT(S$4))-SUMIF(INDIRECT(S$3),'Struktur Aktuell'!$D521,INDIRECT(S$5)))</f>
        <v>0</v>
      </c>
      <c r="T521" s="593">
        <f ca="1">$E521*(SUMIF(INDIRECT(T$3),'Struktur Aktuell'!$D521,INDIRECT(T$4))-SUMIF(INDIRECT(T$3),'Struktur Aktuell'!$D521,INDIRECT(T$5)))</f>
        <v>0</v>
      </c>
      <c r="U521" s="593">
        <f ca="1">$E521*(SUMIF(INDIRECT(U$3),'Struktur Aktuell'!$D521,INDIRECT(U$4))-SUMIF(INDIRECT(U$3),'Struktur Aktuell'!$D521,INDIRECT(U$5)))</f>
        <v>0</v>
      </c>
      <c r="V521" s="593">
        <f ca="1">$E521*(SUMIF(INDIRECT(V$3),'Struktur Aktuell'!$D521,INDIRECT(V$4))-SUMIF(INDIRECT(V$3),'Struktur Aktuell'!$D521,INDIRECT(V$5)))</f>
        <v>0</v>
      </c>
      <c r="W521" s="593">
        <f ca="1">$E521*(SUMIF(INDIRECT(W$3),'Struktur Aktuell'!$D521,INDIRECT(W$4))-SUMIF(INDIRECT(W$3),'Struktur Aktuell'!$D521,INDIRECT(W$5)))</f>
        <v>0</v>
      </c>
      <c r="X521" s="593">
        <f ca="1">$E521*(SUMIF(INDIRECT(X$3),'Struktur Aktuell'!$D521,INDIRECT(X$4))-SUMIF(INDIRECT(X$3),'Struktur Aktuell'!$D521,INDIRECT(X$5)))</f>
        <v>0</v>
      </c>
      <c r="Y521" s="593">
        <f ca="1">$E521*(SUMIF(INDIRECT(Y$3),'Struktur Aktuell'!$D521,INDIRECT(Y$4))-SUMIF(INDIRECT(Y$3),'Struktur Aktuell'!$D521,INDIRECT(Y$5)))</f>
        <v>0</v>
      </c>
      <c r="Z521" s="593">
        <f ca="1">$E521*(SUMIF(INDIRECT(Z$3),'Struktur Aktuell'!$D521,INDIRECT(Z$4))-SUMIF(INDIRECT(Z$3),'Struktur Aktuell'!$D521,INDIRECT(Z$5)))</f>
        <v>0</v>
      </c>
      <c r="AA521" s="593">
        <f ca="1">$E521*(SUMIF(INDIRECT(AA$3),'Struktur Aktuell'!$D521,INDIRECT(AA$4))-SUMIF(INDIRECT(AA$3),'Struktur Aktuell'!$D521,INDIRECT(AA$5)))</f>
        <v>0</v>
      </c>
      <c r="AB521" s="593">
        <f ca="1">$E521*(SUMIF(INDIRECT(AB$3),'Struktur Aktuell'!$D521,INDIRECT(AB$4))-SUMIF(INDIRECT(AB$3),'Struktur Aktuell'!$D521,INDIRECT(AB$5)))</f>
        <v>0</v>
      </c>
      <c r="AC521" s="593">
        <f ca="1">$E521*(SUMIF(INDIRECT(AC$3),'Struktur Aktuell'!$D521,INDIRECT(AC$4))-SUMIF(INDIRECT(AC$3),'Struktur Aktuell'!$D521,INDIRECT(AC$5)))</f>
        <v>0</v>
      </c>
      <c r="AD521" s="593">
        <f ca="1">$E521*(SUMIF(INDIRECT(AD$3),'Struktur Aktuell'!$D521,INDIRECT(AD$4))-SUMIF(INDIRECT(AD$3),'Struktur Aktuell'!$D521,INDIRECT(AD$5)))</f>
        <v>0</v>
      </c>
      <c r="AE521" s="593">
        <f t="shared" ca="1" si="783"/>
        <v>0</v>
      </c>
      <c r="AF521" s="593">
        <f t="shared" ca="1" si="784"/>
        <v>0</v>
      </c>
      <c r="AG521" s="593">
        <f t="shared" ca="1" si="785"/>
        <v>0</v>
      </c>
      <c r="AH521" s="593">
        <f t="shared" ca="1" si="786"/>
        <v>0</v>
      </c>
      <c r="AI521" s="593">
        <f t="shared" ca="1" si="787"/>
        <v>0</v>
      </c>
      <c r="AJ521" s="593">
        <f t="shared" ca="1" si="788"/>
        <v>0</v>
      </c>
      <c r="AK521" s="593">
        <f t="shared" ca="1" si="789"/>
        <v>0</v>
      </c>
      <c r="AL521" s="593">
        <f t="shared" ca="1" si="790"/>
        <v>0</v>
      </c>
      <c r="AM521" s="593">
        <f t="shared" ca="1" si="791"/>
        <v>0</v>
      </c>
      <c r="AN521" s="593">
        <f t="shared" ca="1" si="792"/>
        <v>0</v>
      </c>
      <c r="AO521" s="593">
        <f t="shared" ca="1" si="793"/>
        <v>0</v>
      </c>
      <c r="AP521" s="593">
        <f t="shared" ca="1" si="794"/>
        <v>0</v>
      </c>
    </row>
    <row r="522" spans="1:42" s="594" customFormat="1" ht="11.25" outlineLevel="1" x14ac:dyDescent="0.2">
      <c r="A522" s="644"/>
      <c r="B522" s="591" t="str">
        <f>IF(D522&lt;&gt;"",
IF(ISERROR(MATCH(D522,'Ist Aktuell Monat 01'!A:A,0))=FALSE,INDEX('Ist Aktuell Monat 01'!B:B,MATCH(D522,'Ist Aktuell Monat 01'!A:A,0)),
IF(ISERROR(MATCH(D522,'Ist Aktuell Monat 02'!A:A,0))=FALSE,INDEX('Ist Aktuell Monat 02'!B:B,MATCH(D522,'Ist Aktuell Monat 02'!A:A,0)),
IF(ISERROR(MATCH(D522,'Ist Aktuell Monat 03'!A:A,0))=FALSE,INDEX('Ist Aktuell Monat 03'!B:B,MATCH(D522,'Ist Aktuell Monat 03'!A:A,0)),
IF(ISERROR(MATCH(D522,'Ist Aktuell Monat 04'!A:A,0))=FALSE,INDEX('Ist Aktuell Monat 04'!B:B,MATCH(D522,'Ist Aktuell Monat 04'!A:A,0)),
IF(ISERROR(MATCH(D522,'Ist Aktuell Monat 05'!A:A,0))=FALSE,INDEX('Ist Aktuell Monat 05'!B:B,MATCH(D522,'Ist Aktuell Monat 05'!A:A,0)),
IF(ISERROR(MATCH(D522,'Ist Aktuell Monat 06'!A:A,0))=FALSE,INDEX('Ist Aktuell Monat 06'!B:B,MATCH(D522,'Ist Aktuell Monat 06'!A:A,0)),
IF(ISERROR(MATCH(D522,'Ist Aktuell Monat 07'!A:A,0))=FALSE,INDEX('Ist Aktuell Monat 07'!B:B,MATCH(D522,'Ist Aktuell Monat 07'!A:A,0)),
IF(ISERROR(MATCH(D522,'Ist Aktuell Monat 08'!A:A,0))=FALSE,INDEX('Ist Aktuell Monat 08'!B:B,MATCH(D522,'Ist Aktuell Monat 08'!A:A,0)),
IF(ISERROR(MATCH(D522,'Ist Aktuell Monat 09'!A:A,0))=FALSE,INDEX('Ist Aktuell Monat 09'!B:B,MATCH(D522,'Ist Aktuell Monat 09'!A:A,0)),
IF(ISERROR(MATCH(D522,'Ist Aktuell Monat 10'!A:A,0))=FALSE,INDEX('Ist Aktuell Monat 10'!B:B,MATCH(D522,'Ist Aktuell Monat 10'!A:A,0)),
IF(ISERROR(MATCH(D522,'Ist Aktuell Monat 11'!A:A,0))=FALSE,INDEX('Ist Aktuell Monat 11'!B:B,MATCH(D522,'Ist Aktuell Monat 11'!A:A,0)),
IF(ISERROR(MATCH(D522,'Ist Aktuell Monat 12'!A:A,0))=FALSE,INDEX('Ist Aktuell Monat 12'!B:B,MATCH(D522,'Ist Aktuell Monat 12'!A:A,0)),
"{Konto unbekannt}"
)))))))))))),"")</f>
        <v/>
      </c>
      <c r="C522" s="1062"/>
      <c r="D522" s="1067"/>
      <c r="E522" s="625">
        <f t="shared" si="795"/>
        <v>1</v>
      </c>
      <c r="F522" s="626"/>
      <c r="G522" s="593">
        <f ca="1">$E522*(SUMIF(INDIRECT(G$3),'Struktur Aktuell'!$D522,INDIRECT(G$4))-SUMIF(INDIRECT(G$3),'Struktur Aktuell'!$D522,INDIRECT(G$5)))</f>
        <v>0</v>
      </c>
      <c r="H522" s="593">
        <f ca="1">$E522*(SUMIF(INDIRECT(H$3),'Struktur Aktuell'!$D522,INDIRECT(H$4))-SUMIF(INDIRECT(H$3),'Struktur Aktuell'!$D522,INDIRECT(H$5)))</f>
        <v>0</v>
      </c>
      <c r="I522" s="593">
        <f ca="1">$E522*(SUMIF(INDIRECT(I$3),'Struktur Aktuell'!$D522,INDIRECT(I$4))-SUMIF(INDIRECT(I$3),'Struktur Aktuell'!$D522,INDIRECT(I$5)))</f>
        <v>0</v>
      </c>
      <c r="J522" s="593">
        <f ca="1">$E522*(SUMIF(INDIRECT(J$3),'Struktur Aktuell'!$D522,INDIRECT(J$4))-SUMIF(INDIRECT(J$3),'Struktur Aktuell'!$D522,INDIRECT(J$5)))</f>
        <v>0</v>
      </c>
      <c r="K522" s="593">
        <f ca="1">$E522*(SUMIF(INDIRECT(K$3),'Struktur Aktuell'!$D522,INDIRECT(K$4))-SUMIF(INDIRECT(K$3),'Struktur Aktuell'!$D522,INDIRECT(K$5)))</f>
        <v>0</v>
      </c>
      <c r="L522" s="593">
        <f ca="1">$E522*(SUMIF(INDIRECT(L$3),'Struktur Aktuell'!$D522,INDIRECT(L$4))-SUMIF(INDIRECT(L$3),'Struktur Aktuell'!$D522,INDIRECT(L$5)))</f>
        <v>0</v>
      </c>
      <c r="M522" s="593">
        <f ca="1">$E522*(SUMIF(INDIRECT(M$3),'Struktur Aktuell'!$D522,INDIRECT(M$4))-SUMIF(INDIRECT(M$3),'Struktur Aktuell'!$D522,INDIRECT(M$5)))</f>
        <v>0</v>
      </c>
      <c r="N522" s="593">
        <f ca="1">$E522*(SUMIF(INDIRECT(N$3),'Struktur Aktuell'!$D522,INDIRECT(N$4))-SUMIF(INDIRECT(N$3),'Struktur Aktuell'!$D522,INDIRECT(N$5)))</f>
        <v>0</v>
      </c>
      <c r="O522" s="593">
        <f ca="1">$E522*(SUMIF(INDIRECT(O$3),'Struktur Aktuell'!$D522,INDIRECT(O$4))-SUMIF(INDIRECT(O$3),'Struktur Aktuell'!$D522,INDIRECT(O$5)))</f>
        <v>0</v>
      </c>
      <c r="P522" s="593">
        <f ca="1">$E522*(SUMIF(INDIRECT(P$3),'Struktur Aktuell'!$D522,INDIRECT(P$4))-SUMIF(INDIRECT(P$3),'Struktur Aktuell'!$D522,INDIRECT(P$5)))</f>
        <v>0</v>
      </c>
      <c r="Q522" s="593">
        <f ca="1">$E522*(SUMIF(INDIRECT(Q$3),'Struktur Aktuell'!$D522,INDIRECT(Q$4))-SUMIF(INDIRECT(Q$3),'Struktur Aktuell'!$D522,INDIRECT(Q$5)))</f>
        <v>0</v>
      </c>
      <c r="R522" s="593">
        <f ca="1">$E522*(SUMIF(INDIRECT(R$3),'Struktur Aktuell'!$D522,INDIRECT(R$4))-SUMIF(INDIRECT(R$3),'Struktur Aktuell'!$D522,INDIRECT(R$5)))</f>
        <v>0</v>
      </c>
      <c r="S522" s="593">
        <f ca="1">$E522*(SUMIF(INDIRECT(S$3),'Struktur Aktuell'!$D522,INDIRECT(S$4))-SUMIF(INDIRECT(S$3),'Struktur Aktuell'!$D522,INDIRECT(S$5)))</f>
        <v>0</v>
      </c>
      <c r="T522" s="593">
        <f ca="1">$E522*(SUMIF(INDIRECT(T$3),'Struktur Aktuell'!$D522,INDIRECT(T$4))-SUMIF(INDIRECT(T$3),'Struktur Aktuell'!$D522,INDIRECT(T$5)))</f>
        <v>0</v>
      </c>
      <c r="U522" s="593">
        <f ca="1">$E522*(SUMIF(INDIRECT(U$3),'Struktur Aktuell'!$D522,INDIRECT(U$4))-SUMIF(INDIRECT(U$3),'Struktur Aktuell'!$D522,INDIRECT(U$5)))</f>
        <v>0</v>
      </c>
      <c r="V522" s="593">
        <f ca="1">$E522*(SUMIF(INDIRECT(V$3),'Struktur Aktuell'!$D522,INDIRECT(V$4))-SUMIF(INDIRECT(V$3),'Struktur Aktuell'!$D522,INDIRECT(V$5)))</f>
        <v>0</v>
      </c>
      <c r="W522" s="593">
        <f ca="1">$E522*(SUMIF(INDIRECT(W$3),'Struktur Aktuell'!$D522,INDIRECT(W$4))-SUMIF(INDIRECT(W$3),'Struktur Aktuell'!$D522,INDIRECT(W$5)))</f>
        <v>0</v>
      </c>
      <c r="X522" s="593">
        <f ca="1">$E522*(SUMIF(INDIRECT(X$3),'Struktur Aktuell'!$D522,INDIRECT(X$4))-SUMIF(INDIRECT(X$3),'Struktur Aktuell'!$D522,INDIRECT(X$5)))</f>
        <v>0</v>
      </c>
      <c r="Y522" s="593">
        <f ca="1">$E522*(SUMIF(INDIRECT(Y$3),'Struktur Aktuell'!$D522,INDIRECT(Y$4))-SUMIF(INDIRECT(Y$3),'Struktur Aktuell'!$D522,INDIRECT(Y$5)))</f>
        <v>0</v>
      </c>
      <c r="Z522" s="593">
        <f ca="1">$E522*(SUMIF(INDIRECT(Z$3),'Struktur Aktuell'!$D522,INDIRECT(Z$4))-SUMIF(INDIRECT(Z$3),'Struktur Aktuell'!$D522,INDIRECT(Z$5)))</f>
        <v>0</v>
      </c>
      <c r="AA522" s="593">
        <f ca="1">$E522*(SUMIF(INDIRECT(AA$3),'Struktur Aktuell'!$D522,INDIRECT(AA$4))-SUMIF(INDIRECT(AA$3),'Struktur Aktuell'!$D522,INDIRECT(AA$5)))</f>
        <v>0</v>
      </c>
      <c r="AB522" s="593">
        <f ca="1">$E522*(SUMIF(INDIRECT(AB$3),'Struktur Aktuell'!$D522,INDIRECT(AB$4))-SUMIF(INDIRECT(AB$3),'Struktur Aktuell'!$D522,INDIRECT(AB$5)))</f>
        <v>0</v>
      </c>
      <c r="AC522" s="593">
        <f ca="1">$E522*(SUMIF(INDIRECT(AC$3),'Struktur Aktuell'!$D522,INDIRECT(AC$4))-SUMIF(INDIRECT(AC$3),'Struktur Aktuell'!$D522,INDIRECT(AC$5)))</f>
        <v>0</v>
      </c>
      <c r="AD522" s="593">
        <f ca="1">$E522*(SUMIF(INDIRECT(AD$3),'Struktur Aktuell'!$D522,INDIRECT(AD$4))-SUMIF(INDIRECT(AD$3),'Struktur Aktuell'!$D522,INDIRECT(AD$5)))</f>
        <v>0</v>
      </c>
      <c r="AE522" s="593">
        <f t="shared" ca="1" si="783"/>
        <v>0</v>
      </c>
      <c r="AF522" s="593">
        <f t="shared" ca="1" si="784"/>
        <v>0</v>
      </c>
      <c r="AG522" s="593">
        <f t="shared" ca="1" si="785"/>
        <v>0</v>
      </c>
      <c r="AH522" s="593">
        <f t="shared" ca="1" si="786"/>
        <v>0</v>
      </c>
      <c r="AI522" s="593">
        <f t="shared" ca="1" si="787"/>
        <v>0</v>
      </c>
      <c r="AJ522" s="593">
        <f t="shared" ca="1" si="788"/>
        <v>0</v>
      </c>
      <c r="AK522" s="593">
        <f t="shared" ca="1" si="789"/>
        <v>0</v>
      </c>
      <c r="AL522" s="593">
        <f t="shared" ca="1" si="790"/>
        <v>0</v>
      </c>
      <c r="AM522" s="593">
        <f t="shared" ca="1" si="791"/>
        <v>0</v>
      </c>
      <c r="AN522" s="593">
        <f t="shared" ca="1" si="792"/>
        <v>0</v>
      </c>
      <c r="AO522" s="593">
        <f t="shared" ca="1" si="793"/>
        <v>0</v>
      </c>
      <c r="AP522" s="593">
        <f t="shared" ca="1" si="794"/>
        <v>0</v>
      </c>
    </row>
    <row r="523" spans="1:42" s="594" customFormat="1" ht="11.25" outlineLevel="1" x14ac:dyDescent="0.2">
      <c r="A523" s="644"/>
      <c r="B523" s="591" t="str">
        <f>IF(D523&lt;&gt;"",
IF(ISERROR(MATCH(D523,'Ist Aktuell Monat 01'!A:A,0))=FALSE,INDEX('Ist Aktuell Monat 01'!B:B,MATCH(D523,'Ist Aktuell Monat 01'!A:A,0)),
IF(ISERROR(MATCH(D523,'Ist Aktuell Monat 02'!A:A,0))=FALSE,INDEX('Ist Aktuell Monat 02'!B:B,MATCH(D523,'Ist Aktuell Monat 02'!A:A,0)),
IF(ISERROR(MATCH(D523,'Ist Aktuell Monat 03'!A:A,0))=FALSE,INDEX('Ist Aktuell Monat 03'!B:B,MATCH(D523,'Ist Aktuell Monat 03'!A:A,0)),
IF(ISERROR(MATCH(D523,'Ist Aktuell Monat 04'!A:A,0))=FALSE,INDEX('Ist Aktuell Monat 04'!B:B,MATCH(D523,'Ist Aktuell Monat 04'!A:A,0)),
IF(ISERROR(MATCH(D523,'Ist Aktuell Monat 05'!A:A,0))=FALSE,INDEX('Ist Aktuell Monat 05'!B:B,MATCH(D523,'Ist Aktuell Monat 05'!A:A,0)),
IF(ISERROR(MATCH(D523,'Ist Aktuell Monat 06'!A:A,0))=FALSE,INDEX('Ist Aktuell Monat 06'!B:B,MATCH(D523,'Ist Aktuell Monat 06'!A:A,0)),
IF(ISERROR(MATCH(D523,'Ist Aktuell Monat 07'!A:A,0))=FALSE,INDEX('Ist Aktuell Monat 07'!B:B,MATCH(D523,'Ist Aktuell Monat 07'!A:A,0)),
IF(ISERROR(MATCH(D523,'Ist Aktuell Monat 08'!A:A,0))=FALSE,INDEX('Ist Aktuell Monat 08'!B:B,MATCH(D523,'Ist Aktuell Monat 08'!A:A,0)),
IF(ISERROR(MATCH(D523,'Ist Aktuell Monat 09'!A:A,0))=FALSE,INDEX('Ist Aktuell Monat 09'!B:B,MATCH(D523,'Ist Aktuell Monat 09'!A:A,0)),
IF(ISERROR(MATCH(D523,'Ist Aktuell Monat 10'!A:A,0))=FALSE,INDEX('Ist Aktuell Monat 10'!B:B,MATCH(D523,'Ist Aktuell Monat 10'!A:A,0)),
IF(ISERROR(MATCH(D523,'Ist Aktuell Monat 11'!A:A,0))=FALSE,INDEX('Ist Aktuell Monat 11'!B:B,MATCH(D523,'Ist Aktuell Monat 11'!A:A,0)),
IF(ISERROR(MATCH(D523,'Ist Aktuell Monat 12'!A:A,0))=FALSE,INDEX('Ist Aktuell Monat 12'!B:B,MATCH(D523,'Ist Aktuell Monat 12'!A:A,0)),
"{Konto unbekannt}"
)))))))))))),"")</f>
        <v/>
      </c>
      <c r="C523" s="1062"/>
      <c r="D523" s="1067"/>
      <c r="E523" s="625">
        <f t="shared" si="727"/>
        <v>1</v>
      </c>
      <c r="F523" s="626"/>
      <c r="G523" s="593">
        <f ca="1">$E523*(SUMIF(INDIRECT(G$3),'Struktur Aktuell'!$D523,INDIRECT(G$4))-SUMIF(INDIRECT(G$3),'Struktur Aktuell'!$D523,INDIRECT(G$5)))</f>
        <v>0</v>
      </c>
      <c r="H523" s="593">
        <f ca="1">$E523*(SUMIF(INDIRECT(H$3),'Struktur Aktuell'!$D523,INDIRECT(H$4))-SUMIF(INDIRECT(H$3),'Struktur Aktuell'!$D523,INDIRECT(H$5)))</f>
        <v>0</v>
      </c>
      <c r="I523" s="593">
        <f ca="1">$E523*(SUMIF(INDIRECT(I$3),'Struktur Aktuell'!$D523,INDIRECT(I$4))-SUMIF(INDIRECT(I$3),'Struktur Aktuell'!$D523,INDIRECT(I$5)))</f>
        <v>0</v>
      </c>
      <c r="J523" s="593">
        <f ca="1">$E523*(SUMIF(INDIRECT(J$3),'Struktur Aktuell'!$D523,INDIRECT(J$4))-SUMIF(INDIRECT(J$3),'Struktur Aktuell'!$D523,INDIRECT(J$5)))</f>
        <v>0</v>
      </c>
      <c r="K523" s="593">
        <f ca="1">$E523*(SUMIF(INDIRECT(K$3),'Struktur Aktuell'!$D523,INDIRECT(K$4))-SUMIF(INDIRECT(K$3),'Struktur Aktuell'!$D523,INDIRECT(K$5)))</f>
        <v>0</v>
      </c>
      <c r="L523" s="593">
        <f ca="1">$E523*(SUMIF(INDIRECT(L$3),'Struktur Aktuell'!$D523,INDIRECT(L$4))-SUMIF(INDIRECT(L$3),'Struktur Aktuell'!$D523,INDIRECT(L$5)))</f>
        <v>0</v>
      </c>
      <c r="M523" s="593">
        <f ca="1">$E523*(SUMIF(INDIRECT(M$3),'Struktur Aktuell'!$D523,INDIRECT(M$4))-SUMIF(INDIRECT(M$3),'Struktur Aktuell'!$D523,INDIRECT(M$5)))</f>
        <v>0</v>
      </c>
      <c r="N523" s="593">
        <f ca="1">$E523*(SUMIF(INDIRECT(N$3),'Struktur Aktuell'!$D523,INDIRECT(N$4))-SUMIF(INDIRECT(N$3),'Struktur Aktuell'!$D523,INDIRECT(N$5)))</f>
        <v>0</v>
      </c>
      <c r="O523" s="593">
        <f ca="1">$E523*(SUMIF(INDIRECT(O$3),'Struktur Aktuell'!$D523,INDIRECT(O$4))-SUMIF(INDIRECT(O$3),'Struktur Aktuell'!$D523,INDIRECT(O$5)))</f>
        <v>0</v>
      </c>
      <c r="P523" s="593">
        <f ca="1">$E523*(SUMIF(INDIRECT(P$3),'Struktur Aktuell'!$D523,INDIRECT(P$4))-SUMIF(INDIRECT(P$3),'Struktur Aktuell'!$D523,INDIRECT(P$5)))</f>
        <v>0</v>
      </c>
      <c r="Q523" s="593">
        <f ca="1">$E523*(SUMIF(INDIRECT(Q$3),'Struktur Aktuell'!$D523,INDIRECT(Q$4))-SUMIF(INDIRECT(Q$3),'Struktur Aktuell'!$D523,INDIRECT(Q$5)))</f>
        <v>0</v>
      </c>
      <c r="R523" s="593">
        <f ca="1">$E523*(SUMIF(INDIRECT(R$3),'Struktur Aktuell'!$D523,INDIRECT(R$4))-SUMIF(INDIRECT(R$3),'Struktur Aktuell'!$D523,INDIRECT(R$5)))</f>
        <v>0</v>
      </c>
      <c r="S523" s="593">
        <f ca="1">$E523*(SUMIF(INDIRECT(S$3),'Struktur Aktuell'!$D523,INDIRECT(S$4))-SUMIF(INDIRECT(S$3),'Struktur Aktuell'!$D523,INDIRECT(S$5)))</f>
        <v>0</v>
      </c>
      <c r="T523" s="593">
        <f ca="1">$E523*(SUMIF(INDIRECT(T$3),'Struktur Aktuell'!$D523,INDIRECT(T$4))-SUMIF(INDIRECT(T$3),'Struktur Aktuell'!$D523,INDIRECT(T$5)))</f>
        <v>0</v>
      </c>
      <c r="U523" s="593">
        <f ca="1">$E523*(SUMIF(INDIRECT(U$3),'Struktur Aktuell'!$D523,INDIRECT(U$4))-SUMIF(INDIRECT(U$3),'Struktur Aktuell'!$D523,INDIRECT(U$5)))</f>
        <v>0</v>
      </c>
      <c r="V523" s="593">
        <f ca="1">$E523*(SUMIF(INDIRECT(V$3),'Struktur Aktuell'!$D523,INDIRECT(V$4))-SUMIF(INDIRECT(V$3),'Struktur Aktuell'!$D523,INDIRECT(V$5)))</f>
        <v>0</v>
      </c>
      <c r="W523" s="593">
        <f ca="1">$E523*(SUMIF(INDIRECT(W$3),'Struktur Aktuell'!$D523,INDIRECT(W$4))-SUMIF(INDIRECT(W$3),'Struktur Aktuell'!$D523,INDIRECT(W$5)))</f>
        <v>0</v>
      </c>
      <c r="X523" s="593">
        <f ca="1">$E523*(SUMIF(INDIRECT(X$3),'Struktur Aktuell'!$D523,INDIRECT(X$4))-SUMIF(INDIRECT(X$3),'Struktur Aktuell'!$D523,INDIRECT(X$5)))</f>
        <v>0</v>
      </c>
      <c r="Y523" s="593">
        <f ca="1">$E523*(SUMIF(INDIRECT(Y$3),'Struktur Aktuell'!$D523,INDIRECT(Y$4))-SUMIF(INDIRECT(Y$3),'Struktur Aktuell'!$D523,INDIRECT(Y$5)))</f>
        <v>0</v>
      </c>
      <c r="Z523" s="593">
        <f ca="1">$E523*(SUMIF(INDIRECT(Z$3),'Struktur Aktuell'!$D523,INDIRECT(Z$4))-SUMIF(INDIRECT(Z$3),'Struktur Aktuell'!$D523,INDIRECT(Z$5)))</f>
        <v>0</v>
      </c>
      <c r="AA523" s="593">
        <f ca="1">$E523*(SUMIF(INDIRECT(AA$3),'Struktur Aktuell'!$D523,INDIRECT(AA$4))-SUMIF(INDIRECT(AA$3),'Struktur Aktuell'!$D523,INDIRECT(AA$5)))</f>
        <v>0</v>
      </c>
      <c r="AB523" s="593">
        <f ca="1">$E523*(SUMIF(INDIRECT(AB$3),'Struktur Aktuell'!$D523,INDIRECT(AB$4))-SUMIF(INDIRECT(AB$3),'Struktur Aktuell'!$D523,INDIRECT(AB$5)))</f>
        <v>0</v>
      </c>
      <c r="AC523" s="593">
        <f ca="1">$E523*(SUMIF(INDIRECT(AC$3),'Struktur Aktuell'!$D523,INDIRECT(AC$4))-SUMIF(INDIRECT(AC$3),'Struktur Aktuell'!$D523,INDIRECT(AC$5)))</f>
        <v>0</v>
      </c>
      <c r="AD523" s="593">
        <f ca="1">$E523*(SUMIF(INDIRECT(AD$3),'Struktur Aktuell'!$D523,INDIRECT(AD$4))-SUMIF(INDIRECT(AD$3),'Struktur Aktuell'!$D523,INDIRECT(AD$5)))</f>
        <v>0</v>
      </c>
      <c r="AE523" s="593">
        <f t="shared" ca="1" si="783"/>
        <v>0</v>
      </c>
      <c r="AF523" s="593">
        <f t="shared" ca="1" si="784"/>
        <v>0</v>
      </c>
      <c r="AG523" s="593">
        <f t="shared" ca="1" si="785"/>
        <v>0</v>
      </c>
      <c r="AH523" s="593">
        <f t="shared" ca="1" si="786"/>
        <v>0</v>
      </c>
      <c r="AI523" s="593">
        <f t="shared" ca="1" si="787"/>
        <v>0</v>
      </c>
      <c r="AJ523" s="593">
        <f t="shared" ca="1" si="788"/>
        <v>0</v>
      </c>
      <c r="AK523" s="593">
        <f t="shared" ca="1" si="789"/>
        <v>0</v>
      </c>
      <c r="AL523" s="593">
        <f t="shared" ca="1" si="790"/>
        <v>0</v>
      </c>
      <c r="AM523" s="593">
        <f t="shared" ca="1" si="791"/>
        <v>0</v>
      </c>
      <c r="AN523" s="593">
        <f t="shared" ca="1" si="792"/>
        <v>0</v>
      </c>
      <c r="AO523" s="593">
        <f t="shared" ca="1" si="793"/>
        <v>0</v>
      </c>
      <c r="AP523" s="593">
        <f t="shared" ca="1" si="794"/>
        <v>0</v>
      </c>
    </row>
    <row r="524" spans="1:42" s="594" customFormat="1" ht="11.25" outlineLevel="1" x14ac:dyDescent="0.2">
      <c r="A524" s="644"/>
      <c r="B524" s="591" t="str">
        <f>IF(D524&lt;&gt;"",
IF(ISERROR(MATCH(D524,'Ist Aktuell Monat 01'!A:A,0))=FALSE,INDEX('Ist Aktuell Monat 01'!B:B,MATCH(D524,'Ist Aktuell Monat 01'!A:A,0)),
IF(ISERROR(MATCH(D524,'Ist Aktuell Monat 02'!A:A,0))=FALSE,INDEX('Ist Aktuell Monat 02'!B:B,MATCH(D524,'Ist Aktuell Monat 02'!A:A,0)),
IF(ISERROR(MATCH(D524,'Ist Aktuell Monat 03'!A:A,0))=FALSE,INDEX('Ist Aktuell Monat 03'!B:B,MATCH(D524,'Ist Aktuell Monat 03'!A:A,0)),
IF(ISERROR(MATCH(D524,'Ist Aktuell Monat 04'!A:A,0))=FALSE,INDEX('Ist Aktuell Monat 04'!B:B,MATCH(D524,'Ist Aktuell Monat 04'!A:A,0)),
IF(ISERROR(MATCH(D524,'Ist Aktuell Monat 05'!A:A,0))=FALSE,INDEX('Ist Aktuell Monat 05'!B:B,MATCH(D524,'Ist Aktuell Monat 05'!A:A,0)),
IF(ISERROR(MATCH(D524,'Ist Aktuell Monat 06'!A:A,0))=FALSE,INDEX('Ist Aktuell Monat 06'!B:B,MATCH(D524,'Ist Aktuell Monat 06'!A:A,0)),
IF(ISERROR(MATCH(D524,'Ist Aktuell Monat 07'!A:A,0))=FALSE,INDEX('Ist Aktuell Monat 07'!B:B,MATCH(D524,'Ist Aktuell Monat 07'!A:A,0)),
IF(ISERROR(MATCH(D524,'Ist Aktuell Monat 08'!A:A,0))=FALSE,INDEX('Ist Aktuell Monat 08'!B:B,MATCH(D524,'Ist Aktuell Monat 08'!A:A,0)),
IF(ISERROR(MATCH(D524,'Ist Aktuell Monat 09'!A:A,0))=FALSE,INDEX('Ist Aktuell Monat 09'!B:B,MATCH(D524,'Ist Aktuell Monat 09'!A:A,0)),
IF(ISERROR(MATCH(D524,'Ist Aktuell Monat 10'!A:A,0))=FALSE,INDEX('Ist Aktuell Monat 10'!B:B,MATCH(D524,'Ist Aktuell Monat 10'!A:A,0)),
IF(ISERROR(MATCH(D524,'Ist Aktuell Monat 11'!A:A,0))=FALSE,INDEX('Ist Aktuell Monat 11'!B:B,MATCH(D524,'Ist Aktuell Monat 11'!A:A,0)),
IF(ISERROR(MATCH(D524,'Ist Aktuell Monat 12'!A:A,0))=FALSE,INDEX('Ist Aktuell Monat 12'!B:B,MATCH(D524,'Ist Aktuell Monat 12'!A:A,0)),
"{Konto unbekannt}"
)))))))))))),"")</f>
        <v/>
      </c>
      <c r="C524" s="1062"/>
      <c r="D524" s="1067"/>
      <c r="E524" s="625">
        <f t="shared" si="727"/>
        <v>1</v>
      </c>
      <c r="F524" s="626"/>
      <c r="G524" s="593">
        <f ca="1">$E524*(SUMIF(INDIRECT(G$3),'Struktur Aktuell'!$D524,INDIRECT(G$4))-SUMIF(INDIRECT(G$3),'Struktur Aktuell'!$D524,INDIRECT(G$5)))</f>
        <v>0</v>
      </c>
      <c r="H524" s="593">
        <f ca="1">$E524*(SUMIF(INDIRECT(H$3),'Struktur Aktuell'!$D524,INDIRECT(H$4))-SUMIF(INDIRECT(H$3),'Struktur Aktuell'!$D524,INDIRECT(H$5)))</f>
        <v>0</v>
      </c>
      <c r="I524" s="593">
        <f ca="1">$E524*(SUMIF(INDIRECT(I$3),'Struktur Aktuell'!$D524,INDIRECT(I$4))-SUMIF(INDIRECT(I$3),'Struktur Aktuell'!$D524,INDIRECT(I$5)))</f>
        <v>0</v>
      </c>
      <c r="J524" s="593">
        <f ca="1">$E524*(SUMIF(INDIRECT(J$3),'Struktur Aktuell'!$D524,INDIRECT(J$4))-SUMIF(INDIRECT(J$3),'Struktur Aktuell'!$D524,INDIRECT(J$5)))</f>
        <v>0</v>
      </c>
      <c r="K524" s="593">
        <f ca="1">$E524*(SUMIF(INDIRECT(K$3),'Struktur Aktuell'!$D524,INDIRECT(K$4))-SUMIF(INDIRECT(K$3),'Struktur Aktuell'!$D524,INDIRECT(K$5)))</f>
        <v>0</v>
      </c>
      <c r="L524" s="593">
        <f ca="1">$E524*(SUMIF(INDIRECT(L$3),'Struktur Aktuell'!$D524,INDIRECT(L$4))-SUMIF(INDIRECT(L$3),'Struktur Aktuell'!$D524,INDIRECT(L$5)))</f>
        <v>0</v>
      </c>
      <c r="M524" s="593">
        <f ca="1">$E524*(SUMIF(INDIRECT(M$3),'Struktur Aktuell'!$D524,INDIRECT(M$4))-SUMIF(INDIRECT(M$3),'Struktur Aktuell'!$D524,INDIRECT(M$5)))</f>
        <v>0</v>
      </c>
      <c r="N524" s="593">
        <f ca="1">$E524*(SUMIF(INDIRECT(N$3),'Struktur Aktuell'!$D524,INDIRECT(N$4))-SUMIF(INDIRECT(N$3),'Struktur Aktuell'!$D524,INDIRECT(N$5)))</f>
        <v>0</v>
      </c>
      <c r="O524" s="593">
        <f ca="1">$E524*(SUMIF(INDIRECT(O$3),'Struktur Aktuell'!$D524,INDIRECT(O$4))-SUMIF(INDIRECT(O$3),'Struktur Aktuell'!$D524,INDIRECT(O$5)))</f>
        <v>0</v>
      </c>
      <c r="P524" s="593">
        <f ca="1">$E524*(SUMIF(INDIRECT(P$3),'Struktur Aktuell'!$D524,INDIRECT(P$4))-SUMIF(INDIRECT(P$3),'Struktur Aktuell'!$D524,INDIRECT(P$5)))</f>
        <v>0</v>
      </c>
      <c r="Q524" s="593">
        <f ca="1">$E524*(SUMIF(INDIRECT(Q$3),'Struktur Aktuell'!$D524,INDIRECT(Q$4))-SUMIF(INDIRECT(Q$3),'Struktur Aktuell'!$D524,INDIRECT(Q$5)))</f>
        <v>0</v>
      </c>
      <c r="R524" s="593">
        <f ca="1">$E524*(SUMIF(INDIRECT(R$3),'Struktur Aktuell'!$D524,INDIRECT(R$4))-SUMIF(INDIRECT(R$3),'Struktur Aktuell'!$D524,INDIRECT(R$5)))</f>
        <v>0</v>
      </c>
      <c r="S524" s="593">
        <f ca="1">$E524*(SUMIF(INDIRECT(S$3),'Struktur Aktuell'!$D524,INDIRECT(S$4))-SUMIF(INDIRECT(S$3),'Struktur Aktuell'!$D524,INDIRECT(S$5)))</f>
        <v>0</v>
      </c>
      <c r="T524" s="593">
        <f ca="1">$E524*(SUMIF(INDIRECT(T$3),'Struktur Aktuell'!$D524,INDIRECT(T$4))-SUMIF(INDIRECT(T$3),'Struktur Aktuell'!$D524,INDIRECT(T$5)))</f>
        <v>0</v>
      </c>
      <c r="U524" s="593">
        <f ca="1">$E524*(SUMIF(INDIRECT(U$3),'Struktur Aktuell'!$D524,INDIRECT(U$4))-SUMIF(INDIRECT(U$3),'Struktur Aktuell'!$D524,INDIRECT(U$5)))</f>
        <v>0</v>
      </c>
      <c r="V524" s="593">
        <f ca="1">$E524*(SUMIF(INDIRECT(V$3),'Struktur Aktuell'!$D524,INDIRECT(V$4))-SUMIF(INDIRECT(V$3),'Struktur Aktuell'!$D524,INDIRECT(V$5)))</f>
        <v>0</v>
      </c>
      <c r="W524" s="593">
        <f ca="1">$E524*(SUMIF(INDIRECT(W$3),'Struktur Aktuell'!$D524,INDIRECT(W$4))-SUMIF(INDIRECT(W$3),'Struktur Aktuell'!$D524,INDIRECT(W$5)))</f>
        <v>0</v>
      </c>
      <c r="X524" s="593">
        <f ca="1">$E524*(SUMIF(INDIRECT(X$3),'Struktur Aktuell'!$D524,INDIRECT(X$4))-SUMIF(INDIRECT(X$3),'Struktur Aktuell'!$D524,INDIRECT(X$5)))</f>
        <v>0</v>
      </c>
      <c r="Y524" s="593">
        <f ca="1">$E524*(SUMIF(INDIRECT(Y$3),'Struktur Aktuell'!$D524,INDIRECT(Y$4))-SUMIF(INDIRECT(Y$3),'Struktur Aktuell'!$D524,INDIRECT(Y$5)))</f>
        <v>0</v>
      </c>
      <c r="Z524" s="593">
        <f ca="1">$E524*(SUMIF(INDIRECT(Z$3),'Struktur Aktuell'!$D524,INDIRECT(Z$4))-SUMIF(INDIRECT(Z$3),'Struktur Aktuell'!$D524,INDIRECT(Z$5)))</f>
        <v>0</v>
      </c>
      <c r="AA524" s="593">
        <f ca="1">$E524*(SUMIF(INDIRECT(AA$3),'Struktur Aktuell'!$D524,INDIRECT(AA$4))-SUMIF(INDIRECT(AA$3),'Struktur Aktuell'!$D524,INDIRECT(AA$5)))</f>
        <v>0</v>
      </c>
      <c r="AB524" s="593">
        <f ca="1">$E524*(SUMIF(INDIRECT(AB$3),'Struktur Aktuell'!$D524,INDIRECT(AB$4))-SUMIF(INDIRECT(AB$3),'Struktur Aktuell'!$D524,INDIRECT(AB$5)))</f>
        <v>0</v>
      </c>
      <c r="AC524" s="593">
        <f ca="1">$E524*(SUMIF(INDIRECT(AC$3),'Struktur Aktuell'!$D524,INDIRECT(AC$4))-SUMIF(INDIRECT(AC$3),'Struktur Aktuell'!$D524,INDIRECT(AC$5)))</f>
        <v>0</v>
      </c>
      <c r="AD524" s="593">
        <f ca="1">$E524*(SUMIF(INDIRECT(AD$3),'Struktur Aktuell'!$D524,INDIRECT(AD$4))-SUMIF(INDIRECT(AD$3),'Struktur Aktuell'!$D524,INDIRECT(AD$5)))</f>
        <v>0</v>
      </c>
      <c r="AE524" s="593">
        <f t="shared" ca="1" si="783"/>
        <v>0</v>
      </c>
      <c r="AF524" s="593">
        <f t="shared" ca="1" si="784"/>
        <v>0</v>
      </c>
      <c r="AG524" s="593">
        <f t="shared" ca="1" si="785"/>
        <v>0</v>
      </c>
      <c r="AH524" s="593">
        <f t="shared" ca="1" si="786"/>
        <v>0</v>
      </c>
      <c r="AI524" s="593">
        <f t="shared" ca="1" si="787"/>
        <v>0</v>
      </c>
      <c r="AJ524" s="593">
        <f t="shared" ca="1" si="788"/>
        <v>0</v>
      </c>
      <c r="AK524" s="593">
        <f t="shared" ca="1" si="789"/>
        <v>0</v>
      </c>
      <c r="AL524" s="593">
        <f t="shared" ca="1" si="790"/>
        <v>0</v>
      </c>
      <c r="AM524" s="593">
        <f t="shared" ca="1" si="791"/>
        <v>0</v>
      </c>
      <c r="AN524" s="593">
        <f t="shared" ca="1" si="792"/>
        <v>0</v>
      </c>
      <c r="AO524" s="593">
        <f t="shared" ca="1" si="793"/>
        <v>0</v>
      </c>
      <c r="AP524" s="593">
        <f t="shared" ca="1" si="794"/>
        <v>0</v>
      </c>
    </row>
    <row r="525" spans="1:42" s="594" customFormat="1" ht="11.25" outlineLevel="1" x14ac:dyDescent="0.2">
      <c r="A525" s="644"/>
      <c r="B525" s="591" t="str">
        <f>IF(D525&lt;&gt;"",
IF(ISERROR(MATCH(D525,'Ist Aktuell Monat 01'!A:A,0))=FALSE,INDEX('Ist Aktuell Monat 01'!B:B,MATCH(D525,'Ist Aktuell Monat 01'!A:A,0)),
IF(ISERROR(MATCH(D525,'Ist Aktuell Monat 02'!A:A,0))=FALSE,INDEX('Ist Aktuell Monat 02'!B:B,MATCH(D525,'Ist Aktuell Monat 02'!A:A,0)),
IF(ISERROR(MATCH(D525,'Ist Aktuell Monat 03'!A:A,0))=FALSE,INDEX('Ist Aktuell Monat 03'!B:B,MATCH(D525,'Ist Aktuell Monat 03'!A:A,0)),
IF(ISERROR(MATCH(D525,'Ist Aktuell Monat 04'!A:A,0))=FALSE,INDEX('Ist Aktuell Monat 04'!B:B,MATCH(D525,'Ist Aktuell Monat 04'!A:A,0)),
IF(ISERROR(MATCH(D525,'Ist Aktuell Monat 05'!A:A,0))=FALSE,INDEX('Ist Aktuell Monat 05'!B:B,MATCH(D525,'Ist Aktuell Monat 05'!A:A,0)),
IF(ISERROR(MATCH(D525,'Ist Aktuell Monat 06'!A:A,0))=FALSE,INDEX('Ist Aktuell Monat 06'!B:B,MATCH(D525,'Ist Aktuell Monat 06'!A:A,0)),
IF(ISERROR(MATCH(D525,'Ist Aktuell Monat 07'!A:A,0))=FALSE,INDEX('Ist Aktuell Monat 07'!B:B,MATCH(D525,'Ist Aktuell Monat 07'!A:A,0)),
IF(ISERROR(MATCH(D525,'Ist Aktuell Monat 08'!A:A,0))=FALSE,INDEX('Ist Aktuell Monat 08'!B:B,MATCH(D525,'Ist Aktuell Monat 08'!A:A,0)),
IF(ISERROR(MATCH(D525,'Ist Aktuell Monat 09'!A:A,0))=FALSE,INDEX('Ist Aktuell Monat 09'!B:B,MATCH(D525,'Ist Aktuell Monat 09'!A:A,0)),
IF(ISERROR(MATCH(D525,'Ist Aktuell Monat 10'!A:A,0))=FALSE,INDEX('Ist Aktuell Monat 10'!B:B,MATCH(D525,'Ist Aktuell Monat 10'!A:A,0)),
IF(ISERROR(MATCH(D525,'Ist Aktuell Monat 11'!A:A,0))=FALSE,INDEX('Ist Aktuell Monat 11'!B:B,MATCH(D525,'Ist Aktuell Monat 11'!A:A,0)),
IF(ISERROR(MATCH(D525,'Ist Aktuell Monat 12'!A:A,0))=FALSE,INDEX('Ist Aktuell Monat 12'!B:B,MATCH(D525,'Ist Aktuell Monat 12'!A:A,0)),
"{Konto unbekannt}"
)))))))))))),"")</f>
        <v/>
      </c>
      <c r="C525" s="1062"/>
      <c r="D525" s="1067"/>
      <c r="E525" s="625">
        <f t="shared" si="727"/>
        <v>1</v>
      </c>
      <c r="F525" s="626"/>
      <c r="G525" s="593">
        <f ca="1">$E525*(SUMIF(INDIRECT(G$3),'Struktur Aktuell'!$D525,INDIRECT(G$4))-SUMIF(INDIRECT(G$3),'Struktur Aktuell'!$D525,INDIRECT(G$5)))</f>
        <v>0</v>
      </c>
      <c r="H525" s="593">
        <f ca="1">$E525*(SUMIF(INDIRECT(H$3),'Struktur Aktuell'!$D525,INDIRECT(H$4))-SUMIF(INDIRECT(H$3),'Struktur Aktuell'!$D525,INDIRECT(H$5)))</f>
        <v>0</v>
      </c>
      <c r="I525" s="593">
        <f ca="1">$E525*(SUMIF(INDIRECT(I$3),'Struktur Aktuell'!$D525,INDIRECT(I$4))-SUMIF(INDIRECT(I$3),'Struktur Aktuell'!$D525,INDIRECT(I$5)))</f>
        <v>0</v>
      </c>
      <c r="J525" s="593">
        <f ca="1">$E525*(SUMIF(INDIRECT(J$3),'Struktur Aktuell'!$D525,INDIRECT(J$4))-SUMIF(INDIRECT(J$3),'Struktur Aktuell'!$D525,INDIRECT(J$5)))</f>
        <v>0</v>
      </c>
      <c r="K525" s="593">
        <f ca="1">$E525*(SUMIF(INDIRECT(K$3),'Struktur Aktuell'!$D525,INDIRECT(K$4))-SUMIF(INDIRECT(K$3),'Struktur Aktuell'!$D525,INDIRECT(K$5)))</f>
        <v>0</v>
      </c>
      <c r="L525" s="593">
        <f ca="1">$E525*(SUMIF(INDIRECT(L$3),'Struktur Aktuell'!$D525,INDIRECT(L$4))-SUMIF(INDIRECT(L$3),'Struktur Aktuell'!$D525,INDIRECT(L$5)))</f>
        <v>0</v>
      </c>
      <c r="M525" s="593">
        <f ca="1">$E525*(SUMIF(INDIRECT(M$3),'Struktur Aktuell'!$D525,INDIRECT(M$4))-SUMIF(INDIRECT(M$3),'Struktur Aktuell'!$D525,INDIRECT(M$5)))</f>
        <v>0</v>
      </c>
      <c r="N525" s="593">
        <f ca="1">$E525*(SUMIF(INDIRECT(N$3),'Struktur Aktuell'!$D525,INDIRECT(N$4))-SUMIF(INDIRECT(N$3),'Struktur Aktuell'!$D525,INDIRECT(N$5)))</f>
        <v>0</v>
      </c>
      <c r="O525" s="593">
        <f ca="1">$E525*(SUMIF(INDIRECT(O$3),'Struktur Aktuell'!$D525,INDIRECT(O$4))-SUMIF(INDIRECT(O$3),'Struktur Aktuell'!$D525,INDIRECT(O$5)))</f>
        <v>0</v>
      </c>
      <c r="P525" s="593">
        <f ca="1">$E525*(SUMIF(INDIRECT(P$3),'Struktur Aktuell'!$D525,INDIRECT(P$4))-SUMIF(INDIRECT(P$3),'Struktur Aktuell'!$D525,INDIRECT(P$5)))</f>
        <v>0</v>
      </c>
      <c r="Q525" s="593">
        <f ca="1">$E525*(SUMIF(INDIRECT(Q$3),'Struktur Aktuell'!$D525,INDIRECT(Q$4))-SUMIF(INDIRECT(Q$3),'Struktur Aktuell'!$D525,INDIRECT(Q$5)))</f>
        <v>0</v>
      </c>
      <c r="R525" s="593">
        <f ca="1">$E525*(SUMIF(INDIRECT(R$3),'Struktur Aktuell'!$D525,INDIRECT(R$4))-SUMIF(INDIRECT(R$3),'Struktur Aktuell'!$D525,INDIRECT(R$5)))</f>
        <v>0</v>
      </c>
      <c r="S525" s="593">
        <f ca="1">$E525*(SUMIF(INDIRECT(S$3),'Struktur Aktuell'!$D525,INDIRECT(S$4))-SUMIF(INDIRECT(S$3),'Struktur Aktuell'!$D525,INDIRECT(S$5)))</f>
        <v>0</v>
      </c>
      <c r="T525" s="593">
        <f ca="1">$E525*(SUMIF(INDIRECT(T$3),'Struktur Aktuell'!$D525,INDIRECT(T$4))-SUMIF(INDIRECT(T$3),'Struktur Aktuell'!$D525,INDIRECT(T$5)))</f>
        <v>0</v>
      </c>
      <c r="U525" s="593">
        <f ca="1">$E525*(SUMIF(INDIRECT(U$3),'Struktur Aktuell'!$D525,INDIRECT(U$4))-SUMIF(INDIRECT(U$3),'Struktur Aktuell'!$D525,INDIRECT(U$5)))</f>
        <v>0</v>
      </c>
      <c r="V525" s="593">
        <f ca="1">$E525*(SUMIF(INDIRECT(V$3),'Struktur Aktuell'!$D525,INDIRECT(V$4))-SUMIF(INDIRECT(V$3),'Struktur Aktuell'!$D525,INDIRECT(V$5)))</f>
        <v>0</v>
      </c>
      <c r="W525" s="593">
        <f ca="1">$E525*(SUMIF(INDIRECT(W$3),'Struktur Aktuell'!$D525,INDIRECT(W$4))-SUMIF(INDIRECT(W$3),'Struktur Aktuell'!$D525,INDIRECT(W$5)))</f>
        <v>0</v>
      </c>
      <c r="X525" s="593">
        <f ca="1">$E525*(SUMIF(INDIRECT(X$3),'Struktur Aktuell'!$D525,INDIRECT(X$4))-SUMIF(INDIRECT(X$3),'Struktur Aktuell'!$D525,INDIRECT(X$5)))</f>
        <v>0</v>
      </c>
      <c r="Y525" s="593">
        <f ca="1">$E525*(SUMIF(INDIRECT(Y$3),'Struktur Aktuell'!$D525,INDIRECT(Y$4))-SUMIF(INDIRECT(Y$3),'Struktur Aktuell'!$D525,INDIRECT(Y$5)))</f>
        <v>0</v>
      </c>
      <c r="Z525" s="593">
        <f ca="1">$E525*(SUMIF(INDIRECT(Z$3),'Struktur Aktuell'!$D525,INDIRECT(Z$4))-SUMIF(INDIRECT(Z$3),'Struktur Aktuell'!$D525,INDIRECT(Z$5)))</f>
        <v>0</v>
      </c>
      <c r="AA525" s="593">
        <f ca="1">$E525*(SUMIF(INDIRECT(AA$3),'Struktur Aktuell'!$D525,INDIRECT(AA$4))-SUMIF(INDIRECT(AA$3),'Struktur Aktuell'!$D525,INDIRECT(AA$5)))</f>
        <v>0</v>
      </c>
      <c r="AB525" s="593">
        <f ca="1">$E525*(SUMIF(INDIRECT(AB$3),'Struktur Aktuell'!$D525,INDIRECT(AB$4))-SUMIF(INDIRECT(AB$3),'Struktur Aktuell'!$D525,INDIRECT(AB$5)))</f>
        <v>0</v>
      </c>
      <c r="AC525" s="593">
        <f ca="1">$E525*(SUMIF(INDIRECT(AC$3),'Struktur Aktuell'!$D525,INDIRECT(AC$4))-SUMIF(INDIRECT(AC$3),'Struktur Aktuell'!$D525,INDIRECT(AC$5)))</f>
        <v>0</v>
      </c>
      <c r="AD525" s="593">
        <f ca="1">$E525*(SUMIF(INDIRECT(AD$3),'Struktur Aktuell'!$D525,INDIRECT(AD$4))-SUMIF(INDIRECT(AD$3),'Struktur Aktuell'!$D525,INDIRECT(AD$5)))</f>
        <v>0</v>
      </c>
      <c r="AE525" s="593">
        <f t="shared" ca="1" si="783"/>
        <v>0</v>
      </c>
      <c r="AF525" s="593">
        <f t="shared" ca="1" si="784"/>
        <v>0</v>
      </c>
      <c r="AG525" s="593">
        <f t="shared" ca="1" si="785"/>
        <v>0</v>
      </c>
      <c r="AH525" s="593">
        <f t="shared" ca="1" si="786"/>
        <v>0</v>
      </c>
      <c r="AI525" s="593">
        <f t="shared" ca="1" si="787"/>
        <v>0</v>
      </c>
      <c r="AJ525" s="593">
        <f t="shared" ca="1" si="788"/>
        <v>0</v>
      </c>
      <c r="AK525" s="593">
        <f t="shared" ca="1" si="789"/>
        <v>0</v>
      </c>
      <c r="AL525" s="593">
        <f t="shared" ca="1" si="790"/>
        <v>0</v>
      </c>
      <c r="AM525" s="593">
        <f t="shared" ca="1" si="791"/>
        <v>0</v>
      </c>
      <c r="AN525" s="593">
        <f t="shared" ca="1" si="792"/>
        <v>0</v>
      </c>
      <c r="AO525" s="593">
        <f t="shared" ca="1" si="793"/>
        <v>0</v>
      </c>
      <c r="AP525" s="593">
        <f t="shared" ca="1" si="794"/>
        <v>0</v>
      </c>
    </row>
    <row r="526" spans="1:42" s="594" customFormat="1" ht="11.25" outlineLevel="1" x14ac:dyDescent="0.2">
      <c r="A526" s="645"/>
      <c r="B526" s="591" t="str">
        <f>IF(D526&lt;&gt;"",
IF(ISERROR(MATCH(D526,'Ist Aktuell Monat 01'!A:A,0))=FALSE,INDEX('Ist Aktuell Monat 01'!B:B,MATCH(D526,'Ist Aktuell Monat 01'!A:A,0)),
IF(ISERROR(MATCH(D526,'Ist Aktuell Monat 02'!A:A,0))=FALSE,INDEX('Ist Aktuell Monat 02'!B:B,MATCH(D526,'Ist Aktuell Monat 02'!A:A,0)),
IF(ISERROR(MATCH(D526,'Ist Aktuell Monat 03'!A:A,0))=FALSE,INDEX('Ist Aktuell Monat 03'!B:B,MATCH(D526,'Ist Aktuell Monat 03'!A:A,0)),
IF(ISERROR(MATCH(D526,'Ist Aktuell Monat 04'!A:A,0))=FALSE,INDEX('Ist Aktuell Monat 04'!B:B,MATCH(D526,'Ist Aktuell Monat 04'!A:A,0)),
IF(ISERROR(MATCH(D526,'Ist Aktuell Monat 05'!A:A,0))=FALSE,INDEX('Ist Aktuell Monat 05'!B:B,MATCH(D526,'Ist Aktuell Monat 05'!A:A,0)),
IF(ISERROR(MATCH(D526,'Ist Aktuell Monat 06'!A:A,0))=FALSE,INDEX('Ist Aktuell Monat 06'!B:B,MATCH(D526,'Ist Aktuell Monat 06'!A:A,0)),
IF(ISERROR(MATCH(D526,'Ist Aktuell Monat 07'!A:A,0))=FALSE,INDEX('Ist Aktuell Monat 07'!B:B,MATCH(D526,'Ist Aktuell Monat 07'!A:A,0)),
IF(ISERROR(MATCH(D526,'Ist Aktuell Monat 08'!A:A,0))=FALSE,INDEX('Ist Aktuell Monat 08'!B:B,MATCH(D526,'Ist Aktuell Monat 08'!A:A,0)),
IF(ISERROR(MATCH(D526,'Ist Aktuell Monat 09'!A:A,0))=FALSE,INDEX('Ist Aktuell Monat 09'!B:B,MATCH(D526,'Ist Aktuell Monat 09'!A:A,0)),
IF(ISERROR(MATCH(D526,'Ist Aktuell Monat 10'!A:A,0))=FALSE,INDEX('Ist Aktuell Monat 10'!B:B,MATCH(D526,'Ist Aktuell Monat 10'!A:A,0)),
IF(ISERROR(MATCH(D526,'Ist Aktuell Monat 11'!A:A,0))=FALSE,INDEX('Ist Aktuell Monat 11'!B:B,MATCH(D526,'Ist Aktuell Monat 11'!A:A,0)),
IF(ISERROR(MATCH(D526,'Ist Aktuell Monat 12'!A:A,0))=FALSE,INDEX('Ist Aktuell Monat 12'!B:B,MATCH(D526,'Ist Aktuell Monat 12'!A:A,0)),
"{Konto unbekannt}"
)))))))))))),"")</f>
        <v/>
      </c>
      <c r="C526" s="1062"/>
      <c r="D526" s="1067"/>
      <c r="E526" s="630">
        <f t="shared" si="727"/>
        <v>1</v>
      </c>
      <c r="F526" s="631"/>
      <c r="G526" s="632">
        <f ca="1">$E526*(SUMIF(INDIRECT(G$3),'Struktur Aktuell'!$D526,INDIRECT(G$4))-SUMIF(INDIRECT(G$3),'Struktur Aktuell'!$D526,INDIRECT(G$5)))</f>
        <v>0</v>
      </c>
      <c r="H526" s="632">
        <f ca="1">$E526*(SUMIF(INDIRECT(H$3),'Struktur Aktuell'!$D526,INDIRECT(H$4))-SUMIF(INDIRECT(H$3),'Struktur Aktuell'!$D526,INDIRECT(H$5)))</f>
        <v>0</v>
      </c>
      <c r="I526" s="632">
        <f ca="1">$E526*(SUMIF(INDIRECT(I$3),'Struktur Aktuell'!$D526,INDIRECT(I$4))-SUMIF(INDIRECT(I$3),'Struktur Aktuell'!$D526,INDIRECT(I$5)))</f>
        <v>0</v>
      </c>
      <c r="J526" s="632">
        <f ca="1">$E526*(SUMIF(INDIRECT(J$3),'Struktur Aktuell'!$D526,INDIRECT(J$4))-SUMIF(INDIRECT(J$3),'Struktur Aktuell'!$D526,INDIRECT(J$5)))</f>
        <v>0</v>
      </c>
      <c r="K526" s="632">
        <f ca="1">$E526*(SUMIF(INDIRECT(K$3),'Struktur Aktuell'!$D526,INDIRECT(K$4))-SUMIF(INDIRECT(K$3),'Struktur Aktuell'!$D526,INDIRECT(K$5)))</f>
        <v>0</v>
      </c>
      <c r="L526" s="632">
        <f ca="1">$E526*(SUMIF(INDIRECT(L$3),'Struktur Aktuell'!$D526,INDIRECT(L$4))-SUMIF(INDIRECT(L$3),'Struktur Aktuell'!$D526,INDIRECT(L$5)))</f>
        <v>0</v>
      </c>
      <c r="M526" s="632">
        <f ca="1">$E526*(SUMIF(INDIRECT(M$3),'Struktur Aktuell'!$D526,INDIRECT(M$4))-SUMIF(INDIRECT(M$3),'Struktur Aktuell'!$D526,INDIRECT(M$5)))</f>
        <v>0</v>
      </c>
      <c r="N526" s="632">
        <f ca="1">$E526*(SUMIF(INDIRECT(N$3),'Struktur Aktuell'!$D526,INDIRECT(N$4))-SUMIF(INDIRECT(N$3),'Struktur Aktuell'!$D526,INDIRECT(N$5)))</f>
        <v>0</v>
      </c>
      <c r="O526" s="632">
        <f ca="1">$E526*(SUMIF(INDIRECT(O$3),'Struktur Aktuell'!$D526,INDIRECT(O$4))-SUMIF(INDIRECT(O$3),'Struktur Aktuell'!$D526,INDIRECT(O$5)))</f>
        <v>0</v>
      </c>
      <c r="P526" s="632">
        <f ca="1">$E526*(SUMIF(INDIRECT(P$3),'Struktur Aktuell'!$D526,INDIRECT(P$4))-SUMIF(INDIRECT(P$3),'Struktur Aktuell'!$D526,INDIRECT(P$5)))</f>
        <v>0</v>
      </c>
      <c r="Q526" s="632">
        <f ca="1">$E526*(SUMIF(INDIRECT(Q$3),'Struktur Aktuell'!$D526,INDIRECT(Q$4))-SUMIF(INDIRECT(Q$3),'Struktur Aktuell'!$D526,INDIRECT(Q$5)))</f>
        <v>0</v>
      </c>
      <c r="R526" s="632">
        <f ca="1">$E526*(SUMIF(INDIRECT(R$3),'Struktur Aktuell'!$D526,INDIRECT(R$4))-SUMIF(INDIRECT(R$3),'Struktur Aktuell'!$D526,INDIRECT(R$5)))</f>
        <v>0</v>
      </c>
      <c r="S526" s="632">
        <f ca="1">$E526*(SUMIF(INDIRECT(S$3),'Struktur Aktuell'!$D526,INDIRECT(S$4))-SUMIF(INDIRECT(S$3),'Struktur Aktuell'!$D526,INDIRECT(S$5)))</f>
        <v>0</v>
      </c>
      <c r="T526" s="632">
        <f ca="1">$E526*(SUMIF(INDIRECT(T$3),'Struktur Aktuell'!$D526,INDIRECT(T$4))-SUMIF(INDIRECT(T$3),'Struktur Aktuell'!$D526,INDIRECT(T$5)))</f>
        <v>0</v>
      </c>
      <c r="U526" s="632">
        <f ca="1">$E526*(SUMIF(INDIRECT(U$3),'Struktur Aktuell'!$D526,INDIRECT(U$4))-SUMIF(INDIRECT(U$3),'Struktur Aktuell'!$D526,INDIRECT(U$5)))</f>
        <v>0</v>
      </c>
      <c r="V526" s="632">
        <f ca="1">$E526*(SUMIF(INDIRECT(V$3),'Struktur Aktuell'!$D526,INDIRECT(V$4))-SUMIF(INDIRECT(V$3),'Struktur Aktuell'!$D526,INDIRECT(V$5)))</f>
        <v>0</v>
      </c>
      <c r="W526" s="632">
        <f ca="1">$E526*(SUMIF(INDIRECT(W$3),'Struktur Aktuell'!$D526,INDIRECT(W$4))-SUMIF(INDIRECT(W$3),'Struktur Aktuell'!$D526,INDIRECT(W$5)))</f>
        <v>0</v>
      </c>
      <c r="X526" s="632">
        <f ca="1">$E526*(SUMIF(INDIRECT(X$3),'Struktur Aktuell'!$D526,INDIRECT(X$4))-SUMIF(INDIRECT(X$3),'Struktur Aktuell'!$D526,INDIRECT(X$5)))</f>
        <v>0</v>
      </c>
      <c r="Y526" s="632">
        <f ca="1">$E526*(SUMIF(INDIRECT(Y$3),'Struktur Aktuell'!$D526,INDIRECT(Y$4))-SUMIF(INDIRECT(Y$3),'Struktur Aktuell'!$D526,INDIRECT(Y$5)))</f>
        <v>0</v>
      </c>
      <c r="Z526" s="632">
        <f ca="1">$E526*(SUMIF(INDIRECT(Z$3),'Struktur Aktuell'!$D526,INDIRECT(Z$4))-SUMIF(INDIRECT(Z$3),'Struktur Aktuell'!$D526,INDIRECT(Z$5)))</f>
        <v>0</v>
      </c>
      <c r="AA526" s="632">
        <f ca="1">$E526*(SUMIF(INDIRECT(AA$3),'Struktur Aktuell'!$D526,INDIRECT(AA$4))-SUMIF(INDIRECT(AA$3),'Struktur Aktuell'!$D526,INDIRECT(AA$5)))</f>
        <v>0</v>
      </c>
      <c r="AB526" s="632">
        <f ca="1">$E526*(SUMIF(INDIRECT(AB$3),'Struktur Aktuell'!$D526,INDIRECT(AB$4))-SUMIF(INDIRECT(AB$3),'Struktur Aktuell'!$D526,INDIRECT(AB$5)))</f>
        <v>0</v>
      </c>
      <c r="AC526" s="632">
        <f ca="1">$E526*(SUMIF(INDIRECT(AC$3),'Struktur Aktuell'!$D526,INDIRECT(AC$4))-SUMIF(INDIRECT(AC$3),'Struktur Aktuell'!$D526,INDIRECT(AC$5)))</f>
        <v>0</v>
      </c>
      <c r="AD526" s="632">
        <f ca="1">$E526*(SUMIF(INDIRECT(AD$3),'Struktur Aktuell'!$D526,INDIRECT(AD$4))-SUMIF(INDIRECT(AD$3),'Struktur Aktuell'!$D526,INDIRECT(AD$5)))</f>
        <v>0</v>
      </c>
      <c r="AE526" s="593">
        <f t="shared" ca="1" si="783"/>
        <v>0</v>
      </c>
      <c r="AF526" s="593">
        <f t="shared" ca="1" si="784"/>
        <v>0</v>
      </c>
      <c r="AG526" s="593">
        <f t="shared" ca="1" si="785"/>
        <v>0</v>
      </c>
      <c r="AH526" s="593">
        <f t="shared" ca="1" si="786"/>
        <v>0</v>
      </c>
      <c r="AI526" s="593">
        <f t="shared" ca="1" si="787"/>
        <v>0</v>
      </c>
      <c r="AJ526" s="593">
        <f t="shared" ca="1" si="788"/>
        <v>0</v>
      </c>
      <c r="AK526" s="593">
        <f t="shared" ca="1" si="789"/>
        <v>0</v>
      </c>
      <c r="AL526" s="593">
        <f t="shared" ca="1" si="790"/>
        <v>0</v>
      </c>
      <c r="AM526" s="593">
        <f t="shared" ca="1" si="791"/>
        <v>0</v>
      </c>
      <c r="AN526" s="593">
        <f t="shared" ca="1" si="792"/>
        <v>0</v>
      </c>
      <c r="AO526" s="593">
        <f t="shared" ca="1" si="793"/>
        <v>0</v>
      </c>
      <c r="AP526" s="593">
        <f t="shared" ca="1" si="794"/>
        <v>0</v>
      </c>
    </row>
    <row r="527" spans="1:42" outlineLevel="1" x14ac:dyDescent="0.2">
      <c r="A527" s="634"/>
      <c r="B527" s="596" t="s">
        <v>1029</v>
      </c>
      <c r="C527" s="597">
        <f ca="1">SUM(G527:R527)</f>
        <v>-45245.599999999991</v>
      </c>
      <c r="D527" s="597"/>
      <c r="E527" s="633">
        <f t="shared" si="727"/>
        <v>1</v>
      </c>
      <c r="F527" s="634"/>
      <c r="G527" s="597">
        <f ca="1">G481+G482-G487+G506</f>
        <v>45686.009999999995</v>
      </c>
      <c r="H527" s="597">
        <f t="shared" ref="H527:R527" ca="1" si="796">H481+H482-H487+H506</f>
        <v>-13661.559999999998</v>
      </c>
      <c r="I527" s="597">
        <f t="shared" ca="1" si="796"/>
        <v>-8025.9299999999994</v>
      </c>
      <c r="J527" s="597">
        <f t="shared" ca="1" si="796"/>
        <v>-19955.180000000008</v>
      </c>
      <c r="K527" s="597">
        <f t="shared" ca="1" si="796"/>
        <v>-49603.13</v>
      </c>
      <c r="L527" s="597">
        <f t="shared" ca="1" si="796"/>
        <v>-12969.09</v>
      </c>
      <c r="M527" s="597">
        <f t="shared" ca="1" si="796"/>
        <v>-5534.8599999999969</v>
      </c>
      <c r="N527" s="597">
        <f t="shared" ca="1" si="796"/>
        <v>39951.23000000001</v>
      </c>
      <c r="O527" s="597">
        <f t="shared" ca="1" si="796"/>
        <v>-12046.239999999998</v>
      </c>
      <c r="P527" s="597">
        <f t="shared" ca="1" si="796"/>
        <v>-9086.8499999999985</v>
      </c>
      <c r="Q527" s="597">
        <f t="shared" ca="1" si="796"/>
        <v>0</v>
      </c>
      <c r="R527" s="597">
        <f t="shared" ca="1" si="796"/>
        <v>0</v>
      </c>
      <c r="S527" s="597">
        <f ca="1">S481+S482-S487+S506</f>
        <v>-38253.640000000007</v>
      </c>
      <c r="T527" s="597">
        <f t="shared" ref="T527:AD527" ca="1" si="797">T481+T482-T487+T506</f>
        <v>-51915.200000000004</v>
      </c>
      <c r="U527" s="597">
        <f t="shared" ca="1" si="797"/>
        <v>-59941.130000000005</v>
      </c>
      <c r="V527" s="597">
        <f t="shared" ca="1" si="797"/>
        <v>-79896.310000000012</v>
      </c>
      <c r="W527" s="597">
        <f t="shared" ca="1" si="797"/>
        <v>-129499.44</v>
      </c>
      <c r="X527" s="597">
        <f t="shared" ca="1" si="797"/>
        <v>-142468.53</v>
      </c>
      <c r="Y527" s="597">
        <f t="shared" ca="1" si="797"/>
        <v>-148003.38999999998</v>
      </c>
      <c r="Z527" s="597">
        <f t="shared" ca="1" si="797"/>
        <v>-108052.16</v>
      </c>
      <c r="AA527" s="597">
        <f t="shared" ca="1" si="797"/>
        <v>-120098.40000000001</v>
      </c>
      <c r="AB527" s="597">
        <f t="shared" ca="1" si="797"/>
        <v>-129185.25</v>
      </c>
      <c r="AC527" s="597">
        <f t="shared" ca="1" si="797"/>
        <v>0</v>
      </c>
      <c r="AD527" s="597">
        <f t="shared" ca="1" si="797"/>
        <v>0</v>
      </c>
      <c r="AE527" s="597">
        <f ca="1">AE481+AE482-AE487+AE506</f>
        <v>45686.009999999995</v>
      </c>
      <c r="AF527" s="597">
        <f t="shared" ref="AF527:AP527" ca="1" si="798">AF481+AF482-AF487+AF506</f>
        <v>32024.44999999999</v>
      </c>
      <c r="AG527" s="597">
        <f t="shared" ca="1" si="798"/>
        <v>23998.519999999982</v>
      </c>
      <c r="AH527" s="597">
        <f t="shared" ca="1" si="798"/>
        <v>4043.3399999999947</v>
      </c>
      <c r="AI527" s="597">
        <f t="shared" ca="1" si="798"/>
        <v>-45559.790000000015</v>
      </c>
      <c r="AJ527" s="597">
        <f t="shared" ca="1" si="798"/>
        <v>-58528.88</v>
      </c>
      <c r="AK527" s="597">
        <f t="shared" ca="1" si="798"/>
        <v>-64063.74</v>
      </c>
      <c r="AL527" s="597">
        <f t="shared" ca="1" si="798"/>
        <v>-24112.509999999995</v>
      </c>
      <c r="AM527" s="597">
        <f t="shared" ca="1" si="798"/>
        <v>-36158.75</v>
      </c>
      <c r="AN527" s="597">
        <f t="shared" ca="1" si="798"/>
        <v>-45245.599999999948</v>
      </c>
      <c r="AO527" s="597">
        <f t="shared" ca="1" si="798"/>
        <v>-45245.599999999948</v>
      </c>
      <c r="AP527" s="597">
        <f t="shared" ca="1" si="798"/>
        <v>-45245.599999999948</v>
      </c>
    </row>
    <row r="528" spans="1:42" x14ac:dyDescent="0.2">
      <c r="D528" s="611"/>
    </row>
    <row r="529" spans="1:42" outlineLevel="1" x14ac:dyDescent="0.2">
      <c r="B529" s="616" t="s">
        <v>1030</v>
      </c>
      <c r="C529" s="616"/>
      <c r="D529" s="618"/>
    </row>
    <row r="530" spans="1:42" outlineLevel="1" x14ac:dyDescent="0.2">
      <c r="D530" s="611"/>
    </row>
    <row r="531" spans="1:42" s="589" customFormat="1" outlineLevel="1" x14ac:dyDescent="0.2">
      <c r="A531" s="629">
        <v>47</v>
      </c>
      <c r="B531" s="623" t="s">
        <v>1031</v>
      </c>
      <c r="C531" s="627">
        <f ca="1">SUM(G531:R531)</f>
        <v>-49407.49</v>
      </c>
      <c r="D531" s="627"/>
      <c r="E531" s="628">
        <f t="shared" ref="E531:E537" si="799">IF(F531="-",-1,1)</f>
        <v>1</v>
      </c>
      <c r="F531" s="628"/>
      <c r="G531" s="627">
        <f t="shared" ref="G531:R531" ca="1" si="800">SUM(G532:G537)</f>
        <v>45453.55</v>
      </c>
      <c r="H531" s="627">
        <f t="shared" ca="1" si="800"/>
        <v>-13894.08</v>
      </c>
      <c r="I531" s="627">
        <f t="shared" ca="1" si="800"/>
        <v>-8426.44</v>
      </c>
      <c r="J531" s="627">
        <f t="shared" ca="1" si="800"/>
        <v>-20301.320000000003</v>
      </c>
      <c r="K531" s="627">
        <f t="shared" ca="1" si="800"/>
        <v>-50343.88</v>
      </c>
      <c r="L531" s="627">
        <f t="shared" ca="1" si="800"/>
        <v>-13620.77</v>
      </c>
      <c r="M531" s="627">
        <f t="shared" ca="1" si="800"/>
        <v>-6222.65</v>
      </c>
      <c r="N531" s="627">
        <f t="shared" ca="1" si="800"/>
        <v>39626.450000000004</v>
      </c>
      <c r="O531" s="627">
        <f t="shared" ca="1" si="800"/>
        <v>-12318.84</v>
      </c>
      <c r="P531" s="627">
        <f t="shared" ca="1" si="800"/>
        <v>-9359.51</v>
      </c>
      <c r="Q531" s="627">
        <f t="shared" ca="1" si="800"/>
        <v>0</v>
      </c>
      <c r="R531" s="627">
        <f t="shared" ca="1" si="800"/>
        <v>0</v>
      </c>
      <c r="S531" s="627">
        <f t="shared" ref="S531:AP531" ca="1" si="801">SUM(S532:S537)</f>
        <v>127080.49</v>
      </c>
      <c r="T531" s="627">
        <f t="shared" ca="1" si="801"/>
        <v>113186.41</v>
      </c>
      <c r="U531" s="627">
        <f t="shared" ca="1" si="801"/>
        <v>104759.97</v>
      </c>
      <c r="V531" s="627">
        <f t="shared" ca="1" si="801"/>
        <v>84458.65</v>
      </c>
      <c r="W531" s="627">
        <f t="shared" ca="1" si="801"/>
        <v>34114.770000000004</v>
      </c>
      <c r="X531" s="627">
        <f t="shared" ca="1" si="801"/>
        <v>20494</v>
      </c>
      <c r="Y531" s="627">
        <f t="shared" ca="1" si="801"/>
        <v>14271.35</v>
      </c>
      <c r="Z531" s="627">
        <f t="shared" ca="1" si="801"/>
        <v>53897.8</v>
      </c>
      <c r="AA531" s="627">
        <f t="shared" ca="1" si="801"/>
        <v>41578.959999999999</v>
      </c>
      <c r="AB531" s="627">
        <f t="shared" ca="1" si="801"/>
        <v>32219.45</v>
      </c>
      <c r="AC531" s="627">
        <f t="shared" ca="1" si="801"/>
        <v>0</v>
      </c>
      <c r="AD531" s="627">
        <f t="shared" ca="1" si="801"/>
        <v>0</v>
      </c>
      <c r="AE531" s="627">
        <f t="shared" ca="1" si="801"/>
        <v>45453.55</v>
      </c>
      <c r="AF531" s="627">
        <f t="shared" ca="1" si="801"/>
        <v>31559.47</v>
      </c>
      <c r="AG531" s="627">
        <f t="shared" ca="1" si="801"/>
        <v>23133.03</v>
      </c>
      <c r="AH531" s="627">
        <f t="shared" ca="1" si="801"/>
        <v>2831.7099999999955</v>
      </c>
      <c r="AI531" s="627">
        <f t="shared" ca="1" si="801"/>
        <v>-47512.17</v>
      </c>
      <c r="AJ531" s="627">
        <f t="shared" ca="1" si="801"/>
        <v>-61132.94</v>
      </c>
      <c r="AK531" s="627">
        <f t="shared" ca="1" si="801"/>
        <v>-67355.59</v>
      </c>
      <c r="AL531" s="627">
        <f t="shared" ca="1" si="801"/>
        <v>-27729.139999999992</v>
      </c>
      <c r="AM531" s="627">
        <f t="shared" ca="1" si="801"/>
        <v>-40047.979999999996</v>
      </c>
      <c r="AN531" s="627">
        <f t="shared" ca="1" si="801"/>
        <v>-49407.489999999991</v>
      </c>
      <c r="AO531" s="627">
        <f t="shared" ca="1" si="801"/>
        <v>-49407.489999999991</v>
      </c>
      <c r="AP531" s="627">
        <f t="shared" ca="1" si="801"/>
        <v>-49407.489999999991</v>
      </c>
    </row>
    <row r="532" spans="1:42" s="594" customFormat="1" ht="11.25" x14ac:dyDescent="0.2">
      <c r="A532" s="644"/>
      <c r="B532" s="591" t="str">
        <f>IF(D532&lt;&gt;"",
IF(ISERROR(MATCH(D532,'Ist Aktuell Monat 01'!A:A,0))=FALSE,INDEX('Ist Aktuell Monat 01'!B:B,MATCH(D532,'Ist Aktuell Monat 01'!A:A,0)),
IF(ISERROR(MATCH(D532,'Ist Aktuell Monat 02'!A:A,0))=FALSE,INDEX('Ist Aktuell Monat 02'!B:B,MATCH(D532,'Ist Aktuell Monat 02'!A:A,0)),
IF(ISERROR(MATCH(D532,'Ist Aktuell Monat 03'!A:A,0))=FALSE,INDEX('Ist Aktuell Monat 03'!B:B,MATCH(D532,'Ist Aktuell Monat 03'!A:A,0)),
IF(ISERROR(MATCH(D532,'Ist Aktuell Monat 04'!A:A,0))=FALSE,INDEX('Ist Aktuell Monat 04'!B:B,MATCH(D532,'Ist Aktuell Monat 04'!A:A,0)),
IF(ISERROR(MATCH(D532,'Ist Aktuell Monat 05'!A:A,0))=FALSE,INDEX('Ist Aktuell Monat 05'!B:B,MATCH(D532,'Ist Aktuell Monat 05'!A:A,0)),
IF(ISERROR(MATCH(D532,'Ist Aktuell Monat 06'!A:A,0))=FALSE,INDEX('Ist Aktuell Monat 06'!B:B,MATCH(D532,'Ist Aktuell Monat 06'!A:A,0)),
IF(ISERROR(MATCH(D532,'Ist Aktuell Monat 07'!A:A,0))=FALSE,INDEX('Ist Aktuell Monat 07'!B:B,MATCH(D532,'Ist Aktuell Monat 07'!A:A,0)),
IF(ISERROR(MATCH(D532,'Ist Aktuell Monat 08'!A:A,0))=FALSE,INDEX('Ist Aktuell Monat 08'!B:B,MATCH(D532,'Ist Aktuell Monat 08'!A:A,0)),
IF(ISERROR(MATCH(D532,'Ist Aktuell Monat 09'!A:A,0))=FALSE,INDEX('Ist Aktuell Monat 09'!B:B,MATCH(D532,'Ist Aktuell Monat 09'!A:A,0)),
IF(ISERROR(MATCH(D532,'Ist Aktuell Monat 10'!A:A,0))=FALSE,INDEX('Ist Aktuell Monat 10'!B:B,MATCH(D532,'Ist Aktuell Monat 10'!A:A,0)),
IF(ISERROR(MATCH(D532,'Ist Aktuell Monat 11'!A:A,0))=FALSE,INDEX('Ist Aktuell Monat 11'!B:B,MATCH(D532,'Ist Aktuell Monat 11'!A:A,0)),
IF(ISERROR(MATCH(D532,'Ist Aktuell Monat 12'!A:A,0))=FALSE,INDEX('Ist Aktuell Monat 12'!B:B,MATCH(D532,'Ist Aktuell Monat 12'!A:A,0)),
"{Konto unbekannt}"
)))))))))))),"")</f>
        <v>Kasse</v>
      </c>
      <c r="C532" s="1062"/>
      <c r="D532" s="1067">
        <v>1000</v>
      </c>
      <c r="E532" s="625">
        <f t="shared" si="799"/>
        <v>-1</v>
      </c>
      <c r="F532" s="626" t="s">
        <v>996</v>
      </c>
      <c r="G532" s="593">
        <f ca="1">$E532*(SUMIF(INDIRECT(G$3),'Struktur Aktuell'!$D532,INDIRECT(G$4))-SUMIF(INDIRECT(G$3),'Struktur Aktuell'!$D532,INDIRECT(G$5)))</f>
        <v>417.29</v>
      </c>
      <c r="H532" s="593">
        <f ca="1">$E532*(SUMIF(INDIRECT(H$3),'Struktur Aktuell'!$D532,INDIRECT(H$4))-SUMIF(INDIRECT(H$3),'Struktur Aktuell'!$D532,INDIRECT(H$5)))</f>
        <v>-91.96</v>
      </c>
      <c r="I532" s="593">
        <f ca="1">$E532*(SUMIF(INDIRECT(I$3),'Struktur Aktuell'!$D532,INDIRECT(I$4))-SUMIF(INDIRECT(I$3),'Struktur Aktuell'!$D532,INDIRECT(I$5)))</f>
        <v>-146.04</v>
      </c>
      <c r="J532" s="593">
        <f ca="1">$E532*(SUMIF(INDIRECT(J$3),'Struktur Aktuell'!$D532,INDIRECT(J$4))-SUMIF(INDIRECT(J$3),'Struktur Aktuell'!$D532,INDIRECT(J$5)))</f>
        <v>-26.08</v>
      </c>
      <c r="K532" s="593">
        <f ca="1">$E532*(SUMIF(INDIRECT(K$3),'Struktur Aktuell'!$D532,INDIRECT(K$4))-SUMIF(INDIRECT(K$3),'Struktur Aktuell'!$D532,INDIRECT(K$5)))</f>
        <v>-111.29</v>
      </c>
      <c r="L532" s="593">
        <f ca="1">$E532*(SUMIF(INDIRECT(L$3),'Struktur Aktuell'!$D532,INDIRECT(L$4))-SUMIF(INDIRECT(L$3),'Struktur Aktuell'!$D532,INDIRECT(L$5)))</f>
        <v>-62.1</v>
      </c>
      <c r="M532" s="593">
        <f ca="1">$E532*(SUMIF(INDIRECT(M$3),'Struktur Aktuell'!$D532,INDIRECT(M$4))-SUMIF(INDIRECT(M$3),'Struktur Aktuell'!$D532,INDIRECT(M$5)))</f>
        <v>38.61</v>
      </c>
      <c r="N532" s="593">
        <f ca="1">$E532*(SUMIF(INDIRECT(N$3),'Struktur Aktuell'!$D532,INDIRECT(N$4))-SUMIF(INDIRECT(N$3),'Struktur Aktuell'!$D532,INDIRECT(N$5)))</f>
        <v>-13.56</v>
      </c>
      <c r="O532" s="593">
        <f ca="1">$E532*(SUMIF(INDIRECT(O$3),'Struktur Aktuell'!$D532,INDIRECT(O$4))-SUMIF(INDIRECT(O$3),'Struktur Aktuell'!$D532,INDIRECT(O$5)))</f>
        <v>330.71</v>
      </c>
      <c r="P532" s="593">
        <f ca="1">$E532*(SUMIF(INDIRECT(P$3),'Struktur Aktuell'!$D532,INDIRECT(P$4))-SUMIF(INDIRECT(P$3),'Struktur Aktuell'!$D532,INDIRECT(P$5)))</f>
        <v>-23.25</v>
      </c>
      <c r="Q532" s="593">
        <f ca="1">$E532*(SUMIF(INDIRECT(Q$3),'Struktur Aktuell'!$D532,INDIRECT(Q$4))-SUMIF(INDIRECT(Q$3),'Struktur Aktuell'!$D532,INDIRECT(Q$5)))</f>
        <v>0</v>
      </c>
      <c r="R532" s="593">
        <f ca="1">$E532*(SUMIF(INDIRECT(R$3),'Struktur Aktuell'!$D532,INDIRECT(R$4))-SUMIF(INDIRECT(R$3),'Struktur Aktuell'!$D532,INDIRECT(R$5)))</f>
        <v>0</v>
      </c>
      <c r="S532" s="593">
        <f ca="1">$E532*(SUMIF(INDIRECT(S$3),'Struktur Aktuell'!$D532,INDIRECT(S$4))-SUMIF(INDIRECT(S$3),'Struktur Aktuell'!$D532,INDIRECT(S$5)))</f>
        <v>590.67999999999995</v>
      </c>
      <c r="T532" s="593">
        <f ca="1">$E532*(SUMIF(INDIRECT(T$3),'Struktur Aktuell'!$D532,INDIRECT(T$4))-SUMIF(INDIRECT(T$3),'Struktur Aktuell'!$D532,INDIRECT(T$5)))</f>
        <v>498.72</v>
      </c>
      <c r="U532" s="593">
        <f ca="1">$E532*(SUMIF(INDIRECT(U$3),'Struktur Aktuell'!$D532,INDIRECT(U$4))-SUMIF(INDIRECT(U$3),'Struktur Aktuell'!$D532,INDIRECT(U$5)))</f>
        <v>352.68</v>
      </c>
      <c r="V532" s="593">
        <f ca="1">$E532*(SUMIF(INDIRECT(V$3),'Struktur Aktuell'!$D532,INDIRECT(V$4))-SUMIF(INDIRECT(V$3),'Struktur Aktuell'!$D532,INDIRECT(V$5)))</f>
        <v>326.60000000000002</v>
      </c>
      <c r="W532" s="593">
        <f ca="1">$E532*(SUMIF(INDIRECT(W$3),'Struktur Aktuell'!$D532,INDIRECT(W$4))-SUMIF(INDIRECT(W$3),'Struktur Aktuell'!$D532,INDIRECT(W$5)))</f>
        <v>215.31</v>
      </c>
      <c r="X532" s="593">
        <f ca="1">$E532*(SUMIF(INDIRECT(X$3),'Struktur Aktuell'!$D532,INDIRECT(X$4))-SUMIF(INDIRECT(X$3),'Struktur Aktuell'!$D532,INDIRECT(X$5)))</f>
        <v>153.21</v>
      </c>
      <c r="Y532" s="593">
        <f ca="1">$E532*(SUMIF(INDIRECT(Y$3),'Struktur Aktuell'!$D532,INDIRECT(Y$4))-SUMIF(INDIRECT(Y$3),'Struktur Aktuell'!$D532,INDIRECT(Y$5)))</f>
        <v>191.82</v>
      </c>
      <c r="Z532" s="593">
        <f ca="1">$E532*(SUMIF(INDIRECT(Z$3),'Struktur Aktuell'!$D532,INDIRECT(Z$4))-SUMIF(INDIRECT(Z$3),'Struktur Aktuell'!$D532,INDIRECT(Z$5)))</f>
        <v>178.26</v>
      </c>
      <c r="AA532" s="593">
        <f ca="1">$E532*(SUMIF(INDIRECT(AA$3),'Struktur Aktuell'!$D532,INDIRECT(AA$4))-SUMIF(INDIRECT(AA$3),'Struktur Aktuell'!$D532,INDIRECT(AA$5)))</f>
        <v>508.97</v>
      </c>
      <c r="AB532" s="593">
        <f ca="1">$E532*(SUMIF(INDIRECT(AB$3),'Struktur Aktuell'!$D532,INDIRECT(AB$4))-SUMIF(INDIRECT(AB$3),'Struktur Aktuell'!$D532,INDIRECT(AB$5)))</f>
        <v>485.72</v>
      </c>
      <c r="AC532" s="593">
        <f ca="1">$E532*(SUMIF(INDIRECT(AC$3),'Struktur Aktuell'!$D532,INDIRECT(AC$4))-SUMIF(INDIRECT(AC$3),'Struktur Aktuell'!$D532,INDIRECT(AC$5)))</f>
        <v>0</v>
      </c>
      <c r="AD532" s="593">
        <f ca="1">$E532*(SUMIF(INDIRECT(AD$3),'Struktur Aktuell'!$D532,INDIRECT(AD$4))-SUMIF(INDIRECT(AD$3),'Struktur Aktuell'!$D532,INDIRECT(AD$5)))</f>
        <v>0</v>
      </c>
      <c r="AE532" s="593">
        <f t="shared" ref="AE532:AE537" ca="1" si="802">G532</f>
        <v>417.29</v>
      </c>
      <c r="AF532" s="593">
        <f t="shared" ref="AF532:AF537" ca="1" si="803">H532+AE532</f>
        <v>325.33000000000004</v>
      </c>
      <c r="AG532" s="593">
        <f t="shared" ref="AG532:AG537" ca="1" si="804">I532+AF532</f>
        <v>179.29000000000005</v>
      </c>
      <c r="AH532" s="593">
        <f t="shared" ref="AH532:AH537" ca="1" si="805">J532+AG532</f>
        <v>153.21000000000004</v>
      </c>
      <c r="AI532" s="593">
        <f t="shared" ref="AI532:AI537" ca="1" si="806">K532+AH532</f>
        <v>41.92000000000003</v>
      </c>
      <c r="AJ532" s="593">
        <f t="shared" ref="AJ532:AJ537" ca="1" si="807">L532+AI532</f>
        <v>-20.179999999999971</v>
      </c>
      <c r="AK532" s="593">
        <f t="shared" ref="AK532:AK537" ca="1" si="808">M532+AJ532</f>
        <v>18.430000000000028</v>
      </c>
      <c r="AL532" s="593">
        <f t="shared" ref="AL532:AL537" ca="1" si="809">N532+AK532</f>
        <v>4.8700000000000276</v>
      </c>
      <c r="AM532" s="593">
        <f t="shared" ref="AM532:AM537" ca="1" si="810">O532+AL532</f>
        <v>335.58</v>
      </c>
      <c r="AN532" s="593">
        <f t="shared" ref="AN532:AN537" ca="1" si="811">P532+AM532</f>
        <v>312.33</v>
      </c>
      <c r="AO532" s="593">
        <f t="shared" ref="AO532:AO537" ca="1" si="812">Q532+AN532</f>
        <v>312.33</v>
      </c>
      <c r="AP532" s="593">
        <f t="shared" ref="AP532:AP537" ca="1" si="813">R532+AO532</f>
        <v>312.33</v>
      </c>
    </row>
    <row r="533" spans="1:42" s="594" customFormat="1" ht="11.25" outlineLevel="1" x14ac:dyDescent="0.2">
      <c r="A533" s="644"/>
      <c r="B533" s="591" t="str">
        <f>IF(D533&lt;&gt;"",
IF(ISERROR(MATCH(D533,'Ist Aktuell Monat 01'!A:A,0))=FALSE,INDEX('Ist Aktuell Monat 01'!B:B,MATCH(D533,'Ist Aktuell Monat 01'!A:A,0)),
IF(ISERROR(MATCH(D533,'Ist Aktuell Monat 02'!A:A,0))=FALSE,INDEX('Ist Aktuell Monat 02'!B:B,MATCH(D533,'Ist Aktuell Monat 02'!A:A,0)),
IF(ISERROR(MATCH(D533,'Ist Aktuell Monat 03'!A:A,0))=FALSE,INDEX('Ist Aktuell Monat 03'!B:B,MATCH(D533,'Ist Aktuell Monat 03'!A:A,0)),
IF(ISERROR(MATCH(D533,'Ist Aktuell Monat 04'!A:A,0))=FALSE,INDEX('Ist Aktuell Monat 04'!B:B,MATCH(D533,'Ist Aktuell Monat 04'!A:A,0)),
IF(ISERROR(MATCH(D533,'Ist Aktuell Monat 05'!A:A,0))=FALSE,INDEX('Ist Aktuell Monat 05'!B:B,MATCH(D533,'Ist Aktuell Monat 05'!A:A,0)),
IF(ISERROR(MATCH(D533,'Ist Aktuell Monat 06'!A:A,0))=FALSE,INDEX('Ist Aktuell Monat 06'!B:B,MATCH(D533,'Ist Aktuell Monat 06'!A:A,0)),
IF(ISERROR(MATCH(D533,'Ist Aktuell Monat 07'!A:A,0))=FALSE,INDEX('Ist Aktuell Monat 07'!B:B,MATCH(D533,'Ist Aktuell Monat 07'!A:A,0)),
IF(ISERROR(MATCH(D533,'Ist Aktuell Monat 08'!A:A,0))=FALSE,INDEX('Ist Aktuell Monat 08'!B:B,MATCH(D533,'Ist Aktuell Monat 08'!A:A,0)),
IF(ISERROR(MATCH(D533,'Ist Aktuell Monat 09'!A:A,0))=FALSE,INDEX('Ist Aktuell Monat 09'!B:B,MATCH(D533,'Ist Aktuell Monat 09'!A:A,0)),
IF(ISERROR(MATCH(D533,'Ist Aktuell Monat 10'!A:A,0))=FALSE,INDEX('Ist Aktuell Monat 10'!B:B,MATCH(D533,'Ist Aktuell Monat 10'!A:A,0)),
IF(ISERROR(MATCH(D533,'Ist Aktuell Monat 11'!A:A,0))=FALSE,INDEX('Ist Aktuell Monat 11'!B:B,MATCH(D533,'Ist Aktuell Monat 11'!A:A,0)),
IF(ISERROR(MATCH(D533,'Ist Aktuell Monat 12'!A:A,0))=FALSE,INDEX('Ist Aktuell Monat 12'!B:B,MATCH(D533,'Ist Aktuell Monat 12'!A:A,0)),
"{Konto unbekannt}"
)))))))))))),"")</f>
        <v>Kreissparkasse 4405627</v>
      </c>
      <c r="C533" s="1062"/>
      <c r="D533" s="1067">
        <v>1200</v>
      </c>
      <c r="E533" s="625">
        <f t="shared" si="799"/>
        <v>-1</v>
      </c>
      <c r="F533" s="626" t="s">
        <v>996</v>
      </c>
      <c r="G533" s="593">
        <f ca="1">$E533*(SUMIF(INDIRECT(G$3),'Struktur Aktuell'!$D533,INDIRECT(G$4))-SUMIF(INDIRECT(G$3),'Struktur Aktuell'!$D533,INDIRECT(G$5)))</f>
        <v>10036.26</v>
      </c>
      <c r="H533" s="593">
        <f ca="1">$E533*(SUMIF(INDIRECT(H$3),'Struktur Aktuell'!$D533,INDIRECT(H$4))-SUMIF(INDIRECT(H$3),'Struktur Aktuell'!$D533,INDIRECT(H$5)))</f>
        <v>-13802.12</v>
      </c>
      <c r="I533" s="593">
        <f ca="1">$E533*(SUMIF(INDIRECT(I$3),'Struktur Aktuell'!$D533,INDIRECT(I$4))-SUMIF(INDIRECT(I$3),'Struktur Aktuell'!$D533,INDIRECT(I$5)))</f>
        <v>1719.6</v>
      </c>
      <c r="J533" s="593">
        <f ca="1">$E533*(SUMIF(INDIRECT(J$3),'Struktur Aktuell'!$D533,INDIRECT(J$4))-SUMIF(INDIRECT(J$3),'Struktur Aktuell'!$D533,INDIRECT(J$5)))</f>
        <v>29724.76</v>
      </c>
      <c r="K533" s="593">
        <f ca="1">$E533*(SUMIF(INDIRECT(K$3),'Struktur Aktuell'!$D533,INDIRECT(K$4))-SUMIF(INDIRECT(K$3),'Struktur Aktuell'!$D533,INDIRECT(K$5)))</f>
        <v>-40232.589999999997</v>
      </c>
      <c r="L533" s="593">
        <f ca="1">$E533*(SUMIF(INDIRECT(L$3),'Struktur Aktuell'!$D533,INDIRECT(L$4))-SUMIF(INDIRECT(L$3),'Struktur Aktuell'!$D533,INDIRECT(L$5)))</f>
        <v>1441.33</v>
      </c>
      <c r="M533" s="593">
        <f ca="1">$E533*(SUMIF(INDIRECT(M$3),'Struktur Aktuell'!$D533,INDIRECT(M$4))-SUMIF(INDIRECT(M$3),'Struktur Aktuell'!$D533,INDIRECT(M$5)))</f>
        <v>8738.74</v>
      </c>
      <c r="N533" s="593">
        <f ca="1">$E533*(SUMIF(INDIRECT(N$3),'Struktur Aktuell'!$D533,INDIRECT(N$4))-SUMIF(INDIRECT(N$3),'Struktur Aktuell'!$D533,INDIRECT(N$5)))</f>
        <v>39640.01</v>
      </c>
      <c r="O533" s="593">
        <f ca="1">$E533*(SUMIF(INDIRECT(O$3),'Struktur Aktuell'!$D533,INDIRECT(O$4))-SUMIF(INDIRECT(O$3),'Struktur Aktuell'!$D533,INDIRECT(O$5)))</f>
        <v>-12649.55</v>
      </c>
      <c r="P533" s="593">
        <f ca="1">$E533*(SUMIF(INDIRECT(P$3),'Struktur Aktuell'!$D533,INDIRECT(P$4))-SUMIF(INDIRECT(P$3),'Struktur Aktuell'!$D533,INDIRECT(P$5)))</f>
        <v>-9336.26</v>
      </c>
      <c r="Q533" s="593">
        <f ca="1">$E533*(SUMIF(INDIRECT(Q$3),'Struktur Aktuell'!$D533,INDIRECT(Q$4))-SUMIF(INDIRECT(Q$3),'Struktur Aktuell'!$D533,INDIRECT(Q$5)))</f>
        <v>0</v>
      </c>
      <c r="R533" s="593">
        <f ca="1">$E533*(SUMIF(INDIRECT(R$3),'Struktur Aktuell'!$D533,INDIRECT(R$4))-SUMIF(INDIRECT(R$3),'Struktur Aktuell'!$D533,INDIRECT(R$5)))</f>
        <v>0</v>
      </c>
      <c r="S533" s="593">
        <f ca="1">$E533*(SUMIF(INDIRECT(S$3),'Struktur Aktuell'!$D533,INDIRECT(S$4))-SUMIF(INDIRECT(S$3),'Struktur Aktuell'!$D533,INDIRECT(S$5)))</f>
        <v>26509.81</v>
      </c>
      <c r="T533" s="593">
        <f ca="1">$E533*(SUMIF(INDIRECT(T$3),'Struktur Aktuell'!$D533,INDIRECT(T$4))-SUMIF(INDIRECT(T$3),'Struktur Aktuell'!$D533,INDIRECT(T$5)))</f>
        <v>12707.69</v>
      </c>
      <c r="U533" s="593">
        <f ca="1">$E533*(SUMIF(INDIRECT(U$3),'Struktur Aktuell'!$D533,INDIRECT(U$4))-SUMIF(INDIRECT(U$3),'Struktur Aktuell'!$D533,INDIRECT(U$5)))</f>
        <v>14427.29</v>
      </c>
      <c r="V533" s="593">
        <f ca="1">$E533*(SUMIF(INDIRECT(V$3),'Struktur Aktuell'!$D533,INDIRECT(V$4))-SUMIF(INDIRECT(V$3),'Struktur Aktuell'!$D533,INDIRECT(V$5)))</f>
        <v>44152.05</v>
      </c>
      <c r="W533" s="593">
        <f ca="1">$E533*(SUMIF(INDIRECT(W$3),'Struktur Aktuell'!$D533,INDIRECT(W$4))-SUMIF(INDIRECT(W$3),'Struktur Aktuell'!$D533,INDIRECT(W$5)))</f>
        <v>3919.46</v>
      </c>
      <c r="X533" s="593">
        <f ca="1">$E533*(SUMIF(INDIRECT(X$3),'Struktur Aktuell'!$D533,INDIRECT(X$4))-SUMIF(INDIRECT(X$3),'Struktur Aktuell'!$D533,INDIRECT(X$5)))</f>
        <v>5360.79</v>
      </c>
      <c r="Y533" s="593">
        <f ca="1">$E533*(SUMIF(INDIRECT(Y$3),'Struktur Aktuell'!$D533,INDIRECT(Y$4))-SUMIF(INDIRECT(Y$3),'Struktur Aktuell'!$D533,INDIRECT(Y$5)))</f>
        <v>14099.53</v>
      </c>
      <c r="Z533" s="593">
        <f ca="1">$E533*(SUMIF(INDIRECT(Z$3),'Struktur Aktuell'!$D533,INDIRECT(Z$4))-SUMIF(INDIRECT(Z$3),'Struktur Aktuell'!$D533,INDIRECT(Z$5)))</f>
        <v>53739.54</v>
      </c>
      <c r="AA533" s="593">
        <f ca="1">$E533*(SUMIF(INDIRECT(AA$3),'Struktur Aktuell'!$D533,INDIRECT(AA$4))-SUMIF(INDIRECT(AA$3),'Struktur Aktuell'!$D533,INDIRECT(AA$5)))</f>
        <v>41089.99</v>
      </c>
      <c r="AB533" s="593">
        <f ca="1">$E533*(SUMIF(INDIRECT(AB$3),'Struktur Aktuell'!$D533,INDIRECT(AB$4))-SUMIF(INDIRECT(AB$3),'Struktur Aktuell'!$D533,INDIRECT(AB$5)))</f>
        <v>31753.73</v>
      </c>
      <c r="AC533" s="593">
        <f ca="1">$E533*(SUMIF(INDIRECT(AC$3),'Struktur Aktuell'!$D533,INDIRECT(AC$4))-SUMIF(INDIRECT(AC$3),'Struktur Aktuell'!$D533,INDIRECT(AC$5)))</f>
        <v>0</v>
      </c>
      <c r="AD533" s="593">
        <f ca="1">$E533*(SUMIF(INDIRECT(AD$3),'Struktur Aktuell'!$D533,INDIRECT(AD$4))-SUMIF(INDIRECT(AD$3),'Struktur Aktuell'!$D533,INDIRECT(AD$5)))</f>
        <v>0</v>
      </c>
      <c r="AE533" s="593">
        <f t="shared" ca="1" si="802"/>
        <v>10036.26</v>
      </c>
      <c r="AF533" s="593">
        <f t="shared" ca="1" si="803"/>
        <v>-3765.8600000000006</v>
      </c>
      <c r="AG533" s="593">
        <f t="shared" ca="1" si="804"/>
        <v>-2046.2600000000007</v>
      </c>
      <c r="AH533" s="593">
        <f t="shared" ca="1" si="805"/>
        <v>27678.499999999996</v>
      </c>
      <c r="AI533" s="593">
        <f t="shared" ca="1" si="806"/>
        <v>-12554.09</v>
      </c>
      <c r="AJ533" s="593">
        <f t="shared" ca="1" si="807"/>
        <v>-11112.76</v>
      </c>
      <c r="AK533" s="593">
        <f t="shared" ca="1" si="808"/>
        <v>-2374.0200000000004</v>
      </c>
      <c r="AL533" s="593">
        <f t="shared" ca="1" si="809"/>
        <v>37265.990000000005</v>
      </c>
      <c r="AM533" s="593">
        <f t="shared" ca="1" si="810"/>
        <v>24616.440000000006</v>
      </c>
      <c r="AN533" s="593">
        <f t="shared" ca="1" si="811"/>
        <v>15280.180000000006</v>
      </c>
      <c r="AO533" s="593">
        <f t="shared" ca="1" si="812"/>
        <v>15280.180000000006</v>
      </c>
      <c r="AP533" s="593">
        <f t="shared" ca="1" si="813"/>
        <v>15280.180000000006</v>
      </c>
    </row>
    <row r="534" spans="1:42" s="594" customFormat="1" ht="11.25" outlineLevel="1" x14ac:dyDescent="0.2">
      <c r="A534" s="644"/>
      <c r="B534" s="591" t="str">
        <f>IF(D534&lt;&gt;"",
IF(ISERROR(MATCH(D534,'Ist Aktuell Monat 01'!A:A,0))=FALSE,INDEX('Ist Aktuell Monat 01'!B:B,MATCH(D534,'Ist Aktuell Monat 01'!A:A,0)),
IF(ISERROR(MATCH(D534,'Ist Aktuell Monat 02'!A:A,0))=FALSE,INDEX('Ist Aktuell Monat 02'!B:B,MATCH(D534,'Ist Aktuell Monat 02'!A:A,0)),
IF(ISERROR(MATCH(D534,'Ist Aktuell Monat 03'!A:A,0))=FALSE,INDEX('Ist Aktuell Monat 03'!B:B,MATCH(D534,'Ist Aktuell Monat 03'!A:A,0)),
IF(ISERROR(MATCH(D534,'Ist Aktuell Monat 04'!A:A,0))=FALSE,INDEX('Ist Aktuell Monat 04'!B:B,MATCH(D534,'Ist Aktuell Monat 04'!A:A,0)),
IF(ISERROR(MATCH(D534,'Ist Aktuell Monat 05'!A:A,0))=FALSE,INDEX('Ist Aktuell Monat 05'!B:B,MATCH(D534,'Ist Aktuell Monat 05'!A:A,0)),
IF(ISERROR(MATCH(D534,'Ist Aktuell Monat 06'!A:A,0))=FALSE,INDEX('Ist Aktuell Monat 06'!B:B,MATCH(D534,'Ist Aktuell Monat 06'!A:A,0)),
IF(ISERROR(MATCH(D534,'Ist Aktuell Monat 07'!A:A,0))=FALSE,INDEX('Ist Aktuell Monat 07'!B:B,MATCH(D534,'Ist Aktuell Monat 07'!A:A,0)),
IF(ISERROR(MATCH(D534,'Ist Aktuell Monat 08'!A:A,0))=FALSE,INDEX('Ist Aktuell Monat 08'!B:B,MATCH(D534,'Ist Aktuell Monat 08'!A:A,0)),
IF(ISERROR(MATCH(D534,'Ist Aktuell Monat 09'!A:A,0))=FALSE,INDEX('Ist Aktuell Monat 09'!B:B,MATCH(D534,'Ist Aktuell Monat 09'!A:A,0)),
IF(ISERROR(MATCH(D534,'Ist Aktuell Monat 10'!A:A,0))=FALSE,INDEX('Ist Aktuell Monat 10'!B:B,MATCH(D534,'Ist Aktuell Monat 10'!A:A,0)),
IF(ISERROR(MATCH(D534,'Ist Aktuell Monat 11'!A:A,0))=FALSE,INDEX('Ist Aktuell Monat 11'!B:B,MATCH(D534,'Ist Aktuell Monat 11'!A:A,0)),
IF(ISERROR(MATCH(D534,'Ist Aktuell Monat 12'!A:A,0))=FALSE,INDEX('Ist Aktuell Monat 12'!B:B,MATCH(D534,'Ist Aktuell Monat 12'!A:A,0)),
"{Konto unbekannt}"
)))))))))))),"")</f>
        <v>Commerzbank # 2005783 75</v>
      </c>
      <c r="C534" s="1062"/>
      <c r="D534" s="1067">
        <v>1215</v>
      </c>
      <c r="E534" s="625">
        <f t="shared" si="799"/>
        <v>-1</v>
      </c>
      <c r="F534" s="626" t="s">
        <v>996</v>
      </c>
      <c r="G534" s="593">
        <f ca="1">$E534*(SUMIF(INDIRECT(G$3),'Struktur Aktuell'!$D534,INDIRECT(G$4))-SUMIF(INDIRECT(G$3),'Struktur Aktuell'!$D534,INDIRECT(G$5)))</f>
        <v>0</v>
      </c>
      <c r="H534" s="593">
        <f ca="1">$E534*(SUMIF(INDIRECT(H$3),'Struktur Aktuell'!$D534,INDIRECT(H$4))-SUMIF(INDIRECT(H$3),'Struktur Aktuell'!$D534,INDIRECT(H$5)))</f>
        <v>0</v>
      </c>
      <c r="I534" s="593">
        <f ca="1">$E534*(SUMIF(INDIRECT(I$3),'Struktur Aktuell'!$D534,INDIRECT(I$4))-SUMIF(INDIRECT(I$3),'Struktur Aktuell'!$D534,INDIRECT(I$5)))</f>
        <v>0</v>
      </c>
      <c r="J534" s="593">
        <f ca="1">$E534*(SUMIF(INDIRECT(J$3),'Struktur Aktuell'!$D534,INDIRECT(J$4))-SUMIF(INDIRECT(J$3),'Struktur Aktuell'!$D534,INDIRECT(J$5)))</f>
        <v>0</v>
      </c>
      <c r="K534" s="593">
        <f ca="1">$E534*(SUMIF(INDIRECT(K$3),'Struktur Aktuell'!$D534,INDIRECT(K$4))-SUMIF(INDIRECT(K$3),'Struktur Aktuell'!$D534,INDIRECT(K$5)))</f>
        <v>0</v>
      </c>
      <c r="L534" s="593">
        <f ca="1">$E534*(SUMIF(INDIRECT(L$3),'Struktur Aktuell'!$D534,INDIRECT(L$4))-SUMIF(INDIRECT(L$3),'Struktur Aktuell'!$D534,INDIRECT(L$5)))</f>
        <v>0</v>
      </c>
      <c r="M534" s="593">
        <f ca="1">$E534*(SUMIF(INDIRECT(M$3),'Struktur Aktuell'!$D534,INDIRECT(M$4))-SUMIF(INDIRECT(M$3),'Struktur Aktuell'!$D534,INDIRECT(M$5)))</f>
        <v>0</v>
      </c>
      <c r="N534" s="593">
        <f ca="1">$E534*(SUMIF(INDIRECT(N$3),'Struktur Aktuell'!$D534,INDIRECT(N$4))-SUMIF(INDIRECT(N$3),'Struktur Aktuell'!$D534,INDIRECT(N$5)))</f>
        <v>0</v>
      </c>
      <c r="O534" s="593">
        <f ca="1">$E534*(SUMIF(INDIRECT(O$3),'Struktur Aktuell'!$D534,INDIRECT(O$4))-SUMIF(INDIRECT(O$3),'Struktur Aktuell'!$D534,INDIRECT(O$5)))</f>
        <v>0</v>
      </c>
      <c r="P534" s="593">
        <f ca="1">$E534*(SUMIF(INDIRECT(P$3),'Struktur Aktuell'!$D534,INDIRECT(P$4))-SUMIF(INDIRECT(P$3),'Struktur Aktuell'!$D534,INDIRECT(P$5)))</f>
        <v>0</v>
      </c>
      <c r="Q534" s="593">
        <f ca="1">$E534*(SUMIF(INDIRECT(Q$3),'Struktur Aktuell'!$D534,INDIRECT(Q$4))-SUMIF(INDIRECT(Q$3),'Struktur Aktuell'!$D534,INDIRECT(Q$5)))</f>
        <v>0</v>
      </c>
      <c r="R534" s="593">
        <f ca="1">$E534*(SUMIF(INDIRECT(R$3),'Struktur Aktuell'!$D534,INDIRECT(R$4))-SUMIF(INDIRECT(R$3),'Struktur Aktuell'!$D534,INDIRECT(R$5)))</f>
        <v>0</v>
      </c>
      <c r="S534" s="593">
        <f ca="1">$E534*(SUMIF(INDIRECT(S$3),'Struktur Aktuell'!$D534,INDIRECT(S$4))-SUMIF(INDIRECT(S$3),'Struktur Aktuell'!$D534,INDIRECT(S$5)))</f>
        <v>-20</v>
      </c>
      <c r="T534" s="593">
        <f ca="1">$E534*(SUMIF(INDIRECT(T$3),'Struktur Aktuell'!$D534,INDIRECT(T$4))-SUMIF(INDIRECT(T$3),'Struktur Aktuell'!$D534,INDIRECT(T$5)))</f>
        <v>-20</v>
      </c>
      <c r="U534" s="593">
        <f ca="1">$E534*(SUMIF(INDIRECT(U$3),'Struktur Aktuell'!$D534,INDIRECT(U$4))-SUMIF(INDIRECT(U$3),'Struktur Aktuell'!$D534,INDIRECT(U$5)))</f>
        <v>-20</v>
      </c>
      <c r="V534" s="593">
        <f ca="1">$E534*(SUMIF(INDIRECT(V$3),'Struktur Aktuell'!$D534,INDIRECT(V$4))-SUMIF(INDIRECT(V$3),'Struktur Aktuell'!$D534,INDIRECT(V$5)))</f>
        <v>-20</v>
      </c>
      <c r="W534" s="593">
        <f ca="1">$E534*(SUMIF(INDIRECT(W$3),'Struktur Aktuell'!$D534,INDIRECT(W$4))-SUMIF(INDIRECT(W$3),'Struktur Aktuell'!$D534,INDIRECT(W$5)))</f>
        <v>-20</v>
      </c>
      <c r="X534" s="593">
        <f ca="1">$E534*(SUMIF(INDIRECT(X$3),'Struktur Aktuell'!$D534,INDIRECT(X$4))-SUMIF(INDIRECT(X$3),'Struktur Aktuell'!$D534,INDIRECT(X$5)))</f>
        <v>-20</v>
      </c>
      <c r="Y534" s="593">
        <f ca="1">$E534*(SUMIF(INDIRECT(Y$3),'Struktur Aktuell'!$D534,INDIRECT(Y$4))-SUMIF(INDIRECT(Y$3),'Struktur Aktuell'!$D534,INDIRECT(Y$5)))</f>
        <v>-20</v>
      </c>
      <c r="Z534" s="593">
        <f ca="1">$E534*(SUMIF(INDIRECT(Z$3),'Struktur Aktuell'!$D534,INDIRECT(Z$4))-SUMIF(INDIRECT(Z$3),'Struktur Aktuell'!$D534,INDIRECT(Z$5)))</f>
        <v>-20</v>
      </c>
      <c r="AA534" s="593">
        <f ca="1">$E534*(SUMIF(INDIRECT(AA$3),'Struktur Aktuell'!$D534,INDIRECT(AA$4))-SUMIF(INDIRECT(AA$3),'Struktur Aktuell'!$D534,INDIRECT(AA$5)))</f>
        <v>-20</v>
      </c>
      <c r="AB534" s="593">
        <f ca="1">$E534*(SUMIF(INDIRECT(AB$3),'Struktur Aktuell'!$D534,INDIRECT(AB$4))-SUMIF(INDIRECT(AB$3),'Struktur Aktuell'!$D534,INDIRECT(AB$5)))</f>
        <v>-20</v>
      </c>
      <c r="AC534" s="593">
        <f ca="1">$E534*(SUMIF(INDIRECT(AC$3),'Struktur Aktuell'!$D534,INDIRECT(AC$4))-SUMIF(INDIRECT(AC$3),'Struktur Aktuell'!$D534,INDIRECT(AC$5)))</f>
        <v>0</v>
      </c>
      <c r="AD534" s="593">
        <f ca="1">$E534*(SUMIF(INDIRECT(AD$3),'Struktur Aktuell'!$D534,INDIRECT(AD$4))-SUMIF(INDIRECT(AD$3),'Struktur Aktuell'!$D534,INDIRECT(AD$5)))</f>
        <v>0</v>
      </c>
      <c r="AE534" s="593">
        <f t="shared" ca="1" si="802"/>
        <v>0</v>
      </c>
      <c r="AF534" s="593">
        <f t="shared" ca="1" si="803"/>
        <v>0</v>
      </c>
      <c r="AG534" s="593">
        <f t="shared" ca="1" si="804"/>
        <v>0</v>
      </c>
      <c r="AH534" s="593">
        <f t="shared" ca="1" si="805"/>
        <v>0</v>
      </c>
      <c r="AI534" s="593">
        <f t="shared" ca="1" si="806"/>
        <v>0</v>
      </c>
      <c r="AJ534" s="593">
        <f t="shared" ca="1" si="807"/>
        <v>0</v>
      </c>
      <c r="AK534" s="593">
        <f t="shared" ca="1" si="808"/>
        <v>0</v>
      </c>
      <c r="AL534" s="593">
        <f t="shared" ca="1" si="809"/>
        <v>0</v>
      </c>
      <c r="AM534" s="593">
        <f t="shared" ca="1" si="810"/>
        <v>0</v>
      </c>
      <c r="AN534" s="593">
        <f t="shared" ca="1" si="811"/>
        <v>0</v>
      </c>
      <c r="AO534" s="593">
        <f t="shared" ca="1" si="812"/>
        <v>0</v>
      </c>
      <c r="AP534" s="593">
        <f t="shared" ca="1" si="813"/>
        <v>0</v>
      </c>
    </row>
    <row r="535" spans="1:42" s="594" customFormat="1" ht="11.25" outlineLevel="1" x14ac:dyDescent="0.2">
      <c r="A535" s="644"/>
      <c r="B535" s="591" t="str">
        <f>IF(D535&lt;&gt;"",
IF(ISERROR(MATCH(D535,'Ist Aktuell Monat 01'!A:A,0))=FALSE,INDEX('Ist Aktuell Monat 01'!B:B,MATCH(D535,'Ist Aktuell Monat 01'!A:A,0)),
IF(ISERROR(MATCH(D535,'Ist Aktuell Monat 02'!A:A,0))=FALSE,INDEX('Ist Aktuell Monat 02'!B:B,MATCH(D535,'Ist Aktuell Monat 02'!A:A,0)),
IF(ISERROR(MATCH(D535,'Ist Aktuell Monat 03'!A:A,0))=FALSE,INDEX('Ist Aktuell Monat 03'!B:B,MATCH(D535,'Ist Aktuell Monat 03'!A:A,0)),
IF(ISERROR(MATCH(D535,'Ist Aktuell Monat 04'!A:A,0))=FALSE,INDEX('Ist Aktuell Monat 04'!B:B,MATCH(D535,'Ist Aktuell Monat 04'!A:A,0)),
IF(ISERROR(MATCH(D535,'Ist Aktuell Monat 05'!A:A,0))=FALSE,INDEX('Ist Aktuell Monat 05'!B:B,MATCH(D535,'Ist Aktuell Monat 05'!A:A,0)),
IF(ISERROR(MATCH(D535,'Ist Aktuell Monat 06'!A:A,0))=FALSE,INDEX('Ist Aktuell Monat 06'!B:B,MATCH(D535,'Ist Aktuell Monat 06'!A:A,0)),
IF(ISERROR(MATCH(D535,'Ist Aktuell Monat 07'!A:A,0))=FALSE,INDEX('Ist Aktuell Monat 07'!B:B,MATCH(D535,'Ist Aktuell Monat 07'!A:A,0)),
IF(ISERROR(MATCH(D535,'Ist Aktuell Monat 08'!A:A,0))=FALSE,INDEX('Ist Aktuell Monat 08'!B:B,MATCH(D535,'Ist Aktuell Monat 08'!A:A,0)),
IF(ISERROR(MATCH(D535,'Ist Aktuell Monat 09'!A:A,0))=FALSE,INDEX('Ist Aktuell Monat 09'!B:B,MATCH(D535,'Ist Aktuell Monat 09'!A:A,0)),
IF(ISERROR(MATCH(D535,'Ist Aktuell Monat 10'!A:A,0))=FALSE,INDEX('Ist Aktuell Monat 10'!B:B,MATCH(D535,'Ist Aktuell Monat 10'!A:A,0)),
IF(ISERROR(MATCH(D535,'Ist Aktuell Monat 11'!A:A,0))=FALSE,INDEX('Ist Aktuell Monat 11'!B:B,MATCH(D535,'Ist Aktuell Monat 11'!A:A,0)),
IF(ISERROR(MATCH(D535,'Ist Aktuell Monat 12'!A:A,0))=FALSE,INDEX('Ist Aktuell Monat 12'!B:B,MATCH(D535,'Ist Aktuell Monat 12'!A:A,0)),
"{Konto unbekannt}"
)))))))))))),"")</f>
        <v>Geldmarktkonto # 154911440</v>
      </c>
      <c r="C535" s="1062"/>
      <c r="D535" s="1067">
        <v>1250</v>
      </c>
      <c r="E535" s="625">
        <f t="shared" si="799"/>
        <v>-1</v>
      </c>
      <c r="F535" s="626" t="s">
        <v>996</v>
      </c>
      <c r="G535" s="593">
        <f ca="1">$E535*(SUMIF(INDIRECT(G$3),'Struktur Aktuell'!$D535,INDIRECT(G$4))-SUMIF(INDIRECT(G$3),'Struktur Aktuell'!$D535,INDIRECT(G$5)))</f>
        <v>35000</v>
      </c>
      <c r="H535" s="593">
        <f ca="1">$E535*(SUMIF(INDIRECT(H$3),'Struktur Aktuell'!$D535,INDIRECT(H$4))-SUMIF(INDIRECT(H$3),'Struktur Aktuell'!$D535,INDIRECT(H$5)))</f>
        <v>0</v>
      </c>
      <c r="I535" s="593">
        <f ca="1">$E535*(SUMIF(INDIRECT(I$3),'Struktur Aktuell'!$D535,INDIRECT(I$4))-SUMIF(INDIRECT(I$3),'Struktur Aktuell'!$D535,INDIRECT(I$5)))</f>
        <v>-10000</v>
      </c>
      <c r="J535" s="593">
        <f ca="1">$E535*(SUMIF(INDIRECT(J$3),'Struktur Aktuell'!$D535,INDIRECT(J$4))-SUMIF(INDIRECT(J$3),'Struktur Aktuell'!$D535,INDIRECT(J$5)))</f>
        <v>-50000</v>
      </c>
      <c r="K535" s="593">
        <f ca="1">$E535*(SUMIF(INDIRECT(K$3),'Struktur Aktuell'!$D535,INDIRECT(K$4))-SUMIF(INDIRECT(K$3),'Struktur Aktuell'!$D535,INDIRECT(K$5)))</f>
        <v>-10000</v>
      </c>
      <c r="L535" s="593">
        <f ca="1">$E535*(SUMIF(INDIRECT(L$3),'Struktur Aktuell'!$D535,INDIRECT(L$4))-SUMIF(INDIRECT(L$3),'Struktur Aktuell'!$D535,INDIRECT(L$5)))</f>
        <v>-15000</v>
      </c>
      <c r="M535" s="593">
        <f ca="1">$E535*(SUMIF(INDIRECT(M$3),'Struktur Aktuell'!$D535,INDIRECT(M$4))-SUMIF(INDIRECT(M$3),'Struktur Aktuell'!$D535,INDIRECT(M$5)))</f>
        <v>-15000</v>
      </c>
      <c r="N535" s="593">
        <f ca="1">$E535*(SUMIF(INDIRECT(N$3),'Struktur Aktuell'!$D535,INDIRECT(N$4))-SUMIF(INDIRECT(N$3),'Struktur Aktuell'!$D535,INDIRECT(N$5)))</f>
        <v>0</v>
      </c>
      <c r="O535" s="593">
        <f ca="1">$E535*(SUMIF(INDIRECT(O$3),'Struktur Aktuell'!$D535,INDIRECT(O$4))-SUMIF(INDIRECT(O$3),'Struktur Aktuell'!$D535,INDIRECT(O$5)))</f>
        <v>0</v>
      </c>
      <c r="P535" s="593">
        <f ca="1">$E535*(SUMIF(INDIRECT(P$3),'Struktur Aktuell'!$D535,INDIRECT(P$4))-SUMIF(INDIRECT(P$3),'Struktur Aktuell'!$D535,INDIRECT(P$5)))</f>
        <v>0</v>
      </c>
      <c r="Q535" s="593">
        <f ca="1">$E535*(SUMIF(INDIRECT(Q$3),'Struktur Aktuell'!$D535,INDIRECT(Q$4))-SUMIF(INDIRECT(Q$3),'Struktur Aktuell'!$D535,INDIRECT(Q$5)))</f>
        <v>0</v>
      </c>
      <c r="R535" s="593">
        <f ca="1">$E535*(SUMIF(INDIRECT(R$3),'Struktur Aktuell'!$D535,INDIRECT(R$4))-SUMIF(INDIRECT(R$3),'Struktur Aktuell'!$D535,INDIRECT(R$5)))</f>
        <v>0</v>
      </c>
      <c r="S535" s="593">
        <f ca="1">$E535*(SUMIF(INDIRECT(S$3),'Struktur Aktuell'!$D535,INDIRECT(S$4))-SUMIF(INDIRECT(S$3),'Struktur Aktuell'!$D535,INDIRECT(S$5)))</f>
        <v>100000</v>
      </c>
      <c r="T535" s="593">
        <f ca="1">$E535*(SUMIF(INDIRECT(T$3),'Struktur Aktuell'!$D535,INDIRECT(T$4))-SUMIF(INDIRECT(T$3),'Struktur Aktuell'!$D535,INDIRECT(T$5)))</f>
        <v>100000</v>
      </c>
      <c r="U535" s="593">
        <f ca="1">$E535*(SUMIF(INDIRECT(U$3),'Struktur Aktuell'!$D535,INDIRECT(U$4))-SUMIF(INDIRECT(U$3),'Struktur Aktuell'!$D535,INDIRECT(U$5)))</f>
        <v>90000</v>
      </c>
      <c r="V535" s="593">
        <f ca="1">$E535*(SUMIF(INDIRECT(V$3),'Struktur Aktuell'!$D535,INDIRECT(V$4))-SUMIF(INDIRECT(V$3),'Struktur Aktuell'!$D535,INDIRECT(V$5)))</f>
        <v>40000</v>
      </c>
      <c r="W535" s="593">
        <f ca="1">$E535*(SUMIF(INDIRECT(W$3),'Struktur Aktuell'!$D535,INDIRECT(W$4))-SUMIF(INDIRECT(W$3),'Struktur Aktuell'!$D535,INDIRECT(W$5)))</f>
        <v>30000</v>
      </c>
      <c r="X535" s="593">
        <f ca="1">$E535*(SUMIF(INDIRECT(X$3),'Struktur Aktuell'!$D535,INDIRECT(X$4))-SUMIF(INDIRECT(X$3),'Struktur Aktuell'!$D535,INDIRECT(X$5)))</f>
        <v>15000</v>
      </c>
      <c r="Y535" s="593">
        <f ca="1">$E535*(SUMIF(INDIRECT(Y$3),'Struktur Aktuell'!$D535,INDIRECT(Y$4))-SUMIF(INDIRECT(Y$3),'Struktur Aktuell'!$D535,INDIRECT(Y$5)))</f>
        <v>0</v>
      </c>
      <c r="Z535" s="593">
        <f ca="1">$E535*(SUMIF(INDIRECT(Z$3),'Struktur Aktuell'!$D535,INDIRECT(Z$4))-SUMIF(INDIRECT(Z$3),'Struktur Aktuell'!$D535,INDIRECT(Z$5)))</f>
        <v>0</v>
      </c>
      <c r="AA535" s="593">
        <f ca="1">$E535*(SUMIF(INDIRECT(AA$3),'Struktur Aktuell'!$D535,INDIRECT(AA$4))-SUMIF(INDIRECT(AA$3),'Struktur Aktuell'!$D535,INDIRECT(AA$5)))</f>
        <v>0</v>
      </c>
      <c r="AB535" s="593">
        <f ca="1">$E535*(SUMIF(INDIRECT(AB$3),'Struktur Aktuell'!$D535,INDIRECT(AB$4))-SUMIF(INDIRECT(AB$3),'Struktur Aktuell'!$D535,INDIRECT(AB$5)))</f>
        <v>0</v>
      </c>
      <c r="AC535" s="593">
        <f ca="1">$E535*(SUMIF(INDIRECT(AC$3),'Struktur Aktuell'!$D535,INDIRECT(AC$4))-SUMIF(INDIRECT(AC$3),'Struktur Aktuell'!$D535,INDIRECT(AC$5)))</f>
        <v>0</v>
      </c>
      <c r="AD535" s="593">
        <f ca="1">$E535*(SUMIF(INDIRECT(AD$3),'Struktur Aktuell'!$D535,INDIRECT(AD$4))-SUMIF(INDIRECT(AD$3),'Struktur Aktuell'!$D535,INDIRECT(AD$5)))</f>
        <v>0</v>
      </c>
      <c r="AE535" s="593">
        <f t="shared" ca="1" si="802"/>
        <v>35000</v>
      </c>
      <c r="AF535" s="593">
        <f t="shared" ca="1" si="803"/>
        <v>35000</v>
      </c>
      <c r="AG535" s="593">
        <f t="shared" ca="1" si="804"/>
        <v>25000</v>
      </c>
      <c r="AH535" s="593">
        <f t="shared" ca="1" si="805"/>
        <v>-25000</v>
      </c>
      <c r="AI535" s="593">
        <f t="shared" ca="1" si="806"/>
        <v>-35000</v>
      </c>
      <c r="AJ535" s="593">
        <f t="shared" ca="1" si="807"/>
        <v>-50000</v>
      </c>
      <c r="AK535" s="593">
        <f t="shared" ca="1" si="808"/>
        <v>-65000</v>
      </c>
      <c r="AL535" s="593">
        <f t="shared" ca="1" si="809"/>
        <v>-65000</v>
      </c>
      <c r="AM535" s="593">
        <f t="shared" ca="1" si="810"/>
        <v>-65000</v>
      </c>
      <c r="AN535" s="593">
        <f t="shared" ca="1" si="811"/>
        <v>-65000</v>
      </c>
      <c r="AO535" s="593">
        <f t="shared" ca="1" si="812"/>
        <v>-65000</v>
      </c>
      <c r="AP535" s="593">
        <f t="shared" ca="1" si="813"/>
        <v>-65000</v>
      </c>
    </row>
    <row r="536" spans="1:42" s="594" customFormat="1" ht="11.25" x14ac:dyDescent="0.2">
      <c r="A536" s="644"/>
      <c r="B536" s="591" t="str">
        <f>IF(D536&lt;&gt;"",
IF(ISERROR(MATCH(D536,'Ist Aktuell Monat 01'!A:A,0))=FALSE,INDEX('Ist Aktuell Monat 01'!B:B,MATCH(D536,'Ist Aktuell Monat 01'!A:A,0)),
IF(ISERROR(MATCH(D536,'Ist Aktuell Monat 02'!A:A,0))=FALSE,INDEX('Ist Aktuell Monat 02'!B:B,MATCH(D536,'Ist Aktuell Monat 02'!A:A,0)),
IF(ISERROR(MATCH(D536,'Ist Aktuell Monat 03'!A:A,0))=FALSE,INDEX('Ist Aktuell Monat 03'!B:B,MATCH(D536,'Ist Aktuell Monat 03'!A:A,0)),
IF(ISERROR(MATCH(D536,'Ist Aktuell Monat 04'!A:A,0))=FALSE,INDEX('Ist Aktuell Monat 04'!B:B,MATCH(D536,'Ist Aktuell Monat 04'!A:A,0)),
IF(ISERROR(MATCH(D536,'Ist Aktuell Monat 05'!A:A,0))=FALSE,INDEX('Ist Aktuell Monat 05'!B:B,MATCH(D536,'Ist Aktuell Monat 05'!A:A,0)),
IF(ISERROR(MATCH(D536,'Ist Aktuell Monat 06'!A:A,0))=FALSE,INDEX('Ist Aktuell Monat 06'!B:B,MATCH(D536,'Ist Aktuell Monat 06'!A:A,0)),
IF(ISERROR(MATCH(D536,'Ist Aktuell Monat 07'!A:A,0))=FALSE,INDEX('Ist Aktuell Monat 07'!B:B,MATCH(D536,'Ist Aktuell Monat 07'!A:A,0)),
IF(ISERROR(MATCH(D536,'Ist Aktuell Monat 08'!A:A,0))=FALSE,INDEX('Ist Aktuell Monat 08'!B:B,MATCH(D536,'Ist Aktuell Monat 08'!A:A,0)),
IF(ISERROR(MATCH(D536,'Ist Aktuell Monat 09'!A:A,0))=FALSE,INDEX('Ist Aktuell Monat 09'!B:B,MATCH(D536,'Ist Aktuell Monat 09'!A:A,0)),
IF(ISERROR(MATCH(D536,'Ist Aktuell Monat 10'!A:A,0))=FALSE,INDEX('Ist Aktuell Monat 10'!B:B,MATCH(D536,'Ist Aktuell Monat 10'!A:A,0)),
IF(ISERROR(MATCH(D536,'Ist Aktuell Monat 11'!A:A,0))=FALSE,INDEX('Ist Aktuell Monat 11'!B:B,MATCH(D536,'Ist Aktuell Monat 11'!A:A,0)),
IF(ISERROR(MATCH(D536,'Ist Aktuell Monat 12'!A:A,0))=FALSE,INDEX('Ist Aktuell Monat 12'!B:B,MATCH(D536,'Ist Aktuell Monat 12'!A:A,0)),
"{Konto unbekannt}"
)))))))))))),"")</f>
        <v/>
      </c>
      <c r="C536" s="1062"/>
      <c r="D536" s="1067"/>
      <c r="E536" s="625">
        <f t="shared" si="799"/>
        <v>-1</v>
      </c>
      <c r="F536" s="626" t="s">
        <v>996</v>
      </c>
      <c r="G536" s="593">
        <f ca="1">$E536*(SUMIF(INDIRECT(G$3),'Struktur Aktuell'!$D536,INDIRECT(G$4))-SUMIF(INDIRECT(G$3),'Struktur Aktuell'!$D536,INDIRECT(G$5)))</f>
        <v>0</v>
      </c>
      <c r="H536" s="593">
        <f ca="1">$E536*(SUMIF(INDIRECT(H$3),'Struktur Aktuell'!$D536,INDIRECT(H$4))-SUMIF(INDIRECT(H$3),'Struktur Aktuell'!$D536,INDIRECT(H$5)))</f>
        <v>0</v>
      </c>
      <c r="I536" s="593">
        <f ca="1">$E536*(SUMIF(INDIRECT(I$3),'Struktur Aktuell'!$D536,INDIRECT(I$4))-SUMIF(INDIRECT(I$3),'Struktur Aktuell'!$D536,INDIRECT(I$5)))</f>
        <v>0</v>
      </c>
      <c r="J536" s="593">
        <f ca="1">$E536*(SUMIF(INDIRECT(J$3),'Struktur Aktuell'!$D536,INDIRECT(J$4))-SUMIF(INDIRECT(J$3),'Struktur Aktuell'!$D536,INDIRECT(J$5)))</f>
        <v>0</v>
      </c>
      <c r="K536" s="593">
        <f ca="1">$E536*(SUMIF(INDIRECT(K$3),'Struktur Aktuell'!$D536,INDIRECT(K$4))-SUMIF(INDIRECT(K$3),'Struktur Aktuell'!$D536,INDIRECT(K$5)))</f>
        <v>0</v>
      </c>
      <c r="L536" s="593">
        <f ca="1">$E536*(SUMIF(INDIRECT(L$3),'Struktur Aktuell'!$D536,INDIRECT(L$4))-SUMIF(INDIRECT(L$3),'Struktur Aktuell'!$D536,INDIRECT(L$5)))</f>
        <v>0</v>
      </c>
      <c r="M536" s="593">
        <f ca="1">$E536*(SUMIF(INDIRECT(M$3),'Struktur Aktuell'!$D536,INDIRECT(M$4))-SUMIF(INDIRECT(M$3),'Struktur Aktuell'!$D536,INDIRECT(M$5)))</f>
        <v>0</v>
      </c>
      <c r="N536" s="593">
        <f ca="1">$E536*(SUMIF(INDIRECT(N$3),'Struktur Aktuell'!$D536,INDIRECT(N$4))-SUMIF(INDIRECT(N$3),'Struktur Aktuell'!$D536,INDIRECT(N$5)))</f>
        <v>0</v>
      </c>
      <c r="O536" s="593">
        <f ca="1">$E536*(SUMIF(INDIRECT(O$3),'Struktur Aktuell'!$D536,INDIRECT(O$4))-SUMIF(INDIRECT(O$3),'Struktur Aktuell'!$D536,INDIRECT(O$5)))</f>
        <v>0</v>
      </c>
      <c r="P536" s="593">
        <f ca="1">$E536*(SUMIF(INDIRECT(P$3),'Struktur Aktuell'!$D536,INDIRECT(P$4))-SUMIF(INDIRECT(P$3),'Struktur Aktuell'!$D536,INDIRECT(P$5)))</f>
        <v>0</v>
      </c>
      <c r="Q536" s="593">
        <f ca="1">$E536*(SUMIF(INDIRECT(Q$3),'Struktur Aktuell'!$D536,INDIRECT(Q$4))-SUMIF(INDIRECT(Q$3),'Struktur Aktuell'!$D536,INDIRECT(Q$5)))</f>
        <v>0</v>
      </c>
      <c r="R536" s="593">
        <f ca="1">$E536*(SUMIF(INDIRECT(R$3),'Struktur Aktuell'!$D536,INDIRECT(R$4))-SUMIF(INDIRECT(R$3),'Struktur Aktuell'!$D536,INDIRECT(R$5)))</f>
        <v>0</v>
      </c>
      <c r="S536" s="593">
        <f ca="1">$E536*(SUMIF(INDIRECT(S$3),'Struktur Aktuell'!$D536,INDIRECT(S$4))-SUMIF(INDIRECT(S$3),'Struktur Aktuell'!$D536,INDIRECT(S$5)))</f>
        <v>0</v>
      </c>
      <c r="T536" s="593">
        <f ca="1">$E536*(SUMIF(INDIRECT(T$3),'Struktur Aktuell'!$D536,INDIRECT(T$4))-SUMIF(INDIRECT(T$3),'Struktur Aktuell'!$D536,INDIRECT(T$5)))</f>
        <v>0</v>
      </c>
      <c r="U536" s="593">
        <f ca="1">$E536*(SUMIF(INDIRECT(U$3),'Struktur Aktuell'!$D536,INDIRECT(U$4))-SUMIF(INDIRECT(U$3),'Struktur Aktuell'!$D536,INDIRECT(U$5)))</f>
        <v>0</v>
      </c>
      <c r="V536" s="593">
        <f ca="1">$E536*(SUMIF(INDIRECT(V$3),'Struktur Aktuell'!$D536,INDIRECT(V$4))-SUMIF(INDIRECT(V$3),'Struktur Aktuell'!$D536,INDIRECT(V$5)))</f>
        <v>0</v>
      </c>
      <c r="W536" s="593">
        <f ca="1">$E536*(SUMIF(INDIRECT(W$3),'Struktur Aktuell'!$D536,INDIRECT(W$4))-SUMIF(INDIRECT(W$3),'Struktur Aktuell'!$D536,INDIRECT(W$5)))</f>
        <v>0</v>
      </c>
      <c r="X536" s="593">
        <f ca="1">$E536*(SUMIF(INDIRECT(X$3),'Struktur Aktuell'!$D536,INDIRECT(X$4))-SUMIF(INDIRECT(X$3),'Struktur Aktuell'!$D536,INDIRECT(X$5)))</f>
        <v>0</v>
      </c>
      <c r="Y536" s="593">
        <f ca="1">$E536*(SUMIF(INDIRECT(Y$3),'Struktur Aktuell'!$D536,INDIRECT(Y$4))-SUMIF(INDIRECT(Y$3),'Struktur Aktuell'!$D536,INDIRECT(Y$5)))</f>
        <v>0</v>
      </c>
      <c r="Z536" s="593">
        <f ca="1">$E536*(SUMIF(INDIRECT(Z$3),'Struktur Aktuell'!$D536,INDIRECT(Z$4))-SUMIF(INDIRECT(Z$3),'Struktur Aktuell'!$D536,INDIRECT(Z$5)))</f>
        <v>0</v>
      </c>
      <c r="AA536" s="593">
        <f ca="1">$E536*(SUMIF(INDIRECT(AA$3),'Struktur Aktuell'!$D536,INDIRECT(AA$4))-SUMIF(INDIRECT(AA$3),'Struktur Aktuell'!$D536,INDIRECT(AA$5)))</f>
        <v>0</v>
      </c>
      <c r="AB536" s="593">
        <f ca="1">$E536*(SUMIF(INDIRECT(AB$3),'Struktur Aktuell'!$D536,INDIRECT(AB$4))-SUMIF(INDIRECT(AB$3),'Struktur Aktuell'!$D536,INDIRECT(AB$5)))</f>
        <v>0</v>
      </c>
      <c r="AC536" s="593">
        <f ca="1">$E536*(SUMIF(INDIRECT(AC$3),'Struktur Aktuell'!$D536,INDIRECT(AC$4))-SUMIF(INDIRECT(AC$3),'Struktur Aktuell'!$D536,INDIRECT(AC$5)))</f>
        <v>0</v>
      </c>
      <c r="AD536" s="593">
        <f ca="1">$E536*(SUMIF(INDIRECT(AD$3),'Struktur Aktuell'!$D536,INDIRECT(AD$4))-SUMIF(INDIRECT(AD$3),'Struktur Aktuell'!$D536,INDIRECT(AD$5)))</f>
        <v>0</v>
      </c>
      <c r="AE536" s="593">
        <f t="shared" ca="1" si="802"/>
        <v>0</v>
      </c>
      <c r="AF536" s="593">
        <f t="shared" ca="1" si="803"/>
        <v>0</v>
      </c>
      <c r="AG536" s="593">
        <f t="shared" ca="1" si="804"/>
        <v>0</v>
      </c>
      <c r="AH536" s="593">
        <f t="shared" ca="1" si="805"/>
        <v>0</v>
      </c>
      <c r="AI536" s="593">
        <f t="shared" ca="1" si="806"/>
        <v>0</v>
      </c>
      <c r="AJ536" s="593">
        <f t="shared" ca="1" si="807"/>
        <v>0</v>
      </c>
      <c r="AK536" s="593">
        <f t="shared" ca="1" si="808"/>
        <v>0</v>
      </c>
      <c r="AL536" s="593">
        <f t="shared" ca="1" si="809"/>
        <v>0</v>
      </c>
      <c r="AM536" s="593">
        <f t="shared" ca="1" si="810"/>
        <v>0</v>
      </c>
      <c r="AN536" s="593">
        <f t="shared" ca="1" si="811"/>
        <v>0</v>
      </c>
      <c r="AO536" s="593">
        <f t="shared" ca="1" si="812"/>
        <v>0</v>
      </c>
      <c r="AP536" s="593">
        <f t="shared" ca="1" si="813"/>
        <v>0</v>
      </c>
    </row>
    <row r="537" spans="1:42" s="594" customFormat="1" ht="11.25" outlineLevel="1" x14ac:dyDescent="0.2">
      <c r="A537" s="645"/>
      <c r="B537" s="591" t="str">
        <f>IF(D537&lt;&gt;"",
IF(ISERROR(MATCH(D537,'Ist Aktuell Monat 01'!A:A,0))=FALSE,INDEX('Ist Aktuell Monat 01'!B:B,MATCH(D537,'Ist Aktuell Monat 01'!A:A,0)),
IF(ISERROR(MATCH(D537,'Ist Aktuell Monat 02'!A:A,0))=FALSE,INDEX('Ist Aktuell Monat 02'!B:B,MATCH(D537,'Ist Aktuell Monat 02'!A:A,0)),
IF(ISERROR(MATCH(D537,'Ist Aktuell Monat 03'!A:A,0))=FALSE,INDEX('Ist Aktuell Monat 03'!B:B,MATCH(D537,'Ist Aktuell Monat 03'!A:A,0)),
IF(ISERROR(MATCH(D537,'Ist Aktuell Monat 04'!A:A,0))=FALSE,INDEX('Ist Aktuell Monat 04'!B:B,MATCH(D537,'Ist Aktuell Monat 04'!A:A,0)),
IF(ISERROR(MATCH(D537,'Ist Aktuell Monat 05'!A:A,0))=FALSE,INDEX('Ist Aktuell Monat 05'!B:B,MATCH(D537,'Ist Aktuell Monat 05'!A:A,0)),
IF(ISERROR(MATCH(D537,'Ist Aktuell Monat 06'!A:A,0))=FALSE,INDEX('Ist Aktuell Monat 06'!B:B,MATCH(D537,'Ist Aktuell Monat 06'!A:A,0)),
IF(ISERROR(MATCH(D537,'Ist Aktuell Monat 07'!A:A,0))=FALSE,INDEX('Ist Aktuell Monat 07'!B:B,MATCH(D537,'Ist Aktuell Monat 07'!A:A,0)),
IF(ISERROR(MATCH(D537,'Ist Aktuell Monat 08'!A:A,0))=FALSE,INDEX('Ist Aktuell Monat 08'!B:B,MATCH(D537,'Ist Aktuell Monat 08'!A:A,0)),
IF(ISERROR(MATCH(D537,'Ist Aktuell Monat 09'!A:A,0))=FALSE,INDEX('Ist Aktuell Monat 09'!B:B,MATCH(D537,'Ist Aktuell Monat 09'!A:A,0)),
IF(ISERROR(MATCH(D537,'Ist Aktuell Monat 10'!A:A,0))=FALSE,INDEX('Ist Aktuell Monat 10'!B:B,MATCH(D537,'Ist Aktuell Monat 10'!A:A,0)),
IF(ISERROR(MATCH(D537,'Ist Aktuell Monat 11'!A:A,0))=FALSE,INDEX('Ist Aktuell Monat 11'!B:B,MATCH(D537,'Ist Aktuell Monat 11'!A:A,0)),
IF(ISERROR(MATCH(D537,'Ist Aktuell Monat 12'!A:A,0))=FALSE,INDEX('Ist Aktuell Monat 12'!B:B,MATCH(D537,'Ist Aktuell Monat 12'!A:A,0)),
"{Konto unbekannt}"
)))))))))))),"")</f>
        <v/>
      </c>
      <c r="C537" s="1062"/>
      <c r="D537" s="1067"/>
      <c r="E537" s="630">
        <f t="shared" si="799"/>
        <v>-1</v>
      </c>
      <c r="F537" s="631" t="s">
        <v>996</v>
      </c>
      <c r="G537" s="632">
        <f ca="1">$E537*(SUMIF(INDIRECT(G$3),'Struktur Aktuell'!$D537,INDIRECT(G$4))-SUMIF(INDIRECT(G$3),'Struktur Aktuell'!$D537,INDIRECT(G$5)))</f>
        <v>0</v>
      </c>
      <c r="H537" s="632">
        <f ca="1">$E537*(SUMIF(INDIRECT(H$3),'Struktur Aktuell'!$D537,INDIRECT(H$4))-SUMIF(INDIRECT(H$3),'Struktur Aktuell'!$D537,INDIRECT(H$5)))</f>
        <v>0</v>
      </c>
      <c r="I537" s="632">
        <f ca="1">$E537*(SUMIF(INDIRECT(I$3),'Struktur Aktuell'!$D537,INDIRECT(I$4))-SUMIF(INDIRECT(I$3),'Struktur Aktuell'!$D537,INDIRECT(I$5)))</f>
        <v>0</v>
      </c>
      <c r="J537" s="632">
        <f ca="1">$E537*(SUMIF(INDIRECT(J$3),'Struktur Aktuell'!$D537,INDIRECT(J$4))-SUMIF(INDIRECT(J$3),'Struktur Aktuell'!$D537,INDIRECT(J$5)))</f>
        <v>0</v>
      </c>
      <c r="K537" s="632">
        <f ca="1">$E537*(SUMIF(INDIRECT(K$3),'Struktur Aktuell'!$D537,INDIRECT(K$4))-SUMIF(INDIRECT(K$3),'Struktur Aktuell'!$D537,INDIRECT(K$5)))</f>
        <v>0</v>
      </c>
      <c r="L537" s="632">
        <f ca="1">$E537*(SUMIF(INDIRECT(L$3),'Struktur Aktuell'!$D537,INDIRECT(L$4))-SUMIF(INDIRECT(L$3),'Struktur Aktuell'!$D537,INDIRECT(L$5)))</f>
        <v>0</v>
      </c>
      <c r="M537" s="632">
        <f ca="1">$E537*(SUMIF(INDIRECT(M$3),'Struktur Aktuell'!$D537,INDIRECT(M$4))-SUMIF(INDIRECT(M$3),'Struktur Aktuell'!$D537,INDIRECT(M$5)))</f>
        <v>0</v>
      </c>
      <c r="N537" s="632">
        <f ca="1">$E537*(SUMIF(INDIRECT(N$3),'Struktur Aktuell'!$D537,INDIRECT(N$4))-SUMIF(INDIRECT(N$3),'Struktur Aktuell'!$D537,INDIRECT(N$5)))</f>
        <v>0</v>
      </c>
      <c r="O537" s="632">
        <f ca="1">$E537*(SUMIF(INDIRECT(O$3),'Struktur Aktuell'!$D537,INDIRECT(O$4))-SUMIF(INDIRECT(O$3),'Struktur Aktuell'!$D537,INDIRECT(O$5)))</f>
        <v>0</v>
      </c>
      <c r="P537" s="632">
        <f ca="1">$E537*(SUMIF(INDIRECT(P$3),'Struktur Aktuell'!$D537,INDIRECT(P$4))-SUMIF(INDIRECT(P$3),'Struktur Aktuell'!$D537,INDIRECT(P$5)))</f>
        <v>0</v>
      </c>
      <c r="Q537" s="632">
        <f ca="1">$E537*(SUMIF(INDIRECT(Q$3),'Struktur Aktuell'!$D537,INDIRECT(Q$4))-SUMIF(INDIRECT(Q$3),'Struktur Aktuell'!$D537,INDIRECT(Q$5)))</f>
        <v>0</v>
      </c>
      <c r="R537" s="632">
        <f ca="1">$E537*(SUMIF(INDIRECT(R$3),'Struktur Aktuell'!$D537,INDIRECT(R$4))-SUMIF(INDIRECT(R$3),'Struktur Aktuell'!$D537,INDIRECT(R$5)))</f>
        <v>0</v>
      </c>
      <c r="S537" s="632">
        <f ca="1">$E537*(SUMIF(INDIRECT(S$3),'Struktur Aktuell'!$D537,INDIRECT(S$4))-SUMIF(INDIRECT(S$3),'Struktur Aktuell'!$D537,INDIRECT(S$5)))</f>
        <v>0</v>
      </c>
      <c r="T537" s="632">
        <f ca="1">$E537*(SUMIF(INDIRECT(T$3),'Struktur Aktuell'!$D537,INDIRECT(T$4))-SUMIF(INDIRECT(T$3),'Struktur Aktuell'!$D537,INDIRECT(T$5)))</f>
        <v>0</v>
      </c>
      <c r="U537" s="632">
        <f ca="1">$E537*(SUMIF(INDIRECT(U$3),'Struktur Aktuell'!$D537,INDIRECT(U$4))-SUMIF(INDIRECT(U$3),'Struktur Aktuell'!$D537,INDIRECT(U$5)))</f>
        <v>0</v>
      </c>
      <c r="V537" s="632">
        <f ca="1">$E537*(SUMIF(INDIRECT(V$3),'Struktur Aktuell'!$D537,INDIRECT(V$4))-SUMIF(INDIRECT(V$3),'Struktur Aktuell'!$D537,INDIRECT(V$5)))</f>
        <v>0</v>
      </c>
      <c r="W537" s="632">
        <f ca="1">$E537*(SUMIF(INDIRECT(W$3),'Struktur Aktuell'!$D537,INDIRECT(W$4))-SUMIF(INDIRECT(W$3),'Struktur Aktuell'!$D537,INDIRECT(W$5)))</f>
        <v>0</v>
      </c>
      <c r="X537" s="632">
        <f ca="1">$E537*(SUMIF(INDIRECT(X$3),'Struktur Aktuell'!$D537,INDIRECT(X$4))-SUMIF(INDIRECT(X$3),'Struktur Aktuell'!$D537,INDIRECT(X$5)))</f>
        <v>0</v>
      </c>
      <c r="Y537" s="632">
        <f ca="1">$E537*(SUMIF(INDIRECT(Y$3),'Struktur Aktuell'!$D537,INDIRECT(Y$4))-SUMIF(INDIRECT(Y$3),'Struktur Aktuell'!$D537,INDIRECT(Y$5)))</f>
        <v>0</v>
      </c>
      <c r="Z537" s="632">
        <f ca="1">$E537*(SUMIF(INDIRECT(Z$3),'Struktur Aktuell'!$D537,INDIRECT(Z$4))-SUMIF(INDIRECT(Z$3),'Struktur Aktuell'!$D537,INDIRECT(Z$5)))</f>
        <v>0</v>
      </c>
      <c r="AA537" s="632">
        <f ca="1">$E537*(SUMIF(INDIRECT(AA$3),'Struktur Aktuell'!$D537,INDIRECT(AA$4))-SUMIF(INDIRECT(AA$3),'Struktur Aktuell'!$D537,INDIRECT(AA$5)))</f>
        <v>0</v>
      </c>
      <c r="AB537" s="632">
        <f ca="1">$E537*(SUMIF(INDIRECT(AB$3),'Struktur Aktuell'!$D537,INDIRECT(AB$4))-SUMIF(INDIRECT(AB$3),'Struktur Aktuell'!$D537,INDIRECT(AB$5)))</f>
        <v>0</v>
      </c>
      <c r="AC537" s="632">
        <f ca="1">$E537*(SUMIF(INDIRECT(AC$3),'Struktur Aktuell'!$D537,INDIRECT(AC$4))-SUMIF(INDIRECT(AC$3),'Struktur Aktuell'!$D537,INDIRECT(AC$5)))</f>
        <v>0</v>
      </c>
      <c r="AD537" s="632">
        <f ca="1">$E537*(SUMIF(INDIRECT(AD$3),'Struktur Aktuell'!$D537,INDIRECT(AD$4))-SUMIF(INDIRECT(AD$3),'Struktur Aktuell'!$D537,INDIRECT(AD$5)))</f>
        <v>0</v>
      </c>
      <c r="AE537" s="593">
        <f t="shared" ca="1" si="802"/>
        <v>0</v>
      </c>
      <c r="AF537" s="593">
        <f t="shared" ca="1" si="803"/>
        <v>0</v>
      </c>
      <c r="AG537" s="593">
        <f t="shared" ca="1" si="804"/>
        <v>0</v>
      </c>
      <c r="AH537" s="593">
        <f t="shared" ca="1" si="805"/>
        <v>0</v>
      </c>
      <c r="AI537" s="593">
        <f t="shared" ca="1" si="806"/>
        <v>0</v>
      </c>
      <c r="AJ537" s="593">
        <f t="shared" ca="1" si="807"/>
        <v>0</v>
      </c>
      <c r="AK537" s="593">
        <f t="shared" ca="1" si="808"/>
        <v>0</v>
      </c>
      <c r="AL537" s="593">
        <f t="shared" ca="1" si="809"/>
        <v>0</v>
      </c>
      <c r="AM537" s="593">
        <f t="shared" ca="1" si="810"/>
        <v>0</v>
      </c>
      <c r="AN537" s="593">
        <f t="shared" ca="1" si="811"/>
        <v>0</v>
      </c>
      <c r="AO537" s="593">
        <f t="shared" ca="1" si="812"/>
        <v>0</v>
      </c>
      <c r="AP537" s="593">
        <f t="shared" ca="1" si="813"/>
        <v>0</v>
      </c>
    </row>
    <row r="538" spans="1:42" outlineLevel="1" x14ac:dyDescent="0.2">
      <c r="A538" s="641"/>
      <c r="B538" s="639" t="s">
        <v>1032</v>
      </c>
      <c r="C538" s="639"/>
      <c r="D538" s="641"/>
      <c r="E538" s="640"/>
      <c r="F538" s="641"/>
      <c r="G538" s="643">
        <f ca="1">G527-G531</f>
        <v>232.45999999999185</v>
      </c>
      <c r="H538" s="643">
        <f ca="1">H527-H531</f>
        <v>232.52000000000226</v>
      </c>
      <c r="I538" s="643">
        <f t="shared" ref="I538:R538" ca="1" si="814">I527-I531</f>
        <v>400.51000000000113</v>
      </c>
      <c r="J538" s="643">
        <f t="shared" ca="1" si="814"/>
        <v>346.13999999999578</v>
      </c>
      <c r="K538" s="643">
        <f ca="1">K527-K531</f>
        <v>740.75</v>
      </c>
      <c r="L538" s="643">
        <f t="shared" ca="1" si="814"/>
        <v>651.68000000000029</v>
      </c>
      <c r="M538" s="643">
        <f t="shared" ca="1" si="814"/>
        <v>687.79000000000269</v>
      </c>
      <c r="N538" s="643">
        <f t="shared" ca="1" si="814"/>
        <v>324.78000000000611</v>
      </c>
      <c r="O538" s="643">
        <f t="shared" ca="1" si="814"/>
        <v>272.60000000000218</v>
      </c>
      <c r="P538" s="643">
        <f t="shared" ca="1" si="814"/>
        <v>272.66000000000167</v>
      </c>
      <c r="Q538" s="643">
        <f t="shared" ca="1" si="814"/>
        <v>0</v>
      </c>
      <c r="R538" s="643">
        <f t="shared" ca="1" si="814"/>
        <v>0</v>
      </c>
      <c r="S538" s="643">
        <f ca="1">S527-S531</f>
        <v>-165334.13</v>
      </c>
      <c r="T538" s="643">
        <f ca="1">T527-T531</f>
        <v>-165101.61000000002</v>
      </c>
      <c r="U538" s="643">
        <f t="shared" ref="U538:V538" ca="1" si="815">U527-U531</f>
        <v>-164701.1</v>
      </c>
      <c r="V538" s="643">
        <f t="shared" ca="1" si="815"/>
        <v>-164354.96000000002</v>
      </c>
      <c r="W538" s="643">
        <f ca="1">W527-W531</f>
        <v>-163614.21000000002</v>
      </c>
      <c r="X538" s="643">
        <f t="shared" ref="X538:AD538" ca="1" si="816">X527-X531</f>
        <v>-162962.53</v>
      </c>
      <c r="Y538" s="643">
        <f t="shared" ca="1" si="816"/>
        <v>-162274.74</v>
      </c>
      <c r="Z538" s="643">
        <f t="shared" ca="1" si="816"/>
        <v>-161949.96000000002</v>
      </c>
      <c r="AA538" s="643">
        <f t="shared" ca="1" si="816"/>
        <v>-161677.36000000002</v>
      </c>
      <c r="AB538" s="643">
        <f t="shared" ca="1" si="816"/>
        <v>-161404.70000000001</v>
      </c>
      <c r="AC538" s="643">
        <f t="shared" ca="1" si="816"/>
        <v>0</v>
      </c>
      <c r="AD538" s="643">
        <f t="shared" ca="1" si="816"/>
        <v>0</v>
      </c>
      <c r="AE538" s="643">
        <f ca="1">AE527-AE531</f>
        <v>232.45999999999185</v>
      </c>
      <c r="AF538" s="643">
        <f ca="1">AF527-AF531</f>
        <v>464.97999999998865</v>
      </c>
      <c r="AG538" s="643">
        <f t="shared" ref="AG538:AH538" ca="1" si="817">AG527-AG531</f>
        <v>865.48999999998341</v>
      </c>
      <c r="AH538" s="643">
        <f t="shared" ca="1" si="817"/>
        <v>1211.6299999999992</v>
      </c>
      <c r="AI538" s="643">
        <f ca="1">AI527-AI531</f>
        <v>1952.3799999999828</v>
      </c>
      <c r="AJ538" s="643">
        <f t="shared" ref="AJ538:AP538" ca="1" si="818">AJ527-AJ531</f>
        <v>2604.0600000000049</v>
      </c>
      <c r="AK538" s="643">
        <f t="shared" ca="1" si="818"/>
        <v>3291.8499999999985</v>
      </c>
      <c r="AL538" s="643">
        <f t="shared" ca="1" si="818"/>
        <v>3616.6299999999974</v>
      </c>
      <c r="AM538" s="643">
        <f t="shared" ca="1" si="818"/>
        <v>3889.2299999999959</v>
      </c>
      <c r="AN538" s="643">
        <f t="shared" ca="1" si="818"/>
        <v>4161.8900000000431</v>
      </c>
      <c r="AO538" s="643">
        <f t="shared" ca="1" si="818"/>
        <v>4161.8900000000431</v>
      </c>
      <c r="AP538" s="643">
        <f t="shared" ca="1" si="818"/>
        <v>4161.8900000000431</v>
      </c>
    </row>
    <row r="539" spans="1:42" outlineLevel="1" x14ac:dyDescent="0.2">
      <c r="D539" s="611"/>
    </row>
    <row r="540" spans="1:42" x14ac:dyDescent="0.2">
      <c r="B540" s="616" t="s">
        <v>1033</v>
      </c>
      <c r="C540" s="616"/>
      <c r="D540" s="618"/>
    </row>
    <row r="541" spans="1:42" outlineLevel="1" x14ac:dyDescent="0.2">
      <c r="D541" s="611"/>
    </row>
    <row r="542" spans="1:42" s="589" customFormat="1" outlineLevel="1" x14ac:dyDescent="0.2">
      <c r="A542" s="629">
        <v>48</v>
      </c>
      <c r="B542" s="623" t="s">
        <v>322</v>
      </c>
      <c r="C542" s="627">
        <f ca="1">SUM(G542:R542)</f>
        <v>0</v>
      </c>
      <c r="D542" s="627"/>
      <c r="E542" s="628">
        <f t="shared" si="727"/>
        <v>1</v>
      </c>
      <c r="F542" s="628"/>
      <c r="G542" s="627">
        <f t="shared" ref="G542:R542" ca="1" si="819">SUM(G543:G552)</f>
        <v>0</v>
      </c>
      <c r="H542" s="627">
        <f t="shared" ca="1" si="819"/>
        <v>0</v>
      </c>
      <c r="I542" s="627">
        <f t="shared" ca="1" si="819"/>
        <v>0</v>
      </c>
      <c r="J542" s="627">
        <f t="shared" ca="1" si="819"/>
        <v>0</v>
      </c>
      <c r="K542" s="627">
        <f t="shared" ca="1" si="819"/>
        <v>0</v>
      </c>
      <c r="L542" s="627">
        <f t="shared" ca="1" si="819"/>
        <v>0</v>
      </c>
      <c r="M542" s="627">
        <f t="shared" ca="1" si="819"/>
        <v>0</v>
      </c>
      <c r="N542" s="627">
        <f t="shared" ca="1" si="819"/>
        <v>0</v>
      </c>
      <c r="O542" s="627">
        <f t="shared" ca="1" si="819"/>
        <v>0</v>
      </c>
      <c r="P542" s="627">
        <f t="shared" ca="1" si="819"/>
        <v>0</v>
      </c>
      <c r="Q542" s="627">
        <f t="shared" ca="1" si="819"/>
        <v>0</v>
      </c>
      <c r="R542" s="627">
        <f t="shared" ca="1" si="819"/>
        <v>0</v>
      </c>
      <c r="S542" s="627" t="e">
        <f t="shared" ref="S542:AP542" ca="1" si="820">SUM(S543:S552)</f>
        <v>#REF!</v>
      </c>
      <c r="T542" s="627" t="e">
        <f t="shared" ca="1" si="820"/>
        <v>#REF!</v>
      </c>
      <c r="U542" s="627" t="e">
        <f t="shared" ca="1" si="820"/>
        <v>#REF!</v>
      </c>
      <c r="V542" s="627" t="e">
        <f t="shared" ca="1" si="820"/>
        <v>#REF!</v>
      </c>
      <c r="W542" s="627" t="e">
        <f t="shared" ca="1" si="820"/>
        <v>#REF!</v>
      </c>
      <c r="X542" s="627" t="e">
        <f t="shared" ca="1" si="820"/>
        <v>#REF!</v>
      </c>
      <c r="Y542" s="627" t="e">
        <f t="shared" ca="1" si="820"/>
        <v>#REF!</v>
      </c>
      <c r="Z542" s="627" t="e">
        <f t="shared" ca="1" si="820"/>
        <v>#REF!</v>
      </c>
      <c r="AA542" s="627" t="e">
        <f t="shared" ca="1" si="820"/>
        <v>#REF!</v>
      </c>
      <c r="AB542" s="627" t="e">
        <f t="shared" ca="1" si="820"/>
        <v>#REF!</v>
      </c>
      <c r="AC542" s="627" t="e">
        <f t="shared" ca="1" si="820"/>
        <v>#REF!</v>
      </c>
      <c r="AD542" s="627" t="e">
        <f t="shared" ca="1" si="820"/>
        <v>#REF!</v>
      </c>
      <c r="AE542" s="627">
        <f t="shared" ca="1" si="820"/>
        <v>0</v>
      </c>
      <c r="AF542" s="627">
        <f t="shared" ca="1" si="820"/>
        <v>0</v>
      </c>
      <c r="AG542" s="627">
        <f t="shared" ca="1" si="820"/>
        <v>0</v>
      </c>
      <c r="AH542" s="627">
        <f t="shared" ca="1" si="820"/>
        <v>0</v>
      </c>
      <c r="AI542" s="627">
        <f t="shared" ca="1" si="820"/>
        <v>0</v>
      </c>
      <c r="AJ542" s="627">
        <f t="shared" ca="1" si="820"/>
        <v>0</v>
      </c>
      <c r="AK542" s="627">
        <f t="shared" ca="1" si="820"/>
        <v>0</v>
      </c>
      <c r="AL542" s="627">
        <f t="shared" ca="1" si="820"/>
        <v>0</v>
      </c>
      <c r="AM542" s="627">
        <f t="shared" ca="1" si="820"/>
        <v>0</v>
      </c>
      <c r="AN542" s="627">
        <f t="shared" ca="1" si="820"/>
        <v>0</v>
      </c>
      <c r="AO542" s="627">
        <f t="shared" ca="1" si="820"/>
        <v>0</v>
      </c>
      <c r="AP542" s="627">
        <f t="shared" ca="1" si="820"/>
        <v>0</v>
      </c>
    </row>
    <row r="543" spans="1:42" s="594" customFormat="1" ht="11.25" outlineLevel="1" x14ac:dyDescent="0.2">
      <c r="A543" s="644"/>
      <c r="B543" s="591" t="str">
        <f>IF(D543&lt;&gt;"",
IF(ISERROR(MATCH(D543,'Ist Aktuell Monat 01'!A:A,0))=FALSE,INDEX('Ist Aktuell Monat 01'!B:B,MATCH(D543,'Ist Aktuell Monat 01'!A:A,0)),
IF(ISERROR(MATCH(D543,'Ist Aktuell Monat 02'!A:A,0))=FALSE,INDEX('Ist Aktuell Monat 02'!B:B,MATCH(D543,'Ist Aktuell Monat 02'!A:A,0)),
IF(ISERROR(MATCH(D543,'Ist Aktuell Monat 03'!A:A,0))=FALSE,INDEX('Ist Aktuell Monat 03'!B:B,MATCH(D543,'Ist Aktuell Monat 03'!A:A,0)),
IF(ISERROR(MATCH(D543,'Ist Aktuell Monat 04'!A:A,0))=FALSE,INDEX('Ist Aktuell Monat 04'!B:B,MATCH(D543,'Ist Aktuell Monat 04'!A:A,0)),
IF(ISERROR(MATCH(D543,'Ist Aktuell Monat 05'!A:A,0))=FALSE,INDEX('Ist Aktuell Monat 05'!B:B,MATCH(D543,'Ist Aktuell Monat 05'!A:A,0)),
IF(ISERROR(MATCH(D543,'Ist Aktuell Monat 06'!A:A,0))=FALSE,INDEX('Ist Aktuell Monat 06'!B:B,MATCH(D543,'Ist Aktuell Monat 06'!A:A,0)),
IF(ISERROR(MATCH(D543,'Ist Aktuell Monat 07'!A:A,0))=FALSE,INDEX('Ist Aktuell Monat 07'!B:B,MATCH(D543,'Ist Aktuell Monat 07'!A:A,0)),
IF(ISERROR(MATCH(D543,'Ist Aktuell Monat 08'!A:A,0))=FALSE,INDEX('Ist Aktuell Monat 08'!B:B,MATCH(D543,'Ist Aktuell Monat 08'!A:A,0)),
IF(ISERROR(MATCH(D543,'Ist Aktuell Monat 09'!A:A,0))=FALSE,INDEX('Ist Aktuell Monat 09'!B:B,MATCH(D543,'Ist Aktuell Monat 09'!A:A,0)),
IF(ISERROR(MATCH(D543,'Ist Aktuell Monat 10'!A:A,0))=FALSE,INDEX('Ist Aktuell Monat 10'!B:B,MATCH(D543,'Ist Aktuell Monat 10'!A:A,0)),
IF(ISERROR(MATCH(D543,'Ist Aktuell Monat 11'!A:A,0))=FALSE,INDEX('Ist Aktuell Monat 11'!B:B,MATCH(D543,'Ist Aktuell Monat 11'!A:A,0)),
IF(ISERROR(MATCH(D543,'Ist Aktuell Monat 12'!A:A,0))=FALSE,INDEX('Ist Aktuell Monat 12'!B:B,MATCH(D543,'Ist Aktuell Monat 12'!A:A,0)),
"{Konto unbekannt}"
)))))))))))),"")</f>
        <v>Kasse</v>
      </c>
      <c r="C543" s="1062"/>
      <c r="D543" s="1067">
        <v>1000</v>
      </c>
      <c r="E543" s="625">
        <f t="shared" si="727"/>
        <v>1</v>
      </c>
      <c r="F543" s="626"/>
      <c r="G543" s="593">
        <f ca="1">$E543*SUMIF(INDIRECT(G$3),'Struktur Aktuell'!$D543,INDIRECT(G$8))*IFERROR(IF(VLOOKUP('Struktur Aktuell'!$D543,INDIRECT(G$6),8,)="H",-1,1),0)</f>
        <v>0</v>
      </c>
      <c r="H543" s="593">
        <f ca="1">$E543*SUMIF(INDIRECT(H$3),'Struktur Aktuell'!$D543,INDIRECT(H$8))*IFERROR(IF(VLOOKUP('Struktur Aktuell'!$D543,INDIRECT(H$6),8,)="H",-1,1),0)</f>
        <v>0</v>
      </c>
      <c r="I543" s="593">
        <f ca="1">$E543*SUMIF(INDIRECT(I$3),'Struktur Aktuell'!$D543,INDIRECT(I$8))*IFERROR(IF(VLOOKUP('Struktur Aktuell'!$D543,INDIRECT(I$6),8,)="H",-1,1),0)</f>
        <v>0</v>
      </c>
      <c r="J543" s="593">
        <f ca="1">$E543*SUMIF(INDIRECT(J$3),'Struktur Aktuell'!$D543,INDIRECT(J$8))*IFERROR(IF(VLOOKUP('Struktur Aktuell'!$D543,INDIRECT(J$6),8,)="H",-1,1),0)</f>
        <v>0</v>
      </c>
      <c r="K543" s="593">
        <f ca="1">$E543*SUMIF(INDIRECT(K$3),'Struktur Aktuell'!$D543,INDIRECT(K$8))*IFERROR(IF(VLOOKUP('Struktur Aktuell'!$D543,INDIRECT(K$6),8,)="H",-1,1),0)</f>
        <v>0</v>
      </c>
      <c r="L543" s="593">
        <f ca="1">$E543*SUMIF(INDIRECT(L$3),'Struktur Aktuell'!$D543,INDIRECT(L$8))*IFERROR(IF(VLOOKUP('Struktur Aktuell'!$D543,INDIRECT(L$6),8,)="H",-1,1),0)</f>
        <v>0</v>
      </c>
      <c r="M543" s="593">
        <f ca="1">$E543*SUMIF(INDIRECT(M$3),'Struktur Aktuell'!$D543,INDIRECT(M$8))*IFERROR(IF(VLOOKUP('Struktur Aktuell'!$D543,INDIRECT(M$6),8,)="H",-1,1),0)</f>
        <v>0</v>
      </c>
      <c r="N543" s="593">
        <f ca="1">$E543*SUMIF(INDIRECT(N$3),'Struktur Aktuell'!$D543,INDIRECT(N$8))*IFERROR(IF(VLOOKUP('Struktur Aktuell'!$D543,INDIRECT(N$6),8,)="H",-1,1),0)</f>
        <v>0</v>
      </c>
      <c r="O543" s="593">
        <f ca="1">$E543*SUMIF(INDIRECT(O$3),'Struktur Aktuell'!$D543,INDIRECT(O$8))*IFERROR(IF(VLOOKUP('Struktur Aktuell'!$D543,INDIRECT(O$6),8,)="H",-1,1),0)</f>
        <v>0</v>
      </c>
      <c r="P543" s="593">
        <f ca="1">$E543*SUMIF(INDIRECT(P$3),'Struktur Aktuell'!$D543,INDIRECT(P$8))*IFERROR(IF(VLOOKUP('Struktur Aktuell'!$D543,INDIRECT(P$6),8,)="H",-1,1),0)</f>
        <v>0</v>
      </c>
      <c r="Q543" s="593">
        <f ca="1">$E543*SUMIF(INDIRECT(Q$3),'Struktur Aktuell'!$D543,INDIRECT(Q$8))*IFERROR(IF(VLOOKUP('Struktur Aktuell'!$D543,INDIRECT(Q$6),8,)="H",-1,1),0)</f>
        <v>0</v>
      </c>
      <c r="R543" s="593">
        <f ca="1">$E543*SUMIF(INDIRECT(R$3),'Struktur Aktuell'!$D543,INDIRECT(R$8))*IFERROR(IF(VLOOKUP('Struktur Aktuell'!$D543,INDIRECT(R$6),8,)="H",-1,1),0)</f>
        <v>0</v>
      </c>
      <c r="S543" s="593" t="e">
        <f ca="1">$E543*SUMIF(INDIRECT(S$3),'Struktur Aktuell'!$D543,INDIRECT(S$8))*IFERROR(IF(VLOOKUP('Struktur Aktuell'!$D543,INDIRECT(S$6),8,)="H",-1,1),0)</f>
        <v>#REF!</v>
      </c>
      <c r="T543" s="593" t="e">
        <f ca="1">$E543*SUMIF(INDIRECT(T$3),'Struktur Aktuell'!$D543,INDIRECT(T$8))*IFERROR(IF(VLOOKUP('Struktur Aktuell'!$D543,INDIRECT(T$6),8,)="H",-1,1),0)</f>
        <v>#REF!</v>
      </c>
      <c r="U543" s="593" t="e">
        <f ca="1">$E543*SUMIF(INDIRECT(U$3),'Struktur Aktuell'!$D543,INDIRECT(U$8))*IFERROR(IF(VLOOKUP('Struktur Aktuell'!$D543,INDIRECT(U$6),8,)="H",-1,1),0)</f>
        <v>#REF!</v>
      </c>
      <c r="V543" s="593" t="e">
        <f ca="1">$E543*SUMIF(INDIRECT(V$3),'Struktur Aktuell'!$D543,INDIRECT(V$8))*IFERROR(IF(VLOOKUP('Struktur Aktuell'!$D543,INDIRECT(V$6),8,)="H",-1,1),0)</f>
        <v>#REF!</v>
      </c>
      <c r="W543" s="593" t="e">
        <f ca="1">$E543*SUMIF(INDIRECT(W$3),'Struktur Aktuell'!$D543,INDIRECT(W$8))*IFERROR(IF(VLOOKUP('Struktur Aktuell'!$D543,INDIRECT(W$6),8,)="H",-1,1),0)</f>
        <v>#REF!</v>
      </c>
      <c r="X543" s="593" t="e">
        <f ca="1">$E543*SUMIF(INDIRECT(X$3),'Struktur Aktuell'!$D543,INDIRECT(X$8))*IFERROR(IF(VLOOKUP('Struktur Aktuell'!$D543,INDIRECT(X$6),8,)="H",-1,1),0)</f>
        <v>#REF!</v>
      </c>
      <c r="Y543" s="593" t="e">
        <f ca="1">$E543*SUMIF(INDIRECT(Y$3),'Struktur Aktuell'!$D543,INDIRECT(Y$8))*IFERROR(IF(VLOOKUP('Struktur Aktuell'!$D543,INDIRECT(Y$6),8,)="H",-1,1),0)</f>
        <v>#REF!</v>
      </c>
      <c r="Z543" s="593" t="e">
        <f ca="1">$E543*SUMIF(INDIRECT(Z$3),'Struktur Aktuell'!$D543,INDIRECT(Z$8))*IFERROR(IF(VLOOKUP('Struktur Aktuell'!$D543,INDIRECT(Z$6),8,)="H",-1,1),0)</f>
        <v>#REF!</v>
      </c>
      <c r="AA543" s="593" t="e">
        <f ca="1">$E543*SUMIF(INDIRECT(AA$3),'Struktur Aktuell'!$D543,INDIRECT(AA$8))*IFERROR(IF(VLOOKUP('Struktur Aktuell'!$D543,INDIRECT(AA$6),8,)="H",-1,1),0)</f>
        <v>#REF!</v>
      </c>
      <c r="AB543" s="593" t="e">
        <f ca="1">$E543*SUMIF(INDIRECT(AB$3),'Struktur Aktuell'!$D543,INDIRECT(AB$8))*IFERROR(IF(VLOOKUP('Struktur Aktuell'!$D543,INDIRECT(AB$6),8,)="H",-1,1),0)</f>
        <v>#REF!</v>
      </c>
      <c r="AC543" s="593" t="e">
        <f ca="1">$E543*SUMIF(INDIRECT(AC$3),'Struktur Aktuell'!$D543,INDIRECT(AC$8))*IFERROR(IF(VLOOKUP('Struktur Aktuell'!$D543,INDIRECT(AC$6),8,)="H",-1,1),0)</f>
        <v>#REF!</v>
      </c>
      <c r="AD543" s="593" t="e">
        <f ca="1">$E543*SUMIF(INDIRECT(AD$3),'Struktur Aktuell'!$D543,INDIRECT(AD$8))*IFERROR(IF(VLOOKUP('Struktur Aktuell'!$D543,INDIRECT(AD$6),8,)="H",-1,1),0)</f>
        <v>#REF!</v>
      </c>
      <c r="AE543" s="593">
        <f t="shared" ref="AE543:AE552" ca="1" si="821">G543</f>
        <v>0</v>
      </c>
      <c r="AF543" s="593">
        <f t="shared" ref="AF543:AF552" ca="1" si="822">H543+AE543</f>
        <v>0</v>
      </c>
      <c r="AG543" s="593">
        <f t="shared" ref="AG543:AG552" ca="1" si="823">I543+AF543</f>
        <v>0</v>
      </c>
      <c r="AH543" s="593">
        <f t="shared" ref="AH543:AH552" ca="1" si="824">J543+AG543</f>
        <v>0</v>
      </c>
      <c r="AI543" s="593">
        <f t="shared" ref="AI543:AI552" ca="1" si="825">K543+AH543</f>
        <v>0</v>
      </c>
      <c r="AJ543" s="593">
        <f t="shared" ref="AJ543:AJ552" ca="1" si="826">L543+AI543</f>
        <v>0</v>
      </c>
      <c r="AK543" s="593">
        <f t="shared" ref="AK543:AK552" ca="1" si="827">M543+AJ543</f>
        <v>0</v>
      </c>
      <c r="AL543" s="593">
        <f t="shared" ref="AL543:AL552" ca="1" si="828">N543+AK543</f>
        <v>0</v>
      </c>
      <c r="AM543" s="593">
        <f t="shared" ref="AM543:AM552" ca="1" si="829">O543+AL543</f>
        <v>0</v>
      </c>
      <c r="AN543" s="593">
        <f t="shared" ref="AN543:AN552" ca="1" si="830">P543+AM543</f>
        <v>0</v>
      </c>
      <c r="AO543" s="593">
        <f t="shared" ref="AO543:AO552" ca="1" si="831">Q543+AN543</f>
        <v>0</v>
      </c>
      <c r="AP543" s="593">
        <f t="shared" ref="AP543:AP552" ca="1" si="832">R543+AO543</f>
        <v>0</v>
      </c>
    </row>
    <row r="544" spans="1:42" s="594" customFormat="1" ht="11.25" x14ac:dyDescent="0.2">
      <c r="A544" s="644"/>
      <c r="B544" s="591" t="str">
        <f>IF(D544&lt;&gt;"",
IF(ISERROR(MATCH(D544,'Ist Aktuell Monat 01'!A:A,0))=FALSE,INDEX('Ist Aktuell Monat 01'!B:B,MATCH(D544,'Ist Aktuell Monat 01'!A:A,0)),
IF(ISERROR(MATCH(D544,'Ist Aktuell Monat 02'!A:A,0))=FALSE,INDEX('Ist Aktuell Monat 02'!B:B,MATCH(D544,'Ist Aktuell Monat 02'!A:A,0)),
IF(ISERROR(MATCH(D544,'Ist Aktuell Monat 03'!A:A,0))=FALSE,INDEX('Ist Aktuell Monat 03'!B:B,MATCH(D544,'Ist Aktuell Monat 03'!A:A,0)),
IF(ISERROR(MATCH(D544,'Ist Aktuell Monat 04'!A:A,0))=FALSE,INDEX('Ist Aktuell Monat 04'!B:B,MATCH(D544,'Ist Aktuell Monat 04'!A:A,0)),
IF(ISERROR(MATCH(D544,'Ist Aktuell Monat 05'!A:A,0))=FALSE,INDEX('Ist Aktuell Monat 05'!B:B,MATCH(D544,'Ist Aktuell Monat 05'!A:A,0)),
IF(ISERROR(MATCH(D544,'Ist Aktuell Monat 06'!A:A,0))=FALSE,INDEX('Ist Aktuell Monat 06'!B:B,MATCH(D544,'Ist Aktuell Monat 06'!A:A,0)),
IF(ISERROR(MATCH(D544,'Ist Aktuell Monat 07'!A:A,0))=FALSE,INDEX('Ist Aktuell Monat 07'!B:B,MATCH(D544,'Ist Aktuell Monat 07'!A:A,0)),
IF(ISERROR(MATCH(D544,'Ist Aktuell Monat 08'!A:A,0))=FALSE,INDEX('Ist Aktuell Monat 08'!B:B,MATCH(D544,'Ist Aktuell Monat 08'!A:A,0)),
IF(ISERROR(MATCH(D544,'Ist Aktuell Monat 09'!A:A,0))=FALSE,INDEX('Ist Aktuell Monat 09'!B:B,MATCH(D544,'Ist Aktuell Monat 09'!A:A,0)),
IF(ISERROR(MATCH(D544,'Ist Aktuell Monat 10'!A:A,0))=FALSE,INDEX('Ist Aktuell Monat 10'!B:B,MATCH(D544,'Ist Aktuell Monat 10'!A:A,0)),
IF(ISERROR(MATCH(D544,'Ist Aktuell Monat 11'!A:A,0))=FALSE,INDEX('Ist Aktuell Monat 11'!B:B,MATCH(D544,'Ist Aktuell Monat 11'!A:A,0)),
IF(ISERROR(MATCH(D544,'Ist Aktuell Monat 12'!A:A,0))=FALSE,INDEX('Ist Aktuell Monat 12'!B:B,MATCH(D544,'Ist Aktuell Monat 12'!A:A,0)),
"{Konto unbekannt}"
)))))))))))),"")</f>
        <v>Kreissparkasse 4405627</v>
      </c>
      <c r="C544" s="1062"/>
      <c r="D544" s="1067">
        <v>1200</v>
      </c>
      <c r="E544" s="625">
        <f t="shared" si="727"/>
        <v>1</v>
      </c>
      <c r="F544" s="626"/>
      <c r="G544" s="593">
        <f ca="1">$E544*SUMIF(INDIRECT(G$3),'Struktur Aktuell'!$D544,INDIRECT(G$8))*IFERROR(IF(VLOOKUP('Struktur Aktuell'!$D544,INDIRECT(G$6),8,)="H",-1,1),0)</f>
        <v>0</v>
      </c>
      <c r="H544" s="593">
        <f ca="1">$E544*SUMIF(INDIRECT(H$3),'Struktur Aktuell'!$D544,INDIRECT(H$8))*IFERROR(IF(VLOOKUP('Struktur Aktuell'!$D544,INDIRECT(H$6),8,)="H",-1,1),0)</f>
        <v>0</v>
      </c>
      <c r="I544" s="593">
        <f ca="1">$E544*SUMIF(INDIRECT(I$3),'Struktur Aktuell'!$D544,INDIRECT(I$8))*IFERROR(IF(VLOOKUP('Struktur Aktuell'!$D544,INDIRECT(I$6),8,)="H",-1,1),0)</f>
        <v>0</v>
      </c>
      <c r="J544" s="593">
        <f ca="1">$E544*SUMIF(INDIRECT(J$3),'Struktur Aktuell'!$D544,INDIRECT(J$8))*IFERROR(IF(VLOOKUP('Struktur Aktuell'!$D544,INDIRECT(J$6),8,)="H",-1,1),0)</f>
        <v>0</v>
      </c>
      <c r="K544" s="593">
        <f ca="1">$E544*SUMIF(INDIRECT(K$3),'Struktur Aktuell'!$D544,INDIRECT(K$8))*IFERROR(IF(VLOOKUP('Struktur Aktuell'!$D544,INDIRECT(K$6),8,)="H",-1,1),0)</f>
        <v>0</v>
      </c>
      <c r="L544" s="593">
        <f ca="1">$E544*SUMIF(INDIRECT(L$3),'Struktur Aktuell'!$D544,INDIRECT(L$8))*IFERROR(IF(VLOOKUP('Struktur Aktuell'!$D544,INDIRECT(L$6),8,)="H",-1,1),0)</f>
        <v>0</v>
      </c>
      <c r="M544" s="593">
        <f ca="1">$E544*SUMIF(INDIRECT(M$3),'Struktur Aktuell'!$D544,INDIRECT(M$8))*IFERROR(IF(VLOOKUP('Struktur Aktuell'!$D544,INDIRECT(M$6),8,)="H",-1,1),0)</f>
        <v>0</v>
      </c>
      <c r="N544" s="593">
        <f ca="1">$E544*SUMIF(INDIRECT(N$3),'Struktur Aktuell'!$D544,INDIRECT(N$8))*IFERROR(IF(VLOOKUP('Struktur Aktuell'!$D544,INDIRECT(N$6),8,)="H",-1,1),0)</f>
        <v>0</v>
      </c>
      <c r="O544" s="593">
        <f ca="1">$E544*SUMIF(INDIRECT(O$3),'Struktur Aktuell'!$D544,INDIRECT(O$8))*IFERROR(IF(VLOOKUP('Struktur Aktuell'!$D544,INDIRECT(O$6),8,)="H",-1,1),0)</f>
        <v>0</v>
      </c>
      <c r="P544" s="593">
        <f ca="1">$E544*SUMIF(INDIRECT(P$3),'Struktur Aktuell'!$D544,INDIRECT(P$8))*IFERROR(IF(VLOOKUP('Struktur Aktuell'!$D544,INDIRECT(P$6),8,)="H",-1,1),0)</f>
        <v>0</v>
      </c>
      <c r="Q544" s="593">
        <f ca="1">$E544*SUMIF(INDIRECT(Q$3),'Struktur Aktuell'!$D544,INDIRECT(Q$8))*IFERROR(IF(VLOOKUP('Struktur Aktuell'!$D544,INDIRECT(Q$6),8,)="H",-1,1),0)</f>
        <v>0</v>
      </c>
      <c r="R544" s="593">
        <f ca="1">$E544*SUMIF(INDIRECT(R$3),'Struktur Aktuell'!$D544,INDIRECT(R$8))*IFERROR(IF(VLOOKUP('Struktur Aktuell'!$D544,INDIRECT(R$6),8,)="H",-1,1),0)</f>
        <v>0</v>
      </c>
      <c r="S544" s="593" t="e">
        <f ca="1">$E544*SUMIF(INDIRECT(S$3),'Struktur Aktuell'!$D544,INDIRECT(S$8))*IFERROR(IF(VLOOKUP('Struktur Aktuell'!$D544,INDIRECT(S$6),8,)="H",-1,1),0)</f>
        <v>#REF!</v>
      </c>
      <c r="T544" s="593" t="e">
        <f ca="1">$E544*SUMIF(INDIRECT(T$3),'Struktur Aktuell'!$D544,INDIRECT(T$8))*IFERROR(IF(VLOOKUP('Struktur Aktuell'!$D544,INDIRECT(T$6),8,)="H",-1,1),0)</f>
        <v>#REF!</v>
      </c>
      <c r="U544" s="593" t="e">
        <f ca="1">$E544*SUMIF(INDIRECT(U$3),'Struktur Aktuell'!$D544,INDIRECT(U$8))*IFERROR(IF(VLOOKUP('Struktur Aktuell'!$D544,INDIRECT(U$6),8,)="H",-1,1),0)</f>
        <v>#REF!</v>
      </c>
      <c r="V544" s="593" t="e">
        <f ca="1">$E544*SUMIF(INDIRECT(V$3),'Struktur Aktuell'!$D544,INDIRECT(V$8))*IFERROR(IF(VLOOKUP('Struktur Aktuell'!$D544,INDIRECT(V$6),8,)="H",-1,1),0)</f>
        <v>#REF!</v>
      </c>
      <c r="W544" s="593" t="e">
        <f ca="1">$E544*SUMIF(INDIRECT(W$3),'Struktur Aktuell'!$D544,INDIRECT(W$8))*IFERROR(IF(VLOOKUP('Struktur Aktuell'!$D544,INDIRECT(W$6),8,)="H",-1,1),0)</f>
        <v>#REF!</v>
      </c>
      <c r="X544" s="593" t="e">
        <f ca="1">$E544*SUMIF(INDIRECT(X$3),'Struktur Aktuell'!$D544,INDIRECT(X$8))*IFERROR(IF(VLOOKUP('Struktur Aktuell'!$D544,INDIRECT(X$6),8,)="H",-1,1),0)</f>
        <v>#REF!</v>
      </c>
      <c r="Y544" s="593" t="e">
        <f ca="1">$E544*SUMIF(INDIRECT(Y$3),'Struktur Aktuell'!$D544,INDIRECT(Y$8))*IFERROR(IF(VLOOKUP('Struktur Aktuell'!$D544,INDIRECT(Y$6),8,)="H",-1,1),0)</f>
        <v>#REF!</v>
      </c>
      <c r="Z544" s="593" t="e">
        <f ca="1">$E544*SUMIF(INDIRECT(Z$3),'Struktur Aktuell'!$D544,INDIRECT(Z$8))*IFERROR(IF(VLOOKUP('Struktur Aktuell'!$D544,INDIRECT(Z$6),8,)="H",-1,1),0)</f>
        <v>#REF!</v>
      </c>
      <c r="AA544" s="593" t="e">
        <f ca="1">$E544*SUMIF(INDIRECT(AA$3),'Struktur Aktuell'!$D544,INDIRECT(AA$8))*IFERROR(IF(VLOOKUP('Struktur Aktuell'!$D544,INDIRECT(AA$6),8,)="H",-1,1),0)</f>
        <v>#REF!</v>
      </c>
      <c r="AB544" s="593" t="e">
        <f ca="1">$E544*SUMIF(INDIRECT(AB$3),'Struktur Aktuell'!$D544,INDIRECT(AB$8))*IFERROR(IF(VLOOKUP('Struktur Aktuell'!$D544,INDIRECT(AB$6),8,)="H",-1,1),0)</f>
        <v>#REF!</v>
      </c>
      <c r="AC544" s="593" t="e">
        <f ca="1">$E544*SUMIF(INDIRECT(AC$3),'Struktur Aktuell'!$D544,INDIRECT(AC$8))*IFERROR(IF(VLOOKUP('Struktur Aktuell'!$D544,INDIRECT(AC$6),8,)="H",-1,1),0)</f>
        <v>#REF!</v>
      </c>
      <c r="AD544" s="593" t="e">
        <f ca="1">$E544*SUMIF(INDIRECT(AD$3),'Struktur Aktuell'!$D544,INDIRECT(AD$8))*IFERROR(IF(VLOOKUP('Struktur Aktuell'!$D544,INDIRECT(AD$6),8,)="H",-1,1),0)</f>
        <v>#REF!</v>
      </c>
      <c r="AE544" s="593">
        <f t="shared" ca="1" si="821"/>
        <v>0</v>
      </c>
      <c r="AF544" s="593">
        <f t="shared" ca="1" si="822"/>
        <v>0</v>
      </c>
      <c r="AG544" s="593">
        <f t="shared" ca="1" si="823"/>
        <v>0</v>
      </c>
      <c r="AH544" s="593">
        <f t="shared" ca="1" si="824"/>
        <v>0</v>
      </c>
      <c r="AI544" s="593">
        <f t="shared" ca="1" si="825"/>
        <v>0</v>
      </c>
      <c r="AJ544" s="593">
        <f t="shared" ca="1" si="826"/>
        <v>0</v>
      </c>
      <c r="AK544" s="593">
        <f t="shared" ca="1" si="827"/>
        <v>0</v>
      </c>
      <c r="AL544" s="593">
        <f t="shared" ca="1" si="828"/>
        <v>0</v>
      </c>
      <c r="AM544" s="593">
        <f t="shared" ca="1" si="829"/>
        <v>0</v>
      </c>
      <c r="AN544" s="593">
        <f t="shared" ca="1" si="830"/>
        <v>0</v>
      </c>
      <c r="AO544" s="593">
        <f t="shared" ca="1" si="831"/>
        <v>0</v>
      </c>
      <c r="AP544" s="593">
        <f t="shared" ca="1" si="832"/>
        <v>0</v>
      </c>
    </row>
    <row r="545" spans="1:42" s="594" customFormat="1" ht="11.25" outlineLevel="1" x14ac:dyDescent="0.2">
      <c r="A545" s="644"/>
      <c r="B545" s="591" t="str">
        <f>IF(D545&lt;&gt;"",
IF(ISERROR(MATCH(D545,'Ist Aktuell Monat 01'!A:A,0))=FALSE,INDEX('Ist Aktuell Monat 01'!B:B,MATCH(D545,'Ist Aktuell Monat 01'!A:A,0)),
IF(ISERROR(MATCH(D545,'Ist Aktuell Monat 02'!A:A,0))=FALSE,INDEX('Ist Aktuell Monat 02'!B:B,MATCH(D545,'Ist Aktuell Monat 02'!A:A,0)),
IF(ISERROR(MATCH(D545,'Ist Aktuell Monat 03'!A:A,0))=FALSE,INDEX('Ist Aktuell Monat 03'!B:B,MATCH(D545,'Ist Aktuell Monat 03'!A:A,0)),
IF(ISERROR(MATCH(D545,'Ist Aktuell Monat 04'!A:A,0))=FALSE,INDEX('Ist Aktuell Monat 04'!B:B,MATCH(D545,'Ist Aktuell Monat 04'!A:A,0)),
IF(ISERROR(MATCH(D545,'Ist Aktuell Monat 05'!A:A,0))=FALSE,INDEX('Ist Aktuell Monat 05'!B:B,MATCH(D545,'Ist Aktuell Monat 05'!A:A,0)),
IF(ISERROR(MATCH(D545,'Ist Aktuell Monat 06'!A:A,0))=FALSE,INDEX('Ist Aktuell Monat 06'!B:B,MATCH(D545,'Ist Aktuell Monat 06'!A:A,0)),
IF(ISERROR(MATCH(D545,'Ist Aktuell Monat 07'!A:A,0))=FALSE,INDEX('Ist Aktuell Monat 07'!B:B,MATCH(D545,'Ist Aktuell Monat 07'!A:A,0)),
IF(ISERROR(MATCH(D545,'Ist Aktuell Monat 08'!A:A,0))=FALSE,INDEX('Ist Aktuell Monat 08'!B:B,MATCH(D545,'Ist Aktuell Monat 08'!A:A,0)),
IF(ISERROR(MATCH(D545,'Ist Aktuell Monat 09'!A:A,0))=FALSE,INDEX('Ist Aktuell Monat 09'!B:B,MATCH(D545,'Ist Aktuell Monat 09'!A:A,0)),
IF(ISERROR(MATCH(D545,'Ist Aktuell Monat 10'!A:A,0))=FALSE,INDEX('Ist Aktuell Monat 10'!B:B,MATCH(D545,'Ist Aktuell Monat 10'!A:A,0)),
IF(ISERROR(MATCH(D545,'Ist Aktuell Monat 11'!A:A,0))=FALSE,INDEX('Ist Aktuell Monat 11'!B:B,MATCH(D545,'Ist Aktuell Monat 11'!A:A,0)),
IF(ISERROR(MATCH(D545,'Ist Aktuell Monat 12'!A:A,0))=FALSE,INDEX('Ist Aktuell Monat 12'!B:B,MATCH(D545,'Ist Aktuell Monat 12'!A:A,0)),
"{Konto unbekannt}"
)))))))))))),"")</f>
        <v>Commerzbank # 2005783 75</v>
      </c>
      <c r="C545" s="1062"/>
      <c r="D545" s="1067">
        <v>1215</v>
      </c>
      <c r="E545" s="625">
        <f t="shared" si="727"/>
        <v>1</v>
      </c>
      <c r="F545" s="626"/>
      <c r="G545" s="593">
        <f ca="1">$E545*SUMIF(INDIRECT(G$3),'Struktur Aktuell'!$D545,INDIRECT(G$8))*IFERROR(IF(VLOOKUP('Struktur Aktuell'!$D545,INDIRECT(G$6),8,)="H",-1,1),0)</f>
        <v>0</v>
      </c>
      <c r="H545" s="593">
        <f ca="1">$E545*SUMIF(INDIRECT(H$3),'Struktur Aktuell'!$D545,INDIRECT(H$8))*IFERROR(IF(VLOOKUP('Struktur Aktuell'!$D545,INDIRECT(H$6),8,)="H",-1,1),0)</f>
        <v>0</v>
      </c>
      <c r="I545" s="593">
        <f ca="1">$E545*SUMIF(INDIRECT(I$3),'Struktur Aktuell'!$D545,INDIRECT(I$8))*IFERROR(IF(VLOOKUP('Struktur Aktuell'!$D545,INDIRECT(I$6),8,)="H",-1,1),0)</f>
        <v>0</v>
      </c>
      <c r="J545" s="593">
        <f ca="1">$E545*SUMIF(INDIRECT(J$3),'Struktur Aktuell'!$D545,INDIRECT(J$8))*IFERROR(IF(VLOOKUP('Struktur Aktuell'!$D545,INDIRECT(J$6),8,)="H",-1,1),0)</f>
        <v>0</v>
      </c>
      <c r="K545" s="593">
        <f ca="1">$E545*SUMIF(INDIRECT(K$3),'Struktur Aktuell'!$D545,INDIRECT(K$8))*IFERROR(IF(VLOOKUP('Struktur Aktuell'!$D545,INDIRECT(K$6),8,)="H",-1,1),0)</f>
        <v>0</v>
      </c>
      <c r="L545" s="593">
        <f ca="1">$E545*SUMIF(INDIRECT(L$3),'Struktur Aktuell'!$D545,INDIRECT(L$8))*IFERROR(IF(VLOOKUP('Struktur Aktuell'!$D545,INDIRECT(L$6),8,)="H",-1,1),0)</f>
        <v>0</v>
      </c>
      <c r="M545" s="593">
        <f ca="1">$E545*SUMIF(INDIRECT(M$3),'Struktur Aktuell'!$D545,INDIRECT(M$8))*IFERROR(IF(VLOOKUP('Struktur Aktuell'!$D545,INDIRECT(M$6),8,)="H",-1,1),0)</f>
        <v>0</v>
      </c>
      <c r="N545" s="593">
        <f ca="1">$E545*SUMIF(INDIRECT(N$3),'Struktur Aktuell'!$D545,INDIRECT(N$8))*IFERROR(IF(VLOOKUP('Struktur Aktuell'!$D545,INDIRECT(N$6),8,)="H",-1,1),0)</f>
        <v>0</v>
      </c>
      <c r="O545" s="593">
        <f ca="1">$E545*SUMIF(INDIRECT(O$3),'Struktur Aktuell'!$D545,INDIRECT(O$8))*IFERROR(IF(VLOOKUP('Struktur Aktuell'!$D545,INDIRECT(O$6),8,)="H",-1,1),0)</f>
        <v>0</v>
      </c>
      <c r="P545" s="593">
        <f ca="1">$E545*SUMIF(INDIRECT(P$3),'Struktur Aktuell'!$D545,INDIRECT(P$8))*IFERROR(IF(VLOOKUP('Struktur Aktuell'!$D545,INDIRECT(P$6),8,)="H",-1,1),0)</f>
        <v>0</v>
      </c>
      <c r="Q545" s="593">
        <f ca="1">$E545*SUMIF(INDIRECT(Q$3),'Struktur Aktuell'!$D545,INDIRECT(Q$8))*IFERROR(IF(VLOOKUP('Struktur Aktuell'!$D545,INDIRECT(Q$6),8,)="H",-1,1),0)</f>
        <v>0</v>
      </c>
      <c r="R545" s="593">
        <f ca="1">$E545*SUMIF(INDIRECT(R$3),'Struktur Aktuell'!$D545,INDIRECT(R$8))*IFERROR(IF(VLOOKUP('Struktur Aktuell'!$D545,INDIRECT(R$6),8,)="H",-1,1),0)</f>
        <v>0</v>
      </c>
      <c r="S545" s="593" t="e">
        <f ca="1">$E545*SUMIF(INDIRECT(S$3),'Struktur Aktuell'!$D545,INDIRECT(S$8))*IFERROR(IF(VLOOKUP('Struktur Aktuell'!$D545,INDIRECT(S$6),8,)="H",-1,1),0)</f>
        <v>#REF!</v>
      </c>
      <c r="T545" s="593" t="e">
        <f ca="1">$E545*SUMIF(INDIRECT(T$3),'Struktur Aktuell'!$D545,INDIRECT(T$8))*IFERROR(IF(VLOOKUP('Struktur Aktuell'!$D545,INDIRECT(T$6),8,)="H",-1,1),0)</f>
        <v>#REF!</v>
      </c>
      <c r="U545" s="593" t="e">
        <f ca="1">$E545*SUMIF(INDIRECT(U$3),'Struktur Aktuell'!$D545,INDIRECT(U$8))*IFERROR(IF(VLOOKUP('Struktur Aktuell'!$D545,INDIRECT(U$6),8,)="H",-1,1),0)</f>
        <v>#REF!</v>
      </c>
      <c r="V545" s="593" t="e">
        <f ca="1">$E545*SUMIF(INDIRECT(V$3),'Struktur Aktuell'!$D545,INDIRECT(V$8))*IFERROR(IF(VLOOKUP('Struktur Aktuell'!$D545,INDIRECT(V$6),8,)="H",-1,1),0)</f>
        <v>#REF!</v>
      </c>
      <c r="W545" s="593" t="e">
        <f ca="1">$E545*SUMIF(INDIRECT(W$3),'Struktur Aktuell'!$D545,INDIRECT(W$8))*IFERROR(IF(VLOOKUP('Struktur Aktuell'!$D545,INDIRECT(W$6),8,)="H",-1,1),0)</f>
        <v>#REF!</v>
      </c>
      <c r="X545" s="593" t="e">
        <f ca="1">$E545*SUMIF(INDIRECT(X$3),'Struktur Aktuell'!$D545,INDIRECT(X$8))*IFERROR(IF(VLOOKUP('Struktur Aktuell'!$D545,INDIRECT(X$6),8,)="H",-1,1),0)</f>
        <v>#REF!</v>
      </c>
      <c r="Y545" s="593" t="e">
        <f ca="1">$E545*SUMIF(INDIRECT(Y$3),'Struktur Aktuell'!$D545,INDIRECT(Y$8))*IFERROR(IF(VLOOKUP('Struktur Aktuell'!$D545,INDIRECT(Y$6),8,)="H",-1,1),0)</f>
        <v>#REF!</v>
      </c>
      <c r="Z545" s="593" t="e">
        <f ca="1">$E545*SUMIF(INDIRECT(Z$3),'Struktur Aktuell'!$D545,INDIRECT(Z$8))*IFERROR(IF(VLOOKUP('Struktur Aktuell'!$D545,INDIRECT(Z$6),8,)="H",-1,1),0)</f>
        <v>#REF!</v>
      </c>
      <c r="AA545" s="593" t="e">
        <f ca="1">$E545*SUMIF(INDIRECT(AA$3),'Struktur Aktuell'!$D545,INDIRECT(AA$8))*IFERROR(IF(VLOOKUP('Struktur Aktuell'!$D545,INDIRECT(AA$6),8,)="H",-1,1),0)</f>
        <v>#REF!</v>
      </c>
      <c r="AB545" s="593" t="e">
        <f ca="1">$E545*SUMIF(INDIRECT(AB$3),'Struktur Aktuell'!$D545,INDIRECT(AB$8))*IFERROR(IF(VLOOKUP('Struktur Aktuell'!$D545,INDIRECT(AB$6),8,)="H",-1,1),0)</f>
        <v>#REF!</v>
      </c>
      <c r="AC545" s="593" t="e">
        <f ca="1">$E545*SUMIF(INDIRECT(AC$3),'Struktur Aktuell'!$D545,INDIRECT(AC$8))*IFERROR(IF(VLOOKUP('Struktur Aktuell'!$D545,INDIRECT(AC$6),8,)="H",-1,1),0)</f>
        <v>#REF!</v>
      </c>
      <c r="AD545" s="593" t="e">
        <f ca="1">$E545*SUMIF(INDIRECT(AD$3),'Struktur Aktuell'!$D545,INDIRECT(AD$8))*IFERROR(IF(VLOOKUP('Struktur Aktuell'!$D545,INDIRECT(AD$6),8,)="H",-1,1),0)</f>
        <v>#REF!</v>
      </c>
      <c r="AE545" s="593">
        <f t="shared" ca="1" si="821"/>
        <v>0</v>
      </c>
      <c r="AF545" s="593">
        <f t="shared" ca="1" si="822"/>
        <v>0</v>
      </c>
      <c r="AG545" s="593">
        <f t="shared" ca="1" si="823"/>
        <v>0</v>
      </c>
      <c r="AH545" s="593">
        <f t="shared" ca="1" si="824"/>
        <v>0</v>
      </c>
      <c r="AI545" s="593">
        <f t="shared" ca="1" si="825"/>
        <v>0</v>
      </c>
      <c r="AJ545" s="593">
        <f t="shared" ca="1" si="826"/>
        <v>0</v>
      </c>
      <c r="AK545" s="593">
        <f t="shared" ca="1" si="827"/>
        <v>0</v>
      </c>
      <c r="AL545" s="593">
        <f t="shared" ca="1" si="828"/>
        <v>0</v>
      </c>
      <c r="AM545" s="593">
        <f t="shared" ca="1" si="829"/>
        <v>0</v>
      </c>
      <c r="AN545" s="593">
        <f t="shared" ca="1" si="830"/>
        <v>0</v>
      </c>
      <c r="AO545" s="593">
        <f t="shared" ca="1" si="831"/>
        <v>0</v>
      </c>
      <c r="AP545" s="593">
        <f t="shared" ca="1" si="832"/>
        <v>0</v>
      </c>
    </row>
    <row r="546" spans="1:42" s="594" customFormat="1" ht="11.25" outlineLevel="1" x14ac:dyDescent="0.2">
      <c r="A546" s="644"/>
      <c r="B546" s="591" t="str">
        <f>IF(D546&lt;&gt;"",
IF(ISERROR(MATCH(D546,'Ist Aktuell Monat 01'!A:A,0))=FALSE,INDEX('Ist Aktuell Monat 01'!B:B,MATCH(D546,'Ist Aktuell Monat 01'!A:A,0)),
IF(ISERROR(MATCH(D546,'Ist Aktuell Monat 02'!A:A,0))=FALSE,INDEX('Ist Aktuell Monat 02'!B:B,MATCH(D546,'Ist Aktuell Monat 02'!A:A,0)),
IF(ISERROR(MATCH(D546,'Ist Aktuell Monat 03'!A:A,0))=FALSE,INDEX('Ist Aktuell Monat 03'!B:B,MATCH(D546,'Ist Aktuell Monat 03'!A:A,0)),
IF(ISERROR(MATCH(D546,'Ist Aktuell Monat 04'!A:A,0))=FALSE,INDEX('Ist Aktuell Monat 04'!B:B,MATCH(D546,'Ist Aktuell Monat 04'!A:A,0)),
IF(ISERROR(MATCH(D546,'Ist Aktuell Monat 05'!A:A,0))=FALSE,INDEX('Ist Aktuell Monat 05'!B:B,MATCH(D546,'Ist Aktuell Monat 05'!A:A,0)),
IF(ISERROR(MATCH(D546,'Ist Aktuell Monat 06'!A:A,0))=FALSE,INDEX('Ist Aktuell Monat 06'!B:B,MATCH(D546,'Ist Aktuell Monat 06'!A:A,0)),
IF(ISERROR(MATCH(D546,'Ist Aktuell Monat 07'!A:A,0))=FALSE,INDEX('Ist Aktuell Monat 07'!B:B,MATCH(D546,'Ist Aktuell Monat 07'!A:A,0)),
IF(ISERROR(MATCH(D546,'Ist Aktuell Monat 08'!A:A,0))=FALSE,INDEX('Ist Aktuell Monat 08'!B:B,MATCH(D546,'Ist Aktuell Monat 08'!A:A,0)),
IF(ISERROR(MATCH(D546,'Ist Aktuell Monat 09'!A:A,0))=FALSE,INDEX('Ist Aktuell Monat 09'!B:B,MATCH(D546,'Ist Aktuell Monat 09'!A:A,0)),
IF(ISERROR(MATCH(D546,'Ist Aktuell Monat 10'!A:A,0))=FALSE,INDEX('Ist Aktuell Monat 10'!B:B,MATCH(D546,'Ist Aktuell Monat 10'!A:A,0)),
IF(ISERROR(MATCH(D546,'Ist Aktuell Monat 11'!A:A,0))=FALSE,INDEX('Ist Aktuell Monat 11'!B:B,MATCH(D546,'Ist Aktuell Monat 11'!A:A,0)),
IF(ISERROR(MATCH(D546,'Ist Aktuell Monat 12'!A:A,0))=FALSE,INDEX('Ist Aktuell Monat 12'!B:B,MATCH(D546,'Ist Aktuell Monat 12'!A:A,0)),
"{Konto unbekannt}"
)))))))))))),"")</f>
        <v>Geldmarktkonto # 154911440</v>
      </c>
      <c r="C546" s="1062"/>
      <c r="D546" s="1067">
        <v>1250</v>
      </c>
      <c r="E546" s="625">
        <f t="shared" si="727"/>
        <v>1</v>
      </c>
      <c r="F546" s="626"/>
      <c r="G546" s="593">
        <f ca="1">$E546*SUMIF(INDIRECT(G$3),'Struktur Aktuell'!$D546,INDIRECT(G$8))*IFERROR(IF(VLOOKUP('Struktur Aktuell'!$D546,INDIRECT(G$6),8,)="H",-1,1),0)</f>
        <v>0</v>
      </c>
      <c r="H546" s="593">
        <f ca="1">$E546*SUMIF(INDIRECT(H$3),'Struktur Aktuell'!$D546,INDIRECT(H$8))*IFERROR(IF(VLOOKUP('Struktur Aktuell'!$D546,INDIRECT(H$6),8,)="H",-1,1),0)</f>
        <v>0</v>
      </c>
      <c r="I546" s="593">
        <f ca="1">$E546*SUMIF(INDIRECT(I$3),'Struktur Aktuell'!$D546,INDIRECT(I$8))*IFERROR(IF(VLOOKUP('Struktur Aktuell'!$D546,INDIRECT(I$6),8,)="H",-1,1),0)</f>
        <v>0</v>
      </c>
      <c r="J546" s="593">
        <f ca="1">$E546*SUMIF(INDIRECT(J$3),'Struktur Aktuell'!$D546,INDIRECT(J$8))*IFERROR(IF(VLOOKUP('Struktur Aktuell'!$D546,INDIRECT(J$6),8,)="H",-1,1),0)</f>
        <v>0</v>
      </c>
      <c r="K546" s="593">
        <f ca="1">$E546*SUMIF(INDIRECT(K$3),'Struktur Aktuell'!$D546,INDIRECT(K$8))*IFERROR(IF(VLOOKUP('Struktur Aktuell'!$D546,INDIRECT(K$6),8,)="H",-1,1),0)</f>
        <v>0</v>
      </c>
      <c r="L546" s="593">
        <f ca="1">$E546*SUMIF(INDIRECT(L$3),'Struktur Aktuell'!$D546,INDIRECT(L$8))*IFERROR(IF(VLOOKUP('Struktur Aktuell'!$D546,INDIRECT(L$6),8,)="H",-1,1),0)</f>
        <v>0</v>
      </c>
      <c r="M546" s="593">
        <f ca="1">$E546*SUMIF(INDIRECT(M$3),'Struktur Aktuell'!$D546,INDIRECT(M$8))*IFERROR(IF(VLOOKUP('Struktur Aktuell'!$D546,INDIRECT(M$6),8,)="H",-1,1),0)</f>
        <v>0</v>
      </c>
      <c r="N546" s="593">
        <f ca="1">$E546*SUMIF(INDIRECT(N$3),'Struktur Aktuell'!$D546,INDIRECT(N$8))*IFERROR(IF(VLOOKUP('Struktur Aktuell'!$D546,INDIRECT(N$6),8,)="H",-1,1),0)</f>
        <v>0</v>
      </c>
      <c r="O546" s="593">
        <f ca="1">$E546*SUMIF(INDIRECT(O$3),'Struktur Aktuell'!$D546,INDIRECT(O$8))*IFERROR(IF(VLOOKUP('Struktur Aktuell'!$D546,INDIRECT(O$6),8,)="H",-1,1),0)</f>
        <v>0</v>
      </c>
      <c r="P546" s="593">
        <f ca="1">$E546*SUMIF(INDIRECT(P$3),'Struktur Aktuell'!$D546,INDIRECT(P$8))*IFERROR(IF(VLOOKUP('Struktur Aktuell'!$D546,INDIRECT(P$6),8,)="H",-1,1),0)</f>
        <v>0</v>
      </c>
      <c r="Q546" s="593">
        <f ca="1">$E546*SUMIF(INDIRECT(Q$3),'Struktur Aktuell'!$D546,INDIRECT(Q$8))*IFERROR(IF(VLOOKUP('Struktur Aktuell'!$D546,INDIRECT(Q$6),8,)="H",-1,1),0)</f>
        <v>0</v>
      </c>
      <c r="R546" s="593">
        <f ca="1">$E546*SUMIF(INDIRECT(R$3),'Struktur Aktuell'!$D546,INDIRECT(R$8))*IFERROR(IF(VLOOKUP('Struktur Aktuell'!$D546,INDIRECT(R$6),8,)="H",-1,1),0)</f>
        <v>0</v>
      </c>
      <c r="S546" s="593" t="e">
        <f ca="1">$E546*SUMIF(INDIRECT(S$3),'Struktur Aktuell'!$D546,INDIRECT(S$8))*IFERROR(IF(VLOOKUP('Struktur Aktuell'!$D546,INDIRECT(S$6),8,)="H",-1,1),0)</f>
        <v>#REF!</v>
      </c>
      <c r="T546" s="593" t="e">
        <f ca="1">$E546*SUMIF(INDIRECT(T$3),'Struktur Aktuell'!$D546,INDIRECT(T$8))*IFERROR(IF(VLOOKUP('Struktur Aktuell'!$D546,INDIRECT(T$6),8,)="H",-1,1),0)</f>
        <v>#REF!</v>
      </c>
      <c r="U546" s="593" t="e">
        <f ca="1">$E546*SUMIF(INDIRECT(U$3),'Struktur Aktuell'!$D546,INDIRECT(U$8))*IFERROR(IF(VLOOKUP('Struktur Aktuell'!$D546,INDIRECT(U$6),8,)="H",-1,1),0)</f>
        <v>#REF!</v>
      </c>
      <c r="V546" s="593" t="e">
        <f ca="1">$E546*SUMIF(INDIRECT(V$3),'Struktur Aktuell'!$D546,INDIRECT(V$8))*IFERROR(IF(VLOOKUP('Struktur Aktuell'!$D546,INDIRECT(V$6),8,)="H",-1,1),0)</f>
        <v>#REF!</v>
      </c>
      <c r="W546" s="593" t="e">
        <f ca="1">$E546*SUMIF(INDIRECT(W$3),'Struktur Aktuell'!$D546,INDIRECT(W$8))*IFERROR(IF(VLOOKUP('Struktur Aktuell'!$D546,INDIRECT(W$6),8,)="H",-1,1),0)</f>
        <v>#REF!</v>
      </c>
      <c r="X546" s="593" t="e">
        <f ca="1">$E546*SUMIF(INDIRECT(X$3),'Struktur Aktuell'!$D546,INDIRECT(X$8))*IFERROR(IF(VLOOKUP('Struktur Aktuell'!$D546,INDIRECT(X$6),8,)="H",-1,1),0)</f>
        <v>#REF!</v>
      </c>
      <c r="Y546" s="593" t="e">
        <f ca="1">$E546*SUMIF(INDIRECT(Y$3),'Struktur Aktuell'!$D546,INDIRECT(Y$8))*IFERROR(IF(VLOOKUP('Struktur Aktuell'!$D546,INDIRECT(Y$6),8,)="H",-1,1),0)</f>
        <v>#REF!</v>
      </c>
      <c r="Z546" s="593" t="e">
        <f ca="1">$E546*SUMIF(INDIRECT(Z$3),'Struktur Aktuell'!$D546,INDIRECT(Z$8))*IFERROR(IF(VLOOKUP('Struktur Aktuell'!$D546,INDIRECT(Z$6),8,)="H",-1,1),0)</f>
        <v>#REF!</v>
      </c>
      <c r="AA546" s="593" t="e">
        <f ca="1">$E546*SUMIF(INDIRECT(AA$3),'Struktur Aktuell'!$D546,INDIRECT(AA$8))*IFERROR(IF(VLOOKUP('Struktur Aktuell'!$D546,INDIRECT(AA$6),8,)="H",-1,1),0)</f>
        <v>#REF!</v>
      </c>
      <c r="AB546" s="593" t="e">
        <f ca="1">$E546*SUMIF(INDIRECT(AB$3),'Struktur Aktuell'!$D546,INDIRECT(AB$8))*IFERROR(IF(VLOOKUP('Struktur Aktuell'!$D546,INDIRECT(AB$6),8,)="H",-1,1),0)</f>
        <v>#REF!</v>
      </c>
      <c r="AC546" s="593" t="e">
        <f ca="1">$E546*SUMIF(INDIRECT(AC$3),'Struktur Aktuell'!$D546,INDIRECT(AC$8))*IFERROR(IF(VLOOKUP('Struktur Aktuell'!$D546,INDIRECT(AC$6),8,)="H",-1,1),0)</f>
        <v>#REF!</v>
      </c>
      <c r="AD546" s="593" t="e">
        <f ca="1">$E546*SUMIF(INDIRECT(AD$3),'Struktur Aktuell'!$D546,INDIRECT(AD$8))*IFERROR(IF(VLOOKUP('Struktur Aktuell'!$D546,INDIRECT(AD$6),8,)="H",-1,1),0)</f>
        <v>#REF!</v>
      </c>
      <c r="AE546" s="593">
        <f t="shared" ca="1" si="821"/>
        <v>0</v>
      </c>
      <c r="AF546" s="593">
        <f t="shared" ca="1" si="822"/>
        <v>0</v>
      </c>
      <c r="AG546" s="593">
        <f t="shared" ca="1" si="823"/>
        <v>0</v>
      </c>
      <c r="AH546" s="593">
        <f t="shared" ca="1" si="824"/>
        <v>0</v>
      </c>
      <c r="AI546" s="593">
        <f t="shared" ca="1" si="825"/>
        <v>0</v>
      </c>
      <c r="AJ546" s="593">
        <f t="shared" ca="1" si="826"/>
        <v>0</v>
      </c>
      <c r="AK546" s="593">
        <f t="shared" ca="1" si="827"/>
        <v>0</v>
      </c>
      <c r="AL546" s="593">
        <f t="shared" ca="1" si="828"/>
        <v>0</v>
      </c>
      <c r="AM546" s="593">
        <f t="shared" ca="1" si="829"/>
        <v>0</v>
      </c>
      <c r="AN546" s="593">
        <f t="shared" ca="1" si="830"/>
        <v>0</v>
      </c>
      <c r="AO546" s="593">
        <f t="shared" ca="1" si="831"/>
        <v>0</v>
      </c>
      <c r="AP546" s="593">
        <f t="shared" ca="1" si="832"/>
        <v>0</v>
      </c>
    </row>
    <row r="547" spans="1:42" s="594" customFormat="1" ht="11.25" outlineLevel="1" x14ac:dyDescent="0.2">
      <c r="A547" s="644"/>
      <c r="B547" s="591" t="str">
        <f>IF(D547&lt;&gt;"",
IF(ISERROR(MATCH(D547,'Ist Aktuell Monat 01'!A:A,0))=FALSE,INDEX('Ist Aktuell Monat 01'!B:B,MATCH(D547,'Ist Aktuell Monat 01'!A:A,0)),
IF(ISERROR(MATCH(D547,'Ist Aktuell Monat 02'!A:A,0))=FALSE,INDEX('Ist Aktuell Monat 02'!B:B,MATCH(D547,'Ist Aktuell Monat 02'!A:A,0)),
IF(ISERROR(MATCH(D547,'Ist Aktuell Monat 03'!A:A,0))=FALSE,INDEX('Ist Aktuell Monat 03'!B:B,MATCH(D547,'Ist Aktuell Monat 03'!A:A,0)),
IF(ISERROR(MATCH(D547,'Ist Aktuell Monat 04'!A:A,0))=FALSE,INDEX('Ist Aktuell Monat 04'!B:B,MATCH(D547,'Ist Aktuell Monat 04'!A:A,0)),
IF(ISERROR(MATCH(D547,'Ist Aktuell Monat 05'!A:A,0))=FALSE,INDEX('Ist Aktuell Monat 05'!B:B,MATCH(D547,'Ist Aktuell Monat 05'!A:A,0)),
IF(ISERROR(MATCH(D547,'Ist Aktuell Monat 06'!A:A,0))=FALSE,INDEX('Ist Aktuell Monat 06'!B:B,MATCH(D547,'Ist Aktuell Monat 06'!A:A,0)),
IF(ISERROR(MATCH(D547,'Ist Aktuell Monat 07'!A:A,0))=FALSE,INDEX('Ist Aktuell Monat 07'!B:B,MATCH(D547,'Ist Aktuell Monat 07'!A:A,0)),
IF(ISERROR(MATCH(D547,'Ist Aktuell Monat 08'!A:A,0))=FALSE,INDEX('Ist Aktuell Monat 08'!B:B,MATCH(D547,'Ist Aktuell Monat 08'!A:A,0)),
IF(ISERROR(MATCH(D547,'Ist Aktuell Monat 09'!A:A,0))=FALSE,INDEX('Ist Aktuell Monat 09'!B:B,MATCH(D547,'Ist Aktuell Monat 09'!A:A,0)),
IF(ISERROR(MATCH(D547,'Ist Aktuell Monat 10'!A:A,0))=FALSE,INDEX('Ist Aktuell Monat 10'!B:B,MATCH(D547,'Ist Aktuell Monat 10'!A:A,0)),
IF(ISERROR(MATCH(D547,'Ist Aktuell Monat 11'!A:A,0))=FALSE,INDEX('Ist Aktuell Monat 11'!B:B,MATCH(D547,'Ist Aktuell Monat 11'!A:A,0)),
IF(ISERROR(MATCH(D547,'Ist Aktuell Monat 12'!A:A,0))=FALSE,INDEX('Ist Aktuell Monat 12'!B:B,MATCH(D547,'Ist Aktuell Monat 12'!A:A,0)),
"{Konto unbekannt}"
)))))))))))),"")</f>
        <v/>
      </c>
      <c r="C547" s="1062"/>
      <c r="D547" s="1067"/>
      <c r="E547" s="625">
        <f t="shared" si="727"/>
        <v>1</v>
      </c>
      <c r="F547" s="626"/>
      <c r="G547" s="593">
        <f ca="1">$E547*SUMIF(INDIRECT(G$3),'Struktur Aktuell'!$D547,INDIRECT(G$8))*IFERROR(IF(VLOOKUP('Struktur Aktuell'!$D547,INDIRECT(G$6),8,)="H",-1,1),0)</f>
        <v>0</v>
      </c>
      <c r="H547" s="593">
        <f ca="1">$E547*SUMIF(INDIRECT(H$3),'Struktur Aktuell'!$D547,INDIRECT(H$8))*IFERROR(IF(VLOOKUP('Struktur Aktuell'!$D547,INDIRECT(H$6),8,)="H",-1,1),0)</f>
        <v>0</v>
      </c>
      <c r="I547" s="593">
        <f ca="1">$E547*SUMIF(INDIRECT(I$3),'Struktur Aktuell'!$D547,INDIRECT(I$8))*IFERROR(IF(VLOOKUP('Struktur Aktuell'!$D547,INDIRECT(I$6),8,)="H",-1,1),0)</f>
        <v>0</v>
      </c>
      <c r="J547" s="593">
        <f ca="1">$E547*SUMIF(INDIRECT(J$3),'Struktur Aktuell'!$D547,INDIRECT(J$8))*IFERROR(IF(VLOOKUP('Struktur Aktuell'!$D547,INDIRECT(J$6),8,)="H",-1,1),0)</f>
        <v>0</v>
      </c>
      <c r="K547" s="593">
        <f ca="1">$E547*SUMIF(INDIRECT(K$3),'Struktur Aktuell'!$D547,INDIRECT(K$8))*IFERROR(IF(VLOOKUP('Struktur Aktuell'!$D547,INDIRECT(K$6),8,)="H",-1,1),0)</f>
        <v>0</v>
      </c>
      <c r="L547" s="593">
        <f ca="1">$E547*SUMIF(INDIRECT(L$3),'Struktur Aktuell'!$D547,INDIRECT(L$8))*IFERROR(IF(VLOOKUP('Struktur Aktuell'!$D547,INDIRECT(L$6),8,)="H",-1,1),0)</f>
        <v>0</v>
      </c>
      <c r="M547" s="593">
        <f ca="1">$E547*SUMIF(INDIRECT(M$3),'Struktur Aktuell'!$D547,INDIRECT(M$8))*IFERROR(IF(VLOOKUP('Struktur Aktuell'!$D547,INDIRECT(M$6),8,)="H",-1,1),0)</f>
        <v>0</v>
      </c>
      <c r="N547" s="593">
        <f ca="1">$E547*SUMIF(INDIRECT(N$3),'Struktur Aktuell'!$D547,INDIRECT(N$8))*IFERROR(IF(VLOOKUP('Struktur Aktuell'!$D547,INDIRECT(N$6),8,)="H",-1,1),0)</f>
        <v>0</v>
      </c>
      <c r="O547" s="593">
        <f ca="1">$E547*SUMIF(INDIRECT(O$3),'Struktur Aktuell'!$D547,INDIRECT(O$8))*IFERROR(IF(VLOOKUP('Struktur Aktuell'!$D547,INDIRECT(O$6),8,)="H",-1,1),0)</f>
        <v>0</v>
      </c>
      <c r="P547" s="593">
        <f ca="1">$E547*SUMIF(INDIRECT(P$3),'Struktur Aktuell'!$D547,INDIRECT(P$8))*IFERROR(IF(VLOOKUP('Struktur Aktuell'!$D547,INDIRECT(P$6),8,)="H",-1,1),0)</f>
        <v>0</v>
      </c>
      <c r="Q547" s="593">
        <f ca="1">$E547*SUMIF(INDIRECT(Q$3),'Struktur Aktuell'!$D547,INDIRECT(Q$8))*IFERROR(IF(VLOOKUP('Struktur Aktuell'!$D547,INDIRECT(Q$6),8,)="H",-1,1),0)</f>
        <v>0</v>
      </c>
      <c r="R547" s="593">
        <f ca="1">$E547*SUMIF(INDIRECT(R$3),'Struktur Aktuell'!$D547,INDIRECT(R$8))*IFERROR(IF(VLOOKUP('Struktur Aktuell'!$D547,INDIRECT(R$6),8,)="H",-1,1),0)</f>
        <v>0</v>
      </c>
      <c r="S547" s="593" t="e">
        <f ca="1">$E547*SUMIF(INDIRECT(S$3),'Struktur Aktuell'!$D547,INDIRECT(S$8))*IFERROR(IF(VLOOKUP('Struktur Aktuell'!$D547,INDIRECT(S$6),8,)="H",-1,1),0)</f>
        <v>#REF!</v>
      </c>
      <c r="T547" s="593" t="e">
        <f ca="1">$E547*SUMIF(INDIRECT(T$3),'Struktur Aktuell'!$D547,INDIRECT(T$8))*IFERROR(IF(VLOOKUP('Struktur Aktuell'!$D547,INDIRECT(T$6),8,)="H",-1,1),0)</f>
        <v>#REF!</v>
      </c>
      <c r="U547" s="593" t="e">
        <f ca="1">$E547*SUMIF(INDIRECT(U$3),'Struktur Aktuell'!$D547,INDIRECT(U$8))*IFERROR(IF(VLOOKUP('Struktur Aktuell'!$D547,INDIRECT(U$6),8,)="H",-1,1),0)</f>
        <v>#REF!</v>
      </c>
      <c r="V547" s="593" t="e">
        <f ca="1">$E547*SUMIF(INDIRECT(V$3),'Struktur Aktuell'!$D547,INDIRECT(V$8))*IFERROR(IF(VLOOKUP('Struktur Aktuell'!$D547,INDIRECT(V$6),8,)="H",-1,1),0)</f>
        <v>#REF!</v>
      </c>
      <c r="W547" s="593" t="e">
        <f ca="1">$E547*SUMIF(INDIRECT(W$3),'Struktur Aktuell'!$D547,INDIRECT(W$8))*IFERROR(IF(VLOOKUP('Struktur Aktuell'!$D547,INDIRECT(W$6),8,)="H",-1,1),0)</f>
        <v>#REF!</v>
      </c>
      <c r="X547" s="593" t="e">
        <f ca="1">$E547*SUMIF(INDIRECT(X$3),'Struktur Aktuell'!$D547,INDIRECT(X$8))*IFERROR(IF(VLOOKUP('Struktur Aktuell'!$D547,INDIRECT(X$6),8,)="H",-1,1),0)</f>
        <v>#REF!</v>
      </c>
      <c r="Y547" s="593" t="e">
        <f ca="1">$E547*SUMIF(INDIRECT(Y$3),'Struktur Aktuell'!$D547,INDIRECT(Y$8))*IFERROR(IF(VLOOKUP('Struktur Aktuell'!$D547,INDIRECT(Y$6),8,)="H",-1,1),0)</f>
        <v>#REF!</v>
      </c>
      <c r="Z547" s="593" t="e">
        <f ca="1">$E547*SUMIF(INDIRECT(Z$3),'Struktur Aktuell'!$D547,INDIRECT(Z$8))*IFERROR(IF(VLOOKUP('Struktur Aktuell'!$D547,INDIRECT(Z$6),8,)="H",-1,1),0)</f>
        <v>#REF!</v>
      </c>
      <c r="AA547" s="593" t="e">
        <f ca="1">$E547*SUMIF(INDIRECT(AA$3),'Struktur Aktuell'!$D547,INDIRECT(AA$8))*IFERROR(IF(VLOOKUP('Struktur Aktuell'!$D547,INDIRECT(AA$6),8,)="H",-1,1),0)</f>
        <v>#REF!</v>
      </c>
      <c r="AB547" s="593" t="e">
        <f ca="1">$E547*SUMIF(INDIRECT(AB$3),'Struktur Aktuell'!$D547,INDIRECT(AB$8))*IFERROR(IF(VLOOKUP('Struktur Aktuell'!$D547,INDIRECT(AB$6),8,)="H",-1,1),0)</f>
        <v>#REF!</v>
      </c>
      <c r="AC547" s="593" t="e">
        <f ca="1">$E547*SUMIF(INDIRECT(AC$3),'Struktur Aktuell'!$D547,INDIRECT(AC$8))*IFERROR(IF(VLOOKUP('Struktur Aktuell'!$D547,INDIRECT(AC$6),8,)="H",-1,1),0)</f>
        <v>#REF!</v>
      </c>
      <c r="AD547" s="593" t="e">
        <f ca="1">$E547*SUMIF(INDIRECT(AD$3),'Struktur Aktuell'!$D547,INDIRECT(AD$8))*IFERROR(IF(VLOOKUP('Struktur Aktuell'!$D547,INDIRECT(AD$6),8,)="H",-1,1),0)</f>
        <v>#REF!</v>
      </c>
      <c r="AE547" s="593">
        <f t="shared" ca="1" si="821"/>
        <v>0</v>
      </c>
      <c r="AF547" s="593">
        <f t="shared" ca="1" si="822"/>
        <v>0</v>
      </c>
      <c r="AG547" s="593">
        <f t="shared" ca="1" si="823"/>
        <v>0</v>
      </c>
      <c r="AH547" s="593">
        <f t="shared" ca="1" si="824"/>
        <v>0</v>
      </c>
      <c r="AI547" s="593">
        <f t="shared" ca="1" si="825"/>
        <v>0</v>
      </c>
      <c r="AJ547" s="593">
        <f t="shared" ca="1" si="826"/>
        <v>0</v>
      </c>
      <c r="AK547" s="593">
        <f t="shared" ca="1" si="827"/>
        <v>0</v>
      </c>
      <c r="AL547" s="593">
        <f t="shared" ca="1" si="828"/>
        <v>0</v>
      </c>
      <c r="AM547" s="593">
        <f t="shared" ca="1" si="829"/>
        <v>0</v>
      </c>
      <c r="AN547" s="593">
        <f t="shared" ca="1" si="830"/>
        <v>0</v>
      </c>
      <c r="AO547" s="593">
        <f t="shared" ca="1" si="831"/>
        <v>0</v>
      </c>
      <c r="AP547" s="593">
        <f t="shared" ca="1" si="832"/>
        <v>0</v>
      </c>
    </row>
    <row r="548" spans="1:42" s="594" customFormat="1" ht="11.25" outlineLevel="1" x14ac:dyDescent="0.2">
      <c r="A548" s="644"/>
      <c r="B548" s="591" t="str">
        <f>IF(D548&lt;&gt;"",
IF(ISERROR(MATCH(D548,'Ist Aktuell Monat 01'!A:A,0))=FALSE,INDEX('Ist Aktuell Monat 01'!B:B,MATCH(D548,'Ist Aktuell Monat 01'!A:A,0)),
IF(ISERROR(MATCH(D548,'Ist Aktuell Monat 02'!A:A,0))=FALSE,INDEX('Ist Aktuell Monat 02'!B:B,MATCH(D548,'Ist Aktuell Monat 02'!A:A,0)),
IF(ISERROR(MATCH(D548,'Ist Aktuell Monat 03'!A:A,0))=FALSE,INDEX('Ist Aktuell Monat 03'!B:B,MATCH(D548,'Ist Aktuell Monat 03'!A:A,0)),
IF(ISERROR(MATCH(D548,'Ist Aktuell Monat 04'!A:A,0))=FALSE,INDEX('Ist Aktuell Monat 04'!B:B,MATCH(D548,'Ist Aktuell Monat 04'!A:A,0)),
IF(ISERROR(MATCH(D548,'Ist Aktuell Monat 05'!A:A,0))=FALSE,INDEX('Ist Aktuell Monat 05'!B:B,MATCH(D548,'Ist Aktuell Monat 05'!A:A,0)),
IF(ISERROR(MATCH(D548,'Ist Aktuell Monat 06'!A:A,0))=FALSE,INDEX('Ist Aktuell Monat 06'!B:B,MATCH(D548,'Ist Aktuell Monat 06'!A:A,0)),
IF(ISERROR(MATCH(D548,'Ist Aktuell Monat 07'!A:A,0))=FALSE,INDEX('Ist Aktuell Monat 07'!B:B,MATCH(D548,'Ist Aktuell Monat 07'!A:A,0)),
IF(ISERROR(MATCH(D548,'Ist Aktuell Monat 08'!A:A,0))=FALSE,INDEX('Ist Aktuell Monat 08'!B:B,MATCH(D548,'Ist Aktuell Monat 08'!A:A,0)),
IF(ISERROR(MATCH(D548,'Ist Aktuell Monat 09'!A:A,0))=FALSE,INDEX('Ist Aktuell Monat 09'!B:B,MATCH(D548,'Ist Aktuell Monat 09'!A:A,0)),
IF(ISERROR(MATCH(D548,'Ist Aktuell Monat 10'!A:A,0))=FALSE,INDEX('Ist Aktuell Monat 10'!B:B,MATCH(D548,'Ist Aktuell Monat 10'!A:A,0)),
IF(ISERROR(MATCH(D548,'Ist Aktuell Monat 11'!A:A,0))=FALSE,INDEX('Ist Aktuell Monat 11'!B:B,MATCH(D548,'Ist Aktuell Monat 11'!A:A,0)),
IF(ISERROR(MATCH(D548,'Ist Aktuell Monat 12'!A:A,0))=FALSE,INDEX('Ist Aktuell Monat 12'!B:B,MATCH(D548,'Ist Aktuell Monat 12'!A:A,0)),
"{Konto unbekannt}"
)))))))))))),"")</f>
        <v/>
      </c>
      <c r="C548" s="1062"/>
      <c r="D548" s="1067"/>
      <c r="E548" s="625">
        <f t="shared" si="727"/>
        <v>1</v>
      </c>
      <c r="F548" s="626"/>
      <c r="G548" s="593">
        <f ca="1">$E548*SUMIF(INDIRECT(G$3),'Struktur Aktuell'!$D548,INDIRECT(G$8))*IFERROR(IF(VLOOKUP('Struktur Aktuell'!$D548,INDIRECT(G$6),8,)="H",-1,1),0)</f>
        <v>0</v>
      </c>
      <c r="H548" s="593">
        <f ca="1">$E548*SUMIF(INDIRECT(H$3),'Struktur Aktuell'!$D548,INDIRECT(H$8))*IFERROR(IF(VLOOKUP('Struktur Aktuell'!$D548,INDIRECT(H$6),8,)="H",-1,1),0)</f>
        <v>0</v>
      </c>
      <c r="I548" s="593">
        <f ca="1">$E548*SUMIF(INDIRECT(I$3),'Struktur Aktuell'!$D548,INDIRECT(I$8))*IFERROR(IF(VLOOKUP('Struktur Aktuell'!$D548,INDIRECT(I$6),8,)="H",-1,1),0)</f>
        <v>0</v>
      </c>
      <c r="J548" s="593">
        <f ca="1">$E548*SUMIF(INDIRECT(J$3),'Struktur Aktuell'!$D548,INDIRECT(J$8))*IFERROR(IF(VLOOKUP('Struktur Aktuell'!$D548,INDIRECT(J$6),8,)="H",-1,1),0)</f>
        <v>0</v>
      </c>
      <c r="K548" s="593">
        <f ca="1">$E548*SUMIF(INDIRECT(K$3),'Struktur Aktuell'!$D548,INDIRECT(K$8))*IFERROR(IF(VLOOKUP('Struktur Aktuell'!$D548,INDIRECT(K$6),8,)="H",-1,1),0)</f>
        <v>0</v>
      </c>
      <c r="L548" s="593">
        <f ca="1">$E548*SUMIF(INDIRECT(L$3),'Struktur Aktuell'!$D548,INDIRECT(L$8))*IFERROR(IF(VLOOKUP('Struktur Aktuell'!$D548,INDIRECT(L$6),8,)="H",-1,1),0)</f>
        <v>0</v>
      </c>
      <c r="M548" s="593">
        <f ca="1">$E548*SUMIF(INDIRECT(M$3),'Struktur Aktuell'!$D548,INDIRECT(M$8))*IFERROR(IF(VLOOKUP('Struktur Aktuell'!$D548,INDIRECT(M$6),8,)="H",-1,1),0)</f>
        <v>0</v>
      </c>
      <c r="N548" s="593">
        <f ca="1">$E548*SUMIF(INDIRECT(N$3),'Struktur Aktuell'!$D548,INDIRECT(N$8))*IFERROR(IF(VLOOKUP('Struktur Aktuell'!$D548,INDIRECT(N$6),8,)="H",-1,1),0)</f>
        <v>0</v>
      </c>
      <c r="O548" s="593">
        <f ca="1">$E548*SUMIF(INDIRECT(O$3),'Struktur Aktuell'!$D548,INDIRECT(O$8))*IFERROR(IF(VLOOKUP('Struktur Aktuell'!$D548,INDIRECT(O$6),8,)="H",-1,1),0)</f>
        <v>0</v>
      </c>
      <c r="P548" s="593">
        <f ca="1">$E548*SUMIF(INDIRECT(P$3),'Struktur Aktuell'!$D548,INDIRECT(P$8))*IFERROR(IF(VLOOKUP('Struktur Aktuell'!$D548,INDIRECT(P$6),8,)="H",-1,1),0)</f>
        <v>0</v>
      </c>
      <c r="Q548" s="593">
        <f ca="1">$E548*SUMIF(INDIRECT(Q$3),'Struktur Aktuell'!$D548,INDIRECT(Q$8))*IFERROR(IF(VLOOKUP('Struktur Aktuell'!$D548,INDIRECT(Q$6),8,)="H",-1,1),0)</f>
        <v>0</v>
      </c>
      <c r="R548" s="593">
        <f ca="1">$E548*SUMIF(INDIRECT(R$3),'Struktur Aktuell'!$D548,INDIRECT(R$8))*IFERROR(IF(VLOOKUP('Struktur Aktuell'!$D548,INDIRECT(R$6),8,)="H",-1,1),0)</f>
        <v>0</v>
      </c>
      <c r="S548" s="593" t="e">
        <f ca="1">$E548*SUMIF(INDIRECT(S$3),'Struktur Aktuell'!$D548,INDIRECT(S$8))*IFERROR(IF(VLOOKUP('Struktur Aktuell'!$D548,INDIRECT(S$6),8,)="H",-1,1),0)</f>
        <v>#REF!</v>
      </c>
      <c r="T548" s="593" t="e">
        <f ca="1">$E548*SUMIF(INDIRECT(T$3),'Struktur Aktuell'!$D548,INDIRECT(T$8))*IFERROR(IF(VLOOKUP('Struktur Aktuell'!$D548,INDIRECT(T$6),8,)="H",-1,1),0)</f>
        <v>#REF!</v>
      </c>
      <c r="U548" s="593" t="e">
        <f ca="1">$E548*SUMIF(INDIRECT(U$3),'Struktur Aktuell'!$D548,INDIRECT(U$8))*IFERROR(IF(VLOOKUP('Struktur Aktuell'!$D548,INDIRECT(U$6),8,)="H",-1,1),0)</f>
        <v>#REF!</v>
      </c>
      <c r="V548" s="593" t="e">
        <f ca="1">$E548*SUMIF(INDIRECT(V$3),'Struktur Aktuell'!$D548,INDIRECT(V$8))*IFERROR(IF(VLOOKUP('Struktur Aktuell'!$D548,INDIRECT(V$6),8,)="H",-1,1),0)</f>
        <v>#REF!</v>
      </c>
      <c r="W548" s="593" t="e">
        <f ca="1">$E548*SUMIF(INDIRECT(W$3),'Struktur Aktuell'!$D548,INDIRECT(W$8))*IFERROR(IF(VLOOKUP('Struktur Aktuell'!$D548,INDIRECT(W$6),8,)="H",-1,1),0)</f>
        <v>#REF!</v>
      </c>
      <c r="X548" s="593" t="e">
        <f ca="1">$E548*SUMIF(INDIRECT(X$3),'Struktur Aktuell'!$D548,INDIRECT(X$8))*IFERROR(IF(VLOOKUP('Struktur Aktuell'!$D548,INDIRECT(X$6),8,)="H",-1,1),0)</f>
        <v>#REF!</v>
      </c>
      <c r="Y548" s="593" t="e">
        <f ca="1">$E548*SUMIF(INDIRECT(Y$3),'Struktur Aktuell'!$D548,INDIRECT(Y$8))*IFERROR(IF(VLOOKUP('Struktur Aktuell'!$D548,INDIRECT(Y$6),8,)="H",-1,1),0)</f>
        <v>#REF!</v>
      </c>
      <c r="Z548" s="593" t="e">
        <f ca="1">$E548*SUMIF(INDIRECT(Z$3),'Struktur Aktuell'!$D548,INDIRECT(Z$8))*IFERROR(IF(VLOOKUP('Struktur Aktuell'!$D548,INDIRECT(Z$6),8,)="H",-1,1),0)</f>
        <v>#REF!</v>
      </c>
      <c r="AA548" s="593" t="e">
        <f ca="1">$E548*SUMIF(INDIRECT(AA$3),'Struktur Aktuell'!$D548,INDIRECT(AA$8))*IFERROR(IF(VLOOKUP('Struktur Aktuell'!$D548,INDIRECT(AA$6),8,)="H",-1,1),0)</f>
        <v>#REF!</v>
      </c>
      <c r="AB548" s="593" t="e">
        <f ca="1">$E548*SUMIF(INDIRECT(AB$3),'Struktur Aktuell'!$D548,INDIRECT(AB$8))*IFERROR(IF(VLOOKUP('Struktur Aktuell'!$D548,INDIRECT(AB$6),8,)="H",-1,1),0)</f>
        <v>#REF!</v>
      </c>
      <c r="AC548" s="593" t="e">
        <f ca="1">$E548*SUMIF(INDIRECT(AC$3),'Struktur Aktuell'!$D548,INDIRECT(AC$8))*IFERROR(IF(VLOOKUP('Struktur Aktuell'!$D548,INDIRECT(AC$6),8,)="H",-1,1),0)</f>
        <v>#REF!</v>
      </c>
      <c r="AD548" s="593" t="e">
        <f ca="1">$E548*SUMIF(INDIRECT(AD$3),'Struktur Aktuell'!$D548,INDIRECT(AD$8))*IFERROR(IF(VLOOKUP('Struktur Aktuell'!$D548,INDIRECT(AD$6),8,)="H",-1,1),0)</f>
        <v>#REF!</v>
      </c>
      <c r="AE548" s="593">
        <f t="shared" ca="1" si="821"/>
        <v>0</v>
      </c>
      <c r="AF548" s="593">
        <f t="shared" ca="1" si="822"/>
        <v>0</v>
      </c>
      <c r="AG548" s="593">
        <f t="shared" ca="1" si="823"/>
        <v>0</v>
      </c>
      <c r="AH548" s="593">
        <f t="shared" ca="1" si="824"/>
        <v>0</v>
      </c>
      <c r="AI548" s="593">
        <f t="shared" ca="1" si="825"/>
        <v>0</v>
      </c>
      <c r="AJ548" s="593">
        <f t="shared" ca="1" si="826"/>
        <v>0</v>
      </c>
      <c r="AK548" s="593">
        <f t="shared" ca="1" si="827"/>
        <v>0</v>
      </c>
      <c r="AL548" s="593">
        <f t="shared" ca="1" si="828"/>
        <v>0</v>
      </c>
      <c r="AM548" s="593">
        <f t="shared" ca="1" si="829"/>
        <v>0</v>
      </c>
      <c r="AN548" s="593">
        <f t="shared" ca="1" si="830"/>
        <v>0</v>
      </c>
      <c r="AO548" s="593">
        <f t="shared" ca="1" si="831"/>
        <v>0</v>
      </c>
      <c r="AP548" s="593">
        <f t="shared" ca="1" si="832"/>
        <v>0</v>
      </c>
    </row>
    <row r="549" spans="1:42" s="594" customFormat="1" ht="11.25" outlineLevel="1" x14ac:dyDescent="0.2">
      <c r="A549" s="644"/>
      <c r="B549" s="591" t="str">
        <f>IF(D549&lt;&gt;"",
IF(ISERROR(MATCH(D549,'Ist Aktuell Monat 01'!A:A,0))=FALSE,INDEX('Ist Aktuell Monat 01'!B:B,MATCH(D549,'Ist Aktuell Monat 01'!A:A,0)),
IF(ISERROR(MATCH(D549,'Ist Aktuell Monat 02'!A:A,0))=FALSE,INDEX('Ist Aktuell Monat 02'!B:B,MATCH(D549,'Ist Aktuell Monat 02'!A:A,0)),
IF(ISERROR(MATCH(D549,'Ist Aktuell Monat 03'!A:A,0))=FALSE,INDEX('Ist Aktuell Monat 03'!B:B,MATCH(D549,'Ist Aktuell Monat 03'!A:A,0)),
IF(ISERROR(MATCH(D549,'Ist Aktuell Monat 04'!A:A,0))=FALSE,INDEX('Ist Aktuell Monat 04'!B:B,MATCH(D549,'Ist Aktuell Monat 04'!A:A,0)),
IF(ISERROR(MATCH(D549,'Ist Aktuell Monat 05'!A:A,0))=FALSE,INDEX('Ist Aktuell Monat 05'!B:B,MATCH(D549,'Ist Aktuell Monat 05'!A:A,0)),
IF(ISERROR(MATCH(D549,'Ist Aktuell Monat 06'!A:A,0))=FALSE,INDEX('Ist Aktuell Monat 06'!B:B,MATCH(D549,'Ist Aktuell Monat 06'!A:A,0)),
IF(ISERROR(MATCH(D549,'Ist Aktuell Monat 07'!A:A,0))=FALSE,INDEX('Ist Aktuell Monat 07'!B:B,MATCH(D549,'Ist Aktuell Monat 07'!A:A,0)),
IF(ISERROR(MATCH(D549,'Ist Aktuell Monat 08'!A:A,0))=FALSE,INDEX('Ist Aktuell Monat 08'!B:B,MATCH(D549,'Ist Aktuell Monat 08'!A:A,0)),
IF(ISERROR(MATCH(D549,'Ist Aktuell Monat 09'!A:A,0))=FALSE,INDEX('Ist Aktuell Monat 09'!B:B,MATCH(D549,'Ist Aktuell Monat 09'!A:A,0)),
IF(ISERROR(MATCH(D549,'Ist Aktuell Monat 10'!A:A,0))=FALSE,INDEX('Ist Aktuell Monat 10'!B:B,MATCH(D549,'Ist Aktuell Monat 10'!A:A,0)),
IF(ISERROR(MATCH(D549,'Ist Aktuell Monat 11'!A:A,0))=FALSE,INDEX('Ist Aktuell Monat 11'!B:B,MATCH(D549,'Ist Aktuell Monat 11'!A:A,0)),
IF(ISERROR(MATCH(D549,'Ist Aktuell Monat 12'!A:A,0))=FALSE,INDEX('Ist Aktuell Monat 12'!B:B,MATCH(D549,'Ist Aktuell Monat 12'!A:A,0)),
"{Konto unbekannt}"
)))))))))))),"")</f>
        <v/>
      </c>
      <c r="C549" s="1062"/>
      <c r="D549" s="1067"/>
      <c r="E549" s="625">
        <f t="shared" si="727"/>
        <v>1</v>
      </c>
      <c r="F549" s="626"/>
      <c r="G549" s="593">
        <f ca="1">$E549*SUMIF(INDIRECT(G$3),'Struktur Aktuell'!$D549,INDIRECT(G$8))*IFERROR(IF(VLOOKUP('Struktur Aktuell'!$D549,INDIRECT(G$6),8,)="H",-1,1),0)</f>
        <v>0</v>
      </c>
      <c r="H549" s="593">
        <f ca="1">$E549*SUMIF(INDIRECT(H$3),'Struktur Aktuell'!$D549,INDIRECT(H$8))*IFERROR(IF(VLOOKUP('Struktur Aktuell'!$D549,INDIRECT(H$6),8,)="H",-1,1),0)</f>
        <v>0</v>
      </c>
      <c r="I549" s="593">
        <f ca="1">$E549*SUMIF(INDIRECT(I$3),'Struktur Aktuell'!$D549,INDIRECT(I$8))*IFERROR(IF(VLOOKUP('Struktur Aktuell'!$D549,INDIRECT(I$6),8,)="H",-1,1),0)</f>
        <v>0</v>
      </c>
      <c r="J549" s="593">
        <f ca="1">$E549*SUMIF(INDIRECT(J$3),'Struktur Aktuell'!$D549,INDIRECT(J$8))*IFERROR(IF(VLOOKUP('Struktur Aktuell'!$D549,INDIRECT(J$6),8,)="H",-1,1),0)</f>
        <v>0</v>
      </c>
      <c r="K549" s="593">
        <f ca="1">$E549*SUMIF(INDIRECT(K$3),'Struktur Aktuell'!$D549,INDIRECT(K$8))*IFERROR(IF(VLOOKUP('Struktur Aktuell'!$D549,INDIRECT(K$6),8,)="H",-1,1),0)</f>
        <v>0</v>
      </c>
      <c r="L549" s="593">
        <f ca="1">$E549*SUMIF(INDIRECT(L$3),'Struktur Aktuell'!$D549,INDIRECT(L$8))*IFERROR(IF(VLOOKUP('Struktur Aktuell'!$D549,INDIRECT(L$6),8,)="H",-1,1),0)</f>
        <v>0</v>
      </c>
      <c r="M549" s="593">
        <f ca="1">$E549*SUMIF(INDIRECT(M$3),'Struktur Aktuell'!$D549,INDIRECT(M$8))*IFERROR(IF(VLOOKUP('Struktur Aktuell'!$D549,INDIRECT(M$6),8,)="H",-1,1),0)</f>
        <v>0</v>
      </c>
      <c r="N549" s="593">
        <f ca="1">$E549*SUMIF(INDIRECT(N$3),'Struktur Aktuell'!$D549,INDIRECT(N$8))*IFERROR(IF(VLOOKUP('Struktur Aktuell'!$D549,INDIRECT(N$6),8,)="H",-1,1),0)</f>
        <v>0</v>
      </c>
      <c r="O549" s="593">
        <f ca="1">$E549*SUMIF(INDIRECT(O$3),'Struktur Aktuell'!$D549,INDIRECT(O$8))*IFERROR(IF(VLOOKUP('Struktur Aktuell'!$D549,INDIRECT(O$6),8,)="H",-1,1),0)</f>
        <v>0</v>
      </c>
      <c r="P549" s="593">
        <f ca="1">$E549*SUMIF(INDIRECT(P$3),'Struktur Aktuell'!$D549,INDIRECT(P$8))*IFERROR(IF(VLOOKUP('Struktur Aktuell'!$D549,INDIRECT(P$6),8,)="H",-1,1),0)</f>
        <v>0</v>
      </c>
      <c r="Q549" s="593">
        <f ca="1">$E549*SUMIF(INDIRECT(Q$3),'Struktur Aktuell'!$D549,INDIRECT(Q$8))*IFERROR(IF(VLOOKUP('Struktur Aktuell'!$D549,INDIRECT(Q$6),8,)="H",-1,1),0)</f>
        <v>0</v>
      </c>
      <c r="R549" s="593">
        <f ca="1">$E549*SUMIF(INDIRECT(R$3),'Struktur Aktuell'!$D549,INDIRECT(R$8))*IFERROR(IF(VLOOKUP('Struktur Aktuell'!$D549,INDIRECT(R$6),8,)="H",-1,1),0)</f>
        <v>0</v>
      </c>
      <c r="S549" s="593" t="e">
        <f ca="1">$E549*SUMIF(INDIRECT(S$3),'Struktur Aktuell'!$D549,INDIRECT(S$8))*IFERROR(IF(VLOOKUP('Struktur Aktuell'!$D549,INDIRECT(S$6),8,)="H",-1,1),0)</f>
        <v>#REF!</v>
      </c>
      <c r="T549" s="593" t="e">
        <f ca="1">$E549*SUMIF(INDIRECT(T$3),'Struktur Aktuell'!$D549,INDIRECT(T$8))*IFERROR(IF(VLOOKUP('Struktur Aktuell'!$D549,INDIRECT(T$6),8,)="H",-1,1),0)</f>
        <v>#REF!</v>
      </c>
      <c r="U549" s="593" t="e">
        <f ca="1">$E549*SUMIF(INDIRECT(U$3),'Struktur Aktuell'!$D549,INDIRECT(U$8))*IFERROR(IF(VLOOKUP('Struktur Aktuell'!$D549,INDIRECT(U$6),8,)="H",-1,1),0)</f>
        <v>#REF!</v>
      </c>
      <c r="V549" s="593" t="e">
        <f ca="1">$E549*SUMIF(INDIRECT(V$3),'Struktur Aktuell'!$D549,INDIRECT(V$8))*IFERROR(IF(VLOOKUP('Struktur Aktuell'!$D549,INDIRECT(V$6),8,)="H",-1,1),0)</f>
        <v>#REF!</v>
      </c>
      <c r="W549" s="593" t="e">
        <f ca="1">$E549*SUMIF(INDIRECT(W$3),'Struktur Aktuell'!$D549,INDIRECT(W$8))*IFERROR(IF(VLOOKUP('Struktur Aktuell'!$D549,INDIRECT(W$6),8,)="H",-1,1),0)</f>
        <v>#REF!</v>
      </c>
      <c r="X549" s="593" t="e">
        <f ca="1">$E549*SUMIF(INDIRECT(X$3),'Struktur Aktuell'!$D549,INDIRECT(X$8))*IFERROR(IF(VLOOKUP('Struktur Aktuell'!$D549,INDIRECT(X$6),8,)="H",-1,1),0)</f>
        <v>#REF!</v>
      </c>
      <c r="Y549" s="593" t="e">
        <f ca="1">$E549*SUMIF(INDIRECT(Y$3),'Struktur Aktuell'!$D549,INDIRECT(Y$8))*IFERROR(IF(VLOOKUP('Struktur Aktuell'!$D549,INDIRECT(Y$6),8,)="H",-1,1),0)</f>
        <v>#REF!</v>
      </c>
      <c r="Z549" s="593" t="e">
        <f ca="1">$E549*SUMIF(INDIRECT(Z$3),'Struktur Aktuell'!$D549,INDIRECT(Z$8))*IFERROR(IF(VLOOKUP('Struktur Aktuell'!$D549,INDIRECT(Z$6),8,)="H",-1,1),0)</f>
        <v>#REF!</v>
      </c>
      <c r="AA549" s="593" t="e">
        <f ca="1">$E549*SUMIF(INDIRECT(AA$3),'Struktur Aktuell'!$D549,INDIRECT(AA$8))*IFERROR(IF(VLOOKUP('Struktur Aktuell'!$D549,INDIRECT(AA$6),8,)="H",-1,1),0)</f>
        <v>#REF!</v>
      </c>
      <c r="AB549" s="593" t="e">
        <f ca="1">$E549*SUMIF(INDIRECT(AB$3),'Struktur Aktuell'!$D549,INDIRECT(AB$8))*IFERROR(IF(VLOOKUP('Struktur Aktuell'!$D549,INDIRECT(AB$6),8,)="H",-1,1),0)</f>
        <v>#REF!</v>
      </c>
      <c r="AC549" s="593" t="e">
        <f ca="1">$E549*SUMIF(INDIRECT(AC$3),'Struktur Aktuell'!$D549,INDIRECT(AC$8))*IFERROR(IF(VLOOKUP('Struktur Aktuell'!$D549,INDIRECT(AC$6),8,)="H",-1,1),0)</f>
        <v>#REF!</v>
      </c>
      <c r="AD549" s="593" t="e">
        <f ca="1">$E549*SUMIF(INDIRECT(AD$3),'Struktur Aktuell'!$D549,INDIRECT(AD$8))*IFERROR(IF(VLOOKUP('Struktur Aktuell'!$D549,INDIRECT(AD$6),8,)="H",-1,1),0)</f>
        <v>#REF!</v>
      </c>
      <c r="AE549" s="593">
        <f t="shared" ca="1" si="821"/>
        <v>0</v>
      </c>
      <c r="AF549" s="593">
        <f t="shared" ca="1" si="822"/>
        <v>0</v>
      </c>
      <c r="AG549" s="593">
        <f t="shared" ca="1" si="823"/>
        <v>0</v>
      </c>
      <c r="AH549" s="593">
        <f t="shared" ca="1" si="824"/>
        <v>0</v>
      </c>
      <c r="AI549" s="593">
        <f t="shared" ca="1" si="825"/>
        <v>0</v>
      </c>
      <c r="AJ549" s="593">
        <f t="shared" ca="1" si="826"/>
        <v>0</v>
      </c>
      <c r="AK549" s="593">
        <f t="shared" ca="1" si="827"/>
        <v>0</v>
      </c>
      <c r="AL549" s="593">
        <f t="shared" ca="1" si="828"/>
        <v>0</v>
      </c>
      <c r="AM549" s="593">
        <f t="shared" ca="1" si="829"/>
        <v>0</v>
      </c>
      <c r="AN549" s="593">
        <f t="shared" ca="1" si="830"/>
        <v>0</v>
      </c>
      <c r="AO549" s="593">
        <f t="shared" ca="1" si="831"/>
        <v>0</v>
      </c>
      <c r="AP549" s="593">
        <f t="shared" ca="1" si="832"/>
        <v>0</v>
      </c>
    </row>
    <row r="550" spans="1:42" s="594" customFormat="1" ht="11.25" outlineLevel="1" x14ac:dyDescent="0.2">
      <c r="A550" s="644"/>
      <c r="B550" s="591" t="str">
        <f>IF(D550&lt;&gt;"",
IF(ISERROR(MATCH(D550,'Ist Aktuell Monat 01'!A:A,0))=FALSE,INDEX('Ist Aktuell Monat 01'!B:B,MATCH(D550,'Ist Aktuell Monat 01'!A:A,0)),
IF(ISERROR(MATCH(D550,'Ist Aktuell Monat 02'!A:A,0))=FALSE,INDEX('Ist Aktuell Monat 02'!B:B,MATCH(D550,'Ist Aktuell Monat 02'!A:A,0)),
IF(ISERROR(MATCH(D550,'Ist Aktuell Monat 03'!A:A,0))=FALSE,INDEX('Ist Aktuell Monat 03'!B:B,MATCH(D550,'Ist Aktuell Monat 03'!A:A,0)),
IF(ISERROR(MATCH(D550,'Ist Aktuell Monat 04'!A:A,0))=FALSE,INDEX('Ist Aktuell Monat 04'!B:B,MATCH(D550,'Ist Aktuell Monat 04'!A:A,0)),
IF(ISERROR(MATCH(D550,'Ist Aktuell Monat 05'!A:A,0))=FALSE,INDEX('Ist Aktuell Monat 05'!B:B,MATCH(D550,'Ist Aktuell Monat 05'!A:A,0)),
IF(ISERROR(MATCH(D550,'Ist Aktuell Monat 06'!A:A,0))=FALSE,INDEX('Ist Aktuell Monat 06'!B:B,MATCH(D550,'Ist Aktuell Monat 06'!A:A,0)),
IF(ISERROR(MATCH(D550,'Ist Aktuell Monat 07'!A:A,0))=FALSE,INDEX('Ist Aktuell Monat 07'!B:B,MATCH(D550,'Ist Aktuell Monat 07'!A:A,0)),
IF(ISERROR(MATCH(D550,'Ist Aktuell Monat 08'!A:A,0))=FALSE,INDEX('Ist Aktuell Monat 08'!B:B,MATCH(D550,'Ist Aktuell Monat 08'!A:A,0)),
IF(ISERROR(MATCH(D550,'Ist Aktuell Monat 09'!A:A,0))=FALSE,INDEX('Ist Aktuell Monat 09'!B:B,MATCH(D550,'Ist Aktuell Monat 09'!A:A,0)),
IF(ISERROR(MATCH(D550,'Ist Aktuell Monat 10'!A:A,0))=FALSE,INDEX('Ist Aktuell Monat 10'!B:B,MATCH(D550,'Ist Aktuell Monat 10'!A:A,0)),
IF(ISERROR(MATCH(D550,'Ist Aktuell Monat 11'!A:A,0))=FALSE,INDEX('Ist Aktuell Monat 11'!B:B,MATCH(D550,'Ist Aktuell Monat 11'!A:A,0)),
IF(ISERROR(MATCH(D550,'Ist Aktuell Monat 12'!A:A,0))=FALSE,INDEX('Ist Aktuell Monat 12'!B:B,MATCH(D550,'Ist Aktuell Monat 12'!A:A,0)),
"{Konto unbekannt}"
)))))))))))),"")</f>
        <v/>
      </c>
      <c r="C550" s="1062"/>
      <c r="D550" s="1067"/>
      <c r="E550" s="625">
        <f t="shared" si="727"/>
        <v>1</v>
      </c>
      <c r="F550" s="626"/>
      <c r="G550" s="593">
        <f ca="1">$E550*SUMIF(INDIRECT(G$3),'Struktur Aktuell'!$D550,INDIRECT(G$8))*IFERROR(IF(VLOOKUP('Struktur Aktuell'!$D550,INDIRECT(G$6),8,)="H",-1,1),0)</f>
        <v>0</v>
      </c>
      <c r="H550" s="593">
        <f ca="1">$E550*SUMIF(INDIRECT(H$3),'Struktur Aktuell'!$D550,INDIRECT(H$8))*IFERROR(IF(VLOOKUP('Struktur Aktuell'!$D550,INDIRECT(H$6),8,)="H",-1,1),0)</f>
        <v>0</v>
      </c>
      <c r="I550" s="593">
        <f ca="1">$E550*SUMIF(INDIRECT(I$3),'Struktur Aktuell'!$D550,INDIRECT(I$8))*IFERROR(IF(VLOOKUP('Struktur Aktuell'!$D550,INDIRECT(I$6),8,)="H",-1,1),0)</f>
        <v>0</v>
      </c>
      <c r="J550" s="593">
        <f ca="1">$E550*SUMIF(INDIRECT(J$3),'Struktur Aktuell'!$D550,INDIRECT(J$8))*IFERROR(IF(VLOOKUP('Struktur Aktuell'!$D550,INDIRECT(J$6),8,)="H",-1,1),0)</f>
        <v>0</v>
      </c>
      <c r="K550" s="593">
        <f ca="1">$E550*SUMIF(INDIRECT(K$3),'Struktur Aktuell'!$D550,INDIRECT(K$8))*IFERROR(IF(VLOOKUP('Struktur Aktuell'!$D550,INDIRECT(K$6),8,)="H",-1,1),0)</f>
        <v>0</v>
      </c>
      <c r="L550" s="593">
        <f ca="1">$E550*SUMIF(INDIRECT(L$3),'Struktur Aktuell'!$D550,INDIRECT(L$8))*IFERROR(IF(VLOOKUP('Struktur Aktuell'!$D550,INDIRECT(L$6),8,)="H",-1,1),0)</f>
        <v>0</v>
      </c>
      <c r="M550" s="593">
        <f ca="1">$E550*SUMIF(INDIRECT(M$3),'Struktur Aktuell'!$D550,INDIRECT(M$8))*IFERROR(IF(VLOOKUP('Struktur Aktuell'!$D550,INDIRECT(M$6),8,)="H",-1,1),0)</f>
        <v>0</v>
      </c>
      <c r="N550" s="593">
        <f ca="1">$E550*SUMIF(INDIRECT(N$3),'Struktur Aktuell'!$D550,INDIRECT(N$8))*IFERROR(IF(VLOOKUP('Struktur Aktuell'!$D550,INDIRECT(N$6),8,)="H",-1,1),0)</f>
        <v>0</v>
      </c>
      <c r="O550" s="593">
        <f ca="1">$E550*SUMIF(INDIRECT(O$3),'Struktur Aktuell'!$D550,INDIRECT(O$8))*IFERROR(IF(VLOOKUP('Struktur Aktuell'!$D550,INDIRECT(O$6),8,)="H",-1,1),0)</f>
        <v>0</v>
      </c>
      <c r="P550" s="593">
        <f ca="1">$E550*SUMIF(INDIRECT(P$3),'Struktur Aktuell'!$D550,INDIRECT(P$8))*IFERROR(IF(VLOOKUP('Struktur Aktuell'!$D550,INDIRECT(P$6),8,)="H",-1,1),0)</f>
        <v>0</v>
      </c>
      <c r="Q550" s="593">
        <f ca="1">$E550*SUMIF(INDIRECT(Q$3),'Struktur Aktuell'!$D550,INDIRECT(Q$8))*IFERROR(IF(VLOOKUP('Struktur Aktuell'!$D550,INDIRECT(Q$6),8,)="H",-1,1),0)</f>
        <v>0</v>
      </c>
      <c r="R550" s="593">
        <f ca="1">$E550*SUMIF(INDIRECT(R$3),'Struktur Aktuell'!$D550,INDIRECT(R$8))*IFERROR(IF(VLOOKUP('Struktur Aktuell'!$D550,INDIRECT(R$6),8,)="H",-1,1),0)</f>
        <v>0</v>
      </c>
      <c r="S550" s="593" t="e">
        <f ca="1">$E550*SUMIF(INDIRECT(S$3),'Struktur Aktuell'!$D550,INDIRECT(S$8))*IFERROR(IF(VLOOKUP('Struktur Aktuell'!$D550,INDIRECT(S$6),8,)="H",-1,1),0)</f>
        <v>#REF!</v>
      </c>
      <c r="T550" s="593" t="e">
        <f ca="1">$E550*SUMIF(INDIRECT(T$3),'Struktur Aktuell'!$D550,INDIRECT(T$8))*IFERROR(IF(VLOOKUP('Struktur Aktuell'!$D550,INDIRECT(T$6),8,)="H",-1,1),0)</f>
        <v>#REF!</v>
      </c>
      <c r="U550" s="593" t="e">
        <f ca="1">$E550*SUMIF(INDIRECT(U$3),'Struktur Aktuell'!$D550,INDIRECT(U$8))*IFERROR(IF(VLOOKUP('Struktur Aktuell'!$D550,INDIRECT(U$6),8,)="H",-1,1),0)</f>
        <v>#REF!</v>
      </c>
      <c r="V550" s="593" t="e">
        <f ca="1">$E550*SUMIF(INDIRECT(V$3),'Struktur Aktuell'!$D550,INDIRECT(V$8))*IFERROR(IF(VLOOKUP('Struktur Aktuell'!$D550,INDIRECT(V$6),8,)="H",-1,1),0)</f>
        <v>#REF!</v>
      </c>
      <c r="W550" s="593" t="e">
        <f ca="1">$E550*SUMIF(INDIRECT(W$3),'Struktur Aktuell'!$D550,INDIRECT(W$8))*IFERROR(IF(VLOOKUP('Struktur Aktuell'!$D550,INDIRECT(W$6),8,)="H",-1,1),0)</f>
        <v>#REF!</v>
      </c>
      <c r="X550" s="593" t="e">
        <f ca="1">$E550*SUMIF(INDIRECT(X$3),'Struktur Aktuell'!$D550,INDIRECT(X$8))*IFERROR(IF(VLOOKUP('Struktur Aktuell'!$D550,INDIRECT(X$6),8,)="H",-1,1),0)</f>
        <v>#REF!</v>
      </c>
      <c r="Y550" s="593" t="e">
        <f ca="1">$E550*SUMIF(INDIRECT(Y$3),'Struktur Aktuell'!$D550,INDIRECT(Y$8))*IFERROR(IF(VLOOKUP('Struktur Aktuell'!$D550,INDIRECT(Y$6),8,)="H",-1,1),0)</f>
        <v>#REF!</v>
      </c>
      <c r="Z550" s="593" t="e">
        <f ca="1">$E550*SUMIF(INDIRECT(Z$3),'Struktur Aktuell'!$D550,INDIRECT(Z$8))*IFERROR(IF(VLOOKUP('Struktur Aktuell'!$D550,INDIRECT(Z$6),8,)="H",-1,1),0)</f>
        <v>#REF!</v>
      </c>
      <c r="AA550" s="593" t="e">
        <f ca="1">$E550*SUMIF(INDIRECT(AA$3),'Struktur Aktuell'!$D550,INDIRECT(AA$8))*IFERROR(IF(VLOOKUP('Struktur Aktuell'!$D550,INDIRECT(AA$6),8,)="H",-1,1),0)</f>
        <v>#REF!</v>
      </c>
      <c r="AB550" s="593" t="e">
        <f ca="1">$E550*SUMIF(INDIRECT(AB$3),'Struktur Aktuell'!$D550,INDIRECT(AB$8))*IFERROR(IF(VLOOKUP('Struktur Aktuell'!$D550,INDIRECT(AB$6),8,)="H",-1,1),0)</f>
        <v>#REF!</v>
      </c>
      <c r="AC550" s="593" t="e">
        <f ca="1">$E550*SUMIF(INDIRECT(AC$3),'Struktur Aktuell'!$D550,INDIRECT(AC$8))*IFERROR(IF(VLOOKUP('Struktur Aktuell'!$D550,INDIRECT(AC$6),8,)="H",-1,1),0)</f>
        <v>#REF!</v>
      </c>
      <c r="AD550" s="593" t="e">
        <f ca="1">$E550*SUMIF(INDIRECT(AD$3),'Struktur Aktuell'!$D550,INDIRECT(AD$8))*IFERROR(IF(VLOOKUP('Struktur Aktuell'!$D550,INDIRECT(AD$6),8,)="H",-1,1),0)</f>
        <v>#REF!</v>
      </c>
      <c r="AE550" s="593">
        <f t="shared" ca="1" si="821"/>
        <v>0</v>
      </c>
      <c r="AF550" s="593">
        <f t="shared" ca="1" si="822"/>
        <v>0</v>
      </c>
      <c r="AG550" s="593">
        <f t="shared" ca="1" si="823"/>
        <v>0</v>
      </c>
      <c r="AH550" s="593">
        <f t="shared" ca="1" si="824"/>
        <v>0</v>
      </c>
      <c r="AI550" s="593">
        <f t="shared" ca="1" si="825"/>
        <v>0</v>
      </c>
      <c r="AJ550" s="593">
        <f t="shared" ca="1" si="826"/>
        <v>0</v>
      </c>
      <c r="AK550" s="593">
        <f t="shared" ca="1" si="827"/>
        <v>0</v>
      </c>
      <c r="AL550" s="593">
        <f t="shared" ca="1" si="828"/>
        <v>0</v>
      </c>
      <c r="AM550" s="593">
        <f t="shared" ca="1" si="829"/>
        <v>0</v>
      </c>
      <c r="AN550" s="593">
        <f t="shared" ca="1" si="830"/>
        <v>0</v>
      </c>
      <c r="AO550" s="593">
        <f t="shared" ca="1" si="831"/>
        <v>0</v>
      </c>
      <c r="AP550" s="593">
        <f t="shared" ca="1" si="832"/>
        <v>0</v>
      </c>
    </row>
    <row r="551" spans="1:42" s="594" customFormat="1" ht="11.25" outlineLevel="1" x14ac:dyDescent="0.2">
      <c r="A551" s="644"/>
      <c r="B551" s="591" t="str">
        <f>IF(D551&lt;&gt;"",
IF(ISERROR(MATCH(D551,'Ist Aktuell Monat 01'!A:A,0))=FALSE,INDEX('Ist Aktuell Monat 01'!B:B,MATCH(D551,'Ist Aktuell Monat 01'!A:A,0)),
IF(ISERROR(MATCH(D551,'Ist Aktuell Monat 02'!A:A,0))=FALSE,INDEX('Ist Aktuell Monat 02'!B:B,MATCH(D551,'Ist Aktuell Monat 02'!A:A,0)),
IF(ISERROR(MATCH(D551,'Ist Aktuell Monat 03'!A:A,0))=FALSE,INDEX('Ist Aktuell Monat 03'!B:B,MATCH(D551,'Ist Aktuell Monat 03'!A:A,0)),
IF(ISERROR(MATCH(D551,'Ist Aktuell Monat 04'!A:A,0))=FALSE,INDEX('Ist Aktuell Monat 04'!B:B,MATCH(D551,'Ist Aktuell Monat 04'!A:A,0)),
IF(ISERROR(MATCH(D551,'Ist Aktuell Monat 05'!A:A,0))=FALSE,INDEX('Ist Aktuell Monat 05'!B:B,MATCH(D551,'Ist Aktuell Monat 05'!A:A,0)),
IF(ISERROR(MATCH(D551,'Ist Aktuell Monat 06'!A:A,0))=FALSE,INDEX('Ist Aktuell Monat 06'!B:B,MATCH(D551,'Ist Aktuell Monat 06'!A:A,0)),
IF(ISERROR(MATCH(D551,'Ist Aktuell Monat 07'!A:A,0))=FALSE,INDEX('Ist Aktuell Monat 07'!B:B,MATCH(D551,'Ist Aktuell Monat 07'!A:A,0)),
IF(ISERROR(MATCH(D551,'Ist Aktuell Monat 08'!A:A,0))=FALSE,INDEX('Ist Aktuell Monat 08'!B:B,MATCH(D551,'Ist Aktuell Monat 08'!A:A,0)),
IF(ISERROR(MATCH(D551,'Ist Aktuell Monat 09'!A:A,0))=FALSE,INDEX('Ist Aktuell Monat 09'!B:B,MATCH(D551,'Ist Aktuell Monat 09'!A:A,0)),
IF(ISERROR(MATCH(D551,'Ist Aktuell Monat 10'!A:A,0))=FALSE,INDEX('Ist Aktuell Monat 10'!B:B,MATCH(D551,'Ist Aktuell Monat 10'!A:A,0)),
IF(ISERROR(MATCH(D551,'Ist Aktuell Monat 11'!A:A,0))=FALSE,INDEX('Ist Aktuell Monat 11'!B:B,MATCH(D551,'Ist Aktuell Monat 11'!A:A,0)),
IF(ISERROR(MATCH(D551,'Ist Aktuell Monat 12'!A:A,0))=FALSE,INDEX('Ist Aktuell Monat 12'!B:B,MATCH(D551,'Ist Aktuell Monat 12'!A:A,0)),
"{Konto unbekannt}"
)))))))))))),"")</f>
        <v/>
      </c>
      <c r="C551" s="1062"/>
      <c r="D551" s="1067"/>
      <c r="E551" s="625">
        <f t="shared" si="727"/>
        <v>1</v>
      </c>
      <c r="F551" s="626"/>
      <c r="G551" s="593">
        <f ca="1">$E551*SUMIF(INDIRECT(G$3),'Struktur Aktuell'!$D551,INDIRECT(G$8))*IFERROR(IF(VLOOKUP('Struktur Aktuell'!$D551,INDIRECT(G$6),8,)="H",-1,1),0)</f>
        <v>0</v>
      </c>
      <c r="H551" s="593">
        <f ca="1">$E551*SUMIF(INDIRECT(H$3),'Struktur Aktuell'!$D551,INDIRECT(H$8))*IFERROR(IF(VLOOKUP('Struktur Aktuell'!$D551,INDIRECT(H$6),8,)="H",-1,1),0)</f>
        <v>0</v>
      </c>
      <c r="I551" s="593">
        <f ca="1">$E551*SUMIF(INDIRECT(I$3),'Struktur Aktuell'!$D551,INDIRECT(I$8))*IFERROR(IF(VLOOKUP('Struktur Aktuell'!$D551,INDIRECT(I$6),8,)="H",-1,1),0)</f>
        <v>0</v>
      </c>
      <c r="J551" s="593">
        <f ca="1">$E551*SUMIF(INDIRECT(J$3),'Struktur Aktuell'!$D551,INDIRECT(J$8))*IFERROR(IF(VLOOKUP('Struktur Aktuell'!$D551,INDIRECT(J$6),8,)="H",-1,1),0)</f>
        <v>0</v>
      </c>
      <c r="K551" s="593">
        <f ca="1">$E551*SUMIF(INDIRECT(K$3),'Struktur Aktuell'!$D551,INDIRECT(K$8))*IFERROR(IF(VLOOKUP('Struktur Aktuell'!$D551,INDIRECT(K$6),8,)="H",-1,1),0)</f>
        <v>0</v>
      </c>
      <c r="L551" s="593">
        <f ca="1">$E551*SUMIF(INDIRECT(L$3),'Struktur Aktuell'!$D551,INDIRECT(L$8))*IFERROR(IF(VLOOKUP('Struktur Aktuell'!$D551,INDIRECT(L$6),8,)="H",-1,1),0)</f>
        <v>0</v>
      </c>
      <c r="M551" s="593">
        <f ca="1">$E551*SUMIF(INDIRECT(M$3),'Struktur Aktuell'!$D551,INDIRECT(M$8))*IFERROR(IF(VLOOKUP('Struktur Aktuell'!$D551,INDIRECT(M$6),8,)="H",-1,1),0)</f>
        <v>0</v>
      </c>
      <c r="N551" s="593">
        <f ca="1">$E551*SUMIF(INDIRECT(N$3),'Struktur Aktuell'!$D551,INDIRECT(N$8))*IFERROR(IF(VLOOKUP('Struktur Aktuell'!$D551,INDIRECT(N$6),8,)="H",-1,1),0)</f>
        <v>0</v>
      </c>
      <c r="O551" s="593">
        <f ca="1">$E551*SUMIF(INDIRECT(O$3),'Struktur Aktuell'!$D551,INDIRECT(O$8))*IFERROR(IF(VLOOKUP('Struktur Aktuell'!$D551,INDIRECT(O$6),8,)="H",-1,1),0)</f>
        <v>0</v>
      </c>
      <c r="P551" s="593">
        <f ca="1">$E551*SUMIF(INDIRECT(P$3),'Struktur Aktuell'!$D551,INDIRECT(P$8))*IFERROR(IF(VLOOKUP('Struktur Aktuell'!$D551,INDIRECT(P$6),8,)="H",-1,1),0)</f>
        <v>0</v>
      </c>
      <c r="Q551" s="593">
        <f ca="1">$E551*SUMIF(INDIRECT(Q$3),'Struktur Aktuell'!$D551,INDIRECT(Q$8))*IFERROR(IF(VLOOKUP('Struktur Aktuell'!$D551,INDIRECT(Q$6),8,)="H",-1,1),0)</f>
        <v>0</v>
      </c>
      <c r="R551" s="593">
        <f ca="1">$E551*SUMIF(INDIRECT(R$3),'Struktur Aktuell'!$D551,INDIRECT(R$8))*IFERROR(IF(VLOOKUP('Struktur Aktuell'!$D551,INDIRECT(R$6),8,)="H",-1,1),0)</f>
        <v>0</v>
      </c>
      <c r="S551" s="593" t="e">
        <f ca="1">$E551*SUMIF(INDIRECT(S$3),'Struktur Aktuell'!$D551,INDIRECT(S$8))*IFERROR(IF(VLOOKUP('Struktur Aktuell'!$D551,INDIRECT(S$6),8,)="H",-1,1),0)</f>
        <v>#REF!</v>
      </c>
      <c r="T551" s="593" t="e">
        <f ca="1">$E551*SUMIF(INDIRECT(T$3),'Struktur Aktuell'!$D551,INDIRECT(T$8))*IFERROR(IF(VLOOKUP('Struktur Aktuell'!$D551,INDIRECT(T$6),8,)="H",-1,1),0)</f>
        <v>#REF!</v>
      </c>
      <c r="U551" s="593" t="e">
        <f ca="1">$E551*SUMIF(INDIRECT(U$3),'Struktur Aktuell'!$D551,INDIRECT(U$8))*IFERROR(IF(VLOOKUP('Struktur Aktuell'!$D551,INDIRECT(U$6),8,)="H",-1,1),0)</f>
        <v>#REF!</v>
      </c>
      <c r="V551" s="593" t="e">
        <f ca="1">$E551*SUMIF(INDIRECT(V$3),'Struktur Aktuell'!$D551,INDIRECT(V$8))*IFERROR(IF(VLOOKUP('Struktur Aktuell'!$D551,INDIRECT(V$6),8,)="H",-1,1),0)</f>
        <v>#REF!</v>
      </c>
      <c r="W551" s="593" t="e">
        <f ca="1">$E551*SUMIF(INDIRECT(W$3),'Struktur Aktuell'!$D551,INDIRECT(W$8))*IFERROR(IF(VLOOKUP('Struktur Aktuell'!$D551,INDIRECT(W$6),8,)="H",-1,1),0)</f>
        <v>#REF!</v>
      </c>
      <c r="X551" s="593" t="e">
        <f ca="1">$E551*SUMIF(INDIRECT(X$3),'Struktur Aktuell'!$D551,INDIRECT(X$8))*IFERROR(IF(VLOOKUP('Struktur Aktuell'!$D551,INDIRECT(X$6),8,)="H",-1,1),0)</f>
        <v>#REF!</v>
      </c>
      <c r="Y551" s="593" t="e">
        <f ca="1">$E551*SUMIF(INDIRECT(Y$3),'Struktur Aktuell'!$D551,INDIRECT(Y$8))*IFERROR(IF(VLOOKUP('Struktur Aktuell'!$D551,INDIRECT(Y$6),8,)="H",-1,1),0)</f>
        <v>#REF!</v>
      </c>
      <c r="Z551" s="593" t="e">
        <f ca="1">$E551*SUMIF(INDIRECT(Z$3),'Struktur Aktuell'!$D551,INDIRECT(Z$8))*IFERROR(IF(VLOOKUP('Struktur Aktuell'!$D551,INDIRECT(Z$6),8,)="H",-1,1),0)</f>
        <v>#REF!</v>
      </c>
      <c r="AA551" s="593" t="e">
        <f ca="1">$E551*SUMIF(INDIRECT(AA$3),'Struktur Aktuell'!$D551,INDIRECT(AA$8))*IFERROR(IF(VLOOKUP('Struktur Aktuell'!$D551,INDIRECT(AA$6),8,)="H",-1,1),0)</f>
        <v>#REF!</v>
      </c>
      <c r="AB551" s="593" t="e">
        <f ca="1">$E551*SUMIF(INDIRECT(AB$3),'Struktur Aktuell'!$D551,INDIRECT(AB$8))*IFERROR(IF(VLOOKUP('Struktur Aktuell'!$D551,INDIRECT(AB$6),8,)="H",-1,1),0)</f>
        <v>#REF!</v>
      </c>
      <c r="AC551" s="593" t="e">
        <f ca="1">$E551*SUMIF(INDIRECT(AC$3),'Struktur Aktuell'!$D551,INDIRECT(AC$8))*IFERROR(IF(VLOOKUP('Struktur Aktuell'!$D551,INDIRECT(AC$6),8,)="H",-1,1),0)</f>
        <v>#REF!</v>
      </c>
      <c r="AD551" s="593" t="e">
        <f ca="1">$E551*SUMIF(INDIRECT(AD$3),'Struktur Aktuell'!$D551,INDIRECT(AD$8))*IFERROR(IF(VLOOKUP('Struktur Aktuell'!$D551,INDIRECT(AD$6),8,)="H",-1,1),0)</f>
        <v>#REF!</v>
      </c>
      <c r="AE551" s="593">
        <f t="shared" ca="1" si="821"/>
        <v>0</v>
      </c>
      <c r="AF551" s="593">
        <f t="shared" ca="1" si="822"/>
        <v>0</v>
      </c>
      <c r="AG551" s="593">
        <f t="shared" ca="1" si="823"/>
        <v>0</v>
      </c>
      <c r="AH551" s="593">
        <f t="shared" ca="1" si="824"/>
        <v>0</v>
      </c>
      <c r="AI551" s="593">
        <f t="shared" ca="1" si="825"/>
        <v>0</v>
      </c>
      <c r="AJ551" s="593">
        <f t="shared" ca="1" si="826"/>
        <v>0</v>
      </c>
      <c r="AK551" s="593">
        <f t="shared" ca="1" si="827"/>
        <v>0</v>
      </c>
      <c r="AL551" s="593">
        <f t="shared" ca="1" si="828"/>
        <v>0</v>
      </c>
      <c r="AM551" s="593">
        <f t="shared" ca="1" si="829"/>
        <v>0</v>
      </c>
      <c r="AN551" s="593">
        <f t="shared" ca="1" si="830"/>
        <v>0</v>
      </c>
      <c r="AO551" s="593">
        <f t="shared" ca="1" si="831"/>
        <v>0</v>
      </c>
      <c r="AP551" s="593">
        <f t="shared" ca="1" si="832"/>
        <v>0</v>
      </c>
    </row>
    <row r="552" spans="1:42" s="594" customFormat="1" ht="11.25" outlineLevel="1" x14ac:dyDescent="0.2">
      <c r="A552" s="644"/>
      <c r="B552" s="591" t="str">
        <f>IF(D552&lt;&gt;"",
IF(ISERROR(MATCH(D552,'Ist Aktuell Monat 01'!A:A,0))=FALSE,INDEX('Ist Aktuell Monat 01'!B:B,MATCH(D552,'Ist Aktuell Monat 01'!A:A,0)),
IF(ISERROR(MATCH(D552,'Ist Aktuell Monat 02'!A:A,0))=FALSE,INDEX('Ist Aktuell Monat 02'!B:B,MATCH(D552,'Ist Aktuell Monat 02'!A:A,0)),
IF(ISERROR(MATCH(D552,'Ist Aktuell Monat 03'!A:A,0))=FALSE,INDEX('Ist Aktuell Monat 03'!B:B,MATCH(D552,'Ist Aktuell Monat 03'!A:A,0)),
IF(ISERROR(MATCH(D552,'Ist Aktuell Monat 04'!A:A,0))=FALSE,INDEX('Ist Aktuell Monat 04'!B:B,MATCH(D552,'Ist Aktuell Monat 04'!A:A,0)),
IF(ISERROR(MATCH(D552,'Ist Aktuell Monat 05'!A:A,0))=FALSE,INDEX('Ist Aktuell Monat 05'!B:B,MATCH(D552,'Ist Aktuell Monat 05'!A:A,0)),
IF(ISERROR(MATCH(D552,'Ist Aktuell Monat 06'!A:A,0))=FALSE,INDEX('Ist Aktuell Monat 06'!B:B,MATCH(D552,'Ist Aktuell Monat 06'!A:A,0)),
IF(ISERROR(MATCH(D552,'Ist Aktuell Monat 07'!A:A,0))=FALSE,INDEX('Ist Aktuell Monat 07'!B:B,MATCH(D552,'Ist Aktuell Monat 07'!A:A,0)),
IF(ISERROR(MATCH(D552,'Ist Aktuell Monat 08'!A:A,0))=FALSE,INDEX('Ist Aktuell Monat 08'!B:B,MATCH(D552,'Ist Aktuell Monat 08'!A:A,0)),
IF(ISERROR(MATCH(D552,'Ist Aktuell Monat 09'!A:A,0))=FALSE,INDEX('Ist Aktuell Monat 09'!B:B,MATCH(D552,'Ist Aktuell Monat 09'!A:A,0)),
IF(ISERROR(MATCH(D552,'Ist Aktuell Monat 10'!A:A,0))=FALSE,INDEX('Ist Aktuell Monat 10'!B:B,MATCH(D552,'Ist Aktuell Monat 10'!A:A,0)),
IF(ISERROR(MATCH(D552,'Ist Aktuell Monat 11'!A:A,0))=FALSE,INDEX('Ist Aktuell Monat 11'!B:B,MATCH(D552,'Ist Aktuell Monat 11'!A:A,0)),
IF(ISERROR(MATCH(D552,'Ist Aktuell Monat 12'!A:A,0))=FALSE,INDEX('Ist Aktuell Monat 12'!B:B,MATCH(D552,'Ist Aktuell Monat 12'!A:A,0)),
"{Konto unbekannt}"
)))))))))))),"")</f>
        <v/>
      </c>
      <c r="C552" s="1062"/>
      <c r="D552" s="1067"/>
      <c r="E552" s="625">
        <f t="shared" si="727"/>
        <v>1</v>
      </c>
      <c r="F552" s="626"/>
      <c r="G552" s="593">
        <f ca="1">$E552*SUMIF(INDIRECT(G$3),'Struktur Aktuell'!$D552,INDIRECT(G$8))*IFERROR(IF(VLOOKUP('Struktur Aktuell'!$D552,INDIRECT(G$6),8,)="H",-1,1),0)</f>
        <v>0</v>
      </c>
      <c r="H552" s="593">
        <f ca="1">$E552*SUMIF(INDIRECT(H$3),'Struktur Aktuell'!$D552,INDIRECT(H$8))*IFERROR(IF(VLOOKUP('Struktur Aktuell'!$D552,INDIRECT(H$6),8,)="H",-1,1),0)</f>
        <v>0</v>
      </c>
      <c r="I552" s="593">
        <f ca="1">$E552*SUMIF(INDIRECT(I$3),'Struktur Aktuell'!$D552,INDIRECT(I$8))*IFERROR(IF(VLOOKUP('Struktur Aktuell'!$D552,INDIRECT(I$6),8,)="H",-1,1),0)</f>
        <v>0</v>
      </c>
      <c r="J552" s="593">
        <f ca="1">$E552*SUMIF(INDIRECT(J$3),'Struktur Aktuell'!$D552,INDIRECT(J$8))*IFERROR(IF(VLOOKUP('Struktur Aktuell'!$D552,INDIRECT(J$6),8,)="H",-1,1),0)</f>
        <v>0</v>
      </c>
      <c r="K552" s="593">
        <f ca="1">$E552*SUMIF(INDIRECT(K$3),'Struktur Aktuell'!$D552,INDIRECT(K$8))*IFERROR(IF(VLOOKUP('Struktur Aktuell'!$D552,INDIRECT(K$6),8,)="H",-1,1),0)</f>
        <v>0</v>
      </c>
      <c r="L552" s="593">
        <f ca="1">$E552*SUMIF(INDIRECT(L$3),'Struktur Aktuell'!$D552,INDIRECT(L$8))*IFERROR(IF(VLOOKUP('Struktur Aktuell'!$D552,INDIRECT(L$6),8,)="H",-1,1),0)</f>
        <v>0</v>
      </c>
      <c r="M552" s="593">
        <f ca="1">$E552*SUMIF(INDIRECT(M$3),'Struktur Aktuell'!$D552,INDIRECT(M$8))*IFERROR(IF(VLOOKUP('Struktur Aktuell'!$D552,INDIRECT(M$6),8,)="H",-1,1),0)</f>
        <v>0</v>
      </c>
      <c r="N552" s="593">
        <f ca="1">$E552*SUMIF(INDIRECT(N$3),'Struktur Aktuell'!$D552,INDIRECT(N$8))*IFERROR(IF(VLOOKUP('Struktur Aktuell'!$D552,INDIRECT(N$6),8,)="H",-1,1),0)</f>
        <v>0</v>
      </c>
      <c r="O552" s="593">
        <f ca="1">$E552*SUMIF(INDIRECT(O$3),'Struktur Aktuell'!$D552,INDIRECT(O$8))*IFERROR(IF(VLOOKUP('Struktur Aktuell'!$D552,INDIRECT(O$6),8,)="H",-1,1),0)</f>
        <v>0</v>
      </c>
      <c r="P552" s="593">
        <f ca="1">$E552*SUMIF(INDIRECT(P$3),'Struktur Aktuell'!$D552,INDIRECT(P$8))*IFERROR(IF(VLOOKUP('Struktur Aktuell'!$D552,INDIRECT(P$6),8,)="H",-1,1),0)</f>
        <v>0</v>
      </c>
      <c r="Q552" s="593">
        <f ca="1">$E552*SUMIF(INDIRECT(Q$3),'Struktur Aktuell'!$D552,INDIRECT(Q$8))*IFERROR(IF(VLOOKUP('Struktur Aktuell'!$D552,INDIRECT(Q$6),8,)="H",-1,1),0)</f>
        <v>0</v>
      </c>
      <c r="R552" s="593">
        <f ca="1">$E552*SUMIF(INDIRECT(R$3),'Struktur Aktuell'!$D552,INDIRECT(R$8))*IFERROR(IF(VLOOKUP('Struktur Aktuell'!$D552,INDIRECT(R$6),8,)="H",-1,1),0)</f>
        <v>0</v>
      </c>
      <c r="S552" s="593" t="e">
        <f ca="1">$E552*SUMIF(INDIRECT(S$3),'Struktur Aktuell'!$D552,INDIRECT(S$8))*IFERROR(IF(VLOOKUP('Struktur Aktuell'!$D552,INDIRECT(S$6),8,)="H",-1,1),0)</f>
        <v>#REF!</v>
      </c>
      <c r="T552" s="593" t="e">
        <f ca="1">$E552*SUMIF(INDIRECT(T$3),'Struktur Aktuell'!$D552,INDIRECT(T$8))*IFERROR(IF(VLOOKUP('Struktur Aktuell'!$D552,INDIRECT(T$6),8,)="H",-1,1),0)</f>
        <v>#REF!</v>
      </c>
      <c r="U552" s="593" t="e">
        <f ca="1">$E552*SUMIF(INDIRECT(U$3),'Struktur Aktuell'!$D552,INDIRECT(U$8))*IFERROR(IF(VLOOKUP('Struktur Aktuell'!$D552,INDIRECT(U$6),8,)="H",-1,1),0)</f>
        <v>#REF!</v>
      </c>
      <c r="V552" s="593" t="e">
        <f ca="1">$E552*SUMIF(INDIRECT(V$3),'Struktur Aktuell'!$D552,INDIRECT(V$8))*IFERROR(IF(VLOOKUP('Struktur Aktuell'!$D552,INDIRECT(V$6),8,)="H",-1,1),0)</f>
        <v>#REF!</v>
      </c>
      <c r="W552" s="593" t="e">
        <f ca="1">$E552*SUMIF(INDIRECT(W$3),'Struktur Aktuell'!$D552,INDIRECT(W$8))*IFERROR(IF(VLOOKUP('Struktur Aktuell'!$D552,INDIRECT(W$6),8,)="H",-1,1),0)</f>
        <v>#REF!</v>
      </c>
      <c r="X552" s="593" t="e">
        <f ca="1">$E552*SUMIF(INDIRECT(X$3),'Struktur Aktuell'!$D552,INDIRECT(X$8))*IFERROR(IF(VLOOKUP('Struktur Aktuell'!$D552,INDIRECT(X$6),8,)="H",-1,1),0)</f>
        <v>#REF!</v>
      </c>
      <c r="Y552" s="593" t="e">
        <f ca="1">$E552*SUMIF(INDIRECT(Y$3),'Struktur Aktuell'!$D552,INDIRECT(Y$8))*IFERROR(IF(VLOOKUP('Struktur Aktuell'!$D552,INDIRECT(Y$6),8,)="H",-1,1),0)</f>
        <v>#REF!</v>
      </c>
      <c r="Z552" s="593" t="e">
        <f ca="1">$E552*SUMIF(INDIRECT(Z$3),'Struktur Aktuell'!$D552,INDIRECT(Z$8))*IFERROR(IF(VLOOKUP('Struktur Aktuell'!$D552,INDIRECT(Z$6),8,)="H",-1,1),0)</f>
        <v>#REF!</v>
      </c>
      <c r="AA552" s="593" t="e">
        <f ca="1">$E552*SUMIF(INDIRECT(AA$3),'Struktur Aktuell'!$D552,INDIRECT(AA$8))*IFERROR(IF(VLOOKUP('Struktur Aktuell'!$D552,INDIRECT(AA$6),8,)="H",-1,1),0)</f>
        <v>#REF!</v>
      </c>
      <c r="AB552" s="593" t="e">
        <f ca="1">$E552*SUMIF(INDIRECT(AB$3),'Struktur Aktuell'!$D552,INDIRECT(AB$8))*IFERROR(IF(VLOOKUP('Struktur Aktuell'!$D552,INDIRECT(AB$6),8,)="H",-1,1),0)</f>
        <v>#REF!</v>
      </c>
      <c r="AC552" s="593" t="e">
        <f ca="1">$E552*SUMIF(INDIRECT(AC$3),'Struktur Aktuell'!$D552,INDIRECT(AC$8))*IFERROR(IF(VLOOKUP('Struktur Aktuell'!$D552,INDIRECT(AC$6),8,)="H",-1,1),0)</f>
        <v>#REF!</v>
      </c>
      <c r="AD552" s="593" t="e">
        <f ca="1">$E552*SUMIF(INDIRECT(AD$3),'Struktur Aktuell'!$D552,INDIRECT(AD$8))*IFERROR(IF(VLOOKUP('Struktur Aktuell'!$D552,INDIRECT(AD$6),8,)="H",-1,1),0)</f>
        <v>#REF!</v>
      </c>
      <c r="AE552" s="593">
        <f t="shared" ca="1" si="821"/>
        <v>0</v>
      </c>
      <c r="AF552" s="593">
        <f t="shared" ca="1" si="822"/>
        <v>0</v>
      </c>
      <c r="AG552" s="593">
        <f t="shared" ca="1" si="823"/>
        <v>0</v>
      </c>
      <c r="AH552" s="593">
        <f t="shared" ca="1" si="824"/>
        <v>0</v>
      </c>
      <c r="AI552" s="593">
        <f t="shared" ca="1" si="825"/>
        <v>0</v>
      </c>
      <c r="AJ552" s="593">
        <f t="shared" ca="1" si="826"/>
        <v>0</v>
      </c>
      <c r="AK552" s="593">
        <f t="shared" ca="1" si="827"/>
        <v>0</v>
      </c>
      <c r="AL552" s="593">
        <f t="shared" ca="1" si="828"/>
        <v>0</v>
      </c>
      <c r="AM552" s="593">
        <f t="shared" ca="1" si="829"/>
        <v>0</v>
      </c>
      <c r="AN552" s="593">
        <f t="shared" ca="1" si="830"/>
        <v>0</v>
      </c>
      <c r="AO552" s="593">
        <f t="shared" ca="1" si="831"/>
        <v>0</v>
      </c>
      <c r="AP552" s="593">
        <f t="shared" ca="1" si="832"/>
        <v>0</v>
      </c>
    </row>
    <row r="553" spans="1:42" s="589" customFormat="1" outlineLevel="1" x14ac:dyDescent="0.2">
      <c r="A553" s="629">
        <v>49</v>
      </c>
      <c r="B553" s="623" t="s">
        <v>1034</v>
      </c>
      <c r="C553" s="627">
        <f ca="1">SUM(G553:R553)</f>
        <v>0</v>
      </c>
      <c r="D553" s="627"/>
      <c r="E553" s="628">
        <f t="shared" si="727"/>
        <v>1</v>
      </c>
      <c r="F553" s="628"/>
      <c r="G553" s="627">
        <f t="shared" ref="G553:R553" ca="1" si="833">SUM(G554:G556)</f>
        <v>0</v>
      </c>
      <c r="H553" s="627">
        <f t="shared" ca="1" si="833"/>
        <v>0</v>
      </c>
      <c r="I553" s="627">
        <f t="shared" ca="1" si="833"/>
        <v>0</v>
      </c>
      <c r="J553" s="627">
        <f t="shared" ca="1" si="833"/>
        <v>0</v>
      </c>
      <c r="K553" s="627">
        <f t="shared" ca="1" si="833"/>
        <v>0</v>
      </c>
      <c r="L553" s="627">
        <f t="shared" ca="1" si="833"/>
        <v>0</v>
      </c>
      <c r="M553" s="627">
        <f t="shared" ca="1" si="833"/>
        <v>0</v>
      </c>
      <c r="N553" s="627">
        <f t="shared" ca="1" si="833"/>
        <v>0</v>
      </c>
      <c r="O553" s="627">
        <f t="shared" ca="1" si="833"/>
        <v>0</v>
      </c>
      <c r="P553" s="627">
        <f t="shared" ca="1" si="833"/>
        <v>0</v>
      </c>
      <c r="Q553" s="627">
        <f t="shared" ca="1" si="833"/>
        <v>0</v>
      </c>
      <c r="R553" s="627">
        <f t="shared" ca="1" si="833"/>
        <v>0</v>
      </c>
      <c r="S553" s="627" t="e">
        <f t="shared" ref="S553:AP553" ca="1" si="834">SUM(S554:S556)</f>
        <v>#REF!</v>
      </c>
      <c r="T553" s="627" t="e">
        <f t="shared" ca="1" si="834"/>
        <v>#REF!</v>
      </c>
      <c r="U553" s="627" t="e">
        <f t="shared" ca="1" si="834"/>
        <v>#REF!</v>
      </c>
      <c r="V553" s="627" t="e">
        <f t="shared" ca="1" si="834"/>
        <v>#REF!</v>
      </c>
      <c r="W553" s="627" t="e">
        <f t="shared" ca="1" si="834"/>
        <v>#REF!</v>
      </c>
      <c r="X553" s="627" t="e">
        <f t="shared" ca="1" si="834"/>
        <v>#REF!</v>
      </c>
      <c r="Y553" s="627" t="e">
        <f t="shared" ca="1" si="834"/>
        <v>#REF!</v>
      </c>
      <c r="Z553" s="627" t="e">
        <f t="shared" ca="1" si="834"/>
        <v>#REF!</v>
      </c>
      <c r="AA553" s="627" t="e">
        <f t="shared" ca="1" si="834"/>
        <v>#REF!</v>
      </c>
      <c r="AB553" s="627" t="e">
        <f t="shared" ca="1" si="834"/>
        <v>#REF!</v>
      </c>
      <c r="AC553" s="627" t="e">
        <f t="shared" ca="1" si="834"/>
        <v>#REF!</v>
      </c>
      <c r="AD553" s="627" t="e">
        <f t="shared" ca="1" si="834"/>
        <v>#REF!</v>
      </c>
      <c r="AE553" s="627">
        <f t="shared" ca="1" si="834"/>
        <v>0</v>
      </c>
      <c r="AF553" s="627">
        <f t="shared" ca="1" si="834"/>
        <v>0</v>
      </c>
      <c r="AG553" s="627">
        <f t="shared" ca="1" si="834"/>
        <v>0</v>
      </c>
      <c r="AH553" s="627">
        <f t="shared" ca="1" si="834"/>
        <v>0</v>
      </c>
      <c r="AI553" s="627">
        <f t="shared" ca="1" si="834"/>
        <v>0</v>
      </c>
      <c r="AJ553" s="627">
        <f t="shared" ca="1" si="834"/>
        <v>0</v>
      </c>
      <c r="AK553" s="627">
        <f t="shared" ca="1" si="834"/>
        <v>0</v>
      </c>
      <c r="AL553" s="627">
        <f t="shared" ca="1" si="834"/>
        <v>0</v>
      </c>
      <c r="AM553" s="627">
        <f t="shared" ca="1" si="834"/>
        <v>0</v>
      </c>
      <c r="AN553" s="627">
        <f t="shared" ca="1" si="834"/>
        <v>0</v>
      </c>
      <c r="AO553" s="627">
        <f t="shared" ca="1" si="834"/>
        <v>0</v>
      </c>
      <c r="AP553" s="627">
        <f t="shared" ca="1" si="834"/>
        <v>0</v>
      </c>
    </row>
    <row r="554" spans="1:42" s="594" customFormat="1" ht="11.25" outlineLevel="1" x14ac:dyDescent="0.2">
      <c r="A554" s="644"/>
      <c r="B554" s="591" t="str">
        <f>IF(D554&lt;&gt;"",
IF(ISERROR(MATCH(D554,'Ist Aktuell Monat 01'!A:A,0))=FALSE,INDEX('Ist Aktuell Monat 01'!B:B,MATCH(D554,'Ist Aktuell Monat 01'!A:A,0)),
IF(ISERROR(MATCH(D554,'Ist Aktuell Monat 02'!A:A,0))=FALSE,INDEX('Ist Aktuell Monat 02'!B:B,MATCH(D554,'Ist Aktuell Monat 02'!A:A,0)),
IF(ISERROR(MATCH(D554,'Ist Aktuell Monat 03'!A:A,0))=FALSE,INDEX('Ist Aktuell Monat 03'!B:B,MATCH(D554,'Ist Aktuell Monat 03'!A:A,0)),
IF(ISERROR(MATCH(D554,'Ist Aktuell Monat 04'!A:A,0))=FALSE,INDEX('Ist Aktuell Monat 04'!B:B,MATCH(D554,'Ist Aktuell Monat 04'!A:A,0)),
IF(ISERROR(MATCH(D554,'Ist Aktuell Monat 05'!A:A,0))=FALSE,INDEX('Ist Aktuell Monat 05'!B:B,MATCH(D554,'Ist Aktuell Monat 05'!A:A,0)),
IF(ISERROR(MATCH(D554,'Ist Aktuell Monat 06'!A:A,0))=FALSE,INDEX('Ist Aktuell Monat 06'!B:B,MATCH(D554,'Ist Aktuell Monat 06'!A:A,0)),
IF(ISERROR(MATCH(D554,'Ist Aktuell Monat 07'!A:A,0))=FALSE,INDEX('Ist Aktuell Monat 07'!B:B,MATCH(D554,'Ist Aktuell Monat 07'!A:A,0)),
IF(ISERROR(MATCH(D554,'Ist Aktuell Monat 08'!A:A,0))=FALSE,INDEX('Ist Aktuell Monat 08'!B:B,MATCH(D554,'Ist Aktuell Monat 08'!A:A,0)),
IF(ISERROR(MATCH(D554,'Ist Aktuell Monat 09'!A:A,0))=FALSE,INDEX('Ist Aktuell Monat 09'!B:B,MATCH(D554,'Ist Aktuell Monat 09'!A:A,0)),
IF(ISERROR(MATCH(D554,'Ist Aktuell Monat 10'!A:A,0))=FALSE,INDEX('Ist Aktuell Monat 10'!B:B,MATCH(D554,'Ist Aktuell Monat 10'!A:A,0)),
IF(ISERROR(MATCH(D554,'Ist Aktuell Monat 11'!A:A,0))=FALSE,INDEX('Ist Aktuell Monat 11'!B:B,MATCH(D554,'Ist Aktuell Monat 11'!A:A,0)),
IF(ISERROR(MATCH(D554,'Ist Aktuell Monat 12'!A:A,0))=FALSE,INDEX('Ist Aktuell Monat 12'!B:B,MATCH(D554,'Ist Aktuell Monat 12'!A:A,0)),
"{Konto unbekannt}"
)))))))))))),"")</f>
        <v>Forderungen aus Lieferungen u.Leistung</v>
      </c>
      <c r="C554" s="1062"/>
      <c r="D554" s="1067">
        <v>1400</v>
      </c>
      <c r="E554" s="625">
        <f t="shared" si="727"/>
        <v>1</v>
      </c>
      <c r="F554" s="626"/>
      <c r="G554" s="593">
        <f ca="1">$E554*SUMIF(INDIRECT(G$3),'Struktur Aktuell'!$D554,INDIRECT(G$8))*IFERROR(IF(VLOOKUP('Struktur Aktuell'!$D554,INDIRECT(G$6),8,)="H",-1,1),0)</f>
        <v>0</v>
      </c>
      <c r="H554" s="593">
        <f ca="1">$E554*SUMIF(INDIRECT(H$3),'Struktur Aktuell'!$D554,INDIRECT(H$8))*IFERROR(IF(VLOOKUP('Struktur Aktuell'!$D554,INDIRECT(H$6),8,)="H",-1,1),0)</f>
        <v>0</v>
      </c>
      <c r="I554" s="593">
        <f ca="1">$E554*SUMIF(INDIRECT(I$3),'Struktur Aktuell'!$D554,INDIRECT(I$8))*IFERROR(IF(VLOOKUP('Struktur Aktuell'!$D554,INDIRECT(I$6),8,)="H",-1,1),0)</f>
        <v>0</v>
      </c>
      <c r="J554" s="593">
        <f ca="1">$E554*SUMIF(INDIRECT(J$3),'Struktur Aktuell'!$D554,INDIRECT(J$8))*IFERROR(IF(VLOOKUP('Struktur Aktuell'!$D554,INDIRECT(J$6),8,)="H",-1,1),0)</f>
        <v>0</v>
      </c>
      <c r="K554" s="593">
        <f ca="1">$E554*SUMIF(INDIRECT(K$3),'Struktur Aktuell'!$D554,INDIRECT(K$8))*IFERROR(IF(VLOOKUP('Struktur Aktuell'!$D554,INDIRECT(K$6),8,)="H",-1,1),0)</f>
        <v>0</v>
      </c>
      <c r="L554" s="593">
        <f ca="1">$E554*SUMIF(INDIRECT(L$3),'Struktur Aktuell'!$D554,INDIRECT(L$8))*IFERROR(IF(VLOOKUP('Struktur Aktuell'!$D554,INDIRECT(L$6),8,)="H",-1,1),0)</f>
        <v>0</v>
      </c>
      <c r="M554" s="593">
        <f ca="1">$E554*SUMIF(INDIRECT(M$3),'Struktur Aktuell'!$D554,INDIRECT(M$8))*IFERROR(IF(VLOOKUP('Struktur Aktuell'!$D554,INDIRECT(M$6),8,)="H",-1,1),0)</f>
        <v>0</v>
      </c>
      <c r="N554" s="593">
        <f ca="1">$E554*SUMIF(INDIRECT(N$3),'Struktur Aktuell'!$D554,INDIRECT(N$8))*IFERROR(IF(VLOOKUP('Struktur Aktuell'!$D554,INDIRECT(N$6),8,)="H",-1,1),0)</f>
        <v>0</v>
      </c>
      <c r="O554" s="593">
        <f ca="1">$E554*SUMIF(INDIRECT(O$3),'Struktur Aktuell'!$D554,INDIRECT(O$8))*IFERROR(IF(VLOOKUP('Struktur Aktuell'!$D554,INDIRECT(O$6),8,)="H",-1,1),0)</f>
        <v>0</v>
      </c>
      <c r="P554" s="593">
        <f ca="1">$E554*SUMIF(INDIRECT(P$3),'Struktur Aktuell'!$D554,INDIRECT(P$8))*IFERROR(IF(VLOOKUP('Struktur Aktuell'!$D554,INDIRECT(P$6),8,)="H",-1,1),0)</f>
        <v>0</v>
      </c>
      <c r="Q554" s="593">
        <f ca="1">$E554*SUMIF(INDIRECT(Q$3),'Struktur Aktuell'!$D554,INDIRECT(Q$8))*IFERROR(IF(VLOOKUP('Struktur Aktuell'!$D554,INDIRECT(Q$6),8,)="H",-1,1),0)</f>
        <v>0</v>
      </c>
      <c r="R554" s="593">
        <f ca="1">$E554*SUMIF(INDIRECT(R$3),'Struktur Aktuell'!$D554,INDIRECT(R$8))*IFERROR(IF(VLOOKUP('Struktur Aktuell'!$D554,INDIRECT(R$6),8,)="H",-1,1),0)</f>
        <v>0</v>
      </c>
      <c r="S554" s="593" t="e">
        <f ca="1">$E554*SUMIF(INDIRECT(S$3),'Struktur Aktuell'!$D554,INDIRECT(S$8))*IFERROR(IF(VLOOKUP('Struktur Aktuell'!$D554,INDIRECT(S$6),8,)="H",-1,1),0)</f>
        <v>#REF!</v>
      </c>
      <c r="T554" s="593" t="e">
        <f ca="1">$E554*SUMIF(INDIRECT(T$3),'Struktur Aktuell'!$D554,INDIRECT(T$8))*IFERROR(IF(VLOOKUP('Struktur Aktuell'!$D554,INDIRECT(T$6),8,)="H",-1,1),0)</f>
        <v>#REF!</v>
      </c>
      <c r="U554" s="593" t="e">
        <f ca="1">$E554*SUMIF(INDIRECT(U$3),'Struktur Aktuell'!$D554,INDIRECT(U$8))*IFERROR(IF(VLOOKUP('Struktur Aktuell'!$D554,INDIRECT(U$6),8,)="H",-1,1),0)</f>
        <v>#REF!</v>
      </c>
      <c r="V554" s="593" t="e">
        <f ca="1">$E554*SUMIF(INDIRECT(V$3),'Struktur Aktuell'!$D554,INDIRECT(V$8))*IFERROR(IF(VLOOKUP('Struktur Aktuell'!$D554,INDIRECT(V$6),8,)="H",-1,1),0)</f>
        <v>#REF!</v>
      </c>
      <c r="W554" s="593" t="e">
        <f ca="1">$E554*SUMIF(INDIRECT(W$3),'Struktur Aktuell'!$D554,INDIRECT(W$8))*IFERROR(IF(VLOOKUP('Struktur Aktuell'!$D554,INDIRECT(W$6),8,)="H",-1,1),0)</f>
        <v>#REF!</v>
      </c>
      <c r="X554" s="593" t="e">
        <f ca="1">$E554*SUMIF(INDIRECT(X$3),'Struktur Aktuell'!$D554,INDIRECT(X$8))*IFERROR(IF(VLOOKUP('Struktur Aktuell'!$D554,INDIRECT(X$6),8,)="H",-1,1),0)</f>
        <v>#REF!</v>
      </c>
      <c r="Y554" s="593" t="e">
        <f ca="1">$E554*SUMIF(INDIRECT(Y$3),'Struktur Aktuell'!$D554,INDIRECT(Y$8))*IFERROR(IF(VLOOKUP('Struktur Aktuell'!$D554,INDIRECT(Y$6),8,)="H",-1,1),0)</f>
        <v>#REF!</v>
      </c>
      <c r="Z554" s="593" t="e">
        <f ca="1">$E554*SUMIF(INDIRECT(Z$3),'Struktur Aktuell'!$D554,INDIRECT(Z$8))*IFERROR(IF(VLOOKUP('Struktur Aktuell'!$D554,INDIRECT(Z$6),8,)="H",-1,1),0)</f>
        <v>#REF!</v>
      </c>
      <c r="AA554" s="593" t="e">
        <f ca="1">$E554*SUMIF(INDIRECT(AA$3),'Struktur Aktuell'!$D554,INDIRECT(AA$8))*IFERROR(IF(VLOOKUP('Struktur Aktuell'!$D554,INDIRECT(AA$6),8,)="H",-1,1),0)</f>
        <v>#REF!</v>
      </c>
      <c r="AB554" s="593" t="e">
        <f ca="1">$E554*SUMIF(INDIRECT(AB$3),'Struktur Aktuell'!$D554,INDIRECT(AB$8))*IFERROR(IF(VLOOKUP('Struktur Aktuell'!$D554,INDIRECT(AB$6),8,)="H",-1,1),0)</f>
        <v>#REF!</v>
      </c>
      <c r="AC554" s="593" t="e">
        <f ca="1">$E554*SUMIF(INDIRECT(AC$3),'Struktur Aktuell'!$D554,INDIRECT(AC$8))*IFERROR(IF(VLOOKUP('Struktur Aktuell'!$D554,INDIRECT(AC$6),8,)="H",-1,1),0)</f>
        <v>#REF!</v>
      </c>
      <c r="AD554" s="593" t="e">
        <f ca="1">$E554*SUMIF(INDIRECT(AD$3),'Struktur Aktuell'!$D554,INDIRECT(AD$8))*IFERROR(IF(VLOOKUP('Struktur Aktuell'!$D554,INDIRECT(AD$6),8,)="H",-1,1),0)</f>
        <v>#REF!</v>
      </c>
      <c r="AE554" s="593">
        <f t="shared" ref="AE554:AE556" ca="1" si="835">G554</f>
        <v>0</v>
      </c>
      <c r="AF554" s="593">
        <f t="shared" ref="AF554:AF556" ca="1" si="836">H554+AE554</f>
        <v>0</v>
      </c>
      <c r="AG554" s="593">
        <f t="shared" ref="AG554:AG556" ca="1" si="837">I554+AF554</f>
        <v>0</v>
      </c>
      <c r="AH554" s="593">
        <f t="shared" ref="AH554:AH556" ca="1" si="838">J554+AG554</f>
        <v>0</v>
      </c>
      <c r="AI554" s="593">
        <f t="shared" ref="AI554:AI556" ca="1" si="839">K554+AH554</f>
        <v>0</v>
      </c>
      <c r="AJ554" s="593">
        <f t="shared" ref="AJ554:AJ556" ca="1" si="840">L554+AI554</f>
        <v>0</v>
      </c>
      <c r="AK554" s="593">
        <f t="shared" ref="AK554:AK556" ca="1" si="841">M554+AJ554</f>
        <v>0</v>
      </c>
      <c r="AL554" s="593">
        <f t="shared" ref="AL554:AL556" ca="1" si="842">N554+AK554</f>
        <v>0</v>
      </c>
      <c r="AM554" s="593">
        <f t="shared" ref="AM554:AM556" ca="1" si="843">O554+AL554</f>
        <v>0</v>
      </c>
      <c r="AN554" s="593">
        <f t="shared" ref="AN554:AN556" ca="1" si="844">P554+AM554</f>
        <v>0</v>
      </c>
      <c r="AO554" s="593">
        <f t="shared" ref="AO554:AO556" ca="1" si="845">Q554+AN554</f>
        <v>0</v>
      </c>
      <c r="AP554" s="593">
        <f t="shared" ref="AP554:AP556" ca="1" si="846">R554+AO554</f>
        <v>0</v>
      </c>
    </row>
    <row r="555" spans="1:42" s="594" customFormat="1" ht="11.25" x14ac:dyDescent="0.2">
      <c r="A555" s="644"/>
      <c r="B555" s="591" t="str">
        <f>IF(D555&lt;&gt;"",
IF(ISERROR(MATCH(D555,'Ist Aktuell Monat 01'!A:A,0))=FALSE,INDEX('Ist Aktuell Monat 01'!B:B,MATCH(D555,'Ist Aktuell Monat 01'!A:A,0)),
IF(ISERROR(MATCH(D555,'Ist Aktuell Monat 02'!A:A,0))=FALSE,INDEX('Ist Aktuell Monat 02'!B:B,MATCH(D555,'Ist Aktuell Monat 02'!A:A,0)),
IF(ISERROR(MATCH(D555,'Ist Aktuell Monat 03'!A:A,0))=FALSE,INDEX('Ist Aktuell Monat 03'!B:B,MATCH(D555,'Ist Aktuell Monat 03'!A:A,0)),
IF(ISERROR(MATCH(D555,'Ist Aktuell Monat 04'!A:A,0))=FALSE,INDEX('Ist Aktuell Monat 04'!B:B,MATCH(D555,'Ist Aktuell Monat 04'!A:A,0)),
IF(ISERROR(MATCH(D555,'Ist Aktuell Monat 05'!A:A,0))=FALSE,INDEX('Ist Aktuell Monat 05'!B:B,MATCH(D555,'Ist Aktuell Monat 05'!A:A,0)),
IF(ISERROR(MATCH(D555,'Ist Aktuell Monat 06'!A:A,0))=FALSE,INDEX('Ist Aktuell Monat 06'!B:B,MATCH(D555,'Ist Aktuell Monat 06'!A:A,0)),
IF(ISERROR(MATCH(D555,'Ist Aktuell Monat 07'!A:A,0))=FALSE,INDEX('Ist Aktuell Monat 07'!B:B,MATCH(D555,'Ist Aktuell Monat 07'!A:A,0)),
IF(ISERROR(MATCH(D555,'Ist Aktuell Monat 08'!A:A,0))=FALSE,INDEX('Ist Aktuell Monat 08'!B:B,MATCH(D555,'Ist Aktuell Monat 08'!A:A,0)),
IF(ISERROR(MATCH(D555,'Ist Aktuell Monat 09'!A:A,0))=FALSE,INDEX('Ist Aktuell Monat 09'!B:B,MATCH(D555,'Ist Aktuell Monat 09'!A:A,0)),
IF(ISERROR(MATCH(D555,'Ist Aktuell Monat 10'!A:A,0))=FALSE,INDEX('Ist Aktuell Monat 10'!B:B,MATCH(D555,'Ist Aktuell Monat 10'!A:A,0)),
IF(ISERROR(MATCH(D555,'Ist Aktuell Monat 11'!A:A,0))=FALSE,INDEX('Ist Aktuell Monat 11'!B:B,MATCH(D555,'Ist Aktuell Monat 11'!A:A,0)),
IF(ISERROR(MATCH(D555,'Ist Aktuell Monat 12'!A:A,0))=FALSE,INDEX('Ist Aktuell Monat 12'!B:B,MATCH(D555,'Ist Aktuell Monat 12'!A:A,0)),
"{Konto unbekannt}"
)))))))))))),"")</f>
        <v/>
      </c>
      <c r="C555" s="1062"/>
      <c r="D555" s="1067"/>
      <c r="E555" s="625">
        <f t="shared" si="727"/>
        <v>1</v>
      </c>
      <c r="F555" s="626"/>
      <c r="G555" s="593">
        <f ca="1">$E555*SUMIF(INDIRECT(G$3),'Struktur Aktuell'!$D555,INDIRECT(G$8))*IFERROR(IF(VLOOKUP('Struktur Aktuell'!$D555,INDIRECT(G$6),8,)="H",-1,1),0)</f>
        <v>0</v>
      </c>
      <c r="H555" s="593">
        <f ca="1">$E555*SUMIF(INDIRECT(H$3),'Struktur Aktuell'!$D555,INDIRECT(H$8))*IFERROR(IF(VLOOKUP('Struktur Aktuell'!$D555,INDIRECT(H$6),8,)="H",-1,1),0)</f>
        <v>0</v>
      </c>
      <c r="I555" s="593">
        <f ca="1">$E555*SUMIF(INDIRECT(I$3),'Struktur Aktuell'!$D555,INDIRECT(I$8))*IFERROR(IF(VLOOKUP('Struktur Aktuell'!$D555,INDIRECT(I$6),8,)="H",-1,1),0)</f>
        <v>0</v>
      </c>
      <c r="J555" s="593">
        <f ca="1">$E555*SUMIF(INDIRECT(J$3),'Struktur Aktuell'!$D555,INDIRECT(J$8))*IFERROR(IF(VLOOKUP('Struktur Aktuell'!$D555,INDIRECT(J$6),8,)="H",-1,1),0)</f>
        <v>0</v>
      </c>
      <c r="K555" s="593">
        <f ca="1">$E555*SUMIF(INDIRECT(K$3),'Struktur Aktuell'!$D555,INDIRECT(K$8))*IFERROR(IF(VLOOKUP('Struktur Aktuell'!$D555,INDIRECT(K$6),8,)="H",-1,1),0)</f>
        <v>0</v>
      </c>
      <c r="L555" s="593">
        <f ca="1">$E555*SUMIF(INDIRECT(L$3),'Struktur Aktuell'!$D555,INDIRECT(L$8))*IFERROR(IF(VLOOKUP('Struktur Aktuell'!$D555,INDIRECT(L$6),8,)="H",-1,1),0)</f>
        <v>0</v>
      </c>
      <c r="M555" s="593">
        <f ca="1">$E555*SUMIF(INDIRECT(M$3),'Struktur Aktuell'!$D555,INDIRECT(M$8))*IFERROR(IF(VLOOKUP('Struktur Aktuell'!$D555,INDIRECT(M$6),8,)="H",-1,1),0)</f>
        <v>0</v>
      </c>
      <c r="N555" s="593">
        <f ca="1">$E555*SUMIF(INDIRECT(N$3),'Struktur Aktuell'!$D555,INDIRECT(N$8))*IFERROR(IF(VLOOKUP('Struktur Aktuell'!$D555,INDIRECT(N$6),8,)="H",-1,1),0)</f>
        <v>0</v>
      </c>
      <c r="O555" s="593">
        <f ca="1">$E555*SUMIF(INDIRECT(O$3),'Struktur Aktuell'!$D555,INDIRECT(O$8))*IFERROR(IF(VLOOKUP('Struktur Aktuell'!$D555,INDIRECT(O$6),8,)="H",-1,1),0)</f>
        <v>0</v>
      </c>
      <c r="P555" s="593">
        <f ca="1">$E555*SUMIF(INDIRECT(P$3),'Struktur Aktuell'!$D555,INDIRECT(P$8))*IFERROR(IF(VLOOKUP('Struktur Aktuell'!$D555,INDIRECT(P$6),8,)="H",-1,1),0)</f>
        <v>0</v>
      </c>
      <c r="Q555" s="593">
        <f ca="1">$E555*SUMIF(INDIRECT(Q$3),'Struktur Aktuell'!$D555,INDIRECT(Q$8))*IFERROR(IF(VLOOKUP('Struktur Aktuell'!$D555,INDIRECT(Q$6),8,)="H",-1,1),0)</f>
        <v>0</v>
      </c>
      <c r="R555" s="593">
        <f ca="1">$E555*SUMIF(INDIRECT(R$3),'Struktur Aktuell'!$D555,INDIRECT(R$8))*IFERROR(IF(VLOOKUP('Struktur Aktuell'!$D555,INDIRECT(R$6),8,)="H",-1,1),0)</f>
        <v>0</v>
      </c>
      <c r="S555" s="593" t="e">
        <f ca="1">$E555*SUMIF(INDIRECT(S$3),'Struktur Aktuell'!$D555,INDIRECT(S$8))*IFERROR(IF(VLOOKUP('Struktur Aktuell'!$D555,INDIRECT(S$6),8,)="H",-1,1),0)</f>
        <v>#REF!</v>
      </c>
      <c r="T555" s="593" t="e">
        <f ca="1">$E555*SUMIF(INDIRECT(T$3),'Struktur Aktuell'!$D555,INDIRECT(T$8))*IFERROR(IF(VLOOKUP('Struktur Aktuell'!$D555,INDIRECT(T$6),8,)="H",-1,1),0)</f>
        <v>#REF!</v>
      </c>
      <c r="U555" s="593" t="e">
        <f ca="1">$E555*SUMIF(INDIRECT(U$3),'Struktur Aktuell'!$D555,INDIRECT(U$8))*IFERROR(IF(VLOOKUP('Struktur Aktuell'!$D555,INDIRECT(U$6),8,)="H",-1,1),0)</f>
        <v>#REF!</v>
      </c>
      <c r="V555" s="593" t="e">
        <f ca="1">$E555*SUMIF(INDIRECT(V$3),'Struktur Aktuell'!$D555,INDIRECT(V$8))*IFERROR(IF(VLOOKUP('Struktur Aktuell'!$D555,INDIRECT(V$6),8,)="H",-1,1),0)</f>
        <v>#REF!</v>
      </c>
      <c r="W555" s="593" t="e">
        <f ca="1">$E555*SUMIF(INDIRECT(W$3),'Struktur Aktuell'!$D555,INDIRECT(W$8))*IFERROR(IF(VLOOKUP('Struktur Aktuell'!$D555,INDIRECT(W$6),8,)="H",-1,1),0)</f>
        <v>#REF!</v>
      </c>
      <c r="X555" s="593" t="e">
        <f ca="1">$E555*SUMIF(INDIRECT(X$3),'Struktur Aktuell'!$D555,INDIRECT(X$8))*IFERROR(IF(VLOOKUP('Struktur Aktuell'!$D555,INDIRECT(X$6),8,)="H",-1,1),0)</f>
        <v>#REF!</v>
      </c>
      <c r="Y555" s="593" t="e">
        <f ca="1">$E555*SUMIF(INDIRECT(Y$3),'Struktur Aktuell'!$D555,INDIRECT(Y$8))*IFERROR(IF(VLOOKUP('Struktur Aktuell'!$D555,INDIRECT(Y$6),8,)="H",-1,1),0)</f>
        <v>#REF!</v>
      </c>
      <c r="Z555" s="593" t="e">
        <f ca="1">$E555*SUMIF(INDIRECT(Z$3),'Struktur Aktuell'!$D555,INDIRECT(Z$8))*IFERROR(IF(VLOOKUP('Struktur Aktuell'!$D555,INDIRECT(Z$6),8,)="H",-1,1),0)</f>
        <v>#REF!</v>
      </c>
      <c r="AA555" s="593" t="e">
        <f ca="1">$E555*SUMIF(INDIRECT(AA$3),'Struktur Aktuell'!$D555,INDIRECT(AA$8))*IFERROR(IF(VLOOKUP('Struktur Aktuell'!$D555,INDIRECT(AA$6),8,)="H",-1,1),0)</f>
        <v>#REF!</v>
      </c>
      <c r="AB555" s="593" t="e">
        <f ca="1">$E555*SUMIF(INDIRECT(AB$3),'Struktur Aktuell'!$D555,INDIRECT(AB$8))*IFERROR(IF(VLOOKUP('Struktur Aktuell'!$D555,INDIRECT(AB$6),8,)="H",-1,1),0)</f>
        <v>#REF!</v>
      </c>
      <c r="AC555" s="593" t="e">
        <f ca="1">$E555*SUMIF(INDIRECT(AC$3),'Struktur Aktuell'!$D555,INDIRECT(AC$8))*IFERROR(IF(VLOOKUP('Struktur Aktuell'!$D555,INDIRECT(AC$6),8,)="H",-1,1),0)</f>
        <v>#REF!</v>
      </c>
      <c r="AD555" s="593" t="e">
        <f ca="1">$E555*SUMIF(INDIRECT(AD$3),'Struktur Aktuell'!$D555,INDIRECT(AD$8))*IFERROR(IF(VLOOKUP('Struktur Aktuell'!$D555,INDIRECT(AD$6),8,)="H",-1,1),0)</f>
        <v>#REF!</v>
      </c>
      <c r="AE555" s="593">
        <f t="shared" ca="1" si="835"/>
        <v>0</v>
      </c>
      <c r="AF555" s="593">
        <f t="shared" ca="1" si="836"/>
        <v>0</v>
      </c>
      <c r="AG555" s="593">
        <f t="shared" ca="1" si="837"/>
        <v>0</v>
      </c>
      <c r="AH555" s="593">
        <f t="shared" ca="1" si="838"/>
        <v>0</v>
      </c>
      <c r="AI555" s="593">
        <f t="shared" ca="1" si="839"/>
        <v>0</v>
      </c>
      <c r="AJ555" s="593">
        <f t="shared" ca="1" si="840"/>
        <v>0</v>
      </c>
      <c r="AK555" s="593">
        <f t="shared" ca="1" si="841"/>
        <v>0</v>
      </c>
      <c r="AL555" s="593">
        <f t="shared" ca="1" si="842"/>
        <v>0</v>
      </c>
      <c r="AM555" s="593">
        <f t="shared" ca="1" si="843"/>
        <v>0</v>
      </c>
      <c r="AN555" s="593">
        <f t="shared" ca="1" si="844"/>
        <v>0</v>
      </c>
      <c r="AO555" s="593">
        <f t="shared" ca="1" si="845"/>
        <v>0</v>
      </c>
      <c r="AP555" s="593">
        <f t="shared" ca="1" si="846"/>
        <v>0</v>
      </c>
    </row>
    <row r="556" spans="1:42" s="594" customFormat="1" ht="11.25" outlineLevel="1" x14ac:dyDescent="0.2">
      <c r="A556" s="644"/>
      <c r="B556" s="591" t="str">
        <f>IF(D556&lt;&gt;"",
IF(ISERROR(MATCH(D556,'Ist Aktuell Monat 01'!A:A,0))=FALSE,INDEX('Ist Aktuell Monat 01'!B:B,MATCH(D556,'Ist Aktuell Monat 01'!A:A,0)),
IF(ISERROR(MATCH(D556,'Ist Aktuell Monat 02'!A:A,0))=FALSE,INDEX('Ist Aktuell Monat 02'!B:B,MATCH(D556,'Ist Aktuell Monat 02'!A:A,0)),
IF(ISERROR(MATCH(D556,'Ist Aktuell Monat 03'!A:A,0))=FALSE,INDEX('Ist Aktuell Monat 03'!B:B,MATCH(D556,'Ist Aktuell Monat 03'!A:A,0)),
IF(ISERROR(MATCH(D556,'Ist Aktuell Monat 04'!A:A,0))=FALSE,INDEX('Ist Aktuell Monat 04'!B:B,MATCH(D556,'Ist Aktuell Monat 04'!A:A,0)),
IF(ISERROR(MATCH(D556,'Ist Aktuell Monat 05'!A:A,0))=FALSE,INDEX('Ist Aktuell Monat 05'!B:B,MATCH(D556,'Ist Aktuell Monat 05'!A:A,0)),
IF(ISERROR(MATCH(D556,'Ist Aktuell Monat 06'!A:A,0))=FALSE,INDEX('Ist Aktuell Monat 06'!B:B,MATCH(D556,'Ist Aktuell Monat 06'!A:A,0)),
IF(ISERROR(MATCH(D556,'Ist Aktuell Monat 07'!A:A,0))=FALSE,INDEX('Ist Aktuell Monat 07'!B:B,MATCH(D556,'Ist Aktuell Monat 07'!A:A,0)),
IF(ISERROR(MATCH(D556,'Ist Aktuell Monat 08'!A:A,0))=FALSE,INDEX('Ist Aktuell Monat 08'!B:B,MATCH(D556,'Ist Aktuell Monat 08'!A:A,0)),
IF(ISERROR(MATCH(D556,'Ist Aktuell Monat 09'!A:A,0))=FALSE,INDEX('Ist Aktuell Monat 09'!B:B,MATCH(D556,'Ist Aktuell Monat 09'!A:A,0)),
IF(ISERROR(MATCH(D556,'Ist Aktuell Monat 10'!A:A,0))=FALSE,INDEX('Ist Aktuell Monat 10'!B:B,MATCH(D556,'Ist Aktuell Monat 10'!A:A,0)),
IF(ISERROR(MATCH(D556,'Ist Aktuell Monat 11'!A:A,0))=FALSE,INDEX('Ist Aktuell Monat 11'!B:B,MATCH(D556,'Ist Aktuell Monat 11'!A:A,0)),
IF(ISERROR(MATCH(D556,'Ist Aktuell Monat 12'!A:A,0))=FALSE,INDEX('Ist Aktuell Monat 12'!B:B,MATCH(D556,'Ist Aktuell Monat 12'!A:A,0)),
"{Konto unbekannt}"
)))))))))))),"")</f>
        <v/>
      </c>
      <c r="C556" s="1062"/>
      <c r="D556" s="1067"/>
      <c r="E556" s="625">
        <f t="shared" si="727"/>
        <v>1</v>
      </c>
      <c r="F556" s="626"/>
      <c r="G556" s="593">
        <f ca="1">$E556*SUMIF(INDIRECT(G$3),'Struktur Aktuell'!$D556,INDIRECT(G$8))*IFERROR(IF(VLOOKUP('Struktur Aktuell'!$D556,INDIRECT(G$6),8,)="H",-1,1),0)</f>
        <v>0</v>
      </c>
      <c r="H556" s="593">
        <f ca="1">$E556*SUMIF(INDIRECT(H$3),'Struktur Aktuell'!$D556,INDIRECT(H$8))*IFERROR(IF(VLOOKUP('Struktur Aktuell'!$D556,INDIRECT(H$6),8,)="H",-1,1),0)</f>
        <v>0</v>
      </c>
      <c r="I556" s="593">
        <f ca="1">$E556*SUMIF(INDIRECT(I$3),'Struktur Aktuell'!$D556,INDIRECT(I$8))*IFERROR(IF(VLOOKUP('Struktur Aktuell'!$D556,INDIRECT(I$6),8,)="H",-1,1),0)</f>
        <v>0</v>
      </c>
      <c r="J556" s="593">
        <f ca="1">$E556*SUMIF(INDIRECT(J$3),'Struktur Aktuell'!$D556,INDIRECT(J$8))*IFERROR(IF(VLOOKUP('Struktur Aktuell'!$D556,INDIRECT(J$6),8,)="H",-1,1),0)</f>
        <v>0</v>
      </c>
      <c r="K556" s="593">
        <f ca="1">$E556*SUMIF(INDIRECT(K$3),'Struktur Aktuell'!$D556,INDIRECT(K$8))*IFERROR(IF(VLOOKUP('Struktur Aktuell'!$D556,INDIRECT(K$6),8,)="H",-1,1),0)</f>
        <v>0</v>
      </c>
      <c r="L556" s="593">
        <f ca="1">$E556*SUMIF(INDIRECT(L$3),'Struktur Aktuell'!$D556,INDIRECT(L$8))*IFERROR(IF(VLOOKUP('Struktur Aktuell'!$D556,INDIRECT(L$6),8,)="H",-1,1),0)</f>
        <v>0</v>
      </c>
      <c r="M556" s="593">
        <f ca="1">$E556*SUMIF(INDIRECT(M$3),'Struktur Aktuell'!$D556,INDIRECT(M$8))*IFERROR(IF(VLOOKUP('Struktur Aktuell'!$D556,INDIRECT(M$6),8,)="H",-1,1),0)</f>
        <v>0</v>
      </c>
      <c r="N556" s="593">
        <f ca="1">$E556*SUMIF(INDIRECT(N$3),'Struktur Aktuell'!$D556,INDIRECT(N$8))*IFERROR(IF(VLOOKUP('Struktur Aktuell'!$D556,INDIRECT(N$6),8,)="H",-1,1),0)</f>
        <v>0</v>
      </c>
      <c r="O556" s="593">
        <f ca="1">$E556*SUMIF(INDIRECT(O$3),'Struktur Aktuell'!$D556,INDIRECT(O$8))*IFERROR(IF(VLOOKUP('Struktur Aktuell'!$D556,INDIRECT(O$6),8,)="H",-1,1),0)</f>
        <v>0</v>
      </c>
      <c r="P556" s="593">
        <f ca="1">$E556*SUMIF(INDIRECT(P$3),'Struktur Aktuell'!$D556,INDIRECT(P$8))*IFERROR(IF(VLOOKUP('Struktur Aktuell'!$D556,INDIRECT(P$6),8,)="H",-1,1),0)</f>
        <v>0</v>
      </c>
      <c r="Q556" s="593">
        <f ca="1">$E556*SUMIF(INDIRECT(Q$3),'Struktur Aktuell'!$D556,INDIRECT(Q$8))*IFERROR(IF(VLOOKUP('Struktur Aktuell'!$D556,INDIRECT(Q$6),8,)="H",-1,1),0)</f>
        <v>0</v>
      </c>
      <c r="R556" s="593">
        <f ca="1">$E556*SUMIF(INDIRECT(R$3),'Struktur Aktuell'!$D556,INDIRECT(R$8))*IFERROR(IF(VLOOKUP('Struktur Aktuell'!$D556,INDIRECT(R$6),8,)="H",-1,1),0)</f>
        <v>0</v>
      </c>
      <c r="S556" s="593" t="e">
        <f ca="1">$E556*SUMIF(INDIRECT(S$3),'Struktur Aktuell'!$D556,INDIRECT(S$8))*IFERROR(IF(VLOOKUP('Struktur Aktuell'!$D556,INDIRECT(S$6),8,)="H",-1,1),0)</f>
        <v>#REF!</v>
      </c>
      <c r="T556" s="593" t="e">
        <f ca="1">$E556*SUMIF(INDIRECT(T$3),'Struktur Aktuell'!$D556,INDIRECT(T$8))*IFERROR(IF(VLOOKUP('Struktur Aktuell'!$D556,INDIRECT(T$6),8,)="H",-1,1),0)</f>
        <v>#REF!</v>
      </c>
      <c r="U556" s="593" t="e">
        <f ca="1">$E556*SUMIF(INDIRECT(U$3),'Struktur Aktuell'!$D556,INDIRECT(U$8))*IFERROR(IF(VLOOKUP('Struktur Aktuell'!$D556,INDIRECT(U$6),8,)="H",-1,1),0)</f>
        <v>#REF!</v>
      </c>
      <c r="V556" s="593" t="e">
        <f ca="1">$E556*SUMIF(INDIRECT(V$3),'Struktur Aktuell'!$D556,INDIRECT(V$8))*IFERROR(IF(VLOOKUP('Struktur Aktuell'!$D556,INDIRECT(V$6),8,)="H",-1,1),0)</f>
        <v>#REF!</v>
      </c>
      <c r="W556" s="593" t="e">
        <f ca="1">$E556*SUMIF(INDIRECT(W$3),'Struktur Aktuell'!$D556,INDIRECT(W$8))*IFERROR(IF(VLOOKUP('Struktur Aktuell'!$D556,INDIRECT(W$6),8,)="H",-1,1),0)</f>
        <v>#REF!</v>
      </c>
      <c r="X556" s="593" t="e">
        <f ca="1">$E556*SUMIF(INDIRECT(X$3),'Struktur Aktuell'!$D556,INDIRECT(X$8))*IFERROR(IF(VLOOKUP('Struktur Aktuell'!$D556,INDIRECT(X$6),8,)="H",-1,1),0)</f>
        <v>#REF!</v>
      </c>
      <c r="Y556" s="593" t="e">
        <f ca="1">$E556*SUMIF(INDIRECT(Y$3),'Struktur Aktuell'!$D556,INDIRECT(Y$8))*IFERROR(IF(VLOOKUP('Struktur Aktuell'!$D556,INDIRECT(Y$6),8,)="H",-1,1),0)</f>
        <v>#REF!</v>
      </c>
      <c r="Z556" s="593" t="e">
        <f ca="1">$E556*SUMIF(INDIRECT(Z$3),'Struktur Aktuell'!$D556,INDIRECT(Z$8))*IFERROR(IF(VLOOKUP('Struktur Aktuell'!$D556,INDIRECT(Z$6),8,)="H",-1,1),0)</f>
        <v>#REF!</v>
      </c>
      <c r="AA556" s="593" t="e">
        <f ca="1">$E556*SUMIF(INDIRECT(AA$3),'Struktur Aktuell'!$D556,INDIRECT(AA$8))*IFERROR(IF(VLOOKUP('Struktur Aktuell'!$D556,INDIRECT(AA$6),8,)="H",-1,1),0)</f>
        <v>#REF!</v>
      </c>
      <c r="AB556" s="593" t="e">
        <f ca="1">$E556*SUMIF(INDIRECT(AB$3),'Struktur Aktuell'!$D556,INDIRECT(AB$8))*IFERROR(IF(VLOOKUP('Struktur Aktuell'!$D556,INDIRECT(AB$6),8,)="H",-1,1),0)</f>
        <v>#REF!</v>
      </c>
      <c r="AC556" s="593" t="e">
        <f ca="1">$E556*SUMIF(INDIRECT(AC$3),'Struktur Aktuell'!$D556,INDIRECT(AC$8))*IFERROR(IF(VLOOKUP('Struktur Aktuell'!$D556,INDIRECT(AC$6),8,)="H",-1,1),0)</f>
        <v>#REF!</v>
      </c>
      <c r="AD556" s="593" t="e">
        <f ca="1">$E556*SUMIF(INDIRECT(AD$3),'Struktur Aktuell'!$D556,INDIRECT(AD$8))*IFERROR(IF(VLOOKUP('Struktur Aktuell'!$D556,INDIRECT(AD$6),8,)="H",-1,1),0)</f>
        <v>#REF!</v>
      </c>
      <c r="AE556" s="593">
        <f t="shared" ca="1" si="835"/>
        <v>0</v>
      </c>
      <c r="AF556" s="593">
        <f t="shared" ca="1" si="836"/>
        <v>0</v>
      </c>
      <c r="AG556" s="593">
        <f t="shared" ca="1" si="837"/>
        <v>0</v>
      </c>
      <c r="AH556" s="593">
        <f t="shared" ca="1" si="838"/>
        <v>0</v>
      </c>
      <c r="AI556" s="593">
        <f t="shared" ca="1" si="839"/>
        <v>0</v>
      </c>
      <c r="AJ556" s="593">
        <f t="shared" ca="1" si="840"/>
        <v>0</v>
      </c>
      <c r="AK556" s="593">
        <f t="shared" ca="1" si="841"/>
        <v>0</v>
      </c>
      <c r="AL556" s="593">
        <f t="shared" ca="1" si="842"/>
        <v>0</v>
      </c>
      <c r="AM556" s="593">
        <f t="shared" ca="1" si="843"/>
        <v>0</v>
      </c>
      <c r="AN556" s="593">
        <f t="shared" ca="1" si="844"/>
        <v>0</v>
      </c>
      <c r="AO556" s="593">
        <f t="shared" ca="1" si="845"/>
        <v>0</v>
      </c>
      <c r="AP556" s="593">
        <f t="shared" ca="1" si="846"/>
        <v>0</v>
      </c>
    </row>
    <row r="557" spans="1:42" s="589" customFormat="1" outlineLevel="1" x14ac:dyDescent="0.2">
      <c r="A557" s="629">
        <v>50</v>
      </c>
      <c r="B557" s="623" t="s">
        <v>1035</v>
      </c>
      <c r="C557" s="627">
        <f ca="1">SUM(G557:R557)</f>
        <v>0</v>
      </c>
      <c r="D557" s="627"/>
      <c r="E557" s="628">
        <f t="shared" si="727"/>
        <v>1</v>
      </c>
      <c r="F557" s="628"/>
      <c r="G557" s="627">
        <f t="shared" ref="G557:R557" ca="1" si="847">SUM(G558:G560)</f>
        <v>0</v>
      </c>
      <c r="H557" s="627">
        <f t="shared" ca="1" si="847"/>
        <v>0</v>
      </c>
      <c r="I557" s="627">
        <f t="shared" ca="1" si="847"/>
        <v>0</v>
      </c>
      <c r="J557" s="627">
        <f t="shared" ca="1" si="847"/>
        <v>0</v>
      </c>
      <c r="K557" s="627">
        <f t="shared" ca="1" si="847"/>
        <v>0</v>
      </c>
      <c r="L557" s="627">
        <f t="shared" ca="1" si="847"/>
        <v>0</v>
      </c>
      <c r="M557" s="627">
        <f t="shared" ca="1" si="847"/>
        <v>0</v>
      </c>
      <c r="N557" s="627">
        <f t="shared" ca="1" si="847"/>
        <v>0</v>
      </c>
      <c r="O557" s="627">
        <f t="shared" ca="1" si="847"/>
        <v>0</v>
      </c>
      <c r="P557" s="627">
        <f t="shared" ca="1" si="847"/>
        <v>0</v>
      </c>
      <c r="Q557" s="627">
        <f t="shared" ca="1" si="847"/>
        <v>0</v>
      </c>
      <c r="R557" s="627">
        <f t="shared" ca="1" si="847"/>
        <v>0</v>
      </c>
      <c r="S557" s="627" t="e">
        <f t="shared" ref="S557:AP557" ca="1" si="848">SUM(S558:S560)</f>
        <v>#REF!</v>
      </c>
      <c r="T557" s="627" t="e">
        <f t="shared" ca="1" si="848"/>
        <v>#REF!</v>
      </c>
      <c r="U557" s="627" t="e">
        <f t="shared" ca="1" si="848"/>
        <v>#REF!</v>
      </c>
      <c r="V557" s="627" t="e">
        <f t="shared" ca="1" si="848"/>
        <v>#REF!</v>
      </c>
      <c r="W557" s="627" t="e">
        <f t="shared" ca="1" si="848"/>
        <v>#REF!</v>
      </c>
      <c r="X557" s="627" t="e">
        <f t="shared" ca="1" si="848"/>
        <v>#REF!</v>
      </c>
      <c r="Y557" s="627" t="e">
        <f t="shared" ca="1" si="848"/>
        <v>#REF!</v>
      </c>
      <c r="Z557" s="627" t="e">
        <f t="shared" ca="1" si="848"/>
        <v>#REF!</v>
      </c>
      <c r="AA557" s="627" t="e">
        <f t="shared" ca="1" si="848"/>
        <v>#REF!</v>
      </c>
      <c r="AB557" s="627" t="e">
        <f t="shared" ca="1" si="848"/>
        <v>#REF!</v>
      </c>
      <c r="AC557" s="627" t="e">
        <f t="shared" ca="1" si="848"/>
        <v>#REF!</v>
      </c>
      <c r="AD557" s="627" t="e">
        <f t="shared" ca="1" si="848"/>
        <v>#REF!</v>
      </c>
      <c r="AE557" s="627">
        <f t="shared" ca="1" si="848"/>
        <v>0</v>
      </c>
      <c r="AF557" s="627">
        <f t="shared" ca="1" si="848"/>
        <v>0</v>
      </c>
      <c r="AG557" s="627">
        <f t="shared" ca="1" si="848"/>
        <v>0</v>
      </c>
      <c r="AH557" s="627">
        <f t="shared" ca="1" si="848"/>
        <v>0</v>
      </c>
      <c r="AI557" s="627">
        <f t="shared" ca="1" si="848"/>
        <v>0</v>
      </c>
      <c r="AJ557" s="627">
        <f t="shared" ca="1" si="848"/>
        <v>0</v>
      </c>
      <c r="AK557" s="627">
        <f t="shared" ca="1" si="848"/>
        <v>0</v>
      </c>
      <c r="AL557" s="627">
        <f t="shared" ca="1" si="848"/>
        <v>0</v>
      </c>
      <c r="AM557" s="627">
        <f t="shared" ca="1" si="848"/>
        <v>0</v>
      </c>
      <c r="AN557" s="627">
        <f t="shared" ca="1" si="848"/>
        <v>0</v>
      </c>
      <c r="AO557" s="627">
        <f t="shared" ca="1" si="848"/>
        <v>0</v>
      </c>
      <c r="AP557" s="627">
        <f t="shared" ca="1" si="848"/>
        <v>0</v>
      </c>
    </row>
    <row r="558" spans="1:42" s="594" customFormat="1" ht="11.25" outlineLevel="1" x14ac:dyDescent="0.2">
      <c r="A558" s="644"/>
      <c r="B558" s="591" t="str">
        <f>IF(D558&lt;&gt;"",
IF(ISERROR(MATCH(D558,'Ist Aktuell Monat 01'!A:A,0))=FALSE,INDEX('Ist Aktuell Monat 01'!B:B,MATCH(D558,'Ist Aktuell Monat 01'!A:A,0)),
IF(ISERROR(MATCH(D558,'Ist Aktuell Monat 02'!A:A,0))=FALSE,INDEX('Ist Aktuell Monat 02'!B:B,MATCH(D558,'Ist Aktuell Monat 02'!A:A,0)),
IF(ISERROR(MATCH(D558,'Ist Aktuell Monat 03'!A:A,0))=FALSE,INDEX('Ist Aktuell Monat 03'!B:B,MATCH(D558,'Ist Aktuell Monat 03'!A:A,0)),
IF(ISERROR(MATCH(D558,'Ist Aktuell Monat 04'!A:A,0))=FALSE,INDEX('Ist Aktuell Monat 04'!B:B,MATCH(D558,'Ist Aktuell Monat 04'!A:A,0)),
IF(ISERROR(MATCH(D558,'Ist Aktuell Monat 05'!A:A,0))=FALSE,INDEX('Ist Aktuell Monat 05'!B:B,MATCH(D558,'Ist Aktuell Monat 05'!A:A,0)),
IF(ISERROR(MATCH(D558,'Ist Aktuell Monat 06'!A:A,0))=FALSE,INDEX('Ist Aktuell Monat 06'!B:B,MATCH(D558,'Ist Aktuell Monat 06'!A:A,0)),
IF(ISERROR(MATCH(D558,'Ist Aktuell Monat 07'!A:A,0))=FALSE,INDEX('Ist Aktuell Monat 07'!B:B,MATCH(D558,'Ist Aktuell Monat 07'!A:A,0)),
IF(ISERROR(MATCH(D558,'Ist Aktuell Monat 08'!A:A,0))=FALSE,INDEX('Ist Aktuell Monat 08'!B:B,MATCH(D558,'Ist Aktuell Monat 08'!A:A,0)),
IF(ISERROR(MATCH(D558,'Ist Aktuell Monat 09'!A:A,0))=FALSE,INDEX('Ist Aktuell Monat 09'!B:B,MATCH(D558,'Ist Aktuell Monat 09'!A:A,0)),
IF(ISERROR(MATCH(D558,'Ist Aktuell Monat 10'!A:A,0))=FALSE,INDEX('Ist Aktuell Monat 10'!B:B,MATCH(D558,'Ist Aktuell Monat 10'!A:A,0)),
IF(ISERROR(MATCH(D558,'Ist Aktuell Monat 11'!A:A,0))=FALSE,INDEX('Ist Aktuell Monat 11'!B:B,MATCH(D558,'Ist Aktuell Monat 11'!A:A,0)),
IF(ISERROR(MATCH(D558,'Ist Aktuell Monat 12'!A:A,0))=FALSE,INDEX('Ist Aktuell Monat 12'!B:B,MATCH(D558,'Ist Aktuell Monat 12'!A:A,0)),
"{Konto unbekannt}"
)))))))))))),"")</f>
        <v/>
      </c>
      <c r="C558" s="591"/>
      <c r="D558" s="590"/>
      <c r="E558" s="625">
        <f t="shared" si="727"/>
        <v>1</v>
      </c>
      <c r="F558" s="626"/>
      <c r="G558" s="593">
        <f ca="1">$E558*SUMIF(INDIRECT(G$3),'Struktur Aktuell'!$D558,INDIRECT(G$8))</f>
        <v>0</v>
      </c>
      <c r="H558" s="593">
        <f ca="1">$E558*SUMIF(INDIRECT(H$3),'Struktur Aktuell'!$D558,INDIRECT(H$8))</f>
        <v>0</v>
      </c>
      <c r="I558" s="593">
        <f ca="1">$E558*SUMIF(INDIRECT(I$3),'Struktur Aktuell'!$D558,INDIRECT(I$8))</f>
        <v>0</v>
      </c>
      <c r="J558" s="593">
        <f ca="1">$E558*SUMIF(INDIRECT(J$3),'Struktur Aktuell'!$D558,INDIRECT(J$8))</f>
        <v>0</v>
      </c>
      <c r="K558" s="593">
        <f ca="1">$E558*SUMIF(INDIRECT(K$3),'Struktur Aktuell'!$D558,INDIRECT(K$8))</f>
        <v>0</v>
      </c>
      <c r="L558" s="593">
        <f ca="1">$E558*SUMIF(INDIRECT(L$3),'Struktur Aktuell'!$D558,INDIRECT(L$8))</f>
        <v>0</v>
      </c>
      <c r="M558" s="593">
        <f ca="1">$E558*SUMIF(INDIRECT(M$3),'Struktur Aktuell'!$D558,INDIRECT(M$8))</f>
        <v>0</v>
      </c>
      <c r="N558" s="593">
        <f ca="1">$E558*SUMIF(INDIRECT(N$3),'Struktur Aktuell'!$D558,INDIRECT(N$8))</f>
        <v>0</v>
      </c>
      <c r="O558" s="593">
        <f ca="1">$E558*SUMIF(INDIRECT(O$3),'Struktur Aktuell'!$D558,INDIRECT(O$8))</f>
        <v>0</v>
      </c>
      <c r="P558" s="593">
        <f ca="1">$E558*SUMIF(INDIRECT(P$3),'Struktur Aktuell'!$D558,INDIRECT(P$8))</f>
        <v>0</v>
      </c>
      <c r="Q558" s="593">
        <f ca="1">$E558*SUMIF(INDIRECT(Q$3),'Struktur Aktuell'!$D558,INDIRECT(Q$8))</f>
        <v>0</v>
      </c>
      <c r="R558" s="593">
        <f ca="1">$E558*SUMIF(INDIRECT(R$3),'Struktur Aktuell'!$D558,INDIRECT(R$8))</f>
        <v>0</v>
      </c>
      <c r="S558" s="593" t="e">
        <f ca="1">$E558*SUMIF(INDIRECT(S$3),'Struktur Aktuell'!$D558,INDIRECT(S$8))</f>
        <v>#REF!</v>
      </c>
      <c r="T558" s="593" t="e">
        <f ca="1">$E558*SUMIF(INDIRECT(T$3),'Struktur Aktuell'!$D558,INDIRECT(T$8))</f>
        <v>#REF!</v>
      </c>
      <c r="U558" s="593" t="e">
        <f ca="1">$E558*SUMIF(INDIRECT(U$3),'Struktur Aktuell'!$D558,INDIRECT(U$8))</f>
        <v>#REF!</v>
      </c>
      <c r="V558" s="593" t="e">
        <f ca="1">$E558*SUMIF(INDIRECT(V$3),'Struktur Aktuell'!$D558,INDIRECT(V$8))</f>
        <v>#REF!</v>
      </c>
      <c r="W558" s="593" t="e">
        <f ca="1">$E558*SUMIF(INDIRECT(W$3),'Struktur Aktuell'!$D558,INDIRECT(W$8))</f>
        <v>#REF!</v>
      </c>
      <c r="X558" s="593" t="e">
        <f ca="1">$E558*SUMIF(INDIRECT(X$3),'Struktur Aktuell'!$D558,INDIRECT(X$8))</f>
        <v>#REF!</v>
      </c>
      <c r="Y558" s="593" t="e">
        <f ca="1">$E558*SUMIF(INDIRECT(Y$3),'Struktur Aktuell'!$D558,INDIRECT(Y$8))</f>
        <v>#REF!</v>
      </c>
      <c r="Z558" s="593" t="e">
        <f ca="1">$E558*SUMIF(INDIRECT(Z$3),'Struktur Aktuell'!$D558,INDIRECT(Z$8))</f>
        <v>#REF!</v>
      </c>
      <c r="AA558" s="593" t="e">
        <f ca="1">$E558*SUMIF(INDIRECT(AA$3),'Struktur Aktuell'!$D558,INDIRECT(AA$8))</f>
        <v>#REF!</v>
      </c>
      <c r="AB558" s="593" t="e">
        <f ca="1">$E558*SUMIF(INDIRECT(AB$3),'Struktur Aktuell'!$D558,INDIRECT(AB$8))</f>
        <v>#REF!</v>
      </c>
      <c r="AC558" s="593" t="e">
        <f ca="1">$E558*SUMIF(INDIRECT(AC$3),'Struktur Aktuell'!$D558,INDIRECT(AC$8))</f>
        <v>#REF!</v>
      </c>
      <c r="AD558" s="593" t="e">
        <f ca="1">$E558*SUMIF(INDIRECT(AD$3),'Struktur Aktuell'!$D558,INDIRECT(AD$8))</f>
        <v>#REF!</v>
      </c>
      <c r="AE558" s="593">
        <f t="shared" ref="AE558:AE560" ca="1" si="849">G558</f>
        <v>0</v>
      </c>
      <c r="AF558" s="593">
        <f t="shared" ref="AF558:AF560" ca="1" si="850">H558+AE558</f>
        <v>0</v>
      </c>
      <c r="AG558" s="593">
        <f t="shared" ref="AG558:AG560" ca="1" si="851">I558+AF558</f>
        <v>0</v>
      </c>
      <c r="AH558" s="593">
        <f t="shared" ref="AH558:AH560" ca="1" si="852">J558+AG558</f>
        <v>0</v>
      </c>
      <c r="AI558" s="593">
        <f t="shared" ref="AI558:AI560" ca="1" si="853">K558+AH558</f>
        <v>0</v>
      </c>
      <c r="AJ558" s="593">
        <f t="shared" ref="AJ558:AJ560" ca="1" si="854">L558+AI558</f>
        <v>0</v>
      </c>
      <c r="AK558" s="593">
        <f t="shared" ref="AK558:AK560" ca="1" si="855">M558+AJ558</f>
        <v>0</v>
      </c>
      <c r="AL558" s="593">
        <f t="shared" ref="AL558:AL560" ca="1" si="856">N558+AK558</f>
        <v>0</v>
      </c>
      <c r="AM558" s="593">
        <f t="shared" ref="AM558:AM560" ca="1" si="857">O558+AL558</f>
        <v>0</v>
      </c>
      <c r="AN558" s="593">
        <f t="shared" ref="AN558:AN560" ca="1" si="858">P558+AM558</f>
        <v>0</v>
      </c>
      <c r="AO558" s="593">
        <f t="shared" ref="AO558:AO560" ca="1" si="859">Q558+AN558</f>
        <v>0</v>
      </c>
      <c r="AP558" s="593">
        <f t="shared" ref="AP558:AP560" ca="1" si="860">R558+AO558</f>
        <v>0</v>
      </c>
    </row>
    <row r="559" spans="1:42" s="594" customFormat="1" ht="11.25" outlineLevel="1" x14ac:dyDescent="0.2">
      <c r="A559" s="644"/>
      <c r="B559" s="591" t="str">
        <f>IF(D559&lt;&gt;"",
IF(ISERROR(MATCH(D559,'Ist Aktuell Monat 01'!A:A,0))=FALSE,INDEX('Ist Aktuell Monat 01'!B:B,MATCH(D559,'Ist Aktuell Monat 01'!A:A,0)),
IF(ISERROR(MATCH(D559,'Ist Aktuell Monat 02'!A:A,0))=FALSE,INDEX('Ist Aktuell Monat 02'!B:B,MATCH(D559,'Ist Aktuell Monat 02'!A:A,0)),
IF(ISERROR(MATCH(D559,'Ist Aktuell Monat 03'!A:A,0))=FALSE,INDEX('Ist Aktuell Monat 03'!B:B,MATCH(D559,'Ist Aktuell Monat 03'!A:A,0)),
IF(ISERROR(MATCH(D559,'Ist Aktuell Monat 04'!A:A,0))=FALSE,INDEX('Ist Aktuell Monat 04'!B:B,MATCH(D559,'Ist Aktuell Monat 04'!A:A,0)),
IF(ISERROR(MATCH(D559,'Ist Aktuell Monat 05'!A:A,0))=FALSE,INDEX('Ist Aktuell Monat 05'!B:B,MATCH(D559,'Ist Aktuell Monat 05'!A:A,0)),
IF(ISERROR(MATCH(D559,'Ist Aktuell Monat 06'!A:A,0))=FALSE,INDEX('Ist Aktuell Monat 06'!B:B,MATCH(D559,'Ist Aktuell Monat 06'!A:A,0)),
IF(ISERROR(MATCH(D559,'Ist Aktuell Monat 07'!A:A,0))=FALSE,INDEX('Ist Aktuell Monat 07'!B:B,MATCH(D559,'Ist Aktuell Monat 07'!A:A,0)),
IF(ISERROR(MATCH(D559,'Ist Aktuell Monat 08'!A:A,0))=FALSE,INDEX('Ist Aktuell Monat 08'!B:B,MATCH(D559,'Ist Aktuell Monat 08'!A:A,0)),
IF(ISERROR(MATCH(D559,'Ist Aktuell Monat 09'!A:A,0))=FALSE,INDEX('Ist Aktuell Monat 09'!B:B,MATCH(D559,'Ist Aktuell Monat 09'!A:A,0)),
IF(ISERROR(MATCH(D559,'Ist Aktuell Monat 10'!A:A,0))=FALSE,INDEX('Ist Aktuell Monat 10'!B:B,MATCH(D559,'Ist Aktuell Monat 10'!A:A,0)),
IF(ISERROR(MATCH(D559,'Ist Aktuell Monat 11'!A:A,0))=FALSE,INDEX('Ist Aktuell Monat 11'!B:B,MATCH(D559,'Ist Aktuell Monat 11'!A:A,0)),
IF(ISERROR(MATCH(D559,'Ist Aktuell Monat 12'!A:A,0))=FALSE,INDEX('Ist Aktuell Monat 12'!B:B,MATCH(D559,'Ist Aktuell Monat 12'!A:A,0)),
"{Konto unbekannt}"
)))))))))))),"")</f>
        <v/>
      </c>
      <c r="C559" s="1062"/>
      <c r="D559" s="1067"/>
      <c r="E559" s="625">
        <f t="shared" si="727"/>
        <v>-1</v>
      </c>
      <c r="F559" s="626" t="s">
        <v>996</v>
      </c>
      <c r="G559" s="593">
        <f ca="1">$E559*SUMIF(INDIRECT(G$3),'Struktur Aktuell'!$D559,INDIRECT(G$8))</f>
        <v>0</v>
      </c>
      <c r="H559" s="593">
        <f ca="1">$E559*SUMIF(INDIRECT(H$3),'Struktur Aktuell'!$D559,INDIRECT(H$8))</f>
        <v>0</v>
      </c>
      <c r="I559" s="593">
        <f ca="1">$E559*SUMIF(INDIRECT(I$3),'Struktur Aktuell'!$D559,INDIRECT(I$8))</f>
        <v>0</v>
      </c>
      <c r="J559" s="593">
        <f ca="1">$E559*SUMIF(INDIRECT(J$3),'Struktur Aktuell'!$D559,INDIRECT(J$8))</f>
        <v>0</v>
      </c>
      <c r="K559" s="593">
        <f ca="1">$E559*SUMIF(INDIRECT(K$3),'Struktur Aktuell'!$D559,INDIRECT(K$8))</f>
        <v>0</v>
      </c>
      <c r="L559" s="593">
        <f ca="1">$E559*SUMIF(INDIRECT(L$3),'Struktur Aktuell'!$D559,INDIRECT(L$8))</f>
        <v>0</v>
      </c>
      <c r="M559" s="593">
        <f ca="1">$E559*SUMIF(INDIRECT(M$3),'Struktur Aktuell'!$D559,INDIRECT(M$8))</f>
        <v>0</v>
      </c>
      <c r="N559" s="593">
        <f ca="1">$E559*SUMIF(INDIRECT(N$3),'Struktur Aktuell'!$D559,INDIRECT(N$8))</f>
        <v>0</v>
      </c>
      <c r="O559" s="593">
        <f ca="1">$E559*SUMIF(INDIRECT(O$3),'Struktur Aktuell'!$D559,INDIRECT(O$8))</f>
        <v>0</v>
      </c>
      <c r="P559" s="593">
        <f ca="1">$E559*SUMIF(INDIRECT(P$3),'Struktur Aktuell'!$D559,INDIRECT(P$8))</f>
        <v>0</v>
      </c>
      <c r="Q559" s="593">
        <f ca="1">$E559*SUMIF(INDIRECT(Q$3),'Struktur Aktuell'!$D559,INDIRECT(Q$8))</f>
        <v>0</v>
      </c>
      <c r="R559" s="593">
        <f ca="1">$E559*SUMIF(INDIRECT(R$3),'Struktur Aktuell'!$D559,INDIRECT(R$8))</f>
        <v>0</v>
      </c>
      <c r="S559" s="593" t="e">
        <f ca="1">$E559*SUMIF(INDIRECT(S$3),'Struktur Aktuell'!$D559,INDIRECT(S$8))</f>
        <v>#REF!</v>
      </c>
      <c r="T559" s="593" t="e">
        <f ca="1">$E559*SUMIF(INDIRECT(T$3),'Struktur Aktuell'!$D559,INDIRECT(T$8))</f>
        <v>#REF!</v>
      </c>
      <c r="U559" s="593" t="e">
        <f ca="1">$E559*SUMIF(INDIRECT(U$3),'Struktur Aktuell'!$D559,INDIRECT(U$8))</f>
        <v>#REF!</v>
      </c>
      <c r="V559" s="593" t="e">
        <f ca="1">$E559*SUMIF(INDIRECT(V$3),'Struktur Aktuell'!$D559,INDIRECT(V$8))</f>
        <v>#REF!</v>
      </c>
      <c r="W559" s="593" t="e">
        <f ca="1">$E559*SUMIF(INDIRECT(W$3),'Struktur Aktuell'!$D559,INDIRECT(W$8))</f>
        <v>#REF!</v>
      </c>
      <c r="X559" s="593" t="e">
        <f ca="1">$E559*SUMIF(INDIRECT(X$3),'Struktur Aktuell'!$D559,INDIRECT(X$8))</f>
        <v>#REF!</v>
      </c>
      <c r="Y559" s="593" t="e">
        <f ca="1">$E559*SUMIF(INDIRECT(Y$3),'Struktur Aktuell'!$D559,INDIRECT(Y$8))</f>
        <v>#REF!</v>
      </c>
      <c r="Z559" s="593" t="e">
        <f ca="1">$E559*SUMIF(INDIRECT(Z$3),'Struktur Aktuell'!$D559,INDIRECT(Z$8))</f>
        <v>#REF!</v>
      </c>
      <c r="AA559" s="593" t="e">
        <f ca="1">$E559*SUMIF(INDIRECT(AA$3),'Struktur Aktuell'!$D559,INDIRECT(AA$8))</f>
        <v>#REF!</v>
      </c>
      <c r="AB559" s="593" t="e">
        <f ca="1">$E559*SUMIF(INDIRECT(AB$3),'Struktur Aktuell'!$D559,INDIRECT(AB$8))</f>
        <v>#REF!</v>
      </c>
      <c r="AC559" s="593" t="e">
        <f ca="1">$E559*SUMIF(INDIRECT(AC$3),'Struktur Aktuell'!$D559,INDIRECT(AC$8))</f>
        <v>#REF!</v>
      </c>
      <c r="AD559" s="593" t="e">
        <f ca="1">$E559*SUMIF(INDIRECT(AD$3),'Struktur Aktuell'!$D559,INDIRECT(AD$8))</f>
        <v>#REF!</v>
      </c>
      <c r="AE559" s="593">
        <f t="shared" ca="1" si="849"/>
        <v>0</v>
      </c>
      <c r="AF559" s="593">
        <f t="shared" ca="1" si="850"/>
        <v>0</v>
      </c>
      <c r="AG559" s="593">
        <f t="shared" ca="1" si="851"/>
        <v>0</v>
      </c>
      <c r="AH559" s="593">
        <f t="shared" ca="1" si="852"/>
        <v>0</v>
      </c>
      <c r="AI559" s="593">
        <f t="shared" ca="1" si="853"/>
        <v>0</v>
      </c>
      <c r="AJ559" s="593">
        <f t="shared" ca="1" si="854"/>
        <v>0</v>
      </c>
      <c r="AK559" s="593">
        <f t="shared" ca="1" si="855"/>
        <v>0</v>
      </c>
      <c r="AL559" s="593">
        <f t="shared" ca="1" si="856"/>
        <v>0</v>
      </c>
      <c r="AM559" s="593">
        <f t="shared" ca="1" si="857"/>
        <v>0</v>
      </c>
      <c r="AN559" s="593">
        <f t="shared" ca="1" si="858"/>
        <v>0</v>
      </c>
      <c r="AO559" s="593">
        <f t="shared" ca="1" si="859"/>
        <v>0</v>
      </c>
      <c r="AP559" s="593">
        <f t="shared" ca="1" si="860"/>
        <v>0</v>
      </c>
    </row>
    <row r="560" spans="1:42" s="594" customFormat="1" ht="11.25" outlineLevel="1" x14ac:dyDescent="0.2">
      <c r="A560" s="644"/>
      <c r="B560" s="591" t="str">
        <f>IF(D560&lt;&gt;"",
IF(ISERROR(MATCH(D560,'Ist Aktuell Monat 01'!A:A,0))=FALSE,INDEX('Ist Aktuell Monat 01'!B:B,MATCH(D560,'Ist Aktuell Monat 01'!A:A,0)),
IF(ISERROR(MATCH(D560,'Ist Aktuell Monat 02'!A:A,0))=FALSE,INDEX('Ist Aktuell Monat 02'!B:B,MATCH(D560,'Ist Aktuell Monat 02'!A:A,0)),
IF(ISERROR(MATCH(D560,'Ist Aktuell Monat 03'!A:A,0))=FALSE,INDEX('Ist Aktuell Monat 03'!B:B,MATCH(D560,'Ist Aktuell Monat 03'!A:A,0)),
IF(ISERROR(MATCH(D560,'Ist Aktuell Monat 04'!A:A,0))=FALSE,INDEX('Ist Aktuell Monat 04'!B:B,MATCH(D560,'Ist Aktuell Monat 04'!A:A,0)),
IF(ISERROR(MATCH(D560,'Ist Aktuell Monat 05'!A:A,0))=FALSE,INDEX('Ist Aktuell Monat 05'!B:B,MATCH(D560,'Ist Aktuell Monat 05'!A:A,0)),
IF(ISERROR(MATCH(D560,'Ist Aktuell Monat 06'!A:A,0))=FALSE,INDEX('Ist Aktuell Monat 06'!B:B,MATCH(D560,'Ist Aktuell Monat 06'!A:A,0)),
IF(ISERROR(MATCH(D560,'Ist Aktuell Monat 07'!A:A,0))=FALSE,INDEX('Ist Aktuell Monat 07'!B:B,MATCH(D560,'Ist Aktuell Monat 07'!A:A,0)),
IF(ISERROR(MATCH(D560,'Ist Aktuell Monat 08'!A:A,0))=FALSE,INDEX('Ist Aktuell Monat 08'!B:B,MATCH(D560,'Ist Aktuell Monat 08'!A:A,0)),
IF(ISERROR(MATCH(D560,'Ist Aktuell Monat 09'!A:A,0))=FALSE,INDEX('Ist Aktuell Monat 09'!B:B,MATCH(D560,'Ist Aktuell Monat 09'!A:A,0)),
IF(ISERROR(MATCH(D560,'Ist Aktuell Monat 10'!A:A,0))=FALSE,INDEX('Ist Aktuell Monat 10'!B:B,MATCH(D560,'Ist Aktuell Monat 10'!A:A,0)),
IF(ISERROR(MATCH(D560,'Ist Aktuell Monat 11'!A:A,0))=FALSE,INDEX('Ist Aktuell Monat 11'!B:B,MATCH(D560,'Ist Aktuell Monat 11'!A:A,0)),
IF(ISERROR(MATCH(D560,'Ist Aktuell Monat 12'!A:A,0))=FALSE,INDEX('Ist Aktuell Monat 12'!B:B,MATCH(D560,'Ist Aktuell Monat 12'!A:A,0)),
"{Konto unbekannt}"
)))))))))))),"")</f>
        <v/>
      </c>
      <c r="C560" s="1062"/>
      <c r="D560" s="1067"/>
      <c r="E560" s="625">
        <f t="shared" si="727"/>
        <v>1</v>
      </c>
      <c r="F560" s="626"/>
      <c r="G560" s="593">
        <f ca="1">$E560*SUMIF(INDIRECT(G$3),'Struktur Aktuell'!$D560,INDIRECT(G$8))</f>
        <v>0</v>
      </c>
      <c r="H560" s="593">
        <f ca="1">$E560*SUMIF(INDIRECT(H$3),'Struktur Aktuell'!$D560,INDIRECT(H$8))</f>
        <v>0</v>
      </c>
      <c r="I560" s="593">
        <f ca="1">$E560*SUMIF(INDIRECT(I$3),'Struktur Aktuell'!$D560,INDIRECT(I$8))</f>
        <v>0</v>
      </c>
      <c r="J560" s="593">
        <f ca="1">$E560*SUMIF(INDIRECT(J$3),'Struktur Aktuell'!$D560,INDIRECT(J$8))</f>
        <v>0</v>
      </c>
      <c r="K560" s="593">
        <f ca="1">$E560*SUMIF(INDIRECT(K$3),'Struktur Aktuell'!$D560,INDIRECT(K$8))</f>
        <v>0</v>
      </c>
      <c r="L560" s="593">
        <f ca="1">$E560*SUMIF(INDIRECT(L$3),'Struktur Aktuell'!$D560,INDIRECT(L$8))</f>
        <v>0</v>
      </c>
      <c r="M560" s="593">
        <f ca="1">$E560*SUMIF(INDIRECT(M$3),'Struktur Aktuell'!$D560,INDIRECT(M$8))</f>
        <v>0</v>
      </c>
      <c r="N560" s="593">
        <f ca="1">$E560*SUMIF(INDIRECT(N$3),'Struktur Aktuell'!$D560,INDIRECT(N$8))</f>
        <v>0</v>
      </c>
      <c r="O560" s="593">
        <f ca="1">$E560*SUMIF(INDIRECT(O$3),'Struktur Aktuell'!$D560,INDIRECT(O$8))</f>
        <v>0</v>
      </c>
      <c r="P560" s="593">
        <f ca="1">$E560*SUMIF(INDIRECT(P$3),'Struktur Aktuell'!$D560,INDIRECT(P$8))</f>
        <v>0</v>
      </c>
      <c r="Q560" s="593">
        <f ca="1">$E560*SUMIF(INDIRECT(Q$3),'Struktur Aktuell'!$D560,INDIRECT(Q$8))</f>
        <v>0</v>
      </c>
      <c r="R560" s="593">
        <f ca="1">$E560*SUMIF(INDIRECT(R$3),'Struktur Aktuell'!$D560,INDIRECT(R$8))</f>
        <v>0</v>
      </c>
      <c r="S560" s="593" t="e">
        <f ca="1">$E560*SUMIF(INDIRECT(S$3),'Struktur Aktuell'!$D560,INDIRECT(S$8))</f>
        <v>#REF!</v>
      </c>
      <c r="T560" s="593" t="e">
        <f ca="1">$E560*SUMIF(INDIRECT(T$3),'Struktur Aktuell'!$D560,INDIRECT(T$8))</f>
        <v>#REF!</v>
      </c>
      <c r="U560" s="593" t="e">
        <f ca="1">$E560*SUMIF(INDIRECT(U$3),'Struktur Aktuell'!$D560,INDIRECT(U$8))</f>
        <v>#REF!</v>
      </c>
      <c r="V560" s="593" t="e">
        <f ca="1">$E560*SUMIF(INDIRECT(V$3),'Struktur Aktuell'!$D560,INDIRECT(V$8))</f>
        <v>#REF!</v>
      </c>
      <c r="W560" s="593" t="e">
        <f ca="1">$E560*SUMIF(INDIRECT(W$3),'Struktur Aktuell'!$D560,INDIRECT(W$8))</f>
        <v>#REF!</v>
      </c>
      <c r="X560" s="593" t="e">
        <f ca="1">$E560*SUMIF(INDIRECT(X$3),'Struktur Aktuell'!$D560,INDIRECT(X$8))</f>
        <v>#REF!</v>
      </c>
      <c r="Y560" s="593" t="e">
        <f ca="1">$E560*SUMIF(INDIRECT(Y$3),'Struktur Aktuell'!$D560,INDIRECT(Y$8))</f>
        <v>#REF!</v>
      </c>
      <c r="Z560" s="593" t="e">
        <f ca="1">$E560*SUMIF(INDIRECT(Z$3),'Struktur Aktuell'!$D560,INDIRECT(Z$8))</f>
        <v>#REF!</v>
      </c>
      <c r="AA560" s="593" t="e">
        <f ca="1">$E560*SUMIF(INDIRECT(AA$3),'Struktur Aktuell'!$D560,INDIRECT(AA$8))</f>
        <v>#REF!</v>
      </c>
      <c r="AB560" s="593" t="e">
        <f ca="1">$E560*SUMIF(INDIRECT(AB$3),'Struktur Aktuell'!$D560,INDIRECT(AB$8))</f>
        <v>#REF!</v>
      </c>
      <c r="AC560" s="593" t="e">
        <f ca="1">$E560*SUMIF(INDIRECT(AC$3),'Struktur Aktuell'!$D560,INDIRECT(AC$8))</f>
        <v>#REF!</v>
      </c>
      <c r="AD560" s="593" t="e">
        <f ca="1">$E560*SUMIF(INDIRECT(AD$3),'Struktur Aktuell'!$D560,INDIRECT(AD$8))</f>
        <v>#REF!</v>
      </c>
      <c r="AE560" s="593">
        <f t="shared" ca="1" si="849"/>
        <v>0</v>
      </c>
      <c r="AF560" s="593">
        <f t="shared" ca="1" si="850"/>
        <v>0</v>
      </c>
      <c r="AG560" s="593">
        <f t="shared" ca="1" si="851"/>
        <v>0</v>
      </c>
      <c r="AH560" s="593">
        <f t="shared" ca="1" si="852"/>
        <v>0</v>
      </c>
      <c r="AI560" s="593">
        <f t="shared" ca="1" si="853"/>
        <v>0</v>
      </c>
      <c r="AJ560" s="593">
        <f t="shared" ca="1" si="854"/>
        <v>0</v>
      </c>
      <c r="AK560" s="593">
        <f t="shared" ca="1" si="855"/>
        <v>0</v>
      </c>
      <c r="AL560" s="593">
        <f t="shared" ca="1" si="856"/>
        <v>0</v>
      </c>
      <c r="AM560" s="593">
        <f t="shared" ca="1" si="857"/>
        <v>0</v>
      </c>
      <c r="AN560" s="593">
        <f t="shared" ca="1" si="858"/>
        <v>0</v>
      </c>
      <c r="AO560" s="593">
        <f t="shared" ca="1" si="859"/>
        <v>0</v>
      </c>
      <c r="AP560" s="593">
        <f t="shared" ca="1" si="860"/>
        <v>0</v>
      </c>
    </row>
    <row r="561" spans="1:42" s="589" customFormat="1" outlineLevel="1" x14ac:dyDescent="0.2">
      <c r="A561" s="629">
        <v>51</v>
      </c>
      <c r="B561" s="623" t="s">
        <v>401</v>
      </c>
      <c r="C561" s="627">
        <f ca="1">SUM(G561:R561)</f>
        <v>0</v>
      </c>
      <c r="D561" s="627"/>
      <c r="E561" s="628">
        <f t="shared" si="727"/>
        <v>1</v>
      </c>
      <c r="F561" s="628"/>
      <c r="G561" s="627">
        <f t="shared" ref="G561:R561" ca="1" si="861">SUM(G562:G564)</f>
        <v>0</v>
      </c>
      <c r="H561" s="627">
        <f t="shared" ca="1" si="861"/>
        <v>0</v>
      </c>
      <c r="I561" s="627">
        <f t="shared" ca="1" si="861"/>
        <v>0</v>
      </c>
      <c r="J561" s="627">
        <f t="shared" ca="1" si="861"/>
        <v>0</v>
      </c>
      <c r="K561" s="627">
        <f t="shared" ca="1" si="861"/>
        <v>0</v>
      </c>
      <c r="L561" s="627">
        <f t="shared" ca="1" si="861"/>
        <v>0</v>
      </c>
      <c r="M561" s="627">
        <f t="shared" ca="1" si="861"/>
        <v>0</v>
      </c>
      <c r="N561" s="627">
        <f t="shared" ca="1" si="861"/>
        <v>0</v>
      </c>
      <c r="O561" s="627">
        <f t="shared" ca="1" si="861"/>
        <v>0</v>
      </c>
      <c r="P561" s="627">
        <f t="shared" ca="1" si="861"/>
        <v>0</v>
      </c>
      <c r="Q561" s="627">
        <f t="shared" ca="1" si="861"/>
        <v>0</v>
      </c>
      <c r="R561" s="627">
        <f t="shared" ca="1" si="861"/>
        <v>0</v>
      </c>
      <c r="S561" s="627" t="e">
        <f t="shared" ref="S561:AP561" ca="1" si="862">SUM(S562:S564)</f>
        <v>#REF!</v>
      </c>
      <c r="T561" s="627" t="e">
        <f t="shared" ca="1" si="862"/>
        <v>#REF!</v>
      </c>
      <c r="U561" s="627" t="e">
        <f t="shared" ca="1" si="862"/>
        <v>#REF!</v>
      </c>
      <c r="V561" s="627" t="e">
        <f t="shared" ca="1" si="862"/>
        <v>#REF!</v>
      </c>
      <c r="W561" s="627" t="e">
        <f t="shared" ca="1" si="862"/>
        <v>#REF!</v>
      </c>
      <c r="X561" s="627" t="e">
        <f t="shared" ca="1" si="862"/>
        <v>#REF!</v>
      </c>
      <c r="Y561" s="627" t="e">
        <f t="shared" ca="1" si="862"/>
        <v>#REF!</v>
      </c>
      <c r="Z561" s="627" t="e">
        <f t="shared" ca="1" si="862"/>
        <v>#REF!</v>
      </c>
      <c r="AA561" s="627" t="e">
        <f t="shared" ca="1" si="862"/>
        <v>#REF!</v>
      </c>
      <c r="AB561" s="627" t="e">
        <f t="shared" ca="1" si="862"/>
        <v>#REF!</v>
      </c>
      <c r="AC561" s="627" t="e">
        <f t="shared" ca="1" si="862"/>
        <v>#REF!</v>
      </c>
      <c r="AD561" s="627" t="e">
        <f t="shared" ca="1" si="862"/>
        <v>#REF!</v>
      </c>
      <c r="AE561" s="627">
        <f t="shared" ca="1" si="862"/>
        <v>0</v>
      </c>
      <c r="AF561" s="627">
        <f t="shared" ca="1" si="862"/>
        <v>0</v>
      </c>
      <c r="AG561" s="627">
        <f t="shared" ca="1" si="862"/>
        <v>0</v>
      </c>
      <c r="AH561" s="627">
        <f t="shared" ca="1" si="862"/>
        <v>0</v>
      </c>
      <c r="AI561" s="627">
        <f t="shared" ca="1" si="862"/>
        <v>0</v>
      </c>
      <c r="AJ561" s="627">
        <f t="shared" ca="1" si="862"/>
        <v>0</v>
      </c>
      <c r="AK561" s="627">
        <f t="shared" ca="1" si="862"/>
        <v>0</v>
      </c>
      <c r="AL561" s="627">
        <f t="shared" ca="1" si="862"/>
        <v>0</v>
      </c>
      <c r="AM561" s="627">
        <f t="shared" ca="1" si="862"/>
        <v>0</v>
      </c>
      <c r="AN561" s="627">
        <f t="shared" ca="1" si="862"/>
        <v>0</v>
      </c>
      <c r="AO561" s="627">
        <f t="shared" ca="1" si="862"/>
        <v>0</v>
      </c>
      <c r="AP561" s="627">
        <f t="shared" ca="1" si="862"/>
        <v>0</v>
      </c>
    </row>
    <row r="562" spans="1:42" s="594" customFormat="1" ht="11.25" outlineLevel="1" x14ac:dyDescent="0.2">
      <c r="A562" s="644"/>
      <c r="B562" s="591" t="str">
        <f>IF(D562&lt;&gt;"",
IF(ISERROR(MATCH(D562,'Ist Aktuell Monat 01'!A:A,0))=FALSE,INDEX('Ist Aktuell Monat 01'!B:B,MATCH(D562,'Ist Aktuell Monat 01'!A:A,0)),
IF(ISERROR(MATCH(D562,'Ist Aktuell Monat 02'!A:A,0))=FALSE,INDEX('Ist Aktuell Monat 02'!B:B,MATCH(D562,'Ist Aktuell Monat 02'!A:A,0)),
IF(ISERROR(MATCH(D562,'Ist Aktuell Monat 03'!A:A,0))=FALSE,INDEX('Ist Aktuell Monat 03'!B:B,MATCH(D562,'Ist Aktuell Monat 03'!A:A,0)),
IF(ISERROR(MATCH(D562,'Ist Aktuell Monat 04'!A:A,0))=FALSE,INDEX('Ist Aktuell Monat 04'!B:B,MATCH(D562,'Ist Aktuell Monat 04'!A:A,0)),
IF(ISERROR(MATCH(D562,'Ist Aktuell Monat 05'!A:A,0))=FALSE,INDEX('Ist Aktuell Monat 05'!B:B,MATCH(D562,'Ist Aktuell Monat 05'!A:A,0)),
IF(ISERROR(MATCH(D562,'Ist Aktuell Monat 06'!A:A,0))=FALSE,INDEX('Ist Aktuell Monat 06'!B:B,MATCH(D562,'Ist Aktuell Monat 06'!A:A,0)),
IF(ISERROR(MATCH(D562,'Ist Aktuell Monat 07'!A:A,0))=FALSE,INDEX('Ist Aktuell Monat 07'!B:B,MATCH(D562,'Ist Aktuell Monat 07'!A:A,0)),
IF(ISERROR(MATCH(D562,'Ist Aktuell Monat 08'!A:A,0))=FALSE,INDEX('Ist Aktuell Monat 08'!B:B,MATCH(D562,'Ist Aktuell Monat 08'!A:A,0)),
IF(ISERROR(MATCH(D562,'Ist Aktuell Monat 09'!A:A,0))=FALSE,INDEX('Ist Aktuell Monat 09'!B:B,MATCH(D562,'Ist Aktuell Monat 09'!A:A,0)),
IF(ISERROR(MATCH(D562,'Ist Aktuell Monat 10'!A:A,0))=FALSE,INDEX('Ist Aktuell Monat 10'!B:B,MATCH(D562,'Ist Aktuell Monat 10'!A:A,0)),
IF(ISERROR(MATCH(D562,'Ist Aktuell Monat 11'!A:A,0))=FALSE,INDEX('Ist Aktuell Monat 11'!B:B,MATCH(D562,'Ist Aktuell Monat 11'!A:A,0)),
IF(ISERROR(MATCH(D562,'Ist Aktuell Monat 12'!A:A,0))=FALSE,INDEX('Ist Aktuell Monat 12'!B:B,MATCH(D562,'Ist Aktuell Monat 12'!A:A,0)),
"{Konto unbekannt}"
)))))))))))),"")</f>
        <v>Sonstige Vermögensgegenstände</v>
      </c>
      <c r="C562" s="1062"/>
      <c r="D562" s="1067">
        <v>1500</v>
      </c>
      <c r="E562" s="625">
        <f t="shared" si="727"/>
        <v>1</v>
      </c>
      <c r="F562" s="626"/>
      <c r="G562" s="593">
        <f ca="1">$E562*SUMIF(INDIRECT(G$3),'Struktur Aktuell'!$D562,INDIRECT(G$8))*IFERROR(IF(VLOOKUP('Struktur Aktuell'!$D562,INDIRECT(G$6),8,)="H",-1,1),0)</f>
        <v>0</v>
      </c>
      <c r="H562" s="593">
        <f ca="1">$E562*SUMIF(INDIRECT(H$3),'Struktur Aktuell'!$D562,INDIRECT(H$8))*IFERROR(IF(VLOOKUP('Struktur Aktuell'!$D562,INDIRECT(H$6),8,)="H",-1,1),0)</f>
        <v>0</v>
      </c>
      <c r="I562" s="593">
        <f ca="1">$E562*SUMIF(INDIRECT(I$3),'Struktur Aktuell'!$D562,INDIRECT(I$8))*IFERROR(IF(VLOOKUP('Struktur Aktuell'!$D562,INDIRECT(I$6),8,)="H",-1,1),0)</f>
        <v>0</v>
      </c>
      <c r="J562" s="593">
        <f ca="1">$E562*SUMIF(INDIRECT(J$3),'Struktur Aktuell'!$D562,INDIRECT(J$8))*IFERROR(IF(VLOOKUP('Struktur Aktuell'!$D562,INDIRECT(J$6),8,)="H",-1,1),0)</f>
        <v>0</v>
      </c>
      <c r="K562" s="593">
        <f ca="1">$E562*SUMIF(INDIRECT(K$3),'Struktur Aktuell'!$D562,INDIRECT(K$8))*IFERROR(IF(VLOOKUP('Struktur Aktuell'!$D562,INDIRECT(K$6),8,)="H",-1,1),0)</f>
        <v>0</v>
      </c>
      <c r="L562" s="593">
        <f ca="1">$E562*SUMIF(INDIRECT(L$3),'Struktur Aktuell'!$D562,INDIRECT(L$8))*IFERROR(IF(VLOOKUP('Struktur Aktuell'!$D562,INDIRECT(L$6),8,)="H",-1,1),0)</f>
        <v>0</v>
      </c>
      <c r="M562" s="593">
        <f ca="1">$E562*SUMIF(INDIRECT(M$3),'Struktur Aktuell'!$D562,INDIRECT(M$8))*IFERROR(IF(VLOOKUP('Struktur Aktuell'!$D562,INDIRECT(M$6),8,)="H",-1,1),0)</f>
        <v>0</v>
      </c>
      <c r="N562" s="593">
        <f ca="1">$E562*SUMIF(INDIRECT(N$3),'Struktur Aktuell'!$D562,INDIRECT(N$8))*IFERROR(IF(VLOOKUP('Struktur Aktuell'!$D562,INDIRECT(N$6),8,)="H",-1,1),0)</f>
        <v>0</v>
      </c>
      <c r="O562" s="593">
        <f ca="1">$E562*SUMIF(INDIRECT(O$3),'Struktur Aktuell'!$D562,INDIRECT(O$8))*IFERROR(IF(VLOOKUP('Struktur Aktuell'!$D562,INDIRECT(O$6),8,)="H",-1,1),0)</f>
        <v>0</v>
      </c>
      <c r="P562" s="593">
        <f ca="1">$E562*SUMIF(INDIRECT(P$3),'Struktur Aktuell'!$D562,INDIRECT(P$8))*IFERROR(IF(VLOOKUP('Struktur Aktuell'!$D562,INDIRECT(P$6),8,)="H",-1,1),0)</f>
        <v>0</v>
      </c>
      <c r="Q562" s="593">
        <f ca="1">$E562*SUMIF(INDIRECT(Q$3),'Struktur Aktuell'!$D562,INDIRECT(Q$8))*IFERROR(IF(VLOOKUP('Struktur Aktuell'!$D562,INDIRECT(Q$6),8,)="H",-1,1),0)</f>
        <v>0</v>
      </c>
      <c r="R562" s="593">
        <f ca="1">$E562*SUMIF(INDIRECT(R$3),'Struktur Aktuell'!$D562,INDIRECT(R$8))*IFERROR(IF(VLOOKUP('Struktur Aktuell'!$D562,INDIRECT(R$6),8,)="H",-1,1),0)</f>
        <v>0</v>
      </c>
      <c r="S562" s="593" t="e">
        <f ca="1">$E562*SUMIF(INDIRECT(S$3),'Struktur Aktuell'!$D562,INDIRECT(S$8))*IFERROR(IF(VLOOKUP('Struktur Aktuell'!$D562,INDIRECT(S$6),8,)="H",-1,1),0)</f>
        <v>#REF!</v>
      </c>
      <c r="T562" s="593" t="e">
        <f ca="1">$E562*SUMIF(INDIRECT(T$3),'Struktur Aktuell'!$D562,INDIRECT(T$8))*IFERROR(IF(VLOOKUP('Struktur Aktuell'!$D562,INDIRECT(T$6),8,)="H",-1,1),0)</f>
        <v>#REF!</v>
      </c>
      <c r="U562" s="593" t="e">
        <f ca="1">$E562*SUMIF(INDIRECT(U$3),'Struktur Aktuell'!$D562,INDIRECT(U$8))*IFERROR(IF(VLOOKUP('Struktur Aktuell'!$D562,INDIRECT(U$6),8,)="H",-1,1),0)</f>
        <v>#REF!</v>
      </c>
      <c r="V562" s="593" t="e">
        <f ca="1">$E562*SUMIF(INDIRECT(V$3),'Struktur Aktuell'!$D562,INDIRECT(V$8))*IFERROR(IF(VLOOKUP('Struktur Aktuell'!$D562,INDIRECT(V$6),8,)="H",-1,1),0)</f>
        <v>#REF!</v>
      </c>
      <c r="W562" s="593" t="e">
        <f ca="1">$E562*SUMIF(INDIRECT(W$3),'Struktur Aktuell'!$D562,INDIRECT(W$8))*IFERROR(IF(VLOOKUP('Struktur Aktuell'!$D562,INDIRECT(W$6),8,)="H",-1,1),0)</f>
        <v>#REF!</v>
      </c>
      <c r="X562" s="593" t="e">
        <f ca="1">$E562*SUMIF(INDIRECT(X$3),'Struktur Aktuell'!$D562,INDIRECT(X$8))*IFERROR(IF(VLOOKUP('Struktur Aktuell'!$D562,INDIRECT(X$6),8,)="H",-1,1),0)</f>
        <v>#REF!</v>
      </c>
      <c r="Y562" s="593" t="e">
        <f ca="1">$E562*SUMIF(INDIRECT(Y$3),'Struktur Aktuell'!$D562,INDIRECT(Y$8))*IFERROR(IF(VLOOKUP('Struktur Aktuell'!$D562,INDIRECT(Y$6),8,)="H",-1,1),0)</f>
        <v>#REF!</v>
      </c>
      <c r="Z562" s="593" t="e">
        <f ca="1">$E562*SUMIF(INDIRECT(Z$3),'Struktur Aktuell'!$D562,INDIRECT(Z$8))*IFERROR(IF(VLOOKUP('Struktur Aktuell'!$D562,INDIRECT(Z$6),8,)="H",-1,1),0)</f>
        <v>#REF!</v>
      </c>
      <c r="AA562" s="593" t="e">
        <f ca="1">$E562*SUMIF(INDIRECT(AA$3),'Struktur Aktuell'!$D562,INDIRECT(AA$8))*IFERROR(IF(VLOOKUP('Struktur Aktuell'!$D562,INDIRECT(AA$6),8,)="H",-1,1),0)</f>
        <v>#REF!</v>
      </c>
      <c r="AB562" s="593" t="e">
        <f ca="1">$E562*SUMIF(INDIRECT(AB$3),'Struktur Aktuell'!$D562,INDIRECT(AB$8))*IFERROR(IF(VLOOKUP('Struktur Aktuell'!$D562,INDIRECT(AB$6),8,)="H",-1,1),0)</f>
        <v>#REF!</v>
      </c>
      <c r="AC562" s="593" t="e">
        <f ca="1">$E562*SUMIF(INDIRECT(AC$3),'Struktur Aktuell'!$D562,INDIRECT(AC$8))*IFERROR(IF(VLOOKUP('Struktur Aktuell'!$D562,INDIRECT(AC$6),8,)="H",-1,1),0)</f>
        <v>#REF!</v>
      </c>
      <c r="AD562" s="593" t="e">
        <f ca="1">$E562*SUMIF(INDIRECT(AD$3),'Struktur Aktuell'!$D562,INDIRECT(AD$8))*IFERROR(IF(VLOOKUP('Struktur Aktuell'!$D562,INDIRECT(AD$6),8,)="H",-1,1),0)</f>
        <v>#REF!</v>
      </c>
      <c r="AE562" s="593">
        <f t="shared" ref="AE562:AE564" ca="1" si="863">G562</f>
        <v>0</v>
      </c>
      <c r="AF562" s="593">
        <f t="shared" ref="AF562:AF564" ca="1" si="864">H562+AE562</f>
        <v>0</v>
      </c>
      <c r="AG562" s="593">
        <f t="shared" ref="AG562:AG564" ca="1" si="865">I562+AF562</f>
        <v>0</v>
      </c>
      <c r="AH562" s="593">
        <f t="shared" ref="AH562:AH564" ca="1" si="866">J562+AG562</f>
        <v>0</v>
      </c>
      <c r="AI562" s="593">
        <f t="shared" ref="AI562:AI564" ca="1" si="867">K562+AH562</f>
        <v>0</v>
      </c>
      <c r="AJ562" s="593">
        <f t="shared" ref="AJ562:AJ564" ca="1" si="868">L562+AI562</f>
        <v>0</v>
      </c>
      <c r="AK562" s="593">
        <f t="shared" ref="AK562:AK564" ca="1" si="869">M562+AJ562</f>
        <v>0</v>
      </c>
      <c r="AL562" s="593">
        <f t="shared" ref="AL562:AL564" ca="1" si="870">N562+AK562</f>
        <v>0</v>
      </c>
      <c r="AM562" s="593">
        <f t="shared" ref="AM562:AM564" ca="1" si="871">O562+AL562</f>
        <v>0</v>
      </c>
      <c r="AN562" s="593">
        <f t="shared" ref="AN562:AN564" ca="1" si="872">P562+AM562</f>
        <v>0</v>
      </c>
      <c r="AO562" s="593">
        <f t="shared" ref="AO562:AO564" ca="1" si="873">Q562+AN562</f>
        <v>0</v>
      </c>
      <c r="AP562" s="593">
        <f t="shared" ref="AP562:AP564" ca="1" si="874">R562+AO562</f>
        <v>0</v>
      </c>
    </row>
    <row r="563" spans="1:42" s="594" customFormat="1" ht="11.25" outlineLevel="1" x14ac:dyDescent="0.2">
      <c r="A563" s="644"/>
      <c r="B563" s="591" t="str">
        <f>IF(D563&lt;&gt;"",
IF(ISERROR(MATCH(D563,'Ist Aktuell Monat 01'!A:A,0))=FALSE,INDEX('Ist Aktuell Monat 01'!B:B,MATCH(D563,'Ist Aktuell Monat 01'!A:A,0)),
IF(ISERROR(MATCH(D563,'Ist Aktuell Monat 02'!A:A,0))=FALSE,INDEX('Ist Aktuell Monat 02'!B:B,MATCH(D563,'Ist Aktuell Monat 02'!A:A,0)),
IF(ISERROR(MATCH(D563,'Ist Aktuell Monat 03'!A:A,0))=FALSE,INDEX('Ist Aktuell Monat 03'!B:B,MATCH(D563,'Ist Aktuell Monat 03'!A:A,0)),
IF(ISERROR(MATCH(D563,'Ist Aktuell Monat 04'!A:A,0))=FALSE,INDEX('Ist Aktuell Monat 04'!B:B,MATCH(D563,'Ist Aktuell Monat 04'!A:A,0)),
IF(ISERROR(MATCH(D563,'Ist Aktuell Monat 05'!A:A,0))=FALSE,INDEX('Ist Aktuell Monat 05'!B:B,MATCH(D563,'Ist Aktuell Monat 05'!A:A,0)),
IF(ISERROR(MATCH(D563,'Ist Aktuell Monat 06'!A:A,0))=FALSE,INDEX('Ist Aktuell Monat 06'!B:B,MATCH(D563,'Ist Aktuell Monat 06'!A:A,0)),
IF(ISERROR(MATCH(D563,'Ist Aktuell Monat 07'!A:A,0))=FALSE,INDEX('Ist Aktuell Monat 07'!B:B,MATCH(D563,'Ist Aktuell Monat 07'!A:A,0)),
IF(ISERROR(MATCH(D563,'Ist Aktuell Monat 08'!A:A,0))=FALSE,INDEX('Ist Aktuell Monat 08'!B:B,MATCH(D563,'Ist Aktuell Monat 08'!A:A,0)),
IF(ISERROR(MATCH(D563,'Ist Aktuell Monat 09'!A:A,0))=FALSE,INDEX('Ist Aktuell Monat 09'!B:B,MATCH(D563,'Ist Aktuell Monat 09'!A:A,0)),
IF(ISERROR(MATCH(D563,'Ist Aktuell Monat 10'!A:A,0))=FALSE,INDEX('Ist Aktuell Monat 10'!B:B,MATCH(D563,'Ist Aktuell Monat 10'!A:A,0)),
IF(ISERROR(MATCH(D563,'Ist Aktuell Monat 11'!A:A,0))=FALSE,INDEX('Ist Aktuell Monat 11'!B:B,MATCH(D563,'Ist Aktuell Monat 11'!A:A,0)),
IF(ISERROR(MATCH(D563,'Ist Aktuell Monat 12'!A:A,0))=FALSE,INDEX('Ist Aktuell Monat 12'!B:B,MATCH(D563,'Ist Aktuell Monat 12'!A:A,0)),
"{Konto unbekannt}"
)))))))))))),"")</f>
        <v/>
      </c>
      <c r="C563" s="1062"/>
      <c r="D563" s="1067"/>
      <c r="E563" s="625">
        <f t="shared" si="727"/>
        <v>1</v>
      </c>
      <c r="F563" s="626"/>
      <c r="G563" s="593">
        <f ca="1">$E563*SUMIF(INDIRECT(G$3),'Struktur Aktuell'!$D563,INDIRECT(G$8))*IFERROR(IF(VLOOKUP('Struktur Aktuell'!$D563,INDIRECT(G$6),8,)="H",-1,1),0)</f>
        <v>0</v>
      </c>
      <c r="H563" s="593">
        <f ca="1">$E563*SUMIF(INDIRECT(H$3),'Struktur Aktuell'!$D563,INDIRECT(H$8))*IFERROR(IF(VLOOKUP('Struktur Aktuell'!$D563,INDIRECT(H$6),8,)="H",-1,1),0)</f>
        <v>0</v>
      </c>
      <c r="I563" s="593">
        <f ca="1">$E563*SUMIF(INDIRECT(I$3),'Struktur Aktuell'!$D563,INDIRECT(I$8))*IFERROR(IF(VLOOKUP('Struktur Aktuell'!$D563,INDIRECT(I$6),8,)="H",-1,1),0)</f>
        <v>0</v>
      </c>
      <c r="J563" s="593">
        <f ca="1">$E563*SUMIF(INDIRECT(J$3),'Struktur Aktuell'!$D563,INDIRECT(J$8))*IFERROR(IF(VLOOKUP('Struktur Aktuell'!$D563,INDIRECT(J$6),8,)="H",-1,1),0)</f>
        <v>0</v>
      </c>
      <c r="K563" s="593">
        <f ca="1">$E563*SUMIF(INDIRECT(K$3),'Struktur Aktuell'!$D563,INDIRECT(K$8))*IFERROR(IF(VLOOKUP('Struktur Aktuell'!$D563,INDIRECT(K$6),8,)="H",-1,1),0)</f>
        <v>0</v>
      </c>
      <c r="L563" s="593">
        <f ca="1">$E563*SUMIF(INDIRECT(L$3),'Struktur Aktuell'!$D563,INDIRECT(L$8))*IFERROR(IF(VLOOKUP('Struktur Aktuell'!$D563,INDIRECT(L$6),8,)="H",-1,1),0)</f>
        <v>0</v>
      </c>
      <c r="M563" s="593">
        <f ca="1">$E563*SUMIF(INDIRECT(M$3),'Struktur Aktuell'!$D563,INDIRECT(M$8))*IFERROR(IF(VLOOKUP('Struktur Aktuell'!$D563,INDIRECT(M$6),8,)="H",-1,1),0)</f>
        <v>0</v>
      </c>
      <c r="N563" s="593">
        <f ca="1">$E563*SUMIF(INDIRECT(N$3),'Struktur Aktuell'!$D563,INDIRECT(N$8))*IFERROR(IF(VLOOKUP('Struktur Aktuell'!$D563,INDIRECT(N$6),8,)="H",-1,1),0)</f>
        <v>0</v>
      </c>
      <c r="O563" s="593">
        <f ca="1">$E563*SUMIF(INDIRECT(O$3),'Struktur Aktuell'!$D563,INDIRECT(O$8))*IFERROR(IF(VLOOKUP('Struktur Aktuell'!$D563,INDIRECT(O$6),8,)="H",-1,1),0)</f>
        <v>0</v>
      </c>
      <c r="P563" s="593">
        <f ca="1">$E563*SUMIF(INDIRECT(P$3),'Struktur Aktuell'!$D563,INDIRECT(P$8))*IFERROR(IF(VLOOKUP('Struktur Aktuell'!$D563,INDIRECT(P$6),8,)="H",-1,1),0)</f>
        <v>0</v>
      </c>
      <c r="Q563" s="593">
        <f ca="1">$E563*SUMIF(INDIRECT(Q$3),'Struktur Aktuell'!$D563,INDIRECT(Q$8))*IFERROR(IF(VLOOKUP('Struktur Aktuell'!$D563,INDIRECT(Q$6),8,)="H",-1,1),0)</f>
        <v>0</v>
      </c>
      <c r="R563" s="593">
        <f ca="1">$E563*SUMIF(INDIRECT(R$3),'Struktur Aktuell'!$D563,INDIRECT(R$8))*IFERROR(IF(VLOOKUP('Struktur Aktuell'!$D563,INDIRECT(R$6),8,)="H",-1,1),0)</f>
        <v>0</v>
      </c>
      <c r="S563" s="593" t="e">
        <f ca="1">$E563*SUMIF(INDIRECT(S$3),'Struktur Aktuell'!$D563,INDIRECT(S$8))*IFERROR(IF(VLOOKUP('Struktur Aktuell'!$D563,INDIRECT(S$6),8,)="H",-1,1),0)</f>
        <v>#REF!</v>
      </c>
      <c r="T563" s="593" t="e">
        <f ca="1">$E563*SUMIF(INDIRECT(T$3),'Struktur Aktuell'!$D563,INDIRECT(T$8))*IFERROR(IF(VLOOKUP('Struktur Aktuell'!$D563,INDIRECT(T$6),8,)="H",-1,1),0)</f>
        <v>#REF!</v>
      </c>
      <c r="U563" s="593" t="e">
        <f ca="1">$E563*SUMIF(INDIRECT(U$3),'Struktur Aktuell'!$D563,INDIRECT(U$8))*IFERROR(IF(VLOOKUP('Struktur Aktuell'!$D563,INDIRECT(U$6),8,)="H",-1,1),0)</f>
        <v>#REF!</v>
      </c>
      <c r="V563" s="593" t="e">
        <f ca="1">$E563*SUMIF(INDIRECT(V$3),'Struktur Aktuell'!$D563,INDIRECT(V$8))*IFERROR(IF(VLOOKUP('Struktur Aktuell'!$D563,INDIRECT(V$6),8,)="H",-1,1),0)</f>
        <v>#REF!</v>
      </c>
      <c r="W563" s="593" t="e">
        <f ca="1">$E563*SUMIF(INDIRECT(W$3),'Struktur Aktuell'!$D563,INDIRECT(W$8))*IFERROR(IF(VLOOKUP('Struktur Aktuell'!$D563,INDIRECT(W$6),8,)="H",-1,1),0)</f>
        <v>#REF!</v>
      </c>
      <c r="X563" s="593" t="e">
        <f ca="1">$E563*SUMIF(INDIRECT(X$3),'Struktur Aktuell'!$D563,INDIRECT(X$8))*IFERROR(IF(VLOOKUP('Struktur Aktuell'!$D563,INDIRECT(X$6),8,)="H",-1,1),0)</f>
        <v>#REF!</v>
      </c>
      <c r="Y563" s="593" t="e">
        <f ca="1">$E563*SUMIF(INDIRECT(Y$3),'Struktur Aktuell'!$D563,INDIRECT(Y$8))*IFERROR(IF(VLOOKUP('Struktur Aktuell'!$D563,INDIRECT(Y$6),8,)="H",-1,1),0)</f>
        <v>#REF!</v>
      </c>
      <c r="Z563" s="593" t="e">
        <f ca="1">$E563*SUMIF(INDIRECT(Z$3),'Struktur Aktuell'!$D563,INDIRECT(Z$8))*IFERROR(IF(VLOOKUP('Struktur Aktuell'!$D563,INDIRECT(Z$6),8,)="H",-1,1),0)</f>
        <v>#REF!</v>
      </c>
      <c r="AA563" s="593" t="e">
        <f ca="1">$E563*SUMIF(INDIRECT(AA$3),'Struktur Aktuell'!$D563,INDIRECT(AA$8))*IFERROR(IF(VLOOKUP('Struktur Aktuell'!$D563,INDIRECT(AA$6),8,)="H",-1,1),0)</f>
        <v>#REF!</v>
      </c>
      <c r="AB563" s="593" t="e">
        <f ca="1">$E563*SUMIF(INDIRECT(AB$3),'Struktur Aktuell'!$D563,INDIRECT(AB$8))*IFERROR(IF(VLOOKUP('Struktur Aktuell'!$D563,INDIRECT(AB$6),8,)="H",-1,1),0)</f>
        <v>#REF!</v>
      </c>
      <c r="AC563" s="593" t="e">
        <f ca="1">$E563*SUMIF(INDIRECT(AC$3),'Struktur Aktuell'!$D563,INDIRECT(AC$8))*IFERROR(IF(VLOOKUP('Struktur Aktuell'!$D563,INDIRECT(AC$6),8,)="H",-1,1),0)</f>
        <v>#REF!</v>
      </c>
      <c r="AD563" s="593" t="e">
        <f ca="1">$E563*SUMIF(INDIRECT(AD$3),'Struktur Aktuell'!$D563,INDIRECT(AD$8))*IFERROR(IF(VLOOKUP('Struktur Aktuell'!$D563,INDIRECT(AD$6),8,)="H",-1,1),0)</f>
        <v>#REF!</v>
      </c>
      <c r="AE563" s="593">
        <f t="shared" ca="1" si="863"/>
        <v>0</v>
      </c>
      <c r="AF563" s="593">
        <f t="shared" ca="1" si="864"/>
        <v>0</v>
      </c>
      <c r="AG563" s="593">
        <f t="shared" ca="1" si="865"/>
        <v>0</v>
      </c>
      <c r="AH563" s="593">
        <f t="shared" ca="1" si="866"/>
        <v>0</v>
      </c>
      <c r="AI563" s="593">
        <f t="shared" ca="1" si="867"/>
        <v>0</v>
      </c>
      <c r="AJ563" s="593">
        <f t="shared" ca="1" si="868"/>
        <v>0</v>
      </c>
      <c r="AK563" s="593">
        <f t="shared" ca="1" si="869"/>
        <v>0</v>
      </c>
      <c r="AL563" s="593">
        <f t="shared" ca="1" si="870"/>
        <v>0</v>
      </c>
      <c r="AM563" s="593">
        <f t="shared" ca="1" si="871"/>
        <v>0</v>
      </c>
      <c r="AN563" s="593">
        <f t="shared" ca="1" si="872"/>
        <v>0</v>
      </c>
      <c r="AO563" s="593">
        <f t="shared" ca="1" si="873"/>
        <v>0</v>
      </c>
      <c r="AP563" s="593">
        <f t="shared" ca="1" si="874"/>
        <v>0</v>
      </c>
    </row>
    <row r="564" spans="1:42" s="594" customFormat="1" ht="11.25" outlineLevel="1" x14ac:dyDescent="0.2">
      <c r="A564" s="644"/>
      <c r="B564" s="591" t="str">
        <f>IF(D564&lt;&gt;"",
IF(ISERROR(MATCH(D564,'Ist Aktuell Monat 01'!A:A,0))=FALSE,INDEX('Ist Aktuell Monat 01'!B:B,MATCH(D564,'Ist Aktuell Monat 01'!A:A,0)),
IF(ISERROR(MATCH(D564,'Ist Aktuell Monat 02'!A:A,0))=FALSE,INDEX('Ist Aktuell Monat 02'!B:B,MATCH(D564,'Ist Aktuell Monat 02'!A:A,0)),
IF(ISERROR(MATCH(D564,'Ist Aktuell Monat 03'!A:A,0))=FALSE,INDEX('Ist Aktuell Monat 03'!B:B,MATCH(D564,'Ist Aktuell Monat 03'!A:A,0)),
IF(ISERROR(MATCH(D564,'Ist Aktuell Monat 04'!A:A,0))=FALSE,INDEX('Ist Aktuell Monat 04'!B:B,MATCH(D564,'Ist Aktuell Monat 04'!A:A,0)),
IF(ISERROR(MATCH(D564,'Ist Aktuell Monat 05'!A:A,0))=FALSE,INDEX('Ist Aktuell Monat 05'!B:B,MATCH(D564,'Ist Aktuell Monat 05'!A:A,0)),
IF(ISERROR(MATCH(D564,'Ist Aktuell Monat 06'!A:A,0))=FALSE,INDEX('Ist Aktuell Monat 06'!B:B,MATCH(D564,'Ist Aktuell Monat 06'!A:A,0)),
IF(ISERROR(MATCH(D564,'Ist Aktuell Monat 07'!A:A,0))=FALSE,INDEX('Ist Aktuell Monat 07'!B:B,MATCH(D564,'Ist Aktuell Monat 07'!A:A,0)),
IF(ISERROR(MATCH(D564,'Ist Aktuell Monat 08'!A:A,0))=FALSE,INDEX('Ist Aktuell Monat 08'!B:B,MATCH(D564,'Ist Aktuell Monat 08'!A:A,0)),
IF(ISERROR(MATCH(D564,'Ist Aktuell Monat 09'!A:A,0))=FALSE,INDEX('Ist Aktuell Monat 09'!B:B,MATCH(D564,'Ist Aktuell Monat 09'!A:A,0)),
IF(ISERROR(MATCH(D564,'Ist Aktuell Monat 10'!A:A,0))=FALSE,INDEX('Ist Aktuell Monat 10'!B:B,MATCH(D564,'Ist Aktuell Monat 10'!A:A,0)),
IF(ISERROR(MATCH(D564,'Ist Aktuell Monat 11'!A:A,0))=FALSE,INDEX('Ist Aktuell Monat 11'!B:B,MATCH(D564,'Ist Aktuell Monat 11'!A:A,0)),
IF(ISERROR(MATCH(D564,'Ist Aktuell Monat 12'!A:A,0))=FALSE,INDEX('Ist Aktuell Monat 12'!B:B,MATCH(D564,'Ist Aktuell Monat 12'!A:A,0)),
"{Konto unbekannt}"
)))))))))))),"")</f>
        <v/>
      </c>
      <c r="C564" s="1062"/>
      <c r="D564" s="1067"/>
      <c r="E564" s="625">
        <f t="shared" si="727"/>
        <v>1</v>
      </c>
      <c r="F564" s="626"/>
      <c r="G564" s="593">
        <f ca="1">$E564*SUMIF(INDIRECT(G$3),'Struktur Aktuell'!$D564,INDIRECT(G$8))*IFERROR(IF(VLOOKUP('Struktur Aktuell'!$D564,INDIRECT(G$6),8,)="H",-1,1),0)</f>
        <v>0</v>
      </c>
      <c r="H564" s="593">
        <f ca="1">$E564*SUMIF(INDIRECT(H$3),'Struktur Aktuell'!$D564,INDIRECT(H$8))*IFERROR(IF(VLOOKUP('Struktur Aktuell'!$D564,INDIRECT(H$6),8,)="H",-1,1),0)</f>
        <v>0</v>
      </c>
      <c r="I564" s="593">
        <f ca="1">$E564*SUMIF(INDIRECT(I$3),'Struktur Aktuell'!$D564,INDIRECT(I$8))*IFERROR(IF(VLOOKUP('Struktur Aktuell'!$D564,INDIRECT(I$6),8,)="H",-1,1),0)</f>
        <v>0</v>
      </c>
      <c r="J564" s="593">
        <f ca="1">$E564*SUMIF(INDIRECT(J$3),'Struktur Aktuell'!$D564,INDIRECT(J$8))*IFERROR(IF(VLOOKUP('Struktur Aktuell'!$D564,INDIRECT(J$6),8,)="H",-1,1),0)</f>
        <v>0</v>
      </c>
      <c r="K564" s="593">
        <f ca="1">$E564*SUMIF(INDIRECT(K$3),'Struktur Aktuell'!$D564,INDIRECT(K$8))*IFERROR(IF(VLOOKUP('Struktur Aktuell'!$D564,INDIRECT(K$6),8,)="H",-1,1),0)</f>
        <v>0</v>
      </c>
      <c r="L564" s="593">
        <f ca="1">$E564*SUMIF(INDIRECT(L$3),'Struktur Aktuell'!$D564,INDIRECT(L$8))*IFERROR(IF(VLOOKUP('Struktur Aktuell'!$D564,INDIRECT(L$6),8,)="H",-1,1),0)</f>
        <v>0</v>
      </c>
      <c r="M564" s="593">
        <f ca="1">$E564*SUMIF(INDIRECT(M$3),'Struktur Aktuell'!$D564,INDIRECT(M$8))*IFERROR(IF(VLOOKUP('Struktur Aktuell'!$D564,INDIRECT(M$6),8,)="H",-1,1),0)</f>
        <v>0</v>
      </c>
      <c r="N564" s="593">
        <f ca="1">$E564*SUMIF(INDIRECT(N$3),'Struktur Aktuell'!$D564,INDIRECT(N$8))*IFERROR(IF(VLOOKUP('Struktur Aktuell'!$D564,INDIRECT(N$6),8,)="H",-1,1),0)</f>
        <v>0</v>
      </c>
      <c r="O564" s="593">
        <f ca="1">$E564*SUMIF(INDIRECT(O$3),'Struktur Aktuell'!$D564,INDIRECT(O$8))*IFERROR(IF(VLOOKUP('Struktur Aktuell'!$D564,INDIRECT(O$6),8,)="H",-1,1),0)</f>
        <v>0</v>
      </c>
      <c r="P564" s="593">
        <f ca="1">$E564*SUMIF(INDIRECT(P$3),'Struktur Aktuell'!$D564,INDIRECT(P$8))*IFERROR(IF(VLOOKUP('Struktur Aktuell'!$D564,INDIRECT(P$6),8,)="H",-1,1),0)</f>
        <v>0</v>
      </c>
      <c r="Q564" s="593">
        <f ca="1">$E564*SUMIF(INDIRECT(Q$3),'Struktur Aktuell'!$D564,INDIRECT(Q$8))*IFERROR(IF(VLOOKUP('Struktur Aktuell'!$D564,INDIRECT(Q$6),8,)="H",-1,1),0)</f>
        <v>0</v>
      </c>
      <c r="R564" s="593">
        <f ca="1">$E564*SUMIF(INDIRECT(R$3),'Struktur Aktuell'!$D564,INDIRECT(R$8))*IFERROR(IF(VLOOKUP('Struktur Aktuell'!$D564,INDIRECT(R$6),8,)="H",-1,1),0)</f>
        <v>0</v>
      </c>
      <c r="S564" s="593" t="e">
        <f ca="1">$E564*SUMIF(INDIRECT(S$3),'Struktur Aktuell'!$D564,INDIRECT(S$8))*IFERROR(IF(VLOOKUP('Struktur Aktuell'!$D564,INDIRECT(S$6),8,)="H",-1,1),0)</f>
        <v>#REF!</v>
      </c>
      <c r="T564" s="593" t="e">
        <f ca="1">$E564*SUMIF(INDIRECT(T$3),'Struktur Aktuell'!$D564,INDIRECT(T$8))*IFERROR(IF(VLOOKUP('Struktur Aktuell'!$D564,INDIRECT(T$6),8,)="H",-1,1),0)</f>
        <v>#REF!</v>
      </c>
      <c r="U564" s="593" t="e">
        <f ca="1">$E564*SUMIF(INDIRECT(U$3),'Struktur Aktuell'!$D564,INDIRECT(U$8))*IFERROR(IF(VLOOKUP('Struktur Aktuell'!$D564,INDIRECT(U$6),8,)="H",-1,1),0)</f>
        <v>#REF!</v>
      </c>
      <c r="V564" s="593" t="e">
        <f ca="1">$E564*SUMIF(INDIRECT(V$3),'Struktur Aktuell'!$D564,INDIRECT(V$8))*IFERROR(IF(VLOOKUP('Struktur Aktuell'!$D564,INDIRECT(V$6),8,)="H",-1,1),0)</f>
        <v>#REF!</v>
      </c>
      <c r="W564" s="593" t="e">
        <f ca="1">$E564*SUMIF(INDIRECT(W$3),'Struktur Aktuell'!$D564,INDIRECT(W$8))*IFERROR(IF(VLOOKUP('Struktur Aktuell'!$D564,INDIRECT(W$6),8,)="H",-1,1),0)</f>
        <v>#REF!</v>
      </c>
      <c r="X564" s="593" t="e">
        <f ca="1">$E564*SUMIF(INDIRECT(X$3),'Struktur Aktuell'!$D564,INDIRECT(X$8))*IFERROR(IF(VLOOKUP('Struktur Aktuell'!$D564,INDIRECT(X$6),8,)="H",-1,1),0)</f>
        <v>#REF!</v>
      </c>
      <c r="Y564" s="593" t="e">
        <f ca="1">$E564*SUMIF(INDIRECT(Y$3),'Struktur Aktuell'!$D564,INDIRECT(Y$8))*IFERROR(IF(VLOOKUP('Struktur Aktuell'!$D564,INDIRECT(Y$6),8,)="H",-1,1),0)</f>
        <v>#REF!</v>
      </c>
      <c r="Z564" s="593" t="e">
        <f ca="1">$E564*SUMIF(INDIRECT(Z$3),'Struktur Aktuell'!$D564,INDIRECT(Z$8))*IFERROR(IF(VLOOKUP('Struktur Aktuell'!$D564,INDIRECT(Z$6),8,)="H",-1,1),0)</f>
        <v>#REF!</v>
      </c>
      <c r="AA564" s="593" t="e">
        <f ca="1">$E564*SUMIF(INDIRECT(AA$3),'Struktur Aktuell'!$D564,INDIRECT(AA$8))*IFERROR(IF(VLOOKUP('Struktur Aktuell'!$D564,INDIRECT(AA$6),8,)="H",-1,1),0)</f>
        <v>#REF!</v>
      </c>
      <c r="AB564" s="593" t="e">
        <f ca="1">$E564*SUMIF(INDIRECT(AB$3),'Struktur Aktuell'!$D564,INDIRECT(AB$8))*IFERROR(IF(VLOOKUP('Struktur Aktuell'!$D564,INDIRECT(AB$6),8,)="H",-1,1),0)</f>
        <v>#REF!</v>
      </c>
      <c r="AC564" s="593" t="e">
        <f ca="1">$E564*SUMIF(INDIRECT(AC$3),'Struktur Aktuell'!$D564,INDIRECT(AC$8))*IFERROR(IF(VLOOKUP('Struktur Aktuell'!$D564,INDIRECT(AC$6),8,)="H",-1,1),0)</f>
        <v>#REF!</v>
      </c>
      <c r="AD564" s="593" t="e">
        <f ca="1">$E564*SUMIF(INDIRECT(AD$3),'Struktur Aktuell'!$D564,INDIRECT(AD$8))*IFERROR(IF(VLOOKUP('Struktur Aktuell'!$D564,INDIRECT(AD$6),8,)="H",-1,1),0)</f>
        <v>#REF!</v>
      </c>
      <c r="AE564" s="593">
        <f t="shared" ca="1" si="863"/>
        <v>0</v>
      </c>
      <c r="AF564" s="593">
        <f t="shared" ca="1" si="864"/>
        <v>0</v>
      </c>
      <c r="AG564" s="593">
        <f t="shared" ca="1" si="865"/>
        <v>0</v>
      </c>
      <c r="AH564" s="593">
        <f t="shared" ca="1" si="866"/>
        <v>0</v>
      </c>
      <c r="AI564" s="593">
        <f t="shared" ca="1" si="867"/>
        <v>0</v>
      </c>
      <c r="AJ564" s="593">
        <f t="shared" ca="1" si="868"/>
        <v>0</v>
      </c>
      <c r="AK564" s="593">
        <f t="shared" ca="1" si="869"/>
        <v>0</v>
      </c>
      <c r="AL564" s="593">
        <f t="shared" ca="1" si="870"/>
        <v>0</v>
      </c>
      <c r="AM564" s="593">
        <f t="shared" ca="1" si="871"/>
        <v>0</v>
      </c>
      <c r="AN564" s="593">
        <f t="shared" ca="1" si="872"/>
        <v>0</v>
      </c>
      <c r="AO564" s="593">
        <f t="shared" ca="1" si="873"/>
        <v>0</v>
      </c>
      <c r="AP564" s="593">
        <f t="shared" ca="1" si="874"/>
        <v>0</v>
      </c>
    </row>
    <row r="565" spans="1:42" s="589" customFormat="1" outlineLevel="1" x14ac:dyDescent="0.2">
      <c r="A565" s="629">
        <v>52</v>
      </c>
      <c r="B565" s="623" t="s">
        <v>1036</v>
      </c>
      <c r="C565" s="627">
        <f ca="1">SUM(G565:R565)</f>
        <v>0</v>
      </c>
      <c r="D565" s="627"/>
      <c r="E565" s="628">
        <f t="shared" si="727"/>
        <v>1</v>
      </c>
      <c r="F565" s="628"/>
      <c r="G565" s="627">
        <f t="shared" ref="G565:R565" ca="1" si="875">SUM(G566:G568)</f>
        <v>0</v>
      </c>
      <c r="H565" s="627">
        <f t="shared" ca="1" si="875"/>
        <v>0</v>
      </c>
      <c r="I565" s="627">
        <f t="shared" ca="1" si="875"/>
        <v>0</v>
      </c>
      <c r="J565" s="627">
        <f t="shared" ca="1" si="875"/>
        <v>0</v>
      </c>
      <c r="K565" s="627">
        <f t="shared" ca="1" si="875"/>
        <v>0</v>
      </c>
      <c r="L565" s="627">
        <f t="shared" ca="1" si="875"/>
        <v>0</v>
      </c>
      <c r="M565" s="627">
        <f t="shared" ca="1" si="875"/>
        <v>0</v>
      </c>
      <c r="N565" s="627">
        <f t="shared" ca="1" si="875"/>
        <v>0</v>
      </c>
      <c r="O565" s="627">
        <f t="shared" ca="1" si="875"/>
        <v>0</v>
      </c>
      <c r="P565" s="627">
        <f t="shared" ca="1" si="875"/>
        <v>0</v>
      </c>
      <c r="Q565" s="627">
        <f t="shared" ca="1" si="875"/>
        <v>0</v>
      </c>
      <c r="R565" s="627">
        <f t="shared" ca="1" si="875"/>
        <v>0</v>
      </c>
      <c r="S565" s="627" t="e">
        <f t="shared" ref="S565:AP565" ca="1" si="876">SUM(S566:S568)</f>
        <v>#REF!</v>
      </c>
      <c r="T565" s="627" t="e">
        <f t="shared" ca="1" si="876"/>
        <v>#REF!</v>
      </c>
      <c r="U565" s="627" t="e">
        <f t="shared" ca="1" si="876"/>
        <v>#REF!</v>
      </c>
      <c r="V565" s="627" t="e">
        <f t="shared" ca="1" si="876"/>
        <v>#REF!</v>
      </c>
      <c r="W565" s="627" t="e">
        <f t="shared" ca="1" si="876"/>
        <v>#REF!</v>
      </c>
      <c r="X565" s="627" t="e">
        <f t="shared" ca="1" si="876"/>
        <v>#REF!</v>
      </c>
      <c r="Y565" s="627" t="e">
        <f t="shared" ca="1" si="876"/>
        <v>#REF!</v>
      </c>
      <c r="Z565" s="627" t="e">
        <f t="shared" ca="1" si="876"/>
        <v>#REF!</v>
      </c>
      <c r="AA565" s="627" t="e">
        <f t="shared" ca="1" si="876"/>
        <v>#REF!</v>
      </c>
      <c r="AB565" s="627" t="e">
        <f t="shared" ca="1" si="876"/>
        <v>#REF!</v>
      </c>
      <c r="AC565" s="627" t="e">
        <f t="shared" ca="1" si="876"/>
        <v>#REF!</v>
      </c>
      <c r="AD565" s="627" t="e">
        <f t="shared" ca="1" si="876"/>
        <v>#REF!</v>
      </c>
      <c r="AE565" s="627">
        <f t="shared" ca="1" si="876"/>
        <v>0</v>
      </c>
      <c r="AF565" s="627">
        <f t="shared" ca="1" si="876"/>
        <v>0</v>
      </c>
      <c r="AG565" s="627">
        <f t="shared" ca="1" si="876"/>
        <v>0</v>
      </c>
      <c r="AH565" s="627">
        <f t="shared" ca="1" si="876"/>
        <v>0</v>
      </c>
      <c r="AI565" s="627">
        <f t="shared" ca="1" si="876"/>
        <v>0</v>
      </c>
      <c r="AJ565" s="627">
        <f t="shared" ca="1" si="876"/>
        <v>0</v>
      </c>
      <c r="AK565" s="627">
        <f t="shared" ca="1" si="876"/>
        <v>0</v>
      </c>
      <c r="AL565" s="627">
        <f t="shared" ca="1" si="876"/>
        <v>0</v>
      </c>
      <c r="AM565" s="627">
        <f t="shared" ca="1" si="876"/>
        <v>0</v>
      </c>
      <c r="AN565" s="627">
        <f t="shared" ca="1" si="876"/>
        <v>0</v>
      </c>
      <c r="AO565" s="627">
        <f t="shared" ca="1" si="876"/>
        <v>0</v>
      </c>
      <c r="AP565" s="627">
        <f t="shared" ca="1" si="876"/>
        <v>0</v>
      </c>
    </row>
    <row r="566" spans="1:42" s="594" customFormat="1" ht="11.25" x14ac:dyDescent="0.2">
      <c r="A566" s="644"/>
      <c r="B566" s="591" t="str">
        <f>IF(D566&lt;&gt;"",
IF(ISERROR(MATCH(D566,'Ist Aktuell Monat 01'!A:A,0))=FALSE,INDEX('Ist Aktuell Monat 01'!B:B,MATCH(D566,'Ist Aktuell Monat 01'!A:A,0)),
IF(ISERROR(MATCH(D566,'Ist Aktuell Monat 02'!A:A,0))=FALSE,INDEX('Ist Aktuell Monat 02'!B:B,MATCH(D566,'Ist Aktuell Monat 02'!A:A,0)),
IF(ISERROR(MATCH(D566,'Ist Aktuell Monat 03'!A:A,0))=FALSE,INDEX('Ist Aktuell Monat 03'!B:B,MATCH(D566,'Ist Aktuell Monat 03'!A:A,0)),
IF(ISERROR(MATCH(D566,'Ist Aktuell Monat 04'!A:A,0))=FALSE,INDEX('Ist Aktuell Monat 04'!B:B,MATCH(D566,'Ist Aktuell Monat 04'!A:A,0)),
IF(ISERROR(MATCH(D566,'Ist Aktuell Monat 05'!A:A,0))=FALSE,INDEX('Ist Aktuell Monat 05'!B:B,MATCH(D566,'Ist Aktuell Monat 05'!A:A,0)),
IF(ISERROR(MATCH(D566,'Ist Aktuell Monat 06'!A:A,0))=FALSE,INDEX('Ist Aktuell Monat 06'!B:B,MATCH(D566,'Ist Aktuell Monat 06'!A:A,0)),
IF(ISERROR(MATCH(D566,'Ist Aktuell Monat 07'!A:A,0))=FALSE,INDEX('Ist Aktuell Monat 07'!B:B,MATCH(D566,'Ist Aktuell Monat 07'!A:A,0)),
IF(ISERROR(MATCH(D566,'Ist Aktuell Monat 08'!A:A,0))=FALSE,INDEX('Ist Aktuell Monat 08'!B:B,MATCH(D566,'Ist Aktuell Monat 08'!A:A,0)),
IF(ISERROR(MATCH(D566,'Ist Aktuell Monat 09'!A:A,0))=FALSE,INDEX('Ist Aktuell Monat 09'!B:B,MATCH(D566,'Ist Aktuell Monat 09'!A:A,0)),
IF(ISERROR(MATCH(D566,'Ist Aktuell Monat 10'!A:A,0))=FALSE,INDEX('Ist Aktuell Monat 10'!B:B,MATCH(D566,'Ist Aktuell Monat 10'!A:A,0)),
IF(ISERROR(MATCH(D566,'Ist Aktuell Monat 11'!A:A,0))=FALSE,INDEX('Ist Aktuell Monat 11'!B:B,MATCH(D566,'Ist Aktuell Monat 11'!A:A,0)),
IF(ISERROR(MATCH(D566,'Ist Aktuell Monat 12'!A:A,0))=FALSE,INDEX('Ist Aktuell Monat 12'!B:B,MATCH(D566,'Ist Aktuell Monat 12'!A:A,0)),
"{Konto unbekannt}"
)))))))))))),"")</f>
        <v>Verbindl. aus Lieferungen u. Leistungen</v>
      </c>
      <c r="C566" s="1062"/>
      <c r="D566" s="1067">
        <v>1600</v>
      </c>
      <c r="E566" s="625">
        <f t="shared" si="727"/>
        <v>-1</v>
      </c>
      <c r="F566" s="626" t="s">
        <v>996</v>
      </c>
      <c r="G566" s="593">
        <f ca="1">$E566*SUMIF(INDIRECT(G$3),'Struktur Aktuell'!$D566,INDIRECT(G$8))*IFERROR(IF(VLOOKUP('Struktur Aktuell'!$D566,INDIRECT(G$6),8,)="H",-1,1),0)</f>
        <v>0</v>
      </c>
      <c r="H566" s="593">
        <f ca="1">$E566*SUMIF(INDIRECT(H$3),'Struktur Aktuell'!$D566,INDIRECT(H$8))*IFERROR(IF(VLOOKUP('Struktur Aktuell'!$D566,INDIRECT(H$6),8,)="H",-1,1),0)</f>
        <v>0</v>
      </c>
      <c r="I566" s="593">
        <f ca="1">$E566*SUMIF(INDIRECT(I$3),'Struktur Aktuell'!$D566,INDIRECT(I$8))*IFERROR(IF(VLOOKUP('Struktur Aktuell'!$D566,INDIRECT(I$6),8,)="H",-1,1),0)</f>
        <v>0</v>
      </c>
      <c r="J566" s="593">
        <f ca="1">$E566*SUMIF(INDIRECT(J$3),'Struktur Aktuell'!$D566,INDIRECT(J$8))*IFERROR(IF(VLOOKUP('Struktur Aktuell'!$D566,INDIRECT(J$6),8,)="H",-1,1),0)</f>
        <v>0</v>
      </c>
      <c r="K566" s="593">
        <f ca="1">$E566*SUMIF(INDIRECT(K$3),'Struktur Aktuell'!$D566,INDIRECT(K$8))*IFERROR(IF(VLOOKUP('Struktur Aktuell'!$D566,INDIRECT(K$6),8,)="H",-1,1),0)</f>
        <v>0</v>
      </c>
      <c r="L566" s="593">
        <f ca="1">$E566*SUMIF(INDIRECT(L$3),'Struktur Aktuell'!$D566,INDIRECT(L$8))*IFERROR(IF(VLOOKUP('Struktur Aktuell'!$D566,INDIRECT(L$6),8,)="H",-1,1),0)</f>
        <v>0</v>
      </c>
      <c r="M566" s="593">
        <f ca="1">$E566*SUMIF(INDIRECT(M$3),'Struktur Aktuell'!$D566,INDIRECT(M$8))*IFERROR(IF(VLOOKUP('Struktur Aktuell'!$D566,INDIRECT(M$6),8,)="H",-1,1),0)</f>
        <v>0</v>
      </c>
      <c r="N566" s="593">
        <f ca="1">$E566*SUMIF(INDIRECT(N$3),'Struktur Aktuell'!$D566,INDIRECT(N$8))*IFERROR(IF(VLOOKUP('Struktur Aktuell'!$D566,INDIRECT(N$6),8,)="H",-1,1),0)</f>
        <v>0</v>
      </c>
      <c r="O566" s="593">
        <f ca="1">$E566*SUMIF(INDIRECT(O$3),'Struktur Aktuell'!$D566,INDIRECT(O$8))*IFERROR(IF(VLOOKUP('Struktur Aktuell'!$D566,INDIRECT(O$6),8,)="H",-1,1),0)</f>
        <v>0</v>
      </c>
      <c r="P566" s="593">
        <f ca="1">$E566*SUMIF(INDIRECT(P$3),'Struktur Aktuell'!$D566,INDIRECT(P$8))*IFERROR(IF(VLOOKUP('Struktur Aktuell'!$D566,INDIRECT(P$6),8,)="H",-1,1),0)</f>
        <v>0</v>
      </c>
      <c r="Q566" s="593">
        <f ca="1">$E566*SUMIF(INDIRECT(Q$3),'Struktur Aktuell'!$D566,INDIRECT(Q$8))*IFERROR(IF(VLOOKUP('Struktur Aktuell'!$D566,INDIRECT(Q$6),8,)="H",-1,1),0)</f>
        <v>0</v>
      </c>
      <c r="R566" s="593">
        <f ca="1">$E566*SUMIF(INDIRECT(R$3),'Struktur Aktuell'!$D566,INDIRECT(R$8))*IFERROR(IF(VLOOKUP('Struktur Aktuell'!$D566,INDIRECT(R$6),8,)="H",-1,1),0)</f>
        <v>0</v>
      </c>
      <c r="S566" s="593" t="e">
        <f ca="1">$E566*SUMIF(INDIRECT(S$3),'Struktur Aktuell'!$D566,INDIRECT(S$8))*IFERROR(IF(VLOOKUP('Struktur Aktuell'!$D566,INDIRECT(S$6),8,)="H",-1,1),0)</f>
        <v>#REF!</v>
      </c>
      <c r="T566" s="593" t="e">
        <f ca="1">$E566*SUMIF(INDIRECT(T$3),'Struktur Aktuell'!$D566,INDIRECT(T$8))*IFERROR(IF(VLOOKUP('Struktur Aktuell'!$D566,INDIRECT(T$6),8,)="H",-1,1),0)</f>
        <v>#REF!</v>
      </c>
      <c r="U566" s="593" t="e">
        <f ca="1">$E566*SUMIF(INDIRECT(U$3),'Struktur Aktuell'!$D566,INDIRECT(U$8))*IFERROR(IF(VLOOKUP('Struktur Aktuell'!$D566,INDIRECT(U$6),8,)="H",-1,1),0)</f>
        <v>#REF!</v>
      </c>
      <c r="V566" s="593" t="e">
        <f ca="1">$E566*SUMIF(INDIRECT(V$3),'Struktur Aktuell'!$D566,INDIRECT(V$8))*IFERROR(IF(VLOOKUP('Struktur Aktuell'!$D566,INDIRECT(V$6),8,)="H",-1,1),0)</f>
        <v>#REF!</v>
      </c>
      <c r="W566" s="593" t="e">
        <f ca="1">$E566*SUMIF(INDIRECT(W$3),'Struktur Aktuell'!$D566,INDIRECT(W$8))*IFERROR(IF(VLOOKUP('Struktur Aktuell'!$D566,INDIRECT(W$6),8,)="H",-1,1),0)</f>
        <v>#REF!</v>
      </c>
      <c r="X566" s="593" t="e">
        <f ca="1">$E566*SUMIF(INDIRECT(X$3),'Struktur Aktuell'!$D566,INDIRECT(X$8))*IFERROR(IF(VLOOKUP('Struktur Aktuell'!$D566,INDIRECT(X$6),8,)="H",-1,1),0)</f>
        <v>#REF!</v>
      </c>
      <c r="Y566" s="593" t="e">
        <f ca="1">$E566*SUMIF(INDIRECT(Y$3),'Struktur Aktuell'!$D566,INDIRECT(Y$8))*IFERROR(IF(VLOOKUP('Struktur Aktuell'!$D566,INDIRECT(Y$6),8,)="H",-1,1),0)</f>
        <v>#REF!</v>
      </c>
      <c r="Z566" s="593" t="e">
        <f ca="1">$E566*SUMIF(INDIRECT(Z$3),'Struktur Aktuell'!$D566,INDIRECT(Z$8))*IFERROR(IF(VLOOKUP('Struktur Aktuell'!$D566,INDIRECT(Z$6),8,)="H",-1,1),0)</f>
        <v>#REF!</v>
      </c>
      <c r="AA566" s="593" t="e">
        <f ca="1">$E566*SUMIF(INDIRECT(AA$3),'Struktur Aktuell'!$D566,INDIRECT(AA$8))*IFERROR(IF(VLOOKUP('Struktur Aktuell'!$D566,INDIRECT(AA$6),8,)="H",-1,1),0)</f>
        <v>#REF!</v>
      </c>
      <c r="AB566" s="593" t="e">
        <f ca="1">$E566*SUMIF(INDIRECT(AB$3),'Struktur Aktuell'!$D566,INDIRECT(AB$8))*IFERROR(IF(VLOOKUP('Struktur Aktuell'!$D566,INDIRECT(AB$6),8,)="H",-1,1),0)</f>
        <v>#REF!</v>
      </c>
      <c r="AC566" s="593" t="e">
        <f ca="1">$E566*SUMIF(INDIRECT(AC$3),'Struktur Aktuell'!$D566,INDIRECT(AC$8))*IFERROR(IF(VLOOKUP('Struktur Aktuell'!$D566,INDIRECT(AC$6),8,)="H",-1,1),0)</f>
        <v>#REF!</v>
      </c>
      <c r="AD566" s="593" t="e">
        <f ca="1">$E566*SUMIF(INDIRECT(AD$3),'Struktur Aktuell'!$D566,INDIRECT(AD$8))*IFERROR(IF(VLOOKUP('Struktur Aktuell'!$D566,INDIRECT(AD$6),8,)="H",-1,1),0)</f>
        <v>#REF!</v>
      </c>
      <c r="AE566" s="593">
        <f t="shared" ref="AE566:AE568" ca="1" si="877">G566</f>
        <v>0</v>
      </c>
      <c r="AF566" s="593">
        <f t="shared" ref="AF566:AF568" ca="1" si="878">H566+AE566</f>
        <v>0</v>
      </c>
      <c r="AG566" s="593">
        <f t="shared" ref="AG566:AG568" ca="1" si="879">I566+AF566</f>
        <v>0</v>
      </c>
      <c r="AH566" s="593">
        <f t="shared" ref="AH566:AH568" ca="1" si="880">J566+AG566</f>
        <v>0</v>
      </c>
      <c r="AI566" s="593">
        <f t="shared" ref="AI566:AI568" ca="1" si="881">K566+AH566</f>
        <v>0</v>
      </c>
      <c r="AJ566" s="593">
        <f t="shared" ref="AJ566:AJ568" ca="1" si="882">L566+AI566</f>
        <v>0</v>
      </c>
      <c r="AK566" s="593">
        <f t="shared" ref="AK566:AK568" ca="1" si="883">M566+AJ566</f>
        <v>0</v>
      </c>
      <c r="AL566" s="593">
        <f t="shared" ref="AL566:AL568" ca="1" si="884">N566+AK566</f>
        <v>0</v>
      </c>
      <c r="AM566" s="593">
        <f t="shared" ref="AM566:AM568" ca="1" si="885">O566+AL566</f>
        <v>0</v>
      </c>
      <c r="AN566" s="593">
        <f t="shared" ref="AN566:AN568" ca="1" si="886">P566+AM566</f>
        <v>0</v>
      </c>
      <c r="AO566" s="593">
        <f t="shared" ref="AO566:AO568" ca="1" si="887">Q566+AN566</f>
        <v>0</v>
      </c>
      <c r="AP566" s="593">
        <f t="shared" ref="AP566:AP568" ca="1" si="888">R566+AO566</f>
        <v>0</v>
      </c>
    </row>
    <row r="567" spans="1:42" s="594" customFormat="1" ht="11.25" outlineLevel="1" x14ac:dyDescent="0.2">
      <c r="A567" s="644"/>
      <c r="B567" s="591" t="str">
        <f>IF(D567&lt;&gt;"",
IF(ISERROR(MATCH(D567,'Ist Aktuell Monat 01'!A:A,0))=FALSE,INDEX('Ist Aktuell Monat 01'!B:B,MATCH(D567,'Ist Aktuell Monat 01'!A:A,0)),
IF(ISERROR(MATCH(D567,'Ist Aktuell Monat 02'!A:A,0))=FALSE,INDEX('Ist Aktuell Monat 02'!B:B,MATCH(D567,'Ist Aktuell Monat 02'!A:A,0)),
IF(ISERROR(MATCH(D567,'Ist Aktuell Monat 03'!A:A,0))=FALSE,INDEX('Ist Aktuell Monat 03'!B:B,MATCH(D567,'Ist Aktuell Monat 03'!A:A,0)),
IF(ISERROR(MATCH(D567,'Ist Aktuell Monat 04'!A:A,0))=FALSE,INDEX('Ist Aktuell Monat 04'!B:B,MATCH(D567,'Ist Aktuell Monat 04'!A:A,0)),
IF(ISERROR(MATCH(D567,'Ist Aktuell Monat 05'!A:A,0))=FALSE,INDEX('Ist Aktuell Monat 05'!B:B,MATCH(D567,'Ist Aktuell Monat 05'!A:A,0)),
IF(ISERROR(MATCH(D567,'Ist Aktuell Monat 06'!A:A,0))=FALSE,INDEX('Ist Aktuell Monat 06'!B:B,MATCH(D567,'Ist Aktuell Monat 06'!A:A,0)),
IF(ISERROR(MATCH(D567,'Ist Aktuell Monat 07'!A:A,0))=FALSE,INDEX('Ist Aktuell Monat 07'!B:B,MATCH(D567,'Ist Aktuell Monat 07'!A:A,0)),
IF(ISERROR(MATCH(D567,'Ist Aktuell Monat 08'!A:A,0))=FALSE,INDEX('Ist Aktuell Monat 08'!B:B,MATCH(D567,'Ist Aktuell Monat 08'!A:A,0)),
IF(ISERROR(MATCH(D567,'Ist Aktuell Monat 09'!A:A,0))=FALSE,INDEX('Ist Aktuell Monat 09'!B:B,MATCH(D567,'Ist Aktuell Monat 09'!A:A,0)),
IF(ISERROR(MATCH(D567,'Ist Aktuell Monat 10'!A:A,0))=FALSE,INDEX('Ist Aktuell Monat 10'!B:B,MATCH(D567,'Ist Aktuell Monat 10'!A:A,0)),
IF(ISERROR(MATCH(D567,'Ist Aktuell Monat 11'!A:A,0))=FALSE,INDEX('Ist Aktuell Monat 11'!B:B,MATCH(D567,'Ist Aktuell Monat 11'!A:A,0)),
IF(ISERROR(MATCH(D567,'Ist Aktuell Monat 12'!A:A,0))=FALSE,INDEX('Ist Aktuell Monat 12'!B:B,MATCH(D567,'Ist Aktuell Monat 12'!A:A,0)),
"{Konto unbekannt}"
)))))))))))),"")</f>
        <v/>
      </c>
      <c r="C567" s="1062"/>
      <c r="D567" s="1067"/>
      <c r="E567" s="625">
        <f t="shared" si="727"/>
        <v>-1</v>
      </c>
      <c r="F567" s="626" t="s">
        <v>996</v>
      </c>
      <c r="G567" s="593">
        <f ca="1">$E567*SUMIF(INDIRECT(G$3),'Struktur Aktuell'!$D567,INDIRECT(G$8))*IFERROR(IF(VLOOKUP('Struktur Aktuell'!$D567,INDIRECT(G$6),8,)="H",-1,1),0)</f>
        <v>0</v>
      </c>
      <c r="H567" s="593">
        <f ca="1">$E567*SUMIF(INDIRECT(H$3),'Struktur Aktuell'!$D567,INDIRECT(H$8))*IFERROR(IF(VLOOKUP('Struktur Aktuell'!$D567,INDIRECT(H$6),8,)="H",-1,1),0)</f>
        <v>0</v>
      </c>
      <c r="I567" s="593">
        <f ca="1">$E567*SUMIF(INDIRECT(I$3),'Struktur Aktuell'!$D567,INDIRECT(I$8))*IFERROR(IF(VLOOKUP('Struktur Aktuell'!$D567,INDIRECT(I$6),8,)="H",-1,1),0)</f>
        <v>0</v>
      </c>
      <c r="J567" s="593">
        <f ca="1">$E567*SUMIF(INDIRECT(J$3),'Struktur Aktuell'!$D567,INDIRECT(J$8))*IFERROR(IF(VLOOKUP('Struktur Aktuell'!$D567,INDIRECT(J$6),8,)="H",-1,1),0)</f>
        <v>0</v>
      </c>
      <c r="K567" s="593">
        <f ca="1">$E567*SUMIF(INDIRECT(K$3),'Struktur Aktuell'!$D567,INDIRECT(K$8))*IFERROR(IF(VLOOKUP('Struktur Aktuell'!$D567,INDIRECT(K$6),8,)="H",-1,1),0)</f>
        <v>0</v>
      </c>
      <c r="L567" s="593">
        <f ca="1">$E567*SUMIF(INDIRECT(L$3),'Struktur Aktuell'!$D567,INDIRECT(L$8))*IFERROR(IF(VLOOKUP('Struktur Aktuell'!$D567,INDIRECT(L$6),8,)="H",-1,1),0)</f>
        <v>0</v>
      </c>
      <c r="M567" s="593">
        <f ca="1">$E567*SUMIF(INDIRECT(M$3),'Struktur Aktuell'!$D567,INDIRECT(M$8))*IFERROR(IF(VLOOKUP('Struktur Aktuell'!$D567,INDIRECT(M$6),8,)="H",-1,1),0)</f>
        <v>0</v>
      </c>
      <c r="N567" s="593">
        <f ca="1">$E567*SUMIF(INDIRECT(N$3),'Struktur Aktuell'!$D567,INDIRECT(N$8))*IFERROR(IF(VLOOKUP('Struktur Aktuell'!$D567,INDIRECT(N$6),8,)="H",-1,1),0)</f>
        <v>0</v>
      </c>
      <c r="O567" s="593">
        <f ca="1">$E567*SUMIF(INDIRECT(O$3),'Struktur Aktuell'!$D567,INDIRECT(O$8))*IFERROR(IF(VLOOKUP('Struktur Aktuell'!$D567,INDIRECT(O$6),8,)="H",-1,1),0)</f>
        <v>0</v>
      </c>
      <c r="P567" s="593">
        <f ca="1">$E567*SUMIF(INDIRECT(P$3),'Struktur Aktuell'!$D567,INDIRECT(P$8))*IFERROR(IF(VLOOKUP('Struktur Aktuell'!$D567,INDIRECT(P$6),8,)="H",-1,1),0)</f>
        <v>0</v>
      </c>
      <c r="Q567" s="593">
        <f ca="1">$E567*SUMIF(INDIRECT(Q$3),'Struktur Aktuell'!$D567,INDIRECT(Q$8))*IFERROR(IF(VLOOKUP('Struktur Aktuell'!$D567,INDIRECT(Q$6),8,)="H",-1,1),0)</f>
        <v>0</v>
      </c>
      <c r="R567" s="593">
        <f ca="1">$E567*SUMIF(INDIRECT(R$3),'Struktur Aktuell'!$D567,INDIRECT(R$8))*IFERROR(IF(VLOOKUP('Struktur Aktuell'!$D567,INDIRECT(R$6),8,)="H",-1,1),0)</f>
        <v>0</v>
      </c>
      <c r="S567" s="593" t="e">
        <f ca="1">$E567*SUMIF(INDIRECT(S$3),'Struktur Aktuell'!$D567,INDIRECT(S$8))*IFERROR(IF(VLOOKUP('Struktur Aktuell'!$D567,INDIRECT(S$6),8,)="H",-1,1),0)</f>
        <v>#REF!</v>
      </c>
      <c r="T567" s="593" t="e">
        <f ca="1">$E567*SUMIF(INDIRECT(T$3),'Struktur Aktuell'!$D567,INDIRECT(T$8))*IFERROR(IF(VLOOKUP('Struktur Aktuell'!$D567,INDIRECT(T$6),8,)="H",-1,1),0)</f>
        <v>#REF!</v>
      </c>
      <c r="U567" s="593" t="e">
        <f ca="1">$E567*SUMIF(INDIRECT(U$3),'Struktur Aktuell'!$D567,INDIRECT(U$8))*IFERROR(IF(VLOOKUP('Struktur Aktuell'!$D567,INDIRECT(U$6),8,)="H",-1,1),0)</f>
        <v>#REF!</v>
      </c>
      <c r="V567" s="593" t="e">
        <f ca="1">$E567*SUMIF(INDIRECT(V$3),'Struktur Aktuell'!$D567,INDIRECT(V$8))*IFERROR(IF(VLOOKUP('Struktur Aktuell'!$D567,INDIRECT(V$6),8,)="H",-1,1),0)</f>
        <v>#REF!</v>
      </c>
      <c r="W567" s="593" t="e">
        <f ca="1">$E567*SUMIF(INDIRECT(W$3),'Struktur Aktuell'!$D567,INDIRECT(W$8))*IFERROR(IF(VLOOKUP('Struktur Aktuell'!$D567,INDIRECT(W$6),8,)="H",-1,1),0)</f>
        <v>#REF!</v>
      </c>
      <c r="X567" s="593" t="e">
        <f ca="1">$E567*SUMIF(INDIRECT(X$3),'Struktur Aktuell'!$D567,INDIRECT(X$8))*IFERROR(IF(VLOOKUP('Struktur Aktuell'!$D567,INDIRECT(X$6),8,)="H",-1,1),0)</f>
        <v>#REF!</v>
      </c>
      <c r="Y567" s="593" t="e">
        <f ca="1">$E567*SUMIF(INDIRECT(Y$3),'Struktur Aktuell'!$D567,INDIRECT(Y$8))*IFERROR(IF(VLOOKUP('Struktur Aktuell'!$D567,INDIRECT(Y$6),8,)="H",-1,1),0)</f>
        <v>#REF!</v>
      </c>
      <c r="Z567" s="593" t="e">
        <f ca="1">$E567*SUMIF(INDIRECT(Z$3),'Struktur Aktuell'!$D567,INDIRECT(Z$8))*IFERROR(IF(VLOOKUP('Struktur Aktuell'!$D567,INDIRECT(Z$6),8,)="H",-1,1),0)</f>
        <v>#REF!</v>
      </c>
      <c r="AA567" s="593" t="e">
        <f ca="1">$E567*SUMIF(INDIRECT(AA$3),'Struktur Aktuell'!$D567,INDIRECT(AA$8))*IFERROR(IF(VLOOKUP('Struktur Aktuell'!$D567,INDIRECT(AA$6),8,)="H",-1,1),0)</f>
        <v>#REF!</v>
      </c>
      <c r="AB567" s="593" t="e">
        <f ca="1">$E567*SUMIF(INDIRECT(AB$3),'Struktur Aktuell'!$D567,INDIRECT(AB$8))*IFERROR(IF(VLOOKUP('Struktur Aktuell'!$D567,INDIRECT(AB$6),8,)="H",-1,1),0)</f>
        <v>#REF!</v>
      </c>
      <c r="AC567" s="593" t="e">
        <f ca="1">$E567*SUMIF(INDIRECT(AC$3),'Struktur Aktuell'!$D567,INDIRECT(AC$8))*IFERROR(IF(VLOOKUP('Struktur Aktuell'!$D567,INDIRECT(AC$6),8,)="H",-1,1),0)</f>
        <v>#REF!</v>
      </c>
      <c r="AD567" s="593" t="e">
        <f ca="1">$E567*SUMIF(INDIRECT(AD$3),'Struktur Aktuell'!$D567,INDIRECT(AD$8))*IFERROR(IF(VLOOKUP('Struktur Aktuell'!$D567,INDIRECT(AD$6),8,)="H",-1,1),0)</f>
        <v>#REF!</v>
      </c>
      <c r="AE567" s="593">
        <f t="shared" ca="1" si="877"/>
        <v>0</v>
      </c>
      <c r="AF567" s="593">
        <f t="shared" ca="1" si="878"/>
        <v>0</v>
      </c>
      <c r="AG567" s="593">
        <f t="shared" ca="1" si="879"/>
        <v>0</v>
      </c>
      <c r="AH567" s="593">
        <f t="shared" ca="1" si="880"/>
        <v>0</v>
      </c>
      <c r="AI567" s="593">
        <f t="shared" ca="1" si="881"/>
        <v>0</v>
      </c>
      <c r="AJ567" s="593">
        <f t="shared" ca="1" si="882"/>
        <v>0</v>
      </c>
      <c r="AK567" s="593">
        <f t="shared" ca="1" si="883"/>
        <v>0</v>
      </c>
      <c r="AL567" s="593">
        <f t="shared" ca="1" si="884"/>
        <v>0</v>
      </c>
      <c r="AM567" s="593">
        <f t="shared" ca="1" si="885"/>
        <v>0</v>
      </c>
      <c r="AN567" s="593">
        <f t="shared" ca="1" si="886"/>
        <v>0</v>
      </c>
      <c r="AO567" s="593">
        <f t="shared" ca="1" si="887"/>
        <v>0</v>
      </c>
      <c r="AP567" s="593">
        <f t="shared" ca="1" si="888"/>
        <v>0</v>
      </c>
    </row>
    <row r="568" spans="1:42" s="594" customFormat="1" ht="11.25" outlineLevel="1" x14ac:dyDescent="0.2">
      <c r="A568" s="644"/>
      <c r="B568" s="591" t="str">
        <f>IF(D568&lt;&gt;"",
IF(ISERROR(MATCH(D568,'Ist Aktuell Monat 01'!A:A,0))=FALSE,INDEX('Ist Aktuell Monat 01'!B:B,MATCH(D568,'Ist Aktuell Monat 01'!A:A,0)),
IF(ISERROR(MATCH(D568,'Ist Aktuell Monat 02'!A:A,0))=FALSE,INDEX('Ist Aktuell Monat 02'!B:B,MATCH(D568,'Ist Aktuell Monat 02'!A:A,0)),
IF(ISERROR(MATCH(D568,'Ist Aktuell Monat 03'!A:A,0))=FALSE,INDEX('Ist Aktuell Monat 03'!B:B,MATCH(D568,'Ist Aktuell Monat 03'!A:A,0)),
IF(ISERROR(MATCH(D568,'Ist Aktuell Monat 04'!A:A,0))=FALSE,INDEX('Ist Aktuell Monat 04'!B:B,MATCH(D568,'Ist Aktuell Monat 04'!A:A,0)),
IF(ISERROR(MATCH(D568,'Ist Aktuell Monat 05'!A:A,0))=FALSE,INDEX('Ist Aktuell Monat 05'!B:B,MATCH(D568,'Ist Aktuell Monat 05'!A:A,0)),
IF(ISERROR(MATCH(D568,'Ist Aktuell Monat 06'!A:A,0))=FALSE,INDEX('Ist Aktuell Monat 06'!B:B,MATCH(D568,'Ist Aktuell Monat 06'!A:A,0)),
IF(ISERROR(MATCH(D568,'Ist Aktuell Monat 07'!A:A,0))=FALSE,INDEX('Ist Aktuell Monat 07'!B:B,MATCH(D568,'Ist Aktuell Monat 07'!A:A,0)),
IF(ISERROR(MATCH(D568,'Ist Aktuell Monat 08'!A:A,0))=FALSE,INDEX('Ist Aktuell Monat 08'!B:B,MATCH(D568,'Ist Aktuell Monat 08'!A:A,0)),
IF(ISERROR(MATCH(D568,'Ist Aktuell Monat 09'!A:A,0))=FALSE,INDEX('Ist Aktuell Monat 09'!B:B,MATCH(D568,'Ist Aktuell Monat 09'!A:A,0)),
IF(ISERROR(MATCH(D568,'Ist Aktuell Monat 10'!A:A,0))=FALSE,INDEX('Ist Aktuell Monat 10'!B:B,MATCH(D568,'Ist Aktuell Monat 10'!A:A,0)),
IF(ISERROR(MATCH(D568,'Ist Aktuell Monat 11'!A:A,0))=FALSE,INDEX('Ist Aktuell Monat 11'!B:B,MATCH(D568,'Ist Aktuell Monat 11'!A:A,0)),
IF(ISERROR(MATCH(D568,'Ist Aktuell Monat 12'!A:A,0))=FALSE,INDEX('Ist Aktuell Monat 12'!B:B,MATCH(D568,'Ist Aktuell Monat 12'!A:A,0)),
"{Konto unbekannt}"
)))))))))))),"")</f>
        <v/>
      </c>
      <c r="C568" s="1062"/>
      <c r="D568" s="1067"/>
      <c r="E568" s="625">
        <f t="shared" si="727"/>
        <v>-1</v>
      </c>
      <c r="F568" s="626" t="s">
        <v>996</v>
      </c>
      <c r="G568" s="593">
        <f ca="1">$E568*SUMIF(INDIRECT(G$3),'Struktur Aktuell'!$D568,INDIRECT(G$8))*IFERROR(IF(VLOOKUP('Struktur Aktuell'!$D568,INDIRECT(G$6),8,)="H",-1,1),0)</f>
        <v>0</v>
      </c>
      <c r="H568" s="593">
        <f ca="1">$E568*SUMIF(INDIRECT(H$3),'Struktur Aktuell'!$D568,INDIRECT(H$8))*IFERROR(IF(VLOOKUP('Struktur Aktuell'!$D568,INDIRECT(H$6),8,)="H",-1,1),0)</f>
        <v>0</v>
      </c>
      <c r="I568" s="593">
        <f ca="1">$E568*SUMIF(INDIRECT(I$3),'Struktur Aktuell'!$D568,INDIRECT(I$8))*IFERROR(IF(VLOOKUP('Struktur Aktuell'!$D568,INDIRECT(I$6),8,)="H",-1,1),0)</f>
        <v>0</v>
      </c>
      <c r="J568" s="593">
        <f ca="1">$E568*SUMIF(INDIRECT(J$3),'Struktur Aktuell'!$D568,INDIRECT(J$8))*IFERROR(IF(VLOOKUP('Struktur Aktuell'!$D568,INDIRECT(J$6),8,)="H",-1,1),0)</f>
        <v>0</v>
      </c>
      <c r="K568" s="593">
        <f ca="1">$E568*SUMIF(INDIRECT(K$3),'Struktur Aktuell'!$D568,INDIRECT(K$8))*IFERROR(IF(VLOOKUP('Struktur Aktuell'!$D568,INDIRECT(K$6),8,)="H",-1,1),0)</f>
        <v>0</v>
      </c>
      <c r="L568" s="593">
        <f ca="1">$E568*SUMIF(INDIRECT(L$3),'Struktur Aktuell'!$D568,INDIRECT(L$8))*IFERROR(IF(VLOOKUP('Struktur Aktuell'!$D568,INDIRECT(L$6),8,)="H",-1,1),0)</f>
        <v>0</v>
      </c>
      <c r="M568" s="593">
        <f ca="1">$E568*SUMIF(INDIRECT(M$3),'Struktur Aktuell'!$D568,INDIRECT(M$8))*IFERROR(IF(VLOOKUP('Struktur Aktuell'!$D568,INDIRECT(M$6),8,)="H",-1,1),0)</f>
        <v>0</v>
      </c>
      <c r="N568" s="593">
        <f ca="1">$E568*SUMIF(INDIRECT(N$3),'Struktur Aktuell'!$D568,INDIRECT(N$8))*IFERROR(IF(VLOOKUP('Struktur Aktuell'!$D568,INDIRECT(N$6),8,)="H",-1,1),0)</f>
        <v>0</v>
      </c>
      <c r="O568" s="593">
        <f ca="1">$E568*SUMIF(INDIRECT(O$3),'Struktur Aktuell'!$D568,INDIRECT(O$8))*IFERROR(IF(VLOOKUP('Struktur Aktuell'!$D568,INDIRECT(O$6),8,)="H",-1,1),0)</f>
        <v>0</v>
      </c>
      <c r="P568" s="593">
        <f ca="1">$E568*SUMIF(INDIRECT(P$3),'Struktur Aktuell'!$D568,INDIRECT(P$8))*IFERROR(IF(VLOOKUP('Struktur Aktuell'!$D568,INDIRECT(P$6),8,)="H",-1,1),0)</f>
        <v>0</v>
      </c>
      <c r="Q568" s="593">
        <f ca="1">$E568*SUMIF(INDIRECT(Q$3),'Struktur Aktuell'!$D568,INDIRECT(Q$8))*IFERROR(IF(VLOOKUP('Struktur Aktuell'!$D568,INDIRECT(Q$6),8,)="H",-1,1),0)</f>
        <v>0</v>
      </c>
      <c r="R568" s="593">
        <f ca="1">$E568*SUMIF(INDIRECT(R$3),'Struktur Aktuell'!$D568,INDIRECT(R$8))*IFERROR(IF(VLOOKUP('Struktur Aktuell'!$D568,INDIRECT(R$6),8,)="H",-1,1),0)</f>
        <v>0</v>
      </c>
      <c r="S568" s="593" t="e">
        <f ca="1">$E568*SUMIF(INDIRECT(S$3),'Struktur Aktuell'!$D568,INDIRECT(S$8))*IFERROR(IF(VLOOKUP('Struktur Aktuell'!$D568,INDIRECT(S$6),8,)="H",-1,1),0)</f>
        <v>#REF!</v>
      </c>
      <c r="T568" s="593" t="e">
        <f ca="1">$E568*SUMIF(INDIRECT(T$3),'Struktur Aktuell'!$D568,INDIRECT(T$8))*IFERROR(IF(VLOOKUP('Struktur Aktuell'!$D568,INDIRECT(T$6),8,)="H",-1,1),0)</f>
        <v>#REF!</v>
      </c>
      <c r="U568" s="593" t="e">
        <f ca="1">$E568*SUMIF(INDIRECT(U$3),'Struktur Aktuell'!$D568,INDIRECT(U$8))*IFERROR(IF(VLOOKUP('Struktur Aktuell'!$D568,INDIRECT(U$6),8,)="H",-1,1),0)</f>
        <v>#REF!</v>
      </c>
      <c r="V568" s="593" t="e">
        <f ca="1">$E568*SUMIF(INDIRECT(V$3),'Struktur Aktuell'!$D568,INDIRECT(V$8))*IFERROR(IF(VLOOKUP('Struktur Aktuell'!$D568,INDIRECT(V$6),8,)="H",-1,1),0)</f>
        <v>#REF!</v>
      </c>
      <c r="W568" s="593" t="e">
        <f ca="1">$E568*SUMIF(INDIRECT(W$3),'Struktur Aktuell'!$D568,INDIRECT(W$8))*IFERROR(IF(VLOOKUP('Struktur Aktuell'!$D568,INDIRECT(W$6),8,)="H",-1,1),0)</f>
        <v>#REF!</v>
      </c>
      <c r="X568" s="593" t="e">
        <f ca="1">$E568*SUMIF(INDIRECT(X$3),'Struktur Aktuell'!$D568,INDIRECT(X$8))*IFERROR(IF(VLOOKUP('Struktur Aktuell'!$D568,INDIRECT(X$6),8,)="H",-1,1),0)</f>
        <v>#REF!</v>
      </c>
      <c r="Y568" s="593" t="e">
        <f ca="1">$E568*SUMIF(INDIRECT(Y$3),'Struktur Aktuell'!$D568,INDIRECT(Y$8))*IFERROR(IF(VLOOKUP('Struktur Aktuell'!$D568,INDIRECT(Y$6),8,)="H",-1,1),0)</f>
        <v>#REF!</v>
      </c>
      <c r="Z568" s="593" t="e">
        <f ca="1">$E568*SUMIF(INDIRECT(Z$3),'Struktur Aktuell'!$D568,INDIRECT(Z$8))*IFERROR(IF(VLOOKUP('Struktur Aktuell'!$D568,INDIRECT(Z$6),8,)="H",-1,1),0)</f>
        <v>#REF!</v>
      </c>
      <c r="AA568" s="593" t="e">
        <f ca="1">$E568*SUMIF(INDIRECT(AA$3),'Struktur Aktuell'!$D568,INDIRECT(AA$8))*IFERROR(IF(VLOOKUP('Struktur Aktuell'!$D568,INDIRECT(AA$6),8,)="H",-1,1),0)</f>
        <v>#REF!</v>
      </c>
      <c r="AB568" s="593" t="e">
        <f ca="1">$E568*SUMIF(INDIRECT(AB$3),'Struktur Aktuell'!$D568,INDIRECT(AB$8))*IFERROR(IF(VLOOKUP('Struktur Aktuell'!$D568,INDIRECT(AB$6),8,)="H",-1,1),0)</f>
        <v>#REF!</v>
      </c>
      <c r="AC568" s="593" t="e">
        <f ca="1">$E568*SUMIF(INDIRECT(AC$3),'Struktur Aktuell'!$D568,INDIRECT(AC$8))*IFERROR(IF(VLOOKUP('Struktur Aktuell'!$D568,INDIRECT(AC$6),8,)="H",-1,1),0)</f>
        <v>#REF!</v>
      </c>
      <c r="AD568" s="593" t="e">
        <f ca="1">$E568*SUMIF(INDIRECT(AD$3),'Struktur Aktuell'!$D568,INDIRECT(AD$8))*IFERROR(IF(VLOOKUP('Struktur Aktuell'!$D568,INDIRECT(AD$6),8,)="H",-1,1),0)</f>
        <v>#REF!</v>
      </c>
      <c r="AE568" s="593">
        <f t="shared" ca="1" si="877"/>
        <v>0</v>
      </c>
      <c r="AF568" s="593">
        <f t="shared" ca="1" si="878"/>
        <v>0</v>
      </c>
      <c r="AG568" s="593">
        <f t="shared" ca="1" si="879"/>
        <v>0</v>
      </c>
      <c r="AH568" s="593">
        <f t="shared" ca="1" si="880"/>
        <v>0</v>
      </c>
      <c r="AI568" s="593">
        <f t="shared" ca="1" si="881"/>
        <v>0</v>
      </c>
      <c r="AJ568" s="593">
        <f t="shared" ca="1" si="882"/>
        <v>0</v>
      </c>
      <c r="AK568" s="593">
        <f t="shared" ca="1" si="883"/>
        <v>0</v>
      </c>
      <c r="AL568" s="593">
        <f t="shared" ca="1" si="884"/>
        <v>0</v>
      </c>
      <c r="AM568" s="593">
        <f t="shared" ca="1" si="885"/>
        <v>0</v>
      </c>
      <c r="AN568" s="593">
        <f t="shared" ca="1" si="886"/>
        <v>0</v>
      </c>
      <c r="AO568" s="593">
        <f t="shared" ca="1" si="887"/>
        <v>0</v>
      </c>
      <c r="AP568" s="593">
        <f t="shared" ca="1" si="888"/>
        <v>0</v>
      </c>
    </row>
    <row r="569" spans="1:42" s="589" customFormat="1" outlineLevel="1" x14ac:dyDescent="0.2">
      <c r="A569" s="629">
        <v>53</v>
      </c>
      <c r="B569" s="623" t="s">
        <v>338</v>
      </c>
      <c r="C569" s="627">
        <f ca="1">SUM(G569:R569)</f>
        <v>0</v>
      </c>
      <c r="D569" s="627"/>
      <c r="E569" s="628">
        <f t="shared" si="727"/>
        <v>1</v>
      </c>
      <c r="F569" s="628"/>
      <c r="G569" s="627">
        <f t="shared" ref="G569:R569" ca="1" si="889">SUM(G570:G583)</f>
        <v>0</v>
      </c>
      <c r="H569" s="627">
        <f t="shared" ca="1" si="889"/>
        <v>0</v>
      </c>
      <c r="I569" s="627">
        <f t="shared" ca="1" si="889"/>
        <v>0</v>
      </c>
      <c r="J569" s="627">
        <f t="shared" ca="1" si="889"/>
        <v>0</v>
      </c>
      <c r="K569" s="627">
        <f t="shared" ca="1" si="889"/>
        <v>0</v>
      </c>
      <c r="L569" s="627">
        <f t="shared" ca="1" si="889"/>
        <v>0</v>
      </c>
      <c r="M569" s="627">
        <f t="shared" ca="1" si="889"/>
        <v>0</v>
      </c>
      <c r="N569" s="627">
        <f t="shared" ca="1" si="889"/>
        <v>0</v>
      </c>
      <c r="O569" s="627">
        <f t="shared" ca="1" si="889"/>
        <v>0</v>
      </c>
      <c r="P569" s="627">
        <f t="shared" ca="1" si="889"/>
        <v>0</v>
      </c>
      <c r="Q569" s="627">
        <f t="shared" ca="1" si="889"/>
        <v>0</v>
      </c>
      <c r="R569" s="627">
        <f t="shared" ca="1" si="889"/>
        <v>0</v>
      </c>
      <c r="S569" s="627" t="e">
        <f t="shared" ref="S569:AP569" ca="1" si="890">SUM(S570:S583)</f>
        <v>#REF!</v>
      </c>
      <c r="T569" s="627" t="e">
        <f t="shared" ca="1" si="890"/>
        <v>#REF!</v>
      </c>
      <c r="U569" s="627" t="e">
        <f t="shared" ca="1" si="890"/>
        <v>#REF!</v>
      </c>
      <c r="V569" s="627" t="e">
        <f t="shared" ca="1" si="890"/>
        <v>#REF!</v>
      </c>
      <c r="W569" s="627" t="e">
        <f t="shared" ca="1" si="890"/>
        <v>#REF!</v>
      </c>
      <c r="X569" s="627" t="e">
        <f t="shared" ca="1" si="890"/>
        <v>#REF!</v>
      </c>
      <c r="Y569" s="627" t="e">
        <f t="shared" ca="1" si="890"/>
        <v>#REF!</v>
      </c>
      <c r="Z569" s="627" t="e">
        <f t="shared" ca="1" si="890"/>
        <v>#REF!</v>
      </c>
      <c r="AA569" s="627" t="e">
        <f t="shared" ca="1" si="890"/>
        <v>#REF!</v>
      </c>
      <c r="AB569" s="627" t="e">
        <f t="shared" ca="1" si="890"/>
        <v>#REF!</v>
      </c>
      <c r="AC569" s="627" t="e">
        <f t="shared" ca="1" si="890"/>
        <v>#REF!</v>
      </c>
      <c r="AD569" s="627" t="e">
        <f t="shared" ca="1" si="890"/>
        <v>#REF!</v>
      </c>
      <c r="AE569" s="627">
        <f t="shared" ca="1" si="890"/>
        <v>0</v>
      </c>
      <c r="AF569" s="627">
        <f t="shared" ca="1" si="890"/>
        <v>0</v>
      </c>
      <c r="AG569" s="627">
        <f t="shared" ca="1" si="890"/>
        <v>0</v>
      </c>
      <c r="AH569" s="627">
        <f t="shared" ca="1" si="890"/>
        <v>0</v>
      </c>
      <c r="AI569" s="627">
        <f t="shared" ca="1" si="890"/>
        <v>0</v>
      </c>
      <c r="AJ569" s="627">
        <f t="shared" ca="1" si="890"/>
        <v>0</v>
      </c>
      <c r="AK569" s="627">
        <f t="shared" ca="1" si="890"/>
        <v>0</v>
      </c>
      <c r="AL569" s="627">
        <f t="shared" ca="1" si="890"/>
        <v>0</v>
      </c>
      <c r="AM569" s="627">
        <f t="shared" ca="1" si="890"/>
        <v>0</v>
      </c>
      <c r="AN569" s="627">
        <f t="shared" ca="1" si="890"/>
        <v>0</v>
      </c>
      <c r="AO569" s="627">
        <f t="shared" ca="1" si="890"/>
        <v>0</v>
      </c>
      <c r="AP569" s="627">
        <f t="shared" ca="1" si="890"/>
        <v>0</v>
      </c>
    </row>
    <row r="570" spans="1:42" s="594" customFormat="1" ht="11.25" x14ac:dyDescent="0.2">
      <c r="A570" s="644"/>
      <c r="B570" s="591" t="str">
        <f>IF(D570&lt;&gt;"",
IF(ISERROR(MATCH(D570,'Ist Aktuell Monat 01'!A:A,0))=FALSE,INDEX('Ist Aktuell Monat 01'!B:B,MATCH(D570,'Ist Aktuell Monat 01'!A:A,0)),
IF(ISERROR(MATCH(D570,'Ist Aktuell Monat 02'!A:A,0))=FALSE,INDEX('Ist Aktuell Monat 02'!B:B,MATCH(D570,'Ist Aktuell Monat 02'!A:A,0)),
IF(ISERROR(MATCH(D570,'Ist Aktuell Monat 03'!A:A,0))=FALSE,INDEX('Ist Aktuell Monat 03'!B:B,MATCH(D570,'Ist Aktuell Monat 03'!A:A,0)),
IF(ISERROR(MATCH(D570,'Ist Aktuell Monat 04'!A:A,0))=FALSE,INDEX('Ist Aktuell Monat 04'!B:B,MATCH(D570,'Ist Aktuell Monat 04'!A:A,0)),
IF(ISERROR(MATCH(D570,'Ist Aktuell Monat 05'!A:A,0))=FALSE,INDEX('Ist Aktuell Monat 05'!B:B,MATCH(D570,'Ist Aktuell Monat 05'!A:A,0)),
IF(ISERROR(MATCH(D570,'Ist Aktuell Monat 06'!A:A,0))=FALSE,INDEX('Ist Aktuell Monat 06'!B:B,MATCH(D570,'Ist Aktuell Monat 06'!A:A,0)),
IF(ISERROR(MATCH(D570,'Ist Aktuell Monat 07'!A:A,0))=FALSE,INDEX('Ist Aktuell Monat 07'!B:B,MATCH(D570,'Ist Aktuell Monat 07'!A:A,0)),
IF(ISERROR(MATCH(D570,'Ist Aktuell Monat 08'!A:A,0))=FALSE,INDEX('Ist Aktuell Monat 08'!B:B,MATCH(D570,'Ist Aktuell Monat 08'!A:A,0)),
IF(ISERROR(MATCH(D570,'Ist Aktuell Monat 09'!A:A,0))=FALSE,INDEX('Ist Aktuell Monat 09'!B:B,MATCH(D570,'Ist Aktuell Monat 09'!A:A,0)),
IF(ISERROR(MATCH(D570,'Ist Aktuell Monat 10'!A:A,0))=FALSE,INDEX('Ist Aktuell Monat 10'!B:B,MATCH(D570,'Ist Aktuell Monat 10'!A:A,0)),
IF(ISERROR(MATCH(D570,'Ist Aktuell Monat 11'!A:A,0))=FALSE,INDEX('Ist Aktuell Monat 11'!B:B,MATCH(D570,'Ist Aktuell Monat 11'!A:A,0)),
IF(ISERROR(MATCH(D570,'Ist Aktuell Monat 12'!A:A,0))=FALSE,INDEX('Ist Aktuell Monat 12'!B:B,MATCH(D570,'Ist Aktuell Monat 12'!A:A,0)),
"{Konto unbekannt}"
)))))))))))),"")</f>
        <v>Verbindlichkeiten aus Lohn und Gehalt</v>
      </c>
      <c r="C570" s="1062"/>
      <c r="D570" s="1067">
        <v>1740</v>
      </c>
      <c r="E570" s="625">
        <f t="shared" si="727"/>
        <v>-1</v>
      </c>
      <c r="F570" s="626" t="s">
        <v>996</v>
      </c>
      <c r="G570" s="593">
        <f ca="1">$E570*SUMIF(INDIRECT(G$3),'Struktur Aktuell'!$D570,INDIRECT(G$8))*IFERROR(IF(VLOOKUP('Struktur Aktuell'!$D570,INDIRECT(G$6),8,)="H",-1,1),0)</f>
        <v>0</v>
      </c>
      <c r="H570" s="593">
        <f ca="1">$E570*SUMIF(INDIRECT(H$3),'Struktur Aktuell'!$D570,INDIRECT(H$8))*IFERROR(IF(VLOOKUP('Struktur Aktuell'!$D570,INDIRECT(H$6),8,)="H",-1,1),0)</f>
        <v>0</v>
      </c>
      <c r="I570" s="593">
        <f ca="1">$E570*SUMIF(INDIRECT(I$3),'Struktur Aktuell'!$D570,INDIRECT(I$8))*IFERROR(IF(VLOOKUP('Struktur Aktuell'!$D570,INDIRECT(I$6),8,)="H",-1,1),0)</f>
        <v>0</v>
      </c>
      <c r="J570" s="593">
        <f ca="1">$E570*SUMIF(INDIRECT(J$3),'Struktur Aktuell'!$D570,INDIRECT(J$8))*IFERROR(IF(VLOOKUP('Struktur Aktuell'!$D570,INDIRECT(J$6),8,)="H",-1,1),0)</f>
        <v>0</v>
      </c>
      <c r="K570" s="593">
        <f ca="1">$E570*SUMIF(INDIRECT(K$3),'Struktur Aktuell'!$D570,INDIRECT(K$8))*IFERROR(IF(VLOOKUP('Struktur Aktuell'!$D570,INDIRECT(K$6),8,)="H",-1,1),0)</f>
        <v>0</v>
      </c>
      <c r="L570" s="593">
        <f ca="1">$E570*SUMIF(INDIRECT(L$3),'Struktur Aktuell'!$D570,INDIRECT(L$8))*IFERROR(IF(VLOOKUP('Struktur Aktuell'!$D570,INDIRECT(L$6),8,)="H",-1,1),0)</f>
        <v>0</v>
      </c>
      <c r="M570" s="593">
        <f ca="1">$E570*SUMIF(INDIRECT(M$3),'Struktur Aktuell'!$D570,INDIRECT(M$8))*IFERROR(IF(VLOOKUP('Struktur Aktuell'!$D570,INDIRECT(M$6),8,)="H",-1,1),0)</f>
        <v>0</v>
      </c>
      <c r="N570" s="593">
        <f ca="1">$E570*SUMIF(INDIRECT(N$3),'Struktur Aktuell'!$D570,INDIRECT(N$8))*IFERROR(IF(VLOOKUP('Struktur Aktuell'!$D570,INDIRECT(N$6),8,)="H",-1,1),0)</f>
        <v>0</v>
      </c>
      <c r="O570" s="593">
        <f ca="1">$E570*SUMIF(INDIRECT(O$3),'Struktur Aktuell'!$D570,INDIRECT(O$8))*IFERROR(IF(VLOOKUP('Struktur Aktuell'!$D570,INDIRECT(O$6),8,)="H",-1,1),0)</f>
        <v>0</v>
      </c>
      <c r="P570" s="593">
        <f ca="1">$E570*SUMIF(INDIRECT(P$3),'Struktur Aktuell'!$D570,INDIRECT(P$8))*IFERROR(IF(VLOOKUP('Struktur Aktuell'!$D570,INDIRECT(P$6),8,)="H",-1,1),0)</f>
        <v>0</v>
      </c>
      <c r="Q570" s="593">
        <f ca="1">$E570*SUMIF(INDIRECT(Q$3),'Struktur Aktuell'!$D570,INDIRECT(Q$8))*IFERROR(IF(VLOOKUP('Struktur Aktuell'!$D570,INDIRECT(Q$6),8,)="H",-1,1),0)</f>
        <v>0</v>
      </c>
      <c r="R570" s="593">
        <f ca="1">$E570*SUMIF(INDIRECT(R$3),'Struktur Aktuell'!$D570,INDIRECT(R$8))*IFERROR(IF(VLOOKUP('Struktur Aktuell'!$D570,INDIRECT(R$6),8,)="H",-1,1),0)</f>
        <v>0</v>
      </c>
      <c r="S570" s="593" t="e">
        <f ca="1">$E570*SUMIF(INDIRECT(S$3),'Struktur Aktuell'!$D570,INDIRECT(S$8))*IFERROR(IF(VLOOKUP('Struktur Aktuell'!$D570,INDIRECT(S$6),8,)="H",-1,1),0)</f>
        <v>#REF!</v>
      </c>
      <c r="T570" s="593" t="e">
        <f ca="1">$E570*SUMIF(INDIRECT(T$3),'Struktur Aktuell'!$D570,INDIRECT(T$8))*IFERROR(IF(VLOOKUP('Struktur Aktuell'!$D570,INDIRECT(T$6),8,)="H",-1,1),0)</f>
        <v>#REF!</v>
      </c>
      <c r="U570" s="593" t="e">
        <f ca="1">$E570*SUMIF(INDIRECT(U$3),'Struktur Aktuell'!$D570,INDIRECT(U$8))*IFERROR(IF(VLOOKUP('Struktur Aktuell'!$D570,INDIRECT(U$6),8,)="H",-1,1),0)</f>
        <v>#REF!</v>
      </c>
      <c r="V570" s="593" t="e">
        <f ca="1">$E570*SUMIF(INDIRECT(V$3),'Struktur Aktuell'!$D570,INDIRECT(V$8))*IFERROR(IF(VLOOKUP('Struktur Aktuell'!$D570,INDIRECT(V$6),8,)="H",-1,1),0)</f>
        <v>#REF!</v>
      </c>
      <c r="W570" s="593" t="e">
        <f ca="1">$E570*SUMIF(INDIRECT(W$3),'Struktur Aktuell'!$D570,INDIRECT(W$8))*IFERROR(IF(VLOOKUP('Struktur Aktuell'!$D570,INDIRECT(W$6),8,)="H",-1,1),0)</f>
        <v>#REF!</v>
      </c>
      <c r="X570" s="593" t="e">
        <f ca="1">$E570*SUMIF(INDIRECT(X$3),'Struktur Aktuell'!$D570,INDIRECT(X$8))*IFERROR(IF(VLOOKUP('Struktur Aktuell'!$D570,INDIRECT(X$6),8,)="H",-1,1),0)</f>
        <v>#REF!</v>
      </c>
      <c r="Y570" s="593" t="e">
        <f ca="1">$E570*SUMIF(INDIRECT(Y$3),'Struktur Aktuell'!$D570,INDIRECT(Y$8))*IFERROR(IF(VLOOKUP('Struktur Aktuell'!$D570,INDIRECT(Y$6),8,)="H",-1,1),0)</f>
        <v>#REF!</v>
      </c>
      <c r="Z570" s="593" t="e">
        <f ca="1">$E570*SUMIF(INDIRECT(Z$3),'Struktur Aktuell'!$D570,INDIRECT(Z$8))*IFERROR(IF(VLOOKUP('Struktur Aktuell'!$D570,INDIRECT(Z$6),8,)="H",-1,1),0)</f>
        <v>#REF!</v>
      </c>
      <c r="AA570" s="593" t="e">
        <f ca="1">$E570*SUMIF(INDIRECT(AA$3),'Struktur Aktuell'!$D570,INDIRECT(AA$8))*IFERROR(IF(VLOOKUP('Struktur Aktuell'!$D570,INDIRECT(AA$6),8,)="H",-1,1),0)</f>
        <v>#REF!</v>
      </c>
      <c r="AB570" s="593" t="e">
        <f ca="1">$E570*SUMIF(INDIRECT(AB$3),'Struktur Aktuell'!$D570,INDIRECT(AB$8))*IFERROR(IF(VLOOKUP('Struktur Aktuell'!$D570,INDIRECT(AB$6),8,)="H",-1,1),0)</f>
        <v>#REF!</v>
      </c>
      <c r="AC570" s="593" t="e">
        <f ca="1">$E570*SUMIF(INDIRECT(AC$3),'Struktur Aktuell'!$D570,INDIRECT(AC$8))*IFERROR(IF(VLOOKUP('Struktur Aktuell'!$D570,INDIRECT(AC$6),8,)="H",-1,1),0)</f>
        <v>#REF!</v>
      </c>
      <c r="AD570" s="593" t="e">
        <f ca="1">$E570*SUMIF(INDIRECT(AD$3),'Struktur Aktuell'!$D570,INDIRECT(AD$8))*IFERROR(IF(VLOOKUP('Struktur Aktuell'!$D570,INDIRECT(AD$6),8,)="H",-1,1),0)</f>
        <v>#REF!</v>
      </c>
      <c r="AE570" s="593">
        <f t="shared" ref="AE570:AE583" ca="1" si="891">G570</f>
        <v>0</v>
      </c>
      <c r="AF570" s="593">
        <f t="shared" ref="AF570:AF583" ca="1" si="892">H570+AE570</f>
        <v>0</v>
      </c>
      <c r="AG570" s="593">
        <f t="shared" ref="AG570:AG583" ca="1" si="893">I570+AF570</f>
        <v>0</v>
      </c>
      <c r="AH570" s="593">
        <f t="shared" ref="AH570:AH583" ca="1" si="894">J570+AG570</f>
        <v>0</v>
      </c>
      <c r="AI570" s="593">
        <f t="shared" ref="AI570:AI583" ca="1" si="895">K570+AH570</f>
        <v>0</v>
      </c>
      <c r="AJ570" s="593">
        <f t="shared" ref="AJ570:AJ583" ca="1" si="896">L570+AI570</f>
        <v>0</v>
      </c>
      <c r="AK570" s="593">
        <f t="shared" ref="AK570:AK583" ca="1" si="897">M570+AJ570</f>
        <v>0</v>
      </c>
      <c r="AL570" s="593">
        <f t="shared" ref="AL570:AL583" ca="1" si="898">N570+AK570</f>
        <v>0</v>
      </c>
      <c r="AM570" s="593">
        <f t="shared" ref="AM570:AM583" ca="1" si="899">O570+AL570</f>
        <v>0</v>
      </c>
      <c r="AN570" s="593">
        <f t="shared" ref="AN570:AN583" ca="1" si="900">P570+AM570</f>
        <v>0</v>
      </c>
      <c r="AO570" s="593">
        <f t="shared" ref="AO570:AO583" ca="1" si="901">Q570+AN570</f>
        <v>0</v>
      </c>
      <c r="AP570" s="593">
        <f t="shared" ref="AP570:AP583" ca="1" si="902">R570+AO570</f>
        <v>0</v>
      </c>
    </row>
    <row r="571" spans="1:42" s="594" customFormat="1" ht="11.25" outlineLevel="1" x14ac:dyDescent="0.2">
      <c r="A571" s="644"/>
      <c r="B571" s="591" t="str">
        <f>IF(D571&lt;&gt;"",
IF(ISERROR(MATCH(D571,'Ist Aktuell Monat 01'!A:A,0))=FALSE,INDEX('Ist Aktuell Monat 01'!B:B,MATCH(D571,'Ist Aktuell Monat 01'!A:A,0)),
IF(ISERROR(MATCH(D571,'Ist Aktuell Monat 02'!A:A,0))=FALSE,INDEX('Ist Aktuell Monat 02'!B:B,MATCH(D571,'Ist Aktuell Monat 02'!A:A,0)),
IF(ISERROR(MATCH(D571,'Ist Aktuell Monat 03'!A:A,0))=FALSE,INDEX('Ist Aktuell Monat 03'!B:B,MATCH(D571,'Ist Aktuell Monat 03'!A:A,0)),
IF(ISERROR(MATCH(D571,'Ist Aktuell Monat 04'!A:A,0))=FALSE,INDEX('Ist Aktuell Monat 04'!B:B,MATCH(D571,'Ist Aktuell Monat 04'!A:A,0)),
IF(ISERROR(MATCH(D571,'Ist Aktuell Monat 05'!A:A,0))=FALSE,INDEX('Ist Aktuell Monat 05'!B:B,MATCH(D571,'Ist Aktuell Monat 05'!A:A,0)),
IF(ISERROR(MATCH(D571,'Ist Aktuell Monat 06'!A:A,0))=FALSE,INDEX('Ist Aktuell Monat 06'!B:B,MATCH(D571,'Ist Aktuell Monat 06'!A:A,0)),
IF(ISERROR(MATCH(D571,'Ist Aktuell Monat 07'!A:A,0))=FALSE,INDEX('Ist Aktuell Monat 07'!B:B,MATCH(D571,'Ist Aktuell Monat 07'!A:A,0)),
IF(ISERROR(MATCH(D571,'Ist Aktuell Monat 08'!A:A,0))=FALSE,INDEX('Ist Aktuell Monat 08'!B:B,MATCH(D571,'Ist Aktuell Monat 08'!A:A,0)),
IF(ISERROR(MATCH(D571,'Ist Aktuell Monat 09'!A:A,0))=FALSE,INDEX('Ist Aktuell Monat 09'!B:B,MATCH(D571,'Ist Aktuell Monat 09'!A:A,0)),
IF(ISERROR(MATCH(D571,'Ist Aktuell Monat 10'!A:A,0))=FALSE,INDEX('Ist Aktuell Monat 10'!B:B,MATCH(D571,'Ist Aktuell Monat 10'!A:A,0)),
IF(ISERROR(MATCH(D571,'Ist Aktuell Monat 11'!A:A,0))=FALSE,INDEX('Ist Aktuell Monat 11'!B:B,MATCH(D571,'Ist Aktuell Monat 11'!A:A,0)),
IF(ISERROR(MATCH(D571,'Ist Aktuell Monat 12'!A:A,0))=FALSE,INDEX('Ist Aktuell Monat 12'!B:B,MATCH(D571,'Ist Aktuell Monat 12'!A:A,0)),
"{Konto unbekannt}"
)))))))))))),"")</f>
        <v>Verbindlichk. Lohn- und Kirchensteuer</v>
      </c>
      <c r="C571" s="1062"/>
      <c r="D571" s="1067">
        <v>1741</v>
      </c>
      <c r="E571" s="625">
        <f t="shared" si="727"/>
        <v>-1</v>
      </c>
      <c r="F571" s="626" t="s">
        <v>996</v>
      </c>
      <c r="G571" s="593">
        <f ca="1">$E571*SUMIF(INDIRECT(G$3),'Struktur Aktuell'!$D571,INDIRECT(G$8))*IFERROR(IF(VLOOKUP('Struktur Aktuell'!$D571,INDIRECT(G$6),8,)="H",-1,1),0)</f>
        <v>0</v>
      </c>
      <c r="H571" s="593">
        <f ca="1">$E571*SUMIF(INDIRECT(H$3),'Struktur Aktuell'!$D571,INDIRECT(H$8))*IFERROR(IF(VLOOKUP('Struktur Aktuell'!$D571,INDIRECT(H$6),8,)="H",-1,1),0)</f>
        <v>0</v>
      </c>
      <c r="I571" s="593">
        <f ca="1">$E571*SUMIF(INDIRECT(I$3),'Struktur Aktuell'!$D571,INDIRECT(I$8))*IFERROR(IF(VLOOKUP('Struktur Aktuell'!$D571,INDIRECT(I$6),8,)="H",-1,1),0)</f>
        <v>0</v>
      </c>
      <c r="J571" s="593">
        <f ca="1">$E571*SUMIF(INDIRECT(J$3),'Struktur Aktuell'!$D571,INDIRECT(J$8))*IFERROR(IF(VLOOKUP('Struktur Aktuell'!$D571,INDIRECT(J$6),8,)="H",-1,1),0)</f>
        <v>0</v>
      </c>
      <c r="K571" s="593">
        <f ca="1">$E571*SUMIF(INDIRECT(K$3),'Struktur Aktuell'!$D571,INDIRECT(K$8))*IFERROR(IF(VLOOKUP('Struktur Aktuell'!$D571,INDIRECT(K$6),8,)="H",-1,1),0)</f>
        <v>0</v>
      </c>
      <c r="L571" s="593">
        <f ca="1">$E571*SUMIF(INDIRECT(L$3),'Struktur Aktuell'!$D571,INDIRECT(L$8))*IFERROR(IF(VLOOKUP('Struktur Aktuell'!$D571,INDIRECT(L$6),8,)="H",-1,1),0)</f>
        <v>0</v>
      </c>
      <c r="M571" s="593">
        <f ca="1">$E571*SUMIF(INDIRECT(M$3),'Struktur Aktuell'!$D571,INDIRECT(M$8))*IFERROR(IF(VLOOKUP('Struktur Aktuell'!$D571,INDIRECT(M$6),8,)="H",-1,1),0)</f>
        <v>0</v>
      </c>
      <c r="N571" s="593">
        <f ca="1">$E571*SUMIF(INDIRECT(N$3),'Struktur Aktuell'!$D571,INDIRECT(N$8))*IFERROR(IF(VLOOKUP('Struktur Aktuell'!$D571,INDIRECT(N$6),8,)="H",-1,1),0)</f>
        <v>0</v>
      </c>
      <c r="O571" s="593">
        <f ca="1">$E571*SUMIF(INDIRECT(O$3),'Struktur Aktuell'!$D571,INDIRECT(O$8))*IFERROR(IF(VLOOKUP('Struktur Aktuell'!$D571,INDIRECT(O$6),8,)="H",-1,1),0)</f>
        <v>0</v>
      </c>
      <c r="P571" s="593">
        <f ca="1">$E571*SUMIF(INDIRECT(P$3),'Struktur Aktuell'!$D571,INDIRECT(P$8))*IFERROR(IF(VLOOKUP('Struktur Aktuell'!$D571,INDIRECT(P$6),8,)="H",-1,1),0)</f>
        <v>0</v>
      </c>
      <c r="Q571" s="593">
        <f ca="1">$E571*SUMIF(INDIRECT(Q$3),'Struktur Aktuell'!$D571,INDIRECT(Q$8))*IFERROR(IF(VLOOKUP('Struktur Aktuell'!$D571,INDIRECT(Q$6),8,)="H",-1,1),0)</f>
        <v>0</v>
      </c>
      <c r="R571" s="593">
        <f ca="1">$E571*SUMIF(INDIRECT(R$3),'Struktur Aktuell'!$D571,INDIRECT(R$8))*IFERROR(IF(VLOOKUP('Struktur Aktuell'!$D571,INDIRECT(R$6),8,)="H",-1,1),0)</f>
        <v>0</v>
      </c>
      <c r="S571" s="593" t="e">
        <f ca="1">$E571*SUMIF(INDIRECT(S$3),'Struktur Aktuell'!$D571,INDIRECT(S$8))*IFERROR(IF(VLOOKUP('Struktur Aktuell'!$D571,INDIRECT(S$6),8,)="H",-1,1),0)</f>
        <v>#REF!</v>
      </c>
      <c r="T571" s="593" t="e">
        <f ca="1">$E571*SUMIF(INDIRECT(T$3),'Struktur Aktuell'!$D571,INDIRECT(T$8))*IFERROR(IF(VLOOKUP('Struktur Aktuell'!$D571,INDIRECT(T$6),8,)="H",-1,1),0)</f>
        <v>#REF!</v>
      </c>
      <c r="U571" s="593" t="e">
        <f ca="1">$E571*SUMIF(INDIRECT(U$3),'Struktur Aktuell'!$D571,INDIRECT(U$8))*IFERROR(IF(VLOOKUP('Struktur Aktuell'!$D571,INDIRECT(U$6),8,)="H",-1,1),0)</f>
        <v>#REF!</v>
      </c>
      <c r="V571" s="593" t="e">
        <f ca="1">$E571*SUMIF(INDIRECT(V$3),'Struktur Aktuell'!$D571,INDIRECT(V$8))*IFERROR(IF(VLOOKUP('Struktur Aktuell'!$D571,INDIRECT(V$6),8,)="H",-1,1),0)</f>
        <v>#REF!</v>
      </c>
      <c r="W571" s="593" t="e">
        <f ca="1">$E571*SUMIF(INDIRECT(W$3),'Struktur Aktuell'!$D571,INDIRECT(W$8))*IFERROR(IF(VLOOKUP('Struktur Aktuell'!$D571,INDIRECT(W$6),8,)="H",-1,1),0)</f>
        <v>#REF!</v>
      </c>
      <c r="X571" s="593" t="e">
        <f ca="1">$E571*SUMIF(INDIRECT(X$3),'Struktur Aktuell'!$D571,INDIRECT(X$8))*IFERROR(IF(VLOOKUP('Struktur Aktuell'!$D571,INDIRECT(X$6),8,)="H",-1,1),0)</f>
        <v>#REF!</v>
      </c>
      <c r="Y571" s="593" t="e">
        <f ca="1">$E571*SUMIF(INDIRECT(Y$3),'Struktur Aktuell'!$D571,INDIRECT(Y$8))*IFERROR(IF(VLOOKUP('Struktur Aktuell'!$D571,INDIRECT(Y$6),8,)="H",-1,1),0)</f>
        <v>#REF!</v>
      </c>
      <c r="Z571" s="593" t="e">
        <f ca="1">$E571*SUMIF(INDIRECT(Z$3),'Struktur Aktuell'!$D571,INDIRECT(Z$8))*IFERROR(IF(VLOOKUP('Struktur Aktuell'!$D571,INDIRECT(Z$6),8,)="H",-1,1),0)</f>
        <v>#REF!</v>
      </c>
      <c r="AA571" s="593" t="e">
        <f ca="1">$E571*SUMIF(INDIRECT(AA$3),'Struktur Aktuell'!$D571,INDIRECT(AA$8))*IFERROR(IF(VLOOKUP('Struktur Aktuell'!$D571,INDIRECT(AA$6),8,)="H",-1,1),0)</f>
        <v>#REF!</v>
      </c>
      <c r="AB571" s="593" t="e">
        <f ca="1">$E571*SUMIF(INDIRECT(AB$3),'Struktur Aktuell'!$D571,INDIRECT(AB$8))*IFERROR(IF(VLOOKUP('Struktur Aktuell'!$D571,INDIRECT(AB$6),8,)="H",-1,1),0)</f>
        <v>#REF!</v>
      </c>
      <c r="AC571" s="593" t="e">
        <f ca="1">$E571*SUMIF(INDIRECT(AC$3),'Struktur Aktuell'!$D571,INDIRECT(AC$8))*IFERROR(IF(VLOOKUP('Struktur Aktuell'!$D571,INDIRECT(AC$6),8,)="H",-1,1),0)</f>
        <v>#REF!</v>
      </c>
      <c r="AD571" s="593" t="e">
        <f ca="1">$E571*SUMIF(INDIRECT(AD$3),'Struktur Aktuell'!$D571,INDIRECT(AD$8))*IFERROR(IF(VLOOKUP('Struktur Aktuell'!$D571,INDIRECT(AD$6),8,)="H",-1,1),0)</f>
        <v>#REF!</v>
      </c>
      <c r="AE571" s="593">
        <f t="shared" ca="1" si="891"/>
        <v>0</v>
      </c>
      <c r="AF571" s="593">
        <f t="shared" ca="1" si="892"/>
        <v>0</v>
      </c>
      <c r="AG571" s="593">
        <f t="shared" ca="1" si="893"/>
        <v>0</v>
      </c>
      <c r="AH571" s="593">
        <f t="shared" ca="1" si="894"/>
        <v>0</v>
      </c>
      <c r="AI571" s="593">
        <f t="shared" ca="1" si="895"/>
        <v>0</v>
      </c>
      <c r="AJ571" s="593">
        <f t="shared" ca="1" si="896"/>
        <v>0</v>
      </c>
      <c r="AK571" s="593">
        <f t="shared" ca="1" si="897"/>
        <v>0</v>
      </c>
      <c r="AL571" s="593">
        <f t="shared" ca="1" si="898"/>
        <v>0</v>
      </c>
      <c r="AM571" s="593">
        <f t="shared" ca="1" si="899"/>
        <v>0</v>
      </c>
      <c r="AN571" s="593">
        <f t="shared" ca="1" si="900"/>
        <v>0</v>
      </c>
      <c r="AO571" s="593">
        <f t="shared" ca="1" si="901"/>
        <v>0</v>
      </c>
      <c r="AP571" s="593">
        <f t="shared" ca="1" si="902"/>
        <v>0</v>
      </c>
    </row>
    <row r="572" spans="1:42" s="594" customFormat="1" ht="11.25" outlineLevel="1" x14ac:dyDescent="0.2">
      <c r="A572" s="644"/>
      <c r="B572" s="591" t="str">
        <f>IF(D572&lt;&gt;"",
IF(ISERROR(MATCH(D572,'Ist Aktuell Monat 01'!A:A,0))=FALSE,INDEX('Ist Aktuell Monat 01'!B:B,MATCH(D572,'Ist Aktuell Monat 01'!A:A,0)),
IF(ISERROR(MATCH(D572,'Ist Aktuell Monat 02'!A:A,0))=FALSE,INDEX('Ist Aktuell Monat 02'!B:B,MATCH(D572,'Ist Aktuell Monat 02'!A:A,0)),
IF(ISERROR(MATCH(D572,'Ist Aktuell Monat 03'!A:A,0))=FALSE,INDEX('Ist Aktuell Monat 03'!B:B,MATCH(D572,'Ist Aktuell Monat 03'!A:A,0)),
IF(ISERROR(MATCH(D572,'Ist Aktuell Monat 04'!A:A,0))=FALSE,INDEX('Ist Aktuell Monat 04'!B:B,MATCH(D572,'Ist Aktuell Monat 04'!A:A,0)),
IF(ISERROR(MATCH(D572,'Ist Aktuell Monat 05'!A:A,0))=FALSE,INDEX('Ist Aktuell Monat 05'!B:B,MATCH(D572,'Ist Aktuell Monat 05'!A:A,0)),
IF(ISERROR(MATCH(D572,'Ist Aktuell Monat 06'!A:A,0))=FALSE,INDEX('Ist Aktuell Monat 06'!B:B,MATCH(D572,'Ist Aktuell Monat 06'!A:A,0)),
IF(ISERROR(MATCH(D572,'Ist Aktuell Monat 07'!A:A,0))=FALSE,INDEX('Ist Aktuell Monat 07'!B:B,MATCH(D572,'Ist Aktuell Monat 07'!A:A,0)),
IF(ISERROR(MATCH(D572,'Ist Aktuell Monat 08'!A:A,0))=FALSE,INDEX('Ist Aktuell Monat 08'!B:B,MATCH(D572,'Ist Aktuell Monat 08'!A:A,0)),
IF(ISERROR(MATCH(D572,'Ist Aktuell Monat 09'!A:A,0))=FALSE,INDEX('Ist Aktuell Monat 09'!B:B,MATCH(D572,'Ist Aktuell Monat 09'!A:A,0)),
IF(ISERROR(MATCH(D572,'Ist Aktuell Monat 10'!A:A,0))=FALSE,INDEX('Ist Aktuell Monat 10'!B:B,MATCH(D572,'Ist Aktuell Monat 10'!A:A,0)),
IF(ISERROR(MATCH(D572,'Ist Aktuell Monat 11'!A:A,0))=FALSE,INDEX('Ist Aktuell Monat 11'!B:B,MATCH(D572,'Ist Aktuell Monat 11'!A:A,0)),
IF(ISERROR(MATCH(D572,'Ist Aktuell Monat 12'!A:A,0))=FALSE,INDEX('Ist Aktuell Monat 12'!B:B,MATCH(D572,'Ist Aktuell Monat 12'!A:A,0)),
"{Konto unbekannt}"
)))))))))))),"")</f>
        <v>Verbindlichkeiten soziale Sicherheit</v>
      </c>
      <c r="C572" s="1062"/>
      <c r="D572" s="1067">
        <v>1742</v>
      </c>
      <c r="E572" s="625">
        <f t="shared" si="727"/>
        <v>-1</v>
      </c>
      <c r="F572" s="626" t="s">
        <v>996</v>
      </c>
      <c r="G572" s="593">
        <f ca="1">$E572*SUMIF(INDIRECT(G$3),'Struktur Aktuell'!$D572,INDIRECT(G$8))*IFERROR(IF(VLOOKUP('Struktur Aktuell'!$D572,INDIRECT(G$6),8,)="H",-1,1),0)</f>
        <v>0</v>
      </c>
      <c r="H572" s="593">
        <f ca="1">$E572*SUMIF(INDIRECT(H$3),'Struktur Aktuell'!$D572,INDIRECT(H$8))*IFERROR(IF(VLOOKUP('Struktur Aktuell'!$D572,INDIRECT(H$6),8,)="H",-1,1),0)</f>
        <v>0</v>
      </c>
      <c r="I572" s="593">
        <f ca="1">$E572*SUMIF(INDIRECT(I$3),'Struktur Aktuell'!$D572,INDIRECT(I$8))*IFERROR(IF(VLOOKUP('Struktur Aktuell'!$D572,INDIRECT(I$6),8,)="H",-1,1),0)</f>
        <v>0</v>
      </c>
      <c r="J572" s="593">
        <f ca="1">$E572*SUMIF(INDIRECT(J$3),'Struktur Aktuell'!$D572,INDIRECT(J$8))*IFERROR(IF(VLOOKUP('Struktur Aktuell'!$D572,INDIRECT(J$6),8,)="H",-1,1),0)</f>
        <v>0</v>
      </c>
      <c r="K572" s="593">
        <f ca="1">$E572*SUMIF(INDIRECT(K$3),'Struktur Aktuell'!$D572,INDIRECT(K$8))*IFERROR(IF(VLOOKUP('Struktur Aktuell'!$D572,INDIRECT(K$6),8,)="H",-1,1),0)</f>
        <v>0</v>
      </c>
      <c r="L572" s="593">
        <f ca="1">$E572*SUMIF(INDIRECT(L$3),'Struktur Aktuell'!$D572,INDIRECT(L$8))*IFERROR(IF(VLOOKUP('Struktur Aktuell'!$D572,INDIRECT(L$6),8,)="H",-1,1),0)</f>
        <v>0</v>
      </c>
      <c r="M572" s="593">
        <f ca="1">$E572*SUMIF(INDIRECT(M$3),'Struktur Aktuell'!$D572,INDIRECT(M$8))*IFERROR(IF(VLOOKUP('Struktur Aktuell'!$D572,INDIRECT(M$6),8,)="H",-1,1),0)</f>
        <v>0</v>
      </c>
      <c r="N572" s="593">
        <f ca="1">$E572*SUMIF(INDIRECT(N$3),'Struktur Aktuell'!$D572,INDIRECT(N$8))*IFERROR(IF(VLOOKUP('Struktur Aktuell'!$D572,INDIRECT(N$6),8,)="H",-1,1),0)</f>
        <v>0</v>
      </c>
      <c r="O572" s="593">
        <f ca="1">$E572*SUMIF(INDIRECT(O$3),'Struktur Aktuell'!$D572,INDIRECT(O$8))*IFERROR(IF(VLOOKUP('Struktur Aktuell'!$D572,INDIRECT(O$6),8,)="H",-1,1),0)</f>
        <v>0</v>
      </c>
      <c r="P572" s="593">
        <f ca="1">$E572*SUMIF(INDIRECT(P$3),'Struktur Aktuell'!$D572,INDIRECT(P$8))*IFERROR(IF(VLOOKUP('Struktur Aktuell'!$D572,INDIRECT(P$6),8,)="H",-1,1),0)</f>
        <v>0</v>
      </c>
      <c r="Q572" s="593">
        <f ca="1">$E572*SUMIF(INDIRECT(Q$3),'Struktur Aktuell'!$D572,INDIRECT(Q$8))*IFERROR(IF(VLOOKUP('Struktur Aktuell'!$D572,INDIRECT(Q$6),8,)="H",-1,1),0)</f>
        <v>0</v>
      </c>
      <c r="R572" s="593">
        <f ca="1">$E572*SUMIF(INDIRECT(R$3),'Struktur Aktuell'!$D572,INDIRECT(R$8))*IFERROR(IF(VLOOKUP('Struktur Aktuell'!$D572,INDIRECT(R$6),8,)="H",-1,1),0)</f>
        <v>0</v>
      </c>
      <c r="S572" s="593" t="e">
        <f ca="1">$E572*SUMIF(INDIRECT(S$3),'Struktur Aktuell'!$D572,INDIRECT(S$8))*IFERROR(IF(VLOOKUP('Struktur Aktuell'!$D572,INDIRECT(S$6),8,)="H",-1,1),0)</f>
        <v>#REF!</v>
      </c>
      <c r="T572" s="593" t="e">
        <f ca="1">$E572*SUMIF(INDIRECT(T$3),'Struktur Aktuell'!$D572,INDIRECT(T$8))*IFERROR(IF(VLOOKUP('Struktur Aktuell'!$D572,INDIRECT(T$6),8,)="H",-1,1),0)</f>
        <v>#REF!</v>
      </c>
      <c r="U572" s="593" t="e">
        <f ca="1">$E572*SUMIF(INDIRECT(U$3),'Struktur Aktuell'!$D572,INDIRECT(U$8))*IFERROR(IF(VLOOKUP('Struktur Aktuell'!$D572,INDIRECT(U$6),8,)="H",-1,1),0)</f>
        <v>#REF!</v>
      </c>
      <c r="V572" s="593" t="e">
        <f ca="1">$E572*SUMIF(INDIRECT(V$3),'Struktur Aktuell'!$D572,INDIRECT(V$8))*IFERROR(IF(VLOOKUP('Struktur Aktuell'!$D572,INDIRECT(V$6),8,)="H",-1,1),0)</f>
        <v>#REF!</v>
      </c>
      <c r="W572" s="593" t="e">
        <f ca="1">$E572*SUMIF(INDIRECT(W$3),'Struktur Aktuell'!$D572,INDIRECT(W$8))*IFERROR(IF(VLOOKUP('Struktur Aktuell'!$D572,INDIRECT(W$6),8,)="H",-1,1),0)</f>
        <v>#REF!</v>
      </c>
      <c r="X572" s="593" t="e">
        <f ca="1">$E572*SUMIF(INDIRECT(X$3),'Struktur Aktuell'!$D572,INDIRECT(X$8))*IFERROR(IF(VLOOKUP('Struktur Aktuell'!$D572,INDIRECT(X$6),8,)="H",-1,1),0)</f>
        <v>#REF!</v>
      </c>
      <c r="Y572" s="593" t="e">
        <f ca="1">$E572*SUMIF(INDIRECT(Y$3),'Struktur Aktuell'!$D572,INDIRECT(Y$8))*IFERROR(IF(VLOOKUP('Struktur Aktuell'!$D572,INDIRECT(Y$6),8,)="H",-1,1),0)</f>
        <v>#REF!</v>
      </c>
      <c r="Z572" s="593" t="e">
        <f ca="1">$E572*SUMIF(INDIRECT(Z$3),'Struktur Aktuell'!$D572,INDIRECT(Z$8))*IFERROR(IF(VLOOKUP('Struktur Aktuell'!$D572,INDIRECT(Z$6),8,)="H",-1,1),0)</f>
        <v>#REF!</v>
      </c>
      <c r="AA572" s="593" t="e">
        <f ca="1">$E572*SUMIF(INDIRECT(AA$3),'Struktur Aktuell'!$D572,INDIRECT(AA$8))*IFERROR(IF(VLOOKUP('Struktur Aktuell'!$D572,INDIRECT(AA$6),8,)="H",-1,1),0)</f>
        <v>#REF!</v>
      </c>
      <c r="AB572" s="593" t="e">
        <f ca="1">$E572*SUMIF(INDIRECT(AB$3),'Struktur Aktuell'!$D572,INDIRECT(AB$8))*IFERROR(IF(VLOOKUP('Struktur Aktuell'!$D572,INDIRECT(AB$6),8,)="H",-1,1),0)</f>
        <v>#REF!</v>
      </c>
      <c r="AC572" s="593" t="e">
        <f ca="1">$E572*SUMIF(INDIRECT(AC$3),'Struktur Aktuell'!$D572,INDIRECT(AC$8))*IFERROR(IF(VLOOKUP('Struktur Aktuell'!$D572,INDIRECT(AC$6),8,)="H",-1,1),0)</f>
        <v>#REF!</v>
      </c>
      <c r="AD572" s="593" t="e">
        <f ca="1">$E572*SUMIF(INDIRECT(AD$3),'Struktur Aktuell'!$D572,INDIRECT(AD$8))*IFERROR(IF(VLOOKUP('Struktur Aktuell'!$D572,INDIRECT(AD$6),8,)="H",-1,1),0)</f>
        <v>#REF!</v>
      </c>
      <c r="AE572" s="593">
        <f t="shared" ca="1" si="891"/>
        <v>0</v>
      </c>
      <c r="AF572" s="593">
        <f t="shared" ca="1" si="892"/>
        <v>0</v>
      </c>
      <c r="AG572" s="593">
        <f t="shared" ca="1" si="893"/>
        <v>0</v>
      </c>
      <c r="AH572" s="593">
        <f t="shared" ca="1" si="894"/>
        <v>0</v>
      </c>
      <c r="AI572" s="593">
        <f t="shared" ca="1" si="895"/>
        <v>0</v>
      </c>
      <c r="AJ572" s="593">
        <f t="shared" ca="1" si="896"/>
        <v>0</v>
      </c>
      <c r="AK572" s="593">
        <f t="shared" ca="1" si="897"/>
        <v>0</v>
      </c>
      <c r="AL572" s="593">
        <f t="shared" ca="1" si="898"/>
        <v>0</v>
      </c>
      <c r="AM572" s="593">
        <f t="shared" ca="1" si="899"/>
        <v>0</v>
      </c>
      <c r="AN572" s="593">
        <f t="shared" ca="1" si="900"/>
        <v>0</v>
      </c>
      <c r="AO572" s="593">
        <f t="shared" ca="1" si="901"/>
        <v>0</v>
      </c>
      <c r="AP572" s="593">
        <f t="shared" ca="1" si="902"/>
        <v>0</v>
      </c>
    </row>
    <row r="573" spans="1:42" s="594" customFormat="1" ht="11.25" outlineLevel="1" x14ac:dyDescent="0.2">
      <c r="A573" s="644"/>
      <c r="B573" s="591" t="str">
        <f>IF(D573&lt;&gt;"",
IF(ISERROR(MATCH(D573,'Ist Aktuell Monat 01'!A:A,0))=FALSE,INDEX('Ist Aktuell Monat 01'!B:B,MATCH(D573,'Ist Aktuell Monat 01'!A:A,0)),
IF(ISERROR(MATCH(D573,'Ist Aktuell Monat 02'!A:A,0))=FALSE,INDEX('Ist Aktuell Monat 02'!B:B,MATCH(D573,'Ist Aktuell Monat 02'!A:A,0)),
IF(ISERROR(MATCH(D573,'Ist Aktuell Monat 03'!A:A,0))=FALSE,INDEX('Ist Aktuell Monat 03'!B:B,MATCH(D573,'Ist Aktuell Monat 03'!A:A,0)),
IF(ISERROR(MATCH(D573,'Ist Aktuell Monat 04'!A:A,0))=FALSE,INDEX('Ist Aktuell Monat 04'!B:B,MATCH(D573,'Ist Aktuell Monat 04'!A:A,0)),
IF(ISERROR(MATCH(D573,'Ist Aktuell Monat 05'!A:A,0))=FALSE,INDEX('Ist Aktuell Monat 05'!B:B,MATCH(D573,'Ist Aktuell Monat 05'!A:A,0)),
IF(ISERROR(MATCH(D573,'Ist Aktuell Monat 06'!A:A,0))=FALSE,INDEX('Ist Aktuell Monat 06'!B:B,MATCH(D573,'Ist Aktuell Monat 06'!A:A,0)),
IF(ISERROR(MATCH(D573,'Ist Aktuell Monat 07'!A:A,0))=FALSE,INDEX('Ist Aktuell Monat 07'!B:B,MATCH(D573,'Ist Aktuell Monat 07'!A:A,0)),
IF(ISERROR(MATCH(D573,'Ist Aktuell Monat 08'!A:A,0))=FALSE,INDEX('Ist Aktuell Monat 08'!B:B,MATCH(D573,'Ist Aktuell Monat 08'!A:A,0)),
IF(ISERROR(MATCH(D573,'Ist Aktuell Monat 09'!A:A,0))=FALSE,INDEX('Ist Aktuell Monat 09'!B:B,MATCH(D573,'Ist Aktuell Monat 09'!A:A,0)),
IF(ISERROR(MATCH(D573,'Ist Aktuell Monat 10'!A:A,0))=FALSE,INDEX('Ist Aktuell Monat 10'!B:B,MATCH(D573,'Ist Aktuell Monat 10'!A:A,0)),
IF(ISERROR(MATCH(D573,'Ist Aktuell Monat 11'!A:A,0))=FALSE,INDEX('Ist Aktuell Monat 11'!B:B,MATCH(D573,'Ist Aktuell Monat 11'!A:A,0)),
IF(ISERROR(MATCH(D573,'Ist Aktuell Monat 12'!A:A,0))=FALSE,INDEX('Ist Aktuell Monat 12'!B:B,MATCH(D573,'Ist Aktuell Monat 12'!A:A,0)),
"{Konto unbekannt}"
)))))))))))),"")</f>
        <v>{Konto unbekannt}</v>
      </c>
      <c r="C573" s="1062"/>
      <c r="D573" s="1067">
        <v>1756</v>
      </c>
      <c r="E573" s="625">
        <f t="shared" si="727"/>
        <v>-1</v>
      </c>
      <c r="F573" s="626" t="s">
        <v>996</v>
      </c>
      <c r="G573" s="593">
        <f ca="1">$E573*SUMIF(INDIRECT(G$3),'Struktur Aktuell'!$D573,INDIRECT(G$8))*IFERROR(IF(VLOOKUP('Struktur Aktuell'!$D573,INDIRECT(G$6),8,)="H",-1,1),0)</f>
        <v>0</v>
      </c>
      <c r="H573" s="593">
        <f ca="1">$E573*SUMIF(INDIRECT(H$3),'Struktur Aktuell'!$D573,INDIRECT(H$8))*IFERROR(IF(VLOOKUP('Struktur Aktuell'!$D573,INDIRECT(H$6),8,)="H",-1,1),0)</f>
        <v>0</v>
      </c>
      <c r="I573" s="593">
        <f ca="1">$E573*SUMIF(INDIRECT(I$3),'Struktur Aktuell'!$D573,INDIRECT(I$8))*IFERROR(IF(VLOOKUP('Struktur Aktuell'!$D573,INDIRECT(I$6),8,)="H",-1,1),0)</f>
        <v>0</v>
      </c>
      <c r="J573" s="593">
        <f ca="1">$E573*SUMIF(INDIRECT(J$3),'Struktur Aktuell'!$D573,INDIRECT(J$8))*IFERROR(IF(VLOOKUP('Struktur Aktuell'!$D573,INDIRECT(J$6),8,)="H",-1,1),0)</f>
        <v>0</v>
      </c>
      <c r="K573" s="593">
        <f ca="1">$E573*SUMIF(INDIRECT(K$3),'Struktur Aktuell'!$D573,INDIRECT(K$8))*IFERROR(IF(VLOOKUP('Struktur Aktuell'!$D573,INDIRECT(K$6),8,)="H",-1,1),0)</f>
        <v>0</v>
      </c>
      <c r="L573" s="593">
        <f ca="1">$E573*SUMIF(INDIRECT(L$3),'Struktur Aktuell'!$D573,INDIRECT(L$8))*IFERROR(IF(VLOOKUP('Struktur Aktuell'!$D573,INDIRECT(L$6),8,)="H",-1,1),0)</f>
        <v>0</v>
      </c>
      <c r="M573" s="593">
        <f ca="1">$E573*SUMIF(INDIRECT(M$3),'Struktur Aktuell'!$D573,INDIRECT(M$8))*IFERROR(IF(VLOOKUP('Struktur Aktuell'!$D573,INDIRECT(M$6),8,)="H",-1,1),0)</f>
        <v>0</v>
      </c>
      <c r="N573" s="593">
        <f ca="1">$E573*SUMIF(INDIRECT(N$3),'Struktur Aktuell'!$D573,INDIRECT(N$8))*IFERROR(IF(VLOOKUP('Struktur Aktuell'!$D573,INDIRECT(N$6),8,)="H",-1,1),0)</f>
        <v>0</v>
      </c>
      <c r="O573" s="593">
        <f ca="1">$E573*SUMIF(INDIRECT(O$3),'Struktur Aktuell'!$D573,INDIRECT(O$8))*IFERROR(IF(VLOOKUP('Struktur Aktuell'!$D573,INDIRECT(O$6),8,)="H",-1,1),0)</f>
        <v>0</v>
      </c>
      <c r="P573" s="593">
        <f ca="1">$E573*SUMIF(INDIRECT(P$3),'Struktur Aktuell'!$D573,INDIRECT(P$8))*IFERROR(IF(VLOOKUP('Struktur Aktuell'!$D573,INDIRECT(P$6),8,)="H",-1,1),0)</f>
        <v>0</v>
      </c>
      <c r="Q573" s="593">
        <f ca="1">$E573*SUMIF(INDIRECT(Q$3),'Struktur Aktuell'!$D573,INDIRECT(Q$8))*IFERROR(IF(VLOOKUP('Struktur Aktuell'!$D573,INDIRECT(Q$6),8,)="H",-1,1),0)</f>
        <v>0</v>
      </c>
      <c r="R573" s="593">
        <f ca="1">$E573*SUMIF(INDIRECT(R$3),'Struktur Aktuell'!$D573,INDIRECT(R$8))*IFERROR(IF(VLOOKUP('Struktur Aktuell'!$D573,INDIRECT(R$6),8,)="H",-1,1),0)</f>
        <v>0</v>
      </c>
      <c r="S573" s="593" t="e">
        <f ca="1">$E573*SUMIF(INDIRECT(S$3),'Struktur Aktuell'!$D573,INDIRECT(S$8))*IFERROR(IF(VLOOKUP('Struktur Aktuell'!$D573,INDIRECT(S$6),8,)="H",-1,1),0)</f>
        <v>#REF!</v>
      </c>
      <c r="T573" s="593" t="e">
        <f ca="1">$E573*SUMIF(INDIRECT(T$3),'Struktur Aktuell'!$D573,INDIRECT(T$8))*IFERROR(IF(VLOOKUP('Struktur Aktuell'!$D573,INDIRECT(T$6),8,)="H",-1,1),0)</f>
        <v>#REF!</v>
      </c>
      <c r="U573" s="593" t="e">
        <f ca="1">$E573*SUMIF(INDIRECT(U$3),'Struktur Aktuell'!$D573,INDIRECT(U$8))*IFERROR(IF(VLOOKUP('Struktur Aktuell'!$D573,INDIRECT(U$6),8,)="H",-1,1),0)</f>
        <v>#REF!</v>
      </c>
      <c r="V573" s="593" t="e">
        <f ca="1">$E573*SUMIF(INDIRECT(V$3),'Struktur Aktuell'!$D573,INDIRECT(V$8))*IFERROR(IF(VLOOKUP('Struktur Aktuell'!$D573,INDIRECT(V$6),8,)="H",-1,1),0)</f>
        <v>#REF!</v>
      </c>
      <c r="W573" s="593" t="e">
        <f ca="1">$E573*SUMIF(INDIRECT(W$3),'Struktur Aktuell'!$D573,INDIRECT(W$8))*IFERROR(IF(VLOOKUP('Struktur Aktuell'!$D573,INDIRECT(W$6),8,)="H",-1,1),0)</f>
        <v>#REF!</v>
      </c>
      <c r="X573" s="593" t="e">
        <f ca="1">$E573*SUMIF(INDIRECT(X$3),'Struktur Aktuell'!$D573,INDIRECT(X$8))*IFERROR(IF(VLOOKUP('Struktur Aktuell'!$D573,INDIRECT(X$6),8,)="H",-1,1),0)</f>
        <v>#REF!</v>
      </c>
      <c r="Y573" s="593" t="e">
        <f ca="1">$E573*SUMIF(INDIRECT(Y$3),'Struktur Aktuell'!$D573,INDIRECT(Y$8))*IFERROR(IF(VLOOKUP('Struktur Aktuell'!$D573,INDIRECT(Y$6),8,)="H",-1,1),0)</f>
        <v>#REF!</v>
      </c>
      <c r="Z573" s="593" t="e">
        <f ca="1">$E573*SUMIF(INDIRECT(Z$3),'Struktur Aktuell'!$D573,INDIRECT(Z$8))*IFERROR(IF(VLOOKUP('Struktur Aktuell'!$D573,INDIRECT(Z$6),8,)="H",-1,1),0)</f>
        <v>#REF!</v>
      </c>
      <c r="AA573" s="593" t="e">
        <f ca="1">$E573*SUMIF(INDIRECT(AA$3),'Struktur Aktuell'!$D573,INDIRECT(AA$8))*IFERROR(IF(VLOOKUP('Struktur Aktuell'!$D573,INDIRECT(AA$6),8,)="H",-1,1),0)</f>
        <v>#REF!</v>
      </c>
      <c r="AB573" s="593" t="e">
        <f ca="1">$E573*SUMIF(INDIRECT(AB$3),'Struktur Aktuell'!$D573,INDIRECT(AB$8))*IFERROR(IF(VLOOKUP('Struktur Aktuell'!$D573,INDIRECT(AB$6),8,)="H",-1,1),0)</f>
        <v>#REF!</v>
      </c>
      <c r="AC573" s="593" t="e">
        <f ca="1">$E573*SUMIF(INDIRECT(AC$3),'Struktur Aktuell'!$D573,INDIRECT(AC$8))*IFERROR(IF(VLOOKUP('Struktur Aktuell'!$D573,INDIRECT(AC$6),8,)="H",-1,1),0)</f>
        <v>#REF!</v>
      </c>
      <c r="AD573" s="593" t="e">
        <f ca="1">$E573*SUMIF(INDIRECT(AD$3),'Struktur Aktuell'!$D573,INDIRECT(AD$8))*IFERROR(IF(VLOOKUP('Struktur Aktuell'!$D573,INDIRECT(AD$6),8,)="H",-1,1),0)</f>
        <v>#REF!</v>
      </c>
      <c r="AE573" s="593">
        <f t="shared" ca="1" si="891"/>
        <v>0</v>
      </c>
      <c r="AF573" s="593">
        <f t="shared" ca="1" si="892"/>
        <v>0</v>
      </c>
      <c r="AG573" s="593">
        <f t="shared" ca="1" si="893"/>
        <v>0</v>
      </c>
      <c r="AH573" s="593">
        <f t="shared" ca="1" si="894"/>
        <v>0</v>
      </c>
      <c r="AI573" s="593">
        <f t="shared" ca="1" si="895"/>
        <v>0</v>
      </c>
      <c r="AJ573" s="593">
        <f t="shared" ca="1" si="896"/>
        <v>0</v>
      </c>
      <c r="AK573" s="593">
        <f t="shared" ca="1" si="897"/>
        <v>0</v>
      </c>
      <c r="AL573" s="593">
        <f t="shared" ca="1" si="898"/>
        <v>0</v>
      </c>
      <c r="AM573" s="593">
        <f t="shared" ca="1" si="899"/>
        <v>0</v>
      </c>
      <c r="AN573" s="593">
        <f t="shared" ca="1" si="900"/>
        <v>0</v>
      </c>
      <c r="AO573" s="593">
        <f t="shared" ca="1" si="901"/>
        <v>0</v>
      </c>
      <c r="AP573" s="593">
        <f t="shared" ca="1" si="902"/>
        <v>0</v>
      </c>
    </row>
    <row r="574" spans="1:42" s="594" customFormat="1" ht="11.25" outlineLevel="1" x14ac:dyDescent="0.2">
      <c r="A574" s="644"/>
      <c r="B574" s="591" t="str">
        <f>IF(D574&lt;&gt;"",
IF(ISERROR(MATCH(D574,'Ist Aktuell Monat 01'!A:A,0))=FALSE,INDEX('Ist Aktuell Monat 01'!B:B,MATCH(D574,'Ist Aktuell Monat 01'!A:A,0)),
IF(ISERROR(MATCH(D574,'Ist Aktuell Monat 02'!A:A,0))=FALSE,INDEX('Ist Aktuell Monat 02'!B:B,MATCH(D574,'Ist Aktuell Monat 02'!A:A,0)),
IF(ISERROR(MATCH(D574,'Ist Aktuell Monat 03'!A:A,0))=FALSE,INDEX('Ist Aktuell Monat 03'!B:B,MATCH(D574,'Ist Aktuell Monat 03'!A:A,0)),
IF(ISERROR(MATCH(D574,'Ist Aktuell Monat 04'!A:A,0))=FALSE,INDEX('Ist Aktuell Monat 04'!B:B,MATCH(D574,'Ist Aktuell Monat 04'!A:A,0)),
IF(ISERROR(MATCH(D574,'Ist Aktuell Monat 05'!A:A,0))=FALSE,INDEX('Ist Aktuell Monat 05'!B:B,MATCH(D574,'Ist Aktuell Monat 05'!A:A,0)),
IF(ISERROR(MATCH(D574,'Ist Aktuell Monat 06'!A:A,0))=FALSE,INDEX('Ist Aktuell Monat 06'!B:B,MATCH(D574,'Ist Aktuell Monat 06'!A:A,0)),
IF(ISERROR(MATCH(D574,'Ist Aktuell Monat 07'!A:A,0))=FALSE,INDEX('Ist Aktuell Monat 07'!B:B,MATCH(D574,'Ist Aktuell Monat 07'!A:A,0)),
IF(ISERROR(MATCH(D574,'Ist Aktuell Monat 08'!A:A,0))=FALSE,INDEX('Ist Aktuell Monat 08'!B:B,MATCH(D574,'Ist Aktuell Monat 08'!A:A,0)),
IF(ISERROR(MATCH(D574,'Ist Aktuell Monat 09'!A:A,0))=FALSE,INDEX('Ist Aktuell Monat 09'!B:B,MATCH(D574,'Ist Aktuell Monat 09'!A:A,0)),
IF(ISERROR(MATCH(D574,'Ist Aktuell Monat 10'!A:A,0))=FALSE,INDEX('Ist Aktuell Monat 10'!B:B,MATCH(D574,'Ist Aktuell Monat 10'!A:A,0)),
IF(ISERROR(MATCH(D574,'Ist Aktuell Monat 11'!A:A,0))=FALSE,INDEX('Ist Aktuell Monat 11'!B:B,MATCH(D574,'Ist Aktuell Monat 11'!A:A,0)),
IF(ISERROR(MATCH(D574,'Ist Aktuell Monat 12'!A:A,0))=FALSE,INDEX('Ist Aktuell Monat 12'!B:B,MATCH(D574,'Ist Aktuell Monat 12'!A:A,0)),
"{Konto unbekannt}"
)))))))))))),"")</f>
        <v>Verbindlichk. Einbehaltung Arbeitnehmer</v>
      </c>
      <c r="C574" s="1062"/>
      <c r="D574" s="1067">
        <v>1748</v>
      </c>
      <c r="E574" s="625">
        <f t="shared" si="727"/>
        <v>-1</v>
      </c>
      <c r="F574" s="626" t="s">
        <v>996</v>
      </c>
      <c r="G574" s="593">
        <f ca="1">$E574*SUMIF(INDIRECT(G$3),'Struktur Aktuell'!$D574,INDIRECT(G$8))*IFERROR(IF(VLOOKUP('Struktur Aktuell'!$D574,INDIRECT(G$6),8,)="H",-1,1),0)</f>
        <v>0</v>
      </c>
      <c r="H574" s="593">
        <f ca="1">$E574*SUMIF(INDIRECT(H$3),'Struktur Aktuell'!$D574,INDIRECT(H$8))*IFERROR(IF(VLOOKUP('Struktur Aktuell'!$D574,INDIRECT(H$6),8,)="H",-1,1),0)</f>
        <v>0</v>
      </c>
      <c r="I574" s="593">
        <f ca="1">$E574*SUMIF(INDIRECT(I$3),'Struktur Aktuell'!$D574,INDIRECT(I$8))*IFERROR(IF(VLOOKUP('Struktur Aktuell'!$D574,INDIRECT(I$6),8,)="H",-1,1),0)</f>
        <v>0</v>
      </c>
      <c r="J574" s="593">
        <f ca="1">$E574*SUMIF(INDIRECT(J$3),'Struktur Aktuell'!$D574,INDIRECT(J$8))*IFERROR(IF(VLOOKUP('Struktur Aktuell'!$D574,INDIRECT(J$6),8,)="H",-1,1),0)</f>
        <v>0</v>
      </c>
      <c r="K574" s="593">
        <f ca="1">$E574*SUMIF(INDIRECT(K$3),'Struktur Aktuell'!$D574,INDIRECT(K$8))*IFERROR(IF(VLOOKUP('Struktur Aktuell'!$D574,INDIRECT(K$6),8,)="H",-1,1),0)</f>
        <v>0</v>
      </c>
      <c r="L574" s="593">
        <f ca="1">$E574*SUMIF(INDIRECT(L$3),'Struktur Aktuell'!$D574,INDIRECT(L$8))*IFERROR(IF(VLOOKUP('Struktur Aktuell'!$D574,INDIRECT(L$6),8,)="H",-1,1),0)</f>
        <v>0</v>
      </c>
      <c r="M574" s="593">
        <f ca="1">$E574*SUMIF(INDIRECT(M$3),'Struktur Aktuell'!$D574,INDIRECT(M$8))*IFERROR(IF(VLOOKUP('Struktur Aktuell'!$D574,INDIRECT(M$6),8,)="H",-1,1),0)</f>
        <v>0</v>
      </c>
      <c r="N574" s="593">
        <f ca="1">$E574*SUMIF(INDIRECT(N$3),'Struktur Aktuell'!$D574,INDIRECT(N$8))*IFERROR(IF(VLOOKUP('Struktur Aktuell'!$D574,INDIRECT(N$6),8,)="H",-1,1),0)</f>
        <v>0</v>
      </c>
      <c r="O574" s="593">
        <f ca="1">$E574*SUMIF(INDIRECT(O$3),'Struktur Aktuell'!$D574,INDIRECT(O$8))*IFERROR(IF(VLOOKUP('Struktur Aktuell'!$D574,INDIRECT(O$6),8,)="H",-1,1),0)</f>
        <v>0</v>
      </c>
      <c r="P574" s="593">
        <f ca="1">$E574*SUMIF(INDIRECT(P$3),'Struktur Aktuell'!$D574,INDIRECT(P$8))*IFERROR(IF(VLOOKUP('Struktur Aktuell'!$D574,INDIRECT(P$6),8,)="H",-1,1),0)</f>
        <v>0</v>
      </c>
      <c r="Q574" s="593">
        <f ca="1">$E574*SUMIF(INDIRECT(Q$3),'Struktur Aktuell'!$D574,INDIRECT(Q$8))*IFERROR(IF(VLOOKUP('Struktur Aktuell'!$D574,INDIRECT(Q$6),8,)="H",-1,1),0)</f>
        <v>0</v>
      </c>
      <c r="R574" s="593">
        <f ca="1">$E574*SUMIF(INDIRECT(R$3),'Struktur Aktuell'!$D574,INDIRECT(R$8))*IFERROR(IF(VLOOKUP('Struktur Aktuell'!$D574,INDIRECT(R$6),8,)="H",-1,1),0)</f>
        <v>0</v>
      </c>
      <c r="S574" s="593" t="e">
        <f ca="1">$E574*SUMIF(INDIRECT(S$3),'Struktur Aktuell'!$D574,INDIRECT(S$8))*IFERROR(IF(VLOOKUP('Struktur Aktuell'!$D574,INDIRECT(S$6),8,)="H",-1,1),0)</f>
        <v>#REF!</v>
      </c>
      <c r="T574" s="593" t="e">
        <f ca="1">$E574*SUMIF(INDIRECT(T$3),'Struktur Aktuell'!$D574,INDIRECT(T$8))*IFERROR(IF(VLOOKUP('Struktur Aktuell'!$D574,INDIRECT(T$6),8,)="H",-1,1),0)</f>
        <v>#REF!</v>
      </c>
      <c r="U574" s="593" t="e">
        <f ca="1">$E574*SUMIF(INDIRECT(U$3),'Struktur Aktuell'!$D574,INDIRECT(U$8))*IFERROR(IF(VLOOKUP('Struktur Aktuell'!$D574,INDIRECT(U$6),8,)="H",-1,1),0)</f>
        <v>#REF!</v>
      </c>
      <c r="V574" s="593" t="e">
        <f ca="1">$E574*SUMIF(INDIRECT(V$3),'Struktur Aktuell'!$D574,INDIRECT(V$8))*IFERROR(IF(VLOOKUP('Struktur Aktuell'!$D574,INDIRECT(V$6),8,)="H",-1,1),0)</f>
        <v>#REF!</v>
      </c>
      <c r="W574" s="593" t="e">
        <f ca="1">$E574*SUMIF(INDIRECT(W$3),'Struktur Aktuell'!$D574,INDIRECT(W$8))*IFERROR(IF(VLOOKUP('Struktur Aktuell'!$D574,INDIRECT(W$6),8,)="H",-1,1),0)</f>
        <v>#REF!</v>
      </c>
      <c r="X574" s="593" t="e">
        <f ca="1">$E574*SUMIF(INDIRECT(X$3),'Struktur Aktuell'!$D574,INDIRECT(X$8))*IFERROR(IF(VLOOKUP('Struktur Aktuell'!$D574,INDIRECT(X$6),8,)="H",-1,1),0)</f>
        <v>#REF!</v>
      </c>
      <c r="Y574" s="593" t="e">
        <f ca="1">$E574*SUMIF(INDIRECT(Y$3),'Struktur Aktuell'!$D574,INDIRECT(Y$8))*IFERROR(IF(VLOOKUP('Struktur Aktuell'!$D574,INDIRECT(Y$6),8,)="H",-1,1),0)</f>
        <v>#REF!</v>
      </c>
      <c r="Z574" s="593" t="e">
        <f ca="1">$E574*SUMIF(INDIRECT(Z$3),'Struktur Aktuell'!$D574,INDIRECT(Z$8))*IFERROR(IF(VLOOKUP('Struktur Aktuell'!$D574,INDIRECT(Z$6),8,)="H",-1,1),0)</f>
        <v>#REF!</v>
      </c>
      <c r="AA574" s="593" t="e">
        <f ca="1">$E574*SUMIF(INDIRECT(AA$3),'Struktur Aktuell'!$D574,INDIRECT(AA$8))*IFERROR(IF(VLOOKUP('Struktur Aktuell'!$D574,INDIRECT(AA$6),8,)="H",-1,1),0)</f>
        <v>#REF!</v>
      </c>
      <c r="AB574" s="593" t="e">
        <f ca="1">$E574*SUMIF(INDIRECT(AB$3),'Struktur Aktuell'!$D574,INDIRECT(AB$8))*IFERROR(IF(VLOOKUP('Struktur Aktuell'!$D574,INDIRECT(AB$6),8,)="H",-1,1),0)</f>
        <v>#REF!</v>
      </c>
      <c r="AC574" s="593" t="e">
        <f ca="1">$E574*SUMIF(INDIRECT(AC$3),'Struktur Aktuell'!$D574,INDIRECT(AC$8))*IFERROR(IF(VLOOKUP('Struktur Aktuell'!$D574,INDIRECT(AC$6),8,)="H",-1,1),0)</f>
        <v>#REF!</v>
      </c>
      <c r="AD574" s="593" t="e">
        <f ca="1">$E574*SUMIF(INDIRECT(AD$3),'Struktur Aktuell'!$D574,INDIRECT(AD$8))*IFERROR(IF(VLOOKUP('Struktur Aktuell'!$D574,INDIRECT(AD$6),8,)="H",-1,1),0)</f>
        <v>#REF!</v>
      </c>
      <c r="AE574" s="593">
        <f t="shared" ca="1" si="891"/>
        <v>0</v>
      </c>
      <c r="AF574" s="593">
        <f t="shared" ca="1" si="892"/>
        <v>0</v>
      </c>
      <c r="AG574" s="593">
        <f t="shared" ca="1" si="893"/>
        <v>0</v>
      </c>
      <c r="AH574" s="593">
        <f t="shared" ca="1" si="894"/>
        <v>0</v>
      </c>
      <c r="AI574" s="593">
        <f t="shared" ca="1" si="895"/>
        <v>0</v>
      </c>
      <c r="AJ574" s="593">
        <f t="shared" ca="1" si="896"/>
        <v>0</v>
      </c>
      <c r="AK574" s="593">
        <f t="shared" ca="1" si="897"/>
        <v>0</v>
      </c>
      <c r="AL574" s="593">
        <f t="shared" ca="1" si="898"/>
        <v>0</v>
      </c>
      <c r="AM574" s="593">
        <f t="shared" ca="1" si="899"/>
        <v>0</v>
      </c>
      <c r="AN574" s="593">
        <f t="shared" ca="1" si="900"/>
        <v>0</v>
      </c>
      <c r="AO574" s="593">
        <f t="shared" ca="1" si="901"/>
        <v>0</v>
      </c>
      <c r="AP574" s="593">
        <f t="shared" ca="1" si="902"/>
        <v>0</v>
      </c>
    </row>
    <row r="575" spans="1:42" s="594" customFormat="1" ht="11.25" x14ac:dyDescent="0.2">
      <c r="A575" s="644"/>
      <c r="B575" s="591" t="str">
        <f>IF(D575&lt;&gt;"",
IF(ISERROR(MATCH(D575,'Ist Aktuell Monat 01'!A:A,0))=FALSE,INDEX('Ist Aktuell Monat 01'!B:B,MATCH(D575,'Ist Aktuell Monat 01'!A:A,0)),
IF(ISERROR(MATCH(D575,'Ist Aktuell Monat 02'!A:A,0))=FALSE,INDEX('Ist Aktuell Monat 02'!B:B,MATCH(D575,'Ist Aktuell Monat 02'!A:A,0)),
IF(ISERROR(MATCH(D575,'Ist Aktuell Monat 03'!A:A,0))=FALSE,INDEX('Ist Aktuell Monat 03'!B:B,MATCH(D575,'Ist Aktuell Monat 03'!A:A,0)),
IF(ISERROR(MATCH(D575,'Ist Aktuell Monat 04'!A:A,0))=FALSE,INDEX('Ist Aktuell Monat 04'!B:B,MATCH(D575,'Ist Aktuell Monat 04'!A:A,0)),
IF(ISERROR(MATCH(D575,'Ist Aktuell Monat 05'!A:A,0))=FALSE,INDEX('Ist Aktuell Monat 05'!B:B,MATCH(D575,'Ist Aktuell Monat 05'!A:A,0)),
IF(ISERROR(MATCH(D575,'Ist Aktuell Monat 06'!A:A,0))=FALSE,INDEX('Ist Aktuell Monat 06'!B:B,MATCH(D575,'Ist Aktuell Monat 06'!A:A,0)),
IF(ISERROR(MATCH(D575,'Ist Aktuell Monat 07'!A:A,0))=FALSE,INDEX('Ist Aktuell Monat 07'!B:B,MATCH(D575,'Ist Aktuell Monat 07'!A:A,0)),
IF(ISERROR(MATCH(D575,'Ist Aktuell Monat 08'!A:A,0))=FALSE,INDEX('Ist Aktuell Monat 08'!B:B,MATCH(D575,'Ist Aktuell Monat 08'!A:A,0)),
IF(ISERROR(MATCH(D575,'Ist Aktuell Monat 09'!A:A,0))=FALSE,INDEX('Ist Aktuell Monat 09'!B:B,MATCH(D575,'Ist Aktuell Monat 09'!A:A,0)),
IF(ISERROR(MATCH(D575,'Ist Aktuell Monat 10'!A:A,0))=FALSE,INDEX('Ist Aktuell Monat 10'!B:B,MATCH(D575,'Ist Aktuell Monat 10'!A:A,0)),
IF(ISERROR(MATCH(D575,'Ist Aktuell Monat 11'!A:A,0))=FALSE,INDEX('Ist Aktuell Monat 11'!B:B,MATCH(D575,'Ist Aktuell Monat 11'!A:A,0)),
IF(ISERROR(MATCH(D575,'Ist Aktuell Monat 12'!A:A,0))=FALSE,INDEX('Ist Aktuell Monat 12'!B:B,MATCH(D575,'Ist Aktuell Monat 12'!A:A,0)),
"{Konto unbekannt}"
)))))))))))),"")</f>
        <v>Forderungen ggb. Krankenkasse aus AAG</v>
      </c>
      <c r="C575" s="1062"/>
      <c r="D575" s="1067">
        <v>1520</v>
      </c>
      <c r="E575" s="625">
        <f t="shared" si="727"/>
        <v>-1</v>
      </c>
      <c r="F575" s="626" t="s">
        <v>996</v>
      </c>
      <c r="G575" s="593">
        <f ca="1">$E575*SUMIF(INDIRECT(G$3),'Struktur Aktuell'!$D575,INDIRECT(G$8))*IFERROR(IF(VLOOKUP('Struktur Aktuell'!$D575,INDIRECT(G$6),8,)="H",-1,1),0)</f>
        <v>0</v>
      </c>
      <c r="H575" s="593">
        <f ca="1">$E575*SUMIF(INDIRECT(H$3),'Struktur Aktuell'!$D575,INDIRECT(H$8))*IFERROR(IF(VLOOKUP('Struktur Aktuell'!$D575,INDIRECT(H$6),8,)="H",-1,1),0)</f>
        <v>0</v>
      </c>
      <c r="I575" s="593">
        <f ca="1">$E575*SUMIF(INDIRECT(I$3),'Struktur Aktuell'!$D575,INDIRECT(I$8))*IFERROR(IF(VLOOKUP('Struktur Aktuell'!$D575,INDIRECT(I$6),8,)="H",-1,1),0)</f>
        <v>0</v>
      </c>
      <c r="J575" s="593">
        <f ca="1">$E575*SUMIF(INDIRECT(J$3),'Struktur Aktuell'!$D575,INDIRECT(J$8))*IFERROR(IF(VLOOKUP('Struktur Aktuell'!$D575,INDIRECT(J$6),8,)="H",-1,1),0)</f>
        <v>0</v>
      </c>
      <c r="K575" s="593">
        <f ca="1">$E575*SUMIF(INDIRECT(K$3),'Struktur Aktuell'!$D575,INDIRECT(K$8))*IFERROR(IF(VLOOKUP('Struktur Aktuell'!$D575,INDIRECT(K$6),8,)="H",-1,1),0)</f>
        <v>0</v>
      </c>
      <c r="L575" s="593">
        <f ca="1">$E575*SUMIF(INDIRECT(L$3),'Struktur Aktuell'!$D575,INDIRECT(L$8))*IFERROR(IF(VLOOKUP('Struktur Aktuell'!$D575,INDIRECT(L$6),8,)="H",-1,1),0)</f>
        <v>0</v>
      </c>
      <c r="M575" s="593">
        <f ca="1">$E575*SUMIF(INDIRECT(M$3),'Struktur Aktuell'!$D575,INDIRECT(M$8))*IFERROR(IF(VLOOKUP('Struktur Aktuell'!$D575,INDIRECT(M$6),8,)="H",-1,1),0)</f>
        <v>0</v>
      </c>
      <c r="N575" s="593">
        <f ca="1">$E575*SUMIF(INDIRECT(N$3),'Struktur Aktuell'!$D575,INDIRECT(N$8))*IFERROR(IF(VLOOKUP('Struktur Aktuell'!$D575,INDIRECT(N$6),8,)="H",-1,1),0)</f>
        <v>0</v>
      </c>
      <c r="O575" s="593">
        <f ca="1">$E575*SUMIF(INDIRECT(O$3),'Struktur Aktuell'!$D575,INDIRECT(O$8))*IFERROR(IF(VLOOKUP('Struktur Aktuell'!$D575,INDIRECT(O$6),8,)="H",-1,1),0)</f>
        <v>0</v>
      </c>
      <c r="P575" s="593">
        <f ca="1">$E575*SUMIF(INDIRECT(P$3),'Struktur Aktuell'!$D575,INDIRECT(P$8))*IFERROR(IF(VLOOKUP('Struktur Aktuell'!$D575,INDIRECT(P$6),8,)="H",-1,1),0)</f>
        <v>0</v>
      </c>
      <c r="Q575" s="593">
        <f ca="1">$E575*SUMIF(INDIRECT(Q$3),'Struktur Aktuell'!$D575,INDIRECT(Q$8))*IFERROR(IF(VLOOKUP('Struktur Aktuell'!$D575,INDIRECT(Q$6),8,)="H",-1,1),0)</f>
        <v>0</v>
      </c>
      <c r="R575" s="593">
        <f ca="1">$E575*SUMIF(INDIRECT(R$3),'Struktur Aktuell'!$D575,INDIRECT(R$8))*IFERROR(IF(VLOOKUP('Struktur Aktuell'!$D575,INDIRECT(R$6),8,)="H",-1,1),0)</f>
        <v>0</v>
      </c>
      <c r="S575" s="593" t="e">
        <f ca="1">$E575*SUMIF(INDIRECT(S$3),'Struktur Aktuell'!$D575,INDIRECT(S$8))*IFERROR(IF(VLOOKUP('Struktur Aktuell'!$D575,INDIRECT(S$6),8,)="H",-1,1),0)</f>
        <v>#REF!</v>
      </c>
      <c r="T575" s="593" t="e">
        <f ca="1">$E575*SUMIF(INDIRECT(T$3),'Struktur Aktuell'!$D575,INDIRECT(T$8))*IFERROR(IF(VLOOKUP('Struktur Aktuell'!$D575,INDIRECT(T$6),8,)="H",-1,1),0)</f>
        <v>#REF!</v>
      </c>
      <c r="U575" s="593" t="e">
        <f ca="1">$E575*SUMIF(INDIRECT(U$3),'Struktur Aktuell'!$D575,INDIRECT(U$8))*IFERROR(IF(VLOOKUP('Struktur Aktuell'!$D575,INDIRECT(U$6),8,)="H",-1,1),0)</f>
        <v>#REF!</v>
      </c>
      <c r="V575" s="593" t="e">
        <f ca="1">$E575*SUMIF(INDIRECT(V$3),'Struktur Aktuell'!$D575,INDIRECT(V$8))*IFERROR(IF(VLOOKUP('Struktur Aktuell'!$D575,INDIRECT(V$6),8,)="H",-1,1),0)</f>
        <v>#REF!</v>
      </c>
      <c r="W575" s="593" t="e">
        <f ca="1">$E575*SUMIF(INDIRECT(W$3),'Struktur Aktuell'!$D575,INDIRECT(W$8))*IFERROR(IF(VLOOKUP('Struktur Aktuell'!$D575,INDIRECT(W$6),8,)="H",-1,1),0)</f>
        <v>#REF!</v>
      </c>
      <c r="X575" s="593" t="e">
        <f ca="1">$E575*SUMIF(INDIRECT(X$3),'Struktur Aktuell'!$D575,INDIRECT(X$8))*IFERROR(IF(VLOOKUP('Struktur Aktuell'!$D575,INDIRECT(X$6),8,)="H",-1,1),0)</f>
        <v>#REF!</v>
      </c>
      <c r="Y575" s="593" t="e">
        <f ca="1">$E575*SUMIF(INDIRECT(Y$3),'Struktur Aktuell'!$D575,INDIRECT(Y$8))*IFERROR(IF(VLOOKUP('Struktur Aktuell'!$D575,INDIRECT(Y$6),8,)="H",-1,1),0)</f>
        <v>#REF!</v>
      </c>
      <c r="Z575" s="593" t="e">
        <f ca="1">$E575*SUMIF(INDIRECT(Z$3),'Struktur Aktuell'!$D575,INDIRECT(Z$8))*IFERROR(IF(VLOOKUP('Struktur Aktuell'!$D575,INDIRECT(Z$6),8,)="H",-1,1),0)</f>
        <v>#REF!</v>
      </c>
      <c r="AA575" s="593" t="e">
        <f ca="1">$E575*SUMIF(INDIRECT(AA$3),'Struktur Aktuell'!$D575,INDIRECT(AA$8))*IFERROR(IF(VLOOKUP('Struktur Aktuell'!$D575,INDIRECT(AA$6),8,)="H",-1,1),0)</f>
        <v>#REF!</v>
      </c>
      <c r="AB575" s="593" t="e">
        <f ca="1">$E575*SUMIF(INDIRECT(AB$3),'Struktur Aktuell'!$D575,INDIRECT(AB$8))*IFERROR(IF(VLOOKUP('Struktur Aktuell'!$D575,INDIRECT(AB$6),8,)="H",-1,1),0)</f>
        <v>#REF!</v>
      </c>
      <c r="AC575" s="593" t="e">
        <f ca="1">$E575*SUMIF(INDIRECT(AC$3),'Struktur Aktuell'!$D575,INDIRECT(AC$8))*IFERROR(IF(VLOOKUP('Struktur Aktuell'!$D575,INDIRECT(AC$6),8,)="H",-1,1),0)</f>
        <v>#REF!</v>
      </c>
      <c r="AD575" s="593" t="e">
        <f ca="1">$E575*SUMIF(INDIRECT(AD$3),'Struktur Aktuell'!$D575,INDIRECT(AD$8))*IFERROR(IF(VLOOKUP('Struktur Aktuell'!$D575,INDIRECT(AD$6),8,)="H",-1,1),0)</f>
        <v>#REF!</v>
      </c>
      <c r="AE575" s="593">
        <f t="shared" ca="1" si="891"/>
        <v>0</v>
      </c>
      <c r="AF575" s="593">
        <f t="shared" ca="1" si="892"/>
        <v>0</v>
      </c>
      <c r="AG575" s="593">
        <f t="shared" ca="1" si="893"/>
        <v>0</v>
      </c>
      <c r="AH575" s="593">
        <f t="shared" ca="1" si="894"/>
        <v>0</v>
      </c>
      <c r="AI575" s="593">
        <f t="shared" ca="1" si="895"/>
        <v>0</v>
      </c>
      <c r="AJ575" s="593">
        <f t="shared" ca="1" si="896"/>
        <v>0</v>
      </c>
      <c r="AK575" s="593">
        <f t="shared" ca="1" si="897"/>
        <v>0</v>
      </c>
      <c r="AL575" s="593">
        <f t="shared" ca="1" si="898"/>
        <v>0</v>
      </c>
      <c r="AM575" s="593">
        <f t="shared" ca="1" si="899"/>
        <v>0</v>
      </c>
      <c r="AN575" s="593">
        <f t="shared" ca="1" si="900"/>
        <v>0</v>
      </c>
      <c r="AO575" s="593">
        <f t="shared" ca="1" si="901"/>
        <v>0</v>
      </c>
      <c r="AP575" s="593">
        <f t="shared" ca="1" si="902"/>
        <v>0</v>
      </c>
    </row>
    <row r="576" spans="1:42" s="594" customFormat="1" ht="11.25" x14ac:dyDescent="0.2">
      <c r="A576" s="644"/>
      <c r="B576" s="591" t="str">
        <f>IF(D576&lt;&gt;"",
IF(ISERROR(MATCH(D576,'Ist Aktuell Monat 01'!A:A,0))=FALSE,INDEX('Ist Aktuell Monat 01'!B:B,MATCH(D576,'Ist Aktuell Monat 01'!A:A,0)),
IF(ISERROR(MATCH(D576,'Ist Aktuell Monat 02'!A:A,0))=FALSE,INDEX('Ist Aktuell Monat 02'!B:B,MATCH(D576,'Ist Aktuell Monat 02'!A:A,0)),
IF(ISERROR(MATCH(D576,'Ist Aktuell Monat 03'!A:A,0))=FALSE,INDEX('Ist Aktuell Monat 03'!B:B,MATCH(D576,'Ist Aktuell Monat 03'!A:A,0)),
IF(ISERROR(MATCH(D576,'Ist Aktuell Monat 04'!A:A,0))=FALSE,INDEX('Ist Aktuell Monat 04'!B:B,MATCH(D576,'Ist Aktuell Monat 04'!A:A,0)),
IF(ISERROR(MATCH(D576,'Ist Aktuell Monat 05'!A:A,0))=FALSE,INDEX('Ist Aktuell Monat 05'!B:B,MATCH(D576,'Ist Aktuell Monat 05'!A:A,0)),
IF(ISERROR(MATCH(D576,'Ist Aktuell Monat 06'!A:A,0))=FALSE,INDEX('Ist Aktuell Monat 06'!B:B,MATCH(D576,'Ist Aktuell Monat 06'!A:A,0)),
IF(ISERROR(MATCH(D576,'Ist Aktuell Monat 07'!A:A,0))=FALSE,INDEX('Ist Aktuell Monat 07'!B:B,MATCH(D576,'Ist Aktuell Monat 07'!A:A,0)),
IF(ISERROR(MATCH(D576,'Ist Aktuell Monat 08'!A:A,0))=FALSE,INDEX('Ist Aktuell Monat 08'!B:B,MATCH(D576,'Ist Aktuell Monat 08'!A:A,0)),
IF(ISERROR(MATCH(D576,'Ist Aktuell Monat 09'!A:A,0))=FALSE,INDEX('Ist Aktuell Monat 09'!B:B,MATCH(D576,'Ist Aktuell Monat 09'!A:A,0)),
IF(ISERROR(MATCH(D576,'Ist Aktuell Monat 10'!A:A,0))=FALSE,INDEX('Ist Aktuell Monat 10'!B:B,MATCH(D576,'Ist Aktuell Monat 10'!A:A,0)),
IF(ISERROR(MATCH(D576,'Ist Aktuell Monat 11'!A:A,0))=FALSE,INDEX('Ist Aktuell Monat 11'!B:B,MATCH(D576,'Ist Aktuell Monat 11'!A:A,0)),
IF(ISERROR(MATCH(D576,'Ist Aktuell Monat 12'!A:A,0))=FALSE,INDEX('Ist Aktuell Monat 12'!B:B,MATCH(D576,'Ist Aktuell Monat 12'!A:A,0)),
"{Konto unbekannt}"
)))))))))))),"")</f>
        <v/>
      </c>
      <c r="C576" s="1062"/>
      <c r="D576" s="1067"/>
      <c r="E576" s="625">
        <f t="shared" si="727"/>
        <v>-1</v>
      </c>
      <c r="F576" s="626" t="s">
        <v>996</v>
      </c>
      <c r="G576" s="593">
        <f ca="1">$E576*SUMIF(INDIRECT(G$3),'Struktur Aktuell'!$D576,INDIRECT(G$8))*IFERROR(IF(VLOOKUP('Struktur Aktuell'!$D576,INDIRECT(G$6),8,)="H",-1,1),0)</f>
        <v>0</v>
      </c>
      <c r="H576" s="593">
        <f ca="1">$E576*SUMIF(INDIRECT(H$3),'Struktur Aktuell'!$D576,INDIRECT(H$8))*IFERROR(IF(VLOOKUP('Struktur Aktuell'!$D576,INDIRECT(H$6),8,)="H",-1,1),0)</f>
        <v>0</v>
      </c>
      <c r="I576" s="593">
        <f ca="1">$E576*SUMIF(INDIRECT(I$3),'Struktur Aktuell'!$D576,INDIRECT(I$8))*IFERROR(IF(VLOOKUP('Struktur Aktuell'!$D576,INDIRECT(I$6),8,)="H",-1,1),0)</f>
        <v>0</v>
      </c>
      <c r="J576" s="593">
        <f ca="1">$E576*SUMIF(INDIRECT(J$3),'Struktur Aktuell'!$D576,INDIRECT(J$8))*IFERROR(IF(VLOOKUP('Struktur Aktuell'!$D576,INDIRECT(J$6),8,)="H",-1,1),0)</f>
        <v>0</v>
      </c>
      <c r="K576" s="593">
        <f ca="1">$E576*SUMIF(INDIRECT(K$3),'Struktur Aktuell'!$D576,INDIRECT(K$8))*IFERROR(IF(VLOOKUP('Struktur Aktuell'!$D576,INDIRECT(K$6),8,)="H",-1,1),0)</f>
        <v>0</v>
      </c>
      <c r="L576" s="593">
        <f ca="1">$E576*SUMIF(INDIRECT(L$3),'Struktur Aktuell'!$D576,INDIRECT(L$8))*IFERROR(IF(VLOOKUP('Struktur Aktuell'!$D576,INDIRECT(L$6),8,)="H",-1,1),0)</f>
        <v>0</v>
      </c>
      <c r="M576" s="593">
        <f ca="1">$E576*SUMIF(INDIRECT(M$3),'Struktur Aktuell'!$D576,INDIRECT(M$8))*IFERROR(IF(VLOOKUP('Struktur Aktuell'!$D576,INDIRECT(M$6),8,)="H",-1,1),0)</f>
        <v>0</v>
      </c>
      <c r="N576" s="593">
        <f ca="1">$E576*SUMIF(INDIRECT(N$3),'Struktur Aktuell'!$D576,INDIRECT(N$8))*IFERROR(IF(VLOOKUP('Struktur Aktuell'!$D576,INDIRECT(N$6),8,)="H",-1,1),0)</f>
        <v>0</v>
      </c>
      <c r="O576" s="593">
        <f ca="1">$E576*SUMIF(INDIRECT(O$3),'Struktur Aktuell'!$D576,INDIRECT(O$8))*IFERROR(IF(VLOOKUP('Struktur Aktuell'!$D576,INDIRECT(O$6),8,)="H",-1,1),0)</f>
        <v>0</v>
      </c>
      <c r="P576" s="593">
        <f ca="1">$E576*SUMIF(INDIRECT(P$3),'Struktur Aktuell'!$D576,INDIRECT(P$8))*IFERROR(IF(VLOOKUP('Struktur Aktuell'!$D576,INDIRECT(P$6),8,)="H",-1,1),0)</f>
        <v>0</v>
      </c>
      <c r="Q576" s="593">
        <f ca="1">$E576*SUMIF(INDIRECT(Q$3),'Struktur Aktuell'!$D576,INDIRECT(Q$8))*IFERROR(IF(VLOOKUP('Struktur Aktuell'!$D576,INDIRECT(Q$6),8,)="H",-1,1),0)</f>
        <v>0</v>
      </c>
      <c r="R576" s="593">
        <f ca="1">$E576*SUMIF(INDIRECT(R$3),'Struktur Aktuell'!$D576,INDIRECT(R$8))*IFERROR(IF(VLOOKUP('Struktur Aktuell'!$D576,INDIRECT(R$6),8,)="H",-1,1),0)</f>
        <v>0</v>
      </c>
      <c r="S576" s="593" t="e">
        <f ca="1">$E576*SUMIF(INDIRECT(S$3),'Struktur Aktuell'!$D576,INDIRECT(S$8))*IFERROR(IF(VLOOKUP('Struktur Aktuell'!$D576,INDIRECT(S$6),8,)="H",-1,1),0)</f>
        <v>#REF!</v>
      </c>
      <c r="T576" s="593" t="e">
        <f ca="1">$E576*SUMIF(INDIRECT(T$3),'Struktur Aktuell'!$D576,INDIRECT(T$8))*IFERROR(IF(VLOOKUP('Struktur Aktuell'!$D576,INDIRECT(T$6),8,)="H",-1,1),0)</f>
        <v>#REF!</v>
      </c>
      <c r="U576" s="593" t="e">
        <f ca="1">$E576*SUMIF(INDIRECT(U$3),'Struktur Aktuell'!$D576,INDIRECT(U$8))*IFERROR(IF(VLOOKUP('Struktur Aktuell'!$D576,INDIRECT(U$6),8,)="H",-1,1),0)</f>
        <v>#REF!</v>
      </c>
      <c r="V576" s="593" t="e">
        <f ca="1">$E576*SUMIF(INDIRECT(V$3),'Struktur Aktuell'!$D576,INDIRECT(V$8))*IFERROR(IF(VLOOKUP('Struktur Aktuell'!$D576,INDIRECT(V$6),8,)="H",-1,1),0)</f>
        <v>#REF!</v>
      </c>
      <c r="W576" s="593" t="e">
        <f ca="1">$E576*SUMIF(INDIRECT(W$3),'Struktur Aktuell'!$D576,INDIRECT(W$8))*IFERROR(IF(VLOOKUP('Struktur Aktuell'!$D576,INDIRECT(W$6),8,)="H",-1,1),0)</f>
        <v>#REF!</v>
      </c>
      <c r="X576" s="593" t="e">
        <f ca="1">$E576*SUMIF(INDIRECT(X$3),'Struktur Aktuell'!$D576,INDIRECT(X$8))*IFERROR(IF(VLOOKUP('Struktur Aktuell'!$D576,INDIRECT(X$6),8,)="H",-1,1),0)</f>
        <v>#REF!</v>
      </c>
      <c r="Y576" s="593" t="e">
        <f ca="1">$E576*SUMIF(INDIRECT(Y$3),'Struktur Aktuell'!$D576,INDIRECT(Y$8))*IFERROR(IF(VLOOKUP('Struktur Aktuell'!$D576,INDIRECT(Y$6),8,)="H",-1,1),0)</f>
        <v>#REF!</v>
      </c>
      <c r="Z576" s="593" t="e">
        <f ca="1">$E576*SUMIF(INDIRECT(Z$3),'Struktur Aktuell'!$D576,INDIRECT(Z$8))*IFERROR(IF(VLOOKUP('Struktur Aktuell'!$D576,INDIRECT(Z$6),8,)="H",-1,1),0)</f>
        <v>#REF!</v>
      </c>
      <c r="AA576" s="593" t="e">
        <f ca="1">$E576*SUMIF(INDIRECT(AA$3),'Struktur Aktuell'!$D576,INDIRECT(AA$8))*IFERROR(IF(VLOOKUP('Struktur Aktuell'!$D576,INDIRECT(AA$6),8,)="H",-1,1),0)</f>
        <v>#REF!</v>
      </c>
      <c r="AB576" s="593" t="e">
        <f ca="1">$E576*SUMIF(INDIRECT(AB$3),'Struktur Aktuell'!$D576,INDIRECT(AB$8))*IFERROR(IF(VLOOKUP('Struktur Aktuell'!$D576,INDIRECT(AB$6),8,)="H",-1,1),0)</f>
        <v>#REF!</v>
      </c>
      <c r="AC576" s="593" t="e">
        <f ca="1">$E576*SUMIF(INDIRECT(AC$3),'Struktur Aktuell'!$D576,INDIRECT(AC$8))*IFERROR(IF(VLOOKUP('Struktur Aktuell'!$D576,INDIRECT(AC$6),8,)="H",-1,1),0)</f>
        <v>#REF!</v>
      </c>
      <c r="AD576" s="593" t="e">
        <f ca="1">$E576*SUMIF(INDIRECT(AD$3),'Struktur Aktuell'!$D576,INDIRECT(AD$8))*IFERROR(IF(VLOOKUP('Struktur Aktuell'!$D576,INDIRECT(AD$6),8,)="H",-1,1),0)</f>
        <v>#REF!</v>
      </c>
      <c r="AE576" s="593">
        <f t="shared" ca="1" si="891"/>
        <v>0</v>
      </c>
      <c r="AF576" s="593">
        <f t="shared" ca="1" si="892"/>
        <v>0</v>
      </c>
      <c r="AG576" s="593">
        <f t="shared" ca="1" si="893"/>
        <v>0</v>
      </c>
      <c r="AH576" s="593">
        <f t="shared" ca="1" si="894"/>
        <v>0</v>
      </c>
      <c r="AI576" s="593">
        <f t="shared" ca="1" si="895"/>
        <v>0</v>
      </c>
      <c r="AJ576" s="593">
        <f t="shared" ca="1" si="896"/>
        <v>0</v>
      </c>
      <c r="AK576" s="593">
        <f t="shared" ca="1" si="897"/>
        <v>0</v>
      </c>
      <c r="AL576" s="593">
        <f t="shared" ca="1" si="898"/>
        <v>0</v>
      </c>
      <c r="AM576" s="593">
        <f t="shared" ca="1" si="899"/>
        <v>0</v>
      </c>
      <c r="AN576" s="593">
        <f t="shared" ca="1" si="900"/>
        <v>0</v>
      </c>
      <c r="AO576" s="593">
        <f t="shared" ca="1" si="901"/>
        <v>0</v>
      </c>
      <c r="AP576" s="593">
        <f t="shared" ca="1" si="902"/>
        <v>0</v>
      </c>
    </row>
    <row r="577" spans="1:42" s="594" customFormat="1" ht="11.25" x14ac:dyDescent="0.2">
      <c r="A577" s="644"/>
      <c r="B577" s="591" t="str">
        <f>IF(D577&lt;&gt;"",
IF(ISERROR(MATCH(D577,'Ist Aktuell Monat 01'!A:A,0))=FALSE,INDEX('Ist Aktuell Monat 01'!B:B,MATCH(D577,'Ist Aktuell Monat 01'!A:A,0)),
IF(ISERROR(MATCH(D577,'Ist Aktuell Monat 02'!A:A,0))=FALSE,INDEX('Ist Aktuell Monat 02'!B:B,MATCH(D577,'Ist Aktuell Monat 02'!A:A,0)),
IF(ISERROR(MATCH(D577,'Ist Aktuell Monat 03'!A:A,0))=FALSE,INDEX('Ist Aktuell Monat 03'!B:B,MATCH(D577,'Ist Aktuell Monat 03'!A:A,0)),
IF(ISERROR(MATCH(D577,'Ist Aktuell Monat 04'!A:A,0))=FALSE,INDEX('Ist Aktuell Monat 04'!B:B,MATCH(D577,'Ist Aktuell Monat 04'!A:A,0)),
IF(ISERROR(MATCH(D577,'Ist Aktuell Monat 05'!A:A,0))=FALSE,INDEX('Ist Aktuell Monat 05'!B:B,MATCH(D577,'Ist Aktuell Monat 05'!A:A,0)),
IF(ISERROR(MATCH(D577,'Ist Aktuell Monat 06'!A:A,0))=FALSE,INDEX('Ist Aktuell Monat 06'!B:B,MATCH(D577,'Ist Aktuell Monat 06'!A:A,0)),
IF(ISERROR(MATCH(D577,'Ist Aktuell Monat 07'!A:A,0))=FALSE,INDEX('Ist Aktuell Monat 07'!B:B,MATCH(D577,'Ist Aktuell Monat 07'!A:A,0)),
IF(ISERROR(MATCH(D577,'Ist Aktuell Monat 08'!A:A,0))=FALSE,INDEX('Ist Aktuell Monat 08'!B:B,MATCH(D577,'Ist Aktuell Monat 08'!A:A,0)),
IF(ISERROR(MATCH(D577,'Ist Aktuell Monat 09'!A:A,0))=FALSE,INDEX('Ist Aktuell Monat 09'!B:B,MATCH(D577,'Ist Aktuell Monat 09'!A:A,0)),
IF(ISERROR(MATCH(D577,'Ist Aktuell Monat 10'!A:A,0))=FALSE,INDEX('Ist Aktuell Monat 10'!B:B,MATCH(D577,'Ist Aktuell Monat 10'!A:A,0)),
IF(ISERROR(MATCH(D577,'Ist Aktuell Monat 11'!A:A,0))=FALSE,INDEX('Ist Aktuell Monat 11'!B:B,MATCH(D577,'Ist Aktuell Monat 11'!A:A,0)),
IF(ISERROR(MATCH(D577,'Ist Aktuell Monat 12'!A:A,0))=FALSE,INDEX('Ist Aktuell Monat 12'!B:B,MATCH(D577,'Ist Aktuell Monat 12'!A:A,0)),
"{Konto unbekannt}"
)))))))))))),"")</f>
        <v/>
      </c>
      <c r="C577" s="1062"/>
      <c r="D577" s="1067"/>
      <c r="E577" s="625">
        <f t="shared" si="727"/>
        <v>-1</v>
      </c>
      <c r="F577" s="626" t="s">
        <v>996</v>
      </c>
      <c r="G577" s="593">
        <f ca="1">$E577*SUMIF(INDIRECT(G$3),'Struktur Aktuell'!$D577,INDIRECT(G$8))*IFERROR(IF(VLOOKUP('Struktur Aktuell'!$D577,INDIRECT(G$6),8,)="H",-1,1),0)</f>
        <v>0</v>
      </c>
      <c r="H577" s="593">
        <f ca="1">$E577*SUMIF(INDIRECT(H$3),'Struktur Aktuell'!$D577,INDIRECT(H$8))*IFERROR(IF(VLOOKUP('Struktur Aktuell'!$D577,INDIRECT(H$6),8,)="H",-1,1),0)</f>
        <v>0</v>
      </c>
      <c r="I577" s="593">
        <f ca="1">$E577*SUMIF(INDIRECT(I$3),'Struktur Aktuell'!$D577,INDIRECT(I$8))*IFERROR(IF(VLOOKUP('Struktur Aktuell'!$D577,INDIRECT(I$6),8,)="H",-1,1),0)</f>
        <v>0</v>
      </c>
      <c r="J577" s="593">
        <f ca="1">$E577*SUMIF(INDIRECT(J$3),'Struktur Aktuell'!$D577,INDIRECT(J$8))*IFERROR(IF(VLOOKUP('Struktur Aktuell'!$D577,INDIRECT(J$6),8,)="H",-1,1),0)</f>
        <v>0</v>
      </c>
      <c r="K577" s="593">
        <f ca="1">$E577*SUMIF(INDIRECT(K$3),'Struktur Aktuell'!$D577,INDIRECT(K$8))*IFERROR(IF(VLOOKUP('Struktur Aktuell'!$D577,INDIRECT(K$6),8,)="H",-1,1),0)</f>
        <v>0</v>
      </c>
      <c r="L577" s="593">
        <f ca="1">$E577*SUMIF(INDIRECT(L$3),'Struktur Aktuell'!$D577,INDIRECT(L$8))*IFERROR(IF(VLOOKUP('Struktur Aktuell'!$D577,INDIRECT(L$6),8,)="H",-1,1),0)</f>
        <v>0</v>
      </c>
      <c r="M577" s="593">
        <f ca="1">$E577*SUMIF(INDIRECT(M$3),'Struktur Aktuell'!$D577,INDIRECT(M$8))*IFERROR(IF(VLOOKUP('Struktur Aktuell'!$D577,INDIRECT(M$6),8,)="H",-1,1),0)</f>
        <v>0</v>
      </c>
      <c r="N577" s="593">
        <f ca="1">$E577*SUMIF(INDIRECT(N$3),'Struktur Aktuell'!$D577,INDIRECT(N$8))*IFERROR(IF(VLOOKUP('Struktur Aktuell'!$D577,INDIRECT(N$6),8,)="H",-1,1),0)</f>
        <v>0</v>
      </c>
      <c r="O577" s="593">
        <f ca="1">$E577*SUMIF(INDIRECT(O$3),'Struktur Aktuell'!$D577,INDIRECT(O$8))*IFERROR(IF(VLOOKUP('Struktur Aktuell'!$D577,INDIRECT(O$6),8,)="H",-1,1),0)</f>
        <v>0</v>
      </c>
      <c r="P577" s="593">
        <f ca="1">$E577*SUMIF(INDIRECT(P$3),'Struktur Aktuell'!$D577,INDIRECT(P$8))*IFERROR(IF(VLOOKUP('Struktur Aktuell'!$D577,INDIRECT(P$6),8,)="H",-1,1),0)</f>
        <v>0</v>
      </c>
      <c r="Q577" s="593">
        <f ca="1">$E577*SUMIF(INDIRECT(Q$3),'Struktur Aktuell'!$D577,INDIRECT(Q$8))*IFERROR(IF(VLOOKUP('Struktur Aktuell'!$D577,INDIRECT(Q$6),8,)="H",-1,1),0)</f>
        <v>0</v>
      </c>
      <c r="R577" s="593">
        <f ca="1">$E577*SUMIF(INDIRECT(R$3),'Struktur Aktuell'!$D577,INDIRECT(R$8))*IFERROR(IF(VLOOKUP('Struktur Aktuell'!$D577,INDIRECT(R$6),8,)="H",-1,1),0)</f>
        <v>0</v>
      </c>
      <c r="S577" s="593" t="e">
        <f ca="1">$E577*SUMIF(INDIRECT(S$3),'Struktur Aktuell'!$D577,INDIRECT(S$8))*IFERROR(IF(VLOOKUP('Struktur Aktuell'!$D577,INDIRECT(S$6),8,)="H",-1,1),0)</f>
        <v>#REF!</v>
      </c>
      <c r="T577" s="593" t="e">
        <f ca="1">$E577*SUMIF(INDIRECT(T$3),'Struktur Aktuell'!$D577,INDIRECT(T$8))*IFERROR(IF(VLOOKUP('Struktur Aktuell'!$D577,INDIRECT(T$6),8,)="H",-1,1),0)</f>
        <v>#REF!</v>
      </c>
      <c r="U577" s="593" t="e">
        <f ca="1">$E577*SUMIF(INDIRECT(U$3),'Struktur Aktuell'!$D577,INDIRECT(U$8))*IFERROR(IF(VLOOKUP('Struktur Aktuell'!$D577,INDIRECT(U$6),8,)="H",-1,1),0)</f>
        <v>#REF!</v>
      </c>
      <c r="V577" s="593" t="e">
        <f ca="1">$E577*SUMIF(INDIRECT(V$3),'Struktur Aktuell'!$D577,INDIRECT(V$8))*IFERROR(IF(VLOOKUP('Struktur Aktuell'!$D577,INDIRECT(V$6),8,)="H",-1,1),0)</f>
        <v>#REF!</v>
      </c>
      <c r="W577" s="593" t="e">
        <f ca="1">$E577*SUMIF(INDIRECT(W$3),'Struktur Aktuell'!$D577,INDIRECT(W$8))*IFERROR(IF(VLOOKUP('Struktur Aktuell'!$D577,INDIRECT(W$6),8,)="H",-1,1),0)</f>
        <v>#REF!</v>
      </c>
      <c r="X577" s="593" t="e">
        <f ca="1">$E577*SUMIF(INDIRECT(X$3),'Struktur Aktuell'!$D577,INDIRECT(X$8))*IFERROR(IF(VLOOKUP('Struktur Aktuell'!$D577,INDIRECT(X$6),8,)="H",-1,1),0)</f>
        <v>#REF!</v>
      </c>
      <c r="Y577" s="593" t="e">
        <f ca="1">$E577*SUMIF(INDIRECT(Y$3),'Struktur Aktuell'!$D577,INDIRECT(Y$8))*IFERROR(IF(VLOOKUP('Struktur Aktuell'!$D577,INDIRECT(Y$6),8,)="H",-1,1),0)</f>
        <v>#REF!</v>
      </c>
      <c r="Z577" s="593" t="e">
        <f ca="1">$E577*SUMIF(INDIRECT(Z$3),'Struktur Aktuell'!$D577,INDIRECT(Z$8))*IFERROR(IF(VLOOKUP('Struktur Aktuell'!$D577,INDIRECT(Z$6),8,)="H",-1,1),0)</f>
        <v>#REF!</v>
      </c>
      <c r="AA577" s="593" t="e">
        <f ca="1">$E577*SUMIF(INDIRECT(AA$3),'Struktur Aktuell'!$D577,INDIRECT(AA$8))*IFERROR(IF(VLOOKUP('Struktur Aktuell'!$D577,INDIRECT(AA$6),8,)="H",-1,1),0)</f>
        <v>#REF!</v>
      </c>
      <c r="AB577" s="593" t="e">
        <f ca="1">$E577*SUMIF(INDIRECT(AB$3),'Struktur Aktuell'!$D577,INDIRECT(AB$8))*IFERROR(IF(VLOOKUP('Struktur Aktuell'!$D577,INDIRECT(AB$6),8,)="H",-1,1),0)</f>
        <v>#REF!</v>
      </c>
      <c r="AC577" s="593" t="e">
        <f ca="1">$E577*SUMIF(INDIRECT(AC$3),'Struktur Aktuell'!$D577,INDIRECT(AC$8))*IFERROR(IF(VLOOKUP('Struktur Aktuell'!$D577,INDIRECT(AC$6),8,)="H",-1,1),0)</f>
        <v>#REF!</v>
      </c>
      <c r="AD577" s="593" t="e">
        <f ca="1">$E577*SUMIF(INDIRECT(AD$3),'Struktur Aktuell'!$D577,INDIRECT(AD$8))*IFERROR(IF(VLOOKUP('Struktur Aktuell'!$D577,INDIRECT(AD$6),8,)="H",-1,1),0)</f>
        <v>#REF!</v>
      </c>
      <c r="AE577" s="593">
        <f t="shared" ca="1" si="891"/>
        <v>0</v>
      </c>
      <c r="AF577" s="593">
        <f t="shared" ca="1" si="892"/>
        <v>0</v>
      </c>
      <c r="AG577" s="593">
        <f t="shared" ca="1" si="893"/>
        <v>0</v>
      </c>
      <c r="AH577" s="593">
        <f t="shared" ca="1" si="894"/>
        <v>0</v>
      </c>
      <c r="AI577" s="593">
        <f t="shared" ca="1" si="895"/>
        <v>0</v>
      </c>
      <c r="AJ577" s="593">
        <f t="shared" ca="1" si="896"/>
        <v>0</v>
      </c>
      <c r="AK577" s="593">
        <f t="shared" ca="1" si="897"/>
        <v>0</v>
      </c>
      <c r="AL577" s="593">
        <f t="shared" ca="1" si="898"/>
        <v>0</v>
      </c>
      <c r="AM577" s="593">
        <f t="shared" ca="1" si="899"/>
        <v>0</v>
      </c>
      <c r="AN577" s="593">
        <f t="shared" ca="1" si="900"/>
        <v>0</v>
      </c>
      <c r="AO577" s="593">
        <f t="shared" ca="1" si="901"/>
        <v>0</v>
      </c>
      <c r="AP577" s="593">
        <f t="shared" ca="1" si="902"/>
        <v>0</v>
      </c>
    </row>
    <row r="578" spans="1:42" s="594" customFormat="1" ht="11.25" x14ac:dyDescent="0.2">
      <c r="A578" s="644"/>
      <c r="B578" s="591" t="str">
        <f>IF(D578&lt;&gt;"",
IF(ISERROR(MATCH(D578,'Ist Aktuell Monat 01'!A:A,0))=FALSE,INDEX('Ist Aktuell Monat 01'!B:B,MATCH(D578,'Ist Aktuell Monat 01'!A:A,0)),
IF(ISERROR(MATCH(D578,'Ist Aktuell Monat 02'!A:A,0))=FALSE,INDEX('Ist Aktuell Monat 02'!B:B,MATCH(D578,'Ist Aktuell Monat 02'!A:A,0)),
IF(ISERROR(MATCH(D578,'Ist Aktuell Monat 03'!A:A,0))=FALSE,INDEX('Ist Aktuell Monat 03'!B:B,MATCH(D578,'Ist Aktuell Monat 03'!A:A,0)),
IF(ISERROR(MATCH(D578,'Ist Aktuell Monat 04'!A:A,0))=FALSE,INDEX('Ist Aktuell Monat 04'!B:B,MATCH(D578,'Ist Aktuell Monat 04'!A:A,0)),
IF(ISERROR(MATCH(D578,'Ist Aktuell Monat 05'!A:A,0))=FALSE,INDEX('Ist Aktuell Monat 05'!B:B,MATCH(D578,'Ist Aktuell Monat 05'!A:A,0)),
IF(ISERROR(MATCH(D578,'Ist Aktuell Monat 06'!A:A,0))=FALSE,INDEX('Ist Aktuell Monat 06'!B:B,MATCH(D578,'Ist Aktuell Monat 06'!A:A,0)),
IF(ISERROR(MATCH(D578,'Ist Aktuell Monat 07'!A:A,0))=FALSE,INDEX('Ist Aktuell Monat 07'!B:B,MATCH(D578,'Ist Aktuell Monat 07'!A:A,0)),
IF(ISERROR(MATCH(D578,'Ist Aktuell Monat 08'!A:A,0))=FALSE,INDEX('Ist Aktuell Monat 08'!B:B,MATCH(D578,'Ist Aktuell Monat 08'!A:A,0)),
IF(ISERROR(MATCH(D578,'Ist Aktuell Monat 09'!A:A,0))=FALSE,INDEX('Ist Aktuell Monat 09'!B:B,MATCH(D578,'Ist Aktuell Monat 09'!A:A,0)),
IF(ISERROR(MATCH(D578,'Ist Aktuell Monat 10'!A:A,0))=FALSE,INDEX('Ist Aktuell Monat 10'!B:B,MATCH(D578,'Ist Aktuell Monat 10'!A:A,0)),
IF(ISERROR(MATCH(D578,'Ist Aktuell Monat 11'!A:A,0))=FALSE,INDEX('Ist Aktuell Monat 11'!B:B,MATCH(D578,'Ist Aktuell Monat 11'!A:A,0)),
IF(ISERROR(MATCH(D578,'Ist Aktuell Monat 12'!A:A,0))=FALSE,INDEX('Ist Aktuell Monat 12'!B:B,MATCH(D578,'Ist Aktuell Monat 12'!A:A,0)),
"{Konto unbekannt}"
)))))))))))),"")</f>
        <v/>
      </c>
      <c r="C578" s="1062"/>
      <c r="D578" s="1067"/>
      <c r="E578" s="625">
        <f>IF(F578="-",-1,1)</f>
        <v>-1</v>
      </c>
      <c r="F578" s="626" t="s">
        <v>996</v>
      </c>
      <c r="G578" s="593">
        <f ca="1">$E578*SUMIF(INDIRECT(G$3),'Struktur Aktuell'!$D578,INDIRECT(G$8))*IFERROR(IF(VLOOKUP('Struktur Aktuell'!$D578,INDIRECT(G$6),8,)="H",-1,1),0)</f>
        <v>0</v>
      </c>
      <c r="H578" s="593">
        <f ca="1">$E578*SUMIF(INDIRECT(H$3),'Struktur Aktuell'!$D578,INDIRECT(H$8))*IFERROR(IF(VLOOKUP('Struktur Aktuell'!$D578,INDIRECT(H$6),8,)="H",-1,1),0)</f>
        <v>0</v>
      </c>
      <c r="I578" s="593">
        <f ca="1">$E578*SUMIF(INDIRECT(I$3),'Struktur Aktuell'!$D578,INDIRECT(I$8))*IFERROR(IF(VLOOKUP('Struktur Aktuell'!$D578,INDIRECT(I$6),8,)="H",-1,1),0)</f>
        <v>0</v>
      </c>
      <c r="J578" s="593">
        <f ca="1">$E578*SUMIF(INDIRECT(J$3),'Struktur Aktuell'!$D578,INDIRECT(J$8))*IFERROR(IF(VLOOKUP('Struktur Aktuell'!$D578,INDIRECT(J$6),8,)="H",-1,1),0)</f>
        <v>0</v>
      </c>
      <c r="K578" s="593">
        <f ca="1">$E578*SUMIF(INDIRECT(K$3),'Struktur Aktuell'!$D578,INDIRECT(K$8))*IFERROR(IF(VLOOKUP('Struktur Aktuell'!$D578,INDIRECT(K$6),8,)="H",-1,1),0)</f>
        <v>0</v>
      </c>
      <c r="L578" s="593">
        <f ca="1">$E578*SUMIF(INDIRECT(L$3),'Struktur Aktuell'!$D578,INDIRECT(L$8))*IFERROR(IF(VLOOKUP('Struktur Aktuell'!$D578,INDIRECT(L$6),8,)="H",-1,1),0)</f>
        <v>0</v>
      </c>
      <c r="M578" s="593">
        <f ca="1">$E578*SUMIF(INDIRECT(M$3),'Struktur Aktuell'!$D578,INDIRECT(M$8))*IFERROR(IF(VLOOKUP('Struktur Aktuell'!$D578,INDIRECT(M$6),8,)="H",-1,1),0)</f>
        <v>0</v>
      </c>
      <c r="N578" s="593">
        <f ca="1">$E578*SUMIF(INDIRECT(N$3),'Struktur Aktuell'!$D578,INDIRECT(N$8))*IFERROR(IF(VLOOKUP('Struktur Aktuell'!$D578,INDIRECT(N$6),8,)="H",-1,1),0)</f>
        <v>0</v>
      </c>
      <c r="O578" s="593">
        <f ca="1">$E578*SUMIF(INDIRECT(O$3),'Struktur Aktuell'!$D578,INDIRECT(O$8))*IFERROR(IF(VLOOKUP('Struktur Aktuell'!$D578,INDIRECT(O$6),8,)="H",-1,1),0)</f>
        <v>0</v>
      </c>
      <c r="P578" s="593">
        <f ca="1">$E578*SUMIF(INDIRECT(P$3),'Struktur Aktuell'!$D578,INDIRECT(P$8))*IFERROR(IF(VLOOKUP('Struktur Aktuell'!$D578,INDIRECT(P$6),8,)="H",-1,1),0)</f>
        <v>0</v>
      </c>
      <c r="Q578" s="593">
        <f ca="1">$E578*SUMIF(INDIRECT(Q$3),'Struktur Aktuell'!$D578,INDIRECT(Q$8))*IFERROR(IF(VLOOKUP('Struktur Aktuell'!$D578,INDIRECT(Q$6),8,)="H",-1,1),0)</f>
        <v>0</v>
      </c>
      <c r="R578" s="593">
        <f ca="1">$E578*SUMIF(INDIRECT(R$3),'Struktur Aktuell'!$D578,INDIRECT(R$8))*IFERROR(IF(VLOOKUP('Struktur Aktuell'!$D578,INDIRECT(R$6),8,)="H",-1,1),0)</f>
        <v>0</v>
      </c>
      <c r="S578" s="593" t="e">
        <f ca="1">$E578*SUMIF(INDIRECT(S$3),'Struktur Aktuell'!$D578,INDIRECT(S$8))*IFERROR(IF(VLOOKUP('Struktur Aktuell'!$D578,INDIRECT(S$6),8,)="H",-1,1),0)</f>
        <v>#REF!</v>
      </c>
      <c r="T578" s="593" t="e">
        <f ca="1">$E578*SUMIF(INDIRECT(T$3),'Struktur Aktuell'!$D578,INDIRECT(T$8))*IFERROR(IF(VLOOKUP('Struktur Aktuell'!$D578,INDIRECT(T$6),8,)="H",-1,1),0)</f>
        <v>#REF!</v>
      </c>
      <c r="U578" s="593" t="e">
        <f ca="1">$E578*SUMIF(INDIRECT(U$3),'Struktur Aktuell'!$D578,INDIRECT(U$8))*IFERROR(IF(VLOOKUP('Struktur Aktuell'!$D578,INDIRECT(U$6),8,)="H",-1,1),0)</f>
        <v>#REF!</v>
      </c>
      <c r="V578" s="593" t="e">
        <f ca="1">$E578*SUMIF(INDIRECT(V$3),'Struktur Aktuell'!$D578,INDIRECT(V$8))*IFERROR(IF(VLOOKUP('Struktur Aktuell'!$D578,INDIRECT(V$6),8,)="H",-1,1),0)</f>
        <v>#REF!</v>
      </c>
      <c r="W578" s="593" t="e">
        <f ca="1">$E578*SUMIF(INDIRECT(W$3),'Struktur Aktuell'!$D578,INDIRECT(W$8))*IFERROR(IF(VLOOKUP('Struktur Aktuell'!$D578,INDIRECT(W$6),8,)="H",-1,1),0)</f>
        <v>#REF!</v>
      </c>
      <c r="X578" s="593" t="e">
        <f ca="1">$E578*SUMIF(INDIRECT(X$3),'Struktur Aktuell'!$D578,INDIRECT(X$8))*IFERROR(IF(VLOOKUP('Struktur Aktuell'!$D578,INDIRECT(X$6),8,)="H",-1,1),0)</f>
        <v>#REF!</v>
      </c>
      <c r="Y578" s="593" t="e">
        <f ca="1">$E578*SUMIF(INDIRECT(Y$3),'Struktur Aktuell'!$D578,INDIRECT(Y$8))*IFERROR(IF(VLOOKUP('Struktur Aktuell'!$D578,INDIRECT(Y$6),8,)="H",-1,1),0)</f>
        <v>#REF!</v>
      </c>
      <c r="Z578" s="593" t="e">
        <f ca="1">$E578*SUMIF(INDIRECT(Z$3),'Struktur Aktuell'!$D578,INDIRECT(Z$8))*IFERROR(IF(VLOOKUP('Struktur Aktuell'!$D578,INDIRECT(Z$6),8,)="H",-1,1),0)</f>
        <v>#REF!</v>
      </c>
      <c r="AA578" s="593" t="e">
        <f ca="1">$E578*SUMIF(INDIRECT(AA$3),'Struktur Aktuell'!$D578,INDIRECT(AA$8))*IFERROR(IF(VLOOKUP('Struktur Aktuell'!$D578,INDIRECT(AA$6),8,)="H",-1,1),0)</f>
        <v>#REF!</v>
      </c>
      <c r="AB578" s="593" t="e">
        <f ca="1">$E578*SUMIF(INDIRECT(AB$3),'Struktur Aktuell'!$D578,INDIRECT(AB$8))*IFERROR(IF(VLOOKUP('Struktur Aktuell'!$D578,INDIRECT(AB$6),8,)="H",-1,1),0)</f>
        <v>#REF!</v>
      </c>
      <c r="AC578" s="593" t="e">
        <f ca="1">$E578*SUMIF(INDIRECT(AC$3),'Struktur Aktuell'!$D578,INDIRECT(AC$8))*IFERROR(IF(VLOOKUP('Struktur Aktuell'!$D578,INDIRECT(AC$6),8,)="H",-1,1),0)</f>
        <v>#REF!</v>
      </c>
      <c r="AD578" s="593" t="e">
        <f ca="1">$E578*SUMIF(INDIRECT(AD$3),'Struktur Aktuell'!$D578,INDIRECT(AD$8))*IFERROR(IF(VLOOKUP('Struktur Aktuell'!$D578,INDIRECT(AD$6),8,)="H",-1,1),0)</f>
        <v>#REF!</v>
      </c>
      <c r="AE578" s="593">
        <f t="shared" ca="1" si="891"/>
        <v>0</v>
      </c>
      <c r="AF578" s="593">
        <f t="shared" ca="1" si="892"/>
        <v>0</v>
      </c>
      <c r="AG578" s="593">
        <f t="shared" ca="1" si="893"/>
        <v>0</v>
      </c>
      <c r="AH578" s="593">
        <f t="shared" ca="1" si="894"/>
        <v>0</v>
      </c>
      <c r="AI578" s="593">
        <f t="shared" ca="1" si="895"/>
        <v>0</v>
      </c>
      <c r="AJ578" s="593">
        <f t="shared" ca="1" si="896"/>
        <v>0</v>
      </c>
      <c r="AK578" s="593">
        <f t="shared" ca="1" si="897"/>
        <v>0</v>
      </c>
      <c r="AL578" s="593">
        <f t="shared" ca="1" si="898"/>
        <v>0</v>
      </c>
      <c r="AM578" s="593">
        <f t="shared" ca="1" si="899"/>
        <v>0</v>
      </c>
      <c r="AN578" s="593">
        <f t="shared" ca="1" si="900"/>
        <v>0</v>
      </c>
      <c r="AO578" s="593">
        <f t="shared" ca="1" si="901"/>
        <v>0</v>
      </c>
      <c r="AP578" s="593">
        <f t="shared" ca="1" si="902"/>
        <v>0</v>
      </c>
    </row>
    <row r="579" spans="1:42" s="594" customFormat="1" ht="11.25" x14ac:dyDescent="0.2">
      <c r="A579" s="644"/>
      <c r="B579" s="591" t="str">
        <f>IF(D579&lt;&gt;"",
IF(ISERROR(MATCH(D579,'Ist Aktuell Monat 01'!A:A,0))=FALSE,INDEX('Ist Aktuell Monat 01'!B:B,MATCH(D579,'Ist Aktuell Monat 01'!A:A,0)),
IF(ISERROR(MATCH(D579,'Ist Aktuell Monat 02'!A:A,0))=FALSE,INDEX('Ist Aktuell Monat 02'!B:B,MATCH(D579,'Ist Aktuell Monat 02'!A:A,0)),
IF(ISERROR(MATCH(D579,'Ist Aktuell Monat 03'!A:A,0))=FALSE,INDEX('Ist Aktuell Monat 03'!B:B,MATCH(D579,'Ist Aktuell Monat 03'!A:A,0)),
IF(ISERROR(MATCH(D579,'Ist Aktuell Monat 04'!A:A,0))=FALSE,INDEX('Ist Aktuell Monat 04'!B:B,MATCH(D579,'Ist Aktuell Monat 04'!A:A,0)),
IF(ISERROR(MATCH(D579,'Ist Aktuell Monat 05'!A:A,0))=FALSE,INDEX('Ist Aktuell Monat 05'!B:B,MATCH(D579,'Ist Aktuell Monat 05'!A:A,0)),
IF(ISERROR(MATCH(D579,'Ist Aktuell Monat 06'!A:A,0))=FALSE,INDEX('Ist Aktuell Monat 06'!B:B,MATCH(D579,'Ist Aktuell Monat 06'!A:A,0)),
IF(ISERROR(MATCH(D579,'Ist Aktuell Monat 07'!A:A,0))=FALSE,INDEX('Ist Aktuell Monat 07'!B:B,MATCH(D579,'Ist Aktuell Monat 07'!A:A,0)),
IF(ISERROR(MATCH(D579,'Ist Aktuell Monat 08'!A:A,0))=FALSE,INDEX('Ist Aktuell Monat 08'!B:B,MATCH(D579,'Ist Aktuell Monat 08'!A:A,0)),
IF(ISERROR(MATCH(D579,'Ist Aktuell Monat 09'!A:A,0))=FALSE,INDEX('Ist Aktuell Monat 09'!B:B,MATCH(D579,'Ist Aktuell Monat 09'!A:A,0)),
IF(ISERROR(MATCH(D579,'Ist Aktuell Monat 10'!A:A,0))=FALSE,INDEX('Ist Aktuell Monat 10'!B:B,MATCH(D579,'Ist Aktuell Monat 10'!A:A,0)),
IF(ISERROR(MATCH(D579,'Ist Aktuell Monat 11'!A:A,0))=FALSE,INDEX('Ist Aktuell Monat 11'!B:B,MATCH(D579,'Ist Aktuell Monat 11'!A:A,0)),
IF(ISERROR(MATCH(D579,'Ist Aktuell Monat 12'!A:A,0))=FALSE,INDEX('Ist Aktuell Monat 12'!B:B,MATCH(D579,'Ist Aktuell Monat 12'!A:A,0)),
"{Konto unbekannt}"
)))))))))))),"")</f>
        <v/>
      </c>
      <c r="C579" s="1062"/>
      <c r="D579" s="1067"/>
      <c r="E579" s="625">
        <f>IF(F579="-",-1,1)</f>
        <v>-1</v>
      </c>
      <c r="F579" s="626" t="s">
        <v>996</v>
      </c>
      <c r="G579" s="593">
        <f ca="1">$E579*SUMIF(INDIRECT(G$3),'Struktur Aktuell'!$D579,INDIRECT(G$8))*IFERROR(IF(VLOOKUP('Struktur Aktuell'!$D579,INDIRECT(G$6),8,)="H",-1,1),0)</f>
        <v>0</v>
      </c>
      <c r="H579" s="593">
        <f ca="1">$E579*SUMIF(INDIRECT(H$3),'Struktur Aktuell'!$D579,INDIRECT(H$8))*IFERROR(IF(VLOOKUP('Struktur Aktuell'!$D579,INDIRECT(H$6),8,)="H",-1,1),0)</f>
        <v>0</v>
      </c>
      <c r="I579" s="593">
        <f ca="1">$E579*SUMIF(INDIRECT(I$3),'Struktur Aktuell'!$D579,INDIRECT(I$8))*IFERROR(IF(VLOOKUP('Struktur Aktuell'!$D579,INDIRECT(I$6),8,)="H",-1,1),0)</f>
        <v>0</v>
      </c>
      <c r="J579" s="593">
        <f ca="1">$E579*SUMIF(INDIRECT(J$3),'Struktur Aktuell'!$D579,INDIRECT(J$8))*IFERROR(IF(VLOOKUP('Struktur Aktuell'!$D579,INDIRECT(J$6),8,)="H",-1,1),0)</f>
        <v>0</v>
      </c>
      <c r="K579" s="593">
        <f ca="1">$E579*SUMIF(INDIRECT(K$3),'Struktur Aktuell'!$D579,INDIRECT(K$8))*IFERROR(IF(VLOOKUP('Struktur Aktuell'!$D579,INDIRECT(K$6),8,)="H",-1,1),0)</f>
        <v>0</v>
      </c>
      <c r="L579" s="593">
        <f ca="1">$E579*SUMIF(INDIRECT(L$3),'Struktur Aktuell'!$D579,INDIRECT(L$8))*IFERROR(IF(VLOOKUP('Struktur Aktuell'!$D579,INDIRECT(L$6),8,)="H",-1,1),0)</f>
        <v>0</v>
      </c>
      <c r="M579" s="593">
        <f ca="1">$E579*SUMIF(INDIRECT(M$3),'Struktur Aktuell'!$D579,INDIRECT(M$8))*IFERROR(IF(VLOOKUP('Struktur Aktuell'!$D579,INDIRECT(M$6),8,)="H",-1,1),0)</f>
        <v>0</v>
      </c>
      <c r="N579" s="593">
        <f ca="1">$E579*SUMIF(INDIRECT(N$3),'Struktur Aktuell'!$D579,INDIRECT(N$8))*IFERROR(IF(VLOOKUP('Struktur Aktuell'!$D579,INDIRECT(N$6),8,)="H",-1,1),0)</f>
        <v>0</v>
      </c>
      <c r="O579" s="593">
        <f ca="1">$E579*SUMIF(INDIRECT(O$3),'Struktur Aktuell'!$D579,INDIRECT(O$8))*IFERROR(IF(VLOOKUP('Struktur Aktuell'!$D579,INDIRECT(O$6),8,)="H",-1,1),0)</f>
        <v>0</v>
      </c>
      <c r="P579" s="593">
        <f ca="1">$E579*SUMIF(INDIRECT(P$3),'Struktur Aktuell'!$D579,INDIRECT(P$8))*IFERROR(IF(VLOOKUP('Struktur Aktuell'!$D579,INDIRECT(P$6),8,)="H",-1,1),0)</f>
        <v>0</v>
      </c>
      <c r="Q579" s="593">
        <f ca="1">$E579*SUMIF(INDIRECT(Q$3),'Struktur Aktuell'!$D579,INDIRECT(Q$8))*IFERROR(IF(VLOOKUP('Struktur Aktuell'!$D579,INDIRECT(Q$6),8,)="H",-1,1),0)</f>
        <v>0</v>
      </c>
      <c r="R579" s="593">
        <f ca="1">$E579*SUMIF(INDIRECT(R$3),'Struktur Aktuell'!$D579,INDIRECT(R$8))*IFERROR(IF(VLOOKUP('Struktur Aktuell'!$D579,INDIRECT(R$6),8,)="H",-1,1),0)</f>
        <v>0</v>
      </c>
      <c r="S579" s="593" t="e">
        <f ca="1">$E579*SUMIF(INDIRECT(S$3),'Struktur Aktuell'!$D579,INDIRECT(S$8))*IFERROR(IF(VLOOKUP('Struktur Aktuell'!$D579,INDIRECT(S$6),8,)="H",-1,1),0)</f>
        <v>#REF!</v>
      </c>
      <c r="T579" s="593" t="e">
        <f ca="1">$E579*SUMIF(INDIRECT(T$3),'Struktur Aktuell'!$D579,INDIRECT(T$8))*IFERROR(IF(VLOOKUP('Struktur Aktuell'!$D579,INDIRECT(T$6),8,)="H",-1,1),0)</f>
        <v>#REF!</v>
      </c>
      <c r="U579" s="593" t="e">
        <f ca="1">$E579*SUMIF(INDIRECT(U$3),'Struktur Aktuell'!$D579,INDIRECT(U$8))*IFERROR(IF(VLOOKUP('Struktur Aktuell'!$D579,INDIRECT(U$6),8,)="H",-1,1),0)</f>
        <v>#REF!</v>
      </c>
      <c r="V579" s="593" t="e">
        <f ca="1">$E579*SUMIF(INDIRECT(V$3),'Struktur Aktuell'!$D579,INDIRECT(V$8))*IFERROR(IF(VLOOKUP('Struktur Aktuell'!$D579,INDIRECT(V$6),8,)="H",-1,1),0)</f>
        <v>#REF!</v>
      </c>
      <c r="W579" s="593" t="e">
        <f ca="1">$E579*SUMIF(INDIRECT(W$3),'Struktur Aktuell'!$D579,INDIRECT(W$8))*IFERROR(IF(VLOOKUP('Struktur Aktuell'!$D579,INDIRECT(W$6),8,)="H",-1,1),0)</f>
        <v>#REF!</v>
      </c>
      <c r="X579" s="593" t="e">
        <f ca="1">$E579*SUMIF(INDIRECT(X$3),'Struktur Aktuell'!$D579,INDIRECT(X$8))*IFERROR(IF(VLOOKUP('Struktur Aktuell'!$D579,INDIRECT(X$6),8,)="H",-1,1),0)</f>
        <v>#REF!</v>
      </c>
      <c r="Y579" s="593" t="e">
        <f ca="1">$E579*SUMIF(INDIRECT(Y$3),'Struktur Aktuell'!$D579,INDIRECT(Y$8))*IFERROR(IF(VLOOKUP('Struktur Aktuell'!$D579,INDIRECT(Y$6),8,)="H",-1,1),0)</f>
        <v>#REF!</v>
      </c>
      <c r="Z579" s="593" t="e">
        <f ca="1">$E579*SUMIF(INDIRECT(Z$3),'Struktur Aktuell'!$D579,INDIRECT(Z$8))*IFERROR(IF(VLOOKUP('Struktur Aktuell'!$D579,INDIRECT(Z$6),8,)="H",-1,1),0)</f>
        <v>#REF!</v>
      </c>
      <c r="AA579" s="593" t="e">
        <f ca="1">$E579*SUMIF(INDIRECT(AA$3),'Struktur Aktuell'!$D579,INDIRECT(AA$8))*IFERROR(IF(VLOOKUP('Struktur Aktuell'!$D579,INDIRECT(AA$6),8,)="H",-1,1),0)</f>
        <v>#REF!</v>
      </c>
      <c r="AB579" s="593" t="e">
        <f ca="1">$E579*SUMIF(INDIRECT(AB$3),'Struktur Aktuell'!$D579,INDIRECT(AB$8))*IFERROR(IF(VLOOKUP('Struktur Aktuell'!$D579,INDIRECT(AB$6),8,)="H",-1,1),0)</f>
        <v>#REF!</v>
      </c>
      <c r="AC579" s="593" t="e">
        <f ca="1">$E579*SUMIF(INDIRECT(AC$3),'Struktur Aktuell'!$D579,INDIRECT(AC$8))*IFERROR(IF(VLOOKUP('Struktur Aktuell'!$D579,INDIRECT(AC$6),8,)="H",-1,1),0)</f>
        <v>#REF!</v>
      </c>
      <c r="AD579" s="593" t="e">
        <f ca="1">$E579*SUMIF(INDIRECT(AD$3),'Struktur Aktuell'!$D579,INDIRECT(AD$8))*IFERROR(IF(VLOOKUP('Struktur Aktuell'!$D579,INDIRECT(AD$6),8,)="H",-1,1),0)</f>
        <v>#REF!</v>
      </c>
      <c r="AE579" s="593">
        <f t="shared" ca="1" si="891"/>
        <v>0</v>
      </c>
      <c r="AF579" s="593">
        <f t="shared" ca="1" si="892"/>
        <v>0</v>
      </c>
      <c r="AG579" s="593">
        <f t="shared" ca="1" si="893"/>
        <v>0</v>
      </c>
      <c r="AH579" s="593">
        <f t="shared" ca="1" si="894"/>
        <v>0</v>
      </c>
      <c r="AI579" s="593">
        <f t="shared" ca="1" si="895"/>
        <v>0</v>
      </c>
      <c r="AJ579" s="593">
        <f t="shared" ca="1" si="896"/>
        <v>0</v>
      </c>
      <c r="AK579" s="593">
        <f t="shared" ca="1" si="897"/>
        <v>0</v>
      </c>
      <c r="AL579" s="593">
        <f t="shared" ca="1" si="898"/>
        <v>0</v>
      </c>
      <c r="AM579" s="593">
        <f t="shared" ca="1" si="899"/>
        <v>0</v>
      </c>
      <c r="AN579" s="593">
        <f t="shared" ca="1" si="900"/>
        <v>0</v>
      </c>
      <c r="AO579" s="593">
        <f t="shared" ca="1" si="901"/>
        <v>0</v>
      </c>
      <c r="AP579" s="593">
        <f t="shared" ca="1" si="902"/>
        <v>0</v>
      </c>
    </row>
    <row r="580" spans="1:42" s="594" customFormat="1" ht="11.25" x14ac:dyDescent="0.2">
      <c r="A580" s="644"/>
      <c r="B580" s="591" t="str">
        <f>IF(D580&lt;&gt;"",
IF(ISERROR(MATCH(D580,'Ist Aktuell Monat 01'!A:A,0))=FALSE,INDEX('Ist Aktuell Monat 01'!B:B,MATCH(D580,'Ist Aktuell Monat 01'!A:A,0)),
IF(ISERROR(MATCH(D580,'Ist Aktuell Monat 02'!A:A,0))=FALSE,INDEX('Ist Aktuell Monat 02'!B:B,MATCH(D580,'Ist Aktuell Monat 02'!A:A,0)),
IF(ISERROR(MATCH(D580,'Ist Aktuell Monat 03'!A:A,0))=FALSE,INDEX('Ist Aktuell Monat 03'!B:B,MATCH(D580,'Ist Aktuell Monat 03'!A:A,0)),
IF(ISERROR(MATCH(D580,'Ist Aktuell Monat 04'!A:A,0))=FALSE,INDEX('Ist Aktuell Monat 04'!B:B,MATCH(D580,'Ist Aktuell Monat 04'!A:A,0)),
IF(ISERROR(MATCH(D580,'Ist Aktuell Monat 05'!A:A,0))=FALSE,INDEX('Ist Aktuell Monat 05'!B:B,MATCH(D580,'Ist Aktuell Monat 05'!A:A,0)),
IF(ISERROR(MATCH(D580,'Ist Aktuell Monat 06'!A:A,0))=FALSE,INDEX('Ist Aktuell Monat 06'!B:B,MATCH(D580,'Ist Aktuell Monat 06'!A:A,0)),
IF(ISERROR(MATCH(D580,'Ist Aktuell Monat 07'!A:A,0))=FALSE,INDEX('Ist Aktuell Monat 07'!B:B,MATCH(D580,'Ist Aktuell Monat 07'!A:A,0)),
IF(ISERROR(MATCH(D580,'Ist Aktuell Monat 08'!A:A,0))=FALSE,INDEX('Ist Aktuell Monat 08'!B:B,MATCH(D580,'Ist Aktuell Monat 08'!A:A,0)),
IF(ISERROR(MATCH(D580,'Ist Aktuell Monat 09'!A:A,0))=FALSE,INDEX('Ist Aktuell Monat 09'!B:B,MATCH(D580,'Ist Aktuell Monat 09'!A:A,0)),
IF(ISERROR(MATCH(D580,'Ist Aktuell Monat 10'!A:A,0))=FALSE,INDEX('Ist Aktuell Monat 10'!B:B,MATCH(D580,'Ist Aktuell Monat 10'!A:A,0)),
IF(ISERROR(MATCH(D580,'Ist Aktuell Monat 11'!A:A,0))=FALSE,INDEX('Ist Aktuell Monat 11'!B:B,MATCH(D580,'Ist Aktuell Monat 11'!A:A,0)),
IF(ISERROR(MATCH(D580,'Ist Aktuell Monat 12'!A:A,0))=FALSE,INDEX('Ist Aktuell Monat 12'!B:B,MATCH(D580,'Ist Aktuell Monat 12'!A:A,0)),
"{Konto unbekannt}"
)))))))))))),"")</f>
        <v/>
      </c>
      <c r="C580" s="1062"/>
      <c r="D580" s="1067"/>
      <c r="E580" s="625">
        <f t="shared" ref="E580:E582" si="903">IF(F580="-",-1,1)</f>
        <v>-1</v>
      </c>
      <c r="F580" s="626" t="s">
        <v>996</v>
      </c>
      <c r="G580" s="593">
        <f ca="1">$E580*SUMIF(INDIRECT(G$3),'Struktur Aktuell'!$D580,INDIRECT(G$8))*IFERROR(IF(VLOOKUP('Struktur Aktuell'!$D580,INDIRECT(G$6),8,)="H",-1,1),0)</f>
        <v>0</v>
      </c>
      <c r="H580" s="593">
        <f ca="1">$E580*SUMIF(INDIRECT(H$3),'Struktur Aktuell'!$D580,INDIRECT(H$8))*IFERROR(IF(VLOOKUP('Struktur Aktuell'!$D580,INDIRECT(H$6),8,)="H",-1,1),0)</f>
        <v>0</v>
      </c>
      <c r="I580" s="593">
        <f ca="1">$E580*SUMIF(INDIRECT(I$3),'Struktur Aktuell'!$D580,INDIRECT(I$8))*IFERROR(IF(VLOOKUP('Struktur Aktuell'!$D580,INDIRECT(I$6),8,)="H",-1,1),0)</f>
        <v>0</v>
      </c>
      <c r="J580" s="593">
        <f ca="1">$E580*SUMIF(INDIRECT(J$3),'Struktur Aktuell'!$D580,INDIRECT(J$8))*IFERROR(IF(VLOOKUP('Struktur Aktuell'!$D580,INDIRECT(J$6),8,)="H",-1,1),0)</f>
        <v>0</v>
      </c>
      <c r="K580" s="593">
        <f ca="1">$E580*SUMIF(INDIRECT(K$3),'Struktur Aktuell'!$D580,INDIRECT(K$8))*IFERROR(IF(VLOOKUP('Struktur Aktuell'!$D580,INDIRECT(K$6),8,)="H",-1,1),0)</f>
        <v>0</v>
      </c>
      <c r="L580" s="593">
        <f ca="1">$E580*SUMIF(INDIRECT(L$3),'Struktur Aktuell'!$D580,INDIRECT(L$8))*IFERROR(IF(VLOOKUP('Struktur Aktuell'!$D580,INDIRECT(L$6),8,)="H",-1,1),0)</f>
        <v>0</v>
      </c>
      <c r="M580" s="593">
        <f ca="1">$E580*SUMIF(INDIRECT(M$3),'Struktur Aktuell'!$D580,INDIRECT(M$8))*IFERROR(IF(VLOOKUP('Struktur Aktuell'!$D580,INDIRECT(M$6),8,)="H",-1,1),0)</f>
        <v>0</v>
      </c>
      <c r="N580" s="593">
        <f ca="1">$E580*SUMIF(INDIRECT(N$3),'Struktur Aktuell'!$D580,INDIRECT(N$8))*IFERROR(IF(VLOOKUP('Struktur Aktuell'!$D580,INDIRECT(N$6),8,)="H",-1,1),0)</f>
        <v>0</v>
      </c>
      <c r="O580" s="593">
        <f ca="1">$E580*SUMIF(INDIRECT(O$3),'Struktur Aktuell'!$D580,INDIRECT(O$8))*IFERROR(IF(VLOOKUP('Struktur Aktuell'!$D580,INDIRECT(O$6),8,)="H",-1,1),0)</f>
        <v>0</v>
      </c>
      <c r="P580" s="593">
        <f ca="1">$E580*SUMIF(INDIRECT(P$3),'Struktur Aktuell'!$D580,INDIRECT(P$8))*IFERROR(IF(VLOOKUP('Struktur Aktuell'!$D580,INDIRECT(P$6),8,)="H",-1,1),0)</f>
        <v>0</v>
      </c>
      <c r="Q580" s="593">
        <f ca="1">$E580*SUMIF(INDIRECT(Q$3),'Struktur Aktuell'!$D580,INDIRECT(Q$8))*IFERROR(IF(VLOOKUP('Struktur Aktuell'!$D580,INDIRECT(Q$6),8,)="H",-1,1),0)</f>
        <v>0</v>
      </c>
      <c r="R580" s="593">
        <f ca="1">$E580*SUMIF(INDIRECT(R$3),'Struktur Aktuell'!$D580,INDIRECT(R$8))*IFERROR(IF(VLOOKUP('Struktur Aktuell'!$D580,INDIRECT(R$6),8,)="H",-1,1),0)</f>
        <v>0</v>
      </c>
      <c r="S580" s="593" t="e">
        <f ca="1">$E580*SUMIF(INDIRECT(S$3),'Struktur Aktuell'!$D580,INDIRECT(S$8))*IFERROR(IF(VLOOKUP('Struktur Aktuell'!$D580,INDIRECT(S$6),8,)="H",-1,1),0)</f>
        <v>#REF!</v>
      </c>
      <c r="T580" s="593" t="e">
        <f ca="1">$E580*SUMIF(INDIRECT(T$3),'Struktur Aktuell'!$D580,INDIRECT(T$8))*IFERROR(IF(VLOOKUP('Struktur Aktuell'!$D580,INDIRECT(T$6),8,)="H",-1,1),0)</f>
        <v>#REF!</v>
      </c>
      <c r="U580" s="593" t="e">
        <f ca="1">$E580*SUMIF(INDIRECT(U$3),'Struktur Aktuell'!$D580,INDIRECT(U$8))*IFERROR(IF(VLOOKUP('Struktur Aktuell'!$D580,INDIRECT(U$6),8,)="H",-1,1),0)</f>
        <v>#REF!</v>
      </c>
      <c r="V580" s="593" t="e">
        <f ca="1">$E580*SUMIF(INDIRECT(V$3),'Struktur Aktuell'!$D580,INDIRECT(V$8))*IFERROR(IF(VLOOKUP('Struktur Aktuell'!$D580,INDIRECT(V$6),8,)="H",-1,1),0)</f>
        <v>#REF!</v>
      </c>
      <c r="W580" s="593" t="e">
        <f ca="1">$E580*SUMIF(INDIRECT(W$3),'Struktur Aktuell'!$D580,INDIRECT(W$8))*IFERROR(IF(VLOOKUP('Struktur Aktuell'!$D580,INDIRECT(W$6),8,)="H",-1,1),0)</f>
        <v>#REF!</v>
      </c>
      <c r="X580" s="593" t="e">
        <f ca="1">$E580*SUMIF(INDIRECT(X$3),'Struktur Aktuell'!$D580,INDIRECT(X$8))*IFERROR(IF(VLOOKUP('Struktur Aktuell'!$D580,INDIRECT(X$6),8,)="H",-1,1),0)</f>
        <v>#REF!</v>
      </c>
      <c r="Y580" s="593" t="e">
        <f ca="1">$E580*SUMIF(INDIRECT(Y$3),'Struktur Aktuell'!$D580,INDIRECT(Y$8))*IFERROR(IF(VLOOKUP('Struktur Aktuell'!$D580,INDIRECT(Y$6),8,)="H",-1,1),0)</f>
        <v>#REF!</v>
      </c>
      <c r="Z580" s="593" t="e">
        <f ca="1">$E580*SUMIF(INDIRECT(Z$3),'Struktur Aktuell'!$D580,INDIRECT(Z$8))*IFERROR(IF(VLOOKUP('Struktur Aktuell'!$D580,INDIRECT(Z$6),8,)="H",-1,1),0)</f>
        <v>#REF!</v>
      </c>
      <c r="AA580" s="593" t="e">
        <f ca="1">$E580*SUMIF(INDIRECT(AA$3),'Struktur Aktuell'!$D580,INDIRECT(AA$8))*IFERROR(IF(VLOOKUP('Struktur Aktuell'!$D580,INDIRECT(AA$6),8,)="H",-1,1),0)</f>
        <v>#REF!</v>
      </c>
      <c r="AB580" s="593" t="e">
        <f ca="1">$E580*SUMIF(INDIRECT(AB$3),'Struktur Aktuell'!$D580,INDIRECT(AB$8))*IFERROR(IF(VLOOKUP('Struktur Aktuell'!$D580,INDIRECT(AB$6),8,)="H",-1,1),0)</f>
        <v>#REF!</v>
      </c>
      <c r="AC580" s="593" t="e">
        <f ca="1">$E580*SUMIF(INDIRECT(AC$3),'Struktur Aktuell'!$D580,INDIRECT(AC$8))*IFERROR(IF(VLOOKUP('Struktur Aktuell'!$D580,INDIRECT(AC$6),8,)="H",-1,1),0)</f>
        <v>#REF!</v>
      </c>
      <c r="AD580" s="593" t="e">
        <f ca="1">$E580*SUMIF(INDIRECT(AD$3),'Struktur Aktuell'!$D580,INDIRECT(AD$8))*IFERROR(IF(VLOOKUP('Struktur Aktuell'!$D580,INDIRECT(AD$6),8,)="H",-1,1),0)</f>
        <v>#REF!</v>
      </c>
      <c r="AE580" s="593">
        <f t="shared" ca="1" si="891"/>
        <v>0</v>
      </c>
      <c r="AF580" s="593">
        <f t="shared" ca="1" si="892"/>
        <v>0</v>
      </c>
      <c r="AG580" s="593">
        <f t="shared" ca="1" si="893"/>
        <v>0</v>
      </c>
      <c r="AH580" s="593">
        <f t="shared" ca="1" si="894"/>
        <v>0</v>
      </c>
      <c r="AI580" s="593">
        <f t="shared" ca="1" si="895"/>
        <v>0</v>
      </c>
      <c r="AJ580" s="593">
        <f t="shared" ca="1" si="896"/>
        <v>0</v>
      </c>
      <c r="AK580" s="593">
        <f t="shared" ca="1" si="897"/>
        <v>0</v>
      </c>
      <c r="AL580" s="593">
        <f t="shared" ca="1" si="898"/>
        <v>0</v>
      </c>
      <c r="AM580" s="593">
        <f t="shared" ca="1" si="899"/>
        <v>0</v>
      </c>
      <c r="AN580" s="593">
        <f t="shared" ca="1" si="900"/>
        <v>0</v>
      </c>
      <c r="AO580" s="593">
        <f t="shared" ca="1" si="901"/>
        <v>0</v>
      </c>
      <c r="AP580" s="593">
        <f t="shared" ca="1" si="902"/>
        <v>0</v>
      </c>
    </row>
    <row r="581" spans="1:42" s="594" customFormat="1" ht="11.25" x14ac:dyDescent="0.2">
      <c r="A581" s="644"/>
      <c r="B581" s="591" t="str">
        <f>IF(D581&lt;&gt;"",
IF(ISERROR(MATCH(D581,'Ist Aktuell Monat 01'!A:A,0))=FALSE,INDEX('Ist Aktuell Monat 01'!B:B,MATCH(D581,'Ist Aktuell Monat 01'!A:A,0)),
IF(ISERROR(MATCH(D581,'Ist Aktuell Monat 02'!A:A,0))=FALSE,INDEX('Ist Aktuell Monat 02'!B:B,MATCH(D581,'Ist Aktuell Monat 02'!A:A,0)),
IF(ISERROR(MATCH(D581,'Ist Aktuell Monat 03'!A:A,0))=FALSE,INDEX('Ist Aktuell Monat 03'!B:B,MATCH(D581,'Ist Aktuell Monat 03'!A:A,0)),
IF(ISERROR(MATCH(D581,'Ist Aktuell Monat 04'!A:A,0))=FALSE,INDEX('Ist Aktuell Monat 04'!B:B,MATCH(D581,'Ist Aktuell Monat 04'!A:A,0)),
IF(ISERROR(MATCH(D581,'Ist Aktuell Monat 05'!A:A,0))=FALSE,INDEX('Ist Aktuell Monat 05'!B:B,MATCH(D581,'Ist Aktuell Monat 05'!A:A,0)),
IF(ISERROR(MATCH(D581,'Ist Aktuell Monat 06'!A:A,0))=FALSE,INDEX('Ist Aktuell Monat 06'!B:B,MATCH(D581,'Ist Aktuell Monat 06'!A:A,0)),
IF(ISERROR(MATCH(D581,'Ist Aktuell Monat 07'!A:A,0))=FALSE,INDEX('Ist Aktuell Monat 07'!B:B,MATCH(D581,'Ist Aktuell Monat 07'!A:A,0)),
IF(ISERROR(MATCH(D581,'Ist Aktuell Monat 08'!A:A,0))=FALSE,INDEX('Ist Aktuell Monat 08'!B:B,MATCH(D581,'Ist Aktuell Monat 08'!A:A,0)),
IF(ISERROR(MATCH(D581,'Ist Aktuell Monat 09'!A:A,0))=FALSE,INDEX('Ist Aktuell Monat 09'!B:B,MATCH(D581,'Ist Aktuell Monat 09'!A:A,0)),
IF(ISERROR(MATCH(D581,'Ist Aktuell Monat 10'!A:A,0))=FALSE,INDEX('Ist Aktuell Monat 10'!B:B,MATCH(D581,'Ist Aktuell Monat 10'!A:A,0)),
IF(ISERROR(MATCH(D581,'Ist Aktuell Monat 11'!A:A,0))=FALSE,INDEX('Ist Aktuell Monat 11'!B:B,MATCH(D581,'Ist Aktuell Monat 11'!A:A,0)),
IF(ISERROR(MATCH(D581,'Ist Aktuell Monat 12'!A:A,0))=FALSE,INDEX('Ist Aktuell Monat 12'!B:B,MATCH(D581,'Ist Aktuell Monat 12'!A:A,0)),
"{Konto unbekannt}"
)))))))))))),"")</f>
        <v/>
      </c>
      <c r="C581" s="1062"/>
      <c r="D581" s="1067"/>
      <c r="E581" s="625">
        <f t="shared" si="903"/>
        <v>-1</v>
      </c>
      <c r="F581" s="626" t="s">
        <v>996</v>
      </c>
      <c r="G581" s="593">
        <f ca="1">$E581*SUMIF(INDIRECT(G$3),'Struktur Aktuell'!$D581,INDIRECT(G$8))*IFERROR(IF(VLOOKUP('Struktur Aktuell'!$D581,INDIRECT(G$6),8,)="H",-1,1),0)</f>
        <v>0</v>
      </c>
      <c r="H581" s="593">
        <f ca="1">$E581*SUMIF(INDIRECT(H$3),'Struktur Aktuell'!$D581,INDIRECT(H$8))*IFERROR(IF(VLOOKUP('Struktur Aktuell'!$D581,INDIRECT(H$6),8,)="H",-1,1),0)</f>
        <v>0</v>
      </c>
      <c r="I581" s="593">
        <f ca="1">$E581*SUMIF(INDIRECT(I$3),'Struktur Aktuell'!$D581,INDIRECT(I$8))*IFERROR(IF(VLOOKUP('Struktur Aktuell'!$D581,INDIRECT(I$6),8,)="H",-1,1),0)</f>
        <v>0</v>
      </c>
      <c r="J581" s="593">
        <f ca="1">$E581*SUMIF(INDIRECT(J$3),'Struktur Aktuell'!$D581,INDIRECT(J$8))*IFERROR(IF(VLOOKUP('Struktur Aktuell'!$D581,INDIRECT(J$6),8,)="H",-1,1),0)</f>
        <v>0</v>
      </c>
      <c r="K581" s="593">
        <f ca="1">$E581*SUMIF(INDIRECT(K$3),'Struktur Aktuell'!$D581,INDIRECT(K$8))*IFERROR(IF(VLOOKUP('Struktur Aktuell'!$D581,INDIRECT(K$6),8,)="H",-1,1),0)</f>
        <v>0</v>
      </c>
      <c r="L581" s="593">
        <f ca="1">$E581*SUMIF(INDIRECT(L$3),'Struktur Aktuell'!$D581,INDIRECT(L$8))*IFERROR(IF(VLOOKUP('Struktur Aktuell'!$D581,INDIRECT(L$6),8,)="H",-1,1),0)</f>
        <v>0</v>
      </c>
      <c r="M581" s="593">
        <f ca="1">$E581*SUMIF(INDIRECT(M$3),'Struktur Aktuell'!$D581,INDIRECT(M$8))*IFERROR(IF(VLOOKUP('Struktur Aktuell'!$D581,INDIRECT(M$6),8,)="H",-1,1),0)</f>
        <v>0</v>
      </c>
      <c r="N581" s="593">
        <f ca="1">$E581*SUMIF(INDIRECT(N$3),'Struktur Aktuell'!$D581,INDIRECT(N$8))*IFERROR(IF(VLOOKUP('Struktur Aktuell'!$D581,INDIRECT(N$6),8,)="H",-1,1),0)</f>
        <v>0</v>
      </c>
      <c r="O581" s="593">
        <f ca="1">$E581*SUMIF(INDIRECT(O$3),'Struktur Aktuell'!$D581,INDIRECT(O$8))*IFERROR(IF(VLOOKUP('Struktur Aktuell'!$D581,INDIRECT(O$6),8,)="H",-1,1),0)</f>
        <v>0</v>
      </c>
      <c r="P581" s="593">
        <f ca="1">$E581*SUMIF(INDIRECT(P$3),'Struktur Aktuell'!$D581,INDIRECT(P$8))*IFERROR(IF(VLOOKUP('Struktur Aktuell'!$D581,INDIRECT(P$6),8,)="H",-1,1),0)</f>
        <v>0</v>
      </c>
      <c r="Q581" s="593">
        <f ca="1">$E581*SUMIF(INDIRECT(Q$3),'Struktur Aktuell'!$D581,INDIRECT(Q$8))*IFERROR(IF(VLOOKUP('Struktur Aktuell'!$D581,INDIRECT(Q$6),8,)="H",-1,1),0)</f>
        <v>0</v>
      </c>
      <c r="R581" s="593">
        <f ca="1">$E581*SUMIF(INDIRECT(R$3),'Struktur Aktuell'!$D581,INDIRECT(R$8))*IFERROR(IF(VLOOKUP('Struktur Aktuell'!$D581,INDIRECT(R$6),8,)="H",-1,1),0)</f>
        <v>0</v>
      </c>
      <c r="S581" s="593" t="e">
        <f ca="1">$E581*SUMIF(INDIRECT(S$3),'Struktur Aktuell'!$D581,INDIRECT(S$8))*IFERROR(IF(VLOOKUP('Struktur Aktuell'!$D581,INDIRECT(S$6),8,)="H",-1,1),0)</f>
        <v>#REF!</v>
      </c>
      <c r="T581" s="593" t="e">
        <f ca="1">$E581*SUMIF(INDIRECT(T$3),'Struktur Aktuell'!$D581,INDIRECT(T$8))*IFERROR(IF(VLOOKUP('Struktur Aktuell'!$D581,INDIRECT(T$6),8,)="H",-1,1),0)</f>
        <v>#REF!</v>
      </c>
      <c r="U581" s="593" t="e">
        <f ca="1">$E581*SUMIF(INDIRECT(U$3),'Struktur Aktuell'!$D581,INDIRECT(U$8))*IFERROR(IF(VLOOKUP('Struktur Aktuell'!$D581,INDIRECT(U$6),8,)="H",-1,1),0)</f>
        <v>#REF!</v>
      </c>
      <c r="V581" s="593" t="e">
        <f ca="1">$E581*SUMIF(INDIRECT(V$3),'Struktur Aktuell'!$D581,INDIRECT(V$8))*IFERROR(IF(VLOOKUP('Struktur Aktuell'!$D581,INDIRECT(V$6),8,)="H",-1,1),0)</f>
        <v>#REF!</v>
      </c>
      <c r="W581" s="593" t="e">
        <f ca="1">$E581*SUMIF(INDIRECT(W$3),'Struktur Aktuell'!$D581,INDIRECT(W$8))*IFERROR(IF(VLOOKUP('Struktur Aktuell'!$D581,INDIRECT(W$6),8,)="H",-1,1),0)</f>
        <v>#REF!</v>
      </c>
      <c r="X581" s="593" t="e">
        <f ca="1">$E581*SUMIF(INDIRECT(X$3),'Struktur Aktuell'!$D581,INDIRECT(X$8))*IFERROR(IF(VLOOKUP('Struktur Aktuell'!$D581,INDIRECT(X$6),8,)="H",-1,1),0)</f>
        <v>#REF!</v>
      </c>
      <c r="Y581" s="593" t="e">
        <f ca="1">$E581*SUMIF(INDIRECT(Y$3),'Struktur Aktuell'!$D581,INDIRECT(Y$8))*IFERROR(IF(VLOOKUP('Struktur Aktuell'!$D581,INDIRECT(Y$6),8,)="H",-1,1),0)</f>
        <v>#REF!</v>
      </c>
      <c r="Z581" s="593" t="e">
        <f ca="1">$E581*SUMIF(INDIRECT(Z$3),'Struktur Aktuell'!$D581,INDIRECT(Z$8))*IFERROR(IF(VLOOKUP('Struktur Aktuell'!$D581,INDIRECT(Z$6),8,)="H",-1,1),0)</f>
        <v>#REF!</v>
      </c>
      <c r="AA581" s="593" t="e">
        <f ca="1">$E581*SUMIF(INDIRECT(AA$3),'Struktur Aktuell'!$D581,INDIRECT(AA$8))*IFERROR(IF(VLOOKUP('Struktur Aktuell'!$D581,INDIRECT(AA$6),8,)="H",-1,1),0)</f>
        <v>#REF!</v>
      </c>
      <c r="AB581" s="593" t="e">
        <f ca="1">$E581*SUMIF(INDIRECT(AB$3),'Struktur Aktuell'!$D581,INDIRECT(AB$8))*IFERROR(IF(VLOOKUP('Struktur Aktuell'!$D581,INDIRECT(AB$6),8,)="H",-1,1),0)</f>
        <v>#REF!</v>
      </c>
      <c r="AC581" s="593" t="e">
        <f ca="1">$E581*SUMIF(INDIRECT(AC$3),'Struktur Aktuell'!$D581,INDIRECT(AC$8))*IFERROR(IF(VLOOKUP('Struktur Aktuell'!$D581,INDIRECT(AC$6),8,)="H",-1,1),0)</f>
        <v>#REF!</v>
      </c>
      <c r="AD581" s="593" t="e">
        <f ca="1">$E581*SUMIF(INDIRECT(AD$3),'Struktur Aktuell'!$D581,INDIRECT(AD$8))*IFERROR(IF(VLOOKUP('Struktur Aktuell'!$D581,INDIRECT(AD$6),8,)="H",-1,1),0)</f>
        <v>#REF!</v>
      </c>
      <c r="AE581" s="593">
        <f t="shared" ca="1" si="891"/>
        <v>0</v>
      </c>
      <c r="AF581" s="593">
        <f t="shared" ca="1" si="892"/>
        <v>0</v>
      </c>
      <c r="AG581" s="593">
        <f t="shared" ca="1" si="893"/>
        <v>0</v>
      </c>
      <c r="AH581" s="593">
        <f t="shared" ca="1" si="894"/>
        <v>0</v>
      </c>
      <c r="AI581" s="593">
        <f t="shared" ca="1" si="895"/>
        <v>0</v>
      </c>
      <c r="AJ581" s="593">
        <f t="shared" ca="1" si="896"/>
        <v>0</v>
      </c>
      <c r="AK581" s="593">
        <f t="shared" ca="1" si="897"/>
        <v>0</v>
      </c>
      <c r="AL581" s="593">
        <f t="shared" ca="1" si="898"/>
        <v>0</v>
      </c>
      <c r="AM581" s="593">
        <f t="shared" ca="1" si="899"/>
        <v>0</v>
      </c>
      <c r="AN581" s="593">
        <f t="shared" ca="1" si="900"/>
        <v>0</v>
      </c>
      <c r="AO581" s="593">
        <f t="shared" ca="1" si="901"/>
        <v>0</v>
      </c>
      <c r="AP581" s="593">
        <f t="shared" ca="1" si="902"/>
        <v>0</v>
      </c>
    </row>
    <row r="582" spans="1:42" s="594" customFormat="1" ht="11.25" x14ac:dyDescent="0.2">
      <c r="A582" s="644"/>
      <c r="B582" s="591" t="str">
        <f>IF(D582&lt;&gt;"",
IF(ISERROR(MATCH(D582,'Ist Aktuell Monat 01'!A:A,0))=FALSE,INDEX('Ist Aktuell Monat 01'!B:B,MATCH(D582,'Ist Aktuell Monat 01'!A:A,0)),
IF(ISERROR(MATCH(D582,'Ist Aktuell Monat 02'!A:A,0))=FALSE,INDEX('Ist Aktuell Monat 02'!B:B,MATCH(D582,'Ist Aktuell Monat 02'!A:A,0)),
IF(ISERROR(MATCH(D582,'Ist Aktuell Monat 03'!A:A,0))=FALSE,INDEX('Ist Aktuell Monat 03'!B:B,MATCH(D582,'Ist Aktuell Monat 03'!A:A,0)),
IF(ISERROR(MATCH(D582,'Ist Aktuell Monat 04'!A:A,0))=FALSE,INDEX('Ist Aktuell Monat 04'!B:B,MATCH(D582,'Ist Aktuell Monat 04'!A:A,0)),
IF(ISERROR(MATCH(D582,'Ist Aktuell Monat 05'!A:A,0))=FALSE,INDEX('Ist Aktuell Monat 05'!B:B,MATCH(D582,'Ist Aktuell Monat 05'!A:A,0)),
IF(ISERROR(MATCH(D582,'Ist Aktuell Monat 06'!A:A,0))=FALSE,INDEX('Ist Aktuell Monat 06'!B:B,MATCH(D582,'Ist Aktuell Monat 06'!A:A,0)),
IF(ISERROR(MATCH(D582,'Ist Aktuell Monat 07'!A:A,0))=FALSE,INDEX('Ist Aktuell Monat 07'!B:B,MATCH(D582,'Ist Aktuell Monat 07'!A:A,0)),
IF(ISERROR(MATCH(D582,'Ist Aktuell Monat 08'!A:A,0))=FALSE,INDEX('Ist Aktuell Monat 08'!B:B,MATCH(D582,'Ist Aktuell Monat 08'!A:A,0)),
IF(ISERROR(MATCH(D582,'Ist Aktuell Monat 09'!A:A,0))=FALSE,INDEX('Ist Aktuell Monat 09'!B:B,MATCH(D582,'Ist Aktuell Monat 09'!A:A,0)),
IF(ISERROR(MATCH(D582,'Ist Aktuell Monat 10'!A:A,0))=FALSE,INDEX('Ist Aktuell Monat 10'!B:B,MATCH(D582,'Ist Aktuell Monat 10'!A:A,0)),
IF(ISERROR(MATCH(D582,'Ist Aktuell Monat 11'!A:A,0))=FALSE,INDEX('Ist Aktuell Monat 11'!B:B,MATCH(D582,'Ist Aktuell Monat 11'!A:A,0)),
IF(ISERROR(MATCH(D582,'Ist Aktuell Monat 12'!A:A,0))=FALSE,INDEX('Ist Aktuell Monat 12'!B:B,MATCH(D582,'Ist Aktuell Monat 12'!A:A,0)),
"{Konto unbekannt}"
)))))))))))),"")</f>
        <v/>
      </c>
      <c r="C582" s="1062"/>
      <c r="D582" s="1067"/>
      <c r="E582" s="625">
        <f t="shared" si="903"/>
        <v>-1</v>
      </c>
      <c r="F582" s="626" t="s">
        <v>996</v>
      </c>
      <c r="G582" s="593">
        <f ca="1">$E582*SUMIF(INDIRECT(G$3),'Struktur Aktuell'!$D582,INDIRECT(G$8))*IFERROR(IF(VLOOKUP('Struktur Aktuell'!$D582,INDIRECT(G$6),8,)="H",-1,1),0)</f>
        <v>0</v>
      </c>
      <c r="H582" s="593">
        <f ca="1">$E582*SUMIF(INDIRECT(H$3),'Struktur Aktuell'!$D582,INDIRECT(H$8))*IFERROR(IF(VLOOKUP('Struktur Aktuell'!$D582,INDIRECT(H$6),8,)="H",-1,1),0)</f>
        <v>0</v>
      </c>
      <c r="I582" s="593">
        <f ca="1">$E582*SUMIF(INDIRECT(I$3),'Struktur Aktuell'!$D582,INDIRECT(I$8))*IFERROR(IF(VLOOKUP('Struktur Aktuell'!$D582,INDIRECT(I$6),8,)="H",-1,1),0)</f>
        <v>0</v>
      </c>
      <c r="J582" s="593">
        <f ca="1">$E582*SUMIF(INDIRECT(J$3),'Struktur Aktuell'!$D582,INDIRECT(J$8))*IFERROR(IF(VLOOKUP('Struktur Aktuell'!$D582,INDIRECT(J$6),8,)="H",-1,1),0)</f>
        <v>0</v>
      </c>
      <c r="K582" s="593">
        <f ca="1">$E582*SUMIF(INDIRECT(K$3),'Struktur Aktuell'!$D582,INDIRECT(K$8))*IFERROR(IF(VLOOKUP('Struktur Aktuell'!$D582,INDIRECT(K$6),8,)="H",-1,1),0)</f>
        <v>0</v>
      </c>
      <c r="L582" s="593">
        <f ca="1">$E582*SUMIF(INDIRECT(L$3),'Struktur Aktuell'!$D582,INDIRECT(L$8))*IFERROR(IF(VLOOKUP('Struktur Aktuell'!$D582,INDIRECT(L$6),8,)="H",-1,1),0)</f>
        <v>0</v>
      </c>
      <c r="M582" s="593">
        <f ca="1">$E582*SUMIF(INDIRECT(M$3),'Struktur Aktuell'!$D582,INDIRECT(M$8))*IFERROR(IF(VLOOKUP('Struktur Aktuell'!$D582,INDIRECT(M$6),8,)="H",-1,1),0)</f>
        <v>0</v>
      </c>
      <c r="N582" s="593">
        <f ca="1">$E582*SUMIF(INDIRECT(N$3),'Struktur Aktuell'!$D582,INDIRECT(N$8))*IFERROR(IF(VLOOKUP('Struktur Aktuell'!$D582,INDIRECT(N$6),8,)="H",-1,1),0)</f>
        <v>0</v>
      </c>
      <c r="O582" s="593">
        <f ca="1">$E582*SUMIF(INDIRECT(O$3),'Struktur Aktuell'!$D582,INDIRECT(O$8))*IFERROR(IF(VLOOKUP('Struktur Aktuell'!$D582,INDIRECT(O$6),8,)="H",-1,1),0)</f>
        <v>0</v>
      </c>
      <c r="P582" s="593">
        <f ca="1">$E582*SUMIF(INDIRECT(P$3),'Struktur Aktuell'!$D582,INDIRECT(P$8))*IFERROR(IF(VLOOKUP('Struktur Aktuell'!$D582,INDIRECT(P$6),8,)="H",-1,1),0)</f>
        <v>0</v>
      </c>
      <c r="Q582" s="593">
        <f ca="1">$E582*SUMIF(INDIRECT(Q$3),'Struktur Aktuell'!$D582,INDIRECT(Q$8))*IFERROR(IF(VLOOKUP('Struktur Aktuell'!$D582,INDIRECT(Q$6),8,)="H",-1,1),0)</f>
        <v>0</v>
      </c>
      <c r="R582" s="593">
        <f ca="1">$E582*SUMIF(INDIRECT(R$3),'Struktur Aktuell'!$D582,INDIRECT(R$8))*IFERROR(IF(VLOOKUP('Struktur Aktuell'!$D582,INDIRECT(R$6),8,)="H",-1,1),0)</f>
        <v>0</v>
      </c>
      <c r="S582" s="593" t="e">
        <f ca="1">$E582*SUMIF(INDIRECT(S$3),'Struktur Aktuell'!$D582,INDIRECT(S$8))*IFERROR(IF(VLOOKUP('Struktur Aktuell'!$D582,INDIRECT(S$6),8,)="H",-1,1),0)</f>
        <v>#REF!</v>
      </c>
      <c r="T582" s="593" t="e">
        <f ca="1">$E582*SUMIF(INDIRECT(T$3),'Struktur Aktuell'!$D582,INDIRECT(T$8))*IFERROR(IF(VLOOKUP('Struktur Aktuell'!$D582,INDIRECT(T$6),8,)="H",-1,1),0)</f>
        <v>#REF!</v>
      </c>
      <c r="U582" s="593" t="e">
        <f ca="1">$E582*SUMIF(INDIRECT(U$3),'Struktur Aktuell'!$D582,INDIRECT(U$8))*IFERROR(IF(VLOOKUP('Struktur Aktuell'!$D582,INDIRECT(U$6),8,)="H",-1,1),0)</f>
        <v>#REF!</v>
      </c>
      <c r="V582" s="593" t="e">
        <f ca="1">$E582*SUMIF(INDIRECT(V$3),'Struktur Aktuell'!$D582,INDIRECT(V$8))*IFERROR(IF(VLOOKUP('Struktur Aktuell'!$D582,INDIRECT(V$6),8,)="H",-1,1),0)</f>
        <v>#REF!</v>
      </c>
      <c r="W582" s="593" t="e">
        <f ca="1">$E582*SUMIF(INDIRECT(W$3),'Struktur Aktuell'!$D582,INDIRECT(W$8))*IFERROR(IF(VLOOKUP('Struktur Aktuell'!$D582,INDIRECT(W$6),8,)="H",-1,1),0)</f>
        <v>#REF!</v>
      </c>
      <c r="X582" s="593" t="e">
        <f ca="1">$E582*SUMIF(INDIRECT(X$3),'Struktur Aktuell'!$D582,INDIRECT(X$8))*IFERROR(IF(VLOOKUP('Struktur Aktuell'!$D582,INDIRECT(X$6),8,)="H",-1,1),0)</f>
        <v>#REF!</v>
      </c>
      <c r="Y582" s="593" t="e">
        <f ca="1">$E582*SUMIF(INDIRECT(Y$3),'Struktur Aktuell'!$D582,INDIRECT(Y$8))*IFERROR(IF(VLOOKUP('Struktur Aktuell'!$D582,INDIRECT(Y$6),8,)="H",-1,1),0)</f>
        <v>#REF!</v>
      </c>
      <c r="Z582" s="593" t="e">
        <f ca="1">$E582*SUMIF(INDIRECT(Z$3),'Struktur Aktuell'!$D582,INDIRECT(Z$8))*IFERROR(IF(VLOOKUP('Struktur Aktuell'!$D582,INDIRECT(Z$6),8,)="H",-1,1),0)</f>
        <v>#REF!</v>
      </c>
      <c r="AA582" s="593" t="e">
        <f ca="1">$E582*SUMIF(INDIRECT(AA$3),'Struktur Aktuell'!$D582,INDIRECT(AA$8))*IFERROR(IF(VLOOKUP('Struktur Aktuell'!$D582,INDIRECT(AA$6),8,)="H",-1,1),0)</f>
        <v>#REF!</v>
      </c>
      <c r="AB582" s="593" t="e">
        <f ca="1">$E582*SUMIF(INDIRECT(AB$3),'Struktur Aktuell'!$D582,INDIRECT(AB$8))*IFERROR(IF(VLOOKUP('Struktur Aktuell'!$D582,INDIRECT(AB$6),8,)="H",-1,1),0)</f>
        <v>#REF!</v>
      </c>
      <c r="AC582" s="593" t="e">
        <f ca="1">$E582*SUMIF(INDIRECT(AC$3),'Struktur Aktuell'!$D582,INDIRECT(AC$8))*IFERROR(IF(VLOOKUP('Struktur Aktuell'!$D582,INDIRECT(AC$6),8,)="H",-1,1),0)</f>
        <v>#REF!</v>
      </c>
      <c r="AD582" s="593" t="e">
        <f ca="1">$E582*SUMIF(INDIRECT(AD$3),'Struktur Aktuell'!$D582,INDIRECT(AD$8))*IFERROR(IF(VLOOKUP('Struktur Aktuell'!$D582,INDIRECT(AD$6),8,)="H",-1,1),0)</f>
        <v>#REF!</v>
      </c>
      <c r="AE582" s="593">
        <f t="shared" ca="1" si="891"/>
        <v>0</v>
      </c>
      <c r="AF582" s="593">
        <f t="shared" ca="1" si="892"/>
        <v>0</v>
      </c>
      <c r="AG582" s="593">
        <f t="shared" ca="1" si="893"/>
        <v>0</v>
      </c>
      <c r="AH582" s="593">
        <f t="shared" ca="1" si="894"/>
        <v>0</v>
      </c>
      <c r="AI582" s="593">
        <f t="shared" ca="1" si="895"/>
        <v>0</v>
      </c>
      <c r="AJ582" s="593">
        <f t="shared" ca="1" si="896"/>
        <v>0</v>
      </c>
      <c r="AK582" s="593">
        <f t="shared" ca="1" si="897"/>
        <v>0</v>
      </c>
      <c r="AL582" s="593">
        <f t="shared" ca="1" si="898"/>
        <v>0</v>
      </c>
      <c r="AM582" s="593">
        <f t="shared" ca="1" si="899"/>
        <v>0</v>
      </c>
      <c r="AN582" s="593">
        <f t="shared" ca="1" si="900"/>
        <v>0</v>
      </c>
      <c r="AO582" s="593">
        <f t="shared" ca="1" si="901"/>
        <v>0</v>
      </c>
      <c r="AP582" s="593">
        <f t="shared" ca="1" si="902"/>
        <v>0</v>
      </c>
    </row>
    <row r="583" spans="1:42" s="594" customFormat="1" ht="11.25" x14ac:dyDescent="0.2">
      <c r="A583" s="644"/>
      <c r="B583" s="591" t="str">
        <f>IF(D583&lt;&gt;"",
IF(ISERROR(MATCH(D583,'Ist Aktuell Monat 01'!A:A,0))=FALSE,INDEX('Ist Aktuell Monat 01'!B:B,MATCH(D583,'Ist Aktuell Monat 01'!A:A,0)),
IF(ISERROR(MATCH(D583,'Ist Aktuell Monat 02'!A:A,0))=FALSE,INDEX('Ist Aktuell Monat 02'!B:B,MATCH(D583,'Ist Aktuell Monat 02'!A:A,0)),
IF(ISERROR(MATCH(D583,'Ist Aktuell Monat 03'!A:A,0))=FALSE,INDEX('Ist Aktuell Monat 03'!B:B,MATCH(D583,'Ist Aktuell Monat 03'!A:A,0)),
IF(ISERROR(MATCH(D583,'Ist Aktuell Monat 04'!A:A,0))=FALSE,INDEX('Ist Aktuell Monat 04'!B:B,MATCH(D583,'Ist Aktuell Monat 04'!A:A,0)),
IF(ISERROR(MATCH(D583,'Ist Aktuell Monat 05'!A:A,0))=FALSE,INDEX('Ist Aktuell Monat 05'!B:B,MATCH(D583,'Ist Aktuell Monat 05'!A:A,0)),
IF(ISERROR(MATCH(D583,'Ist Aktuell Monat 06'!A:A,0))=FALSE,INDEX('Ist Aktuell Monat 06'!B:B,MATCH(D583,'Ist Aktuell Monat 06'!A:A,0)),
IF(ISERROR(MATCH(D583,'Ist Aktuell Monat 07'!A:A,0))=FALSE,INDEX('Ist Aktuell Monat 07'!B:B,MATCH(D583,'Ist Aktuell Monat 07'!A:A,0)),
IF(ISERROR(MATCH(D583,'Ist Aktuell Monat 08'!A:A,0))=FALSE,INDEX('Ist Aktuell Monat 08'!B:B,MATCH(D583,'Ist Aktuell Monat 08'!A:A,0)),
IF(ISERROR(MATCH(D583,'Ist Aktuell Monat 09'!A:A,0))=FALSE,INDEX('Ist Aktuell Monat 09'!B:B,MATCH(D583,'Ist Aktuell Monat 09'!A:A,0)),
IF(ISERROR(MATCH(D583,'Ist Aktuell Monat 10'!A:A,0))=FALSE,INDEX('Ist Aktuell Monat 10'!B:B,MATCH(D583,'Ist Aktuell Monat 10'!A:A,0)),
IF(ISERROR(MATCH(D583,'Ist Aktuell Monat 11'!A:A,0))=FALSE,INDEX('Ist Aktuell Monat 11'!B:B,MATCH(D583,'Ist Aktuell Monat 11'!A:A,0)),
IF(ISERROR(MATCH(D583,'Ist Aktuell Monat 12'!A:A,0))=FALSE,INDEX('Ist Aktuell Monat 12'!B:B,MATCH(D583,'Ist Aktuell Monat 12'!A:A,0)),
"{Konto unbekannt}"
)))))))))))),"")</f>
        <v/>
      </c>
      <c r="C583" s="1062"/>
      <c r="D583" s="1067"/>
      <c r="E583" s="625">
        <f>IF(F583="-",-1,1)</f>
        <v>-1</v>
      </c>
      <c r="F583" s="626" t="s">
        <v>996</v>
      </c>
      <c r="G583" s="593">
        <f ca="1">$E583*SUMIF(INDIRECT(G$3),'Struktur Aktuell'!$D583,INDIRECT(G$8))*IFERROR(IF(VLOOKUP('Struktur Aktuell'!$D583,INDIRECT(G$6),8,)="H",-1,1),0)</f>
        <v>0</v>
      </c>
      <c r="H583" s="593">
        <f ca="1">$E583*SUMIF(INDIRECT(H$3),'Struktur Aktuell'!$D583,INDIRECT(H$8))*IFERROR(IF(VLOOKUP('Struktur Aktuell'!$D583,INDIRECT(H$6),8,)="H",-1,1),0)</f>
        <v>0</v>
      </c>
      <c r="I583" s="593">
        <f ca="1">$E583*SUMIF(INDIRECT(I$3),'Struktur Aktuell'!$D583,INDIRECT(I$8))*IFERROR(IF(VLOOKUP('Struktur Aktuell'!$D583,INDIRECT(I$6),8,)="H",-1,1),0)</f>
        <v>0</v>
      </c>
      <c r="J583" s="593">
        <f ca="1">$E583*SUMIF(INDIRECT(J$3),'Struktur Aktuell'!$D583,INDIRECT(J$8))*IFERROR(IF(VLOOKUP('Struktur Aktuell'!$D583,INDIRECT(J$6),8,)="H",-1,1),0)</f>
        <v>0</v>
      </c>
      <c r="K583" s="593">
        <f ca="1">$E583*SUMIF(INDIRECT(K$3),'Struktur Aktuell'!$D583,INDIRECT(K$8))*IFERROR(IF(VLOOKUP('Struktur Aktuell'!$D583,INDIRECT(K$6),8,)="H",-1,1),0)</f>
        <v>0</v>
      </c>
      <c r="L583" s="593">
        <f ca="1">$E583*SUMIF(INDIRECT(L$3),'Struktur Aktuell'!$D583,INDIRECT(L$8))*IFERROR(IF(VLOOKUP('Struktur Aktuell'!$D583,INDIRECT(L$6),8,)="H",-1,1),0)</f>
        <v>0</v>
      </c>
      <c r="M583" s="593">
        <f ca="1">$E583*SUMIF(INDIRECT(M$3),'Struktur Aktuell'!$D583,INDIRECT(M$8))*IFERROR(IF(VLOOKUP('Struktur Aktuell'!$D583,INDIRECT(M$6),8,)="H",-1,1),0)</f>
        <v>0</v>
      </c>
      <c r="N583" s="593">
        <f ca="1">$E583*SUMIF(INDIRECT(N$3),'Struktur Aktuell'!$D583,INDIRECT(N$8))*IFERROR(IF(VLOOKUP('Struktur Aktuell'!$D583,INDIRECT(N$6),8,)="H",-1,1),0)</f>
        <v>0</v>
      </c>
      <c r="O583" s="593">
        <f ca="1">$E583*SUMIF(INDIRECT(O$3),'Struktur Aktuell'!$D583,INDIRECT(O$8))*IFERROR(IF(VLOOKUP('Struktur Aktuell'!$D583,INDIRECT(O$6),8,)="H",-1,1),0)</f>
        <v>0</v>
      </c>
      <c r="P583" s="593">
        <f ca="1">$E583*SUMIF(INDIRECT(P$3),'Struktur Aktuell'!$D583,INDIRECT(P$8))*IFERROR(IF(VLOOKUP('Struktur Aktuell'!$D583,INDIRECT(P$6),8,)="H",-1,1),0)</f>
        <v>0</v>
      </c>
      <c r="Q583" s="593">
        <f ca="1">$E583*SUMIF(INDIRECT(Q$3),'Struktur Aktuell'!$D583,INDIRECT(Q$8))*IFERROR(IF(VLOOKUP('Struktur Aktuell'!$D583,INDIRECT(Q$6),8,)="H",-1,1),0)</f>
        <v>0</v>
      </c>
      <c r="R583" s="593">
        <f ca="1">$E583*SUMIF(INDIRECT(R$3),'Struktur Aktuell'!$D583,INDIRECT(R$8))*IFERROR(IF(VLOOKUP('Struktur Aktuell'!$D583,INDIRECT(R$6),8,)="H",-1,1),0)</f>
        <v>0</v>
      </c>
      <c r="S583" s="593" t="e">
        <f ca="1">$E583*SUMIF(INDIRECT(S$3),'Struktur Aktuell'!$D583,INDIRECT(S$8))*IFERROR(IF(VLOOKUP('Struktur Aktuell'!$D583,INDIRECT(S$6),8,)="H",-1,1),0)</f>
        <v>#REF!</v>
      </c>
      <c r="T583" s="593" t="e">
        <f ca="1">$E583*SUMIF(INDIRECT(T$3),'Struktur Aktuell'!$D583,INDIRECT(T$8))*IFERROR(IF(VLOOKUP('Struktur Aktuell'!$D583,INDIRECT(T$6),8,)="H",-1,1),0)</f>
        <v>#REF!</v>
      </c>
      <c r="U583" s="593" t="e">
        <f ca="1">$E583*SUMIF(INDIRECT(U$3),'Struktur Aktuell'!$D583,INDIRECT(U$8))*IFERROR(IF(VLOOKUP('Struktur Aktuell'!$D583,INDIRECT(U$6),8,)="H",-1,1),0)</f>
        <v>#REF!</v>
      </c>
      <c r="V583" s="593" t="e">
        <f ca="1">$E583*SUMIF(INDIRECT(V$3),'Struktur Aktuell'!$D583,INDIRECT(V$8))*IFERROR(IF(VLOOKUP('Struktur Aktuell'!$D583,INDIRECT(V$6),8,)="H",-1,1),0)</f>
        <v>#REF!</v>
      </c>
      <c r="W583" s="593" t="e">
        <f ca="1">$E583*SUMIF(INDIRECT(W$3),'Struktur Aktuell'!$D583,INDIRECT(W$8))*IFERROR(IF(VLOOKUP('Struktur Aktuell'!$D583,INDIRECT(W$6),8,)="H",-1,1),0)</f>
        <v>#REF!</v>
      </c>
      <c r="X583" s="593" t="e">
        <f ca="1">$E583*SUMIF(INDIRECT(X$3),'Struktur Aktuell'!$D583,INDIRECT(X$8))*IFERROR(IF(VLOOKUP('Struktur Aktuell'!$D583,INDIRECT(X$6),8,)="H",-1,1),0)</f>
        <v>#REF!</v>
      </c>
      <c r="Y583" s="593" t="e">
        <f ca="1">$E583*SUMIF(INDIRECT(Y$3),'Struktur Aktuell'!$D583,INDIRECT(Y$8))*IFERROR(IF(VLOOKUP('Struktur Aktuell'!$D583,INDIRECT(Y$6),8,)="H",-1,1),0)</f>
        <v>#REF!</v>
      </c>
      <c r="Z583" s="593" t="e">
        <f ca="1">$E583*SUMIF(INDIRECT(Z$3),'Struktur Aktuell'!$D583,INDIRECT(Z$8))*IFERROR(IF(VLOOKUP('Struktur Aktuell'!$D583,INDIRECT(Z$6),8,)="H",-1,1),0)</f>
        <v>#REF!</v>
      </c>
      <c r="AA583" s="593" t="e">
        <f ca="1">$E583*SUMIF(INDIRECT(AA$3),'Struktur Aktuell'!$D583,INDIRECT(AA$8))*IFERROR(IF(VLOOKUP('Struktur Aktuell'!$D583,INDIRECT(AA$6),8,)="H",-1,1),0)</f>
        <v>#REF!</v>
      </c>
      <c r="AB583" s="593" t="e">
        <f ca="1">$E583*SUMIF(INDIRECT(AB$3),'Struktur Aktuell'!$D583,INDIRECT(AB$8))*IFERROR(IF(VLOOKUP('Struktur Aktuell'!$D583,INDIRECT(AB$6),8,)="H",-1,1),0)</f>
        <v>#REF!</v>
      </c>
      <c r="AC583" s="593" t="e">
        <f ca="1">$E583*SUMIF(INDIRECT(AC$3),'Struktur Aktuell'!$D583,INDIRECT(AC$8))*IFERROR(IF(VLOOKUP('Struktur Aktuell'!$D583,INDIRECT(AC$6),8,)="H",-1,1),0)</f>
        <v>#REF!</v>
      </c>
      <c r="AD583" s="593" t="e">
        <f ca="1">$E583*SUMIF(INDIRECT(AD$3),'Struktur Aktuell'!$D583,INDIRECT(AD$8))*IFERROR(IF(VLOOKUP('Struktur Aktuell'!$D583,INDIRECT(AD$6),8,)="H",-1,1),0)</f>
        <v>#REF!</v>
      </c>
      <c r="AE583" s="593">
        <f t="shared" ca="1" si="891"/>
        <v>0</v>
      </c>
      <c r="AF583" s="593">
        <f t="shared" ca="1" si="892"/>
        <v>0</v>
      </c>
      <c r="AG583" s="593">
        <f t="shared" ca="1" si="893"/>
        <v>0</v>
      </c>
      <c r="AH583" s="593">
        <f t="shared" ca="1" si="894"/>
        <v>0</v>
      </c>
      <c r="AI583" s="593">
        <f t="shared" ca="1" si="895"/>
        <v>0</v>
      </c>
      <c r="AJ583" s="593">
        <f t="shared" ca="1" si="896"/>
        <v>0</v>
      </c>
      <c r="AK583" s="593">
        <f t="shared" ca="1" si="897"/>
        <v>0</v>
      </c>
      <c r="AL583" s="593">
        <f t="shared" ca="1" si="898"/>
        <v>0</v>
      </c>
      <c r="AM583" s="593">
        <f t="shared" ca="1" si="899"/>
        <v>0</v>
      </c>
      <c r="AN583" s="593">
        <f t="shared" ca="1" si="900"/>
        <v>0</v>
      </c>
      <c r="AO583" s="593">
        <f t="shared" ca="1" si="901"/>
        <v>0</v>
      </c>
      <c r="AP583" s="593">
        <f t="shared" ca="1" si="902"/>
        <v>0</v>
      </c>
    </row>
    <row r="584" spans="1:42" s="589" customFormat="1" x14ac:dyDescent="0.2">
      <c r="A584" s="629">
        <v>54</v>
      </c>
      <c r="B584" s="623" t="s">
        <v>339</v>
      </c>
      <c r="C584" s="627">
        <f ca="1">SUM(G584:R584)</f>
        <v>0</v>
      </c>
      <c r="D584" s="627"/>
      <c r="E584" s="628">
        <f t="shared" si="727"/>
        <v>1</v>
      </c>
      <c r="F584" s="628"/>
      <c r="G584" s="627">
        <f t="shared" ref="G584:R584" ca="1" si="904">SUM(G585:G599)</f>
        <v>0</v>
      </c>
      <c r="H584" s="627">
        <f t="shared" ca="1" si="904"/>
        <v>0</v>
      </c>
      <c r="I584" s="627">
        <f t="shared" ca="1" si="904"/>
        <v>0</v>
      </c>
      <c r="J584" s="627">
        <f t="shared" ca="1" si="904"/>
        <v>0</v>
      </c>
      <c r="K584" s="627">
        <f t="shared" ca="1" si="904"/>
        <v>0</v>
      </c>
      <c r="L584" s="627">
        <f t="shared" ca="1" si="904"/>
        <v>0</v>
      </c>
      <c r="M584" s="627">
        <f t="shared" ca="1" si="904"/>
        <v>0</v>
      </c>
      <c r="N584" s="627">
        <f t="shared" ca="1" si="904"/>
        <v>0</v>
      </c>
      <c r="O584" s="627">
        <f t="shared" ca="1" si="904"/>
        <v>0</v>
      </c>
      <c r="P584" s="627">
        <f t="shared" ca="1" si="904"/>
        <v>0</v>
      </c>
      <c r="Q584" s="627">
        <f t="shared" ca="1" si="904"/>
        <v>0</v>
      </c>
      <c r="R584" s="627">
        <f t="shared" ca="1" si="904"/>
        <v>0</v>
      </c>
      <c r="S584" s="627" t="e">
        <f t="shared" ref="S584:AP584" ca="1" si="905">SUM(S585:S599)</f>
        <v>#REF!</v>
      </c>
      <c r="T584" s="627" t="e">
        <f t="shared" ca="1" si="905"/>
        <v>#REF!</v>
      </c>
      <c r="U584" s="627" t="e">
        <f t="shared" ca="1" si="905"/>
        <v>#REF!</v>
      </c>
      <c r="V584" s="627" t="e">
        <f t="shared" ca="1" si="905"/>
        <v>#REF!</v>
      </c>
      <c r="W584" s="627" t="e">
        <f t="shared" ca="1" si="905"/>
        <v>#REF!</v>
      </c>
      <c r="X584" s="627" t="e">
        <f t="shared" ca="1" si="905"/>
        <v>#REF!</v>
      </c>
      <c r="Y584" s="627" t="e">
        <f t="shared" ca="1" si="905"/>
        <v>#REF!</v>
      </c>
      <c r="Z584" s="627" t="e">
        <f t="shared" ca="1" si="905"/>
        <v>#REF!</v>
      </c>
      <c r="AA584" s="627" t="e">
        <f t="shared" ca="1" si="905"/>
        <v>#REF!</v>
      </c>
      <c r="AB584" s="627" t="e">
        <f t="shared" ca="1" si="905"/>
        <v>#REF!</v>
      </c>
      <c r="AC584" s="627" t="e">
        <f t="shared" ca="1" si="905"/>
        <v>#REF!</v>
      </c>
      <c r="AD584" s="627" t="e">
        <f t="shared" ca="1" si="905"/>
        <v>#REF!</v>
      </c>
      <c r="AE584" s="627">
        <f t="shared" ca="1" si="905"/>
        <v>0</v>
      </c>
      <c r="AF584" s="627">
        <f t="shared" ca="1" si="905"/>
        <v>0</v>
      </c>
      <c r="AG584" s="627">
        <f t="shared" ca="1" si="905"/>
        <v>0</v>
      </c>
      <c r="AH584" s="627">
        <f t="shared" ca="1" si="905"/>
        <v>0</v>
      </c>
      <c r="AI584" s="627">
        <f t="shared" ca="1" si="905"/>
        <v>0</v>
      </c>
      <c r="AJ584" s="627">
        <f t="shared" ca="1" si="905"/>
        <v>0</v>
      </c>
      <c r="AK584" s="627">
        <f t="shared" ca="1" si="905"/>
        <v>0</v>
      </c>
      <c r="AL584" s="627">
        <f t="shared" ca="1" si="905"/>
        <v>0</v>
      </c>
      <c r="AM584" s="627">
        <f t="shared" ca="1" si="905"/>
        <v>0</v>
      </c>
      <c r="AN584" s="627">
        <f t="shared" ca="1" si="905"/>
        <v>0</v>
      </c>
      <c r="AO584" s="627">
        <f t="shared" ca="1" si="905"/>
        <v>0</v>
      </c>
      <c r="AP584" s="627">
        <f t="shared" ca="1" si="905"/>
        <v>0</v>
      </c>
    </row>
    <row r="585" spans="1:42" s="594" customFormat="1" ht="11.25" x14ac:dyDescent="0.2">
      <c r="A585" s="644"/>
      <c r="B585" s="591" t="str">
        <f>IF(D585&lt;&gt;"",
IF(ISERROR(MATCH(D585,'Ist Aktuell Monat 01'!A:A,0))=FALSE,INDEX('Ist Aktuell Monat 01'!B:B,MATCH(D585,'Ist Aktuell Monat 01'!A:A,0)),
IF(ISERROR(MATCH(D585,'Ist Aktuell Monat 02'!A:A,0))=FALSE,INDEX('Ist Aktuell Monat 02'!B:B,MATCH(D585,'Ist Aktuell Monat 02'!A:A,0)),
IF(ISERROR(MATCH(D585,'Ist Aktuell Monat 03'!A:A,0))=FALSE,INDEX('Ist Aktuell Monat 03'!B:B,MATCH(D585,'Ist Aktuell Monat 03'!A:A,0)),
IF(ISERROR(MATCH(D585,'Ist Aktuell Monat 04'!A:A,0))=FALSE,INDEX('Ist Aktuell Monat 04'!B:B,MATCH(D585,'Ist Aktuell Monat 04'!A:A,0)),
IF(ISERROR(MATCH(D585,'Ist Aktuell Monat 05'!A:A,0))=FALSE,INDEX('Ist Aktuell Monat 05'!B:B,MATCH(D585,'Ist Aktuell Monat 05'!A:A,0)),
IF(ISERROR(MATCH(D585,'Ist Aktuell Monat 06'!A:A,0))=FALSE,INDEX('Ist Aktuell Monat 06'!B:B,MATCH(D585,'Ist Aktuell Monat 06'!A:A,0)),
IF(ISERROR(MATCH(D585,'Ist Aktuell Monat 07'!A:A,0))=FALSE,INDEX('Ist Aktuell Monat 07'!B:B,MATCH(D585,'Ist Aktuell Monat 07'!A:A,0)),
IF(ISERROR(MATCH(D585,'Ist Aktuell Monat 08'!A:A,0))=FALSE,INDEX('Ist Aktuell Monat 08'!B:B,MATCH(D585,'Ist Aktuell Monat 08'!A:A,0)),
IF(ISERROR(MATCH(D585,'Ist Aktuell Monat 09'!A:A,0))=FALSE,INDEX('Ist Aktuell Monat 09'!B:B,MATCH(D585,'Ist Aktuell Monat 09'!A:A,0)),
IF(ISERROR(MATCH(D585,'Ist Aktuell Monat 10'!A:A,0))=FALSE,INDEX('Ist Aktuell Monat 10'!B:B,MATCH(D585,'Ist Aktuell Monat 10'!A:A,0)),
IF(ISERROR(MATCH(D585,'Ist Aktuell Monat 11'!A:A,0))=FALSE,INDEX('Ist Aktuell Monat 11'!B:B,MATCH(D585,'Ist Aktuell Monat 11'!A:A,0)),
IF(ISERROR(MATCH(D585,'Ist Aktuell Monat 12'!A:A,0))=FALSE,INDEX('Ist Aktuell Monat 12'!B:B,MATCH(D585,'Ist Aktuell Monat 12'!A:A,0)),
"{Konto unbekannt}"
)))))))))))),"")</f>
        <v>Abziehbare Vorsteuer 7%</v>
      </c>
      <c r="C585" s="1063"/>
      <c r="D585" s="1068">
        <v>1571</v>
      </c>
      <c r="E585" s="625">
        <f t="shared" si="727"/>
        <v>-1</v>
      </c>
      <c r="F585" s="626" t="s">
        <v>996</v>
      </c>
      <c r="G585" s="593">
        <f ca="1">$E585*SUMIF(INDIRECT(G$3),'Struktur Aktuell'!$D585,INDIRECT(G$8))*IFERROR(IF(VLOOKUP('Struktur Aktuell'!$D585,INDIRECT(G$6),8,)="H",-1,1),0)</f>
        <v>0</v>
      </c>
      <c r="H585" s="593">
        <f ca="1">$E585*SUMIF(INDIRECT(H$3),'Struktur Aktuell'!$D585,INDIRECT(H$8))*IFERROR(IF(VLOOKUP('Struktur Aktuell'!$D585,INDIRECT(H$6),8,)="H",-1,1),0)</f>
        <v>0</v>
      </c>
      <c r="I585" s="593">
        <f ca="1">$E585*SUMIF(INDIRECT(I$3),'Struktur Aktuell'!$D585,INDIRECT(I$8))*IFERROR(IF(VLOOKUP('Struktur Aktuell'!$D585,INDIRECT(I$6),8,)="H",-1,1),0)</f>
        <v>0</v>
      </c>
      <c r="J585" s="593">
        <f ca="1">$E585*SUMIF(INDIRECT(J$3),'Struktur Aktuell'!$D585,INDIRECT(J$8))*IFERROR(IF(VLOOKUP('Struktur Aktuell'!$D585,INDIRECT(J$6),8,)="H",-1,1),0)</f>
        <v>0</v>
      </c>
      <c r="K585" s="593">
        <f ca="1">$E585*SUMIF(INDIRECT(K$3),'Struktur Aktuell'!$D585,INDIRECT(K$8))*IFERROR(IF(VLOOKUP('Struktur Aktuell'!$D585,INDIRECT(K$6),8,)="H",-1,1),0)</f>
        <v>0</v>
      </c>
      <c r="L585" s="593">
        <f ca="1">$E585*SUMIF(INDIRECT(L$3),'Struktur Aktuell'!$D585,INDIRECT(L$8))*IFERROR(IF(VLOOKUP('Struktur Aktuell'!$D585,INDIRECT(L$6),8,)="H",-1,1),0)</f>
        <v>0</v>
      </c>
      <c r="M585" s="593">
        <f ca="1">$E585*SUMIF(INDIRECT(M$3),'Struktur Aktuell'!$D585,INDIRECT(M$8))*IFERROR(IF(VLOOKUP('Struktur Aktuell'!$D585,INDIRECT(M$6),8,)="H",-1,1),0)</f>
        <v>0</v>
      </c>
      <c r="N585" s="593">
        <f ca="1">$E585*SUMIF(INDIRECT(N$3),'Struktur Aktuell'!$D585,INDIRECT(N$8))*IFERROR(IF(VLOOKUP('Struktur Aktuell'!$D585,INDIRECT(N$6),8,)="H",-1,1),0)</f>
        <v>0</v>
      </c>
      <c r="O585" s="593">
        <f ca="1">$E585*SUMIF(INDIRECT(O$3),'Struktur Aktuell'!$D585,INDIRECT(O$8))*IFERROR(IF(VLOOKUP('Struktur Aktuell'!$D585,INDIRECT(O$6),8,)="H",-1,1),0)</f>
        <v>0</v>
      </c>
      <c r="P585" s="593">
        <f ca="1">$E585*SUMIF(INDIRECT(P$3),'Struktur Aktuell'!$D585,INDIRECT(P$8))*IFERROR(IF(VLOOKUP('Struktur Aktuell'!$D585,INDIRECT(P$6),8,)="H",-1,1),0)</f>
        <v>0</v>
      </c>
      <c r="Q585" s="593">
        <f ca="1">$E585*SUMIF(INDIRECT(Q$3),'Struktur Aktuell'!$D585,INDIRECT(Q$8))*IFERROR(IF(VLOOKUP('Struktur Aktuell'!$D585,INDIRECT(Q$6),8,)="H",-1,1),0)</f>
        <v>0</v>
      </c>
      <c r="R585" s="593">
        <f ca="1">$E585*SUMIF(INDIRECT(R$3),'Struktur Aktuell'!$D585,INDIRECT(R$8))*IFERROR(IF(VLOOKUP('Struktur Aktuell'!$D585,INDIRECT(R$6),8,)="H",-1,1),0)</f>
        <v>0</v>
      </c>
      <c r="S585" s="593" t="e">
        <f ca="1">$E585*SUMIF(INDIRECT(S$3),'Struktur Aktuell'!$D585,INDIRECT(S$8))*IFERROR(IF(VLOOKUP('Struktur Aktuell'!$D585,INDIRECT(S$6),8,)="H",-1,1),0)</f>
        <v>#REF!</v>
      </c>
      <c r="T585" s="593" t="e">
        <f ca="1">$E585*SUMIF(INDIRECT(T$3),'Struktur Aktuell'!$D585,INDIRECT(T$8))*IFERROR(IF(VLOOKUP('Struktur Aktuell'!$D585,INDIRECT(T$6),8,)="H",-1,1),0)</f>
        <v>#REF!</v>
      </c>
      <c r="U585" s="593" t="e">
        <f ca="1">$E585*SUMIF(INDIRECT(U$3),'Struktur Aktuell'!$D585,INDIRECT(U$8))*IFERROR(IF(VLOOKUP('Struktur Aktuell'!$D585,INDIRECT(U$6),8,)="H",-1,1),0)</f>
        <v>#REF!</v>
      </c>
      <c r="V585" s="593" t="e">
        <f ca="1">$E585*SUMIF(INDIRECT(V$3),'Struktur Aktuell'!$D585,INDIRECT(V$8))*IFERROR(IF(VLOOKUP('Struktur Aktuell'!$D585,INDIRECT(V$6),8,)="H",-1,1),0)</f>
        <v>#REF!</v>
      </c>
      <c r="W585" s="593" t="e">
        <f ca="1">$E585*SUMIF(INDIRECT(W$3),'Struktur Aktuell'!$D585,INDIRECT(W$8))*IFERROR(IF(VLOOKUP('Struktur Aktuell'!$D585,INDIRECT(W$6),8,)="H",-1,1),0)</f>
        <v>#REF!</v>
      </c>
      <c r="X585" s="593" t="e">
        <f ca="1">$E585*SUMIF(INDIRECT(X$3),'Struktur Aktuell'!$D585,INDIRECT(X$8))*IFERROR(IF(VLOOKUP('Struktur Aktuell'!$D585,INDIRECT(X$6),8,)="H",-1,1),0)</f>
        <v>#REF!</v>
      </c>
      <c r="Y585" s="593" t="e">
        <f ca="1">$E585*SUMIF(INDIRECT(Y$3),'Struktur Aktuell'!$D585,INDIRECT(Y$8))*IFERROR(IF(VLOOKUP('Struktur Aktuell'!$D585,INDIRECT(Y$6),8,)="H",-1,1),0)</f>
        <v>#REF!</v>
      </c>
      <c r="Z585" s="593" t="e">
        <f ca="1">$E585*SUMIF(INDIRECT(Z$3),'Struktur Aktuell'!$D585,INDIRECT(Z$8))*IFERROR(IF(VLOOKUP('Struktur Aktuell'!$D585,INDIRECT(Z$6),8,)="H",-1,1),0)</f>
        <v>#REF!</v>
      </c>
      <c r="AA585" s="593" t="e">
        <f ca="1">$E585*SUMIF(INDIRECT(AA$3),'Struktur Aktuell'!$D585,INDIRECT(AA$8))*IFERROR(IF(VLOOKUP('Struktur Aktuell'!$D585,INDIRECT(AA$6),8,)="H",-1,1),0)</f>
        <v>#REF!</v>
      </c>
      <c r="AB585" s="593" t="e">
        <f ca="1">$E585*SUMIF(INDIRECT(AB$3),'Struktur Aktuell'!$D585,INDIRECT(AB$8))*IFERROR(IF(VLOOKUP('Struktur Aktuell'!$D585,INDIRECT(AB$6),8,)="H",-1,1),0)</f>
        <v>#REF!</v>
      </c>
      <c r="AC585" s="593" t="e">
        <f ca="1">$E585*SUMIF(INDIRECT(AC$3),'Struktur Aktuell'!$D585,INDIRECT(AC$8))*IFERROR(IF(VLOOKUP('Struktur Aktuell'!$D585,INDIRECT(AC$6),8,)="H",-1,1),0)</f>
        <v>#REF!</v>
      </c>
      <c r="AD585" s="593" t="e">
        <f ca="1">$E585*SUMIF(INDIRECT(AD$3),'Struktur Aktuell'!$D585,INDIRECT(AD$8))*IFERROR(IF(VLOOKUP('Struktur Aktuell'!$D585,INDIRECT(AD$6),8,)="H",-1,1),0)</f>
        <v>#REF!</v>
      </c>
      <c r="AE585" s="593">
        <f t="shared" ref="AE585:AE599" ca="1" si="906">G585</f>
        <v>0</v>
      </c>
      <c r="AF585" s="593">
        <f t="shared" ref="AF585:AF599" ca="1" si="907">H585+AE585</f>
        <v>0</v>
      </c>
      <c r="AG585" s="593">
        <f t="shared" ref="AG585:AG599" ca="1" si="908">I585+AF585</f>
        <v>0</v>
      </c>
      <c r="AH585" s="593">
        <f t="shared" ref="AH585:AH599" ca="1" si="909">J585+AG585</f>
        <v>0</v>
      </c>
      <c r="AI585" s="593">
        <f t="shared" ref="AI585:AI599" ca="1" si="910">K585+AH585</f>
        <v>0</v>
      </c>
      <c r="AJ585" s="593">
        <f t="shared" ref="AJ585:AJ599" ca="1" si="911">L585+AI585</f>
        <v>0</v>
      </c>
      <c r="AK585" s="593">
        <f t="shared" ref="AK585:AK599" ca="1" si="912">M585+AJ585</f>
        <v>0</v>
      </c>
      <c r="AL585" s="593">
        <f t="shared" ref="AL585:AL599" ca="1" si="913">N585+AK585</f>
        <v>0</v>
      </c>
      <c r="AM585" s="593">
        <f t="shared" ref="AM585:AM599" ca="1" si="914">O585+AL585</f>
        <v>0</v>
      </c>
      <c r="AN585" s="593">
        <f t="shared" ref="AN585:AN599" ca="1" si="915">P585+AM585</f>
        <v>0</v>
      </c>
      <c r="AO585" s="593">
        <f t="shared" ref="AO585:AO599" ca="1" si="916">Q585+AN585</f>
        <v>0</v>
      </c>
      <c r="AP585" s="593">
        <f t="shared" ref="AP585:AP599" ca="1" si="917">R585+AO585</f>
        <v>0</v>
      </c>
    </row>
    <row r="586" spans="1:42" s="594" customFormat="1" ht="11.25" x14ac:dyDescent="0.2">
      <c r="A586" s="644"/>
      <c r="B586" s="591" t="str">
        <f>IF(D586&lt;&gt;"",
IF(ISERROR(MATCH(D586,'Ist Aktuell Monat 01'!A:A,0))=FALSE,INDEX('Ist Aktuell Monat 01'!B:B,MATCH(D586,'Ist Aktuell Monat 01'!A:A,0)),
IF(ISERROR(MATCH(D586,'Ist Aktuell Monat 02'!A:A,0))=FALSE,INDEX('Ist Aktuell Monat 02'!B:B,MATCH(D586,'Ist Aktuell Monat 02'!A:A,0)),
IF(ISERROR(MATCH(D586,'Ist Aktuell Monat 03'!A:A,0))=FALSE,INDEX('Ist Aktuell Monat 03'!B:B,MATCH(D586,'Ist Aktuell Monat 03'!A:A,0)),
IF(ISERROR(MATCH(D586,'Ist Aktuell Monat 04'!A:A,0))=FALSE,INDEX('Ist Aktuell Monat 04'!B:B,MATCH(D586,'Ist Aktuell Monat 04'!A:A,0)),
IF(ISERROR(MATCH(D586,'Ist Aktuell Monat 05'!A:A,0))=FALSE,INDEX('Ist Aktuell Monat 05'!B:B,MATCH(D586,'Ist Aktuell Monat 05'!A:A,0)),
IF(ISERROR(MATCH(D586,'Ist Aktuell Monat 06'!A:A,0))=FALSE,INDEX('Ist Aktuell Monat 06'!B:B,MATCH(D586,'Ist Aktuell Monat 06'!A:A,0)),
IF(ISERROR(MATCH(D586,'Ist Aktuell Monat 07'!A:A,0))=FALSE,INDEX('Ist Aktuell Monat 07'!B:B,MATCH(D586,'Ist Aktuell Monat 07'!A:A,0)),
IF(ISERROR(MATCH(D586,'Ist Aktuell Monat 08'!A:A,0))=FALSE,INDEX('Ist Aktuell Monat 08'!B:B,MATCH(D586,'Ist Aktuell Monat 08'!A:A,0)),
IF(ISERROR(MATCH(D586,'Ist Aktuell Monat 09'!A:A,0))=FALSE,INDEX('Ist Aktuell Monat 09'!B:B,MATCH(D586,'Ist Aktuell Monat 09'!A:A,0)),
IF(ISERROR(MATCH(D586,'Ist Aktuell Monat 10'!A:A,0))=FALSE,INDEX('Ist Aktuell Monat 10'!B:B,MATCH(D586,'Ist Aktuell Monat 10'!A:A,0)),
IF(ISERROR(MATCH(D586,'Ist Aktuell Monat 11'!A:A,0))=FALSE,INDEX('Ist Aktuell Monat 11'!B:B,MATCH(D586,'Ist Aktuell Monat 11'!A:A,0)),
IF(ISERROR(MATCH(D586,'Ist Aktuell Monat 12'!A:A,0))=FALSE,INDEX('Ist Aktuell Monat 12'!B:B,MATCH(D586,'Ist Aktuell Monat 12'!A:A,0)),
"{Konto unbekannt}"
)))))))))))),"")</f>
        <v>Abziehbare Vorsteuer aus EU-Erwerb 19%</v>
      </c>
      <c r="C586" s="1062"/>
      <c r="D586" s="1067">
        <v>1574</v>
      </c>
      <c r="E586" s="625">
        <f t="shared" si="727"/>
        <v>-1</v>
      </c>
      <c r="F586" s="626" t="s">
        <v>996</v>
      </c>
      <c r="G586" s="593">
        <f ca="1">$E586*SUMIF(INDIRECT(G$3),'Struktur Aktuell'!$D586,INDIRECT(G$8))*IFERROR(IF(VLOOKUP('Struktur Aktuell'!$D586,INDIRECT(G$6),8,)="H",-1,1),0)</f>
        <v>0</v>
      </c>
      <c r="H586" s="593">
        <f ca="1">$E586*SUMIF(INDIRECT(H$3),'Struktur Aktuell'!$D586,INDIRECT(H$8))*IFERROR(IF(VLOOKUP('Struktur Aktuell'!$D586,INDIRECT(H$6),8,)="H",-1,1),0)</f>
        <v>0</v>
      </c>
      <c r="I586" s="593">
        <f ca="1">$E586*SUMIF(INDIRECT(I$3),'Struktur Aktuell'!$D586,INDIRECT(I$8))*IFERROR(IF(VLOOKUP('Struktur Aktuell'!$D586,INDIRECT(I$6),8,)="H",-1,1),0)</f>
        <v>0</v>
      </c>
      <c r="J586" s="593">
        <f ca="1">$E586*SUMIF(INDIRECT(J$3),'Struktur Aktuell'!$D586,INDIRECT(J$8))*IFERROR(IF(VLOOKUP('Struktur Aktuell'!$D586,INDIRECT(J$6),8,)="H",-1,1),0)</f>
        <v>0</v>
      </c>
      <c r="K586" s="593">
        <f ca="1">$E586*SUMIF(INDIRECT(K$3),'Struktur Aktuell'!$D586,INDIRECT(K$8))*IFERROR(IF(VLOOKUP('Struktur Aktuell'!$D586,INDIRECT(K$6),8,)="H",-1,1),0)</f>
        <v>0</v>
      </c>
      <c r="L586" s="593">
        <f ca="1">$E586*SUMIF(INDIRECT(L$3),'Struktur Aktuell'!$D586,INDIRECT(L$8))*IFERROR(IF(VLOOKUP('Struktur Aktuell'!$D586,INDIRECT(L$6),8,)="H",-1,1),0)</f>
        <v>0</v>
      </c>
      <c r="M586" s="593">
        <f ca="1">$E586*SUMIF(INDIRECT(M$3),'Struktur Aktuell'!$D586,INDIRECT(M$8))*IFERROR(IF(VLOOKUP('Struktur Aktuell'!$D586,INDIRECT(M$6),8,)="H",-1,1),0)</f>
        <v>0</v>
      </c>
      <c r="N586" s="593">
        <f ca="1">$E586*SUMIF(INDIRECT(N$3),'Struktur Aktuell'!$D586,INDIRECT(N$8))*IFERROR(IF(VLOOKUP('Struktur Aktuell'!$D586,INDIRECT(N$6),8,)="H",-1,1),0)</f>
        <v>0</v>
      </c>
      <c r="O586" s="593">
        <f ca="1">$E586*SUMIF(INDIRECT(O$3),'Struktur Aktuell'!$D586,INDIRECT(O$8))*IFERROR(IF(VLOOKUP('Struktur Aktuell'!$D586,INDIRECT(O$6),8,)="H",-1,1),0)</f>
        <v>0</v>
      </c>
      <c r="P586" s="593">
        <f ca="1">$E586*SUMIF(INDIRECT(P$3),'Struktur Aktuell'!$D586,INDIRECT(P$8))*IFERROR(IF(VLOOKUP('Struktur Aktuell'!$D586,INDIRECT(P$6),8,)="H",-1,1),0)</f>
        <v>0</v>
      </c>
      <c r="Q586" s="593">
        <f ca="1">$E586*SUMIF(INDIRECT(Q$3),'Struktur Aktuell'!$D586,INDIRECT(Q$8))*IFERROR(IF(VLOOKUP('Struktur Aktuell'!$D586,INDIRECT(Q$6),8,)="H",-1,1),0)</f>
        <v>0</v>
      </c>
      <c r="R586" s="593">
        <f ca="1">$E586*SUMIF(INDIRECT(R$3),'Struktur Aktuell'!$D586,INDIRECT(R$8))*IFERROR(IF(VLOOKUP('Struktur Aktuell'!$D586,INDIRECT(R$6),8,)="H",-1,1),0)</f>
        <v>0</v>
      </c>
      <c r="S586" s="593" t="e">
        <f ca="1">$E586*SUMIF(INDIRECT(S$3),'Struktur Aktuell'!$D586,INDIRECT(S$8))*IFERROR(IF(VLOOKUP('Struktur Aktuell'!$D586,INDIRECT(S$6),8,)="H",-1,1),0)</f>
        <v>#REF!</v>
      </c>
      <c r="T586" s="593" t="e">
        <f ca="1">$E586*SUMIF(INDIRECT(T$3),'Struktur Aktuell'!$D586,INDIRECT(T$8))*IFERROR(IF(VLOOKUP('Struktur Aktuell'!$D586,INDIRECT(T$6),8,)="H",-1,1),0)</f>
        <v>#REF!</v>
      </c>
      <c r="U586" s="593" t="e">
        <f ca="1">$E586*SUMIF(INDIRECT(U$3),'Struktur Aktuell'!$D586,INDIRECT(U$8))*IFERROR(IF(VLOOKUP('Struktur Aktuell'!$D586,INDIRECT(U$6),8,)="H",-1,1),0)</f>
        <v>#REF!</v>
      </c>
      <c r="V586" s="593" t="e">
        <f ca="1">$E586*SUMIF(INDIRECT(V$3),'Struktur Aktuell'!$D586,INDIRECT(V$8))*IFERROR(IF(VLOOKUP('Struktur Aktuell'!$D586,INDIRECT(V$6),8,)="H",-1,1),0)</f>
        <v>#REF!</v>
      </c>
      <c r="W586" s="593" t="e">
        <f ca="1">$E586*SUMIF(INDIRECT(W$3),'Struktur Aktuell'!$D586,INDIRECT(W$8))*IFERROR(IF(VLOOKUP('Struktur Aktuell'!$D586,INDIRECT(W$6),8,)="H",-1,1),0)</f>
        <v>#REF!</v>
      </c>
      <c r="X586" s="593" t="e">
        <f ca="1">$E586*SUMIF(INDIRECT(X$3),'Struktur Aktuell'!$D586,INDIRECT(X$8))*IFERROR(IF(VLOOKUP('Struktur Aktuell'!$D586,INDIRECT(X$6),8,)="H",-1,1),0)</f>
        <v>#REF!</v>
      </c>
      <c r="Y586" s="593" t="e">
        <f ca="1">$E586*SUMIF(INDIRECT(Y$3),'Struktur Aktuell'!$D586,INDIRECT(Y$8))*IFERROR(IF(VLOOKUP('Struktur Aktuell'!$D586,INDIRECT(Y$6),8,)="H",-1,1),0)</f>
        <v>#REF!</v>
      </c>
      <c r="Z586" s="593" t="e">
        <f ca="1">$E586*SUMIF(INDIRECT(Z$3),'Struktur Aktuell'!$D586,INDIRECT(Z$8))*IFERROR(IF(VLOOKUP('Struktur Aktuell'!$D586,INDIRECT(Z$6),8,)="H",-1,1),0)</f>
        <v>#REF!</v>
      </c>
      <c r="AA586" s="593" t="e">
        <f ca="1">$E586*SUMIF(INDIRECT(AA$3),'Struktur Aktuell'!$D586,INDIRECT(AA$8))*IFERROR(IF(VLOOKUP('Struktur Aktuell'!$D586,INDIRECT(AA$6),8,)="H",-1,1),0)</f>
        <v>#REF!</v>
      </c>
      <c r="AB586" s="593" t="e">
        <f ca="1">$E586*SUMIF(INDIRECT(AB$3),'Struktur Aktuell'!$D586,INDIRECT(AB$8))*IFERROR(IF(VLOOKUP('Struktur Aktuell'!$D586,INDIRECT(AB$6),8,)="H",-1,1),0)</f>
        <v>#REF!</v>
      </c>
      <c r="AC586" s="593" t="e">
        <f ca="1">$E586*SUMIF(INDIRECT(AC$3),'Struktur Aktuell'!$D586,INDIRECT(AC$8))*IFERROR(IF(VLOOKUP('Struktur Aktuell'!$D586,INDIRECT(AC$6),8,)="H",-1,1),0)</f>
        <v>#REF!</v>
      </c>
      <c r="AD586" s="593" t="e">
        <f ca="1">$E586*SUMIF(INDIRECT(AD$3),'Struktur Aktuell'!$D586,INDIRECT(AD$8))*IFERROR(IF(VLOOKUP('Struktur Aktuell'!$D586,INDIRECT(AD$6),8,)="H",-1,1),0)</f>
        <v>#REF!</v>
      </c>
      <c r="AE586" s="593">
        <f t="shared" ca="1" si="906"/>
        <v>0</v>
      </c>
      <c r="AF586" s="593">
        <f t="shared" ca="1" si="907"/>
        <v>0</v>
      </c>
      <c r="AG586" s="593">
        <f t="shared" ca="1" si="908"/>
        <v>0</v>
      </c>
      <c r="AH586" s="593">
        <f t="shared" ca="1" si="909"/>
        <v>0</v>
      </c>
      <c r="AI586" s="593">
        <f t="shared" ca="1" si="910"/>
        <v>0</v>
      </c>
      <c r="AJ586" s="593">
        <f t="shared" ca="1" si="911"/>
        <v>0</v>
      </c>
      <c r="AK586" s="593">
        <f t="shared" ca="1" si="912"/>
        <v>0</v>
      </c>
      <c r="AL586" s="593">
        <f t="shared" ca="1" si="913"/>
        <v>0</v>
      </c>
      <c r="AM586" s="593">
        <f t="shared" ca="1" si="914"/>
        <v>0</v>
      </c>
      <c r="AN586" s="593">
        <f t="shared" ca="1" si="915"/>
        <v>0</v>
      </c>
      <c r="AO586" s="593">
        <f t="shared" ca="1" si="916"/>
        <v>0</v>
      </c>
      <c r="AP586" s="593">
        <f t="shared" ca="1" si="917"/>
        <v>0</v>
      </c>
    </row>
    <row r="587" spans="1:42" s="594" customFormat="1" ht="11.25" x14ac:dyDescent="0.2">
      <c r="A587" s="644"/>
      <c r="B587" s="591" t="str">
        <f>IF(D587&lt;&gt;"",
IF(ISERROR(MATCH(D587,'Ist Aktuell Monat 01'!A:A,0))=FALSE,INDEX('Ist Aktuell Monat 01'!B:B,MATCH(D587,'Ist Aktuell Monat 01'!A:A,0)),
IF(ISERROR(MATCH(D587,'Ist Aktuell Monat 02'!A:A,0))=FALSE,INDEX('Ist Aktuell Monat 02'!B:B,MATCH(D587,'Ist Aktuell Monat 02'!A:A,0)),
IF(ISERROR(MATCH(D587,'Ist Aktuell Monat 03'!A:A,0))=FALSE,INDEX('Ist Aktuell Monat 03'!B:B,MATCH(D587,'Ist Aktuell Monat 03'!A:A,0)),
IF(ISERROR(MATCH(D587,'Ist Aktuell Monat 04'!A:A,0))=FALSE,INDEX('Ist Aktuell Monat 04'!B:B,MATCH(D587,'Ist Aktuell Monat 04'!A:A,0)),
IF(ISERROR(MATCH(D587,'Ist Aktuell Monat 05'!A:A,0))=FALSE,INDEX('Ist Aktuell Monat 05'!B:B,MATCH(D587,'Ist Aktuell Monat 05'!A:A,0)),
IF(ISERROR(MATCH(D587,'Ist Aktuell Monat 06'!A:A,0))=FALSE,INDEX('Ist Aktuell Monat 06'!B:B,MATCH(D587,'Ist Aktuell Monat 06'!A:A,0)),
IF(ISERROR(MATCH(D587,'Ist Aktuell Monat 07'!A:A,0))=FALSE,INDEX('Ist Aktuell Monat 07'!B:B,MATCH(D587,'Ist Aktuell Monat 07'!A:A,0)),
IF(ISERROR(MATCH(D587,'Ist Aktuell Monat 08'!A:A,0))=FALSE,INDEX('Ist Aktuell Monat 08'!B:B,MATCH(D587,'Ist Aktuell Monat 08'!A:A,0)),
IF(ISERROR(MATCH(D587,'Ist Aktuell Monat 09'!A:A,0))=FALSE,INDEX('Ist Aktuell Monat 09'!B:B,MATCH(D587,'Ist Aktuell Monat 09'!A:A,0)),
IF(ISERROR(MATCH(D587,'Ist Aktuell Monat 10'!A:A,0))=FALSE,INDEX('Ist Aktuell Monat 10'!B:B,MATCH(D587,'Ist Aktuell Monat 10'!A:A,0)),
IF(ISERROR(MATCH(D587,'Ist Aktuell Monat 11'!A:A,0))=FALSE,INDEX('Ist Aktuell Monat 11'!B:B,MATCH(D587,'Ist Aktuell Monat 11'!A:A,0)),
IF(ISERROR(MATCH(D587,'Ist Aktuell Monat 12'!A:A,0))=FALSE,INDEX('Ist Aktuell Monat 12'!B:B,MATCH(D587,'Ist Aktuell Monat 12'!A:A,0)),
"{Konto unbekannt}"
)))))))))))),"")</f>
        <v>Abziehbare Vorsteuer 19%</v>
      </c>
      <c r="C587" s="1062"/>
      <c r="D587" s="1067">
        <v>1576</v>
      </c>
      <c r="E587" s="625">
        <f t="shared" si="727"/>
        <v>-1</v>
      </c>
      <c r="F587" s="626" t="s">
        <v>996</v>
      </c>
      <c r="G587" s="593">
        <f ca="1">$E587*SUMIF(INDIRECT(G$3),'Struktur Aktuell'!$D587,INDIRECT(G$8))*IFERROR(IF(VLOOKUP('Struktur Aktuell'!$D587,INDIRECT(G$6),8,)="H",-1,1),0)</f>
        <v>0</v>
      </c>
      <c r="H587" s="593">
        <f ca="1">$E587*SUMIF(INDIRECT(H$3),'Struktur Aktuell'!$D587,INDIRECT(H$8))*IFERROR(IF(VLOOKUP('Struktur Aktuell'!$D587,INDIRECT(H$6),8,)="H",-1,1),0)</f>
        <v>0</v>
      </c>
      <c r="I587" s="593">
        <f ca="1">$E587*SUMIF(INDIRECT(I$3),'Struktur Aktuell'!$D587,INDIRECT(I$8))*IFERROR(IF(VLOOKUP('Struktur Aktuell'!$D587,INDIRECT(I$6),8,)="H",-1,1),0)</f>
        <v>0</v>
      </c>
      <c r="J587" s="593">
        <f ca="1">$E587*SUMIF(INDIRECT(J$3),'Struktur Aktuell'!$D587,INDIRECT(J$8))*IFERROR(IF(VLOOKUP('Struktur Aktuell'!$D587,INDIRECT(J$6),8,)="H",-1,1),0)</f>
        <v>0</v>
      </c>
      <c r="K587" s="593">
        <f ca="1">$E587*SUMIF(INDIRECT(K$3),'Struktur Aktuell'!$D587,INDIRECT(K$8))*IFERROR(IF(VLOOKUP('Struktur Aktuell'!$D587,INDIRECT(K$6),8,)="H",-1,1),0)</f>
        <v>0</v>
      </c>
      <c r="L587" s="593">
        <f ca="1">$E587*SUMIF(INDIRECT(L$3),'Struktur Aktuell'!$D587,INDIRECT(L$8))*IFERROR(IF(VLOOKUP('Struktur Aktuell'!$D587,INDIRECT(L$6),8,)="H",-1,1),0)</f>
        <v>0</v>
      </c>
      <c r="M587" s="593">
        <f ca="1">$E587*SUMIF(INDIRECT(M$3),'Struktur Aktuell'!$D587,INDIRECT(M$8))*IFERROR(IF(VLOOKUP('Struktur Aktuell'!$D587,INDIRECT(M$6),8,)="H",-1,1),0)</f>
        <v>0</v>
      </c>
      <c r="N587" s="593">
        <f ca="1">$E587*SUMIF(INDIRECT(N$3),'Struktur Aktuell'!$D587,INDIRECT(N$8))*IFERROR(IF(VLOOKUP('Struktur Aktuell'!$D587,INDIRECT(N$6),8,)="H",-1,1),0)</f>
        <v>0</v>
      </c>
      <c r="O587" s="593">
        <f ca="1">$E587*SUMIF(INDIRECT(O$3),'Struktur Aktuell'!$D587,INDIRECT(O$8))*IFERROR(IF(VLOOKUP('Struktur Aktuell'!$D587,INDIRECT(O$6),8,)="H",-1,1),0)</f>
        <v>0</v>
      </c>
      <c r="P587" s="593">
        <f ca="1">$E587*SUMIF(INDIRECT(P$3),'Struktur Aktuell'!$D587,INDIRECT(P$8))*IFERROR(IF(VLOOKUP('Struktur Aktuell'!$D587,INDIRECT(P$6),8,)="H",-1,1),0)</f>
        <v>0</v>
      </c>
      <c r="Q587" s="593">
        <f ca="1">$E587*SUMIF(INDIRECT(Q$3),'Struktur Aktuell'!$D587,INDIRECT(Q$8))*IFERROR(IF(VLOOKUP('Struktur Aktuell'!$D587,INDIRECT(Q$6),8,)="H",-1,1),0)</f>
        <v>0</v>
      </c>
      <c r="R587" s="593">
        <f ca="1">$E587*SUMIF(INDIRECT(R$3),'Struktur Aktuell'!$D587,INDIRECT(R$8))*IFERROR(IF(VLOOKUP('Struktur Aktuell'!$D587,INDIRECT(R$6),8,)="H",-1,1),0)</f>
        <v>0</v>
      </c>
      <c r="S587" s="593" t="e">
        <f ca="1">$E587*SUMIF(INDIRECT(S$3),'Struktur Aktuell'!$D587,INDIRECT(S$8))*IFERROR(IF(VLOOKUP('Struktur Aktuell'!$D587,INDIRECT(S$6),8,)="H",-1,1),0)</f>
        <v>#REF!</v>
      </c>
      <c r="T587" s="593" t="e">
        <f ca="1">$E587*SUMIF(INDIRECT(T$3),'Struktur Aktuell'!$D587,INDIRECT(T$8))*IFERROR(IF(VLOOKUP('Struktur Aktuell'!$D587,INDIRECT(T$6),8,)="H",-1,1),0)</f>
        <v>#REF!</v>
      </c>
      <c r="U587" s="593" t="e">
        <f ca="1">$E587*SUMIF(INDIRECT(U$3),'Struktur Aktuell'!$D587,INDIRECT(U$8))*IFERROR(IF(VLOOKUP('Struktur Aktuell'!$D587,INDIRECT(U$6),8,)="H",-1,1),0)</f>
        <v>#REF!</v>
      </c>
      <c r="V587" s="593" t="e">
        <f ca="1">$E587*SUMIF(INDIRECT(V$3),'Struktur Aktuell'!$D587,INDIRECT(V$8))*IFERROR(IF(VLOOKUP('Struktur Aktuell'!$D587,INDIRECT(V$6),8,)="H",-1,1),0)</f>
        <v>#REF!</v>
      </c>
      <c r="W587" s="593" t="e">
        <f ca="1">$E587*SUMIF(INDIRECT(W$3),'Struktur Aktuell'!$D587,INDIRECT(W$8))*IFERROR(IF(VLOOKUP('Struktur Aktuell'!$D587,INDIRECT(W$6),8,)="H",-1,1),0)</f>
        <v>#REF!</v>
      </c>
      <c r="X587" s="593" t="e">
        <f ca="1">$E587*SUMIF(INDIRECT(X$3),'Struktur Aktuell'!$D587,INDIRECT(X$8))*IFERROR(IF(VLOOKUP('Struktur Aktuell'!$D587,INDIRECT(X$6),8,)="H",-1,1),0)</f>
        <v>#REF!</v>
      </c>
      <c r="Y587" s="593" t="e">
        <f ca="1">$E587*SUMIF(INDIRECT(Y$3),'Struktur Aktuell'!$D587,INDIRECT(Y$8))*IFERROR(IF(VLOOKUP('Struktur Aktuell'!$D587,INDIRECT(Y$6),8,)="H",-1,1),0)</f>
        <v>#REF!</v>
      </c>
      <c r="Z587" s="593" t="e">
        <f ca="1">$E587*SUMIF(INDIRECT(Z$3),'Struktur Aktuell'!$D587,INDIRECT(Z$8))*IFERROR(IF(VLOOKUP('Struktur Aktuell'!$D587,INDIRECT(Z$6),8,)="H",-1,1),0)</f>
        <v>#REF!</v>
      </c>
      <c r="AA587" s="593" t="e">
        <f ca="1">$E587*SUMIF(INDIRECT(AA$3),'Struktur Aktuell'!$D587,INDIRECT(AA$8))*IFERROR(IF(VLOOKUP('Struktur Aktuell'!$D587,INDIRECT(AA$6),8,)="H",-1,1),0)</f>
        <v>#REF!</v>
      </c>
      <c r="AB587" s="593" t="e">
        <f ca="1">$E587*SUMIF(INDIRECT(AB$3),'Struktur Aktuell'!$D587,INDIRECT(AB$8))*IFERROR(IF(VLOOKUP('Struktur Aktuell'!$D587,INDIRECT(AB$6),8,)="H",-1,1),0)</f>
        <v>#REF!</v>
      </c>
      <c r="AC587" s="593" t="e">
        <f ca="1">$E587*SUMIF(INDIRECT(AC$3),'Struktur Aktuell'!$D587,INDIRECT(AC$8))*IFERROR(IF(VLOOKUP('Struktur Aktuell'!$D587,INDIRECT(AC$6),8,)="H",-1,1),0)</f>
        <v>#REF!</v>
      </c>
      <c r="AD587" s="593" t="e">
        <f ca="1">$E587*SUMIF(INDIRECT(AD$3),'Struktur Aktuell'!$D587,INDIRECT(AD$8))*IFERROR(IF(VLOOKUP('Struktur Aktuell'!$D587,INDIRECT(AD$6),8,)="H",-1,1),0)</f>
        <v>#REF!</v>
      </c>
      <c r="AE587" s="593">
        <f t="shared" ca="1" si="906"/>
        <v>0</v>
      </c>
      <c r="AF587" s="593">
        <f t="shared" ca="1" si="907"/>
        <v>0</v>
      </c>
      <c r="AG587" s="593">
        <f t="shared" ca="1" si="908"/>
        <v>0</v>
      </c>
      <c r="AH587" s="593">
        <f t="shared" ca="1" si="909"/>
        <v>0</v>
      </c>
      <c r="AI587" s="593">
        <f t="shared" ca="1" si="910"/>
        <v>0</v>
      </c>
      <c r="AJ587" s="593">
        <f t="shared" ca="1" si="911"/>
        <v>0</v>
      </c>
      <c r="AK587" s="593">
        <f t="shared" ca="1" si="912"/>
        <v>0</v>
      </c>
      <c r="AL587" s="593">
        <f t="shared" ca="1" si="913"/>
        <v>0</v>
      </c>
      <c r="AM587" s="593">
        <f t="shared" ca="1" si="914"/>
        <v>0</v>
      </c>
      <c r="AN587" s="593">
        <f t="shared" ca="1" si="915"/>
        <v>0</v>
      </c>
      <c r="AO587" s="593">
        <f t="shared" ca="1" si="916"/>
        <v>0</v>
      </c>
      <c r="AP587" s="593">
        <f t="shared" ca="1" si="917"/>
        <v>0</v>
      </c>
    </row>
    <row r="588" spans="1:42" s="594" customFormat="1" ht="11.25" x14ac:dyDescent="0.2">
      <c r="A588" s="644"/>
      <c r="B588" s="591" t="str">
        <f>IF(D588&lt;&gt;"",
IF(ISERROR(MATCH(D588,'Ist Aktuell Monat 01'!A:A,0))=FALSE,INDEX('Ist Aktuell Monat 01'!B:B,MATCH(D588,'Ist Aktuell Monat 01'!A:A,0)),
IF(ISERROR(MATCH(D588,'Ist Aktuell Monat 02'!A:A,0))=FALSE,INDEX('Ist Aktuell Monat 02'!B:B,MATCH(D588,'Ist Aktuell Monat 02'!A:A,0)),
IF(ISERROR(MATCH(D588,'Ist Aktuell Monat 03'!A:A,0))=FALSE,INDEX('Ist Aktuell Monat 03'!B:B,MATCH(D588,'Ist Aktuell Monat 03'!A:A,0)),
IF(ISERROR(MATCH(D588,'Ist Aktuell Monat 04'!A:A,0))=FALSE,INDEX('Ist Aktuell Monat 04'!B:B,MATCH(D588,'Ist Aktuell Monat 04'!A:A,0)),
IF(ISERROR(MATCH(D588,'Ist Aktuell Monat 05'!A:A,0))=FALSE,INDEX('Ist Aktuell Monat 05'!B:B,MATCH(D588,'Ist Aktuell Monat 05'!A:A,0)),
IF(ISERROR(MATCH(D588,'Ist Aktuell Monat 06'!A:A,0))=FALSE,INDEX('Ist Aktuell Monat 06'!B:B,MATCH(D588,'Ist Aktuell Monat 06'!A:A,0)),
IF(ISERROR(MATCH(D588,'Ist Aktuell Monat 07'!A:A,0))=FALSE,INDEX('Ist Aktuell Monat 07'!B:B,MATCH(D588,'Ist Aktuell Monat 07'!A:A,0)),
IF(ISERROR(MATCH(D588,'Ist Aktuell Monat 08'!A:A,0))=FALSE,INDEX('Ist Aktuell Monat 08'!B:B,MATCH(D588,'Ist Aktuell Monat 08'!A:A,0)),
IF(ISERROR(MATCH(D588,'Ist Aktuell Monat 09'!A:A,0))=FALSE,INDEX('Ist Aktuell Monat 09'!B:B,MATCH(D588,'Ist Aktuell Monat 09'!A:A,0)),
IF(ISERROR(MATCH(D588,'Ist Aktuell Monat 10'!A:A,0))=FALSE,INDEX('Ist Aktuell Monat 10'!B:B,MATCH(D588,'Ist Aktuell Monat 10'!A:A,0)),
IF(ISERROR(MATCH(D588,'Ist Aktuell Monat 11'!A:A,0))=FALSE,INDEX('Ist Aktuell Monat 11'!B:B,MATCH(D588,'Ist Aktuell Monat 11'!A:A,0)),
IF(ISERROR(MATCH(D588,'Ist Aktuell Monat 12'!A:A,0))=FALSE,INDEX('Ist Aktuell Monat 12'!B:B,MATCH(D588,'Ist Aktuell Monat 12'!A:A,0)),
"{Konto unbekannt}"
)))))))))))),"")</f>
        <v>{Konto unbekannt}</v>
      </c>
      <c r="C588" s="1062"/>
      <c r="D588" s="1067">
        <v>1577</v>
      </c>
      <c r="E588" s="625">
        <f t="shared" si="727"/>
        <v>-1</v>
      </c>
      <c r="F588" s="626" t="s">
        <v>996</v>
      </c>
      <c r="G588" s="593">
        <f ca="1">$E588*SUMIF(INDIRECT(G$3),'Struktur Aktuell'!$D588,INDIRECT(G$8))*IFERROR(IF(VLOOKUP('Struktur Aktuell'!$D588,INDIRECT(G$6),8,)="H",-1,1),0)</f>
        <v>0</v>
      </c>
      <c r="H588" s="593">
        <f ca="1">$E588*SUMIF(INDIRECT(H$3),'Struktur Aktuell'!$D588,INDIRECT(H$8))*IFERROR(IF(VLOOKUP('Struktur Aktuell'!$D588,INDIRECT(H$6),8,)="H",-1,1),0)</f>
        <v>0</v>
      </c>
      <c r="I588" s="593">
        <f ca="1">$E588*SUMIF(INDIRECT(I$3),'Struktur Aktuell'!$D588,INDIRECT(I$8))*IFERROR(IF(VLOOKUP('Struktur Aktuell'!$D588,INDIRECT(I$6),8,)="H",-1,1),0)</f>
        <v>0</v>
      </c>
      <c r="J588" s="593">
        <f ca="1">$E588*SUMIF(INDIRECT(J$3),'Struktur Aktuell'!$D588,INDIRECT(J$8))*IFERROR(IF(VLOOKUP('Struktur Aktuell'!$D588,INDIRECT(J$6),8,)="H",-1,1),0)</f>
        <v>0</v>
      </c>
      <c r="K588" s="593">
        <f ca="1">$E588*SUMIF(INDIRECT(K$3),'Struktur Aktuell'!$D588,INDIRECT(K$8))*IFERROR(IF(VLOOKUP('Struktur Aktuell'!$D588,INDIRECT(K$6),8,)="H",-1,1),0)</f>
        <v>0</v>
      </c>
      <c r="L588" s="593">
        <f ca="1">$E588*SUMIF(INDIRECT(L$3),'Struktur Aktuell'!$D588,INDIRECT(L$8))*IFERROR(IF(VLOOKUP('Struktur Aktuell'!$D588,INDIRECT(L$6),8,)="H",-1,1),0)</f>
        <v>0</v>
      </c>
      <c r="M588" s="593">
        <f ca="1">$E588*SUMIF(INDIRECT(M$3),'Struktur Aktuell'!$D588,INDIRECT(M$8))*IFERROR(IF(VLOOKUP('Struktur Aktuell'!$D588,INDIRECT(M$6),8,)="H",-1,1),0)</f>
        <v>0</v>
      </c>
      <c r="N588" s="593">
        <f ca="1">$E588*SUMIF(INDIRECT(N$3),'Struktur Aktuell'!$D588,INDIRECT(N$8))*IFERROR(IF(VLOOKUP('Struktur Aktuell'!$D588,INDIRECT(N$6),8,)="H",-1,1),0)</f>
        <v>0</v>
      </c>
      <c r="O588" s="593">
        <f ca="1">$E588*SUMIF(INDIRECT(O$3),'Struktur Aktuell'!$D588,INDIRECT(O$8))*IFERROR(IF(VLOOKUP('Struktur Aktuell'!$D588,INDIRECT(O$6),8,)="H",-1,1),0)</f>
        <v>0</v>
      </c>
      <c r="P588" s="593">
        <f ca="1">$E588*SUMIF(INDIRECT(P$3),'Struktur Aktuell'!$D588,INDIRECT(P$8))*IFERROR(IF(VLOOKUP('Struktur Aktuell'!$D588,INDIRECT(P$6),8,)="H",-1,1),0)</f>
        <v>0</v>
      </c>
      <c r="Q588" s="593">
        <f ca="1">$E588*SUMIF(INDIRECT(Q$3),'Struktur Aktuell'!$D588,INDIRECT(Q$8))*IFERROR(IF(VLOOKUP('Struktur Aktuell'!$D588,INDIRECT(Q$6),8,)="H",-1,1),0)</f>
        <v>0</v>
      </c>
      <c r="R588" s="593">
        <f ca="1">$E588*SUMIF(INDIRECT(R$3),'Struktur Aktuell'!$D588,INDIRECT(R$8))*IFERROR(IF(VLOOKUP('Struktur Aktuell'!$D588,INDIRECT(R$6),8,)="H",-1,1),0)</f>
        <v>0</v>
      </c>
      <c r="S588" s="593" t="e">
        <f ca="1">$E588*SUMIF(INDIRECT(S$3),'Struktur Aktuell'!$D588,INDIRECT(S$8))*IFERROR(IF(VLOOKUP('Struktur Aktuell'!$D588,INDIRECT(S$6),8,)="H",-1,1),0)</f>
        <v>#REF!</v>
      </c>
      <c r="T588" s="593" t="e">
        <f ca="1">$E588*SUMIF(INDIRECT(T$3),'Struktur Aktuell'!$D588,INDIRECT(T$8))*IFERROR(IF(VLOOKUP('Struktur Aktuell'!$D588,INDIRECT(T$6),8,)="H",-1,1),0)</f>
        <v>#REF!</v>
      </c>
      <c r="U588" s="593" t="e">
        <f ca="1">$E588*SUMIF(INDIRECT(U$3),'Struktur Aktuell'!$D588,INDIRECT(U$8))*IFERROR(IF(VLOOKUP('Struktur Aktuell'!$D588,INDIRECT(U$6),8,)="H",-1,1),0)</f>
        <v>#REF!</v>
      </c>
      <c r="V588" s="593" t="e">
        <f ca="1">$E588*SUMIF(INDIRECT(V$3),'Struktur Aktuell'!$D588,INDIRECT(V$8))*IFERROR(IF(VLOOKUP('Struktur Aktuell'!$D588,INDIRECT(V$6),8,)="H",-1,1),0)</f>
        <v>#REF!</v>
      </c>
      <c r="W588" s="593" t="e">
        <f ca="1">$E588*SUMIF(INDIRECT(W$3),'Struktur Aktuell'!$D588,INDIRECT(W$8))*IFERROR(IF(VLOOKUP('Struktur Aktuell'!$D588,INDIRECT(W$6),8,)="H",-1,1),0)</f>
        <v>#REF!</v>
      </c>
      <c r="X588" s="593" t="e">
        <f ca="1">$E588*SUMIF(INDIRECT(X$3),'Struktur Aktuell'!$D588,INDIRECT(X$8))*IFERROR(IF(VLOOKUP('Struktur Aktuell'!$D588,INDIRECT(X$6),8,)="H",-1,1),0)</f>
        <v>#REF!</v>
      </c>
      <c r="Y588" s="593" t="e">
        <f ca="1">$E588*SUMIF(INDIRECT(Y$3),'Struktur Aktuell'!$D588,INDIRECT(Y$8))*IFERROR(IF(VLOOKUP('Struktur Aktuell'!$D588,INDIRECT(Y$6),8,)="H",-1,1),0)</f>
        <v>#REF!</v>
      </c>
      <c r="Z588" s="593" t="e">
        <f ca="1">$E588*SUMIF(INDIRECT(Z$3),'Struktur Aktuell'!$D588,INDIRECT(Z$8))*IFERROR(IF(VLOOKUP('Struktur Aktuell'!$D588,INDIRECT(Z$6),8,)="H",-1,1),0)</f>
        <v>#REF!</v>
      </c>
      <c r="AA588" s="593" t="e">
        <f ca="1">$E588*SUMIF(INDIRECT(AA$3),'Struktur Aktuell'!$D588,INDIRECT(AA$8))*IFERROR(IF(VLOOKUP('Struktur Aktuell'!$D588,INDIRECT(AA$6),8,)="H",-1,1),0)</f>
        <v>#REF!</v>
      </c>
      <c r="AB588" s="593" t="e">
        <f ca="1">$E588*SUMIF(INDIRECT(AB$3),'Struktur Aktuell'!$D588,INDIRECT(AB$8))*IFERROR(IF(VLOOKUP('Struktur Aktuell'!$D588,INDIRECT(AB$6),8,)="H",-1,1),0)</f>
        <v>#REF!</v>
      </c>
      <c r="AC588" s="593" t="e">
        <f ca="1">$E588*SUMIF(INDIRECT(AC$3),'Struktur Aktuell'!$D588,INDIRECT(AC$8))*IFERROR(IF(VLOOKUP('Struktur Aktuell'!$D588,INDIRECT(AC$6),8,)="H",-1,1),0)</f>
        <v>#REF!</v>
      </c>
      <c r="AD588" s="593" t="e">
        <f ca="1">$E588*SUMIF(INDIRECT(AD$3),'Struktur Aktuell'!$D588,INDIRECT(AD$8))*IFERROR(IF(VLOOKUP('Struktur Aktuell'!$D588,INDIRECT(AD$6),8,)="H",-1,1),0)</f>
        <v>#REF!</v>
      </c>
      <c r="AE588" s="593">
        <f t="shared" ca="1" si="906"/>
        <v>0</v>
      </c>
      <c r="AF588" s="593">
        <f t="shared" ca="1" si="907"/>
        <v>0</v>
      </c>
      <c r="AG588" s="593">
        <f t="shared" ca="1" si="908"/>
        <v>0</v>
      </c>
      <c r="AH588" s="593">
        <f t="shared" ca="1" si="909"/>
        <v>0</v>
      </c>
      <c r="AI588" s="593">
        <f t="shared" ca="1" si="910"/>
        <v>0</v>
      </c>
      <c r="AJ588" s="593">
        <f t="shared" ca="1" si="911"/>
        <v>0</v>
      </c>
      <c r="AK588" s="593">
        <f t="shared" ca="1" si="912"/>
        <v>0</v>
      </c>
      <c r="AL588" s="593">
        <f t="shared" ca="1" si="913"/>
        <v>0</v>
      </c>
      <c r="AM588" s="593">
        <f t="shared" ca="1" si="914"/>
        <v>0</v>
      </c>
      <c r="AN588" s="593">
        <f t="shared" ca="1" si="915"/>
        <v>0</v>
      </c>
      <c r="AO588" s="593">
        <f t="shared" ca="1" si="916"/>
        <v>0</v>
      </c>
      <c r="AP588" s="593">
        <f t="shared" ca="1" si="917"/>
        <v>0</v>
      </c>
    </row>
    <row r="589" spans="1:42" s="594" customFormat="1" ht="11.25" x14ac:dyDescent="0.2">
      <c r="A589" s="644"/>
      <c r="B589" s="591" t="str">
        <f>IF(D589&lt;&gt;"",
IF(ISERROR(MATCH(D589,'Ist Aktuell Monat 01'!A:A,0))=FALSE,INDEX('Ist Aktuell Monat 01'!B:B,MATCH(D589,'Ist Aktuell Monat 01'!A:A,0)),
IF(ISERROR(MATCH(D589,'Ist Aktuell Monat 02'!A:A,0))=FALSE,INDEX('Ist Aktuell Monat 02'!B:B,MATCH(D589,'Ist Aktuell Monat 02'!A:A,0)),
IF(ISERROR(MATCH(D589,'Ist Aktuell Monat 03'!A:A,0))=FALSE,INDEX('Ist Aktuell Monat 03'!B:B,MATCH(D589,'Ist Aktuell Monat 03'!A:A,0)),
IF(ISERROR(MATCH(D589,'Ist Aktuell Monat 04'!A:A,0))=FALSE,INDEX('Ist Aktuell Monat 04'!B:B,MATCH(D589,'Ist Aktuell Monat 04'!A:A,0)),
IF(ISERROR(MATCH(D589,'Ist Aktuell Monat 05'!A:A,0))=FALSE,INDEX('Ist Aktuell Monat 05'!B:B,MATCH(D589,'Ist Aktuell Monat 05'!A:A,0)),
IF(ISERROR(MATCH(D589,'Ist Aktuell Monat 06'!A:A,0))=FALSE,INDEX('Ist Aktuell Monat 06'!B:B,MATCH(D589,'Ist Aktuell Monat 06'!A:A,0)),
IF(ISERROR(MATCH(D589,'Ist Aktuell Monat 07'!A:A,0))=FALSE,INDEX('Ist Aktuell Monat 07'!B:B,MATCH(D589,'Ist Aktuell Monat 07'!A:A,0)),
IF(ISERROR(MATCH(D589,'Ist Aktuell Monat 08'!A:A,0))=FALSE,INDEX('Ist Aktuell Monat 08'!B:B,MATCH(D589,'Ist Aktuell Monat 08'!A:A,0)),
IF(ISERROR(MATCH(D589,'Ist Aktuell Monat 09'!A:A,0))=FALSE,INDEX('Ist Aktuell Monat 09'!B:B,MATCH(D589,'Ist Aktuell Monat 09'!A:A,0)),
IF(ISERROR(MATCH(D589,'Ist Aktuell Monat 10'!A:A,0))=FALSE,INDEX('Ist Aktuell Monat 10'!B:B,MATCH(D589,'Ist Aktuell Monat 10'!A:A,0)),
IF(ISERROR(MATCH(D589,'Ist Aktuell Monat 11'!A:A,0))=FALSE,INDEX('Ist Aktuell Monat 11'!B:B,MATCH(D589,'Ist Aktuell Monat 11'!A:A,0)),
IF(ISERROR(MATCH(D589,'Ist Aktuell Monat 12'!A:A,0))=FALSE,INDEX('Ist Aktuell Monat 12'!B:B,MATCH(D589,'Ist Aktuell Monat 12'!A:A,0)),
"{Konto unbekannt}"
)))))))))))),"")</f>
        <v>{Konto unbekannt}</v>
      </c>
      <c r="C589" s="1062"/>
      <c r="D589" s="1067">
        <v>1545</v>
      </c>
      <c r="E589" s="625">
        <f t="shared" si="727"/>
        <v>-1</v>
      </c>
      <c r="F589" s="626" t="s">
        <v>996</v>
      </c>
      <c r="G589" s="593">
        <f ca="1">$E589*SUMIF(INDIRECT(G$3),'Struktur Aktuell'!$D589,INDIRECT(G$8))*IFERROR(IF(VLOOKUP('Struktur Aktuell'!$D589,INDIRECT(G$6),8,)="H",-1,1),0)</f>
        <v>0</v>
      </c>
      <c r="H589" s="593">
        <f ca="1">$E589*SUMIF(INDIRECT(H$3),'Struktur Aktuell'!$D589,INDIRECT(H$8))*IFERROR(IF(VLOOKUP('Struktur Aktuell'!$D589,INDIRECT(H$6),8,)="H",-1,1),0)</f>
        <v>0</v>
      </c>
      <c r="I589" s="593">
        <f ca="1">$E589*SUMIF(INDIRECT(I$3),'Struktur Aktuell'!$D589,INDIRECT(I$8))*IFERROR(IF(VLOOKUP('Struktur Aktuell'!$D589,INDIRECT(I$6),8,)="H",-1,1),0)</f>
        <v>0</v>
      </c>
      <c r="J589" s="593">
        <f ca="1">$E589*SUMIF(INDIRECT(J$3),'Struktur Aktuell'!$D589,INDIRECT(J$8))*IFERROR(IF(VLOOKUP('Struktur Aktuell'!$D589,INDIRECT(J$6),8,)="H",-1,1),0)</f>
        <v>0</v>
      </c>
      <c r="K589" s="593">
        <f ca="1">$E589*SUMIF(INDIRECT(K$3),'Struktur Aktuell'!$D589,INDIRECT(K$8))*IFERROR(IF(VLOOKUP('Struktur Aktuell'!$D589,INDIRECT(K$6),8,)="H",-1,1),0)</f>
        <v>0</v>
      </c>
      <c r="L589" s="593">
        <f ca="1">$E589*SUMIF(INDIRECT(L$3),'Struktur Aktuell'!$D589,INDIRECT(L$8))*IFERROR(IF(VLOOKUP('Struktur Aktuell'!$D589,INDIRECT(L$6),8,)="H",-1,1),0)</f>
        <v>0</v>
      </c>
      <c r="M589" s="593">
        <f ca="1">$E589*SUMIF(INDIRECT(M$3),'Struktur Aktuell'!$D589,INDIRECT(M$8))*IFERROR(IF(VLOOKUP('Struktur Aktuell'!$D589,INDIRECT(M$6),8,)="H",-1,1),0)</f>
        <v>0</v>
      </c>
      <c r="N589" s="593">
        <f ca="1">$E589*SUMIF(INDIRECT(N$3),'Struktur Aktuell'!$D589,INDIRECT(N$8))*IFERROR(IF(VLOOKUP('Struktur Aktuell'!$D589,INDIRECT(N$6),8,)="H",-1,1),0)</f>
        <v>0</v>
      </c>
      <c r="O589" s="593">
        <f ca="1">$E589*SUMIF(INDIRECT(O$3),'Struktur Aktuell'!$D589,INDIRECT(O$8))*IFERROR(IF(VLOOKUP('Struktur Aktuell'!$D589,INDIRECT(O$6),8,)="H",-1,1),0)</f>
        <v>0</v>
      </c>
      <c r="P589" s="593">
        <f ca="1">$E589*SUMIF(INDIRECT(P$3),'Struktur Aktuell'!$D589,INDIRECT(P$8))*IFERROR(IF(VLOOKUP('Struktur Aktuell'!$D589,INDIRECT(P$6),8,)="H",-1,1),0)</f>
        <v>0</v>
      </c>
      <c r="Q589" s="593">
        <f ca="1">$E589*SUMIF(INDIRECT(Q$3),'Struktur Aktuell'!$D589,INDIRECT(Q$8))*IFERROR(IF(VLOOKUP('Struktur Aktuell'!$D589,INDIRECT(Q$6),8,)="H",-1,1),0)</f>
        <v>0</v>
      </c>
      <c r="R589" s="593">
        <f ca="1">$E589*SUMIF(INDIRECT(R$3),'Struktur Aktuell'!$D589,INDIRECT(R$8))*IFERROR(IF(VLOOKUP('Struktur Aktuell'!$D589,INDIRECT(R$6),8,)="H",-1,1),0)</f>
        <v>0</v>
      </c>
      <c r="S589" s="593" t="e">
        <f ca="1">$E589*SUMIF(INDIRECT(S$3),'Struktur Aktuell'!$D589,INDIRECT(S$8))*IFERROR(IF(VLOOKUP('Struktur Aktuell'!$D589,INDIRECT(S$6),8,)="H",-1,1),0)</f>
        <v>#REF!</v>
      </c>
      <c r="T589" s="593" t="e">
        <f ca="1">$E589*SUMIF(INDIRECT(T$3),'Struktur Aktuell'!$D589,INDIRECT(T$8))*IFERROR(IF(VLOOKUP('Struktur Aktuell'!$D589,INDIRECT(T$6),8,)="H",-1,1),0)</f>
        <v>#REF!</v>
      </c>
      <c r="U589" s="593" t="e">
        <f ca="1">$E589*SUMIF(INDIRECT(U$3),'Struktur Aktuell'!$D589,INDIRECT(U$8))*IFERROR(IF(VLOOKUP('Struktur Aktuell'!$D589,INDIRECT(U$6),8,)="H",-1,1),0)</f>
        <v>#REF!</v>
      </c>
      <c r="V589" s="593" t="e">
        <f ca="1">$E589*SUMIF(INDIRECT(V$3),'Struktur Aktuell'!$D589,INDIRECT(V$8))*IFERROR(IF(VLOOKUP('Struktur Aktuell'!$D589,INDIRECT(V$6),8,)="H",-1,1),0)</f>
        <v>#REF!</v>
      </c>
      <c r="W589" s="593" t="e">
        <f ca="1">$E589*SUMIF(INDIRECT(W$3),'Struktur Aktuell'!$D589,INDIRECT(W$8))*IFERROR(IF(VLOOKUP('Struktur Aktuell'!$D589,INDIRECT(W$6),8,)="H",-1,1),0)</f>
        <v>#REF!</v>
      </c>
      <c r="X589" s="593" t="e">
        <f ca="1">$E589*SUMIF(INDIRECT(X$3),'Struktur Aktuell'!$D589,INDIRECT(X$8))*IFERROR(IF(VLOOKUP('Struktur Aktuell'!$D589,INDIRECT(X$6),8,)="H",-1,1),0)</f>
        <v>#REF!</v>
      </c>
      <c r="Y589" s="593" t="e">
        <f ca="1">$E589*SUMIF(INDIRECT(Y$3),'Struktur Aktuell'!$D589,INDIRECT(Y$8))*IFERROR(IF(VLOOKUP('Struktur Aktuell'!$D589,INDIRECT(Y$6),8,)="H",-1,1),0)</f>
        <v>#REF!</v>
      </c>
      <c r="Z589" s="593" t="e">
        <f ca="1">$E589*SUMIF(INDIRECT(Z$3),'Struktur Aktuell'!$D589,INDIRECT(Z$8))*IFERROR(IF(VLOOKUP('Struktur Aktuell'!$D589,INDIRECT(Z$6),8,)="H",-1,1),0)</f>
        <v>#REF!</v>
      </c>
      <c r="AA589" s="593" t="e">
        <f ca="1">$E589*SUMIF(INDIRECT(AA$3),'Struktur Aktuell'!$D589,INDIRECT(AA$8))*IFERROR(IF(VLOOKUP('Struktur Aktuell'!$D589,INDIRECT(AA$6),8,)="H",-1,1),0)</f>
        <v>#REF!</v>
      </c>
      <c r="AB589" s="593" t="e">
        <f ca="1">$E589*SUMIF(INDIRECT(AB$3),'Struktur Aktuell'!$D589,INDIRECT(AB$8))*IFERROR(IF(VLOOKUP('Struktur Aktuell'!$D589,INDIRECT(AB$6),8,)="H",-1,1),0)</f>
        <v>#REF!</v>
      </c>
      <c r="AC589" s="593" t="e">
        <f ca="1">$E589*SUMIF(INDIRECT(AC$3),'Struktur Aktuell'!$D589,INDIRECT(AC$8))*IFERROR(IF(VLOOKUP('Struktur Aktuell'!$D589,INDIRECT(AC$6),8,)="H",-1,1),0)</f>
        <v>#REF!</v>
      </c>
      <c r="AD589" s="593" t="e">
        <f ca="1">$E589*SUMIF(INDIRECT(AD$3),'Struktur Aktuell'!$D589,INDIRECT(AD$8))*IFERROR(IF(VLOOKUP('Struktur Aktuell'!$D589,INDIRECT(AD$6),8,)="H",-1,1),0)</f>
        <v>#REF!</v>
      </c>
      <c r="AE589" s="593">
        <f t="shared" ca="1" si="906"/>
        <v>0</v>
      </c>
      <c r="AF589" s="593">
        <f t="shared" ca="1" si="907"/>
        <v>0</v>
      </c>
      <c r="AG589" s="593">
        <f t="shared" ca="1" si="908"/>
        <v>0</v>
      </c>
      <c r="AH589" s="593">
        <f t="shared" ca="1" si="909"/>
        <v>0</v>
      </c>
      <c r="AI589" s="593">
        <f t="shared" ca="1" si="910"/>
        <v>0</v>
      </c>
      <c r="AJ589" s="593">
        <f t="shared" ca="1" si="911"/>
        <v>0</v>
      </c>
      <c r="AK589" s="593">
        <f t="shared" ca="1" si="912"/>
        <v>0</v>
      </c>
      <c r="AL589" s="593">
        <f t="shared" ca="1" si="913"/>
        <v>0</v>
      </c>
      <c r="AM589" s="593">
        <f t="shared" ca="1" si="914"/>
        <v>0</v>
      </c>
      <c r="AN589" s="593">
        <f t="shared" ca="1" si="915"/>
        <v>0</v>
      </c>
      <c r="AO589" s="593">
        <f t="shared" ca="1" si="916"/>
        <v>0</v>
      </c>
      <c r="AP589" s="593">
        <f t="shared" ca="1" si="917"/>
        <v>0</v>
      </c>
    </row>
    <row r="590" spans="1:42" s="594" customFormat="1" ht="11.25" x14ac:dyDescent="0.2">
      <c r="A590" s="644"/>
      <c r="B590" s="591" t="str">
        <f>IF(D590&lt;&gt;"",
IF(ISERROR(MATCH(D590,'Ist Aktuell Monat 01'!A:A,0))=FALSE,INDEX('Ist Aktuell Monat 01'!B:B,MATCH(D590,'Ist Aktuell Monat 01'!A:A,0)),
IF(ISERROR(MATCH(D590,'Ist Aktuell Monat 02'!A:A,0))=FALSE,INDEX('Ist Aktuell Monat 02'!B:B,MATCH(D590,'Ist Aktuell Monat 02'!A:A,0)),
IF(ISERROR(MATCH(D590,'Ist Aktuell Monat 03'!A:A,0))=FALSE,INDEX('Ist Aktuell Monat 03'!B:B,MATCH(D590,'Ist Aktuell Monat 03'!A:A,0)),
IF(ISERROR(MATCH(D590,'Ist Aktuell Monat 04'!A:A,0))=FALSE,INDEX('Ist Aktuell Monat 04'!B:B,MATCH(D590,'Ist Aktuell Monat 04'!A:A,0)),
IF(ISERROR(MATCH(D590,'Ist Aktuell Monat 05'!A:A,0))=FALSE,INDEX('Ist Aktuell Monat 05'!B:B,MATCH(D590,'Ist Aktuell Monat 05'!A:A,0)),
IF(ISERROR(MATCH(D590,'Ist Aktuell Monat 06'!A:A,0))=FALSE,INDEX('Ist Aktuell Monat 06'!B:B,MATCH(D590,'Ist Aktuell Monat 06'!A:A,0)),
IF(ISERROR(MATCH(D590,'Ist Aktuell Monat 07'!A:A,0))=FALSE,INDEX('Ist Aktuell Monat 07'!B:B,MATCH(D590,'Ist Aktuell Monat 07'!A:A,0)),
IF(ISERROR(MATCH(D590,'Ist Aktuell Monat 08'!A:A,0))=FALSE,INDEX('Ist Aktuell Monat 08'!B:B,MATCH(D590,'Ist Aktuell Monat 08'!A:A,0)),
IF(ISERROR(MATCH(D590,'Ist Aktuell Monat 09'!A:A,0))=FALSE,INDEX('Ist Aktuell Monat 09'!B:B,MATCH(D590,'Ist Aktuell Monat 09'!A:A,0)),
IF(ISERROR(MATCH(D590,'Ist Aktuell Monat 10'!A:A,0))=FALSE,INDEX('Ist Aktuell Monat 10'!B:B,MATCH(D590,'Ist Aktuell Monat 10'!A:A,0)),
IF(ISERROR(MATCH(D590,'Ist Aktuell Monat 11'!A:A,0))=FALSE,INDEX('Ist Aktuell Monat 11'!B:B,MATCH(D590,'Ist Aktuell Monat 11'!A:A,0)),
IF(ISERROR(MATCH(D590,'Ist Aktuell Monat 12'!A:A,0))=FALSE,INDEX('Ist Aktuell Monat 12'!B:B,MATCH(D590,'Ist Aktuell Monat 12'!A:A,0)),
"{Konto unbekannt}"
)))))))))))),"")</f>
        <v>Umsatzsteuer aus EU-Erwerb 19%</v>
      </c>
      <c r="C590" s="1062"/>
      <c r="D590" s="1067">
        <v>1774</v>
      </c>
      <c r="E590" s="625">
        <f t="shared" si="727"/>
        <v>-1</v>
      </c>
      <c r="F590" s="626" t="s">
        <v>996</v>
      </c>
      <c r="G590" s="593">
        <f ca="1">$E590*SUMIF(INDIRECT(G$3),'Struktur Aktuell'!$D590,INDIRECT(G$8))*IFERROR(IF(VLOOKUP('Struktur Aktuell'!$D590,INDIRECT(G$6),8,)="H",-1,1),0)</f>
        <v>0</v>
      </c>
      <c r="H590" s="593">
        <f ca="1">$E590*SUMIF(INDIRECT(H$3),'Struktur Aktuell'!$D590,INDIRECT(H$8))*IFERROR(IF(VLOOKUP('Struktur Aktuell'!$D590,INDIRECT(H$6),8,)="H",-1,1),0)</f>
        <v>0</v>
      </c>
      <c r="I590" s="593">
        <f ca="1">$E590*SUMIF(INDIRECT(I$3),'Struktur Aktuell'!$D590,INDIRECT(I$8))*IFERROR(IF(VLOOKUP('Struktur Aktuell'!$D590,INDIRECT(I$6),8,)="H",-1,1),0)</f>
        <v>0</v>
      </c>
      <c r="J590" s="593">
        <f ca="1">$E590*SUMIF(INDIRECT(J$3),'Struktur Aktuell'!$D590,INDIRECT(J$8))*IFERROR(IF(VLOOKUP('Struktur Aktuell'!$D590,INDIRECT(J$6),8,)="H",-1,1),0)</f>
        <v>0</v>
      </c>
      <c r="K590" s="593">
        <f ca="1">$E590*SUMIF(INDIRECT(K$3),'Struktur Aktuell'!$D590,INDIRECT(K$8))*IFERROR(IF(VLOOKUP('Struktur Aktuell'!$D590,INDIRECT(K$6),8,)="H",-1,1),0)</f>
        <v>0</v>
      </c>
      <c r="L590" s="593">
        <f ca="1">$E590*SUMIF(INDIRECT(L$3),'Struktur Aktuell'!$D590,INDIRECT(L$8))*IFERROR(IF(VLOOKUP('Struktur Aktuell'!$D590,INDIRECT(L$6),8,)="H",-1,1),0)</f>
        <v>0</v>
      </c>
      <c r="M590" s="593">
        <f ca="1">$E590*SUMIF(INDIRECT(M$3),'Struktur Aktuell'!$D590,INDIRECT(M$8))*IFERROR(IF(VLOOKUP('Struktur Aktuell'!$D590,INDIRECT(M$6),8,)="H",-1,1),0)</f>
        <v>0</v>
      </c>
      <c r="N590" s="593">
        <f ca="1">$E590*SUMIF(INDIRECT(N$3),'Struktur Aktuell'!$D590,INDIRECT(N$8))*IFERROR(IF(VLOOKUP('Struktur Aktuell'!$D590,INDIRECT(N$6),8,)="H",-1,1),0)</f>
        <v>0</v>
      </c>
      <c r="O590" s="593">
        <f ca="1">$E590*SUMIF(INDIRECT(O$3),'Struktur Aktuell'!$D590,INDIRECT(O$8))*IFERROR(IF(VLOOKUP('Struktur Aktuell'!$D590,INDIRECT(O$6),8,)="H",-1,1),0)</f>
        <v>0</v>
      </c>
      <c r="P590" s="593">
        <f ca="1">$E590*SUMIF(INDIRECT(P$3),'Struktur Aktuell'!$D590,INDIRECT(P$8))*IFERROR(IF(VLOOKUP('Struktur Aktuell'!$D590,INDIRECT(P$6),8,)="H",-1,1),0)</f>
        <v>0</v>
      </c>
      <c r="Q590" s="593">
        <f ca="1">$E590*SUMIF(INDIRECT(Q$3),'Struktur Aktuell'!$D590,INDIRECT(Q$8))*IFERROR(IF(VLOOKUP('Struktur Aktuell'!$D590,INDIRECT(Q$6),8,)="H",-1,1),0)</f>
        <v>0</v>
      </c>
      <c r="R590" s="593">
        <f ca="1">$E590*SUMIF(INDIRECT(R$3),'Struktur Aktuell'!$D590,INDIRECT(R$8))*IFERROR(IF(VLOOKUP('Struktur Aktuell'!$D590,INDIRECT(R$6),8,)="H",-1,1),0)</f>
        <v>0</v>
      </c>
      <c r="S590" s="593" t="e">
        <f ca="1">$E590*SUMIF(INDIRECT(S$3),'Struktur Aktuell'!$D590,INDIRECT(S$8))*IFERROR(IF(VLOOKUP('Struktur Aktuell'!$D590,INDIRECT(S$6),8,)="H",-1,1),0)</f>
        <v>#REF!</v>
      </c>
      <c r="T590" s="593" t="e">
        <f ca="1">$E590*SUMIF(INDIRECT(T$3),'Struktur Aktuell'!$D590,INDIRECT(T$8))*IFERROR(IF(VLOOKUP('Struktur Aktuell'!$D590,INDIRECT(T$6),8,)="H",-1,1),0)</f>
        <v>#REF!</v>
      </c>
      <c r="U590" s="593" t="e">
        <f ca="1">$E590*SUMIF(INDIRECT(U$3),'Struktur Aktuell'!$D590,INDIRECT(U$8))*IFERROR(IF(VLOOKUP('Struktur Aktuell'!$D590,INDIRECT(U$6),8,)="H",-1,1),0)</f>
        <v>#REF!</v>
      </c>
      <c r="V590" s="593" t="e">
        <f ca="1">$E590*SUMIF(INDIRECT(V$3),'Struktur Aktuell'!$D590,INDIRECT(V$8))*IFERROR(IF(VLOOKUP('Struktur Aktuell'!$D590,INDIRECT(V$6),8,)="H",-1,1),0)</f>
        <v>#REF!</v>
      </c>
      <c r="W590" s="593" t="e">
        <f ca="1">$E590*SUMIF(INDIRECT(W$3),'Struktur Aktuell'!$D590,INDIRECT(W$8))*IFERROR(IF(VLOOKUP('Struktur Aktuell'!$D590,INDIRECT(W$6),8,)="H",-1,1),0)</f>
        <v>#REF!</v>
      </c>
      <c r="X590" s="593" t="e">
        <f ca="1">$E590*SUMIF(INDIRECT(X$3),'Struktur Aktuell'!$D590,INDIRECT(X$8))*IFERROR(IF(VLOOKUP('Struktur Aktuell'!$D590,INDIRECT(X$6),8,)="H",-1,1),0)</f>
        <v>#REF!</v>
      </c>
      <c r="Y590" s="593" t="e">
        <f ca="1">$E590*SUMIF(INDIRECT(Y$3),'Struktur Aktuell'!$D590,INDIRECT(Y$8))*IFERROR(IF(VLOOKUP('Struktur Aktuell'!$D590,INDIRECT(Y$6),8,)="H",-1,1),0)</f>
        <v>#REF!</v>
      </c>
      <c r="Z590" s="593" t="e">
        <f ca="1">$E590*SUMIF(INDIRECT(Z$3),'Struktur Aktuell'!$D590,INDIRECT(Z$8))*IFERROR(IF(VLOOKUP('Struktur Aktuell'!$D590,INDIRECT(Z$6),8,)="H",-1,1),0)</f>
        <v>#REF!</v>
      </c>
      <c r="AA590" s="593" t="e">
        <f ca="1">$E590*SUMIF(INDIRECT(AA$3),'Struktur Aktuell'!$D590,INDIRECT(AA$8))*IFERROR(IF(VLOOKUP('Struktur Aktuell'!$D590,INDIRECT(AA$6),8,)="H",-1,1),0)</f>
        <v>#REF!</v>
      </c>
      <c r="AB590" s="593" t="e">
        <f ca="1">$E590*SUMIF(INDIRECT(AB$3),'Struktur Aktuell'!$D590,INDIRECT(AB$8))*IFERROR(IF(VLOOKUP('Struktur Aktuell'!$D590,INDIRECT(AB$6),8,)="H",-1,1),0)</f>
        <v>#REF!</v>
      </c>
      <c r="AC590" s="593" t="e">
        <f ca="1">$E590*SUMIF(INDIRECT(AC$3),'Struktur Aktuell'!$D590,INDIRECT(AC$8))*IFERROR(IF(VLOOKUP('Struktur Aktuell'!$D590,INDIRECT(AC$6),8,)="H",-1,1),0)</f>
        <v>#REF!</v>
      </c>
      <c r="AD590" s="593" t="e">
        <f ca="1">$E590*SUMIF(INDIRECT(AD$3),'Struktur Aktuell'!$D590,INDIRECT(AD$8))*IFERROR(IF(VLOOKUP('Struktur Aktuell'!$D590,INDIRECT(AD$6),8,)="H",-1,1),0)</f>
        <v>#REF!</v>
      </c>
      <c r="AE590" s="593">
        <f t="shared" ca="1" si="906"/>
        <v>0</v>
      </c>
      <c r="AF590" s="593">
        <f t="shared" ca="1" si="907"/>
        <v>0</v>
      </c>
      <c r="AG590" s="593">
        <f t="shared" ca="1" si="908"/>
        <v>0</v>
      </c>
      <c r="AH590" s="593">
        <f t="shared" ca="1" si="909"/>
        <v>0</v>
      </c>
      <c r="AI590" s="593">
        <f t="shared" ca="1" si="910"/>
        <v>0</v>
      </c>
      <c r="AJ590" s="593">
        <f t="shared" ca="1" si="911"/>
        <v>0</v>
      </c>
      <c r="AK590" s="593">
        <f t="shared" ca="1" si="912"/>
        <v>0</v>
      </c>
      <c r="AL590" s="593">
        <f t="shared" ca="1" si="913"/>
        <v>0</v>
      </c>
      <c r="AM590" s="593">
        <f t="shared" ca="1" si="914"/>
        <v>0</v>
      </c>
      <c r="AN590" s="593">
        <f t="shared" ca="1" si="915"/>
        <v>0</v>
      </c>
      <c r="AO590" s="593">
        <f t="shared" ca="1" si="916"/>
        <v>0</v>
      </c>
      <c r="AP590" s="593">
        <f t="shared" ca="1" si="917"/>
        <v>0</v>
      </c>
    </row>
    <row r="591" spans="1:42" s="594" customFormat="1" ht="11.25" x14ac:dyDescent="0.2">
      <c r="A591" s="644"/>
      <c r="B591" s="591" t="str">
        <f>IF(D591&lt;&gt;"",
IF(ISERROR(MATCH(D591,'Ist Aktuell Monat 01'!A:A,0))=FALSE,INDEX('Ist Aktuell Monat 01'!B:B,MATCH(D591,'Ist Aktuell Monat 01'!A:A,0)),
IF(ISERROR(MATCH(D591,'Ist Aktuell Monat 02'!A:A,0))=FALSE,INDEX('Ist Aktuell Monat 02'!B:B,MATCH(D591,'Ist Aktuell Monat 02'!A:A,0)),
IF(ISERROR(MATCH(D591,'Ist Aktuell Monat 03'!A:A,0))=FALSE,INDEX('Ist Aktuell Monat 03'!B:B,MATCH(D591,'Ist Aktuell Monat 03'!A:A,0)),
IF(ISERROR(MATCH(D591,'Ist Aktuell Monat 04'!A:A,0))=FALSE,INDEX('Ist Aktuell Monat 04'!B:B,MATCH(D591,'Ist Aktuell Monat 04'!A:A,0)),
IF(ISERROR(MATCH(D591,'Ist Aktuell Monat 05'!A:A,0))=FALSE,INDEX('Ist Aktuell Monat 05'!B:B,MATCH(D591,'Ist Aktuell Monat 05'!A:A,0)),
IF(ISERROR(MATCH(D591,'Ist Aktuell Monat 06'!A:A,0))=FALSE,INDEX('Ist Aktuell Monat 06'!B:B,MATCH(D591,'Ist Aktuell Monat 06'!A:A,0)),
IF(ISERROR(MATCH(D591,'Ist Aktuell Monat 07'!A:A,0))=FALSE,INDEX('Ist Aktuell Monat 07'!B:B,MATCH(D591,'Ist Aktuell Monat 07'!A:A,0)),
IF(ISERROR(MATCH(D591,'Ist Aktuell Monat 08'!A:A,0))=FALSE,INDEX('Ist Aktuell Monat 08'!B:B,MATCH(D591,'Ist Aktuell Monat 08'!A:A,0)),
IF(ISERROR(MATCH(D591,'Ist Aktuell Monat 09'!A:A,0))=FALSE,INDEX('Ist Aktuell Monat 09'!B:B,MATCH(D591,'Ist Aktuell Monat 09'!A:A,0)),
IF(ISERROR(MATCH(D591,'Ist Aktuell Monat 10'!A:A,0))=FALSE,INDEX('Ist Aktuell Monat 10'!B:B,MATCH(D591,'Ist Aktuell Monat 10'!A:A,0)),
IF(ISERROR(MATCH(D591,'Ist Aktuell Monat 11'!A:A,0))=FALSE,INDEX('Ist Aktuell Monat 11'!B:B,MATCH(D591,'Ist Aktuell Monat 11'!A:A,0)),
IF(ISERROR(MATCH(D591,'Ist Aktuell Monat 12'!A:A,0))=FALSE,INDEX('Ist Aktuell Monat 12'!B:B,MATCH(D591,'Ist Aktuell Monat 12'!A:A,0)),
"{Konto unbekannt}"
)))))))))))),"")</f>
        <v>Umsatzsteuer 19%</v>
      </c>
      <c r="C591" s="1062"/>
      <c r="D591" s="1067">
        <v>1776</v>
      </c>
      <c r="E591" s="625">
        <f t="shared" si="727"/>
        <v>-1</v>
      </c>
      <c r="F591" s="626" t="s">
        <v>996</v>
      </c>
      <c r="G591" s="593">
        <f ca="1">$E591*SUMIF(INDIRECT(G$3),'Struktur Aktuell'!$D591,INDIRECT(G$8))*IFERROR(IF(VLOOKUP('Struktur Aktuell'!$D591,INDIRECT(G$6),8,)="H",-1,1),0)</f>
        <v>0</v>
      </c>
      <c r="H591" s="593">
        <f ca="1">$E591*SUMIF(INDIRECT(H$3),'Struktur Aktuell'!$D591,INDIRECT(H$8))*IFERROR(IF(VLOOKUP('Struktur Aktuell'!$D591,INDIRECT(H$6),8,)="H",-1,1),0)</f>
        <v>0</v>
      </c>
      <c r="I591" s="593">
        <f ca="1">$E591*SUMIF(INDIRECT(I$3),'Struktur Aktuell'!$D591,INDIRECT(I$8))*IFERROR(IF(VLOOKUP('Struktur Aktuell'!$D591,INDIRECT(I$6),8,)="H",-1,1),0)</f>
        <v>0</v>
      </c>
      <c r="J591" s="593">
        <f ca="1">$E591*SUMIF(INDIRECT(J$3),'Struktur Aktuell'!$D591,INDIRECT(J$8))*IFERROR(IF(VLOOKUP('Struktur Aktuell'!$D591,INDIRECT(J$6),8,)="H",-1,1),0)</f>
        <v>0</v>
      </c>
      <c r="K591" s="593">
        <f ca="1">$E591*SUMIF(INDIRECT(K$3),'Struktur Aktuell'!$D591,INDIRECT(K$8))*IFERROR(IF(VLOOKUP('Struktur Aktuell'!$D591,INDIRECT(K$6),8,)="H",-1,1),0)</f>
        <v>0</v>
      </c>
      <c r="L591" s="593">
        <f ca="1">$E591*SUMIF(INDIRECT(L$3),'Struktur Aktuell'!$D591,INDIRECT(L$8))*IFERROR(IF(VLOOKUP('Struktur Aktuell'!$D591,INDIRECT(L$6),8,)="H",-1,1),0)</f>
        <v>0</v>
      </c>
      <c r="M591" s="593">
        <f ca="1">$E591*SUMIF(INDIRECT(M$3),'Struktur Aktuell'!$D591,INDIRECT(M$8))*IFERROR(IF(VLOOKUP('Struktur Aktuell'!$D591,INDIRECT(M$6),8,)="H",-1,1),0)</f>
        <v>0</v>
      </c>
      <c r="N591" s="593">
        <f ca="1">$E591*SUMIF(INDIRECT(N$3),'Struktur Aktuell'!$D591,INDIRECT(N$8))*IFERROR(IF(VLOOKUP('Struktur Aktuell'!$D591,INDIRECT(N$6),8,)="H",-1,1),0)</f>
        <v>0</v>
      </c>
      <c r="O591" s="593">
        <f ca="1">$E591*SUMIF(INDIRECT(O$3),'Struktur Aktuell'!$D591,INDIRECT(O$8))*IFERROR(IF(VLOOKUP('Struktur Aktuell'!$D591,INDIRECT(O$6),8,)="H",-1,1),0)</f>
        <v>0</v>
      </c>
      <c r="P591" s="593">
        <f ca="1">$E591*SUMIF(INDIRECT(P$3),'Struktur Aktuell'!$D591,INDIRECT(P$8))*IFERROR(IF(VLOOKUP('Struktur Aktuell'!$D591,INDIRECT(P$6),8,)="H",-1,1),0)</f>
        <v>0</v>
      </c>
      <c r="Q591" s="593">
        <f ca="1">$E591*SUMIF(INDIRECT(Q$3),'Struktur Aktuell'!$D591,INDIRECT(Q$8))*IFERROR(IF(VLOOKUP('Struktur Aktuell'!$D591,INDIRECT(Q$6),8,)="H",-1,1),0)</f>
        <v>0</v>
      </c>
      <c r="R591" s="593">
        <f ca="1">$E591*SUMIF(INDIRECT(R$3),'Struktur Aktuell'!$D591,INDIRECT(R$8))*IFERROR(IF(VLOOKUP('Struktur Aktuell'!$D591,INDIRECT(R$6),8,)="H",-1,1),0)</f>
        <v>0</v>
      </c>
      <c r="S591" s="593" t="e">
        <f ca="1">$E591*SUMIF(INDIRECT(S$3),'Struktur Aktuell'!$D591,INDIRECT(S$8))*IFERROR(IF(VLOOKUP('Struktur Aktuell'!$D591,INDIRECT(S$6),8,)="H",-1,1),0)</f>
        <v>#REF!</v>
      </c>
      <c r="T591" s="593" t="e">
        <f ca="1">$E591*SUMIF(INDIRECT(T$3),'Struktur Aktuell'!$D591,INDIRECT(T$8))*IFERROR(IF(VLOOKUP('Struktur Aktuell'!$D591,INDIRECT(T$6),8,)="H",-1,1),0)</f>
        <v>#REF!</v>
      </c>
      <c r="U591" s="593" t="e">
        <f ca="1">$E591*SUMIF(INDIRECT(U$3),'Struktur Aktuell'!$D591,INDIRECT(U$8))*IFERROR(IF(VLOOKUP('Struktur Aktuell'!$D591,INDIRECT(U$6),8,)="H",-1,1),0)</f>
        <v>#REF!</v>
      </c>
      <c r="V591" s="593" t="e">
        <f ca="1">$E591*SUMIF(INDIRECT(V$3),'Struktur Aktuell'!$D591,INDIRECT(V$8))*IFERROR(IF(VLOOKUP('Struktur Aktuell'!$D591,INDIRECT(V$6),8,)="H",-1,1),0)</f>
        <v>#REF!</v>
      </c>
      <c r="W591" s="593" t="e">
        <f ca="1">$E591*SUMIF(INDIRECT(W$3),'Struktur Aktuell'!$D591,INDIRECT(W$8))*IFERROR(IF(VLOOKUP('Struktur Aktuell'!$D591,INDIRECT(W$6),8,)="H",-1,1),0)</f>
        <v>#REF!</v>
      </c>
      <c r="X591" s="593" t="e">
        <f ca="1">$E591*SUMIF(INDIRECT(X$3),'Struktur Aktuell'!$D591,INDIRECT(X$8))*IFERROR(IF(VLOOKUP('Struktur Aktuell'!$D591,INDIRECT(X$6),8,)="H",-1,1),0)</f>
        <v>#REF!</v>
      </c>
      <c r="Y591" s="593" t="e">
        <f ca="1">$E591*SUMIF(INDIRECT(Y$3),'Struktur Aktuell'!$D591,INDIRECT(Y$8))*IFERROR(IF(VLOOKUP('Struktur Aktuell'!$D591,INDIRECT(Y$6),8,)="H",-1,1),0)</f>
        <v>#REF!</v>
      </c>
      <c r="Z591" s="593" t="e">
        <f ca="1">$E591*SUMIF(INDIRECT(Z$3),'Struktur Aktuell'!$D591,INDIRECT(Z$8))*IFERROR(IF(VLOOKUP('Struktur Aktuell'!$D591,INDIRECT(Z$6),8,)="H",-1,1),0)</f>
        <v>#REF!</v>
      </c>
      <c r="AA591" s="593" t="e">
        <f ca="1">$E591*SUMIF(INDIRECT(AA$3),'Struktur Aktuell'!$D591,INDIRECT(AA$8))*IFERROR(IF(VLOOKUP('Struktur Aktuell'!$D591,INDIRECT(AA$6),8,)="H",-1,1),0)</f>
        <v>#REF!</v>
      </c>
      <c r="AB591" s="593" t="e">
        <f ca="1">$E591*SUMIF(INDIRECT(AB$3),'Struktur Aktuell'!$D591,INDIRECT(AB$8))*IFERROR(IF(VLOOKUP('Struktur Aktuell'!$D591,INDIRECT(AB$6),8,)="H",-1,1),0)</f>
        <v>#REF!</v>
      </c>
      <c r="AC591" s="593" t="e">
        <f ca="1">$E591*SUMIF(INDIRECT(AC$3),'Struktur Aktuell'!$D591,INDIRECT(AC$8))*IFERROR(IF(VLOOKUP('Struktur Aktuell'!$D591,INDIRECT(AC$6),8,)="H",-1,1),0)</f>
        <v>#REF!</v>
      </c>
      <c r="AD591" s="593" t="e">
        <f ca="1">$E591*SUMIF(INDIRECT(AD$3),'Struktur Aktuell'!$D591,INDIRECT(AD$8))*IFERROR(IF(VLOOKUP('Struktur Aktuell'!$D591,INDIRECT(AD$6),8,)="H",-1,1),0)</f>
        <v>#REF!</v>
      </c>
      <c r="AE591" s="593">
        <f t="shared" ca="1" si="906"/>
        <v>0</v>
      </c>
      <c r="AF591" s="593">
        <f t="shared" ca="1" si="907"/>
        <v>0</v>
      </c>
      <c r="AG591" s="593">
        <f t="shared" ca="1" si="908"/>
        <v>0</v>
      </c>
      <c r="AH591" s="593">
        <f t="shared" ca="1" si="909"/>
        <v>0</v>
      </c>
      <c r="AI591" s="593">
        <f t="shared" ca="1" si="910"/>
        <v>0</v>
      </c>
      <c r="AJ591" s="593">
        <f t="shared" ca="1" si="911"/>
        <v>0</v>
      </c>
      <c r="AK591" s="593">
        <f t="shared" ca="1" si="912"/>
        <v>0</v>
      </c>
      <c r="AL591" s="593">
        <f t="shared" ca="1" si="913"/>
        <v>0</v>
      </c>
      <c r="AM591" s="593">
        <f t="shared" ca="1" si="914"/>
        <v>0</v>
      </c>
      <c r="AN591" s="593">
        <f t="shared" ca="1" si="915"/>
        <v>0</v>
      </c>
      <c r="AO591" s="593">
        <f t="shared" ca="1" si="916"/>
        <v>0</v>
      </c>
      <c r="AP591" s="593">
        <f t="shared" ca="1" si="917"/>
        <v>0</v>
      </c>
    </row>
    <row r="592" spans="1:42" s="594" customFormat="1" ht="11.25" x14ac:dyDescent="0.2">
      <c r="A592" s="644"/>
      <c r="B592" s="591" t="str">
        <f>IF(D592&lt;&gt;"",
IF(ISERROR(MATCH(D592,'Ist Aktuell Monat 01'!A:A,0))=FALSE,INDEX('Ist Aktuell Monat 01'!B:B,MATCH(D592,'Ist Aktuell Monat 01'!A:A,0)),
IF(ISERROR(MATCH(D592,'Ist Aktuell Monat 02'!A:A,0))=FALSE,INDEX('Ist Aktuell Monat 02'!B:B,MATCH(D592,'Ist Aktuell Monat 02'!A:A,0)),
IF(ISERROR(MATCH(D592,'Ist Aktuell Monat 03'!A:A,0))=FALSE,INDEX('Ist Aktuell Monat 03'!B:B,MATCH(D592,'Ist Aktuell Monat 03'!A:A,0)),
IF(ISERROR(MATCH(D592,'Ist Aktuell Monat 04'!A:A,0))=FALSE,INDEX('Ist Aktuell Monat 04'!B:B,MATCH(D592,'Ist Aktuell Monat 04'!A:A,0)),
IF(ISERROR(MATCH(D592,'Ist Aktuell Monat 05'!A:A,0))=FALSE,INDEX('Ist Aktuell Monat 05'!B:B,MATCH(D592,'Ist Aktuell Monat 05'!A:A,0)),
IF(ISERROR(MATCH(D592,'Ist Aktuell Monat 06'!A:A,0))=FALSE,INDEX('Ist Aktuell Monat 06'!B:B,MATCH(D592,'Ist Aktuell Monat 06'!A:A,0)),
IF(ISERROR(MATCH(D592,'Ist Aktuell Monat 07'!A:A,0))=FALSE,INDEX('Ist Aktuell Monat 07'!B:B,MATCH(D592,'Ist Aktuell Monat 07'!A:A,0)),
IF(ISERROR(MATCH(D592,'Ist Aktuell Monat 08'!A:A,0))=FALSE,INDEX('Ist Aktuell Monat 08'!B:B,MATCH(D592,'Ist Aktuell Monat 08'!A:A,0)),
IF(ISERROR(MATCH(D592,'Ist Aktuell Monat 09'!A:A,0))=FALSE,INDEX('Ist Aktuell Monat 09'!B:B,MATCH(D592,'Ist Aktuell Monat 09'!A:A,0)),
IF(ISERROR(MATCH(D592,'Ist Aktuell Monat 10'!A:A,0))=FALSE,INDEX('Ist Aktuell Monat 10'!B:B,MATCH(D592,'Ist Aktuell Monat 10'!A:A,0)),
IF(ISERROR(MATCH(D592,'Ist Aktuell Monat 11'!A:A,0))=FALSE,INDEX('Ist Aktuell Monat 11'!B:B,MATCH(D592,'Ist Aktuell Monat 11'!A:A,0)),
IF(ISERROR(MATCH(D592,'Ist Aktuell Monat 12'!A:A,0))=FALSE,INDEX('Ist Aktuell Monat 12'!B:B,MATCH(D592,'Ist Aktuell Monat 12'!A:A,0)),
"{Konto unbekannt}"
)))))))))))),"")</f>
        <v>Umsatzsteuer-Vorauszahlungen</v>
      </c>
      <c r="C592" s="1062"/>
      <c r="D592" s="1067">
        <v>1780</v>
      </c>
      <c r="E592" s="625">
        <f t="shared" si="727"/>
        <v>-1</v>
      </c>
      <c r="F592" s="626" t="s">
        <v>996</v>
      </c>
      <c r="G592" s="593">
        <f ca="1">$E592*SUMIF(INDIRECT(G$3),'Struktur Aktuell'!$D592,INDIRECT(G$8))*IFERROR(IF(VLOOKUP('Struktur Aktuell'!$D592,INDIRECT(G$6),8,)="H",-1,1),0)</f>
        <v>0</v>
      </c>
      <c r="H592" s="593">
        <f ca="1">$E592*SUMIF(INDIRECT(H$3),'Struktur Aktuell'!$D592,INDIRECT(H$8))*IFERROR(IF(VLOOKUP('Struktur Aktuell'!$D592,INDIRECT(H$6),8,)="H",-1,1),0)</f>
        <v>0</v>
      </c>
      <c r="I592" s="593">
        <f ca="1">$E592*SUMIF(INDIRECT(I$3),'Struktur Aktuell'!$D592,INDIRECT(I$8))*IFERROR(IF(VLOOKUP('Struktur Aktuell'!$D592,INDIRECT(I$6),8,)="H",-1,1),0)</f>
        <v>0</v>
      </c>
      <c r="J592" s="593">
        <f ca="1">$E592*SUMIF(INDIRECT(J$3),'Struktur Aktuell'!$D592,INDIRECT(J$8))*IFERROR(IF(VLOOKUP('Struktur Aktuell'!$D592,INDIRECT(J$6),8,)="H",-1,1),0)</f>
        <v>0</v>
      </c>
      <c r="K592" s="593">
        <f ca="1">$E592*SUMIF(INDIRECT(K$3),'Struktur Aktuell'!$D592,INDIRECT(K$8))*IFERROR(IF(VLOOKUP('Struktur Aktuell'!$D592,INDIRECT(K$6),8,)="H",-1,1),0)</f>
        <v>0</v>
      </c>
      <c r="L592" s="593">
        <f ca="1">$E592*SUMIF(INDIRECT(L$3),'Struktur Aktuell'!$D592,INDIRECT(L$8))*IFERROR(IF(VLOOKUP('Struktur Aktuell'!$D592,INDIRECT(L$6),8,)="H",-1,1),0)</f>
        <v>0</v>
      </c>
      <c r="M592" s="593">
        <f ca="1">$E592*SUMIF(INDIRECT(M$3),'Struktur Aktuell'!$D592,INDIRECT(M$8))*IFERROR(IF(VLOOKUP('Struktur Aktuell'!$D592,INDIRECT(M$6),8,)="H",-1,1),0)</f>
        <v>0</v>
      </c>
      <c r="N592" s="593">
        <f ca="1">$E592*SUMIF(INDIRECT(N$3),'Struktur Aktuell'!$D592,INDIRECT(N$8))*IFERROR(IF(VLOOKUP('Struktur Aktuell'!$D592,INDIRECT(N$6),8,)="H",-1,1),0)</f>
        <v>0</v>
      </c>
      <c r="O592" s="593">
        <f ca="1">$E592*SUMIF(INDIRECT(O$3),'Struktur Aktuell'!$D592,INDIRECT(O$8))*IFERROR(IF(VLOOKUP('Struktur Aktuell'!$D592,INDIRECT(O$6),8,)="H",-1,1),0)</f>
        <v>0</v>
      </c>
      <c r="P592" s="593">
        <f ca="1">$E592*SUMIF(INDIRECT(P$3),'Struktur Aktuell'!$D592,INDIRECT(P$8))*IFERROR(IF(VLOOKUP('Struktur Aktuell'!$D592,INDIRECT(P$6),8,)="H",-1,1),0)</f>
        <v>0</v>
      </c>
      <c r="Q592" s="593">
        <f ca="1">$E592*SUMIF(INDIRECT(Q$3),'Struktur Aktuell'!$D592,INDIRECT(Q$8))*IFERROR(IF(VLOOKUP('Struktur Aktuell'!$D592,INDIRECT(Q$6),8,)="H",-1,1),0)</f>
        <v>0</v>
      </c>
      <c r="R592" s="593">
        <f ca="1">$E592*SUMIF(INDIRECT(R$3),'Struktur Aktuell'!$D592,INDIRECT(R$8))*IFERROR(IF(VLOOKUP('Struktur Aktuell'!$D592,INDIRECT(R$6),8,)="H",-1,1),0)</f>
        <v>0</v>
      </c>
      <c r="S592" s="593" t="e">
        <f ca="1">$E592*SUMIF(INDIRECT(S$3),'Struktur Aktuell'!$D592,INDIRECT(S$8))*IFERROR(IF(VLOOKUP('Struktur Aktuell'!$D592,INDIRECT(S$6),8,)="H",-1,1),0)</f>
        <v>#REF!</v>
      </c>
      <c r="T592" s="593" t="e">
        <f ca="1">$E592*SUMIF(INDIRECT(T$3),'Struktur Aktuell'!$D592,INDIRECT(T$8))*IFERROR(IF(VLOOKUP('Struktur Aktuell'!$D592,INDIRECT(T$6),8,)="H",-1,1),0)</f>
        <v>#REF!</v>
      </c>
      <c r="U592" s="593" t="e">
        <f ca="1">$E592*SUMIF(INDIRECT(U$3),'Struktur Aktuell'!$D592,INDIRECT(U$8))*IFERROR(IF(VLOOKUP('Struktur Aktuell'!$D592,INDIRECT(U$6),8,)="H",-1,1),0)</f>
        <v>#REF!</v>
      </c>
      <c r="V592" s="593" t="e">
        <f ca="1">$E592*SUMIF(INDIRECT(V$3),'Struktur Aktuell'!$D592,INDIRECT(V$8))*IFERROR(IF(VLOOKUP('Struktur Aktuell'!$D592,INDIRECT(V$6),8,)="H",-1,1),0)</f>
        <v>#REF!</v>
      </c>
      <c r="W592" s="593" t="e">
        <f ca="1">$E592*SUMIF(INDIRECT(W$3),'Struktur Aktuell'!$D592,INDIRECT(W$8))*IFERROR(IF(VLOOKUP('Struktur Aktuell'!$D592,INDIRECT(W$6),8,)="H",-1,1),0)</f>
        <v>#REF!</v>
      </c>
      <c r="X592" s="593" t="e">
        <f ca="1">$E592*SUMIF(INDIRECT(X$3),'Struktur Aktuell'!$D592,INDIRECT(X$8))*IFERROR(IF(VLOOKUP('Struktur Aktuell'!$D592,INDIRECT(X$6),8,)="H",-1,1),0)</f>
        <v>#REF!</v>
      </c>
      <c r="Y592" s="593" t="e">
        <f ca="1">$E592*SUMIF(INDIRECT(Y$3),'Struktur Aktuell'!$D592,INDIRECT(Y$8))*IFERROR(IF(VLOOKUP('Struktur Aktuell'!$D592,INDIRECT(Y$6),8,)="H",-1,1),0)</f>
        <v>#REF!</v>
      </c>
      <c r="Z592" s="593" t="e">
        <f ca="1">$E592*SUMIF(INDIRECT(Z$3),'Struktur Aktuell'!$D592,INDIRECT(Z$8))*IFERROR(IF(VLOOKUP('Struktur Aktuell'!$D592,INDIRECT(Z$6),8,)="H",-1,1),0)</f>
        <v>#REF!</v>
      </c>
      <c r="AA592" s="593" t="e">
        <f ca="1">$E592*SUMIF(INDIRECT(AA$3),'Struktur Aktuell'!$D592,INDIRECT(AA$8))*IFERROR(IF(VLOOKUP('Struktur Aktuell'!$D592,INDIRECT(AA$6),8,)="H",-1,1),0)</f>
        <v>#REF!</v>
      </c>
      <c r="AB592" s="593" t="e">
        <f ca="1">$E592*SUMIF(INDIRECT(AB$3),'Struktur Aktuell'!$D592,INDIRECT(AB$8))*IFERROR(IF(VLOOKUP('Struktur Aktuell'!$D592,INDIRECT(AB$6),8,)="H",-1,1),0)</f>
        <v>#REF!</v>
      </c>
      <c r="AC592" s="593" t="e">
        <f ca="1">$E592*SUMIF(INDIRECT(AC$3),'Struktur Aktuell'!$D592,INDIRECT(AC$8))*IFERROR(IF(VLOOKUP('Struktur Aktuell'!$D592,INDIRECT(AC$6),8,)="H",-1,1),0)</f>
        <v>#REF!</v>
      </c>
      <c r="AD592" s="593" t="e">
        <f ca="1">$E592*SUMIF(INDIRECT(AD$3),'Struktur Aktuell'!$D592,INDIRECT(AD$8))*IFERROR(IF(VLOOKUP('Struktur Aktuell'!$D592,INDIRECT(AD$6),8,)="H",-1,1),0)</f>
        <v>#REF!</v>
      </c>
      <c r="AE592" s="593">
        <f t="shared" ca="1" si="906"/>
        <v>0</v>
      </c>
      <c r="AF592" s="593">
        <f t="shared" ca="1" si="907"/>
        <v>0</v>
      </c>
      <c r="AG592" s="593">
        <f t="shared" ca="1" si="908"/>
        <v>0</v>
      </c>
      <c r="AH592" s="593">
        <f t="shared" ca="1" si="909"/>
        <v>0</v>
      </c>
      <c r="AI592" s="593">
        <f t="shared" ca="1" si="910"/>
        <v>0</v>
      </c>
      <c r="AJ592" s="593">
        <f t="shared" ca="1" si="911"/>
        <v>0</v>
      </c>
      <c r="AK592" s="593">
        <f t="shared" ca="1" si="912"/>
        <v>0</v>
      </c>
      <c r="AL592" s="593">
        <f t="shared" ca="1" si="913"/>
        <v>0</v>
      </c>
      <c r="AM592" s="593">
        <f t="shared" ca="1" si="914"/>
        <v>0</v>
      </c>
      <c r="AN592" s="593">
        <f t="shared" ca="1" si="915"/>
        <v>0</v>
      </c>
      <c r="AO592" s="593">
        <f t="shared" ca="1" si="916"/>
        <v>0</v>
      </c>
      <c r="AP592" s="593">
        <f t="shared" ca="1" si="917"/>
        <v>0</v>
      </c>
    </row>
    <row r="593" spans="1:42" s="594" customFormat="1" ht="11.25" x14ac:dyDescent="0.2">
      <c r="A593" s="644"/>
      <c r="B593" s="591" t="str">
        <f>IF(D593&lt;&gt;"",
IF(ISERROR(MATCH(D593,'Ist Aktuell Monat 01'!A:A,0))=FALSE,INDEX('Ist Aktuell Monat 01'!B:B,MATCH(D593,'Ist Aktuell Monat 01'!A:A,0)),
IF(ISERROR(MATCH(D593,'Ist Aktuell Monat 02'!A:A,0))=FALSE,INDEX('Ist Aktuell Monat 02'!B:B,MATCH(D593,'Ist Aktuell Monat 02'!A:A,0)),
IF(ISERROR(MATCH(D593,'Ist Aktuell Monat 03'!A:A,0))=FALSE,INDEX('Ist Aktuell Monat 03'!B:B,MATCH(D593,'Ist Aktuell Monat 03'!A:A,0)),
IF(ISERROR(MATCH(D593,'Ist Aktuell Monat 04'!A:A,0))=FALSE,INDEX('Ist Aktuell Monat 04'!B:B,MATCH(D593,'Ist Aktuell Monat 04'!A:A,0)),
IF(ISERROR(MATCH(D593,'Ist Aktuell Monat 05'!A:A,0))=FALSE,INDEX('Ist Aktuell Monat 05'!B:B,MATCH(D593,'Ist Aktuell Monat 05'!A:A,0)),
IF(ISERROR(MATCH(D593,'Ist Aktuell Monat 06'!A:A,0))=FALSE,INDEX('Ist Aktuell Monat 06'!B:B,MATCH(D593,'Ist Aktuell Monat 06'!A:A,0)),
IF(ISERROR(MATCH(D593,'Ist Aktuell Monat 07'!A:A,0))=FALSE,INDEX('Ist Aktuell Monat 07'!B:B,MATCH(D593,'Ist Aktuell Monat 07'!A:A,0)),
IF(ISERROR(MATCH(D593,'Ist Aktuell Monat 08'!A:A,0))=FALSE,INDEX('Ist Aktuell Monat 08'!B:B,MATCH(D593,'Ist Aktuell Monat 08'!A:A,0)),
IF(ISERROR(MATCH(D593,'Ist Aktuell Monat 09'!A:A,0))=FALSE,INDEX('Ist Aktuell Monat 09'!B:B,MATCH(D593,'Ist Aktuell Monat 09'!A:A,0)),
IF(ISERROR(MATCH(D593,'Ist Aktuell Monat 10'!A:A,0))=FALSE,INDEX('Ist Aktuell Monat 10'!B:B,MATCH(D593,'Ist Aktuell Monat 10'!A:A,0)),
IF(ISERROR(MATCH(D593,'Ist Aktuell Monat 11'!A:A,0))=FALSE,INDEX('Ist Aktuell Monat 11'!B:B,MATCH(D593,'Ist Aktuell Monat 11'!A:A,0)),
IF(ISERROR(MATCH(D593,'Ist Aktuell Monat 12'!A:A,0))=FALSE,INDEX('Ist Aktuell Monat 12'!B:B,MATCH(D593,'Ist Aktuell Monat 12'!A:A,0)),
"{Konto unbekannt}"
)))))))))))),"")</f>
        <v>{Konto unbekannt}</v>
      </c>
      <c r="C593" s="1062"/>
      <c r="D593" s="1067">
        <v>1781</v>
      </c>
      <c r="E593" s="625">
        <f t="shared" ref="E593:E594" si="918">IF(F593="-",-1,1)</f>
        <v>-1</v>
      </c>
      <c r="F593" s="626" t="s">
        <v>996</v>
      </c>
      <c r="G593" s="593">
        <f ca="1">$E593*SUMIF(INDIRECT(G$3),'Struktur Aktuell'!$D593,INDIRECT(G$8))*IFERROR(IF(VLOOKUP('Struktur Aktuell'!$D593,INDIRECT(G$6),8,)="H",-1,1),0)</f>
        <v>0</v>
      </c>
      <c r="H593" s="593">
        <f ca="1">$E593*SUMIF(INDIRECT(H$3),'Struktur Aktuell'!$D593,INDIRECT(H$8))*IFERROR(IF(VLOOKUP('Struktur Aktuell'!$D593,INDIRECT(H$6),8,)="H",-1,1),0)</f>
        <v>0</v>
      </c>
      <c r="I593" s="593">
        <f ca="1">$E593*SUMIF(INDIRECT(I$3),'Struktur Aktuell'!$D593,INDIRECT(I$8))*IFERROR(IF(VLOOKUP('Struktur Aktuell'!$D593,INDIRECT(I$6),8,)="H",-1,1),0)</f>
        <v>0</v>
      </c>
      <c r="J593" s="593">
        <f ca="1">$E593*SUMIF(INDIRECT(J$3),'Struktur Aktuell'!$D593,INDIRECT(J$8))*IFERROR(IF(VLOOKUP('Struktur Aktuell'!$D593,INDIRECT(J$6),8,)="H",-1,1),0)</f>
        <v>0</v>
      </c>
      <c r="K593" s="593">
        <f ca="1">$E593*SUMIF(INDIRECT(K$3),'Struktur Aktuell'!$D593,INDIRECT(K$8))*IFERROR(IF(VLOOKUP('Struktur Aktuell'!$D593,INDIRECT(K$6),8,)="H",-1,1),0)</f>
        <v>0</v>
      </c>
      <c r="L593" s="593">
        <f ca="1">$E593*SUMIF(INDIRECT(L$3),'Struktur Aktuell'!$D593,INDIRECT(L$8))*IFERROR(IF(VLOOKUP('Struktur Aktuell'!$D593,INDIRECT(L$6),8,)="H",-1,1),0)</f>
        <v>0</v>
      </c>
      <c r="M593" s="593">
        <f ca="1">$E593*SUMIF(INDIRECT(M$3),'Struktur Aktuell'!$D593,INDIRECT(M$8))*IFERROR(IF(VLOOKUP('Struktur Aktuell'!$D593,INDIRECT(M$6),8,)="H",-1,1),0)</f>
        <v>0</v>
      </c>
      <c r="N593" s="593">
        <f ca="1">$E593*SUMIF(INDIRECT(N$3),'Struktur Aktuell'!$D593,INDIRECT(N$8))*IFERROR(IF(VLOOKUP('Struktur Aktuell'!$D593,INDIRECT(N$6),8,)="H",-1,1),0)</f>
        <v>0</v>
      </c>
      <c r="O593" s="593">
        <f ca="1">$E593*SUMIF(INDIRECT(O$3),'Struktur Aktuell'!$D593,INDIRECT(O$8))*IFERROR(IF(VLOOKUP('Struktur Aktuell'!$D593,INDIRECT(O$6),8,)="H",-1,1),0)</f>
        <v>0</v>
      </c>
      <c r="P593" s="593">
        <f ca="1">$E593*SUMIF(INDIRECT(P$3),'Struktur Aktuell'!$D593,INDIRECT(P$8))*IFERROR(IF(VLOOKUP('Struktur Aktuell'!$D593,INDIRECT(P$6),8,)="H",-1,1),0)</f>
        <v>0</v>
      </c>
      <c r="Q593" s="593">
        <f ca="1">$E593*SUMIF(INDIRECT(Q$3),'Struktur Aktuell'!$D593,INDIRECT(Q$8))*IFERROR(IF(VLOOKUP('Struktur Aktuell'!$D593,INDIRECT(Q$6),8,)="H",-1,1),0)</f>
        <v>0</v>
      </c>
      <c r="R593" s="593">
        <f ca="1">$E593*SUMIF(INDIRECT(R$3),'Struktur Aktuell'!$D593,INDIRECT(R$8))*IFERROR(IF(VLOOKUP('Struktur Aktuell'!$D593,INDIRECT(R$6),8,)="H",-1,1),0)</f>
        <v>0</v>
      </c>
      <c r="S593" s="593" t="e">
        <f ca="1">$E593*SUMIF(INDIRECT(S$3),'Struktur Aktuell'!$D593,INDIRECT(S$8))*IFERROR(IF(VLOOKUP('Struktur Aktuell'!$D593,INDIRECT(S$6),8,)="H",-1,1),0)</f>
        <v>#REF!</v>
      </c>
      <c r="T593" s="593" t="e">
        <f ca="1">$E593*SUMIF(INDIRECT(T$3),'Struktur Aktuell'!$D593,INDIRECT(T$8))*IFERROR(IF(VLOOKUP('Struktur Aktuell'!$D593,INDIRECT(T$6),8,)="H",-1,1),0)</f>
        <v>#REF!</v>
      </c>
      <c r="U593" s="593" t="e">
        <f ca="1">$E593*SUMIF(INDIRECT(U$3),'Struktur Aktuell'!$D593,INDIRECT(U$8))*IFERROR(IF(VLOOKUP('Struktur Aktuell'!$D593,INDIRECT(U$6),8,)="H",-1,1),0)</f>
        <v>#REF!</v>
      </c>
      <c r="V593" s="593" t="e">
        <f ca="1">$E593*SUMIF(INDIRECT(V$3),'Struktur Aktuell'!$D593,INDIRECT(V$8))*IFERROR(IF(VLOOKUP('Struktur Aktuell'!$D593,INDIRECT(V$6),8,)="H",-1,1),0)</f>
        <v>#REF!</v>
      </c>
      <c r="W593" s="593" t="e">
        <f ca="1">$E593*SUMIF(INDIRECT(W$3),'Struktur Aktuell'!$D593,INDIRECT(W$8))*IFERROR(IF(VLOOKUP('Struktur Aktuell'!$D593,INDIRECT(W$6),8,)="H",-1,1),0)</f>
        <v>#REF!</v>
      </c>
      <c r="X593" s="593" t="e">
        <f ca="1">$E593*SUMIF(INDIRECT(X$3),'Struktur Aktuell'!$D593,INDIRECT(X$8))*IFERROR(IF(VLOOKUP('Struktur Aktuell'!$D593,INDIRECT(X$6),8,)="H",-1,1),0)</f>
        <v>#REF!</v>
      </c>
      <c r="Y593" s="593" t="e">
        <f ca="1">$E593*SUMIF(INDIRECT(Y$3),'Struktur Aktuell'!$D593,INDIRECT(Y$8))*IFERROR(IF(VLOOKUP('Struktur Aktuell'!$D593,INDIRECT(Y$6),8,)="H",-1,1),0)</f>
        <v>#REF!</v>
      </c>
      <c r="Z593" s="593" t="e">
        <f ca="1">$E593*SUMIF(INDIRECT(Z$3),'Struktur Aktuell'!$D593,INDIRECT(Z$8))*IFERROR(IF(VLOOKUP('Struktur Aktuell'!$D593,INDIRECT(Z$6),8,)="H",-1,1),0)</f>
        <v>#REF!</v>
      </c>
      <c r="AA593" s="593" t="e">
        <f ca="1">$E593*SUMIF(INDIRECT(AA$3),'Struktur Aktuell'!$D593,INDIRECT(AA$8))*IFERROR(IF(VLOOKUP('Struktur Aktuell'!$D593,INDIRECT(AA$6),8,)="H",-1,1),0)</f>
        <v>#REF!</v>
      </c>
      <c r="AB593" s="593" t="e">
        <f ca="1">$E593*SUMIF(INDIRECT(AB$3),'Struktur Aktuell'!$D593,INDIRECT(AB$8))*IFERROR(IF(VLOOKUP('Struktur Aktuell'!$D593,INDIRECT(AB$6),8,)="H",-1,1),0)</f>
        <v>#REF!</v>
      </c>
      <c r="AC593" s="593" t="e">
        <f ca="1">$E593*SUMIF(INDIRECT(AC$3),'Struktur Aktuell'!$D593,INDIRECT(AC$8))*IFERROR(IF(VLOOKUP('Struktur Aktuell'!$D593,INDIRECT(AC$6),8,)="H",-1,1),0)</f>
        <v>#REF!</v>
      </c>
      <c r="AD593" s="593" t="e">
        <f ca="1">$E593*SUMIF(INDIRECT(AD$3),'Struktur Aktuell'!$D593,INDIRECT(AD$8))*IFERROR(IF(VLOOKUP('Struktur Aktuell'!$D593,INDIRECT(AD$6),8,)="H",-1,1),0)</f>
        <v>#REF!</v>
      </c>
      <c r="AE593" s="593">
        <f t="shared" ca="1" si="906"/>
        <v>0</v>
      </c>
      <c r="AF593" s="593">
        <f t="shared" ca="1" si="907"/>
        <v>0</v>
      </c>
      <c r="AG593" s="593">
        <f t="shared" ca="1" si="908"/>
        <v>0</v>
      </c>
      <c r="AH593" s="593">
        <f t="shared" ca="1" si="909"/>
        <v>0</v>
      </c>
      <c r="AI593" s="593">
        <f t="shared" ca="1" si="910"/>
        <v>0</v>
      </c>
      <c r="AJ593" s="593">
        <f t="shared" ca="1" si="911"/>
        <v>0</v>
      </c>
      <c r="AK593" s="593">
        <f t="shared" ca="1" si="912"/>
        <v>0</v>
      </c>
      <c r="AL593" s="593">
        <f t="shared" ca="1" si="913"/>
        <v>0</v>
      </c>
      <c r="AM593" s="593">
        <f t="shared" ca="1" si="914"/>
        <v>0</v>
      </c>
      <c r="AN593" s="593">
        <f t="shared" ca="1" si="915"/>
        <v>0</v>
      </c>
      <c r="AO593" s="593">
        <f t="shared" ca="1" si="916"/>
        <v>0</v>
      </c>
      <c r="AP593" s="593">
        <f t="shared" ca="1" si="917"/>
        <v>0</v>
      </c>
    </row>
    <row r="594" spans="1:42" s="594" customFormat="1" ht="11.25" x14ac:dyDescent="0.2">
      <c r="A594" s="644"/>
      <c r="B594" s="591" t="str">
        <f>IF(D594&lt;&gt;"",
IF(ISERROR(MATCH(D594,'Ist Aktuell Monat 01'!A:A,0))=FALSE,INDEX('Ist Aktuell Monat 01'!B:B,MATCH(D594,'Ist Aktuell Monat 01'!A:A,0)),
IF(ISERROR(MATCH(D594,'Ist Aktuell Monat 02'!A:A,0))=FALSE,INDEX('Ist Aktuell Monat 02'!B:B,MATCH(D594,'Ist Aktuell Monat 02'!A:A,0)),
IF(ISERROR(MATCH(D594,'Ist Aktuell Monat 03'!A:A,0))=FALSE,INDEX('Ist Aktuell Monat 03'!B:B,MATCH(D594,'Ist Aktuell Monat 03'!A:A,0)),
IF(ISERROR(MATCH(D594,'Ist Aktuell Monat 04'!A:A,0))=FALSE,INDEX('Ist Aktuell Monat 04'!B:B,MATCH(D594,'Ist Aktuell Monat 04'!A:A,0)),
IF(ISERROR(MATCH(D594,'Ist Aktuell Monat 05'!A:A,0))=FALSE,INDEX('Ist Aktuell Monat 05'!B:B,MATCH(D594,'Ist Aktuell Monat 05'!A:A,0)),
IF(ISERROR(MATCH(D594,'Ist Aktuell Monat 06'!A:A,0))=FALSE,INDEX('Ist Aktuell Monat 06'!B:B,MATCH(D594,'Ist Aktuell Monat 06'!A:A,0)),
IF(ISERROR(MATCH(D594,'Ist Aktuell Monat 07'!A:A,0))=FALSE,INDEX('Ist Aktuell Monat 07'!B:B,MATCH(D594,'Ist Aktuell Monat 07'!A:A,0)),
IF(ISERROR(MATCH(D594,'Ist Aktuell Monat 08'!A:A,0))=FALSE,INDEX('Ist Aktuell Monat 08'!B:B,MATCH(D594,'Ist Aktuell Monat 08'!A:A,0)),
IF(ISERROR(MATCH(D594,'Ist Aktuell Monat 09'!A:A,0))=FALSE,INDEX('Ist Aktuell Monat 09'!B:B,MATCH(D594,'Ist Aktuell Monat 09'!A:A,0)),
IF(ISERROR(MATCH(D594,'Ist Aktuell Monat 10'!A:A,0))=FALSE,INDEX('Ist Aktuell Monat 10'!B:B,MATCH(D594,'Ist Aktuell Monat 10'!A:A,0)),
IF(ISERROR(MATCH(D594,'Ist Aktuell Monat 11'!A:A,0))=FALSE,INDEX('Ist Aktuell Monat 11'!B:B,MATCH(D594,'Ist Aktuell Monat 11'!A:A,0)),
IF(ISERROR(MATCH(D594,'Ist Aktuell Monat 12'!A:A,0))=FALSE,INDEX('Ist Aktuell Monat 12'!B:B,MATCH(D594,'Ist Aktuell Monat 12'!A:A,0)),
"{Konto unbekannt}"
)))))))))))),"")</f>
        <v>{Konto unbekannt}</v>
      </c>
      <c r="C594" s="1062"/>
      <c r="D594" s="1067">
        <v>1787</v>
      </c>
      <c r="E594" s="625">
        <f t="shared" si="918"/>
        <v>-1</v>
      </c>
      <c r="F594" s="626" t="s">
        <v>996</v>
      </c>
      <c r="G594" s="593">
        <f ca="1">$E594*SUMIF(INDIRECT(G$3),'Struktur Aktuell'!$D594,INDIRECT(G$8))*IFERROR(IF(VLOOKUP('Struktur Aktuell'!$D594,INDIRECT(G$6),8,)="H",-1,1),0)</f>
        <v>0</v>
      </c>
      <c r="H594" s="593">
        <f ca="1">$E594*SUMIF(INDIRECT(H$3),'Struktur Aktuell'!$D594,INDIRECT(H$8))*IFERROR(IF(VLOOKUP('Struktur Aktuell'!$D594,INDIRECT(H$6),8,)="H",-1,1),0)</f>
        <v>0</v>
      </c>
      <c r="I594" s="593">
        <f ca="1">$E594*SUMIF(INDIRECT(I$3),'Struktur Aktuell'!$D594,INDIRECT(I$8))*IFERROR(IF(VLOOKUP('Struktur Aktuell'!$D594,INDIRECT(I$6),8,)="H",-1,1),0)</f>
        <v>0</v>
      </c>
      <c r="J594" s="593">
        <f ca="1">$E594*SUMIF(INDIRECT(J$3),'Struktur Aktuell'!$D594,INDIRECT(J$8))*IFERROR(IF(VLOOKUP('Struktur Aktuell'!$D594,INDIRECT(J$6),8,)="H",-1,1),0)</f>
        <v>0</v>
      </c>
      <c r="K594" s="593">
        <f ca="1">$E594*SUMIF(INDIRECT(K$3),'Struktur Aktuell'!$D594,INDIRECT(K$8))*IFERROR(IF(VLOOKUP('Struktur Aktuell'!$D594,INDIRECT(K$6),8,)="H",-1,1),0)</f>
        <v>0</v>
      </c>
      <c r="L594" s="593">
        <f ca="1">$E594*SUMIF(INDIRECT(L$3),'Struktur Aktuell'!$D594,INDIRECT(L$8))*IFERROR(IF(VLOOKUP('Struktur Aktuell'!$D594,INDIRECT(L$6),8,)="H",-1,1),0)</f>
        <v>0</v>
      </c>
      <c r="M594" s="593">
        <f ca="1">$E594*SUMIF(INDIRECT(M$3),'Struktur Aktuell'!$D594,INDIRECT(M$8))*IFERROR(IF(VLOOKUP('Struktur Aktuell'!$D594,INDIRECT(M$6),8,)="H",-1,1),0)</f>
        <v>0</v>
      </c>
      <c r="N594" s="593">
        <f ca="1">$E594*SUMIF(INDIRECT(N$3),'Struktur Aktuell'!$D594,INDIRECT(N$8))*IFERROR(IF(VLOOKUP('Struktur Aktuell'!$D594,INDIRECT(N$6),8,)="H",-1,1),0)</f>
        <v>0</v>
      </c>
      <c r="O594" s="593">
        <f ca="1">$E594*SUMIF(INDIRECT(O$3),'Struktur Aktuell'!$D594,INDIRECT(O$8))*IFERROR(IF(VLOOKUP('Struktur Aktuell'!$D594,INDIRECT(O$6),8,)="H",-1,1),0)</f>
        <v>0</v>
      </c>
      <c r="P594" s="593">
        <f ca="1">$E594*SUMIF(INDIRECT(P$3),'Struktur Aktuell'!$D594,INDIRECT(P$8))*IFERROR(IF(VLOOKUP('Struktur Aktuell'!$D594,INDIRECT(P$6),8,)="H",-1,1),0)</f>
        <v>0</v>
      </c>
      <c r="Q594" s="593">
        <f ca="1">$E594*SUMIF(INDIRECT(Q$3),'Struktur Aktuell'!$D594,INDIRECT(Q$8))*IFERROR(IF(VLOOKUP('Struktur Aktuell'!$D594,INDIRECT(Q$6),8,)="H",-1,1),0)</f>
        <v>0</v>
      </c>
      <c r="R594" s="593">
        <f ca="1">$E594*SUMIF(INDIRECT(R$3),'Struktur Aktuell'!$D594,INDIRECT(R$8))*IFERROR(IF(VLOOKUP('Struktur Aktuell'!$D594,INDIRECT(R$6),8,)="H",-1,1),0)</f>
        <v>0</v>
      </c>
      <c r="S594" s="593" t="e">
        <f ca="1">$E594*SUMIF(INDIRECT(S$3),'Struktur Aktuell'!$D594,INDIRECT(S$8))*IFERROR(IF(VLOOKUP('Struktur Aktuell'!$D594,INDIRECT(S$6),8,)="H",-1,1),0)</f>
        <v>#REF!</v>
      </c>
      <c r="T594" s="593" t="e">
        <f ca="1">$E594*SUMIF(INDIRECT(T$3),'Struktur Aktuell'!$D594,INDIRECT(T$8))*IFERROR(IF(VLOOKUP('Struktur Aktuell'!$D594,INDIRECT(T$6),8,)="H",-1,1),0)</f>
        <v>#REF!</v>
      </c>
      <c r="U594" s="593" t="e">
        <f ca="1">$E594*SUMIF(INDIRECT(U$3),'Struktur Aktuell'!$D594,INDIRECT(U$8))*IFERROR(IF(VLOOKUP('Struktur Aktuell'!$D594,INDIRECT(U$6),8,)="H",-1,1),0)</f>
        <v>#REF!</v>
      </c>
      <c r="V594" s="593" t="e">
        <f ca="1">$E594*SUMIF(INDIRECT(V$3),'Struktur Aktuell'!$D594,INDIRECT(V$8))*IFERROR(IF(VLOOKUP('Struktur Aktuell'!$D594,INDIRECT(V$6),8,)="H",-1,1),0)</f>
        <v>#REF!</v>
      </c>
      <c r="W594" s="593" t="e">
        <f ca="1">$E594*SUMIF(INDIRECT(W$3),'Struktur Aktuell'!$D594,INDIRECT(W$8))*IFERROR(IF(VLOOKUP('Struktur Aktuell'!$D594,INDIRECT(W$6),8,)="H",-1,1),0)</f>
        <v>#REF!</v>
      </c>
      <c r="X594" s="593" t="e">
        <f ca="1">$E594*SUMIF(INDIRECT(X$3),'Struktur Aktuell'!$D594,INDIRECT(X$8))*IFERROR(IF(VLOOKUP('Struktur Aktuell'!$D594,INDIRECT(X$6),8,)="H",-1,1),0)</f>
        <v>#REF!</v>
      </c>
      <c r="Y594" s="593" t="e">
        <f ca="1">$E594*SUMIF(INDIRECT(Y$3),'Struktur Aktuell'!$D594,INDIRECT(Y$8))*IFERROR(IF(VLOOKUP('Struktur Aktuell'!$D594,INDIRECT(Y$6),8,)="H",-1,1),0)</f>
        <v>#REF!</v>
      </c>
      <c r="Z594" s="593" t="e">
        <f ca="1">$E594*SUMIF(INDIRECT(Z$3),'Struktur Aktuell'!$D594,INDIRECT(Z$8))*IFERROR(IF(VLOOKUP('Struktur Aktuell'!$D594,INDIRECT(Z$6),8,)="H",-1,1),0)</f>
        <v>#REF!</v>
      </c>
      <c r="AA594" s="593" t="e">
        <f ca="1">$E594*SUMIF(INDIRECT(AA$3),'Struktur Aktuell'!$D594,INDIRECT(AA$8))*IFERROR(IF(VLOOKUP('Struktur Aktuell'!$D594,INDIRECT(AA$6),8,)="H",-1,1),0)</f>
        <v>#REF!</v>
      </c>
      <c r="AB594" s="593" t="e">
        <f ca="1">$E594*SUMIF(INDIRECT(AB$3),'Struktur Aktuell'!$D594,INDIRECT(AB$8))*IFERROR(IF(VLOOKUP('Struktur Aktuell'!$D594,INDIRECT(AB$6),8,)="H",-1,1),0)</f>
        <v>#REF!</v>
      </c>
      <c r="AC594" s="593" t="e">
        <f ca="1">$E594*SUMIF(INDIRECT(AC$3),'Struktur Aktuell'!$D594,INDIRECT(AC$8))*IFERROR(IF(VLOOKUP('Struktur Aktuell'!$D594,INDIRECT(AC$6),8,)="H",-1,1),0)</f>
        <v>#REF!</v>
      </c>
      <c r="AD594" s="593" t="e">
        <f ca="1">$E594*SUMIF(INDIRECT(AD$3),'Struktur Aktuell'!$D594,INDIRECT(AD$8))*IFERROR(IF(VLOOKUP('Struktur Aktuell'!$D594,INDIRECT(AD$6),8,)="H",-1,1),0)</f>
        <v>#REF!</v>
      </c>
      <c r="AE594" s="593">
        <f t="shared" ca="1" si="906"/>
        <v>0</v>
      </c>
      <c r="AF594" s="593">
        <f t="shared" ca="1" si="907"/>
        <v>0</v>
      </c>
      <c r="AG594" s="593">
        <f t="shared" ca="1" si="908"/>
        <v>0</v>
      </c>
      <c r="AH594" s="593">
        <f t="shared" ca="1" si="909"/>
        <v>0</v>
      </c>
      <c r="AI594" s="593">
        <f t="shared" ca="1" si="910"/>
        <v>0</v>
      </c>
      <c r="AJ594" s="593">
        <f t="shared" ca="1" si="911"/>
        <v>0</v>
      </c>
      <c r="AK594" s="593">
        <f t="shared" ca="1" si="912"/>
        <v>0</v>
      </c>
      <c r="AL594" s="593">
        <f t="shared" ca="1" si="913"/>
        <v>0</v>
      </c>
      <c r="AM594" s="593">
        <f t="shared" ca="1" si="914"/>
        <v>0</v>
      </c>
      <c r="AN594" s="593">
        <f t="shared" ca="1" si="915"/>
        <v>0</v>
      </c>
      <c r="AO594" s="593">
        <f t="shared" ca="1" si="916"/>
        <v>0</v>
      </c>
      <c r="AP594" s="593">
        <f t="shared" ca="1" si="917"/>
        <v>0</v>
      </c>
    </row>
    <row r="595" spans="1:42" s="594" customFormat="1" ht="11.25" x14ac:dyDescent="0.2">
      <c r="A595" s="644"/>
      <c r="B595" s="591" t="str">
        <f>IF(D595&lt;&gt;"",
IF(ISERROR(MATCH(D595,'Ist Aktuell Monat 01'!A:A,0))=FALSE,INDEX('Ist Aktuell Monat 01'!B:B,MATCH(D595,'Ist Aktuell Monat 01'!A:A,0)),
IF(ISERROR(MATCH(D595,'Ist Aktuell Monat 02'!A:A,0))=FALSE,INDEX('Ist Aktuell Monat 02'!B:B,MATCH(D595,'Ist Aktuell Monat 02'!A:A,0)),
IF(ISERROR(MATCH(D595,'Ist Aktuell Monat 03'!A:A,0))=FALSE,INDEX('Ist Aktuell Monat 03'!B:B,MATCH(D595,'Ist Aktuell Monat 03'!A:A,0)),
IF(ISERROR(MATCH(D595,'Ist Aktuell Monat 04'!A:A,0))=FALSE,INDEX('Ist Aktuell Monat 04'!B:B,MATCH(D595,'Ist Aktuell Monat 04'!A:A,0)),
IF(ISERROR(MATCH(D595,'Ist Aktuell Monat 05'!A:A,0))=FALSE,INDEX('Ist Aktuell Monat 05'!B:B,MATCH(D595,'Ist Aktuell Monat 05'!A:A,0)),
IF(ISERROR(MATCH(D595,'Ist Aktuell Monat 06'!A:A,0))=FALSE,INDEX('Ist Aktuell Monat 06'!B:B,MATCH(D595,'Ist Aktuell Monat 06'!A:A,0)),
IF(ISERROR(MATCH(D595,'Ist Aktuell Monat 07'!A:A,0))=FALSE,INDEX('Ist Aktuell Monat 07'!B:B,MATCH(D595,'Ist Aktuell Monat 07'!A:A,0)),
IF(ISERROR(MATCH(D595,'Ist Aktuell Monat 08'!A:A,0))=FALSE,INDEX('Ist Aktuell Monat 08'!B:B,MATCH(D595,'Ist Aktuell Monat 08'!A:A,0)),
IF(ISERROR(MATCH(D595,'Ist Aktuell Monat 09'!A:A,0))=FALSE,INDEX('Ist Aktuell Monat 09'!B:B,MATCH(D595,'Ist Aktuell Monat 09'!A:A,0)),
IF(ISERROR(MATCH(D595,'Ist Aktuell Monat 10'!A:A,0))=FALSE,INDEX('Ist Aktuell Monat 10'!B:B,MATCH(D595,'Ist Aktuell Monat 10'!A:A,0)),
IF(ISERROR(MATCH(D595,'Ist Aktuell Monat 11'!A:A,0))=FALSE,INDEX('Ist Aktuell Monat 11'!B:B,MATCH(D595,'Ist Aktuell Monat 11'!A:A,0)),
IF(ISERROR(MATCH(D595,'Ist Aktuell Monat 12'!A:A,0))=FALSE,INDEX('Ist Aktuell Monat 12'!B:B,MATCH(D595,'Ist Aktuell Monat 12'!A:A,0)),
"{Konto unbekannt}"
)))))))))))),"")</f>
        <v>{Konto unbekannt}</v>
      </c>
      <c r="C595" s="1062"/>
      <c r="D595" s="1067">
        <v>1736</v>
      </c>
      <c r="E595" s="625">
        <f t="shared" si="727"/>
        <v>-1</v>
      </c>
      <c r="F595" s="626" t="s">
        <v>996</v>
      </c>
      <c r="G595" s="593">
        <f ca="1">$E595*SUMIF(INDIRECT(G$3),'Struktur Aktuell'!$D595,INDIRECT(G$8))*IFERROR(IF(VLOOKUP('Struktur Aktuell'!$D595,INDIRECT(G$6),8,)="H",-1,1),0)</f>
        <v>0</v>
      </c>
      <c r="H595" s="593">
        <f ca="1">$E595*SUMIF(INDIRECT(H$3),'Struktur Aktuell'!$D595,INDIRECT(H$8))*IFERROR(IF(VLOOKUP('Struktur Aktuell'!$D595,INDIRECT(H$6),8,)="H",-1,1),0)</f>
        <v>0</v>
      </c>
      <c r="I595" s="593">
        <f ca="1">$E595*SUMIF(INDIRECT(I$3),'Struktur Aktuell'!$D595,INDIRECT(I$8))*IFERROR(IF(VLOOKUP('Struktur Aktuell'!$D595,INDIRECT(I$6),8,)="H",-1,1),0)</f>
        <v>0</v>
      </c>
      <c r="J595" s="593">
        <f ca="1">$E595*SUMIF(INDIRECT(J$3),'Struktur Aktuell'!$D595,INDIRECT(J$8))*IFERROR(IF(VLOOKUP('Struktur Aktuell'!$D595,INDIRECT(J$6),8,)="H",-1,1),0)</f>
        <v>0</v>
      </c>
      <c r="K595" s="593">
        <f ca="1">$E595*SUMIF(INDIRECT(K$3),'Struktur Aktuell'!$D595,INDIRECT(K$8))*IFERROR(IF(VLOOKUP('Struktur Aktuell'!$D595,INDIRECT(K$6),8,)="H",-1,1),0)</f>
        <v>0</v>
      </c>
      <c r="L595" s="593">
        <f ca="1">$E595*SUMIF(INDIRECT(L$3),'Struktur Aktuell'!$D595,INDIRECT(L$8))*IFERROR(IF(VLOOKUP('Struktur Aktuell'!$D595,INDIRECT(L$6),8,)="H",-1,1),0)</f>
        <v>0</v>
      </c>
      <c r="M595" s="593">
        <f ca="1">$E595*SUMIF(INDIRECT(M$3),'Struktur Aktuell'!$D595,INDIRECT(M$8))*IFERROR(IF(VLOOKUP('Struktur Aktuell'!$D595,INDIRECT(M$6),8,)="H",-1,1),0)</f>
        <v>0</v>
      </c>
      <c r="N595" s="593">
        <f ca="1">$E595*SUMIF(INDIRECT(N$3),'Struktur Aktuell'!$D595,INDIRECT(N$8))*IFERROR(IF(VLOOKUP('Struktur Aktuell'!$D595,INDIRECT(N$6),8,)="H",-1,1),0)</f>
        <v>0</v>
      </c>
      <c r="O595" s="593">
        <f ca="1">$E595*SUMIF(INDIRECT(O$3),'Struktur Aktuell'!$D595,INDIRECT(O$8))*IFERROR(IF(VLOOKUP('Struktur Aktuell'!$D595,INDIRECT(O$6),8,)="H",-1,1),0)</f>
        <v>0</v>
      </c>
      <c r="P595" s="593">
        <f ca="1">$E595*SUMIF(INDIRECT(P$3),'Struktur Aktuell'!$D595,INDIRECT(P$8))*IFERROR(IF(VLOOKUP('Struktur Aktuell'!$D595,INDIRECT(P$6),8,)="H",-1,1),0)</f>
        <v>0</v>
      </c>
      <c r="Q595" s="593">
        <f ca="1">$E595*SUMIF(INDIRECT(Q$3),'Struktur Aktuell'!$D595,INDIRECT(Q$8))*IFERROR(IF(VLOOKUP('Struktur Aktuell'!$D595,INDIRECT(Q$6),8,)="H",-1,1),0)</f>
        <v>0</v>
      </c>
      <c r="R595" s="593">
        <f ca="1">$E595*SUMIF(INDIRECT(R$3),'Struktur Aktuell'!$D595,INDIRECT(R$8))*IFERROR(IF(VLOOKUP('Struktur Aktuell'!$D595,INDIRECT(R$6),8,)="H",-1,1),0)</f>
        <v>0</v>
      </c>
      <c r="S595" s="593" t="e">
        <f ca="1">$E595*SUMIF(INDIRECT(S$3),'Struktur Aktuell'!$D595,INDIRECT(S$8))*IFERROR(IF(VLOOKUP('Struktur Aktuell'!$D595,INDIRECT(S$6),8,)="H",-1,1),0)</f>
        <v>#REF!</v>
      </c>
      <c r="T595" s="593" t="e">
        <f ca="1">$E595*SUMIF(INDIRECT(T$3),'Struktur Aktuell'!$D595,INDIRECT(T$8))*IFERROR(IF(VLOOKUP('Struktur Aktuell'!$D595,INDIRECT(T$6),8,)="H",-1,1),0)</f>
        <v>#REF!</v>
      </c>
      <c r="U595" s="593" t="e">
        <f ca="1">$E595*SUMIF(INDIRECT(U$3),'Struktur Aktuell'!$D595,INDIRECT(U$8))*IFERROR(IF(VLOOKUP('Struktur Aktuell'!$D595,INDIRECT(U$6),8,)="H",-1,1),0)</f>
        <v>#REF!</v>
      </c>
      <c r="V595" s="593" t="e">
        <f ca="1">$E595*SUMIF(INDIRECT(V$3),'Struktur Aktuell'!$D595,INDIRECT(V$8))*IFERROR(IF(VLOOKUP('Struktur Aktuell'!$D595,INDIRECT(V$6),8,)="H",-1,1),0)</f>
        <v>#REF!</v>
      </c>
      <c r="W595" s="593" t="e">
        <f ca="1">$E595*SUMIF(INDIRECT(W$3),'Struktur Aktuell'!$D595,INDIRECT(W$8))*IFERROR(IF(VLOOKUP('Struktur Aktuell'!$D595,INDIRECT(W$6),8,)="H",-1,1),0)</f>
        <v>#REF!</v>
      </c>
      <c r="X595" s="593" t="e">
        <f ca="1">$E595*SUMIF(INDIRECT(X$3),'Struktur Aktuell'!$D595,INDIRECT(X$8))*IFERROR(IF(VLOOKUP('Struktur Aktuell'!$D595,INDIRECT(X$6),8,)="H",-1,1),0)</f>
        <v>#REF!</v>
      </c>
      <c r="Y595" s="593" t="e">
        <f ca="1">$E595*SUMIF(INDIRECT(Y$3),'Struktur Aktuell'!$D595,INDIRECT(Y$8))*IFERROR(IF(VLOOKUP('Struktur Aktuell'!$D595,INDIRECT(Y$6),8,)="H",-1,1),0)</f>
        <v>#REF!</v>
      </c>
      <c r="Z595" s="593" t="e">
        <f ca="1">$E595*SUMIF(INDIRECT(Z$3),'Struktur Aktuell'!$D595,INDIRECT(Z$8))*IFERROR(IF(VLOOKUP('Struktur Aktuell'!$D595,INDIRECT(Z$6),8,)="H",-1,1),0)</f>
        <v>#REF!</v>
      </c>
      <c r="AA595" s="593" t="e">
        <f ca="1">$E595*SUMIF(INDIRECT(AA$3),'Struktur Aktuell'!$D595,INDIRECT(AA$8))*IFERROR(IF(VLOOKUP('Struktur Aktuell'!$D595,INDIRECT(AA$6),8,)="H",-1,1),0)</f>
        <v>#REF!</v>
      </c>
      <c r="AB595" s="593" t="e">
        <f ca="1">$E595*SUMIF(INDIRECT(AB$3),'Struktur Aktuell'!$D595,INDIRECT(AB$8))*IFERROR(IF(VLOOKUP('Struktur Aktuell'!$D595,INDIRECT(AB$6),8,)="H",-1,1),0)</f>
        <v>#REF!</v>
      </c>
      <c r="AC595" s="593" t="e">
        <f ca="1">$E595*SUMIF(INDIRECT(AC$3),'Struktur Aktuell'!$D595,INDIRECT(AC$8))*IFERROR(IF(VLOOKUP('Struktur Aktuell'!$D595,INDIRECT(AC$6),8,)="H",-1,1),0)</f>
        <v>#REF!</v>
      </c>
      <c r="AD595" s="593" t="e">
        <f ca="1">$E595*SUMIF(INDIRECT(AD$3),'Struktur Aktuell'!$D595,INDIRECT(AD$8))*IFERROR(IF(VLOOKUP('Struktur Aktuell'!$D595,INDIRECT(AD$6),8,)="H",-1,1),0)</f>
        <v>#REF!</v>
      </c>
      <c r="AE595" s="593">
        <f t="shared" ca="1" si="906"/>
        <v>0</v>
      </c>
      <c r="AF595" s="593">
        <f t="shared" ca="1" si="907"/>
        <v>0</v>
      </c>
      <c r="AG595" s="593">
        <f t="shared" ca="1" si="908"/>
        <v>0</v>
      </c>
      <c r="AH595" s="593">
        <f t="shared" ca="1" si="909"/>
        <v>0</v>
      </c>
      <c r="AI595" s="593">
        <f t="shared" ca="1" si="910"/>
        <v>0</v>
      </c>
      <c r="AJ595" s="593">
        <f t="shared" ca="1" si="911"/>
        <v>0</v>
      </c>
      <c r="AK595" s="593">
        <f t="shared" ca="1" si="912"/>
        <v>0</v>
      </c>
      <c r="AL595" s="593">
        <f t="shared" ca="1" si="913"/>
        <v>0</v>
      </c>
      <c r="AM595" s="593">
        <f t="shared" ca="1" si="914"/>
        <v>0</v>
      </c>
      <c r="AN595" s="593">
        <f t="shared" ca="1" si="915"/>
        <v>0</v>
      </c>
      <c r="AO595" s="593">
        <f t="shared" ca="1" si="916"/>
        <v>0</v>
      </c>
      <c r="AP595" s="593">
        <f t="shared" ca="1" si="917"/>
        <v>0</v>
      </c>
    </row>
    <row r="596" spans="1:42" s="594" customFormat="1" ht="11.25" x14ac:dyDescent="0.2">
      <c r="A596" s="644"/>
      <c r="B596" s="591" t="str">
        <f>IF(D596&lt;&gt;"",
IF(ISERROR(MATCH(D596,'Ist Aktuell Monat 01'!A:A,0))=FALSE,INDEX('Ist Aktuell Monat 01'!B:B,MATCH(D596,'Ist Aktuell Monat 01'!A:A,0)),
IF(ISERROR(MATCH(D596,'Ist Aktuell Monat 02'!A:A,0))=FALSE,INDEX('Ist Aktuell Monat 02'!B:B,MATCH(D596,'Ist Aktuell Monat 02'!A:A,0)),
IF(ISERROR(MATCH(D596,'Ist Aktuell Monat 03'!A:A,0))=FALSE,INDEX('Ist Aktuell Monat 03'!B:B,MATCH(D596,'Ist Aktuell Monat 03'!A:A,0)),
IF(ISERROR(MATCH(D596,'Ist Aktuell Monat 04'!A:A,0))=FALSE,INDEX('Ist Aktuell Monat 04'!B:B,MATCH(D596,'Ist Aktuell Monat 04'!A:A,0)),
IF(ISERROR(MATCH(D596,'Ist Aktuell Monat 05'!A:A,0))=FALSE,INDEX('Ist Aktuell Monat 05'!B:B,MATCH(D596,'Ist Aktuell Monat 05'!A:A,0)),
IF(ISERROR(MATCH(D596,'Ist Aktuell Monat 06'!A:A,0))=FALSE,INDEX('Ist Aktuell Monat 06'!B:B,MATCH(D596,'Ist Aktuell Monat 06'!A:A,0)),
IF(ISERROR(MATCH(D596,'Ist Aktuell Monat 07'!A:A,0))=FALSE,INDEX('Ist Aktuell Monat 07'!B:B,MATCH(D596,'Ist Aktuell Monat 07'!A:A,0)),
IF(ISERROR(MATCH(D596,'Ist Aktuell Monat 08'!A:A,0))=FALSE,INDEX('Ist Aktuell Monat 08'!B:B,MATCH(D596,'Ist Aktuell Monat 08'!A:A,0)),
IF(ISERROR(MATCH(D596,'Ist Aktuell Monat 09'!A:A,0))=FALSE,INDEX('Ist Aktuell Monat 09'!B:B,MATCH(D596,'Ist Aktuell Monat 09'!A:A,0)),
IF(ISERROR(MATCH(D596,'Ist Aktuell Monat 10'!A:A,0))=FALSE,INDEX('Ist Aktuell Monat 10'!B:B,MATCH(D596,'Ist Aktuell Monat 10'!A:A,0)),
IF(ISERROR(MATCH(D596,'Ist Aktuell Monat 11'!A:A,0))=FALSE,INDEX('Ist Aktuell Monat 11'!B:B,MATCH(D596,'Ist Aktuell Monat 11'!A:A,0)),
IF(ISERROR(MATCH(D596,'Ist Aktuell Monat 12'!A:A,0))=FALSE,INDEX('Ist Aktuell Monat 12'!B:B,MATCH(D596,'Ist Aktuell Monat 12'!A:A,0)),
"{Konto unbekannt}"
)))))))))))),"")</f>
        <v/>
      </c>
      <c r="C596" s="1062"/>
      <c r="D596" s="1067"/>
      <c r="E596" s="625">
        <f t="shared" ref="E596:E598" si="919">IF(F596="-",-1,1)</f>
        <v>-1</v>
      </c>
      <c r="F596" s="626" t="s">
        <v>996</v>
      </c>
      <c r="G596" s="593">
        <f ca="1">$E596*SUMIF(INDIRECT(G$3),'Struktur Aktuell'!$D596,INDIRECT(G$8))*IFERROR(IF(VLOOKUP('Struktur Aktuell'!$D596,INDIRECT(G$6),8,)="H",-1,1),0)</f>
        <v>0</v>
      </c>
      <c r="H596" s="593">
        <f ca="1">$E596*SUMIF(INDIRECT(H$3),'Struktur Aktuell'!$D596,INDIRECT(H$8))*IFERROR(IF(VLOOKUP('Struktur Aktuell'!$D596,INDIRECT(H$6),8,)="H",-1,1),0)</f>
        <v>0</v>
      </c>
      <c r="I596" s="593">
        <f ca="1">$E596*SUMIF(INDIRECT(I$3),'Struktur Aktuell'!$D596,INDIRECT(I$8))*IFERROR(IF(VLOOKUP('Struktur Aktuell'!$D596,INDIRECT(I$6),8,)="H",-1,1),0)</f>
        <v>0</v>
      </c>
      <c r="J596" s="593">
        <f ca="1">$E596*SUMIF(INDIRECT(J$3),'Struktur Aktuell'!$D596,INDIRECT(J$8))*IFERROR(IF(VLOOKUP('Struktur Aktuell'!$D596,INDIRECT(J$6),8,)="H",-1,1),0)</f>
        <v>0</v>
      </c>
      <c r="K596" s="593">
        <f ca="1">$E596*SUMIF(INDIRECT(K$3),'Struktur Aktuell'!$D596,INDIRECT(K$8))*IFERROR(IF(VLOOKUP('Struktur Aktuell'!$D596,INDIRECT(K$6),8,)="H",-1,1),0)</f>
        <v>0</v>
      </c>
      <c r="L596" s="593">
        <f ca="1">$E596*SUMIF(INDIRECT(L$3),'Struktur Aktuell'!$D596,INDIRECT(L$8))*IFERROR(IF(VLOOKUP('Struktur Aktuell'!$D596,INDIRECT(L$6),8,)="H",-1,1),0)</f>
        <v>0</v>
      </c>
      <c r="M596" s="593">
        <f ca="1">$E596*SUMIF(INDIRECT(M$3),'Struktur Aktuell'!$D596,INDIRECT(M$8))*IFERROR(IF(VLOOKUP('Struktur Aktuell'!$D596,INDIRECT(M$6),8,)="H",-1,1),0)</f>
        <v>0</v>
      </c>
      <c r="N596" s="593">
        <f ca="1">$E596*SUMIF(INDIRECT(N$3),'Struktur Aktuell'!$D596,INDIRECT(N$8))*IFERROR(IF(VLOOKUP('Struktur Aktuell'!$D596,INDIRECT(N$6),8,)="H",-1,1),0)</f>
        <v>0</v>
      </c>
      <c r="O596" s="593">
        <f ca="1">$E596*SUMIF(INDIRECT(O$3),'Struktur Aktuell'!$D596,INDIRECT(O$8))*IFERROR(IF(VLOOKUP('Struktur Aktuell'!$D596,INDIRECT(O$6),8,)="H",-1,1),0)</f>
        <v>0</v>
      </c>
      <c r="P596" s="593">
        <f ca="1">$E596*SUMIF(INDIRECT(P$3),'Struktur Aktuell'!$D596,INDIRECT(P$8))*IFERROR(IF(VLOOKUP('Struktur Aktuell'!$D596,INDIRECT(P$6),8,)="H",-1,1),0)</f>
        <v>0</v>
      </c>
      <c r="Q596" s="593">
        <f ca="1">$E596*SUMIF(INDIRECT(Q$3),'Struktur Aktuell'!$D596,INDIRECT(Q$8))*IFERROR(IF(VLOOKUP('Struktur Aktuell'!$D596,INDIRECT(Q$6),8,)="H",-1,1),0)</f>
        <v>0</v>
      </c>
      <c r="R596" s="593">
        <f ca="1">$E596*SUMIF(INDIRECT(R$3),'Struktur Aktuell'!$D596,INDIRECT(R$8))*IFERROR(IF(VLOOKUP('Struktur Aktuell'!$D596,INDIRECT(R$6),8,)="H",-1,1),0)</f>
        <v>0</v>
      </c>
      <c r="S596" s="593" t="e">
        <f ca="1">$E596*SUMIF(INDIRECT(S$3),'Struktur Aktuell'!$D596,INDIRECT(S$8))*IFERROR(IF(VLOOKUP('Struktur Aktuell'!$D596,INDIRECT(S$6),8,)="H",-1,1),0)</f>
        <v>#REF!</v>
      </c>
      <c r="T596" s="593" t="e">
        <f ca="1">$E596*SUMIF(INDIRECT(T$3),'Struktur Aktuell'!$D596,INDIRECT(T$8))*IFERROR(IF(VLOOKUP('Struktur Aktuell'!$D596,INDIRECT(T$6),8,)="H",-1,1),0)</f>
        <v>#REF!</v>
      </c>
      <c r="U596" s="593" t="e">
        <f ca="1">$E596*SUMIF(INDIRECT(U$3),'Struktur Aktuell'!$D596,INDIRECT(U$8))*IFERROR(IF(VLOOKUP('Struktur Aktuell'!$D596,INDIRECT(U$6),8,)="H",-1,1),0)</f>
        <v>#REF!</v>
      </c>
      <c r="V596" s="593" t="e">
        <f ca="1">$E596*SUMIF(INDIRECT(V$3),'Struktur Aktuell'!$D596,INDIRECT(V$8))*IFERROR(IF(VLOOKUP('Struktur Aktuell'!$D596,INDIRECT(V$6),8,)="H",-1,1),0)</f>
        <v>#REF!</v>
      </c>
      <c r="W596" s="593" t="e">
        <f ca="1">$E596*SUMIF(INDIRECT(W$3),'Struktur Aktuell'!$D596,INDIRECT(W$8))*IFERROR(IF(VLOOKUP('Struktur Aktuell'!$D596,INDIRECT(W$6),8,)="H",-1,1),0)</f>
        <v>#REF!</v>
      </c>
      <c r="X596" s="593" t="e">
        <f ca="1">$E596*SUMIF(INDIRECT(X$3),'Struktur Aktuell'!$D596,INDIRECT(X$8))*IFERROR(IF(VLOOKUP('Struktur Aktuell'!$D596,INDIRECT(X$6),8,)="H",-1,1),0)</f>
        <v>#REF!</v>
      </c>
      <c r="Y596" s="593" t="e">
        <f ca="1">$E596*SUMIF(INDIRECT(Y$3),'Struktur Aktuell'!$D596,INDIRECT(Y$8))*IFERROR(IF(VLOOKUP('Struktur Aktuell'!$D596,INDIRECT(Y$6),8,)="H",-1,1),0)</f>
        <v>#REF!</v>
      </c>
      <c r="Z596" s="593" t="e">
        <f ca="1">$E596*SUMIF(INDIRECT(Z$3),'Struktur Aktuell'!$D596,INDIRECT(Z$8))*IFERROR(IF(VLOOKUP('Struktur Aktuell'!$D596,INDIRECT(Z$6),8,)="H",-1,1),0)</f>
        <v>#REF!</v>
      </c>
      <c r="AA596" s="593" t="e">
        <f ca="1">$E596*SUMIF(INDIRECT(AA$3),'Struktur Aktuell'!$D596,INDIRECT(AA$8))*IFERROR(IF(VLOOKUP('Struktur Aktuell'!$D596,INDIRECT(AA$6),8,)="H",-1,1),0)</f>
        <v>#REF!</v>
      </c>
      <c r="AB596" s="593" t="e">
        <f ca="1">$E596*SUMIF(INDIRECT(AB$3),'Struktur Aktuell'!$D596,INDIRECT(AB$8))*IFERROR(IF(VLOOKUP('Struktur Aktuell'!$D596,INDIRECT(AB$6),8,)="H",-1,1),0)</f>
        <v>#REF!</v>
      </c>
      <c r="AC596" s="593" t="e">
        <f ca="1">$E596*SUMIF(INDIRECT(AC$3),'Struktur Aktuell'!$D596,INDIRECT(AC$8))*IFERROR(IF(VLOOKUP('Struktur Aktuell'!$D596,INDIRECT(AC$6),8,)="H",-1,1),0)</f>
        <v>#REF!</v>
      </c>
      <c r="AD596" s="593" t="e">
        <f ca="1">$E596*SUMIF(INDIRECT(AD$3),'Struktur Aktuell'!$D596,INDIRECT(AD$8))*IFERROR(IF(VLOOKUP('Struktur Aktuell'!$D596,INDIRECT(AD$6),8,)="H",-1,1),0)</f>
        <v>#REF!</v>
      </c>
      <c r="AE596" s="593">
        <f t="shared" ca="1" si="906"/>
        <v>0</v>
      </c>
      <c r="AF596" s="593">
        <f t="shared" ca="1" si="907"/>
        <v>0</v>
      </c>
      <c r="AG596" s="593">
        <f t="shared" ca="1" si="908"/>
        <v>0</v>
      </c>
      <c r="AH596" s="593">
        <f t="shared" ca="1" si="909"/>
        <v>0</v>
      </c>
      <c r="AI596" s="593">
        <f t="shared" ca="1" si="910"/>
        <v>0</v>
      </c>
      <c r="AJ596" s="593">
        <f t="shared" ca="1" si="911"/>
        <v>0</v>
      </c>
      <c r="AK596" s="593">
        <f t="shared" ca="1" si="912"/>
        <v>0</v>
      </c>
      <c r="AL596" s="593">
        <f t="shared" ca="1" si="913"/>
        <v>0</v>
      </c>
      <c r="AM596" s="593">
        <f t="shared" ca="1" si="914"/>
        <v>0</v>
      </c>
      <c r="AN596" s="593">
        <f t="shared" ca="1" si="915"/>
        <v>0</v>
      </c>
      <c r="AO596" s="593">
        <f t="shared" ca="1" si="916"/>
        <v>0</v>
      </c>
      <c r="AP596" s="593">
        <f t="shared" ca="1" si="917"/>
        <v>0</v>
      </c>
    </row>
    <row r="597" spans="1:42" s="594" customFormat="1" ht="11.25" x14ac:dyDescent="0.2">
      <c r="A597" s="644"/>
      <c r="B597" s="591" t="str">
        <f>IF(D597&lt;&gt;"",
IF(ISERROR(MATCH(D597,'Ist Aktuell Monat 01'!A:A,0))=FALSE,INDEX('Ist Aktuell Monat 01'!B:B,MATCH(D597,'Ist Aktuell Monat 01'!A:A,0)),
IF(ISERROR(MATCH(D597,'Ist Aktuell Monat 02'!A:A,0))=FALSE,INDEX('Ist Aktuell Monat 02'!B:B,MATCH(D597,'Ist Aktuell Monat 02'!A:A,0)),
IF(ISERROR(MATCH(D597,'Ist Aktuell Monat 03'!A:A,0))=FALSE,INDEX('Ist Aktuell Monat 03'!B:B,MATCH(D597,'Ist Aktuell Monat 03'!A:A,0)),
IF(ISERROR(MATCH(D597,'Ist Aktuell Monat 04'!A:A,0))=FALSE,INDEX('Ist Aktuell Monat 04'!B:B,MATCH(D597,'Ist Aktuell Monat 04'!A:A,0)),
IF(ISERROR(MATCH(D597,'Ist Aktuell Monat 05'!A:A,0))=FALSE,INDEX('Ist Aktuell Monat 05'!B:B,MATCH(D597,'Ist Aktuell Monat 05'!A:A,0)),
IF(ISERROR(MATCH(D597,'Ist Aktuell Monat 06'!A:A,0))=FALSE,INDEX('Ist Aktuell Monat 06'!B:B,MATCH(D597,'Ist Aktuell Monat 06'!A:A,0)),
IF(ISERROR(MATCH(D597,'Ist Aktuell Monat 07'!A:A,0))=FALSE,INDEX('Ist Aktuell Monat 07'!B:B,MATCH(D597,'Ist Aktuell Monat 07'!A:A,0)),
IF(ISERROR(MATCH(D597,'Ist Aktuell Monat 08'!A:A,0))=FALSE,INDEX('Ist Aktuell Monat 08'!B:B,MATCH(D597,'Ist Aktuell Monat 08'!A:A,0)),
IF(ISERROR(MATCH(D597,'Ist Aktuell Monat 09'!A:A,0))=FALSE,INDEX('Ist Aktuell Monat 09'!B:B,MATCH(D597,'Ist Aktuell Monat 09'!A:A,0)),
IF(ISERROR(MATCH(D597,'Ist Aktuell Monat 10'!A:A,0))=FALSE,INDEX('Ist Aktuell Monat 10'!B:B,MATCH(D597,'Ist Aktuell Monat 10'!A:A,0)),
IF(ISERROR(MATCH(D597,'Ist Aktuell Monat 11'!A:A,0))=FALSE,INDEX('Ist Aktuell Monat 11'!B:B,MATCH(D597,'Ist Aktuell Monat 11'!A:A,0)),
IF(ISERROR(MATCH(D597,'Ist Aktuell Monat 12'!A:A,0))=FALSE,INDEX('Ist Aktuell Monat 12'!B:B,MATCH(D597,'Ist Aktuell Monat 12'!A:A,0)),
"{Konto unbekannt}"
)))))))))))),"")</f>
        <v/>
      </c>
      <c r="C597" s="1062"/>
      <c r="D597" s="1067"/>
      <c r="E597" s="625">
        <f t="shared" si="919"/>
        <v>-1</v>
      </c>
      <c r="F597" s="626" t="s">
        <v>996</v>
      </c>
      <c r="G597" s="593">
        <f ca="1">$E597*SUMIF(INDIRECT(G$3),'Struktur Aktuell'!$D597,INDIRECT(G$8))*IFERROR(IF(VLOOKUP('Struktur Aktuell'!$D597,INDIRECT(G$6),8,)="H",-1,1),0)</f>
        <v>0</v>
      </c>
      <c r="H597" s="593">
        <f ca="1">$E597*SUMIF(INDIRECT(H$3),'Struktur Aktuell'!$D597,INDIRECT(H$8))*IFERROR(IF(VLOOKUP('Struktur Aktuell'!$D597,INDIRECT(H$6),8,)="H",-1,1),0)</f>
        <v>0</v>
      </c>
      <c r="I597" s="593">
        <f ca="1">$E597*SUMIF(INDIRECT(I$3),'Struktur Aktuell'!$D597,INDIRECT(I$8))*IFERROR(IF(VLOOKUP('Struktur Aktuell'!$D597,INDIRECT(I$6),8,)="H",-1,1),0)</f>
        <v>0</v>
      </c>
      <c r="J597" s="593">
        <f ca="1">$E597*SUMIF(INDIRECT(J$3),'Struktur Aktuell'!$D597,INDIRECT(J$8))*IFERROR(IF(VLOOKUP('Struktur Aktuell'!$D597,INDIRECT(J$6),8,)="H",-1,1),0)</f>
        <v>0</v>
      </c>
      <c r="K597" s="593">
        <f ca="1">$E597*SUMIF(INDIRECT(K$3),'Struktur Aktuell'!$D597,INDIRECT(K$8))*IFERROR(IF(VLOOKUP('Struktur Aktuell'!$D597,INDIRECT(K$6),8,)="H",-1,1),0)</f>
        <v>0</v>
      </c>
      <c r="L597" s="593">
        <f ca="1">$E597*SUMIF(INDIRECT(L$3),'Struktur Aktuell'!$D597,INDIRECT(L$8))*IFERROR(IF(VLOOKUP('Struktur Aktuell'!$D597,INDIRECT(L$6),8,)="H",-1,1),0)</f>
        <v>0</v>
      </c>
      <c r="M597" s="593">
        <f ca="1">$E597*SUMIF(INDIRECT(M$3),'Struktur Aktuell'!$D597,INDIRECT(M$8))*IFERROR(IF(VLOOKUP('Struktur Aktuell'!$D597,INDIRECT(M$6),8,)="H",-1,1),0)</f>
        <v>0</v>
      </c>
      <c r="N597" s="593">
        <f ca="1">$E597*SUMIF(INDIRECT(N$3),'Struktur Aktuell'!$D597,INDIRECT(N$8))*IFERROR(IF(VLOOKUP('Struktur Aktuell'!$D597,INDIRECT(N$6),8,)="H",-1,1),0)</f>
        <v>0</v>
      </c>
      <c r="O597" s="593">
        <f ca="1">$E597*SUMIF(INDIRECT(O$3),'Struktur Aktuell'!$D597,INDIRECT(O$8))*IFERROR(IF(VLOOKUP('Struktur Aktuell'!$D597,INDIRECT(O$6),8,)="H",-1,1),0)</f>
        <v>0</v>
      </c>
      <c r="P597" s="593">
        <f ca="1">$E597*SUMIF(INDIRECT(P$3),'Struktur Aktuell'!$D597,INDIRECT(P$8))*IFERROR(IF(VLOOKUP('Struktur Aktuell'!$D597,INDIRECT(P$6),8,)="H",-1,1),0)</f>
        <v>0</v>
      </c>
      <c r="Q597" s="593">
        <f ca="1">$E597*SUMIF(INDIRECT(Q$3),'Struktur Aktuell'!$D597,INDIRECT(Q$8))*IFERROR(IF(VLOOKUP('Struktur Aktuell'!$D597,INDIRECT(Q$6),8,)="H",-1,1),0)</f>
        <v>0</v>
      </c>
      <c r="R597" s="593">
        <f ca="1">$E597*SUMIF(INDIRECT(R$3),'Struktur Aktuell'!$D597,INDIRECT(R$8))*IFERROR(IF(VLOOKUP('Struktur Aktuell'!$D597,INDIRECT(R$6),8,)="H",-1,1),0)</f>
        <v>0</v>
      </c>
      <c r="S597" s="593" t="e">
        <f ca="1">$E597*SUMIF(INDIRECT(S$3),'Struktur Aktuell'!$D597,INDIRECT(S$8))*IFERROR(IF(VLOOKUP('Struktur Aktuell'!$D597,INDIRECT(S$6),8,)="H",-1,1),0)</f>
        <v>#REF!</v>
      </c>
      <c r="T597" s="593" t="e">
        <f ca="1">$E597*SUMIF(INDIRECT(T$3),'Struktur Aktuell'!$D597,INDIRECT(T$8))*IFERROR(IF(VLOOKUP('Struktur Aktuell'!$D597,INDIRECT(T$6),8,)="H",-1,1),0)</f>
        <v>#REF!</v>
      </c>
      <c r="U597" s="593" t="e">
        <f ca="1">$E597*SUMIF(INDIRECT(U$3),'Struktur Aktuell'!$D597,INDIRECT(U$8))*IFERROR(IF(VLOOKUP('Struktur Aktuell'!$D597,INDIRECT(U$6),8,)="H",-1,1),0)</f>
        <v>#REF!</v>
      </c>
      <c r="V597" s="593" t="e">
        <f ca="1">$E597*SUMIF(INDIRECT(V$3),'Struktur Aktuell'!$D597,INDIRECT(V$8))*IFERROR(IF(VLOOKUP('Struktur Aktuell'!$D597,INDIRECT(V$6),8,)="H",-1,1),0)</f>
        <v>#REF!</v>
      </c>
      <c r="W597" s="593" t="e">
        <f ca="1">$E597*SUMIF(INDIRECT(W$3),'Struktur Aktuell'!$D597,INDIRECT(W$8))*IFERROR(IF(VLOOKUP('Struktur Aktuell'!$D597,INDIRECT(W$6),8,)="H",-1,1),0)</f>
        <v>#REF!</v>
      </c>
      <c r="X597" s="593" t="e">
        <f ca="1">$E597*SUMIF(INDIRECT(X$3),'Struktur Aktuell'!$D597,INDIRECT(X$8))*IFERROR(IF(VLOOKUP('Struktur Aktuell'!$D597,INDIRECT(X$6),8,)="H",-1,1),0)</f>
        <v>#REF!</v>
      </c>
      <c r="Y597" s="593" t="e">
        <f ca="1">$E597*SUMIF(INDIRECT(Y$3),'Struktur Aktuell'!$D597,INDIRECT(Y$8))*IFERROR(IF(VLOOKUP('Struktur Aktuell'!$D597,INDIRECT(Y$6),8,)="H",-1,1),0)</f>
        <v>#REF!</v>
      </c>
      <c r="Z597" s="593" t="e">
        <f ca="1">$E597*SUMIF(INDIRECT(Z$3),'Struktur Aktuell'!$D597,INDIRECT(Z$8))*IFERROR(IF(VLOOKUP('Struktur Aktuell'!$D597,INDIRECT(Z$6),8,)="H",-1,1),0)</f>
        <v>#REF!</v>
      </c>
      <c r="AA597" s="593" t="e">
        <f ca="1">$E597*SUMIF(INDIRECT(AA$3),'Struktur Aktuell'!$D597,INDIRECT(AA$8))*IFERROR(IF(VLOOKUP('Struktur Aktuell'!$D597,INDIRECT(AA$6),8,)="H",-1,1),0)</f>
        <v>#REF!</v>
      </c>
      <c r="AB597" s="593" t="e">
        <f ca="1">$E597*SUMIF(INDIRECT(AB$3),'Struktur Aktuell'!$D597,INDIRECT(AB$8))*IFERROR(IF(VLOOKUP('Struktur Aktuell'!$D597,INDIRECT(AB$6),8,)="H",-1,1),0)</f>
        <v>#REF!</v>
      </c>
      <c r="AC597" s="593" t="e">
        <f ca="1">$E597*SUMIF(INDIRECT(AC$3),'Struktur Aktuell'!$D597,INDIRECT(AC$8))*IFERROR(IF(VLOOKUP('Struktur Aktuell'!$D597,INDIRECT(AC$6),8,)="H",-1,1),0)</f>
        <v>#REF!</v>
      </c>
      <c r="AD597" s="593" t="e">
        <f ca="1">$E597*SUMIF(INDIRECT(AD$3),'Struktur Aktuell'!$D597,INDIRECT(AD$8))*IFERROR(IF(VLOOKUP('Struktur Aktuell'!$D597,INDIRECT(AD$6),8,)="H",-1,1),0)</f>
        <v>#REF!</v>
      </c>
      <c r="AE597" s="593">
        <f t="shared" ca="1" si="906"/>
        <v>0</v>
      </c>
      <c r="AF597" s="593">
        <f t="shared" ca="1" si="907"/>
        <v>0</v>
      </c>
      <c r="AG597" s="593">
        <f t="shared" ca="1" si="908"/>
        <v>0</v>
      </c>
      <c r="AH597" s="593">
        <f t="shared" ca="1" si="909"/>
        <v>0</v>
      </c>
      <c r="AI597" s="593">
        <f t="shared" ca="1" si="910"/>
        <v>0</v>
      </c>
      <c r="AJ597" s="593">
        <f t="shared" ca="1" si="911"/>
        <v>0</v>
      </c>
      <c r="AK597" s="593">
        <f t="shared" ca="1" si="912"/>
        <v>0</v>
      </c>
      <c r="AL597" s="593">
        <f t="shared" ca="1" si="913"/>
        <v>0</v>
      </c>
      <c r="AM597" s="593">
        <f t="shared" ca="1" si="914"/>
        <v>0</v>
      </c>
      <c r="AN597" s="593">
        <f t="shared" ca="1" si="915"/>
        <v>0</v>
      </c>
      <c r="AO597" s="593">
        <f t="shared" ca="1" si="916"/>
        <v>0</v>
      </c>
      <c r="AP597" s="593">
        <f t="shared" ca="1" si="917"/>
        <v>0</v>
      </c>
    </row>
    <row r="598" spans="1:42" s="594" customFormat="1" ht="11.25" x14ac:dyDescent="0.2">
      <c r="A598" s="644"/>
      <c r="B598" s="591" t="str">
        <f>IF(D598&lt;&gt;"",
IF(ISERROR(MATCH(D598,'Ist Aktuell Monat 01'!A:A,0))=FALSE,INDEX('Ist Aktuell Monat 01'!B:B,MATCH(D598,'Ist Aktuell Monat 01'!A:A,0)),
IF(ISERROR(MATCH(D598,'Ist Aktuell Monat 02'!A:A,0))=FALSE,INDEX('Ist Aktuell Monat 02'!B:B,MATCH(D598,'Ist Aktuell Monat 02'!A:A,0)),
IF(ISERROR(MATCH(D598,'Ist Aktuell Monat 03'!A:A,0))=FALSE,INDEX('Ist Aktuell Monat 03'!B:B,MATCH(D598,'Ist Aktuell Monat 03'!A:A,0)),
IF(ISERROR(MATCH(D598,'Ist Aktuell Monat 04'!A:A,0))=FALSE,INDEX('Ist Aktuell Monat 04'!B:B,MATCH(D598,'Ist Aktuell Monat 04'!A:A,0)),
IF(ISERROR(MATCH(D598,'Ist Aktuell Monat 05'!A:A,0))=FALSE,INDEX('Ist Aktuell Monat 05'!B:B,MATCH(D598,'Ist Aktuell Monat 05'!A:A,0)),
IF(ISERROR(MATCH(D598,'Ist Aktuell Monat 06'!A:A,0))=FALSE,INDEX('Ist Aktuell Monat 06'!B:B,MATCH(D598,'Ist Aktuell Monat 06'!A:A,0)),
IF(ISERROR(MATCH(D598,'Ist Aktuell Monat 07'!A:A,0))=FALSE,INDEX('Ist Aktuell Monat 07'!B:B,MATCH(D598,'Ist Aktuell Monat 07'!A:A,0)),
IF(ISERROR(MATCH(D598,'Ist Aktuell Monat 08'!A:A,0))=FALSE,INDEX('Ist Aktuell Monat 08'!B:B,MATCH(D598,'Ist Aktuell Monat 08'!A:A,0)),
IF(ISERROR(MATCH(D598,'Ist Aktuell Monat 09'!A:A,0))=FALSE,INDEX('Ist Aktuell Monat 09'!B:B,MATCH(D598,'Ist Aktuell Monat 09'!A:A,0)),
IF(ISERROR(MATCH(D598,'Ist Aktuell Monat 10'!A:A,0))=FALSE,INDEX('Ist Aktuell Monat 10'!B:B,MATCH(D598,'Ist Aktuell Monat 10'!A:A,0)),
IF(ISERROR(MATCH(D598,'Ist Aktuell Monat 11'!A:A,0))=FALSE,INDEX('Ist Aktuell Monat 11'!B:B,MATCH(D598,'Ist Aktuell Monat 11'!A:A,0)),
IF(ISERROR(MATCH(D598,'Ist Aktuell Monat 12'!A:A,0))=FALSE,INDEX('Ist Aktuell Monat 12'!B:B,MATCH(D598,'Ist Aktuell Monat 12'!A:A,0)),
"{Konto unbekannt}"
)))))))))))),"")</f>
        <v/>
      </c>
      <c r="C598" s="1062"/>
      <c r="D598" s="1067"/>
      <c r="E598" s="625">
        <f t="shared" si="919"/>
        <v>-1</v>
      </c>
      <c r="F598" s="626" t="s">
        <v>996</v>
      </c>
      <c r="G598" s="593">
        <f ca="1">$E598*SUMIF(INDIRECT(G$3),'Struktur Aktuell'!$D598,INDIRECT(G$8))*IFERROR(IF(VLOOKUP('Struktur Aktuell'!$D598,INDIRECT(G$6),8,)="H",-1,1),0)</f>
        <v>0</v>
      </c>
      <c r="H598" s="593">
        <f ca="1">$E598*SUMIF(INDIRECT(H$3),'Struktur Aktuell'!$D598,INDIRECT(H$8))*IFERROR(IF(VLOOKUP('Struktur Aktuell'!$D598,INDIRECT(H$6),8,)="H",-1,1),0)</f>
        <v>0</v>
      </c>
      <c r="I598" s="593">
        <f ca="1">$E598*SUMIF(INDIRECT(I$3),'Struktur Aktuell'!$D598,INDIRECT(I$8))*IFERROR(IF(VLOOKUP('Struktur Aktuell'!$D598,INDIRECT(I$6),8,)="H",-1,1),0)</f>
        <v>0</v>
      </c>
      <c r="J598" s="593">
        <f ca="1">$E598*SUMIF(INDIRECT(J$3),'Struktur Aktuell'!$D598,INDIRECT(J$8))*IFERROR(IF(VLOOKUP('Struktur Aktuell'!$D598,INDIRECT(J$6),8,)="H",-1,1),0)</f>
        <v>0</v>
      </c>
      <c r="K598" s="593">
        <f ca="1">$E598*SUMIF(INDIRECT(K$3),'Struktur Aktuell'!$D598,INDIRECT(K$8))*IFERROR(IF(VLOOKUP('Struktur Aktuell'!$D598,INDIRECT(K$6),8,)="H",-1,1),0)</f>
        <v>0</v>
      </c>
      <c r="L598" s="593">
        <f ca="1">$E598*SUMIF(INDIRECT(L$3),'Struktur Aktuell'!$D598,INDIRECT(L$8))*IFERROR(IF(VLOOKUP('Struktur Aktuell'!$D598,INDIRECT(L$6),8,)="H",-1,1),0)</f>
        <v>0</v>
      </c>
      <c r="M598" s="593">
        <f ca="1">$E598*SUMIF(INDIRECT(M$3),'Struktur Aktuell'!$D598,INDIRECT(M$8))*IFERROR(IF(VLOOKUP('Struktur Aktuell'!$D598,INDIRECT(M$6),8,)="H",-1,1),0)</f>
        <v>0</v>
      </c>
      <c r="N598" s="593">
        <f ca="1">$E598*SUMIF(INDIRECT(N$3),'Struktur Aktuell'!$D598,INDIRECT(N$8))*IFERROR(IF(VLOOKUP('Struktur Aktuell'!$D598,INDIRECT(N$6),8,)="H",-1,1),0)</f>
        <v>0</v>
      </c>
      <c r="O598" s="593">
        <f ca="1">$E598*SUMIF(INDIRECT(O$3),'Struktur Aktuell'!$D598,INDIRECT(O$8))*IFERROR(IF(VLOOKUP('Struktur Aktuell'!$D598,INDIRECT(O$6),8,)="H",-1,1),0)</f>
        <v>0</v>
      </c>
      <c r="P598" s="593">
        <f ca="1">$E598*SUMIF(INDIRECT(P$3),'Struktur Aktuell'!$D598,INDIRECT(P$8))*IFERROR(IF(VLOOKUP('Struktur Aktuell'!$D598,INDIRECT(P$6),8,)="H",-1,1),0)</f>
        <v>0</v>
      </c>
      <c r="Q598" s="593">
        <f ca="1">$E598*SUMIF(INDIRECT(Q$3),'Struktur Aktuell'!$D598,INDIRECT(Q$8))*IFERROR(IF(VLOOKUP('Struktur Aktuell'!$D598,INDIRECT(Q$6),8,)="H",-1,1),0)</f>
        <v>0</v>
      </c>
      <c r="R598" s="593">
        <f ca="1">$E598*SUMIF(INDIRECT(R$3),'Struktur Aktuell'!$D598,INDIRECT(R$8))*IFERROR(IF(VLOOKUP('Struktur Aktuell'!$D598,INDIRECT(R$6),8,)="H",-1,1),0)</f>
        <v>0</v>
      </c>
      <c r="S598" s="593" t="e">
        <f ca="1">$E598*SUMIF(INDIRECT(S$3),'Struktur Aktuell'!$D598,INDIRECT(S$8))*IFERROR(IF(VLOOKUP('Struktur Aktuell'!$D598,INDIRECT(S$6),8,)="H",-1,1),0)</f>
        <v>#REF!</v>
      </c>
      <c r="T598" s="593" t="e">
        <f ca="1">$E598*SUMIF(INDIRECT(T$3),'Struktur Aktuell'!$D598,INDIRECT(T$8))*IFERROR(IF(VLOOKUP('Struktur Aktuell'!$D598,INDIRECT(T$6),8,)="H",-1,1),0)</f>
        <v>#REF!</v>
      </c>
      <c r="U598" s="593" t="e">
        <f ca="1">$E598*SUMIF(INDIRECT(U$3),'Struktur Aktuell'!$D598,INDIRECT(U$8))*IFERROR(IF(VLOOKUP('Struktur Aktuell'!$D598,INDIRECT(U$6),8,)="H",-1,1),0)</f>
        <v>#REF!</v>
      </c>
      <c r="V598" s="593" t="e">
        <f ca="1">$E598*SUMIF(INDIRECT(V$3),'Struktur Aktuell'!$D598,INDIRECT(V$8))*IFERROR(IF(VLOOKUP('Struktur Aktuell'!$D598,INDIRECT(V$6),8,)="H",-1,1),0)</f>
        <v>#REF!</v>
      </c>
      <c r="W598" s="593" t="e">
        <f ca="1">$E598*SUMIF(INDIRECT(W$3),'Struktur Aktuell'!$D598,INDIRECT(W$8))*IFERROR(IF(VLOOKUP('Struktur Aktuell'!$D598,INDIRECT(W$6),8,)="H",-1,1),0)</f>
        <v>#REF!</v>
      </c>
      <c r="X598" s="593" t="e">
        <f ca="1">$E598*SUMIF(INDIRECT(X$3),'Struktur Aktuell'!$D598,INDIRECT(X$8))*IFERROR(IF(VLOOKUP('Struktur Aktuell'!$D598,INDIRECT(X$6),8,)="H",-1,1),0)</f>
        <v>#REF!</v>
      </c>
      <c r="Y598" s="593" t="e">
        <f ca="1">$E598*SUMIF(INDIRECT(Y$3),'Struktur Aktuell'!$D598,INDIRECT(Y$8))*IFERROR(IF(VLOOKUP('Struktur Aktuell'!$D598,INDIRECT(Y$6),8,)="H",-1,1),0)</f>
        <v>#REF!</v>
      </c>
      <c r="Z598" s="593" t="e">
        <f ca="1">$E598*SUMIF(INDIRECT(Z$3),'Struktur Aktuell'!$D598,INDIRECT(Z$8))*IFERROR(IF(VLOOKUP('Struktur Aktuell'!$D598,INDIRECT(Z$6),8,)="H",-1,1),0)</f>
        <v>#REF!</v>
      </c>
      <c r="AA598" s="593" t="e">
        <f ca="1">$E598*SUMIF(INDIRECT(AA$3),'Struktur Aktuell'!$D598,INDIRECT(AA$8))*IFERROR(IF(VLOOKUP('Struktur Aktuell'!$D598,INDIRECT(AA$6),8,)="H",-1,1),0)</f>
        <v>#REF!</v>
      </c>
      <c r="AB598" s="593" t="e">
        <f ca="1">$E598*SUMIF(INDIRECT(AB$3),'Struktur Aktuell'!$D598,INDIRECT(AB$8))*IFERROR(IF(VLOOKUP('Struktur Aktuell'!$D598,INDIRECT(AB$6),8,)="H",-1,1),0)</f>
        <v>#REF!</v>
      </c>
      <c r="AC598" s="593" t="e">
        <f ca="1">$E598*SUMIF(INDIRECT(AC$3),'Struktur Aktuell'!$D598,INDIRECT(AC$8))*IFERROR(IF(VLOOKUP('Struktur Aktuell'!$D598,INDIRECT(AC$6),8,)="H",-1,1),0)</f>
        <v>#REF!</v>
      </c>
      <c r="AD598" s="593" t="e">
        <f ca="1">$E598*SUMIF(INDIRECT(AD$3),'Struktur Aktuell'!$D598,INDIRECT(AD$8))*IFERROR(IF(VLOOKUP('Struktur Aktuell'!$D598,INDIRECT(AD$6),8,)="H",-1,1),0)</f>
        <v>#REF!</v>
      </c>
      <c r="AE598" s="593">
        <f t="shared" ca="1" si="906"/>
        <v>0</v>
      </c>
      <c r="AF598" s="593">
        <f t="shared" ca="1" si="907"/>
        <v>0</v>
      </c>
      <c r="AG598" s="593">
        <f t="shared" ca="1" si="908"/>
        <v>0</v>
      </c>
      <c r="AH598" s="593">
        <f t="shared" ca="1" si="909"/>
        <v>0</v>
      </c>
      <c r="AI598" s="593">
        <f t="shared" ca="1" si="910"/>
        <v>0</v>
      </c>
      <c r="AJ598" s="593">
        <f t="shared" ca="1" si="911"/>
        <v>0</v>
      </c>
      <c r="AK598" s="593">
        <f t="shared" ca="1" si="912"/>
        <v>0</v>
      </c>
      <c r="AL598" s="593">
        <f t="shared" ca="1" si="913"/>
        <v>0</v>
      </c>
      <c r="AM598" s="593">
        <f t="shared" ca="1" si="914"/>
        <v>0</v>
      </c>
      <c r="AN598" s="593">
        <f t="shared" ca="1" si="915"/>
        <v>0</v>
      </c>
      <c r="AO598" s="593">
        <f t="shared" ca="1" si="916"/>
        <v>0</v>
      </c>
      <c r="AP598" s="593">
        <f t="shared" ca="1" si="917"/>
        <v>0</v>
      </c>
    </row>
    <row r="599" spans="1:42" s="594" customFormat="1" ht="11.25" x14ac:dyDescent="0.2">
      <c r="A599" s="644"/>
      <c r="B599" s="591" t="str">
        <f>IF(D599&lt;&gt;"",
IF(ISERROR(MATCH(D599,'Ist Aktuell Monat 01'!A:A,0))=FALSE,INDEX('Ist Aktuell Monat 01'!B:B,MATCH(D599,'Ist Aktuell Monat 01'!A:A,0)),
IF(ISERROR(MATCH(D599,'Ist Aktuell Monat 02'!A:A,0))=FALSE,INDEX('Ist Aktuell Monat 02'!B:B,MATCH(D599,'Ist Aktuell Monat 02'!A:A,0)),
IF(ISERROR(MATCH(D599,'Ist Aktuell Monat 03'!A:A,0))=FALSE,INDEX('Ist Aktuell Monat 03'!B:B,MATCH(D599,'Ist Aktuell Monat 03'!A:A,0)),
IF(ISERROR(MATCH(D599,'Ist Aktuell Monat 04'!A:A,0))=FALSE,INDEX('Ist Aktuell Monat 04'!B:B,MATCH(D599,'Ist Aktuell Monat 04'!A:A,0)),
IF(ISERROR(MATCH(D599,'Ist Aktuell Monat 05'!A:A,0))=FALSE,INDEX('Ist Aktuell Monat 05'!B:B,MATCH(D599,'Ist Aktuell Monat 05'!A:A,0)),
IF(ISERROR(MATCH(D599,'Ist Aktuell Monat 06'!A:A,0))=FALSE,INDEX('Ist Aktuell Monat 06'!B:B,MATCH(D599,'Ist Aktuell Monat 06'!A:A,0)),
IF(ISERROR(MATCH(D599,'Ist Aktuell Monat 07'!A:A,0))=FALSE,INDEX('Ist Aktuell Monat 07'!B:B,MATCH(D599,'Ist Aktuell Monat 07'!A:A,0)),
IF(ISERROR(MATCH(D599,'Ist Aktuell Monat 08'!A:A,0))=FALSE,INDEX('Ist Aktuell Monat 08'!B:B,MATCH(D599,'Ist Aktuell Monat 08'!A:A,0)),
IF(ISERROR(MATCH(D599,'Ist Aktuell Monat 09'!A:A,0))=FALSE,INDEX('Ist Aktuell Monat 09'!B:B,MATCH(D599,'Ist Aktuell Monat 09'!A:A,0)),
IF(ISERROR(MATCH(D599,'Ist Aktuell Monat 10'!A:A,0))=FALSE,INDEX('Ist Aktuell Monat 10'!B:B,MATCH(D599,'Ist Aktuell Monat 10'!A:A,0)),
IF(ISERROR(MATCH(D599,'Ist Aktuell Monat 11'!A:A,0))=FALSE,INDEX('Ist Aktuell Monat 11'!B:B,MATCH(D599,'Ist Aktuell Monat 11'!A:A,0)),
IF(ISERROR(MATCH(D599,'Ist Aktuell Monat 12'!A:A,0))=FALSE,INDEX('Ist Aktuell Monat 12'!B:B,MATCH(D599,'Ist Aktuell Monat 12'!A:A,0)),
"{Konto unbekannt}"
)))))))))))),"")</f>
        <v/>
      </c>
      <c r="C599" s="1062"/>
      <c r="D599" s="1067"/>
      <c r="E599" s="625">
        <f t="shared" si="727"/>
        <v>-1</v>
      </c>
      <c r="F599" s="626" t="s">
        <v>996</v>
      </c>
      <c r="G599" s="593">
        <f ca="1">$E599*SUMIF(INDIRECT(G$3),'Struktur Aktuell'!$D599,INDIRECT(G$8))*IFERROR(IF(VLOOKUP('Struktur Aktuell'!$D599,INDIRECT(G$6),8,)="H",-1,1),0)</f>
        <v>0</v>
      </c>
      <c r="H599" s="593">
        <f ca="1">$E599*SUMIF(INDIRECT(H$3),'Struktur Aktuell'!$D599,INDIRECT(H$8))*IFERROR(IF(VLOOKUP('Struktur Aktuell'!$D599,INDIRECT(H$6),8,)="H",-1,1),0)</f>
        <v>0</v>
      </c>
      <c r="I599" s="593">
        <f ca="1">$E599*SUMIF(INDIRECT(I$3),'Struktur Aktuell'!$D599,INDIRECT(I$8))*IFERROR(IF(VLOOKUP('Struktur Aktuell'!$D599,INDIRECT(I$6),8,)="H",-1,1),0)</f>
        <v>0</v>
      </c>
      <c r="J599" s="593">
        <f ca="1">$E599*SUMIF(INDIRECT(J$3),'Struktur Aktuell'!$D599,INDIRECT(J$8))*IFERROR(IF(VLOOKUP('Struktur Aktuell'!$D599,INDIRECT(J$6),8,)="H",-1,1),0)</f>
        <v>0</v>
      </c>
      <c r="K599" s="593">
        <f ca="1">$E599*SUMIF(INDIRECT(K$3),'Struktur Aktuell'!$D599,INDIRECT(K$8))*IFERROR(IF(VLOOKUP('Struktur Aktuell'!$D599,INDIRECT(K$6),8,)="H",-1,1),0)</f>
        <v>0</v>
      </c>
      <c r="L599" s="593">
        <f ca="1">$E599*SUMIF(INDIRECT(L$3),'Struktur Aktuell'!$D599,INDIRECT(L$8))*IFERROR(IF(VLOOKUP('Struktur Aktuell'!$D599,INDIRECT(L$6),8,)="H",-1,1),0)</f>
        <v>0</v>
      </c>
      <c r="M599" s="593">
        <f ca="1">$E599*SUMIF(INDIRECT(M$3),'Struktur Aktuell'!$D599,INDIRECT(M$8))*IFERROR(IF(VLOOKUP('Struktur Aktuell'!$D599,INDIRECT(M$6),8,)="H",-1,1),0)</f>
        <v>0</v>
      </c>
      <c r="N599" s="593">
        <f ca="1">$E599*SUMIF(INDIRECT(N$3),'Struktur Aktuell'!$D599,INDIRECT(N$8))*IFERROR(IF(VLOOKUP('Struktur Aktuell'!$D599,INDIRECT(N$6),8,)="H",-1,1),0)</f>
        <v>0</v>
      </c>
      <c r="O599" s="593">
        <f ca="1">$E599*SUMIF(INDIRECT(O$3),'Struktur Aktuell'!$D599,INDIRECT(O$8))*IFERROR(IF(VLOOKUP('Struktur Aktuell'!$D599,INDIRECT(O$6),8,)="H",-1,1),0)</f>
        <v>0</v>
      </c>
      <c r="P599" s="593">
        <f ca="1">$E599*SUMIF(INDIRECT(P$3),'Struktur Aktuell'!$D599,INDIRECT(P$8))*IFERROR(IF(VLOOKUP('Struktur Aktuell'!$D599,INDIRECT(P$6),8,)="H",-1,1),0)</f>
        <v>0</v>
      </c>
      <c r="Q599" s="593">
        <f ca="1">$E599*SUMIF(INDIRECT(Q$3),'Struktur Aktuell'!$D599,INDIRECT(Q$8))*IFERROR(IF(VLOOKUP('Struktur Aktuell'!$D599,INDIRECT(Q$6),8,)="H",-1,1),0)</f>
        <v>0</v>
      </c>
      <c r="R599" s="593">
        <f ca="1">$E599*SUMIF(INDIRECT(R$3),'Struktur Aktuell'!$D599,INDIRECT(R$8))*IFERROR(IF(VLOOKUP('Struktur Aktuell'!$D599,INDIRECT(R$6),8,)="H",-1,1),0)</f>
        <v>0</v>
      </c>
      <c r="S599" s="593" t="e">
        <f ca="1">$E599*SUMIF(INDIRECT(S$3),'Struktur Aktuell'!$D599,INDIRECT(S$8))*IFERROR(IF(VLOOKUP('Struktur Aktuell'!$D599,INDIRECT(S$6),8,)="H",-1,1),0)</f>
        <v>#REF!</v>
      </c>
      <c r="T599" s="593" t="e">
        <f ca="1">$E599*SUMIF(INDIRECT(T$3),'Struktur Aktuell'!$D599,INDIRECT(T$8))*IFERROR(IF(VLOOKUP('Struktur Aktuell'!$D599,INDIRECT(T$6),8,)="H",-1,1),0)</f>
        <v>#REF!</v>
      </c>
      <c r="U599" s="593" t="e">
        <f ca="1">$E599*SUMIF(INDIRECT(U$3),'Struktur Aktuell'!$D599,INDIRECT(U$8))*IFERROR(IF(VLOOKUP('Struktur Aktuell'!$D599,INDIRECT(U$6),8,)="H",-1,1),0)</f>
        <v>#REF!</v>
      </c>
      <c r="V599" s="593" t="e">
        <f ca="1">$E599*SUMIF(INDIRECT(V$3),'Struktur Aktuell'!$D599,INDIRECT(V$8))*IFERROR(IF(VLOOKUP('Struktur Aktuell'!$D599,INDIRECT(V$6),8,)="H",-1,1),0)</f>
        <v>#REF!</v>
      </c>
      <c r="W599" s="593" t="e">
        <f ca="1">$E599*SUMIF(INDIRECT(W$3),'Struktur Aktuell'!$D599,INDIRECT(W$8))*IFERROR(IF(VLOOKUP('Struktur Aktuell'!$D599,INDIRECT(W$6),8,)="H",-1,1),0)</f>
        <v>#REF!</v>
      </c>
      <c r="X599" s="593" t="e">
        <f ca="1">$E599*SUMIF(INDIRECT(X$3),'Struktur Aktuell'!$D599,INDIRECT(X$8))*IFERROR(IF(VLOOKUP('Struktur Aktuell'!$D599,INDIRECT(X$6),8,)="H",-1,1),0)</f>
        <v>#REF!</v>
      </c>
      <c r="Y599" s="593" t="e">
        <f ca="1">$E599*SUMIF(INDIRECT(Y$3),'Struktur Aktuell'!$D599,INDIRECT(Y$8))*IFERROR(IF(VLOOKUP('Struktur Aktuell'!$D599,INDIRECT(Y$6),8,)="H",-1,1),0)</f>
        <v>#REF!</v>
      </c>
      <c r="Z599" s="593" t="e">
        <f ca="1">$E599*SUMIF(INDIRECT(Z$3),'Struktur Aktuell'!$D599,INDIRECT(Z$8))*IFERROR(IF(VLOOKUP('Struktur Aktuell'!$D599,INDIRECT(Z$6),8,)="H",-1,1),0)</f>
        <v>#REF!</v>
      </c>
      <c r="AA599" s="593" t="e">
        <f ca="1">$E599*SUMIF(INDIRECT(AA$3),'Struktur Aktuell'!$D599,INDIRECT(AA$8))*IFERROR(IF(VLOOKUP('Struktur Aktuell'!$D599,INDIRECT(AA$6),8,)="H",-1,1),0)</f>
        <v>#REF!</v>
      </c>
      <c r="AB599" s="593" t="e">
        <f ca="1">$E599*SUMIF(INDIRECT(AB$3),'Struktur Aktuell'!$D599,INDIRECT(AB$8))*IFERROR(IF(VLOOKUP('Struktur Aktuell'!$D599,INDIRECT(AB$6),8,)="H",-1,1),0)</f>
        <v>#REF!</v>
      </c>
      <c r="AC599" s="593" t="e">
        <f ca="1">$E599*SUMIF(INDIRECT(AC$3),'Struktur Aktuell'!$D599,INDIRECT(AC$8))*IFERROR(IF(VLOOKUP('Struktur Aktuell'!$D599,INDIRECT(AC$6),8,)="H",-1,1),0)</f>
        <v>#REF!</v>
      </c>
      <c r="AD599" s="593" t="e">
        <f ca="1">$E599*SUMIF(INDIRECT(AD$3),'Struktur Aktuell'!$D599,INDIRECT(AD$8))*IFERROR(IF(VLOOKUP('Struktur Aktuell'!$D599,INDIRECT(AD$6),8,)="H",-1,1),0)</f>
        <v>#REF!</v>
      </c>
      <c r="AE599" s="593">
        <f t="shared" ca="1" si="906"/>
        <v>0</v>
      </c>
      <c r="AF599" s="593">
        <f t="shared" ca="1" si="907"/>
        <v>0</v>
      </c>
      <c r="AG599" s="593">
        <f t="shared" ca="1" si="908"/>
        <v>0</v>
      </c>
      <c r="AH599" s="593">
        <f t="shared" ca="1" si="909"/>
        <v>0</v>
      </c>
      <c r="AI599" s="593">
        <f t="shared" ca="1" si="910"/>
        <v>0</v>
      </c>
      <c r="AJ599" s="593">
        <f t="shared" ca="1" si="911"/>
        <v>0</v>
      </c>
      <c r="AK599" s="593">
        <f t="shared" ca="1" si="912"/>
        <v>0</v>
      </c>
      <c r="AL599" s="593">
        <f t="shared" ca="1" si="913"/>
        <v>0</v>
      </c>
      <c r="AM599" s="593">
        <f t="shared" ca="1" si="914"/>
        <v>0</v>
      </c>
      <c r="AN599" s="593">
        <f t="shared" ca="1" si="915"/>
        <v>0</v>
      </c>
      <c r="AO599" s="593">
        <f t="shared" ca="1" si="916"/>
        <v>0</v>
      </c>
      <c r="AP599" s="593">
        <f t="shared" ca="1" si="917"/>
        <v>0</v>
      </c>
    </row>
    <row r="600" spans="1:42" s="589" customFormat="1" x14ac:dyDescent="0.2">
      <c r="A600" s="629">
        <v>55</v>
      </c>
      <c r="B600" s="623" t="s">
        <v>1037</v>
      </c>
      <c r="C600" s="627">
        <f ca="1">SUM(G600:R600)</f>
        <v>0</v>
      </c>
      <c r="D600" s="627"/>
      <c r="E600" s="628">
        <f t="shared" si="727"/>
        <v>1</v>
      </c>
      <c r="F600" s="628"/>
      <c r="G600" s="627">
        <f ca="1">SUM(G601:G603)</f>
        <v>0</v>
      </c>
      <c r="H600" s="627">
        <f t="shared" ref="H600:R600" ca="1" si="920">SUM(H601:H603)</f>
        <v>0</v>
      </c>
      <c r="I600" s="627">
        <f t="shared" ca="1" si="920"/>
        <v>0</v>
      </c>
      <c r="J600" s="627">
        <f t="shared" ca="1" si="920"/>
        <v>0</v>
      </c>
      <c r="K600" s="627">
        <f t="shared" ca="1" si="920"/>
        <v>0</v>
      </c>
      <c r="L600" s="627">
        <f t="shared" ca="1" si="920"/>
        <v>0</v>
      </c>
      <c r="M600" s="627">
        <f t="shared" ca="1" si="920"/>
        <v>0</v>
      </c>
      <c r="N600" s="627">
        <f t="shared" ca="1" si="920"/>
        <v>0</v>
      </c>
      <c r="O600" s="627">
        <f t="shared" ca="1" si="920"/>
        <v>0</v>
      </c>
      <c r="P600" s="627">
        <f t="shared" ca="1" si="920"/>
        <v>0</v>
      </c>
      <c r="Q600" s="627">
        <f t="shared" ca="1" si="920"/>
        <v>0</v>
      </c>
      <c r="R600" s="627">
        <f t="shared" ca="1" si="920"/>
        <v>0</v>
      </c>
      <c r="S600" s="627" t="e">
        <f ca="1">SUM(S601:S603)</f>
        <v>#REF!</v>
      </c>
      <c r="T600" s="627" t="e">
        <f t="shared" ref="T600:AD600" ca="1" si="921">SUM(T601:T603)</f>
        <v>#REF!</v>
      </c>
      <c r="U600" s="627" t="e">
        <f t="shared" ca="1" si="921"/>
        <v>#REF!</v>
      </c>
      <c r="V600" s="627" t="e">
        <f t="shared" ca="1" si="921"/>
        <v>#REF!</v>
      </c>
      <c r="W600" s="627" t="e">
        <f t="shared" ca="1" si="921"/>
        <v>#REF!</v>
      </c>
      <c r="X600" s="627" t="e">
        <f t="shared" ca="1" si="921"/>
        <v>#REF!</v>
      </c>
      <c r="Y600" s="627" t="e">
        <f t="shared" ca="1" si="921"/>
        <v>#REF!</v>
      </c>
      <c r="Z600" s="627" t="e">
        <f t="shared" ca="1" si="921"/>
        <v>#REF!</v>
      </c>
      <c r="AA600" s="627" t="e">
        <f t="shared" ca="1" si="921"/>
        <v>#REF!</v>
      </c>
      <c r="AB600" s="627" t="e">
        <f t="shared" ca="1" si="921"/>
        <v>#REF!</v>
      </c>
      <c r="AC600" s="627" t="e">
        <f t="shared" ca="1" si="921"/>
        <v>#REF!</v>
      </c>
      <c r="AD600" s="627" t="e">
        <f t="shared" ca="1" si="921"/>
        <v>#REF!</v>
      </c>
      <c r="AE600" s="627">
        <f ca="1">SUM(AE601:AE603)</f>
        <v>0</v>
      </c>
      <c r="AF600" s="627">
        <f t="shared" ref="AF600:AP600" ca="1" si="922">SUM(AF601:AF603)</f>
        <v>0</v>
      </c>
      <c r="AG600" s="627">
        <f t="shared" ca="1" si="922"/>
        <v>0</v>
      </c>
      <c r="AH600" s="627">
        <f t="shared" ca="1" si="922"/>
        <v>0</v>
      </c>
      <c r="AI600" s="627">
        <f t="shared" ca="1" si="922"/>
        <v>0</v>
      </c>
      <c r="AJ600" s="627">
        <f t="shared" ca="1" si="922"/>
        <v>0</v>
      </c>
      <c r="AK600" s="627">
        <f t="shared" ca="1" si="922"/>
        <v>0</v>
      </c>
      <c r="AL600" s="627">
        <f t="shared" ca="1" si="922"/>
        <v>0</v>
      </c>
      <c r="AM600" s="627">
        <f t="shared" ca="1" si="922"/>
        <v>0</v>
      </c>
      <c r="AN600" s="627">
        <f t="shared" ca="1" si="922"/>
        <v>0</v>
      </c>
      <c r="AO600" s="627">
        <f t="shared" ca="1" si="922"/>
        <v>0</v>
      </c>
      <c r="AP600" s="627">
        <f t="shared" ca="1" si="922"/>
        <v>0</v>
      </c>
    </row>
    <row r="601" spans="1:42" s="594" customFormat="1" ht="11.25" x14ac:dyDescent="0.2">
      <c r="A601" s="644"/>
      <c r="B601" s="591" t="str">
        <f>IF(D601&lt;&gt;"",
IF(ISERROR(MATCH(D601,'Ist Aktuell Monat 01'!A:A,0))=FALSE,INDEX('Ist Aktuell Monat 01'!B:B,MATCH(D601,'Ist Aktuell Monat 01'!A:A,0)),
IF(ISERROR(MATCH(D601,'Ist Aktuell Monat 02'!A:A,0))=FALSE,INDEX('Ist Aktuell Monat 02'!B:B,MATCH(D601,'Ist Aktuell Monat 02'!A:A,0)),
IF(ISERROR(MATCH(D601,'Ist Aktuell Monat 03'!A:A,0))=FALSE,INDEX('Ist Aktuell Monat 03'!B:B,MATCH(D601,'Ist Aktuell Monat 03'!A:A,0)),
IF(ISERROR(MATCH(D601,'Ist Aktuell Monat 04'!A:A,0))=FALSE,INDEX('Ist Aktuell Monat 04'!B:B,MATCH(D601,'Ist Aktuell Monat 04'!A:A,0)),
IF(ISERROR(MATCH(D601,'Ist Aktuell Monat 05'!A:A,0))=FALSE,INDEX('Ist Aktuell Monat 05'!B:B,MATCH(D601,'Ist Aktuell Monat 05'!A:A,0)),
IF(ISERROR(MATCH(D601,'Ist Aktuell Monat 06'!A:A,0))=FALSE,INDEX('Ist Aktuell Monat 06'!B:B,MATCH(D601,'Ist Aktuell Monat 06'!A:A,0)),
IF(ISERROR(MATCH(D601,'Ist Aktuell Monat 07'!A:A,0))=FALSE,INDEX('Ist Aktuell Monat 07'!B:B,MATCH(D601,'Ist Aktuell Monat 07'!A:A,0)),
IF(ISERROR(MATCH(D601,'Ist Aktuell Monat 08'!A:A,0))=FALSE,INDEX('Ist Aktuell Monat 08'!B:B,MATCH(D601,'Ist Aktuell Monat 08'!A:A,0)),
IF(ISERROR(MATCH(D601,'Ist Aktuell Monat 09'!A:A,0))=FALSE,INDEX('Ist Aktuell Monat 09'!B:B,MATCH(D601,'Ist Aktuell Monat 09'!A:A,0)),
IF(ISERROR(MATCH(D601,'Ist Aktuell Monat 10'!A:A,0))=FALSE,INDEX('Ist Aktuell Monat 10'!B:B,MATCH(D601,'Ist Aktuell Monat 10'!A:A,0)),
IF(ISERROR(MATCH(D601,'Ist Aktuell Monat 11'!A:A,0))=FALSE,INDEX('Ist Aktuell Monat 11'!B:B,MATCH(D601,'Ist Aktuell Monat 11'!A:A,0)),
IF(ISERROR(MATCH(D601,'Ist Aktuell Monat 12'!A:A,0))=FALSE,INDEX('Ist Aktuell Monat 12'!B:B,MATCH(D601,'Ist Aktuell Monat 12'!A:A,0)),
"{Konto unbekannt}"
)))))))))))),"")</f>
        <v>{Konto unbekannt}</v>
      </c>
      <c r="C601" s="1062"/>
      <c r="D601" s="1067">
        <v>1700</v>
      </c>
      <c r="E601" s="625">
        <f t="shared" si="727"/>
        <v>-1</v>
      </c>
      <c r="F601" s="626" t="s">
        <v>996</v>
      </c>
      <c r="G601" s="593">
        <f ca="1">$E601*SUMIF(INDIRECT(G$3),'Struktur Aktuell'!$D601,INDIRECT(G$8))*IFERROR(IF(VLOOKUP('Struktur Aktuell'!$D601,INDIRECT(G$6),8,)="H",-1,1),0)</f>
        <v>0</v>
      </c>
      <c r="H601" s="593">
        <f ca="1">$E601*SUMIF(INDIRECT(H$3),'Struktur Aktuell'!$D601,INDIRECT(H$8))*IFERROR(IF(VLOOKUP('Struktur Aktuell'!$D601,INDIRECT(H$6),8,)="H",-1,1),0)</f>
        <v>0</v>
      </c>
      <c r="I601" s="593">
        <f ca="1">$E601*SUMIF(INDIRECT(I$3),'Struktur Aktuell'!$D601,INDIRECT(I$8))*IFERROR(IF(VLOOKUP('Struktur Aktuell'!$D601,INDIRECT(I$6),8,)="H",-1,1),0)</f>
        <v>0</v>
      </c>
      <c r="J601" s="593">
        <f ca="1">$E601*SUMIF(INDIRECT(J$3),'Struktur Aktuell'!$D601,INDIRECT(J$8))*IFERROR(IF(VLOOKUP('Struktur Aktuell'!$D601,INDIRECT(J$6),8,)="H",-1,1),0)</f>
        <v>0</v>
      </c>
      <c r="K601" s="593">
        <f ca="1">$E601*SUMIF(INDIRECT(K$3),'Struktur Aktuell'!$D601,INDIRECT(K$8))*IFERROR(IF(VLOOKUP('Struktur Aktuell'!$D601,INDIRECT(K$6),8,)="H",-1,1),0)</f>
        <v>0</v>
      </c>
      <c r="L601" s="593">
        <f ca="1">$E601*SUMIF(INDIRECT(L$3),'Struktur Aktuell'!$D601,INDIRECT(L$8))*IFERROR(IF(VLOOKUP('Struktur Aktuell'!$D601,INDIRECT(L$6),8,)="H",-1,1),0)</f>
        <v>0</v>
      </c>
      <c r="M601" s="593">
        <f ca="1">$E601*SUMIF(INDIRECT(M$3),'Struktur Aktuell'!$D601,INDIRECT(M$8))*IFERROR(IF(VLOOKUP('Struktur Aktuell'!$D601,INDIRECT(M$6),8,)="H",-1,1),0)</f>
        <v>0</v>
      </c>
      <c r="N601" s="593">
        <f ca="1">$E601*SUMIF(INDIRECT(N$3),'Struktur Aktuell'!$D601,INDIRECT(N$8))*IFERROR(IF(VLOOKUP('Struktur Aktuell'!$D601,INDIRECT(N$6),8,)="H",-1,1),0)</f>
        <v>0</v>
      </c>
      <c r="O601" s="593">
        <f ca="1">$E601*SUMIF(INDIRECT(O$3),'Struktur Aktuell'!$D601,INDIRECT(O$8))*IFERROR(IF(VLOOKUP('Struktur Aktuell'!$D601,INDIRECT(O$6),8,)="H",-1,1),0)</f>
        <v>0</v>
      </c>
      <c r="P601" s="593">
        <f ca="1">$E601*SUMIF(INDIRECT(P$3),'Struktur Aktuell'!$D601,INDIRECT(P$8))*IFERROR(IF(VLOOKUP('Struktur Aktuell'!$D601,INDIRECT(P$6),8,)="H",-1,1),0)</f>
        <v>0</v>
      </c>
      <c r="Q601" s="593">
        <f ca="1">$E601*SUMIF(INDIRECT(Q$3),'Struktur Aktuell'!$D601,INDIRECT(Q$8))*IFERROR(IF(VLOOKUP('Struktur Aktuell'!$D601,INDIRECT(Q$6),8,)="H",-1,1),0)</f>
        <v>0</v>
      </c>
      <c r="R601" s="593">
        <f ca="1">$E601*SUMIF(INDIRECT(R$3),'Struktur Aktuell'!$D601,INDIRECT(R$8))*IFERROR(IF(VLOOKUP('Struktur Aktuell'!$D601,INDIRECT(R$6),8,)="H",-1,1),0)</f>
        <v>0</v>
      </c>
      <c r="S601" s="593" t="e">
        <f ca="1">$E601*SUMIF(INDIRECT(S$3),'Struktur Aktuell'!$D601,INDIRECT(S$8))*IFERROR(IF(VLOOKUP('Struktur Aktuell'!$D601,INDIRECT(S$6),8,)="H",-1,1),0)</f>
        <v>#REF!</v>
      </c>
      <c r="T601" s="593" t="e">
        <f ca="1">$E601*SUMIF(INDIRECT(T$3),'Struktur Aktuell'!$D601,INDIRECT(T$8))*IFERROR(IF(VLOOKUP('Struktur Aktuell'!$D601,INDIRECT(T$6),8,)="H",-1,1),0)</f>
        <v>#REF!</v>
      </c>
      <c r="U601" s="593" t="e">
        <f ca="1">$E601*SUMIF(INDIRECT(U$3),'Struktur Aktuell'!$D601,INDIRECT(U$8))*IFERROR(IF(VLOOKUP('Struktur Aktuell'!$D601,INDIRECT(U$6),8,)="H",-1,1),0)</f>
        <v>#REF!</v>
      </c>
      <c r="V601" s="593" t="e">
        <f ca="1">$E601*SUMIF(INDIRECT(V$3),'Struktur Aktuell'!$D601,INDIRECT(V$8))*IFERROR(IF(VLOOKUP('Struktur Aktuell'!$D601,INDIRECT(V$6),8,)="H",-1,1),0)</f>
        <v>#REF!</v>
      </c>
      <c r="W601" s="593" t="e">
        <f ca="1">$E601*SUMIF(INDIRECT(W$3),'Struktur Aktuell'!$D601,INDIRECT(W$8))*IFERROR(IF(VLOOKUP('Struktur Aktuell'!$D601,INDIRECT(W$6),8,)="H",-1,1),0)</f>
        <v>#REF!</v>
      </c>
      <c r="X601" s="593" t="e">
        <f ca="1">$E601*SUMIF(INDIRECT(X$3),'Struktur Aktuell'!$D601,INDIRECT(X$8))*IFERROR(IF(VLOOKUP('Struktur Aktuell'!$D601,INDIRECT(X$6),8,)="H",-1,1),0)</f>
        <v>#REF!</v>
      </c>
      <c r="Y601" s="593" t="e">
        <f ca="1">$E601*SUMIF(INDIRECT(Y$3),'Struktur Aktuell'!$D601,INDIRECT(Y$8))*IFERROR(IF(VLOOKUP('Struktur Aktuell'!$D601,INDIRECT(Y$6),8,)="H",-1,1),0)</f>
        <v>#REF!</v>
      </c>
      <c r="Z601" s="593" t="e">
        <f ca="1">$E601*SUMIF(INDIRECT(Z$3),'Struktur Aktuell'!$D601,INDIRECT(Z$8))*IFERROR(IF(VLOOKUP('Struktur Aktuell'!$D601,INDIRECT(Z$6),8,)="H",-1,1),0)</f>
        <v>#REF!</v>
      </c>
      <c r="AA601" s="593" t="e">
        <f ca="1">$E601*SUMIF(INDIRECT(AA$3),'Struktur Aktuell'!$D601,INDIRECT(AA$8))*IFERROR(IF(VLOOKUP('Struktur Aktuell'!$D601,INDIRECT(AA$6),8,)="H",-1,1),0)</f>
        <v>#REF!</v>
      </c>
      <c r="AB601" s="593" t="e">
        <f ca="1">$E601*SUMIF(INDIRECT(AB$3),'Struktur Aktuell'!$D601,INDIRECT(AB$8))*IFERROR(IF(VLOOKUP('Struktur Aktuell'!$D601,INDIRECT(AB$6),8,)="H",-1,1),0)</f>
        <v>#REF!</v>
      </c>
      <c r="AC601" s="593" t="e">
        <f ca="1">$E601*SUMIF(INDIRECT(AC$3),'Struktur Aktuell'!$D601,INDIRECT(AC$8))*IFERROR(IF(VLOOKUP('Struktur Aktuell'!$D601,INDIRECT(AC$6),8,)="H",-1,1),0)</f>
        <v>#REF!</v>
      </c>
      <c r="AD601" s="593" t="e">
        <f ca="1">$E601*SUMIF(INDIRECT(AD$3),'Struktur Aktuell'!$D601,INDIRECT(AD$8))*IFERROR(IF(VLOOKUP('Struktur Aktuell'!$D601,INDIRECT(AD$6),8,)="H",-1,1),0)</f>
        <v>#REF!</v>
      </c>
      <c r="AE601" s="593">
        <f t="shared" ref="AE601:AE603" ca="1" si="923">G601</f>
        <v>0</v>
      </c>
      <c r="AF601" s="593">
        <f t="shared" ref="AF601:AF603" ca="1" si="924">H601+AE601</f>
        <v>0</v>
      </c>
      <c r="AG601" s="593">
        <f t="shared" ref="AG601:AG603" ca="1" si="925">I601+AF601</f>
        <v>0</v>
      </c>
      <c r="AH601" s="593">
        <f t="shared" ref="AH601:AH603" ca="1" si="926">J601+AG601</f>
        <v>0</v>
      </c>
      <c r="AI601" s="593">
        <f t="shared" ref="AI601:AI603" ca="1" si="927">K601+AH601</f>
        <v>0</v>
      </c>
      <c r="AJ601" s="593">
        <f t="shared" ref="AJ601:AJ603" ca="1" si="928">L601+AI601</f>
        <v>0</v>
      </c>
      <c r="AK601" s="593">
        <f t="shared" ref="AK601:AK603" ca="1" si="929">M601+AJ601</f>
        <v>0</v>
      </c>
      <c r="AL601" s="593">
        <f t="shared" ref="AL601:AL603" ca="1" si="930">N601+AK601</f>
        <v>0</v>
      </c>
      <c r="AM601" s="593">
        <f t="shared" ref="AM601:AM603" ca="1" si="931">O601+AL601</f>
        <v>0</v>
      </c>
      <c r="AN601" s="593">
        <f t="shared" ref="AN601:AN603" ca="1" si="932">P601+AM601</f>
        <v>0</v>
      </c>
      <c r="AO601" s="593">
        <f t="shared" ref="AO601:AO603" ca="1" si="933">Q601+AN601</f>
        <v>0</v>
      </c>
      <c r="AP601" s="593">
        <f t="shared" ref="AP601:AP603" ca="1" si="934">R601+AO601</f>
        <v>0</v>
      </c>
    </row>
    <row r="602" spans="1:42" s="594" customFormat="1" ht="11.25" x14ac:dyDescent="0.2">
      <c r="A602" s="644"/>
      <c r="B602" s="591" t="str">
        <f>IF(D602&lt;&gt;"",
IF(ISERROR(MATCH(D602,'Ist Aktuell Monat 01'!A:A,0))=FALSE,INDEX('Ist Aktuell Monat 01'!B:B,MATCH(D602,'Ist Aktuell Monat 01'!A:A,0)),
IF(ISERROR(MATCH(D602,'Ist Aktuell Monat 02'!A:A,0))=FALSE,INDEX('Ist Aktuell Monat 02'!B:B,MATCH(D602,'Ist Aktuell Monat 02'!A:A,0)),
IF(ISERROR(MATCH(D602,'Ist Aktuell Monat 03'!A:A,0))=FALSE,INDEX('Ist Aktuell Monat 03'!B:B,MATCH(D602,'Ist Aktuell Monat 03'!A:A,0)),
IF(ISERROR(MATCH(D602,'Ist Aktuell Monat 04'!A:A,0))=FALSE,INDEX('Ist Aktuell Monat 04'!B:B,MATCH(D602,'Ist Aktuell Monat 04'!A:A,0)),
IF(ISERROR(MATCH(D602,'Ist Aktuell Monat 05'!A:A,0))=FALSE,INDEX('Ist Aktuell Monat 05'!B:B,MATCH(D602,'Ist Aktuell Monat 05'!A:A,0)),
IF(ISERROR(MATCH(D602,'Ist Aktuell Monat 06'!A:A,0))=FALSE,INDEX('Ist Aktuell Monat 06'!B:B,MATCH(D602,'Ist Aktuell Monat 06'!A:A,0)),
IF(ISERROR(MATCH(D602,'Ist Aktuell Monat 07'!A:A,0))=FALSE,INDEX('Ist Aktuell Monat 07'!B:B,MATCH(D602,'Ist Aktuell Monat 07'!A:A,0)),
IF(ISERROR(MATCH(D602,'Ist Aktuell Monat 08'!A:A,0))=FALSE,INDEX('Ist Aktuell Monat 08'!B:B,MATCH(D602,'Ist Aktuell Monat 08'!A:A,0)),
IF(ISERROR(MATCH(D602,'Ist Aktuell Monat 09'!A:A,0))=FALSE,INDEX('Ist Aktuell Monat 09'!B:B,MATCH(D602,'Ist Aktuell Monat 09'!A:A,0)),
IF(ISERROR(MATCH(D602,'Ist Aktuell Monat 10'!A:A,0))=FALSE,INDEX('Ist Aktuell Monat 10'!B:B,MATCH(D602,'Ist Aktuell Monat 10'!A:A,0)),
IF(ISERROR(MATCH(D602,'Ist Aktuell Monat 11'!A:A,0))=FALSE,INDEX('Ist Aktuell Monat 11'!B:B,MATCH(D602,'Ist Aktuell Monat 11'!A:A,0)),
IF(ISERROR(MATCH(D602,'Ist Aktuell Monat 12'!A:A,0))=FALSE,INDEX('Ist Aktuell Monat 12'!B:B,MATCH(D602,'Ist Aktuell Monat 12'!A:A,0)),
"{Konto unbekannt}"
)))))))))))),"")</f>
        <v/>
      </c>
      <c r="C602" s="1062"/>
      <c r="D602" s="1067"/>
      <c r="E602" s="625">
        <f t="shared" si="727"/>
        <v>-1</v>
      </c>
      <c r="F602" s="626" t="s">
        <v>996</v>
      </c>
      <c r="G602" s="593">
        <f ca="1">$E602*SUMIF(INDIRECT(G$3),'Struktur Aktuell'!$D602,INDIRECT(G$8))*IFERROR(IF(VLOOKUP('Struktur Aktuell'!$D602,INDIRECT(G$6),8,)="H",-1,1),0)</f>
        <v>0</v>
      </c>
      <c r="H602" s="593">
        <f ca="1">$E602*SUMIF(INDIRECT(H$3),'Struktur Aktuell'!$D602,INDIRECT(H$8))*IFERROR(IF(VLOOKUP('Struktur Aktuell'!$D602,INDIRECT(H$6),8,)="H",-1,1),0)</f>
        <v>0</v>
      </c>
      <c r="I602" s="593">
        <f ca="1">$E602*SUMIF(INDIRECT(I$3),'Struktur Aktuell'!$D602,INDIRECT(I$8))*IFERROR(IF(VLOOKUP('Struktur Aktuell'!$D602,INDIRECT(I$6),8,)="H",-1,1),0)</f>
        <v>0</v>
      </c>
      <c r="J602" s="593">
        <f ca="1">$E602*SUMIF(INDIRECT(J$3),'Struktur Aktuell'!$D602,INDIRECT(J$8))*IFERROR(IF(VLOOKUP('Struktur Aktuell'!$D602,INDIRECT(J$6),8,)="H",-1,1),0)</f>
        <v>0</v>
      </c>
      <c r="K602" s="593">
        <f ca="1">$E602*SUMIF(INDIRECT(K$3),'Struktur Aktuell'!$D602,INDIRECT(K$8))*IFERROR(IF(VLOOKUP('Struktur Aktuell'!$D602,INDIRECT(K$6),8,)="H",-1,1),0)</f>
        <v>0</v>
      </c>
      <c r="L602" s="593">
        <f ca="1">$E602*SUMIF(INDIRECT(L$3),'Struktur Aktuell'!$D602,INDIRECT(L$8))*IFERROR(IF(VLOOKUP('Struktur Aktuell'!$D602,INDIRECT(L$6),8,)="H",-1,1),0)</f>
        <v>0</v>
      </c>
      <c r="M602" s="593">
        <f ca="1">$E602*SUMIF(INDIRECT(M$3),'Struktur Aktuell'!$D602,INDIRECT(M$8))*IFERROR(IF(VLOOKUP('Struktur Aktuell'!$D602,INDIRECT(M$6),8,)="H",-1,1),0)</f>
        <v>0</v>
      </c>
      <c r="N602" s="593">
        <f ca="1">$E602*SUMIF(INDIRECT(N$3),'Struktur Aktuell'!$D602,INDIRECT(N$8))*IFERROR(IF(VLOOKUP('Struktur Aktuell'!$D602,INDIRECT(N$6),8,)="H",-1,1),0)</f>
        <v>0</v>
      </c>
      <c r="O602" s="593">
        <f ca="1">$E602*SUMIF(INDIRECT(O$3),'Struktur Aktuell'!$D602,INDIRECT(O$8))*IFERROR(IF(VLOOKUP('Struktur Aktuell'!$D602,INDIRECT(O$6),8,)="H",-1,1),0)</f>
        <v>0</v>
      </c>
      <c r="P602" s="593">
        <f ca="1">$E602*SUMIF(INDIRECT(P$3),'Struktur Aktuell'!$D602,INDIRECT(P$8))*IFERROR(IF(VLOOKUP('Struktur Aktuell'!$D602,INDIRECT(P$6),8,)="H",-1,1),0)</f>
        <v>0</v>
      </c>
      <c r="Q602" s="593">
        <f ca="1">$E602*SUMIF(INDIRECT(Q$3),'Struktur Aktuell'!$D602,INDIRECT(Q$8))*IFERROR(IF(VLOOKUP('Struktur Aktuell'!$D602,INDIRECT(Q$6),8,)="H",-1,1),0)</f>
        <v>0</v>
      </c>
      <c r="R602" s="593">
        <f ca="1">$E602*SUMIF(INDIRECT(R$3),'Struktur Aktuell'!$D602,INDIRECT(R$8))*IFERROR(IF(VLOOKUP('Struktur Aktuell'!$D602,INDIRECT(R$6),8,)="H",-1,1),0)</f>
        <v>0</v>
      </c>
      <c r="S602" s="593" t="e">
        <f ca="1">$E602*SUMIF(INDIRECT(S$3),'Struktur Aktuell'!$D602,INDIRECT(S$8))*IFERROR(IF(VLOOKUP('Struktur Aktuell'!$D602,INDIRECT(S$6),8,)="H",-1,1),0)</f>
        <v>#REF!</v>
      </c>
      <c r="T602" s="593" t="e">
        <f ca="1">$E602*SUMIF(INDIRECT(T$3),'Struktur Aktuell'!$D602,INDIRECT(T$8))*IFERROR(IF(VLOOKUP('Struktur Aktuell'!$D602,INDIRECT(T$6),8,)="H",-1,1),0)</f>
        <v>#REF!</v>
      </c>
      <c r="U602" s="593" t="e">
        <f ca="1">$E602*SUMIF(INDIRECT(U$3),'Struktur Aktuell'!$D602,INDIRECT(U$8))*IFERROR(IF(VLOOKUP('Struktur Aktuell'!$D602,INDIRECT(U$6),8,)="H",-1,1),0)</f>
        <v>#REF!</v>
      </c>
      <c r="V602" s="593" t="e">
        <f ca="1">$E602*SUMIF(INDIRECT(V$3),'Struktur Aktuell'!$D602,INDIRECT(V$8))*IFERROR(IF(VLOOKUP('Struktur Aktuell'!$D602,INDIRECT(V$6),8,)="H",-1,1),0)</f>
        <v>#REF!</v>
      </c>
      <c r="W602" s="593" t="e">
        <f ca="1">$E602*SUMIF(INDIRECT(W$3),'Struktur Aktuell'!$D602,INDIRECT(W$8))*IFERROR(IF(VLOOKUP('Struktur Aktuell'!$D602,INDIRECT(W$6),8,)="H",-1,1),0)</f>
        <v>#REF!</v>
      </c>
      <c r="X602" s="593" t="e">
        <f ca="1">$E602*SUMIF(INDIRECT(X$3),'Struktur Aktuell'!$D602,INDIRECT(X$8))*IFERROR(IF(VLOOKUP('Struktur Aktuell'!$D602,INDIRECT(X$6),8,)="H",-1,1),0)</f>
        <v>#REF!</v>
      </c>
      <c r="Y602" s="593" t="e">
        <f ca="1">$E602*SUMIF(INDIRECT(Y$3),'Struktur Aktuell'!$D602,INDIRECT(Y$8))*IFERROR(IF(VLOOKUP('Struktur Aktuell'!$D602,INDIRECT(Y$6),8,)="H",-1,1),0)</f>
        <v>#REF!</v>
      </c>
      <c r="Z602" s="593" t="e">
        <f ca="1">$E602*SUMIF(INDIRECT(Z$3),'Struktur Aktuell'!$D602,INDIRECT(Z$8))*IFERROR(IF(VLOOKUP('Struktur Aktuell'!$D602,INDIRECT(Z$6),8,)="H",-1,1),0)</f>
        <v>#REF!</v>
      </c>
      <c r="AA602" s="593" t="e">
        <f ca="1">$E602*SUMIF(INDIRECT(AA$3),'Struktur Aktuell'!$D602,INDIRECT(AA$8))*IFERROR(IF(VLOOKUP('Struktur Aktuell'!$D602,INDIRECT(AA$6),8,)="H",-1,1),0)</f>
        <v>#REF!</v>
      </c>
      <c r="AB602" s="593" t="e">
        <f ca="1">$E602*SUMIF(INDIRECT(AB$3),'Struktur Aktuell'!$D602,INDIRECT(AB$8))*IFERROR(IF(VLOOKUP('Struktur Aktuell'!$D602,INDIRECT(AB$6),8,)="H",-1,1),0)</f>
        <v>#REF!</v>
      </c>
      <c r="AC602" s="593" t="e">
        <f ca="1">$E602*SUMIF(INDIRECT(AC$3),'Struktur Aktuell'!$D602,INDIRECT(AC$8))*IFERROR(IF(VLOOKUP('Struktur Aktuell'!$D602,INDIRECT(AC$6),8,)="H",-1,1),0)</f>
        <v>#REF!</v>
      </c>
      <c r="AD602" s="593" t="e">
        <f ca="1">$E602*SUMIF(INDIRECT(AD$3),'Struktur Aktuell'!$D602,INDIRECT(AD$8))*IFERROR(IF(VLOOKUP('Struktur Aktuell'!$D602,INDIRECT(AD$6),8,)="H",-1,1),0)</f>
        <v>#REF!</v>
      </c>
      <c r="AE602" s="593">
        <f t="shared" ca="1" si="923"/>
        <v>0</v>
      </c>
      <c r="AF602" s="593">
        <f t="shared" ca="1" si="924"/>
        <v>0</v>
      </c>
      <c r="AG602" s="593">
        <f t="shared" ca="1" si="925"/>
        <v>0</v>
      </c>
      <c r="AH602" s="593">
        <f t="shared" ca="1" si="926"/>
        <v>0</v>
      </c>
      <c r="AI602" s="593">
        <f t="shared" ca="1" si="927"/>
        <v>0</v>
      </c>
      <c r="AJ602" s="593">
        <f t="shared" ca="1" si="928"/>
        <v>0</v>
      </c>
      <c r="AK602" s="593">
        <f t="shared" ca="1" si="929"/>
        <v>0</v>
      </c>
      <c r="AL602" s="593">
        <f t="shared" ca="1" si="930"/>
        <v>0</v>
      </c>
      <c r="AM602" s="593">
        <f t="shared" ca="1" si="931"/>
        <v>0</v>
      </c>
      <c r="AN602" s="593">
        <f t="shared" ca="1" si="932"/>
        <v>0</v>
      </c>
      <c r="AO602" s="593">
        <f t="shared" ca="1" si="933"/>
        <v>0</v>
      </c>
      <c r="AP602" s="593">
        <f t="shared" ca="1" si="934"/>
        <v>0</v>
      </c>
    </row>
    <row r="603" spans="1:42" s="594" customFormat="1" ht="11.25" x14ac:dyDescent="0.2">
      <c r="A603" s="644"/>
      <c r="B603" s="591" t="str">
        <f>IF(D603&lt;&gt;"",
IF(ISERROR(MATCH(D603,'Ist Aktuell Monat 01'!A:A,0))=FALSE,INDEX('Ist Aktuell Monat 01'!B:B,MATCH(D603,'Ist Aktuell Monat 01'!A:A,0)),
IF(ISERROR(MATCH(D603,'Ist Aktuell Monat 02'!A:A,0))=FALSE,INDEX('Ist Aktuell Monat 02'!B:B,MATCH(D603,'Ist Aktuell Monat 02'!A:A,0)),
IF(ISERROR(MATCH(D603,'Ist Aktuell Monat 03'!A:A,0))=FALSE,INDEX('Ist Aktuell Monat 03'!B:B,MATCH(D603,'Ist Aktuell Monat 03'!A:A,0)),
IF(ISERROR(MATCH(D603,'Ist Aktuell Monat 04'!A:A,0))=FALSE,INDEX('Ist Aktuell Monat 04'!B:B,MATCH(D603,'Ist Aktuell Monat 04'!A:A,0)),
IF(ISERROR(MATCH(D603,'Ist Aktuell Monat 05'!A:A,0))=FALSE,INDEX('Ist Aktuell Monat 05'!B:B,MATCH(D603,'Ist Aktuell Monat 05'!A:A,0)),
IF(ISERROR(MATCH(D603,'Ist Aktuell Monat 06'!A:A,0))=FALSE,INDEX('Ist Aktuell Monat 06'!B:B,MATCH(D603,'Ist Aktuell Monat 06'!A:A,0)),
IF(ISERROR(MATCH(D603,'Ist Aktuell Monat 07'!A:A,0))=FALSE,INDEX('Ist Aktuell Monat 07'!B:B,MATCH(D603,'Ist Aktuell Monat 07'!A:A,0)),
IF(ISERROR(MATCH(D603,'Ist Aktuell Monat 08'!A:A,0))=FALSE,INDEX('Ist Aktuell Monat 08'!B:B,MATCH(D603,'Ist Aktuell Monat 08'!A:A,0)),
IF(ISERROR(MATCH(D603,'Ist Aktuell Monat 09'!A:A,0))=FALSE,INDEX('Ist Aktuell Monat 09'!B:B,MATCH(D603,'Ist Aktuell Monat 09'!A:A,0)),
IF(ISERROR(MATCH(D603,'Ist Aktuell Monat 10'!A:A,0))=FALSE,INDEX('Ist Aktuell Monat 10'!B:B,MATCH(D603,'Ist Aktuell Monat 10'!A:A,0)),
IF(ISERROR(MATCH(D603,'Ist Aktuell Monat 11'!A:A,0))=FALSE,INDEX('Ist Aktuell Monat 11'!B:B,MATCH(D603,'Ist Aktuell Monat 11'!A:A,0)),
IF(ISERROR(MATCH(D603,'Ist Aktuell Monat 12'!A:A,0))=FALSE,INDEX('Ist Aktuell Monat 12'!B:B,MATCH(D603,'Ist Aktuell Monat 12'!A:A,0)),
"{Konto unbekannt}"
)))))))))))),"")</f>
        <v/>
      </c>
      <c r="C603" s="1062"/>
      <c r="D603" s="1067"/>
      <c r="E603" s="625">
        <f t="shared" si="727"/>
        <v>-1</v>
      </c>
      <c r="F603" s="626" t="s">
        <v>996</v>
      </c>
      <c r="G603" s="593">
        <f ca="1">$E603*SUMIF(INDIRECT(G$3),'Struktur Aktuell'!$D603,INDIRECT(G$8))*IFERROR(IF(VLOOKUP('Struktur Aktuell'!$D603,INDIRECT(G$6),8,)="H",-1,1),0)</f>
        <v>0</v>
      </c>
      <c r="H603" s="593">
        <f ca="1">$E603*SUMIF(INDIRECT(H$3),'Struktur Aktuell'!$D603,INDIRECT(H$8))*IFERROR(IF(VLOOKUP('Struktur Aktuell'!$D603,INDIRECT(H$6),8,)="H",-1,1),0)</f>
        <v>0</v>
      </c>
      <c r="I603" s="593">
        <f ca="1">$E603*SUMIF(INDIRECT(I$3),'Struktur Aktuell'!$D603,INDIRECT(I$8))*IFERROR(IF(VLOOKUP('Struktur Aktuell'!$D603,INDIRECT(I$6),8,)="H",-1,1),0)</f>
        <v>0</v>
      </c>
      <c r="J603" s="593">
        <f ca="1">$E603*SUMIF(INDIRECT(J$3),'Struktur Aktuell'!$D603,INDIRECT(J$8))*IFERROR(IF(VLOOKUP('Struktur Aktuell'!$D603,INDIRECT(J$6),8,)="H",-1,1),0)</f>
        <v>0</v>
      </c>
      <c r="K603" s="593">
        <f ca="1">$E603*SUMIF(INDIRECT(K$3),'Struktur Aktuell'!$D603,INDIRECT(K$8))*IFERROR(IF(VLOOKUP('Struktur Aktuell'!$D603,INDIRECT(K$6),8,)="H",-1,1),0)</f>
        <v>0</v>
      </c>
      <c r="L603" s="593">
        <f ca="1">$E603*SUMIF(INDIRECT(L$3),'Struktur Aktuell'!$D603,INDIRECT(L$8))*IFERROR(IF(VLOOKUP('Struktur Aktuell'!$D603,INDIRECT(L$6),8,)="H",-1,1),0)</f>
        <v>0</v>
      </c>
      <c r="M603" s="593">
        <f ca="1">$E603*SUMIF(INDIRECT(M$3),'Struktur Aktuell'!$D603,INDIRECT(M$8))*IFERROR(IF(VLOOKUP('Struktur Aktuell'!$D603,INDIRECT(M$6),8,)="H",-1,1),0)</f>
        <v>0</v>
      </c>
      <c r="N603" s="593">
        <f ca="1">$E603*SUMIF(INDIRECT(N$3),'Struktur Aktuell'!$D603,INDIRECT(N$8))*IFERROR(IF(VLOOKUP('Struktur Aktuell'!$D603,INDIRECT(N$6),8,)="H",-1,1),0)</f>
        <v>0</v>
      </c>
      <c r="O603" s="593">
        <f ca="1">$E603*SUMIF(INDIRECT(O$3),'Struktur Aktuell'!$D603,INDIRECT(O$8))*IFERROR(IF(VLOOKUP('Struktur Aktuell'!$D603,INDIRECT(O$6),8,)="H",-1,1),0)</f>
        <v>0</v>
      </c>
      <c r="P603" s="593">
        <f ca="1">$E603*SUMIF(INDIRECT(P$3),'Struktur Aktuell'!$D603,INDIRECT(P$8))*IFERROR(IF(VLOOKUP('Struktur Aktuell'!$D603,INDIRECT(P$6),8,)="H",-1,1),0)</f>
        <v>0</v>
      </c>
      <c r="Q603" s="593">
        <f ca="1">$E603*SUMIF(INDIRECT(Q$3),'Struktur Aktuell'!$D603,INDIRECT(Q$8))*IFERROR(IF(VLOOKUP('Struktur Aktuell'!$D603,INDIRECT(Q$6),8,)="H",-1,1),0)</f>
        <v>0</v>
      </c>
      <c r="R603" s="593">
        <f ca="1">$E603*SUMIF(INDIRECT(R$3),'Struktur Aktuell'!$D603,INDIRECT(R$8))*IFERROR(IF(VLOOKUP('Struktur Aktuell'!$D603,INDIRECT(R$6),8,)="H",-1,1),0)</f>
        <v>0</v>
      </c>
      <c r="S603" s="593" t="e">
        <f ca="1">$E603*SUMIF(INDIRECT(S$3),'Struktur Aktuell'!$D603,INDIRECT(S$8))*IFERROR(IF(VLOOKUP('Struktur Aktuell'!$D603,INDIRECT(S$6),8,)="H",-1,1),0)</f>
        <v>#REF!</v>
      </c>
      <c r="T603" s="593" t="e">
        <f ca="1">$E603*SUMIF(INDIRECT(T$3),'Struktur Aktuell'!$D603,INDIRECT(T$8))*IFERROR(IF(VLOOKUP('Struktur Aktuell'!$D603,INDIRECT(T$6),8,)="H",-1,1),0)</f>
        <v>#REF!</v>
      </c>
      <c r="U603" s="593" t="e">
        <f ca="1">$E603*SUMIF(INDIRECT(U$3),'Struktur Aktuell'!$D603,INDIRECT(U$8))*IFERROR(IF(VLOOKUP('Struktur Aktuell'!$D603,INDIRECT(U$6),8,)="H",-1,1),0)</f>
        <v>#REF!</v>
      </c>
      <c r="V603" s="593" t="e">
        <f ca="1">$E603*SUMIF(INDIRECT(V$3),'Struktur Aktuell'!$D603,INDIRECT(V$8))*IFERROR(IF(VLOOKUP('Struktur Aktuell'!$D603,INDIRECT(V$6),8,)="H",-1,1),0)</f>
        <v>#REF!</v>
      </c>
      <c r="W603" s="593" t="e">
        <f ca="1">$E603*SUMIF(INDIRECT(W$3),'Struktur Aktuell'!$D603,INDIRECT(W$8))*IFERROR(IF(VLOOKUP('Struktur Aktuell'!$D603,INDIRECT(W$6),8,)="H",-1,1),0)</f>
        <v>#REF!</v>
      </c>
      <c r="X603" s="593" t="e">
        <f ca="1">$E603*SUMIF(INDIRECT(X$3),'Struktur Aktuell'!$D603,INDIRECT(X$8))*IFERROR(IF(VLOOKUP('Struktur Aktuell'!$D603,INDIRECT(X$6),8,)="H",-1,1),0)</f>
        <v>#REF!</v>
      </c>
      <c r="Y603" s="593" t="e">
        <f ca="1">$E603*SUMIF(INDIRECT(Y$3),'Struktur Aktuell'!$D603,INDIRECT(Y$8))*IFERROR(IF(VLOOKUP('Struktur Aktuell'!$D603,INDIRECT(Y$6),8,)="H",-1,1),0)</f>
        <v>#REF!</v>
      </c>
      <c r="Z603" s="593" t="e">
        <f ca="1">$E603*SUMIF(INDIRECT(Z$3),'Struktur Aktuell'!$D603,INDIRECT(Z$8))*IFERROR(IF(VLOOKUP('Struktur Aktuell'!$D603,INDIRECT(Z$6),8,)="H",-1,1),0)</f>
        <v>#REF!</v>
      </c>
      <c r="AA603" s="593" t="e">
        <f ca="1">$E603*SUMIF(INDIRECT(AA$3),'Struktur Aktuell'!$D603,INDIRECT(AA$8))*IFERROR(IF(VLOOKUP('Struktur Aktuell'!$D603,INDIRECT(AA$6),8,)="H",-1,1),0)</f>
        <v>#REF!</v>
      </c>
      <c r="AB603" s="593" t="e">
        <f ca="1">$E603*SUMIF(INDIRECT(AB$3),'Struktur Aktuell'!$D603,INDIRECT(AB$8))*IFERROR(IF(VLOOKUP('Struktur Aktuell'!$D603,INDIRECT(AB$6),8,)="H",-1,1),0)</f>
        <v>#REF!</v>
      </c>
      <c r="AC603" s="593" t="e">
        <f ca="1">$E603*SUMIF(INDIRECT(AC$3),'Struktur Aktuell'!$D603,INDIRECT(AC$8))*IFERROR(IF(VLOOKUP('Struktur Aktuell'!$D603,INDIRECT(AC$6),8,)="H",-1,1),0)</f>
        <v>#REF!</v>
      </c>
      <c r="AD603" s="593" t="e">
        <f ca="1">$E603*SUMIF(INDIRECT(AD$3),'Struktur Aktuell'!$D603,INDIRECT(AD$8))*IFERROR(IF(VLOOKUP('Struktur Aktuell'!$D603,INDIRECT(AD$6),8,)="H",-1,1),0)</f>
        <v>#REF!</v>
      </c>
      <c r="AE603" s="593">
        <f t="shared" ca="1" si="923"/>
        <v>0</v>
      </c>
      <c r="AF603" s="593">
        <f t="shared" ca="1" si="924"/>
        <v>0</v>
      </c>
      <c r="AG603" s="593">
        <f t="shared" ca="1" si="925"/>
        <v>0</v>
      </c>
      <c r="AH603" s="593">
        <f t="shared" ca="1" si="926"/>
        <v>0</v>
      </c>
      <c r="AI603" s="593">
        <f t="shared" ca="1" si="927"/>
        <v>0</v>
      </c>
      <c r="AJ603" s="593">
        <f t="shared" ca="1" si="928"/>
        <v>0</v>
      </c>
      <c r="AK603" s="593">
        <f t="shared" ca="1" si="929"/>
        <v>0</v>
      </c>
      <c r="AL603" s="593">
        <f t="shared" ca="1" si="930"/>
        <v>0</v>
      </c>
      <c r="AM603" s="593">
        <f t="shared" ca="1" si="931"/>
        <v>0</v>
      </c>
      <c r="AN603" s="593">
        <f t="shared" ca="1" si="932"/>
        <v>0</v>
      </c>
      <c r="AO603" s="593">
        <f t="shared" ca="1" si="933"/>
        <v>0</v>
      </c>
      <c r="AP603" s="593">
        <f t="shared" ca="1" si="934"/>
        <v>0</v>
      </c>
    </row>
    <row r="604" spans="1:42" s="589" customFormat="1" x14ac:dyDescent="0.2">
      <c r="A604" s="629">
        <v>56</v>
      </c>
      <c r="B604" s="623" t="s">
        <v>348</v>
      </c>
      <c r="C604" s="627">
        <f ca="1">SUM(G604:R604)</f>
        <v>0</v>
      </c>
      <c r="D604" s="627"/>
      <c r="E604" s="628">
        <f t="shared" si="727"/>
        <v>1</v>
      </c>
      <c r="F604" s="628"/>
      <c r="G604" s="627">
        <f ca="1">SUM(G605:G608)</f>
        <v>0</v>
      </c>
      <c r="H604" s="627">
        <f t="shared" ref="H604:R604" ca="1" si="935">SUM(H605:H608)</f>
        <v>0</v>
      </c>
      <c r="I604" s="627">
        <f t="shared" ca="1" si="935"/>
        <v>0</v>
      </c>
      <c r="J604" s="627">
        <f t="shared" ca="1" si="935"/>
        <v>0</v>
      </c>
      <c r="K604" s="627">
        <f t="shared" ca="1" si="935"/>
        <v>0</v>
      </c>
      <c r="L604" s="627">
        <f t="shared" ca="1" si="935"/>
        <v>0</v>
      </c>
      <c r="M604" s="627">
        <f t="shared" ca="1" si="935"/>
        <v>0</v>
      </c>
      <c r="N604" s="627">
        <f t="shared" ca="1" si="935"/>
        <v>0</v>
      </c>
      <c r="O604" s="627">
        <f t="shared" ca="1" si="935"/>
        <v>0</v>
      </c>
      <c r="P604" s="627">
        <f t="shared" ca="1" si="935"/>
        <v>0</v>
      </c>
      <c r="Q604" s="627">
        <f t="shared" ca="1" si="935"/>
        <v>0</v>
      </c>
      <c r="R604" s="627">
        <f t="shared" ca="1" si="935"/>
        <v>0</v>
      </c>
      <c r="S604" s="627">
        <f ca="1">SUM(S605:S608)</f>
        <v>0</v>
      </c>
      <c r="T604" s="627">
        <f t="shared" ref="T604:AD604" ca="1" si="936">SUM(T605:T608)</f>
        <v>0</v>
      </c>
      <c r="U604" s="627">
        <f t="shared" ca="1" si="936"/>
        <v>0</v>
      </c>
      <c r="V604" s="627">
        <f t="shared" ca="1" si="936"/>
        <v>0</v>
      </c>
      <c r="W604" s="627">
        <f t="shared" ca="1" si="936"/>
        <v>0</v>
      </c>
      <c r="X604" s="627">
        <f t="shared" ca="1" si="936"/>
        <v>0</v>
      </c>
      <c r="Y604" s="627">
        <f t="shared" ca="1" si="936"/>
        <v>0</v>
      </c>
      <c r="Z604" s="627">
        <f t="shared" ca="1" si="936"/>
        <v>0</v>
      </c>
      <c r="AA604" s="627">
        <f t="shared" ca="1" si="936"/>
        <v>0</v>
      </c>
      <c r="AB604" s="627">
        <f t="shared" ca="1" si="936"/>
        <v>0</v>
      </c>
      <c r="AC604" s="627">
        <f t="shared" ca="1" si="936"/>
        <v>0</v>
      </c>
      <c r="AD604" s="627">
        <f t="shared" ca="1" si="936"/>
        <v>0</v>
      </c>
      <c r="AE604" s="627">
        <f ca="1">SUM(AE605:AE608)</f>
        <v>0</v>
      </c>
      <c r="AF604" s="627">
        <f t="shared" ref="AF604:AP604" ca="1" si="937">SUM(AF605:AF608)</f>
        <v>0</v>
      </c>
      <c r="AG604" s="627">
        <f t="shared" ca="1" si="937"/>
        <v>0</v>
      </c>
      <c r="AH604" s="627">
        <f t="shared" ca="1" si="937"/>
        <v>0</v>
      </c>
      <c r="AI604" s="627">
        <f t="shared" ca="1" si="937"/>
        <v>0</v>
      </c>
      <c r="AJ604" s="627">
        <f t="shared" ca="1" si="937"/>
        <v>0</v>
      </c>
      <c r="AK604" s="627">
        <f t="shared" ca="1" si="937"/>
        <v>0</v>
      </c>
      <c r="AL604" s="627">
        <f t="shared" ca="1" si="937"/>
        <v>0</v>
      </c>
      <c r="AM604" s="627">
        <f t="shared" ca="1" si="937"/>
        <v>0</v>
      </c>
      <c r="AN604" s="627">
        <f t="shared" ca="1" si="937"/>
        <v>0</v>
      </c>
      <c r="AO604" s="627">
        <f t="shared" ca="1" si="937"/>
        <v>0</v>
      </c>
      <c r="AP604" s="627">
        <f t="shared" ca="1" si="937"/>
        <v>0</v>
      </c>
    </row>
    <row r="605" spans="1:42" s="594" customFormat="1" ht="11.25" x14ac:dyDescent="0.2">
      <c r="A605" s="644"/>
      <c r="B605" s="591" t="str">
        <f>IF(D605&lt;&gt;"",
IF(ISERROR(MATCH(D605,'Ist Aktuell Monat 01'!A:A,0))=FALSE,INDEX('Ist Aktuell Monat 01'!B:B,MATCH(D605,'Ist Aktuell Monat 01'!A:A,0)),
IF(ISERROR(MATCH(D605,'Ist Aktuell Monat 02'!A:A,0))=FALSE,INDEX('Ist Aktuell Monat 02'!B:B,MATCH(D605,'Ist Aktuell Monat 02'!A:A,0)),
IF(ISERROR(MATCH(D605,'Ist Aktuell Monat 03'!A:A,0))=FALSE,INDEX('Ist Aktuell Monat 03'!B:B,MATCH(D605,'Ist Aktuell Monat 03'!A:A,0)),
IF(ISERROR(MATCH(D605,'Ist Aktuell Monat 04'!A:A,0))=FALSE,INDEX('Ist Aktuell Monat 04'!B:B,MATCH(D605,'Ist Aktuell Monat 04'!A:A,0)),
IF(ISERROR(MATCH(D605,'Ist Aktuell Monat 05'!A:A,0))=FALSE,INDEX('Ist Aktuell Monat 05'!B:B,MATCH(D605,'Ist Aktuell Monat 05'!A:A,0)),
IF(ISERROR(MATCH(D605,'Ist Aktuell Monat 06'!A:A,0))=FALSE,INDEX('Ist Aktuell Monat 06'!B:B,MATCH(D605,'Ist Aktuell Monat 06'!A:A,0)),
IF(ISERROR(MATCH(D605,'Ist Aktuell Monat 07'!A:A,0))=FALSE,INDEX('Ist Aktuell Monat 07'!B:B,MATCH(D605,'Ist Aktuell Monat 07'!A:A,0)),
IF(ISERROR(MATCH(D605,'Ist Aktuell Monat 08'!A:A,0))=FALSE,INDEX('Ist Aktuell Monat 08'!B:B,MATCH(D605,'Ist Aktuell Monat 08'!A:A,0)),
IF(ISERROR(MATCH(D605,'Ist Aktuell Monat 09'!A:A,0))=FALSE,INDEX('Ist Aktuell Monat 09'!B:B,MATCH(D605,'Ist Aktuell Monat 09'!A:A,0)),
IF(ISERROR(MATCH(D605,'Ist Aktuell Monat 10'!A:A,0))=FALSE,INDEX('Ist Aktuell Monat 10'!B:B,MATCH(D605,'Ist Aktuell Monat 10'!A:A,0)),
IF(ISERROR(MATCH(D605,'Ist Aktuell Monat 11'!A:A,0))=FALSE,INDEX('Ist Aktuell Monat 11'!B:B,MATCH(D605,'Ist Aktuell Monat 11'!A:A,0)),
IF(ISERROR(MATCH(D605,'Ist Aktuell Monat 12'!A:A,0))=FALSE,INDEX('Ist Aktuell Monat 12'!B:B,MATCH(D605,'Ist Aktuell Monat 12'!A:A,0)),
"{Konto unbekannt}"
)))))))))))),"")</f>
        <v/>
      </c>
      <c r="C605" s="1062"/>
      <c r="D605" s="1067"/>
      <c r="E605" s="625">
        <f t="shared" si="727"/>
        <v>1</v>
      </c>
      <c r="F605" s="626"/>
      <c r="G605" s="593">
        <f ca="1">$E605*(SUMIF(INDIRECT(G$3),'Struktur Aktuell'!$D605,INDIRECT(G$7)))</f>
        <v>0</v>
      </c>
      <c r="H605" s="593">
        <f ca="1">$E605*(SUMIF(INDIRECT(H$3),'Struktur Aktuell'!$D605,INDIRECT(H$7)))</f>
        <v>0</v>
      </c>
      <c r="I605" s="593">
        <f ca="1">$E605*(SUMIF(INDIRECT(I$3),'Struktur Aktuell'!$D605,INDIRECT(I$7)))</f>
        <v>0</v>
      </c>
      <c r="J605" s="593">
        <f ca="1">$E605*(SUMIF(INDIRECT(J$3),'Struktur Aktuell'!$D605,INDIRECT(J$7)))</f>
        <v>0</v>
      </c>
      <c r="K605" s="593">
        <f ca="1">$E605*(SUMIF(INDIRECT(K$3),'Struktur Aktuell'!$D605,INDIRECT(K$7)))</f>
        <v>0</v>
      </c>
      <c r="L605" s="593">
        <f ca="1">$E605*(SUMIF(INDIRECT(L$3),'Struktur Aktuell'!$D605,INDIRECT(L$7)))</f>
        <v>0</v>
      </c>
      <c r="M605" s="593">
        <f ca="1">$E605*(SUMIF(INDIRECT(M$3),'Struktur Aktuell'!$D605,INDIRECT(M$7)))</f>
        <v>0</v>
      </c>
      <c r="N605" s="593">
        <f ca="1">$E605*(SUMIF(INDIRECT(N$3),'Struktur Aktuell'!$D605,INDIRECT(N$7)))</f>
        <v>0</v>
      </c>
      <c r="O605" s="593">
        <f ca="1">$E605*(SUMIF(INDIRECT(O$3),'Struktur Aktuell'!$D605,INDIRECT(O$7)))</f>
        <v>0</v>
      </c>
      <c r="P605" s="593">
        <f ca="1">$E605*(SUMIF(INDIRECT(P$3),'Struktur Aktuell'!$D605,INDIRECT(P$7)))</f>
        <v>0</v>
      </c>
      <c r="Q605" s="593">
        <f ca="1">$E605*(SUMIF(INDIRECT(Q$3),'Struktur Aktuell'!$D605,INDIRECT(Q$7)))</f>
        <v>0</v>
      </c>
      <c r="R605" s="593">
        <f ca="1">$E605*(SUMIF(INDIRECT(R$3),'Struktur Aktuell'!$D605,INDIRECT(R$7)))</f>
        <v>0</v>
      </c>
      <c r="S605" s="593">
        <f ca="1">$E605*(SUMIF(INDIRECT(S$3),'Struktur Aktuell'!$D605,INDIRECT(S$7)))</f>
        <v>0</v>
      </c>
      <c r="T605" s="593">
        <f ca="1">$E605*(SUMIF(INDIRECT(T$3),'Struktur Aktuell'!$D605,INDIRECT(T$7)))</f>
        <v>0</v>
      </c>
      <c r="U605" s="593">
        <f ca="1">$E605*(SUMIF(INDIRECT(U$3),'Struktur Aktuell'!$D605,INDIRECT(U$7)))</f>
        <v>0</v>
      </c>
      <c r="V605" s="593">
        <f ca="1">$E605*(SUMIF(INDIRECT(V$3),'Struktur Aktuell'!$D605,INDIRECT(V$7)))</f>
        <v>0</v>
      </c>
      <c r="W605" s="593">
        <f ca="1">$E605*(SUMIF(INDIRECT(W$3),'Struktur Aktuell'!$D605,INDIRECT(W$7)))</f>
        <v>0</v>
      </c>
      <c r="X605" s="593">
        <f ca="1">$E605*(SUMIF(INDIRECT(X$3),'Struktur Aktuell'!$D605,INDIRECT(X$7)))</f>
        <v>0</v>
      </c>
      <c r="Y605" s="593">
        <f ca="1">$E605*(SUMIF(INDIRECT(Y$3),'Struktur Aktuell'!$D605,INDIRECT(Y$7)))</f>
        <v>0</v>
      </c>
      <c r="Z605" s="593">
        <f ca="1">$E605*(SUMIF(INDIRECT(Z$3),'Struktur Aktuell'!$D605,INDIRECT(Z$7)))</f>
        <v>0</v>
      </c>
      <c r="AA605" s="593">
        <f ca="1">$E605*(SUMIF(INDIRECT(AA$3),'Struktur Aktuell'!$D605,INDIRECT(AA$7)))</f>
        <v>0</v>
      </c>
      <c r="AB605" s="593">
        <f ca="1">$E605*(SUMIF(INDIRECT(AB$3),'Struktur Aktuell'!$D605,INDIRECT(AB$7)))</f>
        <v>0</v>
      </c>
      <c r="AC605" s="593">
        <f ca="1">$E605*(SUMIF(INDIRECT(AC$3),'Struktur Aktuell'!$D605,INDIRECT(AC$7)))</f>
        <v>0</v>
      </c>
      <c r="AD605" s="593">
        <f ca="1">$E605*(SUMIF(INDIRECT(AD$3),'Struktur Aktuell'!$D605,INDIRECT(AD$7)))</f>
        <v>0</v>
      </c>
      <c r="AE605" s="593">
        <f t="shared" ref="AE605:AE608" ca="1" si="938">G605</f>
        <v>0</v>
      </c>
      <c r="AF605" s="593">
        <f t="shared" ref="AF605:AF608" ca="1" si="939">H605+AE605</f>
        <v>0</v>
      </c>
      <c r="AG605" s="593">
        <f t="shared" ref="AG605:AG608" ca="1" si="940">I605+AF605</f>
        <v>0</v>
      </c>
      <c r="AH605" s="593">
        <f t="shared" ref="AH605:AH608" ca="1" si="941">J605+AG605</f>
        <v>0</v>
      </c>
      <c r="AI605" s="593">
        <f t="shared" ref="AI605:AI608" ca="1" si="942">K605+AH605</f>
        <v>0</v>
      </c>
      <c r="AJ605" s="593">
        <f t="shared" ref="AJ605:AJ608" ca="1" si="943">L605+AI605</f>
        <v>0</v>
      </c>
      <c r="AK605" s="593">
        <f t="shared" ref="AK605:AK608" ca="1" si="944">M605+AJ605</f>
        <v>0</v>
      </c>
      <c r="AL605" s="593">
        <f t="shared" ref="AL605:AL608" ca="1" si="945">N605+AK605</f>
        <v>0</v>
      </c>
      <c r="AM605" s="593">
        <f t="shared" ref="AM605:AM608" ca="1" si="946">O605+AL605</f>
        <v>0</v>
      </c>
      <c r="AN605" s="593">
        <f t="shared" ref="AN605:AN608" ca="1" si="947">P605+AM605</f>
        <v>0</v>
      </c>
      <c r="AO605" s="593">
        <f t="shared" ref="AO605:AO608" ca="1" si="948">Q605+AN605</f>
        <v>0</v>
      </c>
      <c r="AP605" s="593">
        <f t="shared" ref="AP605:AP608" ca="1" si="949">R605+AO605</f>
        <v>0</v>
      </c>
    </row>
    <row r="606" spans="1:42" s="594" customFormat="1" ht="11.25" x14ac:dyDescent="0.2">
      <c r="A606" s="644"/>
      <c r="B606" s="591" t="str">
        <f>IF(D606&lt;&gt;"",
IF(ISERROR(MATCH(D606,'Ist Aktuell Monat 01'!A:A,0))=FALSE,INDEX('Ist Aktuell Monat 01'!B:B,MATCH(D606,'Ist Aktuell Monat 01'!A:A,0)),
IF(ISERROR(MATCH(D606,'Ist Aktuell Monat 02'!A:A,0))=FALSE,INDEX('Ist Aktuell Monat 02'!B:B,MATCH(D606,'Ist Aktuell Monat 02'!A:A,0)),
IF(ISERROR(MATCH(D606,'Ist Aktuell Monat 03'!A:A,0))=FALSE,INDEX('Ist Aktuell Monat 03'!B:B,MATCH(D606,'Ist Aktuell Monat 03'!A:A,0)),
IF(ISERROR(MATCH(D606,'Ist Aktuell Monat 04'!A:A,0))=FALSE,INDEX('Ist Aktuell Monat 04'!B:B,MATCH(D606,'Ist Aktuell Monat 04'!A:A,0)),
IF(ISERROR(MATCH(D606,'Ist Aktuell Monat 05'!A:A,0))=FALSE,INDEX('Ist Aktuell Monat 05'!B:B,MATCH(D606,'Ist Aktuell Monat 05'!A:A,0)),
IF(ISERROR(MATCH(D606,'Ist Aktuell Monat 06'!A:A,0))=FALSE,INDEX('Ist Aktuell Monat 06'!B:B,MATCH(D606,'Ist Aktuell Monat 06'!A:A,0)),
IF(ISERROR(MATCH(D606,'Ist Aktuell Monat 07'!A:A,0))=FALSE,INDEX('Ist Aktuell Monat 07'!B:B,MATCH(D606,'Ist Aktuell Monat 07'!A:A,0)),
IF(ISERROR(MATCH(D606,'Ist Aktuell Monat 08'!A:A,0))=FALSE,INDEX('Ist Aktuell Monat 08'!B:B,MATCH(D606,'Ist Aktuell Monat 08'!A:A,0)),
IF(ISERROR(MATCH(D606,'Ist Aktuell Monat 09'!A:A,0))=FALSE,INDEX('Ist Aktuell Monat 09'!B:B,MATCH(D606,'Ist Aktuell Monat 09'!A:A,0)),
IF(ISERROR(MATCH(D606,'Ist Aktuell Monat 10'!A:A,0))=FALSE,INDEX('Ist Aktuell Monat 10'!B:B,MATCH(D606,'Ist Aktuell Monat 10'!A:A,0)),
IF(ISERROR(MATCH(D606,'Ist Aktuell Monat 11'!A:A,0))=FALSE,INDEX('Ist Aktuell Monat 11'!B:B,MATCH(D606,'Ist Aktuell Monat 11'!A:A,0)),
IF(ISERROR(MATCH(D606,'Ist Aktuell Monat 12'!A:A,0))=FALSE,INDEX('Ist Aktuell Monat 12'!B:B,MATCH(D606,'Ist Aktuell Monat 12'!A:A,0)),
"{Konto unbekannt}"
)))))))))))),"")</f>
        <v/>
      </c>
      <c r="C606" s="1062"/>
      <c r="D606" s="1067"/>
      <c r="E606" s="625">
        <f t="shared" si="727"/>
        <v>1</v>
      </c>
      <c r="F606" s="626"/>
      <c r="G606" s="593">
        <f ca="1">$E606*(SUMIF(INDIRECT(G$3),'Struktur Aktuell'!$D606,INDIRECT(G$7)))</f>
        <v>0</v>
      </c>
      <c r="H606" s="593">
        <f ca="1">$E606*(SUMIF(INDIRECT(H$3),'Struktur Aktuell'!$D606,INDIRECT(H$7)))</f>
        <v>0</v>
      </c>
      <c r="I606" s="593">
        <f ca="1">$E606*(SUMIF(INDIRECT(I$3),'Struktur Aktuell'!$D606,INDIRECT(I$7)))</f>
        <v>0</v>
      </c>
      <c r="J606" s="593">
        <f ca="1">$E606*(SUMIF(INDIRECT(J$3),'Struktur Aktuell'!$D606,INDIRECT(J$7)))</f>
        <v>0</v>
      </c>
      <c r="K606" s="593">
        <f ca="1">$E606*(SUMIF(INDIRECT(K$3),'Struktur Aktuell'!$D606,INDIRECT(K$7)))</f>
        <v>0</v>
      </c>
      <c r="L606" s="593">
        <f ca="1">$E606*(SUMIF(INDIRECT(L$3),'Struktur Aktuell'!$D606,INDIRECT(L$7)))</f>
        <v>0</v>
      </c>
      <c r="M606" s="593">
        <f ca="1">$E606*(SUMIF(INDIRECT(M$3),'Struktur Aktuell'!$D606,INDIRECT(M$7)))</f>
        <v>0</v>
      </c>
      <c r="N606" s="593">
        <f ca="1">$E606*(SUMIF(INDIRECT(N$3),'Struktur Aktuell'!$D606,INDIRECT(N$7)))</f>
        <v>0</v>
      </c>
      <c r="O606" s="593">
        <f ca="1">$E606*(SUMIF(INDIRECT(O$3),'Struktur Aktuell'!$D606,INDIRECT(O$7)))</f>
        <v>0</v>
      </c>
      <c r="P606" s="593">
        <f ca="1">$E606*(SUMIF(INDIRECT(P$3),'Struktur Aktuell'!$D606,INDIRECT(P$7)))</f>
        <v>0</v>
      </c>
      <c r="Q606" s="593">
        <f ca="1">$E606*(SUMIF(INDIRECT(Q$3),'Struktur Aktuell'!$D606,INDIRECT(Q$7)))</f>
        <v>0</v>
      </c>
      <c r="R606" s="593">
        <f ca="1">$E606*(SUMIF(INDIRECT(R$3),'Struktur Aktuell'!$D606,INDIRECT(R$7)))</f>
        <v>0</v>
      </c>
      <c r="S606" s="593">
        <f ca="1">$E606*(SUMIF(INDIRECT(S$3),'Struktur Aktuell'!$D606,INDIRECT(S$7)))</f>
        <v>0</v>
      </c>
      <c r="T606" s="593">
        <f ca="1">$E606*(SUMIF(INDIRECT(T$3),'Struktur Aktuell'!$D606,INDIRECT(T$7)))</f>
        <v>0</v>
      </c>
      <c r="U606" s="593">
        <f ca="1">$E606*(SUMIF(INDIRECT(U$3),'Struktur Aktuell'!$D606,INDIRECT(U$7)))</f>
        <v>0</v>
      </c>
      <c r="V606" s="593">
        <f ca="1">$E606*(SUMIF(INDIRECT(V$3),'Struktur Aktuell'!$D606,INDIRECT(V$7)))</f>
        <v>0</v>
      </c>
      <c r="W606" s="593">
        <f ca="1">$E606*(SUMIF(INDIRECT(W$3),'Struktur Aktuell'!$D606,INDIRECT(W$7)))</f>
        <v>0</v>
      </c>
      <c r="X606" s="593">
        <f ca="1">$E606*(SUMIF(INDIRECT(X$3),'Struktur Aktuell'!$D606,INDIRECT(X$7)))</f>
        <v>0</v>
      </c>
      <c r="Y606" s="593">
        <f ca="1">$E606*(SUMIF(INDIRECT(Y$3),'Struktur Aktuell'!$D606,INDIRECT(Y$7)))</f>
        <v>0</v>
      </c>
      <c r="Z606" s="593">
        <f ca="1">$E606*(SUMIF(INDIRECT(Z$3),'Struktur Aktuell'!$D606,INDIRECT(Z$7)))</f>
        <v>0</v>
      </c>
      <c r="AA606" s="593">
        <f ca="1">$E606*(SUMIF(INDIRECT(AA$3),'Struktur Aktuell'!$D606,INDIRECT(AA$7)))</f>
        <v>0</v>
      </c>
      <c r="AB606" s="593">
        <f ca="1">$E606*(SUMIF(INDIRECT(AB$3),'Struktur Aktuell'!$D606,INDIRECT(AB$7)))</f>
        <v>0</v>
      </c>
      <c r="AC606" s="593">
        <f ca="1">$E606*(SUMIF(INDIRECT(AC$3),'Struktur Aktuell'!$D606,INDIRECT(AC$7)))</f>
        <v>0</v>
      </c>
      <c r="AD606" s="593">
        <f ca="1">$E606*(SUMIF(INDIRECT(AD$3),'Struktur Aktuell'!$D606,INDIRECT(AD$7)))</f>
        <v>0</v>
      </c>
      <c r="AE606" s="593">
        <f t="shared" ca="1" si="938"/>
        <v>0</v>
      </c>
      <c r="AF606" s="593">
        <f t="shared" ca="1" si="939"/>
        <v>0</v>
      </c>
      <c r="AG606" s="593">
        <f t="shared" ca="1" si="940"/>
        <v>0</v>
      </c>
      <c r="AH606" s="593">
        <f t="shared" ca="1" si="941"/>
        <v>0</v>
      </c>
      <c r="AI606" s="593">
        <f t="shared" ca="1" si="942"/>
        <v>0</v>
      </c>
      <c r="AJ606" s="593">
        <f t="shared" ca="1" si="943"/>
        <v>0</v>
      </c>
      <c r="AK606" s="593">
        <f t="shared" ca="1" si="944"/>
        <v>0</v>
      </c>
      <c r="AL606" s="593">
        <f t="shared" ca="1" si="945"/>
        <v>0</v>
      </c>
      <c r="AM606" s="593">
        <f t="shared" ca="1" si="946"/>
        <v>0</v>
      </c>
      <c r="AN606" s="593">
        <f t="shared" ca="1" si="947"/>
        <v>0</v>
      </c>
      <c r="AO606" s="593">
        <f t="shared" ca="1" si="948"/>
        <v>0</v>
      </c>
      <c r="AP606" s="593">
        <f t="shared" ca="1" si="949"/>
        <v>0</v>
      </c>
    </row>
    <row r="607" spans="1:42" s="594" customFormat="1" ht="11.25" x14ac:dyDescent="0.2">
      <c r="A607" s="644"/>
      <c r="B607" s="591" t="str">
        <f>IF(D607&lt;&gt;"",
IF(ISERROR(MATCH(D607,'Ist Aktuell Monat 01'!A:A,0))=FALSE,INDEX('Ist Aktuell Monat 01'!B:B,MATCH(D607,'Ist Aktuell Monat 01'!A:A,0)),
IF(ISERROR(MATCH(D607,'Ist Aktuell Monat 02'!A:A,0))=FALSE,INDEX('Ist Aktuell Monat 02'!B:B,MATCH(D607,'Ist Aktuell Monat 02'!A:A,0)),
IF(ISERROR(MATCH(D607,'Ist Aktuell Monat 03'!A:A,0))=FALSE,INDEX('Ist Aktuell Monat 03'!B:B,MATCH(D607,'Ist Aktuell Monat 03'!A:A,0)),
IF(ISERROR(MATCH(D607,'Ist Aktuell Monat 04'!A:A,0))=FALSE,INDEX('Ist Aktuell Monat 04'!B:B,MATCH(D607,'Ist Aktuell Monat 04'!A:A,0)),
IF(ISERROR(MATCH(D607,'Ist Aktuell Monat 05'!A:A,0))=FALSE,INDEX('Ist Aktuell Monat 05'!B:B,MATCH(D607,'Ist Aktuell Monat 05'!A:A,0)),
IF(ISERROR(MATCH(D607,'Ist Aktuell Monat 06'!A:A,0))=FALSE,INDEX('Ist Aktuell Monat 06'!B:B,MATCH(D607,'Ist Aktuell Monat 06'!A:A,0)),
IF(ISERROR(MATCH(D607,'Ist Aktuell Monat 07'!A:A,0))=FALSE,INDEX('Ist Aktuell Monat 07'!B:B,MATCH(D607,'Ist Aktuell Monat 07'!A:A,0)),
IF(ISERROR(MATCH(D607,'Ist Aktuell Monat 08'!A:A,0))=FALSE,INDEX('Ist Aktuell Monat 08'!B:B,MATCH(D607,'Ist Aktuell Monat 08'!A:A,0)),
IF(ISERROR(MATCH(D607,'Ist Aktuell Monat 09'!A:A,0))=FALSE,INDEX('Ist Aktuell Monat 09'!B:B,MATCH(D607,'Ist Aktuell Monat 09'!A:A,0)),
IF(ISERROR(MATCH(D607,'Ist Aktuell Monat 10'!A:A,0))=FALSE,INDEX('Ist Aktuell Monat 10'!B:B,MATCH(D607,'Ist Aktuell Monat 10'!A:A,0)),
IF(ISERROR(MATCH(D607,'Ist Aktuell Monat 11'!A:A,0))=FALSE,INDEX('Ist Aktuell Monat 11'!B:B,MATCH(D607,'Ist Aktuell Monat 11'!A:A,0)),
IF(ISERROR(MATCH(D607,'Ist Aktuell Monat 12'!A:A,0))=FALSE,INDEX('Ist Aktuell Monat 12'!B:B,MATCH(D607,'Ist Aktuell Monat 12'!A:A,0)),
"{Konto unbekannt}"
)))))))))))),"")</f>
        <v/>
      </c>
      <c r="C607" s="1062"/>
      <c r="D607" s="1067"/>
      <c r="E607" s="625">
        <f t="shared" si="727"/>
        <v>1</v>
      </c>
      <c r="F607" s="626"/>
      <c r="G607" s="593">
        <f ca="1">$E607*(SUMIF(INDIRECT(G$3),'Struktur Aktuell'!$D607,INDIRECT(G$7)))</f>
        <v>0</v>
      </c>
      <c r="H607" s="593">
        <f ca="1">$E607*(SUMIF(INDIRECT(H$3),'Struktur Aktuell'!$D607,INDIRECT(H$7)))</f>
        <v>0</v>
      </c>
      <c r="I607" s="593">
        <f ca="1">$E607*(SUMIF(INDIRECT(I$3),'Struktur Aktuell'!$D607,INDIRECT(I$7)))</f>
        <v>0</v>
      </c>
      <c r="J607" s="593">
        <f ca="1">$E607*(SUMIF(INDIRECT(J$3),'Struktur Aktuell'!$D607,INDIRECT(J$7)))</f>
        <v>0</v>
      </c>
      <c r="K607" s="593">
        <f ca="1">$E607*(SUMIF(INDIRECT(K$3),'Struktur Aktuell'!$D607,INDIRECT(K$7)))</f>
        <v>0</v>
      </c>
      <c r="L607" s="593">
        <f ca="1">$E607*(SUMIF(INDIRECT(L$3),'Struktur Aktuell'!$D607,INDIRECT(L$7)))</f>
        <v>0</v>
      </c>
      <c r="M607" s="593">
        <f ca="1">$E607*(SUMIF(INDIRECT(M$3),'Struktur Aktuell'!$D607,INDIRECT(M$7)))</f>
        <v>0</v>
      </c>
      <c r="N607" s="593">
        <f ca="1">$E607*(SUMIF(INDIRECT(N$3),'Struktur Aktuell'!$D607,INDIRECT(N$7)))</f>
        <v>0</v>
      </c>
      <c r="O607" s="593">
        <f ca="1">$E607*(SUMIF(INDIRECT(O$3),'Struktur Aktuell'!$D607,INDIRECT(O$7)))</f>
        <v>0</v>
      </c>
      <c r="P607" s="593">
        <f ca="1">$E607*(SUMIF(INDIRECT(P$3),'Struktur Aktuell'!$D607,INDIRECT(P$7)))</f>
        <v>0</v>
      </c>
      <c r="Q607" s="593">
        <f ca="1">$E607*(SUMIF(INDIRECT(Q$3),'Struktur Aktuell'!$D607,INDIRECT(Q$7)))</f>
        <v>0</v>
      </c>
      <c r="R607" s="593">
        <f ca="1">$E607*(SUMIF(INDIRECT(R$3),'Struktur Aktuell'!$D607,INDIRECT(R$7)))</f>
        <v>0</v>
      </c>
      <c r="S607" s="593">
        <f ca="1">$E607*(SUMIF(INDIRECT(S$3),'Struktur Aktuell'!$D607,INDIRECT(S$7)))</f>
        <v>0</v>
      </c>
      <c r="T607" s="593">
        <f ca="1">$E607*(SUMIF(INDIRECT(T$3),'Struktur Aktuell'!$D607,INDIRECT(T$7)))</f>
        <v>0</v>
      </c>
      <c r="U607" s="593">
        <f ca="1">$E607*(SUMIF(INDIRECT(U$3),'Struktur Aktuell'!$D607,INDIRECT(U$7)))</f>
        <v>0</v>
      </c>
      <c r="V607" s="593">
        <f ca="1">$E607*(SUMIF(INDIRECT(V$3),'Struktur Aktuell'!$D607,INDIRECT(V$7)))</f>
        <v>0</v>
      </c>
      <c r="W607" s="593">
        <f ca="1">$E607*(SUMIF(INDIRECT(W$3),'Struktur Aktuell'!$D607,INDIRECT(W$7)))</f>
        <v>0</v>
      </c>
      <c r="X607" s="593">
        <f ca="1">$E607*(SUMIF(INDIRECT(X$3),'Struktur Aktuell'!$D607,INDIRECT(X$7)))</f>
        <v>0</v>
      </c>
      <c r="Y607" s="593">
        <f ca="1">$E607*(SUMIF(INDIRECT(Y$3),'Struktur Aktuell'!$D607,INDIRECT(Y$7)))</f>
        <v>0</v>
      </c>
      <c r="Z607" s="593">
        <f ca="1">$E607*(SUMIF(INDIRECT(Z$3),'Struktur Aktuell'!$D607,INDIRECT(Z$7)))</f>
        <v>0</v>
      </c>
      <c r="AA607" s="593">
        <f ca="1">$E607*(SUMIF(INDIRECT(AA$3),'Struktur Aktuell'!$D607,INDIRECT(AA$7)))</f>
        <v>0</v>
      </c>
      <c r="AB607" s="593">
        <f ca="1">$E607*(SUMIF(INDIRECT(AB$3),'Struktur Aktuell'!$D607,INDIRECT(AB$7)))</f>
        <v>0</v>
      </c>
      <c r="AC607" s="593">
        <f ca="1">$E607*(SUMIF(INDIRECT(AC$3),'Struktur Aktuell'!$D607,INDIRECT(AC$7)))</f>
        <v>0</v>
      </c>
      <c r="AD607" s="593">
        <f ca="1">$E607*(SUMIF(INDIRECT(AD$3),'Struktur Aktuell'!$D607,INDIRECT(AD$7)))</f>
        <v>0</v>
      </c>
      <c r="AE607" s="593">
        <f t="shared" ca="1" si="938"/>
        <v>0</v>
      </c>
      <c r="AF607" s="593">
        <f t="shared" ca="1" si="939"/>
        <v>0</v>
      </c>
      <c r="AG607" s="593">
        <f t="shared" ca="1" si="940"/>
        <v>0</v>
      </c>
      <c r="AH607" s="593">
        <f t="shared" ca="1" si="941"/>
        <v>0</v>
      </c>
      <c r="AI607" s="593">
        <f t="shared" ca="1" si="942"/>
        <v>0</v>
      </c>
      <c r="AJ607" s="593">
        <f t="shared" ca="1" si="943"/>
        <v>0</v>
      </c>
      <c r="AK607" s="593">
        <f t="shared" ca="1" si="944"/>
        <v>0</v>
      </c>
      <c r="AL607" s="593">
        <f t="shared" ca="1" si="945"/>
        <v>0</v>
      </c>
      <c r="AM607" s="593">
        <f t="shared" ca="1" si="946"/>
        <v>0</v>
      </c>
      <c r="AN607" s="593">
        <f t="shared" ca="1" si="947"/>
        <v>0</v>
      </c>
      <c r="AO607" s="593">
        <f t="shared" ca="1" si="948"/>
        <v>0</v>
      </c>
      <c r="AP607" s="593">
        <f t="shared" ca="1" si="949"/>
        <v>0</v>
      </c>
    </row>
    <row r="608" spans="1:42" s="594" customFormat="1" ht="11.25" x14ac:dyDescent="0.2">
      <c r="A608" s="644"/>
      <c r="B608" s="591" t="str">
        <f>IF(D608&lt;&gt;"",
IF(ISERROR(MATCH(D608,'Ist Aktuell Monat 01'!A:A,0))=FALSE,INDEX('Ist Aktuell Monat 01'!B:B,MATCH(D608,'Ist Aktuell Monat 01'!A:A,0)),
IF(ISERROR(MATCH(D608,'Ist Aktuell Monat 02'!A:A,0))=FALSE,INDEX('Ist Aktuell Monat 02'!B:B,MATCH(D608,'Ist Aktuell Monat 02'!A:A,0)),
IF(ISERROR(MATCH(D608,'Ist Aktuell Monat 03'!A:A,0))=FALSE,INDEX('Ist Aktuell Monat 03'!B:B,MATCH(D608,'Ist Aktuell Monat 03'!A:A,0)),
IF(ISERROR(MATCH(D608,'Ist Aktuell Monat 04'!A:A,0))=FALSE,INDEX('Ist Aktuell Monat 04'!B:B,MATCH(D608,'Ist Aktuell Monat 04'!A:A,0)),
IF(ISERROR(MATCH(D608,'Ist Aktuell Monat 05'!A:A,0))=FALSE,INDEX('Ist Aktuell Monat 05'!B:B,MATCH(D608,'Ist Aktuell Monat 05'!A:A,0)),
IF(ISERROR(MATCH(D608,'Ist Aktuell Monat 06'!A:A,0))=FALSE,INDEX('Ist Aktuell Monat 06'!B:B,MATCH(D608,'Ist Aktuell Monat 06'!A:A,0)),
IF(ISERROR(MATCH(D608,'Ist Aktuell Monat 07'!A:A,0))=FALSE,INDEX('Ist Aktuell Monat 07'!B:B,MATCH(D608,'Ist Aktuell Monat 07'!A:A,0)),
IF(ISERROR(MATCH(D608,'Ist Aktuell Monat 08'!A:A,0))=FALSE,INDEX('Ist Aktuell Monat 08'!B:B,MATCH(D608,'Ist Aktuell Monat 08'!A:A,0)),
IF(ISERROR(MATCH(D608,'Ist Aktuell Monat 09'!A:A,0))=FALSE,INDEX('Ist Aktuell Monat 09'!B:B,MATCH(D608,'Ist Aktuell Monat 09'!A:A,0)),
IF(ISERROR(MATCH(D608,'Ist Aktuell Monat 10'!A:A,0))=FALSE,INDEX('Ist Aktuell Monat 10'!B:B,MATCH(D608,'Ist Aktuell Monat 10'!A:A,0)),
IF(ISERROR(MATCH(D608,'Ist Aktuell Monat 11'!A:A,0))=FALSE,INDEX('Ist Aktuell Monat 11'!B:B,MATCH(D608,'Ist Aktuell Monat 11'!A:A,0)),
IF(ISERROR(MATCH(D608,'Ist Aktuell Monat 12'!A:A,0))=FALSE,INDEX('Ist Aktuell Monat 12'!B:B,MATCH(D608,'Ist Aktuell Monat 12'!A:A,0)),
"{Konto unbekannt}"
)))))))))))),"")</f>
        <v/>
      </c>
      <c r="C608" s="1062"/>
      <c r="D608" s="1067"/>
      <c r="E608" s="625">
        <f t="shared" si="727"/>
        <v>1</v>
      </c>
      <c r="F608" s="626"/>
      <c r="G608" s="593">
        <f ca="1">$E608*(SUMIF(INDIRECT(G$3),'Struktur Aktuell'!$D608,INDIRECT(G$7)))</f>
        <v>0</v>
      </c>
      <c r="H608" s="593">
        <f ca="1">$E608*(SUMIF(INDIRECT(H$3),'Struktur Aktuell'!$D608,INDIRECT(H$7)))</f>
        <v>0</v>
      </c>
      <c r="I608" s="593">
        <f ca="1">$E608*(SUMIF(INDIRECT(I$3),'Struktur Aktuell'!$D608,INDIRECT(I$7)))</f>
        <v>0</v>
      </c>
      <c r="J608" s="593">
        <f ca="1">$E608*(SUMIF(INDIRECT(J$3),'Struktur Aktuell'!$D608,INDIRECT(J$7)))</f>
        <v>0</v>
      </c>
      <c r="K608" s="593">
        <f ca="1">$E608*(SUMIF(INDIRECT(K$3),'Struktur Aktuell'!$D608,INDIRECT(K$7)))</f>
        <v>0</v>
      </c>
      <c r="L608" s="593">
        <f ca="1">$E608*(SUMIF(INDIRECT(L$3),'Struktur Aktuell'!$D608,INDIRECT(L$7)))</f>
        <v>0</v>
      </c>
      <c r="M608" s="593">
        <f ca="1">$E608*(SUMIF(INDIRECT(M$3),'Struktur Aktuell'!$D608,INDIRECT(M$7)))</f>
        <v>0</v>
      </c>
      <c r="N608" s="593">
        <f ca="1">$E608*(SUMIF(INDIRECT(N$3),'Struktur Aktuell'!$D608,INDIRECT(N$7)))</f>
        <v>0</v>
      </c>
      <c r="O608" s="593">
        <f ca="1">$E608*(SUMIF(INDIRECT(O$3),'Struktur Aktuell'!$D608,INDIRECT(O$7)))</f>
        <v>0</v>
      </c>
      <c r="P608" s="593">
        <f ca="1">$E608*(SUMIF(INDIRECT(P$3),'Struktur Aktuell'!$D608,INDIRECT(P$7)))</f>
        <v>0</v>
      </c>
      <c r="Q608" s="593">
        <f ca="1">$E608*(SUMIF(INDIRECT(Q$3),'Struktur Aktuell'!$D608,INDIRECT(Q$7)))</f>
        <v>0</v>
      </c>
      <c r="R608" s="593">
        <f ca="1">$E608*(SUMIF(INDIRECT(R$3),'Struktur Aktuell'!$D608,INDIRECT(R$7)))</f>
        <v>0</v>
      </c>
      <c r="S608" s="593">
        <f ca="1">$E608*(SUMIF(INDIRECT(S$3),'Struktur Aktuell'!$D608,INDIRECT(S$7)))</f>
        <v>0</v>
      </c>
      <c r="T608" s="593">
        <f ca="1">$E608*(SUMIF(INDIRECT(T$3),'Struktur Aktuell'!$D608,INDIRECT(T$7)))</f>
        <v>0</v>
      </c>
      <c r="U608" s="593">
        <f ca="1">$E608*(SUMIF(INDIRECT(U$3),'Struktur Aktuell'!$D608,INDIRECT(U$7)))</f>
        <v>0</v>
      </c>
      <c r="V608" s="593">
        <f ca="1">$E608*(SUMIF(INDIRECT(V$3),'Struktur Aktuell'!$D608,INDIRECT(V$7)))</f>
        <v>0</v>
      </c>
      <c r="W608" s="593">
        <f ca="1">$E608*(SUMIF(INDIRECT(W$3),'Struktur Aktuell'!$D608,INDIRECT(W$7)))</f>
        <v>0</v>
      </c>
      <c r="X608" s="593">
        <f ca="1">$E608*(SUMIF(INDIRECT(X$3),'Struktur Aktuell'!$D608,INDIRECT(X$7)))</f>
        <v>0</v>
      </c>
      <c r="Y608" s="593">
        <f ca="1">$E608*(SUMIF(INDIRECT(Y$3),'Struktur Aktuell'!$D608,INDIRECT(Y$7)))</f>
        <v>0</v>
      </c>
      <c r="Z608" s="593">
        <f ca="1">$E608*(SUMIF(INDIRECT(Z$3),'Struktur Aktuell'!$D608,INDIRECT(Z$7)))</f>
        <v>0</v>
      </c>
      <c r="AA608" s="593">
        <f ca="1">$E608*(SUMIF(INDIRECT(AA$3),'Struktur Aktuell'!$D608,INDIRECT(AA$7)))</f>
        <v>0</v>
      </c>
      <c r="AB608" s="593">
        <f ca="1">$E608*(SUMIF(INDIRECT(AB$3),'Struktur Aktuell'!$D608,INDIRECT(AB$7)))</f>
        <v>0</v>
      </c>
      <c r="AC608" s="593">
        <f ca="1">$E608*(SUMIF(INDIRECT(AC$3),'Struktur Aktuell'!$D608,INDIRECT(AC$7)))</f>
        <v>0</v>
      </c>
      <c r="AD608" s="593">
        <f ca="1">$E608*(SUMIF(INDIRECT(AD$3),'Struktur Aktuell'!$D608,INDIRECT(AD$7)))</f>
        <v>0</v>
      </c>
      <c r="AE608" s="593">
        <f t="shared" ca="1" si="938"/>
        <v>0</v>
      </c>
      <c r="AF608" s="593">
        <f t="shared" ca="1" si="939"/>
        <v>0</v>
      </c>
      <c r="AG608" s="593">
        <f t="shared" ca="1" si="940"/>
        <v>0</v>
      </c>
      <c r="AH608" s="593">
        <f t="shared" ca="1" si="941"/>
        <v>0</v>
      </c>
      <c r="AI608" s="593">
        <f t="shared" ca="1" si="942"/>
        <v>0</v>
      </c>
      <c r="AJ608" s="593">
        <f t="shared" ca="1" si="943"/>
        <v>0</v>
      </c>
      <c r="AK608" s="593">
        <f t="shared" ca="1" si="944"/>
        <v>0</v>
      </c>
      <c r="AL608" s="593">
        <f t="shared" ca="1" si="945"/>
        <v>0</v>
      </c>
      <c r="AM608" s="593">
        <f t="shared" ca="1" si="946"/>
        <v>0</v>
      </c>
      <c r="AN608" s="593">
        <f t="shared" ca="1" si="947"/>
        <v>0</v>
      </c>
      <c r="AO608" s="593">
        <f t="shared" ca="1" si="948"/>
        <v>0</v>
      </c>
      <c r="AP608" s="593">
        <f t="shared" ca="1" si="949"/>
        <v>0</v>
      </c>
    </row>
    <row r="609" spans="1:42" s="589" customFormat="1" x14ac:dyDescent="0.2">
      <c r="A609" s="629">
        <v>60</v>
      </c>
      <c r="B609" s="623" t="s">
        <v>53</v>
      </c>
      <c r="C609" s="627">
        <f ca="1">SUM(G609:R609)</f>
        <v>0</v>
      </c>
      <c r="D609" s="627"/>
      <c r="E609" s="628">
        <f t="shared" ref="E609:E618" si="950">IF(F609="-",-1,1)</f>
        <v>1</v>
      </c>
      <c r="F609" s="628"/>
      <c r="G609" s="627">
        <f ca="1">SUM(G610:G613)</f>
        <v>0</v>
      </c>
      <c r="H609" s="627">
        <f t="shared" ref="H609:R609" ca="1" si="951">SUM(H610:H613)</f>
        <v>0</v>
      </c>
      <c r="I609" s="627">
        <f t="shared" ca="1" si="951"/>
        <v>0</v>
      </c>
      <c r="J609" s="627">
        <f t="shared" ca="1" si="951"/>
        <v>0</v>
      </c>
      <c r="K609" s="627">
        <f t="shared" ca="1" si="951"/>
        <v>0</v>
      </c>
      <c r="L609" s="627">
        <f t="shared" ca="1" si="951"/>
        <v>0</v>
      </c>
      <c r="M609" s="627">
        <f t="shared" ca="1" si="951"/>
        <v>0</v>
      </c>
      <c r="N609" s="627">
        <f t="shared" ca="1" si="951"/>
        <v>0</v>
      </c>
      <c r="O609" s="627">
        <f t="shared" ca="1" si="951"/>
        <v>0</v>
      </c>
      <c r="P609" s="627">
        <f t="shared" ca="1" si="951"/>
        <v>0</v>
      </c>
      <c r="Q609" s="627">
        <f t="shared" ca="1" si="951"/>
        <v>0</v>
      </c>
      <c r="R609" s="627">
        <f t="shared" ca="1" si="951"/>
        <v>0</v>
      </c>
      <c r="S609" s="627">
        <f ca="1">SUM(S610:S613)</f>
        <v>0</v>
      </c>
      <c r="T609" s="627">
        <f t="shared" ref="T609:AD609" ca="1" si="952">SUM(T610:T613)</f>
        <v>0</v>
      </c>
      <c r="U609" s="627">
        <f t="shared" ca="1" si="952"/>
        <v>0</v>
      </c>
      <c r="V609" s="627">
        <f t="shared" ca="1" si="952"/>
        <v>0</v>
      </c>
      <c r="W609" s="627">
        <f t="shared" ca="1" si="952"/>
        <v>0</v>
      </c>
      <c r="X609" s="627">
        <f t="shared" ca="1" si="952"/>
        <v>0</v>
      </c>
      <c r="Y609" s="627">
        <f t="shared" ca="1" si="952"/>
        <v>0</v>
      </c>
      <c r="Z609" s="627">
        <f t="shared" ca="1" si="952"/>
        <v>0</v>
      </c>
      <c r="AA609" s="627">
        <f t="shared" ca="1" si="952"/>
        <v>0</v>
      </c>
      <c r="AB609" s="627">
        <f t="shared" ca="1" si="952"/>
        <v>0</v>
      </c>
      <c r="AC609" s="627">
        <f t="shared" ca="1" si="952"/>
        <v>0</v>
      </c>
      <c r="AD609" s="627">
        <f t="shared" ca="1" si="952"/>
        <v>0</v>
      </c>
      <c r="AE609" s="627">
        <f ca="1">SUM(AE610:AE613)</f>
        <v>0</v>
      </c>
      <c r="AF609" s="627">
        <f t="shared" ref="AF609:AP609" ca="1" si="953">SUM(AF610:AF613)</f>
        <v>0</v>
      </c>
      <c r="AG609" s="627">
        <f t="shared" ca="1" si="953"/>
        <v>0</v>
      </c>
      <c r="AH609" s="627">
        <f t="shared" ca="1" si="953"/>
        <v>0</v>
      </c>
      <c r="AI609" s="627">
        <f t="shared" ca="1" si="953"/>
        <v>0</v>
      </c>
      <c r="AJ609" s="627">
        <f t="shared" ca="1" si="953"/>
        <v>0</v>
      </c>
      <c r="AK609" s="627">
        <f t="shared" ca="1" si="953"/>
        <v>0</v>
      </c>
      <c r="AL609" s="627">
        <f t="shared" ca="1" si="953"/>
        <v>0</v>
      </c>
      <c r="AM609" s="627">
        <f t="shared" ca="1" si="953"/>
        <v>0</v>
      </c>
      <c r="AN609" s="627">
        <f t="shared" ca="1" si="953"/>
        <v>0</v>
      </c>
      <c r="AO609" s="627">
        <f t="shared" ca="1" si="953"/>
        <v>0</v>
      </c>
      <c r="AP609" s="627">
        <f t="shared" ca="1" si="953"/>
        <v>0</v>
      </c>
    </row>
    <row r="610" spans="1:42" s="594" customFormat="1" ht="11.25" x14ac:dyDescent="0.2">
      <c r="A610" s="644"/>
      <c r="B610" s="591" t="str">
        <f>IF(D610&lt;&gt;"",
IF(ISERROR(MATCH(D610,'Ist Aktuell Monat 01'!A:A,0))=FALSE,INDEX('Ist Aktuell Monat 01'!B:B,MATCH(D610,'Ist Aktuell Monat 01'!A:A,0)),
IF(ISERROR(MATCH(D610,'Ist Aktuell Monat 02'!A:A,0))=FALSE,INDEX('Ist Aktuell Monat 02'!B:B,MATCH(D610,'Ist Aktuell Monat 02'!A:A,0)),
IF(ISERROR(MATCH(D610,'Ist Aktuell Monat 03'!A:A,0))=FALSE,INDEX('Ist Aktuell Monat 03'!B:B,MATCH(D610,'Ist Aktuell Monat 03'!A:A,0)),
IF(ISERROR(MATCH(D610,'Ist Aktuell Monat 04'!A:A,0))=FALSE,INDEX('Ist Aktuell Monat 04'!B:B,MATCH(D610,'Ist Aktuell Monat 04'!A:A,0)),
IF(ISERROR(MATCH(D610,'Ist Aktuell Monat 05'!A:A,0))=FALSE,INDEX('Ist Aktuell Monat 05'!B:B,MATCH(D610,'Ist Aktuell Monat 05'!A:A,0)),
IF(ISERROR(MATCH(D610,'Ist Aktuell Monat 06'!A:A,0))=FALSE,INDEX('Ist Aktuell Monat 06'!B:B,MATCH(D610,'Ist Aktuell Monat 06'!A:A,0)),
IF(ISERROR(MATCH(D610,'Ist Aktuell Monat 07'!A:A,0))=FALSE,INDEX('Ist Aktuell Monat 07'!B:B,MATCH(D610,'Ist Aktuell Monat 07'!A:A,0)),
IF(ISERROR(MATCH(D610,'Ist Aktuell Monat 08'!A:A,0))=FALSE,INDEX('Ist Aktuell Monat 08'!B:B,MATCH(D610,'Ist Aktuell Monat 08'!A:A,0)),
IF(ISERROR(MATCH(D610,'Ist Aktuell Monat 09'!A:A,0))=FALSE,INDEX('Ist Aktuell Monat 09'!B:B,MATCH(D610,'Ist Aktuell Monat 09'!A:A,0)),
IF(ISERROR(MATCH(D610,'Ist Aktuell Monat 10'!A:A,0))=FALSE,INDEX('Ist Aktuell Monat 10'!B:B,MATCH(D610,'Ist Aktuell Monat 10'!A:A,0)),
IF(ISERROR(MATCH(D610,'Ist Aktuell Monat 11'!A:A,0))=FALSE,INDEX('Ist Aktuell Monat 11'!B:B,MATCH(D610,'Ist Aktuell Monat 11'!A:A,0)),
IF(ISERROR(MATCH(D610,'Ist Aktuell Monat 12'!A:A,0))=FALSE,INDEX('Ist Aktuell Monat 12'!B:B,MATCH(D610,'Ist Aktuell Monat 12'!A:A,0)),
"{Konto unbekannt}"
)))))))))))),"")</f>
        <v/>
      </c>
      <c r="C610" s="1062"/>
      <c r="D610" s="1067"/>
      <c r="E610" s="625">
        <f t="shared" si="950"/>
        <v>1</v>
      </c>
      <c r="F610" s="626"/>
      <c r="G610" s="593">
        <f ca="1">$E610*(SUMIF(INDIRECT(G$3),'Struktur Aktuell'!$D610,INDIRECT(G$7)))</f>
        <v>0</v>
      </c>
      <c r="H610" s="593">
        <f ca="1">$E610*(SUMIF(INDIRECT(H$3),'Struktur Aktuell'!$D610,INDIRECT(H$7)))</f>
        <v>0</v>
      </c>
      <c r="I610" s="593">
        <f ca="1">$E610*(SUMIF(INDIRECT(I$3),'Struktur Aktuell'!$D610,INDIRECT(I$7)))</f>
        <v>0</v>
      </c>
      <c r="J610" s="593">
        <f ca="1">$E610*(SUMIF(INDIRECT(J$3),'Struktur Aktuell'!$D610,INDIRECT(J$7)))</f>
        <v>0</v>
      </c>
      <c r="K610" s="593">
        <f ca="1">$E610*(SUMIF(INDIRECT(K$3),'Struktur Aktuell'!$D610,INDIRECT(K$7)))</f>
        <v>0</v>
      </c>
      <c r="L610" s="593">
        <f ca="1">$E610*(SUMIF(INDIRECT(L$3),'Struktur Aktuell'!$D610,INDIRECT(L$7)))</f>
        <v>0</v>
      </c>
      <c r="M610" s="593">
        <f ca="1">$E610*(SUMIF(INDIRECT(M$3),'Struktur Aktuell'!$D610,INDIRECT(M$7)))</f>
        <v>0</v>
      </c>
      <c r="N610" s="593">
        <f ca="1">$E610*(SUMIF(INDIRECT(N$3),'Struktur Aktuell'!$D610,INDIRECT(N$7)))</f>
        <v>0</v>
      </c>
      <c r="O610" s="593">
        <f ca="1">$E610*(SUMIF(INDIRECT(O$3),'Struktur Aktuell'!$D610,INDIRECT(O$7)))</f>
        <v>0</v>
      </c>
      <c r="P610" s="593">
        <f ca="1">$E610*(SUMIF(INDIRECT(P$3),'Struktur Aktuell'!$D610,INDIRECT(P$7)))</f>
        <v>0</v>
      </c>
      <c r="Q610" s="593">
        <f ca="1">$E610*(SUMIF(INDIRECT(Q$3),'Struktur Aktuell'!$D610,INDIRECT(Q$7)))</f>
        <v>0</v>
      </c>
      <c r="R610" s="593">
        <f ca="1">$E610*(SUMIF(INDIRECT(R$3),'Struktur Aktuell'!$D610,INDIRECT(R$7)))</f>
        <v>0</v>
      </c>
      <c r="S610" s="593">
        <f ca="1">$E610*(SUMIF(INDIRECT(S$3),'Struktur Aktuell'!$D610,INDIRECT(S$7)))</f>
        <v>0</v>
      </c>
      <c r="T610" s="593">
        <f ca="1">$E610*(SUMIF(INDIRECT(T$3),'Struktur Aktuell'!$D610,INDIRECT(T$7)))</f>
        <v>0</v>
      </c>
      <c r="U610" s="593">
        <f ca="1">$E610*(SUMIF(INDIRECT(U$3),'Struktur Aktuell'!$D610,INDIRECT(U$7)))</f>
        <v>0</v>
      </c>
      <c r="V610" s="593">
        <f ca="1">$E610*(SUMIF(INDIRECT(V$3),'Struktur Aktuell'!$D610,INDIRECT(V$7)))</f>
        <v>0</v>
      </c>
      <c r="W610" s="593">
        <f ca="1">$E610*(SUMIF(INDIRECT(W$3),'Struktur Aktuell'!$D610,INDIRECT(W$7)))</f>
        <v>0</v>
      </c>
      <c r="X610" s="593">
        <f ca="1">$E610*(SUMIF(INDIRECT(X$3),'Struktur Aktuell'!$D610,INDIRECT(X$7)))</f>
        <v>0</v>
      </c>
      <c r="Y610" s="593">
        <f ca="1">$E610*(SUMIF(INDIRECT(Y$3),'Struktur Aktuell'!$D610,INDIRECT(Y$7)))</f>
        <v>0</v>
      </c>
      <c r="Z610" s="593">
        <f ca="1">$E610*(SUMIF(INDIRECT(Z$3),'Struktur Aktuell'!$D610,INDIRECT(Z$7)))</f>
        <v>0</v>
      </c>
      <c r="AA610" s="593">
        <f ca="1">$E610*(SUMIF(INDIRECT(AA$3),'Struktur Aktuell'!$D610,INDIRECT(AA$7)))</f>
        <v>0</v>
      </c>
      <c r="AB610" s="593">
        <f ca="1">$E610*(SUMIF(INDIRECT(AB$3),'Struktur Aktuell'!$D610,INDIRECT(AB$7)))</f>
        <v>0</v>
      </c>
      <c r="AC610" s="593">
        <f ca="1">$E610*(SUMIF(INDIRECT(AC$3),'Struktur Aktuell'!$D610,INDIRECT(AC$7)))</f>
        <v>0</v>
      </c>
      <c r="AD610" s="593">
        <f ca="1">$E610*(SUMIF(INDIRECT(AD$3),'Struktur Aktuell'!$D610,INDIRECT(AD$7)))</f>
        <v>0</v>
      </c>
      <c r="AE610" s="593">
        <f t="shared" ref="AE610:AE613" ca="1" si="954">G610</f>
        <v>0</v>
      </c>
      <c r="AF610" s="593">
        <f t="shared" ref="AF610:AF613" ca="1" si="955">H610+AE610</f>
        <v>0</v>
      </c>
      <c r="AG610" s="593">
        <f t="shared" ref="AG610:AG613" ca="1" si="956">I610+AF610</f>
        <v>0</v>
      </c>
      <c r="AH610" s="593">
        <f t="shared" ref="AH610:AH613" ca="1" si="957">J610+AG610</f>
        <v>0</v>
      </c>
      <c r="AI610" s="593">
        <f t="shared" ref="AI610:AI613" ca="1" si="958">K610+AH610</f>
        <v>0</v>
      </c>
      <c r="AJ610" s="593">
        <f t="shared" ref="AJ610:AJ613" ca="1" si="959">L610+AI610</f>
        <v>0</v>
      </c>
      <c r="AK610" s="593">
        <f t="shared" ref="AK610:AK613" ca="1" si="960">M610+AJ610</f>
        <v>0</v>
      </c>
      <c r="AL610" s="593">
        <f t="shared" ref="AL610:AL613" ca="1" si="961">N610+AK610</f>
        <v>0</v>
      </c>
      <c r="AM610" s="593">
        <f t="shared" ref="AM610:AM613" ca="1" si="962">O610+AL610</f>
        <v>0</v>
      </c>
      <c r="AN610" s="593">
        <f t="shared" ref="AN610:AN613" ca="1" si="963">P610+AM610</f>
        <v>0</v>
      </c>
      <c r="AO610" s="593">
        <f t="shared" ref="AO610:AO613" ca="1" si="964">Q610+AN610</f>
        <v>0</v>
      </c>
      <c r="AP610" s="593">
        <f t="shared" ref="AP610:AP613" ca="1" si="965">R610+AO610</f>
        <v>0</v>
      </c>
    </row>
    <row r="611" spans="1:42" s="594" customFormat="1" ht="11.25" x14ac:dyDescent="0.2">
      <c r="A611" s="644"/>
      <c r="B611" s="591" t="str">
        <f>IF(D611&lt;&gt;"",
IF(ISERROR(MATCH(D611,'Ist Aktuell Monat 01'!A:A,0))=FALSE,INDEX('Ist Aktuell Monat 01'!B:B,MATCH(D611,'Ist Aktuell Monat 01'!A:A,0)),
IF(ISERROR(MATCH(D611,'Ist Aktuell Monat 02'!A:A,0))=FALSE,INDEX('Ist Aktuell Monat 02'!B:B,MATCH(D611,'Ist Aktuell Monat 02'!A:A,0)),
IF(ISERROR(MATCH(D611,'Ist Aktuell Monat 03'!A:A,0))=FALSE,INDEX('Ist Aktuell Monat 03'!B:B,MATCH(D611,'Ist Aktuell Monat 03'!A:A,0)),
IF(ISERROR(MATCH(D611,'Ist Aktuell Monat 04'!A:A,0))=FALSE,INDEX('Ist Aktuell Monat 04'!B:B,MATCH(D611,'Ist Aktuell Monat 04'!A:A,0)),
IF(ISERROR(MATCH(D611,'Ist Aktuell Monat 05'!A:A,0))=FALSE,INDEX('Ist Aktuell Monat 05'!B:B,MATCH(D611,'Ist Aktuell Monat 05'!A:A,0)),
IF(ISERROR(MATCH(D611,'Ist Aktuell Monat 06'!A:A,0))=FALSE,INDEX('Ist Aktuell Monat 06'!B:B,MATCH(D611,'Ist Aktuell Monat 06'!A:A,0)),
IF(ISERROR(MATCH(D611,'Ist Aktuell Monat 07'!A:A,0))=FALSE,INDEX('Ist Aktuell Monat 07'!B:B,MATCH(D611,'Ist Aktuell Monat 07'!A:A,0)),
IF(ISERROR(MATCH(D611,'Ist Aktuell Monat 08'!A:A,0))=FALSE,INDEX('Ist Aktuell Monat 08'!B:B,MATCH(D611,'Ist Aktuell Monat 08'!A:A,0)),
IF(ISERROR(MATCH(D611,'Ist Aktuell Monat 09'!A:A,0))=FALSE,INDEX('Ist Aktuell Monat 09'!B:B,MATCH(D611,'Ist Aktuell Monat 09'!A:A,0)),
IF(ISERROR(MATCH(D611,'Ist Aktuell Monat 10'!A:A,0))=FALSE,INDEX('Ist Aktuell Monat 10'!B:B,MATCH(D611,'Ist Aktuell Monat 10'!A:A,0)),
IF(ISERROR(MATCH(D611,'Ist Aktuell Monat 11'!A:A,0))=FALSE,INDEX('Ist Aktuell Monat 11'!B:B,MATCH(D611,'Ist Aktuell Monat 11'!A:A,0)),
IF(ISERROR(MATCH(D611,'Ist Aktuell Monat 12'!A:A,0))=FALSE,INDEX('Ist Aktuell Monat 12'!B:B,MATCH(D611,'Ist Aktuell Monat 12'!A:A,0)),
"{Konto unbekannt}"
)))))))))))),"")</f>
        <v/>
      </c>
      <c r="C611" s="1062"/>
      <c r="D611" s="1067"/>
      <c r="E611" s="625">
        <f t="shared" si="950"/>
        <v>1</v>
      </c>
      <c r="F611" s="626"/>
      <c r="G611" s="593">
        <f ca="1">$E611*(SUMIF(INDIRECT(G$3),'Struktur Aktuell'!$D611,INDIRECT(G$7)))</f>
        <v>0</v>
      </c>
      <c r="H611" s="593">
        <f ca="1">$E611*(SUMIF(INDIRECT(H$3),'Struktur Aktuell'!$D611,INDIRECT(H$7)))</f>
        <v>0</v>
      </c>
      <c r="I611" s="593">
        <f ca="1">$E611*(SUMIF(INDIRECT(I$3),'Struktur Aktuell'!$D611,INDIRECT(I$7)))</f>
        <v>0</v>
      </c>
      <c r="J611" s="593">
        <f ca="1">$E611*(SUMIF(INDIRECT(J$3),'Struktur Aktuell'!$D611,INDIRECT(J$7)))</f>
        <v>0</v>
      </c>
      <c r="K611" s="593">
        <f ca="1">$E611*(SUMIF(INDIRECT(K$3),'Struktur Aktuell'!$D611,INDIRECT(K$7)))</f>
        <v>0</v>
      </c>
      <c r="L611" s="593">
        <f ca="1">$E611*(SUMIF(INDIRECT(L$3),'Struktur Aktuell'!$D611,INDIRECT(L$7)))</f>
        <v>0</v>
      </c>
      <c r="M611" s="593">
        <f ca="1">$E611*(SUMIF(INDIRECT(M$3),'Struktur Aktuell'!$D611,INDIRECT(M$7)))</f>
        <v>0</v>
      </c>
      <c r="N611" s="593">
        <f ca="1">$E611*(SUMIF(INDIRECT(N$3),'Struktur Aktuell'!$D611,INDIRECT(N$7)))</f>
        <v>0</v>
      </c>
      <c r="O611" s="593">
        <f ca="1">$E611*(SUMIF(INDIRECT(O$3),'Struktur Aktuell'!$D611,INDIRECT(O$7)))</f>
        <v>0</v>
      </c>
      <c r="P611" s="593">
        <f ca="1">$E611*(SUMIF(INDIRECT(P$3),'Struktur Aktuell'!$D611,INDIRECT(P$7)))</f>
        <v>0</v>
      </c>
      <c r="Q611" s="593">
        <f ca="1">$E611*(SUMIF(INDIRECT(Q$3),'Struktur Aktuell'!$D611,INDIRECT(Q$7)))</f>
        <v>0</v>
      </c>
      <c r="R611" s="593">
        <f ca="1">$E611*(SUMIF(INDIRECT(R$3),'Struktur Aktuell'!$D611,INDIRECT(R$7)))</f>
        <v>0</v>
      </c>
      <c r="S611" s="593">
        <f ca="1">$E611*(SUMIF(INDIRECT(S$3),'Struktur Aktuell'!$D611,INDIRECT(S$7)))</f>
        <v>0</v>
      </c>
      <c r="T611" s="593">
        <f ca="1">$E611*(SUMIF(INDIRECT(T$3),'Struktur Aktuell'!$D611,INDIRECT(T$7)))</f>
        <v>0</v>
      </c>
      <c r="U611" s="593">
        <f ca="1">$E611*(SUMIF(INDIRECT(U$3),'Struktur Aktuell'!$D611,INDIRECT(U$7)))</f>
        <v>0</v>
      </c>
      <c r="V611" s="593">
        <f ca="1">$E611*(SUMIF(INDIRECT(V$3),'Struktur Aktuell'!$D611,INDIRECT(V$7)))</f>
        <v>0</v>
      </c>
      <c r="W611" s="593">
        <f ca="1">$E611*(SUMIF(INDIRECT(W$3),'Struktur Aktuell'!$D611,INDIRECT(W$7)))</f>
        <v>0</v>
      </c>
      <c r="X611" s="593">
        <f ca="1">$E611*(SUMIF(INDIRECT(X$3),'Struktur Aktuell'!$D611,INDIRECT(X$7)))</f>
        <v>0</v>
      </c>
      <c r="Y611" s="593">
        <f ca="1">$E611*(SUMIF(INDIRECT(Y$3),'Struktur Aktuell'!$D611,INDIRECT(Y$7)))</f>
        <v>0</v>
      </c>
      <c r="Z611" s="593">
        <f ca="1">$E611*(SUMIF(INDIRECT(Z$3),'Struktur Aktuell'!$D611,INDIRECT(Z$7)))</f>
        <v>0</v>
      </c>
      <c r="AA611" s="593">
        <f ca="1">$E611*(SUMIF(INDIRECT(AA$3),'Struktur Aktuell'!$D611,INDIRECT(AA$7)))</f>
        <v>0</v>
      </c>
      <c r="AB611" s="593">
        <f ca="1">$E611*(SUMIF(INDIRECT(AB$3),'Struktur Aktuell'!$D611,INDIRECT(AB$7)))</f>
        <v>0</v>
      </c>
      <c r="AC611" s="593">
        <f ca="1">$E611*(SUMIF(INDIRECT(AC$3),'Struktur Aktuell'!$D611,INDIRECT(AC$7)))</f>
        <v>0</v>
      </c>
      <c r="AD611" s="593">
        <f ca="1">$E611*(SUMIF(INDIRECT(AD$3),'Struktur Aktuell'!$D611,INDIRECT(AD$7)))</f>
        <v>0</v>
      </c>
      <c r="AE611" s="593">
        <f t="shared" ca="1" si="954"/>
        <v>0</v>
      </c>
      <c r="AF611" s="593">
        <f t="shared" ca="1" si="955"/>
        <v>0</v>
      </c>
      <c r="AG611" s="593">
        <f t="shared" ca="1" si="956"/>
        <v>0</v>
      </c>
      <c r="AH611" s="593">
        <f t="shared" ca="1" si="957"/>
        <v>0</v>
      </c>
      <c r="AI611" s="593">
        <f t="shared" ca="1" si="958"/>
        <v>0</v>
      </c>
      <c r="AJ611" s="593">
        <f t="shared" ca="1" si="959"/>
        <v>0</v>
      </c>
      <c r="AK611" s="593">
        <f t="shared" ca="1" si="960"/>
        <v>0</v>
      </c>
      <c r="AL611" s="593">
        <f t="shared" ca="1" si="961"/>
        <v>0</v>
      </c>
      <c r="AM611" s="593">
        <f t="shared" ca="1" si="962"/>
        <v>0</v>
      </c>
      <c r="AN611" s="593">
        <f t="shared" ca="1" si="963"/>
        <v>0</v>
      </c>
      <c r="AO611" s="593">
        <f t="shared" ca="1" si="964"/>
        <v>0</v>
      </c>
      <c r="AP611" s="593">
        <f t="shared" ca="1" si="965"/>
        <v>0</v>
      </c>
    </row>
    <row r="612" spans="1:42" s="594" customFormat="1" ht="11.25" x14ac:dyDescent="0.2">
      <c r="A612" s="644"/>
      <c r="B612" s="591" t="str">
        <f>IF(D612&lt;&gt;"",
IF(ISERROR(MATCH(D612,'Ist Aktuell Monat 01'!A:A,0))=FALSE,INDEX('Ist Aktuell Monat 01'!B:B,MATCH(D612,'Ist Aktuell Monat 01'!A:A,0)),
IF(ISERROR(MATCH(D612,'Ist Aktuell Monat 02'!A:A,0))=FALSE,INDEX('Ist Aktuell Monat 02'!B:B,MATCH(D612,'Ist Aktuell Monat 02'!A:A,0)),
IF(ISERROR(MATCH(D612,'Ist Aktuell Monat 03'!A:A,0))=FALSE,INDEX('Ist Aktuell Monat 03'!B:B,MATCH(D612,'Ist Aktuell Monat 03'!A:A,0)),
IF(ISERROR(MATCH(D612,'Ist Aktuell Monat 04'!A:A,0))=FALSE,INDEX('Ist Aktuell Monat 04'!B:B,MATCH(D612,'Ist Aktuell Monat 04'!A:A,0)),
IF(ISERROR(MATCH(D612,'Ist Aktuell Monat 05'!A:A,0))=FALSE,INDEX('Ist Aktuell Monat 05'!B:B,MATCH(D612,'Ist Aktuell Monat 05'!A:A,0)),
IF(ISERROR(MATCH(D612,'Ist Aktuell Monat 06'!A:A,0))=FALSE,INDEX('Ist Aktuell Monat 06'!B:B,MATCH(D612,'Ist Aktuell Monat 06'!A:A,0)),
IF(ISERROR(MATCH(D612,'Ist Aktuell Monat 07'!A:A,0))=FALSE,INDEX('Ist Aktuell Monat 07'!B:B,MATCH(D612,'Ist Aktuell Monat 07'!A:A,0)),
IF(ISERROR(MATCH(D612,'Ist Aktuell Monat 08'!A:A,0))=FALSE,INDEX('Ist Aktuell Monat 08'!B:B,MATCH(D612,'Ist Aktuell Monat 08'!A:A,0)),
IF(ISERROR(MATCH(D612,'Ist Aktuell Monat 09'!A:A,0))=FALSE,INDEX('Ist Aktuell Monat 09'!B:B,MATCH(D612,'Ist Aktuell Monat 09'!A:A,0)),
IF(ISERROR(MATCH(D612,'Ist Aktuell Monat 10'!A:A,0))=FALSE,INDEX('Ist Aktuell Monat 10'!B:B,MATCH(D612,'Ist Aktuell Monat 10'!A:A,0)),
IF(ISERROR(MATCH(D612,'Ist Aktuell Monat 11'!A:A,0))=FALSE,INDEX('Ist Aktuell Monat 11'!B:B,MATCH(D612,'Ist Aktuell Monat 11'!A:A,0)),
IF(ISERROR(MATCH(D612,'Ist Aktuell Monat 12'!A:A,0))=FALSE,INDEX('Ist Aktuell Monat 12'!B:B,MATCH(D612,'Ist Aktuell Monat 12'!A:A,0)),
"{Konto unbekannt}"
)))))))))))),"")</f>
        <v/>
      </c>
      <c r="C612" s="1062"/>
      <c r="D612" s="1067"/>
      <c r="E612" s="625">
        <f t="shared" si="950"/>
        <v>1</v>
      </c>
      <c r="F612" s="626"/>
      <c r="G612" s="593">
        <f ca="1">$E612*(SUMIF(INDIRECT(G$3),'Struktur Aktuell'!$D612,INDIRECT(G$7)))</f>
        <v>0</v>
      </c>
      <c r="H612" s="593">
        <f ca="1">$E612*(SUMIF(INDIRECT(H$3),'Struktur Aktuell'!$D612,INDIRECT(H$7)))</f>
        <v>0</v>
      </c>
      <c r="I612" s="593">
        <f ca="1">$E612*(SUMIF(INDIRECT(I$3),'Struktur Aktuell'!$D612,INDIRECT(I$7)))</f>
        <v>0</v>
      </c>
      <c r="J612" s="593">
        <f ca="1">$E612*(SUMIF(INDIRECT(J$3),'Struktur Aktuell'!$D612,INDIRECT(J$7)))</f>
        <v>0</v>
      </c>
      <c r="K612" s="593">
        <f ca="1">$E612*(SUMIF(INDIRECT(K$3),'Struktur Aktuell'!$D612,INDIRECT(K$7)))</f>
        <v>0</v>
      </c>
      <c r="L612" s="593">
        <f ca="1">$E612*(SUMIF(INDIRECT(L$3),'Struktur Aktuell'!$D612,INDIRECT(L$7)))</f>
        <v>0</v>
      </c>
      <c r="M612" s="593">
        <f ca="1">$E612*(SUMIF(INDIRECT(M$3),'Struktur Aktuell'!$D612,INDIRECT(M$7)))</f>
        <v>0</v>
      </c>
      <c r="N612" s="593">
        <f ca="1">$E612*(SUMIF(INDIRECT(N$3),'Struktur Aktuell'!$D612,INDIRECT(N$7)))</f>
        <v>0</v>
      </c>
      <c r="O612" s="593">
        <f ca="1">$E612*(SUMIF(INDIRECT(O$3),'Struktur Aktuell'!$D612,INDIRECT(O$7)))</f>
        <v>0</v>
      </c>
      <c r="P612" s="593">
        <f ca="1">$E612*(SUMIF(INDIRECT(P$3),'Struktur Aktuell'!$D612,INDIRECT(P$7)))</f>
        <v>0</v>
      </c>
      <c r="Q612" s="593">
        <f ca="1">$E612*(SUMIF(INDIRECT(Q$3),'Struktur Aktuell'!$D612,INDIRECT(Q$7)))</f>
        <v>0</v>
      </c>
      <c r="R612" s="593">
        <f ca="1">$E612*(SUMIF(INDIRECT(R$3),'Struktur Aktuell'!$D612,INDIRECT(R$7)))</f>
        <v>0</v>
      </c>
      <c r="S612" s="593">
        <f ca="1">$E612*(SUMIF(INDIRECT(S$3),'Struktur Aktuell'!$D612,INDIRECT(S$7)))</f>
        <v>0</v>
      </c>
      <c r="T612" s="593">
        <f ca="1">$E612*(SUMIF(INDIRECT(T$3),'Struktur Aktuell'!$D612,INDIRECT(T$7)))</f>
        <v>0</v>
      </c>
      <c r="U612" s="593">
        <f ca="1">$E612*(SUMIF(INDIRECT(U$3),'Struktur Aktuell'!$D612,INDIRECT(U$7)))</f>
        <v>0</v>
      </c>
      <c r="V612" s="593">
        <f ca="1">$E612*(SUMIF(INDIRECT(V$3),'Struktur Aktuell'!$D612,INDIRECT(V$7)))</f>
        <v>0</v>
      </c>
      <c r="W612" s="593">
        <f ca="1">$E612*(SUMIF(INDIRECT(W$3),'Struktur Aktuell'!$D612,INDIRECT(W$7)))</f>
        <v>0</v>
      </c>
      <c r="X612" s="593">
        <f ca="1">$E612*(SUMIF(INDIRECT(X$3),'Struktur Aktuell'!$D612,INDIRECT(X$7)))</f>
        <v>0</v>
      </c>
      <c r="Y612" s="593">
        <f ca="1">$E612*(SUMIF(INDIRECT(Y$3),'Struktur Aktuell'!$D612,INDIRECT(Y$7)))</f>
        <v>0</v>
      </c>
      <c r="Z612" s="593">
        <f ca="1">$E612*(SUMIF(INDIRECT(Z$3),'Struktur Aktuell'!$D612,INDIRECT(Z$7)))</f>
        <v>0</v>
      </c>
      <c r="AA612" s="593">
        <f ca="1">$E612*(SUMIF(INDIRECT(AA$3),'Struktur Aktuell'!$D612,INDIRECT(AA$7)))</f>
        <v>0</v>
      </c>
      <c r="AB612" s="593">
        <f ca="1">$E612*(SUMIF(INDIRECT(AB$3),'Struktur Aktuell'!$D612,INDIRECT(AB$7)))</f>
        <v>0</v>
      </c>
      <c r="AC612" s="593">
        <f ca="1">$E612*(SUMIF(INDIRECT(AC$3),'Struktur Aktuell'!$D612,INDIRECT(AC$7)))</f>
        <v>0</v>
      </c>
      <c r="AD612" s="593">
        <f ca="1">$E612*(SUMIF(INDIRECT(AD$3),'Struktur Aktuell'!$D612,INDIRECT(AD$7)))</f>
        <v>0</v>
      </c>
      <c r="AE612" s="593">
        <f t="shared" ca="1" si="954"/>
        <v>0</v>
      </c>
      <c r="AF612" s="593">
        <f t="shared" ca="1" si="955"/>
        <v>0</v>
      </c>
      <c r="AG612" s="593">
        <f t="shared" ca="1" si="956"/>
        <v>0</v>
      </c>
      <c r="AH612" s="593">
        <f t="shared" ca="1" si="957"/>
        <v>0</v>
      </c>
      <c r="AI612" s="593">
        <f t="shared" ca="1" si="958"/>
        <v>0</v>
      </c>
      <c r="AJ612" s="593">
        <f t="shared" ca="1" si="959"/>
        <v>0</v>
      </c>
      <c r="AK612" s="593">
        <f t="shared" ca="1" si="960"/>
        <v>0</v>
      </c>
      <c r="AL612" s="593">
        <f t="shared" ca="1" si="961"/>
        <v>0</v>
      </c>
      <c r="AM612" s="593">
        <f t="shared" ca="1" si="962"/>
        <v>0</v>
      </c>
      <c r="AN612" s="593">
        <f t="shared" ca="1" si="963"/>
        <v>0</v>
      </c>
      <c r="AO612" s="593">
        <f t="shared" ca="1" si="964"/>
        <v>0</v>
      </c>
      <c r="AP612" s="593">
        <f t="shared" ca="1" si="965"/>
        <v>0</v>
      </c>
    </row>
    <row r="613" spans="1:42" s="594" customFormat="1" ht="11.25" x14ac:dyDescent="0.2">
      <c r="A613" s="644"/>
      <c r="B613" s="591" t="str">
        <f>IF(D613&lt;&gt;"",
IF(ISERROR(MATCH(D613,'Ist Aktuell Monat 01'!A:A,0))=FALSE,INDEX('Ist Aktuell Monat 01'!B:B,MATCH(D613,'Ist Aktuell Monat 01'!A:A,0)),
IF(ISERROR(MATCH(D613,'Ist Aktuell Monat 02'!A:A,0))=FALSE,INDEX('Ist Aktuell Monat 02'!B:B,MATCH(D613,'Ist Aktuell Monat 02'!A:A,0)),
IF(ISERROR(MATCH(D613,'Ist Aktuell Monat 03'!A:A,0))=FALSE,INDEX('Ist Aktuell Monat 03'!B:B,MATCH(D613,'Ist Aktuell Monat 03'!A:A,0)),
IF(ISERROR(MATCH(D613,'Ist Aktuell Monat 04'!A:A,0))=FALSE,INDEX('Ist Aktuell Monat 04'!B:B,MATCH(D613,'Ist Aktuell Monat 04'!A:A,0)),
IF(ISERROR(MATCH(D613,'Ist Aktuell Monat 05'!A:A,0))=FALSE,INDEX('Ist Aktuell Monat 05'!B:B,MATCH(D613,'Ist Aktuell Monat 05'!A:A,0)),
IF(ISERROR(MATCH(D613,'Ist Aktuell Monat 06'!A:A,0))=FALSE,INDEX('Ist Aktuell Monat 06'!B:B,MATCH(D613,'Ist Aktuell Monat 06'!A:A,0)),
IF(ISERROR(MATCH(D613,'Ist Aktuell Monat 07'!A:A,0))=FALSE,INDEX('Ist Aktuell Monat 07'!B:B,MATCH(D613,'Ist Aktuell Monat 07'!A:A,0)),
IF(ISERROR(MATCH(D613,'Ist Aktuell Monat 08'!A:A,0))=FALSE,INDEX('Ist Aktuell Monat 08'!B:B,MATCH(D613,'Ist Aktuell Monat 08'!A:A,0)),
IF(ISERROR(MATCH(D613,'Ist Aktuell Monat 09'!A:A,0))=FALSE,INDEX('Ist Aktuell Monat 09'!B:B,MATCH(D613,'Ist Aktuell Monat 09'!A:A,0)),
IF(ISERROR(MATCH(D613,'Ist Aktuell Monat 10'!A:A,0))=FALSE,INDEX('Ist Aktuell Monat 10'!B:B,MATCH(D613,'Ist Aktuell Monat 10'!A:A,0)),
IF(ISERROR(MATCH(D613,'Ist Aktuell Monat 11'!A:A,0))=FALSE,INDEX('Ist Aktuell Monat 11'!B:B,MATCH(D613,'Ist Aktuell Monat 11'!A:A,0)),
IF(ISERROR(MATCH(D613,'Ist Aktuell Monat 12'!A:A,0))=FALSE,INDEX('Ist Aktuell Monat 12'!B:B,MATCH(D613,'Ist Aktuell Monat 12'!A:A,0)),
"{Konto unbekannt}"
)))))))))))),"")</f>
        <v/>
      </c>
      <c r="C613" s="1062"/>
      <c r="D613" s="1067"/>
      <c r="E613" s="625">
        <f t="shared" si="950"/>
        <v>1</v>
      </c>
      <c r="F613" s="626"/>
      <c r="G613" s="593">
        <f ca="1">$E613*(SUMIF(INDIRECT(G$3),'Struktur Aktuell'!$D613,INDIRECT(G$7)))</f>
        <v>0</v>
      </c>
      <c r="H613" s="593">
        <f ca="1">$E613*(SUMIF(INDIRECT(H$3),'Struktur Aktuell'!$D613,INDIRECT(H$7)))</f>
        <v>0</v>
      </c>
      <c r="I613" s="593">
        <f ca="1">$E613*(SUMIF(INDIRECT(I$3),'Struktur Aktuell'!$D613,INDIRECT(I$7)))</f>
        <v>0</v>
      </c>
      <c r="J613" s="593">
        <f ca="1">$E613*(SUMIF(INDIRECT(J$3),'Struktur Aktuell'!$D613,INDIRECT(J$7)))</f>
        <v>0</v>
      </c>
      <c r="K613" s="593">
        <f ca="1">$E613*(SUMIF(INDIRECT(K$3),'Struktur Aktuell'!$D613,INDIRECT(K$7)))</f>
        <v>0</v>
      </c>
      <c r="L613" s="593">
        <f ca="1">$E613*(SUMIF(INDIRECT(L$3),'Struktur Aktuell'!$D613,INDIRECT(L$7)))</f>
        <v>0</v>
      </c>
      <c r="M613" s="593">
        <f ca="1">$E613*(SUMIF(INDIRECT(M$3),'Struktur Aktuell'!$D613,INDIRECT(M$7)))</f>
        <v>0</v>
      </c>
      <c r="N613" s="593">
        <f ca="1">$E613*(SUMIF(INDIRECT(N$3),'Struktur Aktuell'!$D613,INDIRECT(N$7)))</f>
        <v>0</v>
      </c>
      <c r="O613" s="593">
        <f ca="1">$E613*(SUMIF(INDIRECT(O$3),'Struktur Aktuell'!$D613,INDIRECT(O$7)))</f>
        <v>0</v>
      </c>
      <c r="P613" s="593">
        <f ca="1">$E613*(SUMIF(INDIRECT(P$3),'Struktur Aktuell'!$D613,INDIRECT(P$7)))</f>
        <v>0</v>
      </c>
      <c r="Q613" s="593">
        <f ca="1">$E613*(SUMIF(INDIRECT(Q$3),'Struktur Aktuell'!$D613,INDIRECT(Q$7)))</f>
        <v>0</v>
      </c>
      <c r="R613" s="593">
        <f ca="1">$E613*(SUMIF(INDIRECT(R$3),'Struktur Aktuell'!$D613,INDIRECT(R$7)))</f>
        <v>0</v>
      </c>
      <c r="S613" s="593">
        <f ca="1">$E613*(SUMIF(INDIRECT(S$3),'Struktur Aktuell'!$D613,INDIRECT(S$7)))</f>
        <v>0</v>
      </c>
      <c r="T613" s="593">
        <f ca="1">$E613*(SUMIF(INDIRECT(T$3),'Struktur Aktuell'!$D613,INDIRECT(T$7)))</f>
        <v>0</v>
      </c>
      <c r="U613" s="593">
        <f ca="1">$E613*(SUMIF(INDIRECT(U$3),'Struktur Aktuell'!$D613,INDIRECT(U$7)))</f>
        <v>0</v>
      </c>
      <c r="V613" s="593">
        <f ca="1">$E613*(SUMIF(INDIRECT(V$3),'Struktur Aktuell'!$D613,INDIRECT(V$7)))</f>
        <v>0</v>
      </c>
      <c r="W613" s="593">
        <f ca="1">$E613*(SUMIF(INDIRECT(W$3),'Struktur Aktuell'!$D613,INDIRECT(W$7)))</f>
        <v>0</v>
      </c>
      <c r="X613" s="593">
        <f ca="1">$E613*(SUMIF(INDIRECT(X$3),'Struktur Aktuell'!$D613,INDIRECT(X$7)))</f>
        <v>0</v>
      </c>
      <c r="Y613" s="593">
        <f ca="1">$E613*(SUMIF(INDIRECT(Y$3),'Struktur Aktuell'!$D613,INDIRECT(Y$7)))</f>
        <v>0</v>
      </c>
      <c r="Z613" s="593">
        <f ca="1">$E613*(SUMIF(INDIRECT(Z$3),'Struktur Aktuell'!$D613,INDIRECT(Z$7)))</f>
        <v>0</v>
      </c>
      <c r="AA613" s="593">
        <f ca="1">$E613*(SUMIF(INDIRECT(AA$3),'Struktur Aktuell'!$D613,INDIRECT(AA$7)))</f>
        <v>0</v>
      </c>
      <c r="AB613" s="593">
        <f ca="1">$E613*(SUMIF(INDIRECT(AB$3),'Struktur Aktuell'!$D613,INDIRECT(AB$7)))</f>
        <v>0</v>
      </c>
      <c r="AC613" s="593">
        <f ca="1">$E613*(SUMIF(INDIRECT(AC$3),'Struktur Aktuell'!$D613,INDIRECT(AC$7)))</f>
        <v>0</v>
      </c>
      <c r="AD613" s="593">
        <f ca="1">$E613*(SUMIF(INDIRECT(AD$3),'Struktur Aktuell'!$D613,INDIRECT(AD$7)))</f>
        <v>0</v>
      </c>
      <c r="AE613" s="593">
        <f t="shared" ca="1" si="954"/>
        <v>0</v>
      </c>
      <c r="AF613" s="593">
        <f t="shared" ca="1" si="955"/>
        <v>0</v>
      </c>
      <c r="AG613" s="593">
        <f t="shared" ca="1" si="956"/>
        <v>0</v>
      </c>
      <c r="AH613" s="593">
        <f t="shared" ca="1" si="957"/>
        <v>0</v>
      </c>
      <c r="AI613" s="593">
        <f t="shared" ca="1" si="958"/>
        <v>0</v>
      </c>
      <c r="AJ613" s="593">
        <f t="shared" ca="1" si="959"/>
        <v>0</v>
      </c>
      <c r="AK613" s="593">
        <f t="shared" ca="1" si="960"/>
        <v>0</v>
      </c>
      <c r="AL613" s="593">
        <f t="shared" ca="1" si="961"/>
        <v>0</v>
      </c>
      <c r="AM613" s="593">
        <f t="shared" ca="1" si="962"/>
        <v>0</v>
      </c>
      <c r="AN613" s="593">
        <f t="shared" ca="1" si="963"/>
        <v>0</v>
      </c>
      <c r="AO613" s="593">
        <f t="shared" ca="1" si="964"/>
        <v>0</v>
      </c>
      <c r="AP613" s="593">
        <f t="shared" ca="1" si="965"/>
        <v>0</v>
      </c>
    </row>
    <row r="614" spans="1:42" s="589" customFormat="1" x14ac:dyDescent="0.2">
      <c r="A614" s="629">
        <v>61</v>
      </c>
      <c r="B614" s="623" t="s">
        <v>1038</v>
      </c>
      <c r="C614" s="627">
        <f ca="1">SUM(G614:R614)</f>
        <v>0</v>
      </c>
      <c r="D614" s="627"/>
      <c r="E614" s="628">
        <f t="shared" si="950"/>
        <v>1</v>
      </c>
      <c r="F614" s="628"/>
      <c r="G614" s="627">
        <f ca="1">SUM(G615:G618)</f>
        <v>0</v>
      </c>
      <c r="H614" s="627">
        <f t="shared" ref="H614:R614" ca="1" si="966">SUM(H615:H618)</f>
        <v>0</v>
      </c>
      <c r="I614" s="627">
        <f t="shared" ca="1" si="966"/>
        <v>0</v>
      </c>
      <c r="J614" s="627">
        <f t="shared" ca="1" si="966"/>
        <v>0</v>
      </c>
      <c r="K614" s="627">
        <f t="shared" ca="1" si="966"/>
        <v>0</v>
      </c>
      <c r="L614" s="627">
        <f t="shared" ca="1" si="966"/>
        <v>0</v>
      </c>
      <c r="M614" s="627">
        <f t="shared" ca="1" si="966"/>
        <v>0</v>
      </c>
      <c r="N614" s="627">
        <f t="shared" ca="1" si="966"/>
        <v>0</v>
      </c>
      <c r="O614" s="627">
        <f t="shared" ca="1" si="966"/>
        <v>0</v>
      </c>
      <c r="P614" s="627">
        <f t="shared" ca="1" si="966"/>
        <v>0</v>
      </c>
      <c r="Q614" s="627">
        <f t="shared" ca="1" si="966"/>
        <v>0</v>
      </c>
      <c r="R614" s="627">
        <f t="shared" ca="1" si="966"/>
        <v>0</v>
      </c>
      <c r="S614" s="627">
        <f ca="1">SUM(S615:S618)</f>
        <v>0</v>
      </c>
      <c r="T614" s="627">
        <f t="shared" ref="T614:AD614" ca="1" si="967">SUM(T615:T618)</f>
        <v>0</v>
      </c>
      <c r="U614" s="627">
        <f t="shared" ca="1" si="967"/>
        <v>0</v>
      </c>
      <c r="V614" s="627">
        <f t="shared" ca="1" si="967"/>
        <v>0</v>
      </c>
      <c r="W614" s="627">
        <f t="shared" ca="1" si="967"/>
        <v>0</v>
      </c>
      <c r="X614" s="627">
        <f t="shared" ca="1" si="967"/>
        <v>0</v>
      </c>
      <c r="Y614" s="627">
        <f t="shared" ca="1" si="967"/>
        <v>0</v>
      </c>
      <c r="Z614" s="627">
        <f t="shared" ca="1" si="967"/>
        <v>0</v>
      </c>
      <c r="AA614" s="627">
        <f t="shared" ca="1" si="967"/>
        <v>0</v>
      </c>
      <c r="AB614" s="627">
        <f t="shared" ca="1" si="967"/>
        <v>0</v>
      </c>
      <c r="AC614" s="627">
        <f t="shared" ca="1" si="967"/>
        <v>0</v>
      </c>
      <c r="AD614" s="627">
        <f t="shared" ca="1" si="967"/>
        <v>0</v>
      </c>
      <c r="AE614" s="627">
        <f ca="1">SUM(AE615:AE618)</f>
        <v>0</v>
      </c>
      <c r="AF614" s="627">
        <f t="shared" ref="AF614:AP614" ca="1" si="968">SUM(AF615:AF618)</f>
        <v>0</v>
      </c>
      <c r="AG614" s="627">
        <f t="shared" ca="1" si="968"/>
        <v>0</v>
      </c>
      <c r="AH614" s="627">
        <f t="shared" ca="1" si="968"/>
        <v>0</v>
      </c>
      <c r="AI614" s="627">
        <f t="shared" ca="1" si="968"/>
        <v>0</v>
      </c>
      <c r="AJ614" s="627">
        <f t="shared" ca="1" si="968"/>
        <v>0</v>
      </c>
      <c r="AK614" s="627">
        <f t="shared" ca="1" si="968"/>
        <v>0</v>
      </c>
      <c r="AL614" s="627">
        <f t="shared" ca="1" si="968"/>
        <v>0</v>
      </c>
      <c r="AM614" s="627">
        <f t="shared" ca="1" si="968"/>
        <v>0</v>
      </c>
      <c r="AN614" s="627">
        <f t="shared" ca="1" si="968"/>
        <v>0</v>
      </c>
      <c r="AO614" s="627">
        <f t="shared" ca="1" si="968"/>
        <v>0</v>
      </c>
      <c r="AP614" s="627">
        <f t="shared" ca="1" si="968"/>
        <v>0</v>
      </c>
    </row>
    <row r="615" spans="1:42" s="594" customFormat="1" ht="11.25" x14ac:dyDescent="0.2">
      <c r="A615" s="644"/>
      <c r="B615" s="591" t="str">
        <f>IF(D615&lt;&gt;"",
IF(ISERROR(MATCH(D615,'Ist Aktuell Monat 01'!A:A,0))=FALSE,INDEX('Ist Aktuell Monat 01'!B:B,MATCH(D615,'Ist Aktuell Monat 01'!A:A,0)),
IF(ISERROR(MATCH(D615,'Ist Aktuell Monat 02'!A:A,0))=FALSE,INDEX('Ist Aktuell Monat 02'!B:B,MATCH(D615,'Ist Aktuell Monat 02'!A:A,0)),
IF(ISERROR(MATCH(D615,'Ist Aktuell Monat 03'!A:A,0))=FALSE,INDEX('Ist Aktuell Monat 03'!B:B,MATCH(D615,'Ist Aktuell Monat 03'!A:A,0)),
IF(ISERROR(MATCH(D615,'Ist Aktuell Monat 04'!A:A,0))=FALSE,INDEX('Ist Aktuell Monat 04'!B:B,MATCH(D615,'Ist Aktuell Monat 04'!A:A,0)),
IF(ISERROR(MATCH(D615,'Ist Aktuell Monat 05'!A:A,0))=FALSE,INDEX('Ist Aktuell Monat 05'!B:B,MATCH(D615,'Ist Aktuell Monat 05'!A:A,0)),
IF(ISERROR(MATCH(D615,'Ist Aktuell Monat 06'!A:A,0))=FALSE,INDEX('Ist Aktuell Monat 06'!B:B,MATCH(D615,'Ist Aktuell Monat 06'!A:A,0)),
IF(ISERROR(MATCH(D615,'Ist Aktuell Monat 07'!A:A,0))=FALSE,INDEX('Ist Aktuell Monat 07'!B:B,MATCH(D615,'Ist Aktuell Monat 07'!A:A,0)),
IF(ISERROR(MATCH(D615,'Ist Aktuell Monat 08'!A:A,0))=FALSE,INDEX('Ist Aktuell Monat 08'!B:B,MATCH(D615,'Ist Aktuell Monat 08'!A:A,0)),
IF(ISERROR(MATCH(D615,'Ist Aktuell Monat 09'!A:A,0))=FALSE,INDEX('Ist Aktuell Monat 09'!B:B,MATCH(D615,'Ist Aktuell Monat 09'!A:A,0)),
IF(ISERROR(MATCH(D615,'Ist Aktuell Monat 10'!A:A,0))=FALSE,INDEX('Ist Aktuell Monat 10'!B:B,MATCH(D615,'Ist Aktuell Monat 10'!A:A,0)),
IF(ISERROR(MATCH(D615,'Ist Aktuell Monat 11'!A:A,0))=FALSE,INDEX('Ist Aktuell Monat 11'!B:B,MATCH(D615,'Ist Aktuell Monat 11'!A:A,0)),
IF(ISERROR(MATCH(D615,'Ist Aktuell Monat 12'!A:A,0))=FALSE,INDEX('Ist Aktuell Monat 12'!B:B,MATCH(D615,'Ist Aktuell Monat 12'!A:A,0)),
"{Konto unbekannt}"
)))))))))))),"")</f>
        <v/>
      </c>
      <c r="C615" s="1062"/>
      <c r="D615" s="1067"/>
      <c r="E615" s="625">
        <f t="shared" si="950"/>
        <v>1</v>
      </c>
      <c r="F615" s="626"/>
      <c r="G615" s="593">
        <f ca="1">$E615*(SUMIF(INDIRECT(G$3),'Struktur Aktuell'!$D615,INDIRECT(G$7)))</f>
        <v>0</v>
      </c>
      <c r="H615" s="593">
        <f ca="1">$E615*(SUMIF(INDIRECT(H$3),'Struktur Aktuell'!$D615,INDIRECT(H$7)))</f>
        <v>0</v>
      </c>
      <c r="I615" s="593">
        <f ca="1">$E615*(SUMIF(INDIRECT(I$3),'Struktur Aktuell'!$D615,INDIRECT(I$7)))</f>
        <v>0</v>
      </c>
      <c r="J615" s="593">
        <f ca="1">$E615*(SUMIF(INDIRECT(J$3),'Struktur Aktuell'!$D615,INDIRECT(J$7)))</f>
        <v>0</v>
      </c>
      <c r="K615" s="593">
        <f ca="1">$E615*(SUMIF(INDIRECT(K$3),'Struktur Aktuell'!$D615,INDIRECT(K$7)))</f>
        <v>0</v>
      </c>
      <c r="L615" s="593">
        <f ca="1">$E615*(SUMIF(INDIRECT(L$3),'Struktur Aktuell'!$D615,INDIRECT(L$7)))</f>
        <v>0</v>
      </c>
      <c r="M615" s="593">
        <f ca="1">$E615*(SUMIF(INDIRECT(M$3),'Struktur Aktuell'!$D615,INDIRECT(M$7)))</f>
        <v>0</v>
      </c>
      <c r="N615" s="593">
        <f ca="1">$E615*(SUMIF(INDIRECT(N$3),'Struktur Aktuell'!$D615,INDIRECT(N$7)))</f>
        <v>0</v>
      </c>
      <c r="O615" s="593">
        <f ca="1">$E615*(SUMIF(INDIRECT(O$3),'Struktur Aktuell'!$D615,INDIRECT(O$7)))</f>
        <v>0</v>
      </c>
      <c r="P615" s="593">
        <f ca="1">$E615*(SUMIF(INDIRECT(P$3),'Struktur Aktuell'!$D615,INDIRECT(P$7)))</f>
        <v>0</v>
      </c>
      <c r="Q615" s="593">
        <f ca="1">$E615*(SUMIF(INDIRECT(Q$3),'Struktur Aktuell'!$D615,INDIRECT(Q$7)))</f>
        <v>0</v>
      </c>
      <c r="R615" s="593">
        <f ca="1">$E615*(SUMIF(INDIRECT(R$3),'Struktur Aktuell'!$D615,INDIRECT(R$7)))</f>
        <v>0</v>
      </c>
      <c r="S615" s="593">
        <f ca="1">$E615*(SUMIF(INDIRECT(S$3),'Struktur Aktuell'!$D615,INDIRECT(S$7)))</f>
        <v>0</v>
      </c>
      <c r="T615" s="593">
        <f ca="1">$E615*(SUMIF(INDIRECT(T$3),'Struktur Aktuell'!$D615,INDIRECT(T$7)))</f>
        <v>0</v>
      </c>
      <c r="U615" s="593">
        <f ca="1">$E615*(SUMIF(INDIRECT(U$3),'Struktur Aktuell'!$D615,INDIRECT(U$7)))</f>
        <v>0</v>
      </c>
      <c r="V615" s="593">
        <f ca="1">$E615*(SUMIF(INDIRECT(V$3),'Struktur Aktuell'!$D615,INDIRECT(V$7)))</f>
        <v>0</v>
      </c>
      <c r="W615" s="593">
        <f ca="1">$E615*(SUMIF(INDIRECT(W$3),'Struktur Aktuell'!$D615,INDIRECT(W$7)))</f>
        <v>0</v>
      </c>
      <c r="X615" s="593">
        <f ca="1">$E615*(SUMIF(INDIRECT(X$3),'Struktur Aktuell'!$D615,INDIRECT(X$7)))</f>
        <v>0</v>
      </c>
      <c r="Y615" s="593">
        <f ca="1">$E615*(SUMIF(INDIRECT(Y$3),'Struktur Aktuell'!$D615,INDIRECT(Y$7)))</f>
        <v>0</v>
      </c>
      <c r="Z615" s="593">
        <f ca="1">$E615*(SUMIF(INDIRECT(Z$3),'Struktur Aktuell'!$D615,INDIRECT(Z$7)))</f>
        <v>0</v>
      </c>
      <c r="AA615" s="593">
        <f ca="1">$E615*(SUMIF(INDIRECT(AA$3),'Struktur Aktuell'!$D615,INDIRECT(AA$7)))</f>
        <v>0</v>
      </c>
      <c r="AB615" s="593">
        <f ca="1">$E615*(SUMIF(INDIRECT(AB$3),'Struktur Aktuell'!$D615,INDIRECT(AB$7)))</f>
        <v>0</v>
      </c>
      <c r="AC615" s="593">
        <f ca="1">$E615*(SUMIF(INDIRECT(AC$3),'Struktur Aktuell'!$D615,INDIRECT(AC$7)))</f>
        <v>0</v>
      </c>
      <c r="AD615" s="593">
        <f ca="1">$E615*(SUMIF(INDIRECT(AD$3),'Struktur Aktuell'!$D615,INDIRECT(AD$7)))</f>
        <v>0</v>
      </c>
      <c r="AE615" s="593">
        <f t="shared" ref="AE615:AE618" ca="1" si="969">G615</f>
        <v>0</v>
      </c>
      <c r="AF615" s="593">
        <f t="shared" ref="AF615:AF618" ca="1" si="970">H615+AE615</f>
        <v>0</v>
      </c>
      <c r="AG615" s="593">
        <f t="shared" ref="AG615:AG618" ca="1" si="971">I615+AF615</f>
        <v>0</v>
      </c>
      <c r="AH615" s="593">
        <f t="shared" ref="AH615:AH618" ca="1" si="972">J615+AG615</f>
        <v>0</v>
      </c>
      <c r="AI615" s="593">
        <f t="shared" ref="AI615:AI618" ca="1" si="973">K615+AH615</f>
        <v>0</v>
      </c>
      <c r="AJ615" s="593">
        <f t="shared" ref="AJ615:AJ618" ca="1" si="974">L615+AI615</f>
        <v>0</v>
      </c>
      <c r="AK615" s="593">
        <f t="shared" ref="AK615:AK618" ca="1" si="975">M615+AJ615</f>
        <v>0</v>
      </c>
      <c r="AL615" s="593">
        <f t="shared" ref="AL615:AL618" ca="1" si="976">N615+AK615</f>
        <v>0</v>
      </c>
      <c r="AM615" s="593">
        <f t="shared" ref="AM615:AM618" ca="1" si="977">O615+AL615</f>
        <v>0</v>
      </c>
      <c r="AN615" s="593">
        <f t="shared" ref="AN615:AN618" ca="1" si="978">P615+AM615</f>
        <v>0</v>
      </c>
      <c r="AO615" s="593">
        <f t="shared" ref="AO615:AO618" ca="1" si="979">Q615+AN615</f>
        <v>0</v>
      </c>
      <c r="AP615" s="593">
        <f t="shared" ref="AP615:AP618" ca="1" si="980">R615+AO615</f>
        <v>0</v>
      </c>
    </row>
    <row r="616" spans="1:42" s="594" customFormat="1" ht="11.25" x14ac:dyDescent="0.2">
      <c r="A616" s="644"/>
      <c r="B616" s="591" t="str">
        <f>IF(D616&lt;&gt;"",
IF(ISERROR(MATCH(D616,'Ist Aktuell Monat 01'!A:A,0))=FALSE,INDEX('Ist Aktuell Monat 01'!B:B,MATCH(D616,'Ist Aktuell Monat 01'!A:A,0)),
IF(ISERROR(MATCH(D616,'Ist Aktuell Monat 02'!A:A,0))=FALSE,INDEX('Ist Aktuell Monat 02'!B:B,MATCH(D616,'Ist Aktuell Monat 02'!A:A,0)),
IF(ISERROR(MATCH(D616,'Ist Aktuell Monat 03'!A:A,0))=FALSE,INDEX('Ist Aktuell Monat 03'!B:B,MATCH(D616,'Ist Aktuell Monat 03'!A:A,0)),
IF(ISERROR(MATCH(D616,'Ist Aktuell Monat 04'!A:A,0))=FALSE,INDEX('Ist Aktuell Monat 04'!B:B,MATCH(D616,'Ist Aktuell Monat 04'!A:A,0)),
IF(ISERROR(MATCH(D616,'Ist Aktuell Monat 05'!A:A,0))=FALSE,INDEX('Ist Aktuell Monat 05'!B:B,MATCH(D616,'Ist Aktuell Monat 05'!A:A,0)),
IF(ISERROR(MATCH(D616,'Ist Aktuell Monat 06'!A:A,0))=FALSE,INDEX('Ist Aktuell Monat 06'!B:B,MATCH(D616,'Ist Aktuell Monat 06'!A:A,0)),
IF(ISERROR(MATCH(D616,'Ist Aktuell Monat 07'!A:A,0))=FALSE,INDEX('Ist Aktuell Monat 07'!B:B,MATCH(D616,'Ist Aktuell Monat 07'!A:A,0)),
IF(ISERROR(MATCH(D616,'Ist Aktuell Monat 08'!A:A,0))=FALSE,INDEX('Ist Aktuell Monat 08'!B:B,MATCH(D616,'Ist Aktuell Monat 08'!A:A,0)),
IF(ISERROR(MATCH(D616,'Ist Aktuell Monat 09'!A:A,0))=FALSE,INDEX('Ist Aktuell Monat 09'!B:B,MATCH(D616,'Ist Aktuell Monat 09'!A:A,0)),
IF(ISERROR(MATCH(D616,'Ist Aktuell Monat 10'!A:A,0))=FALSE,INDEX('Ist Aktuell Monat 10'!B:B,MATCH(D616,'Ist Aktuell Monat 10'!A:A,0)),
IF(ISERROR(MATCH(D616,'Ist Aktuell Monat 11'!A:A,0))=FALSE,INDEX('Ist Aktuell Monat 11'!B:B,MATCH(D616,'Ist Aktuell Monat 11'!A:A,0)),
IF(ISERROR(MATCH(D616,'Ist Aktuell Monat 12'!A:A,0))=FALSE,INDEX('Ist Aktuell Monat 12'!B:B,MATCH(D616,'Ist Aktuell Monat 12'!A:A,0)),
"{Konto unbekannt}"
)))))))))))),"")</f>
        <v/>
      </c>
      <c r="C616" s="1062"/>
      <c r="D616" s="1067"/>
      <c r="E616" s="625">
        <f t="shared" si="950"/>
        <v>1</v>
      </c>
      <c r="F616" s="626"/>
      <c r="G616" s="593">
        <f ca="1">$E616*(SUMIF(INDIRECT(G$3),'Struktur Aktuell'!$D616,INDIRECT(G$7)))</f>
        <v>0</v>
      </c>
      <c r="H616" s="593">
        <f ca="1">$E616*(SUMIF(INDIRECT(H$3),'Struktur Aktuell'!$D616,INDIRECT(H$7)))</f>
        <v>0</v>
      </c>
      <c r="I616" s="593">
        <f ca="1">$E616*(SUMIF(INDIRECT(I$3),'Struktur Aktuell'!$D616,INDIRECT(I$7)))</f>
        <v>0</v>
      </c>
      <c r="J616" s="593">
        <f ca="1">$E616*(SUMIF(INDIRECT(J$3),'Struktur Aktuell'!$D616,INDIRECT(J$7)))</f>
        <v>0</v>
      </c>
      <c r="K616" s="593">
        <f ca="1">$E616*(SUMIF(INDIRECT(K$3),'Struktur Aktuell'!$D616,INDIRECT(K$7)))</f>
        <v>0</v>
      </c>
      <c r="L616" s="593">
        <f ca="1">$E616*(SUMIF(INDIRECT(L$3),'Struktur Aktuell'!$D616,INDIRECT(L$7)))</f>
        <v>0</v>
      </c>
      <c r="M616" s="593">
        <f ca="1">$E616*(SUMIF(INDIRECT(M$3),'Struktur Aktuell'!$D616,INDIRECT(M$7)))</f>
        <v>0</v>
      </c>
      <c r="N616" s="593">
        <f ca="1">$E616*(SUMIF(INDIRECT(N$3),'Struktur Aktuell'!$D616,INDIRECT(N$7)))</f>
        <v>0</v>
      </c>
      <c r="O616" s="593">
        <f ca="1">$E616*(SUMIF(INDIRECT(O$3),'Struktur Aktuell'!$D616,INDIRECT(O$7)))</f>
        <v>0</v>
      </c>
      <c r="P616" s="593">
        <f ca="1">$E616*(SUMIF(INDIRECT(P$3),'Struktur Aktuell'!$D616,INDIRECT(P$7)))</f>
        <v>0</v>
      </c>
      <c r="Q616" s="593">
        <f ca="1">$E616*(SUMIF(INDIRECT(Q$3),'Struktur Aktuell'!$D616,INDIRECT(Q$7)))</f>
        <v>0</v>
      </c>
      <c r="R616" s="593">
        <f ca="1">$E616*(SUMIF(INDIRECT(R$3),'Struktur Aktuell'!$D616,INDIRECT(R$7)))</f>
        <v>0</v>
      </c>
      <c r="S616" s="593">
        <f ca="1">$E616*(SUMIF(INDIRECT(S$3),'Struktur Aktuell'!$D616,INDIRECT(S$7)))</f>
        <v>0</v>
      </c>
      <c r="T616" s="593">
        <f ca="1">$E616*(SUMIF(INDIRECT(T$3),'Struktur Aktuell'!$D616,INDIRECT(T$7)))</f>
        <v>0</v>
      </c>
      <c r="U616" s="593">
        <f ca="1">$E616*(SUMIF(INDIRECT(U$3),'Struktur Aktuell'!$D616,INDIRECT(U$7)))</f>
        <v>0</v>
      </c>
      <c r="V616" s="593">
        <f ca="1">$E616*(SUMIF(INDIRECT(V$3),'Struktur Aktuell'!$D616,INDIRECT(V$7)))</f>
        <v>0</v>
      </c>
      <c r="W616" s="593">
        <f ca="1">$E616*(SUMIF(INDIRECT(W$3),'Struktur Aktuell'!$D616,INDIRECT(W$7)))</f>
        <v>0</v>
      </c>
      <c r="X616" s="593">
        <f ca="1">$E616*(SUMIF(INDIRECT(X$3),'Struktur Aktuell'!$D616,INDIRECT(X$7)))</f>
        <v>0</v>
      </c>
      <c r="Y616" s="593">
        <f ca="1">$E616*(SUMIF(INDIRECT(Y$3),'Struktur Aktuell'!$D616,INDIRECT(Y$7)))</f>
        <v>0</v>
      </c>
      <c r="Z616" s="593">
        <f ca="1">$E616*(SUMIF(INDIRECT(Z$3),'Struktur Aktuell'!$D616,INDIRECT(Z$7)))</f>
        <v>0</v>
      </c>
      <c r="AA616" s="593">
        <f ca="1">$E616*(SUMIF(INDIRECT(AA$3),'Struktur Aktuell'!$D616,INDIRECT(AA$7)))</f>
        <v>0</v>
      </c>
      <c r="AB616" s="593">
        <f ca="1">$E616*(SUMIF(INDIRECT(AB$3),'Struktur Aktuell'!$D616,INDIRECT(AB$7)))</f>
        <v>0</v>
      </c>
      <c r="AC616" s="593">
        <f ca="1">$E616*(SUMIF(INDIRECT(AC$3),'Struktur Aktuell'!$D616,INDIRECT(AC$7)))</f>
        <v>0</v>
      </c>
      <c r="AD616" s="593">
        <f ca="1">$E616*(SUMIF(INDIRECT(AD$3),'Struktur Aktuell'!$D616,INDIRECT(AD$7)))</f>
        <v>0</v>
      </c>
      <c r="AE616" s="593">
        <f t="shared" ca="1" si="969"/>
        <v>0</v>
      </c>
      <c r="AF616" s="593">
        <f t="shared" ca="1" si="970"/>
        <v>0</v>
      </c>
      <c r="AG616" s="593">
        <f t="shared" ca="1" si="971"/>
        <v>0</v>
      </c>
      <c r="AH616" s="593">
        <f t="shared" ca="1" si="972"/>
        <v>0</v>
      </c>
      <c r="AI616" s="593">
        <f t="shared" ca="1" si="973"/>
        <v>0</v>
      </c>
      <c r="AJ616" s="593">
        <f t="shared" ca="1" si="974"/>
        <v>0</v>
      </c>
      <c r="AK616" s="593">
        <f t="shared" ca="1" si="975"/>
        <v>0</v>
      </c>
      <c r="AL616" s="593">
        <f t="shared" ca="1" si="976"/>
        <v>0</v>
      </c>
      <c r="AM616" s="593">
        <f t="shared" ca="1" si="977"/>
        <v>0</v>
      </c>
      <c r="AN616" s="593">
        <f t="shared" ca="1" si="978"/>
        <v>0</v>
      </c>
      <c r="AO616" s="593">
        <f t="shared" ca="1" si="979"/>
        <v>0</v>
      </c>
      <c r="AP616" s="593">
        <f t="shared" ca="1" si="980"/>
        <v>0</v>
      </c>
    </row>
    <row r="617" spans="1:42" s="594" customFormat="1" ht="11.25" x14ac:dyDescent="0.2">
      <c r="A617" s="644"/>
      <c r="B617" s="591" t="str">
        <f>IF(D617&lt;&gt;"",
IF(ISERROR(MATCH(D617,'Ist Aktuell Monat 01'!A:A,0))=FALSE,INDEX('Ist Aktuell Monat 01'!B:B,MATCH(D617,'Ist Aktuell Monat 01'!A:A,0)),
IF(ISERROR(MATCH(D617,'Ist Aktuell Monat 02'!A:A,0))=FALSE,INDEX('Ist Aktuell Monat 02'!B:B,MATCH(D617,'Ist Aktuell Monat 02'!A:A,0)),
IF(ISERROR(MATCH(D617,'Ist Aktuell Monat 03'!A:A,0))=FALSE,INDEX('Ist Aktuell Monat 03'!B:B,MATCH(D617,'Ist Aktuell Monat 03'!A:A,0)),
IF(ISERROR(MATCH(D617,'Ist Aktuell Monat 04'!A:A,0))=FALSE,INDEX('Ist Aktuell Monat 04'!B:B,MATCH(D617,'Ist Aktuell Monat 04'!A:A,0)),
IF(ISERROR(MATCH(D617,'Ist Aktuell Monat 05'!A:A,0))=FALSE,INDEX('Ist Aktuell Monat 05'!B:B,MATCH(D617,'Ist Aktuell Monat 05'!A:A,0)),
IF(ISERROR(MATCH(D617,'Ist Aktuell Monat 06'!A:A,0))=FALSE,INDEX('Ist Aktuell Monat 06'!B:B,MATCH(D617,'Ist Aktuell Monat 06'!A:A,0)),
IF(ISERROR(MATCH(D617,'Ist Aktuell Monat 07'!A:A,0))=FALSE,INDEX('Ist Aktuell Monat 07'!B:B,MATCH(D617,'Ist Aktuell Monat 07'!A:A,0)),
IF(ISERROR(MATCH(D617,'Ist Aktuell Monat 08'!A:A,0))=FALSE,INDEX('Ist Aktuell Monat 08'!B:B,MATCH(D617,'Ist Aktuell Monat 08'!A:A,0)),
IF(ISERROR(MATCH(D617,'Ist Aktuell Monat 09'!A:A,0))=FALSE,INDEX('Ist Aktuell Monat 09'!B:B,MATCH(D617,'Ist Aktuell Monat 09'!A:A,0)),
IF(ISERROR(MATCH(D617,'Ist Aktuell Monat 10'!A:A,0))=FALSE,INDEX('Ist Aktuell Monat 10'!B:B,MATCH(D617,'Ist Aktuell Monat 10'!A:A,0)),
IF(ISERROR(MATCH(D617,'Ist Aktuell Monat 11'!A:A,0))=FALSE,INDEX('Ist Aktuell Monat 11'!B:B,MATCH(D617,'Ist Aktuell Monat 11'!A:A,0)),
IF(ISERROR(MATCH(D617,'Ist Aktuell Monat 12'!A:A,0))=FALSE,INDEX('Ist Aktuell Monat 12'!B:B,MATCH(D617,'Ist Aktuell Monat 12'!A:A,0)),
"{Konto unbekannt}"
)))))))))))),"")</f>
        <v/>
      </c>
      <c r="C617" s="1062"/>
      <c r="D617" s="1067"/>
      <c r="E617" s="625">
        <f t="shared" si="950"/>
        <v>1</v>
      </c>
      <c r="F617" s="626"/>
      <c r="G617" s="593">
        <f ca="1">$E617*(SUMIF(INDIRECT(G$3),'Struktur Aktuell'!$D617,INDIRECT(G$7)))</f>
        <v>0</v>
      </c>
      <c r="H617" s="593">
        <f ca="1">$E617*(SUMIF(INDIRECT(H$3),'Struktur Aktuell'!$D617,INDIRECT(H$7)))</f>
        <v>0</v>
      </c>
      <c r="I617" s="593">
        <f ca="1">$E617*(SUMIF(INDIRECT(I$3),'Struktur Aktuell'!$D617,INDIRECT(I$7)))</f>
        <v>0</v>
      </c>
      <c r="J617" s="593">
        <f ca="1">$E617*(SUMIF(INDIRECT(J$3),'Struktur Aktuell'!$D617,INDIRECT(J$7)))</f>
        <v>0</v>
      </c>
      <c r="K617" s="593">
        <f ca="1">$E617*(SUMIF(INDIRECT(K$3),'Struktur Aktuell'!$D617,INDIRECT(K$7)))</f>
        <v>0</v>
      </c>
      <c r="L617" s="593">
        <f ca="1">$E617*(SUMIF(INDIRECT(L$3),'Struktur Aktuell'!$D617,INDIRECT(L$7)))</f>
        <v>0</v>
      </c>
      <c r="M617" s="593">
        <f ca="1">$E617*(SUMIF(INDIRECT(M$3),'Struktur Aktuell'!$D617,INDIRECT(M$7)))</f>
        <v>0</v>
      </c>
      <c r="N617" s="593">
        <f ca="1">$E617*(SUMIF(INDIRECT(N$3),'Struktur Aktuell'!$D617,INDIRECT(N$7)))</f>
        <v>0</v>
      </c>
      <c r="O617" s="593">
        <f ca="1">$E617*(SUMIF(INDIRECT(O$3),'Struktur Aktuell'!$D617,INDIRECT(O$7)))</f>
        <v>0</v>
      </c>
      <c r="P617" s="593">
        <f ca="1">$E617*(SUMIF(INDIRECT(P$3),'Struktur Aktuell'!$D617,INDIRECT(P$7)))</f>
        <v>0</v>
      </c>
      <c r="Q617" s="593">
        <f ca="1">$E617*(SUMIF(INDIRECT(Q$3),'Struktur Aktuell'!$D617,INDIRECT(Q$7)))</f>
        <v>0</v>
      </c>
      <c r="R617" s="593">
        <f ca="1">$E617*(SUMIF(INDIRECT(R$3),'Struktur Aktuell'!$D617,INDIRECT(R$7)))</f>
        <v>0</v>
      </c>
      <c r="S617" s="593">
        <f ca="1">$E617*(SUMIF(INDIRECT(S$3),'Struktur Aktuell'!$D617,INDIRECT(S$7)))</f>
        <v>0</v>
      </c>
      <c r="T617" s="593">
        <f ca="1">$E617*(SUMIF(INDIRECT(T$3),'Struktur Aktuell'!$D617,INDIRECT(T$7)))</f>
        <v>0</v>
      </c>
      <c r="U617" s="593">
        <f ca="1">$E617*(SUMIF(INDIRECT(U$3),'Struktur Aktuell'!$D617,INDIRECT(U$7)))</f>
        <v>0</v>
      </c>
      <c r="V617" s="593">
        <f ca="1">$E617*(SUMIF(INDIRECT(V$3),'Struktur Aktuell'!$D617,INDIRECT(V$7)))</f>
        <v>0</v>
      </c>
      <c r="W617" s="593">
        <f ca="1">$E617*(SUMIF(INDIRECT(W$3),'Struktur Aktuell'!$D617,INDIRECT(W$7)))</f>
        <v>0</v>
      </c>
      <c r="X617" s="593">
        <f ca="1">$E617*(SUMIF(INDIRECT(X$3),'Struktur Aktuell'!$D617,INDIRECT(X$7)))</f>
        <v>0</v>
      </c>
      <c r="Y617" s="593">
        <f ca="1">$E617*(SUMIF(INDIRECT(Y$3),'Struktur Aktuell'!$D617,INDIRECT(Y$7)))</f>
        <v>0</v>
      </c>
      <c r="Z617" s="593">
        <f ca="1">$E617*(SUMIF(INDIRECT(Z$3),'Struktur Aktuell'!$D617,INDIRECT(Z$7)))</f>
        <v>0</v>
      </c>
      <c r="AA617" s="593">
        <f ca="1">$E617*(SUMIF(INDIRECT(AA$3),'Struktur Aktuell'!$D617,INDIRECT(AA$7)))</f>
        <v>0</v>
      </c>
      <c r="AB617" s="593">
        <f ca="1">$E617*(SUMIF(INDIRECT(AB$3),'Struktur Aktuell'!$D617,INDIRECT(AB$7)))</f>
        <v>0</v>
      </c>
      <c r="AC617" s="593">
        <f ca="1">$E617*(SUMIF(INDIRECT(AC$3),'Struktur Aktuell'!$D617,INDIRECT(AC$7)))</f>
        <v>0</v>
      </c>
      <c r="AD617" s="593">
        <f ca="1">$E617*(SUMIF(INDIRECT(AD$3),'Struktur Aktuell'!$D617,INDIRECT(AD$7)))</f>
        <v>0</v>
      </c>
      <c r="AE617" s="593">
        <f t="shared" ca="1" si="969"/>
        <v>0</v>
      </c>
      <c r="AF617" s="593">
        <f t="shared" ca="1" si="970"/>
        <v>0</v>
      </c>
      <c r="AG617" s="593">
        <f t="shared" ca="1" si="971"/>
        <v>0</v>
      </c>
      <c r="AH617" s="593">
        <f t="shared" ca="1" si="972"/>
        <v>0</v>
      </c>
      <c r="AI617" s="593">
        <f t="shared" ca="1" si="973"/>
        <v>0</v>
      </c>
      <c r="AJ617" s="593">
        <f t="shared" ca="1" si="974"/>
        <v>0</v>
      </c>
      <c r="AK617" s="593">
        <f t="shared" ca="1" si="975"/>
        <v>0</v>
      </c>
      <c r="AL617" s="593">
        <f t="shared" ca="1" si="976"/>
        <v>0</v>
      </c>
      <c r="AM617" s="593">
        <f t="shared" ca="1" si="977"/>
        <v>0</v>
      </c>
      <c r="AN617" s="593">
        <f t="shared" ca="1" si="978"/>
        <v>0</v>
      </c>
      <c r="AO617" s="593">
        <f t="shared" ca="1" si="979"/>
        <v>0</v>
      </c>
      <c r="AP617" s="593">
        <f t="shared" ca="1" si="980"/>
        <v>0</v>
      </c>
    </row>
    <row r="618" spans="1:42" s="594" customFormat="1" ht="11.25" x14ac:dyDescent="0.2">
      <c r="A618" s="645"/>
      <c r="B618" s="1334" t="str">
        <f>IF(D618&lt;&gt;"",
IF(ISERROR(MATCH(D618,'Ist Aktuell Monat 01'!A:A,0))=FALSE,INDEX('Ist Aktuell Monat 01'!B:B,MATCH(D618,'Ist Aktuell Monat 01'!A:A,0)),
IF(ISERROR(MATCH(D618,'Ist Aktuell Monat 02'!A:A,0))=FALSE,INDEX('Ist Aktuell Monat 02'!B:B,MATCH(D618,'Ist Aktuell Monat 02'!A:A,0)),
IF(ISERROR(MATCH(D618,'Ist Aktuell Monat 03'!A:A,0))=FALSE,INDEX('Ist Aktuell Monat 03'!B:B,MATCH(D618,'Ist Aktuell Monat 03'!A:A,0)),
IF(ISERROR(MATCH(D618,'Ist Aktuell Monat 04'!A:A,0))=FALSE,INDEX('Ist Aktuell Monat 04'!B:B,MATCH(D618,'Ist Aktuell Monat 04'!A:A,0)),
IF(ISERROR(MATCH(D618,'Ist Aktuell Monat 05'!A:A,0))=FALSE,INDEX('Ist Aktuell Monat 05'!B:B,MATCH(D618,'Ist Aktuell Monat 05'!A:A,0)),
IF(ISERROR(MATCH(D618,'Ist Aktuell Monat 06'!A:A,0))=FALSE,INDEX('Ist Aktuell Monat 06'!B:B,MATCH(D618,'Ist Aktuell Monat 06'!A:A,0)),
IF(ISERROR(MATCH(D618,'Ist Aktuell Monat 07'!A:A,0))=FALSE,INDEX('Ist Aktuell Monat 07'!B:B,MATCH(D618,'Ist Aktuell Monat 07'!A:A,0)),
IF(ISERROR(MATCH(D618,'Ist Aktuell Monat 08'!A:A,0))=FALSE,INDEX('Ist Aktuell Monat 08'!B:B,MATCH(D618,'Ist Aktuell Monat 08'!A:A,0)),
IF(ISERROR(MATCH(D618,'Ist Aktuell Monat 09'!A:A,0))=FALSE,INDEX('Ist Aktuell Monat 09'!B:B,MATCH(D618,'Ist Aktuell Monat 09'!A:A,0)),
IF(ISERROR(MATCH(D618,'Ist Aktuell Monat 10'!A:A,0))=FALSE,INDEX('Ist Aktuell Monat 10'!B:B,MATCH(D618,'Ist Aktuell Monat 10'!A:A,0)),
IF(ISERROR(MATCH(D618,'Ist Aktuell Monat 11'!A:A,0))=FALSE,INDEX('Ist Aktuell Monat 11'!B:B,MATCH(D618,'Ist Aktuell Monat 11'!A:A,0)),
IF(ISERROR(MATCH(D618,'Ist Aktuell Monat 12'!A:A,0))=FALSE,INDEX('Ist Aktuell Monat 12'!B:B,MATCH(D618,'Ist Aktuell Monat 12'!A:A,0)),
"{Konto unbekannt}"
)))))))))))),"")</f>
        <v/>
      </c>
      <c r="C618" s="1335"/>
      <c r="D618" s="1336"/>
      <c r="E618" s="630">
        <f t="shared" si="950"/>
        <v>1</v>
      </c>
      <c r="F618" s="631"/>
      <c r="G618" s="632">
        <f ca="1">$E618*(SUMIF(INDIRECT(G$3),'Struktur Aktuell'!$D618,INDIRECT(G$7)))</f>
        <v>0</v>
      </c>
      <c r="H618" s="632">
        <f ca="1">$E618*(SUMIF(INDIRECT(H$3),'Struktur Aktuell'!$D618,INDIRECT(H$7)))</f>
        <v>0</v>
      </c>
      <c r="I618" s="632">
        <f ca="1">$E618*(SUMIF(INDIRECT(I$3),'Struktur Aktuell'!$D618,INDIRECT(I$7)))</f>
        <v>0</v>
      </c>
      <c r="J618" s="632">
        <f ca="1">$E618*(SUMIF(INDIRECT(J$3),'Struktur Aktuell'!$D618,INDIRECT(J$7)))</f>
        <v>0</v>
      </c>
      <c r="K618" s="632">
        <f ca="1">$E618*(SUMIF(INDIRECT(K$3),'Struktur Aktuell'!$D618,INDIRECT(K$7)))</f>
        <v>0</v>
      </c>
      <c r="L618" s="632">
        <f ca="1">$E618*(SUMIF(INDIRECT(L$3),'Struktur Aktuell'!$D618,INDIRECT(L$7)))</f>
        <v>0</v>
      </c>
      <c r="M618" s="632">
        <f ca="1">$E618*(SUMIF(INDIRECT(M$3),'Struktur Aktuell'!$D618,INDIRECT(M$7)))</f>
        <v>0</v>
      </c>
      <c r="N618" s="632">
        <f ca="1">$E618*(SUMIF(INDIRECT(N$3),'Struktur Aktuell'!$D618,INDIRECT(N$7)))</f>
        <v>0</v>
      </c>
      <c r="O618" s="632">
        <f ca="1">$E618*(SUMIF(INDIRECT(O$3),'Struktur Aktuell'!$D618,INDIRECT(O$7)))</f>
        <v>0</v>
      </c>
      <c r="P618" s="632">
        <f ca="1">$E618*(SUMIF(INDIRECT(P$3),'Struktur Aktuell'!$D618,INDIRECT(P$7)))</f>
        <v>0</v>
      </c>
      <c r="Q618" s="632">
        <f ca="1">$E618*(SUMIF(INDIRECT(Q$3),'Struktur Aktuell'!$D618,INDIRECT(Q$7)))</f>
        <v>0</v>
      </c>
      <c r="R618" s="632">
        <f ca="1">$E618*(SUMIF(INDIRECT(R$3),'Struktur Aktuell'!$D618,INDIRECT(R$7)))</f>
        <v>0</v>
      </c>
      <c r="S618" s="632">
        <f ca="1">$E618*(SUMIF(INDIRECT(S$3),'Struktur Aktuell'!$D618,INDIRECT(S$7)))</f>
        <v>0</v>
      </c>
      <c r="T618" s="632">
        <f ca="1">$E618*(SUMIF(INDIRECT(T$3),'Struktur Aktuell'!$D618,INDIRECT(T$7)))</f>
        <v>0</v>
      </c>
      <c r="U618" s="632">
        <f ca="1">$E618*(SUMIF(INDIRECT(U$3),'Struktur Aktuell'!$D618,INDIRECT(U$7)))</f>
        <v>0</v>
      </c>
      <c r="V618" s="632">
        <f ca="1">$E618*(SUMIF(INDIRECT(V$3),'Struktur Aktuell'!$D618,INDIRECT(V$7)))</f>
        <v>0</v>
      </c>
      <c r="W618" s="632">
        <f ca="1">$E618*(SUMIF(INDIRECT(W$3),'Struktur Aktuell'!$D618,INDIRECT(W$7)))</f>
        <v>0</v>
      </c>
      <c r="X618" s="632">
        <f ca="1">$E618*(SUMIF(INDIRECT(X$3),'Struktur Aktuell'!$D618,INDIRECT(X$7)))</f>
        <v>0</v>
      </c>
      <c r="Y618" s="632">
        <f ca="1">$E618*(SUMIF(INDIRECT(Y$3),'Struktur Aktuell'!$D618,INDIRECT(Y$7)))</f>
        <v>0</v>
      </c>
      <c r="Z618" s="632">
        <f ca="1">$E618*(SUMIF(INDIRECT(Z$3),'Struktur Aktuell'!$D618,INDIRECT(Z$7)))</f>
        <v>0</v>
      </c>
      <c r="AA618" s="632">
        <f ca="1">$E618*(SUMIF(INDIRECT(AA$3),'Struktur Aktuell'!$D618,INDIRECT(AA$7)))</f>
        <v>0</v>
      </c>
      <c r="AB618" s="632">
        <f ca="1">$E618*(SUMIF(INDIRECT(AB$3),'Struktur Aktuell'!$D618,INDIRECT(AB$7)))</f>
        <v>0</v>
      </c>
      <c r="AC618" s="632">
        <f ca="1">$E618*(SUMIF(INDIRECT(AC$3),'Struktur Aktuell'!$D618,INDIRECT(AC$7)))</f>
        <v>0</v>
      </c>
      <c r="AD618" s="632">
        <f ca="1">$E618*(SUMIF(INDIRECT(AD$3),'Struktur Aktuell'!$D618,INDIRECT(AD$7)))</f>
        <v>0</v>
      </c>
      <c r="AE618" s="632">
        <f t="shared" ca="1" si="969"/>
        <v>0</v>
      </c>
      <c r="AF618" s="632">
        <f t="shared" ca="1" si="970"/>
        <v>0</v>
      </c>
      <c r="AG618" s="632">
        <f t="shared" ca="1" si="971"/>
        <v>0</v>
      </c>
      <c r="AH618" s="632">
        <f t="shared" ca="1" si="972"/>
        <v>0</v>
      </c>
      <c r="AI618" s="632">
        <f t="shared" ca="1" si="973"/>
        <v>0</v>
      </c>
      <c r="AJ618" s="632">
        <f t="shared" ca="1" si="974"/>
        <v>0</v>
      </c>
      <c r="AK618" s="632">
        <f t="shared" ca="1" si="975"/>
        <v>0</v>
      </c>
      <c r="AL618" s="632">
        <f t="shared" ca="1" si="976"/>
        <v>0</v>
      </c>
      <c r="AM618" s="632">
        <f t="shared" ca="1" si="977"/>
        <v>0</v>
      </c>
      <c r="AN618" s="632">
        <f t="shared" ca="1" si="978"/>
        <v>0</v>
      </c>
      <c r="AO618" s="632">
        <f t="shared" ca="1" si="979"/>
        <v>0</v>
      </c>
      <c r="AP618" s="632">
        <f t="shared" ca="1" si="980"/>
        <v>0</v>
      </c>
    </row>
  </sheetData>
  <mergeCells count="5">
    <mergeCell ref="G1:R1"/>
    <mergeCell ref="S1:AD1"/>
    <mergeCell ref="AE1:AP1"/>
    <mergeCell ref="E2:F2"/>
    <mergeCell ref="A1:F1"/>
  </mergeCells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8">
    <tabColor rgb="FFFF0000"/>
    <outlinePr summaryBelow="0"/>
  </sheetPr>
  <dimension ref="A1:AP618"/>
  <sheetViews>
    <sheetView showGridLines="0" zoomScale="70" zoomScaleNormal="70" workbookViewId="0">
      <pane xSplit="6" ySplit="8" topLeftCell="G9" activePane="bottomRight" state="frozen"/>
      <selection activeCell="G9" sqref="G9"/>
      <selection pane="topRight" activeCell="G9" sqref="G9"/>
      <selection pane="bottomLeft" activeCell="G9" sqref="G9"/>
      <selection pane="bottomRight" activeCell="G9" sqref="G9"/>
    </sheetView>
  </sheetViews>
  <sheetFormatPr baseColWidth="10" defaultColWidth="9.28515625" defaultRowHeight="12.75" outlineLevelRow="1" x14ac:dyDescent="0.2"/>
  <cols>
    <col min="1" max="1" width="16" style="611" customWidth="1"/>
    <col min="2" max="2" width="62.85546875" style="1" bestFit="1" customWidth="1"/>
    <col min="3" max="3" width="12.85546875" style="1" bestFit="1" customWidth="1"/>
    <col min="4" max="4" width="34.5703125" style="635" bestFit="1" customWidth="1"/>
    <col min="5" max="5" width="3.140625" style="636" customWidth="1"/>
    <col min="6" max="6" width="4.28515625" style="611" customWidth="1"/>
    <col min="7" max="42" width="23.140625" style="637" customWidth="1"/>
    <col min="43" max="43" width="23.140625" style="1" customWidth="1"/>
    <col min="44" max="257" width="9.28515625" style="1" customWidth="1"/>
    <col min="258" max="258" width="16" style="1" customWidth="1"/>
    <col min="259" max="259" width="40.7109375" style="1" bestFit="1" customWidth="1"/>
    <col min="260" max="260" width="14.5703125" style="1" bestFit="1" customWidth="1"/>
    <col min="261" max="261" width="2.5703125" style="1" bestFit="1" customWidth="1"/>
    <col min="262" max="262" width="4.28515625" style="1" customWidth="1"/>
    <col min="263" max="263" width="12.7109375" style="1" bestFit="1" customWidth="1"/>
    <col min="264" max="264" width="11.7109375" style="1" customWidth="1"/>
    <col min="265" max="265" width="12.7109375" style="1" bestFit="1" customWidth="1"/>
    <col min="266" max="267" width="13" style="1" bestFit="1" customWidth="1"/>
    <col min="268" max="270" width="11.7109375" style="1" customWidth="1"/>
    <col min="271" max="271" width="13.7109375" style="1" bestFit="1" customWidth="1"/>
    <col min="272" max="274" width="11.7109375" style="1" customWidth="1"/>
    <col min="275" max="275" width="9.28515625" style="1" customWidth="1"/>
    <col min="276" max="276" width="10.7109375" style="1" bestFit="1" customWidth="1"/>
    <col min="277" max="513" width="9.28515625" style="1" customWidth="1"/>
    <col min="514" max="514" width="16" style="1" customWidth="1"/>
    <col min="515" max="515" width="40.7109375" style="1" bestFit="1" customWidth="1"/>
    <col min="516" max="516" width="14.5703125" style="1" bestFit="1" customWidth="1"/>
    <col min="517" max="517" width="2.5703125" style="1" bestFit="1" customWidth="1"/>
    <col min="518" max="518" width="4.28515625" style="1" customWidth="1"/>
    <col min="519" max="519" width="12.7109375" style="1" bestFit="1" customWidth="1"/>
    <col min="520" max="520" width="11.7109375" style="1" customWidth="1"/>
    <col min="521" max="521" width="12.7109375" style="1" bestFit="1" customWidth="1"/>
    <col min="522" max="523" width="13" style="1" bestFit="1" customWidth="1"/>
    <col min="524" max="526" width="11.7109375" style="1" customWidth="1"/>
    <col min="527" max="527" width="13.7109375" style="1" bestFit="1" customWidth="1"/>
    <col min="528" max="530" width="11.7109375" style="1" customWidth="1"/>
    <col min="531" max="531" width="9.28515625" style="1" customWidth="1"/>
    <col min="532" max="532" width="10.7109375" style="1" bestFit="1" customWidth="1"/>
    <col min="533" max="769" width="9.28515625" style="1" customWidth="1"/>
    <col min="770" max="770" width="16" style="1" customWidth="1"/>
    <col min="771" max="771" width="40.7109375" style="1" bestFit="1" customWidth="1"/>
    <col min="772" max="772" width="14.5703125" style="1" bestFit="1" customWidth="1"/>
    <col min="773" max="773" width="2.5703125" style="1" bestFit="1" customWidth="1"/>
    <col min="774" max="774" width="4.28515625" style="1" customWidth="1"/>
    <col min="775" max="775" width="12.7109375" style="1" bestFit="1" customWidth="1"/>
    <col min="776" max="776" width="11.7109375" style="1" customWidth="1"/>
    <col min="777" max="777" width="12.7109375" style="1" bestFit="1" customWidth="1"/>
    <col min="778" max="779" width="13" style="1" bestFit="1" customWidth="1"/>
    <col min="780" max="782" width="11.7109375" style="1" customWidth="1"/>
    <col min="783" max="783" width="13.7109375" style="1" bestFit="1" customWidth="1"/>
    <col min="784" max="786" width="11.7109375" style="1" customWidth="1"/>
    <col min="787" max="787" width="9.28515625" style="1" customWidth="1"/>
    <col min="788" max="788" width="10.7109375" style="1" bestFit="1" customWidth="1"/>
    <col min="789" max="1025" width="9.28515625" style="1" customWidth="1"/>
    <col min="1026" max="1026" width="16" style="1" customWidth="1"/>
    <col min="1027" max="1027" width="40.7109375" style="1" bestFit="1" customWidth="1"/>
    <col min="1028" max="1028" width="14.5703125" style="1" bestFit="1" customWidth="1"/>
    <col min="1029" max="1029" width="2.5703125" style="1" bestFit="1" customWidth="1"/>
    <col min="1030" max="1030" width="4.28515625" style="1" customWidth="1"/>
    <col min="1031" max="1031" width="12.7109375" style="1" bestFit="1" customWidth="1"/>
    <col min="1032" max="1032" width="11.7109375" style="1" customWidth="1"/>
    <col min="1033" max="1033" width="12.7109375" style="1" bestFit="1" customWidth="1"/>
    <col min="1034" max="1035" width="13" style="1" bestFit="1" customWidth="1"/>
    <col min="1036" max="1038" width="11.7109375" style="1" customWidth="1"/>
    <col min="1039" max="1039" width="13.7109375" style="1" bestFit="1" customWidth="1"/>
    <col min="1040" max="1042" width="11.7109375" style="1" customWidth="1"/>
    <col min="1043" max="1043" width="9.28515625" style="1" customWidth="1"/>
    <col min="1044" max="1044" width="10.7109375" style="1" bestFit="1" customWidth="1"/>
    <col min="1045" max="1281" width="9.28515625" style="1" customWidth="1"/>
    <col min="1282" max="1282" width="16" style="1" customWidth="1"/>
    <col min="1283" max="1283" width="40.7109375" style="1" bestFit="1" customWidth="1"/>
    <col min="1284" max="1284" width="14.5703125" style="1" bestFit="1" customWidth="1"/>
    <col min="1285" max="1285" width="2.5703125" style="1" bestFit="1" customWidth="1"/>
    <col min="1286" max="1286" width="4.28515625" style="1" customWidth="1"/>
    <col min="1287" max="1287" width="12.7109375" style="1" bestFit="1" customWidth="1"/>
    <col min="1288" max="1288" width="11.7109375" style="1" customWidth="1"/>
    <col min="1289" max="1289" width="12.7109375" style="1" bestFit="1" customWidth="1"/>
    <col min="1290" max="1291" width="13" style="1" bestFit="1" customWidth="1"/>
    <col min="1292" max="1294" width="11.7109375" style="1" customWidth="1"/>
    <col min="1295" max="1295" width="13.7109375" style="1" bestFit="1" customWidth="1"/>
    <col min="1296" max="1298" width="11.7109375" style="1" customWidth="1"/>
    <col min="1299" max="1299" width="9.28515625" style="1" customWidth="1"/>
    <col min="1300" max="1300" width="10.7109375" style="1" bestFit="1" customWidth="1"/>
    <col min="1301" max="1537" width="9.28515625" style="1" customWidth="1"/>
    <col min="1538" max="1538" width="16" style="1" customWidth="1"/>
    <col min="1539" max="1539" width="40.7109375" style="1" bestFit="1" customWidth="1"/>
    <col min="1540" max="1540" width="14.5703125" style="1" bestFit="1" customWidth="1"/>
    <col min="1541" max="1541" width="2.5703125" style="1" bestFit="1" customWidth="1"/>
    <col min="1542" max="1542" width="4.28515625" style="1" customWidth="1"/>
    <col min="1543" max="1543" width="12.7109375" style="1" bestFit="1" customWidth="1"/>
    <col min="1544" max="1544" width="11.7109375" style="1" customWidth="1"/>
    <col min="1545" max="1545" width="12.7109375" style="1" bestFit="1" customWidth="1"/>
    <col min="1546" max="1547" width="13" style="1" bestFit="1" customWidth="1"/>
    <col min="1548" max="1550" width="11.7109375" style="1" customWidth="1"/>
    <col min="1551" max="1551" width="13.7109375" style="1" bestFit="1" customWidth="1"/>
    <col min="1552" max="1554" width="11.7109375" style="1" customWidth="1"/>
    <col min="1555" max="1555" width="9.28515625" style="1" customWidth="1"/>
    <col min="1556" max="1556" width="10.7109375" style="1" bestFit="1" customWidth="1"/>
    <col min="1557" max="1793" width="9.28515625" style="1" customWidth="1"/>
    <col min="1794" max="1794" width="16" style="1" customWidth="1"/>
    <col min="1795" max="1795" width="40.7109375" style="1" bestFit="1" customWidth="1"/>
    <col min="1796" max="1796" width="14.5703125" style="1" bestFit="1" customWidth="1"/>
    <col min="1797" max="1797" width="2.5703125" style="1" bestFit="1" customWidth="1"/>
    <col min="1798" max="1798" width="4.28515625" style="1" customWidth="1"/>
    <col min="1799" max="1799" width="12.7109375" style="1" bestFit="1" customWidth="1"/>
    <col min="1800" max="1800" width="11.7109375" style="1" customWidth="1"/>
    <col min="1801" max="1801" width="12.7109375" style="1" bestFit="1" customWidth="1"/>
    <col min="1802" max="1803" width="13" style="1" bestFit="1" customWidth="1"/>
    <col min="1804" max="1806" width="11.7109375" style="1" customWidth="1"/>
    <col min="1807" max="1807" width="13.7109375" style="1" bestFit="1" customWidth="1"/>
    <col min="1808" max="1810" width="11.7109375" style="1" customWidth="1"/>
    <col min="1811" max="1811" width="9.28515625" style="1" customWidth="1"/>
    <col min="1812" max="1812" width="10.7109375" style="1" bestFit="1" customWidth="1"/>
    <col min="1813" max="2049" width="9.28515625" style="1" customWidth="1"/>
    <col min="2050" max="2050" width="16" style="1" customWidth="1"/>
    <col min="2051" max="2051" width="40.7109375" style="1" bestFit="1" customWidth="1"/>
    <col min="2052" max="2052" width="14.5703125" style="1" bestFit="1" customWidth="1"/>
    <col min="2053" max="2053" width="2.5703125" style="1" bestFit="1" customWidth="1"/>
    <col min="2054" max="2054" width="4.28515625" style="1" customWidth="1"/>
    <col min="2055" max="2055" width="12.7109375" style="1" bestFit="1" customWidth="1"/>
    <col min="2056" max="2056" width="11.7109375" style="1" customWidth="1"/>
    <col min="2057" max="2057" width="12.7109375" style="1" bestFit="1" customWidth="1"/>
    <col min="2058" max="2059" width="13" style="1" bestFit="1" customWidth="1"/>
    <col min="2060" max="2062" width="11.7109375" style="1" customWidth="1"/>
    <col min="2063" max="2063" width="13.7109375" style="1" bestFit="1" customWidth="1"/>
    <col min="2064" max="2066" width="11.7109375" style="1" customWidth="1"/>
    <col min="2067" max="2067" width="9.28515625" style="1" customWidth="1"/>
    <col min="2068" max="2068" width="10.7109375" style="1" bestFit="1" customWidth="1"/>
    <col min="2069" max="2305" width="9.28515625" style="1" customWidth="1"/>
    <col min="2306" max="2306" width="16" style="1" customWidth="1"/>
    <col min="2307" max="2307" width="40.7109375" style="1" bestFit="1" customWidth="1"/>
    <col min="2308" max="2308" width="14.5703125" style="1" bestFit="1" customWidth="1"/>
    <col min="2309" max="2309" width="2.5703125" style="1" bestFit="1" customWidth="1"/>
    <col min="2310" max="2310" width="4.28515625" style="1" customWidth="1"/>
    <col min="2311" max="2311" width="12.7109375" style="1" bestFit="1" customWidth="1"/>
    <col min="2312" max="2312" width="11.7109375" style="1" customWidth="1"/>
    <col min="2313" max="2313" width="12.7109375" style="1" bestFit="1" customWidth="1"/>
    <col min="2314" max="2315" width="13" style="1" bestFit="1" customWidth="1"/>
    <col min="2316" max="2318" width="11.7109375" style="1" customWidth="1"/>
    <col min="2319" max="2319" width="13.7109375" style="1" bestFit="1" customWidth="1"/>
    <col min="2320" max="2322" width="11.7109375" style="1" customWidth="1"/>
    <col min="2323" max="2323" width="9.28515625" style="1" customWidth="1"/>
    <col min="2324" max="2324" width="10.7109375" style="1" bestFit="1" customWidth="1"/>
    <col min="2325" max="2561" width="9.28515625" style="1" customWidth="1"/>
    <col min="2562" max="2562" width="16" style="1" customWidth="1"/>
    <col min="2563" max="2563" width="40.7109375" style="1" bestFit="1" customWidth="1"/>
    <col min="2564" max="2564" width="14.5703125" style="1" bestFit="1" customWidth="1"/>
    <col min="2565" max="2565" width="2.5703125" style="1" bestFit="1" customWidth="1"/>
    <col min="2566" max="2566" width="4.28515625" style="1" customWidth="1"/>
    <col min="2567" max="2567" width="12.7109375" style="1" bestFit="1" customWidth="1"/>
    <col min="2568" max="2568" width="11.7109375" style="1" customWidth="1"/>
    <col min="2569" max="2569" width="12.7109375" style="1" bestFit="1" customWidth="1"/>
    <col min="2570" max="2571" width="13" style="1" bestFit="1" customWidth="1"/>
    <col min="2572" max="2574" width="11.7109375" style="1" customWidth="1"/>
    <col min="2575" max="2575" width="13.7109375" style="1" bestFit="1" customWidth="1"/>
    <col min="2576" max="2578" width="11.7109375" style="1" customWidth="1"/>
    <col min="2579" max="2579" width="9.28515625" style="1" customWidth="1"/>
    <col min="2580" max="2580" width="10.7109375" style="1" bestFit="1" customWidth="1"/>
    <col min="2581" max="2817" width="9.28515625" style="1" customWidth="1"/>
    <col min="2818" max="2818" width="16" style="1" customWidth="1"/>
    <col min="2819" max="2819" width="40.7109375" style="1" bestFit="1" customWidth="1"/>
    <col min="2820" max="2820" width="14.5703125" style="1" bestFit="1" customWidth="1"/>
    <col min="2821" max="2821" width="2.5703125" style="1" bestFit="1" customWidth="1"/>
    <col min="2822" max="2822" width="4.28515625" style="1" customWidth="1"/>
    <col min="2823" max="2823" width="12.7109375" style="1" bestFit="1" customWidth="1"/>
    <col min="2824" max="2824" width="11.7109375" style="1" customWidth="1"/>
    <col min="2825" max="2825" width="12.7109375" style="1" bestFit="1" customWidth="1"/>
    <col min="2826" max="2827" width="13" style="1" bestFit="1" customWidth="1"/>
    <col min="2828" max="2830" width="11.7109375" style="1" customWidth="1"/>
    <col min="2831" max="2831" width="13.7109375" style="1" bestFit="1" customWidth="1"/>
    <col min="2832" max="2834" width="11.7109375" style="1" customWidth="1"/>
    <col min="2835" max="2835" width="9.28515625" style="1" customWidth="1"/>
    <col min="2836" max="2836" width="10.7109375" style="1" bestFit="1" customWidth="1"/>
    <col min="2837" max="3073" width="9.28515625" style="1" customWidth="1"/>
    <col min="3074" max="3074" width="16" style="1" customWidth="1"/>
    <col min="3075" max="3075" width="40.7109375" style="1" bestFit="1" customWidth="1"/>
    <col min="3076" max="3076" width="14.5703125" style="1" bestFit="1" customWidth="1"/>
    <col min="3077" max="3077" width="2.5703125" style="1" bestFit="1" customWidth="1"/>
    <col min="3078" max="3078" width="4.28515625" style="1" customWidth="1"/>
    <col min="3079" max="3079" width="12.7109375" style="1" bestFit="1" customWidth="1"/>
    <col min="3080" max="3080" width="11.7109375" style="1" customWidth="1"/>
    <col min="3081" max="3081" width="12.7109375" style="1" bestFit="1" customWidth="1"/>
    <col min="3082" max="3083" width="13" style="1" bestFit="1" customWidth="1"/>
    <col min="3084" max="3086" width="11.7109375" style="1" customWidth="1"/>
    <col min="3087" max="3087" width="13.7109375" style="1" bestFit="1" customWidth="1"/>
    <col min="3088" max="3090" width="11.7109375" style="1" customWidth="1"/>
    <col min="3091" max="3091" width="9.28515625" style="1" customWidth="1"/>
    <col min="3092" max="3092" width="10.7109375" style="1" bestFit="1" customWidth="1"/>
    <col min="3093" max="3329" width="9.28515625" style="1" customWidth="1"/>
    <col min="3330" max="3330" width="16" style="1" customWidth="1"/>
    <col min="3331" max="3331" width="40.7109375" style="1" bestFit="1" customWidth="1"/>
    <col min="3332" max="3332" width="14.5703125" style="1" bestFit="1" customWidth="1"/>
    <col min="3333" max="3333" width="2.5703125" style="1" bestFit="1" customWidth="1"/>
    <col min="3334" max="3334" width="4.28515625" style="1" customWidth="1"/>
    <col min="3335" max="3335" width="12.7109375" style="1" bestFit="1" customWidth="1"/>
    <col min="3336" max="3336" width="11.7109375" style="1" customWidth="1"/>
    <col min="3337" max="3337" width="12.7109375" style="1" bestFit="1" customWidth="1"/>
    <col min="3338" max="3339" width="13" style="1" bestFit="1" customWidth="1"/>
    <col min="3340" max="3342" width="11.7109375" style="1" customWidth="1"/>
    <col min="3343" max="3343" width="13.7109375" style="1" bestFit="1" customWidth="1"/>
    <col min="3344" max="3346" width="11.7109375" style="1" customWidth="1"/>
    <col min="3347" max="3347" width="9.28515625" style="1" customWidth="1"/>
    <col min="3348" max="3348" width="10.7109375" style="1" bestFit="1" customWidth="1"/>
    <col min="3349" max="3585" width="9.28515625" style="1" customWidth="1"/>
    <col min="3586" max="3586" width="16" style="1" customWidth="1"/>
    <col min="3587" max="3587" width="40.7109375" style="1" bestFit="1" customWidth="1"/>
    <col min="3588" max="3588" width="14.5703125" style="1" bestFit="1" customWidth="1"/>
    <col min="3589" max="3589" width="2.5703125" style="1" bestFit="1" customWidth="1"/>
    <col min="3590" max="3590" width="4.28515625" style="1" customWidth="1"/>
    <col min="3591" max="3591" width="12.7109375" style="1" bestFit="1" customWidth="1"/>
    <col min="3592" max="3592" width="11.7109375" style="1" customWidth="1"/>
    <col min="3593" max="3593" width="12.7109375" style="1" bestFit="1" customWidth="1"/>
    <col min="3594" max="3595" width="13" style="1" bestFit="1" customWidth="1"/>
    <col min="3596" max="3598" width="11.7109375" style="1" customWidth="1"/>
    <col min="3599" max="3599" width="13.7109375" style="1" bestFit="1" customWidth="1"/>
    <col min="3600" max="3602" width="11.7109375" style="1" customWidth="1"/>
    <col min="3603" max="3603" width="9.28515625" style="1" customWidth="1"/>
    <col min="3604" max="3604" width="10.7109375" style="1" bestFit="1" customWidth="1"/>
    <col min="3605" max="3841" width="9.28515625" style="1" customWidth="1"/>
    <col min="3842" max="3842" width="16" style="1" customWidth="1"/>
    <col min="3843" max="3843" width="40.7109375" style="1" bestFit="1" customWidth="1"/>
    <col min="3844" max="3844" width="14.5703125" style="1" bestFit="1" customWidth="1"/>
    <col min="3845" max="3845" width="2.5703125" style="1" bestFit="1" customWidth="1"/>
    <col min="3846" max="3846" width="4.28515625" style="1" customWidth="1"/>
    <col min="3847" max="3847" width="12.7109375" style="1" bestFit="1" customWidth="1"/>
    <col min="3848" max="3848" width="11.7109375" style="1" customWidth="1"/>
    <col min="3849" max="3849" width="12.7109375" style="1" bestFit="1" customWidth="1"/>
    <col min="3850" max="3851" width="13" style="1" bestFit="1" customWidth="1"/>
    <col min="3852" max="3854" width="11.7109375" style="1" customWidth="1"/>
    <col min="3855" max="3855" width="13.7109375" style="1" bestFit="1" customWidth="1"/>
    <col min="3856" max="3858" width="11.7109375" style="1" customWidth="1"/>
    <col min="3859" max="3859" width="9.28515625" style="1" customWidth="1"/>
    <col min="3860" max="3860" width="10.7109375" style="1" bestFit="1" customWidth="1"/>
    <col min="3861" max="4097" width="9.28515625" style="1" customWidth="1"/>
    <col min="4098" max="4098" width="16" style="1" customWidth="1"/>
    <col min="4099" max="4099" width="40.7109375" style="1" bestFit="1" customWidth="1"/>
    <col min="4100" max="4100" width="14.5703125" style="1" bestFit="1" customWidth="1"/>
    <col min="4101" max="4101" width="2.5703125" style="1" bestFit="1" customWidth="1"/>
    <col min="4102" max="4102" width="4.28515625" style="1" customWidth="1"/>
    <col min="4103" max="4103" width="12.7109375" style="1" bestFit="1" customWidth="1"/>
    <col min="4104" max="4104" width="11.7109375" style="1" customWidth="1"/>
    <col min="4105" max="4105" width="12.7109375" style="1" bestFit="1" customWidth="1"/>
    <col min="4106" max="4107" width="13" style="1" bestFit="1" customWidth="1"/>
    <col min="4108" max="4110" width="11.7109375" style="1" customWidth="1"/>
    <col min="4111" max="4111" width="13.7109375" style="1" bestFit="1" customWidth="1"/>
    <col min="4112" max="4114" width="11.7109375" style="1" customWidth="1"/>
    <col min="4115" max="4115" width="9.28515625" style="1" customWidth="1"/>
    <col min="4116" max="4116" width="10.7109375" style="1" bestFit="1" customWidth="1"/>
    <col min="4117" max="4353" width="9.28515625" style="1" customWidth="1"/>
    <col min="4354" max="4354" width="16" style="1" customWidth="1"/>
    <col min="4355" max="4355" width="40.7109375" style="1" bestFit="1" customWidth="1"/>
    <col min="4356" max="4356" width="14.5703125" style="1" bestFit="1" customWidth="1"/>
    <col min="4357" max="4357" width="2.5703125" style="1" bestFit="1" customWidth="1"/>
    <col min="4358" max="4358" width="4.28515625" style="1" customWidth="1"/>
    <col min="4359" max="4359" width="12.7109375" style="1" bestFit="1" customWidth="1"/>
    <col min="4360" max="4360" width="11.7109375" style="1" customWidth="1"/>
    <col min="4361" max="4361" width="12.7109375" style="1" bestFit="1" customWidth="1"/>
    <col min="4362" max="4363" width="13" style="1" bestFit="1" customWidth="1"/>
    <col min="4364" max="4366" width="11.7109375" style="1" customWidth="1"/>
    <col min="4367" max="4367" width="13.7109375" style="1" bestFit="1" customWidth="1"/>
    <col min="4368" max="4370" width="11.7109375" style="1" customWidth="1"/>
    <col min="4371" max="4371" width="9.28515625" style="1" customWidth="1"/>
    <col min="4372" max="4372" width="10.7109375" style="1" bestFit="1" customWidth="1"/>
    <col min="4373" max="4609" width="9.28515625" style="1" customWidth="1"/>
    <col min="4610" max="4610" width="16" style="1" customWidth="1"/>
    <col min="4611" max="4611" width="40.7109375" style="1" bestFit="1" customWidth="1"/>
    <col min="4612" max="4612" width="14.5703125" style="1" bestFit="1" customWidth="1"/>
    <col min="4613" max="4613" width="2.5703125" style="1" bestFit="1" customWidth="1"/>
    <col min="4614" max="4614" width="4.28515625" style="1" customWidth="1"/>
    <col min="4615" max="4615" width="12.7109375" style="1" bestFit="1" customWidth="1"/>
    <col min="4616" max="4616" width="11.7109375" style="1" customWidth="1"/>
    <col min="4617" max="4617" width="12.7109375" style="1" bestFit="1" customWidth="1"/>
    <col min="4618" max="4619" width="13" style="1" bestFit="1" customWidth="1"/>
    <col min="4620" max="4622" width="11.7109375" style="1" customWidth="1"/>
    <col min="4623" max="4623" width="13.7109375" style="1" bestFit="1" customWidth="1"/>
    <col min="4624" max="4626" width="11.7109375" style="1" customWidth="1"/>
    <col min="4627" max="4627" width="9.28515625" style="1" customWidth="1"/>
    <col min="4628" max="4628" width="10.7109375" style="1" bestFit="1" customWidth="1"/>
    <col min="4629" max="4865" width="9.28515625" style="1" customWidth="1"/>
    <col min="4866" max="4866" width="16" style="1" customWidth="1"/>
    <col min="4867" max="4867" width="40.7109375" style="1" bestFit="1" customWidth="1"/>
    <col min="4868" max="4868" width="14.5703125" style="1" bestFit="1" customWidth="1"/>
    <col min="4869" max="4869" width="2.5703125" style="1" bestFit="1" customWidth="1"/>
    <col min="4870" max="4870" width="4.28515625" style="1" customWidth="1"/>
    <col min="4871" max="4871" width="12.7109375" style="1" bestFit="1" customWidth="1"/>
    <col min="4872" max="4872" width="11.7109375" style="1" customWidth="1"/>
    <col min="4873" max="4873" width="12.7109375" style="1" bestFit="1" customWidth="1"/>
    <col min="4874" max="4875" width="13" style="1" bestFit="1" customWidth="1"/>
    <col min="4876" max="4878" width="11.7109375" style="1" customWidth="1"/>
    <col min="4879" max="4879" width="13.7109375" style="1" bestFit="1" customWidth="1"/>
    <col min="4880" max="4882" width="11.7109375" style="1" customWidth="1"/>
    <col min="4883" max="4883" width="9.28515625" style="1" customWidth="1"/>
    <col min="4884" max="4884" width="10.7109375" style="1" bestFit="1" customWidth="1"/>
    <col min="4885" max="5121" width="9.28515625" style="1" customWidth="1"/>
    <col min="5122" max="5122" width="16" style="1" customWidth="1"/>
    <col min="5123" max="5123" width="40.7109375" style="1" bestFit="1" customWidth="1"/>
    <col min="5124" max="5124" width="14.5703125" style="1" bestFit="1" customWidth="1"/>
    <col min="5125" max="5125" width="2.5703125" style="1" bestFit="1" customWidth="1"/>
    <col min="5126" max="5126" width="4.28515625" style="1" customWidth="1"/>
    <col min="5127" max="5127" width="12.7109375" style="1" bestFit="1" customWidth="1"/>
    <col min="5128" max="5128" width="11.7109375" style="1" customWidth="1"/>
    <col min="5129" max="5129" width="12.7109375" style="1" bestFit="1" customWidth="1"/>
    <col min="5130" max="5131" width="13" style="1" bestFit="1" customWidth="1"/>
    <col min="5132" max="5134" width="11.7109375" style="1" customWidth="1"/>
    <col min="5135" max="5135" width="13.7109375" style="1" bestFit="1" customWidth="1"/>
    <col min="5136" max="5138" width="11.7109375" style="1" customWidth="1"/>
    <col min="5139" max="5139" width="9.28515625" style="1" customWidth="1"/>
    <col min="5140" max="5140" width="10.7109375" style="1" bestFit="1" customWidth="1"/>
    <col min="5141" max="5377" width="9.28515625" style="1" customWidth="1"/>
    <col min="5378" max="5378" width="16" style="1" customWidth="1"/>
    <col min="5379" max="5379" width="40.7109375" style="1" bestFit="1" customWidth="1"/>
    <col min="5380" max="5380" width="14.5703125" style="1" bestFit="1" customWidth="1"/>
    <col min="5381" max="5381" width="2.5703125" style="1" bestFit="1" customWidth="1"/>
    <col min="5382" max="5382" width="4.28515625" style="1" customWidth="1"/>
    <col min="5383" max="5383" width="12.7109375" style="1" bestFit="1" customWidth="1"/>
    <col min="5384" max="5384" width="11.7109375" style="1" customWidth="1"/>
    <col min="5385" max="5385" width="12.7109375" style="1" bestFit="1" customWidth="1"/>
    <col min="5386" max="5387" width="13" style="1" bestFit="1" customWidth="1"/>
    <col min="5388" max="5390" width="11.7109375" style="1" customWidth="1"/>
    <col min="5391" max="5391" width="13.7109375" style="1" bestFit="1" customWidth="1"/>
    <col min="5392" max="5394" width="11.7109375" style="1" customWidth="1"/>
    <col min="5395" max="5395" width="9.28515625" style="1" customWidth="1"/>
    <col min="5396" max="5396" width="10.7109375" style="1" bestFit="1" customWidth="1"/>
    <col min="5397" max="5633" width="9.28515625" style="1" customWidth="1"/>
    <col min="5634" max="5634" width="16" style="1" customWidth="1"/>
    <col min="5635" max="5635" width="40.7109375" style="1" bestFit="1" customWidth="1"/>
    <col min="5636" max="5636" width="14.5703125" style="1" bestFit="1" customWidth="1"/>
    <col min="5637" max="5637" width="2.5703125" style="1" bestFit="1" customWidth="1"/>
    <col min="5638" max="5638" width="4.28515625" style="1" customWidth="1"/>
    <col min="5639" max="5639" width="12.7109375" style="1" bestFit="1" customWidth="1"/>
    <col min="5640" max="5640" width="11.7109375" style="1" customWidth="1"/>
    <col min="5641" max="5641" width="12.7109375" style="1" bestFit="1" customWidth="1"/>
    <col min="5642" max="5643" width="13" style="1" bestFit="1" customWidth="1"/>
    <col min="5644" max="5646" width="11.7109375" style="1" customWidth="1"/>
    <col min="5647" max="5647" width="13.7109375" style="1" bestFit="1" customWidth="1"/>
    <col min="5648" max="5650" width="11.7109375" style="1" customWidth="1"/>
    <col min="5651" max="5651" width="9.28515625" style="1" customWidth="1"/>
    <col min="5652" max="5652" width="10.7109375" style="1" bestFit="1" customWidth="1"/>
    <col min="5653" max="5889" width="9.28515625" style="1" customWidth="1"/>
    <col min="5890" max="5890" width="16" style="1" customWidth="1"/>
    <col min="5891" max="5891" width="40.7109375" style="1" bestFit="1" customWidth="1"/>
    <col min="5892" max="5892" width="14.5703125" style="1" bestFit="1" customWidth="1"/>
    <col min="5893" max="5893" width="2.5703125" style="1" bestFit="1" customWidth="1"/>
    <col min="5894" max="5894" width="4.28515625" style="1" customWidth="1"/>
    <col min="5895" max="5895" width="12.7109375" style="1" bestFit="1" customWidth="1"/>
    <col min="5896" max="5896" width="11.7109375" style="1" customWidth="1"/>
    <col min="5897" max="5897" width="12.7109375" style="1" bestFit="1" customWidth="1"/>
    <col min="5898" max="5899" width="13" style="1" bestFit="1" customWidth="1"/>
    <col min="5900" max="5902" width="11.7109375" style="1" customWidth="1"/>
    <col min="5903" max="5903" width="13.7109375" style="1" bestFit="1" customWidth="1"/>
    <col min="5904" max="5906" width="11.7109375" style="1" customWidth="1"/>
    <col min="5907" max="5907" width="9.28515625" style="1" customWidth="1"/>
    <col min="5908" max="5908" width="10.7109375" style="1" bestFit="1" customWidth="1"/>
    <col min="5909" max="6145" width="9.28515625" style="1" customWidth="1"/>
    <col min="6146" max="6146" width="16" style="1" customWidth="1"/>
    <col min="6147" max="6147" width="40.7109375" style="1" bestFit="1" customWidth="1"/>
    <col min="6148" max="6148" width="14.5703125" style="1" bestFit="1" customWidth="1"/>
    <col min="6149" max="6149" width="2.5703125" style="1" bestFit="1" customWidth="1"/>
    <col min="6150" max="6150" width="4.28515625" style="1" customWidth="1"/>
    <col min="6151" max="6151" width="12.7109375" style="1" bestFit="1" customWidth="1"/>
    <col min="6152" max="6152" width="11.7109375" style="1" customWidth="1"/>
    <col min="6153" max="6153" width="12.7109375" style="1" bestFit="1" customWidth="1"/>
    <col min="6154" max="6155" width="13" style="1" bestFit="1" customWidth="1"/>
    <col min="6156" max="6158" width="11.7109375" style="1" customWidth="1"/>
    <col min="6159" max="6159" width="13.7109375" style="1" bestFit="1" customWidth="1"/>
    <col min="6160" max="6162" width="11.7109375" style="1" customWidth="1"/>
    <col min="6163" max="6163" width="9.28515625" style="1" customWidth="1"/>
    <col min="6164" max="6164" width="10.7109375" style="1" bestFit="1" customWidth="1"/>
    <col min="6165" max="6401" width="9.28515625" style="1" customWidth="1"/>
    <col min="6402" max="6402" width="16" style="1" customWidth="1"/>
    <col min="6403" max="6403" width="40.7109375" style="1" bestFit="1" customWidth="1"/>
    <col min="6404" max="6404" width="14.5703125" style="1" bestFit="1" customWidth="1"/>
    <col min="6405" max="6405" width="2.5703125" style="1" bestFit="1" customWidth="1"/>
    <col min="6406" max="6406" width="4.28515625" style="1" customWidth="1"/>
    <col min="6407" max="6407" width="12.7109375" style="1" bestFit="1" customWidth="1"/>
    <col min="6408" max="6408" width="11.7109375" style="1" customWidth="1"/>
    <col min="6409" max="6409" width="12.7109375" style="1" bestFit="1" customWidth="1"/>
    <col min="6410" max="6411" width="13" style="1" bestFit="1" customWidth="1"/>
    <col min="6412" max="6414" width="11.7109375" style="1" customWidth="1"/>
    <col min="6415" max="6415" width="13.7109375" style="1" bestFit="1" customWidth="1"/>
    <col min="6416" max="6418" width="11.7109375" style="1" customWidth="1"/>
    <col min="6419" max="6419" width="9.28515625" style="1" customWidth="1"/>
    <col min="6420" max="6420" width="10.7109375" style="1" bestFit="1" customWidth="1"/>
    <col min="6421" max="6657" width="9.28515625" style="1" customWidth="1"/>
    <col min="6658" max="6658" width="16" style="1" customWidth="1"/>
    <col min="6659" max="6659" width="40.7109375" style="1" bestFit="1" customWidth="1"/>
    <col min="6660" max="6660" width="14.5703125" style="1" bestFit="1" customWidth="1"/>
    <col min="6661" max="6661" width="2.5703125" style="1" bestFit="1" customWidth="1"/>
    <col min="6662" max="6662" width="4.28515625" style="1" customWidth="1"/>
    <col min="6663" max="6663" width="12.7109375" style="1" bestFit="1" customWidth="1"/>
    <col min="6664" max="6664" width="11.7109375" style="1" customWidth="1"/>
    <col min="6665" max="6665" width="12.7109375" style="1" bestFit="1" customWidth="1"/>
    <col min="6666" max="6667" width="13" style="1" bestFit="1" customWidth="1"/>
    <col min="6668" max="6670" width="11.7109375" style="1" customWidth="1"/>
    <col min="6671" max="6671" width="13.7109375" style="1" bestFit="1" customWidth="1"/>
    <col min="6672" max="6674" width="11.7109375" style="1" customWidth="1"/>
    <col min="6675" max="6675" width="9.28515625" style="1" customWidth="1"/>
    <col min="6676" max="6676" width="10.7109375" style="1" bestFit="1" customWidth="1"/>
    <col min="6677" max="6913" width="9.28515625" style="1" customWidth="1"/>
    <col min="6914" max="6914" width="16" style="1" customWidth="1"/>
    <col min="6915" max="6915" width="40.7109375" style="1" bestFit="1" customWidth="1"/>
    <col min="6916" max="6916" width="14.5703125" style="1" bestFit="1" customWidth="1"/>
    <col min="6917" max="6917" width="2.5703125" style="1" bestFit="1" customWidth="1"/>
    <col min="6918" max="6918" width="4.28515625" style="1" customWidth="1"/>
    <col min="6919" max="6919" width="12.7109375" style="1" bestFit="1" customWidth="1"/>
    <col min="6920" max="6920" width="11.7109375" style="1" customWidth="1"/>
    <col min="6921" max="6921" width="12.7109375" style="1" bestFit="1" customWidth="1"/>
    <col min="6922" max="6923" width="13" style="1" bestFit="1" customWidth="1"/>
    <col min="6924" max="6926" width="11.7109375" style="1" customWidth="1"/>
    <col min="6927" max="6927" width="13.7109375" style="1" bestFit="1" customWidth="1"/>
    <col min="6928" max="6930" width="11.7109375" style="1" customWidth="1"/>
    <col min="6931" max="6931" width="9.28515625" style="1" customWidth="1"/>
    <col min="6932" max="6932" width="10.7109375" style="1" bestFit="1" customWidth="1"/>
    <col min="6933" max="7169" width="9.28515625" style="1" customWidth="1"/>
    <col min="7170" max="7170" width="16" style="1" customWidth="1"/>
    <col min="7171" max="7171" width="40.7109375" style="1" bestFit="1" customWidth="1"/>
    <col min="7172" max="7172" width="14.5703125" style="1" bestFit="1" customWidth="1"/>
    <col min="7173" max="7173" width="2.5703125" style="1" bestFit="1" customWidth="1"/>
    <col min="7174" max="7174" width="4.28515625" style="1" customWidth="1"/>
    <col min="7175" max="7175" width="12.7109375" style="1" bestFit="1" customWidth="1"/>
    <col min="7176" max="7176" width="11.7109375" style="1" customWidth="1"/>
    <col min="7177" max="7177" width="12.7109375" style="1" bestFit="1" customWidth="1"/>
    <col min="7178" max="7179" width="13" style="1" bestFit="1" customWidth="1"/>
    <col min="7180" max="7182" width="11.7109375" style="1" customWidth="1"/>
    <col min="7183" max="7183" width="13.7109375" style="1" bestFit="1" customWidth="1"/>
    <col min="7184" max="7186" width="11.7109375" style="1" customWidth="1"/>
    <col min="7187" max="7187" width="9.28515625" style="1" customWidth="1"/>
    <col min="7188" max="7188" width="10.7109375" style="1" bestFit="1" customWidth="1"/>
    <col min="7189" max="7425" width="9.28515625" style="1" customWidth="1"/>
    <col min="7426" max="7426" width="16" style="1" customWidth="1"/>
    <col min="7427" max="7427" width="40.7109375" style="1" bestFit="1" customWidth="1"/>
    <col min="7428" max="7428" width="14.5703125" style="1" bestFit="1" customWidth="1"/>
    <col min="7429" max="7429" width="2.5703125" style="1" bestFit="1" customWidth="1"/>
    <col min="7430" max="7430" width="4.28515625" style="1" customWidth="1"/>
    <col min="7431" max="7431" width="12.7109375" style="1" bestFit="1" customWidth="1"/>
    <col min="7432" max="7432" width="11.7109375" style="1" customWidth="1"/>
    <col min="7433" max="7433" width="12.7109375" style="1" bestFit="1" customWidth="1"/>
    <col min="7434" max="7435" width="13" style="1" bestFit="1" customWidth="1"/>
    <col min="7436" max="7438" width="11.7109375" style="1" customWidth="1"/>
    <col min="7439" max="7439" width="13.7109375" style="1" bestFit="1" customWidth="1"/>
    <col min="7440" max="7442" width="11.7109375" style="1" customWidth="1"/>
    <col min="7443" max="7443" width="9.28515625" style="1" customWidth="1"/>
    <col min="7444" max="7444" width="10.7109375" style="1" bestFit="1" customWidth="1"/>
    <col min="7445" max="7681" width="9.28515625" style="1" customWidth="1"/>
    <col min="7682" max="7682" width="16" style="1" customWidth="1"/>
    <col min="7683" max="7683" width="40.7109375" style="1" bestFit="1" customWidth="1"/>
    <col min="7684" max="7684" width="14.5703125" style="1" bestFit="1" customWidth="1"/>
    <col min="7685" max="7685" width="2.5703125" style="1" bestFit="1" customWidth="1"/>
    <col min="7686" max="7686" width="4.28515625" style="1" customWidth="1"/>
    <col min="7687" max="7687" width="12.7109375" style="1" bestFit="1" customWidth="1"/>
    <col min="7688" max="7688" width="11.7109375" style="1" customWidth="1"/>
    <col min="7689" max="7689" width="12.7109375" style="1" bestFit="1" customWidth="1"/>
    <col min="7690" max="7691" width="13" style="1" bestFit="1" customWidth="1"/>
    <col min="7692" max="7694" width="11.7109375" style="1" customWidth="1"/>
    <col min="7695" max="7695" width="13.7109375" style="1" bestFit="1" customWidth="1"/>
    <col min="7696" max="7698" width="11.7109375" style="1" customWidth="1"/>
    <col min="7699" max="7699" width="9.28515625" style="1" customWidth="1"/>
    <col min="7700" max="7700" width="10.7109375" style="1" bestFit="1" customWidth="1"/>
    <col min="7701" max="7937" width="9.28515625" style="1" customWidth="1"/>
    <col min="7938" max="7938" width="16" style="1" customWidth="1"/>
    <col min="7939" max="7939" width="40.7109375" style="1" bestFit="1" customWidth="1"/>
    <col min="7940" max="7940" width="14.5703125" style="1" bestFit="1" customWidth="1"/>
    <col min="7941" max="7941" width="2.5703125" style="1" bestFit="1" customWidth="1"/>
    <col min="7942" max="7942" width="4.28515625" style="1" customWidth="1"/>
    <col min="7943" max="7943" width="12.7109375" style="1" bestFit="1" customWidth="1"/>
    <col min="7944" max="7944" width="11.7109375" style="1" customWidth="1"/>
    <col min="7945" max="7945" width="12.7109375" style="1" bestFit="1" customWidth="1"/>
    <col min="7946" max="7947" width="13" style="1" bestFit="1" customWidth="1"/>
    <col min="7948" max="7950" width="11.7109375" style="1" customWidth="1"/>
    <col min="7951" max="7951" width="13.7109375" style="1" bestFit="1" customWidth="1"/>
    <col min="7952" max="7954" width="11.7109375" style="1" customWidth="1"/>
    <col min="7955" max="7955" width="9.28515625" style="1" customWidth="1"/>
    <col min="7956" max="7956" width="10.7109375" style="1" bestFit="1" customWidth="1"/>
    <col min="7957" max="8193" width="9.28515625" style="1" customWidth="1"/>
    <col min="8194" max="8194" width="16" style="1" customWidth="1"/>
    <col min="8195" max="8195" width="40.7109375" style="1" bestFit="1" customWidth="1"/>
    <col min="8196" max="8196" width="14.5703125" style="1" bestFit="1" customWidth="1"/>
    <col min="8197" max="8197" width="2.5703125" style="1" bestFit="1" customWidth="1"/>
    <col min="8198" max="8198" width="4.28515625" style="1" customWidth="1"/>
    <col min="8199" max="8199" width="12.7109375" style="1" bestFit="1" customWidth="1"/>
    <col min="8200" max="8200" width="11.7109375" style="1" customWidth="1"/>
    <col min="8201" max="8201" width="12.7109375" style="1" bestFit="1" customWidth="1"/>
    <col min="8202" max="8203" width="13" style="1" bestFit="1" customWidth="1"/>
    <col min="8204" max="8206" width="11.7109375" style="1" customWidth="1"/>
    <col min="8207" max="8207" width="13.7109375" style="1" bestFit="1" customWidth="1"/>
    <col min="8208" max="8210" width="11.7109375" style="1" customWidth="1"/>
    <col min="8211" max="8211" width="9.28515625" style="1" customWidth="1"/>
    <col min="8212" max="8212" width="10.7109375" style="1" bestFit="1" customWidth="1"/>
    <col min="8213" max="8449" width="9.28515625" style="1" customWidth="1"/>
    <col min="8450" max="8450" width="16" style="1" customWidth="1"/>
    <col min="8451" max="8451" width="40.7109375" style="1" bestFit="1" customWidth="1"/>
    <col min="8452" max="8452" width="14.5703125" style="1" bestFit="1" customWidth="1"/>
    <col min="8453" max="8453" width="2.5703125" style="1" bestFit="1" customWidth="1"/>
    <col min="8454" max="8454" width="4.28515625" style="1" customWidth="1"/>
    <col min="8455" max="8455" width="12.7109375" style="1" bestFit="1" customWidth="1"/>
    <col min="8456" max="8456" width="11.7109375" style="1" customWidth="1"/>
    <col min="8457" max="8457" width="12.7109375" style="1" bestFit="1" customWidth="1"/>
    <col min="8458" max="8459" width="13" style="1" bestFit="1" customWidth="1"/>
    <col min="8460" max="8462" width="11.7109375" style="1" customWidth="1"/>
    <col min="8463" max="8463" width="13.7109375" style="1" bestFit="1" customWidth="1"/>
    <col min="8464" max="8466" width="11.7109375" style="1" customWidth="1"/>
    <col min="8467" max="8467" width="9.28515625" style="1" customWidth="1"/>
    <col min="8468" max="8468" width="10.7109375" style="1" bestFit="1" customWidth="1"/>
    <col min="8469" max="8705" width="9.28515625" style="1" customWidth="1"/>
    <col min="8706" max="8706" width="16" style="1" customWidth="1"/>
    <col min="8707" max="8707" width="40.7109375" style="1" bestFit="1" customWidth="1"/>
    <col min="8708" max="8708" width="14.5703125" style="1" bestFit="1" customWidth="1"/>
    <col min="8709" max="8709" width="2.5703125" style="1" bestFit="1" customWidth="1"/>
    <col min="8710" max="8710" width="4.28515625" style="1" customWidth="1"/>
    <col min="8711" max="8711" width="12.7109375" style="1" bestFit="1" customWidth="1"/>
    <col min="8712" max="8712" width="11.7109375" style="1" customWidth="1"/>
    <col min="8713" max="8713" width="12.7109375" style="1" bestFit="1" customWidth="1"/>
    <col min="8714" max="8715" width="13" style="1" bestFit="1" customWidth="1"/>
    <col min="8716" max="8718" width="11.7109375" style="1" customWidth="1"/>
    <col min="8719" max="8719" width="13.7109375" style="1" bestFit="1" customWidth="1"/>
    <col min="8720" max="8722" width="11.7109375" style="1" customWidth="1"/>
    <col min="8723" max="8723" width="9.28515625" style="1" customWidth="1"/>
    <col min="8724" max="8724" width="10.7109375" style="1" bestFit="1" customWidth="1"/>
    <col min="8725" max="8961" width="9.28515625" style="1" customWidth="1"/>
    <col min="8962" max="8962" width="16" style="1" customWidth="1"/>
    <col min="8963" max="8963" width="40.7109375" style="1" bestFit="1" customWidth="1"/>
    <col min="8964" max="8964" width="14.5703125" style="1" bestFit="1" customWidth="1"/>
    <col min="8965" max="8965" width="2.5703125" style="1" bestFit="1" customWidth="1"/>
    <col min="8966" max="8966" width="4.28515625" style="1" customWidth="1"/>
    <col min="8967" max="8967" width="12.7109375" style="1" bestFit="1" customWidth="1"/>
    <col min="8968" max="8968" width="11.7109375" style="1" customWidth="1"/>
    <col min="8969" max="8969" width="12.7109375" style="1" bestFit="1" customWidth="1"/>
    <col min="8970" max="8971" width="13" style="1" bestFit="1" customWidth="1"/>
    <col min="8972" max="8974" width="11.7109375" style="1" customWidth="1"/>
    <col min="8975" max="8975" width="13.7109375" style="1" bestFit="1" customWidth="1"/>
    <col min="8976" max="8978" width="11.7109375" style="1" customWidth="1"/>
    <col min="8979" max="8979" width="9.28515625" style="1" customWidth="1"/>
    <col min="8980" max="8980" width="10.7109375" style="1" bestFit="1" customWidth="1"/>
    <col min="8981" max="9217" width="9.28515625" style="1" customWidth="1"/>
    <col min="9218" max="9218" width="16" style="1" customWidth="1"/>
    <col min="9219" max="9219" width="40.7109375" style="1" bestFit="1" customWidth="1"/>
    <col min="9220" max="9220" width="14.5703125" style="1" bestFit="1" customWidth="1"/>
    <col min="9221" max="9221" width="2.5703125" style="1" bestFit="1" customWidth="1"/>
    <col min="9222" max="9222" width="4.28515625" style="1" customWidth="1"/>
    <col min="9223" max="9223" width="12.7109375" style="1" bestFit="1" customWidth="1"/>
    <col min="9224" max="9224" width="11.7109375" style="1" customWidth="1"/>
    <col min="9225" max="9225" width="12.7109375" style="1" bestFit="1" customWidth="1"/>
    <col min="9226" max="9227" width="13" style="1" bestFit="1" customWidth="1"/>
    <col min="9228" max="9230" width="11.7109375" style="1" customWidth="1"/>
    <col min="9231" max="9231" width="13.7109375" style="1" bestFit="1" customWidth="1"/>
    <col min="9232" max="9234" width="11.7109375" style="1" customWidth="1"/>
    <col min="9235" max="9235" width="9.28515625" style="1" customWidth="1"/>
    <col min="9236" max="9236" width="10.7109375" style="1" bestFit="1" customWidth="1"/>
    <col min="9237" max="9473" width="9.28515625" style="1" customWidth="1"/>
    <col min="9474" max="9474" width="16" style="1" customWidth="1"/>
    <col min="9475" max="9475" width="40.7109375" style="1" bestFit="1" customWidth="1"/>
    <col min="9476" max="9476" width="14.5703125" style="1" bestFit="1" customWidth="1"/>
    <col min="9477" max="9477" width="2.5703125" style="1" bestFit="1" customWidth="1"/>
    <col min="9478" max="9478" width="4.28515625" style="1" customWidth="1"/>
    <col min="9479" max="9479" width="12.7109375" style="1" bestFit="1" customWidth="1"/>
    <col min="9480" max="9480" width="11.7109375" style="1" customWidth="1"/>
    <col min="9481" max="9481" width="12.7109375" style="1" bestFit="1" customWidth="1"/>
    <col min="9482" max="9483" width="13" style="1" bestFit="1" customWidth="1"/>
    <col min="9484" max="9486" width="11.7109375" style="1" customWidth="1"/>
    <col min="9487" max="9487" width="13.7109375" style="1" bestFit="1" customWidth="1"/>
    <col min="9488" max="9490" width="11.7109375" style="1" customWidth="1"/>
    <col min="9491" max="9491" width="9.28515625" style="1" customWidth="1"/>
    <col min="9492" max="9492" width="10.7109375" style="1" bestFit="1" customWidth="1"/>
    <col min="9493" max="9729" width="9.28515625" style="1" customWidth="1"/>
    <col min="9730" max="9730" width="16" style="1" customWidth="1"/>
    <col min="9731" max="9731" width="40.7109375" style="1" bestFit="1" customWidth="1"/>
    <col min="9732" max="9732" width="14.5703125" style="1" bestFit="1" customWidth="1"/>
    <col min="9733" max="9733" width="2.5703125" style="1" bestFit="1" customWidth="1"/>
    <col min="9734" max="9734" width="4.28515625" style="1" customWidth="1"/>
    <col min="9735" max="9735" width="12.7109375" style="1" bestFit="1" customWidth="1"/>
    <col min="9736" max="9736" width="11.7109375" style="1" customWidth="1"/>
    <col min="9737" max="9737" width="12.7109375" style="1" bestFit="1" customWidth="1"/>
    <col min="9738" max="9739" width="13" style="1" bestFit="1" customWidth="1"/>
    <col min="9740" max="9742" width="11.7109375" style="1" customWidth="1"/>
    <col min="9743" max="9743" width="13.7109375" style="1" bestFit="1" customWidth="1"/>
    <col min="9744" max="9746" width="11.7109375" style="1" customWidth="1"/>
    <col min="9747" max="9747" width="9.28515625" style="1" customWidth="1"/>
    <col min="9748" max="9748" width="10.7109375" style="1" bestFit="1" customWidth="1"/>
    <col min="9749" max="9985" width="9.28515625" style="1" customWidth="1"/>
    <col min="9986" max="9986" width="16" style="1" customWidth="1"/>
    <col min="9987" max="9987" width="40.7109375" style="1" bestFit="1" customWidth="1"/>
    <col min="9988" max="9988" width="14.5703125" style="1" bestFit="1" customWidth="1"/>
    <col min="9989" max="9989" width="2.5703125" style="1" bestFit="1" customWidth="1"/>
    <col min="9990" max="9990" width="4.28515625" style="1" customWidth="1"/>
    <col min="9991" max="9991" width="12.7109375" style="1" bestFit="1" customWidth="1"/>
    <col min="9992" max="9992" width="11.7109375" style="1" customWidth="1"/>
    <col min="9993" max="9993" width="12.7109375" style="1" bestFit="1" customWidth="1"/>
    <col min="9994" max="9995" width="13" style="1" bestFit="1" customWidth="1"/>
    <col min="9996" max="9998" width="11.7109375" style="1" customWidth="1"/>
    <col min="9999" max="9999" width="13.7109375" style="1" bestFit="1" customWidth="1"/>
    <col min="10000" max="10002" width="11.7109375" style="1" customWidth="1"/>
    <col min="10003" max="10003" width="9.28515625" style="1" customWidth="1"/>
    <col min="10004" max="10004" width="10.7109375" style="1" bestFit="1" customWidth="1"/>
    <col min="10005" max="10241" width="9.28515625" style="1" customWidth="1"/>
    <col min="10242" max="10242" width="16" style="1" customWidth="1"/>
    <col min="10243" max="10243" width="40.7109375" style="1" bestFit="1" customWidth="1"/>
    <col min="10244" max="10244" width="14.5703125" style="1" bestFit="1" customWidth="1"/>
    <col min="10245" max="10245" width="2.5703125" style="1" bestFit="1" customWidth="1"/>
    <col min="10246" max="10246" width="4.28515625" style="1" customWidth="1"/>
    <col min="10247" max="10247" width="12.7109375" style="1" bestFit="1" customWidth="1"/>
    <col min="10248" max="10248" width="11.7109375" style="1" customWidth="1"/>
    <col min="10249" max="10249" width="12.7109375" style="1" bestFit="1" customWidth="1"/>
    <col min="10250" max="10251" width="13" style="1" bestFit="1" customWidth="1"/>
    <col min="10252" max="10254" width="11.7109375" style="1" customWidth="1"/>
    <col min="10255" max="10255" width="13.7109375" style="1" bestFit="1" customWidth="1"/>
    <col min="10256" max="10258" width="11.7109375" style="1" customWidth="1"/>
    <col min="10259" max="10259" width="9.28515625" style="1" customWidth="1"/>
    <col min="10260" max="10260" width="10.7109375" style="1" bestFit="1" customWidth="1"/>
    <col min="10261" max="10497" width="9.28515625" style="1" customWidth="1"/>
    <col min="10498" max="10498" width="16" style="1" customWidth="1"/>
    <col min="10499" max="10499" width="40.7109375" style="1" bestFit="1" customWidth="1"/>
    <col min="10500" max="10500" width="14.5703125" style="1" bestFit="1" customWidth="1"/>
    <col min="10501" max="10501" width="2.5703125" style="1" bestFit="1" customWidth="1"/>
    <col min="10502" max="10502" width="4.28515625" style="1" customWidth="1"/>
    <col min="10503" max="10503" width="12.7109375" style="1" bestFit="1" customWidth="1"/>
    <col min="10504" max="10504" width="11.7109375" style="1" customWidth="1"/>
    <col min="10505" max="10505" width="12.7109375" style="1" bestFit="1" customWidth="1"/>
    <col min="10506" max="10507" width="13" style="1" bestFit="1" customWidth="1"/>
    <col min="10508" max="10510" width="11.7109375" style="1" customWidth="1"/>
    <col min="10511" max="10511" width="13.7109375" style="1" bestFit="1" customWidth="1"/>
    <col min="10512" max="10514" width="11.7109375" style="1" customWidth="1"/>
    <col min="10515" max="10515" width="9.28515625" style="1" customWidth="1"/>
    <col min="10516" max="10516" width="10.7109375" style="1" bestFit="1" customWidth="1"/>
    <col min="10517" max="10753" width="9.28515625" style="1" customWidth="1"/>
    <col min="10754" max="10754" width="16" style="1" customWidth="1"/>
    <col min="10755" max="10755" width="40.7109375" style="1" bestFit="1" customWidth="1"/>
    <col min="10756" max="10756" width="14.5703125" style="1" bestFit="1" customWidth="1"/>
    <col min="10757" max="10757" width="2.5703125" style="1" bestFit="1" customWidth="1"/>
    <col min="10758" max="10758" width="4.28515625" style="1" customWidth="1"/>
    <col min="10759" max="10759" width="12.7109375" style="1" bestFit="1" customWidth="1"/>
    <col min="10760" max="10760" width="11.7109375" style="1" customWidth="1"/>
    <col min="10761" max="10761" width="12.7109375" style="1" bestFit="1" customWidth="1"/>
    <col min="10762" max="10763" width="13" style="1" bestFit="1" customWidth="1"/>
    <col min="10764" max="10766" width="11.7109375" style="1" customWidth="1"/>
    <col min="10767" max="10767" width="13.7109375" style="1" bestFit="1" customWidth="1"/>
    <col min="10768" max="10770" width="11.7109375" style="1" customWidth="1"/>
    <col min="10771" max="10771" width="9.28515625" style="1" customWidth="1"/>
    <col min="10772" max="10772" width="10.7109375" style="1" bestFit="1" customWidth="1"/>
    <col min="10773" max="11009" width="9.28515625" style="1" customWidth="1"/>
    <col min="11010" max="11010" width="16" style="1" customWidth="1"/>
    <col min="11011" max="11011" width="40.7109375" style="1" bestFit="1" customWidth="1"/>
    <col min="11012" max="11012" width="14.5703125" style="1" bestFit="1" customWidth="1"/>
    <col min="11013" max="11013" width="2.5703125" style="1" bestFit="1" customWidth="1"/>
    <col min="11014" max="11014" width="4.28515625" style="1" customWidth="1"/>
    <col min="11015" max="11015" width="12.7109375" style="1" bestFit="1" customWidth="1"/>
    <col min="11016" max="11016" width="11.7109375" style="1" customWidth="1"/>
    <col min="11017" max="11017" width="12.7109375" style="1" bestFit="1" customWidth="1"/>
    <col min="11018" max="11019" width="13" style="1" bestFit="1" customWidth="1"/>
    <col min="11020" max="11022" width="11.7109375" style="1" customWidth="1"/>
    <col min="11023" max="11023" width="13.7109375" style="1" bestFit="1" customWidth="1"/>
    <col min="11024" max="11026" width="11.7109375" style="1" customWidth="1"/>
    <col min="11027" max="11027" width="9.28515625" style="1" customWidth="1"/>
    <col min="11028" max="11028" width="10.7109375" style="1" bestFit="1" customWidth="1"/>
    <col min="11029" max="11265" width="9.28515625" style="1" customWidth="1"/>
    <col min="11266" max="11266" width="16" style="1" customWidth="1"/>
    <col min="11267" max="11267" width="40.7109375" style="1" bestFit="1" customWidth="1"/>
    <col min="11268" max="11268" width="14.5703125" style="1" bestFit="1" customWidth="1"/>
    <col min="11269" max="11269" width="2.5703125" style="1" bestFit="1" customWidth="1"/>
    <col min="11270" max="11270" width="4.28515625" style="1" customWidth="1"/>
    <col min="11271" max="11271" width="12.7109375" style="1" bestFit="1" customWidth="1"/>
    <col min="11272" max="11272" width="11.7109375" style="1" customWidth="1"/>
    <col min="11273" max="11273" width="12.7109375" style="1" bestFit="1" customWidth="1"/>
    <col min="11274" max="11275" width="13" style="1" bestFit="1" customWidth="1"/>
    <col min="11276" max="11278" width="11.7109375" style="1" customWidth="1"/>
    <col min="11279" max="11279" width="13.7109375" style="1" bestFit="1" customWidth="1"/>
    <col min="11280" max="11282" width="11.7109375" style="1" customWidth="1"/>
    <col min="11283" max="11283" width="9.28515625" style="1" customWidth="1"/>
    <col min="11284" max="11284" width="10.7109375" style="1" bestFit="1" customWidth="1"/>
    <col min="11285" max="11521" width="9.28515625" style="1" customWidth="1"/>
    <col min="11522" max="11522" width="16" style="1" customWidth="1"/>
    <col min="11523" max="11523" width="40.7109375" style="1" bestFit="1" customWidth="1"/>
    <col min="11524" max="11524" width="14.5703125" style="1" bestFit="1" customWidth="1"/>
    <col min="11525" max="11525" width="2.5703125" style="1" bestFit="1" customWidth="1"/>
    <col min="11526" max="11526" width="4.28515625" style="1" customWidth="1"/>
    <col min="11527" max="11527" width="12.7109375" style="1" bestFit="1" customWidth="1"/>
    <col min="11528" max="11528" width="11.7109375" style="1" customWidth="1"/>
    <col min="11529" max="11529" width="12.7109375" style="1" bestFit="1" customWidth="1"/>
    <col min="11530" max="11531" width="13" style="1" bestFit="1" customWidth="1"/>
    <col min="11532" max="11534" width="11.7109375" style="1" customWidth="1"/>
    <col min="11535" max="11535" width="13.7109375" style="1" bestFit="1" customWidth="1"/>
    <col min="11536" max="11538" width="11.7109375" style="1" customWidth="1"/>
    <col min="11539" max="11539" width="9.28515625" style="1" customWidth="1"/>
    <col min="11540" max="11540" width="10.7109375" style="1" bestFit="1" customWidth="1"/>
    <col min="11541" max="11777" width="9.28515625" style="1" customWidth="1"/>
    <col min="11778" max="11778" width="16" style="1" customWidth="1"/>
    <col min="11779" max="11779" width="40.7109375" style="1" bestFit="1" customWidth="1"/>
    <col min="11780" max="11780" width="14.5703125" style="1" bestFit="1" customWidth="1"/>
    <col min="11781" max="11781" width="2.5703125" style="1" bestFit="1" customWidth="1"/>
    <col min="11782" max="11782" width="4.28515625" style="1" customWidth="1"/>
    <col min="11783" max="11783" width="12.7109375" style="1" bestFit="1" customWidth="1"/>
    <col min="11784" max="11784" width="11.7109375" style="1" customWidth="1"/>
    <col min="11785" max="11785" width="12.7109375" style="1" bestFit="1" customWidth="1"/>
    <col min="11786" max="11787" width="13" style="1" bestFit="1" customWidth="1"/>
    <col min="11788" max="11790" width="11.7109375" style="1" customWidth="1"/>
    <col min="11791" max="11791" width="13.7109375" style="1" bestFit="1" customWidth="1"/>
    <col min="11792" max="11794" width="11.7109375" style="1" customWidth="1"/>
    <col min="11795" max="11795" width="9.28515625" style="1" customWidth="1"/>
    <col min="11796" max="11796" width="10.7109375" style="1" bestFit="1" customWidth="1"/>
    <col min="11797" max="12033" width="9.28515625" style="1" customWidth="1"/>
    <col min="12034" max="12034" width="16" style="1" customWidth="1"/>
    <col min="12035" max="12035" width="40.7109375" style="1" bestFit="1" customWidth="1"/>
    <col min="12036" max="12036" width="14.5703125" style="1" bestFit="1" customWidth="1"/>
    <col min="12037" max="12037" width="2.5703125" style="1" bestFit="1" customWidth="1"/>
    <col min="12038" max="12038" width="4.28515625" style="1" customWidth="1"/>
    <col min="12039" max="12039" width="12.7109375" style="1" bestFit="1" customWidth="1"/>
    <col min="12040" max="12040" width="11.7109375" style="1" customWidth="1"/>
    <col min="12041" max="12041" width="12.7109375" style="1" bestFit="1" customWidth="1"/>
    <col min="12042" max="12043" width="13" style="1" bestFit="1" customWidth="1"/>
    <col min="12044" max="12046" width="11.7109375" style="1" customWidth="1"/>
    <col min="12047" max="12047" width="13.7109375" style="1" bestFit="1" customWidth="1"/>
    <col min="12048" max="12050" width="11.7109375" style="1" customWidth="1"/>
    <col min="12051" max="12051" width="9.28515625" style="1" customWidth="1"/>
    <col min="12052" max="12052" width="10.7109375" style="1" bestFit="1" customWidth="1"/>
    <col min="12053" max="12289" width="9.28515625" style="1" customWidth="1"/>
    <col min="12290" max="12290" width="16" style="1" customWidth="1"/>
    <col min="12291" max="12291" width="40.7109375" style="1" bestFit="1" customWidth="1"/>
    <col min="12292" max="12292" width="14.5703125" style="1" bestFit="1" customWidth="1"/>
    <col min="12293" max="12293" width="2.5703125" style="1" bestFit="1" customWidth="1"/>
    <col min="12294" max="12294" width="4.28515625" style="1" customWidth="1"/>
    <col min="12295" max="12295" width="12.7109375" style="1" bestFit="1" customWidth="1"/>
    <col min="12296" max="12296" width="11.7109375" style="1" customWidth="1"/>
    <col min="12297" max="12297" width="12.7109375" style="1" bestFit="1" customWidth="1"/>
    <col min="12298" max="12299" width="13" style="1" bestFit="1" customWidth="1"/>
    <col min="12300" max="12302" width="11.7109375" style="1" customWidth="1"/>
    <col min="12303" max="12303" width="13.7109375" style="1" bestFit="1" customWidth="1"/>
    <col min="12304" max="12306" width="11.7109375" style="1" customWidth="1"/>
    <col min="12307" max="12307" width="9.28515625" style="1" customWidth="1"/>
    <col min="12308" max="12308" width="10.7109375" style="1" bestFit="1" customWidth="1"/>
    <col min="12309" max="12545" width="9.28515625" style="1" customWidth="1"/>
    <col min="12546" max="12546" width="16" style="1" customWidth="1"/>
    <col min="12547" max="12547" width="40.7109375" style="1" bestFit="1" customWidth="1"/>
    <col min="12548" max="12548" width="14.5703125" style="1" bestFit="1" customWidth="1"/>
    <col min="12549" max="12549" width="2.5703125" style="1" bestFit="1" customWidth="1"/>
    <col min="12550" max="12550" width="4.28515625" style="1" customWidth="1"/>
    <col min="12551" max="12551" width="12.7109375" style="1" bestFit="1" customWidth="1"/>
    <col min="12552" max="12552" width="11.7109375" style="1" customWidth="1"/>
    <col min="12553" max="12553" width="12.7109375" style="1" bestFit="1" customWidth="1"/>
    <col min="12554" max="12555" width="13" style="1" bestFit="1" customWidth="1"/>
    <col min="12556" max="12558" width="11.7109375" style="1" customWidth="1"/>
    <col min="12559" max="12559" width="13.7109375" style="1" bestFit="1" customWidth="1"/>
    <col min="12560" max="12562" width="11.7109375" style="1" customWidth="1"/>
    <col min="12563" max="12563" width="9.28515625" style="1" customWidth="1"/>
    <col min="12564" max="12564" width="10.7109375" style="1" bestFit="1" customWidth="1"/>
    <col min="12565" max="12801" width="9.28515625" style="1" customWidth="1"/>
    <col min="12802" max="12802" width="16" style="1" customWidth="1"/>
    <col min="12803" max="12803" width="40.7109375" style="1" bestFit="1" customWidth="1"/>
    <col min="12804" max="12804" width="14.5703125" style="1" bestFit="1" customWidth="1"/>
    <col min="12805" max="12805" width="2.5703125" style="1" bestFit="1" customWidth="1"/>
    <col min="12806" max="12806" width="4.28515625" style="1" customWidth="1"/>
    <col min="12807" max="12807" width="12.7109375" style="1" bestFit="1" customWidth="1"/>
    <col min="12808" max="12808" width="11.7109375" style="1" customWidth="1"/>
    <col min="12809" max="12809" width="12.7109375" style="1" bestFit="1" customWidth="1"/>
    <col min="12810" max="12811" width="13" style="1" bestFit="1" customWidth="1"/>
    <col min="12812" max="12814" width="11.7109375" style="1" customWidth="1"/>
    <col min="12815" max="12815" width="13.7109375" style="1" bestFit="1" customWidth="1"/>
    <col min="12816" max="12818" width="11.7109375" style="1" customWidth="1"/>
    <col min="12819" max="12819" width="9.28515625" style="1" customWidth="1"/>
    <col min="12820" max="12820" width="10.7109375" style="1" bestFit="1" customWidth="1"/>
    <col min="12821" max="13057" width="9.28515625" style="1" customWidth="1"/>
    <col min="13058" max="13058" width="16" style="1" customWidth="1"/>
    <col min="13059" max="13059" width="40.7109375" style="1" bestFit="1" customWidth="1"/>
    <col min="13060" max="13060" width="14.5703125" style="1" bestFit="1" customWidth="1"/>
    <col min="13061" max="13061" width="2.5703125" style="1" bestFit="1" customWidth="1"/>
    <col min="13062" max="13062" width="4.28515625" style="1" customWidth="1"/>
    <col min="13063" max="13063" width="12.7109375" style="1" bestFit="1" customWidth="1"/>
    <col min="13064" max="13064" width="11.7109375" style="1" customWidth="1"/>
    <col min="13065" max="13065" width="12.7109375" style="1" bestFit="1" customWidth="1"/>
    <col min="13066" max="13067" width="13" style="1" bestFit="1" customWidth="1"/>
    <col min="13068" max="13070" width="11.7109375" style="1" customWidth="1"/>
    <col min="13071" max="13071" width="13.7109375" style="1" bestFit="1" customWidth="1"/>
    <col min="13072" max="13074" width="11.7109375" style="1" customWidth="1"/>
    <col min="13075" max="13075" width="9.28515625" style="1" customWidth="1"/>
    <col min="13076" max="13076" width="10.7109375" style="1" bestFit="1" customWidth="1"/>
    <col min="13077" max="13313" width="9.28515625" style="1" customWidth="1"/>
    <col min="13314" max="13314" width="16" style="1" customWidth="1"/>
    <col min="13315" max="13315" width="40.7109375" style="1" bestFit="1" customWidth="1"/>
    <col min="13316" max="13316" width="14.5703125" style="1" bestFit="1" customWidth="1"/>
    <col min="13317" max="13317" width="2.5703125" style="1" bestFit="1" customWidth="1"/>
    <col min="13318" max="13318" width="4.28515625" style="1" customWidth="1"/>
    <col min="13319" max="13319" width="12.7109375" style="1" bestFit="1" customWidth="1"/>
    <col min="13320" max="13320" width="11.7109375" style="1" customWidth="1"/>
    <col min="13321" max="13321" width="12.7109375" style="1" bestFit="1" customWidth="1"/>
    <col min="13322" max="13323" width="13" style="1" bestFit="1" customWidth="1"/>
    <col min="13324" max="13326" width="11.7109375" style="1" customWidth="1"/>
    <col min="13327" max="13327" width="13.7109375" style="1" bestFit="1" customWidth="1"/>
    <col min="13328" max="13330" width="11.7109375" style="1" customWidth="1"/>
    <col min="13331" max="13331" width="9.28515625" style="1" customWidth="1"/>
    <col min="13332" max="13332" width="10.7109375" style="1" bestFit="1" customWidth="1"/>
    <col min="13333" max="13569" width="9.28515625" style="1" customWidth="1"/>
    <col min="13570" max="13570" width="16" style="1" customWidth="1"/>
    <col min="13571" max="13571" width="40.7109375" style="1" bestFit="1" customWidth="1"/>
    <col min="13572" max="13572" width="14.5703125" style="1" bestFit="1" customWidth="1"/>
    <col min="13573" max="13573" width="2.5703125" style="1" bestFit="1" customWidth="1"/>
    <col min="13574" max="13574" width="4.28515625" style="1" customWidth="1"/>
    <col min="13575" max="13575" width="12.7109375" style="1" bestFit="1" customWidth="1"/>
    <col min="13576" max="13576" width="11.7109375" style="1" customWidth="1"/>
    <col min="13577" max="13577" width="12.7109375" style="1" bestFit="1" customWidth="1"/>
    <col min="13578" max="13579" width="13" style="1" bestFit="1" customWidth="1"/>
    <col min="13580" max="13582" width="11.7109375" style="1" customWidth="1"/>
    <col min="13583" max="13583" width="13.7109375" style="1" bestFit="1" customWidth="1"/>
    <col min="13584" max="13586" width="11.7109375" style="1" customWidth="1"/>
    <col min="13587" max="13587" width="9.28515625" style="1" customWidth="1"/>
    <col min="13588" max="13588" width="10.7109375" style="1" bestFit="1" customWidth="1"/>
    <col min="13589" max="13825" width="9.28515625" style="1" customWidth="1"/>
    <col min="13826" max="13826" width="16" style="1" customWidth="1"/>
    <col min="13827" max="13827" width="40.7109375" style="1" bestFit="1" customWidth="1"/>
    <col min="13828" max="13828" width="14.5703125" style="1" bestFit="1" customWidth="1"/>
    <col min="13829" max="13829" width="2.5703125" style="1" bestFit="1" customWidth="1"/>
    <col min="13830" max="13830" width="4.28515625" style="1" customWidth="1"/>
    <col min="13831" max="13831" width="12.7109375" style="1" bestFit="1" customWidth="1"/>
    <col min="13832" max="13832" width="11.7109375" style="1" customWidth="1"/>
    <col min="13833" max="13833" width="12.7109375" style="1" bestFit="1" customWidth="1"/>
    <col min="13834" max="13835" width="13" style="1" bestFit="1" customWidth="1"/>
    <col min="13836" max="13838" width="11.7109375" style="1" customWidth="1"/>
    <col min="13839" max="13839" width="13.7109375" style="1" bestFit="1" customWidth="1"/>
    <col min="13840" max="13842" width="11.7109375" style="1" customWidth="1"/>
    <col min="13843" max="13843" width="9.28515625" style="1" customWidth="1"/>
    <col min="13844" max="13844" width="10.7109375" style="1" bestFit="1" customWidth="1"/>
    <col min="13845" max="14081" width="9.28515625" style="1" customWidth="1"/>
    <col min="14082" max="14082" width="16" style="1" customWidth="1"/>
    <col min="14083" max="14083" width="40.7109375" style="1" bestFit="1" customWidth="1"/>
    <col min="14084" max="14084" width="14.5703125" style="1" bestFit="1" customWidth="1"/>
    <col min="14085" max="14085" width="2.5703125" style="1" bestFit="1" customWidth="1"/>
    <col min="14086" max="14086" width="4.28515625" style="1" customWidth="1"/>
    <col min="14087" max="14087" width="12.7109375" style="1" bestFit="1" customWidth="1"/>
    <col min="14088" max="14088" width="11.7109375" style="1" customWidth="1"/>
    <col min="14089" max="14089" width="12.7109375" style="1" bestFit="1" customWidth="1"/>
    <col min="14090" max="14091" width="13" style="1" bestFit="1" customWidth="1"/>
    <col min="14092" max="14094" width="11.7109375" style="1" customWidth="1"/>
    <col min="14095" max="14095" width="13.7109375" style="1" bestFit="1" customWidth="1"/>
    <col min="14096" max="14098" width="11.7109375" style="1" customWidth="1"/>
    <col min="14099" max="14099" width="9.28515625" style="1" customWidth="1"/>
    <col min="14100" max="14100" width="10.7109375" style="1" bestFit="1" customWidth="1"/>
    <col min="14101" max="14337" width="9.28515625" style="1" customWidth="1"/>
    <col min="14338" max="14338" width="16" style="1" customWidth="1"/>
    <col min="14339" max="14339" width="40.7109375" style="1" bestFit="1" customWidth="1"/>
    <col min="14340" max="14340" width="14.5703125" style="1" bestFit="1" customWidth="1"/>
    <col min="14341" max="14341" width="2.5703125" style="1" bestFit="1" customWidth="1"/>
    <col min="14342" max="14342" width="4.28515625" style="1" customWidth="1"/>
    <col min="14343" max="14343" width="12.7109375" style="1" bestFit="1" customWidth="1"/>
    <col min="14344" max="14344" width="11.7109375" style="1" customWidth="1"/>
    <col min="14345" max="14345" width="12.7109375" style="1" bestFit="1" customWidth="1"/>
    <col min="14346" max="14347" width="13" style="1" bestFit="1" customWidth="1"/>
    <col min="14348" max="14350" width="11.7109375" style="1" customWidth="1"/>
    <col min="14351" max="14351" width="13.7109375" style="1" bestFit="1" customWidth="1"/>
    <col min="14352" max="14354" width="11.7109375" style="1" customWidth="1"/>
    <col min="14355" max="14355" width="9.28515625" style="1" customWidth="1"/>
    <col min="14356" max="14356" width="10.7109375" style="1" bestFit="1" customWidth="1"/>
    <col min="14357" max="14593" width="9.28515625" style="1" customWidth="1"/>
    <col min="14594" max="14594" width="16" style="1" customWidth="1"/>
    <col min="14595" max="14595" width="40.7109375" style="1" bestFit="1" customWidth="1"/>
    <col min="14596" max="14596" width="14.5703125" style="1" bestFit="1" customWidth="1"/>
    <col min="14597" max="14597" width="2.5703125" style="1" bestFit="1" customWidth="1"/>
    <col min="14598" max="14598" width="4.28515625" style="1" customWidth="1"/>
    <col min="14599" max="14599" width="12.7109375" style="1" bestFit="1" customWidth="1"/>
    <col min="14600" max="14600" width="11.7109375" style="1" customWidth="1"/>
    <col min="14601" max="14601" width="12.7109375" style="1" bestFit="1" customWidth="1"/>
    <col min="14602" max="14603" width="13" style="1" bestFit="1" customWidth="1"/>
    <col min="14604" max="14606" width="11.7109375" style="1" customWidth="1"/>
    <col min="14607" max="14607" width="13.7109375" style="1" bestFit="1" customWidth="1"/>
    <col min="14608" max="14610" width="11.7109375" style="1" customWidth="1"/>
    <col min="14611" max="14611" width="9.28515625" style="1" customWidth="1"/>
    <col min="14612" max="14612" width="10.7109375" style="1" bestFit="1" customWidth="1"/>
    <col min="14613" max="14849" width="9.28515625" style="1" customWidth="1"/>
    <col min="14850" max="14850" width="16" style="1" customWidth="1"/>
    <col min="14851" max="14851" width="40.7109375" style="1" bestFit="1" customWidth="1"/>
    <col min="14852" max="14852" width="14.5703125" style="1" bestFit="1" customWidth="1"/>
    <col min="14853" max="14853" width="2.5703125" style="1" bestFit="1" customWidth="1"/>
    <col min="14854" max="14854" width="4.28515625" style="1" customWidth="1"/>
    <col min="14855" max="14855" width="12.7109375" style="1" bestFit="1" customWidth="1"/>
    <col min="14856" max="14856" width="11.7109375" style="1" customWidth="1"/>
    <col min="14857" max="14857" width="12.7109375" style="1" bestFit="1" customWidth="1"/>
    <col min="14858" max="14859" width="13" style="1" bestFit="1" customWidth="1"/>
    <col min="14860" max="14862" width="11.7109375" style="1" customWidth="1"/>
    <col min="14863" max="14863" width="13.7109375" style="1" bestFit="1" customWidth="1"/>
    <col min="14864" max="14866" width="11.7109375" style="1" customWidth="1"/>
    <col min="14867" max="14867" width="9.28515625" style="1" customWidth="1"/>
    <col min="14868" max="14868" width="10.7109375" style="1" bestFit="1" customWidth="1"/>
    <col min="14869" max="15105" width="9.28515625" style="1" customWidth="1"/>
    <col min="15106" max="15106" width="16" style="1" customWidth="1"/>
    <col min="15107" max="15107" width="40.7109375" style="1" bestFit="1" customWidth="1"/>
    <col min="15108" max="15108" width="14.5703125" style="1" bestFit="1" customWidth="1"/>
    <col min="15109" max="15109" width="2.5703125" style="1" bestFit="1" customWidth="1"/>
    <col min="15110" max="15110" width="4.28515625" style="1" customWidth="1"/>
    <col min="15111" max="15111" width="12.7109375" style="1" bestFit="1" customWidth="1"/>
    <col min="15112" max="15112" width="11.7109375" style="1" customWidth="1"/>
    <col min="15113" max="15113" width="12.7109375" style="1" bestFit="1" customWidth="1"/>
    <col min="15114" max="15115" width="13" style="1" bestFit="1" customWidth="1"/>
    <col min="15116" max="15118" width="11.7109375" style="1" customWidth="1"/>
    <col min="15119" max="15119" width="13.7109375" style="1" bestFit="1" customWidth="1"/>
    <col min="15120" max="15122" width="11.7109375" style="1" customWidth="1"/>
    <col min="15123" max="15123" width="9.28515625" style="1" customWidth="1"/>
    <col min="15124" max="15124" width="10.7109375" style="1" bestFit="1" customWidth="1"/>
    <col min="15125" max="15361" width="9.28515625" style="1" customWidth="1"/>
    <col min="15362" max="15362" width="16" style="1" customWidth="1"/>
    <col min="15363" max="15363" width="40.7109375" style="1" bestFit="1" customWidth="1"/>
    <col min="15364" max="15364" width="14.5703125" style="1" bestFit="1" customWidth="1"/>
    <col min="15365" max="15365" width="2.5703125" style="1" bestFit="1" customWidth="1"/>
    <col min="15366" max="15366" width="4.28515625" style="1" customWidth="1"/>
    <col min="15367" max="15367" width="12.7109375" style="1" bestFit="1" customWidth="1"/>
    <col min="15368" max="15368" width="11.7109375" style="1" customWidth="1"/>
    <col min="15369" max="15369" width="12.7109375" style="1" bestFit="1" customWidth="1"/>
    <col min="15370" max="15371" width="13" style="1" bestFit="1" customWidth="1"/>
    <col min="15372" max="15374" width="11.7109375" style="1" customWidth="1"/>
    <col min="15375" max="15375" width="13.7109375" style="1" bestFit="1" customWidth="1"/>
    <col min="15376" max="15378" width="11.7109375" style="1" customWidth="1"/>
    <col min="15379" max="15379" width="9.28515625" style="1" customWidth="1"/>
    <col min="15380" max="15380" width="10.7109375" style="1" bestFit="1" customWidth="1"/>
    <col min="15381" max="15617" width="9.28515625" style="1" customWidth="1"/>
    <col min="15618" max="15618" width="16" style="1" customWidth="1"/>
    <col min="15619" max="15619" width="40.7109375" style="1" bestFit="1" customWidth="1"/>
    <col min="15620" max="15620" width="14.5703125" style="1" bestFit="1" customWidth="1"/>
    <col min="15621" max="15621" width="2.5703125" style="1" bestFit="1" customWidth="1"/>
    <col min="15622" max="15622" width="4.28515625" style="1" customWidth="1"/>
    <col min="15623" max="15623" width="12.7109375" style="1" bestFit="1" customWidth="1"/>
    <col min="15624" max="15624" width="11.7109375" style="1" customWidth="1"/>
    <col min="15625" max="15625" width="12.7109375" style="1" bestFit="1" customWidth="1"/>
    <col min="15626" max="15627" width="13" style="1" bestFit="1" customWidth="1"/>
    <col min="15628" max="15630" width="11.7109375" style="1" customWidth="1"/>
    <col min="15631" max="15631" width="13.7109375" style="1" bestFit="1" customWidth="1"/>
    <col min="15632" max="15634" width="11.7109375" style="1" customWidth="1"/>
    <col min="15635" max="15635" width="9.28515625" style="1" customWidth="1"/>
    <col min="15636" max="15636" width="10.7109375" style="1" bestFit="1" customWidth="1"/>
    <col min="15637" max="15873" width="9.28515625" style="1" customWidth="1"/>
    <col min="15874" max="15874" width="16" style="1" customWidth="1"/>
    <col min="15875" max="15875" width="40.7109375" style="1" bestFit="1" customWidth="1"/>
    <col min="15876" max="15876" width="14.5703125" style="1" bestFit="1" customWidth="1"/>
    <col min="15877" max="15877" width="2.5703125" style="1" bestFit="1" customWidth="1"/>
    <col min="15878" max="15878" width="4.28515625" style="1" customWidth="1"/>
    <col min="15879" max="15879" width="12.7109375" style="1" bestFit="1" customWidth="1"/>
    <col min="15880" max="15880" width="11.7109375" style="1" customWidth="1"/>
    <col min="15881" max="15881" width="12.7109375" style="1" bestFit="1" customWidth="1"/>
    <col min="15882" max="15883" width="13" style="1" bestFit="1" customWidth="1"/>
    <col min="15884" max="15886" width="11.7109375" style="1" customWidth="1"/>
    <col min="15887" max="15887" width="13.7109375" style="1" bestFit="1" customWidth="1"/>
    <col min="15888" max="15890" width="11.7109375" style="1" customWidth="1"/>
    <col min="15891" max="15891" width="9.28515625" style="1" customWidth="1"/>
    <col min="15892" max="15892" width="10.7109375" style="1" bestFit="1" customWidth="1"/>
    <col min="15893" max="16129" width="9.28515625" style="1" customWidth="1"/>
    <col min="16130" max="16130" width="16" style="1" customWidth="1"/>
    <col min="16131" max="16131" width="40.7109375" style="1" bestFit="1" customWidth="1"/>
    <col min="16132" max="16132" width="14.5703125" style="1" bestFit="1" customWidth="1"/>
    <col min="16133" max="16133" width="2.5703125" style="1" bestFit="1" customWidth="1"/>
    <col min="16134" max="16134" width="4.28515625" style="1" customWidth="1"/>
    <col min="16135" max="16135" width="12.7109375" style="1" bestFit="1" customWidth="1"/>
    <col min="16136" max="16136" width="11.7109375" style="1" customWidth="1"/>
    <col min="16137" max="16137" width="12.7109375" style="1" bestFit="1" customWidth="1"/>
    <col min="16138" max="16139" width="13" style="1" bestFit="1" customWidth="1"/>
    <col min="16140" max="16142" width="11.7109375" style="1" customWidth="1"/>
    <col min="16143" max="16143" width="13.7109375" style="1" bestFit="1" customWidth="1"/>
    <col min="16144" max="16146" width="11.7109375" style="1" customWidth="1"/>
    <col min="16147" max="16147" width="9.28515625" style="1" customWidth="1"/>
    <col min="16148" max="16148" width="10.7109375" style="1" bestFit="1" customWidth="1"/>
    <col min="16149" max="16384" width="9.28515625" style="1" customWidth="1"/>
  </cols>
  <sheetData>
    <row r="1" spans="1:42" ht="26.25" x14ac:dyDescent="0.35">
      <c r="A1" s="1391" t="str">
        <f>Grunddaten!E8</f>
        <v>2018</v>
      </c>
      <c r="B1" s="1391"/>
      <c r="C1" s="1391"/>
      <c r="D1" s="1391"/>
      <c r="E1" s="1391"/>
      <c r="F1" s="1392"/>
      <c r="G1" s="1386" t="s">
        <v>969</v>
      </c>
      <c r="H1" s="1386"/>
      <c r="I1" s="1386"/>
      <c r="J1" s="1386"/>
      <c r="K1" s="1386"/>
      <c r="L1" s="1386"/>
      <c r="M1" s="1386"/>
      <c r="N1" s="1386"/>
      <c r="O1" s="1386"/>
      <c r="P1" s="1386"/>
      <c r="Q1" s="1386"/>
      <c r="R1" s="1386"/>
      <c r="S1" s="1387" t="s">
        <v>970</v>
      </c>
      <c r="T1" s="1387"/>
      <c r="U1" s="1387"/>
      <c r="V1" s="1387"/>
      <c r="W1" s="1387"/>
      <c r="X1" s="1387"/>
      <c r="Y1" s="1387"/>
      <c r="Z1" s="1387"/>
      <c r="AA1" s="1387"/>
      <c r="AB1" s="1387"/>
      <c r="AC1" s="1387"/>
      <c r="AD1" s="1387"/>
      <c r="AE1" s="1388" t="s">
        <v>971</v>
      </c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</row>
    <row r="2" spans="1:42" x14ac:dyDescent="0.2">
      <c r="A2" s="723" t="s">
        <v>972</v>
      </c>
      <c r="B2" s="724" t="s">
        <v>789</v>
      </c>
      <c r="C2" s="1059" t="s">
        <v>973</v>
      </c>
      <c r="D2" s="1064"/>
      <c r="E2" s="1389" t="s">
        <v>974</v>
      </c>
      <c r="F2" s="1390"/>
      <c r="G2" s="725" t="s">
        <v>1039</v>
      </c>
      <c r="H2" s="725" t="s">
        <v>1040</v>
      </c>
      <c r="I2" s="725" t="s">
        <v>1041</v>
      </c>
      <c r="J2" s="725" t="s">
        <v>1042</v>
      </c>
      <c r="K2" s="725" t="s">
        <v>1043</v>
      </c>
      <c r="L2" s="725" t="s">
        <v>1044</v>
      </c>
      <c r="M2" s="725" t="s">
        <v>1045</v>
      </c>
      <c r="N2" s="725" t="s">
        <v>1046</v>
      </c>
      <c r="O2" s="725" t="s">
        <v>1047</v>
      </c>
      <c r="P2" s="725" t="s">
        <v>1048</v>
      </c>
      <c r="Q2" s="725" t="s">
        <v>1049</v>
      </c>
      <c r="R2" s="725" t="s">
        <v>1050</v>
      </c>
      <c r="S2" s="725" t="s">
        <v>1039</v>
      </c>
      <c r="T2" s="725" t="s">
        <v>1040</v>
      </c>
      <c r="U2" s="725" t="s">
        <v>1041</v>
      </c>
      <c r="V2" s="725" t="s">
        <v>1042</v>
      </c>
      <c r="W2" s="725" t="s">
        <v>1043</v>
      </c>
      <c r="X2" s="725" t="s">
        <v>1044</v>
      </c>
      <c r="Y2" s="725" t="s">
        <v>1045</v>
      </c>
      <c r="Z2" s="725" t="s">
        <v>1046</v>
      </c>
      <c r="AA2" s="725" t="s">
        <v>1047</v>
      </c>
      <c r="AB2" s="725" t="s">
        <v>1048</v>
      </c>
      <c r="AC2" s="725" t="s">
        <v>1049</v>
      </c>
      <c r="AD2" s="726" t="s">
        <v>1050</v>
      </c>
      <c r="AE2" s="725" t="s">
        <v>1039</v>
      </c>
      <c r="AF2" s="725" t="s">
        <v>1040</v>
      </c>
      <c r="AG2" s="725" t="s">
        <v>1041</v>
      </c>
      <c r="AH2" s="725" t="s">
        <v>1042</v>
      </c>
      <c r="AI2" s="725" t="s">
        <v>1043</v>
      </c>
      <c r="AJ2" s="725" t="s">
        <v>1044</v>
      </c>
      <c r="AK2" s="725" t="s">
        <v>1045</v>
      </c>
      <c r="AL2" s="725" t="s">
        <v>1046</v>
      </c>
      <c r="AM2" s="725" t="s">
        <v>1047</v>
      </c>
      <c r="AN2" s="725" t="s">
        <v>1048</v>
      </c>
      <c r="AO2" s="725" t="s">
        <v>1049</v>
      </c>
      <c r="AP2" s="726" t="s">
        <v>1050</v>
      </c>
    </row>
    <row r="3" spans="1:42" x14ac:dyDescent="0.2">
      <c r="A3" s="727"/>
      <c r="B3" s="1031" t="s">
        <v>987</v>
      </c>
      <c r="C3" s="1060"/>
      <c r="D3" s="1065" t="s">
        <v>988</v>
      </c>
      <c r="E3" s="729"/>
      <c r="F3" s="727"/>
      <c r="G3" s="729" t="str">
        <f>"'" &amp; TEXT(G2,"m") &amp; "'!A:A"</f>
        <v>'Ist Vorjahr Monat 01'!A:A</v>
      </c>
      <c r="H3" s="729" t="str">
        <f t="shared" ref="H3:R3" si="0">"'" &amp; TEXT(H2,"m") &amp; "'!A:A"</f>
        <v>'Ist Vorjahr Monat 02'!A:A</v>
      </c>
      <c r="I3" s="729" t="str">
        <f t="shared" si="0"/>
        <v>'Ist Vorjahr Monat 03'!A:A</v>
      </c>
      <c r="J3" s="729" t="str">
        <f t="shared" si="0"/>
        <v>'Ist Vorjahr Monat 04'!A:A</v>
      </c>
      <c r="K3" s="729" t="str">
        <f t="shared" si="0"/>
        <v>'Ist Vorjahr Monat 05'!A:A</v>
      </c>
      <c r="L3" s="729" t="str">
        <f t="shared" si="0"/>
        <v>'Ist Vorjahr Monat 06'!A:A</v>
      </c>
      <c r="M3" s="729" t="str">
        <f t="shared" si="0"/>
        <v>'Ist Vorjahr Monat 07'!A:A</v>
      </c>
      <c r="N3" s="729" t="str">
        <f t="shared" si="0"/>
        <v>'Ist Vorjahr Monat 08'!A:A</v>
      </c>
      <c r="O3" s="729" t="str">
        <f t="shared" si="0"/>
        <v>'Ist Vorjahr Monat 09'!A:A</v>
      </c>
      <c r="P3" s="729" t="str">
        <f t="shared" si="0"/>
        <v>'Ist Vorjahr Monat 10'!A:A</v>
      </c>
      <c r="Q3" s="729" t="str">
        <f t="shared" si="0"/>
        <v>'Ist Vorjahr Monat 11'!A:A</v>
      </c>
      <c r="R3" s="729" t="str">
        <f t="shared" si="0"/>
        <v>'Ist Vorjahr Monat 12'!A:A</v>
      </c>
      <c r="S3" s="729" t="str">
        <f>"'" &amp; TEXT(S2,"m") &amp; "'!A:A"</f>
        <v>'Ist Vorjahr Monat 01'!A:A</v>
      </c>
      <c r="T3" s="729" t="str">
        <f t="shared" ref="T3:AD3" si="1">"'" &amp; TEXT(T2,"m") &amp; "'!A:A"</f>
        <v>'Ist Vorjahr Monat 02'!A:A</v>
      </c>
      <c r="U3" s="729" t="str">
        <f t="shared" si="1"/>
        <v>'Ist Vorjahr Monat 03'!A:A</v>
      </c>
      <c r="V3" s="729" t="str">
        <f t="shared" si="1"/>
        <v>'Ist Vorjahr Monat 04'!A:A</v>
      </c>
      <c r="W3" s="729" t="str">
        <f t="shared" si="1"/>
        <v>'Ist Vorjahr Monat 05'!A:A</v>
      </c>
      <c r="X3" s="729" t="str">
        <f t="shared" si="1"/>
        <v>'Ist Vorjahr Monat 06'!A:A</v>
      </c>
      <c r="Y3" s="729" t="str">
        <f t="shared" si="1"/>
        <v>'Ist Vorjahr Monat 07'!A:A</v>
      </c>
      <c r="Z3" s="729" t="str">
        <f t="shared" si="1"/>
        <v>'Ist Vorjahr Monat 08'!A:A</v>
      </c>
      <c r="AA3" s="729" t="str">
        <f t="shared" si="1"/>
        <v>'Ist Vorjahr Monat 09'!A:A</v>
      </c>
      <c r="AB3" s="729" t="str">
        <f t="shared" si="1"/>
        <v>'Ist Vorjahr Monat 10'!A:A</v>
      </c>
      <c r="AC3" s="729" t="str">
        <f t="shared" si="1"/>
        <v>'Ist Vorjahr Monat 11'!A:A</v>
      </c>
      <c r="AD3" s="729" t="str">
        <f t="shared" si="1"/>
        <v>'Ist Vorjahr Monat 12'!A:A</v>
      </c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</row>
    <row r="4" spans="1:42" x14ac:dyDescent="0.2">
      <c r="A4" s="727"/>
      <c r="B4" s="728" t="s">
        <v>989</v>
      </c>
      <c r="C4" s="1061"/>
      <c r="D4" s="1066" t="s">
        <v>990</v>
      </c>
      <c r="E4" s="729"/>
      <c r="F4" s="727"/>
      <c r="G4" s="729" t="str">
        <f>"'" &amp; TEXT(G2,"m") &amp; "'!J:J"</f>
        <v>'Ist Vorjahr Monat 01'!J:J</v>
      </c>
      <c r="H4" s="729" t="str">
        <f t="shared" ref="H4:R4" si="2">"'" &amp; TEXT(H2,"m") &amp; "'!J:J"</f>
        <v>'Ist Vorjahr Monat 02'!J:J</v>
      </c>
      <c r="I4" s="729" t="str">
        <f t="shared" si="2"/>
        <v>'Ist Vorjahr Monat 03'!J:J</v>
      </c>
      <c r="J4" s="729" t="str">
        <f t="shared" si="2"/>
        <v>'Ist Vorjahr Monat 04'!J:J</v>
      </c>
      <c r="K4" s="729" t="str">
        <f t="shared" si="2"/>
        <v>'Ist Vorjahr Monat 05'!J:J</v>
      </c>
      <c r="L4" s="729" t="str">
        <f t="shared" si="2"/>
        <v>'Ist Vorjahr Monat 06'!J:J</v>
      </c>
      <c r="M4" s="729" t="str">
        <f t="shared" si="2"/>
        <v>'Ist Vorjahr Monat 07'!J:J</v>
      </c>
      <c r="N4" s="729" t="str">
        <f t="shared" si="2"/>
        <v>'Ist Vorjahr Monat 08'!J:J</v>
      </c>
      <c r="O4" s="729" t="str">
        <f t="shared" si="2"/>
        <v>'Ist Vorjahr Monat 09'!J:J</v>
      </c>
      <c r="P4" s="729" t="str">
        <f t="shared" si="2"/>
        <v>'Ist Vorjahr Monat 10'!J:J</v>
      </c>
      <c r="Q4" s="729" t="str">
        <f t="shared" si="2"/>
        <v>'Ist Vorjahr Monat 11'!J:J</v>
      </c>
      <c r="R4" s="729" t="str">
        <f t="shared" si="2"/>
        <v>'Ist Vorjahr Monat 12'!J:J</v>
      </c>
      <c r="S4" s="729" t="str">
        <f>"'" &amp; TEXT(S2,"m") &amp; "'!L:L"</f>
        <v>'Ist Vorjahr Monat 01'!L:L</v>
      </c>
      <c r="T4" s="729" t="str">
        <f t="shared" ref="T4:AD4" si="3">"'" &amp; TEXT(T2,"m") &amp; "'!L:L"</f>
        <v>'Ist Vorjahr Monat 02'!L:L</v>
      </c>
      <c r="U4" s="729" t="str">
        <f t="shared" si="3"/>
        <v>'Ist Vorjahr Monat 03'!L:L</v>
      </c>
      <c r="V4" s="729" t="str">
        <f t="shared" si="3"/>
        <v>'Ist Vorjahr Monat 04'!L:L</v>
      </c>
      <c r="W4" s="729" t="str">
        <f t="shared" si="3"/>
        <v>'Ist Vorjahr Monat 05'!L:L</v>
      </c>
      <c r="X4" s="729" t="str">
        <f t="shared" si="3"/>
        <v>'Ist Vorjahr Monat 06'!L:L</v>
      </c>
      <c r="Y4" s="729" t="str">
        <f t="shared" si="3"/>
        <v>'Ist Vorjahr Monat 07'!L:L</v>
      </c>
      <c r="Z4" s="729" t="str">
        <f t="shared" si="3"/>
        <v>'Ist Vorjahr Monat 08'!L:L</v>
      </c>
      <c r="AA4" s="729" t="str">
        <f t="shared" si="3"/>
        <v>'Ist Vorjahr Monat 09'!L:L</v>
      </c>
      <c r="AB4" s="729" t="str">
        <f t="shared" si="3"/>
        <v>'Ist Vorjahr Monat 10'!L:L</v>
      </c>
      <c r="AC4" s="729" t="str">
        <f t="shared" si="3"/>
        <v>'Ist Vorjahr Monat 11'!L:L</v>
      </c>
      <c r="AD4" s="729" t="str">
        <f t="shared" si="3"/>
        <v>'Ist Vorjahr Monat 12'!L:L</v>
      </c>
      <c r="AE4" s="729" t="str">
        <f>"'" &amp; TEXT(AE2,"m") &amp; "'!J:J"</f>
        <v>'Ist Vorjahr Monat 01'!J:J</v>
      </c>
      <c r="AF4" s="729" t="str">
        <f t="shared" ref="AF4:AP4" si="4">"'" &amp; TEXT(AF2,"m") &amp; "'!J:J"</f>
        <v>'Ist Vorjahr Monat 02'!J:J</v>
      </c>
      <c r="AG4" s="729" t="str">
        <f t="shared" si="4"/>
        <v>'Ist Vorjahr Monat 03'!J:J</v>
      </c>
      <c r="AH4" s="729" t="str">
        <f t="shared" si="4"/>
        <v>'Ist Vorjahr Monat 04'!J:J</v>
      </c>
      <c r="AI4" s="729" t="str">
        <f t="shared" si="4"/>
        <v>'Ist Vorjahr Monat 05'!J:J</v>
      </c>
      <c r="AJ4" s="729" t="str">
        <f t="shared" si="4"/>
        <v>'Ist Vorjahr Monat 06'!J:J</v>
      </c>
      <c r="AK4" s="729" t="str">
        <f t="shared" si="4"/>
        <v>'Ist Vorjahr Monat 07'!J:J</v>
      </c>
      <c r="AL4" s="729" t="str">
        <f t="shared" si="4"/>
        <v>'Ist Vorjahr Monat 08'!J:J</v>
      </c>
      <c r="AM4" s="729" t="str">
        <f t="shared" si="4"/>
        <v>'Ist Vorjahr Monat 09'!J:J</v>
      </c>
      <c r="AN4" s="729" t="str">
        <f t="shared" si="4"/>
        <v>'Ist Vorjahr Monat 10'!J:J</v>
      </c>
      <c r="AO4" s="729" t="str">
        <f t="shared" si="4"/>
        <v>'Ist Vorjahr Monat 11'!J:J</v>
      </c>
      <c r="AP4" s="729" t="str">
        <f t="shared" si="4"/>
        <v>'Ist Vorjahr Monat 12'!J:J</v>
      </c>
    </row>
    <row r="5" spans="1:42" x14ac:dyDescent="0.2">
      <c r="A5" s="727"/>
      <c r="B5" s="728" t="s">
        <v>989</v>
      </c>
      <c r="C5" s="1061"/>
      <c r="D5" s="1066" t="s">
        <v>991</v>
      </c>
      <c r="E5" s="729"/>
      <c r="F5" s="727"/>
      <c r="G5" s="729" t="str">
        <f>"'" &amp; TEXT(G2,"m") &amp; "'!I:I"</f>
        <v>'Ist Vorjahr Monat 01'!I:I</v>
      </c>
      <c r="H5" s="729" t="str">
        <f t="shared" ref="H5:R5" si="5">"'" &amp; TEXT(H2,"m") &amp; "'!I:I"</f>
        <v>'Ist Vorjahr Monat 02'!I:I</v>
      </c>
      <c r="I5" s="729" t="str">
        <f t="shared" si="5"/>
        <v>'Ist Vorjahr Monat 03'!I:I</v>
      </c>
      <c r="J5" s="729" t="str">
        <f t="shared" si="5"/>
        <v>'Ist Vorjahr Monat 04'!I:I</v>
      </c>
      <c r="K5" s="729" t="str">
        <f t="shared" si="5"/>
        <v>'Ist Vorjahr Monat 05'!I:I</v>
      </c>
      <c r="L5" s="729" t="str">
        <f t="shared" si="5"/>
        <v>'Ist Vorjahr Monat 06'!I:I</v>
      </c>
      <c r="M5" s="729" t="str">
        <f t="shared" si="5"/>
        <v>'Ist Vorjahr Monat 07'!I:I</v>
      </c>
      <c r="N5" s="729" t="str">
        <f t="shared" si="5"/>
        <v>'Ist Vorjahr Monat 08'!I:I</v>
      </c>
      <c r="O5" s="729" t="str">
        <f t="shared" si="5"/>
        <v>'Ist Vorjahr Monat 09'!I:I</v>
      </c>
      <c r="P5" s="729" t="str">
        <f t="shared" si="5"/>
        <v>'Ist Vorjahr Monat 10'!I:I</v>
      </c>
      <c r="Q5" s="729" t="str">
        <f t="shared" si="5"/>
        <v>'Ist Vorjahr Monat 11'!I:I</v>
      </c>
      <c r="R5" s="729" t="str">
        <f t="shared" si="5"/>
        <v>'Ist Vorjahr Monat 12'!I:I</v>
      </c>
      <c r="S5" s="729" t="str">
        <f>"'" &amp; TEXT(S2,"m") &amp; "'!K:K"</f>
        <v>'Ist Vorjahr Monat 01'!K:K</v>
      </c>
      <c r="T5" s="729" t="str">
        <f t="shared" ref="T5:AD5" si="6">"'" &amp; TEXT(T2,"m") &amp; "'!K:K"</f>
        <v>'Ist Vorjahr Monat 02'!K:K</v>
      </c>
      <c r="U5" s="729" t="str">
        <f t="shared" si="6"/>
        <v>'Ist Vorjahr Monat 03'!K:K</v>
      </c>
      <c r="V5" s="729" t="str">
        <f t="shared" si="6"/>
        <v>'Ist Vorjahr Monat 04'!K:K</v>
      </c>
      <c r="W5" s="729" t="str">
        <f t="shared" si="6"/>
        <v>'Ist Vorjahr Monat 05'!K:K</v>
      </c>
      <c r="X5" s="729" t="str">
        <f t="shared" si="6"/>
        <v>'Ist Vorjahr Monat 06'!K:K</v>
      </c>
      <c r="Y5" s="729" t="str">
        <f t="shared" si="6"/>
        <v>'Ist Vorjahr Monat 07'!K:K</v>
      </c>
      <c r="Z5" s="729" t="str">
        <f t="shared" si="6"/>
        <v>'Ist Vorjahr Monat 08'!K:K</v>
      </c>
      <c r="AA5" s="729" t="str">
        <f t="shared" si="6"/>
        <v>'Ist Vorjahr Monat 09'!K:K</v>
      </c>
      <c r="AB5" s="729" t="str">
        <f t="shared" si="6"/>
        <v>'Ist Vorjahr Monat 10'!K:K</v>
      </c>
      <c r="AC5" s="729" t="str">
        <f t="shared" si="6"/>
        <v>'Ist Vorjahr Monat 11'!K:K</v>
      </c>
      <c r="AD5" s="729" t="str">
        <f t="shared" si="6"/>
        <v>'Ist Vorjahr Monat 12'!K:K</v>
      </c>
      <c r="AE5" s="729" t="str">
        <f>"'" &amp; TEXT(AE2,"m") &amp; "'!I:I"</f>
        <v>'Ist Vorjahr Monat 01'!I:I</v>
      </c>
      <c r="AF5" s="729" t="str">
        <f t="shared" ref="AF5:AP5" si="7">"'" &amp; TEXT(AF2,"m") &amp; "'!I:I"</f>
        <v>'Ist Vorjahr Monat 02'!I:I</v>
      </c>
      <c r="AG5" s="729" t="str">
        <f t="shared" si="7"/>
        <v>'Ist Vorjahr Monat 03'!I:I</v>
      </c>
      <c r="AH5" s="729" t="str">
        <f t="shared" si="7"/>
        <v>'Ist Vorjahr Monat 04'!I:I</v>
      </c>
      <c r="AI5" s="729" t="str">
        <f t="shared" si="7"/>
        <v>'Ist Vorjahr Monat 05'!I:I</v>
      </c>
      <c r="AJ5" s="729" t="str">
        <f t="shared" si="7"/>
        <v>'Ist Vorjahr Monat 06'!I:I</v>
      </c>
      <c r="AK5" s="729" t="str">
        <f t="shared" si="7"/>
        <v>'Ist Vorjahr Monat 07'!I:I</v>
      </c>
      <c r="AL5" s="729" t="str">
        <f t="shared" si="7"/>
        <v>'Ist Vorjahr Monat 08'!I:I</v>
      </c>
      <c r="AM5" s="729" t="str">
        <f t="shared" si="7"/>
        <v>'Ist Vorjahr Monat 09'!I:I</v>
      </c>
      <c r="AN5" s="729" t="str">
        <f t="shared" si="7"/>
        <v>'Ist Vorjahr Monat 10'!I:I</v>
      </c>
      <c r="AO5" s="729" t="str">
        <f t="shared" si="7"/>
        <v>'Ist Vorjahr Monat 11'!I:I</v>
      </c>
      <c r="AP5" s="729" t="str">
        <f t="shared" si="7"/>
        <v>'Ist Vorjahr Monat 12'!I:I</v>
      </c>
    </row>
    <row r="6" spans="1:42" x14ac:dyDescent="0.2">
      <c r="A6" s="727"/>
      <c r="B6" s="728" t="s">
        <v>322</v>
      </c>
      <c r="C6" s="1061"/>
      <c r="D6" s="1066" t="s">
        <v>992</v>
      </c>
      <c r="E6" s="729"/>
      <c r="F6" s="727"/>
      <c r="G6" s="729" t="str">
        <f>"'" &amp; TEXT(G2,"m") &amp; "'!A:H"</f>
        <v>'Ist Vorjahr Monat 01'!A:H</v>
      </c>
      <c r="H6" s="729" t="str">
        <f t="shared" ref="H6:R6" si="8">"'" &amp; TEXT(H2,"m") &amp; "'!A:H"</f>
        <v>'Ist Vorjahr Monat 02'!A:H</v>
      </c>
      <c r="I6" s="729" t="str">
        <f t="shared" si="8"/>
        <v>'Ist Vorjahr Monat 03'!A:H</v>
      </c>
      <c r="J6" s="729" t="str">
        <f t="shared" si="8"/>
        <v>'Ist Vorjahr Monat 04'!A:H</v>
      </c>
      <c r="K6" s="729" t="str">
        <f t="shared" si="8"/>
        <v>'Ist Vorjahr Monat 05'!A:H</v>
      </c>
      <c r="L6" s="729" t="str">
        <f t="shared" si="8"/>
        <v>'Ist Vorjahr Monat 06'!A:H</v>
      </c>
      <c r="M6" s="729" t="str">
        <f t="shared" si="8"/>
        <v>'Ist Vorjahr Monat 07'!A:H</v>
      </c>
      <c r="N6" s="729" t="str">
        <f t="shared" si="8"/>
        <v>'Ist Vorjahr Monat 08'!A:H</v>
      </c>
      <c r="O6" s="729" t="str">
        <f t="shared" si="8"/>
        <v>'Ist Vorjahr Monat 09'!A:H</v>
      </c>
      <c r="P6" s="729" t="str">
        <f t="shared" si="8"/>
        <v>'Ist Vorjahr Monat 10'!A:H</v>
      </c>
      <c r="Q6" s="729" t="str">
        <f t="shared" si="8"/>
        <v>'Ist Vorjahr Monat 11'!A:H</v>
      </c>
      <c r="R6" s="729" t="str">
        <f t="shared" si="8"/>
        <v>'Ist Vorjahr Monat 12'!A:H</v>
      </c>
      <c r="S6" s="729" t="str">
        <f>"'" &amp; TEXT(S2,"m") &amp; "'!A:H"</f>
        <v>'Ist Vorjahr Monat 01'!A:H</v>
      </c>
      <c r="T6" s="729" t="str">
        <f t="shared" ref="T6:AD6" si="9">"'" &amp; TEXT(T2,"m") &amp; "'!A:H"</f>
        <v>'Ist Vorjahr Monat 02'!A:H</v>
      </c>
      <c r="U6" s="729" t="str">
        <f t="shared" si="9"/>
        <v>'Ist Vorjahr Monat 03'!A:H</v>
      </c>
      <c r="V6" s="729" t="str">
        <f t="shared" si="9"/>
        <v>'Ist Vorjahr Monat 04'!A:H</v>
      </c>
      <c r="W6" s="729" t="str">
        <f t="shared" si="9"/>
        <v>'Ist Vorjahr Monat 05'!A:H</v>
      </c>
      <c r="X6" s="729" t="str">
        <f t="shared" si="9"/>
        <v>'Ist Vorjahr Monat 06'!A:H</v>
      </c>
      <c r="Y6" s="729" t="str">
        <f t="shared" si="9"/>
        <v>'Ist Vorjahr Monat 07'!A:H</v>
      </c>
      <c r="Z6" s="729" t="str">
        <f t="shared" si="9"/>
        <v>'Ist Vorjahr Monat 08'!A:H</v>
      </c>
      <c r="AA6" s="729" t="str">
        <f t="shared" si="9"/>
        <v>'Ist Vorjahr Monat 09'!A:H</v>
      </c>
      <c r="AB6" s="729" t="str">
        <f t="shared" si="9"/>
        <v>'Ist Vorjahr Monat 10'!A:H</v>
      </c>
      <c r="AC6" s="729" t="str">
        <f t="shared" si="9"/>
        <v>'Ist Vorjahr Monat 11'!A:H</v>
      </c>
      <c r="AD6" s="729" t="str">
        <f t="shared" si="9"/>
        <v>'Ist Vorjahr Monat 12'!A:H</v>
      </c>
      <c r="AE6" s="729" t="str">
        <f>"'" &amp; TEXT(AE2,"m") &amp; "'!A:H"</f>
        <v>'Ist Vorjahr Monat 01'!A:H</v>
      </c>
      <c r="AF6" s="729" t="str">
        <f t="shared" ref="AF6:AP6" si="10">"'" &amp; TEXT(AF2,"m") &amp; "'!A:H"</f>
        <v>'Ist Vorjahr Monat 02'!A:H</v>
      </c>
      <c r="AG6" s="729" t="str">
        <f t="shared" si="10"/>
        <v>'Ist Vorjahr Monat 03'!A:H</v>
      </c>
      <c r="AH6" s="729" t="str">
        <f t="shared" si="10"/>
        <v>'Ist Vorjahr Monat 04'!A:H</v>
      </c>
      <c r="AI6" s="729" t="str">
        <f t="shared" si="10"/>
        <v>'Ist Vorjahr Monat 05'!A:H</v>
      </c>
      <c r="AJ6" s="729" t="str">
        <f t="shared" si="10"/>
        <v>'Ist Vorjahr Monat 06'!A:H</v>
      </c>
      <c r="AK6" s="729" t="str">
        <f t="shared" si="10"/>
        <v>'Ist Vorjahr Monat 07'!A:H</v>
      </c>
      <c r="AL6" s="729" t="str">
        <f t="shared" si="10"/>
        <v>'Ist Vorjahr Monat 08'!A:H</v>
      </c>
      <c r="AM6" s="729" t="str">
        <f t="shared" si="10"/>
        <v>'Ist Vorjahr Monat 09'!A:H</v>
      </c>
      <c r="AN6" s="729" t="str">
        <f t="shared" si="10"/>
        <v>'Ist Vorjahr Monat 10'!A:H</v>
      </c>
      <c r="AO6" s="729" t="str">
        <f t="shared" si="10"/>
        <v>'Ist Vorjahr Monat 11'!A:H</v>
      </c>
      <c r="AP6" s="729" t="str">
        <f t="shared" si="10"/>
        <v>'Ist Vorjahr Monat 12'!A:H</v>
      </c>
    </row>
    <row r="7" spans="1:42" x14ac:dyDescent="0.2">
      <c r="A7" s="727"/>
      <c r="B7" s="728" t="s">
        <v>348</v>
      </c>
      <c r="C7" s="1061"/>
      <c r="D7" s="1066" t="s">
        <v>993</v>
      </c>
      <c r="E7" s="729"/>
      <c r="F7" s="727"/>
      <c r="G7" s="729" t="str">
        <f>"'" &amp; TEXT(G2,"m") &amp; "'!L:L"</f>
        <v>'Ist Vorjahr Monat 01'!L:L</v>
      </c>
      <c r="H7" s="729" t="str">
        <f t="shared" ref="H7:R7" si="11">"'" &amp; TEXT(H2,"m") &amp; "'!L:L"</f>
        <v>'Ist Vorjahr Monat 02'!L:L</v>
      </c>
      <c r="I7" s="729" t="str">
        <f t="shared" si="11"/>
        <v>'Ist Vorjahr Monat 03'!L:L</v>
      </c>
      <c r="J7" s="729" t="str">
        <f t="shared" si="11"/>
        <v>'Ist Vorjahr Monat 04'!L:L</v>
      </c>
      <c r="K7" s="729" t="str">
        <f t="shared" si="11"/>
        <v>'Ist Vorjahr Monat 05'!L:L</v>
      </c>
      <c r="L7" s="729" t="str">
        <f t="shared" si="11"/>
        <v>'Ist Vorjahr Monat 06'!L:L</v>
      </c>
      <c r="M7" s="729" t="str">
        <f t="shared" si="11"/>
        <v>'Ist Vorjahr Monat 07'!L:L</v>
      </c>
      <c r="N7" s="729" t="str">
        <f t="shared" si="11"/>
        <v>'Ist Vorjahr Monat 08'!L:L</v>
      </c>
      <c r="O7" s="729" t="str">
        <f t="shared" si="11"/>
        <v>'Ist Vorjahr Monat 09'!L:L</v>
      </c>
      <c r="P7" s="729" t="str">
        <f t="shared" si="11"/>
        <v>'Ist Vorjahr Monat 10'!L:L</v>
      </c>
      <c r="Q7" s="729" t="str">
        <f t="shared" si="11"/>
        <v>'Ist Vorjahr Monat 11'!L:L</v>
      </c>
      <c r="R7" s="729" t="str">
        <f t="shared" si="11"/>
        <v>'Ist Vorjahr Monat 12'!L:L</v>
      </c>
      <c r="S7" s="729" t="str">
        <f>"'" &amp; TEXT(S2,"m") &amp; "'!L:L"</f>
        <v>'Ist Vorjahr Monat 01'!L:L</v>
      </c>
      <c r="T7" s="729" t="str">
        <f t="shared" ref="T7:AD7" si="12">"'" &amp; TEXT(T2,"m") &amp; "'!L:L"</f>
        <v>'Ist Vorjahr Monat 02'!L:L</v>
      </c>
      <c r="U7" s="729" t="str">
        <f t="shared" si="12"/>
        <v>'Ist Vorjahr Monat 03'!L:L</v>
      </c>
      <c r="V7" s="729" t="str">
        <f t="shared" si="12"/>
        <v>'Ist Vorjahr Monat 04'!L:L</v>
      </c>
      <c r="W7" s="729" t="str">
        <f t="shared" si="12"/>
        <v>'Ist Vorjahr Monat 05'!L:L</v>
      </c>
      <c r="X7" s="729" t="str">
        <f t="shared" si="12"/>
        <v>'Ist Vorjahr Monat 06'!L:L</v>
      </c>
      <c r="Y7" s="729" t="str">
        <f t="shared" si="12"/>
        <v>'Ist Vorjahr Monat 07'!L:L</v>
      </c>
      <c r="Z7" s="729" t="str">
        <f t="shared" si="12"/>
        <v>'Ist Vorjahr Monat 08'!L:L</v>
      </c>
      <c r="AA7" s="729" t="str">
        <f t="shared" si="12"/>
        <v>'Ist Vorjahr Monat 09'!L:L</v>
      </c>
      <c r="AB7" s="729" t="str">
        <f t="shared" si="12"/>
        <v>'Ist Vorjahr Monat 10'!L:L</v>
      </c>
      <c r="AC7" s="729" t="str">
        <f t="shared" si="12"/>
        <v>'Ist Vorjahr Monat 11'!L:L</v>
      </c>
      <c r="AD7" s="729" t="str">
        <f t="shared" si="12"/>
        <v>'Ist Vorjahr Monat 12'!L:L</v>
      </c>
      <c r="AE7" s="729" t="str">
        <f>"'" &amp; TEXT(AE2,"m") &amp; "'!L:L"</f>
        <v>'Ist Vorjahr Monat 01'!L:L</v>
      </c>
      <c r="AF7" s="729" t="str">
        <f t="shared" ref="AF7:AP7" si="13">"'" &amp; TEXT(AF2,"m") &amp; "'!L:L"</f>
        <v>'Ist Vorjahr Monat 02'!L:L</v>
      </c>
      <c r="AG7" s="729" t="str">
        <f t="shared" si="13"/>
        <v>'Ist Vorjahr Monat 03'!L:L</v>
      </c>
      <c r="AH7" s="729" t="str">
        <f t="shared" si="13"/>
        <v>'Ist Vorjahr Monat 04'!L:L</v>
      </c>
      <c r="AI7" s="729" t="str">
        <f t="shared" si="13"/>
        <v>'Ist Vorjahr Monat 05'!L:L</v>
      </c>
      <c r="AJ7" s="729" t="str">
        <f t="shared" si="13"/>
        <v>'Ist Vorjahr Monat 06'!L:L</v>
      </c>
      <c r="AK7" s="729" t="str">
        <f t="shared" si="13"/>
        <v>'Ist Vorjahr Monat 07'!L:L</v>
      </c>
      <c r="AL7" s="729" t="str">
        <f t="shared" si="13"/>
        <v>'Ist Vorjahr Monat 08'!L:L</v>
      </c>
      <c r="AM7" s="729" t="str">
        <f t="shared" si="13"/>
        <v>'Ist Vorjahr Monat 09'!L:L</v>
      </c>
      <c r="AN7" s="729" t="str">
        <f t="shared" si="13"/>
        <v>'Ist Vorjahr Monat 10'!L:L</v>
      </c>
      <c r="AO7" s="729" t="str">
        <f t="shared" si="13"/>
        <v>'Ist Vorjahr Monat 11'!L:L</v>
      </c>
      <c r="AP7" s="729" t="str">
        <f t="shared" si="13"/>
        <v>'Ist Vorjahr Monat 12'!L:L</v>
      </c>
    </row>
    <row r="8" spans="1:42" x14ac:dyDescent="0.2">
      <c r="A8" s="727"/>
      <c r="B8" s="1031" t="s">
        <v>994</v>
      </c>
      <c r="C8" s="1060"/>
      <c r="D8" s="1065" t="s">
        <v>995</v>
      </c>
      <c r="E8" s="729"/>
      <c r="F8" s="727"/>
      <c r="G8" s="729" t="str">
        <f>"'" &amp; TEXT(G2,"m") &amp; "'!F:F"</f>
        <v>'Ist Vorjahr Monat 01'!F:F</v>
      </c>
      <c r="H8" s="729" t="str">
        <f t="shared" ref="H8:R8" si="14">"'" &amp; TEXT(H2,"m") &amp; "'!F:F"</f>
        <v>'Ist Vorjahr Monat 02'!F:F</v>
      </c>
      <c r="I8" s="729" t="str">
        <f t="shared" si="14"/>
        <v>'Ist Vorjahr Monat 03'!F:F</v>
      </c>
      <c r="J8" s="729" t="str">
        <f t="shared" si="14"/>
        <v>'Ist Vorjahr Monat 04'!F:F</v>
      </c>
      <c r="K8" s="729" t="str">
        <f t="shared" si="14"/>
        <v>'Ist Vorjahr Monat 05'!F:F</v>
      </c>
      <c r="L8" s="729" t="str">
        <f t="shared" si="14"/>
        <v>'Ist Vorjahr Monat 06'!F:F</v>
      </c>
      <c r="M8" s="729" t="str">
        <f t="shared" si="14"/>
        <v>'Ist Vorjahr Monat 07'!F:F</v>
      </c>
      <c r="N8" s="729" t="str">
        <f t="shared" si="14"/>
        <v>'Ist Vorjahr Monat 08'!F:F</v>
      </c>
      <c r="O8" s="729" t="str">
        <f t="shared" si="14"/>
        <v>'Ist Vorjahr Monat 09'!F:F</v>
      </c>
      <c r="P8" s="729" t="str">
        <f t="shared" si="14"/>
        <v>'Ist Vorjahr Monat 10'!F:F</v>
      </c>
      <c r="Q8" s="729" t="str">
        <f t="shared" si="14"/>
        <v>'Ist Vorjahr Monat 11'!F:F</v>
      </c>
      <c r="R8" s="729" t="str">
        <f t="shared" si="14"/>
        <v>'Ist Vorjahr Monat 12'!F:F</v>
      </c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</row>
    <row r="9" spans="1:42" s="589" customFormat="1" x14ac:dyDescent="0.2">
      <c r="A9" s="585">
        <v>1</v>
      </c>
      <c r="B9" s="586" t="s">
        <v>932</v>
      </c>
      <c r="C9" s="587">
        <f ca="1">SUM(G9:R9)</f>
        <v>176505.38</v>
      </c>
      <c r="D9" s="587"/>
      <c r="E9" s="588"/>
      <c r="F9" s="585"/>
      <c r="G9" s="587">
        <f t="shared" ref="G9:AP9" ca="1" si="15">SUM(G10:G25)</f>
        <v>10751.77</v>
      </c>
      <c r="H9" s="587">
        <f t="shared" ca="1" si="15"/>
        <v>12178.650000000001</v>
      </c>
      <c r="I9" s="587">
        <f t="shared" ca="1" si="15"/>
        <v>6981.5300000000007</v>
      </c>
      <c r="J9" s="587">
        <f t="shared" ca="1" si="15"/>
        <v>13432.21</v>
      </c>
      <c r="K9" s="587">
        <f t="shared" ca="1" si="15"/>
        <v>7765.1100000000006</v>
      </c>
      <c r="L9" s="587">
        <f t="shared" ca="1" si="15"/>
        <v>11085.01</v>
      </c>
      <c r="M9" s="587">
        <f t="shared" ca="1" si="15"/>
        <v>50778.380000000005</v>
      </c>
      <c r="N9" s="587">
        <f t="shared" ca="1" si="15"/>
        <v>20043.71</v>
      </c>
      <c r="O9" s="587">
        <f t="shared" ca="1" si="15"/>
        <v>10928.890000000001</v>
      </c>
      <c r="P9" s="587">
        <f t="shared" ca="1" si="15"/>
        <v>32560.12</v>
      </c>
      <c r="Q9" s="587">
        <f t="shared" ca="1" si="15"/>
        <v>0</v>
      </c>
      <c r="R9" s="587">
        <f t="shared" ca="1" si="15"/>
        <v>0</v>
      </c>
      <c r="S9" s="587">
        <f t="shared" ca="1" si="15"/>
        <v>10751.77</v>
      </c>
      <c r="T9" s="587">
        <f t="shared" ca="1" si="15"/>
        <v>22930.42</v>
      </c>
      <c r="U9" s="587">
        <f t="shared" ca="1" si="15"/>
        <v>29911.949999999997</v>
      </c>
      <c r="V9" s="587">
        <f t="shared" ca="1" si="15"/>
        <v>43344.159999999996</v>
      </c>
      <c r="W9" s="587">
        <f t="shared" ca="1" si="15"/>
        <v>51109.27</v>
      </c>
      <c r="X9" s="587">
        <f t="shared" ca="1" si="15"/>
        <v>62194.280000000006</v>
      </c>
      <c r="Y9" s="587">
        <f t="shared" ca="1" si="15"/>
        <v>112972.66</v>
      </c>
      <c r="Z9" s="587">
        <f t="shared" ca="1" si="15"/>
        <v>133016.37000000002</v>
      </c>
      <c r="AA9" s="587">
        <f t="shared" ca="1" si="15"/>
        <v>143945.26</v>
      </c>
      <c r="AB9" s="587">
        <f t="shared" ca="1" si="15"/>
        <v>176505.38</v>
      </c>
      <c r="AC9" s="587">
        <f t="shared" ca="1" si="15"/>
        <v>0</v>
      </c>
      <c r="AD9" s="587">
        <f t="shared" ca="1" si="15"/>
        <v>0</v>
      </c>
      <c r="AE9" s="587">
        <f t="shared" ca="1" si="15"/>
        <v>10751.77</v>
      </c>
      <c r="AF9" s="587">
        <f t="shared" ca="1" si="15"/>
        <v>22930.42</v>
      </c>
      <c r="AG9" s="587">
        <f t="shared" ca="1" si="15"/>
        <v>29911.949999999997</v>
      </c>
      <c r="AH9" s="587">
        <f t="shared" ca="1" si="15"/>
        <v>43344.159999999996</v>
      </c>
      <c r="AI9" s="587">
        <f t="shared" ca="1" si="15"/>
        <v>51109.27</v>
      </c>
      <c r="AJ9" s="587">
        <f t="shared" ca="1" si="15"/>
        <v>62194.280000000006</v>
      </c>
      <c r="AK9" s="587">
        <f t="shared" ca="1" si="15"/>
        <v>112972.66</v>
      </c>
      <c r="AL9" s="587">
        <f t="shared" ca="1" si="15"/>
        <v>133016.37000000002</v>
      </c>
      <c r="AM9" s="587">
        <f t="shared" ca="1" si="15"/>
        <v>143945.26</v>
      </c>
      <c r="AN9" s="587">
        <f t="shared" ca="1" si="15"/>
        <v>176505.38000000006</v>
      </c>
      <c r="AO9" s="587">
        <f t="shared" ca="1" si="15"/>
        <v>176505.38000000006</v>
      </c>
      <c r="AP9" s="587">
        <f t="shared" ca="1" si="15"/>
        <v>176505.38000000006</v>
      </c>
    </row>
    <row r="10" spans="1:42" s="594" customFormat="1" ht="11.25" outlineLevel="1" x14ac:dyDescent="0.2">
      <c r="A10" s="590"/>
      <c r="B10" s="591" t="str">
        <f>IF(D10&lt;&gt;"",
IF(ISERROR(MATCH(D10,'Ist Vorjahr Monat 01'!A:A,0))=FALSE,INDEX('Ist Vorjahr Monat 01'!B:B,MATCH(D10,'Ist Vorjahr Monat 01'!A:A,0)),
IF(ISERROR(MATCH(D10,'Ist Vorjahr Monat 02'!A:A,0))=FALSE,INDEX('Ist Vorjahr Monat 02'!B:B,MATCH(D10,'Ist Vorjahr Monat 02'!A:A,0)),
IF(ISERROR(MATCH(D10,'Ist Vorjahr Monat 03'!A:A,0))=FALSE,INDEX('Ist Vorjahr Monat 03'!B:B,MATCH(D10,'Ist Vorjahr Monat 03'!A:A,0)),
IF(ISERROR(MATCH(D10,'Ist Vorjahr Monat 04'!A:A,0))=FALSE,INDEX('Ist Vorjahr Monat 04'!B:B,MATCH(D10,'Ist Vorjahr Monat 04'!A:A,0)),
IF(ISERROR(MATCH(D10,'Ist Vorjahr Monat 05'!A:A,0))=FALSE,INDEX('Ist Vorjahr Monat 05'!B:B,MATCH(D10,'Ist Vorjahr Monat 05'!A:A,0)),
IF(ISERROR(MATCH(D10,'Ist Vorjahr Monat 06'!A:A,0))=FALSE,INDEX('Ist Vorjahr Monat 06'!B:B,MATCH(D10,'Ist Vorjahr Monat 06'!A:A,0)),
IF(ISERROR(MATCH(D10,'Ist Vorjahr Monat 07'!A:A,0))=FALSE,INDEX('Ist Vorjahr Monat 07'!B:B,MATCH(D10,'Ist Vorjahr Monat 07'!A:A,0)),
IF(ISERROR(MATCH(D10,'Ist Vorjahr Monat 08'!A:A,0))=FALSE,INDEX('Ist Vorjahr Monat 08'!B:B,MATCH(D10,'Ist Vorjahr Monat 08'!A:A,0)),
IF(ISERROR(MATCH(D10,'Ist Vorjahr Monat 09'!A:A,0))=FALSE,INDEX('Ist Vorjahr Monat 09'!B:B,MATCH(D10,'Ist Vorjahr Monat 09'!A:A,0)),
IF(ISERROR(MATCH(D10,'Ist Vorjahr Monat 10'!A:A,0))=FALSE,INDEX('Ist Vorjahr Monat 10'!B:B,MATCH(D10,'Ist Vorjahr Monat 10'!A:A,0)),
IF(ISERROR(MATCH(D10,'Ist Vorjahr Monat 11'!A:A,0))=FALSE,INDEX('Ist Vorjahr Monat 11'!B:B,MATCH(D10,'Ist Vorjahr Monat 11'!A:A,0)),
IF(ISERROR(MATCH(D10,'Ist Vorjahr Monat 12'!A:A,0))=FALSE,INDEX('Ist Vorjahr Monat 12'!B:B,MATCH(D10,'Ist Vorjahr Monat 12'!A:A,0)),
"{Konto unbekannt}"
)))))))))))),"")</f>
        <v>Erlöse "Full-Service BOMAG"</v>
      </c>
      <c r="C10" s="591"/>
      <c r="D10" s="590">
        <v>8400</v>
      </c>
      <c r="E10" s="592">
        <f>IF(F10="-",-1,1)</f>
        <v>-1</v>
      </c>
      <c r="F10" s="590" t="s">
        <v>996</v>
      </c>
      <c r="G10" s="593">
        <f ca="1">$E10*(-SUMIF(INDIRECT(G$3),'Struktur Vorjahr'!$D10,INDIRECT(G$4))+SUMIF(INDIRECT(G$3),'Struktur Vorjahr'!$D10,INDIRECT(G$5)))</f>
        <v>0</v>
      </c>
      <c r="H10" s="593">
        <f ca="1">$E10*(-SUMIF(INDIRECT(H$3),'Struktur Vorjahr'!$D10,INDIRECT(H$4))+SUMIF(INDIRECT(H$3),'Struktur Vorjahr'!$D10,INDIRECT(H$5)))</f>
        <v>0</v>
      </c>
      <c r="I10" s="593">
        <f ca="1">$E10*(-SUMIF(INDIRECT(I$3),'Struktur Vorjahr'!$D10,INDIRECT(I$4))+SUMIF(INDIRECT(I$3),'Struktur Vorjahr'!$D10,INDIRECT(I$5)))</f>
        <v>0</v>
      </c>
      <c r="J10" s="593">
        <f ca="1">$E10*(-SUMIF(INDIRECT(J$3),'Struktur Vorjahr'!$D10,INDIRECT(J$4))+SUMIF(INDIRECT(J$3),'Struktur Vorjahr'!$D10,INDIRECT(J$5)))</f>
        <v>0</v>
      </c>
      <c r="K10" s="593">
        <f ca="1">$E10*(-SUMIF(INDIRECT(K$3),'Struktur Vorjahr'!$D10,INDIRECT(K$4))+SUMIF(INDIRECT(K$3),'Struktur Vorjahr'!$D10,INDIRECT(K$5)))</f>
        <v>0</v>
      </c>
      <c r="L10" s="593">
        <f ca="1">$E10*(-SUMIF(INDIRECT(L$3),'Struktur Vorjahr'!$D10,INDIRECT(L$4))+SUMIF(INDIRECT(L$3),'Struktur Vorjahr'!$D10,INDIRECT(L$5)))</f>
        <v>0</v>
      </c>
      <c r="M10" s="593">
        <f ca="1">$E10*(-SUMIF(INDIRECT(M$3),'Struktur Vorjahr'!$D10,INDIRECT(M$4))+SUMIF(INDIRECT(M$3),'Struktur Vorjahr'!$D10,INDIRECT(M$5)))</f>
        <v>0</v>
      </c>
      <c r="N10" s="593">
        <f ca="1">$E10*(-SUMIF(INDIRECT(N$3),'Struktur Vorjahr'!$D10,INDIRECT(N$4))+SUMIF(INDIRECT(N$3),'Struktur Vorjahr'!$D10,INDIRECT(N$5)))</f>
        <v>0</v>
      </c>
      <c r="O10" s="593">
        <f ca="1">$E10*(-SUMIF(INDIRECT(O$3),'Struktur Vorjahr'!$D10,INDIRECT(O$4))+SUMIF(INDIRECT(O$3),'Struktur Vorjahr'!$D10,INDIRECT(O$5)))</f>
        <v>0</v>
      </c>
      <c r="P10" s="593">
        <f ca="1">$E10*(-SUMIF(INDIRECT(P$3),'Struktur Vorjahr'!$D10,INDIRECT(P$4))+SUMIF(INDIRECT(P$3),'Struktur Vorjahr'!$D10,INDIRECT(P$5)))</f>
        <v>2250</v>
      </c>
      <c r="Q10" s="593">
        <f ca="1">$E10*(-SUMIF(INDIRECT(Q$3),'Struktur Vorjahr'!$D10,INDIRECT(Q$4))+SUMIF(INDIRECT(Q$3),'Struktur Vorjahr'!$D10,INDIRECT(Q$5)))</f>
        <v>0</v>
      </c>
      <c r="R10" s="593">
        <f ca="1">$E10*(-SUMIF(INDIRECT(R$3),'Struktur Vorjahr'!$D10,INDIRECT(R$4))+SUMIF(INDIRECT(R$3),'Struktur Vorjahr'!$D10,INDIRECT(R$5)))</f>
        <v>0</v>
      </c>
      <c r="S10" s="593">
        <f ca="1">$E10*(-SUMIF(INDIRECT(S$3),'Struktur Vorjahr'!$D10,INDIRECT(S$4))+SUMIF(INDIRECT(S$3),'Struktur Vorjahr'!$D10,INDIRECT(S$5)))</f>
        <v>0</v>
      </c>
      <c r="T10" s="593">
        <f ca="1">$E10*(-SUMIF(INDIRECT(T$3),'Struktur Vorjahr'!$D10,INDIRECT(T$4))+SUMIF(INDIRECT(T$3),'Struktur Vorjahr'!$D10,INDIRECT(T$5)))</f>
        <v>0</v>
      </c>
      <c r="U10" s="593">
        <f ca="1">$E10*(-SUMIF(INDIRECT(U$3),'Struktur Vorjahr'!$D10,INDIRECT(U$4))+SUMIF(INDIRECT(U$3),'Struktur Vorjahr'!$D10,INDIRECT(U$5)))</f>
        <v>0</v>
      </c>
      <c r="V10" s="593">
        <f ca="1">$E10*(-SUMIF(INDIRECT(V$3),'Struktur Vorjahr'!$D10,INDIRECT(V$4))+SUMIF(INDIRECT(V$3),'Struktur Vorjahr'!$D10,INDIRECT(V$5)))</f>
        <v>0</v>
      </c>
      <c r="W10" s="593">
        <f ca="1">$E10*(-SUMIF(INDIRECT(W$3),'Struktur Vorjahr'!$D10,INDIRECT(W$4))+SUMIF(INDIRECT(W$3),'Struktur Vorjahr'!$D10,INDIRECT(W$5)))</f>
        <v>0</v>
      </c>
      <c r="X10" s="593">
        <f ca="1">$E10*(-SUMIF(INDIRECT(X$3),'Struktur Vorjahr'!$D10,INDIRECT(X$4))+SUMIF(INDIRECT(X$3),'Struktur Vorjahr'!$D10,INDIRECT(X$5)))</f>
        <v>0</v>
      </c>
      <c r="Y10" s="593">
        <f ca="1">$E10*(-SUMIF(INDIRECT(Y$3),'Struktur Vorjahr'!$D10,INDIRECT(Y$4))+SUMIF(INDIRECT(Y$3),'Struktur Vorjahr'!$D10,INDIRECT(Y$5)))</f>
        <v>0</v>
      </c>
      <c r="Z10" s="593">
        <f ca="1">$E10*(-SUMIF(INDIRECT(Z$3),'Struktur Vorjahr'!$D10,INDIRECT(Z$4))+SUMIF(INDIRECT(Z$3),'Struktur Vorjahr'!$D10,INDIRECT(Z$5)))</f>
        <v>0</v>
      </c>
      <c r="AA10" s="593">
        <f ca="1">$E10*(-SUMIF(INDIRECT(AA$3),'Struktur Vorjahr'!$D10,INDIRECT(AA$4))+SUMIF(INDIRECT(AA$3),'Struktur Vorjahr'!$D10,INDIRECT(AA$5)))</f>
        <v>0</v>
      </c>
      <c r="AB10" s="593">
        <f ca="1">$E10*(-SUMIF(INDIRECT(AB$3),'Struktur Vorjahr'!$D10,INDIRECT(AB$4))+SUMIF(INDIRECT(AB$3),'Struktur Vorjahr'!$D10,INDIRECT(AB$5)))</f>
        <v>2250</v>
      </c>
      <c r="AC10" s="593">
        <f ca="1">$E10*(-SUMIF(INDIRECT(AC$3),'Struktur Vorjahr'!$D10,INDIRECT(AC$4))+SUMIF(INDIRECT(AC$3),'Struktur Vorjahr'!$D10,INDIRECT(AC$5)))</f>
        <v>0</v>
      </c>
      <c r="AD10" s="593">
        <f ca="1">$E10*(-SUMIF(INDIRECT(AD$3),'Struktur Vorjahr'!$D10,INDIRECT(AD$4))+SUMIF(INDIRECT(AD$3),'Struktur Vorjahr'!$D10,INDIRECT(AD$5)))</f>
        <v>0</v>
      </c>
      <c r="AE10" s="593">
        <f ca="1">G10</f>
        <v>0</v>
      </c>
      <c r="AF10" s="593">
        <f ca="1">H10+AE10</f>
        <v>0</v>
      </c>
      <c r="AG10" s="593">
        <f t="shared" ref="AG10:AP25" ca="1" si="16">I10+AF10</f>
        <v>0</v>
      </c>
      <c r="AH10" s="593">
        <f t="shared" ca="1" si="16"/>
        <v>0</v>
      </c>
      <c r="AI10" s="593">
        <f t="shared" ca="1" si="16"/>
        <v>0</v>
      </c>
      <c r="AJ10" s="593">
        <f t="shared" ca="1" si="16"/>
        <v>0</v>
      </c>
      <c r="AK10" s="593">
        <f t="shared" ca="1" si="16"/>
        <v>0</v>
      </c>
      <c r="AL10" s="593">
        <f t="shared" ca="1" si="16"/>
        <v>0</v>
      </c>
      <c r="AM10" s="593">
        <f t="shared" ca="1" si="16"/>
        <v>0</v>
      </c>
      <c r="AN10" s="593">
        <f t="shared" ca="1" si="16"/>
        <v>2250</v>
      </c>
      <c r="AO10" s="593">
        <f t="shared" ca="1" si="16"/>
        <v>2250</v>
      </c>
      <c r="AP10" s="593">
        <f t="shared" ca="1" si="16"/>
        <v>2250</v>
      </c>
    </row>
    <row r="11" spans="1:42" s="594" customFormat="1" ht="11.25" outlineLevel="1" x14ac:dyDescent="0.2">
      <c r="A11" s="590"/>
      <c r="B11" s="591" t="str">
        <f>IF(D11&lt;&gt;"",
IF(ISERROR(MATCH(D11,'Ist Vorjahr Monat 01'!A:A,0))=FALSE,INDEX('Ist Vorjahr Monat 01'!B:B,MATCH(D11,'Ist Vorjahr Monat 01'!A:A,0)),
IF(ISERROR(MATCH(D11,'Ist Vorjahr Monat 02'!A:A,0))=FALSE,INDEX('Ist Vorjahr Monat 02'!B:B,MATCH(D11,'Ist Vorjahr Monat 02'!A:A,0)),
IF(ISERROR(MATCH(D11,'Ist Vorjahr Monat 03'!A:A,0))=FALSE,INDEX('Ist Vorjahr Monat 03'!B:B,MATCH(D11,'Ist Vorjahr Monat 03'!A:A,0)),
IF(ISERROR(MATCH(D11,'Ist Vorjahr Monat 04'!A:A,0))=FALSE,INDEX('Ist Vorjahr Monat 04'!B:B,MATCH(D11,'Ist Vorjahr Monat 04'!A:A,0)),
IF(ISERROR(MATCH(D11,'Ist Vorjahr Monat 05'!A:A,0))=FALSE,INDEX('Ist Vorjahr Monat 05'!B:B,MATCH(D11,'Ist Vorjahr Monat 05'!A:A,0)),
IF(ISERROR(MATCH(D11,'Ist Vorjahr Monat 06'!A:A,0))=FALSE,INDEX('Ist Vorjahr Monat 06'!B:B,MATCH(D11,'Ist Vorjahr Monat 06'!A:A,0)),
IF(ISERROR(MATCH(D11,'Ist Vorjahr Monat 07'!A:A,0))=FALSE,INDEX('Ist Vorjahr Monat 07'!B:B,MATCH(D11,'Ist Vorjahr Monat 07'!A:A,0)),
IF(ISERROR(MATCH(D11,'Ist Vorjahr Monat 08'!A:A,0))=FALSE,INDEX('Ist Vorjahr Monat 08'!B:B,MATCH(D11,'Ist Vorjahr Monat 08'!A:A,0)),
IF(ISERROR(MATCH(D11,'Ist Vorjahr Monat 09'!A:A,0))=FALSE,INDEX('Ist Vorjahr Monat 09'!B:B,MATCH(D11,'Ist Vorjahr Monat 09'!A:A,0)),
IF(ISERROR(MATCH(D11,'Ist Vorjahr Monat 10'!A:A,0))=FALSE,INDEX('Ist Vorjahr Monat 10'!B:B,MATCH(D11,'Ist Vorjahr Monat 10'!A:A,0)),
IF(ISERROR(MATCH(D11,'Ist Vorjahr Monat 11'!A:A,0))=FALSE,INDEX('Ist Vorjahr Monat 11'!B:B,MATCH(D11,'Ist Vorjahr Monat 11'!A:A,0)),
IF(ISERROR(MATCH(D11,'Ist Vorjahr Monat 12'!A:A,0))=FALSE,INDEX('Ist Vorjahr Monat 12'!B:B,MATCH(D11,'Ist Vorjahr Monat 12'!A:A,0)),
"{Konto unbekannt}"
)))))))))))),"")</f>
        <v>Erlöse Viega</v>
      </c>
      <c r="C11" s="591"/>
      <c r="D11" s="590">
        <v>8401</v>
      </c>
      <c r="E11" s="592">
        <f>IF(F11="-",-1,1)</f>
        <v>-1</v>
      </c>
      <c r="F11" s="590" t="s">
        <v>996</v>
      </c>
      <c r="G11" s="593">
        <f ca="1">$E11*(-SUMIF(INDIRECT(G$3),'Struktur Vorjahr'!$D11,INDIRECT(G$4))+SUMIF(INDIRECT(G$3),'Struktur Vorjahr'!$D11,INDIRECT(G$5)))</f>
        <v>0</v>
      </c>
      <c r="H11" s="593">
        <f ca="1">$E11*(-SUMIF(INDIRECT(H$3),'Struktur Vorjahr'!$D11,INDIRECT(H$4))+SUMIF(INDIRECT(H$3),'Struktur Vorjahr'!$D11,INDIRECT(H$5)))</f>
        <v>3366.76</v>
      </c>
      <c r="I11" s="593">
        <f ca="1">$E11*(-SUMIF(INDIRECT(I$3),'Struktur Vorjahr'!$D11,INDIRECT(I$4))+SUMIF(INDIRECT(I$3),'Struktur Vorjahr'!$D11,INDIRECT(I$5)))</f>
        <v>4582.1000000000004</v>
      </c>
      <c r="J11" s="593">
        <f ca="1">$E11*(-SUMIF(INDIRECT(J$3),'Struktur Vorjahr'!$D11,INDIRECT(J$4))+SUMIF(INDIRECT(J$3),'Struktur Vorjahr'!$D11,INDIRECT(J$5)))</f>
        <v>0</v>
      </c>
      <c r="K11" s="593">
        <f ca="1">$E11*(-SUMIF(INDIRECT(K$3),'Struktur Vorjahr'!$D11,INDIRECT(K$4))+SUMIF(INDIRECT(K$3),'Struktur Vorjahr'!$D11,INDIRECT(K$5)))</f>
        <v>0</v>
      </c>
      <c r="L11" s="593">
        <f ca="1">$E11*(-SUMIF(INDIRECT(L$3),'Struktur Vorjahr'!$D11,INDIRECT(L$4))+SUMIF(INDIRECT(L$3),'Struktur Vorjahr'!$D11,INDIRECT(L$5)))</f>
        <v>0</v>
      </c>
      <c r="M11" s="593">
        <f ca="1">$E11*(-SUMIF(INDIRECT(M$3),'Struktur Vorjahr'!$D11,INDIRECT(M$4))+SUMIF(INDIRECT(M$3),'Struktur Vorjahr'!$D11,INDIRECT(M$5)))</f>
        <v>0</v>
      </c>
      <c r="N11" s="593">
        <f ca="1">$E11*(-SUMIF(INDIRECT(N$3),'Struktur Vorjahr'!$D11,INDIRECT(N$4))+SUMIF(INDIRECT(N$3),'Struktur Vorjahr'!$D11,INDIRECT(N$5)))</f>
        <v>960</v>
      </c>
      <c r="O11" s="593">
        <f ca="1">$E11*(-SUMIF(INDIRECT(O$3),'Struktur Vorjahr'!$D11,INDIRECT(O$4))+SUMIF(INDIRECT(O$3),'Struktur Vorjahr'!$D11,INDIRECT(O$5)))</f>
        <v>0</v>
      </c>
      <c r="P11" s="593">
        <f ca="1">$E11*(-SUMIF(INDIRECT(P$3),'Struktur Vorjahr'!$D11,INDIRECT(P$4))+SUMIF(INDIRECT(P$3),'Struktur Vorjahr'!$D11,INDIRECT(P$5)))</f>
        <v>0</v>
      </c>
      <c r="Q11" s="593">
        <f ca="1">$E11*(-SUMIF(INDIRECT(Q$3),'Struktur Vorjahr'!$D11,INDIRECT(Q$4))+SUMIF(INDIRECT(Q$3),'Struktur Vorjahr'!$D11,INDIRECT(Q$5)))</f>
        <v>0</v>
      </c>
      <c r="R11" s="593">
        <f ca="1">$E11*(-SUMIF(INDIRECT(R$3),'Struktur Vorjahr'!$D11,INDIRECT(R$4))+SUMIF(INDIRECT(R$3),'Struktur Vorjahr'!$D11,INDIRECT(R$5)))</f>
        <v>0</v>
      </c>
      <c r="S11" s="593">
        <f ca="1">$E11*(-SUMIF(INDIRECT(S$3),'Struktur Vorjahr'!$D11,INDIRECT(S$4))+SUMIF(INDIRECT(S$3),'Struktur Vorjahr'!$D11,INDIRECT(S$5)))</f>
        <v>0</v>
      </c>
      <c r="T11" s="593">
        <f ca="1">$E11*(-SUMIF(INDIRECT(T$3),'Struktur Vorjahr'!$D11,INDIRECT(T$4))+SUMIF(INDIRECT(T$3),'Struktur Vorjahr'!$D11,INDIRECT(T$5)))</f>
        <v>3366.76</v>
      </c>
      <c r="U11" s="593">
        <f ca="1">$E11*(-SUMIF(INDIRECT(U$3),'Struktur Vorjahr'!$D11,INDIRECT(U$4))+SUMIF(INDIRECT(U$3),'Struktur Vorjahr'!$D11,INDIRECT(U$5)))</f>
        <v>7948.86</v>
      </c>
      <c r="V11" s="593">
        <f ca="1">$E11*(-SUMIF(INDIRECT(V$3),'Struktur Vorjahr'!$D11,INDIRECT(V$4))+SUMIF(INDIRECT(V$3),'Struktur Vorjahr'!$D11,INDIRECT(V$5)))</f>
        <v>7948.86</v>
      </c>
      <c r="W11" s="593">
        <f ca="1">$E11*(-SUMIF(INDIRECT(W$3),'Struktur Vorjahr'!$D11,INDIRECT(W$4))+SUMIF(INDIRECT(W$3),'Struktur Vorjahr'!$D11,INDIRECT(W$5)))</f>
        <v>7948.86</v>
      </c>
      <c r="X11" s="593">
        <f ca="1">$E11*(-SUMIF(INDIRECT(X$3),'Struktur Vorjahr'!$D11,INDIRECT(X$4))+SUMIF(INDIRECT(X$3),'Struktur Vorjahr'!$D11,INDIRECT(X$5)))</f>
        <v>7948.86</v>
      </c>
      <c r="Y11" s="593">
        <f ca="1">$E11*(-SUMIF(INDIRECT(Y$3),'Struktur Vorjahr'!$D11,INDIRECT(Y$4))+SUMIF(INDIRECT(Y$3),'Struktur Vorjahr'!$D11,INDIRECT(Y$5)))</f>
        <v>7948.86</v>
      </c>
      <c r="Z11" s="593">
        <f ca="1">$E11*(-SUMIF(INDIRECT(Z$3),'Struktur Vorjahr'!$D11,INDIRECT(Z$4))+SUMIF(INDIRECT(Z$3),'Struktur Vorjahr'!$D11,INDIRECT(Z$5)))</f>
        <v>8908.86</v>
      </c>
      <c r="AA11" s="593">
        <f ca="1">$E11*(-SUMIF(INDIRECT(AA$3),'Struktur Vorjahr'!$D11,INDIRECT(AA$4))+SUMIF(INDIRECT(AA$3),'Struktur Vorjahr'!$D11,INDIRECT(AA$5)))</f>
        <v>8908.86</v>
      </c>
      <c r="AB11" s="593">
        <f ca="1">$E11*(-SUMIF(INDIRECT(AB$3),'Struktur Vorjahr'!$D11,INDIRECT(AB$4))+SUMIF(INDIRECT(AB$3),'Struktur Vorjahr'!$D11,INDIRECT(AB$5)))</f>
        <v>8908.86</v>
      </c>
      <c r="AC11" s="593">
        <f ca="1">$E11*(-SUMIF(INDIRECT(AC$3),'Struktur Vorjahr'!$D11,INDIRECT(AC$4))+SUMIF(INDIRECT(AC$3),'Struktur Vorjahr'!$D11,INDIRECT(AC$5)))</f>
        <v>0</v>
      </c>
      <c r="AD11" s="593">
        <f ca="1">$E11*(-SUMIF(INDIRECT(AD$3),'Struktur Vorjahr'!$D11,INDIRECT(AD$4))+SUMIF(INDIRECT(AD$3),'Struktur Vorjahr'!$D11,INDIRECT(AD$5)))</f>
        <v>0</v>
      </c>
      <c r="AE11" s="593">
        <f t="shared" ref="AE11:AE25" ca="1" si="17">G11</f>
        <v>0</v>
      </c>
      <c r="AF11" s="593">
        <f t="shared" ref="AF11:AF25" ca="1" si="18">H11+AE11</f>
        <v>3366.76</v>
      </c>
      <c r="AG11" s="593">
        <f t="shared" ca="1" si="16"/>
        <v>7948.8600000000006</v>
      </c>
      <c r="AH11" s="593">
        <f t="shared" ca="1" si="16"/>
        <v>7948.8600000000006</v>
      </c>
      <c r="AI11" s="593">
        <f t="shared" ca="1" si="16"/>
        <v>7948.8600000000006</v>
      </c>
      <c r="AJ11" s="593">
        <f t="shared" ca="1" si="16"/>
        <v>7948.8600000000006</v>
      </c>
      <c r="AK11" s="593">
        <f t="shared" ca="1" si="16"/>
        <v>7948.8600000000006</v>
      </c>
      <c r="AL11" s="593">
        <f t="shared" ca="1" si="16"/>
        <v>8908.86</v>
      </c>
      <c r="AM11" s="593">
        <f t="shared" ca="1" si="16"/>
        <v>8908.86</v>
      </c>
      <c r="AN11" s="593">
        <f t="shared" ca="1" si="16"/>
        <v>8908.86</v>
      </c>
      <c r="AO11" s="593">
        <f t="shared" ca="1" si="16"/>
        <v>8908.86</v>
      </c>
      <c r="AP11" s="593">
        <f t="shared" ca="1" si="16"/>
        <v>8908.86</v>
      </c>
    </row>
    <row r="12" spans="1:42" s="594" customFormat="1" ht="11.25" outlineLevel="1" x14ac:dyDescent="0.2">
      <c r="A12" s="590"/>
      <c r="B12" s="591" t="str">
        <f>IF(D12&lt;&gt;"",
IF(ISERROR(MATCH(D12,'Ist Vorjahr Monat 01'!A:A,0))=FALSE,INDEX('Ist Vorjahr Monat 01'!B:B,MATCH(D12,'Ist Vorjahr Monat 01'!A:A,0)),
IF(ISERROR(MATCH(D12,'Ist Vorjahr Monat 02'!A:A,0))=FALSE,INDEX('Ist Vorjahr Monat 02'!B:B,MATCH(D12,'Ist Vorjahr Monat 02'!A:A,0)),
IF(ISERROR(MATCH(D12,'Ist Vorjahr Monat 03'!A:A,0))=FALSE,INDEX('Ist Vorjahr Monat 03'!B:B,MATCH(D12,'Ist Vorjahr Monat 03'!A:A,0)),
IF(ISERROR(MATCH(D12,'Ist Vorjahr Monat 04'!A:A,0))=FALSE,INDEX('Ist Vorjahr Monat 04'!B:B,MATCH(D12,'Ist Vorjahr Monat 04'!A:A,0)),
IF(ISERROR(MATCH(D12,'Ist Vorjahr Monat 05'!A:A,0))=FALSE,INDEX('Ist Vorjahr Monat 05'!B:B,MATCH(D12,'Ist Vorjahr Monat 05'!A:A,0)),
IF(ISERROR(MATCH(D12,'Ist Vorjahr Monat 06'!A:A,0))=FALSE,INDEX('Ist Vorjahr Monat 06'!B:B,MATCH(D12,'Ist Vorjahr Monat 06'!A:A,0)),
IF(ISERROR(MATCH(D12,'Ist Vorjahr Monat 07'!A:A,0))=FALSE,INDEX('Ist Vorjahr Monat 07'!B:B,MATCH(D12,'Ist Vorjahr Monat 07'!A:A,0)),
IF(ISERROR(MATCH(D12,'Ist Vorjahr Monat 08'!A:A,0))=FALSE,INDEX('Ist Vorjahr Monat 08'!B:B,MATCH(D12,'Ist Vorjahr Monat 08'!A:A,0)),
IF(ISERROR(MATCH(D12,'Ist Vorjahr Monat 09'!A:A,0))=FALSE,INDEX('Ist Vorjahr Monat 09'!B:B,MATCH(D12,'Ist Vorjahr Monat 09'!A:A,0)),
IF(ISERROR(MATCH(D12,'Ist Vorjahr Monat 10'!A:A,0))=FALSE,INDEX('Ist Vorjahr Monat 10'!B:B,MATCH(D12,'Ist Vorjahr Monat 10'!A:A,0)),
IF(ISERROR(MATCH(D12,'Ist Vorjahr Monat 11'!A:A,0))=FALSE,INDEX('Ist Vorjahr Monat 11'!B:B,MATCH(D12,'Ist Vorjahr Monat 11'!A:A,0)),
IF(ISERROR(MATCH(D12,'Ist Vorjahr Monat 12'!A:A,0))=FALSE,INDEX('Ist Vorjahr Monat 12'!B:B,MATCH(D12,'Ist Vorjahr Monat 12'!A:A,0)),
"{Konto unbekannt}"
)))))))))))),"")</f>
        <v>Erlöse Website &amp; Software-Produkte</v>
      </c>
      <c r="C12" s="591"/>
      <c r="D12" s="590">
        <v>8402</v>
      </c>
      <c r="E12" s="592">
        <f t="shared" ref="E12:E58" si="19">IF(F12="-",-1,1)</f>
        <v>-1</v>
      </c>
      <c r="F12" s="590" t="s">
        <v>996</v>
      </c>
      <c r="G12" s="593">
        <f ca="1">$E12*(-SUMIF(INDIRECT(G$3),'Struktur Vorjahr'!$D12,INDIRECT(G$4))+SUMIF(INDIRECT(G$3),'Struktur Vorjahr'!$D12,INDIRECT(G$5)))</f>
        <v>3047.44</v>
      </c>
      <c r="H12" s="593">
        <f ca="1">$E12*(-SUMIF(INDIRECT(H$3),'Struktur Vorjahr'!$D12,INDIRECT(H$4))+SUMIF(INDIRECT(H$3),'Struktur Vorjahr'!$D12,INDIRECT(H$5)))</f>
        <v>152.80000000000001</v>
      </c>
      <c r="I12" s="593">
        <f ca="1">$E12*(-SUMIF(INDIRECT(I$3),'Struktur Vorjahr'!$D12,INDIRECT(I$4))+SUMIF(INDIRECT(I$3),'Struktur Vorjahr'!$D12,INDIRECT(I$5)))</f>
        <v>999</v>
      </c>
      <c r="J12" s="593">
        <f ca="1">$E12*(-SUMIF(INDIRECT(J$3),'Struktur Vorjahr'!$D12,INDIRECT(J$4))+SUMIF(INDIRECT(J$3),'Struktur Vorjahr'!$D12,INDIRECT(J$5)))</f>
        <v>422.5</v>
      </c>
      <c r="K12" s="593">
        <f ca="1">$E12*(-SUMIF(INDIRECT(K$3),'Struktur Vorjahr'!$D12,INDIRECT(K$4))+SUMIF(INDIRECT(K$3),'Struktur Vorjahr'!$D12,INDIRECT(K$5)))</f>
        <v>260</v>
      </c>
      <c r="L12" s="593">
        <f ca="1">$E12*(-SUMIF(INDIRECT(L$3),'Struktur Vorjahr'!$D12,INDIRECT(L$4))+SUMIF(INDIRECT(L$3),'Struktur Vorjahr'!$D12,INDIRECT(L$5)))</f>
        <v>1724.35</v>
      </c>
      <c r="M12" s="593">
        <f ca="1">$E12*(-SUMIF(INDIRECT(M$3),'Struktur Vorjahr'!$D12,INDIRECT(M$4))+SUMIF(INDIRECT(M$3),'Struktur Vorjahr'!$D12,INDIRECT(M$5)))</f>
        <v>30877.38</v>
      </c>
      <c r="N12" s="593">
        <f ca="1">$E12*(-SUMIF(INDIRECT(N$3),'Struktur Vorjahr'!$D12,INDIRECT(N$4))+SUMIF(INDIRECT(N$3),'Struktur Vorjahr'!$D12,INDIRECT(N$5)))</f>
        <v>7529.1</v>
      </c>
      <c r="O12" s="593">
        <f ca="1">$E12*(-SUMIF(INDIRECT(O$3),'Struktur Vorjahr'!$D12,INDIRECT(O$4))+SUMIF(INDIRECT(O$3),'Struktur Vorjahr'!$D12,INDIRECT(O$5)))</f>
        <v>334.97</v>
      </c>
      <c r="P12" s="593">
        <f ca="1">$E12*(-SUMIF(INDIRECT(P$3),'Struktur Vorjahr'!$D12,INDIRECT(P$4))+SUMIF(INDIRECT(P$3),'Struktur Vorjahr'!$D12,INDIRECT(P$5)))</f>
        <v>7899.69</v>
      </c>
      <c r="Q12" s="593">
        <f ca="1">$E12*(-SUMIF(INDIRECT(Q$3),'Struktur Vorjahr'!$D12,INDIRECT(Q$4))+SUMIF(INDIRECT(Q$3),'Struktur Vorjahr'!$D12,INDIRECT(Q$5)))</f>
        <v>0</v>
      </c>
      <c r="R12" s="593">
        <f ca="1">$E12*(-SUMIF(INDIRECT(R$3),'Struktur Vorjahr'!$D12,INDIRECT(R$4))+SUMIF(INDIRECT(R$3),'Struktur Vorjahr'!$D12,INDIRECT(R$5)))</f>
        <v>0</v>
      </c>
      <c r="S12" s="593">
        <f ca="1">$E12*(-SUMIF(INDIRECT(S$3),'Struktur Vorjahr'!$D12,INDIRECT(S$4))+SUMIF(INDIRECT(S$3),'Struktur Vorjahr'!$D12,INDIRECT(S$5)))</f>
        <v>3047.44</v>
      </c>
      <c r="T12" s="593">
        <f ca="1">$E12*(-SUMIF(INDIRECT(T$3),'Struktur Vorjahr'!$D12,INDIRECT(T$4))+SUMIF(INDIRECT(T$3),'Struktur Vorjahr'!$D12,INDIRECT(T$5)))</f>
        <v>3200.24</v>
      </c>
      <c r="U12" s="593">
        <f ca="1">$E12*(-SUMIF(INDIRECT(U$3),'Struktur Vorjahr'!$D12,INDIRECT(U$4))+SUMIF(INDIRECT(U$3),'Struktur Vorjahr'!$D12,INDIRECT(U$5)))</f>
        <v>4199.24</v>
      </c>
      <c r="V12" s="593">
        <f ca="1">$E12*(-SUMIF(INDIRECT(V$3),'Struktur Vorjahr'!$D12,INDIRECT(V$4))+SUMIF(INDIRECT(V$3),'Struktur Vorjahr'!$D12,INDIRECT(V$5)))</f>
        <v>4621.74</v>
      </c>
      <c r="W12" s="593">
        <f ca="1">$E12*(-SUMIF(INDIRECT(W$3),'Struktur Vorjahr'!$D12,INDIRECT(W$4))+SUMIF(INDIRECT(W$3),'Struktur Vorjahr'!$D12,INDIRECT(W$5)))</f>
        <v>4881.74</v>
      </c>
      <c r="X12" s="593">
        <f ca="1">$E12*(-SUMIF(INDIRECT(X$3),'Struktur Vorjahr'!$D12,INDIRECT(X$4))+SUMIF(INDIRECT(X$3),'Struktur Vorjahr'!$D12,INDIRECT(X$5)))</f>
        <v>6606.09</v>
      </c>
      <c r="Y12" s="593">
        <f ca="1">$E12*(-SUMIF(INDIRECT(Y$3),'Struktur Vorjahr'!$D12,INDIRECT(Y$4))+SUMIF(INDIRECT(Y$3),'Struktur Vorjahr'!$D12,INDIRECT(Y$5)))</f>
        <v>37483.47</v>
      </c>
      <c r="Z12" s="593">
        <f ca="1">$E12*(-SUMIF(INDIRECT(Z$3),'Struktur Vorjahr'!$D12,INDIRECT(Z$4))+SUMIF(INDIRECT(Z$3),'Struktur Vorjahr'!$D12,INDIRECT(Z$5)))</f>
        <v>45012.57</v>
      </c>
      <c r="AA12" s="593">
        <f ca="1">$E12*(-SUMIF(INDIRECT(AA$3),'Struktur Vorjahr'!$D12,INDIRECT(AA$4))+SUMIF(INDIRECT(AA$3),'Struktur Vorjahr'!$D12,INDIRECT(AA$5)))</f>
        <v>45347.54</v>
      </c>
      <c r="AB12" s="593">
        <f ca="1">$E12*(-SUMIF(INDIRECT(AB$3),'Struktur Vorjahr'!$D12,INDIRECT(AB$4))+SUMIF(INDIRECT(AB$3),'Struktur Vorjahr'!$D12,INDIRECT(AB$5)))</f>
        <v>53247.23</v>
      </c>
      <c r="AC12" s="593">
        <f ca="1">$E12*(-SUMIF(INDIRECT(AC$3),'Struktur Vorjahr'!$D12,INDIRECT(AC$4))+SUMIF(INDIRECT(AC$3),'Struktur Vorjahr'!$D12,INDIRECT(AC$5)))</f>
        <v>0</v>
      </c>
      <c r="AD12" s="593">
        <f ca="1">$E12*(-SUMIF(INDIRECT(AD$3),'Struktur Vorjahr'!$D12,INDIRECT(AD$4))+SUMIF(INDIRECT(AD$3),'Struktur Vorjahr'!$D12,INDIRECT(AD$5)))</f>
        <v>0</v>
      </c>
      <c r="AE12" s="593">
        <f t="shared" ca="1" si="17"/>
        <v>3047.44</v>
      </c>
      <c r="AF12" s="593">
        <f t="shared" ca="1" si="18"/>
        <v>3200.2400000000002</v>
      </c>
      <c r="AG12" s="593">
        <f t="shared" ca="1" si="16"/>
        <v>4199.24</v>
      </c>
      <c r="AH12" s="593">
        <f t="shared" ca="1" si="16"/>
        <v>4621.74</v>
      </c>
      <c r="AI12" s="593">
        <f t="shared" ca="1" si="16"/>
        <v>4881.74</v>
      </c>
      <c r="AJ12" s="593">
        <f t="shared" ca="1" si="16"/>
        <v>6606.09</v>
      </c>
      <c r="AK12" s="593">
        <f t="shared" ca="1" si="16"/>
        <v>37483.47</v>
      </c>
      <c r="AL12" s="593">
        <f t="shared" ca="1" si="16"/>
        <v>45012.57</v>
      </c>
      <c r="AM12" s="593">
        <f t="shared" ca="1" si="16"/>
        <v>45347.54</v>
      </c>
      <c r="AN12" s="593">
        <f t="shared" ca="1" si="16"/>
        <v>53247.23</v>
      </c>
      <c r="AO12" s="593">
        <f t="shared" ca="1" si="16"/>
        <v>53247.23</v>
      </c>
      <c r="AP12" s="593">
        <f t="shared" ca="1" si="16"/>
        <v>53247.23</v>
      </c>
    </row>
    <row r="13" spans="1:42" s="594" customFormat="1" ht="11.25" outlineLevel="1" x14ac:dyDescent="0.2">
      <c r="A13" s="590"/>
      <c r="B13" s="591" t="str">
        <f>IF(D13&lt;&gt;"",
IF(ISERROR(MATCH(D13,'Ist Vorjahr Monat 01'!A:A,0))=FALSE,INDEX('Ist Vorjahr Monat 01'!B:B,MATCH(D13,'Ist Vorjahr Monat 01'!A:A,0)),
IF(ISERROR(MATCH(D13,'Ist Vorjahr Monat 02'!A:A,0))=FALSE,INDEX('Ist Vorjahr Monat 02'!B:B,MATCH(D13,'Ist Vorjahr Monat 02'!A:A,0)),
IF(ISERROR(MATCH(D13,'Ist Vorjahr Monat 03'!A:A,0))=FALSE,INDEX('Ist Vorjahr Monat 03'!B:B,MATCH(D13,'Ist Vorjahr Monat 03'!A:A,0)),
IF(ISERROR(MATCH(D13,'Ist Vorjahr Monat 04'!A:A,0))=FALSE,INDEX('Ist Vorjahr Monat 04'!B:B,MATCH(D13,'Ist Vorjahr Monat 04'!A:A,0)),
IF(ISERROR(MATCH(D13,'Ist Vorjahr Monat 05'!A:A,0))=FALSE,INDEX('Ist Vorjahr Monat 05'!B:B,MATCH(D13,'Ist Vorjahr Monat 05'!A:A,0)),
IF(ISERROR(MATCH(D13,'Ist Vorjahr Monat 06'!A:A,0))=FALSE,INDEX('Ist Vorjahr Monat 06'!B:B,MATCH(D13,'Ist Vorjahr Monat 06'!A:A,0)),
IF(ISERROR(MATCH(D13,'Ist Vorjahr Monat 07'!A:A,0))=FALSE,INDEX('Ist Vorjahr Monat 07'!B:B,MATCH(D13,'Ist Vorjahr Monat 07'!A:A,0)),
IF(ISERROR(MATCH(D13,'Ist Vorjahr Monat 08'!A:A,0))=FALSE,INDEX('Ist Vorjahr Monat 08'!B:B,MATCH(D13,'Ist Vorjahr Monat 08'!A:A,0)),
IF(ISERROR(MATCH(D13,'Ist Vorjahr Monat 09'!A:A,0))=FALSE,INDEX('Ist Vorjahr Monat 09'!B:B,MATCH(D13,'Ist Vorjahr Monat 09'!A:A,0)),
IF(ISERROR(MATCH(D13,'Ist Vorjahr Monat 10'!A:A,0))=FALSE,INDEX('Ist Vorjahr Monat 10'!B:B,MATCH(D13,'Ist Vorjahr Monat 10'!A:A,0)),
IF(ISERROR(MATCH(D13,'Ist Vorjahr Monat 11'!A:A,0))=FALSE,INDEX('Ist Vorjahr Monat 11'!B:B,MATCH(D13,'Ist Vorjahr Monat 11'!A:A,0)),
IF(ISERROR(MATCH(D13,'Ist Vorjahr Monat 12'!A:A,0))=FALSE,INDEX('Ist Vorjahr Monat 12'!B:B,MATCH(D13,'Ist Vorjahr Monat 12'!A:A,0)),
"{Konto unbekannt}"
)))))))))))),"")</f>
        <v>Erlöse Datenschutz-Beauftragung</v>
      </c>
      <c r="C13" s="591"/>
      <c r="D13" s="590">
        <v>8403</v>
      </c>
      <c r="E13" s="592">
        <f t="shared" si="19"/>
        <v>-1</v>
      </c>
      <c r="F13" s="590" t="s">
        <v>996</v>
      </c>
      <c r="G13" s="593">
        <f ca="1">$E13*(-SUMIF(INDIRECT(G$3),'Struktur Vorjahr'!$D13,INDIRECT(G$4))+SUMIF(INDIRECT(G$3),'Struktur Vorjahr'!$D13,INDIRECT(G$5)))</f>
        <v>0</v>
      </c>
      <c r="H13" s="593">
        <f ca="1">$E13*(-SUMIF(INDIRECT(H$3),'Struktur Vorjahr'!$D13,INDIRECT(H$4))+SUMIF(INDIRECT(H$3),'Struktur Vorjahr'!$D13,INDIRECT(H$5)))</f>
        <v>205.83</v>
      </c>
      <c r="I13" s="593">
        <f ca="1">$E13*(-SUMIF(INDIRECT(I$3),'Struktur Vorjahr'!$D13,INDIRECT(I$4))+SUMIF(INDIRECT(I$3),'Struktur Vorjahr'!$D13,INDIRECT(I$5)))</f>
        <v>205.83</v>
      </c>
      <c r="J13" s="593">
        <f ca="1">$E13*(-SUMIF(INDIRECT(J$3),'Struktur Vorjahr'!$D13,INDIRECT(J$4))+SUMIF(INDIRECT(J$3),'Struktur Vorjahr'!$D13,INDIRECT(J$5)))</f>
        <v>235.83</v>
      </c>
      <c r="K13" s="593">
        <f ca="1">$E13*(-SUMIF(INDIRECT(K$3),'Struktur Vorjahr'!$D13,INDIRECT(K$4))+SUMIF(INDIRECT(K$3),'Struktur Vorjahr'!$D13,INDIRECT(K$5)))</f>
        <v>325.83</v>
      </c>
      <c r="L13" s="593">
        <f ca="1">$E13*(-SUMIF(INDIRECT(L$3),'Struktur Vorjahr'!$D13,INDIRECT(L$4))+SUMIF(INDIRECT(L$3),'Struktur Vorjahr'!$D13,INDIRECT(L$5)))</f>
        <v>0</v>
      </c>
      <c r="M13" s="593">
        <f ca="1">$E13*(-SUMIF(INDIRECT(M$3),'Struktur Vorjahr'!$D13,INDIRECT(M$4))+SUMIF(INDIRECT(M$3),'Struktur Vorjahr'!$D13,INDIRECT(M$5)))</f>
        <v>175.83</v>
      </c>
      <c r="N13" s="593">
        <f ca="1">$E13*(-SUMIF(INDIRECT(N$3),'Struktur Vorjahr'!$D13,INDIRECT(N$4))+SUMIF(INDIRECT(N$3),'Struktur Vorjahr'!$D13,INDIRECT(N$5)))</f>
        <v>865.83</v>
      </c>
      <c r="O13" s="593">
        <f ca="1">$E13*(-SUMIF(INDIRECT(O$3),'Struktur Vorjahr'!$D13,INDIRECT(O$4))+SUMIF(INDIRECT(O$3),'Struktur Vorjahr'!$D13,INDIRECT(O$5)))</f>
        <v>655.83</v>
      </c>
      <c r="P13" s="593">
        <f ca="1">$E13*(-SUMIF(INDIRECT(P$3),'Struktur Vorjahr'!$D13,INDIRECT(P$4))+SUMIF(INDIRECT(P$3),'Struktur Vorjahr'!$D13,INDIRECT(P$5)))</f>
        <v>205.83</v>
      </c>
      <c r="Q13" s="593">
        <f ca="1">$E13*(-SUMIF(INDIRECT(Q$3),'Struktur Vorjahr'!$D13,INDIRECT(Q$4))+SUMIF(INDIRECT(Q$3),'Struktur Vorjahr'!$D13,INDIRECT(Q$5)))</f>
        <v>0</v>
      </c>
      <c r="R13" s="593">
        <f ca="1">$E13*(-SUMIF(INDIRECT(R$3),'Struktur Vorjahr'!$D13,INDIRECT(R$4))+SUMIF(INDIRECT(R$3),'Struktur Vorjahr'!$D13,INDIRECT(R$5)))</f>
        <v>0</v>
      </c>
      <c r="S13" s="593">
        <f ca="1">$E13*(-SUMIF(INDIRECT(S$3),'Struktur Vorjahr'!$D13,INDIRECT(S$4))+SUMIF(INDIRECT(S$3),'Struktur Vorjahr'!$D13,INDIRECT(S$5)))</f>
        <v>0</v>
      </c>
      <c r="T13" s="593">
        <f ca="1">$E13*(-SUMIF(INDIRECT(T$3),'Struktur Vorjahr'!$D13,INDIRECT(T$4))+SUMIF(INDIRECT(T$3),'Struktur Vorjahr'!$D13,INDIRECT(T$5)))</f>
        <v>205.83</v>
      </c>
      <c r="U13" s="593">
        <f ca="1">$E13*(-SUMIF(INDIRECT(U$3),'Struktur Vorjahr'!$D13,INDIRECT(U$4))+SUMIF(INDIRECT(U$3),'Struktur Vorjahr'!$D13,INDIRECT(U$5)))</f>
        <v>411.66</v>
      </c>
      <c r="V13" s="593">
        <f ca="1">$E13*(-SUMIF(INDIRECT(V$3),'Struktur Vorjahr'!$D13,INDIRECT(V$4))+SUMIF(INDIRECT(V$3),'Struktur Vorjahr'!$D13,INDIRECT(V$5)))</f>
        <v>647.49</v>
      </c>
      <c r="W13" s="593">
        <f ca="1">$E13*(-SUMIF(INDIRECT(W$3),'Struktur Vorjahr'!$D13,INDIRECT(W$4))+SUMIF(INDIRECT(W$3),'Struktur Vorjahr'!$D13,INDIRECT(W$5)))</f>
        <v>973.32</v>
      </c>
      <c r="X13" s="593">
        <f ca="1">$E13*(-SUMIF(INDIRECT(X$3),'Struktur Vorjahr'!$D13,INDIRECT(X$4))+SUMIF(INDIRECT(X$3),'Struktur Vorjahr'!$D13,INDIRECT(X$5)))</f>
        <v>973.32</v>
      </c>
      <c r="Y13" s="593">
        <f ca="1">$E13*(-SUMIF(INDIRECT(Y$3),'Struktur Vorjahr'!$D13,INDIRECT(Y$4))+SUMIF(INDIRECT(Y$3),'Struktur Vorjahr'!$D13,INDIRECT(Y$5)))</f>
        <v>1149.1500000000001</v>
      </c>
      <c r="Z13" s="593">
        <f ca="1">$E13*(-SUMIF(INDIRECT(Z$3),'Struktur Vorjahr'!$D13,INDIRECT(Z$4))+SUMIF(INDIRECT(Z$3),'Struktur Vorjahr'!$D13,INDIRECT(Z$5)))</f>
        <v>2014.98</v>
      </c>
      <c r="AA13" s="593">
        <f ca="1">$E13*(-SUMIF(INDIRECT(AA$3),'Struktur Vorjahr'!$D13,INDIRECT(AA$4))+SUMIF(INDIRECT(AA$3),'Struktur Vorjahr'!$D13,INDIRECT(AA$5)))</f>
        <v>2670.81</v>
      </c>
      <c r="AB13" s="593">
        <f ca="1">$E13*(-SUMIF(INDIRECT(AB$3),'Struktur Vorjahr'!$D13,INDIRECT(AB$4))+SUMIF(INDIRECT(AB$3),'Struktur Vorjahr'!$D13,INDIRECT(AB$5)))</f>
        <v>2876.64</v>
      </c>
      <c r="AC13" s="593">
        <f ca="1">$E13*(-SUMIF(INDIRECT(AC$3),'Struktur Vorjahr'!$D13,INDIRECT(AC$4))+SUMIF(INDIRECT(AC$3),'Struktur Vorjahr'!$D13,INDIRECT(AC$5)))</f>
        <v>0</v>
      </c>
      <c r="AD13" s="593">
        <f ca="1">$E13*(-SUMIF(INDIRECT(AD$3),'Struktur Vorjahr'!$D13,INDIRECT(AD$4))+SUMIF(INDIRECT(AD$3),'Struktur Vorjahr'!$D13,INDIRECT(AD$5)))</f>
        <v>0</v>
      </c>
      <c r="AE13" s="593">
        <f t="shared" ca="1" si="17"/>
        <v>0</v>
      </c>
      <c r="AF13" s="593">
        <f t="shared" ca="1" si="18"/>
        <v>205.83</v>
      </c>
      <c r="AG13" s="593">
        <f t="shared" ca="1" si="16"/>
        <v>411.66</v>
      </c>
      <c r="AH13" s="593">
        <f t="shared" ca="1" si="16"/>
        <v>647.49</v>
      </c>
      <c r="AI13" s="593">
        <f t="shared" ca="1" si="16"/>
        <v>973.31999999999994</v>
      </c>
      <c r="AJ13" s="593">
        <f t="shared" ca="1" si="16"/>
        <v>973.31999999999994</v>
      </c>
      <c r="AK13" s="593">
        <f t="shared" ca="1" si="16"/>
        <v>1149.1499999999999</v>
      </c>
      <c r="AL13" s="593">
        <f t="shared" ca="1" si="16"/>
        <v>2014.98</v>
      </c>
      <c r="AM13" s="593">
        <f t="shared" ca="1" si="16"/>
        <v>2670.81</v>
      </c>
      <c r="AN13" s="593">
        <f t="shared" ca="1" si="16"/>
        <v>2876.64</v>
      </c>
      <c r="AO13" s="593">
        <f t="shared" ca="1" si="16"/>
        <v>2876.64</v>
      </c>
      <c r="AP13" s="593">
        <f t="shared" ca="1" si="16"/>
        <v>2876.64</v>
      </c>
    </row>
    <row r="14" spans="1:42" s="594" customFormat="1" ht="11.25" outlineLevel="1" x14ac:dyDescent="0.2">
      <c r="A14" s="590"/>
      <c r="B14" s="591" t="str">
        <f>IF(D14&lt;&gt;"",
IF(ISERROR(MATCH(D14,'Ist Vorjahr Monat 01'!A:A,0))=FALSE,INDEX('Ist Vorjahr Monat 01'!B:B,MATCH(D14,'Ist Vorjahr Monat 01'!A:A,0)),
IF(ISERROR(MATCH(D14,'Ist Vorjahr Monat 02'!A:A,0))=FALSE,INDEX('Ist Vorjahr Monat 02'!B:B,MATCH(D14,'Ist Vorjahr Monat 02'!A:A,0)),
IF(ISERROR(MATCH(D14,'Ist Vorjahr Monat 03'!A:A,0))=FALSE,INDEX('Ist Vorjahr Monat 03'!B:B,MATCH(D14,'Ist Vorjahr Monat 03'!A:A,0)),
IF(ISERROR(MATCH(D14,'Ist Vorjahr Monat 04'!A:A,0))=FALSE,INDEX('Ist Vorjahr Monat 04'!B:B,MATCH(D14,'Ist Vorjahr Monat 04'!A:A,0)),
IF(ISERROR(MATCH(D14,'Ist Vorjahr Monat 05'!A:A,0))=FALSE,INDEX('Ist Vorjahr Monat 05'!B:B,MATCH(D14,'Ist Vorjahr Monat 05'!A:A,0)),
IF(ISERROR(MATCH(D14,'Ist Vorjahr Monat 06'!A:A,0))=FALSE,INDEX('Ist Vorjahr Monat 06'!B:B,MATCH(D14,'Ist Vorjahr Monat 06'!A:A,0)),
IF(ISERROR(MATCH(D14,'Ist Vorjahr Monat 07'!A:A,0))=FALSE,INDEX('Ist Vorjahr Monat 07'!B:B,MATCH(D14,'Ist Vorjahr Monat 07'!A:A,0)),
IF(ISERROR(MATCH(D14,'Ist Vorjahr Monat 08'!A:A,0))=FALSE,INDEX('Ist Vorjahr Monat 08'!B:B,MATCH(D14,'Ist Vorjahr Monat 08'!A:A,0)),
IF(ISERROR(MATCH(D14,'Ist Vorjahr Monat 09'!A:A,0))=FALSE,INDEX('Ist Vorjahr Monat 09'!B:B,MATCH(D14,'Ist Vorjahr Monat 09'!A:A,0)),
IF(ISERROR(MATCH(D14,'Ist Vorjahr Monat 10'!A:A,0))=FALSE,INDEX('Ist Vorjahr Monat 10'!B:B,MATCH(D14,'Ist Vorjahr Monat 10'!A:A,0)),
IF(ISERROR(MATCH(D14,'Ist Vorjahr Monat 11'!A:A,0))=FALSE,INDEX('Ist Vorjahr Monat 11'!B:B,MATCH(D14,'Ist Vorjahr Monat 11'!A:A,0)),
IF(ISERROR(MATCH(D14,'Ist Vorjahr Monat 12'!A:A,0))=FALSE,INDEX('Ist Vorjahr Monat 12'!B:B,MATCH(D14,'Ist Vorjahr Monat 12'!A:A,0)),
"{Konto unbekannt}"
)))))))))))),"")</f>
        <v>Erlöse 19% USt - Bewerbungsservice</v>
      </c>
      <c r="C14" s="591"/>
      <c r="D14" s="590">
        <v>8404</v>
      </c>
      <c r="E14" s="592">
        <f t="shared" si="19"/>
        <v>-1</v>
      </c>
      <c r="F14" s="590" t="s">
        <v>996</v>
      </c>
      <c r="G14" s="593">
        <f ca="1">$E14*(-SUMIF(INDIRECT(G$3),'Struktur Vorjahr'!$D14,INDIRECT(G$4))+SUMIF(INDIRECT(G$3),'Struktur Vorjahr'!$D14,INDIRECT(G$5)))</f>
        <v>0</v>
      </c>
      <c r="H14" s="593">
        <f ca="1">$E14*(-SUMIF(INDIRECT(H$3),'Struktur Vorjahr'!$D14,INDIRECT(H$4))+SUMIF(INDIRECT(H$3),'Struktur Vorjahr'!$D14,INDIRECT(H$5)))</f>
        <v>0</v>
      </c>
      <c r="I14" s="593">
        <f ca="1">$E14*(-SUMIF(INDIRECT(I$3),'Struktur Vorjahr'!$D14,INDIRECT(I$4))+SUMIF(INDIRECT(I$3),'Struktur Vorjahr'!$D14,INDIRECT(I$5)))</f>
        <v>0</v>
      </c>
      <c r="J14" s="593">
        <f ca="1">$E14*(-SUMIF(INDIRECT(J$3),'Struktur Vorjahr'!$D14,INDIRECT(J$4))+SUMIF(INDIRECT(J$3),'Struktur Vorjahr'!$D14,INDIRECT(J$5)))</f>
        <v>0</v>
      </c>
      <c r="K14" s="593">
        <f ca="1">$E14*(-SUMIF(INDIRECT(K$3),'Struktur Vorjahr'!$D14,INDIRECT(K$4))+SUMIF(INDIRECT(K$3),'Struktur Vorjahr'!$D14,INDIRECT(K$5)))</f>
        <v>308.39999999999998</v>
      </c>
      <c r="L14" s="593">
        <f ca="1">$E14*(-SUMIF(INDIRECT(L$3),'Struktur Vorjahr'!$D14,INDIRECT(L$4))+SUMIF(INDIRECT(L$3),'Struktur Vorjahr'!$D14,INDIRECT(L$5)))</f>
        <v>23.53</v>
      </c>
      <c r="M14" s="593">
        <f ca="1">$E14*(-SUMIF(INDIRECT(M$3),'Struktur Vorjahr'!$D14,INDIRECT(M$4))+SUMIF(INDIRECT(M$3),'Struktur Vorjahr'!$D14,INDIRECT(M$5)))</f>
        <v>0</v>
      </c>
      <c r="N14" s="593">
        <f ca="1">$E14*(-SUMIF(INDIRECT(N$3),'Struktur Vorjahr'!$D14,INDIRECT(N$4))+SUMIF(INDIRECT(N$3),'Struktur Vorjahr'!$D14,INDIRECT(N$5)))</f>
        <v>147.06</v>
      </c>
      <c r="O14" s="593">
        <f ca="1">$E14*(-SUMIF(INDIRECT(O$3),'Struktur Vorjahr'!$D14,INDIRECT(O$4))+SUMIF(INDIRECT(O$3),'Struktur Vorjahr'!$D14,INDIRECT(O$5)))</f>
        <v>233.08</v>
      </c>
      <c r="P14" s="593">
        <f ca="1">$E14*(-SUMIF(INDIRECT(P$3),'Struktur Vorjahr'!$D14,INDIRECT(P$4))+SUMIF(INDIRECT(P$3),'Struktur Vorjahr'!$D14,INDIRECT(P$5)))</f>
        <v>0</v>
      </c>
      <c r="Q14" s="593">
        <f ca="1">$E14*(-SUMIF(INDIRECT(Q$3),'Struktur Vorjahr'!$D14,INDIRECT(Q$4))+SUMIF(INDIRECT(Q$3),'Struktur Vorjahr'!$D14,INDIRECT(Q$5)))</f>
        <v>0</v>
      </c>
      <c r="R14" s="593">
        <f ca="1">$E14*(-SUMIF(INDIRECT(R$3),'Struktur Vorjahr'!$D14,INDIRECT(R$4))+SUMIF(INDIRECT(R$3),'Struktur Vorjahr'!$D14,INDIRECT(R$5)))</f>
        <v>0</v>
      </c>
      <c r="S14" s="593">
        <f ca="1">$E14*(-SUMIF(INDIRECT(S$3),'Struktur Vorjahr'!$D14,INDIRECT(S$4))+SUMIF(INDIRECT(S$3),'Struktur Vorjahr'!$D14,INDIRECT(S$5)))</f>
        <v>0</v>
      </c>
      <c r="T14" s="593">
        <f ca="1">$E14*(-SUMIF(INDIRECT(T$3),'Struktur Vorjahr'!$D14,INDIRECT(T$4))+SUMIF(INDIRECT(T$3),'Struktur Vorjahr'!$D14,INDIRECT(T$5)))</f>
        <v>0</v>
      </c>
      <c r="U14" s="593">
        <f ca="1">$E14*(-SUMIF(INDIRECT(U$3),'Struktur Vorjahr'!$D14,INDIRECT(U$4))+SUMIF(INDIRECT(U$3),'Struktur Vorjahr'!$D14,INDIRECT(U$5)))</f>
        <v>0</v>
      </c>
      <c r="V14" s="593">
        <f ca="1">$E14*(-SUMIF(INDIRECT(V$3),'Struktur Vorjahr'!$D14,INDIRECT(V$4))+SUMIF(INDIRECT(V$3),'Struktur Vorjahr'!$D14,INDIRECT(V$5)))</f>
        <v>0</v>
      </c>
      <c r="W14" s="593">
        <f ca="1">$E14*(-SUMIF(INDIRECT(W$3),'Struktur Vorjahr'!$D14,INDIRECT(W$4))+SUMIF(INDIRECT(W$3),'Struktur Vorjahr'!$D14,INDIRECT(W$5)))</f>
        <v>308.39999999999998</v>
      </c>
      <c r="X14" s="593">
        <f ca="1">$E14*(-SUMIF(INDIRECT(X$3),'Struktur Vorjahr'!$D14,INDIRECT(X$4))+SUMIF(INDIRECT(X$3),'Struktur Vorjahr'!$D14,INDIRECT(X$5)))</f>
        <v>331.93</v>
      </c>
      <c r="Y14" s="593">
        <f ca="1">$E14*(-SUMIF(INDIRECT(Y$3),'Struktur Vorjahr'!$D14,INDIRECT(Y$4))+SUMIF(INDIRECT(Y$3),'Struktur Vorjahr'!$D14,INDIRECT(Y$5)))</f>
        <v>331.93</v>
      </c>
      <c r="Z14" s="593">
        <f ca="1">$E14*(-SUMIF(INDIRECT(Z$3),'Struktur Vorjahr'!$D14,INDIRECT(Z$4))+SUMIF(INDIRECT(Z$3),'Struktur Vorjahr'!$D14,INDIRECT(Z$5)))</f>
        <v>478.99</v>
      </c>
      <c r="AA14" s="593">
        <f ca="1">$E14*(-SUMIF(INDIRECT(AA$3),'Struktur Vorjahr'!$D14,INDIRECT(AA$4))+SUMIF(INDIRECT(AA$3),'Struktur Vorjahr'!$D14,INDIRECT(AA$5)))</f>
        <v>712.07</v>
      </c>
      <c r="AB14" s="593">
        <f ca="1">$E14*(-SUMIF(INDIRECT(AB$3),'Struktur Vorjahr'!$D14,INDIRECT(AB$4))+SUMIF(INDIRECT(AB$3),'Struktur Vorjahr'!$D14,INDIRECT(AB$5)))</f>
        <v>712.07</v>
      </c>
      <c r="AC14" s="593">
        <f ca="1">$E14*(-SUMIF(INDIRECT(AC$3),'Struktur Vorjahr'!$D14,INDIRECT(AC$4))+SUMIF(INDIRECT(AC$3),'Struktur Vorjahr'!$D14,INDIRECT(AC$5)))</f>
        <v>0</v>
      </c>
      <c r="AD14" s="593">
        <f ca="1">$E14*(-SUMIF(INDIRECT(AD$3),'Struktur Vorjahr'!$D14,INDIRECT(AD$4))+SUMIF(INDIRECT(AD$3),'Struktur Vorjahr'!$D14,INDIRECT(AD$5)))</f>
        <v>0</v>
      </c>
      <c r="AE14" s="593">
        <f t="shared" ca="1" si="17"/>
        <v>0</v>
      </c>
      <c r="AF14" s="593">
        <f t="shared" ca="1" si="18"/>
        <v>0</v>
      </c>
      <c r="AG14" s="593">
        <f t="shared" ca="1" si="16"/>
        <v>0</v>
      </c>
      <c r="AH14" s="593">
        <f t="shared" ca="1" si="16"/>
        <v>0</v>
      </c>
      <c r="AI14" s="593">
        <f t="shared" ca="1" si="16"/>
        <v>308.39999999999998</v>
      </c>
      <c r="AJ14" s="593">
        <f t="shared" ca="1" si="16"/>
        <v>331.92999999999995</v>
      </c>
      <c r="AK14" s="593">
        <f t="shared" ca="1" si="16"/>
        <v>331.92999999999995</v>
      </c>
      <c r="AL14" s="593">
        <f t="shared" ca="1" si="16"/>
        <v>478.98999999999995</v>
      </c>
      <c r="AM14" s="593">
        <f t="shared" ca="1" si="16"/>
        <v>712.06999999999994</v>
      </c>
      <c r="AN14" s="593">
        <f t="shared" ca="1" si="16"/>
        <v>712.06999999999994</v>
      </c>
      <c r="AO14" s="593">
        <f t="shared" ca="1" si="16"/>
        <v>712.06999999999994</v>
      </c>
      <c r="AP14" s="593">
        <f t="shared" ca="1" si="16"/>
        <v>712.06999999999994</v>
      </c>
    </row>
    <row r="15" spans="1:42" s="594" customFormat="1" ht="11.25" outlineLevel="1" x14ac:dyDescent="0.2">
      <c r="A15" s="590"/>
      <c r="B15" s="591" t="str">
        <f>IF(D15&lt;&gt;"",
IF(ISERROR(MATCH(D15,'Ist Vorjahr Monat 01'!A:A,0))=FALSE,INDEX('Ist Vorjahr Monat 01'!B:B,MATCH(D15,'Ist Vorjahr Monat 01'!A:A,0)),
IF(ISERROR(MATCH(D15,'Ist Vorjahr Monat 02'!A:A,0))=FALSE,INDEX('Ist Vorjahr Monat 02'!B:B,MATCH(D15,'Ist Vorjahr Monat 02'!A:A,0)),
IF(ISERROR(MATCH(D15,'Ist Vorjahr Monat 03'!A:A,0))=FALSE,INDEX('Ist Vorjahr Monat 03'!B:B,MATCH(D15,'Ist Vorjahr Monat 03'!A:A,0)),
IF(ISERROR(MATCH(D15,'Ist Vorjahr Monat 04'!A:A,0))=FALSE,INDEX('Ist Vorjahr Monat 04'!B:B,MATCH(D15,'Ist Vorjahr Monat 04'!A:A,0)),
IF(ISERROR(MATCH(D15,'Ist Vorjahr Monat 05'!A:A,0))=FALSE,INDEX('Ist Vorjahr Monat 05'!B:B,MATCH(D15,'Ist Vorjahr Monat 05'!A:A,0)),
IF(ISERROR(MATCH(D15,'Ist Vorjahr Monat 06'!A:A,0))=FALSE,INDEX('Ist Vorjahr Monat 06'!B:B,MATCH(D15,'Ist Vorjahr Monat 06'!A:A,0)),
IF(ISERROR(MATCH(D15,'Ist Vorjahr Monat 07'!A:A,0))=FALSE,INDEX('Ist Vorjahr Monat 07'!B:B,MATCH(D15,'Ist Vorjahr Monat 07'!A:A,0)),
IF(ISERROR(MATCH(D15,'Ist Vorjahr Monat 08'!A:A,0))=FALSE,INDEX('Ist Vorjahr Monat 08'!B:B,MATCH(D15,'Ist Vorjahr Monat 08'!A:A,0)),
IF(ISERROR(MATCH(D15,'Ist Vorjahr Monat 09'!A:A,0))=FALSE,INDEX('Ist Vorjahr Monat 09'!B:B,MATCH(D15,'Ist Vorjahr Monat 09'!A:A,0)),
IF(ISERROR(MATCH(D15,'Ist Vorjahr Monat 10'!A:A,0))=FALSE,INDEX('Ist Vorjahr Monat 10'!B:B,MATCH(D15,'Ist Vorjahr Monat 10'!A:A,0)),
IF(ISERROR(MATCH(D15,'Ist Vorjahr Monat 11'!A:A,0))=FALSE,INDEX('Ist Vorjahr Monat 11'!B:B,MATCH(D15,'Ist Vorjahr Monat 11'!A:A,0)),
IF(ISERROR(MATCH(D15,'Ist Vorjahr Monat 12'!A:A,0))=FALSE,INDEX('Ist Vorjahr Monat 12'!B:B,MATCH(D15,'Ist Vorjahr Monat 12'!A:A,0)),
"{Konto unbekannt}"
)))))))))))),"")</f>
        <v>Erlöse 19% USt - Allgemein</v>
      </c>
      <c r="C15" s="591"/>
      <c r="D15" s="590">
        <v>8405</v>
      </c>
      <c r="E15" s="592">
        <f t="shared" si="19"/>
        <v>-1</v>
      </c>
      <c r="F15" s="590" t="s">
        <v>996</v>
      </c>
      <c r="G15" s="593">
        <f ca="1">$E15*(-SUMIF(INDIRECT(G$3),'Struktur Vorjahr'!$D15,INDIRECT(G$4))+SUMIF(INDIRECT(G$3),'Struktur Vorjahr'!$D15,INDIRECT(G$5)))</f>
        <v>950</v>
      </c>
      <c r="H15" s="593">
        <f ca="1">$E15*(-SUMIF(INDIRECT(H$3),'Struktur Vorjahr'!$D15,INDIRECT(H$4))+SUMIF(INDIRECT(H$3),'Struktur Vorjahr'!$D15,INDIRECT(H$5)))</f>
        <v>950</v>
      </c>
      <c r="I15" s="593">
        <f ca="1">$E15*(-SUMIF(INDIRECT(I$3),'Struktur Vorjahr'!$D15,INDIRECT(I$4))+SUMIF(INDIRECT(I$3),'Struktur Vorjahr'!$D15,INDIRECT(I$5)))</f>
        <v>1145</v>
      </c>
      <c r="J15" s="593">
        <f ca="1">$E15*(-SUMIF(INDIRECT(J$3),'Struktur Vorjahr'!$D15,INDIRECT(J$4))+SUMIF(INDIRECT(J$3),'Struktur Vorjahr'!$D15,INDIRECT(J$5)))</f>
        <v>950</v>
      </c>
      <c r="K15" s="593">
        <f ca="1">$E15*(-SUMIF(INDIRECT(K$3),'Struktur Vorjahr'!$D15,INDIRECT(K$4))+SUMIF(INDIRECT(K$3),'Struktur Vorjahr'!$D15,INDIRECT(K$5)))</f>
        <v>950</v>
      </c>
      <c r="L15" s="593">
        <f ca="1">$E15*(-SUMIF(INDIRECT(L$3),'Struktur Vorjahr'!$D15,INDIRECT(L$4))+SUMIF(INDIRECT(L$3),'Struktur Vorjahr'!$D15,INDIRECT(L$5)))</f>
        <v>4187.54</v>
      </c>
      <c r="M15" s="593">
        <f ca="1">$E15*(-SUMIF(INDIRECT(M$3),'Struktur Vorjahr'!$D15,INDIRECT(M$4))+SUMIF(INDIRECT(M$3),'Struktur Vorjahr'!$D15,INDIRECT(M$5)))</f>
        <v>10602.16</v>
      </c>
      <c r="N15" s="593">
        <f ca="1">$E15*(-SUMIF(INDIRECT(N$3),'Struktur Vorjahr'!$D15,INDIRECT(N$4))+SUMIF(INDIRECT(N$3),'Struktur Vorjahr'!$D15,INDIRECT(N$5)))</f>
        <v>6221.72</v>
      </c>
      <c r="O15" s="593">
        <f ca="1">$E15*(-SUMIF(INDIRECT(O$3),'Struktur Vorjahr'!$D15,INDIRECT(O$4))+SUMIF(INDIRECT(O$3),'Struktur Vorjahr'!$D15,INDIRECT(O$5)))</f>
        <v>9362.93</v>
      </c>
      <c r="P15" s="593">
        <f ca="1">$E15*(-SUMIF(INDIRECT(P$3),'Struktur Vorjahr'!$D15,INDIRECT(P$4))+SUMIF(INDIRECT(P$3),'Struktur Vorjahr'!$D15,INDIRECT(P$5)))</f>
        <v>7523.1</v>
      </c>
      <c r="Q15" s="593">
        <f ca="1">$E15*(-SUMIF(INDIRECT(Q$3),'Struktur Vorjahr'!$D15,INDIRECT(Q$4))+SUMIF(INDIRECT(Q$3),'Struktur Vorjahr'!$D15,INDIRECT(Q$5)))</f>
        <v>0</v>
      </c>
      <c r="R15" s="593">
        <f ca="1">$E15*(-SUMIF(INDIRECT(R$3),'Struktur Vorjahr'!$D15,INDIRECT(R$4))+SUMIF(INDIRECT(R$3),'Struktur Vorjahr'!$D15,INDIRECT(R$5)))</f>
        <v>0</v>
      </c>
      <c r="S15" s="593">
        <f ca="1">$E15*(-SUMIF(INDIRECT(S$3),'Struktur Vorjahr'!$D15,INDIRECT(S$4))+SUMIF(INDIRECT(S$3),'Struktur Vorjahr'!$D15,INDIRECT(S$5)))</f>
        <v>950</v>
      </c>
      <c r="T15" s="593">
        <f ca="1">$E15*(-SUMIF(INDIRECT(T$3),'Struktur Vorjahr'!$D15,INDIRECT(T$4))+SUMIF(INDIRECT(T$3),'Struktur Vorjahr'!$D15,INDIRECT(T$5)))</f>
        <v>1900</v>
      </c>
      <c r="U15" s="593">
        <f ca="1">$E15*(-SUMIF(INDIRECT(U$3),'Struktur Vorjahr'!$D15,INDIRECT(U$4))+SUMIF(INDIRECT(U$3),'Struktur Vorjahr'!$D15,INDIRECT(U$5)))</f>
        <v>3045</v>
      </c>
      <c r="V15" s="593">
        <f ca="1">$E15*(-SUMIF(INDIRECT(V$3),'Struktur Vorjahr'!$D15,INDIRECT(V$4))+SUMIF(INDIRECT(V$3),'Struktur Vorjahr'!$D15,INDIRECT(V$5)))</f>
        <v>3995</v>
      </c>
      <c r="W15" s="593">
        <f ca="1">$E15*(-SUMIF(INDIRECT(W$3),'Struktur Vorjahr'!$D15,INDIRECT(W$4))+SUMIF(INDIRECT(W$3),'Struktur Vorjahr'!$D15,INDIRECT(W$5)))</f>
        <v>4945</v>
      </c>
      <c r="X15" s="593">
        <f ca="1">$E15*(-SUMIF(INDIRECT(X$3),'Struktur Vorjahr'!$D15,INDIRECT(X$4))+SUMIF(INDIRECT(X$3),'Struktur Vorjahr'!$D15,INDIRECT(X$5)))</f>
        <v>9132.5400000000009</v>
      </c>
      <c r="Y15" s="593">
        <f ca="1">$E15*(-SUMIF(INDIRECT(Y$3),'Struktur Vorjahr'!$D15,INDIRECT(Y$4))+SUMIF(INDIRECT(Y$3),'Struktur Vorjahr'!$D15,INDIRECT(Y$5)))</f>
        <v>19734.7</v>
      </c>
      <c r="Z15" s="593">
        <f ca="1">$E15*(-SUMIF(INDIRECT(Z$3),'Struktur Vorjahr'!$D15,INDIRECT(Z$4))+SUMIF(INDIRECT(Z$3),'Struktur Vorjahr'!$D15,INDIRECT(Z$5)))</f>
        <v>25956.42</v>
      </c>
      <c r="AA15" s="593">
        <f ca="1">$E15*(-SUMIF(INDIRECT(AA$3),'Struktur Vorjahr'!$D15,INDIRECT(AA$4))+SUMIF(INDIRECT(AA$3),'Struktur Vorjahr'!$D15,INDIRECT(AA$5)))</f>
        <v>35319.35</v>
      </c>
      <c r="AB15" s="593">
        <f ca="1">$E15*(-SUMIF(INDIRECT(AB$3),'Struktur Vorjahr'!$D15,INDIRECT(AB$4))+SUMIF(INDIRECT(AB$3),'Struktur Vorjahr'!$D15,INDIRECT(AB$5)))</f>
        <v>42842.45</v>
      </c>
      <c r="AC15" s="593">
        <f ca="1">$E15*(-SUMIF(INDIRECT(AC$3),'Struktur Vorjahr'!$D15,INDIRECT(AC$4))+SUMIF(INDIRECT(AC$3),'Struktur Vorjahr'!$D15,INDIRECT(AC$5)))</f>
        <v>0</v>
      </c>
      <c r="AD15" s="593">
        <f ca="1">$E15*(-SUMIF(INDIRECT(AD$3),'Struktur Vorjahr'!$D15,INDIRECT(AD$4))+SUMIF(INDIRECT(AD$3),'Struktur Vorjahr'!$D15,INDIRECT(AD$5)))</f>
        <v>0</v>
      </c>
      <c r="AE15" s="593">
        <f t="shared" ca="1" si="17"/>
        <v>950</v>
      </c>
      <c r="AF15" s="593">
        <f t="shared" ca="1" si="18"/>
        <v>1900</v>
      </c>
      <c r="AG15" s="593">
        <f t="shared" ca="1" si="16"/>
        <v>3045</v>
      </c>
      <c r="AH15" s="593">
        <f t="shared" ca="1" si="16"/>
        <v>3995</v>
      </c>
      <c r="AI15" s="593">
        <f t="shared" ca="1" si="16"/>
        <v>4945</v>
      </c>
      <c r="AJ15" s="593">
        <f t="shared" ca="1" si="16"/>
        <v>9132.5400000000009</v>
      </c>
      <c r="AK15" s="593">
        <f t="shared" ca="1" si="16"/>
        <v>19734.7</v>
      </c>
      <c r="AL15" s="593">
        <f t="shared" ca="1" si="16"/>
        <v>25956.420000000002</v>
      </c>
      <c r="AM15" s="593">
        <f t="shared" ca="1" si="16"/>
        <v>35319.350000000006</v>
      </c>
      <c r="AN15" s="593">
        <f t="shared" ca="1" si="16"/>
        <v>42842.450000000004</v>
      </c>
      <c r="AO15" s="593">
        <f t="shared" ca="1" si="16"/>
        <v>42842.450000000004</v>
      </c>
      <c r="AP15" s="593">
        <f t="shared" ca="1" si="16"/>
        <v>42842.450000000004</v>
      </c>
    </row>
    <row r="16" spans="1:42" s="594" customFormat="1" ht="11.25" outlineLevel="1" x14ac:dyDescent="0.2">
      <c r="A16" s="590"/>
      <c r="B16" s="591" t="str">
        <f>IF(D16&lt;&gt;"",
IF(ISERROR(MATCH(D16,'Ist Vorjahr Monat 01'!A:A,0))=FALSE,INDEX('Ist Vorjahr Monat 01'!B:B,MATCH(D16,'Ist Vorjahr Monat 01'!A:A,0)),
IF(ISERROR(MATCH(D16,'Ist Vorjahr Monat 02'!A:A,0))=FALSE,INDEX('Ist Vorjahr Monat 02'!B:B,MATCH(D16,'Ist Vorjahr Monat 02'!A:A,0)),
IF(ISERROR(MATCH(D16,'Ist Vorjahr Monat 03'!A:A,0))=FALSE,INDEX('Ist Vorjahr Monat 03'!B:B,MATCH(D16,'Ist Vorjahr Monat 03'!A:A,0)),
IF(ISERROR(MATCH(D16,'Ist Vorjahr Monat 04'!A:A,0))=FALSE,INDEX('Ist Vorjahr Monat 04'!B:B,MATCH(D16,'Ist Vorjahr Monat 04'!A:A,0)),
IF(ISERROR(MATCH(D16,'Ist Vorjahr Monat 05'!A:A,0))=FALSE,INDEX('Ist Vorjahr Monat 05'!B:B,MATCH(D16,'Ist Vorjahr Monat 05'!A:A,0)),
IF(ISERROR(MATCH(D16,'Ist Vorjahr Monat 06'!A:A,0))=FALSE,INDEX('Ist Vorjahr Monat 06'!B:B,MATCH(D16,'Ist Vorjahr Monat 06'!A:A,0)),
IF(ISERROR(MATCH(D16,'Ist Vorjahr Monat 07'!A:A,0))=FALSE,INDEX('Ist Vorjahr Monat 07'!B:B,MATCH(D16,'Ist Vorjahr Monat 07'!A:A,0)),
IF(ISERROR(MATCH(D16,'Ist Vorjahr Monat 08'!A:A,0))=FALSE,INDEX('Ist Vorjahr Monat 08'!B:B,MATCH(D16,'Ist Vorjahr Monat 08'!A:A,0)),
IF(ISERROR(MATCH(D16,'Ist Vorjahr Monat 09'!A:A,0))=FALSE,INDEX('Ist Vorjahr Monat 09'!B:B,MATCH(D16,'Ist Vorjahr Monat 09'!A:A,0)),
IF(ISERROR(MATCH(D16,'Ist Vorjahr Monat 10'!A:A,0))=FALSE,INDEX('Ist Vorjahr Monat 10'!B:B,MATCH(D16,'Ist Vorjahr Monat 10'!A:A,0)),
IF(ISERROR(MATCH(D16,'Ist Vorjahr Monat 11'!A:A,0))=FALSE,INDEX('Ist Vorjahr Monat 11'!B:B,MATCH(D16,'Ist Vorjahr Monat 11'!A:A,0)),
IF(ISERROR(MATCH(D16,'Ist Vorjahr Monat 12'!A:A,0))=FALSE,INDEX('Ist Vorjahr Monat 12'!B:B,MATCH(D16,'Ist Vorjahr Monat 12'!A:A,0)),
"{Konto unbekannt}"
)))))))))))),"")</f>
        <v xml:space="preserve">Erlöse Datenbanken &amp; Behörden </v>
      </c>
      <c r="C16" s="591"/>
      <c r="D16" s="590">
        <v>8410</v>
      </c>
      <c r="E16" s="592">
        <f t="shared" si="19"/>
        <v>-1</v>
      </c>
      <c r="F16" s="590" t="s">
        <v>996</v>
      </c>
      <c r="G16" s="593">
        <f ca="1">$E16*(-SUMIF(INDIRECT(G$3),'Struktur Vorjahr'!$D16,INDIRECT(G$4))+SUMIF(INDIRECT(G$3),'Struktur Vorjahr'!$D16,INDIRECT(G$5)))</f>
        <v>6754.33</v>
      </c>
      <c r="H16" s="593">
        <f ca="1">$E16*(-SUMIF(INDIRECT(H$3),'Struktur Vorjahr'!$D16,INDIRECT(H$4))+SUMIF(INDIRECT(H$3),'Struktur Vorjahr'!$D16,INDIRECT(H$5)))</f>
        <v>7503.26</v>
      </c>
      <c r="I16" s="593">
        <f ca="1">$E16*(-SUMIF(INDIRECT(I$3),'Struktur Vorjahr'!$D16,INDIRECT(I$4))+SUMIF(INDIRECT(I$3),'Struktur Vorjahr'!$D16,INDIRECT(I$5)))</f>
        <v>0</v>
      </c>
      <c r="J16" s="593">
        <f ca="1">$E16*(-SUMIF(INDIRECT(J$3),'Struktur Vorjahr'!$D16,INDIRECT(J$4))+SUMIF(INDIRECT(J$3),'Struktur Vorjahr'!$D16,INDIRECT(J$5)))</f>
        <v>11823.88</v>
      </c>
      <c r="K16" s="593">
        <f ca="1">$E16*(-SUMIF(INDIRECT(K$3),'Struktur Vorjahr'!$D16,INDIRECT(K$4))+SUMIF(INDIRECT(K$3),'Struktur Vorjahr'!$D16,INDIRECT(K$5)))</f>
        <v>5920.88</v>
      </c>
      <c r="L16" s="593">
        <f ca="1">$E16*(-SUMIF(INDIRECT(L$3),'Struktur Vorjahr'!$D16,INDIRECT(L$4))+SUMIF(INDIRECT(L$3),'Struktur Vorjahr'!$D16,INDIRECT(L$5)))</f>
        <v>5149.59</v>
      </c>
      <c r="M16" s="593">
        <f ca="1">$E16*(-SUMIF(INDIRECT(M$3),'Struktur Vorjahr'!$D16,INDIRECT(M$4))+SUMIF(INDIRECT(M$3),'Struktur Vorjahr'!$D16,INDIRECT(M$5)))</f>
        <v>9123.01</v>
      </c>
      <c r="N16" s="593">
        <f ca="1">$E16*(-SUMIF(INDIRECT(N$3),'Struktur Vorjahr'!$D16,INDIRECT(N$4))+SUMIF(INDIRECT(N$3),'Struktur Vorjahr'!$D16,INDIRECT(N$5)))</f>
        <v>4320</v>
      </c>
      <c r="O16" s="593">
        <f ca="1">$E16*(-SUMIF(INDIRECT(O$3),'Struktur Vorjahr'!$D16,INDIRECT(O$4))+SUMIF(INDIRECT(O$3),'Struktur Vorjahr'!$D16,INDIRECT(O$5)))</f>
        <v>292.48</v>
      </c>
      <c r="P16" s="593">
        <f ca="1">$E16*(-SUMIF(INDIRECT(P$3),'Struktur Vorjahr'!$D16,INDIRECT(P$4))+SUMIF(INDIRECT(P$3),'Struktur Vorjahr'!$D16,INDIRECT(P$5)))</f>
        <v>14681.5</v>
      </c>
      <c r="Q16" s="593">
        <f ca="1">$E16*(-SUMIF(INDIRECT(Q$3),'Struktur Vorjahr'!$D16,INDIRECT(Q$4))+SUMIF(INDIRECT(Q$3),'Struktur Vorjahr'!$D16,INDIRECT(Q$5)))</f>
        <v>0</v>
      </c>
      <c r="R16" s="593">
        <f ca="1">$E16*(-SUMIF(INDIRECT(R$3),'Struktur Vorjahr'!$D16,INDIRECT(R$4))+SUMIF(INDIRECT(R$3),'Struktur Vorjahr'!$D16,INDIRECT(R$5)))</f>
        <v>0</v>
      </c>
      <c r="S16" s="593">
        <f ca="1">$E16*(-SUMIF(INDIRECT(S$3),'Struktur Vorjahr'!$D16,INDIRECT(S$4))+SUMIF(INDIRECT(S$3),'Struktur Vorjahr'!$D16,INDIRECT(S$5)))</f>
        <v>6754.33</v>
      </c>
      <c r="T16" s="593">
        <f ca="1">$E16*(-SUMIF(INDIRECT(T$3),'Struktur Vorjahr'!$D16,INDIRECT(T$4))+SUMIF(INDIRECT(T$3),'Struktur Vorjahr'!$D16,INDIRECT(T$5)))</f>
        <v>14257.59</v>
      </c>
      <c r="U16" s="593">
        <f ca="1">$E16*(-SUMIF(INDIRECT(U$3),'Struktur Vorjahr'!$D16,INDIRECT(U$4))+SUMIF(INDIRECT(U$3),'Struktur Vorjahr'!$D16,INDIRECT(U$5)))</f>
        <v>14257.59</v>
      </c>
      <c r="V16" s="593">
        <f ca="1">$E16*(-SUMIF(INDIRECT(V$3),'Struktur Vorjahr'!$D16,INDIRECT(V$4))+SUMIF(INDIRECT(V$3),'Struktur Vorjahr'!$D16,INDIRECT(V$5)))</f>
        <v>26081.47</v>
      </c>
      <c r="W16" s="593">
        <f ca="1">$E16*(-SUMIF(INDIRECT(W$3),'Struktur Vorjahr'!$D16,INDIRECT(W$4))+SUMIF(INDIRECT(W$3),'Struktur Vorjahr'!$D16,INDIRECT(W$5)))</f>
        <v>32002.35</v>
      </c>
      <c r="X16" s="593">
        <f ca="1">$E16*(-SUMIF(INDIRECT(X$3),'Struktur Vorjahr'!$D16,INDIRECT(X$4))+SUMIF(INDIRECT(X$3),'Struktur Vorjahr'!$D16,INDIRECT(X$5)))</f>
        <v>37151.94</v>
      </c>
      <c r="Y16" s="593">
        <f ca="1">$E16*(-SUMIF(INDIRECT(Y$3),'Struktur Vorjahr'!$D16,INDIRECT(Y$4))+SUMIF(INDIRECT(Y$3),'Struktur Vorjahr'!$D16,INDIRECT(Y$5)))</f>
        <v>46274.95</v>
      </c>
      <c r="Z16" s="593">
        <f ca="1">$E16*(-SUMIF(INDIRECT(Z$3),'Struktur Vorjahr'!$D16,INDIRECT(Z$4))+SUMIF(INDIRECT(Z$3),'Struktur Vorjahr'!$D16,INDIRECT(Z$5)))</f>
        <v>50594.95</v>
      </c>
      <c r="AA16" s="593">
        <f ca="1">$E16*(-SUMIF(INDIRECT(AA$3),'Struktur Vorjahr'!$D16,INDIRECT(AA$4))+SUMIF(INDIRECT(AA$3),'Struktur Vorjahr'!$D16,INDIRECT(AA$5)))</f>
        <v>50887.43</v>
      </c>
      <c r="AB16" s="593">
        <f ca="1">$E16*(-SUMIF(INDIRECT(AB$3),'Struktur Vorjahr'!$D16,INDIRECT(AB$4))+SUMIF(INDIRECT(AB$3),'Struktur Vorjahr'!$D16,INDIRECT(AB$5)))</f>
        <v>65568.929999999993</v>
      </c>
      <c r="AC16" s="593">
        <f ca="1">$E16*(-SUMIF(INDIRECT(AC$3),'Struktur Vorjahr'!$D16,INDIRECT(AC$4))+SUMIF(INDIRECT(AC$3),'Struktur Vorjahr'!$D16,INDIRECT(AC$5)))</f>
        <v>0</v>
      </c>
      <c r="AD16" s="593">
        <f ca="1">$E16*(-SUMIF(INDIRECT(AD$3),'Struktur Vorjahr'!$D16,INDIRECT(AD$4))+SUMIF(INDIRECT(AD$3),'Struktur Vorjahr'!$D16,INDIRECT(AD$5)))</f>
        <v>0</v>
      </c>
      <c r="AE16" s="593">
        <f t="shared" ca="1" si="17"/>
        <v>6754.33</v>
      </c>
      <c r="AF16" s="593">
        <f t="shared" ca="1" si="18"/>
        <v>14257.59</v>
      </c>
      <c r="AG16" s="593">
        <f t="shared" ca="1" si="16"/>
        <v>14257.59</v>
      </c>
      <c r="AH16" s="593">
        <f t="shared" ca="1" si="16"/>
        <v>26081.47</v>
      </c>
      <c r="AI16" s="593">
        <f t="shared" ca="1" si="16"/>
        <v>32002.350000000002</v>
      </c>
      <c r="AJ16" s="593">
        <f t="shared" ca="1" si="16"/>
        <v>37151.94</v>
      </c>
      <c r="AK16" s="593">
        <f t="shared" ca="1" si="16"/>
        <v>46274.950000000004</v>
      </c>
      <c r="AL16" s="593">
        <f t="shared" ca="1" si="16"/>
        <v>50594.950000000004</v>
      </c>
      <c r="AM16" s="593">
        <f t="shared" ca="1" si="16"/>
        <v>50887.430000000008</v>
      </c>
      <c r="AN16" s="593">
        <f t="shared" ca="1" si="16"/>
        <v>65568.930000000008</v>
      </c>
      <c r="AO16" s="593">
        <f t="shared" ca="1" si="16"/>
        <v>65568.930000000008</v>
      </c>
      <c r="AP16" s="593">
        <f t="shared" ca="1" si="16"/>
        <v>65568.930000000008</v>
      </c>
    </row>
    <row r="17" spans="1:42" s="594" customFormat="1" ht="11.25" outlineLevel="1" x14ac:dyDescent="0.2">
      <c r="A17" s="590"/>
      <c r="B17" s="591" t="str">
        <f>IF(D17&lt;&gt;"",
IF(ISERROR(MATCH(D17,'Ist Vorjahr Monat 01'!A:A,0))=FALSE,INDEX('Ist Vorjahr Monat 01'!B:B,MATCH(D17,'Ist Vorjahr Monat 01'!A:A,0)),
IF(ISERROR(MATCH(D17,'Ist Vorjahr Monat 02'!A:A,0))=FALSE,INDEX('Ist Vorjahr Monat 02'!B:B,MATCH(D17,'Ist Vorjahr Monat 02'!A:A,0)),
IF(ISERROR(MATCH(D17,'Ist Vorjahr Monat 03'!A:A,0))=FALSE,INDEX('Ist Vorjahr Monat 03'!B:B,MATCH(D17,'Ist Vorjahr Monat 03'!A:A,0)),
IF(ISERROR(MATCH(D17,'Ist Vorjahr Monat 04'!A:A,0))=FALSE,INDEX('Ist Vorjahr Monat 04'!B:B,MATCH(D17,'Ist Vorjahr Monat 04'!A:A,0)),
IF(ISERROR(MATCH(D17,'Ist Vorjahr Monat 05'!A:A,0))=FALSE,INDEX('Ist Vorjahr Monat 05'!B:B,MATCH(D17,'Ist Vorjahr Monat 05'!A:A,0)),
IF(ISERROR(MATCH(D17,'Ist Vorjahr Monat 06'!A:A,0))=FALSE,INDEX('Ist Vorjahr Monat 06'!B:B,MATCH(D17,'Ist Vorjahr Monat 06'!A:A,0)),
IF(ISERROR(MATCH(D17,'Ist Vorjahr Monat 07'!A:A,0))=FALSE,INDEX('Ist Vorjahr Monat 07'!B:B,MATCH(D17,'Ist Vorjahr Monat 07'!A:A,0)),
IF(ISERROR(MATCH(D17,'Ist Vorjahr Monat 08'!A:A,0))=FALSE,INDEX('Ist Vorjahr Monat 08'!B:B,MATCH(D17,'Ist Vorjahr Monat 08'!A:A,0)),
IF(ISERROR(MATCH(D17,'Ist Vorjahr Monat 09'!A:A,0))=FALSE,INDEX('Ist Vorjahr Monat 09'!B:B,MATCH(D17,'Ist Vorjahr Monat 09'!A:A,0)),
IF(ISERROR(MATCH(D17,'Ist Vorjahr Monat 10'!A:A,0))=FALSE,INDEX('Ist Vorjahr Monat 10'!B:B,MATCH(D17,'Ist Vorjahr Monat 10'!A:A,0)),
IF(ISERROR(MATCH(D17,'Ist Vorjahr Monat 11'!A:A,0))=FALSE,INDEX('Ist Vorjahr Monat 11'!B:B,MATCH(D17,'Ist Vorjahr Monat 11'!A:A,0)),
IF(ISERROR(MATCH(D17,'Ist Vorjahr Monat 12'!A:A,0))=FALSE,INDEX('Ist Vorjahr Monat 12'!B:B,MATCH(D17,'Ist Vorjahr Monat 12'!A:A,0)),
"{Konto unbekannt}"
)))))))))))),"")</f>
        <v>Provisionsumsätze "Internet-Services"</v>
      </c>
      <c r="C17" s="591"/>
      <c r="D17" s="590">
        <v>8519</v>
      </c>
      <c r="E17" s="592">
        <f t="shared" si="19"/>
        <v>-1</v>
      </c>
      <c r="F17" s="590" t="s">
        <v>996</v>
      </c>
      <c r="G17" s="593">
        <f ca="1">$E17*(-SUMIF(INDIRECT(G$3),'Struktur Vorjahr'!$D17,INDIRECT(G$4))+SUMIF(INDIRECT(G$3),'Struktur Vorjahr'!$D17,INDIRECT(G$5)))</f>
        <v>0</v>
      </c>
      <c r="H17" s="593">
        <f ca="1">$E17*(-SUMIF(INDIRECT(H$3),'Struktur Vorjahr'!$D17,INDIRECT(H$4))+SUMIF(INDIRECT(H$3),'Struktur Vorjahr'!$D17,INDIRECT(H$5)))</f>
        <v>0</v>
      </c>
      <c r="I17" s="593">
        <f ca="1">$E17*(-SUMIF(INDIRECT(I$3),'Struktur Vorjahr'!$D17,INDIRECT(I$4))+SUMIF(INDIRECT(I$3),'Struktur Vorjahr'!$D17,INDIRECT(I$5)))</f>
        <v>49.6</v>
      </c>
      <c r="J17" s="593">
        <f ca="1">$E17*(-SUMIF(INDIRECT(J$3),'Struktur Vorjahr'!$D17,INDIRECT(J$4))+SUMIF(INDIRECT(J$3),'Struktur Vorjahr'!$D17,INDIRECT(J$5)))</f>
        <v>0</v>
      </c>
      <c r="K17" s="593">
        <f ca="1">$E17*(-SUMIF(INDIRECT(K$3),'Struktur Vorjahr'!$D17,INDIRECT(K$4))+SUMIF(INDIRECT(K$3),'Struktur Vorjahr'!$D17,INDIRECT(K$5)))</f>
        <v>0</v>
      </c>
      <c r="L17" s="593">
        <f ca="1">$E17*(-SUMIF(INDIRECT(L$3),'Struktur Vorjahr'!$D17,INDIRECT(L$4))+SUMIF(INDIRECT(L$3),'Struktur Vorjahr'!$D17,INDIRECT(L$5)))</f>
        <v>0</v>
      </c>
      <c r="M17" s="593">
        <f ca="1">$E17*(-SUMIF(INDIRECT(M$3),'Struktur Vorjahr'!$D17,INDIRECT(M$4))+SUMIF(INDIRECT(M$3),'Struktur Vorjahr'!$D17,INDIRECT(M$5)))</f>
        <v>0</v>
      </c>
      <c r="N17" s="593">
        <f ca="1">$E17*(-SUMIF(INDIRECT(N$3),'Struktur Vorjahr'!$D17,INDIRECT(N$4))+SUMIF(INDIRECT(N$3),'Struktur Vorjahr'!$D17,INDIRECT(N$5)))</f>
        <v>0</v>
      </c>
      <c r="O17" s="593">
        <f ca="1">$E17*(-SUMIF(INDIRECT(O$3),'Struktur Vorjahr'!$D17,INDIRECT(O$4))+SUMIF(INDIRECT(O$3),'Struktur Vorjahr'!$D17,INDIRECT(O$5)))</f>
        <v>49.6</v>
      </c>
      <c r="P17" s="593">
        <f ca="1">$E17*(-SUMIF(INDIRECT(P$3),'Struktur Vorjahr'!$D17,INDIRECT(P$4))+SUMIF(INDIRECT(P$3),'Struktur Vorjahr'!$D17,INDIRECT(P$5)))</f>
        <v>0</v>
      </c>
      <c r="Q17" s="593">
        <f ca="1">$E17*(-SUMIF(INDIRECT(Q$3),'Struktur Vorjahr'!$D17,INDIRECT(Q$4))+SUMIF(INDIRECT(Q$3),'Struktur Vorjahr'!$D17,INDIRECT(Q$5)))</f>
        <v>0</v>
      </c>
      <c r="R17" s="593">
        <f ca="1">$E17*(-SUMIF(INDIRECT(R$3),'Struktur Vorjahr'!$D17,INDIRECT(R$4))+SUMIF(INDIRECT(R$3),'Struktur Vorjahr'!$D17,INDIRECT(R$5)))</f>
        <v>0</v>
      </c>
      <c r="S17" s="593">
        <f ca="1">$E17*(-SUMIF(INDIRECT(S$3),'Struktur Vorjahr'!$D17,INDIRECT(S$4))+SUMIF(INDIRECT(S$3),'Struktur Vorjahr'!$D17,INDIRECT(S$5)))</f>
        <v>0</v>
      </c>
      <c r="T17" s="593">
        <f ca="1">$E17*(-SUMIF(INDIRECT(T$3),'Struktur Vorjahr'!$D17,INDIRECT(T$4))+SUMIF(INDIRECT(T$3),'Struktur Vorjahr'!$D17,INDIRECT(T$5)))</f>
        <v>0</v>
      </c>
      <c r="U17" s="593">
        <f ca="1">$E17*(-SUMIF(INDIRECT(U$3),'Struktur Vorjahr'!$D17,INDIRECT(U$4))+SUMIF(INDIRECT(U$3),'Struktur Vorjahr'!$D17,INDIRECT(U$5)))</f>
        <v>49.6</v>
      </c>
      <c r="V17" s="593">
        <f ca="1">$E17*(-SUMIF(INDIRECT(V$3),'Struktur Vorjahr'!$D17,INDIRECT(V$4))+SUMIF(INDIRECT(V$3),'Struktur Vorjahr'!$D17,INDIRECT(V$5)))</f>
        <v>49.6</v>
      </c>
      <c r="W17" s="593">
        <f ca="1">$E17*(-SUMIF(INDIRECT(W$3),'Struktur Vorjahr'!$D17,INDIRECT(W$4))+SUMIF(INDIRECT(W$3),'Struktur Vorjahr'!$D17,INDIRECT(W$5)))</f>
        <v>49.6</v>
      </c>
      <c r="X17" s="593">
        <f ca="1">$E17*(-SUMIF(INDIRECT(X$3),'Struktur Vorjahr'!$D17,INDIRECT(X$4))+SUMIF(INDIRECT(X$3),'Struktur Vorjahr'!$D17,INDIRECT(X$5)))</f>
        <v>49.6</v>
      </c>
      <c r="Y17" s="593">
        <f ca="1">$E17*(-SUMIF(INDIRECT(Y$3),'Struktur Vorjahr'!$D17,INDIRECT(Y$4))+SUMIF(INDIRECT(Y$3),'Struktur Vorjahr'!$D17,INDIRECT(Y$5)))</f>
        <v>49.6</v>
      </c>
      <c r="Z17" s="593">
        <f ca="1">$E17*(-SUMIF(INDIRECT(Z$3),'Struktur Vorjahr'!$D17,INDIRECT(Z$4))+SUMIF(INDIRECT(Z$3),'Struktur Vorjahr'!$D17,INDIRECT(Z$5)))</f>
        <v>49.6</v>
      </c>
      <c r="AA17" s="593">
        <f ca="1">$E17*(-SUMIF(INDIRECT(AA$3),'Struktur Vorjahr'!$D17,INDIRECT(AA$4))+SUMIF(INDIRECT(AA$3),'Struktur Vorjahr'!$D17,INDIRECT(AA$5)))</f>
        <v>99.2</v>
      </c>
      <c r="AB17" s="593">
        <f ca="1">$E17*(-SUMIF(INDIRECT(AB$3),'Struktur Vorjahr'!$D17,INDIRECT(AB$4))+SUMIF(INDIRECT(AB$3),'Struktur Vorjahr'!$D17,INDIRECT(AB$5)))</f>
        <v>99.2</v>
      </c>
      <c r="AC17" s="593">
        <f ca="1">$E17*(-SUMIF(INDIRECT(AC$3),'Struktur Vorjahr'!$D17,INDIRECT(AC$4))+SUMIF(INDIRECT(AC$3),'Struktur Vorjahr'!$D17,INDIRECT(AC$5)))</f>
        <v>0</v>
      </c>
      <c r="AD17" s="593">
        <f ca="1">$E17*(-SUMIF(INDIRECT(AD$3),'Struktur Vorjahr'!$D17,INDIRECT(AD$4))+SUMIF(INDIRECT(AD$3),'Struktur Vorjahr'!$D17,INDIRECT(AD$5)))</f>
        <v>0</v>
      </c>
      <c r="AE17" s="593">
        <f t="shared" ca="1" si="17"/>
        <v>0</v>
      </c>
      <c r="AF17" s="593">
        <f t="shared" ca="1" si="18"/>
        <v>0</v>
      </c>
      <c r="AG17" s="593">
        <f t="shared" ca="1" si="16"/>
        <v>49.6</v>
      </c>
      <c r="AH17" s="593">
        <f t="shared" ca="1" si="16"/>
        <v>49.6</v>
      </c>
      <c r="AI17" s="593">
        <f t="shared" ca="1" si="16"/>
        <v>49.6</v>
      </c>
      <c r="AJ17" s="593">
        <f t="shared" ca="1" si="16"/>
        <v>49.6</v>
      </c>
      <c r="AK17" s="593">
        <f t="shared" ca="1" si="16"/>
        <v>49.6</v>
      </c>
      <c r="AL17" s="593">
        <f t="shared" ca="1" si="16"/>
        <v>49.6</v>
      </c>
      <c r="AM17" s="593">
        <f t="shared" ca="1" si="16"/>
        <v>99.2</v>
      </c>
      <c r="AN17" s="593">
        <f t="shared" ca="1" si="16"/>
        <v>99.2</v>
      </c>
      <c r="AO17" s="593">
        <f t="shared" ca="1" si="16"/>
        <v>99.2</v>
      </c>
      <c r="AP17" s="593">
        <f t="shared" ca="1" si="16"/>
        <v>99.2</v>
      </c>
    </row>
    <row r="18" spans="1:42" s="594" customFormat="1" ht="11.25" outlineLevel="1" x14ac:dyDescent="0.2">
      <c r="A18" s="590"/>
      <c r="B18" s="591" t="str">
        <f>IF(D18&lt;&gt;"",
IF(ISERROR(MATCH(D18,'Ist Vorjahr Monat 01'!A:A,0))=FALSE,INDEX('Ist Vorjahr Monat 01'!B:B,MATCH(D18,'Ist Vorjahr Monat 01'!A:A,0)),
IF(ISERROR(MATCH(D18,'Ist Vorjahr Monat 02'!A:A,0))=FALSE,INDEX('Ist Vorjahr Monat 02'!B:B,MATCH(D18,'Ist Vorjahr Monat 02'!A:A,0)),
IF(ISERROR(MATCH(D18,'Ist Vorjahr Monat 03'!A:A,0))=FALSE,INDEX('Ist Vorjahr Monat 03'!B:B,MATCH(D18,'Ist Vorjahr Monat 03'!A:A,0)),
IF(ISERROR(MATCH(D18,'Ist Vorjahr Monat 04'!A:A,0))=FALSE,INDEX('Ist Vorjahr Monat 04'!B:B,MATCH(D18,'Ist Vorjahr Monat 04'!A:A,0)),
IF(ISERROR(MATCH(D18,'Ist Vorjahr Monat 05'!A:A,0))=FALSE,INDEX('Ist Vorjahr Monat 05'!B:B,MATCH(D18,'Ist Vorjahr Monat 05'!A:A,0)),
IF(ISERROR(MATCH(D18,'Ist Vorjahr Monat 06'!A:A,0))=FALSE,INDEX('Ist Vorjahr Monat 06'!B:B,MATCH(D18,'Ist Vorjahr Monat 06'!A:A,0)),
IF(ISERROR(MATCH(D18,'Ist Vorjahr Monat 07'!A:A,0))=FALSE,INDEX('Ist Vorjahr Monat 07'!B:B,MATCH(D18,'Ist Vorjahr Monat 07'!A:A,0)),
IF(ISERROR(MATCH(D18,'Ist Vorjahr Monat 08'!A:A,0))=FALSE,INDEX('Ist Vorjahr Monat 08'!B:B,MATCH(D18,'Ist Vorjahr Monat 08'!A:A,0)),
IF(ISERROR(MATCH(D18,'Ist Vorjahr Monat 09'!A:A,0))=FALSE,INDEX('Ist Vorjahr Monat 09'!B:B,MATCH(D18,'Ist Vorjahr Monat 09'!A:A,0)),
IF(ISERROR(MATCH(D18,'Ist Vorjahr Monat 10'!A:A,0))=FALSE,INDEX('Ist Vorjahr Monat 10'!B:B,MATCH(D18,'Ist Vorjahr Monat 10'!A:A,0)),
IF(ISERROR(MATCH(D18,'Ist Vorjahr Monat 11'!A:A,0))=FALSE,INDEX('Ist Vorjahr Monat 11'!B:B,MATCH(D18,'Ist Vorjahr Monat 11'!A:A,0)),
IF(ISERROR(MATCH(D18,'Ist Vorjahr Monat 12'!A:A,0))=FALSE,INDEX('Ist Vorjahr Monat 12'!B:B,MATCH(D18,'Ist Vorjahr Monat 12'!A:A,0)),
"{Konto unbekannt}"
)))))))))))),"")</f>
        <v/>
      </c>
      <c r="C18" s="591"/>
      <c r="D18" s="590"/>
      <c r="E18" s="592">
        <f t="shared" si="19"/>
        <v>-1</v>
      </c>
      <c r="F18" s="590" t="s">
        <v>996</v>
      </c>
      <c r="G18" s="593">
        <f ca="1">$E18*(-SUMIF(INDIRECT(G$3),'Struktur Vorjahr'!$D18,INDIRECT(G$4))+SUMIF(INDIRECT(G$3),'Struktur Vorjahr'!$D18,INDIRECT(G$5)))</f>
        <v>0</v>
      </c>
      <c r="H18" s="593">
        <f ca="1">$E18*(-SUMIF(INDIRECT(H$3),'Struktur Vorjahr'!$D18,INDIRECT(H$4))+SUMIF(INDIRECT(H$3),'Struktur Vorjahr'!$D18,INDIRECT(H$5)))</f>
        <v>0</v>
      </c>
      <c r="I18" s="593">
        <f ca="1">$E18*(-SUMIF(INDIRECT(I$3),'Struktur Vorjahr'!$D18,INDIRECT(I$4))+SUMIF(INDIRECT(I$3),'Struktur Vorjahr'!$D18,INDIRECT(I$5)))</f>
        <v>0</v>
      </c>
      <c r="J18" s="593">
        <f ca="1">$E18*(-SUMIF(INDIRECT(J$3),'Struktur Vorjahr'!$D18,INDIRECT(J$4))+SUMIF(INDIRECT(J$3),'Struktur Vorjahr'!$D18,INDIRECT(J$5)))</f>
        <v>0</v>
      </c>
      <c r="K18" s="593">
        <f ca="1">$E18*(-SUMIF(INDIRECT(K$3),'Struktur Vorjahr'!$D18,INDIRECT(K$4))+SUMIF(INDIRECT(K$3),'Struktur Vorjahr'!$D18,INDIRECT(K$5)))</f>
        <v>0</v>
      </c>
      <c r="L18" s="593">
        <f ca="1">$E18*(-SUMIF(INDIRECT(L$3),'Struktur Vorjahr'!$D18,INDIRECT(L$4))+SUMIF(INDIRECT(L$3),'Struktur Vorjahr'!$D18,INDIRECT(L$5)))</f>
        <v>0</v>
      </c>
      <c r="M18" s="593">
        <f ca="1">$E18*(-SUMIF(INDIRECT(M$3),'Struktur Vorjahr'!$D18,INDIRECT(M$4))+SUMIF(INDIRECT(M$3),'Struktur Vorjahr'!$D18,INDIRECT(M$5)))</f>
        <v>0</v>
      </c>
      <c r="N18" s="593">
        <f ca="1">$E18*(-SUMIF(INDIRECT(N$3),'Struktur Vorjahr'!$D18,INDIRECT(N$4))+SUMIF(INDIRECT(N$3),'Struktur Vorjahr'!$D18,INDIRECT(N$5)))</f>
        <v>0</v>
      </c>
      <c r="O18" s="593">
        <f ca="1">$E18*(-SUMIF(INDIRECT(O$3),'Struktur Vorjahr'!$D18,INDIRECT(O$4))+SUMIF(INDIRECT(O$3),'Struktur Vorjahr'!$D18,INDIRECT(O$5)))</f>
        <v>0</v>
      </c>
      <c r="P18" s="593">
        <f ca="1">$E18*(-SUMIF(INDIRECT(P$3),'Struktur Vorjahr'!$D18,INDIRECT(P$4))+SUMIF(INDIRECT(P$3),'Struktur Vorjahr'!$D18,INDIRECT(P$5)))</f>
        <v>0</v>
      </c>
      <c r="Q18" s="593">
        <f ca="1">$E18*(-SUMIF(INDIRECT(Q$3),'Struktur Vorjahr'!$D18,INDIRECT(Q$4))+SUMIF(INDIRECT(Q$3),'Struktur Vorjahr'!$D18,INDIRECT(Q$5)))</f>
        <v>0</v>
      </c>
      <c r="R18" s="593">
        <f ca="1">$E18*(-SUMIF(INDIRECT(R$3),'Struktur Vorjahr'!$D18,INDIRECT(R$4))+SUMIF(INDIRECT(R$3),'Struktur Vorjahr'!$D18,INDIRECT(R$5)))</f>
        <v>0</v>
      </c>
      <c r="S18" s="593">
        <f ca="1">$E18*(-SUMIF(INDIRECT(S$3),'Struktur Vorjahr'!$D18,INDIRECT(S$4))+SUMIF(INDIRECT(S$3),'Struktur Vorjahr'!$D18,INDIRECT(S$5)))</f>
        <v>0</v>
      </c>
      <c r="T18" s="593">
        <f ca="1">$E18*(-SUMIF(INDIRECT(T$3),'Struktur Vorjahr'!$D18,INDIRECT(T$4))+SUMIF(INDIRECT(T$3),'Struktur Vorjahr'!$D18,INDIRECT(T$5)))</f>
        <v>0</v>
      </c>
      <c r="U18" s="593">
        <f ca="1">$E18*(-SUMIF(INDIRECT(U$3),'Struktur Vorjahr'!$D18,INDIRECT(U$4))+SUMIF(INDIRECT(U$3),'Struktur Vorjahr'!$D18,INDIRECT(U$5)))</f>
        <v>0</v>
      </c>
      <c r="V18" s="593">
        <f ca="1">$E18*(-SUMIF(INDIRECT(V$3),'Struktur Vorjahr'!$D18,INDIRECT(V$4))+SUMIF(INDIRECT(V$3),'Struktur Vorjahr'!$D18,INDIRECT(V$5)))</f>
        <v>0</v>
      </c>
      <c r="W18" s="593">
        <f ca="1">$E18*(-SUMIF(INDIRECT(W$3),'Struktur Vorjahr'!$D18,INDIRECT(W$4))+SUMIF(INDIRECT(W$3),'Struktur Vorjahr'!$D18,INDIRECT(W$5)))</f>
        <v>0</v>
      </c>
      <c r="X18" s="593">
        <f ca="1">$E18*(-SUMIF(INDIRECT(X$3),'Struktur Vorjahr'!$D18,INDIRECT(X$4))+SUMIF(INDIRECT(X$3),'Struktur Vorjahr'!$D18,INDIRECT(X$5)))</f>
        <v>0</v>
      </c>
      <c r="Y18" s="593">
        <f ca="1">$E18*(-SUMIF(INDIRECT(Y$3),'Struktur Vorjahr'!$D18,INDIRECT(Y$4))+SUMIF(INDIRECT(Y$3),'Struktur Vorjahr'!$D18,INDIRECT(Y$5)))</f>
        <v>0</v>
      </c>
      <c r="Z18" s="593">
        <f ca="1">$E18*(-SUMIF(INDIRECT(Z$3),'Struktur Vorjahr'!$D18,INDIRECT(Z$4))+SUMIF(INDIRECT(Z$3),'Struktur Vorjahr'!$D18,INDIRECT(Z$5)))</f>
        <v>0</v>
      </c>
      <c r="AA18" s="593">
        <f ca="1">$E18*(-SUMIF(INDIRECT(AA$3),'Struktur Vorjahr'!$D18,INDIRECT(AA$4))+SUMIF(INDIRECT(AA$3),'Struktur Vorjahr'!$D18,INDIRECT(AA$5)))</f>
        <v>0</v>
      </c>
      <c r="AB18" s="593">
        <f ca="1">$E18*(-SUMIF(INDIRECT(AB$3),'Struktur Vorjahr'!$D18,INDIRECT(AB$4))+SUMIF(INDIRECT(AB$3),'Struktur Vorjahr'!$D18,INDIRECT(AB$5)))</f>
        <v>0</v>
      </c>
      <c r="AC18" s="593">
        <f ca="1">$E18*(-SUMIF(INDIRECT(AC$3),'Struktur Vorjahr'!$D18,INDIRECT(AC$4))+SUMIF(INDIRECT(AC$3),'Struktur Vorjahr'!$D18,INDIRECT(AC$5)))</f>
        <v>0</v>
      </c>
      <c r="AD18" s="593">
        <f ca="1">$E18*(-SUMIF(INDIRECT(AD$3),'Struktur Vorjahr'!$D18,INDIRECT(AD$4))+SUMIF(INDIRECT(AD$3),'Struktur Vorjahr'!$D18,INDIRECT(AD$5)))</f>
        <v>0</v>
      </c>
      <c r="AE18" s="593">
        <f t="shared" ca="1" si="17"/>
        <v>0</v>
      </c>
      <c r="AF18" s="593">
        <f t="shared" ca="1" si="18"/>
        <v>0</v>
      </c>
      <c r="AG18" s="593">
        <f t="shared" ca="1" si="16"/>
        <v>0</v>
      </c>
      <c r="AH18" s="593">
        <f t="shared" ca="1" si="16"/>
        <v>0</v>
      </c>
      <c r="AI18" s="593">
        <f t="shared" ca="1" si="16"/>
        <v>0</v>
      </c>
      <c r="AJ18" s="593">
        <f t="shared" ca="1" si="16"/>
        <v>0</v>
      </c>
      <c r="AK18" s="593">
        <f t="shared" ca="1" si="16"/>
        <v>0</v>
      </c>
      <c r="AL18" s="593">
        <f t="shared" ca="1" si="16"/>
        <v>0</v>
      </c>
      <c r="AM18" s="593">
        <f t="shared" ca="1" si="16"/>
        <v>0</v>
      </c>
      <c r="AN18" s="593">
        <f t="shared" ca="1" si="16"/>
        <v>0</v>
      </c>
      <c r="AO18" s="593">
        <f t="shared" ca="1" si="16"/>
        <v>0</v>
      </c>
      <c r="AP18" s="593">
        <f t="shared" ca="1" si="16"/>
        <v>0</v>
      </c>
    </row>
    <row r="19" spans="1:42" s="594" customFormat="1" ht="11.25" outlineLevel="1" x14ac:dyDescent="0.2">
      <c r="A19" s="590"/>
      <c r="B19" s="591" t="str">
        <f>IF(D19&lt;&gt;"",
IF(ISERROR(MATCH(D19,'Ist Vorjahr Monat 01'!A:A,0))=FALSE,INDEX('Ist Vorjahr Monat 01'!B:B,MATCH(D19,'Ist Vorjahr Monat 01'!A:A,0)),
IF(ISERROR(MATCH(D19,'Ist Vorjahr Monat 02'!A:A,0))=FALSE,INDEX('Ist Vorjahr Monat 02'!B:B,MATCH(D19,'Ist Vorjahr Monat 02'!A:A,0)),
IF(ISERROR(MATCH(D19,'Ist Vorjahr Monat 03'!A:A,0))=FALSE,INDEX('Ist Vorjahr Monat 03'!B:B,MATCH(D19,'Ist Vorjahr Monat 03'!A:A,0)),
IF(ISERROR(MATCH(D19,'Ist Vorjahr Monat 04'!A:A,0))=FALSE,INDEX('Ist Vorjahr Monat 04'!B:B,MATCH(D19,'Ist Vorjahr Monat 04'!A:A,0)),
IF(ISERROR(MATCH(D19,'Ist Vorjahr Monat 05'!A:A,0))=FALSE,INDEX('Ist Vorjahr Monat 05'!B:B,MATCH(D19,'Ist Vorjahr Monat 05'!A:A,0)),
IF(ISERROR(MATCH(D19,'Ist Vorjahr Monat 06'!A:A,0))=FALSE,INDEX('Ist Vorjahr Monat 06'!B:B,MATCH(D19,'Ist Vorjahr Monat 06'!A:A,0)),
IF(ISERROR(MATCH(D19,'Ist Vorjahr Monat 07'!A:A,0))=FALSE,INDEX('Ist Vorjahr Monat 07'!B:B,MATCH(D19,'Ist Vorjahr Monat 07'!A:A,0)),
IF(ISERROR(MATCH(D19,'Ist Vorjahr Monat 08'!A:A,0))=FALSE,INDEX('Ist Vorjahr Monat 08'!B:B,MATCH(D19,'Ist Vorjahr Monat 08'!A:A,0)),
IF(ISERROR(MATCH(D19,'Ist Vorjahr Monat 09'!A:A,0))=FALSE,INDEX('Ist Vorjahr Monat 09'!B:B,MATCH(D19,'Ist Vorjahr Monat 09'!A:A,0)),
IF(ISERROR(MATCH(D19,'Ist Vorjahr Monat 10'!A:A,0))=FALSE,INDEX('Ist Vorjahr Monat 10'!B:B,MATCH(D19,'Ist Vorjahr Monat 10'!A:A,0)),
IF(ISERROR(MATCH(D19,'Ist Vorjahr Monat 11'!A:A,0))=FALSE,INDEX('Ist Vorjahr Monat 11'!B:B,MATCH(D19,'Ist Vorjahr Monat 11'!A:A,0)),
IF(ISERROR(MATCH(D19,'Ist Vorjahr Monat 12'!A:A,0))=FALSE,INDEX('Ist Vorjahr Monat 12'!B:B,MATCH(D19,'Ist Vorjahr Monat 12'!A:A,0)),
"{Konto unbekannt}"
)))))))))))),"")</f>
        <v/>
      </c>
      <c r="C19" s="591"/>
      <c r="D19" s="590"/>
      <c r="E19" s="592">
        <f t="shared" si="19"/>
        <v>-1</v>
      </c>
      <c r="F19" s="590" t="s">
        <v>996</v>
      </c>
      <c r="G19" s="593">
        <f ca="1">$E19*(-SUMIF(INDIRECT(G$3),'Struktur Vorjahr'!$D19,INDIRECT(G$4))+SUMIF(INDIRECT(G$3),'Struktur Vorjahr'!$D19,INDIRECT(G$5)))</f>
        <v>0</v>
      </c>
      <c r="H19" s="593">
        <f ca="1">$E19*(-SUMIF(INDIRECT(H$3),'Struktur Vorjahr'!$D19,INDIRECT(H$4))+SUMIF(INDIRECT(H$3),'Struktur Vorjahr'!$D19,INDIRECT(H$5)))</f>
        <v>0</v>
      </c>
      <c r="I19" s="593">
        <f ca="1">$E19*(-SUMIF(INDIRECT(I$3),'Struktur Vorjahr'!$D19,INDIRECT(I$4))+SUMIF(INDIRECT(I$3),'Struktur Vorjahr'!$D19,INDIRECT(I$5)))</f>
        <v>0</v>
      </c>
      <c r="J19" s="593">
        <f ca="1">$E19*(-SUMIF(INDIRECT(J$3),'Struktur Vorjahr'!$D19,INDIRECT(J$4))+SUMIF(INDIRECT(J$3),'Struktur Vorjahr'!$D19,INDIRECT(J$5)))</f>
        <v>0</v>
      </c>
      <c r="K19" s="593">
        <f ca="1">$E19*(-SUMIF(INDIRECT(K$3),'Struktur Vorjahr'!$D19,INDIRECT(K$4))+SUMIF(INDIRECT(K$3),'Struktur Vorjahr'!$D19,INDIRECT(K$5)))</f>
        <v>0</v>
      </c>
      <c r="L19" s="593">
        <f ca="1">$E19*(-SUMIF(INDIRECT(L$3),'Struktur Vorjahr'!$D19,INDIRECT(L$4))+SUMIF(INDIRECT(L$3),'Struktur Vorjahr'!$D19,INDIRECT(L$5)))</f>
        <v>0</v>
      </c>
      <c r="M19" s="593">
        <f ca="1">$E19*(-SUMIF(INDIRECT(M$3),'Struktur Vorjahr'!$D19,INDIRECT(M$4))+SUMIF(INDIRECT(M$3),'Struktur Vorjahr'!$D19,INDIRECT(M$5)))</f>
        <v>0</v>
      </c>
      <c r="N19" s="593">
        <f ca="1">$E19*(-SUMIF(INDIRECT(N$3),'Struktur Vorjahr'!$D19,INDIRECT(N$4))+SUMIF(INDIRECT(N$3),'Struktur Vorjahr'!$D19,INDIRECT(N$5)))</f>
        <v>0</v>
      </c>
      <c r="O19" s="593">
        <f ca="1">$E19*(-SUMIF(INDIRECT(O$3),'Struktur Vorjahr'!$D19,INDIRECT(O$4))+SUMIF(INDIRECT(O$3),'Struktur Vorjahr'!$D19,INDIRECT(O$5)))</f>
        <v>0</v>
      </c>
      <c r="P19" s="593">
        <f ca="1">$E19*(-SUMIF(INDIRECT(P$3),'Struktur Vorjahr'!$D19,INDIRECT(P$4))+SUMIF(INDIRECT(P$3),'Struktur Vorjahr'!$D19,INDIRECT(P$5)))</f>
        <v>0</v>
      </c>
      <c r="Q19" s="593">
        <f ca="1">$E19*(-SUMIF(INDIRECT(Q$3),'Struktur Vorjahr'!$D19,INDIRECT(Q$4))+SUMIF(INDIRECT(Q$3),'Struktur Vorjahr'!$D19,INDIRECT(Q$5)))</f>
        <v>0</v>
      </c>
      <c r="R19" s="593">
        <f ca="1">$E19*(-SUMIF(INDIRECT(R$3),'Struktur Vorjahr'!$D19,INDIRECT(R$4))+SUMIF(INDIRECT(R$3),'Struktur Vorjahr'!$D19,INDIRECT(R$5)))</f>
        <v>0</v>
      </c>
      <c r="S19" s="593">
        <f ca="1">$E19*(-SUMIF(INDIRECT(S$3),'Struktur Vorjahr'!$D19,INDIRECT(S$4))+SUMIF(INDIRECT(S$3),'Struktur Vorjahr'!$D19,INDIRECT(S$5)))</f>
        <v>0</v>
      </c>
      <c r="T19" s="593">
        <f ca="1">$E19*(-SUMIF(INDIRECT(T$3),'Struktur Vorjahr'!$D19,INDIRECT(T$4))+SUMIF(INDIRECT(T$3),'Struktur Vorjahr'!$D19,INDIRECT(T$5)))</f>
        <v>0</v>
      </c>
      <c r="U19" s="593">
        <f ca="1">$E19*(-SUMIF(INDIRECT(U$3),'Struktur Vorjahr'!$D19,INDIRECT(U$4))+SUMIF(INDIRECT(U$3),'Struktur Vorjahr'!$D19,INDIRECT(U$5)))</f>
        <v>0</v>
      </c>
      <c r="V19" s="593">
        <f ca="1">$E19*(-SUMIF(INDIRECT(V$3),'Struktur Vorjahr'!$D19,INDIRECT(V$4))+SUMIF(INDIRECT(V$3),'Struktur Vorjahr'!$D19,INDIRECT(V$5)))</f>
        <v>0</v>
      </c>
      <c r="W19" s="593">
        <f ca="1">$E19*(-SUMIF(INDIRECT(W$3),'Struktur Vorjahr'!$D19,INDIRECT(W$4))+SUMIF(INDIRECT(W$3),'Struktur Vorjahr'!$D19,INDIRECT(W$5)))</f>
        <v>0</v>
      </c>
      <c r="X19" s="593">
        <f ca="1">$E19*(-SUMIF(INDIRECT(X$3),'Struktur Vorjahr'!$D19,INDIRECT(X$4))+SUMIF(INDIRECT(X$3),'Struktur Vorjahr'!$D19,INDIRECT(X$5)))</f>
        <v>0</v>
      </c>
      <c r="Y19" s="593">
        <f ca="1">$E19*(-SUMIF(INDIRECT(Y$3),'Struktur Vorjahr'!$D19,INDIRECT(Y$4))+SUMIF(INDIRECT(Y$3),'Struktur Vorjahr'!$D19,INDIRECT(Y$5)))</f>
        <v>0</v>
      </c>
      <c r="Z19" s="593">
        <f ca="1">$E19*(-SUMIF(INDIRECT(Z$3),'Struktur Vorjahr'!$D19,INDIRECT(Z$4))+SUMIF(INDIRECT(Z$3),'Struktur Vorjahr'!$D19,INDIRECT(Z$5)))</f>
        <v>0</v>
      </c>
      <c r="AA19" s="593">
        <f ca="1">$E19*(-SUMIF(INDIRECT(AA$3),'Struktur Vorjahr'!$D19,INDIRECT(AA$4))+SUMIF(INDIRECT(AA$3),'Struktur Vorjahr'!$D19,INDIRECT(AA$5)))</f>
        <v>0</v>
      </c>
      <c r="AB19" s="593">
        <f ca="1">$E19*(-SUMIF(INDIRECT(AB$3),'Struktur Vorjahr'!$D19,INDIRECT(AB$4))+SUMIF(INDIRECT(AB$3),'Struktur Vorjahr'!$D19,INDIRECT(AB$5)))</f>
        <v>0</v>
      </c>
      <c r="AC19" s="593">
        <f ca="1">$E19*(-SUMIF(INDIRECT(AC$3),'Struktur Vorjahr'!$D19,INDIRECT(AC$4))+SUMIF(INDIRECT(AC$3),'Struktur Vorjahr'!$D19,INDIRECT(AC$5)))</f>
        <v>0</v>
      </c>
      <c r="AD19" s="593">
        <f ca="1">$E19*(-SUMIF(INDIRECT(AD$3),'Struktur Vorjahr'!$D19,INDIRECT(AD$4))+SUMIF(INDIRECT(AD$3),'Struktur Vorjahr'!$D19,INDIRECT(AD$5)))</f>
        <v>0</v>
      </c>
      <c r="AE19" s="593">
        <f t="shared" ca="1" si="17"/>
        <v>0</v>
      </c>
      <c r="AF19" s="593">
        <f t="shared" ca="1" si="18"/>
        <v>0</v>
      </c>
      <c r="AG19" s="593">
        <f t="shared" ca="1" si="16"/>
        <v>0</v>
      </c>
      <c r="AH19" s="593">
        <f t="shared" ca="1" si="16"/>
        <v>0</v>
      </c>
      <c r="AI19" s="593">
        <f t="shared" ca="1" si="16"/>
        <v>0</v>
      </c>
      <c r="AJ19" s="593">
        <f t="shared" ca="1" si="16"/>
        <v>0</v>
      </c>
      <c r="AK19" s="593">
        <f t="shared" ca="1" si="16"/>
        <v>0</v>
      </c>
      <c r="AL19" s="593">
        <f t="shared" ca="1" si="16"/>
        <v>0</v>
      </c>
      <c r="AM19" s="593">
        <f t="shared" ca="1" si="16"/>
        <v>0</v>
      </c>
      <c r="AN19" s="593">
        <f t="shared" ca="1" si="16"/>
        <v>0</v>
      </c>
      <c r="AO19" s="593">
        <f t="shared" ca="1" si="16"/>
        <v>0</v>
      </c>
      <c r="AP19" s="593">
        <f t="shared" ca="1" si="16"/>
        <v>0</v>
      </c>
    </row>
    <row r="20" spans="1:42" s="594" customFormat="1" ht="11.25" outlineLevel="1" x14ac:dyDescent="0.2">
      <c r="A20" s="590"/>
      <c r="B20" s="591" t="str">
        <f>IF(D20&lt;&gt;"",
IF(ISERROR(MATCH(D20,'Ist Vorjahr Monat 01'!A:A,0))=FALSE,INDEX('Ist Vorjahr Monat 01'!B:B,MATCH(D20,'Ist Vorjahr Monat 01'!A:A,0)),
IF(ISERROR(MATCH(D20,'Ist Vorjahr Monat 02'!A:A,0))=FALSE,INDEX('Ist Vorjahr Monat 02'!B:B,MATCH(D20,'Ist Vorjahr Monat 02'!A:A,0)),
IF(ISERROR(MATCH(D20,'Ist Vorjahr Monat 03'!A:A,0))=FALSE,INDEX('Ist Vorjahr Monat 03'!B:B,MATCH(D20,'Ist Vorjahr Monat 03'!A:A,0)),
IF(ISERROR(MATCH(D20,'Ist Vorjahr Monat 04'!A:A,0))=FALSE,INDEX('Ist Vorjahr Monat 04'!B:B,MATCH(D20,'Ist Vorjahr Monat 04'!A:A,0)),
IF(ISERROR(MATCH(D20,'Ist Vorjahr Monat 05'!A:A,0))=FALSE,INDEX('Ist Vorjahr Monat 05'!B:B,MATCH(D20,'Ist Vorjahr Monat 05'!A:A,0)),
IF(ISERROR(MATCH(D20,'Ist Vorjahr Monat 06'!A:A,0))=FALSE,INDEX('Ist Vorjahr Monat 06'!B:B,MATCH(D20,'Ist Vorjahr Monat 06'!A:A,0)),
IF(ISERROR(MATCH(D20,'Ist Vorjahr Monat 07'!A:A,0))=FALSE,INDEX('Ist Vorjahr Monat 07'!B:B,MATCH(D20,'Ist Vorjahr Monat 07'!A:A,0)),
IF(ISERROR(MATCH(D20,'Ist Vorjahr Monat 08'!A:A,0))=FALSE,INDEX('Ist Vorjahr Monat 08'!B:B,MATCH(D20,'Ist Vorjahr Monat 08'!A:A,0)),
IF(ISERROR(MATCH(D20,'Ist Vorjahr Monat 09'!A:A,0))=FALSE,INDEX('Ist Vorjahr Monat 09'!B:B,MATCH(D20,'Ist Vorjahr Monat 09'!A:A,0)),
IF(ISERROR(MATCH(D20,'Ist Vorjahr Monat 10'!A:A,0))=FALSE,INDEX('Ist Vorjahr Monat 10'!B:B,MATCH(D20,'Ist Vorjahr Monat 10'!A:A,0)),
IF(ISERROR(MATCH(D20,'Ist Vorjahr Monat 11'!A:A,0))=FALSE,INDEX('Ist Vorjahr Monat 11'!B:B,MATCH(D20,'Ist Vorjahr Monat 11'!A:A,0)),
IF(ISERROR(MATCH(D20,'Ist Vorjahr Monat 12'!A:A,0))=FALSE,INDEX('Ist Vorjahr Monat 12'!B:B,MATCH(D20,'Ist Vorjahr Monat 12'!A:A,0)),
"{Konto unbekannt}"
)))))))))))),"")</f>
        <v/>
      </c>
      <c r="C20" s="591"/>
      <c r="D20" s="590"/>
      <c r="E20" s="592">
        <f t="shared" si="19"/>
        <v>-1</v>
      </c>
      <c r="F20" s="590" t="s">
        <v>996</v>
      </c>
      <c r="G20" s="593">
        <f ca="1">$E20*(-SUMIF(INDIRECT(G$3),'Struktur Vorjahr'!$D20,INDIRECT(G$4))+SUMIF(INDIRECT(G$3),'Struktur Vorjahr'!$D20,INDIRECT(G$5)))</f>
        <v>0</v>
      </c>
      <c r="H20" s="593">
        <f ca="1">$E20*(-SUMIF(INDIRECT(H$3),'Struktur Vorjahr'!$D20,INDIRECT(H$4))+SUMIF(INDIRECT(H$3),'Struktur Vorjahr'!$D20,INDIRECT(H$5)))</f>
        <v>0</v>
      </c>
      <c r="I20" s="593">
        <f ca="1">$E20*(-SUMIF(INDIRECT(I$3),'Struktur Vorjahr'!$D20,INDIRECT(I$4))+SUMIF(INDIRECT(I$3),'Struktur Vorjahr'!$D20,INDIRECT(I$5)))</f>
        <v>0</v>
      </c>
      <c r="J20" s="593">
        <f ca="1">$E20*(-SUMIF(INDIRECT(J$3),'Struktur Vorjahr'!$D20,INDIRECT(J$4))+SUMIF(INDIRECT(J$3),'Struktur Vorjahr'!$D20,INDIRECT(J$5)))</f>
        <v>0</v>
      </c>
      <c r="K20" s="593">
        <f ca="1">$E20*(-SUMIF(INDIRECT(K$3),'Struktur Vorjahr'!$D20,INDIRECT(K$4))+SUMIF(INDIRECT(K$3),'Struktur Vorjahr'!$D20,INDIRECT(K$5)))</f>
        <v>0</v>
      </c>
      <c r="L20" s="593">
        <f ca="1">$E20*(-SUMIF(INDIRECT(L$3),'Struktur Vorjahr'!$D20,INDIRECT(L$4))+SUMIF(INDIRECT(L$3),'Struktur Vorjahr'!$D20,INDIRECT(L$5)))</f>
        <v>0</v>
      </c>
      <c r="M20" s="593">
        <f ca="1">$E20*(-SUMIF(INDIRECT(M$3),'Struktur Vorjahr'!$D20,INDIRECT(M$4))+SUMIF(INDIRECT(M$3),'Struktur Vorjahr'!$D20,INDIRECT(M$5)))</f>
        <v>0</v>
      </c>
      <c r="N20" s="593">
        <f ca="1">$E20*(-SUMIF(INDIRECT(N$3),'Struktur Vorjahr'!$D20,INDIRECT(N$4))+SUMIF(INDIRECT(N$3),'Struktur Vorjahr'!$D20,INDIRECT(N$5)))</f>
        <v>0</v>
      </c>
      <c r="O20" s="593">
        <f ca="1">$E20*(-SUMIF(INDIRECT(O$3),'Struktur Vorjahr'!$D20,INDIRECT(O$4))+SUMIF(INDIRECT(O$3),'Struktur Vorjahr'!$D20,INDIRECT(O$5)))</f>
        <v>0</v>
      </c>
      <c r="P20" s="593">
        <f ca="1">$E20*(-SUMIF(INDIRECT(P$3),'Struktur Vorjahr'!$D20,INDIRECT(P$4))+SUMIF(INDIRECT(P$3),'Struktur Vorjahr'!$D20,INDIRECT(P$5)))</f>
        <v>0</v>
      </c>
      <c r="Q20" s="593">
        <f ca="1">$E20*(-SUMIF(INDIRECT(Q$3),'Struktur Vorjahr'!$D20,INDIRECT(Q$4))+SUMIF(INDIRECT(Q$3),'Struktur Vorjahr'!$D20,INDIRECT(Q$5)))</f>
        <v>0</v>
      </c>
      <c r="R20" s="593">
        <f ca="1">$E20*(-SUMIF(INDIRECT(R$3),'Struktur Vorjahr'!$D20,INDIRECT(R$4))+SUMIF(INDIRECT(R$3),'Struktur Vorjahr'!$D20,INDIRECT(R$5)))</f>
        <v>0</v>
      </c>
      <c r="S20" s="593">
        <f ca="1">$E20*(-SUMIF(INDIRECT(S$3),'Struktur Vorjahr'!$D20,INDIRECT(S$4))+SUMIF(INDIRECT(S$3),'Struktur Vorjahr'!$D20,INDIRECT(S$5)))</f>
        <v>0</v>
      </c>
      <c r="T20" s="593">
        <f ca="1">$E20*(-SUMIF(INDIRECT(T$3),'Struktur Vorjahr'!$D20,INDIRECT(T$4))+SUMIF(INDIRECT(T$3),'Struktur Vorjahr'!$D20,INDIRECT(T$5)))</f>
        <v>0</v>
      </c>
      <c r="U20" s="593">
        <f ca="1">$E20*(-SUMIF(INDIRECT(U$3),'Struktur Vorjahr'!$D20,INDIRECT(U$4))+SUMIF(INDIRECT(U$3),'Struktur Vorjahr'!$D20,INDIRECT(U$5)))</f>
        <v>0</v>
      </c>
      <c r="V20" s="593">
        <f ca="1">$E20*(-SUMIF(INDIRECT(V$3),'Struktur Vorjahr'!$D20,INDIRECT(V$4))+SUMIF(INDIRECT(V$3),'Struktur Vorjahr'!$D20,INDIRECT(V$5)))</f>
        <v>0</v>
      </c>
      <c r="W20" s="593">
        <f ca="1">$E20*(-SUMIF(INDIRECT(W$3),'Struktur Vorjahr'!$D20,INDIRECT(W$4))+SUMIF(INDIRECT(W$3),'Struktur Vorjahr'!$D20,INDIRECT(W$5)))</f>
        <v>0</v>
      </c>
      <c r="X20" s="593">
        <f ca="1">$E20*(-SUMIF(INDIRECT(X$3),'Struktur Vorjahr'!$D20,INDIRECT(X$4))+SUMIF(INDIRECT(X$3),'Struktur Vorjahr'!$D20,INDIRECT(X$5)))</f>
        <v>0</v>
      </c>
      <c r="Y20" s="593">
        <f ca="1">$E20*(-SUMIF(INDIRECT(Y$3),'Struktur Vorjahr'!$D20,INDIRECT(Y$4))+SUMIF(INDIRECT(Y$3),'Struktur Vorjahr'!$D20,INDIRECT(Y$5)))</f>
        <v>0</v>
      </c>
      <c r="Z20" s="593">
        <f ca="1">$E20*(-SUMIF(INDIRECT(Z$3),'Struktur Vorjahr'!$D20,INDIRECT(Z$4))+SUMIF(INDIRECT(Z$3),'Struktur Vorjahr'!$D20,INDIRECT(Z$5)))</f>
        <v>0</v>
      </c>
      <c r="AA20" s="593">
        <f ca="1">$E20*(-SUMIF(INDIRECT(AA$3),'Struktur Vorjahr'!$D20,INDIRECT(AA$4))+SUMIF(INDIRECT(AA$3),'Struktur Vorjahr'!$D20,INDIRECT(AA$5)))</f>
        <v>0</v>
      </c>
      <c r="AB20" s="593">
        <f ca="1">$E20*(-SUMIF(INDIRECT(AB$3),'Struktur Vorjahr'!$D20,INDIRECT(AB$4))+SUMIF(INDIRECT(AB$3),'Struktur Vorjahr'!$D20,INDIRECT(AB$5)))</f>
        <v>0</v>
      </c>
      <c r="AC20" s="593">
        <f ca="1">$E20*(-SUMIF(INDIRECT(AC$3),'Struktur Vorjahr'!$D20,INDIRECT(AC$4))+SUMIF(INDIRECT(AC$3),'Struktur Vorjahr'!$D20,INDIRECT(AC$5)))</f>
        <v>0</v>
      </c>
      <c r="AD20" s="593">
        <f ca="1">$E20*(-SUMIF(INDIRECT(AD$3),'Struktur Vorjahr'!$D20,INDIRECT(AD$4))+SUMIF(INDIRECT(AD$3),'Struktur Vorjahr'!$D20,INDIRECT(AD$5)))</f>
        <v>0</v>
      </c>
      <c r="AE20" s="593">
        <f t="shared" ca="1" si="17"/>
        <v>0</v>
      </c>
      <c r="AF20" s="593">
        <f t="shared" ca="1" si="18"/>
        <v>0</v>
      </c>
      <c r="AG20" s="593">
        <f t="shared" ca="1" si="16"/>
        <v>0</v>
      </c>
      <c r="AH20" s="593">
        <f t="shared" ca="1" si="16"/>
        <v>0</v>
      </c>
      <c r="AI20" s="593">
        <f t="shared" ca="1" si="16"/>
        <v>0</v>
      </c>
      <c r="AJ20" s="593">
        <f t="shared" ca="1" si="16"/>
        <v>0</v>
      </c>
      <c r="AK20" s="593">
        <f t="shared" ca="1" si="16"/>
        <v>0</v>
      </c>
      <c r="AL20" s="593">
        <f t="shared" ca="1" si="16"/>
        <v>0</v>
      </c>
      <c r="AM20" s="593">
        <f t="shared" ca="1" si="16"/>
        <v>0</v>
      </c>
      <c r="AN20" s="593">
        <f t="shared" ca="1" si="16"/>
        <v>0</v>
      </c>
      <c r="AO20" s="593">
        <f t="shared" ca="1" si="16"/>
        <v>0</v>
      </c>
      <c r="AP20" s="593">
        <f t="shared" ca="1" si="16"/>
        <v>0</v>
      </c>
    </row>
    <row r="21" spans="1:42" s="594" customFormat="1" ht="11.25" outlineLevel="1" x14ac:dyDescent="0.2">
      <c r="A21" s="590"/>
      <c r="B21" s="591" t="str">
        <f>IF(D21&lt;&gt;"",
IF(ISERROR(MATCH(D21,'Ist Vorjahr Monat 01'!A:A,0))=FALSE,INDEX('Ist Vorjahr Monat 01'!B:B,MATCH(D21,'Ist Vorjahr Monat 01'!A:A,0)),
IF(ISERROR(MATCH(D21,'Ist Vorjahr Monat 02'!A:A,0))=FALSE,INDEX('Ist Vorjahr Monat 02'!B:B,MATCH(D21,'Ist Vorjahr Monat 02'!A:A,0)),
IF(ISERROR(MATCH(D21,'Ist Vorjahr Monat 03'!A:A,0))=FALSE,INDEX('Ist Vorjahr Monat 03'!B:B,MATCH(D21,'Ist Vorjahr Monat 03'!A:A,0)),
IF(ISERROR(MATCH(D21,'Ist Vorjahr Monat 04'!A:A,0))=FALSE,INDEX('Ist Vorjahr Monat 04'!B:B,MATCH(D21,'Ist Vorjahr Monat 04'!A:A,0)),
IF(ISERROR(MATCH(D21,'Ist Vorjahr Monat 05'!A:A,0))=FALSE,INDEX('Ist Vorjahr Monat 05'!B:B,MATCH(D21,'Ist Vorjahr Monat 05'!A:A,0)),
IF(ISERROR(MATCH(D21,'Ist Vorjahr Monat 06'!A:A,0))=FALSE,INDEX('Ist Vorjahr Monat 06'!B:B,MATCH(D21,'Ist Vorjahr Monat 06'!A:A,0)),
IF(ISERROR(MATCH(D21,'Ist Vorjahr Monat 07'!A:A,0))=FALSE,INDEX('Ist Vorjahr Monat 07'!B:B,MATCH(D21,'Ist Vorjahr Monat 07'!A:A,0)),
IF(ISERROR(MATCH(D21,'Ist Vorjahr Monat 08'!A:A,0))=FALSE,INDEX('Ist Vorjahr Monat 08'!B:B,MATCH(D21,'Ist Vorjahr Monat 08'!A:A,0)),
IF(ISERROR(MATCH(D21,'Ist Vorjahr Monat 09'!A:A,0))=FALSE,INDEX('Ist Vorjahr Monat 09'!B:B,MATCH(D21,'Ist Vorjahr Monat 09'!A:A,0)),
IF(ISERROR(MATCH(D21,'Ist Vorjahr Monat 10'!A:A,0))=FALSE,INDEX('Ist Vorjahr Monat 10'!B:B,MATCH(D21,'Ist Vorjahr Monat 10'!A:A,0)),
IF(ISERROR(MATCH(D21,'Ist Vorjahr Monat 11'!A:A,0))=FALSE,INDEX('Ist Vorjahr Monat 11'!B:B,MATCH(D21,'Ist Vorjahr Monat 11'!A:A,0)),
IF(ISERROR(MATCH(D21,'Ist Vorjahr Monat 12'!A:A,0))=FALSE,INDEX('Ist Vorjahr Monat 12'!B:B,MATCH(D21,'Ist Vorjahr Monat 12'!A:A,0)),
"{Konto unbekannt}"
)))))))))))),"")</f>
        <v/>
      </c>
      <c r="C21" s="591"/>
      <c r="D21" s="590"/>
      <c r="E21" s="592">
        <f t="shared" si="19"/>
        <v>-1</v>
      </c>
      <c r="F21" s="590" t="s">
        <v>996</v>
      </c>
      <c r="G21" s="593">
        <f ca="1">$E21*(-SUMIF(INDIRECT(G$3),'Struktur Vorjahr'!$D21,INDIRECT(G$4))+SUMIF(INDIRECT(G$3),'Struktur Vorjahr'!$D21,INDIRECT(G$5)))</f>
        <v>0</v>
      </c>
      <c r="H21" s="593">
        <f ca="1">$E21*(-SUMIF(INDIRECT(H$3),'Struktur Vorjahr'!$D21,INDIRECT(H$4))+SUMIF(INDIRECT(H$3),'Struktur Vorjahr'!$D21,INDIRECT(H$5)))</f>
        <v>0</v>
      </c>
      <c r="I21" s="593">
        <f ca="1">$E21*(-SUMIF(INDIRECT(I$3),'Struktur Vorjahr'!$D21,INDIRECT(I$4))+SUMIF(INDIRECT(I$3),'Struktur Vorjahr'!$D21,INDIRECT(I$5)))</f>
        <v>0</v>
      </c>
      <c r="J21" s="593">
        <f ca="1">$E21*(-SUMIF(INDIRECT(J$3),'Struktur Vorjahr'!$D21,INDIRECT(J$4))+SUMIF(INDIRECT(J$3),'Struktur Vorjahr'!$D21,INDIRECT(J$5)))</f>
        <v>0</v>
      </c>
      <c r="K21" s="593">
        <f ca="1">$E21*(-SUMIF(INDIRECT(K$3),'Struktur Vorjahr'!$D21,INDIRECT(K$4))+SUMIF(INDIRECT(K$3),'Struktur Vorjahr'!$D21,INDIRECT(K$5)))</f>
        <v>0</v>
      </c>
      <c r="L21" s="593">
        <f ca="1">$E21*(-SUMIF(INDIRECT(L$3),'Struktur Vorjahr'!$D21,INDIRECT(L$4))+SUMIF(INDIRECT(L$3),'Struktur Vorjahr'!$D21,INDIRECT(L$5)))</f>
        <v>0</v>
      </c>
      <c r="M21" s="593">
        <f ca="1">$E21*(-SUMIF(INDIRECT(M$3),'Struktur Vorjahr'!$D21,INDIRECT(M$4))+SUMIF(INDIRECT(M$3),'Struktur Vorjahr'!$D21,INDIRECT(M$5)))</f>
        <v>0</v>
      </c>
      <c r="N21" s="593">
        <f ca="1">$E21*(-SUMIF(INDIRECT(N$3),'Struktur Vorjahr'!$D21,INDIRECT(N$4))+SUMIF(INDIRECT(N$3),'Struktur Vorjahr'!$D21,INDIRECT(N$5)))</f>
        <v>0</v>
      </c>
      <c r="O21" s="593">
        <f ca="1">$E21*(-SUMIF(INDIRECT(O$3),'Struktur Vorjahr'!$D21,INDIRECT(O$4))+SUMIF(INDIRECT(O$3),'Struktur Vorjahr'!$D21,INDIRECT(O$5)))</f>
        <v>0</v>
      </c>
      <c r="P21" s="593">
        <f ca="1">$E21*(-SUMIF(INDIRECT(P$3),'Struktur Vorjahr'!$D21,INDIRECT(P$4))+SUMIF(INDIRECT(P$3),'Struktur Vorjahr'!$D21,INDIRECT(P$5)))</f>
        <v>0</v>
      </c>
      <c r="Q21" s="593">
        <f ca="1">$E21*(-SUMIF(INDIRECT(Q$3),'Struktur Vorjahr'!$D21,INDIRECT(Q$4))+SUMIF(INDIRECT(Q$3),'Struktur Vorjahr'!$D21,INDIRECT(Q$5)))</f>
        <v>0</v>
      </c>
      <c r="R21" s="593">
        <f ca="1">$E21*(-SUMIF(INDIRECT(R$3),'Struktur Vorjahr'!$D21,INDIRECT(R$4))+SUMIF(INDIRECT(R$3),'Struktur Vorjahr'!$D21,INDIRECT(R$5)))</f>
        <v>0</v>
      </c>
      <c r="S21" s="593">
        <f ca="1">$E21*(-SUMIF(INDIRECT(S$3),'Struktur Vorjahr'!$D21,INDIRECT(S$4))+SUMIF(INDIRECT(S$3),'Struktur Vorjahr'!$D21,INDIRECT(S$5)))</f>
        <v>0</v>
      </c>
      <c r="T21" s="593">
        <f ca="1">$E21*(-SUMIF(INDIRECT(T$3),'Struktur Vorjahr'!$D21,INDIRECT(T$4))+SUMIF(INDIRECT(T$3),'Struktur Vorjahr'!$D21,INDIRECT(T$5)))</f>
        <v>0</v>
      </c>
      <c r="U21" s="593">
        <f ca="1">$E21*(-SUMIF(INDIRECT(U$3),'Struktur Vorjahr'!$D21,INDIRECT(U$4))+SUMIF(INDIRECT(U$3),'Struktur Vorjahr'!$D21,INDIRECT(U$5)))</f>
        <v>0</v>
      </c>
      <c r="V21" s="593">
        <f ca="1">$E21*(-SUMIF(INDIRECT(V$3),'Struktur Vorjahr'!$D21,INDIRECT(V$4))+SUMIF(INDIRECT(V$3),'Struktur Vorjahr'!$D21,INDIRECT(V$5)))</f>
        <v>0</v>
      </c>
      <c r="W21" s="593">
        <f ca="1">$E21*(-SUMIF(INDIRECT(W$3),'Struktur Vorjahr'!$D21,INDIRECT(W$4))+SUMIF(INDIRECT(W$3),'Struktur Vorjahr'!$D21,INDIRECT(W$5)))</f>
        <v>0</v>
      </c>
      <c r="X21" s="593">
        <f ca="1">$E21*(-SUMIF(INDIRECT(X$3),'Struktur Vorjahr'!$D21,INDIRECT(X$4))+SUMIF(INDIRECT(X$3),'Struktur Vorjahr'!$D21,INDIRECT(X$5)))</f>
        <v>0</v>
      </c>
      <c r="Y21" s="593">
        <f ca="1">$E21*(-SUMIF(INDIRECT(Y$3),'Struktur Vorjahr'!$D21,INDIRECT(Y$4))+SUMIF(INDIRECT(Y$3),'Struktur Vorjahr'!$D21,INDIRECT(Y$5)))</f>
        <v>0</v>
      </c>
      <c r="Z21" s="593">
        <f ca="1">$E21*(-SUMIF(INDIRECT(Z$3),'Struktur Vorjahr'!$D21,INDIRECT(Z$4))+SUMIF(INDIRECT(Z$3),'Struktur Vorjahr'!$D21,INDIRECT(Z$5)))</f>
        <v>0</v>
      </c>
      <c r="AA21" s="593">
        <f ca="1">$E21*(-SUMIF(INDIRECT(AA$3),'Struktur Vorjahr'!$D21,INDIRECT(AA$4))+SUMIF(INDIRECT(AA$3),'Struktur Vorjahr'!$D21,INDIRECT(AA$5)))</f>
        <v>0</v>
      </c>
      <c r="AB21" s="593">
        <f ca="1">$E21*(-SUMIF(INDIRECT(AB$3),'Struktur Vorjahr'!$D21,INDIRECT(AB$4))+SUMIF(INDIRECT(AB$3),'Struktur Vorjahr'!$D21,INDIRECT(AB$5)))</f>
        <v>0</v>
      </c>
      <c r="AC21" s="593">
        <f ca="1">$E21*(-SUMIF(INDIRECT(AC$3),'Struktur Vorjahr'!$D21,INDIRECT(AC$4))+SUMIF(INDIRECT(AC$3),'Struktur Vorjahr'!$D21,INDIRECT(AC$5)))</f>
        <v>0</v>
      </c>
      <c r="AD21" s="593">
        <f ca="1">$E21*(-SUMIF(INDIRECT(AD$3),'Struktur Vorjahr'!$D21,INDIRECT(AD$4))+SUMIF(INDIRECT(AD$3),'Struktur Vorjahr'!$D21,INDIRECT(AD$5)))</f>
        <v>0</v>
      </c>
      <c r="AE21" s="593">
        <f t="shared" ca="1" si="17"/>
        <v>0</v>
      </c>
      <c r="AF21" s="593">
        <f t="shared" ca="1" si="18"/>
        <v>0</v>
      </c>
      <c r="AG21" s="593">
        <f t="shared" ca="1" si="16"/>
        <v>0</v>
      </c>
      <c r="AH21" s="593">
        <f t="shared" ca="1" si="16"/>
        <v>0</v>
      </c>
      <c r="AI21" s="593">
        <f t="shared" ca="1" si="16"/>
        <v>0</v>
      </c>
      <c r="AJ21" s="593">
        <f t="shared" ca="1" si="16"/>
        <v>0</v>
      </c>
      <c r="AK21" s="593">
        <f t="shared" ca="1" si="16"/>
        <v>0</v>
      </c>
      <c r="AL21" s="593">
        <f t="shared" ca="1" si="16"/>
        <v>0</v>
      </c>
      <c r="AM21" s="593">
        <f t="shared" ca="1" si="16"/>
        <v>0</v>
      </c>
      <c r="AN21" s="593">
        <f t="shared" ca="1" si="16"/>
        <v>0</v>
      </c>
      <c r="AO21" s="593">
        <f t="shared" ca="1" si="16"/>
        <v>0</v>
      </c>
      <c r="AP21" s="593">
        <f t="shared" ca="1" si="16"/>
        <v>0</v>
      </c>
    </row>
    <row r="22" spans="1:42" s="594" customFormat="1" ht="11.25" outlineLevel="1" x14ac:dyDescent="0.2">
      <c r="A22" s="590"/>
      <c r="B22" s="591" t="str">
        <f>IF(D22&lt;&gt;"",
IF(ISERROR(MATCH(D22,'Ist Vorjahr Monat 01'!A:A,0))=FALSE,INDEX('Ist Vorjahr Monat 01'!B:B,MATCH(D22,'Ist Vorjahr Monat 01'!A:A,0)),
IF(ISERROR(MATCH(D22,'Ist Vorjahr Monat 02'!A:A,0))=FALSE,INDEX('Ist Vorjahr Monat 02'!B:B,MATCH(D22,'Ist Vorjahr Monat 02'!A:A,0)),
IF(ISERROR(MATCH(D22,'Ist Vorjahr Monat 03'!A:A,0))=FALSE,INDEX('Ist Vorjahr Monat 03'!B:B,MATCH(D22,'Ist Vorjahr Monat 03'!A:A,0)),
IF(ISERROR(MATCH(D22,'Ist Vorjahr Monat 04'!A:A,0))=FALSE,INDEX('Ist Vorjahr Monat 04'!B:B,MATCH(D22,'Ist Vorjahr Monat 04'!A:A,0)),
IF(ISERROR(MATCH(D22,'Ist Vorjahr Monat 05'!A:A,0))=FALSE,INDEX('Ist Vorjahr Monat 05'!B:B,MATCH(D22,'Ist Vorjahr Monat 05'!A:A,0)),
IF(ISERROR(MATCH(D22,'Ist Vorjahr Monat 06'!A:A,0))=FALSE,INDEX('Ist Vorjahr Monat 06'!B:B,MATCH(D22,'Ist Vorjahr Monat 06'!A:A,0)),
IF(ISERROR(MATCH(D22,'Ist Vorjahr Monat 07'!A:A,0))=FALSE,INDEX('Ist Vorjahr Monat 07'!B:B,MATCH(D22,'Ist Vorjahr Monat 07'!A:A,0)),
IF(ISERROR(MATCH(D22,'Ist Vorjahr Monat 08'!A:A,0))=FALSE,INDEX('Ist Vorjahr Monat 08'!B:B,MATCH(D22,'Ist Vorjahr Monat 08'!A:A,0)),
IF(ISERROR(MATCH(D22,'Ist Vorjahr Monat 09'!A:A,0))=FALSE,INDEX('Ist Vorjahr Monat 09'!B:B,MATCH(D22,'Ist Vorjahr Monat 09'!A:A,0)),
IF(ISERROR(MATCH(D22,'Ist Vorjahr Monat 10'!A:A,0))=FALSE,INDEX('Ist Vorjahr Monat 10'!B:B,MATCH(D22,'Ist Vorjahr Monat 10'!A:A,0)),
IF(ISERROR(MATCH(D22,'Ist Vorjahr Monat 11'!A:A,0))=FALSE,INDEX('Ist Vorjahr Monat 11'!B:B,MATCH(D22,'Ist Vorjahr Monat 11'!A:A,0)),
IF(ISERROR(MATCH(D22,'Ist Vorjahr Monat 12'!A:A,0))=FALSE,INDEX('Ist Vorjahr Monat 12'!B:B,MATCH(D22,'Ist Vorjahr Monat 12'!A:A,0)),
"{Konto unbekannt}"
)))))))))))),"")</f>
        <v/>
      </c>
      <c r="C22" s="591"/>
      <c r="D22" s="590"/>
      <c r="E22" s="592">
        <f t="shared" si="19"/>
        <v>-1</v>
      </c>
      <c r="F22" s="590" t="s">
        <v>996</v>
      </c>
      <c r="G22" s="593">
        <f ca="1">$E22*(-SUMIF(INDIRECT(G$3),'Struktur Vorjahr'!$D22,INDIRECT(G$4))+SUMIF(INDIRECT(G$3),'Struktur Vorjahr'!$D22,INDIRECT(G$5)))</f>
        <v>0</v>
      </c>
      <c r="H22" s="593">
        <f ca="1">$E22*(-SUMIF(INDIRECT(H$3),'Struktur Vorjahr'!$D22,INDIRECT(H$4))+SUMIF(INDIRECT(H$3),'Struktur Vorjahr'!$D22,INDIRECT(H$5)))</f>
        <v>0</v>
      </c>
      <c r="I22" s="593">
        <f ca="1">$E22*(-SUMIF(INDIRECT(I$3),'Struktur Vorjahr'!$D22,INDIRECT(I$4))+SUMIF(INDIRECT(I$3),'Struktur Vorjahr'!$D22,INDIRECT(I$5)))</f>
        <v>0</v>
      </c>
      <c r="J22" s="593">
        <f ca="1">$E22*(-SUMIF(INDIRECT(J$3),'Struktur Vorjahr'!$D22,INDIRECT(J$4))+SUMIF(INDIRECT(J$3),'Struktur Vorjahr'!$D22,INDIRECT(J$5)))</f>
        <v>0</v>
      </c>
      <c r="K22" s="593">
        <f ca="1">$E22*(-SUMIF(INDIRECT(K$3),'Struktur Vorjahr'!$D22,INDIRECT(K$4))+SUMIF(INDIRECT(K$3),'Struktur Vorjahr'!$D22,INDIRECT(K$5)))</f>
        <v>0</v>
      </c>
      <c r="L22" s="593">
        <f ca="1">$E22*(-SUMIF(INDIRECT(L$3),'Struktur Vorjahr'!$D22,INDIRECT(L$4))+SUMIF(INDIRECT(L$3),'Struktur Vorjahr'!$D22,INDIRECT(L$5)))</f>
        <v>0</v>
      </c>
      <c r="M22" s="593">
        <f ca="1">$E22*(-SUMIF(INDIRECT(M$3),'Struktur Vorjahr'!$D22,INDIRECT(M$4))+SUMIF(INDIRECT(M$3),'Struktur Vorjahr'!$D22,INDIRECT(M$5)))</f>
        <v>0</v>
      </c>
      <c r="N22" s="593">
        <f ca="1">$E22*(-SUMIF(INDIRECT(N$3),'Struktur Vorjahr'!$D22,INDIRECT(N$4))+SUMIF(INDIRECT(N$3),'Struktur Vorjahr'!$D22,INDIRECT(N$5)))</f>
        <v>0</v>
      </c>
      <c r="O22" s="593">
        <f ca="1">$E22*(-SUMIF(INDIRECT(O$3),'Struktur Vorjahr'!$D22,INDIRECT(O$4))+SUMIF(INDIRECT(O$3),'Struktur Vorjahr'!$D22,INDIRECT(O$5)))</f>
        <v>0</v>
      </c>
      <c r="P22" s="593">
        <f ca="1">$E22*(-SUMIF(INDIRECT(P$3),'Struktur Vorjahr'!$D22,INDIRECT(P$4))+SUMIF(INDIRECT(P$3),'Struktur Vorjahr'!$D22,INDIRECT(P$5)))</f>
        <v>0</v>
      </c>
      <c r="Q22" s="593">
        <f ca="1">$E22*(-SUMIF(INDIRECT(Q$3),'Struktur Vorjahr'!$D22,INDIRECT(Q$4))+SUMIF(INDIRECT(Q$3),'Struktur Vorjahr'!$D22,INDIRECT(Q$5)))</f>
        <v>0</v>
      </c>
      <c r="R22" s="593">
        <f ca="1">$E22*(-SUMIF(INDIRECT(R$3),'Struktur Vorjahr'!$D22,INDIRECT(R$4))+SUMIF(INDIRECT(R$3),'Struktur Vorjahr'!$D22,INDIRECT(R$5)))</f>
        <v>0</v>
      </c>
      <c r="S22" s="593">
        <f ca="1">$E22*(-SUMIF(INDIRECT(S$3),'Struktur Vorjahr'!$D22,INDIRECT(S$4))+SUMIF(INDIRECT(S$3),'Struktur Vorjahr'!$D22,INDIRECT(S$5)))</f>
        <v>0</v>
      </c>
      <c r="T22" s="593">
        <f ca="1">$E22*(-SUMIF(INDIRECT(T$3),'Struktur Vorjahr'!$D22,INDIRECT(T$4))+SUMIF(INDIRECT(T$3),'Struktur Vorjahr'!$D22,INDIRECT(T$5)))</f>
        <v>0</v>
      </c>
      <c r="U22" s="593">
        <f ca="1">$E22*(-SUMIF(INDIRECT(U$3),'Struktur Vorjahr'!$D22,INDIRECT(U$4))+SUMIF(INDIRECT(U$3),'Struktur Vorjahr'!$D22,INDIRECT(U$5)))</f>
        <v>0</v>
      </c>
      <c r="V22" s="593">
        <f ca="1">$E22*(-SUMIF(INDIRECT(V$3),'Struktur Vorjahr'!$D22,INDIRECT(V$4))+SUMIF(INDIRECT(V$3),'Struktur Vorjahr'!$D22,INDIRECT(V$5)))</f>
        <v>0</v>
      </c>
      <c r="W22" s="593">
        <f ca="1">$E22*(-SUMIF(INDIRECT(W$3),'Struktur Vorjahr'!$D22,INDIRECT(W$4))+SUMIF(INDIRECT(W$3),'Struktur Vorjahr'!$D22,INDIRECT(W$5)))</f>
        <v>0</v>
      </c>
      <c r="X22" s="593">
        <f ca="1">$E22*(-SUMIF(INDIRECT(X$3),'Struktur Vorjahr'!$D22,INDIRECT(X$4))+SUMIF(INDIRECT(X$3),'Struktur Vorjahr'!$D22,INDIRECT(X$5)))</f>
        <v>0</v>
      </c>
      <c r="Y22" s="593">
        <f ca="1">$E22*(-SUMIF(INDIRECT(Y$3),'Struktur Vorjahr'!$D22,INDIRECT(Y$4))+SUMIF(INDIRECT(Y$3),'Struktur Vorjahr'!$D22,INDIRECT(Y$5)))</f>
        <v>0</v>
      </c>
      <c r="Z22" s="593">
        <f ca="1">$E22*(-SUMIF(INDIRECT(Z$3),'Struktur Vorjahr'!$D22,INDIRECT(Z$4))+SUMIF(INDIRECT(Z$3),'Struktur Vorjahr'!$D22,INDIRECT(Z$5)))</f>
        <v>0</v>
      </c>
      <c r="AA22" s="593">
        <f ca="1">$E22*(-SUMIF(INDIRECT(AA$3),'Struktur Vorjahr'!$D22,INDIRECT(AA$4))+SUMIF(INDIRECT(AA$3),'Struktur Vorjahr'!$D22,INDIRECT(AA$5)))</f>
        <v>0</v>
      </c>
      <c r="AB22" s="593">
        <f ca="1">$E22*(-SUMIF(INDIRECT(AB$3),'Struktur Vorjahr'!$D22,INDIRECT(AB$4))+SUMIF(INDIRECT(AB$3),'Struktur Vorjahr'!$D22,INDIRECT(AB$5)))</f>
        <v>0</v>
      </c>
      <c r="AC22" s="593">
        <f ca="1">$E22*(-SUMIF(INDIRECT(AC$3),'Struktur Vorjahr'!$D22,INDIRECT(AC$4))+SUMIF(INDIRECT(AC$3),'Struktur Vorjahr'!$D22,INDIRECT(AC$5)))</f>
        <v>0</v>
      </c>
      <c r="AD22" s="593">
        <f ca="1">$E22*(-SUMIF(INDIRECT(AD$3),'Struktur Vorjahr'!$D22,INDIRECT(AD$4))+SUMIF(INDIRECT(AD$3),'Struktur Vorjahr'!$D22,INDIRECT(AD$5)))</f>
        <v>0</v>
      </c>
      <c r="AE22" s="593">
        <f t="shared" ca="1" si="17"/>
        <v>0</v>
      </c>
      <c r="AF22" s="593">
        <f t="shared" ca="1" si="18"/>
        <v>0</v>
      </c>
      <c r="AG22" s="593">
        <f t="shared" ca="1" si="16"/>
        <v>0</v>
      </c>
      <c r="AH22" s="593">
        <f t="shared" ca="1" si="16"/>
        <v>0</v>
      </c>
      <c r="AI22" s="593">
        <f t="shared" ca="1" si="16"/>
        <v>0</v>
      </c>
      <c r="AJ22" s="593">
        <f t="shared" ca="1" si="16"/>
        <v>0</v>
      </c>
      <c r="AK22" s="593">
        <f t="shared" ca="1" si="16"/>
        <v>0</v>
      </c>
      <c r="AL22" s="593">
        <f t="shared" ca="1" si="16"/>
        <v>0</v>
      </c>
      <c r="AM22" s="593">
        <f t="shared" ca="1" si="16"/>
        <v>0</v>
      </c>
      <c r="AN22" s="593">
        <f t="shared" ca="1" si="16"/>
        <v>0</v>
      </c>
      <c r="AO22" s="593">
        <f t="shared" ca="1" si="16"/>
        <v>0</v>
      </c>
      <c r="AP22" s="593">
        <f t="shared" ca="1" si="16"/>
        <v>0</v>
      </c>
    </row>
    <row r="23" spans="1:42" s="594" customFormat="1" ht="11.25" outlineLevel="1" x14ac:dyDescent="0.2">
      <c r="A23" s="590"/>
      <c r="B23" s="591" t="str">
        <f>IF(D23&lt;&gt;"",
IF(ISERROR(MATCH(D23,'Ist Vorjahr Monat 01'!A:A,0))=FALSE,INDEX('Ist Vorjahr Monat 01'!B:B,MATCH(D23,'Ist Vorjahr Monat 01'!A:A,0)),
IF(ISERROR(MATCH(D23,'Ist Vorjahr Monat 02'!A:A,0))=FALSE,INDEX('Ist Vorjahr Monat 02'!B:B,MATCH(D23,'Ist Vorjahr Monat 02'!A:A,0)),
IF(ISERROR(MATCH(D23,'Ist Vorjahr Monat 03'!A:A,0))=FALSE,INDEX('Ist Vorjahr Monat 03'!B:B,MATCH(D23,'Ist Vorjahr Monat 03'!A:A,0)),
IF(ISERROR(MATCH(D23,'Ist Vorjahr Monat 04'!A:A,0))=FALSE,INDEX('Ist Vorjahr Monat 04'!B:B,MATCH(D23,'Ist Vorjahr Monat 04'!A:A,0)),
IF(ISERROR(MATCH(D23,'Ist Vorjahr Monat 05'!A:A,0))=FALSE,INDEX('Ist Vorjahr Monat 05'!B:B,MATCH(D23,'Ist Vorjahr Monat 05'!A:A,0)),
IF(ISERROR(MATCH(D23,'Ist Vorjahr Monat 06'!A:A,0))=FALSE,INDEX('Ist Vorjahr Monat 06'!B:B,MATCH(D23,'Ist Vorjahr Monat 06'!A:A,0)),
IF(ISERROR(MATCH(D23,'Ist Vorjahr Monat 07'!A:A,0))=FALSE,INDEX('Ist Vorjahr Monat 07'!B:B,MATCH(D23,'Ist Vorjahr Monat 07'!A:A,0)),
IF(ISERROR(MATCH(D23,'Ist Vorjahr Monat 08'!A:A,0))=FALSE,INDEX('Ist Vorjahr Monat 08'!B:B,MATCH(D23,'Ist Vorjahr Monat 08'!A:A,0)),
IF(ISERROR(MATCH(D23,'Ist Vorjahr Monat 09'!A:A,0))=FALSE,INDEX('Ist Vorjahr Monat 09'!B:B,MATCH(D23,'Ist Vorjahr Monat 09'!A:A,0)),
IF(ISERROR(MATCH(D23,'Ist Vorjahr Monat 10'!A:A,0))=FALSE,INDEX('Ist Vorjahr Monat 10'!B:B,MATCH(D23,'Ist Vorjahr Monat 10'!A:A,0)),
IF(ISERROR(MATCH(D23,'Ist Vorjahr Monat 11'!A:A,0))=FALSE,INDEX('Ist Vorjahr Monat 11'!B:B,MATCH(D23,'Ist Vorjahr Monat 11'!A:A,0)),
IF(ISERROR(MATCH(D23,'Ist Vorjahr Monat 12'!A:A,0))=FALSE,INDEX('Ist Vorjahr Monat 12'!B:B,MATCH(D23,'Ist Vorjahr Monat 12'!A:A,0)),
"{Konto unbekannt}"
)))))))))))),"")</f>
        <v/>
      </c>
      <c r="C23" s="591"/>
      <c r="D23" s="590"/>
      <c r="E23" s="592">
        <f t="shared" si="19"/>
        <v>-1</v>
      </c>
      <c r="F23" s="590" t="s">
        <v>996</v>
      </c>
      <c r="G23" s="593">
        <f ca="1">$E23*(-SUMIF(INDIRECT(G$3),'Struktur Vorjahr'!$D23,INDIRECT(G$4))+SUMIF(INDIRECT(G$3),'Struktur Vorjahr'!$D23,INDIRECT(G$5)))</f>
        <v>0</v>
      </c>
      <c r="H23" s="593">
        <f ca="1">$E23*(-SUMIF(INDIRECT(H$3),'Struktur Vorjahr'!$D23,INDIRECT(H$4))+SUMIF(INDIRECT(H$3),'Struktur Vorjahr'!$D23,INDIRECT(H$5)))</f>
        <v>0</v>
      </c>
      <c r="I23" s="593">
        <f ca="1">$E23*(-SUMIF(INDIRECT(I$3),'Struktur Vorjahr'!$D23,INDIRECT(I$4))+SUMIF(INDIRECT(I$3),'Struktur Vorjahr'!$D23,INDIRECT(I$5)))</f>
        <v>0</v>
      </c>
      <c r="J23" s="593">
        <f ca="1">$E23*(-SUMIF(INDIRECT(J$3),'Struktur Vorjahr'!$D23,INDIRECT(J$4))+SUMIF(INDIRECT(J$3),'Struktur Vorjahr'!$D23,INDIRECT(J$5)))</f>
        <v>0</v>
      </c>
      <c r="K23" s="593">
        <f ca="1">$E23*(-SUMIF(INDIRECT(K$3),'Struktur Vorjahr'!$D23,INDIRECT(K$4))+SUMIF(INDIRECT(K$3),'Struktur Vorjahr'!$D23,INDIRECT(K$5)))</f>
        <v>0</v>
      </c>
      <c r="L23" s="593">
        <f ca="1">$E23*(-SUMIF(INDIRECT(L$3),'Struktur Vorjahr'!$D23,INDIRECT(L$4))+SUMIF(INDIRECT(L$3),'Struktur Vorjahr'!$D23,INDIRECT(L$5)))</f>
        <v>0</v>
      </c>
      <c r="M23" s="593">
        <f ca="1">$E23*(-SUMIF(INDIRECT(M$3),'Struktur Vorjahr'!$D23,INDIRECT(M$4))+SUMIF(INDIRECT(M$3),'Struktur Vorjahr'!$D23,INDIRECT(M$5)))</f>
        <v>0</v>
      </c>
      <c r="N23" s="593">
        <f ca="1">$E23*(-SUMIF(INDIRECT(N$3),'Struktur Vorjahr'!$D23,INDIRECT(N$4))+SUMIF(INDIRECT(N$3),'Struktur Vorjahr'!$D23,INDIRECT(N$5)))</f>
        <v>0</v>
      </c>
      <c r="O23" s="593">
        <f ca="1">$E23*(-SUMIF(INDIRECT(O$3),'Struktur Vorjahr'!$D23,INDIRECT(O$4))+SUMIF(INDIRECT(O$3),'Struktur Vorjahr'!$D23,INDIRECT(O$5)))</f>
        <v>0</v>
      </c>
      <c r="P23" s="593">
        <f ca="1">$E23*(-SUMIF(INDIRECT(P$3),'Struktur Vorjahr'!$D23,INDIRECT(P$4))+SUMIF(INDIRECT(P$3),'Struktur Vorjahr'!$D23,INDIRECT(P$5)))</f>
        <v>0</v>
      </c>
      <c r="Q23" s="593">
        <f ca="1">$E23*(-SUMIF(INDIRECT(Q$3),'Struktur Vorjahr'!$D23,INDIRECT(Q$4))+SUMIF(INDIRECT(Q$3),'Struktur Vorjahr'!$D23,INDIRECT(Q$5)))</f>
        <v>0</v>
      </c>
      <c r="R23" s="593">
        <f ca="1">$E23*(-SUMIF(INDIRECT(R$3),'Struktur Vorjahr'!$D23,INDIRECT(R$4))+SUMIF(INDIRECT(R$3),'Struktur Vorjahr'!$D23,INDIRECT(R$5)))</f>
        <v>0</v>
      </c>
      <c r="S23" s="593">
        <f ca="1">$E23*(-SUMIF(INDIRECT(S$3),'Struktur Vorjahr'!$D23,INDIRECT(S$4))+SUMIF(INDIRECT(S$3),'Struktur Vorjahr'!$D23,INDIRECT(S$5)))</f>
        <v>0</v>
      </c>
      <c r="T23" s="593">
        <f ca="1">$E23*(-SUMIF(INDIRECT(T$3),'Struktur Vorjahr'!$D23,INDIRECT(T$4))+SUMIF(INDIRECT(T$3),'Struktur Vorjahr'!$D23,INDIRECT(T$5)))</f>
        <v>0</v>
      </c>
      <c r="U23" s="593">
        <f ca="1">$E23*(-SUMIF(INDIRECT(U$3),'Struktur Vorjahr'!$D23,INDIRECT(U$4))+SUMIF(INDIRECT(U$3),'Struktur Vorjahr'!$D23,INDIRECT(U$5)))</f>
        <v>0</v>
      </c>
      <c r="V23" s="593">
        <f ca="1">$E23*(-SUMIF(INDIRECT(V$3),'Struktur Vorjahr'!$D23,INDIRECT(V$4))+SUMIF(INDIRECT(V$3),'Struktur Vorjahr'!$D23,INDIRECT(V$5)))</f>
        <v>0</v>
      </c>
      <c r="W23" s="593">
        <f ca="1">$E23*(-SUMIF(INDIRECT(W$3),'Struktur Vorjahr'!$D23,INDIRECT(W$4))+SUMIF(INDIRECT(W$3),'Struktur Vorjahr'!$D23,INDIRECT(W$5)))</f>
        <v>0</v>
      </c>
      <c r="X23" s="593">
        <f ca="1">$E23*(-SUMIF(INDIRECT(X$3),'Struktur Vorjahr'!$D23,INDIRECT(X$4))+SUMIF(INDIRECT(X$3),'Struktur Vorjahr'!$D23,INDIRECT(X$5)))</f>
        <v>0</v>
      </c>
      <c r="Y23" s="593">
        <f ca="1">$E23*(-SUMIF(INDIRECT(Y$3),'Struktur Vorjahr'!$D23,INDIRECT(Y$4))+SUMIF(INDIRECT(Y$3),'Struktur Vorjahr'!$D23,INDIRECT(Y$5)))</f>
        <v>0</v>
      </c>
      <c r="Z23" s="593">
        <f ca="1">$E23*(-SUMIF(INDIRECT(Z$3),'Struktur Vorjahr'!$D23,INDIRECT(Z$4))+SUMIF(INDIRECT(Z$3),'Struktur Vorjahr'!$D23,INDIRECT(Z$5)))</f>
        <v>0</v>
      </c>
      <c r="AA23" s="593">
        <f ca="1">$E23*(-SUMIF(INDIRECT(AA$3),'Struktur Vorjahr'!$D23,INDIRECT(AA$4))+SUMIF(INDIRECT(AA$3),'Struktur Vorjahr'!$D23,INDIRECT(AA$5)))</f>
        <v>0</v>
      </c>
      <c r="AB23" s="593">
        <f ca="1">$E23*(-SUMIF(INDIRECT(AB$3),'Struktur Vorjahr'!$D23,INDIRECT(AB$4))+SUMIF(INDIRECT(AB$3),'Struktur Vorjahr'!$D23,INDIRECT(AB$5)))</f>
        <v>0</v>
      </c>
      <c r="AC23" s="593">
        <f ca="1">$E23*(-SUMIF(INDIRECT(AC$3),'Struktur Vorjahr'!$D23,INDIRECT(AC$4))+SUMIF(INDIRECT(AC$3),'Struktur Vorjahr'!$D23,INDIRECT(AC$5)))</f>
        <v>0</v>
      </c>
      <c r="AD23" s="593">
        <f ca="1">$E23*(-SUMIF(INDIRECT(AD$3),'Struktur Vorjahr'!$D23,INDIRECT(AD$4))+SUMIF(INDIRECT(AD$3),'Struktur Vorjahr'!$D23,INDIRECT(AD$5)))</f>
        <v>0</v>
      </c>
      <c r="AE23" s="593">
        <f t="shared" ca="1" si="17"/>
        <v>0</v>
      </c>
      <c r="AF23" s="593">
        <f t="shared" ca="1" si="18"/>
        <v>0</v>
      </c>
      <c r="AG23" s="593">
        <f t="shared" ca="1" si="16"/>
        <v>0</v>
      </c>
      <c r="AH23" s="593">
        <f t="shared" ca="1" si="16"/>
        <v>0</v>
      </c>
      <c r="AI23" s="593">
        <f t="shared" ca="1" si="16"/>
        <v>0</v>
      </c>
      <c r="AJ23" s="593">
        <f t="shared" ca="1" si="16"/>
        <v>0</v>
      </c>
      <c r="AK23" s="593">
        <f t="shared" ca="1" si="16"/>
        <v>0</v>
      </c>
      <c r="AL23" s="593">
        <f t="shared" ca="1" si="16"/>
        <v>0</v>
      </c>
      <c r="AM23" s="593">
        <f t="shared" ca="1" si="16"/>
        <v>0</v>
      </c>
      <c r="AN23" s="593">
        <f t="shared" ca="1" si="16"/>
        <v>0</v>
      </c>
      <c r="AO23" s="593">
        <f t="shared" ca="1" si="16"/>
        <v>0</v>
      </c>
      <c r="AP23" s="593">
        <f t="shared" ca="1" si="16"/>
        <v>0</v>
      </c>
    </row>
    <row r="24" spans="1:42" s="594" customFormat="1" ht="11.25" outlineLevel="1" x14ac:dyDescent="0.2">
      <c r="A24" s="590"/>
      <c r="B24" s="591" t="str">
        <f>IF(D24&lt;&gt;"",
IF(ISERROR(MATCH(D24,'Ist Vorjahr Monat 01'!A:A,0))=FALSE,INDEX('Ist Vorjahr Monat 01'!B:B,MATCH(D24,'Ist Vorjahr Monat 01'!A:A,0)),
IF(ISERROR(MATCH(D24,'Ist Vorjahr Monat 02'!A:A,0))=FALSE,INDEX('Ist Vorjahr Monat 02'!B:B,MATCH(D24,'Ist Vorjahr Monat 02'!A:A,0)),
IF(ISERROR(MATCH(D24,'Ist Vorjahr Monat 03'!A:A,0))=FALSE,INDEX('Ist Vorjahr Monat 03'!B:B,MATCH(D24,'Ist Vorjahr Monat 03'!A:A,0)),
IF(ISERROR(MATCH(D24,'Ist Vorjahr Monat 04'!A:A,0))=FALSE,INDEX('Ist Vorjahr Monat 04'!B:B,MATCH(D24,'Ist Vorjahr Monat 04'!A:A,0)),
IF(ISERROR(MATCH(D24,'Ist Vorjahr Monat 05'!A:A,0))=FALSE,INDEX('Ist Vorjahr Monat 05'!B:B,MATCH(D24,'Ist Vorjahr Monat 05'!A:A,0)),
IF(ISERROR(MATCH(D24,'Ist Vorjahr Monat 06'!A:A,0))=FALSE,INDEX('Ist Vorjahr Monat 06'!B:B,MATCH(D24,'Ist Vorjahr Monat 06'!A:A,0)),
IF(ISERROR(MATCH(D24,'Ist Vorjahr Monat 07'!A:A,0))=FALSE,INDEX('Ist Vorjahr Monat 07'!B:B,MATCH(D24,'Ist Vorjahr Monat 07'!A:A,0)),
IF(ISERROR(MATCH(D24,'Ist Vorjahr Monat 08'!A:A,0))=FALSE,INDEX('Ist Vorjahr Monat 08'!B:B,MATCH(D24,'Ist Vorjahr Monat 08'!A:A,0)),
IF(ISERROR(MATCH(D24,'Ist Vorjahr Monat 09'!A:A,0))=FALSE,INDEX('Ist Vorjahr Monat 09'!B:B,MATCH(D24,'Ist Vorjahr Monat 09'!A:A,0)),
IF(ISERROR(MATCH(D24,'Ist Vorjahr Monat 10'!A:A,0))=FALSE,INDEX('Ist Vorjahr Monat 10'!B:B,MATCH(D24,'Ist Vorjahr Monat 10'!A:A,0)),
IF(ISERROR(MATCH(D24,'Ist Vorjahr Monat 11'!A:A,0))=FALSE,INDEX('Ist Vorjahr Monat 11'!B:B,MATCH(D24,'Ist Vorjahr Monat 11'!A:A,0)),
IF(ISERROR(MATCH(D24,'Ist Vorjahr Monat 12'!A:A,0))=FALSE,INDEX('Ist Vorjahr Monat 12'!B:B,MATCH(D24,'Ist Vorjahr Monat 12'!A:A,0)),
"{Konto unbekannt}"
)))))))))))),"")</f>
        <v/>
      </c>
      <c r="C24" s="591"/>
      <c r="D24" s="590"/>
      <c r="E24" s="592">
        <f t="shared" si="19"/>
        <v>-1</v>
      </c>
      <c r="F24" s="590" t="s">
        <v>996</v>
      </c>
      <c r="G24" s="593">
        <f ca="1">$E24*(-SUMIF(INDIRECT(G$3),'Struktur Vorjahr'!$D24,INDIRECT(G$4))+SUMIF(INDIRECT(G$3),'Struktur Vorjahr'!$D24,INDIRECT(G$5)))</f>
        <v>0</v>
      </c>
      <c r="H24" s="593">
        <f ca="1">$E24*(-SUMIF(INDIRECT(H$3),'Struktur Vorjahr'!$D24,INDIRECT(H$4))+SUMIF(INDIRECT(H$3),'Struktur Vorjahr'!$D24,INDIRECT(H$5)))</f>
        <v>0</v>
      </c>
      <c r="I24" s="593">
        <f ca="1">$E24*(-SUMIF(INDIRECT(I$3),'Struktur Vorjahr'!$D24,INDIRECT(I$4))+SUMIF(INDIRECT(I$3),'Struktur Vorjahr'!$D24,INDIRECT(I$5)))</f>
        <v>0</v>
      </c>
      <c r="J24" s="593">
        <f ca="1">$E24*(-SUMIF(INDIRECT(J$3),'Struktur Vorjahr'!$D24,INDIRECT(J$4))+SUMIF(INDIRECT(J$3),'Struktur Vorjahr'!$D24,INDIRECT(J$5)))</f>
        <v>0</v>
      </c>
      <c r="K24" s="593">
        <f ca="1">$E24*(-SUMIF(INDIRECT(K$3),'Struktur Vorjahr'!$D24,INDIRECT(K$4))+SUMIF(INDIRECT(K$3),'Struktur Vorjahr'!$D24,INDIRECT(K$5)))</f>
        <v>0</v>
      </c>
      <c r="L24" s="593">
        <f ca="1">$E24*(-SUMIF(INDIRECT(L$3),'Struktur Vorjahr'!$D24,INDIRECT(L$4))+SUMIF(INDIRECT(L$3),'Struktur Vorjahr'!$D24,INDIRECT(L$5)))</f>
        <v>0</v>
      </c>
      <c r="M24" s="593">
        <f ca="1">$E24*(-SUMIF(INDIRECT(M$3),'Struktur Vorjahr'!$D24,INDIRECT(M$4))+SUMIF(INDIRECT(M$3),'Struktur Vorjahr'!$D24,INDIRECT(M$5)))</f>
        <v>0</v>
      </c>
      <c r="N24" s="593">
        <f ca="1">$E24*(-SUMIF(INDIRECT(N$3),'Struktur Vorjahr'!$D24,INDIRECT(N$4))+SUMIF(INDIRECT(N$3),'Struktur Vorjahr'!$D24,INDIRECT(N$5)))</f>
        <v>0</v>
      </c>
      <c r="O24" s="593">
        <f ca="1">$E24*(-SUMIF(INDIRECT(O$3),'Struktur Vorjahr'!$D24,INDIRECT(O$4))+SUMIF(INDIRECT(O$3),'Struktur Vorjahr'!$D24,INDIRECT(O$5)))</f>
        <v>0</v>
      </c>
      <c r="P24" s="593">
        <f ca="1">$E24*(-SUMIF(INDIRECT(P$3),'Struktur Vorjahr'!$D24,INDIRECT(P$4))+SUMIF(INDIRECT(P$3),'Struktur Vorjahr'!$D24,INDIRECT(P$5)))</f>
        <v>0</v>
      </c>
      <c r="Q24" s="593">
        <f ca="1">$E24*(-SUMIF(INDIRECT(Q$3),'Struktur Vorjahr'!$D24,INDIRECT(Q$4))+SUMIF(INDIRECT(Q$3),'Struktur Vorjahr'!$D24,INDIRECT(Q$5)))</f>
        <v>0</v>
      </c>
      <c r="R24" s="593">
        <f ca="1">$E24*(-SUMIF(INDIRECT(R$3),'Struktur Vorjahr'!$D24,INDIRECT(R$4))+SUMIF(INDIRECT(R$3),'Struktur Vorjahr'!$D24,INDIRECT(R$5)))</f>
        <v>0</v>
      </c>
      <c r="S24" s="593">
        <f ca="1">$E24*(-SUMIF(INDIRECT(S$3),'Struktur Vorjahr'!$D24,INDIRECT(S$4))+SUMIF(INDIRECT(S$3),'Struktur Vorjahr'!$D24,INDIRECT(S$5)))</f>
        <v>0</v>
      </c>
      <c r="T24" s="593">
        <f ca="1">$E24*(-SUMIF(INDIRECT(T$3),'Struktur Vorjahr'!$D24,INDIRECT(T$4))+SUMIF(INDIRECT(T$3),'Struktur Vorjahr'!$D24,INDIRECT(T$5)))</f>
        <v>0</v>
      </c>
      <c r="U24" s="593">
        <f ca="1">$E24*(-SUMIF(INDIRECT(U$3),'Struktur Vorjahr'!$D24,INDIRECT(U$4))+SUMIF(INDIRECT(U$3),'Struktur Vorjahr'!$D24,INDIRECT(U$5)))</f>
        <v>0</v>
      </c>
      <c r="V24" s="593">
        <f ca="1">$E24*(-SUMIF(INDIRECT(V$3),'Struktur Vorjahr'!$D24,INDIRECT(V$4))+SUMIF(INDIRECT(V$3),'Struktur Vorjahr'!$D24,INDIRECT(V$5)))</f>
        <v>0</v>
      </c>
      <c r="W24" s="593">
        <f ca="1">$E24*(-SUMIF(INDIRECT(W$3),'Struktur Vorjahr'!$D24,INDIRECT(W$4))+SUMIF(INDIRECT(W$3),'Struktur Vorjahr'!$D24,INDIRECT(W$5)))</f>
        <v>0</v>
      </c>
      <c r="X24" s="593">
        <f ca="1">$E24*(-SUMIF(INDIRECT(X$3),'Struktur Vorjahr'!$D24,INDIRECT(X$4))+SUMIF(INDIRECT(X$3),'Struktur Vorjahr'!$D24,INDIRECT(X$5)))</f>
        <v>0</v>
      </c>
      <c r="Y24" s="593">
        <f ca="1">$E24*(-SUMIF(INDIRECT(Y$3),'Struktur Vorjahr'!$D24,INDIRECT(Y$4))+SUMIF(INDIRECT(Y$3),'Struktur Vorjahr'!$D24,INDIRECT(Y$5)))</f>
        <v>0</v>
      </c>
      <c r="Z24" s="593">
        <f ca="1">$E24*(-SUMIF(INDIRECT(Z$3),'Struktur Vorjahr'!$D24,INDIRECT(Z$4))+SUMIF(INDIRECT(Z$3),'Struktur Vorjahr'!$D24,INDIRECT(Z$5)))</f>
        <v>0</v>
      </c>
      <c r="AA24" s="593">
        <f ca="1">$E24*(-SUMIF(INDIRECT(AA$3),'Struktur Vorjahr'!$D24,INDIRECT(AA$4))+SUMIF(INDIRECT(AA$3),'Struktur Vorjahr'!$D24,INDIRECT(AA$5)))</f>
        <v>0</v>
      </c>
      <c r="AB24" s="593">
        <f ca="1">$E24*(-SUMIF(INDIRECT(AB$3),'Struktur Vorjahr'!$D24,INDIRECT(AB$4))+SUMIF(INDIRECT(AB$3),'Struktur Vorjahr'!$D24,INDIRECT(AB$5)))</f>
        <v>0</v>
      </c>
      <c r="AC24" s="593">
        <f ca="1">$E24*(-SUMIF(INDIRECT(AC$3),'Struktur Vorjahr'!$D24,INDIRECT(AC$4))+SUMIF(INDIRECT(AC$3),'Struktur Vorjahr'!$D24,INDIRECT(AC$5)))</f>
        <v>0</v>
      </c>
      <c r="AD24" s="593">
        <f ca="1">$E24*(-SUMIF(INDIRECT(AD$3),'Struktur Vorjahr'!$D24,INDIRECT(AD$4))+SUMIF(INDIRECT(AD$3),'Struktur Vorjahr'!$D24,INDIRECT(AD$5)))</f>
        <v>0</v>
      </c>
      <c r="AE24" s="593">
        <f t="shared" ca="1" si="17"/>
        <v>0</v>
      </c>
      <c r="AF24" s="593">
        <f t="shared" ca="1" si="18"/>
        <v>0</v>
      </c>
      <c r="AG24" s="593">
        <f t="shared" ca="1" si="16"/>
        <v>0</v>
      </c>
      <c r="AH24" s="593">
        <f t="shared" ca="1" si="16"/>
        <v>0</v>
      </c>
      <c r="AI24" s="593">
        <f t="shared" ca="1" si="16"/>
        <v>0</v>
      </c>
      <c r="AJ24" s="593">
        <f t="shared" ca="1" si="16"/>
        <v>0</v>
      </c>
      <c r="AK24" s="593">
        <f t="shared" ca="1" si="16"/>
        <v>0</v>
      </c>
      <c r="AL24" s="593">
        <f t="shared" ca="1" si="16"/>
        <v>0</v>
      </c>
      <c r="AM24" s="593">
        <f t="shared" ca="1" si="16"/>
        <v>0</v>
      </c>
      <c r="AN24" s="593">
        <f t="shared" ca="1" si="16"/>
        <v>0</v>
      </c>
      <c r="AO24" s="593">
        <f t="shared" ca="1" si="16"/>
        <v>0</v>
      </c>
      <c r="AP24" s="593">
        <f t="shared" ca="1" si="16"/>
        <v>0</v>
      </c>
    </row>
    <row r="25" spans="1:42" s="594" customFormat="1" ht="11.25" outlineLevel="1" x14ac:dyDescent="0.2">
      <c r="A25" s="590"/>
      <c r="B25" s="591" t="str">
        <f>IF(D25&lt;&gt;"",
IF(ISERROR(MATCH(D25,'Ist Vorjahr Monat 01'!A:A,0))=FALSE,INDEX('Ist Vorjahr Monat 01'!B:B,MATCH(D25,'Ist Vorjahr Monat 01'!A:A,0)),
IF(ISERROR(MATCH(D25,'Ist Vorjahr Monat 02'!A:A,0))=FALSE,INDEX('Ist Vorjahr Monat 02'!B:B,MATCH(D25,'Ist Vorjahr Monat 02'!A:A,0)),
IF(ISERROR(MATCH(D25,'Ist Vorjahr Monat 03'!A:A,0))=FALSE,INDEX('Ist Vorjahr Monat 03'!B:B,MATCH(D25,'Ist Vorjahr Monat 03'!A:A,0)),
IF(ISERROR(MATCH(D25,'Ist Vorjahr Monat 04'!A:A,0))=FALSE,INDEX('Ist Vorjahr Monat 04'!B:B,MATCH(D25,'Ist Vorjahr Monat 04'!A:A,0)),
IF(ISERROR(MATCH(D25,'Ist Vorjahr Monat 05'!A:A,0))=FALSE,INDEX('Ist Vorjahr Monat 05'!B:B,MATCH(D25,'Ist Vorjahr Monat 05'!A:A,0)),
IF(ISERROR(MATCH(D25,'Ist Vorjahr Monat 06'!A:A,0))=FALSE,INDEX('Ist Vorjahr Monat 06'!B:B,MATCH(D25,'Ist Vorjahr Monat 06'!A:A,0)),
IF(ISERROR(MATCH(D25,'Ist Vorjahr Monat 07'!A:A,0))=FALSE,INDEX('Ist Vorjahr Monat 07'!B:B,MATCH(D25,'Ist Vorjahr Monat 07'!A:A,0)),
IF(ISERROR(MATCH(D25,'Ist Vorjahr Monat 08'!A:A,0))=FALSE,INDEX('Ist Vorjahr Monat 08'!B:B,MATCH(D25,'Ist Vorjahr Monat 08'!A:A,0)),
IF(ISERROR(MATCH(D25,'Ist Vorjahr Monat 09'!A:A,0))=FALSE,INDEX('Ist Vorjahr Monat 09'!B:B,MATCH(D25,'Ist Vorjahr Monat 09'!A:A,0)),
IF(ISERROR(MATCH(D25,'Ist Vorjahr Monat 10'!A:A,0))=FALSE,INDEX('Ist Vorjahr Monat 10'!B:B,MATCH(D25,'Ist Vorjahr Monat 10'!A:A,0)),
IF(ISERROR(MATCH(D25,'Ist Vorjahr Monat 11'!A:A,0))=FALSE,INDEX('Ist Vorjahr Monat 11'!B:B,MATCH(D25,'Ist Vorjahr Monat 11'!A:A,0)),
IF(ISERROR(MATCH(D25,'Ist Vorjahr Monat 12'!A:A,0))=FALSE,INDEX('Ist Vorjahr Monat 12'!B:B,MATCH(D25,'Ist Vorjahr Monat 12'!A:A,0)),
"{Konto unbekannt}"
)))))))))))),"")</f>
        <v/>
      </c>
      <c r="C25" s="591"/>
      <c r="D25" s="590"/>
      <c r="E25" s="592">
        <f t="shared" si="19"/>
        <v>-1</v>
      </c>
      <c r="F25" s="590" t="s">
        <v>996</v>
      </c>
      <c r="G25" s="593">
        <f ca="1">$E25*(-SUMIF(INDIRECT(G$3),'Struktur Vorjahr'!$D25,INDIRECT(G$4))+SUMIF(INDIRECT(G$3),'Struktur Vorjahr'!$D25,INDIRECT(G$5)))</f>
        <v>0</v>
      </c>
      <c r="H25" s="593">
        <f ca="1">$E25*(-SUMIF(INDIRECT(H$3),'Struktur Vorjahr'!$D25,INDIRECT(H$4))+SUMIF(INDIRECT(H$3),'Struktur Vorjahr'!$D25,INDIRECT(H$5)))</f>
        <v>0</v>
      </c>
      <c r="I25" s="593">
        <f ca="1">$E25*(-SUMIF(INDIRECT(I$3),'Struktur Vorjahr'!$D25,INDIRECT(I$4))+SUMIF(INDIRECT(I$3),'Struktur Vorjahr'!$D25,INDIRECT(I$5)))</f>
        <v>0</v>
      </c>
      <c r="J25" s="593">
        <f ca="1">$E25*(-SUMIF(INDIRECT(J$3),'Struktur Vorjahr'!$D25,INDIRECT(J$4))+SUMIF(INDIRECT(J$3),'Struktur Vorjahr'!$D25,INDIRECT(J$5)))</f>
        <v>0</v>
      </c>
      <c r="K25" s="593">
        <f ca="1">$E25*(-SUMIF(INDIRECT(K$3),'Struktur Vorjahr'!$D25,INDIRECT(K$4))+SUMIF(INDIRECT(K$3),'Struktur Vorjahr'!$D25,INDIRECT(K$5)))</f>
        <v>0</v>
      </c>
      <c r="L25" s="593">
        <f ca="1">$E25*(-SUMIF(INDIRECT(L$3),'Struktur Vorjahr'!$D25,INDIRECT(L$4))+SUMIF(INDIRECT(L$3),'Struktur Vorjahr'!$D25,INDIRECT(L$5)))</f>
        <v>0</v>
      </c>
      <c r="M25" s="593">
        <f ca="1">$E25*(-SUMIF(INDIRECT(M$3),'Struktur Vorjahr'!$D25,INDIRECT(M$4))+SUMIF(INDIRECT(M$3),'Struktur Vorjahr'!$D25,INDIRECT(M$5)))</f>
        <v>0</v>
      </c>
      <c r="N25" s="593">
        <f ca="1">$E25*(-SUMIF(INDIRECT(N$3),'Struktur Vorjahr'!$D25,INDIRECT(N$4))+SUMIF(INDIRECT(N$3),'Struktur Vorjahr'!$D25,INDIRECT(N$5)))</f>
        <v>0</v>
      </c>
      <c r="O25" s="593">
        <f ca="1">$E25*(-SUMIF(INDIRECT(O$3),'Struktur Vorjahr'!$D25,INDIRECT(O$4))+SUMIF(INDIRECT(O$3),'Struktur Vorjahr'!$D25,INDIRECT(O$5)))</f>
        <v>0</v>
      </c>
      <c r="P25" s="593">
        <f ca="1">$E25*(-SUMIF(INDIRECT(P$3),'Struktur Vorjahr'!$D25,INDIRECT(P$4))+SUMIF(INDIRECT(P$3),'Struktur Vorjahr'!$D25,INDIRECT(P$5)))</f>
        <v>0</v>
      </c>
      <c r="Q25" s="593">
        <f ca="1">$E25*(-SUMIF(INDIRECT(Q$3),'Struktur Vorjahr'!$D25,INDIRECT(Q$4))+SUMIF(INDIRECT(Q$3),'Struktur Vorjahr'!$D25,INDIRECT(Q$5)))</f>
        <v>0</v>
      </c>
      <c r="R25" s="593">
        <f ca="1">$E25*(-SUMIF(INDIRECT(R$3),'Struktur Vorjahr'!$D25,INDIRECT(R$4))+SUMIF(INDIRECT(R$3),'Struktur Vorjahr'!$D25,INDIRECT(R$5)))</f>
        <v>0</v>
      </c>
      <c r="S25" s="593">
        <f ca="1">$E25*(-SUMIF(INDIRECT(S$3),'Struktur Vorjahr'!$D25,INDIRECT(S$4))+SUMIF(INDIRECT(S$3),'Struktur Vorjahr'!$D25,INDIRECT(S$5)))</f>
        <v>0</v>
      </c>
      <c r="T25" s="593">
        <f ca="1">$E25*(-SUMIF(INDIRECT(T$3),'Struktur Vorjahr'!$D25,INDIRECT(T$4))+SUMIF(INDIRECT(T$3),'Struktur Vorjahr'!$D25,INDIRECT(T$5)))</f>
        <v>0</v>
      </c>
      <c r="U25" s="593">
        <f ca="1">$E25*(-SUMIF(INDIRECT(U$3),'Struktur Vorjahr'!$D25,INDIRECT(U$4))+SUMIF(INDIRECT(U$3),'Struktur Vorjahr'!$D25,INDIRECT(U$5)))</f>
        <v>0</v>
      </c>
      <c r="V25" s="593">
        <f ca="1">$E25*(-SUMIF(INDIRECT(V$3),'Struktur Vorjahr'!$D25,INDIRECT(V$4))+SUMIF(INDIRECT(V$3),'Struktur Vorjahr'!$D25,INDIRECT(V$5)))</f>
        <v>0</v>
      </c>
      <c r="W25" s="593">
        <f ca="1">$E25*(-SUMIF(INDIRECT(W$3),'Struktur Vorjahr'!$D25,INDIRECT(W$4))+SUMIF(INDIRECT(W$3),'Struktur Vorjahr'!$D25,INDIRECT(W$5)))</f>
        <v>0</v>
      </c>
      <c r="X25" s="593">
        <f ca="1">$E25*(-SUMIF(INDIRECT(X$3),'Struktur Vorjahr'!$D25,INDIRECT(X$4))+SUMIF(INDIRECT(X$3),'Struktur Vorjahr'!$D25,INDIRECT(X$5)))</f>
        <v>0</v>
      </c>
      <c r="Y25" s="593">
        <f ca="1">$E25*(-SUMIF(INDIRECT(Y$3),'Struktur Vorjahr'!$D25,INDIRECT(Y$4))+SUMIF(INDIRECT(Y$3),'Struktur Vorjahr'!$D25,INDIRECT(Y$5)))</f>
        <v>0</v>
      </c>
      <c r="Z25" s="593">
        <f ca="1">$E25*(-SUMIF(INDIRECT(Z$3),'Struktur Vorjahr'!$D25,INDIRECT(Z$4))+SUMIF(INDIRECT(Z$3),'Struktur Vorjahr'!$D25,INDIRECT(Z$5)))</f>
        <v>0</v>
      </c>
      <c r="AA25" s="593">
        <f ca="1">$E25*(-SUMIF(INDIRECT(AA$3),'Struktur Vorjahr'!$D25,INDIRECT(AA$4))+SUMIF(INDIRECT(AA$3),'Struktur Vorjahr'!$D25,INDIRECT(AA$5)))</f>
        <v>0</v>
      </c>
      <c r="AB25" s="593">
        <f ca="1">$E25*(-SUMIF(INDIRECT(AB$3),'Struktur Vorjahr'!$D25,INDIRECT(AB$4))+SUMIF(INDIRECT(AB$3),'Struktur Vorjahr'!$D25,INDIRECT(AB$5)))</f>
        <v>0</v>
      </c>
      <c r="AC25" s="593">
        <f ca="1">$E25*(-SUMIF(INDIRECT(AC$3),'Struktur Vorjahr'!$D25,INDIRECT(AC$4))+SUMIF(INDIRECT(AC$3),'Struktur Vorjahr'!$D25,INDIRECT(AC$5)))</f>
        <v>0</v>
      </c>
      <c r="AD25" s="593">
        <f ca="1">$E25*(-SUMIF(INDIRECT(AD$3),'Struktur Vorjahr'!$D25,INDIRECT(AD$4))+SUMIF(INDIRECT(AD$3),'Struktur Vorjahr'!$D25,INDIRECT(AD$5)))</f>
        <v>0</v>
      </c>
      <c r="AE25" s="593">
        <f t="shared" ca="1" si="17"/>
        <v>0</v>
      </c>
      <c r="AF25" s="593">
        <f t="shared" ca="1" si="18"/>
        <v>0</v>
      </c>
      <c r="AG25" s="593">
        <f t="shared" ca="1" si="16"/>
        <v>0</v>
      </c>
      <c r="AH25" s="593">
        <f t="shared" ca="1" si="16"/>
        <v>0</v>
      </c>
      <c r="AI25" s="593">
        <f t="shared" ca="1" si="16"/>
        <v>0</v>
      </c>
      <c r="AJ25" s="593">
        <f t="shared" ca="1" si="16"/>
        <v>0</v>
      </c>
      <c r="AK25" s="593">
        <f t="shared" ca="1" si="16"/>
        <v>0</v>
      </c>
      <c r="AL25" s="593">
        <f t="shared" ca="1" si="16"/>
        <v>0</v>
      </c>
      <c r="AM25" s="593">
        <f t="shared" ca="1" si="16"/>
        <v>0</v>
      </c>
      <c r="AN25" s="593">
        <f t="shared" ca="1" si="16"/>
        <v>0</v>
      </c>
      <c r="AO25" s="593">
        <f t="shared" ca="1" si="16"/>
        <v>0</v>
      </c>
      <c r="AP25" s="593">
        <f t="shared" ca="1" si="16"/>
        <v>0</v>
      </c>
    </row>
    <row r="26" spans="1:42" s="589" customFormat="1" x14ac:dyDescent="0.2">
      <c r="A26" s="585">
        <v>2</v>
      </c>
      <c r="B26" s="586" t="s">
        <v>997</v>
      </c>
      <c r="C26" s="587">
        <f ca="1">SUM(G26:R26)</f>
        <v>0</v>
      </c>
      <c r="D26" s="587"/>
      <c r="E26" s="588">
        <f t="shared" si="19"/>
        <v>1</v>
      </c>
      <c r="F26" s="585"/>
      <c r="G26" s="587">
        <f t="shared" ref="G26:AP26" ca="1" si="20">SUM(G27:G34)</f>
        <v>0</v>
      </c>
      <c r="H26" s="587">
        <f t="shared" ca="1" si="20"/>
        <v>0</v>
      </c>
      <c r="I26" s="587">
        <f t="shared" ca="1" si="20"/>
        <v>0</v>
      </c>
      <c r="J26" s="587">
        <f t="shared" ca="1" si="20"/>
        <v>0</v>
      </c>
      <c r="K26" s="587">
        <f t="shared" ca="1" si="20"/>
        <v>0</v>
      </c>
      <c r="L26" s="587">
        <f t="shared" ca="1" si="20"/>
        <v>0</v>
      </c>
      <c r="M26" s="587">
        <f t="shared" ca="1" si="20"/>
        <v>0</v>
      </c>
      <c r="N26" s="587">
        <f t="shared" ca="1" si="20"/>
        <v>0</v>
      </c>
      <c r="O26" s="587">
        <f t="shared" ca="1" si="20"/>
        <v>0</v>
      </c>
      <c r="P26" s="587">
        <f t="shared" ca="1" si="20"/>
        <v>0</v>
      </c>
      <c r="Q26" s="587">
        <f t="shared" ca="1" si="20"/>
        <v>0</v>
      </c>
      <c r="R26" s="587">
        <f t="shared" ca="1" si="20"/>
        <v>0</v>
      </c>
      <c r="S26" s="587">
        <f t="shared" ca="1" si="20"/>
        <v>0</v>
      </c>
      <c r="T26" s="587">
        <f t="shared" ca="1" si="20"/>
        <v>0</v>
      </c>
      <c r="U26" s="587">
        <f t="shared" ca="1" si="20"/>
        <v>0</v>
      </c>
      <c r="V26" s="587">
        <f t="shared" ca="1" si="20"/>
        <v>0</v>
      </c>
      <c r="W26" s="587">
        <f t="shared" ca="1" si="20"/>
        <v>0</v>
      </c>
      <c r="X26" s="587">
        <f t="shared" ca="1" si="20"/>
        <v>0</v>
      </c>
      <c r="Y26" s="587">
        <f t="shared" ca="1" si="20"/>
        <v>0</v>
      </c>
      <c r="Z26" s="587">
        <f t="shared" ca="1" si="20"/>
        <v>0</v>
      </c>
      <c r="AA26" s="587">
        <f t="shared" ca="1" si="20"/>
        <v>0</v>
      </c>
      <c r="AB26" s="587">
        <f t="shared" ca="1" si="20"/>
        <v>0</v>
      </c>
      <c r="AC26" s="587">
        <f t="shared" ca="1" si="20"/>
        <v>0</v>
      </c>
      <c r="AD26" s="587">
        <f t="shared" ca="1" si="20"/>
        <v>0</v>
      </c>
      <c r="AE26" s="587">
        <f t="shared" ca="1" si="20"/>
        <v>0</v>
      </c>
      <c r="AF26" s="587">
        <f t="shared" ca="1" si="20"/>
        <v>0</v>
      </c>
      <c r="AG26" s="587">
        <f t="shared" ca="1" si="20"/>
        <v>0</v>
      </c>
      <c r="AH26" s="587">
        <f t="shared" ca="1" si="20"/>
        <v>0</v>
      </c>
      <c r="AI26" s="587">
        <f t="shared" ca="1" si="20"/>
        <v>0</v>
      </c>
      <c r="AJ26" s="587">
        <f t="shared" ca="1" si="20"/>
        <v>0</v>
      </c>
      <c r="AK26" s="587">
        <f t="shared" ca="1" si="20"/>
        <v>0</v>
      </c>
      <c r="AL26" s="587">
        <f t="shared" ca="1" si="20"/>
        <v>0</v>
      </c>
      <c r="AM26" s="587">
        <f t="shared" ca="1" si="20"/>
        <v>0</v>
      </c>
      <c r="AN26" s="587">
        <f t="shared" ca="1" si="20"/>
        <v>0</v>
      </c>
      <c r="AO26" s="587">
        <f t="shared" ca="1" si="20"/>
        <v>0</v>
      </c>
      <c r="AP26" s="587">
        <f t="shared" ca="1" si="20"/>
        <v>0</v>
      </c>
    </row>
    <row r="27" spans="1:42" s="594" customFormat="1" ht="11.25" outlineLevel="1" x14ac:dyDescent="0.2">
      <c r="A27" s="590"/>
      <c r="B27" s="591" t="str">
        <f>IF(D27&lt;&gt;"",
IF(ISERROR(MATCH(D27,'Ist Vorjahr Monat 01'!A:A,0))=FALSE,INDEX('Ist Vorjahr Monat 01'!B:B,MATCH(D27,'Ist Vorjahr Monat 01'!A:A,0)),
IF(ISERROR(MATCH(D27,'Ist Vorjahr Monat 02'!A:A,0))=FALSE,INDEX('Ist Vorjahr Monat 02'!B:B,MATCH(D27,'Ist Vorjahr Monat 02'!A:A,0)),
IF(ISERROR(MATCH(D27,'Ist Vorjahr Monat 03'!A:A,0))=FALSE,INDEX('Ist Vorjahr Monat 03'!B:B,MATCH(D27,'Ist Vorjahr Monat 03'!A:A,0)),
IF(ISERROR(MATCH(D27,'Ist Vorjahr Monat 04'!A:A,0))=FALSE,INDEX('Ist Vorjahr Monat 04'!B:B,MATCH(D27,'Ist Vorjahr Monat 04'!A:A,0)),
IF(ISERROR(MATCH(D27,'Ist Vorjahr Monat 05'!A:A,0))=FALSE,INDEX('Ist Vorjahr Monat 05'!B:B,MATCH(D27,'Ist Vorjahr Monat 05'!A:A,0)),
IF(ISERROR(MATCH(D27,'Ist Vorjahr Monat 06'!A:A,0))=FALSE,INDEX('Ist Vorjahr Monat 06'!B:B,MATCH(D27,'Ist Vorjahr Monat 06'!A:A,0)),
IF(ISERROR(MATCH(D27,'Ist Vorjahr Monat 07'!A:A,0))=FALSE,INDEX('Ist Vorjahr Monat 07'!B:B,MATCH(D27,'Ist Vorjahr Monat 07'!A:A,0)),
IF(ISERROR(MATCH(D27,'Ist Vorjahr Monat 08'!A:A,0))=FALSE,INDEX('Ist Vorjahr Monat 08'!B:B,MATCH(D27,'Ist Vorjahr Monat 08'!A:A,0)),
IF(ISERROR(MATCH(D27,'Ist Vorjahr Monat 09'!A:A,0))=FALSE,INDEX('Ist Vorjahr Monat 09'!B:B,MATCH(D27,'Ist Vorjahr Monat 09'!A:A,0)),
IF(ISERROR(MATCH(D27,'Ist Vorjahr Monat 10'!A:A,0))=FALSE,INDEX('Ist Vorjahr Monat 10'!B:B,MATCH(D27,'Ist Vorjahr Monat 10'!A:A,0)),
IF(ISERROR(MATCH(D27,'Ist Vorjahr Monat 11'!A:A,0))=FALSE,INDEX('Ist Vorjahr Monat 11'!B:B,MATCH(D27,'Ist Vorjahr Monat 11'!A:A,0)),
IF(ISERROR(MATCH(D27,'Ist Vorjahr Monat 12'!A:A,0))=FALSE,INDEX('Ist Vorjahr Monat 12'!B:B,MATCH(D27,'Ist Vorjahr Monat 12'!A:A,0)),
"{Konto unbekannt}"
)))))))))))),"")</f>
        <v/>
      </c>
      <c r="C27" s="591"/>
      <c r="D27" s="590"/>
      <c r="E27" s="592">
        <f t="shared" si="19"/>
        <v>-1</v>
      </c>
      <c r="F27" s="590" t="s">
        <v>996</v>
      </c>
      <c r="G27" s="593">
        <f ca="1">$E27*(-SUMIF(INDIRECT(G$3),'Struktur Vorjahr'!$D27,INDIRECT(G$4))+SUMIF(INDIRECT(G$3),'Struktur Vorjahr'!$D27,INDIRECT(G$5)))</f>
        <v>0</v>
      </c>
      <c r="H27" s="593">
        <f ca="1">$E27*(-SUMIF(INDIRECT(H$3),'Struktur Vorjahr'!$D27,INDIRECT(H$4))+SUMIF(INDIRECT(H$3),'Struktur Vorjahr'!$D27,INDIRECT(H$5)))</f>
        <v>0</v>
      </c>
      <c r="I27" s="593">
        <f ca="1">$E27*(-SUMIF(INDIRECT(I$3),'Struktur Vorjahr'!$D27,INDIRECT(I$4))+SUMIF(INDIRECT(I$3),'Struktur Vorjahr'!$D27,INDIRECT(I$5)))</f>
        <v>0</v>
      </c>
      <c r="J27" s="593">
        <f ca="1">$E27*(-SUMIF(INDIRECT(J$3),'Struktur Vorjahr'!$D27,INDIRECT(J$4))+SUMIF(INDIRECT(J$3),'Struktur Vorjahr'!$D27,INDIRECT(J$5)))</f>
        <v>0</v>
      </c>
      <c r="K27" s="593">
        <f ca="1">$E27*(-SUMIF(INDIRECT(K$3),'Struktur Vorjahr'!$D27,INDIRECT(K$4))+SUMIF(INDIRECT(K$3),'Struktur Vorjahr'!$D27,INDIRECT(K$5)))</f>
        <v>0</v>
      </c>
      <c r="L27" s="593">
        <f ca="1">$E27*(-SUMIF(INDIRECT(L$3),'Struktur Vorjahr'!$D27,INDIRECT(L$4))+SUMIF(INDIRECT(L$3),'Struktur Vorjahr'!$D27,INDIRECT(L$5)))</f>
        <v>0</v>
      </c>
      <c r="M27" s="593">
        <f ca="1">$E27*(-SUMIF(INDIRECT(M$3),'Struktur Vorjahr'!$D27,INDIRECT(M$4))+SUMIF(INDIRECT(M$3),'Struktur Vorjahr'!$D27,INDIRECT(M$5)))</f>
        <v>0</v>
      </c>
      <c r="N27" s="593">
        <f ca="1">$E27*(-SUMIF(INDIRECT(N$3),'Struktur Vorjahr'!$D27,INDIRECT(N$4))+SUMIF(INDIRECT(N$3),'Struktur Vorjahr'!$D27,INDIRECT(N$5)))</f>
        <v>0</v>
      </c>
      <c r="O27" s="593">
        <f ca="1">$E27*(-SUMIF(INDIRECT(O$3),'Struktur Vorjahr'!$D27,INDIRECT(O$4))+SUMIF(INDIRECT(O$3),'Struktur Vorjahr'!$D27,INDIRECT(O$5)))</f>
        <v>0</v>
      </c>
      <c r="P27" s="593">
        <f ca="1">$E27*(-SUMIF(INDIRECT(P$3),'Struktur Vorjahr'!$D27,INDIRECT(P$4))+SUMIF(INDIRECT(P$3),'Struktur Vorjahr'!$D27,INDIRECT(P$5)))</f>
        <v>0</v>
      </c>
      <c r="Q27" s="593">
        <f ca="1">$E27*(-SUMIF(INDIRECT(Q$3),'Struktur Vorjahr'!$D27,INDIRECT(Q$4))+SUMIF(INDIRECT(Q$3),'Struktur Vorjahr'!$D27,INDIRECT(Q$5)))</f>
        <v>0</v>
      </c>
      <c r="R27" s="593">
        <f ca="1">$E27*(-SUMIF(INDIRECT(R$3),'Struktur Vorjahr'!$D27,INDIRECT(R$4))+SUMIF(INDIRECT(R$3),'Struktur Vorjahr'!$D27,INDIRECT(R$5)))</f>
        <v>0</v>
      </c>
      <c r="S27" s="593">
        <f ca="1">$E27*(-SUMIF(INDIRECT(S$3),'Struktur Vorjahr'!$D27,INDIRECT(S$4))+SUMIF(INDIRECT(S$3),'Struktur Vorjahr'!$D27,INDIRECT(S$5)))</f>
        <v>0</v>
      </c>
      <c r="T27" s="593">
        <f ca="1">$E27*(-SUMIF(INDIRECT(T$3),'Struktur Vorjahr'!$D27,INDIRECT(T$4))+SUMIF(INDIRECT(T$3),'Struktur Vorjahr'!$D27,INDIRECT(T$5)))</f>
        <v>0</v>
      </c>
      <c r="U27" s="593">
        <f ca="1">$E27*(-SUMIF(INDIRECT(U$3),'Struktur Vorjahr'!$D27,INDIRECT(U$4))+SUMIF(INDIRECT(U$3),'Struktur Vorjahr'!$D27,INDIRECT(U$5)))</f>
        <v>0</v>
      </c>
      <c r="V27" s="593">
        <f ca="1">$E27*(-SUMIF(INDIRECT(V$3),'Struktur Vorjahr'!$D27,INDIRECT(V$4))+SUMIF(INDIRECT(V$3),'Struktur Vorjahr'!$D27,INDIRECT(V$5)))</f>
        <v>0</v>
      </c>
      <c r="W27" s="593">
        <f ca="1">$E27*(-SUMIF(INDIRECT(W$3),'Struktur Vorjahr'!$D27,INDIRECT(W$4))+SUMIF(INDIRECT(W$3),'Struktur Vorjahr'!$D27,INDIRECT(W$5)))</f>
        <v>0</v>
      </c>
      <c r="X27" s="593">
        <f ca="1">$E27*(-SUMIF(INDIRECT(X$3),'Struktur Vorjahr'!$D27,INDIRECT(X$4))+SUMIF(INDIRECT(X$3),'Struktur Vorjahr'!$D27,INDIRECT(X$5)))</f>
        <v>0</v>
      </c>
      <c r="Y27" s="593">
        <f ca="1">$E27*(-SUMIF(INDIRECT(Y$3),'Struktur Vorjahr'!$D27,INDIRECT(Y$4))+SUMIF(INDIRECT(Y$3),'Struktur Vorjahr'!$D27,INDIRECT(Y$5)))</f>
        <v>0</v>
      </c>
      <c r="Z27" s="593">
        <f ca="1">$E27*(-SUMIF(INDIRECT(Z$3),'Struktur Vorjahr'!$D27,INDIRECT(Z$4))+SUMIF(INDIRECT(Z$3),'Struktur Vorjahr'!$D27,INDIRECT(Z$5)))</f>
        <v>0</v>
      </c>
      <c r="AA27" s="593">
        <f ca="1">$E27*(-SUMIF(INDIRECT(AA$3),'Struktur Vorjahr'!$D27,INDIRECT(AA$4))+SUMIF(INDIRECT(AA$3),'Struktur Vorjahr'!$D27,INDIRECT(AA$5)))</f>
        <v>0</v>
      </c>
      <c r="AB27" s="593">
        <f ca="1">$E27*(-SUMIF(INDIRECT(AB$3),'Struktur Vorjahr'!$D27,INDIRECT(AB$4))+SUMIF(INDIRECT(AB$3),'Struktur Vorjahr'!$D27,INDIRECT(AB$5)))</f>
        <v>0</v>
      </c>
      <c r="AC27" s="593">
        <f ca="1">$E27*(-SUMIF(INDIRECT(AC$3),'Struktur Vorjahr'!$D27,INDIRECT(AC$4))+SUMIF(INDIRECT(AC$3),'Struktur Vorjahr'!$D27,INDIRECT(AC$5)))</f>
        <v>0</v>
      </c>
      <c r="AD27" s="593">
        <f ca="1">$E27*(-SUMIF(INDIRECT(AD$3),'Struktur Vorjahr'!$D27,INDIRECT(AD$4))+SUMIF(INDIRECT(AD$3),'Struktur Vorjahr'!$D27,INDIRECT(AD$5)))</f>
        <v>0</v>
      </c>
      <c r="AE27" s="593">
        <f t="shared" ref="AE27:AE34" ca="1" si="21">G27</f>
        <v>0</v>
      </c>
      <c r="AF27" s="593">
        <f t="shared" ref="AF27:AP34" ca="1" si="22">H27+AE27</f>
        <v>0</v>
      </c>
      <c r="AG27" s="593">
        <f t="shared" ca="1" si="22"/>
        <v>0</v>
      </c>
      <c r="AH27" s="593">
        <f t="shared" ca="1" si="22"/>
        <v>0</v>
      </c>
      <c r="AI27" s="593">
        <f t="shared" ca="1" si="22"/>
        <v>0</v>
      </c>
      <c r="AJ27" s="593">
        <f t="shared" ca="1" si="22"/>
        <v>0</v>
      </c>
      <c r="AK27" s="593">
        <f t="shared" ca="1" si="22"/>
        <v>0</v>
      </c>
      <c r="AL27" s="593">
        <f t="shared" ca="1" si="22"/>
        <v>0</v>
      </c>
      <c r="AM27" s="593">
        <f t="shared" ca="1" si="22"/>
        <v>0</v>
      </c>
      <c r="AN27" s="593">
        <f t="shared" ca="1" si="22"/>
        <v>0</v>
      </c>
      <c r="AO27" s="593">
        <f t="shared" ca="1" si="22"/>
        <v>0</v>
      </c>
      <c r="AP27" s="593">
        <f t="shared" ca="1" si="22"/>
        <v>0</v>
      </c>
    </row>
    <row r="28" spans="1:42" s="594" customFormat="1" ht="11.25" outlineLevel="1" x14ac:dyDescent="0.2">
      <c r="A28" s="590"/>
      <c r="B28" s="591" t="str">
        <f>IF(D28&lt;&gt;"",
IF(ISERROR(MATCH(D28,'Ist Vorjahr Monat 01'!A:A,0))=FALSE,INDEX('Ist Vorjahr Monat 01'!B:B,MATCH(D28,'Ist Vorjahr Monat 01'!A:A,0)),
IF(ISERROR(MATCH(D28,'Ist Vorjahr Monat 02'!A:A,0))=FALSE,INDEX('Ist Vorjahr Monat 02'!B:B,MATCH(D28,'Ist Vorjahr Monat 02'!A:A,0)),
IF(ISERROR(MATCH(D28,'Ist Vorjahr Monat 03'!A:A,0))=FALSE,INDEX('Ist Vorjahr Monat 03'!B:B,MATCH(D28,'Ist Vorjahr Monat 03'!A:A,0)),
IF(ISERROR(MATCH(D28,'Ist Vorjahr Monat 04'!A:A,0))=FALSE,INDEX('Ist Vorjahr Monat 04'!B:B,MATCH(D28,'Ist Vorjahr Monat 04'!A:A,0)),
IF(ISERROR(MATCH(D28,'Ist Vorjahr Monat 05'!A:A,0))=FALSE,INDEX('Ist Vorjahr Monat 05'!B:B,MATCH(D28,'Ist Vorjahr Monat 05'!A:A,0)),
IF(ISERROR(MATCH(D28,'Ist Vorjahr Monat 06'!A:A,0))=FALSE,INDEX('Ist Vorjahr Monat 06'!B:B,MATCH(D28,'Ist Vorjahr Monat 06'!A:A,0)),
IF(ISERROR(MATCH(D28,'Ist Vorjahr Monat 07'!A:A,0))=FALSE,INDEX('Ist Vorjahr Monat 07'!B:B,MATCH(D28,'Ist Vorjahr Monat 07'!A:A,0)),
IF(ISERROR(MATCH(D28,'Ist Vorjahr Monat 08'!A:A,0))=FALSE,INDEX('Ist Vorjahr Monat 08'!B:B,MATCH(D28,'Ist Vorjahr Monat 08'!A:A,0)),
IF(ISERROR(MATCH(D28,'Ist Vorjahr Monat 09'!A:A,0))=FALSE,INDEX('Ist Vorjahr Monat 09'!B:B,MATCH(D28,'Ist Vorjahr Monat 09'!A:A,0)),
IF(ISERROR(MATCH(D28,'Ist Vorjahr Monat 10'!A:A,0))=FALSE,INDEX('Ist Vorjahr Monat 10'!B:B,MATCH(D28,'Ist Vorjahr Monat 10'!A:A,0)),
IF(ISERROR(MATCH(D28,'Ist Vorjahr Monat 11'!A:A,0))=FALSE,INDEX('Ist Vorjahr Monat 11'!B:B,MATCH(D28,'Ist Vorjahr Monat 11'!A:A,0)),
IF(ISERROR(MATCH(D28,'Ist Vorjahr Monat 12'!A:A,0))=FALSE,INDEX('Ist Vorjahr Monat 12'!B:B,MATCH(D28,'Ist Vorjahr Monat 12'!A:A,0)),
"{Konto unbekannt}"
)))))))))))),"")</f>
        <v/>
      </c>
      <c r="C28" s="591"/>
      <c r="D28" s="590"/>
      <c r="E28" s="592">
        <f t="shared" si="19"/>
        <v>-1</v>
      </c>
      <c r="F28" s="590" t="s">
        <v>996</v>
      </c>
      <c r="G28" s="593">
        <f ca="1">$E28*(-SUMIF(INDIRECT(G$3),'Struktur Vorjahr'!$D28,INDIRECT(G$4))+SUMIF(INDIRECT(G$3),'Struktur Vorjahr'!$D28,INDIRECT(G$5)))</f>
        <v>0</v>
      </c>
      <c r="H28" s="593">
        <f ca="1">$E28*(-SUMIF(INDIRECT(H$3),'Struktur Vorjahr'!$D28,INDIRECT(H$4))+SUMIF(INDIRECT(H$3),'Struktur Vorjahr'!$D28,INDIRECT(H$5)))</f>
        <v>0</v>
      </c>
      <c r="I28" s="593">
        <f ca="1">$E28*(-SUMIF(INDIRECT(I$3),'Struktur Vorjahr'!$D28,INDIRECT(I$4))+SUMIF(INDIRECT(I$3),'Struktur Vorjahr'!$D28,INDIRECT(I$5)))</f>
        <v>0</v>
      </c>
      <c r="J28" s="593">
        <f ca="1">$E28*(-SUMIF(INDIRECT(J$3),'Struktur Vorjahr'!$D28,INDIRECT(J$4))+SUMIF(INDIRECT(J$3),'Struktur Vorjahr'!$D28,INDIRECT(J$5)))</f>
        <v>0</v>
      </c>
      <c r="K28" s="593">
        <f ca="1">$E28*(-SUMIF(INDIRECT(K$3),'Struktur Vorjahr'!$D28,INDIRECT(K$4))+SUMIF(INDIRECT(K$3),'Struktur Vorjahr'!$D28,INDIRECT(K$5)))</f>
        <v>0</v>
      </c>
      <c r="L28" s="593">
        <f ca="1">$E28*(-SUMIF(INDIRECT(L$3),'Struktur Vorjahr'!$D28,INDIRECT(L$4))+SUMIF(INDIRECT(L$3),'Struktur Vorjahr'!$D28,INDIRECT(L$5)))</f>
        <v>0</v>
      </c>
      <c r="M28" s="593">
        <f ca="1">$E28*(-SUMIF(INDIRECT(M$3),'Struktur Vorjahr'!$D28,INDIRECT(M$4))+SUMIF(INDIRECT(M$3),'Struktur Vorjahr'!$D28,INDIRECT(M$5)))</f>
        <v>0</v>
      </c>
      <c r="N28" s="593">
        <f ca="1">$E28*(-SUMIF(INDIRECT(N$3),'Struktur Vorjahr'!$D28,INDIRECT(N$4))+SUMIF(INDIRECT(N$3),'Struktur Vorjahr'!$D28,INDIRECT(N$5)))</f>
        <v>0</v>
      </c>
      <c r="O28" s="593">
        <f ca="1">$E28*(-SUMIF(INDIRECT(O$3),'Struktur Vorjahr'!$D28,INDIRECT(O$4))+SUMIF(INDIRECT(O$3),'Struktur Vorjahr'!$D28,INDIRECT(O$5)))</f>
        <v>0</v>
      </c>
      <c r="P28" s="593">
        <f ca="1">$E28*(-SUMIF(INDIRECT(P$3),'Struktur Vorjahr'!$D28,INDIRECT(P$4))+SUMIF(INDIRECT(P$3),'Struktur Vorjahr'!$D28,INDIRECT(P$5)))</f>
        <v>0</v>
      </c>
      <c r="Q28" s="593">
        <f ca="1">$E28*(-SUMIF(INDIRECT(Q$3),'Struktur Vorjahr'!$D28,INDIRECT(Q$4))+SUMIF(INDIRECT(Q$3),'Struktur Vorjahr'!$D28,INDIRECT(Q$5)))</f>
        <v>0</v>
      </c>
      <c r="R28" s="593">
        <f ca="1">$E28*(-SUMIF(INDIRECT(R$3),'Struktur Vorjahr'!$D28,INDIRECT(R$4))+SUMIF(INDIRECT(R$3),'Struktur Vorjahr'!$D28,INDIRECT(R$5)))</f>
        <v>0</v>
      </c>
      <c r="S28" s="593">
        <f ca="1">$E28*(-SUMIF(INDIRECT(S$3),'Struktur Vorjahr'!$D28,INDIRECT(S$4))+SUMIF(INDIRECT(S$3),'Struktur Vorjahr'!$D28,INDIRECT(S$5)))</f>
        <v>0</v>
      </c>
      <c r="T28" s="593">
        <f ca="1">$E28*(-SUMIF(INDIRECT(T$3),'Struktur Vorjahr'!$D28,INDIRECT(T$4))+SUMIF(INDIRECT(T$3),'Struktur Vorjahr'!$D28,INDIRECT(T$5)))</f>
        <v>0</v>
      </c>
      <c r="U28" s="593">
        <f ca="1">$E28*(-SUMIF(INDIRECT(U$3),'Struktur Vorjahr'!$D28,INDIRECT(U$4))+SUMIF(INDIRECT(U$3),'Struktur Vorjahr'!$D28,INDIRECT(U$5)))</f>
        <v>0</v>
      </c>
      <c r="V28" s="593">
        <f ca="1">$E28*(-SUMIF(INDIRECT(V$3),'Struktur Vorjahr'!$D28,INDIRECT(V$4))+SUMIF(INDIRECT(V$3),'Struktur Vorjahr'!$D28,INDIRECT(V$5)))</f>
        <v>0</v>
      </c>
      <c r="W28" s="593">
        <f ca="1">$E28*(-SUMIF(INDIRECT(W$3),'Struktur Vorjahr'!$D28,INDIRECT(W$4))+SUMIF(INDIRECT(W$3),'Struktur Vorjahr'!$D28,INDIRECT(W$5)))</f>
        <v>0</v>
      </c>
      <c r="X28" s="593">
        <f ca="1">$E28*(-SUMIF(INDIRECT(X$3),'Struktur Vorjahr'!$D28,INDIRECT(X$4))+SUMIF(INDIRECT(X$3),'Struktur Vorjahr'!$D28,INDIRECT(X$5)))</f>
        <v>0</v>
      </c>
      <c r="Y28" s="593">
        <f ca="1">$E28*(-SUMIF(INDIRECT(Y$3),'Struktur Vorjahr'!$D28,INDIRECT(Y$4))+SUMIF(INDIRECT(Y$3),'Struktur Vorjahr'!$D28,INDIRECT(Y$5)))</f>
        <v>0</v>
      </c>
      <c r="Z28" s="593">
        <f ca="1">$E28*(-SUMIF(INDIRECT(Z$3),'Struktur Vorjahr'!$D28,INDIRECT(Z$4))+SUMIF(INDIRECT(Z$3),'Struktur Vorjahr'!$D28,INDIRECT(Z$5)))</f>
        <v>0</v>
      </c>
      <c r="AA28" s="593">
        <f ca="1">$E28*(-SUMIF(INDIRECT(AA$3),'Struktur Vorjahr'!$D28,INDIRECT(AA$4))+SUMIF(INDIRECT(AA$3),'Struktur Vorjahr'!$D28,INDIRECT(AA$5)))</f>
        <v>0</v>
      </c>
      <c r="AB28" s="593">
        <f ca="1">$E28*(-SUMIF(INDIRECT(AB$3),'Struktur Vorjahr'!$D28,INDIRECT(AB$4))+SUMIF(INDIRECT(AB$3),'Struktur Vorjahr'!$D28,INDIRECT(AB$5)))</f>
        <v>0</v>
      </c>
      <c r="AC28" s="593">
        <f ca="1">$E28*(-SUMIF(INDIRECT(AC$3),'Struktur Vorjahr'!$D28,INDIRECT(AC$4))+SUMIF(INDIRECT(AC$3),'Struktur Vorjahr'!$D28,INDIRECT(AC$5)))</f>
        <v>0</v>
      </c>
      <c r="AD28" s="593">
        <f ca="1">$E28*(-SUMIF(INDIRECT(AD$3),'Struktur Vorjahr'!$D28,INDIRECT(AD$4))+SUMIF(INDIRECT(AD$3),'Struktur Vorjahr'!$D28,INDIRECT(AD$5)))</f>
        <v>0</v>
      </c>
      <c r="AE28" s="593">
        <f t="shared" ca="1" si="21"/>
        <v>0</v>
      </c>
      <c r="AF28" s="593">
        <f t="shared" ca="1" si="22"/>
        <v>0</v>
      </c>
      <c r="AG28" s="593">
        <f t="shared" ca="1" si="22"/>
        <v>0</v>
      </c>
      <c r="AH28" s="593">
        <f t="shared" ca="1" si="22"/>
        <v>0</v>
      </c>
      <c r="AI28" s="593">
        <f t="shared" ca="1" si="22"/>
        <v>0</v>
      </c>
      <c r="AJ28" s="593">
        <f t="shared" ca="1" si="22"/>
        <v>0</v>
      </c>
      <c r="AK28" s="593">
        <f t="shared" ca="1" si="22"/>
        <v>0</v>
      </c>
      <c r="AL28" s="593">
        <f t="shared" ca="1" si="22"/>
        <v>0</v>
      </c>
      <c r="AM28" s="593">
        <f t="shared" ca="1" si="22"/>
        <v>0</v>
      </c>
      <c r="AN28" s="593">
        <f t="shared" ca="1" si="22"/>
        <v>0</v>
      </c>
      <c r="AO28" s="593">
        <f t="shared" ca="1" si="22"/>
        <v>0</v>
      </c>
      <c r="AP28" s="593">
        <f t="shared" ca="1" si="22"/>
        <v>0</v>
      </c>
    </row>
    <row r="29" spans="1:42" s="594" customFormat="1" ht="11.25" outlineLevel="1" x14ac:dyDescent="0.2">
      <c r="A29" s="590"/>
      <c r="B29" s="591" t="str">
        <f>IF(D29&lt;&gt;"",
IF(ISERROR(MATCH(D29,'Ist Vorjahr Monat 01'!A:A,0))=FALSE,INDEX('Ist Vorjahr Monat 01'!B:B,MATCH(D29,'Ist Vorjahr Monat 01'!A:A,0)),
IF(ISERROR(MATCH(D29,'Ist Vorjahr Monat 02'!A:A,0))=FALSE,INDEX('Ist Vorjahr Monat 02'!B:B,MATCH(D29,'Ist Vorjahr Monat 02'!A:A,0)),
IF(ISERROR(MATCH(D29,'Ist Vorjahr Monat 03'!A:A,0))=FALSE,INDEX('Ist Vorjahr Monat 03'!B:B,MATCH(D29,'Ist Vorjahr Monat 03'!A:A,0)),
IF(ISERROR(MATCH(D29,'Ist Vorjahr Monat 04'!A:A,0))=FALSE,INDEX('Ist Vorjahr Monat 04'!B:B,MATCH(D29,'Ist Vorjahr Monat 04'!A:A,0)),
IF(ISERROR(MATCH(D29,'Ist Vorjahr Monat 05'!A:A,0))=FALSE,INDEX('Ist Vorjahr Monat 05'!B:B,MATCH(D29,'Ist Vorjahr Monat 05'!A:A,0)),
IF(ISERROR(MATCH(D29,'Ist Vorjahr Monat 06'!A:A,0))=FALSE,INDEX('Ist Vorjahr Monat 06'!B:B,MATCH(D29,'Ist Vorjahr Monat 06'!A:A,0)),
IF(ISERROR(MATCH(D29,'Ist Vorjahr Monat 07'!A:A,0))=FALSE,INDEX('Ist Vorjahr Monat 07'!B:B,MATCH(D29,'Ist Vorjahr Monat 07'!A:A,0)),
IF(ISERROR(MATCH(D29,'Ist Vorjahr Monat 08'!A:A,0))=FALSE,INDEX('Ist Vorjahr Monat 08'!B:B,MATCH(D29,'Ist Vorjahr Monat 08'!A:A,0)),
IF(ISERROR(MATCH(D29,'Ist Vorjahr Monat 09'!A:A,0))=FALSE,INDEX('Ist Vorjahr Monat 09'!B:B,MATCH(D29,'Ist Vorjahr Monat 09'!A:A,0)),
IF(ISERROR(MATCH(D29,'Ist Vorjahr Monat 10'!A:A,0))=FALSE,INDEX('Ist Vorjahr Monat 10'!B:B,MATCH(D29,'Ist Vorjahr Monat 10'!A:A,0)),
IF(ISERROR(MATCH(D29,'Ist Vorjahr Monat 11'!A:A,0))=FALSE,INDEX('Ist Vorjahr Monat 11'!B:B,MATCH(D29,'Ist Vorjahr Monat 11'!A:A,0)),
IF(ISERROR(MATCH(D29,'Ist Vorjahr Monat 12'!A:A,0))=FALSE,INDEX('Ist Vorjahr Monat 12'!B:B,MATCH(D29,'Ist Vorjahr Monat 12'!A:A,0)),
"{Konto unbekannt}"
)))))))))))),"")</f>
        <v/>
      </c>
      <c r="C29" s="591"/>
      <c r="D29" s="590"/>
      <c r="E29" s="592">
        <f t="shared" si="19"/>
        <v>1</v>
      </c>
      <c r="F29" s="590"/>
      <c r="G29" s="593">
        <f ca="1">$E29*(-SUMIF(INDIRECT(G$3),'Struktur Vorjahr'!$D29,INDIRECT(G$4))+SUMIF(INDIRECT(G$3),'Struktur Vorjahr'!$D29,INDIRECT(G$5)))</f>
        <v>0</v>
      </c>
      <c r="H29" s="593">
        <f ca="1">$E29*(-SUMIF(INDIRECT(H$3),'Struktur Vorjahr'!$D29,INDIRECT(H$4))+SUMIF(INDIRECT(H$3),'Struktur Vorjahr'!$D29,INDIRECT(H$5)))</f>
        <v>0</v>
      </c>
      <c r="I29" s="593">
        <f ca="1">$E29*(-SUMIF(INDIRECT(I$3),'Struktur Vorjahr'!$D29,INDIRECT(I$4))+SUMIF(INDIRECT(I$3),'Struktur Vorjahr'!$D29,INDIRECT(I$5)))</f>
        <v>0</v>
      </c>
      <c r="J29" s="593">
        <f ca="1">$E29*(-SUMIF(INDIRECT(J$3),'Struktur Vorjahr'!$D29,INDIRECT(J$4))+SUMIF(INDIRECT(J$3),'Struktur Vorjahr'!$D29,INDIRECT(J$5)))</f>
        <v>0</v>
      </c>
      <c r="K29" s="593">
        <f ca="1">$E29*(-SUMIF(INDIRECT(K$3),'Struktur Vorjahr'!$D29,INDIRECT(K$4))+SUMIF(INDIRECT(K$3),'Struktur Vorjahr'!$D29,INDIRECT(K$5)))</f>
        <v>0</v>
      </c>
      <c r="L29" s="593">
        <f ca="1">$E29*(-SUMIF(INDIRECT(L$3),'Struktur Vorjahr'!$D29,INDIRECT(L$4))+SUMIF(INDIRECT(L$3),'Struktur Vorjahr'!$D29,INDIRECT(L$5)))</f>
        <v>0</v>
      </c>
      <c r="M29" s="593">
        <f ca="1">$E29*(-SUMIF(INDIRECT(M$3),'Struktur Vorjahr'!$D29,INDIRECT(M$4))+SUMIF(INDIRECT(M$3),'Struktur Vorjahr'!$D29,INDIRECT(M$5)))</f>
        <v>0</v>
      </c>
      <c r="N29" s="593">
        <f ca="1">$E29*(-SUMIF(INDIRECT(N$3),'Struktur Vorjahr'!$D29,INDIRECT(N$4))+SUMIF(INDIRECT(N$3),'Struktur Vorjahr'!$D29,INDIRECT(N$5)))</f>
        <v>0</v>
      </c>
      <c r="O29" s="593">
        <f ca="1">$E29*(-SUMIF(INDIRECT(O$3),'Struktur Vorjahr'!$D29,INDIRECT(O$4))+SUMIF(INDIRECT(O$3),'Struktur Vorjahr'!$D29,INDIRECT(O$5)))</f>
        <v>0</v>
      </c>
      <c r="P29" s="593">
        <f ca="1">$E29*(-SUMIF(INDIRECT(P$3),'Struktur Vorjahr'!$D29,INDIRECT(P$4))+SUMIF(INDIRECT(P$3),'Struktur Vorjahr'!$D29,INDIRECT(P$5)))</f>
        <v>0</v>
      </c>
      <c r="Q29" s="593">
        <f ca="1">$E29*(-SUMIF(INDIRECT(Q$3),'Struktur Vorjahr'!$D29,INDIRECT(Q$4))+SUMIF(INDIRECT(Q$3),'Struktur Vorjahr'!$D29,INDIRECT(Q$5)))</f>
        <v>0</v>
      </c>
      <c r="R29" s="593">
        <f ca="1">$E29*(-SUMIF(INDIRECT(R$3),'Struktur Vorjahr'!$D29,INDIRECT(R$4))+SUMIF(INDIRECT(R$3),'Struktur Vorjahr'!$D29,INDIRECT(R$5)))</f>
        <v>0</v>
      </c>
      <c r="S29" s="593">
        <f ca="1">$E29*(-SUMIF(INDIRECT(S$3),'Struktur Vorjahr'!$D29,INDIRECT(S$4))+SUMIF(INDIRECT(S$3),'Struktur Vorjahr'!$D29,INDIRECT(S$5)))</f>
        <v>0</v>
      </c>
      <c r="T29" s="593">
        <f ca="1">$E29*(-SUMIF(INDIRECT(T$3),'Struktur Vorjahr'!$D29,INDIRECT(T$4))+SUMIF(INDIRECT(T$3),'Struktur Vorjahr'!$D29,INDIRECT(T$5)))</f>
        <v>0</v>
      </c>
      <c r="U29" s="593">
        <f ca="1">$E29*(-SUMIF(INDIRECT(U$3),'Struktur Vorjahr'!$D29,INDIRECT(U$4))+SUMIF(INDIRECT(U$3),'Struktur Vorjahr'!$D29,INDIRECT(U$5)))</f>
        <v>0</v>
      </c>
      <c r="V29" s="593">
        <f ca="1">$E29*(-SUMIF(INDIRECT(V$3),'Struktur Vorjahr'!$D29,INDIRECT(V$4))+SUMIF(INDIRECT(V$3),'Struktur Vorjahr'!$D29,INDIRECT(V$5)))</f>
        <v>0</v>
      </c>
      <c r="W29" s="593">
        <f ca="1">$E29*(-SUMIF(INDIRECT(W$3),'Struktur Vorjahr'!$D29,INDIRECT(W$4))+SUMIF(INDIRECT(W$3),'Struktur Vorjahr'!$D29,INDIRECT(W$5)))</f>
        <v>0</v>
      </c>
      <c r="X29" s="593">
        <f ca="1">$E29*(-SUMIF(INDIRECT(X$3),'Struktur Vorjahr'!$D29,INDIRECT(X$4))+SUMIF(INDIRECT(X$3),'Struktur Vorjahr'!$D29,INDIRECT(X$5)))</f>
        <v>0</v>
      </c>
      <c r="Y29" s="593">
        <f ca="1">$E29*(-SUMIF(INDIRECT(Y$3),'Struktur Vorjahr'!$D29,INDIRECT(Y$4))+SUMIF(INDIRECT(Y$3),'Struktur Vorjahr'!$D29,INDIRECT(Y$5)))</f>
        <v>0</v>
      </c>
      <c r="Z29" s="593">
        <f ca="1">$E29*(-SUMIF(INDIRECT(Z$3),'Struktur Vorjahr'!$D29,INDIRECT(Z$4))+SUMIF(INDIRECT(Z$3),'Struktur Vorjahr'!$D29,INDIRECT(Z$5)))</f>
        <v>0</v>
      </c>
      <c r="AA29" s="593">
        <f ca="1">$E29*(-SUMIF(INDIRECT(AA$3),'Struktur Vorjahr'!$D29,INDIRECT(AA$4))+SUMIF(INDIRECT(AA$3),'Struktur Vorjahr'!$D29,INDIRECT(AA$5)))</f>
        <v>0</v>
      </c>
      <c r="AB29" s="593">
        <f ca="1">$E29*(-SUMIF(INDIRECT(AB$3),'Struktur Vorjahr'!$D29,INDIRECT(AB$4))+SUMIF(INDIRECT(AB$3),'Struktur Vorjahr'!$D29,INDIRECT(AB$5)))</f>
        <v>0</v>
      </c>
      <c r="AC29" s="593">
        <f ca="1">$E29*(-SUMIF(INDIRECT(AC$3),'Struktur Vorjahr'!$D29,INDIRECT(AC$4))+SUMIF(INDIRECT(AC$3),'Struktur Vorjahr'!$D29,INDIRECT(AC$5)))</f>
        <v>0</v>
      </c>
      <c r="AD29" s="593">
        <f ca="1">$E29*(-SUMIF(INDIRECT(AD$3),'Struktur Vorjahr'!$D29,INDIRECT(AD$4))+SUMIF(INDIRECT(AD$3),'Struktur Vorjahr'!$D29,INDIRECT(AD$5)))</f>
        <v>0</v>
      </c>
      <c r="AE29" s="593">
        <f t="shared" ca="1" si="21"/>
        <v>0</v>
      </c>
      <c r="AF29" s="593">
        <f t="shared" ca="1" si="22"/>
        <v>0</v>
      </c>
      <c r="AG29" s="593">
        <f t="shared" ca="1" si="22"/>
        <v>0</v>
      </c>
      <c r="AH29" s="593">
        <f t="shared" ca="1" si="22"/>
        <v>0</v>
      </c>
      <c r="AI29" s="593">
        <f t="shared" ca="1" si="22"/>
        <v>0</v>
      </c>
      <c r="AJ29" s="593">
        <f t="shared" ca="1" si="22"/>
        <v>0</v>
      </c>
      <c r="AK29" s="593">
        <f t="shared" ca="1" si="22"/>
        <v>0</v>
      </c>
      <c r="AL29" s="593">
        <f t="shared" ca="1" si="22"/>
        <v>0</v>
      </c>
      <c r="AM29" s="593">
        <f t="shared" ca="1" si="22"/>
        <v>0</v>
      </c>
      <c r="AN29" s="593">
        <f t="shared" ca="1" si="22"/>
        <v>0</v>
      </c>
      <c r="AO29" s="593">
        <f t="shared" ca="1" si="22"/>
        <v>0</v>
      </c>
      <c r="AP29" s="593">
        <f t="shared" ca="1" si="22"/>
        <v>0</v>
      </c>
    </row>
    <row r="30" spans="1:42" s="594" customFormat="1" ht="11.25" outlineLevel="1" x14ac:dyDescent="0.2">
      <c r="A30" s="590"/>
      <c r="B30" s="591" t="str">
        <f>IF(D30&lt;&gt;"",
IF(ISERROR(MATCH(D30,'Ist Vorjahr Monat 01'!A:A,0))=FALSE,INDEX('Ist Vorjahr Monat 01'!B:B,MATCH(D30,'Ist Vorjahr Monat 01'!A:A,0)),
IF(ISERROR(MATCH(D30,'Ist Vorjahr Monat 02'!A:A,0))=FALSE,INDEX('Ist Vorjahr Monat 02'!B:B,MATCH(D30,'Ist Vorjahr Monat 02'!A:A,0)),
IF(ISERROR(MATCH(D30,'Ist Vorjahr Monat 03'!A:A,0))=FALSE,INDEX('Ist Vorjahr Monat 03'!B:B,MATCH(D30,'Ist Vorjahr Monat 03'!A:A,0)),
IF(ISERROR(MATCH(D30,'Ist Vorjahr Monat 04'!A:A,0))=FALSE,INDEX('Ist Vorjahr Monat 04'!B:B,MATCH(D30,'Ist Vorjahr Monat 04'!A:A,0)),
IF(ISERROR(MATCH(D30,'Ist Vorjahr Monat 05'!A:A,0))=FALSE,INDEX('Ist Vorjahr Monat 05'!B:B,MATCH(D30,'Ist Vorjahr Monat 05'!A:A,0)),
IF(ISERROR(MATCH(D30,'Ist Vorjahr Monat 06'!A:A,0))=FALSE,INDEX('Ist Vorjahr Monat 06'!B:B,MATCH(D30,'Ist Vorjahr Monat 06'!A:A,0)),
IF(ISERROR(MATCH(D30,'Ist Vorjahr Monat 07'!A:A,0))=FALSE,INDEX('Ist Vorjahr Monat 07'!B:B,MATCH(D30,'Ist Vorjahr Monat 07'!A:A,0)),
IF(ISERROR(MATCH(D30,'Ist Vorjahr Monat 08'!A:A,0))=FALSE,INDEX('Ist Vorjahr Monat 08'!B:B,MATCH(D30,'Ist Vorjahr Monat 08'!A:A,0)),
IF(ISERROR(MATCH(D30,'Ist Vorjahr Monat 09'!A:A,0))=FALSE,INDEX('Ist Vorjahr Monat 09'!B:B,MATCH(D30,'Ist Vorjahr Monat 09'!A:A,0)),
IF(ISERROR(MATCH(D30,'Ist Vorjahr Monat 10'!A:A,0))=FALSE,INDEX('Ist Vorjahr Monat 10'!B:B,MATCH(D30,'Ist Vorjahr Monat 10'!A:A,0)),
IF(ISERROR(MATCH(D30,'Ist Vorjahr Monat 11'!A:A,0))=FALSE,INDEX('Ist Vorjahr Monat 11'!B:B,MATCH(D30,'Ist Vorjahr Monat 11'!A:A,0)),
IF(ISERROR(MATCH(D30,'Ist Vorjahr Monat 12'!A:A,0))=FALSE,INDEX('Ist Vorjahr Monat 12'!B:B,MATCH(D30,'Ist Vorjahr Monat 12'!A:A,0)),
"{Konto unbekannt}"
)))))))))))),"")</f>
        <v/>
      </c>
      <c r="C30" s="591"/>
      <c r="D30" s="590"/>
      <c r="E30" s="592">
        <f t="shared" si="19"/>
        <v>1</v>
      </c>
      <c r="F30" s="590"/>
      <c r="G30" s="593">
        <f ca="1">$E30*(-SUMIF(INDIRECT(G$3),'Struktur Vorjahr'!$D30,INDIRECT(G$4))+SUMIF(INDIRECT(G$3),'Struktur Vorjahr'!$D30,INDIRECT(G$5)))</f>
        <v>0</v>
      </c>
      <c r="H30" s="593">
        <f ca="1">$E30*(-SUMIF(INDIRECT(H$3),'Struktur Vorjahr'!$D30,INDIRECT(H$4))+SUMIF(INDIRECT(H$3),'Struktur Vorjahr'!$D30,INDIRECT(H$5)))</f>
        <v>0</v>
      </c>
      <c r="I30" s="593">
        <f ca="1">$E30*(-SUMIF(INDIRECT(I$3),'Struktur Vorjahr'!$D30,INDIRECT(I$4))+SUMIF(INDIRECT(I$3),'Struktur Vorjahr'!$D30,INDIRECT(I$5)))</f>
        <v>0</v>
      </c>
      <c r="J30" s="593">
        <f ca="1">$E30*(-SUMIF(INDIRECT(J$3),'Struktur Vorjahr'!$D30,INDIRECT(J$4))+SUMIF(INDIRECT(J$3),'Struktur Vorjahr'!$D30,INDIRECT(J$5)))</f>
        <v>0</v>
      </c>
      <c r="K30" s="593">
        <f ca="1">$E30*(-SUMIF(INDIRECT(K$3),'Struktur Vorjahr'!$D30,INDIRECT(K$4))+SUMIF(INDIRECT(K$3),'Struktur Vorjahr'!$D30,INDIRECT(K$5)))</f>
        <v>0</v>
      </c>
      <c r="L30" s="593">
        <f ca="1">$E30*(-SUMIF(INDIRECT(L$3),'Struktur Vorjahr'!$D30,INDIRECT(L$4))+SUMIF(INDIRECT(L$3),'Struktur Vorjahr'!$D30,INDIRECT(L$5)))</f>
        <v>0</v>
      </c>
      <c r="M30" s="593">
        <f ca="1">$E30*(-SUMIF(INDIRECT(M$3),'Struktur Vorjahr'!$D30,INDIRECT(M$4))+SUMIF(INDIRECT(M$3),'Struktur Vorjahr'!$D30,INDIRECT(M$5)))</f>
        <v>0</v>
      </c>
      <c r="N30" s="593">
        <f ca="1">$E30*(-SUMIF(INDIRECT(N$3),'Struktur Vorjahr'!$D30,INDIRECT(N$4))+SUMIF(INDIRECT(N$3),'Struktur Vorjahr'!$D30,INDIRECT(N$5)))</f>
        <v>0</v>
      </c>
      <c r="O30" s="593">
        <f ca="1">$E30*(-SUMIF(INDIRECT(O$3),'Struktur Vorjahr'!$D30,INDIRECT(O$4))+SUMIF(INDIRECT(O$3),'Struktur Vorjahr'!$D30,INDIRECT(O$5)))</f>
        <v>0</v>
      </c>
      <c r="P30" s="593">
        <f ca="1">$E30*(-SUMIF(INDIRECT(P$3),'Struktur Vorjahr'!$D30,INDIRECT(P$4))+SUMIF(INDIRECT(P$3),'Struktur Vorjahr'!$D30,INDIRECT(P$5)))</f>
        <v>0</v>
      </c>
      <c r="Q30" s="593">
        <f ca="1">$E30*(-SUMIF(INDIRECT(Q$3),'Struktur Vorjahr'!$D30,INDIRECT(Q$4))+SUMIF(INDIRECT(Q$3),'Struktur Vorjahr'!$D30,INDIRECT(Q$5)))</f>
        <v>0</v>
      </c>
      <c r="R30" s="593">
        <f ca="1">$E30*(-SUMIF(INDIRECT(R$3),'Struktur Vorjahr'!$D30,INDIRECT(R$4))+SUMIF(INDIRECT(R$3),'Struktur Vorjahr'!$D30,INDIRECT(R$5)))</f>
        <v>0</v>
      </c>
      <c r="S30" s="593">
        <f ca="1">$E30*(-SUMIF(INDIRECT(S$3),'Struktur Vorjahr'!$D30,INDIRECT(S$4))+SUMIF(INDIRECT(S$3),'Struktur Vorjahr'!$D30,INDIRECT(S$5)))</f>
        <v>0</v>
      </c>
      <c r="T30" s="593">
        <f ca="1">$E30*(-SUMIF(INDIRECT(T$3),'Struktur Vorjahr'!$D30,INDIRECT(T$4))+SUMIF(INDIRECT(T$3),'Struktur Vorjahr'!$D30,INDIRECT(T$5)))</f>
        <v>0</v>
      </c>
      <c r="U30" s="593">
        <f ca="1">$E30*(-SUMIF(INDIRECT(U$3),'Struktur Vorjahr'!$D30,INDIRECT(U$4))+SUMIF(INDIRECT(U$3),'Struktur Vorjahr'!$D30,INDIRECT(U$5)))</f>
        <v>0</v>
      </c>
      <c r="V30" s="593">
        <f ca="1">$E30*(-SUMIF(INDIRECT(V$3),'Struktur Vorjahr'!$D30,INDIRECT(V$4))+SUMIF(INDIRECT(V$3),'Struktur Vorjahr'!$D30,INDIRECT(V$5)))</f>
        <v>0</v>
      </c>
      <c r="W30" s="593">
        <f ca="1">$E30*(-SUMIF(INDIRECT(W$3),'Struktur Vorjahr'!$D30,INDIRECT(W$4))+SUMIF(INDIRECT(W$3),'Struktur Vorjahr'!$D30,INDIRECT(W$5)))</f>
        <v>0</v>
      </c>
      <c r="X30" s="593">
        <f ca="1">$E30*(-SUMIF(INDIRECT(X$3),'Struktur Vorjahr'!$D30,INDIRECT(X$4))+SUMIF(INDIRECT(X$3),'Struktur Vorjahr'!$D30,INDIRECT(X$5)))</f>
        <v>0</v>
      </c>
      <c r="Y30" s="593">
        <f ca="1">$E30*(-SUMIF(INDIRECT(Y$3),'Struktur Vorjahr'!$D30,INDIRECT(Y$4))+SUMIF(INDIRECT(Y$3),'Struktur Vorjahr'!$D30,INDIRECT(Y$5)))</f>
        <v>0</v>
      </c>
      <c r="Z30" s="593">
        <f ca="1">$E30*(-SUMIF(INDIRECT(Z$3),'Struktur Vorjahr'!$D30,INDIRECT(Z$4))+SUMIF(INDIRECT(Z$3),'Struktur Vorjahr'!$D30,INDIRECT(Z$5)))</f>
        <v>0</v>
      </c>
      <c r="AA30" s="593">
        <f ca="1">$E30*(-SUMIF(INDIRECT(AA$3),'Struktur Vorjahr'!$D30,INDIRECT(AA$4))+SUMIF(INDIRECT(AA$3),'Struktur Vorjahr'!$D30,INDIRECT(AA$5)))</f>
        <v>0</v>
      </c>
      <c r="AB30" s="593">
        <f ca="1">$E30*(-SUMIF(INDIRECT(AB$3),'Struktur Vorjahr'!$D30,INDIRECT(AB$4))+SUMIF(INDIRECT(AB$3),'Struktur Vorjahr'!$D30,INDIRECT(AB$5)))</f>
        <v>0</v>
      </c>
      <c r="AC30" s="593">
        <f ca="1">$E30*(-SUMIF(INDIRECT(AC$3),'Struktur Vorjahr'!$D30,INDIRECT(AC$4))+SUMIF(INDIRECT(AC$3),'Struktur Vorjahr'!$D30,INDIRECT(AC$5)))</f>
        <v>0</v>
      </c>
      <c r="AD30" s="593">
        <f ca="1">$E30*(-SUMIF(INDIRECT(AD$3),'Struktur Vorjahr'!$D30,INDIRECT(AD$4))+SUMIF(INDIRECT(AD$3),'Struktur Vorjahr'!$D30,INDIRECT(AD$5)))</f>
        <v>0</v>
      </c>
      <c r="AE30" s="593">
        <f t="shared" ca="1" si="21"/>
        <v>0</v>
      </c>
      <c r="AF30" s="593">
        <f t="shared" ca="1" si="22"/>
        <v>0</v>
      </c>
      <c r="AG30" s="593">
        <f t="shared" ca="1" si="22"/>
        <v>0</v>
      </c>
      <c r="AH30" s="593">
        <f t="shared" ca="1" si="22"/>
        <v>0</v>
      </c>
      <c r="AI30" s="593">
        <f t="shared" ca="1" si="22"/>
        <v>0</v>
      </c>
      <c r="AJ30" s="593">
        <f t="shared" ca="1" si="22"/>
        <v>0</v>
      </c>
      <c r="AK30" s="593">
        <f t="shared" ca="1" si="22"/>
        <v>0</v>
      </c>
      <c r="AL30" s="593">
        <f t="shared" ca="1" si="22"/>
        <v>0</v>
      </c>
      <c r="AM30" s="593">
        <f t="shared" ca="1" si="22"/>
        <v>0</v>
      </c>
      <c r="AN30" s="593">
        <f t="shared" ca="1" si="22"/>
        <v>0</v>
      </c>
      <c r="AO30" s="593">
        <f t="shared" ca="1" si="22"/>
        <v>0</v>
      </c>
      <c r="AP30" s="593">
        <f t="shared" ca="1" si="22"/>
        <v>0</v>
      </c>
    </row>
    <row r="31" spans="1:42" s="594" customFormat="1" ht="11.25" outlineLevel="1" x14ac:dyDescent="0.2">
      <c r="A31" s="590"/>
      <c r="B31" s="591" t="str">
        <f>IF(D31&lt;&gt;"",
IF(ISERROR(MATCH(D31,'Ist Vorjahr Monat 01'!A:A,0))=FALSE,INDEX('Ist Vorjahr Monat 01'!B:B,MATCH(D31,'Ist Vorjahr Monat 01'!A:A,0)),
IF(ISERROR(MATCH(D31,'Ist Vorjahr Monat 02'!A:A,0))=FALSE,INDEX('Ist Vorjahr Monat 02'!B:B,MATCH(D31,'Ist Vorjahr Monat 02'!A:A,0)),
IF(ISERROR(MATCH(D31,'Ist Vorjahr Monat 03'!A:A,0))=FALSE,INDEX('Ist Vorjahr Monat 03'!B:B,MATCH(D31,'Ist Vorjahr Monat 03'!A:A,0)),
IF(ISERROR(MATCH(D31,'Ist Vorjahr Monat 04'!A:A,0))=FALSE,INDEX('Ist Vorjahr Monat 04'!B:B,MATCH(D31,'Ist Vorjahr Monat 04'!A:A,0)),
IF(ISERROR(MATCH(D31,'Ist Vorjahr Monat 05'!A:A,0))=FALSE,INDEX('Ist Vorjahr Monat 05'!B:B,MATCH(D31,'Ist Vorjahr Monat 05'!A:A,0)),
IF(ISERROR(MATCH(D31,'Ist Vorjahr Monat 06'!A:A,0))=FALSE,INDEX('Ist Vorjahr Monat 06'!B:B,MATCH(D31,'Ist Vorjahr Monat 06'!A:A,0)),
IF(ISERROR(MATCH(D31,'Ist Vorjahr Monat 07'!A:A,0))=FALSE,INDEX('Ist Vorjahr Monat 07'!B:B,MATCH(D31,'Ist Vorjahr Monat 07'!A:A,0)),
IF(ISERROR(MATCH(D31,'Ist Vorjahr Monat 08'!A:A,0))=FALSE,INDEX('Ist Vorjahr Monat 08'!B:B,MATCH(D31,'Ist Vorjahr Monat 08'!A:A,0)),
IF(ISERROR(MATCH(D31,'Ist Vorjahr Monat 09'!A:A,0))=FALSE,INDEX('Ist Vorjahr Monat 09'!B:B,MATCH(D31,'Ist Vorjahr Monat 09'!A:A,0)),
IF(ISERROR(MATCH(D31,'Ist Vorjahr Monat 10'!A:A,0))=FALSE,INDEX('Ist Vorjahr Monat 10'!B:B,MATCH(D31,'Ist Vorjahr Monat 10'!A:A,0)),
IF(ISERROR(MATCH(D31,'Ist Vorjahr Monat 11'!A:A,0))=FALSE,INDEX('Ist Vorjahr Monat 11'!B:B,MATCH(D31,'Ist Vorjahr Monat 11'!A:A,0)),
IF(ISERROR(MATCH(D31,'Ist Vorjahr Monat 12'!A:A,0))=FALSE,INDEX('Ist Vorjahr Monat 12'!B:B,MATCH(D31,'Ist Vorjahr Monat 12'!A:A,0)),
"{Konto unbekannt}"
)))))))))))),"")</f>
        <v/>
      </c>
      <c r="C31" s="591"/>
      <c r="D31" s="590"/>
      <c r="E31" s="592">
        <f t="shared" si="19"/>
        <v>1</v>
      </c>
      <c r="F31" s="590"/>
      <c r="G31" s="593">
        <f ca="1">$E31*(-SUMIF(INDIRECT(G$3),'Struktur Vorjahr'!$D31,INDIRECT(G$4))+SUMIF(INDIRECT(G$3),'Struktur Vorjahr'!$D31,INDIRECT(G$5)))</f>
        <v>0</v>
      </c>
      <c r="H31" s="593">
        <f ca="1">$E31*(-SUMIF(INDIRECT(H$3),'Struktur Vorjahr'!$D31,INDIRECT(H$4))+SUMIF(INDIRECT(H$3),'Struktur Vorjahr'!$D31,INDIRECT(H$5)))</f>
        <v>0</v>
      </c>
      <c r="I31" s="593">
        <f ca="1">$E31*(-SUMIF(INDIRECT(I$3),'Struktur Vorjahr'!$D31,INDIRECT(I$4))+SUMIF(INDIRECT(I$3),'Struktur Vorjahr'!$D31,INDIRECT(I$5)))</f>
        <v>0</v>
      </c>
      <c r="J31" s="593">
        <f ca="1">$E31*(-SUMIF(INDIRECT(J$3),'Struktur Vorjahr'!$D31,INDIRECT(J$4))+SUMIF(INDIRECT(J$3),'Struktur Vorjahr'!$D31,INDIRECT(J$5)))</f>
        <v>0</v>
      </c>
      <c r="K31" s="593">
        <f ca="1">$E31*(-SUMIF(INDIRECT(K$3),'Struktur Vorjahr'!$D31,INDIRECT(K$4))+SUMIF(INDIRECT(K$3),'Struktur Vorjahr'!$D31,INDIRECT(K$5)))</f>
        <v>0</v>
      </c>
      <c r="L31" s="593">
        <f ca="1">$E31*(-SUMIF(INDIRECT(L$3),'Struktur Vorjahr'!$D31,INDIRECT(L$4))+SUMIF(INDIRECT(L$3),'Struktur Vorjahr'!$D31,INDIRECT(L$5)))</f>
        <v>0</v>
      </c>
      <c r="M31" s="593">
        <f ca="1">$E31*(-SUMIF(INDIRECT(M$3),'Struktur Vorjahr'!$D31,INDIRECT(M$4))+SUMIF(INDIRECT(M$3),'Struktur Vorjahr'!$D31,INDIRECT(M$5)))</f>
        <v>0</v>
      </c>
      <c r="N31" s="593">
        <f ca="1">$E31*(-SUMIF(INDIRECT(N$3),'Struktur Vorjahr'!$D31,INDIRECT(N$4))+SUMIF(INDIRECT(N$3),'Struktur Vorjahr'!$D31,INDIRECT(N$5)))</f>
        <v>0</v>
      </c>
      <c r="O31" s="593">
        <f ca="1">$E31*(-SUMIF(INDIRECT(O$3),'Struktur Vorjahr'!$D31,INDIRECT(O$4))+SUMIF(INDIRECT(O$3),'Struktur Vorjahr'!$D31,INDIRECT(O$5)))</f>
        <v>0</v>
      </c>
      <c r="P31" s="593">
        <f ca="1">$E31*(-SUMIF(INDIRECT(P$3),'Struktur Vorjahr'!$D31,INDIRECT(P$4))+SUMIF(INDIRECT(P$3),'Struktur Vorjahr'!$D31,INDIRECT(P$5)))</f>
        <v>0</v>
      </c>
      <c r="Q31" s="593">
        <f ca="1">$E31*(-SUMIF(INDIRECT(Q$3),'Struktur Vorjahr'!$D31,INDIRECT(Q$4))+SUMIF(INDIRECT(Q$3),'Struktur Vorjahr'!$D31,INDIRECT(Q$5)))</f>
        <v>0</v>
      </c>
      <c r="R31" s="593">
        <f ca="1">$E31*(-SUMIF(INDIRECT(R$3),'Struktur Vorjahr'!$D31,INDIRECT(R$4))+SUMIF(INDIRECT(R$3),'Struktur Vorjahr'!$D31,INDIRECT(R$5)))</f>
        <v>0</v>
      </c>
      <c r="S31" s="593">
        <f ca="1">$E31*(-SUMIF(INDIRECT(S$3),'Struktur Vorjahr'!$D31,INDIRECT(S$4))+SUMIF(INDIRECT(S$3),'Struktur Vorjahr'!$D31,INDIRECT(S$5)))</f>
        <v>0</v>
      </c>
      <c r="T31" s="593">
        <f ca="1">$E31*(-SUMIF(INDIRECT(T$3),'Struktur Vorjahr'!$D31,INDIRECT(T$4))+SUMIF(INDIRECT(T$3),'Struktur Vorjahr'!$D31,INDIRECT(T$5)))</f>
        <v>0</v>
      </c>
      <c r="U31" s="593">
        <f ca="1">$E31*(-SUMIF(INDIRECT(U$3),'Struktur Vorjahr'!$D31,INDIRECT(U$4))+SUMIF(INDIRECT(U$3),'Struktur Vorjahr'!$D31,INDIRECT(U$5)))</f>
        <v>0</v>
      </c>
      <c r="V31" s="593">
        <f ca="1">$E31*(-SUMIF(INDIRECT(V$3),'Struktur Vorjahr'!$D31,INDIRECT(V$4))+SUMIF(INDIRECT(V$3),'Struktur Vorjahr'!$D31,INDIRECT(V$5)))</f>
        <v>0</v>
      </c>
      <c r="W31" s="593">
        <f ca="1">$E31*(-SUMIF(INDIRECT(W$3),'Struktur Vorjahr'!$D31,INDIRECT(W$4))+SUMIF(INDIRECT(W$3),'Struktur Vorjahr'!$D31,INDIRECT(W$5)))</f>
        <v>0</v>
      </c>
      <c r="X31" s="593">
        <f ca="1">$E31*(-SUMIF(INDIRECT(X$3),'Struktur Vorjahr'!$D31,INDIRECT(X$4))+SUMIF(INDIRECT(X$3),'Struktur Vorjahr'!$D31,INDIRECT(X$5)))</f>
        <v>0</v>
      </c>
      <c r="Y31" s="593">
        <f ca="1">$E31*(-SUMIF(INDIRECT(Y$3),'Struktur Vorjahr'!$D31,INDIRECT(Y$4))+SUMIF(INDIRECT(Y$3),'Struktur Vorjahr'!$D31,INDIRECT(Y$5)))</f>
        <v>0</v>
      </c>
      <c r="Z31" s="593">
        <f ca="1">$E31*(-SUMIF(INDIRECT(Z$3),'Struktur Vorjahr'!$D31,INDIRECT(Z$4))+SUMIF(INDIRECT(Z$3),'Struktur Vorjahr'!$D31,INDIRECT(Z$5)))</f>
        <v>0</v>
      </c>
      <c r="AA31" s="593">
        <f ca="1">$E31*(-SUMIF(INDIRECT(AA$3),'Struktur Vorjahr'!$D31,INDIRECT(AA$4))+SUMIF(INDIRECT(AA$3),'Struktur Vorjahr'!$D31,INDIRECT(AA$5)))</f>
        <v>0</v>
      </c>
      <c r="AB31" s="593">
        <f ca="1">$E31*(-SUMIF(INDIRECT(AB$3),'Struktur Vorjahr'!$D31,INDIRECT(AB$4))+SUMIF(INDIRECT(AB$3),'Struktur Vorjahr'!$D31,INDIRECT(AB$5)))</f>
        <v>0</v>
      </c>
      <c r="AC31" s="593">
        <f ca="1">$E31*(-SUMIF(INDIRECT(AC$3),'Struktur Vorjahr'!$D31,INDIRECT(AC$4))+SUMIF(INDIRECT(AC$3),'Struktur Vorjahr'!$D31,INDIRECT(AC$5)))</f>
        <v>0</v>
      </c>
      <c r="AD31" s="593">
        <f ca="1">$E31*(-SUMIF(INDIRECT(AD$3),'Struktur Vorjahr'!$D31,INDIRECT(AD$4))+SUMIF(INDIRECT(AD$3),'Struktur Vorjahr'!$D31,INDIRECT(AD$5)))</f>
        <v>0</v>
      </c>
      <c r="AE31" s="593">
        <f t="shared" ca="1" si="21"/>
        <v>0</v>
      </c>
      <c r="AF31" s="593">
        <f t="shared" ca="1" si="22"/>
        <v>0</v>
      </c>
      <c r="AG31" s="593">
        <f t="shared" ca="1" si="22"/>
        <v>0</v>
      </c>
      <c r="AH31" s="593">
        <f t="shared" ca="1" si="22"/>
        <v>0</v>
      </c>
      <c r="AI31" s="593">
        <f t="shared" ca="1" si="22"/>
        <v>0</v>
      </c>
      <c r="AJ31" s="593">
        <f t="shared" ca="1" si="22"/>
        <v>0</v>
      </c>
      <c r="AK31" s="593">
        <f t="shared" ca="1" si="22"/>
        <v>0</v>
      </c>
      <c r="AL31" s="593">
        <f t="shared" ca="1" si="22"/>
        <v>0</v>
      </c>
      <c r="AM31" s="593">
        <f t="shared" ca="1" si="22"/>
        <v>0</v>
      </c>
      <c r="AN31" s="593">
        <f t="shared" ca="1" si="22"/>
        <v>0</v>
      </c>
      <c r="AO31" s="593">
        <f t="shared" ca="1" si="22"/>
        <v>0</v>
      </c>
      <c r="AP31" s="593">
        <f t="shared" ca="1" si="22"/>
        <v>0</v>
      </c>
    </row>
    <row r="32" spans="1:42" s="594" customFormat="1" ht="11.25" outlineLevel="1" x14ac:dyDescent="0.2">
      <c r="A32" s="590"/>
      <c r="B32" s="591" t="str">
        <f>IF(D32&lt;&gt;"",
IF(ISERROR(MATCH(D32,'Ist Vorjahr Monat 01'!A:A,0))=FALSE,INDEX('Ist Vorjahr Monat 01'!B:B,MATCH(D32,'Ist Vorjahr Monat 01'!A:A,0)),
IF(ISERROR(MATCH(D32,'Ist Vorjahr Monat 02'!A:A,0))=FALSE,INDEX('Ist Vorjahr Monat 02'!B:B,MATCH(D32,'Ist Vorjahr Monat 02'!A:A,0)),
IF(ISERROR(MATCH(D32,'Ist Vorjahr Monat 03'!A:A,0))=FALSE,INDEX('Ist Vorjahr Monat 03'!B:B,MATCH(D32,'Ist Vorjahr Monat 03'!A:A,0)),
IF(ISERROR(MATCH(D32,'Ist Vorjahr Monat 04'!A:A,0))=FALSE,INDEX('Ist Vorjahr Monat 04'!B:B,MATCH(D32,'Ist Vorjahr Monat 04'!A:A,0)),
IF(ISERROR(MATCH(D32,'Ist Vorjahr Monat 05'!A:A,0))=FALSE,INDEX('Ist Vorjahr Monat 05'!B:B,MATCH(D32,'Ist Vorjahr Monat 05'!A:A,0)),
IF(ISERROR(MATCH(D32,'Ist Vorjahr Monat 06'!A:A,0))=FALSE,INDEX('Ist Vorjahr Monat 06'!B:B,MATCH(D32,'Ist Vorjahr Monat 06'!A:A,0)),
IF(ISERROR(MATCH(D32,'Ist Vorjahr Monat 07'!A:A,0))=FALSE,INDEX('Ist Vorjahr Monat 07'!B:B,MATCH(D32,'Ist Vorjahr Monat 07'!A:A,0)),
IF(ISERROR(MATCH(D32,'Ist Vorjahr Monat 08'!A:A,0))=FALSE,INDEX('Ist Vorjahr Monat 08'!B:B,MATCH(D32,'Ist Vorjahr Monat 08'!A:A,0)),
IF(ISERROR(MATCH(D32,'Ist Vorjahr Monat 09'!A:A,0))=FALSE,INDEX('Ist Vorjahr Monat 09'!B:B,MATCH(D32,'Ist Vorjahr Monat 09'!A:A,0)),
IF(ISERROR(MATCH(D32,'Ist Vorjahr Monat 10'!A:A,0))=FALSE,INDEX('Ist Vorjahr Monat 10'!B:B,MATCH(D32,'Ist Vorjahr Monat 10'!A:A,0)),
IF(ISERROR(MATCH(D32,'Ist Vorjahr Monat 11'!A:A,0))=FALSE,INDEX('Ist Vorjahr Monat 11'!B:B,MATCH(D32,'Ist Vorjahr Monat 11'!A:A,0)),
IF(ISERROR(MATCH(D32,'Ist Vorjahr Monat 12'!A:A,0))=FALSE,INDEX('Ist Vorjahr Monat 12'!B:B,MATCH(D32,'Ist Vorjahr Monat 12'!A:A,0)),
"{Konto unbekannt}"
)))))))))))),"")</f>
        <v/>
      </c>
      <c r="C32" s="591"/>
      <c r="D32" s="590"/>
      <c r="E32" s="592">
        <f t="shared" si="19"/>
        <v>1</v>
      </c>
      <c r="F32" s="590"/>
      <c r="G32" s="593">
        <f ca="1">$E32*(-SUMIF(INDIRECT(G$3),'Struktur Vorjahr'!$D32,INDIRECT(G$4))+SUMIF(INDIRECT(G$3),'Struktur Vorjahr'!$D32,INDIRECT(G$5)))</f>
        <v>0</v>
      </c>
      <c r="H32" s="593">
        <f ca="1">$E32*(-SUMIF(INDIRECT(H$3),'Struktur Vorjahr'!$D32,INDIRECT(H$4))+SUMIF(INDIRECT(H$3),'Struktur Vorjahr'!$D32,INDIRECT(H$5)))</f>
        <v>0</v>
      </c>
      <c r="I32" s="593">
        <f ca="1">$E32*(-SUMIF(INDIRECT(I$3),'Struktur Vorjahr'!$D32,INDIRECT(I$4))+SUMIF(INDIRECT(I$3),'Struktur Vorjahr'!$D32,INDIRECT(I$5)))</f>
        <v>0</v>
      </c>
      <c r="J32" s="593">
        <f ca="1">$E32*(-SUMIF(INDIRECT(J$3),'Struktur Vorjahr'!$D32,INDIRECT(J$4))+SUMIF(INDIRECT(J$3),'Struktur Vorjahr'!$D32,INDIRECT(J$5)))</f>
        <v>0</v>
      </c>
      <c r="K32" s="593">
        <f ca="1">$E32*(-SUMIF(INDIRECT(K$3),'Struktur Vorjahr'!$D32,INDIRECT(K$4))+SUMIF(INDIRECT(K$3),'Struktur Vorjahr'!$D32,INDIRECT(K$5)))</f>
        <v>0</v>
      </c>
      <c r="L32" s="593">
        <f ca="1">$E32*(-SUMIF(INDIRECT(L$3),'Struktur Vorjahr'!$D32,INDIRECT(L$4))+SUMIF(INDIRECT(L$3),'Struktur Vorjahr'!$D32,INDIRECT(L$5)))</f>
        <v>0</v>
      </c>
      <c r="M32" s="593">
        <f ca="1">$E32*(-SUMIF(INDIRECT(M$3),'Struktur Vorjahr'!$D32,INDIRECT(M$4))+SUMIF(INDIRECT(M$3),'Struktur Vorjahr'!$D32,INDIRECT(M$5)))</f>
        <v>0</v>
      </c>
      <c r="N32" s="593">
        <f ca="1">$E32*(-SUMIF(INDIRECT(N$3),'Struktur Vorjahr'!$D32,INDIRECT(N$4))+SUMIF(INDIRECT(N$3),'Struktur Vorjahr'!$D32,INDIRECT(N$5)))</f>
        <v>0</v>
      </c>
      <c r="O32" s="593">
        <f ca="1">$E32*(-SUMIF(INDIRECT(O$3),'Struktur Vorjahr'!$D32,INDIRECT(O$4))+SUMIF(INDIRECT(O$3),'Struktur Vorjahr'!$D32,INDIRECT(O$5)))</f>
        <v>0</v>
      </c>
      <c r="P32" s="593">
        <f ca="1">$E32*(-SUMIF(INDIRECT(P$3),'Struktur Vorjahr'!$D32,INDIRECT(P$4))+SUMIF(INDIRECT(P$3),'Struktur Vorjahr'!$D32,INDIRECT(P$5)))</f>
        <v>0</v>
      </c>
      <c r="Q32" s="593">
        <f ca="1">$E32*(-SUMIF(INDIRECT(Q$3),'Struktur Vorjahr'!$D32,INDIRECT(Q$4))+SUMIF(INDIRECT(Q$3),'Struktur Vorjahr'!$D32,INDIRECT(Q$5)))</f>
        <v>0</v>
      </c>
      <c r="R32" s="593">
        <f ca="1">$E32*(-SUMIF(INDIRECT(R$3),'Struktur Vorjahr'!$D32,INDIRECT(R$4))+SUMIF(INDIRECT(R$3),'Struktur Vorjahr'!$D32,INDIRECT(R$5)))</f>
        <v>0</v>
      </c>
      <c r="S32" s="593">
        <f ca="1">$E32*(-SUMIF(INDIRECT(S$3),'Struktur Vorjahr'!$D32,INDIRECT(S$4))+SUMIF(INDIRECT(S$3),'Struktur Vorjahr'!$D32,INDIRECT(S$5)))</f>
        <v>0</v>
      </c>
      <c r="T32" s="593">
        <f ca="1">$E32*(-SUMIF(INDIRECT(T$3),'Struktur Vorjahr'!$D32,INDIRECT(T$4))+SUMIF(INDIRECT(T$3),'Struktur Vorjahr'!$D32,INDIRECT(T$5)))</f>
        <v>0</v>
      </c>
      <c r="U32" s="593">
        <f ca="1">$E32*(-SUMIF(INDIRECT(U$3),'Struktur Vorjahr'!$D32,INDIRECT(U$4))+SUMIF(INDIRECT(U$3),'Struktur Vorjahr'!$D32,INDIRECT(U$5)))</f>
        <v>0</v>
      </c>
      <c r="V32" s="593">
        <f ca="1">$E32*(-SUMIF(INDIRECT(V$3),'Struktur Vorjahr'!$D32,INDIRECT(V$4))+SUMIF(INDIRECT(V$3),'Struktur Vorjahr'!$D32,INDIRECT(V$5)))</f>
        <v>0</v>
      </c>
      <c r="W32" s="593">
        <f ca="1">$E32*(-SUMIF(INDIRECT(W$3),'Struktur Vorjahr'!$D32,INDIRECT(W$4))+SUMIF(INDIRECT(W$3),'Struktur Vorjahr'!$D32,INDIRECT(W$5)))</f>
        <v>0</v>
      </c>
      <c r="X32" s="593">
        <f ca="1">$E32*(-SUMIF(INDIRECT(X$3),'Struktur Vorjahr'!$D32,INDIRECT(X$4))+SUMIF(INDIRECT(X$3),'Struktur Vorjahr'!$D32,INDIRECT(X$5)))</f>
        <v>0</v>
      </c>
      <c r="Y32" s="593">
        <f ca="1">$E32*(-SUMIF(INDIRECT(Y$3),'Struktur Vorjahr'!$D32,INDIRECT(Y$4))+SUMIF(INDIRECT(Y$3),'Struktur Vorjahr'!$D32,INDIRECT(Y$5)))</f>
        <v>0</v>
      </c>
      <c r="Z32" s="593">
        <f ca="1">$E32*(-SUMIF(INDIRECT(Z$3),'Struktur Vorjahr'!$D32,INDIRECT(Z$4))+SUMIF(INDIRECT(Z$3),'Struktur Vorjahr'!$D32,INDIRECT(Z$5)))</f>
        <v>0</v>
      </c>
      <c r="AA32" s="593">
        <f ca="1">$E32*(-SUMIF(INDIRECT(AA$3),'Struktur Vorjahr'!$D32,INDIRECT(AA$4))+SUMIF(INDIRECT(AA$3),'Struktur Vorjahr'!$D32,INDIRECT(AA$5)))</f>
        <v>0</v>
      </c>
      <c r="AB32" s="593">
        <f ca="1">$E32*(-SUMIF(INDIRECT(AB$3),'Struktur Vorjahr'!$D32,INDIRECT(AB$4))+SUMIF(INDIRECT(AB$3),'Struktur Vorjahr'!$D32,INDIRECT(AB$5)))</f>
        <v>0</v>
      </c>
      <c r="AC32" s="593">
        <f ca="1">$E32*(-SUMIF(INDIRECT(AC$3),'Struktur Vorjahr'!$D32,INDIRECT(AC$4))+SUMIF(INDIRECT(AC$3),'Struktur Vorjahr'!$D32,INDIRECT(AC$5)))</f>
        <v>0</v>
      </c>
      <c r="AD32" s="593">
        <f ca="1">$E32*(-SUMIF(INDIRECT(AD$3),'Struktur Vorjahr'!$D32,INDIRECT(AD$4))+SUMIF(INDIRECT(AD$3),'Struktur Vorjahr'!$D32,INDIRECT(AD$5)))</f>
        <v>0</v>
      </c>
      <c r="AE32" s="593">
        <f t="shared" ca="1" si="21"/>
        <v>0</v>
      </c>
      <c r="AF32" s="593">
        <f t="shared" ca="1" si="22"/>
        <v>0</v>
      </c>
      <c r="AG32" s="593">
        <f t="shared" ca="1" si="22"/>
        <v>0</v>
      </c>
      <c r="AH32" s="593">
        <f t="shared" ca="1" si="22"/>
        <v>0</v>
      </c>
      <c r="AI32" s="593">
        <f t="shared" ca="1" si="22"/>
        <v>0</v>
      </c>
      <c r="AJ32" s="593">
        <f t="shared" ca="1" si="22"/>
        <v>0</v>
      </c>
      <c r="AK32" s="593">
        <f t="shared" ca="1" si="22"/>
        <v>0</v>
      </c>
      <c r="AL32" s="593">
        <f t="shared" ca="1" si="22"/>
        <v>0</v>
      </c>
      <c r="AM32" s="593">
        <f t="shared" ca="1" si="22"/>
        <v>0</v>
      </c>
      <c r="AN32" s="593">
        <f t="shared" ca="1" si="22"/>
        <v>0</v>
      </c>
      <c r="AO32" s="593">
        <f t="shared" ca="1" si="22"/>
        <v>0</v>
      </c>
      <c r="AP32" s="593">
        <f t="shared" ca="1" si="22"/>
        <v>0</v>
      </c>
    </row>
    <row r="33" spans="1:42" s="594" customFormat="1" ht="11.25" outlineLevel="1" x14ac:dyDescent="0.2">
      <c r="A33" s="590"/>
      <c r="B33" s="591" t="str">
        <f>IF(D33&lt;&gt;"",
IF(ISERROR(MATCH(D33,'Ist Vorjahr Monat 01'!A:A,0))=FALSE,INDEX('Ist Vorjahr Monat 01'!B:B,MATCH(D33,'Ist Vorjahr Monat 01'!A:A,0)),
IF(ISERROR(MATCH(D33,'Ist Vorjahr Monat 02'!A:A,0))=FALSE,INDEX('Ist Vorjahr Monat 02'!B:B,MATCH(D33,'Ist Vorjahr Monat 02'!A:A,0)),
IF(ISERROR(MATCH(D33,'Ist Vorjahr Monat 03'!A:A,0))=FALSE,INDEX('Ist Vorjahr Monat 03'!B:B,MATCH(D33,'Ist Vorjahr Monat 03'!A:A,0)),
IF(ISERROR(MATCH(D33,'Ist Vorjahr Monat 04'!A:A,0))=FALSE,INDEX('Ist Vorjahr Monat 04'!B:B,MATCH(D33,'Ist Vorjahr Monat 04'!A:A,0)),
IF(ISERROR(MATCH(D33,'Ist Vorjahr Monat 05'!A:A,0))=FALSE,INDEX('Ist Vorjahr Monat 05'!B:B,MATCH(D33,'Ist Vorjahr Monat 05'!A:A,0)),
IF(ISERROR(MATCH(D33,'Ist Vorjahr Monat 06'!A:A,0))=FALSE,INDEX('Ist Vorjahr Monat 06'!B:B,MATCH(D33,'Ist Vorjahr Monat 06'!A:A,0)),
IF(ISERROR(MATCH(D33,'Ist Vorjahr Monat 07'!A:A,0))=FALSE,INDEX('Ist Vorjahr Monat 07'!B:B,MATCH(D33,'Ist Vorjahr Monat 07'!A:A,0)),
IF(ISERROR(MATCH(D33,'Ist Vorjahr Monat 08'!A:A,0))=FALSE,INDEX('Ist Vorjahr Monat 08'!B:B,MATCH(D33,'Ist Vorjahr Monat 08'!A:A,0)),
IF(ISERROR(MATCH(D33,'Ist Vorjahr Monat 09'!A:A,0))=FALSE,INDEX('Ist Vorjahr Monat 09'!B:B,MATCH(D33,'Ist Vorjahr Monat 09'!A:A,0)),
IF(ISERROR(MATCH(D33,'Ist Vorjahr Monat 10'!A:A,0))=FALSE,INDEX('Ist Vorjahr Monat 10'!B:B,MATCH(D33,'Ist Vorjahr Monat 10'!A:A,0)),
IF(ISERROR(MATCH(D33,'Ist Vorjahr Monat 11'!A:A,0))=FALSE,INDEX('Ist Vorjahr Monat 11'!B:B,MATCH(D33,'Ist Vorjahr Monat 11'!A:A,0)),
IF(ISERROR(MATCH(D33,'Ist Vorjahr Monat 12'!A:A,0))=FALSE,INDEX('Ist Vorjahr Monat 12'!B:B,MATCH(D33,'Ist Vorjahr Monat 12'!A:A,0)),
"{Konto unbekannt}"
)))))))))))),"")</f>
        <v/>
      </c>
      <c r="C33" s="591"/>
      <c r="D33" s="590"/>
      <c r="E33" s="592">
        <f t="shared" si="19"/>
        <v>1</v>
      </c>
      <c r="F33" s="590"/>
      <c r="G33" s="593">
        <f ca="1">$E33*(-SUMIF(INDIRECT(G$3),'Struktur Vorjahr'!$D33,INDIRECT(G$4))+SUMIF(INDIRECT(G$3),'Struktur Vorjahr'!$D33,INDIRECT(G$5)))</f>
        <v>0</v>
      </c>
      <c r="H33" s="593">
        <f ca="1">$E33*(-SUMIF(INDIRECT(H$3),'Struktur Vorjahr'!$D33,INDIRECT(H$4))+SUMIF(INDIRECT(H$3),'Struktur Vorjahr'!$D33,INDIRECT(H$5)))</f>
        <v>0</v>
      </c>
      <c r="I33" s="593">
        <f ca="1">$E33*(-SUMIF(INDIRECT(I$3),'Struktur Vorjahr'!$D33,INDIRECT(I$4))+SUMIF(INDIRECT(I$3),'Struktur Vorjahr'!$D33,INDIRECT(I$5)))</f>
        <v>0</v>
      </c>
      <c r="J33" s="593">
        <f ca="1">$E33*(-SUMIF(INDIRECT(J$3),'Struktur Vorjahr'!$D33,INDIRECT(J$4))+SUMIF(INDIRECT(J$3),'Struktur Vorjahr'!$D33,INDIRECT(J$5)))</f>
        <v>0</v>
      </c>
      <c r="K33" s="593">
        <f ca="1">$E33*(-SUMIF(INDIRECT(K$3),'Struktur Vorjahr'!$D33,INDIRECT(K$4))+SUMIF(INDIRECT(K$3),'Struktur Vorjahr'!$D33,INDIRECT(K$5)))</f>
        <v>0</v>
      </c>
      <c r="L33" s="593">
        <f ca="1">$E33*(-SUMIF(INDIRECT(L$3),'Struktur Vorjahr'!$D33,INDIRECT(L$4))+SUMIF(INDIRECT(L$3),'Struktur Vorjahr'!$D33,INDIRECT(L$5)))</f>
        <v>0</v>
      </c>
      <c r="M33" s="593">
        <f ca="1">$E33*(-SUMIF(INDIRECT(M$3),'Struktur Vorjahr'!$D33,INDIRECT(M$4))+SUMIF(INDIRECT(M$3),'Struktur Vorjahr'!$D33,INDIRECT(M$5)))</f>
        <v>0</v>
      </c>
      <c r="N33" s="593">
        <f ca="1">$E33*(-SUMIF(INDIRECT(N$3),'Struktur Vorjahr'!$D33,INDIRECT(N$4))+SUMIF(INDIRECT(N$3),'Struktur Vorjahr'!$D33,INDIRECT(N$5)))</f>
        <v>0</v>
      </c>
      <c r="O33" s="593">
        <f ca="1">$E33*(-SUMIF(INDIRECT(O$3),'Struktur Vorjahr'!$D33,INDIRECT(O$4))+SUMIF(INDIRECT(O$3),'Struktur Vorjahr'!$D33,INDIRECT(O$5)))</f>
        <v>0</v>
      </c>
      <c r="P33" s="593">
        <f ca="1">$E33*(-SUMIF(INDIRECT(P$3),'Struktur Vorjahr'!$D33,INDIRECT(P$4))+SUMIF(INDIRECT(P$3),'Struktur Vorjahr'!$D33,INDIRECT(P$5)))</f>
        <v>0</v>
      </c>
      <c r="Q33" s="593">
        <f ca="1">$E33*(-SUMIF(INDIRECT(Q$3),'Struktur Vorjahr'!$D33,INDIRECT(Q$4))+SUMIF(INDIRECT(Q$3),'Struktur Vorjahr'!$D33,INDIRECT(Q$5)))</f>
        <v>0</v>
      </c>
      <c r="R33" s="593">
        <f ca="1">$E33*(-SUMIF(INDIRECT(R$3),'Struktur Vorjahr'!$D33,INDIRECT(R$4))+SUMIF(INDIRECT(R$3),'Struktur Vorjahr'!$D33,INDIRECT(R$5)))</f>
        <v>0</v>
      </c>
      <c r="S33" s="593">
        <f ca="1">$E33*(-SUMIF(INDIRECT(S$3),'Struktur Vorjahr'!$D33,INDIRECT(S$4))+SUMIF(INDIRECT(S$3),'Struktur Vorjahr'!$D33,INDIRECT(S$5)))</f>
        <v>0</v>
      </c>
      <c r="T33" s="593">
        <f ca="1">$E33*(-SUMIF(INDIRECT(T$3),'Struktur Vorjahr'!$D33,INDIRECT(T$4))+SUMIF(INDIRECT(T$3),'Struktur Vorjahr'!$D33,INDIRECT(T$5)))</f>
        <v>0</v>
      </c>
      <c r="U33" s="593">
        <f ca="1">$E33*(-SUMIF(INDIRECT(U$3),'Struktur Vorjahr'!$D33,INDIRECT(U$4))+SUMIF(INDIRECT(U$3),'Struktur Vorjahr'!$D33,INDIRECT(U$5)))</f>
        <v>0</v>
      </c>
      <c r="V33" s="593">
        <f ca="1">$E33*(-SUMIF(INDIRECT(V$3),'Struktur Vorjahr'!$D33,INDIRECT(V$4))+SUMIF(INDIRECT(V$3),'Struktur Vorjahr'!$D33,INDIRECT(V$5)))</f>
        <v>0</v>
      </c>
      <c r="W33" s="593">
        <f ca="1">$E33*(-SUMIF(INDIRECT(W$3),'Struktur Vorjahr'!$D33,INDIRECT(W$4))+SUMIF(INDIRECT(W$3),'Struktur Vorjahr'!$D33,INDIRECT(W$5)))</f>
        <v>0</v>
      </c>
      <c r="X33" s="593">
        <f ca="1">$E33*(-SUMIF(INDIRECT(X$3),'Struktur Vorjahr'!$D33,INDIRECT(X$4))+SUMIF(INDIRECT(X$3),'Struktur Vorjahr'!$D33,INDIRECT(X$5)))</f>
        <v>0</v>
      </c>
      <c r="Y33" s="593">
        <f ca="1">$E33*(-SUMIF(INDIRECT(Y$3),'Struktur Vorjahr'!$D33,INDIRECT(Y$4))+SUMIF(INDIRECT(Y$3),'Struktur Vorjahr'!$D33,INDIRECT(Y$5)))</f>
        <v>0</v>
      </c>
      <c r="Z33" s="593">
        <f ca="1">$E33*(-SUMIF(INDIRECT(Z$3),'Struktur Vorjahr'!$D33,INDIRECT(Z$4))+SUMIF(INDIRECT(Z$3),'Struktur Vorjahr'!$D33,INDIRECT(Z$5)))</f>
        <v>0</v>
      </c>
      <c r="AA33" s="593">
        <f ca="1">$E33*(-SUMIF(INDIRECT(AA$3),'Struktur Vorjahr'!$D33,INDIRECT(AA$4))+SUMIF(INDIRECT(AA$3),'Struktur Vorjahr'!$D33,INDIRECT(AA$5)))</f>
        <v>0</v>
      </c>
      <c r="AB33" s="593">
        <f ca="1">$E33*(-SUMIF(INDIRECT(AB$3),'Struktur Vorjahr'!$D33,INDIRECT(AB$4))+SUMIF(INDIRECT(AB$3),'Struktur Vorjahr'!$D33,INDIRECT(AB$5)))</f>
        <v>0</v>
      </c>
      <c r="AC33" s="593">
        <f ca="1">$E33*(-SUMIF(INDIRECT(AC$3),'Struktur Vorjahr'!$D33,INDIRECT(AC$4))+SUMIF(INDIRECT(AC$3),'Struktur Vorjahr'!$D33,INDIRECT(AC$5)))</f>
        <v>0</v>
      </c>
      <c r="AD33" s="593">
        <f ca="1">$E33*(-SUMIF(INDIRECT(AD$3),'Struktur Vorjahr'!$D33,INDIRECT(AD$4))+SUMIF(INDIRECT(AD$3),'Struktur Vorjahr'!$D33,INDIRECT(AD$5)))</f>
        <v>0</v>
      </c>
      <c r="AE33" s="593">
        <f t="shared" ca="1" si="21"/>
        <v>0</v>
      </c>
      <c r="AF33" s="593">
        <f t="shared" ca="1" si="22"/>
        <v>0</v>
      </c>
      <c r="AG33" s="593">
        <f t="shared" ca="1" si="22"/>
        <v>0</v>
      </c>
      <c r="AH33" s="593">
        <f t="shared" ca="1" si="22"/>
        <v>0</v>
      </c>
      <c r="AI33" s="593">
        <f t="shared" ca="1" si="22"/>
        <v>0</v>
      </c>
      <c r="AJ33" s="593">
        <f t="shared" ca="1" si="22"/>
        <v>0</v>
      </c>
      <c r="AK33" s="593">
        <f t="shared" ca="1" si="22"/>
        <v>0</v>
      </c>
      <c r="AL33" s="593">
        <f t="shared" ca="1" si="22"/>
        <v>0</v>
      </c>
      <c r="AM33" s="593">
        <f t="shared" ca="1" si="22"/>
        <v>0</v>
      </c>
      <c r="AN33" s="593">
        <f t="shared" ca="1" si="22"/>
        <v>0</v>
      </c>
      <c r="AO33" s="593">
        <f t="shared" ca="1" si="22"/>
        <v>0</v>
      </c>
      <c r="AP33" s="593">
        <f t="shared" ca="1" si="22"/>
        <v>0</v>
      </c>
    </row>
    <row r="34" spans="1:42" s="594" customFormat="1" ht="11.25" outlineLevel="1" x14ac:dyDescent="0.2">
      <c r="A34" s="590"/>
      <c r="B34" s="591" t="str">
        <f>IF(D34&lt;&gt;"",
IF(ISERROR(MATCH(D34,'Ist Vorjahr Monat 01'!A:A,0))=FALSE,INDEX('Ist Vorjahr Monat 01'!B:B,MATCH(D34,'Ist Vorjahr Monat 01'!A:A,0)),
IF(ISERROR(MATCH(D34,'Ist Vorjahr Monat 02'!A:A,0))=FALSE,INDEX('Ist Vorjahr Monat 02'!B:B,MATCH(D34,'Ist Vorjahr Monat 02'!A:A,0)),
IF(ISERROR(MATCH(D34,'Ist Vorjahr Monat 03'!A:A,0))=FALSE,INDEX('Ist Vorjahr Monat 03'!B:B,MATCH(D34,'Ist Vorjahr Monat 03'!A:A,0)),
IF(ISERROR(MATCH(D34,'Ist Vorjahr Monat 04'!A:A,0))=FALSE,INDEX('Ist Vorjahr Monat 04'!B:B,MATCH(D34,'Ist Vorjahr Monat 04'!A:A,0)),
IF(ISERROR(MATCH(D34,'Ist Vorjahr Monat 05'!A:A,0))=FALSE,INDEX('Ist Vorjahr Monat 05'!B:B,MATCH(D34,'Ist Vorjahr Monat 05'!A:A,0)),
IF(ISERROR(MATCH(D34,'Ist Vorjahr Monat 06'!A:A,0))=FALSE,INDEX('Ist Vorjahr Monat 06'!B:B,MATCH(D34,'Ist Vorjahr Monat 06'!A:A,0)),
IF(ISERROR(MATCH(D34,'Ist Vorjahr Monat 07'!A:A,0))=FALSE,INDEX('Ist Vorjahr Monat 07'!B:B,MATCH(D34,'Ist Vorjahr Monat 07'!A:A,0)),
IF(ISERROR(MATCH(D34,'Ist Vorjahr Monat 08'!A:A,0))=FALSE,INDEX('Ist Vorjahr Monat 08'!B:B,MATCH(D34,'Ist Vorjahr Monat 08'!A:A,0)),
IF(ISERROR(MATCH(D34,'Ist Vorjahr Monat 09'!A:A,0))=FALSE,INDEX('Ist Vorjahr Monat 09'!B:B,MATCH(D34,'Ist Vorjahr Monat 09'!A:A,0)),
IF(ISERROR(MATCH(D34,'Ist Vorjahr Monat 10'!A:A,0))=FALSE,INDEX('Ist Vorjahr Monat 10'!B:B,MATCH(D34,'Ist Vorjahr Monat 10'!A:A,0)),
IF(ISERROR(MATCH(D34,'Ist Vorjahr Monat 11'!A:A,0))=FALSE,INDEX('Ist Vorjahr Monat 11'!B:B,MATCH(D34,'Ist Vorjahr Monat 11'!A:A,0)),
IF(ISERROR(MATCH(D34,'Ist Vorjahr Monat 12'!A:A,0))=FALSE,INDEX('Ist Vorjahr Monat 12'!B:B,MATCH(D34,'Ist Vorjahr Monat 12'!A:A,0)),
"{Konto unbekannt}"
)))))))))))),"")</f>
        <v/>
      </c>
      <c r="C34" s="591"/>
      <c r="D34" s="590"/>
      <c r="E34" s="592">
        <f t="shared" si="19"/>
        <v>1</v>
      </c>
      <c r="F34" s="590"/>
      <c r="G34" s="593">
        <f ca="1">$E34*(-SUMIF(INDIRECT(G$3),'Struktur Vorjahr'!$D34,INDIRECT(G$4))+SUMIF(INDIRECT(G$3),'Struktur Vorjahr'!$D34,INDIRECT(G$5)))</f>
        <v>0</v>
      </c>
      <c r="H34" s="593">
        <f ca="1">$E34*(-SUMIF(INDIRECT(H$3),'Struktur Vorjahr'!$D34,INDIRECT(H$4))+SUMIF(INDIRECT(H$3),'Struktur Vorjahr'!$D34,INDIRECT(H$5)))</f>
        <v>0</v>
      </c>
      <c r="I34" s="593">
        <f ca="1">$E34*(-SUMIF(INDIRECT(I$3),'Struktur Vorjahr'!$D34,INDIRECT(I$4))+SUMIF(INDIRECT(I$3),'Struktur Vorjahr'!$D34,INDIRECT(I$5)))</f>
        <v>0</v>
      </c>
      <c r="J34" s="593">
        <f ca="1">$E34*(-SUMIF(INDIRECT(J$3),'Struktur Vorjahr'!$D34,INDIRECT(J$4))+SUMIF(INDIRECT(J$3),'Struktur Vorjahr'!$D34,INDIRECT(J$5)))</f>
        <v>0</v>
      </c>
      <c r="K34" s="593">
        <f ca="1">$E34*(-SUMIF(INDIRECT(K$3),'Struktur Vorjahr'!$D34,INDIRECT(K$4))+SUMIF(INDIRECT(K$3),'Struktur Vorjahr'!$D34,INDIRECT(K$5)))</f>
        <v>0</v>
      </c>
      <c r="L34" s="593">
        <f ca="1">$E34*(-SUMIF(INDIRECT(L$3),'Struktur Vorjahr'!$D34,INDIRECT(L$4))+SUMIF(INDIRECT(L$3),'Struktur Vorjahr'!$D34,INDIRECT(L$5)))</f>
        <v>0</v>
      </c>
      <c r="M34" s="593">
        <f ca="1">$E34*(-SUMIF(INDIRECT(M$3),'Struktur Vorjahr'!$D34,INDIRECT(M$4))+SUMIF(INDIRECT(M$3),'Struktur Vorjahr'!$D34,INDIRECT(M$5)))</f>
        <v>0</v>
      </c>
      <c r="N34" s="593">
        <f ca="1">$E34*(-SUMIF(INDIRECT(N$3),'Struktur Vorjahr'!$D34,INDIRECT(N$4))+SUMIF(INDIRECT(N$3),'Struktur Vorjahr'!$D34,INDIRECT(N$5)))</f>
        <v>0</v>
      </c>
      <c r="O34" s="593">
        <f ca="1">$E34*(-SUMIF(INDIRECT(O$3),'Struktur Vorjahr'!$D34,INDIRECT(O$4))+SUMIF(INDIRECT(O$3),'Struktur Vorjahr'!$D34,INDIRECT(O$5)))</f>
        <v>0</v>
      </c>
      <c r="P34" s="593">
        <f ca="1">$E34*(-SUMIF(INDIRECT(P$3),'Struktur Vorjahr'!$D34,INDIRECT(P$4))+SUMIF(INDIRECT(P$3),'Struktur Vorjahr'!$D34,INDIRECT(P$5)))</f>
        <v>0</v>
      </c>
      <c r="Q34" s="593">
        <f ca="1">$E34*(-SUMIF(INDIRECT(Q$3),'Struktur Vorjahr'!$D34,INDIRECT(Q$4))+SUMIF(INDIRECT(Q$3),'Struktur Vorjahr'!$D34,INDIRECT(Q$5)))</f>
        <v>0</v>
      </c>
      <c r="R34" s="593">
        <f ca="1">$E34*(-SUMIF(INDIRECT(R$3),'Struktur Vorjahr'!$D34,INDIRECT(R$4))+SUMIF(INDIRECT(R$3),'Struktur Vorjahr'!$D34,INDIRECT(R$5)))</f>
        <v>0</v>
      </c>
      <c r="S34" s="593">
        <f ca="1">$E34*(-SUMIF(INDIRECT(S$3),'Struktur Vorjahr'!$D34,INDIRECT(S$4))+SUMIF(INDIRECT(S$3),'Struktur Vorjahr'!$D34,INDIRECT(S$5)))</f>
        <v>0</v>
      </c>
      <c r="T34" s="593">
        <f ca="1">$E34*(-SUMIF(INDIRECT(T$3),'Struktur Vorjahr'!$D34,INDIRECT(T$4))+SUMIF(INDIRECT(T$3),'Struktur Vorjahr'!$D34,INDIRECT(T$5)))</f>
        <v>0</v>
      </c>
      <c r="U34" s="593">
        <f ca="1">$E34*(-SUMIF(INDIRECT(U$3),'Struktur Vorjahr'!$D34,INDIRECT(U$4))+SUMIF(INDIRECT(U$3),'Struktur Vorjahr'!$D34,INDIRECT(U$5)))</f>
        <v>0</v>
      </c>
      <c r="V34" s="593">
        <f ca="1">$E34*(-SUMIF(INDIRECT(V$3),'Struktur Vorjahr'!$D34,INDIRECT(V$4))+SUMIF(INDIRECT(V$3),'Struktur Vorjahr'!$D34,INDIRECT(V$5)))</f>
        <v>0</v>
      </c>
      <c r="W34" s="593">
        <f ca="1">$E34*(-SUMIF(INDIRECT(W$3),'Struktur Vorjahr'!$D34,INDIRECT(W$4))+SUMIF(INDIRECT(W$3),'Struktur Vorjahr'!$D34,INDIRECT(W$5)))</f>
        <v>0</v>
      </c>
      <c r="X34" s="593">
        <f ca="1">$E34*(-SUMIF(INDIRECT(X$3),'Struktur Vorjahr'!$D34,INDIRECT(X$4))+SUMIF(INDIRECT(X$3),'Struktur Vorjahr'!$D34,INDIRECT(X$5)))</f>
        <v>0</v>
      </c>
      <c r="Y34" s="593">
        <f ca="1">$E34*(-SUMIF(INDIRECT(Y$3),'Struktur Vorjahr'!$D34,INDIRECT(Y$4))+SUMIF(INDIRECT(Y$3),'Struktur Vorjahr'!$D34,INDIRECT(Y$5)))</f>
        <v>0</v>
      </c>
      <c r="Z34" s="593">
        <f ca="1">$E34*(-SUMIF(INDIRECT(Z$3),'Struktur Vorjahr'!$D34,INDIRECT(Z$4))+SUMIF(INDIRECT(Z$3),'Struktur Vorjahr'!$D34,INDIRECT(Z$5)))</f>
        <v>0</v>
      </c>
      <c r="AA34" s="593">
        <f ca="1">$E34*(-SUMIF(INDIRECT(AA$3),'Struktur Vorjahr'!$D34,INDIRECT(AA$4))+SUMIF(INDIRECT(AA$3),'Struktur Vorjahr'!$D34,INDIRECT(AA$5)))</f>
        <v>0</v>
      </c>
      <c r="AB34" s="593">
        <f ca="1">$E34*(-SUMIF(INDIRECT(AB$3),'Struktur Vorjahr'!$D34,INDIRECT(AB$4))+SUMIF(INDIRECT(AB$3),'Struktur Vorjahr'!$D34,INDIRECT(AB$5)))</f>
        <v>0</v>
      </c>
      <c r="AC34" s="593">
        <f ca="1">$E34*(-SUMIF(INDIRECT(AC$3),'Struktur Vorjahr'!$D34,INDIRECT(AC$4))+SUMIF(INDIRECT(AC$3),'Struktur Vorjahr'!$D34,INDIRECT(AC$5)))</f>
        <v>0</v>
      </c>
      <c r="AD34" s="593">
        <f ca="1">$E34*(-SUMIF(INDIRECT(AD$3),'Struktur Vorjahr'!$D34,INDIRECT(AD$4))+SUMIF(INDIRECT(AD$3),'Struktur Vorjahr'!$D34,INDIRECT(AD$5)))</f>
        <v>0</v>
      </c>
      <c r="AE34" s="593">
        <f t="shared" ca="1" si="21"/>
        <v>0</v>
      </c>
      <c r="AF34" s="593">
        <f t="shared" ca="1" si="22"/>
        <v>0</v>
      </c>
      <c r="AG34" s="593">
        <f t="shared" ca="1" si="22"/>
        <v>0</v>
      </c>
      <c r="AH34" s="593">
        <f t="shared" ca="1" si="22"/>
        <v>0</v>
      </c>
      <c r="AI34" s="593">
        <f t="shared" ca="1" si="22"/>
        <v>0</v>
      </c>
      <c r="AJ34" s="593">
        <f t="shared" ca="1" si="22"/>
        <v>0</v>
      </c>
      <c r="AK34" s="593">
        <f t="shared" ca="1" si="22"/>
        <v>0</v>
      </c>
      <c r="AL34" s="593">
        <f t="shared" ca="1" si="22"/>
        <v>0</v>
      </c>
      <c r="AM34" s="593">
        <f t="shared" ca="1" si="22"/>
        <v>0</v>
      </c>
      <c r="AN34" s="593">
        <f t="shared" ca="1" si="22"/>
        <v>0</v>
      </c>
      <c r="AO34" s="593">
        <f t="shared" ca="1" si="22"/>
        <v>0</v>
      </c>
      <c r="AP34" s="593">
        <f t="shared" ca="1" si="22"/>
        <v>0</v>
      </c>
    </row>
    <row r="35" spans="1:42" s="589" customFormat="1" x14ac:dyDescent="0.2">
      <c r="A35" s="585">
        <v>3</v>
      </c>
      <c r="B35" s="586" t="s">
        <v>998</v>
      </c>
      <c r="C35" s="587">
        <f ca="1">SUM(G35:R35)</f>
        <v>0</v>
      </c>
      <c r="D35" s="587"/>
      <c r="E35" s="588">
        <f t="shared" si="19"/>
        <v>1</v>
      </c>
      <c r="F35" s="585"/>
      <c r="G35" s="587">
        <f t="shared" ref="G35:AP35" ca="1" si="23">SUM(G36:G45)</f>
        <v>0</v>
      </c>
      <c r="H35" s="587">
        <f t="shared" ca="1" si="23"/>
        <v>0</v>
      </c>
      <c r="I35" s="587">
        <f t="shared" ca="1" si="23"/>
        <v>0</v>
      </c>
      <c r="J35" s="587">
        <f t="shared" ca="1" si="23"/>
        <v>0</v>
      </c>
      <c r="K35" s="587">
        <f t="shared" ca="1" si="23"/>
        <v>0</v>
      </c>
      <c r="L35" s="587">
        <f t="shared" ca="1" si="23"/>
        <v>0</v>
      </c>
      <c r="M35" s="587">
        <f t="shared" ca="1" si="23"/>
        <v>0</v>
      </c>
      <c r="N35" s="587">
        <f t="shared" ca="1" si="23"/>
        <v>0</v>
      </c>
      <c r="O35" s="587">
        <f t="shared" ca="1" si="23"/>
        <v>0</v>
      </c>
      <c r="P35" s="587">
        <f t="shared" ca="1" si="23"/>
        <v>0</v>
      </c>
      <c r="Q35" s="587">
        <f t="shared" ca="1" si="23"/>
        <v>0</v>
      </c>
      <c r="R35" s="587">
        <f t="shared" ca="1" si="23"/>
        <v>0</v>
      </c>
      <c r="S35" s="587">
        <f t="shared" ca="1" si="23"/>
        <v>0</v>
      </c>
      <c r="T35" s="587">
        <f t="shared" ca="1" si="23"/>
        <v>0</v>
      </c>
      <c r="U35" s="587">
        <f t="shared" ca="1" si="23"/>
        <v>0</v>
      </c>
      <c r="V35" s="587">
        <f t="shared" ca="1" si="23"/>
        <v>0</v>
      </c>
      <c r="W35" s="587">
        <f t="shared" ca="1" si="23"/>
        <v>0</v>
      </c>
      <c r="X35" s="587">
        <f t="shared" ca="1" si="23"/>
        <v>0</v>
      </c>
      <c r="Y35" s="587">
        <f t="shared" ca="1" si="23"/>
        <v>0</v>
      </c>
      <c r="Z35" s="587">
        <f t="shared" ca="1" si="23"/>
        <v>0</v>
      </c>
      <c r="AA35" s="587">
        <f t="shared" ca="1" si="23"/>
        <v>0</v>
      </c>
      <c r="AB35" s="587">
        <f t="shared" ca="1" si="23"/>
        <v>0</v>
      </c>
      <c r="AC35" s="587">
        <f t="shared" ca="1" si="23"/>
        <v>0</v>
      </c>
      <c r="AD35" s="587">
        <f t="shared" ca="1" si="23"/>
        <v>0</v>
      </c>
      <c r="AE35" s="587">
        <f t="shared" ca="1" si="23"/>
        <v>0</v>
      </c>
      <c r="AF35" s="587">
        <f t="shared" ca="1" si="23"/>
        <v>0</v>
      </c>
      <c r="AG35" s="587">
        <f t="shared" ca="1" si="23"/>
        <v>0</v>
      </c>
      <c r="AH35" s="587">
        <f t="shared" ca="1" si="23"/>
        <v>0</v>
      </c>
      <c r="AI35" s="587">
        <f t="shared" ca="1" si="23"/>
        <v>0</v>
      </c>
      <c r="AJ35" s="587">
        <f t="shared" ca="1" si="23"/>
        <v>0</v>
      </c>
      <c r="AK35" s="587">
        <f t="shared" ca="1" si="23"/>
        <v>0</v>
      </c>
      <c r="AL35" s="587">
        <f t="shared" ca="1" si="23"/>
        <v>0</v>
      </c>
      <c r="AM35" s="587">
        <f t="shared" ca="1" si="23"/>
        <v>0</v>
      </c>
      <c r="AN35" s="587">
        <f t="shared" ca="1" si="23"/>
        <v>0</v>
      </c>
      <c r="AO35" s="587">
        <f t="shared" ca="1" si="23"/>
        <v>0</v>
      </c>
      <c r="AP35" s="587">
        <f t="shared" ca="1" si="23"/>
        <v>0</v>
      </c>
    </row>
    <row r="36" spans="1:42" s="594" customFormat="1" ht="11.25" outlineLevel="1" x14ac:dyDescent="0.2">
      <c r="A36" s="590"/>
      <c r="B36" s="591" t="str">
        <f>IF(D36&lt;&gt;"",
IF(ISERROR(MATCH(D36,'Ist Vorjahr Monat 01'!A:A,0))=FALSE,INDEX('Ist Vorjahr Monat 01'!B:B,MATCH(D36,'Ist Vorjahr Monat 01'!A:A,0)),
IF(ISERROR(MATCH(D36,'Ist Vorjahr Monat 02'!A:A,0))=FALSE,INDEX('Ist Vorjahr Monat 02'!B:B,MATCH(D36,'Ist Vorjahr Monat 02'!A:A,0)),
IF(ISERROR(MATCH(D36,'Ist Vorjahr Monat 03'!A:A,0))=FALSE,INDEX('Ist Vorjahr Monat 03'!B:B,MATCH(D36,'Ist Vorjahr Monat 03'!A:A,0)),
IF(ISERROR(MATCH(D36,'Ist Vorjahr Monat 04'!A:A,0))=FALSE,INDEX('Ist Vorjahr Monat 04'!B:B,MATCH(D36,'Ist Vorjahr Monat 04'!A:A,0)),
IF(ISERROR(MATCH(D36,'Ist Vorjahr Monat 05'!A:A,0))=FALSE,INDEX('Ist Vorjahr Monat 05'!B:B,MATCH(D36,'Ist Vorjahr Monat 05'!A:A,0)),
IF(ISERROR(MATCH(D36,'Ist Vorjahr Monat 06'!A:A,0))=FALSE,INDEX('Ist Vorjahr Monat 06'!B:B,MATCH(D36,'Ist Vorjahr Monat 06'!A:A,0)),
IF(ISERROR(MATCH(D36,'Ist Vorjahr Monat 07'!A:A,0))=FALSE,INDEX('Ist Vorjahr Monat 07'!B:B,MATCH(D36,'Ist Vorjahr Monat 07'!A:A,0)),
IF(ISERROR(MATCH(D36,'Ist Vorjahr Monat 08'!A:A,0))=FALSE,INDEX('Ist Vorjahr Monat 08'!B:B,MATCH(D36,'Ist Vorjahr Monat 08'!A:A,0)),
IF(ISERROR(MATCH(D36,'Ist Vorjahr Monat 09'!A:A,0))=FALSE,INDEX('Ist Vorjahr Monat 09'!B:B,MATCH(D36,'Ist Vorjahr Monat 09'!A:A,0)),
IF(ISERROR(MATCH(D36,'Ist Vorjahr Monat 10'!A:A,0))=FALSE,INDEX('Ist Vorjahr Monat 10'!B:B,MATCH(D36,'Ist Vorjahr Monat 10'!A:A,0)),
IF(ISERROR(MATCH(D36,'Ist Vorjahr Monat 11'!A:A,0))=FALSE,INDEX('Ist Vorjahr Monat 11'!B:B,MATCH(D36,'Ist Vorjahr Monat 11'!A:A,0)),
IF(ISERROR(MATCH(D36,'Ist Vorjahr Monat 12'!A:A,0))=FALSE,INDEX('Ist Vorjahr Monat 12'!B:B,MATCH(D36,'Ist Vorjahr Monat 12'!A:A,0)),
"{Konto unbekannt}"
)))))))))))),"")</f>
        <v/>
      </c>
      <c r="C36" s="591"/>
      <c r="D36" s="590"/>
      <c r="E36" s="592">
        <f t="shared" si="19"/>
        <v>-1</v>
      </c>
      <c r="F36" s="590" t="s">
        <v>996</v>
      </c>
      <c r="G36" s="593">
        <f ca="1">$E36*(-SUMIF(INDIRECT(G$3),'Struktur Vorjahr'!$D36,INDIRECT(G$4))+SUMIF(INDIRECT(G$3),'Struktur Vorjahr'!$D36,INDIRECT(G$5)))</f>
        <v>0</v>
      </c>
      <c r="H36" s="593">
        <f ca="1">$E36*(-SUMIF(INDIRECT(H$3),'Struktur Vorjahr'!$D36,INDIRECT(H$4))+SUMIF(INDIRECT(H$3),'Struktur Vorjahr'!$D36,INDIRECT(H$5)))</f>
        <v>0</v>
      </c>
      <c r="I36" s="593">
        <f ca="1">$E36*(-SUMIF(INDIRECT(I$3),'Struktur Vorjahr'!$D36,INDIRECT(I$4))+SUMIF(INDIRECT(I$3),'Struktur Vorjahr'!$D36,INDIRECT(I$5)))</f>
        <v>0</v>
      </c>
      <c r="J36" s="593">
        <f ca="1">$E36*(-SUMIF(INDIRECT(J$3),'Struktur Vorjahr'!$D36,INDIRECT(J$4))+SUMIF(INDIRECT(J$3),'Struktur Vorjahr'!$D36,INDIRECT(J$5)))</f>
        <v>0</v>
      </c>
      <c r="K36" s="593">
        <f ca="1">$E36*(-SUMIF(INDIRECT(K$3),'Struktur Vorjahr'!$D36,INDIRECT(K$4))+SUMIF(INDIRECT(K$3),'Struktur Vorjahr'!$D36,INDIRECT(K$5)))</f>
        <v>0</v>
      </c>
      <c r="L36" s="593">
        <f ca="1">$E36*(-SUMIF(INDIRECT(L$3),'Struktur Vorjahr'!$D36,INDIRECT(L$4))+SUMIF(INDIRECT(L$3),'Struktur Vorjahr'!$D36,INDIRECT(L$5)))</f>
        <v>0</v>
      </c>
      <c r="M36" s="593">
        <f ca="1">$E36*(-SUMIF(INDIRECT(M$3),'Struktur Vorjahr'!$D36,INDIRECT(M$4))+SUMIF(INDIRECT(M$3),'Struktur Vorjahr'!$D36,INDIRECT(M$5)))</f>
        <v>0</v>
      </c>
      <c r="N36" s="593">
        <f ca="1">$E36*(-SUMIF(INDIRECT(N$3),'Struktur Vorjahr'!$D36,INDIRECT(N$4))+SUMIF(INDIRECT(N$3),'Struktur Vorjahr'!$D36,INDIRECT(N$5)))</f>
        <v>0</v>
      </c>
      <c r="O36" s="593">
        <f ca="1">$E36*(-SUMIF(INDIRECT(O$3),'Struktur Vorjahr'!$D36,INDIRECT(O$4))+SUMIF(INDIRECT(O$3),'Struktur Vorjahr'!$D36,INDIRECT(O$5)))</f>
        <v>0</v>
      </c>
      <c r="P36" s="593">
        <f ca="1">$E36*(-SUMIF(INDIRECT(P$3),'Struktur Vorjahr'!$D36,INDIRECT(P$4))+SUMIF(INDIRECT(P$3),'Struktur Vorjahr'!$D36,INDIRECT(P$5)))</f>
        <v>0</v>
      </c>
      <c r="Q36" s="593">
        <f ca="1">$E36*(-SUMIF(INDIRECT(Q$3),'Struktur Vorjahr'!$D36,INDIRECT(Q$4))+SUMIF(INDIRECT(Q$3),'Struktur Vorjahr'!$D36,INDIRECT(Q$5)))</f>
        <v>0</v>
      </c>
      <c r="R36" s="593">
        <f ca="1">$E36*(-SUMIF(INDIRECT(R$3),'Struktur Vorjahr'!$D36,INDIRECT(R$4))+SUMIF(INDIRECT(R$3),'Struktur Vorjahr'!$D36,INDIRECT(R$5)))</f>
        <v>0</v>
      </c>
      <c r="S36" s="593">
        <f ca="1">$E36*(-SUMIF(INDIRECT(S$3),'Struktur Vorjahr'!$D36,INDIRECT(S$4))+SUMIF(INDIRECT(S$3),'Struktur Vorjahr'!$D36,INDIRECT(S$5)))</f>
        <v>0</v>
      </c>
      <c r="T36" s="593">
        <f ca="1">$E36*(-SUMIF(INDIRECT(T$3),'Struktur Vorjahr'!$D36,INDIRECT(T$4))+SUMIF(INDIRECT(T$3),'Struktur Vorjahr'!$D36,INDIRECT(T$5)))</f>
        <v>0</v>
      </c>
      <c r="U36" s="593">
        <f ca="1">$E36*(-SUMIF(INDIRECT(U$3),'Struktur Vorjahr'!$D36,INDIRECT(U$4))+SUMIF(INDIRECT(U$3),'Struktur Vorjahr'!$D36,INDIRECT(U$5)))</f>
        <v>0</v>
      </c>
      <c r="V36" s="593">
        <f ca="1">$E36*(-SUMIF(INDIRECT(V$3),'Struktur Vorjahr'!$D36,INDIRECT(V$4))+SUMIF(INDIRECT(V$3),'Struktur Vorjahr'!$D36,INDIRECT(V$5)))</f>
        <v>0</v>
      </c>
      <c r="W36" s="593">
        <f ca="1">$E36*(-SUMIF(INDIRECT(W$3),'Struktur Vorjahr'!$D36,INDIRECT(W$4))+SUMIF(INDIRECT(W$3),'Struktur Vorjahr'!$D36,INDIRECT(W$5)))</f>
        <v>0</v>
      </c>
      <c r="X36" s="593">
        <f ca="1">$E36*(-SUMIF(INDIRECT(X$3),'Struktur Vorjahr'!$D36,INDIRECT(X$4))+SUMIF(INDIRECT(X$3),'Struktur Vorjahr'!$D36,INDIRECT(X$5)))</f>
        <v>0</v>
      </c>
      <c r="Y36" s="593">
        <f ca="1">$E36*(-SUMIF(INDIRECT(Y$3),'Struktur Vorjahr'!$D36,INDIRECT(Y$4))+SUMIF(INDIRECT(Y$3),'Struktur Vorjahr'!$D36,INDIRECT(Y$5)))</f>
        <v>0</v>
      </c>
      <c r="Z36" s="593">
        <f ca="1">$E36*(-SUMIF(INDIRECT(Z$3),'Struktur Vorjahr'!$D36,INDIRECT(Z$4))+SUMIF(INDIRECT(Z$3),'Struktur Vorjahr'!$D36,INDIRECT(Z$5)))</f>
        <v>0</v>
      </c>
      <c r="AA36" s="593">
        <f ca="1">$E36*(-SUMIF(INDIRECT(AA$3),'Struktur Vorjahr'!$D36,INDIRECT(AA$4))+SUMIF(INDIRECT(AA$3),'Struktur Vorjahr'!$D36,INDIRECT(AA$5)))</f>
        <v>0</v>
      </c>
      <c r="AB36" s="593">
        <f ca="1">$E36*(-SUMIF(INDIRECT(AB$3),'Struktur Vorjahr'!$D36,INDIRECT(AB$4))+SUMIF(INDIRECT(AB$3),'Struktur Vorjahr'!$D36,INDIRECT(AB$5)))</f>
        <v>0</v>
      </c>
      <c r="AC36" s="593">
        <f ca="1">$E36*(-SUMIF(INDIRECT(AC$3),'Struktur Vorjahr'!$D36,INDIRECT(AC$4))+SUMIF(INDIRECT(AC$3),'Struktur Vorjahr'!$D36,INDIRECT(AC$5)))</f>
        <v>0</v>
      </c>
      <c r="AD36" s="593">
        <f ca="1">$E36*(-SUMIF(INDIRECT(AD$3),'Struktur Vorjahr'!$D36,INDIRECT(AD$4))+SUMIF(INDIRECT(AD$3),'Struktur Vorjahr'!$D36,INDIRECT(AD$5)))</f>
        <v>0</v>
      </c>
      <c r="AE36" s="593">
        <f t="shared" ref="AE36:AE45" ca="1" si="24">G36</f>
        <v>0</v>
      </c>
      <c r="AF36" s="593">
        <f t="shared" ref="AF36:AP45" ca="1" si="25">H36+AE36</f>
        <v>0</v>
      </c>
      <c r="AG36" s="593">
        <f t="shared" ca="1" si="25"/>
        <v>0</v>
      </c>
      <c r="AH36" s="593">
        <f t="shared" ca="1" si="25"/>
        <v>0</v>
      </c>
      <c r="AI36" s="593">
        <f t="shared" ca="1" si="25"/>
        <v>0</v>
      </c>
      <c r="AJ36" s="593">
        <f t="shared" ca="1" si="25"/>
        <v>0</v>
      </c>
      <c r="AK36" s="593">
        <f t="shared" ca="1" si="25"/>
        <v>0</v>
      </c>
      <c r="AL36" s="593">
        <f t="shared" ca="1" si="25"/>
        <v>0</v>
      </c>
      <c r="AM36" s="593">
        <f t="shared" ca="1" si="25"/>
        <v>0</v>
      </c>
      <c r="AN36" s="593">
        <f t="shared" ca="1" si="25"/>
        <v>0</v>
      </c>
      <c r="AO36" s="593">
        <f t="shared" ca="1" si="25"/>
        <v>0</v>
      </c>
      <c r="AP36" s="593">
        <f t="shared" ca="1" si="25"/>
        <v>0</v>
      </c>
    </row>
    <row r="37" spans="1:42" s="594" customFormat="1" ht="11.25" outlineLevel="1" x14ac:dyDescent="0.2">
      <c r="A37" s="590"/>
      <c r="B37" s="591" t="str">
        <f>IF(D37&lt;&gt;"",
IF(ISERROR(MATCH(D37,'Ist Vorjahr Monat 01'!A:A,0))=FALSE,INDEX('Ist Vorjahr Monat 01'!B:B,MATCH(D37,'Ist Vorjahr Monat 01'!A:A,0)),
IF(ISERROR(MATCH(D37,'Ist Vorjahr Monat 02'!A:A,0))=FALSE,INDEX('Ist Vorjahr Monat 02'!B:B,MATCH(D37,'Ist Vorjahr Monat 02'!A:A,0)),
IF(ISERROR(MATCH(D37,'Ist Vorjahr Monat 03'!A:A,0))=FALSE,INDEX('Ist Vorjahr Monat 03'!B:B,MATCH(D37,'Ist Vorjahr Monat 03'!A:A,0)),
IF(ISERROR(MATCH(D37,'Ist Vorjahr Monat 04'!A:A,0))=FALSE,INDEX('Ist Vorjahr Monat 04'!B:B,MATCH(D37,'Ist Vorjahr Monat 04'!A:A,0)),
IF(ISERROR(MATCH(D37,'Ist Vorjahr Monat 05'!A:A,0))=FALSE,INDEX('Ist Vorjahr Monat 05'!B:B,MATCH(D37,'Ist Vorjahr Monat 05'!A:A,0)),
IF(ISERROR(MATCH(D37,'Ist Vorjahr Monat 06'!A:A,0))=FALSE,INDEX('Ist Vorjahr Monat 06'!B:B,MATCH(D37,'Ist Vorjahr Monat 06'!A:A,0)),
IF(ISERROR(MATCH(D37,'Ist Vorjahr Monat 07'!A:A,0))=FALSE,INDEX('Ist Vorjahr Monat 07'!B:B,MATCH(D37,'Ist Vorjahr Monat 07'!A:A,0)),
IF(ISERROR(MATCH(D37,'Ist Vorjahr Monat 08'!A:A,0))=FALSE,INDEX('Ist Vorjahr Monat 08'!B:B,MATCH(D37,'Ist Vorjahr Monat 08'!A:A,0)),
IF(ISERROR(MATCH(D37,'Ist Vorjahr Monat 09'!A:A,0))=FALSE,INDEX('Ist Vorjahr Monat 09'!B:B,MATCH(D37,'Ist Vorjahr Monat 09'!A:A,0)),
IF(ISERROR(MATCH(D37,'Ist Vorjahr Monat 10'!A:A,0))=FALSE,INDEX('Ist Vorjahr Monat 10'!B:B,MATCH(D37,'Ist Vorjahr Monat 10'!A:A,0)),
IF(ISERROR(MATCH(D37,'Ist Vorjahr Monat 11'!A:A,0))=FALSE,INDEX('Ist Vorjahr Monat 11'!B:B,MATCH(D37,'Ist Vorjahr Monat 11'!A:A,0)),
IF(ISERROR(MATCH(D37,'Ist Vorjahr Monat 12'!A:A,0))=FALSE,INDEX('Ist Vorjahr Monat 12'!B:B,MATCH(D37,'Ist Vorjahr Monat 12'!A:A,0)),
"{Konto unbekannt}"
)))))))))))),"")</f>
        <v/>
      </c>
      <c r="C37" s="591"/>
      <c r="D37" s="590"/>
      <c r="E37" s="592">
        <f t="shared" si="19"/>
        <v>-1</v>
      </c>
      <c r="F37" s="590" t="s">
        <v>996</v>
      </c>
      <c r="G37" s="593">
        <f ca="1">$E37*(-SUMIF(INDIRECT(G$3),'Struktur Vorjahr'!$D37,INDIRECT(G$4))+SUMIF(INDIRECT(G$3),'Struktur Vorjahr'!$D37,INDIRECT(G$5)))</f>
        <v>0</v>
      </c>
      <c r="H37" s="593">
        <f ca="1">$E37*(-SUMIF(INDIRECT(H$3),'Struktur Vorjahr'!$D37,INDIRECT(H$4))+SUMIF(INDIRECT(H$3),'Struktur Vorjahr'!$D37,INDIRECT(H$5)))</f>
        <v>0</v>
      </c>
      <c r="I37" s="593">
        <f ca="1">$E37*(-SUMIF(INDIRECT(I$3),'Struktur Vorjahr'!$D37,INDIRECT(I$4))+SUMIF(INDIRECT(I$3),'Struktur Vorjahr'!$D37,INDIRECT(I$5)))</f>
        <v>0</v>
      </c>
      <c r="J37" s="593">
        <f ca="1">$E37*(-SUMIF(INDIRECT(J$3),'Struktur Vorjahr'!$D37,INDIRECT(J$4))+SUMIF(INDIRECT(J$3),'Struktur Vorjahr'!$D37,INDIRECT(J$5)))</f>
        <v>0</v>
      </c>
      <c r="K37" s="593">
        <f ca="1">$E37*(-SUMIF(INDIRECT(K$3),'Struktur Vorjahr'!$D37,INDIRECT(K$4))+SUMIF(INDIRECT(K$3),'Struktur Vorjahr'!$D37,INDIRECT(K$5)))</f>
        <v>0</v>
      </c>
      <c r="L37" s="593">
        <f ca="1">$E37*(-SUMIF(INDIRECT(L$3),'Struktur Vorjahr'!$D37,INDIRECT(L$4))+SUMIF(INDIRECT(L$3),'Struktur Vorjahr'!$D37,INDIRECT(L$5)))</f>
        <v>0</v>
      </c>
      <c r="M37" s="593">
        <f ca="1">$E37*(-SUMIF(INDIRECT(M$3),'Struktur Vorjahr'!$D37,INDIRECT(M$4))+SUMIF(INDIRECT(M$3),'Struktur Vorjahr'!$D37,INDIRECT(M$5)))</f>
        <v>0</v>
      </c>
      <c r="N37" s="593">
        <f ca="1">$E37*(-SUMIF(INDIRECT(N$3),'Struktur Vorjahr'!$D37,INDIRECT(N$4))+SUMIF(INDIRECT(N$3),'Struktur Vorjahr'!$D37,INDIRECT(N$5)))</f>
        <v>0</v>
      </c>
      <c r="O37" s="593">
        <f ca="1">$E37*(-SUMIF(INDIRECT(O$3),'Struktur Vorjahr'!$D37,INDIRECT(O$4))+SUMIF(INDIRECT(O$3),'Struktur Vorjahr'!$D37,INDIRECT(O$5)))</f>
        <v>0</v>
      </c>
      <c r="P37" s="593">
        <f ca="1">$E37*(-SUMIF(INDIRECT(P$3),'Struktur Vorjahr'!$D37,INDIRECT(P$4))+SUMIF(INDIRECT(P$3),'Struktur Vorjahr'!$D37,INDIRECT(P$5)))</f>
        <v>0</v>
      </c>
      <c r="Q37" s="593">
        <f ca="1">$E37*(-SUMIF(INDIRECT(Q$3),'Struktur Vorjahr'!$D37,INDIRECT(Q$4))+SUMIF(INDIRECT(Q$3),'Struktur Vorjahr'!$D37,INDIRECT(Q$5)))</f>
        <v>0</v>
      </c>
      <c r="R37" s="593">
        <f ca="1">$E37*(-SUMIF(INDIRECT(R$3),'Struktur Vorjahr'!$D37,INDIRECT(R$4))+SUMIF(INDIRECT(R$3),'Struktur Vorjahr'!$D37,INDIRECT(R$5)))</f>
        <v>0</v>
      </c>
      <c r="S37" s="593">
        <f ca="1">$E37*(-SUMIF(INDIRECT(S$3),'Struktur Vorjahr'!$D37,INDIRECT(S$4))+SUMIF(INDIRECT(S$3),'Struktur Vorjahr'!$D37,INDIRECT(S$5)))</f>
        <v>0</v>
      </c>
      <c r="T37" s="593">
        <f ca="1">$E37*(-SUMIF(INDIRECT(T$3),'Struktur Vorjahr'!$D37,INDIRECT(T$4))+SUMIF(INDIRECT(T$3),'Struktur Vorjahr'!$D37,INDIRECT(T$5)))</f>
        <v>0</v>
      </c>
      <c r="U37" s="593">
        <f ca="1">$E37*(-SUMIF(INDIRECT(U$3),'Struktur Vorjahr'!$D37,INDIRECT(U$4))+SUMIF(INDIRECT(U$3),'Struktur Vorjahr'!$D37,INDIRECT(U$5)))</f>
        <v>0</v>
      </c>
      <c r="V37" s="593">
        <f ca="1">$E37*(-SUMIF(INDIRECT(V$3),'Struktur Vorjahr'!$D37,INDIRECT(V$4))+SUMIF(INDIRECT(V$3),'Struktur Vorjahr'!$D37,INDIRECT(V$5)))</f>
        <v>0</v>
      </c>
      <c r="W37" s="593">
        <f ca="1">$E37*(-SUMIF(INDIRECT(W$3),'Struktur Vorjahr'!$D37,INDIRECT(W$4))+SUMIF(INDIRECT(W$3),'Struktur Vorjahr'!$D37,INDIRECT(W$5)))</f>
        <v>0</v>
      </c>
      <c r="X37" s="593">
        <f ca="1">$E37*(-SUMIF(INDIRECT(X$3),'Struktur Vorjahr'!$D37,INDIRECT(X$4))+SUMIF(INDIRECT(X$3),'Struktur Vorjahr'!$D37,INDIRECT(X$5)))</f>
        <v>0</v>
      </c>
      <c r="Y37" s="593">
        <f ca="1">$E37*(-SUMIF(INDIRECT(Y$3),'Struktur Vorjahr'!$D37,INDIRECT(Y$4))+SUMIF(INDIRECT(Y$3),'Struktur Vorjahr'!$D37,INDIRECT(Y$5)))</f>
        <v>0</v>
      </c>
      <c r="Z37" s="593">
        <f ca="1">$E37*(-SUMIF(INDIRECT(Z$3),'Struktur Vorjahr'!$D37,INDIRECT(Z$4))+SUMIF(INDIRECT(Z$3),'Struktur Vorjahr'!$D37,INDIRECT(Z$5)))</f>
        <v>0</v>
      </c>
      <c r="AA37" s="593">
        <f ca="1">$E37*(-SUMIF(INDIRECT(AA$3),'Struktur Vorjahr'!$D37,INDIRECT(AA$4))+SUMIF(INDIRECT(AA$3),'Struktur Vorjahr'!$D37,INDIRECT(AA$5)))</f>
        <v>0</v>
      </c>
      <c r="AB37" s="593">
        <f ca="1">$E37*(-SUMIF(INDIRECT(AB$3),'Struktur Vorjahr'!$D37,INDIRECT(AB$4))+SUMIF(INDIRECT(AB$3),'Struktur Vorjahr'!$D37,INDIRECT(AB$5)))</f>
        <v>0</v>
      </c>
      <c r="AC37" s="593">
        <f ca="1">$E37*(-SUMIF(INDIRECT(AC$3),'Struktur Vorjahr'!$D37,INDIRECT(AC$4))+SUMIF(INDIRECT(AC$3),'Struktur Vorjahr'!$D37,INDIRECT(AC$5)))</f>
        <v>0</v>
      </c>
      <c r="AD37" s="593">
        <f ca="1">$E37*(-SUMIF(INDIRECT(AD$3),'Struktur Vorjahr'!$D37,INDIRECT(AD$4))+SUMIF(INDIRECT(AD$3),'Struktur Vorjahr'!$D37,INDIRECT(AD$5)))</f>
        <v>0</v>
      </c>
      <c r="AE37" s="593">
        <f t="shared" ca="1" si="24"/>
        <v>0</v>
      </c>
      <c r="AF37" s="593">
        <f t="shared" ca="1" si="25"/>
        <v>0</v>
      </c>
      <c r="AG37" s="593">
        <f t="shared" ca="1" si="25"/>
        <v>0</v>
      </c>
      <c r="AH37" s="593">
        <f t="shared" ca="1" si="25"/>
        <v>0</v>
      </c>
      <c r="AI37" s="593">
        <f t="shared" ca="1" si="25"/>
        <v>0</v>
      </c>
      <c r="AJ37" s="593">
        <f t="shared" ca="1" si="25"/>
        <v>0</v>
      </c>
      <c r="AK37" s="593">
        <f t="shared" ca="1" si="25"/>
        <v>0</v>
      </c>
      <c r="AL37" s="593">
        <f t="shared" ca="1" si="25"/>
        <v>0</v>
      </c>
      <c r="AM37" s="593">
        <f t="shared" ca="1" si="25"/>
        <v>0</v>
      </c>
      <c r="AN37" s="593">
        <f t="shared" ca="1" si="25"/>
        <v>0</v>
      </c>
      <c r="AO37" s="593">
        <f t="shared" ca="1" si="25"/>
        <v>0</v>
      </c>
      <c r="AP37" s="593">
        <f t="shared" ca="1" si="25"/>
        <v>0</v>
      </c>
    </row>
    <row r="38" spans="1:42" s="594" customFormat="1" ht="11.25" outlineLevel="1" x14ac:dyDescent="0.2">
      <c r="A38" s="590"/>
      <c r="B38" s="591" t="str">
        <f>IF(D38&lt;&gt;"",
IF(ISERROR(MATCH(D38,'Ist Vorjahr Monat 01'!A:A,0))=FALSE,INDEX('Ist Vorjahr Monat 01'!B:B,MATCH(D38,'Ist Vorjahr Monat 01'!A:A,0)),
IF(ISERROR(MATCH(D38,'Ist Vorjahr Monat 02'!A:A,0))=FALSE,INDEX('Ist Vorjahr Monat 02'!B:B,MATCH(D38,'Ist Vorjahr Monat 02'!A:A,0)),
IF(ISERROR(MATCH(D38,'Ist Vorjahr Monat 03'!A:A,0))=FALSE,INDEX('Ist Vorjahr Monat 03'!B:B,MATCH(D38,'Ist Vorjahr Monat 03'!A:A,0)),
IF(ISERROR(MATCH(D38,'Ist Vorjahr Monat 04'!A:A,0))=FALSE,INDEX('Ist Vorjahr Monat 04'!B:B,MATCH(D38,'Ist Vorjahr Monat 04'!A:A,0)),
IF(ISERROR(MATCH(D38,'Ist Vorjahr Monat 05'!A:A,0))=FALSE,INDEX('Ist Vorjahr Monat 05'!B:B,MATCH(D38,'Ist Vorjahr Monat 05'!A:A,0)),
IF(ISERROR(MATCH(D38,'Ist Vorjahr Monat 06'!A:A,0))=FALSE,INDEX('Ist Vorjahr Monat 06'!B:B,MATCH(D38,'Ist Vorjahr Monat 06'!A:A,0)),
IF(ISERROR(MATCH(D38,'Ist Vorjahr Monat 07'!A:A,0))=FALSE,INDEX('Ist Vorjahr Monat 07'!B:B,MATCH(D38,'Ist Vorjahr Monat 07'!A:A,0)),
IF(ISERROR(MATCH(D38,'Ist Vorjahr Monat 08'!A:A,0))=FALSE,INDEX('Ist Vorjahr Monat 08'!B:B,MATCH(D38,'Ist Vorjahr Monat 08'!A:A,0)),
IF(ISERROR(MATCH(D38,'Ist Vorjahr Monat 09'!A:A,0))=FALSE,INDEX('Ist Vorjahr Monat 09'!B:B,MATCH(D38,'Ist Vorjahr Monat 09'!A:A,0)),
IF(ISERROR(MATCH(D38,'Ist Vorjahr Monat 10'!A:A,0))=FALSE,INDEX('Ist Vorjahr Monat 10'!B:B,MATCH(D38,'Ist Vorjahr Monat 10'!A:A,0)),
IF(ISERROR(MATCH(D38,'Ist Vorjahr Monat 11'!A:A,0))=FALSE,INDEX('Ist Vorjahr Monat 11'!B:B,MATCH(D38,'Ist Vorjahr Monat 11'!A:A,0)),
IF(ISERROR(MATCH(D38,'Ist Vorjahr Monat 12'!A:A,0))=FALSE,INDEX('Ist Vorjahr Monat 12'!B:B,MATCH(D38,'Ist Vorjahr Monat 12'!A:A,0)),
"{Konto unbekannt}"
)))))))))))),"")</f>
        <v/>
      </c>
      <c r="C38" s="591"/>
      <c r="D38" s="590"/>
      <c r="E38" s="592">
        <f t="shared" si="19"/>
        <v>-1</v>
      </c>
      <c r="F38" s="590" t="s">
        <v>996</v>
      </c>
      <c r="G38" s="593">
        <f ca="1">$E38*(-SUMIF(INDIRECT(G$3),'Struktur Vorjahr'!$D38,INDIRECT(G$4))+SUMIF(INDIRECT(G$3),'Struktur Vorjahr'!$D38,INDIRECT(G$5)))</f>
        <v>0</v>
      </c>
      <c r="H38" s="593">
        <f ca="1">$E38*(-SUMIF(INDIRECT(H$3),'Struktur Vorjahr'!$D38,INDIRECT(H$4))+SUMIF(INDIRECT(H$3),'Struktur Vorjahr'!$D38,INDIRECT(H$5)))</f>
        <v>0</v>
      </c>
      <c r="I38" s="593">
        <f ca="1">$E38*(-SUMIF(INDIRECT(I$3),'Struktur Vorjahr'!$D38,INDIRECT(I$4))+SUMIF(INDIRECT(I$3),'Struktur Vorjahr'!$D38,INDIRECT(I$5)))</f>
        <v>0</v>
      </c>
      <c r="J38" s="593">
        <f ca="1">$E38*(-SUMIF(INDIRECT(J$3),'Struktur Vorjahr'!$D38,INDIRECT(J$4))+SUMIF(INDIRECT(J$3),'Struktur Vorjahr'!$D38,INDIRECT(J$5)))</f>
        <v>0</v>
      </c>
      <c r="K38" s="593">
        <f ca="1">$E38*(-SUMIF(INDIRECT(K$3),'Struktur Vorjahr'!$D38,INDIRECT(K$4))+SUMIF(INDIRECT(K$3),'Struktur Vorjahr'!$D38,INDIRECT(K$5)))</f>
        <v>0</v>
      </c>
      <c r="L38" s="593">
        <f ca="1">$E38*(-SUMIF(INDIRECT(L$3),'Struktur Vorjahr'!$D38,INDIRECT(L$4))+SUMIF(INDIRECT(L$3),'Struktur Vorjahr'!$D38,INDIRECT(L$5)))</f>
        <v>0</v>
      </c>
      <c r="M38" s="593">
        <f ca="1">$E38*(-SUMIF(INDIRECT(M$3),'Struktur Vorjahr'!$D38,INDIRECT(M$4))+SUMIF(INDIRECT(M$3),'Struktur Vorjahr'!$D38,INDIRECT(M$5)))</f>
        <v>0</v>
      </c>
      <c r="N38" s="593">
        <f ca="1">$E38*(-SUMIF(INDIRECT(N$3),'Struktur Vorjahr'!$D38,INDIRECT(N$4))+SUMIF(INDIRECT(N$3),'Struktur Vorjahr'!$D38,INDIRECT(N$5)))</f>
        <v>0</v>
      </c>
      <c r="O38" s="593">
        <f ca="1">$E38*(-SUMIF(INDIRECT(O$3),'Struktur Vorjahr'!$D38,INDIRECT(O$4))+SUMIF(INDIRECT(O$3),'Struktur Vorjahr'!$D38,INDIRECT(O$5)))</f>
        <v>0</v>
      </c>
      <c r="P38" s="593">
        <f ca="1">$E38*(-SUMIF(INDIRECT(P$3),'Struktur Vorjahr'!$D38,INDIRECT(P$4))+SUMIF(INDIRECT(P$3),'Struktur Vorjahr'!$D38,INDIRECT(P$5)))</f>
        <v>0</v>
      </c>
      <c r="Q38" s="593">
        <f ca="1">$E38*(-SUMIF(INDIRECT(Q$3),'Struktur Vorjahr'!$D38,INDIRECT(Q$4))+SUMIF(INDIRECT(Q$3),'Struktur Vorjahr'!$D38,INDIRECT(Q$5)))</f>
        <v>0</v>
      </c>
      <c r="R38" s="593">
        <f ca="1">$E38*(-SUMIF(INDIRECT(R$3),'Struktur Vorjahr'!$D38,INDIRECT(R$4))+SUMIF(INDIRECT(R$3),'Struktur Vorjahr'!$D38,INDIRECT(R$5)))</f>
        <v>0</v>
      </c>
      <c r="S38" s="593">
        <f ca="1">$E38*(-SUMIF(INDIRECT(S$3),'Struktur Vorjahr'!$D38,INDIRECT(S$4))+SUMIF(INDIRECT(S$3),'Struktur Vorjahr'!$D38,INDIRECT(S$5)))</f>
        <v>0</v>
      </c>
      <c r="T38" s="593">
        <f ca="1">$E38*(-SUMIF(INDIRECT(T$3),'Struktur Vorjahr'!$D38,INDIRECT(T$4))+SUMIF(INDIRECT(T$3),'Struktur Vorjahr'!$D38,INDIRECT(T$5)))</f>
        <v>0</v>
      </c>
      <c r="U38" s="593">
        <f ca="1">$E38*(-SUMIF(INDIRECT(U$3),'Struktur Vorjahr'!$D38,INDIRECT(U$4))+SUMIF(INDIRECT(U$3),'Struktur Vorjahr'!$D38,INDIRECT(U$5)))</f>
        <v>0</v>
      </c>
      <c r="V38" s="593">
        <f ca="1">$E38*(-SUMIF(INDIRECT(V$3),'Struktur Vorjahr'!$D38,INDIRECT(V$4))+SUMIF(INDIRECT(V$3),'Struktur Vorjahr'!$D38,INDIRECT(V$5)))</f>
        <v>0</v>
      </c>
      <c r="W38" s="593">
        <f ca="1">$E38*(-SUMIF(INDIRECT(W$3),'Struktur Vorjahr'!$D38,INDIRECT(W$4))+SUMIF(INDIRECT(W$3),'Struktur Vorjahr'!$D38,INDIRECT(W$5)))</f>
        <v>0</v>
      </c>
      <c r="X38" s="593">
        <f ca="1">$E38*(-SUMIF(INDIRECT(X$3),'Struktur Vorjahr'!$D38,INDIRECT(X$4))+SUMIF(INDIRECT(X$3),'Struktur Vorjahr'!$D38,INDIRECT(X$5)))</f>
        <v>0</v>
      </c>
      <c r="Y38" s="593">
        <f ca="1">$E38*(-SUMIF(INDIRECT(Y$3),'Struktur Vorjahr'!$D38,INDIRECT(Y$4))+SUMIF(INDIRECT(Y$3),'Struktur Vorjahr'!$D38,INDIRECT(Y$5)))</f>
        <v>0</v>
      </c>
      <c r="Z38" s="593">
        <f ca="1">$E38*(-SUMIF(INDIRECT(Z$3),'Struktur Vorjahr'!$D38,INDIRECT(Z$4))+SUMIF(INDIRECT(Z$3),'Struktur Vorjahr'!$D38,INDIRECT(Z$5)))</f>
        <v>0</v>
      </c>
      <c r="AA38" s="593">
        <f ca="1">$E38*(-SUMIF(INDIRECT(AA$3),'Struktur Vorjahr'!$D38,INDIRECT(AA$4))+SUMIF(INDIRECT(AA$3),'Struktur Vorjahr'!$D38,INDIRECT(AA$5)))</f>
        <v>0</v>
      </c>
      <c r="AB38" s="593">
        <f ca="1">$E38*(-SUMIF(INDIRECT(AB$3),'Struktur Vorjahr'!$D38,INDIRECT(AB$4))+SUMIF(INDIRECT(AB$3),'Struktur Vorjahr'!$D38,INDIRECT(AB$5)))</f>
        <v>0</v>
      </c>
      <c r="AC38" s="593">
        <f ca="1">$E38*(-SUMIF(INDIRECT(AC$3),'Struktur Vorjahr'!$D38,INDIRECT(AC$4))+SUMIF(INDIRECT(AC$3),'Struktur Vorjahr'!$D38,INDIRECT(AC$5)))</f>
        <v>0</v>
      </c>
      <c r="AD38" s="593">
        <f ca="1">$E38*(-SUMIF(INDIRECT(AD$3),'Struktur Vorjahr'!$D38,INDIRECT(AD$4))+SUMIF(INDIRECT(AD$3),'Struktur Vorjahr'!$D38,INDIRECT(AD$5)))</f>
        <v>0</v>
      </c>
      <c r="AE38" s="593">
        <f t="shared" ca="1" si="24"/>
        <v>0</v>
      </c>
      <c r="AF38" s="593">
        <f t="shared" ca="1" si="25"/>
        <v>0</v>
      </c>
      <c r="AG38" s="593">
        <f t="shared" ca="1" si="25"/>
        <v>0</v>
      </c>
      <c r="AH38" s="593">
        <f t="shared" ca="1" si="25"/>
        <v>0</v>
      </c>
      <c r="AI38" s="593">
        <f t="shared" ca="1" si="25"/>
        <v>0</v>
      </c>
      <c r="AJ38" s="593">
        <f t="shared" ca="1" si="25"/>
        <v>0</v>
      </c>
      <c r="AK38" s="593">
        <f t="shared" ca="1" si="25"/>
        <v>0</v>
      </c>
      <c r="AL38" s="593">
        <f t="shared" ca="1" si="25"/>
        <v>0</v>
      </c>
      <c r="AM38" s="593">
        <f t="shared" ca="1" si="25"/>
        <v>0</v>
      </c>
      <c r="AN38" s="593">
        <f t="shared" ca="1" si="25"/>
        <v>0</v>
      </c>
      <c r="AO38" s="593">
        <f t="shared" ca="1" si="25"/>
        <v>0</v>
      </c>
      <c r="AP38" s="593">
        <f t="shared" ca="1" si="25"/>
        <v>0</v>
      </c>
    </row>
    <row r="39" spans="1:42" s="594" customFormat="1" ht="11.25" outlineLevel="1" x14ac:dyDescent="0.2">
      <c r="A39" s="590"/>
      <c r="B39" s="591" t="str">
        <f>IF(D39&lt;&gt;"",
IF(ISERROR(MATCH(D39,'Ist Vorjahr Monat 01'!A:A,0))=FALSE,INDEX('Ist Vorjahr Monat 01'!B:B,MATCH(D39,'Ist Vorjahr Monat 01'!A:A,0)),
IF(ISERROR(MATCH(D39,'Ist Vorjahr Monat 02'!A:A,0))=FALSE,INDEX('Ist Vorjahr Monat 02'!B:B,MATCH(D39,'Ist Vorjahr Monat 02'!A:A,0)),
IF(ISERROR(MATCH(D39,'Ist Vorjahr Monat 03'!A:A,0))=FALSE,INDEX('Ist Vorjahr Monat 03'!B:B,MATCH(D39,'Ist Vorjahr Monat 03'!A:A,0)),
IF(ISERROR(MATCH(D39,'Ist Vorjahr Monat 04'!A:A,0))=FALSE,INDEX('Ist Vorjahr Monat 04'!B:B,MATCH(D39,'Ist Vorjahr Monat 04'!A:A,0)),
IF(ISERROR(MATCH(D39,'Ist Vorjahr Monat 05'!A:A,0))=FALSE,INDEX('Ist Vorjahr Monat 05'!B:B,MATCH(D39,'Ist Vorjahr Monat 05'!A:A,0)),
IF(ISERROR(MATCH(D39,'Ist Vorjahr Monat 06'!A:A,0))=FALSE,INDEX('Ist Vorjahr Monat 06'!B:B,MATCH(D39,'Ist Vorjahr Monat 06'!A:A,0)),
IF(ISERROR(MATCH(D39,'Ist Vorjahr Monat 07'!A:A,0))=FALSE,INDEX('Ist Vorjahr Monat 07'!B:B,MATCH(D39,'Ist Vorjahr Monat 07'!A:A,0)),
IF(ISERROR(MATCH(D39,'Ist Vorjahr Monat 08'!A:A,0))=FALSE,INDEX('Ist Vorjahr Monat 08'!B:B,MATCH(D39,'Ist Vorjahr Monat 08'!A:A,0)),
IF(ISERROR(MATCH(D39,'Ist Vorjahr Monat 09'!A:A,0))=FALSE,INDEX('Ist Vorjahr Monat 09'!B:B,MATCH(D39,'Ist Vorjahr Monat 09'!A:A,0)),
IF(ISERROR(MATCH(D39,'Ist Vorjahr Monat 10'!A:A,0))=FALSE,INDEX('Ist Vorjahr Monat 10'!B:B,MATCH(D39,'Ist Vorjahr Monat 10'!A:A,0)),
IF(ISERROR(MATCH(D39,'Ist Vorjahr Monat 11'!A:A,0))=FALSE,INDEX('Ist Vorjahr Monat 11'!B:B,MATCH(D39,'Ist Vorjahr Monat 11'!A:A,0)),
IF(ISERROR(MATCH(D39,'Ist Vorjahr Monat 12'!A:A,0))=FALSE,INDEX('Ist Vorjahr Monat 12'!B:B,MATCH(D39,'Ist Vorjahr Monat 12'!A:A,0)),
"{Konto unbekannt}"
)))))))))))),"")</f>
        <v/>
      </c>
      <c r="C39" s="591"/>
      <c r="D39" s="590"/>
      <c r="E39" s="592">
        <f t="shared" si="19"/>
        <v>-1</v>
      </c>
      <c r="F39" s="590" t="s">
        <v>996</v>
      </c>
      <c r="G39" s="593">
        <f ca="1">$E39*(-SUMIF(INDIRECT(G$3),'Struktur Vorjahr'!$D39,INDIRECT(G$4))+SUMIF(INDIRECT(G$3),'Struktur Vorjahr'!$D39,INDIRECT(G$5)))</f>
        <v>0</v>
      </c>
      <c r="H39" s="593">
        <f ca="1">$E39*(-SUMIF(INDIRECT(H$3),'Struktur Vorjahr'!$D39,INDIRECT(H$4))+SUMIF(INDIRECT(H$3),'Struktur Vorjahr'!$D39,INDIRECT(H$5)))</f>
        <v>0</v>
      </c>
      <c r="I39" s="593">
        <f ca="1">$E39*(-SUMIF(INDIRECT(I$3),'Struktur Vorjahr'!$D39,INDIRECT(I$4))+SUMIF(INDIRECT(I$3),'Struktur Vorjahr'!$D39,INDIRECT(I$5)))</f>
        <v>0</v>
      </c>
      <c r="J39" s="593">
        <f ca="1">$E39*(-SUMIF(INDIRECT(J$3),'Struktur Vorjahr'!$D39,INDIRECT(J$4))+SUMIF(INDIRECT(J$3),'Struktur Vorjahr'!$D39,INDIRECT(J$5)))</f>
        <v>0</v>
      </c>
      <c r="K39" s="593">
        <f ca="1">$E39*(-SUMIF(INDIRECT(K$3),'Struktur Vorjahr'!$D39,INDIRECT(K$4))+SUMIF(INDIRECT(K$3),'Struktur Vorjahr'!$D39,INDIRECT(K$5)))</f>
        <v>0</v>
      </c>
      <c r="L39" s="593">
        <f ca="1">$E39*(-SUMIF(INDIRECT(L$3),'Struktur Vorjahr'!$D39,INDIRECT(L$4))+SUMIF(INDIRECT(L$3),'Struktur Vorjahr'!$D39,INDIRECT(L$5)))</f>
        <v>0</v>
      </c>
      <c r="M39" s="593">
        <f ca="1">$E39*(-SUMIF(INDIRECT(M$3),'Struktur Vorjahr'!$D39,INDIRECT(M$4))+SUMIF(INDIRECT(M$3),'Struktur Vorjahr'!$D39,INDIRECT(M$5)))</f>
        <v>0</v>
      </c>
      <c r="N39" s="593">
        <f ca="1">$E39*(-SUMIF(INDIRECT(N$3),'Struktur Vorjahr'!$D39,INDIRECT(N$4))+SUMIF(INDIRECT(N$3),'Struktur Vorjahr'!$D39,INDIRECT(N$5)))</f>
        <v>0</v>
      </c>
      <c r="O39" s="593">
        <f ca="1">$E39*(-SUMIF(INDIRECT(O$3),'Struktur Vorjahr'!$D39,INDIRECT(O$4))+SUMIF(INDIRECT(O$3),'Struktur Vorjahr'!$D39,INDIRECT(O$5)))</f>
        <v>0</v>
      </c>
      <c r="P39" s="593">
        <f ca="1">$E39*(-SUMIF(INDIRECT(P$3),'Struktur Vorjahr'!$D39,INDIRECT(P$4))+SUMIF(INDIRECT(P$3),'Struktur Vorjahr'!$D39,INDIRECT(P$5)))</f>
        <v>0</v>
      </c>
      <c r="Q39" s="593">
        <f ca="1">$E39*(-SUMIF(INDIRECT(Q$3),'Struktur Vorjahr'!$D39,INDIRECT(Q$4))+SUMIF(INDIRECT(Q$3),'Struktur Vorjahr'!$D39,INDIRECT(Q$5)))</f>
        <v>0</v>
      </c>
      <c r="R39" s="593">
        <f ca="1">$E39*(-SUMIF(INDIRECT(R$3),'Struktur Vorjahr'!$D39,INDIRECT(R$4))+SUMIF(INDIRECT(R$3),'Struktur Vorjahr'!$D39,INDIRECT(R$5)))</f>
        <v>0</v>
      </c>
      <c r="S39" s="593">
        <f ca="1">$E39*(-SUMIF(INDIRECT(S$3),'Struktur Vorjahr'!$D39,INDIRECT(S$4))+SUMIF(INDIRECT(S$3),'Struktur Vorjahr'!$D39,INDIRECT(S$5)))</f>
        <v>0</v>
      </c>
      <c r="T39" s="593">
        <f ca="1">$E39*(-SUMIF(INDIRECT(T$3),'Struktur Vorjahr'!$D39,INDIRECT(T$4))+SUMIF(INDIRECT(T$3),'Struktur Vorjahr'!$D39,INDIRECT(T$5)))</f>
        <v>0</v>
      </c>
      <c r="U39" s="593">
        <f ca="1">$E39*(-SUMIF(INDIRECT(U$3),'Struktur Vorjahr'!$D39,INDIRECT(U$4))+SUMIF(INDIRECT(U$3),'Struktur Vorjahr'!$D39,INDIRECT(U$5)))</f>
        <v>0</v>
      </c>
      <c r="V39" s="593">
        <f ca="1">$E39*(-SUMIF(INDIRECT(V$3),'Struktur Vorjahr'!$D39,INDIRECT(V$4))+SUMIF(INDIRECT(V$3),'Struktur Vorjahr'!$D39,INDIRECT(V$5)))</f>
        <v>0</v>
      </c>
      <c r="W39" s="593">
        <f ca="1">$E39*(-SUMIF(INDIRECT(W$3),'Struktur Vorjahr'!$D39,INDIRECT(W$4))+SUMIF(INDIRECT(W$3),'Struktur Vorjahr'!$D39,INDIRECT(W$5)))</f>
        <v>0</v>
      </c>
      <c r="X39" s="593">
        <f ca="1">$E39*(-SUMIF(INDIRECT(X$3),'Struktur Vorjahr'!$D39,INDIRECT(X$4))+SUMIF(INDIRECT(X$3),'Struktur Vorjahr'!$D39,INDIRECT(X$5)))</f>
        <v>0</v>
      </c>
      <c r="Y39" s="593">
        <f ca="1">$E39*(-SUMIF(INDIRECT(Y$3),'Struktur Vorjahr'!$D39,INDIRECT(Y$4))+SUMIF(INDIRECT(Y$3),'Struktur Vorjahr'!$D39,INDIRECT(Y$5)))</f>
        <v>0</v>
      </c>
      <c r="Z39" s="593">
        <f ca="1">$E39*(-SUMIF(INDIRECT(Z$3),'Struktur Vorjahr'!$D39,INDIRECT(Z$4))+SUMIF(INDIRECT(Z$3),'Struktur Vorjahr'!$D39,INDIRECT(Z$5)))</f>
        <v>0</v>
      </c>
      <c r="AA39" s="593">
        <f ca="1">$E39*(-SUMIF(INDIRECT(AA$3),'Struktur Vorjahr'!$D39,INDIRECT(AA$4))+SUMIF(INDIRECT(AA$3),'Struktur Vorjahr'!$D39,INDIRECT(AA$5)))</f>
        <v>0</v>
      </c>
      <c r="AB39" s="593">
        <f ca="1">$E39*(-SUMIF(INDIRECT(AB$3),'Struktur Vorjahr'!$D39,INDIRECT(AB$4))+SUMIF(INDIRECT(AB$3),'Struktur Vorjahr'!$D39,INDIRECT(AB$5)))</f>
        <v>0</v>
      </c>
      <c r="AC39" s="593">
        <f ca="1">$E39*(-SUMIF(INDIRECT(AC$3),'Struktur Vorjahr'!$D39,INDIRECT(AC$4))+SUMIF(INDIRECT(AC$3),'Struktur Vorjahr'!$D39,INDIRECT(AC$5)))</f>
        <v>0</v>
      </c>
      <c r="AD39" s="593">
        <f ca="1">$E39*(-SUMIF(INDIRECT(AD$3),'Struktur Vorjahr'!$D39,INDIRECT(AD$4))+SUMIF(INDIRECT(AD$3),'Struktur Vorjahr'!$D39,INDIRECT(AD$5)))</f>
        <v>0</v>
      </c>
      <c r="AE39" s="593">
        <f t="shared" ca="1" si="24"/>
        <v>0</v>
      </c>
      <c r="AF39" s="593">
        <f t="shared" ca="1" si="25"/>
        <v>0</v>
      </c>
      <c r="AG39" s="593">
        <f t="shared" ca="1" si="25"/>
        <v>0</v>
      </c>
      <c r="AH39" s="593">
        <f t="shared" ca="1" si="25"/>
        <v>0</v>
      </c>
      <c r="AI39" s="593">
        <f t="shared" ca="1" si="25"/>
        <v>0</v>
      </c>
      <c r="AJ39" s="593">
        <f t="shared" ca="1" si="25"/>
        <v>0</v>
      </c>
      <c r="AK39" s="593">
        <f t="shared" ca="1" si="25"/>
        <v>0</v>
      </c>
      <c r="AL39" s="593">
        <f t="shared" ca="1" si="25"/>
        <v>0</v>
      </c>
      <c r="AM39" s="593">
        <f t="shared" ca="1" si="25"/>
        <v>0</v>
      </c>
      <c r="AN39" s="593">
        <f t="shared" ca="1" si="25"/>
        <v>0</v>
      </c>
      <c r="AO39" s="593">
        <f t="shared" ca="1" si="25"/>
        <v>0</v>
      </c>
      <c r="AP39" s="593">
        <f t="shared" ca="1" si="25"/>
        <v>0</v>
      </c>
    </row>
    <row r="40" spans="1:42" s="594" customFormat="1" ht="11.25" outlineLevel="1" x14ac:dyDescent="0.2">
      <c r="A40" s="590"/>
      <c r="B40" s="591" t="str">
        <f>IF(D40&lt;&gt;"",
IF(ISERROR(MATCH(D40,'Ist Vorjahr Monat 01'!A:A,0))=FALSE,INDEX('Ist Vorjahr Monat 01'!B:B,MATCH(D40,'Ist Vorjahr Monat 01'!A:A,0)),
IF(ISERROR(MATCH(D40,'Ist Vorjahr Monat 02'!A:A,0))=FALSE,INDEX('Ist Vorjahr Monat 02'!B:B,MATCH(D40,'Ist Vorjahr Monat 02'!A:A,0)),
IF(ISERROR(MATCH(D40,'Ist Vorjahr Monat 03'!A:A,0))=FALSE,INDEX('Ist Vorjahr Monat 03'!B:B,MATCH(D40,'Ist Vorjahr Monat 03'!A:A,0)),
IF(ISERROR(MATCH(D40,'Ist Vorjahr Monat 04'!A:A,0))=FALSE,INDEX('Ist Vorjahr Monat 04'!B:B,MATCH(D40,'Ist Vorjahr Monat 04'!A:A,0)),
IF(ISERROR(MATCH(D40,'Ist Vorjahr Monat 05'!A:A,0))=FALSE,INDEX('Ist Vorjahr Monat 05'!B:B,MATCH(D40,'Ist Vorjahr Monat 05'!A:A,0)),
IF(ISERROR(MATCH(D40,'Ist Vorjahr Monat 06'!A:A,0))=FALSE,INDEX('Ist Vorjahr Monat 06'!B:B,MATCH(D40,'Ist Vorjahr Monat 06'!A:A,0)),
IF(ISERROR(MATCH(D40,'Ist Vorjahr Monat 07'!A:A,0))=FALSE,INDEX('Ist Vorjahr Monat 07'!B:B,MATCH(D40,'Ist Vorjahr Monat 07'!A:A,0)),
IF(ISERROR(MATCH(D40,'Ist Vorjahr Monat 08'!A:A,0))=FALSE,INDEX('Ist Vorjahr Monat 08'!B:B,MATCH(D40,'Ist Vorjahr Monat 08'!A:A,0)),
IF(ISERROR(MATCH(D40,'Ist Vorjahr Monat 09'!A:A,0))=FALSE,INDEX('Ist Vorjahr Monat 09'!B:B,MATCH(D40,'Ist Vorjahr Monat 09'!A:A,0)),
IF(ISERROR(MATCH(D40,'Ist Vorjahr Monat 10'!A:A,0))=FALSE,INDEX('Ist Vorjahr Monat 10'!B:B,MATCH(D40,'Ist Vorjahr Monat 10'!A:A,0)),
IF(ISERROR(MATCH(D40,'Ist Vorjahr Monat 11'!A:A,0))=FALSE,INDEX('Ist Vorjahr Monat 11'!B:B,MATCH(D40,'Ist Vorjahr Monat 11'!A:A,0)),
IF(ISERROR(MATCH(D40,'Ist Vorjahr Monat 12'!A:A,0))=FALSE,INDEX('Ist Vorjahr Monat 12'!B:B,MATCH(D40,'Ist Vorjahr Monat 12'!A:A,0)),
"{Konto unbekannt}"
)))))))))))),"")</f>
        <v/>
      </c>
      <c r="C40" s="591"/>
      <c r="D40" s="590"/>
      <c r="E40" s="592">
        <f t="shared" si="19"/>
        <v>-1</v>
      </c>
      <c r="F40" s="590" t="s">
        <v>996</v>
      </c>
      <c r="G40" s="593">
        <f ca="1">$E40*(-SUMIF(INDIRECT(G$3),'Struktur Vorjahr'!$D40,INDIRECT(G$4))+SUMIF(INDIRECT(G$3),'Struktur Vorjahr'!$D40,INDIRECT(G$5)))</f>
        <v>0</v>
      </c>
      <c r="H40" s="593">
        <f ca="1">$E40*(-SUMIF(INDIRECT(H$3),'Struktur Vorjahr'!$D40,INDIRECT(H$4))+SUMIF(INDIRECT(H$3),'Struktur Vorjahr'!$D40,INDIRECT(H$5)))</f>
        <v>0</v>
      </c>
      <c r="I40" s="593">
        <f ca="1">$E40*(-SUMIF(INDIRECT(I$3),'Struktur Vorjahr'!$D40,INDIRECT(I$4))+SUMIF(INDIRECT(I$3),'Struktur Vorjahr'!$D40,INDIRECT(I$5)))</f>
        <v>0</v>
      </c>
      <c r="J40" s="593">
        <f ca="1">$E40*(-SUMIF(INDIRECT(J$3),'Struktur Vorjahr'!$D40,INDIRECT(J$4))+SUMIF(INDIRECT(J$3),'Struktur Vorjahr'!$D40,INDIRECT(J$5)))</f>
        <v>0</v>
      </c>
      <c r="K40" s="593">
        <f ca="1">$E40*(-SUMIF(INDIRECT(K$3),'Struktur Vorjahr'!$D40,INDIRECT(K$4))+SUMIF(INDIRECT(K$3),'Struktur Vorjahr'!$D40,INDIRECT(K$5)))</f>
        <v>0</v>
      </c>
      <c r="L40" s="593">
        <f ca="1">$E40*(-SUMIF(INDIRECT(L$3),'Struktur Vorjahr'!$D40,INDIRECT(L$4))+SUMIF(INDIRECT(L$3),'Struktur Vorjahr'!$D40,INDIRECT(L$5)))</f>
        <v>0</v>
      </c>
      <c r="M40" s="593">
        <f ca="1">$E40*(-SUMIF(INDIRECT(M$3),'Struktur Vorjahr'!$D40,INDIRECT(M$4))+SUMIF(INDIRECT(M$3),'Struktur Vorjahr'!$D40,INDIRECT(M$5)))</f>
        <v>0</v>
      </c>
      <c r="N40" s="593">
        <f ca="1">$E40*(-SUMIF(INDIRECT(N$3),'Struktur Vorjahr'!$D40,INDIRECT(N$4))+SUMIF(INDIRECT(N$3),'Struktur Vorjahr'!$D40,INDIRECT(N$5)))</f>
        <v>0</v>
      </c>
      <c r="O40" s="593">
        <f ca="1">$E40*(-SUMIF(INDIRECT(O$3),'Struktur Vorjahr'!$D40,INDIRECT(O$4))+SUMIF(INDIRECT(O$3),'Struktur Vorjahr'!$D40,INDIRECT(O$5)))</f>
        <v>0</v>
      </c>
      <c r="P40" s="593">
        <f ca="1">$E40*(-SUMIF(INDIRECT(P$3),'Struktur Vorjahr'!$D40,INDIRECT(P$4))+SUMIF(INDIRECT(P$3),'Struktur Vorjahr'!$D40,INDIRECT(P$5)))</f>
        <v>0</v>
      </c>
      <c r="Q40" s="593">
        <f ca="1">$E40*(-SUMIF(INDIRECT(Q$3),'Struktur Vorjahr'!$D40,INDIRECT(Q$4))+SUMIF(INDIRECT(Q$3),'Struktur Vorjahr'!$D40,INDIRECT(Q$5)))</f>
        <v>0</v>
      </c>
      <c r="R40" s="593">
        <f ca="1">$E40*(-SUMIF(INDIRECT(R$3),'Struktur Vorjahr'!$D40,INDIRECT(R$4))+SUMIF(INDIRECT(R$3),'Struktur Vorjahr'!$D40,INDIRECT(R$5)))</f>
        <v>0</v>
      </c>
      <c r="S40" s="593">
        <f ca="1">$E40*(-SUMIF(INDIRECT(S$3),'Struktur Vorjahr'!$D40,INDIRECT(S$4))+SUMIF(INDIRECT(S$3),'Struktur Vorjahr'!$D40,INDIRECT(S$5)))</f>
        <v>0</v>
      </c>
      <c r="T40" s="593">
        <f ca="1">$E40*(-SUMIF(INDIRECT(T$3),'Struktur Vorjahr'!$D40,INDIRECT(T$4))+SUMIF(INDIRECT(T$3),'Struktur Vorjahr'!$D40,INDIRECT(T$5)))</f>
        <v>0</v>
      </c>
      <c r="U40" s="593">
        <f ca="1">$E40*(-SUMIF(INDIRECT(U$3),'Struktur Vorjahr'!$D40,INDIRECT(U$4))+SUMIF(INDIRECT(U$3),'Struktur Vorjahr'!$D40,INDIRECT(U$5)))</f>
        <v>0</v>
      </c>
      <c r="V40" s="593">
        <f ca="1">$E40*(-SUMIF(INDIRECT(V$3),'Struktur Vorjahr'!$D40,INDIRECT(V$4))+SUMIF(INDIRECT(V$3),'Struktur Vorjahr'!$D40,INDIRECT(V$5)))</f>
        <v>0</v>
      </c>
      <c r="W40" s="593">
        <f ca="1">$E40*(-SUMIF(INDIRECT(W$3),'Struktur Vorjahr'!$D40,INDIRECT(W$4))+SUMIF(INDIRECT(W$3),'Struktur Vorjahr'!$D40,INDIRECT(W$5)))</f>
        <v>0</v>
      </c>
      <c r="X40" s="593">
        <f ca="1">$E40*(-SUMIF(INDIRECT(X$3),'Struktur Vorjahr'!$D40,INDIRECT(X$4))+SUMIF(INDIRECT(X$3),'Struktur Vorjahr'!$D40,INDIRECT(X$5)))</f>
        <v>0</v>
      </c>
      <c r="Y40" s="593">
        <f ca="1">$E40*(-SUMIF(INDIRECT(Y$3),'Struktur Vorjahr'!$D40,INDIRECT(Y$4))+SUMIF(INDIRECT(Y$3),'Struktur Vorjahr'!$D40,INDIRECT(Y$5)))</f>
        <v>0</v>
      </c>
      <c r="Z40" s="593">
        <f ca="1">$E40*(-SUMIF(INDIRECT(Z$3),'Struktur Vorjahr'!$D40,INDIRECT(Z$4))+SUMIF(INDIRECT(Z$3),'Struktur Vorjahr'!$D40,INDIRECT(Z$5)))</f>
        <v>0</v>
      </c>
      <c r="AA40" s="593">
        <f ca="1">$E40*(-SUMIF(INDIRECT(AA$3),'Struktur Vorjahr'!$D40,INDIRECT(AA$4))+SUMIF(INDIRECT(AA$3),'Struktur Vorjahr'!$D40,INDIRECT(AA$5)))</f>
        <v>0</v>
      </c>
      <c r="AB40" s="593">
        <f ca="1">$E40*(-SUMIF(INDIRECT(AB$3),'Struktur Vorjahr'!$D40,INDIRECT(AB$4))+SUMIF(INDIRECT(AB$3),'Struktur Vorjahr'!$D40,INDIRECT(AB$5)))</f>
        <v>0</v>
      </c>
      <c r="AC40" s="593">
        <f ca="1">$E40*(-SUMIF(INDIRECT(AC$3),'Struktur Vorjahr'!$D40,INDIRECT(AC$4))+SUMIF(INDIRECT(AC$3),'Struktur Vorjahr'!$D40,INDIRECT(AC$5)))</f>
        <v>0</v>
      </c>
      <c r="AD40" s="593">
        <f ca="1">$E40*(-SUMIF(INDIRECT(AD$3),'Struktur Vorjahr'!$D40,INDIRECT(AD$4))+SUMIF(INDIRECT(AD$3),'Struktur Vorjahr'!$D40,INDIRECT(AD$5)))</f>
        <v>0</v>
      </c>
      <c r="AE40" s="593">
        <f t="shared" ca="1" si="24"/>
        <v>0</v>
      </c>
      <c r="AF40" s="593">
        <f t="shared" ca="1" si="25"/>
        <v>0</v>
      </c>
      <c r="AG40" s="593">
        <f t="shared" ca="1" si="25"/>
        <v>0</v>
      </c>
      <c r="AH40" s="593">
        <f t="shared" ca="1" si="25"/>
        <v>0</v>
      </c>
      <c r="AI40" s="593">
        <f t="shared" ca="1" si="25"/>
        <v>0</v>
      </c>
      <c r="AJ40" s="593">
        <f t="shared" ca="1" si="25"/>
        <v>0</v>
      </c>
      <c r="AK40" s="593">
        <f t="shared" ca="1" si="25"/>
        <v>0</v>
      </c>
      <c r="AL40" s="593">
        <f t="shared" ca="1" si="25"/>
        <v>0</v>
      </c>
      <c r="AM40" s="593">
        <f t="shared" ca="1" si="25"/>
        <v>0</v>
      </c>
      <c r="AN40" s="593">
        <f t="shared" ca="1" si="25"/>
        <v>0</v>
      </c>
      <c r="AO40" s="593">
        <f t="shared" ca="1" si="25"/>
        <v>0</v>
      </c>
      <c r="AP40" s="593">
        <f t="shared" ca="1" si="25"/>
        <v>0</v>
      </c>
    </row>
    <row r="41" spans="1:42" s="594" customFormat="1" ht="11.25" outlineLevel="1" x14ac:dyDescent="0.2">
      <c r="A41" s="590"/>
      <c r="B41" s="591" t="str">
        <f>IF(D41&lt;&gt;"",
IF(ISERROR(MATCH(D41,'Ist Vorjahr Monat 01'!A:A,0))=FALSE,INDEX('Ist Vorjahr Monat 01'!B:B,MATCH(D41,'Ist Vorjahr Monat 01'!A:A,0)),
IF(ISERROR(MATCH(D41,'Ist Vorjahr Monat 02'!A:A,0))=FALSE,INDEX('Ist Vorjahr Monat 02'!B:B,MATCH(D41,'Ist Vorjahr Monat 02'!A:A,0)),
IF(ISERROR(MATCH(D41,'Ist Vorjahr Monat 03'!A:A,0))=FALSE,INDEX('Ist Vorjahr Monat 03'!B:B,MATCH(D41,'Ist Vorjahr Monat 03'!A:A,0)),
IF(ISERROR(MATCH(D41,'Ist Vorjahr Monat 04'!A:A,0))=FALSE,INDEX('Ist Vorjahr Monat 04'!B:B,MATCH(D41,'Ist Vorjahr Monat 04'!A:A,0)),
IF(ISERROR(MATCH(D41,'Ist Vorjahr Monat 05'!A:A,0))=FALSE,INDEX('Ist Vorjahr Monat 05'!B:B,MATCH(D41,'Ist Vorjahr Monat 05'!A:A,0)),
IF(ISERROR(MATCH(D41,'Ist Vorjahr Monat 06'!A:A,0))=FALSE,INDEX('Ist Vorjahr Monat 06'!B:B,MATCH(D41,'Ist Vorjahr Monat 06'!A:A,0)),
IF(ISERROR(MATCH(D41,'Ist Vorjahr Monat 07'!A:A,0))=FALSE,INDEX('Ist Vorjahr Monat 07'!B:B,MATCH(D41,'Ist Vorjahr Monat 07'!A:A,0)),
IF(ISERROR(MATCH(D41,'Ist Vorjahr Monat 08'!A:A,0))=FALSE,INDEX('Ist Vorjahr Monat 08'!B:B,MATCH(D41,'Ist Vorjahr Monat 08'!A:A,0)),
IF(ISERROR(MATCH(D41,'Ist Vorjahr Monat 09'!A:A,0))=FALSE,INDEX('Ist Vorjahr Monat 09'!B:B,MATCH(D41,'Ist Vorjahr Monat 09'!A:A,0)),
IF(ISERROR(MATCH(D41,'Ist Vorjahr Monat 10'!A:A,0))=FALSE,INDEX('Ist Vorjahr Monat 10'!B:B,MATCH(D41,'Ist Vorjahr Monat 10'!A:A,0)),
IF(ISERROR(MATCH(D41,'Ist Vorjahr Monat 11'!A:A,0))=FALSE,INDEX('Ist Vorjahr Monat 11'!B:B,MATCH(D41,'Ist Vorjahr Monat 11'!A:A,0)),
IF(ISERROR(MATCH(D41,'Ist Vorjahr Monat 12'!A:A,0))=FALSE,INDEX('Ist Vorjahr Monat 12'!B:B,MATCH(D41,'Ist Vorjahr Monat 12'!A:A,0)),
"{Konto unbekannt}"
)))))))))))),"")</f>
        <v/>
      </c>
      <c r="C41" s="591"/>
      <c r="D41" s="590"/>
      <c r="E41" s="592">
        <f t="shared" si="19"/>
        <v>-1</v>
      </c>
      <c r="F41" s="590" t="s">
        <v>996</v>
      </c>
      <c r="G41" s="593">
        <f ca="1">$E41*(-SUMIF(INDIRECT(G$3),'Struktur Vorjahr'!$D41,INDIRECT(G$4))+SUMIF(INDIRECT(G$3),'Struktur Vorjahr'!$D41,INDIRECT(G$5)))</f>
        <v>0</v>
      </c>
      <c r="H41" s="593">
        <f ca="1">$E41*(-SUMIF(INDIRECT(H$3),'Struktur Vorjahr'!$D41,INDIRECT(H$4))+SUMIF(INDIRECT(H$3),'Struktur Vorjahr'!$D41,INDIRECT(H$5)))</f>
        <v>0</v>
      </c>
      <c r="I41" s="593">
        <f ca="1">$E41*(-SUMIF(INDIRECT(I$3),'Struktur Vorjahr'!$D41,INDIRECT(I$4))+SUMIF(INDIRECT(I$3),'Struktur Vorjahr'!$D41,INDIRECT(I$5)))</f>
        <v>0</v>
      </c>
      <c r="J41" s="593">
        <f ca="1">$E41*(-SUMIF(INDIRECT(J$3),'Struktur Vorjahr'!$D41,INDIRECT(J$4))+SUMIF(INDIRECT(J$3),'Struktur Vorjahr'!$D41,INDIRECT(J$5)))</f>
        <v>0</v>
      </c>
      <c r="K41" s="593">
        <f ca="1">$E41*(-SUMIF(INDIRECT(K$3),'Struktur Vorjahr'!$D41,INDIRECT(K$4))+SUMIF(INDIRECT(K$3),'Struktur Vorjahr'!$D41,INDIRECT(K$5)))</f>
        <v>0</v>
      </c>
      <c r="L41" s="593">
        <f ca="1">$E41*(-SUMIF(INDIRECT(L$3),'Struktur Vorjahr'!$D41,INDIRECT(L$4))+SUMIF(INDIRECT(L$3),'Struktur Vorjahr'!$D41,INDIRECT(L$5)))</f>
        <v>0</v>
      </c>
      <c r="M41" s="593">
        <f ca="1">$E41*(-SUMIF(INDIRECT(M$3),'Struktur Vorjahr'!$D41,INDIRECT(M$4))+SUMIF(INDIRECT(M$3),'Struktur Vorjahr'!$D41,INDIRECT(M$5)))</f>
        <v>0</v>
      </c>
      <c r="N41" s="593">
        <f ca="1">$E41*(-SUMIF(INDIRECT(N$3),'Struktur Vorjahr'!$D41,INDIRECT(N$4))+SUMIF(INDIRECT(N$3),'Struktur Vorjahr'!$D41,INDIRECT(N$5)))</f>
        <v>0</v>
      </c>
      <c r="O41" s="593">
        <f ca="1">$E41*(-SUMIF(INDIRECT(O$3),'Struktur Vorjahr'!$D41,INDIRECT(O$4))+SUMIF(INDIRECT(O$3),'Struktur Vorjahr'!$D41,INDIRECT(O$5)))</f>
        <v>0</v>
      </c>
      <c r="P41" s="593">
        <f ca="1">$E41*(-SUMIF(INDIRECT(P$3),'Struktur Vorjahr'!$D41,INDIRECT(P$4))+SUMIF(INDIRECT(P$3),'Struktur Vorjahr'!$D41,INDIRECT(P$5)))</f>
        <v>0</v>
      </c>
      <c r="Q41" s="593">
        <f ca="1">$E41*(-SUMIF(INDIRECT(Q$3),'Struktur Vorjahr'!$D41,INDIRECT(Q$4))+SUMIF(INDIRECT(Q$3),'Struktur Vorjahr'!$D41,INDIRECT(Q$5)))</f>
        <v>0</v>
      </c>
      <c r="R41" s="593">
        <f ca="1">$E41*(-SUMIF(INDIRECT(R$3),'Struktur Vorjahr'!$D41,INDIRECT(R$4))+SUMIF(INDIRECT(R$3),'Struktur Vorjahr'!$D41,INDIRECT(R$5)))</f>
        <v>0</v>
      </c>
      <c r="S41" s="593">
        <f ca="1">$E41*(-SUMIF(INDIRECT(S$3),'Struktur Vorjahr'!$D41,INDIRECT(S$4))+SUMIF(INDIRECT(S$3),'Struktur Vorjahr'!$D41,INDIRECT(S$5)))</f>
        <v>0</v>
      </c>
      <c r="T41" s="593">
        <f ca="1">$E41*(-SUMIF(INDIRECT(T$3),'Struktur Vorjahr'!$D41,INDIRECT(T$4))+SUMIF(INDIRECT(T$3),'Struktur Vorjahr'!$D41,INDIRECT(T$5)))</f>
        <v>0</v>
      </c>
      <c r="U41" s="593">
        <f ca="1">$E41*(-SUMIF(INDIRECT(U$3),'Struktur Vorjahr'!$D41,INDIRECT(U$4))+SUMIF(INDIRECT(U$3),'Struktur Vorjahr'!$D41,INDIRECT(U$5)))</f>
        <v>0</v>
      </c>
      <c r="V41" s="593">
        <f ca="1">$E41*(-SUMIF(INDIRECT(V$3),'Struktur Vorjahr'!$D41,INDIRECT(V$4))+SUMIF(INDIRECT(V$3),'Struktur Vorjahr'!$D41,INDIRECT(V$5)))</f>
        <v>0</v>
      </c>
      <c r="W41" s="593">
        <f ca="1">$E41*(-SUMIF(INDIRECT(W$3),'Struktur Vorjahr'!$D41,INDIRECT(W$4))+SUMIF(INDIRECT(W$3),'Struktur Vorjahr'!$D41,INDIRECT(W$5)))</f>
        <v>0</v>
      </c>
      <c r="X41" s="593">
        <f ca="1">$E41*(-SUMIF(INDIRECT(X$3),'Struktur Vorjahr'!$D41,INDIRECT(X$4))+SUMIF(INDIRECT(X$3),'Struktur Vorjahr'!$D41,INDIRECT(X$5)))</f>
        <v>0</v>
      </c>
      <c r="Y41" s="593">
        <f ca="1">$E41*(-SUMIF(INDIRECT(Y$3),'Struktur Vorjahr'!$D41,INDIRECT(Y$4))+SUMIF(INDIRECT(Y$3),'Struktur Vorjahr'!$D41,INDIRECT(Y$5)))</f>
        <v>0</v>
      </c>
      <c r="Z41" s="593">
        <f ca="1">$E41*(-SUMIF(INDIRECT(Z$3),'Struktur Vorjahr'!$D41,INDIRECT(Z$4))+SUMIF(INDIRECT(Z$3),'Struktur Vorjahr'!$D41,INDIRECT(Z$5)))</f>
        <v>0</v>
      </c>
      <c r="AA41" s="593">
        <f ca="1">$E41*(-SUMIF(INDIRECT(AA$3),'Struktur Vorjahr'!$D41,INDIRECT(AA$4))+SUMIF(INDIRECT(AA$3),'Struktur Vorjahr'!$D41,INDIRECT(AA$5)))</f>
        <v>0</v>
      </c>
      <c r="AB41" s="593">
        <f ca="1">$E41*(-SUMIF(INDIRECT(AB$3),'Struktur Vorjahr'!$D41,INDIRECT(AB$4))+SUMIF(INDIRECT(AB$3),'Struktur Vorjahr'!$D41,INDIRECT(AB$5)))</f>
        <v>0</v>
      </c>
      <c r="AC41" s="593">
        <f ca="1">$E41*(-SUMIF(INDIRECT(AC$3),'Struktur Vorjahr'!$D41,INDIRECT(AC$4))+SUMIF(INDIRECT(AC$3),'Struktur Vorjahr'!$D41,INDIRECT(AC$5)))</f>
        <v>0</v>
      </c>
      <c r="AD41" s="593">
        <f ca="1">$E41*(-SUMIF(INDIRECT(AD$3),'Struktur Vorjahr'!$D41,INDIRECT(AD$4))+SUMIF(INDIRECT(AD$3),'Struktur Vorjahr'!$D41,INDIRECT(AD$5)))</f>
        <v>0</v>
      </c>
      <c r="AE41" s="593">
        <f t="shared" ca="1" si="24"/>
        <v>0</v>
      </c>
      <c r="AF41" s="593">
        <f t="shared" ca="1" si="25"/>
        <v>0</v>
      </c>
      <c r="AG41" s="593">
        <f t="shared" ca="1" si="25"/>
        <v>0</v>
      </c>
      <c r="AH41" s="593">
        <f t="shared" ca="1" si="25"/>
        <v>0</v>
      </c>
      <c r="AI41" s="593">
        <f t="shared" ca="1" si="25"/>
        <v>0</v>
      </c>
      <c r="AJ41" s="593">
        <f t="shared" ca="1" si="25"/>
        <v>0</v>
      </c>
      <c r="AK41" s="593">
        <f t="shared" ca="1" si="25"/>
        <v>0</v>
      </c>
      <c r="AL41" s="593">
        <f t="shared" ca="1" si="25"/>
        <v>0</v>
      </c>
      <c r="AM41" s="593">
        <f t="shared" ca="1" si="25"/>
        <v>0</v>
      </c>
      <c r="AN41" s="593">
        <f t="shared" ca="1" si="25"/>
        <v>0</v>
      </c>
      <c r="AO41" s="593">
        <f t="shared" ca="1" si="25"/>
        <v>0</v>
      </c>
      <c r="AP41" s="593">
        <f t="shared" ca="1" si="25"/>
        <v>0</v>
      </c>
    </row>
    <row r="42" spans="1:42" s="594" customFormat="1" ht="11.25" outlineLevel="1" x14ac:dyDescent="0.2">
      <c r="A42" s="590"/>
      <c r="B42" s="591" t="str">
        <f>IF(D42&lt;&gt;"",
IF(ISERROR(MATCH(D42,'Ist Vorjahr Monat 01'!A:A,0))=FALSE,INDEX('Ist Vorjahr Monat 01'!B:B,MATCH(D42,'Ist Vorjahr Monat 01'!A:A,0)),
IF(ISERROR(MATCH(D42,'Ist Vorjahr Monat 02'!A:A,0))=FALSE,INDEX('Ist Vorjahr Monat 02'!B:B,MATCH(D42,'Ist Vorjahr Monat 02'!A:A,0)),
IF(ISERROR(MATCH(D42,'Ist Vorjahr Monat 03'!A:A,0))=FALSE,INDEX('Ist Vorjahr Monat 03'!B:B,MATCH(D42,'Ist Vorjahr Monat 03'!A:A,0)),
IF(ISERROR(MATCH(D42,'Ist Vorjahr Monat 04'!A:A,0))=FALSE,INDEX('Ist Vorjahr Monat 04'!B:B,MATCH(D42,'Ist Vorjahr Monat 04'!A:A,0)),
IF(ISERROR(MATCH(D42,'Ist Vorjahr Monat 05'!A:A,0))=FALSE,INDEX('Ist Vorjahr Monat 05'!B:B,MATCH(D42,'Ist Vorjahr Monat 05'!A:A,0)),
IF(ISERROR(MATCH(D42,'Ist Vorjahr Monat 06'!A:A,0))=FALSE,INDEX('Ist Vorjahr Monat 06'!B:B,MATCH(D42,'Ist Vorjahr Monat 06'!A:A,0)),
IF(ISERROR(MATCH(D42,'Ist Vorjahr Monat 07'!A:A,0))=FALSE,INDEX('Ist Vorjahr Monat 07'!B:B,MATCH(D42,'Ist Vorjahr Monat 07'!A:A,0)),
IF(ISERROR(MATCH(D42,'Ist Vorjahr Monat 08'!A:A,0))=FALSE,INDEX('Ist Vorjahr Monat 08'!B:B,MATCH(D42,'Ist Vorjahr Monat 08'!A:A,0)),
IF(ISERROR(MATCH(D42,'Ist Vorjahr Monat 09'!A:A,0))=FALSE,INDEX('Ist Vorjahr Monat 09'!B:B,MATCH(D42,'Ist Vorjahr Monat 09'!A:A,0)),
IF(ISERROR(MATCH(D42,'Ist Vorjahr Monat 10'!A:A,0))=FALSE,INDEX('Ist Vorjahr Monat 10'!B:B,MATCH(D42,'Ist Vorjahr Monat 10'!A:A,0)),
IF(ISERROR(MATCH(D42,'Ist Vorjahr Monat 11'!A:A,0))=FALSE,INDEX('Ist Vorjahr Monat 11'!B:B,MATCH(D42,'Ist Vorjahr Monat 11'!A:A,0)),
IF(ISERROR(MATCH(D42,'Ist Vorjahr Monat 12'!A:A,0))=FALSE,INDEX('Ist Vorjahr Monat 12'!B:B,MATCH(D42,'Ist Vorjahr Monat 12'!A:A,0)),
"{Konto unbekannt}"
)))))))))))),"")</f>
        <v/>
      </c>
      <c r="C42" s="591"/>
      <c r="D42" s="590"/>
      <c r="E42" s="592">
        <f t="shared" si="19"/>
        <v>-1</v>
      </c>
      <c r="F42" s="590" t="s">
        <v>996</v>
      </c>
      <c r="G42" s="593">
        <f ca="1">$E42*(-SUMIF(INDIRECT(G$3),'Struktur Vorjahr'!$D42,INDIRECT(G$4))+SUMIF(INDIRECT(G$3),'Struktur Vorjahr'!$D42,INDIRECT(G$5)))</f>
        <v>0</v>
      </c>
      <c r="H42" s="593">
        <f ca="1">$E42*(-SUMIF(INDIRECT(H$3),'Struktur Vorjahr'!$D42,INDIRECT(H$4))+SUMIF(INDIRECT(H$3),'Struktur Vorjahr'!$D42,INDIRECT(H$5)))</f>
        <v>0</v>
      </c>
      <c r="I42" s="593">
        <f ca="1">$E42*(-SUMIF(INDIRECT(I$3),'Struktur Vorjahr'!$D42,INDIRECT(I$4))+SUMIF(INDIRECT(I$3),'Struktur Vorjahr'!$D42,INDIRECT(I$5)))</f>
        <v>0</v>
      </c>
      <c r="J42" s="593">
        <f ca="1">$E42*(-SUMIF(INDIRECT(J$3),'Struktur Vorjahr'!$D42,INDIRECT(J$4))+SUMIF(INDIRECT(J$3),'Struktur Vorjahr'!$D42,INDIRECT(J$5)))</f>
        <v>0</v>
      </c>
      <c r="K42" s="593">
        <f ca="1">$E42*(-SUMIF(INDIRECT(K$3),'Struktur Vorjahr'!$D42,INDIRECT(K$4))+SUMIF(INDIRECT(K$3),'Struktur Vorjahr'!$D42,INDIRECT(K$5)))</f>
        <v>0</v>
      </c>
      <c r="L42" s="593">
        <f ca="1">$E42*(-SUMIF(INDIRECT(L$3),'Struktur Vorjahr'!$D42,INDIRECT(L$4))+SUMIF(INDIRECT(L$3),'Struktur Vorjahr'!$D42,INDIRECT(L$5)))</f>
        <v>0</v>
      </c>
      <c r="M42" s="593">
        <f ca="1">$E42*(-SUMIF(INDIRECT(M$3),'Struktur Vorjahr'!$D42,INDIRECT(M$4))+SUMIF(INDIRECT(M$3),'Struktur Vorjahr'!$D42,INDIRECT(M$5)))</f>
        <v>0</v>
      </c>
      <c r="N42" s="593">
        <f ca="1">$E42*(-SUMIF(INDIRECT(N$3),'Struktur Vorjahr'!$D42,INDIRECT(N$4))+SUMIF(INDIRECT(N$3),'Struktur Vorjahr'!$D42,INDIRECT(N$5)))</f>
        <v>0</v>
      </c>
      <c r="O42" s="593">
        <f ca="1">$E42*(-SUMIF(INDIRECT(O$3),'Struktur Vorjahr'!$D42,INDIRECT(O$4))+SUMIF(INDIRECT(O$3),'Struktur Vorjahr'!$D42,INDIRECT(O$5)))</f>
        <v>0</v>
      </c>
      <c r="P42" s="593">
        <f ca="1">$E42*(-SUMIF(INDIRECT(P$3),'Struktur Vorjahr'!$D42,INDIRECT(P$4))+SUMIF(INDIRECT(P$3),'Struktur Vorjahr'!$D42,INDIRECT(P$5)))</f>
        <v>0</v>
      </c>
      <c r="Q42" s="593">
        <f ca="1">$E42*(-SUMIF(INDIRECT(Q$3),'Struktur Vorjahr'!$D42,INDIRECT(Q$4))+SUMIF(INDIRECT(Q$3),'Struktur Vorjahr'!$D42,INDIRECT(Q$5)))</f>
        <v>0</v>
      </c>
      <c r="R42" s="593">
        <f ca="1">$E42*(-SUMIF(INDIRECT(R$3),'Struktur Vorjahr'!$D42,INDIRECT(R$4))+SUMIF(INDIRECT(R$3),'Struktur Vorjahr'!$D42,INDIRECT(R$5)))</f>
        <v>0</v>
      </c>
      <c r="S42" s="593">
        <f ca="1">$E42*(-SUMIF(INDIRECT(S$3),'Struktur Vorjahr'!$D42,INDIRECT(S$4))+SUMIF(INDIRECT(S$3),'Struktur Vorjahr'!$D42,INDIRECT(S$5)))</f>
        <v>0</v>
      </c>
      <c r="T42" s="593">
        <f ca="1">$E42*(-SUMIF(INDIRECT(T$3),'Struktur Vorjahr'!$D42,INDIRECT(T$4))+SUMIF(INDIRECT(T$3),'Struktur Vorjahr'!$D42,INDIRECT(T$5)))</f>
        <v>0</v>
      </c>
      <c r="U42" s="593">
        <f ca="1">$E42*(-SUMIF(INDIRECT(U$3),'Struktur Vorjahr'!$D42,INDIRECT(U$4))+SUMIF(INDIRECT(U$3),'Struktur Vorjahr'!$D42,INDIRECT(U$5)))</f>
        <v>0</v>
      </c>
      <c r="V42" s="593">
        <f ca="1">$E42*(-SUMIF(INDIRECT(V$3),'Struktur Vorjahr'!$D42,INDIRECT(V$4))+SUMIF(INDIRECT(V$3),'Struktur Vorjahr'!$D42,INDIRECT(V$5)))</f>
        <v>0</v>
      </c>
      <c r="W42" s="593">
        <f ca="1">$E42*(-SUMIF(INDIRECT(W$3),'Struktur Vorjahr'!$D42,INDIRECT(W$4))+SUMIF(INDIRECT(W$3),'Struktur Vorjahr'!$D42,INDIRECT(W$5)))</f>
        <v>0</v>
      </c>
      <c r="X42" s="593">
        <f ca="1">$E42*(-SUMIF(INDIRECT(X$3),'Struktur Vorjahr'!$D42,INDIRECT(X$4))+SUMIF(INDIRECT(X$3),'Struktur Vorjahr'!$D42,INDIRECT(X$5)))</f>
        <v>0</v>
      </c>
      <c r="Y42" s="593">
        <f ca="1">$E42*(-SUMIF(INDIRECT(Y$3),'Struktur Vorjahr'!$D42,INDIRECT(Y$4))+SUMIF(INDIRECT(Y$3),'Struktur Vorjahr'!$D42,INDIRECT(Y$5)))</f>
        <v>0</v>
      </c>
      <c r="Z42" s="593">
        <f ca="1">$E42*(-SUMIF(INDIRECT(Z$3),'Struktur Vorjahr'!$D42,INDIRECT(Z$4))+SUMIF(INDIRECT(Z$3),'Struktur Vorjahr'!$D42,INDIRECT(Z$5)))</f>
        <v>0</v>
      </c>
      <c r="AA42" s="593">
        <f ca="1">$E42*(-SUMIF(INDIRECT(AA$3),'Struktur Vorjahr'!$D42,INDIRECT(AA$4))+SUMIF(INDIRECT(AA$3),'Struktur Vorjahr'!$D42,INDIRECT(AA$5)))</f>
        <v>0</v>
      </c>
      <c r="AB42" s="593">
        <f ca="1">$E42*(-SUMIF(INDIRECT(AB$3),'Struktur Vorjahr'!$D42,INDIRECT(AB$4))+SUMIF(INDIRECT(AB$3),'Struktur Vorjahr'!$D42,INDIRECT(AB$5)))</f>
        <v>0</v>
      </c>
      <c r="AC42" s="593">
        <f ca="1">$E42*(-SUMIF(INDIRECT(AC$3),'Struktur Vorjahr'!$D42,INDIRECT(AC$4))+SUMIF(INDIRECT(AC$3),'Struktur Vorjahr'!$D42,INDIRECT(AC$5)))</f>
        <v>0</v>
      </c>
      <c r="AD42" s="593">
        <f ca="1">$E42*(-SUMIF(INDIRECT(AD$3),'Struktur Vorjahr'!$D42,INDIRECT(AD$4))+SUMIF(INDIRECT(AD$3),'Struktur Vorjahr'!$D42,INDIRECT(AD$5)))</f>
        <v>0</v>
      </c>
      <c r="AE42" s="593">
        <f t="shared" ca="1" si="24"/>
        <v>0</v>
      </c>
      <c r="AF42" s="593">
        <f t="shared" ca="1" si="25"/>
        <v>0</v>
      </c>
      <c r="AG42" s="593">
        <f t="shared" ca="1" si="25"/>
        <v>0</v>
      </c>
      <c r="AH42" s="593">
        <f t="shared" ca="1" si="25"/>
        <v>0</v>
      </c>
      <c r="AI42" s="593">
        <f t="shared" ca="1" si="25"/>
        <v>0</v>
      </c>
      <c r="AJ42" s="593">
        <f t="shared" ca="1" si="25"/>
        <v>0</v>
      </c>
      <c r="AK42" s="593">
        <f t="shared" ca="1" si="25"/>
        <v>0</v>
      </c>
      <c r="AL42" s="593">
        <f t="shared" ca="1" si="25"/>
        <v>0</v>
      </c>
      <c r="AM42" s="593">
        <f t="shared" ca="1" si="25"/>
        <v>0</v>
      </c>
      <c r="AN42" s="593">
        <f t="shared" ca="1" si="25"/>
        <v>0</v>
      </c>
      <c r="AO42" s="593">
        <f t="shared" ca="1" si="25"/>
        <v>0</v>
      </c>
      <c r="AP42" s="593">
        <f t="shared" ca="1" si="25"/>
        <v>0</v>
      </c>
    </row>
    <row r="43" spans="1:42" s="594" customFormat="1" ht="11.25" outlineLevel="1" x14ac:dyDescent="0.2">
      <c r="A43" s="590"/>
      <c r="B43" s="591" t="str">
        <f>IF(D43&lt;&gt;"",
IF(ISERROR(MATCH(D43,'Ist Vorjahr Monat 01'!A:A,0))=FALSE,INDEX('Ist Vorjahr Monat 01'!B:B,MATCH(D43,'Ist Vorjahr Monat 01'!A:A,0)),
IF(ISERROR(MATCH(D43,'Ist Vorjahr Monat 02'!A:A,0))=FALSE,INDEX('Ist Vorjahr Monat 02'!B:B,MATCH(D43,'Ist Vorjahr Monat 02'!A:A,0)),
IF(ISERROR(MATCH(D43,'Ist Vorjahr Monat 03'!A:A,0))=FALSE,INDEX('Ist Vorjahr Monat 03'!B:B,MATCH(D43,'Ist Vorjahr Monat 03'!A:A,0)),
IF(ISERROR(MATCH(D43,'Ist Vorjahr Monat 04'!A:A,0))=FALSE,INDEX('Ist Vorjahr Monat 04'!B:B,MATCH(D43,'Ist Vorjahr Monat 04'!A:A,0)),
IF(ISERROR(MATCH(D43,'Ist Vorjahr Monat 05'!A:A,0))=FALSE,INDEX('Ist Vorjahr Monat 05'!B:B,MATCH(D43,'Ist Vorjahr Monat 05'!A:A,0)),
IF(ISERROR(MATCH(D43,'Ist Vorjahr Monat 06'!A:A,0))=FALSE,INDEX('Ist Vorjahr Monat 06'!B:B,MATCH(D43,'Ist Vorjahr Monat 06'!A:A,0)),
IF(ISERROR(MATCH(D43,'Ist Vorjahr Monat 07'!A:A,0))=FALSE,INDEX('Ist Vorjahr Monat 07'!B:B,MATCH(D43,'Ist Vorjahr Monat 07'!A:A,0)),
IF(ISERROR(MATCH(D43,'Ist Vorjahr Monat 08'!A:A,0))=FALSE,INDEX('Ist Vorjahr Monat 08'!B:B,MATCH(D43,'Ist Vorjahr Monat 08'!A:A,0)),
IF(ISERROR(MATCH(D43,'Ist Vorjahr Monat 09'!A:A,0))=FALSE,INDEX('Ist Vorjahr Monat 09'!B:B,MATCH(D43,'Ist Vorjahr Monat 09'!A:A,0)),
IF(ISERROR(MATCH(D43,'Ist Vorjahr Monat 10'!A:A,0))=FALSE,INDEX('Ist Vorjahr Monat 10'!B:B,MATCH(D43,'Ist Vorjahr Monat 10'!A:A,0)),
IF(ISERROR(MATCH(D43,'Ist Vorjahr Monat 11'!A:A,0))=FALSE,INDEX('Ist Vorjahr Monat 11'!B:B,MATCH(D43,'Ist Vorjahr Monat 11'!A:A,0)),
IF(ISERROR(MATCH(D43,'Ist Vorjahr Monat 12'!A:A,0))=FALSE,INDEX('Ist Vorjahr Monat 12'!B:B,MATCH(D43,'Ist Vorjahr Monat 12'!A:A,0)),
"{Konto unbekannt}"
)))))))))))),"")</f>
        <v/>
      </c>
      <c r="C43" s="591"/>
      <c r="D43" s="590"/>
      <c r="E43" s="592">
        <f t="shared" si="19"/>
        <v>-1</v>
      </c>
      <c r="F43" s="590" t="s">
        <v>996</v>
      </c>
      <c r="G43" s="593">
        <f ca="1">$E43*(-SUMIF(INDIRECT(G$3),'Struktur Vorjahr'!$D43,INDIRECT(G$4))+SUMIF(INDIRECT(G$3),'Struktur Vorjahr'!$D43,INDIRECT(G$5)))</f>
        <v>0</v>
      </c>
      <c r="H43" s="593">
        <f ca="1">$E43*(-SUMIF(INDIRECT(H$3),'Struktur Vorjahr'!$D43,INDIRECT(H$4))+SUMIF(INDIRECT(H$3),'Struktur Vorjahr'!$D43,INDIRECT(H$5)))</f>
        <v>0</v>
      </c>
      <c r="I43" s="593">
        <f ca="1">$E43*(-SUMIF(INDIRECT(I$3),'Struktur Vorjahr'!$D43,INDIRECT(I$4))+SUMIF(INDIRECT(I$3),'Struktur Vorjahr'!$D43,INDIRECT(I$5)))</f>
        <v>0</v>
      </c>
      <c r="J43" s="593">
        <f ca="1">$E43*(-SUMIF(INDIRECT(J$3),'Struktur Vorjahr'!$D43,INDIRECT(J$4))+SUMIF(INDIRECT(J$3),'Struktur Vorjahr'!$D43,INDIRECT(J$5)))</f>
        <v>0</v>
      </c>
      <c r="K43" s="593">
        <f ca="1">$E43*(-SUMIF(INDIRECT(K$3),'Struktur Vorjahr'!$D43,INDIRECT(K$4))+SUMIF(INDIRECT(K$3),'Struktur Vorjahr'!$D43,INDIRECT(K$5)))</f>
        <v>0</v>
      </c>
      <c r="L43" s="593">
        <f ca="1">$E43*(-SUMIF(INDIRECT(L$3),'Struktur Vorjahr'!$D43,INDIRECT(L$4))+SUMIF(INDIRECT(L$3),'Struktur Vorjahr'!$D43,INDIRECT(L$5)))</f>
        <v>0</v>
      </c>
      <c r="M43" s="593">
        <f ca="1">$E43*(-SUMIF(INDIRECT(M$3),'Struktur Vorjahr'!$D43,INDIRECT(M$4))+SUMIF(INDIRECT(M$3),'Struktur Vorjahr'!$D43,INDIRECT(M$5)))</f>
        <v>0</v>
      </c>
      <c r="N43" s="593">
        <f ca="1">$E43*(-SUMIF(INDIRECT(N$3),'Struktur Vorjahr'!$D43,INDIRECT(N$4))+SUMIF(INDIRECT(N$3),'Struktur Vorjahr'!$D43,INDIRECT(N$5)))</f>
        <v>0</v>
      </c>
      <c r="O43" s="593">
        <f ca="1">$E43*(-SUMIF(INDIRECT(O$3),'Struktur Vorjahr'!$D43,INDIRECT(O$4))+SUMIF(INDIRECT(O$3),'Struktur Vorjahr'!$D43,INDIRECT(O$5)))</f>
        <v>0</v>
      </c>
      <c r="P43" s="593">
        <f ca="1">$E43*(-SUMIF(INDIRECT(P$3),'Struktur Vorjahr'!$D43,INDIRECT(P$4))+SUMIF(INDIRECT(P$3),'Struktur Vorjahr'!$D43,INDIRECT(P$5)))</f>
        <v>0</v>
      </c>
      <c r="Q43" s="593">
        <f ca="1">$E43*(-SUMIF(INDIRECT(Q$3),'Struktur Vorjahr'!$D43,INDIRECT(Q$4))+SUMIF(INDIRECT(Q$3),'Struktur Vorjahr'!$D43,INDIRECT(Q$5)))</f>
        <v>0</v>
      </c>
      <c r="R43" s="593">
        <f ca="1">$E43*(-SUMIF(INDIRECT(R$3),'Struktur Vorjahr'!$D43,INDIRECT(R$4))+SUMIF(INDIRECT(R$3),'Struktur Vorjahr'!$D43,INDIRECT(R$5)))</f>
        <v>0</v>
      </c>
      <c r="S43" s="593">
        <f ca="1">$E43*(-SUMIF(INDIRECT(S$3),'Struktur Vorjahr'!$D43,INDIRECT(S$4))+SUMIF(INDIRECT(S$3),'Struktur Vorjahr'!$D43,INDIRECT(S$5)))</f>
        <v>0</v>
      </c>
      <c r="T43" s="593">
        <f ca="1">$E43*(-SUMIF(INDIRECT(T$3),'Struktur Vorjahr'!$D43,INDIRECT(T$4))+SUMIF(INDIRECT(T$3),'Struktur Vorjahr'!$D43,INDIRECT(T$5)))</f>
        <v>0</v>
      </c>
      <c r="U43" s="593">
        <f ca="1">$E43*(-SUMIF(INDIRECT(U$3),'Struktur Vorjahr'!$D43,INDIRECT(U$4))+SUMIF(INDIRECT(U$3),'Struktur Vorjahr'!$D43,INDIRECT(U$5)))</f>
        <v>0</v>
      </c>
      <c r="V43" s="593">
        <f ca="1">$E43*(-SUMIF(INDIRECT(V$3),'Struktur Vorjahr'!$D43,INDIRECT(V$4))+SUMIF(INDIRECT(V$3),'Struktur Vorjahr'!$D43,INDIRECT(V$5)))</f>
        <v>0</v>
      </c>
      <c r="W43" s="593">
        <f ca="1">$E43*(-SUMIF(INDIRECT(W$3),'Struktur Vorjahr'!$D43,INDIRECT(W$4))+SUMIF(INDIRECT(W$3),'Struktur Vorjahr'!$D43,INDIRECT(W$5)))</f>
        <v>0</v>
      </c>
      <c r="X43" s="593">
        <f ca="1">$E43*(-SUMIF(INDIRECT(X$3),'Struktur Vorjahr'!$D43,INDIRECT(X$4))+SUMIF(INDIRECT(X$3),'Struktur Vorjahr'!$D43,INDIRECT(X$5)))</f>
        <v>0</v>
      </c>
      <c r="Y43" s="593">
        <f ca="1">$E43*(-SUMIF(INDIRECT(Y$3),'Struktur Vorjahr'!$D43,INDIRECT(Y$4))+SUMIF(INDIRECT(Y$3),'Struktur Vorjahr'!$D43,INDIRECT(Y$5)))</f>
        <v>0</v>
      </c>
      <c r="Z43" s="593">
        <f ca="1">$E43*(-SUMIF(INDIRECT(Z$3),'Struktur Vorjahr'!$D43,INDIRECT(Z$4))+SUMIF(INDIRECT(Z$3),'Struktur Vorjahr'!$D43,INDIRECT(Z$5)))</f>
        <v>0</v>
      </c>
      <c r="AA43" s="593">
        <f ca="1">$E43*(-SUMIF(INDIRECT(AA$3),'Struktur Vorjahr'!$D43,INDIRECT(AA$4))+SUMIF(INDIRECT(AA$3),'Struktur Vorjahr'!$D43,INDIRECT(AA$5)))</f>
        <v>0</v>
      </c>
      <c r="AB43" s="593">
        <f ca="1">$E43*(-SUMIF(INDIRECT(AB$3),'Struktur Vorjahr'!$D43,INDIRECT(AB$4))+SUMIF(INDIRECT(AB$3),'Struktur Vorjahr'!$D43,INDIRECT(AB$5)))</f>
        <v>0</v>
      </c>
      <c r="AC43" s="593">
        <f ca="1">$E43*(-SUMIF(INDIRECT(AC$3),'Struktur Vorjahr'!$D43,INDIRECT(AC$4))+SUMIF(INDIRECT(AC$3),'Struktur Vorjahr'!$D43,INDIRECT(AC$5)))</f>
        <v>0</v>
      </c>
      <c r="AD43" s="593">
        <f ca="1">$E43*(-SUMIF(INDIRECT(AD$3),'Struktur Vorjahr'!$D43,INDIRECT(AD$4))+SUMIF(INDIRECT(AD$3),'Struktur Vorjahr'!$D43,INDIRECT(AD$5)))</f>
        <v>0</v>
      </c>
      <c r="AE43" s="593">
        <f t="shared" ca="1" si="24"/>
        <v>0</v>
      </c>
      <c r="AF43" s="593">
        <f t="shared" ca="1" si="25"/>
        <v>0</v>
      </c>
      <c r="AG43" s="593">
        <f t="shared" ca="1" si="25"/>
        <v>0</v>
      </c>
      <c r="AH43" s="593">
        <f t="shared" ca="1" si="25"/>
        <v>0</v>
      </c>
      <c r="AI43" s="593">
        <f t="shared" ca="1" si="25"/>
        <v>0</v>
      </c>
      <c r="AJ43" s="593">
        <f t="shared" ca="1" si="25"/>
        <v>0</v>
      </c>
      <c r="AK43" s="593">
        <f t="shared" ca="1" si="25"/>
        <v>0</v>
      </c>
      <c r="AL43" s="593">
        <f t="shared" ca="1" si="25"/>
        <v>0</v>
      </c>
      <c r="AM43" s="593">
        <f t="shared" ca="1" si="25"/>
        <v>0</v>
      </c>
      <c r="AN43" s="593">
        <f t="shared" ca="1" si="25"/>
        <v>0</v>
      </c>
      <c r="AO43" s="593">
        <f t="shared" ca="1" si="25"/>
        <v>0</v>
      </c>
      <c r="AP43" s="593">
        <f t="shared" ca="1" si="25"/>
        <v>0</v>
      </c>
    </row>
    <row r="44" spans="1:42" s="594" customFormat="1" ht="11.25" outlineLevel="1" x14ac:dyDescent="0.2">
      <c r="A44" s="590"/>
      <c r="B44" s="591" t="str">
        <f>IF(D44&lt;&gt;"",
IF(ISERROR(MATCH(D44,'Ist Vorjahr Monat 01'!A:A,0))=FALSE,INDEX('Ist Vorjahr Monat 01'!B:B,MATCH(D44,'Ist Vorjahr Monat 01'!A:A,0)),
IF(ISERROR(MATCH(D44,'Ist Vorjahr Monat 02'!A:A,0))=FALSE,INDEX('Ist Vorjahr Monat 02'!B:B,MATCH(D44,'Ist Vorjahr Monat 02'!A:A,0)),
IF(ISERROR(MATCH(D44,'Ist Vorjahr Monat 03'!A:A,0))=FALSE,INDEX('Ist Vorjahr Monat 03'!B:B,MATCH(D44,'Ist Vorjahr Monat 03'!A:A,0)),
IF(ISERROR(MATCH(D44,'Ist Vorjahr Monat 04'!A:A,0))=FALSE,INDEX('Ist Vorjahr Monat 04'!B:B,MATCH(D44,'Ist Vorjahr Monat 04'!A:A,0)),
IF(ISERROR(MATCH(D44,'Ist Vorjahr Monat 05'!A:A,0))=FALSE,INDEX('Ist Vorjahr Monat 05'!B:B,MATCH(D44,'Ist Vorjahr Monat 05'!A:A,0)),
IF(ISERROR(MATCH(D44,'Ist Vorjahr Monat 06'!A:A,0))=FALSE,INDEX('Ist Vorjahr Monat 06'!B:B,MATCH(D44,'Ist Vorjahr Monat 06'!A:A,0)),
IF(ISERROR(MATCH(D44,'Ist Vorjahr Monat 07'!A:A,0))=FALSE,INDEX('Ist Vorjahr Monat 07'!B:B,MATCH(D44,'Ist Vorjahr Monat 07'!A:A,0)),
IF(ISERROR(MATCH(D44,'Ist Vorjahr Monat 08'!A:A,0))=FALSE,INDEX('Ist Vorjahr Monat 08'!B:B,MATCH(D44,'Ist Vorjahr Monat 08'!A:A,0)),
IF(ISERROR(MATCH(D44,'Ist Vorjahr Monat 09'!A:A,0))=FALSE,INDEX('Ist Vorjahr Monat 09'!B:B,MATCH(D44,'Ist Vorjahr Monat 09'!A:A,0)),
IF(ISERROR(MATCH(D44,'Ist Vorjahr Monat 10'!A:A,0))=FALSE,INDEX('Ist Vorjahr Monat 10'!B:B,MATCH(D44,'Ist Vorjahr Monat 10'!A:A,0)),
IF(ISERROR(MATCH(D44,'Ist Vorjahr Monat 11'!A:A,0))=FALSE,INDEX('Ist Vorjahr Monat 11'!B:B,MATCH(D44,'Ist Vorjahr Monat 11'!A:A,0)),
IF(ISERROR(MATCH(D44,'Ist Vorjahr Monat 12'!A:A,0))=FALSE,INDEX('Ist Vorjahr Monat 12'!B:B,MATCH(D44,'Ist Vorjahr Monat 12'!A:A,0)),
"{Konto unbekannt}"
)))))))))))),"")</f>
        <v/>
      </c>
      <c r="C44" s="591"/>
      <c r="D44" s="590"/>
      <c r="E44" s="592">
        <f t="shared" si="19"/>
        <v>-1</v>
      </c>
      <c r="F44" s="590" t="s">
        <v>996</v>
      </c>
      <c r="G44" s="593">
        <f ca="1">$E44*(-SUMIF(INDIRECT(G$3),'Struktur Vorjahr'!$D44,INDIRECT(G$4))+SUMIF(INDIRECT(G$3),'Struktur Vorjahr'!$D44,INDIRECT(G$5)))</f>
        <v>0</v>
      </c>
      <c r="H44" s="593">
        <f ca="1">$E44*(-SUMIF(INDIRECT(H$3),'Struktur Vorjahr'!$D44,INDIRECT(H$4))+SUMIF(INDIRECT(H$3),'Struktur Vorjahr'!$D44,INDIRECT(H$5)))</f>
        <v>0</v>
      </c>
      <c r="I44" s="593">
        <f ca="1">$E44*(-SUMIF(INDIRECT(I$3),'Struktur Vorjahr'!$D44,INDIRECT(I$4))+SUMIF(INDIRECT(I$3),'Struktur Vorjahr'!$D44,INDIRECT(I$5)))</f>
        <v>0</v>
      </c>
      <c r="J44" s="593">
        <f ca="1">$E44*(-SUMIF(INDIRECT(J$3),'Struktur Vorjahr'!$D44,INDIRECT(J$4))+SUMIF(INDIRECT(J$3),'Struktur Vorjahr'!$D44,INDIRECT(J$5)))</f>
        <v>0</v>
      </c>
      <c r="K44" s="593">
        <f ca="1">$E44*(-SUMIF(INDIRECT(K$3),'Struktur Vorjahr'!$D44,INDIRECT(K$4))+SUMIF(INDIRECT(K$3),'Struktur Vorjahr'!$D44,INDIRECT(K$5)))</f>
        <v>0</v>
      </c>
      <c r="L44" s="593">
        <f ca="1">$E44*(-SUMIF(INDIRECT(L$3),'Struktur Vorjahr'!$D44,INDIRECT(L$4))+SUMIF(INDIRECT(L$3),'Struktur Vorjahr'!$D44,INDIRECT(L$5)))</f>
        <v>0</v>
      </c>
      <c r="M44" s="593">
        <f ca="1">$E44*(-SUMIF(INDIRECT(M$3),'Struktur Vorjahr'!$D44,INDIRECT(M$4))+SUMIF(INDIRECT(M$3),'Struktur Vorjahr'!$D44,INDIRECT(M$5)))</f>
        <v>0</v>
      </c>
      <c r="N44" s="593">
        <f ca="1">$E44*(-SUMIF(INDIRECT(N$3),'Struktur Vorjahr'!$D44,INDIRECT(N$4))+SUMIF(INDIRECT(N$3),'Struktur Vorjahr'!$D44,INDIRECT(N$5)))</f>
        <v>0</v>
      </c>
      <c r="O44" s="593">
        <f ca="1">$E44*(-SUMIF(INDIRECT(O$3),'Struktur Vorjahr'!$D44,INDIRECT(O$4))+SUMIF(INDIRECT(O$3),'Struktur Vorjahr'!$D44,INDIRECT(O$5)))</f>
        <v>0</v>
      </c>
      <c r="P44" s="593">
        <f ca="1">$E44*(-SUMIF(INDIRECT(P$3),'Struktur Vorjahr'!$D44,INDIRECT(P$4))+SUMIF(INDIRECT(P$3),'Struktur Vorjahr'!$D44,INDIRECT(P$5)))</f>
        <v>0</v>
      </c>
      <c r="Q44" s="593">
        <f ca="1">$E44*(-SUMIF(INDIRECT(Q$3),'Struktur Vorjahr'!$D44,INDIRECT(Q$4))+SUMIF(INDIRECT(Q$3),'Struktur Vorjahr'!$D44,INDIRECT(Q$5)))</f>
        <v>0</v>
      </c>
      <c r="R44" s="593">
        <f ca="1">$E44*(-SUMIF(INDIRECT(R$3),'Struktur Vorjahr'!$D44,INDIRECT(R$4))+SUMIF(INDIRECT(R$3),'Struktur Vorjahr'!$D44,INDIRECT(R$5)))</f>
        <v>0</v>
      </c>
      <c r="S44" s="593">
        <f ca="1">$E44*(-SUMIF(INDIRECT(S$3),'Struktur Vorjahr'!$D44,INDIRECT(S$4))+SUMIF(INDIRECT(S$3),'Struktur Vorjahr'!$D44,INDIRECT(S$5)))</f>
        <v>0</v>
      </c>
      <c r="T44" s="593">
        <f ca="1">$E44*(-SUMIF(INDIRECT(T$3),'Struktur Vorjahr'!$D44,INDIRECT(T$4))+SUMIF(INDIRECT(T$3),'Struktur Vorjahr'!$D44,INDIRECT(T$5)))</f>
        <v>0</v>
      </c>
      <c r="U44" s="593">
        <f ca="1">$E44*(-SUMIF(INDIRECT(U$3),'Struktur Vorjahr'!$D44,INDIRECT(U$4))+SUMIF(INDIRECT(U$3),'Struktur Vorjahr'!$D44,INDIRECT(U$5)))</f>
        <v>0</v>
      </c>
      <c r="V44" s="593">
        <f ca="1">$E44*(-SUMIF(INDIRECT(V$3),'Struktur Vorjahr'!$D44,INDIRECT(V$4))+SUMIF(INDIRECT(V$3),'Struktur Vorjahr'!$D44,INDIRECT(V$5)))</f>
        <v>0</v>
      </c>
      <c r="W44" s="593">
        <f ca="1">$E44*(-SUMIF(INDIRECT(W$3),'Struktur Vorjahr'!$D44,INDIRECT(W$4))+SUMIF(INDIRECT(W$3),'Struktur Vorjahr'!$D44,INDIRECT(W$5)))</f>
        <v>0</v>
      </c>
      <c r="X44" s="593">
        <f ca="1">$E44*(-SUMIF(INDIRECT(X$3),'Struktur Vorjahr'!$D44,INDIRECT(X$4))+SUMIF(INDIRECT(X$3),'Struktur Vorjahr'!$D44,INDIRECT(X$5)))</f>
        <v>0</v>
      </c>
      <c r="Y44" s="593">
        <f ca="1">$E44*(-SUMIF(INDIRECT(Y$3),'Struktur Vorjahr'!$D44,INDIRECT(Y$4))+SUMIF(INDIRECT(Y$3),'Struktur Vorjahr'!$D44,INDIRECT(Y$5)))</f>
        <v>0</v>
      </c>
      <c r="Z44" s="593">
        <f ca="1">$E44*(-SUMIF(INDIRECT(Z$3),'Struktur Vorjahr'!$D44,INDIRECT(Z$4))+SUMIF(INDIRECT(Z$3),'Struktur Vorjahr'!$D44,INDIRECT(Z$5)))</f>
        <v>0</v>
      </c>
      <c r="AA44" s="593">
        <f ca="1">$E44*(-SUMIF(INDIRECT(AA$3),'Struktur Vorjahr'!$D44,INDIRECT(AA$4))+SUMIF(INDIRECT(AA$3),'Struktur Vorjahr'!$D44,INDIRECT(AA$5)))</f>
        <v>0</v>
      </c>
      <c r="AB44" s="593">
        <f ca="1">$E44*(-SUMIF(INDIRECT(AB$3),'Struktur Vorjahr'!$D44,INDIRECT(AB$4))+SUMIF(INDIRECT(AB$3),'Struktur Vorjahr'!$D44,INDIRECT(AB$5)))</f>
        <v>0</v>
      </c>
      <c r="AC44" s="593">
        <f ca="1">$E44*(-SUMIF(INDIRECT(AC$3),'Struktur Vorjahr'!$D44,INDIRECT(AC$4))+SUMIF(INDIRECT(AC$3),'Struktur Vorjahr'!$D44,INDIRECT(AC$5)))</f>
        <v>0</v>
      </c>
      <c r="AD44" s="593">
        <f ca="1">$E44*(-SUMIF(INDIRECT(AD$3),'Struktur Vorjahr'!$D44,INDIRECT(AD$4))+SUMIF(INDIRECT(AD$3),'Struktur Vorjahr'!$D44,INDIRECT(AD$5)))</f>
        <v>0</v>
      </c>
      <c r="AE44" s="593">
        <f t="shared" ca="1" si="24"/>
        <v>0</v>
      </c>
      <c r="AF44" s="593">
        <f t="shared" ca="1" si="25"/>
        <v>0</v>
      </c>
      <c r="AG44" s="593">
        <f t="shared" ca="1" si="25"/>
        <v>0</v>
      </c>
      <c r="AH44" s="593">
        <f t="shared" ca="1" si="25"/>
        <v>0</v>
      </c>
      <c r="AI44" s="593">
        <f t="shared" ca="1" si="25"/>
        <v>0</v>
      </c>
      <c r="AJ44" s="593">
        <f t="shared" ca="1" si="25"/>
        <v>0</v>
      </c>
      <c r="AK44" s="593">
        <f t="shared" ca="1" si="25"/>
        <v>0</v>
      </c>
      <c r="AL44" s="593">
        <f t="shared" ca="1" si="25"/>
        <v>0</v>
      </c>
      <c r="AM44" s="593">
        <f t="shared" ca="1" si="25"/>
        <v>0</v>
      </c>
      <c r="AN44" s="593">
        <f t="shared" ca="1" si="25"/>
        <v>0</v>
      </c>
      <c r="AO44" s="593">
        <f t="shared" ca="1" si="25"/>
        <v>0</v>
      </c>
      <c r="AP44" s="593">
        <f t="shared" ca="1" si="25"/>
        <v>0</v>
      </c>
    </row>
    <row r="45" spans="1:42" s="594" customFormat="1" ht="11.25" outlineLevel="1" x14ac:dyDescent="0.2">
      <c r="A45" s="590"/>
      <c r="B45" s="591" t="str">
        <f>IF(D45&lt;&gt;"",
IF(ISERROR(MATCH(D45,'Ist Vorjahr Monat 01'!A:A,0))=FALSE,INDEX('Ist Vorjahr Monat 01'!B:B,MATCH(D45,'Ist Vorjahr Monat 01'!A:A,0)),
IF(ISERROR(MATCH(D45,'Ist Vorjahr Monat 02'!A:A,0))=FALSE,INDEX('Ist Vorjahr Monat 02'!B:B,MATCH(D45,'Ist Vorjahr Monat 02'!A:A,0)),
IF(ISERROR(MATCH(D45,'Ist Vorjahr Monat 03'!A:A,0))=FALSE,INDEX('Ist Vorjahr Monat 03'!B:B,MATCH(D45,'Ist Vorjahr Monat 03'!A:A,0)),
IF(ISERROR(MATCH(D45,'Ist Vorjahr Monat 04'!A:A,0))=FALSE,INDEX('Ist Vorjahr Monat 04'!B:B,MATCH(D45,'Ist Vorjahr Monat 04'!A:A,0)),
IF(ISERROR(MATCH(D45,'Ist Vorjahr Monat 05'!A:A,0))=FALSE,INDEX('Ist Vorjahr Monat 05'!B:B,MATCH(D45,'Ist Vorjahr Monat 05'!A:A,0)),
IF(ISERROR(MATCH(D45,'Ist Vorjahr Monat 06'!A:A,0))=FALSE,INDEX('Ist Vorjahr Monat 06'!B:B,MATCH(D45,'Ist Vorjahr Monat 06'!A:A,0)),
IF(ISERROR(MATCH(D45,'Ist Vorjahr Monat 07'!A:A,0))=FALSE,INDEX('Ist Vorjahr Monat 07'!B:B,MATCH(D45,'Ist Vorjahr Monat 07'!A:A,0)),
IF(ISERROR(MATCH(D45,'Ist Vorjahr Monat 08'!A:A,0))=FALSE,INDEX('Ist Vorjahr Monat 08'!B:B,MATCH(D45,'Ist Vorjahr Monat 08'!A:A,0)),
IF(ISERROR(MATCH(D45,'Ist Vorjahr Monat 09'!A:A,0))=FALSE,INDEX('Ist Vorjahr Monat 09'!B:B,MATCH(D45,'Ist Vorjahr Monat 09'!A:A,0)),
IF(ISERROR(MATCH(D45,'Ist Vorjahr Monat 10'!A:A,0))=FALSE,INDEX('Ist Vorjahr Monat 10'!B:B,MATCH(D45,'Ist Vorjahr Monat 10'!A:A,0)),
IF(ISERROR(MATCH(D45,'Ist Vorjahr Monat 11'!A:A,0))=FALSE,INDEX('Ist Vorjahr Monat 11'!B:B,MATCH(D45,'Ist Vorjahr Monat 11'!A:A,0)),
IF(ISERROR(MATCH(D45,'Ist Vorjahr Monat 12'!A:A,0))=FALSE,INDEX('Ist Vorjahr Monat 12'!B:B,MATCH(D45,'Ist Vorjahr Monat 12'!A:A,0)),
"{Konto unbekannt}"
)))))))))))),"")</f>
        <v/>
      </c>
      <c r="C45" s="591"/>
      <c r="D45" s="590"/>
      <c r="E45" s="592">
        <f t="shared" si="19"/>
        <v>-1</v>
      </c>
      <c r="F45" s="590" t="s">
        <v>996</v>
      </c>
      <c r="G45" s="593">
        <f ca="1">$E45*(-SUMIF(INDIRECT(G$3),'Struktur Vorjahr'!$D45,INDIRECT(G$4))+SUMIF(INDIRECT(G$3),'Struktur Vorjahr'!$D45,INDIRECT(G$5)))</f>
        <v>0</v>
      </c>
      <c r="H45" s="593">
        <f ca="1">$E45*(-SUMIF(INDIRECT(H$3),'Struktur Vorjahr'!$D45,INDIRECT(H$4))+SUMIF(INDIRECT(H$3),'Struktur Vorjahr'!$D45,INDIRECT(H$5)))</f>
        <v>0</v>
      </c>
      <c r="I45" s="593">
        <f ca="1">$E45*(-SUMIF(INDIRECT(I$3),'Struktur Vorjahr'!$D45,INDIRECT(I$4))+SUMIF(INDIRECT(I$3),'Struktur Vorjahr'!$D45,INDIRECT(I$5)))</f>
        <v>0</v>
      </c>
      <c r="J45" s="593">
        <f ca="1">$E45*(-SUMIF(INDIRECT(J$3),'Struktur Vorjahr'!$D45,INDIRECT(J$4))+SUMIF(INDIRECT(J$3),'Struktur Vorjahr'!$D45,INDIRECT(J$5)))</f>
        <v>0</v>
      </c>
      <c r="K45" s="593">
        <f ca="1">$E45*(-SUMIF(INDIRECT(K$3),'Struktur Vorjahr'!$D45,INDIRECT(K$4))+SUMIF(INDIRECT(K$3),'Struktur Vorjahr'!$D45,INDIRECT(K$5)))</f>
        <v>0</v>
      </c>
      <c r="L45" s="593">
        <f ca="1">$E45*(-SUMIF(INDIRECT(L$3),'Struktur Vorjahr'!$D45,INDIRECT(L$4))+SUMIF(INDIRECT(L$3),'Struktur Vorjahr'!$D45,INDIRECT(L$5)))</f>
        <v>0</v>
      </c>
      <c r="M45" s="593">
        <f ca="1">$E45*(-SUMIF(INDIRECT(M$3),'Struktur Vorjahr'!$D45,INDIRECT(M$4))+SUMIF(INDIRECT(M$3),'Struktur Vorjahr'!$D45,INDIRECT(M$5)))</f>
        <v>0</v>
      </c>
      <c r="N45" s="593">
        <f ca="1">$E45*(-SUMIF(INDIRECT(N$3),'Struktur Vorjahr'!$D45,INDIRECT(N$4))+SUMIF(INDIRECT(N$3),'Struktur Vorjahr'!$D45,INDIRECT(N$5)))</f>
        <v>0</v>
      </c>
      <c r="O45" s="593">
        <f ca="1">$E45*(-SUMIF(INDIRECT(O$3),'Struktur Vorjahr'!$D45,INDIRECT(O$4))+SUMIF(INDIRECT(O$3),'Struktur Vorjahr'!$D45,INDIRECT(O$5)))</f>
        <v>0</v>
      </c>
      <c r="P45" s="593">
        <f ca="1">$E45*(-SUMIF(INDIRECT(P$3),'Struktur Vorjahr'!$D45,INDIRECT(P$4))+SUMIF(INDIRECT(P$3),'Struktur Vorjahr'!$D45,INDIRECT(P$5)))</f>
        <v>0</v>
      </c>
      <c r="Q45" s="593">
        <f ca="1">$E45*(-SUMIF(INDIRECT(Q$3),'Struktur Vorjahr'!$D45,INDIRECT(Q$4))+SUMIF(INDIRECT(Q$3),'Struktur Vorjahr'!$D45,INDIRECT(Q$5)))</f>
        <v>0</v>
      </c>
      <c r="R45" s="593">
        <f ca="1">$E45*(-SUMIF(INDIRECT(R$3),'Struktur Vorjahr'!$D45,INDIRECT(R$4))+SUMIF(INDIRECT(R$3),'Struktur Vorjahr'!$D45,INDIRECT(R$5)))</f>
        <v>0</v>
      </c>
      <c r="S45" s="593">
        <f ca="1">$E45*(-SUMIF(INDIRECT(S$3),'Struktur Vorjahr'!$D45,INDIRECT(S$4))+SUMIF(INDIRECT(S$3),'Struktur Vorjahr'!$D45,INDIRECT(S$5)))</f>
        <v>0</v>
      </c>
      <c r="T45" s="593">
        <f ca="1">$E45*(-SUMIF(INDIRECT(T$3),'Struktur Vorjahr'!$D45,INDIRECT(T$4))+SUMIF(INDIRECT(T$3),'Struktur Vorjahr'!$D45,INDIRECT(T$5)))</f>
        <v>0</v>
      </c>
      <c r="U45" s="593">
        <f ca="1">$E45*(-SUMIF(INDIRECT(U$3),'Struktur Vorjahr'!$D45,INDIRECT(U$4))+SUMIF(INDIRECT(U$3),'Struktur Vorjahr'!$D45,INDIRECT(U$5)))</f>
        <v>0</v>
      </c>
      <c r="V45" s="593">
        <f ca="1">$E45*(-SUMIF(INDIRECT(V$3),'Struktur Vorjahr'!$D45,INDIRECT(V$4))+SUMIF(INDIRECT(V$3),'Struktur Vorjahr'!$D45,INDIRECT(V$5)))</f>
        <v>0</v>
      </c>
      <c r="W45" s="593">
        <f ca="1">$E45*(-SUMIF(INDIRECT(W$3),'Struktur Vorjahr'!$D45,INDIRECT(W$4))+SUMIF(INDIRECT(W$3),'Struktur Vorjahr'!$D45,INDIRECT(W$5)))</f>
        <v>0</v>
      </c>
      <c r="X45" s="593">
        <f ca="1">$E45*(-SUMIF(INDIRECT(X$3),'Struktur Vorjahr'!$D45,INDIRECT(X$4))+SUMIF(INDIRECT(X$3),'Struktur Vorjahr'!$D45,INDIRECT(X$5)))</f>
        <v>0</v>
      </c>
      <c r="Y45" s="593">
        <f ca="1">$E45*(-SUMIF(INDIRECT(Y$3),'Struktur Vorjahr'!$D45,INDIRECT(Y$4))+SUMIF(INDIRECT(Y$3),'Struktur Vorjahr'!$D45,INDIRECT(Y$5)))</f>
        <v>0</v>
      </c>
      <c r="Z45" s="593">
        <f ca="1">$E45*(-SUMIF(INDIRECT(Z$3),'Struktur Vorjahr'!$D45,INDIRECT(Z$4))+SUMIF(INDIRECT(Z$3),'Struktur Vorjahr'!$D45,INDIRECT(Z$5)))</f>
        <v>0</v>
      </c>
      <c r="AA45" s="593">
        <f ca="1">$E45*(-SUMIF(INDIRECT(AA$3),'Struktur Vorjahr'!$D45,INDIRECT(AA$4))+SUMIF(INDIRECT(AA$3),'Struktur Vorjahr'!$D45,INDIRECT(AA$5)))</f>
        <v>0</v>
      </c>
      <c r="AB45" s="593">
        <f ca="1">$E45*(-SUMIF(INDIRECT(AB$3),'Struktur Vorjahr'!$D45,INDIRECT(AB$4))+SUMIF(INDIRECT(AB$3),'Struktur Vorjahr'!$D45,INDIRECT(AB$5)))</f>
        <v>0</v>
      </c>
      <c r="AC45" s="593">
        <f ca="1">$E45*(-SUMIF(INDIRECT(AC$3),'Struktur Vorjahr'!$D45,INDIRECT(AC$4))+SUMIF(INDIRECT(AC$3),'Struktur Vorjahr'!$D45,INDIRECT(AC$5)))</f>
        <v>0</v>
      </c>
      <c r="AD45" s="593">
        <f ca="1">$E45*(-SUMIF(INDIRECT(AD$3),'Struktur Vorjahr'!$D45,INDIRECT(AD$4))+SUMIF(INDIRECT(AD$3),'Struktur Vorjahr'!$D45,INDIRECT(AD$5)))</f>
        <v>0</v>
      </c>
      <c r="AE45" s="593">
        <f t="shared" ca="1" si="24"/>
        <v>0</v>
      </c>
      <c r="AF45" s="593">
        <f t="shared" ca="1" si="25"/>
        <v>0</v>
      </c>
      <c r="AG45" s="593">
        <f t="shared" ca="1" si="25"/>
        <v>0</v>
      </c>
      <c r="AH45" s="593">
        <f t="shared" ca="1" si="25"/>
        <v>0</v>
      </c>
      <c r="AI45" s="593">
        <f t="shared" ca="1" si="25"/>
        <v>0</v>
      </c>
      <c r="AJ45" s="593">
        <f t="shared" ca="1" si="25"/>
        <v>0</v>
      </c>
      <c r="AK45" s="593">
        <f t="shared" ca="1" si="25"/>
        <v>0</v>
      </c>
      <c r="AL45" s="593">
        <f t="shared" ca="1" si="25"/>
        <v>0</v>
      </c>
      <c r="AM45" s="593">
        <f t="shared" ca="1" si="25"/>
        <v>0</v>
      </c>
      <c r="AN45" s="593">
        <f t="shared" ca="1" si="25"/>
        <v>0</v>
      </c>
      <c r="AO45" s="593">
        <f t="shared" ca="1" si="25"/>
        <v>0</v>
      </c>
      <c r="AP45" s="593">
        <f t="shared" ca="1" si="25"/>
        <v>0</v>
      </c>
    </row>
    <row r="46" spans="1:42" s="589" customFormat="1" x14ac:dyDescent="0.2">
      <c r="A46" s="595"/>
      <c r="B46" s="596" t="s">
        <v>366</v>
      </c>
      <c r="C46" s="597">
        <f ca="1">SUM(G46:R46)</f>
        <v>176505.38</v>
      </c>
      <c r="D46" s="597"/>
      <c r="E46" s="598">
        <f t="shared" si="19"/>
        <v>1</v>
      </c>
      <c r="F46" s="595"/>
      <c r="G46" s="597">
        <f ca="1">G9+G26+G35</f>
        <v>10751.77</v>
      </c>
      <c r="H46" s="597">
        <f t="shared" ref="H46:R46" ca="1" si="26">H9+H26+H35</f>
        <v>12178.650000000001</v>
      </c>
      <c r="I46" s="597">
        <f t="shared" ca="1" si="26"/>
        <v>6981.5300000000007</v>
      </c>
      <c r="J46" s="597">
        <f t="shared" ca="1" si="26"/>
        <v>13432.21</v>
      </c>
      <c r="K46" s="597">
        <f t="shared" ca="1" si="26"/>
        <v>7765.1100000000006</v>
      </c>
      <c r="L46" s="597">
        <f t="shared" ca="1" si="26"/>
        <v>11085.01</v>
      </c>
      <c r="M46" s="597">
        <f t="shared" ca="1" si="26"/>
        <v>50778.380000000005</v>
      </c>
      <c r="N46" s="597">
        <f t="shared" ca="1" si="26"/>
        <v>20043.71</v>
      </c>
      <c r="O46" s="597">
        <f t="shared" ca="1" si="26"/>
        <v>10928.890000000001</v>
      </c>
      <c r="P46" s="597">
        <f t="shared" ca="1" si="26"/>
        <v>32560.12</v>
      </c>
      <c r="Q46" s="597">
        <f t="shared" ca="1" si="26"/>
        <v>0</v>
      </c>
      <c r="R46" s="597">
        <f t="shared" ca="1" si="26"/>
        <v>0</v>
      </c>
      <c r="S46" s="597">
        <f ca="1">S9+S26+S35</f>
        <v>10751.77</v>
      </c>
      <c r="T46" s="597">
        <f t="shared" ref="T46:AD46" ca="1" si="27">T9+T26+T35</f>
        <v>22930.42</v>
      </c>
      <c r="U46" s="597">
        <f t="shared" ca="1" si="27"/>
        <v>29911.949999999997</v>
      </c>
      <c r="V46" s="597">
        <f t="shared" ca="1" si="27"/>
        <v>43344.159999999996</v>
      </c>
      <c r="W46" s="597">
        <f t="shared" ca="1" si="27"/>
        <v>51109.27</v>
      </c>
      <c r="X46" s="597">
        <f t="shared" ca="1" si="27"/>
        <v>62194.280000000006</v>
      </c>
      <c r="Y46" s="597">
        <f t="shared" ca="1" si="27"/>
        <v>112972.66</v>
      </c>
      <c r="Z46" s="597">
        <f t="shared" ca="1" si="27"/>
        <v>133016.37000000002</v>
      </c>
      <c r="AA46" s="597">
        <f t="shared" ca="1" si="27"/>
        <v>143945.26</v>
      </c>
      <c r="AB46" s="597">
        <f t="shared" ca="1" si="27"/>
        <v>176505.38</v>
      </c>
      <c r="AC46" s="597">
        <f t="shared" ca="1" si="27"/>
        <v>0</v>
      </c>
      <c r="AD46" s="597">
        <f t="shared" ca="1" si="27"/>
        <v>0</v>
      </c>
      <c r="AE46" s="597">
        <f ca="1">AE9+AE26+AE35</f>
        <v>10751.77</v>
      </c>
      <c r="AF46" s="597">
        <f t="shared" ref="AF46:AP46" ca="1" si="28">AF9+AF26+AF35</f>
        <v>22930.42</v>
      </c>
      <c r="AG46" s="597">
        <f t="shared" ca="1" si="28"/>
        <v>29911.949999999997</v>
      </c>
      <c r="AH46" s="597">
        <f t="shared" ca="1" si="28"/>
        <v>43344.159999999996</v>
      </c>
      <c r="AI46" s="597">
        <f t="shared" ca="1" si="28"/>
        <v>51109.27</v>
      </c>
      <c r="AJ46" s="597">
        <f t="shared" ca="1" si="28"/>
        <v>62194.280000000006</v>
      </c>
      <c r="AK46" s="597">
        <f t="shared" ca="1" si="28"/>
        <v>112972.66</v>
      </c>
      <c r="AL46" s="597">
        <f t="shared" ca="1" si="28"/>
        <v>133016.37000000002</v>
      </c>
      <c r="AM46" s="597">
        <f t="shared" ca="1" si="28"/>
        <v>143945.26</v>
      </c>
      <c r="AN46" s="597">
        <f t="shared" ca="1" si="28"/>
        <v>176505.38000000006</v>
      </c>
      <c r="AO46" s="597">
        <f t="shared" ca="1" si="28"/>
        <v>176505.38000000006</v>
      </c>
      <c r="AP46" s="597">
        <f t="shared" ca="1" si="28"/>
        <v>176505.38000000006</v>
      </c>
    </row>
    <row r="47" spans="1:42" s="589" customFormat="1" x14ac:dyDescent="0.2">
      <c r="A47" s="585">
        <v>4</v>
      </c>
      <c r="B47" s="586" t="s">
        <v>999</v>
      </c>
      <c r="C47" s="587">
        <f ca="1">SUM(G47:R47)</f>
        <v>0</v>
      </c>
      <c r="D47" s="587"/>
      <c r="E47" s="588">
        <f t="shared" si="19"/>
        <v>1</v>
      </c>
      <c r="F47" s="585"/>
      <c r="G47" s="587">
        <f ca="1">SUM(G48:G61)</f>
        <v>0</v>
      </c>
      <c r="H47" s="587">
        <f t="shared" ref="H47:R47" ca="1" si="29">SUM(H48:H61)</f>
        <v>0</v>
      </c>
      <c r="I47" s="587">
        <f t="shared" ca="1" si="29"/>
        <v>0</v>
      </c>
      <c r="J47" s="587">
        <f t="shared" ca="1" si="29"/>
        <v>0</v>
      </c>
      <c r="K47" s="587">
        <f t="shared" ca="1" si="29"/>
        <v>0</v>
      </c>
      <c r="L47" s="587">
        <f t="shared" ca="1" si="29"/>
        <v>0</v>
      </c>
      <c r="M47" s="587">
        <f t="shared" ca="1" si="29"/>
        <v>0</v>
      </c>
      <c r="N47" s="587">
        <f t="shared" ca="1" si="29"/>
        <v>0</v>
      </c>
      <c r="O47" s="587">
        <f t="shared" ca="1" si="29"/>
        <v>0</v>
      </c>
      <c r="P47" s="587">
        <f t="shared" ca="1" si="29"/>
        <v>0</v>
      </c>
      <c r="Q47" s="587">
        <f t="shared" ca="1" si="29"/>
        <v>0</v>
      </c>
      <c r="R47" s="587">
        <f t="shared" ca="1" si="29"/>
        <v>0</v>
      </c>
      <c r="S47" s="587">
        <f ca="1">SUM(S48:S61)</f>
        <v>0</v>
      </c>
      <c r="T47" s="587">
        <f t="shared" ref="T47:AD47" ca="1" si="30">SUM(T48:T61)</f>
        <v>0</v>
      </c>
      <c r="U47" s="587">
        <f t="shared" ca="1" si="30"/>
        <v>0</v>
      </c>
      <c r="V47" s="587">
        <f t="shared" ca="1" si="30"/>
        <v>0</v>
      </c>
      <c r="W47" s="587">
        <f t="shared" ca="1" si="30"/>
        <v>0</v>
      </c>
      <c r="X47" s="587">
        <f t="shared" ca="1" si="30"/>
        <v>0</v>
      </c>
      <c r="Y47" s="587">
        <f t="shared" ca="1" si="30"/>
        <v>0</v>
      </c>
      <c r="Z47" s="587">
        <f t="shared" ca="1" si="30"/>
        <v>0</v>
      </c>
      <c r="AA47" s="587">
        <f t="shared" ca="1" si="30"/>
        <v>0</v>
      </c>
      <c r="AB47" s="587">
        <f t="shared" ca="1" si="30"/>
        <v>0</v>
      </c>
      <c r="AC47" s="587">
        <f t="shared" ca="1" si="30"/>
        <v>0</v>
      </c>
      <c r="AD47" s="587">
        <f t="shared" ca="1" si="30"/>
        <v>0</v>
      </c>
      <c r="AE47" s="587">
        <f ca="1">SUM(AE48:AE61)</f>
        <v>0</v>
      </c>
      <c r="AF47" s="587">
        <f t="shared" ref="AF47:AP47" ca="1" si="31">SUM(AF48:AF61)</f>
        <v>0</v>
      </c>
      <c r="AG47" s="587">
        <f t="shared" ca="1" si="31"/>
        <v>0</v>
      </c>
      <c r="AH47" s="587">
        <f t="shared" ca="1" si="31"/>
        <v>0</v>
      </c>
      <c r="AI47" s="587">
        <f t="shared" ca="1" si="31"/>
        <v>0</v>
      </c>
      <c r="AJ47" s="587">
        <f t="shared" ca="1" si="31"/>
        <v>0</v>
      </c>
      <c r="AK47" s="587">
        <f t="shared" ca="1" si="31"/>
        <v>0</v>
      </c>
      <c r="AL47" s="587">
        <f t="shared" ca="1" si="31"/>
        <v>0</v>
      </c>
      <c r="AM47" s="587">
        <f t="shared" ca="1" si="31"/>
        <v>0</v>
      </c>
      <c r="AN47" s="587">
        <f t="shared" ca="1" si="31"/>
        <v>0</v>
      </c>
      <c r="AO47" s="587">
        <f t="shared" ca="1" si="31"/>
        <v>0</v>
      </c>
      <c r="AP47" s="587">
        <f t="shared" ca="1" si="31"/>
        <v>0</v>
      </c>
    </row>
    <row r="48" spans="1:42" s="594" customFormat="1" ht="11.25" outlineLevel="1" x14ac:dyDescent="0.2">
      <c r="A48" s="599"/>
      <c r="B48" s="591" t="str">
        <f>IF(D48&lt;&gt;"",
IF(ISERROR(MATCH(D48,'Ist Vorjahr Monat 01'!A:A,0))=FALSE,INDEX('Ist Vorjahr Monat 01'!B:B,MATCH(D48,'Ist Vorjahr Monat 01'!A:A,0)),
IF(ISERROR(MATCH(D48,'Ist Vorjahr Monat 02'!A:A,0))=FALSE,INDEX('Ist Vorjahr Monat 02'!B:B,MATCH(D48,'Ist Vorjahr Monat 02'!A:A,0)),
IF(ISERROR(MATCH(D48,'Ist Vorjahr Monat 03'!A:A,0))=FALSE,INDEX('Ist Vorjahr Monat 03'!B:B,MATCH(D48,'Ist Vorjahr Monat 03'!A:A,0)),
IF(ISERROR(MATCH(D48,'Ist Vorjahr Monat 04'!A:A,0))=FALSE,INDEX('Ist Vorjahr Monat 04'!B:B,MATCH(D48,'Ist Vorjahr Monat 04'!A:A,0)),
IF(ISERROR(MATCH(D48,'Ist Vorjahr Monat 05'!A:A,0))=FALSE,INDEX('Ist Vorjahr Monat 05'!B:B,MATCH(D48,'Ist Vorjahr Monat 05'!A:A,0)),
IF(ISERROR(MATCH(D48,'Ist Vorjahr Monat 06'!A:A,0))=FALSE,INDEX('Ist Vorjahr Monat 06'!B:B,MATCH(D48,'Ist Vorjahr Monat 06'!A:A,0)),
IF(ISERROR(MATCH(D48,'Ist Vorjahr Monat 07'!A:A,0))=FALSE,INDEX('Ist Vorjahr Monat 07'!B:B,MATCH(D48,'Ist Vorjahr Monat 07'!A:A,0)),
IF(ISERROR(MATCH(D48,'Ist Vorjahr Monat 08'!A:A,0))=FALSE,INDEX('Ist Vorjahr Monat 08'!B:B,MATCH(D48,'Ist Vorjahr Monat 08'!A:A,0)),
IF(ISERROR(MATCH(D48,'Ist Vorjahr Monat 09'!A:A,0))=FALSE,INDEX('Ist Vorjahr Monat 09'!B:B,MATCH(D48,'Ist Vorjahr Monat 09'!A:A,0)),
IF(ISERROR(MATCH(D48,'Ist Vorjahr Monat 10'!A:A,0))=FALSE,INDEX('Ist Vorjahr Monat 10'!B:B,MATCH(D48,'Ist Vorjahr Monat 10'!A:A,0)),
IF(ISERROR(MATCH(D48,'Ist Vorjahr Monat 11'!A:A,0))=FALSE,INDEX('Ist Vorjahr Monat 11'!B:B,MATCH(D48,'Ist Vorjahr Monat 11'!A:A,0)),
IF(ISERROR(MATCH(D48,'Ist Vorjahr Monat 12'!A:A,0))=FALSE,INDEX('Ist Vorjahr Monat 12'!B:B,MATCH(D48,'Ist Vorjahr Monat 12'!A:A,0)),
"{Konto unbekannt}"
)))))))))))),"")</f>
        <v/>
      </c>
      <c r="C48" s="591"/>
      <c r="D48" s="590"/>
      <c r="E48" s="592">
        <f t="shared" si="19"/>
        <v>1</v>
      </c>
      <c r="F48" s="599"/>
      <c r="G48" s="593">
        <f ca="1">$E48*(-SUMIF(INDIRECT(G$3),'Struktur Vorjahr'!$D48,INDIRECT(G$4))+SUMIF(INDIRECT(G$3),'Struktur Vorjahr'!$D48,INDIRECT(G$5)))</f>
        <v>0</v>
      </c>
      <c r="H48" s="593">
        <f ca="1">$E48*(-SUMIF(INDIRECT(H$3),'Struktur Vorjahr'!$D48,INDIRECT(H$4))+SUMIF(INDIRECT(H$3),'Struktur Vorjahr'!$D48,INDIRECT(H$5)))</f>
        <v>0</v>
      </c>
      <c r="I48" s="593">
        <f ca="1">$E48*(-SUMIF(INDIRECT(I$3),'Struktur Vorjahr'!$D48,INDIRECT(I$4))+SUMIF(INDIRECT(I$3),'Struktur Vorjahr'!$D48,INDIRECT(I$5)))</f>
        <v>0</v>
      </c>
      <c r="J48" s="593">
        <f ca="1">$E48*(-SUMIF(INDIRECT(J$3),'Struktur Vorjahr'!$D48,INDIRECT(J$4))+SUMIF(INDIRECT(J$3),'Struktur Vorjahr'!$D48,INDIRECT(J$5)))</f>
        <v>0</v>
      </c>
      <c r="K48" s="593">
        <f ca="1">$E48*(-SUMIF(INDIRECT(K$3),'Struktur Vorjahr'!$D48,INDIRECT(K$4))+SUMIF(INDIRECT(K$3),'Struktur Vorjahr'!$D48,INDIRECT(K$5)))</f>
        <v>0</v>
      </c>
      <c r="L48" s="593">
        <f ca="1">$E48*(-SUMIF(INDIRECT(L$3),'Struktur Vorjahr'!$D48,INDIRECT(L$4))+SUMIF(INDIRECT(L$3),'Struktur Vorjahr'!$D48,INDIRECT(L$5)))</f>
        <v>0</v>
      </c>
      <c r="M48" s="593">
        <f ca="1">$E48*(-SUMIF(INDIRECT(M$3),'Struktur Vorjahr'!$D48,INDIRECT(M$4))+SUMIF(INDIRECT(M$3),'Struktur Vorjahr'!$D48,INDIRECT(M$5)))</f>
        <v>0</v>
      </c>
      <c r="N48" s="593">
        <f ca="1">$E48*(-SUMIF(INDIRECT(N$3),'Struktur Vorjahr'!$D48,INDIRECT(N$4))+SUMIF(INDIRECT(N$3),'Struktur Vorjahr'!$D48,INDIRECT(N$5)))</f>
        <v>0</v>
      </c>
      <c r="O48" s="593">
        <f ca="1">$E48*(-SUMIF(INDIRECT(O$3),'Struktur Vorjahr'!$D48,INDIRECT(O$4))+SUMIF(INDIRECT(O$3),'Struktur Vorjahr'!$D48,INDIRECT(O$5)))</f>
        <v>0</v>
      </c>
      <c r="P48" s="593">
        <f ca="1">$E48*(-SUMIF(INDIRECT(P$3),'Struktur Vorjahr'!$D48,INDIRECT(P$4))+SUMIF(INDIRECT(P$3),'Struktur Vorjahr'!$D48,INDIRECT(P$5)))</f>
        <v>0</v>
      </c>
      <c r="Q48" s="593">
        <f ca="1">$E48*(-SUMIF(INDIRECT(Q$3),'Struktur Vorjahr'!$D48,INDIRECT(Q$4))+SUMIF(INDIRECT(Q$3),'Struktur Vorjahr'!$D48,INDIRECT(Q$5)))</f>
        <v>0</v>
      </c>
      <c r="R48" s="593">
        <f ca="1">$E48*(-SUMIF(INDIRECT(R$3),'Struktur Vorjahr'!$D48,INDIRECT(R$4))+SUMIF(INDIRECT(R$3),'Struktur Vorjahr'!$D48,INDIRECT(R$5)))</f>
        <v>0</v>
      </c>
      <c r="S48" s="593">
        <f ca="1">$E48*(-SUMIF(INDIRECT(S$3),'Struktur Vorjahr'!$D48,INDIRECT(S$4))+SUMIF(INDIRECT(S$3),'Struktur Vorjahr'!$D48,INDIRECT(S$5)))</f>
        <v>0</v>
      </c>
      <c r="T48" s="593">
        <f ca="1">$E48*(-SUMIF(INDIRECT(T$3),'Struktur Vorjahr'!$D48,INDIRECT(T$4))+SUMIF(INDIRECT(T$3),'Struktur Vorjahr'!$D48,INDIRECT(T$5)))</f>
        <v>0</v>
      </c>
      <c r="U48" s="593">
        <f ca="1">$E48*(-SUMIF(INDIRECT(U$3),'Struktur Vorjahr'!$D48,INDIRECT(U$4))+SUMIF(INDIRECT(U$3),'Struktur Vorjahr'!$D48,INDIRECT(U$5)))</f>
        <v>0</v>
      </c>
      <c r="V48" s="593">
        <f ca="1">$E48*(-SUMIF(INDIRECT(V$3),'Struktur Vorjahr'!$D48,INDIRECT(V$4))+SUMIF(INDIRECT(V$3),'Struktur Vorjahr'!$D48,INDIRECT(V$5)))</f>
        <v>0</v>
      </c>
      <c r="W48" s="593">
        <f ca="1">$E48*(-SUMIF(INDIRECT(W$3),'Struktur Vorjahr'!$D48,INDIRECT(W$4))+SUMIF(INDIRECT(W$3),'Struktur Vorjahr'!$D48,INDIRECT(W$5)))</f>
        <v>0</v>
      </c>
      <c r="X48" s="593">
        <f ca="1">$E48*(-SUMIF(INDIRECT(X$3),'Struktur Vorjahr'!$D48,INDIRECT(X$4))+SUMIF(INDIRECT(X$3),'Struktur Vorjahr'!$D48,INDIRECT(X$5)))</f>
        <v>0</v>
      </c>
      <c r="Y48" s="593">
        <f ca="1">$E48*(-SUMIF(INDIRECT(Y$3),'Struktur Vorjahr'!$D48,INDIRECT(Y$4))+SUMIF(INDIRECT(Y$3),'Struktur Vorjahr'!$D48,INDIRECT(Y$5)))</f>
        <v>0</v>
      </c>
      <c r="Z48" s="593">
        <f ca="1">$E48*(-SUMIF(INDIRECT(Z$3),'Struktur Vorjahr'!$D48,INDIRECT(Z$4))+SUMIF(INDIRECT(Z$3),'Struktur Vorjahr'!$D48,INDIRECT(Z$5)))</f>
        <v>0</v>
      </c>
      <c r="AA48" s="593">
        <f ca="1">$E48*(-SUMIF(INDIRECT(AA$3),'Struktur Vorjahr'!$D48,INDIRECT(AA$4))+SUMIF(INDIRECT(AA$3),'Struktur Vorjahr'!$D48,INDIRECT(AA$5)))</f>
        <v>0</v>
      </c>
      <c r="AB48" s="593">
        <f ca="1">$E48*(-SUMIF(INDIRECT(AB$3),'Struktur Vorjahr'!$D48,INDIRECT(AB$4))+SUMIF(INDIRECT(AB$3),'Struktur Vorjahr'!$D48,INDIRECT(AB$5)))</f>
        <v>0</v>
      </c>
      <c r="AC48" s="593">
        <f ca="1">$E48*(-SUMIF(INDIRECT(AC$3),'Struktur Vorjahr'!$D48,INDIRECT(AC$4))+SUMIF(INDIRECT(AC$3),'Struktur Vorjahr'!$D48,INDIRECT(AC$5)))</f>
        <v>0</v>
      </c>
      <c r="AD48" s="593">
        <f ca="1">$E48*(-SUMIF(INDIRECT(AD$3),'Struktur Vorjahr'!$D48,INDIRECT(AD$4))+SUMIF(INDIRECT(AD$3),'Struktur Vorjahr'!$D48,INDIRECT(AD$5)))</f>
        <v>0</v>
      </c>
      <c r="AE48" s="593">
        <f t="shared" ref="AE48:AE61" ca="1" si="32">G48</f>
        <v>0</v>
      </c>
      <c r="AF48" s="593">
        <f t="shared" ref="AF48:AP61" ca="1" si="33">H48+AE48</f>
        <v>0</v>
      </c>
      <c r="AG48" s="593">
        <f t="shared" ca="1" si="33"/>
        <v>0</v>
      </c>
      <c r="AH48" s="593">
        <f t="shared" ca="1" si="33"/>
        <v>0</v>
      </c>
      <c r="AI48" s="593">
        <f t="shared" ca="1" si="33"/>
        <v>0</v>
      </c>
      <c r="AJ48" s="593">
        <f t="shared" ca="1" si="33"/>
        <v>0</v>
      </c>
      <c r="AK48" s="593">
        <f t="shared" ca="1" si="33"/>
        <v>0</v>
      </c>
      <c r="AL48" s="593">
        <f t="shared" ca="1" si="33"/>
        <v>0</v>
      </c>
      <c r="AM48" s="593">
        <f t="shared" ca="1" si="33"/>
        <v>0</v>
      </c>
      <c r="AN48" s="593">
        <f t="shared" ca="1" si="33"/>
        <v>0</v>
      </c>
      <c r="AO48" s="593">
        <f t="shared" ca="1" si="33"/>
        <v>0</v>
      </c>
      <c r="AP48" s="593">
        <f t="shared" ca="1" si="33"/>
        <v>0</v>
      </c>
    </row>
    <row r="49" spans="1:42" s="594" customFormat="1" ht="11.25" outlineLevel="1" x14ac:dyDescent="0.2">
      <c r="A49" s="599"/>
      <c r="B49" s="591" t="str">
        <f>IF(D49&lt;&gt;"",
IF(ISERROR(MATCH(D49,'Ist Vorjahr Monat 01'!A:A,0))=FALSE,INDEX('Ist Vorjahr Monat 01'!B:B,MATCH(D49,'Ist Vorjahr Monat 01'!A:A,0)),
IF(ISERROR(MATCH(D49,'Ist Vorjahr Monat 02'!A:A,0))=FALSE,INDEX('Ist Vorjahr Monat 02'!B:B,MATCH(D49,'Ist Vorjahr Monat 02'!A:A,0)),
IF(ISERROR(MATCH(D49,'Ist Vorjahr Monat 03'!A:A,0))=FALSE,INDEX('Ist Vorjahr Monat 03'!B:B,MATCH(D49,'Ist Vorjahr Monat 03'!A:A,0)),
IF(ISERROR(MATCH(D49,'Ist Vorjahr Monat 04'!A:A,0))=FALSE,INDEX('Ist Vorjahr Monat 04'!B:B,MATCH(D49,'Ist Vorjahr Monat 04'!A:A,0)),
IF(ISERROR(MATCH(D49,'Ist Vorjahr Monat 05'!A:A,0))=FALSE,INDEX('Ist Vorjahr Monat 05'!B:B,MATCH(D49,'Ist Vorjahr Monat 05'!A:A,0)),
IF(ISERROR(MATCH(D49,'Ist Vorjahr Monat 06'!A:A,0))=FALSE,INDEX('Ist Vorjahr Monat 06'!B:B,MATCH(D49,'Ist Vorjahr Monat 06'!A:A,0)),
IF(ISERROR(MATCH(D49,'Ist Vorjahr Monat 07'!A:A,0))=FALSE,INDEX('Ist Vorjahr Monat 07'!B:B,MATCH(D49,'Ist Vorjahr Monat 07'!A:A,0)),
IF(ISERROR(MATCH(D49,'Ist Vorjahr Monat 08'!A:A,0))=FALSE,INDEX('Ist Vorjahr Monat 08'!B:B,MATCH(D49,'Ist Vorjahr Monat 08'!A:A,0)),
IF(ISERROR(MATCH(D49,'Ist Vorjahr Monat 09'!A:A,0))=FALSE,INDEX('Ist Vorjahr Monat 09'!B:B,MATCH(D49,'Ist Vorjahr Monat 09'!A:A,0)),
IF(ISERROR(MATCH(D49,'Ist Vorjahr Monat 10'!A:A,0))=FALSE,INDEX('Ist Vorjahr Monat 10'!B:B,MATCH(D49,'Ist Vorjahr Monat 10'!A:A,0)),
IF(ISERROR(MATCH(D49,'Ist Vorjahr Monat 11'!A:A,0))=FALSE,INDEX('Ist Vorjahr Monat 11'!B:B,MATCH(D49,'Ist Vorjahr Monat 11'!A:A,0)),
IF(ISERROR(MATCH(D49,'Ist Vorjahr Monat 12'!A:A,0))=FALSE,INDEX('Ist Vorjahr Monat 12'!B:B,MATCH(D49,'Ist Vorjahr Monat 12'!A:A,0)),
"{Konto unbekannt}"
)))))))))))),"")</f>
        <v/>
      </c>
      <c r="C49" s="591"/>
      <c r="D49" s="590"/>
      <c r="E49" s="592">
        <f t="shared" si="19"/>
        <v>1</v>
      </c>
      <c r="F49" s="599"/>
      <c r="G49" s="593">
        <f ca="1">$E49*(-SUMIF(INDIRECT(G$3),'Struktur Vorjahr'!$D49,INDIRECT(G$4))+SUMIF(INDIRECT(G$3),'Struktur Vorjahr'!$D49,INDIRECT(G$5)))</f>
        <v>0</v>
      </c>
      <c r="H49" s="593">
        <f ca="1">$E49*(-SUMIF(INDIRECT(H$3),'Struktur Vorjahr'!$D49,INDIRECT(H$4))+SUMIF(INDIRECT(H$3),'Struktur Vorjahr'!$D49,INDIRECT(H$5)))</f>
        <v>0</v>
      </c>
      <c r="I49" s="593">
        <f ca="1">$E49*(-SUMIF(INDIRECT(I$3),'Struktur Vorjahr'!$D49,INDIRECT(I$4))+SUMIF(INDIRECT(I$3),'Struktur Vorjahr'!$D49,INDIRECT(I$5)))</f>
        <v>0</v>
      </c>
      <c r="J49" s="593">
        <f ca="1">$E49*(-SUMIF(INDIRECT(J$3),'Struktur Vorjahr'!$D49,INDIRECT(J$4))+SUMIF(INDIRECT(J$3),'Struktur Vorjahr'!$D49,INDIRECT(J$5)))</f>
        <v>0</v>
      </c>
      <c r="K49" s="593">
        <f ca="1">$E49*(-SUMIF(INDIRECT(K$3),'Struktur Vorjahr'!$D49,INDIRECT(K$4))+SUMIF(INDIRECT(K$3),'Struktur Vorjahr'!$D49,INDIRECT(K$5)))</f>
        <v>0</v>
      </c>
      <c r="L49" s="593">
        <f ca="1">$E49*(-SUMIF(INDIRECT(L$3),'Struktur Vorjahr'!$D49,INDIRECT(L$4))+SUMIF(INDIRECT(L$3),'Struktur Vorjahr'!$D49,INDIRECT(L$5)))</f>
        <v>0</v>
      </c>
      <c r="M49" s="593">
        <f ca="1">$E49*(-SUMIF(INDIRECT(M$3),'Struktur Vorjahr'!$D49,INDIRECT(M$4))+SUMIF(INDIRECT(M$3),'Struktur Vorjahr'!$D49,INDIRECT(M$5)))</f>
        <v>0</v>
      </c>
      <c r="N49" s="593">
        <f ca="1">$E49*(-SUMIF(INDIRECT(N$3),'Struktur Vorjahr'!$D49,INDIRECT(N$4))+SUMIF(INDIRECT(N$3),'Struktur Vorjahr'!$D49,INDIRECT(N$5)))</f>
        <v>0</v>
      </c>
      <c r="O49" s="593">
        <f ca="1">$E49*(-SUMIF(INDIRECT(O$3),'Struktur Vorjahr'!$D49,INDIRECT(O$4))+SUMIF(INDIRECT(O$3),'Struktur Vorjahr'!$D49,INDIRECT(O$5)))</f>
        <v>0</v>
      </c>
      <c r="P49" s="593">
        <f ca="1">$E49*(-SUMIF(INDIRECT(P$3),'Struktur Vorjahr'!$D49,INDIRECT(P$4))+SUMIF(INDIRECT(P$3),'Struktur Vorjahr'!$D49,INDIRECT(P$5)))</f>
        <v>0</v>
      </c>
      <c r="Q49" s="593">
        <f ca="1">$E49*(-SUMIF(INDIRECT(Q$3),'Struktur Vorjahr'!$D49,INDIRECT(Q$4))+SUMIF(INDIRECT(Q$3),'Struktur Vorjahr'!$D49,INDIRECT(Q$5)))</f>
        <v>0</v>
      </c>
      <c r="R49" s="593">
        <f ca="1">$E49*(-SUMIF(INDIRECT(R$3),'Struktur Vorjahr'!$D49,INDIRECT(R$4))+SUMIF(INDIRECT(R$3),'Struktur Vorjahr'!$D49,INDIRECT(R$5)))</f>
        <v>0</v>
      </c>
      <c r="S49" s="593">
        <f ca="1">$E49*(-SUMIF(INDIRECT(S$3),'Struktur Vorjahr'!$D49,INDIRECT(S$4))+SUMIF(INDIRECT(S$3),'Struktur Vorjahr'!$D49,INDIRECT(S$5)))</f>
        <v>0</v>
      </c>
      <c r="T49" s="593">
        <f ca="1">$E49*(-SUMIF(INDIRECT(T$3),'Struktur Vorjahr'!$D49,INDIRECT(T$4))+SUMIF(INDIRECT(T$3),'Struktur Vorjahr'!$D49,INDIRECT(T$5)))</f>
        <v>0</v>
      </c>
      <c r="U49" s="593">
        <f ca="1">$E49*(-SUMIF(INDIRECT(U$3),'Struktur Vorjahr'!$D49,INDIRECT(U$4))+SUMIF(INDIRECT(U$3),'Struktur Vorjahr'!$D49,INDIRECT(U$5)))</f>
        <v>0</v>
      </c>
      <c r="V49" s="593">
        <f ca="1">$E49*(-SUMIF(INDIRECT(V$3),'Struktur Vorjahr'!$D49,INDIRECT(V$4))+SUMIF(INDIRECT(V$3),'Struktur Vorjahr'!$D49,INDIRECT(V$5)))</f>
        <v>0</v>
      </c>
      <c r="W49" s="593">
        <f ca="1">$E49*(-SUMIF(INDIRECT(W$3),'Struktur Vorjahr'!$D49,INDIRECT(W$4))+SUMIF(INDIRECT(W$3),'Struktur Vorjahr'!$D49,INDIRECT(W$5)))</f>
        <v>0</v>
      </c>
      <c r="X49" s="593">
        <f ca="1">$E49*(-SUMIF(INDIRECT(X$3),'Struktur Vorjahr'!$D49,INDIRECT(X$4))+SUMIF(INDIRECT(X$3),'Struktur Vorjahr'!$D49,INDIRECT(X$5)))</f>
        <v>0</v>
      </c>
      <c r="Y49" s="593">
        <f ca="1">$E49*(-SUMIF(INDIRECT(Y$3),'Struktur Vorjahr'!$D49,INDIRECT(Y$4))+SUMIF(INDIRECT(Y$3),'Struktur Vorjahr'!$D49,INDIRECT(Y$5)))</f>
        <v>0</v>
      </c>
      <c r="Z49" s="593">
        <f ca="1">$E49*(-SUMIF(INDIRECT(Z$3),'Struktur Vorjahr'!$D49,INDIRECT(Z$4))+SUMIF(INDIRECT(Z$3),'Struktur Vorjahr'!$D49,INDIRECT(Z$5)))</f>
        <v>0</v>
      </c>
      <c r="AA49" s="593">
        <f ca="1">$E49*(-SUMIF(INDIRECT(AA$3),'Struktur Vorjahr'!$D49,INDIRECT(AA$4))+SUMIF(INDIRECT(AA$3),'Struktur Vorjahr'!$D49,INDIRECT(AA$5)))</f>
        <v>0</v>
      </c>
      <c r="AB49" s="593">
        <f ca="1">$E49*(-SUMIF(INDIRECT(AB$3),'Struktur Vorjahr'!$D49,INDIRECT(AB$4))+SUMIF(INDIRECT(AB$3),'Struktur Vorjahr'!$D49,INDIRECT(AB$5)))</f>
        <v>0</v>
      </c>
      <c r="AC49" s="593">
        <f ca="1">$E49*(-SUMIF(INDIRECT(AC$3),'Struktur Vorjahr'!$D49,INDIRECT(AC$4))+SUMIF(INDIRECT(AC$3),'Struktur Vorjahr'!$D49,INDIRECT(AC$5)))</f>
        <v>0</v>
      </c>
      <c r="AD49" s="593">
        <f ca="1">$E49*(-SUMIF(INDIRECT(AD$3),'Struktur Vorjahr'!$D49,INDIRECT(AD$4))+SUMIF(INDIRECT(AD$3),'Struktur Vorjahr'!$D49,INDIRECT(AD$5)))</f>
        <v>0</v>
      </c>
      <c r="AE49" s="593">
        <f t="shared" ca="1" si="32"/>
        <v>0</v>
      </c>
      <c r="AF49" s="593">
        <f t="shared" ca="1" si="33"/>
        <v>0</v>
      </c>
      <c r="AG49" s="593">
        <f t="shared" ca="1" si="33"/>
        <v>0</v>
      </c>
      <c r="AH49" s="593">
        <f t="shared" ca="1" si="33"/>
        <v>0</v>
      </c>
      <c r="AI49" s="593">
        <f t="shared" ca="1" si="33"/>
        <v>0</v>
      </c>
      <c r="AJ49" s="593">
        <f t="shared" ca="1" si="33"/>
        <v>0</v>
      </c>
      <c r="AK49" s="593">
        <f t="shared" ca="1" si="33"/>
        <v>0</v>
      </c>
      <c r="AL49" s="593">
        <f t="shared" ca="1" si="33"/>
        <v>0</v>
      </c>
      <c r="AM49" s="593">
        <f t="shared" ca="1" si="33"/>
        <v>0</v>
      </c>
      <c r="AN49" s="593">
        <f t="shared" ca="1" si="33"/>
        <v>0</v>
      </c>
      <c r="AO49" s="593">
        <f t="shared" ca="1" si="33"/>
        <v>0</v>
      </c>
      <c r="AP49" s="593">
        <f t="shared" ca="1" si="33"/>
        <v>0</v>
      </c>
    </row>
    <row r="50" spans="1:42" s="594" customFormat="1" ht="11.25" outlineLevel="1" x14ac:dyDescent="0.2">
      <c r="A50" s="599"/>
      <c r="B50" s="591" t="str">
        <f>IF(D50&lt;&gt;"",
IF(ISERROR(MATCH(D50,'Ist Vorjahr Monat 01'!A:A,0))=FALSE,INDEX('Ist Vorjahr Monat 01'!B:B,MATCH(D50,'Ist Vorjahr Monat 01'!A:A,0)),
IF(ISERROR(MATCH(D50,'Ist Vorjahr Monat 02'!A:A,0))=FALSE,INDEX('Ist Vorjahr Monat 02'!B:B,MATCH(D50,'Ist Vorjahr Monat 02'!A:A,0)),
IF(ISERROR(MATCH(D50,'Ist Vorjahr Monat 03'!A:A,0))=FALSE,INDEX('Ist Vorjahr Monat 03'!B:B,MATCH(D50,'Ist Vorjahr Monat 03'!A:A,0)),
IF(ISERROR(MATCH(D50,'Ist Vorjahr Monat 04'!A:A,0))=FALSE,INDEX('Ist Vorjahr Monat 04'!B:B,MATCH(D50,'Ist Vorjahr Monat 04'!A:A,0)),
IF(ISERROR(MATCH(D50,'Ist Vorjahr Monat 05'!A:A,0))=FALSE,INDEX('Ist Vorjahr Monat 05'!B:B,MATCH(D50,'Ist Vorjahr Monat 05'!A:A,0)),
IF(ISERROR(MATCH(D50,'Ist Vorjahr Monat 06'!A:A,0))=FALSE,INDEX('Ist Vorjahr Monat 06'!B:B,MATCH(D50,'Ist Vorjahr Monat 06'!A:A,0)),
IF(ISERROR(MATCH(D50,'Ist Vorjahr Monat 07'!A:A,0))=FALSE,INDEX('Ist Vorjahr Monat 07'!B:B,MATCH(D50,'Ist Vorjahr Monat 07'!A:A,0)),
IF(ISERROR(MATCH(D50,'Ist Vorjahr Monat 08'!A:A,0))=FALSE,INDEX('Ist Vorjahr Monat 08'!B:B,MATCH(D50,'Ist Vorjahr Monat 08'!A:A,0)),
IF(ISERROR(MATCH(D50,'Ist Vorjahr Monat 09'!A:A,0))=FALSE,INDEX('Ist Vorjahr Monat 09'!B:B,MATCH(D50,'Ist Vorjahr Monat 09'!A:A,0)),
IF(ISERROR(MATCH(D50,'Ist Vorjahr Monat 10'!A:A,0))=FALSE,INDEX('Ist Vorjahr Monat 10'!B:B,MATCH(D50,'Ist Vorjahr Monat 10'!A:A,0)),
IF(ISERROR(MATCH(D50,'Ist Vorjahr Monat 11'!A:A,0))=FALSE,INDEX('Ist Vorjahr Monat 11'!B:B,MATCH(D50,'Ist Vorjahr Monat 11'!A:A,0)),
IF(ISERROR(MATCH(D50,'Ist Vorjahr Monat 12'!A:A,0))=FALSE,INDEX('Ist Vorjahr Monat 12'!B:B,MATCH(D50,'Ist Vorjahr Monat 12'!A:A,0)),
"{Konto unbekannt}"
)))))))))))),"")</f>
        <v/>
      </c>
      <c r="C50" s="591"/>
      <c r="D50" s="590"/>
      <c r="E50" s="592">
        <f t="shared" si="19"/>
        <v>1</v>
      </c>
      <c r="F50" s="599"/>
      <c r="G50" s="593">
        <f ca="1">$E50*(-SUMIF(INDIRECT(G$3),'Struktur Vorjahr'!$D50,INDIRECT(G$4))+SUMIF(INDIRECT(G$3),'Struktur Vorjahr'!$D50,INDIRECT(G$5)))</f>
        <v>0</v>
      </c>
      <c r="H50" s="593">
        <f ca="1">$E50*(-SUMIF(INDIRECT(H$3),'Struktur Vorjahr'!$D50,INDIRECT(H$4))+SUMIF(INDIRECT(H$3),'Struktur Vorjahr'!$D50,INDIRECT(H$5)))</f>
        <v>0</v>
      </c>
      <c r="I50" s="593">
        <f ca="1">$E50*(-SUMIF(INDIRECT(I$3),'Struktur Vorjahr'!$D50,INDIRECT(I$4))+SUMIF(INDIRECT(I$3),'Struktur Vorjahr'!$D50,INDIRECT(I$5)))</f>
        <v>0</v>
      </c>
      <c r="J50" s="593">
        <f ca="1">$E50*(-SUMIF(INDIRECT(J$3),'Struktur Vorjahr'!$D50,INDIRECT(J$4))+SUMIF(INDIRECT(J$3),'Struktur Vorjahr'!$D50,INDIRECT(J$5)))</f>
        <v>0</v>
      </c>
      <c r="K50" s="593">
        <f ca="1">$E50*(-SUMIF(INDIRECT(K$3),'Struktur Vorjahr'!$D50,INDIRECT(K$4))+SUMIF(INDIRECT(K$3),'Struktur Vorjahr'!$D50,INDIRECT(K$5)))</f>
        <v>0</v>
      </c>
      <c r="L50" s="593">
        <f ca="1">$E50*(-SUMIF(INDIRECT(L$3),'Struktur Vorjahr'!$D50,INDIRECT(L$4))+SUMIF(INDIRECT(L$3),'Struktur Vorjahr'!$D50,INDIRECT(L$5)))</f>
        <v>0</v>
      </c>
      <c r="M50" s="593">
        <f ca="1">$E50*(-SUMIF(INDIRECT(M$3),'Struktur Vorjahr'!$D50,INDIRECT(M$4))+SUMIF(INDIRECT(M$3),'Struktur Vorjahr'!$D50,INDIRECT(M$5)))</f>
        <v>0</v>
      </c>
      <c r="N50" s="593">
        <f ca="1">$E50*(-SUMIF(INDIRECT(N$3),'Struktur Vorjahr'!$D50,INDIRECT(N$4))+SUMIF(INDIRECT(N$3),'Struktur Vorjahr'!$D50,INDIRECT(N$5)))</f>
        <v>0</v>
      </c>
      <c r="O50" s="593">
        <f ca="1">$E50*(-SUMIF(INDIRECT(O$3),'Struktur Vorjahr'!$D50,INDIRECT(O$4))+SUMIF(INDIRECT(O$3),'Struktur Vorjahr'!$D50,INDIRECT(O$5)))</f>
        <v>0</v>
      </c>
      <c r="P50" s="593">
        <f ca="1">$E50*(-SUMIF(INDIRECT(P$3),'Struktur Vorjahr'!$D50,INDIRECT(P$4))+SUMIF(INDIRECT(P$3),'Struktur Vorjahr'!$D50,INDIRECT(P$5)))</f>
        <v>0</v>
      </c>
      <c r="Q50" s="593">
        <f ca="1">$E50*(-SUMIF(INDIRECT(Q$3),'Struktur Vorjahr'!$D50,INDIRECT(Q$4))+SUMIF(INDIRECT(Q$3),'Struktur Vorjahr'!$D50,INDIRECT(Q$5)))</f>
        <v>0</v>
      </c>
      <c r="R50" s="593">
        <f ca="1">$E50*(-SUMIF(INDIRECT(R$3),'Struktur Vorjahr'!$D50,INDIRECT(R$4))+SUMIF(INDIRECT(R$3),'Struktur Vorjahr'!$D50,INDIRECT(R$5)))</f>
        <v>0</v>
      </c>
      <c r="S50" s="593">
        <f ca="1">$E50*(-SUMIF(INDIRECT(S$3),'Struktur Vorjahr'!$D50,INDIRECT(S$4))+SUMIF(INDIRECT(S$3),'Struktur Vorjahr'!$D50,INDIRECT(S$5)))</f>
        <v>0</v>
      </c>
      <c r="T50" s="593">
        <f ca="1">$E50*(-SUMIF(INDIRECT(T$3),'Struktur Vorjahr'!$D50,INDIRECT(T$4))+SUMIF(INDIRECT(T$3),'Struktur Vorjahr'!$D50,INDIRECT(T$5)))</f>
        <v>0</v>
      </c>
      <c r="U50" s="593">
        <f ca="1">$E50*(-SUMIF(INDIRECT(U$3),'Struktur Vorjahr'!$D50,INDIRECT(U$4))+SUMIF(INDIRECT(U$3),'Struktur Vorjahr'!$D50,INDIRECT(U$5)))</f>
        <v>0</v>
      </c>
      <c r="V50" s="593">
        <f ca="1">$E50*(-SUMIF(INDIRECT(V$3),'Struktur Vorjahr'!$D50,INDIRECT(V$4))+SUMIF(INDIRECT(V$3),'Struktur Vorjahr'!$D50,INDIRECT(V$5)))</f>
        <v>0</v>
      </c>
      <c r="W50" s="593">
        <f ca="1">$E50*(-SUMIF(INDIRECT(W$3),'Struktur Vorjahr'!$D50,INDIRECT(W$4))+SUMIF(INDIRECT(W$3),'Struktur Vorjahr'!$D50,INDIRECT(W$5)))</f>
        <v>0</v>
      </c>
      <c r="X50" s="593">
        <f ca="1">$E50*(-SUMIF(INDIRECT(X$3),'Struktur Vorjahr'!$D50,INDIRECT(X$4))+SUMIF(INDIRECT(X$3),'Struktur Vorjahr'!$D50,INDIRECT(X$5)))</f>
        <v>0</v>
      </c>
      <c r="Y50" s="593">
        <f ca="1">$E50*(-SUMIF(INDIRECT(Y$3),'Struktur Vorjahr'!$D50,INDIRECT(Y$4))+SUMIF(INDIRECT(Y$3),'Struktur Vorjahr'!$D50,INDIRECT(Y$5)))</f>
        <v>0</v>
      </c>
      <c r="Z50" s="593">
        <f ca="1">$E50*(-SUMIF(INDIRECT(Z$3),'Struktur Vorjahr'!$D50,INDIRECT(Z$4))+SUMIF(INDIRECT(Z$3),'Struktur Vorjahr'!$D50,INDIRECT(Z$5)))</f>
        <v>0</v>
      </c>
      <c r="AA50" s="593">
        <f ca="1">$E50*(-SUMIF(INDIRECT(AA$3),'Struktur Vorjahr'!$D50,INDIRECT(AA$4))+SUMIF(INDIRECT(AA$3),'Struktur Vorjahr'!$D50,INDIRECT(AA$5)))</f>
        <v>0</v>
      </c>
      <c r="AB50" s="593">
        <f ca="1">$E50*(-SUMIF(INDIRECT(AB$3),'Struktur Vorjahr'!$D50,INDIRECT(AB$4))+SUMIF(INDIRECT(AB$3),'Struktur Vorjahr'!$D50,INDIRECT(AB$5)))</f>
        <v>0</v>
      </c>
      <c r="AC50" s="593">
        <f ca="1">$E50*(-SUMIF(INDIRECT(AC$3),'Struktur Vorjahr'!$D50,INDIRECT(AC$4))+SUMIF(INDIRECT(AC$3),'Struktur Vorjahr'!$D50,INDIRECT(AC$5)))</f>
        <v>0</v>
      </c>
      <c r="AD50" s="593">
        <f ca="1">$E50*(-SUMIF(INDIRECT(AD$3),'Struktur Vorjahr'!$D50,INDIRECT(AD$4))+SUMIF(INDIRECT(AD$3),'Struktur Vorjahr'!$D50,INDIRECT(AD$5)))</f>
        <v>0</v>
      </c>
      <c r="AE50" s="593">
        <f t="shared" ca="1" si="32"/>
        <v>0</v>
      </c>
      <c r="AF50" s="593">
        <f t="shared" ca="1" si="33"/>
        <v>0</v>
      </c>
      <c r="AG50" s="593">
        <f t="shared" ca="1" si="33"/>
        <v>0</v>
      </c>
      <c r="AH50" s="593">
        <f t="shared" ca="1" si="33"/>
        <v>0</v>
      </c>
      <c r="AI50" s="593">
        <f t="shared" ca="1" si="33"/>
        <v>0</v>
      </c>
      <c r="AJ50" s="593">
        <f t="shared" ca="1" si="33"/>
        <v>0</v>
      </c>
      <c r="AK50" s="593">
        <f t="shared" ca="1" si="33"/>
        <v>0</v>
      </c>
      <c r="AL50" s="593">
        <f t="shared" ca="1" si="33"/>
        <v>0</v>
      </c>
      <c r="AM50" s="593">
        <f t="shared" ca="1" si="33"/>
        <v>0</v>
      </c>
      <c r="AN50" s="593">
        <f t="shared" ca="1" si="33"/>
        <v>0</v>
      </c>
      <c r="AO50" s="593">
        <f t="shared" ca="1" si="33"/>
        <v>0</v>
      </c>
      <c r="AP50" s="593">
        <f t="shared" ca="1" si="33"/>
        <v>0</v>
      </c>
    </row>
    <row r="51" spans="1:42" s="594" customFormat="1" ht="11.25" outlineLevel="1" x14ac:dyDescent="0.2">
      <c r="A51" s="599"/>
      <c r="B51" s="591" t="str">
        <f>IF(D51&lt;&gt;"",
IF(ISERROR(MATCH(D51,'Ist Vorjahr Monat 01'!A:A,0))=FALSE,INDEX('Ist Vorjahr Monat 01'!B:B,MATCH(D51,'Ist Vorjahr Monat 01'!A:A,0)),
IF(ISERROR(MATCH(D51,'Ist Vorjahr Monat 02'!A:A,0))=FALSE,INDEX('Ist Vorjahr Monat 02'!B:B,MATCH(D51,'Ist Vorjahr Monat 02'!A:A,0)),
IF(ISERROR(MATCH(D51,'Ist Vorjahr Monat 03'!A:A,0))=FALSE,INDEX('Ist Vorjahr Monat 03'!B:B,MATCH(D51,'Ist Vorjahr Monat 03'!A:A,0)),
IF(ISERROR(MATCH(D51,'Ist Vorjahr Monat 04'!A:A,0))=FALSE,INDEX('Ist Vorjahr Monat 04'!B:B,MATCH(D51,'Ist Vorjahr Monat 04'!A:A,0)),
IF(ISERROR(MATCH(D51,'Ist Vorjahr Monat 05'!A:A,0))=FALSE,INDEX('Ist Vorjahr Monat 05'!B:B,MATCH(D51,'Ist Vorjahr Monat 05'!A:A,0)),
IF(ISERROR(MATCH(D51,'Ist Vorjahr Monat 06'!A:A,0))=FALSE,INDEX('Ist Vorjahr Monat 06'!B:B,MATCH(D51,'Ist Vorjahr Monat 06'!A:A,0)),
IF(ISERROR(MATCH(D51,'Ist Vorjahr Monat 07'!A:A,0))=FALSE,INDEX('Ist Vorjahr Monat 07'!B:B,MATCH(D51,'Ist Vorjahr Monat 07'!A:A,0)),
IF(ISERROR(MATCH(D51,'Ist Vorjahr Monat 08'!A:A,0))=FALSE,INDEX('Ist Vorjahr Monat 08'!B:B,MATCH(D51,'Ist Vorjahr Monat 08'!A:A,0)),
IF(ISERROR(MATCH(D51,'Ist Vorjahr Monat 09'!A:A,0))=FALSE,INDEX('Ist Vorjahr Monat 09'!B:B,MATCH(D51,'Ist Vorjahr Monat 09'!A:A,0)),
IF(ISERROR(MATCH(D51,'Ist Vorjahr Monat 10'!A:A,0))=FALSE,INDEX('Ist Vorjahr Monat 10'!B:B,MATCH(D51,'Ist Vorjahr Monat 10'!A:A,0)),
IF(ISERROR(MATCH(D51,'Ist Vorjahr Monat 11'!A:A,0))=FALSE,INDEX('Ist Vorjahr Monat 11'!B:B,MATCH(D51,'Ist Vorjahr Monat 11'!A:A,0)),
IF(ISERROR(MATCH(D51,'Ist Vorjahr Monat 12'!A:A,0))=FALSE,INDEX('Ist Vorjahr Monat 12'!B:B,MATCH(D51,'Ist Vorjahr Monat 12'!A:A,0)),
"{Konto unbekannt}"
)))))))))))),"")</f>
        <v/>
      </c>
      <c r="C51" s="591"/>
      <c r="D51" s="590"/>
      <c r="E51" s="592">
        <f>IF(F51="-",-1,1)</f>
        <v>1</v>
      </c>
      <c r="F51" s="599"/>
      <c r="G51" s="593">
        <f ca="1">$E51*(-SUMIF(INDIRECT(G$3),'Struktur Vorjahr'!$D51,INDIRECT(G$4))+SUMIF(INDIRECT(G$3),'Struktur Vorjahr'!$D51,INDIRECT(G$5)))</f>
        <v>0</v>
      </c>
      <c r="H51" s="593">
        <f ca="1">$E51*(-SUMIF(INDIRECT(H$3),'Struktur Vorjahr'!$D51,INDIRECT(H$4))+SUMIF(INDIRECT(H$3),'Struktur Vorjahr'!$D51,INDIRECT(H$5)))</f>
        <v>0</v>
      </c>
      <c r="I51" s="593">
        <f ca="1">$E51*(-SUMIF(INDIRECT(I$3),'Struktur Vorjahr'!$D51,INDIRECT(I$4))+SUMIF(INDIRECT(I$3),'Struktur Vorjahr'!$D51,INDIRECT(I$5)))</f>
        <v>0</v>
      </c>
      <c r="J51" s="593">
        <f ca="1">$E51*(-SUMIF(INDIRECT(J$3),'Struktur Vorjahr'!$D51,INDIRECT(J$4))+SUMIF(INDIRECT(J$3),'Struktur Vorjahr'!$D51,INDIRECT(J$5)))</f>
        <v>0</v>
      </c>
      <c r="K51" s="593">
        <f ca="1">$E51*(-SUMIF(INDIRECT(K$3),'Struktur Vorjahr'!$D51,INDIRECT(K$4))+SUMIF(INDIRECT(K$3),'Struktur Vorjahr'!$D51,INDIRECT(K$5)))</f>
        <v>0</v>
      </c>
      <c r="L51" s="593">
        <f ca="1">$E51*(-SUMIF(INDIRECT(L$3),'Struktur Vorjahr'!$D51,INDIRECT(L$4))+SUMIF(INDIRECT(L$3),'Struktur Vorjahr'!$D51,INDIRECT(L$5)))</f>
        <v>0</v>
      </c>
      <c r="M51" s="593">
        <f ca="1">$E51*(-SUMIF(INDIRECT(M$3),'Struktur Vorjahr'!$D51,INDIRECT(M$4))+SUMIF(INDIRECT(M$3),'Struktur Vorjahr'!$D51,INDIRECT(M$5)))</f>
        <v>0</v>
      </c>
      <c r="N51" s="593">
        <f ca="1">$E51*(-SUMIF(INDIRECT(N$3),'Struktur Vorjahr'!$D51,INDIRECT(N$4))+SUMIF(INDIRECT(N$3),'Struktur Vorjahr'!$D51,INDIRECT(N$5)))</f>
        <v>0</v>
      </c>
      <c r="O51" s="593">
        <f ca="1">$E51*(-SUMIF(INDIRECT(O$3),'Struktur Vorjahr'!$D51,INDIRECT(O$4))+SUMIF(INDIRECT(O$3),'Struktur Vorjahr'!$D51,INDIRECT(O$5)))</f>
        <v>0</v>
      </c>
      <c r="P51" s="593">
        <f ca="1">$E51*(-SUMIF(INDIRECT(P$3),'Struktur Vorjahr'!$D51,INDIRECT(P$4))+SUMIF(INDIRECT(P$3),'Struktur Vorjahr'!$D51,INDIRECT(P$5)))</f>
        <v>0</v>
      </c>
      <c r="Q51" s="593">
        <f ca="1">$E51*(-SUMIF(INDIRECT(Q$3),'Struktur Vorjahr'!$D51,INDIRECT(Q$4))+SUMIF(INDIRECT(Q$3),'Struktur Vorjahr'!$D51,INDIRECT(Q$5)))</f>
        <v>0</v>
      </c>
      <c r="R51" s="593">
        <f ca="1">$E51*(-SUMIF(INDIRECT(R$3),'Struktur Vorjahr'!$D51,INDIRECT(R$4))+SUMIF(INDIRECT(R$3),'Struktur Vorjahr'!$D51,INDIRECT(R$5)))</f>
        <v>0</v>
      </c>
      <c r="S51" s="593">
        <f ca="1">$E51*(-SUMIF(INDIRECT(S$3),'Struktur Vorjahr'!$D51,INDIRECT(S$4))+SUMIF(INDIRECT(S$3),'Struktur Vorjahr'!$D51,INDIRECT(S$5)))</f>
        <v>0</v>
      </c>
      <c r="T51" s="593">
        <f ca="1">$E51*(-SUMIF(INDIRECT(T$3),'Struktur Vorjahr'!$D51,INDIRECT(T$4))+SUMIF(INDIRECT(T$3),'Struktur Vorjahr'!$D51,INDIRECT(T$5)))</f>
        <v>0</v>
      </c>
      <c r="U51" s="593">
        <f ca="1">$E51*(-SUMIF(INDIRECT(U$3),'Struktur Vorjahr'!$D51,INDIRECT(U$4))+SUMIF(INDIRECT(U$3),'Struktur Vorjahr'!$D51,INDIRECT(U$5)))</f>
        <v>0</v>
      </c>
      <c r="V51" s="593">
        <f ca="1">$E51*(-SUMIF(INDIRECT(V$3),'Struktur Vorjahr'!$D51,INDIRECT(V$4))+SUMIF(INDIRECT(V$3),'Struktur Vorjahr'!$D51,INDIRECT(V$5)))</f>
        <v>0</v>
      </c>
      <c r="W51" s="593">
        <f ca="1">$E51*(-SUMIF(INDIRECT(W$3),'Struktur Vorjahr'!$D51,INDIRECT(W$4))+SUMIF(INDIRECT(W$3),'Struktur Vorjahr'!$D51,INDIRECT(W$5)))</f>
        <v>0</v>
      </c>
      <c r="X51" s="593">
        <f ca="1">$E51*(-SUMIF(INDIRECT(X$3),'Struktur Vorjahr'!$D51,INDIRECT(X$4))+SUMIF(INDIRECT(X$3),'Struktur Vorjahr'!$D51,INDIRECT(X$5)))</f>
        <v>0</v>
      </c>
      <c r="Y51" s="593">
        <f ca="1">$E51*(-SUMIF(INDIRECT(Y$3),'Struktur Vorjahr'!$D51,INDIRECT(Y$4))+SUMIF(INDIRECT(Y$3),'Struktur Vorjahr'!$D51,INDIRECT(Y$5)))</f>
        <v>0</v>
      </c>
      <c r="Z51" s="593">
        <f ca="1">$E51*(-SUMIF(INDIRECT(Z$3),'Struktur Vorjahr'!$D51,INDIRECT(Z$4))+SUMIF(INDIRECT(Z$3),'Struktur Vorjahr'!$D51,INDIRECT(Z$5)))</f>
        <v>0</v>
      </c>
      <c r="AA51" s="593">
        <f ca="1">$E51*(-SUMIF(INDIRECT(AA$3),'Struktur Vorjahr'!$D51,INDIRECT(AA$4))+SUMIF(INDIRECT(AA$3),'Struktur Vorjahr'!$D51,INDIRECT(AA$5)))</f>
        <v>0</v>
      </c>
      <c r="AB51" s="593">
        <f ca="1">$E51*(-SUMIF(INDIRECT(AB$3),'Struktur Vorjahr'!$D51,INDIRECT(AB$4))+SUMIF(INDIRECT(AB$3),'Struktur Vorjahr'!$D51,INDIRECT(AB$5)))</f>
        <v>0</v>
      </c>
      <c r="AC51" s="593">
        <f ca="1">$E51*(-SUMIF(INDIRECT(AC$3),'Struktur Vorjahr'!$D51,INDIRECT(AC$4))+SUMIF(INDIRECT(AC$3),'Struktur Vorjahr'!$D51,INDIRECT(AC$5)))</f>
        <v>0</v>
      </c>
      <c r="AD51" s="593">
        <f ca="1">$E51*(-SUMIF(INDIRECT(AD$3),'Struktur Vorjahr'!$D51,INDIRECT(AD$4))+SUMIF(INDIRECT(AD$3),'Struktur Vorjahr'!$D51,INDIRECT(AD$5)))</f>
        <v>0</v>
      </c>
      <c r="AE51" s="593">
        <f t="shared" ca="1" si="32"/>
        <v>0</v>
      </c>
      <c r="AF51" s="593">
        <f t="shared" ca="1" si="33"/>
        <v>0</v>
      </c>
      <c r="AG51" s="593">
        <f t="shared" ca="1" si="33"/>
        <v>0</v>
      </c>
      <c r="AH51" s="593">
        <f t="shared" ca="1" si="33"/>
        <v>0</v>
      </c>
      <c r="AI51" s="593">
        <f t="shared" ca="1" si="33"/>
        <v>0</v>
      </c>
      <c r="AJ51" s="593">
        <f t="shared" ca="1" si="33"/>
        <v>0</v>
      </c>
      <c r="AK51" s="593">
        <f t="shared" ca="1" si="33"/>
        <v>0</v>
      </c>
      <c r="AL51" s="593">
        <f t="shared" ca="1" si="33"/>
        <v>0</v>
      </c>
      <c r="AM51" s="593">
        <f t="shared" ca="1" si="33"/>
        <v>0</v>
      </c>
      <c r="AN51" s="593">
        <f t="shared" ca="1" si="33"/>
        <v>0</v>
      </c>
      <c r="AO51" s="593">
        <f t="shared" ca="1" si="33"/>
        <v>0</v>
      </c>
      <c r="AP51" s="593">
        <f t="shared" ca="1" si="33"/>
        <v>0</v>
      </c>
    </row>
    <row r="52" spans="1:42" s="594" customFormat="1" ht="11.25" outlineLevel="1" x14ac:dyDescent="0.2">
      <c r="A52" s="599"/>
      <c r="B52" s="591" t="str">
        <f>IF(D52&lt;&gt;"",
IF(ISERROR(MATCH(D52,'Ist Vorjahr Monat 01'!A:A,0))=FALSE,INDEX('Ist Vorjahr Monat 01'!B:B,MATCH(D52,'Ist Vorjahr Monat 01'!A:A,0)),
IF(ISERROR(MATCH(D52,'Ist Vorjahr Monat 02'!A:A,0))=FALSE,INDEX('Ist Vorjahr Monat 02'!B:B,MATCH(D52,'Ist Vorjahr Monat 02'!A:A,0)),
IF(ISERROR(MATCH(D52,'Ist Vorjahr Monat 03'!A:A,0))=FALSE,INDEX('Ist Vorjahr Monat 03'!B:B,MATCH(D52,'Ist Vorjahr Monat 03'!A:A,0)),
IF(ISERROR(MATCH(D52,'Ist Vorjahr Monat 04'!A:A,0))=FALSE,INDEX('Ist Vorjahr Monat 04'!B:B,MATCH(D52,'Ist Vorjahr Monat 04'!A:A,0)),
IF(ISERROR(MATCH(D52,'Ist Vorjahr Monat 05'!A:A,0))=FALSE,INDEX('Ist Vorjahr Monat 05'!B:B,MATCH(D52,'Ist Vorjahr Monat 05'!A:A,0)),
IF(ISERROR(MATCH(D52,'Ist Vorjahr Monat 06'!A:A,0))=FALSE,INDEX('Ist Vorjahr Monat 06'!B:B,MATCH(D52,'Ist Vorjahr Monat 06'!A:A,0)),
IF(ISERROR(MATCH(D52,'Ist Vorjahr Monat 07'!A:A,0))=FALSE,INDEX('Ist Vorjahr Monat 07'!B:B,MATCH(D52,'Ist Vorjahr Monat 07'!A:A,0)),
IF(ISERROR(MATCH(D52,'Ist Vorjahr Monat 08'!A:A,0))=FALSE,INDEX('Ist Vorjahr Monat 08'!B:B,MATCH(D52,'Ist Vorjahr Monat 08'!A:A,0)),
IF(ISERROR(MATCH(D52,'Ist Vorjahr Monat 09'!A:A,0))=FALSE,INDEX('Ist Vorjahr Monat 09'!B:B,MATCH(D52,'Ist Vorjahr Monat 09'!A:A,0)),
IF(ISERROR(MATCH(D52,'Ist Vorjahr Monat 10'!A:A,0))=FALSE,INDEX('Ist Vorjahr Monat 10'!B:B,MATCH(D52,'Ist Vorjahr Monat 10'!A:A,0)),
IF(ISERROR(MATCH(D52,'Ist Vorjahr Monat 11'!A:A,0))=FALSE,INDEX('Ist Vorjahr Monat 11'!B:B,MATCH(D52,'Ist Vorjahr Monat 11'!A:A,0)),
IF(ISERROR(MATCH(D52,'Ist Vorjahr Monat 12'!A:A,0))=FALSE,INDEX('Ist Vorjahr Monat 12'!B:B,MATCH(D52,'Ist Vorjahr Monat 12'!A:A,0)),
"{Konto unbekannt}"
)))))))))))),"")</f>
        <v/>
      </c>
      <c r="C52" s="591"/>
      <c r="D52" s="590"/>
      <c r="E52" s="592">
        <f>IF(F52="-",-1,1)</f>
        <v>1</v>
      </c>
      <c r="F52" s="599"/>
      <c r="G52" s="593">
        <f ca="1">$E52*(-SUMIF(INDIRECT(G$3),'Struktur Vorjahr'!$D52,INDIRECT(G$4))+SUMIF(INDIRECT(G$3),'Struktur Vorjahr'!$D52,INDIRECT(G$5)))</f>
        <v>0</v>
      </c>
      <c r="H52" s="593">
        <f ca="1">$E52*(-SUMIF(INDIRECT(H$3),'Struktur Vorjahr'!$D52,INDIRECT(H$4))+SUMIF(INDIRECT(H$3),'Struktur Vorjahr'!$D52,INDIRECT(H$5)))</f>
        <v>0</v>
      </c>
      <c r="I52" s="593">
        <f ca="1">$E52*(-SUMIF(INDIRECT(I$3),'Struktur Vorjahr'!$D52,INDIRECT(I$4))+SUMIF(INDIRECT(I$3),'Struktur Vorjahr'!$D52,INDIRECT(I$5)))</f>
        <v>0</v>
      </c>
      <c r="J52" s="593">
        <f ca="1">$E52*(-SUMIF(INDIRECT(J$3),'Struktur Vorjahr'!$D52,INDIRECT(J$4))+SUMIF(INDIRECT(J$3),'Struktur Vorjahr'!$D52,INDIRECT(J$5)))</f>
        <v>0</v>
      </c>
      <c r="K52" s="593">
        <f ca="1">$E52*(-SUMIF(INDIRECT(K$3),'Struktur Vorjahr'!$D52,INDIRECT(K$4))+SUMIF(INDIRECT(K$3),'Struktur Vorjahr'!$D52,INDIRECT(K$5)))</f>
        <v>0</v>
      </c>
      <c r="L52" s="593">
        <f ca="1">$E52*(-SUMIF(INDIRECT(L$3),'Struktur Vorjahr'!$D52,INDIRECT(L$4))+SUMIF(INDIRECT(L$3),'Struktur Vorjahr'!$D52,INDIRECT(L$5)))</f>
        <v>0</v>
      </c>
      <c r="M52" s="593">
        <f ca="1">$E52*(-SUMIF(INDIRECT(M$3),'Struktur Vorjahr'!$D52,INDIRECT(M$4))+SUMIF(INDIRECT(M$3),'Struktur Vorjahr'!$D52,INDIRECT(M$5)))</f>
        <v>0</v>
      </c>
      <c r="N52" s="593">
        <f ca="1">$E52*(-SUMIF(INDIRECT(N$3),'Struktur Vorjahr'!$D52,INDIRECT(N$4))+SUMIF(INDIRECT(N$3),'Struktur Vorjahr'!$D52,INDIRECT(N$5)))</f>
        <v>0</v>
      </c>
      <c r="O52" s="593">
        <f ca="1">$E52*(-SUMIF(INDIRECT(O$3),'Struktur Vorjahr'!$D52,INDIRECT(O$4))+SUMIF(INDIRECT(O$3),'Struktur Vorjahr'!$D52,INDIRECT(O$5)))</f>
        <v>0</v>
      </c>
      <c r="P52" s="593">
        <f ca="1">$E52*(-SUMIF(INDIRECT(P$3),'Struktur Vorjahr'!$D52,INDIRECT(P$4))+SUMIF(INDIRECT(P$3),'Struktur Vorjahr'!$D52,INDIRECT(P$5)))</f>
        <v>0</v>
      </c>
      <c r="Q52" s="593">
        <f ca="1">$E52*(-SUMIF(INDIRECT(Q$3),'Struktur Vorjahr'!$D52,INDIRECT(Q$4))+SUMIF(INDIRECT(Q$3),'Struktur Vorjahr'!$D52,INDIRECT(Q$5)))</f>
        <v>0</v>
      </c>
      <c r="R52" s="593">
        <f ca="1">$E52*(-SUMIF(INDIRECT(R$3),'Struktur Vorjahr'!$D52,INDIRECT(R$4))+SUMIF(INDIRECT(R$3),'Struktur Vorjahr'!$D52,INDIRECT(R$5)))</f>
        <v>0</v>
      </c>
      <c r="S52" s="593">
        <f ca="1">$E52*(-SUMIF(INDIRECT(S$3),'Struktur Vorjahr'!$D52,INDIRECT(S$4))+SUMIF(INDIRECT(S$3),'Struktur Vorjahr'!$D52,INDIRECT(S$5)))</f>
        <v>0</v>
      </c>
      <c r="T52" s="593">
        <f ca="1">$E52*(-SUMIF(INDIRECT(T$3),'Struktur Vorjahr'!$D52,INDIRECT(T$4))+SUMIF(INDIRECT(T$3),'Struktur Vorjahr'!$D52,INDIRECT(T$5)))</f>
        <v>0</v>
      </c>
      <c r="U52" s="593">
        <f ca="1">$E52*(-SUMIF(INDIRECT(U$3),'Struktur Vorjahr'!$D52,INDIRECT(U$4))+SUMIF(INDIRECT(U$3),'Struktur Vorjahr'!$D52,INDIRECT(U$5)))</f>
        <v>0</v>
      </c>
      <c r="V52" s="593">
        <f ca="1">$E52*(-SUMIF(INDIRECT(V$3),'Struktur Vorjahr'!$D52,INDIRECT(V$4))+SUMIF(INDIRECT(V$3),'Struktur Vorjahr'!$D52,INDIRECT(V$5)))</f>
        <v>0</v>
      </c>
      <c r="W52" s="593">
        <f ca="1">$E52*(-SUMIF(INDIRECT(W$3),'Struktur Vorjahr'!$D52,INDIRECT(W$4))+SUMIF(INDIRECT(W$3),'Struktur Vorjahr'!$D52,INDIRECT(W$5)))</f>
        <v>0</v>
      </c>
      <c r="X52" s="593">
        <f ca="1">$E52*(-SUMIF(INDIRECT(X$3),'Struktur Vorjahr'!$D52,INDIRECT(X$4))+SUMIF(INDIRECT(X$3),'Struktur Vorjahr'!$D52,INDIRECT(X$5)))</f>
        <v>0</v>
      </c>
      <c r="Y52" s="593">
        <f ca="1">$E52*(-SUMIF(INDIRECT(Y$3),'Struktur Vorjahr'!$D52,INDIRECT(Y$4))+SUMIF(INDIRECT(Y$3),'Struktur Vorjahr'!$D52,INDIRECT(Y$5)))</f>
        <v>0</v>
      </c>
      <c r="Z52" s="593">
        <f ca="1">$E52*(-SUMIF(INDIRECT(Z$3),'Struktur Vorjahr'!$D52,INDIRECT(Z$4))+SUMIF(INDIRECT(Z$3),'Struktur Vorjahr'!$D52,INDIRECT(Z$5)))</f>
        <v>0</v>
      </c>
      <c r="AA52" s="593">
        <f ca="1">$E52*(-SUMIF(INDIRECT(AA$3),'Struktur Vorjahr'!$D52,INDIRECT(AA$4))+SUMIF(INDIRECT(AA$3),'Struktur Vorjahr'!$D52,INDIRECT(AA$5)))</f>
        <v>0</v>
      </c>
      <c r="AB52" s="593">
        <f ca="1">$E52*(-SUMIF(INDIRECT(AB$3),'Struktur Vorjahr'!$D52,INDIRECT(AB$4))+SUMIF(INDIRECT(AB$3),'Struktur Vorjahr'!$D52,INDIRECT(AB$5)))</f>
        <v>0</v>
      </c>
      <c r="AC52" s="593">
        <f ca="1">$E52*(-SUMIF(INDIRECT(AC$3),'Struktur Vorjahr'!$D52,INDIRECT(AC$4))+SUMIF(INDIRECT(AC$3),'Struktur Vorjahr'!$D52,INDIRECT(AC$5)))</f>
        <v>0</v>
      </c>
      <c r="AD52" s="593">
        <f ca="1">$E52*(-SUMIF(INDIRECT(AD$3),'Struktur Vorjahr'!$D52,INDIRECT(AD$4))+SUMIF(INDIRECT(AD$3),'Struktur Vorjahr'!$D52,INDIRECT(AD$5)))</f>
        <v>0</v>
      </c>
      <c r="AE52" s="593">
        <f t="shared" ca="1" si="32"/>
        <v>0</v>
      </c>
      <c r="AF52" s="593">
        <f t="shared" ca="1" si="33"/>
        <v>0</v>
      </c>
      <c r="AG52" s="593">
        <f t="shared" ca="1" si="33"/>
        <v>0</v>
      </c>
      <c r="AH52" s="593">
        <f t="shared" ca="1" si="33"/>
        <v>0</v>
      </c>
      <c r="AI52" s="593">
        <f t="shared" ca="1" si="33"/>
        <v>0</v>
      </c>
      <c r="AJ52" s="593">
        <f t="shared" ca="1" si="33"/>
        <v>0</v>
      </c>
      <c r="AK52" s="593">
        <f t="shared" ca="1" si="33"/>
        <v>0</v>
      </c>
      <c r="AL52" s="593">
        <f t="shared" ca="1" si="33"/>
        <v>0</v>
      </c>
      <c r="AM52" s="593">
        <f t="shared" ca="1" si="33"/>
        <v>0</v>
      </c>
      <c r="AN52" s="593">
        <f t="shared" ca="1" si="33"/>
        <v>0</v>
      </c>
      <c r="AO52" s="593">
        <f t="shared" ca="1" si="33"/>
        <v>0</v>
      </c>
      <c r="AP52" s="593">
        <f t="shared" ca="1" si="33"/>
        <v>0</v>
      </c>
    </row>
    <row r="53" spans="1:42" s="594" customFormat="1" ht="11.25" outlineLevel="1" x14ac:dyDescent="0.2">
      <c r="A53" s="599"/>
      <c r="B53" s="591" t="str">
        <f>IF(D53&lt;&gt;"",
IF(ISERROR(MATCH(D53,'Ist Vorjahr Monat 01'!A:A,0))=FALSE,INDEX('Ist Vorjahr Monat 01'!B:B,MATCH(D53,'Ist Vorjahr Monat 01'!A:A,0)),
IF(ISERROR(MATCH(D53,'Ist Vorjahr Monat 02'!A:A,0))=FALSE,INDEX('Ist Vorjahr Monat 02'!B:B,MATCH(D53,'Ist Vorjahr Monat 02'!A:A,0)),
IF(ISERROR(MATCH(D53,'Ist Vorjahr Monat 03'!A:A,0))=FALSE,INDEX('Ist Vorjahr Monat 03'!B:B,MATCH(D53,'Ist Vorjahr Monat 03'!A:A,0)),
IF(ISERROR(MATCH(D53,'Ist Vorjahr Monat 04'!A:A,0))=FALSE,INDEX('Ist Vorjahr Monat 04'!B:B,MATCH(D53,'Ist Vorjahr Monat 04'!A:A,0)),
IF(ISERROR(MATCH(D53,'Ist Vorjahr Monat 05'!A:A,0))=FALSE,INDEX('Ist Vorjahr Monat 05'!B:B,MATCH(D53,'Ist Vorjahr Monat 05'!A:A,0)),
IF(ISERROR(MATCH(D53,'Ist Vorjahr Monat 06'!A:A,0))=FALSE,INDEX('Ist Vorjahr Monat 06'!B:B,MATCH(D53,'Ist Vorjahr Monat 06'!A:A,0)),
IF(ISERROR(MATCH(D53,'Ist Vorjahr Monat 07'!A:A,0))=FALSE,INDEX('Ist Vorjahr Monat 07'!B:B,MATCH(D53,'Ist Vorjahr Monat 07'!A:A,0)),
IF(ISERROR(MATCH(D53,'Ist Vorjahr Monat 08'!A:A,0))=FALSE,INDEX('Ist Vorjahr Monat 08'!B:B,MATCH(D53,'Ist Vorjahr Monat 08'!A:A,0)),
IF(ISERROR(MATCH(D53,'Ist Vorjahr Monat 09'!A:A,0))=FALSE,INDEX('Ist Vorjahr Monat 09'!B:B,MATCH(D53,'Ist Vorjahr Monat 09'!A:A,0)),
IF(ISERROR(MATCH(D53,'Ist Vorjahr Monat 10'!A:A,0))=FALSE,INDEX('Ist Vorjahr Monat 10'!B:B,MATCH(D53,'Ist Vorjahr Monat 10'!A:A,0)),
IF(ISERROR(MATCH(D53,'Ist Vorjahr Monat 11'!A:A,0))=FALSE,INDEX('Ist Vorjahr Monat 11'!B:B,MATCH(D53,'Ist Vorjahr Monat 11'!A:A,0)),
IF(ISERROR(MATCH(D53,'Ist Vorjahr Monat 12'!A:A,0))=FALSE,INDEX('Ist Vorjahr Monat 12'!B:B,MATCH(D53,'Ist Vorjahr Monat 12'!A:A,0)),
"{Konto unbekannt}"
)))))))))))),"")</f>
        <v/>
      </c>
      <c r="C53" s="591"/>
      <c r="D53" s="590"/>
      <c r="E53" s="592">
        <f>IF(F53="-",-1,1)</f>
        <v>1</v>
      </c>
      <c r="F53" s="599"/>
      <c r="G53" s="593">
        <f ca="1">$E53*(-SUMIF(INDIRECT(G$3),'Struktur Vorjahr'!$D53,INDIRECT(G$4))+SUMIF(INDIRECT(G$3),'Struktur Vorjahr'!$D53,INDIRECT(G$5)))</f>
        <v>0</v>
      </c>
      <c r="H53" s="593">
        <f ca="1">$E53*(-SUMIF(INDIRECT(H$3),'Struktur Vorjahr'!$D53,INDIRECT(H$4))+SUMIF(INDIRECT(H$3),'Struktur Vorjahr'!$D53,INDIRECT(H$5)))</f>
        <v>0</v>
      </c>
      <c r="I53" s="593">
        <f ca="1">$E53*(-SUMIF(INDIRECT(I$3),'Struktur Vorjahr'!$D53,INDIRECT(I$4))+SUMIF(INDIRECT(I$3),'Struktur Vorjahr'!$D53,INDIRECT(I$5)))</f>
        <v>0</v>
      </c>
      <c r="J53" s="593">
        <f ca="1">$E53*(-SUMIF(INDIRECT(J$3),'Struktur Vorjahr'!$D53,INDIRECT(J$4))+SUMIF(INDIRECT(J$3),'Struktur Vorjahr'!$D53,INDIRECT(J$5)))</f>
        <v>0</v>
      </c>
      <c r="K53" s="593">
        <f ca="1">$E53*(-SUMIF(INDIRECT(K$3),'Struktur Vorjahr'!$D53,INDIRECT(K$4))+SUMIF(INDIRECT(K$3),'Struktur Vorjahr'!$D53,INDIRECT(K$5)))</f>
        <v>0</v>
      </c>
      <c r="L53" s="593">
        <f ca="1">$E53*(-SUMIF(INDIRECT(L$3),'Struktur Vorjahr'!$D53,INDIRECT(L$4))+SUMIF(INDIRECT(L$3),'Struktur Vorjahr'!$D53,INDIRECT(L$5)))</f>
        <v>0</v>
      </c>
      <c r="M53" s="593">
        <f ca="1">$E53*(-SUMIF(INDIRECT(M$3),'Struktur Vorjahr'!$D53,INDIRECT(M$4))+SUMIF(INDIRECT(M$3),'Struktur Vorjahr'!$D53,INDIRECT(M$5)))</f>
        <v>0</v>
      </c>
      <c r="N53" s="593">
        <f ca="1">$E53*(-SUMIF(INDIRECT(N$3),'Struktur Vorjahr'!$D53,INDIRECT(N$4))+SUMIF(INDIRECT(N$3),'Struktur Vorjahr'!$D53,INDIRECT(N$5)))</f>
        <v>0</v>
      </c>
      <c r="O53" s="593">
        <f ca="1">$E53*(-SUMIF(INDIRECT(O$3),'Struktur Vorjahr'!$D53,INDIRECT(O$4))+SUMIF(INDIRECT(O$3),'Struktur Vorjahr'!$D53,INDIRECT(O$5)))</f>
        <v>0</v>
      </c>
      <c r="P53" s="593">
        <f ca="1">$E53*(-SUMIF(INDIRECT(P$3),'Struktur Vorjahr'!$D53,INDIRECT(P$4))+SUMIF(INDIRECT(P$3),'Struktur Vorjahr'!$D53,INDIRECT(P$5)))</f>
        <v>0</v>
      </c>
      <c r="Q53" s="593">
        <f ca="1">$E53*(-SUMIF(INDIRECT(Q$3),'Struktur Vorjahr'!$D53,INDIRECT(Q$4))+SUMIF(INDIRECT(Q$3),'Struktur Vorjahr'!$D53,INDIRECT(Q$5)))</f>
        <v>0</v>
      </c>
      <c r="R53" s="593">
        <f ca="1">$E53*(-SUMIF(INDIRECT(R$3),'Struktur Vorjahr'!$D53,INDIRECT(R$4))+SUMIF(INDIRECT(R$3),'Struktur Vorjahr'!$D53,INDIRECT(R$5)))</f>
        <v>0</v>
      </c>
      <c r="S53" s="593">
        <f ca="1">$E53*(-SUMIF(INDIRECT(S$3),'Struktur Vorjahr'!$D53,INDIRECT(S$4))+SUMIF(INDIRECT(S$3),'Struktur Vorjahr'!$D53,INDIRECT(S$5)))</f>
        <v>0</v>
      </c>
      <c r="T53" s="593">
        <f ca="1">$E53*(-SUMIF(INDIRECT(T$3),'Struktur Vorjahr'!$D53,INDIRECT(T$4))+SUMIF(INDIRECT(T$3),'Struktur Vorjahr'!$D53,INDIRECT(T$5)))</f>
        <v>0</v>
      </c>
      <c r="U53" s="593">
        <f ca="1">$E53*(-SUMIF(INDIRECT(U$3),'Struktur Vorjahr'!$D53,INDIRECT(U$4))+SUMIF(INDIRECT(U$3),'Struktur Vorjahr'!$D53,INDIRECT(U$5)))</f>
        <v>0</v>
      </c>
      <c r="V53" s="593">
        <f ca="1">$E53*(-SUMIF(INDIRECT(V$3),'Struktur Vorjahr'!$D53,INDIRECT(V$4))+SUMIF(INDIRECT(V$3),'Struktur Vorjahr'!$D53,INDIRECT(V$5)))</f>
        <v>0</v>
      </c>
      <c r="W53" s="593">
        <f ca="1">$E53*(-SUMIF(INDIRECT(W$3),'Struktur Vorjahr'!$D53,INDIRECT(W$4))+SUMIF(INDIRECT(W$3),'Struktur Vorjahr'!$D53,INDIRECT(W$5)))</f>
        <v>0</v>
      </c>
      <c r="X53" s="593">
        <f ca="1">$E53*(-SUMIF(INDIRECT(X$3),'Struktur Vorjahr'!$D53,INDIRECT(X$4))+SUMIF(INDIRECT(X$3),'Struktur Vorjahr'!$D53,INDIRECT(X$5)))</f>
        <v>0</v>
      </c>
      <c r="Y53" s="593">
        <f ca="1">$E53*(-SUMIF(INDIRECT(Y$3),'Struktur Vorjahr'!$D53,INDIRECT(Y$4))+SUMIF(INDIRECT(Y$3),'Struktur Vorjahr'!$D53,INDIRECT(Y$5)))</f>
        <v>0</v>
      </c>
      <c r="Z53" s="593">
        <f ca="1">$E53*(-SUMIF(INDIRECT(Z$3),'Struktur Vorjahr'!$D53,INDIRECT(Z$4))+SUMIF(INDIRECT(Z$3),'Struktur Vorjahr'!$D53,INDIRECT(Z$5)))</f>
        <v>0</v>
      </c>
      <c r="AA53" s="593">
        <f ca="1">$E53*(-SUMIF(INDIRECT(AA$3),'Struktur Vorjahr'!$D53,INDIRECT(AA$4))+SUMIF(INDIRECT(AA$3),'Struktur Vorjahr'!$D53,INDIRECT(AA$5)))</f>
        <v>0</v>
      </c>
      <c r="AB53" s="593">
        <f ca="1">$E53*(-SUMIF(INDIRECT(AB$3),'Struktur Vorjahr'!$D53,INDIRECT(AB$4))+SUMIF(INDIRECT(AB$3),'Struktur Vorjahr'!$D53,INDIRECT(AB$5)))</f>
        <v>0</v>
      </c>
      <c r="AC53" s="593">
        <f ca="1">$E53*(-SUMIF(INDIRECT(AC$3),'Struktur Vorjahr'!$D53,INDIRECT(AC$4))+SUMIF(INDIRECT(AC$3),'Struktur Vorjahr'!$D53,INDIRECT(AC$5)))</f>
        <v>0</v>
      </c>
      <c r="AD53" s="593">
        <f ca="1">$E53*(-SUMIF(INDIRECT(AD$3),'Struktur Vorjahr'!$D53,INDIRECT(AD$4))+SUMIF(INDIRECT(AD$3),'Struktur Vorjahr'!$D53,INDIRECT(AD$5)))</f>
        <v>0</v>
      </c>
      <c r="AE53" s="593">
        <f t="shared" ca="1" si="32"/>
        <v>0</v>
      </c>
      <c r="AF53" s="593">
        <f t="shared" ca="1" si="33"/>
        <v>0</v>
      </c>
      <c r="AG53" s="593">
        <f t="shared" ca="1" si="33"/>
        <v>0</v>
      </c>
      <c r="AH53" s="593">
        <f t="shared" ca="1" si="33"/>
        <v>0</v>
      </c>
      <c r="AI53" s="593">
        <f t="shared" ca="1" si="33"/>
        <v>0</v>
      </c>
      <c r="AJ53" s="593">
        <f t="shared" ca="1" si="33"/>
        <v>0</v>
      </c>
      <c r="AK53" s="593">
        <f t="shared" ca="1" si="33"/>
        <v>0</v>
      </c>
      <c r="AL53" s="593">
        <f t="shared" ca="1" si="33"/>
        <v>0</v>
      </c>
      <c r="AM53" s="593">
        <f t="shared" ca="1" si="33"/>
        <v>0</v>
      </c>
      <c r="AN53" s="593">
        <f t="shared" ca="1" si="33"/>
        <v>0</v>
      </c>
      <c r="AO53" s="593">
        <f t="shared" ca="1" si="33"/>
        <v>0</v>
      </c>
      <c r="AP53" s="593">
        <f t="shared" ca="1" si="33"/>
        <v>0</v>
      </c>
    </row>
    <row r="54" spans="1:42" s="594" customFormat="1" ht="11.25" outlineLevel="1" x14ac:dyDescent="0.2">
      <c r="A54" s="599"/>
      <c r="B54" s="591" t="str">
        <f>IF(D54&lt;&gt;"",
IF(ISERROR(MATCH(D54,'Ist Vorjahr Monat 01'!A:A,0))=FALSE,INDEX('Ist Vorjahr Monat 01'!B:B,MATCH(D54,'Ist Vorjahr Monat 01'!A:A,0)),
IF(ISERROR(MATCH(D54,'Ist Vorjahr Monat 02'!A:A,0))=FALSE,INDEX('Ist Vorjahr Monat 02'!B:B,MATCH(D54,'Ist Vorjahr Monat 02'!A:A,0)),
IF(ISERROR(MATCH(D54,'Ist Vorjahr Monat 03'!A:A,0))=FALSE,INDEX('Ist Vorjahr Monat 03'!B:B,MATCH(D54,'Ist Vorjahr Monat 03'!A:A,0)),
IF(ISERROR(MATCH(D54,'Ist Vorjahr Monat 04'!A:A,0))=FALSE,INDEX('Ist Vorjahr Monat 04'!B:B,MATCH(D54,'Ist Vorjahr Monat 04'!A:A,0)),
IF(ISERROR(MATCH(D54,'Ist Vorjahr Monat 05'!A:A,0))=FALSE,INDEX('Ist Vorjahr Monat 05'!B:B,MATCH(D54,'Ist Vorjahr Monat 05'!A:A,0)),
IF(ISERROR(MATCH(D54,'Ist Vorjahr Monat 06'!A:A,0))=FALSE,INDEX('Ist Vorjahr Monat 06'!B:B,MATCH(D54,'Ist Vorjahr Monat 06'!A:A,0)),
IF(ISERROR(MATCH(D54,'Ist Vorjahr Monat 07'!A:A,0))=FALSE,INDEX('Ist Vorjahr Monat 07'!B:B,MATCH(D54,'Ist Vorjahr Monat 07'!A:A,0)),
IF(ISERROR(MATCH(D54,'Ist Vorjahr Monat 08'!A:A,0))=FALSE,INDEX('Ist Vorjahr Monat 08'!B:B,MATCH(D54,'Ist Vorjahr Monat 08'!A:A,0)),
IF(ISERROR(MATCH(D54,'Ist Vorjahr Monat 09'!A:A,0))=FALSE,INDEX('Ist Vorjahr Monat 09'!B:B,MATCH(D54,'Ist Vorjahr Monat 09'!A:A,0)),
IF(ISERROR(MATCH(D54,'Ist Vorjahr Monat 10'!A:A,0))=FALSE,INDEX('Ist Vorjahr Monat 10'!B:B,MATCH(D54,'Ist Vorjahr Monat 10'!A:A,0)),
IF(ISERROR(MATCH(D54,'Ist Vorjahr Monat 11'!A:A,0))=FALSE,INDEX('Ist Vorjahr Monat 11'!B:B,MATCH(D54,'Ist Vorjahr Monat 11'!A:A,0)),
IF(ISERROR(MATCH(D54,'Ist Vorjahr Monat 12'!A:A,0))=FALSE,INDEX('Ist Vorjahr Monat 12'!B:B,MATCH(D54,'Ist Vorjahr Monat 12'!A:A,0)),
"{Konto unbekannt}"
)))))))))))),"")</f>
        <v/>
      </c>
      <c r="C54" s="591"/>
      <c r="D54" s="590"/>
      <c r="E54" s="592">
        <f t="shared" si="19"/>
        <v>1</v>
      </c>
      <c r="F54" s="599"/>
      <c r="G54" s="593">
        <f ca="1">$E54*(-SUMIF(INDIRECT(G$3),'Struktur Vorjahr'!$D54,INDIRECT(G$4))+SUMIF(INDIRECT(G$3),'Struktur Vorjahr'!$D54,INDIRECT(G$5)))</f>
        <v>0</v>
      </c>
      <c r="H54" s="593">
        <f ca="1">$E54*(-SUMIF(INDIRECT(H$3),'Struktur Vorjahr'!$D54,INDIRECT(H$4))+SUMIF(INDIRECT(H$3),'Struktur Vorjahr'!$D54,INDIRECT(H$5)))</f>
        <v>0</v>
      </c>
      <c r="I54" s="593">
        <f ca="1">$E54*(-SUMIF(INDIRECT(I$3),'Struktur Vorjahr'!$D54,INDIRECT(I$4))+SUMIF(INDIRECT(I$3),'Struktur Vorjahr'!$D54,INDIRECT(I$5)))</f>
        <v>0</v>
      </c>
      <c r="J54" s="593">
        <f ca="1">$E54*(-SUMIF(INDIRECT(J$3),'Struktur Vorjahr'!$D54,INDIRECT(J$4))+SUMIF(INDIRECT(J$3),'Struktur Vorjahr'!$D54,INDIRECT(J$5)))</f>
        <v>0</v>
      </c>
      <c r="K54" s="593">
        <f ca="1">$E54*(-SUMIF(INDIRECT(K$3),'Struktur Vorjahr'!$D54,INDIRECT(K$4))+SUMIF(INDIRECT(K$3),'Struktur Vorjahr'!$D54,INDIRECT(K$5)))</f>
        <v>0</v>
      </c>
      <c r="L54" s="593">
        <f ca="1">$E54*(-SUMIF(INDIRECT(L$3),'Struktur Vorjahr'!$D54,INDIRECT(L$4))+SUMIF(INDIRECT(L$3),'Struktur Vorjahr'!$D54,INDIRECT(L$5)))</f>
        <v>0</v>
      </c>
      <c r="M54" s="593">
        <f ca="1">$E54*(-SUMIF(INDIRECT(M$3),'Struktur Vorjahr'!$D54,INDIRECT(M$4))+SUMIF(INDIRECT(M$3),'Struktur Vorjahr'!$D54,INDIRECT(M$5)))</f>
        <v>0</v>
      </c>
      <c r="N54" s="593">
        <f ca="1">$E54*(-SUMIF(INDIRECT(N$3),'Struktur Vorjahr'!$D54,INDIRECT(N$4))+SUMIF(INDIRECT(N$3),'Struktur Vorjahr'!$D54,INDIRECT(N$5)))</f>
        <v>0</v>
      </c>
      <c r="O54" s="593">
        <f ca="1">$E54*(-SUMIF(INDIRECT(O$3),'Struktur Vorjahr'!$D54,INDIRECT(O$4))+SUMIF(INDIRECT(O$3),'Struktur Vorjahr'!$D54,INDIRECT(O$5)))</f>
        <v>0</v>
      </c>
      <c r="P54" s="593">
        <f ca="1">$E54*(-SUMIF(INDIRECT(P$3),'Struktur Vorjahr'!$D54,INDIRECT(P$4))+SUMIF(INDIRECT(P$3),'Struktur Vorjahr'!$D54,INDIRECT(P$5)))</f>
        <v>0</v>
      </c>
      <c r="Q54" s="593">
        <f ca="1">$E54*(-SUMIF(INDIRECT(Q$3),'Struktur Vorjahr'!$D54,INDIRECT(Q$4))+SUMIF(INDIRECT(Q$3),'Struktur Vorjahr'!$D54,INDIRECT(Q$5)))</f>
        <v>0</v>
      </c>
      <c r="R54" s="593">
        <f ca="1">$E54*(-SUMIF(INDIRECT(R$3),'Struktur Vorjahr'!$D54,INDIRECT(R$4))+SUMIF(INDIRECT(R$3),'Struktur Vorjahr'!$D54,INDIRECT(R$5)))</f>
        <v>0</v>
      </c>
      <c r="S54" s="593">
        <f ca="1">$E54*(-SUMIF(INDIRECT(S$3),'Struktur Vorjahr'!$D54,INDIRECT(S$4))+SUMIF(INDIRECT(S$3),'Struktur Vorjahr'!$D54,INDIRECT(S$5)))</f>
        <v>0</v>
      </c>
      <c r="T54" s="593">
        <f ca="1">$E54*(-SUMIF(INDIRECT(T$3),'Struktur Vorjahr'!$D54,INDIRECT(T$4))+SUMIF(INDIRECT(T$3),'Struktur Vorjahr'!$D54,INDIRECT(T$5)))</f>
        <v>0</v>
      </c>
      <c r="U54" s="593">
        <f ca="1">$E54*(-SUMIF(INDIRECT(U$3),'Struktur Vorjahr'!$D54,INDIRECT(U$4))+SUMIF(INDIRECT(U$3),'Struktur Vorjahr'!$D54,INDIRECT(U$5)))</f>
        <v>0</v>
      </c>
      <c r="V54" s="593">
        <f ca="1">$E54*(-SUMIF(INDIRECT(V$3),'Struktur Vorjahr'!$D54,INDIRECT(V$4))+SUMIF(INDIRECT(V$3),'Struktur Vorjahr'!$D54,INDIRECT(V$5)))</f>
        <v>0</v>
      </c>
      <c r="W54" s="593">
        <f ca="1">$E54*(-SUMIF(INDIRECT(W$3),'Struktur Vorjahr'!$D54,INDIRECT(W$4))+SUMIF(INDIRECT(W$3),'Struktur Vorjahr'!$D54,INDIRECT(W$5)))</f>
        <v>0</v>
      </c>
      <c r="X54" s="593">
        <f ca="1">$E54*(-SUMIF(INDIRECT(X$3),'Struktur Vorjahr'!$D54,INDIRECT(X$4))+SUMIF(INDIRECT(X$3),'Struktur Vorjahr'!$D54,INDIRECT(X$5)))</f>
        <v>0</v>
      </c>
      <c r="Y54" s="593">
        <f ca="1">$E54*(-SUMIF(INDIRECT(Y$3),'Struktur Vorjahr'!$D54,INDIRECT(Y$4))+SUMIF(INDIRECT(Y$3),'Struktur Vorjahr'!$D54,INDIRECT(Y$5)))</f>
        <v>0</v>
      </c>
      <c r="Z54" s="593">
        <f ca="1">$E54*(-SUMIF(INDIRECT(Z$3),'Struktur Vorjahr'!$D54,INDIRECT(Z$4))+SUMIF(INDIRECT(Z$3),'Struktur Vorjahr'!$D54,INDIRECT(Z$5)))</f>
        <v>0</v>
      </c>
      <c r="AA54" s="593">
        <f ca="1">$E54*(-SUMIF(INDIRECT(AA$3),'Struktur Vorjahr'!$D54,INDIRECT(AA$4))+SUMIF(INDIRECT(AA$3),'Struktur Vorjahr'!$D54,INDIRECT(AA$5)))</f>
        <v>0</v>
      </c>
      <c r="AB54" s="593">
        <f ca="1">$E54*(-SUMIF(INDIRECT(AB$3),'Struktur Vorjahr'!$D54,INDIRECT(AB$4))+SUMIF(INDIRECT(AB$3),'Struktur Vorjahr'!$D54,INDIRECT(AB$5)))</f>
        <v>0</v>
      </c>
      <c r="AC54" s="593">
        <f ca="1">$E54*(-SUMIF(INDIRECT(AC$3),'Struktur Vorjahr'!$D54,INDIRECT(AC$4))+SUMIF(INDIRECT(AC$3),'Struktur Vorjahr'!$D54,INDIRECT(AC$5)))</f>
        <v>0</v>
      </c>
      <c r="AD54" s="593">
        <f ca="1">$E54*(-SUMIF(INDIRECT(AD$3),'Struktur Vorjahr'!$D54,INDIRECT(AD$4))+SUMIF(INDIRECT(AD$3),'Struktur Vorjahr'!$D54,INDIRECT(AD$5)))</f>
        <v>0</v>
      </c>
      <c r="AE54" s="593">
        <f t="shared" ca="1" si="32"/>
        <v>0</v>
      </c>
      <c r="AF54" s="593">
        <f t="shared" ca="1" si="33"/>
        <v>0</v>
      </c>
      <c r="AG54" s="593">
        <f t="shared" ca="1" si="33"/>
        <v>0</v>
      </c>
      <c r="AH54" s="593">
        <f t="shared" ca="1" si="33"/>
        <v>0</v>
      </c>
      <c r="AI54" s="593">
        <f t="shared" ca="1" si="33"/>
        <v>0</v>
      </c>
      <c r="AJ54" s="593">
        <f t="shared" ca="1" si="33"/>
        <v>0</v>
      </c>
      <c r="AK54" s="593">
        <f t="shared" ca="1" si="33"/>
        <v>0</v>
      </c>
      <c r="AL54" s="593">
        <f t="shared" ca="1" si="33"/>
        <v>0</v>
      </c>
      <c r="AM54" s="593">
        <f t="shared" ca="1" si="33"/>
        <v>0</v>
      </c>
      <c r="AN54" s="593">
        <f t="shared" ca="1" si="33"/>
        <v>0</v>
      </c>
      <c r="AO54" s="593">
        <f t="shared" ca="1" si="33"/>
        <v>0</v>
      </c>
      <c r="AP54" s="593">
        <f t="shared" ca="1" si="33"/>
        <v>0</v>
      </c>
    </row>
    <row r="55" spans="1:42" s="594" customFormat="1" ht="11.25" outlineLevel="1" x14ac:dyDescent="0.2">
      <c r="A55" s="599"/>
      <c r="B55" s="591" t="str">
        <f>IF(D55&lt;&gt;"",
IF(ISERROR(MATCH(D55,'Ist Vorjahr Monat 01'!A:A,0))=FALSE,INDEX('Ist Vorjahr Monat 01'!B:B,MATCH(D55,'Ist Vorjahr Monat 01'!A:A,0)),
IF(ISERROR(MATCH(D55,'Ist Vorjahr Monat 02'!A:A,0))=FALSE,INDEX('Ist Vorjahr Monat 02'!B:B,MATCH(D55,'Ist Vorjahr Monat 02'!A:A,0)),
IF(ISERROR(MATCH(D55,'Ist Vorjahr Monat 03'!A:A,0))=FALSE,INDEX('Ist Vorjahr Monat 03'!B:B,MATCH(D55,'Ist Vorjahr Monat 03'!A:A,0)),
IF(ISERROR(MATCH(D55,'Ist Vorjahr Monat 04'!A:A,0))=FALSE,INDEX('Ist Vorjahr Monat 04'!B:B,MATCH(D55,'Ist Vorjahr Monat 04'!A:A,0)),
IF(ISERROR(MATCH(D55,'Ist Vorjahr Monat 05'!A:A,0))=FALSE,INDEX('Ist Vorjahr Monat 05'!B:B,MATCH(D55,'Ist Vorjahr Monat 05'!A:A,0)),
IF(ISERROR(MATCH(D55,'Ist Vorjahr Monat 06'!A:A,0))=FALSE,INDEX('Ist Vorjahr Monat 06'!B:B,MATCH(D55,'Ist Vorjahr Monat 06'!A:A,0)),
IF(ISERROR(MATCH(D55,'Ist Vorjahr Monat 07'!A:A,0))=FALSE,INDEX('Ist Vorjahr Monat 07'!B:B,MATCH(D55,'Ist Vorjahr Monat 07'!A:A,0)),
IF(ISERROR(MATCH(D55,'Ist Vorjahr Monat 08'!A:A,0))=FALSE,INDEX('Ist Vorjahr Monat 08'!B:B,MATCH(D55,'Ist Vorjahr Monat 08'!A:A,0)),
IF(ISERROR(MATCH(D55,'Ist Vorjahr Monat 09'!A:A,0))=FALSE,INDEX('Ist Vorjahr Monat 09'!B:B,MATCH(D55,'Ist Vorjahr Monat 09'!A:A,0)),
IF(ISERROR(MATCH(D55,'Ist Vorjahr Monat 10'!A:A,0))=FALSE,INDEX('Ist Vorjahr Monat 10'!B:B,MATCH(D55,'Ist Vorjahr Monat 10'!A:A,0)),
IF(ISERROR(MATCH(D55,'Ist Vorjahr Monat 11'!A:A,0))=FALSE,INDEX('Ist Vorjahr Monat 11'!B:B,MATCH(D55,'Ist Vorjahr Monat 11'!A:A,0)),
IF(ISERROR(MATCH(D55,'Ist Vorjahr Monat 12'!A:A,0))=FALSE,INDEX('Ist Vorjahr Monat 12'!B:B,MATCH(D55,'Ist Vorjahr Monat 12'!A:A,0)),
"{Konto unbekannt}"
)))))))))))),"")</f>
        <v/>
      </c>
      <c r="C55" s="591"/>
      <c r="D55" s="590"/>
      <c r="E55" s="592">
        <f t="shared" si="19"/>
        <v>1</v>
      </c>
      <c r="F55" s="599"/>
      <c r="G55" s="593">
        <f ca="1">$E55*(-SUMIF(INDIRECT(G$3),'Struktur Vorjahr'!$D55,INDIRECT(G$4))+SUMIF(INDIRECT(G$3),'Struktur Vorjahr'!$D55,INDIRECT(G$5)))</f>
        <v>0</v>
      </c>
      <c r="H55" s="593">
        <f ca="1">$E55*(-SUMIF(INDIRECT(H$3),'Struktur Vorjahr'!$D55,INDIRECT(H$4))+SUMIF(INDIRECT(H$3),'Struktur Vorjahr'!$D55,INDIRECT(H$5)))</f>
        <v>0</v>
      </c>
      <c r="I55" s="593">
        <f ca="1">$E55*(-SUMIF(INDIRECT(I$3),'Struktur Vorjahr'!$D55,INDIRECT(I$4))+SUMIF(INDIRECT(I$3),'Struktur Vorjahr'!$D55,INDIRECT(I$5)))</f>
        <v>0</v>
      </c>
      <c r="J55" s="593">
        <f ca="1">$E55*(-SUMIF(INDIRECT(J$3),'Struktur Vorjahr'!$D55,INDIRECT(J$4))+SUMIF(INDIRECT(J$3),'Struktur Vorjahr'!$D55,INDIRECT(J$5)))</f>
        <v>0</v>
      </c>
      <c r="K55" s="593">
        <f ca="1">$E55*(-SUMIF(INDIRECT(K$3),'Struktur Vorjahr'!$D55,INDIRECT(K$4))+SUMIF(INDIRECT(K$3),'Struktur Vorjahr'!$D55,INDIRECT(K$5)))</f>
        <v>0</v>
      </c>
      <c r="L55" s="593">
        <f ca="1">$E55*(-SUMIF(INDIRECT(L$3),'Struktur Vorjahr'!$D55,INDIRECT(L$4))+SUMIF(INDIRECT(L$3),'Struktur Vorjahr'!$D55,INDIRECT(L$5)))</f>
        <v>0</v>
      </c>
      <c r="M55" s="593">
        <f ca="1">$E55*(-SUMIF(INDIRECT(M$3),'Struktur Vorjahr'!$D55,INDIRECT(M$4))+SUMIF(INDIRECT(M$3),'Struktur Vorjahr'!$D55,INDIRECT(M$5)))</f>
        <v>0</v>
      </c>
      <c r="N55" s="593">
        <f ca="1">$E55*(-SUMIF(INDIRECT(N$3),'Struktur Vorjahr'!$D55,INDIRECT(N$4))+SUMIF(INDIRECT(N$3),'Struktur Vorjahr'!$D55,INDIRECT(N$5)))</f>
        <v>0</v>
      </c>
      <c r="O55" s="593">
        <f ca="1">$E55*(-SUMIF(INDIRECT(O$3),'Struktur Vorjahr'!$D55,INDIRECT(O$4))+SUMIF(INDIRECT(O$3),'Struktur Vorjahr'!$D55,INDIRECT(O$5)))</f>
        <v>0</v>
      </c>
      <c r="P55" s="593">
        <f ca="1">$E55*(-SUMIF(INDIRECT(P$3),'Struktur Vorjahr'!$D55,INDIRECT(P$4))+SUMIF(INDIRECT(P$3),'Struktur Vorjahr'!$D55,INDIRECT(P$5)))</f>
        <v>0</v>
      </c>
      <c r="Q55" s="593">
        <f ca="1">$E55*(-SUMIF(INDIRECT(Q$3),'Struktur Vorjahr'!$D55,INDIRECT(Q$4))+SUMIF(INDIRECT(Q$3),'Struktur Vorjahr'!$D55,INDIRECT(Q$5)))</f>
        <v>0</v>
      </c>
      <c r="R55" s="593">
        <f ca="1">$E55*(-SUMIF(INDIRECT(R$3),'Struktur Vorjahr'!$D55,INDIRECT(R$4))+SUMIF(INDIRECT(R$3),'Struktur Vorjahr'!$D55,INDIRECT(R$5)))</f>
        <v>0</v>
      </c>
      <c r="S55" s="593">
        <f ca="1">$E55*(-SUMIF(INDIRECT(S$3),'Struktur Vorjahr'!$D55,INDIRECT(S$4))+SUMIF(INDIRECT(S$3),'Struktur Vorjahr'!$D55,INDIRECT(S$5)))</f>
        <v>0</v>
      </c>
      <c r="T55" s="593">
        <f ca="1">$E55*(-SUMIF(INDIRECT(T$3),'Struktur Vorjahr'!$D55,INDIRECT(T$4))+SUMIF(INDIRECT(T$3),'Struktur Vorjahr'!$D55,INDIRECT(T$5)))</f>
        <v>0</v>
      </c>
      <c r="U55" s="593">
        <f ca="1">$E55*(-SUMIF(INDIRECT(U$3),'Struktur Vorjahr'!$D55,INDIRECT(U$4))+SUMIF(INDIRECT(U$3),'Struktur Vorjahr'!$D55,INDIRECT(U$5)))</f>
        <v>0</v>
      </c>
      <c r="V55" s="593">
        <f ca="1">$E55*(-SUMIF(INDIRECT(V$3),'Struktur Vorjahr'!$D55,INDIRECT(V$4))+SUMIF(INDIRECT(V$3),'Struktur Vorjahr'!$D55,INDIRECT(V$5)))</f>
        <v>0</v>
      </c>
      <c r="W55" s="593">
        <f ca="1">$E55*(-SUMIF(INDIRECT(W$3),'Struktur Vorjahr'!$D55,INDIRECT(W$4))+SUMIF(INDIRECT(W$3),'Struktur Vorjahr'!$D55,INDIRECT(W$5)))</f>
        <v>0</v>
      </c>
      <c r="X55" s="593">
        <f ca="1">$E55*(-SUMIF(INDIRECT(X$3),'Struktur Vorjahr'!$D55,INDIRECT(X$4))+SUMIF(INDIRECT(X$3),'Struktur Vorjahr'!$D55,INDIRECT(X$5)))</f>
        <v>0</v>
      </c>
      <c r="Y55" s="593">
        <f ca="1">$E55*(-SUMIF(INDIRECT(Y$3),'Struktur Vorjahr'!$D55,INDIRECT(Y$4))+SUMIF(INDIRECT(Y$3),'Struktur Vorjahr'!$D55,INDIRECT(Y$5)))</f>
        <v>0</v>
      </c>
      <c r="Z55" s="593">
        <f ca="1">$E55*(-SUMIF(INDIRECT(Z$3),'Struktur Vorjahr'!$D55,INDIRECT(Z$4))+SUMIF(INDIRECT(Z$3),'Struktur Vorjahr'!$D55,INDIRECT(Z$5)))</f>
        <v>0</v>
      </c>
      <c r="AA55" s="593">
        <f ca="1">$E55*(-SUMIF(INDIRECT(AA$3),'Struktur Vorjahr'!$D55,INDIRECT(AA$4))+SUMIF(INDIRECT(AA$3),'Struktur Vorjahr'!$D55,INDIRECT(AA$5)))</f>
        <v>0</v>
      </c>
      <c r="AB55" s="593">
        <f ca="1">$E55*(-SUMIF(INDIRECT(AB$3),'Struktur Vorjahr'!$D55,INDIRECT(AB$4))+SUMIF(INDIRECT(AB$3),'Struktur Vorjahr'!$D55,INDIRECT(AB$5)))</f>
        <v>0</v>
      </c>
      <c r="AC55" s="593">
        <f ca="1">$E55*(-SUMIF(INDIRECT(AC$3),'Struktur Vorjahr'!$D55,INDIRECT(AC$4))+SUMIF(INDIRECT(AC$3),'Struktur Vorjahr'!$D55,INDIRECT(AC$5)))</f>
        <v>0</v>
      </c>
      <c r="AD55" s="593">
        <f ca="1">$E55*(-SUMIF(INDIRECT(AD$3),'Struktur Vorjahr'!$D55,INDIRECT(AD$4))+SUMIF(INDIRECT(AD$3),'Struktur Vorjahr'!$D55,INDIRECT(AD$5)))</f>
        <v>0</v>
      </c>
      <c r="AE55" s="593">
        <f t="shared" ca="1" si="32"/>
        <v>0</v>
      </c>
      <c r="AF55" s="593">
        <f t="shared" ca="1" si="33"/>
        <v>0</v>
      </c>
      <c r="AG55" s="593">
        <f t="shared" ca="1" si="33"/>
        <v>0</v>
      </c>
      <c r="AH55" s="593">
        <f t="shared" ca="1" si="33"/>
        <v>0</v>
      </c>
      <c r="AI55" s="593">
        <f t="shared" ca="1" si="33"/>
        <v>0</v>
      </c>
      <c r="AJ55" s="593">
        <f t="shared" ca="1" si="33"/>
        <v>0</v>
      </c>
      <c r="AK55" s="593">
        <f t="shared" ca="1" si="33"/>
        <v>0</v>
      </c>
      <c r="AL55" s="593">
        <f t="shared" ca="1" si="33"/>
        <v>0</v>
      </c>
      <c r="AM55" s="593">
        <f t="shared" ca="1" si="33"/>
        <v>0</v>
      </c>
      <c r="AN55" s="593">
        <f t="shared" ca="1" si="33"/>
        <v>0</v>
      </c>
      <c r="AO55" s="593">
        <f t="shared" ca="1" si="33"/>
        <v>0</v>
      </c>
      <c r="AP55" s="593">
        <f t="shared" ca="1" si="33"/>
        <v>0</v>
      </c>
    </row>
    <row r="56" spans="1:42" s="594" customFormat="1" ht="11.25" outlineLevel="1" x14ac:dyDescent="0.2">
      <c r="A56" s="599"/>
      <c r="B56" s="591" t="str">
        <f>IF(D56&lt;&gt;"",
IF(ISERROR(MATCH(D56,'Ist Vorjahr Monat 01'!A:A,0))=FALSE,INDEX('Ist Vorjahr Monat 01'!B:B,MATCH(D56,'Ist Vorjahr Monat 01'!A:A,0)),
IF(ISERROR(MATCH(D56,'Ist Vorjahr Monat 02'!A:A,0))=FALSE,INDEX('Ist Vorjahr Monat 02'!B:B,MATCH(D56,'Ist Vorjahr Monat 02'!A:A,0)),
IF(ISERROR(MATCH(D56,'Ist Vorjahr Monat 03'!A:A,0))=FALSE,INDEX('Ist Vorjahr Monat 03'!B:B,MATCH(D56,'Ist Vorjahr Monat 03'!A:A,0)),
IF(ISERROR(MATCH(D56,'Ist Vorjahr Monat 04'!A:A,0))=FALSE,INDEX('Ist Vorjahr Monat 04'!B:B,MATCH(D56,'Ist Vorjahr Monat 04'!A:A,0)),
IF(ISERROR(MATCH(D56,'Ist Vorjahr Monat 05'!A:A,0))=FALSE,INDEX('Ist Vorjahr Monat 05'!B:B,MATCH(D56,'Ist Vorjahr Monat 05'!A:A,0)),
IF(ISERROR(MATCH(D56,'Ist Vorjahr Monat 06'!A:A,0))=FALSE,INDEX('Ist Vorjahr Monat 06'!B:B,MATCH(D56,'Ist Vorjahr Monat 06'!A:A,0)),
IF(ISERROR(MATCH(D56,'Ist Vorjahr Monat 07'!A:A,0))=FALSE,INDEX('Ist Vorjahr Monat 07'!B:B,MATCH(D56,'Ist Vorjahr Monat 07'!A:A,0)),
IF(ISERROR(MATCH(D56,'Ist Vorjahr Monat 08'!A:A,0))=FALSE,INDEX('Ist Vorjahr Monat 08'!B:B,MATCH(D56,'Ist Vorjahr Monat 08'!A:A,0)),
IF(ISERROR(MATCH(D56,'Ist Vorjahr Monat 09'!A:A,0))=FALSE,INDEX('Ist Vorjahr Monat 09'!B:B,MATCH(D56,'Ist Vorjahr Monat 09'!A:A,0)),
IF(ISERROR(MATCH(D56,'Ist Vorjahr Monat 10'!A:A,0))=FALSE,INDEX('Ist Vorjahr Monat 10'!B:B,MATCH(D56,'Ist Vorjahr Monat 10'!A:A,0)),
IF(ISERROR(MATCH(D56,'Ist Vorjahr Monat 11'!A:A,0))=FALSE,INDEX('Ist Vorjahr Monat 11'!B:B,MATCH(D56,'Ist Vorjahr Monat 11'!A:A,0)),
IF(ISERROR(MATCH(D56,'Ist Vorjahr Monat 12'!A:A,0))=FALSE,INDEX('Ist Vorjahr Monat 12'!B:B,MATCH(D56,'Ist Vorjahr Monat 12'!A:A,0)),
"{Konto unbekannt}"
)))))))))))),"")</f>
        <v/>
      </c>
      <c r="C56" s="591"/>
      <c r="D56" s="590"/>
      <c r="E56" s="592">
        <f>IF(F56="-",-1,1)</f>
        <v>1</v>
      </c>
      <c r="F56" s="599"/>
      <c r="G56" s="593">
        <f ca="1">$E56*(-SUMIF(INDIRECT(G$3),'Struktur Vorjahr'!$D56,INDIRECT(G$4))+SUMIF(INDIRECT(G$3),'Struktur Vorjahr'!$D56,INDIRECT(G$5)))</f>
        <v>0</v>
      </c>
      <c r="H56" s="593">
        <f ca="1">$E56*(-SUMIF(INDIRECT(H$3),'Struktur Vorjahr'!$D56,INDIRECT(H$4))+SUMIF(INDIRECT(H$3),'Struktur Vorjahr'!$D56,INDIRECT(H$5)))</f>
        <v>0</v>
      </c>
      <c r="I56" s="593">
        <f ca="1">$E56*(-SUMIF(INDIRECT(I$3),'Struktur Vorjahr'!$D56,INDIRECT(I$4))+SUMIF(INDIRECT(I$3),'Struktur Vorjahr'!$D56,INDIRECT(I$5)))</f>
        <v>0</v>
      </c>
      <c r="J56" s="593">
        <f ca="1">$E56*(-SUMIF(INDIRECT(J$3),'Struktur Vorjahr'!$D56,INDIRECT(J$4))+SUMIF(INDIRECT(J$3),'Struktur Vorjahr'!$D56,INDIRECT(J$5)))</f>
        <v>0</v>
      </c>
      <c r="K56" s="593">
        <f ca="1">$E56*(-SUMIF(INDIRECT(K$3),'Struktur Vorjahr'!$D56,INDIRECT(K$4))+SUMIF(INDIRECT(K$3),'Struktur Vorjahr'!$D56,INDIRECT(K$5)))</f>
        <v>0</v>
      </c>
      <c r="L56" s="593">
        <f ca="1">$E56*(-SUMIF(INDIRECT(L$3),'Struktur Vorjahr'!$D56,INDIRECT(L$4))+SUMIF(INDIRECT(L$3),'Struktur Vorjahr'!$D56,INDIRECT(L$5)))</f>
        <v>0</v>
      </c>
      <c r="M56" s="593">
        <f ca="1">$E56*(-SUMIF(INDIRECT(M$3),'Struktur Vorjahr'!$D56,INDIRECT(M$4))+SUMIF(INDIRECT(M$3),'Struktur Vorjahr'!$D56,INDIRECT(M$5)))</f>
        <v>0</v>
      </c>
      <c r="N56" s="593">
        <f ca="1">$E56*(-SUMIF(INDIRECT(N$3),'Struktur Vorjahr'!$D56,INDIRECT(N$4))+SUMIF(INDIRECT(N$3),'Struktur Vorjahr'!$D56,INDIRECT(N$5)))</f>
        <v>0</v>
      </c>
      <c r="O56" s="593">
        <f ca="1">$E56*(-SUMIF(INDIRECT(O$3),'Struktur Vorjahr'!$D56,INDIRECT(O$4))+SUMIF(INDIRECT(O$3),'Struktur Vorjahr'!$D56,INDIRECT(O$5)))</f>
        <v>0</v>
      </c>
      <c r="P56" s="593">
        <f ca="1">$E56*(-SUMIF(INDIRECT(P$3),'Struktur Vorjahr'!$D56,INDIRECT(P$4))+SUMIF(INDIRECT(P$3),'Struktur Vorjahr'!$D56,INDIRECT(P$5)))</f>
        <v>0</v>
      </c>
      <c r="Q56" s="593">
        <f ca="1">$E56*(-SUMIF(INDIRECT(Q$3),'Struktur Vorjahr'!$D56,INDIRECT(Q$4))+SUMIF(INDIRECT(Q$3),'Struktur Vorjahr'!$D56,INDIRECT(Q$5)))</f>
        <v>0</v>
      </c>
      <c r="R56" s="593">
        <f ca="1">$E56*(-SUMIF(INDIRECT(R$3),'Struktur Vorjahr'!$D56,INDIRECT(R$4))+SUMIF(INDIRECT(R$3),'Struktur Vorjahr'!$D56,INDIRECT(R$5)))</f>
        <v>0</v>
      </c>
      <c r="S56" s="593">
        <f ca="1">$E56*(-SUMIF(INDIRECT(S$3),'Struktur Vorjahr'!$D56,INDIRECT(S$4))+SUMIF(INDIRECT(S$3),'Struktur Vorjahr'!$D56,INDIRECT(S$5)))</f>
        <v>0</v>
      </c>
      <c r="T56" s="593">
        <f ca="1">$E56*(-SUMIF(INDIRECT(T$3),'Struktur Vorjahr'!$D56,INDIRECT(T$4))+SUMIF(INDIRECT(T$3),'Struktur Vorjahr'!$D56,INDIRECT(T$5)))</f>
        <v>0</v>
      </c>
      <c r="U56" s="593">
        <f ca="1">$E56*(-SUMIF(INDIRECT(U$3),'Struktur Vorjahr'!$D56,INDIRECT(U$4))+SUMIF(INDIRECT(U$3),'Struktur Vorjahr'!$D56,INDIRECT(U$5)))</f>
        <v>0</v>
      </c>
      <c r="V56" s="593">
        <f ca="1">$E56*(-SUMIF(INDIRECT(V$3),'Struktur Vorjahr'!$D56,INDIRECT(V$4))+SUMIF(INDIRECT(V$3),'Struktur Vorjahr'!$D56,INDIRECT(V$5)))</f>
        <v>0</v>
      </c>
      <c r="W56" s="593">
        <f ca="1">$E56*(-SUMIF(INDIRECT(W$3),'Struktur Vorjahr'!$D56,INDIRECT(W$4))+SUMIF(INDIRECT(W$3),'Struktur Vorjahr'!$D56,INDIRECT(W$5)))</f>
        <v>0</v>
      </c>
      <c r="X56" s="593">
        <f ca="1">$E56*(-SUMIF(INDIRECT(X$3),'Struktur Vorjahr'!$D56,INDIRECT(X$4))+SUMIF(INDIRECT(X$3),'Struktur Vorjahr'!$D56,INDIRECT(X$5)))</f>
        <v>0</v>
      </c>
      <c r="Y56" s="593">
        <f ca="1">$E56*(-SUMIF(INDIRECT(Y$3),'Struktur Vorjahr'!$D56,INDIRECT(Y$4))+SUMIF(INDIRECT(Y$3),'Struktur Vorjahr'!$D56,INDIRECT(Y$5)))</f>
        <v>0</v>
      </c>
      <c r="Z56" s="593">
        <f ca="1">$E56*(-SUMIF(INDIRECT(Z$3),'Struktur Vorjahr'!$D56,INDIRECT(Z$4))+SUMIF(INDIRECT(Z$3),'Struktur Vorjahr'!$D56,INDIRECT(Z$5)))</f>
        <v>0</v>
      </c>
      <c r="AA56" s="593">
        <f ca="1">$E56*(-SUMIF(INDIRECT(AA$3),'Struktur Vorjahr'!$D56,INDIRECT(AA$4))+SUMIF(INDIRECT(AA$3),'Struktur Vorjahr'!$D56,INDIRECT(AA$5)))</f>
        <v>0</v>
      </c>
      <c r="AB56" s="593">
        <f ca="1">$E56*(-SUMIF(INDIRECT(AB$3),'Struktur Vorjahr'!$D56,INDIRECT(AB$4))+SUMIF(INDIRECT(AB$3),'Struktur Vorjahr'!$D56,INDIRECT(AB$5)))</f>
        <v>0</v>
      </c>
      <c r="AC56" s="593">
        <f ca="1">$E56*(-SUMIF(INDIRECT(AC$3),'Struktur Vorjahr'!$D56,INDIRECT(AC$4))+SUMIF(INDIRECT(AC$3),'Struktur Vorjahr'!$D56,INDIRECT(AC$5)))</f>
        <v>0</v>
      </c>
      <c r="AD56" s="593">
        <f ca="1">$E56*(-SUMIF(INDIRECT(AD$3),'Struktur Vorjahr'!$D56,INDIRECT(AD$4))+SUMIF(INDIRECT(AD$3),'Struktur Vorjahr'!$D56,INDIRECT(AD$5)))</f>
        <v>0</v>
      </c>
      <c r="AE56" s="593">
        <f t="shared" ca="1" si="32"/>
        <v>0</v>
      </c>
      <c r="AF56" s="593">
        <f t="shared" ca="1" si="33"/>
        <v>0</v>
      </c>
      <c r="AG56" s="593">
        <f t="shared" ca="1" si="33"/>
        <v>0</v>
      </c>
      <c r="AH56" s="593">
        <f t="shared" ca="1" si="33"/>
        <v>0</v>
      </c>
      <c r="AI56" s="593">
        <f t="shared" ca="1" si="33"/>
        <v>0</v>
      </c>
      <c r="AJ56" s="593">
        <f t="shared" ca="1" si="33"/>
        <v>0</v>
      </c>
      <c r="AK56" s="593">
        <f t="shared" ca="1" si="33"/>
        <v>0</v>
      </c>
      <c r="AL56" s="593">
        <f t="shared" ca="1" si="33"/>
        <v>0</v>
      </c>
      <c r="AM56" s="593">
        <f t="shared" ca="1" si="33"/>
        <v>0</v>
      </c>
      <c r="AN56" s="593">
        <f t="shared" ca="1" si="33"/>
        <v>0</v>
      </c>
      <c r="AO56" s="593">
        <f t="shared" ca="1" si="33"/>
        <v>0</v>
      </c>
      <c r="AP56" s="593">
        <f t="shared" ca="1" si="33"/>
        <v>0</v>
      </c>
    </row>
    <row r="57" spans="1:42" s="594" customFormat="1" ht="11.25" outlineLevel="1" x14ac:dyDescent="0.2">
      <c r="A57" s="599"/>
      <c r="B57" s="591" t="str">
        <f>IF(D57&lt;&gt;"",
IF(ISERROR(MATCH(D57,'Ist Vorjahr Monat 01'!A:A,0))=FALSE,INDEX('Ist Vorjahr Monat 01'!B:B,MATCH(D57,'Ist Vorjahr Monat 01'!A:A,0)),
IF(ISERROR(MATCH(D57,'Ist Vorjahr Monat 02'!A:A,0))=FALSE,INDEX('Ist Vorjahr Monat 02'!B:B,MATCH(D57,'Ist Vorjahr Monat 02'!A:A,0)),
IF(ISERROR(MATCH(D57,'Ist Vorjahr Monat 03'!A:A,0))=FALSE,INDEX('Ist Vorjahr Monat 03'!B:B,MATCH(D57,'Ist Vorjahr Monat 03'!A:A,0)),
IF(ISERROR(MATCH(D57,'Ist Vorjahr Monat 04'!A:A,0))=FALSE,INDEX('Ist Vorjahr Monat 04'!B:B,MATCH(D57,'Ist Vorjahr Monat 04'!A:A,0)),
IF(ISERROR(MATCH(D57,'Ist Vorjahr Monat 05'!A:A,0))=FALSE,INDEX('Ist Vorjahr Monat 05'!B:B,MATCH(D57,'Ist Vorjahr Monat 05'!A:A,0)),
IF(ISERROR(MATCH(D57,'Ist Vorjahr Monat 06'!A:A,0))=FALSE,INDEX('Ist Vorjahr Monat 06'!B:B,MATCH(D57,'Ist Vorjahr Monat 06'!A:A,0)),
IF(ISERROR(MATCH(D57,'Ist Vorjahr Monat 07'!A:A,0))=FALSE,INDEX('Ist Vorjahr Monat 07'!B:B,MATCH(D57,'Ist Vorjahr Monat 07'!A:A,0)),
IF(ISERROR(MATCH(D57,'Ist Vorjahr Monat 08'!A:A,0))=FALSE,INDEX('Ist Vorjahr Monat 08'!B:B,MATCH(D57,'Ist Vorjahr Monat 08'!A:A,0)),
IF(ISERROR(MATCH(D57,'Ist Vorjahr Monat 09'!A:A,0))=FALSE,INDEX('Ist Vorjahr Monat 09'!B:B,MATCH(D57,'Ist Vorjahr Monat 09'!A:A,0)),
IF(ISERROR(MATCH(D57,'Ist Vorjahr Monat 10'!A:A,0))=FALSE,INDEX('Ist Vorjahr Monat 10'!B:B,MATCH(D57,'Ist Vorjahr Monat 10'!A:A,0)),
IF(ISERROR(MATCH(D57,'Ist Vorjahr Monat 11'!A:A,0))=FALSE,INDEX('Ist Vorjahr Monat 11'!B:B,MATCH(D57,'Ist Vorjahr Monat 11'!A:A,0)),
IF(ISERROR(MATCH(D57,'Ist Vorjahr Monat 12'!A:A,0))=FALSE,INDEX('Ist Vorjahr Monat 12'!B:B,MATCH(D57,'Ist Vorjahr Monat 12'!A:A,0)),
"{Konto unbekannt}"
)))))))))))),"")</f>
        <v/>
      </c>
      <c r="C57" s="591"/>
      <c r="D57" s="590"/>
      <c r="E57" s="592">
        <f t="shared" si="19"/>
        <v>1</v>
      </c>
      <c r="F57" s="599"/>
      <c r="G57" s="593">
        <f ca="1">$E57*(-SUMIF(INDIRECT(G$3),'Struktur Vorjahr'!$D57,INDIRECT(G$4))+SUMIF(INDIRECT(G$3),'Struktur Vorjahr'!$D57,INDIRECT(G$5)))</f>
        <v>0</v>
      </c>
      <c r="H57" s="593">
        <f ca="1">$E57*(-SUMIF(INDIRECT(H$3),'Struktur Vorjahr'!$D57,INDIRECT(H$4))+SUMIF(INDIRECT(H$3),'Struktur Vorjahr'!$D57,INDIRECT(H$5)))</f>
        <v>0</v>
      </c>
      <c r="I57" s="593">
        <f ca="1">$E57*(-SUMIF(INDIRECT(I$3),'Struktur Vorjahr'!$D57,INDIRECT(I$4))+SUMIF(INDIRECT(I$3),'Struktur Vorjahr'!$D57,INDIRECT(I$5)))</f>
        <v>0</v>
      </c>
      <c r="J57" s="593">
        <f ca="1">$E57*(-SUMIF(INDIRECT(J$3),'Struktur Vorjahr'!$D57,INDIRECT(J$4))+SUMIF(INDIRECT(J$3),'Struktur Vorjahr'!$D57,INDIRECT(J$5)))</f>
        <v>0</v>
      </c>
      <c r="K57" s="593">
        <f ca="1">$E57*(-SUMIF(INDIRECT(K$3),'Struktur Vorjahr'!$D57,INDIRECT(K$4))+SUMIF(INDIRECT(K$3),'Struktur Vorjahr'!$D57,INDIRECT(K$5)))</f>
        <v>0</v>
      </c>
      <c r="L57" s="593">
        <f ca="1">$E57*(-SUMIF(INDIRECT(L$3),'Struktur Vorjahr'!$D57,INDIRECT(L$4))+SUMIF(INDIRECT(L$3),'Struktur Vorjahr'!$D57,INDIRECT(L$5)))</f>
        <v>0</v>
      </c>
      <c r="M57" s="593">
        <f ca="1">$E57*(-SUMIF(INDIRECT(M$3),'Struktur Vorjahr'!$D57,INDIRECT(M$4))+SUMIF(INDIRECT(M$3),'Struktur Vorjahr'!$D57,INDIRECT(M$5)))</f>
        <v>0</v>
      </c>
      <c r="N57" s="593">
        <f ca="1">$E57*(-SUMIF(INDIRECT(N$3),'Struktur Vorjahr'!$D57,INDIRECT(N$4))+SUMIF(INDIRECT(N$3),'Struktur Vorjahr'!$D57,INDIRECT(N$5)))</f>
        <v>0</v>
      </c>
      <c r="O57" s="593">
        <f ca="1">$E57*(-SUMIF(INDIRECT(O$3),'Struktur Vorjahr'!$D57,INDIRECT(O$4))+SUMIF(INDIRECT(O$3),'Struktur Vorjahr'!$D57,INDIRECT(O$5)))</f>
        <v>0</v>
      </c>
      <c r="P57" s="593">
        <f ca="1">$E57*(-SUMIF(INDIRECT(P$3),'Struktur Vorjahr'!$D57,INDIRECT(P$4))+SUMIF(INDIRECT(P$3),'Struktur Vorjahr'!$D57,INDIRECT(P$5)))</f>
        <v>0</v>
      </c>
      <c r="Q57" s="593">
        <f ca="1">$E57*(-SUMIF(INDIRECT(Q$3),'Struktur Vorjahr'!$D57,INDIRECT(Q$4))+SUMIF(INDIRECT(Q$3),'Struktur Vorjahr'!$D57,INDIRECT(Q$5)))</f>
        <v>0</v>
      </c>
      <c r="R57" s="593">
        <f ca="1">$E57*(-SUMIF(INDIRECT(R$3),'Struktur Vorjahr'!$D57,INDIRECT(R$4))+SUMIF(INDIRECT(R$3),'Struktur Vorjahr'!$D57,INDIRECT(R$5)))</f>
        <v>0</v>
      </c>
      <c r="S57" s="593">
        <f ca="1">$E57*(-SUMIF(INDIRECT(S$3),'Struktur Vorjahr'!$D57,INDIRECT(S$4))+SUMIF(INDIRECT(S$3),'Struktur Vorjahr'!$D57,INDIRECT(S$5)))</f>
        <v>0</v>
      </c>
      <c r="T57" s="593">
        <f ca="1">$E57*(-SUMIF(INDIRECT(T$3),'Struktur Vorjahr'!$D57,INDIRECT(T$4))+SUMIF(INDIRECT(T$3),'Struktur Vorjahr'!$D57,INDIRECT(T$5)))</f>
        <v>0</v>
      </c>
      <c r="U57" s="593">
        <f ca="1">$E57*(-SUMIF(INDIRECT(U$3),'Struktur Vorjahr'!$D57,INDIRECT(U$4))+SUMIF(INDIRECT(U$3),'Struktur Vorjahr'!$D57,INDIRECT(U$5)))</f>
        <v>0</v>
      </c>
      <c r="V57" s="593">
        <f ca="1">$E57*(-SUMIF(INDIRECT(V$3),'Struktur Vorjahr'!$D57,INDIRECT(V$4))+SUMIF(INDIRECT(V$3),'Struktur Vorjahr'!$D57,INDIRECT(V$5)))</f>
        <v>0</v>
      </c>
      <c r="W57" s="593">
        <f ca="1">$E57*(-SUMIF(INDIRECT(W$3),'Struktur Vorjahr'!$D57,INDIRECT(W$4))+SUMIF(INDIRECT(W$3),'Struktur Vorjahr'!$D57,INDIRECT(W$5)))</f>
        <v>0</v>
      </c>
      <c r="X57" s="593">
        <f ca="1">$E57*(-SUMIF(INDIRECT(X$3),'Struktur Vorjahr'!$D57,INDIRECT(X$4))+SUMIF(INDIRECT(X$3),'Struktur Vorjahr'!$D57,INDIRECT(X$5)))</f>
        <v>0</v>
      </c>
      <c r="Y57" s="593">
        <f ca="1">$E57*(-SUMIF(INDIRECT(Y$3),'Struktur Vorjahr'!$D57,INDIRECT(Y$4))+SUMIF(INDIRECT(Y$3),'Struktur Vorjahr'!$D57,INDIRECT(Y$5)))</f>
        <v>0</v>
      </c>
      <c r="Z57" s="593">
        <f ca="1">$E57*(-SUMIF(INDIRECT(Z$3),'Struktur Vorjahr'!$D57,INDIRECT(Z$4))+SUMIF(INDIRECT(Z$3),'Struktur Vorjahr'!$D57,INDIRECT(Z$5)))</f>
        <v>0</v>
      </c>
      <c r="AA57" s="593">
        <f ca="1">$E57*(-SUMIF(INDIRECT(AA$3),'Struktur Vorjahr'!$D57,INDIRECT(AA$4))+SUMIF(INDIRECT(AA$3),'Struktur Vorjahr'!$D57,INDIRECT(AA$5)))</f>
        <v>0</v>
      </c>
      <c r="AB57" s="593">
        <f ca="1">$E57*(-SUMIF(INDIRECT(AB$3),'Struktur Vorjahr'!$D57,INDIRECT(AB$4))+SUMIF(INDIRECT(AB$3),'Struktur Vorjahr'!$D57,INDIRECT(AB$5)))</f>
        <v>0</v>
      </c>
      <c r="AC57" s="593">
        <f ca="1">$E57*(-SUMIF(INDIRECT(AC$3),'Struktur Vorjahr'!$D57,INDIRECT(AC$4))+SUMIF(INDIRECT(AC$3),'Struktur Vorjahr'!$D57,INDIRECT(AC$5)))</f>
        <v>0</v>
      </c>
      <c r="AD57" s="593">
        <f ca="1">$E57*(-SUMIF(INDIRECT(AD$3),'Struktur Vorjahr'!$D57,INDIRECT(AD$4))+SUMIF(INDIRECT(AD$3),'Struktur Vorjahr'!$D57,INDIRECT(AD$5)))</f>
        <v>0</v>
      </c>
      <c r="AE57" s="593">
        <f t="shared" ca="1" si="32"/>
        <v>0</v>
      </c>
      <c r="AF57" s="593">
        <f t="shared" ca="1" si="33"/>
        <v>0</v>
      </c>
      <c r="AG57" s="593">
        <f t="shared" ca="1" si="33"/>
        <v>0</v>
      </c>
      <c r="AH57" s="593">
        <f t="shared" ca="1" si="33"/>
        <v>0</v>
      </c>
      <c r="AI57" s="593">
        <f t="shared" ca="1" si="33"/>
        <v>0</v>
      </c>
      <c r="AJ57" s="593">
        <f t="shared" ca="1" si="33"/>
        <v>0</v>
      </c>
      <c r="AK57" s="593">
        <f t="shared" ca="1" si="33"/>
        <v>0</v>
      </c>
      <c r="AL57" s="593">
        <f t="shared" ca="1" si="33"/>
        <v>0</v>
      </c>
      <c r="AM57" s="593">
        <f t="shared" ca="1" si="33"/>
        <v>0</v>
      </c>
      <c r="AN57" s="593">
        <f t="shared" ca="1" si="33"/>
        <v>0</v>
      </c>
      <c r="AO57" s="593">
        <f t="shared" ca="1" si="33"/>
        <v>0</v>
      </c>
      <c r="AP57" s="593">
        <f t="shared" ca="1" si="33"/>
        <v>0</v>
      </c>
    </row>
    <row r="58" spans="1:42" s="594" customFormat="1" ht="11.25" outlineLevel="1" x14ac:dyDescent="0.2">
      <c r="A58" s="599"/>
      <c r="B58" s="591" t="str">
        <f>IF(D58&lt;&gt;"",
IF(ISERROR(MATCH(D58,'Ist Vorjahr Monat 01'!A:A,0))=FALSE,INDEX('Ist Vorjahr Monat 01'!B:B,MATCH(D58,'Ist Vorjahr Monat 01'!A:A,0)),
IF(ISERROR(MATCH(D58,'Ist Vorjahr Monat 02'!A:A,0))=FALSE,INDEX('Ist Vorjahr Monat 02'!B:B,MATCH(D58,'Ist Vorjahr Monat 02'!A:A,0)),
IF(ISERROR(MATCH(D58,'Ist Vorjahr Monat 03'!A:A,0))=FALSE,INDEX('Ist Vorjahr Monat 03'!B:B,MATCH(D58,'Ist Vorjahr Monat 03'!A:A,0)),
IF(ISERROR(MATCH(D58,'Ist Vorjahr Monat 04'!A:A,0))=FALSE,INDEX('Ist Vorjahr Monat 04'!B:B,MATCH(D58,'Ist Vorjahr Monat 04'!A:A,0)),
IF(ISERROR(MATCH(D58,'Ist Vorjahr Monat 05'!A:A,0))=FALSE,INDEX('Ist Vorjahr Monat 05'!B:B,MATCH(D58,'Ist Vorjahr Monat 05'!A:A,0)),
IF(ISERROR(MATCH(D58,'Ist Vorjahr Monat 06'!A:A,0))=FALSE,INDEX('Ist Vorjahr Monat 06'!B:B,MATCH(D58,'Ist Vorjahr Monat 06'!A:A,0)),
IF(ISERROR(MATCH(D58,'Ist Vorjahr Monat 07'!A:A,0))=FALSE,INDEX('Ist Vorjahr Monat 07'!B:B,MATCH(D58,'Ist Vorjahr Monat 07'!A:A,0)),
IF(ISERROR(MATCH(D58,'Ist Vorjahr Monat 08'!A:A,0))=FALSE,INDEX('Ist Vorjahr Monat 08'!B:B,MATCH(D58,'Ist Vorjahr Monat 08'!A:A,0)),
IF(ISERROR(MATCH(D58,'Ist Vorjahr Monat 09'!A:A,0))=FALSE,INDEX('Ist Vorjahr Monat 09'!B:B,MATCH(D58,'Ist Vorjahr Monat 09'!A:A,0)),
IF(ISERROR(MATCH(D58,'Ist Vorjahr Monat 10'!A:A,0))=FALSE,INDEX('Ist Vorjahr Monat 10'!B:B,MATCH(D58,'Ist Vorjahr Monat 10'!A:A,0)),
IF(ISERROR(MATCH(D58,'Ist Vorjahr Monat 11'!A:A,0))=FALSE,INDEX('Ist Vorjahr Monat 11'!B:B,MATCH(D58,'Ist Vorjahr Monat 11'!A:A,0)),
IF(ISERROR(MATCH(D58,'Ist Vorjahr Monat 12'!A:A,0))=FALSE,INDEX('Ist Vorjahr Monat 12'!B:B,MATCH(D58,'Ist Vorjahr Monat 12'!A:A,0)),
"{Konto unbekannt}"
)))))))))))),"")</f>
        <v/>
      </c>
      <c r="C58" s="591"/>
      <c r="D58" s="590"/>
      <c r="E58" s="592">
        <f t="shared" si="19"/>
        <v>1</v>
      </c>
      <c r="F58" s="599"/>
      <c r="G58" s="593">
        <f ca="1">$E58*(-SUMIF(INDIRECT(G$3),'Struktur Vorjahr'!$D58,INDIRECT(G$4))+SUMIF(INDIRECT(G$3),'Struktur Vorjahr'!$D58,INDIRECT(G$5)))</f>
        <v>0</v>
      </c>
      <c r="H58" s="593">
        <f ca="1">$E58*(-SUMIF(INDIRECT(H$3),'Struktur Vorjahr'!$D58,INDIRECT(H$4))+SUMIF(INDIRECT(H$3),'Struktur Vorjahr'!$D58,INDIRECT(H$5)))</f>
        <v>0</v>
      </c>
      <c r="I58" s="593">
        <f ca="1">$E58*(-SUMIF(INDIRECT(I$3),'Struktur Vorjahr'!$D58,INDIRECT(I$4))+SUMIF(INDIRECT(I$3),'Struktur Vorjahr'!$D58,INDIRECT(I$5)))</f>
        <v>0</v>
      </c>
      <c r="J58" s="593">
        <f ca="1">$E58*(-SUMIF(INDIRECT(J$3),'Struktur Vorjahr'!$D58,INDIRECT(J$4))+SUMIF(INDIRECT(J$3),'Struktur Vorjahr'!$D58,INDIRECT(J$5)))</f>
        <v>0</v>
      </c>
      <c r="K58" s="593">
        <f ca="1">$E58*(-SUMIF(INDIRECT(K$3),'Struktur Vorjahr'!$D58,INDIRECT(K$4))+SUMIF(INDIRECT(K$3),'Struktur Vorjahr'!$D58,INDIRECT(K$5)))</f>
        <v>0</v>
      </c>
      <c r="L58" s="593">
        <f ca="1">$E58*(-SUMIF(INDIRECT(L$3),'Struktur Vorjahr'!$D58,INDIRECT(L$4))+SUMIF(INDIRECT(L$3),'Struktur Vorjahr'!$D58,INDIRECT(L$5)))</f>
        <v>0</v>
      </c>
      <c r="M58" s="593">
        <f ca="1">$E58*(-SUMIF(INDIRECT(M$3),'Struktur Vorjahr'!$D58,INDIRECT(M$4))+SUMIF(INDIRECT(M$3),'Struktur Vorjahr'!$D58,INDIRECT(M$5)))</f>
        <v>0</v>
      </c>
      <c r="N58" s="593">
        <f ca="1">$E58*(-SUMIF(INDIRECT(N$3),'Struktur Vorjahr'!$D58,INDIRECT(N$4))+SUMIF(INDIRECT(N$3),'Struktur Vorjahr'!$D58,INDIRECT(N$5)))</f>
        <v>0</v>
      </c>
      <c r="O58" s="593">
        <f ca="1">$E58*(-SUMIF(INDIRECT(O$3),'Struktur Vorjahr'!$D58,INDIRECT(O$4))+SUMIF(INDIRECT(O$3),'Struktur Vorjahr'!$D58,INDIRECT(O$5)))</f>
        <v>0</v>
      </c>
      <c r="P58" s="593">
        <f ca="1">$E58*(-SUMIF(INDIRECT(P$3),'Struktur Vorjahr'!$D58,INDIRECT(P$4))+SUMIF(INDIRECT(P$3),'Struktur Vorjahr'!$D58,INDIRECT(P$5)))</f>
        <v>0</v>
      </c>
      <c r="Q58" s="593">
        <f ca="1">$E58*(-SUMIF(INDIRECT(Q$3),'Struktur Vorjahr'!$D58,INDIRECT(Q$4))+SUMIF(INDIRECT(Q$3),'Struktur Vorjahr'!$D58,INDIRECT(Q$5)))</f>
        <v>0</v>
      </c>
      <c r="R58" s="593">
        <f ca="1">$E58*(-SUMIF(INDIRECT(R$3),'Struktur Vorjahr'!$D58,INDIRECT(R$4))+SUMIF(INDIRECT(R$3),'Struktur Vorjahr'!$D58,INDIRECT(R$5)))</f>
        <v>0</v>
      </c>
      <c r="S58" s="593">
        <f ca="1">$E58*(-SUMIF(INDIRECT(S$3),'Struktur Vorjahr'!$D58,INDIRECT(S$4))+SUMIF(INDIRECT(S$3),'Struktur Vorjahr'!$D58,INDIRECT(S$5)))</f>
        <v>0</v>
      </c>
      <c r="T58" s="593">
        <f ca="1">$E58*(-SUMIF(INDIRECT(T$3),'Struktur Vorjahr'!$D58,INDIRECT(T$4))+SUMIF(INDIRECT(T$3),'Struktur Vorjahr'!$D58,INDIRECT(T$5)))</f>
        <v>0</v>
      </c>
      <c r="U58" s="593">
        <f ca="1">$E58*(-SUMIF(INDIRECT(U$3),'Struktur Vorjahr'!$D58,INDIRECT(U$4))+SUMIF(INDIRECT(U$3),'Struktur Vorjahr'!$D58,INDIRECT(U$5)))</f>
        <v>0</v>
      </c>
      <c r="V58" s="593">
        <f ca="1">$E58*(-SUMIF(INDIRECT(V$3),'Struktur Vorjahr'!$D58,INDIRECT(V$4))+SUMIF(INDIRECT(V$3),'Struktur Vorjahr'!$D58,INDIRECT(V$5)))</f>
        <v>0</v>
      </c>
      <c r="W58" s="593">
        <f ca="1">$E58*(-SUMIF(INDIRECT(W$3),'Struktur Vorjahr'!$D58,INDIRECT(W$4))+SUMIF(INDIRECT(W$3),'Struktur Vorjahr'!$D58,INDIRECT(W$5)))</f>
        <v>0</v>
      </c>
      <c r="X58" s="593">
        <f ca="1">$E58*(-SUMIF(INDIRECT(X$3),'Struktur Vorjahr'!$D58,INDIRECT(X$4))+SUMIF(INDIRECT(X$3),'Struktur Vorjahr'!$D58,INDIRECT(X$5)))</f>
        <v>0</v>
      </c>
      <c r="Y58" s="593">
        <f ca="1">$E58*(-SUMIF(INDIRECT(Y$3),'Struktur Vorjahr'!$D58,INDIRECT(Y$4))+SUMIF(INDIRECT(Y$3),'Struktur Vorjahr'!$D58,INDIRECT(Y$5)))</f>
        <v>0</v>
      </c>
      <c r="Z58" s="593">
        <f ca="1">$E58*(-SUMIF(INDIRECT(Z$3),'Struktur Vorjahr'!$D58,INDIRECT(Z$4))+SUMIF(INDIRECT(Z$3),'Struktur Vorjahr'!$D58,INDIRECT(Z$5)))</f>
        <v>0</v>
      </c>
      <c r="AA58" s="593">
        <f ca="1">$E58*(-SUMIF(INDIRECT(AA$3),'Struktur Vorjahr'!$D58,INDIRECT(AA$4))+SUMIF(INDIRECT(AA$3),'Struktur Vorjahr'!$D58,INDIRECT(AA$5)))</f>
        <v>0</v>
      </c>
      <c r="AB58" s="593">
        <f ca="1">$E58*(-SUMIF(INDIRECT(AB$3),'Struktur Vorjahr'!$D58,INDIRECT(AB$4))+SUMIF(INDIRECT(AB$3),'Struktur Vorjahr'!$D58,INDIRECT(AB$5)))</f>
        <v>0</v>
      </c>
      <c r="AC58" s="593">
        <f ca="1">$E58*(-SUMIF(INDIRECT(AC$3),'Struktur Vorjahr'!$D58,INDIRECT(AC$4))+SUMIF(INDIRECT(AC$3),'Struktur Vorjahr'!$D58,INDIRECT(AC$5)))</f>
        <v>0</v>
      </c>
      <c r="AD58" s="593">
        <f ca="1">$E58*(-SUMIF(INDIRECT(AD$3),'Struktur Vorjahr'!$D58,INDIRECT(AD$4))+SUMIF(INDIRECT(AD$3),'Struktur Vorjahr'!$D58,INDIRECT(AD$5)))</f>
        <v>0</v>
      </c>
      <c r="AE58" s="593">
        <f t="shared" ca="1" si="32"/>
        <v>0</v>
      </c>
      <c r="AF58" s="593">
        <f t="shared" ca="1" si="33"/>
        <v>0</v>
      </c>
      <c r="AG58" s="593">
        <f t="shared" ca="1" si="33"/>
        <v>0</v>
      </c>
      <c r="AH58" s="593">
        <f t="shared" ca="1" si="33"/>
        <v>0</v>
      </c>
      <c r="AI58" s="593">
        <f t="shared" ca="1" si="33"/>
        <v>0</v>
      </c>
      <c r="AJ58" s="593">
        <f t="shared" ca="1" si="33"/>
        <v>0</v>
      </c>
      <c r="AK58" s="593">
        <f t="shared" ca="1" si="33"/>
        <v>0</v>
      </c>
      <c r="AL58" s="593">
        <f t="shared" ca="1" si="33"/>
        <v>0</v>
      </c>
      <c r="AM58" s="593">
        <f t="shared" ca="1" si="33"/>
        <v>0</v>
      </c>
      <c r="AN58" s="593">
        <f t="shared" ca="1" si="33"/>
        <v>0</v>
      </c>
      <c r="AO58" s="593">
        <f t="shared" ca="1" si="33"/>
        <v>0</v>
      </c>
      <c r="AP58" s="593">
        <f t="shared" ca="1" si="33"/>
        <v>0</v>
      </c>
    </row>
    <row r="59" spans="1:42" s="594" customFormat="1" ht="11.25" outlineLevel="1" x14ac:dyDescent="0.2">
      <c r="A59" s="599"/>
      <c r="B59" s="591" t="str">
        <f>IF(D59&lt;&gt;"",
IF(ISERROR(MATCH(D59,'Ist Vorjahr Monat 01'!A:A,0))=FALSE,INDEX('Ist Vorjahr Monat 01'!B:B,MATCH(D59,'Ist Vorjahr Monat 01'!A:A,0)),
IF(ISERROR(MATCH(D59,'Ist Vorjahr Monat 02'!A:A,0))=FALSE,INDEX('Ist Vorjahr Monat 02'!B:B,MATCH(D59,'Ist Vorjahr Monat 02'!A:A,0)),
IF(ISERROR(MATCH(D59,'Ist Vorjahr Monat 03'!A:A,0))=FALSE,INDEX('Ist Vorjahr Monat 03'!B:B,MATCH(D59,'Ist Vorjahr Monat 03'!A:A,0)),
IF(ISERROR(MATCH(D59,'Ist Vorjahr Monat 04'!A:A,0))=FALSE,INDEX('Ist Vorjahr Monat 04'!B:B,MATCH(D59,'Ist Vorjahr Monat 04'!A:A,0)),
IF(ISERROR(MATCH(D59,'Ist Vorjahr Monat 05'!A:A,0))=FALSE,INDEX('Ist Vorjahr Monat 05'!B:B,MATCH(D59,'Ist Vorjahr Monat 05'!A:A,0)),
IF(ISERROR(MATCH(D59,'Ist Vorjahr Monat 06'!A:A,0))=FALSE,INDEX('Ist Vorjahr Monat 06'!B:B,MATCH(D59,'Ist Vorjahr Monat 06'!A:A,0)),
IF(ISERROR(MATCH(D59,'Ist Vorjahr Monat 07'!A:A,0))=FALSE,INDEX('Ist Vorjahr Monat 07'!B:B,MATCH(D59,'Ist Vorjahr Monat 07'!A:A,0)),
IF(ISERROR(MATCH(D59,'Ist Vorjahr Monat 08'!A:A,0))=FALSE,INDEX('Ist Vorjahr Monat 08'!B:B,MATCH(D59,'Ist Vorjahr Monat 08'!A:A,0)),
IF(ISERROR(MATCH(D59,'Ist Vorjahr Monat 09'!A:A,0))=FALSE,INDEX('Ist Vorjahr Monat 09'!B:B,MATCH(D59,'Ist Vorjahr Monat 09'!A:A,0)),
IF(ISERROR(MATCH(D59,'Ist Vorjahr Monat 10'!A:A,0))=FALSE,INDEX('Ist Vorjahr Monat 10'!B:B,MATCH(D59,'Ist Vorjahr Monat 10'!A:A,0)),
IF(ISERROR(MATCH(D59,'Ist Vorjahr Monat 11'!A:A,0))=FALSE,INDEX('Ist Vorjahr Monat 11'!B:B,MATCH(D59,'Ist Vorjahr Monat 11'!A:A,0)),
IF(ISERROR(MATCH(D59,'Ist Vorjahr Monat 12'!A:A,0))=FALSE,INDEX('Ist Vorjahr Monat 12'!B:B,MATCH(D59,'Ist Vorjahr Monat 12'!A:A,0)),
"{Konto unbekannt}"
)))))))))))),"")</f>
        <v/>
      </c>
      <c r="C59" s="591"/>
      <c r="D59" s="590"/>
      <c r="E59" s="592">
        <f>IF(F59="-",-1,1)</f>
        <v>1</v>
      </c>
      <c r="F59" s="599"/>
      <c r="G59" s="593">
        <f ca="1">$E59*(-SUMIF(INDIRECT(G$3),'Struktur Vorjahr'!$D59,INDIRECT(G$4))+SUMIF(INDIRECT(G$3),'Struktur Vorjahr'!$D59,INDIRECT(G$5)))</f>
        <v>0</v>
      </c>
      <c r="H59" s="593">
        <f ca="1">$E59*(-SUMIF(INDIRECT(H$3),'Struktur Vorjahr'!$D59,INDIRECT(H$4))+SUMIF(INDIRECT(H$3),'Struktur Vorjahr'!$D59,INDIRECT(H$5)))</f>
        <v>0</v>
      </c>
      <c r="I59" s="593">
        <f ca="1">$E59*(-SUMIF(INDIRECT(I$3),'Struktur Vorjahr'!$D59,INDIRECT(I$4))+SUMIF(INDIRECT(I$3),'Struktur Vorjahr'!$D59,INDIRECT(I$5)))</f>
        <v>0</v>
      </c>
      <c r="J59" s="593">
        <f ca="1">$E59*(-SUMIF(INDIRECT(J$3),'Struktur Vorjahr'!$D59,INDIRECT(J$4))+SUMIF(INDIRECT(J$3),'Struktur Vorjahr'!$D59,INDIRECT(J$5)))</f>
        <v>0</v>
      </c>
      <c r="K59" s="593">
        <f ca="1">$E59*(-SUMIF(INDIRECT(K$3),'Struktur Vorjahr'!$D59,INDIRECT(K$4))+SUMIF(INDIRECT(K$3),'Struktur Vorjahr'!$D59,INDIRECT(K$5)))</f>
        <v>0</v>
      </c>
      <c r="L59" s="593">
        <f ca="1">$E59*(-SUMIF(INDIRECT(L$3),'Struktur Vorjahr'!$D59,INDIRECT(L$4))+SUMIF(INDIRECT(L$3),'Struktur Vorjahr'!$D59,INDIRECT(L$5)))</f>
        <v>0</v>
      </c>
      <c r="M59" s="593">
        <f ca="1">$E59*(-SUMIF(INDIRECT(M$3),'Struktur Vorjahr'!$D59,INDIRECT(M$4))+SUMIF(INDIRECT(M$3),'Struktur Vorjahr'!$D59,INDIRECT(M$5)))</f>
        <v>0</v>
      </c>
      <c r="N59" s="593">
        <f ca="1">$E59*(-SUMIF(INDIRECT(N$3),'Struktur Vorjahr'!$D59,INDIRECT(N$4))+SUMIF(INDIRECT(N$3),'Struktur Vorjahr'!$D59,INDIRECT(N$5)))</f>
        <v>0</v>
      </c>
      <c r="O59" s="593">
        <f ca="1">$E59*(-SUMIF(INDIRECT(O$3),'Struktur Vorjahr'!$D59,INDIRECT(O$4))+SUMIF(INDIRECT(O$3),'Struktur Vorjahr'!$D59,INDIRECT(O$5)))</f>
        <v>0</v>
      </c>
      <c r="P59" s="593">
        <f ca="1">$E59*(-SUMIF(INDIRECT(P$3),'Struktur Vorjahr'!$D59,INDIRECT(P$4))+SUMIF(INDIRECT(P$3),'Struktur Vorjahr'!$D59,INDIRECT(P$5)))</f>
        <v>0</v>
      </c>
      <c r="Q59" s="593">
        <f ca="1">$E59*(-SUMIF(INDIRECT(Q$3),'Struktur Vorjahr'!$D59,INDIRECT(Q$4))+SUMIF(INDIRECT(Q$3),'Struktur Vorjahr'!$D59,INDIRECT(Q$5)))</f>
        <v>0</v>
      </c>
      <c r="R59" s="593">
        <f ca="1">$E59*(-SUMIF(INDIRECT(R$3),'Struktur Vorjahr'!$D59,INDIRECT(R$4))+SUMIF(INDIRECT(R$3),'Struktur Vorjahr'!$D59,INDIRECT(R$5)))</f>
        <v>0</v>
      </c>
      <c r="S59" s="593">
        <f ca="1">$E59*(-SUMIF(INDIRECT(S$3),'Struktur Vorjahr'!$D59,INDIRECT(S$4))+SUMIF(INDIRECT(S$3),'Struktur Vorjahr'!$D59,INDIRECT(S$5)))</f>
        <v>0</v>
      </c>
      <c r="T59" s="593">
        <f ca="1">$E59*(-SUMIF(INDIRECT(T$3),'Struktur Vorjahr'!$D59,INDIRECT(T$4))+SUMIF(INDIRECT(T$3),'Struktur Vorjahr'!$D59,INDIRECT(T$5)))</f>
        <v>0</v>
      </c>
      <c r="U59" s="593">
        <f ca="1">$E59*(-SUMIF(INDIRECT(U$3),'Struktur Vorjahr'!$D59,INDIRECT(U$4))+SUMIF(INDIRECT(U$3),'Struktur Vorjahr'!$D59,INDIRECT(U$5)))</f>
        <v>0</v>
      </c>
      <c r="V59" s="593">
        <f ca="1">$E59*(-SUMIF(INDIRECT(V$3),'Struktur Vorjahr'!$D59,INDIRECT(V$4))+SUMIF(INDIRECT(V$3),'Struktur Vorjahr'!$D59,INDIRECT(V$5)))</f>
        <v>0</v>
      </c>
      <c r="W59" s="593">
        <f ca="1">$E59*(-SUMIF(INDIRECT(W$3),'Struktur Vorjahr'!$D59,INDIRECT(W$4))+SUMIF(INDIRECT(W$3),'Struktur Vorjahr'!$D59,INDIRECT(W$5)))</f>
        <v>0</v>
      </c>
      <c r="X59" s="593">
        <f ca="1">$E59*(-SUMIF(INDIRECT(X$3),'Struktur Vorjahr'!$D59,INDIRECT(X$4))+SUMIF(INDIRECT(X$3),'Struktur Vorjahr'!$D59,INDIRECT(X$5)))</f>
        <v>0</v>
      </c>
      <c r="Y59" s="593">
        <f ca="1">$E59*(-SUMIF(INDIRECT(Y$3),'Struktur Vorjahr'!$D59,INDIRECT(Y$4))+SUMIF(INDIRECT(Y$3),'Struktur Vorjahr'!$D59,INDIRECT(Y$5)))</f>
        <v>0</v>
      </c>
      <c r="Z59" s="593">
        <f ca="1">$E59*(-SUMIF(INDIRECT(Z$3),'Struktur Vorjahr'!$D59,INDIRECT(Z$4))+SUMIF(INDIRECT(Z$3),'Struktur Vorjahr'!$D59,INDIRECT(Z$5)))</f>
        <v>0</v>
      </c>
      <c r="AA59" s="593">
        <f ca="1">$E59*(-SUMIF(INDIRECT(AA$3),'Struktur Vorjahr'!$D59,INDIRECT(AA$4))+SUMIF(INDIRECT(AA$3),'Struktur Vorjahr'!$D59,INDIRECT(AA$5)))</f>
        <v>0</v>
      </c>
      <c r="AB59" s="593">
        <f ca="1">$E59*(-SUMIF(INDIRECT(AB$3),'Struktur Vorjahr'!$D59,INDIRECT(AB$4))+SUMIF(INDIRECT(AB$3),'Struktur Vorjahr'!$D59,INDIRECT(AB$5)))</f>
        <v>0</v>
      </c>
      <c r="AC59" s="593">
        <f ca="1">$E59*(-SUMIF(INDIRECT(AC$3),'Struktur Vorjahr'!$D59,INDIRECT(AC$4))+SUMIF(INDIRECT(AC$3),'Struktur Vorjahr'!$D59,INDIRECT(AC$5)))</f>
        <v>0</v>
      </c>
      <c r="AD59" s="593">
        <f ca="1">$E59*(-SUMIF(INDIRECT(AD$3),'Struktur Vorjahr'!$D59,INDIRECT(AD$4))+SUMIF(INDIRECT(AD$3),'Struktur Vorjahr'!$D59,INDIRECT(AD$5)))</f>
        <v>0</v>
      </c>
      <c r="AE59" s="593">
        <f t="shared" ca="1" si="32"/>
        <v>0</v>
      </c>
      <c r="AF59" s="593">
        <f t="shared" ca="1" si="33"/>
        <v>0</v>
      </c>
      <c r="AG59" s="593">
        <f t="shared" ca="1" si="33"/>
        <v>0</v>
      </c>
      <c r="AH59" s="593">
        <f t="shared" ca="1" si="33"/>
        <v>0</v>
      </c>
      <c r="AI59" s="593">
        <f t="shared" ca="1" si="33"/>
        <v>0</v>
      </c>
      <c r="AJ59" s="593">
        <f t="shared" ca="1" si="33"/>
        <v>0</v>
      </c>
      <c r="AK59" s="593">
        <f t="shared" ca="1" si="33"/>
        <v>0</v>
      </c>
      <c r="AL59" s="593">
        <f t="shared" ca="1" si="33"/>
        <v>0</v>
      </c>
      <c r="AM59" s="593">
        <f t="shared" ca="1" si="33"/>
        <v>0</v>
      </c>
      <c r="AN59" s="593">
        <f t="shared" ca="1" si="33"/>
        <v>0</v>
      </c>
      <c r="AO59" s="593">
        <f t="shared" ca="1" si="33"/>
        <v>0</v>
      </c>
      <c r="AP59" s="593">
        <f t="shared" ca="1" si="33"/>
        <v>0</v>
      </c>
    </row>
    <row r="60" spans="1:42" s="594" customFormat="1" ht="11.25" outlineLevel="1" x14ac:dyDescent="0.2">
      <c r="A60" s="599"/>
      <c r="B60" s="591" t="str">
        <f>IF(D60&lt;&gt;"",
IF(ISERROR(MATCH(D60,'Ist Vorjahr Monat 01'!A:A,0))=FALSE,INDEX('Ist Vorjahr Monat 01'!B:B,MATCH(D60,'Ist Vorjahr Monat 01'!A:A,0)),
IF(ISERROR(MATCH(D60,'Ist Vorjahr Monat 02'!A:A,0))=FALSE,INDEX('Ist Vorjahr Monat 02'!B:B,MATCH(D60,'Ist Vorjahr Monat 02'!A:A,0)),
IF(ISERROR(MATCH(D60,'Ist Vorjahr Monat 03'!A:A,0))=FALSE,INDEX('Ist Vorjahr Monat 03'!B:B,MATCH(D60,'Ist Vorjahr Monat 03'!A:A,0)),
IF(ISERROR(MATCH(D60,'Ist Vorjahr Monat 04'!A:A,0))=FALSE,INDEX('Ist Vorjahr Monat 04'!B:B,MATCH(D60,'Ist Vorjahr Monat 04'!A:A,0)),
IF(ISERROR(MATCH(D60,'Ist Vorjahr Monat 05'!A:A,0))=FALSE,INDEX('Ist Vorjahr Monat 05'!B:B,MATCH(D60,'Ist Vorjahr Monat 05'!A:A,0)),
IF(ISERROR(MATCH(D60,'Ist Vorjahr Monat 06'!A:A,0))=FALSE,INDEX('Ist Vorjahr Monat 06'!B:B,MATCH(D60,'Ist Vorjahr Monat 06'!A:A,0)),
IF(ISERROR(MATCH(D60,'Ist Vorjahr Monat 07'!A:A,0))=FALSE,INDEX('Ist Vorjahr Monat 07'!B:B,MATCH(D60,'Ist Vorjahr Monat 07'!A:A,0)),
IF(ISERROR(MATCH(D60,'Ist Vorjahr Monat 08'!A:A,0))=FALSE,INDEX('Ist Vorjahr Monat 08'!B:B,MATCH(D60,'Ist Vorjahr Monat 08'!A:A,0)),
IF(ISERROR(MATCH(D60,'Ist Vorjahr Monat 09'!A:A,0))=FALSE,INDEX('Ist Vorjahr Monat 09'!B:B,MATCH(D60,'Ist Vorjahr Monat 09'!A:A,0)),
IF(ISERROR(MATCH(D60,'Ist Vorjahr Monat 10'!A:A,0))=FALSE,INDEX('Ist Vorjahr Monat 10'!B:B,MATCH(D60,'Ist Vorjahr Monat 10'!A:A,0)),
IF(ISERROR(MATCH(D60,'Ist Vorjahr Monat 11'!A:A,0))=FALSE,INDEX('Ist Vorjahr Monat 11'!B:B,MATCH(D60,'Ist Vorjahr Monat 11'!A:A,0)),
IF(ISERROR(MATCH(D60,'Ist Vorjahr Monat 12'!A:A,0))=FALSE,INDEX('Ist Vorjahr Monat 12'!B:B,MATCH(D60,'Ist Vorjahr Monat 12'!A:A,0)),
"{Konto unbekannt}"
)))))))))))),"")</f>
        <v/>
      </c>
      <c r="C60" s="591"/>
      <c r="D60" s="590"/>
      <c r="E60" s="592">
        <f>IF(F60="-",-1,1)</f>
        <v>1</v>
      </c>
      <c r="F60" s="599"/>
      <c r="G60" s="593">
        <f ca="1">$E60*(-SUMIF(INDIRECT(G$3),'Struktur Vorjahr'!$D60,INDIRECT(G$4))+SUMIF(INDIRECT(G$3),'Struktur Vorjahr'!$D60,INDIRECT(G$5)))</f>
        <v>0</v>
      </c>
      <c r="H60" s="593">
        <f ca="1">$E60*(-SUMIF(INDIRECT(H$3),'Struktur Vorjahr'!$D60,INDIRECT(H$4))+SUMIF(INDIRECT(H$3),'Struktur Vorjahr'!$D60,INDIRECT(H$5)))</f>
        <v>0</v>
      </c>
      <c r="I60" s="593">
        <f ca="1">$E60*(-SUMIF(INDIRECT(I$3),'Struktur Vorjahr'!$D60,INDIRECT(I$4))+SUMIF(INDIRECT(I$3),'Struktur Vorjahr'!$D60,INDIRECT(I$5)))</f>
        <v>0</v>
      </c>
      <c r="J60" s="593">
        <f ca="1">$E60*(-SUMIF(INDIRECT(J$3),'Struktur Vorjahr'!$D60,INDIRECT(J$4))+SUMIF(INDIRECT(J$3),'Struktur Vorjahr'!$D60,INDIRECT(J$5)))</f>
        <v>0</v>
      </c>
      <c r="K60" s="593">
        <f ca="1">$E60*(-SUMIF(INDIRECT(K$3),'Struktur Vorjahr'!$D60,INDIRECT(K$4))+SUMIF(INDIRECT(K$3),'Struktur Vorjahr'!$D60,INDIRECT(K$5)))</f>
        <v>0</v>
      </c>
      <c r="L60" s="593">
        <f ca="1">$E60*(-SUMIF(INDIRECT(L$3),'Struktur Vorjahr'!$D60,INDIRECT(L$4))+SUMIF(INDIRECT(L$3),'Struktur Vorjahr'!$D60,INDIRECT(L$5)))</f>
        <v>0</v>
      </c>
      <c r="M60" s="593">
        <f ca="1">$E60*(-SUMIF(INDIRECT(M$3),'Struktur Vorjahr'!$D60,INDIRECT(M$4))+SUMIF(INDIRECT(M$3),'Struktur Vorjahr'!$D60,INDIRECT(M$5)))</f>
        <v>0</v>
      </c>
      <c r="N60" s="593">
        <f ca="1">$E60*(-SUMIF(INDIRECT(N$3),'Struktur Vorjahr'!$D60,INDIRECT(N$4))+SUMIF(INDIRECT(N$3),'Struktur Vorjahr'!$D60,INDIRECT(N$5)))</f>
        <v>0</v>
      </c>
      <c r="O60" s="593">
        <f ca="1">$E60*(-SUMIF(INDIRECT(O$3),'Struktur Vorjahr'!$D60,INDIRECT(O$4))+SUMIF(INDIRECT(O$3),'Struktur Vorjahr'!$D60,INDIRECT(O$5)))</f>
        <v>0</v>
      </c>
      <c r="P60" s="593">
        <f ca="1">$E60*(-SUMIF(INDIRECT(P$3),'Struktur Vorjahr'!$D60,INDIRECT(P$4))+SUMIF(INDIRECT(P$3),'Struktur Vorjahr'!$D60,INDIRECT(P$5)))</f>
        <v>0</v>
      </c>
      <c r="Q60" s="593">
        <f ca="1">$E60*(-SUMIF(INDIRECT(Q$3),'Struktur Vorjahr'!$D60,INDIRECT(Q$4))+SUMIF(INDIRECT(Q$3),'Struktur Vorjahr'!$D60,INDIRECT(Q$5)))</f>
        <v>0</v>
      </c>
      <c r="R60" s="593">
        <f ca="1">$E60*(-SUMIF(INDIRECT(R$3),'Struktur Vorjahr'!$D60,INDIRECT(R$4))+SUMIF(INDIRECT(R$3),'Struktur Vorjahr'!$D60,INDIRECT(R$5)))</f>
        <v>0</v>
      </c>
      <c r="S60" s="593">
        <f ca="1">$E60*(-SUMIF(INDIRECT(S$3),'Struktur Vorjahr'!$D60,INDIRECT(S$4))+SUMIF(INDIRECT(S$3),'Struktur Vorjahr'!$D60,INDIRECT(S$5)))</f>
        <v>0</v>
      </c>
      <c r="T60" s="593">
        <f ca="1">$E60*(-SUMIF(INDIRECT(T$3),'Struktur Vorjahr'!$D60,INDIRECT(T$4))+SUMIF(INDIRECT(T$3),'Struktur Vorjahr'!$D60,INDIRECT(T$5)))</f>
        <v>0</v>
      </c>
      <c r="U60" s="593">
        <f ca="1">$E60*(-SUMIF(INDIRECT(U$3),'Struktur Vorjahr'!$D60,INDIRECT(U$4))+SUMIF(INDIRECT(U$3),'Struktur Vorjahr'!$D60,INDIRECT(U$5)))</f>
        <v>0</v>
      </c>
      <c r="V60" s="593">
        <f ca="1">$E60*(-SUMIF(INDIRECT(V$3),'Struktur Vorjahr'!$D60,INDIRECT(V$4))+SUMIF(INDIRECT(V$3),'Struktur Vorjahr'!$D60,INDIRECT(V$5)))</f>
        <v>0</v>
      </c>
      <c r="W60" s="593">
        <f ca="1">$E60*(-SUMIF(INDIRECT(W$3),'Struktur Vorjahr'!$D60,INDIRECT(W$4))+SUMIF(INDIRECT(W$3),'Struktur Vorjahr'!$D60,INDIRECT(W$5)))</f>
        <v>0</v>
      </c>
      <c r="X60" s="593">
        <f ca="1">$E60*(-SUMIF(INDIRECT(X$3),'Struktur Vorjahr'!$D60,INDIRECT(X$4))+SUMIF(INDIRECT(X$3),'Struktur Vorjahr'!$D60,INDIRECT(X$5)))</f>
        <v>0</v>
      </c>
      <c r="Y60" s="593">
        <f ca="1">$E60*(-SUMIF(INDIRECT(Y$3),'Struktur Vorjahr'!$D60,INDIRECT(Y$4))+SUMIF(INDIRECT(Y$3),'Struktur Vorjahr'!$D60,INDIRECT(Y$5)))</f>
        <v>0</v>
      </c>
      <c r="Z60" s="593">
        <f ca="1">$E60*(-SUMIF(INDIRECT(Z$3),'Struktur Vorjahr'!$D60,INDIRECT(Z$4))+SUMIF(INDIRECT(Z$3),'Struktur Vorjahr'!$D60,INDIRECT(Z$5)))</f>
        <v>0</v>
      </c>
      <c r="AA60" s="593">
        <f ca="1">$E60*(-SUMIF(INDIRECT(AA$3),'Struktur Vorjahr'!$D60,INDIRECT(AA$4))+SUMIF(INDIRECT(AA$3),'Struktur Vorjahr'!$D60,INDIRECT(AA$5)))</f>
        <v>0</v>
      </c>
      <c r="AB60" s="593">
        <f ca="1">$E60*(-SUMIF(INDIRECT(AB$3),'Struktur Vorjahr'!$D60,INDIRECT(AB$4))+SUMIF(INDIRECT(AB$3),'Struktur Vorjahr'!$D60,INDIRECT(AB$5)))</f>
        <v>0</v>
      </c>
      <c r="AC60" s="593">
        <f ca="1">$E60*(-SUMIF(INDIRECT(AC$3),'Struktur Vorjahr'!$D60,INDIRECT(AC$4))+SUMIF(INDIRECT(AC$3),'Struktur Vorjahr'!$D60,INDIRECT(AC$5)))</f>
        <v>0</v>
      </c>
      <c r="AD60" s="593">
        <f ca="1">$E60*(-SUMIF(INDIRECT(AD$3),'Struktur Vorjahr'!$D60,INDIRECT(AD$4))+SUMIF(INDIRECT(AD$3),'Struktur Vorjahr'!$D60,INDIRECT(AD$5)))</f>
        <v>0</v>
      </c>
      <c r="AE60" s="593">
        <f t="shared" ca="1" si="32"/>
        <v>0</v>
      </c>
      <c r="AF60" s="593">
        <f t="shared" ca="1" si="33"/>
        <v>0</v>
      </c>
      <c r="AG60" s="593">
        <f t="shared" ca="1" si="33"/>
        <v>0</v>
      </c>
      <c r="AH60" s="593">
        <f t="shared" ca="1" si="33"/>
        <v>0</v>
      </c>
      <c r="AI60" s="593">
        <f t="shared" ca="1" si="33"/>
        <v>0</v>
      </c>
      <c r="AJ60" s="593">
        <f t="shared" ca="1" si="33"/>
        <v>0</v>
      </c>
      <c r="AK60" s="593">
        <f t="shared" ca="1" si="33"/>
        <v>0</v>
      </c>
      <c r="AL60" s="593">
        <f t="shared" ca="1" si="33"/>
        <v>0</v>
      </c>
      <c r="AM60" s="593">
        <f t="shared" ca="1" si="33"/>
        <v>0</v>
      </c>
      <c r="AN60" s="593">
        <f t="shared" ca="1" si="33"/>
        <v>0</v>
      </c>
      <c r="AO60" s="593">
        <f t="shared" ca="1" si="33"/>
        <v>0</v>
      </c>
      <c r="AP60" s="593">
        <f t="shared" ca="1" si="33"/>
        <v>0</v>
      </c>
    </row>
    <row r="61" spans="1:42" s="594" customFormat="1" ht="11.25" outlineLevel="1" x14ac:dyDescent="0.2">
      <c r="A61" s="599"/>
      <c r="B61" s="591" t="str">
        <f>IF(D61&lt;&gt;"",
IF(ISERROR(MATCH(D61,'Ist Vorjahr Monat 01'!A:A,0))=FALSE,INDEX('Ist Vorjahr Monat 01'!B:B,MATCH(D61,'Ist Vorjahr Monat 01'!A:A,0)),
IF(ISERROR(MATCH(D61,'Ist Vorjahr Monat 02'!A:A,0))=FALSE,INDEX('Ist Vorjahr Monat 02'!B:B,MATCH(D61,'Ist Vorjahr Monat 02'!A:A,0)),
IF(ISERROR(MATCH(D61,'Ist Vorjahr Monat 03'!A:A,0))=FALSE,INDEX('Ist Vorjahr Monat 03'!B:B,MATCH(D61,'Ist Vorjahr Monat 03'!A:A,0)),
IF(ISERROR(MATCH(D61,'Ist Vorjahr Monat 04'!A:A,0))=FALSE,INDEX('Ist Vorjahr Monat 04'!B:B,MATCH(D61,'Ist Vorjahr Monat 04'!A:A,0)),
IF(ISERROR(MATCH(D61,'Ist Vorjahr Monat 05'!A:A,0))=FALSE,INDEX('Ist Vorjahr Monat 05'!B:B,MATCH(D61,'Ist Vorjahr Monat 05'!A:A,0)),
IF(ISERROR(MATCH(D61,'Ist Vorjahr Monat 06'!A:A,0))=FALSE,INDEX('Ist Vorjahr Monat 06'!B:B,MATCH(D61,'Ist Vorjahr Monat 06'!A:A,0)),
IF(ISERROR(MATCH(D61,'Ist Vorjahr Monat 07'!A:A,0))=FALSE,INDEX('Ist Vorjahr Monat 07'!B:B,MATCH(D61,'Ist Vorjahr Monat 07'!A:A,0)),
IF(ISERROR(MATCH(D61,'Ist Vorjahr Monat 08'!A:A,0))=FALSE,INDEX('Ist Vorjahr Monat 08'!B:B,MATCH(D61,'Ist Vorjahr Monat 08'!A:A,0)),
IF(ISERROR(MATCH(D61,'Ist Vorjahr Monat 09'!A:A,0))=FALSE,INDEX('Ist Vorjahr Monat 09'!B:B,MATCH(D61,'Ist Vorjahr Monat 09'!A:A,0)),
IF(ISERROR(MATCH(D61,'Ist Vorjahr Monat 10'!A:A,0))=FALSE,INDEX('Ist Vorjahr Monat 10'!B:B,MATCH(D61,'Ist Vorjahr Monat 10'!A:A,0)),
IF(ISERROR(MATCH(D61,'Ist Vorjahr Monat 11'!A:A,0))=FALSE,INDEX('Ist Vorjahr Monat 11'!B:B,MATCH(D61,'Ist Vorjahr Monat 11'!A:A,0)),
IF(ISERROR(MATCH(D61,'Ist Vorjahr Monat 12'!A:A,0))=FALSE,INDEX('Ist Vorjahr Monat 12'!B:B,MATCH(D61,'Ist Vorjahr Monat 12'!A:A,0)),
"{Konto unbekannt}"
)))))))))))),"")</f>
        <v/>
      </c>
      <c r="C61" s="591"/>
      <c r="D61" s="590"/>
      <c r="E61" s="592">
        <f>IF(F61="-",-1,1)</f>
        <v>1</v>
      </c>
      <c r="F61" s="599"/>
      <c r="G61" s="593">
        <f ca="1">$E61*(-SUMIF(INDIRECT(G$3),'Struktur Vorjahr'!$D61,INDIRECT(G$4))+SUMIF(INDIRECT(G$3),'Struktur Vorjahr'!$D61,INDIRECT(G$5)))</f>
        <v>0</v>
      </c>
      <c r="H61" s="593">
        <f ca="1">$E61*(-SUMIF(INDIRECT(H$3),'Struktur Vorjahr'!$D61,INDIRECT(H$4))+SUMIF(INDIRECT(H$3),'Struktur Vorjahr'!$D61,INDIRECT(H$5)))</f>
        <v>0</v>
      </c>
      <c r="I61" s="593">
        <f ca="1">$E61*(-SUMIF(INDIRECT(I$3),'Struktur Vorjahr'!$D61,INDIRECT(I$4))+SUMIF(INDIRECT(I$3),'Struktur Vorjahr'!$D61,INDIRECT(I$5)))</f>
        <v>0</v>
      </c>
      <c r="J61" s="593">
        <f ca="1">$E61*(-SUMIF(INDIRECT(J$3),'Struktur Vorjahr'!$D61,INDIRECT(J$4))+SUMIF(INDIRECT(J$3),'Struktur Vorjahr'!$D61,INDIRECT(J$5)))</f>
        <v>0</v>
      </c>
      <c r="K61" s="593">
        <f ca="1">$E61*(-SUMIF(INDIRECT(K$3),'Struktur Vorjahr'!$D61,INDIRECT(K$4))+SUMIF(INDIRECT(K$3),'Struktur Vorjahr'!$D61,INDIRECT(K$5)))</f>
        <v>0</v>
      </c>
      <c r="L61" s="593">
        <f ca="1">$E61*(-SUMIF(INDIRECT(L$3),'Struktur Vorjahr'!$D61,INDIRECT(L$4))+SUMIF(INDIRECT(L$3),'Struktur Vorjahr'!$D61,INDIRECT(L$5)))</f>
        <v>0</v>
      </c>
      <c r="M61" s="593">
        <f ca="1">$E61*(-SUMIF(INDIRECT(M$3),'Struktur Vorjahr'!$D61,INDIRECT(M$4))+SUMIF(INDIRECT(M$3),'Struktur Vorjahr'!$D61,INDIRECT(M$5)))</f>
        <v>0</v>
      </c>
      <c r="N61" s="593">
        <f ca="1">$E61*(-SUMIF(INDIRECT(N$3),'Struktur Vorjahr'!$D61,INDIRECT(N$4))+SUMIF(INDIRECT(N$3),'Struktur Vorjahr'!$D61,INDIRECT(N$5)))</f>
        <v>0</v>
      </c>
      <c r="O61" s="593">
        <f ca="1">$E61*(-SUMIF(INDIRECT(O$3),'Struktur Vorjahr'!$D61,INDIRECT(O$4))+SUMIF(INDIRECT(O$3),'Struktur Vorjahr'!$D61,INDIRECT(O$5)))</f>
        <v>0</v>
      </c>
      <c r="P61" s="593">
        <f ca="1">$E61*(-SUMIF(INDIRECT(P$3),'Struktur Vorjahr'!$D61,INDIRECT(P$4))+SUMIF(INDIRECT(P$3),'Struktur Vorjahr'!$D61,INDIRECT(P$5)))</f>
        <v>0</v>
      </c>
      <c r="Q61" s="593">
        <f ca="1">$E61*(-SUMIF(INDIRECT(Q$3),'Struktur Vorjahr'!$D61,INDIRECT(Q$4))+SUMIF(INDIRECT(Q$3),'Struktur Vorjahr'!$D61,INDIRECT(Q$5)))</f>
        <v>0</v>
      </c>
      <c r="R61" s="593">
        <f ca="1">$E61*(-SUMIF(INDIRECT(R$3),'Struktur Vorjahr'!$D61,INDIRECT(R$4))+SUMIF(INDIRECT(R$3),'Struktur Vorjahr'!$D61,INDIRECT(R$5)))</f>
        <v>0</v>
      </c>
      <c r="S61" s="593">
        <f ca="1">$E61*(-SUMIF(INDIRECT(S$3),'Struktur Vorjahr'!$D61,INDIRECT(S$4))+SUMIF(INDIRECT(S$3),'Struktur Vorjahr'!$D61,INDIRECT(S$5)))</f>
        <v>0</v>
      </c>
      <c r="T61" s="593">
        <f ca="1">$E61*(-SUMIF(INDIRECT(T$3),'Struktur Vorjahr'!$D61,INDIRECT(T$4))+SUMIF(INDIRECT(T$3),'Struktur Vorjahr'!$D61,INDIRECT(T$5)))</f>
        <v>0</v>
      </c>
      <c r="U61" s="593">
        <f ca="1">$E61*(-SUMIF(INDIRECT(U$3),'Struktur Vorjahr'!$D61,INDIRECT(U$4))+SUMIF(INDIRECT(U$3),'Struktur Vorjahr'!$D61,INDIRECT(U$5)))</f>
        <v>0</v>
      </c>
      <c r="V61" s="593">
        <f ca="1">$E61*(-SUMIF(INDIRECT(V$3),'Struktur Vorjahr'!$D61,INDIRECT(V$4))+SUMIF(INDIRECT(V$3),'Struktur Vorjahr'!$D61,INDIRECT(V$5)))</f>
        <v>0</v>
      </c>
      <c r="W61" s="593">
        <f ca="1">$E61*(-SUMIF(INDIRECT(W$3),'Struktur Vorjahr'!$D61,INDIRECT(W$4))+SUMIF(INDIRECT(W$3),'Struktur Vorjahr'!$D61,INDIRECT(W$5)))</f>
        <v>0</v>
      </c>
      <c r="X61" s="593">
        <f ca="1">$E61*(-SUMIF(INDIRECT(X$3),'Struktur Vorjahr'!$D61,INDIRECT(X$4))+SUMIF(INDIRECT(X$3),'Struktur Vorjahr'!$D61,INDIRECT(X$5)))</f>
        <v>0</v>
      </c>
      <c r="Y61" s="593">
        <f ca="1">$E61*(-SUMIF(INDIRECT(Y$3),'Struktur Vorjahr'!$D61,INDIRECT(Y$4))+SUMIF(INDIRECT(Y$3),'Struktur Vorjahr'!$D61,INDIRECT(Y$5)))</f>
        <v>0</v>
      </c>
      <c r="Z61" s="593">
        <f ca="1">$E61*(-SUMIF(INDIRECT(Z$3),'Struktur Vorjahr'!$D61,INDIRECT(Z$4))+SUMIF(INDIRECT(Z$3),'Struktur Vorjahr'!$D61,INDIRECT(Z$5)))</f>
        <v>0</v>
      </c>
      <c r="AA61" s="593">
        <f ca="1">$E61*(-SUMIF(INDIRECT(AA$3),'Struktur Vorjahr'!$D61,INDIRECT(AA$4))+SUMIF(INDIRECT(AA$3),'Struktur Vorjahr'!$D61,INDIRECT(AA$5)))</f>
        <v>0</v>
      </c>
      <c r="AB61" s="593">
        <f ca="1">$E61*(-SUMIF(INDIRECT(AB$3),'Struktur Vorjahr'!$D61,INDIRECT(AB$4))+SUMIF(INDIRECT(AB$3),'Struktur Vorjahr'!$D61,INDIRECT(AB$5)))</f>
        <v>0</v>
      </c>
      <c r="AC61" s="593">
        <f ca="1">$E61*(-SUMIF(INDIRECT(AC$3),'Struktur Vorjahr'!$D61,INDIRECT(AC$4))+SUMIF(INDIRECT(AC$3),'Struktur Vorjahr'!$D61,INDIRECT(AC$5)))</f>
        <v>0</v>
      </c>
      <c r="AD61" s="593">
        <f ca="1">$E61*(-SUMIF(INDIRECT(AD$3),'Struktur Vorjahr'!$D61,INDIRECT(AD$4))+SUMIF(INDIRECT(AD$3),'Struktur Vorjahr'!$D61,INDIRECT(AD$5)))</f>
        <v>0</v>
      </c>
      <c r="AE61" s="593">
        <f t="shared" ca="1" si="32"/>
        <v>0</v>
      </c>
      <c r="AF61" s="593">
        <f t="shared" ca="1" si="33"/>
        <v>0</v>
      </c>
      <c r="AG61" s="593">
        <f t="shared" ca="1" si="33"/>
        <v>0</v>
      </c>
      <c r="AH61" s="593">
        <f t="shared" ca="1" si="33"/>
        <v>0</v>
      </c>
      <c r="AI61" s="593">
        <f t="shared" ca="1" si="33"/>
        <v>0</v>
      </c>
      <c r="AJ61" s="593">
        <f t="shared" ca="1" si="33"/>
        <v>0</v>
      </c>
      <c r="AK61" s="593">
        <f t="shared" ca="1" si="33"/>
        <v>0</v>
      </c>
      <c r="AL61" s="593">
        <f t="shared" ca="1" si="33"/>
        <v>0</v>
      </c>
      <c r="AM61" s="593">
        <f t="shared" ca="1" si="33"/>
        <v>0</v>
      </c>
      <c r="AN61" s="593">
        <f t="shared" ca="1" si="33"/>
        <v>0</v>
      </c>
      <c r="AO61" s="593">
        <f t="shared" ca="1" si="33"/>
        <v>0</v>
      </c>
      <c r="AP61" s="593">
        <f t="shared" ca="1" si="33"/>
        <v>0</v>
      </c>
    </row>
    <row r="62" spans="1:42" s="594" customFormat="1" outlineLevel="1" x14ac:dyDescent="0.2">
      <c r="A62" s="585">
        <v>5</v>
      </c>
      <c r="B62" s="586" t="s">
        <v>1000</v>
      </c>
      <c r="C62" s="587">
        <f ca="1">SUM(G62:R62)</f>
        <v>0</v>
      </c>
      <c r="D62" s="587"/>
      <c r="E62" s="588">
        <f t="shared" ref="E62:E125" si="34">IF(F62="-",-1,1)</f>
        <v>1</v>
      </c>
      <c r="F62" s="585"/>
      <c r="G62" s="587">
        <f t="shared" ref="G62:R62" ca="1" si="35">SUM(G63:G70)</f>
        <v>0</v>
      </c>
      <c r="H62" s="587">
        <f ca="1">SUM(H63:H70)</f>
        <v>0</v>
      </c>
      <c r="I62" s="587">
        <f t="shared" ca="1" si="35"/>
        <v>0</v>
      </c>
      <c r="J62" s="587">
        <f t="shared" ca="1" si="35"/>
        <v>0</v>
      </c>
      <c r="K62" s="587">
        <f t="shared" ca="1" si="35"/>
        <v>0</v>
      </c>
      <c r="L62" s="587">
        <f t="shared" ca="1" si="35"/>
        <v>0</v>
      </c>
      <c r="M62" s="587">
        <f t="shared" ca="1" si="35"/>
        <v>0</v>
      </c>
      <c r="N62" s="587">
        <f t="shared" ca="1" si="35"/>
        <v>0</v>
      </c>
      <c r="O62" s="587">
        <f t="shared" ca="1" si="35"/>
        <v>0</v>
      </c>
      <c r="P62" s="587">
        <f t="shared" ca="1" si="35"/>
        <v>0</v>
      </c>
      <c r="Q62" s="587">
        <f t="shared" ca="1" si="35"/>
        <v>0</v>
      </c>
      <c r="R62" s="587">
        <f t="shared" ca="1" si="35"/>
        <v>0</v>
      </c>
      <c r="S62" s="587">
        <f ca="1">SUM(S63:S70)</f>
        <v>0</v>
      </c>
      <c r="T62" s="587">
        <f ca="1">SUM(T63:T70)</f>
        <v>0</v>
      </c>
      <c r="U62" s="587">
        <f t="shared" ref="U62:AE62" ca="1" si="36">SUM(U63:U70)</f>
        <v>0</v>
      </c>
      <c r="V62" s="587">
        <f t="shared" ca="1" si="36"/>
        <v>0</v>
      </c>
      <c r="W62" s="587">
        <f t="shared" ca="1" si="36"/>
        <v>0</v>
      </c>
      <c r="X62" s="587">
        <f t="shared" ca="1" si="36"/>
        <v>0</v>
      </c>
      <c r="Y62" s="587">
        <f t="shared" ca="1" si="36"/>
        <v>0</v>
      </c>
      <c r="Z62" s="587">
        <f t="shared" ca="1" si="36"/>
        <v>0</v>
      </c>
      <c r="AA62" s="587">
        <f t="shared" ca="1" si="36"/>
        <v>0</v>
      </c>
      <c r="AB62" s="587">
        <f t="shared" ca="1" si="36"/>
        <v>0</v>
      </c>
      <c r="AC62" s="587">
        <f t="shared" ca="1" si="36"/>
        <v>0</v>
      </c>
      <c r="AD62" s="587">
        <f t="shared" ca="1" si="36"/>
        <v>0</v>
      </c>
      <c r="AE62" s="587">
        <f t="shared" ca="1" si="36"/>
        <v>0</v>
      </c>
      <c r="AF62" s="587">
        <f ca="1">SUM(AF63:AF70)</f>
        <v>0</v>
      </c>
      <c r="AG62" s="587">
        <f t="shared" ref="AG62:AP62" ca="1" si="37">SUM(AG63:AG70)</f>
        <v>0</v>
      </c>
      <c r="AH62" s="587">
        <f t="shared" ca="1" si="37"/>
        <v>0</v>
      </c>
      <c r="AI62" s="587">
        <f t="shared" ca="1" si="37"/>
        <v>0</v>
      </c>
      <c r="AJ62" s="587">
        <f t="shared" ca="1" si="37"/>
        <v>0</v>
      </c>
      <c r="AK62" s="587">
        <f t="shared" ca="1" si="37"/>
        <v>0</v>
      </c>
      <c r="AL62" s="587">
        <f t="shared" ca="1" si="37"/>
        <v>0</v>
      </c>
      <c r="AM62" s="587">
        <f t="shared" ca="1" si="37"/>
        <v>0</v>
      </c>
      <c r="AN62" s="587">
        <f t="shared" ca="1" si="37"/>
        <v>0</v>
      </c>
      <c r="AO62" s="587">
        <f t="shared" ca="1" si="37"/>
        <v>0</v>
      </c>
      <c r="AP62" s="587">
        <f t="shared" ca="1" si="37"/>
        <v>0</v>
      </c>
    </row>
    <row r="63" spans="1:42" s="594" customFormat="1" ht="11.25" outlineLevel="1" x14ac:dyDescent="0.2">
      <c r="A63" s="599"/>
      <c r="B63" s="591" t="str">
        <f>IF(D63&lt;&gt;"",
IF(ISERROR(MATCH(D63,'Ist Vorjahr Monat 01'!A:A,0))=FALSE,INDEX('Ist Vorjahr Monat 01'!B:B,MATCH(D63,'Ist Vorjahr Monat 01'!A:A,0)),
IF(ISERROR(MATCH(D63,'Ist Vorjahr Monat 02'!A:A,0))=FALSE,INDEX('Ist Vorjahr Monat 02'!B:B,MATCH(D63,'Ist Vorjahr Monat 02'!A:A,0)),
IF(ISERROR(MATCH(D63,'Ist Vorjahr Monat 03'!A:A,0))=FALSE,INDEX('Ist Vorjahr Monat 03'!B:B,MATCH(D63,'Ist Vorjahr Monat 03'!A:A,0)),
IF(ISERROR(MATCH(D63,'Ist Vorjahr Monat 04'!A:A,0))=FALSE,INDEX('Ist Vorjahr Monat 04'!B:B,MATCH(D63,'Ist Vorjahr Monat 04'!A:A,0)),
IF(ISERROR(MATCH(D63,'Ist Vorjahr Monat 05'!A:A,0))=FALSE,INDEX('Ist Vorjahr Monat 05'!B:B,MATCH(D63,'Ist Vorjahr Monat 05'!A:A,0)),
IF(ISERROR(MATCH(D63,'Ist Vorjahr Monat 06'!A:A,0))=FALSE,INDEX('Ist Vorjahr Monat 06'!B:B,MATCH(D63,'Ist Vorjahr Monat 06'!A:A,0)),
IF(ISERROR(MATCH(D63,'Ist Vorjahr Monat 07'!A:A,0))=FALSE,INDEX('Ist Vorjahr Monat 07'!B:B,MATCH(D63,'Ist Vorjahr Monat 07'!A:A,0)),
IF(ISERROR(MATCH(D63,'Ist Vorjahr Monat 08'!A:A,0))=FALSE,INDEX('Ist Vorjahr Monat 08'!B:B,MATCH(D63,'Ist Vorjahr Monat 08'!A:A,0)),
IF(ISERROR(MATCH(D63,'Ist Vorjahr Monat 09'!A:A,0))=FALSE,INDEX('Ist Vorjahr Monat 09'!B:B,MATCH(D63,'Ist Vorjahr Monat 09'!A:A,0)),
IF(ISERROR(MATCH(D63,'Ist Vorjahr Monat 10'!A:A,0))=FALSE,INDEX('Ist Vorjahr Monat 10'!B:B,MATCH(D63,'Ist Vorjahr Monat 10'!A:A,0)),
IF(ISERROR(MATCH(D63,'Ist Vorjahr Monat 11'!A:A,0))=FALSE,INDEX('Ist Vorjahr Monat 11'!B:B,MATCH(D63,'Ist Vorjahr Monat 11'!A:A,0)),
IF(ISERROR(MATCH(D63,'Ist Vorjahr Monat 12'!A:A,0))=FALSE,INDEX('Ist Vorjahr Monat 12'!B:B,MATCH(D63,'Ist Vorjahr Monat 12'!A:A,0)),
"{Konto unbekannt}"
)))))))))))),"")</f>
        <v/>
      </c>
      <c r="C63" s="591"/>
      <c r="D63" s="590"/>
      <c r="E63" s="592">
        <f t="shared" si="34"/>
        <v>1</v>
      </c>
      <c r="F63" s="599"/>
      <c r="G63" s="593">
        <f ca="1">$E63*(-SUMIF(INDIRECT(G$3),'Struktur Vorjahr'!$D63,INDIRECT(G$4))+SUMIF(INDIRECT(G$3),'Struktur Vorjahr'!$D63,INDIRECT(G$5)))</f>
        <v>0</v>
      </c>
      <c r="H63" s="593">
        <f ca="1">$E63*(-SUMIF(INDIRECT(H$3),'Struktur Vorjahr'!$D63,INDIRECT(H$4))+SUMIF(INDIRECT(H$3),'Struktur Vorjahr'!$D63,INDIRECT(H$5)))</f>
        <v>0</v>
      </c>
      <c r="I63" s="593">
        <f ca="1">$E63*(-SUMIF(INDIRECT(I$3),'Struktur Vorjahr'!$D63,INDIRECT(I$4))+SUMIF(INDIRECT(I$3),'Struktur Vorjahr'!$D63,INDIRECT(I$5)))</f>
        <v>0</v>
      </c>
      <c r="J63" s="593">
        <f ca="1">$E63*(-SUMIF(INDIRECT(J$3),'Struktur Vorjahr'!$D63,INDIRECT(J$4))+SUMIF(INDIRECT(J$3),'Struktur Vorjahr'!$D63,INDIRECT(J$5)))</f>
        <v>0</v>
      </c>
      <c r="K63" s="593">
        <f ca="1">$E63*(-SUMIF(INDIRECT(K$3),'Struktur Vorjahr'!$D63,INDIRECT(K$4))+SUMIF(INDIRECT(K$3),'Struktur Vorjahr'!$D63,INDIRECT(K$5)))</f>
        <v>0</v>
      </c>
      <c r="L63" s="593">
        <f ca="1">$E63*(-SUMIF(INDIRECT(L$3),'Struktur Vorjahr'!$D63,INDIRECT(L$4))+SUMIF(INDIRECT(L$3),'Struktur Vorjahr'!$D63,INDIRECT(L$5)))</f>
        <v>0</v>
      </c>
      <c r="M63" s="593">
        <f ca="1">$E63*(-SUMIF(INDIRECT(M$3),'Struktur Vorjahr'!$D63,INDIRECT(M$4))+SUMIF(INDIRECT(M$3),'Struktur Vorjahr'!$D63,INDIRECT(M$5)))</f>
        <v>0</v>
      </c>
      <c r="N63" s="593">
        <f ca="1">$E63*(-SUMIF(INDIRECT(N$3),'Struktur Vorjahr'!$D63,INDIRECT(N$4))+SUMIF(INDIRECT(N$3),'Struktur Vorjahr'!$D63,INDIRECT(N$5)))</f>
        <v>0</v>
      </c>
      <c r="O63" s="593">
        <f ca="1">$E63*(-SUMIF(INDIRECT(O$3),'Struktur Vorjahr'!$D63,INDIRECT(O$4))+SUMIF(INDIRECT(O$3),'Struktur Vorjahr'!$D63,INDIRECT(O$5)))</f>
        <v>0</v>
      </c>
      <c r="P63" s="593">
        <f ca="1">$E63*(-SUMIF(INDIRECT(P$3),'Struktur Vorjahr'!$D63,INDIRECT(P$4))+SUMIF(INDIRECT(P$3),'Struktur Vorjahr'!$D63,INDIRECT(P$5)))</f>
        <v>0</v>
      </c>
      <c r="Q63" s="593">
        <f ca="1">$E63*(-SUMIF(INDIRECT(Q$3),'Struktur Vorjahr'!$D63,INDIRECT(Q$4))+SUMIF(INDIRECT(Q$3),'Struktur Vorjahr'!$D63,INDIRECT(Q$5)))</f>
        <v>0</v>
      </c>
      <c r="R63" s="593">
        <f ca="1">$E63*(-SUMIF(INDIRECT(R$3),'Struktur Vorjahr'!$D63,INDIRECT(R$4))+SUMIF(INDIRECT(R$3),'Struktur Vorjahr'!$D63,INDIRECT(R$5)))</f>
        <v>0</v>
      </c>
      <c r="S63" s="593">
        <f ca="1">$E63*(-SUMIF(INDIRECT(S$3),'Struktur Vorjahr'!$D63,INDIRECT(S$4))+SUMIF(INDIRECT(S$3),'Struktur Vorjahr'!$D63,INDIRECT(S$5)))</f>
        <v>0</v>
      </c>
      <c r="T63" s="593">
        <f ca="1">$E63*(-SUMIF(INDIRECT(T$3),'Struktur Vorjahr'!$D63,INDIRECT(T$4))+SUMIF(INDIRECT(T$3),'Struktur Vorjahr'!$D63,INDIRECT(T$5)))</f>
        <v>0</v>
      </c>
      <c r="U63" s="593">
        <f ca="1">$E63*(-SUMIF(INDIRECT(U$3),'Struktur Vorjahr'!$D63,INDIRECT(U$4))+SUMIF(INDIRECT(U$3),'Struktur Vorjahr'!$D63,INDIRECT(U$5)))</f>
        <v>0</v>
      </c>
      <c r="V63" s="593">
        <f ca="1">$E63*(-SUMIF(INDIRECT(V$3),'Struktur Vorjahr'!$D63,INDIRECT(V$4))+SUMIF(INDIRECT(V$3),'Struktur Vorjahr'!$D63,INDIRECT(V$5)))</f>
        <v>0</v>
      </c>
      <c r="W63" s="593">
        <f ca="1">$E63*(-SUMIF(INDIRECT(W$3),'Struktur Vorjahr'!$D63,INDIRECT(W$4))+SUMIF(INDIRECT(W$3),'Struktur Vorjahr'!$D63,INDIRECT(W$5)))</f>
        <v>0</v>
      </c>
      <c r="X63" s="593">
        <f ca="1">$E63*(-SUMIF(INDIRECT(X$3),'Struktur Vorjahr'!$D63,INDIRECT(X$4))+SUMIF(INDIRECT(X$3),'Struktur Vorjahr'!$D63,INDIRECT(X$5)))</f>
        <v>0</v>
      </c>
      <c r="Y63" s="593">
        <f ca="1">$E63*(-SUMIF(INDIRECT(Y$3),'Struktur Vorjahr'!$D63,INDIRECT(Y$4))+SUMIF(INDIRECT(Y$3),'Struktur Vorjahr'!$D63,INDIRECT(Y$5)))</f>
        <v>0</v>
      </c>
      <c r="Z63" s="593">
        <f ca="1">$E63*(-SUMIF(INDIRECT(Z$3),'Struktur Vorjahr'!$D63,INDIRECT(Z$4))+SUMIF(INDIRECT(Z$3),'Struktur Vorjahr'!$D63,INDIRECT(Z$5)))</f>
        <v>0</v>
      </c>
      <c r="AA63" s="593">
        <f ca="1">$E63*(-SUMIF(INDIRECT(AA$3),'Struktur Vorjahr'!$D63,INDIRECT(AA$4))+SUMIF(INDIRECT(AA$3),'Struktur Vorjahr'!$D63,INDIRECT(AA$5)))</f>
        <v>0</v>
      </c>
      <c r="AB63" s="593">
        <f ca="1">$E63*(-SUMIF(INDIRECT(AB$3),'Struktur Vorjahr'!$D63,INDIRECT(AB$4))+SUMIF(INDIRECT(AB$3),'Struktur Vorjahr'!$D63,INDIRECT(AB$5)))</f>
        <v>0</v>
      </c>
      <c r="AC63" s="593">
        <f ca="1">$E63*(-SUMIF(INDIRECT(AC$3),'Struktur Vorjahr'!$D63,INDIRECT(AC$4))+SUMIF(INDIRECT(AC$3),'Struktur Vorjahr'!$D63,INDIRECT(AC$5)))</f>
        <v>0</v>
      </c>
      <c r="AD63" s="593">
        <f ca="1">$E63*(-SUMIF(INDIRECT(AD$3),'Struktur Vorjahr'!$D63,INDIRECT(AD$4))+SUMIF(INDIRECT(AD$3),'Struktur Vorjahr'!$D63,INDIRECT(AD$5)))</f>
        <v>0</v>
      </c>
      <c r="AE63" s="593">
        <f t="shared" ref="AE63:AE70" ca="1" si="38">G63</f>
        <v>0</v>
      </c>
      <c r="AF63" s="593">
        <f t="shared" ref="AF63:AP70" ca="1" si="39">H63+AE63</f>
        <v>0</v>
      </c>
      <c r="AG63" s="593">
        <f t="shared" ca="1" si="39"/>
        <v>0</v>
      </c>
      <c r="AH63" s="593">
        <f t="shared" ca="1" si="39"/>
        <v>0</v>
      </c>
      <c r="AI63" s="593">
        <f t="shared" ca="1" si="39"/>
        <v>0</v>
      </c>
      <c r="AJ63" s="593">
        <f t="shared" ca="1" si="39"/>
        <v>0</v>
      </c>
      <c r="AK63" s="593">
        <f t="shared" ca="1" si="39"/>
        <v>0</v>
      </c>
      <c r="AL63" s="593">
        <f t="shared" ca="1" si="39"/>
        <v>0</v>
      </c>
      <c r="AM63" s="593">
        <f t="shared" ca="1" si="39"/>
        <v>0</v>
      </c>
      <c r="AN63" s="593">
        <f t="shared" ca="1" si="39"/>
        <v>0</v>
      </c>
      <c r="AO63" s="593">
        <f t="shared" ca="1" si="39"/>
        <v>0</v>
      </c>
      <c r="AP63" s="593">
        <f t="shared" ca="1" si="39"/>
        <v>0</v>
      </c>
    </row>
    <row r="64" spans="1:42" s="594" customFormat="1" ht="11.25" outlineLevel="1" x14ac:dyDescent="0.2">
      <c r="A64" s="599"/>
      <c r="B64" s="591" t="str">
        <f>IF(D64&lt;&gt;"",
IF(ISERROR(MATCH(D64,'Ist Vorjahr Monat 01'!A:A,0))=FALSE,INDEX('Ist Vorjahr Monat 01'!B:B,MATCH(D64,'Ist Vorjahr Monat 01'!A:A,0)),
IF(ISERROR(MATCH(D64,'Ist Vorjahr Monat 02'!A:A,0))=FALSE,INDEX('Ist Vorjahr Monat 02'!B:B,MATCH(D64,'Ist Vorjahr Monat 02'!A:A,0)),
IF(ISERROR(MATCH(D64,'Ist Vorjahr Monat 03'!A:A,0))=FALSE,INDEX('Ist Vorjahr Monat 03'!B:B,MATCH(D64,'Ist Vorjahr Monat 03'!A:A,0)),
IF(ISERROR(MATCH(D64,'Ist Vorjahr Monat 04'!A:A,0))=FALSE,INDEX('Ist Vorjahr Monat 04'!B:B,MATCH(D64,'Ist Vorjahr Monat 04'!A:A,0)),
IF(ISERROR(MATCH(D64,'Ist Vorjahr Monat 05'!A:A,0))=FALSE,INDEX('Ist Vorjahr Monat 05'!B:B,MATCH(D64,'Ist Vorjahr Monat 05'!A:A,0)),
IF(ISERROR(MATCH(D64,'Ist Vorjahr Monat 06'!A:A,0))=FALSE,INDEX('Ist Vorjahr Monat 06'!B:B,MATCH(D64,'Ist Vorjahr Monat 06'!A:A,0)),
IF(ISERROR(MATCH(D64,'Ist Vorjahr Monat 07'!A:A,0))=FALSE,INDEX('Ist Vorjahr Monat 07'!B:B,MATCH(D64,'Ist Vorjahr Monat 07'!A:A,0)),
IF(ISERROR(MATCH(D64,'Ist Vorjahr Monat 08'!A:A,0))=FALSE,INDEX('Ist Vorjahr Monat 08'!B:B,MATCH(D64,'Ist Vorjahr Monat 08'!A:A,0)),
IF(ISERROR(MATCH(D64,'Ist Vorjahr Monat 09'!A:A,0))=FALSE,INDEX('Ist Vorjahr Monat 09'!B:B,MATCH(D64,'Ist Vorjahr Monat 09'!A:A,0)),
IF(ISERROR(MATCH(D64,'Ist Vorjahr Monat 10'!A:A,0))=FALSE,INDEX('Ist Vorjahr Monat 10'!B:B,MATCH(D64,'Ist Vorjahr Monat 10'!A:A,0)),
IF(ISERROR(MATCH(D64,'Ist Vorjahr Monat 11'!A:A,0))=FALSE,INDEX('Ist Vorjahr Monat 11'!B:B,MATCH(D64,'Ist Vorjahr Monat 11'!A:A,0)),
IF(ISERROR(MATCH(D64,'Ist Vorjahr Monat 12'!A:A,0))=FALSE,INDEX('Ist Vorjahr Monat 12'!B:B,MATCH(D64,'Ist Vorjahr Monat 12'!A:A,0)),
"{Konto unbekannt}"
)))))))))))),"")</f>
        <v/>
      </c>
      <c r="C64" s="591"/>
      <c r="D64" s="590"/>
      <c r="E64" s="592">
        <f t="shared" si="34"/>
        <v>1</v>
      </c>
      <c r="F64" s="599"/>
      <c r="G64" s="593">
        <f ca="1">$E64*(-SUMIF(INDIRECT(G$3),'Struktur Vorjahr'!$D64,INDIRECT(G$4))+SUMIF(INDIRECT(G$3),'Struktur Vorjahr'!$D64,INDIRECT(G$5)))</f>
        <v>0</v>
      </c>
      <c r="H64" s="593">
        <f ca="1">$E64*(-SUMIF(INDIRECT(H$3),'Struktur Vorjahr'!$D64,INDIRECT(H$4))+SUMIF(INDIRECT(H$3),'Struktur Vorjahr'!$D64,INDIRECT(H$5)))</f>
        <v>0</v>
      </c>
      <c r="I64" s="593">
        <f ca="1">$E64*(-SUMIF(INDIRECT(I$3),'Struktur Vorjahr'!$D64,INDIRECT(I$4))+SUMIF(INDIRECT(I$3),'Struktur Vorjahr'!$D64,INDIRECT(I$5)))</f>
        <v>0</v>
      </c>
      <c r="J64" s="593">
        <f ca="1">$E64*(-SUMIF(INDIRECT(J$3),'Struktur Vorjahr'!$D64,INDIRECT(J$4))+SUMIF(INDIRECT(J$3),'Struktur Vorjahr'!$D64,INDIRECT(J$5)))</f>
        <v>0</v>
      </c>
      <c r="K64" s="593">
        <f ca="1">$E64*(-SUMIF(INDIRECT(K$3),'Struktur Vorjahr'!$D64,INDIRECT(K$4))+SUMIF(INDIRECT(K$3),'Struktur Vorjahr'!$D64,INDIRECT(K$5)))</f>
        <v>0</v>
      </c>
      <c r="L64" s="593">
        <f ca="1">$E64*(-SUMIF(INDIRECT(L$3),'Struktur Vorjahr'!$D64,INDIRECT(L$4))+SUMIF(INDIRECT(L$3),'Struktur Vorjahr'!$D64,INDIRECT(L$5)))</f>
        <v>0</v>
      </c>
      <c r="M64" s="593">
        <f ca="1">$E64*(-SUMIF(INDIRECT(M$3),'Struktur Vorjahr'!$D64,INDIRECT(M$4))+SUMIF(INDIRECT(M$3),'Struktur Vorjahr'!$D64,INDIRECT(M$5)))</f>
        <v>0</v>
      </c>
      <c r="N64" s="593">
        <f ca="1">$E64*(-SUMIF(INDIRECT(N$3),'Struktur Vorjahr'!$D64,INDIRECT(N$4))+SUMIF(INDIRECT(N$3),'Struktur Vorjahr'!$D64,INDIRECT(N$5)))</f>
        <v>0</v>
      </c>
      <c r="O64" s="593">
        <f ca="1">$E64*(-SUMIF(INDIRECT(O$3),'Struktur Vorjahr'!$D64,INDIRECT(O$4))+SUMIF(INDIRECT(O$3),'Struktur Vorjahr'!$D64,INDIRECT(O$5)))</f>
        <v>0</v>
      </c>
      <c r="P64" s="593">
        <f ca="1">$E64*(-SUMIF(INDIRECT(P$3),'Struktur Vorjahr'!$D64,INDIRECT(P$4))+SUMIF(INDIRECT(P$3),'Struktur Vorjahr'!$D64,INDIRECT(P$5)))</f>
        <v>0</v>
      </c>
      <c r="Q64" s="593">
        <f ca="1">$E64*(-SUMIF(INDIRECT(Q$3),'Struktur Vorjahr'!$D64,INDIRECT(Q$4))+SUMIF(INDIRECT(Q$3),'Struktur Vorjahr'!$D64,INDIRECT(Q$5)))</f>
        <v>0</v>
      </c>
      <c r="R64" s="593">
        <f ca="1">$E64*(-SUMIF(INDIRECT(R$3),'Struktur Vorjahr'!$D64,INDIRECT(R$4))+SUMIF(INDIRECT(R$3),'Struktur Vorjahr'!$D64,INDIRECT(R$5)))</f>
        <v>0</v>
      </c>
      <c r="S64" s="593">
        <f ca="1">$E64*(-SUMIF(INDIRECT(S$3),'Struktur Vorjahr'!$D64,INDIRECT(S$4))+SUMIF(INDIRECT(S$3),'Struktur Vorjahr'!$D64,INDIRECT(S$5)))</f>
        <v>0</v>
      </c>
      <c r="T64" s="593">
        <f ca="1">$E64*(-SUMIF(INDIRECT(T$3),'Struktur Vorjahr'!$D64,INDIRECT(T$4))+SUMIF(INDIRECT(T$3),'Struktur Vorjahr'!$D64,INDIRECT(T$5)))</f>
        <v>0</v>
      </c>
      <c r="U64" s="593">
        <f ca="1">$E64*(-SUMIF(INDIRECT(U$3),'Struktur Vorjahr'!$D64,INDIRECT(U$4))+SUMIF(INDIRECT(U$3),'Struktur Vorjahr'!$D64,INDIRECT(U$5)))</f>
        <v>0</v>
      </c>
      <c r="V64" s="593">
        <f ca="1">$E64*(-SUMIF(INDIRECT(V$3),'Struktur Vorjahr'!$D64,INDIRECT(V$4))+SUMIF(INDIRECT(V$3),'Struktur Vorjahr'!$D64,INDIRECT(V$5)))</f>
        <v>0</v>
      </c>
      <c r="W64" s="593">
        <f ca="1">$E64*(-SUMIF(INDIRECT(W$3),'Struktur Vorjahr'!$D64,INDIRECT(W$4))+SUMIF(INDIRECT(W$3),'Struktur Vorjahr'!$D64,INDIRECT(W$5)))</f>
        <v>0</v>
      </c>
      <c r="X64" s="593">
        <f ca="1">$E64*(-SUMIF(INDIRECT(X$3),'Struktur Vorjahr'!$D64,INDIRECT(X$4))+SUMIF(INDIRECT(X$3),'Struktur Vorjahr'!$D64,INDIRECT(X$5)))</f>
        <v>0</v>
      </c>
      <c r="Y64" s="593">
        <f ca="1">$E64*(-SUMIF(INDIRECT(Y$3),'Struktur Vorjahr'!$D64,INDIRECT(Y$4))+SUMIF(INDIRECT(Y$3),'Struktur Vorjahr'!$D64,INDIRECT(Y$5)))</f>
        <v>0</v>
      </c>
      <c r="Z64" s="593">
        <f ca="1">$E64*(-SUMIF(INDIRECT(Z$3),'Struktur Vorjahr'!$D64,INDIRECT(Z$4))+SUMIF(INDIRECT(Z$3),'Struktur Vorjahr'!$D64,INDIRECT(Z$5)))</f>
        <v>0</v>
      </c>
      <c r="AA64" s="593">
        <f ca="1">$E64*(-SUMIF(INDIRECT(AA$3),'Struktur Vorjahr'!$D64,INDIRECT(AA$4))+SUMIF(INDIRECT(AA$3),'Struktur Vorjahr'!$D64,INDIRECT(AA$5)))</f>
        <v>0</v>
      </c>
      <c r="AB64" s="593">
        <f ca="1">$E64*(-SUMIF(INDIRECT(AB$3),'Struktur Vorjahr'!$D64,INDIRECT(AB$4))+SUMIF(INDIRECT(AB$3),'Struktur Vorjahr'!$D64,INDIRECT(AB$5)))</f>
        <v>0</v>
      </c>
      <c r="AC64" s="593">
        <f ca="1">$E64*(-SUMIF(INDIRECT(AC$3),'Struktur Vorjahr'!$D64,INDIRECT(AC$4))+SUMIF(INDIRECT(AC$3),'Struktur Vorjahr'!$D64,INDIRECT(AC$5)))</f>
        <v>0</v>
      </c>
      <c r="AD64" s="593">
        <f ca="1">$E64*(-SUMIF(INDIRECT(AD$3),'Struktur Vorjahr'!$D64,INDIRECT(AD$4))+SUMIF(INDIRECT(AD$3),'Struktur Vorjahr'!$D64,INDIRECT(AD$5)))</f>
        <v>0</v>
      </c>
      <c r="AE64" s="593">
        <f t="shared" ca="1" si="38"/>
        <v>0</v>
      </c>
      <c r="AF64" s="593">
        <f t="shared" ca="1" si="39"/>
        <v>0</v>
      </c>
      <c r="AG64" s="593">
        <f t="shared" ca="1" si="39"/>
        <v>0</v>
      </c>
      <c r="AH64" s="593">
        <f t="shared" ca="1" si="39"/>
        <v>0</v>
      </c>
      <c r="AI64" s="593">
        <f t="shared" ca="1" si="39"/>
        <v>0</v>
      </c>
      <c r="AJ64" s="593">
        <f t="shared" ca="1" si="39"/>
        <v>0</v>
      </c>
      <c r="AK64" s="593">
        <f t="shared" ca="1" si="39"/>
        <v>0</v>
      </c>
      <c r="AL64" s="593">
        <f t="shared" ca="1" si="39"/>
        <v>0</v>
      </c>
      <c r="AM64" s="593">
        <f t="shared" ca="1" si="39"/>
        <v>0</v>
      </c>
      <c r="AN64" s="593">
        <f t="shared" ca="1" si="39"/>
        <v>0</v>
      </c>
      <c r="AO64" s="593">
        <f t="shared" ca="1" si="39"/>
        <v>0</v>
      </c>
      <c r="AP64" s="593">
        <f t="shared" ca="1" si="39"/>
        <v>0</v>
      </c>
    </row>
    <row r="65" spans="1:42" s="594" customFormat="1" ht="11.25" outlineLevel="1" x14ac:dyDescent="0.2">
      <c r="A65" s="599"/>
      <c r="B65" s="591" t="str">
        <f>IF(D65&lt;&gt;"",
IF(ISERROR(MATCH(D65,'Ist Vorjahr Monat 01'!A:A,0))=FALSE,INDEX('Ist Vorjahr Monat 01'!B:B,MATCH(D65,'Ist Vorjahr Monat 01'!A:A,0)),
IF(ISERROR(MATCH(D65,'Ist Vorjahr Monat 02'!A:A,0))=FALSE,INDEX('Ist Vorjahr Monat 02'!B:B,MATCH(D65,'Ist Vorjahr Monat 02'!A:A,0)),
IF(ISERROR(MATCH(D65,'Ist Vorjahr Monat 03'!A:A,0))=FALSE,INDEX('Ist Vorjahr Monat 03'!B:B,MATCH(D65,'Ist Vorjahr Monat 03'!A:A,0)),
IF(ISERROR(MATCH(D65,'Ist Vorjahr Monat 04'!A:A,0))=FALSE,INDEX('Ist Vorjahr Monat 04'!B:B,MATCH(D65,'Ist Vorjahr Monat 04'!A:A,0)),
IF(ISERROR(MATCH(D65,'Ist Vorjahr Monat 05'!A:A,0))=FALSE,INDEX('Ist Vorjahr Monat 05'!B:B,MATCH(D65,'Ist Vorjahr Monat 05'!A:A,0)),
IF(ISERROR(MATCH(D65,'Ist Vorjahr Monat 06'!A:A,0))=FALSE,INDEX('Ist Vorjahr Monat 06'!B:B,MATCH(D65,'Ist Vorjahr Monat 06'!A:A,0)),
IF(ISERROR(MATCH(D65,'Ist Vorjahr Monat 07'!A:A,0))=FALSE,INDEX('Ist Vorjahr Monat 07'!B:B,MATCH(D65,'Ist Vorjahr Monat 07'!A:A,0)),
IF(ISERROR(MATCH(D65,'Ist Vorjahr Monat 08'!A:A,0))=FALSE,INDEX('Ist Vorjahr Monat 08'!B:B,MATCH(D65,'Ist Vorjahr Monat 08'!A:A,0)),
IF(ISERROR(MATCH(D65,'Ist Vorjahr Monat 09'!A:A,0))=FALSE,INDEX('Ist Vorjahr Monat 09'!B:B,MATCH(D65,'Ist Vorjahr Monat 09'!A:A,0)),
IF(ISERROR(MATCH(D65,'Ist Vorjahr Monat 10'!A:A,0))=FALSE,INDEX('Ist Vorjahr Monat 10'!B:B,MATCH(D65,'Ist Vorjahr Monat 10'!A:A,0)),
IF(ISERROR(MATCH(D65,'Ist Vorjahr Monat 11'!A:A,0))=FALSE,INDEX('Ist Vorjahr Monat 11'!B:B,MATCH(D65,'Ist Vorjahr Monat 11'!A:A,0)),
IF(ISERROR(MATCH(D65,'Ist Vorjahr Monat 12'!A:A,0))=FALSE,INDEX('Ist Vorjahr Monat 12'!B:B,MATCH(D65,'Ist Vorjahr Monat 12'!A:A,0)),
"{Konto unbekannt}"
)))))))))))),"")</f>
        <v/>
      </c>
      <c r="C65" s="591"/>
      <c r="D65" s="590"/>
      <c r="E65" s="592">
        <f t="shared" si="34"/>
        <v>1</v>
      </c>
      <c r="F65" s="599"/>
      <c r="G65" s="593">
        <f ca="1">$E65*(-SUMIF(INDIRECT(G$3),'Struktur Vorjahr'!$D65,INDIRECT(G$4))+SUMIF(INDIRECT(G$3),'Struktur Vorjahr'!$D65,INDIRECT(G$5)))</f>
        <v>0</v>
      </c>
      <c r="H65" s="593">
        <f ca="1">$E65*(-SUMIF(INDIRECT(H$3),'Struktur Vorjahr'!$D65,INDIRECT(H$4))+SUMIF(INDIRECT(H$3),'Struktur Vorjahr'!$D65,INDIRECT(H$5)))</f>
        <v>0</v>
      </c>
      <c r="I65" s="593">
        <f ca="1">$E65*(-SUMIF(INDIRECT(I$3),'Struktur Vorjahr'!$D65,INDIRECT(I$4))+SUMIF(INDIRECT(I$3),'Struktur Vorjahr'!$D65,INDIRECT(I$5)))</f>
        <v>0</v>
      </c>
      <c r="J65" s="593">
        <f ca="1">$E65*(-SUMIF(INDIRECT(J$3),'Struktur Vorjahr'!$D65,INDIRECT(J$4))+SUMIF(INDIRECT(J$3),'Struktur Vorjahr'!$D65,INDIRECT(J$5)))</f>
        <v>0</v>
      </c>
      <c r="K65" s="593">
        <f ca="1">$E65*(-SUMIF(INDIRECT(K$3),'Struktur Vorjahr'!$D65,INDIRECT(K$4))+SUMIF(INDIRECT(K$3),'Struktur Vorjahr'!$D65,INDIRECT(K$5)))</f>
        <v>0</v>
      </c>
      <c r="L65" s="593">
        <f ca="1">$E65*(-SUMIF(INDIRECT(L$3),'Struktur Vorjahr'!$D65,INDIRECT(L$4))+SUMIF(INDIRECT(L$3),'Struktur Vorjahr'!$D65,INDIRECT(L$5)))</f>
        <v>0</v>
      </c>
      <c r="M65" s="593">
        <f ca="1">$E65*(-SUMIF(INDIRECT(M$3),'Struktur Vorjahr'!$D65,INDIRECT(M$4))+SUMIF(INDIRECT(M$3),'Struktur Vorjahr'!$D65,INDIRECT(M$5)))</f>
        <v>0</v>
      </c>
      <c r="N65" s="593">
        <f ca="1">$E65*(-SUMIF(INDIRECT(N$3),'Struktur Vorjahr'!$D65,INDIRECT(N$4))+SUMIF(INDIRECT(N$3),'Struktur Vorjahr'!$D65,INDIRECT(N$5)))</f>
        <v>0</v>
      </c>
      <c r="O65" s="593">
        <f ca="1">$E65*(-SUMIF(INDIRECT(O$3),'Struktur Vorjahr'!$D65,INDIRECT(O$4))+SUMIF(INDIRECT(O$3),'Struktur Vorjahr'!$D65,INDIRECT(O$5)))</f>
        <v>0</v>
      </c>
      <c r="P65" s="593">
        <f ca="1">$E65*(-SUMIF(INDIRECT(P$3),'Struktur Vorjahr'!$D65,INDIRECT(P$4))+SUMIF(INDIRECT(P$3),'Struktur Vorjahr'!$D65,INDIRECT(P$5)))</f>
        <v>0</v>
      </c>
      <c r="Q65" s="593">
        <f ca="1">$E65*(-SUMIF(INDIRECT(Q$3),'Struktur Vorjahr'!$D65,INDIRECT(Q$4))+SUMIF(INDIRECT(Q$3),'Struktur Vorjahr'!$D65,INDIRECT(Q$5)))</f>
        <v>0</v>
      </c>
      <c r="R65" s="593">
        <f ca="1">$E65*(-SUMIF(INDIRECT(R$3),'Struktur Vorjahr'!$D65,INDIRECT(R$4))+SUMIF(INDIRECT(R$3),'Struktur Vorjahr'!$D65,INDIRECT(R$5)))</f>
        <v>0</v>
      </c>
      <c r="S65" s="593">
        <f ca="1">$E65*(-SUMIF(INDIRECT(S$3),'Struktur Vorjahr'!$D65,INDIRECT(S$4))+SUMIF(INDIRECT(S$3),'Struktur Vorjahr'!$D65,INDIRECT(S$5)))</f>
        <v>0</v>
      </c>
      <c r="T65" s="593">
        <f ca="1">$E65*(-SUMIF(INDIRECT(T$3),'Struktur Vorjahr'!$D65,INDIRECT(T$4))+SUMIF(INDIRECT(T$3),'Struktur Vorjahr'!$D65,INDIRECT(T$5)))</f>
        <v>0</v>
      </c>
      <c r="U65" s="593">
        <f ca="1">$E65*(-SUMIF(INDIRECT(U$3),'Struktur Vorjahr'!$D65,INDIRECT(U$4))+SUMIF(INDIRECT(U$3),'Struktur Vorjahr'!$D65,INDIRECT(U$5)))</f>
        <v>0</v>
      </c>
      <c r="V65" s="593">
        <f ca="1">$E65*(-SUMIF(INDIRECT(V$3),'Struktur Vorjahr'!$D65,INDIRECT(V$4))+SUMIF(INDIRECT(V$3),'Struktur Vorjahr'!$D65,INDIRECT(V$5)))</f>
        <v>0</v>
      </c>
      <c r="W65" s="593">
        <f ca="1">$E65*(-SUMIF(INDIRECT(W$3),'Struktur Vorjahr'!$D65,INDIRECT(W$4))+SUMIF(INDIRECT(W$3),'Struktur Vorjahr'!$D65,INDIRECT(W$5)))</f>
        <v>0</v>
      </c>
      <c r="X65" s="593">
        <f ca="1">$E65*(-SUMIF(INDIRECT(X$3),'Struktur Vorjahr'!$D65,INDIRECT(X$4))+SUMIF(INDIRECT(X$3),'Struktur Vorjahr'!$D65,INDIRECT(X$5)))</f>
        <v>0</v>
      </c>
      <c r="Y65" s="593">
        <f ca="1">$E65*(-SUMIF(INDIRECT(Y$3),'Struktur Vorjahr'!$D65,INDIRECT(Y$4))+SUMIF(INDIRECT(Y$3),'Struktur Vorjahr'!$D65,INDIRECT(Y$5)))</f>
        <v>0</v>
      </c>
      <c r="Z65" s="593">
        <f ca="1">$E65*(-SUMIF(INDIRECT(Z$3),'Struktur Vorjahr'!$D65,INDIRECT(Z$4))+SUMIF(INDIRECT(Z$3),'Struktur Vorjahr'!$D65,INDIRECT(Z$5)))</f>
        <v>0</v>
      </c>
      <c r="AA65" s="593">
        <f ca="1">$E65*(-SUMIF(INDIRECT(AA$3),'Struktur Vorjahr'!$D65,INDIRECT(AA$4))+SUMIF(INDIRECT(AA$3),'Struktur Vorjahr'!$D65,INDIRECT(AA$5)))</f>
        <v>0</v>
      </c>
      <c r="AB65" s="593">
        <f ca="1">$E65*(-SUMIF(INDIRECT(AB$3),'Struktur Vorjahr'!$D65,INDIRECT(AB$4))+SUMIF(INDIRECT(AB$3),'Struktur Vorjahr'!$D65,INDIRECT(AB$5)))</f>
        <v>0</v>
      </c>
      <c r="AC65" s="593">
        <f ca="1">$E65*(-SUMIF(INDIRECT(AC$3),'Struktur Vorjahr'!$D65,INDIRECT(AC$4))+SUMIF(INDIRECT(AC$3),'Struktur Vorjahr'!$D65,INDIRECT(AC$5)))</f>
        <v>0</v>
      </c>
      <c r="AD65" s="593">
        <f ca="1">$E65*(-SUMIF(INDIRECT(AD$3),'Struktur Vorjahr'!$D65,INDIRECT(AD$4))+SUMIF(INDIRECT(AD$3),'Struktur Vorjahr'!$D65,INDIRECT(AD$5)))</f>
        <v>0</v>
      </c>
      <c r="AE65" s="593">
        <f t="shared" ca="1" si="38"/>
        <v>0</v>
      </c>
      <c r="AF65" s="593">
        <f t="shared" ca="1" si="39"/>
        <v>0</v>
      </c>
      <c r="AG65" s="593">
        <f t="shared" ca="1" si="39"/>
        <v>0</v>
      </c>
      <c r="AH65" s="593">
        <f t="shared" ca="1" si="39"/>
        <v>0</v>
      </c>
      <c r="AI65" s="593">
        <f t="shared" ca="1" si="39"/>
        <v>0</v>
      </c>
      <c r="AJ65" s="593">
        <f t="shared" ca="1" si="39"/>
        <v>0</v>
      </c>
      <c r="AK65" s="593">
        <f t="shared" ca="1" si="39"/>
        <v>0</v>
      </c>
      <c r="AL65" s="593">
        <f t="shared" ca="1" si="39"/>
        <v>0</v>
      </c>
      <c r="AM65" s="593">
        <f t="shared" ca="1" si="39"/>
        <v>0</v>
      </c>
      <c r="AN65" s="593">
        <f t="shared" ca="1" si="39"/>
        <v>0</v>
      </c>
      <c r="AO65" s="593">
        <f t="shared" ca="1" si="39"/>
        <v>0</v>
      </c>
      <c r="AP65" s="593">
        <f t="shared" ca="1" si="39"/>
        <v>0</v>
      </c>
    </row>
    <row r="66" spans="1:42" s="594" customFormat="1" ht="11.25" outlineLevel="1" x14ac:dyDescent="0.2">
      <c r="A66" s="599"/>
      <c r="B66" s="591" t="str">
        <f>IF(D66&lt;&gt;"",
IF(ISERROR(MATCH(D66,'Ist Vorjahr Monat 01'!A:A,0))=FALSE,INDEX('Ist Vorjahr Monat 01'!B:B,MATCH(D66,'Ist Vorjahr Monat 01'!A:A,0)),
IF(ISERROR(MATCH(D66,'Ist Vorjahr Monat 02'!A:A,0))=FALSE,INDEX('Ist Vorjahr Monat 02'!B:B,MATCH(D66,'Ist Vorjahr Monat 02'!A:A,0)),
IF(ISERROR(MATCH(D66,'Ist Vorjahr Monat 03'!A:A,0))=FALSE,INDEX('Ist Vorjahr Monat 03'!B:B,MATCH(D66,'Ist Vorjahr Monat 03'!A:A,0)),
IF(ISERROR(MATCH(D66,'Ist Vorjahr Monat 04'!A:A,0))=FALSE,INDEX('Ist Vorjahr Monat 04'!B:B,MATCH(D66,'Ist Vorjahr Monat 04'!A:A,0)),
IF(ISERROR(MATCH(D66,'Ist Vorjahr Monat 05'!A:A,0))=FALSE,INDEX('Ist Vorjahr Monat 05'!B:B,MATCH(D66,'Ist Vorjahr Monat 05'!A:A,0)),
IF(ISERROR(MATCH(D66,'Ist Vorjahr Monat 06'!A:A,0))=FALSE,INDEX('Ist Vorjahr Monat 06'!B:B,MATCH(D66,'Ist Vorjahr Monat 06'!A:A,0)),
IF(ISERROR(MATCH(D66,'Ist Vorjahr Monat 07'!A:A,0))=FALSE,INDEX('Ist Vorjahr Monat 07'!B:B,MATCH(D66,'Ist Vorjahr Monat 07'!A:A,0)),
IF(ISERROR(MATCH(D66,'Ist Vorjahr Monat 08'!A:A,0))=FALSE,INDEX('Ist Vorjahr Monat 08'!B:B,MATCH(D66,'Ist Vorjahr Monat 08'!A:A,0)),
IF(ISERROR(MATCH(D66,'Ist Vorjahr Monat 09'!A:A,0))=FALSE,INDEX('Ist Vorjahr Monat 09'!B:B,MATCH(D66,'Ist Vorjahr Monat 09'!A:A,0)),
IF(ISERROR(MATCH(D66,'Ist Vorjahr Monat 10'!A:A,0))=FALSE,INDEX('Ist Vorjahr Monat 10'!B:B,MATCH(D66,'Ist Vorjahr Monat 10'!A:A,0)),
IF(ISERROR(MATCH(D66,'Ist Vorjahr Monat 11'!A:A,0))=FALSE,INDEX('Ist Vorjahr Monat 11'!B:B,MATCH(D66,'Ist Vorjahr Monat 11'!A:A,0)),
IF(ISERROR(MATCH(D66,'Ist Vorjahr Monat 12'!A:A,0))=FALSE,INDEX('Ist Vorjahr Monat 12'!B:B,MATCH(D66,'Ist Vorjahr Monat 12'!A:A,0)),
"{Konto unbekannt}"
)))))))))))),"")</f>
        <v/>
      </c>
      <c r="C66" s="591"/>
      <c r="D66" s="590"/>
      <c r="E66" s="592">
        <f t="shared" si="34"/>
        <v>1</v>
      </c>
      <c r="F66" s="599"/>
      <c r="G66" s="593">
        <f ca="1">$E66*(-SUMIF(INDIRECT(G$3),'Struktur Vorjahr'!$D66,INDIRECT(G$4))+SUMIF(INDIRECT(G$3),'Struktur Vorjahr'!$D66,INDIRECT(G$5)))</f>
        <v>0</v>
      </c>
      <c r="H66" s="593">
        <f ca="1">$E66*(-SUMIF(INDIRECT(H$3),'Struktur Vorjahr'!$D66,INDIRECT(H$4))+SUMIF(INDIRECT(H$3),'Struktur Vorjahr'!$D66,INDIRECT(H$5)))</f>
        <v>0</v>
      </c>
      <c r="I66" s="593">
        <f ca="1">$E66*(-SUMIF(INDIRECT(I$3),'Struktur Vorjahr'!$D66,INDIRECT(I$4))+SUMIF(INDIRECT(I$3),'Struktur Vorjahr'!$D66,INDIRECT(I$5)))</f>
        <v>0</v>
      </c>
      <c r="J66" s="593">
        <f ca="1">$E66*(-SUMIF(INDIRECT(J$3),'Struktur Vorjahr'!$D66,INDIRECT(J$4))+SUMIF(INDIRECT(J$3),'Struktur Vorjahr'!$D66,INDIRECT(J$5)))</f>
        <v>0</v>
      </c>
      <c r="K66" s="593">
        <f ca="1">$E66*(-SUMIF(INDIRECT(K$3),'Struktur Vorjahr'!$D66,INDIRECT(K$4))+SUMIF(INDIRECT(K$3),'Struktur Vorjahr'!$D66,INDIRECT(K$5)))</f>
        <v>0</v>
      </c>
      <c r="L66" s="593">
        <f ca="1">$E66*(-SUMIF(INDIRECT(L$3),'Struktur Vorjahr'!$D66,INDIRECT(L$4))+SUMIF(INDIRECT(L$3),'Struktur Vorjahr'!$D66,INDIRECT(L$5)))</f>
        <v>0</v>
      </c>
      <c r="M66" s="593">
        <f ca="1">$E66*(-SUMIF(INDIRECT(M$3),'Struktur Vorjahr'!$D66,INDIRECT(M$4))+SUMIF(INDIRECT(M$3),'Struktur Vorjahr'!$D66,INDIRECT(M$5)))</f>
        <v>0</v>
      </c>
      <c r="N66" s="593">
        <f ca="1">$E66*(-SUMIF(INDIRECT(N$3),'Struktur Vorjahr'!$D66,INDIRECT(N$4))+SUMIF(INDIRECT(N$3),'Struktur Vorjahr'!$D66,INDIRECT(N$5)))</f>
        <v>0</v>
      </c>
      <c r="O66" s="593">
        <f ca="1">$E66*(-SUMIF(INDIRECT(O$3),'Struktur Vorjahr'!$D66,INDIRECT(O$4))+SUMIF(INDIRECT(O$3),'Struktur Vorjahr'!$D66,INDIRECT(O$5)))</f>
        <v>0</v>
      </c>
      <c r="P66" s="593">
        <f ca="1">$E66*(-SUMIF(INDIRECT(P$3),'Struktur Vorjahr'!$D66,INDIRECT(P$4))+SUMIF(INDIRECT(P$3),'Struktur Vorjahr'!$D66,INDIRECT(P$5)))</f>
        <v>0</v>
      </c>
      <c r="Q66" s="593">
        <f ca="1">$E66*(-SUMIF(INDIRECT(Q$3),'Struktur Vorjahr'!$D66,INDIRECT(Q$4))+SUMIF(INDIRECT(Q$3),'Struktur Vorjahr'!$D66,INDIRECT(Q$5)))</f>
        <v>0</v>
      </c>
      <c r="R66" s="593">
        <f ca="1">$E66*(-SUMIF(INDIRECT(R$3),'Struktur Vorjahr'!$D66,INDIRECT(R$4))+SUMIF(INDIRECT(R$3),'Struktur Vorjahr'!$D66,INDIRECT(R$5)))</f>
        <v>0</v>
      </c>
      <c r="S66" s="593">
        <f ca="1">$E66*(-SUMIF(INDIRECT(S$3),'Struktur Vorjahr'!$D66,INDIRECT(S$4))+SUMIF(INDIRECT(S$3),'Struktur Vorjahr'!$D66,INDIRECT(S$5)))</f>
        <v>0</v>
      </c>
      <c r="T66" s="593">
        <f ca="1">$E66*(-SUMIF(INDIRECT(T$3),'Struktur Vorjahr'!$D66,INDIRECT(T$4))+SUMIF(INDIRECT(T$3),'Struktur Vorjahr'!$D66,INDIRECT(T$5)))</f>
        <v>0</v>
      </c>
      <c r="U66" s="593">
        <f ca="1">$E66*(-SUMIF(INDIRECT(U$3),'Struktur Vorjahr'!$D66,INDIRECT(U$4))+SUMIF(INDIRECT(U$3),'Struktur Vorjahr'!$D66,INDIRECT(U$5)))</f>
        <v>0</v>
      </c>
      <c r="V66" s="593">
        <f ca="1">$E66*(-SUMIF(INDIRECT(V$3),'Struktur Vorjahr'!$D66,INDIRECT(V$4))+SUMIF(INDIRECT(V$3),'Struktur Vorjahr'!$D66,INDIRECT(V$5)))</f>
        <v>0</v>
      </c>
      <c r="W66" s="593">
        <f ca="1">$E66*(-SUMIF(INDIRECT(W$3),'Struktur Vorjahr'!$D66,INDIRECT(W$4))+SUMIF(INDIRECT(W$3),'Struktur Vorjahr'!$D66,INDIRECT(W$5)))</f>
        <v>0</v>
      </c>
      <c r="X66" s="593">
        <f ca="1">$E66*(-SUMIF(INDIRECT(X$3),'Struktur Vorjahr'!$D66,INDIRECT(X$4))+SUMIF(INDIRECT(X$3),'Struktur Vorjahr'!$D66,INDIRECT(X$5)))</f>
        <v>0</v>
      </c>
      <c r="Y66" s="593">
        <f ca="1">$E66*(-SUMIF(INDIRECT(Y$3),'Struktur Vorjahr'!$D66,INDIRECT(Y$4))+SUMIF(INDIRECT(Y$3),'Struktur Vorjahr'!$D66,INDIRECT(Y$5)))</f>
        <v>0</v>
      </c>
      <c r="Z66" s="593">
        <f ca="1">$E66*(-SUMIF(INDIRECT(Z$3),'Struktur Vorjahr'!$D66,INDIRECT(Z$4))+SUMIF(INDIRECT(Z$3),'Struktur Vorjahr'!$D66,INDIRECT(Z$5)))</f>
        <v>0</v>
      </c>
      <c r="AA66" s="593">
        <f ca="1">$E66*(-SUMIF(INDIRECT(AA$3),'Struktur Vorjahr'!$D66,INDIRECT(AA$4))+SUMIF(INDIRECT(AA$3),'Struktur Vorjahr'!$D66,INDIRECT(AA$5)))</f>
        <v>0</v>
      </c>
      <c r="AB66" s="593">
        <f ca="1">$E66*(-SUMIF(INDIRECT(AB$3),'Struktur Vorjahr'!$D66,INDIRECT(AB$4))+SUMIF(INDIRECT(AB$3),'Struktur Vorjahr'!$D66,INDIRECT(AB$5)))</f>
        <v>0</v>
      </c>
      <c r="AC66" s="593">
        <f ca="1">$E66*(-SUMIF(INDIRECT(AC$3),'Struktur Vorjahr'!$D66,INDIRECT(AC$4))+SUMIF(INDIRECT(AC$3),'Struktur Vorjahr'!$D66,INDIRECT(AC$5)))</f>
        <v>0</v>
      </c>
      <c r="AD66" s="593">
        <f ca="1">$E66*(-SUMIF(INDIRECT(AD$3),'Struktur Vorjahr'!$D66,INDIRECT(AD$4))+SUMIF(INDIRECT(AD$3),'Struktur Vorjahr'!$D66,INDIRECT(AD$5)))</f>
        <v>0</v>
      </c>
      <c r="AE66" s="593">
        <f t="shared" ca="1" si="38"/>
        <v>0</v>
      </c>
      <c r="AF66" s="593">
        <f t="shared" ca="1" si="39"/>
        <v>0</v>
      </c>
      <c r="AG66" s="593">
        <f t="shared" ca="1" si="39"/>
        <v>0</v>
      </c>
      <c r="AH66" s="593">
        <f t="shared" ca="1" si="39"/>
        <v>0</v>
      </c>
      <c r="AI66" s="593">
        <f t="shared" ca="1" si="39"/>
        <v>0</v>
      </c>
      <c r="AJ66" s="593">
        <f t="shared" ca="1" si="39"/>
        <v>0</v>
      </c>
      <c r="AK66" s="593">
        <f t="shared" ca="1" si="39"/>
        <v>0</v>
      </c>
      <c r="AL66" s="593">
        <f t="shared" ca="1" si="39"/>
        <v>0</v>
      </c>
      <c r="AM66" s="593">
        <f t="shared" ca="1" si="39"/>
        <v>0</v>
      </c>
      <c r="AN66" s="593">
        <f t="shared" ca="1" si="39"/>
        <v>0</v>
      </c>
      <c r="AO66" s="593">
        <f t="shared" ca="1" si="39"/>
        <v>0</v>
      </c>
      <c r="AP66" s="593">
        <f t="shared" ca="1" si="39"/>
        <v>0</v>
      </c>
    </row>
    <row r="67" spans="1:42" s="594" customFormat="1" ht="11.25" outlineLevel="1" x14ac:dyDescent="0.2">
      <c r="A67" s="599"/>
      <c r="B67" s="591" t="str">
        <f>IF(D67&lt;&gt;"",
IF(ISERROR(MATCH(D67,'Ist Vorjahr Monat 01'!A:A,0))=FALSE,INDEX('Ist Vorjahr Monat 01'!B:B,MATCH(D67,'Ist Vorjahr Monat 01'!A:A,0)),
IF(ISERROR(MATCH(D67,'Ist Vorjahr Monat 02'!A:A,0))=FALSE,INDEX('Ist Vorjahr Monat 02'!B:B,MATCH(D67,'Ist Vorjahr Monat 02'!A:A,0)),
IF(ISERROR(MATCH(D67,'Ist Vorjahr Monat 03'!A:A,0))=FALSE,INDEX('Ist Vorjahr Monat 03'!B:B,MATCH(D67,'Ist Vorjahr Monat 03'!A:A,0)),
IF(ISERROR(MATCH(D67,'Ist Vorjahr Monat 04'!A:A,0))=FALSE,INDEX('Ist Vorjahr Monat 04'!B:B,MATCH(D67,'Ist Vorjahr Monat 04'!A:A,0)),
IF(ISERROR(MATCH(D67,'Ist Vorjahr Monat 05'!A:A,0))=FALSE,INDEX('Ist Vorjahr Monat 05'!B:B,MATCH(D67,'Ist Vorjahr Monat 05'!A:A,0)),
IF(ISERROR(MATCH(D67,'Ist Vorjahr Monat 06'!A:A,0))=FALSE,INDEX('Ist Vorjahr Monat 06'!B:B,MATCH(D67,'Ist Vorjahr Monat 06'!A:A,0)),
IF(ISERROR(MATCH(D67,'Ist Vorjahr Monat 07'!A:A,0))=FALSE,INDEX('Ist Vorjahr Monat 07'!B:B,MATCH(D67,'Ist Vorjahr Monat 07'!A:A,0)),
IF(ISERROR(MATCH(D67,'Ist Vorjahr Monat 08'!A:A,0))=FALSE,INDEX('Ist Vorjahr Monat 08'!B:B,MATCH(D67,'Ist Vorjahr Monat 08'!A:A,0)),
IF(ISERROR(MATCH(D67,'Ist Vorjahr Monat 09'!A:A,0))=FALSE,INDEX('Ist Vorjahr Monat 09'!B:B,MATCH(D67,'Ist Vorjahr Monat 09'!A:A,0)),
IF(ISERROR(MATCH(D67,'Ist Vorjahr Monat 10'!A:A,0))=FALSE,INDEX('Ist Vorjahr Monat 10'!B:B,MATCH(D67,'Ist Vorjahr Monat 10'!A:A,0)),
IF(ISERROR(MATCH(D67,'Ist Vorjahr Monat 11'!A:A,0))=FALSE,INDEX('Ist Vorjahr Monat 11'!B:B,MATCH(D67,'Ist Vorjahr Monat 11'!A:A,0)),
IF(ISERROR(MATCH(D67,'Ist Vorjahr Monat 12'!A:A,0))=FALSE,INDEX('Ist Vorjahr Monat 12'!B:B,MATCH(D67,'Ist Vorjahr Monat 12'!A:A,0)),
"{Konto unbekannt}"
)))))))))))),"")</f>
        <v/>
      </c>
      <c r="C67" s="591"/>
      <c r="D67" s="590"/>
      <c r="E67" s="592">
        <f t="shared" si="34"/>
        <v>1</v>
      </c>
      <c r="F67" s="599"/>
      <c r="G67" s="593">
        <f ca="1">$E67*(-SUMIF(INDIRECT(G$3),'Struktur Vorjahr'!$D67,INDIRECT(G$4))+SUMIF(INDIRECT(G$3),'Struktur Vorjahr'!$D67,INDIRECT(G$5)))</f>
        <v>0</v>
      </c>
      <c r="H67" s="593">
        <f ca="1">$E67*(-SUMIF(INDIRECT(H$3),'Struktur Vorjahr'!$D67,INDIRECT(H$4))+SUMIF(INDIRECT(H$3),'Struktur Vorjahr'!$D67,INDIRECT(H$5)))</f>
        <v>0</v>
      </c>
      <c r="I67" s="593">
        <f ca="1">$E67*(-SUMIF(INDIRECT(I$3),'Struktur Vorjahr'!$D67,INDIRECT(I$4))+SUMIF(INDIRECT(I$3),'Struktur Vorjahr'!$D67,INDIRECT(I$5)))</f>
        <v>0</v>
      </c>
      <c r="J67" s="593">
        <f ca="1">$E67*(-SUMIF(INDIRECT(J$3),'Struktur Vorjahr'!$D67,INDIRECT(J$4))+SUMIF(INDIRECT(J$3),'Struktur Vorjahr'!$D67,INDIRECT(J$5)))</f>
        <v>0</v>
      </c>
      <c r="K67" s="593">
        <f ca="1">$E67*(-SUMIF(INDIRECT(K$3),'Struktur Vorjahr'!$D67,INDIRECT(K$4))+SUMIF(INDIRECT(K$3),'Struktur Vorjahr'!$D67,INDIRECT(K$5)))</f>
        <v>0</v>
      </c>
      <c r="L67" s="593">
        <f ca="1">$E67*(-SUMIF(INDIRECT(L$3),'Struktur Vorjahr'!$D67,INDIRECT(L$4))+SUMIF(INDIRECT(L$3),'Struktur Vorjahr'!$D67,INDIRECT(L$5)))</f>
        <v>0</v>
      </c>
      <c r="M67" s="593">
        <f ca="1">$E67*(-SUMIF(INDIRECT(M$3),'Struktur Vorjahr'!$D67,INDIRECT(M$4))+SUMIF(INDIRECT(M$3),'Struktur Vorjahr'!$D67,INDIRECT(M$5)))</f>
        <v>0</v>
      </c>
      <c r="N67" s="593">
        <f ca="1">$E67*(-SUMIF(INDIRECT(N$3),'Struktur Vorjahr'!$D67,INDIRECT(N$4))+SUMIF(INDIRECT(N$3),'Struktur Vorjahr'!$D67,INDIRECT(N$5)))</f>
        <v>0</v>
      </c>
      <c r="O67" s="593">
        <f ca="1">$E67*(-SUMIF(INDIRECT(O$3),'Struktur Vorjahr'!$D67,INDIRECT(O$4))+SUMIF(INDIRECT(O$3),'Struktur Vorjahr'!$D67,INDIRECT(O$5)))</f>
        <v>0</v>
      </c>
      <c r="P67" s="593">
        <f ca="1">$E67*(-SUMIF(INDIRECT(P$3),'Struktur Vorjahr'!$D67,INDIRECT(P$4))+SUMIF(INDIRECT(P$3),'Struktur Vorjahr'!$D67,INDIRECT(P$5)))</f>
        <v>0</v>
      </c>
      <c r="Q67" s="593">
        <f ca="1">$E67*(-SUMIF(INDIRECT(Q$3),'Struktur Vorjahr'!$D67,INDIRECT(Q$4))+SUMIF(INDIRECT(Q$3),'Struktur Vorjahr'!$D67,INDIRECT(Q$5)))</f>
        <v>0</v>
      </c>
      <c r="R67" s="593">
        <f ca="1">$E67*(-SUMIF(INDIRECT(R$3),'Struktur Vorjahr'!$D67,INDIRECT(R$4))+SUMIF(INDIRECT(R$3),'Struktur Vorjahr'!$D67,INDIRECT(R$5)))</f>
        <v>0</v>
      </c>
      <c r="S67" s="593">
        <f ca="1">$E67*(-SUMIF(INDIRECT(S$3),'Struktur Vorjahr'!$D67,INDIRECT(S$4))+SUMIF(INDIRECT(S$3),'Struktur Vorjahr'!$D67,INDIRECT(S$5)))</f>
        <v>0</v>
      </c>
      <c r="T67" s="593">
        <f ca="1">$E67*(-SUMIF(INDIRECT(T$3),'Struktur Vorjahr'!$D67,INDIRECT(T$4))+SUMIF(INDIRECT(T$3),'Struktur Vorjahr'!$D67,INDIRECT(T$5)))</f>
        <v>0</v>
      </c>
      <c r="U67" s="593">
        <f ca="1">$E67*(-SUMIF(INDIRECT(U$3),'Struktur Vorjahr'!$D67,INDIRECT(U$4))+SUMIF(INDIRECT(U$3),'Struktur Vorjahr'!$D67,INDIRECT(U$5)))</f>
        <v>0</v>
      </c>
      <c r="V67" s="593">
        <f ca="1">$E67*(-SUMIF(INDIRECT(V$3),'Struktur Vorjahr'!$D67,INDIRECT(V$4))+SUMIF(INDIRECT(V$3),'Struktur Vorjahr'!$D67,INDIRECT(V$5)))</f>
        <v>0</v>
      </c>
      <c r="W67" s="593">
        <f ca="1">$E67*(-SUMIF(INDIRECT(W$3),'Struktur Vorjahr'!$D67,INDIRECT(W$4))+SUMIF(INDIRECT(W$3),'Struktur Vorjahr'!$D67,INDIRECT(W$5)))</f>
        <v>0</v>
      </c>
      <c r="X67" s="593">
        <f ca="1">$E67*(-SUMIF(INDIRECT(X$3),'Struktur Vorjahr'!$D67,INDIRECT(X$4))+SUMIF(INDIRECT(X$3),'Struktur Vorjahr'!$D67,INDIRECT(X$5)))</f>
        <v>0</v>
      </c>
      <c r="Y67" s="593">
        <f ca="1">$E67*(-SUMIF(INDIRECT(Y$3),'Struktur Vorjahr'!$D67,INDIRECT(Y$4))+SUMIF(INDIRECT(Y$3),'Struktur Vorjahr'!$D67,INDIRECT(Y$5)))</f>
        <v>0</v>
      </c>
      <c r="Z67" s="593">
        <f ca="1">$E67*(-SUMIF(INDIRECT(Z$3),'Struktur Vorjahr'!$D67,INDIRECT(Z$4))+SUMIF(INDIRECT(Z$3),'Struktur Vorjahr'!$D67,INDIRECT(Z$5)))</f>
        <v>0</v>
      </c>
      <c r="AA67" s="593">
        <f ca="1">$E67*(-SUMIF(INDIRECT(AA$3),'Struktur Vorjahr'!$D67,INDIRECT(AA$4))+SUMIF(INDIRECT(AA$3),'Struktur Vorjahr'!$D67,INDIRECT(AA$5)))</f>
        <v>0</v>
      </c>
      <c r="AB67" s="593">
        <f ca="1">$E67*(-SUMIF(INDIRECT(AB$3),'Struktur Vorjahr'!$D67,INDIRECT(AB$4))+SUMIF(INDIRECT(AB$3),'Struktur Vorjahr'!$D67,INDIRECT(AB$5)))</f>
        <v>0</v>
      </c>
      <c r="AC67" s="593">
        <f ca="1">$E67*(-SUMIF(INDIRECT(AC$3),'Struktur Vorjahr'!$D67,INDIRECT(AC$4))+SUMIF(INDIRECT(AC$3),'Struktur Vorjahr'!$D67,INDIRECT(AC$5)))</f>
        <v>0</v>
      </c>
      <c r="AD67" s="593">
        <f ca="1">$E67*(-SUMIF(INDIRECT(AD$3),'Struktur Vorjahr'!$D67,INDIRECT(AD$4))+SUMIF(INDIRECT(AD$3),'Struktur Vorjahr'!$D67,INDIRECT(AD$5)))</f>
        <v>0</v>
      </c>
      <c r="AE67" s="593">
        <f t="shared" ca="1" si="38"/>
        <v>0</v>
      </c>
      <c r="AF67" s="593">
        <f t="shared" ca="1" si="39"/>
        <v>0</v>
      </c>
      <c r="AG67" s="593">
        <f t="shared" ca="1" si="39"/>
        <v>0</v>
      </c>
      <c r="AH67" s="593">
        <f t="shared" ca="1" si="39"/>
        <v>0</v>
      </c>
      <c r="AI67" s="593">
        <f t="shared" ca="1" si="39"/>
        <v>0</v>
      </c>
      <c r="AJ67" s="593">
        <f t="shared" ca="1" si="39"/>
        <v>0</v>
      </c>
      <c r="AK67" s="593">
        <f t="shared" ca="1" si="39"/>
        <v>0</v>
      </c>
      <c r="AL67" s="593">
        <f t="shared" ca="1" si="39"/>
        <v>0</v>
      </c>
      <c r="AM67" s="593">
        <f t="shared" ca="1" si="39"/>
        <v>0</v>
      </c>
      <c r="AN67" s="593">
        <f t="shared" ca="1" si="39"/>
        <v>0</v>
      </c>
      <c r="AO67" s="593">
        <f t="shared" ca="1" si="39"/>
        <v>0</v>
      </c>
      <c r="AP67" s="593">
        <f t="shared" ca="1" si="39"/>
        <v>0</v>
      </c>
    </row>
    <row r="68" spans="1:42" s="594" customFormat="1" ht="11.25" outlineLevel="1" x14ac:dyDescent="0.2">
      <c r="A68" s="599"/>
      <c r="B68" s="591" t="str">
        <f>IF(D68&lt;&gt;"",
IF(ISERROR(MATCH(D68,'Ist Vorjahr Monat 01'!A:A,0))=FALSE,INDEX('Ist Vorjahr Monat 01'!B:B,MATCH(D68,'Ist Vorjahr Monat 01'!A:A,0)),
IF(ISERROR(MATCH(D68,'Ist Vorjahr Monat 02'!A:A,0))=FALSE,INDEX('Ist Vorjahr Monat 02'!B:B,MATCH(D68,'Ist Vorjahr Monat 02'!A:A,0)),
IF(ISERROR(MATCH(D68,'Ist Vorjahr Monat 03'!A:A,0))=FALSE,INDEX('Ist Vorjahr Monat 03'!B:B,MATCH(D68,'Ist Vorjahr Monat 03'!A:A,0)),
IF(ISERROR(MATCH(D68,'Ist Vorjahr Monat 04'!A:A,0))=FALSE,INDEX('Ist Vorjahr Monat 04'!B:B,MATCH(D68,'Ist Vorjahr Monat 04'!A:A,0)),
IF(ISERROR(MATCH(D68,'Ist Vorjahr Monat 05'!A:A,0))=FALSE,INDEX('Ist Vorjahr Monat 05'!B:B,MATCH(D68,'Ist Vorjahr Monat 05'!A:A,0)),
IF(ISERROR(MATCH(D68,'Ist Vorjahr Monat 06'!A:A,0))=FALSE,INDEX('Ist Vorjahr Monat 06'!B:B,MATCH(D68,'Ist Vorjahr Monat 06'!A:A,0)),
IF(ISERROR(MATCH(D68,'Ist Vorjahr Monat 07'!A:A,0))=FALSE,INDEX('Ist Vorjahr Monat 07'!B:B,MATCH(D68,'Ist Vorjahr Monat 07'!A:A,0)),
IF(ISERROR(MATCH(D68,'Ist Vorjahr Monat 08'!A:A,0))=FALSE,INDEX('Ist Vorjahr Monat 08'!B:B,MATCH(D68,'Ist Vorjahr Monat 08'!A:A,0)),
IF(ISERROR(MATCH(D68,'Ist Vorjahr Monat 09'!A:A,0))=FALSE,INDEX('Ist Vorjahr Monat 09'!B:B,MATCH(D68,'Ist Vorjahr Monat 09'!A:A,0)),
IF(ISERROR(MATCH(D68,'Ist Vorjahr Monat 10'!A:A,0))=FALSE,INDEX('Ist Vorjahr Monat 10'!B:B,MATCH(D68,'Ist Vorjahr Monat 10'!A:A,0)),
IF(ISERROR(MATCH(D68,'Ist Vorjahr Monat 11'!A:A,0))=FALSE,INDEX('Ist Vorjahr Monat 11'!B:B,MATCH(D68,'Ist Vorjahr Monat 11'!A:A,0)),
IF(ISERROR(MATCH(D68,'Ist Vorjahr Monat 12'!A:A,0))=FALSE,INDEX('Ist Vorjahr Monat 12'!B:B,MATCH(D68,'Ist Vorjahr Monat 12'!A:A,0)),
"{Konto unbekannt}"
)))))))))))),"")</f>
        <v/>
      </c>
      <c r="C68" s="591"/>
      <c r="D68" s="590"/>
      <c r="E68" s="592">
        <f t="shared" si="34"/>
        <v>1</v>
      </c>
      <c r="F68" s="599"/>
      <c r="G68" s="593">
        <f ca="1">$E68*(-SUMIF(INDIRECT(G$3),'Struktur Vorjahr'!$D68,INDIRECT(G$4))+SUMIF(INDIRECT(G$3),'Struktur Vorjahr'!$D68,INDIRECT(G$5)))</f>
        <v>0</v>
      </c>
      <c r="H68" s="593">
        <f ca="1">$E68*(-SUMIF(INDIRECT(H$3),'Struktur Vorjahr'!$D68,INDIRECT(H$4))+SUMIF(INDIRECT(H$3),'Struktur Vorjahr'!$D68,INDIRECT(H$5)))</f>
        <v>0</v>
      </c>
      <c r="I68" s="593">
        <f ca="1">$E68*(-SUMIF(INDIRECT(I$3),'Struktur Vorjahr'!$D68,INDIRECT(I$4))+SUMIF(INDIRECT(I$3),'Struktur Vorjahr'!$D68,INDIRECT(I$5)))</f>
        <v>0</v>
      </c>
      <c r="J68" s="593">
        <f ca="1">$E68*(-SUMIF(INDIRECT(J$3),'Struktur Vorjahr'!$D68,INDIRECT(J$4))+SUMIF(INDIRECT(J$3),'Struktur Vorjahr'!$D68,INDIRECT(J$5)))</f>
        <v>0</v>
      </c>
      <c r="K68" s="593">
        <f ca="1">$E68*(-SUMIF(INDIRECT(K$3),'Struktur Vorjahr'!$D68,INDIRECT(K$4))+SUMIF(INDIRECT(K$3),'Struktur Vorjahr'!$D68,INDIRECT(K$5)))</f>
        <v>0</v>
      </c>
      <c r="L68" s="593">
        <f ca="1">$E68*(-SUMIF(INDIRECT(L$3),'Struktur Vorjahr'!$D68,INDIRECT(L$4))+SUMIF(INDIRECT(L$3),'Struktur Vorjahr'!$D68,INDIRECT(L$5)))</f>
        <v>0</v>
      </c>
      <c r="M68" s="593">
        <f ca="1">$E68*(-SUMIF(INDIRECT(M$3),'Struktur Vorjahr'!$D68,INDIRECT(M$4))+SUMIF(INDIRECT(M$3),'Struktur Vorjahr'!$D68,INDIRECT(M$5)))</f>
        <v>0</v>
      </c>
      <c r="N68" s="593">
        <f ca="1">$E68*(-SUMIF(INDIRECT(N$3),'Struktur Vorjahr'!$D68,INDIRECT(N$4))+SUMIF(INDIRECT(N$3),'Struktur Vorjahr'!$D68,INDIRECT(N$5)))</f>
        <v>0</v>
      </c>
      <c r="O68" s="593">
        <f ca="1">$E68*(-SUMIF(INDIRECT(O$3),'Struktur Vorjahr'!$D68,INDIRECT(O$4))+SUMIF(INDIRECT(O$3),'Struktur Vorjahr'!$D68,INDIRECT(O$5)))</f>
        <v>0</v>
      </c>
      <c r="P68" s="593">
        <f ca="1">$E68*(-SUMIF(INDIRECT(P$3),'Struktur Vorjahr'!$D68,INDIRECT(P$4))+SUMIF(INDIRECT(P$3),'Struktur Vorjahr'!$D68,INDIRECT(P$5)))</f>
        <v>0</v>
      </c>
      <c r="Q68" s="593">
        <f ca="1">$E68*(-SUMIF(INDIRECT(Q$3),'Struktur Vorjahr'!$D68,INDIRECT(Q$4))+SUMIF(INDIRECT(Q$3),'Struktur Vorjahr'!$D68,INDIRECT(Q$5)))</f>
        <v>0</v>
      </c>
      <c r="R68" s="593">
        <f ca="1">$E68*(-SUMIF(INDIRECT(R$3),'Struktur Vorjahr'!$D68,INDIRECT(R$4))+SUMIF(INDIRECT(R$3),'Struktur Vorjahr'!$D68,INDIRECT(R$5)))</f>
        <v>0</v>
      </c>
      <c r="S68" s="593">
        <f ca="1">$E68*(-SUMIF(INDIRECT(S$3),'Struktur Vorjahr'!$D68,INDIRECT(S$4))+SUMIF(INDIRECT(S$3),'Struktur Vorjahr'!$D68,INDIRECT(S$5)))</f>
        <v>0</v>
      </c>
      <c r="T68" s="593">
        <f ca="1">$E68*(-SUMIF(INDIRECT(T$3),'Struktur Vorjahr'!$D68,INDIRECT(T$4))+SUMIF(INDIRECT(T$3),'Struktur Vorjahr'!$D68,INDIRECT(T$5)))</f>
        <v>0</v>
      </c>
      <c r="U68" s="593">
        <f ca="1">$E68*(-SUMIF(INDIRECT(U$3),'Struktur Vorjahr'!$D68,INDIRECT(U$4))+SUMIF(INDIRECT(U$3),'Struktur Vorjahr'!$D68,INDIRECT(U$5)))</f>
        <v>0</v>
      </c>
      <c r="V68" s="593">
        <f ca="1">$E68*(-SUMIF(INDIRECT(V$3),'Struktur Vorjahr'!$D68,INDIRECT(V$4))+SUMIF(INDIRECT(V$3),'Struktur Vorjahr'!$D68,INDIRECT(V$5)))</f>
        <v>0</v>
      </c>
      <c r="W68" s="593">
        <f ca="1">$E68*(-SUMIF(INDIRECT(W$3),'Struktur Vorjahr'!$D68,INDIRECT(W$4))+SUMIF(INDIRECT(W$3),'Struktur Vorjahr'!$D68,INDIRECT(W$5)))</f>
        <v>0</v>
      </c>
      <c r="X68" s="593">
        <f ca="1">$E68*(-SUMIF(INDIRECT(X$3),'Struktur Vorjahr'!$D68,INDIRECT(X$4))+SUMIF(INDIRECT(X$3),'Struktur Vorjahr'!$D68,INDIRECT(X$5)))</f>
        <v>0</v>
      </c>
      <c r="Y68" s="593">
        <f ca="1">$E68*(-SUMIF(INDIRECT(Y$3),'Struktur Vorjahr'!$D68,INDIRECT(Y$4))+SUMIF(INDIRECT(Y$3),'Struktur Vorjahr'!$D68,INDIRECT(Y$5)))</f>
        <v>0</v>
      </c>
      <c r="Z68" s="593">
        <f ca="1">$E68*(-SUMIF(INDIRECT(Z$3),'Struktur Vorjahr'!$D68,INDIRECT(Z$4))+SUMIF(INDIRECT(Z$3),'Struktur Vorjahr'!$D68,INDIRECT(Z$5)))</f>
        <v>0</v>
      </c>
      <c r="AA68" s="593">
        <f ca="1">$E68*(-SUMIF(INDIRECT(AA$3),'Struktur Vorjahr'!$D68,INDIRECT(AA$4))+SUMIF(INDIRECT(AA$3),'Struktur Vorjahr'!$D68,INDIRECT(AA$5)))</f>
        <v>0</v>
      </c>
      <c r="AB68" s="593">
        <f ca="1">$E68*(-SUMIF(INDIRECT(AB$3),'Struktur Vorjahr'!$D68,INDIRECT(AB$4))+SUMIF(INDIRECT(AB$3),'Struktur Vorjahr'!$D68,INDIRECT(AB$5)))</f>
        <v>0</v>
      </c>
      <c r="AC68" s="593">
        <f ca="1">$E68*(-SUMIF(INDIRECT(AC$3),'Struktur Vorjahr'!$D68,INDIRECT(AC$4))+SUMIF(INDIRECT(AC$3),'Struktur Vorjahr'!$D68,INDIRECT(AC$5)))</f>
        <v>0</v>
      </c>
      <c r="AD68" s="593">
        <f ca="1">$E68*(-SUMIF(INDIRECT(AD$3),'Struktur Vorjahr'!$D68,INDIRECT(AD$4))+SUMIF(INDIRECT(AD$3),'Struktur Vorjahr'!$D68,INDIRECT(AD$5)))</f>
        <v>0</v>
      </c>
      <c r="AE68" s="593">
        <f t="shared" ca="1" si="38"/>
        <v>0</v>
      </c>
      <c r="AF68" s="593">
        <f t="shared" ca="1" si="39"/>
        <v>0</v>
      </c>
      <c r="AG68" s="593">
        <f t="shared" ca="1" si="39"/>
        <v>0</v>
      </c>
      <c r="AH68" s="593">
        <f t="shared" ca="1" si="39"/>
        <v>0</v>
      </c>
      <c r="AI68" s="593">
        <f t="shared" ca="1" si="39"/>
        <v>0</v>
      </c>
      <c r="AJ68" s="593">
        <f t="shared" ca="1" si="39"/>
        <v>0</v>
      </c>
      <c r="AK68" s="593">
        <f t="shared" ca="1" si="39"/>
        <v>0</v>
      </c>
      <c r="AL68" s="593">
        <f t="shared" ca="1" si="39"/>
        <v>0</v>
      </c>
      <c r="AM68" s="593">
        <f t="shared" ca="1" si="39"/>
        <v>0</v>
      </c>
      <c r="AN68" s="593">
        <f t="shared" ca="1" si="39"/>
        <v>0</v>
      </c>
      <c r="AO68" s="593">
        <f t="shared" ca="1" si="39"/>
        <v>0</v>
      </c>
      <c r="AP68" s="593">
        <f t="shared" ca="1" si="39"/>
        <v>0</v>
      </c>
    </row>
    <row r="69" spans="1:42" s="594" customFormat="1" ht="11.25" outlineLevel="1" x14ac:dyDescent="0.2">
      <c r="A69" s="599"/>
      <c r="B69" s="591" t="str">
        <f>IF(D69&lt;&gt;"",
IF(ISERROR(MATCH(D69,'Ist Vorjahr Monat 01'!A:A,0))=FALSE,INDEX('Ist Vorjahr Monat 01'!B:B,MATCH(D69,'Ist Vorjahr Monat 01'!A:A,0)),
IF(ISERROR(MATCH(D69,'Ist Vorjahr Monat 02'!A:A,0))=FALSE,INDEX('Ist Vorjahr Monat 02'!B:B,MATCH(D69,'Ist Vorjahr Monat 02'!A:A,0)),
IF(ISERROR(MATCH(D69,'Ist Vorjahr Monat 03'!A:A,0))=FALSE,INDEX('Ist Vorjahr Monat 03'!B:B,MATCH(D69,'Ist Vorjahr Monat 03'!A:A,0)),
IF(ISERROR(MATCH(D69,'Ist Vorjahr Monat 04'!A:A,0))=FALSE,INDEX('Ist Vorjahr Monat 04'!B:B,MATCH(D69,'Ist Vorjahr Monat 04'!A:A,0)),
IF(ISERROR(MATCH(D69,'Ist Vorjahr Monat 05'!A:A,0))=FALSE,INDEX('Ist Vorjahr Monat 05'!B:B,MATCH(D69,'Ist Vorjahr Monat 05'!A:A,0)),
IF(ISERROR(MATCH(D69,'Ist Vorjahr Monat 06'!A:A,0))=FALSE,INDEX('Ist Vorjahr Monat 06'!B:B,MATCH(D69,'Ist Vorjahr Monat 06'!A:A,0)),
IF(ISERROR(MATCH(D69,'Ist Vorjahr Monat 07'!A:A,0))=FALSE,INDEX('Ist Vorjahr Monat 07'!B:B,MATCH(D69,'Ist Vorjahr Monat 07'!A:A,0)),
IF(ISERROR(MATCH(D69,'Ist Vorjahr Monat 08'!A:A,0))=FALSE,INDEX('Ist Vorjahr Monat 08'!B:B,MATCH(D69,'Ist Vorjahr Monat 08'!A:A,0)),
IF(ISERROR(MATCH(D69,'Ist Vorjahr Monat 09'!A:A,0))=FALSE,INDEX('Ist Vorjahr Monat 09'!B:B,MATCH(D69,'Ist Vorjahr Monat 09'!A:A,0)),
IF(ISERROR(MATCH(D69,'Ist Vorjahr Monat 10'!A:A,0))=FALSE,INDEX('Ist Vorjahr Monat 10'!B:B,MATCH(D69,'Ist Vorjahr Monat 10'!A:A,0)),
IF(ISERROR(MATCH(D69,'Ist Vorjahr Monat 11'!A:A,0))=FALSE,INDEX('Ist Vorjahr Monat 11'!B:B,MATCH(D69,'Ist Vorjahr Monat 11'!A:A,0)),
IF(ISERROR(MATCH(D69,'Ist Vorjahr Monat 12'!A:A,0))=FALSE,INDEX('Ist Vorjahr Monat 12'!B:B,MATCH(D69,'Ist Vorjahr Monat 12'!A:A,0)),
"{Konto unbekannt}"
)))))))))))),"")</f>
        <v/>
      </c>
      <c r="C69" s="591"/>
      <c r="D69" s="590"/>
      <c r="E69" s="592">
        <f t="shared" si="34"/>
        <v>1</v>
      </c>
      <c r="F69" s="599"/>
      <c r="G69" s="593">
        <f ca="1">$E69*(-SUMIF(INDIRECT(G$3),'Struktur Vorjahr'!$D69,INDIRECT(G$4))+SUMIF(INDIRECT(G$3),'Struktur Vorjahr'!$D69,INDIRECT(G$5)))</f>
        <v>0</v>
      </c>
      <c r="H69" s="593">
        <f ca="1">$E69*(-SUMIF(INDIRECT(H$3),'Struktur Vorjahr'!$D69,INDIRECT(H$4))+SUMIF(INDIRECT(H$3),'Struktur Vorjahr'!$D69,INDIRECT(H$5)))</f>
        <v>0</v>
      </c>
      <c r="I69" s="593">
        <f ca="1">$E69*(-SUMIF(INDIRECT(I$3),'Struktur Vorjahr'!$D69,INDIRECT(I$4))+SUMIF(INDIRECT(I$3),'Struktur Vorjahr'!$D69,INDIRECT(I$5)))</f>
        <v>0</v>
      </c>
      <c r="J69" s="593">
        <f ca="1">$E69*(-SUMIF(INDIRECT(J$3),'Struktur Vorjahr'!$D69,INDIRECT(J$4))+SUMIF(INDIRECT(J$3),'Struktur Vorjahr'!$D69,INDIRECT(J$5)))</f>
        <v>0</v>
      </c>
      <c r="K69" s="593">
        <f ca="1">$E69*(-SUMIF(INDIRECT(K$3),'Struktur Vorjahr'!$D69,INDIRECT(K$4))+SUMIF(INDIRECT(K$3),'Struktur Vorjahr'!$D69,INDIRECT(K$5)))</f>
        <v>0</v>
      </c>
      <c r="L69" s="593">
        <f ca="1">$E69*(-SUMIF(INDIRECT(L$3),'Struktur Vorjahr'!$D69,INDIRECT(L$4))+SUMIF(INDIRECT(L$3),'Struktur Vorjahr'!$D69,INDIRECT(L$5)))</f>
        <v>0</v>
      </c>
      <c r="M69" s="593">
        <f ca="1">$E69*(-SUMIF(INDIRECT(M$3),'Struktur Vorjahr'!$D69,INDIRECT(M$4))+SUMIF(INDIRECT(M$3),'Struktur Vorjahr'!$D69,INDIRECT(M$5)))</f>
        <v>0</v>
      </c>
      <c r="N69" s="593">
        <f ca="1">$E69*(-SUMIF(INDIRECT(N$3),'Struktur Vorjahr'!$D69,INDIRECT(N$4))+SUMIF(INDIRECT(N$3),'Struktur Vorjahr'!$D69,INDIRECT(N$5)))</f>
        <v>0</v>
      </c>
      <c r="O69" s="593">
        <f ca="1">$E69*(-SUMIF(INDIRECT(O$3),'Struktur Vorjahr'!$D69,INDIRECT(O$4))+SUMIF(INDIRECT(O$3),'Struktur Vorjahr'!$D69,INDIRECT(O$5)))</f>
        <v>0</v>
      </c>
      <c r="P69" s="593">
        <f ca="1">$E69*(-SUMIF(INDIRECT(P$3),'Struktur Vorjahr'!$D69,INDIRECT(P$4))+SUMIF(INDIRECT(P$3),'Struktur Vorjahr'!$D69,INDIRECT(P$5)))</f>
        <v>0</v>
      </c>
      <c r="Q69" s="593">
        <f ca="1">$E69*(-SUMIF(INDIRECT(Q$3),'Struktur Vorjahr'!$D69,INDIRECT(Q$4))+SUMIF(INDIRECT(Q$3),'Struktur Vorjahr'!$D69,INDIRECT(Q$5)))</f>
        <v>0</v>
      </c>
      <c r="R69" s="593">
        <f ca="1">$E69*(-SUMIF(INDIRECT(R$3),'Struktur Vorjahr'!$D69,INDIRECT(R$4))+SUMIF(INDIRECT(R$3),'Struktur Vorjahr'!$D69,INDIRECT(R$5)))</f>
        <v>0</v>
      </c>
      <c r="S69" s="593">
        <f ca="1">$E69*(-SUMIF(INDIRECT(S$3),'Struktur Vorjahr'!$D69,INDIRECT(S$4))+SUMIF(INDIRECT(S$3),'Struktur Vorjahr'!$D69,INDIRECT(S$5)))</f>
        <v>0</v>
      </c>
      <c r="T69" s="593">
        <f ca="1">$E69*(-SUMIF(INDIRECT(T$3),'Struktur Vorjahr'!$D69,INDIRECT(T$4))+SUMIF(INDIRECT(T$3),'Struktur Vorjahr'!$D69,INDIRECT(T$5)))</f>
        <v>0</v>
      </c>
      <c r="U69" s="593">
        <f ca="1">$E69*(-SUMIF(INDIRECT(U$3),'Struktur Vorjahr'!$D69,INDIRECT(U$4))+SUMIF(INDIRECT(U$3),'Struktur Vorjahr'!$D69,INDIRECT(U$5)))</f>
        <v>0</v>
      </c>
      <c r="V69" s="593">
        <f ca="1">$E69*(-SUMIF(INDIRECT(V$3),'Struktur Vorjahr'!$D69,INDIRECT(V$4))+SUMIF(INDIRECT(V$3),'Struktur Vorjahr'!$D69,INDIRECT(V$5)))</f>
        <v>0</v>
      </c>
      <c r="W69" s="593">
        <f ca="1">$E69*(-SUMIF(INDIRECT(W$3),'Struktur Vorjahr'!$D69,INDIRECT(W$4))+SUMIF(INDIRECT(W$3),'Struktur Vorjahr'!$D69,INDIRECT(W$5)))</f>
        <v>0</v>
      </c>
      <c r="X69" s="593">
        <f ca="1">$E69*(-SUMIF(INDIRECT(X$3),'Struktur Vorjahr'!$D69,INDIRECT(X$4))+SUMIF(INDIRECT(X$3),'Struktur Vorjahr'!$D69,INDIRECT(X$5)))</f>
        <v>0</v>
      </c>
      <c r="Y69" s="593">
        <f ca="1">$E69*(-SUMIF(INDIRECT(Y$3),'Struktur Vorjahr'!$D69,INDIRECT(Y$4))+SUMIF(INDIRECT(Y$3),'Struktur Vorjahr'!$D69,INDIRECT(Y$5)))</f>
        <v>0</v>
      </c>
      <c r="Z69" s="593">
        <f ca="1">$E69*(-SUMIF(INDIRECT(Z$3),'Struktur Vorjahr'!$D69,INDIRECT(Z$4))+SUMIF(INDIRECT(Z$3),'Struktur Vorjahr'!$D69,INDIRECT(Z$5)))</f>
        <v>0</v>
      </c>
      <c r="AA69" s="593">
        <f ca="1">$E69*(-SUMIF(INDIRECT(AA$3),'Struktur Vorjahr'!$D69,INDIRECT(AA$4))+SUMIF(INDIRECT(AA$3),'Struktur Vorjahr'!$D69,INDIRECT(AA$5)))</f>
        <v>0</v>
      </c>
      <c r="AB69" s="593">
        <f ca="1">$E69*(-SUMIF(INDIRECT(AB$3),'Struktur Vorjahr'!$D69,INDIRECT(AB$4))+SUMIF(INDIRECT(AB$3),'Struktur Vorjahr'!$D69,INDIRECT(AB$5)))</f>
        <v>0</v>
      </c>
      <c r="AC69" s="593">
        <f ca="1">$E69*(-SUMIF(INDIRECT(AC$3),'Struktur Vorjahr'!$D69,INDIRECT(AC$4))+SUMIF(INDIRECT(AC$3),'Struktur Vorjahr'!$D69,INDIRECT(AC$5)))</f>
        <v>0</v>
      </c>
      <c r="AD69" s="593">
        <f ca="1">$E69*(-SUMIF(INDIRECT(AD$3),'Struktur Vorjahr'!$D69,INDIRECT(AD$4))+SUMIF(INDIRECT(AD$3),'Struktur Vorjahr'!$D69,INDIRECT(AD$5)))</f>
        <v>0</v>
      </c>
      <c r="AE69" s="593">
        <f t="shared" ca="1" si="38"/>
        <v>0</v>
      </c>
      <c r="AF69" s="593">
        <f t="shared" ca="1" si="39"/>
        <v>0</v>
      </c>
      <c r="AG69" s="593">
        <f t="shared" ca="1" si="39"/>
        <v>0</v>
      </c>
      <c r="AH69" s="593">
        <f t="shared" ca="1" si="39"/>
        <v>0</v>
      </c>
      <c r="AI69" s="593">
        <f t="shared" ca="1" si="39"/>
        <v>0</v>
      </c>
      <c r="AJ69" s="593">
        <f t="shared" ca="1" si="39"/>
        <v>0</v>
      </c>
      <c r="AK69" s="593">
        <f t="shared" ca="1" si="39"/>
        <v>0</v>
      </c>
      <c r="AL69" s="593">
        <f t="shared" ca="1" si="39"/>
        <v>0</v>
      </c>
      <c r="AM69" s="593">
        <f t="shared" ca="1" si="39"/>
        <v>0</v>
      </c>
      <c r="AN69" s="593">
        <f t="shared" ca="1" si="39"/>
        <v>0</v>
      </c>
      <c r="AO69" s="593">
        <f t="shared" ca="1" si="39"/>
        <v>0</v>
      </c>
      <c r="AP69" s="593">
        <f t="shared" ca="1" si="39"/>
        <v>0</v>
      </c>
    </row>
    <row r="70" spans="1:42" s="594" customFormat="1" ht="11.25" outlineLevel="1" x14ac:dyDescent="0.2">
      <c r="A70" s="599"/>
      <c r="B70" s="591" t="str">
        <f>IF(D70&lt;&gt;"",
IF(ISERROR(MATCH(D70,'Ist Vorjahr Monat 01'!A:A,0))=FALSE,INDEX('Ist Vorjahr Monat 01'!B:B,MATCH(D70,'Ist Vorjahr Monat 01'!A:A,0)),
IF(ISERROR(MATCH(D70,'Ist Vorjahr Monat 02'!A:A,0))=FALSE,INDEX('Ist Vorjahr Monat 02'!B:B,MATCH(D70,'Ist Vorjahr Monat 02'!A:A,0)),
IF(ISERROR(MATCH(D70,'Ist Vorjahr Monat 03'!A:A,0))=FALSE,INDEX('Ist Vorjahr Monat 03'!B:B,MATCH(D70,'Ist Vorjahr Monat 03'!A:A,0)),
IF(ISERROR(MATCH(D70,'Ist Vorjahr Monat 04'!A:A,0))=FALSE,INDEX('Ist Vorjahr Monat 04'!B:B,MATCH(D70,'Ist Vorjahr Monat 04'!A:A,0)),
IF(ISERROR(MATCH(D70,'Ist Vorjahr Monat 05'!A:A,0))=FALSE,INDEX('Ist Vorjahr Monat 05'!B:B,MATCH(D70,'Ist Vorjahr Monat 05'!A:A,0)),
IF(ISERROR(MATCH(D70,'Ist Vorjahr Monat 06'!A:A,0))=FALSE,INDEX('Ist Vorjahr Monat 06'!B:B,MATCH(D70,'Ist Vorjahr Monat 06'!A:A,0)),
IF(ISERROR(MATCH(D70,'Ist Vorjahr Monat 07'!A:A,0))=FALSE,INDEX('Ist Vorjahr Monat 07'!B:B,MATCH(D70,'Ist Vorjahr Monat 07'!A:A,0)),
IF(ISERROR(MATCH(D70,'Ist Vorjahr Monat 08'!A:A,0))=FALSE,INDEX('Ist Vorjahr Monat 08'!B:B,MATCH(D70,'Ist Vorjahr Monat 08'!A:A,0)),
IF(ISERROR(MATCH(D70,'Ist Vorjahr Monat 09'!A:A,0))=FALSE,INDEX('Ist Vorjahr Monat 09'!B:B,MATCH(D70,'Ist Vorjahr Monat 09'!A:A,0)),
IF(ISERROR(MATCH(D70,'Ist Vorjahr Monat 10'!A:A,0))=FALSE,INDEX('Ist Vorjahr Monat 10'!B:B,MATCH(D70,'Ist Vorjahr Monat 10'!A:A,0)),
IF(ISERROR(MATCH(D70,'Ist Vorjahr Monat 11'!A:A,0))=FALSE,INDEX('Ist Vorjahr Monat 11'!B:B,MATCH(D70,'Ist Vorjahr Monat 11'!A:A,0)),
IF(ISERROR(MATCH(D70,'Ist Vorjahr Monat 12'!A:A,0))=FALSE,INDEX('Ist Vorjahr Monat 12'!B:B,MATCH(D70,'Ist Vorjahr Monat 12'!A:A,0)),
"{Konto unbekannt}"
)))))))))))),"")</f>
        <v/>
      </c>
      <c r="C70" s="591"/>
      <c r="D70" s="590"/>
      <c r="E70" s="592">
        <f t="shared" si="34"/>
        <v>1</v>
      </c>
      <c r="F70" s="599"/>
      <c r="G70" s="593">
        <f ca="1">$E70*(-SUMIF(INDIRECT(G$3),'Struktur Vorjahr'!$D70,INDIRECT(G$4))+SUMIF(INDIRECT(G$3),'Struktur Vorjahr'!$D70,INDIRECT(G$5)))</f>
        <v>0</v>
      </c>
      <c r="H70" s="593">
        <f ca="1">$E70*(-SUMIF(INDIRECT(H$3),'Struktur Vorjahr'!$D70,INDIRECT(H$4))+SUMIF(INDIRECT(H$3),'Struktur Vorjahr'!$D70,INDIRECT(H$5)))</f>
        <v>0</v>
      </c>
      <c r="I70" s="593">
        <f ca="1">$E70*(-SUMIF(INDIRECT(I$3),'Struktur Vorjahr'!$D70,INDIRECT(I$4))+SUMIF(INDIRECT(I$3),'Struktur Vorjahr'!$D70,INDIRECT(I$5)))</f>
        <v>0</v>
      </c>
      <c r="J70" s="593">
        <f ca="1">$E70*(-SUMIF(INDIRECT(J$3),'Struktur Vorjahr'!$D70,INDIRECT(J$4))+SUMIF(INDIRECT(J$3),'Struktur Vorjahr'!$D70,INDIRECT(J$5)))</f>
        <v>0</v>
      </c>
      <c r="K70" s="593">
        <f ca="1">$E70*(-SUMIF(INDIRECT(K$3),'Struktur Vorjahr'!$D70,INDIRECT(K$4))+SUMIF(INDIRECT(K$3),'Struktur Vorjahr'!$D70,INDIRECT(K$5)))</f>
        <v>0</v>
      </c>
      <c r="L70" s="593">
        <f ca="1">$E70*(-SUMIF(INDIRECT(L$3),'Struktur Vorjahr'!$D70,INDIRECT(L$4))+SUMIF(INDIRECT(L$3),'Struktur Vorjahr'!$D70,INDIRECT(L$5)))</f>
        <v>0</v>
      </c>
      <c r="M70" s="593">
        <f ca="1">$E70*(-SUMIF(INDIRECT(M$3),'Struktur Vorjahr'!$D70,INDIRECT(M$4))+SUMIF(INDIRECT(M$3),'Struktur Vorjahr'!$D70,INDIRECT(M$5)))</f>
        <v>0</v>
      </c>
      <c r="N70" s="593">
        <f ca="1">$E70*(-SUMIF(INDIRECT(N$3),'Struktur Vorjahr'!$D70,INDIRECT(N$4))+SUMIF(INDIRECT(N$3),'Struktur Vorjahr'!$D70,INDIRECT(N$5)))</f>
        <v>0</v>
      </c>
      <c r="O70" s="593">
        <f ca="1">$E70*(-SUMIF(INDIRECT(O$3),'Struktur Vorjahr'!$D70,INDIRECT(O$4))+SUMIF(INDIRECT(O$3),'Struktur Vorjahr'!$D70,INDIRECT(O$5)))</f>
        <v>0</v>
      </c>
      <c r="P70" s="593">
        <f ca="1">$E70*(-SUMIF(INDIRECT(P$3),'Struktur Vorjahr'!$D70,INDIRECT(P$4))+SUMIF(INDIRECT(P$3),'Struktur Vorjahr'!$D70,INDIRECT(P$5)))</f>
        <v>0</v>
      </c>
      <c r="Q70" s="593">
        <f ca="1">$E70*(-SUMIF(INDIRECT(Q$3),'Struktur Vorjahr'!$D70,INDIRECT(Q$4))+SUMIF(INDIRECT(Q$3),'Struktur Vorjahr'!$D70,INDIRECT(Q$5)))</f>
        <v>0</v>
      </c>
      <c r="R70" s="593">
        <f ca="1">$E70*(-SUMIF(INDIRECT(R$3),'Struktur Vorjahr'!$D70,INDIRECT(R$4))+SUMIF(INDIRECT(R$3),'Struktur Vorjahr'!$D70,INDIRECT(R$5)))</f>
        <v>0</v>
      </c>
      <c r="S70" s="593">
        <f ca="1">$E70*(-SUMIF(INDIRECT(S$3),'Struktur Vorjahr'!$D70,INDIRECT(S$4))+SUMIF(INDIRECT(S$3),'Struktur Vorjahr'!$D70,INDIRECT(S$5)))</f>
        <v>0</v>
      </c>
      <c r="T70" s="593">
        <f ca="1">$E70*(-SUMIF(INDIRECT(T$3),'Struktur Vorjahr'!$D70,INDIRECT(T$4))+SUMIF(INDIRECT(T$3),'Struktur Vorjahr'!$D70,INDIRECT(T$5)))</f>
        <v>0</v>
      </c>
      <c r="U70" s="593">
        <f ca="1">$E70*(-SUMIF(INDIRECT(U$3),'Struktur Vorjahr'!$D70,INDIRECT(U$4))+SUMIF(INDIRECT(U$3),'Struktur Vorjahr'!$D70,INDIRECT(U$5)))</f>
        <v>0</v>
      </c>
      <c r="V70" s="593">
        <f ca="1">$E70*(-SUMIF(INDIRECT(V$3),'Struktur Vorjahr'!$D70,INDIRECT(V$4))+SUMIF(INDIRECT(V$3),'Struktur Vorjahr'!$D70,INDIRECT(V$5)))</f>
        <v>0</v>
      </c>
      <c r="W70" s="593">
        <f ca="1">$E70*(-SUMIF(INDIRECT(W$3),'Struktur Vorjahr'!$D70,INDIRECT(W$4))+SUMIF(INDIRECT(W$3),'Struktur Vorjahr'!$D70,INDIRECT(W$5)))</f>
        <v>0</v>
      </c>
      <c r="X70" s="593">
        <f ca="1">$E70*(-SUMIF(INDIRECT(X$3),'Struktur Vorjahr'!$D70,INDIRECT(X$4))+SUMIF(INDIRECT(X$3),'Struktur Vorjahr'!$D70,INDIRECT(X$5)))</f>
        <v>0</v>
      </c>
      <c r="Y70" s="593">
        <f ca="1">$E70*(-SUMIF(INDIRECT(Y$3),'Struktur Vorjahr'!$D70,INDIRECT(Y$4))+SUMIF(INDIRECT(Y$3),'Struktur Vorjahr'!$D70,INDIRECT(Y$5)))</f>
        <v>0</v>
      </c>
      <c r="Z70" s="593">
        <f ca="1">$E70*(-SUMIF(INDIRECT(Z$3),'Struktur Vorjahr'!$D70,INDIRECT(Z$4))+SUMIF(INDIRECT(Z$3),'Struktur Vorjahr'!$D70,INDIRECT(Z$5)))</f>
        <v>0</v>
      </c>
      <c r="AA70" s="593">
        <f ca="1">$E70*(-SUMIF(INDIRECT(AA$3),'Struktur Vorjahr'!$D70,INDIRECT(AA$4))+SUMIF(INDIRECT(AA$3),'Struktur Vorjahr'!$D70,INDIRECT(AA$5)))</f>
        <v>0</v>
      </c>
      <c r="AB70" s="593">
        <f ca="1">$E70*(-SUMIF(INDIRECT(AB$3),'Struktur Vorjahr'!$D70,INDIRECT(AB$4))+SUMIF(INDIRECT(AB$3),'Struktur Vorjahr'!$D70,INDIRECT(AB$5)))</f>
        <v>0</v>
      </c>
      <c r="AC70" s="593">
        <f ca="1">$E70*(-SUMIF(INDIRECT(AC$3),'Struktur Vorjahr'!$D70,INDIRECT(AC$4))+SUMIF(INDIRECT(AC$3),'Struktur Vorjahr'!$D70,INDIRECT(AC$5)))</f>
        <v>0</v>
      </c>
      <c r="AD70" s="593">
        <f ca="1">$E70*(-SUMIF(INDIRECT(AD$3),'Struktur Vorjahr'!$D70,INDIRECT(AD$4))+SUMIF(INDIRECT(AD$3),'Struktur Vorjahr'!$D70,INDIRECT(AD$5)))</f>
        <v>0</v>
      </c>
      <c r="AE70" s="593">
        <f t="shared" ca="1" si="38"/>
        <v>0</v>
      </c>
      <c r="AF70" s="593">
        <f t="shared" ca="1" si="39"/>
        <v>0</v>
      </c>
      <c r="AG70" s="593">
        <f t="shared" ca="1" si="39"/>
        <v>0</v>
      </c>
      <c r="AH70" s="593">
        <f t="shared" ca="1" si="39"/>
        <v>0</v>
      </c>
      <c r="AI70" s="593">
        <f t="shared" ca="1" si="39"/>
        <v>0</v>
      </c>
      <c r="AJ70" s="593">
        <f t="shared" ca="1" si="39"/>
        <v>0</v>
      </c>
      <c r="AK70" s="593">
        <f t="shared" ca="1" si="39"/>
        <v>0</v>
      </c>
      <c r="AL70" s="593">
        <f t="shared" ca="1" si="39"/>
        <v>0</v>
      </c>
      <c r="AM70" s="593">
        <f t="shared" ca="1" si="39"/>
        <v>0</v>
      </c>
      <c r="AN70" s="593">
        <f t="shared" ca="1" si="39"/>
        <v>0</v>
      </c>
      <c r="AO70" s="593">
        <f t="shared" ca="1" si="39"/>
        <v>0</v>
      </c>
      <c r="AP70" s="593">
        <f t="shared" ca="1" si="39"/>
        <v>0</v>
      </c>
    </row>
    <row r="71" spans="1:42" s="594" customFormat="1" outlineLevel="1" x14ac:dyDescent="0.2">
      <c r="A71" s="585">
        <v>6</v>
      </c>
      <c r="B71" s="586" t="s">
        <v>1001</v>
      </c>
      <c r="C71" s="587">
        <f ca="1">SUM(G71:R71)</f>
        <v>0</v>
      </c>
      <c r="D71" s="587"/>
      <c r="E71" s="588">
        <f t="shared" si="34"/>
        <v>1</v>
      </c>
      <c r="F71" s="585"/>
      <c r="G71" s="587">
        <f t="shared" ref="G71:AP71" ca="1" si="40">SUM(G72:G79)</f>
        <v>0</v>
      </c>
      <c r="H71" s="587">
        <f t="shared" ca="1" si="40"/>
        <v>0</v>
      </c>
      <c r="I71" s="587">
        <f t="shared" ca="1" si="40"/>
        <v>0</v>
      </c>
      <c r="J71" s="587">
        <f t="shared" ca="1" si="40"/>
        <v>0</v>
      </c>
      <c r="K71" s="587">
        <f t="shared" ca="1" si="40"/>
        <v>0</v>
      </c>
      <c r="L71" s="587">
        <f t="shared" ca="1" si="40"/>
        <v>0</v>
      </c>
      <c r="M71" s="587">
        <f t="shared" ca="1" si="40"/>
        <v>0</v>
      </c>
      <c r="N71" s="587">
        <f t="shared" ca="1" si="40"/>
        <v>0</v>
      </c>
      <c r="O71" s="587">
        <f t="shared" ca="1" si="40"/>
        <v>0</v>
      </c>
      <c r="P71" s="587">
        <f t="shared" ca="1" si="40"/>
        <v>0</v>
      </c>
      <c r="Q71" s="587">
        <f t="shared" ca="1" si="40"/>
        <v>0</v>
      </c>
      <c r="R71" s="587">
        <f t="shared" ca="1" si="40"/>
        <v>0</v>
      </c>
      <c r="S71" s="587">
        <f t="shared" ca="1" si="40"/>
        <v>0</v>
      </c>
      <c r="T71" s="587">
        <f t="shared" ca="1" si="40"/>
        <v>0</v>
      </c>
      <c r="U71" s="587">
        <f t="shared" ca="1" si="40"/>
        <v>0</v>
      </c>
      <c r="V71" s="587">
        <f t="shared" ca="1" si="40"/>
        <v>0</v>
      </c>
      <c r="W71" s="587">
        <f t="shared" ca="1" si="40"/>
        <v>0</v>
      </c>
      <c r="X71" s="587">
        <f t="shared" ca="1" si="40"/>
        <v>0</v>
      </c>
      <c r="Y71" s="587">
        <f t="shared" ca="1" si="40"/>
        <v>0</v>
      </c>
      <c r="Z71" s="587">
        <f t="shared" ca="1" si="40"/>
        <v>0</v>
      </c>
      <c r="AA71" s="587">
        <f t="shared" ca="1" si="40"/>
        <v>0</v>
      </c>
      <c r="AB71" s="587">
        <f t="shared" ca="1" si="40"/>
        <v>0</v>
      </c>
      <c r="AC71" s="587">
        <f t="shared" ca="1" si="40"/>
        <v>0</v>
      </c>
      <c r="AD71" s="587">
        <f t="shared" ca="1" si="40"/>
        <v>0</v>
      </c>
      <c r="AE71" s="587">
        <f t="shared" ca="1" si="40"/>
        <v>0</v>
      </c>
      <c r="AF71" s="587">
        <f t="shared" ca="1" si="40"/>
        <v>0</v>
      </c>
      <c r="AG71" s="587">
        <f t="shared" ca="1" si="40"/>
        <v>0</v>
      </c>
      <c r="AH71" s="587">
        <f t="shared" ca="1" si="40"/>
        <v>0</v>
      </c>
      <c r="AI71" s="587">
        <f t="shared" ca="1" si="40"/>
        <v>0</v>
      </c>
      <c r="AJ71" s="587">
        <f t="shared" ca="1" si="40"/>
        <v>0</v>
      </c>
      <c r="AK71" s="587">
        <f t="shared" ca="1" si="40"/>
        <v>0</v>
      </c>
      <c r="AL71" s="587">
        <f t="shared" ca="1" si="40"/>
        <v>0</v>
      </c>
      <c r="AM71" s="587">
        <f t="shared" ca="1" si="40"/>
        <v>0</v>
      </c>
      <c r="AN71" s="587">
        <f t="shared" ca="1" si="40"/>
        <v>0</v>
      </c>
      <c r="AO71" s="587">
        <f t="shared" ca="1" si="40"/>
        <v>0</v>
      </c>
      <c r="AP71" s="587">
        <f t="shared" ca="1" si="40"/>
        <v>0</v>
      </c>
    </row>
    <row r="72" spans="1:42" s="594" customFormat="1" ht="11.25" outlineLevel="1" x14ac:dyDescent="0.2">
      <c r="A72" s="599"/>
      <c r="B72" s="591" t="str">
        <f>IF(D72&lt;&gt;"",
IF(ISERROR(MATCH(D72,'Ist Vorjahr Monat 01'!A:A,0))=FALSE,INDEX('Ist Vorjahr Monat 01'!B:B,MATCH(D72,'Ist Vorjahr Monat 01'!A:A,0)),
IF(ISERROR(MATCH(D72,'Ist Vorjahr Monat 02'!A:A,0))=FALSE,INDEX('Ist Vorjahr Monat 02'!B:B,MATCH(D72,'Ist Vorjahr Monat 02'!A:A,0)),
IF(ISERROR(MATCH(D72,'Ist Vorjahr Monat 03'!A:A,0))=FALSE,INDEX('Ist Vorjahr Monat 03'!B:B,MATCH(D72,'Ist Vorjahr Monat 03'!A:A,0)),
IF(ISERROR(MATCH(D72,'Ist Vorjahr Monat 04'!A:A,0))=FALSE,INDEX('Ist Vorjahr Monat 04'!B:B,MATCH(D72,'Ist Vorjahr Monat 04'!A:A,0)),
IF(ISERROR(MATCH(D72,'Ist Vorjahr Monat 05'!A:A,0))=FALSE,INDEX('Ist Vorjahr Monat 05'!B:B,MATCH(D72,'Ist Vorjahr Monat 05'!A:A,0)),
IF(ISERROR(MATCH(D72,'Ist Vorjahr Monat 06'!A:A,0))=FALSE,INDEX('Ist Vorjahr Monat 06'!B:B,MATCH(D72,'Ist Vorjahr Monat 06'!A:A,0)),
IF(ISERROR(MATCH(D72,'Ist Vorjahr Monat 07'!A:A,0))=FALSE,INDEX('Ist Vorjahr Monat 07'!B:B,MATCH(D72,'Ist Vorjahr Monat 07'!A:A,0)),
IF(ISERROR(MATCH(D72,'Ist Vorjahr Monat 08'!A:A,0))=FALSE,INDEX('Ist Vorjahr Monat 08'!B:B,MATCH(D72,'Ist Vorjahr Monat 08'!A:A,0)),
IF(ISERROR(MATCH(D72,'Ist Vorjahr Monat 09'!A:A,0))=FALSE,INDEX('Ist Vorjahr Monat 09'!B:B,MATCH(D72,'Ist Vorjahr Monat 09'!A:A,0)),
IF(ISERROR(MATCH(D72,'Ist Vorjahr Monat 10'!A:A,0))=FALSE,INDEX('Ist Vorjahr Monat 10'!B:B,MATCH(D72,'Ist Vorjahr Monat 10'!A:A,0)),
IF(ISERROR(MATCH(D72,'Ist Vorjahr Monat 11'!A:A,0))=FALSE,INDEX('Ist Vorjahr Monat 11'!B:B,MATCH(D72,'Ist Vorjahr Monat 11'!A:A,0)),
IF(ISERROR(MATCH(D72,'Ist Vorjahr Monat 12'!A:A,0))=FALSE,INDEX('Ist Vorjahr Monat 12'!B:B,MATCH(D72,'Ist Vorjahr Monat 12'!A:A,0)),
"{Konto unbekannt}"
)))))))))))),"")</f>
        <v/>
      </c>
      <c r="C72" s="591"/>
      <c r="D72" s="590"/>
      <c r="E72" s="592">
        <f t="shared" si="34"/>
        <v>1</v>
      </c>
      <c r="F72" s="599"/>
      <c r="G72" s="593">
        <f ca="1">$E72*(-SUMIF(INDIRECT(G$3),'Struktur Vorjahr'!$D72,INDIRECT(G$4))+SUMIF(INDIRECT(G$3),'Struktur Vorjahr'!$D72,INDIRECT(G$5)))</f>
        <v>0</v>
      </c>
      <c r="H72" s="593">
        <f ca="1">$E72*(-SUMIF(INDIRECT(H$3),'Struktur Vorjahr'!$D72,INDIRECT(H$4))+SUMIF(INDIRECT(H$3),'Struktur Vorjahr'!$D72,INDIRECT(H$5)))</f>
        <v>0</v>
      </c>
      <c r="I72" s="593">
        <f ca="1">$E72*(-SUMIF(INDIRECT(I$3),'Struktur Vorjahr'!$D72,INDIRECT(I$4))+SUMIF(INDIRECT(I$3),'Struktur Vorjahr'!$D72,INDIRECT(I$5)))</f>
        <v>0</v>
      </c>
      <c r="J72" s="593">
        <f ca="1">$E72*(-SUMIF(INDIRECT(J$3),'Struktur Vorjahr'!$D72,INDIRECT(J$4))+SUMIF(INDIRECT(J$3),'Struktur Vorjahr'!$D72,INDIRECT(J$5)))</f>
        <v>0</v>
      </c>
      <c r="K72" s="593">
        <f ca="1">$E72*(-SUMIF(INDIRECT(K$3),'Struktur Vorjahr'!$D72,INDIRECT(K$4))+SUMIF(INDIRECT(K$3),'Struktur Vorjahr'!$D72,INDIRECT(K$5)))</f>
        <v>0</v>
      </c>
      <c r="L72" s="593">
        <f ca="1">$E72*(-SUMIF(INDIRECT(L$3),'Struktur Vorjahr'!$D72,INDIRECT(L$4))+SUMIF(INDIRECT(L$3),'Struktur Vorjahr'!$D72,INDIRECT(L$5)))</f>
        <v>0</v>
      </c>
      <c r="M72" s="593">
        <f ca="1">$E72*(-SUMIF(INDIRECT(M$3),'Struktur Vorjahr'!$D72,INDIRECT(M$4))+SUMIF(INDIRECT(M$3),'Struktur Vorjahr'!$D72,INDIRECT(M$5)))</f>
        <v>0</v>
      </c>
      <c r="N72" s="593">
        <f ca="1">$E72*(-SUMIF(INDIRECT(N$3),'Struktur Vorjahr'!$D72,INDIRECT(N$4))+SUMIF(INDIRECT(N$3),'Struktur Vorjahr'!$D72,INDIRECT(N$5)))</f>
        <v>0</v>
      </c>
      <c r="O72" s="593">
        <f ca="1">$E72*(-SUMIF(INDIRECT(O$3),'Struktur Vorjahr'!$D72,INDIRECT(O$4))+SUMIF(INDIRECT(O$3),'Struktur Vorjahr'!$D72,INDIRECT(O$5)))</f>
        <v>0</v>
      </c>
      <c r="P72" s="593">
        <f ca="1">$E72*(-SUMIF(INDIRECT(P$3),'Struktur Vorjahr'!$D72,INDIRECT(P$4))+SUMIF(INDIRECT(P$3),'Struktur Vorjahr'!$D72,INDIRECT(P$5)))</f>
        <v>0</v>
      </c>
      <c r="Q72" s="593">
        <f ca="1">$E72*(-SUMIF(INDIRECT(Q$3),'Struktur Vorjahr'!$D72,INDIRECT(Q$4))+SUMIF(INDIRECT(Q$3),'Struktur Vorjahr'!$D72,INDIRECT(Q$5)))</f>
        <v>0</v>
      </c>
      <c r="R72" s="593">
        <f ca="1">$E72*(-SUMIF(INDIRECT(R$3),'Struktur Vorjahr'!$D72,INDIRECT(R$4))+SUMIF(INDIRECT(R$3),'Struktur Vorjahr'!$D72,INDIRECT(R$5)))</f>
        <v>0</v>
      </c>
      <c r="S72" s="593">
        <f ca="1">$E72*(-SUMIF(INDIRECT(S$3),'Struktur Vorjahr'!$D72,INDIRECT(S$4))+SUMIF(INDIRECT(S$3),'Struktur Vorjahr'!$D72,INDIRECT(S$5)))</f>
        <v>0</v>
      </c>
      <c r="T72" s="593">
        <f ca="1">$E72*(-SUMIF(INDIRECT(T$3),'Struktur Vorjahr'!$D72,INDIRECT(T$4))+SUMIF(INDIRECT(T$3),'Struktur Vorjahr'!$D72,INDIRECT(T$5)))</f>
        <v>0</v>
      </c>
      <c r="U72" s="593">
        <f ca="1">$E72*(-SUMIF(INDIRECT(U$3),'Struktur Vorjahr'!$D72,INDIRECT(U$4))+SUMIF(INDIRECT(U$3),'Struktur Vorjahr'!$D72,INDIRECT(U$5)))</f>
        <v>0</v>
      </c>
      <c r="V72" s="593">
        <f ca="1">$E72*(-SUMIF(INDIRECT(V$3),'Struktur Vorjahr'!$D72,INDIRECT(V$4))+SUMIF(INDIRECT(V$3),'Struktur Vorjahr'!$D72,INDIRECT(V$5)))</f>
        <v>0</v>
      </c>
      <c r="W72" s="593">
        <f ca="1">$E72*(-SUMIF(INDIRECT(W$3),'Struktur Vorjahr'!$D72,INDIRECT(W$4))+SUMIF(INDIRECT(W$3),'Struktur Vorjahr'!$D72,INDIRECT(W$5)))</f>
        <v>0</v>
      </c>
      <c r="X72" s="593">
        <f ca="1">$E72*(-SUMIF(INDIRECT(X$3),'Struktur Vorjahr'!$D72,INDIRECT(X$4))+SUMIF(INDIRECT(X$3),'Struktur Vorjahr'!$D72,INDIRECT(X$5)))</f>
        <v>0</v>
      </c>
      <c r="Y72" s="593">
        <f ca="1">$E72*(-SUMIF(INDIRECT(Y$3),'Struktur Vorjahr'!$D72,INDIRECT(Y$4))+SUMIF(INDIRECT(Y$3),'Struktur Vorjahr'!$D72,INDIRECT(Y$5)))</f>
        <v>0</v>
      </c>
      <c r="Z72" s="593">
        <f ca="1">$E72*(-SUMIF(INDIRECT(Z$3),'Struktur Vorjahr'!$D72,INDIRECT(Z$4))+SUMIF(INDIRECT(Z$3),'Struktur Vorjahr'!$D72,INDIRECT(Z$5)))</f>
        <v>0</v>
      </c>
      <c r="AA72" s="593">
        <f ca="1">$E72*(-SUMIF(INDIRECT(AA$3),'Struktur Vorjahr'!$D72,INDIRECT(AA$4))+SUMIF(INDIRECT(AA$3),'Struktur Vorjahr'!$D72,INDIRECT(AA$5)))</f>
        <v>0</v>
      </c>
      <c r="AB72" s="593">
        <f ca="1">$E72*(-SUMIF(INDIRECT(AB$3),'Struktur Vorjahr'!$D72,INDIRECT(AB$4))+SUMIF(INDIRECT(AB$3),'Struktur Vorjahr'!$D72,INDIRECT(AB$5)))</f>
        <v>0</v>
      </c>
      <c r="AC72" s="593">
        <f ca="1">$E72*(-SUMIF(INDIRECT(AC$3),'Struktur Vorjahr'!$D72,INDIRECT(AC$4))+SUMIF(INDIRECT(AC$3),'Struktur Vorjahr'!$D72,INDIRECT(AC$5)))</f>
        <v>0</v>
      </c>
      <c r="AD72" s="593">
        <f ca="1">$E72*(-SUMIF(INDIRECT(AD$3),'Struktur Vorjahr'!$D72,INDIRECT(AD$4))+SUMIF(INDIRECT(AD$3),'Struktur Vorjahr'!$D72,INDIRECT(AD$5)))</f>
        <v>0</v>
      </c>
      <c r="AE72" s="593">
        <f t="shared" ref="AE72:AE79" ca="1" si="41">G72</f>
        <v>0</v>
      </c>
      <c r="AF72" s="593">
        <f t="shared" ref="AF72:AP79" ca="1" si="42">H72+AE72</f>
        <v>0</v>
      </c>
      <c r="AG72" s="593">
        <f t="shared" ca="1" si="42"/>
        <v>0</v>
      </c>
      <c r="AH72" s="593">
        <f t="shared" ca="1" si="42"/>
        <v>0</v>
      </c>
      <c r="AI72" s="593">
        <f t="shared" ca="1" si="42"/>
        <v>0</v>
      </c>
      <c r="AJ72" s="593">
        <f t="shared" ca="1" si="42"/>
        <v>0</v>
      </c>
      <c r="AK72" s="593">
        <f t="shared" ca="1" si="42"/>
        <v>0</v>
      </c>
      <c r="AL72" s="593">
        <f t="shared" ca="1" si="42"/>
        <v>0</v>
      </c>
      <c r="AM72" s="593">
        <f t="shared" ca="1" si="42"/>
        <v>0</v>
      </c>
      <c r="AN72" s="593">
        <f t="shared" ca="1" si="42"/>
        <v>0</v>
      </c>
      <c r="AO72" s="593">
        <f t="shared" ca="1" si="42"/>
        <v>0</v>
      </c>
      <c r="AP72" s="593">
        <f t="shared" ca="1" si="42"/>
        <v>0</v>
      </c>
    </row>
    <row r="73" spans="1:42" s="594" customFormat="1" ht="11.25" outlineLevel="1" x14ac:dyDescent="0.2">
      <c r="A73" s="599"/>
      <c r="B73" s="591" t="str">
        <f>IF(D73&lt;&gt;"",
IF(ISERROR(MATCH(D73,'Ist Vorjahr Monat 01'!A:A,0))=FALSE,INDEX('Ist Vorjahr Monat 01'!B:B,MATCH(D73,'Ist Vorjahr Monat 01'!A:A,0)),
IF(ISERROR(MATCH(D73,'Ist Vorjahr Monat 02'!A:A,0))=FALSE,INDEX('Ist Vorjahr Monat 02'!B:B,MATCH(D73,'Ist Vorjahr Monat 02'!A:A,0)),
IF(ISERROR(MATCH(D73,'Ist Vorjahr Monat 03'!A:A,0))=FALSE,INDEX('Ist Vorjahr Monat 03'!B:B,MATCH(D73,'Ist Vorjahr Monat 03'!A:A,0)),
IF(ISERROR(MATCH(D73,'Ist Vorjahr Monat 04'!A:A,0))=FALSE,INDEX('Ist Vorjahr Monat 04'!B:B,MATCH(D73,'Ist Vorjahr Monat 04'!A:A,0)),
IF(ISERROR(MATCH(D73,'Ist Vorjahr Monat 05'!A:A,0))=FALSE,INDEX('Ist Vorjahr Monat 05'!B:B,MATCH(D73,'Ist Vorjahr Monat 05'!A:A,0)),
IF(ISERROR(MATCH(D73,'Ist Vorjahr Monat 06'!A:A,0))=FALSE,INDEX('Ist Vorjahr Monat 06'!B:B,MATCH(D73,'Ist Vorjahr Monat 06'!A:A,0)),
IF(ISERROR(MATCH(D73,'Ist Vorjahr Monat 07'!A:A,0))=FALSE,INDEX('Ist Vorjahr Monat 07'!B:B,MATCH(D73,'Ist Vorjahr Monat 07'!A:A,0)),
IF(ISERROR(MATCH(D73,'Ist Vorjahr Monat 08'!A:A,0))=FALSE,INDEX('Ist Vorjahr Monat 08'!B:B,MATCH(D73,'Ist Vorjahr Monat 08'!A:A,0)),
IF(ISERROR(MATCH(D73,'Ist Vorjahr Monat 09'!A:A,0))=FALSE,INDEX('Ist Vorjahr Monat 09'!B:B,MATCH(D73,'Ist Vorjahr Monat 09'!A:A,0)),
IF(ISERROR(MATCH(D73,'Ist Vorjahr Monat 10'!A:A,0))=FALSE,INDEX('Ist Vorjahr Monat 10'!B:B,MATCH(D73,'Ist Vorjahr Monat 10'!A:A,0)),
IF(ISERROR(MATCH(D73,'Ist Vorjahr Monat 11'!A:A,0))=FALSE,INDEX('Ist Vorjahr Monat 11'!B:B,MATCH(D73,'Ist Vorjahr Monat 11'!A:A,0)),
IF(ISERROR(MATCH(D73,'Ist Vorjahr Monat 12'!A:A,0))=FALSE,INDEX('Ist Vorjahr Monat 12'!B:B,MATCH(D73,'Ist Vorjahr Monat 12'!A:A,0)),
"{Konto unbekannt}"
)))))))))))),"")</f>
        <v/>
      </c>
      <c r="C73" s="591"/>
      <c r="D73" s="590"/>
      <c r="E73" s="592">
        <f t="shared" si="34"/>
        <v>1</v>
      </c>
      <c r="F73" s="599"/>
      <c r="G73" s="593">
        <f ca="1">$E73*(-SUMIF(INDIRECT(G$3),'Struktur Vorjahr'!$D73,INDIRECT(G$4))+SUMIF(INDIRECT(G$3),'Struktur Vorjahr'!$D73,INDIRECT(G$5)))</f>
        <v>0</v>
      </c>
      <c r="H73" s="593">
        <f ca="1">$E73*(-SUMIF(INDIRECT(H$3),'Struktur Vorjahr'!$D73,INDIRECT(H$4))+SUMIF(INDIRECT(H$3),'Struktur Vorjahr'!$D73,INDIRECT(H$5)))</f>
        <v>0</v>
      </c>
      <c r="I73" s="593">
        <f ca="1">$E73*(-SUMIF(INDIRECT(I$3),'Struktur Vorjahr'!$D73,INDIRECT(I$4))+SUMIF(INDIRECT(I$3),'Struktur Vorjahr'!$D73,INDIRECT(I$5)))</f>
        <v>0</v>
      </c>
      <c r="J73" s="593">
        <f ca="1">$E73*(-SUMIF(INDIRECT(J$3),'Struktur Vorjahr'!$D73,INDIRECT(J$4))+SUMIF(INDIRECT(J$3),'Struktur Vorjahr'!$D73,INDIRECT(J$5)))</f>
        <v>0</v>
      </c>
      <c r="K73" s="593">
        <f ca="1">$E73*(-SUMIF(INDIRECT(K$3),'Struktur Vorjahr'!$D73,INDIRECT(K$4))+SUMIF(INDIRECT(K$3),'Struktur Vorjahr'!$D73,INDIRECT(K$5)))</f>
        <v>0</v>
      </c>
      <c r="L73" s="593">
        <f ca="1">$E73*(-SUMIF(INDIRECT(L$3),'Struktur Vorjahr'!$D73,INDIRECT(L$4))+SUMIF(INDIRECT(L$3),'Struktur Vorjahr'!$D73,INDIRECT(L$5)))</f>
        <v>0</v>
      </c>
      <c r="M73" s="593">
        <f ca="1">$E73*(-SUMIF(INDIRECT(M$3),'Struktur Vorjahr'!$D73,INDIRECT(M$4))+SUMIF(INDIRECT(M$3),'Struktur Vorjahr'!$D73,INDIRECT(M$5)))</f>
        <v>0</v>
      </c>
      <c r="N73" s="593">
        <f ca="1">$E73*(-SUMIF(INDIRECT(N$3),'Struktur Vorjahr'!$D73,INDIRECT(N$4))+SUMIF(INDIRECT(N$3),'Struktur Vorjahr'!$D73,INDIRECT(N$5)))</f>
        <v>0</v>
      </c>
      <c r="O73" s="593">
        <f ca="1">$E73*(-SUMIF(INDIRECT(O$3),'Struktur Vorjahr'!$D73,INDIRECT(O$4))+SUMIF(INDIRECT(O$3),'Struktur Vorjahr'!$D73,INDIRECT(O$5)))</f>
        <v>0</v>
      </c>
      <c r="P73" s="593">
        <f ca="1">$E73*(-SUMIF(INDIRECT(P$3),'Struktur Vorjahr'!$D73,INDIRECT(P$4))+SUMIF(INDIRECT(P$3),'Struktur Vorjahr'!$D73,INDIRECT(P$5)))</f>
        <v>0</v>
      </c>
      <c r="Q73" s="593">
        <f ca="1">$E73*(-SUMIF(INDIRECT(Q$3),'Struktur Vorjahr'!$D73,INDIRECT(Q$4))+SUMIF(INDIRECT(Q$3),'Struktur Vorjahr'!$D73,INDIRECT(Q$5)))</f>
        <v>0</v>
      </c>
      <c r="R73" s="593">
        <f ca="1">$E73*(-SUMIF(INDIRECT(R$3),'Struktur Vorjahr'!$D73,INDIRECT(R$4))+SUMIF(INDIRECT(R$3),'Struktur Vorjahr'!$D73,INDIRECT(R$5)))</f>
        <v>0</v>
      </c>
      <c r="S73" s="593">
        <f ca="1">$E73*(-SUMIF(INDIRECT(S$3),'Struktur Vorjahr'!$D73,INDIRECT(S$4))+SUMIF(INDIRECT(S$3),'Struktur Vorjahr'!$D73,INDIRECT(S$5)))</f>
        <v>0</v>
      </c>
      <c r="T73" s="593">
        <f ca="1">$E73*(-SUMIF(INDIRECT(T$3),'Struktur Vorjahr'!$D73,INDIRECT(T$4))+SUMIF(INDIRECT(T$3),'Struktur Vorjahr'!$D73,INDIRECT(T$5)))</f>
        <v>0</v>
      </c>
      <c r="U73" s="593">
        <f ca="1">$E73*(-SUMIF(INDIRECT(U$3),'Struktur Vorjahr'!$D73,INDIRECT(U$4))+SUMIF(INDIRECT(U$3),'Struktur Vorjahr'!$D73,INDIRECT(U$5)))</f>
        <v>0</v>
      </c>
      <c r="V73" s="593">
        <f ca="1">$E73*(-SUMIF(INDIRECT(V$3),'Struktur Vorjahr'!$D73,INDIRECT(V$4))+SUMIF(INDIRECT(V$3),'Struktur Vorjahr'!$D73,INDIRECT(V$5)))</f>
        <v>0</v>
      </c>
      <c r="W73" s="593">
        <f ca="1">$E73*(-SUMIF(INDIRECT(W$3),'Struktur Vorjahr'!$D73,INDIRECT(W$4))+SUMIF(INDIRECT(W$3),'Struktur Vorjahr'!$D73,INDIRECT(W$5)))</f>
        <v>0</v>
      </c>
      <c r="X73" s="593">
        <f ca="1">$E73*(-SUMIF(INDIRECT(X$3),'Struktur Vorjahr'!$D73,INDIRECT(X$4))+SUMIF(INDIRECT(X$3),'Struktur Vorjahr'!$D73,INDIRECT(X$5)))</f>
        <v>0</v>
      </c>
      <c r="Y73" s="593">
        <f ca="1">$E73*(-SUMIF(INDIRECT(Y$3),'Struktur Vorjahr'!$D73,INDIRECT(Y$4))+SUMIF(INDIRECT(Y$3),'Struktur Vorjahr'!$D73,INDIRECT(Y$5)))</f>
        <v>0</v>
      </c>
      <c r="Z73" s="593">
        <f ca="1">$E73*(-SUMIF(INDIRECT(Z$3),'Struktur Vorjahr'!$D73,INDIRECT(Z$4))+SUMIF(INDIRECT(Z$3),'Struktur Vorjahr'!$D73,INDIRECT(Z$5)))</f>
        <v>0</v>
      </c>
      <c r="AA73" s="593">
        <f ca="1">$E73*(-SUMIF(INDIRECT(AA$3),'Struktur Vorjahr'!$D73,INDIRECT(AA$4))+SUMIF(INDIRECT(AA$3),'Struktur Vorjahr'!$D73,INDIRECT(AA$5)))</f>
        <v>0</v>
      </c>
      <c r="AB73" s="593">
        <f ca="1">$E73*(-SUMIF(INDIRECT(AB$3),'Struktur Vorjahr'!$D73,INDIRECT(AB$4))+SUMIF(INDIRECT(AB$3),'Struktur Vorjahr'!$D73,INDIRECT(AB$5)))</f>
        <v>0</v>
      </c>
      <c r="AC73" s="593">
        <f ca="1">$E73*(-SUMIF(INDIRECT(AC$3),'Struktur Vorjahr'!$D73,INDIRECT(AC$4))+SUMIF(INDIRECT(AC$3),'Struktur Vorjahr'!$D73,INDIRECT(AC$5)))</f>
        <v>0</v>
      </c>
      <c r="AD73" s="593">
        <f ca="1">$E73*(-SUMIF(INDIRECT(AD$3),'Struktur Vorjahr'!$D73,INDIRECT(AD$4))+SUMIF(INDIRECT(AD$3),'Struktur Vorjahr'!$D73,INDIRECT(AD$5)))</f>
        <v>0</v>
      </c>
      <c r="AE73" s="593">
        <f t="shared" ca="1" si="41"/>
        <v>0</v>
      </c>
      <c r="AF73" s="593">
        <f t="shared" ca="1" si="42"/>
        <v>0</v>
      </c>
      <c r="AG73" s="593">
        <f t="shared" ca="1" si="42"/>
        <v>0</v>
      </c>
      <c r="AH73" s="593">
        <f t="shared" ca="1" si="42"/>
        <v>0</v>
      </c>
      <c r="AI73" s="593">
        <f t="shared" ca="1" si="42"/>
        <v>0</v>
      </c>
      <c r="AJ73" s="593">
        <f t="shared" ca="1" si="42"/>
        <v>0</v>
      </c>
      <c r="AK73" s="593">
        <f t="shared" ca="1" si="42"/>
        <v>0</v>
      </c>
      <c r="AL73" s="593">
        <f t="shared" ca="1" si="42"/>
        <v>0</v>
      </c>
      <c r="AM73" s="593">
        <f t="shared" ca="1" si="42"/>
        <v>0</v>
      </c>
      <c r="AN73" s="593">
        <f t="shared" ca="1" si="42"/>
        <v>0</v>
      </c>
      <c r="AO73" s="593">
        <f t="shared" ca="1" si="42"/>
        <v>0</v>
      </c>
      <c r="AP73" s="593">
        <f t="shared" ca="1" si="42"/>
        <v>0</v>
      </c>
    </row>
    <row r="74" spans="1:42" s="594" customFormat="1" ht="11.25" outlineLevel="1" x14ac:dyDescent="0.2">
      <c r="A74" s="599"/>
      <c r="B74" s="591" t="str">
        <f>IF(D74&lt;&gt;"",
IF(ISERROR(MATCH(D74,'Ist Vorjahr Monat 01'!A:A,0))=FALSE,INDEX('Ist Vorjahr Monat 01'!B:B,MATCH(D74,'Ist Vorjahr Monat 01'!A:A,0)),
IF(ISERROR(MATCH(D74,'Ist Vorjahr Monat 02'!A:A,0))=FALSE,INDEX('Ist Vorjahr Monat 02'!B:B,MATCH(D74,'Ist Vorjahr Monat 02'!A:A,0)),
IF(ISERROR(MATCH(D74,'Ist Vorjahr Monat 03'!A:A,0))=FALSE,INDEX('Ist Vorjahr Monat 03'!B:B,MATCH(D74,'Ist Vorjahr Monat 03'!A:A,0)),
IF(ISERROR(MATCH(D74,'Ist Vorjahr Monat 04'!A:A,0))=FALSE,INDEX('Ist Vorjahr Monat 04'!B:B,MATCH(D74,'Ist Vorjahr Monat 04'!A:A,0)),
IF(ISERROR(MATCH(D74,'Ist Vorjahr Monat 05'!A:A,0))=FALSE,INDEX('Ist Vorjahr Monat 05'!B:B,MATCH(D74,'Ist Vorjahr Monat 05'!A:A,0)),
IF(ISERROR(MATCH(D74,'Ist Vorjahr Monat 06'!A:A,0))=FALSE,INDEX('Ist Vorjahr Monat 06'!B:B,MATCH(D74,'Ist Vorjahr Monat 06'!A:A,0)),
IF(ISERROR(MATCH(D74,'Ist Vorjahr Monat 07'!A:A,0))=FALSE,INDEX('Ist Vorjahr Monat 07'!B:B,MATCH(D74,'Ist Vorjahr Monat 07'!A:A,0)),
IF(ISERROR(MATCH(D74,'Ist Vorjahr Monat 08'!A:A,0))=FALSE,INDEX('Ist Vorjahr Monat 08'!B:B,MATCH(D74,'Ist Vorjahr Monat 08'!A:A,0)),
IF(ISERROR(MATCH(D74,'Ist Vorjahr Monat 09'!A:A,0))=FALSE,INDEX('Ist Vorjahr Monat 09'!B:B,MATCH(D74,'Ist Vorjahr Monat 09'!A:A,0)),
IF(ISERROR(MATCH(D74,'Ist Vorjahr Monat 10'!A:A,0))=FALSE,INDEX('Ist Vorjahr Monat 10'!B:B,MATCH(D74,'Ist Vorjahr Monat 10'!A:A,0)),
IF(ISERROR(MATCH(D74,'Ist Vorjahr Monat 11'!A:A,0))=FALSE,INDEX('Ist Vorjahr Monat 11'!B:B,MATCH(D74,'Ist Vorjahr Monat 11'!A:A,0)),
IF(ISERROR(MATCH(D74,'Ist Vorjahr Monat 12'!A:A,0))=FALSE,INDEX('Ist Vorjahr Monat 12'!B:B,MATCH(D74,'Ist Vorjahr Monat 12'!A:A,0)),
"{Konto unbekannt}"
)))))))))))),"")</f>
        <v/>
      </c>
      <c r="C74" s="591"/>
      <c r="D74" s="590"/>
      <c r="E74" s="592">
        <f t="shared" si="34"/>
        <v>1</v>
      </c>
      <c r="F74" s="599"/>
      <c r="G74" s="593">
        <f ca="1">$E74*(-SUMIF(INDIRECT(G$3),'Struktur Vorjahr'!$D74,INDIRECT(G$4))+SUMIF(INDIRECT(G$3),'Struktur Vorjahr'!$D74,INDIRECT(G$5)))</f>
        <v>0</v>
      </c>
      <c r="H74" s="593">
        <f ca="1">$E74*(-SUMIF(INDIRECT(H$3),'Struktur Vorjahr'!$D74,INDIRECT(H$4))+SUMIF(INDIRECT(H$3),'Struktur Vorjahr'!$D74,INDIRECT(H$5)))</f>
        <v>0</v>
      </c>
      <c r="I74" s="593">
        <f ca="1">$E74*(-SUMIF(INDIRECT(I$3),'Struktur Vorjahr'!$D74,INDIRECT(I$4))+SUMIF(INDIRECT(I$3),'Struktur Vorjahr'!$D74,INDIRECT(I$5)))</f>
        <v>0</v>
      </c>
      <c r="J74" s="593">
        <f ca="1">$E74*(-SUMIF(INDIRECT(J$3),'Struktur Vorjahr'!$D74,INDIRECT(J$4))+SUMIF(INDIRECT(J$3),'Struktur Vorjahr'!$D74,INDIRECT(J$5)))</f>
        <v>0</v>
      </c>
      <c r="K74" s="593">
        <f ca="1">$E74*(-SUMIF(INDIRECT(K$3),'Struktur Vorjahr'!$D74,INDIRECT(K$4))+SUMIF(INDIRECT(K$3),'Struktur Vorjahr'!$D74,INDIRECT(K$5)))</f>
        <v>0</v>
      </c>
      <c r="L74" s="593">
        <f ca="1">$E74*(-SUMIF(INDIRECT(L$3),'Struktur Vorjahr'!$D74,INDIRECT(L$4))+SUMIF(INDIRECT(L$3),'Struktur Vorjahr'!$D74,INDIRECT(L$5)))</f>
        <v>0</v>
      </c>
      <c r="M74" s="593">
        <f ca="1">$E74*(-SUMIF(INDIRECT(M$3),'Struktur Vorjahr'!$D74,INDIRECT(M$4))+SUMIF(INDIRECT(M$3),'Struktur Vorjahr'!$D74,INDIRECT(M$5)))</f>
        <v>0</v>
      </c>
      <c r="N74" s="593">
        <f ca="1">$E74*(-SUMIF(INDIRECT(N$3),'Struktur Vorjahr'!$D74,INDIRECT(N$4))+SUMIF(INDIRECT(N$3),'Struktur Vorjahr'!$D74,INDIRECT(N$5)))</f>
        <v>0</v>
      </c>
      <c r="O74" s="593">
        <f ca="1">$E74*(-SUMIF(INDIRECT(O$3),'Struktur Vorjahr'!$D74,INDIRECT(O$4))+SUMIF(INDIRECT(O$3),'Struktur Vorjahr'!$D74,INDIRECT(O$5)))</f>
        <v>0</v>
      </c>
      <c r="P74" s="593">
        <f ca="1">$E74*(-SUMIF(INDIRECT(P$3),'Struktur Vorjahr'!$D74,INDIRECT(P$4))+SUMIF(INDIRECT(P$3),'Struktur Vorjahr'!$D74,INDIRECT(P$5)))</f>
        <v>0</v>
      </c>
      <c r="Q74" s="593">
        <f ca="1">$E74*(-SUMIF(INDIRECT(Q$3),'Struktur Vorjahr'!$D74,INDIRECT(Q$4))+SUMIF(INDIRECT(Q$3),'Struktur Vorjahr'!$D74,INDIRECT(Q$5)))</f>
        <v>0</v>
      </c>
      <c r="R74" s="593">
        <f ca="1">$E74*(-SUMIF(INDIRECT(R$3),'Struktur Vorjahr'!$D74,INDIRECT(R$4))+SUMIF(INDIRECT(R$3),'Struktur Vorjahr'!$D74,INDIRECT(R$5)))</f>
        <v>0</v>
      </c>
      <c r="S74" s="593">
        <f ca="1">$E74*(-SUMIF(INDIRECT(S$3),'Struktur Vorjahr'!$D74,INDIRECT(S$4))+SUMIF(INDIRECT(S$3),'Struktur Vorjahr'!$D74,INDIRECT(S$5)))</f>
        <v>0</v>
      </c>
      <c r="T74" s="593">
        <f ca="1">$E74*(-SUMIF(INDIRECT(T$3),'Struktur Vorjahr'!$D74,INDIRECT(T$4))+SUMIF(INDIRECT(T$3),'Struktur Vorjahr'!$D74,INDIRECT(T$5)))</f>
        <v>0</v>
      </c>
      <c r="U74" s="593">
        <f ca="1">$E74*(-SUMIF(INDIRECT(U$3),'Struktur Vorjahr'!$D74,INDIRECT(U$4))+SUMIF(INDIRECT(U$3),'Struktur Vorjahr'!$D74,INDIRECT(U$5)))</f>
        <v>0</v>
      </c>
      <c r="V74" s="593">
        <f ca="1">$E74*(-SUMIF(INDIRECT(V$3),'Struktur Vorjahr'!$D74,INDIRECT(V$4))+SUMIF(INDIRECT(V$3),'Struktur Vorjahr'!$D74,INDIRECT(V$5)))</f>
        <v>0</v>
      </c>
      <c r="W74" s="593">
        <f ca="1">$E74*(-SUMIF(INDIRECT(W$3),'Struktur Vorjahr'!$D74,INDIRECT(W$4))+SUMIF(INDIRECT(W$3),'Struktur Vorjahr'!$D74,INDIRECT(W$5)))</f>
        <v>0</v>
      </c>
      <c r="X74" s="593">
        <f ca="1">$E74*(-SUMIF(INDIRECT(X$3),'Struktur Vorjahr'!$D74,INDIRECT(X$4))+SUMIF(INDIRECT(X$3),'Struktur Vorjahr'!$D74,INDIRECT(X$5)))</f>
        <v>0</v>
      </c>
      <c r="Y74" s="593">
        <f ca="1">$E74*(-SUMIF(INDIRECT(Y$3),'Struktur Vorjahr'!$D74,INDIRECT(Y$4))+SUMIF(INDIRECT(Y$3),'Struktur Vorjahr'!$D74,INDIRECT(Y$5)))</f>
        <v>0</v>
      </c>
      <c r="Z74" s="593">
        <f ca="1">$E74*(-SUMIF(INDIRECT(Z$3),'Struktur Vorjahr'!$D74,INDIRECT(Z$4))+SUMIF(INDIRECT(Z$3),'Struktur Vorjahr'!$D74,INDIRECT(Z$5)))</f>
        <v>0</v>
      </c>
      <c r="AA74" s="593">
        <f ca="1">$E74*(-SUMIF(INDIRECT(AA$3),'Struktur Vorjahr'!$D74,INDIRECT(AA$4))+SUMIF(INDIRECT(AA$3),'Struktur Vorjahr'!$D74,INDIRECT(AA$5)))</f>
        <v>0</v>
      </c>
      <c r="AB74" s="593">
        <f ca="1">$E74*(-SUMIF(INDIRECT(AB$3),'Struktur Vorjahr'!$D74,INDIRECT(AB$4))+SUMIF(INDIRECT(AB$3),'Struktur Vorjahr'!$D74,INDIRECT(AB$5)))</f>
        <v>0</v>
      </c>
      <c r="AC74" s="593">
        <f ca="1">$E74*(-SUMIF(INDIRECT(AC$3),'Struktur Vorjahr'!$D74,INDIRECT(AC$4))+SUMIF(INDIRECT(AC$3),'Struktur Vorjahr'!$D74,INDIRECT(AC$5)))</f>
        <v>0</v>
      </c>
      <c r="AD74" s="593">
        <f ca="1">$E74*(-SUMIF(INDIRECT(AD$3),'Struktur Vorjahr'!$D74,INDIRECT(AD$4))+SUMIF(INDIRECT(AD$3),'Struktur Vorjahr'!$D74,INDIRECT(AD$5)))</f>
        <v>0</v>
      </c>
      <c r="AE74" s="593">
        <f t="shared" ca="1" si="41"/>
        <v>0</v>
      </c>
      <c r="AF74" s="593">
        <f t="shared" ca="1" si="42"/>
        <v>0</v>
      </c>
      <c r="AG74" s="593">
        <f t="shared" ca="1" si="42"/>
        <v>0</v>
      </c>
      <c r="AH74" s="593">
        <f t="shared" ca="1" si="42"/>
        <v>0</v>
      </c>
      <c r="AI74" s="593">
        <f t="shared" ca="1" si="42"/>
        <v>0</v>
      </c>
      <c r="AJ74" s="593">
        <f t="shared" ca="1" si="42"/>
        <v>0</v>
      </c>
      <c r="AK74" s="593">
        <f t="shared" ca="1" si="42"/>
        <v>0</v>
      </c>
      <c r="AL74" s="593">
        <f t="shared" ca="1" si="42"/>
        <v>0</v>
      </c>
      <c r="AM74" s="593">
        <f t="shared" ca="1" si="42"/>
        <v>0</v>
      </c>
      <c r="AN74" s="593">
        <f t="shared" ca="1" si="42"/>
        <v>0</v>
      </c>
      <c r="AO74" s="593">
        <f t="shared" ca="1" si="42"/>
        <v>0</v>
      </c>
      <c r="AP74" s="593">
        <f t="shared" ca="1" si="42"/>
        <v>0</v>
      </c>
    </row>
    <row r="75" spans="1:42" s="594" customFormat="1" ht="11.25" outlineLevel="1" x14ac:dyDescent="0.2">
      <c r="A75" s="599"/>
      <c r="B75" s="591" t="str">
        <f>IF(D75&lt;&gt;"",
IF(ISERROR(MATCH(D75,'Ist Vorjahr Monat 01'!A:A,0))=FALSE,INDEX('Ist Vorjahr Monat 01'!B:B,MATCH(D75,'Ist Vorjahr Monat 01'!A:A,0)),
IF(ISERROR(MATCH(D75,'Ist Vorjahr Monat 02'!A:A,0))=FALSE,INDEX('Ist Vorjahr Monat 02'!B:B,MATCH(D75,'Ist Vorjahr Monat 02'!A:A,0)),
IF(ISERROR(MATCH(D75,'Ist Vorjahr Monat 03'!A:A,0))=FALSE,INDEX('Ist Vorjahr Monat 03'!B:B,MATCH(D75,'Ist Vorjahr Monat 03'!A:A,0)),
IF(ISERROR(MATCH(D75,'Ist Vorjahr Monat 04'!A:A,0))=FALSE,INDEX('Ist Vorjahr Monat 04'!B:B,MATCH(D75,'Ist Vorjahr Monat 04'!A:A,0)),
IF(ISERROR(MATCH(D75,'Ist Vorjahr Monat 05'!A:A,0))=FALSE,INDEX('Ist Vorjahr Monat 05'!B:B,MATCH(D75,'Ist Vorjahr Monat 05'!A:A,0)),
IF(ISERROR(MATCH(D75,'Ist Vorjahr Monat 06'!A:A,0))=FALSE,INDEX('Ist Vorjahr Monat 06'!B:B,MATCH(D75,'Ist Vorjahr Monat 06'!A:A,0)),
IF(ISERROR(MATCH(D75,'Ist Vorjahr Monat 07'!A:A,0))=FALSE,INDEX('Ist Vorjahr Monat 07'!B:B,MATCH(D75,'Ist Vorjahr Monat 07'!A:A,0)),
IF(ISERROR(MATCH(D75,'Ist Vorjahr Monat 08'!A:A,0))=FALSE,INDEX('Ist Vorjahr Monat 08'!B:B,MATCH(D75,'Ist Vorjahr Monat 08'!A:A,0)),
IF(ISERROR(MATCH(D75,'Ist Vorjahr Monat 09'!A:A,0))=FALSE,INDEX('Ist Vorjahr Monat 09'!B:B,MATCH(D75,'Ist Vorjahr Monat 09'!A:A,0)),
IF(ISERROR(MATCH(D75,'Ist Vorjahr Monat 10'!A:A,0))=FALSE,INDEX('Ist Vorjahr Monat 10'!B:B,MATCH(D75,'Ist Vorjahr Monat 10'!A:A,0)),
IF(ISERROR(MATCH(D75,'Ist Vorjahr Monat 11'!A:A,0))=FALSE,INDEX('Ist Vorjahr Monat 11'!B:B,MATCH(D75,'Ist Vorjahr Monat 11'!A:A,0)),
IF(ISERROR(MATCH(D75,'Ist Vorjahr Monat 12'!A:A,0))=FALSE,INDEX('Ist Vorjahr Monat 12'!B:B,MATCH(D75,'Ist Vorjahr Monat 12'!A:A,0)),
"{Konto unbekannt}"
)))))))))))),"")</f>
        <v/>
      </c>
      <c r="C75" s="591"/>
      <c r="D75" s="590"/>
      <c r="E75" s="592">
        <f t="shared" si="34"/>
        <v>1</v>
      </c>
      <c r="F75" s="599"/>
      <c r="G75" s="593">
        <f ca="1">$E75*(-SUMIF(INDIRECT(G$3),'Struktur Vorjahr'!$D75,INDIRECT(G$4))+SUMIF(INDIRECT(G$3),'Struktur Vorjahr'!$D75,INDIRECT(G$5)))</f>
        <v>0</v>
      </c>
      <c r="H75" s="593">
        <f ca="1">$E75*(-SUMIF(INDIRECT(H$3),'Struktur Vorjahr'!$D75,INDIRECT(H$4))+SUMIF(INDIRECT(H$3),'Struktur Vorjahr'!$D75,INDIRECT(H$5)))</f>
        <v>0</v>
      </c>
      <c r="I75" s="593">
        <f ca="1">$E75*(-SUMIF(INDIRECT(I$3),'Struktur Vorjahr'!$D75,INDIRECT(I$4))+SUMIF(INDIRECT(I$3),'Struktur Vorjahr'!$D75,INDIRECT(I$5)))</f>
        <v>0</v>
      </c>
      <c r="J75" s="593">
        <f ca="1">$E75*(-SUMIF(INDIRECT(J$3),'Struktur Vorjahr'!$D75,INDIRECT(J$4))+SUMIF(INDIRECT(J$3),'Struktur Vorjahr'!$D75,INDIRECT(J$5)))</f>
        <v>0</v>
      </c>
      <c r="K75" s="593">
        <f ca="1">$E75*(-SUMIF(INDIRECT(K$3),'Struktur Vorjahr'!$D75,INDIRECT(K$4))+SUMIF(INDIRECT(K$3),'Struktur Vorjahr'!$D75,INDIRECT(K$5)))</f>
        <v>0</v>
      </c>
      <c r="L75" s="593">
        <f ca="1">$E75*(-SUMIF(INDIRECT(L$3),'Struktur Vorjahr'!$D75,INDIRECT(L$4))+SUMIF(INDIRECT(L$3),'Struktur Vorjahr'!$D75,INDIRECT(L$5)))</f>
        <v>0</v>
      </c>
      <c r="M75" s="593">
        <f ca="1">$E75*(-SUMIF(INDIRECT(M$3),'Struktur Vorjahr'!$D75,INDIRECT(M$4))+SUMIF(INDIRECT(M$3),'Struktur Vorjahr'!$D75,INDIRECT(M$5)))</f>
        <v>0</v>
      </c>
      <c r="N75" s="593">
        <f ca="1">$E75*(-SUMIF(INDIRECT(N$3),'Struktur Vorjahr'!$D75,INDIRECT(N$4))+SUMIF(INDIRECT(N$3),'Struktur Vorjahr'!$D75,INDIRECT(N$5)))</f>
        <v>0</v>
      </c>
      <c r="O75" s="593">
        <f ca="1">$E75*(-SUMIF(INDIRECT(O$3),'Struktur Vorjahr'!$D75,INDIRECT(O$4))+SUMIF(INDIRECT(O$3),'Struktur Vorjahr'!$D75,INDIRECT(O$5)))</f>
        <v>0</v>
      </c>
      <c r="P75" s="593">
        <f ca="1">$E75*(-SUMIF(INDIRECT(P$3),'Struktur Vorjahr'!$D75,INDIRECT(P$4))+SUMIF(INDIRECT(P$3),'Struktur Vorjahr'!$D75,INDIRECT(P$5)))</f>
        <v>0</v>
      </c>
      <c r="Q75" s="593">
        <f ca="1">$E75*(-SUMIF(INDIRECT(Q$3),'Struktur Vorjahr'!$D75,INDIRECT(Q$4))+SUMIF(INDIRECT(Q$3),'Struktur Vorjahr'!$D75,INDIRECT(Q$5)))</f>
        <v>0</v>
      </c>
      <c r="R75" s="593">
        <f ca="1">$E75*(-SUMIF(INDIRECT(R$3),'Struktur Vorjahr'!$D75,INDIRECT(R$4))+SUMIF(INDIRECT(R$3),'Struktur Vorjahr'!$D75,INDIRECT(R$5)))</f>
        <v>0</v>
      </c>
      <c r="S75" s="593">
        <f ca="1">$E75*(-SUMIF(INDIRECT(S$3),'Struktur Vorjahr'!$D75,INDIRECT(S$4))+SUMIF(INDIRECT(S$3),'Struktur Vorjahr'!$D75,INDIRECT(S$5)))</f>
        <v>0</v>
      </c>
      <c r="T75" s="593">
        <f ca="1">$E75*(-SUMIF(INDIRECT(T$3),'Struktur Vorjahr'!$D75,INDIRECT(T$4))+SUMIF(INDIRECT(T$3),'Struktur Vorjahr'!$D75,INDIRECT(T$5)))</f>
        <v>0</v>
      </c>
      <c r="U75" s="593">
        <f ca="1">$E75*(-SUMIF(INDIRECT(U$3),'Struktur Vorjahr'!$D75,INDIRECT(U$4))+SUMIF(INDIRECT(U$3),'Struktur Vorjahr'!$D75,INDIRECT(U$5)))</f>
        <v>0</v>
      </c>
      <c r="V75" s="593">
        <f ca="1">$E75*(-SUMIF(INDIRECT(V$3),'Struktur Vorjahr'!$D75,INDIRECT(V$4))+SUMIF(INDIRECT(V$3),'Struktur Vorjahr'!$D75,INDIRECT(V$5)))</f>
        <v>0</v>
      </c>
      <c r="W75" s="593">
        <f ca="1">$E75*(-SUMIF(INDIRECT(W$3),'Struktur Vorjahr'!$D75,INDIRECT(W$4))+SUMIF(INDIRECT(W$3),'Struktur Vorjahr'!$D75,INDIRECT(W$5)))</f>
        <v>0</v>
      </c>
      <c r="X75" s="593">
        <f ca="1">$E75*(-SUMIF(INDIRECT(X$3),'Struktur Vorjahr'!$D75,INDIRECT(X$4))+SUMIF(INDIRECT(X$3),'Struktur Vorjahr'!$D75,INDIRECT(X$5)))</f>
        <v>0</v>
      </c>
      <c r="Y75" s="593">
        <f ca="1">$E75*(-SUMIF(INDIRECT(Y$3),'Struktur Vorjahr'!$D75,INDIRECT(Y$4))+SUMIF(INDIRECT(Y$3),'Struktur Vorjahr'!$D75,INDIRECT(Y$5)))</f>
        <v>0</v>
      </c>
      <c r="Z75" s="593">
        <f ca="1">$E75*(-SUMIF(INDIRECT(Z$3),'Struktur Vorjahr'!$D75,INDIRECT(Z$4))+SUMIF(INDIRECT(Z$3),'Struktur Vorjahr'!$D75,INDIRECT(Z$5)))</f>
        <v>0</v>
      </c>
      <c r="AA75" s="593">
        <f ca="1">$E75*(-SUMIF(INDIRECT(AA$3),'Struktur Vorjahr'!$D75,INDIRECT(AA$4))+SUMIF(INDIRECT(AA$3),'Struktur Vorjahr'!$D75,INDIRECT(AA$5)))</f>
        <v>0</v>
      </c>
      <c r="AB75" s="593">
        <f ca="1">$E75*(-SUMIF(INDIRECT(AB$3),'Struktur Vorjahr'!$D75,INDIRECT(AB$4))+SUMIF(INDIRECT(AB$3),'Struktur Vorjahr'!$D75,INDIRECT(AB$5)))</f>
        <v>0</v>
      </c>
      <c r="AC75" s="593">
        <f ca="1">$E75*(-SUMIF(INDIRECT(AC$3),'Struktur Vorjahr'!$D75,INDIRECT(AC$4))+SUMIF(INDIRECT(AC$3),'Struktur Vorjahr'!$D75,INDIRECT(AC$5)))</f>
        <v>0</v>
      </c>
      <c r="AD75" s="593">
        <f ca="1">$E75*(-SUMIF(INDIRECT(AD$3),'Struktur Vorjahr'!$D75,INDIRECT(AD$4))+SUMIF(INDIRECT(AD$3),'Struktur Vorjahr'!$D75,INDIRECT(AD$5)))</f>
        <v>0</v>
      </c>
      <c r="AE75" s="593">
        <f t="shared" ca="1" si="41"/>
        <v>0</v>
      </c>
      <c r="AF75" s="593">
        <f t="shared" ca="1" si="42"/>
        <v>0</v>
      </c>
      <c r="AG75" s="593">
        <f t="shared" ca="1" si="42"/>
        <v>0</v>
      </c>
      <c r="AH75" s="593">
        <f t="shared" ca="1" si="42"/>
        <v>0</v>
      </c>
      <c r="AI75" s="593">
        <f t="shared" ca="1" si="42"/>
        <v>0</v>
      </c>
      <c r="AJ75" s="593">
        <f t="shared" ca="1" si="42"/>
        <v>0</v>
      </c>
      <c r="AK75" s="593">
        <f t="shared" ca="1" si="42"/>
        <v>0</v>
      </c>
      <c r="AL75" s="593">
        <f t="shared" ca="1" si="42"/>
        <v>0</v>
      </c>
      <c r="AM75" s="593">
        <f t="shared" ca="1" si="42"/>
        <v>0</v>
      </c>
      <c r="AN75" s="593">
        <f t="shared" ca="1" si="42"/>
        <v>0</v>
      </c>
      <c r="AO75" s="593">
        <f t="shared" ca="1" si="42"/>
        <v>0</v>
      </c>
      <c r="AP75" s="593">
        <f t="shared" ca="1" si="42"/>
        <v>0</v>
      </c>
    </row>
    <row r="76" spans="1:42" s="594" customFormat="1" ht="11.25" outlineLevel="1" x14ac:dyDescent="0.2">
      <c r="A76" s="599"/>
      <c r="B76" s="591" t="str">
        <f>IF(D76&lt;&gt;"",
IF(ISERROR(MATCH(D76,'Ist Vorjahr Monat 01'!A:A,0))=FALSE,INDEX('Ist Vorjahr Monat 01'!B:B,MATCH(D76,'Ist Vorjahr Monat 01'!A:A,0)),
IF(ISERROR(MATCH(D76,'Ist Vorjahr Monat 02'!A:A,0))=FALSE,INDEX('Ist Vorjahr Monat 02'!B:B,MATCH(D76,'Ist Vorjahr Monat 02'!A:A,0)),
IF(ISERROR(MATCH(D76,'Ist Vorjahr Monat 03'!A:A,0))=FALSE,INDEX('Ist Vorjahr Monat 03'!B:B,MATCH(D76,'Ist Vorjahr Monat 03'!A:A,0)),
IF(ISERROR(MATCH(D76,'Ist Vorjahr Monat 04'!A:A,0))=FALSE,INDEX('Ist Vorjahr Monat 04'!B:B,MATCH(D76,'Ist Vorjahr Monat 04'!A:A,0)),
IF(ISERROR(MATCH(D76,'Ist Vorjahr Monat 05'!A:A,0))=FALSE,INDEX('Ist Vorjahr Monat 05'!B:B,MATCH(D76,'Ist Vorjahr Monat 05'!A:A,0)),
IF(ISERROR(MATCH(D76,'Ist Vorjahr Monat 06'!A:A,0))=FALSE,INDEX('Ist Vorjahr Monat 06'!B:B,MATCH(D76,'Ist Vorjahr Monat 06'!A:A,0)),
IF(ISERROR(MATCH(D76,'Ist Vorjahr Monat 07'!A:A,0))=FALSE,INDEX('Ist Vorjahr Monat 07'!B:B,MATCH(D76,'Ist Vorjahr Monat 07'!A:A,0)),
IF(ISERROR(MATCH(D76,'Ist Vorjahr Monat 08'!A:A,0))=FALSE,INDEX('Ist Vorjahr Monat 08'!B:B,MATCH(D76,'Ist Vorjahr Monat 08'!A:A,0)),
IF(ISERROR(MATCH(D76,'Ist Vorjahr Monat 09'!A:A,0))=FALSE,INDEX('Ist Vorjahr Monat 09'!B:B,MATCH(D76,'Ist Vorjahr Monat 09'!A:A,0)),
IF(ISERROR(MATCH(D76,'Ist Vorjahr Monat 10'!A:A,0))=FALSE,INDEX('Ist Vorjahr Monat 10'!B:B,MATCH(D76,'Ist Vorjahr Monat 10'!A:A,0)),
IF(ISERROR(MATCH(D76,'Ist Vorjahr Monat 11'!A:A,0))=FALSE,INDEX('Ist Vorjahr Monat 11'!B:B,MATCH(D76,'Ist Vorjahr Monat 11'!A:A,0)),
IF(ISERROR(MATCH(D76,'Ist Vorjahr Monat 12'!A:A,0))=FALSE,INDEX('Ist Vorjahr Monat 12'!B:B,MATCH(D76,'Ist Vorjahr Monat 12'!A:A,0)),
"{Konto unbekannt}"
)))))))))))),"")</f>
        <v/>
      </c>
      <c r="C76" s="591"/>
      <c r="D76" s="590"/>
      <c r="E76" s="592">
        <f t="shared" si="34"/>
        <v>1</v>
      </c>
      <c r="F76" s="599"/>
      <c r="G76" s="593">
        <f ca="1">$E76*(-SUMIF(INDIRECT(G$3),'Struktur Vorjahr'!$D76,INDIRECT(G$4))+SUMIF(INDIRECT(G$3),'Struktur Vorjahr'!$D76,INDIRECT(G$5)))</f>
        <v>0</v>
      </c>
      <c r="H76" s="593">
        <f ca="1">$E76*(-SUMIF(INDIRECT(H$3),'Struktur Vorjahr'!$D76,INDIRECT(H$4))+SUMIF(INDIRECT(H$3),'Struktur Vorjahr'!$D76,INDIRECT(H$5)))</f>
        <v>0</v>
      </c>
      <c r="I76" s="593">
        <f ca="1">$E76*(-SUMIF(INDIRECT(I$3),'Struktur Vorjahr'!$D76,INDIRECT(I$4))+SUMIF(INDIRECT(I$3),'Struktur Vorjahr'!$D76,INDIRECT(I$5)))</f>
        <v>0</v>
      </c>
      <c r="J76" s="593">
        <f ca="1">$E76*(-SUMIF(INDIRECT(J$3),'Struktur Vorjahr'!$D76,INDIRECT(J$4))+SUMIF(INDIRECT(J$3),'Struktur Vorjahr'!$D76,INDIRECT(J$5)))</f>
        <v>0</v>
      </c>
      <c r="K76" s="593">
        <f ca="1">$E76*(-SUMIF(INDIRECT(K$3),'Struktur Vorjahr'!$D76,INDIRECT(K$4))+SUMIF(INDIRECT(K$3),'Struktur Vorjahr'!$D76,INDIRECT(K$5)))</f>
        <v>0</v>
      </c>
      <c r="L76" s="593">
        <f ca="1">$E76*(-SUMIF(INDIRECT(L$3),'Struktur Vorjahr'!$D76,INDIRECT(L$4))+SUMIF(INDIRECT(L$3),'Struktur Vorjahr'!$D76,INDIRECT(L$5)))</f>
        <v>0</v>
      </c>
      <c r="M76" s="593">
        <f ca="1">$E76*(-SUMIF(INDIRECT(M$3),'Struktur Vorjahr'!$D76,INDIRECT(M$4))+SUMIF(INDIRECT(M$3),'Struktur Vorjahr'!$D76,INDIRECT(M$5)))</f>
        <v>0</v>
      </c>
      <c r="N76" s="593">
        <f ca="1">$E76*(-SUMIF(INDIRECT(N$3),'Struktur Vorjahr'!$D76,INDIRECT(N$4))+SUMIF(INDIRECT(N$3),'Struktur Vorjahr'!$D76,INDIRECT(N$5)))</f>
        <v>0</v>
      </c>
      <c r="O76" s="593">
        <f ca="1">$E76*(-SUMIF(INDIRECT(O$3),'Struktur Vorjahr'!$D76,INDIRECT(O$4))+SUMIF(INDIRECT(O$3),'Struktur Vorjahr'!$D76,INDIRECT(O$5)))</f>
        <v>0</v>
      </c>
      <c r="P76" s="593">
        <f ca="1">$E76*(-SUMIF(INDIRECT(P$3),'Struktur Vorjahr'!$D76,INDIRECT(P$4))+SUMIF(INDIRECT(P$3),'Struktur Vorjahr'!$D76,INDIRECT(P$5)))</f>
        <v>0</v>
      </c>
      <c r="Q76" s="593">
        <f ca="1">$E76*(-SUMIF(INDIRECT(Q$3),'Struktur Vorjahr'!$D76,INDIRECT(Q$4))+SUMIF(INDIRECT(Q$3),'Struktur Vorjahr'!$D76,INDIRECT(Q$5)))</f>
        <v>0</v>
      </c>
      <c r="R76" s="593">
        <f ca="1">$E76*(-SUMIF(INDIRECT(R$3),'Struktur Vorjahr'!$D76,INDIRECT(R$4))+SUMIF(INDIRECT(R$3),'Struktur Vorjahr'!$D76,INDIRECT(R$5)))</f>
        <v>0</v>
      </c>
      <c r="S76" s="593">
        <f ca="1">$E76*(-SUMIF(INDIRECT(S$3),'Struktur Vorjahr'!$D76,INDIRECT(S$4))+SUMIF(INDIRECT(S$3),'Struktur Vorjahr'!$D76,INDIRECT(S$5)))</f>
        <v>0</v>
      </c>
      <c r="T76" s="593">
        <f ca="1">$E76*(-SUMIF(INDIRECT(T$3),'Struktur Vorjahr'!$D76,INDIRECT(T$4))+SUMIF(INDIRECT(T$3),'Struktur Vorjahr'!$D76,INDIRECT(T$5)))</f>
        <v>0</v>
      </c>
      <c r="U76" s="593">
        <f ca="1">$E76*(-SUMIF(INDIRECT(U$3),'Struktur Vorjahr'!$D76,INDIRECT(U$4))+SUMIF(INDIRECT(U$3),'Struktur Vorjahr'!$D76,INDIRECT(U$5)))</f>
        <v>0</v>
      </c>
      <c r="V76" s="593">
        <f ca="1">$E76*(-SUMIF(INDIRECT(V$3),'Struktur Vorjahr'!$D76,INDIRECT(V$4))+SUMIF(INDIRECT(V$3),'Struktur Vorjahr'!$D76,INDIRECT(V$5)))</f>
        <v>0</v>
      </c>
      <c r="W76" s="593">
        <f ca="1">$E76*(-SUMIF(INDIRECT(W$3),'Struktur Vorjahr'!$D76,INDIRECT(W$4))+SUMIF(INDIRECT(W$3),'Struktur Vorjahr'!$D76,INDIRECT(W$5)))</f>
        <v>0</v>
      </c>
      <c r="X76" s="593">
        <f ca="1">$E76*(-SUMIF(INDIRECT(X$3),'Struktur Vorjahr'!$D76,INDIRECT(X$4))+SUMIF(INDIRECT(X$3),'Struktur Vorjahr'!$D76,INDIRECT(X$5)))</f>
        <v>0</v>
      </c>
      <c r="Y76" s="593">
        <f ca="1">$E76*(-SUMIF(INDIRECT(Y$3),'Struktur Vorjahr'!$D76,INDIRECT(Y$4))+SUMIF(INDIRECT(Y$3),'Struktur Vorjahr'!$D76,INDIRECT(Y$5)))</f>
        <v>0</v>
      </c>
      <c r="Z76" s="593">
        <f ca="1">$E76*(-SUMIF(INDIRECT(Z$3),'Struktur Vorjahr'!$D76,INDIRECT(Z$4))+SUMIF(INDIRECT(Z$3),'Struktur Vorjahr'!$D76,INDIRECT(Z$5)))</f>
        <v>0</v>
      </c>
      <c r="AA76" s="593">
        <f ca="1">$E76*(-SUMIF(INDIRECT(AA$3),'Struktur Vorjahr'!$D76,INDIRECT(AA$4))+SUMIF(INDIRECT(AA$3),'Struktur Vorjahr'!$D76,INDIRECT(AA$5)))</f>
        <v>0</v>
      </c>
      <c r="AB76" s="593">
        <f ca="1">$E76*(-SUMIF(INDIRECT(AB$3),'Struktur Vorjahr'!$D76,INDIRECT(AB$4))+SUMIF(INDIRECT(AB$3),'Struktur Vorjahr'!$D76,INDIRECT(AB$5)))</f>
        <v>0</v>
      </c>
      <c r="AC76" s="593">
        <f ca="1">$E76*(-SUMIF(INDIRECT(AC$3),'Struktur Vorjahr'!$D76,INDIRECT(AC$4))+SUMIF(INDIRECT(AC$3),'Struktur Vorjahr'!$D76,INDIRECT(AC$5)))</f>
        <v>0</v>
      </c>
      <c r="AD76" s="593">
        <f ca="1">$E76*(-SUMIF(INDIRECT(AD$3),'Struktur Vorjahr'!$D76,INDIRECT(AD$4))+SUMIF(INDIRECT(AD$3),'Struktur Vorjahr'!$D76,INDIRECT(AD$5)))</f>
        <v>0</v>
      </c>
      <c r="AE76" s="593">
        <f t="shared" ca="1" si="41"/>
        <v>0</v>
      </c>
      <c r="AF76" s="593">
        <f t="shared" ca="1" si="42"/>
        <v>0</v>
      </c>
      <c r="AG76" s="593">
        <f t="shared" ca="1" si="42"/>
        <v>0</v>
      </c>
      <c r="AH76" s="593">
        <f t="shared" ca="1" si="42"/>
        <v>0</v>
      </c>
      <c r="AI76" s="593">
        <f t="shared" ca="1" si="42"/>
        <v>0</v>
      </c>
      <c r="AJ76" s="593">
        <f t="shared" ca="1" si="42"/>
        <v>0</v>
      </c>
      <c r="AK76" s="593">
        <f t="shared" ca="1" si="42"/>
        <v>0</v>
      </c>
      <c r="AL76" s="593">
        <f t="shared" ca="1" si="42"/>
        <v>0</v>
      </c>
      <c r="AM76" s="593">
        <f t="shared" ca="1" si="42"/>
        <v>0</v>
      </c>
      <c r="AN76" s="593">
        <f t="shared" ca="1" si="42"/>
        <v>0</v>
      </c>
      <c r="AO76" s="593">
        <f t="shared" ca="1" si="42"/>
        <v>0</v>
      </c>
      <c r="AP76" s="593">
        <f t="shared" ca="1" si="42"/>
        <v>0</v>
      </c>
    </row>
    <row r="77" spans="1:42" s="594" customFormat="1" ht="11.25" outlineLevel="1" x14ac:dyDescent="0.2">
      <c r="A77" s="599"/>
      <c r="B77" s="591" t="str">
        <f>IF(D77&lt;&gt;"",
IF(ISERROR(MATCH(D77,'Ist Vorjahr Monat 01'!A:A,0))=FALSE,INDEX('Ist Vorjahr Monat 01'!B:B,MATCH(D77,'Ist Vorjahr Monat 01'!A:A,0)),
IF(ISERROR(MATCH(D77,'Ist Vorjahr Monat 02'!A:A,0))=FALSE,INDEX('Ist Vorjahr Monat 02'!B:B,MATCH(D77,'Ist Vorjahr Monat 02'!A:A,0)),
IF(ISERROR(MATCH(D77,'Ist Vorjahr Monat 03'!A:A,0))=FALSE,INDEX('Ist Vorjahr Monat 03'!B:B,MATCH(D77,'Ist Vorjahr Monat 03'!A:A,0)),
IF(ISERROR(MATCH(D77,'Ist Vorjahr Monat 04'!A:A,0))=FALSE,INDEX('Ist Vorjahr Monat 04'!B:B,MATCH(D77,'Ist Vorjahr Monat 04'!A:A,0)),
IF(ISERROR(MATCH(D77,'Ist Vorjahr Monat 05'!A:A,0))=FALSE,INDEX('Ist Vorjahr Monat 05'!B:B,MATCH(D77,'Ist Vorjahr Monat 05'!A:A,0)),
IF(ISERROR(MATCH(D77,'Ist Vorjahr Monat 06'!A:A,0))=FALSE,INDEX('Ist Vorjahr Monat 06'!B:B,MATCH(D77,'Ist Vorjahr Monat 06'!A:A,0)),
IF(ISERROR(MATCH(D77,'Ist Vorjahr Monat 07'!A:A,0))=FALSE,INDEX('Ist Vorjahr Monat 07'!B:B,MATCH(D77,'Ist Vorjahr Monat 07'!A:A,0)),
IF(ISERROR(MATCH(D77,'Ist Vorjahr Monat 08'!A:A,0))=FALSE,INDEX('Ist Vorjahr Monat 08'!B:B,MATCH(D77,'Ist Vorjahr Monat 08'!A:A,0)),
IF(ISERROR(MATCH(D77,'Ist Vorjahr Monat 09'!A:A,0))=FALSE,INDEX('Ist Vorjahr Monat 09'!B:B,MATCH(D77,'Ist Vorjahr Monat 09'!A:A,0)),
IF(ISERROR(MATCH(D77,'Ist Vorjahr Monat 10'!A:A,0))=FALSE,INDEX('Ist Vorjahr Monat 10'!B:B,MATCH(D77,'Ist Vorjahr Monat 10'!A:A,0)),
IF(ISERROR(MATCH(D77,'Ist Vorjahr Monat 11'!A:A,0))=FALSE,INDEX('Ist Vorjahr Monat 11'!B:B,MATCH(D77,'Ist Vorjahr Monat 11'!A:A,0)),
IF(ISERROR(MATCH(D77,'Ist Vorjahr Monat 12'!A:A,0))=FALSE,INDEX('Ist Vorjahr Monat 12'!B:B,MATCH(D77,'Ist Vorjahr Monat 12'!A:A,0)),
"{Konto unbekannt}"
)))))))))))),"")</f>
        <v/>
      </c>
      <c r="C77" s="591"/>
      <c r="D77" s="590"/>
      <c r="E77" s="592">
        <f t="shared" si="34"/>
        <v>1</v>
      </c>
      <c r="F77" s="599"/>
      <c r="G77" s="593">
        <f ca="1">$E77*(-SUMIF(INDIRECT(G$3),'Struktur Vorjahr'!$D77,INDIRECT(G$4))+SUMIF(INDIRECT(G$3),'Struktur Vorjahr'!$D77,INDIRECT(G$5)))</f>
        <v>0</v>
      </c>
      <c r="H77" s="593">
        <f ca="1">$E77*(-SUMIF(INDIRECT(H$3),'Struktur Vorjahr'!$D77,INDIRECT(H$4))+SUMIF(INDIRECT(H$3),'Struktur Vorjahr'!$D77,INDIRECT(H$5)))</f>
        <v>0</v>
      </c>
      <c r="I77" s="593">
        <f ca="1">$E77*(-SUMIF(INDIRECT(I$3),'Struktur Vorjahr'!$D77,INDIRECT(I$4))+SUMIF(INDIRECT(I$3),'Struktur Vorjahr'!$D77,INDIRECT(I$5)))</f>
        <v>0</v>
      </c>
      <c r="J77" s="593">
        <f ca="1">$E77*(-SUMIF(INDIRECT(J$3),'Struktur Vorjahr'!$D77,INDIRECT(J$4))+SUMIF(INDIRECT(J$3),'Struktur Vorjahr'!$D77,INDIRECT(J$5)))</f>
        <v>0</v>
      </c>
      <c r="K77" s="593">
        <f ca="1">$E77*(-SUMIF(INDIRECT(K$3),'Struktur Vorjahr'!$D77,INDIRECT(K$4))+SUMIF(INDIRECT(K$3),'Struktur Vorjahr'!$D77,INDIRECT(K$5)))</f>
        <v>0</v>
      </c>
      <c r="L77" s="593">
        <f ca="1">$E77*(-SUMIF(INDIRECT(L$3),'Struktur Vorjahr'!$D77,INDIRECT(L$4))+SUMIF(INDIRECT(L$3),'Struktur Vorjahr'!$D77,INDIRECT(L$5)))</f>
        <v>0</v>
      </c>
      <c r="M77" s="593">
        <f ca="1">$E77*(-SUMIF(INDIRECT(M$3),'Struktur Vorjahr'!$D77,INDIRECT(M$4))+SUMIF(INDIRECT(M$3),'Struktur Vorjahr'!$D77,INDIRECT(M$5)))</f>
        <v>0</v>
      </c>
      <c r="N77" s="593">
        <f ca="1">$E77*(-SUMIF(INDIRECT(N$3),'Struktur Vorjahr'!$D77,INDIRECT(N$4))+SUMIF(INDIRECT(N$3),'Struktur Vorjahr'!$D77,INDIRECT(N$5)))</f>
        <v>0</v>
      </c>
      <c r="O77" s="593">
        <f ca="1">$E77*(-SUMIF(INDIRECT(O$3),'Struktur Vorjahr'!$D77,INDIRECT(O$4))+SUMIF(INDIRECT(O$3),'Struktur Vorjahr'!$D77,INDIRECT(O$5)))</f>
        <v>0</v>
      </c>
      <c r="P77" s="593">
        <f ca="1">$E77*(-SUMIF(INDIRECT(P$3),'Struktur Vorjahr'!$D77,INDIRECT(P$4))+SUMIF(INDIRECT(P$3),'Struktur Vorjahr'!$D77,INDIRECT(P$5)))</f>
        <v>0</v>
      </c>
      <c r="Q77" s="593">
        <f ca="1">$E77*(-SUMIF(INDIRECT(Q$3),'Struktur Vorjahr'!$D77,INDIRECT(Q$4))+SUMIF(INDIRECT(Q$3),'Struktur Vorjahr'!$D77,INDIRECT(Q$5)))</f>
        <v>0</v>
      </c>
      <c r="R77" s="593">
        <f ca="1">$E77*(-SUMIF(INDIRECT(R$3),'Struktur Vorjahr'!$D77,INDIRECT(R$4))+SUMIF(INDIRECT(R$3),'Struktur Vorjahr'!$D77,INDIRECT(R$5)))</f>
        <v>0</v>
      </c>
      <c r="S77" s="593">
        <f ca="1">$E77*(-SUMIF(INDIRECT(S$3),'Struktur Vorjahr'!$D77,INDIRECT(S$4))+SUMIF(INDIRECT(S$3),'Struktur Vorjahr'!$D77,INDIRECT(S$5)))</f>
        <v>0</v>
      </c>
      <c r="T77" s="593">
        <f ca="1">$E77*(-SUMIF(INDIRECT(T$3),'Struktur Vorjahr'!$D77,INDIRECT(T$4))+SUMIF(INDIRECT(T$3),'Struktur Vorjahr'!$D77,INDIRECT(T$5)))</f>
        <v>0</v>
      </c>
      <c r="U77" s="593">
        <f ca="1">$E77*(-SUMIF(INDIRECT(U$3),'Struktur Vorjahr'!$D77,INDIRECT(U$4))+SUMIF(INDIRECT(U$3),'Struktur Vorjahr'!$D77,INDIRECT(U$5)))</f>
        <v>0</v>
      </c>
      <c r="V77" s="593">
        <f ca="1">$E77*(-SUMIF(INDIRECT(V$3),'Struktur Vorjahr'!$D77,INDIRECT(V$4))+SUMIF(INDIRECT(V$3),'Struktur Vorjahr'!$D77,INDIRECT(V$5)))</f>
        <v>0</v>
      </c>
      <c r="W77" s="593">
        <f ca="1">$E77*(-SUMIF(INDIRECT(W$3),'Struktur Vorjahr'!$D77,INDIRECT(W$4))+SUMIF(INDIRECT(W$3),'Struktur Vorjahr'!$D77,INDIRECT(W$5)))</f>
        <v>0</v>
      </c>
      <c r="X77" s="593">
        <f ca="1">$E77*(-SUMIF(INDIRECT(X$3),'Struktur Vorjahr'!$D77,INDIRECT(X$4))+SUMIF(INDIRECT(X$3),'Struktur Vorjahr'!$D77,INDIRECT(X$5)))</f>
        <v>0</v>
      </c>
      <c r="Y77" s="593">
        <f ca="1">$E77*(-SUMIF(INDIRECT(Y$3),'Struktur Vorjahr'!$D77,INDIRECT(Y$4))+SUMIF(INDIRECT(Y$3),'Struktur Vorjahr'!$D77,INDIRECT(Y$5)))</f>
        <v>0</v>
      </c>
      <c r="Z77" s="593">
        <f ca="1">$E77*(-SUMIF(INDIRECT(Z$3),'Struktur Vorjahr'!$D77,INDIRECT(Z$4))+SUMIF(INDIRECT(Z$3),'Struktur Vorjahr'!$D77,INDIRECT(Z$5)))</f>
        <v>0</v>
      </c>
      <c r="AA77" s="593">
        <f ca="1">$E77*(-SUMIF(INDIRECT(AA$3),'Struktur Vorjahr'!$D77,INDIRECT(AA$4))+SUMIF(INDIRECT(AA$3),'Struktur Vorjahr'!$D77,INDIRECT(AA$5)))</f>
        <v>0</v>
      </c>
      <c r="AB77" s="593">
        <f ca="1">$E77*(-SUMIF(INDIRECT(AB$3),'Struktur Vorjahr'!$D77,INDIRECT(AB$4))+SUMIF(INDIRECT(AB$3),'Struktur Vorjahr'!$D77,INDIRECT(AB$5)))</f>
        <v>0</v>
      </c>
      <c r="AC77" s="593">
        <f ca="1">$E77*(-SUMIF(INDIRECT(AC$3),'Struktur Vorjahr'!$D77,INDIRECT(AC$4))+SUMIF(INDIRECT(AC$3),'Struktur Vorjahr'!$D77,INDIRECT(AC$5)))</f>
        <v>0</v>
      </c>
      <c r="AD77" s="593">
        <f ca="1">$E77*(-SUMIF(INDIRECT(AD$3),'Struktur Vorjahr'!$D77,INDIRECT(AD$4))+SUMIF(INDIRECT(AD$3),'Struktur Vorjahr'!$D77,INDIRECT(AD$5)))</f>
        <v>0</v>
      </c>
      <c r="AE77" s="593">
        <f t="shared" ca="1" si="41"/>
        <v>0</v>
      </c>
      <c r="AF77" s="593">
        <f t="shared" ca="1" si="42"/>
        <v>0</v>
      </c>
      <c r="AG77" s="593">
        <f t="shared" ca="1" si="42"/>
        <v>0</v>
      </c>
      <c r="AH77" s="593">
        <f t="shared" ca="1" si="42"/>
        <v>0</v>
      </c>
      <c r="AI77" s="593">
        <f t="shared" ca="1" si="42"/>
        <v>0</v>
      </c>
      <c r="AJ77" s="593">
        <f t="shared" ca="1" si="42"/>
        <v>0</v>
      </c>
      <c r="AK77" s="593">
        <f t="shared" ca="1" si="42"/>
        <v>0</v>
      </c>
      <c r="AL77" s="593">
        <f t="shared" ca="1" si="42"/>
        <v>0</v>
      </c>
      <c r="AM77" s="593">
        <f t="shared" ca="1" si="42"/>
        <v>0</v>
      </c>
      <c r="AN77" s="593">
        <f t="shared" ca="1" si="42"/>
        <v>0</v>
      </c>
      <c r="AO77" s="593">
        <f t="shared" ca="1" si="42"/>
        <v>0</v>
      </c>
      <c r="AP77" s="593">
        <f t="shared" ca="1" si="42"/>
        <v>0</v>
      </c>
    </row>
    <row r="78" spans="1:42" s="594" customFormat="1" ht="11.25" outlineLevel="1" x14ac:dyDescent="0.2">
      <c r="A78" s="599"/>
      <c r="B78" s="591" t="str">
        <f>IF(D78&lt;&gt;"",
IF(ISERROR(MATCH(D78,'Ist Vorjahr Monat 01'!A:A,0))=FALSE,INDEX('Ist Vorjahr Monat 01'!B:B,MATCH(D78,'Ist Vorjahr Monat 01'!A:A,0)),
IF(ISERROR(MATCH(D78,'Ist Vorjahr Monat 02'!A:A,0))=FALSE,INDEX('Ist Vorjahr Monat 02'!B:B,MATCH(D78,'Ist Vorjahr Monat 02'!A:A,0)),
IF(ISERROR(MATCH(D78,'Ist Vorjahr Monat 03'!A:A,0))=FALSE,INDEX('Ist Vorjahr Monat 03'!B:B,MATCH(D78,'Ist Vorjahr Monat 03'!A:A,0)),
IF(ISERROR(MATCH(D78,'Ist Vorjahr Monat 04'!A:A,0))=FALSE,INDEX('Ist Vorjahr Monat 04'!B:B,MATCH(D78,'Ist Vorjahr Monat 04'!A:A,0)),
IF(ISERROR(MATCH(D78,'Ist Vorjahr Monat 05'!A:A,0))=FALSE,INDEX('Ist Vorjahr Monat 05'!B:B,MATCH(D78,'Ist Vorjahr Monat 05'!A:A,0)),
IF(ISERROR(MATCH(D78,'Ist Vorjahr Monat 06'!A:A,0))=FALSE,INDEX('Ist Vorjahr Monat 06'!B:B,MATCH(D78,'Ist Vorjahr Monat 06'!A:A,0)),
IF(ISERROR(MATCH(D78,'Ist Vorjahr Monat 07'!A:A,0))=FALSE,INDEX('Ist Vorjahr Monat 07'!B:B,MATCH(D78,'Ist Vorjahr Monat 07'!A:A,0)),
IF(ISERROR(MATCH(D78,'Ist Vorjahr Monat 08'!A:A,0))=FALSE,INDEX('Ist Vorjahr Monat 08'!B:B,MATCH(D78,'Ist Vorjahr Monat 08'!A:A,0)),
IF(ISERROR(MATCH(D78,'Ist Vorjahr Monat 09'!A:A,0))=FALSE,INDEX('Ist Vorjahr Monat 09'!B:B,MATCH(D78,'Ist Vorjahr Monat 09'!A:A,0)),
IF(ISERROR(MATCH(D78,'Ist Vorjahr Monat 10'!A:A,0))=FALSE,INDEX('Ist Vorjahr Monat 10'!B:B,MATCH(D78,'Ist Vorjahr Monat 10'!A:A,0)),
IF(ISERROR(MATCH(D78,'Ist Vorjahr Monat 11'!A:A,0))=FALSE,INDEX('Ist Vorjahr Monat 11'!B:B,MATCH(D78,'Ist Vorjahr Monat 11'!A:A,0)),
IF(ISERROR(MATCH(D78,'Ist Vorjahr Monat 12'!A:A,0))=FALSE,INDEX('Ist Vorjahr Monat 12'!B:B,MATCH(D78,'Ist Vorjahr Monat 12'!A:A,0)),
"{Konto unbekannt}"
)))))))))))),"")</f>
        <v/>
      </c>
      <c r="C78" s="591"/>
      <c r="D78" s="590"/>
      <c r="E78" s="592">
        <f t="shared" si="34"/>
        <v>1</v>
      </c>
      <c r="F78" s="599"/>
      <c r="G78" s="593">
        <f ca="1">$E78*(-SUMIF(INDIRECT(G$3),'Struktur Vorjahr'!$D78,INDIRECT(G$4))+SUMIF(INDIRECT(G$3),'Struktur Vorjahr'!$D78,INDIRECT(G$5)))</f>
        <v>0</v>
      </c>
      <c r="H78" s="593">
        <f ca="1">$E78*(-SUMIF(INDIRECT(H$3),'Struktur Vorjahr'!$D78,INDIRECT(H$4))+SUMIF(INDIRECT(H$3),'Struktur Vorjahr'!$D78,INDIRECT(H$5)))</f>
        <v>0</v>
      </c>
      <c r="I78" s="593">
        <f ca="1">$E78*(-SUMIF(INDIRECT(I$3),'Struktur Vorjahr'!$D78,INDIRECT(I$4))+SUMIF(INDIRECT(I$3),'Struktur Vorjahr'!$D78,INDIRECT(I$5)))</f>
        <v>0</v>
      </c>
      <c r="J78" s="593">
        <f ca="1">$E78*(-SUMIF(INDIRECT(J$3),'Struktur Vorjahr'!$D78,INDIRECT(J$4))+SUMIF(INDIRECT(J$3),'Struktur Vorjahr'!$D78,INDIRECT(J$5)))</f>
        <v>0</v>
      </c>
      <c r="K78" s="593">
        <f ca="1">$E78*(-SUMIF(INDIRECT(K$3),'Struktur Vorjahr'!$D78,INDIRECT(K$4))+SUMIF(INDIRECT(K$3),'Struktur Vorjahr'!$D78,INDIRECT(K$5)))</f>
        <v>0</v>
      </c>
      <c r="L78" s="593">
        <f ca="1">$E78*(-SUMIF(INDIRECT(L$3),'Struktur Vorjahr'!$D78,INDIRECT(L$4))+SUMIF(INDIRECT(L$3),'Struktur Vorjahr'!$D78,INDIRECT(L$5)))</f>
        <v>0</v>
      </c>
      <c r="M78" s="593">
        <f ca="1">$E78*(-SUMIF(INDIRECT(M$3),'Struktur Vorjahr'!$D78,INDIRECT(M$4))+SUMIF(INDIRECT(M$3),'Struktur Vorjahr'!$D78,INDIRECT(M$5)))</f>
        <v>0</v>
      </c>
      <c r="N78" s="593">
        <f ca="1">$E78*(-SUMIF(INDIRECT(N$3),'Struktur Vorjahr'!$D78,INDIRECT(N$4))+SUMIF(INDIRECT(N$3),'Struktur Vorjahr'!$D78,INDIRECT(N$5)))</f>
        <v>0</v>
      </c>
      <c r="O78" s="593">
        <f ca="1">$E78*(-SUMIF(INDIRECT(O$3),'Struktur Vorjahr'!$D78,INDIRECT(O$4))+SUMIF(INDIRECT(O$3),'Struktur Vorjahr'!$D78,INDIRECT(O$5)))</f>
        <v>0</v>
      </c>
      <c r="P78" s="593">
        <f ca="1">$E78*(-SUMIF(INDIRECT(P$3),'Struktur Vorjahr'!$D78,INDIRECT(P$4))+SUMIF(INDIRECT(P$3),'Struktur Vorjahr'!$D78,INDIRECT(P$5)))</f>
        <v>0</v>
      </c>
      <c r="Q78" s="593">
        <f ca="1">$E78*(-SUMIF(INDIRECT(Q$3),'Struktur Vorjahr'!$D78,INDIRECT(Q$4))+SUMIF(INDIRECT(Q$3),'Struktur Vorjahr'!$D78,INDIRECT(Q$5)))</f>
        <v>0</v>
      </c>
      <c r="R78" s="593">
        <f ca="1">$E78*(-SUMIF(INDIRECT(R$3),'Struktur Vorjahr'!$D78,INDIRECT(R$4))+SUMIF(INDIRECT(R$3),'Struktur Vorjahr'!$D78,INDIRECT(R$5)))</f>
        <v>0</v>
      </c>
      <c r="S78" s="593">
        <f ca="1">$E78*(-SUMIF(INDIRECT(S$3),'Struktur Vorjahr'!$D78,INDIRECT(S$4))+SUMIF(INDIRECT(S$3),'Struktur Vorjahr'!$D78,INDIRECT(S$5)))</f>
        <v>0</v>
      </c>
      <c r="T78" s="593">
        <f ca="1">$E78*(-SUMIF(INDIRECT(T$3),'Struktur Vorjahr'!$D78,INDIRECT(T$4))+SUMIF(INDIRECT(T$3),'Struktur Vorjahr'!$D78,INDIRECT(T$5)))</f>
        <v>0</v>
      </c>
      <c r="U78" s="593">
        <f ca="1">$E78*(-SUMIF(INDIRECT(U$3),'Struktur Vorjahr'!$D78,INDIRECT(U$4))+SUMIF(INDIRECT(U$3),'Struktur Vorjahr'!$D78,INDIRECT(U$5)))</f>
        <v>0</v>
      </c>
      <c r="V78" s="593">
        <f ca="1">$E78*(-SUMIF(INDIRECT(V$3),'Struktur Vorjahr'!$D78,INDIRECT(V$4))+SUMIF(INDIRECT(V$3),'Struktur Vorjahr'!$D78,INDIRECT(V$5)))</f>
        <v>0</v>
      </c>
      <c r="W78" s="593">
        <f ca="1">$E78*(-SUMIF(INDIRECT(W$3),'Struktur Vorjahr'!$D78,INDIRECT(W$4))+SUMIF(INDIRECT(W$3),'Struktur Vorjahr'!$D78,INDIRECT(W$5)))</f>
        <v>0</v>
      </c>
      <c r="X78" s="593">
        <f ca="1">$E78*(-SUMIF(INDIRECT(X$3),'Struktur Vorjahr'!$D78,INDIRECT(X$4))+SUMIF(INDIRECT(X$3),'Struktur Vorjahr'!$D78,INDIRECT(X$5)))</f>
        <v>0</v>
      </c>
      <c r="Y78" s="593">
        <f ca="1">$E78*(-SUMIF(INDIRECT(Y$3),'Struktur Vorjahr'!$D78,INDIRECT(Y$4))+SUMIF(INDIRECT(Y$3),'Struktur Vorjahr'!$D78,INDIRECT(Y$5)))</f>
        <v>0</v>
      </c>
      <c r="Z78" s="593">
        <f ca="1">$E78*(-SUMIF(INDIRECT(Z$3),'Struktur Vorjahr'!$D78,INDIRECT(Z$4))+SUMIF(INDIRECT(Z$3),'Struktur Vorjahr'!$D78,INDIRECT(Z$5)))</f>
        <v>0</v>
      </c>
      <c r="AA78" s="593">
        <f ca="1">$E78*(-SUMIF(INDIRECT(AA$3),'Struktur Vorjahr'!$D78,INDIRECT(AA$4))+SUMIF(INDIRECT(AA$3),'Struktur Vorjahr'!$D78,INDIRECT(AA$5)))</f>
        <v>0</v>
      </c>
      <c r="AB78" s="593">
        <f ca="1">$E78*(-SUMIF(INDIRECT(AB$3),'Struktur Vorjahr'!$D78,INDIRECT(AB$4))+SUMIF(INDIRECT(AB$3),'Struktur Vorjahr'!$D78,INDIRECT(AB$5)))</f>
        <v>0</v>
      </c>
      <c r="AC78" s="593">
        <f ca="1">$E78*(-SUMIF(INDIRECT(AC$3),'Struktur Vorjahr'!$D78,INDIRECT(AC$4))+SUMIF(INDIRECT(AC$3),'Struktur Vorjahr'!$D78,INDIRECT(AC$5)))</f>
        <v>0</v>
      </c>
      <c r="AD78" s="593">
        <f ca="1">$E78*(-SUMIF(INDIRECT(AD$3),'Struktur Vorjahr'!$D78,INDIRECT(AD$4))+SUMIF(INDIRECT(AD$3),'Struktur Vorjahr'!$D78,INDIRECT(AD$5)))</f>
        <v>0</v>
      </c>
      <c r="AE78" s="593">
        <f t="shared" ca="1" si="41"/>
        <v>0</v>
      </c>
      <c r="AF78" s="593">
        <f t="shared" ca="1" si="42"/>
        <v>0</v>
      </c>
      <c r="AG78" s="593">
        <f t="shared" ca="1" si="42"/>
        <v>0</v>
      </c>
      <c r="AH78" s="593">
        <f t="shared" ca="1" si="42"/>
        <v>0</v>
      </c>
      <c r="AI78" s="593">
        <f t="shared" ca="1" si="42"/>
        <v>0</v>
      </c>
      <c r="AJ78" s="593">
        <f t="shared" ca="1" si="42"/>
        <v>0</v>
      </c>
      <c r="AK78" s="593">
        <f t="shared" ca="1" si="42"/>
        <v>0</v>
      </c>
      <c r="AL78" s="593">
        <f t="shared" ca="1" si="42"/>
        <v>0</v>
      </c>
      <c r="AM78" s="593">
        <f t="shared" ca="1" si="42"/>
        <v>0</v>
      </c>
      <c r="AN78" s="593">
        <f t="shared" ca="1" si="42"/>
        <v>0</v>
      </c>
      <c r="AO78" s="593">
        <f t="shared" ca="1" si="42"/>
        <v>0</v>
      </c>
      <c r="AP78" s="593">
        <f t="shared" ca="1" si="42"/>
        <v>0</v>
      </c>
    </row>
    <row r="79" spans="1:42" s="594" customFormat="1" ht="11.25" outlineLevel="1" x14ac:dyDescent="0.2">
      <c r="A79" s="599"/>
      <c r="B79" s="591" t="str">
        <f>IF(D79&lt;&gt;"",
IF(ISERROR(MATCH(D79,'Ist Vorjahr Monat 01'!A:A,0))=FALSE,INDEX('Ist Vorjahr Monat 01'!B:B,MATCH(D79,'Ist Vorjahr Monat 01'!A:A,0)),
IF(ISERROR(MATCH(D79,'Ist Vorjahr Monat 02'!A:A,0))=FALSE,INDEX('Ist Vorjahr Monat 02'!B:B,MATCH(D79,'Ist Vorjahr Monat 02'!A:A,0)),
IF(ISERROR(MATCH(D79,'Ist Vorjahr Monat 03'!A:A,0))=FALSE,INDEX('Ist Vorjahr Monat 03'!B:B,MATCH(D79,'Ist Vorjahr Monat 03'!A:A,0)),
IF(ISERROR(MATCH(D79,'Ist Vorjahr Monat 04'!A:A,0))=FALSE,INDEX('Ist Vorjahr Monat 04'!B:B,MATCH(D79,'Ist Vorjahr Monat 04'!A:A,0)),
IF(ISERROR(MATCH(D79,'Ist Vorjahr Monat 05'!A:A,0))=FALSE,INDEX('Ist Vorjahr Monat 05'!B:B,MATCH(D79,'Ist Vorjahr Monat 05'!A:A,0)),
IF(ISERROR(MATCH(D79,'Ist Vorjahr Monat 06'!A:A,0))=FALSE,INDEX('Ist Vorjahr Monat 06'!B:B,MATCH(D79,'Ist Vorjahr Monat 06'!A:A,0)),
IF(ISERROR(MATCH(D79,'Ist Vorjahr Monat 07'!A:A,0))=FALSE,INDEX('Ist Vorjahr Monat 07'!B:B,MATCH(D79,'Ist Vorjahr Monat 07'!A:A,0)),
IF(ISERROR(MATCH(D79,'Ist Vorjahr Monat 08'!A:A,0))=FALSE,INDEX('Ist Vorjahr Monat 08'!B:B,MATCH(D79,'Ist Vorjahr Monat 08'!A:A,0)),
IF(ISERROR(MATCH(D79,'Ist Vorjahr Monat 09'!A:A,0))=FALSE,INDEX('Ist Vorjahr Monat 09'!B:B,MATCH(D79,'Ist Vorjahr Monat 09'!A:A,0)),
IF(ISERROR(MATCH(D79,'Ist Vorjahr Monat 10'!A:A,0))=FALSE,INDEX('Ist Vorjahr Monat 10'!B:B,MATCH(D79,'Ist Vorjahr Monat 10'!A:A,0)),
IF(ISERROR(MATCH(D79,'Ist Vorjahr Monat 11'!A:A,0))=FALSE,INDEX('Ist Vorjahr Monat 11'!B:B,MATCH(D79,'Ist Vorjahr Monat 11'!A:A,0)),
IF(ISERROR(MATCH(D79,'Ist Vorjahr Monat 12'!A:A,0))=FALSE,INDEX('Ist Vorjahr Monat 12'!B:B,MATCH(D79,'Ist Vorjahr Monat 12'!A:A,0)),
"{Konto unbekannt}"
)))))))))))),"")</f>
        <v/>
      </c>
      <c r="C79" s="591"/>
      <c r="D79" s="590"/>
      <c r="E79" s="592">
        <f t="shared" si="34"/>
        <v>1</v>
      </c>
      <c r="F79" s="599"/>
      <c r="G79" s="593">
        <f ca="1">$E79*(-SUMIF(INDIRECT(G$3),'Struktur Vorjahr'!$D79,INDIRECT(G$4))+SUMIF(INDIRECT(G$3),'Struktur Vorjahr'!$D79,INDIRECT(G$5)))</f>
        <v>0</v>
      </c>
      <c r="H79" s="593">
        <f ca="1">$E79*(-SUMIF(INDIRECT(H$3),'Struktur Vorjahr'!$D79,INDIRECT(H$4))+SUMIF(INDIRECT(H$3),'Struktur Vorjahr'!$D79,INDIRECT(H$5)))</f>
        <v>0</v>
      </c>
      <c r="I79" s="593">
        <f ca="1">$E79*(-SUMIF(INDIRECT(I$3),'Struktur Vorjahr'!$D79,INDIRECT(I$4))+SUMIF(INDIRECT(I$3),'Struktur Vorjahr'!$D79,INDIRECT(I$5)))</f>
        <v>0</v>
      </c>
      <c r="J79" s="593">
        <f ca="1">$E79*(-SUMIF(INDIRECT(J$3),'Struktur Vorjahr'!$D79,INDIRECT(J$4))+SUMIF(INDIRECT(J$3),'Struktur Vorjahr'!$D79,INDIRECT(J$5)))</f>
        <v>0</v>
      </c>
      <c r="K79" s="593">
        <f ca="1">$E79*(-SUMIF(INDIRECT(K$3),'Struktur Vorjahr'!$D79,INDIRECT(K$4))+SUMIF(INDIRECT(K$3),'Struktur Vorjahr'!$D79,INDIRECT(K$5)))</f>
        <v>0</v>
      </c>
      <c r="L79" s="593">
        <f ca="1">$E79*(-SUMIF(INDIRECT(L$3),'Struktur Vorjahr'!$D79,INDIRECT(L$4))+SUMIF(INDIRECT(L$3),'Struktur Vorjahr'!$D79,INDIRECT(L$5)))</f>
        <v>0</v>
      </c>
      <c r="M79" s="593">
        <f ca="1">$E79*(-SUMIF(INDIRECT(M$3),'Struktur Vorjahr'!$D79,INDIRECT(M$4))+SUMIF(INDIRECT(M$3),'Struktur Vorjahr'!$D79,INDIRECT(M$5)))</f>
        <v>0</v>
      </c>
      <c r="N79" s="593">
        <f ca="1">$E79*(-SUMIF(INDIRECT(N$3),'Struktur Vorjahr'!$D79,INDIRECT(N$4))+SUMIF(INDIRECT(N$3),'Struktur Vorjahr'!$D79,INDIRECT(N$5)))</f>
        <v>0</v>
      </c>
      <c r="O79" s="593">
        <f ca="1">$E79*(-SUMIF(INDIRECT(O$3),'Struktur Vorjahr'!$D79,INDIRECT(O$4))+SUMIF(INDIRECT(O$3),'Struktur Vorjahr'!$D79,INDIRECT(O$5)))</f>
        <v>0</v>
      </c>
      <c r="P79" s="593">
        <f ca="1">$E79*(-SUMIF(INDIRECT(P$3),'Struktur Vorjahr'!$D79,INDIRECT(P$4))+SUMIF(INDIRECT(P$3),'Struktur Vorjahr'!$D79,INDIRECT(P$5)))</f>
        <v>0</v>
      </c>
      <c r="Q79" s="593">
        <f ca="1">$E79*(-SUMIF(INDIRECT(Q$3),'Struktur Vorjahr'!$D79,INDIRECT(Q$4))+SUMIF(INDIRECT(Q$3),'Struktur Vorjahr'!$D79,INDIRECT(Q$5)))</f>
        <v>0</v>
      </c>
      <c r="R79" s="593">
        <f ca="1">$E79*(-SUMIF(INDIRECT(R$3),'Struktur Vorjahr'!$D79,INDIRECT(R$4))+SUMIF(INDIRECT(R$3),'Struktur Vorjahr'!$D79,INDIRECT(R$5)))</f>
        <v>0</v>
      </c>
      <c r="S79" s="593">
        <f ca="1">$E79*(-SUMIF(INDIRECT(S$3),'Struktur Vorjahr'!$D79,INDIRECT(S$4))+SUMIF(INDIRECT(S$3),'Struktur Vorjahr'!$D79,INDIRECT(S$5)))</f>
        <v>0</v>
      </c>
      <c r="T79" s="593">
        <f ca="1">$E79*(-SUMIF(INDIRECT(T$3),'Struktur Vorjahr'!$D79,INDIRECT(T$4))+SUMIF(INDIRECT(T$3),'Struktur Vorjahr'!$D79,INDIRECT(T$5)))</f>
        <v>0</v>
      </c>
      <c r="U79" s="593">
        <f ca="1">$E79*(-SUMIF(INDIRECT(U$3),'Struktur Vorjahr'!$D79,INDIRECT(U$4))+SUMIF(INDIRECT(U$3),'Struktur Vorjahr'!$D79,INDIRECT(U$5)))</f>
        <v>0</v>
      </c>
      <c r="V79" s="593">
        <f ca="1">$E79*(-SUMIF(INDIRECT(V$3),'Struktur Vorjahr'!$D79,INDIRECT(V$4))+SUMIF(INDIRECT(V$3),'Struktur Vorjahr'!$D79,INDIRECT(V$5)))</f>
        <v>0</v>
      </c>
      <c r="W79" s="593">
        <f ca="1">$E79*(-SUMIF(INDIRECT(W$3),'Struktur Vorjahr'!$D79,INDIRECT(W$4))+SUMIF(INDIRECT(W$3),'Struktur Vorjahr'!$D79,INDIRECT(W$5)))</f>
        <v>0</v>
      </c>
      <c r="X79" s="593">
        <f ca="1">$E79*(-SUMIF(INDIRECT(X$3),'Struktur Vorjahr'!$D79,INDIRECT(X$4))+SUMIF(INDIRECT(X$3),'Struktur Vorjahr'!$D79,INDIRECT(X$5)))</f>
        <v>0</v>
      </c>
      <c r="Y79" s="593">
        <f ca="1">$E79*(-SUMIF(INDIRECT(Y$3),'Struktur Vorjahr'!$D79,INDIRECT(Y$4))+SUMIF(INDIRECT(Y$3),'Struktur Vorjahr'!$D79,INDIRECT(Y$5)))</f>
        <v>0</v>
      </c>
      <c r="Z79" s="593">
        <f ca="1">$E79*(-SUMIF(INDIRECT(Z$3),'Struktur Vorjahr'!$D79,INDIRECT(Z$4))+SUMIF(INDIRECT(Z$3),'Struktur Vorjahr'!$D79,INDIRECT(Z$5)))</f>
        <v>0</v>
      </c>
      <c r="AA79" s="593">
        <f ca="1">$E79*(-SUMIF(INDIRECT(AA$3),'Struktur Vorjahr'!$D79,INDIRECT(AA$4))+SUMIF(INDIRECT(AA$3),'Struktur Vorjahr'!$D79,INDIRECT(AA$5)))</f>
        <v>0</v>
      </c>
      <c r="AB79" s="593">
        <f ca="1">$E79*(-SUMIF(INDIRECT(AB$3),'Struktur Vorjahr'!$D79,INDIRECT(AB$4))+SUMIF(INDIRECT(AB$3),'Struktur Vorjahr'!$D79,INDIRECT(AB$5)))</f>
        <v>0</v>
      </c>
      <c r="AC79" s="593">
        <f ca="1">$E79*(-SUMIF(INDIRECT(AC$3),'Struktur Vorjahr'!$D79,INDIRECT(AC$4))+SUMIF(INDIRECT(AC$3),'Struktur Vorjahr'!$D79,INDIRECT(AC$5)))</f>
        <v>0</v>
      </c>
      <c r="AD79" s="593">
        <f ca="1">$E79*(-SUMIF(INDIRECT(AD$3),'Struktur Vorjahr'!$D79,INDIRECT(AD$4))+SUMIF(INDIRECT(AD$3),'Struktur Vorjahr'!$D79,INDIRECT(AD$5)))</f>
        <v>0</v>
      </c>
      <c r="AE79" s="593">
        <f t="shared" ca="1" si="41"/>
        <v>0</v>
      </c>
      <c r="AF79" s="593">
        <f t="shared" ca="1" si="42"/>
        <v>0</v>
      </c>
      <c r="AG79" s="593">
        <f t="shared" ca="1" si="42"/>
        <v>0</v>
      </c>
      <c r="AH79" s="593">
        <f t="shared" ca="1" si="42"/>
        <v>0</v>
      </c>
      <c r="AI79" s="593">
        <f t="shared" ca="1" si="42"/>
        <v>0</v>
      </c>
      <c r="AJ79" s="593">
        <f t="shared" ca="1" si="42"/>
        <v>0</v>
      </c>
      <c r="AK79" s="593">
        <f t="shared" ca="1" si="42"/>
        <v>0</v>
      </c>
      <c r="AL79" s="593">
        <f t="shared" ca="1" si="42"/>
        <v>0</v>
      </c>
      <c r="AM79" s="593">
        <f t="shared" ca="1" si="42"/>
        <v>0</v>
      </c>
      <c r="AN79" s="593">
        <f t="shared" ca="1" si="42"/>
        <v>0</v>
      </c>
      <c r="AO79" s="593">
        <f t="shared" ca="1" si="42"/>
        <v>0</v>
      </c>
      <c r="AP79" s="593">
        <f t="shared" ca="1" si="42"/>
        <v>0</v>
      </c>
    </row>
    <row r="80" spans="1:42" s="594" customFormat="1" outlineLevel="1" x14ac:dyDescent="0.2">
      <c r="A80" s="585">
        <v>7</v>
      </c>
      <c r="B80" s="586" t="s">
        <v>1002</v>
      </c>
      <c r="C80" s="587">
        <f ca="1">SUM(G80:R80)</f>
        <v>0</v>
      </c>
      <c r="D80" s="587"/>
      <c r="E80" s="588">
        <f t="shared" si="34"/>
        <v>1</v>
      </c>
      <c r="F80" s="585"/>
      <c r="G80" s="587">
        <f t="shared" ref="G80:AP80" ca="1" si="43">SUM(G81:G88)</f>
        <v>0</v>
      </c>
      <c r="H80" s="587">
        <f t="shared" ca="1" si="43"/>
        <v>0</v>
      </c>
      <c r="I80" s="587">
        <f t="shared" ca="1" si="43"/>
        <v>0</v>
      </c>
      <c r="J80" s="587">
        <f t="shared" ca="1" si="43"/>
        <v>0</v>
      </c>
      <c r="K80" s="587">
        <f t="shared" ca="1" si="43"/>
        <v>0</v>
      </c>
      <c r="L80" s="587">
        <f t="shared" ca="1" si="43"/>
        <v>0</v>
      </c>
      <c r="M80" s="587">
        <f t="shared" ca="1" si="43"/>
        <v>0</v>
      </c>
      <c r="N80" s="587">
        <f t="shared" ca="1" si="43"/>
        <v>0</v>
      </c>
      <c r="O80" s="587">
        <f t="shared" ca="1" si="43"/>
        <v>0</v>
      </c>
      <c r="P80" s="587">
        <f t="shared" ca="1" si="43"/>
        <v>0</v>
      </c>
      <c r="Q80" s="587">
        <f t="shared" ca="1" si="43"/>
        <v>0</v>
      </c>
      <c r="R80" s="587">
        <f t="shared" ca="1" si="43"/>
        <v>0</v>
      </c>
      <c r="S80" s="587">
        <f t="shared" ca="1" si="43"/>
        <v>0</v>
      </c>
      <c r="T80" s="587">
        <f t="shared" ca="1" si="43"/>
        <v>0</v>
      </c>
      <c r="U80" s="587">
        <f t="shared" ca="1" si="43"/>
        <v>0</v>
      </c>
      <c r="V80" s="587">
        <f t="shared" ca="1" si="43"/>
        <v>0</v>
      </c>
      <c r="W80" s="587">
        <f t="shared" ca="1" si="43"/>
        <v>0</v>
      </c>
      <c r="X80" s="587">
        <f t="shared" ca="1" si="43"/>
        <v>0</v>
      </c>
      <c r="Y80" s="587">
        <f t="shared" ca="1" si="43"/>
        <v>0</v>
      </c>
      <c r="Z80" s="587">
        <f t="shared" ca="1" si="43"/>
        <v>0</v>
      </c>
      <c r="AA80" s="587">
        <f t="shared" ca="1" si="43"/>
        <v>0</v>
      </c>
      <c r="AB80" s="587">
        <f t="shared" ca="1" si="43"/>
        <v>0</v>
      </c>
      <c r="AC80" s="587">
        <f t="shared" ca="1" si="43"/>
        <v>0</v>
      </c>
      <c r="AD80" s="587">
        <f t="shared" ca="1" si="43"/>
        <v>0</v>
      </c>
      <c r="AE80" s="587">
        <f t="shared" ca="1" si="43"/>
        <v>0</v>
      </c>
      <c r="AF80" s="587">
        <f t="shared" ca="1" si="43"/>
        <v>0</v>
      </c>
      <c r="AG80" s="587">
        <f t="shared" ca="1" si="43"/>
        <v>0</v>
      </c>
      <c r="AH80" s="587">
        <f t="shared" ca="1" si="43"/>
        <v>0</v>
      </c>
      <c r="AI80" s="587">
        <f t="shared" ca="1" si="43"/>
        <v>0</v>
      </c>
      <c r="AJ80" s="587">
        <f t="shared" ca="1" si="43"/>
        <v>0</v>
      </c>
      <c r="AK80" s="587">
        <f t="shared" ca="1" si="43"/>
        <v>0</v>
      </c>
      <c r="AL80" s="587">
        <f t="shared" ca="1" si="43"/>
        <v>0</v>
      </c>
      <c r="AM80" s="587">
        <f t="shared" ca="1" si="43"/>
        <v>0</v>
      </c>
      <c r="AN80" s="587">
        <f t="shared" ca="1" si="43"/>
        <v>0</v>
      </c>
      <c r="AO80" s="587">
        <f t="shared" ca="1" si="43"/>
        <v>0</v>
      </c>
      <c r="AP80" s="587">
        <f t="shared" ca="1" si="43"/>
        <v>0</v>
      </c>
    </row>
    <row r="81" spans="1:42" s="594" customFormat="1" ht="11.25" outlineLevel="1" x14ac:dyDescent="0.2">
      <c r="A81" s="599"/>
      <c r="B81" s="591" t="str">
        <f>IF(D81&lt;&gt;"",
IF(ISERROR(MATCH(D81,'Ist Vorjahr Monat 01'!A:A,0))=FALSE,INDEX('Ist Vorjahr Monat 01'!B:B,MATCH(D81,'Ist Vorjahr Monat 01'!A:A,0)),
IF(ISERROR(MATCH(D81,'Ist Vorjahr Monat 02'!A:A,0))=FALSE,INDEX('Ist Vorjahr Monat 02'!B:B,MATCH(D81,'Ist Vorjahr Monat 02'!A:A,0)),
IF(ISERROR(MATCH(D81,'Ist Vorjahr Monat 03'!A:A,0))=FALSE,INDEX('Ist Vorjahr Monat 03'!B:B,MATCH(D81,'Ist Vorjahr Monat 03'!A:A,0)),
IF(ISERROR(MATCH(D81,'Ist Vorjahr Monat 04'!A:A,0))=FALSE,INDEX('Ist Vorjahr Monat 04'!B:B,MATCH(D81,'Ist Vorjahr Monat 04'!A:A,0)),
IF(ISERROR(MATCH(D81,'Ist Vorjahr Monat 05'!A:A,0))=FALSE,INDEX('Ist Vorjahr Monat 05'!B:B,MATCH(D81,'Ist Vorjahr Monat 05'!A:A,0)),
IF(ISERROR(MATCH(D81,'Ist Vorjahr Monat 06'!A:A,0))=FALSE,INDEX('Ist Vorjahr Monat 06'!B:B,MATCH(D81,'Ist Vorjahr Monat 06'!A:A,0)),
IF(ISERROR(MATCH(D81,'Ist Vorjahr Monat 07'!A:A,0))=FALSE,INDEX('Ist Vorjahr Monat 07'!B:B,MATCH(D81,'Ist Vorjahr Monat 07'!A:A,0)),
IF(ISERROR(MATCH(D81,'Ist Vorjahr Monat 08'!A:A,0))=FALSE,INDEX('Ist Vorjahr Monat 08'!B:B,MATCH(D81,'Ist Vorjahr Monat 08'!A:A,0)),
IF(ISERROR(MATCH(D81,'Ist Vorjahr Monat 09'!A:A,0))=FALSE,INDEX('Ist Vorjahr Monat 09'!B:B,MATCH(D81,'Ist Vorjahr Monat 09'!A:A,0)),
IF(ISERROR(MATCH(D81,'Ist Vorjahr Monat 10'!A:A,0))=FALSE,INDEX('Ist Vorjahr Monat 10'!B:B,MATCH(D81,'Ist Vorjahr Monat 10'!A:A,0)),
IF(ISERROR(MATCH(D81,'Ist Vorjahr Monat 11'!A:A,0))=FALSE,INDEX('Ist Vorjahr Monat 11'!B:B,MATCH(D81,'Ist Vorjahr Monat 11'!A:A,0)),
IF(ISERROR(MATCH(D81,'Ist Vorjahr Monat 12'!A:A,0))=FALSE,INDEX('Ist Vorjahr Monat 12'!B:B,MATCH(D81,'Ist Vorjahr Monat 12'!A:A,0)),
"{Konto unbekannt}"
)))))))))))),"")</f>
        <v/>
      </c>
      <c r="C81" s="591"/>
      <c r="D81" s="590"/>
      <c r="E81" s="592">
        <f t="shared" si="34"/>
        <v>1</v>
      </c>
      <c r="F81" s="599"/>
      <c r="G81" s="593">
        <f ca="1">$E81*(-SUMIF(INDIRECT(G$3),'Struktur Vorjahr'!$D81,INDIRECT(G$4))+SUMIF(INDIRECT(G$3),'Struktur Vorjahr'!$D81,INDIRECT(G$5)))</f>
        <v>0</v>
      </c>
      <c r="H81" s="593">
        <f ca="1">$E81*(-SUMIF(INDIRECT(H$3),'Struktur Vorjahr'!$D81,INDIRECT(H$4))+SUMIF(INDIRECT(H$3),'Struktur Vorjahr'!$D81,INDIRECT(H$5)))</f>
        <v>0</v>
      </c>
      <c r="I81" s="593">
        <f ca="1">$E81*(-SUMIF(INDIRECT(I$3),'Struktur Vorjahr'!$D81,INDIRECT(I$4))+SUMIF(INDIRECT(I$3),'Struktur Vorjahr'!$D81,INDIRECT(I$5)))</f>
        <v>0</v>
      </c>
      <c r="J81" s="593">
        <f ca="1">$E81*(-SUMIF(INDIRECT(J$3),'Struktur Vorjahr'!$D81,INDIRECT(J$4))+SUMIF(INDIRECT(J$3),'Struktur Vorjahr'!$D81,INDIRECT(J$5)))</f>
        <v>0</v>
      </c>
      <c r="K81" s="593">
        <f ca="1">$E81*(-SUMIF(INDIRECT(K$3),'Struktur Vorjahr'!$D81,INDIRECT(K$4))+SUMIF(INDIRECT(K$3),'Struktur Vorjahr'!$D81,INDIRECT(K$5)))</f>
        <v>0</v>
      </c>
      <c r="L81" s="593">
        <f ca="1">$E81*(-SUMIF(INDIRECT(L$3),'Struktur Vorjahr'!$D81,INDIRECT(L$4))+SUMIF(INDIRECT(L$3),'Struktur Vorjahr'!$D81,INDIRECT(L$5)))</f>
        <v>0</v>
      </c>
      <c r="M81" s="593">
        <f ca="1">$E81*(-SUMIF(INDIRECT(M$3),'Struktur Vorjahr'!$D81,INDIRECT(M$4))+SUMIF(INDIRECT(M$3),'Struktur Vorjahr'!$D81,INDIRECT(M$5)))</f>
        <v>0</v>
      </c>
      <c r="N81" s="593">
        <f ca="1">$E81*(-SUMIF(INDIRECT(N$3),'Struktur Vorjahr'!$D81,INDIRECT(N$4))+SUMIF(INDIRECT(N$3),'Struktur Vorjahr'!$D81,INDIRECT(N$5)))</f>
        <v>0</v>
      </c>
      <c r="O81" s="593">
        <f ca="1">$E81*(-SUMIF(INDIRECT(O$3),'Struktur Vorjahr'!$D81,INDIRECT(O$4))+SUMIF(INDIRECT(O$3),'Struktur Vorjahr'!$D81,INDIRECT(O$5)))</f>
        <v>0</v>
      </c>
      <c r="P81" s="593">
        <f ca="1">$E81*(-SUMIF(INDIRECT(P$3),'Struktur Vorjahr'!$D81,INDIRECT(P$4))+SUMIF(INDIRECT(P$3),'Struktur Vorjahr'!$D81,INDIRECT(P$5)))</f>
        <v>0</v>
      </c>
      <c r="Q81" s="593">
        <f ca="1">$E81*(-SUMIF(INDIRECT(Q$3),'Struktur Vorjahr'!$D81,INDIRECT(Q$4))+SUMIF(INDIRECT(Q$3),'Struktur Vorjahr'!$D81,INDIRECT(Q$5)))</f>
        <v>0</v>
      </c>
      <c r="R81" s="593">
        <f ca="1">$E81*(-SUMIF(INDIRECT(R$3),'Struktur Vorjahr'!$D81,INDIRECT(R$4))+SUMIF(INDIRECT(R$3),'Struktur Vorjahr'!$D81,INDIRECT(R$5)))</f>
        <v>0</v>
      </c>
      <c r="S81" s="593">
        <f ca="1">$E81*(-SUMIF(INDIRECT(S$3),'Struktur Vorjahr'!$D81,INDIRECT(S$4))+SUMIF(INDIRECT(S$3),'Struktur Vorjahr'!$D81,INDIRECT(S$5)))</f>
        <v>0</v>
      </c>
      <c r="T81" s="593">
        <f ca="1">$E81*(-SUMIF(INDIRECT(T$3),'Struktur Vorjahr'!$D81,INDIRECT(T$4))+SUMIF(INDIRECT(T$3),'Struktur Vorjahr'!$D81,INDIRECT(T$5)))</f>
        <v>0</v>
      </c>
      <c r="U81" s="593">
        <f ca="1">$E81*(-SUMIF(INDIRECT(U$3),'Struktur Vorjahr'!$D81,INDIRECT(U$4))+SUMIF(INDIRECT(U$3),'Struktur Vorjahr'!$D81,INDIRECT(U$5)))</f>
        <v>0</v>
      </c>
      <c r="V81" s="593">
        <f ca="1">$E81*(-SUMIF(INDIRECT(V$3),'Struktur Vorjahr'!$D81,INDIRECT(V$4))+SUMIF(INDIRECT(V$3),'Struktur Vorjahr'!$D81,INDIRECT(V$5)))</f>
        <v>0</v>
      </c>
      <c r="W81" s="593">
        <f ca="1">$E81*(-SUMIF(INDIRECT(W$3),'Struktur Vorjahr'!$D81,INDIRECT(W$4))+SUMIF(INDIRECT(W$3),'Struktur Vorjahr'!$D81,INDIRECT(W$5)))</f>
        <v>0</v>
      </c>
      <c r="X81" s="593">
        <f ca="1">$E81*(-SUMIF(INDIRECT(X$3),'Struktur Vorjahr'!$D81,INDIRECT(X$4))+SUMIF(INDIRECT(X$3),'Struktur Vorjahr'!$D81,INDIRECT(X$5)))</f>
        <v>0</v>
      </c>
      <c r="Y81" s="593">
        <f ca="1">$E81*(-SUMIF(INDIRECT(Y$3),'Struktur Vorjahr'!$D81,INDIRECT(Y$4))+SUMIF(INDIRECT(Y$3),'Struktur Vorjahr'!$D81,INDIRECT(Y$5)))</f>
        <v>0</v>
      </c>
      <c r="Z81" s="593">
        <f ca="1">$E81*(-SUMIF(INDIRECT(Z$3),'Struktur Vorjahr'!$D81,INDIRECT(Z$4))+SUMIF(INDIRECT(Z$3),'Struktur Vorjahr'!$D81,INDIRECT(Z$5)))</f>
        <v>0</v>
      </c>
      <c r="AA81" s="593">
        <f ca="1">$E81*(-SUMIF(INDIRECT(AA$3),'Struktur Vorjahr'!$D81,INDIRECT(AA$4))+SUMIF(INDIRECT(AA$3),'Struktur Vorjahr'!$D81,INDIRECT(AA$5)))</f>
        <v>0</v>
      </c>
      <c r="AB81" s="593">
        <f ca="1">$E81*(-SUMIF(INDIRECT(AB$3),'Struktur Vorjahr'!$D81,INDIRECT(AB$4))+SUMIF(INDIRECT(AB$3),'Struktur Vorjahr'!$D81,INDIRECT(AB$5)))</f>
        <v>0</v>
      </c>
      <c r="AC81" s="593">
        <f ca="1">$E81*(-SUMIF(INDIRECT(AC$3),'Struktur Vorjahr'!$D81,INDIRECT(AC$4))+SUMIF(INDIRECT(AC$3),'Struktur Vorjahr'!$D81,INDIRECT(AC$5)))</f>
        <v>0</v>
      </c>
      <c r="AD81" s="593">
        <f ca="1">$E81*(-SUMIF(INDIRECT(AD$3),'Struktur Vorjahr'!$D81,INDIRECT(AD$4))+SUMIF(INDIRECT(AD$3),'Struktur Vorjahr'!$D81,INDIRECT(AD$5)))</f>
        <v>0</v>
      </c>
      <c r="AE81" s="593">
        <f t="shared" ref="AE81:AE88" ca="1" si="44">G81</f>
        <v>0</v>
      </c>
      <c r="AF81" s="593">
        <f t="shared" ref="AF81:AP88" ca="1" si="45">H81+AE81</f>
        <v>0</v>
      </c>
      <c r="AG81" s="593">
        <f t="shared" ca="1" si="45"/>
        <v>0</v>
      </c>
      <c r="AH81" s="593">
        <f t="shared" ca="1" si="45"/>
        <v>0</v>
      </c>
      <c r="AI81" s="593">
        <f t="shared" ca="1" si="45"/>
        <v>0</v>
      </c>
      <c r="AJ81" s="593">
        <f t="shared" ca="1" si="45"/>
        <v>0</v>
      </c>
      <c r="AK81" s="593">
        <f t="shared" ca="1" si="45"/>
        <v>0</v>
      </c>
      <c r="AL81" s="593">
        <f t="shared" ca="1" si="45"/>
        <v>0</v>
      </c>
      <c r="AM81" s="593">
        <f t="shared" ca="1" si="45"/>
        <v>0</v>
      </c>
      <c r="AN81" s="593">
        <f t="shared" ca="1" si="45"/>
        <v>0</v>
      </c>
      <c r="AO81" s="593">
        <f t="shared" ca="1" si="45"/>
        <v>0</v>
      </c>
      <c r="AP81" s="593">
        <f t="shared" ca="1" si="45"/>
        <v>0</v>
      </c>
    </row>
    <row r="82" spans="1:42" s="594" customFormat="1" ht="11.25" outlineLevel="1" x14ac:dyDescent="0.2">
      <c r="A82" s="599"/>
      <c r="B82" s="591" t="str">
        <f>IF(D82&lt;&gt;"",
IF(ISERROR(MATCH(D82,'Ist Vorjahr Monat 01'!A:A,0))=FALSE,INDEX('Ist Vorjahr Monat 01'!B:B,MATCH(D82,'Ist Vorjahr Monat 01'!A:A,0)),
IF(ISERROR(MATCH(D82,'Ist Vorjahr Monat 02'!A:A,0))=FALSE,INDEX('Ist Vorjahr Monat 02'!B:B,MATCH(D82,'Ist Vorjahr Monat 02'!A:A,0)),
IF(ISERROR(MATCH(D82,'Ist Vorjahr Monat 03'!A:A,0))=FALSE,INDEX('Ist Vorjahr Monat 03'!B:B,MATCH(D82,'Ist Vorjahr Monat 03'!A:A,0)),
IF(ISERROR(MATCH(D82,'Ist Vorjahr Monat 04'!A:A,0))=FALSE,INDEX('Ist Vorjahr Monat 04'!B:B,MATCH(D82,'Ist Vorjahr Monat 04'!A:A,0)),
IF(ISERROR(MATCH(D82,'Ist Vorjahr Monat 05'!A:A,0))=FALSE,INDEX('Ist Vorjahr Monat 05'!B:B,MATCH(D82,'Ist Vorjahr Monat 05'!A:A,0)),
IF(ISERROR(MATCH(D82,'Ist Vorjahr Monat 06'!A:A,0))=FALSE,INDEX('Ist Vorjahr Monat 06'!B:B,MATCH(D82,'Ist Vorjahr Monat 06'!A:A,0)),
IF(ISERROR(MATCH(D82,'Ist Vorjahr Monat 07'!A:A,0))=FALSE,INDEX('Ist Vorjahr Monat 07'!B:B,MATCH(D82,'Ist Vorjahr Monat 07'!A:A,0)),
IF(ISERROR(MATCH(D82,'Ist Vorjahr Monat 08'!A:A,0))=FALSE,INDEX('Ist Vorjahr Monat 08'!B:B,MATCH(D82,'Ist Vorjahr Monat 08'!A:A,0)),
IF(ISERROR(MATCH(D82,'Ist Vorjahr Monat 09'!A:A,0))=FALSE,INDEX('Ist Vorjahr Monat 09'!B:B,MATCH(D82,'Ist Vorjahr Monat 09'!A:A,0)),
IF(ISERROR(MATCH(D82,'Ist Vorjahr Monat 10'!A:A,0))=FALSE,INDEX('Ist Vorjahr Monat 10'!B:B,MATCH(D82,'Ist Vorjahr Monat 10'!A:A,0)),
IF(ISERROR(MATCH(D82,'Ist Vorjahr Monat 11'!A:A,0))=FALSE,INDEX('Ist Vorjahr Monat 11'!B:B,MATCH(D82,'Ist Vorjahr Monat 11'!A:A,0)),
IF(ISERROR(MATCH(D82,'Ist Vorjahr Monat 12'!A:A,0))=FALSE,INDEX('Ist Vorjahr Monat 12'!B:B,MATCH(D82,'Ist Vorjahr Monat 12'!A:A,0)),
"{Konto unbekannt}"
)))))))))))),"")</f>
        <v/>
      </c>
      <c r="C82" s="591"/>
      <c r="D82" s="590"/>
      <c r="E82" s="592">
        <f t="shared" si="34"/>
        <v>1</v>
      </c>
      <c r="F82" s="599"/>
      <c r="G82" s="593">
        <f ca="1">$E82*(-SUMIF(INDIRECT(G$3),'Struktur Vorjahr'!$D82,INDIRECT(G$4))+SUMIF(INDIRECT(G$3),'Struktur Vorjahr'!$D82,INDIRECT(G$5)))</f>
        <v>0</v>
      </c>
      <c r="H82" s="593">
        <f ca="1">$E82*(-SUMIF(INDIRECT(H$3),'Struktur Vorjahr'!$D82,INDIRECT(H$4))+SUMIF(INDIRECT(H$3),'Struktur Vorjahr'!$D82,INDIRECT(H$5)))</f>
        <v>0</v>
      </c>
      <c r="I82" s="593">
        <f ca="1">$E82*(-SUMIF(INDIRECT(I$3),'Struktur Vorjahr'!$D82,INDIRECT(I$4))+SUMIF(INDIRECT(I$3),'Struktur Vorjahr'!$D82,INDIRECT(I$5)))</f>
        <v>0</v>
      </c>
      <c r="J82" s="593">
        <f ca="1">$E82*(-SUMIF(INDIRECT(J$3),'Struktur Vorjahr'!$D82,INDIRECT(J$4))+SUMIF(INDIRECT(J$3),'Struktur Vorjahr'!$D82,INDIRECT(J$5)))</f>
        <v>0</v>
      </c>
      <c r="K82" s="593">
        <f ca="1">$E82*(-SUMIF(INDIRECT(K$3),'Struktur Vorjahr'!$D82,INDIRECT(K$4))+SUMIF(INDIRECT(K$3),'Struktur Vorjahr'!$D82,INDIRECT(K$5)))</f>
        <v>0</v>
      </c>
      <c r="L82" s="593">
        <f ca="1">$E82*(-SUMIF(INDIRECT(L$3),'Struktur Vorjahr'!$D82,INDIRECT(L$4))+SUMIF(INDIRECT(L$3),'Struktur Vorjahr'!$D82,INDIRECT(L$5)))</f>
        <v>0</v>
      </c>
      <c r="M82" s="593">
        <f ca="1">$E82*(-SUMIF(INDIRECT(M$3),'Struktur Vorjahr'!$D82,INDIRECT(M$4))+SUMIF(INDIRECT(M$3),'Struktur Vorjahr'!$D82,INDIRECT(M$5)))</f>
        <v>0</v>
      </c>
      <c r="N82" s="593">
        <f ca="1">$E82*(-SUMIF(INDIRECT(N$3),'Struktur Vorjahr'!$D82,INDIRECT(N$4))+SUMIF(INDIRECT(N$3),'Struktur Vorjahr'!$D82,INDIRECT(N$5)))</f>
        <v>0</v>
      </c>
      <c r="O82" s="593">
        <f ca="1">$E82*(-SUMIF(INDIRECT(O$3),'Struktur Vorjahr'!$D82,INDIRECT(O$4))+SUMIF(INDIRECT(O$3),'Struktur Vorjahr'!$D82,INDIRECT(O$5)))</f>
        <v>0</v>
      </c>
      <c r="P82" s="593">
        <f ca="1">$E82*(-SUMIF(INDIRECT(P$3),'Struktur Vorjahr'!$D82,INDIRECT(P$4))+SUMIF(INDIRECT(P$3),'Struktur Vorjahr'!$D82,INDIRECT(P$5)))</f>
        <v>0</v>
      </c>
      <c r="Q82" s="593">
        <f ca="1">$E82*(-SUMIF(INDIRECT(Q$3),'Struktur Vorjahr'!$D82,INDIRECT(Q$4))+SUMIF(INDIRECT(Q$3),'Struktur Vorjahr'!$D82,INDIRECT(Q$5)))</f>
        <v>0</v>
      </c>
      <c r="R82" s="593">
        <f ca="1">$E82*(-SUMIF(INDIRECT(R$3),'Struktur Vorjahr'!$D82,INDIRECT(R$4))+SUMIF(INDIRECT(R$3),'Struktur Vorjahr'!$D82,INDIRECT(R$5)))</f>
        <v>0</v>
      </c>
      <c r="S82" s="593">
        <f ca="1">$E82*(-SUMIF(INDIRECT(S$3),'Struktur Vorjahr'!$D82,INDIRECT(S$4))+SUMIF(INDIRECT(S$3),'Struktur Vorjahr'!$D82,INDIRECT(S$5)))</f>
        <v>0</v>
      </c>
      <c r="T82" s="593">
        <f ca="1">$E82*(-SUMIF(INDIRECT(T$3),'Struktur Vorjahr'!$D82,INDIRECT(T$4))+SUMIF(INDIRECT(T$3),'Struktur Vorjahr'!$D82,INDIRECT(T$5)))</f>
        <v>0</v>
      </c>
      <c r="U82" s="593">
        <f ca="1">$E82*(-SUMIF(INDIRECT(U$3),'Struktur Vorjahr'!$D82,INDIRECT(U$4))+SUMIF(INDIRECT(U$3),'Struktur Vorjahr'!$D82,INDIRECT(U$5)))</f>
        <v>0</v>
      </c>
      <c r="V82" s="593">
        <f ca="1">$E82*(-SUMIF(INDIRECT(V$3),'Struktur Vorjahr'!$D82,INDIRECT(V$4))+SUMIF(INDIRECT(V$3),'Struktur Vorjahr'!$D82,INDIRECT(V$5)))</f>
        <v>0</v>
      </c>
      <c r="W82" s="593">
        <f ca="1">$E82*(-SUMIF(INDIRECT(W$3),'Struktur Vorjahr'!$D82,INDIRECT(W$4))+SUMIF(INDIRECT(W$3),'Struktur Vorjahr'!$D82,INDIRECT(W$5)))</f>
        <v>0</v>
      </c>
      <c r="X82" s="593">
        <f ca="1">$E82*(-SUMIF(INDIRECT(X$3),'Struktur Vorjahr'!$D82,INDIRECT(X$4))+SUMIF(INDIRECT(X$3),'Struktur Vorjahr'!$D82,INDIRECT(X$5)))</f>
        <v>0</v>
      </c>
      <c r="Y82" s="593">
        <f ca="1">$E82*(-SUMIF(INDIRECT(Y$3),'Struktur Vorjahr'!$D82,INDIRECT(Y$4))+SUMIF(INDIRECT(Y$3),'Struktur Vorjahr'!$D82,INDIRECT(Y$5)))</f>
        <v>0</v>
      </c>
      <c r="Z82" s="593">
        <f ca="1">$E82*(-SUMIF(INDIRECT(Z$3),'Struktur Vorjahr'!$D82,INDIRECT(Z$4))+SUMIF(INDIRECT(Z$3),'Struktur Vorjahr'!$D82,INDIRECT(Z$5)))</f>
        <v>0</v>
      </c>
      <c r="AA82" s="593">
        <f ca="1">$E82*(-SUMIF(INDIRECT(AA$3),'Struktur Vorjahr'!$D82,INDIRECT(AA$4))+SUMIF(INDIRECT(AA$3),'Struktur Vorjahr'!$D82,INDIRECT(AA$5)))</f>
        <v>0</v>
      </c>
      <c r="AB82" s="593">
        <f ca="1">$E82*(-SUMIF(INDIRECT(AB$3),'Struktur Vorjahr'!$D82,INDIRECT(AB$4))+SUMIF(INDIRECT(AB$3),'Struktur Vorjahr'!$D82,INDIRECT(AB$5)))</f>
        <v>0</v>
      </c>
      <c r="AC82" s="593">
        <f ca="1">$E82*(-SUMIF(INDIRECT(AC$3),'Struktur Vorjahr'!$D82,INDIRECT(AC$4))+SUMIF(INDIRECT(AC$3),'Struktur Vorjahr'!$D82,INDIRECT(AC$5)))</f>
        <v>0</v>
      </c>
      <c r="AD82" s="593">
        <f ca="1">$E82*(-SUMIF(INDIRECT(AD$3),'Struktur Vorjahr'!$D82,INDIRECT(AD$4))+SUMIF(INDIRECT(AD$3),'Struktur Vorjahr'!$D82,INDIRECT(AD$5)))</f>
        <v>0</v>
      </c>
      <c r="AE82" s="593">
        <f t="shared" ca="1" si="44"/>
        <v>0</v>
      </c>
      <c r="AF82" s="593">
        <f t="shared" ca="1" si="45"/>
        <v>0</v>
      </c>
      <c r="AG82" s="593">
        <f t="shared" ca="1" si="45"/>
        <v>0</v>
      </c>
      <c r="AH82" s="593">
        <f t="shared" ca="1" si="45"/>
        <v>0</v>
      </c>
      <c r="AI82" s="593">
        <f t="shared" ca="1" si="45"/>
        <v>0</v>
      </c>
      <c r="AJ82" s="593">
        <f t="shared" ca="1" si="45"/>
        <v>0</v>
      </c>
      <c r="AK82" s="593">
        <f t="shared" ca="1" si="45"/>
        <v>0</v>
      </c>
      <c r="AL82" s="593">
        <f t="shared" ca="1" si="45"/>
        <v>0</v>
      </c>
      <c r="AM82" s="593">
        <f t="shared" ca="1" si="45"/>
        <v>0</v>
      </c>
      <c r="AN82" s="593">
        <f t="shared" ca="1" si="45"/>
        <v>0</v>
      </c>
      <c r="AO82" s="593">
        <f t="shared" ca="1" si="45"/>
        <v>0</v>
      </c>
      <c r="AP82" s="593">
        <f t="shared" ca="1" si="45"/>
        <v>0</v>
      </c>
    </row>
    <row r="83" spans="1:42" s="594" customFormat="1" ht="11.25" outlineLevel="1" x14ac:dyDescent="0.2">
      <c r="A83" s="599"/>
      <c r="B83" s="591" t="str">
        <f>IF(D83&lt;&gt;"",
IF(ISERROR(MATCH(D83,'Ist Vorjahr Monat 01'!A:A,0))=FALSE,INDEX('Ist Vorjahr Monat 01'!B:B,MATCH(D83,'Ist Vorjahr Monat 01'!A:A,0)),
IF(ISERROR(MATCH(D83,'Ist Vorjahr Monat 02'!A:A,0))=FALSE,INDEX('Ist Vorjahr Monat 02'!B:B,MATCH(D83,'Ist Vorjahr Monat 02'!A:A,0)),
IF(ISERROR(MATCH(D83,'Ist Vorjahr Monat 03'!A:A,0))=FALSE,INDEX('Ist Vorjahr Monat 03'!B:B,MATCH(D83,'Ist Vorjahr Monat 03'!A:A,0)),
IF(ISERROR(MATCH(D83,'Ist Vorjahr Monat 04'!A:A,0))=FALSE,INDEX('Ist Vorjahr Monat 04'!B:B,MATCH(D83,'Ist Vorjahr Monat 04'!A:A,0)),
IF(ISERROR(MATCH(D83,'Ist Vorjahr Monat 05'!A:A,0))=FALSE,INDEX('Ist Vorjahr Monat 05'!B:B,MATCH(D83,'Ist Vorjahr Monat 05'!A:A,0)),
IF(ISERROR(MATCH(D83,'Ist Vorjahr Monat 06'!A:A,0))=FALSE,INDEX('Ist Vorjahr Monat 06'!B:B,MATCH(D83,'Ist Vorjahr Monat 06'!A:A,0)),
IF(ISERROR(MATCH(D83,'Ist Vorjahr Monat 07'!A:A,0))=FALSE,INDEX('Ist Vorjahr Monat 07'!B:B,MATCH(D83,'Ist Vorjahr Monat 07'!A:A,0)),
IF(ISERROR(MATCH(D83,'Ist Vorjahr Monat 08'!A:A,0))=FALSE,INDEX('Ist Vorjahr Monat 08'!B:B,MATCH(D83,'Ist Vorjahr Monat 08'!A:A,0)),
IF(ISERROR(MATCH(D83,'Ist Vorjahr Monat 09'!A:A,0))=FALSE,INDEX('Ist Vorjahr Monat 09'!B:B,MATCH(D83,'Ist Vorjahr Monat 09'!A:A,0)),
IF(ISERROR(MATCH(D83,'Ist Vorjahr Monat 10'!A:A,0))=FALSE,INDEX('Ist Vorjahr Monat 10'!B:B,MATCH(D83,'Ist Vorjahr Monat 10'!A:A,0)),
IF(ISERROR(MATCH(D83,'Ist Vorjahr Monat 11'!A:A,0))=FALSE,INDEX('Ist Vorjahr Monat 11'!B:B,MATCH(D83,'Ist Vorjahr Monat 11'!A:A,0)),
IF(ISERROR(MATCH(D83,'Ist Vorjahr Monat 12'!A:A,0))=FALSE,INDEX('Ist Vorjahr Monat 12'!B:B,MATCH(D83,'Ist Vorjahr Monat 12'!A:A,0)),
"{Konto unbekannt}"
)))))))))))),"")</f>
        <v/>
      </c>
      <c r="C83" s="591"/>
      <c r="D83" s="590"/>
      <c r="E83" s="592">
        <f t="shared" si="34"/>
        <v>1</v>
      </c>
      <c r="F83" s="599"/>
      <c r="G83" s="593">
        <f ca="1">$E83*(-SUMIF(INDIRECT(G$3),'Struktur Vorjahr'!$D83,INDIRECT(G$4))+SUMIF(INDIRECT(G$3),'Struktur Vorjahr'!$D83,INDIRECT(G$5)))</f>
        <v>0</v>
      </c>
      <c r="H83" s="593">
        <f ca="1">$E83*(-SUMIF(INDIRECT(H$3),'Struktur Vorjahr'!$D83,INDIRECT(H$4))+SUMIF(INDIRECT(H$3),'Struktur Vorjahr'!$D83,INDIRECT(H$5)))</f>
        <v>0</v>
      </c>
      <c r="I83" s="593">
        <f ca="1">$E83*(-SUMIF(INDIRECT(I$3),'Struktur Vorjahr'!$D83,INDIRECT(I$4))+SUMIF(INDIRECT(I$3),'Struktur Vorjahr'!$D83,INDIRECT(I$5)))</f>
        <v>0</v>
      </c>
      <c r="J83" s="593">
        <f ca="1">$E83*(-SUMIF(INDIRECT(J$3),'Struktur Vorjahr'!$D83,INDIRECT(J$4))+SUMIF(INDIRECT(J$3),'Struktur Vorjahr'!$D83,INDIRECT(J$5)))</f>
        <v>0</v>
      </c>
      <c r="K83" s="593">
        <f ca="1">$E83*(-SUMIF(INDIRECT(K$3),'Struktur Vorjahr'!$D83,INDIRECT(K$4))+SUMIF(INDIRECT(K$3),'Struktur Vorjahr'!$D83,INDIRECT(K$5)))</f>
        <v>0</v>
      </c>
      <c r="L83" s="593">
        <f ca="1">$E83*(-SUMIF(INDIRECT(L$3),'Struktur Vorjahr'!$D83,INDIRECT(L$4))+SUMIF(INDIRECT(L$3),'Struktur Vorjahr'!$D83,INDIRECT(L$5)))</f>
        <v>0</v>
      </c>
      <c r="M83" s="593">
        <f ca="1">$E83*(-SUMIF(INDIRECT(M$3),'Struktur Vorjahr'!$D83,INDIRECT(M$4))+SUMIF(INDIRECT(M$3),'Struktur Vorjahr'!$D83,INDIRECT(M$5)))</f>
        <v>0</v>
      </c>
      <c r="N83" s="593">
        <f ca="1">$E83*(-SUMIF(INDIRECT(N$3),'Struktur Vorjahr'!$D83,INDIRECT(N$4))+SUMIF(INDIRECT(N$3),'Struktur Vorjahr'!$D83,INDIRECT(N$5)))</f>
        <v>0</v>
      </c>
      <c r="O83" s="593">
        <f ca="1">$E83*(-SUMIF(INDIRECT(O$3),'Struktur Vorjahr'!$D83,INDIRECT(O$4))+SUMIF(INDIRECT(O$3),'Struktur Vorjahr'!$D83,INDIRECT(O$5)))</f>
        <v>0</v>
      </c>
      <c r="P83" s="593">
        <f ca="1">$E83*(-SUMIF(INDIRECT(P$3),'Struktur Vorjahr'!$D83,INDIRECT(P$4))+SUMIF(INDIRECT(P$3),'Struktur Vorjahr'!$D83,INDIRECT(P$5)))</f>
        <v>0</v>
      </c>
      <c r="Q83" s="593">
        <f ca="1">$E83*(-SUMIF(INDIRECT(Q$3),'Struktur Vorjahr'!$D83,INDIRECT(Q$4))+SUMIF(INDIRECT(Q$3),'Struktur Vorjahr'!$D83,INDIRECT(Q$5)))</f>
        <v>0</v>
      </c>
      <c r="R83" s="593">
        <f ca="1">$E83*(-SUMIF(INDIRECT(R$3),'Struktur Vorjahr'!$D83,INDIRECT(R$4))+SUMIF(INDIRECT(R$3),'Struktur Vorjahr'!$D83,INDIRECT(R$5)))</f>
        <v>0</v>
      </c>
      <c r="S83" s="593">
        <f ca="1">$E83*(-SUMIF(INDIRECT(S$3),'Struktur Vorjahr'!$D83,INDIRECT(S$4))+SUMIF(INDIRECT(S$3),'Struktur Vorjahr'!$D83,INDIRECT(S$5)))</f>
        <v>0</v>
      </c>
      <c r="T83" s="593">
        <f ca="1">$E83*(-SUMIF(INDIRECT(T$3),'Struktur Vorjahr'!$D83,INDIRECT(T$4))+SUMIF(INDIRECT(T$3),'Struktur Vorjahr'!$D83,INDIRECT(T$5)))</f>
        <v>0</v>
      </c>
      <c r="U83" s="593">
        <f ca="1">$E83*(-SUMIF(INDIRECT(U$3),'Struktur Vorjahr'!$D83,INDIRECT(U$4))+SUMIF(INDIRECT(U$3),'Struktur Vorjahr'!$D83,INDIRECT(U$5)))</f>
        <v>0</v>
      </c>
      <c r="V83" s="593">
        <f ca="1">$E83*(-SUMIF(INDIRECT(V$3),'Struktur Vorjahr'!$D83,INDIRECT(V$4))+SUMIF(INDIRECT(V$3),'Struktur Vorjahr'!$D83,INDIRECT(V$5)))</f>
        <v>0</v>
      </c>
      <c r="W83" s="593">
        <f ca="1">$E83*(-SUMIF(INDIRECT(W$3),'Struktur Vorjahr'!$D83,INDIRECT(W$4))+SUMIF(INDIRECT(W$3),'Struktur Vorjahr'!$D83,INDIRECT(W$5)))</f>
        <v>0</v>
      </c>
      <c r="X83" s="593">
        <f ca="1">$E83*(-SUMIF(INDIRECT(X$3),'Struktur Vorjahr'!$D83,INDIRECT(X$4))+SUMIF(INDIRECT(X$3),'Struktur Vorjahr'!$D83,INDIRECT(X$5)))</f>
        <v>0</v>
      </c>
      <c r="Y83" s="593">
        <f ca="1">$E83*(-SUMIF(INDIRECT(Y$3),'Struktur Vorjahr'!$D83,INDIRECT(Y$4))+SUMIF(INDIRECT(Y$3),'Struktur Vorjahr'!$D83,INDIRECT(Y$5)))</f>
        <v>0</v>
      </c>
      <c r="Z83" s="593">
        <f ca="1">$E83*(-SUMIF(INDIRECT(Z$3),'Struktur Vorjahr'!$D83,INDIRECT(Z$4))+SUMIF(INDIRECT(Z$3),'Struktur Vorjahr'!$D83,INDIRECT(Z$5)))</f>
        <v>0</v>
      </c>
      <c r="AA83" s="593">
        <f ca="1">$E83*(-SUMIF(INDIRECT(AA$3),'Struktur Vorjahr'!$D83,INDIRECT(AA$4))+SUMIF(INDIRECT(AA$3),'Struktur Vorjahr'!$D83,INDIRECT(AA$5)))</f>
        <v>0</v>
      </c>
      <c r="AB83" s="593">
        <f ca="1">$E83*(-SUMIF(INDIRECT(AB$3),'Struktur Vorjahr'!$D83,INDIRECT(AB$4))+SUMIF(INDIRECT(AB$3),'Struktur Vorjahr'!$D83,INDIRECT(AB$5)))</f>
        <v>0</v>
      </c>
      <c r="AC83" s="593">
        <f ca="1">$E83*(-SUMIF(INDIRECT(AC$3),'Struktur Vorjahr'!$D83,INDIRECT(AC$4))+SUMIF(INDIRECT(AC$3),'Struktur Vorjahr'!$D83,INDIRECT(AC$5)))</f>
        <v>0</v>
      </c>
      <c r="AD83" s="593">
        <f ca="1">$E83*(-SUMIF(INDIRECT(AD$3),'Struktur Vorjahr'!$D83,INDIRECT(AD$4))+SUMIF(INDIRECT(AD$3),'Struktur Vorjahr'!$D83,INDIRECT(AD$5)))</f>
        <v>0</v>
      </c>
      <c r="AE83" s="593">
        <f t="shared" ca="1" si="44"/>
        <v>0</v>
      </c>
      <c r="AF83" s="593">
        <f t="shared" ca="1" si="45"/>
        <v>0</v>
      </c>
      <c r="AG83" s="593">
        <f t="shared" ca="1" si="45"/>
        <v>0</v>
      </c>
      <c r="AH83" s="593">
        <f t="shared" ca="1" si="45"/>
        <v>0</v>
      </c>
      <c r="AI83" s="593">
        <f t="shared" ca="1" si="45"/>
        <v>0</v>
      </c>
      <c r="AJ83" s="593">
        <f t="shared" ca="1" si="45"/>
        <v>0</v>
      </c>
      <c r="AK83" s="593">
        <f t="shared" ca="1" si="45"/>
        <v>0</v>
      </c>
      <c r="AL83" s="593">
        <f t="shared" ca="1" si="45"/>
        <v>0</v>
      </c>
      <c r="AM83" s="593">
        <f t="shared" ca="1" si="45"/>
        <v>0</v>
      </c>
      <c r="AN83" s="593">
        <f t="shared" ca="1" si="45"/>
        <v>0</v>
      </c>
      <c r="AO83" s="593">
        <f t="shared" ca="1" si="45"/>
        <v>0</v>
      </c>
      <c r="AP83" s="593">
        <f t="shared" ca="1" si="45"/>
        <v>0</v>
      </c>
    </row>
    <row r="84" spans="1:42" s="594" customFormat="1" ht="11.25" outlineLevel="1" x14ac:dyDescent="0.2">
      <c r="A84" s="599"/>
      <c r="B84" s="591" t="str">
        <f>IF(D84&lt;&gt;"",
IF(ISERROR(MATCH(D84,'Ist Vorjahr Monat 01'!A:A,0))=FALSE,INDEX('Ist Vorjahr Monat 01'!B:B,MATCH(D84,'Ist Vorjahr Monat 01'!A:A,0)),
IF(ISERROR(MATCH(D84,'Ist Vorjahr Monat 02'!A:A,0))=FALSE,INDEX('Ist Vorjahr Monat 02'!B:B,MATCH(D84,'Ist Vorjahr Monat 02'!A:A,0)),
IF(ISERROR(MATCH(D84,'Ist Vorjahr Monat 03'!A:A,0))=FALSE,INDEX('Ist Vorjahr Monat 03'!B:B,MATCH(D84,'Ist Vorjahr Monat 03'!A:A,0)),
IF(ISERROR(MATCH(D84,'Ist Vorjahr Monat 04'!A:A,0))=FALSE,INDEX('Ist Vorjahr Monat 04'!B:B,MATCH(D84,'Ist Vorjahr Monat 04'!A:A,0)),
IF(ISERROR(MATCH(D84,'Ist Vorjahr Monat 05'!A:A,0))=FALSE,INDEX('Ist Vorjahr Monat 05'!B:B,MATCH(D84,'Ist Vorjahr Monat 05'!A:A,0)),
IF(ISERROR(MATCH(D84,'Ist Vorjahr Monat 06'!A:A,0))=FALSE,INDEX('Ist Vorjahr Monat 06'!B:B,MATCH(D84,'Ist Vorjahr Monat 06'!A:A,0)),
IF(ISERROR(MATCH(D84,'Ist Vorjahr Monat 07'!A:A,0))=FALSE,INDEX('Ist Vorjahr Monat 07'!B:B,MATCH(D84,'Ist Vorjahr Monat 07'!A:A,0)),
IF(ISERROR(MATCH(D84,'Ist Vorjahr Monat 08'!A:A,0))=FALSE,INDEX('Ist Vorjahr Monat 08'!B:B,MATCH(D84,'Ist Vorjahr Monat 08'!A:A,0)),
IF(ISERROR(MATCH(D84,'Ist Vorjahr Monat 09'!A:A,0))=FALSE,INDEX('Ist Vorjahr Monat 09'!B:B,MATCH(D84,'Ist Vorjahr Monat 09'!A:A,0)),
IF(ISERROR(MATCH(D84,'Ist Vorjahr Monat 10'!A:A,0))=FALSE,INDEX('Ist Vorjahr Monat 10'!B:B,MATCH(D84,'Ist Vorjahr Monat 10'!A:A,0)),
IF(ISERROR(MATCH(D84,'Ist Vorjahr Monat 11'!A:A,0))=FALSE,INDEX('Ist Vorjahr Monat 11'!B:B,MATCH(D84,'Ist Vorjahr Monat 11'!A:A,0)),
IF(ISERROR(MATCH(D84,'Ist Vorjahr Monat 12'!A:A,0))=FALSE,INDEX('Ist Vorjahr Monat 12'!B:B,MATCH(D84,'Ist Vorjahr Monat 12'!A:A,0)),
"{Konto unbekannt}"
)))))))))))),"")</f>
        <v/>
      </c>
      <c r="C84" s="591"/>
      <c r="D84" s="590"/>
      <c r="E84" s="592">
        <f t="shared" si="34"/>
        <v>1</v>
      </c>
      <c r="F84" s="599"/>
      <c r="G84" s="593">
        <f ca="1">$E84*(-SUMIF(INDIRECT(G$3),'Struktur Vorjahr'!$D84,INDIRECT(G$4))+SUMIF(INDIRECT(G$3),'Struktur Vorjahr'!$D84,INDIRECT(G$5)))</f>
        <v>0</v>
      </c>
      <c r="H84" s="593">
        <f ca="1">$E84*(-SUMIF(INDIRECT(H$3),'Struktur Vorjahr'!$D84,INDIRECT(H$4))+SUMIF(INDIRECT(H$3),'Struktur Vorjahr'!$D84,INDIRECT(H$5)))</f>
        <v>0</v>
      </c>
      <c r="I84" s="593">
        <f ca="1">$E84*(-SUMIF(INDIRECT(I$3),'Struktur Vorjahr'!$D84,INDIRECT(I$4))+SUMIF(INDIRECT(I$3),'Struktur Vorjahr'!$D84,INDIRECT(I$5)))</f>
        <v>0</v>
      </c>
      <c r="J84" s="593">
        <f ca="1">$E84*(-SUMIF(INDIRECT(J$3),'Struktur Vorjahr'!$D84,INDIRECT(J$4))+SUMIF(INDIRECT(J$3),'Struktur Vorjahr'!$D84,INDIRECT(J$5)))</f>
        <v>0</v>
      </c>
      <c r="K84" s="593">
        <f ca="1">$E84*(-SUMIF(INDIRECT(K$3),'Struktur Vorjahr'!$D84,INDIRECT(K$4))+SUMIF(INDIRECT(K$3),'Struktur Vorjahr'!$D84,INDIRECT(K$5)))</f>
        <v>0</v>
      </c>
      <c r="L84" s="593">
        <f ca="1">$E84*(-SUMIF(INDIRECT(L$3),'Struktur Vorjahr'!$D84,INDIRECT(L$4))+SUMIF(INDIRECT(L$3),'Struktur Vorjahr'!$D84,INDIRECT(L$5)))</f>
        <v>0</v>
      </c>
      <c r="M84" s="593">
        <f ca="1">$E84*(-SUMIF(INDIRECT(M$3),'Struktur Vorjahr'!$D84,INDIRECT(M$4))+SUMIF(INDIRECT(M$3),'Struktur Vorjahr'!$D84,INDIRECT(M$5)))</f>
        <v>0</v>
      </c>
      <c r="N84" s="593">
        <f ca="1">$E84*(-SUMIF(INDIRECT(N$3),'Struktur Vorjahr'!$D84,INDIRECT(N$4))+SUMIF(INDIRECT(N$3),'Struktur Vorjahr'!$D84,INDIRECT(N$5)))</f>
        <v>0</v>
      </c>
      <c r="O84" s="593">
        <f ca="1">$E84*(-SUMIF(INDIRECT(O$3),'Struktur Vorjahr'!$D84,INDIRECT(O$4))+SUMIF(INDIRECT(O$3),'Struktur Vorjahr'!$D84,INDIRECT(O$5)))</f>
        <v>0</v>
      </c>
      <c r="P84" s="593">
        <f ca="1">$E84*(-SUMIF(INDIRECT(P$3),'Struktur Vorjahr'!$D84,INDIRECT(P$4))+SUMIF(INDIRECT(P$3),'Struktur Vorjahr'!$D84,INDIRECT(P$5)))</f>
        <v>0</v>
      </c>
      <c r="Q84" s="593">
        <f ca="1">$E84*(-SUMIF(INDIRECT(Q$3),'Struktur Vorjahr'!$D84,INDIRECT(Q$4))+SUMIF(INDIRECT(Q$3),'Struktur Vorjahr'!$D84,INDIRECT(Q$5)))</f>
        <v>0</v>
      </c>
      <c r="R84" s="593">
        <f ca="1">$E84*(-SUMIF(INDIRECT(R$3),'Struktur Vorjahr'!$D84,INDIRECT(R$4))+SUMIF(INDIRECT(R$3),'Struktur Vorjahr'!$D84,INDIRECT(R$5)))</f>
        <v>0</v>
      </c>
      <c r="S84" s="593">
        <f ca="1">$E84*(-SUMIF(INDIRECT(S$3),'Struktur Vorjahr'!$D84,INDIRECT(S$4))+SUMIF(INDIRECT(S$3),'Struktur Vorjahr'!$D84,INDIRECT(S$5)))</f>
        <v>0</v>
      </c>
      <c r="T84" s="593">
        <f ca="1">$E84*(-SUMIF(INDIRECT(T$3),'Struktur Vorjahr'!$D84,INDIRECT(T$4))+SUMIF(INDIRECT(T$3),'Struktur Vorjahr'!$D84,INDIRECT(T$5)))</f>
        <v>0</v>
      </c>
      <c r="U84" s="593">
        <f ca="1">$E84*(-SUMIF(INDIRECT(U$3),'Struktur Vorjahr'!$D84,INDIRECT(U$4))+SUMIF(INDIRECT(U$3),'Struktur Vorjahr'!$D84,INDIRECT(U$5)))</f>
        <v>0</v>
      </c>
      <c r="V84" s="593">
        <f ca="1">$E84*(-SUMIF(INDIRECT(V$3),'Struktur Vorjahr'!$D84,INDIRECT(V$4))+SUMIF(INDIRECT(V$3),'Struktur Vorjahr'!$D84,INDIRECT(V$5)))</f>
        <v>0</v>
      </c>
      <c r="W84" s="593">
        <f ca="1">$E84*(-SUMIF(INDIRECT(W$3),'Struktur Vorjahr'!$D84,INDIRECT(W$4))+SUMIF(INDIRECT(W$3),'Struktur Vorjahr'!$D84,INDIRECT(W$5)))</f>
        <v>0</v>
      </c>
      <c r="X84" s="593">
        <f ca="1">$E84*(-SUMIF(INDIRECT(X$3),'Struktur Vorjahr'!$D84,INDIRECT(X$4))+SUMIF(INDIRECT(X$3),'Struktur Vorjahr'!$D84,INDIRECT(X$5)))</f>
        <v>0</v>
      </c>
      <c r="Y84" s="593">
        <f ca="1">$E84*(-SUMIF(INDIRECT(Y$3),'Struktur Vorjahr'!$D84,INDIRECT(Y$4))+SUMIF(INDIRECT(Y$3),'Struktur Vorjahr'!$D84,INDIRECT(Y$5)))</f>
        <v>0</v>
      </c>
      <c r="Z84" s="593">
        <f ca="1">$E84*(-SUMIF(INDIRECT(Z$3),'Struktur Vorjahr'!$D84,INDIRECT(Z$4))+SUMIF(INDIRECT(Z$3),'Struktur Vorjahr'!$D84,INDIRECT(Z$5)))</f>
        <v>0</v>
      </c>
      <c r="AA84" s="593">
        <f ca="1">$E84*(-SUMIF(INDIRECT(AA$3),'Struktur Vorjahr'!$D84,INDIRECT(AA$4))+SUMIF(INDIRECT(AA$3),'Struktur Vorjahr'!$D84,INDIRECT(AA$5)))</f>
        <v>0</v>
      </c>
      <c r="AB84" s="593">
        <f ca="1">$E84*(-SUMIF(INDIRECT(AB$3),'Struktur Vorjahr'!$D84,INDIRECT(AB$4))+SUMIF(INDIRECT(AB$3),'Struktur Vorjahr'!$D84,INDIRECT(AB$5)))</f>
        <v>0</v>
      </c>
      <c r="AC84" s="593">
        <f ca="1">$E84*(-SUMIF(INDIRECT(AC$3),'Struktur Vorjahr'!$D84,INDIRECT(AC$4))+SUMIF(INDIRECT(AC$3),'Struktur Vorjahr'!$D84,INDIRECT(AC$5)))</f>
        <v>0</v>
      </c>
      <c r="AD84" s="593">
        <f ca="1">$E84*(-SUMIF(INDIRECT(AD$3),'Struktur Vorjahr'!$D84,INDIRECT(AD$4))+SUMIF(INDIRECT(AD$3),'Struktur Vorjahr'!$D84,INDIRECT(AD$5)))</f>
        <v>0</v>
      </c>
      <c r="AE84" s="593">
        <f t="shared" ca="1" si="44"/>
        <v>0</v>
      </c>
      <c r="AF84" s="593">
        <f t="shared" ca="1" si="45"/>
        <v>0</v>
      </c>
      <c r="AG84" s="593">
        <f t="shared" ca="1" si="45"/>
        <v>0</v>
      </c>
      <c r="AH84" s="593">
        <f t="shared" ca="1" si="45"/>
        <v>0</v>
      </c>
      <c r="AI84" s="593">
        <f t="shared" ca="1" si="45"/>
        <v>0</v>
      </c>
      <c r="AJ84" s="593">
        <f t="shared" ca="1" si="45"/>
        <v>0</v>
      </c>
      <c r="AK84" s="593">
        <f t="shared" ca="1" si="45"/>
        <v>0</v>
      </c>
      <c r="AL84" s="593">
        <f t="shared" ca="1" si="45"/>
        <v>0</v>
      </c>
      <c r="AM84" s="593">
        <f t="shared" ca="1" si="45"/>
        <v>0</v>
      </c>
      <c r="AN84" s="593">
        <f t="shared" ca="1" si="45"/>
        <v>0</v>
      </c>
      <c r="AO84" s="593">
        <f t="shared" ca="1" si="45"/>
        <v>0</v>
      </c>
      <c r="AP84" s="593">
        <f t="shared" ca="1" si="45"/>
        <v>0</v>
      </c>
    </row>
    <row r="85" spans="1:42" s="594" customFormat="1" ht="11.25" outlineLevel="1" x14ac:dyDescent="0.2">
      <c r="A85" s="599"/>
      <c r="B85" s="591" t="str">
        <f>IF(D85&lt;&gt;"",
IF(ISERROR(MATCH(D85,'Ist Vorjahr Monat 01'!A:A,0))=FALSE,INDEX('Ist Vorjahr Monat 01'!B:B,MATCH(D85,'Ist Vorjahr Monat 01'!A:A,0)),
IF(ISERROR(MATCH(D85,'Ist Vorjahr Monat 02'!A:A,0))=FALSE,INDEX('Ist Vorjahr Monat 02'!B:B,MATCH(D85,'Ist Vorjahr Monat 02'!A:A,0)),
IF(ISERROR(MATCH(D85,'Ist Vorjahr Monat 03'!A:A,0))=FALSE,INDEX('Ist Vorjahr Monat 03'!B:B,MATCH(D85,'Ist Vorjahr Monat 03'!A:A,0)),
IF(ISERROR(MATCH(D85,'Ist Vorjahr Monat 04'!A:A,0))=FALSE,INDEX('Ist Vorjahr Monat 04'!B:B,MATCH(D85,'Ist Vorjahr Monat 04'!A:A,0)),
IF(ISERROR(MATCH(D85,'Ist Vorjahr Monat 05'!A:A,0))=FALSE,INDEX('Ist Vorjahr Monat 05'!B:B,MATCH(D85,'Ist Vorjahr Monat 05'!A:A,0)),
IF(ISERROR(MATCH(D85,'Ist Vorjahr Monat 06'!A:A,0))=FALSE,INDEX('Ist Vorjahr Monat 06'!B:B,MATCH(D85,'Ist Vorjahr Monat 06'!A:A,0)),
IF(ISERROR(MATCH(D85,'Ist Vorjahr Monat 07'!A:A,0))=FALSE,INDEX('Ist Vorjahr Monat 07'!B:B,MATCH(D85,'Ist Vorjahr Monat 07'!A:A,0)),
IF(ISERROR(MATCH(D85,'Ist Vorjahr Monat 08'!A:A,0))=FALSE,INDEX('Ist Vorjahr Monat 08'!B:B,MATCH(D85,'Ist Vorjahr Monat 08'!A:A,0)),
IF(ISERROR(MATCH(D85,'Ist Vorjahr Monat 09'!A:A,0))=FALSE,INDEX('Ist Vorjahr Monat 09'!B:B,MATCH(D85,'Ist Vorjahr Monat 09'!A:A,0)),
IF(ISERROR(MATCH(D85,'Ist Vorjahr Monat 10'!A:A,0))=FALSE,INDEX('Ist Vorjahr Monat 10'!B:B,MATCH(D85,'Ist Vorjahr Monat 10'!A:A,0)),
IF(ISERROR(MATCH(D85,'Ist Vorjahr Monat 11'!A:A,0))=FALSE,INDEX('Ist Vorjahr Monat 11'!B:B,MATCH(D85,'Ist Vorjahr Monat 11'!A:A,0)),
IF(ISERROR(MATCH(D85,'Ist Vorjahr Monat 12'!A:A,0))=FALSE,INDEX('Ist Vorjahr Monat 12'!B:B,MATCH(D85,'Ist Vorjahr Monat 12'!A:A,0)),
"{Konto unbekannt}"
)))))))))))),"")</f>
        <v/>
      </c>
      <c r="C85" s="591"/>
      <c r="D85" s="590"/>
      <c r="E85" s="592">
        <f t="shared" si="34"/>
        <v>1</v>
      </c>
      <c r="F85" s="599"/>
      <c r="G85" s="593">
        <f ca="1">$E85*(-SUMIF(INDIRECT(G$3),'Struktur Vorjahr'!$D85,INDIRECT(G$4))+SUMIF(INDIRECT(G$3),'Struktur Vorjahr'!$D85,INDIRECT(G$5)))</f>
        <v>0</v>
      </c>
      <c r="H85" s="593">
        <f ca="1">$E85*(-SUMIF(INDIRECT(H$3),'Struktur Vorjahr'!$D85,INDIRECT(H$4))+SUMIF(INDIRECT(H$3),'Struktur Vorjahr'!$D85,INDIRECT(H$5)))</f>
        <v>0</v>
      </c>
      <c r="I85" s="593">
        <f ca="1">$E85*(-SUMIF(INDIRECT(I$3),'Struktur Vorjahr'!$D85,INDIRECT(I$4))+SUMIF(INDIRECT(I$3),'Struktur Vorjahr'!$D85,INDIRECT(I$5)))</f>
        <v>0</v>
      </c>
      <c r="J85" s="593">
        <f ca="1">$E85*(-SUMIF(INDIRECT(J$3),'Struktur Vorjahr'!$D85,INDIRECT(J$4))+SUMIF(INDIRECT(J$3),'Struktur Vorjahr'!$D85,INDIRECT(J$5)))</f>
        <v>0</v>
      </c>
      <c r="K85" s="593">
        <f ca="1">$E85*(-SUMIF(INDIRECT(K$3),'Struktur Vorjahr'!$D85,INDIRECT(K$4))+SUMIF(INDIRECT(K$3),'Struktur Vorjahr'!$D85,INDIRECT(K$5)))</f>
        <v>0</v>
      </c>
      <c r="L85" s="593">
        <f ca="1">$E85*(-SUMIF(INDIRECT(L$3),'Struktur Vorjahr'!$D85,INDIRECT(L$4))+SUMIF(INDIRECT(L$3),'Struktur Vorjahr'!$D85,INDIRECT(L$5)))</f>
        <v>0</v>
      </c>
      <c r="M85" s="593">
        <f ca="1">$E85*(-SUMIF(INDIRECT(M$3),'Struktur Vorjahr'!$D85,INDIRECT(M$4))+SUMIF(INDIRECT(M$3),'Struktur Vorjahr'!$D85,INDIRECT(M$5)))</f>
        <v>0</v>
      </c>
      <c r="N85" s="593">
        <f ca="1">$E85*(-SUMIF(INDIRECT(N$3),'Struktur Vorjahr'!$D85,INDIRECT(N$4))+SUMIF(INDIRECT(N$3),'Struktur Vorjahr'!$D85,INDIRECT(N$5)))</f>
        <v>0</v>
      </c>
      <c r="O85" s="593">
        <f ca="1">$E85*(-SUMIF(INDIRECT(O$3),'Struktur Vorjahr'!$D85,INDIRECT(O$4))+SUMIF(INDIRECT(O$3),'Struktur Vorjahr'!$D85,INDIRECT(O$5)))</f>
        <v>0</v>
      </c>
      <c r="P85" s="593">
        <f ca="1">$E85*(-SUMIF(INDIRECT(P$3),'Struktur Vorjahr'!$D85,INDIRECT(P$4))+SUMIF(INDIRECT(P$3),'Struktur Vorjahr'!$D85,INDIRECT(P$5)))</f>
        <v>0</v>
      </c>
      <c r="Q85" s="593">
        <f ca="1">$E85*(-SUMIF(INDIRECT(Q$3),'Struktur Vorjahr'!$D85,INDIRECT(Q$4))+SUMIF(INDIRECT(Q$3),'Struktur Vorjahr'!$D85,INDIRECT(Q$5)))</f>
        <v>0</v>
      </c>
      <c r="R85" s="593">
        <f ca="1">$E85*(-SUMIF(INDIRECT(R$3),'Struktur Vorjahr'!$D85,INDIRECT(R$4))+SUMIF(INDIRECT(R$3),'Struktur Vorjahr'!$D85,INDIRECT(R$5)))</f>
        <v>0</v>
      </c>
      <c r="S85" s="593">
        <f ca="1">$E85*(-SUMIF(INDIRECT(S$3),'Struktur Vorjahr'!$D85,INDIRECT(S$4))+SUMIF(INDIRECT(S$3),'Struktur Vorjahr'!$D85,INDIRECT(S$5)))</f>
        <v>0</v>
      </c>
      <c r="T85" s="593">
        <f ca="1">$E85*(-SUMIF(INDIRECT(T$3),'Struktur Vorjahr'!$D85,INDIRECT(T$4))+SUMIF(INDIRECT(T$3),'Struktur Vorjahr'!$D85,INDIRECT(T$5)))</f>
        <v>0</v>
      </c>
      <c r="U85" s="593">
        <f ca="1">$E85*(-SUMIF(INDIRECT(U$3),'Struktur Vorjahr'!$D85,INDIRECT(U$4))+SUMIF(INDIRECT(U$3),'Struktur Vorjahr'!$D85,INDIRECT(U$5)))</f>
        <v>0</v>
      </c>
      <c r="V85" s="593">
        <f ca="1">$E85*(-SUMIF(INDIRECT(V$3),'Struktur Vorjahr'!$D85,INDIRECT(V$4))+SUMIF(INDIRECT(V$3),'Struktur Vorjahr'!$D85,INDIRECT(V$5)))</f>
        <v>0</v>
      </c>
      <c r="W85" s="593">
        <f ca="1">$E85*(-SUMIF(INDIRECT(W$3),'Struktur Vorjahr'!$D85,INDIRECT(W$4))+SUMIF(INDIRECT(W$3),'Struktur Vorjahr'!$D85,INDIRECT(W$5)))</f>
        <v>0</v>
      </c>
      <c r="X85" s="593">
        <f ca="1">$E85*(-SUMIF(INDIRECT(X$3),'Struktur Vorjahr'!$D85,INDIRECT(X$4))+SUMIF(INDIRECT(X$3),'Struktur Vorjahr'!$D85,INDIRECT(X$5)))</f>
        <v>0</v>
      </c>
      <c r="Y85" s="593">
        <f ca="1">$E85*(-SUMIF(INDIRECT(Y$3),'Struktur Vorjahr'!$D85,INDIRECT(Y$4))+SUMIF(INDIRECT(Y$3),'Struktur Vorjahr'!$D85,INDIRECT(Y$5)))</f>
        <v>0</v>
      </c>
      <c r="Z85" s="593">
        <f ca="1">$E85*(-SUMIF(INDIRECT(Z$3),'Struktur Vorjahr'!$D85,INDIRECT(Z$4))+SUMIF(INDIRECT(Z$3),'Struktur Vorjahr'!$D85,INDIRECT(Z$5)))</f>
        <v>0</v>
      </c>
      <c r="AA85" s="593">
        <f ca="1">$E85*(-SUMIF(INDIRECT(AA$3),'Struktur Vorjahr'!$D85,INDIRECT(AA$4))+SUMIF(INDIRECT(AA$3),'Struktur Vorjahr'!$D85,INDIRECT(AA$5)))</f>
        <v>0</v>
      </c>
      <c r="AB85" s="593">
        <f ca="1">$E85*(-SUMIF(INDIRECT(AB$3),'Struktur Vorjahr'!$D85,INDIRECT(AB$4))+SUMIF(INDIRECT(AB$3),'Struktur Vorjahr'!$D85,INDIRECT(AB$5)))</f>
        <v>0</v>
      </c>
      <c r="AC85" s="593">
        <f ca="1">$E85*(-SUMIF(INDIRECT(AC$3),'Struktur Vorjahr'!$D85,INDIRECT(AC$4))+SUMIF(INDIRECT(AC$3),'Struktur Vorjahr'!$D85,INDIRECT(AC$5)))</f>
        <v>0</v>
      </c>
      <c r="AD85" s="593">
        <f ca="1">$E85*(-SUMIF(INDIRECT(AD$3),'Struktur Vorjahr'!$D85,INDIRECT(AD$4))+SUMIF(INDIRECT(AD$3),'Struktur Vorjahr'!$D85,INDIRECT(AD$5)))</f>
        <v>0</v>
      </c>
      <c r="AE85" s="593">
        <f t="shared" ca="1" si="44"/>
        <v>0</v>
      </c>
      <c r="AF85" s="593">
        <f t="shared" ca="1" si="45"/>
        <v>0</v>
      </c>
      <c r="AG85" s="593">
        <f t="shared" ca="1" si="45"/>
        <v>0</v>
      </c>
      <c r="AH85" s="593">
        <f t="shared" ca="1" si="45"/>
        <v>0</v>
      </c>
      <c r="AI85" s="593">
        <f t="shared" ca="1" si="45"/>
        <v>0</v>
      </c>
      <c r="AJ85" s="593">
        <f t="shared" ca="1" si="45"/>
        <v>0</v>
      </c>
      <c r="AK85" s="593">
        <f t="shared" ca="1" si="45"/>
        <v>0</v>
      </c>
      <c r="AL85" s="593">
        <f t="shared" ca="1" si="45"/>
        <v>0</v>
      </c>
      <c r="AM85" s="593">
        <f t="shared" ca="1" si="45"/>
        <v>0</v>
      </c>
      <c r="AN85" s="593">
        <f t="shared" ca="1" si="45"/>
        <v>0</v>
      </c>
      <c r="AO85" s="593">
        <f t="shared" ca="1" si="45"/>
        <v>0</v>
      </c>
      <c r="AP85" s="593">
        <f t="shared" ca="1" si="45"/>
        <v>0</v>
      </c>
    </row>
    <row r="86" spans="1:42" s="594" customFormat="1" ht="11.25" outlineLevel="1" x14ac:dyDescent="0.2">
      <c r="A86" s="599"/>
      <c r="B86" s="591" t="str">
        <f>IF(D86&lt;&gt;"",
IF(ISERROR(MATCH(D86,'Ist Vorjahr Monat 01'!A:A,0))=FALSE,INDEX('Ist Vorjahr Monat 01'!B:B,MATCH(D86,'Ist Vorjahr Monat 01'!A:A,0)),
IF(ISERROR(MATCH(D86,'Ist Vorjahr Monat 02'!A:A,0))=FALSE,INDEX('Ist Vorjahr Monat 02'!B:B,MATCH(D86,'Ist Vorjahr Monat 02'!A:A,0)),
IF(ISERROR(MATCH(D86,'Ist Vorjahr Monat 03'!A:A,0))=FALSE,INDEX('Ist Vorjahr Monat 03'!B:B,MATCH(D86,'Ist Vorjahr Monat 03'!A:A,0)),
IF(ISERROR(MATCH(D86,'Ist Vorjahr Monat 04'!A:A,0))=FALSE,INDEX('Ist Vorjahr Monat 04'!B:B,MATCH(D86,'Ist Vorjahr Monat 04'!A:A,0)),
IF(ISERROR(MATCH(D86,'Ist Vorjahr Monat 05'!A:A,0))=FALSE,INDEX('Ist Vorjahr Monat 05'!B:B,MATCH(D86,'Ist Vorjahr Monat 05'!A:A,0)),
IF(ISERROR(MATCH(D86,'Ist Vorjahr Monat 06'!A:A,0))=FALSE,INDEX('Ist Vorjahr Monat 06'!B:B,MATCH(D86,'Ist Vorjahr Monat 06'!A:A,0)),
IF(ISERROR(MATCH(D86,'Ist Vorjahr Monat 07'!A:A,0))=FALSE,INDEX('Ist Vorjahr Monat 07'!B:B,MATCH(D86,'Ist Vorjahr Monat 07'!A:A,0)),
IF(ISERROR(MATCH(D86,'Ist Vorjahr Monat 08'!A:A,0))=FALSE,INDEX('Ist Vorjahr Monat 08'!B:B,MATCH(D86,'Ist Vorjahr Monat 08'!A:A,0)),
IF(ISERROR(MATCH(D86,'Ist Vorjahr Monat 09'!A:A,0))=FALSE,INDEX('Ist Vorjahr Monat 09'!B:B,MATCH(D86,'Ist Vorjahr Monat 09'!A:A,0)),
IF(ISERROR(MATCH(D86,'Ist Vorjahr Monat 10'!A:A,0))=FALSE,INDEX('Ist Vorjahr Monat 10'!B:B,MATCH(D86,'Ist Vorjahr Monat 10'!A:A,0)),
IF(ISERROR(MATCH(D86,'Ist Vorjahr Monat 11'!A:A,0))=FALSE,INDEX('Ist Vorjahr Monat 11'!B:B,MATCH(D86,'Ist Vorjahr Monat 11'!A:A,0)),
IF(ISERROR(MATCH(D86,'Ist Vorjahr Monat 12'!A:A,0))=FALSE,INDEX('Ist Vorjahr Monat 12'!B:B,MATCH(D86,'Ist Vorjahr Monat 12'!A:A,0)),
"{Konto unbekannt}"
)))))))))))),"")</f>
        <v/>
      </c>
      <c r="C86" s="591"/>
      <c r="D86" s="590"/>
      <c r="E86" s="592">
        <f t="shared" si="34"/>
        <v>1</v>
      </c>
      <c r="F86" s="599"/>
      <c r="G86" s="593">
        <f ca="1">$E86*(-SUMIF(INDIRECT(G$3),'Struktur Vorjahr'!$D86,INDIRECT(G$4))+SUMIF(INDIRECT(G$3),'Struktur Vorjahr'!$D86,INDIRECT(G$5)))</f>
        <v>0</v>
      </c>
      <c r="H86" s="593">
        <f ca="1">$E86*(-SUMIF(INDIRECT(H$3),'Struktur Vorjahr'!$D86,INDIRECT(H$4))+SUMIF(INDIRECT(H$3),'Struktur Vorjahr'!$D86,INDIRECT(H$5)))</f>
        <v>0</v>
      </c>
      <c r="I86" s="593">
        <f ca="1">$E86*(-SUMIF(INDIRECT(I$3),'Struktur Vorjahr'!$D86,INDIRECT(I$4))+SUMIF(INDIRECT(I$3),'Struktur Vorjahr'!$D86,INDIRECT(I$5)))</f>
        <v>0</v>
      </c>
      <c r="J86" s="593">
        <f ca="1">$E86*(-SUMIF(INDIRECT(J$3),'Struktur Vorjahr'!$D86,INDIRECT(J$4))+SUMIF(INDIRECT(J$3),'Struktur Vorjahr'!$D86,INDIRECT(J$5)))</f>
        <v>0</v>
      </c>
      <c r="K86" s="593">
        <f ca="1">$E86*(-SUMIF(INDIRECT(K$3),'Struktur Vorjahr'!$D86,INDIRECT(K$4))+SUMIF(INDIRECT(K$3),'Struktur Vorjahr'!$D86,INDIRECT(K$5)))</f>
        <v>0</v>
      </c>
      <c r="L86" s="593">
        <f ca="1">$E86*(-SUMIF(INDIRECT(L$3),'Struktur Vorjahr'!$D86,INDIRECT(L$4))+SUMIF(INDIRECT(L$3),'Struktur Vorjahr'!$D86,INDIRECT(L$5)))</f>
        <v>0</v>
      </c>
      <c r="M86" s="593">
        <f ca="1">$E86*(-SUMIF(INDIRECT(M$3),'Struktur Vorjahr'!$D86,INDIRECT(M$4))+SUMIF(INDIRECT(M$3),'Struktur Vorjahr'!$D86,INDIRECT(M$5)))</f>
        <v>0</v>
      </c>
      <c r="N86" s="593">
        <f ca="1">$E86*(-SUMIF(INDIRECT(N$3),'Struktur Vorjahr'!$D86,INDIRECT(N$4))+SUMIF(INDIRECT(N$3),'Struktur Vorjahr'!$D86,INDIRECT(N$5)))</f>
        <v>0</v>
      </c>
      <c r="O86" s="593">
        <f ca="1">$E86*(-SUMIF(INDIRECT(O$3),'Struktur Vorjahr'!$D86,INDIRECT(O$4))+SUMIF(INDIRECT(O$3),'Struktur Vorjahr'!$D86,INDIRECT(O$5)))</f>
        <v>0</v>
      </c>
      <c r="P86" s="593">
        <f ca="1">$E86*(-SUMIF(INDIRECT(P$3),'Struktur Vorjahr'!$D86,INDIRECT(P$4))+SUMIF(INDIRECT(P$3),'Struktur Vorjahr'!$D86,INDIRECT(P$5)))</f>
        <v>0</v>
      </c>
      <c r="Q86" s="593">
        <f ca="1">$E86*(-SUMIF(INDIRECT(Q$3),'Struktur Vorjahr'!$D86,INDIRECT(Q$4))+SUMIF(INDIRECT(Q$3),'Struktur Vorjahr'!$D86,INDIRECT(Q$5)))</f>
        <v>0</v>
      </c>
      <c r="R86" s="593">
        <f ca="1">$E86*(-SUMIF(INDIRECT(R$3),'Struktur Vorjahr'!$D86,INDIRECT(R$4))+SUMIF(INDIRECT(R$3),'Struktur Vorjahr'!$D86,INDIRECT(R$5)))</f>
        <v>0</v>
      </c>
      <c r="S86" s="593">
        <f ca="1">$E86*(-SUMIF(INDIRECT(S$3),'Struktur Vorjahr'!$D86,INDIRECT(S$4))+SUMIF(INDIRECT(S$3),'Struktur Vorjahr'!$D86,INDIRECT(S$5)))</f>
        <v>0</v>
      </c>
      <c r="T86" s="593">
        <f ca="1">$E86*(-SUMIF(INDIRECT(T$3),'Struktur Vorjahr'!$D86,INDIRECT(T$4))+SUMIF(INDIRECT(T$3),'Struktur Vorjahr'!$D86,INDIRECT(T$5)))</f>
        <v>0</v>
      </c>
      <c r="U86" s="593">
        <f ca="1">$E86*(-SUMIF(INDIRECT(U$3),'Struktur Vorjahr'!$D86,INDIRECT(U$4))+SUMIF(INDIRECT(U$3),'Struktur Vorjahr'!$D86,INDIRECT(U$5)))</f>
        <v>0</v>
      </c>
      <c r="V86" s="593">
        <f ca="1">$E86*(-SUMIF(INDIRECT(V$3),'Struktur Vorjahr'!$D86,INDIRECT(V$4))+SUMIF(INDIRECT(V$3),'Struktur Vorjahr'!$D86,INDIRECT(V$5)))</f>
        <v>0</v>
      </c>
      <c r="W86" s="593">
        <f ca="1">$E86*(-SUMIF(INDIRECT(W$3),'Struktur Vorjahr'!$D86,INDIRECT(W$4))+SUMIF(INDIRECT(W$3),'Struktur Vorjahr'!$D86,INDIRECT(W$5)))</f>
        <v>0</v>
      </c>
      <c r="X86" s="593">
        <f ca="1">$E86*(-SUMIF(INDIRECT(X$3),'Struktur Vorjahr'!$D86,INDIRECT(X$4))+SUMIF(INDIRECT(X$3),'Struktur Vorjahr'!$D86,INDIRECT(X$5)))</f>
        <v>0</v>
      </c>
      <c r="Y86" s="593">
        <f ca="1">$E86*(-SUMIF(INDIRECT(Y$3),'Struktur Vorjahr'!$D86,INDIRECT(Y$4))+SUMIF(INDIRECT(Y$3),'Struktur Vorjahr'!$D86,INDIRECT(Y$5)))</f>
        <v>0</v>
      </c>
      <c r="Z86" s="593">
        <f ca="1">$E86*(-SUMIF(INDIRECT(Z$3),'Struktur Vorjahr'!$D86,INDIRECT(Z$4))+SUMIF(INDIRECT(Z$3),'Struktur Vorjahr'!$D86,INDIRECT(Z$5)))</f>
        <v>0</v>
      </c>
      <c r="AA86" s="593">
        <f ca="1">$E86*(-SUMIF(INDIRECT(AA$3),'Struktur Vorjahr'!$D86,INDIRECT(AA$4))+SUMIF(INDIRECT(AA$3),'Struktur Vorjahr'!$D86,INDIRECT(AA$5)))</f>
        <v>0</v>
      </c>
      <c r="AB86" s="593">
        <f ca="1">$E86*(-SUMIF(INDIRECT(AB$3),'Struktur Vorjahr'!$D86,INDIRECT(AB$4))+SUMIF(INDIRECT(AB$3),'Struktur Vorjahr'!$D86,INDIRECT(AB$5)))</f>
        <v>0</v>
      </c>
      <c r="AC86" s="593">
        <f ca="1">$E86*(-SUMIF(INDIRECT(AC$3),'Struktur Vorjahr'!$D86,INDIRECT(AC$4))+SUMIF(INDIRECT(AC$3),'Struktur Vorjahr'!$D86,INDIRECT(AC$5)))</f>
        <v>0</v>
      </c>
      <c r="AD86" s="593">
        <f ca="1">$E86*(-SUMIF(INDIRECT(AD$3),'Struktur Vorjahr'!$D86,INDIRECT(AD$4))+SUMIF(INDIRECT(AD$3),'Struktur Vorjahr'!$D86,INDIRECT(AD$5)))</f>
        <v>0</v>
      </c>
      <c r="AE86" s="593">
        <f t="shared" ca="1" si="44"/>
        <v>0</v>
      </c>
      <c r="AF86" s="593">
        <f t="shared" ca="1" si="45"/>
        <v>0</v>
      </c>
      <c r="AG86" s="593">
        <f t="shared" ca="1" si="45"/>
        <v>0</v>
      </c>
      <c r="AH86" s="593">
        <f t="shared" ca="1" si="45"/>
        <v>0</v>
      </c>
      <c r="AI86" s="593">
        <f t="shared" ca="1" si="45"/>
        <v>0</v>
      </c>
      <c r="AJ86" s="593">
        <f t="shared" ca="1" si="45"/>
        <v>0</v>
      </c>
      <c r="AK86" s="593">
        <f t="shared" ca="1" si="45"/>
        <v>0</v>
      </c>
      <c r="AL86" s="593">
        <f t="shared" ca="1" si="45"/>
        <v>0</v>
      </c>
      <c r="AM86" s="593">
        <f t="shared" ca="1" si="45"/>
        <v>0</v>
      </c>
      <c r="AN86" s="593">
        <f t="shared" ca="1" si="45"/>
        <v>0</v>
      </c>
      <c r="AO86" s="593">
        <f t="shared" ca="1" si="45"/>
        <v>0</v>
      </c>
      <c r="AP86" s="593">
        <f t="shared" ca="1" si="45"/>
        <v>0</v>
      </c>
    </row>
    <row r="87" spans="1:42" s="594" customFormat="1" ht="11.25" outlineLevel="1" x14ac:dyDescent="0.2">
      <c r="A87" s="599"/>
      <c r="B87" s="591" t="str">
        <f>IF(D87&lt;&gt;"",
IF(ISERROR(MATCH(D87,'Ist Vorjahr Monat 01'!A:A,0))=FALSE,INDEX('Ist Vorjahr Monat 01'!B:B,MATCH(D87,'Ist Vorjahr Monat 01'!A:A,0)),
IF(ISERROR(MATCH(D87,'Ist Vorjahr Monat 02'!A:A,0))=FALSE,INDEX('Ist Vorjahr Monat 02'!B:B,MATCH(D87,'Ist Vorjahr Monat 02'!A:A,0)),
IF(ISERROR(MATCH(D87,'Ist Vorjahr Monat 03'!A:A,0))=FALSE,INDEX('Ist Vorjahr Monat 03'!B:B,MATCH(D87,'Ist Vorjahr Monat 03'!A:A,0)),
IF(ISERROR(MATCH(D87,'Ist Vorjahr Monat 04'!A:A,0))=FALSE,INDEX('Ist Vorjahr Monat 04'!B:B,MATCH(D87,'Ist Vorjahr Monat 04'!A:A,0)),
IF(ISERROR(MATCH(D87,'Ist Vorjahr Monat 05'!A:A,0))=FALSE,INDEX('Ist Vorjahr Monat 05'!B:B,MATCH(D87,'Ist Vorjahr Monat 05'!A:A,0)),
IF(ISERROR(MATCH(D87,'Ist Vorjahr Monat 06'!A:A,0))=FALSE,INDEX('Ist Vorjahr Monat 06'!B:B,MATCH(D87,'Ist Vorjahr Monat 06'!A:A,0)),
IF(ISERROR(MATCH(D87,'Ist Vorjahr Monat 07'!A:A,0))=FALSE,INDEX('Ist Vorjahr Monat 07'!B:B,MATCH(D87,'Ist Vorjahr Monat 07'!A:A,0)),
IF(ISERROR(MATCH(D87,'Ist Vorjahr Monat 08'!A:A,0))=FALSE,INDEX('Ist Vorjahr Monat 08'!B:B,MATCH(D87,'Ist Vorjahr Monat 08'!A:A,0)),
IF(ISERROR(MATCH(D87,'Ist Vorjahr Monat 09'!A:A,0))=FALSE,INDEX('Ist Vorjahr Monat 09'!B:B,MATCH(D87,'Ist Vorjahr Monat 09'!A:A,0)),
IF(ISERROR(MATCH(D87,'Ist Vorjahr Monat 10'!A:A,0))=FALSE,INDEX('Ist Vorjahr Monat 10'!B:B,MATCH(D87,'Ist Vorjahr Monat 10'!A:A,0)),
IF(ISERROR(MATCH(D87,'Ist Vorjahr Monat 11'!A:A,0))=FALSE,INDEX('Ist Vorjahr Monat 11'!B:B,MATCH(D87,'Ist Vorjahr Monat 11'!A:A,0)),
IF(ISERROR(MATCH(D87,'Ist Vorjahr Monat 12'!A:A,0))=FALSE,INDEX('Ist Vorjahr Monat 12'!B:B,MATCH(D87,'Ist Vorjahr Monat 12'!A:A,0)),
"{Konto unbekannt}"
)))))))))))),"")</f>
        <v/>
      </c>
      <c r="C87" s="591"/>
      <c r="D87" s="590"/>
      <c r="E87" s="592">
        <f t="shared" si="34"/>
        <v>1</v>
      </c>
      <c r="F87" s="599"/>
      <c r="G87" s="593">
        <f ca="1">$E87*(-SUMIF(INDIRECT(G$3),'Struktur Vorjahr'!$D87,INDIRECT(G$4))+SUMIF(INDIRECT(G$3),'Struktur Vorjahr'!$D87,INDIRECT(G$5)))</f>
        <v>0</v>
      </c>
      <c r="H87" s="593">
        <f ca="1">$E87*(-SUMIF(INDIRECT(H$3),'Struktur Vorjahr'!$D87,INDIRECT(H$4))+SUMIF(INDIRECT(H$3),'Struktur Vorjahr'!$D87,INDIRECT(H$5)))</f>
        <v>0</v>
      </c>
      <c r="I87" s="593">
        <f ca="1">$E87*(-SUMIF(INDIRECT(I$3),'Struktur Vorjahr'!$D87,INDIRECT(I$4))+SUMIF(INDIRECT(I$3),'Struktur Vorjahr'!$D87,INDIRECT(I$5)))</f>
        <v>0</v>
      </c>
      <c r="J87" s="593">
        <f ca="1">$E87*(-SUMIF(INDIRECT(J$3),'Struktur Vorjahr'!$D87,INDIRECT(J$4))+SUMIF(INDIRECT(J$3),'Struktur Vorjahr'!$D87,INDIRECT(J$5)))</f>
        <v>0</v>
      </c>
      <c r="K87" s="593">
        <f ca="1">$E87*(-SUMIF(INDIRECT(K$3),'Struktur Vorjahr'!$D87,INDIRECT(K$4))+SUMIF(INDIRECT(K$3),'Struktur Vorjahr'!$D87,INDIRECT(K$5)))</f>
        <v>0</v>
      </c>
      <c r="L87" s="593">
        <f ca="1">$E87*(-SUMIF(INDIRECT(L$3),'Struktur Vorjahr'!$D87,INDIRECT(L$4))+SUMIF(INDIRECT(L$3),'Struktur Vorjahr'!$D87,INDIRECT(L$5)))</f>
        <v>0</v>
      </c>
      <c r="M87" s="593">
        <f ca="1">$E87*(-SUMIF(INDIRECT(M$3),'Struktur Vorjahr'!$D87,INDIRECT(M$4))+SUMIF(INDIRECT(M$3),'Struktur Vorjahr'!$D87,INDIRECT(M$5)))</f>
        <v>0</v>
      </c>
      <c r="N87" s="593">
        <f ca="1">$E87*(-SUMIF(INDIRECT(N$3),'Struktur Vorjahr'!$D87,INDIRECT(N$4))+SUMIF(INDIRECT(N$3),'Struktur Vorjahr'!$D87,INDIRECT(N$5)))</f>
        <v>0</v>
      </c>
      <c r="O87" s="593">
        <f ca="1">$E87*(-SUMIF(INDIRECT(O$3),'Struktur Vorjahr'!$D87,INDIRECT(O$4))+SUMIF(INDIRECT(O$3),'Struktur Vorjahr'!$D87,INDIRECT(O$5)))</f>
        <v>0</v>
      </c>
      <c r="P87" s="593">
        <f ca="1">$E87*(-SUMIF(INDIRECT(P$3),'Struktur Vorjahr'!$D87,INDIRECT(P$4))+SUMIF(INDIRECT(P$3),'Struktur Vorjahr'!$D87,INDIRECT(P$5)))</f>
        <v>0</v>
      </c>
      <c r="Q87" s="593">
        <f ca="1">$E87*(-SUMIF(INDIRECT(Q$3),'Struktur Vorjahr'!$D87,INDIRECT(Q$4))+SUMIF(INDIRECT(Q$3),'Struktur Vorjahr'!$D87,INDIRECT(Q$5)))</f>
        <v>0</v>
      </c>
      <c r="R87" s="593">
        <f ca="1">$E87*(-SUMIF(INDIRECT(R$3),'Struktur Vorjahr'!$D87,INDIRECT(R$4))+SUMIF(INDIRECT(R$3),'Struktur Vorjahr'!$D87,INDIRECT(R$5)))</f>
        <v>0</v>
      </c>
      <c r="S87" s="593">
        <f ca="1">$E87*(-SUMIF(INDIRECT(S$3),'Struktur Vorjahr'!$D87,INDIRECT(S$4))+SUMIF(INDIRECT(S$3),'Struktur Vorjahr'!$D87,INDIRECT(S$5)))</f>
        <v>0</v>
      </c>
      <c r="T87" s="593">
        <f ca="1">$E87*(-SUMIF(INDIRECT(T$3),'Struktur Vorjahr'!$D87,INDIRECT(T$4))+SUMIF(INDIRECT(T$3),'Struktur Vorjahr'!$D87,INDIRECT(T$5)))</f>
        <v>0</v>
      </c>
      <c r="U87" s="593">
        <f ca="1">$E87*(-SUMIF(INDIRECT(U$3),'Struktur Vorjahr'!$D87,INDIRECT(U$4))+SUMIF(INDIRECT(U$3),'Struktur Vorjahr'!$D87,INDIRECT(U$5)))</f>
        <v>0</v>
      </c>
      <c r="V87" s="593">
        <f ca="1">$E87*(-SUMIF(INDIRECT(V$3),'Struktur Vorjahr'!$D87,INDIRECT(V$4))+SUMIF(INDIRECT(V$3),'Struktur Vorjahr'!$D87,INDIRECT(V$5)))</f>
        <v>0</v>
      </c>
      <c r="W87" s="593">
        <f ca="1">$E87*(-SUMIF(INDIRECT(W$3),'Struktur Vorjahr'!$D87,INDIRECT(W$4))+SUMIF(INDIRECT(W$3),'Struktur Vorjahr'!$D87,INDIRECT(W$5)))</f>
        <v>0</v>
      </c>
      <c r="X87" s="593">
        <f ca="1">$E87*(-SUMIF(INDIRECT(X$3),'Struktur Vorjahr'!$D87,INDIRECT(X$4))+SUMIF(INDIRECT(X$3),'Struktur Vorjahr'!$D87,INDIRECT(X$5)))</f>
        <v>0</v>
      </c>
      <c r="Y87" s="593">
        <f ca="1">$E87*(-SUMIF(INDIRECT(Y$3),'Struktur Vorjahr'!$D87,INDIRECT(Y$4))+SUMIF(INDIRECT(Y$3),'Struktur Vorjahr'!$D87,INDIRECT(Y$5)))</f>
        <v>0</v>
      </c>
      <c r="Z87" s="593">
        <f ca="1">$E87*(-SUMIF(INDIRECT(Z$3),'Struktur Vorjahr'!$D87,INDIRECT(Z$4))+SUMIF(INDIRECT(Z$3),'Struktur Vorjahr'!$D87,INDIRECT(Z$5)))</f>
        <v>0</v>
      </c>
      <c r="AA87" s="593">
        <f ca="1">$E87*(-SUMIF(INDIRECT(AA$3),'Struktur Vorjahr'!$D87,INDIRECT(AA$4))+SUMIF(INDIRECT(AA$3),'Struktur Vorjahr'!$D87,INDIRECT(AA$5)))</f>
        <v>0</v>
      </c>
      <c r="AB87" s="593">
        <f ca="1">$E87*(-SUMIF(INDIRECT(AB$3),'Struktur Vorjahr'!$D87,INDIRECT(AB$4))+SUMIF(INDIRECT(AB$3),'Struktur Vorjahr'!$D87,INDIRECT(AB$5)))</f>
        <v>0</v>
      </c>
      <c r="AC87" s="593">
        <f ca="1">$E87*(-SUMIF(INDIRECT(AC$3),'Struktur Vorjahr'!$D87,INDIRECT(AC$4))+SUMIF(INDIRECT(AC$3),'Struktur Vorjahr'!$D87,INDIRECT(AC$5)))</f>
        <v>0</v>
      </c>
      <c r="AD87" s="593">
        <f ca="1">$E87*(-SUMIF(INDIRECT(AD$3),'Struktur Vorjahr'!$D87,INDIRECT(AD$4))+SUMIF(INDIRECT(AD$3),'Struktur Vorjahr'!$D87,INDIRECT(AD$5)))</f>
        <v>0</v>
      </c>
      <c r="AE87" s="593">
        <f t="shared" ca="1" si="44"/>
        <v>0</v>
      </c>
      <c r="AF87" s="593">
        <f t="shared" ca="1" si="45"/>
        <v>0</v>
      </c>
      <c r="AG87" s="593">
        <f t="shared" ca="1" si="45"/>
        <v>0</v>
      </c>
      <c r="AH87" s="593">
        <f t="shared" ca="1" si="45"/>
        <v>0</v>
      </c>
      <c r="AI87" s="593">
        <f t="shared" ca="1" si="45"/>
        <v>0</v>
      </c>
      <c r="AJ87" s="593">
        <f t="shared" ca="1" si="45"/>
        <v>0</v>
      </c>
      <c r="AK87" s="593">
        <f t="shared" ca="1" si="45"/>
        <v>0</v>
      </c>
      <c r="AL87" s="593">
        <f t="shared" ca="1" si="45"/>
        <v>0</v>
      </c>
      <c r="AM87" s="593">
        <f t="shared" ca="1" si="45"/>
        <v>0</v>
      </c>
      <c r="AN87" s="593">
        <f t="shared" ca="1" si="45"/>
        <v>0</v>
      </c>
      <c r="AO87" s="593">
        <f t="shared" ca="1" si="45"/>
        <v>0</v>
      </c>
      <c r="AP87" s="593">
        <f t="shared" ca="1" si="45"/>
        <v>0</v>
      </c>
    </row>
    <row r="88" spans="1:42" s="594" customFormat="1" ht="11.25" outlineLevel="1" x14ac:dyDescent="0.2">
      <c r="A88" s="599"/>
      <c r="B88" s="591" t="str">
        <f>IF(D88&lt;&gt;"",
IF(ISERROR(MATCH(D88,'Ist Vorjahr Monat 01'!A:A,0))=FALSE,INDEX('Ist Vorjahr Monat 01'!B:B,MATCH(D88,'Ist Vorjahr Monat 01'!A:A,0)),
IF(ISERROR(MATCH(D88,'Ist Vorjahr Monat 02'!A:A,0))=FALSE,INDEX('Ist Vorjahr Monat 02'!B:B,MATCH(D88,'Ist Vorjahr Monat 02'!A:A,0)),
IF(ISERROR(MATCH(D88,'Ist Vorjahr Monat 03'!A:A,0))=FALSE,INDEX('Ist Vorjahr Monat 03'!B:B,MATCH(D88,'Ist Vorjahr Monat 03'!A:A,0)),
IF(ISERROR(MATCH(D88,'Ist Vorjahr Monat 04'!A:A,0))=FALSE,INDEX('Ist Vorjahr Monat 04'!B:B,MATCH(D88,'Ist Vorjahr Monat 04'!A:A,0)),
IF(ISERROR(MATCH(D88,'Ist Vorjahr Monat 05'!A:A,0))=FALSE,INDEX('Ist Vorjahr Monat 05'!B:B,MATCH(D88,'Ist Vorjahr Monat 05'!A:A,0)),
IF(ISERROR(MATCH(D88,'Ist Vorjahr Monat 06'!A:A,0))=FALSE,INDEX('Ist Vorjahr Monat 06'!B:B,MATCH(D88,'Ist Vorjahr Monat 06'!A:A,0)),
IF(ISERROR(MATCH(D88,'Ist Vorjahr Monat 07'!A:A,0))=FALSE,INDEX('Ist Vorjahr Monat 07'!B:B,MATCH(D88,'Ist Vorjahr Monat 07'!A:A,0)),
IF(ISERROR(MATCH(D88,'Ist Vorjahr Monat 08'!A:A,0))=FALSE,INDEX('Ist Vorjahr Monat 08'!B:B,MATCH(D88,'Ist Vorjahr Monat 08'!A:A,0)),
IF(ISERROR(MATCH(D88,'Ist Vorjahr Monat 09'!A:A,0))=FALSE,INDEX('Ist Vorjahr Monat 09'!B:B,MATCH(D88,'Ist Vorjahr Monat 09'!A:A,0)),
IF(ISERROR(MATCH(D88,'Ist Vorjahr Monat 10'!A:A,0))=FALSE,INDEX('Ist Vorjahr Monat 10'!B:B,MATCH(D88,'Ist Vorjahr Monat 10'!A:A,0)),
IF(ISERROR(MATCH(D88,'Ist Vorjahr Monat 11'!A:A,0))=FALSE,INDEX('Ist Vorjahr Monat 11'!B:B,MATCH(D88,'Ist Vorjahr Monat 11'!A:A,0)),
IF(ISERROR(MATCH(D88,'Ist Vorjahr Monat 12'!A:A,0))=FALSE,INDEX('Ist Vorjahr Monat 12'!B:B,MATCH(D88,'Ist Vorjahr Monat 12'!A:A,0)),
"{Konto unbekannt}"
)))))))))))),"")</f>
        <v/>
      </c>
      <c r="C88" s="591"/>
      <c r="D88" s="590"/>
      <c r="E88" s="592">
        <f t="shared" si="34"/>
        <v>1</v>
      </c>
      <c r="F88" s="599"/>
      <c r="G88" s="593">
        <f ca="1">$E88*(-SUMIF(INDIRECT(G$3),'Struktur Vorjahr'!$D88,INDIRECT(G$4))+SUMIF(INDIRECT(G$3),'Struktur Vorjahr'!$D88,INDIRECT(G$5)))</f>
        <v>0</v>
      </c>
      <c r="H88" s="593">
        <f ca="1">$E88*(-SUMIF(INDIRECT(H$3),'Struktur Vorjahr'!$D88,INDIRECT(H$4))+SUMIF(INDIRECT(H$3),'Struktur Vorjahr'!$D88,INDIRECT(H$5)))</f>
        <v>0</v>
      </c>
      <c r="I88" s="593">
        <f ca="1">$E88*(-SUMIF(INDIRECT(I$3),'Struktur Vorjahr'!$D88,INDIRECT(I$4))+SUMIF(INDIRECT(I$3),'Struktur Vorjahr'!$D88,INDIRECT(I$5)))</f>
        <v>0</v>
      </c>
      <c r="J88" s="593">
        <f ca="1">$E88*(-SUMIF(INDIRECT(J$3),'Struktur Vorjahr'!$D88,INDIRECT(J$4))+SUMIF(INDIRECT(J$3),'Struktur Vorjahr'!$D88,INDIRECT(J$5)))</f>
        <v>0</v>
      </c>
      <c r="K88" s="593">
        <f ca="1">$E88*(-SUMIF(INDIRECT(K$3),'Struktur Vorjahr'!$D88,INDIRECT(K$4))+SUMIF(INDIRECT(K$3),'Struktur Vorjahr'!$D88,INDIRECT(K$5)))</f>
        <v>0</v>
      </c>
      <c r="L88" s="593">
        <f ca="1">$E88*(-SUMIF(INDIRECT(L$3),'Struktur Vorjahr'!$D88,INDIRECT(L$4))+SUMIF(INDIRECT(L$3),'Struktur Vorjahr'!$D88,INDIRECT(L$5)))</f>
        <v>0</v>
      </c>
      <c r="M88" s="593">
        <f ca="1">$E88*(-SUMIF(INDIRECT(M$3),'Struktur Vorjahr'!$D88,INDIRECT(M$4))+SUMIF(INDIRECT(M$3),'Struktur Vorjahr'!$D88,INDIRECT(M$5)))</f>
        <v>0</v>
      </c>
      <c r="N88" s="593">
        <f ca="1">$E88*(-SUMIF(INDIRECT(N$3),'Struktur Vorjahr'!$D88,INDIRECT(N$4))+SUMIF(INDIRECT(N$3),'Struktur Vorjahr'!$D88,INDIRECT(N$5)))</f>
        <v>0</v>
      </c>
      <c r="O88" s="593">
        <f ca="1">$E88*(-SUMIF(INDIRECT(O$3),'Struktur Vorjahr'!$D88,INDIRECT(O$4))+SUMIF(INDIRECT(O$3),'Struktur Vorjahr'!$D88,INDIRECT(O$5)))</f>
        <v>0</v>
      </c>
      <c r="P88" s="593">
        <f ca="1">$E88*(-SUMIF(INDIRECT(P$3),'Struktur Vorjahr'!$D88,INDIRECT(P$4))+SUMIF(INDIRECT(P$3),'Struktur Vorjahr'!$D88,INDIRECT(P$5)))</f>
        <v>0</v>
      </c>
      <c r="Q88" s="593">
        <f ca="1">$E88*(-SUMIF(INDIRECT(Q$3),'Struktur Vorjahr'!$D88,INDIRECT(Q$4))+SUMIF(INDIRECT(Q$3),'Struktur Vorjahr'!$D88,INDIRECT(Q$5)))</f>
        <v>0</v>
      </c>
      <c r="R88" s="593">
        <f ca="1">$E88*(-SUMIF(INDIRECT(R$3),'Struktur Vorjahr'!$D88,INDIRECT(R$4))+SUMIF(INDIRECT(R$3),'Struktur Vorjahr'!$D88,INDIRECT(R$5)))</f>
        <v>0</v>
      </c>
      <c r="S88" s="593">
        <f ca="1">$E88*(-SUMIF(INDIRECT(S$3),'Struktur Vorjahr'!$D88,INDIRECT(S$4))+SUMIF(INDIRECT(S$3),'Struktur Vorjahr'!$D88,INDIRECT(S$5)))</f>
        <v>0</v>
      </c>
      <c r="T88" s="593">
        <f ca="1">$E88*(-SUMIF(INDIRECT(T$3),'Struktur Vorjahr'!$D88,INDIRECT(T$4))+SUMIF(INDIRECT(T$3),'Struktur Vorjahr'!$D88,INDIRECT(T$5)))</f>
        <v>0</v>
      </c>
      <c r="U88" s="593">
        <f ca="1">$E88*(-SUMIF(INDIRECT(U$3),'Struktur Vorjahr'!$D88,INDIRECT(U$4))+SUMIF(INDIRECT(U$3),'Struktur Vorjahr'!$D88,INDIRECT(U$5)))</f>
        <v>0</v>
      </c>
      <c r="V88" s="593">
        <f ca="1">$E88*(-SUMIF(INDIRECT(V$3),'Struktur Vorjahr'!$D88,INDIRECT(V$4))+SUMIF(INDIRECT(V$3),'Struktur Vorjahr'!$D88,INDIRECT(V$5)))</f>
        <v>0</v>
      </c>
      <c r="W88" s="593">
        <f ca="1">$E88*(-SUMIF(INDIRECT(W$3),'Struktur Vorjahr'!$D88,INDIRECT(W$4))+SUMIF(INDIRECT(W$3),'Struktur Vorjahr'!$D88,INDIRECT(W$5)))</f>
        <v>0</v>
      </c>
      <c r="X88" s="593">
        <f ca="1">$E88*(-SUMIF(INDIRECT(X$3),'Struktur Vorjahr'!$D88,INDIRECT(X$4))+SUMIF(INDIRECT(X$3),'Struktur Vorjahr'!$D88,INDIRECT(X$5)))</f>
        <v>0</v>
      </c>
      <c r="Y88" s="593">
        <f ca="1">$E88*(-SUMIF(INDIRECT(Y$3),'Struktur Vorjahr'!$D88,INDIRECT(Y$4))+SUMIF(INDIRECT(Y$3),'Struktur Vorjahr'!$D88,INDIRECT(Y$5)))</f>
        <v>0</v>
      </c>
      <c r="Z88" s="593">
        <f ca="1">$E88*(-SUMIF(INDIRECT(Z$3),'Struktur Vorjahr'!$D88,INDIRECT(Z$4))+SUMIF(INDIRECT(Z$3),'Struktur Vorjahr'!$D88,INDIRECT(Z$5)))</f>
        <v>0</v>
      </c>
      <c r="AA88" s="593">
        <f ca="1">$E88*(-SUMIF(INDIRECT(AA$3),'Struktur Vorjahr'!$D88,INDIRECT(AA$4))+SUMIF(INDIRECT(AA$3),'Struktur Vorjahr'!$D88,INDIRECT(AA$5)))</f>
        <v>0</v>
      </c>
      <c r="AB88" s="593">
        <f ca="1">$E88*(-SUMIF(INDIRECT(AB$3),'Struktur Vorjahr'!$D88,INDIRECT(AB$4))+SUMIF(INDIRECT(AB$3),'Struktur Vorjahr'!$D88,INDIRECT(AB$5)))</f>
        <v>0</v>
      </c>
      <c r="AC88" s="593">
        <f ca="1">$E88*(-SUMIF(INDIRECT(AC$3),'Struktur Vorjahr'!$D88,INDIRECT(AC$4))+SUMIF(INDIRECT(AC$3),'Struktur Vorjahr'!$D88,INDIRECT(AC$5)))</f>
        <v>0</v>
      </c>
      <c r="AD88" s="593">
        <f ca="1">$E88*(-SUMIF(INDIRECT(AD$3),'Struktur Vorjahr'!$D88,INDIRECT(AD$4))+SUMIF(INDIRECT(AD$3),'Struktur Vorjahr'!$D88,INDIRECT(AD$5)))</f>
        <v>0</v>
      </c>
      <c r="AE88" s="593">
        <f t="shared" ca="1" si="44"/>
        <v>0</v>
      </c>
      <c r="AF88" s="593">
        <f t="shared" ca="1" si="45"/>
        <v>0</v>
      </c>
      <c r="AG88" s="593">
        <f t="shared" ca="1" si="45"/>
        <v>0</v>
      </c>
      <c r="AH88" s="593">
        <f t="shared" ca="1" si="45"/>
        <v>0</v>
      </c>
      <c r="AI88" s="593">
        <f t="shared" ca="1" si="45"/>
        <v>0</v>
      </c>
      <c r="AJ88" s="593">
        <f t="shared" ca="1" si="45"/>
        <v>0</v>
      </c>
      <c r="AK88" s="593">
        <f t="shared" ca="1" si="45"/>
        <v>0</v>
      </c>
      <c r="AL88" s="593">
        <f t="shared" ca="1" si="45"/>
        <v>0</v>
      </c>
      <c r="AM88" s="593">
        <f t="shared" ca="1" si="45"/>
        <v>0</v>
      </c>
      <c r="AN88" s="593">
        <f t="shared" ca="1" si="45"/>
        <v>0</v>
      </c>
      <c r="AO88" s="593">
        <f t="shared" ca="1" si="45"/>
        <v>0</v>
      </c>
      <c r="AP88" s="593">
        <f t="shared" ca="1" si="45"/>
        <v>0</v>
      </c>
    </row>
    <row r="89" spans="1:42" s="594" customFormat="1" outlineLevel="1" x14ac:dyDescent="0.2">
      <c r="A89" s="585">
        <v>8</v>
      </c>
      <c r="B89" s="586" t="s">
        <v>1003</v>
      </c>
      <c r="C89" s="587">
        <f ca="1">SUM(G89:R89)</f>
        <v>0.83</v>
      </c>
      <c r="D89" s="587"/>
      <c r="E89" s="588">
        <f t="shared" si="34"/>
        <v>1</v>
      </c>
      <c r="F89" s="585"/>
      <c r="G89" s="587">
        <f t="shared" ref="G89:AP89" ca="1" si="46">SUM(G90:G97)</f>
        <v>0</v>
      </c>
      <c r="H89" s="587">
        <f t="shared" ca="1" si="46"/>
        <v>0</v>
      </c>
      <c r="I89" s="587">
        <f t="shared" ca="1" si="46"/>
        <v>0.01</v>
      </c>
      <c r="J89" s="587">
        <f t="shared" ca="1" si="46"/>
        <v>0.82</v>
      </c>
      <c r="K89" s="587">
        <f t="shared" ca="1" si="46"/>
        <v>0</v>
      </c>
      <c r="L89" s="587">
        <f t="shared" ca="1" si="46"/>
        <v>0</v>
      </c>
      <c r="M89" s="587">
        <f t="shared" ca="1" si="46"/>
        <v>0</v>
      </c>
      <c r="N89" s="587">
        <f t="shared" ca="1" si="46"/>
        <v>0</v>
      </c>
      <c r="O89" s="587">
        <f t="shared" ca="1" si="46"/>
        <v>0</v>
      </c>
      <c r="P89" s="587">
        <f t="shared" ca="1" si="46"/>
        <v>0</v>
      </c>
      <c r="Q89" s="587">
        <f t="shared" ca="1" si="46"/>
        <v>0</v>
      </c>
      <c r="R89" s="587">
        <f t="shared" ca="1" si="46"/>
        <v>0</v>
      </c>
      <c r="S89" s="587">
        <f t="shared" ca="1" si="46"/>
        <v>0</v>
      </c>
      <c r="T89" s="587">
        <f t="shared" ca="1" si="46"/>
        <v>0</v>
      </c>
      <c r="U89" s="587">
        <f t="shared" ca="1" si="46"/>
        <v>0.01</v>
      </c>
      <c r="V89" s="587">
        <f t="shared" ca="1" si="46"/>
        <v>0.83</v>
      </c>
      <c r="W89" s="587">
        <f t="shared" ca="1" si="46"/>
        <v>0.83</v>
      </c>
      <c r="X89" s="587">
        <f t="shared" ca="1" si="46"/>
        <v>0.83</v>
      </c>
      <c r="Y89" s="587">
        <f t="shared" ca="1" si="46"/>
        <v>0.83</v>
      </c>
      <c r="Z89" s="587">
        <f t="shared" ca="1" si="46"/>
        <v>0.83</v>
      </c>
      <c r="AA89" s="587">
        <f t="shared" ca="1" si="46"/>
        <v>0.83</v>
      </c>
      <c r="AB89" s="587">
        <f t="shared" ca="1" si="46"/>
        <v>0.83</v>
      </c>
      <c r="AC89" s="587">
        <f t="shared" ca="1" si="46"/>
        <v>0</v>
      </c>
      <c r="AD89" s="587">
        <f t="shared" ca="1" si="46"/>
        <v>0</v>
      </c>
      <c r="AE89" s="587">
        <f t="shared" ca="1" si="46"/>
        <v>0</v>
      </c>
      <c r="AF89" s="587">
        <f t="shared" ca="1" si="46"/>
        <v>0</v>
      </c>
      <c r="AG89" s="587">
        <f t="shared" ca="1" si="46"/>
        <v>0.01</v>
      </c>
      <c r="AH89" s="587">
        <f t="shared" ca="1" si="46"/>
        <v>0.83</v>
      </c>
      <c r="AI89" s="587">
        <f t="shared" ca="1" si="46"/>
        <v>0.83</v>
      </c>
      <c r="AJ89" s="587">
        <f t="shared" ca="1" si="46"/>
        <v>0.83</v>
      </c>
      <c r="AK89" s="587">
        <f t="shared" ca="1" si="46"/>
        <v>0.83</v>
      </c>
      <c r="AL89" s="587">
        <f t="shared" ca="1" si="46"/>
        <v>0.83</v>
      </c>
      <c r="AM89" s="587">
        <f t="shared" ca="1" si="46"/>
        <v>0.83</v>
      </c>
      <c r="AN89" s="587">
        <f t="shared" ca="1" si="46"/>
        <v>0.83</v>
      </c>
      <c r="AO89" s="587">
        <f t="shared" ca="1" si="46"/>
        <v>0.83</v>
      </c>
      <c r="AP89" s="587">
        <f t="shared" ca="1" si="46"/>
        <v>0.83</v>
      </c>
    </row>
    <row r="90" spans="1:42" s="594" customFormat="1" ht="11.25" outlineLevel="1" x14ac:dyDescent="0.2">
      <c r="A90" s="599"/>
      <c r="B90" s="591" t="str">
        <f>IF(D90&lt;&gt;"",
IF(ISERROR(MATCH(D90,'Ist Vorjahr Monat 01'!A:A,0))=FALSE,INDEX('Ist Vorjahr Monat 01'!B:B,MATCH(D90,'Ist Vorjahr Monat 01'!A:A,0)),
IF(ISERROR(MATCH(D90,'Ist Vorjahr Monat 02'!A:A,0))=FALSE,INDEX('Ist Vorjahr Monat 02'!B:B,MATCH(D90,'Ist Vorjahr Monat 02'!A:A,0)),
IF(ISERROR(MATCH(D90,'Ist Vorjahr Monat 03'!A:A,0))=FALSE,INDEX('Ist Vorjahr Monat 03'!B:B,MATCH(D90,'Ist Vorjahr Monat 03'!A:A,0)),
IF(ISERROR(MATCH(D90,'Ist Vorjahr Monat 04'!A:A,0))=FALSE,INDEX('Ist Vorjahr Monat 04'!B:B,MATCH(D90,'Ist Vorjahr Monat 04'!A:A,0)),
IF(ISERROR(MATCH(D90,'Ist Vorjahr Monat 05'!A:A,0))=FALSE,INDEX('Ist Vorjahr Monat 05'!B:B,MATCH(D90,'Ist Vorjahr Monat 05'!A:A,0)),
IF(ISERROR(MATCH(D90,'Ist Vorjahr Monat 06'!A:A,0))=FALSE,INDEX('Ist Vorjahr Monat 06'!B:B,MATCH(D90,'Ist Vorjahr Monat 06'!A:A,0)),
IF(ISERROR(MATCH(D90,'Ist Vorjahr Monat 07'!A:A,0))=FALSE,INDEX('Ist Vorjahr Monat 07'!B:B,MATCH(D90,'Ist Vorjahr Monat 07'!A:A,0)),
IF(ISERROR(MATCH(D90,'Ist Vorjahr Monat 08'!A:A,0))=FALSE,INDEX('Ist Vorjahr Monat 08'!B:B,MATCH(D90,'Ist Vorjahr Monat 08'!A:A,0)),
IF(ISERROR(MATCH(D90,'Ist Vorjahr Monat 09'!A:A,0))=FALSE,INDEX('Ist Vorjahr Monat 09'!B:B,MATCH(D90,'Ist Vorjahr Monat 09'!A:A,0)),
IF(ISERROR(MATCH(D90,'Ist Vorjahr Monat 10'!A:A,0))=FALSE,INDEX('Ist Vorjahr Monat 10'!B:B,MATCH(D90,'Ist Vorjahr Monat 10'!A:A,0)),
IF(ISERROR(MATCH(D90,'Ist Vorjahr Monat 11'!A:A,0))=FALSE,INDEX('Ist Vorjahr Monat 11'!B:B,MATCH(D90,'Ist Vorjahr Monat 11'!A:A,0)),
IF(ISERROR(MATCH(D90,'Ist Vorjahr Monat 12'!A:A,0))=FALSE,INDEX('Ist Vorjahr Monat 12'!B:B,MATCH(D90,'Ist Vorjahr Monat 12'!A:A,0)),
"{Konto unbekannt}"
)))))))))))),"")</f>
        <v>Erhaltene Skonti 19% Vorsteuer</v>
      </c>
      <c r="C90" s="591"/>
      <c r="D90" s="590">
        <v>3736</v>
      </c>
      <c r="E90" s="592">
        <f t="shared" si="34"/>
        <v>-1</v>
      </c>
      <c r="F90" s="599" t="s">
        <v>996</v>
      </c>
      <c r="G90" s="593">
        <f ca="1">$E90*(-SUMIF(INDIRECT(G$3),'Struktur Vorjahr'!$D90,INDIRECT(G$4))+SUMIF(INDIRECT(G$3),'Struktur Vorjahr'!$D90,INDIRECT(G$5)))</f>
        <v>0</v>
      </c>
      <c r="H90" s="593">
        <f ca="1">$E90*(-SUMIF(INDIRECT(H$3),'Struktur Vorjahr'!$D90,INDIRECT(H$4))+SUMIF(INDIRECT(H$3),'Struktur Vorjahr'!$D90,INDIRECT(H$5)))</f>
        <v>0</v>
      </c>
      <c r="I90" s="593">
        <f ca="1">$E90*(-SUMIF(INDIRECT(I$3),'Struktur Vorjahr'!$D90,INDIRECT(I$4))+SUMIF(INDIRECT(I$3),'Struktur Vorjahr'!$D90,INDIRECT(I$5)))</f>
        <v>0.01</v>
      </c>
      <c r="J90" s="593">
        <f ca="1">$E90*(-SUMIF(INDIRECT(J$3),'Struktur Vorjahr'!$D90,INDIRECT(J$4))+SUMIF(INDIRECT(J$3),'Struktur Vorjahr'!$D90,INDIRECT(J$5)))</f>
        <v>0.82</v>
      </c>
      <c r="K90" s="593">
        <f ca="1">$E90*(-SUMIF(INDIRECT(K$3),'Struktur Vorjahr'!$D90,INDIRECT(K$4))+SUMIF(INDIRECT(K$3),'Struktur Vorjahr'!$D90,INDIRECT(K$5)))</f>
        <v>0</v>
      </c>
      <c r="L90" s="593">
        <f ca="1">$E90*(-SUMIF(INDIRECT(L$3),'Struktur Vorjahr'!$D90,INDIRECT(L$4))+SUMIF(INDIRECT(L$3),'Struktur Vorjahr'!$D90,INDIRECT(L$5)))</f>
        <v>0</v>
      </c>
      <c r="M90" s="593">
        <f ca="1">$E90*(-SUMIF(INDIRECT(M$3),'Struktur Vorjahr'!$D90,INDIRECT(M$4))+SUMIF(INDIRECT(M$3),'Struktur Vorjahr'!$D90,INDIRECT(M$5)))</f>
        <v>0</v>
      </c>
      <c r="N90" s="593">
        <f ca="1">$E90*(-SUMIF(INDIRECT(N$3),'Struktur Vorjahr'!$D90,INDIRECT(N$4))+SUMIF(INDIRECT(N$3),'Struktur Vorjahr'!$D90,INDIRECT(N$5)))</f>
        <v>0</v>
      </c>
      <c r="O90" s="593">
        <f ca="1">$E90*(-SUMIF(INDIRECT(O$3),'Struktur Vorjahr'!$D90,INDIRECT(O$4))+SUMIF(INDIRECT(O$3),'Struktur Vorjahr'!$D90,INDIRECT(O$5)))</f>
        <v>0</v>
      </c>
      <c r="P90" s="593">
        <f ca="1">$E90*(-SUMIF(INDIRECT(P$3),'Struktur Vorjahr'!$D90,INDIRECT(P$4))+SUMIF(INDIRECT(P$3),'Struktur Vorjahr'!$D90,INDIRECT(P$5)))</f>
        <v>0</v>
      </c>
      <c r="Q90" s="593">
        <f ca="1">$E90*(-SUMIF(INDIRECT(Q$3),'Struktur Vorjahr'!$D90,INDIRECT(Q$4))+SUMIF(INDIRECT(Q$3),'Struktur Vorjahr'!$D90,INDIRECT(Q$5)))</f>
        <v>0</v>
      </c>
      <c r="R90" s="593">
        <f ca="1">$E90*(-SUMIF(INDIRECT(R$3),'Struktur Vorjahr'!$D90,INDIRECT(R$4))+SUMIF(INDIRECT(R$3),'Struktur Vorjahr'!$D90,INDIRECT(R$5)))</f>
        <v>0</v>
      </c>
      <c r="S90" s="593">
        <f ca="1">$E90*(-SUMIF(INDIRECT(S$3),'Struktur Vorjahr'!$D90,INDIRECT(S$4))+SUMIF(INDIRECT(S$3),'Struktur Vorjahr'!$D90,INDIRECT(S$5)))</f>
        <v>0</v>
      </c>
      <c r="T90" s="593">
        <f ca="1">$E90*(-SUMIF(INDIRECT(T$3),'Struktur Vorjahr'!$D90,INDIRECT(T$4))+SUMIF(INDIRECT(T$3),'Struktur Vorjahr'!$D90,INDIRECT(T$5)))</f>
        <v>0</v>
      </c>
      <c r="U90" s="593">
        <f ca="1">$E90*(-SUMIF(INDIRECT(U$3),'Struktur Vorjahr'!$D90,INDIRECT(U$4))+SUMIF(INDIRECT(U$3),'Struktur Vorjahr'!$D90,INDIRECT(U$5)))</f>
        <v>0.01</v>
      </c>
      <c r="V90" s="593">
        <f ca="1">$E90*(-SUMIF(INDIRECT(V$3),'Struktur Vorjahr'!$D90,INDIRECT(V$4))+SUMIF(INDIRECT(V$3),'Struktur Vorjahr'!$D90,INDIRECT(V$5)))</f>
        <v>0.83</v>
      </c>
      <c r="W90" s="593">
        <f ca="1">$E90*(-SUMIF(INDIRECT(W$3),'Struktur Vorjahr'!$D90,INDIRECT(W$4))+SUMIF(INDIRECT(W$3),'Struktur Vorjahr'!$D90,INDIRECT(W$5)))</f>
        <v>0.83</v>
      </c>
      <c r="X90" s="593">
        <f ca="1">$E90*(-SUMIF(INDIRECT(X$3),'Struktur Vorjahr'!$D90,INDIRECT(X$4))+SUMIF(INDIRECT(X$3),'Struktur Vorjahr'!$D90,INDIRECT(X$5)))</f>
        <v>0.83</v>
      </c>
      <c r="Y90" s="593">
        <f ca="1">$E90*(-SUMIF(INDIRECT(Y$3),'Struktur Vorjahr'!$D90,INDIRECT(Y$4))+SUMIF(INDIRECT(Y$3),'Struktur Vorjahr'!$D90,INDIRECT(Y$5)))</f>
        <v>0.83</v>
      </c>
      <c r="Z90" s="593">
        <f ca="1">$E90*(-SUMIF(INDIRECT(Z$3),'Struktur Vorjahr'!$D90,INDIRECT(Z$4))+SUMIF(INDIRECT(Z$3),'Struktur Vorjahr'!$D90,INDIRECT(Z$5)))</f>
        <v>0.83</v>
      </c>
      <c r="AA90" s="593">
        <f ca="1">$E90*(-SUMIF(INDIRECT(AA$3),'Struktur Vorjahr'!$D90,INDIRECT(AA$4))+SUMIF(INDIRECT(AA$3),'Struktur Vorjahr'!$D90,INDIRECT(AA$5)))</f>
        <v>0.83</v>
      </c>
      <c r="AB90" s="593">
        <f ca="1">$E90*(-SUMIF(INDIRECT(AB$3),'Struktur Vorjahr'!$D90,INDIRECT(AB$4))+SUMIF(INDIRECT(AB$3),'Struktur Vorjahr'!$D90,INDIRECT(AB$5)))</f>
        <v>0.83</v>
      </c>
      <c r="AC90" s="593">
        <f ca="1">$E90*(-SUMIF(INDIRECT(AC$3),'Struktur Vorjahr'!$D90,INDIRECT(AC$4))+SUMIF(INDIRECT(AC$3),'Struktur Vorjahr'!$D90,INDIRECT(AC$5)))</f>
        <v>0</v>
      </c>
      <c r="AD90" s="593">
        <f ca="1">$E90*(-SUMIF(INDIRECT(AD$3),'Struktur Vorjahr'!$D90,INDIRECT(AD$4))+SUMIF(INDIRECT(AD$3),'Struktur Vorjahr'!$D90,INDIRECT(AD$5)))</f>
        <v>0</v>
      </c>
      <c r="AE90" s="593">
        <f t="shared" ref="AE90:AE97" ca="1" si="47">G90</f>
        <v>0</v>
      </c>
      <c r="AF90" s="593">
        <f t="shared" ref="AF90:AP97" ca="1" si="48">H90+AE90</f>
        <v>0</v>
      </c>
      <c r="AG90" s="593">
        <f t="shared" ca="1" si="48"/>
        <v>0.01</v>
      </c>
      <c r="AH90" s="593">
        <f t="shared" ca="1" si="48"/>
        <v>0.83</v>
      </c>
      <c r="AI90" s="593">
        <f t="shared" ca="1" si="48"/>
        <v>0.83</v>
      </c>
      <c r="AJ90" s="593">
        <f t="shared" ca="1" si="48"/>
        <v>0.83</v>
      </c>
      <c r="AK90" s="593">
        <f t="shared" ca="1" si="48"/>
        <v>0.83</v>
      </c>
      <c r="AL90" s="593">
        <f t="shared" ca="1" si="48"/>
        <v>0.83</v>
      </c>
      <c r="AM90" s="593">
        <f t="shared" ca="1" si="48"/>
        <v>0.83</v>
      </c>
      <c r="AN90" s="593">
        <f t="shared" ca="1" si="48"/>
        <v>0.83</v>
      </c>
      <c r="AO90" s="593">
        <f t="shared" ca="1" si="48"/>
        <v>0.83</v>
      </c>
      <c r="AP90" s="593">
        <f t="shared" ca="1" si="48"/>
        <v>0.83</v>
      </c>
    </row>
    <row r="91" spans="1:42" s="594" customFormat="1" ht="11.25" outlineLevel="1" x14ac:dyDescent="0.2">
      <c r="A91" s="599" t="s">
        <v>240</v>
      </c>
      <c r="B91" s="591" t="str">
        <f>IF(D91&lt;&gt;"",
IF(ISERROR(MATCH(D91,'Ist Vorjahr Monat 01'!A:A,0))=FALSE,INDEX('Ist Vorjahr Monat 01'!B:B,MATCH(D91,'Ist Vorjahr Monat 01'!A:A,0)),
IF(ISERROR(MATCH(D91,'Ist Vorjahr Monat 02'!A:A,0))=FALSE,INDEX('Ist Vorjahr Monat 02'!B:B,MATCH(D91,'Ist Vorjahr Monat 02'!A:A,0)),
IF(ISERROR(MATCH(D91,'Ist Vorjahr Monat 03'!A:A,0))=FALSE,INDEX('Ist Vorjahr Monat 03'!B:B,MATCH(D91,'Ist Vorjahr Monat 03'!A:A,0)),
IF(ISERROR(MATCH(D91,'Ist Vorjahr Monat 04'!A:A,0))=FALSE,INDEX('Ist Vorjahr Monat 04'!B:B,MATCH(D91,'Ist Vorjahr Monat 04'!A:A,0)),
IF(ISERROR(MATCH(D91,'Ist Vorjahr Monat 05'!A:A,0))=FALSE,INDEX('Ist Vorjahr Monat 05'!B:B,MATCH(D91,'Ist Vorjahr Monat 05'!A:A,0)),
IF(ISERROR(MATCH(D91,'Ist Vorjahr Monat 06'!A:A,0))=FALSE,INDEX('Ist Vorjahr Monat 06'!B:B,MATCH(D91,'Ist Vorjahr Monat 06'!A:A,0)),
IF(ISERROR(MATCH(D91,'Ist Vorjahr Monat 07'!A:A,0))=FALSE,INDEX('Ist Vorjahr Monat 07'!B:B,MATCH(D91,'Ist Vorjahr Monat 07'!A:A,0)),
IF(ISERROR(MATCH(D91,'Ist Vorjahr Monat 08'!A:A,0))=FALSE,INDEX('Ist Vorjahr Monat 08'!B:B,MATCH(D91,'Ist Vorjahr Monat 08'!A:A,0)),
IF(ISERROR(MATCH(D91,'Ist Vorjahr Monat 09'!A:A,0))=FALSE,INDEX('Ist Vorjahr Monat 09'!B:B,MATCH(D91,'Ist Vorjahr Monat 09'!A:A,0)),
IF(ISERROR(MATCH(D91,'Ist Vorjahr Monat 10'!A:A,0))=FALSE,INDEX('Ist Vorjahr Monat 10'!B:B,MATCH(D91,'Ist Vorjahr Monat 10'!A:A,0)),
IF(ISERROR(MATCH(D91,'Ist Vorjahr Monat 11'!A:A,0))=FALSE,INDEX('Ist Vorjahr Monat 11'!B:B,MATCH(D91,'Ist Vorjahr Monat 11'!A:A,0)),
IF(ISERROR(MATCH(D91,'Ist Vorjahr Monat 12'!A:A,0))=FALSE,INDEX('Ist Vorjahr Monat 12'!B:B,MATCH(D91,'Ist Vorjahr Monat 12'!A:A,0)),
"{Konto unbekannt}"
)))))))))))),"")</f>
        <v/>
      </c>
      <c r="C91" s="591"/>
      <c r="D91" s="590"/>
      <c r="E91" s="592">
        <f t="shared" si="34"/>
        <v>-1</v>
      </c>
      <c r="F91" s="599" t="s">
        <v>996</v>
      </c>
      <c r="G91" s="593">
        <f ca="1">$E91*(-SUMIF(INDIRECT(G$3),'Struktur Vorjahr'!$D91,INDIRECT(G$4))+SUMIF(INDIRECT(G$3),'Struktur Vorjahr'!$D91,INDIRECT(G$5)))</f>
        <v>0</v>
      </c>
      <c r="H91" s="593">
        <f ca="1">$E91*(-SUMIF(INDIRECT(H$3),'Struktur Vorjahr'!$D91,INDIRECT(H$4))+SUMIF(INDIRECT(H$3),'Struktur Vorjahr'!$D91,INDIRECT(H$5)))</f>
        <v>0</v>
      </c>
      <c r="I91" s="593">
        <f ca="1">$E91*(-SUMIF(INDIRECT(I$3),'Struktur Vorjahr'!$D91,INDIRECT(I$4))+SUMIF(INDIRECT(I$3),'Struktur Vorjahr'!$D91,INDIRECT(I$5)))</f>
        <v>0</v>
      </c>
      <c r="J91" s="593">
        <f ca="1">$E91*(-SUMIF(INDIRECT(J$3),'Struktur Vorjahr'!$D91,INDIRECT(J$4))+SUMIF(INDIRECT(J$3),'Struktur Vorjahr'!$D91,INDIRECT(J$5)))</f>
        <v>0</v>
      </c>
      <c r="K91" s="593">
        <f ca="1">$E91*(-SUMIF(INDIRECT(K$3),'Struktur Vorjahr'!$D91,INDIRECT(K$4))+SUMIF(INDIRECT(K$3),'Struktur Vorjahr'!$D91,INDIRECT(K$5)))</f>
        <v>0</v>
      </c>
      <c r="L91" s="593">
        <f ca="1">$E91*(-SUMIF(INDIRECT(L$3),'Struktur Vorjahr'!$D91,INDIRECT(L$4))+SUMIF(INDIRECT(L$3),'Struktur Vorjahr'!$D91,INDIRECT(L$5)))</f>
        <v>0</v>
      </c>
      <c r="M91" s="593">
        <f ca="1">$E91*(-SUMIF(INDIRECT(M$3),'Struktur Vorjahr'!$D91,INDIRECT(M$4))+SUMIF(INDIRECT(M$3),'Struktur Vorjahr'!$D91,INDIRECT(M$5)))</f>
        <v>0</v>
      </c>
      <c r="N91" s="593">
        <f ca="1">$E91*(-SUMIF(INDIRECT(N$3),'Struktur Vorjahr'!$D91,INDIRECT(N$4))+SUMIF(INDIRECT(N$3),'Struktur Vorjahr'!$D91,INDIRECT(N$5)))</f>
        <v>0</v>
      </c>
      <c r="O91" s="593">
        <f ca="1">$E91*(-SUMIF(INDIRECT(O$3),'Struktur Vorjahr'!$D91,INDIRECT(O$4))+SUMIF(INDIRECT(O$3),'Struktur Vorjahr'!$D91,INDIRECT(O$5)))</f>
        <v>0</v>
      </c>
      <c r="P91" s="593">
        <f ca="1">$E91*(-SUMIF(INDIRECT(P$3),'Struktur Vorjahr'!$D91,INDIRECT(P$4))+SUMIF(INDIRECT(P$3),'Struktur Vorjahr'!$D91,INDIRECT(P$5)))</f>
        <v>0</v>
      </c>
      <c r="Q91" s="593">
        <f ca="1">$E91*(-SUMIF(INDIRECT(Q$3),'Struktur Vorjahr'!$D91,INDIRECT(Q$4))+SUMIF(INDIRECT(Q$3),'Struktur Vorjahr'!$D91,INDIRECT(Q$5)))</f>
        <v>0</v>
      </c>
      <c r="R91" s="593">
        <f ca="1">$E91*(-SUMIF(INDIRECT(R$3),'Struktur Vorjahr'!$D91,INDIRECT(R$4))+SUMIF(INDIRECT(R$3),'Struktur Vorjahr'!$D91,INDIRECT(R$5)))</f>
        <v>0</v>
      </c>
      <c r="S91" s="593">
        <f ca="1">$E91*(-SUMIF(INDIRECT(S$3),'Struktur Vorjahr'!$D91,INDIRECT(S$4))+SUMIF(INDIRECT(S$3),'Struktur Vorjahr'!$D91,INDIRECT(S$5)))</f>
        <v>0</v>
      </c>
      <c r="T91" s="593">
        <f ca="1">$E91*(-SUMIF(INDIRECT(T$3),'Struktur Vorjahr'!$D91,INDIRECT(T$4))+SUMIF(INDIRECT(T$3),'Struktur Vorjahr'!$D91,INDIRECT(T$5)))</f>
        <v>0</v>
      </c>
      <c r="U91" s="593">
        <f ca="1">$E91*(-SUMIF(INDIRECT(U$3),'Struktur Vorjahr'!$D91,INDIRECT(U$4))+SUMIF(INDIRECT(U$3),'Struktur Vorjahr'!$D91,INDIRECT(U$5)))</f>
        <v>0</v>
      </c>
      <c r="V91" s="593">
        <f ca="1">$E91*(-SUMIF(INDIRECT(V$3),'Struktur Vorjahr'!$D91,INDIRECT(V$4))+SUMIF(INDIRECT(V$3),'Struktur Vorjahr'!$D91,INDIRECT(V$5)))</f>
        <v>0</v>
      </c>
      <c r="W91" s="593">
        <f ca="1">$E91*(-SUMIF(INDIRECT(W$3),'Struktur Vorjahr'!$D91,INDIRECT(W$4))+SUMIF(INDIRECT(W$3),'Struktur Vorjahr'!$D91,INDIRECT(W$5)))</f>
        <v>0</v>
      </c>
      <c r="X91" s="593">
        <f ca="1">$E91*(-SUMIF(INDIRECT(X$3),'Struktur Vorjahr'!$D91,INDIRECT(X$4))+SUMIF(INDIRECT(X$3),'Struktur Vorjahr'!$D91,INDIRECT(X$5)))</f>
        <v>0</v>
      </c>
      <c r="Y91" s="593">
        <f ca="1">$E91*(-SUMIF(INDIRECT(Y$3),'Struktur Vorjahr'!$D91,INDIRECT(Y$4))+SUMIF(INDIRECT(Y$3),'Struktur Vorjahr'!$D91,INDIRECT(Y$5)))</f>
        <v>0</v>
      </c>
      <c r="Z91" s="593">
        <f ca="1">$E91*(-SUMIF(INDIRECT(Z$3),'Struktur Vorjahr'!$D91,INDIRECT(Z$4))+SUMIF(INDIRECT(Z$3),'Struktur Vorjahr'!$D91,INDIRECT(Z$5)))</f>
        <v>0</v>
      </c>
      <c r="AA91" s="593">
        <f ca="1">$E91*(-SUMIF(INDIRECT(AA$3),'Struktur Vorjahr'!$D91,INDIRECT(AA$4))+SUMIF(INDIRECT(AA$3),'Struktur Vorjahr'!$D91,INDIRECT(AA$5)))</f>
        <v>0</v>
      </c>
      <c r="AB91" s="593">
        <f ca="1">$E91*(-SUMIF(INDIRECT(AB$3),'Struktur Vorjahr'!$D91,INDIRECT(AB$4))+SUMIF(INDIRECT(AB$3),'Struktur Vorjahr'!$D91,INDIRECT(AB$5)))</f>
        <v>0</v>
      </c>
      <c r="AC91" s="593">
        <f ca="1">$E91*(-SUMIF(INDIRECT(AC$3),'Struktur Vorjahr'!$D91,INDIRECT(AC$4))+SUMIF(INDIRECT(AC$3),'Struktur Vorjahr'!$D91,INDIRECT(AC$5)))</f>
        <v>0</v>
      </c>
      <c r="AD91" s="593">
        <f ca="1">$E91*(-SUMIF(INDIRECT(AD$3),'Struktur Vorjahr'!$D91,INDIRECT(AD$4))+SUMIF(INDIRECT(AD$3),'Struktur Vorjahr'!$D91,INDIRECT(AD$5)))</f>
        <v>0</v>
      </c>
      <c r="AE91" s="593">
        <f t="shared" ca="1" si="47"/>
        <v>0</v>
      </c>
      <c r="AF91" s="593">
        <f t="shared" ca="1" si="48"/>
        <v>0</v>
      </c>
      <c r="AG91" s="593">
        <f t="shared" ca="1" si="48"/>
        <v>0</v>
      </c>
      <c r="AH91" s="593">
        <f t="shared" ca="1" si="48"/>
        <v>0</v>
      </c>
      <c r="AI91" s="593">
        <f t="shared" ca="1" si="48"/>
        <v>0</v>
      </c>
      <c r="AJ91" s="593">
        <f t="shared" ca="1" si="48"/>
        <v>0</v>
      </c>
      <c r="AK91" s="593">
        <f t="shared" ca="1" si="48"/>
        <v>0</v>
      </c>
      <c r="AL91" s="593">
        <f t="shared" ca="1" si="48"/>
        <v>0</v>
      </c>
      <c r="AM91" s="593">
        <f t="shared" ca="1" si="48"/>
        <v>0</v>
      </c>
      <c r="AN91" s="593">
        <f t="shared" ca="1" si="48"/>
        <v>0</v>
      </c>
      <c r="AO91" s="593">
        <f t="shared" ca="1" si="48"/>
        <v>0</v>
      </c>
      <c r="AP91" s="593">
        <f t="shared" ca="1" si="48"/>
        <v>0</v>
      </c>
    </row>
    <row r="92" spans="1:42" s="594" customFormat="1" ht="11.25" outlineLevel="1" x14ac:dyDescent="0.2">
      <c r="A92" s="599" t="s">
        <v>240</v>
      </c>
      <c r="B92" s="591" t="str">
        <f>IF(D92&lt;&gt;"",
IF(ISERROR(MATCH(D92,'Ist Vorjahr Monat 01'!A:A,0))=FALSE,INDEX('Ist Vorjahr Monat 01'!B:B,MATCH(D92,'Ist Vorjahr Monat 01'!A:A,0)),
IF(ISERROR(MATCH(D92,'Ist Vorjahr Monat 02'!A:A,0))=FALSE,INDEX('Ist Vorjahr Monat 02'!B:B,MATCH(D92,'Ist Vorjahr Monat 02'!A:A,0)),
IF(ISERROR(MATCH(D92,'Ist Vorjahr Monat 03'!A:A,0))=FALSE,INDEX('Ist Vorjahr Monat 03'!B:B,MATCH(D92,'Ist Vorjahr Monat 03'!A:A,0)),
IF(ISERROR(MATCH(D92,'Ist Vorjahr Monat 04'!A:A,0))=FALSE,INDEX('Ist Vorjahr Monat 04'!B:B,MATCH(D92,'Ist Vorjahr Monat 04'!A:A,0)),
IF(ISERROR(MATCH(D92,'Ist Vorjahr Monat 05'!A:A,0))=FALSE,INDEX('Ist Vorjahr Monat 05'!B:B,MATCH(D92,'Ist Vorjahr Monat 05'!A:A,0)),
IF(ISERROR(MATCH(D92,'Ist Vorjahr Monat 06'!A:A,0))=FALSE,INDEX('Ist Vorjahr Monat 06'!B:B,MATCH(D92,'Ist Vorjahr Monat 06'!A:A,0)),
IF(ISERROR(MATCH(D92,'Ist Vorjahr Monat 07'!A:A,0))=FALSE,INDEX('Ist Vorjahr Monat 07'!B:B,MATCH(D92,'Ist Vorjahr Monat 07'!A:A,0)),
IF(ISERROR(MATCH(D92,'Ist Vorjahr Monat 08'!A:A,0))=FALSE,INDEX('Ist Vorjahr Monat 08'!B:B,MATCH(D92,'Ist Vorjahr Monat 08'!A:A,0)),
IF(ISERROR(MATCH(D92,'Ist Vorjahr Monat 09'!A:A,0))=FALSE,INDEX('Ist Vorjahr Monat 09'!B:B,MATCH(D92,'Ist Vorjahr Monat 09'!A:A,0)),
IF(ISERROR(MATCH(D92,'Ist Vorjahr Monat 10'!A:A,0))=FALSE,INDEX('Ist Vorjahr Monat 10'!B:B,MATCH(D92,'Ist Vorjahr Monat 10'!A:A,0)),
IF(ISERROR(MATCH(D92,'Ist Vorjahr Monat 11'!A:A,0))=FALSE,INDEX('Ist Vorjahr Monat 11'!B:B,MATCH(D92,'Ist Vorjahr Monat 11'!A:A,0)),
IF(ISERROR(MATCH(D92,'Ist Vorjahr Monat 12'!A:A,0))=FALSE,INDEX('Ist Vorjahr Monat 12'!B:B,MATCH(D92,'Ist Vorjahr Monat 12'!A:A,0)),
"{Konto unbekannt}"
)))))))))))),"")</f>
        <v/>
      </c>
      <c r="C92" s="591"/>
      <c r="D92" s="590"/>
      <c r="E92" s="592">
        <f t="shared" si="34"/>
        <v>-1</v>
      </c>
      <c r="F92" s="599" t="s">
        <v>996</v>
      </c>
      <c r="G92" s="593">
        <f ca="1">$E92*(-SUMIF(INDIRECT(G$3),'Struktur Vorjahr'!$D92,INDIRECT(G$4))+SUMIF(INDIRECT(G$3),'Struktur Vorjahr'!$D92,INDIRECT(G$5)))</f>
        <v>0</v>
      </c>
      <c r="H92" s="593">
        <f ca="1">$E92*(-SUMIF(INDIRECT(H$3),'Struktur Vorjahr'!$D92,INDIRECT(H$4))+SUMIF(INDIRECT(H$3),'Struktur Vorjahr'!$D92,INDIRECT(H$5)))</f>
        <v>0</v>
      </c>
      <c r="I92" s="593">
        <f ca="1">$E92*(-SUMIF(INDIRECT(I$3),'Struktur Vorjahr'!$D92,INDIRECT(I$4))+SUMIF(INDIRECT(I$3),'Struktur Vorjahr'!$D92,INDIRECT(I$5)))</f>
        <v>0</v>
      </c>
      <c r="J92" s="593">
        <f ca="1">$E92*(-SUMIF(INDIRECT(J$3),'Struktur Vorjahr'!$D92,INDIRECT(J$4))+SUMIF(INDIRECT(J$3),'Struktur Vorjahr'!$D92,INDIRECT(J$5)))</f>
        <v>0</v>
      </c>
      <c r="K92" s="593">
        <f ca="1">$E92*(-SUMIF(INDIRECT(K$3),'Struktur Vorjahr'!$D92,INDIRECT(K$4))+SUMIF(INDIRECT(K$3),'Struktur Vorjahr'!$D92,INDIRECT(K$5)))</f>
        <v>0</v>
      </c>
      <c r="L92" s="593">
        <f ca="1">$E92*(-SUMIF(INDIRECT(L$3),'Struktur Vorjahr'!$D92,INDIRECT(L$4))+SUMIF(INDIRECT(L$3),'Struktur Vorjahr'!$D92,INDIRECT(L$5)))</f>
        <v>0</v>
      </c>
      <c r="M92" s="593">
        <f ca="1">$E92*(-SUMIF(INDIRECT(M$3),'Struktur Vorjahr'!$D92,INDIRECT(M$4))+SUMIF(INDIRECT(M$3),'Struktur Vorjahr'!$D92,INDIRECT(M$5)))</f>
        <v>0</v>
      </c>
      <c r="N92" s="593">
        <f ca="1">$E92*(-SUMIF(INDIRECT(N$3),'Struktur Vorjahr'!$D92,INDIRECT(N$4))+SUMIF(INDIRECT(N$3),'Struktur Vorjahr'!$D92,INDIRECT(N$5)))</f>
        <v>0</v>
      </c>
      <c r="O92" s="593">
        <f ca="1">$E92*(-SUMIF(INDIRECT(O$3),'Struktur Vorjahr'!$D92,INDIRECT(O$4))+SUMIF(INDIRECT(O$3),'Struktur Vorjahr'!$D92,INDIRECT(O$5)))</f>
        <v>0</v>
      </c>
      <c r="P92" s="593">
        <f ca="1">$E92*(-SUMIF(INDIRECT(P$3),'Struktur Vorjahr'!$D92,INDIRECT(P$4))+SUMIF(INDIRECT(P$3),'Struktur Vorjahr'!$D92,INDIRECT(P$5)))</f>
        <v>0</v>
      </c>
      <c r="Q92" s="593">
        <f ca="1">$E92*(-SUMIF(INDIRECT(Q$3),'Struktur Vorjahr'!$D92,INDIRECT(Q$4))+SUMIF(INDIRECT(Q$3),'Struktur Vorjahr'!$D92,INDIRECT(Q$5)))</f>
        <v>0</v>
      </c>
      <c r="R92" s="593">
        <f ca="1">$E92*(-SUMIF(INDIRECT(R$3),'Struktur Vorjahr'!$D92,INDIRECT(R$4))+SUMIF(INDIRECT(R$3),'Struktur Vorjahr'!$D92,INDIRECT(R$5)))</f>
        <v>0</v>
      </c>
      <c r="S92" s="593">
        <f ca="1">$E92*(-SUMIF(INDIRECT(S$3),'Struktur Vorjahr'!$D92,INDIRECT(S$4))+SUMIF(INDIRECT(S$3),'Struktur Vorjahr'!$D92,INDIRECT(S$5)))</f>
        <v>0</v>
      </c>
      <c r="T92" s="593">
        <f ca="1">$E92*(-SUMIF(INDIRECT(T$3),'Struktur Vorjahr'!$D92,INDIRECT(T$4))+SUMIF(INDIRECT(T$3),'Struktur Vorjahr'!$D92,INDIRECT(T$5)))</f>
        <v>0</v>
      </c>
      <c r="U92" s="593">
        <f ca="1">$E92*(-SUMIF(INDIRECT(U$3),'Struktur Vorjahr'!$D92,INDIRECT(U$4))+SUMIF(INDIRECT(U$3),'Struktur Vorjahr'!$D92,INDIRECT(U$5)))</f>
        <v>0</v>
      </c>
      <c r="V92" s="593">
        <f ca="1">$E92*(-SUMIF(INDIRECT(V$3),'Struktur Vorjahr'!$D92,INDIRECT(V$4))+SUMIF(INDIRECT(V$3),'Struktur Vorjahr'!$D92,INDIRECT(V$5)))</f>
        <v>0</v>
      </c>
      <c r="W92" s="593">
        <f ca="1">$E92*(-SUMIF(INDIRECT(W$3),'Struktur Vorjahr'!$D92,INDIRECT(W$4))+SUMIF(INDIRECT(W$3),'Struktur Vorjahr'!$D92,INDIRECT(W$5)))</f>
        <v>0</v>
      </c>
      <c r="X92" s="593">
        <f ca="1">$E92*(-SUMIF(INDIRECT(X$3),'Struktur Vorjahr'!$D92,INDIRECT(X$4))+SUMIF(INDIRECT(X$3),'Struktur Vorjahr'!$D92,INDIRECT(X$5)))</f>
        <v>0</v>
      </c>
      <c r="Y92" s="593">
        <f ca="1">$E92*(-SUMIF(INDIRECT(Y$3),'Struktur Vorjahr'!$D92,INDIRECT(Y$4))+SUMIF(INDIRECT(Y$3),'Struktur Vorjahr'!$D92,INDIRECT(Y$5)))</f>
        <v>0</v>
      </c>
      <c r="Z92" s="593">
        <f ca="1">$E92*(-SUMIF(INDIRECT(Z$3),'Struktur Vorjahr'!$D92,INDIRECT(Z$4))+SUMIF(INDIRECT(Z$3),'Struktur Vorjahr'!$D92,INDIRECT(Z$5)))</f>
        <v>0</v>
      </c>
      <c r="AA92" s="593">
        <f ca="1">$E92*(-SUMIF(INDIRECT(AA$3),'Struktur Vorjahr'!$D92,INDIRECT(AA$4))+SUMIF(INDIRECT(AA$3),'Struktur Vorjahr'!$D92,INDIRECT(AA$5)))</f>
        <v>0</v>
      </c>
      <c r="AB92" s="593">
        <f ca="1">$E92*(-SUMIF(INDIRECT(AB$3),'Struktur Vorjahr'!$D92,INDIRECT(AB$4))+SUMIF(INDIRECT(AB$3),'Struktur Vorjahr'!$D92,INDIRECT(AB$5)))</f>
        <v>0</v>
      </c>
      <c r="AC92" s="593">
        <f ca="1">$E92*(-SUMIF(INDIRECT(AC$3),'Struktur Vorjahr'!$D92,INDIRECT(AC$4))+SUMIF(INDIRECT(AC$3),'Struktur Vorjahr'!$D92,INDIRECT(AC$5)))</f>
        <v>0</v>
      </c>
      <c r="AD92" s="593">
        <f ca="1">$E92*(-SUMIF(INDIRECT(AD$3),'Struktur Vorjahr'!$D92,INDIRECT(AD$4))+SUMIF(INDIRECT(AD$3),'Struktur Vorjahr'!$D92,INDIRECT(AD$5)))</f>
        <v>0</v>
      </c>
      <c r="AE92" s="593">
        <f t="shared" ca="1" si="47"/>
        <v>0</v>
      </c>
      <c r="AF92" s="593">
        <f t="shared" ca="1" si="48"/>
        <v>0</v>
      </c>
      <c r="AG92" s="593">
        <f t="shared" ca="1" si="48"/>
        <v>0</v>
      </c>
      <c r="AH92" s="593">
        <f t="shared" ca="1" si="48"/>
        <v>0</v>
      </c>
      <c r="AI92" s="593">
        <f t="shared" ca="1" si="48"/>
        <v>0</v>
      </c>
      <c r="AJ92" s="593">
        <f t="shared" ca="1" si="48"/>
        <v>0</v>
      </c>
      <c r="AK92" s="593">
        <f t="shared" ca="1" si="48"/>
        <v>0</v>
      </c>
      <c r="AL92" s="593">
        <f t="shared" ca="1" si="48"/>
        <v>0</v>
      </c>
      <c r="AM92" s="593">
        <f t="shared" ca="1" si="48"/>
        <v>0</v>
      </c>
      <c r="AN92" s="593">
        <f t="shared" ca="1" si="48"/>
        <v>0</v>
      </c>
      <c r="AO92" s="593">
        <f t="shared" ca="1" si="48"/>
        <v>0</v>
      </c>
      <c r="AP92" s="593">
        <f t="shared" ca="1" si="48"/>
        <v>0</v>
      </c>
    </row>
    <row r="93" spans="1:42" s="594" customFormat="1" ht="11.25" outlineLevel="1" x14ac:dyDescent="0.2">
      <c r="A93" s="599" t="s">
        <v>240</v>
      </c>
      <c r="B93" s="591" t="str">
        <f>IF(D93&lt;&gt;"",
IF(ISERROR(MATCH(D93,'Ist Vorjahr Monat 01'!A:A,0))=FALSE,INDEX('Ist Vorjahr Monat 01'!B:B,MATCH(D93,'Ist Vorjahr Monat 01'!A:A,0)),
IF(ISERROR(MATCH(D93,'Ist Vorjahr Monat 02'!A:A,0))=FALSE,INDEX('Ist Vorjahr Monat 02'!B:B,MATCH(D93,'Ist Vorjahr Monat 02'!A:A,0)),
IF(ISERROR(MATCH(D93,'Ist Vorjahr Monat 03'!A:A,0))=FALSE,INDEX('Ist Vorjahr Monat 03'!B:B,MATCH(D93,'Ist Vorjahr Monat 03'!A:A,0)),
IF(ISERROR(MATCH(D93,'Ist Vorjahr Monat 04'!A:A,0))=FALSE,INDEX('Ist Vorjahr Monat 04'!B:B,MATCH(D93,'Ist Vorjahr Monat 04'!A:A,0)),
IF(ISERROR(MATCH(D93,'Ist Vorjahr Monat 05'!A:A,0))=FALSE,INDEX('Ist Vorjahr Monat 05'!B:B,MATCH(D93,'Ist Vorjahr Monat 05'!A:A,0)),
IF(ISERROR(MATCH(D93,'Ist Vorjahr Monat 06'!A:A,0))=FALSE,INDEX('Ist Vorjahr Monat 06'!B:B,MATCH(D93,'Ist Vorjahr Monat 06'!A:A,0)),
IF(ISERROR(MATCH(D93,'Ist Vorjahr Monat 07'!A:A,0))=FALSE,INDEX('Ist Vorjahr Monat 07'!B:B,MATCH(D93,'Ist Vorjahr Monat 07'!A:A,0)),
IF(ISERROR(MATCH(D93,'Ist Vorjahr Monat 08'!A:A,0))=FALSE,INDEX('Ist Vorjahr Monat 08'!B:B,MATCH(D93,'Ist Vorjahr Monat 08'!A:A,0)),
IF(ISERROR(MATCH(D93,'Ist Vorjahr Monat 09'!A:A,0))=FALSE,INDEX('Ist Vorjahr Monat 09'!B:B,MATCH(D93,'Ist Vorjahr Monat 09'!A:A,0)),
IF(ISERROR(MATCH(D93,'Ist Vorjahr Monat 10'!A:A,0))=FALSE,INDEX('Ist Vorjahr Monat 10'!B:B,MATCH(D93,'Ist Vorjahr Monat 10'!A:A,0)),
IF(ISERROR(MATCH(D93,'Ist Vorjahr Monat 11'!A:A,0))=FALSE,INDEX('Ist Vorjahr Monat 11'!B:B,MATCH(D93,'Ist Vorjahr Monat 11'!A:A,0)),
IF(ISERROR(MATCH(D93,'Ist Vorjahr Monat 12'!A:A,0))=FALSE,INDEX('Ist Vorjahr Monat 12'!B:B,MATCH(D93,'Ist Vorjahr Monat 12'!A:A,0)),
"{Konto unbekannt}"
)))))))))))),"")</f>
        <v/>
      </c>
      <c r="C93" s="591"/>
      <c r="D93" s="590"/>
      <c r="E93" s="592">
        <f t="shared" si="34"/>
        <v>-1</v>
      </c>
      <c r="F93" s="599" t="s">
        <v>996</v>
      </c>
      <c r="G93" s="593">
        <f ca="1">$E93*(-SUMIF(INDIRECT(G$3),'Struktur Vorjahr'!$D93,INDIRECT(G$4))+SUMIF(INDIRECT(G$3),'Struktur Vorjahr'!$D93,INDIRECT(G$5)))</f>
        <v>0</v>
      </c>
      <c r="H93" s="593">
        <f ca="1">$E93*(-SUMIF(INDIRECT(H$3),'Struktur Vorjahr'!$D93,INDIRECT(H$4))+SUMIF(INDIRECT(H$3),'Struktur Vorjahr'!$D93,INDIRECT(H$5)))</f>
        <v>0</v>
      </c>
      <c r="I93" s="593">
        <f ca="1">$E93*(-SUMIF(INDIRECT(I$3),'Struktur Vorjahr'!$D93,INDIRECT(I$4))+SUMIF(INDIRECT(I$3),'Struktur Vorjahr'!$D93,INDIRECT(I$5)))</f>
        <v>0</v>
      </c>
      <c r="J93" s="593">
        <f ca="1">$E93*(-SUMIF(INDIRECT(J$3),'Struktur Vorjahr'!$D93,INDIRECT(J$4))+SUMIF(INDIRECT(J$3),'Struktur Vorjahr'!$D93,INDIRECT(J$5)))</f>
        <v>0</v>
      </c>
      <c r="K93" s="593">
        <f ca="1">$E93*(-SUMIF(INDIRECT(K$3),'Struktur Vorjahr'!$D93,INDIRECT(K$4))+SUMIF(INDIRECT(K$3),'Struktur Vorjahr'!$D93,INDIRECT(K$5)))</f>
        <v>0</v>
      </c>
      <c r="L93" s="593">
        <f ca="1">$E93*(-SUMIF(INDIRECT(L$3),'Struktur Vorjahr'!$D93,INDIRECT(L$4))+SUMIF(INDIRECT(L$3),'Struktur Vorjahr'!$D93,INDIRECT(L$5)))</f>
        <v>0</v>
      </c>
      <c r="M93" s="593">
        <f ca="1">$E93*(-SUMIF(INDIRECT(M$3),'Struktur Vorjahr'!$D93,INDIRECT(M$4))+SUMIF(INDIRECT(M$3),'Struktur Vorjahr'!$D93,INDIRECT(M$5)))</f>
        <v>0</v>
      </c>
      <c r="N93" s="593">
        <f ca="1">$E93*(-SUMIF(INDIRECT(N$3),'Struktur Vorjahr'!$D93,INDIRECT(N$4))+SUMIF(INDIRECT(N$3),'Struktur Vorjahr'!$D93,INDIRECT(N$5)))</f>
        <v>0</v>
      </c>
      <c r="O93" s="593">
        <f ca="1">$E93*(-SUMIF(INDIRECT(O$3),'Struktur Vorjahr'!$D93,INDIRECT(O$4))+SUMIF(INDIRECT(O$3),'Struktur Vorjahr'!$D93,INDIRECT(O$5)))</f>
        <v>0</v>
      </c>
      <c r="P93" s="593">
        <f ca="1">$E93*(-SUMIF(INDIRECT(P$3),'Struktur Vorjahr'!$D93,INDIRECT(P$4))+SUMIF(INDIRECT(P$3),'Struktur Vorjahr'!$D93,INDIRECT(P$5)))</f>
        <v>0</v>
      </c>
      <c r="Q93" s="593">
        <f ca="1">$E93*(-SUMIF(INDIRECT(Q$3),'Struktur Vorjahr'!$D93,INDIRECT(Q$4))+SUMIF(INDIRECT(Q$3),'Struktur Vorjahr'!$D93,INDIRECT(Q$5)))</f>
        <v>0</v>
      </c>
      <c r="R93" s="593">
        <f ca="1">$E93*(-SUMIF(INDIRECT(R$3),'Struktur Vorjahr'!$D93,INDIRECT(R$4))+SUMIF(INDIRECT(R$3),'Struktur Vorjahr'!$D93,INDIRECT(R$5)))</f>
        <v>0</v>
      </c>
      <c r="S93" s="593">
        <f ca="1">$E93*(-SUMIF(INDIRECT(S$3),'Struktur Vorjahr'!$D93,INDIRECT(S$4))+SUMIF(INDIRECT(S$3),'Struktur Vorjahr'!$D93,INDIRECT(S$5)))</f>
        <v>0</v>
      </c>
      <c r="T93" s="593">
        <f ca="1">$E93*(-SUMIF(INDIRECT(T$3),'Struktur Vorjahr'!$D93,INDIRECT(T$4))+SUMIF(INDIRECT(T$3),'Struktur Vorjahr'!$D93,INDIRECT(T$5)))</f>
        <v>0</v>
      </c>
      <c r="U93" s="593">
        <f ca="1">$E93*(-SUMIF(INDIRECT(U$3),'Struktur Vorjahr'!$D93,INDIRECT(U$4))+SUMIF(INDIRECT(U$3),'Struktur Vorjahr'!$D93,INDIRECT(U$5)))</f>
        <v>0</v>
      </c>
      <c r="V93" s="593">
        <f ca="1">$E93*(-SUMIF(INDIRECT(V$3),'Struktur Vorjahr'!$D93,INDIRECT(V$4))+SUMIF(INDIRECT(V$3),'Struktur Vorjahr'!$D93,INDIRECT(V$5)))</f>
        <v>0</v>
      </c>
      <c r="W93" s="593">
        <f ca="1">$E93*(-SUMIF(INDIRECT(W$3),'Struktur Vorjahr'!$D93,INDIRECT(W$4))+SUMIF(INDIRECT(W$3),'Struktur Vorjahr'!$D93,INDIRECT(W$5)))</f>
        <v>0</v>
      </c>
      <c r="X93" s="593">
        <f ca="1">$E93*(-SUMIF(INDIRECT(X$3),'Struktur Vorjahr'!$D93,INDIRECT(X$4))+SUMIF(INDIRECT(X$3),'Struktur Vorjahr'!$D93,INDIRECT(X$5)))</f>
        <v>0</v>
      </c>
      <c r="Y93" s="593">
        <f ca="1">$E93*(-SUMIF(INDIRECT(Y$3),'Struktur Vorjahr'!$D93,INDIRECT(Y$4))+SUMIF(INDIRECT(Y$3),'Struktur Vorjahr'!$D93,INDIRECT(Y$5)))</f>
        <v>0</v>
      </c>
      <c r="Z93" s="593">
        <f ca="1">$E93*(-SUMIF(INDIRECT(Z$3),'Struktur Vorjahr'!$D93,INDIRECT(Z$4))+SUMIF(INDIRECT(Z$3),'Struktur Vorjahr'!$D93,INDIRECT(Z$5)))</f>
        <v>0</v>
      </c>
      <c r="AA93" s="593">
        <f ca="1">$E93*(-SUMIF(INDIRECT(AA$3),'Struktur Vorjahr'!$D93,INDIRECT(AA$4))+SUMIF(INDIRECT(AA$3),'Struktur Vorjahr'!$D93,INDIRECT(AA$5)))</f>
        <v>0</v>
      </c>
      <c r="AB93" s="593">
        <f ca="1">$E93*(-SUMIF(INDIRECT(AB$3),'Struktur Vorjahr'!$D93,INDIRECT(AB$4))+SUMIF(INDIRECT(AB$3),'Struktur Vorjahr'!$D93,INDIRECT(AB$5)))</f>
        <v>0</v>
      </c>
      <c r="AC93" s="593">
        <f ca="1">$E93*(-SUMIF(INDIRECT(AC$3),'Struktur Vorjahr'!$D93,INDIRECT(AC$4))+SUMIF(INDIRECT(AC$3),'Struktur Vorjahr'!$D93,INDIRECT(AC$5)))</f>
        <v>0</v>
      </c>
      <c r="AD93" s="593">
        <f ca="1">$E93*(-SUMIF(INDIRECT(AD$3),'Struktur Vorjahr'!$D93,INDIRECT(AD$4))+SUMIF(INDIRECT(AD$3),'Struktur Vorjahr'!$D93,INDIRECT(AD$5)))</f>
        <v>0</v>
      </c>
      <c r="AE93" s="593">
        <f t="shared" ca="1" si="47"/>
        <v>0</v>
      </c>
      <c r="AF93" s="593">
        <f t="shared" ca="1" si="48"/>
        <v>0</v>
      </c>
      <c r="AG93" s="593">
        <f t="shared" ca="1" si="48"/>
        <v>0</v>
      </c>
      <c r="AH93" s="593">
        <f t="shared" ca="1" si="48"/>
        <v>0</v>
      </c>
      <c r="AI93" s="593">
        <f t="shared" ca="1" si="48"/>
        <v>0</v>
      </c>
      <c r="AJ93" s="593">
        <f t="shared" ca="1" si="48"/>
        <v>0</v>
      </c>
      <c r="AK93" s="593">
        <f t="shared" ca="1" si="48"/>
        <v>0</v>
      </c>
      <c r="AL93" s="593">
        <f t="shared" ca="1" si="48"/>
        <v>0</v>
      </c>
      <c r="AM93" s="593">
        <f t="shared" ca="1" si="48"/>
        <v>0</v>
      </c>
      <c r="AN93" s="593">
        <f t="shared" ca="1" si="48"/>
        <v>0</v>
      </c>
      <c r="AO93" s="593">
        <f t="shared" ca="1" si="48"/>
        <v>0</v>
      </c>
      <c r="AP93" s="593">
        <f t="shared" ca="1" si="48"/>
        <v>0</v>
      </c>
    </row>
    <row r="94" spans="1:42" s="594" customFormat="1" ht="11.25" outlineLevel="1" x14ac:dyDescent="0.2">
      <c r="A94" s="599"/>
      <c r="B94" s="591" t="str">
        <f>IF(D94&lt;&gt;"",
IF(ISERROR(MATCH(D94,'Ist Vorjahr Monat 01'!A:A,0))=FALSE,INDEX('Ist Vorjahr Monat 01'!B:B,MATCH(D94,'Ist Vorjahr Monat 01'!A:A,0)),
IF(ISERROR(MATCH(D94,'Ist Vorjahr Monat 02'!A:A,0))=FALSE,INDEX('Ist Vorjahr Monat 02'!B:B,MATCH(D94,'Ist Vorjahr Monat 02'!A:A,0)),
IF(ISERROR(MATCH(D94,'Ist Vorjahr Monat 03'!A:A,0))=FALSE,INDEX('Ist Vorjahr Monat 03'!B:B,MATCH(D94,'Ist Vorjahr Monat 03'!A:A,0)),
IF(ISERROR(MATCH(D94,'Ist Vorjahr Monat 04'!A:A,0))=FALSE,INDEX('Ist Vorjahr Monat 04'!B:B,MATCH(D94,'Ist Vorjahr Monat 04'!A:A,0)),
IF(ISERROR(MATCH(D94,'Ist Vorjahr Monat 05'!A:A,0))=FALSE,INDEX('Ist Vorjahr Monat 05'!B:B,MATCH(D94,'Ist Vorjahr Monat 05'!A:A,0)),
IF(ISERROR(MATCH(D94,'Ist Vorjahr Monat 06'!A:A,0))=FALSE,INDEX('Ist Vorjahr Monat 06'!B:B,MATCH(D94,'Ist Vorjahr Monat 06'!A:A,0)),
IF(ISERROR(MATCH(D94,'Ist Vorjahr Monat 07'!A:A,0))=FALSE,INDEX('Ist Vorjahr Monat 07'!B:B,MATCH(D94,'Ist Vorjahr Monat 07'!A:A,0)),
IF(ISERROR(MATCH(D94,'Ist Vorjahr Monat 08'!A:A,0))=FALSE,INDEX('Ist Vorjahr Monat 08'!B:B,MATCH(D94,'Ist Vorjahr Monat 08'!A:A,0)),
IF(ISERROR(MATCH(D94,'Ist Vorjahr Monat 09'!A:A,0))=FALSE,INDEX('Ist Vorjahr Monat 09'!B:B,MATCH(D94,'Ist Vorjahr Monat 09'!A:A,0)),
IF(ISERROR(MATCH(D94,'Ist Vorjahr Monat 10'!A:A,0))=FALSE,INDEX('Ist Vorjahr Monat 10'!B:B,MATCH(D94,'Ist Vorjahr Monat 10'!A:A,0)),
IF(ISERROR(MATCH(D94,'Ist Vorjahr Monat 11'!A:A,0))=FALSE,INDEX('Ist Vorjahr Monat 11'!B:B,MATCH(D94,'Ist Vorjahr Monat 11'!A:A,0)),
IF(ISERROR(MATCH(D94,'Ist Vorjahr Monat 12'!A:A,0))=FALSE,INDEX('Ist Vorjahr Monat 12'!B:B,MATCH(D94,'Ist Vorjahr Monat 12'!A:A,0)),
"{Konto unbekannt}"
)))))))))))),"")</f>
        <v/>
      </c>
      <c r="C94" s="591"/>
      <c r="D94" s="590"/>
      <c r="E94" s="592">
        <f t="shared" si="34"/>
        <v>-1</v>
      </c>
      <c r="F94" s="599" t="s">
        <v>996</v>
      </c>
      <c r="G94" s="593">
        <f ca="1">$E94*(-SUMIF(INDIRECT(G$3),'Struktur Vorjahr'!$D94,INDIRECT(G$4))+SUMIF(INDIRECT(G$3),'Struktur Vorjahr'!$D94,INDIRECT(G$5)))</f>
        <v>0</v>
      </c>
      <c r="H94" s="593">
        <f ca="1">$E94*(-SUMIF(INDIRECT(H$3),'Struktur Vorjahr'!$D94,INDIRECT(H$4))+SUMIF(INDIRECT(H$3),'Struktur Vorjahr'!$D94,INDIRECT(H$5)))</f>
        <v>0</v>
      </c>
      <c r="I94" s="593">
        <f ca="1">$E94*(-SUMIF(INDIRECT(I$3),'Struktur Vorjahr'!$D94,INDIRECT(I$4))+SUMIF(INDIRECT(I$3),'Struktur Vorjahr'!$D94,INDIRECT(I$5)))</f>
        <v>0</v>
      </c>
      <c r="J94" s="593">
        <f ca="1">$E94*(-SUMIF(INDIRECT(J$3),'Struktur Vorjahr'!$D94,INDIRECT(J$4))+SUMIF(INDIRECT(J$3),'Struktur Vorjahr'!$D94,INDIRECT(J$5)))</f>
        <v>0</v>
      </c>
      <c r="K94" s="593">
        <f ca="1">$E94*(-SUMIF(INDIRECT(K$3),'Struktur Vorjahr'!$D94,INDIRECT(K$4))+SUMIF(INDIRECT(K$3),'Struktur Vorjahr'!$D94,INDIRECT(K$5)))</f>
        <v>0</v>
      </c>
      <c r="L94" s="593">
        <f ca="1">$E94*(-SUMIF(INDIRECT(L$3),'Struktur Vorjahr'!$D94,INDIRECT(L$4))+SUMIF(INDIRECT(L$3),'Struktur Vorjahr'!$D94,INDIRECT(L$5)))</f>
        <v>0</v>
      </c>
      <c r="M94" s="593">
        <f ca="1">$E94*(-SUMIF(INDIRECT(M$3),'Struktur Vorjahr'!$D94,INDIRECT(M$4))+SUMIF(INDIRECT(M$3),'Struktur Vorjahr'!$D94,INDIRECT(M$5)))</f>
        <v>0</v>
      </c>
      <c r="N94" s="593">
        <f ca="1">$E94*(-SUMIF(INDIRECT(N$3),'Struktur Vorjahr'!$D94,INDIRECT(N$4))+SUMIF(INDIRECT(N$3),'Struktur Vorjahr'!$D94,INDIRECT(N$5)))</f>
        <v>0</v>
      </c>
      <c r="O94" s="593">
        <f ca="1">$E94*(-SUMIF(INDIRECT(O$3),'Struktur Vorjahr'!$D94,INDIRECT(O$4))+SUMIF(INDIRECT(O$3),'Struktur Vorjahr'!$D94,INDIRECT(O$5)))</f>
        <v>0</v>
      </c>
      <c r="P94" s="593">
        <f ca="1">$E94*(-SUMIF(INDIRECT(P$3),'Struktur Vorjahr'!$D94,INDIRECT(P$4))+SUMIF(INDIRECT(P$3),'Struktur Vorjahr'!$D94,INDIRECT(P$5)))</f>
        <v>0</v>
      </c>
      <c r="Q94" s="593">
        <f ca="1">$E94*(-SUMIF(INDIRECT(Q$3),'Struktur Vorjahr'!$D94,INDIRECT(Q$4))+SUMIF(INDIRECT(Q$3),'Struktur Vorjahr'!$D94,INDIRECT(Q$5)))</f>
        <v>0</v>
      </c>
      <c r="R94" s="593">
        <f ca="1">$E94*(-SUMIF(INDIRECT(R$3),'Struktur Vorjahr'!$D94,INDIRECT(R$4))+SUMIF(INDIRECT(R$3),'Struktur Vorjahr'!$D94,INDIRECT(R$5)))</f>
        <v>0</v>
      </c>
      <c r="S94" s="593">
        <f ca="1">$E94*(-SUMIF(INDIRECT(S$3),'Struktur Vorjahr'!$D94,INDIRECT(S$4))+SUMIF(INDIRECT(S$3),'Struktur Vorjahr'!$D94,INDIRECT(S$5)))</f>
        <v>0</v>
      </c>
      <c r="T94" s="593">
        <f ca="1">$E94*(-SUMIF(INDIRECT(T$3),'Struktur Vorjahr'!$D94,INDIRECT(T$4))+SUMIF(INDIRECT(T$3),'Struktur Vorjahr'!$D94,INDIRECT(T$5)))</f>
        <v>0</v>
      </c>
      <c r="U94" s="593">
        <f ca="1">$E94*(-SUMIF(INDIRECT(U$3),'Struktur Vorjahr'!$D94,INDIRECT(U$4))+SUMIF(INDIRECT(U$3),'Struktur Vorjahr'!$D94,INDIRECT(U$5)))</f>
        <v>0</v>
      </c>
      <c r="V94" s="593">
        <f ca="1">$E94*(-SUMIF(INDIRECT(V$3),'Struktur Vorjahr'!$D94,INDIRECT(V$4))+SUMIF(INDIRECT(V$3),'Struktur Vorjahr'!$D94,INDIRECT(V$5)))</f>
        <v>0</v>
      </c>
      <c r="W94" s="593">
        <f ca="1">$E94*(-SUMIF(INDIRECT(W$3),'Struktur Vorjahr'!$D94,INDIRECT(W$4))+SUMIF(INDIRECT(W$3),'Struktur Vorjahr'!$D94,INDIRECT(W$5)))</f>
        <v>0</v>
      </c>
      <c r="X94" s="593">
        <f ca="1">$E94*(-SUMIF(INDIRECT(X$3),'Struktur Vorjahr'!$D94,INDIRECT(X$4))+SUMIF(INDIRECT(X$3),'Struktur Vorjahr'!$D94,INDIRECT(X$5)))</f>
        <v>0</v>
      </c>
      <c r="Y94" s="593">
        <f ca="1">$E94*(-SUMIF(INDIRECT(Y$3),'Struktur Vorjahr'!$D94,INDIRECT(Y$4))+SUMIF(INDIRECT(Y$3),'Struktur Vorjahr'!$D94,INDIRECT(Y$5)))</f>
        <v>0</v>
      </c>
      <c r="Z94" s="593">
        <f ca="1">$E94*(-SUMIF(INDIRECT(Z$3),'Struktur Vorjahr'!$D94,INDIRECT(Z$4))+SUMIF(INDIRECT(Z$3),'Struktur Vorjahr'!$D94,INDIRECT(Z$5)))</f>
        <v>0</v>
      </c>
      <c r="AA94" s="593">
        <f ca="1">$E94*(-SUMIF(INDIRECT(AA$3),'Struktur Vorjahr'!$D94,INDIRECT(AA$4))+SUMIF(INDIRECT(AA$3),'Struktur Vorjahr'!$D94,INDIRECT(AA$5)))</f>
        <v>0</v>
      </c>
      <c r="AB94" s="593">
        <f ca="1">$E94*(-SUMIF(INDIRECT(AB$3),'Struktur Vorjahr'!$D94,INDIRECT(AB$4))+SUMIF(INDIRECT(AB$3),'Struktur Vorjahr'!$D94,INDIRECT(AB$5)))</f>
        <v>0</v>
      </c>
      <c r="AC94" s="593">
        <f ca="1">$E94*(-SUMIF(INDIRECT(AC$3),'Struktur Vorjahr'!$D94,INDIRECT(AC$4))+SUMIF(INDIRECT(AC$3),'Struktur Vorjahr'!$D94,INDIRECT(AC$5)))</f>
        <v>0</v>
      </c>
      <c r="AD94" s="593">
        <f ca="1">$E94*(-SUMIF(INDIRECT(AD$3),'Struktur Vorjahr'!$D94,INDIRECT(AD$4))+SUMIF(INDIRECT(AD$3),'Struktur Vorjahr'!$D94,INDIRECT(AD$5)))</f>
        <v>0</v>
      </c>
      <c r="AE94" s="593">
        <f t="shared" ca="1" si="47"/>
        <v>0</v>
      </c>
      <c r="AF94" s="593">
        <f t="shared" ca="1" si="48"/>
        <v>0</v>
      </c>
      <c r="AG94" s="593">
        <f t="shared" ca="1" si="48"/>
        <v>0</v>
      </c>
      <c r="AH94" s="593">
        <f t="shared" ca="1" si="48"/>
        <v>0</v>
      </c>
      <c r="AI94" s="593">
        <f t="shared" ca="1" si="48"/>
        <v>0</v>
      </c>
      <c r="AJ94" s="593">
        <f t="shared" ca="1" si="48"/>
        <v>0</v>
      </c>
      <c r="AK94" s="593">
        <f t="shared" ca="1" si="48"/>
        <v>0</v>
      </c>
      <c r="AL94" s="593">
        <f t="shared" ca="1" si="48"/>
        <v>0</v>
      </c>
      <c r="AM94" s="593">
        <f t="shared" ca="1" si="48"/>
        <v>0</v>
      </c>
      <c r="AN94" s="593">
        <f t="shared" ca="1" si="48"/>
        <v>0</v>
      </c>
      <c r="AO94" s="593">
        <f t="shared" ca="1" si="48"/>
        <v>0</v>
      </c>
      <c r="AP94" s="593">
        <f t="shared" ca="1" si="48"/>
        <v>0</v>
      </c>
    </row>
    <row r="95" spans="1:42" s="594" customFormat="1" ht="11.25" outlineLevel="1" x14ac:dyDescent="0.2">
      <c r="A95" s="599"/>
      <c r="B95" s="591" t="str">
        <f>IF(D95&lt;&gt;"",
IF(ISERROR(MATCH(D95,'Ist Vorjahr Monat 01'!A:A,0))=FALSE,INDEX('Ist Vorjahr Monat 01'!B:B,MATCH(D95,'Ist Vorjahr Monat 01'!A:A,0)),
IF(ISERROR(MATCH(D95,'Ist Vorjahr Monat 02'!A:A,0))=FALSE,INDEX('Ist Vorjahr Monat 02'!B:B,MATCH(D95,'Ist Vorjahr Monat 02'!A:A,0)),
IF(ISERROR(MATCH(D95,'Ist Vorjahr Monat 03'!A:A,0))=FALSE,INDEX('Ist Vorjahr Monat 03'!B:B,MATCH(D95,'Ist Vorjahr Monat 03'!A:A,0)),
IF(ISERROR(MATCH(D95,'Ist Vorjahr Monat 04'!A:A,0))=FALSE,INDEX('Ist Vorjahr Monat 04'!B:B,MATCH(D95,'Ist Vorjahr Monat 04'!A:A,0)),
IF(ISERROR(MATCH(D95,'Ist Vorjahr Monat 05'!A:A,0))=FALSE,INDEX('Ist Vorjahr Monat 05'!B:B,MATCH(D95,'Ist Vorjahr Monat 05'!A:A,0)),
IF(ISERROR(MATCH(D95,'Ist Vorjahr Monat 06'!A:A,0))=FALSE,INDEX('Ist Vorjahr Monat 06'!B:B,MATCH(D95,'Ist Vorjahr Monat 06'!A:A,0)),
IF(ISERROR(MATCH(D95,'Ist Vorjahr Monat 07'!A:A,0))=FALSE,INDEX('Ist Vorjahr Monat 07'!B:B,MATCH(D95,'Ist Vorjahr Monat 07'!A:A,0)),
IF(ISERROR(MATCH(D95,'Ist Vorjahr Monat 08'!A:A,0))=FALSE,INDEX('Ist Vorjahr Monat 08'!B:B,MATCH(D95,'Ist Vorjahr Monat 08'!A:A,0)),
IF(ISERROR(MATCH(D95,'Ist Vorjahr Monat 09'!A:A,0))=FALSE,INDEX('Ist Vorjahr Monat 09'!B:B,MATCH(D95,'Ist Vorjahr Monat 09'!A:A,0)),
IF(ISERROR(MATCH(D95,'Ist Vorjahr Monat 10'!A:A,0))=FALSE,INDEX('Ist Vorjahr Monat 10'!B:B,MATCH(D95,'Ist Vorjahr Monat 10'!A:A,0)),
IF(ISERROR(MATCH(D95,'Ist Vorjahr Monat 11'!A:A,0))=FALSE,INDEX('Ist Vorjahr Monat 11'!B:B,MATCH(D95,'Ist Vorjahr Monat 11'!A:A,0)),
IF(ISERROR(MATCH(D95,'Ist Vorjahr Monat 12'!A:A,0))=FALSE,INDEX('Ist Vorjahr Monat 12'!B:B,MATCH(D95,'Ist Vorjahr Monat 12'!A:A,0)),
"{Konto unbekannt}"
)))))))))))),"")</f>
        <v/>
      </c>
      <c r="C95" s="591"/>
      <c r="D95" s="590"/>
      <c r="E95" s="592">
        <f t="shared" si="34"/>
        <v>-1</v>
      </c>
      <c r="F95" s="599" t="s">
        <v>996</v>
      </c>
      <c r="G95" s="593">
        <f ca="1">$E95*(-SUMIF(INDIRECT(G$3),'Struktur Vorjahr'!$D95,INDIRECT(G$4))+SUMIF(INDIRECT(G$3),'Struktur Vorjahr'!$D95,INDIRECT(G$5)))</f>
        <v>0</v>
      </c>
      <c r="H95" s="593">
        <f ca="1">$E95*(-SUMIF(INDIRECT(H$3),'Struktur Vorjahr'!$D95,INDIRECT(H$4))+SUMIF(INDIRECT(H$3),'Struktur Vorjahr'!$D95,INDIRECT(H$5)))</f>
        <v>0</v>
      </c>
      <c r="I95" s="593">
        <f ca="1">$E95*(-SUMIF(INDIRECT(I$3),'Struktur Vorjahr'!$D95,INDIRECT(I$4))+SUMIF(INDIRECT(I$3),'Struktur Vorjahr'!$D95,INDIRECT(I$5)))</f>
        <v>0</v>
      </c>
      <c r="J95" s="593">
        <f ca="1">$E95*(-SUMIF(INDIRECT(J$3),'Struktur Vorjahr'!$D95,INDIRECT(J$4))+SUMIF(INDIRECT(J$3),'Struktur Vorjahr'!$D95,INDIRECT(J$5)))</f>
        <v>0</v>
      </c>
      <c r="K95" s="593">
        <f ca="1">$E95*(-SUMIF(INDIRECT(K$3),'Struktur Vorjahr'!$D95,INDIRECT(K$4))+SUMIF(INDIRECT(K$3),'Struktur Vorjahr'!$D95,INDIRECT(K$5)))</f>
        <v>0</v>
      </c>
      <c r="L95" s="593">
        <f ca="1">$E95*(-SUMIF(INDIRECT(L$3),'Struktur Vorjahr'!$D95,INDIRECT(L$4))+SUMIF(INDIRECT(L$3),'Struktur Vorjahr'!$D95,INDIRECT(L$5)))</f>
        <v>0</v>
      </c>
      <c r="M95" s="593">
        <f ca="1">$E95*(-SUMIF(INDIRECT(M$3),'Struktur Vorjahr'!$D95,INDIRECT(M$4))+SUMIF(INDIRECT(M$3),'Struktur Vorjahr'!$D95,INDIRECT(M$5)))</f>
        <v>0</v>
      </c>
      <c r="N95" s="593">
        <f ca="1">$E95*(-SUMIF(INDIRECT(N$3),'Struktur Vorjahr'!$D95,INDIRECT(N$4))+SUMIF(INDIRECT(N$3),'Struktur Vorjahr'!$D95,INDIRECT(N$5)))</f>
        <v>0</v>
      </c>
      <c r="O95" s="593">
        <f ca="1">$E95*(-SUMIF(INDIRECT(O$3),'Struktur Vorjahr'!$D95,INDIRECT(O$4))+SUMIF(INDIRECT(O$3),'Struktur Vorjahr'!$D95,INDIRECT(O$5)))</f>
        <v>0</v>
      </c>
      <c r="P95" s="593">
        <f ca="1">$E95*(-SUMIF(INDIRECT(P$3),'Struktur Vorjahr'!$D95,INDIRECT(P$4))+SUMIF(INDIRECT(P$3),'Struktur Vorjahr'!$D95,INDIRECT(P$5)))</f>
        <v>0</v>
      </c>
      <c r="Q95" s="593">
        <f ca="1">$E95*(-SUMIF(INDIRECT(Q$3),'Struktur Vorjahr'!$D95,INDIRECT(Q$4))+SUMIF(INDIRECT(Q$3),'Struktur Vorjahr'!$D95,INDIRECT(Q$5)))</f>
        <v>0</v>
      </c>
      <c r="R95" s="593">
        <f ca="1">$E95*(-SUMIF(INDIRECT(R$3),'Struktur Vorjahr'!$D95,INDIRECT(R$4))+SUMIF(INDIRECT(R$3),'Struktur Vorjahr'!$D95,INDIRECT(R$5)))</f>
        <v>0</v>
      </c>
      <c r="S95" s="593">
        <f ca="1">$E95*(-SUMIF(INDIRECT(S$3),'Struktur Vorjahr'!$D95,INDIRECT(S$4))+SUMIF(INDIRECT(S$3),'Struktur Vorjahr'!$D95,INDIRECT(S$5)))</f>
        <v>0</v>
      </c>
      <c r="T95" s="593">
        <f ca="1">$E95*(-SUMIF(INDIRECT(T$3),'Struktur Vorjahr'!$D95,INDIRECT(T$4))+SUMIF(INDIRECT(T$3),'Struktur Vorjahr'!$D95,INDIRECT(T$5)))</f>
        <v>0</v>
      </c>
      <c r="U95" s="593">
        <f ca="1">$E95*(-SUMIF(INDIRECT(U$3),'Struktur Vorjahr'!$D95,INDIRECT(U$4))+SUMIF(INDIRECT(U$3),'Struktur Vorjahr'!$D95,INDIRECT(U$5)))</f>
        <v>0</v>
      </c>
      <c r="V95" s="593">
        <f ca="1">$E95*(-SUMIF(INDIRECT(V$3),'Struktur Vorjahr'!$D95,INDIRECT(V$4))+SUMIF(INDIRECT(V$3),'Struktur Vorjahr'!$D95,INDIRECT(V$5)))</f>
        <v>0</v>
      </c>
      <c r="W95" s="593">
        <f ca="1">$E95*(-SUMIF(INDIRECT(W$3),'Struktur Vorjahr'!$D95,INDIRECT(W$4))+SUMIF(INDIRECT(W$3),'Struktur Vorjahr'!$D95,INDIRECT(W$5)))</f>
        <v>0</v>
      </c>
      <c r="X95" s="593">
        <f ca="1">$E95*(-SUMIF(INDIRECT(X$3),'Struktur Vorjahr'!$D95,INDIRECT(X$4))+SUMIF(INDIRECT(X$3),'Struktur Vorjahr'!$D95,INDIRECT(X$5)))</f>
        <v>0</v>
      </c>
      <c r="Y95" s="593">
        <f ca="1">$E95*(-SUMIF(INDIRECT(Y$3),'Struktur Vorjahr'!$D95,INDIRECT(Y$4))+SUMIF(INDIRECT(Y$3),'Struktur Vorjahr'!$D95,INDIRECT(Y$5)))</f>
        <v>0</v>
      </c>
      <c r="Z95" s="593">
        <f ca="1">$E95*(-SUMIF(INDIRECT(Z$3),'Struktur Vorjahr'!$D95,INDIRECT(Z$4))+SUMIF(INDIRECT(Z$3),'Struktur Vorjahr'!$D95,INDIRECT(Z$5)))</f>
        <v>0</v>
      </c>
      <c r="AA95" s="593">
        <f ca="1">$E95*(-SUMIF(INDIRECT(AA$3),'Struktur Vorjahr'!$D95,INDIRECT(AA$4))+SUMIF(INDIRECT(AA$3),'Struktur Vorjahr'!$D95,INDIRECT(AA$5)))</f>
        <v>0</v>
      </c>
      <c r="AB95" s="593">
        <f ca="1">$E95*(-SUMIF(INDIRECT(AB$3),'Struktur Vorjahr'!$D95,INDIRECT(AB$4))+SUMIF(INDIRECT(AB$3),'Struktur Vorjahr'!$D95,INDIRECT(AB$5)))</f>
        <v>0</v>
      </c>
      <c r="AC95" s="593">
        <f ca="1">$E95*(-SUMIF(INDIRECT(AC$3),'Struktur Vorjahr'!$D95,INDIRECT(AC$4))+SUMIF(INDIRECT(AC$3),'Struktur Vorjahr'!$D95,INDIRECT(AC$5)))</f>
        <v>0</v>
      </c>
      <c r="AD95" s="593">
        <f ca="1">$E95*(-SUMIF(INDIRECT(AD$3),'Struktur Vorjahr'!$D95,INDIRECT(AD$4))+SUMIF(INDIRECT(AD$3),'Struktur Vorjahr'!$D95,INDIRECT(AD$5)))</f>
        <v>0</v>
      </c>
      <c r="AE95" s="593">
        <f t="shared" ca="1" si="47"/>
        <v>0</v>
      </c>
      <c r="AF95" s="593">
        <f t="shared" ca="1" si="48"/>
        <v>0</v>
      </c>
      <c r="AG95" s="593">
        <f t="shared" ca="1" si="48"/>
        <v>0</v>
      </c>
      <c r="AH95" s="593">
        <f t="shared" ca="1" si="48"/>
        <v>0</v>
      </c>
      <c r="AI95" s="593">
        <f t="shared" ca="1" si="48"/>
        <v>0</v>
      </c>
      <c r="AJ95" s="593">
        <f t="shared" ca="1" si="48"/>
        <v>0</v>
      </c>
      <c r="AK95" s="593">
        <f t="shared" ca="1" si="48"/>
        <v>0</v>
      </c>
      <c r="AL95" s="593">
        <f t="shared" ca="1" si="48"/>
        <v>0</v>
      </c>
      <c r="AM95" s="593">
        <f t="shared" ca="1" si="48"/>
        <v>0</v>
      </c>
      <c r="AN95" s="593">
        <f t="shared" ca="1" si="48"/>
        <v>0</v>
      </c>
      <c r="AO95" s="593">
        <f t="shared" ca="1" si="48"/>
        <v>0</v>
      </c>
      <c r="AP95" s="593">
        <f t="shared" ca="1" si="48"/>
        <v>0</v>
      </c>
    </row>
    <row r="96" spans="1:42" s="594" customFormat="1" ht="11.25" outlineLevel="1" x14ac:dyDescent="0.2">
      <c r="A96" s="599"/>
      <c r="B96" s="591" t="str">
        <f>IF(D96&lt;&gt;"",
IF(ISERROR(MATCH(D96,'Ist Vorjahr Monat 01'!A:A,0))=FALSE,INDEX('Ist Vorjahr Monat 01'!B:B,MATCH(D96,'Ist Vorjahr Monat 01'!A:A,0)),
IF(ISERROR(MATCH(D96,'Ist Vorjahr Monat 02'!A:A,0))=FALSE,INDEX('Ist Vorjahr Monat 02'!B:B,MATCH(D96,'Ist Vorjahr Monat 02'!A:A,0)),
IF(ISERROR(MATCH(D96,'Ist Vorjahr Monat 03'!A:A,0))=FALSE,INDEX('Ist Vorjahr Monat 03'!B:B,MATCH(D96,'Ist Vorjahr Monat 03'!A:A,0)),
IF(ISERROR(MATCH(D96,'Ist Vorjahr Monat 04'!A:A,0))=FALSE,INDEX('Ist Vorjahr Monat 04'!B:B,MATCH(D96,'Ist Vorjahr Monat 04'!A:A,0)),
IF(ISERROR(MATCH(D96,'Ist Vorjahr Monat 05'!A:A,0))=FALSE,INDEX('Ist Vorjahr Monat 05'!B:B,MATCH(D96,'Ist Vorjahr Monat 05'!A:A,0)),
IF(ISERROR(MATCH(D96,'Ist Vorjahr Monat 06'!A:A,0))=FALSE,INDEX('Ist Vorjahr Monat 06'!B:B,MATCH(D96,'Ist Vorjahr Monat 06'!A:A,0)),
IF(ISERROR(MATCH(D96,'Ist Vorjahr Monat 07'!A:A,0))=FALSE,INDEX('Ist Vorjahr Monat 07'!B:B,MATCH(D96,'Ist Vorjahr Monat 07'!A:A,0)),
IF(ISERROR(MATCH(D96,'Ist Vorjahr Monat 08'!A:A,0))=FALSE,INDEX('Ist Vorjahr Monat 08'!B:B,MATCH(D96,'Ist Vorjahr Monat 08'!A:A,0)),
IF(ISERROR(MATCH(D96,'Ist Vorjahr Monat 09'!A:A,0))=FALSE,INDEX('Ist Vorjahr Monat 09'!B:B,MATCH(D96,'Ist Vorjahr Monat 09'!A:A,0)),
IF(ISERROR(MATCH(D96,'Ist Vorjahr Monat 10'!A:A,0))=FALSE,INDEX('Ist Vorjahr Monat 10'!B:B,MATCH(D96,'Ist Vorjahr Monat 10'!A:A,0)),
IF(ISERROR(MATCH(D96,'Ist Vorjahr Monat 11'!A:A,0))=FALSE,INDEX('Ist Vorjahr Monat 11'!B:B,MATCH(D96,'Ist Vorjahr Monat 11'!A:A,0)),
IF(ISERROR(MATCH(D96,'Ist Vorjahr Monat 12'!A:A,0))=FALSE,INDEX('Ist Vorjahr Monat 12'!B:B,MATCH(D96,'Ist Vorjahr Monat 12'!A:A,0)),
"{Konto unbekannt}"
)))))))))))),"")</f>
        <v/>
      </c>
      <c r="C96" s="591"/>
      <c r="D96" s="590"/>
      <c r="E96" s="592">
        <f t="shared" si="34"/>
        <v>-1</v>
      </c>
      <c r="F96" s="599" t="s">
        <v>996</v>
      </c>
      <c r="G96" s="593">
        <f ca="1">$E96*(-SUMIF(INDIRECT(G$3),'Struktur Vorjahr'!$D96,INDIRECT(G$4))+SUMIF(INDIRECT(G$3),'Struktur Vorjahr'!$D96,INDIRECT(G$5)))</f>
        <v>0</v>
      </c>
      <c r="H96" s="593">
        <f ca="1">$E96*(-SUMIF(INDIRECT(H$3),'Struktur Vorjahr'!$D96,INDIRECT(H$4))+SUMIF(INDIRECT(H$3),'Struktur Vorjahr'!$D96,INDIRECT(H$5)))</f>
        <v>0</v>
      </c>
      <c r="I96" s="593">
        <f ca="1">$E96*(-SUMIF(INDIRECT(I$3),'Struktur Vorjahr'!$D96,INDIRECT(I$4))+SUMIF(INDIRECT(I$3),'Struktur Vorjahr'!$D96,INDIRECT(I$5)))</f>
        <v>0</v>
      </c>
      <c r="J96" s="593">
        <f ca="1">$E96*(-SUMIF(INDIRECT(J$3),'Struktur Vorjahr'!$D96,INDIRECT(J$4))+SUMIF(INDIRECT(J$3),'Struktur Vorjahr'!$D96,INDIRECT(J$5)))</f>
        <v>0</v>
      </c>
      <c r="K96" s="593">
        <f ca="1">$E96*(-SUMIF(INDIRECT(K$3),'Struktur Vorjahr'!$D96,INDIRECT(K$4))+SUMIF(INDIRECT(K$3),'Struktur Vorjahr'!$D96,INDIRECT(K$5)))</f>
        <v>0</v>
      </c>
      <c r="L96" s="593">
        <f ca="1">$E96*(-SUMIF(INDIRECT(L$3),'Struktur Vorjahr'!$D96,INDIRECT(L$4))+SUMIF(INDIRECT(L$3),'Struktur Vorjahr'!$D96,INDIRECT(L$5)))</f>
        <v>0</v>
      </c>
      <c r="M96" s="593">
        <f ca="1">$E96*(-SUMIF(INDIRECT(M$3),'Struktur Vorjahr'!$D96,INDIRECT(M$4))+SUMIF(INDIRECT(M$3),'Struktur Vorjahr'!$D96,INDIRECT(M$5)))</f>
        <v>0</v>
      </c>
      <c r="N96" s="593">
        <f ca="1">$E96*(-SUMIF(INDIRECT(N$3),'Struktur Vorjahr'!$D96,INDIRECT(N$4))+SUMIF(INDIRECT(N$3),'Struktur Vorjahr'!$D96,INDIRECT(N$5)))</f>
        <v>0</v>
      </c>
      <c r="O96" s="593">
        <f ca="1">$E96*(-SUMIF(INDIRECT(O$3),'Struktur Vorjahr'!$D96,INDIRECT(O$4))+SUMIF(INDIRECT(O$3),'Struktur Vorjahr'!$D96,INDIRECT(O$5)))</f>
        <v>0</v>
      </c>
      <c r="P96" s="593">
        <f ca="1">$E96*(-SUMIF(INDIRECT(P$3),'Struktur Vorjahr'!$D96,INDIRECT(P$4))+SUMIF(INDIRECT(P$3),'Struktur Vorjahr'!$D96,INDIRECT(P$5)))</f>
        <v>0</v>
      </c>
      <c r="Q96" s="593">
        <f ca="1">$E96*(-SUMIF(INDIRECT(Q$3),'Struktur Vorjahr'!$D96,INDIRECT(Q$4))+SUMIF(INDIRECT(Q$3),'Struktur Vorjahr'!$D96,INDIRECT(Q$5)))</f>
        <v>0</v>
      </c>
      <c r="R96" s="593">
        <f ca="1">$E96*(-SUMIF(INDIRECT(R$3),'Struktur Vorjahr'!$D96,INDIRECT(R$4))+SUMIF(INDIRECT(R$3),'Struktur Vorjahr'!$D96,INDIRECT(R$5)))</f>
        <v>0</v>
      </c>
      <c r="S96" s="593">
        <f ca="1">$E96*(-SUMIF(INDIRECT(S$3),'Struktur Vorjahr'!$D96,INDIRECT(S$4))+SUMIF(INDIRECT(S$3),'Struktur Vorjahr'!$D96,INDIRECT(S$5)))</f>
        <v>0</v>
      </c>
      <c r="T96" s="593">
        <f ca="1">$E96*(-SUMIF(INDIRECT(T$3),'Struktur Vorjahr'!$D96,INDIRECT(T$4))+SUMIF(INDIRECT(T$3),'Struktur Vorjahr'!$D96,INDIRECT(T$5)))</f>
        <v>0</v>
      </c>
      <c r="U96" s="593">
        <f ca="1">$E96*(-SUMIF(INDIRECT(U$3),'Struktur Vorjahr'!$D96,INDIRECT(U$4))+SUMIF(INDIRECT(U$3),'Struktur Vorjahr'!$D96,INDIRECT(U$5)))</f>
        <v>0</v>
      </c>
      <c r="V96" s="593">
        <f ca="1">$E96*(-SUMIF(INDIRECT(V$3),'Struktur Vorjahr'!$D96,INDIRECT(V$4))+SUMIF(INDIRECT(V$3),'Struktur Vorjahr'!$D96,INDIRECT(V$5)))</f>
        <v>0</v>
      </c>
      <c r="W96" s="593">
        <f ca="1">$E96*(-SUMIF(INDIRECT(W$3),'Struktur Vorjahr'!$D96,INDIRECT(W$4))+SUMIF(INDIRECT(W$3),'Struktur Vorjahr'!$D96,INDIRECT(W$5)))</f>
        <v>0</v>
      </c>
      <c r="X96" s="593">
        <f ca="1">$E96*(-SUMIF(INDIRECT(X$3),'Struktur Vorjahr'!$D96,INDIRECT(X$4))+SUMIF(INDIRECT(X$3),'Struktur Vorjahr'!$D96,INDIRECT(X$5)))</f>
        <v>0</v>
      </c>
      <c r="Y96" s="593">
        <f ca="1">$E96*(-SUMIF(INDIRECT(Y$3),'Struktur Vorjahr'!$D96,INDIRECT(Y$4))+SUMIF(INDIRECT(Y$3),'Struktur Vorjahr'!$D96,INDIRECT(Y$5)))</f>
        <v>0</v>
      </c>
      <c r="Z96" s="593">
        <f ca="1">$E96*(-SUMIF(INDIRECT(Z$3),'Struktur Vorjahr'!$D96,INDIRECT(Z$4))+SUMIF(INDIRECT(Z$3),'Struktur Vorjahr'!$D96,INDIRECT(Z$5)))</f>
        <v>0</v>
      </c>
      <c r="AA96" s="593">
        <f ca="1">$E96*(-SUMIF(INDIRECT(AA$3),'Struktur Vorjahr'!$D96,INDIRECT(AA$4))+SUMIF(INDIRECT(AA$3),'Struktur Vorjahr'!$D96,INDIRECT(AA$5)))</f>
        <v>0</v>
      </c>
      <c r="AB96" s="593">
        <f ca="1">$E96*(-SUMIF(INDIRECT(AB$3),'Struktur Vorjahr'!$D96,INDIRECT(AB$4))+SUMIF(INDIRECT(AB$3),'Struktur Vorjahr'!$D96,INDIRECT(AB$5)))</f>
        <v>0</v>
      </c>
      <c r="AC96" s="593">
        <f ca="1">$E96*(-SUMIF(INDIRECT(AC$3),'Struktur Vorjahr'!$D96,INDIRECT(AC$4))+SUMIF(INDIRECT(AC$3),'Struktur Vorjahr'!$D96,INDIRECT(AC$5)))</f>
        <v>0</v>
      </c>
      <c r="AD96" s="593">
        <f ca="1">$E96*(-SUMIF(INDIRECT(AD$3),'Struktur Vorjahr'!$D96,INDIRECT(AD$4))+SUMIF(INDIRECT(AD$3),'Struktur Vorjahr'!$D96,INDIRECT(AD$5)))</f>
        <v>0</v>
      </c>
      <c r="AE96" s="593">
        <f t="shared" ca="1" si="47"/>
        <v>0</v>
      </c>
      <c r="AF96" s="593">
        <f t="shared" ca="1" si="48"/>
        <v>0</v>
      </c>
      <c r="AG96" s="593">
        <f t="shared" ca="1" si="48"/>
        <v>0</v>
      </c>
      <c r="AH96" s="593">
        <f t="shared" ca="1" si="48"/>
        <v>0</v>
      </c>
      <c r="AI96" s="593">
        <f t="shared" ca="1" si="48"/>
        <v>0</v>
      </c>
      <c r="AJ96" s="593">
        <f t="shared" ca="1" si="48"/>
        <v>0</v>
      </c>
      <c r="AK96" s="593">
        <f t="shared" ca="1" si="48"/>
        <v>0</v>
      </c>
      <c r="AL96" s="593">
        <f t="shared" ca="1" si="48"/>
        <v>0</v>
      </c>
      <c r="AM96" s="593">
        <f t="shared" ca="1" si="48"/>
        <v>0</v>
      </c>
      <c r="AN96" s="593">
        <f t="shared" ca="1" si="48"/>
        <v>0</v>
      </c>
      <c r="AO96" s="593">
        <f t="shared" ca="1" si="48"/>
        <v>0</v>
      </c>
      <c r="AP96" s="593">
        <f t="shared" ca="1" si="48"/>
        <v>0</v>
      </c>
    </row>
    <row r="97" spans="1:42" s="594" customFormat="1" ht="11.25" outlineLevel="1" x14ac:dyDescent="0.2">
      <c r="A97" s="599"/>
      <c r="B97" s="591" t="str">
        <f>IF(D97&lt;&gt;"",
IF(ISERROR(MATCH(D97,'Ist Vorjahr Monat 01'!A:A,0))=FALSE,INDEX('Ist Vorjahr Monat 01'!B:B,MATCH(D97,'Ist Vorjahr Monat 01'!A:A,0)),
IF(ISERROR(MATCH(D97,'Ist Vorjahr Monat 02'!A:A,0))=FALSE,INDEX('Ist Vorjahr Monat 02'!B:B,MATCH(D97,'Ist Vorjahr Monat 02'!A:A,0)),
IF(ISERROR(MATCH(D97,'Ist Vorjahr Monat 03'!A:A,0))=FALSE,INDEX('Ist Vorjahr Monat 03'!B:B,MATCH(D97,'Ist Vorjahr Monat 03'!A:A,0)),
IF(ISERROR(MATCH(D97,'Ist Vorjahr Monat 04'!A:A,0))=FALSE,INDEX('Ist Vorjahr Monat 04'!B:B,MATCH(D97,'Ist Vorjahr Monat 04'!A:A,0)),
IF(ISERROR(MATCH(D97,'Ist Vorjahr Monat 05'!A:A,0))=FALSE,INDEX('Ist Vorjahr Monat 05'!B:B,MATCH(D97,'Ist Vorjahr Monat 05'!A:A,0)),
IF(ISERROR(MATCH(D97,'Ist Vorjahr Monat 06'!A:A,0))=FALSE,INDEX('Ist Vorjahr Monat 06'!B:B,MATCH(D97,'Ist Vorjahr Monat 06'!A:A,0)),
IF(ISERROR(MATCH(D97,'Ist Vorjahr Monat 07'!A:A,0))=FALSE,INDEX('Ist Vorjahr Monat 07'!B:B,MATCH(D97,'Ist Vorjahr Monat 07'!A:A,0)),
IF(ISERROR(MATCH(D97,'Ist Vorjahr Monat 08'!A:A,0))=FALSE,INDEX('Ist Vorjahr Monat 08'!B:B,MATCH(D97,'Ist Vorjahr Monat 08'!A:A,0)),
IF(ISERROR(MATCH(D97,'Ist Vorjahr Monat 09'!A:A,0))=FALSE,INDEX('Ist Vorjahr Monat 09'!B:B,MATCH(D97,'Ist Vorjahr Monat 09'!A:A,0)),
IF(ISERROR(MATCH(D97,'Ist Vorjahr Monat 10'!A:A,0))=FALSE,INDEX('Ist Vorjahr Monat 10'!B:B,MATCH(D97,'Ist Vorjahr Monat 10'!A:A,0)),
IF(ISERROR(MATCH(D97,'Ist Vorjahr Monat 11'!A:A,0))=FALSE,INDEX('Ist Vorjahr Monat 11'!B:B,MATCH(D97,'Ist Vorjahr Monat 11'!A:A,0)),
IF(ISERROR(MATCH(D97,'Ist Vorjahr Monat 12'!A:A,0))=FALSE,INDEX('Ist Vorjahr Monat 12'!B:B,MATCH(D97,'Ist Vorjahr Monat 12'!A:A,0)),
"{Konto unbekannt}"
)))))))))))),"")</f>
        <v/>
      </c>
      <c r="C97" s="591"/>
      <c r="D97" s="590"/>
      <c r="E97" s="592">
        <f t="shared" si="34"/>
        <v>-1</v>
      </c>
      <c r="F97" s="599" t="s">
        <v>996</v>
      </c>
      <c r="G97" s="593">
        <f ca="1">$E97*(-SUMIF(INDIRECT(G$3),'Struktur Vorjahr'!$D97,INDIRECT(G$4))+SUMIF(INDIRECT(G$3),'Struktur Vorjahr'!$D97,INDIRECT(G$5)))</f>
        <v>0</v>
      </c>
      <c r="H97" s="593">
        <f ca="1">$E97*(-SUMIF(INDIRECT(H$3),'Struktur Vorjahr'!$D97,INDIRECT(H$4))+SUMIF(INDIRECT(H$3),'Struktur Vorjahr'!$D97,INDIRECT(H$5)))</f>
        <v>0</v>
      </c>
      <c r="I97" s="593">
        <f ca="1">$E97*(-SUMIF(INDIRECT(I$3),'Struktur Vorjahr'!$D97,INDIRECT(I$4))+SUMIF(INDIRECT(I$3),'Struktur Vorjahr'!$D97,INDIRECT(I$5)))</f>
        <v>0</v>
      </c>
      <c r="J97" s="593">
        <f ca="1">$E97*(-SUMIF(INDIRECT(J$3),'Struktur Vorjahr'!$D97,INDIRECT(J$4))+SUMIF(INDIRECT(J$3),'Struktur Vorjahr'!$D97,INDIRECT(J$5)))</f>
        <v>0</v>
      </c>
      <c r="K97" s="593">
        <f ca="1">$E97*(-SUMIF(INDIRECT(K$3),'Struktur Vorjahr'!$D97,INDIRECT(K$4))+SUMIF(INDIRECT(K$3),'Struktur Vorjahr'!$D97,INDIRECT(K$5)))</f>
        <v>0</v>
      </c>
      <c r="L97" s="593">
        <f ca="1">$E97*(-SUMIF(INDIRECT(L$3),'Struktur Vorjahr'!$D97,INDIRECT(L$4))+SUMIF(INDIRECT(L$3),'Struktur Vorjahr'!$D97,INDIRECT(L$5)))</f>
        <v>0</v>
      </c>
      <c r="M97" s="593">
        <f ca="1">$E97*(-SUMIF(INDIRECT(M$3),'Struktur Vorjahr'!$D97,INDIRECT(M$4))+SUMIF(INDIRECT(M$3),'Struktur Vorjahr'!$D97,INDIRECT(M$5)))</f>
        <v>0</v>
      </c>
      <c r="N97" s="593">
        <f ca="1">$E97*(-SUMIF(INDIRECT(N$3),'Struktur Vorjahr'!$D97,INDIRECT(N$4))+SUMIF(INDIRECT(N$3),'Struktur Vorjahr'!$D97,INDIRECT(N$5)))</f>
        <v>0</v>
      </c>
      <c r="O97" s="593">
        <f ca="1">$E97*(-SUMIF(INDIRECT(O$3),'Struktur Vorjahr'!$D97,INDIRECT(O$4))+SUMIF(INDIRECT(O$3),'Struktur Vorjahr'!$D97,INDIRECT(O$5)))</f>
        <v>0</v>
      </c>
      <c r="P97" s="593">
        <f ca="1">$E97*(-SUMIF(INDIRECT(P$3),'Struktur Vorjahr'!$D97,INDIRECT(P$4))+SUMIF(INDIRECT(P$3),'Struktur Vorjahr'!$D97,INDIRECT(P$5)))</f>
        <v>0</v>
      </c>
      <c r="Q97" s="593">
        <f ca="1">$E97*(-SUMIF(INDIRECT(Q$3),'Struktur Vorjahr'!$D97,INDIRECT(Q$4))+SUMIF(INDIRECT(Q$3),'Struktur Vorjahr'!$D97,INDIRECT(Q$5)))</f>
        <v>0</v>
      </c>
      <c r="R97" s="593">
        <f ca="1">$E97*(-SUMIF(INDIRECT(R$3),'Struktur Vorjahr'!$D97,INDIRECT(R$4))+SUMIF(INDIRECT(R$3),'Struktur Vorjahr'!$D97,INDIRECT(R$5)))</f>
        <v>0</v>
      </c>
      <c r="S97" s="593">
        <f ca="1">$E97*(-SUMIF(INDIRECT(S$3),'Struktur Vorjahr'!$D97,INDIRECT(S$4))+SUMIF(INDIRECT(S$3),'Struktur Vorjahr'!$D97,INDIRECT(S$5)))</f>
        <v>0</v>
      </c>
      <c r="T97" s="593">
        <f ca="1">$E97*(-SUMIF(INDIRECT(T$3),'Struktur Vorjahr'!$D97,INDIRECT(T$4))+SUMIF(INDIRECT(T$3),'Struktur Vorjahr'!$D97,INDIRECT(T$5)))</f>
        <v>0</v>
      </c>
      <c r="U97" s="593">
        <f ca="1">$E97*(-SUMIF(INDIRECT(U$3),'Struktur Vorjahr'!$D97,INDIRECT(U$4))+SUMIF(INDIRECT(U$3),'Struktur Vorjahr'!$D97,INDIRECT(U$5)))</f>
        <v>0</v>
      </c>
      <c r="V97" s="593">
        <f ca="1">$E97*(-SUMIF(INDIRECT(V$3),'Struktur Vorjahr'!$D97,INDIRECT(V$4))+SUMIF(INDIRECT(V$3),'Struktur Vorjahr'!$D97,INDIRECT(V$5)))</f>
        <v>0</v>
      </c>
      <c r="W97" s="593">
        <f ca="1">$E97*(-SUMIF(INDIRECT(W$3),'Struktur Vorjahr'!$D97,INDIRECT(W$4))+SUMIF(INDIRECT(W$3),'Struktur Vorjahr'!$D97,INDIRECT(W$5)))</f>
        <v>0</v>
      </c>
      <c r="X97" s="593">
        <f ca="1">$E97*(-SUMIF(INDIRECT(X$3),'Struktur Vorjahr'!$D97,INDIRECT(X$4))+SUMIF(INDIRECT(X$3),'Struktur Vorjahr'!$D97,INDIRECT(X$5)))</f>
        <v>0</v>
      </c>
      <c r="Y97" s="593">
        <f ca="1">$E97*(-SUMIF(INDIRECT(Y$3),'Struktur Vorjahr'!$D97,INDIRECT(Y$4))+SUMIF(INDIRECT(Y$3),'Struktur Vorjahr'!$D97,INDIRECT(Y$5)))</f>
        <v>0</v>
      </c>
      <c r="Z97" s="593">
        <f ca="1">$E97*(-SUMIF(INDIRECT(Z$3),'Struktur Vorjahr'!$D97,INDIRECT(Z$4))+SUMIF(INDIRECT(Z$3),'Struktur Vorjahr'!$D97,INDIRECT(Z$5)))</f>
        <v>0</v>
      </c>
      <c r="AA97" s="593">
        <f ca="1">$E97*(-SUMIF(INDIRECT(AA$3),'Struktur Vorjahr'!$D97,INDIRECT(AA$4))+SUMIF(INDIRECT(AA$3),'Struktur Vorjahr'!$D97,INDIRECT(AA$5)))</f>
        <v>0</v>
      </c>
      <c r="AB97" s="593">
        <f ca="1">$E97*(-SUMIF(INDIRECT(AB$3),'Struktur Vorjahr'!$D97,INDIRECT(AB$4))+SUMIF(INDIRECT(AB$3),'Struktur Vorjahr'!$D97,INDIRECT(AB$5)))</f>
        <v>0</v>
      </c>
      <c r="AC97" s="593">
        <f ca="1">$E97*(-SUMIF(INDIRECT(AC$3),'Struktur Vorjahr'!$D97,INDIRECT(AC$4))+SUMIF(INDIRECT(AC$3),'Struktur Vorjahr'!$D97,INDIRECT(AC$5)))</f>
        <v>0</v>
      </c>
      <c r="AD97" s="593">
        <f ca="1">$E97*(-SUMIF(INDIRECT(AD$3),'Struktur Vorjahr'!$D97,INDIRECT(AD$4))+SUMIF(INDIRECT(AD$3),'Struktur Vorjahr'!$D97,INDIRECT(AD$5)))</f>
        <v>0</v>
      </c>
      <c r="AE97" s="593">
        <f t="shared" ca="1" si="47"/>
        <v>0</v>
      </c>
      <c r="AF97" s="593">
        <f t="shared" ca="1" si="48"/>
        <v>0</v>
      </c>
      <c r="AG97" s="593">
        <f t="shared" ca="1" si="48"/>
        <v>0</v>
      </c>
      <c r="AH97" s="593">
        <f t="shared" ca="1" si="48"/>
        <v>0</v>
      </c>
      <c r="AI97" s="593">
        <f t="shared" ca="1" si="48"/>
        <v>0</v>
      </c>
      <c r="AJ97" s="593">
        <f t="shared" ca="1" si="48"/>
        <v>0</v>
      </c>
      <c r="AK97" s="593">
        <f t="shared" ca="1" si="48"/>
        <v>0</v>
      </c>
      <c r="AL97" s="593">
        <f t="shared" ca="1" si="48"/>
        <v>0</v>
      </c>
      <c r="AM97" s="593">
        <f t="shared" ca="1" si="48"/>
        <v>0</v>
      </c>
      <c r="AN97" s="593">
        <f t="shared" ca="1" si="48"/>
        <v>0</v>
      </c>
      <c r="AO97" s="593">
        <f t="shared" ca="1" si="48"/>
        <v>0</v>
      </c>
      <c r="AP97" s="593">
        <f t="shared" ca="1" si="48"/>
        <v>0</v>
      </c>
    </row>
    <row r="98" spans="1:42" s="824" customFormat="1" x14ac:dyDescent="0.2">
      <c r="A98" s="585">
        <v>9</v>
      </c>
      <c r="B98" s="586" t="s">
        <v>1004</v>
      </c>
      <c r="C98" s="587">
        <f ca="1">SUM(G98:R98)</f>
        <v>4097.16</v>
      </c>
      <c r="D98" s="587"/>
      <c r="E98" s="588">
        <f t="shared" si="34"/>
        <v>1</v>
      </c>
      <c r="F98" s="585"/>
      <c r="G98" s="587">
        <f t="shared" ref="G98:S98" ca="1" si="49">SUM(G99:G106)</f>
        <v>451.78999999999996</v>
      </c>
      <c r="H98" s="587">
        <f ca="1">SUM(H99:H106)</f>
        <v>212.62</v>
      </c>
      <c r="I98" s="587">
        <f t="shared" ca="1" si="49"/>
        <v>397.87</v>
      </c>
      <c r="J98" s="587">
        <f t="shared" ca="1" si="49"/>
        <v>245.23</v>
      </c>
      <c r="K98" s="587">
        <f t="shared" ca="1" si="49"/>
        <v>888.78</v>
      </c>
      <c r="L98" s="587">
        <f t="shared" ca="1" si="49"/>
        <v>372.61999999999995</v>
      </c>
      <c r="M98" s="587">
        <f t="shared" ca="1" si="49"/>
        <v>302.62</v>
      </c>
      <c r="N98" s="587">
        <f t="shared" ca="1" si="49"/>
        <v>802.06999999999994</v>
      </c>
      <c r="O98" s="587">
        <f t="shared" ca="1" si="49"/>
        <v>211.78</v>
      </c>
      <c r="P98" s="587">
        <f t="shared" ca="1" si="49"/>
        <v>211.78</v>
      </c>
      <c r="Q98" s="587">
        <f t="shared" ca="1" si="49"/>
        <v>0</v>
      </c>
      <c r="R98" s="587">
        <f t="shared" ca="1" si="49"/>
        <v>0</v>
      </c>
      <c r="S98" s="587">
        <f t="shared" ca="1" si="49"/>
        <v>451.78999999999996</v>
      </c>
      <c r="T98" s="587">
        <f ca="1">SUM(T99:T106)</f>
        <v>664.41</v>
      </c>
      <c r="U98" s="587">
        <f t="shared" ref="U98:AE98" ca="1" si="50">SUM(U99:U106)</f>
        <v>1062.28</v>
      </c>
      <c r="V98" s="587">
        <f t="shared" ca="1" si="50"/>
        <v>1307.51</v>
      </c>
      <c r="W98" s="587">
        <f t="shared" ca="1" si="50"/>
        <v>2196.29</v>
      </c>
      <c r="X98" s="587">
        <f t="shared" ca="1" si="50"/>
        <v>2568.91</v>
      </c>
      <c r="Y98" s="587">
        <f t="shared" ca="1" si="50"/>
        <v>2871.53</v>
      </c>
      <c r="Z98" s="587">
        <f t="shared" ca="1" si="50"/>
        <v>3673.6</v>
      </c>
      <c r="AA98" s="587">
        <f t="shared" ca="1" si="50"/>
        <v>3885.38</v>
      </c>
      <c r="AB98" s="587">
        <f t="shared" ca="1" si="50"/>
        <v>4097.16</v>
      </c>
      <c r="AC98" s="587">
        <f t="shared" ca="1" si="50"/>
        <v>0</v>
      </c>
      <c r="AD98" s="587">
        <f t="shared" ca="1" si="50"/>
        <v>0</v>
      </c>
      <c r="AE98" s="587">
        <f t="shared" ca="1" si="50"/>
        <v>451.78999999999996</v>
      </c>
      <c r="AF98" s="587">
        <f ca="1">SUM(AF99:AF106)</f>
        <v>664.41</v>
      </c>
      <c r="AG98" s="587">
        <f t="shared" ref="AG98:AP98" ca="1" si="51">SUM(AG99:AG106)</f>
        <v>1062.28</v>
      </c>
      <c r="AH98" s="587">
        <f t="shared" ca="1" si="51"/>
        <v>1307.51</v>
      </c>
      <c r="AI98" s="587">
        <f t="shared" ca="1" si="51"/>
        <v>2196.29</v>
      </c>
      <c r="AJ98" s="587">
        <f t="shared" ca="1" si="51"/>
        <v>2568.91</v>
      </c>
      <c r="AK98" s="587">
        <f t="shared" ca="1" si="51"/>
        <v>2871.53</v>
      </c>
      <c r="AL98" s="587">
        <f t="shared" ca="1" si="51"/>
        <v>3673.6</v>
      </c>
      <c r="AM98" s="587">
        <f t="shared" ca="1" si="51"/>
        <v>3885.38</v>
      </c>
      <c r="AN98" s="587">
        <f t="shared" ca="1" si="51"/>
        <v>4097.16</v>
      </c>
      <c r="AO98" s="587">
        <f t="shared" ca="1" si="51"/>
        <v>4097.16</v>
      </c>
      <c r="AP98" s="587">
        <f t="shared" ca="1" si="51"/>
        <v>4097.16</v>
      </c>
    </row>
    <row r="99" spans="1:42" s="594" customFormat="1" ht="11.25" outlineLevel="1" x14ac:dyDescent="0.2">
      <c r="A99" s="590"/>
      <c r="B99" s="591" t="str">
        <f>IF(D99&lt;&gt;"",
IF(ISERROR(MATCH(D99,'Ist Vorjahr Monat 01'!A:A,0))=FALSE,INDEX('Ist Vorjahr Monat 01'!B:B,MATCH(D99,'Ist Vorjahr Monat 01'!A:A,0)),
IF(ISERROR(MATCH(D99,'Ist Vorjahr Monat 02'!A:A,0))=FALSE,INDEX('Ist Vorjahr Monat 02'!B:B,MATCH(D99,'Ist Vorjahr Monat 02'!A:A,0)),
IF(ISERROR(MATCH(D99,'Ist Vorjahr Monat 03'!A:A,0))=FALSE,INDEX('Ist Vorjahr Monat 03'!B:B,MATCH(D99,'Ist Vorjahr Monat 03'!A:A,0)),
IF(ISERROR(MATCH(D99,'Ist Vorjahr Monat 04'!A:A,0))=FALSE,INDEX('Ist Vorjahr Monat 04'!B:B,MATCH(D99,'Ist Vorjahr Monat 04'!A:A,0)),
IF(ISERROR(MATCH(D99,'Ist Vorjahr Monat 05'!A:A,0))=FALSE,INDEX('Ist Vorjahr Monat 05'!B:B,MATCH(D99,'Ist Vorjahr Monat 05'!A:A,0)),
IF(ISERROR(MATCH(D99,'Ist Vorjahr Monat 06'!A:A,0))=FALSE,INDEX('Ist Vorjahr Monat 06'!B:B,MATCH(D99,'Ist Vorjahr Monat 06'!A:A,0)),
IF(ISERROR(MATCH(D99,'Ist Vorjahr Monat 07'!A:A,0))=FALSE,INDEX('Ist Vorjahr Monat 07'!B:B,MATCH(D99,'Ist Vorjahr Monat 07'!A:A,0)),
IF(ISERROR(MATCH(D99,'Ist Vorjahr Monat 08'!A:A,0))=FALSE,INDEX('Ist Vorjahr Monat 08'!B:B,MATCH(D99,'Ist Vorjahr Monat 08'!A:A,0)),
IF(ISERROR(MATCH(D99,'Ist Vorjahr Monat 09'!A:A,0))=FALSE,INDEX('Ist Vorjahr Monat 09'!B:B,MATCH(D99,'Ist Vorjahr Monat 09'!A:A,0)),
IF(ISERROR(MATCH(D99,'Ist Vorjahr Monat 10'!A:A,0))=FALSE,INDEX('Ist Vorjahr Monat 10'!B:B,MATCH(D99,'Ist Vorjahr Monat 10'!A:A,0)),
IF(ISERROR(MATCH(D99,'Ist Vorjahr Monat 11'!A:A,0))=FALSE,INDEX('Ist Vorjahr Monat 11'!B:B,MATCH(D99,'Ist Vorjahr Monat 11'!A:A,0)),
IF(ISERROR(MATCH(D99,'Ist Vorjahr Monat 12'!A:A,0))=FALSE,INDEX('Ist Vorjahr Monat 12'!B:B,MATCH(D99,'Ist Vorjahr Monat 12'!A:A,0)),
"{Konto unbekannt}"
)))))))))))),"")</f>
        <v>Fremdleistungen Website &amp; Software-Prod.</v>
      </c>
      <c r="C99" s="591"/>
      <c r="D99" s="590">
        <v>3103</v>
      </c>
      <c r="E99" s="592">
        <f t="shared" si="34"/>
        <v>1</v>
      </c>
      <c r="F99" s="590"/>
      <c r="G99" s="593">
        <f ca="1">$E99*(-SUMIF(INDIRECT(G$3),'Struktur Vorjahr'!$D99,INDIRECT(G$4))+SUMIF(INDIRECT(G$3),'Struktur Vorjahr'!$D99,INDIRECT(G$5)))</f>
        <v>211.78</v>
      </c>
      <c r="H99" s="593">
        <f ca="1">$E99*(-SUMIF(INDIRECT(H$3),'Struktur Vorjahr'!$D99,INDIRECT(H$4))+SUMIF(INDIRECT(H$3),'Struktur Vorjahr'!$D99,INDIRECT(H$5)))</f>
        <v>211.78</v>
      </c>
      <c r="I99" s="593">
        <f ca="1">$E99*(-SUMIF(INDIRECT(I$3),'Struktur Vorjahr'!$D99,INDIRECT(I$4))+SUMIF(INDIRECT(I$3),'Struktur Vorjahr'!$D99,INDIRECT(I$5)))</f>
        <v>397.87</v>
      </c>
      <c r="J99" s="593">
        <f ca="1">$E99*(-SUMIF(INDIRECT(J$3),'Struktur Vorjahr'!$D99,INDIRECT(J$4))+SUMIF(INDIRECT(J$3),'Struktur Vorjahr'!$D99,INDIRECT(J$5)))</f>
        <v>245.23</v>
      </c>
      <c r="K99" s="593">
        <f ca="1">$E99*(-SUMIF(INDIRECT(K$3),'Struktur Vorjahr'!$D99,INDIRECT(K$4))+SUMIF(INDIRECT(K$3),'Struktur Vorjahr'!$D99,INDIRECT(K$5)))</f>
        <v>211.78</v>
      </c>
      <c r="L99" s="593">
        <f ca="1">$E99*(-SUMIF(INDIRECT(L$3),'Struktur Vorjahr'!$D99,INDIRECT(L$4))+SUMIF(INDIRECT(L$3),'Struktur Vorjahr'!$D99,INDIRECT(L$5)))</f>
        <v>211.78</v>
      </c>
      <c r="M99" s="593">
        <f ca="1">$E99*(-SUMIF(INDIRECT(M$3),'Struktur Vorjahr'!$D99,INDIRECT(M$4))+SUMIF(INDIRECT(M$3),'Struktur Vorjahr'!$D99,INDIRECT(M$5)))</f>
        <v>212.62</v>
      </c>
      <c r="N99" s="593">
        <f ca="1">$E99*(-SUMIF(INDIRECT(N$3),'Struktur Vorjahr'!$D99,INDIRECT(N$4))+SUMIF(INDIRECT(N$3),'Struktur Vorjahr'!$D99,INDIRECT(N$5)))</f>
        <v>251.07</v>
      </c>
      <c r="O99" s="593">
        <f ca="1">$E99*(-SUMIF(INDIRECT(O$3),'Struktur Vorjahr'!$D99,INDIRECT(O$4))+SUMIF(INDIRECT(O$3),'Struktur Vorjahr'!$D99,INDIRECT(O$5)))</f>
        <v>211.78</v>
      </c>
      <c r="P99" s="593">
        <f ca="1">$E99*(-SUMIF(INDIRECT(P$3),'Struktur Vorjahr'!$D99,INDIRECT(P$4))+SUMIF(INDIRECT(P$3),'Struktur Vorjahr'!$D99,INDIRECT(P$5)))</f>
        <v>211.78</v>
      </c>
      <c r="Q99" s="593">
        <f ca="1">$E99*(-SUMIF(INDIRECT(Q$3),'Struktur Vorjahr'!$D99,INDIRECT(Q$4))+SUMIF(INDIRECT(Q$3),'Struktur Vorjahr'!$D99,INDIRECT(Q$5)))</f>
        <v>0</v>
      </c>
      <c r="R99" s="593">
        <f ca="1">$E99*(-SUMIF(INDIRECT(R$3),'Struktur Vorjahr'!$D99,INDIRECT(R$4))+SUMIF(INDIRECT(R$3),'Struktur Vorjahr'!$D99,INDIRECT(R$5)))</f>
        <v>0</v>
      </c>
      <c r="S99" s="593">
        <f ca="1">$E99*(-SUMIF(INDIRECT(S$3),'Struktur Vorjahr'!$D99,INDIRECT(S$4))+SUMIF(INDIRECT(S$3),'Struktur Vorjahr'!$D99,INDIRECT(S$5)))</f>
        <v>211.78</v>
      </c>
      <c r="T99" s="593">
        <f ca="1">$E99*(-SUMIF(INDIRECT(T$3),'Struktur Vorjahr'!$D99,INDIRECT(T$4))+SUMIF(INDIRECT(T$3),'Struktur Vorjahr'!$D99,INDIRECT(T$5)))</f>
        <v>423.56</v>
      </c>
      <c r="U99" s="593">
        <f ca="1">$E99*(-SUMIF(INDIRECT(U$3),'Struktur Vorjahr'!$D99,INDIRECT(U$4))+SUMIF(INDIRECT(U$3),'Struktur Vorjahr'!$D99,INDIRECT(U$5)))</f>
        <v>821.43</v>
      </c>
      <c r="V99" s="593">
        <f ca="1">$E99*(-SUMIF(INDIRECT(V$3),'Struktur Vorjahr'!$D99,INDIRECT(V$4))+SUMIF(INDIRECT(V$3),'Struktur Vorjahr'!$D99,INDIRECT(V$5)))</f>
        <v>1066.6600000000001</v>
      </c>
      <c r="W99" s="593">
        <f ca="1">$E99*(-SUMIF(INDIRECT(W$3),'Struktur Vorjahr'!$D99,INDIRECT(W$4))+SUMIF(INDIRECT(W$3),'Struktur Vorjahr'!$D99,INDIRECT(W$5)))</f>
        <v>1278.44</v>
      </c>
      <c r="X99" s="593">
        <f ca="1">$E99*(-SUMIF(INDIRECT(X$3),'Struktur Vorjahr'!$D99,INDIRECT(X$4))+SUMIF(INDIRECT(X$3),'Struktur Vorjahr'!$D99,INDIRECT(X$5)))</f>
        <v>1490.22</v>
      </c>
      <c r="Y99" s="593">
        <f ca="1">$E99*(-SUMIF(INDIRECT(Y$3),'Struktur Vorjahr'!$D99,INDIRECT(Y$4))+SUMIF(INDIRECT(Y$3),'Struktur Vorjahr'!$D99,INDIRECT(Y$5)))</f>
        <v>1702.84</v>
      </c>
      <c r="Z99" s="593">
        <f ca="1">$E99*(-SUMIF(INDIRECT(Z$3),'Struktur Vorjahr'!$D99,INDIRECT(Z$4))+SUMIF(INDIRECT(Z$3),'Struktur Vorjahr'!$D99,INDIRECT(Z$5)))</f>
        <v>1953.91</v>
      </c>
      <c r="AA99" s="593">
        <f ca="1">$E99*(-SUMIF(INDIRECT(AA$3),'Struktur Vorjahr'!$D99,INDIRECT(AA$4))+SUMIF(INDIRECT(AA$3),'Struktur Vorjahr'!$D99,INDIRECT(AA$5)))</f>
        <v>2165.69</v>
      </c>
      <c r="AB99" s="593">
        <f ca="1">$E99*(-SUMIF(INDIRECT(AB$3),'Struktur Vorjahr'!$D99,INDIRECT(AB$4))+SUMIF(INDIRECT(AB$3),'Struktur Vorjahr'!$D99,INDIRECT(AB$5)))</f>
        <v>2377.4699999999998</v>
      </c>
      <c r="AC99" s="593">
        <f ca="1">$E99*(-SUMIF(INDIRECT(AC$3),'Struktur Vorjahr'!$D99,INDIRECT(AC$4))+SUMIF(INDIRECT(AC$3),'Struktur Vorjahr'!$D99,INDIRECT(AC$5)))</f>
        <v>0</v>
      </c>
      <c r="AD99" s="593">
        <f ca="1">$E99*(-SUMIF(INDIRECT(AD$3),'Struktur Vorjahr'!$D99,INDIRECT(AD$4))+SUMIF(INDIRECT(AD$3),'Struktur Vorjahr'!$D99,INDIRECT(AD$5)))</f>
        <v>0</v>
      </c>
      <c r="AE99" s="593">
        <f t="shared" ref="AE99:AE106" ca="1" si="52">G99</f>
        <v>211.78</v>
      </c>
      <c r="AF99" s="593">
        <f t="shared" ref="AF99:AP106" ca="1" si="53">H99+AE99</f>
        <v>423.56</v>
      </c>
      <c r="AG99" s="593">
        <f t="shared" ca="1" si="53"/>
        <v>821.43000000000006</v>
      </c>
      <c r="AH99" s="593">
        <f t="shared" ca="1" si="53"/>
        <v>1066.6600000000001</v>
      </c>
      <c r="AI99" s="593">
        <f t="shared" ca="1" si="53"/>
        <v>1278.44</v>
      </c>
      <c r="AJ99" s="593">
        <f t="shared" ca="1" si="53"/>
        <v>1490.22</v>
      </c>
      <c r="AK99" s="593">
        <f t="shared" ca="1" si="53"/>
        <v>1702.8400000000001</v>
      </c>
      <c r="AL99" s="593">
        <f t="shared" ca="1" si="53"/>
        <v>1953.91</v>
      </c>
      <c r="AM99" s="593">
        <f t="shared" ca="1" si="53"/>
        <v>2165.69</v>
      </c>
      <c r="AN99" s="593">
        <f t="shared" ca="1" si="53"/>
        <v>2377.4700000000003</v>
      </c>
      <c r="AO99" s="593">
        <f t="shared" ca="1" si="53"/>
        <v>2377.4700000000003</v>
      </c>
      <c r="AP99" s="593">
        <f t="shared" ca="1" si="53"/>
        <v>2377.4700000000003</v>
      </c>
    </row>
    <row r="100" spans="1:42" s="594" customFormat="1" ht="11.25" outlineLevel="1" x14ac:dyDescent="0.2">
      <c r="A100" s="590"/>
      <c r="B100" s="591" t="str">
        <f>IF(D100&lt;&gt;"",
IF(ISERROR(MATCH(D100,'Ist Vorjahr Monat 01'!A:A,0))=FALSE,INDEX('Ist Vorjahr Monat 01'!B:B,MATCH(D100,'Ist Vorjahr Monat 01'!A:A,0)),
IF(ISERROR(MATCH(D100,'Ist Vorjahr Monat 02'!A:A,0))=FALSE,INDEX('Ist Vorjahr Monat 02'!B:B,MATCH(D100,'Ist Vorjahr Monat 02'!A:A,0)),
IF(ISERROR(MATCH(D100,'Ist Vorjahr Monat 03'!A:A,0))=FALSE,INDEX('Ist Vorjahr Monat 03'!B:B,MATCH(D100,'Ist Vorjahr Monat 03'!A:A,0)),
IF(ISERROR(MATCH(D100,'Ist Vorjahr Monat 04'!A:A,0))=FALSE,INDEX('Ist Vorjahr Monat 04'!B:B,MATCH(D100,'Ist Vorjahr Monat 04'!A:A,0)),
IF(ISERROR(MATCH(D100,'Ist Vorjahr Monat 05'!A:A,0))=FALSE,INDEX('Ist Vorjahr Monat 05'!B:B,MATCH(D100,'Ist Vorjahr Monat 05'!A:A,0)),
IF(ISERROR(MATCH(D100,'Ist Vorjahr Monat 06'!A:A,0))=FALSE,INDEX('Ist Vorjahr Monat 06'!B:B,MATCH(D100,'Ist Vorjahr Monat 06'!A:A,0)),
IF(ISERROR(MATCH(D100,'Ist Vorjahr Monat 07'!A:A,0))=FALSE,INDEX('Ist Vorjahr Monat 07'!B:B,MATCH(D100,'Ist Vorjahr Monat 07'!A:A,0)),
IF(ISERROR(MATCH(D100,'Ist Vorjahr Monat 08'!A:A,0))=FALSE,INDEX('Ist Vorjahr Monat 08'!B:B,MATCH(D100,'Ist Vorjahr Monat 08'!A:A,0)),
IF(ISERROR(MATCH(D100,'Ist Vorjahr Monat 09'!A:A,0))=FALSE,INDEX('Ist Vorjahr Monat 09'!B:B,MATCH(D100,'Ist Vorjahr Monat 09'!A:A,0)),
IF(ISERROR(MATCH(D100,'Ist Vorjahr Monat 10'!A:A,0))=FALSE,INDEX('Ist Vorjahr Monat 10'!B:B,MATCH(D100,'Ist Vorjahr Monat 10'!A:A,0)),
IF(ISERROR(MATCH(D100,'Ist Vorjahr Monat 11'!A:A,0))=FALSE,INDEX('Ist Vorjahr Monat 11'!B:B,MATCH(D100,'Ist Vorjahr Monat 11'!A:A,0)),
IF(ISERROR(MATCH(D100,'Ist Vorjahr Monat 12'!A:A,0))=FALSE,INDEX('Ist Vorjahr Monat 12'!B:B,MATCH(D100,'Ist Vorjahr Monat 12'!A:A,0)),
"{Konto unbekannt}"
)))))))))))),"")</f>
        <v>Fremdleistungen "Allgemein"</v>
      </c>
      <c r="C100" s="591"/>
      <c r="D100" s="590">
        <v>3105</v>
      </c>
      <c r="E100" s="592">
        <f t="shared" si="34"/>
        <v>1</v>
      </c>
      <c r="F100" s="590"/>
      <c r="G100" s="593">
        <f ca="1">$E100*(-SUMIF(INDIRECT(G$3),'Struktur Vorjahr'!$D100,INDIRECT(G$4))+SUMIF(INDIRECT(G$3),'Struktur Vorjahr'!$D100,INDIRECT(G$5)))</f>
        <v>0</v>
      </c>
      <c r="H100" s="593">
        <f ca="1">$E100*(-SUMIF(INDIRECT(H$3),'Struktur Vorjahr'!$D100,INDIRECT(H$4))+SUMIF(INDIRECT(H$3),'Struktur Vorjahr'!$D100,INDIRECT(H$5)))</f>
        <v>0</v>
      </c>
      <c r="I100" s="593">
        <f ca="1">$E100*(-SUMIF(INDIRECT(I$3),'Struktur Vorjahr'!$D100,INDIRECT(I$4))+SUMIF(INDIRECT(I$3),'Struktur Vorjahr'!$D100,INDIRECT(I$5)))</f>
        <v>0</v>
      </c>
      <c r="J100" s="593">
        <f ca="1">$E100*(-SUMIF(INDIRECT(J$3),'Struktur Vorjahr'!$D100,INDIRECT(J$4))+SUMIF(INDIRECT(J$3),'Struktur Vorjahr'!$D100,INDIRECT(J$5)))</f>
        <v>0</v>
      </c>
      <c r="K100" s="593">
        <f ca="1">$E100*(-SUMIF(INDIRECT(K$3),'Struktur Vorjahr'!$D100,INDIRECT(K$4))+SUMIF(INDIRECT(K$3),'Struktur Vorjahr'!$D100,INDIRECT(K$5)))</f>
        <v>177</v>
      </c>
      <c r="L100" s="593">
        <f ca="1">$E100*(-SUMIF(INDIRECT(L$3),'Struktur Vorjahr'!$D100,INDIRECT(L$4))+SUMIF(INDIRECT(L$3),'Struktur Vorjahr'!$D100,INDIRECT(L$5)))</f>
        <v>160</v>
      </c>
      <c r="M100" s="593">
        <f ca="1">$E100*(-SUMIF(INDIRECT(M$3),'Struktur Vorjahr'!$D100,INDIRECT(M$4))+SUMIF(INDIRECT(M$3),'Struktur Vorjahr'!$D100,INDIRECT(M$5)))</f>
        <v>90</v>
      </c>
      <c r="N100" s="593">
        <f ca="1">$E100*(-SUMIF(INDIRECT(N$3),'Struktur Vorjahr'!$D100,INDIRECT(N$4))+SUMIF(INDIRECT(N$3),'Struktur Vorjahr'!$D100,INDIRECT(N$5)))</f>
        <v>0</v>
      </c>
      <c r="O100" s="593">
        <f ca="1">$E100*(-SUMIF(INDIRECT(O$3),'Struktur Vorjahr'!$D100,INDIRECT(O$4))+SUMIF(INDIRECT(O$3),'Struktur Vorjahr'!$D100,INDIRECT(O$5)))</f>
        <v>0</v>
      </c>
      <c r="P100" s="593">
        <f ca="1">$E100*(-SUMIF(INDIRECT(P$3),'Struktur Vorjahr'!$D100,INDIRECT(P$4))+SUMIF(INDIRECT(P$3),'Struktur Vorjahr'!$D100,INDIRECT(P$5)))</f>
        <v>0</v>
      </c>
      <c r="Q100" s="593">
        <f ca="1">$E100*(-SUMIF(INDIRECT(Q$3),'Struktur Vorjahr'!$D100,INDIRECT(Q$4))+SUMIF(INDIRECT(Q$3),'Struktur Vorjahr'!$D100,INDIRECT(Q$5)))</f>
        <v>0</v>
      </c>
      <c r="R100" s="593">
        <f ca="1">$E100*(-SUMIF(INDIRECT(R$3),'Struktur Vorjahr'!$D100,INDIRECT(R$4))+SUMIF(INDIRECT(R$3),'Struktur Vorjahr'!$D100,INDIRECT(R$5)))</f>
        <v>0</v>
      </c>
      <c r="S100" s="593">
        <f ca="1">$E100*(-SUMIF(INDIRECT(S$3),'Struktur Vorjahr'!$D100,INDIRECT(S$4))+SUMIF(INDIRECT(S$3),'Struktur Vorjahr'!$D100,INDIRECT(S$5)))</f>
        <v>0</v>
      </c>
      <c r="T100" s="593">
        <f ca="1">$E100*(-SUMIF(INDIRECT(T$3),'Struktur Vorjahr'!$D100,INDIRECT(T$4))+SUMIF(INDIRECT(T$3),'Struktur Vorjahr'!$D100,INDIRECT(T$5)))</f>
        <v>0</v>
      </c>
      <c r="U100" s="593">
        <f ca="1">$E100*(-SUMIF(INDIRECT(U$3),'Struktur Vorjahr'!$D100,INDIRECT(U$4))+SUMIF(INDIRECT(U$3),'Struktur Vorjahr'!$D100,INDIRECT(U$5)))</f>
        <v>0</v>
      </c>
      <c r="V100" s="593">
        <f ca="1">$E100*(-SUMIF(INDIRECT(V$3),'Struktur Vorjahr'!$D100,INDIRECT(V$4))+SUMIF(INDIRECT(V$3),'Struktur Vorjahr'!$D100,INDIRECT(V$5)))</f>
        <v>0</v>
      </c>
      <c r="W100" s="593">
        <f ca="1">$E100*(-SUMIF(INDIRECT(W$3),'Struktur Vorjahr'!$D100,INDIRECT(W$4))+SUMIF(INDIRECT(W$3),'Struktur Vorjahr'!$D100,INDIRECT(W$5)))</f>
        <v>177</v>
      </c>
      <c r="X100" s="593">
        <f ca="1">$E100*(-SUMIF(INDIRECT(X$3),'Struktur Vorjahr'!$D100,INDIRECT(X$4))+SUMIF(INDIRECT(X$3),'Struktur Vorjahr'!$D100,INDIRECT(X$5)))</f>
        <v>337</v>
      </c>
      <c r="Y100" s="593">
        <f ca="1">$E100*(-SUMIF(INDIRECT(Y$3),'Struktur Vorjahr'!$D100,INDIRECT(Y$4))+SUMIF(INDIRECT(Y$3),'Struktur Vorjahr'!$D100,INDIRECT(Y$5)))</f>
        <v>427</v>
      </c>
      <c r="Z100" s="593">
        <f ca="1">$E100*(-SUMIF(INDIRECT(Z$3),'Struktur Vorjahr'!$D100,INDIRECT(Z$4))+SUMIF(INDIRECT(Z$3),'Struktur Vorjahr'!$D100,INDIRECT(Z$5)))</f>
        <v>427</v>
      </c>
      <c r="AA100" s="593">
        <f ca="1">$E100*(-SUMIF(INDIRECT(AA$3),'Struktur Vorjahr'!$D100,INDIRECT(AA$4))+SUMIF(INDIRECT(AA$3),'Struktur Vorjahr'!$D100,INDIRECT(AA$5)))</f>
        <v>427</v>
      </c>
      <c r="AB100" s="593">
        <f ca="1">$E100*(-SUMIF(INDIRECT(AB$3),'Struktur Vorjahr'!$D100,INDIRECT(AB$4))+SUMIF(INDIRECT(AB$3),'Struktur Vorjahr'!$D100,INDIRECT(AB$5)))</f>
        <v>427</v>
      </c>
      <c r="AC100" s="593">
        <f ca="1">$E100*(-SUMIF(INDIRECT(AC$3),'Struktur Vorjahr'!$D100,INDIRECT(AC$4))+SUMIF(INDIRECT(AC$3),'Struktur Vorjahr'!$D100,INDIRECT(AC$5)))</f>
        <v>0</v>
      </c>
      <c r="AD100" s="593">
        <f ca="1">$E100*(-SUMIF(INDIRECT(AD$3),'Struktur Vorjahr'!$D100,INDIRECT(AD$4))+SUMIF(INDIRECT(AD$3),'Struktur Vorjahr'!$D100,INDIRECT(AD$5)))</f>
        <v>0</v>
      </c>
      <c r="AE100" s="593">
        <f t="shared" ca="1" si="52"/>
        <v>0</v>
      </c>
      <c r="AF100" s="593">
        <f t="shared" ca="1" si="53"/>
        <v>0</v>
      </c>
      <c r="AG100" s="593">
        <f t="shared" ca="1" si="53"/>
        <v>0</v>
      </c>
      <c r="AH100" s="593">
        <f t="shared" ca="1" si="53"/>
        <v>0</v>
      </c>
      <c r="AI100" s="593">
        <f t="shared" ca="1" si="53"/>
        <v>177</v>
      </c>
      <c r="AJ100" s="593">
        <f t="shared" ca="1" si="53"/>
        <v>337</v>
      </c>
      <c r="AK100" s="593">
        <f t="shared" ca="1" si="53"/>
        <v>427</v>
      </c>
      <c r="AL100" s="593">
        <f t="shared" ca="1" si="53"/>
        <v>427</v>
      </c>
      <c r="AM100" s="593">
        <f t="shared" ca="1" si="53"/>
        <v>427</v>
      </c>
      <c r="AN100" s="593">
        <f t="shared" ca="1" si="53"/>
        <v>427</v>
      </c>
      <c r="AO100" s="593">
        <f t="shared" ca="1" si="53"/>
        <v>427</v>
      </c>
      <c r="AP100" s="593">
        <f t="shared" ca="1" si="53"/>
        <v>427</v>
      </c>
    </row>
    <row r="101" spans="1:42" s="594" customFormat="1" ht="11.25" outlineLevel="1" x14ac:dyDescent="0.2">
      <c r="A101" s="590"/>
      <c r="B101" s="591" t="str">
        <f>IF(D101&lt;&gt;"",
IF(ISERROR(MATCH(D101,'Ist Vorjahr Monat 01'!A:A,0))=FALSE,INDEX('Ist Vorjahr Monat 01'!B:B,MATCH(D101,'Ist Vorjahr Monat 01'!A:A,0)),
IF(ISERROR(MATCH(D101,'Ist Vorjahr Monat 02'!A:A,0))=FALSE,INDEX('Ist Vorjahr Monat 02'!B:B,MATCH(D101,'Ist Vorjahr Monat 02'!A:A,0)),
IF(ISERROR(MATCH(D101,'Ist Vorjahr Monat 03'!A:A,0))=FALSE,INDEX('Ist Vorjahr Monat 03'!B:B,MATCH(D101,'Ist Vorjahr Monat 03'!A:A,0)),
IF(ISERROR(MATCH(D101,'Ist Vorjahr Monat 04'!A:A,0))=FALSE,INDEX('Ist Vorjahr Monat 04'!B:B,MATCH(D101,'Ist Vorjahr Monat 04'!A:A,0)),
IF(ISERROR(MATCH(D101,'Ist Vorjahr Monat 05'!A:A,0))=FALSE,INDEX('Ist Vorjahr Monat 05'!B:B,MATCH(D101,'Ist Vorjahr Monat 05'!A:A,0)),
IF(ISERROR(MATCH(D101,'Ist Vorjahr Monat 06'!A:A,0))=FALSE,INDEX('Ist Vorjahr Monat 06'!B:B,MATCH(D101,'Ist Vorjahr Monat 06'!A:A,0)),
IF(ISERROR(MATCH(D101,'Ist Vorjahr Monat 07'!A:A,0))=FALSE,INDEX('Ist Vorjahr Monat 07'!B:B,MATCH(D101,'Ist Vorjahr Monat 07'!A:A,0)),
IF(ISERROR(MATCH(D101,'Ist Vorjahr Monat 08'!A:A,0))=FALSE,INDEX('Ist Vorjahr Monat 08'!B:B,MATCH(D101,'Ist Vorjahr Monat 08'!A:A,0)),
IF(ISERROR(MATCH(D101,'Ist Vorjahr Monat 09'!A:A,0))=FALSE,INDEX('Ist Vorjahr Monat 09'!B:B,MATCH(D101,'Ist Vorjahr Monat 09'!A:A,0)),
IF(ISERROR(MATCH(D101,'Ist Vorjahr Monat 10'!A:A,0))=FALSE,INDEX('Ist Vorjahr Monat 10'!B:B,MATCH(D101,'Ist Vorjahr Monat 10'!A:A,0)),
IF(ISERROR(MATCH(D101,'Ist Vorjahr Monat 11'!A:A,0))=FALSE,INDEX('Ist Vorjahr Monat 11'!B:B,MATCH(D101,'Ist Vorjahr Monat 11'!A:A,0)),
IF(ISERROR(MATCH(D101,'Ist Vorjahr Monat 12'!A:A,0))=FALSE,INDEX('Ist Vorjahr Monat 12'!B:B,MATCH(D101,'Ist Vorjahr Monat 12'!A:A,0)),
"{Konto unbekannt}"
)))))))))))),"")</f>
        <v>CM_Bewerbungssservice</v>
      </c>
      <c r="C101" s="591"/>
      <c r="D101" s="590">
        <v>3106</v>
      </c>
      <c r="E101" s="592">
        <f t="shared" si="34"/>
        <v>1</v>
      </c>
      <c r="F101" s="590"/>
      <c r="G101" s="593">
        <f ca="1">$E101*(-SUMIF(INDIRECT(G$3),'Struktur Vorjahr'!$D101,INDIRECT(G$4))+SUMIF(INDIRECT(G$3),'Struktur Vorjahr'!$D101,INDIRECT(G$5)))</f>
        <v>240.01</v>
      </c>
      <c r="H101" s="593">
        <f ca="1">$E101*(-SUMIF(INDIRECT(H$3),'Struktur Vorjahr'!$D101,INDIRECT(H$4))+SUMIF(INDIRECT(H$3),'Struktur Vorjahr'!$D101,INDIRECT(H$5)))</f>
        <v>0.84</v>
      </c>
      <c r="I101" s="593">
        <f ca="1">$E101*(-SUMIF(INDIRECT(I$3),'Struktur Vorjahr'!$D101,INDIRECT(I$4))+SUMIF(INDIRECT(I$3),'Struktur Vorjahr'!$D101,INDIRECT(I$5)))</f>
        <v>0</v>
      </c>
      <c r="J101" s="593">
        <f ca="1">$E101*(-SUMIF(INDIRECT(J$3),'Struktur Vorjahr'!$D101,INDIRECT(J$4))+SUMIF(INDIRECT(J$3),'Struktur Vorjahr'!$D101,INDIRECT(J$5)))</f>
        <v>0</v>
      </c>
      <c r="K101" s="593">
        <f ca="1">$E101*(-SUMIF(INDIRECT(K$3),'Struktur Vorjahr'!$D101,INDIRECT(K$4))+SUMIF(INDIRECT(K$3),'Struktur Vorjahr'!$D101,INDIRECT(K$5)))</f>
        <v>500</v>
      </c>
      <c r="L101" s="593">
        <f ca="1">$E101*(-SUMIF(INDIRECT(L$3),'Struktur Vorjahr'!$D101,INDIRECT(L$4))+SUMIF(INDIRECT(L$3),'Struktur Vorjahr'!$D101,INDIRECT(L$5)))</f>
        <v>0.84</v>
      </c>
      <c r="M101" s="593">
        <f ca="1">$E101*(-SUMIF(INDIRECT(M$3),'Struktur Vorjahr'!$D101,INDIRECT(M$4))+SUMIF(INDIRECT(M$3),'Struktur Vorjahr'!$D101,INDIRECT(M$5)))</f>
        <v>0</v>
      </c>
      <c r="N101" s="593">
        <f ca="1">$E101*(-SUMIF(INDIRECT(N$3),'Struktur Vorjahr'!$D101,INDIRECT(N$4))+SUMIF(INDIRECT(N$3),'Struktur Vorjahr'!$D101,INDIRECT(N$5)))</f>
        <v>551</v>
      </c>
      <c r="O101" s="593">
        <f ca="1">$E101*(-SUMIF(INDIRECT(O$3),'Struktur Vorjahr'!$D101,INDIRECT(O$4))+SUMIF(INDIRECT(O$3),'Struktur Vorjahr'!$D101,INDIRECT(O$5)))</f>
        <v>0</v>
      </c>
      <c r="P101" s="593">
        <f ca="1">$E101*(-SUMIF(INDIRECT(P$3),'Struktur Vorjahr'!$D101,INDIRECT(P$4))+SUMIF(INDIRECT(P$3),'Struktur Vorjahr'!$D101,INDIRECT(P$5)))</f>
        <v>0</v>
      </c>
      <c r="Q101" s="593">
        <f ca="1">$E101*(-SUMIF(INDIRECT(Q$3),'Struktur Vorjahr'!$D101,INDIRECT(Q$4))+SUMIF(INDIRECT(Q$3),'Struktur Vorjahr'!$D101,INDIRECT(Q$5)))</f>
        <v>0</v>
      </c>
      <c r="R101" s="593">
        <f ca="1">$E101*(-SUMIF(INDIRECT(R$3),'Struktur Vorjahr'!$D101,INDIRECT(R$4))+SUMIF(INDIRECT(R$3),'Struktur Vorjahr'!$D101,INDIRECT(R$5)))</f>
        <v>0</v>
      </c>
      <c r="S101" s="593">
        <f ca="1">$E101*(-SUMIF(INDIRECT(S$3),'Struktur Vorjahr'!$D101,INDIRECT(S$4))+SUMIF(INDIRECT(S$3),'Struktur Vorjahr'!$D101,INDIRECT(S$5)))</f>
        <v>240.01</v>
      </c>
      <c r="T101" s="593">
        <f ca="1">$E101*(-SUMIF(INDIRECT(T$3),'Struktur Vorjahr'!$D101,INDIRECT(T$4))+SUMIF(INDIRECT(T$3),'Struktur Vorjahr'!$D101,INDIRECT(T$5)))</f>
        <v>240.85</v>
      </c>
      <c r="U101" s="593">
        <f ca="1">$E101*(-SUMIF(INDIRECT(U$3),'Struktur Vorjahr'!$D101,INDIRECT(U$4))+SUMIF(INDIRECT(U$3),'Struktur Vorjahr'!$D101,INDIRECT(U$5)))</f>
        <v>240.85</v>
      </c>
      <c r="V101" s="593">
        <f ca="1">$E101*(-SUMIF(INDIRECT(V$3),'Struktur Vorjahr'!$D101,INDIRECT(V$4))+SUMIF(INDIRECT(V$3),'Struktur Vorjahr'!$D101,INDIRECT(V$5)))</f>
        <v>240.85</v>
      </c>
      <c r="W101" s="593">
        <f ca="1">$E101*(-SUMIF(INDIRECT(W$3),'Struktur Vorjahr'!$D101,INDIRECT(W$4))+SUMIF(INDIRECT(W$3),'Struktur Vorjahr'!$D101,INDIRECT(W$5)))</f>
        <v>740.85</v>
      </c>
      <c r="X101" s="593">
        <f ca="1">$E101*(-SUMIF(INDIRECT(X$3),'Struktur Vorjahr'!$D101,INDIRECT(X$4))+SUMIF(INDIRECT(X$3),'Struktur Vorjahr'!$D101,INDIRECT(X$5)))</f>
        <v>741.69</v>
      </c>
      <c r="Y101" s="593">
        <f ca="1">$E101*(-SUMIF(INDIRECT(Y$3),'Struktur Vorjahr'!$D101,INDIRECT(Y$4))+SUMIF(INDIRECT(Y$3),'Struktur Vorjahr'!$D101,INDIRECT(Y$5)))</f>
        <v>741.69</v>
      </c>
      <c r="Z101" s="593">
        <f ca="1">$E101*(-SUMIF(INDIRECT(Z$3),'Struktur Vorjahr'!$D101,INDIRECT(Z$4))+SUMIF(INDIRECT(Z$3),'Struktur Vorjahr'!$D101,INDIRECT(Z$5)))</f>
        <v>1292.69</v>
      </c>
      <c r="AA101" s="593">
        <f ca="1">$E101*(-SUMIF(INDIRECT(AA$3),'Struktur Vorjahr'!$D101,INDIRECT(AA$4))+SUMIF(INDIRECT(AA$3),'Struktur Vorjahr'!$D101,INDIRECT(AA$5)))</f>
        <v>1292.69</v>
      </c>
      <c r="AB101" s="593">
        <f ca="1">$E101*(-SUMIF(INDIRECT(AB$3),'Struktur Vorjahr'!$D101,INDIRECT(AB$4))+SUMIF(INDIRECT(AB$3),'Struktur Vorjahr'!$D101,INDIRECT(AB$5)))</f>
        <v>1292.69</v>
      </c>
      <c r="AC101" s="593">
        <f ca="1">$E101*(-SUMIF(INDIRECT(AC$3),'Struktur Vorjahr'!$D101,INDIRECT(AC$4))+SUMIF(INDIRECT(AC$3),'Struktur Vorjahr'!$D101,INDIRECT(AC$5)))</f>
        <v>0</v>
      </c>
      <c r="AD101" s="593">
        <f ca="1">$E101*(-SUMIF(INDIRECT(AD$3),'Struktur Vorjahr'!$D101,INDIRECT(AD$4))+SUMIF(INDIRECT(AD$3),'Struktur Vorjahr'!$D101,INDIRECT(AD$5)))</f>
        <v>0</v>
      </c>
      <c r="AE101" s="593">
        <f t="shared" ca="1" si="52"/>
        <v>240.01</v>
      </c>
      <c r="AF101" s="593">
        <f t="shared" ca="1" si="53"/>
        <v>240.85</v>
      </c>
      <c r="AG101" s="593">
        <f t="shared" ca="1" si="53"/>
        <v>240.85</v>
      </c>
      <c r="AH101" s="593">
        <f t="shared" ca="1" si="53"/>
        <v>240.85</v>
      </c>
      <c r="AI101" s="593">
        <f t="shared" ca="1" si="53"/>
        <v>740.85</v>
      </c>
      <c r="AJ101" s="593">
        <f t="shared" ca="1" si="53"/>
        <v>741.69</v>
      </c>
      <c r="AK101" s="593">
        <f t="shared" ca="1" si="53"/>
        <v>741.69</v>
      </c>
      <c r="AL101" s="593">
        <f t="shared" ca="1" si="53"/>
        <v>1292.69</v>
      </c>
      <c r="AM101" s="593">
        <f t="shared" ca="1" si="53"/>
        <v>1292.69</v>
      </c>
      <c r="AN101" s="593">
        <f t="shared" ca="1" si="53"/>
        <v>1292.69</v>
      </c>
      <c r="AO101" s="593">
        <f t="shared" ca="1" si="53"/>
        <v>1292.69</v>
      </c>
      <c r="AP101" s="593">
        <f t="shared" ca="1" si="53"/>
        <v>1292.69</v>
      </c>
    </row>
    <row r="102" spans="1:42" s="594" customFormat="1" ht="11.25" outlineLevel="1" x14ac:dyDescent="0.2">
      <c r="A102" s="590"/>
      <c r="B102" s="591" t="str">
        <f>IF(D102&lt;&gt;"",
IF(ISERROR(MATCH(D102,'Ist Vorjahr Monat 01'!A:A,0))=FALSE,INDEX('Ist Vorjahr Monat 01'!B:B,MATCH(D102,'Ist Vorjahr Monat 01'!A:A,0)),
IF(ISERROR(MATCH(D102,'Ist Vorjahr Monat 02'!A:A,0))=FALSE,INDEX('Ist Vorjahr Monat 02'!B:B,MATCH(D102,'Ist Vorjahr Monat 02'!A:A,0)),
IF(ISERROR(MATCH(D102,'Ist Vorjahr Monat 03'!A:A,0))=FALSE,INDEX('Ist Vorjahr Monat 03'!B:B,MATCH(D102,'Ist Vorjahr Monat 03'!A:A,0)),
IF(ISERROR(MATCH(D102,'Ist Vorjahr Monat 04'!A:A,0))=FALSE,INDEX('Ist Vorjahr Monat 04'!B:B,MATCH(D102,'Ist Vorjahr Monat 04'!A:A,0)),
IF(ISERROR(MATCH(D102,'Ist Vorjahr Monat 05'!A:A,0))=FALSE,INDEX('Ist Vorjahr Monat 05'!B:B,MATCH(D102,'Ist Vorjahr Monat 05'!A:A,0)),
IF(ISERROR(MATCH(D102,'Ist Vorjahr Monat 06'!A:A,0))=FALSE,INDEX('Ist Vorjahr Monat 06'!B:B,MATCH(D102,'Ist Vorjahr Monat 06'!A:A,0)),
IF(ISERROR(MATCH(D102,'Ist Vorjahr Monat 07'!A:A,0))=FALSE,INDEX('Ist Vorjahr Monat 07'!B:B,MATCH(D102,'Ist Vorjahr Monat 07'!A:A,0)),
IF(ISERROR(MATCH(D102,'Ist Vorjahr Monat 08'!A:A,0))=FALSE,INDEX('Ist Vorjahr Monat 08'!B:B,MATCH(D102,'Ist Vorjahr Monat 08'!A:A,0)),
IF(ISERROR(MATCH(D102,'Ist Vorjahr Monat 09'!A:A,0))=FALSE,INDEX('Ist Vorjahr Monat 09'!B:B,MATCH(D102,'Ist Vorjahr Monat 09'!A:A,0)),
IF(ISERROR(MATCH(D102,'Ist Vorjahr Monat 10'!A:A,0))=FALSE,INDEX('Ist Vorjahr Monat 10'!B:B,MATCH(D102,'Ist Vorjahr Monat 10'!A:A,0)),
IF(ISERROR(MATCH(D102,'Ist Vorjahr Monat 11'!A:A,0))=FALSE,INDEX('Ist Vorjahr Monat 11'!B:B,MATCH(D102,'Ist Vorjahr Monat 11'!A:A,0)),
IF(ISERROR(MATCH(D102,'Ist Vorjahr Monat 12'!A:A,0))=FALSE,INDEX('Ist Vorjahr Monat 12'!B:B,MATCH(D102,'Ist Vorjahr Monat 12'!A:A,0)),
"{Konto unbekannt}"
)))))))))))),"")</f>
        <v/>
      </c>
      <c r="C102" s="591"/>
      <c r="D102" s="590"/>
      <c r="E102" s="592">
        <f t="shared" si="34"/>
        <v>1</v>
      </c>
      <c r="F102" s="590"/>
      <c r="G102" s="593">
        <f ca="1">$E102*(-SUMIF(INDIRECT(G$3),'Struktur Vorjahr'!$D102,INDIRECT(G$4))+SUMIF(INDIRECT(G$3),'Struktur Vorjahr'!$D102,INDIRECT(G$5)))</f>
        <v>0</v>
      </c>
      <c r="H102" s="593">
        <f ca="1">$E102*(-SUMIF(INDIRECT(H$3),'Struktur Vorjahr'!$D102,INDIRECT(H$4))+SUMIF(INDIRECT(H$3),'Struktur Vorjahr'!$D102,INDIRECT(H$5)))</f>
        <v>0</v>
      </c>
      <c r="I102" s="593">
        <f ca="1">$E102*(-SUMIF(INDIRECT(I$3),'Struktur Vorjahr'!$D102,INDIRECT(I$4))+SUMIF(INDIRECT(I$3),'Struktur Vorjahr'!$D102,INDIRECT(I$5)))</f>
        <v>0</v>
      </c>
      <c r="J102" s="593">
        <f ca="1">$E102*(-SUMIF(INDIRECT(J$3),'Struktur Vorjahr'!$D102,INDIRECT(J$4))+SUMIF(INDIRECT(J$3),'Struktur Vorjahr'!$D102,INDIRECT(J$5)))</f>
        <v>0</v>
      </c>
      <c r="K102" s="593">
        <f ca="1">$E102*(-SUMIF(INDIRECT(K$3),'Struktur Vorjahr'!$D102,INDIRECT(K$4))+SUMIF(INDIRECT(K$3),'Struktur Vorjahr'!$D102,INDIRECT(K$5)))</f>
        <v>0</v>
      </c>
      <c r="L102" s="593">
        <f ca="1">$E102*(-SUMIF(INDIRECT(L$3),'Struktur Vorjahr'!$D102,INDIRECT(L$4))+SUMIF(INDIRECT(L$3),'Struktur Vorjahr'!$D102,INDIRECT(L$5)))</f>
        <v>0</v>
      </c>
      <c r="M102" s="593">
        <f ca="1">$E102*(-SUMIF(INDIRECT(M$3),'Struktur Vorjahr'!$D102,INDIRECT(M$4))+SUMIF(INDIRECT(M$3),'Struktur Vorjahr'!$D102,INDIRECT(M$5)))</f>
        <v>0</v>
      </c>
      <c r="N102" s="593">
        <f ca="1">$E102*(-SUMIF(INDIRECT(N$3),'Struktur Vorjahr'!$D102,INDIRECT(N$4))+SUMIF(INDIRECT(N$3),'Struktur Vorjahr'!$D102,INDIRECT(N$5)))</f>
        <v>0</v>
      </c>
      <c r="O102" s="593">
        <f ca="1">$E102*(-SUMIF(INDIRECT(O$3),'Struktur Vorjahr'!$D102,INDIRECT(O$4))+SUMIF(INDIRECT(O$3),'Struktur Vorjahr'!$D102,INDIRECT(O$5)))</f>
        <v>0</v>
      </c>
      <c r="P102" s="593">
        <f ca="1">$E102*(-SUMIF(INDIRECT(P$3),'Struktur Vorjahr'!$D102,INDIRECT(P$4))+SUMIF(INDIRECT(P$3),'Struktur Vorjahr'!$D102,INDIRECT(P$5)))</f>
        <v>0</v>
      </c>
      <c r="Q102" s="593">
        <f ca="1">$E102*(-SUMIF(INDIRECT(Q$3),'Struktur Vorjahr'!$D102,INDIRECT(Q$4))+SUMIF(INDIRECT(Q$3),'Struktur Vorjahr'!$D102,INDIRECT(Q$5)))</f>
        <v>0</v>
      </c>
      <c r="R102" s="593">
        <f ca="1">$E102*(-SUMIF(INDIRECT(R$3),'Struktur Vorjahr'!$D102,INDIRECT(R$4))+SUMIF(INDIRECT(R$3),'Struktur Vorjahr'!$D102,INDIRECT(R$5)))</f>
        <v>0</v>
      </c>
      <c r="S102" s="593">
        <f ca="1">$E102*(-SUMIF(INDIRECT(S$3),'Struktur Vorjahr'!$D102,INDIRECT(S$4))+SUMIF(INDIRECT(S$3),'Struktur Vorjahr'!$D102,INDIRECT(S$5)))</f>
        <v>0</v>
      </c>
      <c r="T102" s="593">
        <f ca="1">$E102*(-SUMIF(INDIRECT(T$3),'Struktur Vorjahr'!$D102,INDIRECT(T$4))+SUMIF(INDIRECT(T$3),'Struktur Vorjahr'!$D102,INDIRECT(T$5)))</f>
        <v>0</v>
      </c>
      <c r="U102" s="593">
        <f ca="1">$E102*(-SUMIF(INDIRECT(U$3),'Struktur Vorjahr'!$D102,INDIRECT(U$4))+SUMIF(INDIRECT(U$3),'Struktur Vorjahr'!$D102,INDIRECT(U$5)))</f>
        <v>0</v>
      </c>
      <c r="V102" s="593">
        <f ca="1">$E102*(-SUMIF(INDIRECT(V$3),'Struktur Vorjahr'!$D102,INDIRECT(V$4))+SUMIF(INDIRECT(V$3),'Struktur Vorjahr'!$D102,INDIRECT(V$5)))</f>
        <v>0</v>
      </c>
      <c r="W102" s="593">
        <f ca="1">$E102*(-SUMIF(INDIRECT(W$3),'Struktur Vorjahr'!$D102,INDIRECT(W$4))+SUMIF(INDIRECT(W$3),'Struktur Vorjahr'!$D102,INDIRECT(W$5)))</f>
        <v>0</v>
      </c>
      <c r="X102" s="593">
        <f ca="1">$E102*(-SUMIF(INDIRECT(X$3),'Struktur Vorjahr'!$D102,INDIRECT(X$4))+SUMIF(INDIRECT(X$3),'Struktur Vorjahr'!$D102,INDIRECT(X$5)))</f>
        <v>0</v>
      </c>
      <c r="Y102" s="593">
        <f ca="1">$E102*(-SUMIF(INDIRECT(Y$3),'Struktur Vorjahr'!$D102,INDIRECT(Y$4))+SUMIF(INDIRECT(Y$3),'Struktur Vorjahr'!$D102,INDIRECT(Y$5)))</f>
        <v>0</v>
      </c>
      <c r="Z102" s="593">
        <f ca="1">$E102*(-SUMIF(INDIRECT(Z$3),'Struktur Vorjahr'!$D102,INDIRECT(Z$4))+SUMIF(INDIRECT(Z$3),'Struktur Vorjahr'!$D102,INDIRECT(Z$5)))</f>
        <v>0</v>
      </c>
      <c r="AA102" s="593">
        <f ca="1">$E102*(-SUMIF(INDIRECT(AA$3),'Struktur Vorjahr'!$D102,INDIRECT(AA$4))+SUMIF(INDIRECT(AA$3),'Struktur Vorjahr'!$D102,INDIRECT(AA$5)))</f>
        <v>0</v>
      </c>
      <c r="AB102" s="593">
        <f ca="1">$E102*(-SUMIF(INDIRECT(AB$3),'Struktur Vorjahr'!$D102,INDIRECT(AB$4))+SUMIF(INDIRECT(AB$3),'Struktur Vorjahr'!$D102,INDIRECT(AB$5)))</f>
        <v>0</v>
      </c>
      <c r="AC102" s="593">
        <f ca="1">$E102*(-SUMIF(INDIRECT(AC$3),'Struktur Vorjahr'!$D102,INDIRECT(AC$4))+SUMIF(INDIRECT(AC$3),'Struktur Vorjahr'!$D102,INDIRECT(AC$5)))</f>
        <v>0</v>
      </c>
      <c r="AD102" s="593">
        <f ca="1">$E102*(-SUMIF(INDIRECT(AD$3),'Struktur Vorjahr'!$D102,INDIRECT(AD$4))+SUMIF(INDIRECT(AD$3),'Struktur Vorjahr'!$D102,INDIRECT(AD$5)))</f>
        <v>0</v>
      </c>
      <c r="AE102" s="593">
        <f t="shared" ca="1" si="52"/>
        <v>0</v>
      </c>
      <c r="AF102" s="593">
        <f t="shared" ca="1" si="53"/>
        <v>0</v>
      </c>
      <c r="AG102" s="593">
        <f t="shared" ca="1" si="53"/>
        <v>0</v>
      </c>
      <c r="AH102" s="593">
        <f t="shared" ca="1" si="53"/>
        <v>0</v>
      </c>
      <c r="AI102" s="593">
        <f t="shared" ca="1" si="53"/>
        <v>0</v>
      </c>
      <c r="AJ102" s="593">
        <f t="shared" ca="1" si="53"/>
        <v>0</v>
      </c>
      <c r="AK102" s="593">
        <f t="shared" ca="1" si="53"/>
        <v>0</v>
      </c>
      <c r="AL102" s="593">
        <f t="shared" ca="1" si="53"/>
        <v>0</v>
      </c>
      <c r="AM102" s="593">
        <f t="shared" ca="1" si="53"/>
        <v>0</v>
      </c>
      <c r="AN102" s="593">
        <f t="shared" ca="1" si="53"/>
        <v>0</v>
      </c>
      <c r="AO102" s="593">
        <f t="shared" ca="1" si="53"/>
        <v>0</v>
      </c>
      <c r="AP102" s="593">
        <f t="shared" ca="1" si="53"/>
        <v>0</v>
      </c>
    </row>
    <row r="103" spans="1:42" s="594" customFormat="1" ht="11.25" outlineLevel="1" x14ac:dyDescent="0.2">
      <c r="A103" s="590"/>
      <c r="B103" s="591" t="str">
        <f>IF(D103&lt;&gt;"",
IF(ISERROR(MATCH(D103,'Ist Vorjahr Monat 01'!A:A,0))=FALSE,INDEX('Ist Vorjahr Monat 01'!B:B,MATCH(D103,'Ist Vorjahr Monat 01'!A:A,0)),
IF(ISERROR(MATCH(D103,'Ist Vorjahr Monat 02'!A:A,0))=FALSE,INDEX('Ist Vorjahr Monat 02'!B:B,MATCH(D103,'Ist Vorjahr Monat 02'!A:A,0)),
IF(ISERROR(MATCH(D103,'Ist Vorjahr Monat 03'!A:A,0))=FALSE,INDEX('Ist Vorjahr Monat 03'!B:B,MATCH(D103,'Ist Vorjahr Monat 03'!A:A,0)),
IF(ISERROR(MATCH(D103,'Ist Vorjahr Monat 04'!A:A,0))=FALSE,INDEX('Ist Vorjahr Monat 04'!B:B,MATCH(D103,'Ist Vorjahr Monat 04'!A:A,0)),
IF(ISERROR(MATCH(D103,'Ist Vorjahr Monat 05'!A:A,0))=FALSE,INDEX('Ist Vorjahr Monat 05'!B:B,MATCH(D103,'Ist Vorjahr Monat 05'!A:A,0)),
IF(ISERROR(MATCH(D103,'Ist Vorjahr Monat 06'!A:A,0))=FALSE,INDEX('Ist Vorjahr Monat 06'!B:B,MATCH(D103,'Ist Vorjahr Monat 06'!A:A,0)),
IF(ISERROR(MATCH(D103,'Ist Vorjahr Monat 07'!A:A,0))=FALSE,INDEX('Ist Vorjahr Monat 07'!B:B,MATCH(D103,'Ist Vorjahr Monat 07'!A:A,0)),
IF(ISERROR(MATCH(D103,'Ist Vorjahr Monat 08'!A:A,0))=FALSE,INDEX('Ist Vorjahr Monat 08'!B:B,MATCH(D103,'Ist Vorjahr Monat 08'!A:A,0)),
IF(ISERROR(MATCH(D103,'Ist Vorjahr Monat 09'!A:A,0))=FALSE,INDEX('Ist Vorjahr Monat 09'!B:B,MATCH(D103,'Ist Vorjahr Monat 09'!A:A,0)),
IF(ISERROR(MATCH(D103,'Ist Vorjahr Monat 10'!A:A,0))=FALSE,INDEX('Ist Vorjahr Monat 10'!B:B,MATCH(D103,'Ist Vorjahr Monat 10'!A:A,0)),
IF(ISERROR(MATCH(D103,'Ist Vorjahr Monat 11'!A:A,0))=FALSE,INDEX('Ist Vorjahr Monat 11'!B:B,MATCH(D103,'Ist Vorjahr Monat 11'!A:A,0)),
IF(ISERROR(MATCH(D103,'Ist Vorjahr Monat 12'!A:A,0))=FALSE,INDEX('Ist Vorjahr Monat 12'!B:B,MATCH(D103,'Ist Vorjahr Monat 12'!A:A,0)),
"{Konto unbekannt}"
)))))))))))),"")</f>
        <v/>
      </c>
      <c r="C103" s="591"/>
      <c r="D103" s="590"/>
      <c r="E103" s="592">
        <f t="shared" si="34"/>
        <v>1</v>
      </c>
      <c r="F103" s="590"/>
      <c r="G103" s="593">
        <f ca="1">$E103*(-SUMIF(INDIRECT(G$3),'Struktur Vorjahr'!$D103,INDIRECT(G$4))+SUMIF(INDIRECT(G$3),'Struktur Vorjahr'!$D103,INDIRECT(G$5)))</f>
        <v>0</v>
      </c>
      <c r="H103" s="593">
        <f ca="1">$E103*(-SUMIF(INDIRECT(H$3),'Struktur Vorjahr'!$D103,INDIRECT(H$4))+SUMIF(INDIRECT(H$3),'Struktur Vorjahr'!$D103,INDIRECT(H$5)))</f>
        <v>0</v>
      </c>
      <c r="I103" s="593">
        <f ca="1">$E103*(-SUMIF(INDIRECT(I$3),'Struktur Vorjahr'!$D103,INDIRECT(I$4))+SUMIF(INDIRECT(I$3),'Struktur Vorjahr'!$D103,INDIRECT(I$5)))</f>
        <v>0</v>
      </c>
      <c r="J103" s="593">
        <f ca="1">$E103*(-SUMIF(INDIRECT(J$3),'Struktur Vorjahr'!$D103,INDIRECT(J$4))+SUMIF(INDIRECT(J$3),'Struktur Vorjahr'!$D103,INDIRECT(J$5)))</f>
        <v>0</v>
      </c>
      <c r="K103" s="593">
        <f ca="1">$E103*(-SUMIF(INDIRECT(K$3),'Struktur Vorjahr'!$D103,INDIRECT(K$4))+SUMIF(INDIRECT(K$3),'Struktur Vorjahr'!$D103,INDIRECT(K$5)))</f>
        <v>0</v>
      </c>
      <c r="L103" s="593">
        <f ca="1">$E103*(-SUMIF(INDIRECT(L$3),'Struktur Vorjahr'!$D103,INDIRECT(L$4))+SUMIF(INDIRECT(L$3),'Struktur Vorjahr'!$D103,INDIRECT(L$5)))</f>
        <v>0</v>
      </c>
      <c r="M103" s="593">
        <f ca="1">$E103*(-SUMIF(INDIRECT(M$3),'Struktur Vorjahr'!$D103,INDIRECT(M$4))+SUMIF(INDIRECT(M$3),'Struktur Vorjahr'!$D103,INDIRECT(M$5)))</f>
        <v>0</v>
      </c>
      <c r="N103" s="593">
        <f ca="1">$E103*(-SUMIF(INDIRECT(N$3),'Struktur Vorjahr'!$D103,INDIRECT(N$4))+SUMIF(INDIRECT(N$3),'Struktur Vorjahr'!$D103,INDIRECT(N$5)))</f>
        <v>0</v>
      </c>
      <c r="O103" s="593">
        <f ca="1">$E103*(-SUMIF(INDIRECT(O$3),'Struktur Vorjahr'!$D103,INDIRECT(O$4))+SUMIF(INDIRECT(O$3),'Struktur Vorjahr'!$D103,INDIRECT(O$5)))</f>
        <v>0</v>
      </c>
      <c r="P103" s="593">
        <f ca="1">$E103*(-SUMIF(INDIRECT(P$3),'Struktur Vorjahr'!$D103,INDIRECT(P$4))+SUMIF(INDIRECT(P$3),'Struktur Vorjahr'!$D103,INDIRECT(P$5)))</f>
        <v>0</v>
      </c>
      <c r="Q103" s="593">
        <f ca="1">$E103*(-SUMIF(INDIRECT(Q$3),'Struktur Vorjahr'!$D103,INDIRECT(Q$4))+SUMIF(INDIRECT(Q$3),'Struktur Vorjahr'!$D103,INDIRECT(Q$5)))</f>
        <v>0</v>
      </c>
      <c r="R103" s="593">
        <f ca="1">$E103*(-SUMIF(INDIRECT(R$3),'Struktur Vorjahr'!$D103,INDIRECT(R$4))+SUMIF(INDIRECT(R$3),'Struktur Vorjahr'!$D103,INDIRECT(R$5)))</f>
        <v>0</v>
      </c>
      <c r="S103" s="593">
        <f ca="1">$E103*(-SUMIF(INDIRECT(S$3),'Struktur Vorjahr'!$D103,INDIRECT(S$4))+SUMIF(INDIRECT(S$3),'Struktur Vorjahr'!$D103,INDIRECT(S$5)))</f>
        <v>0</v>
      </c>
      <c r="T103" s="593">
        <f ca="1">$E103*(-SUMIF(INDIRECT(T$3),'Struktur Vorjahr'!$D103,INDIRECT(T$4))+SUMIF(INDIRECT(T$3),'Struktur Vorjahr'!$D103,INDIRECT(T$5)))</f>
        <v>0</v>
      </c>
      <c r="U103" s="593">
        <f ca="1">$E103*(-SUMIF(INDIRECT(U$3),'Struktur Vorjahr'!$D103,INDIRECT(U$4))+SUMIF(INDIRECT(U$3),'Struktur Vorjahr'!$D103,INDIRECT(U$5)))</f>
        <v>0</v>
      </c>
      <c r="V103" s="593">
        <f ca="1">$E103*(-SUMIF(INDIRECT(V$3),'Struktur Vorjahr'!$D103,INDIRECT(V$4))+SUMIF(INDIRECT(V$3),'Struktur Vorjahr'!$D103,INDIRECT(V$5)))</f>
        <v>0</v>
      </c>
      <c r="W103" s="593">
        <f ca="1">$E103*(-SUMIF(INDIRECT(W$3),'Struktur Vorjahr'!$D103,INDIRECT(W$4))+SUMIF(INDIRECT(W$3),'Struktur Vorjahr'!$D103,INDIRECT(W$5)))</f>
        <v>0</v>
      </c>
      <c r="X103" s="593">
        <f ca="1">$E103*(-SUMIF(INDIRECT(X$3),'Struktur Vorjahr'!$D103,INDIRECT(X$4))+SUMIF(INDIRECT(X$3),'Struktur Vorjahr'!$D103,INDIRECT(X$5)))</f>
        <v>0</v>
      </c>
      <c r="Y103" s="593">
        <f ca="1">$E103*(-SUMIF(INDIRECT(Y$3),'Struktur Vorjahr'!$D103,INDIRECT(Y$4))+SUMIF(INDIRECT(Y$3),'Struktur Vorjahr'!$D103,INDIRECT(Y$5)))</f>
        <v>0</v>
      </c>
      <c r="Z103" s="593">
        <f ca="1">$E103*(-SUMIF(INDIRECT(Z$3),'Struktur Vorjahr'!$D103,INDIRECT(Z$4))+SUMIF(INDIRECT(Z$3),'Struktur Vorjahr'!$D103,INDIRECT(Z$5)))</f>
        <v>0</v>
      </c>
      <c r="AA103" s="593">
        <f ca="1">$E103*(-SUMIF(INDIRECT(AA$3),'Struktur Vorjahr'!$D103,INDIRECT(AA$4))+SUMIF(INDIRECT(AA$3),'Struktur Vorjahr'!$D103,INDIRECT(AA$5)))</f>
        <v>0</v>
      </c>
      <c r="AB103" s="593">
        <f ca="1">$E103*(-SUMIF(INDIRECT(AB$3),'Struktur Vorjahr'!$D103,INDIRECT(AB$4))+SUMIF(INDIRECT(AB$3),'Struktur Vorjahr'!$D103,INDIRECT(AB$5)))</f>
        <v>0</v>
      </c>
      <c r="AC103" s="593">
        <f ca="1">$E103*(-SUMIF(INDIRECT(AC$3),'Struktur Vorjahr'!$D103,INDIRECT(AC$4))+SUMIF(INDIRECT(AC$3),'Struktur Vorjahr'!$D103,INDIRECT(AC$5)))</f>
        <v>0</v>
      </c>
      <c r="AD103" s="593">
        <f ca="1">$E103*(-SUMIF(INDIRECT(AD$3),'Struktur Vorjahr'!$D103,INDIRECT(AD$4))+SUMIF(INDIRECT(AD$3),'Struktur Vorjahr'!$D103,INDIRECT(AD$5)))</f>
        <v>0</v>
      </c>
      <c r="AE103" s="593">
        <f t="shared" ca="1" si="52"/>
        <v>0</v>
      </c>
      <c r="AF103" s="593">
        <f t="shared" ca="1" si="53"/>
        <v>0</v>
      </c>
      <c r="AG103" s="593">
        <f t="shared" ca="1" si="53"/>
        <v>0</v>
      </c>
      <c r="AH103" s="593">
        <f t="shared" ca="1" si="53"/>
        <v>0</v>
      </c>
      <c r="AI103" s="593">
        <f t="shared" ca="1" si="53"/>
        <v>0</v>
      </c>
      <c r="AJ103" s="593">
        <f t="shared" ca="1" si="53"/>
        <v>0</v>
      </c>
      <c r="AK103" s="593">
        <f t="shared" ca="1" si="53"/>
        <v>0</v>
      </c>
      <c r="AL103" s="593">
        <f t="shared" ca="1" si="53"/>
        <v>0</v>
      </c>
      <c r="AM103" s="593">
        <f t="shared" ca="1" si="53"/>
        <v>0</v>
      </c>
      <c r="AN103" s="593">
        <f t="shared" ca="1" si="53"/>
        <v>0</v>
      </c>
      <c r="AO103" s="593">
        <f t="shared" ca="1" si="53"/>
        <v>0</v>
      </c>
      <c r="AP103" s="593">
        <f t="shared" ca="1" si="53"/>
        <v>0</v>
      </c>
    </row>
    <row r="104" spans="1:42" s="594" customFormat="1" ht="11.25" outlineLevel="1" x14ac:dyDescent="0.2">
      <c r="A104" s="590"/>
      <c r="B104" s="591" t="str">
        <f>IF(D104&lt;&gt;"",
IF(ISERROR(MATCH(D104,'Ist Vorjahr Monat 01'!A:A,0))=FALSE,INDEX('Ist Vorjahr Monat 01'!B:B,MATCH(D104,'Ist Vorjahr Monat 01'!A:A,0)),
IF(ISERROR(MATCH(D104,'Ist Vorjahr Monat 02'!A:A,0))=FALSE,INDEX('Ist Vorjahr Monat 02'!B:B,MATCH(D104,'Ist Vorjahr Monat 02'!A:A,0)),
IF(ISERROR(MATCH(D104,'Ist Vorjahr Monat 03'!A:A,0))=FALSE,INDEX('Ist Vorjahr Monat 03'!B:B,MATCH(D104,'Ist Vorjahr Monat 03'!A:A,0)),
IF(ISERROR(MATCH(D104,'Ist Vorjahr Monat 04'!A:A,0))=FALSE,INDEX('Ist Vorjahr Monat 04'!B:B,MATCH(D104,'Ist Vorjahr Monat 04'!A:A,0)),
IF(ISERROR(MATCH(D104,'Ist Vorjahr Monat 05'!A:A,0))=FALSE,INDEX('Ist Vorjahr Monat 05'!B:B,MATCH(D104,'Ist Vorjahr Monat 05'!A:A,0)),
IF(ISERROR(MATCH(D104,'Ist Vorjahr Monat 06'!A:A,0))=FALSE,INDEX('Ist Vorjahr Monat 06'!B:B,MATCH(D104,'Ist Vorjahr Monat 06'!A:A,0)),
IF(ISERROR(MATCH(D104,'Ist Vorjahr Monat 07'!A:A,0))=FALSE,INDEX('Ist Vorjahr Monat 07'!B:B,MATCH(D104,'Ist Vorjahr Monat 07'!A:A,0)),
IF(ISERROR(MATCH(D104,'Ist Vorjahr Monat 08'!A:A,0))=FALSE,INDEX('Ist Vorjahr Monat 08'!B:B,MATCH(D104,'Ist Vorjahr Monat 08'!A:A,0)),
IF(ISERROR(MATCH(D104,'Ist Vorjahr Monat 09'!A:A,0))=FALSE,INDEX('Ist Vorjahr Monat 09'!B:B,MATCH(D104,'Ist Vorjahr Monat 09'!A:A,0)),
IF(ISERROR(MATCH(D104,'Ist Vorjahr Monat 10'!A:A,0))=FALSE,INDEX('Ist Vorjahr Monat 10'!B:B,MATCH(D104,'Ist Vorjahr Monat 10'!A:A,0)),
IF(ISERROR(MATCH(D104,'Ist Vorjahr Monat 11'!A:A,0))=FALSE,INDEX('Ist Vorjahr Monat 11'!B:B,MATCH(D104,'Ist Vorjahr Monat 11'!A:A,0)),
IF(ISERROR(MATCH(D104,'Ist Vorjahr Monat 12'!A:A,0))=FALSE,INDEX('Ist Vorjahr Monat 12'!B:B,MATCH(D104,'Ist Vorjahr Monat 12'!A:A,0)),
"{Konto unbekannt}"
)))))))))))),"")</f>
        <v/>
      </c>
      <c r="C104" s="591"/>
      <c r="D104" s="590"/>
      <c r="E104" s="592">
        <f t="shared" si="34"/>
        <v>1</v>
      </c>
      <c r="F104" s="590"/>
      <c r="G104" s="593">
        <f ca="1">$E104*(-SUMIF(INDIRECT(G$3),'Struktur Vorjahr'!$D104,INDIRECT(G$4))+SUMIF(INDIRECT(G$3),'Struktur Vorjahr'!$D104,INDIRECT(G$5)))</f>
        <v>0</v>
      </c>
      <c r="H104" s="593">
        <f ca="1">$E104*(-SUMIF(INDIRECT(H$3),'Struktur Vorjahr'!$D104,INDIRECT(H$4))+SUMIF(INDIRECT(H$3),'Struktur Vorjahr'!$D104,INDIRECT(H$5)))</f>
        <v>0</v>
      </c>
      <c r="I104" s="593">
        <f ca="1">$E104*(-SUMIF(INDIRECT(I$3),'Struktur Vorjahr'!$D104,INDIRECT(I$4))+SUMIF(INDIRECT(I$3),'Struktur Vorjahr'!$D104,INDIRECT(I$5)))</f>
        <v>0</v>
      </c>
      <c r="J104" s="593">
        <f ca="1">$E104*(-SUMIF(INDIRECT(J$3),'Struktur Vorjahr'!$D104,INDIRECT(J$4))+SUMIF(INDIRECT(J$3),'Struktur Vorjahr'!$D104,INDIRECT(J$5)))</f>
        <v>0</v>
      </c>
      <c r="K104" s="593">
        <f ca="1">$E104*(-SUMIF(INDIRECT(K$3),'Struktur Vorjahr'!$D104,INDIRECT(K$4))+SUMIF(INDIRECT(K$3),'Struktur Vorjahr'!$D104,INDIRECT(K$5)))</f>
        <v>0</v>
      </c>
      <c r="L104" s="593">
        <f ca="1">$E104*(-SUMIF(INDIRECT(L$3),'Struktur Vorjahr'!$D104,INDIRECT(L$4))+SUMIF(INDIRECT(L$3),'Struktur Vorjahr'!$D104,INDIRECT(L$5)))</f>
        <v>0</v>
      </c>
      <c r="M104" s="593">
        <f ca="1">$E104*(-SUMIF(INDIRECT(M$3),'Struktur Vorjahr'!$D104,INDIRECT(M$4))+SUMIF(INDIRECT(M$3),'Struktur Vorjahr'!$D104,INDIRECT(M$5)))</f>
        <v>0</v>
      </c>
      <c r="N104" s="593">
        <f ca="1">$E104*(-SUMIF(INDIRECT(N$3),'Struktur Vorjahr'!$D104,INDIRECT(N$4))+SUMIF(INDIRECT(N$3),'Struktur Vorjahr'!$D104,INDIRECT(N$5)))</f>
        <v>0</v>
      </c>
      <c r="O104" s="593">
        <f ca="1">$E104*(-SUMIF(INDIRECT(O$3),'Struktur Vorjahr'!$D104,INDIRECT(O$4))+SUMIF(INDIRECT(O$3),'Struktur Vorjahr'!$D104,INDIRECT(O$5)))</f>
        <v>0</v>
      </c>
      <c r="P104" s="593">
        <f ca="1">$E104*(-SUMIF(INDIRECT(P$3),'Struktur Vorjahr'!$D104,INDIRECT(P$4))+SUMIF(INDIRECT(P$3),'Struktur Vorjahr'!$D104,INDIRECT(P$5)))</f>
        <v>0</v>
      </c>
      <c r="Q104" s="593">
        <f ca="1">$E104*(-SUMIF(INDIRECT(Q$3),'Struktur Vorjahr'!$D104,INDIRECT(Q$4))+SUMIF(INDIRECT(Q$3),'Struktur Vorjahr'!$D104,INDIRECT(Q$5)))</f>
        <v>0</v>
      </c>
      <c r="R104" s="593">
        <f ca="1">$E104*(-SUMIF(INDIRECT(R$3),'Struktur Vorjahr'!$D104,INDIRECT(R$4))+SUMIF(INDIRECT(R$3),'Struktur Vorjahr'!$D104,INDIRECT(R$5)))</f>
        <v>0</v>
      </c>
      <c r="S104" s="593">
        <f ca="1">$E104*(-SUMIF(INDIRECT(S$3),'Struktur Vorjahr'!$D104,INDIRECT(S$4))+SUMIF(INDIRECT(S$3),'Struktur Vorjahr'!$D104,INDIRECT(S$5)))</f>
        <v>0</v>
      </c>
      <c r="T104" s="593">
        <f ca="1">$E104*(-SUMIF(INDIRECT(T$3),'Struktur Vorjahr'!$D104,INDIRECT(T$4))+SUMIF(INDIRECT(T$3),'Struktur Vorjahr'!$D104,INDIRECT(T$5)))</f>
        <v>0</v>
      </c>
      <c r="U104" s="593">
        <f ca="1">$E104*(-SUMIF(INDIRECT(U$3),'Struktur Vorjahr'!$D104,INDIRECT(U$4))+SUMIF(INDIRECT(U$3),'Struktur Vorjahr'!$D104,INDIRECT(U$5)))</f>
        <v>0</v>
      </c>
      <c r="V104" s="593">
        <f ca="1">$E104*(-SUMIF(INDIRECT(V$3),'Struktur Vorjahr'!$D104,INDIRECT(V$4))+SUMIF(INDIRECT(V$3),'Struktur Vorjahr'!$D104,INDIRECT(V$5)))</f>
        <v>0</v>
      </c>
      <c r="W104" s="593">
        <f ca="1">$E104*(-SUMIF(INDIRECT(W$3),'Struktur Vorjahr'!$D104,INDIRECT(W$4))+SUMIF(INDIRECT(W$3),'Struktur Vorjahr'!$D104,INDIRECT(W$5)))</f>
        <v>0</v>
      </c>
      <c r="X104" s="593">
        <f ca="1">$E104*(-SUMIF(INDIRECT(X$3),'Struktur Vorjahr'!$D104,INDIRECT(X$4))+SUMIF(INDIRECT(X$3),'Struktur Vorjahr'!$D104,INDIRECT(X$5)))</f>
        <v>0</v>
      </c>
      <c r="Y104" s="593">
        <f ca="1">$E104*(-SUMIF(INDIRECT(Y$3),'Struktur Vorjahr'!$D104,INDIRECT(Y$4))+SUMIF(INDIRECT(Y$3),'Struktur Vorjahr'!$D104,INDIRECT(Y$5)))</f>
        <v>0</v>
      </c>
      <c r="Z104" s="593">
        <f ca="1">$E104*(-SUMIF(INDIRECT(Z$3),'Struktur Vorjahr'!$D104,INDIRECT(Z$4))+SUMIF(INDIRECT(Z$3),'Struktur Vorjahr'!$D104,INDIRECT(Z$5)))</f>
        <v>0</v>
      </c>
      <c r="AA104" s="593">
        <f ca="1">$E104*(-SUMIF(INDIRECT(AA$3),'Struktur Vorjahr'!$D104,INDIRECT(AA$4))+SUMIF(INDIRECT(AA$3),'Struktur Vorjahr'!$D104,INDIRECT(AA$5)))</f>
        <v>0</v>
      </c>
      <c r="AB104" s="593">
        <f ca="1">$E104*(-SUMIF(INDIRECT(AB$3),'Struktur Vorjahr'!$D104,INDIRECT(AB$4))+SUMIF(INDIRECT(AB$3),'Struktur Vorjahr'!$D104,INDIRECT(AB$5)))</f>
        <v>0</v>
      </c>
      <c r="AC104" s="593">
        <f ca="1">$E104*(-SUMIF(INDIRECT(AC$3),'Struktur Vorjahr'!$D104,INDIRECT(AC$4))+SUMIF(INDIRECT(AC$3),'Struktur Vorjahr'!$D104,INDIRECT(AC$5)))</f>
        <v>0</v>
      </c>
      <c r="AD104" s="593">
        <f ca="1">$E104*(-SUMIF(INDIRECT(AD$3),'Struktur Vorjahr'!$D104,INDIRECT(AD$4))+SUMIF(INDIRECT(AD$3),'Struktur Vorjahr'!$D104,INDIRECT(AD$5)))</f>
        <v>0</v>
      </c>
      <c r="AE104" s="593">
        <f t="shared" ca="1" si="52"/>
        <v>0</v>
      </c>
      <c r="AF104" s="593">
        <f t="shared" ca="1" si="53"/>
        <v>0</v>
      </c>
      <c r="AG104" s="593">
        <f t="shared" ca="1" si="53"/>
        <v>0</v>
      </c>
      <c r="AH104" s="593">
        <f t="shared" ca="1" si="53"/>
        <v>0</v>
      </c>
      <c r="AI104" s="593">
        <f t="shared" ca="1" si="53"/>
        <v>0</v>
      </c>
      <c r="AJ104" s="593">
        <f t="shared" ca="1" si="53"/>
        <v>0</v>
      </c>
      <c r="AK104" s="593">
        <f t="shared" ca="1" si="53"/>
        <v>0</v>
      </c>
      <c r="AL104" s="593">
        <f t="shared" ca="1" si="53"/>
        <v>0</v>
      </c>
      <c r="AM104" s="593">
        <f t="shared" ca="1" si="53"/>
        <v>0</v>
      </c>
      <c r="AN104" s="593">
        <f t="shared" ca="1" si="53"/>
        <v>0</v>
      </c>
      <c r="AO104" s="593">
        <f t="shared" ca="1" si="53"/>
        <v>0</v>
      </c>
      <c r="AP104" s="593">
        <f t="shared" ca="1" si="53"/>
        <v>0</v>
      </c>
    </row>
    <row r="105" spans="1:42" s="594" customFormat="1" ht="11.25" outlineLevel="1" x14ac:dyDescent="0.2">
      <c r="A105" s="590"/>
      <c r="B105" s="591" t="str">
        <f>IF(D105&lt;&gt;"",
IF(ISERROR(MATCH(D105,'Ist Vorjahr Monat 01'!A:A,0))=FALSE,INDEX('Ist Vorjahr Monat 01'!B:B,MATCH(D105,'Ist Vorjahr Monat 01'!A:A,0)),
IF(ISERROR(MATCH(D105,'Ist Vorjahr Monat 02'!A:A,0))=FALSE,INDEX('Ist Vorjahr Monat 02'!B:B,MATCH(D105,'Ist Vorjahr Monat 02'!A:A,0)),
IF(ISERROR(MATCH(D105,'Ist Vorjahr Monat 03'!A:A,0))=FALSE,INDEX('Ist Vorjahr Monat 03'!B:B,MATCH(D105,'Ist Vorjahr Monat 03'!A:A,0)),
IF(ISERROR(MATCH(D105,'Ist Vorjahr Monat 04'!A:A,0))=FALSE,INDEX('Ist Vorjahr Monat 04'!B:B,MATCH(D105,'Ist Vorjahr Monat 04'!A:A,0)),
IF(ISERROR(MATCH(D105,'Ist Vorjahr Monat 05'!A:A,0))=FALSE,INDEX('Ist Vorjahr Monat 05'!B:B,MATCH(D105,'Ist Vorjahr Monat 05'!A:A,0)),
IF(ISERROR(MATCH(D105,'Ist Vorjahr Monat 06'!A:A,0))=FALSE,INDEX('Ist Vorjahr Monat 06'!B:B,MATCH(D105,'Ist Vorjahr Monat 06'!A:A,0)),
IF(ISERROR(MATCH(D105,'Ist Vorjahr Monat 07'!A:A,0))=FALSE,INDEX('Ist Vorjahr Monat 07'!B:B,MATCH(D105,'Ist Vorjahr Monat 07'!A:A,0)),
IF(ISERROR(MATCH(D105,'Ist Vorjahr Monat 08'!A:A,0))=FALSE,INDEX('Ist Vorjahr Monat 08'!B:B,MATCH(D105,'Ist Vorjahr Monat 08'!A:A,0)),
IF(ISERROR(MATCH(D105,'Ist Vorjahr Monat 09'!A:A,0))=FALSE,INDEX('Ist Vorjahr Monat 09'!B:B,MATCH(D105,'Ist Vorjahr Monat 09'!A:A,0)),
IF(ISERROR(MATCH(D105,'Ist Vorjahr Monat 10'!A:A,0))=FALSE,INDEX('Ist Vorjahr Monat 10'!B:B,MATCH(D105,'Ist Vorjahr Monat 10'!A:A,0)),
IF(ISERROR(MATCH(D105,'Ist Vorjahr Monat 11'!A:A,0))=FALSE,INDEX('Ist Vorjahr Monat 11'!B:B,MATCH(D105,'Ist Vorjahr Monat 11'!A:A,0)),
IF(ISERROR(MATCH(D105,'Ist Vorjahr Monat 12'!A:A,0))=FALSE,INDEX('Ist Vorjahr Monat 12'!B:B,MATCH(D105,'Ist Vorjahr Monat 12'!A:A,0)),
"{Konto unbekannt}"
)))))))))))),"")</f>
        <v/>
      </c>
      <c r="C105" s="591"/>
      <c r="D105" s="590"/>
      <c r="E105" s="592">
        <f t="shared" si="34"/>
        <v>1</v>
      </c>
      <c r="F105" s="590"/>
      <c r="G105" s="593">
        <f ca="1">$E105*(-SUMIF(INDIRECT(G$3),'Struktur Vorjahr'!$D105,INDIRECT(G$4))+SUMIF(INDIRECT(G$3),'Struktur Vorjahr'!$D105,INDIRECT(G$5)))</f>
        <v>0</v>
      </c>
      <c r="H105" s="593">
        <f ca="1">$E105*(-SUMIF(INDIRECT(H$3),'Struktur Vorjahr'!$D105,INDIRECT(H$4))+SUMIF(INDIRECT(H$3),'Struktur Vorjahr'!$D105,INDIRECT(H$5)))</f>
        <v>0</v>
      </c>
      <c r="I105" s="593">
        <f ca="1">$E105*(-SUMIF(INDIRECT(I$3),'Struktur Vorjahr'!$D105,INDIRECT(I$4))+SUMIF(INDIRECT(I$3),'Struktur Vorjahr'!$D105,INDIRECT(I$5)))</f>
        <v>0</v>
      </c>
      <c r="J105" s="593">
        <f ca="1">$E105*(-SUMIF(INDIRECT(J$3),'Struktur Vorjahr'!$D105,INDIRECT(J$4))+SUMIF(INDIRECT(J$3),'Struktur Vorjahr'!$D105,INDIRECT(J$5)))</f>
        <v>0</v>
      </c>
      <c r="K105" s="593">
        <f ca="1">$E105*(-SUMIF(INDIRECT(K$3),'Struktur Vorjahr'!$D105,INDIRECT(K$4))+SUMIF(INDIRECT(K$3),'Struktur Vorjahr'!$D105,INDIRECT(K$5)))</f>
        <v>0</v>
      </c>
      <c r="L105" s="593">
        <f ca="1">$E105*(-SUMIF(INDIRECT(L$3),'Struktur Vorjahr'!$D105,INDIRECT(L$4))+SUMIF(INDIRECT(L$3),'Struktur Vorjahr'!$D105,INDIRECT(L$5)))</f>
        <v>0</v>
      </c>
      <c r="M105" s="593">
        <f ca="1">$E105*(-SUMIF(INDIRECT(M$3),'Struktur Vorjahr'!$D105,INDIRECT(M$4))+SUMIF(INDIRECT(M$3),'Struktur Vorjahr'!$D105,INDIRECT(M$5)))</f>
        <v>0</v>
      </c>
      <c r="N105" s="593">
        <f ca="1">$E105*(-SUMIF(INDIRECT(N$3),'Struktur Vorjahr'!$D105,INDIRECT(N$4))+SUMIF(INDIRECT(N$3),'Struktur Vorjahr'!$D105,INDIRECT(N$5)))</f>
        <v>0</v>
      </c>
      <c r="O105" s="593">
        <f ca="1">$E105*(-SUMIF(INDIRECT(O$3),'Struktur Vorjahr'!$D105,INDIRECT(O$4))+SUMIF(INDIRECT(O$3),'Struktur Vorjahr'!$D105,INDIRECT(O$5)))</f>
        <v>0</v>
      </c>
      <c r="P105" s="593">
        <f ca="1">$E105*(-SUMIF(INDIRECT(P$3),'Struktur Vorjahr'!$D105,INDIRECT(P$4))+SUMIF(INDIRECT(P$3),'Struktur Vorjahr'!$D105,INDIRECT(P$5)))</f>
        <v>0</v>
      </c>
      <c r="Q105" s="593">
        <f ca="1">$E105*(-SUMIF(INDIRECT(Q$3),'Struktur Vorjahr'!$D105,INDIRECT(Q$4))+SUMIF(INDIRECT(Q$3),'Struktur Vorjahr'!$D105,INDIRECT(Q$5)))</f>
        <v>0</v>
      </c>
      <c r="R105" s="593">
        <f ca="1">$E105*(-SUMIF(INDIRECT(R$3),'Struktur Vorjahr'!$D105,INDIRECT(R$4))+SUMIF(INDIRECT(R$3),'Struktur Vorjahr'!$D105,INDIRECT(R$5)))</f>
        <v>0</v>
      </c>
      <c r="S105" s="593">
        <f ca="1">$E105*(-SUMIF(INDIRECT(S$3),'Struktur Vorjahr'!$D105,INDIRECT(S$4))+SUMIF(INDIRECT(S$3),'Struktur Vorjahr'!$D105,INDIRECT(S$5)))</f>
        <v>0</v>
      </c>
      <c r="T105" s="593">
        <f ca="1">$E105*(-SUMIF(INDIRECT(T$3),'Struktur Vorjahr'!$D105,INDIRECT(T$4))+SUMIF(INDIRECT(T$3),'Struktur Vorjahr'!$D105,INDIRECT(T$5)))</f>
        <v>0</v>
      </c>
      <c r="U105" s="593">
        <f ca="1">$E105*(-SUMIF(INDIRECT(U$3),'Struktur Vorjahr'!$D105,INDIRECT(U$4))+SUMIF(INDIRECT(U$3),'Struktur Vorjahr'!$D105,INDIRECT(U$5)))</f>
        <v>0</v>
      </c>
      <c r="V105" s="593">
        <f ca="1">$E105*(-SUMIF(INDIRECT(V$3),'Struktur Vorjahr'!$D105,INDIRECT(V$4))+SUMIF(INDIRECT(V$3),'Struktur Vorjahr'!$D105,INDIRECT(V$5)))</f>
        <v>0</v>
      </c>
      <c r="W105" s="593">
        <f ca="1">$E105*(-SUMIF(INDIRECT(W$3),'Struktur Vorjahr'!$D105,INDIRECT(W$4))+SUMIF(INDIRECT(W$3),'Struktur Vorjahr'!$D105,INDIRECT(W$5)))</f>
        <v>0</v>
      </c>
      <c r="X105" s="593">
        <f ca="1">$E105*(-SUMIF(INDIRECT(X$3),'Struktur Vorjahr'!$D105,INDIRECT(X$4))+SUMIF(INDIRECT(X$3),'Struktur Vorjahr'!$D105,INDIRECT(X$5)))</f>
        <v>0</v>
      </c>
      <c r="Y105" s="593">
        <f ca="1">$E105*(-SUMIF(INDIRECT(Y$3),'Struktur Vorjahr'!$D105,INDIRECT(Y$4))+SUMIF(INDIRECT(Y$3),'Struktur Vorjahr'!$D105,INDIRECT(Y$5)))</f>
        <v>0</v>
      </c>
      <c r="Z105" s="593">
        <f ca="1">$E105*(-SUMIF(INDIRECT(Z$3),'Struktur Vorjahr'!$D105,INDIRECT(Z$4))+SUMIF(INDIRECT(Z$3),'Struktur Vorjahr'!$D105,INDIRECT(Z$5)))</f>
        <v>0</v>
      </c>
      <c r="AA105" s="593">
        <f ca="1">$E105*(-SUMIF(INDIRECT(AA$3),'Struktur Vorjahr'!$D105,INDIRECT(AA$4))+SUMIF(INDIRECT(AA$3),'Struktur Vorjahr'!$D105,INDIRECT(AA$5)))</f>
        <v>0</v>
      </c>
      <c r="AB105" s="593">
        <f ca="1">$E105*(-SUMIF(INDIRECT(AB$3),'Struktur Vorjahr'!$D105,INDIRECT(AB$4))+SUMIF(INDIRECT(AB$3),'Struktur Vorjahr'!$D105,INDIRECT(AB$5)))</f>
        <v>0</v>
      </c>
      <c r="AC105" s="593">
        <f ca="1">$E105*(-SUMIF(INDIRECT(AC$3),'Struktur Vorjahr'!$D105,INDIRECT(AC$4))+SUMIF(INDIRECT(AC$3),'Struktur Vorjahr'!$D105,INDIRECT(AC$5)))</f>
        <v>0</v>
      </c>
      <c r="AD105" s="593">
        <f ca="1">$E105*(-SUMIF(INDIRECT(AD$3),'Struktur Vorjahr'!$D105,INDIRECT(AD$4))+SUMIF(INDIRECT(AD$3),'Struktur Vorjahr'!$D105,INDIRECT(AD$5)))</f>
        <v>0</v>
      </c>
      <c r="AE105" s="593">
        <f t="shared" ca="1" si="52"/>
        <v>0</v>
      </c>
      <c r="AF105" s="593">
        <f t="shared" ca="1" si="53"/>
        <v>0</v>
      </c>
      <c r="AG105" s="593">
        <f t="shared" ca="1" si="53"/>
        <v>0</v>
      </c>
      <c r="AH105" s="593">
        <f t="shared" ca="1" si="53"/>
        <v>0</v>
      </c>
      <c r="AI105" s="593">
        <f t="shared" ca="1" si="53"/>
        <v>0</v>
      </c>
      <c r="AJ105" s="593">
        <f t="shared" ca="1" si="53"/>
        <v>0</v>
      </c>
      <c r="AK105" s="593">
        <f t="shared" ca="1" si="53"/>
        <v>0</v>
      </c>
      <c r="AL105" s="593">
        <f t="shared" ca="1" si="53"/>
        <v>0</v>
      </c>
      <c r="AM105" s="593">
        <f t="shared" ca="1" si="53"/>
        <v>0</v>
      </c>
      <c r="AN105" s="593">
        <f t="shared" ca="1" si="53"/>
        <v>0</v>
      </c>
      <c r="AO105" s="593">
        <f t="shared" ca="1" si="53"/>
        <v>0</v>
      </c>
      <c r="AP105" s="593">
        <f t="shared" ca="1" si="53"/>
        <v>0</v>
      </c>
    </row>
    <row r="106" spans="1:42" s="594" customFormat="1" ht="11.25" outlineLevel="1" x14ac:dyDescent="0.2">
      <c r="A106" s="590"/>
      <c r="B106" s="591" t="str">
        <f>IF(D106&lt;&gt;"",
IF(ISERROR(MATCH(D106,'Ist Vorjahr Monat 01'!A:A,0))=FALSE,INDEX('Ist Vorjahr Monat 01'!B:B,MATCH(D106,'Ist Vorjahr Monat 01'!A:A,0)),
IF(ISERROR(MATCH(D106,'Ist Vorjahr Monat 02'!A:A,0))=FALSE,INDEX('Ist Vorjahr Monat 02'!B:B,MATCH(D106,'Ist Vorjahr Monat 02'!A:A,0)),
IF(ISERROR(MATCH(D106,'Ist Vorjahr Monat 03'!A:A,0))=FALSE,INDEX('Ist Vorjahr Monat 03'!B:B,MATCH(D106,'Ist Vorjahr Monat 03'!A:A,0)),
IF(ISERROR(MATCH(D106,'Ist Vorjahr Monat 04'!A:A,0))=FALSE,INDEX('Ist Vorjahr Monat 04'!B:B,MATCH(D106,'Ist Vorjahr Monat 04'!A:A,0)),
IF(ISERROR(MATCH(D106,'Ist Vorjahr Monat 05'!A:A,0))=FALSE,INDEX('Ist Vorjahr Monat 05'!B:B,MATCH(D106,'Ist Vorjahr Monat 05'!A:A,0)),
IF(ISERROR(MATCH(D106,'Ist Vorjahr Monat 06'!A:A,0))=FALSE,INDEX('Ist Vorjahr Monat 06'!B:B,MATCH(D106,'Ist Vorjahr Monat 06'!A:A,0)),
IF(ISERROR(MATCH(D106,'Ist Vorjahr Monat 07'!A:A,0))=FALSE,INDEX('Ist Vorjahr Monat 07'!B:B,MATCH(D106,'Ist Vorjahr Monat 07'!A:A,0)),
IF(ISERROR(MATCH(D106,'Ist Vorjahr Monat 08'!A:A,0))=FALSE,INDEX('Ist Vorjahr Monat 08'!B:B,MATCH(D106,'Ist Vorjahr Monat 08'!A:A,0)),
IF(ISERROR(MATCH(D106,'Ist Vorjahr Monat 09'!A:A,0))=FALSE,INDEX('Ist Vorjahr Monat 09'!B:B,MATCH(D106,'Ist Vorjahr Monat 09'!A:A,0)),
IF(ISERROR(MATCH(D106,'Ist Vorjahr Monat 10'!A:A,0))=FALSE,INDEX('Ist Vorjahr Monat 10'!B:B,MATCH(D106,'Ist Vorjahr Monat 10'!A:A,0)),
IF(ISERROR(MATCH(D106,'Ist Vorjahr Monat 11'!A:A,0))=FALSE,INDEX('Ist Vorjahr Monat 11'!B:B,MATCH(D106,'Ist Vorjahr Monat 11'!A:A,0)),
IF(ISERROR(MATCH(D106,'Ist Vorjahr Monat 12'!A:A,0))=FALSE,INDEX('Ist Vorjahr Monat 12'!B:B,MATCH(D106,'Ist Vorjahr Monat 12'!A:A,0)),
"{Konto unbekannt}"
)))))))))))),"")</f>
        <v/>
      </c>
      <c r="C106" s="591"/>
      <c r="D106" s="590"/>
      <c r="E106" s="592">
        <f t="shared" si="34"/>
        <v>1</v>
      </c>
      <c r="F106" s="590"/>
      <c r="G106" s="593">
        <f ca="1">$E106*(-SUMIF(INDIRECT(G$3),'Struktur Vorjahr'!$D106,INDIRECT(G$4))+SUMIF(INDIRECT(G$3),'Struktur Vorjahr'!$D106,INDIRECT(G$5)))</f>
        <v>0</v>
      </c>
      <c r="H106" s="593">
        <f ca="1">$E106*(-SUMIF(INDIRECT(H$3),'Struktur Vorjahr'!$D106,INDIRECT(H$4))+SUMIF(INDIRECT(H$3),'Struktur Vorjahr'!$D106,INDIRECT(H$5)))</f>
        <v>0</v>
      </c>
      <c r="I106" s="593">
        <f ca="1">$E106*(-SUMIF(INDIRECT(I$3),'Struktur Vorjahr'!$D106,INDIRECT(I$4))+SUMIF(INDIRECT(I$3),'Struktur Vorjahr'!$D106,INDIRECT(I$5)))</f>
        <v>0</v>
      </c>
      <c r="J106" s="593">
        <f ca="1">$E106*(-SUMIF(INDIRECT(J$3),'Struktur Vorjahr'!$D106,INDIRECT(J$4))+SUMIF(INDIRECT(J$3),'Struktur Vorjahr'!$D106,INDIRECT(J$5)))</f>
        <v>0</v>
      </c>
      <c r="K106" s="593">
        <f ca="1">$E106*(-SUMIF(INDIRECT(K$3),'Struktur Vorjahr'!$D106,INDIRECT(K$4))+SUMIF(INDIRECT(K$3),'Struktur Vorjahr'!$D106,INDIRECT(K$5)))</f>
        <v>0</v>
      </c>
      <c r="L106" s="593">
        <f ca="1">$E106*(-SUMIF(INDIRECT(L$3),'Struktur Vorjahr'!$D106,INDIRECT(L$4))+SUMIF(INDIRECT(L$3),'Struktur Vorjahr'!$D106,INDIRECT(L$5)))</f>
        <v>0</v>
      </c>
      <c r="M106" s="593">
        <f ca="1">$E106*(-SUMIF(INDIRECT(M$3),'Struktur Vorjahr'!$D106,INDIRECT(M$4))+SUMIF(INDIRECT(M$3),'Struktur Vorjahr'!$D106,INDIRECT(M$5)))</f>
        <v>0</v>
      </c>
      <c r="N106" s="593">
        <f ca="1">$E106*(-SUMIF(INDIRECT(N$3),'Struktur Vorjahr'!$D106,INDIRECT(N$4))+SUMIF(INDIRECT(N$3),'Struktur Vorjahr'!$D106,INDIRECT(N$5)))</f>
        <v>0</v>
      </c>
      <c r="O106" s="593">
        <f ca="1">$E106*(-SUMIF(INDIRECT(O$3),'Struktur Vorjahr'!$D106,INDIRECT(O$4))+SUMIF(INDIRECT(O$3),'Struktur Vorjahr'!$D106,INDIRECT(O$5)))</f>
        <v>0</v>
      </c>
      <c r="P106" s="593">
        <f ca="1">$E106*(-SUMIF(INDIRECT(P$3),'Struktur Vorjahr'!$D106,INDIRECT(P$4))+SUMIF(INDIRECT(P$3),'Struktur Vorjahr'!$D106,INDIRECT(P$5)))</f>
        <v>0</v>
      </c>
      <c r="Q106" s="593">
        <f ca="1">$E106*(-SUMIF(INDIRECT(Q$3),'Struktur Vorjahr'!$D106,INDIRECT(Q$4))+SUMIF(INDIRECT(Q$3),'Struktur Vorjahr'!$D106,INDIRECT(Q$5)))</f>
        <v>0</v>
      </c>
      <c r="R106" s="593">
        <f ca="1">$E106*(-SUMIF(INDIRECT(R$3),'Struktur Vorjahr'!$D106,INDIRECT(R$4))+SUMIF(INDIRECT(R$3),'Struktur Vorjahr'!$D106,INDIRECT(R$5)))</f>
        <v>0</v>
      </c>
      <c r="S106" s="593">
        <f ca="1">$E106*(-SUMIF(INDIRECT(S$3),'Struktur Vorjahr'!$D106,INDIRECT(S$4))+SUMIF(INDIRECT(S$3),'Struktur Vorjahr'!$D106,INDIRECT(S$5)))</f>
        <v>0</v>
      </c>
      <c r="T106" s="593">
        <f ca="1">$E106*(-SUMIF(INDIRECT(T$3),'Struktur Vorjahr'!$D106,INDIRECT(T$4))+SUMIF(INDIRECT(T$3),'Struktur Vorjahr'!$D106,INDIRECT(T$5)))</f>
        <v>0</v>
      </c>
      <c r="U106" s="593">
        <f ca="1">$E106*(-SUMIF(INDIRECT(U$3),'Struktur Vorjahr'!$D106,INDIRECT(U$4))+SUMIF(INDIRECT(U$3),'Struktur Vorjahr'!$D106,INDIRECT(U$5)))</f>
        <v>0</v>
      </c>
      <c r="V106" s="593">
        <f ca="1">$E106*(-SUMIF(INDIRECT(V$3),'Struktur Vorjahr'!$D106,INDIRECT(V$4))+SUMIF(INDIRECT(V$3),'Struktur Vorjahr'!$D106,INDIRECT(V$5)))</f>
        <v>0</v>
      </c>
      <c r="W106" s="593">
        <f ca="1">$E106*(-SUMIF(INDIRECT(W$3),'Struktur Vorjahr'!$D106,INDIRECT(W$4))+SUMIF(INDIRECT(W$3),'Struktur Vorjahr'!$D106,INDIRECT(W$5)))</f>
        <v>0</v>
      </c>
      <c r="X106" s="593">
        <f ca="1">$E106*(-SUMIF(INDIRECT(X$3),'Struktur Vorjahr'!$D106,INDIRECT(X$4))+SUMIF(INDIRECT(X$3),'Struktur Vorjahr'!$D106,INDIRECT(X$5)))</f>
        <v>0</v>
      </c>
      <c r="Y106" s="593">
        <f ca="1">$E106*(-SUMIF(INDIRECT(Y$3),'Struktur Vorjahr'!$D106,INDIRECT(Y$4))+SUMIF(INDIRECT(Y$3),'Struktur Vorjahr'!$D106,INDIRECT(Y$5)))</f>
        <v>0</v>
      </c>
      <c r="Z106" s="593">
        <f ca="1">$E106*(-SUMIF(INDIRECT(Z$3),'Struktur Vorjahr'!$D106,INDIRECT(Z$4))+SUMIF(INDIRECT(Z$3),'Struktur Vorjahr'!$D106,INDIRECT(Z$5)))</f>
        <v>0</v>
      </c>
      <c r="AA106" s="593">
        <f ca="1">$E106*(-SUMIF(INDIRECT(AA$3),'Struktur Vorjahr'!$D106,INDIRECT(AA$4))+SUMIF(INDIRECT(AA$3),'Struktur Vorjahr'!$D106,INDIRECT(AA$5)))</f>
        <v>0</v>
      </c>
      <c r="AB106" s="593">
        <f ca="1">$E106*(-SUMIF(INDIRECT(AB$3),'Struktur Vorjahr'!$D106,INDIRECT(AB$4))+SUMIF(INDIRECT(AB$3),'Struktur Vorjahr'!$D106,INDIRECT(AB$5)))</f>
        <v>0</v>
      </c>
      <c r="AC106" s="593">
        <f ca="1">$E106*(-SUMIF(INDIRECT(AC$3),'Struktur Vorjahr'!$D106,INDIRECT(AC$4))+SUMIF(INDIRECT(AC$3),'Struktur Vorjahr'!$D106,INDIRECT(AC$5)))</f>
        <v>0</v>
      </c>
      <c r="AD106" s="593">
        <f ca="1">$E106*(-SUMIF(INDIRECT(AD$3),'Struktur Vorjahr'!$D106,INDIRECT(AD$4))+SUMIF(INDIRECT(AD$3),'Struktur Vorjahr'!$D106,INDIRECT(AD$5)))</f>
        <v>0</v>
      </c>
      <c r="AE106" s="593">
        <f t="shared" ca="1" si="52"/>
        <v>0</v>
      </c>
      <c r="AF106" s="593">
        <f t="shared" ca="1" si="53"/>
        <v>0</v>
      </c>
      <c r="AG106" s="593">
        <f t="shared" ca="1" si="53"/>
        <v>0</v>
      </c>
      <c r="AH106" s="593">
        <f t="shared" ca="1" si="53"/>
        <v>0</v>
      </c>
      <c r="AI106" s="593">
        <f t="shared" ca="1" si="53"/>
        <v>0</v>
      </c>
      <c r="AJ106" s="593">
        <f t="shared" ca="1" si="53"/>
        <v>0</v>
      </c>
      <c r="AK106" s="593">
        <f t="shared" ca="1" si="53"/>
        <v>0</v>
      </c>
      <c r="AL106" s="593">
        <f t="shared" ca="1" si="53"/>
        <v>0</v>
      </c>
      <c r="AM106" s="593">
        <f t="shared" ca="1" si="53"/>
        <v>0</v>
      </c>
      <c r="AN106" s="593">
        <f t="shared" ca="1" si="53"/>
        <v>0</v>
      </c>
      <c r="AO106" s="593">
        <f t="shared" ca="1" si="53"/>
        <v>0</v>
      </c>
      <c r="AP106" s="593">
        <f t="shared" ca="1" si="53"/>
        <v>0</v>
      </c>
    </row>
    <row r="107" spans="1:42" s="589" customFormat="1" x14ac:dyDescent="0.2">
      <c r="A107" s="595"/>
      <c r="B107" s="596" t="s">
        <v>1005</v>
      </c>
      <c r="C107" s="597">
        <f ca="1">SUM(G107:R107)</f>
        <v>172409.05000000002</v>
      </c>
      <c r="D107" s="597"/>
      <c r="E107" s="598">
        <f t="shared" si="34"/>
        <v>1</v>
      </c>
      <c r="F107" s="595"/>
      <c r="G107" s="597">
        <f ca="1">G46-G47-G62-G71-G80+G89-G98</f>
        <v>10299.98</v>
      </c>
      <c r="H107" s="597">
        <f t="shared" ref="H107:R107" ca="1" si="54">H46-H47-H62-H71-H80+H89-H98</f>
        <v>11966.03</v>
      </c>
      <c r="I107" s="597">
        <f t="shared" ca="1" si="54"/>
        <v>6583.670000000001</v>
      </c>
      <c r="J107" s="597">
        <f t="shared" ca="1" si="54"/>
        <v>13187.8</v>
      </c>
      <c r="K107" s="597">
        <f t="shared" ca="1" si="54"/>
        <v>6876.3300000000008</v>
      </c>
      <c r="L107" s="597">
        <f t="shared" ca="1" si="54"/>
        <v>10712.39</v>
      </c>
      <c r="M107" s="597">
        <f t="shared" ca="1" si="54"/>
        <v>50475.76</v>
      </c>
      <c r="N107" s="597">
        <f t="shared" ca="1" si="54"/>
        <v>19241.64</v>
      </c>
      <c r="O107" s="597">
        <f t="shared" ca="1" si="54"/>
        <v>10717.11</v>
      </c>
      <c r="P107" s="597">
        <f t="shared" ca="1" si="54"/>
        <v>32348.34</v>
      </c>
      <c r="Q107" s="597">
        <f t="shared" ca="1" si="54"/>
        <v>0</v>
      </c>
      <c r="R107" s="597">
        <f t="shared" ca="1" si="54"/>
        <v>0</v>
      </c>
      <c r="S107" s="597">
        <f ca="1">S46-S47-S62-S71-S80+S89-S98</f>
        <v>10299.98</v>
      </c>
      <c r="T107" s="597">
        <f t="shared" ref="T107:AD107" ca="1" si="55">T46-T47-T62-T71-T80+T89-T98</f>
        <v>22266.01</v>
      </c>
      <c r="U107" s="597">
        <f t="shared" ca="1" si="55"/>
        <v>28849.679999999997</v>
      </c>
      <c r="V107" s="597">
        <f t="shared" ca="1" si="55"/>
        <v>42037.479999999996</v>
      </c>
      <c r="W107" s="597">
        <f t="shared" ca="1" si="55"/>
        <v>48913.81</v>
      </c>
      <c r="X107" s="597">
        <f t="shared" ca="1" si="55"/>
        <v>59626.200000000012</v>
      </c>
      <c r="Y107" s="597">
        <f t="shared" ca="1" si="55"/>
        <v>110101.96</v>
      </c>
      <c r="Z107" s="597">
        <f t="shared" ca="1" si="55"/>
        <v>129343.6</v>
      </c>
      <c r="AA107" s="597">
        <f t="shared" ca="1" si="55"/>
        <v>140060.71</v>
      </c>
      <c r="AB107" s="597">
        <f t="shared" ca="1" si="55"/>
        <v>172409.05</v>
      </c>
      <c r="AC107" s="597">
        <f t="shared" ca="1" si="55"/>
        <v>0</v>
      </c>
      <c r="AD107" s="597">
        <f t="shared" ca="1" si="55"/>
        <v>0</v>
      </c>
      <c r="AE107" s="597">
        <f ca="1">AE46-AE47-AE62-AE71-AE80+AE89-AE98</f>
        <v>10299.98</v>
      </c>
      <c r="AF107" s="597">
        <f t="shared" ref="AF107:AP107" ca="1" si="56">AF46-AF47-AF62-AF71-AF80+AF89-AF98</f>
        <v>22266.01</v>
      </c>
      <c r="AG107" s="597">
        <f t="shared" ca="1" si="56"/>
        <v>28849.679999999997</v>
      </c>
      <c r="AH107" s="597">
        <f t="shared" ca="1" si="56"/>
        <v>42037.479999999996</v>
      </c>
      <c r="AI107" s="597">
        <f t="shared" ca="1" si="56"/>
        <v>48913.81</v>
      </c>
      <c r="AJ107" s="597">
        <f t="shared" ca="1" si="56"/>
        <v>59626.200000000012</v>
      </c>
      <c r="AK107" s="597">
        <f t="shared" ca="1" si="56"/>
        <v>110101.96</v>
      </c>
      <c r="AL107" s="597">
        <f t="shared" ca="1" si="56"/>
        <v>129343.6</v>
      </c>
      <c r="AM107" s="597">
        <f t="shared" ca="1" si="56"/>
        <v>140060.71</v>
      </c>
      <c r="AN107" s="597">
        <f t="shared" ca="1" si="56"/>
        <v>172409.05000000005</v>
      </c>
      <c r="AO107" s="597">
        <f t="shared" ca="1" si="56"/>
        <v>172409.05000000005</v>
      </c>
      <c r="AP107" s="597">
        <f t="shared" ca="1" si="56"/>
        <v>172409.05000000005</v>
      </c>
    </row>
    <row r="108" spans="1:42" x14ac:dyDescent="0.2">
      <c r="A108" s="730"/>
      <c r="B108" s="731" t="s">
        <v>369</v>
      </c>
      <c r="C108" s="732">
        <f ca="1">SUM(G108:R108)</f>
        <v>166983.4</v>
      </c>
      <c r="D108" s="732"/>
      <c r="E108" s="733">
        <f t="shared" si="34"/>
        <v>1</v>
      </c>
      <c r="F108" s="730"/>
      <c r="G108" s="732">
        <f ca="1">G109+G127+G136+G144+G153</f>
        <v>16736.91</v>
      </c>
      <c r="H108" s="732">
        <f t="shared" ref="H108:R108" ca="1" si="57">H109+H127+H136+H144+H153</f>
        <v>16707.68</v>
      </c>
      <c r="I108" s="732">
        <f t="shared" ca="1" si="57"/>
        <v>18513.050000000003</v>
      </c>
      <c r="J108" s="732">
        <f t="shared" ca="1" si="57"/>
        <v>17859.550000000003</v>
      </c>
      <c r="K108" s="732">
        <f t="shared" ca="1" si="57"/>
        <v>16386.12</v>
      </c>
      <c r="L108" s="732">
        <f t="shared" ca="1" si="57"/>
        <v>16588.789999999997</v>
      </c>
      <c r="M108" s="732">
        <f t="shared" ca="1" si="57"/>
        <v>18197.36</v>
      </c>
      <c r="N108" s="732">
        <f t="shared" ca="1" si="57"/>
        <v>14484.689999999999</v>
      </c>
      <c r="O108" s="732">
        <f t="shared" ca="1" si="57"/>
        <v>15727.039999999999</v>
      </c>
      <c r="P108" s="732">
        <f t="shared" ca="1" si="57"/>
        <v>15782.21</v>
      </c>
      <c r="Q108" s="732">
        <f t="shared" ca="1" si="57"/>
        <v>0</v>
      </c>
      <c r="R108" s="732">
        <f t="shared" ca="1" si="57"/>
        <v>0</v>
      </c>
      <c r="S108" s="732">
        <f ca="1">S109+S127+S136+S144+S153</f>
        <v>16736.91</v>
      </c>
      <c r="T108" s="732">
        <f t="shared" ref="T108:AD108" ca="1" si="58">T109+T127+T136+T144+T153</f>
        <v>33444.590000000004</v>
      </c>
      <c r="U108" s="732">
        <f t="shared" ca="1" si="58"/>
        <v>51957.640000000007</v>
      </c>
      <c r="V108" s="732">
        <f t="shared" ca="1" si="58"/>
        <v>69817.19</v>
      </c>
      <c r="W108" s="732">
        <f t="shared" ca="1" si="58"/>
        <v>86203.31</v>
      </c>
      <c r="X108" s="732">
        <f t="shared" ca="1" si="58"/>
        <v>102792.1</v>
      </c>
      <c r="Y108" s="732">
        <f t="shared" ca="1" si="58"/>
        <v>120989.46</v>
      </c>
      <c r="Z108" s="732">
        <f t="shared" ca="1" si="58"/>
        <v>135474.15</v>
      </c>
      <c r="AA108" s="732">
        <f t="shared" ca="1" si="58"/>
        <v>151201.19</v>
      </c>
      <c r="AB108" s="732">
        <f t="shared" ca="1" si="58"/>
        <v>166983.4</v>
      </c>
      <c r="AC108" s="732">
        <f t="shared" ca="1" si="58"/>
        <v>0</v>
      </c>
      <c r="AD108" s="732">
        <f t="shared" ca="1" si="58"/>
        <v>0</v>
      </c>
      <c r="AE108" s="732">
        <f ca="1">AE109+AE127+AE136+AE144+AE153</f>
        <v>16736.91</v>
      </c>
      <c r="AF108" s="732">
        <f t="shared" ref="AF108:AP108" ca="1" si="59">AF109+AF127+AF136+AF144+AF153</f>
        <v>33444.590000000004</v>
      </c>
      <c r="AG108" s="732">
        <f t="shared" ca="1" si="59"/>
        <v>51957.640000000007</v>
      </c>
      <c r="AH108" s="732">
        <f t="shared" ca="1" si="59"/>
        <v>69817.19</v>
      </c>
      <c r="AI108" s="732">
        <f t="shared" ca="1" si="59"/>
        <v>86203.31</v>
      </c>
      <c r="AJ108" s="732">
        <f t="shared" ca="1" si="59"/>
        <v>102792.1</v>
      </c>
      <c r="AK108" s="732">
        <f t="shared" ca="1" si="59"/>
        <v>120989.46</v>
      </c>
      <c r="AL108" s="732">
        <f t="shared" ca="1" si="59"/>
        <v>135474.15</v>
      </c>
      <c r="AM108" s="732">
        <f t="shared" ca="1" si="59"/>
        <v>151201.19</v>
      </c>
      <c r="AN108" s="732">
        <f t="shared" ca="1" si="59"/>
        <v>166983.4</v>
      </c>
      <c r="AO108" s="732">
        <f t="shared" ca="1" si="59"/>
        <v>166983.4</v>
      </c>
      <c r="AP108" s="732">
        <f t="shared" ca="1" si="59"/>
        <v>166983.4</v>
      </c>
    </row>
    <row r="109" spans="1:42" s="589" customFormat="1" x14ac:dyDescent="0.2">
      <c r="A109" s="585">
        <v>10</v>
      </c>
      <c r="B109" s="586" t="s">
        <v>1006</v>
      </c>
      <c r="C109" s="587">
        <f ca="1">SUM(G109:R109)</f>
        <v>137936.25</v>
      </c>
      <c r="D109" s="587"/>
      <c r="E109" s="588">
        <f t="shared" si="34"/>
        <v>1</v>
      </c>
      <c r="F109" s="585"/>
      <c r="G109" s="587">
        <f ca="1">SUM(G110:G126)</f>
        <v>14169.970000000001</v>
      </c>
      <c r="H109" s="587">
        <f t="shared" ref="H109:R109" ca="1" si="60">SUM(H110:H126)</f>
        <v>14169.970000000001</v>
      </c>
      <c r="I109" s="587">
        <f t="shared" ca="1" si="60"/>
        <v>15399.600000000002</v>
      </c>
      <c r="J109" s="587">
        <f t="shared" ca="1" si="60"/>
        <v>14893.350000000002</v>
      </c>
      <c r="K109" s="587">
        <f t="shared" ca="1" si="60"/>
        <v>13888.02</v>
      </c>
      <c r="L109" s="587">
        <f t="shared" ca="1" si="60"/>
        <v>14018.8</v>
      </c>
      <c r="M109" s="587">
        <f t="shared" ca="1" si="60"/>
        <v>12716.759999999998</v>
      </c>
      <c r="N109" s="587">
        <f t="shared" ca="1" si="60"/>
        <v>12313.259999999998</v>
      </c>
      <c r="O109" s="587">
        <f t="shared" ca="1" si="60"/>
        <v>13213.259999999998</v>
      </c>
      <c r="P109" s="587">
        <f t="shared" ca="1" si="60"/>
        <v>13153.259999999998</v>
      </c>
      <c r="Q109" s="587">
        <f t="shared" ca="1" si="60"/>
        <v>0</v>
      </c>
      <c r="R109" s="587">
        <f t="shared" ca="1" si="60"/>
        <v>0</v>
      </c>
      <c r="S109" s="587">
        <f ca="1">SUM(S110:S126)</f>
        <v>14169.970000000001</v>
      </c>
      <c r="T109" s="587">
        <f t="shared" ref="T109:AD109" ca="1" si="61">SUM(T110:T126)</f>
        <v>28339.940000000002</v>
      </c>
      <c r="U109" s="587">
        <f t="shared" ca="1" si="61"/>
        <v>43739.54</v>
      </c>
      <c r="V109" s="587">
        <f t="shared" ca="1" si="61"/>
        <v>58632.89</v>
      </c>
      <c r="W109" s="587">
        <f t="shared" ca="1" si="61"/>
        <v>72520.91</v>
      </c>
      <c r="X109" s="587">
        <f t="shared" ca="1" si="61"/>
        <v>86539.71</v>
      </c>
      <c r="Y109" s="587">
        <f t="shared" ca="1" si="61"/>
        <v>99256.47</v>
      </c>
      <c r="Z109" s="587">
        <f t="shared" ca="1" si="61"/>
        <v>111569.73</v>
      </c>
      <c r="AA109" s="587">
        <f t="shared" ca="1" si="61"/>
        <v>124782.98999999999</v>
      </c>
      <c r="AB109" s="587">
        <f t="shared" ca="1" si="61"/>
        <v>137936.25</v>
      </c>
      <c r="AC109" s="587">
        <f t="shared" ca="1" si="61"/>
        <v>0</v>
      </c>
      <c r="AD109" s="587">
        <f t="shared" ca="1" si="61"/>
        <v>0</v>
      </c>
      <c r="AE109" s="587">
        <f ca="1">SUM(AE110:AE126)</f>
        <v>14169.970000000001</v>
      </c>
      <c r="AF109" s="587">
        <f t="shared" ref="AF109:AP109" ca="1" si="62">SUM(AF110:AF126)</f>
        <v>28339.940000000002</v>
      </c>
      <c r="AG109" s="587">
        <f t="shared" ca="1" si="62"/>
        <v>43739.54</v>
      </c>
      <c r="AH109" s="587">
        <f t="shared" ca="1" si="62"/>
        <v>58632.890000000007</v>
      </c>
      <c r="AI109" s="587">
        <f t="shared" ca="1" si="62"/>
        <v>72520.91</v>
      </c>
      <c r="AJ109" s="587">
        <f t="shared" ca="1" si="62"/>
        <v>86539.71</v>
      </c>
      <c r="AK109" s="587">
        <f t="shared" ca="1" si="62"/>
        <v>99256.47</v>
      </c>
      <c r="AL109" s="587">
        <f t="shared" ca="1" si="62"/>
        <v>111569.73</v>
      </c>
      <c r="AM109" s="587">
        <f t="shared" ca="1" si="62"/>
        <v>124782.98999999998</v>
      </c>
      <c r="AN109" s="587">
        <f t="shared" ca="1" si="62"/>
        <v>137936.25</v>
      </c>
      <c r="AO109" s="587">
        <f t="shared" ca="1" si="62"/>
        <v>137936.25</v>
      </c>
      <c r="AP109" s="587">
        <f t="shared" ca="1" si="62"/>
        <v>137936.25</v>
      </c>
    </row>
    <row r="110" spans="1:42" s="594" customFormat="1" ht="11.25" outlineLevel="1" x14ac:dyDescent="0.2">
      <c r="A110" s="590"/>
      <c r="B110" s="591" t="str">
        <f>IF(D110&lt;&gt;"",
IF(ISERROR(MATCH(D110,'Ist Vorjahr Monat 01'!A:A,0))=FALSE,INDEX('Ist Vorjahr Monat 01'!B:B,MATCH(D110,'Ist Vorjahr Monat 01'!A:A,0)),
IF(ISERROR(MATCH(D110,'Ist Vorjahr Monat 02'!A:A,0))=FALSE,INDEX('Ist Vorjahr Monat 02'!B:B,MATCH(D110,'Ist Vorjahr Monat 02'!A:A,0)),
IF(ISERROR(MATCH(D110,'Ist Vorjahr Monat 03'!A:A,0))=FALSE,INDEX('Ist Vorjahr Monat 03'!B:B,MATCH(D110,'Ist Vorjahr Monat 03'!A:A,0)),
IF(ISERROR(MATCH(D110,'Ist Vorjahr Monat 04'!A:A,0))=FALSE,INDEX('Ist Vorjahr Monat 04'!B:B,MATCH(D110,'Ist Vorjahr Monat 04'!A:A,0)),
IF(ISERROR(MATCH(D110,'Ist Vorjahr Monat 05'!A:A,0))=FALSE,INDEX('Ist Vorjahr Monat 05'!B:B,MATCH(D110,'Ist Vorjahr Monat 05'!A:A,0)),
IF(ISERROR(MATCH(D110,'Ist Vorjahr Monat 06'!A:A,0))=FALSE,INDEX('Ist Vorjahr Monat 06'!B:B,MATCH(D110,'Ist Vorjahr Monat 06'!A:A,0)),
IF(ISERROR(MATCH(D110,'Ist Vorjahr Monat 07'!A:A,0))=FALSE,INDEX('Ist Vorjahr Monat 07'!B:B,MATCH(D110,'Ist Vorjahr Monat 07'!A:A,0)),
IF(ISERROR(MATCH(D110,'Ist Vorjahr Monat 08'!A:A,0))=FALSE,INDEX('Ist Vorjahr Monat 08'!B:B,MATCH(D110,'Ist Vorjahr Monat 08'!A:A,0)),
IF(ISERROR(MATCH(D110,'Ist Vorjahr Monat 09'!A:A,0))=FALSE,INDEX('Ist Vorjahr Monat 09'!B:B,MATCH(D110,'Ist Vorjahr Monat 09'!A:A,0)),
IF(ISERROR(MATCH(D110,'Ist Vorjahr Monat 10'!A:A,0))=FALSE,INDEX('Ist Vorjahr Monat 10'!B:B,MATCH(D110,'Ist Vorjahr Monat 10'!A:A,0)),
IF(ISERROR(MATCH(D110,'Ist Vorjahr Monat 11'!A:A,0))=FALSE,INDEX('Ist Vorjahr Monat 11'!B:B,MATCH(D110,'Ist Vorjahr Monat 11'!A:A,0)),
IF(ISERROR(MATCH(D110,'Ist Vorjahr Monat 12'!A:A,0))=FALSE,INDEX('Ist Vorjahr Monat 12'!B:B,MATCH(D110,'Ist Vorjahr Monat 12'!A:A,0)),
"{Konto unbekannt}"
)))))))))))),"")</f>
        <v>Gehälter VIEGA</v>
      </c>
      <c r="C110" s="591"/>
      <c r="D110" s="590">
        <v>4101</v>
      </c>
      <c r="E110" s="592">
        <f t="shared" si="34"/>
        <v>1</v>
      </c>
      <c r="F110" s="590"/>
      <c r="G110" s="593">
        <f ca="1">$E110*(-SUMIF(INDIRECT(G$3),'Struktur Vorjahr'!$D110,INDIRECT(G$4))+SUMIF(INDIRECT(G$3),'Struktur Vorjahr'!$D110,INDIRECT(G$5)))</f>
        <v>1250</v>
      </c>
      <c r="H110" s="593">
        <f ca="1">$E110*(-SUMIF(INDIRECT(H$3),'Struktur Vorjahr'!$D110,INDIRECT(H$4))+SUMIF(INDIRECT(H$3),'Struktur Vorjahr'!$D110,INDIRECT(H$5)))</f>
        <v>1250</v>
      </c>
      <c r="I110" s="593">
        <f ca="1">$E110*(-SUMIF(INDIRECT(I$3),'Struktur Vorjahr'!$D110,INDIRECT(I$4))+SUMIF(INDIRECT(I$3),'Struktur Vorjahr'!$D110,INDIRECT(I$5)))</f>
        <v>1250</v>
      </c>
      <c r="J110" s="593">
        <f ca="1">$E110*(-SUMIF(INDIRECT(J$3),'Struktur Vorjahr'!$D110,INDIRECT(J$4))+SUMIF(INDIRECT(J$3),'Struktur Vorjahr'!$D110,INDIRECT(J$5)))</f>
        <v>1250</v>
      </c>
      <c r="K110" s="593">
        <f ca="1">$E110*(-SUMIF(INDIRECT(K$3),'Struktur Vorjahr'!$D110,INDIRECT(K$4))+SUMIF(INDIRECT(K$3),'Struktur Vorjahr'!$D110,INDIRECT(K$5)))</f>
        <v>1250</v>
      </c>
      <c r="L110" s="593">
        <f ca="1">$E110*(-SUMIF(INDIRECT(L$3),'Struktur Vorjahr'!$D110,INDIRECT(L$4))+SUMIF(INDIRECT(L$3),'Struktur Vorjahr'!$D110,INDIRECT(L$5)))</f>
        <v>1250</v>
      </c>
      <c r="M110" s="593">
        <f ca="1">$E110*(-SUMIF(INDIRECT(M$3),'Struktur Vorjahr'!$D110,INDIRECT(M$4))+SUMIF(INDIRECT(M$3),'Struktur Vorjahr'!$D110,INDIRECT(M$5)))</f>
        <v>0</v>
      </c>
      <c r="N110" s="593">
        <f ca="1">$E110*(-SUMIF(INDIRECT(N$3),'Struktur Vorjahr'!$D110,INDIRECT(N$4))+SUMIF(INDIRECT(N$3),'Struktur Vorjahr'!$D110,INDIRECT(N$5)))</f>
        <v>0</v>
      </c>
      <c r="O110" s="593">
        <f ca="1">$E110*(-SUMIF(INDIRECT(O$3),'Struktur Vorjahr'!$D110,INDIRECT(O$4))+SUMIF(INDIRECT(O$3),'Struktur Vorjahr'!$D110,INDIRECT(O$5)))</f>
        <v>0</v>
      </c>
      <c r="P110" s="593">
        <f ca="1">$E110*(-SUMIF(INDIRECT(P$3),'Struktur Vorjahr'!$D110,INDIRECT(P$4))+SUMIF(INDIRECT(P$3),'Struktur Vorjahr'!$D110,INDIRECT(P$5)))</f>
        <v>0</v>
      </c>
      <c r="Q110" s="593">
        <f ca="1">$E110*(-SUMIF(INDIRECT(Q$3),'Struktur Vorjahr'!$D110,INDIRECT(Q$4))+SUMIF(INDIRECT(Q$3),'Struktur Vorjahr'!$D110,INDIRECT(Q$5)))</f>
        <v>0</v>
      </c>
      <c r="R110" s="593">
        <f ca="1">$E110*(-SUMIF(INDIRECT(R$3),'Struktur Vorjahr'!$D110,INDIRECT(R$4))+SUMIF(INDIRECT(R$3),'Struktur Vorjahr'!$D110,INDIRECT(R$5)))</f>
        <v>0</v>
      </c>
      <c r="S110" s="593">
        <f ca="1">$E110*(-SUMIF(INDIRECT(S$3),'Struktur Vorjahr'!$D110,INDIRECT(S$4))+SUMIF(INDIRECT(S$3),'Struktur Vorjahr'!$D110,INDIRECT(S$5)))</f>
        <v>1250</v>
      </c>
      <c r="T110" s="593">
        <f ca="1">$E110*(-SUMIF(INDIRECT(T$3),'Struktur Vorjahr'!$D110,INDIRECT(T$4))+SUMIF(INDIRECT(T$3),'Struktur Vorjahr'!$D110,INDIRECT(T$5)))</f>
        <v>2500</v>
      </c>
      <c r="U110" s="593">
        <f ca="1">$E110*(-SUMIF(INDIRECT(U$3),'Struktur Vorjahr'!$D110,INDIRECT(U$4))+SUMIF(INDIRECT(U$3),'Struktur Vorjahr'!$D110,INDIRECT(U$5)))</f>
        <v>3750</v>
      </c>
      <c r="V110" s="593">
        <f ca="1">$E110*(-SUMIF(INDIRECT(V$3),'Struktur Vorjahr'!$D110,INDIRECT(V$4))+SUMIF(INDIRECT(V$3),'Struktur Vorjahr'!$D110,INDIRECT(V$5)))</f>
        <v>5000</v>
      </c>
      <c r="W110" s="593">
        <f ca="1">$E110*(-SUMIF(INDIRECT(W$3),'Struktur Vorjahr'!$D110,INDIRECT(W$4))+SUMIF(INDIRECT(W$3),'Struktur Vorjahr'!$D110,INDIRECT(W$5)))</f>
        <v>6250</v>
      </c>
      <c r="X110" s="593">
        <f ca="1">$E110*(-SUMIF(INDIRECT(X$3),'Struktur Vorjahr'!$D110,INDIRECT(X$4))+SUMIF(INDIRECT(X$3),'Struktur Vorjahr'!$D110,INDIRECT(X$5)))</f>
        <v>7500</v>
      </c>
      <c r="Y110" s="593">
        <f ca="1">$E110*(-SUMIF(INDIRECT(Y$3),'Struktur Vorjahr'!$D110,INDIRECT(Y$4))+SUMIF(INDIRECT(Y$3),'Struktur Vorjahr'!$D110,INDIRECT(Y$5)))</f>
        <v>7500</v>
      </c>
      <c r="Z110" s="593">
        <f ca="1">$E110*(-SUMIF(INDIRECT(Z$3),'Struktur Vorjahr'!$D110,INDIRECT(Z$4))+SUMIF(INDIRECT(Z$3),'Struktur Vorjahr'!$D110,INDIRECT(Z$5)))</f>
        <v>7500</v>
      </c>
      <c r="AA110" s="593">
        <f ca="1">$E110*(-SUMIF(INDIRECT(AA$3),'Struktur Vorjahr'!$D110,INDIRECT(AA$4))+SUMIF(INDIRECT(AA$3),'Struktur Vorjahr'!$D110,INDIRECT(AA$5)))</f>
        <v>7500</v>
      </c>
      <c r="AB110" s="593">
        <f ca="1">$E110*(-SUMIF(INDIRECT(AB$3),'Struktur Vorjahr'!$D110,INDIRECT(AB$4))+SUMIF(INDIRECT(AB$3),'Struktur Vorjahr'!$D110,INDIRECT(AB$5)))</f>
        <v>7500</v>
      </c>
      <c r="AC110" s="593">
        <f ca="1">$E110*(-SUMIF(INDIRECT(AC$3),'Struktur Vorjahr'!$D110,INDIRECT(AC$4))+SUMIF(INDIRECT(AC$3),'Struktur Vorjahr'!$D110,INDIRECT(AC$5)))</f>
        <v>0</v>
      </c>
      <c r="AD110" s="593">
        <f ca="1">$E110*(-SUMIF(INDIRECT(AD$3),'Struktur Vorjahr'!$D110,INDIRECT(AD$4))+SUMIF(INDIRECT(AD$3),'Struktur Vorjahr'!$D110,INDIRECT(AD$5)))</f>
        <v>0</v>
      </c>
      <c r="AE110" s="593">
        <f t="shared" ref="AE110:AE126" ca="1" si="63">G110</f>
        <v>1250</v>
      </c>
      <c r="AF110" s="593">
        <f t="shared" ref="AF110:AP126" ca="1" si="64">H110+AE110</f>
        <v>2500</v>
      </c>
      <c r="AG110" s="593">
        <f t="shared" ca="1" si="64"/>
        <v>3750</v>
      </c>
      <c r="AH110" s="593">
        <f t="shared" ca="1" si="64"/>
        <v>5000</v>
      </c>
      <c r="AI110" s="593">
        <f t="shared" ca="1" si="64"/>
        <v>6250</v>
      </c>
      <c r="AJ110" s="593">
        <f t="shared" ca="1" si="64"/>
        <v>7500</v>
      </c>
      <c r="AK110" s="593">
        <f t="shared" ca="1" si="64"/>
        <v>7500</v>
      </c>
      <c r="AL110" s="593">
        <f t="shared" ca="1" si="64"/>
        <v>7500</v>
      </c>
      <c r="AM110" s="593">
        <f t="shared" ca="1" si="64"/>
        <v>7500</v>
      </c>
      <c r="AN110" s="593">
        <f t="shared" ca="1" si="64"/>
        <v>7500</v>
      </c>
      <c r="AO110" s="593">
        <f t="shared" ca="1" si="64"/>
        <v>7500</v>
      </c>
      <c r="AP110" s="593">
        <f t="shared" ca="1" si="64"/>
        <v>7500</v>
      </c>
    </row>
    <row r="111" spans="1:42" s="594" customFormat="1" ht="11.25" outlineLevel="1" x14ac:dyDescent="0.2">
      <c r="A111" s="590"/>
      <c r="B111" s="591" t="str">
        <f>IF(D111&lt;&gt;"",
IF(ISERROR(MATCH(D111,'Ist Vorjahr Monat 01'!A:A,0))=FALSE,INDEX('Ist Vorjahr Monat 01'!B:B,MATCH(D111,'Ist Vorjahr Monat 01'!A:A,0)),
IF(ISERROR(MATCH(D111,'Ist Vorjahr Monat 02'!A:A,0))=FALSE,INDEX('Ist Vorjahr Monat 02'!B:B,MATCH(D111,'Ist Vorjahr Monat 02'!A:A,0)),
IF(ISERROR(MATCH(D111,'Ist Vorjahr Monat 03'!A:A,0))=FALSE,INDEX('Ist Vorjahr Monat 03'!B:B,MATCH(D111,'Ist Vorjahr Monat 03'!A:A,0)),
IF(ISERROR(MATCH(D111,'Ist Vorjahr Monat 04'!A:A,0))=FALSE,INDEX('Ist Vorjahr Monat 04'!B:B,MATCH(D111,'Ist Vorjahr Monat 04'!A:A,0)),
IF(ISERROR(MATCH(D111,'Ist Vorjahr Monat 05'!A:A,0))=FALSE,INDEX('Ist Vorjahr Monat 05'!B:B,MATCH(D111,'Ist Vorjahr Monat 05'!A:A,0)),
IF(ISERROR(MATCH(D111,'Ist Vorjahr Monat 06'!A:A,0))=FALSE,INDEX('Ist Vorjahr Monat 06'!B:B,MATCH(D111,'Ist Vorjahr Monat 06'!A:A,0)),
IF(ISERROR(MATCH(D111,'Ist Vorjahr Monat 07'!A:A,0))=FALSE,INDEX('Ist Vorjahr Monat 07'!B:B,MATCH(D111,'Ist Vorjahr Monat 07'!A:A,0)),
IF(ISERROR(MATCH(D111,'Ist Vorjahr Monat 08'!A:A,0))=FALSE,INDEX('Ist Vorjahr Monat 08'!B:B,MATCH(D111,'Ist Vorjahr Monat 08'!A:A,0)),
IF(ISERROR(MATCH(D111,'Ist Vorjahr Monat 09'!A:A,0))=FALSE,INDEX('Ist Vorjahr Monat 09'!B:B,MATCH(D111,'Ist Vorjahr Monat 09'!A:A,0)),
IF(ISERROR(MATCH(D111,'Ist Vorjahr Monat 10'!A:A,0))=FALSE,INDEX('Ist Vorjahr Monat 10'!B:B,MATCH(D111,'Ist Vorjahr Monat 10'!A:A,0)),
IF(ISERROR(MATCH(D111,'Ist Vorjahr Monat 11'!A:A,0))=FALSE,INDEX('Ist Vorjahr Monat 11'!B:B,MATCH(D111,'Ist Vorjahr Monat 11'!A:A,0)),
IF(ISERROR(MATCH(D111,'Ist Vorjahr Monat 12'!A:A,0))=FALSE,INDEX('Ist Vorjahr Monat 12'!B:B,MATCH(D111,'Ist Vorjahr Monat 12'!A:A,0)),
"{Konto unbekannt}"
)))))))))))),"")</f>
        <v>Gehälter Datenschutz-Beauftragung</v>
      </c>
      <c r="C111" s="591"/>
      <c r="D111" s="590">
        <v>4102</v>
      </c>
      <c r="E111" s="592">
        <f t="shared" si="34"/>
        <v>1</v>
      </c>
      <c r="F111" s="590"/>
      <c r="G111" s="593">
        <f ca="1">$E111*(-SUMIF(INDIRECT(G$3),'Struktur Vorjahr'!$D111,INDIRECT(G$4))+SUMIF(INDIRECT(G$3),'Struktur Vorjahr'!$D111,INDIRECT(G$5)))</f>
        <v>1120.3800000000001</v>
      </c>
      <c r="H111" s="593">
        <f ca="1">$E111*(-SUMIF(INDIRECT(H$3),'Struktur Vorjahr'!$D111,INDIRECT(H$4))+SUMIF(INDIRECT(H$3),'Struktur Vorjahr'!$D111,INDIRECT(H$5)))</f>
        <v>1120.3800000000001</v>
      </c>
      <c r="I111" s="593">
        <f ca="1">$E111*(-SUMIF(INDIRECT(I$3),'Struktur Vorjahr'!$D111,INDIRECT(I$4))+SUMIF(INDIRECT(I$3),'Struktur Vorjahr'!$D111,INDIRECT(I$5)))</f>
        <v>1120.3800000000001</v>
      </c>
      <c r="J111" s="593">
        <f ca="1">$E111*(-SUMIF(INDIRECT(J$3),'Struktur Vorjahr'!$D111,INDIRECT(J$4))+SUMIF(INDIRECT(J$3),'Struktur Vorjahr'!$D111,INDIRECT(J$5)))</f>
        <v>1120.3699999999999</v>
      </c>
      <c r="K111" s="593">
        <f ca="1">$E111*(-SUMIF(INDIRECT(K$3),'Struktur Vorjahr'!$D111,INDIRECT(K$4))+SUMIF(INDIRECT(K$3),'Struktur Vorjahr'!$D111,INDIRECT(K$5)))</f>
        <v>1120.3699999999999</v>
      </c>
      <c r="L111" s="593">
        <f ca="1">$E111*(-SUMIF(INDIRECT(L$3),'Struktur Vorjahr'!$D111,INDIRECT(L$4))+SUMIF(INDIRECT(L$3),'Struktur Vorjahr'!$D111,INDIRECT(L$5)))</f>
        <v>1120.3699999999999</v>
      </c>
      <c r="M111" s="593">
        <f ca="1">$E111*(-SUMIF(INDIRECT(M$3),'Struktur Vorjahr'!$D111,INDIRECT(M$4))+SUMIF(INDIRECT(M$3),'Struktur Vorjahr'!$D111,INDIRECT(M$5)))</f>
        <v>0</v>
      </c>
      <c r="N111" s="593">
        <f ca="1">$E111*(-SUMIF(INDIRECT(N$3),'Struktur Vorjahr'!$D111,INDIRECT(N$4))+SUMIF(INDIRECT(N$3),'Struktur Vorjahr'!$D111,INDIRECT(N$5)))</f>
        <v>0</v>
      </c>
      <c r="O111" s="593">
        <f ca="1">$E111*(-SUMIF(INDIRECT(O$3),'Struktur Vorjahr'!$D111,INDIRECT(O$4))+SUMIF(INDIRECT(O$3),'Struktur Vorjahr'!$D111,INDIRECT(O$5)))</f>
        <v>0</v>
      </c>
      <c r="P111" s="593">
        <f ca="1">$E111*(-SUMIF(INDIRECT(P$3),'Struktur Vorjahr'!$D111,INDIRECT(P$4))+SUMIF(INDIRECT(P$3),'Struktur Vorjahr'!$D111,INDIRECT(P$5)))</f>
        <v>0</v>
      </c>
      <c r="Q111" s="593">
        <f ca="1">$E111*(-SUMIF(INDIRECT(Q$3),'Struktur Vorjahr'!$D111,INDIRECT(Q$4))+SUMIF(INDIRECT(Q$3),'Struktur Vorjahr'!$D111,INDIRECT(Q$5)))</f>
        <v>0</v>
      </c>
      <c r="R111" s="593">
        <f ca="1">$E111*(-SUMIF(INDIRECT(R$3),'Struktur Vorjahr'!$D111,INDIRECT(R$4))+SUMIF(INDIRECT(R$3),'Struktur Vorjahr'!$D111,INDIRECT(R$5)))</f>
        <v>0</v>
      </c>
      <c r="S111" s="593">
        <f ca="1">$E111*(-SUMIF(INDIRECT(S$3),'Struktur Vorjahr'!$D111,INDIRECT(S$4))+SUMIF(INDIRECT(S$3),'Struktur Vorjahr'!$D111,INDIRECT(S$5)))</f>
        <v>1120.3800000000001</v>
      </c>
      <c r="T111" s="593">
        <f ca="1">$E111*(-SUMIF(INDIRECT(T$3),'Struktur Vorjahr'!$D111,INDIRECT(T$4))+SUMIF(INDIRECT(T$3),'Struktur Vorjahr'!$D111,INDIRECT(T$5)))</f>
        <v>2240.7600000000002</v>
      </c>
      <c r="U111" s="593">
        <f ca="1">$E111*(-SUMIF(INDIRECT(U$3),'Struktur Vorjahr'!$D111,INDIRECT(U$4))+SUMIF(INDIRECT(U$3),'Struktur Vorjahr'!$D111,INDIRECT(U$5)))</f>
        <v>3361.14</v>
      </c>
      <c r="V111" s="593">
        <f ca="1">$E111*(-SUMIF(INDIRECT(V$3),'Struktur Vorjahr'!$D111,INDIRECT(V$4))+SUMIF(INDIRECT(V$3),'Struktur Vorjahr'!$D111,INDIRECT(V$5)))</f>
        <v>4481.51</v>
      </c>
      <c r="W111" s="593">
        <f ca="1">$E111*(-SUMIF(INDIRECT(W$3),'Struktur Vorjahr'!$D111,INDIRECT(W$4))+SUMIF(INDIRECT(W$3),'Struktur Vorjahr'!$D111,INDIRECT(W$5)))</f>
        <v>5601.88</v>
      </c>
      <c r="X111" s="593">
        <f ca="1">$E111*(-SUMIF(INDIRECT(X$3),'Struktur Vorjahr'!$D111,INDIRECT(X$4))+SUMIF(INDIRECT(X$3),'Struktur Vorjahr'!$D111,INDIRECT(X$5)))</f>
        <v>6722.25</v>
      </c>
      <c r="Y111" s="593">
        <f ca="1">$E111*(-SUMIF(INDIRECT(Y$3),'Struktur Vorjahr'!$D111,INDIRECT(Y$4))+SUMIF(INDIRECT(Y$3),'Struktur Vorjahr'!$D111,INDIRECT(Y$5)))</f>
        <v>6722.25</v>
      </c>
      <c r="Z111" s="593">
        <f ca="1">$E111*(-SUMIF(INDIRECT(Z$3),'Struktur Vorjahr'!$D111,INDIRECT(Z$4))+SUMIF(INDIRECT(Z$3),'Struktur Vorjahr'!$D111,INDIRECT(Z$5)))</f>
        <v>6722.25</v>
      </c>
      <c r="AA111" s="593">
        <f ca="1">$E111*(-SUMIF(INDIRECT(AA$3),'Struktur Vorjahr'!$D111,INDIRECT(AA$4))+SUMIF(INDIRECT(AA$3),'Struktur Vorjahr'!$D111,INDIRECT(AA$5)))</f>
        <v>6722.25</v>
      </c>
      <c r="AB111" s="593">
        <f ca="1">$E111*(-SUMIF(INDIRECT(AB$3),'Struktur Vorjahr'!$D111,INDIRECT(AB$4))+SUMIF(INDIRECT(AB$3),'Struktur Vorjahr'!$D111,INDIRECT(AB$5)))</f>
        <v>6722.25</v>
      </c>
      <c r="AC111" s="593">
        <f ca="1">$E111*(-SUMIF(INDIRECT(AC$3),'Struktur Vorjahr'!$D111,INDIRECT(AC$4))+SUMIF(INDIRECT(AC$3),'Struktur Vorjahr'!$D111,INDIRECT(AC$5)))</f>
        <v>0</v>
      </c>
      <c r="AD111" s="593">
        <f ca="1">$E111*(-SUMIF(INDIRECT(AD$3),'Struktur Vorjahr'!$D111,INDIRECT(AD$4))+SUMIF(INDIRECT(AD$3),'Struktur Vorjahr'!$D111,INDIRECT(AD$5)))</f>
        <v>0</v>
      </c>
      <c r="AE111" s="593">
        <f t="shared" ca="1" si="63"/>
        <v>1120.3800000000001</v>
      </c>
      <c r="AF111" s="593">
        <f t="shared" ca="1" si="64"/>
        <v>2240.7600000000002</v>
      </c>
      <c r="AG111" s="593">
        <f t="shared" ca="1" si="64"/>
        <v>3361.1400000000003</v>
      </c>
      <c r="AH111" s="593">
        <f t="shared" ca="1" si="64"/>
        <v>4481.51</v>
      </c>
      <c r="AI111" s="593">
        <f t="shared" ca="1" si="64"/>
        <v>5601.88</v>
      </c>
      <c r="AJ111" s="593">
        <f t="shared" ca="1" si="64"/>
        <v>6722.25</v>
      </c>
      <c r="AK111" s="593">
        <f t="shared" ca="1" si="64"/>
        <v>6722.25</v>
      </c>
      <c r="AL111" s="593">
        <f t="shared" ca="1" si="64"/>
        <v>6722.25</v>
      </c>
      <c r="AM111" s="593">
        <f t="shared" ca="1" si="64"/>
        <v>6722.25</v>
      </c>
      <c r="AN111" s="593">
        <f t="shared" ca="1" si="64"/>
        <v>6722.25</v>
      </c>
      <c r="AO111" s="593">
        <f t="shared" ca="1" si="64"/>
        <v>6722.25</v>
      </c>
      <c r="AP111" s="593">
        <f t="shared" ca="1" si="64"/>
        <v>6722.25</v>
      </c>
    </row>
    <row r="112" spans="1:42" s="601" customFormat="1" ht="11.25" outlineLevel="1" x14ac:dyDescent="0.2">
      <c r="A112" s="600"/>
      <c r="B112" s="591" t="str">
        <f>IF(D112&lt;&gt;"",
IF(ISERROR(MATCH(D112,'Ist Vorjahr Monat 01'!A:A,0))=FALSE,INDEX('Ist Vorjahr Monat 01'!B:B,MATCH(D112,'Ist Vorjahr Monat 01'!A:A,0)),
IF(ISERROR(MATCH(D112,'Ist Vorjahr Monat 02'!A:A,0))=FALSE,INDEX('Ist Vorjahr Monat 02'!B:B,MATCH(D112,'Ist Vorjahr Monat 02'!A:A,0)),
IF(ISERROR(MATCH(D112,'Ist Vorjahr Monat 03'!A:A,0))=FALSE,INDEX('Ist Vorjahr Monat 03'!B:B,MATCH(D112,'Ist Vorjahr Monat 03'!A:A,0)),
IF(ISERROR(MATCH(D112,'Ist Vorjahr Monat 04'!A:A,0))=FALSE,INDEX('Ist Vorjahr Monat 04'!B:B,MATCH(D112,'Ist Vorjahr Monat 04'!A:A,0)),
IF(ISERROR(MATCH(D112,'Ist Vorjahr Monat 05'!A:A,0))=FALSE,INDEX('Ist Vorjahr Monat 05'!B:B,MATCH(D112,'Ist Vorjahr Monat 05'!A:A,0)),
IF(ISERROR(MATCH(D112,'Ist Vorjahr Monat 06'!A:A,0))=FALSE,INDEX('Ist Vorjahr Monat 06'!B:B,MATCH(D112,'Ist Vorjahr Monat 06'!A:A,0)),
IF(ISERROR(MATCH(D112,'Ist Vorjahr Monat 07'!A:A,0))=FALSE,INDEX('Ist Vorjahr Monat 07'!B:B,MATCH(D112,'Ist Vorjahr Monat 07'!A:A,0)),
IF(ISERROR(MATCH(D112,'Ist Vorjahr Monat 08'!A:A,0))=FALSE,INDEX('Ist Vorjahr Monat 08'!B:B,MATCH(D112,'Ist Vorjahr Monat 08'!A:A,0)),
IF(ISERROR(MATCH(D112,'Ist Vorjahr Monat 09'!A:A,0))=FALSE,INDEX('Ist Vorjahr Monat 09'!B:B,MATCH(D112,'Ist Vorjahr Monat 09'!A:A,0)),
IF(ISERROR(MATCH(D112,'Ist Vorjahr Monat 10'!A:A,0))=FALSE,INDEX('Ist Vorjahr Monat 10'!B:B,MATCH(D112,'Ist Vorjahr Monat 10'!A:A,0)),
IF(ISERROR(MATCH(D112,'Ist Vorjahr Monat 11'!A:A,0))=FALSE,INDEX('Ist Vorjahr Monat 11'!B:B,MATCH(D112,'Ist Vorjahr Monat 11'!A:A,0)),
IF(ISERROR(MATCH(D112,'Ist Vorjahr Monat 12'!A:A,0))=FALSE,INDEX('Ist Vorjahr Monat 12'!B:B,MATCH(D112,'Ist Vorjahr Monat 12'!A:A,0)),
"{Konto unbekannt}"
)))))))))))),"")</f>
        <v>Gehälter Website &amp; Softwareprodukte</v>
      </c>
      <c r="C112" s="591"/>
      <c r="D112" s="590">
        <v>4103</v>
      </c>
      <c r="E112" s="592">
        <f t="shared" si="34"/>
        <v>1</v>
      </c>
      <c r="F112" s="600"/>
      <c r="G112" s="593">
        <f ca="1">$E112*(-SUMIF(INDIRECT(G$3),'Struktur Vorjahr'!$D112,INDIRECT(G$4))+SUMIF(INDIRECT(G$3),'Struktur Vorjahr'!$D112,INDIRECT(G$5)))</f>
        <v>1895.37</v>
      </c>
      <c r="H112" s="593">
        <f ca="1">$E112*(-SUMIF(INDIRECT(H$3),'Struktur Vorjahr'!$D112,INDIRECT(H$4))+SUMIF(INDIRECT(H$3),'Struktur Vorjahr'!$D112,INDIRECT(H$5)))</f>
        <v>1895.37</v>
      </c>
      <c r="I112" s="593">
        <f ca="1">$E112*(-SUMIF(INDIRECT(I$3),'Struktur Vorjahr'!$D112,INDIRECT(I$4))+SUMIF(INDIRECT(I$3),'Struktur Vorjahr'!$D112,INDIRECT(I$5)))</f>
        <v>1895.37</v>
      </c>
      <c r="J112" s="593">
        <f ca="1">$E112*(-SUMIF(INDIRECT(J$3),'Struktur Vorjahr'!$D112,INDIRECT(J$4))+SUMIF(INDIRECT(J$3),'Struktur Vorjahr'!$D112,INDIRECT(J$5)))</f>
        <v>1895.38</v>
      </c>
      <c r="K112" s="593">
        <f ca="1">$E112*(-SUMIF(INDIRECT(K$3),'Struktur Vorjahr'!$D112,INDIRECT(K$4))+SUMIF(INDIRECT(K$3),'Struktur Vorjahr'!$D112,INDIRECT(K$5)))</f>
        <v>1895.38</v>
      </c>
      <c r="L112" s="593">
        <f ca="1">$E112*(-SUMIF(INDIRECT(L$3),'Struktur Vorjahr'!$D112,INDIRECT(L$4))+SUMIF(INDIRECT(L$3),'Struktur Vorjahr'!$D112,INDIRECT(L$5)))</f>
        <v>2070.38</v>
      </c>
      <c r="M112" s="593">
        <f ca="1">$E112*(-SUMIF(INDIRECT(M$3),'Struktur Vorjahr'!$D112,INDIRECT(M$4))+SUMIF(INDIRECT(M$3),'Struktur Vorjahr'!$D112,INDIRECT(M$5)))</f>
        <v>0</v>
      </c>
      <c r="N112" s="593">
        <f ca="1">$E112*(-SUMIF(INDIRECT(N$3),'Struktur Vorjahr'!$D112,INDIRECT(N$4))+SUMIF(INDIRECT(N$3),'Struktur Vorjahr'!$D112,INDIRECT(N$5)))</f>
        <v>0</v>
      </c>
      <c r="O112" s="593">
        <f ca="1">$E112*(-SUMIF(INDIRECT(O$3),'Struktur Vorjahr'!$D112,INDIRECT(O$4))+SUMIF(INDIRECT(O$3),'Struktur Vorjahr'!$D112,INDIRECT(O$5)))</f>
        <v>0</v>
      </c>
      <c r="P112" s="593">
        <f ca="1">$E112*(-SUMIF(INDIRECT(P$3),'Struktur Vorjahr'!$D112,INDIRECT(P$4))+SUMIF(INDIRECT(P$3),'Struktur Vorjahr'!$D112,INDIRECT(P$5)))</f>
        <v>0</v>
      </c>
      <c r="Q112" s="593">
        <f ca="1">$E112*(-SUMIF(INDIRECT(Q$3),'Struktur Vorjahr'!$D112,INDIRECT(Q$4))+SUMIF(INDIRECT(Q$3),'Struktur Vorjahr'!$D112,INDIRECT(Q$5)))</f>
        <v>0</v>
      </c>
      <c r="R112" s="593">
        <f ca="1">$E112*(-SUMIF(INDIRECT(R$3),'Struktur Vorjahr'!$D112,INDIRECT(R$4))+SUMIF(INDIRECT(R$3),'Struktur Vorjahr'!$D112,INDIRECT(R$5)))</f>
        <v>0</v>
      </c>
      <c r="S112" s="593">
        <f ca="1">$E112*(-SUMIF(INDIRECT(S$3),'Struktur Vorjahr'!$D112,INDIRECT(S$4))+SUMIF(INDIRECT(S$3),'Struktur Vorjahr'!$D112,INDIRECT(S$5)))</f>
        <v>1895.37</v>
      </c>
      <c r="T112" s="593">
        <f ca="1">$E112*(-SUMIF(INDIRECT(T$3),'Struktur Vorjahr'!$D112,INDIRECT(T$4))+SUMIF(INDIRECT(T$3),'Struktur Vorjahr'!$D112,INDIRECT(T$5)))</f>
        <v>3790.74</v>
      </c>
      <c r="U112" s="593">
        <f ca="1">$E112*(-SUMIF(INDIRECT(U$3),'Struktur Vorjahr'!$D112,INDIRECT(U$4))+SUMIF(INDIRECT(U$3),'Struktur Vorjahr'!$D112,INDIRECT(U$5)))</f>
        <v>5686.11</v>
      </c>
      <c r="V112" s="593">
        <f ca="1">$E112*(-SUMIF(INDIRECT(V$3),'Struktur Vorjahr'!$D112,INDIRECT(V$4))+SUMIF(INDIRECT(V$3),'Struktur Vorjahr'!$D112,INDIRECT(V$5)))</f>
        <v>7581.49</v>
      </c>
      <c r="W112" s="593">
        <f ca="1">$E112*(-SUMIF(INDIRECT(W$3),'Struktur Vorjahr'!$D112,INDIRECT(W$4))+SUMIF(INDIRECT(W$3),'Struktur Vorjahr'!$D112,INDIRECT(W$5)))</f>
        <v>9476.8700000000008</v>
      </c>
      <c r="X112" s="593">
        <f ca="1">$E112*(-SUMIF(INDIRECT(X$3),'Struktur Vorjahr'!$D112,INDIRECT(X$4))+SUMIF(INDIRECT(X$3),'Struktur Vorjahr'!$D112,INDIRECT(X$5)))</f>
        <v>11547.25</v>
      </c>
      <c r="Y112" s="593">
        <f ca="1">$E112*(-SUMIF(INDIRECT(Y$3),'Struktur Vorjahr'!$D112,INDIRECT(Y$4))+SUMIF(INDIRECT(Y$3),'Struktur Vorjahr'!$D112,INDIRECT(Y$5)))</f>
        <v>11547.25</v>
      </c>
      <c r="Z112" s="593">
        <f ca="1">$E112*(-SUMIF(INDIRECT(Z$3),'Struktur Vorjahr'!$D112,INDIRECT(Z$4))+SUMIF(INDIRECT(Z$3),'Struktur Vorjahr'!$D112,INDIRECT(Z$5)))</f>
        <v>11547.25</v>
      </c>
      <c r="AA112" s="593">
        <f ca="1">$E112*(-SUMIF(INDIRECT(AA$3),'Struktur Vorjahr'!$D112,INDIRECT(AA$4))+SUMIF(INDIRECT(AA$3),'Struktur Vorjahr'!$D112,INDIRECT(AA$5)))</f>
        <v>11547.25</v>
      </c>
      <c r="AB112" s="593">
        <f ca="1">$E112*(-SUMIF(INDIRECT(AB$3),'Struktur Vorjahr'!$D112,INDIRECT(AB$4))+SUMIF(INDIRECT(AB$3),'Struktur Vorjahr'!$D112,INDIRECT(AB$5)))</f>
        <v>11547.25</v>
      </c>
      <c r="AC112" s="593">
        <f ca="1">$E112*(-SUMIF(INDIRECT(AC$3),'Struktur Vorjahr'!$D112,INDIRECT(AC$4))+SUMIF(INDIRECT(AC$3),'Struktur Vorjahr'!$D112,INDIRECT(AC$5)))</f>
        <v>0</v>
      </c>
      <c r="AD112" s="593">
        <f ca="1">$E112*(-SUMIF(INDIRECT(AD$3),'Struktur Vorjahr'!$D112,INDIRECT(AD$4))+SUMIF(INDIRECT(AD$3),'Struktur Vorjahr'!$D112,INDIRECT(AD$5)))</f>
        <v>0</v>
      </c>
      <c r="AE112" s="593">
        <f t="shared" ca="1" si="63"/>
        <v>1895.37</v>
      </c>
      <c r="AF112" s="593">
        <f t="shared" ca="1" si="64"/>
        <v>3790.74</v>
      </c>
      <c r="AG112" s="593">
        <f t="shared" ca="1" si="64"/>
        <v>5686.11</v>
      </c>
      <c r="AH112" s="593">
        <f t="shared" ca="1" si="64"/>
        <v>7581.49</v>
      </c>
      <c r="AI112" s="593">
        <f t="shared" ca="1" si="64"/>
        <v>9476.869999999999</v>
      </c>
      <c r="AJ112" s="593">
        <f t="shared" ca="1" si="64"/>
        <v>11547.25</v>
      </c>
      <c r="AK112" s="593">
        <f t="shared" ca="1" si="64"/>
        <v>11547.25</v>
      </c>
      <c r="AL112" s="593">
        <f t="shared" ca="1" si="64"/>
        <v>11547.25</v>
      </c>
      <c r="AM112" s="593">
        <f t="shared" ca="1" si="64"/>
        <v>11547.25</v>
      </c>
      <c r="AN112" s="593">
        <f t="shared" ca="1" si="64"/>
        <v>11547.25</v>
      </c>
      <c r="AO112" s="593">
        <f t="shared" ca="1" si="64"/>
        <v>11547.25</v>
      </c>
      <c r="AP112" s="593">
        <f t="shared" ca="1" si="64"/>
        <v>11547.25</v>
      </c>
    </row>
    <row r="113" spans="1:42" s="594" customFormat="1" ht="11.25" outlineLevel="1" x14ac:dyDescent="0.2">
      <c r="A113" s="590"/>
      <c r="B113" s="591" t="str">
        <f>IF(D113&lt;&gt;"",
IF(ISERROR(MATCH(D113,'Ist Vorjahr Monat 01'!A:A,0))=FALSE,INDEX('Ist Vorjahr Monat 01'!B:B,MATCH(D113,'Ist Vorjahr Monat 01'!A:A,0)),
IF(ISERROR(MATCH(D113,'Ist Vorjahr Monat 02'!A:A,0))=FALSE,INDEX('Ist Vorjahr Monat 02'!B:B,MATCH(D113,'Ist Vorjahr Monat 02'!A:A,0)),
IF(ISERROR(MATCH(D113,'Ist Vorjahr Monat 03'!A:A,0))=FALSE,INDEX('Ist Vorjahr Monat 03'!B:B,MATCH(D113,'Ist Vorjahr Monat 03'!A:A,0)),
IF(ISERROR(MATCH(D113,'Ist Vorjahr Monat 04'!A:A,0))=FALSE,INDEX('Ist Vorjahr Monat 04'!B:B,MATCH(D113,'Ist Vorjahr Monat 04'!A:A,0)),
IF(ISERROR(MATCH(D113,'Ist Vorjahr Monat 05'!A:A,0))=FALSE,INDEX('Ist Vorjahr Monat 05'!B:B,MATCH(D113,'Ist Vorjahr Monat 05'!A:A,0)),
IF(ISERROR(MATCH(D113,'Ist Vorjahr Monat 06'!A:A,0))=FALSE,INDEX('Ist Vorjahr Monat 06'!B:B,MATCH(D113,'Ist Vorjahr Monat 06'!A:A,0)),
IF(ISERROR(MATCH(D113,'Ist Vorjahr Monat 07'!A:A,0))=FALSE,INDEX('Ist Vorjahr Monat 07'!B:B,MATCH(D113,'Ist Vorjahr Monat 07'!A:A,0)),
IF(ISERROR(MATCH(D113,'Ist Vorjahr Monat 08'!A:A,0))=FALSE,INDEX('Ist Vorjahr Monat 08'!B:B,MATCH(D113,'Ist Vorjahr Monat 08'!A:A,0)),
IF(ISERROR(MATCH(D113,'Ist Vorjahr Monat 09'!A:A,0))=FALSE,INDEX('Ist Vorjahr Monat 09'!B:B,MATCH(D113,'Ist Vorjahr Monat 09'!A:A,0)),
IF(ISERROR(MATCH(D113,'Ist Vorjahr Monat 10'!A:A,0))=FALSE,INDEX('Ist Vorjahr Monat 10'!B:B,MATCH(D113,'Ist Vorjahr Monat 10'!A:A,0)),
IF(ISERROR(MATCH(D113,'Ist Vorjahr Monat 11'!A:A,0))=FALSE,INDEX('Ist Vorjahr Monat 11'!B:B,MATCH(D113,'Ist Vorjahr Monat 11'!A:A,0)),
IF(ISERROR(MATCH(D113,'Ist Vorjahr Monat 12'!A:A,0))=FALSE,INDEX('Ist Vorjahr Monat 12'!B:B,MATCH(D113,'Ist Vorjahr Monat 12'!A:A,0)),
"{Konto unbekannt}"
)))))))))))),"")</f>
        <v>Löhne Datenbank &amp; Behörden</v>
      </c>
      <c r="C113" s="591"/>
      <c r="D113" s="590">
        <v>4110</v>
      </c>
      <c r="E113" s="592">
        <f t="shared" si="34"/>
        <v>1</v>
      </c>
      <c r="F113" s="590"/>
      <c r="G113" s="593">
        <f ca="1">$E113*(-SUMIF(INDIRECT(G$3),'Struktur Vorjahr'!$D113,INDIRECT(G$4))+SUMIF(INDIRECT(G$3),'Struktur Vorjahr'!$D113,INDIRECT(G$5)))</f>
        <v>5185.72</v>
      </c>
      <c r="H113" s="593">
        <f ca="1">$E113*(-SUMIF(INDIRECT(H$3),'Struktur Vorjahr'!$D113,INDIRECT(H$4))+SUMIF(INDIRECT(H$3),'Struktur Vorjahr'!$D113,INDIRECT(H$5)))</f>
        <v>5185.72</v>
      </c>
      <c r="I113" s="593">
        <f ca="1">$E113*(-SUMIF(INDIRECT(I$3),'Struktur Vorjahr'!$D113,INDIRECT(I$4))+SUMIF(INDIRECT(I$3),'Struktur Vorjahr'!$D113,INDIRECT(I$5)))</f>
        <v>5185.72</v>
      </c>
      <c r="J113" s="593">
        <f ca="1">$E113*(-SUMIF(INDIRECT(J$3),'Struktur Vorjahr'!$D113,INDIRECT(J$4))+SUMIF(INDIRECT(J$3),'Struktur Vorjahr'!$D113,INDIRECT(J$5)))</f>
        <v>5185.72</v>
      </c>
      <c r="K113" s="593">
        <f ca="1">$E113*(-SUMIF(INDIRECT(K$3),'Struktur Vorjahr'!$D113,INDIRECT(K$4))+SUMIF(INDIRECT(K$3),'Struktur Vorjahr'!$D113,INDIRECT(K$5)))</f>
        <v>5185.72</v>
      </c>
      <c r="L113" s="593">
        <f ca="1">$E113*(-SUMIF(INDIRECT(L$3),'Struktur Vorjahr'!$D113,INDIRECT(L$4))+SUMIF(INDIRECT(L$3),'Struktur Vorjahr'!$D113,INDIRECT(L$5)))</f>
        <v>4954.92</v>
      </c>
      <c r="M113" s="593">
        <f ca="1">$E113*(-SUMIF(INDIRECT(M$3),'Struktur Vorjahr'!$D113,INDIRECT(M$4))+SUMIF(INDIRECT(M$3),'Struktur Vorjahr'!$D113,INDIRECT(M$5)))</f>
        <v>4339.88</v>
      </c>
      <c r="N113" s="593">
        <f ca="1">$E113*(-SUMIF(INDIRECT(N$3),'Struktur Vorjahr'!$D113,INDIRECT(N$4))+SUMIF(INDIRECT(N$3),'Struktur Vorjahr'!$D113,INDIRECT(N$5)))</f>
        <v>0</v>
      </c>
      <c r="O113" s="593">
        <f ca="1">$E113*(-SUMIF(INDIRECT(O$3),'Struktur Vorjahr'!$D113,INDIRECT(O$4))+SUMIF(INDIRECT(O$3),'Struktur Vorjahr'!$D113,INDIRECT(O$5)))</f>
        <v>0</v>
      </c>
      <c r="P113" s="593">
        <f ca="1">$E113*(-SUMIF(INDIRECT(P$3),'Struktur Vorjahr'!$D113,INDIRECT(P$4))+SUMIF(INDIRECT(P$3),'Struktur Vorjahr'!$D113,INDIRECT(P$5)))</f>
        <v>0</v>
      </c>
      <c r="Q113" s="593">
        <f ca="1">$E113*(-SUMIF(INDIRECT(Q$3),'Struktur Vorjahr'!$D113,INDIRECT(Q$4))+SUMIF(INDIRECT(Q$3),'Struktur Vorjahr'!$D113,INDIRECT(Q$5)))</f>
        <v>0</v>
      </c>
      <c r="R113" s="593">
        <f ca="1">$E113*(-SUMIF(INDIRECT(R$3),'Struktur Vorjahr'!$D113,INDIRECT(R$4))+SUMIF(INDIRECT(R$3),'Struktur Vorjahr'!$D113,INDIRECT(R$5)))</f>
        <v>0</v>
      </c>
      <c r="S113" s="593">
        <f ca="1">$E113*(-SUMIF(INDIRECT(S$3),'Struktur Vorjahr'!$D113,INDIRECT(S$4))+SUMIF(INDIRECT(S$3),'Struktur Vorjahr'!$D113,INDIRECT(S$5)))</f>
        <v>5185.72</v>
      </c>
      <c r="T113" s="593">
        <f ca="1">$E113*(-SUMIF(INDIRECT(T$3),'Struktur Vorjahr'!$D113,INDIRECT(T$4))+SUMIF(INDIRECT(T$3),'Struktur Vorjahr'!$D113,INDIRECT(T$5)))</f>
        <v>10371.44</v>
      </c>
      <c r="U113" s="593">
        <f ca="1">$E113*(-SUMIF(INDIRECT(U$3),'Struktur Vorjahr'!$D113,INDIRECT(U$4))+SUMIF(INDIRECT(U$3),'Struktur Vorjahr'!$D113,INDIRECT(U$5)))</f>
        <v>15557.16</v>
      </c>
      <c r="V113" s="593">
        <f ca="1">$E113*(-SUMIF(INDIRECT(V$3),'Struktur Vorjahr'!$D113,INDIRECT(V$4))+SUMIF(INDIRECT(V$3),'Struktur Vorjahr'!$D113,INDIRECT(V$5)))</f>
        <v>20742.88</v>
      </c>
      <c r="W113" s="593">
        <f ca="1">$E113*(-SUMIF(INDIRECT(W$3),'Struktur Vorjahr'!$D113,INDIRECT(W$4))+SUMIF(INDIRECT(W$3),'Struktur Vorjahr'!$D113,INDIRECT(W$5)))</f>
        <v>25928.6</v>
      </c>
      <c r="X113" s="593">
        <f ca="1">$E113*(-SUMIF(INDIRECT(X$3),'Struktur Vorjahr'!$D113,INDIRECT(X$4))+SUMIF(INDIRECT(X$3),'Struktur Vorjahr'!$D113,INDIRECT(X$5)))</f>
        <v>30883.52</v>
      </c>
      <c r="Y113" s="593">
        <f ca="1">$E113*(-SUMIF(INDIRECT(Y$3),'Struktur Vorjahr'!$D113,INDIRECT(Y$4))+SUMIF(INDIRECT(Y$3),'Struktur Vorjahr'!$D113,INDIRECT(Y$5)))</f>
        <v>35223.4</v>
      </c>
      <c r="Z113" s="593">
        <f ca="1">$E113*(-SUMIF(INDIRECT(Z$3),'Struktur Vorjahr'!$D113,INDIRECT(Z$4))+SUMIF(INDIRECT(Z$3),'Struktur Vorjahr'!$D113,INDIRECT(Z$5)))</f>
        <v>35223.4</v>
      </c>
      <c r="AA113" s="593">
        <f ca="1">$E113*(-SUMIF(INDIRECT(AA$3),'Struktur Vorjahr'!$D113,INDIRECT(AA$4))+SUMIF(INDIRECT(AA$3),'Struktur Vorjahr'!$D113,INDIRECT(AA$5)))</f>
        <v>35223.4</v>
      </c>
      <c r="AB113" s="593">
        <f ca="1">$E113*(-SUMIF(INDIRECT(AB$3),'Struktur Vorjahr'!$D113,INDIRECT(AB$4))+SUMIF(INDIRECT(AB$3),'Struktur Vorjahr'!$D113,INDIRECT(AB$5)))</f>
        <v>35223.4</v>
      </c>
      <c r="AC113" s="593">
        <f ca="1">$E113*(-SUMIF(INDIRECT(AC$3),'Struktur Vorjahr'!$D113,INDIRECT(AC$4))+SUMIF(INDIRECT(AC$3),'Struktur Vorjahr'!$D113,INDIRECT(AC$5)))</f>
        <v>0</v>
      </c>
      <c r="AD113" s="593">
        <f ca="1">$E113*(-SUMIF(INDIRECT(AD$3),'Struktur Vorjahr'!$D113,INDIRECT(AD$4))+SUMIF(INDIRECT(AD$3),'Struktur Vorjahr'!$D113,INDIRECT(AD$5)))</f>
        <v>0</v>
      </c>
      <c r="AE113" s="593">
        <f t="shared" ca="1" si="63"/>
        <v>5185.72</v>
      </c>
      <c r="AF113" s="593">
        <f t="shared" ca="1" si="64"/>
        <v>10371.44</v>
      </c>
      <c r="AG113" s="593">
        <f t="shared" ca="1" si="64"/>
        <v>15557.16</v>
      </c>
      <c r="AH113" s="593">
        <f t="shared" ca="1" si="64"/>
        <v>20742.88</v>
      </c>
      <c r="AI113" s="593">
        <f t="shared" ca="1" si="64"/>
        <v>25928.600000000002</v>
      </c>
      <c r="AJ113" s="593">
        <f t="shared" ca="1" si="64"/>
        <v>30883.520000000004</v>
      </c>
      <c r="AK113" s="593">
        <f t="shared" ca="1" si="64"/>
        <v>35223.4</v>
      </c>
      <c r="AL113" s="593">
        <f t="shared" ca="1" si="64"/>
        <v>35223.4</v>
      </c>
      <c r="AM113" s="593">
        <f t="shared" ca="1" si="64"/>
        <v>35223.4</v>
      </c>
      <c r="AN113" s="593">
        <f t="shared" ca="1" si="64"/>
        <v>35223.4</v>
      </c>
      <c r="AO113" s="593">
        <f t="shared" ca="1" si="64"/>
        <v>35223.4</v>
      </c>
      <c r="AP113" s="593">
        <f t="shared" ca="1" si="64"/>
        <v>35223.4</v>
      </c>
    </row>
    <row r="114" spans="1:42" s="594" customFormat="1" ht="11.25" outlineLevel="1" x14ac:dyDescent="0.2">
      <c r="A114" s="590"/>
      <c r="B114" s="591" t="str">
        <f>IF(D114&lt;&gt;"",
IF(ISERROR(MATCH(D114,'Ist Vorjahr Monat 01'!A:A,0))=FALSE,INDEX('Ist Vorjahr Monat 01'!B:B,MATCH(D114,'Ist Vorjahr Monat 01'!A:A,0)),
IF(ISERROR(MATCH(D114,'Ist Vorjahr Monat 02'!A:A,0))=FALSE,INDEX('Ist Vorjahr Monat 02'!B:B,MATCH(D114,'Ist Vorjahr Monat 02'!A:A,0)),
IF(ISERROR(MATCH(D114,'Ist Vorjahr Monat 03'!A:A,0))=FALSE,INDEX('Ist Vorjahr Monat 03'!B:B,MATCH(D114,'Ist Vorjahr Monat 03'!A:A,0)),
IF(ISERROR(MATCH(D114,'Ist Vorjahr Monat 04'!A:A,0))=FALSE,INDEX('Ist Vorjahr Monat 04'!B:B,MATCH(D114,'Ist Vorjahr Monat 04'!A:A,0)),
IF(ISERROR(MATCH(D114,'Ist Vorjahr Monat 05'!A:A,0))=FALSE,INDEX('Ist Vorjahr Monat 05'!B:B,MATCH(D114,'Ist Vorjahr Monat 05'!A:A,0)),
IF(ISERROR(MATCH(D114,'Ist Vorjahr Monat 06'!A:A,0))=FALSE,INDEX('Ist Vorjahr Monat 06'!B:B,MATCH(D114,'Ist Vorjahr Monat 06'!A:A,0)),
IF(ISERROR(MATCH(D114,'Ist Vorjahr Monat 07'!A:A,0))=FALSE,INDEX('Ist Vorjahr Monat 07'!B:B,MATCH(D114,'Ist Vorjahr Monat 07'!A:A,0)),
IF(ISERROR(MATCH(D114,'Ist Vorjahr Monat 08'!A:A,0))=FALSE,INDEX('Ist Vorjahr Monat 08'!B:B,MATCH(D114,'Ist Vorjahr Monat 08'!A:A,0)),
IF(ISERROR(MATCH(D114,'Ist Vorjahr Monat 09'!A:A,0))=FALSE,INDEX('Ist Vorjahr Monat 09'!B:B,MATCH(D114,'Ist Vorjahr Monat 09'!A:A,0)),
IF(ISERROR(MATCH(D114,'Ist Vorjahr Monat 10'!A:A,0))=FALSE,INDEX('Ist Vorjahr Monat 10'!B:B,MATCH(D114,'Ist Vorjahr Monat 10'!A:A,0)),
IF(ISERROR(MATCH(D114,'Ist Vorjahr Monat 11'!A:A,0))=FALSE,INDEX('Ist Vorjahr Monat 11'!B:B,MATCH(D114,'Ist Vorjahr Monat 11'!A:A,0)),
IF(ISERROR(MATCH(D114,'Ist Vorjahr Monat 12'!A:A,0))=FALSE,INDEX('Ist Vorjahr Monat 12'!B:B,MATCH(D114,'Ist Vorjahr Monat 12'!A:A,0)),
"{Konto unbekannt}"
)))))))))))),"")</f>
        <v>Gehälter "Full-Service BOMAG</v>
      </c>
      <c r="C114" s="591"/>
      <c r="D114" s="590">
        <v>4120</v>
      </c>
      <c r="E114" s="592">
        <f t="shared" si="34"/>
        <v>1</v>
      </c>
      <c r="F114" s="590"/>
      <c r="G114" s="593">
        <f ca="1">$E114*(-SUMIF(INDIRECT(G$3),'Struktur Vorjahr'!$D114,INDIRECT(G$4))+SUMIF(INDIRECT(G$3),'Struktur Vorjahr'!$D114,INDIRECT(G$5)))</f>
        <v>775</v>
      </c>
      <c r="H114" s="593">
        <f ca="1">$E114*(-SUMIF(INDIRECT(H$3),'Struktur Vorjahr'!$D114,INDIRECT(H$4))+SUMIF(INDIRECT(H$3),'Struktur Vorjahr'!$D114,INDIRECT(H$5)))</f>
        <v>775</v>
      </c>
      <c r="I114" s="593">
        <f ca="1">$E114*(-SUMIF(INDIRECT(I$3),'Struktur Vorjahr'!$D114,INDIRECT(I$4))+SUMIF(INDIRECT(I$3),'Struktur Vorjahr'!$D114,INDIRECT(I$5)))</f>
        <v>775</v>
      </c>
      <c r="J114" s="593">
        <f ca="1">$E114*(-SUMIF(INDIRECT(J$3),'Struktur Vorjahr'!$D114,INDIRECT(J$4))+SUMIF(INDIRECT(J$3),'Struktur Vorjahr'!$D114,INDIRECT(J$5)))</f>
        <v>775</v>
      </c>
      <c r="K114" s="593">
        <f ca="1">$E114*(-SUMIF(INDIRECT(K$3),'Struktur Vorjahr'!$D114,INDIRECT(K$4))+SUMIF(INDIRECT(K$3),'Struktur Vorjahr'!$D114,INDIRECT(K$5)))</f>
        <v>775</v>
      </c>
      <c r="L114" s="593">
        <f ca="1">$E114*(-SUMIF(INDIRECT(L$3),'Struktur Vorjahr'!$D114,INDIRECT(L$4))+SUMIF(INDIRECT(L$3),'Struktur Vorjahr'!$D114,INDIRECT(L$5)))</f>
        <v>950</v>
      </c>
      <c r="M114" s="593">
        <f ca="1">$E114*(-SUMIF(INDIRECT(M$3),'Struktur Vorjahr'!$D114,INDIRECT(M$4))+SUMIF(INDIRECT(M$3),'Struktur Vorjahr'!$D114,INDIRECT(M$5)))</f>
        <v>0</v>
      </c>
      <c r="N114" s="593">
        <f ca="1">$E114*(-SUMIF(INDIRECT(N$3),'Struktur Vorjahr'!$D114,INDIRECT(N$4))+SUMIF(INDIRECT(N$3),'Struktur Vorjahr'!$D114,INDIRECT(N$5)))</f>
        <v>0</v>
      </c>
      <c r="O114" s="593">
        <f ca="1">$E114*(-SUMIF(INDIRECT(O$3),'Struktur Vorjahr'!$D114,INDIRECT(O$4))+SUMIF(INDIRECT(O$3),'Struktur Vorjahr'!$D114,INDIRECT(O$5)))</f>
        <v>0</v>
      </c>
      <c r="P114" s="593">
        <f ca="1">$E114*(-SUMIF(INDIRECT(P$3),'Struktur Vorjahr'!$D114,INDIRECT(P$4))+SUMIF(INDIRECT(P$3),'Struktur Vorjahr'!$D114,INDIRECT(P$5)))</f>
        <v>0</v>
      </c>
      <c r="Q114" s="593">
        <f ca="1">$E114*(-SUMIF(INDIRECT(Q$3),'Struktur Vorjahr'!$D114,INDIRECT(Q$4))+SUMIF(INDIRECT(Q$3),'Struktur Vorjahr'!$D114,INDIRECT(Q$5)))</f>
        <v>0</v>
      </c>
      <c r="R114" s="593">
        <f ca="1">$E114*(-SUMIF(INDIRECT(R$3),'Struktur Vorjahr'!$D114,INDIRECT(R$4))+SUMIF(INDIRECT(R$3),'Struktur Vorjahr'!$D114,INDIRECT(R$5)))</f>
        <v>0</v>
      </c>
      <c r="S114" s="593">
        <f ca="1">$E114*(-SUMIF(INDIRECT(S$3),'Struktur Vorjahr'!$D114,INDIRECT(S$4))+SUMIF(INDIRECT(S$3),'Struktur Vorjahr'!$D114,INDIRECT(S$5)))</f>
        <v>775</v>
      </c>
      <c r="T114" s="593">
        <f ca="1">$E114*(-SUMIF(INDIRECT(T$3),'Struktur Vorjahr'!$D114,INDIRECT(T$4))+SUMIF(INDIRECT(T$3),'Struktur Vorjahr'!$D114,INDIRECT(T$5)))</f>
        <v>1550</v>
      </c>
      <c r="U114" s="593">
        <f ca="1">$E114*(-SUMIF(INDIRECT(U$3),'Struktur Vorjahr'!$D114,INDIRECT(U$4))+SUMIF(INDIRECT(U$3),'Struktur Vorjahr'!$D114,INDIRECT(U$5)))</f>
        <v>2325</v>
      </c>
      <c r="V114" s="593">
        <f ca="1">$E114*(-SUMIF(INDIRECT(V$3),'Struktur Vorjahr'!$D114,INDIRECT(V$4))+SUMIF(INDIRECT(V$3),'Struktur Vorjahr'!$D114,INDIRECT(V$5)))</f>
        <v>3100</v>
      </c>
      <c r="W114" s="593">
        <f ca="1">$E114*(-SUMIF(INDIRECT(W$3),'Struktur Vorjahr'!$D114,INDIRECT(W$4))+SUMIF(INDIRECT(W$3),'Struktur Vorjahr'!$D114,INDIRECT(W$5)))</f>
        <v>3875</v>
      </c>
      <c r="X114" s="593">
        <f ca="1">$E114*(-SUMIF(INDIRECT(X$3),'Struktur Vorjahr'!$D114,INDIRECT(X$4))+SUMIF(INDIRECT(X$3),'Struktur Vorjahr'!$D114,INDIRECT(X$5)))</f>
        <v>4825</v>
      </c>
      <c r="Y114" s="593">
        <f ca="1">$E114*(-SUMIF(INDIRECT(Y$3),'Struktur Vorjahr'!$D114,INDIRECT(Y$4))+SUMIF(INDIRECT(Y$3),'Struktur Vorjahr'!$D114,INDIRECT(Y$5)))</f>
        <v>4825</v>
      </c>
      <c r="Z114" s="593">
        <f ca="1">$E114*(-SUMIF(INDIRECT(Z$3),'Struktur Vorjahr'!$D114,INDIRECT(Z$4))+SUMIF(INDIRECT(Z$3),'Struktur Vorjahr'!$D114,INDIRECT(Z$5)))</f>
        <v>4825</v>
      </c>
      <c r="AA114" s="593">
        <f ca="1">$E114*(-SUMIF(INDIRECT(AA$3),'Struktur Vorjahr'!$D114,INDIRECT(AA$4))+SUMIF(INDIRECT(AA$3),'Struktur Vorjahr'!$D114,INDIRECT(AA$5)))</f>
        <v>4825</v>
      </c>
      <c r="AB114" s="593">
        <f ca="1">$E114*(-SUMIF(INDIRECT(AB$3),'Struktur Vorjahr'!$D114,INDIRECT(AB$4))+SUMIF(INDIRECT(AB$3),'Struktur Vorjahr'!$D114,INDIRECT(AB$5)))</f>
        <v>4825</v>
      </c>
      <c r="AC114" s="593">
        <f ca="1">$E114*(-SUMIF(INDIRECT(AC$3),'Struktur Vorjahr'!$D114,INDIRECT(AC$4))+SUMIF(INDIRECT(AC$3),'Struktur Vorjahr'!$D114,INDIRECT(AC$5)))</f>
        <v>0</v>
      </c>
      <c r="AD114" s="593">
        <f ca="1">$E114*(-SUMIF(INDIRECT(AD$3),'Struktur Vorjahr'!$D114,INDIRECT(AD$4))+SUMIF(INDIRECT(AD$3),'Struktur Vorjahr'!$D114,INDIRECT(AD$5)))</f>
        <v>0</v>
      </c>
      <c r="AE114" s="593">
        <f t="shared" ca="1" si="63"/>
        <v>775</v>
      </c>
      <c r="AF114" s="593">
        <f t="shared" ca="1" si="64"/>
        <v>1550</v>
      </c>
      <c r="AG114" s="593">
        <f t="shared" ca="1" si="64"/>
        <v>2325</v>
      </c>
      <c r="AH114" s="593">
        <f t="shared" ca="1" si="64"/>
        <v>3100</v>
      </c>
      <c r="AI114" s="593">
        <f t="shared" ca="1" si="64"/>
        <v>3875</v>
      </c>
      <c r="AJ114" s="593">
        <f t="shared" ca="1" si="64"/>
        <v>4825</v>
      </c>
      <c r="AK114" s="593">
        <f t="shared" ca="1" si="64"/>
        <v>4825</v>
      </c>
      <c r="AL114" s="593">
        <f t="shared" ca="1" si="64"/>
        <v>4825</v>
      </c>
      <c r="AM114" s="593">
        <f t="shared" ca="1" si="64"/>
        <v>4825</v>
      </c>
      <c r="AN114" s="593">
        <f t="shared" ca="1" si="64"/>
        <v>4825</v>
      </c>
      <c r="AO114" s="593">
        <f t="shared" ca="1" si="64"/>
        <v>4825</v>
      </c>
      <c r="AP114" s="593">
        <f t="shared" ca="1" si="64"/>
        <v>4825</v>
      </c>
    </row>
    <row r="115" spans="1:42" s="594" customFormat="1" ht="11.25" outlineLevel="1" x14ac:dyDescent="0.2">
      <c r="A115" s="590"/>
      <c r="B115" s="591" t="str">
        <f>IF(D115&lt;&gt;"",
IF(ISERROR(MATCH(D115,'Ist Vorjahr Monat 01'!A:A,0))=FALSE,INDEX('Ist Vorjahr Monat 01'!B:B,MATCH(D115,'Ist Vorjahr Monat 01'!A:A,0)),
IF(ISERROR(MATCH(D115,'Ist Vorjahr Monat 02'!A:A,0))=FALSE,INDEX('Ist Vorjahr Monat 02'!B:B,MATCH(D115,'Ist Vorjahr Monat 02'!A:A,0)),
IF(ISERROR(MATCH(D115,'Ist Vorjahr Monat 03'!A:A,0))=FALSE,INDEX('Ist Vorjahr Monat 03'!B:B,MATCH(D115,'Ist Vorjahr Monat 03'!A:A,0)),
IF(ISERROR(MATCH(D115,'Ist Vorjahr Monat 04'!A:A,0))=FALSE,INDEX('Ist Vorjahr Monat 04'!B:B,MATCH(D115,'Ist Vorjahr Monat 04'!A:A,0)),
IF(ISERROR(MATCH(D115,'Ist Vorjahr Monat 05'!A:A,0))=FALSE,INDEX('Ist Vorjahr Monat 05'!B:B,MATCH(D115,'Ist Vorjahr Monat 05'!A:A,0)),
IF(ISERROR(MATCH(D115,'Ist Vorjahr Monat 06'!A:A,0))=FALSE,INDEX('Ist Vorjahr Monat 06'!B:B,MATCH(D115,'Ist Vorjahr Monat 06'!A:A,0)),
IF(ISERROR(MATCH(D115,'Ist Vorjahr Monat 07'!A:A,0))=FALSE,INDEX('Ist Vorjahr Monat 07'!B:B,MATCH(D115,'Ist Vorjahr Monat 07'!A:A,0)),
IF(ISERROR(MATCH(D115,'Ist Vorjahr Monat 08'!A:A,0))=FALSE,INDEX('Ist Vorjahr Monat 08'!B:B,MATCH(D115,'Ist Vorjahr Monat 08'!A:A,0)),
IF(ISERROR(MATCH(D115,'Ist Vorjahr Monat 09'!A:A,0))=FALSE,INDEX('Ist Vorjahr Monat 09'!B:B,MATCH(D115,'Ist Vorjahr Monat 09'!A:A,0)),
IF(ISERROR(MATCH(D115,'Ist Vorjahr Monat 10'!A:A,0))=FALSE,INDEX('Ist Vorjahr Monat 10'!B:B,MATCH(D115,'Ist Vorjahr Monat 10'!A:A,0)),
IF(ISERROR(MATCH(D115,'Ist Vorjahr Monat 11'!A:A,0))=FALSE,INDEX('Ist Vorjahr Monat 11'!B:B,MATCH(D115,'Ist Vorjahr Monat 11'!A:A,0)),
IF(ISERROR(MATCH(D115,'Ist Vorjahr Monat 12'!A:A,0))=FALSE,INDEX('Ist Vorjahr Monat 12'!B:B,MATCH(D115,'Ist Vorjahr Monat 12'!A:A,0)),
"{Konto unbekannt}"
)))))))))))),"")</f>
        <v>Gehälter Gemeinkostenl</v>
      </c>
      <c r="C115" s="591"/>
      <c r="D115" s="590">
        <v>4121</v>
      </c>
      <c r="E115" s="592">
        <f t="shared" si="34"/>
        <v>1</v>
      </c>
      <c r="F115" s="590"/>
      <c r="G115" s="593">
        <f ca="1">$E115*(-SUMIF(INDIRECT(G$3),'Struktur Vorjahr'!$D115,INDIRECT(G$4))+SUMIF(INDIRECT(G$3),'Struktur Vorjahr'!$D115,INDIRECT(G$5)))</f>
        <v>3943.5</v>
      </c>
      <c r="H115" s="593">
        <f ca="1">$E115*(-SUMIF(INDIRECT(H$3),'Struktur Vorjahr'!$D115,INDIRECT(H$4))+SUMIF(INDIRECT(H$3),'Struktur Vorjahr'!$D115,INDIRECT(H$5)))</f>
        <v>3943.5</v>
      </c>
      <c r="I115" s="593">
        <f ca="1">$E115*(-SUMIF(INDIRECT(I$3),'Struktur Vorjahr'!$D115,INDIRECT(I$4))+SUMIF(INDIRECT(I$3),'Struktur Vorjahr'!$D115,INDIRECT(I$5)))</f>
        <v>5173.13</v>
      </c>
      <c r="J115" s="593">
        <f ca="1">$E115*(-SUMIF(INDIRECT(J$3),'Struktur Vorjahr'!$D115,INDIRECT(J$4))+SUMIF(INDIRECT(J$3),'Struktur Vorjahr'!$D115,INDIRECT(J$5)))</f>
        <v>4666.88</v>
      </c>
      <c r="K115" s="593">
        <f ca="1">$E115*(-SUMIF(INDIRECT(K$3),'Struktur Vorjahr'!$D115,INDIRECT(K$4))+SUMIF(INDIRECT(K$3),'Struktur Vorjahr'!$D115,INDIRECT(K$5)))</f>
        <v>3661.55</v>
      </c>
      <c r="L115" s="593">
        <f ca="1">$E115*(-SUMIF(INDIRECT(L$3),'Struktur Vorjahr'!$D115,INDIRECT(L$4))+SUMIF(INDIRECT(L$3),'Struktur Vorjahr'!$D115,INDIRECT(L$5)))</f>
        <v>3673.13</v>
      </c>
      <c r="M115" s="593">
        <f ca="1">$E115*(-SUMIF(INDIRECT(M$3),'Struktur Vorjahr'!$D115,INDIRECT(M$4))+SUMIF(INDIRECT(M$3),'Struktur Vorjahr'!$D115,INDIRECT(M$5)))</f>
        <v>8376.8799999999992</v>
      </c>
      <c r="N115" s="593">
        <f ca="1">$E115*(-SUMIF(INDIRECT(N$3),'Struktur Vorjahr'!$D115,INDIRECT(N$4))+SUMIF(INDIRECT(N$3),'Struktur Vorjahr'!$D115,INDIRECT(N$5)))</f>
        <v>8473.3799999999992</v>
      </c>
      <c r="O115" s="593">
        <f ca="1">$E115*(-SUMIF(INDIRECT(O$3),'Struktur Vorjahr'!$D115,INDIRECT(O$4))+SUMIF(INDIRECT(O$3),'Struktur Vorjahr'!$D115,INDIRECT(O$5)))</f>
        <v>9373.3799999999992</v>
      </c>
      <c r="P115" s="593">
        <f ca="1">$E115*(-SUMIF(INDIRECT(P$3),'Struktur Vorjahr'!$D115,INDIRECT(P$4))+SUMIF(INDIRECT(P$3),'Struktur Vorjahr'!$D115,INDIRECT(P$5)))</f>
        <v>9313.3799999999992</v>
      </c>
      <c r="Q115" s="593">
        <f ca="1">$E115*(-SUMIF(INDIRECT(Q$3),'Struktur Vorjahr'!$D115,INDIRECT(Q$4))+SUMIF(INDIRECT(Q$3),'Struktur Vorjahr'!$D115,INDIRECT(Q$5)))</f>
        <v>0</v>
      </c>
      <c r="R115" s="593">
        <f ca="1">$E115*(-SUMIF(INDIRECT(R$3),'Struktur Vorjahr'!$D115,INDIRECT(R$4))+SUMIF(INDIRECT(R$3),'Struktur Vorjahr'!$D115,INDIRECT(R$5)))</f>
        <v>0</v>
      </c>
      <c r="S115" s="593">
        <f ca="1">$E115*(-SUMIF(INDIRECT(S$3),'Struktur Vorjahr'!$D115,INDIRECT(S$4))+SUMIF(INDIRECT(S$3),'Struktur Vorjahr'!$D115,INDIRECT(S$5)))</f>
        <v>3943.5</v>
      </c>
      <c r="T115" s="593">
        <f ca="1">$E115*(-SUMIF(INDIRECT(T$3),'Struktur Vorjahr'!$D115,INDIRECT(T$4))+SUMIF(INDIRECT(T$3),'Struktur Vorjahr'!$D115,INDIRECT(T$5)))</f>
        <v>7887</v>
      </c>
      <c r="U115" s="593">
        <f ca="1">$E115*(-SUMIF(INDIRECT(U$3),'Struktur Vorjahr'!$D115,INDIRECT(U$4))+SUMIF(INDIRECT(U$3),'Struktur Vorjahr'!$D115,INDIRECT(U$5)))</f>
        <v>13060.13</v>
      </c>
      <c r="V115" s="593">
        <f ca="1">$E115*(-SUMIF(INDIRECT(V$3),'Struktur Vorjahr'!$D115,INDIRECT(V$4))+SUMIF(INDIRECT(V$3),'Struktur Vorjahr'!$D115,INDIRECT(V$5)))</f>
        <v>17727.009999999998</v>
      </c>
      <c r="W115" s="593">
        <f ca="1">$E115*(-SUMIF(INDIRECT(W$3),'Struktur Vorjahr'!$D115,INDIRECT(W$4))+SUMIF(INDIRECT(W$3),'Struktur Vorjahr'!$D115,INDIRECT(W$5)))</f>
        <v>21388.560000000001</v>
      </c>
      <c r="X115" s="593">
        <f ca="1">$E115*(-SUMIF(INDIRECT(X$3),'Struktur Vorjahr'!$D115,INDIRECT(X$4))+SUMIF(INDIRECT(X$3),'Struktur Vorjahr'!$D115,INDIRECT(X$5)))</f>
        <v>25061.69</v>
      </c>
      <c r="Y115" s="593">
        <f ca="1">$E115*(-SUMIF(INDIRECT(Y$3),'Struktur Vorjahr'!$D115,INDIRECT(Y$4))+SUMIF(INDIRECT(Y$3),'Struktur Vorjahr'!$D115,INDIRECT(Y$5)))</f>
        <v>33438.57</v>
      </c>
      <c r="Z115" s="593">
        <f ca="1">$E115*(-SUMIF(INDIRECT(Z$3),'Struktur Vorjahr'!$D115,INDIRECT(Z$4))+SUMIF(INDIRECT(Z$3),'Struktur Vorjahr'!$D115,INDIRECT(Z$5)))</f>
        <v>41911.949999999997</v>
      </c>
      <c r="AA115" s="593">
        <f ca="1">$E115*(-SUMIF(INDIRECT(AA$3),'Struktur Vorjahr'!$D115,INDIRECT(AA$4))+SUMIF(INDIRECT(AA$3),'Struktur Vorjahr'!$D115,INDIRECT(AA$5)))</f>
        <v>51285.33</v>
      </c>
      <c r="AB115" s="593">
        <f ca="1">$E115*(-SUMIF(INDIRECT(AB$3),'Struktur Vorjahr'!$D115,INDIRECT(AB$4))+SUMIF(INDIRECT(AB$3),'Struktur Vorjahr'!$D115,INDIRECT(AB$5)))</f>
        <v>60598.71</v>
      </c>
      <c r="AC115" s="593">
        <f ca="1">$E115*(-SUMIF(INDIRECT(AC$3),'Struktur Vorjahr'!$D115,INDIRECT(AC$4))+SUMIF(INDIRECT(AC$3),'Struktur Vorjahr'!$D115,INDIRECT(AC$5)))</f>
        <v>0</v>
      </c>
      <c r="AD115" s="593">
        <f ca="1">$E115*(-SUMIF(INDIRECT(AD$3),'Struktur Vorjahr'!$D115,INDIRECT(AD$4))+SUMIF(INDIRECT(AD$3),'Struktur Vorjahr'!$D115,INDIRECT(AD$5)))</f>
        <v>0</v>
      </c>
      <c r="AE115" s="593">
        <f t="shared" ca="1" si="63"/>
        <v>3943.5</v>
      </c>
      <c r="AF115" s="593">
        <f t="shared" ca="1" si="64"/>
        <v>7887</v>
      </c>
      <c r="AG115" s="593">
        <f t="shared" ca="1" si="64"/>
        <v>13060.130000000001</v>
      </c>
      <c r="AH115" s="593">
        <f t="shared" ca="1" si="64"/>
        <v>17727.010000000002</v>
      </c>
      <c r="AI115" s="593">
        <f t="shared" ca="1" si="64"/>
        <v>21388.560000000001</v>
      </c>
      <c r="AJ115" s="593">
        <f t="shared" ca="1" si="64"/>
        <v>25061.690000000002</v>
      </c>
      <c r="AK115" s="593">
        <f t="shared" ca="1" si="64"/>
        <v>33438.57</v>
      </c>
      <c r="AL115" s="593">
        <f t="shared" ca="1" si="64"/>
        <v>41911.949999999997</v>
      </c>
      <c r="AM115" s="593">
        <f t="shared" ca="1" si="64"/>
        <v>51285.329999999994</v>
      </c>
      <c r="AN115" s="593">
        <f t="shared" ca="1" si="64"/>
        <v>60598.709999999992</v>
      </c>
      <c r="AO115" s="593">
        <f t="shared" ca="1" si="64"/>
        <v>60598.709999999992</v>
      </c>
      <c r="AP115" s="593">
        <f t="shared" ca="1" si="64"/>
        <v>60598.709999999992</v>
      </c>
    </row>
    <row r="116" spans="1:42" s="594" customFormat="1" ht="11.25" outlineLevel="1" x14ac:dyDescent="0.2">
      <c r="A116" s="590"/>
      <c r="B116" s="591" t="str">
        <f>IF(D116&lt;&gt;"",
IF(ISERROR(MATCH(D116,'Ist Vorjahr Monat 01'!A:A,0))=FALSE,INDEX('Ist Vorjahr Monat 01'!B:B,MATCH(D116,'Ist Vorjahr Monat 01'!A:A,0)),
IF(ISERROR(MATCH(D116,'Ist Vorjahr Monat 02'!A:A,0))=FALSE,INDEX('Ist Vorjahr Monat 02'!B:B,MATCH(D116,'Ist Vorjahr Monat 02'!A:A,0)),
IF(ISERROR(MATCH(D116,'Ist Vorjahr Monat 03'!A:A,0))=FALSE,INDEX('Ist Vorjahr Monat 03'!B:B,MATCH(D116,'Ist Vorjahr Monat 03'!A:A,0)),
IF(ISERROR(MATCH(D116,'Ist Vorjahr Monat 04'!A:A,0))=FALSE,INDEX('Ist Vorjahr Monat 04'!B:B,MATCH(D116,'Ist Vorjahr Monat 04'!A:A,0)),
IF(ISERROR(MATCH(D116,'Ist Vorjahr Monat 05'!A:A,0))=FALSE,INDEX('Ist Vorjahr Monat 05'!B:B,MATCH(D116,'Ist Vorjahr Monat 05'!A:A,0)),
IF(ISERROR(MATCH(D116,'Ist Vorjahr Monat 06'!A:A,0))=FALSE,INDEX('Ist Vorjahr Monat 06'!B:B,MATCH(D116,'Ist Vorjahr Monat 06'!A:A,0)),
IF(ISERROR(MATCH(D116,'Ist Vorjahr Monat 07'!A:A,0))=FALSE,INDEX('Ist Vorjahr Monat 07'!B:B,MATCH(D116,'Ist Vorjahr Monat 07'!A:A,0)),
IF(ISERROR(MATCH(D116,'Ist Vorjahr Monat 08'!A:A,0))=FALSE,INDEX('Ist Vorjahr Monat 08'!B:B,MATCH(D116,'Ist Vorjahr Monat 08'!A:A,0)),
IF(ISERROR(MATCH(D116,'Ist Vorjahr Monat 09'!A:A,0))=FALSE,INDEX('Ist Vorjahr Monat 09'!B:B,MATCH(D116,'Ist Vorjahr Monat 09'!A:A,0)),
IF(ISERROR(MATCH(D116,'Ist Vorjahr Monat 10'!A:A,0))=FALSE,INDEX('Ist Vorjahr Monat 10'!B:B,MATCH(D116,'Ist Vorjahr Monat 10'!A:A,0)),
IF(ISERROR(MATCH(D116,'Ist Vorjahr Monat 11'!A:A,0))=FALSE,INDEX('Ist Vorjahr Monat 11'!B:B,MATCH(D116,'Ist Vorjahr Monat 11'!A:A,0)),
IF(ISERROR(MATCH(D116,'Ist Vorjahr Monat 12'!A:A,0))=FALSE,INDEX('Ist Vorjahr Monat 12'!B:B,MATCH(D116,'Ist Vorjahr Monat 12'!A:A,0)),
"{Konto unbekannt}"
)))))))))))),"")</f>
        <v xml:space="preserve">Gehälter "Datenbank-MS-Access/Behörden </v>
      </c>
      <c r="C116" s="591"/>
      <c r="D116" s="590">
        <v>4125</v>
      </c>
      <c r="E116" s="592">
        <f t="shared" si="34"/>
        <v>1</v>
      </c>
      <c r="F116" s="590"/>
      <c r="G116" s="593">
        <f ca="1">$E116*(-SUMIF(INDIRECT(G$3),'Struktur Vorjahr'!$D116,INDIRECT(G$4))+SUMIF(INDIRECT(G$3),'Struktur Vorjahr'!$D116,INDIRECT(G$5)))</f>
        <v>0</v>
      </c>
      <c r="H116" s="593">
        <f ca="1">$E116*(-SUMIF(INDIRECT(H$3),'Struktur Vorjahr'!$D116,INDIRECT(H$4))+SUMIF(INDIRECT(H$3),'Struktur Vorjahr'!$D116,INDIRECT(H$5)))</f>
        <v>0</v>
      </c>
      <c r="I116" s="593">
        <f ca="1">$E116*(-SUMIF(INDIRECT(I$3),'Struktur Vorjahr'!$D116,INDIRECT(I$4))+SUMIF(INDIRECT(I$3),'Struktur Vorjahr'!$D116,INDIRECT(I$5)))</f>
        <v>0</v>
      </c>
      <c r="J116" s="593">
        <f ca="1">$E116*(-SUMIF(INDIRECT(J$3),'Struktur Vorjahr'!$D116,INDIRECT(J$4))+SUMIF(INDIRECT(J$3),'Struktur Vorjahr'!$D116,INDIRECT(J$5)))</f>
        <v>0</v>
      </c>
      <c r="K116" s="593">
        <f ca="1">$E116*(-SUMIF(INDIRECT(K$3),'Struktur Vorjahr'!$D116,INDIRECT(K$4))+SUMIF(INDIRECT(K$3),'Struktur Vorjahr'!$D116,INDIRECT(K$5)))</f>
        <v>0</v>
      </c>
      <c r="L116" s="593">
        <f ca="1">$E116*(-SUMIF(INDIRECT(L$3),'Struktur Vorjahr'!$D116,INDIRECT(L$4))+SUMIF(INDIRECT(L$3),'Struktur Vorjahr'!$D116,INDIRECT(L$5)))</f>
        <v>0</v>
      </c>
      <c r="M116" s="593">
        <f ca="1">$E116*(-SUMIF(INDIRECT(M$3),'Struktur Vorjahr'!$D116,INDIRECT(M$4))+SUMIF(INDIRECT(M$3),'Struktur Vorjahr'!$D116,INDIRECT(M$5)))</f>
        <v>0</v>
      </c>
      <c r="N116" s="593">
        <f ca="1">$E116*(-SUMIF(INDIRECT(N$3),'Struktur Vorjahr'!$D116,INDIRECT(N$4))+SUMIF(INDIRECT(N$3),'Struktur Vorjahr'!$D116,INDIRECT(N$5)))</f>
        <v>3839.88</v>
      </c>
      <c r="O116" s="593">
        <f ca="1">$E116*(-SUMIF(INDIRECT(O$3),'Struktur Vorjahr'!$D116,INDIRECT(O$4))+SUMIF(INDIRECT(O$3),'Struktur Vorjahr'!$D116,INDIRECT(O$5)))</f>
        <v>3839.88</v>
      </c>
      <c r="P116" s="593">
        <f ca="1">$E116*(-SUMIF(INDIRECT(P$3),'Struktur Vorjahr'!$D116,INDIRECT(P$4))+SUMIF(INDIRECT(P$3),'Struktur Vorjahr'!$D116,INDIRECT(P$5)))</f>
        <v>3839.88</v>
      </c>
      <c r="Q116" s="593">
        <f ca="1">$E116*(-SUMIF(INDIRECT(Q$3),'Struktur Vorjahr'!$D116,INDIRECT(Q$4))+SUMIF(INDIRECT(Q$3),'Struktur Vorjahr'!$D116,INDIRECT(Q$5)))</f>
        <v>0</v>
      </c>
      <c r="R116" s="593">
        <f ca="1">$E116*(-SUMIF(INDIRECT(R$3),'Struktur Vorjahr'!$D116,INDIRECT(R$4))+SUMIF(INDIRECT(R$3),'Struktur Vorjahr'!$D116,INDIRECT(R$5)))</f>
        <v>0</v>
      </c>
      <c r="S116" s="593">
        <f ca="1">$E116*(-SUMIF(INDIRECT(S$3),'Struktur Vorjahr'!$D116,INDIRECT(S$4))+SUMIF(INDIRECT(S$3),'Struktur Vorjahr'!$D116,INDIRECT(S$5)))</f>
        <v>0</v>
      </c>
      <c r="T116" s="593">
        <f ca="1">$E116*(-SUMIF(INDIRECT(T$3),'Struktur Vorjahr'!$D116,INDIRECT(T$4))+SUMIF(INDIRECT(T$3),'Struktur Vorjahr'!$D116,INDIRECT(T$5)))</f>
        <v>0</v>
      </c>
      <c r="U116" s="593">
        <f ca="1">$E116*(-SUMIF(INDIRECT(U$3),'Struktur Vorjahr'!$D116,INDIRECT(U$4))+SUMIF(INDIRECT(U$3),'Struktur Vorjahr'!$D116,INDIRECT(U$5)))</f>
        <v>0</v>
      </c>
      <c r="V116" s="593">
        <f ca="1">$E116*(-SUMIF(INDIRECT(V$3),'Struktur Vorjahr'!$D116,INDIRECT(V$4))+SUMIF(INDIRECT(V$3),'Struktur Vorjahr'!$D116,INDIRECT(V$5)))</f>
        <v>0</v>
      </c>
      <c r="W116" s="593">
        <f ca="1">$E116*(-SUMIF(INDIRECT(W$3),'Struktur Vorjahr'!$D116,INDIRECT(W$4))+SUMIF(INDIRECT(W$3),'Struktur Vorjahr'!$D116,INDIRECT(W$5)))</f>
        <v>0</v>
      </c>
      <c r="X116" s="593">
        <f ca="1">$E116*(-SUMIF(INDIRECT(X$3),'Struktur Vorjahr'!$D116,INDIRECT(X$4))+SUMIF(INDIRECT(X$3),'Struktur Vorjahr'!$D116,INDIRECT(X$5)))</f>
        <v>0</v>
      </c>
      <c r="Y116" s="593">
        <f ca="1">$E116*(-SUMIF(INDIRECT(Y$3),'Struktur Vorjahr'!$D116,INDIRECT(Y$4))+SUMIF(INDIRECT(Y$3),'Struktur Vorjahr'!$D116,INDIRECT(Y$5)))</f>
        <v>0</v>
      </c>
      <c r="Z116" s="593">
        <f ca="1">$E116*(-SUMIF(INDIRECT(Z$3),'Struktur Vorjahr'!$D116,INDIRECT(Z$4))+SUMIF(INDIRECT(Z$3),'Struktur Vorjahr'!$D116,INDIRECT(Z$5)))</f>
        <v>3839.88</v>
      </c>
      <c r="AA116" s="593">
        <f ca="1">$E116*(-SUMIF(INDIRECT(AA$3),'Struktur Vorjahr'!$D116,INDIRECT(AA$4))+SUMIF(INDIRECT(AA$3),'Struktur Vorjahr'!$D116,INDIRECT(AA$5)))</f>
        <v>7679.76</v>
      </c>
      <c r="AB116" s="593">
        <f ca="1">$E116*(-SUMIF(INDIRECT(AB$3),'Struktur Vorjahr'!$D116,INDIRECT(AB$4))+SUMIF(INDIRECT(AB$3),'Struktur Vorjahr'!$D116,INDIRECT(AB$5)))</f>
        <v>11519.64</v>
      </c>
      <c r="AC116" s="593">
        <f ca="1">$E116*(-SUMIF(INDIRECT(AC$3),'Struktur Vorjahr'!$D116,INDIRECT(AC$4))+SUMIF(INDIRECT(AC$3),'Struktur Vorjahr'!$D116,INDIRECT(AC$5)))</f>
        <v>0</v>
      </c>
      <c r="AD116" s="593">
        <f ca="1">$E116*(-SUMIF(INDIRECT(AD$3),'Struktur Vorjahr'!$D116,INDIRECT(AD$4))+SUMIF(INDIRECT(AD$3),'Struktur Vorjahr'!$D116,INDIRECT(AD$5)))</f>
        <v>0</v>
      </c>
      <c r="AE116" s="593">
        <f t="shared" ca="1" si="63"/>
        <v>0</v>
      </c>
      <c r="AF116" s="593">
        <f t="shared" ca="1" si="64"/>
        <v>0</v>
      </c>
      <c r="AG116" s="593">
        <f t="shared" ca="1" si="64"/>
        <v>0</v>
      </c>
      <c r="AH116" s="593">
        <f t="shared" ca="1" si="64"/>
        <v>0</v>
      </c>
      <c r="AI116" s="593">
        <f t="shared" ca="1" si="64"/>
        <v>0</v>
      </c>
      <c r="AJ116" s="593">
        <f t="shared" ca="1" si="64"/>
        <v>0</v>
      </c>
      <c r="AK116" s="593">
        <f t="shared" ca="1" si="64"/>
        <v>0</v>
      </c>
      <c r="AL116" s="593">
        <f t="shared" ca="1" si="64"/>
        <v>3839.88</v>
      </c>
      <c r="AM116" s="593">
        <f t="shared" ca="1" si="64"/>
        <v>7679.76</v>
      </c>
      <c r="AN116" s="593">
        <f t="shared" ca="1" si="64"/>
        <v>11519.64</v>
      </c>
      <c r="AO116" s="593">
        <f t="shared" ca="1" si="64"/>
        <v>11519.64</v>
      </c>
      <c r="AP116" s="593">
        <f t="shared" ca="1" si="64"/>
        <v>11519.64</v>
      </c>
    </row>
    <row r="117" spans="1:42" s="594" customFormat="1" ht="11.25" outlineLevel="1" x14ac:dyDescent="0.2">
      <c r="A117" s="590"/>
      <c r="B117" s="591" t="str">
        <f>IF(D117&lt;&gt;"",
IF(ISERROR(MATCH(D117,'Ist Vorjahr Monat 01'!A:A,0))=FALSE,INDEX('Ist Vorjahr Monat 01'!B:B,MATCH(D117,'Ist Vorjahr Monat 01'!A:A,0)),
IF(ISERROR(MATCH(D117,'Ist Vorjahr Monat 02'!A:A,0))=FALSE,INDEX('Ist Vorjahr Monat 02'!B:B,MATCH(D117,'Ist Vorjahr Monat 02'!A:A,0)),
IF(ISERROR(MATCH(D117,'Ist Vorjahr Monat 03'!A:A,0))=FALSE,INDEX('Ist Vorjahr Monat 03'!B:B,MATCH(D117,'Ist Vorjahr Monat 03'!A:A,0)),
IF(ISERROR(MATCH(D117,'Ist Vorjahr Monat 04'!A:A,0))=FALSE,INDEX('Ist Vorjahr Monat 04'!B:B,MATCH(D117,'Ist Vorjahr Monat 04'!A:A,0)),
IF(ISERROR(MATCH(D117,'Ist Vorjahr Monat 05'!A:A,0))=FALSE,INDEX('Ist Vorjahr Monat 05'!B:B,MATCH(D117,'Ist Vorjahr Monat 05'!A:A,0)),
IF(ISERROR(MATCH(D117,'Ist Vorjahr Monat 06'!A:A,0))=FALSE,INDEX('Ist Vorjahr Monat 06'!B:B,MATCH(D117,'Ist Vorjahr Monat 06'!A:A,0)),
IF(ISERROR(MATCH(D117,'Ist Vorjahr Monat 07'!A:A,0))=FALSE,INDEX('Ist Vorjahr Monat 07'!B:B,MATCH(D117,'Ist Vorjahr Monat 07'!A:A,0)),
IF(ISERROR(MATCH(D117,'Ist Vorjahr Monat 08'!A:A,0))=FALSE,INDEX('Ist Vorjahr Monat 08'!B:B,MATCH(D117,'Ist Vorjahr Monat 08'!A:A,0)),
IF(ISERROR(MATCH(D117,'Ist Vorjahr Monat 09'!A:A,0))=FALSE,INDEX('Ist Vorjahr Monat 09'!B:B,MATCH(D117,'Ist Vorjahr Monat 09'!A:A,0)),
IF(ISERROR(MATCH(D117,'Ist Vorjahr Monat 10'!A:A,0))=FALSE,INDEX('Ist Vorjahr Monat 10'!B:B,MATCH(D117,'Ist Vorjahr Monat 10'!A:A,0)),
IF(ISERROR(MATCH(D117,'Ist Vorjahr Monat 11'!A:A,0))=FALSE,INDEX('Ist Vorjahr Monat 11'!B:B,MATCH(D117,'Ist Vorjahr Monat 11'!A:A,0)),
IF(ISERROR(MATCH(D117,'Ist Vorjahr Monat 12'!A:A,0))=FALSE,INDEX('Ist Vorjahr Monat 12'!B:B,MATCH(D117,'Ist Vorjahr Monat 12'!A:A,0)),
"{Konto unbekannt}"
)))))))))))),"")</f>
        <v/>
      </c>
      <c r="C117" s="591"/>
      <c r="D117" s="590"/>
      <c r="E117" s="592">
        <f t="shared" si="34"/>
        <v>1</v>
      </c>
      <c r="F117" s="590"/>
      <c r="G117" s="593">
        <f ca="1">$E117*(-SUMIF(INDIRECT(G$3),'Struktur Vorjahr'!$D117,INDIRECT(G$4))+SUMIF(INDIRECT(G$3),'Struktur Vorjahr'!$D117,INDIRECT(G$5)))</f>
        <v>0</v>
      </c>
      <c r="H117" s="593">
        <f ca="1">$E117*(-SUMIF(INDIRECT(H$3),'Struktur Vorjahr'!$D117,INDIRECT(H$4))+SUMIF(INDIRECT(H$3),'Struktur Vorjahr'!$D117,INDIRECT(H$5)))</f>
        <v>0</v>
      </c>
      <c r="I117" s="593">
        <f ca="1">$E117*(-SUMIF(INDIRECT(I$3),'Struktur Vorjahr'!$D117,INDIRECT(I$4))+SUMIF(INDIRECT(I$3),'Struktur Vorjahr'!$D117,INDIRECT(I$5)))</f>
        <v>0</v>
      </c>
      <c r="J117" s="593">
        <f ca="1">$E117*(-SUMIF(INDIRECT(J$3),'Struktur Vorjahr'!$D117,INDIRECT(J$4))+SUMIF(INDIRECT(J$3),'Struktur Vorjahr'!$D117,INDIRECT(J$5)))</f>
        <v>0</v>
      </c>
      <c r="K117" s="593">
        <f ca="1">$E117*(-SUMIF(INDIRECT(K$3),'Struktur Vorjahr'!$D117,INDIRECT(K$4))+SUMIF(INDIRECT(K$3),'Struktur Vorjahr'!$D117,INDIRECT(K$5)))</f>
        <v>0</v>
      </c>
      <c r="L117" s="593">
        <f ca="1">$E117*(-SUMIF(INDIRECT(L$3),'Struktur Vorjahr'!$D117,INDIRECT(L$4))+SUMIF(INDIRECT(L$3),'Struktur Vorjahr'!$D117,INDIRECT(L$5)))</f>
        <v>0</v>
      </c>
      <c r="M117" s="593">
        <f ca="1">$E117*(-SUMIF(INDIRECT(M$3),'Struktur Vorjahr'!$D117,INDIRECT(M$4))+SUMIF(INDIRECT(M$3),'Struktur Vorjahr'!$D117,INDIRECT(M$5)))</f>
        <v>0</v>
      </c>
      <c r="N117" s="593">
        <f ca="1">$E117*(-SUMIF(INDIRECT(N$3),'Struktur Vorjahr'!$D117,INDIRECT(N$4))+SUMIF(INDIRECT(N$3),'Struktur Vorjahr'!$D117,INDIRECT(N$5)))</f>
        <v>0</v>
      </c>
      <c r="O117" s="593">
        <f ca="1">$E117*(-SUMIF(INDIRECT(O$3),'Struktur Vorjahr'!$D117,INDIRECT(O$4))+SUMIF(INDIRECT(O$3),'Struktur Vorjahr'!$D117,INDIRECT(O$5)))</f>
        <v>0</v>
      </c>
      <c r="P117" s="593">
        <f ca="1">$E117*(-SUMIF(INDIRECT(P$3),'Struktur Vorjahr'!$D117,INDIRECT(P$4))+SUMIF(INDIRECT(P$3),'Struktur Vorjahr'!$D117,INDIRECT(P$5)))</f>
        <v>0</v>
      </c>
      <c r="Q117" s="593">
        <f ca="1">$E117*(-SUMIF(INDIRECT(Q$3),'Struktur Vorjahr'!$D117,INDIRECT(Q$4))+SUMIF(INDIRECT(Q$3),'Struktur Vorjahr'!$D117,INDIRECT(Q$5)))</f>
        <v>0</v>
      </c>
      <c r="R117" s="593">
        <f ca="1">$E117*(-SUMIF(INDIRECT(R$3),'Struktur Vorjahr'!$D117,INDIRECT(R$4))+SUMIF(INDIRECT(R$3),'Struktur Vorjahr'!$D117,INDIRECT(R$5)))</f>
        <v>0</v>
      </c>
      <c r="S117" s="593">
        <f ca="1">$E117*(-SUMIF(INDIRECT(S$3),'Struktur Vorjahr'!$D117,INDIRECT(S$4))+SUMIF(INDIRECT(S$3),'Struktur Vorjahr'!$D117,INDIRECT(S$5)))</f>
        <v>0</v>
      </c>
      <c r="T117" s="593">
        <f ca="1">$E117*(-SUMIF(INDIRECT(T$3),'Struktur Vorjahr'!$D117,INDIRECT(T$4))+SUMIF(INDIRECT(T$3),'Struktur Vorjahr'!$D117,INDIRECT(T$5)))</f>
        <v>0</v>
      </c>
      <c r="U117" s="593">
        <f ca="1">$E117*(-SUMIF(INDIRECT(U$3),'Struktur Vorjahr'!$D117,INDIRECT(U$4))+SUMIF(INDIRECT(U$3),'Struktur Vorjahr'!$D117,INDIRECT(U$5)))</f>
        <v>0</v>
      </c>
      <c r="V117" s="593">
        <f ca="1">$E117*(-SUMIF(INDIRECT(V$3),'Struktur Vorjahr'!$D117,INDIRECT(V$4))+SUMIF(INDIRECT(V$3),'Struktur Vorjahr'!$D117,INDIRECT(V$5)))</f>
        <v>0</v>
      </c>
      <c r="W117" s="593">
        <f ca="1">$E117*(-SUMIF(INDIRECT(W$3),'Struktur Vorjahr'!$D117,INDIRECT(W$4))+SUMIF(INDIRECT(W$3),'Struktur Vorjahr'!$D117,INDIRECT(W$5)))</f>
        <v>0</v>
      </c>
      <c r="X117" s="593">
        <f ca="1">$E117*(-SUMIF(INDIRECT(X$3),'Struktur Vorjahr'!$D117,INDIRECT(X$4))+SUMIF(INDIRECT(X$3),'Struktur Vorjahr'!$D117,INDIRECT(X$5)))</f>
        <v>0</v>
      </c>
      <c r="Y117" s="593">
        <f ca="1">$E117*(-SUMIF(INDIRECT(Y$3),'Struktur Vorjahr'!$D117,INDIRECT(Y$4))+SUMIF(INDIRECT(Y$3),'Struktur Vorjahr'!$D117,INDIRECT(Y$5)))</f>
        <v>0</v>
      </c>
      <c r="Z117" s="593">
        <f ca="1">$E117*(-SUMIF(INDIRECT(Z$3),'Struktur Vorjahr'!$D117,INDIRECT(Z$4))+SUMIF(INDIRECT(Z$3),'Struktur Vorjahr'!$D117,INDIRECT(Z$5)))</f>
        <v>0</v>
      </c>
      <c r="AA117" s="593">
        <f ca="1">$E117*(-SUMIF(INDIRECT(AA$3),'Struktur Vorjahr'!$D117,INDIRECT(AA$4))+SUMIF(INDIRECT(AA$3),'Struktur Vorjahr'!$D117,INDIRECT(AA$5)))</f>
        <v>0</v>
      </c>
      <c r="AB117" s="593">
        <f ca="1">$E117*(-SUMIF(INDIRECT(AB$3),'Struktur Vorjahr'!$D117,INDIRECT(AB$4))+SUMIF(INDIRECT(AB$3),'Struktur Vorjahr'!$D117,INDIRECT(AB$5)))</f>
        <v>0</v>
      </c>
      <c r="AC117" s="593">
        <f ca="1">$E117*(-SUMIF(INDIRECT(AC$3),'Struktur Vorjahr'!$D117,INDIRECT(AC$4))+SUMIF(INDIRECT(AC$3),'Struktur Vorjahr'!$D117,INDIRECT(AC$5)))</f>
        <v>0</v>
      </c>
      <c r="AD117" s="593">
        <f ca="1">$E117*(-SUMIF(INDIRECT(AD$3),'Struktur Vorjahr'!$D117,INDIRECT(AD$4))+SUMIF(INDIRECT(AD$3),'Struktur Vorjahr'!$D117,INDIRECT(AD$5)))</f>
        <v>0</v>
      </c>
      <c r="AE117" s="593">
        <f t="shared" ca="1" si="63"/>
        <v>0</v>
      </c>
      <c r="AF117" s="593">
        <f t="shared" ca="1" si="64"/>
        <v>0</v>
      </c>
      <c r="AG117" s="593">
        <f t="shared" ca="1" si="64"/>
        <v>0</v>
      </c>
      <c r="AH117" s="593">
        <f t="shared" ca="1" si="64"/>
        <v>0</v>
      </c>
      <c r="AI117" s="593">
        <f t="shared" ca="1" si="64"/>
        <v>0</v>
      </c>
      <c r="AJ117" s="593">
        <f t="shared" ca="1" si="64"/>
        <v>0</v>
      </c>
      <c r="AK117" s="593">
        <f t="shared" ca="1" si="64"/>
        <v>0</v>
      </c>
      <c r="AL117" s="593">
        <f t="shared" ca="1" si="64"/>
        <v>0</v>
      </c>
      <c r="AM117" s="593">
        <f t="shared" ca="1" si="64"/>
        <v>0</v>
      </c>
      <c r="AN117" s="593">
        <f t="shared" ca="1" si="64"/>
        <v>0</v>
      </c>
      <c r="AO117" s="593">
        <f t="shared" ca="1" si="64"/>
        <v>0</v>
      </c>
      <c r="AP117" s="593">
        <f t="shared" ca="1" si="64"/>
        <v>0</v>
      </c>
    </row>
    <row r="118" spans="1:42" s="594" customFormat="1" ht="11.25" outlineLevel="1" x14ac:dyDescent="0.2">
      <c r="A118" s="590"/>
      <c r="B118" s="591" t="str">
        <f>IF(D118&lt;&gt;"",
IF(ISERROR(MATCH(D118,'Ist Vorjahr Monat 01'!A:A,0))=FALSE,INDEX('Ist Vorjahr Monat 01'!B:B,MATCH(D118,'Ist Vorjahr Monat 01'!A:A,0)),
IF(ISERROR(MATCH(D118,'Ist Vorjahr Monat 02'!A:A,0))=FALSE,INDEX('Ist Vorjahr Monat 02'!B:B,MATCH(D118,'Ist Vorjahr Monat 02'!A:A,0)),
IF(ISERROR(MATCH(D118,'Ist Vorjahr Monat 03'!A:A,0))=FALSE,INDEX('Ist Vorjahr Monat 03'!B:B,MATCH(D118,'Ist Vorjahr Monat 03'!A:A,0)),
IF(ISERROR(MATCH(D118,'Ist Vorjahr Monat 04'!A:A,0))=FALSE,INDEX('Ist Vorjahr Monat 04'!B:B,MATCH(D118,'Ist Vorjahr Monat 04'!A:A,0)),
IF(ISERROR(MATCH(D118,'Ist Vorjahr Monat 05'!A:A,0))=FALSE,INDEX('Ist Vorjahr Monat 05'!B:B,MATCH(D118,'Ist Vorjahr Monat 05'!A:A,0)),
IF(ISERROR(MATCH(D118,'Ist Vorjahr Monat 06'!A:A,0))=FALSE,INDEX('Ist Vorjahr Monat 06'!B:B,MATCH(D118,'Ist Vorjahr Monat 06'!A:A,0)),
IF(ISERROR(MATCH(D118,'Ist Vorjahr Monat 07'!A:A,0))=FALSE,INDEX('Ist Vorjahr Monat 07'!B:B,MATCH(D118,'Ist Vorjahr Monat 07'!A:A,0)),
IF(ISERROR(MATCH(D118,'Ist Vorjahr Monat 08'!A:A,0))=FALSE,INDEX('Ist Vorjahr Monat 08'!B:B,MATCH(D118,'Ist Vorjahr Monat 08'!A:A,0)),
IF(ISERROR(MATCH(D118,'Ist Vorjahr Monat 09'!A:A,0))=FALSE,INDEX('Ist Vorjahr Monat 09'!B:B,MATCH(D118,'Ist Vorjahr Monat 09'!A:A,0)),
IF(ISERROR(MATCH(D118,'Ist Vorjahr Monat 10'!A:A,0))=FALSE,INDEX('Ist Vorjahr Monat 10'!B:B,MATCH(D118,'Ist Vorjahr Monat 10'!A:A,0)),
IF(ISERROR(MATCH(D118,'Ist Vorjahr Monat 11'!A:A,0))=FALSE,INDEX('Ist Vorjahr Monat 11'!B:B,MATCH(D118,'Ist Vorjahr Monat 11'!A:A,0)),
IF(ISERROR(MATCH(D118,'Ist Vorjahr Monat 12'!A:A,0))=FALSE,INDEX('Ist Vorjahr Monat 12'!B:B,MATCH(D118,'Ist Vorjahr Monat 12'!A:A,0)),
"{Konto unbekannt}"
)))))))))))),"")</f>
        <v/>
      </c>
      <c r="C118" s="591"/>
      <c r="D118" s="590"/>
      <c r="E118" s="592">
        <f t="shared" si="34"/>
        <v>1</v>
      </c>
      <c r="F118" s="590"/>
      <c r="G118" s="593">
        <f ca="1">$E118*(-SUMIF(INDIRECT(G$3),'Struktur Vorjahr'!$D118,INDIRECT(G$4))+SUMIF(INDIRECT(G$3),'Struktur Vorjahr'!$D118,INDIRECT(G$5)))</f>
        <v>0</v>
      </c>
      <c r="H118" s="593">
        <f ca="1">$E118*(-SUMIF(INDIRECT(H$3),'Struktur Vorjahr'!$D118,INDIRECT(H$4))+SUMIF(INDIRECT(H$3),'Struktur Vorjahr'!$D118,INDIRECT(H$5)))</f>
        <v>0</v>
      </c>
      <c r="I118" s="593">
        <f ca="1">$E118*(-SUMIF(INDIRECT(I$3),'Struktur Vorjahr'!$D118,INDIRECT(I$4))+SUMIF(INDIRECT(I$3),'Struktur Vorjahr'!$D118,INDIRECT(I$5)))</f>
        <v>0</v>
      </c>
      <c r="J118" s="593">
        <f ca="1">$E118*(-SUMIF(INDIRECT(J$3),'Struktur Vorjahr'!$D118,INDIRECT(J$4))+SUMIF(INDIRECT(J$3),'Struktur Vorjahr'!$D118,INDIRECT(J$5)))</f>
        <v>0</v>
      </c>
      <c r="K118" s="593">
        <f ca="1">$E118*(-SUMIF(INDIRECT(K$3),'Struktur Vorjahr'!$D118,INDIRECT(K$4))+SUMIF(INDIRECT(K$3),'Struktur Vorjahr'!$D118,INDIRECT(K$5)))</f>
        <v>0</v>
      </c>
      <c r="L118" s="593">
        <f ca="1">$E118*(-SUMIF(INDIRECT(L$3),'Struktur Vorjahr'!$D118,INDIRECT(L$4))+SUMIF(INDIRECT(L$3),'Struktur Vorjahr'!$D118,INDIRECT(L$5)))</f>
        <v>0</v>
      </c>
      <c r="M118" s="593">
        <f ca="1">$E118*(-SUMIF(INDIRECT(M$3),'Struktur Vorjahr'!$D118,INDIRECT(M$4))+SUMIF(INDIRECT(M$3),'Struktur Vorjahr'!$D118,INDIRECT(M$5)))</f>
        <v>0</v>
      </c>
      <c r="N118" s="593">
        <f ca="1">$E118*(-SUMIF(INDIRECT(N$3),'Struktur Vorjahr'!$D118,INDIRECT(N$4))+SUMIF(INDIRECT(N$3),'Struktur Vorjahr'!$D118,INDIRECT(N$5)))</f>
        <v>0</v>
      </c>
      <c r="O118" s="593">
        <f ca="1">$E118*(-SUMIF(INDIRECT(O$3),'Struktur Vorjahr'!$D118,INDIRECT(O$4))+SUMIF(INDIRECT(O$3),'Struktur Vorjahr'!$D118,INDIRECT(O$5)))</f>
        <v>0</v>
      </c>
      <c r="P118" s="593">
        <f ca="1">$E118*(-SUMIF(INDIRECT(P$3),'Struktur Vorjahr'!$D118,INDIRECT(P$4))+SUMIF(INDIRECT(P$3),'Struktur Vorjahr'!$D118,INDIRECT(P$5)))</f>
        <v>0</v>
      </c>
      <c r="Q118" s="593">
        <f ca="1">$E118*(-SUMIF(INDIRECT(Q$3),'Struktur Vorjahr'!$D118,INDIRECT(Q$4))+SUMIF(INDIRECT(Q$3),'Struktur Vorjahr'!$D118,INDIRECT(Q$5)))</f>
        <v>0</v>
      </c>
      <c r="R118" s="593">
        <f ca="1">$E118*(-SUMIF(INDIRECT(R$3),'Struktur Vorjahr'!$D118,INDIRECT(R$4))+SUMIF(INDIRECT(R$3),'Struktur Vorjahr'!$D118,INDIRECT(R$5)))</f>
        <v>0</v>
      </c>
      <c r="S118" s="593">
        <f ca="1">$E118*(-SUMIF(INDIRECT(S$3),'Struktur Vorjahr'!$D118,INDIRECT(S$4))+SUMIF(INDIRECT(S$3),'Struktur Vorjahr'!$D118,INDIRECT(S$5)))</f>
        <v>0</v>
      </c>
      <c r="T118" s="593">
        <f ca="1">$E118*(-SUMIF(INDIRECT(T$3),'Struktur Vorjahr'!$D118,INDIRECT(T$4))+SUMIF(INDIRECT(T$3),'Struktur Vorjahr'!$D118,INDIRECT(T$5)))</f>
        <v>0</v>
      </c>
      <c r="U118" s="593">
        <f ca="1">$E118*(-SUMIF(INDIRECT(U$3),'Struktur Vorjahr'!$D118,INDIRECT(U$4))+SUMIF(INDIRECT(U$3),'Struktur Vorjahr'!$D118,INDIRECT(U$5)))</f>
        <v>0</v>
      </c>
      <c r="V118" s="593">
        <f ca="1">$E118*(-SUMIF(INDIRECT(V$3),'Struktur Vorjahr'!$D118,INDIRECT(V$4))+SUMIF(INDIRECT(V$3),'Struktur Vorjahr'!$D118,INDIRECT(V$5)))</f>
        <v>0</v>
      </c>
      <c r="W118" s="593">
        <f ca="1">$E118*(-SUMIF(INDIRECT(W$3),'Struktur Vorjahr'!$D118,INDIRECT(W$4))+SUMIF(INDIRECT(W$3),'Struktur Vorjahr'!$D118,INDIRECT(W$5)))</f>
        <v>0</v>
      </c>
      <c r="X118" s="593">
        <f ca="1">$E118*(-SUMIF(INDIRECT(X$3),'Struktur Vorjahr'!$D118,INDIRECT(X$4))+SUMIF(INDIRECT(X$3),'Struktur Vorjahr'!$D118,INDIRECT(X$5)))</f>
        <v>0</v>
      </c>
      <c r="Y118" s="593">
        <f ca="1">$E118*(-SUMIF(INDIRECT(Y$3),'Struktur Vorjahr'!$D118,INDIRECT(Y$4))+SUMIF(INDIRECT(Y$3),'Struktur Vorjahr'!$D118,INDIRECT(Y$5)))</f>
        <v>0</v>
      </c>
      <c r="Z118" s="593">
        <f ca="1">$E118*(-SUMIF(INDIRECT(Z$3),'Struktur Vorjahr'!$D118,INDIRECT(Z$4))+SUMIF(INDIRECT(Z$3),'Struktur Vorjahr'!$D118,INDIRECT(Z$5)))</f>
        <v>0</v>
      </c>
      <c r="AA118" s="593">
        <f ca="1">$E118*(-SUMIF(INDIRECT(AA$3),'Struktur Vorjahr'!$D118,INDIRECT(AA$4))+SUMIF(INDIRECT(AA$3),'Struktur Vorjahr'!$D118,INDIRECT(AA$5)))</f>
        <v>0</v>
      </c>
      <c r="AB118" s="593">
        <f ca="1">$E118*(-SUMIF(INDIRECT(AB$3),'Struktur Vorjahr'!$D118,INDIRECT(AB$4))+SUMIF(INDIRECT(AB$3),'Struktur Vorjahr'!$D118,INDIRECT(AB$5)))</f>
        <v>0</v>
      </c>
      <c r="AC118" s="593">
        <f ca="1">$E118*(-SUMIF(INDIRECT(AC$3),'Struktur Vorjahr'!$D118,INDIRECT(AC$4))+SUMIF(INDIRECT(AC$3),'Struktur Vorjahr'!$D118,INDIRECT(AC$5)))</f>
        <v>0</v>
      </c>
      <c r="AD118" s="593">
        <f ca="1">$E118*(-SUMIF(INDIRECT(AD$3),'Struktur Vorjahr'!$D118,INDIRECT(AD$4))+SUMIF(INDIRECT(AD$3),'Struktur Vorjahr'!$D118,INDIRECT(AD$5)))</f>
        <v>0</v>
      </c>
      <c r="AE118" s="593">
        <f t="shared" ca="1" si="63"/>
        <v>0</v>
      </c>
      <c r="AF118" s="593">
        <f t="shared" ca="1" si="64"/>
        <v>0</v>
      </c>
      <c r="AG118" s="593">
        <f t="shared" ca="1" si="64"/>
        <v>0</v>
      </c>
      <c r="AH118" s="593">
        <f t="shared" ca="1" si="64"/>
        <v>0</v>
      </c>
      <c r="AI118" s="593">
        <f t="shared" ca="1" si="64"/>
        <v>0</v>
      </c>
      <c r="AJ118" s="593">
        <f t="shared" ca="1" si="64"/>
        <v>0</v>
      </c>
      <c r="AK118" s="593">
        <f t="shared" ca="1" si="64"/>
        <v>0</v>
      </c>
      <c r="AL118" s="593">
        <f t="shared" ca="1" si="64"/>
        <v>0</v>
      </c>
      <c r="AM118" s="593">
        <f t="shared" ca="1" si="64"/>
        <v>0</v>
      </c>
      <c r="AN118" s="593">
        <f t="shared" ca="1" si="64"/>
        <v>0</v>
      </c>
      <c r="AO118" s="593">
        <f t="shared" ca="1" si="64"/>
        <v>0</v>
      </c>
      <c r="AP118" s="593">
        <f t="shared" ca="1" si="64"/>
        <v>0</v>
      </c>
    </row>
    <row r="119" spans="1:42" s="594" customFormat="1" ht="11.25" outlineLevel="1" x14ac:dyDescent="0.2">
      <c r="A119" s="590"/>
      <c r="B119" s="591" t="str">
        <f>IF(D119&lt;&gt;"",
IF(ISERROR(MATCH(D119,'Ist Vorjahr Monat 01'!A:A,0))=FALSE,INDEX('Ist Vorjahr Monat 01'!B:B,MATCH(D119,'Ist Vorjahr Monat 01'!A:A,0)),
IF(ISERROR(MATCH(D119,'Ist Vorjahr Monat 02'!A:A,0))=FALSE,INDEX('Ist Vorjahr Monat 02'!B:B,MATCH(D119,'Ist Vorjahr Monat 02'!A:A,0)),
IF(ISERROR(MATCH(D119,'Ist Vorjahr Monat 03'!A:A,0))=FALSE,INDEX('Ist Vorjahr Monat 03'!B:B,MATCH(D119,'Ist Vorjahr Monat 03'!A:A,0)),
IF(ISERROR(MATCH(D119,'Ist Vorjahr Monat 04'!A:A,0))=FALSE,INDEX('Ist Vorjahr Monat 04'!B:B,MATCH(D119,'Ist Vorjahr Monat 04'!A:A,0)),
IF(ISERROR(MATCH(D119,'Ist Vorjahr Monat 05'!A:A,0))=FALSE,INDEX('Ist Vorjahr Monat 05'!B:B,MATCH(D119,'Ist Vorjahr Monat 05'!A:A,0)),
IF(ISERROR(MATCH(D119,'Ist Vorjahr Monat 06'!A:A,0))=FALSE,INDEX('Ist Vorjahr Monat 06'!B:B,MATCH(D119,'Ist Vorjahr Monat 06'!A:A,0)),
IF(ISERROR(MATCH(D119,'Ist Vorjahr Monat 07'!A:A,0))=FALSE,INDEX('Ist Vorjahr Monat 07'!B:B,MATCH(D119,'Ist Vorjahr Monat 07'!A:A,0)),
IF(ISERROR(MATCH(D119,'Ist Vorjahr Monat 08'!A:A,0))=FALSE,INDEX('Ist Vorjahr Monat 08'!B:B,MATCH(D119,'Ist Vorjahr Monat 08'!A:A,0)),
IF(ISERROR(MATCH(D119,'Ist Vorjahr Monat 09'!A:A,0))=FALSE,INDEX('Ist Vorjahr Monat 09'!B:B,MATCH(D119,'Ist Vorjahr Monat 09'!A:A,0)),
IF(ISERROR(MATCH(D119,'Ist Vorjahr Monat 10'!A:A,0))=FALSE,INDEX('Ist Vorjahr Monat 10'!B:B,MATCH(D119,'Ist Vorjahr Monat 10'!A:A,0)),
IF(ISERROR(MATCH(D119,'Ist Vorjahr Monat 11'!A:A,0))=FALSE,INDEX('Ist Vorjahr Monat 11'!B:B,MATCH(D119,'Ist Vorjahr Monat 11'!A:A,0)),
IF(ISERROR(MATCH(D119,'Ist Vorjahr Monat 12'!A:A,0))=FALSE,INDEX('Ist Vorjahr Monat 12'!B:B,MATCH(D119,'Ist Vorjahr Monat 12'!A:A,0)),
"{Konto unbekannt}"
)))))))))))),"")</f>
        <v/>
      </c>
      <c r="C119" s="591"/>
      <c r="D119" s="590"/>
      <c r="E119" s="592">
        <f t="shared" si="34"/>
        <v>1</v>
      </c>
      <c r="F119" s="590"/>
      <c r="G119" s="593">
        <f ca="1">$E119*(-SUMIF(INDIRECT(G$3),'Struktur Vorjahr'!$D119,INDIRECT(G$4))+SUMIF(INDIRECT(G$3),'Struktur Vorjahr'!$D119,INDIRECT(G$5)))</f>
        <v>0</v>
      </c>
      <c r="H119" s="593">
        <f ca="1">$E119*(-SUMIF(INDIRECT(H$3),'Struktur Vorjahr'!$D119,INDIRECT(H$4))+SUMIF(INDIRECT(H$3),'Struktur Vorjahr'!$D119,INDIRECT(H$5)))</f>
        <v>0</v>
      </c>
      <c r="I119" s="593">
        <f ca="1">$E119*(-SUMIF(INDIRECT(I$3),'Struktur Vorjahr'!$D119,INDIRECT(I$4))+SUMIF(INDIRECT(I$3),'Struktur Vorjahr'!$D119,INDIRECT(I$5)))</f>
        <v>0</v>
      </c>
      <c r="J119" s="593">
        <f ca="1">$E119*(-SUMIF(INDIRECT(J$3),'Struktur Vorjahr'!$D119,INDIRECT(J$4))+SUMIF(INDIRECT(J$3),'Struktur Vorjahr'!$D119,INDIRECT(J$5)))</f>
        <v>0</v>
      </c>
      <c r="K119" s="593">
        <f ca="1">$E119*(-SUMIF(INDIRECT(K$3),'Struktur Vorjahr'!$D119,INDIRECT(K$4))+SUMIF(INDIRECT(K$3),'Struktur Vorjahr'!$D119,INDIRECT(K$5)))</f>
        <v>0</v>
      </c>
      <c r="L119" s="593">
        <f ca="1">$E119*(-SUMIF(INDIRECT(L$3),'Struktur Vorjahr'!$D119,INDIRECT(L$4))+SUMIF(INDIRECT(L$3),'Struktur Vorjahr'!$D119,INDIRECT(L$5)))</f>
        <v>0</v>
      </c>
      <c r="M119" s="593">
        <f ca="1">$E119*(-SUMIF(INDIRECT(M$3),'Struktur Vorjahr'!$D119,INDIRECT(M$4))+SUMIF(INDIRECT(M$3),'Struktur Vorjahr'!$D119,INDIRECT(M$5)))</f>
        <v>0</v>
      </c>
      <c r="N119" s="593">
        <f ca="1">$E119*(-SUMIF(INDIRECT(N$3),'Struktur Vorjahr'!$D119,INDIRECT(N$4))+SUMIF(INDIRECT(N$3),'Struktur Vorjahr'!$D119,INDIRECT(N$5)))</f>
        <v>0</v>
      </c>
      <c r="O119" s="593">
        <f ca="1">$E119*(-SUMIF(INDIRECT(O$3),'Struktur Vorjahr'!$D119,INDIRECT(O$4))+SUMIF(INDIRECT(O$3),'Struktur Vorjahr'!$D119,INDIRECT(O$5)))</f>
        <v>0</v>
      </c>
      <c r="P119" s="593">
        <f ca="1">$E119*(-SUMIF(INDIRECT(P$3),'Struktur Vorjahr'!$D119,INDIRECT(P$4))+SUMIF(INDIRECT(P$3),'Struktur Vorjahr'!$D119,INDIRECT(P$5)))</f>
        <v>0</v>
      </c>
      <c r="Q119" s="593">
        <f ca="1">$E119*(-SUMIF(INDIRECT(Q$3),'Struktur Vorjahr'!$D119,INDIRECT(Q$4))+SUMIF(INDIRECT(Q$3),'Struktur Vorjahr'!$D119,INDIRECT(Q$5)))</f>
        <v>0</v>
      </c>
      <c r="R119" s="593">
        <f ca="1">$E119*(-SUMIF(INDIRECT(R$3),'Struktur Vorjahr'!$D119,INDIRECT(R$4))+SUMIF(INDIRECT(R$3),'Struktur Vorjahr'!$D119,INDIRECT(R$5)))</f>
        <v>0</v>
      </c>
      <c r="S119" s="593">
        <f ca="1">$E119*(-SUMIF(INDIRECT(S$3),'Struktur Vorjahr'!$D119,INDIRECT(S$4))+SUMIF(INDIRECT(S$3),'Struktur Vorjahr'!$D119,INDIRECT(S$5)))</f>
        <v>0</v>
      </c>
      <c r="T119" s="593">
        <f ca="1">$E119*(-SUMIF(INDIRECT(T$3),'Struktur Vorjahr'!$D119,INDIRECT(T$4))+SUMIF(INDIRECT(T$3),'Struktur Vorjahr'!$D119,INDIRECT(T$5)))</f>
        <v>0</v>
      </c>
      <c r="U119" s="593">
        <f ca="1">$E119*(-SUMIF(INDIRECT(U$3),'Struktur Vorjahr'!$D119,INDIRECT(U$4))+SUMIF(INDIRECT(U$3),'Struktur Vorjahr'!$D119,INDIRECT(U$5)))</f>
        <v>0</v>
      </c>
      <c r="V119" s="593">
        <f ca="1">$E119*(-SUMIF(INDIRECT(V$3),'Struktur Vorjahr'!$D119,INDIRECT(V$4))+SUMIF(INDIRECT(V$3),'Struktur Vorjahr'!$D119,INDIRECT(V$5)))</f>
        <v>0</v>
      </c>
      <c r="W119" s="593">
        <f ca="1">$E119*(-SUMIF(INDIRECT(W$3),'Struktur Vorjahr'!$D119,INDIRECT(W$4))+SUMIF(INDIRECT(W$3),'Struktur Vorjahr'!$D119,INDIRECT(W$5)))</f>
        <v>0</v>
      </c>
      <c r="X119" s="593">
        <f ca="1">$E119*(-SUMIF(INDIRECT(X$3),'Struktur Vorjahr'!$D119,INDIRECT(X$4))+SUMIF(INDIRECT(X$3),'Struktur Vorjahr'!$D119,INDIRECT(X$5)))</f>
        <v>0</v>
      </c>
      <c r="Y119" s="593">
        <f ca="1">$E119*(-SUMIF(INDIRECT(Y$3),'Struktur Vorjahr'!$D119,INDIRECT(Y$4))+SUMIF(INDIRECT(Y$3),'Struktur Vorjahr'!$D119,INDIRECT(Y$5)))</f>
        <v>0</v>
      </c>
      <c r="Z119" s="593">
        <f ca="1">$E119*(-SUMIF(INDIRECT(Z$3),'Struktur Vorjahr'!$D119,INDIRECT(Z$4))+SUMIF(INDIRECT(Z$3),'Struktur Vorjahr'!$D119,INDIRECT(Z$5)))</f>
        <v>0</v>
      </c>
      <c r="AA119" s="593">
        <f ca="1">$E119*(-SUMIF(INDIRECT(AA$3),'Struktur Vorjahr'!$D119,INDIRECT(AA$4))+SUMIF(INDIRECT(AA$3),'Struktur Vorjahr'!$D119,INDIRECT(AA$5)))</f>
        <v>0</v>
      </c>
      <c r="AB119" s="593">
        <f ca="1">$E119*(-SUMIF(INDIRECT(AB$3),'Struktur Vorjahr'!$D119,INDIRECT(AB$4))+SUMIF(INDIRECT(AB$3),'Struktur Vorjahr'!$D119,INDIRECT(AB$5)))</f>
        <v>0</v>
      </c>
      <c r="AC119" s="593">
        <f ca="1">$E119*(-SUMIF(INDIRECT(AC$3),'Struktur Vorjahr'!$D119,INDIRECT(AC$4))+SUMIF(INDIRECT(AC$3),'Struktur Vorjahr'!$D119,INDIRECT(AC$5)))</f>
        <v>0</v>
      </c>
      <c r="AD119" s="593">
        <f ca="1">$E119*(-SUMIF(INDIRECT(AD$3),'Struktur Vorjahr'!$D119,INDIRECT(AD$4))+SUMIF(INDIRECT(AD$3),'Struktur Vorjahr'!$D119,INDIRECT(AD$5)))</f>
        <v>0</v>
      </c>
      <c r="AE119" s="593">
        <f t="shared" ca="1" si="63"/>
        <v>0</v>
      </c>
      <c r="AF119" s="593">
        <f t="shared" ca="1" si="64"/>
        <v>0</v>
      </c>
      <c r="AG119" s="593">
        <f t="shared" ca="1" si="64"/>
        <v>0</v>
      </c>
      <c r="AH119" s="593">
        <f t="shared" ca="1" si="64"/>
        <v>0</v>
      </c>
      <c r="AI119" s="593">
        <f t="shared" ca="1" si="64"/>
        <v>0</v>
      </c>
      <c r="AJ119" s="593">
        <f t="shared" ca="1" si="64"/>
        <v>0</v>
      </c>
      <c r="AK119" s="593">
        <f t="shared" ca="1" si="64"/>
        <v>0</v>
      </c>
      <c r="AL119" s="593">
        <f t="shared" ca="1" si="64"/>
        <v>0</v>
      </c>
      <c r="AM119" s="593">
        <f t="shared" ca="1" si="64"/>
        <v>0</v>
      </c>
      <c r="AN119" s="593">
        <f t="shared" ca="1" si="64"/>
        <v>0</v>
      </c>
      <c r="AO119" s="593">
        <f t="shared" ca="1" si="64"/>
        <v>0</v>
      </c>
      <c r="AP119" s="593">
        <f t="shared" ca="1" si="64"/>
        <v>0</v>
      </c>
    </row>
    <row r="120" spans="1:42" s="594" customFormat="1" ht="11.25" outlineLevel="1" x14ac:dyDescent="0.2">
      <c r="A120" s="590"/>
      <c r="B120" s="591" t="str">
        <f>IF(D120&lt;&gt;"",
IF(ISERROR(MATCH(D120,'Ist Vorjahr Monat 01'!A:A,0))=FALSE,INDEX('Ist Vorjahr Monat 01'!B:B,MATCH(D120,'Ist Vorjahr Monat 01'!A:A,0)),
IF(ISERROR(MATCH(D120,'Ist Vorjahr Monat 02'!A:A,0))=FALSE,INDEX('Ist Vorjahr Monat 02'!B:B,MATCH(D120,'Ist Vorjahr Monat 02'!A:A,0)),
IF(ISERROR(MATCH(D120,'Ist Vorjahr Monat 03'!A:A,0))=FALSE,INDEX('Ist Vorjahr Monat 03'!B:B,MATCH(D120,'Ist Vorjahr Monat 03'!A:A,0)),
IF(ISERROR(MATCH(D120,'Ist Vorjahr Monat 04'!A:A,0))=FALSE,INDEX('Ist Vorjahr Monat 04'!B:B,MATCH(D120,'Ist Vorjahr Monat 04'!A:A,0)),
IF(ISERROR(MATCH(D120,'Ist Vorjahr Monat 05'!A:A,0))=FALSE,INDEX('Ist Vorjahr Monat 05'!B:B,MATCH(D120,'Ist Vorjahr Monat 05'!A:A,0)),
IF(ISERROR(MATCH(D120,'Ist Vorjahr Monat 06'!A:A,0))=FALSE,INDEX('Ist Vorjahr Monat 06'!B:B,MATCH(D120,'Ist Vorjahr Monat 06'!A:A,0)),
IF(ISERROR(MATCH(D120,'Ist Vorjahr Monat 07'!A:A,0))=FALSE,INDEX('Ist Vorjahr Monat 07'!B:B,MATCH(D120,'Ist Vorjahr Monat 07'!A:A,0)),
IF(ISERROR(MATCH(D120,'Ist Vorjahr Monat 08'!A:A,0))=FALSE,INDEX('Ist Vorjahr Monat 08'!B:B,MATCH(D120,'Ist Vorjahr Monat 08'!A:A,0)),
IF(ISERROR(MATCH(D120,'Ist Vorjahr Monat 09'!A:A,0))=FALSE,INDEX('Ist Vorjahr Monat 09'!B:B,MATCH(D120,'Ist Vorjahr Monat 09'!A:A,0)),
IF(ISERROR(MATCH(D120,'Ist Vorjahr Monat 10'!A:A,0))=FALSE,INDEX('Ist Vorjahr Monat 10'!B:B,MATCH(D120,'Ist Vorjahr Monat 10'!A:A,0)),
IF(ISERROR(MATCH(D120,'Ist Vorjahr Monat 11'!A:A,0))=FALSE,INDEX('Ist Vorjahr Monat 11'!B:B,MATCH(D120,'Ist Vorjahr Monat 11'!A:A,0)),
IF(ISERROR(MATCH(D120,'Ist Vorjahr Monat 12'!A:A,0))=FALSE,INDEX('Ist Vorjahr Monat 12'!B:B,MATCH(D120,'Ist Vorjahr Monat 12'!A:A,0)),
"{Konto unbekannt}"
)))))))))))),"")</f>
        <v/>
      </c>
      <c r="C120" s="591"/>
      <c r="D120" s="590"/>
      <c r="E120" s="592">
        <f t="shared" si="34"/>
        <v>1</v>
      </c>
      <c r="F120" s="590"/>
      <c r="G120" s="593">
        <f ca="1">$E120*(-SUMIF(INDIRECT(G$3),'Struktur Vorjahr'!$D120,INDIRECT(G$4))+SUMIF(INDIRECT(G$3),'Struktur Vorjahr'!$D120,INDIRECT(G$5)))</f>
        <v>0</v>
      </c>
      <c r="H120" s="593">
        <f ca="1">$E120*(-SUMIF(INDIRECT(H$3),'Struktur Vorjahr'!$D120,INDIRECT(H$4))+SUMIF(INDIRECT(H$3),'Struktur Vorjahr'!$D120,INDIRECT(H$5)))</f>
        <v>0</v>
      </c>
      <c r="I120" s="593">
        <f ca="1">$E120*(-SUMIF(INDIRECT(I$3),'Struktur Vorjahr'!$D120,INDIRECT(I$4))+SUMIF(INDIRECT(I$3),'Struktur Vorjahr'!$D120,INDIRECT(I$5)))</f>
        <v>0</v>
      </c>
      <c r="J120" s="593">
        <f ca="1">$E120*(-SUMIF(INDIRECT(J$3),'Struktur Vorjahr'!$D120,INDIRECT(J$4))+SUMIF(INDIRECT(J$3),'Struktur Vorjahr'!$D120,INDIRECT(J$5)))</f>
        <v>0</v>
      </c>
      <c r="K120" s="593">
        <f ca="1">$E120*(-SUMIF(INDIRECT(K$3),'Struktur Vorjahr'!$D120,INDIRECT(K$4))+SUMIF(INDIRECT(K$3),'Struktur Vorjahr'!$D120,INDIRECT(K$5)))</f>
        <v>0</v>
      </c>
      <c r="L120" s="593">
        <f ca="1">$E120*(-SUMIF(INDIRECT(L$3),'Struktur Vorjahr'!$D120,INDIRECT(L$4))+SUMIF(INDIRECT(L$3),'Struktur Vorjahr'!$D120,INDIRECT(L$5)))</f>
        <v>0</v>
      </c>
      <c r="M120" s="593">
        <f ca="1">$E120*(-SUMIF(INDIRECT(M$3),'Struktur Vorjahr'!$D120,INDIRECT(M$4))+SUMIF(INDIRECT(M$3),'Struktur Vorjahr'!$D120,INDIRECT(M$5)))</f>
        <v>0</v>
      </c>
      <c r="N120" s="593">
        <f ca="1">$E120*(-SUMIF(INDIRECT(N$3),'Struktur Vorjahr'!$D120,INDIRECT(N$4))+SUMIF(INDIRECT(N$3),'Struktur Vorjahr'!$D120,INDIRECT(N$5)))</f>
        <v>0</v>
      </c>
      <c r="O120" s="593">
        <f ca="1">$E120*(-SUMIF(INDIRECT(O$3),'Struktur Vorjahr'!$D120,INDIRECT(O$4))+SUMIF(INDIRECT(O$3),'Struktur Vorjahr'!$D120,INDIRECT(O$5)))</f>
        <v>0</v>
      </c>
      <c r="P120" s="593">
        <f ca="1">$E120*(-SUMIF(INDIRECT(P$3),'Struktur Vorjahr'!$D120,INDIRECT(P$4))+SUMIF(INDIRECT(P$3),'Struktur Vorjahr'!$D120,INDIRECT(P$5)))</f>
        <v>0</v>
      </c>
      <c r="Q120" s="593">
        <f ca="1">$E120*(-SUMIF(INDIRECT(Q$3),'Struktur Vorjahr'!$D120,INDIRECT(Q$4))+SUMIF(INDIRECT(Q$3),'Struktur Vorjahr'!$D120,INDIRECT(Q$5)))</f>
        <v>0</v>
      </c>
      <c r="R120" s="593">
        <f ca="1">$E120*(-SUMIF(INDIRECT(R$3),'Struktur Vorjahr'!$D120,INDIRECT(R$4))+SUMIF(INDIRECT(R$3),'Struktur Vorjahr'!$D120,INDIRECT(R$5)))</f>
        <v>0</v>
      </c>
      <c r="S120" s="593">
        <f ca="1">$E120*(-SUMIF(INDIRECT(S$3),'Struktur Vorjahr'!$D120,INDIRECT(S$4))+SUMIF(INDIRECT(S$3),'Struktur Vorjahr'!$D120,INDIRECT(S$5)))</f>
        <v>0</v>
      </c>
      <c r="T120" s="593">
        <f ca="1">$E120*(-SUMIF(INDIRECT(T$3),'Struktur Vorjahr'!$D120,INDIRECT(T$4))+SUMIF(INDIRECT(T$3),'Struktur Vorjahr'!$D120,INDIRECT(T$5)))</f>
        <v>0</v>
      </c>
      <c r="U120" s="593">
        <f ca="1">$E120*(-SUMIF(INDIRECT(U$3),'Struktur Vorjahr'!$D120,INDIRECT(U$4))+SUMIF(INDIRECT(U$3),'Struktur Vorjahr'!$D120,INDIRECT(U$5)))</f>
        <v>0</v>
      </c>
      <c r="V120" s="593">
        <f ca="1">$E120*(-SUMIF(INDIRECT(V$3),'Struktur Vorjahr'!$D120,INDIRECT(V$4))+SUMIF(INDIRECT(V$3),'Struktur Vorjahr'!$D120,INDIRECT(V$5)))</f>
        <v>0</v>
      </c>
      <c r="W120" s="593">
        <f ca="1">$E120*(-SUMIF(INDIRECT(W$3),'Struktur Vorjahr'!$D120,INDIRECT(W$4))+SUMIF(INDIRECT(W$3),'Struktur Vorjahr'!$D120,INDIRECT(W$5)))</f>
        <v>0</v>
      </c>
      <c r="X120" s="593">
        <f ca="1">$E120*(-SUMIF(INDIRECT(X$3),'Struktur Vorjahr'!$D120,INDIRECT(X$4))+SUMIF(INDIRECT(X$3),'Struktur Vorjahr'!$D120,INDIRECT(X$5)))</f>
        <v>0</v>
      </c>
      <c r="Y120" s="593">
        <f ca="1">$E120*(-SUMIF(INDIRECT(Y$3),'Struktur Vorjahr'!$D120,INDIRECT(Y$4))+SUMIF(INDIRECT(Y$3),'Struktur Vorjahr'!$D120,INDIRECT(Y$5)))</f>
        <v>0</v>
      </c>
      <c r="Z120" s="593">
        <f ca="1">$E120*(-SUMIF(INDIRECT(Z$3),'Struktur Vorjahr'!$D120,INDIRECT(Z$4))+SUMIF(INDIRECT(Z$3),'Struktur Vorjahr'!$D120,INDIRECT(Z$5)))</f>
        <v>0</v>
      </c>
      <c r="AA120" s="593">
        <f ca="1">$E120*(-SUMIF(INDIRECT(AA$3),'Struktur Vorjahr'!$D120,INDIRECT(AA$4))+SUMIF(INDIRECT(AA$3),'Struktur Vorjahr'!$D120,INDIRECT(AA$5)))</f>
        <v>0</v>
      </c>
      <c r="AB120" s="593">
        <f ca="1">$E120*(-SUMIF(INDIRECT(AB$3),'Struktur Vorjahr'!$D120,INDIRECT(AB$4))+SUMIF(INDIRECT(AB$3),'Struktur Vorjahr'!$D120,INDIRECT(AB$5)))</f>
        <v>0</v>
      </c>
      <c r="AC120" s="593">
        <f ca="1">$E120*(-SUMIF(INDIRECT(AC$3),'Struktur Vorjahr'!$D120,INDIRECT(AC$4))+SUMIF(INDIRECT(AC$3),'Struktur Vorjahr'!$D120,INDIRECT(AC$5)))</f>
        <v>0</v>
      </c>
      <c r="AD120" s="593">
        <f ca="1">$E120*(-SUMIF(INDIRECT(AD$3),'Struktur Vorjahr'!$D120,INDIRECT(AD$4))+SUMIF(INDIRECT(AD$3),'Struktur Vorjahr'!$D120,INDIRECT(AD$5)))</f>
        <v>0</v>
      </c>
      <c r="AE120" s="593">
        <f t="shared" ca="1" si="63"/>
        <v>0</v>
      </c>
      <c r="AF120" s="593">
        <f t="shared" ca="1" si="64"/>
        <v>0</v>
      </c>
      <c r="AG120" s="593">
        <f t="shared" ca="1" si="64"/>
        <v>0</v>
      </c>
      <c r="AH120" s="593">
        <f t="shared" ca="1" si="64"/>
        <v>0</v>
      </c>
      <c r="AI120" s="593">
        <f t="shared" ca="1" si="64"/>
        <v>0</v>
      </c>
      <c r="AJ120" s="593">
        <f t="shared" ca="1" si="64"/>
        <v>0</v>
      </c>
      <c r="AK120" s="593">
        <f t="shared" ca="1" si="64"/>
        <v>0</v>
      </c>
      <c r="AL120" s="593">
        <f t="shared" ca="1" si="64"/>
        <v>0</v>
      </c>
      <c r="AM120" s="593">
        <f t="shared" ca="1" si="64"/>
        <v>0</v>
      </c>
      <c r="AN120" s="593">
        <f t="shared" ca="1" si="64"/>
        <v>0</v>
      </c>
      <c r="AO120" s="593">
        <f t="shared" ca="1" si="64"/>
        <v>0</v>
      </c>
      <c r="AP120" s="593">
        <f t="shared" ca="1" si="64"/>
        <v>0</v>
      </c>
    </row>
    <row r="121" spans="1:42" s="594" customFormat="1" ht="11.25" outlineLevel="1" x14ac:dyDescent="0.2">
      <c r="A121" s="590"/>
      <c r="B121" s="591" t="str">
        <f>IF(D121&lt;&gt;"",
IF(ISERROR(MATCH(D121,'Ist Vorjahr Monat 01'!A:A,0))=FALSE,INDEX('Ist Vorjahr Monat 01'!B:B,MATCH(D121,'Ist Vorjahr Monat 01'!A:A,0)),
IF(ISERROR(MATCH(D121,'Ist Vorjahr Monat 02'!A:A,0))=FALSE,INDEX('Ist Vorjahr Monat 02'!B:B,MATCH(D121,'Ist Vorjahr Monat 02'!A:A,0)),
IF(ISERROR(MATCH(D121,'Ist Vorjahr Monat 03'!A:A,0))=FALSE,INDEX('Ist Vorjahr Monat 03'!B:B,MATCH(D121,'Ist Vorjahr Monat 03'!A:A,0)),
IF(ISERROR(MATCH(D121,'Ist Vorjahr Monat 04'!A:A,0))=FALSE,INDEX('Ist Vorjahr Monat 04'!B:B,MATCH(D121,'Ist Vorjahr Monat 04'!A:A,0)),
IF(ISERROR(MATCH(D121,'Ist Vorjahr Monat 05'!A:A,0))=FALSE,INDEX('Ist Vorjahr Monat 05'!B:B,MATCH(D121,'Ist Vorjahr Monat 05'!A:A,0)),
IF(ISERROR(MATCH(D121,'Ist Vorjahr Monat 06'!A:A,0))=FALSE,INDEX('Ist Vorjahr Monat 06'!B:B,MATCH(D121,'Ist Vorjahr Monat 06'!A:A,0)),
IF(ISERROR(MATCH(D121,'Ist Vorjahr Monat 07'!A:A,0))=FALSE,INDEX('Ist Vorjahr Monat 07'!B:B,MATCH(D121,'Ist Vorjahr Monat 07'!A:A,0)),
IF(ISERROR(MATCH(D121,'Ist Vorjahr Monat 08'!A:A,0))=FALSE,INDEX('Ist Vorjahr Monat 08'!B:B,MATCH(D121,'Ist Vorjahr Monat 08'!A:A,0)),
IF(ISERROR(MATCH(D121,'Ist Vorjahr Monat 09'!A:A,0))=FALSE,INDEX('Ist Vorjahr Monat 09'!B:B,MATCH(D121,'Ist Vorjahr Monat 09'!A:A,0)),
IF(ISERROR(MATCH(D121,'Ist Vorjahr Monat 10'!A:A,0))=FALSE,INDEX('Ist Vorjahr Monat 10'!B:B,MATCH(D121,'Ist Vorjahr Monat 10'!A:A,0)),
IF(ISERROR(MATCH(D121,'Ist Vorjahr Monat 11'!A:A,0))=FALSE,INDEX('Ist Vorjahr Monat 11'!B:B,MATCH(D121,'Ist Vorjahr Monat 11'!A:A,0)),
IF(ISERROR(MATCH(D121,'Ist Vorjahr Monat 12'!A:A,0))=FALSE,INDEX('Ist Vorjahr Monat 12'!B:B,MATCH(D121,'Ist Vorjahr Monat 12'!A:A,0)),
"{Konto unbekannt}"
)))))))))))),"")</f>
        <v/>
      </c>
      <c r="C121" s="591"/>
      <c r="D121" s="590"/>
      <c r="E121" s="592">
        <f t="shared" si="34"/>
        <v>1</v>
      </c>
      <c r="F121" s="590"/>
      <c r="G121" s="593">
        <f ca="1">$E121*(-SUMIF(INDIRECT(G$3),'Struktur Vorjahr'!$D121,INDIRECT(G$4))+SUMIF(INDIRECT(G$3),'Struktur Vorjahr'!$D121,INDIRECT(G$5)))</f>
        <v>0</v>
      </c>
      <c r="H121" s="593">
        <f ca="1">$E121*(-SUMIF(INDIRECT(H$3),'Struktur Vorjahr'!$D121,INDIRECT(H$4))+SUMIF(INDIRECT(H$3),'Struktur Vorjahr'!$D121,INDIRECT(H$5)))</f>
        <v>0</v>
      </c>
      <c r="I121" s="593">
        <f ca="1">$E121*(-SUMIF(INDIRECT(I$3),'Struktur Vorjahr'!$D121,INDIRECT(I$4))+SUMIF(INDIRECT(I$3),'Struktur Vorjahr'!$D121,INDIRECT(I$5)))</f>
        <v>0</v>
      </c>
      <c r="J121" s="593">
        <f ca="1">$E121*(-SUMIF(INDIRECT(J$3),'Struktur Vorjahr'!$D121,INDIRECT(J$4))+SUMIF(INDIRECT(J$3),'Struktur Vorjahr'!$D121,INDIRECT(J$5)))</f>
        <v>0</v>
      </c>
      <c r="K121" s="593">
        <f ca="1">$E121*(-SUMIF(INDIRECT(K$3),'Struktur Vorjahr'!$D121,INDIRECT(K$4))+SUMIF(INDIRECT(K$3),'Struktur Vorjahr'!$D121,INDIRECT(K$5)))</f>
        <v>0</v>
      </c>
      <c r="L121" s="593">
        <f ca="1">$E121*(-SUMIF(INDIRECT(L$3),'Struktur Vorjahr'!$D121,INDIRECT(L$4))+SUMIF(INDIRECT(L$3),'Struktur Vorjahr'!$D121,INDIRECT(L$5)))</f>
        <v>0</v>
      </c>
      <c r="M121" s="593">
        <f ca="1">$E121*(-SUMIF(INDIRECT(M$3),'Struktur Vorjahr'!$D121,INDIRECT(M$4))+SUMIF(INDIRECT(M$3),'Struktur Vorjahr'!$D121,INDIRECT(M$5)))</f>
        <v>0</v>
      </c>
      <c r="N121" s="593">
        <f ca="1">$E121*(-SUMIF(INDIRECT(N$3),'Struktur Vorjahr'!$D121,INDIRECT(N$4))+SUMIF(INDIRECT(N$3),'Struktur Vorjahr'!$D121,INDIRECT(N$5)))</f>
        <v>0</v>
      </c>
      <c r="O121" s="593">
        <f ca="1">$E121*(-SUMIF(INDIRECT(O$3),'Struktur Vorjahr'!$D121,INDIRECT(O$4))+SUMIF(INDIRECT(O$3),'Struktur Vorjahr'!$D121,INDIRECT(O$5)))</f>
        <v>0</v>
      </c>
      <c r="P121" s="593">
        <f ca="1">$E121*(-SUMIF(INDIRECT(P$3),'Struktur Vorjahr'!$D121,INDIRECT(P$4))+SUMIF(INDIRECT(P$3),'Struktur Vorjahr'!$D121,INDIRECT(P$5)))</f>
        <v>0</v>
      </c>
      <c r="Q121" s="593">
        <f ca="1">$E121*(-SUMIF(INDIRECT(Q$3),'Struktur Vorjahr'!$D121,INDIRECT(Q$4))+SUMIF(INDIRECT(Q$3),'Struktur Vorjahr'!$D121,INDIRECT(Q$5)))</f>
        <v>0</v>
      </c>
      <c r="R121" s="593">
        <f ca="1">$E121*(-SUMIF(INDIRECT(R$3),'Struktur Vorjahr'!$D121,INDIRECT(R$4))+SUMIF(INDIRECT(R$3),'Struktur Vorjahr'!$D121,INDIRECT(R$5)))</f>
        <v>0</v>
      </c>
      <c r="S121" s="593">
        <f ca="1">$E121*(-SUMIF(INDIRECT(S$3),'Struktur Vorjahr'!$D121,INDIRECT(S$4))+SUMIF(INDIRECT(S$3),'Struktur Vorjahr'!$D121,INDIRECT(S$5)))</f>
        <v>0</v>
      </c>
      <c r="T121" s="593">
        <f ca="1">$E121*(-SUMIF(INDIRECT(T$3),'Struktur Vorjahr'!$D121,INDIRECT(T$4))+SUMIF(INDIRECT(T$3),'Struktur Vorjahr'!$D121,INDIRECT(T$5)))</f>
        <v>0</v>
      </c>
      <c r="U121" s="593">
        <f ca="1">$E121*(-SUMIF(INDIRECT(U$3),'Struktur Vorjahr'!$D121,INDIRECT(U$4))+SUMIF(INDIRECT(U$3),'Struktur Vorjahr'!$D121,INDIRECT(U$5)))</f>
        <v>0</v>
      </c>
      <c r="V121" s="593">
        <f ca="1">$E121*(-SUMIF(INDIRECT(V$3),'Struktur Vorjahr'!$D121,INDIRECT(V$4))+SUMIF(INDIRECT(V$3),'Struktur Vorjahr'!$D121,INDIRECT(V$5)))</f>
        <v>0</v>
      </c>
      <c r="W121" s="593">
        <f ca="1">$E121*(-SUMIF(INDIRECT(W$3),'Struktur Vorjahr'!$D121,INDIRECT(W$4))+SUMIF(INDIRECT(W$3),'Struktur Vorjahr'!$D121,INDIRECT(W$5)))</f>
        <v>0</v>
      </c>
      <c r="X121" s="593">
        <f ca="1">$E121*(-SUMIF(INDIRECT(X$3),'Struktur Vorjahr'!$D121,INDIRECT(X$4))+SUMIF(INDIRECT(X$3),'Struktur Vorjahr'!$D121,INDIRECT(X$5)))</f>
        <v>0</v>
      </c>
      <c r="Y121" s="593">
        <f ca="1">$E121*(-SUMIF(INDIRECT(Y$3),'Struktur Vorjahr'!$D121,INDIRECT(Y$4))+SUMIF(INDIRECT(Y$3),'Struktur Vorjahr'!$D121,INDIRECT(Y$5)))</f>
        <v>0</v>
      </c>
      <c r="Z121" s="593">
        <f ca="1">$E121*(-SUMIF(INDIRECT(Z$3),'Struktur Vorjahr'!$D121,INDIRECT(Z$4))+SUMIF(INDIRECT(Z$3),'Struktur Vorjahr'!$D121,INDIRECT(Z$5)))</f>
        <v>0</v>
      </c>
      <c r="AA121" s="593">
        <f ca="1">$E121*(-SUMIF(INDIRECT(AA$3),'Struktur Vorjahr'!$D121,INDIRECT(AA$4))+SUMIF(INDIRECT(AA$3),'Struktur Vorjahr'!$D121,INDIRECT(AA$5)))</f>
        <v>0</v>
      </c>
      <c r="AB121" s="593">
        <f ca="1">$E121*(-SUMIF(INDIRECT(AB$3),'Struktur Vorjahr'!$D121,INDIRECT(AB$4))+SUMIF(INDIRECT(AB$3),'Struktur Vorjahr'!$D121,INDIRECT(AB$5)))</f>
        <v>0</v>
      </c>
      <c r="AC121" s="593">
        <f ca="1">$E121*(-SUMIF(INDIRECT(AC$3),'Struktur Vorjahr'!$D121,INDIRECT(AC$4))+SUMIF(INDIRECT(AC$3),'Struktur Vorjahr'!$D121,INDIRECT(AC$5)))</f>
        <v>0</v>
      </c>
      <c r="AD121" s="593">
        <f ca="1">$E121*(-SUMIF(INDIRECT(AD$3),'Struktur Vorjahr'!$D121,INDIRECT(AD$4))+SUMIF(INDIRECT(AD$3),'Struktur Vorjahr'!$D121,INDIRECT(AD$5)))</f>
        <v>0</v>
      </c>
      <c r="AE121" s="593">
        <f t="shared" ca="1" si="63"/>
        <v>0</v>
      </c>
      <c r="AF121" s="593">
        <f t="shared" ca="1" si="64"/>
        <v>0</v>
      </c>
      <c r="AG121" s="593">
        <f t="shared" ca="1" si="64"/>
        <v>0</v>
      </c>
      <c r="AH121" s="593">
        <f t="shared" ca="1" si="64"/>
        <v>0</v>
      </c>
      <c r="AI121" s="593">
        <f t="shared" ca="1" si="64"/>
        <v>0</v>
      </c>
      <c r="AJ121" s="593">
        <f t="shared" ca="1" si="64"/>
        <v>0</v>
      </c>
      <c r="AK121" s="593">
        <f t="shared" ca="1" si="64"/>
        <v>0</v>
      </c>
      <c r="AL121" s="593">
        <f t="shared" ca="1" si="64"/>
        <v>0</v>
      </c>
      <c r="AM121" s="593">
        <f t="shared" ca="1" si="64"/>
        <v>0</v>
      </c>
      <c r="AN121" s="593">
        <f t="shared" ca="1" si="64"/>
        <v>0</v>
      </c>
      <c r="AO121" s="593">
        <f t="shared" ca="1" si="64"/>
        <v>0</v>
      </c>
      <c r="AP121" s="593">
        <f t="shared" ca="1" si="64"/>
        <v>0</v>
      </c>
    </row>
    <row r="122" spans="1:42" s="594" customFormat="1" ht="11.25" outlineLevel="1" x14ac:dyDescent="0.2">
      <c r="A122" s="590"/>
      <c r="B122" s="591" t="str">
        <f>IF(D122&lt;&gt;"",
IF(ISERROR(MATCH(D122,'Ist Vorjahr Monat 01'!A:A,0))=FALSE,INDEX('Ist Vorjahr Monat 01'!B:B,MATCH(D122,'Ist Vorjahr Monat 01'!A:A,0)),
IF(ISERROR(MATCH(D122,'Ist Vorjahr Monat 02'!A:A,0))=FALSE,INDEX('Ist Vorjahr Monat 02'!B:B,MATCH(D122,'Ist Vorjahr Monat 02'!A:A,0)),
IF(ISERROR(MATCH(D122,'Ist Vorjahr Monat 03'!A:A,0))=FALSE,INDEX('Ist Vorjahr Monat 03'!B:B,MATCH(D122,'Ist Vorjahr Monat 03'!A:A,0)),
IF(ISERROR(MATCH(D122,'Ist Vorjahr Monat 04'!A:A,0))=FALSE,INDEX('Ist Vorjahr Monat 04'!B:B,MATCH(D122,'Ist Vorjahr Monat 04'!A:A,0)),
IF(ISERROR(MATCH(D122,'Ist Vorjahr Monat 05'!A:A,0))=FALSE,INDEX('Ist Vorjahr Monat 05'!B:B,MATCH(D122,'Ist Vorjahr Monat 05'!A:A,0)),
IF(ISERROR(MATCH(D122,'Ist Vorjahr Monat 06'!A:A,0))=FALSE,INDEX('Ist Vorjahr Monat 06'!B:B,MATCH(D122,'Ist Vorjahr Monat 06'!A:A,0)),
IF(ISERROR(MATCH(D122,'Ist Vorjahr Monat 07'!A:A,0))=FALSE,INDEX('Ist Vorjahr Monat 07'!B:B,MATCH(D122,'Ist Vorjahr Monat 07'!A:A,0)),
IF(ISERROR(MATCH(D122,'Ist Vorjahr Monat 08'!A:A,0))=FALSE,INDEX('Ist Vorjahr Monat 08'!B:B,MATCH(D122,'Ist Vorjahr Monat 08'!A:A,0)),
IF(ISERROR(MATCH(D122,'Ist Vorjahr Monat 09'!A:A,0))=FALSE,INDEX('Ist Vorjahr Monat 09'!B:B,MATCH(D122,'Ist Vorjahr Monat 09'!A:A,0)),
IF(ISERROR(MATCH(D122,'Ist Vorjahr Monat 10'!A:A,0))=FALSE,INDEX('Ist Vorjahr Monat 10'!B:B,MATCH(D122,'Ist Vorjahr Monat 10'!A:A,0)),
IF(ISERROR(MATCH(D122,'Ist Vorjahr Monat 11'!A:A,0))=FALSE,INDEX('Ist Vorjahr Monat 11'!B:B,MATCH(D122,'Ist Vorjahr Monat 11'!A:A,0)),
IF(ISERROR(MATCH(D122,'Ist Vorjahr Monat 12'!A:A,0))=FALSE,INDEX('Ist Vorjahr Monat 12'!B:B,MATCH(D122,'Ist Vorjahr Monat 12'!A:A,0)),
"{Konto unbekannt}"
)))))))))))),"")</f>
        <v/>
      </c>
      <c r="C122" s="591"/>
      <c r="D122" s="590"/>
      <c r="E122" s="592">
        <f>IF(F122="-",-1,1)</f>
        <v>1</v>
      </c>
      <c r="F122" s="590"/>
      <c r="G122" s="593">
        <f ca="1">$E122*(-SUMIF(INDIRECT(G$3),'Struktur Vorjahr'!$D122,INDIRECT(G$4))+SUMIF(INDIRECT(G$3),'Struktur Vorjahr'!$D122,INDIRECT(G$5)))</f>
        <v>0</v>
      </c>
      <c r="H122" s="593">
        <f ca="1">$E122*(-SUMIF(INDIRECT(H$3),'Struktur Vorjahr'!$D122,INDIRECT(H$4))+SUMIF(INDIRECT(H$3),'Struktur Vorjahr'!$D122,INDIRECT(H$5)))</f>
        <v>0</v>
      </c>
      <c r="I122" s="593">
        <f ca="1">$E122*(-SUMIF(INDIRECT(I$3),'Struktur Vorjahr'!$D122,INDIRECT(I$4))+SUMIF(INDIRECT(I$3),'Struktur Vorjahr'!$D122,INDIRECT(I$5)))</f>
        <v>0</v>
      </c>
      <c r="J122" s="593">
        <f ca="1">$E122*(-SUMIF(INDIRECT(J$3),'Struktur Vorjahr'!$D122,INDIRECT(J$4))+SUMIF(INDIRECT(J$3),'Struktur Vorjahr'!$D122,INDIRECT(J$5)))</f>
        <v>0</v>
      </c>
      <c r="K122" s="593">
        <f ca="1">$E122*(-SUMIF(INDIRECT(K$3),'Struktur Vorjahr'!$D122,INDIRECT(K$4))+SUMIF(INDIRECT(K$3),'Struktur Vorjahr'!$D122,INDIRECT(K$5)))</f>
        <v>0</v>
      </c>
      <c r="L122" s="593">
        <f ca="1">$E122*(-SUMIF(INDIRECT(L$3),'Struktur Vorjahr'!$D122,INDIRECT(L$4))+SUMIF(INDIRECT(L$3),'Struktur Vorjahr'!$D122,INDIRECT(L$5)))</f>
        <v>0</v>
      </c>
      <c r="M122" s="593">
        <f ca="1">$E122*(-SUMIF(INDIRECT(M$3),'Struktur Vorjahr'!$D122,INDIRECT(M$4))+SUMIF(INDIRECT(M$3),'Struktur Vorjahr'!$D122,INDIRECT(M$5)))</f>
        <v>0</v>
      </c>
      <c r="N122" s="593">
        <f ca="1">$E122*(-SUMIF(INDIRECT(N$3),'Struktur Vorjahr'!$D122,INDIRECT(N$4))+SUMIF(INDIRECT(N$3),'Struktur Vorjahr'!$D122,INDIRECT(N$5)))</f>
        <v>0</v>
      </c>
      <c r="O122" s="593">
        <f ca="1">$E122*(-SUMIF(INDIRECT(O$3),'Struktur Vorjahr'!$D122,INDIRECT(O$4))+SUMIF(INDIRECT(O$3),'Struktur Vorjahr'!$D122,INDIRECT(O$5)))</f>
        <v>0</v>
      </c>
      <c r="P122" s="593">
        <f ca="1">$E122*(-SUMIF(INDIRECT(P$3),'Struktur Vorjahr'!$D122,INDIRECT(P$4))+SUMIF(INDIRECT(P$3),'Struktur Vorjahr'!$D122,INDIRECT(P$5)))</f>
        <v>0</v>
      </c>
      <c r="Q122" s="593">
        <f ca="1">$E122*(-SUMIF(INDIRECT(Q$3),'Struktur Vorjahr'!$D122,INDIRECT(Q$4))+SUMIF(INDIRECT(Q$3),'Struktur Vorjahr'!$D122,INDIRECT(Q$5)))</f>
        <v>0</v>
      </c>
      <c r="R122" s="593">
        <f ca="1">$E122*(-SUMIF(INDIRECT(R$3),'Struktur Vorjahr'!$D122,INDIRECT(R$4))+SUMIF(INDIRECT(R$3),'Struktur Vorjahr'!$D122,INDIRECT(R$5)))</f>
        <v>0</v>
      </c>
      <c r="S122" s="593">
        <f ca="1">$E122*(-SUMIF(INDIRECT(S$3),'Struktur Vorjahr'!$D122,INDIRECT(S$4))+SUMIF(INDIRECT(S$3),'Struktur Vorjahr'!$D122,INDIRECT(S$5)))</f>
        <v>0</v>
      </c>
      <c r="T122" s="593">
        <f ca="1">$E122*(-SUMIF(INDIRECT(T$3),'Struktur Vorjahr'!$D122,INDIRECT(T$4))+SUMIF(INDIRECT(T$3),'Struktur Vorjahr'!$D122,INDIRECT(T$5)))</f>
        <v>0</v>
      </c>
      <c r="U122" s="593">
        <f ca="1">$E122*(-SUMIF(INDIRECT(U$3),'Struktur Vorjahr'!$D122,INDIRECT(U$4))+SUMIF(INDIRECT(U$3),'Struktur Vorjahr'!$D122,INDIRECT(U$5)))</f>
        <v>0</v>
      </c>
      <c r="V122" s="593">
        <f ca="1">$E122*(-SUMIF(INDIRECT(V$3),'Struktur Vorjahr'!$D122,INDIRECT(V$4))+SUMIF(INDIRECT(V$3),'Struktur Vorjahr'!$D122,INDIRECT(V$5)))</f>
        <v>0</v>
      </c>
      <c r="W122" s="593">
        <f ca="1">$E122*(-SUMIF(INDIRECT(W$3),'Struktur Vorjahr'!$D122,INDIRECT(W$4))+SUMIF(INDIRECT(W$3),'Struktur Vorjahr'!$D122,INDIRECT(W$5)))</f>
        <v>0</v>
      </c>
      <c r="X122" s="593">
        <f ca="1">$E122*(-SUMIF(INDIRECT(X$3),'Struktur Vorjahr'!$D122,INDIRECT(X$4))+SUMIF(INDIRECT(X$3),'Struktur Vorjahr'!$D122,INDIRECT(X$5)))</f>
        <v>0</v>
      </c>
      <c r="Y122" s="593">
        <f ca="1">$E122*(-SUMIF(INDIRECT(Y$3),'Struktur Vorjahr'!$D122,INDIRECT(Y$4))+SUMIF(INDIRECT(Y$3),'Struktur Vorjahr'!$D122,INDIRECT(Y$5)))</f>
        <v>0</v>
      </c>
      <c r="Z122" s="593">
        <f ca="1">$E122*(-SUMIF(INDIRECT(Z$3),'Struktur Vorjahr'!$D122,INDIRECT(Z$4))+SUMIF(INDIRECT(Z$3),'Struktur Vorjahr'!$D122,INDIRECT(Z$5)))</f>
        <v>0</v>
      </c>
      <c r="AA122" s="593">
        <f ca="1">$E122*(-SUMIF(INDIRECT(AA$3),'Struktur Vorjahr'!$D122,INDIRECT(AA$4))+SUMIF(INDIRECT(AA$3),'Struktur Vorjahr'!$D122,INDIRECT(AA$5)))</f>
        <v>0</v>
      </c>
      <c r="AB122" s="593">
        <f ca="1">$E122*(-SUMIF(INDIRECT(AB$3),'Struktur Vorjahr'!$D122,INDIRECT(AB$4))+SUMIF(INDIRECT(AB$3),'Struktur Vorjahr'!$D122,INDIRECT(AB$5)))</f>
        <v>0</v>
      </c>
      <c r="AC122" s="593">
        <f ca="1">$E122*(-SUMIF(INDIRECT(AC$3),'Struktur Vorjahr'!$D122,INDIRECT(AC$4))+SUMIF(INDIRECT(AC$3),'Struktur Vorjahr'!$D122,INDIRECT(AC$5)))</f>
        <v>0</v>
      </c>
      <c r="AD122" s="593">
        <f ca="1">$E122*(-SUMIF(INDIRECT(AD$3),'Struktur Vorjahr'!$D122,INDIRECT(AD$4))+SUMIF(INDIRECT(AD$3),'Struktur Vorjahr'!$D122,INDIRECT(AD$5)))</f>
        <v>0</v>
      </c>
      <c r="AE122" s="593">
        <f t="shared" ca="1" si="63"/>
        <v>0</v>
      </c>
      <c r="AF122" s="593">
        <f t="shared" ca="1" si="64"/>
        <v>0</v>
      </c>
      <c r="AG122" s="593">
        <f t="shared" ca="1" si="64"/>
        <v>0</v>
      </c>
      <c r="AH122" s="593">
        <f t="shared" ca="1" si="64"/>
        <v>0</v>
      </c>
      <c r="AI122" s="593">
        <f t="shared" ca="1" si="64"/>
        <v>0</v>
      </c>
      <c r="AJ122" s="593">
        <f t="shared" ca="1" si="64"/>
        <v>0</v>
      </c>
      <c r="AK122" s="593">
        <f t="shared" ca="1" si="64"/>
        <v>0</v>
      </c>
      <c r="AL122" s="593">
        <f t="shared" ca="1" si="64"/>
        <v>0</v>
      </c>
      <c r="AM122" s="593">
        <f t="shared" ca="1" si="64"/>
        <v>0</v>
      </c>
      <c r="AN122" s="593">
        <f t="shared" ca="1" si="64"/>
        <v>0</v>
      </c>
      <c r="AO122" s="593">
        <f t="shared" ca="1" si="64"/>
        <v>0</v>
      </c>
      <c r="AP122" s="593">
        <f t="shared" ca="1" si="64"/>
        <v>0</v>
      </c>
    </row>
    <row r="123" spans="1:42" s="594" customFormat="1" ht="11.25" outlineLevel="1" x14ac:dyDescent="0.2">
      <c r="A123" s="590"/>
      <c r="B123" s="591" t="str">
        <f>IF(D123&lt;&gt;"",
IF(ISERROR(MATCH(D123,'Ist Vorjahr Monat 01'!A:A,0))=FALSE,INDEX('Ist Vorjahr Monat 01'!B:B,MATCH(D123,'Ist Vorjahr Monat 01'!A:A,0)),
IF(ISERROR(MATCH(D123,'Ist Vorjahr Monat 02'!A:A,0))=FALSE,INDEX('Ist Vorjahr Monat 02'!B:B,MATCH(D123,'Ist Vorjahr Monat 02'!A:A,0)),
IF(ISERROR(MATCH(D123,'Ist Vorjahr Monat 03'!A:A,0))=FALSE,INDEX('Ist Vorjahr Monat 03'!B:B,MATCH(D123,'Ist Vorjahr Monat 03'!A:A,0)),
IF(ISERROR(MATCH(D123,'Ist Vorjahr Monat 04'!A:A,0))=FALSE,INDEX('Ist Vorjahr Monat 04'!B:B,MATCH(D123,'Ist Vorjahr Monat 04'!A:A,0)),
IF(ISERROR(MATCH(D123,'Ist Vorjahr Monat 05'!A:A,0))=FALSE,INDEX('Ist Vorjahr Monat 05'!B:B,MATCH(D123,'Ist Vorjahr Monat 05'!A:A,0)),
IF(ISERROR(MATCH(D123,'Ist Vorjahr Monat 06'!A:A,0))=FALSE,INDEX('Ist Vorjahr Monat 06'!B:B,MATCH(D123,'Ist Vorjahr Monat 06'!A:A,0)),
IF(ISERROR(MATCH(D123,'Ist Vorjahr Monat 07'!A:A,0))=FALSE,INDEX('Ist Vorjahr Monat 07'!B:B,MATCH(D123,'Ist Vorjahr Monat 07'!A:A,0)),
IF(ISERROR(MATCH(D123,'Ist Vorjahr Monat 08'!A:A,0))=FALSE,INDEX('Ist Vorjahr Monat 08'!B:B,MATCH(D123,'Ist Vorjahr Monat 08'!A:A,0)),
IF(ISERROR(MATCH(D123,'Ist Vorjahr Monat 09'!A:A,0))=FALSE,INDEX('Ist Vorjahr Monat 09'!B:B,MATCH(D123,'Ist Vorjahr Monat 09'!A:A,0)),
IF(ISERROR(MATCH(D123,'Ist Vorjahr Monat 10'!A:A,0))=FALSE,INDEX('Ist Vorjahr Monat 10'!B:B,MATCH(D123,'Ist Vorjahr Monat 10'!A:A,0)),
IF(ISERROR(MATCH(D123,'Ist Vorjahr Monat 11'!A:A,0))=FALSE,INDEX('Ist Vorjahr Monat 11'!B:B,MATCH(D123,'Ist Vorjahr Monat 11'!A:A,0)),
IF(ISERROR(MATCH(D123,'Ist Vorjahr Monat 12'!A:A,0))=FALSE,INDEX('Ist Vorjahr Monat 12'!B:B,MATCH(D123,'Ist Vorjahr Monat 12'!A:A,0)),
"{Konto unbekannt}"
)))))))))))),"")</f>
        <v/>
      </c>
      <c r="C123" s="591"/>
      <c r="D123" s="590"/>
      <c r="E123" s="592">
        <f>IF(F123="-",-1,1)</f>
        <v>1</v>
      </c>
      <c r="F123" s="590"/>
      <c r="G123" s="593">
        <f ca="1">$E123*(-SUMIF(INDIRECT(G$3),'Struktur Vorjahr'!$D123,INDIRECT(G$4))+SUMIF(INDIRECT(G$3),'Struktur Vorjahr'!$D123,INDIRECT(G$5)))</f>
        <v>0</v>
      </c>
      <c r="H123" s="593">
        <f ca="1">$E123*(-SUMIF(INDIRECT(H$3),'Struktur Vorjahr'!$D123,INDIRECT(H$4))+SUMIF(INDIRECT(H$3),'Struktur Vorjahr'!$D123,INDIRECT(H$5)))</f>
        <v>0</v>
      </c>
      <c r="I123" s="593">
        <f ca="1">$E123*(-SUMIF(INDIRECT(I$3),'Struktur Vorjahr'!$D123,INDIRECT(I$4))+SUMIF(INDIRECT(I$3),'Struktur Vorjahr'!$D123,INDIRECT(I$5)))</f>
        <v>0</v>
      </c>
      <c r="J123" s="593">
        <f ca="1">$E123*(-SUMIF(INDIRECT(J$3),'Struktur Vorjahr'!$D123,INDIRECT(J$4))+SUMIF(INDIRECT(J$3),'Struktur Vorjahr'!$D123,INDIRECT(J$5)))</f>
        <v>0</v>
      </c>
      <c r="K123" s="593">
        <f ca="1">$E123*(-SUMIF(INDIRECT(K$3),'Struktur Vorjahr'!$D123,INDIRECT(K$4))+SUMIF(INDIRECT(K$3),'Struktur Vorjahr'!$D123,INDIRECT(K$5)))</f>
        <v>0</v>
      </c>
      <c r="L123" s="593">
        <f ca="1">$E123*(-SUMIF(INDIRECT(L$3),'Struktur Vorjahr'!$D123,INDIRECT(L$4))+SUMIF(INDIRECT(L$3),'Struktur Vorjahr'!$D123,INDIRECT(L$5)))</f>
        <v>0</v>
      </c>
      <c r="M123" s="593">
        <f ca="1">$E123*(-SUMIF(INDIRECT(M$3),'Struktur Vorjahr'!$D123,INDIRECT(M$4))+SUMIF(INDIRECT(M$3),'Struktur Vorjahr'!$D123,INDIRECT(M$5)))</f>
        <v>0</v>
      </c>
      <c r="N123" s="593">
        <f ca="1">$E123*(-SUMIF(INDIRECT(N$3),'Struktur Vorjahr'!$D123,INDIRECT(N$4))+SUMIF(INDIRECT(N$3),'Struktur Vorjahr'!$D123,INDIRECT(N$5)))</f>
        <v>0</v>
      </c>
      <c r="O123" s="593">
        <f ca="1">$E123*(-SUMIF(INDIRECT(O$3),'Struktur Vorjahr'!$D123,INDIRECT(O$4))+SUMIF(INDIRECT(O$3),'Struktur Vorjahr'!$D123,INDIRECT(O$5)))</f>
        <v>0</v>
      </c>
      <c r="P123" s="593">
        <f ca="1">$E123*(-SUMIF(INDIRECT(P$3),'Struktur Vorjahr'!$D123,INDIRECT(P$4))+SUMIF(INDIRECT(P$3),'Struktur Vorjahr'!$D123,INDIRECT(P$5)))</f>
        <v>0</v>
      </c>
      <c r="Q123" s="593">
        <f ca="1">$E123*(-SUMIF(INDIRECT(Q$3),'Struktur Vorjahr'!$D123,INDIRECT(Q$4))+SUMIF(INDIRECT(Q$3),'Struktur Vorjahr'!$D123,INDIRECT(Q$5)))</f>
        <v>0</v>
      </c>
      <c r="R123" s="593">
        <f ca="1">$E123*(-SUMIF(INDIRECT(R$3),'Struktur Vorjahr'!$D123,INDIRECT(R$4))+SUMIF(INDIRECT(R$3),'Struktur Vorjahr'!$D123,INDIRECT(R$5)))</f>
        <v>0</v>
      </c>
      <c r="S123" s="593">
        <f ca="1">$E123*(-SUMIF(INDIRECT(S$3),'Struktur Vorjahr'!$D123,INDIRECT(S$4))+SUMIF(INDIRECT(S$3),'Struktur Vorjahr'!$D123,INDIRECT(S$5)))</f>
        <v>0</v>
      </c>
      <c r="T123" s="593">
        <f ca="1">$E123*(-SUMIF(INDIRECT(T$3),'Struktur Vorjahr'!$D123,INDIRECT(T$4))+SUMIF(INDIRECT(T$3),'Struktur Vorjahr'!$D123,INDIRECT(T$5)))</f>
        <v>0</v>
      </c>
      <c r="U123" s="593">
        <f ca="1">$E123*(-SUMIF(INDIRECT(U$3),'Struktur Vorjahr'!$D123,INDIRECT(U$4))+SUMIF(INDIRECT(U$3),'Struktur Vorjahr'!$D123,INDIRECT(U$5)))</f>
        <v>0</v>
      </c>
      <c r="V123" s="593">
        <f ca="1">$E123*(-SUMIF(INDIRECT(V$3),'Struktur Vorjahr'!$D123,INDIRECT(V$4))+SUMIF(INDIRECT(V$3),'Struktur Vorjahr'!$D123,INDIRECT(V$5)))</f>
        <v>0</v>
      </c>
      <c r="W123" s="593">
        <f ca="1">$E123*(-SUMIF(INDIRECT(W$3),'Struktur Vorjahr'!$D123,INDIRECT(W$4))+SUMIF(INDIRECT(W$3),'Struktur Vorjahr'!$D123,INDIRECT(W$5)))</f>
        <v>0</v>
      </c>
      <c r="X123" s="593">
        <f ca="1">$E123*(-SUMIF(INDIRECT(X$3),'Struktur Vorjahr'!$D123,INDIRECT(X$4))+SUMIF(INDIRECT(X$3),'Struktur Vorjahr'!$D123,INDIRECT(X$5)))</f>
        <v>0</v>
      </c>
      <c r="Y123" s="593">
        <f ca="1">$E123*(-SUMIF(INDIRECT(Y$3),'Struktur Vorjahr'!$D123,INDIRECT(Y$4))+SUMIF(INDIRECT(Y$3),'Struktur Vorjahr'!$D123,INDIRECT(Y$5)))</f>
        <v>0</v>
      </c>
      <c r="Z123" s="593">
        <f ca="1">$E123*(-SUMIF(INDIRECT(Z$3),'Struktur Vorjahr'!$D123,INDIRECT(Z$4))+SUMIF(INDIRECT(Z$3),'Struktur Vorjahr'!$D123,INDIRECT(Z$5)))</f>
        <v>0</v>
      </c>
      <c r="AA123" s="593">
        <f ca="1">$E123*(-SUMIF(INDIRECT(AA$3),'Struktur Vorjahr'!$D123,INDIRECT(AA$4))+SUMIF(INDIRECT(AA$3),'Struktur Vorjahr'!$D123,INDIRECT(AA$5)))</f>
        <v>0</v>
      </c>
      <c r="AB123" s="593">
        <f ca="1">$E123*(-SUMIF(INDIRECT(AB$3),'Struktur Vorjahr'!$D123,INDIRECT(AB$4))+SUMIF(INDIRECT(AB$3),'Struktur Vorjahr'!$D123,INDIRECT(AB$5)))</f>
        <v>0</v>
      </c>
      <c r="AC123" s="593">
        <f ca="1">$E123*(-SUMIF(INDIRECT(AC$3),'Struktur Vorjahr'!$D123,INDIRECT(AC$4))+SUMIF(INDIRECT(AC$3),'Struktur Vorjahr'!$D123,INDIRECT(AC$5)))</f>
        <v>0</v>
      </c>
      <c r="AD123" s="593">
        <f ca="1">$E123*(-SUMIF(INDIRECT(AD$3),'Struktur Vorjahr'!$D123,INDIRECT(AD$4))+SUMIF(INDIRECT(AD$3),'Struktur Vorjahr'!$D123,INDIRECT(AD$5)))</f>
        <v>0</v>
      </c>
      <c r="AE123" s="593">
        <f t="shared" ca="1" si="63"/>
        <v>0</v>
      </c>
      <c r="AF123" s="593">
        <f t="shared" ca="1" si="64"/>
        <v>0</v>
      </c>
      <c r="AG123" s="593">
        <f t="shared" ca="1" si="64"/>
        <v>0</v>
      </c>
      <c r="AH123" s="593">
        <f t="shared" ca="1" si="64"/>
        <v>0</v>
      </c>
      <c r="AI123" s="593">
        <f t="shared" ca="1" si="64"/>
        <v>0</v>
      </c>
      <c r="AJ123" s="593">
        <f t="shared" ca="1" si="64"/>
        <v>0</v>
      </c>
      <c r="AK123" s="593">
        <f t="shared" ca="1" si="64"/>
        <v>0</v>
      </c>
      <c r="AL123" s="593">
        <f t="shared" ca="1" si="64"/>
        <v>0</v>
      </c>
      <c r="AM123" s="593">
        <f t="shared" ca="1" si="64"/>
        <v>0</v>
      </c>
      <c r="AN123" s="593">
        <f t="shared" ca="1" si="64"/>
        <v>0</v>
      </c>
      <c r="AO123" s="593">
        <f t="shared" ca="1" si="64"/>
        <v>0</v>
      </c>
      <c r="AP123" s="593">
        <f t="shared" ca="1" si="64"/>
        <v>0</v>
      </c>
    </row>
    <row r="124" spans="1:42" s="594" customFormat="1" ht="11.25" outlineLevel="1" x14ac:dyDescent="0.2">
      <c r="A124" s="590"/>
      <c r="B124" s="591" t="str">
        <f>IF(D124&lt;&gt;"",
IF(ISERROR(MATCH(D124,'Ist Vorjahr Monat 01'!A:A,0))=FALSE,INDEX('Ist Vorjahr Monat 01'!B:B,MATCH(D124,'Ist Vorjahr Monat 01'!A:A,0)),
IF(ISERROR(MATCH(D124,'Ist Vorjahr Monat 02'!A:A,0))=FALSE,INDEX('Ist Vorjahr Monat 02'!B:B,MATCH(D124,'Ist Vorjahr Monat 02'!A:A,0)),
IF(ISERROR(MATCH(D124,'Ist Vorjahr Monat 03'!A:A,0))=FALSE,INDEX('Ist Vorjahr Monat 03'!B:B,MATCH(D124,'Ist Vorjahr Monat 03'!A:A,0)),
IF(ISERROR(MATCH(D124,'Ist Vorjahr Monat 04'!A:A,0))=FALSE,INDEX('Ist Vorjahr Monat 04'!B:B,MATCH(D124,'Ist Vorjahr Monat 04'!A:A,0)),
IF(ISERROR(MATCH(D124,'Ist Vorjahr Monat 05'!A:A,0))=FALSE,INDEX('Ist Vorjahr Monat 05'!B:B,MATCH(D124,'Ist Vorjahr Monat 05'!A:A,0)),
IF(ISERROR(MATCH(D124,'Ist Vorjahr Monat 06'!A:A,0))=FALSE,INDEX('Ist Vorjahr Monat 06'!B:B,MATCH(D124,'Ist Vorjahr Monat 06'!A:A,0)),
IF(ISERROR(MATCH(D124,'Ist Vorjahr Monat 07'!A:A,0))=FALSE,INDEX('Ist Vorjahr Monat 07'!B:B,MATCH(D124,'Ist Vorjahr Monat 07'!A:A,0)),
IF(ISERROR(MATCH(D124,'Ist Vorjahr Monat 08'!A:A,0))=FALSE,INDEX('Ist Vorjahr Monat 08'!B:B,MATCH(D124,'Ist Vorjahr Monat 08'!A:A,0)),
IF(ISERROR(MATCH(D124,'Ist Vorjahr Monat 09'!A:A,0))=FALSE,INDEX('Ist Vorjahr Monat 09'!B:B,MATCH(D124,'Ist Vorjahr Monat 09'!A:A,0)),
IF(ISERROR(MATCH(D124,'Ist Vorjahr Monat 10'!A:A,0))=FALSE,INDEX('Ist Vorjahr Monat 10'!B:B,MATCH(D124,'Ist Vorjahr Monat 10'!A:A,0)),
IF(ISERROR(MATCH(D124,'Ist Vorjahr Monat 11'!A:A,0))=FALSE,INDEX('Ist Vorjahr Monat 11'!B:B,MATCH(D124,'Ist Vorjahr Monat 11'!A:A,0)),
IF(ISERROR(MATCH(D124,'Ist Vorjahr Monat 12'!A:A,0))=FALSE,INDEX('Ist Vorjahr Monat 12'!B:B,MATCH(D124,'Ist Vorjahr Monat 12'!A:A,0)),
"{Konto unbekannt}"
)))))))))))),"")</f>
        <v/>
      </c>
      <c r="C124" s="591"/>
      <c r="D124" s="590"/>
      <c r="E124" s="592">
        <f>IF(F124="-",-1,1)</f>
        <v>1</v>
      </c>
      <c r="F124" s="590"/>
      <c r="G124" s="593">
        <f ca="1">$E124*(-SUMIF(INDIRECT(G$3),'Struktur Vorjahr'!$D124,INDIRECT(G$4))+SUMIF(INDIRECT(G$3),'Struktur Vorjahr'!$D124,INDIRECT(G$5)))</f>
        <v>0</v>
      </c>
      <c r="H124" s="593">
        <f ca="1">$E124*(-SUMIF(INDIRECT(H$3),'Struktur Vorjahr'!$D124,INDIRECT(H$4))+SUMIF(INDIRECT(H$3),'Struktur Vorjahr'!$D124,INDIRECT(H$5)))</f>
        <v>0</v>
      </c>
      <c r="I124" s="593">
        <f ca="1">$E124*(-SUMIF(INDIRECT(I$3),'Struktur Vorjahr'!$D124,INDIRECT(I$4))+SUMIF(INDIRECT(I$3),'Struktur Vorjahr'!$D124,INDIRECT(I$5)))</f>
        <v>0</v>
      </c>
      <c r="J124" s="593">
        <f ca="1">$E124*(-SUMIF(INDIRECT(J$3),'Struktur Vorjahr'!$D124,INDIRECT(J$4))+SUMIF(INDIRECT(J$3),'Struktur Vorjahr'!$D124,INDIRECT(J$5)))</f>
        <v>0</v>
      </c>
      <c r="K124" s="593">
        <f ca="1">$E124*(-SUMIF(INDIRECT(K$3),'Struktur Vorjahr'!$D124,INDIRECT(K$4))+SUMIF(INDIRECT(K$3),'Struktur Vorjahr'!$D124,INDIRECT(K$5)))</f>
        <v>0</v>
      </c>
      <c r="L124" s="593">
        <f ca="1">$E124*(-SUMIF(INDIRECT(L$3),'Struktur Vorjahr'!$D124,INDIRECT(L$4))+SUMIF(INDIRECT(L$3),'Struktur Vorjahr'!$D124,INDIRECT(L$5)))</f>
        <v>0</v>
      </c>
      <c r="M124" s="593">
        <f ca="1">$E124*(-SUMIF(INDIRECT(M$3),'Struktur Vorjahr'!$D124,INDIRECT(M$4))+SUMIF(INDIRECT(M$3),'Struktur Vorjahr'!$D124,INDIRECT(M$5)))</f>
        <v>0</v>
      </c>
      <c r="N124" s="593">
        <f ca="1">$E124*(-SUMIF(INDIRECT(N$3),'Struktur Vorjahr'!$D124,INDIRECT(N$4))+SUMIF(INDIRECT(N$3),'Struktur Vorjahr'!$D124,INDIRECT(N$5)))</f>
        <v>0</v>
      </c>
      <c r="O124" s="593">
        <f ca="1">$E124*(-SUMIF(INDIRECT(O$3),'Struktur Vorjahr'!$D124,INDIRECT(O$4))+SUMIF(INDIRECT(O$3),'Struktur Vorjahr'!$D124,INDIRECT(O$5)))</f>
        <v>0</v>
      </c>
      <c r="P124" s="593">
        <f ca="1">$E124*(-SUMIF(INDIRECT(P$3),'Struktur Vorjahr'!$D124,INDIRECT(P$4))+SUMIF(INDIRECT(P$3),'Struktur Vorjahr'!$D124,INDIRECT(P$5)))</f>
        <v>0</v>
      </c>
      <c r="Q124" s="593">
        <f ca="1">$E124*(-SUMIF(INDIRECT(Q$3),'Struktur Vorjahr'!$D124,INDIRECT(Q$4))+SUMIF(INDIRECT(Q$3),'Struktur Vorjahr'!$D124,INDIRECT(Q$5)))</f>
        <v>0</v>
      </c>
      <c r="R124" s="593">
        <f ca="1">$E124*(-SUMIF(INDIRECT(R$3),'Struktur Vorjahr'!$D124,INDIRECT(R$4))+SUMIF(INDIRECT(R$3),'Struktur Vorjahr'!$D124,INDIRECT(R$5)))</f>
        <v>0</v>
      </c>
      <c r="S124" s="593">
        <f ca="1">$E124*(-SUMIF(INDIRECT(S$3),'Struktur Vorjahr'!$D124,INDIRECT(S$4))+SUMIF(INDIRECT(S$3),'Struktur Vorjahr'!$D124,INDIRECT(S$5)))</f>
        <v>0</v>
      </c>
      <c r="T124" s="593">
        <f ca="1">$E124*(-SUMIF(INDIRECT(T$3),'Struktur Vorjahr'!$D124,INDIRECT(T$4))+SUMIF(INDIRECT(T$3),'Struktur Vorjahr'!$D124,INDIRECT(T$5)))</f>
        <v>0</v>
      </c>
      <c r="U124" s="593">
        <f ca="1">$E124*(-SUMIF(INDIRECT(U$3),'Struktur Vorjahr'!$D124,INDIRECT(U$4))+SUMIF(INDIRECT(U$3),'Struktur Vorjahr'!$D124,INDIRECT(U$5)))</f>
        <v>0</v>
      </c>
      <c r="V124" s="593">
        <f ca="1">$E124*(-SUMIF(INDIRECT(V$3),'Struktur Vorjahr'!$D124,INDIRECT(V$4))+SUMIF(INDIRECT(V$3),'Struktur Vorjahr'!$D124,INDIRECT(V$5)))</f>
        <v>0</v>
      </c>
      <c r="W124" s="593">
        <f ca="1">$E124*(-SUMIF(INDIRECT(W$3),'Struktur Vorjahr'!$D124,INDIRECT(W$4))+SUMIF(INDIRECT(W$3),'Struktur Vorjahr'!$D124,INDIRECT(W$5)))</f>
        <v>0</v>
      </c>
      <c r="X124" s="593">
        <f ca="1">$E124*(-SUMIF(INDIRECT(X$3),'Struktur Vorjahr'!$D124,INDIRECT(X$4))+SUMIF(INDIRECT(X$3),'Struktur Vorjahr'!$D124,INDIRECT(X$5)))</f>
        <v>0</v>
      </c>
      <c r="Y124" s="593">
        <f ca="1">$E124*(-SUMIF(INDIRECT(Y$3),'Struktur Vorjahr'!$D124,INDIRECT(Y$4))+SUMIF(INDIRECT(Y$3),'Struktur Vorjahr'!$D124,INDIRECT(Y$5)))</f>
        <v>0</v>
      </c>
      <c r="Z124" s="593">
        <f ca="1">$E124*(-SUMIF(INDIRECT(Z$3),'Struktur Vorjahr'!$D124,INDIRECT(Z$4))+SUMIF(INDIRECT(Z$3),'Struktur Vorjahr'!$D124,INDIRECT(Z$5)))</f>
        <v>0</v>
      </c>
      <c r="AA124" s="593">
        <f ca="1">$E124*(-SUMIF(INDIRECT(AA$3),'Struktur Vorjahr'!$D124,INDIRECT(AA$4))+SUMIF(INDIRECT(AA$3),'Struktur Vorjahr'!$D124,INDIRECT(AA$5)))</f>
        <v>0</v>
      </c>
      <c r="AB124" s="593">
        <f ca="1">$E124*(-SUMIF(INDIRECT(AB$3),'Struktur Vorjahr'!$D124,INDIRECT(AB$4))+SUMIF(INDIRECT(AB$3),'Struktur Vorjahr'!$D124,INDIRECT(AB$5)))</f>
        <v>0</v>
      </c>
      <c r="AC124" s="593">
        <f ca="1">$E124*(-SUMIF(INDIRECT(AC$3),'Struktur Vorjahr'!$D124,INDIRECT(AC$4))+SUMIF(INDIRECT(AC$3),'Struktur Vorjahr'!$D124,INDIRECT(AC$5)))</f>
        <v>0</v>
      </c>
      <c r="AD124" s="593">
        <f ca="1">$E124*(-SUMIF(INDIRECT(AD$3),'Struktur Vorjahr'!$D124,INDIRECT(AD$4))+SUMIF(INDIRECT(AD$3),'Struktur Vorjahr'!$D124,INDIRECT(AD$5)))</f>
        <v>0</v>
      </c>
      <c r="AE124" s="593">
        <f t="shared" ca="1" si="63"/>
        <v>0</v>
      </c>
      <c r="AF124" s="593">
        <f t="shared" ca="1" si="64"/>
        <v>0</v>
      </c>
      <c r="AG124" s="593">
        <f t="shared" ca="1" si="64"/>
        <v>0</v>
      </c>
      <c r="AH124" s="593">
        <f t="shared" ca="1" si="64"/>
        <v>0</v>
      </c>
      <c r="AI124" s="593">
        <f t="shared" ca="1" si="64"/>
        <v>0</v>
      </c>
      <c r="AJ124" s="593">
        <f t="shared" ca="1" si="64"/>
        <v>0</v>
      </c>
      <c r="AK124" s="593">
        <f t="shared" ca="1" si="64"/>
        <v>0</v>
      </c>
      <c r="AL124" s="593">
        <f t="shared" ca="1" si="64"/>
        <v>0</v>
      </c>
      <c r="AM124" s="593">
        <f t="shared" ca="1" si="64"/>
        <v>0</v>
      </c>
      <c r="AN124" s="593">
        <f t="shared" ca="1" si="64"/>
        <v>0</v>
      </c>
      <c r="AO124" s="593">
        <f t="shared" ca="1" si="64"/>
        <v>0</v>
      </c>
      <c r="AP124" s="593">
        <f t="shared" ca="1" si="64"/>
        <v>0</v>
      </c>
    </row>
    <row r="125" spans="1:42" s="594" customFormat="1" ht="11.25" outlineLevel="1" x14ac:dyDescent="0.2">
      <c r="A125" s="590"/>
      <c r="B125" s="591" t="str">
        <f>IF(D125&lt;&gt;"",
IF(ISERROR(MATCH(D125,'Ist Vorjahr Monat 01'!A:A,0))=FALSE,INDEX('Ist Vorjahr Monat 01'!B:B,MATCH(D125,'Ist Vorjahr Monat 01'!A:A,0)),
IF(ISERROR(MATCH(D125,'Ist Vorjahr Monat 02'!A:A,0))=FALSE,INDEX('Ist Vorjahr Monat 02'!B:B,MATCH(D125,'Ist Vorjahr Monat 02'!A:A,0)),
IF(ISERROR(MATCH(D125,'Ist Vorjahr Monat 03'!A:A,0))=FALSE,INDEX('Ist Vorjahr Monat 03'!B:B,MATCH(D125,'Ist Vorjahr Monat 03'!A:A,0)),
IF(ISERROR(MATCH(D125,'Ist Vorjahr Monat 04'!A:A,0))=FALSE,INDEX('Ist Vorjahr Monat 04'!B:B,MATCH(D125,'Ist Vorjahr Monat 04'!A:A,0)),
IF(ISERROR(MATCH(D125,'Ist Vorjahr Monat 05'!A:A,0))=FALSE,INDEX('Ist Vorjahr Monat 05'!B:B,MATCH(D125,'Ist Vorjahr Monat 05'!A:A,0)),
IF(ISERROR(MATCH(D125,'Ist Vorjahr Monat 06'!A:A,0))=FALSE,INDEX('Ist Vorjahr Monat 06'!B:B,MATCH(D125,'Ist Vorjahr Monat 06'!A:A,0)),
IF(ISERROR(MATCH(D125,'Ist Vorjahr Monat 07'!A:A,0))=FALSE,INDEX('Ist Vorjahr Monat 07'!B:B,MATCH(D125,'Ist Vorjahr Monat 07'!A:A,0)),
IF(ISERROR(MATCH(D125,'Ist Vorjahr Monat 08'!A:A,0))=FALSE,INDEX('Ist Vorjahr Monat 08'!B:B,MATCH(D125,'Ist Vorjahr Monat 08'!A:A,0)),
IF(ISERROR(MATCH(D125,'Ist Vorjahr Monat 09'!A:A,0))=FALSE,INDEX('Ist Vorjahr Monat 09'!B:B,MATCH(D125,'Ist Vorjahr Monat 09'!A:A,0)),
IF(ISERROR(MATCH(D125,'Ist Vorjahr Monat 10'!A:A,0))=FALSE,INDEX('Ist Vorjahr Monat 10'!B:B,MATCH(D125,'Ist Vorjahr Monat 10'!A:A,0)),
IF(ISERROR(MATCH(D125,'Ist Vorjahr Monat 11'!A:A,0))=FALSE,INDEX('Ist Vorjahr Monat 11'!B:B,MATCH(D125,'Ist Vorjahr Monat 11'!A:A,0)),
IF(ISERROR(MATCH(D125,'Ist Vorjahr Monat 12'!A:A,0))=FALSE,INDEX('Ist Vorjahr Monat 12'!B:B,MATCH(D125,'Ist Vorjahr Monat 12'!A:A,0)),
"{Konto unbekannt}"
)))))))))))),"")</f>
        <v/>
      </c>
      <c r="C125" s="591"/>
      <c r="D125" s="590"/>
      <c r="E125" s="592">
        <f t="shared" si="34"/>
        <v>1</v>
      </c>
      <c r="F125" s="590"/>
      <c r="G125" s="593">
        <f ca="1">$E125*(-SUMIF(INDIRECT(G$3),'Struktur Vorjahr'!$D125,INDIRECT(G$4))+SUMIF(INDIRECT(G$3),'Struktur Vorjahr'!$D125,INDIRECT(G$5)))</f>
        <v>0</v>
      </c>
      <c r="H125" s="593">
        <f ca="1">$E125*(-SUMIF(INDIRECT(H$3),'Struktur Vorjahr'!$D125,INDIRECT(H$4))+SUMIF(INDIRECT(H$3),'Struktur Vorjahr'!$D125,INDIRECT(H$5)))</f>
        <v>0</v>
      </c>
      <c r="I125" s="593">
        <f ca="1">$E125*(-SUMIF(INDIRECT(I$3),'Struktur Vorjahr'!$D125,INDIRECT(I$4))+SUMIF(INDIRECT(I$3),'Struktur Vorjahr'!$D125,INDIRECT(I$5)))</f>
        <v>0</v>
      </c>
      <c r="J125" s="593">
        <f ca="1">$E125*(-SUMIF(INDIRECT(J$3),'Struktur Vorjahr'!$D125,INDIRECT(J$4))+SUMIF(INDIRECT(J$3),'Struktur Vorjahr'!$D125,INDIRECT(J$5)))</f>
        <v>0</v>
      </c>
      <c r="K125" s="593">
        <f ca="1">$E125*(-SUMIF(INDIRECT(K$3),'Struktur Vorjahr'!$D125,INDIRECT(K$4))+SUMIF(INDIRECT(K$3),'Struktur Vorjahr'!$D125,INDIRECT(K$5)))</f>
        <v>0</v>
      </c>
      <c r="L125" s="593">
        <f ca="1">$E125*(-SUMIF(INDIRECT(L$3),'Struktur Vorjahr'!$D125,INDIRECT(L$4))+SUMIF(INDIRECT(L$3),'Struktur Vorjahr'!$D125,INDIRECT(L$5)))</f>
        <v>0</v>
      </c>
      <c r="M125" s="593">
        <f ca="1">$E125*(-SUMIF(INDIRECT(M$3),'Struktur Vorjahr'!$D125,INDIRECT(M$4))+SUMIF(INDIRECT(M$3),'Struktur Vorjahr'!$D125,INDIRECT(M$5)))</f>
        <v>0</v>
      </c>
      <c r="N125" s="593">
        <f ca="1">$E125*(-SUMIF(INDIRECT(N$3),'Struktur Vorjahr'!$D125,INDIRECT(N$4))+SUMIF(INDIRECT(N$3),'Struktur Vorjahr'!$D125,INDIRECT(N$5)))</f>
        <v>0</v>
      </c>
      <c r="O125" s="593">
        <f ca="1">$E125*(-SUMIF(INDIRECT(O$3),'Struktur Vorjahr'!$D125,INDIRECT(O$4))+SUMIF(INDIRECT(O$3),'Struktur Vorjahr'!$D125,INDIRECT(O$5)))</f>
        <v>0</v>
      </c>
      <c r="P125" s="593">
        <f ca="1">$E125*(-SUMIF(INDIRECT(P$3),'Struktur Vorjahr'!$D125,INDIRECT(P$4))+SUMIF(INDIRECT(P$3),'Struktur Vorjahr'!$D125,INDIRECT(P$5)))</f>
        <v>0</v>
      </c>
      <c r="Q125" s="593">
        <f ca="1">$E125*(-SUMIF(INDIRECT(Q$3),'Struktur Vorjahr'!$D125,INDIRECT(Q$4))+SUMIF(INDIRECT(Q$3),'Struktur Vorjahr'!$D125,INDIRECT(Q$5)))</f>
        <v>0</v>
      </c>
      <c r="R125" s="593">
        <f ca="1">$E125*(-SUMIF(INDIRECT(R$3),'Struktur Vorjahr'!$D125,INDIRECT(R$4))+SUMIF(INDIRECT(R$3),'Struktur Vorjahr'!$D125,INDIRECT(R$5)))</f>
        <v>0</v>
      </c>
      <c r="S125" s="593">
        <f ca="1">$E125*(-SUMIF(INDIRECT(S$3),'Struktur Vorjahr'!$D125,INDIRECT(S$4))+SUMIF(INDIRECT(S$3),'Struktur Vorjahr'!$D125,INDIRECT(S$5)))</f>
        <v>0</v>
      </c>
      <c r="T125" s="593">
        <f ca="1">$E125*(-SUMIF(INDIRECT(T$3),'Struktur Vorjahr'!$D125,INDIRECT(T$4))+SUMIF(INDIRECT(T$3),'Struktur Vorjahr'!$D125,INDIRECT(T$5)))</f>
        <v>0</v>
      </c>
      <c r="U125" s="593">
        <f ca="1">$E125*(-SUMIF(INDIRECT(U$3),'Struktur Vorjahr'!$D125,INDIRECT(U$4))+SUMIF(INDIRECT(U$3),'Struktur Vorjahr'!$D125,INDIRECT(U$5)))</f>
        <v>0</v>
      </c>
      <c r="V125" s="593">
        <f ca="1">$E125*(-SUMIF(INDIRECT(V$3),'Struktur Vorjahr'!$D125,INDIRECT(V$4))+SUMIF(INDIRECT(V$3),'Struktur Vorjahr'!$D125,INDIRECT(V$5)))</f>
        <v>0</v>
      </c>
      <c r="W125" s="593">
        <f ca="1">$E125*(-SUMIF(INDIRECT(W$3),'Struktur Vorjahr'!$D125,INDIRECT(W$4))+SUMIF(INDIRECT(W$3),'Struktur Vorjahr'!$D125,INDIRECT(W$5)))</f>
        <v>0</v>
      </c>
      <c r="X125" s="593">
        <f ca="1">$E125*(-SUMIF(INDIRECT(X$3),'Struktur Vorjahr'!$D125,INDIRECT(X$4))+SUMIF(INDIRECT(X$3),'Struktur Vorjahr'!$D125,INDIRECT(X$5)))</f>
        <v>0</v>
      </c>
      <c r="Y125" s="593">
        <f ca="1">$E125*(-SUMIF(INDIRECT(Y$3),'Struktur Vorjahr'!$D125,INDIRECT(Y$4))+SUMIF(INDIRECT(Y$3),'Struktur Vorjahr'!$D125,INDIRECT(Y$5)))</f>
        <v>0</v>
      </c>
      <c r="Z125" s="593">
        <f ca="1">$E125*(-SUMIF(INDIRECT(Z$3),'Struktur Vorjahr'!$D125,INDIRECT(Z$4))+SUMIF(INDIRECT(Z$3),'Struktur Vorjahr'!$D125,INDIRECT(Z$5)))</f>
        <v>0</v>
      </c>
      <c r="AA125" s="593">
        <f ca="1">$E125*(-SUMIF(INDIRECT(AA$3),'Struktur Vorjahr'!$D125,INDIRECT(AA$4))+SUMIF(INDIRECT(AA$3),'Struktur Vorjahr'!$D125,INDIRECT(AA$5)))</f>
        <v>0</v>
      </c>
      <c r="AB125" s="593">
        <f ca="1">$E125*(-SUMIF(INDIRECT(AB$3),'Struktur Vorjahr'!$D125,INDIRECT(AB$4))+SUMIF(INDIRECT(AB$3),'Struktur Vorjahr'!$D125,INDIRECT(AB$5)))</f>
        <v>0</v>
      </c>
      <c r="AC125" s="593">
        <f ca="1">$E125*(-SUMIF(INDIRECT(AC$3),'Struktur Vorjahr'!$D125,INDIRECT(AC$4))+SUMIF(INDIRECT(AC$3),'Struktur Vorjahr'!$D125,INDIRECT(AC$5)))</f>
        <v>0</v>
      </c>
      <c r="AD125" s="593">
        <f ca="1">$E125*(-SUMIF(INDIRECT(AD$3),'Struktur Vorjahr'!$D125,INDIRECT(AD$4))+SUMIF(INDIRECT(AD$3),'Struktur Vorjahr'!$D125,INDIRECT(AD$5)))</f>
        <v>0</v>
      </c>
      <c r="AE125" s="593">
        <f t="shared" ca="1" si="63"/>
        <v>0</v>
      </c>
      <c r="AF125" s="593">
        <f t="shared" ca="1" si="64"/>
        <v>0</v>
      </c>
      <c r="AG125" s="593">
        <f t="shared" ca="1" si="64"/>
        <v>0</v>
      </c>
      <c r="AH125" s="593">
        <f t="shared" ca="1" si="64"/>
        <v>0</v>
      </c>
      <c r="AI125" s="593">
        <f t="shared" ca="1" si="64"/>
        <v>0</v>
      </c>
      <c r="AJ125" s="593">
        <f t="shared" ca="1" si="64"/>
        <v>0</v>
      </c>
      <c r="AK125" s="593">
        <f t="shared" ca="1" si="64"/>
        <v>0</v>
      </c>
      <c r="AL125" s="593">
        <f t="shared" ca="1" si="64"/>
        <v>0</v>
      </c>
      <c r="AM125" s="593">
        <f t="shared" ca="1" si="64"/>
        <v>0</v>
      </c>
      <c r="AN125" s="593">
        <f t="shared" ca="1" si="64"/>
        <v>0</v>
      </c>
      <c r="AO125" s="593">
        <f t="shared" ca="1" si="64"/>
        <v>0</v>
      </c>
      <c r="AP125" s="593">
        <f t="shared" ca="1" si="64"/>
        <v>0</v>
      </c>
    </row>
    <row r="126" spans="1:42" s="594" customFormat="1" ht="11.25" outlineLevel="1" x14ac:dyDescent="0.2">
      <c r="A126" s="590"/>
      <c r="B126" s="591" t="str">
        <f>IF(D126&lt;&gt;"",
IF(ISERROR(MATCH(D126,'Ist Vorjahr Monat 01'!A:A,0))=FALSE,INDEX('Ist Vorjahr Monat 01'!B:B,MATCH(D126,'Ist Vorjahr Monat 01'!A:A,0)),
IF(ISERROR(MATCH(D126,'Ist Vorjahr Monat 02'!A:A,0))=FALSE,INDEX('Ist Vorjahr Monat 02'!B:B,MATCH(D126,'Ist Vorjahr Monat 02'!A:A,0)),
IF(ISERROR(MATCH(D126,'Ist Vorjahr Monat 03'!A:A,0))=FALSE,INDEX('Ist Vorjahr Monat 03'!B:B,MATCH(D126,'Ist Vorjahr Monat 03'!A:A,0)),
IF(ISERROR(MATCH(D126,'Ist Vorjahr Monat 04'!A:A,0))=FALSE,INDEX('Ist Vorjahr Monat 04'!B:B,MATCH(D126,'Ist Vorjahr Monat 04'!A:A,0)),
IF(ISERROR(MATCH(D126,'Ist Vorjahr Monat 05'!A:A,0))=FALSE,INDEX('Ist Vorjahr Monat 05'!B:B,MATCH(D126,'Ist Vorjahr Monat 05'!A:A,0)),
IF(ISERROR(MATCH(D126,'Ist Vorjahr Monat 06'!A:A,0))=FALSE,INDEX('Ist Vorjahr Monat 06'!B:B,MATCH(D126,'Ist Vorjahr Monat 06'!A:A,0)),
IF(ISERROR(MATCH(D126,'Ist Vorjahr Monat 07'!A:A,0))=FALSE,INDEX('Ist Vorjahr Monat 07'!B:B,MATCH(D126,'Ist Vorjahr Monat 07'!A:A,0)),
IF(ISERROR(MATCH(D126,'Ist Vorjahr Monat 08'!A:A,0))=FALSE,INDEX('Ist Vorjahr Monat 08'!B:B,MATCH(D126,'Ist Vorjahr Monat 08'!A:A,0)),
IF(ISERROR(MATCH(D126,'Ist Vorjahr Monat 09'!A:A,0))=FALSE,INDEX('Ist Vorjahr Monat 09'!B:B,MATCH(D126,'Ist Vorjahr Monat 09'!A:A,0)),
IF(ISERROR(MATCH(D126,'Ist Vorjahr Monat 10'!A:A,0))=FALSE,INDEX('Ist Vorjahr Monat 10'!B:B,MATCH(D126,'Ist Vorjahr Monat 10'!A:A,0)),
IF(ISERROR(MATCH(D126,'Ist Vorjahr Monat 11'!A:A,0))=FALSE,INDEX('Ist Vorjahr Monat 11'!B:B,MATCH(D126,'Ist Vorjahr Monat 11'!A:A,0)),
IF(ISERROR(MATCH(D126,'Ist Vorjahr Monat 12'!A:A,0))=FALSE,INDEX('Ist Vorjahr Monat 12'!B:B,MATCH(D126,'Ist Vorjahr Monat 12'!A:A,0)),
"{Konto unbekannt}"
)))))))))))),"")</f>
        <v/>
      </c>
      <c r="C126" s="591"/>
      <c r="D126" s="590"/>
      <c r="E126" s="592">
        <f t="shared" ref="E126:E206" si="65">IF(F126="-",-1,1)</f>
        <v>1</v>
      </c>
      <c r="F126" s="590"/>
      <c r="G126" s="593">
        <f ca="1">$E126*(-SUMIF(INDIRECT(G$3),'Struktur Vorjahr'!$D126,INDIRECT(G$4))+SUMIF(INDIRECT(G$3),'Struktur Vorjahr'!$D126,INDIRECT(G$5)))</f>
        <v>0</v>
      </c>
      <c r="H126" s="593">
        <f ca="1">$E126*(-SUMIF(INDIRECT(H$3),'Struktur Vorjahr'!$D126,INDIRECT(H$4))+SUMIF(INDIRECT(H$3),'Struktur Vorjahr'!$D126,INDIRECT(H$5)))</f>
        <v>0</v>
      </c>
      <c r="I126" s="593">
        <f ca="1">$E126*(-SUMIF(INDIRECT(I$3),'Struktur Vorjahr'!$D126,INDIRECT(I$4))+SUMIF(INDIRECT(I$3),'Struktur Vorjahr'!$D126,INDIRECT(I$5)))</f>
        <v>0</v>
      </c>
      <c r="J126" s="593">
        <f ca="1">$E126*(-SUMIF(INDIRECT(J$3),'Struktur Vorjahr'!$D126,INDIRECT(J$4))+SUMIF(INDIRECT(J$3),'Struktur Vorjahr'!$D126,INDIRECT(J$5)))</f>
        <v>0</v>
      </c>
      <c r="K126" s="593">
        <f ca="1">$E126*(-SUMIF(INDIRECT(K$3),'Struktur Vorjahr'!$D126,INDIRECT(K$4))+SUMIF(INDIRECT(K$3),'Struktur Vorjahr'!$D126,INDIRECT(K$5)))</f>
        <v>0</v>
      </c>
      <c r="L126" s="593">
        <f ca="1">$E126*(-SUMIF(INDIRECT(L$3),'Struktur Vorjahr'!$D126,INDIRECT(L$4))+SUMIF(INDIRECT(L$3),'Struktur Vorjahr'!$D126,INDIRECT(L$5)))</f>
        <v>0</v>
      </c>
      <c r="M126" s="593">
        <f ca="1">$E126*(-SUMIF(INDIRECT(M$3),'Struktur Vorjahr'!$D126,INDIRECT(M$4))+SUMIF(INDIRECT(M$3),'Struktur Vorjahr'!$D126,INDIRECT(M$5)))</f>
        <v>0</v>
      </c>
      <c r="N126" s="593">
        <f ca="1">$E126*(-SUMIF(INDIRECT(N$3),'Struktur Vorjahr'!$D126,INDIRECT(N$4))+SUMIF(INDIRECT(N$3),'Struktur Vorjahr'!$D126,INDIRECT(N$5)))</f>
        <v>0</v>
      </c>
      <c r="O126" s="593">
        <f ca="1">$E126*(-SUMIF(INDIRECT(O$3),'Struktur Vorjahr'!$D126,INDIRECT(O$4))+SUMIF(INDIRECT(O$3),'Struktur Vorjahr'!$D126,INDIRECT(O$5)))</f>
        <v>0</v>
      </c>
      <c r="P126" s="593">
        <f ca="1">$E126*(-SUMIF(INDIRECT(P$3),'Struktur Vorjahr'!$D126,INDIRECT(P$4))+SUMIF(INDIRECT(P$3),'Struktur Vorjahr'!$D126,INDIRECT(P$5)))</f>
        <v>0</v>
      </c>
      <c r="Q126" s="593">
        <f ca="1">$E126*(-SUMIF(INDIRECT(Q$3),'Struktur Vorjahr'!$D126,INDIRECT(Q$4))+SUMIF(INDIRECT(Q$3),'Struktur Vorjahr'!$D126,INDIRECT(Q$5)))</f>
        <v>0</v>
      </c>
      <c r="R126" s="593">
        <f ca="1">$E126*(-SUMIF(INDIRECT(R$3),'Struktur Vorjahr'!$D126,INDIRECT(R$4))+SUMIF(INDIRECT(R$3),'Struktur Vorjahr'!$D126,INDIRECT(R$5)))</f>
        <v>0</v>
      </c>
      <c r="S126" s="593">
        <f ca="1">$E126*(-SUMIF(INDIRECT(S$3),'Struktur Vorjahr'!$D126,INDIRECT(S$4))+SUMIF(INDIRECT(S$3),'Struktur Vorjahr'!$D126,INDIRECT(S$5)))</f>
        <v>0</v>
      </c>
      <c r="T126" s="593">
        <f ca="1">$E126*(-SUMIF(INDIRECT(T$3),'Struktur Vorjahr'!$D126,INDIRECT(T$4))+SUMIF(INDIRECT(T$3),'Struktur Vorjahr'!$D126,INDIRECT(T$5)))</f>
        <v>0</v>
      </c>
      <c r="U126" s="593">
        <f ca="1">$E126*(-SUMIF(INDIRECT(U$3),'Struktur Vorjahr'!$D126,INDIRECT(U$4))+SUMIF(INDIRECT(U$3),'Struktur Vorjahr'!$D126,INDIRECT(U$5)))</f>
        <v>0</v>
      </c>
      <c r="V126" s="593">
        <f ca="1">$E126*(-SUMIF(INDIRECT(V$3),'Struktur Vorjahr'!$D126,INDIRECT(V$4))+SUMIF(INDIRECT(V$3),'Struktur Vorjahr'!$D126,INDIRECT(V$5)))</f>
        <v>0</v>
      </c>
      <c r="W126" s="593">
        <f ca="1">$E126*(-SUMIF(INDIRECT(W$3),'Struktur Vorjahr'!$D126,INDIRECT(W$4))+SUMIF(INDIRECT(W$3),'Struktur Vorjahr'!$D126,INDIRECT(W$5)))</f>
        <v>0</v>
      </c>
      <c r="X126" s="593">
        <f ca="1">$E126*(-SUMIF(INDIRECT(X$3),'Struktur Vorjahr'!$D126,INDIRECT(X$4))+SUMIF(INDIRECT(X$3),'Struktur Vorjahr'!$D126,INDIRECT(X$5)))</f>
        <v>0</v>
      </c>
      <c r="Y126" s="593">
        <f ca="1">$E126*(-SUMIF(INDIRECT(Y$3),'Struktur Vorjahr'!$D126,INDIRECT(Y$4))+SUMIF(INDIRECT(Y$3),'Struktur Vorjahr'!$D126,INDIRECT(Y$5)))</f>
        <v>0</v>
      </c>
      <c r="Z126" s="593">
        <f ca="1">$E126*(-SUMIF(INDIRECT(Z$3),'Struktur Vorjahr'!$D126,INDIRECT(Z$4))+SUMIF(INDIRECT(Z$3),'Struktur Vorjahr'!$D126,INDIRECT(Z$5)))</f>
        <v>0</v>
      </c>
      <c r="AA126" s="593">
        <f ca="1">$E126*(-SUMIF(INDIRECT(AA$3),'Struktur Vorjahr'!$D126,INDIRECT(AA$4))+SUMIF(INDIRECT(AA$3),'Struktur Vorjahr'!$D126,INDIRECT(AA$5)))</f>
        <v>0</v>
      </c>
      <c r="AB126" s="593">
        <f ca="1">$E126*(-SUMIF(INDIRECT(AB$3),'Struktur Vorjahr'!$D126,INDIRECT(AB$4))+SUMIF(INDIRECT(AB$3),'Struktur Vorjahr'!$D126,INDIRECT(AB$5)))</f>
        <v>0</v>
      </c>
      <c r="AC126" s="593">
        <f ca="1">$E126*(-SUMIF(INDIRECT(AC$3),'Struktur Vorjahr'!$D126,INDIRECT(AC$4))+SUMIF(INDIRECT(AC$3),'Struktur Vorjahr'!$D126,INDIRECT(AC$5)))</f>
        <v>0</v>
      </c>
      <c r="AD126" s="593">
        <f ca="1">$E126*(-SUMIF(INDIRECT(AD$3),'Struktur Vorjahr'!$D126,INDIRECT(AD$4))+SUMIF(INDIRECT(AD$3),'Struktur Vorjahr'!$D126,INDIRECT(AD$5)))</f>
        <v>0</v>
      </c>
      <c r="AE126" s="593">
        <f t="shared" ca="1" si="63"/>
        <v>0</v>
      </c>
      <c r="AF126" s="593">
        <f t="shared" ca="1" si="64"/>
        <v>0</v>
      </c>
      <c r="AG126" s="593">
        <f t="shared" ca="1" si="64"/>
        <v>0</v>
      </c>
      <c r="AH126" s="593">
        <f t="shared" ca="1" si="64"/>
        <v>0</v>
      </c>
      <c r="AI126" s="593">
        <f t="shared" ca="1" si="64"/>
        <v>0</v>
      </c>
      <c r="AJ126" s="593">
        <f t="shared" ca="1" si="64"/>
        <v>0</v>
      </c>
      <c r="AK126" s="593">
        <f t="shared" ca="1" si="64"/>
        <v>0</v>
      </c>
      <c r="AL126" s="593">
        <f t="shared" ca="1" si="64"/>
        <v>0</v>
      </c>
      <c r="AM126" s="593">
        <f t="shared" ca="1" si="64"/>
        <v>0</v>
      </c>
      <c r="AN126" s="593">
        <f t="shared" ca="1" si="64"/>
        <v>0</v>
      </c>
      <c r="AO126" s="593">
        <f t="shared" ca="1" si="64"/>
        <v>0</v>
      </c>
      <c r="AP126" s="593">
        <f t="shared" ca="1" si="64"/>
        <v>0</v>
      </c>
    </row>
    <row r="127" spans="1:42" s="589" customFormat="1" x14ac:dyDescent="0.2">
      <c r="A127" s="585">
        <v>11</v>
      </c>
      <c r="B127" s="586" t="s">
        <v>1007</v>
      </c>
      <c r="C127" s="587">
        <f ca="1">SUM(G127:R127)</f>
        <v>27015.530000000002</v>
      </c>
      <c r="D127" s="587"/>
      <c r="E127" s="588">
        <f t="shared" si="65"/>
        <v>1</v>
      </c>
      <c r="F127" s="585"/>
      <c r="G127" s="587">
        <f ca="1">SUM(G128:G135)</f>
        <v>2537.67</v>
      </c>
      <c r="H127" s="587">
        <f t="shared" ref="H127:R127" ca="1" si="66">SUM(H128:H135)</f>
        <v>2527.3399999999997</v>
      </c>
      <c r="I127" s="587">
        <f t="shared" ca="1" si="66"/>
        <v>2613.4300000000003</v>
      </c>
      <c r="J127" s="587">
        <f t="shared" ca="1" si="66"/>
        <v>2816.55</v>
      </c>
      <c r="K127" s="587">
        <f t="shared" ca="1" si="66"/>
        <v>2442.4300000000003</v>
      </c>
      <c r="L127" s="587">
        <f t="shared" ca="1" si="66"/>
        <v>2463.62</v>
      </c>
      <c r="M127" s="587">
        <f t="shared" ca="1" si="66"/>
        <v>4831.4900000000007</v>
      </c>
      <c r="N127" s="587">
        <f t="shared" ca="1" si="66"/>
        <v>2080.23</v>
      </c>
      <c r="O127" s="587">
        <f t="shared" ca="1" si="66"/>
        <v>2414.1799999999998</v>
      </c>
      <c r="P127" s="587">
        <f t="shared" ca="1" si="66"/>
        <v>2288.59</v>
      </c>
      <c r="Q127" s="587">
        <f t="shared" ca="1" si="66"/>
        <v>0</v>
      </c>
      <c r="R127" s="587">
        <f t="shared" ca="1" si="66"/>
        <v>0</v>
      </c>
      <c r="S127" s="587">
        <f ca="1">SUM(S128:S135)</f>
        <v>2537.67</v>
      </c>
      <c r="T127" s="587">
        <f t="shared" ref="T127:AD127" ca="1" si="67">SUM(T128:T135)</f>
        <v>5065.01</v>
      </c>
      <c r="U127" s="587">
        <f t="shared" ca="1" si="67"/>
        <v>7678.4400000000005</v>
      </c>
      <c r="V127" s="587">
        <f t="shared" ca="1" si="67"/>
        <v>10494.99</v>
      </c>
      <c r="W127" s="587">
        <f t="shared" ca="1" si="67"/>
        <v>12937.42</v>
      </c>
      <c r="X127" s="587">
        <f t="shared" ca="1" si="67"/>
        <v>15401.039999999999</v>
      </c>
      <c r="Y127" s="587">
        <f t="shared" ca="1" si="67"/>
        <v>20232.53</v>
      </c>
      <c r="Z127" s="587">
        <f t="shared" ca="1" si="67"/>
        <v>22312.759999999995</v>
      </c>
      <c r="AA127" s="587">
        <f t="shared" ca="1" si="67"/>
        <v>24726.94</v>
      </c>
      <c r="AB127" s="587">
        <f t="shared" ca="1" si="67"/>
        <v>27015.529999999995</v>
      </c>
      <c r="AC127" s="587">
        <f t="shared" ca="1" si="67"/>
        <v>0</v>
      </c>
      <c r="AD127" s="587">
        <f t="shared" ca="1" si="67"/>
        <v>0</v>
      </c>
      <c r="AE127" s="587">
        <f ca="1">SUM(AE128:AE135)</f>
        <v>2537.67</v>
      </c>
      <c r="AF127" s="587">
        <f t="shared" ref="AF127:AP127" ca="1" si="68">SUM(AF128:AF135)</f>
        <v>5065.01</v>
      </c>
      <c r="AG127" s="587">
        <f t="shared" ca="1" si="68"/>
        <v>7678.4400000000005</v>
      </c>
      <c r="AH127" s="587">
        <f t="shared" ca="1" si="68"/>
        <v>10494.99</v>
      </c>
      <c r="AI127" s="587">
        <f t="shared" ca="1" si="68"/>
        <v>12937.42</v>
      </c>
      <c r="AJ127" s="587">
        <f t="shared" ca="1" si="68"/>
        <v>15401.04</v>
      </c>
      <c r="AK127" s="587">
        <f t="shared" ca="1" si="68"/>
        <v>20232.53</v>
      </c>
      <c r="AL127" s="587">
        <f t="shared" ca="1" si="68"/>
        <v>22312.760000000002</v>
      </c>
      <c r="AM127" s="587">
        <f t="shared" ca="1" si="68"/>
        <v>24726.940000000002</v>
      </c>
      <c r="AN127" s="587">
        <f t="shared" ca="1" si="68"/>
        <v>27015.53</v>
      </c>
      <c r="AO127" s="587">
        <f t="shared" ca="1" si="68"/>
        <v>27015.53</v>
      </c>
      <c r="AP127" s="587">
        <f t="shared" ca="1" si="68"/>
        <v>27015.53</v>
      </c>
    </row>
    <row r="128" spans="1:42" s="594" customFormat="1" ht="11.25" outlineLevel="1" x14ac:dyDescent="0.2">
      <c r="A128" s="590"/>
      <c r="B128" s="591" t="str">
        <f>IF(D128&lt;&gt;"",
IF(ISERROR(MATCH(D128,'Ist Vorjahr Monat 01'!A:A,0))=FALSE,INDEX('Ist Vorjahr Monat 01'!B:B,MATCH(D128,'Ist Vorjahr Monat 01'!A:A,0)),
IF(ISERROR(MATCH(D128,'Ist Vorjahr Monat 02'!A:A,0))=FALSE,INDEX('Ist Vorjahr Monat 02'!B:B,MATCH(D128,'Ist Vorjahr Monat 02'!A:A,0)),
IF(ISERROR(MATCH(D128,'Ist Vorjahr Monat 03'!A:A,0))=FALSE,INDEX('Ist Vorjahr Monat 03'!B:B,MATCH(D128,'Ist Vorjahr Monat 03'!A:A,0)),
IF(ISERROR(MATCH(D128,'Ist Vorjahr Monat 04'!A:A,0))=FALSE,INDEX('Ist Vorjahr Monat 04'!B:B,MATCH(D128,'Ist Vorjahr Monat 04'!A:A,0)),
IF(ISERROR(MATCH(D128,'Ist Vorjahr Monat 05'!A:A,0))=FALSE,INDEX('Ist Vorjahr Monat 05'!B:B,MATCH(D128,'Ist Vorjahr Monat 05'!A:A,0)),
IF(ISERROR(MATCH(D128,'Ist Vorjahr Monat 06'!A:A,0))=FALSE,INDEX('Ist Vorjahr Monat 06'!B:B,MATCH(D128,'Ist Vorjahr Monat 06'!A:A,0)),
IF(ISERROR(MATCH(D128,'Ist Vorjahr Monat 07'!A:A,0))=FALSE,INDEX('Ist Vorjahr Monat 07'!B:B,MATCH(D128,'Ist Vorjahr Monat 07'!A:A,0)),
IF(ISERROR(MATCH(D128,'Ist Vorjahr Monat 08'!A:A,0))=FALSE,INDEX('Ist Vorjahr Monat 08'!B:B,MATCH(D128,'Ist Vorjahr Monat 08'!A:A,0)),
IF(ISERROR(MATCH(D128,'Ist Vorjahr Monat 09'!A:A,0))=FALSE,INDEX('Ist Vorjahr Monat 09'!B:B,MATCH(D128,'Ist Vorjahr Monat 09'!A:A,0)),
IF(ISERROR(MATCH(D128,'Ist Vorjahr Monat 10'!A:A,0))=FALSE,INDEX('Ist Vorjahr Monat 10'!B:B,MATCH(D128,'Ist Vorjahr Monat 10'!A:A,0)),
IF(ISERROR(MATCH(D128,'Ist Vorjahr Monat 11'!A:A,0))=FALSE,INDEX('Ist Vorjahr Monat 11'!B:B,MATCH(D128,'Ist Vorjahr Monat 11'!A:A,0)),
IF(ISERROR(MATCH(D128,'Ist Vorjahr Monat 12'!A:A,0))=FALSE,INDEX('Ist Vorjahr Monat 12'!B:B,MATCH(D128,'Ist Vorjahr Monat 12'!A:A,0)),
"{Konto unbekannt}"
)))))))))))),"")</f>
        <v>AG-Ant. SV "Full-Service BOMAG</v>
      </c>
      <c r="C128" s="591"/>
      <c r="D128" s="590">
        <v>4130</v>
      </c>
      <c r="E128" s="592">
        <f t="shared" si="65"/>
        <v>1</v>
      </c>
      <c r="F128" s="590"/>
      <c r="G128" s="593">
        <f ca="1">$E128*(-SUMIF(INDIRECT(G$3),'Struktur Vorjahr'!$D128,INDIRECT(G$4))+SUMIF(INDIRECT(G$3),'Struktur Vorjahr'!$D128,INDIRECT(G$5)))</f>
        <v>169.15</v>
      </c>
      <c r="H128" s="593">
        <f ca="1">$E128*(-SUMIF(INDIRECT(H$3),'Struktur Vorjahr'!$D128,INDIRECT(H$4))+SUMIF(INDIRECT(H$3),'Struktur Vorjahr'!$D128,INDIRECT(H$5)))</f>
        <v>507.44</v>
      </c>
      <c r="I128" s="593">
        <f ca="1">$E128*(-SUMIF(INDIRECT(I$3),'Struktur Vorjahr'!$D128,INDIRECT(I$4))+SUMIF(INDIRECT(I$3),'Struktur Vorjahr'!$D128,INDIRECT(I$5)))</f>
        <v>169.14</v>
      </c>
      <c r="J128" s="593">
        <f ca="1">$E128*(-SUMIF(INDIRECT(J$3),'Struktur Vorjahr'!$D128,INDIRECT(J$4))+SUMIF(INDIRECT(J$3),'Struktur Vorjahr'!$D128,INDIRECT(J$5)))</f>
        <v>169.14</v>
      </c>
      <c r="K128" s="593">
        <f ca="1">$E128*(-SUMIF(INDIRECT(K$3),'Struktur Vorjahr'!$D128,INDIRECT(K$4))+SUMIF(INDIRECT(K$3),'Struktur Vorjahr'!$D128,INDIRECT(K$5)))</f>
        <v>338.29</v>
      </c>
      <c r="L128" s="593">
        <f ca="1">$E128*(-SUMIF(INDIRECT(L$3),'Struktur Vorjahr'!$D128,INDIRECT(L$4))+SUMIF(INDIRECT(L$3),'Struktur Vorjahr'!$D128,INDIRECT(L$5)))</f>
        <v>207.33</v>
      </c>
      <c r="M128" s="593">
        <f ca="1">$E128*(-SUMIF(INDIRECT(M$3),'Struktur Vorjahr'!$D128,INDIRECT(M$4))+SUMIF(INDIRECT(M$3),'Struktur Vorjahr'!$D128,INDIRECT(M$5)))</f>
        <v>0</v>
      </c>
      <c r="N128" s="593">
        <f ca="1">$E128*(-SUMIF(INDIRECT(N$3),'Struktur Vorjahr'!$D128,INDIRECT(N$4))+SUMIF(INDIRECT(N$3),'Struktur Vorjahr'!$D128,INDIRECT(N$5)))</f>
        <v>0</v>
      </c>
      <c r="O128" s="593">
        <f ca="1">$E128*(-SUMIF(INDIRECT(O$3),'Struktur Vorjahr'!$D128,INDIRECT(O$4))+SUMIF(INDIRECT(O$3),'Struktur Vorjahr'!$D128,INDIRECT(O$5)))</f>
        <v>0</v>
      </c>
      <c r="P128" s="593">
        <f ca="1">$E128*(-SUMIF(INDIRECT(P$3),'Struktur Vorjahr'!$D128,INDIRECT(P$4))+SUMIF(INDIRECT(P$3),'Struktur Vorjahr'!$D128,INDIRECT(P$5)))</f>
        <v>0</v>
      </c>
      <c r="Q128" s="593">
        <f ca="1">$E128*(-SUMIF(INDIRECT(Q$3),'Struktur Vorjahr'!$D128,INDIRECT(Q$4))+SUMIF(INDIRECT(Q$3),'Struktur Vorjahr'!$D128,INDIRECT(Q$5)))</f>
        <v>0</v>
      </c>
      <c r="R128" s="593">
        <f ca="1">$E128*(-SUMIF(INDIRECT(R$3),'Struktur Vorjahr'!$D128,INDIRECT(R$4))+SUMIF(INDIRECT(R$3),'Struktur Vorjahr'!$D128,INDIRECT(R$5)))</f>
        <v>0</v>
      </c>
      <c r="S128" s="593">
        <f ca="1">$E128*(-SUMIF(INDIRECT(S$3),'Struktur Vorjahr'!$D128,INDIRECT(S$4))+SUMIF(INDIRECT(S$3),'Struktur Vorjahr'!$D128,INDIRECT(S$5)))</f>
        <v>169.15</v>
      </c>
      <c r="T128" s="593">
        <f ca="1">$E128*(-SUMIF(INDIRECT(T$3),'Struktur Vorjahr'!$D128,INDIRECT(T$4))+SUMIF(INDIRECT(T$3),'Struktur Vorjahr'!$D128,INDIRECT(T$5)))</f>
        <v>676.59</v>
      </c>
      <c r="U128" s="593">
        <f ca="1">$E128*(-SUMIF(INDIRECT(U$3),'Struktur Vorjahr'!$D128,INDIRECT(U$4))+SUMIF(INDIRECT(U$3),'Struktur Vorjahr'!$D128,INDIRECT(U$5)))</f>
        <v>845.73</v>
      </c>
      <c r="V128" s="593">
        <f ca="1">$E128*(-SUMIF(INDIRECT(V$3),'Struktur Vorjahr'!$D128,INDIRECT(V$4))+SUMIF(INDIRECT(V$3),'Struktur Vorjahr'!$D128,INDIRECT(V$5)))</f>
        <v>1014.87</v>
      </c>
      <c r="W128" s="593">
        <f ca="1">$E128*(-SUMIF(INDIRECT(W$3),'Struktur Vorjahr'!$D128,INDIRECT(W$4))+SUMIF(INDIRECT(W$3),'Struktur Vorjahr'!$D128,INDIRECT(W$5)))</f>
        <v>1353.16</v>
      </c>
      <c r="X128" s="593">
        <f ca="1">$E128*(-SUMIF(INDIRECT(X$3),'Struktur Vorjahr'!$D128,INDIRECT(X$4))+SUMIF(INDIRECT(X$3),'Struktur Vorjahr'!$D128,INDIRECT(X$5)))</f>
        <v>1560.49</v>
      </c>
      <c r="Y128" s="593">
        <f ca="1">$E128*(-SUMIF(INDIRECT(Y$3),'Struktur Vorjahr'!$D128,INDIRECT(Y$4))+SUMIF(INDIRECT(Y$3),'Struktur Vorjahr'!$D128,INDIRECT(Y$5)))</f>
        <v>1560.49</v>
      </c>
      <c r="Z128" s="593">
        <f ca="1">$E128*(-SUMIF(INDIRECT(Z$3),'Struktur Vorjahr'!$D128,INDIRECT(Z$4))+SUMIF(INDIRECT(Z$3),'Struktur Vorjahr'!$D128,INDIRECT(Z$5)))</f>
        <v>1560.49</v>
      </c>
      <c r="AA128" s="593">
        <f ca="1">$E128*(-SUMIF(INDIRECT(AA$3),'Struktur Vorjahr'!$D128,INDIRECT(AA$4))+SUMIF(INDIRECT(AA$3),'Struktur Vorjahr'!$D128,INDIRECT(AA$5)))</f>
        <v>1560.49</v>
      </c>
      <c r="AB128" s="593">
        <f ca="1">$E128*(-SUMIF(INDIRECT(AB$3),'Struktur Vorjahr'!$D128,INDIRECT(AB$4))+SUMIF(INDIRECT(AB$3),'Struktur Vorjahr'!$D128,INDIRECT(AB$5)))</f>
        <v>1560.49</v>
      </c>
      <c r="AC128" s="593">
        <f ca="1">$E128*(-SUMIF(INDIRECT(AC$3),'Struktur Vorjahr'!$D128,INDIRECT(AC$4))+SUMIF(INDIRECT(AC$3),'Struktur Vorjahr'!$D128,INDIRECT(AC$5)))</f>
        <v>0</v>
      </c>
      <c r="AD128" s="593">
        <f ca="1">$E128*(-SUMIF(INDIRECT(AD$3),'Struktur Vorjahr'!$D128,INDIRECT(AD$4))+SUMIF(INDIRECT(AD$3),'Struktur Vorjahr'!$D128,INDIRECT(AD$5)))</f>
        <v>0</v>
      </c>
      <c r="AE128" s="593">
        <f t="shared" ref="AE128:AE135" ca="1" si="69">G128</f>
        <v>169.15</v>
      </c>
      <c r="AF128" s="593">
        <f t="shared" ref="AF128:AP135" ca="1" si="70">H128+AE128</f>
        <v>676.59</v>
      </c>
      <c r="AG128" s="593">
        <f t="shared" ca="1" si="70"/>
        <v>845.73</v>
      </c>
      <c r="AH128" s="593">
        <f t="shared" ca="1" si="70"/>
        <v>1014.87</v>
      </c>
      <c r="AI128" s="593">
        <f t="shared" ca="1" si="70"/>
        <v>1353.16</v>
      </c>
      <c r="AJ128" s="593">
        <f t="shared" ca="1" si="70"/>
        <v>1560.49</v>
      </c>
      <c r="AK128" s="593">
        <f t="shared" ca="1" si="70"/>
        <v>1560.49</v>
      </c>
      <c r="AL128" s="593">
        <f t="shared" ca="1" si="70"/>
        <v>1560.49</v>
      </c>
      <c r="AM128" s="593">
        <f t="shared" ca="1" si="70"/>
        <v>1560.49</v>
      </c>
      <c r="AN128" s="593">
        <f t="shared" ca="1" si="70"/>
        <v>1560.49</v>
      </c>
      <c r="AO128" s="593">
        <f t="shared" ca="1" si="70"/>
        <v>1560.49</v>
      </c>
      <c r="AP128" s="593">
        <f t="shared" ca="1" si="70"/>
        <v>1560.49</v>
      </c>
    </row>
    <row r="129" spans="1:42" s="594" customFormat="1" ht="11.25" outlineLevel="1" x14ac:dyDescent="0.2">
      <c r="A129" s="590"/>
      <c r="B129" s="591" t="str">
        <f>IF(D129&lt;&gt;"",
IF(ISERROR(MATCH(D129,'Ist Vorjahr Monat 01'!A:A,0))=FALSE,INDEX('Ist Vorjahr Monat 01'!B:B,MATCH(D129,'Ist Vorjahr Monat 01'!A:A,0)),
IF(ISERROR(MATCH(D129,'Ist Vorjahr Monat 02'!A:A,0))=FALSE,INDEX('Ist Vorjahr Monat 02'!B:B,MATCH(D129,'Ist Vorjahr Monat 02'!A:A,0)),
IF(ISERROR(MATCH(D129,'Ist Vorjahr Monat 03'!A:A,0))=FALSE,INDEX('Ist Vorjahr Monat 03'!B:B,MATCH(D129,'Ist Vorjahr Monat 03'!A:A,0)),
IF(ISERROR(MATCH(D129,'Ist Vorjahr Monat 04'!A:A,0))=FALSE,INDEX('Ist Vorjahr Monat 04'!B:B,MATCH(D129,'Ist Vorjahr Monat 04'!A:A,0)),
IF(ISERROR(MATCH(D129,'Ist Vorjahr Monat 05'!A:A,0))=FALSE,INDEX('Ist Vorjahr Monat 05'!B:B,MATCH(D129,'Ist Vorjahr Monat 05'!A:A,0)),
IF(ISERROR(MATCH(D129,'Ist Vorjahr Monat 06'!A:A,0))=FALSE,INDEX('Ist Vorjahr Monat 06'!B:B,MATCH(D129,'Ist Vorjahr Monat 06'!A:A,0)),
IF(ISERROR(MATCH(D129,'Ist Vorjahr Monat 07'!A:A,0))=FALSE,INDEX('Ist Vorjahr Monat 07'!B:B,MATCH(D129,'Ist Vorjahr Monat 07'!A:A,0)),
IF(ISERROR(MATCH(D129,'Ist Vorjahr Monat 08'!A:A,0))=FALSE,INDEX('Ist Vorjahr Monat 08'!B:B,MATCH(D129,'Ist Vorjahr Monat 08'!A:A,0)),
IF(ISERROR(MATCH(D129,'Ist Vorjahr Monat 09'!A:A,0))=FALSE,INDEX('Ist Vorjahr Monat 09'!B:B,MATCH(D129,'Ist Vorjahr Monat 09'!A:A,0)),
IF(ISERROR(MATCH(D129,'Ist Vorjahr Monat 10'!A:A,0))=FALSE,INDEX('Ist Vorjahr Monat 10'!B:B,MATCH(D129,'Ist Vorjahr Monat 10'!A:A,0)),
IF(ISERROR(MATCH(D129,'Ist Vorjahr Monat 11'!A:A,0))=FALSE,INDEX('Ist Vorjahr Monat 11'!B:B,MATCH(D129,'Ist Vorjahr Monat 11'!A:A,0)),
IF(ISERROR(MATCH(D129,'Ist Vorjahr Monat 12'!A:A,0))=FALSE,INDEX('Ist Vorjahr Monat 12'!B:B,MATCH(D129,'Ist Vorjahr Monat 12'!A:A,0)),
"{Konto unbekannt}"
)))))))))))),"")</f>
        <v>AG-Anteil Sozialversicherung allgemein</v>
      </c>
      <c r="C129" s="591"/>
      <c r="D129" s="590">
        <v>4131</v>
      </c>
      <c r="E129" s="592">
        <f t="shared" si="65"/>
        <v>1</v>
      </c>
      <c r="F129" s="590"/>
      <c r="G129" s="593">
        <f ca="1">$E129*(-SUMIF(INDIRECT(G$3),'Struktur Vorjahr'!$D129,INDIRECT(G$4))+SUMIF(INDIRECT(G$3),'Struktur Vorjahr'!$D129,INDIRECT(G$5)))</f>
        <v>561.15</v>
      </c>
      <c r="H129" s="593">
        <f ca="1">$E129*(-SUMIF(INDIRECT(H$3),'Struktur Vorjahr'!$D129,INDIRECT(H$4))+SUMIF(INDIRECT(H$3),'Struktur Vorjahr'!$D129,INDIRECT(H$5)))</f>
        <v>561.15</v>
      </c>
      <c r="I129" s="593">
        <f ca="1">$E129*(-SUMIF(INDIRECT(I$3),'Struktur Vorjahr'!$D129,INDIRECT(I$4))+SUMIF(INDIRECT(I$3),'Struktur Vorjahr'!$D129,INDIRECT(I$5)))</f>
        <v>642.16</v>
      </c>
      <c r="J129" s="593">
        <f ca="1">$E129*(-SUMIF(INDIRECT(J$3),'Struktur Vorjahr'!$D129,INDIRECT(J$4))+SUMIF(INDIRECT(J$3),'Struktur Vorjahr'!$D129,INDIRECT(J$5)))</f>
        <v>582.82000000000005</v>
      </c>
      <c r="K129" s="593">
        <f ca="1">$E129*(-SUMIF(INDIRECT(K$3),'Struktur Vorjahr'!$D129,INDIRECT(K$4))+SUMIF(INDIRECT(K$3),'Struktur Vorjahr'!$D129,INDIRECT(K$5)))</f>
        <v>471.16</v>
      </c>
      <c r="L129" s="593">
        <f ca="1">$E129*(-SUMIF(INDIRECT(L$3),'Struktur Vorjahr'!$D129,INDIRECT(L$4))+SUMIF(INDIRECT(L$3),'Struktur Vorjahr'!$D129,INDIRECT(L$5)))</f>
        <v>473.71</v>
      </c>
      <c r="M129" s="593">
        <f ca="1">$E129*(-SUMIF(INDIRECT(M$3),'Struktur Vorjahr'!$D129,INDIRECT(M$4))+SUMIF(INDIRECT(M$3),'Struktur Vorjahr'!$D129,INDIRECT(M$5)))</f>
        <v>1230.06</v>
      </c>
      <c r="N129" s="593">
        <f ca="1">$E129*(-SUMIF(INDIRECT(N$3),'Struktur Vorjahr'!$D129,INDIRECT(N$4))+SUMIF(INDIRECT(N$3),'Struktur Vorjahr'!$D129,INDIRECT(N$5)))</f>
        <v>1250.8800000000001</v>
      </c>
      <c r="O129" s="593">
        <f ca="1">$E129*(-SUMIF(INDIRECT(O$3),'Struktur Vorjahr'!$D129,INDIRECT(O$4))+SUMIF(INDIRECT(O$3),'Struktur Vorjahr'!$D129,INDIRECT(O$5)))</f>
        <v>1584.83</v>
      </c>
      <c r="P129" s="593">
        <f ca="1">$E129*(-SUMIF(INDIRECT(P$3),'Struktur Vorjahr'!$D129,INDIRECT(P$4))+SUMIF(INDIRECT(P$3),'Struktur Vorjahr'!$D129,INDIRECT(P$5)))</f>
        <v>1459.24</v>
      </c>
      <c r="Q129" s="593">
        <f ca="1">$E129*(-SUMIF(INDIRECT(Q$3),'Struktur Vorjahr'!$D129,INDIRECT(Q$4))+SUMIF(INDIRECT(Q$3),'Struktur Vorjahr'!$D129,INDIRECT(Q$5)))</f>
        <v>0</v>
      </c>
      <c r="R129" s="593">
        <f ca="1">$E129*(-SUMIF(INDIRECT(R$3),'Struktur Vorjahr'!$D129,INDIRECT(R$4))+SUMIF(INDIRECT(R$3),'Struktur Vorjahr'!$D129,INDIRECT(R$5)))</f>
        <v>0</v>
      </c>
      <c r="S129" s="593">
        <f ca="1">$E129*(-SUMIF(INDIRECT(S$3),'Struktur Vorjahr'!$D129,INDIRECT(S$4))+SUMIF(INDIRECT(S$3),'Struktur Vorjahr'!$D129,INDIRECT(S$5)))</f>
        <v>561.15</v>
      </c>
      <c r="T129" s="593">
        <f ca="1">$E129*(-SUMIF(INDIRECT(T$3),'Struktur Vorjahr'!$D129,INDIRECT(T$4))+SUMIF(INDIRECT(T$3),'Struktur Vorjahr'!$D129,INDIRECT(T$5)))</f>
        <v>1122.3</v>
      </c>
      <c r="U129" s="593">
        <f ca="1">$E129*(-SUMIF(INDIRECT(U$3),'Struktur Vorjahr'!$D129,INDIRECT(U$4))+SUMIF(INDIRECT(U$3),'Struktur Vorjahr'!$D129,INDIRECT(U$5)))</f>
        <v>1764.46</v>
      </c>
      <c r="V129" s="593">
        <f ca="1">$E129*(-SUMIF(INDIRECT(V$3),'Struktur Vorjahr'!$D129,INDIRECT(V$4))+SUMIF(INDIRECT(V$3),'Struktur Vorjahr'!$D129,INDIRECT(V$5)))</f>
        <v>2347.2800000000002</v>
      </c>
      <c r="W129" s="593">
        <f ca="1">$E129*(-SUMIF(INDIRECT(W$3),'Struktur Vorjahr'!$D129,INDIRECT(W$4))+SUMIF(INDIRECT(W$3),'Struktur Vorjahr'!$D129,INDIRECT(W$5)))</f>
        <v>2818.44</v>
      </c>
      <c r="X129" s="593">
        <f ca="1">$E129*(-SUMIF(INDIRECT(X$3),'Struktur Vorjahr'!$D129,INDIRECT(X$4))+SUMIF(INDIRECT(X$3),'Struktur Vorjahr'!$D129,INDIRECT(X$5)))</f>
        <v>3292.15</v>
      </c>
      <c r="Y129" s="593">
        <f ca="1">$E129*(-SUMIF(INDIRECT(Y$3),'Struktur Vorjahr'!$D129,INDIRECT(Y$4))+SUMIF(INDIRECT(Y$3),'Struktur Vorjahr'!$D129,INDIRECT(Y$5)))</f>
        <v>4522.21</v>
      </c>
      <c r="Z129" s="593">
        <f ca="1">$E129*(-SUMIF(INDIRECT(Z$3),'Struktur Vorjahr'!$D129,INDIRECT(Z$4))+SUMIF(INDIRECT(Z$3),'Struktur Vorjahr'!$D129,INDIRECT(Z$5)))</f>
        <v>5773.09</v>
      </c>
      <c r="AA129" s="593">
        <f ca="1">$E129*(-SUMIF(INDIRECT(AA$3),'Struktur Vorjahr'!$D129,INDIRECT(AA$4))+SUMIF(INDIRECT(AA$3),'Struktur Vorjahr'!$D129,INDIRECT(AA$5)))</f>
        <v>7357.92</v>
      </c>
      <c r="AB129" s="593">
        <f ca="1">$E129*(-SUMIF(INDIRECT(AB$3),'Struktur Vorjahr'!$D129,INDIRECT(AB$4))+SUMIF(INDIRECT(AB$3),'Struktur Vorjahr'!$D129,INDIRECT(AB$5)))</f>
        <v>8817.16</v>
      </c>
      <c r="AC129" s="593">
        <f ca="1">$E129*(-SUMIF(INDIRECT(AC$3),'Struktur Vorjahr'!$D129,INDIRECT(AC$4))+SUMIF(INDIRECT(AC$3),'Struktur Vorjahr'!$D129,INDIRECT(AC$5)))</f>
        <v>0</v>
      </c>
      <c r="AD129" s="593">
        <f ca="1">$E129*(-SUMIF(INDIRECT(AD$3),'Struktur Vorjahr'!$D129,INDIRECT(AD$4))+SUMIF(INDIRECT(AD$3),'Struktur Vorjahr'!$D129,INDIRECT(AD$5)))</f>
        <v>0</v>
      </c>
      <c r="AE129" s="593">
        <f t="shared" ca="1" si="69"/>
        <v>561.15</v>
      </c>
      <c r="AF129" s="593">
        <f t="shared" ca="1" si="70"/>
        <v>1122.3</v>
      </c>
      <c r="AG129" s="593">
        <f t="shared" ca="1" si="70"/>
        <v>1764.46</v>
      </c>
      <c r="AH129" s="593">
        <f t="shared" ca="1" si="70"/>
        <v>2347.2800000000002</v>
      </c>
      <c r="AI129" s="593">
        <f t="shared" ca="1" si="70"/>
        <v>2818.44</v>
      </c>
      <c r="AJ129" s="593">
        <f t="shared" ca="1" si="70"/>
        <v>3292.15</v>
      </c>
      <c r="AK129" s="593">
        <f t="shared" ca="1" si="70"/>
        <v>4522.21</v>
      </c>
      <c r="AL129" s="593">
        <f t="shared" ca="1" si="70"/>
        <v>5773.09</v>
      </c>
      <c r="AM129" s="593">
        <f t="shared" ca="1" si="70"/>
        <v>7357.92</v>
      </c>
      <c r="AN129" s="593">
        <f t="shared" ca="1" si="70"/>
        <v>8817.16</v>
      </c>
      <c r="AO129" s="593">
        <f t="shared" ca="1" si="70"/>
        <v>8817.16</v>
      </c>
      <c r="AP129" s="593">
        <f t="shared" ca="1" si="70"/>
        <v>8817.16</v>
      </c>
    </row>
    <row r="130" spans="1:42" s="594" customFormat="1" ht="11.25" outlineLevel="1" x14ac:dyDescent="0.2">
      <c r="A130" s="590"/>
      <c r="B130" s="591" t="str">
        <f>IF(D130&lt;&gt;"",
IF(ISERROR(MATCH(D130,'Ist Vorjahr Monat 01'!A:A,0))=FALSE,INDEX('Ist Vorjahr Monat 01'!B:B,MATCH(D130,'Ist Vorjahr Monat 01'!A:A,0)),
IF(ISERROR(MATCH(D130,'Ist Vorjahr Monat 02'!A:A,0))=FALSE,INDEX('Ist Vorjahr Monat 02'!B:B,MATCH(D130,'Ist Vorjahr Monat 02'!A:A,0)),
IF(ISERROR(MATCH(D130,'Ist Vorjahr Monat 03'!A:A,0))=FALSE,INDEX('Ist Vorjahr Monat 03'!B:B,MATCH(D130,'Ist Vorjahr Monat 03'!A:A,0)),
IF(ISERROR(MATCH(D130,'Ist Vorjahr Monat 04'!A:A,0))=FALSE,INDEX('Ist Vorjahr Monat 04'!B:B,MATCH(D130,'Ist Vorjahr Monat 04'!A:A,0)),
IF(ISERROR(MATCH(D130,'Ist Vorjahr Monat 05'!A:A,0))=FALSE,INDEX('Ist Vorjahr Monat 05'!B:B,MATCH(D130,'Ist Vorjahr Monat 05'!A:A,0)),
IF(ISERROR(MATCH(D130,'Ist Vorjahr Monat 06'!A:A,0))=FALSE,INDEX('Ist Vorjahr Monat 06'!B:B,MATCH(D130,'Ist Vorjahr Monat 06'!A:A,0)),
IF(ISERROR(MATCH(D130,'Ist Vorjahr Monat 07'!A:A,0))=FALSE,INDEX('Ist Vorjahr Monat 07'!B:B,MATCH(D130,'Ist Vorjahr Monat 07'!A:A,0)),
IF(ISERROR(MATCH(D130,'Ist Vorjahr Monat 08'!A:A,0))=FALSE,INDEX('Ist Vorjahr Monat 08'!B:B,MATCH(D130,'Ist Vorjahr Monat 08'!A:A,0)),
IF(ISERROR(MATCH(D130,'Ist Vorjahr Monat 09'!A:A,0))=FALSE,INDEX('Ist Vorjahr Monat 09'!B:B,MATCH(D130,'Ist Vorjahr Monat 09'!A:A,0)),
IF(ISERROR(MATCH(D130,'Ist Vorjahr Monat 10'!A:A,0))=FALSE,INDEX('Ist Vorjahr Monat 10'!B:B,MATCH(D130,'Ist Vorjahr Monat 10'!A:A,0)),
IF(ISERROR(MATCH(D130,'Ist Vorjahr Monat 11'!A:A,0))=FALSE,INDEX('Ist Vorjahr Monat 11'!B:B,MATCH(D130,'Ist Vorjahr Monat 11'!A:A,0)),
IF(ISERROR(MATCH(D130,'Ist Vorjahr Monat 12'!A:A,0))=FALSE,INDEX('Ist Vorjahr Monat 12'!B:B,MATCH(D130,'Ist Vorjahr Monat 12'!A:A,0)),
"{Konto unbekannt}"
)))))))))))),"")</f>
        <v>AG-Ant. SV Datenschutzbeauftragung</v>
      </c>
      <c r="C130" s="591"/>
      <c r="D130" s="590">
        <v>4133</v>
      </c>
      <c r="E130" s="592">
        <f t="shared" si="65"/>
        <v>1</v>
      </c>
      <c r="F130" s="590"/>
      <c r="G130" s="593">
        <f ca="1">$E130*(-SUMIF(INDIRECT(G$3),'Struktur Vorjahr'!$D130,INDIRECT(G$4))+SUMIF(INDIRECT(G$3),'Struktur Vorjahr'!$D130,INDIRECT(G$5)))</f>
        <v>247.72</v>
      </c>
      <c r="H130" s="593">
        <f ca="1">$E130*(-SUMIF(INDIRECT(H$3),'Struktur Vorjahr'!$D130,INDIRECT(H$4))+SUMIF(INDIRECT(H$3),'Struktur Vorjahr'!$D130,INDIRECT(H$5)))</f>
        <v>247.71</v>
      </c>
      <c r="I130" s="593">
        <f ca="1">$E130*(-SUMIF(INDIRECT(I$3),'Struktur Vorjahr'!$D130,INDIRECT(I$4))+SUMIF(INDIRECT(I$3),'Struktur Vorjahr'!$D130,INDIRECT(I$5)))</f>
        <v>247.72</v>
      </c>
      <c r="J130" s="593">
        <f ca="1">$E130*(-SUMIF(INDIRECT(J$3),'Struktur Vorjahr'!$D130,INDIRECT(J$4))+SUMIF(INDIRECT(J$3),'Struktur Vorjahr'!$D130,INDIRECT(J$5)))</f>
        <v>247.72</v>
      </c>
      <c r="K130" s="593">
        <f ca="1">$E130*(-SUMIF(INDIRECT(K$3),'Struktur Vorjahr'!$D130,INDIRECT(K$4))+SUMIF(INDIRECT(K$3),'Struktur Vorjahr'!$D130,INDIRECT(K$5)))</f>
        <v>247.71</v>
      </c>
      <c r="L130" s="593">
        <f ca="1">$E130*(-SUMIF(INDIRECT(L$3),'Struktur Vorjahr'!$D130,INDIRECT(L$4))+SUMIF(INDIRECT(L$3),'Struktur Vorjahr'!$D130,INDIRECT(L$5)))</f>
        <v>247.71</v>
      </c>
      <c r="M130" s="593">
        <f ca="1">$E130*(-SUMIF(INDIRECT(M$3),'Struktur Vorjahr'!$D130,INDIRECT(M$4))+SUMIF(INDIRECT(M$3),'Struktur Vorjahr'!$D130,INDIRECT(M$5)))</f>
        <v>0</v>
      </c>
      <c r="N130" s="593">
        <f ca="1">$E130*(-SUMIF(INDIRECT(N$3),'Struktur Vorjahr'!$D130,INDIRECT(N$4))+SUMIF(INDIRECT(N$3),'Struktur Vorjahr'!$D130,INDIRECT(N$5)))</f>
        <v>0</v>
      </c>
      <c r="O130" s="593">
        <f ca="1">$E130*(-SUMIF(INDIRECT(O$3),'Struktur Vorjahr'!$D130,INDIRECT(O$4))+SUMIF(INDIRECT(O$3),'Struktur Vorjahr'!$D130,INDIRECT(O$5)))</f>
        <v>0</v>
      </c>
      <c r="P130" s="593">
        <f ca="1">$E130*(-SUMIF(INDIRECT(P$3),'Struktur Vorjahr'!$D130,INDIRECT(P$4))+SUMIF(INDIRECT(P$3),'Struktur Vorjahr'!$D130,INDIRECT(P$5)))</f>
        <v>0</v>
      </c>
      <c r="Q130" s="593">
        <f ca="1">$E130*(-SUMIF(INDIRECT(Q$3),'Struktur Vorjahr'!$D130,INDIRECT(Q$4))+SUMIF(INDIRECT(Q$3),'Struktur Vorjahr'!$D130,INDIRECT(Q$5)))</f>
        <v>0</v>
      </c>
      <c r="R130" s="593">
        <f ca="1">$E130*(-SUMIF(INDIRECT(R$3),'Struktur Vorjahr'!$D130,INDIRECT(R$4))+SUMIF(INDIRECT(R$3),'Struktur Vorjahr'!$D130,INDIRECT(R$5)))</f>
        <v>0</v>
      </c>
      <c r="S130" s="593">
        <f ca="1">$E130*(-SUMIF(INDIRECT(S$3),'Struktur Vorjahr'!$D130,INDIRECT(S$4))+SUMIF(INDIRECT(S$3),'Struktur Vorjahr'!$D130,INDIRECT(S$5)))</f>
        <v>247.72</v>
      </c>
      <c r="T130" s="593">
        <f ca="1">$E130*(-SUMIF(INDIRECT(T$3),'Struktur Vorjahr'!$D130,INDIRECT(T$4))+SUMIF(INDIRECT(T$3),'Struktur Vorjahr'!$D130,INDIRECT(T$5)))</f>
        <v>495.43</v>
      </c>
      <c r="U130" s="593">
        <f ca="1">$E130*(-SUMIF(INDIRECT(U$3),'Struktur Vorjahr'!$D130,INDIRECT(U$4))+SUMIF(INDIRECT(U$3),'Struktur Vorjahr'!$D130,INDIRECT(U$5)))</f>
        <v>743.15</v>
      </c>
      <c r="V130" s="593">
        <f ca="1">$E130*(-SUMIF(INDIRECT(V$3),'Struktur Vorjahr'!$D130,INDIRECT(V$4))+SUMIF(INDIRECT(V$3),'Struktur Vorjahr'!$D130,INDIRECT(V$5)))</f>
        <v>990.87</v>
      </c>
      <c r="W130" s="593">
        <f ca="1">$E130*(-SUMIF(INDIRECT(W$3),'Struktur Vorjahr'!$D130,INDIRECT(W$4))+SUMIF(INDIRECT(W$3),'Struktur Vorjahr'!$D130,INDIRECT(W$5)))</f>
        <v>1238.58</v>
      </c>
      <c r="X130" s="593">
        <f ca="1">$E130*(-SUMIF(INDIRECT(X$3),'Struktur Vorjahr'!$D130,INDIRECT(X$4))+SUMIF(INDIRECT(X$3),'Struktur Vorjahr'!$D130,INDIRECT(X$5)))</f>
        <v>1486.29</v>
      </c>
      <c r="Y130" s="593">
        <f ca="1">$E130*(-SUMIF(INDIRECT(Y$3),'Struktur Vorjahr'!$D130,INDIRECT(Y$4))+SUMIF(INDIRECT(Y$3),'Struktur Vorjahr'!$D130,INDIRECT(Y$5)))</f>
        <v>1486.29</v>
      </c>
      <c r="Z130" s="593">
        <f ca="1">$E130*(-SUMIF(INDIRECT(Z$3),'Struktur Vorjahr'!$D130,INDIRECT(Z$4))+SUMIF(INDIRECT(Z$3),'Struktur Vorjahr'!$D130,INDIRECT(Z$5)))</f>
        <v>1486.29</v>
      </c>
      <c r="AA130" s="593">
        <f ca="1">$E130*(-SUMIF(INDIRECT(AA$3),'Struktur Vorjahr'!$D130,INDIRECT(AA$4))+SUMIF(INDIRECT(AA$3),'Struktur Vorjahr'!$D130,INDIRECT(AA$5)))</f>
        <v>1486.29</v>
      </c>
      <c r="AB130" s="593">
        <f ca="1">$E130*(-SUMIF(INDIRECT(AB$3),'Struktur Vorjahr'!$D130,INDIRECT(AB$4))+SUMIF(INDIRECT(AB$3),'Struktur Vorjahr'!$D130,INDIRECT(AB$5)))</f>
        <v>1486.29</v>
      </c>
      <c r="AC130" s="593">
        <f ca="1">$E130*(-SUMIF(INDIRECT(AC$3),'Struktur Vorjahr'!$D130,INDIRECT(AC$4))+SUMIF(INDIRECT(AC$3),'Struktur Vorjahr'!$D130,INDIRECT(AC$5)))</f>
        <v>0</v>
      </c>
      <c r="AD130" s="593">
        <f ca="1">$E130*(-SUMIF(INDIRECT(AD$3),'Struktur Vorjahr'!$D130,INDIRECT(AD$4))+SUMIF(INDIRECT(AD$3),'Struktur Vorjahr'!$D130,INDIRECT(AD$5)))</f>
        <v>0</v>
      </c>
      <c r="AE130" s="593">
        <f t="shared" ca="1" si="69"/>
        <v>247.72</v>
      </c>
      <c r="AF130" s="593">
        <f t="shared" ca="1" si="70"/>
        <v>495.43</v>
      </c>
      <c r="AG130" s="593">
        <f t="shared" ca="1" si="70"/>
        <v>743.15</v>
      </c>
      <c r="AH130" s="593">
        <f t="shared" ca="1" si="70"/>
        <v>990.87</v>
      </c>
      <c r="AI130" s="593">
        <f t="shared" ca="1" si="70"/>
        <v>1238.58</v>
      </c>
      <c r="AJ130" s="593">
        <f t="shared" ca="1" si="70"/>
        <v>1486.29</v>
      </c>
      <c r="AK130" s="593">
        <f t="shared" ca="1" si="70"/>
        <v>1486.29</v>
      </c>
      <c r="AL130" s="593">
        <f t="shared" ca="1" si="70"/>
        <v>1486.29</v>
      </c>
      <c r="AM130" s="593">
        <f t="shared" ca="1" si="70"/>
        <v>1486.29</v>
      </c>
      <c r="AN130" s="593">
        <f t="shared" ca="1" si="70"/>
        <v>1486.29</v>
      </c>
      <c r="AO130" s="593">
        <f t="shared" ca="1" si="70"/>
        <v>1486.29</v>
      </c>
      <c r="AP130" s="593">
        <f t="shared" ca="1" si="70"/>
        <v>1486.29</v>
      </c>
    </row>
    <row r="131" spans="1:42" s="594" customFormat="1" ht="11.25" outlineLevel="1" x14ac:dyDescent="0.2">
      <c r="A131" s="590"/>
      <c r="B131" s="591" t="str">
        <f>IF(D131&lt;&gt;"",
IF(ISERROR(MATCH(D131,'Ist Vorjahr Monat 01'!A:A,0))=FALSE,INDEX('Ist Vorjahr Monat 01'!B:B,MATCH(D131,'Ist Vorjahr Monat 01'!A:A,0)),
IF(ISERROR(MATCH(D131,'Ist Vorjahr Monat 02'!A:A,0))=FALSE,INDEX('Ist Vorjahr Monat 02'!B:B,MATCH(D131,'Ist Vorjahr Monat 02'!A:A,0)),
IF(ISERROR(MATCH(D131,'Ist Vorjahr Monat 03'!A:A,0))=FALSE,INDEX('Ist Vorjahr Monat 03'!B:B,MATCH(D131,'Ist Vorjahr Monat 03'!A:A,0)),
IF(ISERROR(MATCH(D131,'Ist Vorjahr Monat 04'!A:A,0))=FALSE,INDEX('Ist Vorjahr Monat 04'!B:B,MATCH(D131,'Ist Vorjahr Monat 04'!A:A,0)),
IF(ISERROR(MATCH(D131,'Ist Vorjahr Monat 05'!A:A,0))=FALSE,INDEX('Ist Vorjahr Monat 05'!B:B,MATCH(D131,'Ist Vorjahr Monat 05'!A:A,0)),
IF(ISERROR(MATCH(D131,'Ist Vorjahr Monat 06'!A:A,0))=FALSE,INDEX('Ist Vorjahr Monat 06'!B:B,MATCH(D131,'Ist Vorjahr Monat 06'!A:A,0)),
IF(ISERROR(MATCH(D131,'Ist Vorjahr Monat 07'!A:A,0))=FALSE,INDEX('Ist Vorjahr Monat 07'!B:B,MATCH(D131,'Ist Vorjahr Monat 07'!A:A,0)),
IF(ISERROR(MATCH(D131,'Ist Vorjahr Monat 08'!A:A,0))=FALSE,INDEX('Ist Vorjahr Monat 08'!B:B,MATCH(D131,'Ist Vorjahr Monat 08'!A:A,0)),
IF(ISERROR(MATCH(D131,'Ist Vorjahr Monat 09'!A:A,0))=FALSE,INDEX('Ist Vorjahr Monat 09'!B:B,MATCH(D131,'Ist Vorjahr Monat 09'!A:A,0)),
IF(ISERROR(MATCH(D131,'Ist Vorjahr Monat 10'!A:A,0))=FALSE,INDEX('Ist Vorjahr Monat 10'!B:B,MATCH(D131,'Ist Vorjahr Monat 10'!A:A,0)),
IF(ISERROR(MATCH(D131,'Ist Vorjahr Monat 11'!A:A,0))=FALSE,INDEX('Ist Vorjahr Monat 11'!B:B,MATCH(D131,'Ist Vorjahr Monat 11'!A:A,0)),
IF(ISERROR(MATCH(D131,'Ist Vorjahr Monat 12'!A:A,0))=FALSE,INDEX('Ist Vorjahr Monat 12'!B:B,MATCH(D131,'Ist Vorjahr Monat 12'!A:A,0)),
"{Konto unbekannt}"
)))))))))))),"")</f>
        <v>AG-Ant. SV  Website &amp; Softwareprodukte</v>
      </c>
      <c r="C131" s="591"/>
      <c r="D131" s="590">
        <v>4134</v>
      </c>
      <c r="E131" s="592">
        <f t="shared" si="65"/>
        <v>1</v>
      </c>
      <c r="F131" s="590"/>
      <c r="G131" s="593">
        <f ca="1">$E131*(-SUMIF(INDIRECT(G$3),'Struktur Vorjahr'!$D131,INDIRECT(G$4))+SUMIF(INDIRECT(G$3),'Struktur Vorjahr'!$D131,INDIRECT(G$5)))</f>
        <v>416.85</v>
      </c>
      <c r="H131" s="593">
        <f ca="1">$E131*(-SUMIF(INDIRECT(H$3),'Struktur Vorjahr'!$D131,INDIRECT(H$4))+SUMIF(INDIRECT(H$3),'Struktur Vorjahr'!$D131,INDIRECT(H$5)))</f>
        <v>416.86</v>
      </c>
      <c r="I131" s="593">
        <f ca="1">$E131*(-SUMIF(INDIRECT(I$3),'Struktur Vorjahr'!$D131,INDIRECT(I$4))+SUMIF(INDIRECT(I$3),'Struktur Vorjahr'!$D131,INDIRECT(I$5)))</f>
        <v>416.86</v>
      </c>
      <c r="J131" s="593">
        <f ca="1">$E131*(-SUMIF(INDIRECT(J$3),'Struktur Vorjahr'!$D131,INDIRECT(J$4))+SUMIF(INDIRECT(J$3),'Struktur Vorjahr'!$D131,INDIRECT(J$5)))</f>
        <v>416.86</v>
      </c>
      <c r="K131" s="593">
        <f ca="1">$E131*(-SUMIF(INDIRECT(K$3),'Struktur Vorjahr'!$D131,INDIRECT(K$4))+SUMIF(INDIRECT(K$3),'Struktur Vorjahr'!$D131,INDIRECT(K$5)))</f>
        <v>247.72</v>
      </c>
      <c r="L131" s="593">
        <f ca="1">$E131*(-SUMIF(INDIRECT(L$3),'Struktur Vorjahr'!$D131,INDIRECT(L$4))+SUMIF(INDIRECT(L$3),'Struktur Vorjahr'!$D131,INDIRECT(L$5)))</f>
        <v>455.06</v>
      </c>
      <c r="M131" s="593">
        <f ca="1">$E131*(-SUMIF(INDIRECT(M$3),'Struktur Vorjahr'!$D131,INDIRECT(M$4))+SUMIF(INDIRECT(M$3),'Struktur Vorjahr'!$D131,INDIRECT(M$5)))</f>
        <v>0</v>
      </c>
      <c r="N131" s="593">
        <f ca="1">$E131*(-SUMIF(INDIRECT(N$3),'Struktur Vorjahr'!$D131,INDIRECT(N$4))+SUMIF(INDIRECT(N$3),'Struktur Vorjahr'!$D131,INDIRECT(N$5)))</f>
        <v>0</v>
      </c>
      <c r="O131" s="593">
        <f ca="1">$E131*(-SUMIF(INDIRECT(O$3),'Struktur Vorjahr'!$D131,INDIRECT(O$4))+SUMIF(INDIRECT(O$3),'Struktur Vorjahr'!$D131,INDIRECT(O$5)))</f>
        <v>0</v>
      </c>
      <c r="P131" s="593">
        <f ca="1">$E131*(-SUMIF(INDIRECT(P$3),'Struktur Vorjahr'!$D131,INDIRECT(P$4))+SUMIF(INDIRECT(P$3),'Struktur Vorjahr'!$D131,INDIRECT(P$5)))</f>
        <v>0</v>
      </c>
      <c r="Q131" s="593">
        <f ca="1">$E131*(-SUMIF(INDIRECT(Q$3),'Struktur Vorjahr'!$D131,INDIRECT(Q$4))+SUMIF(INDIRECT(Q$3),'Struktur Vorjahr'!$D131,INDIRECT(Q$5)))</f>
        <v>0</v>
      </c>
      <c r="R131" s="593">
        <f ca="1">$E131*(-SUMIF(INDIRECT(R$3),'Struktur Vorjahr'!$D131,INDIRECT(R$4))+SUMIF(INDIRECT(R$3),'Struktur Vorjahr'!$D131,INDIRECT(R$5)))</f>
        <v>0</v>
      </c>
      <c r="S131" s="593">
        <f ca="1">$E131*(-SUMIF(INDIRECT(S$3),'Struktur Vorjahr'!$D131,INDIRECT(S$4))+SUMIF(INDIRECT(S$3),'Struktur Vorjahr'!$D131,INDIRECT(S$5)))</f>
        <v>416.85</v>
      </c>
      <c r="T131" s="593">
        <f ca="1">$E131*(-SUMIF(INDIRECT(T$3),'Struktur Vorjahr'!$D131,INDIRECT(T$4))+SUMIF(INDIRECT(T$3),'Struktur Vorjahr'!$D131,INDIRECT(T$5)))</f>
        <v>833.71</v>
      </c>
      <c r="U131" s="593">
        <f ca="1">$E131*(-SUMIF(INDIRECT(U$3),'Struktur Vorjahr'!$D131,INDIRECT(U$4))+SUMIF(INDIRECT(U$3),'Struktur Vorjahr'!$D131,INDIRECT(U$5)))</f>
        <v>1250.57</v>
      </c>
      <c r="V131" s="593">
        <f ca="1">$E131*(-SUMIF(INDIRECT(V$3),'Struktur Vorjahr'!$D131,INDIRECT(V$4))+SUMIF(INDIRECT(V$3),'Struktur Vorjahr'!$D131,INDIRECT(V$5)))</f>
        <v>1667.43</v>
      </c>
      <c r="W131" s="593">
        <f ca="1">$E131*(-SUMIF(INDIRECT(W$3),'Struktur Vorjahr'!$D131,INDIRECT(W$4))+SUMIF(INDIRECT(W$3),'Struktur Vorjahr'!$D131,INDIRECT(W$5)))</f>
        <v>1915.15</v>
      </c>
      <c r="X131" s="593">
        <f ca="1">$E131*(-SUMIF(INDIRECT(X$3),'Struktur Vorjahr'!$D131,INDIRECT(X$4))+SUMIF(INDIRECT(X$3),'Struktur Vorjahr'!$D131,INDIRECT(X$5)))</f>
        <v>2370.21</v>
      </c>
      <c r="Y131" s="593">
        <f ca="1">$E131*(-SUMIF(INDIRECT(Y$3),'Struktur Vorjahr'!$D131,INDIRECT(Y$4))+SUMIF(INDIRECT(Y$3),'Struktur Vorjahr'!$D131,INDIRECT(Y$5)))</f>
        <v>2370.21</v>
      </c>
      <c r="Z131" s="593">
        <f ca="1">$E131*(-SUMIF(INDIRECT(Z$3),'Struktur Vorjahr'!$D131,INDIRECT(Z$4))+SUMIF(INDIRECT(Z$3),'Struktur Vorjahr'!$D131,INDIRECT(Z$5)))</f>
        <v>2370.21</v>
      </c>
      <c r="AA131" s="593">
        <f ca="1">$E131*(-SUMIF(INDIRECT(AA$3),'Struktur Vorjahr'!$D131,INDIRECT(AA$4))+SUMIF(INDIRECT(AA$3),'Struktur Vorjahr'!$D131,INDIRECT(AA$5)))</f>
        <v>2370.21</v>
      </c>
      <c r="AB131" s="593">
        <f ca="1">$E131*(-SUMIF(INDIRECT(AB$3),'Struktur Vorjahr'!$D131,INDIRECT(AB$4))+SUMIF(INDIRECT(AB$3),'Struktur Vorjahr'!$D131,INDIRECT(AB$5)))</f>
        <v>2370.21</v>
      </c>
      <c r="AC131" s="593">
        <f ca="1">$E131*(-SUMIF(INDIRECT(AC$3),'Struktur Vorjahr'!$D131,INDIRECT(AC$4))+SUMIF(INDIRECT(AC$3),'Struktur Vorjahr'!$D131,INDIRECT(AC$5)))</f>
        <v>0</v>
      </c>
      <c r="AD131" s="593">
        <f ca="1">$E131*(-SUMIF(INDIRECT(AD$3),'Struktur Vorjahr'!$D131,INDIRECT(AD$4))+SUMIF(INDIRECT(AD$3),'Struktur Vorjahr'!$D131,INDIRECT(AD$5)))</f>
        <v>0</v>
      </c>
      <c r="AE131" s="593">
        <f t="shared" ca="1" si="69"/>
        <v>416.85</v>
      </c>
      <c r="AF131" s="593">
        <f t="shared" ca="1" si="70"/>
        <v>833.71</v>
      </c>
      <c r="AG131" s="593">
        <f t="shared" ca="1" si="70"/>
        <v>1250.5700000000002</v>
      </c>
      <c r="AH131" s="593">
        <f t="shared" ca="1" si="70"/>
        <v>1667.4300000000003</v>
      </c>
      <c r="AI131" s="593">
        <f t="shared" ca="1" si="70"/>
        <v>1915.1500000000003</v>
      </c>
      <c r="AJ131" s="593">
        <f t="shared" ca="1" si="70"/>
        <v>2370.2100000000005</v>
      </c>
      <c r="AK131" s="593">
        <f t="shared" ca="1" si="70"/>
        <v>2370.2100000000005</v>
      </c>
      <c r="AL131" s="593">
        <f t="shared" ca="1" si="70"/>
        <v>2370.2100000000005</v>
      </c>
      <c r="AM131" s="593">
        <f t="shared" ca="1" si="70"/>
        <v>2370.2100000000005</v>
      </c>
      <c r="AN131" s="593">
        <f t="shared" ca="1" si="70"/>
        <v>2370.2100000000005</v>
      </c>
      <c r="AO131" s="593">
        <f t="shared" ca="1" si="70"/>
        <v>2370.2100000000005</v>
      </c>
      <c r="AP131" s="593">
        <f t="shared" ca="1" si="70"/>
        <v>2370.2100000000005</v>
      </c>
    </row>
    <row r="132" spans="1:42" s="594" customFormat="1" ht="11.25" outlineLevel="1" x14ac:dyDescent="0.2">
      <c r="A132" s="590"/>
      <c r="B132" s="591" t="str">
        <f>IF(D132&lt;&gt;"",
IF(ISERROR(MATCH(D132,'Ist Vorjahr Monat 01'!A:A,0))=FALSE,INDEX('Ist Vorjahr Monat 01'!B:B,MATCH(D132,'Ist Vorjahr Monat 01'!A:A,0)),
IF(ISERROR(MATCH(D132,'Ist Vorjahr Monat 02'!A:A,0))=FALSE,INDEX('Ist Vorjahr Monat 02'!B:B,MATCH(D132,'Ist Vorjahr Monat 02'!A:A,0)),
IF(ISERROR(MATCH(D132,'Ist Vorjahr Monat 03'!A:A,0))=FALSE,INDEX('Ist Vorjahr Monat 03'!B:B,MATCH(D132,'Ist Vorjahr Monat 03'!A:A,0)),
IF(ISERROR(MATCH(D132,'Ist Vorjahr Monat 04'!A:A,0))=FALSE,INDEX('Ist Vorjahr Monat 04'!B:B,MATCH(D132,'Ist Vorjahr Monat 04'!A:A,0)),
IF(ISERROR(MATCH(D132,'Ist Vorjahr Monat 05'!A:A,0))=FALSE,INDEX('Ist Vorjahr Monat 05'!B:B,MATCH(D132,'Ist Vorjahr Monat 05'!A:A,0)),
IF(ISERROR(MATCH(D132,'Ist Vorjahr Monat 06'!A:A,0))=FALSE,INDEX('Ist Vorjahr Monat 06'!B:B,MATCH(D132,'Ist Vorjahr Monat 06'!A:A,0)),
IF(ISERROR(MATCH(D132,'Ist Vorjahr Monat 07'!A:A,0))=FALSE,INDEX('Ist Vorjahr Monat 07'!B:B,MATCH(D132,'Ist Vorjahr Monat 07'!A:A,0)),
IF(ISERROR(MATCH(D132,'Ist Vorjahr Monat 08'!A:A,0))=FALSE,INDEX('Ist Vorjahr Monat 08'!B:B,MATCH(D132,'Ist Vorjahr Monat 08'!A:A,0)),
IF(ISERROR(MATCH(D132,'Ist Vorjahr Monat 09'!A:A,0))=FALSE,INDEX('Ist Vorjahr Monat 09'!B:B,MATCH(D132,'Ist Vorjahr Monat 09'!A:A,0)),
IF(ISERROR(MATCH(D132,'Ist Vorjahr Monat 10'!A:A,0))=FALSE,INDEX('Ist Vorjahr Monat 10'!B:B,MATCH(D132,'Ist Vorjahr Monat 10'!A:A,0)),
IF(ISERROR(MATCH(D132,'Ist Vorjahr Monat 11'!A:A,0))=FALSE,INDEX('Ist Vorjahr Monat 11'!B:B,MATCH(D132,'Ist Vorjahr Monat 11'!A:A,0)),
IF(ISERROR(MATCH(D132,'Ist Vorjahr Monat 12'!A:A,0))=FALSE,INDEX('Ist Vorjahr Monat 12'!B:B,MATCH(D132,'Ist Vorjahr Monat 12'!A:A,0)),
"{Konto unbekannt}"
)))))))))))),"")</f>
        <v xml:space="preserve">AG-Ant. SV Datenbanken / Behörden </v>
      </c>
      <c r="C132" s="591"/>
      <c r="D132" s="590">
        <v>4135</v>
      </c>
      <c r="E132" s="592">
        <f t="shared" si="65"/>
        <v>1</v>
      </c>
      <c r="F132" s="590"/>
      <c r="G132" s="593">
        <f ca="1">$E132*(-SUMIF(INDIRECT(G$3),'Struktur Vorjahr'!$D132,INDIRECT(G$4))+SUMIF(INDIRECT(G$3),'Struktur Vorjahr'!$D132,INDIRECT(G$5)))</f>
        <v>1142.8</v>
      </c>
      <c r="H132" s="593">
        <f ca="1">$E132*(-SUMIF(INDIRECT(H$3),'Struktur Vorjahr'!$D132,INDIRECT(H$4))+SUMIF(INDIRECT(H$3),'Struktur Vorjahr'!$D132,INDIRECT(H$5)))</f>
        <v>706.18</v>
      </c>
      <c r="I132" s="593">
        <f ca="1">$E132*(-SUMIF(INDIRECT(I$3),'Struktur Vorjahr'!$D132,INDIRECT(I$4))+SUMIF(INDIRECT(I$3),'Struktur Vorjahr'!$D132,INDIRECT(I$5)))</f>
        <v>1092.8800000000001</v>
      </c>
      <c r="J132" s="593">
        <f ca="1">$E132*(-SUMIF(INDIRECT(J$3),'Struktur Vorjahr'!$D132,INDIRECT(J$4))+SUMIF(INDIRECT(J$3),'Struktur Vorjahr'!$D132,INDIRECT(J$5)))</f>
        <v>1092.8800000000001</v>
      </c>
      <c r="K132" s="593">
        <f ca="1">$E132*(-SUMIF(INDIRECT(K$3),'Struktur Vorjahr'!$D132,INDIRECT(K$4))+SUMIF(INDIRECT(K$3),'Struktur Vorjahr'!$D132,INDIRECT(K$5)))</f>
        <v>1092.8800000000001</v>
      </c>
      <c r="L132" s="593">
        <f ca="1">$E132*(-SUMIF(INDIRECT(L$3),'Struktur Vorjahr'!$D132,INDIRECT(L$4))+SUMIF(INDIRECT(L$3),'Struktur Vorjahr'!$D132,INDIRECT(L$5)))</f>
        <v>1035.1400000000001</v>
      </c>
      <c r="M132" s="593">
        <f ca="1">$E132*(-SUMIF(INDIRECT(M$3),'Struktur Vorjahr'!$D132,INDIRECT(M$4))+SUMIF(INDIRECT(M$3),'Struktur Vorjahr'!$D132,INDIRECT(M$5)))</f>
        <v>-523.41999999999996</v>
      </c>
      <c r="N132" s="593">
        <f ca="1">$E132*(-SUMIF(INDIRECT(N$3),'Struktur Vorjahr'!$D132,INDIRECT(N$4))+SUMIF(INDIRECT(N$3),'Struktur Vorjahr'!$D132,INDIRECT(N$5)))</f>
        <v>829.35</v>
      </c>
      <c r="O132" s="593">
        <f ca="1">$E132*(-SUMIF(INDIRECT(O$3),'Struktur Vorjahr'!$D132,INDIRECT(O$4))+SUMIF(INDIRECT(O$3),'Struktur Vorjahr'!$D132,INDIRECT(O$5)))</f>
        <v>829.35</v>
      </c>
      <c r="P132" s="593">
        <f ca="1">$E132*(-SUMIF(INDIRECT(P$3),'Struktur Vorjahr'!$D132,INDIRECT(P$4))+SUMIF(INDIRECT(P$3),'Struktur Vorjahr'!$D132,INDIRECT(P$5)))</f>
        <v>829.35</v>
      </c>
      <c r="Q132" s="593">
        <f ca="1">$E132*(-SUMIF(INDIRECT(Q$3),'Struktur Vorjahr'!$D132,INDIRECT(Q$4))+SUMIF(INDIRECT(Q$3),'Struktur Vorjahr'!$D132,INDIRECT(Q$5)))</f>
        <v>0</v>
      </c>
      <c r="R132" s="593">
        <f ca="1">$E132*(-SUMIF(INDIRECT(R$3),'Struktur Vorjahr'!$D132,INDIRECT(R$4))+SUMIF(INDIRECT(R$3),'Struktur Vorjahr'!$D132,INDIRECT(R$5)))</f>
        <v>0</v>
      </c>
      <c r="S132" s="593">
        <f ca="1">$E132*(-SUMIF(INDIRECT(S$3),'Struktur Vorjahr'!$D132,INDIRECT(S$4))+SUMIF(INDIRECT(S$3),'Struktur Vorjahr'!$D132,INDIRECT(S$5)))</f>
        <v>1142.8</v>
      </c>
      <c r="T132" s="593">
        <f ca="1">$E132*(-SUMIF(INDIRECT(T$3),'Struktur Vorjahr'!$D132,INDIRECT(T$4))+SUMIF(INDIRECT(T$3),'Struktur Vorjahr'!$D132,INDIRECT(T$5)))</f>
        <v>1848.98</v>
      </c>
      <c r="U132" s="593">
        <f ca="1">$E132*(-SUMIF(INDIRECT(U$3),'Struktur Vorjahr'!$D132,INDIRECT(U$4))+SUMIF(INDIRECT(U$3),'Struktur Vorjahr'!$D132,INDIRECT(U$5)))</f>
        <v>2941.86</v>
      </c>
      <c r="V132" s="593">
        <f ca="1">$E132*(-SUMIF(INDIRECT(V$3),'Struktur Vorjahr'!$D132,INDIRECT(V$4))+SUMIF(INDIRECT(V$3),'Struktur Vorjahr'!$D132,INDIRECT(V$5)))</f>
        <v>4034.74</v>
      </c>
      <c r="W132" s="593">
        <f ca="1">$E132*(-SUMIF(INDIRECT(W$3),'Struktur Vorjahr'!$D132,INDIRECT(W$4))+SUMIF(INDIRECT(W$3),'Struktur Vorjahr'!$D132,INDIRECT(W$5)))</f>
        <v>5127.62</v>
      </c>
      <c r="X132" s="593">
        <f ca="1">$E132*(-SUMIF(INDIRECT(X$3),'Struktur Vorjahr'!$D132,INDIRECT(X$4))+SUMIF(INDIRECT(X$3),'Struktur Vorjahr'!$D132,INDIRECT(X$5)))</f>
        <v>6162.76</v>
      </c>
      <c r="Y132" s="593">
        <f ca="1">$E132*(-SUMIF(INDIRECT(Y$3),'Struktur Vorjahr'!$D132,INDIRECT(Y$4))+SUMIF(INDIRECT(Y$3),'Struktur Vorjahr'!$D132,INDIRECT(Y$5)))</f>
        <v>5639.34</v>
      </c>
      <c r="Z132" s="593">
        <f ca="1">$E132*(-SUMIF(INDIRECT(Z$3),'Struktur Vorjahr'!$D132,INDIRECT(Z$4))+SUMIF(INDIRECT(Z$3),'Struktur Vorjahr'!$D132,INDIRECT(Z$5)))</f>
        <v>6468.69</v>
      </c>
      <c r="AA132" s="593">
        <f ca="1">$E132*(-SUMIF(INDIRECT(AA$3),'Struktur Vorjahr'!$D132,INDIRECT(AA$4))+SUMIF(INDIRECT(AA$3),'Struktur Vorjahr'!$D132,INDIRECT(AA$5)))</f>
        <v>7298.04</v>
      </c>
      <c r="AB132" s="593">
        <f ca="1">$E132*(-SUMIF(INDIRECT(AB$3),'Struktur Vorjahr'!$D132,INDIRECT(AB$4))+SUMIF(INDIRECT(AB$3),'Struktur Vorjahr'!$D132,INDIRECT(AB$5)))</f>
        <v>8127.39</v>
      </c>
      <c r="AC132" s="593">
        <f ca="1">$E132*(-SUMIF(INDIRECT(AC$3),'Struktur Vorjahr'!$D132,INDIRECT(AC$4))+SUMIF(INDIRECT(AC$3),'Struktur Vorjahr'!$D132,INDIRECT(AC$5)))</f>
        <v>0</v>
      </c>
      <c r="AD132" s="593">
        <f ca="1">$E132*(-SUMIF(INDIRECT(AD$3),'Struktur Vorjahr'!$D132,INDIRECT(AD$4))+SUMIF(INDIRECT(AD$3),'Struktur Vorjahr'!$D132,INDIRECT(AD$5)))</f>
        <v>0</v>
      </c>
      <c r="AE132" s="593">
        <f t="shared" ca="1" si="69"/>
        <v>1142.8</v>
      </c>
      <c r="AF132" s="593">
        <f t="shared" ca="1" si="70"/>
        <v>1848.98</v>
      </c>
      <c r="AG132" s="593">
        <f t="shared" ca="1" si="70"/>
        <v>2941.86</v>
      </c>
      <c r="AH132" s="593">
        <f t="shared" ca="1" si="70"/>
        <v>4034.7400000000002</v>
      </c>
      <c r="AI132" s="593">
        <f t="shared" ca="1" si="70"/>
        <v>5127.6200000000008</v>
      </c>
      <c r="AJ132" s="593">
        <f t="shared" ca="1" si="70"/>
        <v>6162.7600000000011</v>
      </c>
      <c r="AK132" s="593">
        <f t="shared" ca="1" si="70"/>
        <v>5639.3400000000011</v>
      </c>
      <c r="AL132" s="593">
        <f t="shared" ca="1" si="70"/>
        <v>6468.6900000000014</v>
      </c>
      <c r="AM132" s="593">
        <f t="shared" ca="1" si="70"/>
        <v>7298.0400000000018</v>
      </c>
      <c r="AN132" s="593">
        <f t="shared" ca="1" si="70"/>
        <v>8127.3900000000021</v>
      </c>
      <c r="AO132" s="593">
        <f t="shared" ca="1" si="70"/>
        <v>8127.3900000000021</v>
      </c>
      <c r="AP132" s="593">
        <f t="shared" ca="1" si="70"/>
        <v>8127.3900000000021</v>
      </c>
    </row>
    <row r="133" spans="1:42" s="594" customFormat="1" ht="11.25" outlineLevel="1" x14ac:dyDescent="0.2">
      <c r="A133" s="590"/>
      <c r="B133" s="591" t="str">
        <f>IF(D133&lt;&gt;"",
IF(ISERROR(MATCH(D133,'Ist Vorjahr Monat 01'!A:A,0))=FALSE,INDEX('Ist Vorjahr Monat 01'!B:B,MATCH(D133,'Ist Vorjahr Monat 01'!A:A,0)),
IF(ISERROR(MATCH(D133,'Ist Vorjahr Monat 02'!A:A,0))=FALSE,INDEX('Ist Vorjahr Monat 02'!B:B,MATCH(D133,'Ist Vorjahr Monat 02'!A:A,0)),
IF(ISERROR(MATCH(D133,'Ist Vorjahr Monat 03'!A:A,0))=FALSE,INDEX('Ist Vorjahr Monat 03'!B:B,MATCH(D133,'Ist Vorjahr Monat 03'!A:A,0)),
IF(ISERROR(MATCH(D133,'Ist Vorjahr Monat 04'!A:A,0))=FALSE,INDEX('Ist Vorjahr Monat 04'!B:B,MATCH(D133,'Ist Vorjahr Monat 04'!A:A,0)),
IF(ISERROR(MATCH(D133,'Ist Vorjahr Monat 05'!A:A,0))=FALSE,INDEX('Ist Vorjahr Monat 05'!B:B,MATCH(D133,'Ist Vorjahr Monat 05'!A:A,0)),
IF(ISERROR(MATCH(D133,'Ist Vorjahr Monat 06'!A:A,0))=FALSE,INDEX('Ist Vorjahr Monat 06'!B:B,MATCH(D133,'Ist Vorjahr Monat 06'!A:A,0)),
IF(ISERROR(MATCH(D133,'Ist Vorjahr Monat 07'!A:A,0))=FALSE,INDEX('Ist Vorjahr Monat 07'!B:B,MATCH(D133,'Ist Vorjahr Monat 07'!A:A,0)),
IF(ISERROR(MATCH(D133,'Ist Vorjahr Monat 08'!A:A,0))=FALSE,INDEX('Ist Vorjahr Monat 08'!B:B,MATCH(D133,'Ist Vorjahr Monat 08'!A:A,0)),
IF(ISERROR(MATCH(D133,'Ist Vorjahr Monat 09'!A:A,0))=FALSE,INDEX('Ist Vorjahr Monat 09'!B:B,MATCH(D133,'Ist Vorjahr Monat 09'!A:A,0)),
IF(ISERROR(MATCH(D133,'Ist Vorjahr Monat 10'!A:A,0))=FALSE,INDEX('Ist Vorjahr Monat 10'!B:B,MATCH(D133,'Ist Vorjahr Monat 10'!A:A,0)),
IF(ISERROR(MATCH(D133,'Ist Vorjahr Monat 11'!A:A,0))=FALSE,INDEX('Ist Vorjahr Monat 11'!B:B,MATCH(D133,'Ist Vorjahr Monat 11'!A:A,0)),
IF(ISERROR(MATCH(D133,'Ist Vorjahr Monat 12'!A:A,0))=FALSE,INDEX('Ist Vorjahr Monat 12'!B:B,MATCH(D133,'Ist Vorjahr Monat 12'!A:A,0)),
"{Konto unbekannt}"
)))))))))))),"")</f>
        <v>Beiträge zur Berufsgenossenschaft</v>
      </c>
      <c r="C133" s="591"/>
      <c r="D133" s="590">
        <v>4138</v>
      </c>
      <c r="E133" s="592">
        <f t="shared" si="65"/>
        <v>1</v>
      </c>
      <c r="F133" s="590"/>
      <c r="G133" s="593">
        <f ca="1">$E133*(-SUMIF(INDIRECT(G$3),'Struktur Vorjahr'!$D133,INDIRECT(G$4))+SUMIF(INDIRECT(G$3),'Struktur Vorjahr'!$D133,INDIRECT(G$5)))</f>
        <v>0</v>
      </c>
      <c r="H133" s="593">
        <f ca="1">$E133*(-SUMIF(INDIRECT(H$3),'Struktur Vorjahr'!$D133,INDIRECT(H$4))+SUMIF(INDIRECT(H$3),'Struktur Vorjahr'!$D133,INDIRECT(H$5)))</f>
        <v>0</v>
      </c>
      <c r="I133" s="593">
        <f ca="1">$E133*(-SUMIF(INDIRECT(I$3),'Struktur Vorjahr'!$D133,INDIRECT(I$4))+SUMIF(INDIRECT(I$3),'Struktur Vorjahr'!$D133,INDIRECT(I$5)))</f>
        <v>0</v>
      </c>
      <c r="J133" s="593">
        <f ca="1">$E133*(-SUMIF(INDIRECT(J$3),'Struktur Vorjahr'!$D133,INDIRECT(J$4))+SUMIF(INDIRECT(J$3),'Struktur Vorjahr'!$D133,INDIRECT(J$5)))</f>
        <v>262.45999999999998</v>
      </c>
      <c r="K133" s="593">
        <f ca="1">$E133*(-SUMIF(INDIRECT(K$3),'Struktur Vorjahr'!$D133,INDIRECT(K$4))+SUMIF(INDIRECT(K$3),'Struktur Vorjahr'!$D133,INDIRECT(K$5)))</f>
        <v>0</v>
      </c>
      <c r="L133" s="593">
        <f ca="1">$E133*(-SUMIF(INDIRECT(L$3),'Struktur Vorjahr'!$D133,INDIRECT(L$4))+SUMIF(INDIRECT(L$3),'Struktur Vorjahr'!$D133,INDIRECT(L$5)))</f>
        <v>0</v>
      </c>
      <c r="M133" s="593">
        <f ca="1">$E133*(-SUMIF(INDIRECT(M$3),'Struktur Vorjahr'!$D133,INDIRECT(M$4))+SUMIF(INDIRECT(M$3),'Struktur Vorjahr'!$D133,INDIRECT(M$5)))</f>
        <v>0</v>
      </c>
      <c r="N133" s="593">
        <f ca="1">$E133*(-SUMIF(INDIRECT(N$3),'Struktur Vorjahr'!$D133,INDIRECT(N$4))+SUMIF(INDIRECT(N$3),'Struktur Vorjahr'!$D133,INDIRECT(N$5)))</f>
        <v>0</v>
      </c>
      <c r="O133" s="593">
        <f ca="1">$E133*(-SUMIF(INDIRECT(O$3),'Struktur Vorjahr'!$D133,INDIRECT(O$4))+SUMIF(INDIRECT(O$3),'Struktur Vorjahr'!$D133,INDIRECT(O$5)))</f>
        <v>0</v>
      </c>
      <c r="P133" s="593">
        <f ca="1">$E133*(-SUMIF(INDIRECT(P$3),'Struktur Vorjahr'!$D133,INDIRECT(P$4))+SUMIF(INDIRECT(P$3),'Struktur Vorjahr'!$D133,INDIRECT(P$5)))</f>
        <v>0</v>
      </c>
      <c r="Q133" s="593">
        <f ca="1">$E133*(-SUMIF(INDIRECT(Q$3),'Struktur Vorjahr'!$D133,INDIRECT(Q$4))+SUMIF(INDIRECT(Q$3),'Struktur Vorjahr'!$D133,INDIRECT(Q$5)))</f>
        <v>0</v>
      </c>
      <c r="R133" s="593">
        <f ca="1">$E133*(-SUMIF(INDIRECT(R$3),'Struktur Vorjahr'!$D133,INDIRECT(R$4))+SUMIF(INDIRECT(R$3),'Struktur Vorjahr'!$D133,INDIRECT(R$5)))</f>
        <v>0</v>
      </c>
      <c r="S133" s="593">
        <f ca="1">$E133*(-SUMIF(INDIRECT(S$3),'Struktur Vorjahr'!$D133,INDIRECT(S$4))+SUMIF(INDIRECT(S$3),'Struktur Vorjahr'!$D133,INDIRECT(S$5)))</f>
        <v>0</v>
      </c>
      <c r="T133" s="593">
        <f ca="1">$E133*(-SUMIF(INDIRECT(T$3),'Struktur Vorjahr'!$D133,INDIRECT(T$4))+SUMIF(INDIRECT(T$3),'Struktur Vorjahr'!$D133,INDIRECT(T$5)))</f>
        <v>0</v>
      </c>
      <c r="U133" s="593">
        <f ca="1">$E133*(-SUMIF(INDIRECT(U$3),'Struktur Vorjahr'!$D133,INDIRECT(U$4))+SUMIF(INDIRECT(U$3),'Struktur Vorjahr'!$D133,INDIRECT(U$5)))</f>
        <v>0</v>
      </c>
      <c r="V133" s="593">
        <f ca="1">$E133*(-SUMIF(INDIRECT(V$3),'Struktur Vorjahr'!$D133,INDIRECT(V$4))+SUMIF(INDIRECT(V$3),'Struktur Vorjahr'!$D133,INDIRECT(V$5)))</f>
        <v>262.45999999999998</v>
      </c>
      <c r="W133" s="593">
        <f ca="1">$E133*(-SUMIF(INDIRECT(W$3),'Struktur Vorjahr'!$D133,INDIRECT(W$4))+SUMIF(INDIRECT(W$3),'Struktur Vorjahr'!$D133,INDIRECT(W$5)))</f>
        <v>262.45999999999998</v>
      </c>
      <c r="X133" s="593">
        <f ca="1">$E133*(-SUMIF(INDIRECT(X$3),'Struktur Vorjahr'!$D133,INDIRECT(X$4))+SUMIF(INDIRECT(X$3),'Struktur Vorjahr'!$D133,INDIRECT(X$5)))</f>
        <v>262.45999999999998</v>
      </c>
      <c r="Y133" s="593">
        <f ca="1">$E133*(-SUMIF(INDIRECT(Y$3),'Struktur Vorjahr'!$D133,INDIRECT(Y$4))+SUMIF(INDIRECT(Y$3),'Struktur Vorjahr'!$D133,INDIRECT(Y$5)))</f>
        <v>262.45999999999998</v>
      </c>
      <c r="Z133" s="593">
        <f ca="1">$E133*(-SUMIF(INDIRECT(Z$3),'Struktur Vorjahr'!$D133,INDIRECT(Z$4))+SUMIF(INDIRECT(Z$3),'Struktur Vorjahr'!$D133,INDIRECT(Z$5)))</f>
        <v>262.45999999999998</v>
      </c>
      <c r="AA133" s="593">
        <f ca="1">$E133*(-SUMIF(INDIRECT(AA$3),'Struktur Vorjahr'!$D133,INDIRECT(AA$4))+SUMIF(INDIRECT(AA$3),'Struktur Vorjahr'!$D133,INDIRECT(AA$5)))</f>
        <v>262.45999999999998</v>
      </c>
      <c r="AB133" s="593">
        <f ca="1">$E133*(-SUMIF(INDIRECT(AB$3),'Struktur Vorjahr'!$D133,INDIRECT(AB$4))+SUMIF(INDIRECT(AB$3),'Struktur Vorjahr'!$D133,INDIRECT(AB$5)))</f>
        <v>262.45999999999998</v>
      </c>
      <c r="AC133" s="593">
        <f ca="1">$E133*(-SUMIF(INDIRECT(AC$3),'Struktur Vorjahr'!$D133,INDIRECT(AC$4))+SUMIF(INDIRECT(AC$3),'Struktur Vorjahr'!$D133,INDIRECT(AC$5)))</f>
        <v>0</v>
      </c>
      <c r="AD133" s="593">
        <f ca="1">$E133*(-SUMIF(INDIRECT(AD$3),'Struktur Vorjahr'!$D133,INDIRECT(AD$4))+SUMIF(INDIRECT(AD$3),'Struktur Vorjahr'!$D133,INDIRECT(AD$5)))</f>
        <v>0</v>
      </c>
      <c r="AE133" s="593">
        <f t="shared" ca="1" si="69"/>
        <v>0</v>
      </c>
      <c r="AF133" s="593">
        <f t="shared" ca="1" si="70"/>
        <v>0</v>
      </c>
      <c r="AG133" s="593">
        <f t="shared" ca="1" si="70"/>
        <v>0</v>
      </c>
      <c r="AH133" s="593">
        <f t="shared" ca="1" si="70"/>
        <v>262.45999999999998</v>
      </c>
      <c r="AI133" s="593">
        <f t="shared" ca="1" si="70"/>
        <v>262.45999999999998</v>
      </c>
      <c r="AJ133" s="593">
        <f t="shared" ca="1" si="70"/>
        <v>262.45999999999998</v>
      </c>
      <c r="AK133" s="593">
        <f t="shared" ca="1" si="70"/>
        <v>262.45999999999998</v>
      </c>
      <c r="AL133" s="593">
        <f t="shared" ca="1" si="70"/>
        <v>262.45999999999998</v>
      </c>
      <c r="AM133" s="593">
        <f t="shared" ca="1" si="70"/>
        <v>262.45999999999998</v>
      </c>
      <c r="AN133" s="593">
        <f t="shared" ca="1" si="70"/>
        <v>262.45999999999998</v>
      </c>
      <c r="AO133" s="593">
        <f t="shared" ca="1" si="70"/>
        <v>262.45999999999998</v>
      </c>
      <c r="AP133" s="593">
        <f t="shared" ca="1" si="70"/>
        <v>262.45999999999998</v>
      </c>
    </row>
    <row r="134" spans="1:42" s="594" customFormat="1" ht="11.25" outlineLevel="1" x14ac:dyDescent="0.2">
      <c r="A134" s="590"/>
      <c r="B134" s="591" t="str">
        <f>IF(D134&lt;&gt;"",
IF(ISERROR(MATCH(D134,'Ist Vorjahr Monat 01'!A:A,0))=FALSE,INDEX('Ist Vorjahr Monat 01'!B:B,MATCH(D134,'Ist Vorjahr Monat 01'!A:A,0)),
IF(ISERROR(MATCH(D134,'Ist Vorjahr Monat 02'!A:A,0))=FALSE,INDEX('Ist Vorjahr Monat 02'!B:B,MATCH(D134,'Ist Vorjahr Monat 02'!A:A,0)),
IF(ISERROR(MATCH(D134,'Ist Vorjahr Monat 03'!A:A,0))=FALSE,INDEX('Ist Vorjahr Monat 03'!B:B,MATCH(D134,'Ist Vorjahr Monat 03'!A:A,0)),
IF(ISERROR(MATCH(D134,'Ist Vorjahr Monat 04'!A:A,0))=FALSE,INDEX('Ist Vorjahr Monat 04'!B:B,MATCH(D134,'Ist Vorjahr Monat 04'!A:A,0)),
IF(ISERROR(MATCH(D134,'Ist Vorjahr Monat 05'!A:A,0))=FALSE,INDEX('Ist Vorjahr Monat 05'!B:B,MATCH(D134,'Ist Vorjahr Monat 05'!A:A,0)),
IF(ISERROR(MATCH(D134,'Ist Vorjahr Monat 06'!A:A,0))=FALSE,INDEX('Ist Vorjahr Monat 06'!B:B,MATCH(D134,'Ist Vorjahr Monat 06'!A:A,0)),
IF(ISERROR(MATCH(D134,'Ist Vorjahr Monat 07'!A:A,0))=FALSE,INDEX('Ist Vorjahr Monat 07'!B:B,MATCH(D134,'Ist Vorjahr Monat 07'!A:A,0)),
IF(ISERROR(MATCH(D134,'Ist Vorjahr Monat 08'!A:A,0))=FALSE,INDEX('Ist Vorjahr Monat 08'!B:B,MATCH(D134,'Ist Vorjahr Monat 08'!A:A,0)),
IF(ISERROR(MATCH(D134,'Ist Vorjahr Monat 09'!A:A,0))=FALSE,INDEX('Ist Vorjahr Monat 09'!B:B,MATCH(D134,'Ist Vorjahr Monat 09'!A:A,0)),
IF(ISERROR(MATCH(D134,'Ist Vorjahr Monat 10'!A:A,0))=FALSE,INDEX('Ist Vorjahr Monat 10'!B:B,MATCH(D134,'Ist Vorjahr Monat 10'!A:A,0)),
IF(ISERROR(MATCH(D134,'Ist Vorjahr Monat 11'!A:A,0))=FALSE,INDEX('Ist Vorjahr Monat 11'!B:B,MATCH(D134,'Ist Vorjahr Monat 11'!A:A,0)),
IF(ISERROR(MATCH(D134,'Ist Vorjahr Monat 12'!A:A,0))=FALSE,INDEX('Ist Vorjahr Monat 12'!B:B,MATCH(D134,'Ist Vorjahr Monat 12'!A:A,0)),
"{Konto unbekannt}"
)))))))))))),"")</f>
        <v>Aufwendungen für Altersversorgung</v>
      </c>
      <c r="C134" s="591"/>
      <c r="D134" s="590">
        <v>4165</v>
      </c>
      <c r="E134" s="592">
        <f t="shared" si="65"/>
        <v>1</v>
      </c>
      <c r="F134" s="590"/>
      <c r="G134" s="593">
        <f ca="1">$E134*(-SUMIF(INDIRECT(G$3),'Struktur Vorjahr'!$D134,INDIRECT(G$4))+SUMIF(INDIRECT(G$3),'Struktur Vorjahr'!$D134,INDIRECT(G$5)))</f>
        <v>0</v>
      </c>
      <c r="H134" s="593">
        <f ca="1">$E134*(-SUMIF(INDIRECT(H$3),'Struktur Vorjahr'!$D134,INDIRECT(H$4))+SUMIF(INDIRECT(H$3),'Struktur Vorjahr'!$D134,INDIRECT(H$5)))</f>
        <v>88</v>
      </c>
      <c r="I134" s="593">
        <f ca="1">$E134*(-SUMIF(INDIRECT(I$3),'Struktur Vorjahr'!$D134,INDIRECT(I$4))+SUMIF(INDIRECT(I$3),'Struktur Vorjahr'!$D134,INDIRECT(I$5)))</f>
        <v>44.67</v>
      </c>
      <c r="J134" s="593">
        <f ca="1">$E134*(-SUMIF(INDIRECT(J$3),'Struktur Vorjahr'!$D134,INDIRECT(J$4))+SUMIF(INDIRECT(J$3),'Struktur Vorjahr'!$D134,INDIRECT(J$5)))</f>
        <v>44.67</v>
      </c>
      <c r="K134" s="593">
        <f ca="1">$E134*(-SUMIF(INDIRECT(K$3),'Struktur Vorjahr'!$D134,INDIRECT(K$4))+SUMIF(INDIRECT(K$3),'Struktur Vorjahr'!$D134,INDIRECT(K$5)))</f>
        <v>44.67</v>
      </c>
      <c r="L134" s="593">
        <f ca="1">$E134*(-SUMIF(INDIRECT(L$3),'Struktur Vorjahr'!$D134,INDIRECT(L$4))+SUMIF(INDIRECT(L$3),'Struktur Vorjahr'!$D134,INDIRECT(L$5)))</f>
        <v>44.67</v>
      </c>
      <c r="M134" s="593">
        <f ca="1">$E134*(-SUMIF(INDIRECT(M$3),'Struktur Vorjahr'!$D134,INDIRECT(M$4))+SUMIF(INDIRECT(M$3),'Struktur Vorjahr'!$D134,INDIRECT(M$5)))</f>
        <v>4124.8500000000004</v>
      </c>
      <c r="N134" s="593">
        <f ca="1">$E134*(-SUMIF(INDIRECT(N$3),'Struktur Vorjahr'!$D134,INDIRECT(N$4))+SUMIF(INDIRECT(N$3),'Struktur Vorjahr'!$D134,INDIRECT(N$5)))</f>
        <v>0</v>
      </c>
      <c r="O134" s="593">
        <f ca="1">$E134*(-SUMIF(INDIRECT(O$3),'Struktur Vorjahr'!$D134,INDIRECT(O$4))+SUMIF(INDIRECT(O$3),'Struktur Vorjahr'!$D134,INDIRECT(O$5)))</f>
        <v>0</v>
      </c>
      <c r="P134" s="593">
        <f ca="1">$E134*(-SUMIF(INDIRECT(P$3),'Struktur Vorjahr'!$D134,INDIRECT(P$4))+SUMIF(INDIRECT(P$3),'Struktur Vorjahr'!$D134,INDIRECT(P$5)))</f>
        <v>0</v>
      </c>
      <c r="Q134" s="593">
        <f ca="1">$E134*(-SUMIF(INDIRECT(Q$3),'Struktur Vorjahr'!$D134,INDIRECT(Q$4))+SUMIF(INDIRECT(Q$3),'Struktur Vorjahr'!$D134,INDIRECT(Q$5)))</f>
        <v>0</v>
      </c>
      <c r="R134" s="593">
        <f ca="1">$E134*(-SUMIF(INDIRECT(R$3),'Struktur Vorjahr'!$D134,INDIRECT(R$4))+SUMIF(INDIRECT(R$3),'Struktur Vorjahr'!$D134,INDIRECT(R$5)))</f>
        <v>0</v>
      </c>
      <c r="S134" s="593">
        <f ca="1">$E134*(-SUMIF(INDIRECT(S$3),'Struktur Vorjahr'!$D134,INDIRECT(S$4))+SUMIF(INDIRECT(S$3),'Struktur Vorjahr'!$D134,INDIRECT(S$5)))</f>
        <v>0</v>
      </c>
      <c r="T134" s="593">
        <f ca="1">$E134*(-SUMIF(INDIRECT(T$3),'Struktur Vorjahr'!$D134,INDIRECT(T$4))+SUMIF(INDIRECT(T$3),'Struktur Vorjahr'!$D134,INDIRECT(T$5)))</f>
        <v>88</v>
      </c>
      <c r="U134" s="593">
        <f ca="1">$E134*(-SUMIF(INDIRECT(U$3),'Struktur Vorjahr'!$D134,INDIRECT(U$4))+SUMIF(INDIRECT(U$3),'Struktur Vorjahr'!$D134,INDIRECT(U$5)))</f>
        <v>132.66999999999999</v>
      </c>
      <c r="V134" s="593">
        <f ca="1">$E134*(-SUMIF(INDIRECT(V$3),'Struktur Vorjahr'!$D134,INDIRECT(V$4))+SUMIF(INDIRECT(V$3),'Struktur Vorjahr'!$D134,INDIRECT(V$5)))</f>
        <v>177.34</v>
      </c>
      <c r="W134" s="593">
        <f ca="1">$E134*(-SUMIF(INDIRECT(W$3),'Struktur Vorjahr'!$D134,INDIRECT(W$4))+SUMIF(INDIRECT(W$3),'Struktur Vorjahr'!$D134,INDIRECT(W$5)))</f>
        <v>222.01</v>
      </c>
      <c r="X134" s="593">
        <f ca="1">$E134*(-SUMIF(INDIRECT(X$3),'Struktur Vorjahr'!$D134,INDIRECT(X$4))+SUMIF(INDIRECT(X$3),'Struktur Vorjahr'!$D134,INDIRECT(X$5)))</f>
        <v>266.68</v>
      </c>
      <c r="Y134" s="593">
        <f ca="1">$E134*(-SUMIF(INDIRECT(Y$3),'Struktur Vorjahr'!$D134,INDIRECT(Y$4))+SUMIF(INDIRECT(Y$3),'Struktur Vorjahr'!$D134,INDIRECT(Y$5)))</f>
        <v>4391.53</v>
      </c>
      <c r="Z134" s="593">
        <f ca="1">$E134*(-SUMIF(INDIRECT(Z$3),'Struktur Vorjahr'!$D134,INDIRECT(Z$4))+SUMIF(INDIRECT(Z$3),'Struktur Vorjahr'!$D134,INDIRECT(Z$5)))</f>
        <v>4391.53</v>
      </c>
      <c r="AA134" s="593">
        <f ca="1">$E134*(-SUMIF(INDIRECT(AA$3),'Struktur Vorjahr'!$D134,INDIRECT(AA$4))+SUMIF(INDIRECT(AA$3),'Struktur Vorjahr'!$D134,INDIRECT(AA$5)))</f>
        <v>4391.53</v>
      </c>
      <c r="AB134" s="593">
        <f ca="1">$E134*(-SUMIF(INDIRECT(AB$3),'Struktur Vorjahr'!$D134,INDIRECT(AB$4))+SUMIF(INDIRECT(AB$3),'Struktur Vorjahr'!$D134,INDIRECT(AB$5)))</f>
        <v>4391.53</v>
      </c>
      <c r="AC134" s="593">
        <f ca="1">$E134*(-SUMIF(INDIRECT(AC$3),'Struktur Vorjahr'!$D134,INDIRECT(AC$4))+SUMIF(INDIRECT(AC$3),'Struktur Vorjahr'!$D134,INDIRECT(AC$5)))</f>
        <v>0</v>
      </c>
      <c r="AD134" s="593">
        <f ca="1">$E134*(-SUMIF(INDIRECT(AD$3),'Struktur Vorjahr'!$D134,INDIRECT(AD$4))+SUMIF(INDIRECT(AD$3),'Struktur Vorjahr'!$D134,INDIRECT(AD$5)))</f>
        <v>0</v>
      </c>
      <c r="AE134" s="593">
        <f t="shared" ca="1" si="69"/>
        <v>0</v>
      </c>
      <c r="AF134" s="593">
        <f t="shared" ca="1" si="70"/>
        <v>88</v>
      </c>
      <c r="AG134" s="593">
        <f t="shared" ca="1" si="70"/>
        <v>132.67000000000002</v>
      </c>
      <c r="AH134" s="593">
        <f t="shared" ca="1" si="70"/>
        <v>177.34000000000003</v>
      </c>
      <c r="AI134" s="593">
        <f t="shared" ca="1" si="70"/>
        <v>222.01000000000005</v>
      </c>
      <c r="AJ134" s="593">
        <f t="shared" ca="1" si="70"/>
        <v>266.68000000000006</v>
      </c>
      <c r="AK134" s="593">
        <f t="shared" ca="1" si="70"/>
        <v>4391.5300000000007</v>
      </c>
      <c r="AL134" s="593">
        <f t="shared" ca="1" si="70"/>
        <v>4391.5300000000007</v>
      </c>
      <c r="AM134" s="593">
        <f t="shared" ca="1" si="70"/>
        <v>4391.5300000000007</v>
      </c>
      <c r="AN134" s="593">
        <f t="shared" ca="1" si="70"/>
        <v>4391.5300000000007</v>
      </c>
      <c r="AO134" s="593">
        <f t="shared" ca="1" si="70"/>
        <v>4391.5300000000007</v>
      </c>
      <c r="AP134" s="593">
        <f t="shared" ca="1" si="70"/>
        <v>4391.5300000000007</v>
      </c>
    </row>
    <row r="135" spans="1:42" s="594" customFormat="1" ht="11.25" outlineLevel="1" x14ac:dyDescent="0.2">
      <c r="A135" s="590"/>
      <c r="B135" s="591" t="str">
        <f>IF(D135&lt;&gt;"",
IF(ISERROR(MATCH(D135,'Ist Vorjahr Monat 01'!A:A,0))=FALSE,INDEX('Ist Vorjahr Monat 01'!B:B,MATCH(D135,'Ist Vorjahr Monat 01'!A:A,0)),
IF(ISERROR(MATCH(D135,'Ist Vorjahr Monat 02'!A:A,0))=FALSE,INDEX('Ist Vorjahr Monat 02'!B:B,MATCH(D135,'Ist Vorjahr Monat 02'!A:A,0)),
IF(ISERROR(MATCH(D135,'Ist Vorjahr Monat 03'!A:A,0))=FALSE,INDEX('Ist Vorjahr Monat 03'!B:B,MATCH(D135,'Ist Vorjahr Monat 03'!A:A,0)),
IF(ISERROR(MATCH(D135,'Ist Vorjahr Monat 04'!A:A,0))=FALSE,INDEX('Ist Vorjahr Monat 04'!B:B,MATCH(D135,'Ist Vorjahr Monat 04'!A:A,0)),
IF(ISERROR(MATCH(D135,'Ist Vorjahr Monat 05'!A:A,0))=FALSE,INDEX('Ist Vorjahr Monat 05'!B:B,MATCH(D135,'Ist Vorjahr Monat 05'!A:A,0)),
IF(ISERROR(MATCH(D135,'Ist Vorjahr Monat 06'!A:A,0))=FALSE,INDEX('Ist Vorjahr Monat 06'!B:B,MATCH(D135,'Ist Vorjahr Monat 06'!A:A,0)),
IF(ISERROR(MATCH(D135,'Ist Vorjahr Monat 07'!A:A,0))=FALSE,INDEX('Ist Vorjahr Monat 07'!B:B,MATCH(D135,'Ist Vorjahr Monat 07'!A:A,0)),
IF(ISERROR(MATCH(D135,'Ist Vorjahr Monat 08'!A:A,0))=FALSE,INDEX('Ist Vorjahr Monat 08'!B:B,MATCH(D135,'Ist Vorjahr Monat 08'!A:A,0)),
IF(ISERROR(MATCH(D135,'Ist Vorjahr Monat 09'!A:A,0))=FALSE,INDEX('Ist Vorjahr Monat 09'!B:B,MATCH(D135,'Ist Vorjahr Monat 09'!A:A,0)),
IF(ISERROR(MATCH(D135,'Ist Vorjahr Monat 10'!A:A,0))=FALSE,INDEX('Ist Vorjahr Monat 10'!B:B,MATCH(D135,'Ist Vorjahr Monat 10'!A:A,0)),
IF(ISERROR(MATCH(D135,'Ist Vorjahr Monat 11'!A:A,0))=FALSE,INDEX('Ist Vorjahr Monat 11'!B:B,MATCH(D135,'Ist Vorjahr Monat 11'!A:A,0)),
IF(ISERROR(MATCH(D135,'Ist Vorjahr Monat 12'!A:A,0))=FALSE,INDEX('Ist Vorjahr Monat 12'!B:B,MATCH(D135,'Ist Vorjahr Monat 12'!A:A,0)),
"{Konto unbekannt}"
)))))))))))),"")</f>
        <v/>
      </c>
      <c r="C135" s="591"/>
      <c r="D135" s="590"/>
      <c r="E135" s="592">
        <f t="shared" si="65"/>
        <v>1</v>
      </c>
      <c r="F135" s="590"/>
      <c r="G135" s="593">
        <f ca="1">$E135*(-SUMIF(INDIRECT(G$3),'Struktur Vorjahr'!$D135,INDIRECT(G$4))+SUMIF(INDIRECT(G$3),'Struktur Vorjahr'!$D135,INDIRECT(G$5)))</f>
        <v>0</v>
      </c>
      <c r="H135" s="593">
        <f ca="1">$E135*(-SUMIF(INDIRECT(H$3),'Struktur Vorjahr'!$D135,INDIRECT(H$4))+SUMIF(INDIRECT(H$3),'Struktur Vorjahr'!$D135,INDIRECT(H$5)))</f>
        <v>0</v>
      </c>
      <c r="I135" s="593">
        <f ca="1">$E135*(-SUMIF(INDIRECT(I$3),'Struktur Vorjahr'!$D135,INDIRECT(I$4))+SUMIF(INDIRECT(I$3),'Struktur Vorjahr'!$D135,INDIRECT(I$5)))</f>
        <v>0</v>
      </c>
      <c r="J135" s="593">
        <f ca="1">$E135*(-SUMIF(INDIRECT(J$3),'Struktur Vorjahr'!$D135,INDIRECT(J$4))+SUMIF(INDIRECT(J$3),'Struktur Vorjahr'!$D135,INDIRECT(J$5)))</f>
        <v>0</v>
      </c>
      <c r="K135" s="593">
        <f ca="1">$E135*(-SUMIF(INDIRECT(K$3),'Struktur Vorjahr'!$D135,INDIRECT(K$4))+SUMIF(INDIRECT(K$3),'Struktur Vorjahr'!$D135,INDIRECT(K$5)))</f>
        <v>0</v>
      </c>
      <c r="L135" s="593">
        <f ca="1">$E135*(-SUMIF(INDIRECT(L$3),'Struktur Vorjahr'!$D135,INDIRECT(L$4))+SUMIF(INDIRECT(L$3),'Struktur Vorjahr'!$D135,INDIRECT(L$5)))</f>
        <v>0</v>
      </c>
      <c r="M135" s="593">
        <f ca="1">$E135*(-SUMIF(INDIRECT(M$3),'Struktur Vorjahr'!$D135,INDIRECT(M$4))+SUMIF(INDIRECT(M$3),'Struktur Vorjahr'!$D135,INDIRECT(M$5)))</f>
        <v>0</v>
      </c>
      <c r="N135" s="593">
        <f ca="1">$E135*(-SUMIF(INDIRECT(N$3),'Struktur Vorjahr'!$D135,INDIRECT(N$4))+SUMIF(INDIRECT(N$3),'Struktur Vorjahr'!$D135,INDIRECT(N$5)))</f>
        <v>0</v>
      </c>
      <c r="O135" s="593">
        <f ca="1">$E135*(-SUMIF(INDIRECT(O$3),'Struktur Vorjahr'!$D135,INDIRECT(O$4))+SUMIF(INDIRECT(O$3),'Struktur Vorjahr'!$D135,INDIRECT(O$5)))</f>
        <v>0</v>
      </c>
      <c r="P135" s="593">
        <f ca="1">$E135*(-SUMIF(INDIRECT(P$3),'Struktur Vorjahr'!$D135,INDIRECT(P$4))+SUMIF(INDIRECT(P$3),'Struktur Vorjahr'!$D135,INDIRECT(P$5)))</f>
        <v>0</v>
      </c>
      <c r="Q135" s="593">
        <f ca="1">$E135*(-SUMIF(INDIRECT(Q$3),'Struktur Vorjahr'!$D135,INDIRECT(Q$4))+SUMIF(INDIRECT(Q$3),'Struktur Vorjahr'!$D135,INDIRECT(Q$5)))</f>
        <v>0</v>
      </c>
      <c r="R135" s="593">
        <f ca="1">$E135*(-SUMIF(INDIRECT(R$3),'Struktur Vorjahr'!$D135,INDIRECT(R$4))+SUMIF(INDIRECT(R$3),'Struktur Vorjahr'!$D135,INDIRECT(R$5)))</f>
        <v>0</v>
      </c>
      <c r="S135" s="593">
        <f ca="1">$E135*(-SUMIF(INDIRECT(S$3),'Struktur Vorjahr'!$D135,INDIRECT(S$4))+SUMIF(INDIRECT(S$3),'Struktur Vorjahr'!$D135,INDIRECT(S$5)))</f>
        <v>0</v>
      </c>
      <c r="T135" s="593">
        <f ca="1">$E135*(-SUMIF(INDIRECT(T$3),'Struktur Vorjahr'!$D135,INDIRECT(T$4))+SUMIF(INDIRECT(T$3),'Struktur Vorjahr'!$D135,INDIRECT(T$5)))</f>
        <v>0</v>
      </c>
      <c r="U135" s="593">
        <f ca="1">$E135*(-SUMIF(INDIRECT(U$3),'Struktur Vorjahr'!$D135,INDIRECT(U$4))+SUMIF(INDIRECT(U$3),'Struktur Vorjahr'!$D135,INDIRECT(U$5)))</f>
        <v>0</v>
      </c>
      <c r="V135" s="593">
        <f ca="1">$E135*(-SUMIF(INDIRECT(V$3),'Struktur Vorjahr'!$D135,INDIRECT(V$4))+SUMIF(INDIRECT(V$3),'Struktur Vorjahr'!$D135,INDIRECT(V$5)))</f>
        <v>0</v>
      </c>
      <c r="W135" s="593">
        <f ca="1">$E135*(-SUMIF(INDIRECT(W$3),'Struktur Vorjahr'!$D135,INDIRECT(W$4))+SUMIF(INDIRECT(W$3),'Struktur Vorjahr'!$D135,INDIRECT(W$5)))</f>
        <v>0</v>
      </c>
      <c r="X135" s="593">
        <f ca="1">$E135*(-SUMIF(INDIRECT(X$3),'Struktur Vorjahr'!$D135,INDIRECT(X$4))+SUMIF(INDIRECT(X$3),'Struktur Vorjahr'!$D135,INDIRECT(X$5)))</f>
        <v>0</v>
      </c>
      <c r="Y135" s="593">
        <f ca="1">$E135*(-SUMIF(INDIRECT(Y$3),'Struktur Vorjahr'!$D135,INDIRECT(Y$4))+SUMIF(INDIRECT(Y$3),'Struktur Vorjahr'!$D135,INDIRECT(Y$5)))</f>
        <v>0</v>
      </c>
      <c r="Z135" s="593">
        <f ca="1">$E135*(-SUMIF(INDIRECT(Z$3),'Struktur Vorjahr'!$D135,INDIRECT(Z$4))+SUMIF(INDIRECT(Z$3),'Struktur Vorjahr'!$D135,INDIRECT(Z$5)))</f>
        <v>0</v>
      </c>
      <c r="AA135" s="593">
        <f ca="1">$E135*(-SUMIF(INDIRECT(AA$3),'Struktur Vorjahr'!$D135,INDIRECT(AA$4))+SUMIF(INDIRECT(AA$3),'Struktur Vorjahr'!$D135,INDIRECT(AA$5)))</f>
        <v>0</v>
      </c>
      <c r="AB135" s="593">
        <f ca="1">$E135*(-SUMIF(INDIRECT(AB$3),'Struktur Vorjahr'!$D135,INDIRECT(AB$4))+SUMIF(INDIRECT(AB$3),'Struktur Vorjahr'!$D135,INDIRECT(AB$5)))</f>
        <v>0</v>
      </c>
      <c r="AC135" s="593">
        <f ca="1">$E135*(-SUMIF(INDIRECT(AC$3),'Struktur Vorjahr'!$D135,INDIRECT(AC$4))+SUMIF(INDIRECT(AC$3),'Struktur Vorjahr'!$D135,INDIRECT(AC$5)))</f>
        <v>0</v>
      </c>
      <c r="AD135" s="593">
        <f ca="1">$E135*(-SUMIF(INDIRECT(AD$3),'Struktur Vorjahr'!$D135,INDIRECT(AD$4))+SUMIF(INDIRECT(AD$3),'Struktur Vorjahr'!$D135,INDIRECT(AD$5)))</f>
        <v>0</v>
      </c>
      <c r="AE135" s="593">
        <f t="shared" ca="1" si="69"/>
        <v>0</v>
      </c>
      <c r="AF135" s="593">
        <f t="shared" ca="1" si="70"/>
        <v>0</v>
      </c>
      <c r="AG135" s="593">
        <f t="shared" ca="1" si="70"/>
        <v>0</v>
      </c>
      <c r="AH135" s="593">
        <f t="shared" ca="1" si="70"/>
        <v>0</v>
      </c>
      <c r="AI135" s="593">
        <f t="shared" ca="1" si="70"/>
        <v>0</v>
      </c>
      <c r="AJ135" s="593">
        <f t="shared" ca="1" si="70"/>
        <v>0</v>
      </c>
      <c r="AK135" s="593">
        <f t="shared" ca="1" si="70"/>
        <v>0</v>
      </c>
      <c r="AL135" s="593">
        <f t="shared" ca="1" si="70"/>
        <v>0</v>
      </c>
      <c r="AM135" s="593">
        <f t="shared" ca="1" si="70"/>
        <v>0</v>
      </c>
      <c r="AN135" s="593">
        <f t="shared" ca="1" si="70"/>
        <v>0</v>
      </c>
      <c r="AO135" s="593">
        <f t="shared" ca="1" si="70"/>
        <v>0</v>
      </c>
      <c r="AP135" s="593">
        <f t="shared" ca="1" si="70"/>
        <v>0</v>
      </c>
    </row>
    <row r="136" spans="1:42" s="589" customFormat="1" x14ac:dyDescent="0.2">
      <c r="A136" s="585">
        <v>12</v>
      </c>
      <c r="B136" s="586" t="s">
        <v>1008</v>
      </c>
      <c r="C136" s="587">
        <f ca="1">SUM(G136:R136)</f>
        <v>0</v>
      </c>
      <c r="D136" s="587"/>
      <c r="E136" s="588">
        <f t="shared" si="65"/>
        <v>1</v>
      </c>
      <c r="F136" s="585"/>
      <c r="G136" s="587">
        <f t="shared" ref="G136:AP136" ca="1" si="71">SUM(G137:G143)</f>
        <v>0</v>
      </c>
      <c r="H136" s="587">
        <f t="shared" ca="1" si="71"/>
        <v>0</v>
      </c>
      <c r="I136" s="587">
        <f t="shared" ca="1" si="71"/>
        <v>0</v>
      </c>
      <c r="J136" s="587">
        <f t="shared" ca="1" si="71"/>
        <v>0</v>
      </c>
      <c r="K136" s="587">
        <f t="shared" ca="1" si="71"/>
        <v>0</v>
      </c>
      <c r="L136" s="587">
        <f t="shared" ca="1" si="71"/>
        <v>0</v>
      </c>
      <c r="M136" s="587">
        <f t="shared" ca="1" si="71"/>
        <v>0</v>
      </c>
      <c r="N136" s="587">
        <f t="shared" ca="1" si="71"/>
        <v>0</v>
      </c>
      <c r="O136" s="587">
        <f t="shared" ca="1" si="71"/>
        <v>0</v>
      </c>
      <c r="P136" s="587">
        <f t="shared" ca="1" si="71"/>
        <v>0</v>
      </c>
      <c r="Q136" s="587">
        <f t="shared" ca="1" si="71"/>
        <v>0</v>
      </c>
      <c r="R136" s="587">
        <f t="shared" ca="1" si="71"/>
        <v>0</v>
      </c>
      <c r="S136" s="587">
        <f t="shared" ca="1" si="71"/>
        <v>0</v>
      </c>
      <c r="T136" s="587">
        <f t="shared" ca="1" si="71"/>
        <v>0</v>
      </c>
      <c r="U136" s="587">
        <f t="shared" ca="1" si="71"/>
        <v>0</v>
      </c>
      <c r="V136" s="587">
        <f t="shared" ca="1" si="71"/>
        <v>0</v>
      </c>
      <c r="W136" s="587">
        <f t="shared" ca="1" si="71"/>
        <v>0</v>
      </c>
      <c r="X136" s="587">
        <f t="shared" ca="1" si="71"/>
        <v>0</v>
      </c>
      <c r="Y136" s="587">
        <f t="shared" ca="1" si="71"/>
        <v>0</v>
      </c>
      <c r="Z136" s="587">
        <f t="shared" ca="1" si="71"/>
        <v>0</v>
      </c>
      <c r="AA136" s="587">
        <f t="shared" ca="1" si="71"/>
        <v>0</v>
      </c>
      <c r="AB136" s="587">
        <f t="shared" ca="1" si="71"/>
        <v>0</v>
      </c>
      <c r="AC136" s="587">
        <f t="shared" ca="1" si="71"/>
        <v>0</v>
      </c>
      <c r="AD136" s="587">
        <f t="shared" ca="1" si="71"/>
        <v>0</v>
      </c>
      <c r="AE136" s="587">
        <f t="shared" ca="1" si="71"/>
        <v>0</v>
      </c>
      <c r="AF136" s="587">
        <f t="shared" ca="1" si="71"/>
        <v>0</v>
      </c>
      <c r="AG136" s="587">
        <f t="shared" ca="1" si="71"/>
        <v>0</v>
      </c>
      <c r="AH136" s="587">
        <f t="shared" ca="1" si="71"/>
        <v>0</v>
      </c>
      <c r="AI136" s="587">
        <f t="shared" ca="1" si="71"/>
        <v>0</v>
      </c>
      <c r="AJ136" s="587">
        <f t="shared" ca="1" si="71"/>
        <v>0</v>
      </c>
      <c r="AK136" s="587">
        <f t="shared" ca="1" si="71"/>
        <v>0</v>
      </c>
      <c r="AL136" s="587">
        <f t="shared" ca="1" si="71"/>
        <v>0</v>
      </c>
      <c r="AM136" s="587">
        <f t="shared" ca="1" si="71"/>
        <v>0</v>
      </c>
      <c r="AN136" s="587">
        <f t="shared" ca="1" si="71"/>
        <v>0</v>
      </c>
      <c r="AO136" s="587">
        <f t="shared" ca="1" si="71"/>
        <v>0</v>
      </c>
      <c r="AP136" s="587">
        <f t="shared" ca="1" si="71"/>
        <v>0</v>
      </c>
    </row>
    <row r="137" spans="1:42" s="594" customFormat="1" ht="11.25" outlineLevel="1" x14ac:dyDescent="0.2">
      <c r="A137" s="590"/>
      <c r="B137" s="591" t="str">
        <f>IF(D137&lt;&gt;"",
IF(ISERROR(MATCH(D137,'Ist Vorjahr Monat 01'!A:A,0))=FALSE,INDEX('Ist Vorjahr Monat 01'!B:B,MATCH(D137,'Ist Vorjahr Monat 01'!A:A,0)),
IF(ISERROR(MATCH(D137,'Ist Vorjahr Monat 02'!A:A,0))=FALSE,INDEX('Ist Vorjahr Monat 02'!B:B,MATCH(D137,'Ist Vorjahr Monat 02'!A:A,0)),
IF(ISERROR(MATCH(D137,'Ist Vorjahr Monat 03'!A:A,0))=FALSE,INDEX('Ist Vorjahr Monat 03'!B:B,MATCH(D137,'Ist Vorjahr Monat 03'!A:A,0)),
IF(ISERROR(MATCH(D137,'Ist Vorjahr Monat 04'!A:A,0))=FALSE,INDEX('Ist Vorjahr Monat 04'!B:B,MATCH(D137,'Ist Vorjahr Monat 04'!A:A,0)),
IF(ISERROR(MATCH(D137,'Ist Vorjahr Monat 05'!A:A,0))=FALSE,INDEX('Ist Vorjahr Monat 05'!B:B,MATCH(D137,'Ist Vorjahr Monat 05'!A:A,0)),
IF(ISERROR(MATCH(D137,'Ist Vorjahr Monat 06'!A:A,0))=FALSE,INDEX('Ist Vorjahr Monat 06'!B:B,MATCH(D137,'Ist Vorjahr Monat 06'!A:A,0)),
IF(ISERROR(MATCH(D137,'Ist Vorjahr Monat 07'!A:A,0))=FALSE,INDEX('Ist Vorjahr Monat 07'!B:B,MATCH(D137,'Ist Vorjahr Monat 07'!A:A,0)),
IF(ISERROR(MATCH(D137,'Ist Vorjahr Monat 08'!A:A,0))=FALSE,INDEX('Ist Vorjahr Monat 08'!B:B,MATCH(D137,'Ist Vorjahr Monat 08'!A:A,0)),
IF(ISERROR(MATCH(D137,'Ist Vorjahr Monat 09'!A:A,0))=FALSE,INDEX('Ist Vorjahr Monat 09'!B:B,MATCH(D137,'Ist Vorjahr Monat 09'!A:A,0)),
IF(ISERROR(MATCH(D137,'Ist Vorjahr Monat 10'!A:A,0))=FALSE,INDEX('Ist Vorjahr Monat 10'!B:B,MATCH(D137,'Ist Vorjahr Monat 10'!A:A,0)),
IF(ISERROR(MATCH(D137,'Ist Vorjahr Monat 11'!A:A,0))=FALSE,INDEX('Ist Vorjahr Monat 11'!B:B,MATCH(D137,'Ist Vorjahr Monat 11'!A:A,0)),
IF(ISERROR(MATCH(D137,'Ist Vorjahr Monat 12'!A:A,0))=FALSE,INDEX('Ist Vorjahr Monat 12'!B:B,MATCH(D137,'Ist Vorjahr Monat 12'!A:A,0)),
"{Konto unbekannt}"
)))))))))))),"")</f>
        <v/>
      </c>
      <c r="C137" s="591"/>
      <c r="D137" s="590"/>
      <c r="E137" s="592">
        <f t="shared" si="65"/>
        <v>1</v>
      </c>
      <c r="F137" s="590"/>
      <c r="G137" s="593">
        <f ca="1">$E137*(-SUMIF(INDIRECT(G$3),'Struktur Vorjahr'!$D137,INDIRECT(G$4))+SUMIF(INDIRECT(G$3),'Struktur Vorjahr'!$D137,INDIRECT(G$5)))</f>
        <v>0</v>
      </c>
      <c r="H137" s="593">
        <f ca="1">$E137*(-SUMIF(INDIRECT(H$3),'Struktur Vorjahr'!$D137,INDIRECT(H$4))+SUMIF(INDIRECT(H$3),'Struktur Vorjahr'!$D137,INDIRECT(H$5)))</f>
        <v>0</v>
      </c>
      <c r="I137" s="593">
        <f ca="1">$E137*(-SUMIF(INDIRECT(I$3),'Struktur Vorjahr'!$D137,INDIRECT(I$4))+SUMIF(INDIRECT(I$3),'Struktur Vorjahr'!$D137,INDIRECT(I$5)))</f>
        <v>0</v>
      </c>
      <c r="J137" s="593">
        <f ca="1">$E137*(-SUMIF(INDIRECT(J$3),'Struktur Vorjahr'!$D137,INDIRECT(J$4))+SUMIF(INDIRECT(J$3),'Struktur Vorjahr'!$D137,INDIRECT(J$5)))</f>
        <v>0</v>
      </c>
      <c r="K137" s="593">
        <f ca="1">$E137*(-SUMIF(INDIRECT(K$3),'Struktur Vorjahr'!$D137,INDIRECT(K$4))+SUMIF(INDIRECT(K$3),'Struktur Vorjahr'!$D137,INDIRECT(K$5)))</f>
        <v>0</v>
      </c>
      <c r="L137" s="593">
        <f ca="1">$E137*(-SUMIF(INDIRECT(L$3),'Struktur Vorjahr'!$D137,INDIRECT(L$4))+SUMIF(INDIRECT(L$3),'Struktur Vorjahr'!$D137,INDIRECT(L$5)))</f>
        <v>0</v>
      </c>
      <c r="M137" s="593">
        <f ca="1">$E137*(-SUMIF(INDIRECT(M$3),'Struktur Vorjahr'!$D137,INDIRECT(M$4))+SUMIF(INDIRECT(M$3),'Struktur Vorjahr'!$D137,INDIRECT(M$5)))</f>
        <v>0</v>
      </c>
      <c r="N137" s="593">
        <f ca="1">$E137*(-SUMIF(INDIRECT(N$3),'Struktur Vorjahr'!$D137,INDIRECT(N$4))+SUMIF(INDIRECT(N$3),'Struktur Vorjahr'!$D137,INDIRECT(N$5)))</f>
        <v>0</v>
      </c>
      <c r="O137" s="593">
        <f ca="1">$E137*(-SUMIF(INDIRECT(O$3),'Struktur Vorjahr'!$D137,INDIRECT(O$4))+SUMIF(INDIRECT(O$3),'Struktur Vorjahr'!$D137,INDIRECT(O$5)))</f>
        <v>0</v>
      </c>
      <c r="P137" s="593">
        <f ca="1">$E137*(-SUMIF(INDIRECT(P$3),'Struktur Vorjahr'!$D137,INDIRECT(P$4))+SUMIF(INDIRECT(P$3),'Struktur Vorjahr'!$D137,INDIRECT(P$5)))</f>
        <v>0</v>
      </c>
      <c r="Q137" s="593">
        <f ca="1">$E137*(-SUMIF(INDIRECT(Q$3),'Struktur Vorjahr'!$D137,INDIRECT(Q$4))+SUMIF(INDIRECT(Q$3),'Struktur Vorjahr'!$D137,INDIRECT(Q$5)))</f>
        <v>0</v>
      </c>
      <c r="R137" s="593">
        <f ca="1">$E137*(-SUMIF(INDIRECT(R$3),'Struktur Vorjahr'!$D137,INDIRECT(R$4))+SUMIF(INDIRECT(R$3),'Struktur Vorjahr'!$D137,INDIRECT(R$5)))</f>
        <v>0</v>
      </c>
      <c r="S137" s="593">
        <f ca="1">$E137*(-SUMIF(INDIRECT(S$3),'Struktur Vorjahr'!$D137,INDIRECT(S$4))+SUMIF(INDIRECT(S$3),'Struktur Vorjahr'!$D137,INDIRECT(S$5)))</f>
        <v>0</v>
      </c>
      <c r="T137" s="593">
        <f ca="1">$E137*(-SUMIF(INDIRECT(T$3),'Struktur Vorjahr'!$D137,INDIRECT(T$4))+SUMIF(INDIRECT(T$3),'Struktur Vorjahr'!$D137,INDIRECT(T$5)))</f>
        <v>0</v>
      </c>
      <c r="U137" s="593">
        <f ca="1">$E137*(-SUMIF(INDIRECT(U$3),'Struktur Vorjahr'!$D137,INDIRECT(U$4))+SUMIF(INDIRECT(U$3),'Struktur Vorjahr'!$D137,INDIRECT(U$5)))</f>
        <v>0</v>
      </c>
      <c r="V137" s="593">
        <f ca="1">$E137*(-SUMIF(INDIRECT(V$3),'Struktur Vorjahr'!$D137,INDIRECT(V$4))+SUMIF(INDIRECT(V$3),'Struktur Vorjahr'!$D137,INDIRECT(V$5)))</f>
        <v>0</v>
      </c>
      <c r="W137" s="593">
        <f ca="1">$E137*(-SUMIF(INDIRECT(W$3),'Struktur Vorjahr'!$D137,INDIRECT(W$4))+SUMIF(INDIRECT(W$3),'Struktur Vorjahr'!$D137,INDIRECT(W$5)))</f>
        <v>0</v>
      </c>
      <c r="X137" s="593">
        <f ca="1">$E137*(-SUMIF(INDIRECT(X$3),'Struktur Vorjahr'!$D137,INDIRECT(X$4))+SUMIF(INDIRECT(X$3),'Struktur Vorjahr'!$D137,INDIRECT(X$5)))</f>
        <v>0</v>
      </c>
      <c r="Y137" s="593">
        <f ca="1">$E137*(-SUMIF(INDIRECT(Y$3),'Struktur Vorjahr'!$D137,INDIRECT(Y$4))+SUMIF(INDIRECT(Y$3),'Struktur Vorjahr'!$D137,INDIRECT(Y$5)))</f>
        <v>0</v>
      </c>
      <c r="Z137" s="593">
        <f ca="1">$E137*(-SUMIF(INDIRECT(Z$3),'Struktur Vorjahr'!$D137,INDIRECT(Z$4))+SUMIF(INDIRECT(Z$3),'Struktur Vorjahr'!$D137,INDIRECT(Z$5)))</f>
        <v>0</v>
      </c>
      <c r="AA137" s="593">
        <f ca="1">$E137*(-SUMIF(INDIRECT(AA$3),'Struktur Vorjahr'!$D137,INDIRECT(AA$4))+SUMIF(INDIRECT(AA$3),'Struktur Vorjahr'!$D137,INDIRECT(AA$5)))</f>
        <v>0</v>
      </c>
      <c r="AB137" s="593">
        <f ca="1">$E137*(-SUMIF(INDIRECT(AB$3),'Struktur Vorjahr'!$D137,INDIRECT(AB$4))+SUMIF(INDIRECT(AB$3),'Struktur Vorjahr'!$D137,INDIRECT(AB$5)))</f>
        <v>0</v>
      </c>
      <c r="AC137" s="593">
        <f ca="1">$E137*(-SUMIF(INDIRECT(AC$3),'Struktur Vorjahr'!$D137,INDIRECT(AC$4))+SUMIF(INDIRECT(AC$3),'Struktur Vorjahr'!$D137,INDIRECT(AC$5)))</f>
        <v>0</v>
      </c>
      <c r="AD137" s="593">
        <f ca="1">$E137*(-SUMIF(INDIRECT(AD$3),'Struktur Vorjahr'!$D137,INDIRECT(AD$4))+SUMIF(INDIRECT(AD$3),'Struktur Vorjahr'!$D137,INDIRECT(AD$5)))</f>
        <v>0</v>
      </c>
      <c r="AE137" s="593">
        <f t="shared" ref="AE137:AE143" ca="1" si="72">G137</f>
        <v>0</v>
      </c>
      <c r="AF137" s="593">
        <f t="shared" ref="AF137:AP143" ca="1" si="73">H137+AE137</f>
        <v>0</v>
      </c>
      <c r="AG137" s="593">
        <f t="shared" ca="1" si="73"/>
        <v>0</v>
      </c>
      <c r="AH137" s="593">
        <f t="shared" ca="1" si="73"/>
        <v>0</v>
      </c>
      <c r="AI137" s="593">
        <f t="shared" ca="1" si="73"/>
        <v>0</v>
      </c>
      <c r="AJ137" s="593">
        <f t="shared" ca="1" si="73"/>
        <v>0</v>
      </c>
      <c r="AK137" s="593">
        <f t="shared" ca="1" si="73"/>
        <v>0</v>
      </c>
      <c r="AL137" s="593">
        <f t="shared" ca="1" si="73"/>
        <v>0</v>
      </c>
      <c r="AM137" s="593">
        <f t="shared" ca="1" si="73"/>
        <v>0</v>
      </c>
      <c r="AN137" s="593">
        <f t="shared" ca="1" si="73"/>
        <v>0</v>
      </c>
      <c r="AO137" s="593">
        <f t="shared" ca="1" si="73"/>
        <v>0</v>
      </c>
      <c r="AP137" s="593">
        <f t="shared" ca="1" si="73"/>
        <v>0</v>
      </c>
    </row>
    <row r="138" spans="1:42" s="594" customFormat="1" ht="11.25" outlineLevel="1" x14ac:dyDescent="0.2">
      <c r="A138" s="590"/>
      <c r="B138" s="591" t="str">
        <f>IF(D138&lt;&gt;"",
IF(ISERROR(MATCH(D138,'Ist Vorjahr Monat 01'!A:A,0))=FALSE,INDEX('Ist Vorjahr Monat 01'!B:B,MATCH(D138,'Ist Vorjahr Monat 01'!A:A,0)),
IF(ISERROR(MATCH(D138,'Ist Vorjahr Monat 02'!A:A,0))=FALSE,INDEX('Ist Vorjahr Monat 02'!B:B,MATCH(D138,'Ist Vorjahr Monat 02'!A:A,0)),
IF(ISERROR(MATCH(D138,'Ist Vorjahr Monat 03'!A:A,0))=FALSE,INDEX('Ist Vorjahr Monat 03'!B:B,MATCH(D138,'Ist Vorjahr Monat 03'!A:A,0)),
IF(ISERROR(MATCH(D138,'Ist Vorjahr Monat 04'!A:A,0))=FALSE,INDEX('Ist Vorjahr Monat 04'!B:B,MATCH(D138,'Ist Vorjahr Monat 04'!A:A,0)),
IF(ISERROR(MATCH(D138,'Ist Vorjahr Monat 05'!A:A,0))=FALSE,INDEX('Ist Vorjahr Monat 05'!B:B,MATCH(D138,'Ist Vorjahr Monat 05'!A:A,0)),
IF(ISERROR(MATCH(D138,'Ist Vorjahr Monat 06'!A:A,0))=FALSE,INDEX('Ist Vorjahr Monat 06'!B:B,MATCH(D138,'Ist Vorjahr Monat 06'!A:A,0)),
IF(ISERROR(MATCH(D138,'Ist Vorjahr Monat 07'!A:A,0))=FALSE,INDEX('Ist Vorjahr Monat 07'!B:B,MATCH(D138,'Ist Vorjahr Monat 07'!A:A,0)),
IF(ISERROR(MATCH(D138,'Ist Vorjahr Monat 08'!A:A,0))=FALSE,INDEX('Ist Vorjahr Monat 08'!B:B,MATCH(D138,'Ist Vorjahr Monat 08'!A:A,0)),
IF(ISERROR(MATCH(D138,'Ist Vorjahr Monat 09'!A:A,0))=FALSE,INDEX('Ist Vorjahr Monat 09'!B:B,MATCH(D138,'Ist Vorjahr Monat 09'!A:A,0)),
IF(ISERROR(MATCH(D138,'Ist Vorjahr Monat 10'!A:A,0))=FALSE,INDEX('Ist Vorjahr Monat 10'!B:B,MATCH(D138,'Ist Vorjahr Monat 10'!A:A,0)),
IF(ISERROR(MATCH(D138,'Ist Vorjahr Monat 11'!A:A,0))=FALSE,INDEX('Ist Vorjahr Monat 11'!B:B,MATCH(D138,'Ist Vorjahr Monat 11'!A:A,0)),
IF(ISERROR(MATCH(D138,'Ist Vorjahr Monat 12'!A:A,0))=FALSE,INDEX('Ist Vorjahr Monat 12'!B:B,MATCH(D138,'Ist Vorjahr Monat 12'!A:A,0)),
"{Konto unbekannt}"
)))))))))))),"")</f>
        <v/>
      </c>
      <c r="C138" s="591"/>
      <c r="D138" s="590"/>
      <c r="E138" s="592">
        <f t="shared" si="65"/>
        <v>1</v>
      </c>
      <c r="F138" s="590"/>
      <c r="G138" s="593">
        <f ca="1">$E138*(-SUMIF(INDIRECT(G$3),'Struktur Vorjahr'!$D138,INDIRECT(G$4))+SUMIF(INDIRECT(G$3),'Struktur Vorjahr'!$D138,INDIRECT(G$5)))</f>
        <v>0</v>
      </c>
      <c r="H138" s="593">
        <f ca="1">$E138*(-SUMIF(INDIRECT(H$3),'Struktur Vorjahr'!$D138,INDIRECT(H$4))+SUMIF(INDIRECT(H$3),'Struktur Vorjahr'!$D138,INDIRECT(H$5)))</f>
        <v>0</v>
      </c>
      <c r="I138" s="593">
        <f ca="1">$E138*(-SUMIF(INDIRECT(I$3),'Struktur Vorjahr'!$D138,INDIRECT(I$4))+SUMIF(INDIRECT(I$3),'Struktur Vorjahr'!$D138,INDIRECT(I$5)))</f>
        <v>0</v>
      </c>
      <c r="J138" s="593">
        <f ca="1">$E138*(-SUMIF(INDIRECT(J$3),'Struktur Vorjahr'!$D138,INDIRECT(J$4))+SUMIF(INDIRECT(J$3),'Struktur Vorjahr'!$D138,INDIRECT(J$5)))</f>
        <v>0</v>
      </c>
      <c r="K138" s="593">
        <f ca="1">$E138*(-SUMIF(INDIRECT(K$3),'Struktur Vorjahr'!$D138,INDIRECT(K$4))+SUMIF(INDIRECT(K$3),'Struktur Vorjahr'!$D138,INDIRECT(K$5)))</f>
        <v>0</v>
      </c>
      <c r="L138" s="593">
        <f ca="1">$E138*(-SUMIF(INDIRECT(L$3),'Struktur Vorjahr'!$D138,INDIRECT(L$4))+SUMIF(INDIRECT(L$3),'Struktur Vorjahr'!$D138,INDIRECT(L$5)))</f>
        <v>0</v>
      </c>
      <c r="M138" s="593">
        <f ca="1">$E138*(-SUMIF(INDIRECT(M$3),'Struktur Vorjahr'!$D138,INDIRECT(M$4))+SUMIF(INDIRECT(M$3),'Struktur Vorjahr'!$D138,INDIRECT(M$5)))</f>
        <v>0</v>
      </c>
      <c r="N138" s="593">
        <f ca="1">$E138*(-SUMIF(INDIRECT(N$3),'Struktur Vorjahr'!$D138,INDIRECT(N$4))+SUMIF(INDIRECT(N$3),'Struktur Vorjahr'!$D138,INDIRECT(N$5)))</f>
        <v>0</v>
      </c>
      <c r="O138" s="593">
        <f ca="1">$E138*(-SUMIF(INDIRECT(O$3),'Struktur Vorjahr'!$D138,INDIRECT(O$4))+SUMIF(INDIRECT(O$3),'Struktur Vorjahr'!$D138,INDIRECT(O$5)))</f>
        <v>0</v>
      </c>
      <c r="P138" s="593">
        <f ca="1">$E138*(-SUMIF(INDIRECT(P$3),'Struktur Vorjahr'!$D138,INDIRECT(P$4))+SUMIF(INDIRECT(P$3),'Struktur Vorjahr'!$D138,INDIRECT(P$5)))</f>
        <v>0</v>
      </c>
      <c r="Q138" s="593">
        <f ca="1">$E138*(-SUMIF(INDIRECT(Q$3),'Struktur Vorjahr'!$D138,INDIRECT(Q$4))+SUMIF(INDIRECT(Q$3),'Struktur Vorjahr'!$D138,INDIRECT(Q$5)))</f>
        <v>0</v>
      </c>
      <c r="R138" s="593">
        <f ca="1">$E138*(-SUMIF(INDIRECT(R$3),'Struktur Vorjahr'!$D138,INDIRECT(R$4))+SUMIF(INDIRECT(R$3),'Struktur Vorjahr'!$D138,INDIRECT(R$5)))</f>
        <v>0</v>
      </c>
      <c r="S138" s="593">
        <f ca="1">$E138*(-SUMIF(INDIRECT(S$3),'Struktur Vorjahr'!$D138,INDIRECT(S$4))+SUMIF(INDIRECT(S$3),'Struktur Vorjahr'!$D138,INDIRECT(S$5)))</f>
        <v>0</v>
      </c>
      <c r="T138" s="593">
        <f ca="1">$E138*(-SUMIF(INDIRECT(T$3),'Struktur Vorjahr'!$D138,INDIRECT(T$4))+SUMIF(INDIRECT(T$3),'Struktur Vorjahr'!$D138,INDIRECT(T$5)))</f>
        <v>0</v>
      </c>
      <c r="U138" s="593">
        <f ca="1">$E138*(-SUMIF(INDIRECT(U$3),'Struktur Vorjahr'!$D138,INDIRECT(U$4))+SUMIF(INDIRECT(U$3),'Struktur Vorjahr'!$D138,INDIRECT(U$5)))</f>
        <v>0</v>
      </c>
      <c r="V138" s="593">
        <f ca="1">$E138*(-SUMIF(INDIRECT(V$3),'Struktur Vorjahr'!$D138,INDIRECT(V$4))+SUMIF(INDIRECT(V$3),'Struktur Vorjahr'!$D138,INDIRECT(V$5)))</f>
        <v>0</v>
      </c>
      <c r="W138" s="593">
        <f ca="1">$E138*(-SUMIF(INDIRECT(W$3),'Struktur Vorjahr'!$D138,INDIRECT(W$4))+SUMIF(INDIRECT(W$3),'Struktur Vorjahr'!$D138,INDIRECT(W$5)))</f>
        <v>0</v>
      </c>
      <c r="X138" s="593">
        <f ca="1">$E138*(-SUMIF(INDIRECT(X$3),'Struktur Vorjahr'!$D138,INDIRECT(X$4))+SUMIF(INDIRECT(X$3),'Struktur Vorjahr'!$D138,INDIRECT(X$5)))</f>
        <v>0</v>
      </c>
      <c r="Y138" s="593">
        <f ca="1">$E138*(-SUMIF(INDIRECT(Y$3),'Struktur Vorjahr'!$D138,INDIRECT(Y$4))+SUMIF(INDIRECT(Y$3),'Struktur Vorjahr'!$D138,INDIRECT(Y$5)))</f>
        <v>0</v>
      </c>
      <c r="Z138" s="593">
        <f ca="1">$E138*(-SUMIF(INDIRECT(Z$3),'Struktur Vorjahr'!$D138,INDIRECT(Z$4))+SUMIF(INDIRECT(Z$3),'Struktur Vorjahr'!$D138,INDIRECT(Z$5)))</f>
        <v>0</v>
      </c>
      <c r="AA138" s="593">
        <f ca="1">$E138*(-SUMIF(INDIRECT(AA$3),'Struktur Vorjahr'!$D138,INDIRECT(AA$4))+SUMIF(INDIRECT(AA$3),'Struktur Vorjahr'!$D138,INDIRECT(AA$5)))</f>
        <v>0</v>
      </c>
      <c r="AB138" s="593">
        <f ca="1">$E138*(-SUMIF(INDIRECT(AB$3),'Struktur Vorjahr'!$D138,INDIRECT(AB$4))+SUMIF(INDIRECT(AB$3),'Struktur Vorjahr'!$D138,INDIRECT(AB$5)))</f>
        <v>0</v>
      </c>
      <c r="AC138" s="593">
        <f ca="1">$E138*(-SUMIF(INDIRECT(AC$3),'Struktur Vorjahr'!$D138,INDIRECT(AC$4))+SUMIF(INDIRECT(AC$3),'Struktur Vorjahr'!$D138,INDIRECT(AC$5)))</f>
        <v>0</v>
      </c>
      <c r="AD138" s="593">
        <f ca="1">$E138*(-SUMIF(INDIRECT(AD$3),'Struktur Vorjahr'!$D138,INDIRECT(AD$4))+SUMIF(INDIRECT(AD$3),'Struktur Vorjahr'!$D138,INDIRECT(AD$5)))</f>
        <v>0</v>
      </c>
      <c r="AE138" s="593">
        <f t="shared" ca="1" si="72"/>
        <v>0</v>
      </c>
      <c r="AF138" s="593">
        <f t="shared" ca="1" si="73"/>
        <v>0</v>
      </c>
      <c r="AG138" s="593">
        <f t="shared" ca="1" si="73"/>
        <v>0</v>
      </c>
      <c r="AH138" s="593">
        <f t="shared" ca="1" si="73"/>
        <v>0</v>
      </c>
      <c r="AI138" s="593">
        <f t="shared" ca="1" si="73"/>
        <v>0</v>
      </c>
      <c r="AJ138" s="593">
        <f t="shared" ca="1" si="73"/>
        <v>0</v>
      </c>
      <c r="AK138" s="593">
        <f t="shared" ca="1" si="73"/>
        <v>0</v>
      </c>
      <c r="AL138" s="593">
        <f t="shared" ca="1" si="73"/>
        <v>0</v>
      </c>
      <c r="AM138" s="593">
        <f t="shared" ca="1" si="73"/>
        <v>0</v>
      </c>
      <c r="AN138" s="593">
        <f t="shared" ca="1" si="73"/>
        <v>0</v>
      </c>
      <c r="AO138" s="593">
        <f t="shared" ca="1" si="73"/>
        <v>0</v>
      </c>
      <c r="AP138" s="593">
        <f t="shared" ca="1" si="73"/>
        <v>0</v>
      </c>
    </row>
    <row r="139" spans="1:42" s="594" customFormat="1" ht="11.25" outlineLevel="1" x14ac:dyDescent="0.2">
      <c r="A139" s="590"/>
      <c r="B139" s="591" t="str">
        <f>IF(D139&lt;&gt;"",
IF(ISERROR(MATCH(D139,'Ist Vorjahr Monat 01'!A:A,0))=FALSE,INDEX('Ist Vorjahr Monat 01'!B:B,MATCH(D139,'Ist Vorjahr Monat 01'!A:A,0)),
IF(ISERROR(MATCH(D139,'Ist Vorjahr Monat 02'!A:A,0))=FALSE,INDEX('Ist Vorjahr Monat 02'!B:B,MATCH(D139,'Ist Vorjahr Monat 02'!A:A,0)),
IF(ISERROR(MATCH(D139,'Ist Vorjahr Monat 03'!A:A,0))=FALSE,INDEX('Ist Vorjahr Monat 03'!B:B,MATCH(D139,'Ist Vorjahr Monat 03'!A:A,0)),
IF(ISERROR(MATCH(D139,'Ist Vorjahr Monat 04'!A:A,0))=FALSE,INDEX('Ist Vorjahr Monat 04'!B:B,MATCH(D139,'Ist Vorjahr Monat 04'!A:A,0)),
IF(ISERROR(MATCH(D139,'Ist Vorjahr Monat 05'!A:A,0))=FALSE,INDEX('Ist Vorjahr Monat 05'!B:B,MATCH(D139,'Ist Vorjahr Monat 05'!A:A,0)),
IF(ISERROR(MATCH(D139,'Ist Vorjahr Monat 06'!A:A,0))=FALSE,INDEX('Ist Vorjahr Monat 06'!B:B,MATCH(D139,'Ist Vorjahr Monat 06'!A:A,0)),
IF(ISERROR(MATCH(D139,'Ist Vorjahr Monat 07'!A:A,0))=FALSE,INDEX('Ist Vorjahr Monat 07'!B:B,MATCH(D139,'Ist Vorjahr Monat 07'!A:A,0)),
IF(ISERROR(MATCH(D139,'Ist Vorjahr Monat 08'!A:A,0))=FALSE,INDEX('Ist Vorjahr Monat 08'!B:B,MATCH(D139,'Ist Vorjahr Monat 08'!A:A,0)),
IF(ISERROR(MATCH(D139,'Ist Vorjahr Monat 09'!A:A,0))=FALSE,INDEX('Ist Vorjahr Monat 09'!B:B,MATCH(D139,'Ist Vorjahr Monat 09'!A:A,0)),
IF(ISERROR(MATCH(D139,'Ist Vorjahr Monat 10'!A:A,0))=FALSE,INDEX('Ist Vorjahr Monat 10'!B:B,MATCH(D139,'Ist Vorjahr Monat 10'!A:A,0)),
IF(ISERROR(MATCH(D139,'Ist Vorjahr Monat 11'!A:A,0))=FALSE,INDEX('Ist Vorjahr Monat 11'!B:B,MATCH(D139,'Ist Vorjahr Monat 11'!A:A,0)),
IF(ISERROR(MATCH(D139,'Ist Vorjahr Monat 12'!A:A,0))=FALSE,INDEX('Ist Vorjahr Monat 12'!B:B,MATCH(D139,'Ist Vorjahr Monat 12'!A:A,0)),
"{Konto unbekannt}"
)))))))))))),"")</f>
        <v/>
      </c>
      <c r="C139" s="591"/>
      <c r="D139" s="590"/>
      <c r="E139" s="592">
        <f t="shared" si="65"/>
        <v>1</v>
      </c>
      <c r="F139" s="590"/>
      <c r="G139" s="593">
        <f ca="1">$E139*(-SUMIF(INDIRECT(G$3),'Struktur Vorjahr'!$D139,INDIRECT(G$4))+SUMIF(INDIRECT(G$3),'Struktur Vorjahr'!$D139,INDIRECT(G$5)))</f>
        <v>0</v>
      </c>
      <c r="H139" s="593">
        <f ca="1">$E139*(-SUMIF(INDIRECT(H$3),'Struktur Vorjahr'!$D139,INDIRECT(H$4))+SUMIF(INDIRECT(H$3),'Struktur Vorjahr'!$D139,INDIRECT(H$5)))</f>
        <v>0</v>
      </c>
      <c r="I139" s="593">
        <f ca="1">$E139*(-SUMIF(INDIRECT(I$3),'Struktur Vorjahr'!$D139,INDIRECT(I$4))+SUMIF(INDIRECT(I$3),'Struktur Vorjahr'!$D139,INDIRECT(I$5)))</f>
        <v>0</v>
      </c>
      <c r="J139" s="593">
        <f ca="1">$E139*(-SUMIF(INDIRECT(J$3),'Struktur Vorjahr'!$D139,INDIRECT(J$4))+SUMIF(INDIRECT(J$3),'Struktur Vorjahr'!$D139,INDIRECT(J$5)))</f>
        <v>0</v>
      </c>
      <c r="K139" s="593">
        <f ca="1">$E139*(-SUMIF(INDIRECT(K$3),'Struktur Vorjahr'!$D139,INDIRECT(K$4))+SUMIF(INDIRECT(K$3),'Struktur Vorjahr'!$D139,INDIRECT(K$5)))</f>
        <v>0</v>
      </c>
      <c r="L139" s="593">
        <f ca="1">$E139*(-SUMIF(INDIRECT(L$3),'Struktur Vorjahr'!$D139,INDIRECT(L$4))+SUMIF(INDIRECT(L$3),'Struktur Vorjahr'!$D139,INDIRECT(L$5)))</f>
        <v>0</v>
      </c>
      <c r="M139" s="593">
        <f ca="1">$E139*(-SUMIF(INDIRECT(M$3),'Struktur Vorjahr'!$D139,INDIRECT(M$4))+SUMIF(INDIRECT(M$3),'Struktur Vorjahr'!$D139,INDIRECT(M$5)))</f>
        <v>0</v>
      </c>
      <c r="N139" s="593">
        <f ca="1">$E139*(-SUMIF(INDIRECT(N$3),'Struktur Vorjahr'!$D139,INDIRECT(N$4))+SUMIF(INDIRECT(N$3),'Struktur Vorjahr'!$D139,INDIRECT(N$5)))</f>
        <v>0</v>
      </c>
      <c r="O139" s="593">
        <f ca="1">$E139*(-SUMIF(INDIRECT(O$3),'Struktur Vorjahr'!$D139,INDIRECT(O$4))+SUMIF(INDIRECT(O$3),'Struktur Vorjahr'!$D139,INDIRECT(O$5)))</f>
        <v>0</v>
      </c>
      <c r="P139" s="593">
        <f ca="1">$E139*(-SUMIF(INDIRECT(P$3),'Struktur Vorjahr'!$D139,INDIRECT(P$4))+SUMIF(INDIRECT(P$3),'Struktur Vorjahr'!$D139,INDIRECT(P$5)))</f>
        <v>0</v>
      </c>
      <c r="Q139" s="593">
        <f ca="1">$E139*(-SUMIF(INDIRECT(Q$3),'Struktur Vorjahr'!$D139,INDIRECT(Q$4))+SUMIF(INDIRECT(Q$3),'Struktur Vorjahr'!$D139,INDIRECT(Q$5)))</f>
        <v>0</v>
      </c>
      <c r="R139" s="593">
        <f ca="1">$E139*(-SUMIF(INDIRECT(R$3),'Struktur Vorjahr'!$D139,INDIRECT(R$4))+SUMIF(INDIRECT(R$3),'Struktur Vorjahr'!$D139,INDIRECT(R$5)))</f>
        <v>0</v>
      </c>
      <c r="S139" s="593">
        <f ca="1">$E139*(-SUMIF(INDIRECT(S$3),'Struktur Vorjahr'!$D139,INDIRECT(S$4))+SUMIF(INDIRECT(S$3),'Struktur Vorjahr'!$D139,INDIRECT(S$5)))</f>
        <v>0</v>
      </c>
      <c r="T139" s="593">
        <f ca="1">$E139*(-SUMIF(INDIRECT(T$3),'Struktur Vorjahr'!$D139,INDIRECT(T$4))+SUMIF(INDIRECT(T$3),'Struktur Vorjahr'!$D139,INDIRECT(T$5)))</f>
        <v>0</v>
      </c>
      <c r="U139" s="593">
        <f ca="1">$E139*(-SUMIF(INDIRECT(U$3),'Struktur Vorjahr'!$D139,INDIRECT(U$4))+SUMIF(INDIRECT(U$3),'Struktur Vorjahr'!$D139,INDIRECT(U$5)))</f>
        <v>0</v>
      </c>
      <c r="V139" s="593">
        <f ca="1">$E139*(-SUMIF(INDIRECT(V$3),'Struktur Vorjahr'!$D139,INDIRECT(V$4))+SUMIF(INDIRECT(V$3),'Struktur Vorjahr'!$D139,INDIRECT(V$5)))</f>
        <v>0</v>
      </c>
      <c r="W139" s="593">
        <f ca="1">$E139*(-SUMIF(INDIRECT(W$3),'Struktur Vorjahr'!$D139,INDIRECT(W$4))+SUMIF(INDIRECT(W$3),'Struktur Vorjahr'!$D139,INDIRECT(W$5)))</f>
        <v>0</v>
      </c>
      <c r="X139" s="593">
        <f ca="1">$E139*(-SUMIF(INDIRECT(X$3),'Struktur Vorjahr'!$D139,INDIRECT(X$4))+SUMIF(INDIRECT(X$3),'Struktur Vorjahr'!$D139,INDIRECT(X$5)))</f>
        <v>0</v>
      </c>
      <c r="Y139" s="593">
        <f ca="1">$E139*(-SUMIF(INDIRECT(Y$3),'Struktur Vorjahr'!$D139,INDIRECT(Y$4))+SUMIF(INDIRECT(Y$3),'Struktur Vorjahr'!$D139,INDIRECT(Y$5)))</f>
        <v>0</v>
      </c>
      <c r="Z139" s="593">
        <f ca="1">$E139*(-SUMIF(INDIRECT(Z$3),'Struktur Vorjahr'!$D139,INDIRECT(Z$4))+SUMIF(INDIRECT(Z$3),'Struktur Vorjahr'!$D139,INDIRECT(Z$5)))</f>
        <v>0</v>
      </c>
      <c r="AA139" s="593">
        <f ca="1">$E139*(-SUMIF(INDIRECT(AA$3),'Struktur Vorjahr'!$D139,INDIRECT(AA$4))+SUMIF(INDIRECT(AA$3),'Struktur Vorjahr'!$D139,INDIRECT(AA$5)))</f>
        <v>0</v>
      </c>
      <c r="AB139" s="593">
        <f ca="1">$E139*(-SUMIF(INDIRECT(AB$3),'Struktur Vorjahr'!$D139,INDIRECT(AB$4))+SUMIF(INDIRECT(AB$3),'Struktur Vorjahr'!$D139,INDIRECT(AB$5)))</f>
        <v>0</v>
      </c>
      <c r="AC139" s="593">
        <f ca="1">$E139*(-SUMIF(INDIRECT(AC$3),'Struktur Vorjahr'!$D139,INDIRECT(AC$4))+SUMIF(INDIRECT(AC$3),'Struktur Vorjahr'!$D139,INDIRECT(AC$5)))</f>
        <v>0</v>
      </c>
      <c r="AD139" s="593">
        <f ca="1">$E139*(-SUMIF(INDIRECT(AD$3),'Struktur Vorjahr'!$D139,INDIRECT(AD$4))+SUMIF(INDIRECT(AD$3),'Struktur Vorjahr'!$D139,INDIRECT(AD$5)))</f>
        <v>0</v>
      </c>
      <c r="AE139" s="593">
        <f t="shared" ca="1" si="72"/>
        <v>0</v>
      </c>
      <c r="AF139" s="593">
        <f t="shared" ca="1" si="73"/>
        <v>0</v>
      </c>
      <c r="AG139" s="593">
        <f t="shared" ca="1" si="73"/>
        <v>0</v>
      </c>
      <c r="AH139" s="593">
        <f t="shared" ca="1" si="73"/>
        <v>0</v>
      </c>
      <c r="AI139" s="593">
        <f t="shared" ca="1" si="73"/>
        <v>0</v>
      </c>
      <c r="AJ139" s="593">
        <f t="shared" ca="1" si="73"/>
        <v>0</v>
      </c>
      <c r="AK139" s="593">
        <f t="shared" ca="1" si="73"/>
        <v>0</v>
      </c>
      <c r="AL139" s="593">
        <f t="shared" ca="1" si="73"/>
        <v>0</v>
      </c>
      <c r="AM139" s="593">
        <f t="shared" ca="1" si="73"/>
        <v>0</v>
      </c>
      <c r="AN139" s="593">
        <f t="shared" ca="1" si="73"/>
        <v>0</v>
      </c>
      <c r="AO139" s="593">
        <f t="shared" ca="1" si="73"/>
        <v>0</v>
      </c>
      <c r="AP139" s="593">
        <f t="shared" ca="1" si="73"/>
        <v>0</v>
      </c>
    </row>
    <row r="140" spans="1:42" s="594" customFormat="1" ht="11.25" outlineLevel="1" x14ac:dyDescent="0.2">
      <c r="A140" s="590"/>
      <c r="B140" s="591" t="str">
        <f>IF(D140&lt;&gt;"",
IF(ISERROR(MATCH(D140,'Ist Vorjahr Monat 01'!A:A,0))=FALSE,INDEX('Ist Vorjahr Monat 01'!B:B,MATCH(D140,'Ist Vorjahr Monat 01'!A:A,0)),
IF(ISERROR(MATCH(D140,'Ist Vorjahr Monat 02'!A:A,0))=FALSE,INDEX('Ist Vorjahr Monat 02'!B:B,MATCH(D140,'Ist Vorjahr Monat 02'!A:A,0)),
IF(ISERROR(MATCH(D140,'Ist Vorjahr Monat 03'!A:A,0))=FALSE,INDEX('Ist Vorjahr Monat 03'!B:B,MATCH(D140,'Ist Vorjahr Monat 03'!A:A,0)),
IF(ISERROR(MATCH(D140,'Ist Vorjahr Monat 04'!A:A,0))=FALSE,INDEX('Ist Vorjahr Monat 04'!B:B,MATCH(D140,'Ist Vorjahr Monat 04'!A:A,0)),
IF(ISERROR(MATCH(D140,'Ist Vorjahr Monat 05'!A:A,0))=FALSE,INDEX('Ist Vorjahr Monat 05'!B:B,MATCH(D140,'Ist Vorjahr Monat 05'!A:A,0)),
IF(ISERROR(MATCH(D140,'Ist Vorjahr Monat 06'!A:A,0))=FALSE,INDEX('Ist Vorjahr Monat 06'!B:B,MATCH(D140,'Ist Vorjahr Monat 06'!A:A,0)),
IF(ISERROR(MATCH(D140,'Ist Vorjahr Monat 07'!A:A,0))=FALSE,INDEX('Ist Vorjahr Monat 07'!B:B,MATCH(D140,'Ist Vorjahr Monat 07'!A:A,0)),
IF(ISERROR(MATCH(D140,'Ist Vorjahr Monat 08'!A:A,0))=FALSE,INDEX('Ist Vorjahr Monat 08'!B:B,MATCH(D140,'Ist Vorjahr Monat 08'!A:A,0)),
IF(ISERROR(MATCH(D140,'Ist Vorjahr Monat 09'!A:A,0))=FALSE,INDEX('Ist Vorjahr Monat 09'!B:B,MATCH(D140,'Ist Vorjahr Monat 09'!A:A,0)),
IF(ISERROR(MATCH(D140,'Ist Vorjahr Monat 10'!A:A,0))=FALSE,INDEX('Ist Vorjahr Monat 10'!B:B,MATCH(D140,'Ist Vorjahr Monat 10'!A:A,0)),
IF(ISERROR(MATCH(D140,'Ist Vorjahr Monat 11'!A:A,0))=FALSE,INDEX('Ist Vorjahr Monat 11'!B:B,MATCH(D140,'Ist Vorjahr Monat 11'!A:A,0)),
IF(ISERROR(MATCH(D140,'Ist Vorjahr Monat 12'!A:A,0))=FALSE,INDEX('Ist Vorjahr Monat 12'!B:B,MATCH(D140,'Ist Vorjahr Monat 12'!A:A,0)),
"{Konto unbekannt}"
)))))))))))),"")</f>
        <v/>
      </c>
      <c r="C140" s="591"/>
      <c r="D140" s="590"/>
      <c r="E140" s="592">
        <f t="shared" si="65"/>
        <v>1</v>
      </c>
      <c r="F140" s="590"/>
      <c r="G140" s="593">
        <f ca="1">$E140*(-SUMIF(INDIRECT(G$3),'Struktur Vorjahr'!$D140,INDIRECT(G$4))+SUMIF(INDIRECT(G$3),'Struktur Vorjahr'!$D140,INDIRECT(G$5)))</f>
        <v>0</v>
      </c>
      <c r="H140" s="593">
        <f ca="1">$E140*(-SUMIF(INDIRECT(H$3),'Struktur Vorjahr'!$D140,INDIRECT(H$4))+SUMIF(INDIRECT(H$3),'Struktur Vorjahr'!$D140,INDIRECT(H$5)))</f>
        <v>0</v>
      </c>
      <c r="I140" s="593">
        <f ca="1">$E140*(-SUMIF(INDIRECT(I$3),'Struktur Vorjahr'!$D140,INDIRECT(I$4))+SUMIF(INDIRECT(I$3),'Struktur Vorjahr'!$D140,INDIRECT(I$5)))</f>
        <v>0</v>
      </c>
      <c r="J140" s="593">
        <f ca="1">$E140*(-SUMIF(INDIRECT(J$3),'Struktur Vorjahr'!$D140,INDIRECT(J$4))+SUMIF(INDIRECT(J$3),'Struktur Vorjahr'!$D140,INDIRECT(J$5)))</f>
        <v>0</v>
      </c>
      <c r="K140" s="593">
        <f ca="1">$E140*(-SUMIF(INDIRECT(K$3),'Struktur Vorjahr'!$D140,INDIRECT(K$4))+SUMIF(INDIRECT(K$3),'Struktur Vorjahr'!$D140,INDIRECT(K$5)))</f>
        <v>0</v>
      </c>
      <c r="L140" s="593">
        <f ca="1">$E140*(-SUMIF(INDIRECT(L$3),'Struktur Vorjahr'!$D140,INDIRECT(L$4))+SUMIF(INDIRECT(L$3),'Struktur Vorjahr'!$D140,INDIRECT(L$5)))</f>
        <v>0</v>
      </c>
      <c r="M140" s="593">
        <f ca="1">$E140*(-SUMIF(INDIRECT(M$3),'Struktur Vorjahr'!$D140,INDIRECT(M$4))+SUMIF(INDIRECT(M$3),'Struktur Vorjahr'!$D140,INDIRECT(M$5)))</f>
        <v>0</v>
      </c>
      <c r="N140" s="593">
        <f ca="1">$E140*(-SUMIF(INDIRECT(N$3),'Struktur Vorjahr'!$D140,INDIRECT(N$4))+SUMIF(INDIRECT(N$3),'Struktur Vorjahr'!$D140,INDIRECT(N$5)))</f>
        <v>0</v>
      </c>
      <c r="O140" s="593">
        <f ca="1">$E140*(-SUMIF(INDIRECT(O$3),'Struktur Vorjahr'!$D140,INDIRECT(O$4))+SUMIF(INDIRECT(O$3),'Struktur Vorjahr'!$D140,INDIRECT(O$5)))</f>
        <v>0</v>
      </c>
      <c r="P140" s="593">
        <f ca="1">$E140*(-SUMIF(INDIRECT(P$3),'Struktur Vorjahr'!$D140,INDIRECT(P$4))+SUMIF(INDIRECT(P$3),'Struktur Vorjahr'!$D140,INDIRECT(P$5)))</f>
        <v>0</v>
      </c>
      <c r="Q140" s="593">
        <f ca="1">$E140*(-SUMIF(INDIRECT(Q$3),'Struktur Vorjahr'!$D140,INDIRECT(Q$4))+SUMIF(INDIRECT(Q$3),'Struktur Vorjahr'!$D140,INDIRECT(Q$5)))</f>
        <v>0</v>
      </c>
      <c r="R140" s="593">
        <f ca="1">$E140*(-SUMIF(INDIRECT(R$3),'Struktur Vorjahr'!$D140,INDIRECT(R$4))+SUMIF(INDIRECT(R$3),'Struktur Vorjahr'!$D140,INDIRECT(R$5)))</f>
        <v>0</v>
      </c>
      <c r="S140" s="593">
        <f ca="1">$E140*(-SUMIF(INDIRECT(S$3),'Struktur Vorjahr'!$D140,INDIRECT(S$4))+SUMIF(INDIRECT(S$3),'Struktur Vorjahr'!$D140,INDIRECT(S$5)))</f>
        <v>0</v>
      </c>
      <c r="T140" s="593">
        <f ca="1">$E140*(-SUMIF(INDIRECT(T$3),'Struktur Vorjahr'!$D140,INDIRECT(T$4))+SUMIF(INDIRECT(T$3),'Struktur Vorjahr'!$D140,INDIRECT(T$5)))</f>
        <v>0</v>
      </c>
      <c r="U140" s="593">
        <f ca="1">$E140*(-SUMIF(INDIRECT(U$3),'Struktur Vorjahr'!$D140,INDIRECT(U$4))+SUMIF(INDIRECT(U$3),'Struktur Vorjahr'!$D140,INDIRECT(U$5)))</f>
        <v>0</v>
      </c>
      <c r="V140" s="593">
        <f ca="1">$E140*(-SUMIF(INDIRECT(V$3),'Struktur Vorjahr'!$D140,INDIRECT(V$4))+SUMIF(INDIRECT(V$3),'Struktur Vorjahr'!$D140,INDIRECT(V$5)))</f>
        <v>0</v>
      </c>
      <c r="W140" s="593">
        <f ca="1">$E140*(-SUMIF(INDIRECT(W$3),'Struktur Vorjahr'!$D140,INDIRECT(W$4))+SUMIF(INDIRECT(W$3),'Struktur Vorjahr'!$D140,INDIRECT(W$5)))</f>
        <v>0</v>
      </c>
      <c r="X140" s="593">
        <f ca="1">$E140*(-SUMIF(INDIRECT(X$3),'Struktur Vorjahr'!$D140,INDIRECT(X$4))+SUMIF(INDIRECT(X$3),'Struktur Vorjahr'!$D140,INDIRECT(X$5)))</f>
        <v>0</v>
      </c>
      <c r="Y140" s="593">
        <f ca="1">$E140*(-SUMIF(INDIRECT(Y$3),'Struktur Vorjahr'!$D140,INDIRECT(Y$4))+SUMIF(INDIRECT(Y$3),'Struktur Vorjahr'!$D140,INDIRECT(Y$5)))</f>
        <v>0</v>
      </c>
      <c r="Z140" s="593">
        <f ca="1">$E140*(-SUMIF(INDIRECT(Z$3),'Struktur Vorjahr'!$D140,INDIRECT(Z$4))+SUMIF(INDIRECT(Z$3),'Struktur Vorjahr'!$D140,INDIRECT(Z$5)))</f>
        <v>0</v>
      </c>
      <c r="AA140" s="593">
        <f ca="1">$E140*(-SUMIF(INDIRECT(AA$3),'Struktur Vorjahr'!$D140,INDIRECT(AA$4))+SUMIF(INDIRECT(AA$3),'Struktur Vorjahr'!$D140,INDIRECT(AA$5)))</f>
        <v>0</v>
      </c>
      <c r="AB140" s="593">
        <f ca="1">$E140*(-SUMIF(INDIRECT(AB$3),'Struktur Vorjahr'!$D140,INDIRECT(AB$4))+SUMIF(INDIRECT(AB$3),'Struktur Vorjahr'!$D140,INDIRECT(AB$5)))</f>
        <v>0</v>
      </c>
      <c r="AC140" s="593">
        <f ca="1">$E140*(-SUMIF(INDIRECT(AC$3),'Struktur Vorjahr'!$D140,INDIRECT(AC$4))+SUMIF(INDIRECT(AC$3),'Struktur Vorjahr'!$D140,INDIRECT(AC$5)))</f>
        <v>0</v>
      </c>
      <c r="AD140" s="593">
        <f ca="1">$E140*(-SUMIF(INDIRECT(AD$3),'Struktur Vorjahr'!$D140,INDIRECT(AD$4))+SUMIF(INDIRECT(AD$3),'Struktur Vorjahr'!$D140,INDIRECT(AD$5)))</f>
        <v>0</v>
      </c>
      <c r="AE140" s="593">
        <f t="shared" ca="1" si="72"/>
        <v>0</v>
      </c>
      <c r="AF140" s="593">
        <f t="shared" ca="1" si="73"/>
        <v>0</v>
      </c>
      <c r="AG140" s="593">
        <f t="shared" ca="1" si="73"/>
        <v>0</v>
      </c>
      <c r="AH140" s="593">
        <f t="shared" ca="1" si="73"/>
        <v>0</v>
      </c>
      <c r="AI140" s="593">
        <f t="shared" ca="1" si="73"/>
        <v>0</v>
      </c>
      <c r="AJ140" s="593">
        <f t="shared" ca="1" si="73"/>
        <v>0</v>
      </c>
      <c r="AK140" s="593">
        <f t="shared" ca="1" si="73"/>
        <v>0</v>
      </c>
      <c r="AL140" s="593">
        <f t="shared" ca="1" si="73"/>
        <v>0</v>
      </c>
      <c r="AM140" s="593">
        <f t="shared" ca="1" si="73"/>
        <v>0</v>
      </c>
      <c r="AN140" s="593">
        <f t="shared" ca="1" si="73"/>
        <v>0</v>
      </c>
      <c r="AO140" s="593">
        <f t="shared" ca="1" si="73"/>
        <v>0</v>
      </c>
      <c r="AP140" s="593">
        <f t="shared" ca="1" si="73"/>
        <v>0</v>
      </c>
    </row>
    <row r="141" spans="1:42" s="594" customFormat="1" ht="11.25" outlineLevel="1" x14ac:dyDescent="0.2">
      <c r="A141" s="590"/>
      <c r="B141" s="591" t="str">
        <f>IF(D141&lt;&gt;"",
IF(ISERROR(MATCH(D141,'Ist Vorjahr Monat 01'!A:A,0))=FALSE,INDEX('Ist Vorjahr Monat 01'!B:B,MATCH(D141,'Ist Vorjahr Monat 01'!A:A,0)),
IF(ISERROR(MATCH(D141,'Ist Vorjahr Monat 02'!A:A,0))=FALSE,INDEX('Ist Vorjahr Monat 02'!B:B,MATCH(D141,'Ist Vorjahr Monat 02'!A:A,0)),
IF(ISERROR(MATCH(D141,'Ist Vorjahr Monat 03'!A:A,0))=FALSE,INDEX('Ist Vorjahr Monat 03'!B:B,MATCH(D141,'Ist Vorjahr Monat 03'!A:A,0)),
IF(ISERROR(MATCH(D141,'Ist Vorjahr Monat 04'!A:A,0))=FALSE,INDEX('Ist Vorjahr Monat 04'!B:B,MATCH(D141,'Ist Vorjahr Monat 04'!A:A,0)),
IF(ISERROR(MATCH(D141,'Ist Vorjahr Monat 05'!A:A,0))=FALSE,INDEX('Ist Vorjahr Monat 05'!B:B,MATCH(D141,'Ist Vorjahr Monat 05'!A:A,0)),
IF(ISERROR(MATCH(D141,'Ist Vorjahr Monat 06'!A:A,0))=FALSE,INDEX('Ist Vorjahr Monat 06'!B:B,MATCH(D141,'Ist Vorjahr Monat 06'!A:A,0)),
IF(ISERROR(MATCH(D141,'Ist Vorjahr Monat 07'!A:A,0))=FALSE,INDEX('Ist Vorjahr Monat 07'!B:B,MATCH(D141,'Ist Vorjahr Monat 07'!A:A,0)),
IF(ISERROR(MATCH(D141,'Ist Vorjahr Monat 08'!A:A,0))=FALSE,INDEX('Ist Vorjahr Monat 08'!B:B,MATCH(D141,'Ist Vorjahr Monat 08'!A:A,0)),
IF(ISERROR(MATCH(D141,'Ist Vorjahr Monat 09'!A:A,0))=FALSE,INDEX('Ist Vorjahr Monat 09'!B:B,MATCH(D141,'Ist Vorjahr Monat 09'!A:A,0)),
IF(ISERROR(MATCH(D141,'Ist Vorjahr Monat 10'!A:A,0))=FALSE,INDEX('Ist Vorjahr Monat 10'!B:B,MATCH(D141,'Ist Vorjahr Monat 10'!A:A,0)),
IF(ISERROR(MATCH(D141,'Ist Vorjahr Monat 11'!A:A,0))=FALSE,INDEX('Ist Vorjahr Monat 11'!B:B,MATCH(D141,'Ist Vorjahr Monat 11'!A:A,0)),
IF(ISERROR(MATCH(D141,'Ist Vorjahr Monat 12'!A:A,0))=FALSE,INDEX('Ist Vorjahr Monat 12'!B:B,MATCH(D141,'Ist Vorjahr Monat 12'!A:A,0)),
"{Konto unbekannt}"
)))))))))))),"")</f>
        <v/>
      </c>
      <c r="C141" s="591"/>
      <c r="D141" s="590"/>
      <c r="E141" s="592">
        <f t="shared" si="65"/>
        <v>1</v>
      </c>
      <c r="F141" s="590"/>
      <c r="G141" s="593">
        <f ca="1">$E141*(-SUMIF(INDIRECT(G$3),'Struktur Vorjahr'!$D141,INDIRECT(G$4))+SUMIF(INDIRECT(G$3),'Struktur Vorjahr'!$D141,INDIRECT(G$5)))</f>
        <v>0</v>
      </c>
      <c r="H141" s="593">
        <f ca="1">$E141*(-SUMIF(INDIRECT(H$3),'Struktur Vorjahr'!$D141,INDIRECT(H$4))+SUMIF(INDIRECT(H$3),'Struktur Vorjahr'!$D141,INDIRECT(H$5)))</f>
        <v>0</v>
      </c>
      <c r="I141" s="593">
        <f ca="1">$E141*(-SUMIF(INDIRECT(I$3),'Struktur Vorjahr'!$D141,INDIRECT(I$4))+SUMIF(INDIRECT(I$3),'Struktur Vorjahr'!$D141,INDIRECT(I$5)))</f>
        <v>0</v>
      </c>
      <c r="J141" s="593">
        <f ca="1">$E141*(-SUMIF(INDIRECT(J$3),'Struktur Vorjahr'!$D141,INDIRECT(J$4))+SUMIF(INDIRECT(J$3),'Struktur Vorjahr'!$D141,INDIRECT(J$5)))</f>
        <v>0</v>
      </c>
      <c r="K141" s="593">
        <f ca="1">$E141*(-SUMIF(INDIRECT(K$3),'Struktur Vorjahr'!$D141,INDIRECT(K$4))+SUMIF(INDIRECT(K$3),'Struktur Vorjahr'!$D141,INDIRECT(K$5)))</f>
        <v>0</v>
      </c>
      <c r="L141" s="593">
        <f ca="1">$E141*(-SUMIF(INDIRECT(L$3),'Struktur Vorjahr'!$D141,INDIRECT(L$4))+SUMIF(INDIRECT(L$3),'Struktur Vorjahr'!$D141,INDIRECT(L$5)))</f>
        <v>0</v>
      </c>
      <c r="M141" s="593">
        <f ca="1">$E141*(-SUMIF(INDIRECT(M$3),'Struktur Vorjahr'!$D141,INDIRECT(M$4))+SUMIF(INDIRECT(M$3),'Struktur Vorjahr'!$D141,INDIRECT(M$5)))</f>
        <v>0</v>
      </c>
      <c r="N141" s="593">
        <f ca="1">$E141*(-SUMIF(INDIRECT(N$3),'Struktur Vorjahr'!$D141,INDIRECT(N$4))+SUMIF(INDIRECT(N$3),'Struktur Vorjahr'!$D141,INDIRECT(N$5)))</f>
        <v>0</v>
      </c>
      <c r="O141" s="593">
        <f ca="1">$E141*(-SUMIF(INDIRECT(O$3),'Struktur Vorjahr'!$D141,INDIRECT(O$4))+SUMIF(INDIRECT(O$3),'Struktur Vorjahr'!$D141,INDIRECT(O$5)))</f>
        <v>0</v>
      </c>
      <c r="P141" s="593">
        <f ca="1">$E141*(-SUMIF(INDIRECT(P$3),'Struktur Vorjahr'!$D141,INDIRECT(P$4))+SUMIF(INDIRECT(P$3),'Struktur Vorjahr'!$D141,INDIRECT(P$5)))</f>
        <v>0</v>
      </c>
      <c r="Q141" s="593">
        <f ca="1">$E141*(-SUMIF(INDIRECT(Q$3),'Struktur Vorjahr'!$D141,INDIRECT(Q$4))+SUMIF(INDIRECT(Q$3),'Struktur Vorjahr'!$D141,INDIRECT(Q$5)))</f>
        <v>0</v>
      </c>
      <c r="R141" s="593">
        <f ca="1">$E141*(-SUMIF(INDIRECT(R$3),'Struktur Vorjahr'!$D141,INDIRECT(R$4))+SUMIF(INDIRECT(R$3),'Struktur Vorjahr'!$D141,INDIRECT(R$5)))</f>
        <v>0</v>
      </c>
      <c r="S141" s="593">
        <f ca="1">$E141*(-SUMIF(INDIRECT(S$3),'Struktur Vorjahr'!$D141,INDIRECT(S$4))+SUMIF(INDIRECT(S$3),'Struktur Vorjahr'!$D141,INDIRECT(S$5)))</f>
        <v>0</v>
      </c>
      <c r="T141" s="593">
        <f ca="1">$E141*(-SUMIF(INDIRECT(T$3),'Struktur Vorjahr'!$D141,INDIRECT(T$4))+SUMIF(INDIRECT(T$3),'Struktur Vorjahr'!$D141,INDIRECT(T$5)))</f>
        <v>0</v>
      </c>
      <c r="U141" s="593">
        <f ca="1">$E141*(-SUMIF(INDIRECT(U$3),'Struktur Vorjahr'!$D141,INDIRECT(U$4))+SUMIF(INDIRECT(U$3),'Struktur Vorjahr'!$D141,INDIRECT(U$5)))</f>
        <v>0</v>
      </c>
      <c r="V141" s="593">
        <f ca="1">$E141*(-SUMIF(INDIRECT(V$3),'Struktur Vorjahr'!$D141,INDIRECT(V$4))+SUMIF(INDIRECT(V$3),'Struktur Vorjahr'!$D141,INDIRECT(V$5)))</f>
        <v>0</v>
      </c>
      <c r="W141" s="593">
        <f ca="1">$E141*(-SUMIF(INDIRECT(W$3),'Struktur Vorjahr'!$D141,INDIRECT(W$4))+SUMIF(INDIRECT(W$3),'Struktur Vorjahr'!$D141,INDIRECT(W$5)))</f>
        <v>0</v>
      </c>
      <c r="X141" s="593">
        <f ca="1">$E141*(-SUMIF(INDIRECT(X$3),'Struktur Vorjahr'!$D141,INDIRECT(X$4))+SUMIF(INDIRECT(X$3),'Struktur Vorjahr'!$D141,INDIRECT(X$5)))</f>
        <v>0</v>
      </c>
      <c r="Y141" s="593">
        <f ca="1">$E141*(-SUMIF(INDIRECT(Y$3),'Struktur Vorjahr'!$D141,INDIRECT(Y$4))+SUMIF(INDIRECT(Y$3),'Struktur Vorjahr'!$D141,INDIRECT(Y$5)))</f>
        <v>0</v>
      </c>
      <c r="Z141" s="593">
        <f ca="1">$E141*(-SUMIF(INDIRECT(Z$3),'Struktur Vorjahr'!$D141,INDIRECT(Z$4))+SUMIF(INDIRECT(Z$3),'Struktur Vorjahr'!$D141,INDIRECT(Z$5)))</f>
        <v>0</v>
      </c>
      <c r="AA141" s="593">
        <f ca="1">$E141*(-SUMIF(INDIRECT(AA$3),'Struktur Vorjahr'!$D141,INDIRECT(AA$4))+SUMIF(INDIRECT(AA$3),'Struktur Vorjahr'!$D141,INDIRECT(AA$5)))</f>
        <v>0</v>
      </c>
      <c r="AB141" s="593">
        <f ca="1">$E141*(-SUMIF(INDIRECT(AB$3),'Struktur Vorjahr'!$D141,INDIRECT(AB$4))+SUMIF(INDIRECT(AB$3),'Struktur Vorjahr'!$D141,INDIRECT(AB$5)))</f>
        <v>0</v>
      </c>
      <c r="AC141" s="593">
        <f ca="1">$E141*(-SUMIF(INDIRECT(AC$3),'Struktur Vorjahr'!$D141,INDIRECT(AC$4))+SUMIF(INDIRECT(AC$3),'Struktur Vorjahr'!$D141,INDIRECT(AC$5)))</f>
        <v>0</v>
      </c>
      <c r="AD141" s="593">
        <f ca="1">$E141*(-SUMIF(INDIRECT(AD$3),'Struktur Vorjahr'!$D141,INDIRECT(AD$4))+SUMIF(INDIRECT(AD$3),'Struktur Vorjahr'!$D141,INDIRECT(AD$5)))</f>
        <v>0</v>
      </c>
      <c r="AE141" s="593">
        <f t="shared" ca="1" si="72"/>
        <v>0</v>
      </c>
      <c r="AF141" s="593">
        <f t="shared" ca="1" si="73"/>
        <v>0</v>
      </c>
      <c r="AG141" s="593">
        <f t="shared" ca="1" si="73"/>
        <v>0</v>
      </c>
      <c r="AH141" s="593">
        <f t="shared" ca="1" si="73"/>
        <v>0</v>
      </c>
      <c r="AI141" s="593">
        <f t="shared" ca="1" si="73"/>
        <v>0</v>
      </c>
      <c r="AJ141" s="593">
        <f t="shared" ca="1" si="73"/>
        <v>0</v>
      </c>
      <c r="AK141" s="593">
        <f t="shared" ca="1" si="73"/>
        <v>0</v>
      </c>
      <c r="AL141" s="593">
        <f t="shared" ca="1" si="73"/>
        <v>0</v>
      </c>
      <c r="AM141" s="593">
        <f t="shared" ca="1" si="73"/>
        <v>0</v>
      </c>
      <c r="AN141" s="593">
        <f t="shared" ca="1" si="73"/>
        <v>0</v>
      </c>
      <c r="AO141" s="593">
        <f t="shared" ca="1" si="73"/>
        <v>0</v>
      </c>
      <c r="AP141" s="593">
        <f t="shared" ca="1" si="73"/>
        <v>0</v>
      </c>
    </row>
    <row r="142" spans="1:42" s="594" customFormat="1" ht="11.25" outlineLevel="1" x14ac:dyDescent="0.2">
      <c r="A142" s="590"/>
      <c r="B142" s="591" t="str">
        <f>IF(D142&lt;&gt;"",
IF(ISERROR(MATCH(D142,'Ist Vorjahr Monat 01'!A:A,0))=FALSE,INDEX('Ist Vorjahr Monat 01'!B:B,MATCH(D142,'Ist Vorjahr Monat 01'!A:A,0)),
IF(ISERROR(MATCH(D142,'Ist Vorjahr Monat 02'!A:A,0))=FALSE,INDEX('Ist Vorjahr Monat 02'!B:B,MATCH(D142,'Ist Vorjahr Monat 02'!A:A,0)),
IF(ISERROR(MATCH(D142,'Ist Vorjahr Monat 03'!A:A,0))=FALSE,INDEX('Ist Vorjahr Monat 03'!B:B,MATCH(D142,'Ist Vorjahr Monat 03'!A:A,0)),
IF(ISERROR(MATCH(D142,'Ist Vorjahr Monat 04'!A:A,0))=FALSE,INDEX('Ist Vorjahr Monat 04'!B:B,MATCH(D142,'Ist Vorjahr Monat 04'!A:A,0)),
IF(ISERROR(MATCH(D142,'Ist Vorjahr Monat 05'!A:A,0))=FALSE,INDEX('Ist Vorjahr Monat 05'!B:B,MATCH(D142,'Ist Vorjahr Monat 05'!A:A,0)),
IF(ISERROR(MATCH(D142,'Ist Vorjahr Monat 06'!A:A,0))=FALSE,INDEX('Ist Vorjahr Monat 06'!B:B,MATCH(D142,'Ist Vorjahr Monat 06'!A:A,0)),
IF(ISERROR(MATCH(D142,'Ist Vorjahr Monat 07'!A:A,0))=FALSE,INDEX('Ist Vorjahr Monat 07'!B:B,MATCH(D142,'Ist Vorjahr Monat 07'!A:A,0)),
IF(ISERROR(MATCH(D142,'Ist Vorjahr Monat 08'!A:A,0))=FALSE,INDEX('Ist Vorjahr Monat 08'!B:B,MATCH(D142,'Ist Vorjahr Monat 08'!A:A,0)),
IF(ISERROR(MATCH(D142,'Ist Vorjahr Monat 09'!A:A,0))=FALSE,INDEX('Ist Vorjahr Monat 09'!B:B,MATCH(D142,'Ist Vorjahr Monat 09'!A:A,0)),
IF(ISERROR(MATCH(D142,'Ist Vorjahr Monat 10'!A:A,0))=FALSE,INDEX('Ist Vorjahr Monat 10'!B:B,MATCH(D142,'Ist Vorjahr Monat 10'!A:A,0)),
IF(ISERROR(MATCH(D142,'Ist Vorjahr Monat 11'!A:A,0))=FALSE,INDEX('Ist Vorjahr Monat 11'!B:B,MATCH(D142,'Ist Vorjahr Monat 11'!A:A,0)),
IF(ISERROR(MATCH(D142,'Ist Vorjahr Monat 12'!A:A,0))=FALSE,INDEX('Ist Vorjahr Monat 12'!B:B,MATCH(D142,'Ist Vorjahr Monat 12'!A:A,0)),
"{Konto unbekannt}"
)))))))))))),"")</f>
        <v/>
      </c>
      <c r="C142" s="591"/>
      <c r="D142" s="590"/>
      <c r="E142" s="592">
        <f t="shared" si="65"/>
        <v>1</v>
      </c>
      <c r="F142" s="590"/>
      <c r="G142" s="593">
        <f ca="1">$E142*(-SUMIF(INDIRECT(G$3),'Struktur Vorjahr'!$D142,INDIRECT(G$4))+SUMIF(INDIRECT(G$3),'Struktur Vorjahr'!$D142,INDIRECT(G$5)))</f>
        <v>0</v>
      </c>
      <c r="H142" s="593">
        <f ca="1">$E142*(-SUMIF(INDIRECT(H$3),'Struktur Vorjahr'!$D142,INDIRECT(H$4))+SUMIF(INDIRECT(H$3),'Struktur Vorjahr'!$D142,INDIRECT(H$5)))</f>
        <v>0</v>
      </c>
      <c r="I142" s="593">
        <f ca="1">$E142*(-SUMIF(INDIRECT(I$3),'Struktur Vorjahr'!$D142,INDIRECT(I$4))+SUMIF(INDIRECT(I$3),'Struktur Vorjahr'!$D142,INDIRECT(I$5)))</f>
        <v>0</v>
      </c>
      <c r="J142" s="593">
        <f ca="1">$E142*(-SUMIF(INDIRECT(J$3),'Struktur Vorjahr'!$D142,INDIRECT(J$4))+SUMIF(INDIRECT(J$3),'Struktur Vorjahr'!$D142,INDIRECT(J$5)))</f>
        <v>0</v>
      </c>
      <c r="K142" s="593">
        <f ca="1">$E142*(-SUMIF(INDIRECT(K$3),'Struktur Vorjahr'!$D142,INDIRECT(K$4))+SUMIF(INDIRECT(K$3),'Struktur Vorjahr'!$D142,INDIRECT(K$5)))</f>
        <v>0</v>
      </c>
      <c r="L142" s="593">
        <f ca="1">$E142*(-SUMIF(INDIRECT(L$3),'Struktur Vorjahr'!$D142,INDIRECT(L$4))+SUMIF(INDIRECT(L$3),'Struktur Vorjahr'!$D142,INDIRECT(L$5)))</f>
        <v>0</v>
      </c>
      <c r="M142" s="593">
        <f ca="1">$E142*(-SUMIF(INDIRECT(M$3),'Struktur Vorjahr'!$D142,INDIRECT(M$4))+SUMIF(INDIRECT(M$3),'Struktur Vorjahr'!$D142,INDIRECT(M$5)))</f>
        <v>0</v>
      </c>
      <c r="N142" s="593">
        <f ca="1">$E142*(-SUMIF(INDIRECT(N$3),'Struktur Vorjahr'!$D142,INDIRECT(N$4))+SUMIF(INDIRECT(N$3),'Struktur Vorjahr'!$D142,INDIRECT(N$5)))</f>
        <v>0</v>
      </c>
      <c r="O142" s="593">
        <f ca="1">$E142*(-SUMIF(INDIRECT(O$3),'Struktur Vorjahr'!$D142,INDIRECT(O$4))+SUMIF(INDIRECT(O$3),'Struktur Vorjahr'!$D142,INDIRECT(O$5)))</f>
        <v>0</v>
      </c>
      <c r="P142" s="593">
        <f ca="1">$E142*(-SUMIF(INDIRECT(P$3),'Struktur Vorjahr'!$D142,INDIRECT(P$4))+SUMIF(INDIRECT(P$3),'Struktur Vorjahr'!$D142,INDIRECT(P$5)))</f>
        <v>0</v>
      </c>
      <c r="Q142" s="593">
        <f ca="1">$E142*(-SUMIF(INDIRECT(Q$3),'Struktur Vorjahr'!$D142,INDIRECT(Q$4))+SUMIF(INDIRECT(Q$3),'Struktur Vorjahr'!$D142,INDIRECT(Q$5)))</f>
        <v>0</v>
      </c>
      <c r="R142" s="593">
        <f ca="1">$E142*(-SUMIF(INDIRECT(R$3),'Struktur Vorjahr'!$D142,INDIRECT(R$4))+SUMIF(INDIRECT(R$3),'Struktur Vorjahr'!$D142,INDIRECT(R$5)))</f>
        <v>0</v>
      </c>
      <c r="S142" s="593">
        <f ca="1">$E142*(-SUMIF(INDIRECT(S$3),'Struktur Vorjahr'!$D142,INDIRECT(S$4))+SUMIF(INDIRECT(S$3),'Struktur Vorjahr'!$D142,INDIRECT(S$5)))</f>
        <v>0</v>
      </c>
      <c r="T142" s="593">
        <f ca="1">$E142*(-SUMIF(INDIRECT(T$3),'Struktur Vorjahr'!$D142,INDIRECT(T$4))+SUMIF(INDIRECT(T$3),'Struktur Vorjahr'!$D142,INDIRECT(T$5)))</f>
        <v>0</v>
      </c>
      <c r="U142" s="593">
        <f ca="1">$E142*(-SUMIF(INDIRECT(U$3),'Struktur Vorjahr'!$D142,INDIRECT(U$4))+SUMIF(INDIRECT(U$3),'Struktur Vorjahr'!$D142,INDIRECT(U$5)))</f>
        <v>0</v>
      </c>
      <c r="V142" s="593">
        <f ca="1">$E142*(-SUMIF(INDIRECT(V$3),'Struktur Vorjahr'!$D142,INDIRECT(V$4))+SUMIF(INDIRECT(V$3),'Struktur Vorjahr'!$D142,INDIRECT(V$5)))</f>
        <v>0</v>
      </c>
      <c r="W142" s="593">
        <f ca="1">$E142*(-SUMIF(INDIRECT(W$3),'Struktur Vorjahr'!$D142,INDIRECT(W$4))+SUMIF(INDIRECT(W$3),'Struktur Vorjahr'!$D142,INDIRECT(W$5)))</f>
        <v>0</v>
      </c>
      <c r="X142" s="593">
        <f ca="1">$E142*(-SUMIF(INDIRECT(X$3),'Struktur Vorjahr'!$D142,INDIRECT(X$4))+SUMIF(INDIRECT(X$3),'Struktur Vorjahr'!$D142,INDIRECT(X$5)))</f>
        <v>0</v>
      </c>
      <c r="Y142" s="593">
        <f ca="1">$E142*(-SUMIF(INDIRECT(Y$3),'Struktur Vorjahr'!$D142,INDIRECT(Y$4))+SUMIF(INDIRECT(Y$3),'Struktur Vorjahr'!$D142,INDIRECT(Y$5)))</f>
        <v>0</v>
      </c>
      <c r="Z142" s="593">
        <f ca="1">$E142*(-SUMIF(INDIRECT(Z$3),'Struktur Vorjahr'!$D142,INDIRECT(Z$4))+SUMIF(INDIRECT(Z$3),'Struktur Vorjahr'!$D142,INDIRECT(Z$5)))</f>
        <v>0</v>
      </c>
      <c r="AA142" s="593">
        <f ca="1">$E142*(-SUMIF(INDIRECT(AA$3),'Struktur Vorjahr'!$D142,INDIRECT(AA$4))+SUMIF(INDIRECT(AA$3),'Struktur Vorjahr'!$D142,INDIRECT(AA$5)))</f>
        <v>0</v>
      </c>
      <c r="AB142" s="593">
        <f ca="1">$E142*(-SUMIF(INDIRECT(AB$3),'Struktur Vorjahr'!$D142,INDIRECT(AB$4))+SUMIF(INDIRECT(AB$3),'Struktur Vorjahr'!$D142,INDIRECT(AB$5)))</f>
        <v>0</v>
      </c>
      <c r="AC142" s="593">
        <f ca="1">$E142*(-SUMIF(INDIRECT(AC$3),'Struktur Vorjahr'!$D142,INDIRECT(AC$4))+SUMIF(INDIRECT(AC$3),'Struktur Vorjahr'!$D142,INDIRECT(AC$5)))</f>
        <v>0</v>
      </c>
      <c r="AD142" s="593">
        <f ca="1">$E142*(-SUMIF(INDIRECT(AD$3),'Struktur Vorjahr'!$D142,INDIRECT(AD$4))+SUMIF(INDIRECT(AD$3),'Struktur Vorjahr'!$D142,INDIRECT(AD$5)))</f>
        <v>0</v>
      </c>
      <c r="AE142" s="593">
        <f t="shared" ca="1" si="72"/>
        <v>0</v>
      </c>
      <c r="AF142" s="593">
        <f t="shared" ca="1" si="73"/>
        <v>0</v>
      </c>
      <c r="AG142" s="593">
        <f t="shared" ca="1" si="73"/>
        <v>0</v>
      </c>
      <c r="AH142" s="593">
        <f t="shared" ca="1" si="73"/>
        <v>0</v>
      </c>
      <c r="AI142" s="593">
        <f t="shared" ca="1" si="73"/>
        <v>0</v>
      </c>
      <c r="AJ142" s="593">
        <f t="shared" ca="1" si="73"/>
        <v>0</v>
      </c>
      <c r="AK142" s="593">
        <f t="shared" ca="1" si="73"/>
        <v>0</v>
      </c>
      <c r="AL142" s="593">
        <f t="shared" ca="1" si="73"/>
        <v>0</v>
      </c>
      <c r="AM142" s="593">
        <f t="shared" ca="1" si="73"/>
        <v>0</v>
      </c>
      <c r="AN142" s="593">
        <f t="shared" ca="1" si="73"/>
        <v>0</v>
      </c>
      <c r="AO142" s="593">
        <f t="shared" ca="1" si="73"/>
        <v>0</v>
      </c>
      <c r="AP142" s="593">
        <f t="shared" ca="1" si="73"/>
        <v>0</v>
      </c>
    </row>
    <row r="143" spans="1:42" s="594" customFormat="1" ht="11.25" outlineLevel="1" x14ac:dyDescent="0.2">
      <c r="A143" s="590"/>
      <c r="B143" s="591" t="str">
        <f>IF(D143&lt;&gt;"",
IF(ISERROR(MATCH(D143,'Ist Vorjahr Monat 01'!A:A,0))=FALSE,INDEX('Ist Vorjahr Monat 01'!B:B,MATCH(D143,'Ist Vorjahr Monat 01'!A:A,0)),
IF(ISERROR(MATCH(D143,'Ist Vorjahr Monat 02'!A:A,0))=FALSE,INDEX('Ist Vorjahr Monat 02'!B:B,MATCH(D143,'Ist Vorjahr Monat 02'!A:A,0)),
IF(ISERROR(MATCH(D143,'Ist Vorjahr Monat 03'!A:A,0))=FALSE,INDEX('Ist Vorjahr Monat 03'!B:B,MATCH(D143,'Ist Vorjahr Monat 03'!A:A,0)),
IF(ISERROR(MATCH(D143,'Ist Vorjahr Monat 04'!A:A,0))=FALSE,INDEX('Ist Vorjahr Monat 04'!B:B,MATCH(D143,'Ist Vorjahr Monat 04'!A:A,0)),
IF(ISERROR(MATCH(D143,'Ist Vorjahr Monat 05'!A:A,0))=FALSE,INDEX('Ist Vorjahr Monat 05'!B:B,MATCH(D143,'Ist Vorjahr Monat 05'!A:A,0)),
IF(ISERROR(MATCH(D143,'Ist Vorjahr Monat 06'!A:A,0))=FALSE,INDEX('Ist Vorjahr Monat 06'!B:B,MATCH(D143,'Ist Vorjahr Monat 06'!A:A,0)),
IF(ISERROR(MATCH(D143,'Ist Vorjahr Monat 07'!A:A,0))=FALSE,INDEX('Ist Vorjahr Monat 07'!B:B,MATCH(D143,'Ist Vorjahr Monat 07'!A:A,0)),
IF(ISERROR(MATCH(D143,'Ist Vorjahr Monat 08'!A:A,0))=FALSE,INDEX('Ist Vorjahr Monat 08'!B:B,MATCH(D143,'Ist Vorjahr Monat 08'!A:A,0)),
IF(ISERROR(MATCH(D143,'Ist Vorjahr Monat 09'!A:A,0))=FALSE,INDEX('Ist Vorjahr Monat 09'!B:B,MATCH(D143,'Ist Vorjahr Monat 09'!A:A,0)),
IF(ISERROR(MATCH(D143,'Ist Vorjahr Monat 10'!A:A,0))=FALSE,INDEX('Ist Vorjahr Monat 10'!B:B,MATCH(D143,'Ist Vorjahr Monat 10'!A:A,0)),
IF(ISERROR(MATCH(D143,'Ist Vorjahr Monat 11'!A:A,0))=FALSE,INDEX('Ist Vorjahr Monat 11'!B:B,MATCH(D143,'Ist Vorjahr Monat 11'!A:A,0)),
IF(ISERROR(MATCH(D143,'Ist Vorjahr Monat 12'!A:A,0))=FALSE,INDEX('Ist Vorjahr Monat 12'!B:B,MATCH(D143,'Ist Vorjahr Monat 12'!A:A,0)),
"{Konto unbekannt}"
)))))))))))),"")</f>
        <v/>
      </c>
      <c r="C143" s="591"/>
      <c r="D143" s="590"/>
      <c r="E143" s="592">
        <f t="shared" si="65"/>
        <v>1</v>
      </c>
      <c r="F143" s="590"/>
      <c r="G143" s="593">
        <f ca="1">$E143*(-SUMIF(INDIRECT(G$3),'Struktur Vorjahr'!$D143,INDIRECT(G$4))+SUMIF(INDIRECT(G$3),'Struktur Vorjahr'!$D143,INDIRECT(G$5)))</f>
        <v>0</v>
      </c>
      <c r="H143" s="593">
        <f ca="1">$E143*(-SUMIF(INDIRECT(H$3),'Struktur Vorjahr'!$D143,INDIRECT(H$4))+SUMIF(INDIRECT(H$3),'Struktur Vorjahr'!$D143,INDIRECT(H$5)))</f>
        <v>0</v>
      </c>
      <c r="I143" s="593">
        <f ca="1">$E143*(-SUMIF(INDIRECT(I$3),'Struktur Vorjahr'!$D143,INDIRECT(I$4))+SUMIF(INDIRECT(I$3),'Struktur Vorjahr'!$D143,INDIRECT(I$5)))</f>
        <v>0</v>
      </c>
      <c r="J143" s="593">
        <f ca="1">$E143*(-SUMIF(INDIRECT(J$3),'Struktur Vorjahr'!$D143,INDIRECT(J$4))+SUMIF(INDIRECT(J$3),'Struktur Vorjahr'!$D143,INDIRECT(J$5)))</f>
        <v>0</v>
      </c>
      <c r="K143" s="593">
        <f ca="1">$E143*(-SUMIF(INDIRECT(K$3),'Struktur Vorjahr'!$D143,INDIRECT(K$4))+SUMIF(INDIRECT(K$3),'Struktur Vorjahr'!$D143,INDIRECT(K$5)))</f>
        <v>0</v>
      </c>
      <c r="L143" s="593">
        <f ca="1">$E143*(-SUMIF(INDIRECT(L$3),'Struktur Vorjahr'!$D143,INDIRECT(L$4))+SUMIF(INDIRECT(L$3),'Struktur Vorjahr'!$D143,INDIRECT(L$5)))</f>
        <v>0</v>
      </c>
      <c r="M143" s="593">
        <f ca="1">$E143*(-SUMIF(INDIRECT(M$3),'Struktur Vorjahr'!$D143,INDIRECT(M$4))+SUMIF(INDIRECT(M$3),'Struktur Vorjahr'!$D143,INDIRECT(M$5)))</f>
        <v>0</v>
      </c>
      <c r="N143" s="593">
        <f ca="1">$E143*(-SUMIF(INDIRECT(N$3),'Struktur Vorjahr'!$D143,INDIRECT(N$4))+SUMIF(INDIRECT(N$3),'Struktur Vorjahr'!$D143,INDIRECT(N$5)))</f>
        <v>0</v>
      </c>
      <c r="O143" s="593">
        <f ca="1">$E143*(-SUMIF(INDIRECT(O$3),'Struktur Vorjahr'!$D143,INDIRECT(O$4))+SUMIF(INDIRECT(O$3),'Struktur Vorjahr'!$D143,INDIRECT(O$5)))</f>
        <v>0</v>
      </c>
      <c r="P143" s="593">
        <f ca="1">$E143*(-SUMIF(INDIRECT(P$3),'Struktur Vorjahr'!$D143,INDIRECT(P$4))+SUMIF(INDIRECT(P$3),'Struktur Vorjahr'!$D143,INDIRECT(P$5)))</f>
        <v>0</v>
      </c>
      <c r="Q143" s="593">
        <f ca="1">$E143*(-SUMIF(INDIRECT(Q$3),'Struktur Vorjahr'!$D143,INDIRECT(Q$4))+SUMIF(INDIRECT(Q$3),'Struktur Vorjahr'!$D143,INDIRECT(Q$5)))</f>
        <v>0</v>
      </c>
      <c r="R143" s="593">
        <f ca="1">$E143*(-SUMIF(INDIRECT(R$3),'Struktur Vorjahr'!$D143,INDIRECT(R$4))+SUMIF(INDIRECT(R$3),'Struktur Vorjahr'!$D143,INDIRECT(R$5)))</f>
        <v>0</v>
      </c>
      <c r="S143" s="593">
        <f ca="1">$E143*(-SUMIF(INDIRECT(S$3),'Struktur Vorjahr'!$D143,INDIRECT(S$4))+SUMIF(INDIRECT(S$3),'Struktur Vorjahr'!$D143,INDIRECT(S$5)))</f>
        <v>0</v>
      </c>
      <c r="T143" s="593">
        <f ca="1">$E143*(-SUMIF(INDIRECT(T$3),'Struktur Vorjahr'!$D143,INDIRECT(T$4))+SUMIF(INDIRECT(T$3),'Struktur Vorjahr'!$D143,INDIRECT(T$5)))</f>
        <v>0</v>
      </c>
      <c r="U143" s="593">
        <f ca="1">$E143*(-SUMIF(INDIRECT(U$3),'Struktur Vorjahr'!$D143,INDIRECT(U$4))+SUMIF(INDIRECT(U$3),'Struktur Vorjahr'!$D143,INDIRECT(U$5)))</f>
        <v>0</v>
      </c>
      <c r="V143" s="593">
        <f ca="1">$E143*(-SUMIF(INDIRECT(V$3),'Struktur Vorjahr'!$D143,INDIRECT(V$4))+SUMIF(INDIRECT(V$3),'Struktur Vorjahr'!$D143,INDIRECT(V$5)))</f>
        <v>0</v>
      </c>
      <c r="W143" s="593">
        <f ca="1">$E143*(-SUMIF(INDIRECT(W$3),'Struktur Vorjahr'!$D143,INDIRECT(W$4))+SUMIF(INDIRECT(W$3),'Struktur Vorjahr'!$D143,INDIRECT(W$5)))</f>
        <v>0</v>
      </c>
      <c r="X143" s="593">
        <f ca="1">$E143*(-SUMIF(INDIRECT(X$3),'Struktur Vorjahr'!$D143,INDIRECT(X$4))+SUMIF(INDIRECT(X$3),'Struktur Vorjahr'!$D143,INDIRECT(X$5)))</f>
        <v>0</v>
      </c>
      <c r="Y143" s="593">
        <f ca="1">$E143*(-SUMIF(INDIRECT(Y$3),'Struktur Vorjahr'!$D143,INDIRECT(Y$4))+SUMIF(INDIRECT(Y$3),'Struktur Vorjahr'!$D143,INDIRECT(Y$5)))</f>
        <v>0</v>
      </c>
      <c r="Z143" s="593">
        <f ca="1">$E143*(-SUMIF(INDIRECT(Z$3),'Struktur Vorjahr'!$D143,INDIRECT(Z$4))+SUMIF(INDIRECT(Z$3),'Struktur Vorjahr'!$D143,INDIRECT(Z$5)))</f>
        <v>0</v>
      </c>
      <c r="AA143" s="593">
        <f ca="1">$E143*(-SUMIF(INDIRECT(AA$3),'Struktur Vorjahr'!$D143,INDIRECT(AA$4))+SUMIF(INDIRECT(AA$3),'Struktur Vorjahr'!$D143,INDIRECT(AA$5)))</f>
        <v>0</v>
      </c>
      <c r="AB143" s="593">
        <f ca="1">$E143*(-SUMIF(INDIRECT(AB$3),'Struktur Vorjahr'!$D143,INDIRECT(AB$4))+SUMIF(INDIRECT(AB$3),'Struktur Vorjahr'!$D143,INDIRECT(AB$5)))</f>
        <v>0</v>
      </c>
      <c r="AC143" s="593">
        <f ca="1">$E143*(-SUMIF(INDIRECT(AC$3),'Struktur Vorjahr'!$D143,INDIRECT(AC$4))+SUMIF(INDIRECT(AC$3),'Struktur Vorjahr'!$D143,INDIRECT(AC$5)))</f>
        <v>0</v>
      </c>
      <c r="AD143" s="593">
        <f ca="1">$E143*(-SUMIF(INDIRECT(AD$3),'Struktur Vorjahr'!$D143,INDIRECT(AD$4))+SUMIF(INDIRECT(AD$3),'Struktur Vorjahr'!$D143,INDIRECT(AD$5)))</f>
        <v>0</v>
      </c>
      <c r="AE143" s="593">
        <f t="shared" ca="1" si="72"/>
        <v>0</v>
      </c>
      <c r="AF143" s="593">
        <f t="shared" ca="1" si="73"/>
        <v>0</v>
      </c>
      <c r="AG143" s="593">
        <f t="shared" ca="1" si="73"/>
        <v>0</v>
      </c>
      <c r="AH143" s="593">
        <f t="shared" ca="1" si="73"/>
        <v>0</v>
      </c>
      <c r="AI143" s="593">
        <f t="shared" ca="1" si="73"/>
        <v>0</v>
      </c>
      <c r="AJ143" s="593">
        <f t="shared" ca="1" si="73"/>
        <v>0</v>
      </c>
      <c r="AK143" s="593">
        <f t="shared" ca="1" si="73"/>
        <v>0</v>
      </c>
      <c r="AL143" s="593">
        <f t="shared" ca="1" si="73"/>
        <v>0</v>
      </c>
      <c r="AM143" s="593">
        <f t="shared" ca="1" si="73"/>
        <v>0</v>
      </c>
      <c r="AN143" s="593">
        <f t="shared" ca="1" si="73"/>
        <v>0</v>
      </c>
      <c r="AO143" s="593">
        <f t="shared" ca="1" si="73"/>
        <v>0</v>
      </c>
      <c r="AP143" s="593">
        <f t="shared" ca="1" si="73"/>
        <v>0</v>
      </c>
    </row>
    <row r="144" spans="1:42" s="589" customFormat="1" x14ac:dyDescent="0.2">
      <c r="A144" s="585">
        <v>13</v>
      </c>
      <c r="B144" s="586" t="s">
        <v>1009</v>
      </c>
      <c r="C144" s="587">
        <f ca="1">SUM(G144:R144)</f>
        <v>2031.62</v>
      </c>
      <c r="D144" s="587"/>
      <c r="E144" s="588">
        <f t="shared" si="65"/>
        <v>1</v>
      </c>
      <c r="F144" s="585"/>
      <c r="G144" s="587">
        <f t="shared" ref="G144:AP144" ca="1" si="74">SUM(G145:G152)</f>
        <v>29.269999999999996</v>
      </c>
      <c r="H144" s="587">
        <f t="shared" ca="1" si="74"/>
        <v>10.37</v>
      </c>
      <c r="I144" s="587">
        <f t="shared" ca="1" si="74"/>
        <v>500.02</v>
      </c>
      <c r="J144" s="587">
        <f t="shared" ca="1" si="74"/>
        <v>149.65</v>
      </c>
      <c r="K144" s="587">
        <f t="shared" ca="1" si="74"/>
        <v>55.669999999999995</v>
      </c>
      <c r="L144" s="587">
        <f t="shared" ca="1" si="74"/>
        <v>106.37</v>
      </c>
      <c r="M144" s="587">
        <f t="shared" ca="1" si="74"/>
        <v>649.11</v>
      </c>
      <c r="N144" s="587">
        <f t="shared" ca="1" si="74"/>
        <v>91.2</v>
      </c>
      <c r="O144" s="587">
        <f t="shared" ca="1" si="74"/>
        <v>99.600000000000009</v>
      </c>
      <c r="P144" s="587">
        <f t="shared" ca="1" si="74"/>
        <v>340.36</v>
      </c>
      <c r="Q144" s="587">
        <f t="shared" ca="1" si="74"/>
        <v>0</v>
      </c>
      <c r="R144" s="587">
        <f t="shared" ca="1" si="74"/>
        <v>0</v>
      </c>
      <c r="S144" s="587">
        <f t="shared" ca="1" si="74"/>
        <v>29.269999999999996</v>
      </c>
      <c r="T144" s="587">
        <f t="shared" ca="1" si="74"/>
        <v>39.64</v>
      </c>
      <c r="U144" s="587">
        <f t="shared" ca="1" si="74"/>
        <v>539.66</v>
      </c>
      <c r="V144" s="587">
        <f t="shared" ca="1" si="74"/>
        <v>689.31</v>
      </c>
      <c r="W144" s="587">
        <f t="shared" ca="1" si="74"/>
        <v>744.98</v>
      </c>
      <c r="X144" s="587">
        <f t="shared" ca="1" si="74"/>
        <v>851.35</v>
      </c>
      <c r="Y144" s="587">
        <f t="shared" ca="1" si="74"/>
        <v>1500.46</v>
      </c>
      <c r="Z144" s="587">
        <f t="shared" ca="1" si="74"/>
        <v>1591.6599999999999</v>
      </c>
      <c r="AA144" s="587">
        <f t="shared" ca="1" si="74"/>
        <v>1691.26</v>
      </c>
      <c r="AB144" s="587">
        <f t="shared" ca="1" si="74"/>
        <v>2031.6200000000001</v>
      </c>
      <c r="AC144" s="587">
        <f t="shared" ca="1" si="74"/>
        <v>0</v>
      </c>
      <c r="AD144" s="587">
        <f t="shared" ca="1" si="74"/>
        <v>0</v>
      </c>
      <c r="AE144" s="587">
        <f t="shared" ca="1" si="74"/>
        <v>29.269999999999996</v>
      </c>
      <c r="AF144" s="587">
        <f t="shared" ca="1" si="74"/>
        <v>39.64</v>
      </c>
      <c r="AG144" s="587">
        <f t="shared" ca="1" si="74"/>
        <v>539.66</v>
      </c>
      <c r="AH144" s="587">
        <f t="shared" ca="1" si="74"/>
        <v>689.31</v>
      </c>
      <c r="AI144" s="587">
        <f t="shared" ca="1" si="74"/>
        <v>744.98</v>
      </c>
      <c r="AJ144" s="587">
        <f t="shared" ca="1" si="74"/>
        <v>851.35</v>
      </c>
      <c r="AK144" s="587">
        <f t="shared" ca="1" si="74"/>
        <v>1500.4599999999998</v>
      </c>
      <c r="AL144" s="587">
        <f t="shared" ca="1" si="74"/>
        <v>1591.6599999999999</v>
      </c>
      <c r="AM144" s="587">
        <f t="shared" ca="1" si="74"/>
        <v>1691.26</v>
      </c>
      <c r="AN144" s="587">
        <f t="shared" ca="1" si="74"/>
        <v>2031.62</v>
      </c>
      <c r="AO144" s="587">
        <f t="shared" ca="1" si="74"/>
        <v>2031.62</v>
      </c>
      <c r="AP144" s="587">
        <f t="shared" ca="1" si="74"/>
        <v>2031.62</v>
      </c>
    </row>
    <row r="145" spans="1:42" s="594" customFormat="1" ht="11.25" outlineLevel="1" x14ac:dyDescent="0.2">
      <c r="A145" s="590"/>
      <c r="B145" s="591" t="str">
        <f>IF(D145&lt;&gt;"",
IF(ISERROR(MATCH(D145,'Ist Vorjahr Monat 01'!A:A,0))=FALSE,INDEX('Ist Vorjahr Monat 01'!B:B,MATCH(D145,'Ist Vorjahr Monat 01'!A:A,0)),
IF(ISERROR(MATCH(D145,'Ist Vorjahr Monat 02'!A:A,0))=FALSE,INDEX('Ist Vorjahr Monat 02'!B:B,MATCH(D145,'Ist Vorjahr Monat 02'!A:A,0)),
IF(ISERROR(MATCH(D145,'Ist Vorjahr Monat 03'!A:A,0))=FALSE,INDEX('Ist Vorjahr Monat 03'!B:B,MATCH(D145,'Ist Vorjahr Monat 03'!A:A,0)),
IF(ISERROR(MATCH(D145,'Ist Vorjahr Monat 04'!A:A,0))=FALSE,INDEX('Ist Vorjahr Monat 04'!B:B,MATCH(D145,'Ist Vorjahr Monat 04'!A:A,0)),
IF(ISERROR(MATCH(D145,'Ist Vorjahr Monat 05'!A:A,0))=FALSE,INDEX('Ist Vorjahr Monat 05'!B:B,MATCH(D145,'Ist Vorjahr Monat 05'!A:A,0)),
IF(ISERROR(MATCH(D145,'Ist Vorjahr Monat 06'!A:A,0))=FALSE,INDEX('Ist Vorjahr Monat 06'!B:B,MATCH(D145,'Ist Vorjahr Monat 06'!A:A,0)),
IF(ISERROR(MATCH(D145,'Ist Vorjahr Monat 07'!A:A,0))=FALSE,INDEX('Ist Vorjahr Monat 07'!B:B,MATCH(D145,'Ist Vorjahr Monat 07'!A:A,0)),
IF(ISERROR(MATCH(D145,'Ist Vorjahr Monat 08'!A:A,0))=FALSE,INDEX('Ist Vorjahr Monat 08'!B:B,MATCH(D145,'Ist Vorjahr Monat 08'!A:A,0)),
IF(ISERROR(MATCH(D145,'Ist Vorjahr Monat 09'!A:A,0))=FALSE,INDEX('Ist Vorjahr Monat 09'!B:B,MATCH(D145,'Ist Vorjahr Monat 09'!A:A,0)),
IF(ISERROR(MATCH(D145,'Ist Vorjahr Monat 10'!A:A,0))=FALSE,INDEX('Ist Vorjahr Monat 10'!B:B,MATCH(D145,'Ist Vorjahr Monat 10'!A:A,0)),
IF(ISERROR(MATCH(D145,'Ist Vorjahr Monat 11'!A:A,0))=FALSE,INDEX('Ist Vorjahr Monat 11'!B:B,MATCH(D145,'Ist Vorjahr Monat 11'!A:A,0)),
IF(ISERROR(MATCH(D145,'Ist Vorjahr Monat 12'!A:A,0))=FALSE,INDEX('Ist Vorjahr Monat 12'!B:B,MATCH(D145,'Ist Vorjahr Monat 12'!A:A,0)),
"{Konto unbekannt}"
)))))))))))),"")</f>
        <v>Freiwillige soziale Aufwendung. LSt-frei</v>
      </c>
      <c r="C145" s="591"/>
      <c r="D145" s="590">
        <v>4140</v>
      </c>
      <c r="E145" s="592">
        <f t="shared" si="65"/>
        <v>1</v>
      </c>
      <c r="F145" s="590"/>
      <c r="G145" s="593">
        <f ca="1">$E145*(-SUMIF(INDIRECT(G$3),'Struktur Vorjahr'!$D145,INDIRECT(G$4))+SUMIF(INDIRECT(G$3),'Struktur Vorjahr'!$D145,INDIRECT(G$5)))</f>
        <v>0</v>
      </c>
      <c r="H145" s="593">
        <f ca="1">$E145*(-SUMIF(INDIRECT(H$3),'Struktur Vorjahr'!$D145,INDIRECT(H$4))+SUMIF(INDIRECT(H$3),'Struktur Vorjahr'!$D145,INDIRECT(H$5)))</f>
        <v>0</v>
      </c>
      <c r="I145" s="593">
        <f ca="1">$E145*(-SUMIF(INDIRECT(I$3),'Struktur Vorjahr'!$D145,INDIRECT(I$4))+SUMIF(INDIRECT(I$3),'Struktur Vorjahr'!$D145,INDIRECT(I$5)))</f>
        <v>342.65</v>
      </c>
      <c r="J145" s="593">
        <f ca="1">$E145*(-SUMIF(INDIRECT(J$3),'Struktur Vorjahr'!$D145,INDIRECT(J$4))+SUMIF(INDIRECT(J$3),'Struktur Vorjahr'!$D145,INDIRECT(J$5)))</f>
        <v>14.88</v>
      </c>
      <c r="K145" s="593">
        <f ca="1">$E145*(-SUMIF(INDIRECT(K$3),'Struktur Vorjahr'!$D145,INDIRECT(K$4))+SUMIF(INDIRECT(K$3),'Struktur Vorjahr'!$D145,INDIRECT(K$5)))</f>
        <v>0</v>
      </c>
      <c r="L145" s="593">
        <f ca="1">$E145*(-SUMIF(INDIRECT(L$3),'Struktur Vorjahr'!$D145,INDIRECT(L$4))+SUMIF(INDIRECT(L$3),'Struktur Vorjahr'!$D145,INDIRECT(L$5)))</f>
        <v>0</v>
      </c>
      <c r="M145" s="593">
        <f ca="1">$E145*(-SUMIF(INDIRECT(M$3),'Struktur Vorjahr'!$D145,INDIRECT(M$4))+SUMIF(INDIRECT(M$3),'Struktur Vorjahr'!$D145,INDIRECT(M$5)))</f>
        <v>42.02</v>
      </c>
      <c r="N145" s="593">
        <f ca="1">$E145*(-SUMIF(INDIRECT(N$3),'Struktur Vorjahr'!$D145,INDIRECT(N$4))+SUMIF(INDIRECT(N$3),'Struktur Vorjahr'!$D145,INDIRECT(N$5)))</f>
        <v>0</v>
      </c>
      <c r="O145" s="593">
        <f ca="1">$E145*(-SUMIF(INDIRECT(O$3),'Struktur Vorjahr'!$D145,INDIRECT(O$4))+SUMIF(INDIRECT(O$3),'Struktur Vorjahr'!$D145,INDIRECT(O$5)))</f>
        <v>0</v>
      </c>
      <c r="P145" s="593">
        <f ca="1">$E145*(-SUMIF(INDIRECT(P$3),'Struktur Vorjahr'!$D145,INDIRECT(P$4))+SUMIF(INDIRECT(P$3),'Struktur Vorjahr'!$D145,INDIRECT(P$5)))</f>
        <v>40.36</v>
      </c>
      <c r="Q145" s="593">
        <f ca="1">$E145*(-SUMIF(INDIRECT(Q$3),'Struktur Vorjahr'!$D145,INDIRECT(Q$4))+SUMIF(INDIRECT(Q$3),'Struktur Vorjahr'!$D145,INDIRECT(Q$5)))</f>
        <v>0</v>
      </c>
      <c r="R145" s="593">
        <f ca="1">$E145*(-SUMIF(INDIRECT(R$3),'Struktur Vorjahr'!$D145,INDIRECT(R$4))+SUMIF(INDIRECT(R$3),'Struktur Vorjahr'!$D145,INDIRECT(R$5)))</f>
        <v>0</v>
      </c>
      <c r="S145" s="593">
        <f ca="1">$E145*(-SUMIF(INDIRECT(S$3),'Struktur Vorjahr'!$D145,INDIRECT(S$4))+SUMIF(INDIRECT(S$3),'Struktur Vorjahr'!$D145,INDIRECT(S$5)))</f>
        <v>0</v>
      </c>
      <c r="T145" s="593">
        <f ca="1">$E145*(-SUMIF(INDIRECT(T$3),'Struktur Vorjahr'!$D145,INDIRECT(T$4))+SUMIF(INDIRECT(T$3),'Struktur Vorjahr'!$D145,INDIRECT(T$5)))</f>
        <v>0</v>
      </c>
      <c r="U145" s="593">
        <f ca="1">$E145*(-SUMIF(INDIRECT(U$3),'Struktur Vorjahr'!$D145,INDIRECT(U$4))+SUMIF(INDIRECT(U$3),'Struktur Vorjahr'!$D145,INDIRECT(U$5)))</f>
        <v>342.65</v>
      </c>
      <c r="V145" s="593">
        <f ca="1">$E145*(-SUMIF(INDIRECT(V$3),'Struktur Vorjahr'!$D145,INDIRECT(V$4))+SUMIF(INDIRECT(V$3),'Struktur Vorjahr'!$D145,INDIRECT(V$5)))</f>
        <v>357.53</v>
      </c>
      <c r="W145" s="593">
        <f ca="1">$E145*(-SUMIF(INDIRECT(W$3),'Struktur Vorjahr'!$D145,INDIRECT(W$4))+SUMIF(INDIRECT(W$3),'Struktur Vorjahr'!$D145,INDIRECT(W$5)))</f>
        <v>357.53</v>
      </c>
      <c r="X145" s="593">
        <f ca="1">$E145*(-SUMIF(INDIRECT(X$3),'Struktur Vorjahr'!$D145,INDIRECT(X$4))+SUMIF(INDIRECT(X$3),'Struktur Vorjahr'!$D145,INDIRECT(X$5)))</f>
        <v>357.53</v>
      </c>
      <c r="Y145" s="593">
        <f ca="1">$E145*(-SUMIF(INDIRECT(Y$3),'Struktur Vorjahr'!$D145,INDIRECT(Y$4))+SUMIF(INDIRECT(Y$3),'Struktur Vorjahr'!$D145,INDIRECT(Y$5)))</f>
        <v>399.55</v>
      </c>
      <c r="Z145" s="593">
        <f ca="1">$E145*(-SUMIF(INDIRECT(Z$3),'Struktur Vorjahr'!$D145,INDIRECT(Z$4))+SUMIF(INDIRECT(Z$3),'Struktur Vorjahr'!$D145,INDIRECT(Z$5)))</f>
        <v>399.55</v>
      </c>
      <c r="AA145" s="593">
        <f ca="1">$E145*(-SUMIF(INDIRECT(AA$3),'Struktur Vorjahr'!$D145,INDIRECT(AA$4))+SUMIF(INDIRECT(AA$3),'Struktur Vorjahr'!$D145,INDIRECT(AA$5)))</f>
        <v>399.55</v>
      </c>
      <c r="AB145" s="593">
        <f ca="1">$E145*(-SUMIF(INDIRECT(AB$3),'Struktur Vorjahr'!$D145,INDIRECT(AB$4))+SUMIF(INDIRECT(AB$3),'Struktur Vorjahr'!$D145,INDIRECT(AB$5)))</f>
        <v>439.91</v>
      </c>
      <c r="AC145" s="593">
        <f ca="1">$E145*(-SUMIF(INDIRECT(AC$3),'Struktur Vorjahr'!$D145,INDIRECT(AC$4))+SUMIF(INDIRECT(AC$3),'Struktur Vorjahr'!$D145,INDIRECT(AC$5)))</f>
        <v>0</v>
      </c>
      <c r="AD145" s="593">
        <f ca="1">$E145*(-SUMIF(INDIRECT(AD$3),'Struktur Vorjahr'!$D145,INDIRECT(AD$4))+SUMIF(INDIRECT(AD$3),'Struktur Vorjahr'!$D145,INDIRECT(AD$5)))</f>
        <v>0</v>
      </c>
      <c r="AE145" s="593">
        <f t="shared" ref="AE145:AE152" ca="1" si="75">G145</f>
        <v>0</v>
      </c>
      <c r="AF145" s="593">
        <f t="shared" ref="AF145:AP152" ca="1" si="76">H145+AE145</f>
        <v>0</v>
      </c>
      <c r="AG145" s="593">
        <f t="shared" ca="1" si="76"/>
        <v>342.65</v>
      </c>
      <c r="AH145" s="593">
        <f t="shared" ca="1" si="76"/>
        <v>357.53</v>
      </c>
      <c r="AI145" s="593">
        <f t="shared" ca="1" si="76"/>
        <v>357.53</v>
      </c>
      <c r="AJ145" s="593">
        <f t="shared" ca="1" si="76"/>
        <v>357.53</v>
      </c>
      <c r="AK145" s="593">
        <f t="shared" ca="1" si="76"/>
        <v>399.54999999999995</v>
      </c>
      <c r="AL145" s="593">
        <f t="shared" ca="1" si="76"/>
        <v>399.54999999999995</v>
      </c>
      <c r="AM145" s="593">
        <f t="shared" ca="1" si="76"/>
        <v>399.54999999999995</v>
      </c>
      <c r="AN145" s="593">
        <f t="shared" ca="1" si="76"/>
        <v>439.90999999999997</v>
      </c>
      <c r="AO145" s="593">
        <f t="shared" ca="1" si="76"/>
        <v>439.90999999999997</v>
      </c>
      <c r="AP145" s="593">
        <f t="shared" ca="1" si="76"/>
        <v>439.90999999999997</v>
      </c>
    </row>
    <row r="146" spans="1:42" s="594" customFormat="1" ht="11.25" outlineLevel="1" x14ac:dyDescent="0.2">
      <c r="A146" s="590"/>
      <c r="B146" s="591" t="str">
        <f>IF(D146&lt;&gt;"",
IF(ISERROR(MATCH(D146,'Ist Vorjahr Monat 01'!A:A,0))=FALSE,INDEX('Ist Vorjahr Monat 01'!B:B,MATCH(D146,'Ist Vorjahr Monat 01'!A:A,0)),
IF(ISERROR(MATCH(D146,'Ist Vorjahr Monat 02'!A:A,0))=FALSE,INDEX('Ist Vorjahr Monat 02'!B:B,MATCH(D146,'Ist Vorjahr Monat 02'!A:A,0)),
IF(ISERROR(MATCH(D146,'Ist Vorjahr Monat 03'!A:A,0))=FALSE,INDEX('Ist Vorjahr Monat 03'!B:B,MATCH(D146,'Ist Vorjahr Monat 03'!A:A,0)),
IF(ISERROR(MATCH(D146,'Ist Vorjahr Monat 04'!A:A,0))=FALSE,INDEX('Ist Vorjahr Monat 04'!B:B,MATCH(D146,'Ist Vorjahr Monat 04'!A:A,0)),
IF(ISERROR(MATCH(D146,'Ist Vorjahr Monat 05'!A:A,0))=FALSE,INDEX('Ist Vorjahr Monat 05'!B:B,MATCH(D146,'Ist Vorjahr Monat 05'!A:A,0)),
IF(ISERROR(MATCH(D146,'Ist Vorjahr Monat 06'!A:A,0))=FALSE,INDEX('Ist Vorjahr Monat 06'!B:B,MATCH(D146,'Ist Vorjahr Monat 06'!A:A,0)),
IF(ISERROR(MATCH(D146,'Ist Vorjahr Monat 07'!A:A,0))=FALSE,INDEX('Ist Vorjahr Monat 07'!B:B,MATCH(D146,'Ist Vorjahr Monat 07'!A:A,0)),
IF(ISERROR(MATCH(D146,'Ist Vorjahr Monat 08'!A:A,0))=FALSE,INDEX('Ist Vorjahr Monat 08'!B:B,MATCH(D146,'Ist Vorjahr Monat 08'!A:A,0)),
IF(ISERROR(MATCH(D146,'Ist Vorjahr Monat 09'!A:A,0))=FALSE,INDEX('Ist Vorjahr Monat 09'!B:B,MATCH(D146,'Ist Vorjahr Monat 09'!A:A,0)),
IF(ISERROR(MATCH(D146,'Ist Vorjahr Monat 10'!A:A,0))=FALSE,INDEX('Ist Vorjahr Monat 10'!B:B,MATCH(D146,'Ist Vorjahr Monat 10'!A:A,0)),
IF(ISERROR(MATCH(D146,'Ist Vorjahr Monat 11'!A:A,0))=FALSE,INDEX('Ist Vorjahr Monat 11'!B:B,MATCH(D146,'Ist Vorjahr Monat 11'!A:A,0)),
IF(ISERROR(MATCH(D146,'Ist Vorjahr Monat 12'!A:A,0))=FALSE,INDEX('Ist Vorjahr Monat 12'!B:B,MATCH(D146,'Ist Vorjahr Monat 12'!A:A,0)),
"{Konto unbekannt}"
)))))))))))),"")</f>
        <v>Sachzuwendungen und Dienstleistg. an AN</v>
      </c>
      <c r="C146" s="591"/>
      <c r="D146" s="590">
        <v>4152</v>
      </c>
      <c r="E146" s="592">
        <f t="shared" si="65"/>
        <v>1</v>
      </c>
      <c r="F146" s="590"/>
      <c r="G146" s="593">
        <f ca="1">$E146*(-SUMIF(INDIRECT(G$3),'Struktur Vorjahr'!$D146,INDIRECT(G$4))+SUMIF(INDIRECT(G$3),'Struktur Vorjahr'!$D146,INDIRECT(G$5)))</f>
        <v>0</v>
      </c>
      <c r="H146" s="593">
        <f ca="1">$E146*(-SUMIF(INDIRECT(H$3),'Struktur Vorjahr'!$D146,INDIRECT(H$4))+SUMIF(INDIRECT(H$3),'Struktur Vorjahr'!$D146,INDIRECT(H$5)))</f>
        <v>0</v>
      </c>
      <c r="I146" s="593">
        <f ca="1">$E146*(-SUMIF(INDIRECT(I$3),'Struktur Vorjahr'!$D146,INDIRECT(I$4))+SUMIF(INDIRECT(I$3),'Struktur Vorjahr'!$D146,INDIRECT(I$5)))</f>
        <v>120</v>
      </c>
      <c r="J146" s="593">
        <f ca="1">$E146*(-SUMIF(INDIRECT(J$3),'Struktur Vorjahr'!$D146,INDIRECT(J$4))+SUMIF(INDIRECT(J$3),'Struktur Vorjahr'!$D146,INDIRECT(J$5)))</f>
        <v>80</v>
      </c>
      <c r="K146" s="593">
        <f ca="1">$E146*(-SUMIF(INDIRECT(K$3),'Struktur Vorjahr'!$D146,INDIRECT(K$4))+SUMIF(INDIRECT(K$3),'Struktur Vorjahr'!$D146,INDIRECT(K$5)))</f>
        <v>0</v>
      </c>
      <c r="L146" s="593">
        <f ca="1">$E146*(-SUMIF(INDIRECT(L$3),'Struktur Vorjahr'!$D146,INDIRECT(L$4))+SUMIF(INDIRECT(L$3),'Struktur Vorjahr'!$D146,INDIRECT(L$5)))</f>
        <v>0</v>
      </c>
      <c r="M146" s="593">
        <f ca="1">$E146*(-SUMIF(INDIRECT(M$3),'Struktur Vorjahr'!$D146,INDIRECT(M$4))+SUMIF(INDIRECT(M$3),'Struktur Vorjahr'!$D146,INDIRECT(M$5)))</f>
        <v>160</v>
      </c>
      <c r="N146" s="593">
        <f ca="1">$E146*(-SUMIF(INDIRECT(N$3),'Struktur Vorjahr'!$D146,INDIRECT(N$4))+SUMIF(INDIRECT(N$3),'Struktur Vorjahr'!$D146,INDIRECT(N$5)))</f>
        <v>80</v>
      </c>
      <c r="O146" s="593">
        <f ca="1">$E146*(-SUMIF(INDIRECT(O$3),'Struktur Vorjahr'!$D146,INDIRECT(O$4))+SUMIF(INDIRECT(O$3),'Struktur Vorjahr'!$D146,INDIRECT(O$5)))</f>
        <v>80</v>
      </c>
      <c r="P146" s="593">
        <f ca="1">$E146*(-SUMIF(INDIRECT(P$3),'Struktur Vorjahr'!$D146,INDIRECT(P$4))+SUMIF(INDIRECT(P$3),'Struktur Vorjahr'!$D146,INDIRECT(P$5)))</f>
        <v>80</v>
      </c>
      <c r="Q146" s="593">
        <f ca="1">$E146*(-SUMIF(INDIRECT(Q$3),'Struktur Vorjahr'!$D146,INDIRECT(Q$4))+SUMIF(INDIRECT(Q$3),'Struktur Vorjahr'!$D146,INDIRECT(Q$5)))</f>
        <v>0</v>
      </c>
      <c r="R146" s="593">
        <f ca="1">$E146*(-SUMIF(INDIRECT(R$3),'Struktur Vorjahr'!$D146,INDIRECT(R$4))+SUMIF(INDIRECT(R$3),'Struktur Vorjahr'!$D146,INDIRECT(R$5)))</f>
        <v>0</v>
      </c>
      <c r="S146" s="593">
        <f ca="1">$E146*(-SUMIF(INDIRECT(S$3),'Struktur Vorjahr'!$D146,INDIRECT(S$4))+SUMIF(INDIRECT(S$3),'Struktur Vorjahr'!$D146,INDIRECT(S$5)))</f>
        <v>0</v>
      </c>
      <c r="T146" s="593">
        <f ca="1">$E146*(-SUMIF(INDIRECT(T$3),'Struktur Vorjahr'!$D146,INDIRECT(T$4))+SUMIF(INDIRECT(T$3),'Struktur Vorjahr'!$D146,INDIRECT(T$5)))</f>
        <v>0</v>
      </c>
      <c r="U146" s="593">
        <f ca="1">$E146*(-SUMIF(INDIRECT(U$3),'Struktur Vorjahr'!$D146,INDIRECT(U$4))+SUMIF(INDIRECT(U$3),'Struktur Vorjahr'!$D146,INDIRECT(U$5)))</f>
        <v>120</v>
      </c>
      <c r="V146" s="593">
        <f ca="1">$E146*(-SUMIF(INDIRECT(V$3),'Struktur Vorjahr'!$D146,INDIRECT(V$4))+SUMIF(INDIRECT(V$3),'Struktur Vorjahr'!$D146,INDIRECT(V$5)))</f>
        <v>200</v>
      </c>
      <c r="W146" s="593">
        <f ca="1">$E146*(-SUMIF(INDIRECT(W$3),'Struktur Vorjahr'!$D146,INDIRECT(W$4))+SUMIF(INDIRECT(W$3),'Struktur Vorjahr'!$D146,INDIRECT(W$5)))</f>
        <v>200</v>
      </c>
      <c r="X146" s="593">
        <f ca="1">$E146*(-SUMIF(INDIRECT(X$3),'Struktur Vorjahr'!$D146,INDIRECT(X$4))+SUMIF(INDIRECT(X$3),'Struktur Vorjahr'!$D146,INDIRECT(X$5)))</f>
        <v>200</v>
      </c>
      <c r="Y146" s="593">
        <f ca="1">$E146*(-SUMIF(INDIRECT(Y$3),'Struktur Vorjahr'!$D146,INDIRECT(Y$4))+SUMIF(INDIRECT(Y$3),'Struktur Vorjahr'!$D146,INDIRECT(Y$5)))</f>
        <v>360</v>
      </c>
      <c r="Z146" s="593">
        <f ca="1">$E146*(-SUMIF(INDIRECT(Z$3),'Struktur Vorjahr'!$D146,INDIRECT(Z$4))+SUMIF(INDIRECT(Z$3),'Struktur Vorjahr'!$D146,INDIRECT(Z$5)))</f>
        <v>440</v>
      </c>
      <c r="AA146" s="593">
        <f ca="1">$E146*(-SUMIF(INDIRECT(AA$3),'Struktur Vorjahr'!$D146,INDIRECT(AA$4))+SUMIF(INDIRECT(AA$3),'Struktur Vorjahr'!$D146,INDIRECT(AA$5)))</f>
        <v>520</v>
      </c>
      <c r="AB146" s="593">
        <f ca="1">$E146*(-SUMIF(INDIRECT(AB$3),'Struktur Vorjahr'!$D146,INDIRECT(AB$4))+SUMIF(INDIRECT(AB$3),'Struktur Vorjahr'!$D146,INDIRECT(AB$5)))</f>
        <v>600</v>
      </c>
      <c r="AC146" s="593">
        <f ca="1">$E146*(-SUMIF(INDIRECT(AC$3),'Struktur Vorjahr'!$D146,INDIRECT(AC$4))+SUMIF(INDIRECT(AC$3),'Struktur Vorjahr'!$D146,INDIRECT(AC$5)))</f>
        <v>0</v>
      </c>
      <c r="AD146" s="593">
        <f ca="1">$E146*(-SUMIF(INDIRECT(AD$3),'Struktur Vorjahr'!$D146,INDIRECT(AD$4))+SUMIF(INDIRECT(AD$3),'Struktur Vorjahr'!$D146,INDIRECT(AD$5)))</f>
        <v>0</v>
      </c>
      <c r="AE146" s="593">
        <f t="shared" ca="1" si="75"/>
        <v>0</v>
      </c>
      <c r="AF146" s="593">
        <f t="shared" ca="1" si="76"/>
        <v>0</v>
      </c>
      <c r="AG146" s="593">
        <f t="shared" ca="1" si="76"/>
        <v>120</v>
      </c>
      <c r="AH146" s="593">
        <f t="shared" ca="1" si="76"/>
        <v>200</v>
      </c>
      <c r="AI146" s="593">
        <f t="shared" ca="1" si="76"/>
        <v>200</v>
      </c>
      <c r="AJ146" s="593">
        <f t="shared" ca="1" si="76"/>
        <v>200</v>
      </c>
      <c r="AK146" s="593">
        <f t="shared" ca="1" si="76"/>
        <v>360</v>
      </c>
      <c r="AL146" s="593">
        <f t="shared" ca="1" si="76"/>
        <v>440</v>
      </c>
      <c r="AM146" s="593">
        <f t="shared" ca="1" si="76"/>
        <v>520</v>
      </c>
      <c r="AN146" s="593">
        <f t="shared" ca="1" si="76"/>
        <v>600</v>
      </c>
      <c r="AO146" s="593">
        <f t="shared" ca="1" si="76"/>
        <v>600</v>
      </c>
      <c r="AP146" s="593">
        <f t="shared" ca="1" si="76"/>
        <v>600</v>
      </c>
    </row>
    <row r="147" spans="1:42" s="594" customFormat="1" ht="11.25" outlineLevel="1" x14ac:dyDescent="0.2">
      <c r="A147" s="590"/>
      <c r="B147" s="591" t="str">
        <f>IF(D147&lt;&gt;"",
IF(ISERROR(MATCH(D147,'Ist Vorjahr Monat 01'!A:A,0))=FALSE,INDEX('Ist Vorjahr Monat 01'!B:B,MATCH(D147,'Ist Vorjahr Monat 01'!A:A,0)),
IF(ISERROR(MATCH(D147,'Ist Vorjahr Monat 02'!A:A,0))=FALSE,INDEX('Ist Vorjahr Monat 02'!B:B,MATCH(D147,'Ist Vorjahr Monat 02'!A:A,0)),
IF(ISERROR(MATCH(D147,'Ist Vorjahr Monat 03'!A:A,0))=FALSE,INDEX('Ist Vorjahr Monat 03'!B:B,MATCH(D147,'Ist Vorjahr Monat 03'!A:A,0)),
IF(ISERROR(MATCH(D147,'Ist Vorjahr Monat 04'!A:A,0))=FALSE,INDEX('Ist Vorjahr Monat 04'!B:B,MATCH(D147,'Ist Vorjahr Monat 04'!A:A,0)),
IF(ISERROR(MATCH(D147,'Ist Vorjahr Monat 05'!A:A,0))=FALSE,INDEX('Ist Vorjahr Monat 05'!B:B,MATCH(D147,'Ist Vorjahr Monat 05'!A:A,0)),
IF(ISERROR(MATCH(D147,'Ist Vorjahr Monat 06'!A:A,0))=FALSE,INDEX('Ist Vorjahr Monat 06'!B:B,MATCH(D147,'Ist Vorjahr Monat 06'!A:A,0)),
IF(ISERROR(MATCH(D147,'Ist Vorjahr Monat 07'!A:A,0))=FALSE,INDEX('Ist Vorjahr Monat 07'!B:B,MATCH(D147,'Ist Vorjahr Monat 07'!A:A,0)),
IF(ISERROR(MATCH(D147,'Ist Vorjahr Monat 08'!A:A,0))=FALSE,INDEX('Ist Vorjahr Monat 08'!B:B,MATCH(D147,'Ist Vorjahr Monat 08'!A:A,0)),
IF(ISERROR(MATCH(D147,'Ist Vorjahr Monat 09'!A:A,0))=FALSE,INDEX('Ist Vorjahr Monat 09'!B:B,MATCH(D147,'Ist Vorjahr Monat 09'!A:A,0)),
IF(ISERROR(MATCH(D147,'Ist Vorjahr Monat 10'!A:A,0))=FALSE,INDEX('Ist Vorjahr Monat 10'!B:B,MATCH(D147,'Ist Vorjahr Monat 10'!A:A,0)),
IF(ISERROR(MATCH(D147,'Ist Vorjahr Monat 11'!A:A,0))=FALSE,INDEX('Ist Vorjahr Monat 11'!B:B,MATCH(D147,'Ist Vorjahr Monat 11'!A:A,0)),
IF(ISERROR(MATCH(D147,'Ist Vorjahr Monat 12'!A:A,0))=FALSE,INDEX('Ist Vorjahr Monat 12'!B:B,MATCH(D147,'Ist Vorjahr Monat 12'!A:A,0)),
"{Konto unbekannt}"
)))))))))))),"")</f>
        <v>Fahrtkostenerstatt. Whg./Arbeitsstätte</v>
      </c>
      <c r="C147" s="591"/>
      <c r="D147" s="590">
        <v>4175</v>
      </c>
      <c r="E147" s="592">
        <f t="shared" si="65"/>
        <v>1</v>
      </c>
      <c r="F147" s="590"/>
      <c r="G147" s="593">
        <f ca="1">$E147*(-SUMIF(INDIRECT(G$3),'Struktur Vorjahr'!$D147,INDIRECT(G$4))+SUMIF(INDIRECT(G$3),'Struktur Vorjahr'!$D147,INDIRECT(G$5)))</f>
        <v>18.899999999999999</v>
      </c>
      <c r="H147" s="593">
        <f ca="1">$E147*(-SUMIF(INDIRECT(H$3),'Struktur Vorjahr'!$D147,INDIRECT(H$4))+SUMIF(INDIRECT(H$3),'Struktur Vorjahr'!$D147,INDIRECT(H$5)))</f>
        <v>0</v>
      </c>
      <c r="I147" s="593">
        <f ca="1">$E147*(-SUMIF(INDIRECT(I$3),'Struktur Vorjahr'!$D147,INDIRECT(I$4))+SUMIF(INDIRECT(I$3),'Struktur Vorjahr'!$D147,INDIRECT(I$5)))</f>
        <v>27</v>
      </c>
      <c r="J147" s="593">
        <f ca="1">$E147*(-SUMIF(INDIRECT(J$3),'Struktur Vorjahr'!$D147,INDIRECT(J$4))+SUMIF(INDIRECT(J$3),'Struktur Vorjahr'!$D147,INDIRECT(J$5)))</f>
        <v>44.4</v>
      </c>
      <c r="K147" s="593">
        <f ca="1">$E147*(-SUMIF(INDIRECT(K$3),'Struktur Vorjahr'!$D147,INDIRECT(K$4))+SUMIF(INDIRECT(K$3),'Struktur Vorjahr'!$D147,INDIRECT(K$5)))</f>
        <v>45.3</v>
      </c>
      <c r="L147" s="593">
        <f ca="1">$E147*(-SUMIF(INDIRECT(L$3),'Struktur Vorjahr'!$D147,INDIRECT(L$4))+SUMIF(INDIRECT(L$3),'Struktur Vorjahr'!$D147,INDIRECT(L$5)))</f>
        <v>96</v>
      </c>
      <c r="M147" s="593">
        <f ca="1">$E147*(-SUMIF(INDIRECT(M$3),'Struktur Vorjahr'!$D147,INDIRECT(M$4))+SUMIF(INDIRECT(M$3),'Struktur Vorjahr'!$D147,INDIRECT(M$5)))</f>
        <v>41.7</v>
      </c>
      <c r="N147" s="593">
        <f ca="1">$E147*(-SUMIF(INDIRECT(N$3),'Struktur Vorjahr'!$D147,INDIRECT(N$4))+SUMIF(INDIRECT(N$3),'Struktur Vorjahr'!$D147,INDIRECT(N$5)))</f>
        <v>0</v>
      </c>
      <c r="O147" s="593">
        <f ca="1">$E147*(-SUMIF(INDIRECT(O$3),'Struktur Vorjahr'!$D147,INDIRECT(O$4))+SUMIF(INDIRECT(O$3),'Struktur Vorjahr'!$D147,INDIRECT(O$5)))</f>
        <v>8.4</v>
      </c>
      <c r="P147" s="593">
        <f ca="1">$E147*(-SUMIF(INDIRECT(P$3),'Struktur Vorjahr'!$D147,INDIRECT(P$4))+SUMIF(INDIRECT(P$3),'Struktur Vorjahr'!$D147,INDIRECT(P$5)))</f>
        <v>208.8</v>
      </c>
      <c r="Q147" s="593">
        <f ca="1">$E147*(-SUMIF(INDIRECT(Q$3),'Struktur Vorjahr'!$D147,INDIRECT(Q$4))+SUMIF(INDIRECT(Q$3),'Struktur Vorjahr'!$D147,INDIRECT(Q$5)))</f>
        <v>0</v>
      </c>
      <c r="R147" s="593">
        <f ca="1">$E147*(-SUMIF(INDIRECT(R$3),'Struktur Vorjahr'!$D147,INDIRECT(R$4))+SUMIF(INDIRECT(R$3),'Struktur Vorjahr'!$D147,INDIRECT(R$5)))</f>
        <v>0</v>
      </c>
      <c r="S147" s="593">
        <f ca="1">$E147*(-SUMIF(INDIRECT(S$3),'Struktur Vorjahr'!$D147,INDIRECT(S$4))+SUMIF(INDIRECT(S$3),'Struktur Vorjahr'!$D147,INDIRECT(S$5)))</f>
        <v>18.899999999999999</v>
      </c>
      <c r="T147" s="593">
        <f ca="1">$E147*(-SUMIF(INDIRECT(T$3),'Struktur Vorjahr'!$D147,INDIRECT(T$4))+SUMIF(INDIRECT(T$3),'Struktur Vorjahr'!$D147,INDIRECT(T$5)))</f>
        <v>18.899999999999999</v>
      </c>
      <c r="U147" s="593">
        <f ca="1">$E147*(-SUMIF(INDIRECT(U$3),'Struktur Vorjahr'!$D147,INDIRECT(U$4))+SUMIF(INDIRECT(U$3),'Struktur Vorjahr'!$D147,INDIRECT(U$5)))</f>
        <v>45.9</v>
      </c>
      <c r="V147" s="593">
        <f ca="1">$E147*(-SUMIF(INDIRECT(V$3),'Struktur Vorjahr'!$D147,INDIRECT(V$4))+SUMIF(INDIRECT(V$3),'Struktur Vorjahr'!$D147,INDIRECT(V$5)))</f>
        <v>90.3</v>
      </c>
      <c r="W147" s="593">
        <f ca="1">$E147*(-SUMIF(INDIRECT(W$3),'Struktur Vorjahr'!$D147,INDIRECT(W$4))+SUMIF(INDIRECT(W$3),'Struktur Vorjahr'!$D147,INDIRECT(W$5)))</f>
        <v>135.6</v>
      </c>
      <c r="X147" s="593">
        <f ca="1">$E147*(-SUMIF(INDIRECT(X$3),'Struktur Vorjahr'!$D147,INDIRECT(X$4))+SUMIF(INDIRECT(X$3),'Struktur Vorjahr'!$D147,INDIRECT(X$5)))</f>
        <v>231.6</v>
      </c>
      <c r="Y147" s="593">
        <f ca="1">$E147*(-SUMIF(INDIRECT(Y$3),'Struktur Vorjahr'!$D147,INDIRECT(Y$4))+SUMIF(INDIRECT(Y$3),'Struktur Vorjahr'!$D147,INDIRECT(Y$5)))</f>
        <v>273.3</v>
      </c>
      <c r="Z147" s="593">
        <f ca="1">$E147*(-SUMIF(INDIRECT(Z$3),'Struktur Vorjahr'!$D147,INDIRECT(Z$4))+SUMIF(INDIRECT(Z$3),'Struktur Vorjahr'!$D147,INDIRECT(Z$5)))</f>
        <v>273.3</v>
      </c>
      <c r="AA147" s="593">
        <f ca="1">$E147*(-SUMIF(INDIRECT(AA$3),'Struktur Vorjahr'!$D147,INDIRECT(AA$4))+SUMIF(INDIRECT(AA$3),'Struktur Vorjahr'!$D147,INDIRECT(AA$5)))</f>
        <v>281.7</v>
      </c>
      <c r="AB147" s="593">
        <f ca="1">$E147*(-SUMIF(INDIRECT(AB$3),'Struktur Vorjahr'!$D147,INDIRECT(AB$4))+SUMIF(INDIRECT(AB$3),'Struktur Vorjahr'!$D147,INDIRECT(AB$5)))</f>
        <v>490.5</v>
      </c>
      <c r="AC147" s="593">
        <f ca="1">$E147*(-SUMIF(INDIRECT(AC$3),'Struktur Vorjahr'!$D147,INDIRECT(AC$4))+SUMIF(INDIRECT(AC$3),'Struktur Vorjahr'!$D147,INDIRECT(AC$5)))</f>
        <v>0</v>
      </c>
      <c r="AD147" s="593">
        <f ca="1">$E147*(-SUMIF(INDIRECT(AD$3),'Struktur Vorjahr'!$D147,INDIRECT(AD$4))+SUMIF(INDIRECT(AD$3),'Struktur Vorjahr'!$D147,INDIRECT(AD$5)))</f>
        <v>0</v>
      </c>
      <c r="AE147" s="593">
        <f t="shared" ca="1" si="75"/>
        <v>18.899999999999999</v>
      </c>
      <c r="AF147" s="593">
        <f t="shared" ca="1" si="76"/>
        <v>18.899999999999999</v>
      </c>
      <c r="AG147" s="593">
        <f t="shared" ca="1" si="76"/>
        <v>45.9</v>
      </c>
      <c r="AH147" s="593">
        <f t="shared" ca="1" si="76"/>
        <v>90.3</v>
      </c>
      <c r="AI147" s="593">
        <f t="shared" ca="1" si="76"/>
        <v>135.6</v>
      </c>
      <c r="AJ147" s="593">
        <f t="shared" ca="1" si="76"/>
        <v>231.6</v>
      </c>
      <c r="AK147" s="593">
        <f t="shared" ca="1" si="76"/>
        <v>273.3</v>
      </c>
      <c r="AL147" s="593">
        <f t="shared" ca="1" si="76"/>
        <v>273.3</v>
      </c>
      <c r="AM147" s="593">
        <f t="shared" ca="1" si="76"/>
        <v>281.7</v>
      </c>
      <c r="AN147" s="593">
        <f t="shared" ca="1" si="76"/>
        <v>490.5</v>
      </c>
      <c r="AO147" s="593">
        <f t="shared" ca="1" si="76"/>
        <v>490.5</v>
      </c>
      <c r="AP147" s="593">
        <f t="shared" ca="1" si="76"/>
        <v>490.5</v>
      </c>
    </row>
    <row r="148" spans="1:42" s="594" customFormat="1" ht="11.25" outlineLevel="1" x14ac:dyDescent="0.2">
      <c r="A148" s="590"/>
      <c r="B148" s="591" t="str">
        <f>IF(D148&lt;&gt;"",
IF(ISERROR(MATCH(D148,'Ist Vorjahr Monat 01'!A:A,0))=FALSE,INDEX('Ist Vorjahr Monat 01'!B:B,MATCH(D148,'Ist Vorjahr Monat 01'!A:A,0)),
IF(ISERROR(MATCH(D148,'Ist Vorjahr Monat 02'!A:A,0))=FALSE,INDEX('Ist Vorjahr Monat 02'!B:B,MATCH(D148,'Ist Vorjahr Monat 02'!A:A,0)),
IF(ISERROR(MATCH(D148,'Ist Vorjahr Monat 03'!A:A,0))=FALSE,INDEX('Ist Vorjahr Monat 03'!B:B,MATCH(D148,'Ist Vorjahr Monat 03'!A:A,0)),
IF(ISERROR(MATCH(D148,'Ist Vorjahr Monat 04'!A:A,0))=FALSE,INDEX('Ist Vorjahr Monat 04'!B:B,MATCH(D148,'Ist Vorjahr Monat 04'!A:A,0)),
IF(ISERROR(MATCH(D148,'Ist Vorjahr Monat 05'!A:A,0))=FALSE,INDEX('Ist Vorjahr Monat 05'!B:B,MATCH(D148,'Ist Vorjahr Monat 05'!A:A,0)),
IF(ISERROR(MATCH(D148,'Ist Vorjahr Monat 06'!A:A,0))=FALSE,INDEX('Ist Vorjahr Monat 06'!B:B,MATCH(D148,'Ist Vorjahr Monat 06'!A:A,0)),
IF(ISERROR(MATCH(D148,'Ist Vorjahr Monat 07'!A:A,0))=FALSE,INDEX('Ist Vorjahr Monat 07'!B:B,MATCH(D148,'Ist Vorjahr Monat 07'!A:A,0)),
IF(ISERROR(MATCH(D148,'Ist Vorjahr Monat 08'!A:A,0))=FALSE,INDEX('Ist Vorjahr Monat 08'!B:B,MATCH(D148,'Ist Vorjahr Monat 08'!A:A,0)),
IF(ISERROR(MATCH(D148,'Ist Vorjahr Monat 09'!A:A,0))=FALSE,INDEX('Ist Vorjahr Monat 09'!B:B,MATCH(D148,'Ist Vorjahr Monat 09'!A:A,0)),
IF(ISERROR(MATCH(D148,'Ist Vorjahr Monat 10'!A:A,0))=FALSE,INDEX('Ist Vorjahr Monat 10'!B:B,MATCH(D148,'Ist Vorjahr Monat 10'!A:A,0)),
IF(ISERROR(MATCH(D148,'Ist Vorjahr Monat 11'!A:A,0))=FALSE,INDEX('Ist Vorjahr Monat 11'!B:B,MATCH(D148,'Ist Vorjahr Monat 11'!A:A,0)),
IF(ISERROR(MATCH(D148,'Ist Vorjahr Monat 12'!A:A,0))=FALSE,INDEX('Ist Vorjahr Monat 12'!B:B,MATCH(D148,'Ist Vorjahr Monat 12'!A:A,0)),
"{Konto unbekannt}"
)))))))))))),"")</f>
        <v>Pauschale Steuer für Aushilfen</v>
      </c>
      <c r="C148" s="591"/>
      <c r="D148" s="590">
        <v>4199</v>
      </c>
      <c r="E148" s="592">
        <f t="shared" si="65"/>
        <v>1</v>
      </c>
      <c r="F148" s="590"/>
      <c r="G148" s="593">
        <f ca="1">$E148*(-SUMIF(INDIRECT(G$3),'Struktur Vorjahr'!$D148,INDIRECT(G$4))+SUMIF(INDIRECT(G$3),'Struktur Vorjahr'!$D148,INDIRECT(G$5)))</f>
        <v>10.37</v>
      </c>
      <c r="H148" s="593">
        <f ca="1">$E148*(-SUMIF(INDIRECT(H$3),'Struktur Vorjahr'!$D148,INDIRECT(H$4))+SUMIF(INDIRECT(H$3),'Struktur Vorjahr'!$D148,INDIRECT(H$5)))</f>
        <v>10.37</v>
      </c>
      <c r="I148" s="593">
        <f ca="1">$E148*(-SUMIF(INDIRECT(I$3),'Struktur Vorjahr'!$D148,INDIRECT(I$4))+SUMIF(INDIRECT(I$3),'Struktur Vorjahr'!$D148,INDIRECT(I$5)))</f>
        <v>10.37</v>
      </c>
      <c r="J148" s="593">
        <f ca="1">$E148*(-SUMIF(INDIRECT(J$3),'Struktur Vorjahr'!$D148,INDIRECT(J$4))+SUMIF(INDIRECT(J$3),'Struktur Vorjahr'!$D148,INDIRECT(J$5)))</f>
        <v>10.37</v>
      </c>
      <c r="K148" s="593">
        <f ca="1">$E148*(-SUMIF(INDIRECT(K$3),'Struktur Vorjahr'!$D148,INDIRECT(K$4))+SUMIF(INDIRECT(K$3),'Struktur Vorjahr'!$D148,INDIRECT(K$5)))</f>
        <v>10.37</v>
      </c>
      <c r="L148" s="593">
        <f ca="1">$E148*(-SUMIF(INDIRECT(L$3),'Struktur Vorjahr'!$D148,INDIRECT(L$4))+SUMIF(INDIRECT(L$3),'Struktur Vorjahr'!$D148,INDIRECT(L$5)))</f>
        <v>10.37</v>
      </c>
      <c r="M148" s="593">
        <f ca="1">$E148*(-SUMIF(INDIRECT(M$3),'Struktur Vorjahr'!$D148,INDIRECT(M$4))+SUMIF(INDIRECT(M$3),'Struktur Vorjahr'!$D148,INDIRECT(M$5)))</f>
        <v>405.39</v>
      </c>
      <c r="N148" s="593">
        <f ca="1">$E148*(-SUMIF(INDIRECT(N$3),'Struktur Vorjahr'!$D148,INDIRECT(N$4))+SUMIF(INDIRECT(N$3),'Struktur Vorjahr'!$D148,INDIRECT(N$5)))</f>
        <v>11.2</v>
      </c>
      <c r="O148" s="593">
        <f ca="1">$E148*(-SUMIF(INDIRECT(O$3),'Struktur Vorjahr'!$D148,INDIRECT(O$4))+SUMIF(INDIRECT(O$3),'Struktur Vorjahr'!$D148,INDIRECT(O$5)))</f>
        <v>11.2</v>
      </c>
      <c r="P148" s="593">
        <f ca="1">$E148*(-SUMIF(INDIRECT(P$3),'Struktur Vorjahr'!$D148,INDIRECT(P$4))+SUMIF(INDIRECT(P$3),'Struktur Vorjahr'!$D148,INDIRECT(P$5)))</f>
        <v>11.2</v>
      </c>
      <c r="Q148" s="593">
        <f ca="1">$E148*(-SUMIF(INDIRECT(Q$3),'Struktur Vorjahr'!$D148,INDIRECT(Q$4))+SUMIF(INDIRECT(Q$3),'Struktur Vorjahr'!$D148,INDIRECT(Q$5)))</f>
        <v>0</v>
      </c>
      <c r="R148" s="593">
        <f ca="1">$E148*(-SUMIF(INDIRECT(R$3),'Struktur Vorjahr'!$D148,INDIRECT(R$4))+SUMIF(INDIRECT(R$3),'Struktur Vorjahr'!$D148,INDIRECT(R$5)))</f>
        <v>0</v>
      </c>
      <c r="S148" s="593">
        <f ca="1">$E148*(-SUMIF(INDIRECT(S$3),'Struktur Vorjahr'!$D148,INDIRECT(S$4))+SUMIF(INDIRECT(S$3),'Struktur Vorjahr'!$D148,INDIRECT(S$5)))</f>
        <v>10.37</v>
      </c>
      <c r="T148" s="593">
        <f ca="1">$E148*(-SUMIF(INDIRECT(T$3),'Struktur Vorjahr'!$D148,INDIRECT(T$4))+SUMIF(INDIRECT(T$3),'Struktur Vorjahr'!$D148,INDIRECT(T$5)))</f>
        <v>20.74</v>
      </c>
      <c r="U148" s="593">
        <f ca="1">$E148*(-SUMIF(INDIRECT(U$3),'Struktur Vorjahr'!$D148,INDIRECT(U$4))+SUMIF(INDIRECT(U$3),'Struktur Vorjahr'!$D148,INDIRECT(U$5)))</f>
        <v>31.11</v>
      </c>
      <c r="V148" s="593">
        <f ca="1">$E148*(-SUMIF(INDIRECT(V$3),'Struktur Vorjahr'!$D148,INDIRECT(V$4))+SUMIF(INDIRECT(V$3),'Struktur Vorjahr'!$D148,INDIRECT(V$5)))</f>
        <v>41.48</v>
      </c>
      <c r="W148" s="593">
        <f ca="1">$E148*(-SUMIF(INDIRECT(W$3),'Struktur Vorjahr'!$D148,INDIRECT(W$4))+SUMIF(INDIRECT(W$3),'Struktur Vorjahr'!$D148,INDIRECT(W$5)))</f>
        <v>51.85</v>
      </c>
      <c r="X148" s="593">
        <f ca="1">$E148*(-SUMIF(INDIRECT(X$3),'Struktur Vorjahr'!$D148,INDIRECT(X$4))+SUMIF(INDIRECT(X$3),'Struktur Vorjahr'!$D148,INDIRECT(X$5)))</f>
        <v>62.22</v>
      </c>
      <c r="Y148" s="593">
        <f ca="1">$E148*(-SUMIF(INDIRECT(Y$3),'Struktur Vorjahr'!$D148,INDIRECT(Y$4))+SUMIF(INDIRECT(Y$3),'Struktur Vorjahr'!$D148,INDIRECT(Y$5)))</f>
        <v>467.61</v>
      </c>
      <c r="Z148" s="593">
        <f ca="1">$E148*(-SUMIF(INDIRECT(Z$3),'Struktur Vorjahr'!$D148,INDIRECT(Z$4))+SUMIF(INDIRECT(Z$3),'Struktur Vorjahr'!$D148,INDIRECT(Z$5)))</f>
        <v>478.81</v>
      </c>
      <c r="AA148" s="593">
        <f ca="1">$E148*(-SUMIF(INDIRECT(AA$3),'Struktur Vorjahr'!$D148,INDIRECT(AA$4))+SUMIF(INDIRECT(AA$3),'Struktur Vorjahr'!$D148,INDIRECT(AA$5)))</f>
        <v>490.01</v>
      </c>
      <c r="AB148" s="593">
        <f ca="1">$E148*(-SUMIF(INDIRECT(AB$3),'Struktur Vorjahr'!$D148,INDIRECT(AB$4))+SUMIF(INDIRECT(AB$3),'Struktur Vorjahr'!$D148,INDIRECT(AB$5)))</f>
        <v>501.21</v>
      </c>
      <c r="AC148" s="593">
        <f ca="1">$E148*(-SUMIF(INDIRECT(AC$3),'Struktur Vorjahr'!$D148,INDIRECT(AC$4))+SUMIF(INDIRECT(AC$3),'Struktur Vorjahr'!$D148,INDIRECT(AC$5)))</f>
        <v>0</v>
      </c>
      <c r="AD148" s="593">
        <f ca="1">$E148*(-SUMIF(INDIRECT(AD$3),'Struktur Vorjahr'!$D148,INDIRECT(AD$4))+SUMIF(INDIRECT(AD$3),'Struktur Vorjahr'!$D148,INDIRECT(AD$5)))</f>
        <v>0</v>
      </c>
      <c r="AE148" s="593">
        <f t="shared" ca="1" si="75"/>
        <v>10.37</v>
      </c>
      <c r="AF148" s="593">
        <f t="shared" ca="1" si="76"/>
        <v>20.74</v>
      </c>
      <c r="AG148" s="593">
        <f t="shared" ca="1" si="76"/>
        <v>31.11</v>
      </c>
      <c r="AH148" s="593">
        <f t="shared" ca="1" si="76"/>
        <v>41.48</v>
      </c>
      <c r="AI148" s="593">
        <f t="shared" ca="1" si="76"/>
        <v>51.849999999999994</v>
      </c>
      <c r="AJ148" s="593">
        <f t="shared" ca="1" si="76"/>
        <v>62.219999999999992</v>
      </c>
      <c r="AK148" s="593">
        <f t="shared" ca="1" si="76"/>
        <v>467.60999999999996</v>
      </c>
      <c r="AL148" s="593">
        <f t="shared" ca="1" si="76"/>
        <v>478.80999999999995</v>
      </c>
      <c r="AM148" s="593">
        <f t="shared" ca="1" si="76"/>
        <v>490.00999999999993</v>
      </c>
      <c r="AN148" s="593">
        <f t="shared" ca="1" si="76"/>
        <v>501.20999999999992</v>
      </c>
      <c r="AO148" s="593">
        <f t="shared" ca="1" si="76"/>
        <v>501.20999999999992</v>
      </c>
      <c r="AP148" s="593">
        <f t="shared" ca="1" si="76"/>
        <v>501.20999999999992</v>
      </c>
    </row>
    <row r="149" spans="1:42" s="594" customFormat="1" ht="11.25" outlineLevel="1" x14ac:dyDescent="0.2">
      <c r="A149" s="590"/>
      <c r="B149" s="591" t="str">
        <f>IF(D149&lt;&gt;"",
IF(ISERROR(MATCH(D149,'Ist Vorjahr Monat 01'!A:A,0))=FALSE,INDEX('Ist Vorjahr Monat 01'!B:B,MATCH(D149,'Ist Vorjahr Monat 01'!A:A,0)),
IF(ISERROR(MATCH(D149,'Ist Vorjahr Monat 02'!A:A,0))=FALSE,INDEX('Ist Vorjahr Monat 02'!B:B,MATCH(D149,'Ist Vorjahr Monat 02'!A:A,0)),
IF(ISERROR(MATCH(D149,'Ist Vorjahr Monat 03'!A:A,0))=FALSE,INDEX('Ist Vorjahr Monat 03'!B:B,MATCH(D149,'Ist Vorjahr Monat 03'!A:A,0)),
IF(ISERROR(MATCH(D149,'Ist Vorjahr Monat 04'!A:A,0))=FALSE,INDEX('Ist Vorjahr Monat 04'!B:B,MATCH(D149,'Ist Vorjahr Monat 04'!A:A,0)),
IF(ISERROR(MATCH(D149,'Ist Vorjahr Monat 05'!A:A,0))=FALSE,INDEX('Ist Vorjahr Monat 05'!B:B,MATCH(D149,'Ist Vorjahr Monat 05'!A:A,0)),
IF(ISERROR(MATCH(D149,'Ist Vorjahr Monat 06'!A:A,0))=FALSE,INDEX('Ist Vorjahr Monat 06'!B:B,MATCH(D149,'Ist Vorjahr Monat 06'!A:A,0)),
IF(ISERROR(MATCH(D149,'Ist Vorjahr Monat 07'!A:A,0))=FALSE,INDEX('Ist Vorjahr Monat 07'!B:B,MATCH(D149,'Ist Vorjahr Monat 07'!A:A,0)),
IF(ISERROR(MATCH(D149,'Ist Vorjahr Monat 08'!A:A,0))=FALSE,INDEX('Ist Vorjahr Monat 08'!B:B,MATCH(D149,'Ist Vorjahr Monat 08'!A:A,0)),
IF(ISERROR(MATCH(D149,'Ist Vorjahr Monat 09'!A:A,0))=FALSE,INDEX('Ist Vorjahr Monat 09'!B:B,MATCH(D149,'Ist Vorjahr Monat 09'!A:A,0)),
IF(ISERROR(MATCH(D149,'Ist Vorjahr Monat 10'!A:A,0))=FALSE,INDEX('Ist Vorjahr Monat 10'!B:B,MATCH(D149,'Ist Vorjahr Monat 10'!A:A,0)),
IF(ISERROR(MATCH(D149,'Ist Vorjahr Monat 11'!A:A,0))=FALSE,INDEX('Ist Vorjahr Monat 11'!B:B,MATCH(D149,'Ist Vorjahr Monat 11'!A:A,0)),
IF(ISERROR(MATCH(D149,'Ist Vorjahr Monat 12'!A:A,0))=FALSE,INDEX('Ist Vorjahr Monat 12'!B:B,MATCH(D149,'Ist Vorjahr Monat 12'!A:A,0)),
"{Konto unbekannt}"
)))))))))))),"")</f>
        <v/>
      </c>
      <c r="C149" s="591"/>
      <c r="D149" s="590"/>
      <c r="E149" s="592">
        <f t="shared" si="65"/>
        <v>1</v>
      </c>
      <c r="F149" s="590"/>
      <c r="G149" s="593">
        <f ca="1">$E149*(-SUMIF(INDIRECT(G$3),'Struktur Vorjahr'!$D149,INDIRECT(G$4))+SUMIF(INDIRECT(G$3),'Struktur Vorjahr'!$D149,INDIRECT(G$5)))</f>
        <v>0</v>
      </c>
      <c r="H149" s="593">
        <f ca="1">$E149*(-SUMIF(INDIRECT(H$3),'Struktur Vorjahr'!$D149,INDIRECT(H$4))+SUMIF(INDIRECT(H$3),'Struktur Vorjahr'!$D149,INDIRECT(H$5)))</f>
        <v>0</v>
      </c>
      <c r="I149" s="593">
        <f ca="1">$E149*(-SUMIF(INDIRECT(I$3),'Struktur Vorjahr'!$D149,INDIRECT(I$4))+SUMIF(INDIRECT(I$3),'Struktur Vorjahr'!$D149,INDIRECT(I$5)))</f>
        <v>0</v>
      </c>
      <c r="J149" s="593">
        <f ca="1">$E149*(-SUMIF(INDIRECT(J$3),'Struktur Vorjahr'!$D149,INDIRECT(J$4))+SUMIF(INDIRECT(J$3),'Struktur Vorjahr'!$D149,INDIRECT(J$5)))</f>
        <v>0</v>
      </c>
      <c r="K149" s="593">
        <f ca="1">$E149*(-SUMIF(INDIRECT(K$3),'Struktur Vorjahr'!$D149,INDIRECT(K$4))+SUMIF(INDIRECT(K$3),'Struktur Vorjahr'!$D149,INDIRECT(K$5)))</f>
        <v>0</v>
      </c>
      <c r="L149" s="593">
        <f ca="1">$E149*(-SUMIF(INDIRECT(L$3),'Struktur Vorjahr'!$D149,INDIRECT(L$4))+SUMIF(INDIRECT(L$3),'Struktur Vorjahr'!$D149,INDIRECT(L$5)))</f>
        <v>0</v>
      </c>
      <c r="M149" s="593">
        <f ca="1">$E149*(-SUMIF(INDIRECT(M$3),'Struktur Vorjahr'!$D149,INDIRECT(M$4))+SUMIF(INDIRECT(M$3),'Struktur Vorjahr'!$D149,INDIRECT(M$5)))</f>
        <v>0</v>
      </c>
      <c r="N149" s="593">
        <f ca="1">$E149*(-SUMIF(INDIRECT(N$3),'Struktur Vorjahr'!$D149,INDIRECT(N$4))+SUMIF(INDIRECT(N$3),'Struktur Vorjahr'!$D149,INDIRECT(N$5)))</f>
        <v>0</v>
      </c>
      <c r="O149" s="593">
        <f ca="1">$E149*(-SUMIF(INDIRECT(O$3),'Struktur Vorjahr'!$D149,INDIRECT(O$4))+SUMIF(INDIRECT(O$3),'Struktur Vorjahr'!$D149,INDIRECT(O$5)))</f>
        <v>0</v>
      </c>
      <c r="P149" s="593">
        <f ca="1">$E149*(-SUMIF(INDIRECT(P$3),'Struktur Vorjahr'!$D149,INDIRECT(P$4))+SUMIF(INDIRECT(P$3),'Struktur Vorjahr'!$D149,INDIRECT(P$5)))</f>
        <v>0</v>
      </c>
      <c r="Q149" s="593">
        <f ca="1">$E149*(-SUMIF(INDIRECT(Q$3),'Struktur Vorjahr'!$D149,INDIRECT(Q$4))+SUMIF(INDIRECT(Q$3),'Struktur Vorjahr'!$D149,INDIRECT(Q$5)))</f>
        <v>0</v>
      </c>
      <c r="R149" s="593">
        <f ca="1">$E149*(-SUMIF(INDIRECT(R$3),'Struktur Vorjahr'!$D149,INDIRECT(R$4))+SUMIF(INDIRECT(R$3),'Struktur Vorjahr'!$D149,INDIRECT(R$5)))</f>
        <v>0</v>
      </c>
      <c r="S149" s="593">
        <f ca="1">$E149*(-SUMIF(INDIRECT(S$3),'Struktur Vorjahr'!$D149,INDIRECT(S$4))+SUMIF(INDIRECT(S$3),'Struktur Vorjahr'!$D149,INDIRECT(S$5)))</f>
        <v>0</v>
      </c>
      <c r="T149" s="593">
        <f ca="1">$E149*(-SUMIF(INDIRECT(T$3),'Struktur Vorjahr'!$D149,INDIRECT(T$4))+SUMIF(INDIRECT(T$3),'Struktur Vorjahr'!$D149,INDIRECT(T$5)))</f>
        <v>0</v>
      </c>
      <c r="U149" s="593">
        <f ca="1">$E149*(-SUMIF(INDIRECT(U$3),'Struktur Vorjahr'!$D149,INDIRECT(U$4))+SUMIF(INDIRECT(U$3),'Struktur Vorjahr'!$D149,INDIRECT(U$5)))</f>
        <v>0</v>
      </c>
      <c r="V149" s="593">
        <f ca="1">$E149*(-SUMIF(INDIRECT(V$3),'Struktur Vorjahr'!$D149,INDIRECT(V$4))+SUMIF(INDIRECT(V$3),'Struktur Vorjahr'!$D149,INDIRECT(V$5)))</f>
        <v>0</v>
      </c>
      <c r="W149" s="593">
        <f ca="1">$E149*(-SUMIF(INDIRECT(W$3),'Struktur Vorjahr'!$D149,INDIRECT(W$4))+SUMIF(INDIRECT(W$3),'Struktur Vorjahr'!$D149,INDIRECT(W$5)))</f>
        <v>0</v>
      </c>
      <c r="X149" s="593">
        <f ca="1">$E149*(-SUMIF(INDIRECT(X$3),'Struktur Vorjahr'!$D149,INDIRECT(X$4))+SUMIF(INDIRECT(X$3),'Struktur Vorjahr'!$D149,INDIRECT(X$5)))</f>
        <v>0</v>
      </c>
      <c r="Y149" s="593">
        <f ca="1">$E149*(-SUMIF(INDIRECT(Y$3),'Struktur Vorjahr'!$D149,INDIRECT(Y$4))+SUMIF(INDIRECT(Y$3),'Struktur Vorjahr'!$D149,INDIRECT(Y$5)))</f>
        <v>0</v>
      </c>
      <c r="Z149" s="593">
        <f ca="1">$E149*(-SUMIF(INDIRECT(Z$3),'Struktur Vorjahr'!$D149,INDIRECT(Z$4))+SUMIF(INDIRECT(Z$3),'Struktur Vorjahr'!$D149,INDIRECT(Z$5)))</f>
        <v>0</v>
      </c>
      <c r="AA149" s="593">
        <f ca="1">$E149*(-SUMIF(INDIRECT(AA$3),'Struktur Vorjahr'!$D149,INDIRECT(AA$4))+SUMIF(INDIRECT(AA$3),'Struktur Vorjahr'!$D149,INDIRECT(AA$5)))</f>
        <v>0</v>
      </c>
      <c r="AB149" s="593">
        <f ca="1">$E149*(-SUMIF(INDIRECT(AB$3),'Struktur Vorjahr'!$D149,INDIRECT(AB$4))+SUMIF(INDIRECT(AB$3),'Struktur Vorjahr'!$D149,INDIRECT(AB$5)))</f>
        <v>0</v>
      </c>
      <c r="AC149" s="593">
        <f ca="1">$E149*(-SUMIF(INDIRECT(AC$3),'Struktur Vorjahr'!$D149,INDIRECT(AC$4))+SUMIF(INDIRECT(AC$3),'Struktur Vorjahr'!$D149,INDIRECT(AC$5)))</f>
        <v>0</v>
      </c>
      <c r="AD149" s="593">
        <f ca="1">$E149*(-SUMIF(INDIRECT(AD$3),'Struktur Vorjahr'!$D149,INDIRECT(AD$4))+SUMIF(INDIRECT(AD$3),'Struktur Vorjahr'!$D149,INDIRECT(AD$5)))</f>
        <v>0</v>
      </c>
      <c r="AE149" s="593">
        <f t="shared" ca="1" si="75"/>
        <v>0</v>
      </c>
      <c r="AF149" s="593">
        <f t="shared" ca="1" si="76"/>
        <v>0</v>
      </c>
      <c r="AG149" s="593">
        <f t="shared" ca="1" si="76"/>
        <v>0</v>
      </c>
      <c r="AH149" s="593">
        <f t="shared" ca="1" si="76"/>
        <v>0</v>
      </c>
      <c r="AI149" s="593">
        <f t="shared" ca="1" si="76"/>
        <v>0</v>
      </c>
      <c r="AJ149" s="593">
        <f t="shared" ca="1" si="76"/>
        <v>0</v>
      </c>
      <c r="AK149" s="593">
        <f t="shared" ca="1" si="76"/>
        <v>0</v>
      </c>
      <c r="AL149" s="593">
        <f t="shared" ca="1" si="76"/>
        <v>0</v>
      </c>
      <c r="AM149" s="593">
        <f t="shared" ca="1" si="76"/>
        <v>0</v>
      </c>
      <c r="AN149" s="593">
        <f t="shared" ca="1" si="76"/>
        <v>0</v>
      </c>
      <c r="AO149" s="593">
        <f t="shared" ca="1" si="76"/>
        <v>0</v>
      </c>
      <c r="AP149" s="593">
        <f t="shared" ca="1" si="76"/>
        <v>0</v>
      </c>
    </row>
    <row r="150" spans="1:42" s="594" customFormat="1" ht="11.25" outlineLevel="1" x14ac:dyDescent="0.2">
      <c r="A150" s="590"/>
      <c r="B150" s="591" t="str">
        <f>IF(D150&lt;&gt;"",
IF(ISERROR(MATCH(D150,'Ist Vorjahr Monat 01'!A:A,0))=FALSE,INDEX('Ist Vorjahr Monat 01'!B:B,MATCH(D150,'Ist Vorjahr Monat 01'!A:A,0)),
IF(ISERROR(MATCH(D150,'Ist Vorjahr Monat 02'!A:A,0))=FALSE,INDEX('Ist Vorjahr Monat 02'!B:B,MATCH(D150,'Ist Vorjahr Monat 02'!A:A,0)),
IF(ISERROR(MATCH(D150,'Ist Vorjahr Monat 03'!A:A,0))=FALSE,INDEX('Ist Vorjahr Monat 03'!B:B,MATCH(D150,'Ist Vorjahr Monat 03'!A:A,0)),
IF(ISERROR(MATCH(D150,'Ist Vorjahr Monat 04'!A:A,0))=FALSE,INDEX('Ist Vorjahr Monat 04'!B:B,MATCH(D150,'Ist Vorjahr Monat 04'!A:A,0)),
IF(ISERROR(MATCH(D150,'Ist Vorjahr Monat 05'!A:A,0))=FALSE,INDEX('Ist Vorjahr Monat 05'!B:B,MATCH(D150,'Ist Vorjahr Monat 05'!A:A,0)),
IF(ISERROR(MATCH(D150,'Ist Vorjahr Monat 06'!A:A,0))=FALSE,INDEX('Ist Vorjahr Monat 06'!B:B,MATCH(D150,'Ist Vorjahr Monat 06'!A:A,0)),
IF(ISERROR(MATCH(D150,'Ist Vorjahr Monat 07'!A:A,0))=FALSE,INDEX('Ist Vorjahr Monat 07'!B:B,MATCH(D150,'Ist Vorjahr Monat 07'!A:A,0)),
IF(ISERROR(MATCH(D150,'Ist Vorjahr Monat 08'!A:A,0))=FALSE,INDEX('Ist Vorjahr Monat 08'!B:B,MATCH(D150,'Ist Vorjahr Monat 08'!A:A,0)),
IF(ISERROR(MATCH(D150,'Ist Vorjahr Monat 09'!A:A,0))=FALSE,INDEX('Ist Vorjahr Monat 09'!B:B,MATCH(D150,'Ist Vorjahr Monat 09'!A:A,0)),
IF(ISERROR(MATCH(D150,'Ist Vorjahr Monat 10'!A:A,0))=FALSE,INDEX('Ist Vorjahr Monat 10'!B:B,MATCH(D150,'Ist Vorjahr Monat 10'!A:A,0)),
IF(ISERROR(MATCH(D150,'Ist Vorjahr Monat 11'!A:A,0))=FALSE,INDEX('Ist Vorjahr Monat 11'!B:B,MATCH(D150,'Ist Vorjahr Monat 11'!A:A,0)),
IF(ISERROR(MATCH(D150,'Ist Vorjahr Monat 12'!A:A,0))=FALSE,INDEX('Ist Vorjahr Monat 12'!B:B,MATCH(D150,'Ist Vorjahr Monat 12'!A:A,0)),
"{Konto unbekannt}"
)))))))))))),"")</f>
        <v/>
      </c>
      <c r="C150" s="591"/>
      <c r="D150" s="590"/>
      <c r="E150" s="592">
        <f t="shared" si="65"/>
        <v>1</v>
      </c>
      <c r="F150" s="590"/>
      <c r="G150" s="593">
        <f ca="1">$E150*(-SUMIF(INDIRECT(G$3),'Struktur Vorjahr'!$D150,INDIRECT(G$4))+SUMIF(INDIRECT(G$3),'Struktur Vorjahr'!$D150,INDIRECT(G$5)))</f>
        <v>0</v>
      </c>
      <c r="H150" s="593">
        <f ca="1">$E150*(-SUMIF(INDIRECT(H$3),'Struktur Vorjahr'!$D150,INDIRECT(H$4))+SUMIF(INDIRECT(H$3),'Struktur Vorjahr'!$D150,INDIRECT(H$5)))</f>
        <v>0</v>
      </c>
      <c r="I150" s="593">
        <f ca="1">$E150*(-SUMIF(INDIRECT(I$3),'Struktur Vorjahr'!$D150,INDIRECT(I$4))+SUMIF(INDIRECT(I$3),'Struktur Vorjahr'!$D150,INDIRECT(I$5)))</f>
        <v>0</v>
      </c>
      <c r="J150" s="593">
        <f ca="1">$E150*(-SUMIF(INDIRECT(J$3),'Struktur Vorjahr'!$D150,INDIRECT(J$4))+SUMIF(INDIRECT(J$3),'Struktur Vorjahr'!$D150,INDIRECT(J$5)))</f>
        <v>0</v>
      </c>
      <c r="K150" s="593">
        <f ca="1">$E150*(-SUMIF(INDIRECT(K$3),'Struktur Vorjahr'!$D150,INDIRECT(K$4))+SUMIF(INDIRECT(K$3),'Struktur Vorjahr'!$D150,INDIRECT(K$5)))</f>
        <v>0</v>
      </c>
      <c r="L150" s="593">
        <f ca="1">$E150*(-SUMIF(INDIRECT(L$3),'Struktur Vorjahr'!$D150,INDIRECT(L$4))+SUMIF(INDIRECT(L$3),'Struktur Vorjahr'!$D150,INDIRECT(L$5)))</f>
        <v>0</v>
      </c>
      <c r="M150" s="593">
        <f ca="1">$E150*(-SUMIF(INDIRECT(M$3),'Struktur Vorjahr'!$D150,INDIRECT(M$4))+SUMIF(INDIRECT(M$3),'Struktur Vorjahr'!$D150,INDIRECT(M$5)))</f>
        <v>0</v>
      </c>
      <c r="N150" s="593">
        <f ca="1">$E150*(-SUMIF(INDIRECT(N$3),'Struktur Vorjahr'!$D150,INDIRECT(N$4))+SUMIF(INDIRECT(N$3),'Struktur Vorjahr'!$D150,INDIRECT(N$5)))</f>
        <v>0</v>
      </c>
      <c r="O150" s="593">
        <f ca="1">$E150*(-SUMIF(INDIRECT(O$3),'Struktur Vorjahr'!$D150,INDIRECT(O$4))+SUMIF(INDIRECT(O$3),'Struktur Vorjahr'!$D150,INDIRECT(O$5)))</f>
        <v>0</v>
      </c>
      <c r="P150" s="593">
        <f ca="1">$E150*(-SUMIF(INDIRECT(P$3),'Struktur Vorjahr'!$D150,INDIRECT(P$4))+SUMIF(INDIRECT(P$3),'Struktur Vorjahr'!$D150,INDIRECT(P$5)))</f>
        <v>0</v>
      </c>
      <c r="Q150" s="593">
        <f ca="1">$E150*(-SUMIF(INDIRECT(Q$3),'Struktur Vorjahr'!$D150,INDIRECT(Q$4))+SUMIF(INDIRECT(Q$3),'Struktur Vorjahr'!$D150,INDIRECT(Q$5)))</f>
        <v>0</v>
      </c>
      <c r="R150" s="593">
        <f ca="1">$E150*(-SUMIF(INDIRECT(R$3),'Struktur Vorjahr'!$D150,INDIRECT(R$4))+SUMIF(INDIRECT(R$3),'Struktur Vorjahr'!$D150,INDIRECT(R$5)))</f>
        <v>0</v>
      </c>
      <c r="S150" s="593">
        <f ca="1">$E150*(-SUMIF(INDIRECT(S$3),'Struktur Vorjahr'!$D150,INDIRECT(S$4))+SUMIF(INDIRECT(S$3),'Struktur Vorjahr'!$D150,INDIRECT(S$5)))</f>
        <v>0</v>
      </c>
      <c r="T150" s="593">
        <f ca="1">$E150*(-SUMIF(INDIRECT(T$3),'Struktur Vorjahr'!$D150,INDIRECT(T$4))+SUMIF(INDIRECT(T$3),'Struktur Vorjahr'!$D150,INDIRECT(T$5)))</f>
        <v>0</v>
      </c>
      <c r="U150" s="593">
        <f ca="1">$E150*(-SUMIF(INDIRECT(U$3),'Struktur Vorjahr'!$D150,INDIRECT(U$4))+SUMIF(INDIRECT(U$3),'Struktur Vorjahr'!$D150,INDIRECT(U$5)))</f>
        <v>0</v>
      </c>
      <c r="V150" s="593">
        <f ca="1">$E150*(-SUMIF(INDIRECT(V$3),'Struktur Vorjahr'!$D150,INDIRECT(V$4))+SUMIF(INDIRECT(V$3),'Struktur Vorjahr'!$D150,INDIRECT(V$5)))</f>
        <v>0</v>
      </c>
      <c r="W150" s="593">
        <f ca="1">$E150*(-SUMIF(INDIRECT(W$3),'Struktur Vorjahr'!$D150,INDIRECT(W$4))+SUMIF(INDIRECT(W$3),'Struktur Vorjahr'!$D150,INDIRECT(W$5)))</f>
        <v>0</v>
      </c>
      <c r="X150" s="593">
        <f ca="1">$E150*(-SUMIF(INDIRECT(X$3),'Struktur Vorjahr'!$D150,INDIRECT(X$4))+SUMIF(INDIRECT(X$3),'Struktur Vorjahr'!$D150,INDIRECT(X$5)))</f>
        <v>0</v>
      </c>
      <c r="Y150" s="593">
        <f ca="1">$E150*(-SUMIF(INDIRECT(Y$3),'Struktur Vorjahr'!$D150,INDIRECT(Y$4))+SUMIF(INDIRECT(Y$3),'Struktur Vorjahr'!$D150,INDIRECT(Y$5)))</f>
        <v>0</v>
      </c>
      <c r="Z150" s="593">
        <f ca="1">$E150*(-SUMIF(INDIRECT(Z$3),'Struktur Vorjahr'!$D150,INDIRECT(Z$4))+SUMIF(INDIRECT(Z$3),'Struktur Vorjahr'!$D150,INDIRECT(Z$5)))</f>
        <v>0</v>
      </c>
      <c r="AA150" s="593">
        <f ca="1">$E150*(-SUMIF(INDIRECT(AA$3),'Struktur Vorjahr'!$D150,INDIRECT(AA$4))+SUMIF(INDIRECT(AA$3),'Struktur Vorjahr'!$D150,INDIRECT(AA$5)))</f>
        <v>0</v>
      </c>
      <c r="AB150" s="593">
        <f ca="1">$E150*(-SUMIF(INDIRECT(AB$3),'Struktur Vorjahr'!$D150,INDIRECT(AB$4))+SUMIF(INDIRECT(AB$3),'Struktur Vorjahr'!$D150,INDIRECT(AB$5)))</f>
        <v>0</v>
      </c>
      <c r="AC150" s="593">
        <f ca="1">$E150*(-SUMIF(INDIRECT(AC$3),'Struktur Vorjahr'!$D150,INDIRECT(AC$4))+SUMIF(INDIRECT(AC$3),'Struktur Vorjahr'!$D150,INDIRECT(AC$5)))</f>
        <v>0</v>
      </c>
      <c r="AD150" s="593">
        <f ca="1">$E150*(-SUMIF(INDIRECT(AD$3),'Struktur Vorjahr'!$D150,INDIRECT(AD$4))+SUMIF(INDIRECT(AD$3),'Struktur Vorjahr'!$D150,INDIRECT(AD$5)))</f>
        <v>0</v>
      </c>
      <c r="AE150" s="593">
        <f t="shared" ca="1" si="75"/>
        <v>0</v>
      </c>
      <c r="AF150" s="593">
        <f t="shared" ca="1" si="76"/>
        <v>0</v>
      </c>
      <c r="AG150" s="593">
        <f t="shared" ca="1" si="76"/>
        <v>0</v>
      </c>
      <c r="AH150" s="593">
        <f t="shared" ca="1" si="76"/>
        <v>0</v>
      </c>
      <c r="AI150" s="593">
        <f t="shared" ca="1" si="76"/>
        <v>0</v>
      </c>
      <c r="AJ150" s="593">
        <f t="shared" ca="1" si="76"/>
        <v>0</v>
      </c>
      <c r="AK150" s="593">
        <f t="shared" ca="1" si="76"/>
        <v>0</v>
      </c>
      <c r="AL150" s="593">
        <f t="shared" ca="1" si="76"/>
        <v>0</v>
      </c>
      <c r="AM150" s="593">
        <f t="shared" ca="1" si="76"/>
        <v>0</v>
      </c>
      <c r="AN150" s="593">
        <f t="shared" ca="1" si="76"/>
        <v>0</v>
      </c>
      <c r="AO150" s="593">
        <f t="shared" ca="1" si="76"/>
        <v>0</v>
      </c>
      <c r="AP150" s="593">
        <f t="shared" ca="1" si="76"/>
        <v>0</v>
      </c>
    </row>
    <row r="151" spans="1:42" s="594" customFormat="1" ht="11.25" outlineLevel="1" x14ac:dyDescent="0.2">
      <c r="A151" s="590"/>
      <c r="B151" s="591" t="str">
        <f>IF(D151&lt;&gt;"",
IF(ISERROR(MATCH(D151,'Ist Vorjahr Monat 01'!A:A,0))=FALSE,INDEX('Ist Vorjahr Monat 01'!B:B,MATCH(D151,'Ist Vorjahr Monat 01'!A:A,0)),
IF(ISERROR(MATCH(D151,'Ist Vorjahr Monat 02'!A:A,0))=FALSE,INDEX('Ist Vorjahr Monat 02'!B:B,MATCH(D151,'Ist Vorjahr Monat 02'!A:A,0)),
IF(ISERROR(MATCH(D151,'Ist Vorjahr Monat 03'!A:A,0))=FALSE,INDEX('Ist Vorjahr Monat 03'!B:B,MATCH(D151,'Ist Vorjahr Monat 03'!A:A,0)),
IF(ISERROR(MATCH(D151,'Ist Vorjahr Monat 04'!A:A,0))=FALSE,INDEX('Ist Vorjahr Monat 04'!B:B,MATCH(D151,'Ist Vorjahr Monat 04'!A:A,0)),
IF(ISERROR(MATCH(D151,'Ist Vorjahr Monat 05'!A:A,0))=FALSE,INDEX('Ist Vorjahr Monat 05'!B:B,MATCH(D151,'Ist Vorjahr Monat 05'!A:A,0)),
IF(ISERROR(MATCH(D151,'Ist Vorjahr Monat 06'!A:A,0))=FALSE,INDEX('Ist Vorjahr Monat 06'!B:B,MATCH(D151,'Ist Vorjahr Monat 06'!A:A,0)),
IF(ISERROR(MATCH(D151,'Ist Vorjahr Monat 07'!A:A,0))=FALSE,INDEX('Ist Vorjahr Monat 07'!B:B,MATCH(D151,'Ist Vorjahr Monat 07'!A:A,0)),
IF(ISERROR(MATCH(D151,'Ist Vorjahr Monat 08'!A:A,0))=FALSE,INDEX('Ist Vorjahr Monat 08'!B:B,MATCH(D151,'Ist Vorjahr Monat 08'!A:A,0)),
IF(ISERROR(MATCH(D151,'Ist Vorjahr Monat 09'!A:A,0))=FALSE,INDEX('Ist Vorjahr Monat 09'!B:B,MATCH(D151,'Ist Vorjahr Monat 09'!A:A,0)),
IF(ISERROR(MATCH(D151,'Ist Vorjahr Monat 10'!A:A,0))=FALSE,INDEX('Ist Vorjahr Monat 10'!B:B,MATCH(D151,'Ist Vorjahr Monat 10'!A:A,0)),
IF(ISERROR(MATCH(D151,'Ist Vorjahr Monat 11'!A:A,0))=FALSE,INDEX('Ist Vorjahr Monat 11'!B:B,MATCH(D151,'Ist Vorjahr Monat 11'!A:A,0)),
IF(ISERROR(MATCH(D151,'Ist Vorjahr Monat 12'!A:A,0))=FALSE,INDEX('Ist Vorjahr Monat 12'!B:B,MATCH(D151,'Ist Vorjahr Monat 12'!A:A,0)),
"{Konto unbekannt}"
)))))))))))),"")</f>
        <v/>
      </c>
      <c r="C151" s="591"/>
      <c r="D151" s="590"/>
      <c r="E151" s="592">
        <f t="shared" si="65"/>
        <v>1</v>
      </c>
      <c r="F151" s="590"/>
      <c r="G151" s="593">
        <f ca="1">$E151*(-SUMIF(INDIRECT(G$3),'Struktur Vorjahr'!$D151,INDIRECT(G$4))+SUMIF(INDIRECT(G$3),'Struktur Vorjahr'!$D151,INDIRECT(G$5)))</f>
        <v>0</v>
      </c>
      <c r="H151" s="593">
        <f ca="1">$E151*(-SUMIF(INDIRECT(H$3),'Struktur Vorjahr'!$D151,INDIRECT(H$4))+SUMIF(INDIRECT(H$3),'Struktur Vorjahr'!$D151,INDIRECT(H$5)))</f>
        <v>0</v>
      </c>
      <c r="I151" s="593">
        <f ca="1">$E151*(-SUMIF(INDIRECT(I$3),'Struktur Vorjahr'!$D151,INDIRECT(I$4))+SUMIF(INDIRECT(I$3),'Struktur Vorjahr'!$D151,INDIRECT(I$5)))</f>
        <v>0</v>
      </c>
      <c r="J151" s="593">
        <f ca="1">$E151*(-SUMIF(INDIRECT(J$3),'Struktur Vorjahr'!$D151,INDIRECT(J$4))+SUMIF(INDIRECT(J$3),'Struktur Vorjahr'!$D151,INDIRECT(J$5)))</f>
        <v>0</v>
      </c>
      <c r="K151" s="593">
        <f ca="1">$E151*(-SUMIF(INDIRECT(K$3),'Struktur Vorjahr'!$D151,INDIRECT(K$4))+SUMIF(INDIRECT(K$3),'Struktur Vorjahr'!$D151,INDIRECT(K$5)))</f>
        <v>0</v>
      </c>
      <c r="L151" s="593">
        <f ca="1">$E151*(-SUMIF(INDIRECT(L$3),'Struktur Vorjahr'!$D151,INDIRECT(L$4))+SUMIF(INDIRECT(L$3),'Struktur Vorjahr'!$D151,INDIRECT(L$5)))</f>
        <v>0</v>
      </c>
      <c r="M151" s="593">
        <f ca="1">$E151*(-SUMIF(INDIRECT(M$3),'Struktur Vorjahr'!$D151,INDIRECT(M$4))+SUMIF(INDIRECT(M$3),'Struktur Vorjahr'!$D151,INDIRECT(M$5)))</f>
        <v>0</v>
      </c>
      <c r="N151" s="593">
        <f ca="1">$E151*(-SUMIF(INDIRECT(N$3),'Struktur Vorjahr'!$D151,INDIRECT(N$4))+SUMIF(INDIRECT(N$3),'Struktur Vorjahr'!$D151,INDIRECT(N$5)))</f>
        <v>0</v>
      </c>
      <c r="O151" s="593">
        <f ca="1">$E151*(-SUMIF(INDIRECT(O$3),'Struktur Vorjahr'!$D151,INDIRECT(O$4))+SUMIF(INDIRECT(O$3),'Struktur Vorjahr'!$D151,INDIRECT(O$5)))</f>
        <v>0</v>
      </c>
      <c r="P151" s="593">
        <f ca="1">$E151*(-SUMIF(INDIRECT(P$3),'Struktur Vorjahr'!$D151,INDIRECT(P$4))+SUMIF(INDIRECT(P$3),'Struktur Vorjahr'!$D151,INDIRECT(P$5)))</f>
        <v>0</v>
      </c>
      <c r="Q151" s="593">
        <f ca="1">$E151*(-SUMIF(INDIRECT(Q$3),'Struktur Vorjahr'!$D151,INDIRECT(Q$4))+SUMIF(INDIRECT(Q$3),'Struktur Vorjahr'!$D151,INDIRECT(Q$5)))</f>
        <v>0</v>
      </c>
      <c r="R151" s="593">
        <f ca="1">$E151*(-SUMIF(INDIRECT(R$3),'Struktur Vorjahr'!$D151,INDIRECT(R$4))+SUMIF(INDIRECT(R$3),'Struktur Vorjahr'!$D151,INDIRECT(R$5)))</f>
        <v>0</v>
      </c>
      <c r="S151" s="593">
        <f ca="1">$E151*(-SUMIF(INDIRECT(S$3),'Struktur Vorjahr'!$D151,INDIRECT(S$4))+SUMIF(INDIRECT(S$3),'Struktur Vorjahr'!$D151,INDIRECT(S$5)))</f>
        <v>0</v>
      </c>
      <c r="T151" s="593">
        <f ca="1">$E151*(-SUMIF(INDIRECT(T$3),'Struktur Vorjahr'!$D151,INDIRECT(T$4))+SUMIF(INDIRECT(T$3),'Struktur Vorjahr'!$D151,INDIRECT(T$5)))</f>
        <v>0</v>
      </c>
      <c r="U151" s="593">
        <f ca="1">$E151*(-SUMIF(INDIRECT(U$3),'Struktur Vorjahr'!$D151,INDIRECT(U$4))+SUMIF(INDIRECT(U$3),'Struktur Vorjahr'!$D151,INDIRECT(U$5)))</f>
        <v>0</v>
      </c>
      <c r="V151" s="593">
        <f ca="1">$E151*(-SUMIF(INDIRECT(V$3),'Struktur Vorjahr'!$D151,INDIRECT(V$4))+SUMIF(INDIRECT(V$3),'Struktur Vorjahr'!$D151,INDIRECT(V$5)))</f>
        <v>0</v>
      </c>
      <c r="W151" s="593">
        <f ca="1">$E151*(-SUMIF(INDIRECT(W$3),'Struktur Vorjahr'!$D151,INDIRECT(W$4))+SUMIF(INDIRECT(W$3),'Struktur Vorjahr'!$D151,INDIRECT(W$5)))</f>
        <v>0</v>
      </c>
      <c r="X151" s="593">
        <f ca="1">$E151*(-SUMIF(INDIRECT(X$3),'Struktur Vorjahr'!$D151,INDIRECT(X$4))+SUMIF(INDIRECT(X$3),'Struktur Vorjahr'!$D151,INDIRECT(X$5)))</f>
        <v>0</v>
      </c>
      <c r="Y151" s="593">
        <f ca="1">$E151*(-SUMIF(INDIRECT(Y$3),'Struktur Vorjahr'!$D151,INDIRECT(Y$4))+SUMIF(INDIRECT(Y$3),'Struktur Vorjahr'!$D151,INDIRECT(Y$5)))</f>
        <v>0</v>
      </c>
      <c r="Z151" s="593">
        <f ca="1">$E151*(-SUMIF(INDIRECT(Z$3),'Struktur Vorjahr'!$D151,INDIRECT(Z$4))+SUMIF(INDIRECT(Z$3),'Struktur Vorjahr'!$D151,INDIRECT(Z$5)))</f>
        <v>0</v>
      </c>
      <c r="AA151" s="593">
        <f ca="1">$E151*(-SUMIF(INDIRECT(AA$3),'Struktur Vorjahr'!$D151,INDIRECT(AA$4))+SUMIF(INDIRECT(AA$3),'Struktur Vorjahr'!$D151,INDIRECT(AA$5)))</f>
        <v>0</v>
      </c>
      <c r="AB151" s="593">
        <f ca="1">$E151*(-SUMIF(INDIRECT(AB$3),'Struktur Vorjahr'!$D151,INDIRECT(AB$4))+SUMIF(INDIRECT(AB$3),'Struktur Vorjahr'!$D151,INDIRECT(AB$5)))</f>
        <v>0</v>
      </c>
      <c r="AC151" s="593">
        <f ca="1">$E151*(-SUMIF(INDIRECT(AC$3),'Struktur Vorjahr'!$D151,INDIRECT(AC$4))+SUMIF(INDIRECT(AC$3),'Struktur Vorjahr'!$D151,INDIRECT(AC$5)))</f>
        <v>0</v>
      </c>
      <c r="AD151" s="593">
        <f ca="1">$E151*(-SUMIF(INDIRECT(AD$3),'Struktur Vorjahr'!$D151,INDIRECT(AD$4))+SUMIF(INDIRECT(AD$3),'Struktur Vorjahr'!$D151,INDIRECT(AD$5)))</f>
        <v>0</v>
      </c>
      <c r="AE151" s="593">
        <f t="shared" ca="1" si="75"/>
        <v>0</v>
      </c>
      <c r="AF151" s="593">
        <f t="shared" ca="1" si="76"/>
        <v>0</v>
      </c>
      <c r="AG151" s="593">
        <f t="shared" ca="1" si="76"/>
        <v>0</v>
      </c>
      <c r="AH151" s="593">
        <f t="shared" ca="1" si="76"/>
        <v>0</v>
      </c>
      <c r="AI151" s="593">
        <f t="shared" ca="1" si="76"/>
        <v>0</v>
      </c>
      <c r="AJ151" s="593">
        <f t="shared" ca="1" si="76"/>
        <v>0</v>
      </c>
      <c r="AK151" s="593">
        <f t="shared" ca="1" si="76"/>
        <v>0</v>
      </c>
      <c r="AL151" s="593">
        <f t="shared" ca="1" si="76"/>
        <v>0</v>
      </c>
      <c r="AM151" s="593">
        <f t="shared" ca="1" si="76"/>
        <v>0</v>
      </c>
      <c r="AN151" s="593">
        <f t="shared" ca="1" si="76"/>
        <v>0</v>
      </c>
      <c r="AO151" s="593">
        <f t="shared" ca="1" si="76"/>
        <v>0</v>
      </c>
      <c r="AP151" s="593">
        <f t="shared" ca="1" si="76"/>
        <v>0</v>
      </c>
    </row>
    <row r="152" spans="1:42" s="594" customFormat="1" ht="11.25" outlineLevel="1" x14ac:dyDescent="0.2">
      <c r="A152" s="590"/>
      <c r="B152" s="591" t="str">
        <f>IF(D152&lt;&gt;"",
IF(ISERROR(MATCH(D152,'Ist Vorjahr Monat 01'!A:A,0))=FALSE,INDEX('Ist Vorjahr Monat 01'!B:B,MATCH(D152,'Ist Vorjahr Monat 01'!A:A,0)),
IF(ISERROR(MATCH(D152,'Ist Vorjahr Monat 02'!A:A,0))=FALSE,INDEX('Ist Vorjahr Monat 02'!B:B,MATCH(D152,'Ist Vorjahr Monat 02'!A:A,0)),
IF(ISERROR(MATCH(D152,'Ist Vorjahr Monat 03'!A:A,0))=FALSE,INDEX('Ist Vorjahr Monat 03'!B:B,MATCH(D152,'Ist Vorjahr Monat 03'!A:A,0)),
IF(ISERROR(MATCH(D152,'Ist Vorjahr Monat 04'!A:A,0))=FALSE,INDEX('Ist Vorjahr Monat 04'!B:B,MATCH(D152,'Ist Vorjahr Monat 04'!A:A,0)),
IF(ISERROR(MATCH(D152,'Ist Vorjahr Monat 05'!A:A,0))=FALSE,INDEX('Ist Vorjahr Monat 05'!B:B,MATCH(D152,'Ist Vorjahr Monat 05'!A:A,0)),
IF(ISERROR(MATCH(D152,'Ist Vorjahr Monat 06'!A:A,0))=FALSE,INDEX('Ist Vorjahr Monat 06'!B:B,MATCH(D152,'Ist Vorjahr Monat 06'!A:A,0)),
IF(ISERROR(MATCH(D152,'Ist Vorjahr Monat 07'!A:A,0))=FALSE,INDEX('Ist Vorjahr Monat 07'!B:B,MATCH(D152,'Ist Vorjahr Monat 07'!A:A,0)),
IF(ISERROR(MATCH(D152,'Ist Vorjahr Monat 08'!A:A,0))=FALSE,INDEX('Ist Vorjahr Monat 08'!B:B,MATCH(D152,'Ist Vorjahr Monat 08'!A:A,0)),
IF(ISERROR(MATCH(D152,'Ist Vorjahr Monat 09'!A:A,0))=FALSE,INDEX('Ist Vorjahr Monat 09'!B:B,MATCH(D152,'Ist Vorjahr Monat 09'!A:A,0)),
IF(ISERROR(MATCH(D152,'Ist Vorjahr Monat 10'!A:A,0))=FALSE,INDEX('Ist Vorjahr Monat 10'!B:B,MATCH(D152,'Ist Vorjahr Monat 10'!A:A,0)),
IF(ISERROR(MATCH(D152,'Ist Vorjahr Monat 11'!A:A,0))=FALSE,INDEX('Ist Vorjahr Monat 11'!B:B,MATCH(D152,'Ist Vorjahr Monat 11'!A:A,0)),
IF(ISERROR(MATCH(D152,'Ist Vorjahr Monat 12'!A:A,0))=FALSE,INDEX('Ist Vorjahr Monat 12'!B:B,MATCH(D152,'Ist Vorjahr Monat 12'!A:A,0)),
"{Konto unbekannt}"
)))))))))))),"")</f>
        <v/>
      </c>
      <c r="C152" s="591"/>
      <c r="D152" s="590"/>
      <c r="E152" s="592">
        <f t="shared" si="65"/>
        <v>1</v>
      </c>
      <c r="F152" s="590"/>
      <c r="G152" s="593">
        <f ca="1">$E152*(-SUMIF(INDIRECT(G$3),'Struktur Vorjahr'!$D152,INDIRECT(G$4))+SUMIF(INDIRECT(G$3),'Struktur Vorjahr'!$D152,INDIRECT(G$5)))</f>
        <v>0</v>
      </c>
      <c r="H152" s="593">
        <f ca="1">$E152*(-SUMIF(INDIRECT(H$3),'Struktur Vorjahr'!$D152,INDIRECT(H$4))+SUMIF(INDIRECT(H$3),'Struktur Vorjahr'!$D152,INDIRECT(H$5)))</f>
        <v>0</v>
      </c>
      <c r="I152" s="593">
        <f ca="1">$E152*(-SUMIF(INDIRECT(I$3),'Struktur Vorjahr'!$D152,INDIRECT(I$4))+SUMIF(INDIRECT(I$3),'Struktur Vorjahr'!$D152,INDIRECT(I$5)))</f>
        <v>0</v>
      </c>
      <c r="J152" s="593">
        <f ca="1">$E152*(-SUMIF(INDIRECT(J$3),'Struktur Vorjahr'!$D152,INDIRECT(J$4))+SUMIF(INDIRECT(J$3),'Struktur Vorjahr'!$D152,INDIRECT(J$5)))</f>
        <v>0</v>
      </c>
      <c r="K152" s="593">
        <f ca="1">$E152*(-SUMIF(INDIRECT(K$3),'Struktur Vorjahr'!$D152,INDIRECT(K$4))+SUMIF(INDIRECT(K$3),'Struktur Vorjahr'!$D152,INDIRECT(K$5)))</f>
        <v>0</v>
      </c>
      <c r="L152" s="593">
        <f ca="1">$E152*(-SUMIF(INDIRECT(L$3),'Struktur Vorjahr'!$D152,INDIRECT(L$4))+SUMIF(INDIRECT(L$3),'Struktur Vorjahr'!$D152,INDIRECT(L$5)))</f>
        <v>0</v>
      </c>
      <c r="M152" s="593">
        <f ca="1">$E152*(-SUMIF(INDIRECT(M$3),'Struktur Vorjahr'!$D152,INDIRECT(M$4))+SUMIF(INDIRECT(M$3),'Struktur Vorjahr'!$D152,INDIRECT(M$5)))</f>
        <v>0</v>
      </c>
      <c r="N152" s="593">
        <f ca="1">$E152*(-SUMIF(INDIRECT(N$3),'Struktur Vorjahr'!$D152,INDIRECT(N$4))+SUMIF(INDIRECT(N$3),'Struktur Vorjahr'!$D152,INDIRECT(N$5)))</f>
        <v>0</v>
      </c>
      <c r="O152" s="593">
        <f ca="1">$E152*(-SUMIF(INDIRECT(O$3),'Struktur Vorjahr'!$D152,INDIRECT(O$4))+SUMIF(INDIRECT(O$3),'Struktur Vorjahr'!$D152,INDIRECT(O$5)))</f>
        <v>0</v>
      </c>
      <c r="P152" s="593">
        <f ca="1">$E152*(-SUMIF(INDIRECT(P$3),'Struktur Vorjahr'!$D152,INDIRECT(P$4))+SUMIF(INDIRECT(P$3),'Struktur Vorjahr'!$D152,INDIRECT(P$5)))</f>
        <v>0</v>
      </c>
      <c r="Q152" s="593">
        <f ca="1">$E152*(-SUMIF(INDIRECT(Q$3),'Struktur Vorjahr'!$D152,INDIRECT(Q$4))+SUMIF(INDIRECT(Q$3),'Struktur Vorjahr'!$D152,INDIRECT(Q$5)))</f>
        <v>0</v>
      </c>
      <c r="R152" s="593">
        <f ca="1">$E152*(-SUMIF(INDIRECT(R$3),'Struktur Vorjahr'!$D152,INDIRECT(R$4))+SUMIF(INDIRECT(R$3),'Struktur Vorjahr'!$D152,INDIRECT(R$5)))</f>
        <v>0</v>
      </c>
      <c r="S152" s="593">
        <f ca="1">$E152*(-SUMIF(INDIRECT(S$3),'Struktur Vorjahr'!$D152,INDIRECT(S$4))+SUMIF(INDIRECT(S$3),'Struktur Vorjahr'!$D152,INDIRECT(S$5)))</f>
        <v>0</v>
      </c>
      <c r="T152" s="593">
        <f ca="1">$E152*(-SUMIF(INDIRECT(T$3),'Struktur Vorjahr'!$D152,INDIRECT(T$4))+SUMIF(INDIRECT(T$3),'Struktur Vorjahr'!$D152,INDIRECT(T$5)))</f>
        <v>0</v>
      </c>
      <c r="U152" s="593">
        <f ca="1">$E152*(-SUMIF(INDIRECT(U$3),'Struktur Vorjahr'!$D152,INDIRECT(U$4))+SUMIF(INDIRECT(U$3),'Struktur Vorjahr'!$D152,INDIRECT(U$5)))</f>
        <v>0</v>
      </c>
      <c r="V152" s="593">
        <f ca="1">$E152*(-SUMIF(INDIRECT(V$3),'Struktur Vorjahr'!$D152,INDIRECT(V$4))+SUMIF(INDIRECT(V$3),'Struktur Vorjahr'!$D152,INDIRECT(V$5)))</f>
        <v>0</v>
      </c>
      <c r="W152" s="593">
        <f ca="1">$E152*(-SUMIF(INDIRECT(W$3),'Struktur Vorjahr'!$D152,INDIRECT(W$4))+SUMIF(INDIRECT(W$3),'Struktur Vorjahr'!$D152,INDIRECT(W$5)))</f>
        <v>0</v>
      </c>
      <c r="X152" s="593">
        <f ca="1">$E152*(-SUMIF(INDIRECT(X$3),'Struktur Vorjahr'!$D152,INDIRECT(X$4))+SUMIF(INDIRECT(X$3),'Struktur Vorjahr'!$D152,INDIRECT(X$5)))</f>
        <v>0</v>
      </c>
      <c r="Y152" s="593">
        <f ca="1">$E152*(-SUMIF(INDIRECT(Y$3),'Struktur Vorjahr'!$D152,INDIRECT(Y$4))+SUMIF(INDIRECT(Y$3),'Struktur Vorjahr'!$D152,INDIRECT(Y$5)))</f>
        <v>0</v>
      </c>
      <c r="Z152" s="593">
        <f ca="1">$E152*(-SUMIF(INDIRECT(Z$3),'Struktur Vorjahr'!$D152,INDIRECT(Z$4))+SUMIF(INDIRECT(Z$3),'Struktur Vorjahr'!$D152,INDIRECT(Z$5)))</f>
        <v>0</v>
      </c>
      <c r="AA152" s="593">
        <f ca="1">$E152*(-SUMIF(INDIRECT(AA$3),'Struktur Vorjahr'!$D152,INDIRECT(AA$4))+SUMIF(INDIRECT(AA$3),'Struktur Vorjahr'!$D152,INDIRECT(AA$5)))</f>
        <v>0</v>
      </c>
      <c r="AB152" s="593">
        <f ca="1">$E152*(-SUMIF(INDIRECT(AB$3),'Struktur Vorjahr'!$D152,INDIRECT(AB$4))+SUMIF(INDIRECT(AB$3),'Struktur Vorjahr'!$D152,INDIRECT(AB$5)))</f>
        <v>0</v>
      </c>
      <c r="AC152" s="593">
        <f ca="1">$E152*(-SUMIF(INDIRECT(AC$3),'Struktur Vorjahr'!$D152,INDIRECT(AC$4))+SUMIF(INDIRECT(AC$3),'Struktur Vorjahr'!$D152,INDIRECT(AC$5)))</f>
        <v>0</v>
      </c>
      <c r="AD152" s="593">
        <f ca="1">$E152*(-SUMIF(INDIRECT(AD$3),'Struktur Vorjahr'!$D152,INDIRECT(AD$4))+SUMIF(INDIRECT(AD$3),'Struktur Vorjahr'!$D152,INDIRECT(AD$5)))</f>
        <v>0</v>
      </c>
      <c r="AE152" s="593">
        <f t="shared" ca="1" si="75"/>
        <v>0</v>
      </c>
      <c r="AF152" s="593">
        <f t="shared" ca="1" si="76"/>
        <v>0</v>
      </c>
      <c r="AG152" s="593">
        <f t="shared" ca="1" si="76"/>
        <v>0</v>
      </c>
      <c r="AH152" s="593">
        <f t="shared" ca="1" si="76"/>
        <v>0</v>
      </c>
      <c r="AI152" s="593">
        <f t="shared" ca="1" si="76"/>
        <v>0</v>
      </c>
      <c r="AJ152" s="593">
        <f t="shared" ca="1" si="76"/>
        <v>0</v>
      </c>
      <c r="AK152" s="593">
        <f t="shared" ca="1" si="76"/>
        <v>0</v>
      </c>
      <c r="AL152" s="593">
        <f t="shared" ca="1" si="76"/>
        <v>0</v>
      </c>
      <c r="AM152" s="593">
        <f t="shared" ca="1" si="76"/>
        <v>0</v>
      </c>
      <c r="AN152" s="593">
        <f t="shared" ca="1" si="76"/>
        <v>0</v>
      </c>
      <c r="AO152" s="593">
        <f t="shared" ca="1" si="76"/>
        <v>0</v>
      </c>
      <c r="AP152" s="593">
        <f t="shared" ca="1" si="76"/>
        <v>0</v>
      </c>
    </row>
    <row r="153" spans="1:42" s="589" customFormat="1" x14ac:dyDescent="0.2">
      <c r="A153" s="602">
        <v>14</v>
      </c>
      <c r="B153" s="586" t="s">
        <v>1010</v>
      </c>
      <c r="C153" s="587">
        <f ca="1">SUM(G153:R153)</f>
        <v>0</v>
      </c>
      <c r="D153" s="587"/>
      <c r="E153" s="588">
        <f>IF(F153="-",-1,1)</f>
        <v>1</v>
      </c>
      <c r="F153" s="585"/>
      <c r="G153" s="587">
        <f ca="1">SUM(G154:G155)</f>
        <v>0</v>
      </c>
      <c r="H153" s="587">
        <f t="shared" ref="H153:R153" ca="1" si="77">SUM(H154:H155)</f>
        <v>0</v>
      </c>
      <c r="I153" s="587">
        <f t="shared" ca="1" si="77"/>
        <v>0</v>
      </c>
      <c r="J153" s="587">
        <f t="shared" ca="1" si="77"/>
        <v>0</v>
      </c>
      <c r="K153" s="587">
        <f t="shared" ca="1" si="77"/>
        <v>0</v>
      </c>
      <c r="L153" s="587">
        <f t="shared" ca="1" si="77"/>
        <v>0</v>
      </c>
      <c r="M153" s="587">
        <f t="shared" ca="1" si="77"/>
        <v>0</v>
      </c>
      <c r="N153" s="587">
        <f t="shared" ca="1" si="77"/>
        <v>0</v>
      </c>
      <c r="O153" s="587">
        <f t="shared" ca="1" si="77"/>
        <v>0</v>
      </c>
      <c r="P153" s="587">
        <f t="shared" ca="1" si="77"/>
        <v>0</v>
      </c>
      <c r="Q153" s="587">
        <f t="shared" ca="1" si="77"/>
        <v>0</v>
      </c>
      <c r="R153" s="587">
        <f t="shared" ca="1" si="77"/>
        <v>0</v>
      </c>
      <c r="S153" s="587">
        <f ca="1">SUM(S154:S155)</f>
        <v>0</v>
      </c>
      <c r="T153" s="587">
        <f t="shared" ref="T153:AD153" ca="1" si="78">SUM(T154:T155)</f>
        <v>0</v>
      </c>
      <c r="U153" s="587">
        <f t="shared" ca="1" si="78"/>
        <v>0</v>
      </c>
      <c r="V153" s="587">
        <f t="shared" ca="1" si="78"/>
        <v>0</v>
      </c>
      <c r="W153" s="587">
        <f t="shared" ca="1" si="78"/>
        <v>0</v>
      </c>
      <c r="X153" s="587">
        <f t="shared" ca="1" si="78"/>
        <v>0</v>
      </c>
      <c r="Y153" s="587">
        <f t="shared" ca="1" si="78"/>
        <v>0</v>
      </c>
      <c r="Z153" s="587">
        <f t="shared" ca="1" si="78"/>
        <v>0</v>
      </c>
      <c r="AA153" s="587">
        <f t="shared" ca="1" si="78"/>
        <v>0</v>
      </c>
      <c r="AB153" s="587">
        <f t="shared" ca="1" si="78"/>
        <v>0</v>
      </c>
      <c r="AC153" s="587">
        <f t="shared" ca="1" si="78"/>
        <v>0</v>
      </c>
      <c r="AD153" s="587">
        <f t="shared" ca="1" si="78"/>
        <v>0</v>
      </c>
      <c r="AE153" s="587">
        <f ca="1">SUM(AE154:AE155)</f>
        <v>0</v>
      </c>
      <c r="AF153" s="587">
        <f t="shared" ref="AF153:AP153" ca="1" si="79">SUM(AF154:AF155)</f>
        <v>0</v>
      </c>
      <c r="AG153" s="587">
        <f t="shared" ca="1" si="79"/>
        <v>0</v>
      </c>
      <c r="AH153" s="587">
        <f t="shared" ca="1" si="79"/>
        <v>0</v>
      </c>
      <c r="AI153" s="587">
        <f t="shared" ca="1" si="79"/>
        <v>0</v>
      </c>
      <c r="AJ153" s="587">
        <f t="shared" ca="1" si="79"/>
        <v>0</v>
      </c>
      <c r="AK153" s="587">
        <f t="shared" ca="1" si="79"/>
        <v>0</v>
      </c>
      <c r="AL153" s="587">
        <f t="shared" ca="1" si="79"/>
        <v>0</v>
      </c>
      <c r="AM153" s="587">
        <f t="shared" ca="1" si="79"/>
        <v>0</v>
      </c>
      <c r="AN153" s="587">
        <f t="shared" ca="1" si="79"/>
        <v>0</v>
      </c>
      <c r="AO153" s="587">
        <f t="shared" ca="1" si="79"/>
        <v>0</v>
      </c>
      <c r="AP153" s="587">
        <f t="shared" ca="1" si="79"/>
        <v>0</v>
      </c>
    </row>
    <row r="154" spans="1:42" s="594" customFormat="1" ht="11.25" outlineLevel="1" x14ac:dyDescent="0.2">
      <c r="A154" s="590"/>
      <c r="B154" s="591" t="str">
        <f>IF(D154&lt;&gt;"",
IF(ISERROR(MATCH(D154,'Ist Vorjahr Monat 01'!A:A,0))=FALSE,INDEX('Ist Vorjahr Monat 01'!B:B,MATCH(D154,'Ist Vorjahr Monat 01'!A:A,0)),
IF(ISERROR(MATCH(D154,'Ist Vorjahr Monat 02'!A:A,0))=FALSE,INDEX('Ist Vorjahr Monat 02'!B:B,MATCH(D154,'Ist Vorjahr Monat 02'!A:A,0)),
IF(ISERROR(MATCH(D154,'Ist Vorjahr Monat 03'!A:A,0))=FALSE,INDEX('Ist Vorjahr Monat 03'!B:B,MATCH(D154,'Ist Vorjahr Monat 03'!A:A,0)),
IF(ISERROR(MATCH(D154,'Ist Vorjahr Monat 04'!A:A,0))=FALSE,INDEX('Ist Vorjahr Monat 04'!B:B,MATCH(D154,'Ist Vorjahr Monat 04'!A:A,0)),
IF(ISERROR(MATCH(D154,'Ist Vorjahr Monat 05'!A:A,0))=FALSE,INDEX('Ist Vorjahr Monat 05'!B:B,MATCH(D154,'Ist Vorjahr Monat 05'!A:A,0)),
IF(ISERROR(MATCH(D154,'Ist Vorjahr Monat 06'!A:A,0))=FALSE,INDEX('Ist Vorjahr Monat 06'!B:B,MATCH(D154,'Ist Vorjahr Monat 06'!A:A,0)),
IF(ISERROR(MATCH(D154,'Ist Vorjahr Monat 07'!A:A,0))=FALSE,INDEX('Ist Vorjahr Monat 07'!B:B,MATCH(D154,'Ist Vorjahr Monat 07'!A:A,0)),
IF(ISERROR(MATCH(D154,'Ist Vorjahr Monat 08'!A:A,0))=FALSE,INDEX('Ist Vorjahr Monat 08'!B:B,MATCH(D154,'Ist Vorjahr Monat 08'!A:A,0)),
IF(ISERROR(MATCH(D154,'Ist Vorjahr Monat 09'!A:A,0))=FALSE,INDEX('Ist Vorjahr Monat 09'!B:B,MATCH(D154,'Ist Vorjahr Monat 09'!A:A,0)),
IF(ISERROR(MATCH(D154,'Ist Vorjahr Monat 10'!A:A,0))=FALSE,INDEX('Ist Vorjahr Monat 10'!B:B,MATCH(D154,'Ist Vorjahr Monat 10'!A:A,0)),
IF(ISERROR(MATCH(D154,'Ist Vorjahr Monat 11'!A:A,0))=FALSE,INDEX('Ist Vorjahr Monat 11'!B:B,MATCH(D154,'Ist Vorjahr Monat 11'!A:A,0)),
IF(ISERROR(MATCH(D154,'Ist Vorjahr Monat 12'!A:A,0))=FALSE,INDEX('Ist Vorjahr Monat 12'!B:B,MATCH(D154,'Ist Vorjahr Monat 12'!A:A,0)),
"{Konto unbekannt}"
)))))))))))),"")</f>
        <v/>
      </c>
      <c r="C154" s="591"/>
      <c r="D154" s="590"/>
      <c r="E154" s="592">
        <f>IF(F154="-",-1,1)</f>
        <v>1</v>
      </c>
      <c r="F154" s="590"/>
      <c r="G154" s="593">
        <f ca="1">$E154*(-SUMIF(INDIRECT(G$3),'Struktur Vorjahr'!$D154,INDIRECT(G$4))+SUMIF(INDIRECT(G$3),'Struktur Vorjahr'!$D154,INDIRECT(G$5)))</f>
        <v>0</v>
      </c>
      <c r="H154" s="593">
        <f ca="1">$E154*(-SUMIF(INDIRECT(H$3),'Struktur Vorjahr'!$D154,INDIRECT(H$4))+SUMIF(INDIRECT(H$3),'Struktur Vorjahr'!$D154,INDIRECT(H$5)))</f>
        <v>0</v>
      </c>
      <c r="I154" s="593">
        <f ca="1">$E154*(-SUMIF(INDIRECT(I$3),'Struktur Vorjahr'!$D154,INDIRECT(I$4))+SUMIF(INDIRECT(I$3),'Struktur Vorjahr'!$D154,INDIRECT(I$5)))</f>
        <v>0</v>
      </c>
      <c r="J154" s="593">
        <f ca="1">$E154*(-SUMIF(INDIRECT(J$3),'Struktur Vorjahr'!$D154,INDIRECT(J$4))+SUMIF(INDIRECT(J$3),'Struktur Vorjahr'!$D154,INDIRECT(J$5)))</f>
        <v>0</v>
      </c>
      <c r="K154" s="593">
        <f ca="1">$E154*(-SUMIF(INDIRECT(K$3),'Struktur Vorjahr'!$D154,INDIRECT(K$4))+SUMIF(INDIRECT(K$3),'Struktur Vorjahr'!$D154,INDIRECT(K$5)))</f>
        <v>0</v>
      </c>
      <c r="L154" s="593">
        <f ca="1">$E154*(-SUMIF(INDIRECT(L$3),'Struktur Vorjahr'!$D154,INDIRECT(L$4))+SUMIF(INDIRECT(L$3),'Struktur Vorjahr'!$D154,INDIRECT(L$5)))</f>
        <v>0</v>
      </c>
      <c r="M154" s="593">
        <f ca="1">$E154*(-SUMIF(INDIRECT(M$3),'Struktur Vorjahr'!$D154,INDIRECT(M$4))+SUMIF(INDIRECT(M$3),'Struktur Vorjahr'!$D154,INDIRECT(M$5)))</f>
        <v>0</v>
      </c>
      <c r="N154" s="593">
        <f ca="1">$E154*(-SUMIF(INDIRECT(N$3),'Struktur Vorjahr'!$D154,INDIRECT(N$4))+SUMIF(INDIRECT(N$3),'Struktur Vorjahr'!$D154,INDIRECT(N$5)))</f>
        <v>0</v>
      </c>
      <c r="O154" s="593">
        <f ca="1">$E154*(-SUMIF(INDIRECT(O$3),'Struktur Vorjahr'!$D154,INDIRECT(O$4))+SUMIF(INDIRECT(O$3),'Struktur Vorjahr'!$D154,INDIRECT(O$5)))</f>
        <v>0</v>
      </c>
      <c r="P154" s="593">
        <f ca="1">$E154*(-SUMIF(INDIRECT(P$3),'Struktur Vorjahr'!$D154,INDIRECT(P$4))+SUMIF(INDIRECT(P$3),'Struktur Vorjahr'!$D154,INDIRECT(P$5)))</f>
        <v>0</v>
      </c>
      <c r="Q154" s="593">
        <f ca="1">$E154*(-SUMIF(INDIRECT(Q$3),'Struktur Vorjahr'!$D154,INDIRECT(Q$4))+SUMIF(INDIRECT(Q$3),'Struktur Vorjahr'!$D154,INDIRECT(Q$5)))</f>
        <v>0</v>
      </c>
      <c r="R154" s="593">
        <f ca="1">$E154*(-SUMIF(INDIRECT(R$3),'Struktur Vorjahr'!$D154,INDIRECT(R$4))+SUMIF(INDIRECT(R$3),'Struktur Vorjahr'!$D154,INDIRECT(R$5)))</f>
        <v>0</v>
      </c>
      <c r="S154" s="593">
        <f ca="1">$E154*(-SUMIF(INDIRECT(S$3),'Struktur Vorjahr'!$D154,INDIRECT(S$4))+SUMIF(INDIRECT(S$3),'Struktur Vorjahr'!$D154,INDIRECT(S$5)))</f>
        <v>0</v>
      </c>
      <c r="T154" s="593">
        <f ca="1">$E154*(-SUMIF(INDIRECT(T$3),'Struktur Vorjahr'!$D154,INDIRECT(T$4))+SUMIF(INDIRECT(T$3),'Struktur Vorjahr'!$D154,INDIRECT(T$5)))</f>
        <v>0</v>
      </c>
      <c r="U154" s="593">
        <f ca="1">$E154*(-SUMIF(INDIRECT(U$3),'Struktur Vorjahr'!$D154,INDIRECT(U$4))+SUMIF(INDIRECT(U$3),'Struktur Vorjahr'!$D154,INDIRECT(U$5)))</f>
        <v>0</v>
      </c>
      <c r="V154" s="593">
        <f ca="1">$E154*(-SUMIF(INDIRECT(V$3),'Struktur Vorjahr'!$D154,INDIRECT(V$4))+SUMIF(INDIRECT(V$3),'Struktur Vorjahr'!$D154,INDIRECT(V$5)))</f>
        <v>0</v>
      </c>
      <c r="W154" s="593">
        <f ca="1">$E154*(-SUMIF(INDIRECT(W$3),'Struktur Vorjahr'!$D154,INDIRECT(W$4))+SUMIF(INDIRECT(W$3),'Struktur Vorjahr'!$D154,INDIRECT(W$5)))</f>
        <v>0</v>
      </c>
      <c r="X154" s="593">
        <f ca="1">$E154*(-SUMIF(INDIRECT(X$3),'Struktur Vorjahr'!$D154,INDIRECT(X$4))+SUMIF(INDIRECT(X$3),'Struktur Vorjahr'!$D154,INDIRECT(X$5)))</f>
        <v>0</v>
      </c>
      <c r="Y154" s="593">
        <f ca="1">$E154*(-SUMIF(INDIRECT(Y$3),'Struktur Vorjahr'!$D154,INDIRECT(Y$4))+SUMIF(INDIRECT(Y$3),'Struktur Vorjahr'!$D154,INDIRECT(Y$5)))</f>
        <v>0</v>
      </c>
      <c r="Z154" s="593">
        <f ca="1">$E154*(-SUMIF(INDIRECT(Z$3),'Struktur Vorjahr'!$D154,INDIRECT(Z$4))+SUMIF(INDIRECT(Z$3),'Struktur Vorjahr'!$D154,INDIRECT(Z$5)))</f>
        <v>0</v>
      </c>
      <c r="AA154" s="593">
        <f ca="1">$E154*(-SUMIF(INDIRECT(AA$3),'Struktur Vorjahr'!$D154,INDIRECT(AA$4))+SUMIF(INDIRECT(AA$3),'Struktur Vorjahr'!$D154,INDIRECT(AA$5)))</f>
        <v>0</v>
      </c>
      <c r="AB154" s="593">
        <f ca="1">$E154*(-SUMIF(INDIRECT(AB$3),'Struktur Vorjahr'!$D154,INDIRECT(AB$4))+SUMIF(INDIRECT(AB$3),'Struktur Vorjahr'!$D154,INDIRECT(AB$5)))</f>
        <v>0</v>
      </c>
      <c r="AC154" s="593">
        <f ca="1">$E154*(-SUMIF(INDIRECT(AC$3),'Struktur Vorjahr'!$D154,INDIRECT(AC$4))+SUMIF(INDIRECT(AC$3),'Struktur Vorjahr'!$D154,INDIRECT(AC$5)))</f>
        <v>0</v>
      </c>
      <c r="AD154" s="593">
        <f ca="1">$E154*(-SUMIF(INDIRECT(AD$3),'Struktur Vorjahr'!$D154,INDIRECT(AD$4))+SUMIF(INDIRECT(AD$3),'Struktur Vorjahr'!$D154,INDIRECT(AD$5)))</f>
        <v>0</v>
      </c>
      <c r="AE154" s="593">
        <f t="shared" ref="AE154:AE155" ca="1" si="80">G154</f>
        <v>0</v>
      </c>
      <c r="AF154" s="593">
        <f t="shared" ref="AF154:AP155" ca="1" si="81">H154+AE154</f>
        <v>0</v>
      </c>
      <c r="AG154" s="593">
        <f t="shared" ca="1" si="81"/>
        <v>0</v>
      </c>
      <c r="AH154" s="593">
        <f t="shared" ca="1" si="81"/>
        <v>0</v>
      </c>
      <c r="AI154" s="593">
        <f t="shared" ca="1" si="81"/>
        <v>0</v>
      </c>
      <c r="AJ154" s="593">
        <f t="shared" ca="1" si="81"/>
        <v>0</v>
      </c>
      <c r="AK154" s="593">
        <f t="shared" ca="1" si="81"/>
        <v>0</v>
      </c>
      <c r="AL154" s="593">
        <f t="shared" ca="1" si="81"/>
        <v>0</v>
      </c>
      <c r="AM154" s="593">
        <f t="shared" ca="1" si="81"/>
        <v>0</v>
      </c>
      <c r="AN154" s="593">
        <f t="shared" ca="1" si="81"/>
        <v>0</v>
      </c>
      <c r="AO154" s="593">
        <f t="shared" ca="1" si="81"/>
        <v>0</v>
      </c>
      <c r="AP154" s="593">
        <f t="shared" ca="1" si="81"/>
        <v>0</v>
      </c>
    </row>
    <row r="155" spans="1:42" s="594" customFormat="1" ht="11.25" outlineLevel="1" x14ac:dyDescent="0.2">
      <c r="A155" s="590"/>
      <c r="B155" s="591" t="str">
        <f>IF(D155&lt;&gt;"",
IF(ISERROR(MATCH(D155,'Ist Vorjahr Monat 01'!A:A,0))=FALSE,INDEX('Ist Vorjahr Monat 01'!B:B,MATCH(D155,'Ist Vorjahr Monat 01'!A:A,0)),
IF(ISERROR(MATCH(D155,'Ist Vorjahr Monat 02'!A:A,0))=FALSE,INDEX('Ist Vorjahr Monat 02'!B:B,MATCH(D155,'Ist Vorjahr Monat 02'!A:A,0)),
IF(ISERROR(MATCH(D155,'Ist Vorjahr Monat 03'!A:A,0))=FALSE,INDEX('Ist Vorjahr Monat 03'!B:B,MATCH(D155,'Ist Vorjahr Monat 03'!A:A,0)),
IF(ISERROR(MATCH(D155,'Ist Vorjahr Monat 04'!A:A,0))=FALSE,INDEX('Ist Vorjahr Monat 04'!B:B,MATCH(D155,'Ist Vorjahr Monat 04'!A:A,0)),
IF(ISERROR(MATCH(D155,'Ist Vorjahr Monat 05'!A:A,0))=FALSE,INDEX('Ist Vorjahr Monat 05'!B:B,MATCH(D155,'Ist Vorjahr Monat 05'!A:A,0)),
IF(ISERROR(MATCH(D155,'Ist Vorjahr Monat 06'!A:A,0))=FALSE,INDEX('Ist Vorjahr Monat 06'!B:B,MATCH(D155,'Ist Vorjahr Monat 06'!A:A,0)),
IF(ISERROR(MATCH(D155,'Ist Vorjahr Monat 07'!A:A,0))=FALSE,INDEX('Ist Vorjahr Monat 07'!B:B,MATCH(D155,'Ist Vorjahr Monat 07'!A:A,0)),
IF(ISERROR(MATCH(D155,'Ist Vorjahr Monat 08'!A:A,0))=FALSE,INDEX('Ist Vorjahr Monat 08'!B:B,MATCH(D155,'Ist Vorjahr Monat 08'!A:A,0)),
IF(ISERROR(MATCH(D155,'Ist Vorjahr Monat 09'!A:A,0))=FALSE,INDEX('Ist Vorjahr Monat 09'!B:B,MATCH(D155,'Ist Vorjahr Monat 09'!A:A,0)),
IF(ISERROR(MATCH(D155,'Ist Vorjahr Monat 10'!A:A,0))=FALSE,INDEX('Ist Vorjahr Monat 10'!B:B,MATCH(D155,'Ist Vorjahr Monat 10'!A:A,0)),
IF(ISERROR(MATCH(D155,'Ist Vorjahr Monat 11'!A:A,0))=FALSE,INDEX('Ist Vorjahr Monat 11'!B:B,MATCH(D155,'Ist Vorjahr Monat 11'!A:A,0)),
IF(ISERROR(MATCH(D155,'Ist Vorjahr Monat 12'!A:A,0))=FALSE,INDEX('Ist Vorjahr Monat 12'!B:B,MATCH(D155,'Ist Vorjahr Monat 12'!A:A,0)),
"{Konto unbekannt}"
)))))))))))),"")</f>
        <v/>
      </c>
      <c r="C155" s="591"/>
      <c r="D155" s="590"/>
      <c r="E155" s="592">
        <f>IF(F155="-",-1,1)</f>
        <v>1</v>
      </c>
      <c r="F155" s="590"/>
      <c r="G155" s="593">
        <f ca="1">$E155*(-SUMIF(INDIRECT(G$3),'Struktur Vorjahr'!$D155,INDIRECT(G$4))+SUMIF(INDIRECT(G$3),'Struktur Vorjahr'!$D155,INDIRECT(G$5)))</f>
        <v>0</v>
      </c>
      <c r="H155" s="593">
        <f ca="1">$E155*(-SUMIF(INDIRECT(H$3),'Struktur Vorjahr'!$D155,INDIRECT(H$4))+SUMIF(INDIRECT(H$3),'Struktur Vorjahr'!$D155,INDIRECT(H$5)))</f>
        <v>0</v>
      </c>
      <c r="I155" s="593">
        <f ca="1">$E155*(-SUMIF(INDIRECT(I$3),'Struktur Vorjahr'!$D155,INDIRECT(I$4))+SUMIF(INDIRECT(I$3),'Struktur Vorjahr'!$D155,INDIRECT(I$5)))</f>
        <v>0</v>
      </c>
      <c r="J155" s="593">
        <f ca="1">$E155*(-SUMIF(INDIRECT(J$3),'Struktur Vorjahr'!$D155,INDIRECT(J$4))+SUMIF(INDIRECT(J$3),'Struktur Vorjahr'!$D155,INDIRECT(J$5)))</f>
        <v>0</v>
      </c>
      <c r="K155" s="593">
        <f ca="1">$E155*(-SUMIF(INDIRECT(K$3),'Struktur Vorjahr'!$D155,INDIRECT(K$4))+SUMIF(INDIRECT(K$3),'Struktur Vorjahr'!$D155,INDIRECT(K$5)))</f>
        <v>0</v>
      </c>
      <c r="L155" s="593">
        <f ca="1">$E155*(-SUMIF(INDIRECT(L$3),'Struktur Vorjahr'!$D155,INDIRECT(L$4))+SUMIF(INDIRECT(L$3),'Struktur Vorjahr'!$D155,INDIRECT(L$5)))</f>
        <v>0</v>
      </c>
      <c r="M155" s="593">
        <f ca="1">$E155*(-SUMIF(INDIRECT(M$3),'Struktur Vorjahr'!$D155,INDIRECT(M$4))+SUMIF(INDIRECT(M$3),'Struktur Vorjahr'!$D155,INDIRECT(M$5)))</f>
        <v>0</v>
      </c>
      <c r="N155" s="593">
        <f ca="1">$E155*(-SUMIF(INDIRECT(N$3),'Struktur Vorjahr'!$D155,INDIRECT(N$4))+SUMIF(INDIRECT(N$3),'Struktur Vorjahr'!$D155,INDIRECT(N$5)))</f>
        <v>0</v>
      </c>
      <c r="O155" s="593">
        <f ca="1">$E155*(-SUMIF(INDIRECT(O$3),'Struktur Vorjahr'!$D155,INDIRECT(O$4))+SUMIF(INDIRECT(O$3),'Struktur Vorjahr'!$D155,INDIRECT(O$5)))</f>
        <v>0</v>
      </c>
      <c r="P155" s="593">
        <f ca="1">$E155*(-SUMIF(INDIRECT(P$3),'Struktur Vorjahr'!$D155,INDIRECT(P$4))+SUMIF(INDIRECT(P$3),'Struktur Vorjahr'!$D155,INDIRECT(P$5)))</f>
        <v>0</v>
      </c>
      <c r="Q155" s="593">
        <f ca="1">$E155*(-SUMIF(INDIRECT(Q$3),'Struktur Vorjahr'!$D155,INDIRECT(Q$4))+SUMIF(INDIRECT(Q$3),'Struktur Vorjahr'!$D155,INDIRECT(Q$5)))</f>
        <v>0</v>
      </c>
      <c r="R155" s="593">
        <f ca="1">$E155*(-SUMIF(INDIRECT(R$3),'Struktur Vorjahr'!$D155,INDIRECT(R$4))+SUMIF(INDIRECT(R$3),'Struktur Vorjahr'!$D155,INDIRECT(R$5)))</f>
        <v>0</v>
      </c>
      <c r="S155" s="593">
        <f ca="1">$E155*(-SUMIF(INDIRECT(S$3),'Struktur Vorjahr'!$D155,INDIRECT(S$4))+SUMIF(INDIRECT(S$3),'Struktur Vorjahr'!$D155,INDIRECT(S$5)))</f>
        <v>0</v>
      </c>
      <c r="T155" s="593">
        <f ca="1">$E155*(-SUMIF(INDIRECT(T$3),'Struktur Vorjahr'!$D155,INDIRECT(T$4))+SUMIF(INDIRECT(T$3),'Struktur Vorjahr'!$D155,INDIRECT(T$5)))</f>
        <v>0</v>
      </c>
      <c r="U155" s="593">
        <f ca="1">$E155*(-SUMIF(INDIRECT(U$3),'Struktur Vorjahr'!$D155,INDIRECT(U$4))+SUMIF(INDIRECT(U$3),'Struktur Vorjahr'!$D155,INDIRECT(U$5)))</f>
        <v>0</v>
      </c>
      <c r="V155" s="593">
        <f ca="1">$E155*(-SUMIF(INDIRECT(V$3),'Struktur Vorjahr'!$D155,INDIRECT(V$4))+SUMIF(INDIRECT(V$3),'Struktur Vorjahr'!$D155,INDIRECT(V$5)))</f>
        <v>0</v>
      </c>
      <c r="W155" s="593">
        <f ca="1">$E155*(-SUMIF(INDIRECT(W$3),'Struktur Vorjahr'!$D155,INDIRECT(W$4))+SUMIF(INDIRECT(W$3),'Struktur Vorjahr'!$D155,INDIRECT(W$5)))</f>
        <v>0</v>
      </c>
      <c r="X155" s="593">
        <f ca="1">$E155*(-SUMIF(INDIRECT(X$3),'Struktur Vorjahr'!$D155,INDIRECT(X$4))+SUMIF(INDIRECT(X$3),'Struktur Vorjahr'!$D155,INDIRECT(X$5)))</f>
        <v>0</v>
      </c>
      <c r="Y155" s="593">
        <f ca="1">$E155*(-SUMIF(INDIRECT(Y$3),'Struktur Vorjahr'!$D155,INDIRECT(Y$4))+SUMIF(INDIRECT(Y$3),'Struktur Vorjahr'!$D155,INDIRECT(Y$5)))</f>
        <v>0</v>
      </c>
      <c r="Z155" s="593">
        <f ca="1">$E155*(-SUMIF(INDIRECT(Z$3),'Struktur Vorjahr'!$D155,INDIRECT(Z$4))+SUMIF(INDIRECT(Z$3),'Struktur Vorjahr'!$D155,INDIRECT(Z$5)))</f>
        <v>0</v>
      </c>
      <c r="AA155" s="593">
        <f ca="1">$E155*(-SUMIF(INDIRECT(AA$3),'Struktur Vorjahr'!$D155,INDIRECT(AA$4))+SUMIF(INDIRECT(AA$3),'Struktur Vorjahr'!$D155,INDIRECT(AA$5)))</f>
        <v>0</v>
      </c>
      <c r="AB155" s="593">
        <f ca="1">$E155*(-SUMIF(INDIRECT(AB$3),'Struktur Vorjahr'!$D155,INDIRECT(AB$4))+SUMIF(INDIRECT(AB$3),'Struktur Vorjahr'!$D155,INDIRECT(AB$5)))</f>
        <v>0</v>
      </c>
      <c r="AC155" s="593">
        <f ca="1">$E155*(-SUMIF(INDIRECT(AC$3),'Struktur Vorjahr'!$D155,INDIRECT(AC$4))+SUMIF(INDIRECT(AC$3),'Struktur Vorjahr'!$D155,INDIRECT(AC$5)))</f>
        <v>0</v>
      </c>
      <c r="AD155" s="593">
        <f ca="1">$E155*(-SUMIF(INDIRECT(AD$3),'Struktur Vorjahr'!$D155,INDIRECT(AD$4))+SUMIF(INDIRECT(AD$3),'Struktur Vorjahr'!$D155,INDIRECT(AD$5)))</f>
        <v>0</v>
      </c>
      <c r="AE155" s="593">
        <f t="shared" ca="1" si="80"/>
        <v>0</v>
      </c>
      <c r="AF155" s="593">
        <f t="shared" ca="1" si="81"/>
        <v>0</v>
      </c>
      <c r="AG155" s="593">
        <f t="shared" ca="1" si="81"/>
        <v>0</v>
      </c>
      <c r="AH155" s="593">
        <f t="shared" ca="1" si="81"/>
        <v>0</v>
      </c>
      <c r="AI155" s="593">
        <f t="shared" ca="1" si="81"/>
        <v>0</v>
      </c>
      <c r="AJ155" s="593">
        <f t="shared" ca="1" si="81"/>
        <v>0</v>
      </c>
      <c r="AK155" s="593">
        <f t="shared" ca="1" si="81"/>
        <v>0</v>
      </c>
      <c r="AL155" s="593">
        <f t="shared" ca="1" si="81"/>
        <v>0</v>
      </c>
      <c r="AM155" s="593">
        <f t="shared" ca="1" si="81"/>
        <v>0</v>
      </c>
      <c r="AN155" s="593">
        <f t="shared" ca="1" si="81"/>
        <v>0</v>
      </c>
      <c r="AO155" s="593">
        <f t="shared" ca="1" si="81"/>
        <v>0</v>
      </c>
      <c r="AP155" s="593">
        <f t="shared" ca="1" si="81"/>
        <v>0</v>
      </c>
    </row>
    <row r="156" spans="1:42" s="589" customFormat="1" x14ac:dyDescent="0.2">
      <c r="A156" s="595"/>
      <c r="B156" s="596" t="s">
        <v>1011</v>
      </c>
      <c r="C156" s="597">
        <f ca="1">SUM(G156:R156)</f>
        <v>5425.6500000000106</v>
      </c>
      <c r="D156" s="597"/>
      <c r="E156" s="598">
        <f t="shared" si="65"/>
        <v>1</v>
      </c>
      <c r="F156" s="595"/>
      <c r="G156" s="597">
        <f t="shared" ref="G156:AP156" ca="1" si="82">G107-G108</f>
        <v>-6436.93</v>
      </c>
      <c r="H156" s="597">
        <f t="shared" ca="1" si="82"/>
        <v>-4741.6499999999996</v>
      </c>
      <c r="I156" s="597">
        <f t="shared" ca="1" si="82"/>
        <v>-11929.380000000001</v>
      </c>
      <c r="J156" s="597">
        <f t="shared" ca="1" si="82"/>
        <v>-4671.7500000000036</v>
      </c>
      <c r="K156" s="597">
        <f t="shared" ca="1" si="82"/>
        <v>-9509.7899999999972</v>
      </c>
      <c r="L156" s="597">
        <f t="shared" ca="1" si="82"/>
        <v>-5876.3999999999978</v>
      </c>
      <c r="M156" s="597">
        <f t="shared" ca="1" si="82"/>
        <v>32278.400000000001</v>
      </c>
      <c r="N156" s="597">
        <f t="shared" ca="1" si="82"/>
        <v>4756.9500000000007</v>
      </c>
      <c r="O156" s="597">
        <f t="shared" ca="1" si="82"/>
        <v>-5009.9299999999985</v>
      </c>
      <c r="P156" s="597">
        <f t="shared" ca="1" si="82"/>
        <v>16566.13</v>
      </c>
      <c r="Q156" s="597">
        <f t="shared" ca="1" si="82"/>
        <v>0</v>
      </c>
      <c r="R156" s="597">
        <f t="shared" ca="1" si="82"/>
        <v>0</v>
      </c>
      <c r="S156" s="597">
        <f t="shared" ca="1" si="82"/>
        <v>-6436.93</v>
      </c>
      <c r="T156" s="597">
        <f t="shared" ca="1" si="82"/>
        <v>-11178.580000000005</v>
      </c>
      <c r="U156" s="597">
        <f t="shared" ca="1" si="82"/>
        <v>-23107.96000000001</v>
      </c>
      <c r="V156" s="597">
        <f t="shared" ca="1" si="82"/>
        <v>-27779.710000000006</v>
      </c>
      <c r="W156" s="597">
        <f t="shared" ca="1" si="82"/>
        <v>-37289.5</v>
      </c>
      <c r="X156" s="597">
        <f t="shared" ca="1" si="82"/>
        <v>-43165.899999999994</v>
      </c>
      <c r="Y156" s="597">
        <f t="shared" ca="1" si="82"/>
        <v>-10887.5</v>
      </c>
      <c r="Z156" s="597">
        <f t="shared" ca="1" si="82"/>
        <v>-6130.5499999999884</v>
      </c>
      <c r="AA156" s="597">
        <f t="shared" ca="1" si="82"/>
        <v>-11140.48000000001</v>
      </c>
      <c r="AB156" s="597">
        <f t="shared" ca="1" si="82"/>
        <v>5425.6499999999942</v>
      </c>
      <c r="AC156" s="597">
        <f t="shared" ca="1" si="82"/>
        <v>0</v>
      </c>
      <c r="AD156" s="597">
        <f t="shared" ca="1" si="82"/>
        <v>0</v>
      </c>
      <c r="AE156" s="597">
        <f t="shared" ca="1" si="82"/>
        <v>-6436.93</v>
      </c>
      <c r="AF156" s="597">
        <f t="shared" ca="1" si="82"/>
        <v>-11178.580000000005</v>
      </c>
      <c r="AG156" s="597">
        <f t="shared" ca="1" si="82"/>
        <v>-23107.96000000001</v>
      </c>
      <c r="AH156" s="597">
        <f t="shared" ca="1" si="82"/>
        <v>-27779.710000000006</v>
      </c>
      <c r="AI156" s="597">
        <f t="shared" ca="1" si="82"/>
        <v>-37289.5</v>
      </c>
      <c r="AJ156" s="597">
        <f t="shared" ca="1" si="82"/>
        <v>-43165.899999999994</v>
      </c>
      <c r="AK156" s="597">
        <f t="shared" ca="1" si="82"/>
        <v>-10887.5</v>
      </c>
      <c r="AL156" s="597">
        <f t="shared" ca="1" si="82"/>
        <v>-6130.5499999999884</v>
      </c>
      <c r="AM156" s="597">
        <f t="shared" ca="1" si="82"/>
        <v>-11140.48000000001</v>
      </c>
      <c r="AN156" s="597">
        <f t="shared" ca="1" si="82"/>
        <v>5425.6500000000524</v>
      </c>
      <c r="AO156" s="597">
        <f t="shared" ca="1" si="82"/>
        <v>5425.6500000000524</v>
      </c>
      <c r="AP156" s="597">
        <f t="shared" ca="1" si="82"/>
        <v>5425.6500000000524</v>
      </c>
    </row>
    <row r="157" spans="1:42" x14ac:dyDescent="0.2">
      <c r="A157" s="730"/>
      <c r="B157" s="731" t="s">
        <v>2</v>
      </c>
      <c r="C157" s="732">
        <f ca="1">SUM(G157:R157)</f>
        <v>16722.939999999999</v>
      </c>
      <c r="D157" s="732"/>
      <c r="E157" s="733">
        <f t="shared" si="65"/>
        <v>1</v>
      </c>
      <c r="F157" s="730"/>
      <c r="G157" s="732">
        <f ca="1">G158+G168</f>
        <v>1761.74</v>
      </c>
      <c r="H157" s="732">
        <f t="shared" ref="H157:R157" ca="1" si="83">H158+H168</f>
        <v>1543.45</v>
      </c>
      <c r="I157" s="732">
        <f t="shared" ca="1" si="83"/>
        <v>1808.77</v>
      </c>
      <c r="J157" s="732">
        <f t="shared" ca="1" si="83"/>
        <v>1581.49</v>
      </c>
      <c r="K157" s="732">
        <f t="shared" ca="1" si="83"/>
        <v>2107.02</v>
      </c>
      <c r="L157" s="732">
        <f t="shared" ca="1" si="83"/>
        <v>585.28</v>
      </c>
      <c r="M157" s="732">
        <f t="shared" ca="1" si="83"/>
        <v>2648.0299999999997</v>
      </c>
      <c r="N157" s="732">
        <f t="shared" ca="1" si="83"/>
        <v>2058.58</v>
      </c>
      <c r="O157" s="732">
        <f t="shared" ca="1" si="83"/>
        <v>1314.29</v>
      </c>
      <c r="P157" s="732">
        <f t="shared" ca="1" si="83"/>
        <v>1314.29</v>
      </c>
      <c r="Q157" s="732">
        <f t="shared" ca="1" si="83"/>
        <v>0</v>
      </c>
      <c r="R157" s="732">
        <f t="shared" ca="1" si="83"/>
        <v>0</v>
      </c>
      <c r="S157" s="732">
        <f ca="1">S158+S168</f>
        <v>1761.74</v>
      </c>
      <c r="T157" s="732">
        <f t="shared" ref="T157:AD157" ca="1" si="84">T158+T168</f>
        <v>3305.19</v>
      </c>
      <c r="U157" s="732">
        <f t="shared" ca="1" si="84"/>
        <v>5113.96</v>
      </c>
      <c r="V157" s="732">
        <f t="shared" ca="1" si="84"/>
        <v>6695.45</v>
      </c>
      <c r="W157" s="732">
        <f t="shared" ca="1" si="84"/>
        <v>8802.4699999999993</v>
      </c>
      <c r="X157" s="732">
        <f t="shared" ca="1" si="84"/>
        <v>9387.75</v>
      </c>
      <c r="Y157" s="732">
        <f t="shared" ca="1" si="84"/>
        <v>12035.779999999999</v>
      </c>
      <c r="Z157" s="732">
        <f t="shared" ca="1" si="84"/>
        <v>14094.36</v>
      </c>
      <c r="AA157" s="732">
        <f t="shared" ca="1" si="84"/>
        <v>15408.65</v>
      </c>
      <c r="AB157" s="732">
        <f t="shared" ca="1" si="84"/>
        <v>16722.940000000002</v>
      </c>
      <c r="AC157" s="732">
        <f t="shared" ca="1" si="84"/>
        <v>0</v>
      </c>
      <c r="AD157" s="732">
        <f t="shared" ca="1" si="84"/>
        <v>0</v>
      </c>
      <c r="AE157" s="732">
        <f ca="1">AE158+AE168</f>
        <v>1761.74</v>
      </c>
      <c r="AF157" s="732">
        <f t="shared" ref="AF157:AP157" ca="1" si="85">AF158+AF168</f>
        <v>3305.19</v>
      </c>
      <c r="AG157" s="732">
        <f t="shared" ca="1" si="85"/>
        <v>5113.96</v>
      </c>
      <c r="AH157" s="732">
        <f t="shared" ca="1" si="85"/>
        <v>6695.45</v>
      </c>
      <c r="AI157" s="732">
        <f t="shared" ca="1" si="85"/>
        <v>8802.4699999999993</v>
      </c>
      <c r="AJ157" s="732">
        <f t="shared" ca="1" si="85"/>
        <v>9387.75</v>
      </c>
      <c r="AK157" s="732">
        <f t="shared" ca="1" si="85"/>
        <v>12035.78</v>
      </c>
      <c r="AL157" s="732">
        <f t="shared" ca="1" si="85"/>
        <v>14094.36</v>
      </c>
      <c r="AM157" s="732">
        <f t="shared" ca="1" si="85"/>
        <v>15408.65</v>
      </c>
      <c r="AN157" s="732">
        <f t="shared" ca="1" si="85"/>
        <v>16722.940000000002</v>
      </c>
      <c r="AO157" s="732">
        <f t="shared" ca="1" si="85"/>
        <v>16722.940000000002</v>
      </c>
      <c r="AP157" s="732">
        <f t="shared" ca="1" si="85"/>
        <v>16722.940000000002</v>
      </c>
    </row>
    <row r="158" spans="1:42" s="589" customFormat="1" x14ac:dyDescent="0.2">
      <c r="A158" s="585">
        <v>15</v>
      </c>
      <c r="B158" s="586" t="s">
        <v>1012</v>
      </c>
      <c r="C158" s="587">
        <f ca="1">SUM(G158:R158)</f>
        <v>14514.279999999999</v>
      </c>
      <c r="D158" s="587"/>
      <c r="E158" s="588">
        <f t="shared" si="65"/>
        <v>1</v>
      </c>
      <c r="F158" s="585"/>
      <c r="G158" s="587">
        <f t="shared" ref="G158:AP158" ca="1" si="86">SUM(G159:G167)</f>
        <v>1538.74</v>
      </c>
      <c r="H158" s="587">
        <f t="shared" ca="1" si="86"/>
        <v>1538.74</v>
      </c>
      <c r="I158" s="587">
        <f t="shared" ca="1" si="86"/>
        <v>1538.74</v>
      </c>
      <c r="J158" s="587">
        <f t="shared" ca="1" si="86"/>
        <v>1538.74</v>
      </c>
      <c r="K158" s="587">
        <f t="shared" ca="1" si="86"/>
        <v>1538.74</v>
      </c>
      <c r="L158" s="587">
        <f t="shared" ca="1" si="86"/>
        <v>585.28</v>
      </c>
      <c r="M158" s="587">
        <f t="shared" ca="1" si="86"/>
        <v>2078.14</v>
      </c>
      <c r="N158" s="587">
        <f t="shared" ca="1" si="86"/>
        <v>1528.58</v>
      </c>
      <c r="O158" s="587">
        <f t="shared" ca="1" si="86"/>
        <v>1314.29</v>
      </c>
      <c r="P158" s="587">
        <f t="shared" ca="1" si="86"/>
        <v>1314.29</v>
      </c>
      <c r="Q158" s="587">
        <f t="shared" ca="1" si="86"/>
        <v>0</v>
      </c>
      <c r="R158" s="587">
        <f t="shared" ca="1" si="86"/>
        <v>0</v>
      </c>
      <c r="S158" s="587">
        <f t="shared" ca="1" si="86"/>
        <v>1538.74</v>
      </c>
      <c r="T158" s="587">
        <f t="shared" ca="1" si="86"/>
        <v>3077.48</v>
      </c>
      <c r="U158" s="587">
        <f t="shared" ca="1" si="86"/>
        <v>4616.22</v>
      </c>
      <c r="V158" s="587">
        <f t="shared" ca="1" si="86"/>
        <v>6154.96</v>
      </c>
      <c r="W158" s="587">
        <f t="shared" ca="1" si="86"/>
        <v>7693.7</v>
      </c>
      <c r="X158" s="587">
        <f t="shared" ca="1" si="86"/>
        <v>8278.98</v>
      </c>
      <c r="Y158" s="587">
        <f t="shared" ca="1" si="86"/>
        <v>10357.119999999999</v>
      </c>
      <c r="Z158" s="587">
        <f t="shared" ca="1" si="86"/>
        <v>11885.7</v>
      </c>
      <c r="AA158" s="587">
        <f t="shared" ca="1" si="86"/>
        <v>13199.99</v>
      </c>
      <c r="AB158" s="587">
        <f t="shared" ca="1" si="86"/>
        <v>14514.28</v>
      </c>
      <c r="AC158" s="587">
        <f t="shared" ca="1" si="86"/>
        <v>0</v>
      </c>
      <c r="AD158" s="587">
        <f t="shared" ca="1" si="86"/>
        <v>0</v>
      </c>
      <c r="AE158" s="587">
        <f t="shared" ca="1" si="86"/>
        <v>1538.74</v>
      </c>
      <c r="AF158" s="587">
        <f t="shared" ca="1" si="86"/>
        <v>3077.48</v>
      </c>
      <c r="AG158" s="587">
        <f t="shared" ca="1" si="86"/>
        <v>4616.22</v>
      </c>
      <c r="AH158" s="587">
        <f t="shared" ca="1" si="86"/>
        <v>6154.96</v>
      </c>
      <c r="AI158" s="587">
        <f t="shared" ca="1" si="86"/>
        <v>7693.7</v>
      </c>
      <c r="AJ158" s="587">
        <f t="shared" ca="1" si="86"/>
        <v>8278.98</v>
      </c>
      <c r="AK158" s="587">
        <f t="shared" ca="1" si="86"/>
        <v>10357.120000000001</v>
      </c>
      <c r="AL158" s="587">
        <f t="shared" ca="1" si="86"/>
        <v>11885.7</v>
      </c>
      <c r="AM158" s="587">
        <f t="shared" ca="1" si="86"/>
        <v>13199.99</v>
      </c>
      <c r="AN158" s="587">
        <f t="shared" ca="1" si="86"/>
        <v>14514.28</v>
      </c>
      <c r="AO158" s="587">
        <f t="shared" ca="1" si="86"/>
        <v>14514.28</v>
      </c>
      <c r="AP158" s="587">
        <f t="shared" ca="1" si="86"/>
        <v>14514.28</v>
      </c>
    </row>
    <row r="159" spans="1:42" s="594" customFormat="1" ht="11.25" outlineLevel="1" x14ac:dyDescent="0.2">
      <c r="A159" s="590"/>
      <c r="B159" s="591" t="str">
        <f>IF(D159&lt;&gt;"",
IF(ISERROR(MATCH(D159,'Ist Vorjahr Monat 01'!A:A,0))=FALSE,INDEX('Ist Vorjahr Monat 01'!B:B,MATCH(D159,'Ist Vorjahr Monat 01'!A:A,0)),
IF(ISERROR(MATCH(D159,'Ist Vorjahr Monat 02'!A:A,0))=FALSE,INDEX('Ist Vorjahr Monat 02'!B:B,MATCH(D159,'Ist Vorjahr Monat 02'!A:A,0)),
IF(ISERROR(MATCH(D159,'Ist Vorjahr Monat 03'!A:A,0))=FALSE,INDEX('Ist Vorjahr Monat 03'!B:B,MATCH(D159,'Ist Vorjahr Monat 03'!A:A,0)),
IF(ISERROR(MATCH(D159,'Ist Vorjahr Monat 04'!A:A,0))=FALSE,INDEX('Ist Vorjahr Monat 04'!B:B,MATCH(D159,'Ist Vorjahr Monat 04'!A:A,0)),
IF(ISERROR(MATCH(D159,'Ist Vorjahr Monat 05'!A:A,0))=FALSE,INDEX('Ist Vorjahr Monat 05'!B:B,MATCH(D159,'Ist Vorjahr Monat 05'!A:A,0)),
IF(ISERROR(MATCH(D159,'Ist Vorjahr Monat 06'!A:A,0))=FALSE,INDEX('Ist Vorjahr Monat 06'!B:B,MATCH(D159,'Ist Vorjahr Monat 06'!A:A,0)),
IF(ISERROR(MATCH(D159,'Ist Vorjahr Monat 07'!A:A,0))=FALSE,INDEX('Ist Vorjahr Monat 07'!B:B,MATCH(D159,'Ist Vorjahr Monat 07'!A:A,0)),
IF(ISERROR(MATCH(D159,'Ist Vorjahr Monat 08'!A:A,0))=FALSE,INDEX('Ist Vorjahr Monat 08'!B:B,MATCH(D159,'Ist Vorjahr Monat 08'!A:A,0)),
IF(ISERROR(MATCH(D159,'Ist Vorjahr Monat 09'!A:A,0))=FALSE,INDEX('Ist Vorjahr Monat 09'!B:B,MATCH(D159,'Ist Vorjahr Monat 09'!A:A,0)),
IF(ISERROR(MATCH(D159,'Ist Vorjahr Monat 10'!A:A,0))=FALSE,INDEX('Ist Vorjahr Monat 10'!B:B,MATCH(D159,'Ist Vorjahr Monat 10'!A:A,0)),
IF(ISERROR(MATCH(D159,'Ist Vorjahr Monat 11'!A:A,0))=FALSE,INDEX('Ist Vorjahr Monat 11'!B:B,MATCH(D159,'Ist Vorjahr Monat 11'!A:A,0)),
IF(ISERROR(MATCH(D159,'Ist Vorjahr Monat 12'!A:A,0))=FALSE,INDEX('Ist Vorjahr Monat 12'!B:B,MATCH(D159,'Ist Vorjahr Monat 12'!A:A,0)),
"{Konto unbekannt}"
)))))))))))),"")</f>
        <v>Miete, unbewegliche Wirtschaftsgüter</v>
      </c>
      <c r="C159" s="591"/>
      <c r="D159" s="590">
        <v>4210</v>
      </c>
      <c r="E159" s="592">
        <f t="shared" si="65"/>
        <v>1</v>
      </c>
      <c r="F159" s="590"/>
      <c r="G159" s="593">
        <f ca="1">$E159*(-SUMIF(INDIRECT(G$3),'Struktur Vorjahr'!$D159,INDIRECT(G$4))+SUMIF(INDIRECT(G$3),'Struktur Vorjahr'!$D159,INDIRECT(G$5)))</f>
        <v>1250.5</v>
      </c>
      <c r="H159" s="593">
        <f ca="1">$E159*(-SUMIF(INDIRECT(H$3),'Struktur Vorjahr'!$D159,INDIRECT(H$4))+SUMIF(INDIRECT(H$3),'Struktur Vorjahr'!$D159,INDIRECT(H$5)))</f>
        <v>1250.5</v>
      </c>
      <c r="I159" s="593">
        <f ca="1">$E159*(-SUMIF(INDIRECT(I$3),'Struktur Vorjahr'!$D159,INDIRECT(I$4))+SUMIF(INDIRECT(I$3),'Struktur Vorjahr'!$D159,INDIRECT(I$5)))</f>
        <v>1250.5</v>
      </c>
      <c r="J159" s="593">
        <f ca="1">$E159*(-SUMIF(INDIRECT(J$3),'Struktur Vorjahr'!$D159,INDIRECT(J$4))+SUMIF(INDIRECT(J$3),'Struktur Vorjahr'!$D159,INDIRECT(J$5)))</f>
        <v>1250.5</v>
      </c>
      <c r="K159" s="593">
        <f ca="1">$E159*(-SUMIF(INDIRECT(K$3),'Struktur Vorjahr'!$D159,INDIRECT(K$4))+SUMIF(INDIRECT(K$3),'Struktur Vorjahr'!$D159,INDIRECT(K$5)))</f>
        <v>1250.5</v>
      </c>
      <c r="L159" s="593">
        <f ca="1">$E159*(-SUMIF(INDIRECT(L$3),'Struktur Vorjahr'!$D159,INDIRECT(L$4))+SUMIF(INDIRECT(L$3),'Struktur Vorjahr'!$D159,INDIRECT(L$5)))</f>
        <v>0</v>
      </c>
      <c r="M159" s="593">
        <f ca="1">$E159*(-SUMIF(INDIRECT(M$3),'Struktur Vorjahr'!$D159,INDIRECT(M$4))+SUMIF(INDIRECT(M$3),'Struktur Vorjahr'!$D159,INDIRECT(M$5)))</f>
        <v>2200</v>
      </c>
      <c r="N159" s="593">
        <f ca="1">$E159*(-SUMIF(INDIRECT(N$3),'Struktur Vorjahr'!$D159,INDIRECT(N$4))+SUMIF(INDIRECT(N$3),'Struktur Vorjahr'!$D159,INDIRECT(N$5)))</f>
        <v>1100</v>
      </c>
      <c r="O159" s="593">
        <f ca="1">$E159*(-SUMIF(INDIRECT(O$3),'Struktur Vorjahr'!$D159,INDIRECT(O$4))+SUMIF(INDIRECT(O$3),'Struktur Vorjahr'!$D159,INDIRECT(O$5)))</f>
        <v>1100</v>
      </c>
      <c r="P159" s="593">
        <f ca="1">$E159*(-SUMIF(INDIRECT(P$3),'Struktur Vorjahr'!$D159,INDIRECT(P$4))+SUMIF(INDIRECT(P$3),'Struktur Vorjahr'!$D159,INDIRECT(P$5)))</f>
        <v>1100</v>
      </c>
      <c r="Q159" s="593">
        <f ca="1">$E159*(-SUMIF(INDIRECT(Q$3),'Struktur Vorjahr'!$D159,INDIRECT(Q$4))+SUMIF(INDIRECT(Q$3),'Struktur Vorjahr'!$D159,INDIRECT(Q$5)))</f>
        <v>0</v>
      </c>
      <c r="R159" s="593">
        <f ca="1">$E159*(-SUMIF(INDIRECT(R$3),'Struktur Vorjahr'!$D159,INDIRECT(R$4))+SUMIF(INDIRECT(R$3),'Struktur Vorjahr'!$D159,INDIRECT(R$5)))</f>
        <v>0</v>
      </c>
      <c r="S159" s="593">
        <f ca="1">$E159*(-SUMIF(INDIRECT(S$3),'Struktur Vorjahr'!$D159,INDIRECT(S$4))+SUMIF(INDIRECT(S$3),'Struktur Vorjahr'!$D159,INDIRECT(S$5)))</f>
        <v>1250.5</v>
      </c>
      <c r="T159" s="593">
        <f ca="1">$E159*(-SUMIF(INDIRECT(T$3),'Struktur Vorjahr'!$D159,INDIRECT(T$4))+SUMIF(INDIRECT(T$3),'Struktur Vorjahr'!$D159,INDIRECT(T$5)))</f>
        <v>2501</v>
      </c>
      <c r="U159" s="593">
        <f ca="1">$E159*(-SUMIF(INDIRECT(U$3),'Struktur Vorjahr'!$D159,INDIRECT(U$4))+SUMIF(INDIRECT(U$3),'Struktur Vorjahr'!$D159,INDIRECT(U$5)))</f>
        <v>3751.5</v>
      </c>
      <c r="V159" s="593">
        <f ca="1">$E159*(-SUMIF(INDIRECT(V$3),'Struktur Vorjahr'!$D159,INDIRECT(V$4))+SUMIF(INDIRECT(V$3),'Struktur Vorjahr'!$D159,INDIRECT(V$5)))</f>
        <v>5002</v>
      </c>
      <c r="W159" s="593">
        <f ca="1">$E159*(-SUMIF(INDIRECT(W$3),'Struktur Vorjahr'!$D159,INDIRECT(W$4))+SUMIF(INDIRECT(W$3),'Struktur Vorjahr'!$D159,INDIRECT(W$5)))</f>
        <v>6252.5</v>
      </c>
      <c r="X159" s="593">
        <f ca="1">$E159*(-SUMIF(INDIRECT(X$3),'Struktur Vorjahr'!$D159,INDIRECT(X$4))+SUMIF(INDIRECT(X$3),'Struktur Vorjahr'!$D159,INDIRECT(X$5)))</f>
        <v>6252.5</v>
      </c>
      <c r="Y159" s="593">
        <f ca="1">$E159*(-SUMIF(INDIRECT(Y$3),'Struktur Vorjahr'!$D159,INDIRECT(Y$4))+SUMIF(INDIRECT(Y$3),'Struktur Vorjahr'!$D159,INDIRECT(Y$5)))</f>
        <v>8452.5</v>
      </c>
      <c r="Z159" s="593">
        <f ca="1">$E159*(-SUMIF(INDIRECT(Z$3),'Struktur Vorjahr'!$D159,INDIRECT(Z$4))+SUMIF(INDIRECT(Z$3),'Struktur Vorjahr'!$D159,INDIRECT(Z$5)))</f>
        <v>9552.5</v>
      </c>
      <c r="AA159" s="593">
        <f ca="1">$E159*(-SUMIF(INDIRECT(AA$3),'Struktur Vorjahr'!$D159,INDIRECT(AA$4))+SUMIF(INDIRECT(AA$3),'Struktur Vorjahr'!$D159,INDIRECT(AA$5)))</f>
        <v>10652.5</v>
      </c>
      <c r="AB159" s="593">
        <f ca="1">$E159*(-SUMIF(INDIRECT(AB$3),'Struktur Vorjahr'!$D159,INDIRECT(AB$4))+SUMIF(INDIRECT(AB$3),'Struktur Vorjahr'!$D159,INDIRECT(AB$5)))</f>
        <v>11752.5</v>
      </c>
      <c r="AC159" s="593">
        <f ca="1">$E159*(-SUMIF(INDIRECT(AC$3),'Struktur Vorjahr'!$D159,INDIRECT(AC$4))+SUMIF(INDIRECT(AC$3),'Struktur Vorjahr'!$D159,INDIRECT(AC$5)))</f>
        <v>0</v>
      </c>
      <c r="AD159" s="593">
        <f ca="1">$E159*(-SUMIF(INDIRECT(AD$3),'Struktur Vorjahr'!$D159,INDIRECT(AD$4))+SUMIF(INDIRECT(AD$3),'Struktur Vorjahr'!$D159,INDIRECT(AD$5)))</f>
        <v>0</v>
      </c>
      <c r="AE159" s="593">
        <f t="shared" ref="AE159:AE167" ca="1" si="87">G159</f>
        <v>1250.5</v>
      </c>
      <c r="AF159" s="593">
        <f t="shared" ref="AF159:AP167" ca="1" si="88">H159+AE159</f>
        <v>2501</v>
      </c>
      <c r="AG159" s="593">
        <f t="shared" ca="1" si="88"/>
        <v>3751.5</v>
      </c>
      <c r="AH159" s="593">
        <f t="shared" ca="1" si="88"/>
        <v>5002</v>
      </c>
      <c r="AI159" s="593">
        <f t="shared" ca="1" si="88"/>
        <v>6252.5</v>
      </c>
      <c r="AJ159" s="593">
        <f t="shared" ca="1" si="88"/>
        <v>6252.5</v>
      </c>
      <c r="AK159" s="593">
        <f t="shared" ca="1" si="88"/>
        <v>8452.5</v>
      </c>
      <c r="AL159" s="593">
        <f t="shared" ca="1" si="88"/>
        <v>9552.5</v>
      </c>
      <c r="AM159" s="593">
        <f t="shared" ca="1" si="88"/>
        <v>10652.5</v>
      </c>
      <c r="AN159" s="593">
        <f t="shared" ca="1" si="88"/>
        <v>11752.5</v>
      </c>
      <c r="AO159" s="593">
        <f t="shared" ca="1" si="88"/>
        <v>11752.5</v>
      </c>
      <c r="AP159" s="593">
        <f t="shared" ca="1" si="88"/>
        <v>11752.5</v>
      </c>
    </row>
    <row r="160" spans="1:42" s="594" customFormat="1" ht="11.25" outlineLevel="1" x14ac:dyDescent="0.2">
      <c r="A160" s="590"/>
      <c r="B160" s="591" t="str">
        <f>IF(D160&lt;&gt;"",
IF(ISERROR(MATCH(D160,'Ist Vorjahr Monat 01'!A:A,0))=FALSE,INDEX('Ist Vorjahr Monat 01'!B:B,MATCH(D160,'Ist Vorjahr Monat 01'!A:A,0)),
IF(ISERROR(MATCH(D160,'Ist Vorjahr Monat 02'!A:A,0))=FALSE,INDEX('Ist Vorjahr Monat 02'!B:B,MATCH(D160,'Ist Vorjahr Monat 02'!A:A,0)),
IF(ISERROR(MATCH(D160,'Ist Vorjahr Monat 03'!A:A,0))=FALSE,INDEX('Ist Vorjahr Monat 03'!B:B,MATCH(D160,'Ist Vorjahr Monat 03'!A:A,0)),
IF(ISERROR(MATCH(D160,'Ist Vorjahr Monat 04'!A:A,0))=FALSE,INDEX('Ist Vorjahr Monat 04'!B:B,MATCH(D160,'Ist Vorjahr Monat 04'!A:A,0)),
IF(ISERROR(MATCH(D160,'Ist Vorjahr Monat 05'!A:A,0))=FALSE,INDEX('Ist Vorjahr Monat 05'!B:B,MATCH(D160,'Ist Vorjahr Monat 05'!A:A,0)),
IF(ISERROR(MATCH(D160,'Ist Vorjahr Monat 06'!A:A,0))=FALSE,INDEX('Ist Vorjahr Monat 06'!B:B,MATCH(D160,'Ist Vorjahr Monat 06'!A:A,0)),
IF(ISERROR(MATCH(D160,'Ist Vorjahr Monat 07'!A:A,0))=FALSE,INDEX('Ist Vorjahr Monat 07'!B:B,MATCH(D160,'Ist Vorjahr Monat 07'!A:A,0)),
IF(ISERROR(MATCH(D160,'Ist Vorjahr Monat 08'!A:A,0))=FALSE,INDEX('Ist Vorjahr Monat 08'!B:B,MATCH(D160,'Ist Vorjahr Monat 08'!A:A,0)),
IF(ISERROR(MATCH(D160,'Ist Vorjahr Monat 09'!A:A,0))=FALSE,INDEX('Ist Vorjahr Monat 09'!B:B,MATCH(D160,'Ist Vorjahr Monat 09'!A:A,0)),
IF(ISERROR(MATCH(D160,'Ist Vorjahr Monat 10'!A:A,0))=FALSE,INDEX('Ist Vorjahr Monat 10'!B:B,MATCH(D160,'Ist Vorjahr Monat 10'!A:A,0)),
IF(ISERROR(MATCH(D160,'Ist Vorjahr Monat 11'!A:A,0))=FALSE,INDEX('Ist Vorjahr Monat 11'!B:B,MATCH(D160,'Ist Vorjahr Monat 11'!A:A,0)),
IF(ISERROR(MATCH(D160,'Ist Vorjahr Monat 12'!A:A,0))=FALSE,INDEX('Ist Vorjahr Monat 12'!B:B,MATCH(D160,'Ist Vorjahr Monat 12'!A:A,0)),
"{Konto unbekannt}"
)))))))))))),"")</f>
        <v>Gas, Strom, Wasser</v>
      </c>
      <c r="C160" s="591"/>
      <c r="D160" s="590">
        <v>4240</v>
      </c>
      <c r="E160" s="592">
        <f t="shared" si="65"/>
        <v>1</v>
      </c>
      <c r="F160" s="590"/>
      <c r="G160" s="593">
        <f ca="1">$E160*(-SUMIF(INDIRECT(G$3),'Struktur Vorjahr'!$D160,INDIRECT(G$4))+SUMIF(INDIRECT(G$3),'Struktur Vorjahr'!$D160,INDIRECT(G$5)))</f>
        <v>288.24</v>
      </c>
      <c r="H160" s="593">
        <f ca="1">$E160*(-SUMIF(INDIRECT(H$3),'Struktur Vorjahr'!$D160,INDIRECT(H$4))+SUMIF(INDIRECT(H$3),'Struktur Vorjahr'!$D160,INDIRECT(H$5)))</f>
        <v>288.24</v>
      </c>
      <c r="I160" s="593">
        <f ca="1">$E160*(-SUMIF(INDIRECT(I$3),'Struktur Vorjahr'!$D160,INDIRECT(I$4))+SUMIF(INDIRECT(I$3),'Struktur Vorjahr'!$D160,INDIRECT(I$5)))</f>
        <v>288.24</v>
      </c>
      <c r="J160" s="593">
        <f ca="1">$E160*(-SUMIF(INDIRECT(J$3),'Struktur Vorjahr'!$D160,INDIRECT(J$4))+SUMIF(INDIRECT(J$3),'Struktur Vorjahr'!$D160,INDIRECT(J$5)))</f>
        <v>288.24</v>
      </c>
      <c r="K160" s="593">
        <f ca="1">$E160*(-SUMIF(INDIRECT(K$3),'Struktur Vorjahr'!$D160,INDIRECT(K$4))+SUMIF(INDIRECT(K$3),'Struktur Vorjahr'!$D160,INDIRECT(K$5)))</f>
        <v>288.24</v>
      </c>
      <c r="L160" s="593">
        <f ca="1">$E160*(-SUMIF(INDIRECT(L$3),'Struktur Vorjahr'!$D160,INDIRECT(L$4))+SUMIF(INDIRECT(L$3),'Struktur Vorjahr'!$D160,INDIRECT(L$5)))</f>
        <v>585.28</v>
      </c>
      <c r="M160" s="593">
        <f ca="1">$E160*(-SUMIF(INDIRECT(M$3),'Struktur Vorjahr'!$D160,INDIRECT(M$4))+SUMIF(INDIRECT(M$3),'Struktur Vorjahr'!$D160,INDIRECT(M$5)))</f>
        <v>-121.86</v>
      </c>
      <c r="N160" s="593">
        <f ca="1">$E160*(-SUMIF(INDIRECT(N$3),'Struktur Vorjahr'!$D160,INDIRECT(N$4))+SUMIF(INDIRECT(N$3),'Struktur Vorjahr'!$D160,INDIRECT(N$5)))</f>
        <v>428.58</v>
      </c>
      <c r="O160" s="593">
        <f ca="1">$E160*(-SUMIF(INDIRECT(O$3),'Struktur Vorjahr'!$D160,INDIRECT(O$4))+SUMIF(INDIRECT(O$3),'Struktur Vorjahr'!$D160,INDIRECT(O$5)))</f>
        <v>214.29</v>
      </c>
      <c r="P160" s="593">
        <f ca="1">$E160*(-SUMIF(INDIRECT(P$3),'Struktur Vorjahr'!$D160,INDIRECT(P$4))+SUMIF(INDIRECT(P$3),'Struktur Vorjahr'!$D160,INDIRECT(P$5)))</f>
        <v>214.29</v>
      </c>
      <c r="Q160" s="593">
        <f ca="1">$E160*(-SUMIF(INDIRECT(Q$3),'Struktur Vorjahr'!$D160,INDIRECT(Q$4))+SUMIF(INDIRECT(Q$3),'Struktur Vorjahr'!$D160,INDIRECT(Q$5)))</f>
        <v>0</v>
      </c>
      <c r="R160" s="593">
        <f ca="1">$E160*(-SUMIF(INDIRECT(R$3),'Struktur Vorjahr'!$D160,INDIRECT(R$4))+SUMIF(INDIRECT(R$3),'Struktur Vorjahr'!$D160,INDIRECT(R$5)))</f>
        <v>0</v>
      </c>
      <c r="S160" s="593">
        <f ca="1">$E160*(-SUMIF(INDIRECT(S$3),'Struktur Vorjahr'!$D160,INDIRECT(S$4))+SUMIF(INDIRECT(S$3),'Struktur Vorjahr'!$D160,INDIRECT(S$5)))</f>
        <v>288.24</v>
      </c>
      <c r="T160" s="593">
        <f ca="1">$E160*(-SUMIF(INDIRECT(T$3),'Struktur Vorjahr'!$D160,INDIRECT(T$4))+SUMIF(INDIRECT(T$3),'Struktur Vorjahr'!$D160,INDIRECT(T$5)))</f>
        <v>576.48</v>
      </c>
      <c r="U160" s="593">
        <f ca="1">$E160*(-SUMIF(INDIRECT(U$3),'Struktur Vorjahr'!$D160,INDIRECT(U$4))+SUMIF(INDIRECT(U$3),'Struktur Vorjahr'!$D160,INDIRECT(U$5)))</f>
        <v>864.72</v>
      </c>
      <c r="V160" s="593">
        <f ca="1">$E160*(-SUMIF(INDIRECT(V$3),'Struktur Vorjahr'!$D160,INDIRECT(V$4))+SUMIF(INDIRECT(V$3),'Struktur Vorjahr'!$D160,INDIRECT(V$5)))</f>
        <v>1152.96</v>
      </c>
      <c r="W160" s="593">
        <f ca="1">$E160*(-SUMIF(INDIRECT(W$3),'Struktur Vorjahr'!$D160,INDIRECT(W$4))+SUMIF(INDIRECT(W$3),'Struktur Vorjahr'!$D160,INDIRECT(W$5)))</f>
        <v>1441.2</v>
      </c>
      <c r="X160" s="593">
        <f ca="1">$E160*(-SUMIF(INDIRECT(X$3),'Struktur Vorjahr'!$D160,INDIRECT(X$4))+SUMIF(INDIRECT(X$3),'Struktur Vorjahr'!$D160,INDIRECT(X$5)))</f>
        <v>2026.48</v>
      </c>
      <c r="Y160" s="593">
        <f ca="1">$E160*(-SUMIF(INDIRECT(Y$3),'Struktur Vorjahr'!$D160,INDIRECT(Y$4))+SUMIF(INDIRECT(Y$3),'Struktur Vorjahr'!$D160,INDIRECT(Y$5)))</f>
        <v>1904.62</v>
      </c>
      <c r="Z160" s="593">
        <f ca="1">$E160*(-SUMIF(INDIRECT(Z$3),'Struktur Vorjahr'!$D160,INDIRECT(Z$4))+SUMIF(INDIRECT(Z$3),'Struktur Vorjahr'!$D160,INDIRECT(Z$5)))</f>
        <v>2333.1999999999998</v>
      </c>
      <c r="AA160" s="593">
        <f ca="1">$E160*(-SUMIF(INDIRECT(AA$3),'Struktur Vorjahr'!$D160,INDIRECT(AA$4))+SUMIF(INDIRECT(AA$3),'Struktur Vorjahr'!$D160,INDIRECT(AA$5)))</f>
        <v>2547.4899999999998</v>
      </c>
      <c r="AB160" s="593">
        <f ca="1">$E160*(-SUMIF(INDIRECT(AB$3),'Struktur Vorjahr'!$D160,INDIRECT(AB$4))+SUMIF(INDIRECT(AB$3),'Struktur Vorjahr'!$D160,INDIRECT(AB$5)))</f>
        <v>2761.78</v>
      </c>
      <c r="AC160" s="593">
        <f ca="1">$E160*(-SUMIF(INDIRECT(AC$3),'Struktur Vorjahr'!$D160,INDIRECT(AC$4))+SUMIF(INDIRECT(AC$3),'Struktur Vorjahr'!$D160,INDIRECT(AC$5)))</f>
        <v>0</v>
      </c>
      <c r="AD160" s="593">
        <f ca="1">$E160*(-SUMIF(INDIRECT(AD$3),'Struktur Vorjahr'!$D160,INDIRECT(AD$4))+SUMIF(INDIRECT(AD$3),'Struktur Vorjahr'!$D160,INDIRECT(AD$5)))</f>
        <v>0</v>
      </c>
      <c r="AE160" s="593">
        <f t="shared" ca="1" si="87"/>
        <v>288.24</v>
      </c>
      <c r="AF160" s="593">
        <f t="shared" ca="1" si="88"/>
        <v>576.48</v>
      </c>
      <c r="AG160" s="593">
        <f t="shared" ca="1" si="88"/>
        <v>864.72</v>
      </c>
      <c r="AH160" s="593">
        <f t="shared" ca="1" si="88"/>
        <v>1152.96</v>
      </c>
      <c r="AI160" s="593">
        <f t="shared" ca="1" si="88"/>
        <v>1441.2</v>
      </c>
      <c r="AJ160" s="593">
        <f t="shared" ca="1" si="88"/>
        <v>2026.48</v>
      </c>
      <c r="AK160" s="593">
        <f t="shared" ca="1" si="88"/>
        <v>1904.6200000000001</v>
      </c>
      <c r="AL160" s="593">
        <f t="shared" ca="1" si="88"/>
        <v>2333.2000000000003</v>
      </c>
      <c r="AM160" s="593">
        <f t="shared" ca="1" si="88"/>
        <v>2547.4900000000002</v>
      </c>
      <c r="AN160" s="593">
        <f t="shared" ca="1" si="88"/>
        <v>2761.78</v>
      </c>
      <c r="AO160" s="593">
        <f t="shared" ca="1" si="88"/>
        <v>2761.78</v>
      </c>
      <c r="AP160" s="593">
        <f t="shared" ca="1" si="88"/>
        <v>2761.78</v>
      </c>
    </row>
    <row r="161" spans="1:42" s="594" customFormat="1" ht="11.25" outlineLevel="1" x14ac:dyDescent="0.2">
      <c r="A161" s="590"/>
      <c r="B161" s="591" t="str">
        <f>IF(D161&lt;&gt;"",
IF(ISERROR(MATCH(D161,'Ist Vorjahr Monat 01'!A:A,0))=FALSE,INDEX('Ist Vorjahr Monat 01'!B:B,MATCH(D161,'Ist Vorjahr Monat 01'!A:A,0)),
IF(ISERROR(MATCH(D161,'Ist Vorjahr Monat 02'!A:A,0))=FALSE,INDEX('Ist Vorjahr Monat 02'!B:B,MATCH(D161,'Ist Vorjahr Monat 02'!A:A,0)),
IF(ISERROR(MATCH(D161,'Ist Vorjahr Monat 03'!A:A,0))=FALSE,INDEX('Ist Vorjahr Monat 03'!B:B,MATCH(D161,'Ist Vorjahr Monat 03'!A:A,0)),
IF(ISERROR(MATCH(D161,'Ist Vorjahr Monat 04'!A:A,0))=FALSE,INDEX('Ist Vorjahr Monat 04'!B:B,MATCH(D161,'Ist Vorjahr Monat 04'!A:A,0)),
IF(ISERROR(MATCH(D161,'Ist Vorjahr Monat 05'!A:A,0))=FALSE,INDEX('Ist Vorjahr Monat 05'!B:B,MATCH(D161,'Ist Vorjahr Monat 05'!A:A,0)),
IF(ISERROR(MATCH(D161,'Ist Vorjahr Monat 06'!A:A,0))=FALSE,INDEX('Ist Vorjahr Monat 06'!B:B,MATCH(D161,'Ist Vorjahr Monat 06'!A:A,0)),
IF(ISERROR(MATCH(D161,'Ist Vorjahr Monat 07'!A:A,0))=FALSE,INDEX('Ist Vorjahr Monat 07'!B:B,MATCH(D161,'Ist Vorjahr Monat 07'!A:A,0)),
IF(ISERROR(MATCH(D161,'Ist Vorjahr Monat 08'!A:A,0))=FALSE,INDEX('Ist Vorjahr Monat 08'!B:B,MATCH(D161,'Ist Vorjahr Monat 08'!A:A,0)),
IF(ISERROR(MATCH(D161,'Ist Vorjahr Monat 09'!A:A,0))=FALSE,INDEX('Ist Vorjahr Monat 09'!B:B,MATCH(D161,'Ist Vorjahr Monat 09'!A:A,0)),
IF(ISERROR(MATCH(D161,'Ist Vorjahr Monat 10'!A:A,0))=FALSE,INDEX('Ist Vorjahr Monat 10'!B:B,MATCH(D161,'Ist Vorjahr Monat 10'!A:A,0)),
IF(ISERROR(MATCH(D161,'Ist Vorjahr Monat 11'!A:A,0))=FALSE,INDEX('Ist Vorjahr Monat 11'!B:B,MATCH(D161,'Ist Vorjahr Monat 11'!A:A,0)),
IF(ISERROR(MATCH(D161,'Ist Vorjahr Monat 12'!A:A,0))=FALSE,INDEX('Ist Vorjahr Monat 12'!B:B,MATCH(D161,'Ist Vorjahr Monat 12'!A:A,0)),
"{Konto unbekannt}"
)))))))))))),"")</f>
        <v/>
      </c>
      <c r="C161" s="591"/>
      <c r="D161" s="590"/>
      <c r="E161" s="592">
        <f t="shared" si="65"/>
        <v>1</v>
      </c>
      <c r="F161" s="590"/>
      <c r="G161" s="593">
        <f ca="1">$E161*(-SUMIF(INDIRECT(G$3),'Struktur Vorjahr'!$D161,INDIRECT(G$4))+SUMIF(INDIRECT(G$3),'Struktur Vorjahr'!$D161,INDIRECT(G$5)))</f>
        <v>0</v>
      </c>
      <c r="H161" s="593">
        <f ca="1">$E161*(-SUMIF(INDIRECT(H$3),'Struktur Vorjahr'!$D161,INDIRECT(H$4))+SUMIF(INDIRECT(H$3),'Struktur Vorjahr'!$D161,INDIRECT(H$5)))</f>
        <v>0</v>
      </c>
      <c r="I161" s="593">
        <f ca="1">$E161*(-SUMIF(INDIRECT(I$3),'Struktur Vorjahr'!$D161,INDIRECT(I$4))+SUMIF(INDIRECT(I$3),'Struktur Vorjahr'!$D161,INDIRECT(I$5)))</f>
        <v>0</v>
      </c>
      <c r="J161" s="593">
        <f ca="1">$E161*(-SUMIF(INDIRECT(J$3),'Struktur Vorjahr'!$D161,INDIRECT(J$4))+SUMIF(INDIRECT(J$3),'Struktur Vorjahr'!$D161,INDIRECT(J$5)))</f>
        <v>0</v>
      </c>
      <c r="K161" s="593">
        <f ca="1">$E161*(-SUMIF(INDIRECT(K$3),'Struktur Vorjahr'!$D161,INDIRECT(K$4))+SUMIF(INDIRECT(K$3),'Struktur Vorjahr'!$D161,INDIRECT(K$5)))</f>
        <v>0</v>
      </c>
      <c r="L161" s="593">
        <f ca="1">$E161*(-SUMIF(INDIRECT(L$3),'Struktur Vorjahr'!$D161,INDIRECT(L$4))+SUMIF(INDIRECT(L$3),'Struktur Vorjahr'!$D161,INDIRECT(L$5)))</f>
        <v>0</v>
      </c>
      <c r="M161" s="593">
        <f ca="1">$E161*(-SUMIF(INDIRECT(M$3),'Struktur Vorjahr'!$D161,INDIRECT(M$4))+SUMIF(INDIRECT(M$3),'Struktur Vorjahr'!$D161,INDIRECT(M$5)))</f>
        <v>0</v>
      </c>
      <c r="N161" s="593">
        <f ca="1">$E161*(-SUMIF(INDIRECT(N$3),'Struktur Vorjahr'!$D161,INDIRECT(N$4))+SUMIF(INDIRECT(N$3),'Struktur Vorjahr'!$D161,INDIRECT(N$5)))</f>
        <v>0</v>
      </c>
      <c r="O161" s="593">
        <f ca="1">$E161*(-SUMIF(INDIRECT(O$3),'Struktur Vorjahr'!$D161,INDIRECT(O$4))+SUMIF(INDIRECT(O$3),'Struktur Vorjahr'!$D161,INDIRECT(O$5)))</f>
        <v>0</v>
      </c>
      <c r="P161" s="593">
        <f ca="1">$E161*(-SUMIF(INDIRECT(P$3),'Struktur Vorjahr'!$D161,INDIRECT(P$4))+SUMIF(INDIRECT(P$3),'Struktur Vorjahr'!$D161,INDIRECT(P$5)))</f>
        <v>0</v>
      </c>
      <c r="Q161" s="593">
        <f ca="1">$E161*(-SUMIF(INDIRECT(Q$3),'Struktur Vorjahr'!$D161,INDIRECT(Q$4))+SUMIF(INDIRECT(Q$3),'Struktur Vorjahr'!$D161,INDIRECT(Q$5)))</f>
        <v>0</v>
      </c>
      <c r="R161" s="593">
        <f ca="1">$E161*(-SUMIF(INDIRECT(R$3),'Struktur Vorjahr'!$D161,INDIRECT(R$4))+SUMIF(INDIRECT(R$3),'Struktur Vorjahr'!$D161,INDIRECT(R$5)))</f>
        <v>0</v>
      </c>
      <c r="S161" s="593">
        <f ca="1">$E161*(-SUMIF(INDIRECT(S$3),'Struktur Vorjahr'!$D161,INDIRECT(S$4))+SUMIF(INDIRECT(S$3),'Struktur Vorjahr'!$D161,INDIRECT(S$5)))</f>
        <v>0</v>
      </c>
      <c r="T161" s="593">
        <f ca="1">$E161*(-SUMIF(INDIRECT(T$3),'Struktur Vorjahr'!$D161,INDIRECT(T$4))+SUMIF(INDIRECT(T$3),'Struktur Vorjahr'!$D161,INDIRECT(T$5)))</f>
        <v>0</v>
      </c>
      <c r="U161" s="593">
        <f ca="1">$E161*(-SUMIF(INDIRECT(U$3),'Struktur Vorjahr'!$D161,INDIRECT(U$4))+SUMIF(INDIRECT(U$3),'Struktur Vorjahr'!$D161,INDIRECT(U$5)))</f>
        <v>0</v>
      </c>
      <c r="V161" s="593">
        <f ca="1">$E161*(-SUMIF(INDIRECT(V$3),'Struktur Vorjahr'!$D161,INDIRECT(V$4))+SUMIF(INDIRECT(V$3),'Struktur Vorjahr'!$D161,INDIRECT(V$5)))</f>
        <v>0</v>
      </c>
      <c r="W161" s="593">
        <f ca="1">$E161*(-SUMIF(INDIRECT(W$3),'Struktur Vorjahr'!$D161,INDIRECT(W$4))+SUMIF(INDIRECT(W$3),'Struktur Vorjahr'!$D161,INDIRECT(W$5)))</f>
        <v>0</v>
      </c>
      <c r="X161" s="593">
        <f ca="1">$E161*(-SUMIF(INDIRECT(X$3),'Struktur Vorjahr'!$D161,INDIRECT(X$4))+SUMIF(INDIRECT(X$3),'Struktur Vorjahr'!$D161,INDIRECT(X$5)))</f>
        <v>0</v>
      </c>
      <c r="Y161" s="593">
        <f ca="1">$E161*(-SUMIF(INDIRECT(Y$3),'Struktur Vorjahr'!$D161,INDIRECT(Y$4))+SUMIF(INDIRECT(Y$3),'Struktur Vorjahr'!$D161,INDIRECT(Y$5)))</f>
        <v>0</v>
      </c>
      <c r="Z161" s="593">
        <f ca="1">$E161*(-SUMIF(INDIRECT(Z$3),'Struktur Vorjahr'!$D161,INDIRECT(Z$4))+SUMIF(INDIRECT(Z$3),'Struktur Vorjahr'!$D161,INDIRECT(Z$5)))</f>
        <v>0</v>
      </c>
      <c r="AA161" s="593">
        <f ca="1">$E161*(-SUMIF(INDIRECT(AA$3),'Struktur Vorjahr'!$D161,INDIRECT(AA$4))+SUMIF(INDIRECT(AA$3),'Struktur Vorjahr'!$D161,INDIRECT(AA$5)))</f>
        <v>0</v>
      </c>
      <c r="AB161" s="593">
        <f ca="1">$E161*(-SUMIF(INDIRECT(AB$3),'Struktur Vorjahr'!$D161,INDIRECT(AB$4))+SUMIF(INDIRECT(AB$3),'Struktur Vorjahr'!$D161,INDIRECT(AB$5)))</f>
        <v>0</v>
      </c>
      <c r="AC161" s="593">
        <f ca="1">$E161*(-SUMIF(INDIRECT(AC$3),'Struktur Vorjahr'!$D161,INDIRECT(AC$4))+SUMIF(INDIRECT(AC$3),'Struktur Vorjahr'!$D161,INDIRECT(AC$5)))</f>
        <v>0</v>
      </c>
      <c r="AD161" s="593">
        <f ca="1">$E161*(-SUMIF(INDIRECT(AD$3),'Struktur Vorjahr'!$D161,INDIRECT(AD$4))+SUMIF(INDIRECT(AD$3),'Struktur Vorjahr'!$D161,INDIRECT(AD$5)))</f>
        <v>0</v>
      </c>
      <c r="AE161" s="593">
        <f t="shared" ca="1" si="87"/>
        <v>0</v>
      </c>
      <c r="AF161" s="593">
        <f t="shared" ca="1" si="88"/>
        <v>0</v>
      </c>
      <c r="AG161" s="593">
        <f t="shared" ca="1" si="88"/>
        <v>0</v>
      </c>
      <c r="AH161" s="593">
        <f t="shared" ca="1" si="88"/>
        <v>0</v>
      </c>
      <c r="AI161" s="593">
        <f t="shared" ca="1" si="88"/>
        <v>0</v>
      </c>
      <c r="AJ161" s="593">
        <f t="shared" ca="1" si="88"/>
        <v>0</v>
      </c>
      <c r="AK161" s="593">
        <f t="shared" ca="1" si="88"/>
        <v>0</v>
      </c>
      <c r="AL161" s="593">
        <f t="shared" ca="1" si="88"/>
        <v>0</v>
      </c>
      <c r="AM161" s="593">
        <f t="shared" ca="1" si="88"/>
        <v>0</v>
      </c>
      <c r="AN161" s="593">
        <f t="shared" ca="1" si="88"/>
        <v>0</v>
      </c>
      <c r="AO161" s="593">
        <f t="shared" ca="1" si="88"/>
        <v>0</v>
      </c>
      <c r="AP161" s="593">
        <f t="shared" ca="1" si="88"/>
        <v>0</v>
      </c>
    </row>
    <row r="162" spans="1:42" s="594" customFormat="1" ht="11.25" outlineLevel="1" x14ac:dyDescent="0.2">
      <c r="A162" s="590"/>
      <c r="B162" s="591" t="str">
        <f>IF(D162&lt;&gt;"",
IF(ISERROR(MATCH(D162,'Ist Vorjahr Monat 01'!A:A,0))=FALSE,INDEX('Ist Vorjahr Monat 01'!B:B,MATCH(D162,'Ist Vorjahr Monat 01'!A:A,0)),
IF(ISERROR(MATCH(D162,'Ist Vorjahr Monat 02'!A:A,0))=FALSE,INDEX('Ist Vorjahr Monat 02'!B:B,MATCH(D162,'Ist Vorjahr Monat 02'!A:A,0)),
IF(ISERROR(MATCH(D162,'Ist Vorjahr Monat 03'!A:A,0))=FALSE,INDEX('Ist Vorjahr Monat 03'!B:B,MATCH(D162,'Ist Vorjahr Monat 03'!A:A,0)),
IF(ISERROR(MATCH(D162,'Ist Vorjahr Monat 04'!A:A,0))=FALSE,INDEX('Ist Vorjahr Monat 04'!B:B,MATCH(D162,'Ist Vorjahr Monat 04'!A:A,0)),
IF(ISERROR(MATCH(D162,'Ist Vorjahr Monat 05'!A:A,0))=FALSE,INDEX('Ist Vorjahr Monat 05'!B:B,MATCH(D162,'Ist Vorjahr Monat 05'!A:A,0)),
IF(ISERROR(MATCH(D162,'Ist Vorjahr Monat 06'!A:A,0))=FALSE,INDEX('Ist Vorjahr Monat 06'!B:B,MATCH(D162,'Ist Vorjahr Monat 06'!A:A,0)),
IF(ISERROR(MATCH(D162,'Ist Vorjahr Monat 07'!A:A,0))=FALSE,INDEX('Ist Vorjahr Monat 07'!B:B,MATCH(D162,'Ist Vorjahr Monat 07'!A:A,0)),
IF(ISERROR(MATCH(D162,'Ist Vorjahr Monat 08'!A:A,0))=FALSE,INDEX('Ist Vorjahr Monat 08'!B:B,MATCH(D162,'Ist Vorjahr Monat 08'!A:A,0)),
IF(ISERROR(MATCH(D162,'Ist Vorjahr Monat 09'!A:A,0))=FALSE,INDEX('Ist Vorjahr Monat 09'!B:B,MATCH(D162,'Ist Vorjahr Monat 09'!A:A,0)),
IF(ISERROR(MATCH(D162,'Ist Vorjahr Monat 10'!A:A,0))=FALSE,INDEX('Ist Vorjahr Monat 10'!B:B,MATCH(D162,'Ist Vorjahr Monat 10'!A:A,0)),
IF(ISERROR(MATCH(D162,'Ist Vorjahr Monat 11'!A:A,0))=FALSE,INDEX('Ist Vorjahr Monat 11'!B:B,MATCH(D162,'Ist Vorjahr Monat 11'!A:A,0)),
IF(ISERROR(MATCH(D162,'Ist Vorjahr Monat 12'!A:A,0))=FALSE,INDEX('Ist Vorjahr Monat 12'!B:B,MATCH(D162,'Ist Vorjahr Monat 12'!A:A,0)),
"{Konto unbekannt}"
)))))))))))),"")</f>
        <v/>
      </c>
      <c r="C162" s="591"/>
      <c r="D162" s="590"/>
      <c r="E162" s="592">
        <f t="shared" si="65"/>
        <v>1</v>
      </c>
      <c r="F162" s="590"/>
      <c r="G162" s="593">
        <f ca="1">$E162*(-SUMIF(INDIRECT(G$3),'Struktur Vorjahr'!$D162,INDIRECT(G$4))+SUMIF(INDIRECT(G$3),'Struktur Vorjahr'!$D162,INDIRECT(G$5)))</f>
        <v>0</v>
      </c>
      <c r="H162" s="593">
        <f ca="1">$E162*(-SUMIF(INDIRECT(H$3),'Struktur Vorjahr'!$D162,INDIRECT(H$4))+SUMIF(INDIRECT(H$3),'Struktur Vorjahr'!$D162,INDIRECT(H$5)))</f>
        <v>0</v>
      </c>
      <c r="I162" s="593">
        <f ca="1">$E162*(-SUMIF(INDIRECT(I$3),'Struktur Vorjahr'!$D162,INDIRECT(I$4))+SUMIF(INDIRECT(I$3),'Struktur Vorjahr'!$D162,INDIRECT(I$5)))</f>
        <v>0</v>
      </c>
      <c r="J162" s="593">
        <f ca="1">$E162*(-SUMIF(INDIRECT(J$3),'Struktur Vorjahr'!$D162,INDIRECT(J$4))+SUMIF(INDIRECT(J$3),'Struktur Vorjahr'!$D162,INDIRECT(J$5)))</f>
        <v>0</v>
      </c>
      <c r="K162" s="593">
        <f ca="1">$E162*(-SUMIF(INDIRECT(K$3),'Struktur Vorjahr'!$D162,INDIRECT(K$4))+SUMIF(INDIRECT(K$3),'Struktur Vorjahr'!$D162,INDIRECT(K$5)))</f>
        <v>0</v>
      </c>
      <c r="L162" s="593">
        <f ca="1">$E162*(-SUMIF(INDIRECT(L$3),'Struktur Vorjahr'!$D162,INDIRECT(L$4))+SUMIF(INDIRECT(L$3),'Struktur Vorjahr'!$D162,INDIRECT(L$5)))</f>
        <v>0</v>
      </c>
      <c r="M162" s="593">
        <f ca="1">$E162*(-SUMIF(INDIRECT(M$3),'Struktur Vorjahr'!$D162,INDIRECT(M$4))+SUMIF(INDIRECT(M$3),'Struktur Vorjahr'!$D162,INDIRECT(M$5)))</f>
        <v>0</v>
      </c>
      <c r="N162" s="593">
        <f ca="1">$E162*(-SUMIF(INDIRECT(N$3),'Struktur Vorjahr'!$D162,INDIRECT(N$4))+SUMIF(INDIRECT(N$3),'Struktur Vorjahr'!$D162,INDIRECT(N$5)))</f>
        <v>0</v>
      </c>
      <c r="O162" s="593">
        <f ca="1">$E162*(-SUMIF(INDIRECT(O$3),'Struktur Vorjahr'!$D162,INDIRECT(O$4))+SUMIF(INDIRECT(O$3),'Struktur Vorjahr'!$D162,INDIRECT(O$5)))</f>
        <v>0</v>
      </c>
      <c r="P162" s="593">
        <f ca="1">$E162*(-SUMIF(INDIRECT(P$3),'Struktur Vorjahr'!$D162,INDIRECT(P$4))+SUMIF(INDIRECT(P$3),'Struktur Vorjahr'!$D162,INDIRECT(P$5)))</f>
        <v>0</v>
      </c>
      <c r="Q162" s="593">
        <f ca="1">$E162*(-SUMIF(INDIRECT(Q$3),'Struktur Vorjahr'!$D162,INDIRECT(Q$4))+SUMIF(INDIRECT(Q$3),'Struktur Vorjahr'!$D162,INDIRECT(Q$5)))</f>
        <v>0</v>
      </c>
      <c r="R162" s="593">
        <f ca="1">$E162*(-SUMIF(INDIRECT(R$3),'Struktur Vorjahr'!$D162,INDIRECT(R$4))+SUMIF(INDIRECT(R$3),'Struktur Vorjahr'!$D162,INDIRECT(R$5)))</f>
        <v>0</v>
      </c>
      <c r="S162" s="593">
        <f ca="1">$E162*(-SUMIF(INDIRECT(S$3),'Struktur Vorjahr'!$D162,INDIRECT(S$4))+SUMIF(INDIRECT(S$3),'Struktur Vorjahr'!$D162,INDIRECT(S$5)))</f>
        <v>0</v>
      </c>
      <c r="T162" s="593">
        <f ca="1">$E162*(-SUMIF(INDIRECT(T$3),'Struktur Vorjahr'!$D162,INDIRECT(T$4))+SUMIF(INDIRECT(T$3),'Struktur Vorjahr'!$D162,INDIRECT(T$5)))</f>
        <v>0</v>
      </c>
      <c r="U162" s="593">
        <f ca="1">$E162*(-SUMIF(INDIRECT(U$3),'Struktur Vorjahr'!$D162,INDIRECT(U$4))+SUMIF(INDIRECT(U$3),'Struktur Vorjahr'!$D162,INDIRECT(U$5)))</f>
        <v>0</v>
      </c>
      <c r="V162" s="593">
        <f ca="1">$E162*(-SUMIF(INDIRECT(V$3),'Struktur Vorjahr'!$D162,INDIRECT(V$4))+SUMIF(INDIRECT(V$3),'Struktur Vorjahr'!$D162,INDIRECT(V$5)))</f>
        <v>0</v>
      </c>
      <c r="W162" s="593">
        <f ca="1">$E162*(-SUMIF(INDIRECT(W$3),'Struktur Vorjahr'!$D162,INDIRECT(W$4))+SUMIF(INDIRECT(W$3),'Struktur Vorjahr'!$D162,INDIRECT(W$5)))</f>
        <v>0</v>
      </c>
      <c r="X162" s="593">
        <f ca="1">$E162*(-SUMIF(INDIRECT(X$3),'Struktur Vorjahr'!$D162,INDIRECT(X$4))+SUMIF(INDIRECT(X$3),'Struktur Vorjahr'!$D162,INDIRECT(X$5)))</f>
        <v>0</v>
      </c>
      <c r="Y162" s="593">
        <f ca="1">$E162*(-SUMIF(INDIRECT(Y$3),'Struktur Vorjahr'!$D162,INDIRECT(Y$4))+SUMIF(INDIRECT(Y$3),'Struktur Vorjahr'!$D162,INDIRECT(Y$5)))</f>
        <v>0</v>
      </c>
      <c r="Z162" s="593">
        <f ca="1">$E162*(-SUMIF(INDIRECT(Z$3),'Struktur Vorjahr'!$D162,INDIRECT(Z$4))+SUMIF(INDIRECT(Z$3),'Struktur Vorjahr'!$D162,INDIRECT(Z$5)))</f>
        <v>0</v>
      </c>
      <c r="AA162" s="593">
        <f ca="1">$E162*(-SUMIF(INDIRECT(AA$3),'Struktur Vorjahr'!$D162,INDIRECT(AA$4))+SUMIF(INDIRECT(AA$3),'Struktur Vorjahr'!$D162,INDIRECT(AA$5)))</f>
        <v>0</v>
      </c>
      <c r="AB162" s="593">
        <f ca="1">$E162*(-SUMIF(INDIRECT(AB$3),'Struktur Vorjahr'!$D162,INDIRECT(AB$4))+SUMIF(INDIRECT(AB$3),'Struktur Vorjahr'!$D162,INDIRECT(AB$5)))</f>
        <v>0</v>
      </c>
      <c r="AC162" s="593">
        <f ca="1">$E162*(-SUMIF(INDIRECT(AC$3),'Struktur Vorjahr'!$D162,INDIRECT(AC$4))+SUMIF(INDIRECT(AC$3),'Struktur Vorjahr'!$D162,INDIRECT(AC$5)))</f>
        <v>0</v>
      </c>
      <c r="AD162" s="593">
        <f ca="1">$E162*(-SUMIF(INDIRECT(AD$3),'Struktur Vorjahr'!$D162,INDIRECT(AD$4))+SUMIF(INDIRECT(AD$3),'Struktur Vorjahr'!$D162,INDIRECT(AD$5)))</f>
        <v>0</v>
      </c>
      <c r="AE162" s="593">
        <f t="shared" ca="1" si="87"/>
        <v>0</v>
      </c>
      <c r="AF162" s="593">
        <f t="shared" ca="1" si="88"/>
        <v>0</v>
      </c>
      <c r="AG162" s="593">
        <f t="shared" ca="1" si="88"/>
        <v>0</v>
      </c>
      <c r="AH162" s="593">
        <f t="shared" ca="1" si="88"/>
        <v>0</v>
      </c>
      <c r="AI162" s="593">
        <f t="shared" ca="1" si="88"/>
        <v>0</v>
      </c>
      <c r="AJ162" s="593">
        <f t="shared" ca="1" si="88"/>
        <v>0</v>
      </c>
      <c r="AK162" s="593">
        <f t="shared" ca="1" si="88"/>
        <v>0</v>
      </c>
      <c r="AL162" s="593">
        <f t="shared" ca="1" si="88"/>
        <v>0</v>
      </c>
      <c r="AM162" s="593">
        <f t="shared" ca="1" si="88"/>
        <v>0</v>
      </c>
      <c r="AN162" s="593">
        <f t="shared" ca="1" si="88"/>
        <v>0</v>
      </c>
      <c r="AO162" s="593">
        <f t="shared" ca="1" si="88"/>
        <v>0</v>
      </c>
      <c r="AP162" s="593">
        <f t="shared" ca="1" si="88"/>
        <v>0</v>
      </c>
    </row>
    <row r="163" spans="1:42" s="594" customFormat="1" ht="11.25" outlineLevel="1" x14ac:dyDescent="0.2">
      <c r="A163" s="590"/>
      <c r="B163" s="591" t="str">
        <f>IF(D163&lt;&gt;"",
IF(ISERROR(MATCH(D163,'Ist Vorjahr Monat 01'!A:A,0))=FALSE,INDEX('Ist Vorjahr Monat 01'!B:B,MATCH(D163,'Ist Vorjahr Monat 01'!A:A,0)),
IF(ISERROR(MATCH(D163,'Ist Vorjahr Monat 02'!A:A,0))=FALSE,INDEX('Ist Vorjahr Monat 02'!B:B,MATCH(D163,'Ist Vorjahr Monat 02'!A:A,0)),
IF(ISERROR(MATCH(D163,'Ist Vorjahr Monat 03'!A:A,0))=FALSE,INDEX('Ist Vorjahr Monat 03'!B:B,MATCH(D163,'Ist Vorjahr Monat 03'!A:A,0)),
IF(ISERROR(MATCH(D163,'Ist Vorjahr Monat 04'!A:A,0))=FALSE,INDEX('Ist Vorjahr Monat 04'!B:B,MATCH(D163,'Ist Vorjahr Monat 04'!A:A,0)),
IF(ISERROR(MATCH(D163,'Ist Vorjahr Monat 05'!A:A,0))=FALSE,INDEX('Ist Vorjahr Monat 05'!B:B,MATCH(D163,'Ist Vorjahr Monat 05'!A:A,0)),
IF(ISERROR(MATCH(D163,'Ist Vorjahr Monat 06'!A:A,0))=FALSE,INDEX('Ist Vorjahr Monat 06'!B:B,MATCH(D163,'Ist Vorjahr Monat 06'!A:A,0)),
IF(ISERROR(MATCH(D163,'Ist Vorjahr Monat 07'!A:A,0))=FALSE,INDEX('Ist Vorjahr Monat 07'!B:B,MATCH(D163,'Ist Vorjahr Monat 07'!A:A,0)),
IF(ISERROR(MATCH(D163,'Ist Vorjahr Monat 08'!A:A,0))=FALSE,INDEX('Ist Vorjahr Monat 08'!B:B,MATCH(D163,'Ist Vorjahr Monat 08'!A:A,0)),
IF(ISERROR(MATCH(D163,'Ist Vorjahr Monat 09'!A:A,0))=FALSE,INDEX('Ist Vorjahr Monat 09'!B:B,MATCH(D163,'Ist Vorjahr Monat 09'!A:A,0)),
IF(ISERROR(MATCH(D163,'Ist Vorjahr Monat 10'!A:A,0))=FALSE,INDEX('Ist Vorjahr Monat 10'!B:B,MATCH(D163,'Ist Vorjahr Monat 10'!A:A,0)),
IF(ISERROR(MATCH(D163,'Ist Vorjahr Monat 11'!A:A,0))=FALSE,INDEX('Ist Vorjahr Monat 11'!B:B,MATCH(D163,'Ist Vorjahr Monat 11'!A:A,0)),
IF(ISERROR(MATCH(D163,'Ist Vorjahr Monat 12'!A:A,0))=FALSE,INDEX('Ist Vorjahr Monat 12'!B:B,MATCH(D163,'Ist Vorjahr Monat 12'!A:A,0)),
"{Konto unbekannt}"
)))))))))))),"")</f>
        <v/>
      </c>
      <c r="C163" s="591"/>
      <c r="D163" s="590"/>
      <c r="E163" s="592">
        <f t="shared" si="65"/>
        <v>1</v>
      </c>
      <c r="F163" s="590"/>
      <c r="G163" s="593">
        <f ca="1">$E163*(-SUMIF(INDIRECT(G$3),'Struktur Vorjahr'!$D163,INDIRECT(G$4))+SUMIF(INDIRECT(G$3),'Struktur Vorjahr'!$D163,INDIRECT(G$5)))</f>
        <v>0</v>
      </c>
      <c r="H163" s="593">
        <f ca="1">$E163*(-SUMIF(INDIRECT(H$3),'Struktur Vorjahr'!$D163,INDIRECT(H$4))+SUMIF(INDIRECT(H$3),'Struktur Vorjahr'!$D163,INDIRECT(H$5)))</f>
        <v>0</v>
      </c>
      <c r="I163" s="593">
        <f ca="1">$E163*(-SUMIF(INDIRECT(I$3),'Struktur Vorjahr'!$D163,INDIRECT(I$4))+SUMIF(INDIRECT(I$3),'Struktur Vorjahr'!$D163,INDIRECT(I$5)))</f>
        <v>0</v>
      </c>
      <c r="J163" s="593">
        <f ca="1">$E163*(-SUMIF(INDIRECT(J$3),'Struktur Vorjahr'!$D163,INDIRECT(J$4))+SUMIF(INDIRECT(J$3),'Struktur Vorjahr'!$D163,INDIRECT(J$5)))</f>
        <v>0</v>
      </c>
      <c r="K163" s="593">
        <f ca="1">$E163*(-SUMIF(INDIRECT(K$3),'Struktur Vorjahr'!$D163,INDIRECT(K$4))+SUMIF(INDIRECT(K$3),'Struktur Vorjahr'!$D163,INDIRECT(K$5)))</f>
        <v>0</v>
      </c>
      <c r="L163" s="593">
        <f ca="1">$E163*(-SUMIF(INDIRECT(L$3),'Struktur Vorjahr'!$D163,INDIRECT(L$4))+SUMIF(INDIRECT(L$3),'Struktur Vorjahr'!$D163,INDIRECT(L$5)))</f>
        <v>0</v>
      </c>
      <c r="M163" s="593">
        <f ca="1">$E163*(-SUMIF(INDIRECT(M$3),'Struktur Vorjahr'!$D163,INDIRECT(M$4))+SUMIF(INDIRECT(M$3),'Struktur Vorjahr'!$D163,INDIRECT(M$5)))</f>
        <v>0</v>
      </c>
      <c r="N163" s="593">
        <f ca="1">$E163*(-SUMIF(INDIRECT(N$3),'Struktur Vorjahr'!$D163,INDIRECT(N$4))+SUMIF(INDIRECT(N$3),'Struktur Vorjahr'!$D163,INDIRECT(N$5)))</f>
        <v>0</v>
      </c>
      <c r="O163" s="593">
        <f ca="1">$E163*(-SUMIF(INDIRECT(O$3),'Struktur Vorjahr'!$D163,INDIRECT(O$4))+SUMIF(INDIRECT(O$3),'Struktur Vorjahr'!$D163,INDIRECT(O$5)))</f>
        <v>0</v>
      </c>
      <c r="P163" s="593">
        <f ca="1">$E163*(-SUMIF(INDIRECT(P$3),'Struktur Vorjahr'!$D163,INDIRECT(P$4))+SUMIF(INDIRECT(P$3),'Struktur Vorjahr'!$D163,INDIRECT(P$5)))</f>
        <v>0</v>
      </c>
      <c r="Q163" s="593">
        <f ca="1">$E163*(-SUMIF(INDIRECT(Q$3),'Struktur Vorjahr'!$D163,INDIRECT(Q$4))+SUMIF(INDIRECT(Q$3),'Struktur Vorjahr'!$D163,INDIRECT(Q$5)))</f>
        <v>0</v>
      </c>
      <c r="R163" s="593">
        <f ca="1">$E163*(-SUMIF(INDIRECT(R$3),'Struktur Vorjahr'!$D163,INDIRECT(R$4))+SUMIF(INDIRECT(R$3),'Struktur Vorjahr'!$D163,INDIRECT(R$5)))</f>
        <v>0</v>
      </c>
      <c r="S163" s="593">
        <f ca="1">$E163*(-SUMIF(INDIRECT(S$3),'Struktur Vorjahr'!$D163,INDIRECT(S$4))+SUMIF(INDIRECT(S$3),'Struktur Vorjahr'!$D163,INDIRECT(S$5)))</f>
        <v>0</v>
      </c>
      <c r="T163" s="593">
        <f ca="1">$E163*(-SUMIF(INDIRECT(T$3),'Struktur Vorjahr'!$D163,INDIRECT(T$4))+SUMIF(INDIRECT(T$3),'Struktur Vorjahr'!$D163,INDIRECT(T$5)))</f>
        <v>0</v>
      </c>
      <c r="U163" s="593">
        <f ca="1">$E163*(-SUMIF(INDIRECT(U$3),'Struktur Vorjahr'!$D163,INDIRECT(U$4))+SUMIF(INDIRECT(U$3),'Struktur Vorjahr'!$D163,INDIRECT(U$5)))</f>
        <v>0</v>
      </c>
      <c r="V163" s="593">
        <f ca="1">$E163*(-SUMIF(INDIRECT(V$3),'Struktur Vorjahr'!$D163,INDIRECT(V$4))+SUMIF(INDIRECT(V$3),'Struktur Vorjahr'!$D163,INDIRECT(V$5)))</f>
        <v>0</v>
      </c>
      <c r="W163" s="593">
        <f ca="1">$E163*(-SUMIF(INDIRECT(W$3),'Struktur Vorjahr'!$D163,INDIRECT(W$4))+SUMIF(INDIRECT(W$3),'Struktur Vorjahr'!$D163,INDIRECT(W$5)))</f>
        <v>0</v>
      </c>
      <c r="X163" s="593">
        <f ca="1">$E163*(-SUMIF(INDIRECT(X$3),'Struktur Vorjahr'!$D163,INDIRECT(X$4))+SUMIF(INDIRECT(X$3),'Struktur Vorjahr'!$D163,INDIRECT(X$5)))</f>
        <v>0</v>
      </c>
      <c r="Y163" s="593">
        <f ca="1">$E163*(-SUMIF(INDIRECT(Y$3),'Struktur Vorjahr'!$D163,INDIRECT(Y$4))+SUMIF(INDIRECT(Y$3),'Struktur Vorjahr'!$D163,INDIRECT(Y$5)))</f>
        <v>0</v>
      </c>
      <c r="Z163" s="593">
        <f ca="1">$E163*(-SUMIF(INDIRECT(Z$3),'Struktur Vorjahr'!$D163,INDIRECT(Z$4))+SUMIF(INDIRECT(Z$3),'Struktur Vorjahr'!$D163,INDIRECT(Z$5)))</f>
        <v>0</v>
      </c>
      <c r="AA163" s="593">
        <f ca="1">$E163*(-SUMIF(INDIRECT(AA$3),'Struktur Vorjahr'!$D163,INDIRECT(AA$4))+SUMIF(INDIRECT(AA$3),'Struktur Vorjahr'!$D163,INDIRECT(AA$5)))</f>
        <v>0</v>
      </c>
      <c r="AB163" s="593">
        <f ca="1">$E163*(-SUMIF(INDIRECT(AB$3),'Struktur Vorjahr'!$D163,INDIRECT(AB$4))+SUMIF(INDIRECT(AB$3),'Struktur Vorjahr'!$D163,INDIRECT(AB$5)))</f>
        <v>0</v>
      </c>
      <c r="AC163" s="593">
        <f ca="1">$E163*(-SUMIF(INDIRECT(AC$3),'Struktur Vorjahr'!$D163,INDIRECT(AC$4))+SUMIF(INDIRECT(AC$3),'Struktur Vorjahr'!$D163,INDIRECT(AC$5)))</f>
        <v>0</v>
      </c>
      <c r="AD163" s="593">
        <f ca="1">$E163*(-SUMIF(INDIRECT(AD$3),'Struktur Vorjahr'!$D163,INDIRECT(AD$4))+SUMIF(INDIRECT(AD$3),'Struktur Vorjahr'!$D163,INDIRECT(AD$5)))</f>
        <v>0</v>
      </c>
      <c r="AE163" s="593">
        <f t="shared" ca="1" si="87"/>
        <v>0</v>
      </c>
      <c r="AF163" s="593">
        <f t="shared" ca="1" si="88"/>
        <v>0</v>
      </c>
      <c r="AG163" s="593">
        <f t="shared" ca="1" si="88"/>
        <v>0</v>
      </c>
      <c r="AH163" s="593">
        <f t="shared" ca="1" si="88"/>
        <v>0</v>
      </c>
      <c r="AI163" s="593">
        <f t="shared" ca="1" si="88"/>
        <v>0</v>
      </c>
      <c r="AJ163" s="593">
        <f t="shared" ca="1" si="88"/>
        <v>0</v>
      </c>
      <c r="AK163" s="593">
        <f t="shared" ca="1" si="88"/>
        <v>0</v>
      </c>
      <c r="AL163" s="593">
        <f t="shared" ca="1" si="88"/>
        <v>0</v>
      </c>
      <c r="AM163" s="593">
        <f t="shared" ca="1" si="88"/>
        <v>0</v>
      </c>
      <c r="AN163" s="593">
        <f t="shared" ca="1" si="88"/>
        <v>0</v>
      </c>
      <c r="AO163" s="593">
        <f t="shared" ca="1" si="88"/>
        <v>0</v>
      </c>
      <c r="AP163" s="593">
        <f t="shared" ca="1" si="88"/>
        <v>0</v>
      </c>
    </row>
    <row r="164" spans="1:42" s="594" customFormat="1" ht="11.25" outlineLevel="1" x14ac:dyDescent="0.2">
      <c r="A164" s="590"/>
      <c r="B164" s="591" t="str">
        <f>IF(D164&lt;&gt;"",
IF(ISERROR(MATCH(D164,'Ist Vorjahr Monat 01'!A:A,0))=FALSE,INDEX('Ist Vorjahr Monat 01'!B:B,MATCH(D164,'Ist Vorjahr Monat 01'!A:A,0)),
IF(ISERROR(MATCH(D164,'Ist Vorjahr Monat 02'!A:A,0))=FALSE,INDEX('Ist Vorjahr Monat 02'!B:B,MATCH(D164,'Ist Vorjahr Monat 02'!A:A,0)),
IF(ISERROR(MATCH(D164,'Ist Vorjahr Monat 03'!A:A,0))=FALSE,INDEX('Ist Vorjahr Monat 03'!B:B,MATCH(D164,'Ist Vorjahr Monat 03'!A:A,0)),
IF(ISERROR(MATCH(D164,'Ist Vorjahr Monat 04'!A:A,0))=FALSE,INDEX('Ist Vorjahr Monat 04'!B:B,MATCH(D164,'Ist Vorjahr Monat 04'!A:A,0)),
IF(ISERROR(MATCH(D164,'Ist Vorjahr Monat 05'!A:A,0))=FALSE,INDEX('Ist Vorjahr Monat 05'!B:B,MATCH(D164,'Ist Vorjahr Monat 05'!A:A,0)),
IF(ISERROR(MATCH(D164,'Ist Vorjahr Monat 06'!A:A,0))=FALSE,INDEX('Ist Vorjahr Monat 06'!B:B,MATCH(D164,'Ist Vorjahr Monat 06'!A:A,0)),
IF(ISERROR(MATCH(D164,'Ist Vorjahr Monat 07'!A:A,0))=FALSE,INDEX('Ist Vorjahr Monat 07'!B:B,MATCH(D164,'Ist Vorjahr Monat 07'!A:A,0)),
IF(ISERROR(MATCH(D164,'Ist Vorjahr Monat 08'!A:A,0))=FALSE,INDEX('Ist Vorjahr Monat 08'!B:B,MATCH(D164,'Ist Vorjahr Monat 08'!A:A,0)),
IF(ISERROR(MATCH(D164,'Ist Vorjahr Monat 09'!A:A,0))=FALSE,INDEX('Ist Vorjahr Monat 09'!B:B,MATCH(D164,'Ist Vorjahr Monat 09'!A:A,0)),
IF(ISERROR(MATCH(D164,'Ist Vorjahr Monat 10'!A:A,0))=FALSE,INDEX('Ist Vorjahr Monat 10'!B:B,MATCH(D164,'Ist Vorjahr Monat 10'!A:A,0)),
IF(ISERROR(MATCH(D164,'Ist Vorjahr Monat 11'!A:A,0))=FALSE,INDEX('Ist Vorjahr Monat 11'!B:B,MATCH(D164,'Ist Vorjahr Monat 11'!A:A,0)),
IF(ISERROR(MATCH(D164,'Ist Vorjahr Monat 12'!A:A,0))=FALSE,INDEX('Ist Vorjahr Monat 12'!B:B,MATCH(D164,'Ist Vorjahr Monat 12'!A:A,0)),
"{Konto unbekannt}"
)))))))))))),"")</f>
        <v/>
      </c>
      <c r="C164" s="591"/>
      <c r="D164" s="590"/>
      <c r="E164" s="592">
        <f t="shared" si="65"/>
        <v>1</v>
      </c>
      <c r="F164" s="590"/>
      <c r="G164" s="593">
        <f ca="1">$E164*(-SUMIF(INDIRECT(G$3),'Struktur Vorjahr'!$D164,INDIRECT(G$4))+SUMIF(INDIRECT(G$3),'Struktur Vorjahr'!$D164,INDIRECT(G$5)))</f>
        <v>0</v>
      </c>
      <c r="H164" s="593">
        <f ca="1">$E164*(-SUMIF(INDIRECT(H$3),'Struktur Vorjahr'!$D164,INDIRECT(H$4))+SUMIF(INDIRECT(H$3),'Struktur Vorjahr'!$D164,INDIRECT(H$5)))</f>
        <v>0</v>
      </c>
      <c r="I164" s="593">
        <f ca="1">$E164*(-SUMIF(INDIRECT(I$3),'Struktur Vorjahr'!$D164,INDIRECT(I$4))+SUMIF(INDIRECT(I$3),'Struktur Vorjahr'!$D164,INDIRECT(I$5)))</f>
        <v>0</v>
      </c>
      <c r="J164" s="593">
        <f ca="1">$E164*(-SUMIF(INDIRECT(J$3),'Struktur Vorjahr'!$D164,INDIRECT(J$4))+SUMIF(INDIRECT(J$3),'Struktur Vorjahr'!$D164,INDIRECT(J$5)))</f>
        <v>0</v>
      </c>
      <c r="K164" s="593">
        <f ca="1">$E164*(-SUMIF(INDIRECT(K$3),'Struktur Vorjahr'!$D164,INDIRECT(K$4))+SUMIF(INDIRECT(K$3),'Struktur Vorjahr'!$D164,INDIRECT(K$5)))</f>
        <v>0</v>
      </c>
      <c r="L164" s="593">
        <f ca="1">$E164*(-SUMIF(INDIRECT(L$3),'Struktur Vorjahr'!$D164,INDIRECT(L$4))+SUMIF(INDIRECT(L$3),'Struktur Vorjahr'!$D164,INDIRECT(L$5)))</f>
        <v>0</v>
      </c>
      <c r="M164" s="593">
        <f ca="1">$E164*(-SUMIF(INDIRECT(M$3),'Struktur Vorjahr'!$D164,INDIRECT(M$4))+SUMIF(INDIRECT(M$3),'Struktur Vorjahr'!$D164,INDIRECT(M$5)))</f>
        <v>0</v>
      </c>
      <c r="N164" s="593">
        <f ca="1">$E164*(-SUMIF(INDIRECT(N$3),'Struktur Vorjahr'!$D164,INDIRECT(N$4))+SUMIF(INDIRECT(N$3),'Struktur Vorjahr'!$D164,INDIRECT(N$5)))</f>
        <v>0</v>
      </c>
      <c r="O164" s="593">
        <f ca="1">$E164*(-SUMIF(INDIRECT(O$3),'Struktur Vorjahr'!$D164,INDIRECT(O$4))+SUMIF(INDIRECT(O$3),'Struktur Vorjahr'!$D164,INDIRECT(O$5)))</f>
        <v>0</v>
      </c>
      <c r="P164" s="593">
        <f ca="1">$E164*(-SUMIF(INDIRECT(P$3),'Struktur Vorjahr'!$D164,INDIRECT(P$4))+SUMIF(INDIRECT(P$3),'Struktur Vorjahr'!$D164,INDIRECT(P$5)))</f>
        <v>0</v>
      </c>
      <c r="Q164" s="593">
        <f ca="1">$E164*(-SUMIF(INDIRECT(Q$3),'Struktur Vorjahr'!$D164,INDIRECT(Q$4))+SUMIF(INDIRECT(Q$3),'Struktur Vorjahr'!$D164,INDIRECT(Q$5)))</f>
        <v>0</v>
      </c>
      <c r="R164" s="593">
        <f ca="1">$E164*(-SUMIF(INDIRECT(R$3),'Struktur Vorjahr'!$D164,INDIRECT(R$4))+SUMIF(INDIRECT(R$3),'Struktur Vorjahr'!$D164,INDIRECT(R$5)))</f>
        <v>0</v>
      </c>
      <c r="S164" s="593">
        <f ca="1">$E164*(-SUMIF(INDIRECT(S$3),'Struktur Vorjahr'!$D164,INDIRECT(S$4))+SUMIF(INDIRECT(S$3),'Struktur Vorjahr'!$D164,INDIRECT(S$5)))</f>
        <v>0</v>
      </c>
      <c r="T164" s="593">
        <f ca="1">$E164*(-SUMIF(INDIRECT(T$3),'Struktur Vorjahr'!$D164,INDIRECT(T$4))+SUMIF(INDIRECT(T$3),'Struktur Vorjahr'!$D164,INDIRECT(T$5)))</f>
        <v>0</v>
      </c>
      <c r="U164" s="593">
        <f ca="1">$E164*(-SUMIF(INDIRECT(U$3),'Struktur Vorjahr'!$D164,INDIRECT(U$4))+SUMIF(INDIRECT(U$3),'Struktur Vorjahr'!$D164,INDIRECT(U$5)))</f>
        <v>0</v>
      </c>
      <c r="V164" s="593">
        <f ca="1">$E164*(-SUMIF(INDIRECT(V$3),'Struktur Vorjahr'!$D164,INDIRECT(V$4))+SUMIF(INDIRECT(V$3),'Struktur Vorjahr'!$D164,INDIRECT(V$5)))</f>
        <v>0</v>
      </c>
      <c r="W164" s="593">
        <f ca="1">$E164*(-SUMIF(INDIRECT(W$3),'Struktur Vorjahr'!$D164,INDIRECT(W$4))+SUMIF(INDIRECT(W$3),'Struktur Vorjahr'!$D164,INDIRECT(W$5)))</f>
        <v>0</v>
      </c>
      <c r="X164" s="593">
        <f ca="1">$E164*(-SUMIF(INDIRECT(X$3),'Struktur Vorjahr'!$D164,INDIRECT(X$4))+SUMIF(INDIRECT(X$3),'Struktur Vorjahr'!$D164,INDIRECT(X$5)))</f>
        <v>0</v>
      </c>
      <c r="Y164" s="593">
        <f ca="1">$E164*(-SUMIF(INDIRECT(Y$3),'Struktur Vorjahr'!$D164,INDIRECT(Y$4))+SUMIF(INDIRECT(Y$3),'Struktur Vorjahr'!$D164,INDIRECT(Y$5)))</f>
        <v>0</v>
      </c>
      <c r="Z164" s="593">
        <f ca="1">$E164*(-SUMIF(INDIRECT(Z$3),'Struktur Vorjahr'!$D164,INDIRECT(Z$4))+SUMIF(INDIRECT(Z$3),'Struktur Vorjahr'!$D164,INDIRECT(Z$5)))</f>
        <v>0</v>
      </c>
      <c r="AA164" s="593">
        <f ca="1">$E164*(-SUMIF(INDIRECT(AA$3),'Struktur Vorjahr'!$D164,INDIRECT(AA$4))+SUMIF(INDIRECT(AA$3),'Struktur Vorjahr'!$D164,INDIRECT(AA$5)))</f>
        <v>0</v>
      </c>
      <c r="AB164" s="593">
        <f ca="1">$E164*(-SUMIF(INDIRECT(AB$3),'Struktur Vorjahr'!$D164,INDIRECT(AB$4))+SUMIF(INDIRECT(AB$3),'Struktur Vorjahr'!$D164,INDIRECT(AB$5)))</f>
        <v>0</v>
      </c>
      <c r="AC164" s="593">
        <f ca="1">$E164*(-SUMIF(INDIRECT(AC$3),'Struktur Vorjahr'!$D164,INDIRECT(AC$4))+SUMIF(INDIRECT(AC$3),'Struktur Vorjahr'!$D164,INDIRECT(AC$5)))</f>
        <v>0</v>
      </c>
      <c r="AD164" s="593">
        <f ca="1">$E164*(-SUMIF(INDIRECT(AD$3),'Struktur Vorjahr'!$D164,INDIRECT(AD$4))+SUMIF(INDIRECT(AD$3),'Struktur Vorjahr'!$D164,INDIRECT(AD$5)))</f>
        <v>0</v>
      </c>
      <c r="AE164" s="593">
        <f t="shared" ca="1" si="87"/>
        <v>0</v>
      </c>
      <c r="AF164" s="593">
        <f t="shared" ca="1" si="88"/>
        <v>0</v>
      </c>
      <c r="AG164" s="593">
        <f t="shared" ca="1" si="88"/>
        <v>0</v>
      </c>
      <c r="AH164" s="593">
        <f t="shared" ca="1" si="88"/>
        <v>0</v>
      </c>
      <c r="AI164" s="593">
        <f t="shared" ca="1" si="88"/>
        <v>0</v>
      </c>
      <c r="AJ164" s="593">
        <f t="shared" ca="1" si="88"/>
        <v>0</v>
      </c>
      <c r="AK164" s="593">
        <f t="shared" ca="1" si="88"/>
        <v>0</v>
      </c>
      <c r="AL164" s="593">
        <f t="shared" ca="1" si="88"/>
        <v>0</v>
      </c>
      <c r="AM164" s="593">
        <f t="shared" ca="1" si="88"/>
        <v>0</v>
      </c>
      <c r="AN164" s="593">
        <f t="shared" ca="1" si="88"/>
        <v>0</v>
      </c>
      <c r="AO164" s="593">
        <f t="shared" ca="1" si="88"/>
        <v>0</v>
      </c>
      <c r="AP164" s="593">
        <f t="shared" ca="1" si="88"/>
        <v>0</v>
      </c>
    </row>
    <row r="165" spans="1:42" s="594" customFormat="1" ht="11.25" outlineLevel="1" x14ac:dyDescent="0.2">
      <c r="A165" s="590"/>
      <c r="B165" s="591" t="str">
        <f>IF(D165&lt;&gt;"",
IF(ISERROR(MATCH(D165,'Ist Vorjahr Monat 01'!A:A,0))=FALSE,INDEX('Ist Vorjahr Monat 01'!B:B,MATCH(D165,'Ist Vorjahr Monat 01'!A:A,0)),
IF(ISERROR(MATCH(D165,'Ist Vorjahr Monat 02'!A:A,0))=FALSE,INDEX('Ist Vorjahr Monat 02'!B:B,MATCH(D165,'Ist Vorjahr Monat 02'!A:A,0)),
IF(ISERROR(MATCH(D165,'Ist Vorjahr Monat 03'!A:A,0))=FALSE,INDEX('Ist Vorjahr Monat 03'!B:B,MATCH(D165,'Ist Vorjahr Monat 03'!A:A,0)),
IF(ISERROR(MATCH(D165,'Ist Vorjahr Monat 04'!A:A,0))=FALSE,INDEX('Ist Vorjahr Monat 04'!B:B,MATCH(D165,'Ist Vorjahr Monat 04'!A:A,0)),
IF(ISERROR(MATCH(D165,'Ist Vorjahr Monat 05'!A:A,0))=FALSE,INDEX('Ist Vorjahr Monat 05'!B:B,MATCH(D165,'Ist Vorjahr Monat 05'!A:A,0)),
IF(ISERROR(MATCH(D165,'Ist Vorjahr Monat 06'!A:A,0))=FALSE,INDEX('Ist Vorjahr Monat 06'!B:B,MATCH(D165,'Ist Vorjahr Monat 06'!A:A,0)),
IF(ISERROR(MATCH(D165,'Ist Vorjahr Monat 07'!A:A,0))=FALSE,INDEX('Ist Vorjahr Monat 07'!B:B,MATCH(D165,'Ist Vorjahr Monat 07'!A:A,0)),
IF(ISERROR(MATCH(D165,'Ist Vorjahr Monat 08'!A:A,0))=FALSE,INDEX('Ist Vorjahr Monat 08'!B:B,MATCH(D165,'Ist Vorjahr Monat 08'!A:A,0)),
IF(ISERROR(MATCH(D165,'Ist Vorjahr Monat 09'!A:A,0))=FALSE,INDEX('Ist Vorjahr Monat 09'!B:B,MATCH(D165,'Ist Vorjahr Monat 09'!A:A,0)),
IF(ISERROR(MATCH(D165,'Ist Vorjahr Monat 10'!A:A,0))=FALSE,INDEX('Ist Vorjahr Monat 10'!B:B,MATCH(D165,'Ist Vorjahr Monat 10'!A:A,0)),
IF(ISERROR(MATCH(D165,'Ist Vorjahr Monat 11'!A:A,0))=FALSE,INDEX('Ist Vorjahr Monat 11'!B:B,MATCH(D165,'Ist Vorjahr Monat 11'!A:A,0)),
IF(ISERROR(MATCH(D165,'Ist Vorjahr Monat 12'!A:A,0))=FALSE,INDEX('Ist Vorjahr Monat 12'!B:B,MATCH(D165,'Ist Vorjahr Monat 12'!A:A,0)),
"{Konto unbekannt}"
)))))))))))),"")</f>
        <v/>
      </c>
      <c r="C165" s="591"/>
      <c r="D165" s="590"/>
      <c r="E165" s="592">
        <f t="shared" si="65"/>
        <v>1</v>
      </c>
      <c r="F165" s="590"/>
      <c r="G165" s="593">
        <f ca="1">$E165*(-SUMIF(INDIRECT(G$3),'Struktur Vorjahr'!$D165,INDIRECT(G$4))+SUMIF(INDIRECT(G$3),'Struktur Vorjahr'!$D165,INDIRECT(G$5)))</f>
        <v>0</v>
      </c>
      <c r="H165" s="593">
        <f ca="1">$E165*(-SUMIF(INDIRECT(H$3),'Struktur Vorjahr'!$D165,INDIRECT(H$4))+SUMIF(INDIRECT(H$3),'Struktur Vorjahr'!$D165,INDIRECT(H$5)))</f>
        <v>0</v>
      </c>
      <c r="I165" s="593">
        <f ca="1">$E165*(-SUMIF(INDIRECT(I$3),'Struktur Vorjahr'!$D165,INDIRECT(I$4))+SUMIF(INDIRECT(I$3),'Struktur Vorjahr'!$D165,INDIRECT(I$5)))</f>
        <v>0</v>
      </c>
      <c r="J165" s="593">
        <f ca="1">$E165*(-SUMIF(INDIRECT(J$3),'Struktur Vorjahr'!$D165,INDIRECT(J$4))+SUMIF(INDIRECT(J$3),'Struktur Vorjahr'!$D165,INDIRECT(J$5)))</f>
        <v>0</v>
      </c>
      <c r="K165" s="593">
        <f ca="1">$E165*(-SUMIF(INDIRECT(K$3),'Struktur Vorjahr'!$D165,INDIRECT(K$4))+SUMIF(INDIRECT(K$3),'Struktur Vorjahr'!$D165,INDIRECT(K$5)))</f>
        <v>0</v>
      </c>
      <c r="L165" s="593">
        <f ca="1">$E165*(-SUMIF(INDIRECT(L$3),'Struktur Vorjahr'!$D165,INDIRECT(L$4))+SUMIF(INDIRECT(L$3),'Struktur Vorjahr'!$D165,INDIRECT(L$5)))</f>
        <v>0</v>
      </c>
      <c r="M165" s="593">
        <f ca="1">$E165*(-SUMIF(INDIRECT(M$3),'Struktur Vorjahr'!$D165,INDIRECT(M$4))+SUMIF(INDIRECT(M$3),'Struktur Vorjahr'!$D165,INDIRECT(M$5)))</f>
        <v>0</v>
      </c>
      <c r="N165" s="593">
        <f ca="1">$E165*(-SUMIF(INDIRECT(N$3),'Struktur Vorjahr'!$D165,INDIRECT(N$4))+SUMIF(INDIRECT(N$3),'Struktur Vorjahr'!$D165,INDIRECT(N$5)))</f>
        <v>0</v>
      </c>
      <c r="O165" s="593">
        <f ca="1">$E165*(-SUMIF(INDIRECT(O$3),'Struktur Vorjahr'!$D165,INDIRECT(O$4))+SUMIF(INDIRECT(O$3),'Struktur Vorjahr'!$D165,INDIRECT(O$5)))</f>
        <v>0</v>
      </c>
      <c r="P165" s="593">
        <f ca="1">$E165*(-SUMIF(INDIRECT(P$3),'Struktur Vorjahr'!$D165,INDIRECT(P$4))+SUMIF(INDIRECT(P$3),'Struktur Vorjahr'!$D165,INDIRECT(P$5)))</f>
        <v>0</v>
      </c>
      <c r="Q165" s="593">
        <f ca="1">$E165*(-SUMIF(INDIRECT(Q$3),'Struktur Vorjahr'!$D165,INDIRECT(Q$4))+SUMIF(INDIRECT(Q$3),'Struktur Vorjahr'!$D165,INDIRECT(Q$5)))</f>
        <v>0</v>
      </c>
      <c r="R165" s="593">
        <f ca="1">$E165*(-SUMIF(INDIRECT(R$3),'Struktur Vorjahr'!$D165,INDIRECT(R$4))+SUMIF(INDIRECT(R$3),'Struktur Vorjahr'!$D165,INDIRECT(R$5)))</f>
        <v>0</v>
      </c>
      <c r="S165" s="593">
        <f ca="1">$E165*(-SUMIF(INDIRECT(S$3),'Struktur Vorjahr'!$D165,INDIRECT(S$4))+SUMIF(INDIRECT(S$3),'Struktur Vorjahr'!$D165,INDIRECT(S$5)))</f>
        <v>0</v>
      </c>
      <c r="T165" s="593">
        <f ca="1">$E165*(-SUMIF(INDIRECT(T$3),'Struktur Vorjahr'!$D165,INDIRECT(T$4))+SUMIF(INDIRECT(T$3),'Struktur Vorjahr'!$D165,INDIRECT(T$5)))</f>
        <v>0</v>
      </c>
      <c r="U165" s="593">
        <f ca="1">$E165*(-SUMIF(INDIRECT(U$3),'Struktur Vorjahr'!$D165,INDIRECT(U$4))+SUMIF(INDIRECT(U$3),'Struktur Vorjahr'!$D165,INDIRECT(U$5)))</f>
        <v>0</v>
      </c>
      <c r="V165" s="593">
        <f ca="1">$E165*(-SUMIF(INDIRECT(V$3),'Struktur Vorjahr'!$D165,INDIRECT(V$4))+SUMIF(INDIRECT(V$3),'Struktur Vorjahr'!$D165,INDIRECT(V$5)))</f>
        <v>0</v>
      </c>
      <c r="W165" s="593">
        <f ca="1">$E165*(-SUMIF(INDIRECT(W$3),'Struktur Vorjahr'!$D165,INDIRECT(W$4))+SUMIF(INDIRECT(W$3),'Struktur Vorjahr'!$D165,INDIRECT(W$5)))</f>
        <v>0</v>
      </c>
      <c r="X165" s="593">
        <f ca="1">$E165*(-SUMIF(INDIRECT(X$3),'Struktur Vorjahr'!$D165,INDIRECT(X$4))+SUMIF(INDIRECT(X$3),'Struktur Vorjahr'!$D165,INDIRECT(X$5)))</f>
        <v>0</v>
      </c>
      <c r="Y165" s="593">
        <f ca="1">$E165*(-SUMIF(INDIRECT(Y$3),'Struktur Vorjahr'!$D165,INDIRECT(Y$4))+SUMIF(INDIRECT(Y$3),'Struktur Vorjahr'!$D165,INDIRECT(Y$5)))</f>
        <v>0</v>
      </c>
      <c r="Z165" s="593">
        <f ca="1">$E165*(-SUMIF(INDIRECT(Z$3),'Struktur Vorjahr'!$D165,INDIRECT(Z$4))+SUMIF(INDIRECT(Z$3),'Struktur Vorjahr'!$D165,INDIRECT(Z$5)))</f>
        <v>0</v>
      </c>
      <c r="AA165" s="593">
        <f ca="1">$E165*(-SUMIF(INDIRECT(AA$3),'Struktur Vorjahr'!$D165,INDIRECT(AA$4))+SUMIF(INDIRECT(AA$3),'Struktur Vorjahr'!$D165,INDIRECT(AA$5)))</f>
        <v>0</v>
      </c>
      <c r="AB165" s="593">
        <f ca="1">$E165*(-SUMIF(INDIRECT(AB$3),'Struktur Vorjahr'!$D165,INDIRECT(AB$4))+SUMIF(INDIRECT(AB$3),'Struktur Vorjahr'!$D165,INDIRECT(AB$5)))</f>
        <v>0</v>
      </c>
      <c r="AC165" s="593">
        <f ca="1">$E165*(-SUMIF(INDIRECT(AC$3),'Struktur Vorjahr'!$D165,INDIRECT(AC$4))+SUMIF(INDIRECT(AC$3),'Struktur Vorjahr'!$D165,INDIRECT(AC$5)))</f>
        <v>0</v>
      </c>
      <c r="AD165" s="593">
        <f ca="1">$E165*(-SUMIF(INDIRECT(AD$3),'Struktur Vorjahr'!$D165,INDIRECT(AD$4))+SUMIF(INDIRECT(AD$3),'Struktur Vorjahr'!$D165,INDIRECT(AD$5)))</f>
        <v>0</v>
      </c>
      <c r="AE165" s="593">
        <f t="shared" ca="1" si="87"/>
        <v>0</v>
      </c>
      <c r="AF165" s="593">
        <f t="shared" ca="1" si="88"/>
        <v>0</v>
      </c>
      <c r="AG165" s="593">
        <f t="shared" ca="1" si="88"/>
        <v>0</v>
      </c>
      <c r="AH165" s="593">
        <f t="shared" ca="1" si="88"/>
        <v>0</v>
      </c>
      <c r="AI165" s="593">
        <f t="shared" ca="1" si="88"/>
        <v>0</v>
      </c>
      <c r="AJ165" s="593">
        <f t="shared" ca="1" si="88"/>
        <v>0</v>
      </c>
      <c r="AK165" s="593">
        <f t="shared" ca="1" si="88"/>
        <v>0</v>
      </c>
      <c r="AL165" s="593">
        <f t="shared" ca="1" si="88"/>
        <v>0</v>
      </c>
      <c r="AM165" s="593">
        <f t="shared" ca="1" si="88"/>
        <v>0</v>
      </c>
      <c r="AN165" s="593">
        <f t="shared" ca="1" si="88"/>
        <v>0</v>
      </c>
      <c r="AO165" s="593">
        <f t="shared" ca="1" si="88"/>
        <v>0</v>
      </c>
      <c r="AP165" s="593">
        <f t="shared" ca="1" si="88"/>
        <v>0</v>
      </c>
    </row>
    <row r="166" spans="1:42" s="594" customFormat="1" ht="11.25" outlineLevel="1" x14ac:dyDescent="0.2">
      <c r="A166" s="590"/>
      <c r="B166" s="591" t="str">
        <f>IF(D166&lt;&gt;"",
IF(ISERROR(MATCH(D166,'Ist Vorjahr Monat 01'!A:A,0))=FALSE,INDEX('Ist Vorjahr Monat 01'!B:B,MATCH(D166,'Ist Vorjahr Monat 01'!A:A,0)),
IF(ISERROR(MATCH(D166,'Ist Vorjahr Monat 02'!A:A,0))=FALSE,INDEX('Ist Vorjahr Monat 02'!B:B,MATCH(D166,'Ist Vorjahr Monat 02'!A:A,0)),
IF(ISERROR(MATCH(D166,'Ist Vorjahr Monat 03'!A:A,0))=FALSE,INDEX('Ist Vorjahr Monat 03'!B:B,MATCH(D166,'Ist Vorjahr Monat 03'!A:A,0)),
IF(ISERROR(MATCH(D166,'Ist Vorjahr Monat 04'!A:A,0))=FALSE,INDEX('Ist Vorjahr Monat 04'!B:B,MATCH(D166,'Ist Vorjahr Monat 04'!A:A,0)),
IF(ISERROR(MATCH(D166,'Ist Vorjahr Monat 05'!A:A,0))=FALSE,INDEX('Ist Vorjahr Monat 05'!B:B,MATCH(D166,'Ist Vorjahr Monat 05'!A:A,0)),
IF(ISERROR(MATCH(D166,'Ist Vorjahr Monat 06'!A:A,0))=FALSE,INDEX('Ist Vorjahr Monat 06'!B:B,MATCH(D166,'Ist Vorjahr Monat 06'!A:A,0)),
IF(ISERROR(MATCH(D166,'Ist Vorjahr Monat 07'!A:A,0))=FALSE,INDEX('Ist Vorjahr Monat 07'!B:B,MATCH(D166,'Ist Vorjahr Monat 07'!A:A,0)),
IF(ISERROR(MATCH(D166,'Ist Vorjahr Monat 08'!A:A,0))=FALSE,INDEX('Ist Vorjahr Monat 08'!B:B,MATCH(D166,'Ist Vorjahr Monat 08'!A:A,0)),
IF(ISERROR(MATCH(D166,'Ist Vorjahr Monat 09'!A:A,0))=FALSE,INDEX('Ist Vorjahr Monat 09'!B:B,MATCH(D166,'Ist Vorjahr Monat 09'!A:A,0)),
IF(ISERROR(MATCH(D166,'Ist Vorjahr Monat 10'!A:A,0))=FALSE,INDEX('Ist Vorjahr Monat 10'!B:B,MATCH(D166,'Ist Vorjahr Monat 10'!A:A,0)),
IF(ISERROR(MATCH(D166,'Ist Vorjahr Monat 11'!A:A,0))=FALSE,INDEX('Ist Vorjahr Monat 11'!B:B,MATCH(D166,'Ist Vorjahr Monat 11'!A:A,0)),
IF(ISERROR(MATCH(D166,'Ist Vorjahr Monat 12'!A:A,0))=FALSE,INDEX('Ist Vorjahr Monat 12'!B:B,MATCH(D166,'Ist Vorjahr Monat 12'!A:A,0)),
"{Konto unbekannt}"
)))))))))))),"")</f>
        <v/>
      </c>
      <c r="C166" s="591"/>
      <c r="D166" s="590"/>
      <c r="E166" s="592">
        <f t="shared" si="65"/>
        <v>1</v>
      </c>
      <c r="F166" s="590"/>
      <c r="G166" s="593">
        <f ca="1">$E166*(-SUMIF(INDIRECT(G$3),'Struktur Vorjahr'!$D166,INDIRECT(G$4))+SUMIF(INDIRECT(G$3),'Struktur Vorjahr'!$D166,INDIRECT(G$5)))</f>
        <v>0</v>
      </c>
      <c r="H166" s="593">
        <f ca="1">$E166*(-SUMIF(INDIRECT(H$3),'Struktur Vorjahr'!$D166,INDIRECT(H$4))+SUMIF(INDIRECT(H$3),'Struktur Vorjahr'!$D166,INDIRECT(H$5)))</f>
        <v>0</v>
      </c>
      <c r="I166" s="593">
        <f ca="1">$E166*(-SUMIF(INDIRECT(I$3),'Struktur Vorjahr'!$D166,INDIRECT(I$4))+SUMIF(INDIRECT(I$3),'Struktur Vorjahr'!$D166,INDIRECT(I$5)))</f>
        <v>0</v>
      </c>
      <c r="J166" s="593">
        <f ca="1">$E166*(-SUMIF(INDIRECT(J$3),'Struktur Vorjahr'!$D166,INDIRECT(J$4))+SUMIF(INDIRECT(J$3),'Struktur Vorjahr'!$D166,INDIRECT(J$5)))</f>
        <v>0</v>
      </c>
      <c r="K166" s="593">
        <f ca="1">$E166*(-SUMIF(INDIRECT(K$3),'Struktur Vorjahr'!$D166,INDIRECT(K$4))+SUMIF(INDIRECT(K$3),'Struktur Vorjahr'!$D166,INDIRECT(K$5)))</f>
        <v>0</v>
      </c>
      <c r="L166" s="593">
        <f ca="1">$E166*(-SUMIF(INDIRECT(L$3),'Struktur Vorjahr'!$D166,INDIRECT(L$4))+SUMIF(INDIRECT(L$3),'Struktur Vorjahr'!$D166,INDIRECT(L$5)))</f>
        <v>0</v>
      </c>
      <c r="M166" s="593">
        <f ca="1">$E166*(-SUMIF(INDIRECT(M$3),'Struktur Vorjahr'!$D166,INDIRECT(M$4))+SUMIF(INDIRECT(M$3),'Struktur Vorjahr'!$D166,INDIRECT(M$5)))</f>
        <v>0</v>
      </c>
      <c r="N166" s="593">
        <f ca="1">$E166*(-SUMIF(INDIRECT(N$3),'Struktur Vorjahr'!$D166,INDIRECT(N$4))+SUMIF(INDIRECT(N$3),'Struktur Vorjahr'!$D166,INDIRECT(N$5)))</f>
        <v>0</v>
      </c>
      <c r="O166" s="593">
        <f ca="1">$E166*(-SUMIF(INDIRECT(O$3),'Struktur Vorjahr'!$D166,INDIRECT(O$4))+SUMIF(INDIRECT(O$3),'Struktur Vorjahr'!$D166,INDIRECT(O$5)))</f>
        <v>0</v>
      </c>
      <c r="P166" s="593">
        <f ca="1">$E166*(-SUMIF(INDIRECT(P$3),'Struktur Vorjahr'!$D166,INDIRECT(P$4))+SUMIF(INDIRECT(P$3),'Struktur Vorjahr'!$D166,INDIRECT(P$5)))</f>
        <v>0</v>
      </c>
      <c r="Q166" s="593">
        <f ca="1">$E166*(-SUMIF(INDIRECT(Q$3),'Struktur Vorjahr'!$D166,INDIRECT(Q$4))+SUMIF(INDIRECT(Q$3),'Struktur Vorjahr'!$D166,INDIRECT(Q$5)))</f>
        <v>0</v>
      </c>
      <c r="R166" s="593">
        <f ca="1">$E166*(-SUMIF(INDIRECT(R$3),'Struktur Vorjahr'!$D166,INDIRECT(R$4))+SUMIF(INDIRECT(R$3),'Struktur Vorjahr'!$D166,INDIRECT(R$5)))</f>
        <v>0</v>
      </c>
      <c r="S166" s="593">
        <f ca="1">$E166*(-SUMIF(INDIRECT(S$3),'Struktur Vorjahr'!$D166,INDIRECT(S$4))+SUMIF(INDIRECT(S$3),'Struktur Vorjahr'!$D166,INDIRECT(S$5)))</f>
        <v>0</v>
      </c>
      <c r="T166" s="593">
        <f ca="1">$E166*(-SUMIF(INDIRECT(T$3),'Struktur Vorjahr'!$D166,INDIRECT(T$4))+SUMIF(INDIRECT(T$3),'Struktur Vorjahr'!$D166,INDIRECT(T$5)))</f>
        <v>0</v>
      </c>
      <c r="U166" s="593">
        <f ca="1">$E166*(-SUMIF(INDIRECT(U$3),'Struktur Vorjahr'!$D166,INDIRECT(U$4))+SUMIF(INDIRECT(U$3),'Struktur Vorjahr'!$D166,INDIRECT(U$5)))</f>
        <v>0</v>
      </c>
      <c r="V166" s="593">
        <f ca="1">$E166*(-SUMIF(INDIRECT(V$3),'Struktur Vorjahr'!$D166,INDIRECT(V$4))+SUMIF(INDIRECT(V$3),'Struktur Vorjahr'!$D166,INDIRECT(V$5)))</f>
        <v>0</v>
      </c>
      <c r="W166" s="593">
        <f ca="1">$E166*(-SUMIF(INDIRECT(W$3),'Struktur Vorjahr'!$D166,INDIRECT(W$4))+SUMIF(INDIRECT(W$3),'Struktur Vorjahr'!$D166,INDIRECT(W$5)))</f>
        <v>0</v>
      </c>
      <c r="X166" s="593">
        <f ca="1">$E166*(-SUMIF(INDIRECT(X$3),'Struktur Vorjahr'!$D166,INDIRECT(X$4))+SUMIF(INDIRECT(X$3),'Struktur Vorjahr'!$D166,INDIRECT(X$5)))</f>
        <v>0</v>
      </c>
      <c r="Y166" s="593">
        <f ca="1">$E166*(-SUMIF(INDIRECT(Y$3),'Struktur Vorjahr'!$D166,INDIRECT(Y$4))+SUMIF(INDIRECT(Y$3),'Struktur Vorjahr'!$D166,INDIRECT(Y$5)))</f>
        <v>0</v>
      </c>
      <c r="Z166" s="593">
        <f ca="1">$E166*(-SUMIF(INDIRECT(Z$3),'Struktur Vorjahr'!$D166,INDIRECT(Z$4))+SUMIF(INDIRECT(Z$3),'Struktur Vorjahr'!$D166,INDIRECT(Z$5)))</f>
        <v>0</v>
      </c>
      <c r="AA166" s="593">
        <f ca="1">$E166*(-SUMIF(INDIRECT(AA$3),'Struktur Vorjahr'!$D166,INDIRECT(AA$4))+SUMIF(INDIRECT(AA$3),'Struktur Vorjahr'!$D166,INDIRECT(AA$5)))</f>
        <v>0</v>
      </c>
      <c r="AB166" s="593">
        <f ca="1">$E166*(-SUMIF(INDIRECT(AB$3),'Struktur Vorjahr'!$D166,INDIRECT(AB$4))+SUMIF(INDIRECT(AB$3),'Struktur Vorjahr'!$D166,INDIRECT(AB$5)))</f>
        <v>0</v>
      </c>
      <c r="AC166" s="593">
        <f ca="1">$E166*(-SUMIF(INDIRECT(AC$3),'Struktur Vorjahr'!$D166,INDIRECT(AC$4))+SUMIF(INDIRECT(AC$3),'Struktur Vorjahr'!$D166,INDIRECT(AC$5)))</f>
        <v>0</v>
      </c>
      <c r="AD166" s="593">
        <f ca="1">$E166*(-SUMIF(INDIRECT(AD$3),'Struktur Vorjahr'!$D166,INDIRECT(AD$4))+SUMIF(INDIRECT(AD$3),'Struktur Vorjahr'!$D166,INDIRECT(AD$5)))</f>
        <v>0</v>
      </c>
      <c r="AE166" s="593">
        <f t="shared" ca="1" si="87"/>
        <v>0</v>
      </c>
      <c r="AF166" s="593">
        <f t="shared" ca="1" si="88"/>
        <v>0</v>
      </c>
      <c r="AG166" s="593">
        <f t="shared" ca="1" si="88"/>
        <v>0</v>
      </c>
      <c r="AH166" s="593">
        <f t="shared" ca="1" si="88"/>
        <v>0</v>
      </c>
      <c r="AI166" s="593">
        <f t="shared" ca="1" si="88"/>
        <v>0</v>
      </c>
      <c r="AJ166" s="593">
        <f t="shared" ca="1" si="88"/>
        <v>0</v>
      </c>
      <c r="AK166" s="593">
        <f t="shared" ca="1" si="88"/>
        <v>0</v>
      </c>
      <c r="AL166" s="593">
        <f t="shared" ca="1" si="88"/>
        <v>0</v>
      </c>
      <c r="AM166" s="593">
        <f t="shared" ca="1" si="88"/>
        <v>0</v>
      </c>
      <c r="AN166" s="593">
        <f t="shared" ca="1" si="88"/>
        <v>0</v>
      </c>
      <c r="AO166" s="593">
        <f t="shared" ca="1" si="88"/>
        <v>0</v>
      </c>
      <c r="AP166" s="593">
        <f t="shared" ca="1" si="88"/>
        <v>0</v>
      </c>
    </row>
    <row r="167" spans="1:42" s="594" customFormat="1" ht="11.25" outlineLevel="1" x14ac:dyDescent="0.2">
      <c r="A167" s="590"/>
      <c r="B167" s="591" t="str">
        <f>IF(D167&lt;&gt;"",
IF(ISERROR(MATCH(D167,'Ist Vorjahr Monat 01'!A:A,0))=FALSE,INDEX('Ist Vorjahr Monat 01'!B:B,MATCH(D167,'Ist Vorjahr Monat 01'!A:A,0)),
IF(ISERROR(MATCH(D167,'Ist Vorjahr Monat 02'!A:A,0))=FALSE,INDEX('Ist Vorjahr Monat 02'!B:B,MATCH(D167,'Ist Vorjahr Monat 02'!A:A,0)),
IF(ISERROR(MATCH(D167,'Ist Vorjahr Monat 03'!A:A,0))=FALSE,INDEX('Ist Vorjahr Monat 03'!B:B,MATCH(D167,'Ist Vorjahr Monat 03'!A:A,0)),
IF(ISERROR(MATCH(D167,'Ist Vorjahr Monat 04'!A:A,0))=FALSE,INDEX('Ist Vorjahr Monat 04'!B:B,MATCH(D167,'Ist Vorjahr Monat 04'!A:A,0)),
IF(ISERROR(MATCH(D167,'Ist Vorjahr Monat 05'!A:A,0))=FALSE,INDEX('Ist Vorjahr Monat 05'!B:B,MATCH(D167,'Ist Vorjahr Monat 05'!A:A,0)),
IF(ISERROR(MATCH(D167,'Ist Vorjahr Monat 06'!A:A,0))=FALSE,INDEX('Ist Vorjahr Monat 06'!B:B,MATCH(D167,'Ist Vorjahr Monat 06'!A:A,0)),
IF(ISERROR(MATCH(D167,'Ist Vorjahr Monat 07'!A:A,0))=FALSE,INDEX('Ist Vorjahr Monat 07'!B:B,MATCH(D167,'Ist Vorjahr Monat 07'!A:A,0)),
IF(ISERROR(MATCH(D167,'Ist Vorjahr Monat 08'!A:A,0))=FALSE,INDEX('Ist Vorjahr Monat 08'!B:B,MATCH(D167,'Ist Vorjahr Monat 08'!A:A,0)),
IF(ISERROR(MATCH(D167,'Ist Vorjahr Monat 09'!A:A,0))=FALSE,INDEX('Ist Vorjahr Monat 09'!B:B,MATCH(D167,'Ist Vorjahr Monat 09'!A:A,0)),
IF(ISERROR(MATCH(D167,'Ist Vorjahr Monat 10'!A:A,0))=FALSE,INDEX('Ist Vorjahr Monat 10'!B:B,MATCH(D167,'Ist Vorjahr Monat 10'!A:A,0)),
IF(ISERROR(MATCH(D167,'Ist Vorjahr Monat 11'!A:A,0))=FALSE,INDEX('Ist Vorjahr Monat 11'!B:B,MATCH(D167,'Ist Vorjahr Monat 11'!A:A,0)),
IF(ISERROR(MATCH(D167,'Ist Vorjahr Monat 12'!A:A,0))=FALSE,INDEX('Ist Vorjahr Monat 12'!B:B,MATCH(D167,'Ist Vorjahr Monat 12'!A:A,0)),
"{Konto unbekannt}"
)))))))))))),"")</f>
        <v/>
      </c>
      <c r="C167" s="591"/>
      <c r="D167" s="590"/>
      <c r="E167" s="592">
        <f t="shared" si="65"/>
        <v>1</v>
      </c>
      <c r="F167" s="590"/>
      <c r="G167" s="593">
        <f ca="1">$E167*(-SUMIF(INDIRECT(G$3),'Struktur Vorjahr'!$D167,INDIRECT(G$4))+SUMIF(INDIRECT(G$3),'Struktur Vorjahr'!$D167,INDIRECT(G$5)))</f>
        <v>0</v>
      </c>
      <c r="H167" s="593">
        <f ca="1">$E167*(-SUMIF(INDIRECT(H$3),'Struktur Vorjahr'!$D167,INDIRECT(H$4))+SUMIF(INDIRECT(H$3),'Struktur Vorjahr'!$D167,INDIRECT(H$5)))</f>
        <v>0</v>
      </c>
      <c r="I167" s="593">
        <f ca="1">$E167*(-SUMIF(INDIRECT(I$3),'Struktur Vorjahr'!$D167,INDIRECT(I$4))+SUMIF(INDIRECT(I$3),'Struktur Vorjahr'!$D167,INDIRECT(I$5)))</f>
        <v>0</v>
      </c>
      <c r="J167" s="593">
        <f ca="1">$E167*(-SUMIF(INDIRECT(J$3),'Struktur Vorjahr'!$D167,INDIRECT(J$4))+SUMIF(INDIRECT(J$3),'Struktur Vorjahr'!$D167,INDIRECT(J$5)))</f>
        <v>0</v>
      </c>
      <c r="K167" s="593">
        <f ca="1">$E167*(-SUMIF(INDIRECT(K$3),'Struktur Vorjahr'!$D167,INDIRECT(K$4))+SUMIF(INDIRECT(K$3),'Struktur Vorjahr'!$D167,INDIRECT(K$5)))</f>
        <v>0</v>
      </c>
      <c r="L167" s="593">
        <f ca="1">$E167*(-SUMIF(INDIRECT(L$3),'Struktur Vorjahr'!$D167,INDIRECT(L$4))+SUMIF(INDIRECT(L$3),'Struktur Vorjahr'!$D167,INDIRECT(L$5)))</f>
        <v>0</v>
      </c>
      <c r="M167" s="593">
        <f ca="1">$E167*(-SUMIF(INDIRECT(M$3),'Struktur Vorjahr'!$D167,INDIRECT(M$4))+SUMIF(INDIRECT(M$3),'Struktur Vorjahr'!$D167,INDIRECT(M$5)))</f>
        <v>0</v>
      </c>
      <c r="N167" s="593">
        <f ca="1">$E167*(-SUMIF(INDIRECT(N$3),'Struktur Vorjahr'!$D167,INDIRECT(N$4))+SUMIF(INDIRECT(N$3),'Struktur Vorjahr'!$D167,INDIRECT(N$5)))</f>
        <v>0</v>
      </c>
      <c r="O167" s="593">
        <f ca="1">$E167*(-SUMIF(INDIRECT(O$3),'Struktur Vorjahr'!$D167,INDIRECT(O$4))+SUMIF(INDIRECT(O$3),'Struktur Vorjahr'!$D167,INDIRECT(O$5)))</f>
        <v>0</v>
      </c>
      <c r="P167" s="593">
        <f ca="1">$E167*(-SUMIF(INDIRECT(P$3),'Struktur Vorjahr'!$D167,INDIRECT(P$4))+SUMIF(INDIRECT(P$3),'Struktur Vorjahr'!$D167,INDIRECT(P$5)))</f>
        <v>0</v>
      </c>
      <c r="Q167" s="593">
        <f ca="1">$E167*(-SUMIF(INDIRECT(Q$3),'Struktur Vorjahr'!$D167,INDIRECT(Q$4))+SUMIF(INDIRECT(Q$3),'Struktur Vorjahr'!$D167,INDIRECT(Q$5)))</f>
        <v>0</v>
      </c>
      <c r="R167" s="593">
        <f ca="1">$E167*(-SUMIF(INDIRECT(R$3),'Struktur Vorjahr'!$D167,INDIRECT(R$4))+SUMIF(INDIRECT(R$3),'Struktur Vorjahr'!$D167,INDIRECT(R$5)))</f>
        <v>0</v>
      </c>
      <c r="S167" s="593">
        <f ca="1">$E167*(-SUMIF(INDIRECT(S$3),'Struktur Vorjahr'!$D167,INDIRECT(S$4))+SUMIF(INDIRECT(S$3),'Struktur Vorjahr'!$D167,INDIRECT(S$5)))</f>
        <v>0</v>
      </c>
      <c r="T167" s="593">
        <f ca="1">$E167*(-SUMIF(INDIRECT(T$3),'Struktur Vorjahr'!$D167,INDIRECT(T$4))+SUMIF(INDIRECT(T$3),'Struktur Vorjahr'!$D167,INDIRECT(T$5)))</f>
        <v>0</v>
      </c>
      <c r="U167" s="593">
        <f ca="1">$E167*(-SUMIF(INDIRECT(U$3),'Struktur Vorjahr'!$D167,INDIRECT(U$4))+SUMIF(INDIRECT(U$3),'Struktur Vorjahr'!$D167,INDIRECT(U$5)))</f>
        <v>0</v>
      </c>
      <c r="V167" s="593">
        <f ca="1">$E167*(-SUMIF(INDIRECT(V$3),'Struktur Vorjahr'!$D167,INDIRECT(V$4))+SUMIF(INDIRECT(V$3),'Struktur Vorjahr'!$D167,INDIRECT(V$5)))</f>
        <v>0</v>
      </c>
      <c r="W167" s="593">
        <f ca="1">$E167*(-SUMIF(INDIRECT(W$3),'Struktur Vorjahr'!$D167,INDIRECT(W$4))+SUMIF(INDIRECT(W$3),'Struktur Vorjahr'!$D167,INDIRECT(W$5)))</f>
        <v>0</v>
      </c>
      <c r="X167" s="593">
        <f ca="1">$E167*(-SUMIF(INDIRECT(X$3),'Struktur Vorjahr'!$D167,INDIRECT(X$4))+SUMIF(INDIRECT(X$3),'Struktur Vorjahr'!$D167,INDIRECT(X$5)))</f>
        <v>0</v>
      </c>
      <c r="Y167" s="593">
        <f ca="1">$E167*(-SUMIF(INDIRECT(Y$3),'Struktur Vorjahr'!$D167,INDIRECT(Y$4))+SUMIF(INDIRECT(Y$3),'Struktur Vorjahr'!$D167,INDIRECT(Y$5)))</f>
        <v>0</v>
      </c>
      <c r="Z167" s="593">
        <f ca="1">$E167*(-SUMIF(INDIRECT(Z$3),'Struktur Vorjahr'!$D167,INDIRECT(Z$4))+SUMIF(INDIRECT(Z$3),'Struktur Vorjahr'!$D167,INDIRECT(Z$5)))</f>
        <v>0</v>
      </c>
      <c r="AA167" s="593">
        <f ca="1">$E167*(-SUMIF(INDIRECT(AA$3),'Struktur Vorjahr'!$D167,INDIRECT(AA$4))+SUMIF(INDIRECT(AA$3),'Struktur Vorjahr'!$D167,INDIRECT(AA$5)))</f>
        <v>0</v>
      </c>
      <c r="AB167" s="593">
        <f ca="1">$E167*(-SUMIF(INDIRECT(AB$3),'Struktur Vorjahr'!$D167,INDIRECT(AB$4))+SUMIF(INDIRECT(AB$3),'Struktur Vorjahr'!$D167,INDIRECT(AB$5)))</f>
        <v>0</v>
      </c>
      <c r="AC167" s="593">
        <f ca="1">$E167*(-SUMIF(INDIRECT(AC$3),'Struktur Vorjahr'!$D167,INDIRECT(AC$4))+SUMIF(INDIRECT(AC$3),'Struktur Vorjahr'!$D167,INDIRECT(AC$5)))</f>
        <v>0</v>
      </c>
      <c r="AD167" s="593">
        <f ca="1">$E167*(-SUMIF(INDIRECT(AD$3),'Struktur Vorjahr'!$D167,INDIRECT(AD$4))+SUMIF(INDIRECT(AD$3),'Struktur Vorjahr'!$D167,INDIRECT(AD$5)))</f>
        <v>0</v>
      </c>
      <c r="AE167" s="593">
        <f t="shared" ca="1" si="87"/>
        <v>0</v>
      </c>
      <c r="AF167" s="593">
        <f t="shared" ca="1" si="88"/>
        <v>0</v>
      </c>
      <c r="AG167" s="593">
        <f t="shared" ca="1" si="88"/>
        <v>0</v>
      </c>
      <c r="AH167" s="593">
        <f t="shared" ca="1" si="88"/>
        <v>0</v>
      </c>
      <c r="AI167" s="593">
        <f t="shared" ca="1" si="88"/>
        <v>0</v>
      </c>
      <c r="AJ167" s="593">
        <f t="shared" ca="1" si="88"/>
        <v>0</v>
      </c>
      <c r="AK167" s="593">
        <f t="shared" ca="1" si="88"/>
        <v>0</v>
      </c>
      <c r="AL167" s="593">
        <f t="shared" ca="1" si="88"/>
        <v>0</v>
      </c>
      <c r="AM167" s="593">
        <f t="shared" ca="1" si="88"/>
        <v>0</v>
      </c>
      <c r="AN167" s="593">
        <f t="shared" ca="1" si="88"/>
        <v>0</v>
      </c>
      <c r="AO167" s="593">
        <f t="shared" ca="1" si="88"/>
        <v>0</v>
      </c>
      <c r="AP167" s="593">
        <f t="shared" ca="1" si="88"/>
        <v>0</v>
      </c>
    </row>
    <row r="168" spans="1:42" s="589" customFormat="1" x14ac:dyDescent="0.2">
      <c r="A168" s="585">
        <v>16</v>
      </c>
      <c r="B168" s="586" t="s">
        <v>1013</v>
      </c>
      <c r="C168" s="587">
        <f ca="1">SUM(G168:R168)</f>
        <v>2208.66</v>
      </c>
      <c r="D168" s="587"/>
      <c r="E168" s="588">
        <f t="shared" si="65"/>
        <v>1</v>
      </c>
      <c r="F168" s="585"/>
      <c r="G168" s="587">
        <f t="shared" ref="G168:AP168" ca="1" si="89">SUM(G169:G176)</f>
        <v>223</v>
      </c>
      <c r="H168" s="587">
        <f t="shared" ca="1" si="89"/>
        <v>4.71</v>
      </c>
      <c r="I168" s="587">
        <f t="shared" ca="1" si="89"/>
        <v>270.02999999999997</v>
      </c>
      <c r="J168" s="587">
        <f t="shared" ca="1" si="89"/>
        <v>42.75</v>
      </c>
      <c r="K168" s="587">
        <f t="shared" ca="1" si="89"/>
        <v>568.28</v>
      </c>
      <c r="L168" s="587">
        <f t="shared" ca="1" si="89"/>
        <v>0</v>
      </c>
      <c r="M168" s="587">
        <f t="shared" ca="1" si="89"/>
        <v>569.89</v>
      </c>
      <c r="N168" s="587">
        <f t="shared" ca="1" si="89"/>
        <v>530</v>
      </c>
      <c r="O168" s="587">
        <f t="shared" ca="1" si="89"/>
        <v>0</v>
      </c>
      <c r="P168" s="587">
        <f t="shared" ca="1" si="89"/>
        <v>0</v>
      </c>
      <c r="Q168" s="587">
        <f t="shared" ca="1" si="89"/>
        <v>0</v>
      </c>
      <c r="R168" s="587">
        <f t="shared" ca="1" si="89"/>
        <v>0</v>
      </c>
      <c r="S168" s="587">
        <f t="shared" ca="1" si="89"/>
        <v>223</v>
      </c>
      <c r="T168" s="587">
        <f t="shared" ca="1" si="89"/>
        <v>227.71</v>
      </c>
      <c r="U168" s="587">
        <f t="shared" ca="1" si="89"/>
        <v>497.74</v>
      </c>
      <c r="V168" s="587">
        <f t="shared" ca="1" si="89"/>
        <v>540.49</v>
      </c>
      <c r="W168" s="587">
        <f t="shared" ca="1" si="89"/>
        <v>1108.77</v>
      </c>
      <c r="X168" s="587">
        <f t="shared" ca="1" si="89"/>
        <v>1108.77</v>
      </c>
      <c r="Y168" s="587">
        <f t="shared" ca="1" si="89"/>
        <v>1678.66</v>
      </c>
      <c r="Z168" s="587">
        <f t="shared" ca="1" si="89"/>
        <v>2208.66</v>
      </c>
      <c r="AA168" s="587">
        <f t="shared" ca="1" si="89"/>
        <v>2208.66</v>
      </c>
      <c r="AB168" s="587">
        <f t="shared" ca="1" si="89"/>
        <v>2208.66</v>
      </c>
      <c r="AC168" s="587">
        <f t="shared" ca="1" si="89"/>
        <v>0</v>
      </c>
      <c r="AD168" s="587">
        <f t="shared" ca="1" si="89"/>
        <v>0</v>
      </c>
      <c r="AE168" s="587">
        <f t="shared" ca="1" si="89"/>
        <v>223</v>
      </c>
      <c r="AF168" s="587">
        <f t="shared" ca="1" si="89"/>
        <v>227.71</v>
      </c>
      <c r="AG168" s="587">
        <f t="shared" ca="1" si="89"/>
        <v>497.74</v>
      </c>
      <c r="AH168" s="587">
        <f t="shared" ca="1" si="89"/>
        <v>540.49</v>
      </c>
      <c r="AI168" s="587">
        <f t="shared" ca="1" si="89"/>
        <v>1108.77</v>
      </c>
      <c r="AJ168" s="587">
        <f t="shared" ca="1" si="89"/>
        <v>1108.77</v>
      </c>
      <c r="AK168" s="587">
        <f t="shared" ca="1" si="89"/>
        <v>1678.6599999999999</v>
      </c>
      <c r="AL168" s="587">
        <f t="shared" ca="1" si="89"/>
        <v>2208.66</v>
      </c>
      <c r="AM168" s="587">
        <f t="shared" ca="1" si="89"/>
        <v>2208.66</v>
      </c>
      <c r="AN168" s="587">
        <f t="shared" ca="1" si="89"/>
        <v>2208.66</v>
      </c>
      <c r="AO168" s="587">
        <f t="shared" ca="1" si="89"/>
        <v>2208.66</v>
      </c>
      <c r="AP168" s="587">
        <f t="shared" ca="1" si="89"/>
        <v>2208.66</v>
      </c>
    </row>
    <row r="169" spans="1:42" s="594" customFormat="1" ht="11.25" outlineLevel="1" x14ac:dyDescent="0.2">
      <c r="A169" s="590"/>
      <c r="B169" s="591" t="str">
        <f>IF(D169&lt;&gt;"",
IF(ISERROR(MATCH(D169,'Ist Vorjahr Monat 01'!A:A,0))=FALSE,INDEX('Ist Vorjahr Monat 01'!B:B,MATCH(D169,'Ist Vorjahr Monat 01'!A:A,0)),
IF(ISERROR(MATCH(D169,'Ist Vorjahr Monat 02'!A:A,0))=FALSE,INDEX('Ist Vorjahr Monat 02'!B:B,MATCH(D169,'Ist Vorjahr Monat 02'!A:A,0)),
IF(ISERROR(MATCH(D169,'Ist Vorjahr Monat 03'!A:A,0))=FALSE,INDEX('Ist Vorjahr Monat 03'!B:B,MATCH(D169,'Ist Vorjahr Monat 03'!A:A,0)),
IF(ISERROR(MATCH(D169,'Ist Vorjahr Monat 04'!A:A,0))=FALSE,INDEX('Ist Vorjahr Monat 04'!B:B,MATCH(D169,'Ist Vorjahr Monat 04'!A:A,0)),
IF(ISERROR(MATCH(D169,'Ist Vorjahr Monat 05'!A:A,0))=FALSE,INDEX('Ist Vorjahr Monat 05'!B:B,MATCH(D169,'Ist Vorjahr Monat 05'!A:A,0)),
IF(ISERROR(MATCH(D169,'Ist Vorjahr Monat 06'!A:A,0))=FALSE,INDEX('Ist Vorjahr Monat 06'!B:B,MATCH(D169,'Ist Vorjahr Monat 06'!A:A,0)),
IF(ISERROR(MATCH(D169,'Ist Vorjahr Monat 07'!A:A,0))=FALSE,INDEX('Ist Vorjahr Monat 07'!B:B,MATCH(D169,'Ist Vorjahr Monat 07'!A:A,0)),
IF(ISERROR(MATCH(D169,'Ist Vorjahr Monat 08'!A:A,0))=FALSE,INDEX('Ist Vorjahr Monat 08'!B:B,MATCH(D169,'Ist Vorjahr Monat 08'!A:A,0)),
IF(ISERROR(MATCH(D169,'Ist Vorjahr Monat 09'!A:A,0))=FALSE,INDEX('Ist Vorjahr Monat 09'!B:B,MATCH(D169,'Ist Vorjahr Monat 09'!A:A,0)),
IF(ISERROR(MATCH(D169,'Ist Vorjahr Monat 10'!A:A,0))=FALSE,INDEX('Ist Vorjahr Monat 10'!B:B,MATCH(D169,'Ist Vorjahr Monat 10'!A:A,0)),
IF(ISERROR(MATCH(D169,'Ist Vorjahr Monat 11'!A:A,0))=FALSE,INDEX('Ist Vorjahr Monat 11'!B:B,MATCH(D169,'Ist Vorjahr Monat 11'!A:A,0)),
IF(ISERROR(MATCH(D169,'Ist Vorjahr Monat 12'!A:A,0))=FALSE,INDEX('Ist Vorjahr Monat 12'!B:B,MATCH(D169,'Ist Vorjahr Monat 12'!A:A,0)),
"{Konto unbekannt}"
)))))))))))),"")</f>
        <v>Reinigung</v>
      </c>
      <c r="C169" s="591"/>
      <c r="D169" s="590">
        <v>4250</v>
      </c>
      <c r="E169" s="592">
        <f t="shared" si="65"/>
        <v>1</v>
      </c>
      <c r="F169" s="590"/>
      <c r="G169" s="593">
        <f ca="1">$E169*(-SUMIF(INDIRECT(G$3),'Struktur Vorjahr'!$D169,INDIRECT(G$4))+SUMIF(INDIRECT(G$3),'Struktur Vorjahr'!$D169,INDIRECT(G$5)))</f>
        <v>223</v>
      </c>
      <c r="H169" s="593">
        <f ca="1">$E169*(-SUMIF(INDIRECT(H$3),'Struktur Vorjahr'!$D169,INDIRECT(H$4))+SUMIF(INDIRECT(H$3),'Struktur Vorjahr'!$D169,INDIRECT(H$5)))</f>
        <v>4.71</v>
      </c>
      <c r="I169" s="593">
        <f ca="1">$E169*(-SUMIF(INDIRECT(I$3),'Struktur Vorjahr'!$D169,INDIRECT(I$4))+SUMIF(INDIRECT(I$3),'Struktur Vorjahr'!$D169,INDIRECT(I$5)))</f>
        <v>223</v>
      </c>
      <c r="J169" s="593">
        <f ca="1">$E169*(-SUMIF(INDIRECT(J$3),'Struktur Vorjahr'!$D169,INDIRECT(J$4))+SUMIF(INDIRECT(J$3),'Struktur Vorjahr'!$D169,INDIRECT(J$5)))</f>
        <v>0</v>
      </c>
      <c r="K169" s="593">
        <f ca="1">$E169*(-SUMIF(INDIRECT(K$3),'Struktur Vorjahr'!$D169,INDIRECT(K$4))+SUMIF(INDIRECT(K$3),'Struktur Vorjahr'!$D169,INDIRECT(K$5)))</f>
        <v>0</v>
      </c>
      <c r="L169" s="593">
        <f ca="1">$E169*(-SUMIF(INDIRECT(L$3),'Struktur Vorjahr'!$D169,INDIRECT(L$4))+SUMIF(INDIRECT(L$3),'Struktur Vorjahr'!$D169,INDIRECT(L$5)))</f>
        <v>0</v>
      </c>
      <c r="M169" s="593">
        <f ca="1">$E169*(-SUMIF(INDIRECT(M$3),'Struktur Vorjahr'!$D169,INDIRECT(M$4))+SUMIF(INDIRECT(M$3),'Struktur Vorjahr'!$D169,INDIRECT(M$5)))</f>
        <v>0</v>
      </c>
      <c r="N169" s="593">
        <f ca="1">$E169*(-SUMIF(INDIRECT(N$3),'Struktur Vorjahr'!$D169,INDIRECT(N$4))+SUMIF(INDIRECT(N$3),'Struktur Vorjahr'!$D169,INDIRECT(N$5)))</f>
        <v>0</v>
      </c>
      <c r="O169" s="593">
        <f ca="1">$E169*(-SUMIF(INDIRECT(O$3),'Struktur Vorjahr'!$D169,INDIRECT(O$4))+SUMIF(INDIRECT(O$3),'Struktur Vorjahr'!$D169,INDIRECT(O$5)))</f>
        <v>0</v>
      </c>
      <c r="P169" s="593">
        <f ca="1">$E169*(-SUMIF(INDIRECT(P$3),'Struktur Vorjahr'!$D169,INDIRECT(P$4))+SUMIF(INDIRECT(P$3),'Struktur Vorjahr'!$D169,INDIRECT(P$5)))</f>
        <v>0</v>
      </c>
      <c r="Q169" s="593">
        <f ca="1">$E169*(-SUMIF(INDIRECT(Q$3),'Struktur Vorjahr'!$D169,INDIRECT(Q$4))+SUMIF(INDIRECT(Q$3),'Struktur Vorjahr'!$D169,INDIRECT(Q$5)))</f>
        <v>0</v>
      </c>
      <c r="R169" s="593">
        <f ca="1">$E169*(-SUMIF(INDIRECT(R$3),'Struktur Vorjahr'!$D169,INDIRECT(R$4))+SUMIF(INDIRECT(R$3),'Struktur Vorjahr'!$D169,INDIRECT(R$5)))</f>
        <v>0</v>
      </c>
      <c r="S169" s="593">
        <f ca="1">$E169*(-SUMIF(INDIRECT(S$3),'Struktur Vorjahr'!$D169,INDIRECT(S$4))+SUMIF(INDIRECT(S$3),'Struktur Vorjahr'!$D169,INDIRECT(S$5)))</f>
        <v>223</v>
      </c>
      <c r="T169" s="593">
        <f ca="1">$E169*(-SUMIF(INDIRECT(T$3),'Struktur Vorjahr'!$D169,INDIRECT(T$4))+SUMIF(INDIRECT(T$3),'Struktur Vorjahr'!$D169,INDIRECT(T$5)))</f>
        <v>227.71</v>
      </c>
      <c r="U169" s="593">
        <f ca="1">$E169*(-SUMIF(INDIRECT(U$3),'Struktur Vorjahr'!$D169,INDIRECT(U$4))+SUMIF(INDIRECT(U$3),'Struktur Vorjahr'!$D169,INDIRECT(U$5)))</f>
        <v>450.71</v>
      </c>
      <c r="V169" s="593">
        <f ca="1">$E169*(-SUMIF(INDIRECT(V$3),'Struktur Vorjahr'!$D169,INDIRECT(V$4))+SUMIF(INDIRECT(V$3),'Struktur Vorjahr'!$D169,INDIRECT(V$5)))</f>
        <v>450.71</v>
      </c>
      <c r="W169" s="593">
        <f ca="1">$E169*(-SUMIF(INDIRECT(W$3),'Struktur Vorjahr'!$D169,INDIRECT(W$4))+SUMIF(INDIRECT(W$3),'Struktur Vorjahr'!$D169,INDIRECT(W$5)))</f>
        <v>450.71</v>
      </c>
      <c r="X169" s="593">
        <f ca="1">$E169*(-SUMIF(INDIRECT(X$3),'Struktur Vorjahr'!$D169,INDIRECT(X$4))+SUMIF(INDIRECT(X$3),'Struktur Vorjahr'!$D169,INDIRECT(X$5)))</f>
        <v>450.71</v>
      </c>
      <c r="Y169" s="593">
        <f ca="1">$E169*(-SUMIF(INDIRECT(Y$3),'Struktur Vorjahr'!$D169,INDIRECT(Y$4))+SUMIF(INDIRECT(Y$3),'Struktur Vorjahr'!$D169,INDIRECT(Y$5)))</f>
        <v>450.71</v>
      </c>
      <c r="Z169" s="593">
        <f ca="1">$E169*(-SUMIF(INDIRECT(Z$3),'Struktur Vorjahr'!$D169,INDIRECT(Z$4))+SUMIF(INDIRECT(Z$3),'Struktur Vorjahr'!$D169,INDIRECT(Z$5)))</f>
        <v>450.71</v>
      </c>
      <c r="AA169" s="593">
        <f ca="1">$E169*(-SUMIF(INDIRECT(AA$3),'Struktur Vorjahr'!$D169,INDIRECT(AA$4))+SUMIF(INDIRECT(AA$3),'Struktur Vorjahr'!$D169,INDIRECT(AA$5)))</f>
        <v>450.71</v>
      </c>
      <c r="AB169" s="593">
        <f ca="1">$E169*(-SUMIF(INDIRECT(AB$3),'Struktur Vorjahr'!$D169,INDIRECT(AB$4))+SUMIF(INDIRECT(AB$3),'Struktur Vorjahr'!$D169,INDIRECT(AB$5)))</f>
        <v>450.71</v>
      </c>
      <c r="AC169" s="593">
        <f ca="1">$E169*(-SUMIF(INDIRECT(AC$3),'Struktur Vorjahr'!$D169,INDIRECT(AC$4))+SUMIF(INDIRECT(AC$3),'Struktur Vorjahr'!$D169,INDIRECT(AC$5)))</f>
        <v>0</v>
      </c>
      <c r="AD169" s="593">
        <f ca="1">$E169*(-SUMIF(INDIRECT(AD$3),'Struktur Vorjahr'!$D169,INDIRECT(AD$4))+SUMIF(INDIRECT(AD$3),'Struktur Vorjahr'!$D169,INDIRECT(AD$5)))</f>
        <v>0</v>
      </c>
      <c r="AE169" s="593">
        <f t="shared" ref="AE169:AE176" ca="1" si="90">G169</f>
        <v>223</v>
      </c>
      <c r="AF169" s="593">
        <f t="shared" ref="AF169:AP176" ca="1" si="91">H169+AE169</f>
        <v>227.71</v>
      </c>
      <c r="AG169" s="593">
        <f t="shared" ca="1" si="91"/>
        <v>450.71000000000004</v>
      </c>
      <c r="AH169" s="593">
        <f t="shared" ca="1" si="91"/>
        <v>450.71000000000004</v>
      </c>
      <c r="AI169" s="593">
        <f t="shared" ca="1" si="91"/>
        <v>450.71000000000004</v>
      </c>
      <c r="AJ169" s="593">
        <f t="shared" ca="1" si="91"/>
        <v>450.71000000000004</v>
      </c>
      <c r="AK169" s="593">
        <f t="shared" ca="1" si="91"/>
        <v>450.71000000000004</v>
      </c>
      <c r="AL169" s="593">
        <f t="shared" ca="1" si="91"/>
        <v>450.71000000000004</v>
      </c>
      <c r="AM169" s="593">
        <f t="shared" ca="1" si="91"/>
        <v>450.71000000000004</v>
      </c>
      <c r="AN169" s="593">
        <f t="shared" ca="1" si="91"/>
        <v>450.71000000000004</v>
      </c>
      <c r="AO169" s="593">
        <f t="shared" ca="1" si="91"/>
        <v>450.71000000000004</v>
      </c>
      <c r="AP169" s="593">
        <f t="shared" ca="1" si="91"/>
        <v>450.71000000000004</v>
      </c>
    </row>
    <row r="170" spans="1:42" s="594" customFormat="1" ht="11.25" outlineLevel="1" x14ac:dyDescent="0.2">
      <c r="A170" s="590"/>
      <c r="B170" s="591" t="str">
        <f>IF(D170&lt;&gt;"",
IF(ISERROR(MATCH(D170,'Ist Vorjahr Monat 01'!A:A,0))=FALSE,INDEX('Ist Vorjahr Monat 01'!B:B,MATCH(D170,'Ist Vorjahr Monat 01'!A:A,0)),
IF(ISERROR(MATCH(D170,'Ist Vorjahr Monat 02'!A:A,0))=FALSE,INDEX('Ist Vorjahr Monat 02'!B:B,MATCH(D170,'Ist Vorjahr Monat 02'!A:A,0)),
IF(ISERROR(MATCH(D170,'Ist Vorjahr Monat 03'!A:A,0))=FALSE,INDEX('Ist Vorjahr Monat 03'!B:B,MATCH(D170,'Ist Vorjahr Monat 03'!A:A,0)),
IF(ISERROR(MATCH(D170,'Ist Vorjahr Monat 04'!A:A,0))=FALSE,INDEX('Ist Vorjahr Monat 04'!B:B,MATCH(D170,'Ist Vorjahr Monat 04'!A:A,0)),
IF(ISERROR(MATCH(D170,'Ist Vorjahr Monat 05'!A:A,0))=FALSE,INDEX('Ist Vorjahr Monat 05'!B:B,MATCH(D170,'Ist Vorjahr Monat 05'!A:A,0)),
IF(ISERROR(MATCH(D170,'Ist Vorjahr Monat 06'!A:A,0))=FALSE,INDEX('Ist Vorjahr Monat 06'!B:B,MATCH(D170,'Ist Vorjahr Monat 06'!A:A,0)),
IF(ISERROR(MATCH(D170,'Ist Vorjahr Monat 07'!A:A,0))=FALSE,INDEX('Ist Vorjahr Monat 07'!B:B,MATCH(D170,'Ist Vorjahr Monat 07'!A:A,0)),
IF(ISERROR(MATCH(D170,'Ist Vorjahr Monat 08'!A:A,0))=FALSE,INDEX('Ist Vorjahr Monat 08'!B:B,MATCH(D170,'Ist Vorjahr Monat 08'!A:A,0)),
IF(ISERROR(MATCH(D170,'Ist Vorjahr Monat 09'!A:A,0))=FALSE,INDEX('Ist Vorjahr Monat 09'!B:B,MATCH(D170,'Ist Vorjahr Monat 09'!A:A,0)),
IF(ISERROR(MATCH(D170,'Ist Vorjahr Monat 10'!A:A,0))=FALSE,INDEX('Ist Vorjahr Monat 10'!B:B,MATCH(D170,'Ist Vorjahr Monat 10'!A:A,0)),
IF(ISERROR(MATCH(D170,'Ist Vorjahr Monat 11'!A:A,0))=FALSE,INDEX('Ist Vorjahr Monat 11'!B:B,MATCH(D170,'Ist Vorjahr Monat 11'!A:A,0)),
IF(ISERROR(MATCH(D170,'Ist Vorjahr Monat 12'!A:A,0))=FALSE,INDEX('Ist Vorjahr Monat 12'!B:B,MATCH(D170,'Ist Vorjahr Monat 12'!A:A,0)),
"{Konto unbekannt}"
)))))))))))),"")</f>
        <v>CM_Renovierung Büro und Außenanlage</v>
      </c>
      <c r="C170" s="591"/>
      <c r="D170" s="590">
        <v>4261</v>
      </c>
      <c r="E170" s="592">
        <f t="shared" si="65"/>
        <v>1</v>
      </c>
      <c r="F170" s="590"/>
      <c r="G170" s="593">
        <f ca="1">$E170*(-SUMIF(INDIRECT(G$3),'Struktur Vorjahr'!$D170,INDIRECT(G$4))+SUMIF(INDIRECT(G$3),'Struktur Vorjahr'!$D170,INDIRECT(G$5)))</f>
        <v>0</v>
      </c>
      <c r="H170" s="593">
        <f ca="1">$E170*(-SUMIF(INDIRECT(H$3),'Struktur Vorjahr'!$D170,INDIRECT(H$4))+SUMIF(INDIRECT(H$3),'Struktur Vorjahr'!$D170,INDIRECT(H$5)))</f>
        <v>0</v>
      </c>
      <c r="I170" s="593">
        <f ca="1">$E170*(-SUMIF(INDIRECT(I$3),'Struktur Vorjahr'!$D170,INDIRECT(I$4))+SUMIF(INDIRECT(I$3),'Struktur Vorjahr'!$D170,INDIRECT(I$5)))</f>
        <v>47.03</v>
      </c>
      <c r="J170" s="593">
        <f ca="1">$E170*(-SUMIF(INDIRECT(J$3),'Struktur Vorjahr'!$D170,INDIRECT(J$4))+SUMIF(INDIRECT(J$3),'Struktur Vorjahr'!$D170,INDIRECT(J$5)))</f>
        <v>42.75</v>
      </c>
      <c r="K170" s="593">
        <f ca="1">$E170*(-SUMIF(INDIRECT(K$3),'Struktur Vorjahr'!$D170,INDIRECT(K$4))+SUMIF(INDIRECT(K$3),'Struktur Vorjahr'!$D170,INDIRECT(K$5)))</f>
        <v>568.28</v>
      </c>
      <c r="L170" s="593">
        <f ca="1">$E170*(-SUMIF(INDIRECT(L$3),'Struktur Vorjahr'!$D170,INDIRECT(L$4))+SUMIF(INDIRECT(L$3),'Struktur Vorjahr'!$D170,INDIRECT(L$5)))</f>
        <v>0</v>
      </c>
      <c r="M170" s="593">
        <f ca="1">$E170*(-SUMIF(INDIRECT(M$3),'Struktur Vorjahr'!$D170,INDIRECT(M$4))+SUMIF(INDIRECT(M$3),'Struktur Vorjahr'!$D170,INDIRECT(M$5)))</f>
        <v>569.89</v>
      </c>
      <c r="N170" s="593">
        <f ca="1">$E170*(-SUMIF(INDIRECT(N$3),'Struktur Vorjahr'!$D170,INDIRECT(N$4))+SUMIF(INDIRECT(N$3),'Struktur Vorjahr'!$D170,INDIRECT(N$5)))</f>
        <v>530</v>
      </c>
      <c r="O170" s="593">
        <f ca="1">$E170*(-SUMIF(INDIRECT(O$3),'Struktur Vorjahr'!$D170,INDIRECT(O$4))+SUMIF(INDIRECT(O$3),'Struktur Vorjahr'!$D170,INDIRECT(O$5)))</f>
        <v>0</v>
      </c>
      <c r="P170" s="593">
        <f ca="1">$E170*(-SUMIF(INDIRECT(P$3),'Struktur Vorjahr'!$D170,INDIRECT(P$4))+SUMIF(INDIRECT(P$3),'Struktur Vorjahr'!$D170,INDIRECT(P$5)))</f>
        <v>0</v>
      </c>
      <c r="Q170" s="593">
        <f ca="1">$E170*(-SUMIF(INDIRECT(Q$3),'Struktur Vorjahr'!$D170,INDIRECT(Q$4))+SUMIF(INDIRECT(Q$3),'Struktur Vorjahr'!$D170,INDIRECT(Q$5)))</f>
        <v>0</v>
      </c>
      <c r="R170" s="593">
        <f ca="1">$E170*(-SUMIF(INDIRECT(R$3),'Struktur Vorjahr'!$D170,INDIRECT(R$4))+SUMIF(INDIRECT(R$3),'Struktur Vorjahr'!$D170,INDIRECT(R$5)))</f>
        <v>0</v>
      </c>
      <c r="S170" s="593">
        <f ca="1">$E170*(-SUMIF(INDIRECT(S$3),'Struktur Vorjahr'!$D170,INDIRECT(S$4))+SUMIF(INDIRECT(S$3),'Struktur Vorjahr'!$D170,INDIRECT(S$5)))</f>
        <v>0</v>
      </c>
      <c r="T170" s="593">
        <f ca="1">$E170*(-SUMIF(INDIRECT(T$3),'Struktur Vorjahr'!$D170,INDIRECT(T$4))+SUMIF(INDIRECT(T$3),'Struktur Vorjahr'!$D170,INDIRECT(T$5)))</f>
        <v>0</v>
      </c>
      <c r="U170" s="593">
        <f ca="1">$E170*(-SUMIF(INDIRECT(U$3),'Struktur Vorjahr'!$D170,INDIRECT(U$4))+SUMIF(INDIRECT(U$3),'Struktur Vorjahr'!$D170,INDIRECT(U$5)))</f>
        <v>47.03</v>
      </c>
      <c r="V170" s="593">
        <f ca="1">$E170*(-SUMIF(INDIRECT(V$3),'Struktur Vorjahr'!$D170,INDIRECT(V$4))+SUMIF(INDIRECT(V$3),'Struktur Vorjahr'!$D170,INDIRECT(V$5)))</f>
        <v>89.78</v>
      </c>
      <c r="W170" s="593">
        <f ca="1">$E170*(-SUMIF(INDIRECT(W$3),'Struktur Vorjahr'!$D170,INDIRECT(W$4))+SUMIF(INDIRECT(W$3),'Struktur Vorjahr'!$D170,INDIRECT(W$5)))</f>
        <v>658.06</v>
      </c>
      <c r="X170" s="593">
        <f ca="1">$E170*(-SUMIF(INDIRECT(X$3),'Struktur Vorjahr'!$D170,INDIRECT(X$4))+SUMIF(INDIRECT(X$3),'Struktur Vorjahr'!$D170,INDIRECT(X$5)))</f>
        <v>658.06</v>
      </c>
      <c r="Y170" s="593">
        <f ca="1">$E170*(-SUMIF(INDIRECT(Y$3),'Struktur Vorjahr'!$D170,INDIRECT(Y$4))+SUMIF(INDIRECT(Y$3),'Struktur Vorjahr'!$D170,INDIRECT(Y$5)))</f>
        <v>1227.95</v>
      </c>
      <c r="Z170" s="593">
        <f ca="1">$E170*(-SUMIF(INDIRECT(Z$3),'Struktur Vorjahr'!$D170,INDIRECT(Z$4))+SUMIF(INDIRECT(Z$3),'Struktur Vorjahr'!$D170,INDIRECT(Z$5)))</f>
        <v>1757.95</v>
      </c>
      <c r="AA170" s="593">
        <f ca="1">$E170*(-SUMIF(INDIRECT(AA$3),'Struktur Vorjahr'!$D170,INDIRECT(AA$4))+SUMIF(INDIRECT(AA$3),'Struktur Vorjahr'!$D170,INDIRECT(AA$5)))</f>
        <v>1757.95</v>
      </c>
      <c r="AB170" s="593">
        <f ca="1">$E170*(-SUMIF(INDIRECT(AB$3),'Struktur Vorjahr'!$D170,INDIRECT(AB$4))+SUMIF(INDIRECT(AB$3),'Struktur Vorjahr'!$D170,INDIRECT(AB$5)))</f>
        <v>1757.95</v>
      </c>
      <c r="AC170" s="593">
        <f ca="1">$E170*(-SUMIF(INDIRECT(AC$3),'Struktur Vorjahr'!$D170,INDIRECT(AC$4))+SUMIF(INDIRECT(AC$3),'Struktur Vorjahr'!$D170,INDIRECT(AC$5)))</f>
        <v>0</v>
      </c>
      <c r="AD170" s="593">
        <f ca="1">$E170*(-SUMIF(INDIRECT(AD$3),'Struktur Vorjahr'!$D170,INDIRECT(AD$4))+SUMIF(INDIRECT(AD$3),'Struktur Vorjahr'!$D170,INDIRECT(AD$5)))</f>
        <v>0</v>
      </c>
      <c r="AE170" s="593">
        <f t="shared" ca="1" si="90"/>
        <v>0</v>
      </c>
      <c r="AF170" s="593">
        <f t="shared" ca="1" si="91"/>
        <v>0</v>
      </c>
      <c r="AG170" s="593">
        <f t="shared" ca="1" si="91"/>
        <v>47.03</v>
      </c>
      <c r="AH170" s="593">
        <f t="shared" ca="1" si="91"/>
        <v>89.78</v>
      </c>
      <c r="AI170" s="593">
        <f t="shared" ca="1" si="91"/>
        <v>658.06</v>
      </c>
      <c r="AJ170" s="593">
        <f t="shared" ca="1" si="91"/>
        <v>658.06</v>
      </c>
      <c r="AK170" s="593">
        <f t="shared" ca="1" si="91"/>
        <v>1227.9499999999998</v>
      </c>
      <c r="AL170" s="593">
        <f t="shared" ca="1" si="91"/>
        <v>1757.9499999999998</v>
      </c>
      <c r="AM170" s="593">
        <f t="shared" ca="1" si="91"/>
        <v>1757.9499999999998</v>
      </c>
      <c r="AN170" s="593">
        <f t="shared" ca="1" si="91"/>
        <v>1757.9499999999998</v>
      </c>
      <c r="AO170" s="593">
        <f t="shared" ca="1" si="91"/>
        <v>1757.9499999999998</v>
      </c>
      <c r="AP170" s="593">
        <f t="shared" ca="1" si="91"/>
        <v>1757.9499999999998</v>
      </c>
    </row>
    <row r="171" spans="1:42" s="594" customFormat="1" ht="11.25" outlineLevel="1" x14ac:dyDescent="0.2">
      <c r="A171" s="590"/>
      <c r="B171" s="591" t="str">
        <f>IF(D171&lt;&gt;"",
IF(ISERROR(MATCH(D171,'Ist Vorjahr Monat 01'!A:A,0))=FALSE,INDEX('Ist Vorjahr Monat 01'!B:B,MATCH(D171,'Ist Vorjahr Monat 01'!A:A,0)),
IF(ISERROR(MATCH(D171,'Ist Vorjahr Monat 02'!A:A,0))=FALSE,INDEX('Ist Vorjahr Monat 02'!B:B,MATCH(D171,'Ist Vorjahr Monat 02'!A:A,0)),
IF(ISERROR(MATCH(D171,'Ist Vorjahr Monat 03'!A:A,0))=FALSE,INDEX('Ist Vorjahr Monat 03'!B:B,MATCH(D171,'Ist Vorjahr Monat 03'!A:A,0)),
IF(ISERROR(MATCH(D171,'Ist Vorjahr Monat 04'!A:A,0))=FALSE,INDEX('Ist Vorjahr Monat 04'!B:B,MATCH(D171,'Ist Vorjahr Monat 04'!A:A,0)),
IF(ISERROR(MATCH(D171,'Ist Vorjahr Monat 05'!A:A,0))=FALSE,INDEX('Ist Vorjahr Monat 05'!B:B,MATCH(D171,'Ist Vorjahr Monat 05'!A:A,0)),
IF(ISERROR(MATCH(D171,'Ist Vorjahr Monat 06'!A:A,0))=FALSE,INDEX('Ist Vorjahr Monat 06'!B:B,MATCH(D171,'Ist Vorjahr Monat 06'!A:A,0)),
IF(ISERROR(MATCH(D171,'Ist Vorjahr Monat 07'!A:A,0))=FALSE,INDEX('Ist Vorjahr Monat 07'!B:B,MATCH(D171,'Ist Vorjahr Monat 07'!A:A,0)),
IF(ISERROR(MATCH(D171,'Ist Vorjahr Monat 08'!A:A,0))=FALSE,INDEX('Ist Vorjahr Monat 08'!B:B,MATCH(D171,'Ist Vorjahr Monat 08'!A:A,0)),
IF(ISERROR(MATCH(D171,'Ist Vorjahr Monat 09'!A:A,0))=FALSE,INDEX('Ist Vorjahr Monat 09'!B:B,MATCH(D171,'Ist Vorjahr Monat 09'!A:A,0)),
IF(ISERROR(MATCH(D171,'Ist Vorjahr Monat 10'!A:A,0))=FALSE,INDEX('Ist Vorjahr Monat 10'!B:B,MATCH(D171,'Ist Vorjahr Monat 10'!A:A,0)),
IF(ISERROR(MATCH(D171,'Ist Vorjahr Monat 11'!A:A,0))=FALSE,INDEX('Ist Vorjahr Monat 11'!B:B,MATCH(D171,'Ist Vorjahr Monat 11'!A:A,0)),
IF(ISERROR(MATCH(D171,'Ist Vorjahr Monat 12'!A:A,0))=FALSE,INDEX('Ist Vorjahr Monat 12'!B:B,MATCH(D171,'Ist Vorjahr Monat 12'!A:A,0)),
"{Konto unbekannt}"
)))))))))))),"")</f>
        <v/>
      </c>
      <c r="C171" s="591"/>
      <c r="D171" s="590"/>
      <c r="E171" s="592">
        <f t="shared" si="65"/>
        <v>1</v>
      </c>
      <c r="F171" s="590"/>
      <c r="G171" s="593">
        <f ca="1">$E171*(-SUMIF(INDIRECT(G$3),'Struktur Vorjahr'!$D171,INDIRECT(G$4))+SUMIF(INDIRECT(G$3),'Struktur Vorjahr'!$D171,INDIRECT(G$5)))</f>
        <v>0</v>
      </c>
      <c r="H171" s="593">
        <f ca="1">$E171*(-SUMIF(INDIRECT(H$3),'Struktur Vorjahr'!$D171,INDIRECT(H$4))+SUMIF(INDIRECT(H$3),'Struktur Vorjahr'!$D171,INDIRECT(H$5)))</f>
        <v>0</v>
      </c>
      <c r="I171" s="593">
        <f ca="1">$E171*(-SUMIF(INDIRECT(I$3),'Struktur Vorjahr'!$D171,INDIRECT(I$4))+SUMIF(INDIRECT(I$3),'Struktur Vorjahr'!$D171,INDIRECT(I$5)))</f>
        <v>0</v>
      </c>
      <c r="J171" s="593">
        <f ca="1">$E171*(-SUMIF(INDIRECT(J$3),'Struktur Vorjahr'!$D171,INDIRECT(J$4))+SUMIF(INDIRECT(J$3),'Struktur Vorjahr'!$D171,INDIRECT(J$5)))</f>
        <v>0</v>
      </c>
      <c r="K171" s="593">
        <f ca="1">$E171*(-SUMIF(INDIRECT(K$3),'Struktur Vorjahr'!$D171,INDIRECT(K$4))+SUMIF(INDIRECT(K$3),'Struktur Vorjahr'!$D171,INDIRECT(K$5)))</f>
        <v>0</v>
      </c>
      <c r="L171" s="593">
        <f ca="1">$E171*(-SUMIF(INDIRECT(L$3),'Struktur Vorjahr'!$D171,INDIRECT(L$4))+SUMIF(INDIRECT(L$3),'Struktur Vorjahr'!$D171,INDIRECT(L$5)))</f>
        <v>0</v>
      </c>
      <c r="M171" s="593">
        <f ca="1">$E171*(-SUMIF(INDIRECT(M$3),'Struktur Vorjahr'!$D171,INDIRECT(M$4))+SUMIF(INDIRECT(M$3),'Struktur Vorjahr'!$D171,INDIRECT(M$5)))</f>
        <v>0</v>
      </c>
      <c r="N171" s="593">
        <f ca="1">$E171*(-SUMIF(INDIRECT(N$3),'Struktur Vorjahr'!$D171,INDIRECT(N$4))+SUMIF(INDIRECT(N$3),'Struktur Vorjahr'!$D171,INDIRECT(N$5)))</f>
        <v>0</v>
      </c>
      <c r="O171" s="593">
        <f ca="1">$E171*(-SUMIF(INDIRECT(O$3),'Struktur Vorjahr'!$D171,INDIRECT(O$4))+SUMIF(INDIRECT(O$3),'Struktur Vorjahr'!$D171,INDIRECT(O$5)))</f>
        <v>0</v>
      </c>
      <c r="P171" s="593">
        <f ca="1">$E171*(-SUMIF(INDIRECT(P$3),'Struktur Vorjahr'!$D171,INDIRECT(P$4))+SUMIF(INDIRECT(P$3),'Struktur Vorjahr'!$D171,INDIRECT(P$5)))</f>
        <v>0</v>
      </c>
      <c r="Q171" s="593">
        <f ca="1">$E171*(-SUMIF(INDIRECT(Q$3),'Struktur Vorjahr'!$D171,INDIRECT(Q$4))+SUMIF(INDIRECT(Q$3),'Struktur Vorjahr'!$D171,INDIRECT(Q$5)))</f>
        <v>0</v>
      </c>
      <c r="R171" s="593">
        <f ca="1">$E171*(-SUMIF(INDIRECT(R$3),'Struktur Vorjahr'!$D171,INDIRECT(R$4))+SUMIF(INDIRECT(R$3),'Struktur Vorjahr'!$D171,INDIRECT(R$5)))</f>
        <v>0</v>
      </c>
      <c r="S171" s="593">
        <f ca="1">$E171*(-SUMIF(INDIRECT(S$3),'Struktur Vorjahr'!$D171,INDIRECT(S$4))+SUMIF(INDIRECT(S$3),'Struktur Vorjahr'!$D171,INDIRECT(S$5)))</f>
        <v>0</v>
      </c>
      <c r="T171" s="593">
        <f ca="1">$E171*(-SUMIF(INDIRECT(T$3),'Struktur Vorjahr'!$D171,INDIRECT(T$4))+SUMIF(INDIRECT(T$3),'Struktur Vorjahr'!$D171,INDIRECT(T$5)))</f>
        <v>0</v>
      </c>
      <c r="U171" s="593">
        <f ca="1">$E171*(-SUMIF(INDIRECT(U$3),'Struktur Vorjahr'!$D171,INDIRECT(U$4))+SUMIF(INDIRECT(U$3),'Struktur Vorjahr'!$D171,INDIRECT(U$5)))</f>
        <v>0</v>
      </c>
      <c r="V171" s="593">
        <f ca="1">$E171*(-SUMIF(INDIRECT(V$3),'Struktur Vorjahr'!$D171,INDIRECT(V$4))+SUMIF(INDIRECT(V$3),'Struktur Vorjahr'!$D171,INDIRECT(V$5)))</f>
        <v>0</v>
      </c>
      <c r="W171" s="593">
        <f ca="1">$E171*(-SUMIF(INDIRECT(W$3),'Struktur Vorjahr'!$D171,INDIRECT(W$4))+SUMIF(INDIRECT(W$3),'Struktur Vorjahr'!$D171,INDIRECT(W$5)))</f>
        <v>0</v>
      </c>
      <c r="X171" s="593">
        <f ca="1">$E171*(-SUMIF(INDIRECT(X$3),'Struktur Vorjahr'!$D171,INDIRECT(X$4))+SUMIF(INDIRECT(X$3),'Struktur Vorjahr'!$D171,INDIRECT(X$5)))</f>
        <v>0</v>
      </c>
      <c r="Y171" s="593">
        <f ca="1">$E171*(-SUMIF(INDIRECT(Y$3),'Struktur Vorjahr'!$D171,INDIRECT(Y$4))+SUMIF(INDIRECT(Y$3),'Struktur Vorjahr'!$D171,INDIRECT(Y$5)))</f>
        <v>0</v>
      </c>
      <c r="Z171" s="593">
        <f ca="1">$E171*(-SUMIF(INDIRECT(Z$3),'Struktur Vorjahr'!$D171,INDIRECT(Z$4))+SUMIF(INDIRECT(Z$3),'Struktur Vorjahr'!$D171,INDIRECT(Z$5)))</f>
        <v>0</v>
      </c>
      <c r="AA171" s="593">
        <f ca="1">$E171*(-SUMIF(INDIRECT(AA$3),'Struktur Vorjahr'!$D171,INDIRECT(AA$4))+SUMIF(INDIRECT(AA$3),'Struktur Vorjahr'!$D171,INDIRECT(AA$5)))</f>
        <v>0</v>
      </c>
      <c r="AB171" s="593">
        <f ca="1">$E171*(-SUMIF(INDIRECT(AB$3),'Struktur Vorjahr'!$D171,INDIRECT(AB$4))+SUMIF(INDIRECT(AB$3),'Struktur Vorjahr'!$D171,INDIRECT(AB$5)))</f>
        <v>0</v>
      </c>
      <c r="AC171" s="593">
        <f ca="1">$E171*(-SUMIF(INDIRECT(AC$3),'Struktur Vorjahr'!$D171,INDIRECT(AC$4))+SUMIF(INDIRECT(AC$3),'Struktur Vorjahr'!$D171,INDIRECT(AC$5)))</f>
        <v>0</v>
      </c>
      <c r="AD171" s="593">
        <f ca="1">$E171*(-SUMIF(INDIRECT(AD$3),'Struktur Vorjahr'!$D171,INDIRECT(AD$4))+SUMIF(INDIRECT(AD$3),'Struktur Vorjahr'!$D171,INDIRECT(AD$5)))</f>
        <v>0</v>
      </c>
      <c r="AE171" s="593">
        <f t="shared" ca="1" si="90"/>
        <v>0</v>
      </c>
      <c r="AF171" s="593">
        <f t="shared" ca="1" si="91"/>
        <v>0</v>
      </c>
      <c r="AG171" s="593">
        <f t="shared" ca="1" si="91"/>
        <v>0</v>
      </c>
      <c r="AH171" s="593">
        <f t="shared" ca="1" si="91"/>
        <v>0</v>
      </c>
      <c r="AI171" s="593">
        <f t="shared" ca="1" si="91"/>
        <v>0</v>
      </c>
      <c r="AJ171" s="593">
        <f t="shared" ca="1" si="91"/>
        <v>0</v>
      </c>
      <c r="AK171" s="593">
        <f t="shared" ca="1" si="91"/>
        <v>0</v>
      </c>
      <c r="AL171" s="593">
        <f t="shared" ca="1" si="91"/>
        <v>0</v>
      </c>
      <c r="AM171" s="593">
        <f t="shared" ca="1" si="91"/>
        <v>0</v>
      </c>
      <c r="AN171" s="593">
        <f t="shared" ca="1" si="91"/>
        <v>0</v>
      </c>
      <c r="AO171" s="593">
        <f t="shared" ca="1" si="91"/>
        <v>0</v>
      </c>
      <c r="AP171" s="593">
        <f t="shared" ca="1" si="91"/>
        <v>0</v>
      </c>
    </row>
    <row r="172" spans="1:42" s="594" customFormat="1" ht="11.25" outlineLevel="1" x14ac:dyDescent="0.2">
      <c r="A172" s="590"/>
      <c r="B172" s="591" t="str">
        <f>IF(D172&lt;&gt;"",
IF(ISERROR(MATCH(D172,'Ist Vorjahr Monat 01'!A:A,0))=FALSE,INDEX('Ist Vorjahr Monat 01'!B:B,MATCH(D172,'Ist Vorjahr Monat 01'!A:A,0)),
IF(ISERROR(MATCH(D172,'Ist Vorjahr Monat 02'!A:A,0))=FALSE,INDEX('Ist Vorjahr Monat 02'!B:B,MATCH(D172,'Ist Vorjahr Monat 02'!A:A,0)),
IF(ISERROR(MATCH(D172,'Ist Vorjahr Monat 03'!A:A,0))=FALSE,INDEX('Ist Vorjahr Monat 03'!B:B,MATCH(D172,'Ist Vorjahr Monat 03'!A:A,0)),
IF(ISERROR(MATCH(D172,'Ist Vorjahr Monat 04'!A:A,0))=FALSE,INDEX('Ist Vorjahr Monat 04'!B:B,MATCH(D172,'Ist Vorjahr Monat 04'!A:A,0)),
IF(ISERROR(MATCH(D172,'Ist Vorjahr Monat 05'!A:A,0))=FALSE,INDEX('Ist Vorjahr Monat 05'!B:B,MATCH(D172,'Ist Vorjahr Monat 05'!A:A,0)),
IF(ISERROR(MATCH(D172,'Ist Vorjahr Monat 06'!A:A,0))=FALSE,INDEX('Ist Vorjahr Monat 06'!B:B,MATCH(D172,'Ist Vorjahr Monat 06'!A:A,0)),
IF(ISERROR(MATCH(D172,'Ist Vorjahr Monat 07'!A:A,0))=FALSE,INDEX('Ist Vorjahr Monat 07'!B:B,MATCH(D172,'Ist Vorjahr Monat 07'!A:A,0)),
IF(ISERROR(MATCH(D172,'Ist Vorjahr Monat 08'!A:A,0))=FALSE,INDEX('Ist Vorjahr Monat 08'!B:B,MATCH(D172,'Ist Vorjahr Monat 08'!A:A,0)),
IF(ISERROR(MATCH(D172,'Ist Vorjahr Monat 09'!A:A,0))=FALSE,INDEX('Ist Vorjahr Monat 09'!B:B,MATCH(D172,'Ist Vorjahr Monat 09'!A:A,0)),
IF(ISERROR(MATCH(D172,'Ist Vorjahr Monat 10'!A:A,0))=FALSE,INDEX('Ist Vorjahr Monat 10'!B:B,MATCH(D172,'Ist Vorjahr Monat 10'!A:A,0)),
IF(ISERROR(MATCH(D172,'Ist Vorjahr Monat 11'!A:A,0))=FALSE,INDEX('Ist Vorjahr Monat 11'!B:B,MATCH(D172,'Ist Vorjahr Monat 11'!A:A,0)),
IF(ISERROR(MATCH(D172,'Ist Vorjahr Monat 12'!A:A,0))=FALSE,INDEX('Ist Vorjahr Monat 12'!B:B,MATCH(D172,'Ist Vorjahr Monat 12'!A:A,0)),
"{Konto unbekannt}"
)))))))))))),"")</f>
        <v/>
      </c>
      <c r="C172" s="591"/>
      <c r="D172" s="590"/>
      <c r="E172" s="592">
        <f t="shared" si="65"/>
        <v>1</v>
      </c>
      <c r="F172" s="590"/>
      <c r="G172" s="593">
        <f ca="1">$E172*(-SUMIF(INDIRECT(G$3),'Struktur Vorjahr'!$D172,INDIRECT(G$4))+SUMIF(INDIRECT(G$3),'Struktur Vorjahr'!$D172,INDIRECT(G$5)))</f>
        <v>0</v>
      </c>
      <c r="H172" s="593">
        <f ca="1">$E172*(-SUMIF(INDIRECT(H$3),'Struktur Vorjahr'!$D172,INDIRECT(H$4))+SUMIF(INDIRECT(H$3),'Struktur Vorjahr'!$D172,INDIRECT(H$5)))</f>
        <v>0</v>
      </c>
      <c r="I172" s="593">
        <f ca="1">$E172*(-SUMIF(INDIRECT(I$3),'Struktur Vorjahr'!$D172,INDIRECT(I$4))+SUMIF(INDIRECT(I$3),'Struktur Vorjahr'!$D172,INDIRECT(I$5)))</f>
        <v>0</v>
      </c>
      <c r="J172" s="593">
        <f ca="1">$E172*(-SUMIF(INDIRECT(J$3),'Struktur Vorjahr'!$D172,INDIRECT(J$4))+SUMIF(INDIRECT(J$3),'Struktur Vorjahr'!$D172,INDIRECT(J$5)))</f>
        <v>0</v>
      </c>
      <c r="K172" s="593">
        <f ca="1">$E172*(-SUMIF(INDIRECT(K$3),'Struktur Vorjahr'!$D172,INDIRECT(K$4))+SUMIF(INDIRECT(K$3),'Struktur Vorjahr'!$D172,INDIRECT(K$5)))</f>
        <v>0</v>
      </c>
      <c r="L172" s="593">
        <f ca="1">$E172*(-SUMIF(INDIRECT(L$3),'Struktur Vorjahr'!$D172,INDIRECT(L$4))+SUMIF(INDIRECT(L$3),'Struktur Vorjahr'!$D172,INDIRECT(L$5)))</f>
        <v>0</v>
      </c>
      <c r="M172" s="593">
        <f ca="1">$E172*(-SUMIF(INDIRECT(M$3),'Struktur Vorjahr'!$D172,INDIRECT(M$4))+SUMIF(INDIRECT(M$3),'Struktur Vorjahr'!$D172,INDIRECT(M$5)))</f>
        <v>0</v>
      </c>
      <c r="N172" s="593">
        <f ca="1">$E172*(-SUMIF(INDIRECT(N$3),'Struktur Vorjahr'!$D172,INDIRECT(N$4))+SUMIF(INDIRECT(N$3),'Struktur Vorjahr'!$D172,INDIRECT(N$5)))</f>
        <v>0</v>
      </c>
      <c r="O172" s="593">
        <f ca="1">$E172*(-SUMIF(INDIRECT(O$3),'Struktur Vorjahr'!$D172,INDIRECT(O$4))+SUMIF(INDIRECT(O$3),'Struktur Vorjahr'!$D172,INDIRECT(O$5)))</f>
        <v>0</v>
      </c>
      <c r="P172" s="593">
        <f ca="1">$E172*(-SUMIF(INDIRECT(P$3),'Struktur Vorjahr'!$D172,INDIRECT(P$4))+SUMIF(INDIRECT(P$3),'Struktur Vorjahr'!$D172,INDIRECT(P$5)))</f>
        <v>0</v>
      </c>
      <c r="Q172" s="593">
        <f ca="1">$E172*(-SUMIF(INDIRECT(Q$3),'Struktur Vorjahr'!$D172,INDIRECT(Q$4))+SUMIF(INDIRECT(Q$3),'Struktur Vorjahr'!$D172,INDIRECT(Q$5)))</f>
        <v>0</v>
      </c>
      <c r="R172" s="593">
        <f ca="1">$E172*(-SUMIF(INDIRECT(R$3),'Struktur Vorjahr'!$D172,INDIRECT(R$4))+SUMIF(INDIRECT(R$3),'Struktur Vorjahr'!$D172,INDIRECT(R$5)))</f>
        <v>0</v>
      </c>
      <c r="S172" s="593">
        <f ca="1">$E172*(-SUMIF(INDIRECT(S$3),'Struktur Vorjahr'!$D172,INDIRECT(S$4))+SUMIF(INDIRECT(S$3),'Struktur Vorjahr'!$D172,INDIRECT(S$5)))</f>
        <v>0</v>
      </c>
      <c r="T172" s="593">
        <f ca="1">$E172*(-SUMIF(INDIRECT(T$3),'Struktur Vorjahr'!$D172,INDIRECT(T$4))+SUMIF(INDIRECT(T$3),'Struktur Vorjahr'!$D172,INDIRECT(T$5)))</f>
        <v>0</v>
      </c>
      <c r="U172" s="593">
        <f ca="1">$E172*(-SUMIF(INDIRECT(U$3),'Struktur Vorjahr'!$D172,INDIRECT(U$4))+SUMIF(INDIRECT(U$3),'Struktur Vorjahr'!$D172,INDIRECT(U$5)))</f>
        <v>0</v>
      </c>
      <c r="V172" s="593">
        <f ca="1">$E172*(-SUMIF(INDIRECT(V$3),'Struktur Vorjahr'!$D172,INDIRECT(V$4))+SUMIF(INDIRECT(V$3),'Struktur Vorjahr'!$D172,INDIRECT(V$5)))</f>
        <v>0</v>
      </c>
      <c r="W172" s="593">
        <f ca="1">$E172*(-SUMIF(INDIRECT(W$3),'Struktur Vorjahr'!$D172,INDIRECT(W$4))+SUMIF(INDIRECT(W$3),'Struktur Vorjahr'!$D172,INDIRECT(W$5)))</f>
        <v>0</v>
      </c>
      <c r="X172" s="593">
        <f ca="1">$E172*(-SUMIF(INDIRECT(X$3),'Struktur Vorjahr'!$D172,INDIRECT(X$4))+SUMIF(INDIRECT(X$3),'Struktur Vorjahr'!$D172,INDIRECT(X$5)))</f>
        <v>0</v>
      </c>
      <c r="Y172" s="593">
        <f ca="1">$E172*(-SUMIF(INDIRECT(Y$3),'Struktur Vorjahr'!$D172,INDIRECT(Y$4))+SUMIF(INDIRECT(Y$3),'Struktur Vorjahr'!$D172,INDIRECT(Y$5)))</f>
        <v>0</v>
      </c>
      <c r="Z172" s="593">
        <f ca="1">$E172*(-SUMIF(INDIRECT(Z$3),'Struktur Vorjahr'!$D172,INDIRECT(Z$4))+SUMIF(INDIRECT(Z$3),'Struktur Vorjahr'!$D172,INDIRECT(Z$5)))</f>
        <v>0</v>
      </c>
      <c r="AA172" s="593">
        <f ca="1">$E172*(-SUMIF(INDIRECT(AA$3),'Struktur Vorjahr'!$D172,INDIRECT(AA$4))+SUMIF(INDIRECT(AA$3),'Struktur Vorjahr'!$D172,INDIRECT(AA$5)))</f>
        <v>0</v>
      </c>
      <c r="AB172" s="593">
        <f ca="1">$E172*(-SUMIF(INDIRECT(AB$3),'Struktur Vorjahr'!$D172,INDIRECT(AB$4))+SUMIF(INDIRECT(AB$3),'Struktur Vorjahr'!$D172,INDIRECT(AB$5)))</f>
        <v>0</v>
      </c>
      <c r="AC172" s="593">
        <f ca="1">$E172*(-SUMIF(INDIRECT(AC$3),'Struktur Vorjahr'!$D172,INDIRECT(AC$4))+SUMIF(INDIRECT(AC$3),'Struktur Vorjahr'!$D172,INDIRECT(AC$5)))</f>
        <v>0</v>
      </c>
      <c r="AD172" s="593">
        <f ca="1">$E172*(-SUMIF(INDIRECT(AD$3),'Struktur Vorjahr'!$D172,INDIRECT(AD$4))+SUMIF(INDIRECT(AD$3),'Struktur Vorjahr'!$D172,INDIRECT(AD$5)))</f>
        <v>0</v>
      </c>
      <c r="AE172" s="593">
        <f t="shared" ca="1" si="90"/>
        <v>0</v>
      </c>
      <c r="AF172" s="593">
        <f t="shared" ca="1" si="91"/>
        <v>0</v>
      </c>
      <c r="AG172" s="593">
        <f t="shared" ca="1" si="91"/>
        <v>0</v>
      </c>
      <c r="AH172" s="593">
        <f t="shared" ca="1" si="91"/>
        <v>0</v>
      </c>
      <c r="AI172" s="593">
        <f t="shared" ca="1" si="91"/>
        <v>0</v>
      </c>
      <c r="AJ172" s="593">
        <f t="shared" ca="1" si="91"/>
        <v>0</v>
      </c>
      <c r="AK172" s="593">
        <f t="shared" ca="1" si="91"/>
        <v>0</v>
      </c>
      <c r="AL172" s="593">
        <f t="shared" ca="1" si="91"/>
        <v>0</v>
      </c>
      <c r="AM172" s="593">
        <f t="shared" ca="1" si="91"/>
        <v>0</v>
      </c>
      <c r="AN172" s="593">
        <f t="shared" ca="1" si="91"/>
        <v>0</v>
      </c>
      <c r="AO172" s="593">
        <f t="shared" ca="1" si="91"/>
        <v>0</v>
      </c>
      <c r="AP172" s="593">
        <f t="shared" ca="1" si="91"/>
        <v>0</v>
      </c>
    </row>
    <row r="173" spans="1:42" s="594" customFormat="1" ht="11.25" outlineLevel="1" x14ac:dyDescent="0.2">
      <c r="A173" s="590"/>
      <c r="B173" s="591" t="str">
        <f>IF(D173&lt;&gt;"",
IF(ISERROR(MATCH(D173,'Ist Vorjahr Monat 01'!A:A,0))=FALSE,INDEX('Ist Vorjahr Monat 01'!B:B,MATCH(D173,'Ist Vorjahr Monat 01'!A:A,0)),
IF(ISERROR(MATCH(D173,'Ist Vorjahr Monat 02'!A:A,0))=FALSE,INDEX('Ist Vorjahr Monat 02'!B:B,MATCH(D173,'Ist Vorjahr Monat 02'!A:A,0)),
IF(ISERROR(MATCH(D173,'Ist Vorjahr Monat 03'!A:A,0))=FALSE,INDEX('Ist Vorjahr Monat 03'!B:B,MATCH(D173,'Ist Vorjahr Monat 03'!A:A,0)),
IF(ISERROR(MATCH(D173,'Ist Vorjahr Monat 04'!A:A,0))=FALSE,INDEX('Ist Vorjahr Monat 04'!B:B,MATCH(D173,'Ist Vorjahr Monat 04'!A:A,0)),
IF(ISERROR(MATCH(D173,'Ist Vorjahr Monat 05'!A:A,0))=FALSE,INDEX('Ist Vorjahr Monat 05'!B:B,MATCH(D173,'Ist Vorjahr Monat 05'!A:A,0)),
IF(ISERROR(MATCH(D173,'Ist Vorjahr Monat 06'!A:A,0))=FALSE,INDEX('Ist Vorjahr Monat 06'!B:B,MATCH(D173,'Ist Vorjahr Monat 06'!A:A,0)),
IF(ISERROR(MATCH(D173,'Ist Vorjahr Monat 07'!A:A,0))=FALSE,INDEX('Ist Vorjahr Monat 07'!B:B,MATCH(D173,'Ist Vorjahr Monat 07'!A:A,0)),
IF(ISERROR(MATCH(D173,'Ist Vorjahr Monat 08'!A:A,0))=FALSE,INDEX('Ist Vorjahr Monat 08'!B:B,MATCH(D173,'Ist Vorjahr Monat 08'!A:A,0)),
IF(ISERROR(MATCH(D173,'Ist Vorjahr Monat 09'!A:A,0))=FALSE,INDEX('Ist Vorjahr Monat 09'!B:B,MATCH(D173,'Ist Vorjahr Monat 09'!A:A,0)),
IF(ISERROR(MATCH(D173,'Ist Vorjahr Monat 10'!A:A,0))=FALSE,INDEX('Ist Vorjahr Monat 10'!B:B,MATCH(D173,'Ist Vorjahr Monat 10'!A:A,0)),
IF(ISERROR(MATCH(D173,'Ist Vorjahr Monat 11'!A:A,0))=FALSE,INDEX('Ist Vorjahr Monat 11'!B:B,MATCH(D173,'Ist Vorjahr Monat 11'!A:A,0)),
IF(ISERROR(MATCH(D173,'Ist Vorjahr Monat 12'!A:A,0))=FALSE,INDEX('Ist Vorjahr Monat 12'!B:B,MATCH(D173,'Ist Vorjahr Monat 12'!A:A,0)),
"{Konto unbekannt}"
)))))))))))),"")</f>
        <v/>
      </c>
      <c r="C173" s="591"/>
      <c r="D173" s="590"/>
      <c r="E173" s="592">
        <f t="shared" si="65"/>
        <v>1</v>
      </c>
      <c r="F173" s="590"/>
      <c r="G173" s="593">
        <f ca="1">$E173*(-SUMIF(INDIRECT(G$3),'Struktur Vorjahr'!$D173,INDIRECT(G$4))+SUMIF(INDIRECT(G$3),'Struktur Vorjahr'!$D173,INDIRECT(G$5)))</f>
        <v>0</v>
      </c>
      <c r="H173" s="593">
        <f ca="1">$E173*(-SUMIF(INDIRECT(H$3),'Struktur Vorjahr'!$D173,INDIRECT(H$4))+SUMIF(INDIRECT(H$3),'Struktur Vorjahr'!$D173,INDIRECT(H$5)))</f>
        <v>0</v>
      </c>
      <c r="I173" s="593">
        <f ca="1">$E173*(-SUMIF(INDIRECT(I$3),'Struktur Vorjahr'!$D173,INDIRECT(I$4))+SUMIF(INDIRECT(I$3),'Struktur Vorjahr'!$D173,INDIRECT(I$5)))</f>
        <v>0</v>
      </c>
      <c r="J173" s="593">
        <f ca="1">$E173*(-SUMIF(INDIRECT(J$3),'Struktur Vorjahr'!$D173,INDIRECT(J$4))+SUMIF(INDIRECT(J$3),'Struktur Vorjahr'!$D173,INDIRECT(J$5)))</f>
        <v>0</v>
      </c>
      <c r="K173" s="593">
        <f ca="1">$E173*(-SUMIF(INDIRECT(K$3),'Struktur Vorjahr'!$D173,INDIRECT(K$4))+SUMIF(INDIRECT(K$3),'Struktur Vorjahr'!$D173,INDIRECT(K$5)))</f>
        <v>0</v>
      </c>
      <c r="L173" s="593">
        <f ca="1">$E173*(-SUMIF(INDIRECT(L$3),'Struktur Vorjahr'!$D173,INDIRECT(L$4))+SUMIF(INDIRECT(L$3),'Struktur Vorjahr'!$D173,INDIRECT(L$5)))</f>
        <v>0</v>
      </c>
      <c r="M173" s="593">
        <f ca="1">$E173*(-SUMIF(INDIRECT(M$3),'Struktur Vorjahr'!$D173,INDIRECT(M$4))+SUMIF(INDIRECT(M$3),'Struktur Vorjahr'!$D173,INDIRECT(M$5)))</f>
        <v>0</v>
      </c>
      <c r="N173" s="593">
        <f ca="1">$E173*(-SUMIF(INDIRECT(N$3),'Struktur Vorjahr'!$D173,INDIRECT(N$4))+SUMIF(INDIRECT(N$3),'Struktur Vorjahr'!$D173,INDIRECT(N$5)))</f>
        <v>0</v>
      </c>
      <c r="O173" s="593">
        <f ca="1">$E173*(-SUMIF(INDIRECT(O$3),'Struktur Vorjahr'!$D173,INDIRECT(O$4))+SUMIF(INDIRECT(O$3),'Struktur Vorjahr'!$D173,INDIRECT(O$5)))</f>
        <v>0</v>
      </c>
      <c r="P173" s="593">
        <f ca="1">$E173*(-SUMIF(INDIRECT(P$3),'Struktur Vorjahr'!$D173,INDIRECT(P$4))+SUMIF(INDIRECT(P$3),'Struktur Vorjahr'!$D173,INDIRECT(P$5)))</f>
        <v>0</v>
      </c>
      <c r="Q173" s="593">
        <f ca="1">$E173*(-SUMIF(INDIRECT(Q$3),'Struktur Vorjahr'!$D173,INDIRECT(Q$4))+SUMIF(INDIRECT(Q$3),'Struktur Vorjahr'!$D173,INDIRECT(Q$5)))</f>
        <v>0</v>
      </c>
      <c r="R173" s="593">
        <f ca="1">$E173*(-SUMIF(INDIRECT(R$3),'Struktur Vorjahr'!$D173,INDIRECT(R$4))+SUMIF(INDIRECT(R$3),'Struktur Vorjahr'!$D173,INDIRECT(R$5)))</f>
        <v>0</v>
      </c>
      <c r="S173" s="593">
        <f ca="1">$E173*(-SUMIF(INDIRECT(S$3),'Struktur Vorjahr'!$D173,INDIRECT(S$4))+SUMIF(INDIRECT(S$3),'Struktur Vorjahr'!$D173,INDIRECT(S$5)))</f>
        <v>0</v>
      </c>
      <c r="T173" s="593">
        <f ca="1">$E173*(-SUMIF(INDIRECT(T$3),'Struktur Vorjahr'!$D173,INDIRECT(T$4))+SUMIF(INDIRECT(T$3),'Struktur Vorjahr'!$D173,INDIRECT(T$5)))</f>
        <v>0</v>
      </c>
      <c r="U173" s="593">
        <f ca="1">$E173*(-SUMIF(INDIRECT(U$3),'Struktur Vorjahr'!$D173,INDIRECT(U$4))+SUMIF(INDIRECT(U$3),'Struktur Vorjahr'!$D173,INDIRECT(U$5)))</f>
        <v>0</v>
      </c>
      <c r="V173" s="593">
        <f ca="1">$E173*(-SUMIF(INDIRECT(V$3),'Struktur Vorjahr'!$D173,INDIRECT(V$4))+SUMIF(INDIRECT(V$3),'Struktur Vorjahr'!$D173,INDIRECT(V$5)))</f>
        <v>0</v>
      </c>
      <c r="W173" s="593">
        <f ca="1">$E173*(-SUMIF(INDIRECT(W$3),'Struktur Vorjahr'!$D173,INDIRECT(W$4))+SUMIF(INDIRECT(W$3),'Struktur Vorjahr'!$D173,INDIRECT(W$5)))</f>
        <v>0</v>
      </c>
      <c r="X173" s="593">
        <f ca="1">$E173*(-SUMIF(INDIRECT(X$3),'Struktur Vorjahr'!$D173,INDIRECT(X$4))+SUMIF(INDIRECT(X$3),'Struktur Vorjahr'!$D173,INDIRECT(X$5)))</f>
        <v>0</v>
      </c>
      <c r="Y173" s="593">
        <f ca="1">$E173*(-SUMIF(INDIRECT(Y$3),'Struktur Vorjahr'!$D173,INDIRECT(Y$4))+SUMIF(INDIRECT(Y$3),'Struktur Vorjahr'!$D173,INDIRECT(Y$5)))</f>
        <v>0</v>
      </c>
      <c r="Z173" s="593">
        <f ca="1">$E173*(-SUMIF(INDIRECT(Z$3),'Struktur Vorjahr'!$D173,INDIRECT(Z$4))+SUMIF(INDIRECT(Z$3),'Struktur Vorjahr'!$D173,INDIRECT(Z$5)))</f>
        <v>0</v>
      </c>
      <c r="AA173" s="593">
        <f ca="1">$E173*(-SUMIF(INDIRECT(AA$3),'Struktur Vorjahr'!$D173,INDIRECT(AA$4))+SUMIF(INDIRECT(AA$3),'Struktur Vorjahr'!$D173,INDIRECT(AA$5)))</f>
        <v>0</v>
      </c>
      <c r="AB173" s="593">
        <f ca="1">$E173*(-SUMIF(INDIRECT(AB$3),'Struktur Vorjahr'!$D173,INDIRECT(AB$4))+SUMIF(INDIRECT(AB$3),'Struktur Vorjahr'!$D173,INDIRECT(AB$5)))</f>
        <v>0</v>
      </c>
      <c r="AC173" s="593">
        <f ca="1">$E173*(-SUMIF(INDIRECT(AC$3),'Struktur Vorjahr'!$D173,INDIRECT(AC$4))+SUMIF(INDIRECT(AC$3),'Struktur Vorjahr'!$D173,INDIRECT(AC$5)))</f>
        <v>0</v>
      </c>
      <c r="AD173" s="593">
        <f ca="1">$E173*(-SUMIF(INDIRECT(AD$3),'Struktur Vorjahr'!$D173,INDIRECT(AD$4))+SUMIF(INDIRECT(AD$3),'Struktur Vorjahr'!$D173,INDIRECT(AD$5)))</f>
        <v>0</v>
      </c>
      <c r="AE173" s="593">
        <f t="shared" ca="1" si="90"/>
        <v>0</v>
      </c>
      <c r="AF173" s="593">
        <f t="shared" ca="1" si="91"/>
        <v>0</v>
      </c>
      <c r="AG173" s="593">
        <f t="shared" ca="1" si="91"/>
        <v>0</v>
      </c>
      <c r="AH173" s="593">
        <f t="shared" ca="1" si="91"/>
        <v>0</v>
      </c>
      <c r="AI173" s="593">
        <f t="shared" ca="1" si="91"/>
        <v>0</v>
      </c>
      <c r="AJ173" s="593">
        <f t="shared" ca="1" si="91"/>
        <v>0</v>
      </c>
      <c r="AK173" s="593">
        <f t="shared" ca="1" si="91"/>
        <v>0</v>
      </c>
      <c r="AL173" s="593">
        <f t="shared" ca="1" si="91"/>
        <v>0</v>
      </c>
      <c r="AM173" s="593">
        <f t="shared" ca="1" si="91"/>
        <v>0</v>
      </c>
      <c r="AN173" s="593">
        <f t="shared" ca="1" si="91"/>
        <v>0</v>
      </c>
      <c r="AO173" s="593">
        <f t="shared" ca="1" si="91"/>
        <v>0</v>
      </c>
      <c r="AP173" s="593">
        <f t="shared" ca="1" si="91"/>
        <v>0</v>
      </c>
    </row>
    <row r="174" spans="1:42" s="594" customFormat="1" ht="11.25" outlineLevel="1" x14ac:dyDescent="0.2">
      <c r="A174" s="590"/>
      <c r="B174" s="591" t="str">
        <f>IF(D174&lt;&gt;"",
IF(ISERROR(MATCH(D174,'Ist Vorjahr Monat 01'!A:A,0))=FALSE,INDEX('Ist Vorjahr Monat 01'!B:B,MATCH(D174,'Ist Vorjahr Monat 01'!A:A,0)),
IF(ISERROR(MATCH(D174,'Ist Vorjahr Monat 02'!A:A,0))=FALSE,INDEX('Ist Vorjahr Monat 02'!B:B,MATCH(D174,'Ist Vorjahr Monat 02'!A:A,0)),
IF(ISERROR(MATCH(D174,'Ist Vorjahr Monat 03'!A:A,0))=FALSE,INDEX('Ist Vorjahr Monat 03'!B:B,MATCH(D174,'Ist Vorjahr Monat 03'!A:A,0)),
IF(ISERROR(MATCH(D174,'Ist Vorjahr Monat 04'!A:A,0))=FALSE,INDEX('Ist Vorjahr Monat 04'!B:B,MATCH(D174,'Ist Vorjahr Monat 04'!A:A,0)),
IF(ISERROR(MATCH(D174,'Ist Vorjahr Monat 05'!A:A,0))=FALSE,INDEX('Ist Vorjahr Monat 05'!B:B,MATCH(D174,'Ist Vorjahr Monat 05'!A:A,0)),
IF(ISERROR(MATCH(D174,'Ist Vorjahr Monat 06'!A:A,0))=FALSE,INDEX('Ist Vorjahr Monat 06'!B:B,MATCH(D174,'Ist Vorjahr Monat 06'!A:A,0)),
IF(ISERROR(MATCH(D174,'Ist Vorjahr Monat 07'!A:A,0))=FALSE,INDEX('Ist Vorjahr Monat 07'!B:B,MATCH(D174,'Ist Vorjahr Monat 07'!A:A,0)),
IF(ISERROR(MATCH(D174,'Ist Vorjahr Monat 08'!A:A,0))=FALSE,INDEX('Ist Vorjahr Monat 08'!B:B,MATCH(D174,'Ist Vorjahr Monat 08'!A:A,0)),
IF(ISERROR(MATCH(D174,'Ist Vorjahr Monat 09'!A:A,0))=FALSE,INDEX('Ist Vorjahr Monat 09'!B:B,MATCH(D174,'Ist Vorjahr Monat 09'!A:A,0)),
IF(ISERROR(MATCH(D174,'Ist Vorjahr Monat 10'!A:A,0))=FALSE,INDEX('Ist Vorjahr Monat 10'!B:B,MATCH(D174,'Ist Vorjahr Monat 10'!A:A,0)),
IF(ISERROR(MATCH(D174,'Ist Vorjahr Monat 11'!A:A,0))=FALSE,INDEX('Ist Vorjahr Monat 11'!B:B,MATCH(D174,'Ist Vorjahr Monat 11'!A:A,0)),
IF(ISERROR(MATCH(D174,'Ist Vorjahr Monat 12'!A:A,0))=FALSE,INDEX('Ist Vorjahr Monat 12'!B:B,MATCH(D174,'Ist Vorjahr Monat 12'!A:A,0)),
"{Konto unbekannt}"
)))))))))))),"")</f>
        <v/>
      </c>
      <c r="C174" s="591"/>
      <c r="D174" s="590"/>
      <c r="E174" s="592">
        <f t="shared" si="65"/>
        <v>1</v>
      </c>
      <c r="F174" s="590"/>
      <c r="G174" s="593">
        <f ca="1">$E174*(-SUMIF(INDIRECT(G$3),'Struktur Vorjahr'!$D174,INDIRECT(G$4))+SUMIF(INDIRECT(G$3),'Struktur Vorjahr'!$D174,INDIRECT(G$5)))</f>
        <v>0</v>
      </c>
      <c r="H174" s="593">
        <f ca="1">$E174*(-SUMIF(INDIRECT(H$3),'Struktur Vorjahr'!$D174,INDIRECT(H$4))+SUMIF(INDIRECT(H$3),'Struktur Vorjahr'!$D174,INDIRECT(H$5)))</f>
        <v>0</v>
      </c>
      <c r="I174" s="593">
        <f ca="1">$E174*(-SUMIF(INDIRECT(I$3),'Struktur Vorjahr'!$D174,INDIRECT(I$4))+SUMIF(INDIRECT(I$3),'Struktur Vorjahr'!$D174,INDIRECT(I$5)))</f>
        <v>0</v>
      </c>
      <c r="J174" s="593">
        <f ca="1">$E174*(-SUMIF(INDIRECT(J$3),'Struktur Vorjahr'!$D174,INDIRECT(J$4))+SUMIF(INDIRECT(J$3),'Struktur Vorjahr'!$D174,INDIRECT(J$5)))</f>
        <v>0</v>
      </c>
      <c r="K174" s="593">
        <f ca="1">$E174*(-SUMIF(INDIRECT(K$3),'Struktur Vorjahr'!$D174,INDIRECT(K$4))+SUMIF(INDIRECT(K$3),'Struktur Vorjahr'!$D174,INDIRECT(K$5)))</f>
        <v>0</v>
      </c>
      <c r="L174" s="593">
        <f ca="1">$E174*(-SUMIF(INDIRECT(L$3),'Struktur Vorjahr'!$D174,INDIRECT(L$4))+SUMIF(INDIRECT(L$3),'Struktur Vorjahr'!$D174,INDIRECT(L$5)))</f>
        <v>0</v>
      </c>
      <c r="M174" s="593">
        <f ca="1">$E174*(-SUMIF(INDIRECT(M$3),'Struktur Vorjahr'!$D174,INDIRECT(M$4))+SUMIF(INDIRECT(M$3),'Struktur Vorjahr'!$D174,INDIRECT(M$5)))</f>
        <v>0</v>
      </c>
      <c r="N174" s="593">
        <f ca="1">$E174*(-SUMIF(INDIRECT(N$3),'Struktur Vorjahr'!$D174,INDIRECT(N$4))+SUMIF(INDIRECT(N$3),'Struktur Vorjahr'!$D174,INDIRECT(N$5)))</f>
        <v>0</v>
      </c>
      <c r="O174" s="593">
        <f ca="1">$E174*(-SUMIF(INDIRECT(O$3),'Struktur Vorjahr'!$D174,INDIRECT(O$4))+SUMIF(INDIRECT(O$3),'Struktur Vorjahr'!$D174,INDIRECT(O$5)))</f>
        <v>0</v>
      </c>
      <c r="P174" s="593">
        <f ca="1">$E174*(-SUMIF(INDIRECT(P$3),'Struktur Vorjahr'!$D174,INDIRECT(P$4))+SUMIF(INDIRECT(P$3),'Struktur Vorjahr'!$D174,INDIRECT(P$5)))</f>
        <v>0</v>
      </c>
      <c r="Q174" s="593">
        <f ca="1">$E174*(-SUMIF(INDIRECT(Q$3),'Struktur Vorjahr'!$D174,INDIRECT(Q$4))+SUMIF(INDIRECT(Q$3),'Struktur Vorjahr'!$D174,INDIRECT(Q$5)))</f>
        <v>0</v>
      </c>
      <c r="R174" s="593">
        <f ca="1">$E174*(-SUMIF(INDIRECT(R$3),'Struktur Vorjahr'!$D174,INDIRECT(R$4))+SUMIF(INDIRECT(R$3),'Struktur Vorjahr'!$D174,INDIRECT(R$5)))</f>
        <v>0</v>
      </c>
      <c r="S174" s="593">
        <f ca="1">$E174*(-SUMIF(INDIRECT(S$3),'Struktur Vorjahr'!$D174,INDIRECT(S$4))+SUMIF(INDIRECT(S$3),'Struktur Vorjahr'!$D174,INDIRECT(S$5)))</f>
        <v>0</v>
      </c>
      <c r="T174" s="593">
        <f ca="1">$E174*(-SUMIF(INDIRECT(T$3),'Struktur Vorjahr'!$D174,INDIRECT(T$4))+SUMIF(INDIRECT(T$3),'Struktur Vorjahr'!$D174,INDIRECT(T$5)))</f>
        <v>0</v>
      </c>
      <c r="U174" s="593">
        <f ca="1">$E174*(-SUMIF(INDIRECT(U$3),'Struktur Vorjahr'!$D174,INDIRECT(U$4))+SUMIF(INDIRECT(U$3),'Struktur Vorjahr'!$D174,INDIRECT(U$5)))</f>
        <v>0</v>
      </c>
      <c r="V174" s="593">
        <f ca="1">$E174*(-SUMIF(INDIRECT(V$3),'Struktur Vorjahr'!$D174,INDIRECT(V$4))+SUMIF(INDIRECT(V$3),'Struktur Vorjahr'!$D174,INDIRECT(V$5)))</f>
        <v>0</v>
      </c>
      <c r="W174" s="593">
        <f ca="1">$E174*(-SUMIF(INDIRECT(W$3),'Struktur Vorjahr'!$D174,INDIRECT(W$4))+SUMIF(INDIRECT(W$3),'Struktur Vorjahr'!$D174,INDIRECT(W$5)))</f>
        <v>0</v>
      </c>
      <c r="X174" s="593">
        <f ca="1">$E174*(-SUMIF(INDIRECT(X$3),'Struktur Vorjahr'!$D174,INDIRECT(X$4))+SUMIF(INDIRECT(X$3),'Struktur Vorjahr'!$D174,INDIRECT(X$5)))</f>
        <v>0</v>
      </c>
      <c r="Y174" s="593">
        <f ca="1">$E174*(-SUMIF(INDIRECT(Y$3),'Struktur Vorjahr'!$D174,INDIRECT(Y$4))+SUMIF(INDIRECT(Y$3),'Struktur Vorjahr'!$D174,INDIRECT(Y$5)))</f>
        <v>0</v>
      </c>
      <c r="Z174" s="593">
        <f ca="1">$E174*(-SUMIF(INDIRECT(Z$3),'Struktur Vorjahr'!$D174,INDIRECT(Z$4))+SUMIF(INDIRECT(Z$3),'Struktur Vorjahr'!$D174,INDIRECT(Z$5)))</f>
        <v>0</v>
      </c>
      <c r="AA174" s="593">
        <f ca="1">$E174*(-SUMIF(INDIRECT(AA$3),'Struktur Vorjahr'!$D174,INDIRECT(AA$4))+SUMIF(INDIRECT(AA$3),'Struktur Vorjahr'!$D174,INDIRECT(AA$5)))</f>
        <v>0</v>
      </c>
      <c r="AB174" s="593">
        <f ca="1">$E174*(-SUMIF(INDIRECT(AB$3),'Struktur Vorjahr'!$D174,INDIRECT(AB$4))+SUMIF(INDIRECT(AB$3),'Struktur Vorjahr'!$D174,INDIRECT(AB$5)))</f>
        <v>0</v>
      </c>
      <c r="AC174" s="593">
        <f ca="1">$E174*(-SUMIF(INDIRECT(AC$3),'Struktur Vorjahr'!$D174,INDIRECT(AC$4))+SUMIF(INDIRECT(AC$3),'Struktur Vorjahr'!$D174,INDIRECT(AC$5)))</f>
        <v>0</v>
      </c>
      <c r="AD174" s="593">
        <f ca="1">$E174*(-SUMIF(INDIRECT(AD$3),'Struktur Vorjahr'!$D174,INDIRECT(AD$4))+SUMIF(INDIRECT(AD$3),'Struktur Vorjahr'!$D174,INDIRECT(AD$5)))</f>
        <v>0</v>
      </c>
      <c r="AE174" s="593">
        <f t="shared" ca="1" si="90"/>
        <v>0</v>
      </c>
      <c r="AF174" s="593">
        <f t="shared" ca="1" si="91"/>
        <v>0</v>
      </c>
      <c r="AG174" s="593">
        <f t="shared" ca="1" si="91"/>
        <v>0</v>
      </c>
      <c r="AH174" s="593">
        <f t="shared" ca="1" si="91"/>
        <v>0</v>
      </c>
      <c r="AI174" s="593">
        <f t="shared" ca="1" si="91"/>
        <v>0</v>
      </c>
      <c r="AJ174" s="593">
        <f t="shared" ca="1" si="91"/>
        <v>0</v>
      </c>
      <c r="AK174" s="593">
        <f t="shared" ca="1" si="91"/>
        <v>0</v>
      </c>
      <c r="AL174" s="593">
        <f t="shared" ca="1" si="91"/>
        <v>0</v>
      </c>
      <c r="AM174" s="593">
        <f t="shared" ca="1" si="91"/>
        <v>0</v>
      </c>
      <c r="AN174" s="593">
        <f t="shared" ca="1" si="91"/>
        <v>0</v>
      </c>
      <c r="AO174" s="593">
        <f t="shared" ca="1" si="91"/>
        <v>0</v>
      </c>
      <c r="AP174" s="593">
        <f t="shared" ca="1" si="91"/>
        <v>0</v>
      </c>
    </row>
    <row r="175" spans="1:42" s="594" customFormat="1" ht="11.25" outlineLevel="1" x14ac:dyDescent="0.2">
      <c r="A175" s="590"/>
      <c r="B175" s="591" t="str">
        <f>IF(D175&lt;&gt;"",
IF(ISERROR(MATCH(D175,'Ist Vorjahr Monat 01'!A:A,0))=FALSE,INDEX('Ist Vorjahr Monat 01'!B:B,MATCH(D175,'Ist Vorjahr Monat 01'!A:A,0)),
IF(ISERROR(MATCH(D175,'Ist Vorjahr Monat 02'!A:A,0))=FALSE,INDEX('Ist Vorjahr Monat 02'!B:B,MATCH(D175,'Ist Vorjahr Monat 02'!A:A,0)),
IF(ISERROR(MATCH(D175,'Ist Vorjahr Monat 03'!A:A,0))=FALSE,INDEX('Ist Vorjahr Monat 03'!B:B,MATCH(D175,'Ist Vorjahr Monat 03'!A:A,0)),
IF(ISERROR(MATCH(D175,'Ist Vorjahr Monat 04'!A:A,0))=FALSE,INDEX('Ist Vorjahr Monat 04'!B:B,MATCH(D175,'Ist Vorjahr Monat 04'!A:A,0)),
IF(ISERROR(MATCH(D175,'Ist Vorjahr Monat 05'!A:A,0))=FALSE,INDEX('Ist Vorjahr Monat 05'!B:B,MATCH(D175,'Ist Vorjahr Monat 05'!A:A,0)),
IF(ISERROR(MATCH(D175,'Ist Vorjahr Monat 06'!A:A,0))=FALSE,INDEX('Ist Vorjahr Monat 06'!B:B,MATCH(D175,'Ist Vorjahr Monat 06'!A:A,0)),
IF(ISERROR(MATCH(D175,'Ist Vorjahr Monat 07'!A:A,0))=FALSE,INDEX('Ist Vorjahr Monat 07'!B:B,MATCH(D175,'Ist Vorjahr Monat 07'!A:A,0)),
IF(ISERROR(MATCH(D175,'Ist Vorjahr Monat 08'!A:A,0))=FALSE,INDEX('Ist Vorjahr Monat 08'!B:B,MATCH(D175,'Ist Vorjahr Monat 08'!A:A,0)),
IF(ISERROR(MATCH(D175,'Ist Vorjahr Monat 09'!A:A,0))=FALSE,INDEX('Ist Vorjahr Monat 09'!B:B,MATCH(D175,'Ist Vorjahr Monat 09'!A:A,0)),
IF(ISERROR(MATCH(D175,'Ist Vorjahr Monat 10'!A:A,0))=FALSE,INDEX('Ist Vorjahr Monat 10'!B:B,MATCH(D175,'Ist Vorjahr Monat 10'!A:A,0)),
IF(ISERROR(MATCH(D175,'Ist Vorjahr Monat 11'!A:A,0))=FALSE,INDEX('Ist Vorjahr Monat 11'!B:B,MATCH(D175,'Ist Vorjahr Monat 11'!A:A,0)),
IF(ISERROR(MATCH(D175,'Ist Vorjahr Monat 12'!A:A,0))=FALSE,INDEX('Ist Vorjahr Monat 12'!B:B,MATCH(D175,'Ist Vorjahr Monat 12'!A:A,0)),
"{Konto unbekannt}"
)))))))))))),"")</f>
        <v/>
      </c>
      <c r="C175" s="591"/>
      <c r="D175" s="590"/>
      <c r="E175" s="592">
        <f t="shared" si="65"/>
        <v>1</v>
      </c>
      <c r="F175" s="590"/>
      <c r="G175" s="593">
        <f ca="1">$E175*(-SUMIF(INDIRECT(G$3),'Struktur Vorjahr'!$D175,INDIRECT(G$4))+SUMIF(INDIRECT(G$3),'Struktur Vorjahr'!$D175,INDIRECT(G$5)))</f>
        <v>0</v>
      </c>
      <c r="H175" s="593">
        <f ca="1">$E175*(-SUMIF(INDIRECT(H$3),'Struktur Vorjahr'!$D175,INDIRECT(H$4))+SUMIF(INDIRECT(H$3),'Struktur Vorjahr'!$D175,INDIRECT(H$5)))</f>
        <v>0</v>
      </c>
      <c r="I175" s="593">
        <f ca="1">$E175*(-SUMIF(INDIRECT(I$3),'Struktur Vorjahr'!$D175,INDIRECT(I$4))+SUMIF(INDIRECT(I$3),'Struktur Vorjahr'!$D175,INDIRECT(I$5)))</f>
        <v>0</v>
      </c>
      <c r="J175" s="593">
        <f ca="1">$E175*(-SUMIF(INDIRECT(J$3),'Struktur Vorjahr'!$D175,INDIRECT(J$4))+SUMIF(INDIRECT(J$3),'Struktur Vorjahr'!$D175,INDIRECT(J$5)))</f>
        <v>0</v>
      </c>
      <c r="K175" s="593">
        <f ca="1">$E175*(-SUMIF(INDIRECT(K$3),'Struktur Vorjahr'!$D175,INDIRECT(K$4))+SUMIF(INDIRECT(K$3),'Struktur Vorjahr'!$D175,INDIRECT(K$5)))</f>
        <v>0</v>
      </c>
      <c r="L175" s="593">
        <f ca="1">$E175*(-SUMIF(INDIRECT(L$3),'Struktur Vorjahr'!$D175,INDIRECT(L$4))+SUMIF(INDIRECT(L$3),'Struktur Vorjahr'!$D175,INDIRECT(L$5)))</f>
        <v>0</v>
      </c>
      <c r="M175" s="593">
        <f ca="1">$E175*(-SUMIF(INDIRECT(M$3),'Struktur Vorjahr'!$D175,INDIRECT(M$4))+SUMIF(INDIRECT(M$3),'Struktur Vorjahr'!$D175,INDIRECT(M$5)))</f>
        <v>0</v>
      </c>
      <c r="N175" s="593">
        <f ca="1">$E175*(-SUMIF(INDIRECT(N$3),'Struktur Vorjahr'!$D175,INDIRECT(N$4))+SUMIF(INDIRECT(N$3),'Struktur Vorjahr'!$D175,INDIRECT(N$5)))</f>
        <v>0</v>
      </c>
      <c r="O175" s="593">
        <f ca="1">$E175*(-SUMIF(INDIRECT(O$3),'Struktur Vorjahr'!$D175,INDIRECT(O$4))+SUMIF(INDIRECT(O$3),'Struktur Vorjahr'!$D175,INDIRECT(O$5)))</f>
        <v>0</v>
      </c>
      <c r="P175" s="593">
        <f ca="1">$E175*(-SUMIF(INDIRECT(P$3),'Struktur Vorjahr'!$D175,INDIRECT(P$4))+SUMIF(INDIRECT(P$3),'Struktur Vorjahr'!$D175,INDIRECT(P$5)))</f>
        <v>0</v>
      </c>
      <c r="Q175" s="593">
        <f ca="1">$E175*(-SUMIF(INDIRECT(Q$3),'Struktur Vorjahr'!$D175,INDIRECT(Q$4))+SUMIF(INDIRECT(Q$3),'Struktur Vorjahr'!$D175,INDIRECT(Q$5)))</f>
        <v>0</v>
      </c>
      <c r="R175" s="593">
        <f ca="1">$E175*(-SUMIF(INDIRECT(R$3),'Struktur Vorjahr'!$D175,INDIRECT(R$4))+SUMIF(INDIRECT(R$3),'Struktur Vorjahr'!$D175,INDIRECT(R$5)))</f>
        <v>0</v>
      </c>
      <c r="S175" s="593">
        <f ca="1">$E175*(-SUMIF(INDIRECT(S$3),'Struktur Vorjahr'!$D175,INDIRECT(S$4))+SUMIF(INDIRECT(S$3),'Struktur Vorjahr'!$D175,INDIRECT(S$5)))</f>
        <v>0</v>
      </c>
      <c r="T175" s="593">
        <f ca="1">$E175*(-SUMIF(INDIRECT(T$3),'Struktur Vorjahr'!$D175,INDIRECT(T$4))+SUMIF(INDIRECT(T$3),'Struktur Vorjahr'!$D175,INDIRECT(T$5)))</f>
        <v>0</v>
      </c>
      <c r="U175" s="593">
        <f ca="1">$E175*(-SUMIF(INDIRECT(U$3),'Struktur Vorjahr'!$D175,INDIRECT(U$4))+SUMIF(INDIRECT(U$3),'Struktur Vorjahr'!$D175,INDIRECT(U$5)))</f>
        <v>0</v>
      </c>
      <c r="V175" s="593">
        <f ca="1">$E175*(-SUMIF(INDIRECT(V$3),'Struktur Vorjahr'!$D175,INDIRECT(V$4))+SUMIF(INDIRECT(V$3),'Struktur Vorjahr'!$D175,INDIRECT(V$5)))</f>
        <v>0</v>
      </c>
      <c r="W175" s="593">
        <f ca="1">$E175*(-SUMIF(INDIRECT(W$3),'Struktur Vorjahr'!$D175,INDIRECT(W$4))+SUMIF(INDIRECT(W$3),'Struktur Vorjahr'!$D175,INDIRECT(W$5)))</f>
        <v>0</v>
      </c>
      <c r="X175" s="593">
        <f ca="1">$E175*(-SUMIF(INDIRECT(X$3),'Struktur Vorjahr'!$D175,INDIRECT(X$4))+SUMIF(INDIRECT(X$3),'Struktur Vorjahr'!$D175,INDIRECT(X$5)))</f>
        <v>0</v>
      </c>
      <c r="Y175" s="593">
        <f ca="1">$E175*(-SUMIF(INDIRECT(Y$3),'Struktur Vorjahr'!$D175,INDIRECT(Y$4))+SUMIF(INDIRECT(Y$3),'Struktur Vorjahr'!$D175,INDIRECT(Y$5)))</f>
        <v>0</v>
      </c>
      <c r="Z175" s="593">
        <f ca="1">$E175*(-SUMIF(INDIRECT(Z$3),'Struktur Vorjahr'!$D175,INDIRECT(Z$4))+SUMIF(INDIRECT(Z$3),'Struktur Vorjahr'!$D175,INDIRECT(Z$5)))</f>
        <v>0</v>
      </c>
      <c r="AA175" s="593">
        <f ca="1">$E175*(-SUMIF(INDIRECT(AA$3),'Struktur Vorjahr'!$D175,INDIRECT(AA$4))+SUMIF(INDIRECT(AA$3),'Struktur Vorjahr'!$D175,INDIRECT(AA$5)))</f>
        <v>0</v>
      </c>
      <c r="AB175" s="593">
        <f ca="1">$E175*(-SUMIF(INDIRECT(AB$3),'Struktur Vorjahr'!$D175,INDIRECT(AB$4))+SUMIF(INDIRECT(AB$3),'Struktur Vorjahr'!$D175,INDIRECT(AB$5)))</f>
        <v>0</v>
      </c>
      <c r="AC175" s="593">
        <f ca="1">$E175*(-SUMIF(INDIRECT(AC$3),'Struktur Vorjahr'!$D175,INDIRECT(AC$4))+SUMIF(INDIRECT(AC$3),'Struktur Vorjahr'!$D175,INDIRECT(AC$5)))</f>
        <v>0</v>
      </c>
      <c r="AD175" s="593">
        <f ca="1">$E175*(-SUMIF(INDIRECT(AD$3),'Struktur Vorjahr'!$D175,INDIRECT(AD$4))+SUMIF(INDIRECT(AD$3),'Struktur Vorjahr'!$D175,INDIRECT(AD$5)))</f>
        <v>0</v>
      </c>
      <c r="AE175" s="593">
        <f t="shared" ca="1" si="90"/>
        <v>0</v>
      </c>
      <c r="AF175" s="593">
        <f t="shared" ca="1" si="91"/>
        <v>0</v>
      </c>
      <c r="AG175" s="593">
        <f t="shared" ca="1" si="91"/>
        <v>0</v>
      </c>
      <c r="AH175" s="593">
        <f t="shared" ca="1" si="91"/>
        <v>0</v>
      </c>
      <c r="AI175" s="593">
        <f t="shared" ca="1" si="91"/>
        <v>0</v>
      </c>
      <c r="AJ175" s="593">
        <f t="shared" ca="1" si="91"/>
        <v>0</v>
      </c>
      <c r="AK175" s="593">
        <f t="shared" ca="1" si="91"/>
        <v>0</v>
      </c>
      <c r="AL175" s="593">
        <f t="shared" ca="1" si="91"/>
        <v>0</v>
      </c>
      <c r="AM175" s="593">
        <f t="shared" ca="1" si="91"/>
        <v>0</v>
      </c>
      <c r="AN175" s="593">
        <f t="shared" ca="1" si="91"/>
        <v>0</v>
      </c>
      <c r="AO175" s="593">
        <f t="shared" ca="1" si="91"/>
        <v>0</v>
      </c>
      <c r="AP175" s="593">
        <f t="shared" ca="1" si="91"/>
        <v>0</v>
      </c>
    </row>
    <row r="176" spans="1:42" s="594" customFormat="1" ht="11.25" outlineLevel="1" x14ac:dyDescent="0.2">
      <c r="A176" s="590"/>
      <c r="B176" s="591" t="str">
        <f>IF(D176&lt;&gt;"",
IF(ISERROR(MATCH(D176,'Ist Vorjahr Monat 01'!A:A,0))=FALSE,INDEX('Ist Vorjahr Monat 01'!B:B,MATCH(D176,'Ist Vorjahr Monat 01'!A:A,0)),
IF(ISERROR(MATCH(D176,'Ist Vorjahr Monat 02'!A:A,0))=FALSE,INDEX('Ist Vorjahr Monat 02'!B:B,MATCH(D176,'Ist Vorjahr Monat 02'!A:A,0)),
IF(ISERROR(MATCH(D176,'Ist Vorjahr Monat 03'!A:A,0))=FALSE,INDEX('Ist Vorjahr Monat 03'!B:B,MATCH(D176,'Ist Vorjahr Monat 03'!A:A,0)),
IF(ISERROR(MATCH(D176,'Ist Vorjahr Monat 04'!A:A,0))=FALSE,INDEX('Ist Vorjahr Monat 04'!B:B,MATCH(D176,'Ist Vorjahr Monat 04'!A:A,0)),
IF(ISERROR(MATCH(D176,'Ist Vorjahr Monat 05'!A:A,0))=FALSE,INDEX('Ist Vorjahr Monat 05'!B:B,MATCH(D176,'Ist Vorjahr Monat 05'!A:A,0)),
IF(ISERROR(MATCH(D176,'Ist Vorjahr Monat 06'!A:A,0))=FALSE,INDEX('Ist Vorjahr Monat 06'!B:B,MATCH(D176,'Ist Vorjahr Monat 06'!A:A,0)),
IF(ISERROR(MATCH(D176,'Ist Vorjahr Monat 07'!A:A,0))=FALSE,INDEX('Ist Vorjahr Monat 07'!B:B,MATCH(D176,'Ist Vorjahr Monat 07'!A:A,0)),
IF(ISERROR(MATCH(D176,'Ist Vorjahr Monat 08'!A:A,0))=FALSE,INDEX('Ist Vorjahr Monat 08'!B:B,MATCH(D176,'Ist Vorjahr Monat 08'!A:A,0)),
IF(ISERROR(MATCH(D176,'Ist Vorjahr Monat 09'!A:A,0))=FALSE,INDEX('Ist Vorjahr Monat 09'!B:B,MATCH(D176,'Ist Vorjahr Monat 09'!A:A,0)),
IF(ISERROR(MATCH(D176,'Ist Vorjahr Monat 10'!A:A,0))=FALSE,INDEX('Ist Vorjahr Monat 10'!B:B,MATCH(D176,'Ist Vorjahr Monat 10'!A:A,0)),
IF(ISERROR(MATCH(D176,'Ist Vorjahr Monat 11'!A:A,0))=FALSE,INDEX('Ist Vorjahr Monat 11'!B:B,MATCH(D176,'Ist Vorjahr Monat 11'!A:A,0)),
IF(ISERROR(MATCH(D176,'Ist Vorjahr Monat 12'!A:A,0))=FALSE,INDEX('Ist Vorjahr Monat 12'!B:B,MATCH(D176,'Ist Vorjahr Monat 12'!A:A,0)),
"{Konto unbekannt}"
)))))))))))),"")</f>
        <v/>
      </c>
      <c r="C176" s="591"/>
      <c r="D176" s="590"/>
      <c r="E176" s="592">
        <f t="shared" si="65"/>
        <v>1</v>
      </c>
      <c r="F176" s="590"/>
      <c r="G176" s="593">
        <f ca="1">$E176*(-SUMIF(INDIRECT(G$3),'Struktur Vorjahr'!$D176,INDIRECT(G$4))+SUMIF(INDIRECT(G$3),'Struktur Vorjahr'!$D176,INDIRECT(G$5)))</f>
        <v>0</v>
      </c>
      <c r="H176" s="593">
        <f ca="1">$E176*(-SUMIF(INDIRECT(H$3),'Struktur Vorjahr'!$D176,INDIRECT(H$4))+SUMIF(INDIRECT(H$3),'Struktur Vorjahr'!$D176,INDIRECT(H$5)))</f>
        <v>0</v>
      </c>
      <c r="I176" s="593">
        <f ca="1">$E176*(-SUMIF(INDIRECT(I$3),'Struktur Vorjahr'!$D176,INDIRECT(I$4))+SUMIF(INDIRECT(I$3),'Struktur Vorjahr'!$D176,INDIRECT(I$5)))</f>
        <v>0</v>
      </c>
      <c r="J176" s="593">
        <f ca="1">$E176*(-SUMIF(INDIRECT(J$3),'Struktur Vorjahr'!$D176,INDIRECT(J$4))+SUMIF(INDIRECT(J$3),'Struktur Vorjahr'!$D176,INDIRECT(J$5)))</f>
        <v>0</v>
      </c>
      <c r="K176" s="593">
        <f ca="1">$E176*(-SUMIF(INDIRECT(K$3),'Struktur Vorjahr'!$D176,INDIRECT(K$4))+SUMIF(INDIRECT(K$3),'Struktur Vorjahr'!$D176,INDIRECT(K$5)))</f>
        <v>0</v>
      </c>
      <c r="L176" s="593">
        <f ca="1">$E176*(-SUMIF(INDIRECT(L$3),'Struktur Vorjahr'!$D176,INDIRECT(L$4))+SUMIF(INDIRECT(L$3),'Struktur Vorjahr'!$D176,INDIRECT(L$5)))</f>
        <v>0</v>
      </c>
      <c r="M176" s="593">
        <f ca="1">$E176*(-SUMIF(INDIRECT(M$3),'Struktur Vorjahr'!$D176,INDIRECT(M$4))+SUMIF(INDIRECT(M$3),'Struktur Vorjahr'!$D176,INDIRECT(M$5)))</f>
        <v>0</v>
      </c>
      <c r="N176" s="593">
        <f ca="1">$E176*(-SUMIF(INDIRECT(N$3),'Struktur Vorjahr'!$D176,INDIRECT(N$4))+SUMIF(INDIRECT(N$3),'Struktur Vorjahr'!$D176,INDIRECT(N$5)))</f>
        <v>0</v>
      </c>
      <c r="O176" s="593">
        <f ca="1">$E176*(-SUMIF(INDIRECT(O$3),'Struktur Vorjahr'!$D176,INDIRECT(O$4))+SUMIF(INDIRECT(O$3),'Struktur Vorjahr'!$D176,INDIRECT(O$5)))</f>
        <v>0</v>
      </c>
      <c r="P176" s="593">
        <f ca="1">$E176*(-SUMIF(INDIRECT(P$3),'Struktur Vorjahr'!$D176,INDIRECT(P$4))+SUMIF(INDIRECT(P$3),'Struktur Vorjahr'!$D176,INDIRECT(P$5)))</f>
        <v>0</v>
      </c>
      <c r="Q176" s="593">
        <f ca="1">$E176*(-SUMIF(INDIRECT(Q$3),'Struktur Vorjahr'!$D176,INDIRECT(Q$4))+SUMIF(INDIRECT(Q$3),'Struktur Vorjahr'!$D176,INDIRECT(Q$5)))</f>
        <v>0</v>
      </c>
      <c r="R176" s="593">
        <f ca="1">$E176*(-SUMIF(INDIRECT(R$3),'Struktur Vorjahr'!$D176,INDIRECT(R$4))+SUMIF(INDIRECT(R$3),'Struktur Vorjahr'!$D176,INDIRECT(R$5)))</f>
        <v>0</v>
      </c>
      <c r="S176" s="593">
        <f ca="1">$E176*(-SUMIF(INDIRECT(S$3),'Struktur Vorjahr'!$D176,INDIRECT(S$4))+SUMIF(INDIRECT(S$3),'Struktur Vorjahr'!$D176,INDIRECT(S$5)))</f>
        <v>0</v>
      </c>
      <c r="T176" s="593">
        <f ca="1">$E176*(-SUMIF(INDIRECT(T$3),'Struktur Vorjahr'!$D176,INDIRECT(T$4))+SUMIF(INDIRECT(T$3),'Struktur Vorjahr'!$D176,INDIRECT(T$5)))</f>
        <v>0</v>
      </c>
      <c r="U176" s="593">
        <f ca="1">$E176*(-SUMIF(INDIRECT(U$3),'Struktur Vorjahr'!$D176,INDIRECT(U$4))+SUMIF(INDIRECT(U$3),'Struktur Vorjahr'!$D176,INDIRECT(U$5)))</f>
        <v>0</v>
      </c>
      <c r="V176" s="593">
        <f ca="1">$E176*(-SUMIF(INDIRECT(V$3),'Struktur Vorjahr'!$D176,INDIRECT(V$4))+SUMIF(INDIRECT(V$3),'Struktur Vorjahr'!$D176,INDIRECT(V$5)))</f>
        <v>0</v>
      </c>
      <c r="W176" s="593">
        <f ca="1">$E176*(-SUMIF(INDIRECT(W$3),'Struktur Vorjahr'!$D176,INDIRECT(W$4))+SUMIF(INDIRECT(W$3),'Struktur Vorjahr'!$D176,INDIRECT(W$5)))</f>
        <v>0</v>
      </c>
      <c r="X176" s="593">
        <f ca="1">$E176*(-SUMIF(INDIRECT(X$3),'Struktur Vorjahr'!$D176,INDIRECT(X$4))+SUMIF(INDIRECT(X$3),'Struktur Vorjahr'!$D176,INDIRECT(X$5)))</f>
        <v>0</v>
      </c>
      <c r="Y176" s="593">
        <f ca="1">$E176*(-SUMIF(INDIRECT(Y$3),'Struktur Vorjahr'!$D176,INDIRECT(Y$4))+SUMIF(INDIRECT(Y$3),'Struktur Vorjahr'!$D176,INDIRECT(Y$5)))</f>
        <v>0</v>
      </c>
      <c r="Z176" s="593">
        <f ca="1">$E176*(-SUMIF(INDIRECT(Z$3),'Struktur Vorjahr'!$D176,INDIRECT(Z$4))+SUMIF(INDIRECT(Z$3),'Struktur Vorjahr'!$D176,INDIRECT(Z$5)))</f>
        <v>0</v>
      </c>
      <c r="AA176" s="593">
        <f ca="1">$E176*(-SUMIF(INDIRECT(AA$3),'Struktur Vorjahr'!$D176,INDIRECT(AA$4))+SUMIF(INDIRECT(AA$3),'Struktur Vorjahr'!$D176,INDIRECT(AA$5)))</f>
        <v>0</v>
      </c>
      <c r="AB176" s="593">
        <f ca="1">$E176*(-SUMIF(INDIRECT(AB$3),'Struktur Vorjahr'!$D176,INDIRECT(AB$4))+SUMIF(INDIRECT(AB$3),'Struktur Vorjahr'!$D176,INDIRECT(AB$5)))</f>
        <v>0</v>
      </c>
      <c r="AC176" s="593">
        <f ca="1">$E176*(-SUMIF(INDIRECT(AC$3),'Struktur Vorjahr'!$D176,INDIRECT(AC$4))+SUMIF(INDIRECT(AC$3),'Struktur Vorjahr'!$D176,INDIRECT(AC$5)))</f>
        <v>0</v>
      </c>
      <c r="AD176" s="593">
        <f ca="1">$E176*(-SUMIF(INDIRECT(AD$3),'Struktur Vorjahr'!$D176,INDIRECT(AD$4))+SUMIF(INDIRECT(AD$3),'Struktur Vorjahr'!$D176,INDIRECT(AD$5)))</f>
        <v>0</v>
      </c>
      <c r="AE176" s="593">
        <f t="shared" ca="1" si="90"/>
        <v>0</v>
      </c>
      <c r="AF176" s="593">
        <f t="shared" ca="1" si="91"/>
        <v>0</v>
      </c>
      <c r="AG176" s="593">
        <f t="shared" ca="1" si="91"/>
        <v>0</v>
      </c>
      <c r="AH176" s="593">
        <f t="shared" ca="1" si="91"/>
        <v>0</v>
      </c>
      <c r="AI176" s="593">
        <f t="shared" ca="1" si="91"/>
        <v>0</v>
      </c>
      <c r="AJ176" s="593">
        <f t="shared" ca="1" si="91"/>
        <v>0</v>
      </c>
      <c r="AK176" s="593">
        <f t="shared" ca="1" si="91"/>
        <v>0</v>
      </c>
      <c r="AL176" s="593">
        <f t="shared" ca="1" si="91"/>
        <v>0</v>
      </c>
      <c r="AM176" s="593">
        <f t="shared" ca="1" si="91"/>
        <v>0</v>
      </c>
      <c r="AN176" s="593">
        <f t="shared" ca="1" si="91"/>
        <v>0</v>
      </c>
      <c r="AO176" s="593">
        <f t="shared" ca="1" si="91"/>
        <v>0</v>
      </c>
      <c r="AP176" s="593">
        <f t="shared" ca="1" si="91"/>
        <v>0</v>
      </c>
    </row>
    <row r="177" spans="1:42" s="589" customFormat="1" x14ac:dyDescent="0.2">
      <c r="A177" s="730"/>
      <c r="B177" s="731" t="s">
        <v>3</v>
      </c>
      <c r="C177" s="732">
        <f ca="1">SUM(G177:R177)</f>
        <v>21172.53</v>
      </c>
      <c r="D177" s="732"/>
      <c r="E177" s="733">
        <f t="shared" si="65"/>
        <v>1</v>
      </c>
      <c r="F177" s="730"/>
      <c r="G177" s="732">
        <f ca="1">G178+G188+G208+G219+G228+G238+G256+G267+G286+G293</f>
        <v>1130.45</v>
      </c>
      <c r="H177" s="732">
        <f t="shared" ref="H177:R177" ca="1" si="92">H178+H188+H208+H219+H228+H238+H256+H267+H286+H293</f>
        <v>2232.3599999999997</v>
      </c>
      <c r="I177" s="732">
        <f t="shared" ca="1" si="92"/>
        <v>3551.9599999999996</v>
      </c>
      <c r="J177" s="732">
        <f t="shared" ca="1" si="92"/>
        <v>3104.4</v>
      </c>
      <c r="K177" s="732">
        <f t="shared" ca="1" si="92"/>
        <v>3460.9599999999996</v>
      </c>
      <c r="L177" s="732">
        <f t="shared" ca="1" si="92"/>
        <v>2607.0100000000002</v>
      </c>
      <c r="M177" s="732">
        <f t="shared" ca="1" si="92"/>
        <v>1492.42</v>
      </c>
      <c r="N177" s="732">
        <f t="shared" ca="1" si="92"/>
        <v>1458.5199999999998</v>
      </c>
      <c r="O177" s="732">
        <f t="shared" ca="1" si="92"/>
        <v>872.1400000000001</v>
      </c>
      <c r="P177" s="732">
        <f t="shared" ca="1" si="92"/>
        <v>1262.31</v>
      </c>
      <c r="Q177" s="732">
        <f t="shared" ca="1" si="92"/>
        <v>0</v>
      </c>
      <c r="R177" s="732">
        <f t="shared" ca="1" si="92"/>
        <v>0</v>
      </c>
      <c r="S177" s="732">
        <f ca="1">S178+S188+S208+S219+S228+S238+S256+S267+S286+S293</f>
        <v>1130.45</v>
      </c>
      <c r="T177" s="732">
        <f t="shared" ref="T177:AD177" ca="1" si="93">T178+T188+T208+T219+T228+T238+T256+T267+T286+T293</f>
        <v>3362.8100000000004</v>
      </c>
      <c r="U177" s="732">
        <f t="shared" ca="1" si="93"/>
        <v>6914.77</v>
      </c>
      <c r="V177" s="732">
        <f t="shared" ca="1" si="93"/>
        <v>10019.17</v>
      </c>
      <c r="W177" s="732">
        <f t="shared" ca="1" si="93"/>
        <v>13480.13</v>
      </c>
      <c r="X177" s="732">
        <f t="shared" ca="1" si="93"/>
        <v>16087.140000000001</v>
      </c>
      <c r="Y177" s="732">
        <f t="shared" ca="1" si="93"/>
        <v>17579.560000000001</v>
      </c>
      <c r="Z177" s="732">
        <f t="shared" ca="1" si="93"/>
        <v>19038.080000000002</v>
      </c>
      <c r="AA177" s="732">
        <f t="shared" ca="1" si="93"/>
        <v>19910.22</v>
      </c>
      <c r="AB177" s="732">
        <f t="shared" ca="1" si="93"/>
        <v>21172.53</v>
      </c>
      <c r="AC177" s="732">
        <f t="shared" ca="1" si="93"/>
        <v>0</v>
      </c>
      <c r="AD177" s="732">
        <f t="shared" ca="1" si="93"/>
        <v>0</v>
      </c>
      <c r="AE177" s="732">
        <f ca="1">AE178+AE188+AE208+AE219+AE228+AE238+AE256+AE267+AE286+AE293</f>
        <v>1130.45</v>
      </c>
      <c r="AF177" s="732">
        <f t="shared" ref="AF177:AP177" ca="1" si="94">AF178+AF188+AF208+AF219+AF228+AF238+AF256+AF267+AF286+AF293</f>
        <v>3362.8100000000004</v>
      </c>
      <c r="AG177" s="732">
        <f t="shared" ca="1" si="94"/>
        <v>6914.77</v>
      </c>
      <c r="AH177" s="732">
        <f t="shared" ca="1" si="94"/>
        <v>10019.170000000002</v>
      </c>
      <c r="AI177" s="732">
        <f t="shared" ca="1" si="94"/>
        <v>13480.130000000001</v>
      </c>
      <c r="AJ177" s="732">
        <f t="shared" ca="1" si="94"/>
        <v>16087.140000000001</v>
      </c>
      <c r="AK177" s="732">
        <f t="shared" ca="1" si="94"/>
        <v>17579.560000000001</v>
      </c>
      <c r="AL177" s="732">
        <f t="shared" ca="1" si="94"/>
        <v>19038.080000000002</v>
      </c>
      <c r="AM177" s="732">
        <f t="shared" ca="1" si="94"/>
        <v>19910.22</v>
      </c>
      <c r="AN177" s="732">
        <f t="shared" ca="1" si="94"/>
        <v>21172.530000000006</v>
      </c>
      <c r="AO177" s="732">
        <f t="shared" ca="1" si="94"/>
        <v>21172.530000000006</v>
      </c>
      <c r="AP177" s="732">
        <f t="shared" ca="1" si="94"/>
        <v>21172.530000000006</v>
      </c>
    </row>
    <row r="178" spans="1:42" s="589" customFormat="1" x14ac:dyDescent="0.2">
      <c r="A178" s="585">
        <v>17</v>
      </c>
      <c r="B178" s="586" t="s">
        <v>4</v>
      </c>
      <c r="C178" s="587">
        <f ca="1">SUM(G178:R178)</f>
        <v>1871.5200000000002</v>
      </c>
      <c r="D178" s="587"/>
      <c r="E178" s="588">
        <f t="shared" si="65"/>
        <v>1</v>
      </c>
      <c r="F178" s="585"/>
      <c r="G178" s="587">
        <f t="shared" ref="G178:AP178" ca="1" si="95">SUM(G179:G187)</f>
        <v>16.41</v>
      </c>
      <c r="H178" s="587">
        <f t="shared" ca="1" si="95"/>
        <v>31.85</v>
      </c>
      <c r="I178" s="587">
        <f t="shared" ca="1" si="95"/>
        <v>1260.5</v>
      </c>
      <c r="J178" s="587">
        <f t="shared" ca="1" si="95"/>
        <v>200.76</v>
      </c>
      <c r="K178" s="587">
        <f t="shared" ca="1" si="95"/>
        <v>16.489999999999998</v>
      </c>
      <c r="L178" s="587">
        <f t="shared" ca="1" si="95"/>
        <v>15.7</v>
      </c>
      <c r="M178" s="587">
        <f t="shared" ca="1" si="95"/>
        <v>254.24</v>
      </c>
      <c r="N178" s="587">
        <f t="shared" ca="1" si="95"/>
        <v>25.63</v>
      </c>
      <c r="O178" s="587">
        <f t="shared" ca="1" si="95"/>
        <v>0</v>
      </c>
      <c r="P178" s="587">
        <f t="shared" ca="1" si="95"/>
        <v>49.94</v>
      </c>
      <c r="Q178" s="587">
        <f t="shared" ca="1" si="95"/>
        <v>0</v>
      </c>
      <c r="R178" s="587">
        <f t="shared" ca="1" si="95"/>
        <v>0</v>
      </c>
      <c r="S178" s="587">
        <f t="shared" ca="1" si="95"/>
        <v>16.41</v>
      </c>
      <c r="T178" s="587">
        <f t="shared" ca="1" si="95"/>
        <v>48.260000000000005</v>
      </c>
      <c r="U178" s="587">
        <f t="shared" ca="1" si="95"/>
        <v>1308.76</v>
      </c>
      <c r="V178" s="587">
        <f t="shared" ca="1" si="95"/>
        <v>1509.52</v>
      </c>
      <c r="W178" s="587">
        <f t="shared" ca="1" si="95"/>
        <v>1526.01</v>
      </c>
      <c r="X178" s="587">
        <f t="shared" ca="1" si="95"/>
        <v>1541.71</v>
      </c>
      <c r="Y178" s="587">
        <f t="shared" ca="1" si="95"/>
        <v>1795.95</v>
      </c>
      <c r="Z178" s="587">
        <f t="shared" ca="1" si="95"/>
        <v>1821.58</v>
      </c>
      <c r="AA178" s="587">
        <f t="shared" ca="1" si="95"/>
        <v>1821.58</v>
      </c>
      <c r="AB178" s="587">
        <f t="shared" ca="1" si="95"/>
        <v>1871.52</v>
      </c>
      <c r="AC178" s="587">
        <f t="shared" ca="1" si="95"/>
        <v>0</v>
      </c>
      <c r="AD178" s="587">
        <f t="shared" ca="1" si="95"/>
        <v>0</v>
      </c>
      <c r="AE178" s="587">
        <f t="shared" ca="1" si="95"/>
        <v>16.41</v>
      </c>
      <c r="AF178" s="587">
        <f t="shared" ca="1" si="95"/>
        <v>48.260000000000005</v>
      </c>
      <c r="AG178" s="587">
        <f t="shared" ca="1" si="95"/>
        <v>1308.76</v>
      </c>
      <c r="AH178" s="587">
        <f t="shared" ca="1" si="95"/>
        <v>1509.52</v>
      </c>
      <c r="AI178" s="587">
        <f t="shared" ca="1" si="95"/>
        <v>1526.01</v>
      </c>
      <c r="AJ178" s="587">
        <f t="shared" ca="1" si="95"/>
        <v>1541.71</v>
      </c>
      <c r="AK178" s="587">
        <f t="shared" ca="1" si="95"/>
        <v>1795.95</v>
      </c>
      <c r="AL178" s="587">
        <f t="shared" ca="1" si="95"/>
        <v>1821.58</v>
      </c>
      <c r="AM178" s="587">
        <f t="shared" ca="1" si="95"/>
        <v>1821.58</v>
      </c>
      <c r="AN178" s="587">
        <f t="shared" ca="1" si="95"/>
        <v>1871.52</v>
      </c>
      <c r="AO178" s="587">
        <f t="shared" ca="1" si="95"/>
        <v>1871.52</v>
      </c>
      <c r="AP178" s="587">
        <f t="shared" ca="1" si="95"/>
        <v>1871.52</v>
      </c>
    </row>
    <row r="179" spans="1:42" s="594" customFormat="1" ht="11.25" outlineLevel="1" x14ac:dyDescent="0.2">
      <c r="A179" s="590"/>
      <c r="B179" s="591" t="str">
        <f>IF(D179&lt;&gt;"",
IF(ISERROR(MATCH(D179,'Ist Vorjahr Monat 01'!A:A,0))=FALSE,INDEX('Ist Vorjahr Monat 01'!B:B,MATCH(D179,'Ist Vorjahr Monat 01'!A:A,0)),
IF(ISERROR(MATCH(D179,'Ist Vorjahr Monat 02'!A:A,0))=FALSE,INDEX('Ist Vorjahr Monat 02'!B:B,MATCH(D179,'Ist Vorjahr Monat 02'!A:A,0)),
IF(ISERROR(MATCH(D179,'Ist Vorjahr Monat 03'!A:A,0))=FALSE,INDEX('Ist Vorjahr Monat 03'!B:B,MATCH(D179,'Ist Vorjahr Monat 03'!A:A,0)),
IF(ISERROR(MATCH(D179,'Ist Vorjahr Monat 04'!A:A,0))=FALSE,INDEX('Ist Vorjahr Monat 04'!B:B,MATCH(D179,'Ist Vorjahr Monat 04'!A:A,0)),
IF(ISERROR(MATCH(D179,'Ist Vorjahr Monat 05'!A:A,0))=FALSE,INDEX('Ist Vorjahr Monat 05'!B:B,MATCH(D179,'Ist Vorjahr Monat 05'!A:A,0)),
IF(ISERROR(MATCH(D179,'Ist Vorjahr Monat 06'!A:A,0))=FALSE,INDEX('Ist Vorjahr Monat 06'!B:B,MATCH(D179,'Ist Vorjahr Monat 06'!A:A,0)),
IF(ISERROR(MATCH(D179,'Ist Vorjahr Monat 07'!A:A,0))=FALSE,INDEX('Ist Vorjahr Monat 07'!B:B,MATCH(D179,'Ist Vorjahr Monat 07'!A:A,0)),
IF(ISERROR(MATCH(D179,'Ist Vorjahr Monat 08'!A:A,0))=FALSE,INDEX('Ist Vorjahr Monat 08'!B:B,MATCH(D179,'Ist Vorjahr Monat 08'!A:A,0)),
IF(ISERROR(MATCH(D179,'Ist Vorjahr Monat 09'!A:A,0))=FALSE,INDEX('Ist Vorjahr Monat 09'!B:B,MATCH(D179,'Ist Vorjahr Monat 09'!A:A,0)),
IF(ISERROR(MATCH(D179,'Ist Vorjahr Monat 10'!A:A,0))=FALSE,INDEX('Ist Vorjahr Monat 10'!B:B,MATCH(D179,'Ist Vorjahr Monat 10'!A:A,0)),
IF(ISERROR(MATCH(D179,'Ist Vorjahr Monat 11'!A:A,0))=FALSE,INDEX('Ist Vorjahr Monat 11'!B:B,MATCH(D179,'Ist Vorjahr Monat 11'!A:A,0)),
IF(ISERROR(MATCH(D179,'Ist Vorjahr Monat 12'!A:A,0))=FALSE,INDEX('Ist Vorjahr Monat 12'!B:B,MATCH(D179,'Ist Vorjahr Monat 12'!A:A,0)),
"{Konto unbekannt}"
)))))))))))),"")</f>
        <v>Werbekosten</v>
      </c>
      <c r="C179" s="591"/>
      <c r="D179" s="590">
        <v>4600</v>
      </c>
      <c r="E179" s="592">
        <f t="shared" si="65"/>
        <v>1</v>
      </c>
      <c r="F179" s="590"/>
      <c r="G179" s="593">
        <f ca="1">$E179*(-SUMIF(INDIRECT(G$3),'Struktur Vorjahr'!$D179,INDIRECT(G$4))+SUMIF(INDIRECT(G$3),'Struktur Vorjahr'!$D179,INDIRECT(G$5)))</f>
        <v>0</v>
      </c>
      <c r="H179" s="593">
        <f ca="1">$E179*(-SUMIF(INDIRECT(H$3),'Struktur Vorjahr'!$D179,INDIRECT(H$4))+SUMIF(INDIRECT(H$3),'Struktur Vorjahr'!$D179,INDIRECT(H$5)))</f>
        <v>0</v>
      </c>
      <c r="I179" s="593">
        <f ca="1">$E179*(-SUMIF(INDIRECT(I$3),'Struktur Vorjahr'!$D179,INDIRECT(I$4))+SUMIF(INDIRECT(I$3),'Struktur Vorjahr'!$D179,INDIRECT(I$5)))</f>
        <v>1260.5</v>
      </c>
      <c r="J179" s="593">
        <f ca="1">$E179*(-SUMIF(INDIRECT(J$3),'Struktur Vorjahr'!$D179,INDIRECT(J$4))+SUMIF(INDIRECT(J$3),'Struktur Vorjahr'!$D179,INDIRECT(J$5)))</f>
        <v>45</v>
      </c>
      <c r="K179" s="593">
        <f ca="1">$E179*(-SUMIF(INDIRECT(K$3),'Struktur Vorjahr'!$D179,INDIRECT(K$4))+SUMIF(INDIRECT(K$3),'Struktur Vorjahr'!$D179,INDIRECT(K$5)))</f>
        <v>16.489999999999998</v>
      </c>
      <c r="L179" s="593">
        <f ca="1">$E179*(-SUMIF(INDIRECT(L$3),'Struktur Vorjahr'!$D179,INDIRECT(L$4))+SUMIF(INDIRECT(L$3),'Struktur Vorjahr'!$D179,INDIRECT(L$5)))</f>
        <v>0</v>
      </c>
      <c r="M179" s="593">
        <f ca="1">$E179*(-SUMIF(INDIRECT(M$3),'Struktur Vorjahr'!$D179,INDIRECT(M$4))+SUMIF(INDIRECT(M$3),'Struktur Vorjahr'!$D179,INDIRECT(M$5)))</f>
        <v>80.5</v>
      </c>
      <c r="N179" s="593">
        <f ca="1">$E179*(-SUMIF(INDIRECT(N$3),'Struktur Vorjahr'!$D179,INDIRECT(N$4))+SUMIF(INDIRECT(N$3),'Struktur Vorjahr'!$D179,INDIRECT(N$5)))</f>
        <v>0</v>
      </c>
      <c r="O179" s="593">
        <f ca="1">$E179*(-SUMIF(INDIRECT(O$3),'Struktur Vorjahr'!$D179,INDIRECT(O$4))+SUMIF(INDIRECT(O$3),'Struktur Vorjahr'!$D179,INDIRECT(O$5)))</f>
        <v>0</v>
      </c>
      <c r="P179" s="593">
        <f ca="1">$E179*(-SUMIF(INDIRECT(P$3),'Struktur Vorjahr'!$D179,INDIRECT(P$4))+SUMIF(INDIRECT(P$3),'Struktur Vorjahr'!$D179,INDIRECT(P$5)))</f>
        <v>0</v>
      </c>
      <c r="Q179" s="593">
        <f ca="1">$E179*(-SUMIF(INDIRECT(Q$3),'Struktur Vorjahr'!$D179,INDIRECT(Q$4))+SUMIF(INDIRECT(Q$3),'Struktur Vorjahr'!$D179,INDIRECT(Q$5)))</f>
        <v>0</v>
      </c>
      <c r="R179" s="593">
        <f ca="1">$E179*(-SUMIF(INDIRECT(R$3),'Struktur Vorjahr'!$D179,INDIRECT(R$4))+SUMIF(INDIRECT(R$3),'Struktur Vorjahr'!$D179,INDIRECT(R$5)))</f>
        <v>0</v>
      </c>
      <c r="S179" s="593">
        <f ca="1">$E179*(-SUMIF(INDIRECT(S$3),'Struktur Vorjahr'!$D179,INDIRECT(S$4))+SUMIF(INDIRECT(S$3),'Struktur Vorjahr'!$D179,INDIRECT(S$5)))</f>
        <v>0</v>
      </c>
      <c r="T179" s="593">
        <f ca="1">$E179*(-SUMIF(INDIRECT(T$3),'Struktur Vorjahr'!$D179,INDIRECT(T$4))+SUMIF(INDIRECT(T$3),'Struktur Vorjahr'!$D179,INDIRECT(T$5)))</f>
        <v>0</v>
      </c>
      <c r="U179" s="593">
        <f ca="1">$E179*(-SUMIF(INDIRECT(U$3),'Struktur Vorjahr'!$D179,INDIRECT(U$4))+SUMIF(INDIRECT(U$3),'Struktur Vorjahr'!$D179,INDIRECT(U$5)))</f>
        <v>1260.5</v>
      </c>
      <c r="V179" s="593">
        <f ca="1">$E179*(-SUMIF(INDIRECT(V$3),'Struktur Vorjahr'!$D179,INDIRECT(V$4))+SUMIF(INDIRECT(V$3),'Struktur Vorjahr'!$D179,INDIRECT(V$5)))</f>
        <v>1305.5</v>
      </c>
      <c r="W179" s="593">
        <f ca="1">$E179*(-SUMIF(INDIRECT(W$3),'Struktur Vorjahr'!$D179,INDIRECT(W$4))+SUMIF(INDIRECT(W$3),'Struktur Vorjahr'!$D179,INDIRECT(W$5)))</f>
        <v>1321.99</v>
      </c>
      <c r="X179" s="593">
        <f ca="1">$E179*(-SUMIF(INDIRECT(X$3),'Struktur Vorjahr'!$D179,INDIRECT(X$4))+SUMIF(INDIRECT(X$3),'Struktur Vorjahr'!$D179,INDIRECT(X$5)))</f>
        <v>1321.99</v>
      </c>
      <c r="Y179" s="593">
        <f ca="1">$E179*(-SUMIF(INDIRECT(Y$3),'Struktur Vorjahr'!$D179,INDIRECT(Y$4))+SUMIF(INDIRECT(Y$3),'Struktur Vorjahr'!$D179,INDIRECT(Y$5)))</f>
        <v>1402.49</v>
      </c>
      <c r="Z179" s="593">
        <f ca="1">$E179*(-SUMIF(INDIRECT(Z$3),'Struktur Vorjahr'!$D179,INDIRECT(Z$4))+SUMIF(INDIRECT(Z$3),'Struktur Vorjahr'!$D179,INDIRECT(Z$5)))</f>
        <v>1402.49</v>
      </c>
      <c r="AA179" s="593">
        <f ca="1">$E179*(-SUMIF(INDIRECT(AA$3),'Struktur Vorjahr'!$D179,INDIRECT(AA$4))+SUMIF(INDIRECT(AA$3),'Struktur Vorjahr'!$D179,INDIRECT(AA$5)))</f>
        <v>1402.49</v>
      </c>
      <c r="AB179" s="593">
        <f ca="1">$E179*(-SUMIF(INDIRECT(AB$3),'Struktur Vorjahr'!$D179,INDIRECT(AB$4))+SUMIF(INDIRECT(AB$3),'Struktur Vorjahr'!$D179,INDIRECT(AB$5)))</f>
        <v>1402.49</v>
      </c>
      <c r="AC179" s="593">
        <f ca="1">$E179*(-SUMIF(INDIRECT(AC$3),'Struktur Vorjahr'!$D179,INDIRECT(AC$4))+SUMIF(INDIRECT(AC$3),'Struktur Vorjahr'!$D179,INDIRECT(AC$5)))</f>
        <v>0</v>
      </c>
      <c r="AD179" s="593">
        <f ca="1">$E179*(-SUMIF(INDIRECT(AD$3),'Struktur Vorjahr'!$D179,INDIRECT(AD$4))+SUMIF(INDIRECT(AD$3),'Struktur Vorjahr'!$D179,INDIRECT(AD$5)))</f>
        <v>0</v>
      </c>
      <c r="AE179" s="593">
        <f t="shared" ref="AE179:AE187" ca="1" si="96">G179</f>
        <v>0</v>
      </c>
      <c r="AF179" s="593">
        <f t="shared" ref="AF179:AP187" ca="1" si="97">H179+AE179</f>
        <v>0</v>
      </c>
      <c r="AG179" s="593">
        <f t="shared" ca="1" si="97"/>
        <v>1260.5</v>
      </c>
      <c r="AH179" s="593">
        <f t="shared" ca="1" si="97"/>
        <v>1305.5</v>
      </c>
      <c r="AI179" s="593">
        <f t="shared" ca="1" si="97"/>
        <v>1321.99</v>
      </c>
      <c r="AJ179" s="593">
        <f t="shared" ca="1" si="97"/>
        <v>1321.99</v>
      </c>
      <c r="AK179" s="593">
        <f t="shared" ca="1" si="97"/>
        <v>1402.49</v>
      </c>
      <c r="AL179" s="593">
        <f t="shared" ca="1" si="97"/>
        <v>1402.49</v>
      </c>
      <c r="AM179" s="593">
        <f t="shared" ca="1" si="97"/>
        <v>1402.49</v>
      </c>
      <c r="AN179" s="593">
        <f t="shared" ca="1" si="97"/>
        <v>1402.49</v>
      </c>
      <c r="AO179" s="593">
        <f t="shared" ca="1" si="97"/>
        <v>1402.49</v>
      </c>
      <c r="AP179" s="593">
        <f t="shared" ca="1" si="97"/>
        <v>1402.49</v>
      </c>
    </row>
    <row r="180" spans="1:42" s="594" customFormat="1" ht="11.25" outlineLevel="1" x14ac:dyDescent="0.2">
      <c r="A180" s="590"/>
      <c r="B180" s="591" t="str">
        <f>IF(D180&lt;&gt;"",
IF(ISERROR(MATCH(D180,'Ist Vorjahr Monat 01'!A:A,0))=FALSE,INDEX('Ist Vorjahr Monat 01'!B:B,MATCH(D180,'Ist Vorjahr Monat 01'!A:A,0)),
IF(ISERROR(MATCH(D180,'Ist Vorjahr Monat 02'!A:A,0))=FALSE,INDEX('Ist Vorjahr Monat 02'!B:B,MATCH(D180,'Ist Vorjahr Monat 02'!A:A,0)),
IF(ISERROR(MATCH(D180,'Ist Vorjahr Monat 03'!A:A,0))=FALSE,INDEX('Ist Vorjahr Monat 03'!B:B,MATCH(D180,'Ist Vorjahr Monat 03'!A:A,0)),
IF(ISERROR(MATCH(D180,'Ist Vorjahr Monat 04'!A:A,0))=FALSE,INDEX('Ist Vorjahr Monat 04'!B:B,MATCH(D180,'Ist Vorjahr Monat 04'!A:A,0)),
IF(ISERROR(MATCH(D180,'Ist Vorjahr Monat 05'!A:A,0))=FALSE,INDEX('Ist Vorjahr Monat 05'!B:B,MATCH(D180,'Ist Vorjahr Monat 05'!A:A,0)),
IF(ISERROR(MATCH(D180,'Ist Vorjahr Monat 06'!A:A,0))=FALSE,INDEX('Ist Vorjahr Monat 06'!B:B,MATCH(D180,'Ist Vorjahr Monat 06'!A:A,0)),
IF(ISERROR(MATCH(D180,'Ist Vorjahr Monat 07'!A:A,0))=FALSE,INDEX('Ist Vorjahr Monat 07'!B:B,MATCH(D180,'Ist Vorjahr Monat 07'!A:A,0)),
IF(ISERROR(MATCH(D180,'Ist Vorjahr Monat 08'!A:A,0))=FALSE,INDEX('Ist Vorjahr Monat 08'!B:B,MATCH(D180,'Ist Vorjahr Monat 08'!A:A,0)),
IF(ISERROR(MATCH(D180,'Ist Vorjahr Monat 09'!A:A,0))=FALSE,INDEX('Ist Vorjahr Monat 09'!B:B,MATCH(D180,'Ist Vorjahr Monat 09'!A:A,0)),
IF(ISERROR(MATCH(D180,'Ist Vorjahr Monat 10'!A:A,0))=FALSE,INDEX('Ist Vorjahr Monat 10'!B:B,MATCH(D180,'Ist Vorjahr Monat 10'!A:A,0)),
IF(ISERROR(MATCH(D180,'Ist Vorjahr Monat 11'!A:A,0))=FALSE,INDEX('Ist Vorjahr Monat 11'!B:B,MATCH(D180,'Ist Vorjahr Monat 11'!A:A,0)),
IF(ISERROR(MATCH(D180,'Ist Vorjahr Monat 12'!A:A,0))=FALSE,INDEX('Ist Vorjahr Monat 12'!B:B,MATCH(D180,'Ist Vorjahr Monat 12'!A:A,0)),
"{Konto unbekannt}"
)))))))))))),"")</f>
        <v>Bewirtungskosten</v>
      </c>
      <c r="C180" s="591"/>
      <c r="D180" s="590">
        <v>4650</v>
      </c>
      <c r="E180" s="592">
        <f t="shared" si="65"/>
        <v>1</v>
      </c>
      <c r="F180" s="590"/>
      <c r="G180" s="593">
        <f ca="1">$E180*(-SUMIF(INDIRECT(G$3),'Struktur Vorjahr'!$D180,INDIRECT(G$4))+SUMIF(INDIRECT(G$3),'Struktur Vorjahr'!$D180,INDIRECT(G$5)))</f>
        <v>11</v>
      </c>
      <c r="H180" s="593">
        <f ca="1">$E180*(-SUMIF(INDIRECT(H$3),'Struktur Vorjahr'!$D180,INDIRECT(H$4))+SUMIF(INDIRECT(H$3),'Struktur Vorjahr'!$D180,INDIRECT(H$5)))</f>
        <v>21.35</v>
      </c>
      <c r="I180" s="593">
        <f ca="1">$E180*(-SUMIF(INDIRECT(I$3),'Struktur Vorjahr'!$D180,INDIRECT(I$4))+SUMIF(INDIRECT(I$3),'Struktur Vorjahr'!$D180,INDIRECT(I$5)))</f>
        <v>0</v>
      </c>
      <c r="J180" s="593">
        <f ca="1">$E180*(-SUMIF(INDIRECT(J$3),'Struktur Vorjahr'!$D180,INDIRECT(J$4))+SUMIF(INDIRECT(J$3),'Struktur Vorjahr'!$D180,INDIRECT(J$5)))</f>
        <v>104.41</v>
      </c>
      <c r="K180" s="593">
        <f ca="1">$E180*(-SUMIF(INDIRECT(K$3),'Struktur Vorjahr'!$D180,INDIRECT(K$4))+SUMIF(INDIRECT(K$3),'Struktur Vorjahr'!$D180,INDIRECT(K$5)))</f>
        <v>0</v>
      </c>
      <c r="L180" s="593">
        <f ca="1">$E180*(-SUMIF(INDIRECT(L$3),'Struktur Vorjahr'!$D180,INDIRECT(L$4))+SUMIF(INDIRECT(L$3),'Struktur Vorjahr'!$D180,INDIRECT(L$5)))</f>
        <v>0</v>
      </c>
      <c r="M180" s="593">
        <f ca="1">$E180*(-SUMIF(INDIRECT(M$3),'Struktur Vorjahr'!$D180,INDIRECT(M$4))+SUMIF(INDIRECT(M$3),'Struktur Vorjahr'!$D180,INDIRECT(M$5)))</f>
        <v>133.94</v>
      </c>
      <c r="N180" s="593">
        <f ca="1">$E180*(-SUMIF(INDIRECT(N$3),'Struktur Vorjahr'!$D180,INDIRECT(N$4))+SUMIF(INDIRECT(N$3),'Struktur Vorjahr'!$D180,INDIRECT(N$5)))</f>
        <v>0</v>
      </c>
      <c r="O180" s="593">
        <f ca="1">$E180*(-SUMIF(INDIRECT(O$3),'Struktur Vorjahr'!$D180,INDIRECT(O$4))+SUMIF(INDIRECT(O$3),'Struktur Vorjahr'!$D180,INDIRECT(O$5)))</f>
        <v>0</v>
      </c>
      <c r="P180" s="593">
        <f ca="1">$E180*(-SUMIF(INDIRECT(P$3),'Struktur Vorjahr'!$D180,INDIRECT(P$4))+SUMIF(INDIRECT(P$3),'Struktur Vorjahr'!$D180,INDIRECT(P$5)))</f>
        <v>33.479999999999997</v>
      </c>
      <c r="Q180" s="593">
        <f ca="1">$E180*(-SUMIF(INDIRECT(Q$3),'Struktur Vorjahr'!$D180,INDIRECT(Q$4))+SUMIF(INDIRECT(Q$3),'Struktur Vorjahr'!$D180,INDIRECT(Q$5)))</f>
        <v>0</v>
      </c>
      <c r="R180" s="593">
        <f ca="1">$E180*(-SUMIF(INDIRECT(R$3),'Struktur Vorjahr'!$D180,INDIRECT(R$4))+SUMIF(INDIRECT(R$3),'Struktur Vorjahr'!$D180,INDIRECT(R$5)))</f>
        <v>0</v>
      </c>
      <c r="S180" s="593">
        <f ca="1">$E180*(-SUMIF(INDIRECT(S$3),'Struktur Vorjahr'!$D180,INDIRECT(S$4))+SUMIF(INDIRECT(S$3),'Struktur Vorjahr'!$D180,INDIRECT(S$5)))</f>
        <v>11</v>
      </c>
      <c r="T180" s="593">
        <f ca="1">$E180*(-SUMIF(INDIRECT(T$3),'Struktur Vorjahr'!$D180,INDIRECT(T$4))+SUMIF(INDIRECT(T$3),'Struktur Vorjahr'!$D180,INDIRECT(T$5)))</f>
        <v>32.35</v>
      </c>
      <c r="U180" s="593">
        <f ca="1">$E180*(-SUMIF(INDIRECT(U$3),'Struktur Vorjahr'!$D180,INDIRECT(U$4))+SUMIF(INDIRECT(U$3),'Struktur Vorjahr'!$D180,INDIRECT(U$5)))</f>
        <v>32.35</v>
      </c>
      <c r="V180" s="593">
        <f ca="1">$E180*(-SUMIF(INDIRECT(V$3),'Struktur Vorjahr'!$D180,INDIRECT(V$4))+SUMIF(INDIRECT(V$3),'Struktur Vorjahr'!$D180,INDIRECT(V$5)))</f>
        <v>136.76</v>
      </c>
      <c r="W180" s="593">
        <f ca="1">$E180*(-SUMIF(INDIRECT(W$3),'Struktur Vorjahr'!$D180,INDIRECT(W$4))+SUMIF(INDIRECT(W$3),'Struktur Vorjahr'!$D180,INDIRECT(W$5)))</f>
        <v>136.76</v>
      </c>
      <c r="X180" s="593">
        <f ca="1">$E180*(-SUMIF(INDIRECT(X$3),'Struktur Vorjahr'!$D180,INDIRECT(X$4))+SUMIF(INDIRECT(X$3),'Struktur Vorjahr'!$D180,INDIRECT(X$5)))</f>
        <v>136.76</v>
      </c>
      <c r="Y180" s="593">
        <f ca="1">$E180*(-SUMIF(INDIRECT(Y$3),'Struktur Vorjahr'!$D180,INDIRECT(Y$4))+SUMIF(INDIRECT(Y$3),'Struktur Vorjahr'!$D180,INDIRECT(Y$5)))</f>
        <v>270.7</v>
      </c>
      <c r="Z180" s="593">
        <f ca="1">$E180*(-SUMIF(INDIRECT(Z$3),'Struktur Vorjahr'!$D180,INDIRECT(Z$4))+SUMIF(INDIRECT(Z$3),'Struktur Vorjahr'!$D180,INDIRECT(Z$5)))</f>
        <v>270.7</v>
      </c>
      <c r="AA180" s="593">
        <f ca="1">$E180*(-SUMIF(INDIRECT(AA$3),'Struktur Vorjahr'!$D180,INDIRECT(AA$4))+SUMIF(INDIRECT(AA$3),'Struktur Vorjahr'!$D180,INDIRECT(AA$5)))</f>
        <v>270.7</v>
      </c>
      <c r="AB180" s="593">
        <f ca="1">$E180*(-SUMIF(INDIRECT(AB$3),'Struktur Vorjahr'!$D180,INDIRECT(AB$4))+SUMIF(INDIRECT(AB$3),'Struktur Vorjahr'!$D180,INDIRECT(AB$5)))</f>
        <v>304.18</v>
      </c>
      <c r="AC180" s="593">
        <f ca="1">$E180*(-SUMIF(INDIRECT(AC$3),'Struktur Vorjahr'!$D180,INDIRECT(AC$4))+SUMIF(INDIRECT(AC$3),'Struktur Vorjahr'!$D180,INDIRECT(AC$5)))</f>
        <v>0</v>
      </c>
      <c r="AD180" s="593">
        <f ca="1">$E180*(-SUMIF(INDIRECT(AD$3),'Struktur Vorjahr'!$D180,INDIRECT(AD$4))+SUMIF(INDIRECT(AD$3),'Struktur Vorjahr'!$D180,INDIRECT(AD$5)))</f>
        <v>0</v>
      </c>
      <c r="AE180" s="593">
        <f t="shared" ca="1" si="96"/>
        <v>11</v>
      </c>
      <c r="AF180" s="593">
        <f t="shared" ca="1" si="97"/>
        <v>32.35</v>
      </c>
      <c r="AG180" s="593">
        <f t="shared" ca="1" si="97"/>
        <v>32.35</v>
      </c>
      <c r="AH180" s="593">
        <f t="shared" ca="1" si="97"/>
        <v>136.76</v>
      </c>
      <c r="AI180" s="593">
        <f t="shared" ca="1" si="97"/>
        <v>136.76</v>
      </c>
      <c r="AJ180" s="593">
        <f t="shared" ca="1" si="97"/>
        <v>136.76</v>
      </c>
      <c r="AK180" s="593">
        <f t="shared" ca="1" si="97"/>
        <v>270.7</v>
      </c>
      <c r="AL180" s="593">
        <f t="shared" ca="1" si="97"/>
        <v>270.7</v>
      </c>
      <c r="AM180" s="593">
        <f t="shared" ca="1" si="97"/>
        <v>270.7</v>
      </c>
      <c r="AN180" s="593">
        <f t="shared" ca="1" si="97"/>
        <v>304.18</v>
      </c>
      <c r="AO180" s="593">
        <f t="shared" ca="1" si="97"/>
        <v>304.18</v>
      </c>
      <c r="AP180" s="593">
        <f t="shared" ca="1" si="97"/>
        <v>304.18</v>
      </c>
    </row>
    <row r="181" spans="1:42" s="594" customFormat="1" ht="11.25" outlineLevel="1" x14ac:dyDescent="0.2">
      <c r="A181" s="590"/>
      <c r="B181" s="591" t="str">
        <f>IF(D181&lt;&gt;"",
IF(ISERROR(MATCH(D181,'Ist Vorjahr Monat 01'!A:A,0))=FALSE,INDEX('Ist Vorjahr Monat 01'!B:B,MATCH(D181,'Ist Vorjahr Monat 01'!A:A,0)),
IF(ISERROR(MATCH(D181,'Ist Vorjahr Monat 02'!A:A,0))=FALSE,INDEX('Ist Vorjahr Monat 02'!B:B,MATCH(D181,'Ist Vorjahr Monat 02'!A:A,0)),
IF(ISERROR(MATCH(D181,'Ist Vorjahr Monat 03'!A:A,0))=FALSE,INDEX('Ist Vorjahr Monat 03'!B:B,MATCH(D181,'Ist Vorjahr Monat 03'!A:A,0)),
IF(ISERROR(MATCH(D181,'Ist Vorjahr Monat 04'!A:A,0))=FALSE,INDEX('Ist Vorjahr Monat 04'!B:B,MATCH(D181,'Ist Vorjahr Monat 04'!A:A,0)),
IF(ISERROR(MATCH(D181,'Ist Vorjahr Monat 05'!A:A,0))=FALSE,INDEX('Ist Vorjahr Monat 05'!B:B,MATCH(D181,'Ist Vorjahr Monat 05'!A:A,0)),
IF(ISERROR(MATCH(D181,'Ist Vorjahr Monat 06'!A:A,0))=FALSE,INDEX('Ist Vorjahr Monat 06'!B:B,MATCH(D181,'Ist Vorjahr Monat 06'!A:A,0)),
IF(ISERROR(MATCH(D181,'Ist Vorjahr Monat 07'!A:A,0))=FALSE,INDEX('Ist Vorjahr Monat 07'!B:B,MATCH(D181,'Ist Vorjahr Monat 07'!A:A,0)),
IF(ISERROR(MATCH(D181,'Ist Vorjahr Monat 08'!A:A,0))=FALSE,INDEX('Ist Vorjahr Monat 08'!B:B,MATCH(D181,'Ist Vorjahr Monat 08'!A:A,0)),
IF(ISERROR(MATCH(D181,'Ist Vorjahr Monat 09'!A:A,0))=FALSE,INDEX('Ist Vorjahr Monat 09'!B:B,MATCH(D181,'Ist Vorjahr Monat 09'!A:A,0)),
IF(ISERROR(MATCH(D181,'Ist Vorjahr Monat 10'!A:A,0))=FALSE,INDEX('Ist Vorjahr Monat 10'!B:B,MATCH(D181,'Ist Vorjahr Monat 10'!A:A,0)),
IF(ISERROR(MATCH(D181,'Ist Vorjahr Monat 11'!A:A,0))=FALSE,INDEX('Ist Vorjahr Monat 11'!B:B,MATCH(D181,'Ist Vorjahr Monat 11'!A:A,0)),
IF(ISERROR(MATCH(D181,'Ist Vorjahr Monat 12'!A:A,0))=FALSE,INDEX('Ist Vorjahr Monat 12'!B:B,MATCH(D181,'Ist Vorjahr Monat 12'!A:A,0)),
"{Konto unbekannt}"
)))))))))))),"")</f>
        <v>Nicht abzugsfähige Bewirtungskosten</v>
      </c>
      <c r="C181" s="591"/>
      <c r="D181" s="590">
        <v>4654</v>
      </c>
      <c r="E181" s="592">
        <f t="shared" si="65"/>
        <v>1</v>
      </c>
      <c r="F181" s="590"/>
      <c r="G181" s="593">
        <f ca="1">$E181*(-SUMIF(INDIRECT(G$3),'Struktur Vorjahr'!$D181,INDIRECT(G$4))+SUMIF(INDIRECT(G$3),'Struktur Vorjahr'!$D181,INDIRECT(G$5)))</f>
        <v>5.41</v>
      </c>
      <c r="H181" s="593">
        <f ca="1">$E181*(-SUMIF(INDIRECT(H$3),'Struktur Vorjahr'!$D181,INDIRECT(H$4))+SUMIF(INDIRECT(H$3),'Struktur Vorjahr'!$D181,INDIRECT(H$5)))</f>
        <v>10.5</v>
      </c>
      <c r="I181" s="593">
        <f ca="1">$E181*(-SUMIF(INDIRECT(I$3),'Struktur Vorjahr'!$D181,INDIRECT(I$4))+SUMIF(INDIRECT(I$3),'Struktur Vorjahr'!$D181,INDIRECT(I$5)))</f>
        <v>0</v>
      </c>
      <c r="J181" s="593">
        <f ca="1">$E181*(-SUMIF(INDIRECT(J$3),'Struktur Vorjahr'!$D181,INDIRECT(J$4))+SUMIF(INDIRECT(J$3),'Struktur Vorjahr'!$D181,INDIRECT(J$5)))</f>
        <v>51.35</v>
      </c>
      <c r="K181" s="593">
        <f ca="1">$E181*(-SUMIF(INDIRECT(K$3),'Struktur Vorjahr'!$D181,INDIRECT(K$4))+SUMIF(INDIRECT(K$3),'Struktur Vorjahr'!$D181,INDIRECT(K$5)))</f>
        <v>0</v>
      </c>
      <c r="L181" s="593">
        <f ca="1">$E181*(-SUMIF(INDIRECT(L$3),'Struktur Vorjahr'!$D181,INDIRECT(L$4))+SUMIF(INDIRECT(L$3),'Struktur Vorjahr'!$D181,INDIRECT(L$5)))</f>
        <v>0</v>
      </c>
      <c r="M181" s="593">
        <f ca="1">$E181*(-SUMIF(INDIRECT(M$3),'Struktur Vorjahr'!$D181,INDIRECT(M$4))+SUMIF(INDIRECT(M$3),'Struktur Vorjahr'!$D181,INDIRECT(M$5)))</f>
        <v>39.799999999999997</v>
      </c>
      <c r="N181" s="593">
        <f ca="1">$E181*(-SUMIF(INDIRECT(N$3),'Struktur Vorjahr'!$D181,INDIRECT(N$4))+SUMIF(INDIRECT(N$3),'Struktur Vorjahr'!$D181,INDIRECT(N$5)))</f>
        <v>0</v>
      </c>
      <c r="O181" s="593">
        <f ca="1">$E181*(-SUMIF(INDIRECT(O$3),'Struktur Vorjahr'!$D181,INDIRECT(O$4))+SUMIF(INDIRECT(O$3),'Struktur Vorjahr'!$D181,INDIRECT(O$5)))</f>
        <v>0</v>
      </c>
      <c r="P181" s="593">
        <f ca="1">$E181*(-SUMIF(INDIRECT(P$3),'Struktur Vorjahr'!$D181,INDIRECT(P$4))+SUMIF(INDIRECT(P$3),'Struktur Vorjahr'!$D181,INDIRECT(P$5)))</f>
        <v>16.46</v>
      </c>
      <c r="Q181" s="593">
        <f ca="1">$E181*(-SUMIF(INDIRECT(Q$3),'Struktur Vorjahr'!$D181,INDIRECT(Q$4))+SUMIF(INDIRECT(Q$3),'Struktur Vorjahr'!$D181,INDIRECT(Q$5)))</f>
        <v>0</v>
      </c>
      <c r="R181" s="593">
        <f ca="1">$E181*(-SUMIF(INDIRECT(R$3),'Struktur Vorjahr'!$D181,INDIRECT(R$4))+SUMIF(INDIRECT(R$3),'Struktur Vorjahr'!$D181,INDIRECT(R$5)))</f>
        <v>0</v>
      </c>
      <c r="S181" s="593">
        <f ca="1">$E181*(-SUMIF(INDIRECT(S$3),'Struktur Vorjahr'!$D181,INDIRECT(S$4))+SUMIF(INDIRECT(S$3),'Struktur Vorjahr'!$D181,INDIRECT(S$5)))</f>
        <v>5.41</v>
      </c>
      <c r="T181" s="593">
        <f ca="1">$E181*(-SUMIF(INDIRECT(T$3),'Struktur Vorjahr'!$D181,INDIRECT(T$4))+SUMIF(INDIRECT(T$3),'Struktur Vorjahr'!$D181,INDIRECT(T$5)))</f>
        <v>15.91</v>
      </c>
      <c r="U181" s="593">
        <f ca="1">$E181*(-SUMIF(INDIRECT(U$3),'Struktur Vorjahr'!$D181,INDIRECT(U$4))+SUMIF(INDIRECT(U$3),'Struktur Vorjahr'!$D181,INDIRECT(U$5)))</f>
        <v>15.91</v>
      </c>
      <c r="V181" s="593">
        <f ca="1">$E181*(-SUMIF(INDIRECT(V$3),'Struktur Vorjahr'!$D181,INDIRECT(V$4))+SUMIF(INDIRECT(V$3),'Struktur Vorjahr'!$D181,INDIRECT(V$5)))</f>
        <v>67.260000000000005</v>
      </c>
      <c r="W181" s="593">
        <f ca="1">$E181*(-SUMIF(INDIRECT(W$3),'Struktur Vorjahr'!$D181,INDIRECT(W$4))+SUMIF(INDIRECT(W$3),'Struktur Vorjahr'!$D181,INDIRECT(W$5)))</f>
        <v>67.260000000000005</v>
      </c>
      <c r="X181" s="593">
        <f ca="1">$E181*(-SUMIF(INDIRECT(X$3),'Struktur Vorjahr'!$D181,INDIRECT(X$4))+SUMIF(INDIRECT(X$3),'Struktur Vorjahr'!$D181,INDIRECT(X$5)))</f>
        <v>67.260000000000005</v>
      </c>
      <c r="Y181" s="593">
        <f ca="1">$E181*(-SUMIF(INDIRECT(Y$3),'Struktur Vorjahr'!$D181,INDIRECT(Y$4))+SUMIF(INDIRECT(Y$3),'Struktur Vorjahr'!$D181,INDIRECT(Y$5)))</f>
        <v>107.06</v>
      </c>
      <c r="Z181" s="593">
        <f ca="1">$E181*(-SUMIF(INDIRECT(Z$3),'Struktur Vorjahr'!$D181,INDIRECT(Z$4))+SUMIF(INDIRECT(Z$3),'Struktur Vorjahr'!$D181,INDIRECT(Z$5)))</f>
        <v>107.06</v>
      </c>
      <c r="AA181" s="593">
        <f ca="1">$E181*(-SUMIF(INDIRECT(AA$3),'Struktur Vorjahr'!$D181,INDIRECT(AA$4))+SUMIF(INDIRECT(AA$3),'Struktur Vorjahr'!$D181,INDIRECT(AA$5)))</f>
        <v>107.06</v>
      </c>
      <c r="AB181" s="593">
        <f ca="1">$E181*(-SUMIF(INDIRECT(AB$3),'Struktur Vorjahr'!$D181,INDIRECT(AB$4))+SUMIF(INDIRECT(AB$3),'Struktur Vorjahr'!$D181,INDIRECT(AB$5)))</f>
        <v>123.52</v>
      </c>
      <c r="AC181" s="593">
        <f ca="1">$E181*(-SUMIF(INDIRECT(AC$3),'Struktur Vorjahr'!$D181,INDIRECT(AC$4))+SUMIF(INDIRECT(AC$3),'Struktur Vorjahr'!$D181,INDIRECT(AC$5)))</f>
        <v>0</v>
      </c>
      <c r="AD181" s="593">
        <f ca="1">$E181*(-SUMIF(INDIRECT(AD$3),'Struktur Vorjahr'!$D181,INDIRECT(AD$4))+SUMIF(INDIRECT(AD$3),'Struktur Vorjahr'!$D181,INDIRECT(AD$5)))</f>
        <v>0</v>
      </c>
      <c r="AE181" s="593">
        <f t="shared" ca="1" si="96"/>
        <v>5.41</v>
      </c>
      <c r="AF181" s="593">
        <f t="shared" ca="1" si="97"/>
        <v>15.91</v>
      </c>
      <c r="AG181" s="593">
        <f t="shared" ca="1" si="97"/>
        <v>15.91</v>
      </c>
      <c r="AH181" s="593">
        <f t="shared" ca="1" si="97"/>
        <v>67.260000000000005</v>
      </c>
      <c r="AI181" s="593">
        <f t="shared" ca="1" si="97"/>
        <v>67.260000000000005</v>
      </c>
      <c r="AJ181" s="593">
        <f t="shared" ca="1" si="97"/>
        <v>67.260000000000005</v>
      </c>
      <c r="AK181" s="593">
        <f t="shared" ca="1" si="97"/>
        <v>107.06</v>
      </c>
      <c r="AL181" s="593">
        <f t="shared" ca="1" si="97"/>
        <v>107.06</v>
      </c>
      <c r="AM181" s="593">
        <f t="shared" ca="1" si="97"/>
        <v>107.06</v>
      </c>
      <c r="AN181" s="593">
        <f t="shared" ca="1" si="97"/>
        <v>123.52000000000001</v>
      </c>
      <c r="AO181" s="593">
        <f t="shared" ca="1" si="97"/>
        <v>123.52000000000001</v>
      </c>
      <c r="AP181" s="593">
        <f t="shared" ca="1" si="97"/>
        <v>123.52000000000001</v>
      </c>
    </row>
    <row r="182" spans="1:42" s="594" customFormat="1" ht="11.25" outlineLevel="1" x14ac:dyDescent="0.2">
      <c r="A182" s="590"/>
      <c r="B182" s="591" t="str">
        <f>IF(D182&lt;&gt;"",
IF(ISERROR(MATCH(D182,'Ist Vorjahr Monat 01'!A:A,0))=FALSE,INDEX('Ist Vorjahr Monat 01'!B:B,MATCH(D182,'Ist Vorjahr Monat 01'!A:A,0)),
IF(ISERROR(MATCH(D182,'Ist Vorjahr Monat 02'!A:A,0))=FALSE,INDEX('Ist Vorjahr Monat 02'!B:B,MATCH(D182,'Ist Vorjahr Monat 02'!A:A,0)),
IF(ISERROR(MATCH(D182,'Ist Vorjahr Monat 03'!A:A,0))=FALSE,INDEX('Ist Vorjahr Monat 03'!B:B,MATCH(D182,'Ist Vorjahr Monat 03'!A:A,0)),
IF(ISERROR(MATCH(D182,'Ist Vorjahr Monat 04'!A:A,0))=FALSE,INDEX('Ist Vorjahr Monat 04'!B:B,MATCH(D182,'Ist Vorjahr Monat 04'!A:A,0)),
IF(ISERROR(MATCH(D182,'Ist Vorjahr Monat 05'!A:A,0))=FALSE,INDEX('Ist Vorjahr Monat 05'!B:B,MATCH(D182,'Ist Vorjahr Monat 05'!A:A,0)),
IF(ISERROR(MATCH(D182,'Ist Vorjahr Monat 06'!A:A,0))=FALSE,INDEX('Ist Vorjahr Monat 06'!B:B,MATCH(D182,'Ist Vorjahr Monat 06'!A:A,0)),
IF(ISERROR(MATCH(D182,'Ist Vorjahr Monat 07'!A:A,0))=FALSE,INDEX('Ist Vorjahr Monat 07'!B:B,MATCH(D182,'Ist Vorjahr Monat 07'!A:A,0)),
IF(ISERROR(MATCH(D182,'Ist Vorjahr Monat 08'!A:A,0))=FALSE,INDEX('Ist Vorjahr Monat 08'!B:B,MATCH(D182,'Ist Vorjahr Monat 08'!A:A,0)),
IF(ISERROR(MATCH(D182,'Ist Vorjahr Monat 09'!A:A,0))=FALSE,INDEX('Ist Vorjahr Monat 09'!B:B,MATCH(D182,'Ist Vorjahr Monat 09'!A:A,0)),
IF(ISERROR(MATCH(D182,'Ist Vorjahr Monat 10'!A:A,0))=FALSE,INDEX('Ist Vorjahr Monat 10'!B:B,MATCH(D182,'Ist Vorjahr Monat 10'!A:A,0)),
IF(ISERROR(MATCH(D182,'Ist Vorjahr Monat 11'!A:A,0))=FALSE,INDEX('Ist Vorjahr Monat 11'!B:B,MATCH(D182,'Ist Vorjahr Monat 11'!A:A,0)),
IF(ISERROR(MATCH(D182,'Ist Vorjahr Monat 12'!A:A,0))=FALSE,INDEX('Ist Vorjahr Monat 12'!B:B,MATCH(D182,'Ist Vorjahr Monat 12'!A:A,0)),
"{Konto unbekannt}"
)))))))))))),"")</f>
        <v>Nicht abzugsfähige Betriebsausgaben</v>
      </c>
      <c r="C182" s="591"/>
      <c r="D182" s="590">
        <v>4655</v>
      </c>
      <c r="E182" s="592">
        <f t="shared" si="65"/>
        <v>1</v>
      </c>
      <c r="F182" s="590"/>
      <c r="G182" s="593">
        <f ca="1">$E182*(-SUMIF(INDIRECT(G$3),'Struktur Vorjahr'!$D182,INDIRECT(G$4))+SUMIF(INDIRECT(G$3),'Struktur Vorjahr'!$D182,INDIRECT(G$5)))</f>
        <v>0</v>
      </c>
      <c r="H182" s="593">
        <f ca="1">$E182*(-SUMIF(INDIRECT(H$3),'Struktur Vorjahr'!$D182,INDIRECT(H$4))+SUMIF(INDIRECT(H$3),'Struktur Vorjahr'!$D182,INDIRECT(H$5)))</f>
        <v>0</v>
      </c>
      <c r="I182" s="593">
        <f ca="1">$E182*(-SUMIF(INDIRECT(I$3),'Struktur Vorjahr'!$D182,INDIRECT(I$4))+SUMIF(INDIRECT(I$3),'Struktur Vorjahr'!$D182,INDIRECT(I$5)))</f>
        <v>0</v>
      </c>
      <c r="J182" s="593">
        <f ca="1">$E182*(-SUMIF(INDIRECT(J$3),'Struktur Vorjahr'!$D182,INDIRECT(J$4))+SUMIF(INDIRECT(J$3),'Struktur Vorjahr'!$D182,INDIRECT(J$5)))</f>
        <v>0</v>
      </c>
      <c r="K182" s="593">
        <f ca="1">$E182*(-SUMIF(INDIRECT(K$3),'Struktur Vorjahr'!$D182,INDIRECT(K$4))+SUMIF(INDIRECT(K$3),'Struktur Vorjahr'!$D182,INDIRECT(K$5)))</f>
        <v>0</v>
      </c>
      <c r="L182" s="593">
        <f ca="1">$E182*(-SUMIF(INDIRECT(L$3),'Struktur Vorjahr'!$D182,INDIRECT(L$4))+SUMIF(INDIRECT(L$3),'Struktur Vorjahr'!$D182,INDIRECT(L$5)))</f>
        <v>15.7</v>
      </c>
      <c r="M182" s="593">
        <f ca="1">$E182*(-SUMIF(INDIRECT(M$3),'Struktur Vorjahr'!$D182,INDIRECT(M$4))+SUMIF(INDIRECT(M$3),'Struktur Vorjahr'!$D182,INDIRECT(M$5)))</f>
        <v>0</v>
      </c>
      <c r="N182" s="593">
        <f ca="1">$E182*(-SUMIF(INDIRECT(N$3),'Struktur Vorjahr'!$D182,INDIRECT(N$4))+SUMIF(INDIRECT(N$3),'Struktur Vorjahr'!$D182,INDIRECT(N$5)))</f>
        <v>25.63</v>
      </c>
      <c r="O182" s="593">
        <f ca="1">$E182*(-SUMIF(INDIRECT(O$3),'Struktur Vorjahr'!$D182,INDIRECT(O$4))+SUMIF(INDIRECT(O$3),'Struktur Vorjahr'!$D182,INDIRECT(O$5)))</f>
        <v>0</v>
      </c>
      <c r="P182" s="593">
        <f ca="1">$E182*(-SUMIF(INDIRECT(P$3),'Struktur Vorjahr'!$D182,INDIRECT(P$4))+SUMIF(INDIRECT(P$3),'Struktur Vorjahr'!$D182,INDIRECT(P$5)))</f>
        <v>0</v>
      </c>
      <c r="Q182" s="593">
        <f ca="1">$E182*(-SUMIF(INDIRECT(Q$3),'Struktur Vorjahr'!$D182,INDIRECT(Q$4))+SUMIF(INDIRECT(Q$3),'Struktur Vorjahr'!$D182,INDIRECT(Q$5)))</f>
        <v>0</v>
      </c>
      <c r="R182" s="593">
        <f ca="1">$E182*(-SUMIF(INDIRECT(R$3),'Struktur Vorjahr'!$D182,INDIRECT(R$4))+SUMIF(INDIRECT(R$3),'Struktur Vorjahr'!$D182,INDIRECT(R$5)))</f>
        <v>0</v>
      </c>
      <c r="S182" s="593">
        <f ca="1">$E182*(-SUMIF(INDIRECT(S$3),'Struktur Vorjahr'!$D182,INDIRECT(S$4))+SUMIF(INDIRECT(S$3),'Struktur Vorjahr'!$D182,INDIRECT(S$5)))</f>
        <v>0</v>
      </c>
      <c r="T182" s="593">
        <f ca="1">$E182*(-SUMIF(INDIRECT(T$3),'Struktur Vorjahr'!$D182,INDIRECT(T$4))+SUMIF(INDIRECT(T$3),'Struktur Vorjahr'!$D182,INDIRECT(T$5)))</f>
        <v>0</v>
      </c>
      <c r="U182" s="593">
        <f ca="1">$E182*(-SUMIF(INDIRECT(U$3),'Struktur Vorjahr'!$D182,INDIRECT(U$4))+SUMIF(INDIRECT(U$3),'Struktur Vorjahr'!$D182,INDIRECT(U$5)))</f>
        <v>0</v>
      </c>
      <c r="V182" s="593">
        <f ca="1">$E182*(-SUMIF(INDIRECT(V$3),'Struktur Vorjahr'!$D182,INDIRECT(V$4))+SUMIF(INDIRECT(V$3),'Struktur Vorjahr'!$D182,INDIRECT(V$5)))</f>
        <v>0</v>
      </c>
      <c r="W182" s="593">
        <f ca="1">$E182*(-SUMIF(INDIRECT(W$3),'Struktur Vorjahr'!$D182,INDIRECT(W$4))+SUMIF(INDIRECT(W$3),'Struktur Vorjahr'!$D182,INDIRECT(W$5)))</f>
        <v>0</v>
      </c>
      <c r="X182" s="593">
        <f ca="1">$E182*(-SUMIF(INDIRECT(X$3),'Struktur Vorjahr'!$D182,INDIRECT(X$4))+SUMIF(INDIRECT(X$3),'Struktur Vorjahr'!$D182,INDIRECT(X$5)))</f>
        <v>15.7</v>
      </c>
      <c r="Y182" s="593">
        <f ca="1">$E182*(-SUMIF(INDIRECT(Y$3),'Struktur Vorjahr'!$D182,INDIRECT(Y$4))+SUMIF(INDIRECT(Y$3),'Struktur Vorjahr'!$D182,INDIRECT(Y$5)))</f>
        <v>15.7</v>
      </c>
      <c r="Z182" s="593">
        <f ca="1">$E182*(-SUMIF(INDIRECT(Z$3),'Struktur Vorjahr'!$D182,INDIRECT(Z$4))+SUMIF(INDIRECT(Z$3),'Struktur Vorjahr'!$D182,INDIRECT(Z$5)))</f>
        <v>41.33</v>
      </c>
      <c r="AA182" s="593">
        <f ca="1">$E182*(-SUMIF(INDIRECT(AA$3),'Struktur Vorjahr'!$D182,INDIRECT(AA$4))+SUMIF(INDIRECT(AA$3),'Struktur Vorjahr'!$D182,INDIRECT(AA$5)))</f>
        <v>41.33</v>
      </c>
      <c r="AB182" s="593">
        <f ca="1">$E182*(-SUMIF(INDIRECT(AB$3),'Struktur Vorjahr'!$D182,INDIRECT(AB$4))+SUMIF(INDIRECT(AB$3),'Struktur Vorjahr'!$D182,INDIRECT(AB$5)))</f>
        <v>41.33</v>
      </c>
      <c r="AC182" s="593">
        <f ca="1">$E182*(-SUMIF(INDIRECT(AC$3),'Struktur Vorjahr'!$D182,INDIRECT(AC$4))+SUMIF(INDIRECT(AC$3),'Struktur Vorjahr'!$D182,INDIRECT(AC$5)))</f>
        <v>0</v>
      </c>
      <c r="AD182" s="593">
        <f ca="1">$E182*(-SUMIF(INDIRECT(AD$3),'Struktur Vorjahr'!$D182,INDIRECT(AD$4))+SUMIF(INDIRECT(AD$3),'Struktur Vorjahr'!$D182,INDIRECT(AD$5)))</f>
        <v>0</v>
      </c>
      <c r="AE182" s="593">
        <f t="shared" ca="1" si="96"/>
        <v>0</v>
      </c>
      <c r="AF182" s="593">
        <f t="shared" ca="1" si="97"/>
        <v>0</v>
      </c>
      <c r="AG182" s="593">
        <f t="shared" ca="1" si="97"/>
        <v>0</v>
      </c>
      <c r="AH182" s="593">
        <f t="shared" ca="1" si="97"/>
        <v>0</v>
      </c>
      <c r="AI182" s="593">
        <f t="shared" ca="1" si="97"/>
        <v>0</v>
      </c>
      <c r="AJ182" s="593">
        <f t="shared" ca="1" si="97"/>
        <v>15.7</v>
      </c>
      <c r="AK182" s="593">
        <f t="shared" ca="1" si="97"/>
        <v>15.7</v>
      </c>
      <c r="AL182" s="593">
        <f t="shared" ca="1" si="97"/>
        <v>41.33</v>
      </c>
      <c r="AM182" s="593">
        <f t="shared" ca="1" si="97"/>
        <v>41.33</v>
      </c>
      <c r="AN182" s="593">
        <f t="shared" ca="1" si="97"/>
        <v>41.33</v>
      </c>
      <c r="AO182" s="593">
        <f t="shared" ca="1" si="97"/>
        <v>41.33</v>
      </c>
      <c r="AP182" s="593">
        <f t="shared" ca="1" si="97"/>
        <v>41.33</v>
      </c>
    </row>
    <row r="183" spans="1:42" s="594" customFormat="1" ht="11.25" outlineLevel="1" x14ac:dyDescent="0.2">
      <c r="A183" s="590"/>
      <c r="B183" s="591" t="str">
        <f>IF(D183&lt;&gt;"",
IF(ISERROR(MATCH(D183,'Ist Vorjahr Monat 01'!A:A,0))=FALSE,INDEX('Ist Vorjahr Monat 01'!B:B,MATCH(D183,'Ist Vorjahr Monat 01'!A:A,0)),
IF(ISERROR(MATCH(D183,'Ist Vorjahr Monat 02'!A:A,0))=FALSE,INDEX('Ist Vorjahr Monat 02'!B:B,MATCH(D183,'Ist Vorjahr Monat 02'!A:A,0)),
IF(ISERROR(MATCH(D183,'Ist Vorjahr Monat 03'!A:A,0))=FALSE,INDEX('Ist Vorjahr Monat 03'!B:B,MATCH(D183,'Ist Vorjahr Monat 03'!A:A,0)),
IF(ISERROR(MATCH(D183,'Ist Vorjahr Monat 04'!A:A,0))=FALSE,INDEX('Ist Vorjahr Monat 04'!B:B,MATCH(D183,'Ist Vorjahr Monat 04'!A:A,0)),
IF(ISERROR(MATCH(D183,'Ist Vorjahr Monat 05'!A:A,0))=FALSE,INDEX('Ist Vorjahr Monat 05'!B:B,MATCH(D183,'Ist Vorjahr Monat 05'!A:A,0)),
IF(ISERROR(MATCH(D183,'Ist Vorjahr Monat 06'!A:A,0))=FALSE,INDEX('Ist Vorjahr Monat 06'!B:B,MATCH(D183,'Ist Vorjahr Monat 06'!A:A,0)),
IF(ISERROR(MATCH(D183,'Ist Vorjahr Monat 07'!A:A,0))=FALSE,INDEX('Ist Vorjahr Monat 07'!B:B,MATCH(D183,'Ist Vorjahr Monat 07'!A:A,0)),
IF(ISERROR(MATCH(D183,'Ist Vorjahr Monat 08'!A:A,0))=FALSE,INDEX('Ist Vorjahr Monat 08'!B:B,MATCH(D183,'Ist Vorjahr Monat 08'!A:A,0)),
IF(ISERROR(MATCH(D183,'Ist Vorjahr Monat 09'!A:A,0))=FALSE,INDEX('Ist Vorjahr Monat 09'!B:B,MATCH(D183,'Ist Vorjahr Monat 09'!A:A,0)),
IF(ISERROR(MATCH(D183,'Ist Vorjahr Monat 10'!A:A,0))=FALSE,INDEX('Ist Vorjahr Monat 10'!B:B,MATCH(D183,'Ist Vorjahr Monat 10'!A:A,0)),
IF(ISERROR(MATCH(D183,'Ist Vorjahr Monat 11'!A:A,0))=FALSE,INDEX('Ist Vorjahr Monat 11'!B:B,MATCH(D183,'Ist Vorjahr Monat 11'!A:A,0)),
IF(ISERROR(MATCH(D183,'Ist Vorjahr Monat 12'!A:A,0))=FALSE,INDEX('Ist Vorjahr Monat 12'!B:B,MATCH(D183,'Ist Vorjahr Monat 12'!A:A,0)),
"{Konto unbekannt}"
)))))))))))),"")</f>
        <v/>
      </c>
      <c r="C183" s="591"/>
      <c r="D183" s="590"/>
      <c r="E183" s="592">
        <f t="shared" si="65"/>
        <v>1</v>
      </c>
      <c r="F183" s="590"/>
      <c r="G183" s="593">
        <f ca="1">$E183*(-SUMIF(INDIRECT(G$3),'Struktur Vorjahr'!$D183,INDIRECT(G$4))+SUMIF(INDIRECT(G$3),'Struktur Vorjahr'!$D183,INDIRECT(G$5)))</f>
        <v>0</v>
      </c>
      <c r="H183" s="593">
        <f ca="1">$E183*(-SUMIF(INDIRECT(H$3),'Struktur Vorjahr'!$D183,INDIRECT(H$4))+SUMIF(INDIRECT(H$3),'Struktur Vorjahr'!$D183,INDIRECT(H$5)))</f>
        <v>0</v>
      </c>
      <c r="I183" s="593">
        <f ca="1">$E183*(-SUMIF(INDIRECT(I$3),'Struktur Vorjahr'!$D183,INDIRECT(I$4))+SUMIF(INDIRECT(I$3),'Struktur Vorjahr'!$D183,INDIRECT(I$5)))</f>
        <v>0</v>
      </c>
      <c r="J183" s="593">
        <f ca="1">$E183*(-SUMIF(INDIRECT(J$3),'Struktur Vorjahr'!$D183,INDIRECT(J$4))+SUMIF(INDIRECT(J$3),'Struktur Vorjahr'!$D183,INDIRECT(J$5)))</f>
        <v>0</v>
      </c>
      <c r="K183" s="593">
        <f ca="1">$E183*(-SUMIF(INDIRECT(K$3),'Struktur Vorjahr'!$D183,INDIRECT(K$4))+SUMIF(INDIRECT(K$3),'Struktur Vorjahr'!$D183,INDIRECT(K$5)))</f>
        <v>0</v>
      </c>
      <c r="L183" s="593">
        <f ca="1">$E183*(-SUMIF(INDIRECT(L$3),'Struktur Vorjahr'!$D183,INDIRECT(L$4))+SUMIF(INDIRECT(L$3),'Struktur Vorjahr'!$D183,INDIRECT(L$5)))</f>
        <v>0</v>
      </c>
      <c r="M183" s="593">
        <f ca="1">$E183*(-SUMIF(INDIRECT(M$3),'Struktur Vorjahr'!$D183,INDIRECT(M$4))+SUMIF(INDIRECT(M$3),'Struktur Vorjahr'!$D183,INDIRECT(M$5)))</f>
        <v>0</v>
      </c>
      <c r="N183" s="593">
        <f ca="1">$E183*(-SUMIF(INDIRECT(N$3),'Struktur Vorjahr'!$D183,INDIRECT(N$4))+SUMIF(INDIRECT(N$3),'Struktur Vorjahr'!$D183,INDIRECT(N$5)))</f>
        <v>0</v>
      </c>
      <c r="O183" s="593">
        <f ca="1">$E183*(-SUMIF(INDIRECT(O$3),'Struktur Vorjahr'!$D183,INDIRECT(O$4))+SUMIF(INDIRECT(O$3),'Struktur Vorjahr'!$D183,INDIRECT(O$5)))</f>
        <v>0</v>
      </c>
      <c r="P183" s="593">
        <f ca="1">$E183*(-SUMIF(INDIRECT(P$3),'Struktur Vorjahr'!$D183,INDIRECT(P$4))+SUMIF(INDIRECT(P$3),'Struktur Vorjahr'!$D183,INDIRECT(P$5)))</f>
        <v>0</v>
      </c>
      <c r="Q183" s="593">
        <f ca="1">$E183*(-SUMIF(INDIRECT(Q$3),'Struktur Vorjahr'!$D183,INDIRECT(Q$4))+SUMIF(INDIRECT(Q$3),'Struktur Vorjahr'!$D183,INDIRECT(Q$5)))</f>
        <v>0</v>
      </c>
      <c r="R183" s="593">
        <f ca="1">$E183*(-SUMIF(INDIRECT(R$3),'Struktur Vorjahr'!$D183,INDIRECT(R$4))+SUMIF(INDIRECT(R$3),'Struktur Vorjahr'!$D183,INDIRECT(R$5)))</f>
        <v>0</v>
      </c>
      <c r="S183" s="593">
        <f ca="1">$E183*(-SUMIF(INDIRECT(S$3),'Struktur Vorjahr'!$D183,INDIRECT(S$4))+SUMIF(INDIRECT(S$3),'Struktur Vorjahr'!$D183,INDIRECT(S$5)))</f>
        <v>0</v>
      </c>
      <c r="T183" s="593">
        <f ca="1">$E183*(-SUMIF(INDIRECT(T$3),'Struktur Vorjahr'!$D183,INDIRECT(T$4))+SUMIF(INDIRECT(T$3),'Struktur Vorjahr'!$D183,INDIRECT(T$5)))</f>
        <v>0</v>
      </c>
      <c r="U183" s="593">
        <f ca="1">$E183*(-SUMIF(INDIRECT(U$3),'Struktur Vorjahr'!$D183,INDIRECT(U$4))+SUMIF(INDIRECT(U$3),'Struktur Vorjahr'!$D183,INDIRECT(U$5)))</f>
        <v>0</v>
      </c>
      <c r="V183" s="593">
        <f ca="1">$E183*(-SUMIF(INDIRECT(V$3),'Struktur Vorjahr'!$D183,INDIRECT(V$4))+SUMIF(INDIRECT(V$3),'Struktur Vorjahr'!$D183,INDIRECT(V$5)))</f>
        <v>0</v>
      </c>
      <c r="W183" s="593">
        <f ca="1">$E183*(-SUMIF(INDIRECT(W$3),'Struktur Vorjahr'!$D183,INDIRECT(W$4))+SUMIF(INDIRECT(W$3),'Struktur Vorjahr'!$D183,INDIRECT(W$5)))</f>
        <v>0</v>
      </c>
      <c r="X183" s="593">
        <f ca="1">$E183*(-SUMIF(INDIRECT(X$3),'Struktur Vorjahr'!$D183,INDIRECT(X$4))+SUMIF(INDIRECT(X$3),'Struktur Vorjahr'!$D183,INDIRECT(X$5)))</f>
        <v>0</v>
      </c>
      <c r="Y183" s="593">
        <f ca="1">$E183*(-SUMIF(INDIRECT(Y$3),'Struktur Vorjahr'!$D183,INDIRECT(Y$4))+SUMIF(INDIRECT(Y$3),'Struktur Vorjahr'!$D183,INDIRECT(Y$5)))</f>
        <v>0</v>
      </c>
      <c r="Z183" s="593">
        <f ca="1">$E183*(-SUMIF(INDIRECT(Z$3),'Struktur Vorjahr'!$D183,INDIRECT(Z$4))+SUMIF(INDIRECT(Z$3),'Struktur Vorjahr'!$D183,INDIRECT(Z$5)))</f>
        <v>0</v>
      </c>
      <c r="AA183" s="593">
        <f ca="1">$E183*(-SUMIF(INDIRECT(AA$3),'Struktur Vorjahr'!$D183,INDIRECT(AA$4))+SUMIF(INDIRECT(AA$3),'Struktur Vorjahr'!$D183,INDIRECT(AA$5)))</f>
        <v>0</v>
      </c>
      <c r="AB183" s="593">
        <f ca="1">$E183*(-SUMIF(INDIRECT(AB$3),'Struktur Vorjahr'!$D183,INDIRECT(AB$4))+SUMIF(INDIRECT(AB$3),'Struktur Vorjahr'!$D183,INDIRECT(AB$5)))</f>
        <v>0</v>
      </c>
      <c r="AC183" s="593">
        <f ca="1">$E183*(-SUMIF(INDIRECT(AC$3),'Struktur Vorjahr'!$D183,INDIRECT(AC$4))+SUMIF(INDIRECT(AC$3),'Struktur Vorjahr'!$D183,INDIRECT(AC$5)))</f>
        <v>0</v>
      </c>
      <c r="AD183" s="593">
        <f ca="1">$E183*(-SUMIF(INDIRECT(AD$3),'Struktur Vorjahr'!$D183,INDIRECT(AD$4))+SUMIF(INDIRECT(AD$3),'Struktur Vorjahr'!$D183,INDIRECT(AD$5)))</f>
        <v>0</v>
      </c>
      <c r="AE183" s="593">
        <f t="shared" ca="1" si="96"/>
        <v>0</v>
      </c>
      <c r="AF183" s="593">
        <f t="shared" ca="1" si="97"/>
        <v>0</v>
      </c>
      <c r="AG183" s="593">
        <f t="shared" ca="1" si="97"/>
        <v>0</v>
      </c>
      <c r="AH183" s="593">
        <f t="shared" ca="1" si="97"/>
        <v>0</v>
      </c>
      <c r="AI183" s="593">
        <f t="shared" ca="1" si="97"/>
        <v>0</v>
      </c>
      <c r="AJ183" s="593">
        <f t="shared" ca="1" si="97"/>
        <v>0</v>
      </c>
      <c r="AK183" s="593">
        <f t="shared" ca="1" si="97"/>
        <v>0</v>
      </c>
      <c r="AL183" s="593">
        <f t="shared" ca="1" si="97"/>
        <v>0</v>
      </c>
      <c r="AM183" s="593">
        <f t="shared" ca="1" si="97"/>
        <v>0</v>
      </c>
      <c r="AN183" s="593">
        <f t="shared" ca="1" si="97"/>
        <v>0</v>
      </c>
      <c r="AO183" s="593">
        <f t="shared" ca="1" si="97"/>
        <v>0</v>
      </c>
      <c r="AP183" s="593">
        <f t="shared" ca="1" si="97"/>
        <v>0</v>
      </c>
    </row>
    <row r="184" spans="1:42" s="594" customFormat="1" ht="11.25" outlineLevel="1" x14ac:dyDescent="0.2">
      <c r="A184" s="590"/>
      <c r="B184" s="591" t="str">
        <f>IF(D184&lt;&gt;"",
IF(ISERROR(MATCH(D184,'Ist Vorjahr Monat 01'!A:A,0))=FALSE,INDEX('Ist Vorjahr Monat 01'!B:B,MATCH(D184,'Ist Vorjahr Monat 01'!A:A,0)),
IF(ISERROR(MATCH(D184,'Ist Vorjahr Monat 02'!A:A,0))=FALSE,INDEX('Ist Vorjahr Monat 02'!B:B,MATCH(D184,'Ist Vorjahr Monat 02'!A:A,0)),
IF(ISERROR(MATCH(D184,'Ist Vorjahr Monat 03'!A:A,0))=FALSE,INDEX('Ist Vorjahr Monat 03'!B:B,MATCH(D184,'Ist Vorjahr Monat 03'!A:A,0)),
IF(ISERROR(MATCH(D184,'Ist Vorjahr Monat 04'!A:A,0))=FALSE,INDEX('Ist Vorjahr Monat 04'!B:B,MATCH(D184,'Ist Vorjahr Monat 04'!A:A,0)),
IF(ISERROR(MATCH(D184,'Ist Vorjahr Monat 05'!A:A,0))=FALSE,INDEX('Ist Vorjahr Monat 05'!B:B,MATCH(D184,'Ist Vorjahr Monat 05'!A:A,0)),
IF(ISERROR(MATCH(D184,'Ist Vorjahr Monat 06'!A:A,0))=FALSE,INDEX('Ist Vorjahr Monat 06'!B:B,MATCH(D184,'Ist Vorjahr Monat 06'!A:A,0)),
IF(ISERROR(MATCH(D184,'Ist Vorjahr Monat 07'!A:A,0))=FALSE,INDEX('Ist Vorjahr Monat 07'!B:B,MATCH(D184,'Ist Vorjahr Monat 07'!A:A,0)),
IF(ISERROR(MATCH(D184,'Ist Vorjahr Monat 08'!A:A,0))=FALSE,INDEX('Ist Vorjahr Monat 08'!B:B,MATCH(D184,'Ist Vorjahr Monat 08'!A:A,0)),
IF(ISERROR(MATCH(D184,'Ist Vorjahr Monat 09'!A:A,0))=FALSE,INDEX('Ist Vorjahr Monat 09'!B:B,MATCH(D184,'Ist Vorjahr Monat 09'!A:A,0)),
IF(ISERROR(MATCH(D184,'Ist Vorjahr Monat 10'!A:A,0))=FALSE,INDEX('Ist Vorjahr Monat 10'!B:B,MATCH(D184,'Ist Vorjahr Monat 10'!A:A,0)),
IF(ISERROR(MATCH(D184,'Ist Vorjahr Monat 11'!A:A,0))=FALSE,INDEX('Ist Vorjahr Monat 11'!B:B,MATCH(D184,'Ist Vorjahr Monat 11'!A:A,0)),
IF(ISERROR(MATCH(D184,'Ist Vorjahr Monat 12'!A:A,0))=FALSE,INDEX('Ist Vorjahr Monat 12'!B:B,MATCH(D184,'Ist Vorjahr Monat 12'!A:A,0)),
"{Konto unbekannt}"
)))))))))))),"")</f>
        <v/>
      </c>
      <c r="C184" s="591"/>
      <c r="D184" s="590"/>
      <c r="E184" s="592">
        <f t="shared" si="65"/>
        <v>1</v>
      </c>
      <c r="F184" s="590"/>
      <c r="G184" s="593">
        <f ca="1">$E184*(-SUMIF(INDIRECT(G$3),'Struktur Vorjahr'!$D184,INDIRECT(G$4))+SUMIF(INDIRECT(G$3),'Struktur Vorjahr'!$D184,INDIRECT(G$5)))</f>
        <v>0</v>
      </c>
      <c r="H184" s="593">
        <f ca="1">$E184*(-SUMIF(INDIRECT(H$3),'Struktur Vorjahr'!$D184,INDIRECT(H$4))+SUMIF(INDIRECT(H$3),'Struktur Vorjahr'!$D184,INDIRECT(H$5)))</f>
        <v>0</v>
      </c>
      <c r="I184" s="593">
        <f ca="1">$E184*(-SUMIF(INDIRECT(I$3),'Struktur Vorjahr'!$D184,INDIRECT(I$4))+SUMIF(INDIRECT(I$3),'Struktur Vorjahr'!$D184,INDIRECT(I$5)))</f>
        <v>0</v>
      </c>
      <c r="J184" s="593">
        <f ca="1">$E184*(-SUMIF(INDIRECT(J$3),'Struktur Vorjahr'!$D184,INDIRECT(J$4))+SUMIF(INDIRECT(J$3),'Struktur Vorjahr'!$D184,INDIRECT(J$5)))</f>
        <v>0</v>
      </c>
      <c r="K184" s="593">
        <f ca="1">$E184*(-SUMIF(INDIRECT(K$3),'Struktur Vorjahr'!$D184,INDIRECT(K$4))+SUMIF(INDIRECT(K$3),'Struktur Vorjahr'!$D184,INDIRECT(K$5)))</f>
        <v>0</v>
      </c>
      <c r="L184" s="593">
        <f ca="1">$E184*(-SUMIF(INDIRECT(L$3),'Struktur Vorjahr'!$D184,INDIRECT(L$4))+SUMIF(INDIRECT(L$3),'Struktur Vorjahr'!$D184,INDIRECT(L$5)))</f>
        <v>0</v>
      </c>
      <c r="M184" s="593">
        <f ca="1">$E184*(-SUMIF(INDIRECT(M$3),'Struktur Vorjahr'!$D184,INDIRECT(M$4))+SUMIF(INDIRECT(M$3),'Struktur Vorjahr'!$D184,INDIRECT(M$5)))</f>
        <v>0</v>
      </c>
      <c r="N184" s="593">
        <f ca="1">$E184*(-SUMIF(INDIRECT(N$3),'Struktur Vorjahr'!$D184,INDIRECT(N$4))+SUMIF(INDIRECT(N$3),'Struktur Vorjahr'!$D184,INDIRECT(N$5)))</f>
        <v>0</v>
      </c>
      <c r="O184" s="593">
        <f ca="1">$E184*(-SUMIF(INDIRECT(O$3),'Struktur Vorjahr'!$D184,INDIRECT(O$4))+SUMIF(INDIRECT(O$3),'Struktur Vorjahr'!$D184,INDIRECT(O$5)))</f>
        <v>0</v>
      </c>
      <c r="P184" s="593">
        <f ca="1">$E184*(-SUMIF(INDIRECT(P$3),'Struktur Vorjahr'!$D184,INDIRECT(P$4))+SUMIF(INDIRECT(P$3),'Struktur Vorjahr'!$D184,INDIRECT(P$5)))</f>
        <v>0</v>
      </c>
      <c r="Q184" s="593">
        <f ca="1">$E184*(-SUMIF(INDIRECT(Q$3),'Struktur Vorjahr'!$D184,INDIRECT(Q$4))+SUMIF(INDIRECT(Q$3),'Struktur Vorjahr'!$D184,INDIRECT(Q$5)))</f>
        <v>0</v>
      </c>
      <c r="R184" s="593">
        <f ca="1">$E184*(-SUMIF(INDIRECT(R$3),'Struktur Vorjahr'!$D184,INDIRECT(R$4))+SUMIF(INDIRECT(R$3),'Struktur Vorjahr'!$D184,INDIRECT(R$5)))</f>
        <v>0</v>
      </c>
      <c r="S184" s="593">
        <f ca="1">$E184*(-SUMIF(INDIRECT(S$3),'Struktur Vorjahr'!$D184,INDIRECT(S$4))+SUMIF(INDIRECT(S$3),'Struktur Vorjahr'!$D184,INDIRECT(S$5)))</f>
        <v>0</v>
      </c>
      <c r="T184" s="593">
        <f ca="1">$E184*(-SUMIF(INDIRECT(T$3),'Struktur Vorjahr'!$D184,INDIRECT(T$4))+SUMIF(INDIRECT(T$3),'Struktur Vorjahr'!$D184,INDIRECT(T$5)))</f>
        <v>0</v>
      </c>
      <c r="U184" s="593">
        <f ca="1">$E184*(-SUMIF(INDIRECT(U$3),'Struktur Vorjahr'!$D184,INDIRECT(U$4))+SUMIF(INDIRECT(U$3),'Struktur Vorjahr'!$D184,INDIRECT(U$5)))</f>
        <v>0</v>
      </c>
      <c r="V184" s="593">
        <f ca="1">$E184*(-SUMIF(INDIRECT(V$3),'Struktur Vorjahr'!$D184,INDIRECT(V$4))+SUMIF(INDIRECT(V$3),'Struktur Vorjahr'!$D184,INDIRECT(V$5)))</f>
        <v>0</v>
      </c>
      <c r="W184" s="593">
        <f ca="1">$E184*(-SUMIF(INDIRECT(W$3),'Struktur Vorjahr'!$D184,INDIRECT(W$4))+SUMIF(INDIRECT(W$3),'Struktur Vorjahr'!$D184,INDIRECT(W$5)))</f>
        <v>0</v>
      </c>
      <c r="X184" s="593">
        <f ca="1">$E184*(-SUMIF(INDIRECT(X$3),'Struktur Vorjahr'!$D184,INDIRECT(X$4))+SUMIF(INDIRECT(X$3),'Struktur Vorjahr'!$D184,INDIRECT(X$5)))</f>
        <v>0</v>
      </c>
      <c r="Y184" s="593">
        <f ca="1">$E184*(-SUMIF(INDIRECT(Y$3),'Struktur Vorjahr'!$D184,INDIRECT(Y$4))+SUMIF(INDIRECT(Y$3),'Struktur Vorjahr'!$D184,INDIRECT(Y$5)))</f>
        <v>0</v>
      </c>
      <c r="Z184" s="593">
        <f ca="1">$E184*(-SUMIF(INDIRECT(Z$3),'Struktur Vorjahr'!$D184,INDIRECT(Z$4))+SUMIF(INDIRECT(Z$3),'Struktur Vorjahr'!$D184,INDIRECT(Z$5)))</f>
        <v>0</v>
      </c>
      <c r="AA184" s="593">
        <f ca="1">$E184*(-SUMIF(INDIRECT(AA$3),'Struktur Vorjahr'!$D184,INDIRECT(AA$4))+SUMIF(INDIRECT(AA$3),'Struktur Vorjahr'!$D184,INDIRECT(AA$5)))</f>
        <v>0</v>
      </c>
      <c r="AB184" s="593">
        <f ca="1">$E184*(-SUMIF(INDIRECT(AB$3),'Struktur Vorjahr'!$D184,INDIRECT(AB$4))+SUMIF(INDIRECT(AB$3),'Struktur Vorjahr'!$D184,INDIRECT(AB$5)))</f>
        <v>0</v>
      </c>
      <c r="AC184" s="593">
        <f ca="1">$E184*(-SUMIF(INDIRECT(AC$3),'Struktur Vorjahr'!$D184,INDIRECT(AC$4))+SUMIF(INDIRECT(AC$3),'Struktur Vorjahr'!$D184,INDIRECT(AC$5)))</f>
        <v>0</v>
      </c>
      <c r="AD184" s="593">
        <f ca="1">$E184*(-SUMIF(INDIRECT(AD$3),'Struktur Vorjahr'!$D184,INDIRECT(AD$4))+SUMIF(INDIRECT(AD$3),'Struktur Vorjahr'!$D184,INDIRECT(AD$5)))</f>
        <v>0</v>
      </c>
      <c r="AE184" s="593">
        <f t="shared" ca="1" si="96"/>
        <v>0</v>
      </c>
      <c r="AF184" s="593">
        <f t="shared" ca="1" si="97"/>
        <v>0</v>
      </c>
      <c r="AG184" s="593">
        <f t="shared" ca="1" si="97"/>
        <v>0</v>
      </c>
      <c r="AH184" s="593">
        <f t="shared" ca="1" si="97"/>
        <v>0</v>
      </c>
      <c r="AI184" s="593">
        <f t="shared" ca="1" si="97"/>
        <v>0</v>
      </c>
      <c r="AJ184" s="593">
        <f t="shared" ca="1" si="97"/>
        <v>0</v>
      </c>
      <c r="AK184" s="593">
        <f t="shared" ca="1" si="97"/>
        <v>0</v>
      </c>
      <c r="AL184" s="593">
        <f t="shared" ca="1" si="97"/>
        <v>0</v>
      </c>
      <c r="AM184" s="593">
        <f t="shared" ca="1" si="97"/>
        <v>0</v>
      </c>
      <c r="AN184" s="593">
        <f t="shared" ca="1" si="97"/>
        <v>0</v>
      </c>
      <c r="AO184" s="593">
        <f t="shared" ca="1" si="97"/>
        <v>0</v>
      </c>
      <c r="AP184" s="593">
        <f t="shared" ca="1" si="97"/>
        <v>0</v>
      </c>
    </row>
    <row r="185" spans="1:42" s="594" customFormat="1" ht="11.25" outlineLevel="1" x14ac:dyDescent="0.2">
      <c r="A185" s="590"/>
      <c r="B185" s="591" t="str">
        <f>IF(D185&lt;&gt;"",
IF(ISERROR(MATCH(D185,'Ist Vorjahr Monat 01'!A:A,0))=FALSE,INDEX('Ist Vorjahr Monat 01'!B:B,MATCH(D185,'Ist Vorjahr Monat 01'!A:A,0)),
IF(ISERROR(MATCH(D185,'Ist Vorjahr Monat 02'!A:A,0))=FALSE,INDEX('Ist Vorjahr Monat 02'!B:B,MATCH(D185,'Ist Vorjahr Monat 02'!A:A,0)),
IF(ISERROR(MATCH(D185,'Ist Vorjahr Monat 03'!A:A,0))=FALSE,INDEX('Ist Vorjahr Monat 03'!B:B,MATCH(D185,'Ist Vorjahr Monat 03'!A:A,0)),
IF(ISERROR(MATCH(D185,'Ist Vorjahr Monat 04'!A:A,0))=FALSE,INDEX('Ist Vorjahr Monat 04'!B:B,MATCH(D185,'Ist Vorjahr Monat 04'!A:A,0)),
IF(ISERROR(MATCH(D185,'Ist Vorjahr Monat 05'!A:A,0))=FALSE,INDEX('Ist Vorjahr Monat 05'!B:B,MATCH(D185,'Ist Vorjahr Monat 05'!A:A,0)),
IF(ISERROR(MATCH(D185,'Ist Vorjahr Monat 06'!A:A,0))=FALSE,INDEX('Ist Vorjahr Monat 06'!B:B,MATCH(D185,'Ist Vorjahr Monat 06'!A:A,0)),
IF(ISERROR(MATCH(D185,'Ist Vorjahr Monat 07'!A:A,0))=FALSE,INDEX('Ist Vorjahr Monat 07'!B:B,MATCH(D185,'Ist Vorjahr Monat 07'!A:A,0)),
IF(ISERROR(MATCH(D185,'Ist Vorjahr Monat 08'!A:A,0))=FALSE,INDEX('Ist Vorjahr Monat 08'!B:B,MATCH(D185,'Ist Vorjahr Monat 08'!A:A,0)),
IF(ISERROR(MATCH(D185,'Ist Vorjahr Monat 09'!A:A,0))=FALSE,INDEX('Ist Vorjahr Monat 09'!B:B,MATCH(D185,'Ist Vorjahr Monat 09'!A:A,0)),
IF(ISERROR(MATCH(D185,'Ist Vorjahr Monat 10'!A:A,0))=FALSE,INDEX('Ist Vorjahr Monat 10'!B:B,MATCH(D185,'Ist Vorjahr Monat 10'!A:A,0)),
IF(ISERROR(MATCH(D185,'Ist Vorjahr Monat 11'!A:A,0))=FALSE,INDEX('Ist Vorjahr Monat 11'!B:B,MATCH(D185,'Ist Vorjahr Monat 11'!A:A,0)),
IF(ISERROR(MATCH(D185,'Ist Vorjahr Monat 12'!A:A,0))=FALSE,INDEX('Ist Vorjahr Monat 12'!B:B,MATCH(D185,'Ist Vorjahr Monat 12'!A:A,0)),
"{Konto unbekannt}"
)))))))))))),"")</f>
        <v/>
      </c>
      <c r="C185" s="591"/>
      <c r="D185" s="590"/>
      <c r="E185" s="592">
        <f t="shared" si="65"/>
        <v>1</v>
      </c>
      <c r="F185" s="590"/>
      <c r="G185" s="593">
        <f ca="1">$E185*(-SUMIF(INDIRECT(G$3),'Struktur Vorjahr'!$D185,INDIRECT(G$4))+SUMIF(INDIRECT(G$3),'Struktur Vorjahr'!$D185,INDIRECT(G$5)))</f>
        <v>0</v>
      </c>
      <c r="H185" s="593">
        <f ca="1">$E185*(-SUMIF(INDIRECT(H$3),'Struktur Vorjahr'!$D185,INDIRECT(H$4))+SUMIF(INDIRECT(H$3),'Struktur Vorjahr'!$D185,INDIRECT(H$5)))</f>
        <v>0</v>
      </c>
      <c r="I185" s="593">
        <f ca="1">$E185*(-SUMIF(INDIRECT(I$3),'Struktur Vorjahr'!$D185,INDIRECT(I$4))+SUMIF(INDIRECT(I$3),'Struktur Vorjahr'!$D185,INDIRECT(I$5)))</f>
        <v>0</v>
      </c>
      <c r="J185" s="593">
        <f ca="1">$E185*(-SUMIF(INDIRECT(J$3),'Struktur Vorjahr'!$D185,INDIRECT(J$4))+SUMIF(INDIRECT(J$3),'Struktur Vorjahr'!$D185,INDIRECT(J$5)))</f>
        <v>0</v>
      </c>
      <c r="K185" s="593">
        <f ca="1">$E185*(-SUMIF(INDIRECT(K$3),'Struktur Vorjahr'!$D185,INDIRECT(K$4))+SUMIF(INDIRECT(K$3),'Struktur Vorjahr'!$D185,INDIRECT(K$5)))</f>
        <v>0</v>
      </c>
      <c r="L185" s="593">
        <f ca="1">$E185*(-SUMIF(INDIRECT(L$3),'Struktur Vorjahr'!$D185,INDIRECT(L$4))+SUMIF(INDIRECT(L$3),'Struktur Vorjahr'!$D185,INDIRECT(L$5)))</f>
        <v>0</v>
      </c>
      <c r="M185" s="593">
        <f ca="1">$E185*(-SUMIF(INDIRECT(M$3),'Struktur Vorjahr'!$D185,INDIRECT(M$4))+SUMIF(INDIRECT(M$3),'Struktur Vorjahr'!$D185,INDIRECT(M$5)))</f>
        <v>0</v>
      </c>
      <c r="N185" s="593">
        <f ca="1">$E185*(-SUMIF(INDIRECT(N$3),'Struktur Vorjahr'!$D185,INDIRECT(N$4))+SUMIF(INDIRECT(N$3),'Struktur Vorjahr'!$D185,INDIRECT(N$5)))</f>
        <v>0</v>
      </c>
      <c r="O185" s="593">
        <f ca="1">$E185*(-SUMIF(INDIRECT(O$3),'Struktur Vorjahr'!$D185,INDIRECT(O$4))+SUMIF(INDIRECT(O$3),'Struktur Vorjahr'!$D185,INDIRECT(O$5)))</f>
        <v>0</v>
      </c>
      <c r="P185" s="593">
        <f ca="1">$E185*(-SUMIF(INDIRECT(P$3),'Struktur Vorjahr'!$D185,INDIRECT(P$4))+SUMIF(INDIRECT(P$3),'Struktur Vorjahr'!$D185,INDIRECT(P$5)))</f>
        <v>0</v>
      </c>
      <c r="Q185" s="593">
        <f ca="1">$E185*(-SUMIF(INDIRECT(Q$3),'Struktur Vorjahr'!$D185,INDIRECT(Q$4))+SUMIF(INDIRECT(Q$3),'Struktur Vorjahr'!$D185,INDIRECT(Q$5)))</f>
        <v>0</v>
      </c>
      <c r="R185" s="593">
        <f ca="1">$E185*(-SUMIF(INDIRECT(R$3),'Struktur Vorjahr'!$D185,INDIRECT(R$4))+SUMIF(INDIRECT(R$3),'Struktur Vorjahr'!$D185,INDIRECT(R$5)))</f>
        <v>0</v>
      </c>
      <c r="S185" s="593">
        <f ca="1">$E185*(-SUMIF(INDIRECT(S$3),'Struktur Vorjahr'!$D185,INDIRECT(S$4))+SUMIF(INDIRECT(S$3),'Struktur Vorjahr'!$D185,INDIRECT(S$5)))</f>
        <v>0</v>
      </c>
      <c r="T185" s="593">
        <f ca="1">$E185*(-SUMIF(INDIRECT(T$3),'Struktur Vorjahr'!$D185,INDIRECT(T$4))+SUMIF(INDIRECT(T$3),'Struktur Vorjahr'!$D185,INDIRECT(T$5)))</f>
        <v>0</v>
      </c>
      <c r="U185" s="593">
        <f ca="1">$E185*(-SUMIF(INDIRECT(U$3),'Struktur Vorjahr'!$D185,INDIRECT(U$4))+SUMIF(INDIRECT(U$3),'Struktur Vorjahr'!$D185,INDIRECT(U$5)))</f>
        <v>0</v>
      </c>
      <c r="V185" s="593">
        <f ca="1">$E185*(-SUMIF(INDIRECT(V$3),'Struktur Vorjahr'!$D185,INDIRECT(V$4))+SUMIF(INDIRECT(V$3),'Struktur Vorjahr'!$D185,INDIRECT(V$5)))</f>
        <v>0</v>
      </c>
      <c r="W185" s="593">
        <f ca="1">$E185*(-SUMIF(INDIRECT(W$3),'Struktur Vorjahr'!$D185,INDIRECT(W$4))+SUMIF(INDIRECT(W$3),'Struktur Vorjahr'!$D185,INDIRECT(W$5)))</f>
        <v>0</v>
      </c>
      <c r="X185" s="593">
        <f ca="1">$E185*(-SUMIF(INDIRECT(X$3),'Struktur Vorjahr'!$D185,INDIRECT(X$4))+SUMIF(INDIRECT(X$3),'Struktur Vorjahr'!$D185,INDIRECT(X$5)))</f>
        <v>0</v>
      </c>
      <c r="Y185" s="593">
        <f ca="1">$E185*(-SUMIF(INDIRECT(Y$3),'Struktur Vorjahr'!$D185,INDIRECT(Y$4))+SUMIF(INDIRECT(Y$3),'Struktur Vorjahr'!$D185,INDIRECT(Y$5)))</f>
        <v>0</v>
      </c>
      <c r="Z185" s="593">
        <f ca="1">$E185*(-SUMIF(INDIRECT(Z$3),'Struktur Vorjahr'!$D185,INDIRECT(Z$4))+SUMIF(INDIRECT(Z$3),'Struktur Vorjahr'!$D185,INDIRECT(Z$5)))</f>
        <v>0</v>
      </c>
      <c r="AA185" s="593">
        <f ca="1">$E185*(-SUMIF(INDIRECT(AA$3),'Struktur Vorjahr'!$D185,INDIRECT(AA$4))+SUMIF(INDIRECT(AA$3),'Struktur Vorjahr'!$D185,INDIRECT(AA$5)))</f>
        <v>0</v>
      </c>
      <c r="AB185" s="593">
        <f ca="1">$E185*(-SUMIF(INDIRECT(AB$3),'Struktur Vorjahr'!$D185,INDIRECT(AB$4))+SUMIF(INDIRECT(AB$3),'Struktur Vorjahr'!$D185,INDIRECT(AB$5)))</f>
        <v>0</v>
      </c>
      <c r="AC185" s="593">
        <f ca="1">$E185*(-SUMIF(INDIRECT(AC$3),'Struktur Vorjahr'!$D185,INDIRECT(AC$4))+SUMIF(INDIRECT(AC$3),'Struktur Vorjahr'!$D185,INDIRECT(AC$5)))</f>
        <v>0</v>
      </c>
      <c r="AD185" s="593">
        <f ca="1">$E185*(-SUMIF(INDIRECT(AD$3),'Struktur Vorjahr'!$D185,INDIRECT(AD$4))+SUMIF(INDIRECT(AD$3),'Struktur Vorjahr'!$D185,INDIRECT(AD$5)))</f>
        <v>0</v>
      </c>
      <c r="AE185" s="593">
        <f t="shared" ca="1" si="96"/>
        <v>0</v>
      </c>
      <c r="AF185" s="593">
        <f t="shared" ca="1" si="97"/>
        <v>0</v>
      </c>
      <c r="AG185" s="593">
        <f t="shared" ca="1" si="97"/>
        <v>0</v>
      </c>
      <c r="AH185" s="593">
        <f t="shared" ca="1" si="97"/>
        <v>0</v>
      </c>
      <c r="AI185" s="593">
        <f t="shared" ca="1" si="97"/>
        <v>0</v>
      </c>
      <c r="AJ185" s="593">
        <f t="shared" ca="1" si="97"/>
        <v>0</v>
      </c>
      <c r="AK185" s="593">
        <f t="shared" ca="1" si="97"/>
        <v>0</v>
      </c>
      <c r="AL185" s="593">
        <f t="shared" ca="1" si="97"/>
        <v>0</v>
      </c>
      <c r="AM185" s="593">
        <f t="shared" ca="1" si="97"/>
        <v>0</v>
      </c>
      <c r="AN185" s="593">
        <f t="shared" ca="1" si="97"/>
        <v>0</v>
      </c>
      <c r="AO185" s="593">
        <f t="shared" ca="1" si="97"/>
        <v>0</v>
      </c>
      <c r="AP185" s="593">
        <f t="shared" ca="1" si="97"/>
        <v>0</v>
      </c>
    </row>
    <row r="186" spans="1:42" s="594" customFormat="1" ht="11.25" outlineLevel="1" x14ac:dyDescent="0.2">
      <c r="A186" s="590"/>
      <c r="B186" s="591" t="str">
        <f>IF(D186&lt;&gt;"",
IF(ISERROR(MATCH(D186,'Ist Vorjahr Monat 01'!A:A,0))=FALSE,INDEX('Ist Vorjahr Monat 01'!B:B,MATCH(D186,'Ist Vorjahr Monat 01'!A:A,0)),
IF(ISERROR(MATCH(D186,'Ist Vorjahr Monat 02'!A:A,0))=FALSE,INDEX('Ist Vorjahr Monat 02'!B:B,MATCH(D186,'Ist Vorjahr Monat 02'!A:A,0)),
IF(ISERROR(MATCH(D186,'Ist Vorjahr Monat 03'!A:A,0))=FALSE,INDEX('Ist Vorjahr Monat 03'!B:B,MATCH(D186,'Ist Vorjahr Monat 03'!A:A,0)),
IF(ISERROR(MATCH(D186,'Ist Vorjahr Monat 04'!A:A,0))=FALSE,INDEX('Ist Vorjahr Monat 04'!B:B,MATCH(D186,'Ist Vorjahr Monat 04'!A:A,0)),
IF(ISERROR(MATCH(D186,'Ist Vorjahr Monat 05'!A:A,0))=FALSE,INDEX('Ist Vorjahr Monat 05'!B:B,MATCH(D186,'Ist Vorjahr Monat 05'!A:A,0)),
IF(ISERROR(MATCH(D186,'Ist Vorjahr Monat 06'!A:A,0))=FALSE,INDEX('Ist Vorjahr Monat 06'!B:B,MATCH(D186,'Ist Vorjahr Monat 06'!A:A,0)),
IF(ISERROR(MATCH(D186,'Ist Vorjahr Monat 07'!A:A,0))=FALSE,INDEX('Ist Vorjahr Monat 07'!B:B,MATCH(D186,'Ist Vorjahr Monat 07'!A:A,0)),
IF(ISERROR(MATCH(D186,'Ist Vorjahr Monat 08'!A:A,0))=FALSE,INDEX('Ist Vorjahr Monat 08'!B:B,MATCH(D186,'Ist Vorjahr Monat 08'!A:A,0)),
IF(ISERROR(MATCH(D186,'Ist Vorjahr Monat 09'!A:A,0))=FALSE,INDEX('Ist Vorjahr Monat 09'!B:B,MATCH(D186,'Ist Vorjahr Monat 09'!A:A,0)),
IF(ISERROR(MATCH(D186,'Ist Vorjahr Monat 10'!A:A,0))=FALSE,INDEX('Ist Vorjahr Monat 10'!B:B,MATCH(D186,'Ist Vorjahr Monat 10'!A:A,0)),
IF(ISERROR(MATCH(D186,'Ist Vorjahr Monat 11'!A:A,0))=FALSE,INDEX('Ist Vorjahr Monat 11'!B:B,MATCH(D186,'Ist Vorjahr Monat 11'!A:A,0)),
IF(ISERROR(MATCH(D186,'Ist Vorjahr Monat 12'!A:A,0))=FALSE,INDEX('Ist Vorjahr Monat 12'!B:B,MATCH(D186,'Ist Vorjahr Monat 12'!A:A,0)),
"{Konto unbekannt}"
)))))))))))),"")</f>
        <v/>
      </c>
      <c r="C186" s="591"/>
      <c r="D186" s="590"/>
      <c r="E186" s="592">
        <f t="shared" si="65"/>
        <v>1</v>
      </c>
      <c r="F186" s="590"/>
      <c r="G186" s="593">
        <f ca="1">$E186*(-SUMIF(INDIRECT(G$3),'Struktur Vorjahr'!$D186,INDIRECT(G$4))+SUMIF(INDIRECT(G$3),'Struktur Vorjahr'!$D186,INDIRECT(G$5)))</f>
        <v>0</v>
      </c>
      <c r="H186" s="593">
        <f ca="1">$E186*(-SUMIF(INDIRECT(H$3),'Struktur Vorjahr'!$D186,INDIRECT(H$4))+SUMIF(INDIRECT(H$3),'Struktur Vorjahr'!$D186,INDIRECT(H$5)))</f>
        <v>0</v>
      </c>
      <c r="I186" s="593">
        <f ca="1">$E186*(-SUMIF(INDIRECT(I$3),'Struktur Vorjahr'!$D186,INDIRECT(I$4))+SUMIF(INDIRECT(I$3),'Struktur Vorjahr'!$D186,INDIRECT(I$5)))</f>
        <v>0</v>
      </c>
      <c r="J186" s="593">
        <f ca="1">$E186*(-SUMIF(INDIRECT(J$3),'Struktur Vorjahr'!$D186,INDIRECT(J$4))+SUMIF(INDIRECT(J$3),'Struktur Vorjahr'!$D186,INDIRECT(J$5)))</f>
        <v>0</v>
      </c>
      <c r="K186" s="593">
        <f ca="1">$E186*(-SUMIF(INDIRECT(K$3),'Struktur Vorjahr'!$D186,INDIRECT(K$4))+SUMIF(INDIRECT(K$3),'Struktur Vorjahr'!$D186,INDIRECT(K$5)))</f>
        <v>0</v>
      </c>
      <c r="L186" s="593">
        <f ca="1">$E186*(-SUMIF(INDIRECT(L$3),'Struktur Vorjahr'!$D186,INDIRECT(L$4))+SUMIF(INDIRECT(L$3),'Struktur Vorjahr'!$D186,INDIRECT(L$5)))</f>
        <v>0</v>
      </c>
      <c r="M186" s="593">
        <f ca="1">$E186*(-SUMIF(INDIRECT(M$3),'Struktur Vorjahr'!$D186,INDIRECT(M$4))+SUMIF(INDIRECT(M$3),'Struktur Vorjahr'!$D186,INDIRECT(M$5)))</f>
        <v>0</v>
      </c>
      <c r="N186" s="593">
        <f ca="1">$E186*(-SUMIF(INDIRECT(N$3),'Struktur Vorjahr'!$D186,INDIRECT(N$4))+SUMIF(INDIRECT(N$3),'Struktur Vorjahr'!$D186,INDIRECT(N$5)))</f>
        <v>0</v>
      </c>
      <c r="O186" s="593">
        <f ca="1">$E186*(-SUMIF(INDIRECT(O$3),'Struktur Vorjahr'!$D186,INDIRECT(O$4))+SUMIF(INDIRECT(O$3),'Struktur Vorjahr'!$D186,INDIRECT(O$5)))</f>
        <v>0</v>
      </c>
      <c r="P186" s="593">
        <f ca="1">$E186*(-SUMIF(INDIRECT(P$3),'Struktur Vorjahr'!$D186,INDIRECT(P$4))+SUMIF(INDIRECT(P$3),'Struktur Vorjahr'!$D186,INDIRECT(P$5)))</f>
        <v>0</v>
      </c>
      <c r="Q186" s="593">
        <f ca="1">$E186*(-SUMIF(INDIRECT(Q$3),'Struktur Vorjahr'!$D186,INDIRECT(Q$4))+SUMIF(INDIRECT(Q$3),'Struktur Vorjahr'!$D186,INDIRECT(Q$5)))</f>
        <v>0</v>
      </c>
      <c r="R186" s="593">
        <f ca="1">$E186*(-SUMIF(INDIRECT(R$3),'Struktur Vorjahr'!$D186,INDIRECT(R$4))+SUMIF(INDIRECT(R$3),'Struktur Vorjahr'!$D186,INDIRECT(R$5)))</f>
        <v>0</v>
      </c>
      <c r="S186" s="593">
        <f ca="1">$E186*(-SUMIF(INDIRECT(S$3),'Struktur Vorjahr'!$D186,INDIRECT(S$4))+SUMIF(INDIRECT(S$3),'Struktur Vorjahr'!$D186,INDIRECT(S$5)))</f>
        <v>0</v>
      </c>
      <c r="T186" s="593">
        <f ca="1">$E186*(-SUMIF(INDIRECT(T$3),'Struktur Vorjahr'!$D186,INDIRECT(T$4))+SUMIF(INDIRECT(T$3),'Struktur Vorjahr'!$D186,INDIRECT(T$5)))</f>
        <v>0</v>
      </c>
      <c r="U186" s="593">
        <f ca="1">$E186*(-SUMIF(INDIRECT(U$3),'Struktur Vorjahr'!$D186,INDIRECT(U$4))+SUMIF(INDIRECT(U$3),'Struktur Vorjahr'!$D186,INDIRECT(U$5)))</f>
        <v>0</v>
      </c>
      <c r="V186" s="593">
        <f ca="1">$E186*(-SUMIF(INDIRECT(V$3),'Struktur Vorjahr'!$D186,INDIRECT(V$4))+SUMIF(INDIRECT(V$3),'Struktur Vorjahr'!$D186,INDIRECT(V$5)))</f>
        <v>0</v>
      </c>
      <c r="W186" s="593">
        <f ca="1">$E186*(-SUMIF(INDIRECT(W$3),'Struktur Vorjahr'!$D186,INDIRECT(W$4))+SUMIF(INDIRECT(W$3),'Struktur Vorjahr'!$D186,INDIRECT(W$5)))</f>
        <v>0</v>
      </c>
      <c r="X186" s="593">
        <f ca="1">$E186*(-SUMIF(INDIRECT(X$3),'Struktur Vorjahr'!$D186,INDIRECT(X$4))+SUMIF(INDIRECT(X$3),'Struktur Vorjahr'!$D186,INDIRECT(X$5)))</f>
        <v>0</v>
      </c>
      <c r="Y186" s="593">
        <f ca="1">$E186*(-SUMIF(INDIRECT(Y$3),'Struktur Vorjahr'!$D186,INDIRECT(Y$4))+SUMIF(INDIRECT(Y$3),'Struktur Vorjahr'!$D186,INDIRECT(Y$5)))</f>
        <v>0</v>
      </c>
      <c r="Z186" s="593">
        <f ca="1">$E186*(-SUMIF(INDIRECT(Z$3),'Struktur Vorjahr'!$D186,INDIRECT(Z$4))+SUMIF(INDIRECT(Z$3),'Struktur Vorjahr'!$D186,INDIRECT(Z$5)))</f>
        <v>0</v>
      </c>
      <c r="AA186" s="593">
        <f ca="1">$E186*(-SUMIF(INDIRECT(AA$3),'Struktur Vorjahr'!$D186,INDIRECT(AA$4))+SUMIF(INDIRECT(AA$3),'Struktur Vorjahr'!$D186,INDIRECT(AA$5)))</f>
        <v>0</v>
      </c>
      <c r="AB186" s="593">
        <f ca="1">$E186*(-SUMIF(INDIRECT(AB$3),'Struktur Vorjahr'!$D186,INDIRECT(AB$4))+SUMIF(INDIRECT(AB$3),'Struktur Vorjahr'!$D186,INDIRECT(AB$5)))</f>
        <v>0</v>
      </c>
      <c r="AC186" s="593">
        <f ca="1">$E186*(-SUMIF(INDIRECT(AC$3),'Struktur Vorjahr'!$D186,INDIRECT(AC$4))+SUMIF(INDIRECT(AC$3),'Struktur Vorjahr'!$D186,INDIRECT(AC$5)))</f>
        <v>0</v>
      </c>
      <c r="AD186" s="593">
        <f ca="1">$E186*(-SUMIF(INDIRECT(AD$3),'Struktur Vorjahr'!$D186,INDIRECT(AD$4))+SUMIF(INDIRECT(AD$3),'Struktur Vorjahr'!$D186,INDIRECT(AD$5)))</f>
        <v>0</v>
      </c>
      <c r="AE186" s="593">
        <f t="shared" ca="1" si="96"/>
        <v>0</v>
      </c>
      <c r="AF186" s="593">
        <f t="shared" ca="1" si="97"/>
        <v>0</v>
      </c>
      <c r="AG186" s="593">
        <f t="shared" ca="1" si="97"/>
        <v>0</v>
      </c>
      <c r="AH186" s="593">
        <f t="shared" ca="1" si="97"/>
        <v>0</v>
      </c>
      <c r="AI186" s="593">
        <f t="shared" ca="1" si="97"/>
        <v>0</v>
      </c>
      <c r="AJ186" s="593">
        <f t="shared" ca="1" si="97"/>
        <v>0</v>
      </c>
      <c r="AK186" s="593">
        <f t="shared" ca="1" si="97"/>
        <v>0</v>
      </c>
      <c r="AL186" s="593">
        <f t="shared" ca="1" si="97"/>
        <v>0</v>
      </c>
      <c r="AM186" s="593">
        <f t="shared" ca="1" si="97"/>
        <v>0</v>
      </c>
      <c r="AN186" s="593">
        <f t="shared" ca="1" si="97"/>
        <v>0</v>
      </c>
      <c r="AO186" s="593">
        <f t="shared" ca="1" si="97"/>
        <v>0</v>
      </c>
      <c r="AP186" s="593">
        <f t="shared" ca="1" si="97"/>
        <v>0</v>
      </c>
    </row>
    <row r="187" spans="1:42" s="594" customFormat="1" ht="11.25" outlineLevel="1" x14ac:dyDescent="0.2">
      <c r="A187" s="590"/>
      <c r="B187" s="591" t="str">
        <f>IF(D187&lt;&gt;"",
IF(ISERROR(MATCH(D187,'Ist Vorjahr Monat 01'!A:A,0))=FALSE,INDEX('Ist Vorjahr Monat 01'!B:B,MATCH(D187,'Ist Vorjahr Monat 01'!A:A,0)),
IF(ISERROR(MATCH(D187,'Ist Vorjahr Monat 02'!A:A,0))=FALSE,INDEX('Ist Vorjahr Monat 02'!B:B,MATCH(D187,'Ist Vorjahr Monat 02'!A:A,0)),
IF(ISERROR(MATCH(D187,'Ist Vorjahr Monat 03'!A:A,0))=FALSE,INDEX('Ist Vorjahr Monat 03'!B:B,MATCH(D187,'Ist Vorjahr Monat 03'!A:A,0)),
IF(ISERROR(MATCH(D187,'Ist Vorjahr Monat 04'!A:A,0))=FALSE,INDEX('Ist Vorjahr Monat 04'!B:B,MATCH(D187,'Ist Vorjahr Monat 04'!A:A,0)),
IF(ISERROR(MATCH(D187,'Ist Vorjahr Monat 05'!A:A,0))=FALSE,INDEX('Ist Vorjahr Monat 05'!B:B,MATCH(D187,'Ist Vorjahr Monat 05'!A:A,0)),
IF(ISERROR(MATCH(D187,'Ist Vorjahr Monat 06'!A:A,0))=FALSE,INDEX('Ist Vorjahr Monat 06'!B:B,MATCH(D187,'Ist Vorjahr Monat 06'!A:A,0)),
IF(ISERROR(MATCH(D187,'Ist Vorjahr Monat 07'!A:A,0))=FALSE,INDEX('Ist Vorjahr Monat 07'!B:B,MATCH(D187,'Ist Vorjahr Monat 07'!A:A,0)),
IF(ISERROR(MATCH(D187,'Ist Vorjahr Monat 08'!A:A,0))=FALSE,INDEX('Ist Vorjahr Monat 08'!B:B,MATCH(D187,'Ist Vorjahr Monat 08'!A:A,0)),
IF(ISERROR(MATCH(D187,'Ist Vorjahr Monat 09'!A:A,0))=FALSE,INDEX('Ist Vorjahr Monat 09'!B:B,MATCH(D187,'Ist Vorjahr Monat 09'!A:A,0)),
IF(ISERROR(MATCH(D187,'Ist Vorjahr Monat 10'!A:A,0))=FALSE,INDEX('Ist Vorjahr Monat 10'!B:B,MATCH(D187,'Ist Vorjahr Monat 10'!A:A,0)),
IF(ISERROR(MATCH(D187,'Ist Vorjahr Monat 11'!A:A,0))=FALSE,INDEX('Ist Vorjahr Monat 11'!B:B,MATCH(D187,'Ist Vorjahr Monat 11'!A:A,0)),
IF(ISERROR(MATCH(D187,'Ist Vorjahr Monat 12'!A:A,0))=FALSE,INDEX('Ist Vorjahr Monat 12'!B:B,MATCH(D187,'Ist Vorjahr Monat 12'!A:A,0)),
"{Konto unbekannt}"
)))))))))))),"")</f>
        <v/>
      </c>
      <c r="C187" s="591"/>
      <c r="D187" s="590"/>
      <c r="E187" s="592">
        <f t="shared" si="65"/>
        <v>1</v>
      </c>
      <c r="F187" s="590"/>
      <c r="G187" s="593">
        <f ca="1">$E187*(-SUMIF(INDIRECT(G$3),'Struktur Vorjahr'!$D187,INDIRECT(G$4))+SUMIF(INDIRECT(G$3),'Struktur Vorjahr'!$D187,INDIRECT(G$5)))</f>
        <v>0</v>
      </c>
      <c r="H187" s="593">
        <f ca="1">$E187*(-SUMIF(INDIRECT(H$3),'Struktur Vorjahr'!$D187,INDIRECT(H$4))+SUMIF(INDIRECT(H$3),'Struktur Vorjahr'!$D187,INDIRECT(H$5)))</f>
        <v>0</v>
      </c>
      <c r="I187" s="593">
        <f ca="1">$E187*(-SUMIF(INDIRECT(I$3),'Struktur Vorjahr'!$D187,INDIRECT(I$4))+SUMIF(INDIRECT(I$3),'Struktur Vorjahr'!$D187,INDIRECT(I$5)))</f>
        <v>0</v>
      </c>
      <c r="J187" s="593">
        <f ca="1">$E187*(-SUMIF(INDIRECT(J$3),'Struktur Vorjahr'!$D187,INDIRECT(J$4))+SUMIF(INDIRECT(J$3),'Struktur Vorjahr'!$D187,INDIRECT(J$5)))</f>
        <v>0</v>
      </c>
      <c r="K187" s="593">
        <f ca="1">$E187*(-SUMIF(INDIRECT(K$3),'Struktur Vorjahr'!$D187,INDIRECT(K$4))+SUMIF(INDIRECT(K$3),'Struktur Vorjahr'!$D187,INDIRECT(K$5)))</f>
        <v>0</v>
      </c>
      <c r="L187" s="593">
        <f ca="1">$E187*(-SUMIF(INDIRECT(L$3),'Struktur Vorjahr'!$D187,INDIRECT(L$4))+SUMIF(INDIRECT(L$3),'Struktur Vorjahr'!$D187,INDIRECT(L$5)))</f>
        <v>0</v>
      </c>
      <c r="M187" s="593">
        <f ca="1">$E187*(-SUMIF(INDIRECT(M$3),'Struktur Vorjahr'!$D187,INDIRECT(M$4))+SUMIF(INDIRECT(M$3),'Struktur Vorjahr'!$D187,INDIRECT(M$5)))</f>
        <v>0</v>
      </c>
      <c r="N187" s="593">
        <f ca="1">$E187*(-SUMIF(INDIRECT(N$3),'Struktur Vorjahr'!$D187,INDIRECT(N$4))+SUMIF(INDIRECT(N$3),'Struktur Vorjahr'!$D187,INDIRECT(N$5)))</f>
        <v>0</v>
      </c>
      <c r="O187" s="593">
        <f ca="1">$E187*(-SUMIF(INDIRECT(O$3),'Struktur Vorjahr'!$D187,INDIRECT(O$4))+SUMIF(INDIRECT(O$3),'Struktur Vorjahr'!$D187,INDIRECT(O$5)))</f>
        <v>0</v>
      </c>
      <c r="P187" s="593">
        <f ca="1">$E187*(-SUMIF(INDIRECT(P$3),'Struktur Vorjahr'!$D187,INDIRECT(P$4))+SUMIF(INDIRECT(P$3),'Struktur Vorjahr'!$D187,INDIRECT(P$5)))</f>
        <v>0</v>
      </c>
      <c r="Q187" s="593">
        <f ca="1">$E187*(-SUMIF(INDIRECT(Q$3),'Struktur Vorjahr'!$D187,INDIRECT(Q$4))+SUMIF(INDIRECT(Q$3),'Struktur Vorjahr'!$D187,INDIRECT(Q$5)))</f>
        <v>0</v>
      </c>
      <c r="R187" s="593">
        <f ca="1">$E187*(-SUMIF(INDIRECT(R$3),'Struktur Vorjahr'!$D187,INDIRECT(R$4))+SUMIF(INDIRECT(R$3),'Struktur Vorjahr'!$D187,INDIRECT(R$5)))</f>
        <v>0</v>
      </c>
      <c r="S187" s="593">
        <f ca="1">$E187*(-SUMIF(INDIRECT(S$3),'Struktur Vorjahr'!$D187,INDIRECT(S$4))+SUMIF(INDIRECT(S$3),'Struktur Vorjahr'!$D187,INDIRECT(S$5)))</f>
        <v>0</v>
      </c>
      <c r="T187" s="593">
        <f ca="1">$E187*(-SUMIF(INDIRECT(T$3),'Struktur Vorjahr'!$D187,INDIRECT(T$4))+SUMIF(INDIRECT(T$3),'Struktur Vorjahr'!$D187,INDIRECT(T$5)))</f>
        <v>0</v>
      </c>
      <c r="U187" s="593">
        <f ca="1">$E187*(-SUMIF(INDIRECT(U$3),'Struktur Vorjahr'!$D187,INDIRECT(U$4))+SUMIF(INDIRECT(U$3),'Struktur Vorjahr'!$D187,INDIRECT(U$5)))</f>
        <v>0</v>
      </c>
      <c r="V187" s="593">
        <f ca="1">$E187*(-SUMIF(INDIRECT(V$3),'Struktur Vorjahr'!$D187,INDIRECT(V$4))+SUMIF(INDIRECT(V$3),'Struktur Vorjahr'!$D187,INDIRECT(V$5)))</f>
        <v>0</v>
      </c>
      <c r="W187" s="593">
        <f ca="1">$E187*(-SUMIF(INDIRECT(W$3),'Struktur Vorjahr'!$D187,INDIRECT(W$4))+SUMIF(INDIRECT(W$3),'Struktur Vorjahr'!$D187,INDIRECT(W$5)))</f>
        <v>0</v>
      </c>
      <c r="X187" s="593">
        <f ca="1">$E187*(-SUMIF(INDIRECT(X$3),'Struktur Vorjahr'!$D187,INDIRECT(X$4))+SUMIF(INDIRECT(X$3),'Struktur Vorjahr'!$D187,INDIRECT(X$5)))</f>
        <v>0</v>
      </c>
      <c r="Y187" s="593">
        <f ca="1">$E187*(-SUMIF(INDIRECT(Y$3),'Struktur Vorjahr'!$D187,INDIRECT(Y$4))+SUMIF(INDIRECT(Y$3),'Struktur Vorjahr'!$D187,INDIRECT(Y$5)))</f>
        <v>0</v>
      </c>
      <c r="Z187" s="593">
        <f ca="1">$E187*(-SUMIF(INDIRECT(Z$3),'Struktur Vorjahr'!$D187,INDIRECT(Z$4))+SUMIF(INDIRECT(Z$3),'Struktur Vorjahr'!$D187,INDIRECT(Z$5)))</f>
        <v>0</v>
      </c>
      <c r="AA187" s="593">
        <f ca="1">$E187*(-SUMIF(INDIRECT(AA$3),'Struktur Vorjahr'!$D187,INDIRECT(AA$4))+SUMIF(INDIRECT(AA$3),'Struktur Vorjahr'!$D187,INDIRECT(AA$5)))</f>
        <v>0</v>
      </c>
      <c r="AB187" s="593">
        <f ca="1">$E187*(-SUMIF(INDIRECT(AB$3),'Struktur Vorjahr'!$D187,INDIRECT(AB$4))+SUMIF(INDIRECT(AB$3),'Struktur Vorjahr'!$D187,INDIRECT(AB$5)))</f>
        <v>0</v>
      </c>
      <c r="AC187" s="593">
        <f ca="1">$E187*(-SUMIF(INDIRECT(AC$3),'Struktur Vorjahr'!$D187,INDIRECT(AC$4))+SUMIF(INDIRECT(AC$3),'Struktur Vorjahr'!$D187,INDIRECT(AC$5)))</f>
        <v>0</v>
      </c>
      <c r="AD187" s="593">
        <f ca="1">$E187*(-SUMIF(INDIRECT(AD$3),'Struktur Vorjahr'!$D187,INDIRECT(AD$4))+SUMIF(INDIRECT(AD$3),'Struktur Vorjahr'!$D187,INDIRECT(AD$5)))</f>
        <v>0</v>
      </c>
      <c r="AE187" s="593">
        <f t="shared" ca="1" si="96"/>
        <v>0</v>
      </c>
      <c r="AF187" s="593">
        <f t="shared" ca="1" si="97"/>
        <v>0</v>
      </c>
      <c r="AG187" s="593">
        <f t="shared" ca="1" si="97"/>
        <v>0</v>
      </c>
      <c r="AH187" s="593">
        <f t="shared" ca="1" si="97"/>
        <v>0</v>
      </c>
      <c r="AI187" s="593">
        <f t="shared" ca="1" si="97"/>
        <v>0</v>
      </c>
      <c r="AJ187" s="593">
        <f t="shared" ca="1" si="97"/>
        <v>0</v>
      </c>
      <c r="AK187" s="593">
        <f t="shared" ca="1" si="97"/>
        <v>0</v>
      </c>
      <c r="AL187" s="593">
        <f t="shared" ca="1" si="97"/>
        <v>0</v>
      </c>
      <c r="AM187" s="593">
        <f t="shared" ca="1" si="97"/>
        <v>0</v>
      </c>
      <c r="AN187" s="593">
        <f t="shared" ca="1" si="97"/>
        <v>0</v>
      </c>
      <c r="AO187" s="593">
        <f t="shared" ca="1" si="97"/>
        <v>0</v>
      </c>
      <c r="AP187" s="593">
        <f t="shared" ca="1" si="97"/>
        <v>0</v>
      </c>
    </row>
    <row r="188" spans="1:42" s="589" customFormat="1" x14ac:dyDescent="0.2">
      <c r="A188" s="585">
        <v>18</v>
      </c>
      <c r="B188" s="586" t="s">
        <v>289</v>
      </c>
      <c r="C188" s="587">
        <f ca="1">SUM(G188:R188)</f>
        <v>44.65</v>
      </c>
      <c r="D188" s="587"/>
      <c r="E188" s="588">
        <f t="shared" si="65"/>
        <v>1</v>
      </c>
      <c r="F188" s="585"/>
      <c r="G188" s="587">
        <f t="shared" ref="G188:AP188" ca="1" si="98">SUM(G189:G207)</f>
        <v>0</v>
      </c>
      <c r="H188" s="587">
        <f t="shared" ca="1" si="98"/>
        <v>0</v>
      </c>
      <c r="I188" s="587">
        <f t="shared" ca="1" si="98"/>
        <v>0</v>
      </c>
      <c r="J188" s="587">
        <f t="shared" ca="1" si="98"/>
        <v>0</v>
      </c>
      <c r="K188" s="587">
        <f t="shared" ca="1" si="98"/>
        <v>0</v>
      </c>
      <c r="L188" s="587">
        <f t="shared" ca="1" si="98"/>
        <v>0</v>
      </c>
      <c r="M188" s="587">
        <f t="shared" ca="1" si="98"/>
        <v>0</v>
      </c>
      <c r="N188" s="587">
        <f t="shared" ca="1" si="98"/>
        <v>15.65</v>
      </c>
      <c r="O188" s="587">
        <f t="shared" ca="1" si="98"/>
        <v>0</v>
      </c>
      <c r="P188" s="587">
        <f t="shared" ca="1" si="98"/>
        <v>29</v>
      </c>
      <c r="Q188" s="587">
        <f t="shared" ca="1" si="98"/>
        <v>0</v>
      </c>
      <c r="R188" s="587">
        <f t="shared" ca="1" si="98"/>
        <v>0</v>
      </c>
      <c r="S188" s="587">
        <f t="shared" ca="1" si="98"/>
        <v>0</v>
      </c>
      <c r="T188" s="587">
        <f t="shared" ca="1" si="98"/>
        <v>0</v>
      </c>
      <c r="U188" s="587">
        <f t="shared" ca="1" si="98"/>
        <v>0</v>
      </c>
      <c r="V188" s="587">
        <f t="shared" ca="1" si="98"/>
        <v>0</v>
      </c>
      <c r="W188" s="587">
        <f t="shared" ca="1" si="98"/>
        <v>0</v>
      </c>
      <c r="X188" s="587">
        <f t="shared" ca="1" si="98"/>
        <v>0</v>
      </c>
      <c r="Y188" s="587">
        <f t="shared" ca="1" si="98"/>
        <v>0</v>
      </c>
      <c r="Z188" s="587">
        <f t="shared" ca="1" si="98"/>
        <v>15.65</v>
      </c>
      <c r="AA188" s="587">
        <f t="shared" ca="1" si="98"/>
        <v>15.65</v>
      </c>
      <c r="AB188" s="587">
        <f t="shared" ca="1" si="98"/>
        <v>44.65</v>
      </c>
      <c r="AC188" s="587">
        <f t="shared" ca="1" si="98"/>
        <v>0</v>
      </c>
      <c r="AD188" s="587">
        <f t="shared" ca="1" si="98"/>
        <v>0</v>
      </c>
      <c r="AE188" s="587">
        <f t="shared" ca="1" si="98"/>
        <v>0</v>
      </c>
      <c r="AF188" s="587">
        <f t="shared" ca="1" si="98"/>
        <v>0</v>
      </c>
      <c r="AG188" s="587">
        <f t="shared" ca="1" si="98"/>
        <v>0</v>
      </c>
      <c r="AH188" s="587">
        <f t="shared" ca="1" si="98"/>
        <v>0</v>
      </c>
      <c r="AI188" s="587">
        <f t="shared" ca="1" si="98"/>
        <v>0</v>
      </c>
      <c r="AJ188" s="587">
        <f t="shared" ca="1" si="98"/>
        <v>0</v>
      </c>
      <c r="AK188" s="587">
        <f t="shared" ca="1" si="98"/>
        <v>0</v>
      </c>
      <c r="AL188" s="587">
        <f t="shared" ca="1" si="98"/>
        <v>15.65</v>
      </c>
      <c r="AM188" s="587">
        <f t="shared" ca="1" si="98"/>
        <v>15.65</v>
      </c>
      <c r="AN188" s="587">
        <f t="shared" ca="1" si="98"/>
        <v>44.65</v>
      </c>
      <c r="AO188" s="587">
        <f t="shared" ca="1" si="98"/>
        <v>44.65</v>
      </c>
      <c r="AP188" s="587">
        <f t="shared" ca="1" si="98"/>
        <v>44.65</v>
      </c>
    </row>
    <row r="189" spans="1:42" s="594" customFormat="1" ht="11.25" outlineLevel="1" x14ac:dyDescent="0.2">
      <c r="A189" s="590"/>
      <c r="B189" s="591" t="str">
        <f>IF(D189&lt;&gt;"",
IF(ISERROR(MATCH(D189,'Ist Vorjahr Monat 01'!A:A,0))=FALSE,INDEX('Ist Vorjahr Monat 01'!B:B,MATCH(D189,'Ist Vorjahr Monat 01'!A:A,0)),
IF(ISERROR(MATCH(D189,'Ist Vorjahr Monat 02'!A:A,0))=FALSE,INDEX('Ist Vorjahr Monat 02'!B:B,MATCH(D189,'Ist Vorjahr Monat 02'!A:A,0)),
IF(ISERROR(MATCH(D189,'Ist Vorjahr Monat 03'!A:A,0))=FALSE,INDEX('Ist Vorjahr Monat 03'!B:B,MATCH(D189,'Ist Vorjahr Monat 03'!A:A,0)),
IF(ISERROR(MATCH(D189,'Ist Vorjahr Monat 04'!A:A,0))=FALSE,INDEX('Ist Vorjahr Monat 04'!B:B,MATCH(D189,'Ist Vorjahr Monat 04'!A:A,0)),
IF(ISERROR(MATCH(D189,'Ist Vorjahr Monat 05'!A:A,0))=FALSE,INDEX('Ist Vorjahr Monat 05'!B:B,MATCH(D189,'Ist Vorjahr Monat 05'!A:A,0)),
IF(ISERROR(MATCH(D189,'Ist Vorjahr Monat 06'!A:A,0))=FALSE,INDEX('Ist Vorjahr Monat 06'!B:B,MATCH(D189,'Ist Vorjahr Monat 06'!A:A,0)),
IF(ISERROR(MATCH(D189,'Ist Vorjahr Monat 07'!A:A,0))=FALSE,INDEX('Ist Vorjahr Monat 07'!B:B,MATCH(D189,'Ist Vorjahr Monat 07'!A:A,0)),
IF(ISERROR(MATCH(D189,'Ist Vorjahr Monat 08'!A:A,0))=FALSE,INDEX('Ist Vorjahr Monat 08'!B:B,MATCH(D189,'Ist Vorjahr Monat 08'!A:A,0)),
IF(ISERROR(MATCH(D189,'Ist Vorjahr Monat 09'!A:A,0))=FALSE,INDEX('Ist Vorjahr Monat 09'!B:B,MATCH(D189,'Ist Vorjahr Monat 09'!A:A,0)),
IF(ISERROR(MATCH(D189,'Ist Vorjahr Monat 10'!A:A,0))=FALSE,INDEX('Ist Vorjahr Monat 10'!B:B,MATCH(D189,'Ist Vorjahr Monat 10'!A:A,0)),
IF(ISERROR(MATCH(D189,'Ist Vorjahr Monat 11'!A:A,0))=FALSE,INDEX('Ist Vorjahr Monat 11'!B:B,MATCH(D189,'Ist Vorjahr Monat 11'!A:A,0)),
IF(ISERROR(MATCH(D189,'Ist Vorjahr Monat 12'!A:A,0))=FALSE,INDEX('Ist Vorjahr Monat 12'!B:B,MATCH(D189,'Ist Vorjahr Monat 12'!A:A,0)),
"{Konto unbekannt}"
)))))))))))),"")</f>
        <v>Kfz-Steuern</v>
      </c>
      <c r="C189" s="591"/>
      <c r="D189" s="590">
        <v>4510</v>
      </c>
      <c r="E189" s="592">
        <f t="shared" si="65"/>
        <v>1</v>
      </c>
      <c r="F189" s="590"/>
      <c r="G189" s="593">
        <f ca="1">$E189*(-SUMIF(INDIRECT(G$3),'Struktur Vorjahr'!$D189,INDIRECT(G$4))+SUMIF(INDIRECT(G$3),'Struktur Vorjahr'!$D189,INDIRECT(G$5)))</f>
        <v>0</v>
      </c>
      <c r="H189" s="593">
        <f ca="1">$E189*(-SUMIF(INDIRECT(H$3),'Struktur Vorjahr'!$D189,INDIRECT(H$4))+SUMIF(INDIRECT(H$3),'Struktur Vorjahr'!$D189,INDIRECT(H$5)))</f>
        <v>0</v>
      </c>
      <c r="I189" s="593">
        <f ca="1">$E189*(-SUMIF(INDIRECT(I$3),'Struktur Vorjahr'!$D189,INDIRECT(I$4))+SUMIF(INDIRECT(I$3),'Struktur Vorjahr'!$D189,INDIRECT(I$5)))</f>
        <v>0</v>
      </c>
      <c r="J189" s="593">
        <f ca="1">$E189*(-SUMIF(INDIRECT(J$3),'Struktur Vorjahr'!$D189,INDIRECT(J$4))+SUMIF(INDIRECT(J$3),'Struktur Vorjahr'!$D189,INDIRECT(J$5)))</f>
        <v>0</v>
      </c>
      <c r="K189" s="593">
        <f ca="1">$E189*(-SUMIF(INDIRECT(K$3),'Struktur Vorjahr'!$D189,INDIRECT(K$4))+SUMIF(INDIRECT(K$3),'Struktur Vorjahr'!$D189,INDIRECT(K$5)))</f>
        <v>0</v>
      </c>
      <c r="L189" s="593">
        <f ca="1">$E189*(-SUMIF(INDIRECT(L$3),'Struktur Vorjahr'!$D189,INDIRECT(L$4))+SUMIF(INDIRECT(L$3),'Struktur Vorjahr'!$D189,INDIRECT(L$5)))</f>
        <v>0</v>
      </c>
      <c r="M189" s="593">
        <f ca="1">$E189*(-SUMIF(INDIRECT(M$3),'Struktur Vorjahr'!$D189,INDIRECT(M$4))+SUMIF(INDIRECT(M$3),'Struktur Vorjahr'!$D189,INDIRECT(M$5)))</f>
        <v>0</v>
      </c>
      <c r="N189" s="593">
        <f ca="1">$E189*(-SUMIF(INDIRECT(N$3),'Struktur Vorjahr'!$D189,INDIRECT(N$4))+SUMIF(INDIRECT(N$3),'Struktur Vorjahr'!$D189,INDIRECT(N$5)))</f>
        <v>0</v>
      </c>
      <c r="O189" s="593">
        <f ca="1">$E189*(-SUMIF(INDIRECT(O$3),'Struktur Vorjahr'!$D189,INDIRECT(O$4))+SUMIF(INDIRECT(O$3),'Struktur Vorjahr'!$D189,INDIRECT(O$5)))</f>
        <v>0</v>
      </c>
      <c r="P189" s="593">
        <f ca="1">$E189*(-SUMIF(INDIRECT(P$3),'Struktur Vorjahr'!$D189,INDIRECT(P$4))+SUMIF(INDIRECT(P$3),'Struktur Vorjahr'!$D189,INDIRECT(P$5)))</f>
        <v>29</v>
      </c>
      <c r="Q189" s="593">
        <f ca="1">$E189*(-SUMIF(INDIRECT(Q$3),'Struktur Vorjahr'!$D189,INDIRECT(Q$4))+SUMIF(INDIRECT(Q$3),'Struktur Vorjahr'!$D189,INDIRECT(Q$5)))</f>
        <v>0</v>
      </c>
      <c r="R189" s="593">
        <f ca="1">$E189*(-SUMIF(INDIRECT(R$3),'Struktur Vorjahr'!$D189,INDIRECT(R$4))+SUMIF(INDIRECT(R$3),'Struktur Vorjahr'!$D189,INDIRECT(R$5)))</f>
        <v>0</v>
      </c>
      <c r="S189" s="593">
        <f ca="1">$E189*(-SUMIF(INDIRECT(S$3),'Struktur Vorjahr'!$D189,INDIRECT(S$4))+SUMIF(INDIRECT(S$3),'Struktur Vorjahr'!$D189,INDIRECT(S$5)))</f>
        <v>0</v>
      </c>
      <c r="T189" s="593">
        <f ca="1">$E189*(-SUMIF(INDIRECT(T$3),'Struktur Vorjahr'!$D189,INDIRECT(T$4))+SUMIF(INDIRECT(T$3),'Struktur Vorjahr'!$D189,INDIRECT(T$5)))</f>
        <v>0</v>
      </c>
      <c r="U189" s="593">
        <f ca="1">$E189*(-SUMIF(INDIRECT(U$3),'Struktur Vorjahr'!$D189,INDIRECT(U$4))+SUMIF(INDIRECT(U$3),'Struktur Vorjahr'!$D189,INDIRECT(U$5)))</f>
        <v>0</v>
      </c>
      <c r="V189" s="593">
        <f ca="1">$E189*(-SUMIF(INDIRECT(V$3),'Struktur Vorjahr'!$D189,INDIRECT(V$4))+SUMIF(INDIRECT(V$3),'Struktur Vorjahr'!$D189,INDIRECT(V$5)))</f>
        <v>0</v>
      </c>
      <c r="W189" s="593">
        <f ca="1">$E189*(-SUMIF(INDIRECT(W$3),'Struktur Vorjahr'!$D189,INDIRECT(W$4))+SUMIF(INDIRECT(W$3),'Struktur Vorjahr'!$D189,INDIRECT(W$5)))</f>
        <v>0</v>
      </c>
      <c r="X189" s="593">
        <f ca="1">$E189*(-SUMIF(INDIRECT(X$3),'Struktur Vorjahr'!$D189,INDIRECT(X$4))+SUMIF(INDIRECT(X$3),'Struktur Vorjahr'!$D189,INDIRECT(X$5)))</f>
        <v>0</v>
      </c>
      <c r="Y189" s="593">
        <f ca="1">$E189*(-SUMIF(INDIRECT(Y$3),'Struktur Vorjahr'!$D189,INDIRECT(Y$4))+SUMIF(INDIRECT(Y$3),'Struktur Vorjahr'!$D189,INDIRECT(Y$5)))</f>
        <v>0</v>
      </c>
      <c r="Z189" s="593">
        <f ca="1">$E189*(-SUMIF(INDIRECT(Z$3),'Struktur Vorjahr'!$D189,INDIRECT(Z$4))+SUMIF(INDIRECT(Z$3),'Struktur Vorjahr'!$D189,INDIRECT(Z$5)))</f>
        <v>0</v>
      </c>
      <c r="AA189" s="593">
        <f ca="1">$E189*(-SUMIF(INDIRECT(AA$3),'Struktur Vorjahr'!$D189,INDIRECT(AA$4))+SUMIF(INDIRECT(AA$3),'Struktur Vorjahr'!$D189,INDIRECT(AA$5)))</f>
        <v>0</v>
      </c>
      <c r="AB189" s="593">
        <f ca="1">$E189*(-SUMIF(INDIRECT(AB$3),'Struktur Vorjahr'!$D189,INDIRECT(AB$4))+SUMIF(INDIRECT(AB$3),'Struktur Vorjahr'!$D189,INDIRECT(AB$5)))</f>
        <v>29</v>
      </c>
      <c r="AC189" s="593">
        <f ca="1">$E189*(-SUMIF(INDIRECT(AC$3),'Struktur Vorjahr'!$D189,INDIRECT(AC$4))+SUMIF(INDIRECT(AC$3),'Struktur Vorjahr'!$D189,INDIRECT(AC$5)))</f>
        <v>0</v>
      </c>
      <c r="AD189" s="593">
        <f ca="1">$E189*(-SUMIF(INDIRECT(AD$3),'Struktur Vorjahr'!$D189,INDIRECT(AD$4))+SUMIF(INDIRECT(AD$3),'Struktur Vorjahr'!$D189,INDIRECT(AD$5)))</f>
        <v>0</v>
      </c>
      <c r="AE189" s="593">
        <f t="shared" ref="AE189:AE207" ca="1" si="99">G189</f>
        <v>0</v>
      </c>
      <c r="AF189" s="593">
        <f t="shared" ref="AF189:AP207" ca="1" si="100">H189+AE189</f>
        <v>0</v>
      </c>
      <c r="AG189" s="593">
        <f t="shared" ca="1" si="100"/>
        <v>0</v>
      </c>
      <c r="AH189" s="593">
        <f t="shared" ca="1" si="100"/>
        <v>0</v>
      </c>
      <c r="AI189" s="593">
        <f t="shared" ca="1" si="100"/>
        <v>0</v>
      </c>
      <c r="AJ189" s="593">
        <f t="shared" ca="1" si="100"/>
        <v>0</v>
      </c>
      <c r="AK189" s="593">
        <f t="shared" ca="1" si="100"/>
        <v>0</v>
      </c>
      <c r="AL189" s="593">
        <f t="shared" ca="1" si="100"/>
        <v>0</v>
      </c>
      <c r="AM189" s="593">
        <f t="shared" ca="1" si="100"/>
        <v>0</v>
      </c>
      <c r="AN189" s="593">
        <f t="shared" ca="1" si="100"/>
        <v>29</v>
      </c>
      <c r="AO189" s="593">
        <f t="shared" ca="1" si="100"/>
        <v>29</v>
      </c>
      <c r="AP189" s="593">
        <f t="shared" ca="1" si="100"/>
        <v>29</v>
      </c>
    </row>
    <row r="190" spans="1:42" s="594" customFormat="1" ht="11.25" outlineLevel="1" x14ac:dyDescent="0.2">
      <c r="A190" s="590"/>
      <c r="B190" s="591" t="str">
        <f>IF(D190&lt;&gt;"",
IF(ISERROR(MATCH(D190,'Ist Vorjahr Monat 01'!A:A,0))=FALSE,INDEX('Ist Vorjahr Monat 01'!B:B,MATCH(D190,'Ist Vorjahr Monat 01'!A:A,0)),
IF(ISERROR(MATCH(D190,'Ist Vorjahr Monat 02'!A:A,0))=FALSE,INDEX('Ist Vorjahr Monat 02'!B:B,MATCH(D190,'Ist Vorjahr Monat 02'!A:A,0)),
IF(ISERROR(MATCH(D190,'Ist Vorjahr Monat 03'!A:A,0))=FALSE,INDEX('Ist Vorjahr Monat 03'!B:B,MATCH(D190,'Ist Vorjahr Monat 03'!A:A,0)),
IF(ISERROR(MATCH(D190,'Ist Vorjahr Monat 04'!A:A,0))=FALSE,INDEX('Ist Vorjahr Monat 04'!B:B,MATCH(D190,'Ist Vorjahr Monat 04'!A:A,0)),
IF(ISERROR(MATCH(D190,'Ist Vorjahr Monat 05'!A:A,0))=FALSE,INDEX('Ist Vorjahr Monat 05'!B:B,MATCH(D190,'Ist Vorjahr Monat 05'!A:A,0)),
IF(ISERROR(MATCH(D190,'Ist Vorjahr Monat 06'!A:A,0))=FALSE,INDEX('Ist Vorjahr Monat 06'!B:B,MATCH(D190,'Ist Vorjahr Monat 06'!A:A,0)),
IF(ISERROR(MATCH(D190,'Ist Vorjahr Monat 07'!A:A,0))=FALSE,INDEX('Ist Vorjahr Monat 07'!B:B,MATCH(D190,'Ist Vorjahr Monat 07'!A:A,0)),
IF(ISERROR(MATCH(D190,'Ist Vorjahr Monat 08'!A:A,0))=FALSE,INDEX('Ist Vorjahr Monat 08'!B:B,MATCH(D190,'Ist Vorjahr Monat 08'!A:A,0)),
IF(ISERROR(MATCH(D190,'Ist Vorjahr Monat 09'!A:A,0))=FALSE,INDEX('Ist Vorjahr Monat 09'!B:B,MATCH(D190,'Ist Vorjahr Monat 09'!A:A,0)),
IF(ISERROR(MATCH(D190,'Ist Vorjahr Monat 10'!A:A,0))=FALSE,INDEX('Ist Vorjahr Monat 10'!B:B,MATCH(D190,'Ist Vorjahr Monat 10'!A:A,0)),
IF(ISERROR(MATCH(D190,'Ist Vorjahr Monat 11'!A:A,0))=FALSE,INDEX('Ist Vorjahr Monat 11'!B:B,MATCH(D190,'Ist Vorjahr Monat 11'!A:A,0)),
IF(ISERROR(MATCH(D190,'Ist Vorjahr Monat 12'!A:A,0))=FALSE,INDEX('Ist Vorjahr Monat 12'!B:B,MATCH(D190,'Ist Vorjahr Monat 12'!A:A,0)),
"{Konto unbekannt}"
)))))))))))),"")</f>
        <v>Kfz-Versicherungen</v>
      </c>
      <c r="C190" s="591"/>
      <c r="D190" s="590">
        <v>4520</v>
      </c>
      <c r="E190" s="592">
        <f t="shared" si="65"/>
        <v>1</v>
      </c>
      <c r="F190" s="590"/>
      <c r="G190" s="593">
        <f ca="1">$E190*(-SUMIF(INDIRECT(G$3),'Struktur Vorjahr'!$D190,INDIRECT(G$4))+SUMIF(INDIRECT(G$3),'Struktur Vorjahr'!$D190,INDIRECT(G$5)))</f>
        <v>0</v>
      </c>
      <c r="H190" s="593">
        <f ca="1">$E190*(-SUMIF(INDIRECT(H$3),'Struktur Vorjahr'!$D190,INDIRECT(H$4))+SUMIF(INDIRECT(H$3),'Struktur Vorjahr'!$D190,INDIRECT(H$5)))</f>
        <v>0</v>
      </c>
      <c r="I190" s="593">
        <f ca="1">$E190*(-SUMIF(INDIRECT(I$3),'Struktur Vorjahr'!$D190,INDIRECT(I$4))+SUMIF(INDIRECT(I$3),'Struktur Vorjahr'!$D190,INDIRECT(I$5)))</f>
        <v>0</v>
      </c>
      <c r="J190" s="593">
        <f ca="1">$E190*(-SUMIF(INDIRECT(J$3),'Struktur Vorjahr'!$D190,INDIRECT(J$4))+SUMIF(INDIRECT(J$3),'Struktur Vorjahr'!$D190,INDIRECT(J$5)))</f>
        <v>0</v>
      </c>
      <c r="K190" s="593">
        <f ca="1">$E190*(-SUMIF(INDIRECT(K$3),'Struktur Vorjahr'!$D190,INDIRECT(K$4))+SUMIF(INDIRECT(K$3),'Struktur Vorjahr'!$D190,INDIRECT(K$5)))</f>
        <v>0</v>
      </c>
      <c r="L190" s="593">
        <f ca="1">$E190*(-SUMIF(INDIRECT(L$3),'Struktur Vorjahr'!$D190,INDIRECT(L$4))+SUMIF(INDIRECT(L$3),'Struktur Vorjahr'!$D190,INDIRECT(L$5)))</f>
        <v>0</v>
      </c>
      <c r="M190" s="593">
        <f ca="1">$E190*(-SUMIF(INDIRECT(M$3),'Struktur Vorjahr'!$D190,INDIRECT(M$4))+SUMIF(INDIRECT(M$3),'Struktur Vorjahr'!$D190,INDIRECT(M$5)))</f>
        <v>0</v>
      </c>
      <c r="N190" s="593">
        <f ca="1">$E190*(-SUMIF(INDIRECT(N$3),'Struktur Vorjahr'!$D190,INDIRECT(N$4))+SUMIF(INDIRECT(N$3),'Struktur Vorjahr'!$D190,INDIRECT(N$5)))</f>
        <v>15.65</v>
      </c>
      <c r="O190" s="593">
        <f ca="1">$E190*(-SUMIF(INDIRECT(O$3),'Struktur Vorjahr'!$D190,INDIRECT(O$4))+SUMIF(INDIRECT(O$3),'Struktur Vorjahr'!$D190,INDIRECT(O$5)))</f>
        <v>0</v>
      </c>
      <c r="P190" s="593">
        <f ca="1">$E190*(-SUMIF(INDIRECT(P$3),'Struktur Vorjahr'!$D190,INDIRECT(P$4))+SUMIF(INDIRECT(P$3),'Struktur Vorjahr'!$D190,INDIRECT(P$5)))</f>
        <v>0</v>
      </c>
      <c r="Q190" s="593">
        <f ca="1">$E190*(-SUMIF(INDIRECT(Q$3),'Struktur Vorjahr'!$D190,INDIRECT(Q$4))+SUMIF(INDIRECT(Q$3),'Struktur Vorjahr'!$D190,INDIRECT(Q$5)))</f>
        <v>0</v>
      </c>
      <c r="R190" s="593">
        <f ca="1">$E190*(-SUMIF(INDIRECT(R$3),'Struktur Vorjahr'!$D190,INDIRECT(R$4))+SUMIF(INDIRECT(R$3),'Struktur Vorjahr'!$D190,INDIRECT(R$5)))</f>
        <v>0</v>
      </c>
      <c r="S190" s="593">
        <f ca="1">$E190*(-SUMIF(INDIRECT(S$3),'Struktur Vorjahr'!$D190,INDIRECT(S$4))+SUMIF(INDIRECT(S$3),'Struktur Vorjahr'!$D190,INDIRECT(S$5)))</f>
        <v>0</v>
      </c>
      <c r="T190" s="593">
        <f ca="1">$E190*(-SUMIF(INDIRECT(T$3),'Struktur Vorjahr'!$D190,INDIRECT(T$4))+SUMIF(INDIRECT(T$3),'Struktur Vorjahr'!$D190,INDIRECT(T$5)))</f>
        <v>0</v>
      </c>
      <c r="U190" s="593">
        <f ca="1">$E190*(-SUMIF(INDIRECT(U$3),'Struktur Vorjahr'!$D190,INDIRECT(U$4))+SUMIF(INDIRECT(U$3),'Struktur Vorjahr'!$D190,INDIRECT(U$5)))</f>
        <v>0</v>
      </c>
      <c r="V190" s="593">
        <f ca="1">$E190*(-SUMIF(INDIRECT(V$3),'Struktur Vorjahr'!$D190,INDIRECT(V$4))+SUMIF(INDIRECT(V$3),'Struktur Vorjahr'!$D190,INDIRECT(V$5)))</f>
        <v>0</v>
      </c>
      <c r="W190" s="593">
        <f ca="1">$E190*(-SUMIF(INDIRECT(W$3),'Struktur Vorjahr'!$D190,INDIRECT(W$4))+SUMIF(INDIRECT(W$3),'Struktur Vorjahr'!$D190,INDIRECT(W$5)))</f>
        <v>0</v>
      </c>
      <c r="X190" s="593">
        <f ca="1">$E190*(-SUMIF(INDIRECT(X$3),'Struktur Vorjahr'!$D190,INDIRECT(X$4))+SUMIF(INDIRECT(X$3),'Struktur Vorjahr'!$D190,INDIRECT(X$5)))</f>
        <v>0</v>
      </c>
      <c r="Y190" s="593">
        <f ca="1">$E190*(-SUMIF(INDIRECT(Y$3),'Struktur Vorjahr'!$D190,INDIRECT(Y$4))+SUMIF(INDIRECT(Y$3),'Struktur Vorjahr'!$D190,INDIRECT(Y$5)))</f>
        <v>0</v>
      </c>
      <c r="Z190" s="593">
        <f ca="1">$E190*(-SUMIF(INDIRECT(Z$3),'Struktur Vorjahr'!$D190,INDIRECT(Z$4))+SUMIF(INDIRECT(Z$3),'Struktur Vorjahr'!$D190,INDIRECT(Z$5)))</f>
        <v>15.65</v>
      </c>
      <c r="AA190" s="593">
        <f ca="1">$E190*(-SUMIF(INDIRECT(AA$3),'Struktur Vorjahr'!$D190,INDIRECT(AA$4))+SUMIF(INDIRECT(AA$3),'Struktur Vorjahr'!$D190,INDIRECT(AA$5)))</f>
        <v>15.65</v>
      </c>
      <c r="AB190" s="593">
        <f ca="1">$E190*(-SUMIF(INDIRECT(AB$3),'Struktur Vorjahr'!$D190,INDIRECT(AB$4))+SUMIF(INDIRECT(AB$3),'Struktur Vorjahr'!$D190,INDIRECT(AB$5)))</f>
        <v>15.65</v>
      </c>
      <c r="AC190" s="593">
        <f ca="1">$E190*(-SUMIF(INDIRECT(AC$3),'Struktur Vorjahr'!$D190,INDIRECT(AC$4))+SUMIF(INDIRECT(AC$3),'Struktur Vorjahr'!$D190,INDIRECT(AC$5)))</f>
        <v>0</v>
      </c>
      <c r="AD190" s="593">
        <f ca="1">$E190*(-SUMIF(INDIRECT(AD$3),'Struktur Vorjahr'!$D190,INDIRECT(AD$4))+SUMIF(INDIRECT(AD$3),'Struktur Vorjahr'!$D190,INDIRECT(AD$5)))</f>
        <v>0</v>
      </c>
      <c r="AE190" s="593">
        <f t="shared" ca="1" si="99"/>
        <v>0</v>
      </c>
      <c r="AF190" s="593">
        <f t="shared" ca="1" si="100"/>
        <v>0</v>
      </c>
      <c r="AG190" s="593">
        <f t="shared" ca="1" si="100"/>
        <v>0</v>
      </c>
      <c r="AH190" s="593">
        <f t="shared" ca="1" si="100"/>
        <v>0</v>
      </c>
      <c r="AI190" s="593">
        <f t="shared" ca="1" si="100"/>
        <v>0</v>
      </c>
      <c r="AJ190" s="593">
        <f t="shared" ca="1" si="100"/>
        <v>0</v>
      </c>
      <c r="AK190" s="593">
        <f t="shared" ca="1" si="100"/>
        <v>0</v>
      </c>
      <c r="AL190" s="593">
        <f t="shared" ca="1" si="100"/>
        <v>15.65</v>
      </c>
      <c r="AM190" s="593">
        <f t="shared" ca="1" si="100"/>
        <v>15.65</v>
      </c>
      <c r="AN190" s="593">
        <f t="shared" ca="1" si="100"/>
        <v>15.65</v>
      </c>
      <c r="AO190" s="593">
        <f t="shared" ca="1" si="100"/>
        <v>15.65</v>
      </c>
      <c r="AP190" s="593">
        <f t="shared" ca="1" si="100"/>
        <v>15.65</v>
      </c>
    </row>
    <row r="191" spans="1:42" s="594" customFormat="1" ht="11.25" outlineLevel="1" x14ac:dyDescent="0.2">
      <c r="A191" s="590"/>
      <c r="B191" s="591" t="str">
        <f>IF(D191&lt;&gt;"",
IF(ISERROR(MATCH(D191,'Ist Vorjahr Monat 01'!A:A,0))=FALSE,INDEX('Ist Vorjahr Monat 01'!B:B,MATCH(D191,'Ist Vorjahr Monat 01'!A:A,0)),
IF(ISERROR(MATCH(D191,'Ist Vorjahr Monat 02'!A:A,0))=FALSE,INDEX('Ist Vorjahr Monat 02'!B:B,MATCH(D191,'Ist Vorjahr Monat 02'!A:A,0)),
IF(ISERROR(MATCH(D191,'Ist Vorjahr Monat 03'!A:A,0))=FALSE,INDEX('Ist Vorjahr Monat 03'!B:B,MATCH(D191,'Ist Vorjahr Monat 03'!A:A,0)),
IF(ISERROR(MATCH(D191,'Ist Vorjahr Monat 04'!A:A,0))=FALSE,INDEX('Ist Vorjahr Monat 04'!B:B,MATCH(D191,'Ist Vorjahr Monat 04'!A:A,0)),
IF(ISERROR(MATCH(D191,'Ist Vorjahr Monat 05'!A:A,0))=FALSE,INDEX('Ist Vorjahr Monat 05'!B:B,MATCH(D191,'Ist Vorjahr Monat 05'!A:A,0)),
IF(ISERROR(MATCH(D191,'Ist Vorjahr Monat 06'!A:A,0))=FALSE,INDEX('Ist Vorjahr Monat 06'!B:B,MATCH(D191,'Ist Vorjahr Monat 06'!A:A,0)),
IF(ISERROR(MATCH(D191,'Ist Vorjahr Monat 07'!A:A,0))=FALSE,INDEX('Ist Vorjahr Monat 07'!B:B,MATCH(D191,'Ist Vorjahr Monat 07'!A:A,0)),
IF(ISERROR(MATCH(D191,'Ist Vorjahr Monat 08'!A:A,0))=FALSE,INDEX('Ist Vorjahr Monat 08'!B:B,MATCH(D191,'Ist Vorjahr Monat 08'!A:A,0)),
IF(ISERROR(MATCH(D191,'Ist Vorjahr Monat 09'!A:A,0))=FALSE,INDEX('Ist Vorjahr Monat 09'!B:B,MATCH(D191,'Ist Vorjahr Monat 09'!A:A,0)),
IF(ISERROR(MATCH(D191,'Ist Vorjahr Monat 10'!A:A,0))=FALSE,INDEX('Ist Vorjahr Monat 10'!B:B,MATCH(D191,'Ist Vorjahr Monat 10'!A:A,0)),
IF(ISERROR(MATCH(D191,'Ist Vorjahr Monat 11'!A:A,0))=FALSE,INDEX('Ist Vorjahr Monat 11'!B:B,MATCH(D191,'Ist Vorjahr Monat 11'!A:A,0)),
IF(ISERROR(MATCH(D191,'Ist Vorjahr Monat 12'!A:A,0))=FALSE,INDEX('Ist Vorjahr Monat 12'!B:B,MATCH(D191,'Ist Vorjahr Monat 12'!A:A,0)),
"{Konto unbekannt}"
)))))))))))),"")</f>
        <v/>
      </c>
      <c r="C191" s="591"/>
      <c r="D191" s="590"/>
      <c r="E191" s="592">
        <f t="shared" si="65"/>
        <v>1</v>
      </c>
      <c r="F191" s="590"/>
      <c r="G191" s="593">
        <f ca="1">$E191*(-SUMIF(INDIRECT(G$3),'Struktur Vorjahr'!$D191,INDIRECT(G$4))+SUMIF(INDIRECT(G$3),'Struktur Vorjahr'!$D191,INDIRECT(G$5)))</f>
        <v>0</v>
      </c>
      <c r="H191" s="593">
        <f ca="1">$E191*(-SUMIF(INDIRECT(H$3),'Struktur Vorjahr'!$D191,INDIRECT(H$4))+SUMIF(INDIRECT(H$3),'Struktur Vorjahr'!$D191,INDIRECT(H$5)))</f>
        <v>0</v>
      </c>
      <c r="I191" s="593">
        <f ca="1">$E191*(-SUMIF(INDIRECT(I$3),'Struktur Vorjahr'!$D191,INDIRECT(I$4))+SUMIF(INDIRECT(I$3),'Struktur Vorjahr'!$D191,INDIRECT(I$5)))</f>
        <v>0</v>
      </c>
      <c r="J191" s="593">
        <f ca="1">$E191*(-SUMIF(INDIRECT(J$3),'Struktur Vorjahr'!$D191,INDIRECT(J$4))+SUMIF(INDIRECT(J$3),'Struktur Vorjahr'!$D191,INDIRECT(J$5)))</f>
        <v>0</v>
      </c>
      <c r="K191" s="593">
        <f ca="1">$E191*(-SUMIF(INDIRECT(K$3),'Struktur Vorjahr'!$D191,INDIRECT(K$4))+SUMIF(INDIRECT(K$3),'Struktur Vorjahr'!$D191,INDIRECT(K$5)))</f>
        <v>0</v>
      </c>
      <c r="L191" s="593">
        <f ca="1">$E191*(-SUMIF(INDIRECT(L$3),'Struktur Vorjahr'!$D191,INDIRECT(L$4))+SUMIF(INDIRECT(L$3),'Struktur Vorjahr'!$D191,INDIRECT(L$5)))</f>
        <v>0</v>
      </c>
      <c r="M191" s="593">
        <f ca="1">$E191*(-SUMIF(INDIRECT(M$3),'Struktur Vorjahr'!$D191,INDIRECT(M$4))+SUMIF(INDIRECT(M$3),'Struktur Vorjahr'!$D191,INDIRECT(M$5)))</f>
        <v>0</v>
      </c>
      <c r="N191" s="593">
        <f ca="1">$E191*(-SUMIF(INDIRECT(N$3),'Struktur Vorjahr'!$D191,INDIRECT(N$4))+SUMIF(INDIRECT(N$3),'Struktur Vorjahr'!$D191,INDIRECT(N$5)))</f>
        <v>0</v>
      </c>
      <c r="O191" s="593">
        <f ca="1">$E191*(-SUMIF(INDIRECT(O$3),'Struktur Vorjahr'!$D191,INDIRECT(O$4))+SUMIF(INDIRECT(O$3),'Struktur Vorjahr'!$D191,INDIRECT(O$5)))</f>
        <v>0</v>
      </c>
      <c r="P191" s="593">
        <f ca="1">$E191*(-SUMIF(INDIRECT(P$3),'Struktur Vorjahr'!$D191,INDIRECT(P$4))+SUMIF(INDIRECT(P$3),'Struktur Vorjahr'!$D191,INDIRECT(P$5)))</f>
        <v>0</v>
      </c>
      <c r="Q191" s="593">
        <f ca="1">$E191*(-SUMIF(INDIRECT(Q$3),'Struktur Vorjahr'!$D191,INDIRECT(Q$4))+SUMIF(INDIRECT(Q$3),'Struktur Vorjahr'!$D191,INDIRECT(Q$5)))</f>
        <v>0</v>
      </c>
      <c r="R191" s="593">
        <f ca="1">$E191*(-SUMIF(INDIRECT(R$3),'Struktur Vorjahr'!$D191,INDIRECT(R$4))+SUMIF(INDIRECT(R$3),'Struktur Vorjahr'!$D191,INDIRECT(R$5)))</f>
        <v>0</v>
      </c>
      <c r="S191" s="593">
        <f ca="1">$E191*(-SUMIF(INDIRECT(S$3),'Struktur Vorjahr'!$D191,INDIRECT(S$4))+SUMIF(INDIRECT(S$3),'Struktur Vorjahr'!$D191,INDIRECT(S$5)))</f>
        <v>0</v>
      </c>
      <c r="T191" s="593">
        <f ca="1">$E191*(-SUMIF(INDIRECT(T$3),'Struktur Vorjahr'!$D191,INDIRECT(T$4))+SUMIF(INDIRECT(T$3),'Struktur Vorjahr'!$D191,INDIRECT(T$5)))</f>
        <v>0</v>
      </c>
      <c r="U191" s="593">
        <f ca="1">$E191*(-SUMIF(INDIRECT(U$3),'Struktur Vorjahr'!$D191,INDIRECT(U$4))+SUMIF(INDIRECT(U$3),'Struktur Vorjahr'!$D191,INDIRECT(U$5)))</f>
        <v>0</v>
      </c>
      <c r="V191" s="593">
        <f ca="1">$E191*(-SUMIF(INDIRECT(V$3),'Struktur Vorjahr'!$D191,INDIRECT(V$4))+SUMIF(INDIRECT(V$3),'Struktur Vorjahr'!$D191,INDIRECT(V$5)))</f>
        <v>0</v>
      </c>
      <c r="W191" s="593">
        <f ca="1">$E191*(-SUMIF(INDIRECT(W$3),'Struktur Vorjahr'!$D191,INDIRECT(W$4))+SUMIF(INDIRECT(W$3),'Struktur Vorjahr'!$D191,INDIRECT(W$5)))</f>
        <v>0</v>
      </c>
      <c r="X191" s="593">
        <f ca="1">$E191*(-SUMIF(INDIRECT(X$3),'Struktur Vorjahr'!$D191,INDIRECT(X$4))+SUMIF(INDIRECT(X$3),'Struktur Vorjahr'!$D191,INDIRECT(X$5)))</f>
        <v>0</v>
      </c>
      <c r="Y191" s="593">
        <f ca="1">$E191*(-SUMIF(INDIRECT(Y$3),'Struktur Vorjahr'!$D191,INDIRECT(Y$4))+SUMIF(INDIRECT(Y$3),'Struktur Vorjahr'!$D191,INDIRECT(Y$5)))</f>
        <v>0</v>
      </c>
      <c r="Z191" s="593">
        <f ca="1">$E191*(-SUMIF(INDIRECT(Z$3),'Struktur Vorjahr'!$D191,INDIRECT(Z$4))+SUMIF(INDIRECT(Z$3),'Struktur Vorjahr'!$D191,INDIRECT(Z$5)))</f>
        <v>0</v>
      </c>
      <c r="AA191" s="593">
        <f ca="1">$E191*(-SUMIF(INDIRECT(AA$3),'Struktur Vorjahr'!$D191,INDIRECT(AA$4))+SUMIF(INDIRECT(AA$3),'Struktur Vorjahr'!$D191,INDIRECT(AA$5)))</f>
        <v>0</v>
      </c>
      <c r="AB191" s="593">
        <f ca="1">$E191*(-SUMIF(INDIRECT(AB$3),'Struktur Vorjahr'!$D191,INDIRECT(AB$4))+SUMIF(INDIRECT(AB$3),'Struktur Vorjahr'!$D191,INDIRECT(AB$5)))</f>
        <v>0</v>
      </c>
      <c r="AC191" s="593">
        <f ca="1">$E191*(-SUMIF(INDIRECT(AC$3),'Struktur Vorjahr'!$D191,INDIRECT(AC$4))+SUMIF(INDIRECT(AC$3),'Struktur Vorjahr'!$D191,INDIRECT(AC$5)))</f>
        <v>0</v>
      </c>
      <c r="AD191" s="593">
        <f ca="1">$E191*(-SUMIF(INDIRECT(AD$3),'Struktur Vorjahr'!$D191,INDIRECT(AD$4))+SUMIF(INDIRECT(AD$3),'Struktur Vorjahr'!$D191,INDIRECT(AD$5)))</f>
        <v>0</v>
      </c>
      <c r="AE191" s="593">
        <f t="shared" ca="1" si="99"/>
        <v>0</v>
      </c>
      <c r="AF191" s="593">
        <f t="shared" ca="1" si="100"/>
        <v>0</v>
      </c>
      <c r="AG191" s="593">
        <f t="shared" ca="1" si="100"/>
        <v>0</v>
      </c>
      <c r="AH191" s="593">
        <f t="shared" ca="1" si="100"/>
        <v>0</v>
      </c>
      <c r="AI191" s="593">
        <f t="shared" ca="1" si="100"/>
        <v>0</v>
      </c>
      <c r="AJ191" s="593">
        <f t="shared" ca="1" si="100"/>
        <v>0</v>
      </c>
      <c r="AK191" s="593">
        <f t="shared" ca="1" si="100"/>
        <v>0</v>
      </c>
      <c r="AL191" s="593">
        <f t="shared" ca="1" si="100"/>
        <v>0</v>
      </c>
      <c r="AM191" s="593">
        <f t="shared" ca="1" si="100"/>
        <v>0</v>
      </c>
      <c r="AN191" s="593">
        <f t="shared" ca="1" si="100"/>
        <v>0</v>
      </c>
      <c r="AO191" s="593">
        <f t="shared" ca="1" si="100"/>
        <v>0</v>
      </c>
      <c r="AP191" s="593">
        <f t="shared" ca="1" si="100"/>
        <v>0</v>
      </c>
    </row>
    <row r="192" spans="1:42" s="594" customFormat="1" ht="11.25" outlineLevel="1" x14ac:dyDescent="0.2">
      <c r="A192" s="590"/>
      <c r="B192" s="591" t="str">
        <f>IF(D192&lt;&gt;"",
IF(ISERROR(MATCH(D192,'Ist Vorjahr Monat 01'!A:A,0))=FALSE,INDEX('Ist Vorjahr Monat 01'!B:B,MATCH(D192,'Ist Vorjahr Monat 01'!A:A,0)),
IF(ISERROR(MATCH(D192,'Ist Vorjahr Monat 02'!A:A,0))=FALSE,INDEX('Ist Vorjahr Monat 02'!B:B,MATCH(D192,'Ist Vorjahr Monat 02'!A:A,0)),
IF(ISERROR(MATCH(D192,'Ist Vorjahr Monat 03'!A:A,0))=FALSE,INDEX('Ist Vorjahr Monat 03'!B:B,MATCH(D192,'Ist Vorjahr Monat 03'!A:A,0)),
IF(ISERROR(MATCH(D192,'Ist Vorjahr Monat 04'!A:A,0))=FALSE,INDEX('Ist Vorjahr Monat 04'!B:B,MATCH(D192,'Ist Vorjahr Monat 04'!A:A,0)),
IF(ISERROR(MATCH(D192,'Ist Vorjahr Monat 05'!A:A,0))=FALSE,INDEX('Ist Vorjahr Monat 05'!B:B,MATCH(D192,'Ist Vorjahr Monat 05'!A:A,0)),
IF(ISERROR(MATCH(D192,'Ist Vorjahr Monat 06'!A:A,0))=FALSE,INDEX('Ist Vorjahr Monat 06'!B:B,MATCH(D192,'Ist Vorjahr Monat 06'!A:A,0)),
IF(ISERROR(MATCH(D192,'Ist Vorjahr Monat 07'!A:A,0))=FALSE,INDEX('Ist Vorjahr Monat 07'!B:B,MATCH(D192,'Ist Vorjahr Monat 07'!A:A,0)),
IF(ISERROR(MATCH(D192,'Ist Vorjahr Monat 08'!A:A,0))=FALSE,INDEX('Ist Vorjahr Monat 08'!B:B,MATCH(D192,'Ist Vorjahr Monat 08'!A:A,0)),
IF(ISERROR(MATCH(D192,'Ist Vorjahr Monat 09'!A:A,0))=FALSE,INDEX('Ist Vorjahr Monat 09'!B:B,MATCH(D192,'Ist Vorjahr Monat 09'!A:A,0)),
IF(ISERROR(MATCH(D192,'Ist Vorjahr Monat 10'!A:A,0))=FALSE,INDEX('Ist Vorjahr Monat 10'!B:B,MATCH(D192,'Ist Vorjahr Monat 10'!A:A,0)),
IF(ISERROR(MATCH(D192,'Ist Vorjahr Monat 11'!A:A,0))=FALSE,INDEX('Ist Vorjahr Monat 11'!B:B,MATCH(D192,'Ist Vorjahr Monat 11'!A:A,0)),
IF(ISERROR(MATCH(D192,'Ist Vorjahr Monat 12'!A:A,0))=FALSE,INDEX('Ist Vorjahr Monat 12'!B:B,MATCH(D192,'Ist Vorjahr Monat 12'!A:A,0)),
"{Konto unbekannt}"
)))))))))))),"")</f>
        <v/>
      </c>
      <c r="C192" s="591"/>
      <c r="D192" s="590"/>
      <c r="E192" s="592">
        <f t="shared" si="65"/>
        <v>1</v>
      </c>
      <c r="F192" s="590"/>
      <c r="G192" s="593">
        <f ca="1">$E192*(-SUMIF(INDIRECT(G$3),'Struktur Vorjahr'!$D192,INDIRECT(G$4))+SUMIF(INDIRECT(G$3),'Struktur Vorjahr'!$D192,INDIRECT(G$5)))</f>
        <v>0</v>
      </c>
      <c r="H192" s="593">
        <f ca="1">$E192*(-SUMIF(INDIRECT(H$3),'Struktur Vorjahr'!$D192,INDIRECT(H$4))+SUMIF(INDIRECT(H$3),'Struktur Vorjahr'!$D192,INDIRECT(H$5)))</f>
        <v>0</v>
      </c>
      <c r="I192" s="593">
        <f ca="1">$E192*(-SUMIF(INDIRECT(I$3),'Struktur Vorjahr'!$D192,INDIRECT(I$4))+SUMIF(INDIRECT(I$3),'Struktur Vorjahr'!$D192,INDIRECT(I$5)))</f>
        <v>0</v>
      </c>
      <c r="J192" s="593">
        <f ca="1">$E192*(-SUMIF(INDIRECT(J$3),'Struktur Vorjahr'!$D192,INDIRECT(J$4))+SUMIF(INDIRECT(J$3),'Struktur Vorjahr'!$D192,INDIRECT(J$5)))</f>
        <v>0</v>
      </c>
      <c r="K192" s="593">
        <f ca="1">$E192*(-SUMIF(INDIRECT(K$3),'Struktur Vorjahr'!$D192,INDIRECT(K$4))+SUMIF(INDIRECT(K$3),'Struktur Vorjahr'!$D192,INDIRECT(K$5)))</f>
        <v>0</v>
      </c>
      <c r="L192" s="593">
        <f ca="1">$E192*(-SUMIF(INDIRECT(L$3),'Struktur Vorjahr'!$D192,INDIRECT(L$4))+SUMIF(INDIRECT(L$3),'Struktur Vorjahr'!$D192,INDIRECT(L$5)))</f>
        <v>0</v>
      </c>
      <c r="M192" s="593">
        <f ca="1">$E192*(-SUMIF(INDIRECT(M$3),'Struktur Vorjahr'!$D192,INDIRECT(M$4))+SUMIF(INDIRECT(M$3),'Struktur Vorjahr'!$D192,INDIRECT(M$5)))</f>
        <v>0</v>
      </c>
      <c r="N192" s="593">
        <f ca="1">$E192*(-SUMIF(INDIRECT(N$3),'Struktur Vorjahr'!$D192,INDIRECT(N$4))+SUMIF(INDIRECT(N$3),'Struktur Vorjahr'!$D192,INDIRECT(N$5)))</f>
        <v>0</v>
      </c>
      <c r="O192" s="593">
        <f ca="1">$E192*(-SUMIF(INDIRECT(O$3),'Struktur Vorjahr'!$D192,INDIRECT(O$4))+SUMIF(INDIRECT(O$3),'Struktur Vorjahr'!$D192,INDIRECT(O$5)))</f>
        <v>0</v>
      </c>
      <c r="P192" s="593">
        <f ca="1">$E192*(-SUMIF(INDIRECT(P$3),'Struktur Vorjahr'!$D192,INDIRECT(P$4))+SUMIF(INDIRECT(P$3),'Struktur Vorjahr'!$D192,INDIRECT(P$5)))</f>
        <v>0</v>
      </c>
      <c r="Q192" s="593">
        <f ca="1">$E192*(-SUMIF(INDIRECT(Q$3),'Struktur Vorjahr'!$D192,INDIRECT(Q$4))+SUMIF(INDIRECT(Q$3),'Struktur Vorjahr'!$D192,INDIRECT(Q$5)))</f>
        <v>0</v>
      </c>
      <c r="R192" s="593">
        <f ca="1">$E192*(-SUMIF(INDIRECT(R$3),'Struktur Vorjahr'!$D192,INDIRECT(R$4))+SUMIF(INDIRECT(R$3),'Struktur Vorjahr'!$D192,INDIRECT(R$5)))</f>
        <v>0</v>
      </c>
      <c r="S192" s="593">
        <f ca="1">$E192*(-SUMIF(INDIRECT(S$3),'Struktur Vorjahr'!$D192,INDIRECT(S$4))+SUMIF(INDIRECT(S$3),'Struktur Vorjahr'!$D192,INDIRECT(S$5)))</f>
        <v>0</v>
      </c>
      <c r="T192" s="593">
        <f ca="1">$E192*(-SUMIF(INDIRECT(T$3),'Struktur Vorjahr'!$D192,INDIRECT(T$4))+SUMIF(INDIRECT(T$3),'Struktur Vorjahr'!$D192,INDIRECT(T$5)))</f>
        <v>0</v>
      </c>
      <c r="U192" s="593">
        <f ca="1">$E192*(-SUMIF(INDIRECT(U$3),'Struktur Vorjahr'!$D192,INDIRECT(U$4))+SUMIF(INDIRECT(U$3),'Struktur Vorjahr'!$D192,INDIRECT(U$5)))</f>
        <v>0</v>
      </c>
      <c r="V192" s="593">
        <f ca="1">$E192*(-SUMIF(INDIRECT(V$3),'Struktur Vorjahr'!$D192,INDIRECT(V$4))+SUMIF(INDIRECT(V$3),'Struktur Vorjahr'!$D192,INDIRECT(V$5)))</f>
        <v>0</v>
      </c>
      <c r="W192" s="593">
        <f ca="1">$E192*(-SUMIF(INDIRECT(W$3),'Struktur Vorjahr'!$D192,INDIRECT(W$4))+SUMIF(INDIRECT(W$3),'Struktur Vorjahr'!$D192,INDIRECT(W$5)))</f>
        <v>0</v>
      </c>
      <c r="X192" s="593">
        <f ca="1">$E192*(-SUMIF(INDIRECT(X$3),'Struktur Vorjahr'!$D192,INDIRECT(X$4))+SUMIF(INDIRECT(X$3),'Struktur Vorjahr'!$D192,INDIRECT(X$5)))</f>
        <v>0</v>
      </c>
      <c r="Y192" s="593">
        <f ca="1">$E192*(-SUMIF(INDIRECT(Y$3),'Struktur Vorjahr'!$D192,INDIRECT(Y$4))+SUMIF(INDIRECT(Y$3),'Struktur Vorjahr'!$D192,INDIRECT(Y$5)))</f>
        <v>0</v>
      </c>
      <c r="Z192" s="593">
        <f ca="1">$E192*(-SUMIF(INDIRECT(Z$3),'Struktur Vorjahr'!$D192,INDIRECT(Z$4))+SUMIF(INDIRECT(Z$3),'Struktur Vorjahr'!$D192,INDIRECT(Z$5)))</f>
        <v>0</v>
      </c>
      <c r="AA192" s="593">
        <f ca="1">$E192*(-SUMIF(INDIRECT(AA$3),'Struktur Vorjahr'!$D192,INDIRECT(AA$4))+SUMIF(INDIRECT(AA$3),'Struktur Vorjahr'!$D192,INDIRECT(AA$5)))</f>
        <v>0</v>
      </c>
      <c r="AB192" s="593">
        <f ca="1">$E192*(-SUMIF(INDIRECT(AB$3),'Struktur Vorjahr'!$D192,INDIRECT(AB$4))+SUMIF(INDIRECT(AB$3),'Struktur Vorjahr'!$D192,INDIRECT(AB$5)))</f>
        <v>0</v>
      </c>
      <c r="AC192" s="593">
        <f ca="1">$E192*(-SUMIF(INDIRECT(AC$3),'Struktur Vorjahr'!$D192,INDIRECT(AC$4))+SUMIF(INDIRECT(AC$3),'Struktur Vorjahr'!$D192,INDIRECT(AC$5)))</f>
        <v>0</v>
      </c>
      <c r="AD192" s="593">
        <f ca="1">$E192*(-SUMIF(INDIRECT(AD$3),'Struktur Vorjahr'!$D192,INDIRECT(AD$4))+SUMIF(INDIRECT(AD$3),'Struktur Vorjahr'!$D192,INDIRECT(AD$5)))</f>
        <v>0</v>
      </c>
      <c r="AE192" s="593">
        <f t="shared" ca="1" si="99"/>
        <v>0</v>
      </c>
      <c r="AF192" s="593">
        <f t="shared" ca="1" si="100"/>
        <v>0</v>
      </c>
      <c r="AG192" s="593">
        <f t="shared" ca="1" si="100"/>
        <v>0</v>
      </c>
      <c r="AH192" s="593">
        <f t="shared" ca="1" si="100"/>
        <v>0</v>
      </c>
      <c r="AI192" s="593">
        <f t="shared" ca="1" si="100"/>
        <v>0</v>
      </c>
      <c r="AJ192" s="593">
        <f t="shared" ca="1" si="100"/>
        <v>0</v>
      </c>
      <c r="AK192" s="593">
        <f t="shared" ca="1" si="100"/>
        <v>0</v>
      </c>
      <c r="AL192" s="593">
        <f t="shared" ca="1" si="100"/>
        <v>0</v>
      </c>
      <c r="AM192" s="593">
        <f t="shared" ca="1" si="100"/>
        <v>0</v>
      </c>
      <c r="AN192" s="593">
        <f t="shared" ca="1" si="100"/>
        <v>0</v>
      </c>
      <c r="AO192" s="593">
        <f t="shared" ca="1" si="100"/>
        <v>0</v>
      </c>
      <c r="AP192" s="593">
        <f t="shared" ca="1" si="100"/>
        <v>0</v>
      </c>
    </row>
    <row r="193" spans="1:42" s="594" customFormat="1" ht="11.25" outlineLevel="1" x14ac:dyDescent="0.2">
      <c r="A193" s="590"/>
      <c r="B193" s="591" t="str">
        <f>IF(D193&lt;&gt;"",
IF(ISERROR(MATCH(D193,'Ist Vorjahr Monat 01'!A:A,0))=FALSE,INDEX('Ist Vorjahr Monat 01'!B:B,MATCH(D193,'Ist Vorjahr Monat 01'!A:A,0)),
IF(ISERROR(MATCH(D193,'Ist Vorjahr Monat 02'!A:A,0))=FALSE,INDEX('Ist Vorjahr Monat 02'!B:B,MATCH(D193,'Ist Vorjahr Monat 02'!A:A,0)),
IF(ISERROR(MATCH(D193,'Ist Vorjahr Monat 03'!A:A,0))=FALSE,INDEX('Ist Vorjahr Monat 03'!B:B,MATCH(D193,'Ist Vorjahr Monat 03'!A:A,0)),
IF(ISERROR(MATCH(D193,'Ist Vorjahr Monat 04'!A:A,0))=FALSE,INDEX('Ist Vorjahr Monat 04'!B:B,MATCH(D193,'Ist Vorjahr Monat 04'!A:A,0)),
IF(ISERROR(MATCH(D193,'Ist Vorjahr Monat 05'!A:A,0))=FALSE,INDEX('Ist Vorjahr Monat 05'!B:B,MATCH(D193,'Ist Vorjahr Monat 05'!A:A,0)),
IF(ISERROR(MATCH(D193,'Ist Vorjahr Monat 06'!A:A,0))=FALSE,INDEX('Ist Vorjahr Monat 06'!B:B,MATCH(D193,'Ist Vorjahr Monat 06'!A:A,0)),
IF(ISERROR(MATCH(D193,'Ist Vorjahr Monat 07'!A:A,0))=FALSE,INDEX('Ist Vorjahr Monat 07'!B:B,MATCH(D193,'Ist Vorjahr Monat 07'!A:A,0)),
IF(ISERROR(MATCH(D193,'Ist Vorjahr Monat 08'!A:A,0))=FALSE,INDEX('Ist Vorjahr Monat 08'!B:B,MATCH(D193,'Ist Vorjahr Monat 08'!A:A,0)),
IF(ISERROR(MATCH(D193,'Ist Vorjahr Monat 09'!A:A,0))=FALSE,INDEX('Ist Vorjahr Monat 09'!B:B,MATCH(D193,'Ist Vorjahr Monat 09'!A:A,0)),
IF(ISERROR(MATCH(D193,'Ist Vorjahr Monat 10'!A:A,0))=FALSE,INDEX('Ist Vorjahr Monat 10'!B:B,MATCH(D193,'Ist Vorjahr Monat 10'!A:A,0)),
IF(ISERROR(MATCH(D193,'Ist Vorjahr Monat 11'!A:A,0))=FALSE,INDEX('Ist Vorjahr Monat 11'!B:B,MATCH(D193,'Ist Vorjahr Monat 11'!A:A,0)),
IF(ISERROR(MATCH(D193,'Ist Vorjahr Monat 12'!A:A,0))=FALSE,INDEX('Ist Vorjahr Monat 12'!B:B,MATCH(D193,'Ist Vorjahr Monat 12'!A:A,0)),
"{Konto unbekannt}"
)))))))))))),"")</f>
        <v/>
      </c>
      <c r="C193" s="591"/>
      <c r="D193" s="590"/>
      <c r="E193" s="592">
        <f t="shared" si="65"/>
        <v>1</v>
      </c>
      <c r="F193" s="590"/>
      <c r="G193" s="593">
        <f ca="1">$E193*(-SUMIF(INDIRECT(G$3),'Struktur Vorjahr'!$D193,INDIRECT(G$4))+SUMIF(INDIRECT(G$3),'Struktur Vorjahr'!$D193,INDIRECT(G$5)))</f>
        <v>0</v>
      </c>
      <c r="H193" s="593">
        <f ca="1">$E193*(-SUMIF(INDIRECT(H$3),'Struktur Vorjahr'!$D193,INDIRECT(H$4))+SUMIF(INDIRECT(H$3),'Struktur Vorjahr'!$D193,INDIRECT(H$5)))</f>
        <v>0</v>
      </c>
      <c r="I193" s="593">
        <f ca="1">$E193*(-SUMIF(INDIRECT(I$3),'Struktur Vorjahr'!$D193,INDIRECT(I$4))+SUMIF(INDIRECT(I$3),'Struktur Vorjahr'!$D193,INDIRECT(I$5)))</f>
        <v>0</v>
      </c>
      <c r="J193" s="593">
        <f ca="1">$E193*(-SUMIF(INDIRECT(J$3),'Struktur Vorjahr'!$D193,INDIRECT(J$4))+SUMIF(INDIRECT(J$3),'Struktur Vorjahr'!$D193,INDIRECT(J$5)))</f>
        <v>0</v>
      </c>
      <c r="K193" s="593">
        <f ca="1">$E193*(-SUMIF(INDIRECT(K$3),'Struktur Vorjahr'!$D193,INDIRECT(K$4))+SUMIF(INDIRECT(K$3),'Struktur Vorjahr'!$D193,INDIRECT(K$5)))</f>
        <v>0</v>
      </c>
      <c r="L193" s="593">
        <f ca="1">$E193*(-SUMIF(INDIRECT(L$3),'Struktur Vorjahr'!$D193,INDIRECT(L$4))+SUMIF(INDIRECT(L$3),'Struktur Vorjahr'!$D193,INDIRECT(L$5)))</f>
        <v>0</v>
      </c>
      <c r="M193" s="593">
        <f ca="1">$E193*(-SUMIF(INDIRECT(M$3),'Struktur Vorjahr'!$D193,INDIRECT(M$4))+SUMIF(INDIRECT(M$3),'Struktur Vorjahr'!$D193,INDIRECT(M$5)))</f>
        <v>0</v>
      </c>
      <c r="N193" s="593">
        <f ca="1">$E193*(-SUMIF(INDIRECT(N$3),'Struktur Vorjahr'!$D193,INDIRECT(N$4))+SUMIF(INDIRECT(N$3),'Struktur Vorjahr'!$D193,INDIRECT(N$5)))</f>
        <v>0</v>
      </c>
      <c r="O193" s="593">
        <f ca="1">$E193*(-SUMIF(INDIRECT(O$3),'Struktur Vorjahr'!$D193,INDIRECT(O$4))+SUMIF(INDIRECT(O$3),'Struktur Vorjahr'!$D193,INDIRECT(O$5)))</f>
        <v>0</v>
      </c>
      <c r="P193" s="593">
        <f ca="1">$E193*(-SUMIF(INDIRECT(P$3),'Struktur Vorjahr'!$D193,INDIRECT(P$4))+SUMIF(INDIRECT(P$3),'Struktur Vorjahr'!$D193,INDIRECT(P$5)))</f>
        <v>0</v>
      </c>
      <c r="Q193" s="593">
        <f ca="1">$E193*(-SUMIF(INDIRECT(Q$3),'Struktur Vorjahr'!$D193,INDIRECT(Q$4))+SUMIF(INDIRECT(Q$3),'Struktur Vorjahr'!$D193,INDIRECT(Q$5)))</f>
        <v>0</v>
      </c>
      <c r="R193" s="593">
        <f ca="1">$E193*(-SUMIF(INDIRECT(R$3),'Struktur Vorjahr'!$D193,INDIRECT(R$4))+SUMIF(INDIRECT(R$3),'Struktur Vorjahr'!$D193,INDIRECT(R$5)))</f>
        <v>0</v>
      </c>
      <c r="S193" s="593">
        <f ca="1">$E193*(-SUMIF(INDIRECT(S$3),'Struktur Vorjahr'!$D193,INDIRECT(S$4))+SUMIF(INDIRECT(S$3),'Struktur Vorjahr'!$D193,INDIRECT(S$5)))</f>
        <v>0</v>
      </c>
      <c r="T193" s="593">
        <f ca="1">$E193*(-SUMIF(INDIRECT(T$3),'Struktur Vorjahr'!$D193,INDIRECT(T$4))+SUMIF(INDIRECT(T$3),'Struktur Vorjahr'!$D193,INDIRECT(T$5)))</f>
        <v>0</v>
      </c>
      <c r="U193" s="593">
        <f ca="1">$E193*(-SUMIF(INDIRECT(U$3),'Struktur Vorjahr'!$D193,INDIRECT(U$4))+SUMIF(INDIRECT(U$3),'Struktur Vorjahr'!$D193,INDIRECT(U$5)))</f>
        <v>0</v>
      </c>
      <c r="V193" s="593">
        <f ca="1">$E193*(-SUMIF(INDIRECT(V$3),'Struktur Vorjahr'!$D193,INDIRECT(V$4))+SUMIF(INDIRECT(V$3),'Struktur Vorjahr'!$D193,INDIRECT(V$5)))</f>
        <v>0</v>
      </c>
      <c r="W193" s="593">
        <f ca="1">$E193*(-SUMIF(INDIRECT(W$3),'Struktur Vorjahr'!$D193,INDIRECT(W$4))+SUMIF(INDIRECT(W$3),'Struktur Vorjahr'!$D193,INDIRECT(W$5)))</f>
        <v>0</v>
      </c>
      <c r="X193" s="593">
        <f ca="1">$E193*(-SUMIF(INDIRECT(X$3),'Struktur Vorjahr'!$D193,INDIRECT(X$4))+SUMIF(INDIRECT(X$3),'Struktur Vorjahr'!$D193,INDIRECT(X$5)))</f>
        <v>0</v>
      </c>
      <c r="Y193" s="593">
        <f ca="1">$E193*(-SUMIF(INDIRECT(Y$3),'Struktur Vorjahr'!$D193,INDIRECT(Y$4))+SUMIF(INDIRECT(Y$3),'Struktur Vorjahr'!$D193,INDIRECT(Y$5)))</f>
        <v>0</v>
      </c>
      <c r="Z193" s="593">
        <f ca="1">$E193*(-SUMIF(INDIRECT(Z$3),'Struktur Vorjahr'!$D193,INDIRECT(Z$4))+SUMIF(INDIRECT(Z$3),'Struktur Vorjahr'!$D193,INDIRECT(Z$5)))</f>
        <v>0</v>
      </c>
      <c r="AA193" s="593">
        <f ca="1">$E193*(-SUMIF(INDIRECT(AA$3),'Struktur Vorjahr'!$D193,INDIRECT(AA$4))+SUMIF(INDIRECT(AA$3),'Struktur Vorjahr'!$D193,INDIRECT(AA$5)))</f>
        <v>0</v>
      </c>
      <c r="AB193" s="593">
        <f ca="1">$E193*(-SUMIF(INDIRECT(AB$3),'Struktur Vorjahr'!$D193,INDIRECT(AB$4))+SUMIF(INDIRECT(AB$3),'Struktur Vorjahr'!$D193,INDIRECT(AB$5)))</f>
        <v>0</v>
      </c>
      <c r="AC193" s="593">
        <f ca="1">$E193*(-SUMIF(INDIRECT(AC$3),'Struktur Vorjahr'!$D193,INDIRECT(AC$4))+SUMIF(INDIRECT(AC$3),'Struktur Vorjahr'!$D193,INDIRECT(AC$5)))</f>
        <v>0</v>
      </c>
      <c r="AD193" s="593">
        <f ca="1">$E193*(-SUMIF(INDIRECT(AD$3),'Struktur Vorjahr'!$D193,INDIRECT(AD$4))+SUMIF(INDIRECT(AD$3),'Struktur Vorjahr'!$D193,INDIRECT(AD$5)))</f>
        <v>0</v>
      </c>
      <c r="AE193" s="593">
        <f t="shared" ca="1" si="99"/>
        <v>0</v>
      </c>
      <c r="AF193" s="593">
        <f t="shared" ca="1" si="100"/>
        <v>0</v>
      </c>
      <c r="AG193" s="593">
        <f t="shared" ca="1" si="100"/>
        <v>0</v>
      </c>
      <c r="AH193" s="593">
        <f t="shared" ca="1" si="100"/>
        <v>0</v>
      </c>
      <c r="AI193" s="593">
        <f t="shared" ca="1" si="100"/>
        <v>0</v>
      </c>
      <c r="AJ193" s="593">
        <f t="shared" ca="1" si="100"/>
        <v>0</v>
      </c>
      <c r="AK193" s="593">
        <f t="shared" ca="1" si="100"/>
        <v>0</v>
      </c>
      <c r="AL193" s="593">
        <f t="shared" ca="1" si="100"/>
        <v>0</v>
      </c>
      <c r="AM193" s="593">
        <f t="shared" ca="1" si="100"/>
        <v>0</v>
      </c>
      <c r="AN193" s="593">
        <f t="shared" ca="1" si="100"/>
        <v>0</v>
      </c>
      <c r="AO193" s="593">
        <f t="shared" ca="1" si="100"/>
        <v>0</v>
      </c>
      <c r="AP193" s="593">
        <f t="shared" ca="1" si="100"/>
        <v>0</v>
      </c>
    </row>
    <row r="194" spans="1:42" s="594" customFormat="1" ht="11.25" outlineLevel="1" x14ac:dyDescent="0.2">
      <c r="A194" s="590"/>
      <c r="B194" s="591" t="str">
        <f>IF(D194&lt;&gt;"",
IF(ISERROR(MATCH(D194,'Ist Vorjahr Monat 01'!A:A,0))=FALSE,INDEX('Ist Vorjahr Monat 01'!B:B,MATCH(D194,'Ist Vorjahr Monat 01'!A:A,0)),
IF(ISERROR(MATCH(D194,'Ist Vorjahr Monat 02'!A:A,0))=FALSE,INDEX('Ist Vorjahr Monat 02'!B:B,MATCH(D194,'Ist Vorjahr Monat 02'!A:A,0)),
IF(ISERROR(MATCH(D194,'Ist Vorjahr Monat 03'!A:A,0))=FALSE,INDEX('Ist Vorjahr Monat 03'!B:B,MATCH(D194,'Ist Vorjahr Monat 03'!A:A,0)),
IF(ISERROR(MATCH(D194,'Ist Vorjahr Monat 04'!A:A,0))=FALSE,INDEX('Ist Vorjahr Monat 04'!B:B,MATCH(D194,'Ist Vorjahr Monat 04'!A:A,0)),
IF(ISERROR(MATCH(D194,'Ist Vorjahr Monat 05'!A:A,0))=FALSE,INDEX('Ist Vorjahr Monat 05'!B:B,MATCH(D194,'Ist Vorjahr Monat 05'!A:A,0)),
IF(ISERROR(MATCH(D194,'Ist Vorjahr Monat 06'!A:A,0))=FALSE,INDEX('Ist Vorjahr Monat 06'!B:B,MATCH(D194,'Ist Vorjahr Monat 06'!A:A,0)),
IF(ISERROR(MATCH(D194,'Ist Vorjahr Monat 07'!A:A,0))=FALSE,INDEX('Ist Vorjahr Monat 07'!B:B,MATCH(D194,'Ist Vorjahr Monat 07'!A:A,0)),
IF(ISERROR(MATCH(D194,'Ist Vorjahr Monat 08'!A:A,0))=FALSE,INDEX('Ist Vorjahr Monat 08'!B:B,MATCH(D194,'Ist Vorjahr Monat 08'!A:A,0)),
IF(ISERROR(MATCH(D194,'Ist Vorjahr Monat 09'!A:A,0))=FALSE,INDEX('Ist Vorjahr Monat 09'!B:B,MATCH(D194,'Ist Vorjahr Monat 09'!A:A,0)),
IF(ISERROR(MATCH(D194,'Ist Vorjahr Monat 10'!A:A,0))=FALSE,INDEX('Ist Vorjahr Monat 10'!B:B,MATCH(D194,'Ist Vorjahr Monat 10'!A:A,0)),
IF(ISERROR(MATCH(D194,'Ist Vorjahr Monat 11'!A:A,0))=FALSE,INDEX('Ist Vorjahr Monat 11'!B:B,MATCH(D194,'Ist Vorjahr Monat 11'!A:A,0)),
IF(ISERROR(MATCH(D194,'Ist Vorjahr Monat 12'!A:A,0))=FALSE,INDEX('Ist Vorjahr Monat 12'!B:B,MATCH(D194,'Ist Vorjahr Monat 12'!A:A,0)),
"{Konto unbekannt}"
)))))))))))),"")</f>
        <v/>
      </c>
      <c r="C194" s="591"/>
      <c r="D194" s="590"/>
      <c r="E194" s="592">
        <f t="shared" si="65"/>
        <v>1</v>
      </c>
      <c r="F194" s="590"/>
      <c r="G194" s="593">
        <f ca="1">$E194*(-SUMIF(INDIRECT(G$3),'Struktur Vorjahr'!$D194,INDIRECT(G$4))+SUMIF(INDIRECT(G$3),'Struktur Vorjahr'!$D194,INDIRECT(G$5)))</f>
        <v>0</v>
      </c>
      <c r="H194" s="593">
        <f ca="1">$E194*(-SUMIF(INDIRECT(H$3),'Struktur Vorjahr'!$D194,INDIRECT(H$4))+SUMIF(INDIRECT(H$3),'Struktur Vorjahr'!$D194,INDIRECT(H$5)))</f>
        <v>0</v>
      </c>
      <c r="I194" s="593">
        <f ca="1">$E194*(-SUMIF(INDIRECT(I$3),'Struktur Vorjahr'!$D194,INDIRECT(I$4))+SUMIF(INDIRECT(I$3),'Struktur Vorjahr'!$D194,INDIRECT(I$5)))</f>
        <v>0</v>
      </c>
      <c r="J194" s="593">
        <f ca="1">$E194*(-SUMIF(INDIRECT(J$3),'Struktur Vorjahr'!$D194,INDIRECT(J$4))+SUMIF(INDIRECT(J$3),'Struktur Vorjahr'!$D194,INDIRECT(J$5)))</f>
        <v>0</v>
      </c>
      <c r="K194" s="593">
        <f ca="1">$E194*(-SUMIF(INDIRECT(K$3),'Struktur Vorjahr'!$D194,INDIRECT(K$4))+SUMIF(INDIRECT(K$3),'Struktur Vorjahr'!$D194,INDIRECT(K$5)))</f>
        <v>0</v>
      </c>
      <c r="L194" s="593">
        <f ca="1">$E194*(-SUMIF(INDIRECT(L$3),'Struktur Vorjahr'!$D194,INDIRECT(L$4))+SUMIF(INDIRECT(L$3),'Struktur Vorjahr'!$D194,INDIRECT(L$5)))</f>
        <v>0</v>
      </c>
      <c r="M194" s="593">
        <f ca="1">$E194*(-SUMIF(INDIRECT(M$3),'Struktur Vorjahr'!$D194,INDIRECT(M$4))+SUMIF(INDIRECT(M$3),'Struktur Vorjahr'!$D194,INDIRECT(M$5)))</f>
        <v>0</v>
      </c>
      <c r="N194" s="593">
        <f ca="1">$E194*(-SUMIF(INDIRECT(N$3),'Struktur Vorjahr'!$D194,INDIRECT(N$4))+SUMIF(INDIRECT(N$3),'Struktur Vorjahr'!$D194,INDIRECT(N$5)))</f>
        <v>0</v>
      </c>
      <c r="O194" s="593">
        <f ca="1">$E194*(-SUMIF(INDIRECT(O$3),'Struktur Vorjahr'!$D194,INDIRECT(O$4))+SUMIF(INDIRECT(O$3),'Struktur Vorjahr'!$D194,INDIRECT(O$5)))</f>
        <v>0</v>
      </c>
      <c r="P194" s="593">
        <f ca="1">$E194*(-SUMIF(INDIRECT(P$3),'Struktur Vorjahr'!$D194,INDIRECT(P$4))+SUMIF(INDIRECT(P$3),'Struktur Vorjahr'!$D194,INDIRECT(P$5)))</f>
        <v>0</v>
      </c>
      <c r="Q194" s="593">
        <f ca="1">$E194*(-SUMIF(INDIRECT(Q$3),'Struktur Vorjahr'!$D194,INDIRECT(Q$4))+SUMIF(INDIRECT(Q$3),'Struktur Vorjahr'!$D194,INDIRECT(Q$5)))</f>
        <v>0</v>
      </c>
      <c r="R194" s="593">
        <f ca="1">$E194*(-SUMIF(INDIRECT(R$3),'Struktur Vorjahr'!$D194,INDIRECT(R$4))+SUMIF(INDIRECT(R$3),'Struktur Vorjahr'!$D194,INDIRECT(R$5)))</f>
        <v>0</v>
      </c>
      <c r="S194" s="593">
        <f ca="1">$E194*(-SUMIF(INDIRECT(S$3),'Struktur Vorjahr'!$D194,INDIRECT(S$4))+SUMIF(INDIRECT(S$3),'Struktur Vorjahr'!$D194,INDIRECT(S$5)))</f>
        <v>0</v>
      </c>
      <c r="T194" s="593">
        <f ca="1">$E194*(-SUMIF(INDIRECT(T$3),'Struktur Vorjahr'!$D194,INDIRECT(T$4))+SUMIF(INDIRECT(T$3),'Struktur Vorjahr'!$D194,INDIRECT(T$5)))</f>
        <v>0</v>
      </c>
      <c r="U194" s="593">
        <f ca="1">$E194*(-SUMIF(INDIRECT(U$3),'Struktur Vorjahr'!$D194,INDIRECT(U$4))+SUMIF(INDIRECT(U$3),'Struktur Vorjahr'!$D194,INDIRECT(U$5)))</f>
        <v>0</v>
      </c>
      <c r="V194" s="593">
        <f ca="1">$E194*(-SUMIF(INDIRECT(V$3),'Struktur Vorjahr'!$D194,INDIRECT(V$4))+SUMIF(INDIRECT(V$3),'Struktur Vorjahr'!$D194,INDIRECT(V$5)))</f>
        <v>0</v>
      </c>
      <c r="W194" s="593">
        <f ca="1">$E194*(-SUMIF(INDIRECT(W$3),'Struktur Vorjahr'!$D194,INDIRECT(W$4))+SUMIF(INDIRECT(W$3),'Struktur Vorjahr'!$D194,INDIRECT(W$5)))</f>
        <v>0</v>
      </c>
      <c r="X194" s="593">
        <f ca="1">$E194*(-SUMIF(INDIRECT(X$3),'Struktur Vorjahr'!$D194,INDIRECT(X$4))+SUMIF(INDIRECT(X$3),'Struktur Vorjahr'!$D194,INDIRECT(X$5)))</f>
        <v>0</v>
      </c>
      <c r="Y194" s="593">
        <f ca="1">$E194*(-SUMIF(INDIRECT(Y$3),'Struktur Vorjahr'!$D194,INDIRECT(Y$4))+SUMIF(INDIRECT(Y$3),'Struktur Vorjahr'!$D194,INDIRECT(Y$5)))</f>
        <v>0</v>
      </c>
      <c r="Z194" s="593">
        <f ca="1">$E194*(-SUMIF(INDIRECT(Z$3),'Struktur Vorjahr'!$D194,INDIRECT(Z$4))+SUMIF(INDIRECT(Z$3),'Struktur Vorjahr'!$D194,INDIRECT(Z$5)))</f>
        <v>0</v>
      </c>
      <c r="AA194" s="593">
        <f ca="1">$E194*(-SUMIF(INDIRECT(AA$3),'Struktur Vorjahr'!$D194,INDIRECT(AA$4))+SUMIF(INDIRECT(AA$3),'Struktur Vorjahr'!$D194,INDIRECT(AA$5)))</f>
        <v>0</v>
      </c>
      <c r="AB194" s="593">
        <f ca="1">$E194*(-SUMIF(INDIRECT(AB$3),'Struktur Vorjahr'!$D194,INDIRECT(AB$4))+SUMIF(INDIRECT(AB$3),'Struktur Vorjahr'!$D194,INDIRECT(AB$5)))</f>
        <v>0</v>
      </c>
      <c r="AC194" s="593">
        <f ca="1">$E194*(-SUMIF(INDIRECT(AC$3),'Struktur Vorjahr'!$D194,INDIRECT(AC$4))+SUMIF(INDIRECT(AC$3),'Struktur Vorjahr'!$D194,INDIRECT(AC$5)))</f>
        <v>0</v>
      </c>
      <c r="AD194" s="593">
        <f ca="1">$E194*(-SUMIF(INDIRECT(AD$3),'Struktur Vorjahr'!$D194,INDIRECT(AD$4))+SUMIF(INDIRECT(AD$3),'Struktur Vorjahr'!$D194,INDIRECT(AD$5)))</f>
        <v>0</v>
      </c>
      <c r="AE194" s="593">
        <f t="shared" ca="1" si="99"/>
        <v>0</v>
      </c>
      <c r="AF194" s="593">
        <f t="shared" ca="1" si="100"/>
        <v>0</v>
      </c>
      <c r="AG194" s="593">
        <f t="shared" ca="1" si="100"/>
        <v>0</v>
      </c>
      <c r="AH194" s="593">
        <f t="shared" ca="1" si="100"/>
        <v>0</v>
      </c>
      <c r="AI194" s="593">
        <f t="shared" ca="1" si="100"/>
        <v>0</v>
      </c>
      <c r="AJ194" s="593">
        <f t="shared" ca="1" si="100"/>
        <v>0</v>
      </c>
      <c r="AK194" s="593">
        <f t="shared" ca="1" si="100"/>
        <v>0</v>
      </c>
      <c r="AL194" s="593">
        <f t="shared" ca="1" si="100"/>
        <v>0</v>
      </c>
      <c r="AM194" s="593">
        <f t="shared" ca="1" si="100"/>
        <v>0</v>
      </c>
      <c r="AN194" s="593">
        <f t="shared" ca="1" si="100"/>
        <v>0</v>
      </c>
      <c r="AO194" s="593">
        <f t="shared" ca="1" si="100"/>
        <v>0</v>
      </c>
      <c r="AP194" s="593">
        <f t="shared" ca="1" si="100"/>
        <v>0</v>
      </c>
    </row>
    <row r="195" spans="1:42" s="594" customFormat="1" ht="11.25" outlineLevel="1" x14ac:dyDescent="0.2">
      <c r="A195" s="590"/>
      <c r="B195" s="591" t="str">
        <f>IF(D195&lt;&gt;"",
IF(ISERROR(MATCH(D195,'Ist Vorjahr Monat 01'!A:A,0))=FALSE,INDEX('Ist Vorjahr Monat 01'!B:B,MATCH(D195,'Ist Vorjahr Monat 01'!A:A,0)),
IF(ISERROR(MATCH(D195,'Ist Vorjahr Monat 02'!A:A,0))=FALSE,INDEX('Ist Vorjahr Monat 02'!B:B,MATCH(D195,'Ist Vorjahr Monat 02'!A:A,0)),
IF(ISERROR(MATCH(D195,'Ist Vorjahr Monat 03'!A:A,0))=FALSE,INDEX('Ist Vorjahr Monat 03'!B:B,MATCH(D195,'Ist Vorjahr Monat 03'!A:A,0)),
IF(ISERROR(MATCH(D195,'Ist Vorjahr Monat 04'!A:A,0))=FALSE,INDEX('Ist Vorjahr Monat 04'!B:B,MATCH(D195,'Ist Vorjahr Monat 04'!A:A,0)),
IF(ISERROR(MATCH(D195,'Ist Vorjahr Monat 05'!A:A,0))=FALSE,INDEX('Ist Vorjahr Monat 05'!B:B,MATCH(D195,'Ist Vorjahr Monat 05'!A:A,0)),
IF(ISERROR(MATCH(D195,'Ist Vorjahr Monat 06'!A:A,0))=FALSE,INDEX('Ist Vorjahr Monat 06'!B:B,MATCH(D195,'Ist Vorjahr Monat 06'!A:A,0)),
IF(ISERROR(MATCH(D195,'Ist Vorjahr Monat 07'!A:A,0))=FALSE,INDEX('Ist Vorjahr Monat 07'!B:B,MATCH(D195,'Ist Vorjahr Monat 07'!A:A,0)),
IF(ISERROR(MATCH(D195,'Ist Vorjahr Monat 08'!A:A,0))=FALSE,INDEX('Ist Vorjahr Monat 08'!B:B,MATCH(D195,'Ist Vorjahr Monat 08'!A:A,0)),
IF(ISERROR(MATCH(D195,'Ist Vorjahr Monat 09'!A:A,0))=FALSE,INDEX('Ist Vorjahr Monat 09'!B:B,MATCH(D195,'Ist Vorjahr Monat 09'!A:A,0)),
IF(ISERROR(MATCH(D195,'Ist Vorjahr Monat 10'!A:A,0))=FALSE,INDEX('Ist Vorjahr Monat 10'!B:B,MATCH(D195,'Ist Vorjahr Monat 10'!A:A,0)),
IF(ISERROR(MATCH(D195,'Ist Vorjahr Monat 11'!A:A,0))=FALSE,INDEX('Ist Vorjahr Monat 11'!B:B,MATCH(D195,'Ist Vorjahr Monat 11'!A:A,0)),
IF(ISERROR(MATCH(D195,'Ist Vorjahr Monat 12'!A:A,0))=FALSE,INDEX('Ist Vorjahr Monat 12'!B:B,MATCH(D195,'Ist Vorjahr Monat 12'!A:A,0)),
"{Konto unbekannt}"
)))))))))))),"")</f>
        <v/>
      </c>
      <c r="C195" s="591"/>
      <c r="D195" s="590"/>
      <c r="E195" s="592">
        <f t="shared" si="65"/>
        <v>1</v>
      </c>
      <c r="F195" s="590"/>
      <c r="G195" s="593">
        <f ca="1">$E195*(-SUMIF(INDIRECT(G$3),'Struktur Vorjahr'!$D195,INDIRECT(G$4))+SUMIF(INDIRECT(G$3),'Struktur Vorjahr'!$D195,INDIRECT(G$5)))</f>
        <v>0</v>
      </c>
      <c r="H195" s="593">
        <f ca="1">$E195*(-SUMIF(INDIRECT(H$3),'Struktur Vorjahr'!$D195,INDIRECT(H$4))+SUMIF(INDIRECT(H$3),'Struktur Vorjahr'!$D195,INDIRECT(H$5)))</f>
        <v>0</v>
      </c>
      <c r="I195" s="593">
        <f ca="1">$E195*(-SUMIF(INDIRECT(I$3),'Struktur Vorjahr'!$D195,INDIRECT(I$4))+SUMIF(INDIRECT(I$3),'Struktur Vorjahr'!$D195,INDIRECT(I$5)))</f>
        <v>0</v>
      </c>
      <c r="J195" s="593">
        <f ca="1">$E195*(-SUMIF(INDIRECT(J$3),'Struktur Vorjahr'!$D195,INDIRECT(J$4))+SUMIF(INDIRECT(J$3),'Struktur Vorjahr'!$D195,INDIRECT(J$5)))</f>
        <v>0</v>
      </c>
      <c r="K195" s="593">
        <f ca="1">$E195*(-SUMIF(INDIRECT(K$3),'Struktur Vorjahr'!$D195,INDIRECT(K$4))+SUMIF(INDIRECT(K$3),'Struktur Vorjahr'!$D195,INDIRECT(K$5)))</f>
        <v>0</v>
      </c>
      <c r="L195" s="593">
        <f ca="1">$E195*(-SUMIF(INDIRECT(L$3),'Struktur Vorjahr'!$D195,INDIRECT(L$4))+SUMIF(INDIRECT(L$3),'Struktur Vorjahr'!$D195,INDIRECT(L$5)))</f>
        <v>0</v>
      </c>
      <c r="M195" s="593">
        <f ca="1">$E195*(-SUMIF(INDIRECT(M$3),'Struktur Vorjahr'!$D195,INDIRECT(M$4))+SUMIF(INDIRECT(M$3),'Struktur Vorjahr'!$D195,INDIRECT(M$5)))</f>
        <v>0</v>
      </c>
      <c r="N195" s="593">
        <f ca="1">$E195*(-SUMIF(INDIRECT(N$3),'Struktur Vorjahr'!$D195,INDIRECT(N$4))+SUMIF(INDIRECT(N$3),'Struktur Vorjahr'!$D195,INDIRECT(N$5)))</f>
        <v>0</v>
      </c>
      <c r="O195" s="593">
        <f ca="1">$E195*(-SUMIF(INDIRECT(O$3),'Struktur Vorjahr'!$D195,INDIRECT(O$4))+SUMIF(INDIRECT(O$3),'Struktur Vorjahr'!$D195,INDIRECT(O$5)))</f>
        <v>0</v>
      </c>
      <c r="P195" s="593">
        <f ca="1">$E195*(-SUMIF(INDIRECT(P$3),'Struktur Vorjahr'!$D195,INDIRECT(P$4))+SUMIF(INDIRECT(P$3),'Struktur Vorjahr'!$D195,INDIRECT(P$5)))</f>
        <v>0</v>
      </c>
      <c r="Q195" s="593">
        <f ca="1">$E195*(-SUMIF(INDIRECT(Q$3),'Struktur Vorjahr'!$D195,INDIRECT(Q$4))+SUMIF(INDIRECT(Q$3),'Struktur Vorjahr'!$D195,INDIRECT(Q$5)))</f>
        <v>0</v>
      </c>
      <c r="R195" s="593">
        <f ca="1">$E195*(-SUMIF(INDIRECT(R$3),'Struktur Vorjahr'!$D195,INDIRECT(R$4))+SUMIF(INDIRECT(R$3),'Struktur Vorjahr'!$D195,INDIRECT(R$5)))</f>
        <v>0</v>
      </c>
      <c r="S195" s="593">
        <f ca="1">$E195*(-SUMIF(INDIRECT(S$3),'Struktur Vorjahr'!$D195,INDIRECT(S$4))+SUMIF(INDIRECT(S$3),'Struktur Vorjahr'!$D195,INDIRECT(S$5)))</f>
        <v>0</v>
      </c>
      <c r="T195" s="593">
        <f ca="1">$E195*(-SUMIF(INDIRECT(T$3),'Struktur Vorjahr'!$D195,INDIRECT(T$4))+SUMIF(INDIRECT(T$3),'Struktur Vorjahr'!$D195,INDIRECT(T$5)))</f>
        <v>0</v>
      </c>
      <c r="U195" s="593">
        <f ca="1">$E195*(-SUMIF(INDIRECT(U$3),'Struktur Vorjahr'!$D195,INDIRECT(U$4))+SUMIF(INDIRECT(U$3),'Struktur Vorjahr'!$D195,INDIRECT(U$5)))</f>
        <v>0</v>
      </c>
      <c r="V195" s="593">
        <f ca="1">$E195*(-SUMIF(INDIRECT(V$3),'Struktur Vorjahr'!$D195,INDIRECT(V$4))+SUMIF(INDIRECT(V$3),'Struktur Vorjahr'!$D195,INDIRECT(V$5)))</f>
        <v>0</v>
      </c>
      <c r="W195" s="593">
        <f ca="1">$E195*(-SUMIF(INDIRECT(W$3),'Struktur Vorjahr'!$D195,INDIRECT(W$4))+SUMIF(INDIRECT(W$3),'Struktur Vorjahr'!$D195,INDIRECT(W$5)))</f>
        <v>0</v>
      </c>
      <c r="X195" s="593">
        <f ca="1">$E195*(-SUMIF(INDIRECT(X$3),'Struktur Vorjahr'!$D195,INDIRECT(X$4))+SUMIF(INDIRECT(X$3),'Struktur Vorjahr'!$D195,INDIRECT(X$5)))</f>
        <v>0</v>
      </c>
      <c r="Y195" s="593">
        <f ca="1">$E195*(-SUMIF(INDIRECT(Y$3),'Struktur Vorjahr'!$D195,INDIRECT(Y$4))+SUMIF(INDIRECT(Y$3),'Struktur Vorjahr'!$D195,INDIRECT(Y$5)))</f>
        <v>0</v>
      </c>
      <c r="Z195" s="593">
        <f ca="1">$E195*(-SUMIF(INDIRECT(Z$3),'Struktur Vorjahr'!$D195,INDIRECT(Z$4))+SUMIF(INDIRECT(Z$3),'Struktur Vorjahr'!$D195,INDIRECT(Z$5)))</f>
        <v>0</v>
      </c>
      <c r="AA195" s="593">
        <f ca="1">$E195*(-SUMIF(INDIRECT(AA$3),'Struktur Vorjahr'!$D195,INDIRECT(AA$4))+SUMIF(INDIRECT(AA$3),'Struktur Vorjahr'!$D195,INDIRECT(AA$5)))</f>
        <v>0</v>
      </c>
      <c r="AB195" s="593">
        <f ca="1">$E195*(-SUMIF(INDIRECT(AB$3),'Struktur Vorjahr'!$D195,INDIRECT(AB$4))+SUMIF(INDIRECT(AB$3),'Struktur Vorjahr'!$D195,INDIRECT(AB$5)))</f>
        <v>0</v>
      </c>
      <c r="AC195" s="593">
        <f ca="1">$E195*(-SUMIF(INDIRECT(AC$3),'Struktur Vorjahr'!$D195,INDIRECT(AC$4))+SUMIF(INDIRECT(AC$3),'Struktur Vorjahr'!$D195,INDIRECT(AC$5)))</f>
        <v>0</v>
      </c>
      <c r="AD195" s="593">
        <f ca="1">$E195*(-SUMIF(INDIRECT(AD$3),'Struktur Vorjahr'!$D195,INDIRECT(AD$4))+SUMIF(INDIRECT(AD$3),'Struktur Vorjahr'!$D195,INDIRECT(AD$5)))</f>
        <v>0</v>
      </c>
      <c r="AE195" s="593">
        <f t="shared" ca="1" si="99"/>
        <v>0</v>
      </c>
      <c r="AF195" s="593">
        <f t="shared" ca="1" si="100"/>
        <v>0</v>
      </c>
      <c r="AG195" s="593">
        <f t="shared" ca="1" si="100"/>
        <v>0</v>
      </c>
      <c r="AH195" s="593">
        <f t="shared" ca="1" si="100"/>
        <v>0</v>
      </c>
      <c r="AI195" s="593">
        <f t="shared" ca="1" si="100"/>
        <v>0</v>
      </c>
      <c r="AJ195" s="593">
        <f t="shared" ca="1" si="100"/>
        <v>0</v>
      </c>
      <c r="AK195" s="593">
        <f t="shared" ca="1" si="100"/>
        <v>0</v>
      </c>
      <c r="AL195" s="593">
        <f t="shared" ca="1" si="100"/>
        <v>0</v>
      </c>
      <c r="AM195" s="593">
        <f t="shared" ca="1" si="100"/>
        <v>0</v>
      </c>
      <c r="AN195" s="593">
        <f t="shared" ca="1" si="100"/>
        <v>0</v>
      </c>
      <c r="AO195" s="593">
        <f t="shared" ca="1" si="100"/>
        <v>0</v>
      </c>
      <c r="AP195" s="593">
        <f t="shared" ca="1" si="100"/>
        <v>0</v>
      </c>
    </row>
    <row r="196" spans="1:42" s="594" customFormat="1" ht="11.25" outlineLevel="1" x14ac:dyDescent="0.2">
      <c r="A196" s="590"/>
      <c r="B196" s="591" t="str">
        <f>IF(D196&lt;&gt;"",
IF(ISERROR(MATCH(D196,'Ist Vorjahr Monat 01'!A:A,0))=FALSE,INDEX('Ist Vorjahr Monat 01'!B:B,MATCH(D196,'Ist Vorjahr Monat 01'!A:A,0)),
IF(ISERROR(MATCH(D196,'Ist Vorjahr Monat 02'!A:A,0))=FALSE,INDEX('Ist Vorjahr Monat 02'!B:B,MATCH(D196,'Ist Vorjahr Monat 02'!A:A,0)),
IF(ISERROR(MATCH(D196,'Ist Vorjahr Monat 03'!A:A,0))=FALSE,INDEX('Ist Vorjahr Monat 03'!B:B,MATCH(D196,'Ist Vorjahr Monat 03'!A:A,0)),
IF(ISERROR(MATCH(D196,'Ist Vorjahr Monat 04'!A:A,0))=FALSE,INDEX('Ist Vorjahr Monat 04'!B:B,MATCH(D196,'Ist Vorjahr Monat 04'!A:A,0)),
IF(ISERROR(MATCH(D196,'Ist Vorjahr Monat 05'!A:A,0))=FALSE,INDEX('Ist Vorjahr Monat 05'!B:B,MATCH(D196,'Ist Vorjahr Monat 05'!A:A,0)),
IF(ISERROR(MATCH(D196,'Ist Vorjahr Monat 06'!A:A,0))=FALSE,INDEX('Ist Vorjahr Monat 06'!B:B,MATCH(D196,'Ist Vorjahr Monat 06'!A:A,0)),
IF(ISERROR(MATCH(D196,'Ist Vorjahr Monat 07'!A:A,0))=FALSE,INDEX('Ist Vorjahr Monat 07'!B:B,MATCH(D196,'Ist Vorjahr Monat 07'!A:A,0)),
IF(ISERROR(MATCH(D196,'Ist Vorjahr Monat 08'!A:A,0))=FALSE,INDEX('Ist Vorjahr Monat 08'!B:B,MATCH(D196,'Ist Vorjahr Monat 08'!A:A,0)),
IF(ISERROR(MATCH(D196,'Ist Vorjahr Monat 09'!A:A,0))=FALSE,INDEX('Ist Vorjahr Monat 09'!B:B,MATCH(D196,'Ist Vorjahr Monat 09'!A:A,0)),
IF(ISERROR(MATCH(D196,'Ist Vorjahr Monat 10'!A:A,0))=FALSE,INDEX('Ist Vorjahr Monat 10'!B:B,MATCH(D196,'Ist Vorjahr Monat 10'!A:A,0)),
IF(ISERROR(MATCH(D196,'Ist Vorjahr Monat 11'!A:A,0))=FALSE,INDEX('Ist Vorjahr Monat 11'!B:B,MATCH(D196,'Ist Vorjahr Monat 11'!A:A,0)),
IF(ISERROR(MATCH(D196,'Ist Vorjahr Monat 12'!A:A,0))=FALSE,INDEX('Ist Vorjahr Monat 12'!B:B,MATCH(D196,'Ist Vorjahr Monat 12'!A:A,0)),
"{Konto unbekannt}"
)))))))))))),"")</f>
        <v/>
      </c>
      <c r="C196" s="591"/>
      <c r="D196" s="590"/>
      <c r="E196" s="592">
        <f t="shared" si="65"/>
        <v>1</v>
      </c>
      <c r="F196" s="590"/>
      <c r="G196" s="593">
        <f ca="1">$E196*(-SUMIF(INDIRECT(G$3),'Struktur Vorjahr'!$D196,INDIRECT(G$4))+SUMIF(INDIRECT(G$3),'Struktur Vorjahr'!$D196,INDIRECT(G$5)))</f>
        <v>0</v>
      </c>
      <c r="H196" s="593">
        <f ca="1">$E196*(-SUMIF(INDIRECT(H$3),'Struktur Vorjahr'!$D196,INDIRECT(H$4))+SUMIF(INDIRECT(H$3),'Struktur Vorjahr'!$D196,INDIRECT(H$5)))</f>
        <v>0</v>
      </c>
      <c r="I196" s="593">
        <f ca="1">$E196*(-SUMIF(INDIRECT(I$3),'Struktur Vorjahr'!$D196,INDIRECT(I$4))+SUMIF(INDIRECT(I$3),'Struktur Vorjahr'!$D196,INDIRECT(I$5)))</f>
        <v>0</v>
      </c>
      <c r="J196" s="593">
        <f ca="1">$E196*(-SUMIF(INDIRECT(J$3),'Struktur Vorjahr'!$D196,INDIRECT(J$4))+SUMIF(INDIRECT(J$3),'Struktur Vorjahr'!$D196,INDIRECT(J$5)))</f>
        <v>0</v>
      </c>
      <c r="K196" s="593">
        <f ca="1">$E196*(-SUMIF(INDIRECT(K$3),'Struktur Vorjahr'!$D196,INDIRECT(K$4))+SUMIF(INDIRECT(K$3),'Struktur Vorjahr'!$D196,INDIRECT(K$5)))</f>
        <v>0</v>
      </c>
      <c r="L196" s="593">
        <f ca="1">$E196*(-SUMIF(INDIRECT(L$3),'Struktur Vorjahr'!$D196,INDIRECT(L$4))+SUMIF(INDIRECT(L$3),'Struktur Vorjahr'!$D196,INDIRECT(L$5)))</f>
        <v>0</v>
      </c>
      <c r="M196" s="593">
        <f ca="1">$E196*(-SUMIF(INDIRECT(M$3),'Struktur Vorjahr'!$D196,INDIRECT(M$4))+SUMIF(INDIRECT(M$3),'Struktur Vorjahr'!$D196,INDIRECT(M$5)))</f>
        <v>0</v>
      </c>
      <c r="N196" s="593">
        <f ca="1">$E196*(-SUMIF(INDIRECT(N$3),'Struktur Vorjahr'!$D196,INDIRECT(N$4))+SUMIF(INDIRECT(N$3),'Struktur Vorjahr'!$D196,INDIRECT(N$5)))</f>
        <v>0</v>
      </c>
      <c r="O196" s="593">
        <f ca="1">$E196*(-SUMIF(INDIRECT(O$3),'Struktur Vorjahr'!$D196,INDIRECT(O$4))+SUMIF(INDIRECT(O$3),'Struktur Vorjahr'!$D196,INDIRECT(O$5)))</f>
        <v>0</v>
      </c>
      <c r="P196" s="593">
        <f ca="1">$E196*(-SUMIF(INDIRECT(P$3),'Struktur Vorjahr'!$D196,INDIRECT(P$4))+SUMIF(INDIRECT(P$3),'Struktur Vorjahr'!$D196,INDIRECT(P$5)))</f>
        <v>0</v>
      </c>
      <c r="Q196" s="593">
        <f ca="1">$E196*(-SUMIF(INDIRECT(Q$3),'Struktur Vorjahr'!$D196,INDIRECT(Q$4))+SUMIF(INDIRECT(Q$3),'Struktur Vorjahr'!$D196,INDIRECT(Q$5)))</f>
        <v>0</v>
      </c>
      <c r="R196" s="593">
        <f ca="1">$E196*(-SUMIF(INDIRECT(R$3),'Struktur Vorjahr'!$D196,INDIRECT(R$4))+SUMIF(INDIRECT(R$3),'Struktur Vorjahr'!$D196,INDIRECT(R$5)))</f>
        <v>0</v>
      </c>
      <c r="S196" s="593">
        <f ca="1">$E196*(-SUMIF(INDIRECT(S$3),'Struktur Vorjahr'!$D196,INDIRECT(S$4))+SUMIF(INDIRECT(S$3),'Struktur Vorjahr'!$D196,INDIRECT(S$5)))</f>
        <v>0</v>
      </c>
      <c r="T196" s="593">
        <f ca="1">$E196*(-SUMIF(INDIRECT(T$3),'Struktur Vorjahr'!$D196,INDIRECT(T$4))+SUMIF(INDIRECT(T$3),'Struktur Vorjahr'!$D196,INDIRECT(T$5)))</f>
        <v>0</v>
      </c>
      <c r="U196" s="593">
        <f ca="1">$E196*(-SUMIF(INDIRECT(U$3),'Struktur Vorjahr'!$D196,INDIRECT(U$4))+SUMIF(INDIRECT(U$3),'Struktur Vorjahr'!$D196,INDIRECT(U$5)))</f>
        <v>0</v>
      </c>
      <c r="V196" s="593">
        <f ca="1">$E196*(-SUMIF(INDIRECT(V$3),'Struktur Vorjahr'!$D196,INDIRECT(V$4))+SUMIF(INDIRECT(V$3),'Struktur Vorjahr'!$D196,INDIRECT(V$5)))</f>
        <v>0</v>
      </c>
      <c r="W196" s="593">
        <f ca="1">$E196*(-SUMIF(INDIRECT(W$3),'Struktur Vorjahr'!$D196,INDIRECT(W$4))+SUMIF(INDIRECT(W$3),'Struktur Vorjahr'!$D196,INDIRECT(W$5)))</f>
        <v>0</v>
      </c>
      <c r="X196" s="593">
        <f ca="1">$E196*(-SUMIF(INDIRECT(X$3),'Struktur Vorjahr'!$D196,INDIRECT(X$4))+SUMIF(INDIRECT(X$3),'Struktur Vorjahr'!$D196,INDIRECT(X$5)))</f>
        <v>0</v>
      </c>
      <c r="Y196" s="593">
        <f ca="1">$E196*(-SUMIF(INDIRECT(Y$3),'Struktur Vorjahr'!$D196,INDIRECT(Y$4))+SUMIF(INDIRECT(Y$3),'Struktur Vorjahr'!$D196,INDIRECT(Y$5)))</f>
        <v>0</v>
      </c>
      <c r="Z196" s="593">
        <f ca="1">$E196*(-SUMIF(INDIRECT(Z$3),'Struktur Vorjahr'!$D196,INDIRECT(Z$4))+SUMIF(INDIRECT(Z$3),'Struktur Vorjahr'!$D196,INDIRECT(Z$5)))</f>
        <v>0</v>
      </c>
      <c r="AA196" s="593">
        <f ca="1">$E196*(-SUMIF(INDIRECT(AA$3),'Struktur Vorjahr'!$D196,INDIRECT(AA$4))+SUMIF(INDIRECT(AA$3),'Struktur Vorjahr'!$D196,INDIRECT(AA$5)))</f>
        <v>0</v>
      </c>
      <c r="AB196" s="593">
        <f ca="1">$E196*(-SUMIF(INDIRECT(AB$3),'Struktur Vorjahr'!$D196,INDIRECT(AB$4))+SUMIF(INDIRECT(AB$3),'Struktur Vorjahr'!$D196,INDIRECT(AB$5)))</f>
        <v>0</v>
      </c>
      <c r="AC196" s="593">
        <f ca="1">$E196*(-SUMIF(INDIRECT(AC$3),'Struktur Vorjahr'!$D196,INDIRECT(AC$4))+SUMIF(INDIRECT(AC$3),'Struktur Vorjahr'!$D196,INDIRECT(AC$5)))</f>
        <v>0</v>
      </c>
      <c r="AD196" s="593">
        <f ca="1">$E196*(-SUMIF(INDIRECT(AD$3),'Struktur Vorjahr'!$D196,INDIRECT(AD$4))+SUMIF(INDIRECT(AD$3),'Struktur Vorjahr'!$D196,INDIRECT(AD$5)))</f>
        <v>0</v>
      </c>
      <c r="AE196" s="593">
        <f t="shared" ca="1" si="99"/>
        <v>0</v>
      </c>
      <c r="AF196" s="593">
        <f t="shared" ca="1" si="100"/>
        <v>0</v>
      </c>
      <c r="AG196" s="593">
        <f t="shared" ca="1" si="100"/>
        <v>0</v>
      </c>
      <c r="AH196" s="593">
        <f t="shared" ca="1" si="100"/>
        <v>0</v>
      </c>
      <c r="AI196" s="593">
        <f t="shared" ca="1" si="100"/>
        <v>0</v>
      </c>
      <c r="AJ196" s="593">
        <f t="shared" ca="1" si="100"/>
        <v>0</v>
      </c>
      <c r="AK196" s="593">
        <f t="shared" ca="1" si="100"/>
        <v>0</v>
      </c>
      <c r="AL196" s="593">
        <f t="shared" ca="1" si="100"/>
        <v>0</v>
      </c>
      <c r="AM196" s="593">
        <f t="shared" ca="1" si="100"/>
        <v>0</v>
      </c>
      <c r="AN196" s="593">
        <f t="shared" ca="1" si="100"/>
        <v>0</v>
      </c>
      <c r="AO196" s="593">
        <f t="shared" ca="1" si="100"/>
        <v>0</v>
      </c>
      <c r="AP196" s="593">
        <f t="shared" ca="1" si="100"/>
        <v>0</v>
      </c>
    </row>
    <row r="197" spans="1:42" s="594" customFormat="1" ht="11.25" outlineLevel="1" x14ac:dyDescent="0.2">
      <c r="A197" s="590"/>
      <c r="B197" s="591" t="str">
        <f>IF(D197&lt;&gt;"",
IF(ISERROR(MATCH(D197,'Ist Vorjahr Monat 01'!A:A,0))=FALSE,INDEX('Ist Vorjahr Monat 01'!B:B,MATCH(D197,'Ist Vorjahr Monat 01'!A:A,0)),
IF(ISERROR(MATCH(D197,'Ist Vorjahr Monat 02'!A:A,0))=FALSE,INDEX('Ist Vorjahr Monat 02'!B:B,MATCH(D197,'Ist Vorjahr Monat 02'!A:A,0)),
IF(ISERROR(MATCH(D197,'Ist Vorjahr Monat 03'!A:A,0))=FALSE,INDEX('Ist Vorjahr Monat 03'!B:B,MATCH(D197,'Ist Vorjahr Monat 03'!A:A,0)),
IF(ISERROR(MATCH(D197,'Ist Vorjahr Monat 04'!A:A,0))=FALSE,INDEX('Ist Vorjahr Monat 04'!B:B,MATCH(D197,'Ist Vorjahr Monat 04'!A:A,0)),
IF(ISERROR(MATCH(D197,'Ist Vorjahr Monat 05'!A:A,0))=FALSE,INDEX('Ist Vorjahr Monat 05'!B:B,MATCH(D197,'Ist Vorjahr Monat 05'!A:A,0)),
IF(ISERROR(MATCH(D197,'Ist Vorjahr Monat 06'!A:A,0))=FALSE,INDEX('Ist Vorjahr Monat 06'!B:B,MATCH(D197,'Ist Vorjahr Monat 06'!A:A,0)),
IF(ISERROR(MATCH(D197,'Ist Vorjahr Monat 07'!A:A,0))=FALSE,INDEX('Ist Vorjahr Monat 07'!B:B,MATCH(D197,'Ist Vorjahr Monat 07'!A:A,0)),
IF(ISERROR(MATCH(D197,'Ist Vorjahr Monat 08'!A:A,0))=FALSE,INDEX('Ist Vorjahr Monat 08'!B:B,MATCH(D197,'Ist Vorjahr Monat 08'!A:A,0)),
IF(ISERROR(MATCH(D197,'Ist Vorjahr Monat 09'!A:A,0))=FALSE,INDEX('Ist Vorjahr Monat 09'!B:B,MATCH(D197,'Ist Vorjahr Monat 09'!A:A,0)),
IF(ISERROR(MATCH(D197,'Ist Vorjahr Monat 10'!A:A,0))=FALSE,INDEX('Ist Vorjahr Monat 10'!B:B,MATCH(D197,'Ist Vorjahr Monat 10'!A:A,0)),
IF(ISERROR(MATCH(D197,'Ist Vorjahr Monat 11'!A:A,0))=FALSE,INDEX('Ist Vorjahr Monat 11'!B:B,MATCH(D197,'Ist Vorjahr Monat 11'!A:A,0)),
IF(ISERROR(MATCH(D197,'Ist Vorjahr Monat 12'!A:A,0))=FALSE,INDEX('Ist Vorjahr Monat 12'!B:B,MATCH(D197,'Ist Vorjahr Monat 12'!A:A,0)),
"{Konto unbekannt}"
)))))))))))),"")</f>
        <v/>
      </c>
      <c r="C197" s="591"/>
      <c r="D197" s="590"/>
      <c r="E197" s="592">
        <f t="shared" si="65"/>
        <v>1</v>
      </c>
      <c r="F197" s="590"/>
      <c r="G197" s="593">
        <f ca="1">$E197*(-SUMIF(INDIRECT(G$3),'Struktur Vorjahr'!$D197,INDIRECT(G$4))+SUMIF(INDIRECT(G$3),'Struktur Vorjahr'!$D197,INDIRECT(G$5)))</f>
        <v>0</v>
      </c>
      <c r="H197" s="593">
        <f ca="1">$E197*(-SUMIF(INDIRECT(H$3),'Struktur Vorjahr'!$D197,INDIRECT(H$4))+SUMIF(INDIRECT(H$3),'Struktur Vorjahr'!$D197,INDIRECT(H$5)))</f>
        <v>0</v>
      </c>
      <c r="I197" s="593">
        <f ca="1">$E197*(-SUMIF(INDIRECT(I$3),'Struktur Vorjahr'!$D197,INDIRECT(I$4))+SUMIF(INDIRECT(I$3),'Struktur Vorjahr'!$D197,INDIRECT(I$5)))</f>
        <v>0</v>
      </c>
      <c r="J197" s="593">
        <f ca="1">$E197*(-SUMIF(INDIRECT(J$3),'Struktur Vorjahr'!$D197,INDIRECT(J$4))+SUMIF(INDIRECT(J$3),'Struktur Vorjahr'!$D197,INDIRECT(J$5)))</f>
        <v>0</v>
      </c>
      <c r="K197" s="593">
        <f ca="1">$E197*(-SUMIF(INDIRECT(K$3),'Struktur Vorjahr'!$D197,INDIRECT(K$4))+SUMIF(INDIRECT(K$3),'Struktur Vorjahr'!$D197,INDIRECT(K$5)))</f>
        <v>0</v>
      </c>
      <c r="L197" s="593">
        <f ca="1">$E197*(-SUMIF(INDIRECT(L$3),'Struktur Vorjahr'!$D197,INDIRECT(L$4))+SUMIF(INDIRECT(L$3),'Struktur Vorjahr'!$D197,INDIRECT(L$5)))</f>
        <v>0</v>
      </c>
      <c r="M197" s="593">
        <f ca="1">$E197*(-SUMIF(INDIRECT(M$3),'Struktur Vorjahr'!$D197,INDIRECT(M$4))+SUMIF(INDIRECT(M$3),'Struktur Vorjahr'!$D197,INDIRECT(M$5)))</f>
        <v>0</v>
      </c>
      <c r="N197" s="593">
        <f ca="1">$E197*(-SUMIF(INDIRECT(N$3),'Struktur Vorjahr'!$D197,INDIRECT(N$4))+SUMIF(INDIRECT(N$3),'Struktur Vorjahr'!$D197,INDIRECT(N$5)))</f>
        <v>0</v>
      </c>
      <c r="O197" s="593">
        <f ca="1">$E197*(-SUMIF(INDIRECT(O$3),'Struktur Vorjahr'!$D197,INDIRECT(O$4))+SUMIF(INDIRECT(O$3),'Struktur Vorjahr'!$D197,INDIRECT(O$5)))</f>
        <v>0</v>
      </c>
      <c r="P197" s="593">
        <f ca="1">$E197*(-SUMIF(INDIRECT(P$3),'Struktur Vorjahr'!$D197,INDIRECT(P$4))+SUMIF(INDIRECT(P$3),'Struktur Vorjahr'!$D197,INDIRECT(P$5)))</f>
        <v>0</v>
      </c>
      <c r="Q197" s="593">
        <f ca="1">$E197*(-SUMIF(INDIRECT(Q$3),'Struktur Vorjahr'!$D197,INDIRECT(Q$4))+SUMIF(INDIRECT(Q$3),'Struktur Vorjahr'!$D197,INDIRECT(Q$5)))</f>
        <v>0</v>
      </c>
      <c r="R197" s="593">
        <f ca="1">$E197*(-SUMIF(INDIRECT(R$3),'Struktur Vorjahr'!$D197,INDIRECT(R$4))+SUMIF(INDIRECT(R$3),'Struktur Vorjahr'!$D197,INDIRECT(R$5)))</f>
        <v>0</v>
      </c>
      <c r="S197" s="593">
        <f ca="1">$E197*(-SUMIF(INDIRECT(S$3),'Struktur Vorjahr'!$D197,INDIRECT(S$4))+SUMIF(INDIRECT(S$3),'Struktur Vorjahr'!$D197,INDIRECT(S$5)))</f>
        <v>0</v>
      </c>
      <c r="T197" s="593">
        <f ca="1">$E197*(-SUMIF(INDIRECT(T$3),'Struktur Vorjahr'!$D197,INDIRECT(T$4))+SUMIF(INDIRECT(T$3),'Struktur Vorjahr'!$D197,INDIRECT(T$5)))</f>
        <v>0</v>
      </c>
      <c r="U197" s="593">
        <f ca="1">$E197*(-SUMIF(INDIRECT(U$3),'Struktur Vorjahr'!$D197,INDIRECT(U$4))+SUMIF(INDIRECT(U$3),'Struktur Vorjahr'!$D197,INDIRECT(U$5)))</f>
        <v>0</v>
      </c>
      <c r="V197" s="593">
        <f ca="1">$E197*(-SUMIF(INDIRECT(V$3),'Struktur Vorjahr'!$D197,INDIRECT(V$4))+SUMIF(INDIRECT(V$3),'Struktur Vorjahr'!$D197,INDIRECT(V$5)))</f>
        <v>0</v>
      </c>
      <c r="W197" s="593">
        <f ca="1">$E197*(-SUMIF(INDIRECT(W$3),'Struktur Vorjahr'!$D197,INDIRECT(W$4))+SUMIF(INDIRECT(W$3),'Struktur Vorjahr'!$D197,INDIRECT(W$5)))</f>
        <v>0</v>
      </c>
      <c r="X197" s="593">
        <f ca="1">$E197*(-SUMIF(INDIRECT(X$3),'Struktur Vorjahr'!$D197,INDIRECT(X$4))+SUMIF(INDIRECT(X$3),'Struktur Vorjahr'!$D197,INDIRECT(X$5)))</f>
        <v>0</v>
      </c>
      <c r="Y197" s="593">
        <f ca="1">$E197*(-SUMIF(INDIRECT(Y$3),'Struktur Vorjahr'!$D197,INDIRECT(Y$4))+SUMIF(INDIRECT(Y$3),'Struktur Vorjahr'!$D197,INDIRECT(Y$5)))</f>
        <v>0</v>
      </c>
      <c r="Z197" s="593">
        <f ca="1">$E197*(-SUMIF(INDIRECT(Z$3),'Struktur Vorjahr'!$D197,INDIRECT(Z$4))+SUMIF(INDIRECT(Z$3),'Struktur Vorjahr'!$D197,INDIRECT(Z$5)))</f>
        <v>0</v>
      </c>
      <c r="AA197" s="593">
        <f ca="1">$E197*(-SUMIF(INDIRECT(AA$3),'Struktur Vorjahr'!$D197,INDIRECT(AA$4))+SUMIF(INDIRECT(AA$3),'Struktur Vorjahr'!$D197,INDIRECT(AA$5)))</f>
        <v>0</v>
      </c>
      <c r="AB197" s="593">
        <f ca="1">$E197*(-SUMIF(INDIRECT(AB$3),'Struktur Vorjahr'!$D197,INDIRECT(AB$4))+SUMIF(INDIRECT(AB$3),'Struktur Vorjahr'!$D197,INDIRECT(AB$5)))</f>
        <v>0</v>
      </c>
      <c r="AC197" s="593">
        <f ca="1">$E197*(-SUMIF(INDIRECT(AC$3),'Struktur Vorjahr'!$D197,INDIRECT(AC$4))+SUMIF(INDIRECT(AC$3),'Struktur Vorjahr'!$D197,INDIRECT(AC$5)))</f>
        <v>0</v>
      </c>
      <c r="AD197" s="593">
        <f ca="1">$E197*(-SUMIF(INDIRECT(AD$3),'Struktur Vorjahr'!$D197,INDIRECT(AD$4))+SUMIF(INDIRECT(AD$3),'Struktur Vorjahr'!$D197,INDIRECT(AD$5)))</f>
        <v>0</v>
      </c>
      <c r="AE197" s="593">
        <f t="shared" ca="1" si="99"/>
        <v>0</v>
      </c>
      <c r="AF197" s="593">
        <f t="shared" ca="1" si="100"/>
        <v>0</v>
      </c>
      <c r="AG197" s="593">
        <f t="shared" ca="1" si="100"/>
        <v>0</v>
      </c>
      <c r="AH197" s="593">
        <f t="shared" ca="1" si="100"/>
        <v>0</v>
      </c>
      <c r="AI197" s="593">
        <f t="shared" ca="1" si="100"/>
        <v>0</v>
      </c>
      <c r="AJ197" s="593">
        <f t="shared" ca="1" si="100"/>
        <v>0</v>
      </c>
      <c r="AK197" s="593">
        <f t="shared" ca="1" si="100"/>
        <v>0</v>
      </c>
      <c r="AL197" s="593">
        <f t="shared" ca="1" si="100"/>
        <v>0</v>
      </c>
      <c r="AM197" s="593">
        <f t="shared" ca="1" si="100"/>
        <v>0</v>
      </c>
      <c r="AN197" s="593">
        <f t="shared" ca="1" si="100"/>
        <v>0</v>
      </c>
      <c r="AO197" s="593">
        <f t="shared" ca="1" si="100"/>
        <v>0</v>
      </c>
      <c r="AP197" s="593">
        <f t="shared" ca="1" si="100"/>
        <v>0</v>
      </c>
    </row>
    <row r="198" spans="1:42" s="594" customFormat="1" ht="11.25" outlineLevel="1" x14ac:dyDescent="0.2">
      <c r="A198" s="590"/>
      <c r="B198" s="591" t="str">
        <f>IF(D198&lt;&gt;"",
IF(ISERROR(MATCH(D198,'Ist Vorjahr Monat 01'!A:A,0))=FALSE,INDEX('Ist Vorjahr Monat 01'!B:B,MATCH(D198,'Ist Vorjahr Monat 01'!A:A,0)),
IF(ISERROR(MATCH(D198,'Ist Vorjahr Monat 02'!A:A,0))=FALSE,INDEX('Ist Vorjahr Monat 02'!B:B,MATCH(D198,'Ist Vorjahr Monat 02'!A:A,0)),
IF(ISERROR(MATCH(D198,'Ist Vorjahr Monat 03'!A:A,0))=FALSE,INDEX('Ist Vorjahr Monat 03'!B:B,MATCH(D198,'Ist Vorjahr Monat 03'!A:A,0)),
IF(ISERROR(MATCH(D198,'Ist Vorjahr Monat 04'!A:A,0))=FALSE,INDEX('Ist Vorjahr Monat 04'!B:B,MATCH(D198,'Ist Vorjahr Monat 04'!A:A,0)),
IF(ISERROR(MATCH(D198,'Ist Vorjahr Monat 05'!A:A,0))=FALSE,INDEX('Ist Vorjahr Monat 05'!B:B,MATCH(D198,'Ist Vorjahr Monat 05'!A:A,0)),
IF(ISERROR(MATCH(D198,'Ist Vorjahr Monat 06'!A:A,0))=FALSE,INDEX('Ist Vorjahr Monat 06'!B:B,MATCH(D198,'Ist Vorjahr Monat 06'!A:A,0)),
IF(ISERROR(MATCH(D198,'Ist Vorjahr Monat 07'!A:A,0))=FALSE,INDEX('Ist Vorjahr Monat 07'!B:B,MATCH(D198,'Ist Vorjahr Monat 07'!A:A,0)),
IF(ISERROR(MATCH(D198,'Ist Vorjahr Monat 08'!A:A,0))=FALSE,INDEX('Ist Vorjahr Monat 08'!B:B,MATCH(D198,'Ist Vorjahr Monat 08'!A:A,0)),
IF(ISERROR(MATCH(D198,'Ist Vorjahr Monat 09'!A:A,0))=FALSE,INDEX('Ist Vorjahr Monat 09'!B:B,MATCH(D198,'Ist Vorjahr Monat 09'!A:A,0)),
IF(ISERROR(MATCH(D198,'Ist Vorjahr Monat 10'!A:A,0))=FALSE,INDEX('Ist Vorjahr Monat 10'!B:B,MATCH(D198,'Ist Vorjahr Monat 10'!A:A,0)),
IF(ISERROR(MATCH(D198,'Ist Vorjahr Monat 11'!A:A,0))=FALSE,INDEX('Ist Vorjahr Monat 11'!B:B,MATCH(D198,'Ist Vorjahr Monat 11'!A:A,0)),
IF(ISERROR(MATCH(D198,'Ist Vorjahr Monat 12'!A:A,0))=FALSE,INDEX('Ist Vorjahr Monat 12'!B:B,MATCH(D198,'Ist Vorjahr Monat 12'!A:A,0)),
"{Konto unbekannt}"
)))))))))))),"")</f>
        <v/>
      </c>
      <c r="C198" s="591"/>
      <c r="D198" s="590"/>
      <c r="E198" s="592">
        <f t="shared" si="65"/>
        <v>1</v>
      </c>
      <c r="F198" s="590"/>
      <c r="G198" s="593">
        <f ca="1">$E198*(-SUMIF(INDIRECT(G$3),'Struktur Vorjahr'!$D198,INDIRECT(G$4))+SUMIF(INDIRECT(G$3),'Struktur Vorjahr'!$D198,INDIRECT(G$5)))</f>
        <v>0</v>
      </c>
      <c r="H198" s="593">
        <f ca="1">$E198*(-SUMIF(INDIRECT(H$3),'Struktur Vorjahr'!$D198,INDIRECT(H$4))+SUMIF(INDIRECT(H$3),'Struktur Vorjahr'!$D198,INDIRECT(H$5)))</f>
        <v>0</v>
      </c>
      <c r="I198" s="593">
        <f ca="1">$E198*(-SUMIF(INDIRECT(I$3),'Struktur Vorjahr'!$D198,INDIRECT(I$4))+SUMIF(INDIRECT(I$3),'Struktur Vorjahr'!$D198,INDIRECT(I$5)))</f>
        <v>0</v>
      </c>
      <c r="J198" s="593">
        <f ca="1">$E198*(-SUMIF(INDIRECT(J$3),'Struktur Vorjahr'!$D198,INDIRECT(J$4))+SUMIF(INDIRECT(J$3),'Struktur Vorjahr'!$D198,INDIRECT(J$5)))</f>
        <v>0</v>
      </c>
      <c r="K198" s="593">
        <f ca="1">$E198*(-SUMIF(INDIRECT(K$3),'Struktur Vorjahr'!$D198,INDIRECT(K$4))+SUMIF(INDIRECT(K$3),'Struktur Vorjahr'!$D198,INDIRECT(K$5)))</f>
        <v>0</v>
      </c>
      <c r="L198" s="593">
        <f ca="1">$E198*(-SUMIF(INDIRECT(L$3),'Struktur Vorjahr'!$D198,INDIRECT(L$4))+SUMIF(INDIRECT(L$3),'Struktur Vorjahr'!$D198,INDIRECT(L$5)))</f>
        <v>0</v>
      </c>
      <c r="M198" s="593">
        <f ca="1">$E198*(-SUMIF(INDIRECT(M$3),'Struktur Vorjahr'!$D198,INDIRECT(M$4))+SUMIF(INDIRECT(M$3),'Struktur Vorjahr'!$D198,INDIRECT(M$5)))</f>
        <v>0</v>
      </c>
      <c r="N198" s="593">
        <f ca="1">$E198*(-SUMIF(INDIRECT(N$3),'Struktur Vorjahr'!$D198,INDIRECT(N$4))+SUMIF(INDIRECT(N$3),'Struktur Vorjahr'!$D198,INDIRECT(N$5)))</f>
        <v>0</v>
      </c>
      <c r="O198" s="593">
        <f ca="1">$E198*(-SUMIF(INDIRECT(O$3),'Struktur Vorjahr'!$D198,INDIRECT(O$4))+SUMIF(INDIRECT(O$3),'Struktur Vorjahr'!$D198,INDIRECT(O$5)))</f>
        <v>0</v>
      </c>
      <c r="P198" s="593">
        <f ca="1">$E198*(-SUMIF(INDIRECT(P$3),'Struktur Vorjahr'!$D198,INDIRECT(P$4))+SUMIF(INDIRECT(P$3),'Struktur Vorjahr'!$D198,INDIRECT(P$5)))</f>
        <v>0</v>
      </c>
      <c r="Q198" s="593">
        <f ca="1">$E198*(-SUMIF(INDIRECT(Q$3),'Struktur Vorjahr'!$D198,INDIRECT(Q$4))+SUMIF(INDIRECT(Q$3),'Struktur Vorjahr'!$D198,INDIRECT(Q$5)))</f>
        <v>0</v>
      </c>
      <c r="R198" s="593">
        <f ca="1">$E198*(-SUMIF(INDIRECT(R$3),'Struktur Vorjahr'!$D198,INDIRECT(R$4))+SUMIF(INDIRECT(R$3),'Struktur Vorjahr'!$D198,INDIRECT(R$5)))</f>
        <v>0</v>
      </c>
      <c r="S198" s="593">
        <f ca="1">$E198*(-SUMIF(INDIRECT(S$3),'Struktur Vorjahr'!$D198,INDIRECT(S$4))+SUMIF(INDIRECT(S$3),'Struktur Vorjahr'!$D198,INDIRECT(S$5)))</f>
        <v>0</v>
      </c>
      <c r="T198" s="593">
        <f ca="1">$E198*(-SUMIF(INDIRECT(T$3),'Struktur Vorjahr'!$D198,INDIRECT(T$4))+SUMIF(INDIRECT(T$3),'Struktur Vorjahr'!$D198,INDIRECT(T$5)))</f>
        <v>0</v>
      </c>
      <c r="U198" s="593">
        <f ca="1">$E198*(-SUMIF(INDIRECT(U$3),'Struktur Vorjahr'!$D198,INDIRECT(U$4))+SUMIF(INDIRECT(U$3),'Struktur Vorjahr'!$D198,INDIRECT(U$5)))</f>
        <v>0</v>
      </c>
      <c r="V198" s="593">
        <f ca="1">$E198*(-SUMIF(INDIRECT(V$3),'Struktur Vorjahr'!$D198,INDIRECT(V$4))+SUMIF(INDIRECT(V$3),'Struktur Vorjahr'!$D198,INDIRECT(V$5)))</f>
        <v>0</v>
      </c>
      <c r="W198" s="593">
        <f ca="1">$E198*(-SUMIF(INDIRECT(W$3),'Struktur Vorjahr'!$D198,INDIRECT(W$4))+SUMIF(INDIRECT(W$3),'Struktur Vorjahr'!$D198,INDIRECT(W$5)))</f>
        <v>0</v>
      </c>
      <c r="X198" s="593">
        <f ca="1">$E198*(-SUMIF(INDIRECT(X$3),'Struktur Vorjahr'!$D198,INDIRECT(X$4))+SUMIF(INDIRECT(X$3),'Struktur Vorjahr'!$D198,INDIRECT(X$5)))</f>
        <v>0</v>
      </c>
      <c r="Y198" s="593">
        <f ca="1">$E198*(-SUMIF(INDIRECT(Y$3),'Struktur Vorjahr'!$D198,INDIRECT(Y$4))+SUMIF(INDIRECT(Y$3),'Struktur Vorjahr'!$D198,INDIRECT(Y$5)))</f>
        <v>0</v>
      </c>
      <c r="Z198" s="593">
        <f ca="1">$E198*(-SUMIF(INDIRECT(Z$3),'Struktur Vorjahr'!$D198,INDIRECT(Z$4))+SUMIF(INDIRECT(Z$3),'Struktur Vorjahr'!$D198,INDIRECT(Z$5)))</f>
        <v>0</v>
      </c>
      <c r="AA198" s="593">
        <f ca="1">$E198*(-SUMIF(INDIRECT(AA$3),'Struktur Vorjahr'!$D198,INDIRECT(AA$4))+SUMIF(INDIRECT(AA$3),'Struktur Vorjahr'!$D198,INDIRECT(AA$5)))</f>
        <v>0</v>
      </c>
      <c r="AB198" s="593">
        <f ca="1">$E198*(-SUMIF(INDIRECT(AB$3),'Struktur Vorjahr'!$D198,INDIRECT(AB$4))+SUMIF(INDIRECT(AB$3),'Struktur Vorjahr'!$D198,INDIRECT(AB$5)))</f>
        <v>0</v>
      </c>
      <c r="AC198" s="593">
        <f ca="1">$E198*(-SUMIF(INDIRECT(AC$3),'Struktur Vorjahr'!$D198,INDIRECT(AC$4))+SUMIF(INDIRECT(AC$3),'Struktur Vorjahr'!$D198,INDIRECT(AC$5)))</f>
        <v>0</v>
      </c>
      <c r="AD198" s="593">
        <f ca="1">$E198*(-SUMIF(INDIRECT(AD$3),'Struktur Vorjahr'!$D198,INDIRECT(AD$4))+SUMIF(INDIRECT(AD$3),'Struktur Vorjahr'!$D198,INDIRECT(AD$5)))</f>
        <v>0</v>
      </c>
      <c r="AE198" s="593">
        <f t="shared" ca="1" si="99"/>
        <v>0</v>
      </c>
      <c r="AF198" s="593">
        <f t="shared" ca="1" si="100"/>
        <v>0</v>
      </c>
      <c r="AG198" s="593">
        <f t="shared" ca="1" si="100"/>
        <v>0</v>
      </c>
      <c r="AH198" s="593">
        <f t="shared" ca="1" si="100"/>
        <v>0</v>
      </c>
      <c r="AI198" s="593">
        <f t="shared" ca="1" si="100"/>
        <v>0</v>
      </c>
      <c r="AJ198" s="593">
        <f t="shared" ca="1" si="100"/>
        <v>0</v>
      </c>
      <c r="AK198" s="593">
        <f t="shared" ca="1" si="100"/>
        <v>0</v>
      </c>
      <c r="AL198" s="593">
        <f t="shared" ca="1" si="100"/>
        <v>0</v>
      </c>
      <c r="AM198" s="593">
        <f t="shared" ca="1" si="100"/>
        <v>0</v>
      </c>
      <c r="AN198" s="593">
        <f t="shared" ca="1" si="100"/>
        <v>0</v>
      </c>
      <c r="AO198" s="593">
        <f t="shared" ca="1" si="100"/>
        <v>0</v>
      </c>
      <c r="AP198" s="593">
        <f t="shared" ca="1" si="100"/>
        <v>0</v>
      </c>
    </row>
    <row r="199" spans="1:42" s="594" customFormat="1" ht="11.25" outlineLevel="1" x14ac:dyDescent="0.2">
      <c r="A199" s="590"/>
      <c r="B199" s="591" t="str">
        <f>IF(D199&lt;&gt;"",
IF(ISERROR(MATCH(D199,'Ist Vorjahr Monat 01'!A:A,0))=FALSE,INDEX('Ist Vorjahr Monat 01'!B:B,MATCH(D199,'Ist Vorjahr Monat 01'!A:A,0)),
IF(ISERROR(MATCH(D199,'Ist Vorjahr Monat 02'!A:A,0))=FALSE,INDEX('Ist Vorjahr Monat 02'!B:B,MATCH(D199,'Ist Vorjahr Monat 02'!A:A,0)),
IF(ISERROR(MATCH(D199,'Ist Vorjahr Monat 03'!A:A,0))=FALSE,INDEX('Ist Vorjahr Monat 03'!B:B,MATCH(D199,'Ist Vorjahr Monat 03'!A:A,0)),
IF(ISERROR(MATCH(D199,'Ist Vorjahr Monat 04'!A:A,0))=FALSE,INDEX('Ist Vorjahr Monat 04'!B:B,MATCH(D199,'Ist Vorjahr Monat 04'!A:A,0)),
IF(ISERROR(MATCH(D199,'Ist Vorjahr Monat 05'!A:A,0))=FALSE,INDEX('Ist Vorjahr Monat 05'!B:B,MATCH(D199,'Ist Vorjahr Monat 05'!A:A,0)),
IF(ISERROR(MATCH(D199,'Ist Vorjahr Monat 06'!A:A,0))=FALSE,INDEX('Ist Vorjahr Monat 06'!B:B,MATCH(D199,'Ist Vorjahr Monat 06'!A:A,0)),
IF(ISERROR(MATCH(D199,'Ist Vorjahr Monat 07'!A:A,0))=FALSE,INDEX('Ist Vorjahr Monat 07'!B:B,MATCH(D199,'Ist Vorjahr Monat 07'!A:A,0)),
IF(ISERROR(MATCH(D199,'Ist Vorjahr Monat 08'!A:A,0))=FALSE,INDEX('Ist Vorjahr Monat 08'!B:B,MATCH(D199,'Ist Vorjahr Monat 08'!A:A,0)),
IF(ISERROR(MATCH(D199,'Ist Vorjahr Monat 09'!A:A,0))=FALSE,INDEX('Ist Vorjahr Monat 09'!B:B,MATCH(D199,'Ist Vorjahr Monat 09'!A:A,0)),
IF(ISERROR(MATCH(D199,'Ist Vorjahr Monat 10'!A:A,0))=FALSE,INDEX('Ist Vorjahr Monat 10'!B:B,MATCH(D199,'Ist Vorjahr Monat 10'!A:A,0)),
IF(ISERROR(MATCH(D199,'Ist Vorjahr Monat 11'!A:A,0))=FALSE,INDEX('Ist Vorjahr Monat 11'!B:B,MATCH(D199,'Ist Vorjahr Monat 11'!A:A,0)),
IF(ISERROR(MATCH(D199,'Ist Vorjahr Monat 12'!A:A,0))=FALSE,INDEX('Ist Vorjahr Monat 12'!B:B,MATCH(D199,'Ist Vorjahr Monat 12'!A:A,0)),
"{Konto unbekannt}"
)))))))))))),"")</f>
        <v/>
      </c>
      <c r="C199" s="591"/>
      <c r="D199" s="590"/>
      <c r="E199" s="592">
        <f t="shared" si="65"/>
        <v>1</v>
      </c>
      <c r="F199" s="590"/>
      <c r="G199" s="593">
        <f ca="1">$E199*(-SUMIF(INDIRECT(G$3),'Struktur Vorjahr'!$D199,INDIRECT(G$4))+SUMIF(INDIRECT(G$3),'Struktur Vorjahr'!$D199,INDIRECT(G$5)))</f>
        <v>0</v>
      </c>
      <c r="H199" s="593">
        <f ca="1">$E199*(-SUMIF(INDIRECT(H$3),'Struktur Vorjahr'!$D199,INDIRECT(H$4))+SUMIF(INDIRECT(H$3),'Struktur Vorjahr'!$D199,INDIRECT(H$5)))</f>
        <v>0</v>
      </c>
      <c r="I199" s="593">
        <f ca="1">$E199*(-SUMIF(INDIRECT(I$3),'Struktur Vorjahr'!$D199,INDIRECT(I$4))+SUMIF(INDIRECT(I$3),'Struktur Vorjahr'!$D199,INDIRECT(I$5)))</f>
        <v>0</v>
      </c>
      <c r="J199" s="593">
        <f ca="1">$E199*(-SUMIF(INDIRECT(J$3),'Struktur Vorjahr'!$D199,INDIRECT(J$4))+SUMIF(INDIRECT(J$3),'Struktur Vorjahr'!$D199,INDIRECT(J$5)))</f>
        <v>0</v>
      </c>
      <c r="K199" s="593">
        <f ca="1">$E199*(-SUMIF(INDIRECT(K$3),'Struktur Vorjahr'!$D199,INDIRECT(K$4))+SUMIF(INDIRECT(K$3),'Struktur Vorjahr'!$D199,INDIRECT(K$5)))</f>
        <v>0</v>
      </c>
      <c r="L199" s="593">
        <f ca="1">$E199*(-SUMIF(INDIRECT(L$3),'Struktur Vorjahr'!$D199,INDIRECT(L$4))+SUMIF(INDIRECT(L$3),'Struktur Vorjahr'!$D199,INDIRECT(L$5)))</f>
        <v>0</v>
      </c>
      <c r="M199" s="593">
        <f ca="1">$E199*(-SUMIF(INDIRECT(M$3),'Struktur Vorjahr'!$D199,INDIRECT(M$4))+SUMIF(INDIRECT(M$3),'Struktur Vorjahr'!$D199,INDIRECT(M$5)))</f>
        <v>0</v>
      </c>
      <c r="N199" s="593">
        <f ca="1">$E199*(-SUMIF(INDIRECT(N$3),'Struktur Vorjahr'!$D199,INDIRECT(N$4))+SUMIF(INDIRECT(N$3),'Struktur Vorjahr'!$D199,INDIRECT(N$5)))</f>
        <v>0</v>
      </c>
      <c r="O199" s="593">
        <f ca="1">$E199*(-SUMIF(INDIRECT(O$3),'Struktur Vorjahr'!$D199,INDIRECT(O$4))+SUMIF(INDIRECT(O$3),'Struktur Vorjahr'!$D199,INDIRECT(O$5)))</f>
        <v>0</v>
      </c>
      <c r="P199" s="593">
        <f ca="1">$E199*(-SUMIF(INDIRECT(P$3),'Struktur Vorjahr'!$D199,INDIRECT(P$4))+SUMIF(INDIRECT(P$3),'Struktur Vorjahr'!$D199,INDIRECT(P$5)))</f>
        <v>0</v>
      </c>
      <c r="Q199" s="593">
        <f ca="1">$E199*(-SUMIF(INDIRECT(Q$3),'Struktur Vorjahr'!$D199,INDIRECT(Q$4))+SUMIF(INDIRECT(Q$3),'Struktur Vorjahr'!$D199,INDIRECT(Q$5)))</f>
        <v>0</v>
      </c>
      <c r="R199" s="593">
        <f ca="1">$E199*(-SUMIF(INDIRECT(R$3),'Struktur Vorjahr'!$D199,INDIRECT(R$4))+SUMIF(INDIRECT(R$3),'Struktur Vorjahr'!$D199,INDIRECT(R$5)))</f>
        <v>0</v>
      </c>
      <c r="S199" s="593">
        <f ca="1">$E199*(-SUMIF(INDIRECT(S$3),'Struktur Vorjahr'!$D199,INDIRECT(S$4))+SUMIF(INDIRECT(S$3),'Struktur Vorjahr'!$D199,INDIRECT(S$5)))</f>
        <v>0</v>
      </c>
      <c r="T199" s="593">
        <f ca="1">$E199*(-SUMIF(INDIRECT(T$3),'Struktur Vorjahr'!$D199,INDIRECT(T$4))+SUMIF(INDIRECT(T$3),'Struktur Vorjahr'!$D199,INDIRECT(T$5)))</f>
        <v>0</v>
      </c>
      <c r="U199" s="593">
        <f ca="1">$E199*(-SUMIF(INDIRECT(U$3),'Struktur Vorjahr'!$D199,INDIRECT(U$4))+SUMIF(INDIRECT(U$3),'Struktur Vorjahr'!$D199,INDIRECT(U$5)))</f>
        <v>0</v>
      </c>
      <c r="V199" s="593">
        <f ca="1">$E199*(-SUMIF(INDIRECT(V$3),'Struktur Vorjahr'!$D199,INDIRECT(V$4))+SUMIF(INDIRECT(V$3),'Struktur Vorjahr'!$D199,INDIRECT(V$5)))</f>
        <v>0</v>
      </c>
      <c r="W199" s="593">
        <f ca="1">$E199*(-SUMIF(INDIRECT(W$3),'Struktur Vorjahr'!$D199,INDIRECT(W$4))+SUMIF(INDIRECT(W$3),'Struktur Vorjahr'!$D199,INDIRECT(W$5)))</f>
        <v>0</v>
      </c>
      <c r="X199" s="593">
        <f ca="1">$E199*(-SUMIF(INDIRECT(X$3),'Struktur Vorjahr'!$D199,INDIRECT(X$4))+SUMIF(INDIRECT(X$3),'Struktur Vorjahr'!$D199,INDIRECT(X$5)))</f>
        <v>0</v>
      </c>
      <c r="Y199" s="593">
        <f ca="1">$E199*(-SUMIF(INDIRECT(Y$3),'Struktur Vorjahr'!$D199,INDIRECT(Y$4))+SUMIF(INDIRECT(Y$3),'Struktur Vorjahr'!$D199,INDIRECT(Y$5)))</f>
        <v>0</v>
      </c>
      <c r="Z199" s="593">
        <f ca="1">$E199*(-SUMIF(INDIRECT(Z$3),'Struktur Vorjahr'!$D199,INDIRECT(Z$4))+SUMIF(INDIRECT(Z$3),'Struktur Vorjahr'!$D199,INDIRECT(Z$5)))</f>
        <v>0</v>
      </c>
      <c r="AA199" s="593">
        <f ca="1">$E199*(-SUMIF(INDIRECT(AA$3),'Struktur Vorjahr'!$D199,INDIRECT(AA$4))+SUMIF(INDIRECT(AA$3),'Struktur Vorjahr'!$D199,INDIRECT(AA$5)))</f>
        <v>0</v>
      </c>
      <c r="AB199" s="593">
        <f ca="1">$E199*(-SUMIF(INDIRECT(AB$3),'Struktur Vorjahr'!$D199,INDIRECT(AB$4))+SUMIF(INDIRECT(AB$3),'Struktur Vorjahr'!$D199,INDIRECT(AB$5)))</f>
        <v>0</v>
      </c>
      <c r="AC199" s="593">
        <f ca="1">$E199*(-SUMIF(INDIRECT(AC$3),'Struktur Vorjahr'!$D199,INDIRECT(AC$4))+SUMIF(INDIRECT(AC$3),'Struktur Vorjahr'!$D199,INDIRECT(AC$5)))</f>
        <v>0</v>
      </c>
      <c r="AD199" s="593">
        <f ca="1">$E199*(-SUMIF(INDIRECT(AD$3),'Struktur Vorjahr'!$D199,INDIRECT(AD$4))+SUMIF(INDIRECT(AD$3),'Struktur Vorjahr'!$D199,INDIRECT(AD$5)))</f>
        <v>0</v>
      </c>
      <c r="AE199" s="593">
        <f t="shared" ca="1" si="99"/>
        <v>0</v>
      </c>
      <c r="AF199" s="593">
        <f t="shared" ca="1" si="100"/>
        <v>0</v>
      </c>
      <c r="AG199" s="593">
        <f t="shared" ca="1" si="100"/>
        <v>0</v>
      </c>
      <c r="AH199" s="593">
        <f t="shared" ca="1" si="100"/>
        <v>0</v>
      </c>
      <c r="AI199" s="593">
        <f t="shared" ca="1" si="100"/>
        <v>0</v>
      </c>
      <c r="AJ199" s="593">
        <f t="shared" ca="1" si="100"/>
        <v>0</v>
      </c>
      <c r="AK199" s="593">
        <f t="shared" ca="1" si="100"/>
        <v>0</v>
      </c>
      <c r="AL199" s="593">
        <f t="shared" ca="1" si="100"/>
        <v>0</v>
      </c>
      <c r="AM199" s="593">
        <f t="shared" ca="1" si="100"/>
        <v>0</v>
      </c>
      <c r="AN199" s="593">
        <f t="shared" ca="1" si="100"/>
        <v>0</v>
      </c>
      <c r="AO199" s="593">
        <f t="shared" ca="1" si="100"/>
        <v>0</v>
      </c>
      <c r="AP199" s="593">
        <f t="shared" ca="1" si="100"/>
        <v>0</v>
      </c>
    </row>
    <row r="200" spans="1:42" s="594" customFormat="1" ht="11.25" outlineLevel="1" x14ac:dyDescent="0.2">
      <c r="A200" s="590" t="s">
        <v>240</v>
      </c>
      <c r="B200" s="591" t="str">
        <f>IF(D200&lt;&gt;"",
IF(ISERROR(MATCH(D200,'Ist Vorjahr Monat 01'!A:A,0))=FALSE,INDEX('Ist Vorjahr Monat 01'!B:B,MATCH(D200,'Ist Vorjahr Monat 01'!A:A,0)),
IF(ISERROR(MATCH(D200,'Ist Vorjahr Monat 02'!A:A,0))=FALSE,INDEX('Ist Vorjahr Monat 02'!B:B,MATCH(D200,'Ist Vorjahr Monat 02'!A:A,0)),
IF(ISERROR(MATCH(D200,'Ist Vorjahr Monat 03'!A:A,0))=FALSE,INDEX('Ist Vorjahr Monat 03'!B:B,MATCH(D200,'Ist Vorjahr Monat 03'!A:A,0)),
IF(ISERROR(MATCH(D200,'Ist Vorjahr Monat 04'!A:A,0))=FALSE,INDEX('Ist Vorjahr Monat 04'!B:B,MATCH(D200,'Ist Vorjahr Monat 04'!A:A,0)),
IF(ISERROR(MATCH(D200,'Ist Vorjahr Monat 05'!A:A,0))=FALSE,INDEX('Ist Vorjahr Monat 05'!B:B,MATCH(D200,'Ist Vorjahr Monat 05'!A:A,0)),
IF(ISERROR(MATCH(D200,'Ist Vorjahr Monat 06'!A:A,0))=FALSE,INDEX('Ist Vorjahr Monat 06'!B:B,MATCH(D200,'Ist Vorjahr Monat 06'!A:A,0)),
IF(ISERROR(MATCH(D200,'Ist Vorjahr Monat 07'!A:A,0))=FALSE,INDEX('Ist Vorjahr Monat 07'!B:B,MATCH(D200,'Ist Vorjahr Monat 07'!A:A,0)),
IF(ISERROR(MATCH(D200,'Ist Vorjahr Monat 08'!A:A,0))=FALSE,INDEX('Ist Vorjahr Monat 08'!B:B,MATCH(D200,'Ist Vorjahr Monat 08'!A:A,0)),
IF(ISERROR(MATCH(D200,'Ist Vorjahr Monat 09'!A:A,0))=FALSE,INDEX('Ist Vorjahr Monat 09'!B:B,MATCH(D200,'Ist Vorjahr Monat 09'!A:A,0)),
IF(ISERROR(MATCH(D200,'Ist Vorjahr Monat 10'!A:A,0))=FALSE,INDEX('Ist Vorjahr Monat 10'!B:B,MATCH(D200,'Ist Vorjahr Monat 10'!A:A,0)),
IF(ISERROR(MATCH(D200,'Ist Vorjahr Monat 11'!A:A,0))=FALSE,INDEX('Ist Vorjahr Monat 11'!B:B,MATCH(D200,'Ist Vorjahr Monat 11'!A:A,0)),
IF(ISERROR(MATCH(D200,'Ist Vorjahr Monat 12'!A:A,0))=FALSE,INDEX('Ist Vorjahr Monat 12'!B:B,MATCH(D200,'Ist Vorjahr Monat 12'!A:A,0)),
"{Konto unbekannt}"
)))))))))))),"")</f>
        <v/>
      </c>
      <c r="C200" s="591"/>
      <c r="D200" s="590"/>
      <c r="E200" s="592">
        <f t="shared" si="65"/>
        <v>1</v>
      </c>
      <c r="F200" s="590"/>
      <c r="G200" s="593">
        <f ca="1">$E200*(-SUMIF(INDIRECT(G$3),'Struktur Vorjahr'!$D200,INDIRECT(G$4))+SUMIF(INDIRECT(G$3),'Struktur Vorjahr'!$D200,INDIRECT(G$5)))</f>
        <v>0</v>
      </c>
      <c r="H200" s="593">
        <f ca="1">$E200*(-SUMIF(INDIRECT(H$3),'Struktur Vorjahr'!$D200,INDIRECT(H$4))+SUMIF(INDIRECT(H$3),'Struktur Vorjahr'!$D200,INDIRECT(H$5)))</f>
        <v>0</v>
      </c>
      <c r="I200" s="593">
        <f ca="1">$E200*(-SUMIF(INDIRECT(I$3),'Struktur Vorjahr'!$D200,INDIRECT(I$4))+SUMIF(INDIRECT(I$3),'Struktur Vorjahr'!$D200,INDIRECT(I$5)))</f>
        <v>0</v>
      </c>
      <c r="J200" s="593">
        <f ca="1">$E200*(-SUMIF(INDIRECT(J$3),'Struktur Vorjahr'!$D200,INDIRECT(J$4))+SUMIF(INDIRECT(J$3),'Struktur Vorjahr'!$D200,INDIRECT(J$5)))</f>
        <v>0</v>
      </c>
      <c r="K200" s="593">
        <f ca="1">$E200*(-SUMIF(INDIRECT(K$3),'Struktur Vorjahr'!$D200,INDIRECT(K$4))+SUMIF(INDIRECT(K$3),'Struktur Vorjahr'!$D200,INDIRECT(K$5)))</f>
        <v>0</v>
      </c>
      <c r="L200" s="593">
        <f ca="1">$E200*(-SUMIF(INDIRECT(L$3),'Struktur Vorjahr'!$D200,INDIRECT(L$4))+SUMIF(INDIRECT(L$3),'Struktur Vorjahr'!$D200,INDIRECT(L$5)))</f>
        <v>0</v>
      </c>
      <c r="M200" s="593">
        <f ca="1">$E200*(-SUMIF(INDIRECT(M$3),'Struktur Vorjahr'!$D200,INDIRECT(M$4))+SUMIF(INDIRECT(M$3),'Struktur Vorjahr'!$D200,INDIRECT(M$5)))</f>
        <v>0</v>
      </c>
      <c r="N200" s="593">
        <f ca="1">$E200*(-SUMIF(INDIRECT(N$3),'Struktur Vorjahr'!$D200,INDIRECT(N$4))+SUMIF(INDIRECT(N$3),'Struktur Vorjahr'!$D200,INDIRECT(N$5)))</f>
        <v>0</v>
      </c>
      <c r="O200" s="593">
        <f ca="1">$E200*(-SUMIF(INDIRECT(O$3),'Struktur Vorjahr'!$D200,INDIRECT(O$4))+SUMIF(INDIRECT(O$3),'Struktur Vorjahr'!$D200,INDIRECT(O$5)))</f>
        <v>0</v>
      </c>
      <c r="P200" s="593">
        <f ca="1">$E200*(-SUMIF(INDIRECT(P$3),'Struktur Vorjahr'!$D200,INDIRECT(P$4))+SUMIF(INDIRECT(P$3),'Struktur Vorjahr'!$D200,INDIRECT(P$5)))</f>
        <v>0</v>
      </c>
      <c r="Q200" s="593">
        <f ca="1">$E200*(-SUMIF(INDIRECT(Q$3),'Struktur Vorjahr'!$D200,INDIRECT(Q$4))+SUMIF(INDIRECT(Q$3),'Struktur Vorjahr'!$D200,INDIRECT(Q$5)))</f>
        <v>0</v>
      </c>
      <c r="R200" s="593">
        <f ca="1">$E200*(-SUMIF(INDIRECT(R$3),'Struktur Vorjahr'!$D200,INDIRECT(R$4))+SUMIF(INDIRECT(R$3),'Struktur Vorjahr'!$D200,INDIRECT(R$5)))</f>
        <v>0</v>
      </c>
      <c r="S200" s="593">
        <f ca="1">$E200*(-SUMIF(INDIRECT(S$3),'Struktur Vorjahr'!$D200,INDIRECT(S$4))+SUMIF(INDIRECT(S$3),'Struktur Vorjahr'!$D200,INDIRECT(S$5)))</f>
        <v>0</v>
      </c>
      <c r="T200" s="593">
        <f ca="1">$E200*(-SUMIF(INDIRECT(T$3),'Struktur Vorjahr'!$D200,INDIRECT(T$4))+SUMIF(INDIRECT(T$3),'Struktur Vorjahr'!$D200,INDIRECT(T$5)))</f>
        <v>0</v>
      </c>
      <c r="U200" s="593">
        <f ca="1">$E200*(-SUMIF(INDIRECT(U$3),'Struktur Vorjahr'!$D200,INDIRECT(U$4))+SUMIF(INDIRECT(U$3),'Struktur Vorjahr'!$D200,INDIRECT(U$5)))</f>
        <v>0</v>
      </c>
      <c r="V200" s="593">
        <f ca="1">$E200*(-SUMIF(INDIRECT(V$3),'Struktur Vorjahr'!$D200,INDIRECT(V$4))+SUMIF(INDIRECT(V$3),'Struktur Vorjahr'!$D200,INDIRECT(V$5)))</f>
        <v>0</v>
      </c>
      <c r="W200" s="593">
        <f ca="1">$E200*(-SUMIF(INDIRECT(W$3),'Struktur Vorjahr'!$D200,INDIRECT(W$4))+SUMIF(INDIRECT(W$3),'Struktur Vorjahr'!$D200,INDIRECT(W$5)))</f>
        <v>0</v>
      </c>
      <c r="X200" s="593">
        <f ca="1">$E200*(-SUMIF(INDIRECT(X$3),'Struktur Vorjahr'!$D200,INDIRECT(X$4))+SUMIF(INDIRECT(X$3),'Struktur Vorjahr'!$D200,INDIRECT(X$5)))</f>
        <v>0</v>
      </c>
      <c r="Y200" s="593">
        <f ca="1">$E200*(-SUMIF(INDIRECT(Y$3),'Struktur Vorjahr'!$D200,INDIRECT(Y$4))+SUMIF(INDIRECT(Y$3),'Struktur Vorjahr'!$D200,INDIRECT(Y$5)))</f>
        <v>0</v>
      </c>
      <c r="Z200" s="593">
        <f ca="1">$E200*(-SUMIF(INDIRECT(Z$3),'Struktur Vorjahr'!$D200,INDIRECT(Z$4))+SUMIF(INDIRECT(Z$3),'Struktur Vorjahr'!$D200,INDIRECT(Z$5)))</f>
        <v>0</v>
      </c>
      <c r="AA200" s="593">
        <f ca="1">$E200*(-SUMIF(INDIRECT(AA$3),'Struktur Vorjahr'!$D200,INDIRECT(AA$4))+SUMIF(INDIRECT(AA$3),'Struktur Vorjahr'!$D200,INDIRECT(AA$5)))</f>
        <v>0</v>
      </c>
      <c r="AB200" s="593">
        <f ca="1">$E200*(-SUMIF(INDIRECT(AB$3),'Struktur Vorjahr'!$D200,INDIRECT(AB$4))+SUMIF(INDIRECT(AB$3),'Struktur Vorjahr'!$D200,INDIRECT(AB$5)))</f>
        <v>0</v>
      </c>
      <c r="AC200" s="593">
        <f ca="1">$E200*(-SUMIF(INDIRECT(AC$3),'Struktur Vorjahr'!$D200,INDIRECT(AC$4))+SUMIF(INDIRECT(AC$3),'Struktur Vorjahr'!$D200,INDIRECT(AC$5)))</f>
        <v>0</v>
      </c>
      <c r="AD200" s="593">
        <f ca="1">$E200*(-SUMIF(INDIRECT(AD$3),'Struktur Vorjahr'!$D200,INDIRECT(AD$4))+SUMIF(INDIRECT(AD$3),'Struktur Vorjahr'!$D200,INDIRECT(AD$5)))</f>
        <v>0</v>
      </c>
      <c r="AE200" s="593">
        <f t="shared" ca="1" si="99"/>
        <v>0</v>
      </c>
      <c r="AF200" s="593">
        <f t="shared" ca="1" si="100"/>
        <v>0</v>
      </c>
      <c r="AG200" s="593">
        <f t="shared" ca="1" si="100"/>
        <v>0</v>
      </c>
      <c r="AH200" s="593">
        <f t="shared" ca="1" si="100"/>
        <v>0</v>
      </c>
      <c r="AI200" s="593">
        <f t="shared" ca="1" si="100"/>
        <v>0</v>
      </c>
      <c r="AJ200" s="593">
        <f t="shared" ca="1" si="100"/>
        <v>0</v>
      </c>
      <c r="AK200" s="593">
        <f t="shared" ca="1" si="100"/>
        <v>0</v>
      </c>
      <c r="AL200" s="593">
        <f t="shared" ca="1" si="100"/>
        <v>0</v>
      </c>
      <c r="AM200" s="593">
        <f t="shared" ca="1" si="100"/>
        <v>0</v>
      </c>
      <c r="AN200" s="593">
        <f t="shared" ca="1" si="100"/>
        <v>0</v>
      </c>
      <c r="AO200" s="593">
        <f t="shared" ca="1" si="100"/>
        <v>0</v>
      </c>
      <c r="AP200" s="593">
        <f t="shared" ca="1" si="100"/>
        <v>0</v>
      </c>
    </row>
    <row r="201" spans="1:42" s="594" customFormat="1" ht="11.25" outlineLevel="1" x14ac:dyDescent="0.2">
      <c r="A201" s="590"/>
      <c r="B201" s="591" t="str">
        <f>IF(D201&lt;&gt;"",
IF(ISERROR(MATCH(D201,'Ist Vorjahr Monat 01'!A:A,0))=FALSE,INDEX('Ist Vorjahr Monat 01'!B:B,MATCH(D201,'Ist Vorjahr Monat 01'!A:A,0)),
IF(ISERROR(MATCH(D201,'Ist Vorjahr Monat 02'!A:A,0))=FALSE,INDEX('Ist Vorjahr Monat 02'!B:B,MATCH(D201,'Ist Vorjahr Monat 02'!A:A,0)),
IF(ISERROR(MATCH(D201,'Ist Vorjahr Monat 03'!A:A,0))=FALSE,INDEX('Ist Vorjahr Monat 03'!B:B,MATCH(D201,'Ist Vorjahr Monat 03'!A:A,0)),
IF(ISERROR(MATCH(D201,'Ist Vorjahr Monat 04'!A:A,0))=FALSE,INDEX('Ist Vorjahr Monat 04'!B:B,MATCH(D201,'Ist Vorjahr Monat 04'!A:A,0)),
IF(ISERROR(MATCH(D201,'Ist Vorjahr Monat 05'!A:A,0))=FALSE,INDEX('Ist Vorjahr Monat 05'!B:B,MATCH(D201,'Ist Vorjahr Monat 05'!A:A,0)),
IF(ISERROR(MATCH(D201,'Ist Vorjahr Monat 06'!A:A,0))=FALSE,INDEX('Ist Vorjahr Monat 06'!B:B,MATCH(D201,'Ist Vorjahr Monat 06'!A:A,0)),
IF(ISERROR(MATCH(D201,'Ist Vorjahr Monat 07'!A:A,0))=FALSE,INDEX('Ist Vorjahr Monat 07'!B:B,MATCH(D201,'Ist Vorjahr Monat 07'!A:A,0)),
IF(ISERROR(MATCH(D201,'Ist Vorjahr Monat 08'!A:A,0))=FALSE,INDEX('Ist Vorjahr Monat 08'!B:B,MATCH(D201,'Ist Vorjahr Monat 08'!A:A,0)),
IF(ISERROR(MATCH(D201,'Ist Vorjahr Monat 09'!A:A,0))=FALSE,INDEX('Ist Vorjahr Monat 09'!B:B,MATCH(D201,'Ist Vorjahr Monat 09'!A:A,0)),
IF(ISERROR(MATCH(D201,'Ist Vorjahr Monat 10'!A:A,0))=FALSE,INDEX('Ist Vorjahr Monat 10'!B:B,MATCH(D201,'Ist Vorjahr Monat 10'!A:A,0)),
IF(ISERROR(MATCH(D201,'Ist Vorjahr Monat 11'!A:A,0))=FALSE,INDEX('Ist Vorjahr Monat 11'!B:B,MATCH(D201,'Ist Vorjahr Monat 11'!A:A,0)),
IF(ISERROR(MATCH(D201,'Ist Vorjahr Monat 12'!A:A,0))=FALSE,INDEX('Ist Vorjahr Monat 12'!B:B,MATCH(D201,'Ist Vorjahr Monat 12'!A:A,0)),
"{Konto unbekannt}"
)))))))))))),"")</f>
        <v/>
      </c>
      <c r="C201" s="591"/>
      <c r="D201" s="590"/>
      <c r="E201" s="592">
        <f t="shared" si="65"/>
        <v>1</v>
      </c>
      <c r="F201" s="590"/>
      <c r="G201" s="593">
        <f ca="1">$E201*(-SUMIF(INDIRECT(G$3),'Struktur Vorjahr'!$D201,INDIRECT(G$4))+SUMIF(INDIRECT(G$3),'Struktur Vorjahr'!$D201,INDIRECT(G$5)))</f>
        <v>0</v>
      </c>
      <c r="H201" s="593">
        <f ca="1">$E201*(-SUMIF(INDIRECT(H$3),'Struktur Vorjahr'!$D201,INDIRECT(H$4))+SUMIF(INDIRECT(H$3),'Struktur Vorjahr'!$D201,INDIRECT(H$5)))</f>
        <v>0</v>
      </c>
      <c r="I201" s="593">
        <f ca="1">$E201*(-SUMIF(INDIRECT(I$3),'Struktur Vorjahr'!$D201,INDIRECT(I$4))+SUMIF(INDIRECT(I$3),'Struktur Vorjahr'!$D201,INDIRECT(I$5)))</f>
        <v>0</v>
      </c>
      <c r="J201" s="593">
        <f ca="1">$E201*(-SUMIF(INDIRECT(J$3),'Struktur Vorjahr'!$D201,INDIRECT(J$4))+SUMIF(INDIRECT(J$3),'Struktur Vorjahr'!$D201,INDIRECT(J$5)))</f>
        <v>0</v>
      </c>
      <c r="K201" s="593">
        <f ca="1">$E201*(-SUMIF(INDIRECT(K$3),'Struktur Vorjahr'!$D201,INDIRECT(K$4))+SUMIF(INDIRECT(K$3),'Struktur Vorjahr'!$D201,INDIRECT(K$5)))</f>
        <v>0</v>
      </c>
      <c r="L201" s="593">
        <f ca="1">$E201*(-SUMIF(INDIRECT(L$3),'Struktur Vorjahr'!$D201,INDIRECT(L$4))+SUMIF(INDIRECT(L$3),'Struktur Vorjahr'!$D201,INDIRECT(L$5)))</f>
        <v>0</v>
      </c>
      <c r="M201" s="593">
        <f ca="1">$E201*(-SUMIF(INDIRECT(M$3),'Struktur Vorjahr'!$D201,INDIRECT(M$4))+SUMIF(INDIRECT(M$3),'Struktur Vorjahr'!$D201,INDIRECT(M$5)))</f>
        <v>0</v>
      </c>
      <c r="N201" s="593">
        <f ca="1">$E201*(-SUMIF(INDIRECT(N$3),'Struktur Vorjahr'!$D201,INDIRECT(N$4))+SUMIF(INDIRECT(N$3),'Struktur Vorjahr'!$D201,INDIRECT(N$5)))</f>
        <v>0</v>
      </c>
      <c r="O201" s="593">
        <f ca="1">$E201*(-SUMIF(INDIRECT(O$3),'Struktur Vorjahr'!$D201,INDIRECT(O$4))+SUMIF(INDIRECT(O$3),'Struktur Vorjahr'!$D201,INDIRECT(O$5)))</f>
        <v>0</v>
      </c>
      <c r="P201" s="593">
        <f ca="1">$E201*(-SUMIF(INDIRECT(P$3),'Struktur Vorjahr'!$D201,INDIRECT(P$4))+SUMIF(INDIRECT(P$3),'Struktur Vorjahr'!$D201,INDIRECT(P$5)))</f>
        <v>0</v>
      </c>
      <c r="Q201" s="593">
        <f ca="1">$E201*(-SUMIF(INDIRECT(Q$3),'Struktur Vorjahr'!$D201,INDIRECT(Q$4))+SUMIF(INDIRECT(Q$3),'Struktur Vorjahr'!$D201,INDIRECT(Q$5)))</f>
        <v>0</v>
      </c>
      <c r="R201" s="593">
        <f ca="1">$E201*(-SUMIF(INDIRECT(R$3),'Struktur Vorjahr'!$D201,INDIRECT(R$4))+SUMIF(INDIRECT(R$3),'Struktur Vorjahr'!$D201,INDIRECT(R$5)))</f>
        <v>0</v>
      </c>
      <c r="S201" s="593">
        <f ca="1">$E201*(-SUMIF(INDIRECT(S$3),'Struktur Vorjahr'!$D201,INDIRECT(S$4))+SUMIF(INDIRECT(S$3),'Struktur Vorjahr'!$D201,INDIRECT(S$5)))</f>
        <v>0</v>
      </c>
      <c r="T201" s="593">
        <f ca="1">$E201*(-SUMIF(INDIRECT(T$3),'Struktur Vorjahr'!$D201,INDIRECT(T$4))+SUMIF(INDIRECT(T$3),'Struktur Vorjahr'!$D201,INDIRECT(T$5)))</f>
        <v>0</v>
      </c>
      <c r="U201" s="593">
        <f ca="1">$E201*(-SUMIF(INDIRECT(U$3),'Struktur Vorjahr'!$D201,INDIRECT(U$4))+SUMIF(INDIRECT(U$3),'Struktur Vorjahr'!$D201,INDIRECT(U$5)))</f>
        <v>0</v>
      </c>
      <c r="V201" s="593">
        <f ca="1">$E201*(-SUMIF(INDIRECT(V$3),'Struktur Vorjahr'!$D201,INDIRECT(V$4))+SUMIF(INDIRECT(V$3),'Struktur Vorjahr'!$D201,INDIRECT(V$5)))</f>
        <v>0</v>
      </c>
      <c r="W201" s="593">
        <f ca="1">$E201*(-SUMIF(INDIRECT(W$3),'Struktur Vorjahr'!$D201,INDIRECT(W$4))+SUMIF(INDIRECT(W$3),'Struktur Vorjahr'!$D201,INDIRECT(W$5)))</f>
        <v>0</v>
      </c>
      <c r="X201" s="593">
        <f ca="1">$E201*(-SUMIF(INDIRECT(X$3),'Struktur Vorjahr'!$D201,INDIRECT(X$4))+SUMIF(INDIRECT(X$3),'Struktur Vorjahr'!$D201,INDIRECT(X$5)))</f>
        <v>0</v>
      </c>
      <c r="Y201" s="593">
        <f ca="1">$E201*(-SUMIF(INDIRECT(Y$3),'Struktur Vorjahr'!$D201,INDIRECT(Y$4))+SUMIF(INDIRECT(Y$3),'Struktur Vorjahr'!$D201,INDIRECT(Y$5)))</f>
        <v>0</v>
      </c>
      <c r="Z201" s="593">
        <f ca="1">$E201*(-SUMIF(INDIRECT(Z$3),'Struktur Vorjahr'!$D201,INDIRECT(Z$4))+SUMIF(INDIRECT(Z$3),'Struktur Vorjahr'!$D201,INDIRECT(Z$5)))</f>
        <v>0</v>
      </c>
      <c r="AA201" s="593">
        <f ca="1">$E201*(-SUMIF(INDIRECT(AA$3),'Struktur Vorjahr'!$D201,INDIRECT(AA$4))+SUMIF(INDIRECT(AA$3),'Struktur Vorjahr'!$D201,INDIRECT(AA$5)))</f>
        <v>0</v>
      </c>
      <c r="AB201" s="593">
        <f ca="1">$E201*(-SUMIF(INDIRECT(AB$3),'Struktur Vorjahr'!$D201,INDIRECT(AB$4))+SUMIF(INDIRECT(AB$3),'Struktur Vorjahr'!$D201,INDIRECT(AB$5)))</f>
        <v>0</v>
      </c>
      <c r="AC201" s="593">
        <f ca="1">$E201*(-SUMIF(INDIRECT(AC$3),'Struktur Vorjahr'!$D201,INDIRECT(AC$4))+SUMIF(INDIRECT(AC$3),'Struktur Vorjahr'!$D201,INDIRECT(AC$5)))</f>
        <v>0</v>
      </c>
      <c r="AD201" s="593">
        <f ca="1">$E201*(-SUMIF(INDIRECT(AD$3),'Struktur Vorjahr'!$D201,INDIRECT(AD$4))+SUMIF(INDIRECT(AD$3),'Struktur Vorjahr'!$D201,INDIRECT(AD$5)))</f>
        <v>0</v>
      </c>
      <c r="AE201" s="593">
        <f t="shared" ca="1" si="99"/>
        <v>0</v>
      </c>
      <c r="AF201" s="593">
        <f t="shared" ca="1" si="100"/>
        <v>0</v>
      </c>
      <c r="AG201" s="593">
        <f t="shared" ca="1" si="100"/>
        <v>0</v>
      </c>
      <c r="AH201" s="593">
        <f t="shared" ca="1" si="100"/>
        <v>0</v>
      </c>
      <c r="AI201" s="593">
        <f t="shared" ca="1" si="100"/>
        <v>0</v>
      </c>
      <c r="AJ201" s="593">
        <f t="shared" ca="1" si="100"/>
        <v>0</v>
      </c>
      <c r="AK201" s="593">
        <f t="shared" ca="1" si="100"/>
        <v>0</v>
      </c>
      <c r="AL201" s="593">
        <f t="shared" ca="1" si="100"/>
        <v>0</v>
      </c>
      <c r="AM201" s="593">
        <f t="shared" ca="1" si="100"/>
        <v>0</v>
      </c>
      <c r="AN201" s="593">
        <f t="shared" ca="1" si="100"/>
        <v>0</v>
      </c>
      <c r="AO201" s="593">
        <f t="shared" ca="1" si="100"/>
        <v>0</v>
      </c>
      <c r="AP201" s="593">
        <f t="shared" ca="1" si="100"/>
        <v>0</v>
      </c>
    </row>
    <row r="202" spans="1:42" s="594" customFormat="1" ht="11.25" outlineLevel="1" x14ac:dyDescent="0.2">
      <c r="A202" s="590"/>
      <c r="B202" s="591" t="str">
        <f>IF(D202&lt;&gt;"",
IF(ISERROR(MATCH(D202,'Ist Vorjahr Monat 01'!A:A,0))=FALSE,INDEX('Ist Vorjahr Monat 01'!B:B,MATCH(D202,'Ist Vorjahr Monat 01'!A:A,0)),
IF(ISERROR(MATCH(D202,'Ist Vorjahr Monat 02'!A:A,0))=FALSE,INDEX('Ist Vorjahr Monat 02'!B:B,MATCH(D202,'Ist Vorjahr Monat 02'!A:A,0)),
IF(ISERROR(MATCH(D202,'Ist Vorjahr Monat 03'!A:A,0))=FALSE,INDEX('Ist Vorjahr Monat 03'!B:B,MATCH(D202,'Ist Vorjahr Monat 03'!A:A,0)),
IF(ISERROR(MATCH(D202,'Ist Vorjahr Monat 04'!A:A,0))=FALSE,INDEX('Ist Vorjahr Monat 04'!B:B,MATCH(D202,'Ist Vorjahr Monat 04'!A:A,0)),
IF(ISERROR(MATCH(D202,'Ist Vorjahr Monat 05'!A:A,0))=FALSE,INDEX('Ist Vorjahr Monat 05'!B:B,MATCH(D202,'Ist Vorjahr Monat 05'!A:A,0)),
IF(ISERROR(MATCH(D202,'Ist Vorjahr Monat 06'!A:A,0))=FALSE,INDEX('Ist Vorjahr Monat 06'!B:B,MATCH(D202,'Ist Vorjahr Monat 06'!A:A,0)),
IF(ISERROR(MATCH(D202,'Ist Vorjahr Monat 07'!A:A,0))=FALSE,INDEX('Ist Vorjahr Monat 07'!B:B,MATCH(D202,'Ist Vorjahr Monat 07'!A:A,0)),
IF(ISERROR(MATCH(D202,'Ist Vorjahr Monat 08'!A:A,0))=FALSE,INDEX('Ist Vorjahr Monat 08'!B:B,MATCH(D202,'Ist Vorjahr Monat 08'!A:A,0)),
IF(ISERROR(MATCH(D202,'Ist Vorjahr Monat 09'!A:A,0))=FALSE,INDEX('Ist Vorjahr Monat 09'!B:B,MATCH(D202,'Ist Vorjahr Monat 09'!A:A,0)),
IF(ISERROR(MATCH(D202,'Ist Vorjahr Monat 10'!A:A,0))=FALSE,INDEX('Ist Vorjahr Monat 10'!B:B,MATCH(D202,'Ist Vorjahr Monat 10'!A:A,0)),
IF(ISERROR(MATCH(D202,'Ist Vorjahr Monat 11'!A:A,0))=FALSE,INDEX('Ist Vorjahr Monat 11'!B:B,MATCH(D202,'Ist Vorjahr Monat 11'!A:A,0)),
IF(ISERROR(MATCH(D202,'Ist Vorjahr Monat 12'!A:A,0))=FALSE,INDEX('Ist Vorjahr Monat 12'!B:B,MATCH(D202,'Ist Vorjahr Monat 12'!A:A,0)),
"{Konto unbekannt}"
)))))))))))),"")</f>
        <v/>
      </c>
      <c r="C202" s="591"/>
      <c r="D202" s="590"/>
      <c r="E202" s="592">
        <f t="shared" si="65"/>
        <v>1</v>
      </c>
      <c r="F202" s="590"/>
      <c r="G202" s="593">
        <f ca="1">$E202*(-SUMIF(INDIRECT(G$3),'Struktur Vorjahr'!$D202,INDIRECT(G$4))+SUMIF(INDIRECT(G$3),'Struktur Vorjahr'!$D202,INDIRECT(G$5)))</f>
        <v>0</v>
      </c>
      <c r="H202" s="593">
        <f ca="1">$E202*(-SUMIF(INDIRECT(H$3),'Struktur Vorjahr'!$D202,INDIRECT(H$4))+SUMIF(INDIRECT(H$3),'Struktur Vorjahr'!$D202,INDIRECT(H$5)))</f>
        <v>0</v>
      </c>
      <c r="I202" s="593">
        <f ca="1">$E202*(-SUMIF(INDIRECT(I$3),'Struktur Vorjahr'!$D202,INDIRECT(I$4))+SUMIF(INDIRECT(I$3),'Struktur Vorjahr'!$D202,INDIRECT(I$5)))</f>
        <v>0</v>
      </c>
      <c r="J202" s="593">
        <f ca="1">$E202*(-SUMIF(INDIRECT(J$3),'Struktur Vorjahr'!$D202,INDIRECT(J$4))+SUMIF(INDIRECT(J$3),'Struktur Vorjahr'!$D202,INDIRECT(J$5)))</f>
        <v>0</v>
      </c>
      <c r="K202" s="593">
        <f ca="1">$E202*(-SUMIF(INDIRECT(K$3),'Struktur Vorjahr'!$D202,INDIRECT(K$4))+SUMIF(INDIRECT(K$3),'Struktur Vorjahr'!$D202,INDIRECT(K$5)))</f>
        <v>0</v>
      </c>
      <c r="L202" s="593">
        <f ca="1">$E202*(-SUMIF(INDIRECT(L$3),'Struktur Vorjahr'!$D202,INDIRECT(L$4))+SUMIF(INDIRECT(L$3),'Struktur Vorjahr'!$D202,INDIRECT(L$5)))</f>
        <v>0</v>
      </c>
      <c r="M202" s="593">
        <f ca="1">$E202*(-SUMIF(INDIRECT(M$3),'Struktur Vorjahr'!$D202,INDIRECT(M$4))+SUMIF(INDIRECT(M$3),'Struktur Vorjahr'!$D202,INDIRECT(M$5)))</f>
        <v>0</v>
      </c>
      <c r="N202" s="593">
        <f ca="1">$E202*(-SUMIF(INDIRECT(N$3),'Struktur Vorjahr'!$D202,INDIRECT(N$4))+SUMIF(INDIRECT(N$3),'Struktur Vorjahr'!$D202,INDIRECT(N$5)))</f>
        <v>0</v>
      </c>
      <c r="O202" s="593">
        <f ca="1">$E202*(-SUMIF(INDIRECT(O$3),'Struktur Vorjahr'!$D202,INDIRECT(O$4))+SUMIF(INDIRECT(O$3),'Struktur Vorjahr'!$D202,INDIRECT(O$5)))</f>
        <v>0</v>
      </c>
      <c r="P202" s="593">
        <f ca="1">$E202*(-SUMIF(INDIRECT(P$3),'Struktur Vorjahr'!$D202,INDIRECT(P$4))+SUMIF(INDIRECT(P$3),'Struktur Vorjahr'!$D202,INDIRECT(P$5)))</f>
        <v>0</v>
      </c>
      <c r="Q202" s="593">
        <f ca="1">$E202*(-SUMIF(INDIRECT(Q$3),'Struktur Vorjahr'!$D202,INDIRECT(Q$4))+SUMIF(INDIRECT(Q$3),'Struktur Vorjahr'!$D202,INDIRECT(Q$5)))</f>
        <v>0</v>
      </c>
      <c r="R202" s="593">
        <f ca="1">$E202*(-SUMIF(INDIRECT(R$3),'Struktur Vorjahr'!$D202,INDIRECT(R$4))+SUMIF(INDIRECT(R$3),'Struktur Vorjahr'!$D202,INDIRECT(R$5)))</f>
        <v>0</v>
      </c>
      <c r="S202" s="593">
        <f ca="1">$E202*(-SUMIF(INDIRECT(S$3),'Struktur Vorjahr'!$D202,INDIRECT(S$4))+SUMIF(INDIRECT(S$3),'Struktur Vorjahr'!$D202,INDIRECT(S$5)))</f>
        <v>0</v>
      </c>
      <c r="T202" s="593">
        <f ca="1">$E202*(-SUMIF(INDIRECT(T$3),'Struktur Vorjahr'!$D202,INDIRECT(T$4))+SUMIF(INDIRECT(T$3),'Struktur Vorjahr'!$D202,INDIRECT(T$5)))</f>
        <v>0</v>
      </c>
      <c r="U202" s="593">
        <f ca="1">$E202*(-SUMIF(INDIRECT(U$3),'Struktur Vorjahr'!$D202,INDIRECT(U$4))+SUMIF(INDIRECT(U$3),'Struktur Vorjahr'!$D202,INDIRECT(U$5)))</f>
        <v>0</v>
      </c>
      <c r="V202" s="593">
        <f ca="1">$E202*(-SUMIF(INDIRECT(V$3),'Struktur Vorjahr'!$D202,INDIRECT(V$4))+SUMIF(INDIRECT(V$3),'Struktur Vorjahr'!$D202,INDIRECT(V$5)))</f>
        <v>0</v>
      </c>
      <c r="W202" s="593">
        <f ca="1">$E202*(-SUMIF(INDIRECT(W$3),'Struktur Vorjahr'!$D202,INDIRECT(W$4))+SUMIF(INDIRECT(W$3),'Struktur Vorjahr'!$D202,INDIRECT(W$5)))</f>
        <v>0</v>
      </c>
      <c r="X202" s="593">
        <f ca="1">$E202*(-SUMIF(INDIRECT(X$3),'Struktur Vorjahr'!$D202,INDIRECT(X$4))+SUMIF(INDIRECT(X$3),'Struktur Vorjahr'!$D202,INDIRECT(X$5)))</f>
        <v>0</v>
      </c>
      <c r="Y202" s="593">
        <f ca="1">$E202*(-SUMIF(INDIRECT(Y$3),'Struktur Vorjahr'!$D202,INDIRECT(Y$4))+SUMIF(INDIRECT(Y$3),'Struktur Vorjahr'!$D202,INDIRECT(Y$5)))</f>
        <v>0</v>
      </c>
      <c r="Z202" s="593">
        <f ca="1">$E202*(-SUMIF(INDIRECT(Z$3),'Struktur Vorjahr'!$D202,INDIRECT(Z$4))+SUMIF(INDIRECT(Z$3),'Struktur Vorjahr'!$D202,INDIRECT(Z$5)))</f>
        <v>0</v>
      </c>
      <c r="AA202" s="593">
        <f ca="1">$E202*(-SUMIF(INDIRECT(AA$3),'Struktur Vorjahr'!$D202,INDIRECT(AA$4))+SUMIF(INDIRECT(AA$3),'Struktur Vorjahr'!$D202,INDIRECT(AA$5)))</f>
        <v>0</v>
      </c>
      <c r="AB202" s="593">
        <f ca="1">$E202*(-SUMIF(INDIRECT(AB$3),'Struktur Vorjahr'!$D202,INDIRECT(AB$4))+SUMIF(INDIRECT(AB$3),'Struktur Vorjahr'!$D202,INDIRECT(AB$5)))</f>
        <v>0</v>
      </c>
      <c r="AC202" s="593">
        <f ca="1">$E202*(-SUMIF(INDIRECT(AC$3),'Struktur Vorjahr'!$D202,INDIRECT(AC$4))+SUMIF(INDIRECT(AC$3),'Struktur Vorjahr'!$D202,INDIRECT(AC$5)))</f>
        <v>0</v>
      </c>
      <c r="AD202" s="593">
        <f ca="1">$E202*(-SUMIF(INDIRECT(AD$3),'Struktur Vorjahr'!$D202,INDIRECT(AD$4))+SUMIF(INDIRECT(AD$3),'Struktur Vorjahr'!$D202,INDIRECT(AD$5)))</f>
        <v>0</v>
      </c>
      <c r="AE202" s="593">
        <f t="shared" ca="1" si="99"/>
        <v>0</v>
      </c>
      <c r="AF202" s="593">
        <f t="shared" ca="1" si="100"/>
        <v>0</v>
      </c>
      <c r="AG202" s="593">
        <f t="shared" ca="1" si="100"/>
        <v>0</v>
      </c>
      <c r="AH202" s="593">
        <f t="shared" ca="1" si="100"/>
        <v>0</v>
      </c>
      <c r="AI202" s="593">
        <f t="shared" ca="1" si="100"/>
        <v>0</v>
      </c>
      <c r="AJ202" s="593">
        <f t="shared" ca="1" si="100"/>
        <v>0</v>
      </c>
      <c r="AK202" s="593">
        <f t="shared" ca="1" si="100"/>
        <v>0</v>
      </c>
      <c r="AL202" s="593">
        <f t="shared" ca="1" si="100"/>
        <v>0</v>
      </c>
      <c r="AM202" s="593">
        <f t="shared" ca="1" si="100"/>
        <v>0</v>
      </c>
      <c r="AN202" s="593">
        <f t="shared" ca="1" si="100"/>
        <v>0</v>
      </c>
      <c r="AO202" s="593">
        <f t="shared" ca="1" si="100"/>
        <v>0</v>
      </c>
      <c r="AP202" s="593">
        <f t="shared" ca="1" si="100"/>
        <v>0</v>
      </c>
    </row>
    <row r="203" spans="1:42" s="594" customFormat="1" ht="11.25" outlineLevel="1" x14ac:dyDescent="0.2">
      <c r="A203" s="590"/>
      <c r="B203" s="591" t="str">
        <f>IF(D203&lt;&gt;"",
IF(ISERROR(MATCH(D203,'Ist Vorjahr Monat 01'!A:A,0))=FALSE,INDEX('Ist Vorjahr Monat 01'!B:B,MATCH(D203,'Ist Vorjahr Monat 01'!A:A,0)),
IF(ISERROR(MATCH(D203,'Ist Vorjahr Monat 02'!A:A,0))=FALSE,INDEX('Ist Vorjahr Monat 02'!B:B,MATCH(D203,'Ist Vorjahr Monat 02'!A:A,0)),
IF(ISERROR(MATCH(D203,'Ist Vorjahr Monat 03'!A:A,0))=FALSE,INDEX('Ist Vorjahr Monat 03'!B:B,MATCH(D203,'Ist Vorjahr Monat 03'!A:A,0)),
IF(ISERROR(MATCH(D203,'Ist Vorjahr Monat 04'!A:A,0))=FALSE,INDEX('Ist Vorjahr Monat 04'!B:B,MATCH(D203,'Ist Vorjahr Monat 04'!A:A,0)),
IF(ISERROR(MATCH(D203,'Ist Vorjahr Monat 05'!A:A,0))=FALSE,INDEX('Ist Vorjahr Monat 05'!B:B,MATCH(D203,'Ist Vorjahr Monat 05'!A:A,0)),
IF(ISERROR(MATCH(D203,'Ist Vorjahr Monat 06'!A:A,0))=FALSE,INDEX('Ist Vorjahr Monat 06'!B:B,MATCH(D203,'Ist Vorjahr Monat 06'!A:A,0)),
IF(ISERROR(MATCH(D203,'Ist Vorjahr Monat 07'!A:A,0))=FALSE,INDEX('Ist Vorjahr Monat 07'!B:B,MATCH(D203,'Ist Vorjahr Monat 07'!A:A,0)),
IF(ISERROR(MATCH(D203,'Ist Vorjahr Monat 08'!A:A,0))=FALSE,INDEX('Ist Vorjahr Monat 08'!B:B,MATCH(D203,'Ist Vorjahr Monat 08'!A:A,0)),
IF(ISERROR(MATCH(D203,'Ist Vorjahr Monat 09'!A:A,0))=FALSE,INDEX('Ist Vorjahr Monat 09'!B:B,MATCH(D203,'Ist Vorjahr Monat 09'!A:A,0)),
IF(ISERROR(MATCH(D203,'Ist Vorjahr Monat 10'!A:A,0))=FALSE,INDEX('Ist Vorjahr Monat 10'!B:B,MATCH(D203,'Ist Vorjahr Monat 10'!A:A,0)),
IF(ISERROR(MATCH(D203,'Ist Vorjahr Monat 11'!A:A,0))=FALSE,INDEX('Ist Vorjahr Monat 11'!B:B,MATCH(D203,'Ist Vorjahr Monat 11'!A:A,0)),
IF(ISERROR(MATCH(D203,'Ist Vorjahr Monat 12'!A:A,0))=FALSE,INDEX('Ist Vorjahr Monat 12'!B:B,MATCH(D203,'Ist Vorjahr Monat 12'!A:A,0)),
"{Konto unbekannt}"
)))))))))))),"")</f>
        <v/>
      </c>
      <c r="C203" s="591"/>
      <c r="D203" s="590"/>
      <c r="E203" s="592">
        <f t="shared" si="65"/>
        <v>1</v>
      </c>
      <c r="F203" s="590"/>
      <c r="G203" s="593">
        <f ca="1">$E203*(-SUMIF(INDIRECT(G$3),'Struktur Vorjahr'!$D203,INDIRECT(G$4))+SUMIF(INDIRECT(G$3),'Struktur Vorjahr'!$D203,INDIRECT(G$5)))</f>
        <v>0</v>
      </c>
      <c r="H203" s="593">
        <f ca="1">$E203*(-SUMIF(INDIRECT(H$3),'Struktur Vorjahr'!$D203,INDIRECT(H$4))+SUMIF(INDIRECT(H$3),'Struktur Vorjahr'!$D203,INDIRECT(H$5)))</f>
        <v>0</v>
      </c>
      <c r="I203" s="593">
        <f ca="1">$E203*(-SUMIF(INDIRECT(I$3),'Struktur Vorjahr'!$D203,INDIRECT(I$4))+SUMIF(INDIRECT(I$3),'Struktur Vorjahr'!$D203,INDIRECT(I$5)))</f>
        <v>0</v>
      </c>
      <c r="J203" s="593">
        <f ca="1">$E203*(-SUMIF(INDIRECT(J$3),'Struktur Vorjahr'!$D203,INDIRECT(J$4))+SUMIF(INDIRECT(J$3),'Struktur Vorjahr'!$D203,INDIRECT(J$5)))</f>
        <v>0</v>
      </c>
      <c r="K203" s="593">
        <f ca="1">$E203*(-SUMIF(INDIRECT(K$3),'Struktur Vorjahr'!$D203,INDIRECT(K$4))+SUMIF(INDIRECT(K$3),'Struktur Vorjahr'!$D203,INDIRECT(K$5)))</f>
        <v>0</v>
      </c>
      <c r="L203" s="593">
        <f ca="1">$E203*(-SUMIF(INDIRECT(L$3),'Struktur Vorjahr'!$D203,INDIRECT(L$4))+SUMIF(INDIRECT(L$3),'Struktur Vorjahr'!$D203,INDIRECT(L$5)))</f>
        <v>0</v>
      </c>
      <c r="M203" s="593">
        <f ca="1">$E203*(-SUMIF(INDIRECT(M$3),'Struktur Vorjahr'!$D203,INDIRECT(M$4))+SUMIF(INDIRECT(M$3),'Struktur Vorjahr'!$D203,INDIRECT(M$5)))</f>
        <v>0</v>
      </c>
      <c r="N203" s="593">
        <f ca="1">$E203*(-SUMIF(INDIRECT(N$3),'Struktur Vorjahr'!$D203,INDIRECT(N$4))+SUMIF(INDIRECT(N$3),'Struktur Vorjahr'!$D203,INDIRECT(N$5)))</f>
        <v>0</v>
      </c>
      <c r="O203" s="593">
        <f ca="1">$E203*(-SUMIF(INDIRECT(O$3),'Struktur Vorjahr'!$D203,INDIRECT(O$4))+SUMIF(INDIRECT(O$3),'Struktur Vorjahr'!$D203,INDIRECT(O$5)))</f>
        <v>0</v>
      </c>
      <c r="P203" s="593">
        <f ca="1">$E203*(-SUMIF(INDIRECT(P$3),'Struktur Vorjahr'!$D203,INDIRECT(P$4))+SUMIF(INDIRECT(P$3),'Struktur Vorjahr'!$D203,INDIRECT(P$5)))</f>
        <v>0</v>
      </c>
      <c r="Q203" s="593">
        <f ca="1">$E203*(-SUMIF(INDIRECT(Q$3),'Struktur Vorjahr'!$D203,INDIRECT(Q$4))+SUMIF(INDIRECT(Q$3),'Struktur Vorjahr'!$D203,INDIRECT(Q$5)))</f>
        <v>0</v>
      </c>
      <c r="R203" s="593">
        <f ca="1">$E203*(-SUMIF(INDIRECT(R$3),'Struktur Vorjahr'!$D203,INDIRECT(R$4))+SUMIF(INDIRECT(R$3),'Struktur Vorjahr'!$D203,INDIRECT(R$5)))</f>
        <v>0</v>
      </c>
      <c r="S203" s="593">
        <f ca="1">$E203*(-SUMIF(INDIRECT(S$3),'Struktur Vorjahr'!$D203,INDIRECT(S$4))+SUMIF(INDIRECT(S$3),'Struktur Vorjahr'!$D203,INDIRECT(S$5)))</f>
        <v>0</v>
      </c>
      <c r="T203" s="593">
        <f ca="1">$E203*(-SUMIF(INDIRECT(T$3),'Struktur Vorjahr'!$D203,INDIRECT(T$4))+SUMIF(INDIRECT(T$3),'Struktur Vorjahr'!$D203,INDIRECT(T$5)))</f>
        <v>0</v>
      </c>
      <c r="U203" s="593">
        <f ca="1">$E203*(-SUMIF(INDIRECT(U$3),'Struktur Vorjahr'!$D203,INDIRECT(U$4))+SUMIF(INDIRECT(U$3),'Struktur Vorjahr'!$D203,INDIRECT(U$5)))</f>
        <v>0</v>
      </c>
      <c r="V203" s="593">
        <f ca="1">$E203*(-SUMIF(INDIRECT(V$3),'Struktur Vorjahr'!$D203,INDIRECT(V$4))+SUMIF(INDIRECT(V$3),'Struktur Vorjahr'!$D203,INDIRECT(V$5)))</f>
        <v>0</v>
      </c>
      <c r="W203" s="593">
        <f ca="1">$E203*(-SUMIF(INDIRECT(W$3),'Struktur Vorjahr'!$D203,INDIRECT(W$4))+SUMIF(INDIRECT(W$3),'Struktur Vorjahr'!$D203,INDIRECT(W$5)))</f>
        <v>0</v>
      </c>
      <c r="X203" s="593">
        <f ca="1">$E203*(-SUMIF(INDIRECT(X$3),'Struktur Vorjahr'!$D203,INDIRECT(X$4))+SUMIF(INDIRECT(X$3),'Struktur Vorjahr'!$D203,INDIRECT(X$5)))</f>
        <v>0</v>
      </c>
      <c r="Y203" s="593">
        <f ca="1">$E203*(-SUMIF(INDIRECT(Y$3),'Struktur Vorjahr'!$D203,INDIRECT(Y$4))+SUMIF(INDIRECT(Y$3),'Struktur Vorjahr'!$D203,INDIRECT(Y$5)))</f>
        <v>0</v>
      </c>
      <c r="Z203" s="593">
        <f ca="1">$E203*(-SUMIF(INDIRECT(Z$3),'Struktur Vorjahr'!$D203,INDIRECT(Z$4))+SUMIF(INDIRECT(Z$3),'Struktur Vorjahr'!$D203,INDIRECT(Z$5)))</f>
        <v>0</v>
      </c>
      <c r="AA203" s="593">
        <f ca="1">$E203*(-SUMIF(INDIRECT(AA$3),'Struktur Vorjahr'!$D203,INDIRECT(AA$4))+SUMIF(INDIRECT(AA$3),'Struktur Vorjahr'!$D203,INDIRECT(AA$5)))</f>
        <v>0</v>
      </c>
      <c r="AB203" s="593">
        <f ca="1">$E203*(-SUMIF(INDIRECT(AB$3),'Struktur Vorjahr'!$D203,INDIRECT(AB$4))+SUMIF(INDIRECT(AB$3),'Struktur Vorjahr'!$D203,INDIRECT(AB$5)))</f>
        <v>0</v>
      </c>
      <c r="AC203" s="593">
        <f ca="1">$E203*(-SUMIF(INDIRECT(AC$3),'Struktur Vorjahr'!$D203,INDIRECT(AC$4))+SUMIF(INDIRECT(AC$3),'Struktur Vorjahr'!$D203,INDIRECT(AC$5)))</f>
        <v>0</v>
      </c>
      <c r="AD203" s="593">
        <f ca="1">$E203*(-SUMIF(INDIRECT(AD$3),'Struktur Vorjahr'!$D203,INDIRECT(AD$4))+SUMIF(INDIRECT(AD$3),'Struktur Vorjahr'!$D203,INDIRECT(AD$5)))</f>
        <v>0</v>
      </c>
      <c r="AE203" s="593">
        <f t="shared" ca="1" si="99"/>
        <v>0</v>
      </c>
      <c r="AF203" s="593">
        <f t="shared" ca="1" si="100"/>
        <v>0</v>
      </c>
      <c r="AG203" s="593">
        <f t="shared" ca="1" si="100"/>
        <v>0</v>
      </c>
      <c r="AH203" s="593">
        <f t="shared" ca="1" si="100"/>
        <v>0</v>
      </c>
      <c r="AI203" s="593">
        <f t="shared" ca="1" si="100"/>
        <v>0</v>
      </c>
      <c r="AJ203" s="593">
        <f t="shared" ca="1" si="100"/>
        <v>0</v>
      </c>
      <c r="AK203" s="593">
        <f t="shared" ca="1" si="100"/>
        <v>0</v>
      </c>
      <c r="AL203" s="593">
        <f t="shared" ca="1" si="100"/>
        <v>0</v>
      </c>
      <c r="AM203" s="593">
        <f t="shared" ca="1" si="100"/>
        <v>0</v>
      </c>
      <c r="AN203" s="593">
        <f t="shared" ca="1" si="100"/>
        <v>0</v>
      </c>
      <c r="AO203" s="593">
        <f t="shared" ca="1" si="100"/>
        <v>0</v>
      </c>
      <c r="AP203" s="593">
        <f t="shared" ca="1" si="100"/>
        <v>0</v>
      </c>
    </row>
    <row r="204" spans="1:42" s="594" customFormat="1" ht="11.25" outlineLevel="1" x14ac:dyDescent="0.2">
      <c r="A204" s="590"/>
      <c r="B204" s="591" t="str">
        <f>IF(D204&lt;&gt;"",
IF(ISERROR(MATCH(D204,'Ist Vorjahr Monat 01'!A:A,0))=FALSE,INDEX('Ist Vorjahr Monat 01'!B:B,MATCH(D204,'Ist Vorjahr Monat 01'!A:A,0)),
IF(ISERROR(MATCH(D204,'Ist Vorjahr Monat 02'!A:A,0))=FALSE,INDEX('Ist Vorjahr Monat 02'!B:B,MATCH(D204,'Ist Vorjahr Monat 02'!A:A,0)),
IF(ISERROR(MATCH(D204,'Ist Vorjahr Monat 03'!A:A,0))=FALSE,INDEX('Ist Vorjahr Monat 03'!B:B,MATCH(D204,'Ist Vorjahr Monat 03'!A:A,0)),
IF(ISERROR(MATCH(D204,'Ist Vorjahr Monat 04'!A:A,0))=FALSE,INDEX('Ist Vorjahr Monat 04'!B:B,MATCH(D204,'Ist Vorjahr Monat 04'!A:A,0)),
IF(ISERROR(MATCH(D204,'Ist Vorjahr Monat 05'!A:A,0))=FALSE,INDEX('Ist Vorjahr Monat 05'!B:B,MATCH(D204,'Ist Vorjahr Monat 05'!A:A,0)),
IF(ISERROR(MATCH(D204,'Ist Vorjahr Monat 06'!A:A,0))=FALSE,INDEX('Ist Vorjahr Monat 06'!B:B,MATCH(D204,'Ist Vorjahr Monat 06'!A:A,0)),
IF(ISERROR(MATCH(D204,'Ist Vorjahr Monat 07'!A:A,0))=FALSE,INDEX('Ist Vorjahr Monat 07'!B:B,MATCH(D204,'Ist Vorjahr Monat 07'!A:A,0)),
IF(ISERROR(MATCH(D204,'Ist Vorjahr Monat 08'!A:A,0))=FALSE,INDEX('Ist Vorjahr Monat 08'!B:B,MATCH(D204,'Ist Vorjahr Monat 08'!A:A,0)),
IF(ISERROR(MATCH(D204,'Ist Vorjahr Monat 09'!A:A,0))=FALSE,INDEX('Ist Vorjahr Monat 09'!B:B,MATCH(D204,'Ist Vorjahr Monat 09'!A:A,0)),
IF(ISERROR(MATCH(D204,'Ist Vorjahr Monat 10'!A:A,0))=FALSE,INDEX('Ist Vorjahr Monat 10'!B:B,MATCH(D204,'Ist Vorjahr Monat 10'!A:A,0)),
IF(ISERROR(MATCH(D204,'Ist Vorjahr Monat 11'!A:A,0))=FALSE,INDEX('Ist Vorjahr Monat 11'!B:B,MATCH(D204,'Ist Vorjahr Monat 11'!A:A,0)),
IF(ISERROR(MATCH(D204,'Ist Vorjahr Monat 12'!A:A,0))=FALSE,INDEX('Ist Vorjahr Monat 12'!B:B,MATCH(D204,'Ist Vorjahr Monat 12'!A:A,0)),
"{Konto unbekannt}"
)))))))))))),"")</f>
        <v/>
      </c>
      <c r="C204" s="591"/>
      <c r="D204" s="590"/>
      <c r="E204" s="592">
        <f t="shared" si="65"/>
        <v>1</v>
      </c>
      <c r="F204" s="590"/>
      <c r="G204" s="593">
        <f ca="1">$E204*(-SUMIF(INDIRECT(G$3),'Struktur Vorjahr'!$D204,INDIRECT(G$4))+SUMIF(INDIRECT(G$3),'Struktur Vorjahr'!$D204,INDIRECT(G$5)))</f>
        <v>0</v>
      </c>
      <c r="H204" s="593">
        <f ca="1">$E204*(-SUMIF(INDIRECT(H$3),'Struktur Vorjahr'!$D204,INDIRECT(H$4))+SUMIF(INDIRECT(H$3),'Struktur Vorjahr'!$D204,INDIRECT(H$5)))</f>
        <v>0</v>
      </c>
      <c r="I204" s="593">
        <f ca="1">$E204*(-SUMIF(INDIRECT(I$3),'Struktur Vorjahr'!$D204,INDIRECT(I$4))+SUMIF(INDIRECT(I$3),'Struktur Vorjahr'!$D204,INDIRECT(I$5)))</f>
        <v>0</v>
      </c>
      <c r="J204" s="593">
        <f ca="1">$E204*(-SUMIF(INDIRECT(J$3),'Struktur Vorjahr'!$D204,INDIRECT(J$4))+SUMIF(INDIRECT(J$3),'Struktur Vorjahr'!$D204,INDIRECT(J$5)))</f>
        <v>0</v>
      </c>
      <c r="K204" s="593">
        <f ca="1">$E204*(-SUMIF(INDIRECT(K$3),'Struktur Vorjahr'!$D204,INDIRECT(K$4))+SUMIF(INDIRECT(K$3),'Struktur Vorjahr'!$D204,INDIRECT(K$5)))</f>
        <v>0</v>
      </c>
      <c r="L204" s="593">
        <f ca="1">$E204*(-SUMIF(INDIRECT(L$3),'Struktur Vorjahr'!$D204,INDIRECT(L$4))+SUMIF(INDIRECT(L$3),'Struktur Vorjahr'!$D204,INDIRECT(L$5)))</f>
        <v>0</v>
      </c>
      <c r="M204" s="593">
        <f ca="1">$E204*(-SUMIF(INDIRECT(M$3),'Struktur Vorjahr'!$D204,INDIRECT(M$4))+SUMIF(INDIRECT(M$3),'Struktur Vorjahr'!$D204,INDIRECT(M$5)))</f>
        <v>0</v>
      </c>
      <c r="N204" s="593">
        <f ca="1">$E204*(-SUMIF(INDIRECT(N$3),'Struktur Vorjahr'!$D204,INDIRECT(N$4))+SUMIF(INDIRECT(N$3),'Struktur Vorjahr'!$D204,INDIRECT(N$5)))</f>
        <v>0</v>
      </c>
      <c r="O204" s="593">
        <f ca="1">$E204*(-SUMIF(INDIRECT(O$3),'Struktur Vorjahr'!$D204,INDIRECT(O$4))+SUMIF(INDIRECT(O$3),'Struktur Vorjahr'!$D204,INDIRECT(O$5)))</f>
        <v>0</v>
      </c>
      <c r="P204" s="593">
        <f ca="1">$E204*(-SUMIF(INDIRECT(P$3),'Struktur Vorjahr'!$D204,INDIRECT(P$4))+SUMIF(INDIRECT(P$3),'Struktur Vorjahr'!$D204,INDIRECT(P$5)))</f>
        <v>0</v>
      </c>
      <c r="Q204" s="593">
        <f ca="1">$E204*(-SUMIF(INDIRECT(Q$3),'Struktur Vorjahr'!$D204,INDIRECT(Q$4))+SUMIF(INDIRECT(Q$3),'Struktur Vorjahr'!$D204,INDIRECT(Q$5)))</f>
        <v>0</v>
      </c>
      <c r="R204" s="593">
        <f ca="1">$E204*(-SUMIF(INDIRECT(R$3),'Struktur Vorjahr'!$D204,INDIRECT(R$4))+SUMIF(INDIRECT(R$3),'Struktur Vorjahr'!$D204,INDIRECT(R$5)))</f>
        <v>0</v>
      </c>
      <c r="S204" s="593">
        <f ca="1">$E204*(-SUMIF(INDIRECT(S$3),'Struktur Vorjahr'!$D204,INDIRECT(S$4))+SUMIF(INDIRECT(S$3),'Struktur Vorjahr'!$D204,INDIRECT(S$5)))</f>
        <v>0</v>
      </c>
      <c r="T204" s="593">
        <f ca="1">$E204*(-SUMIF(INDIRECT(T$3),'Struktur Vorjahr'!$D204,INDIRECT(T$4))+SUMIF(INDIRECT(T$3),'Struktur Vorjahr'!$D204,INDIRECT(T$5)))</f>
        <v>0</v>
      </c>
      <c r="U204" s="593">
        <f ca="1">$E204*(-SUMIF(INDIRECT(U$3),'Struktur Vorjahr'!$D204,INDIRECT(U$4))+SUMIF(INDIRECT(U$3),'Struktur Vorjahr'!$D204,INDIRECT(U$5)))</f>
        <v>0</v>
      </c>
      <c r="V204" s="593">
        <f ca="1">$E204*(-SUMIF(INDIRECT(V$3),'Struktur Vorjahr'!$D204,INDIRECT(V$4))+SUMIF(INDIRECT(V$3),'Struktur Vorjahr'!$D204,INDIRECT(V$5)))</f>
        <v>0</v>
      </c>
      <c r="W204" s="593">
        <f ca="1">$E204*(-SUMIF(INDIRECT(W$3),'Struktur Vorjahr'!$D204,INDIRECT(W$4))+SUMIF(INDIRECT(W$3),'Struktur Vorjahr'!$D204,INDIRECT(W$5)))</f>
        <v>0</v>
      </c>
      <c r="X204" s="593">
        <f ca="1">$E204*(-SUMIF(INDIRECT(X$3),'Struktur Vorjahr'!$D204,INDIRECT(X$4))+SUMIF(INDIRECT(X$3),'Struktur Vorjahr'!$D204,INDIRECT(X$5)))</f>
        <v>0</v>
      </c>
      <c r="Y204" s="593">
        <f ca="1">$E204*(-SUMIF(INDIRECT(Y$3),'Struktur Vorjahr'!$D204,INDIRECT(Y$4))+SUMIF(INDIRECT(Y$3),'Struktur Vorjahr'!$D204,INDIRECT(Y$5)))</f>
        <v>0</v>
      </c>
      <c r="Z204" s="593">
        <f ca="1">$E204*(-SUMIF(INDIRECT(Z$3),'Struktur Vorjahr'!$D204,INDIRECT(Z$4))+SUMIF(INDIRECT(Z$3),'Struktur Vorjahr'!$D204,INDIRECT(Z$5)))</f>
        <v>0</v>
      </c>
      <c r="AA204" s="593">
        <f ca="1">$E204*(-SUMIF(INDIRECT(AA$3),'Struktur Vorjahr'!$D204,INDIRECT(AA$4))+SUMIF(INDIRECT(AA$3),'Struktur Vorjahr'!$D204,INDIRECT(AA$5)))</f>
        <v>0</v>
      </c>
      <c r="AB204" s="593">
        <f ca="1">$E204*(-SUMIF(INDIRECT(AB$3),'Struktur Vorjahr'!$D204,INDIRECT(AB$4))+SUMIF(INDIRECT(AB$3),'Struktur Vorjahr'!$D204,INDIRECT(AB$5)))</f>
        <v>0</v>
      </c>
      <c r="AC204" s="593">
        <f ca="1">$E204*(-SUMIF(INDIRECT(AC$3),'Struktur Vorjahr'!$D204,INDIRECT(AC$4))+SUMIF(INDIRECT(AC$3),'Struktur Vorjahr'!$D204,INDIRECT(AC$5)))</f>
        <v>0</v>
      </c>
      <c r="AD204" s="593">
        <f ca="1">$E204*(-SUMIF(INDIRECT(AD$3),'Struktur Vorjahr'!$D204,INDIRECT(AD$4))+SUMIF(INDIRECT(AD$3),'Struktur Vorjahr'!$D204,INDIRECT(AD$5)))</f>
        <v>0</v>
      </c>
      <c r="AE204" s="593">
        <f t="shared" ca="1" si="99"/>
        <v>0</v>
      </c>
      <c r="AF204" s="593">
        <f t="shared" ca="1" si="100"/>
        <v>0</v>
      </c>
      <c r="AG204" s="593">
        <f t="shared" ca="1" si="100"/>
        <v>0</v>
      </c>
      <c r="AH204" s="593">
        <f t="shared" ca="1" si="100"/>
        <v>0</v>
      </c>
      <c r="AI204" s="593">
        <f t="shared" ca="1" si="100"/>
        <v>0</v>
      </c>
      <c r="AJ204" s="593">
        <f t="shared" ca="1" si="100"/>
        <v>0</v>
      </c>
      <c r="AK204" s="593">
        <f t="shared" ca="1" si="100"/>
        <v>0</v>
      </c>
      <c r="AL204" s="593">
        <f t="shared" ca="1" si="100"/>
        <v>0</v>
      </c>
      <c r="AM204" s="593">
        <f t="shared" ca="1" si="100"/>
        <v>0</v>
      </c>
      <c r="AN204" s="593">
        <f t="shared" ca="1" si="100"/>
        <v>0</v>
      </c>
      <c r="AO204" s="593">
        <f t="shared" ca="1" si="100"/>
        <v>0</v>
      </c>
      <c r="AP204" s="593">
        <f t="shared" ca="1" si="100"/>
        <v>0</v>
      </c>
    </row>
    <row r="205" spans="1:42" s="594" customFormat="1" ht="11.25" outlineLevel="1" x14ac:dyDescent="0.2">
      <c r="A205" s="590"/>
      <c r="B205" s="591" t="str">
        <f>IF(D205&lt;&gt;"",
IF(ISERROR(MATCH(D205,'Ist Vorjahr Monat 01'!A:A,0))=FALSE,INDEX('Ist Vorjahr Monat 01'!B:B,MATCH(D205,'Ist Vorjahr Monat 01'!A:A,0)),
IF(ISERROR(MATCH(D205,'Ist Vorjahr Monat 02'!A:A,0))=FALSE,INDEX('Ist Vorjahr Monat 02'!B:B,MATCH(D205,'Ist Vorjahr Monat 02'!A:A,0)),
IF(ISERROR(MATCH(D205,'Ist Vorjahr Monat 03'!A:A,0))=FALSE,INDEX('Ist Vorjahr Monat 03'!B:B,MATCH(D205,'Ist Vorjahr Monat 03'!A:A,0)),
IF(ISERROR(MATCH(D205,'Ist Vorjahr Monat 04'!A:A,0))=FALSE,INDEX('Ist Vorjahr Monat 04'!B:B,MATCH(D205,'Ist Vorjahr Monat 04'!A:A,0)),
IF(ISERROR(MATCH(D205,'Ist Vorjahr Monat 05'!A:A,0))=FALSE,INDEX('Ist Vorjahr Monat 05'!B:B,MATCH(D205,'Ist Vorjahr Monat 05'!A:A,0)),
IF(ISERROR(MATCH(D205,'Ist Vorjahr Monat 06'!A:A,0))=FALSE,INDEX('Ist Vorjahr Monat 06'!B:B,MATCH(D205,'Ist Vorjahr Monat 06'!A:A,0)),
IF(ISERROR(MATCH(D205,'Ist Vorjahr Monat 07'!A:A,0))=FALSE,INDEX('Ist Vorjahr Monat 07'!B:B,MATCH(D205,'Ist Vorjahr Monat 07'!A:A,0)),
IF(ISERROR(MATCH(D205,'Ist Vorjahr Monat 08'!A:A,0))=FALSE,INDEX('Ist Vorjahr Monat 08'!B:B,MATCH(D205,'Ist Vorjahr Monat 08'!A:A,0)),
IF(ISERROR(MATCH(D205,'Ist Vorjahr Monat 09'!A:A,0))=FALSE,INDEX('Ist Vorjahr Monat 09'!B:B,MATCH(D205,'Ist Vorjahr Monat 09'!A:A,0)),
IF(ISERROR(MATCH(D205,'Ist Vorjahr Monat 10'!A:A,0))=FALSE,INDEX('Ist Vorjahr Monat 10'!B:B,MATCH(D205,'Ist Vorjahr Monat 10'!A:A,0)),
IF(ISERROR(MATCH(D205,'Ist Vorjahr Monat 11'!A:A,0))=FALSE,INDEX('Ist Vorjahr Monat 11'!B:B,MATCH(D205,'Ist Vorjahr Monat 11'!A:A,0)),
IF(ISERROR(MATCH(D205,'Ist Vorjahr Monat 12'!A:A,0))=FALSE,INDEX('Ist Vorjahr Monat 12'!B:B,MATCH(D205,'Ist Vorjahr Monat 12'!A:A,0)),
"{Konto unbekannt}"
)))))))))))),"")</f>
        <v/>
      </c>
      <c r="C205" s="591"/>
      <c r="D205" s="590"/>
      <c r="E205" s="592">
        <f t="shared" si="65"/>
        <v>1</v>
      </c>
      <c r="F205" s="590"/>
      <c r="G205" s="593">
        <f ca="1">$E205*(-SUMIF(INDIRECT(G$3),'Struktur Vorjahr'!$D205,INDIRECT(G$4))+SUMIF(INDIRECT(G$3),'Struktur Vorjahr'!$D205,INDIRECT(G$5)))</f>
        <v>0</v>
      </c>
      <c r="H205" s="593">
        <f ca="1">$E205*(-SUMIF(INDIRECT(H$3),'Struktur Vorjahr'!$D205,INDIRECT(H$4))+SUMIF(INDIRECT(H$3),'Struktur Vorjahr'!$D205,INDIRECT(H$5)))</f>
        <v>0</v>
      </c>
      <c r="I205" s="593">
        <f ca="1">$E205*(-SUMIF(INDIRECT(I$3),'Struktur Vorjahr'!$D205,INDIRECT(I$4))+SUMIF(INDIRECT(I$3),'Struktur Vorjahr'!$D205,INDIRECT(I$5)))</f>
        <v>0</v>
      </c>
      <c r="J205" s="593">
        <f ca="1">$E205*(-SUMIF(INDIRECT(J$3),'Struktur Vorjahr'!$D205,INDIRECT(J$4))+SUMIF(INDIRECT(J$3),'Struktur Vorjahr'!$D205,INDIRECT(J$5)))</f>
        <v>0</v>
      </c>
      <c r="K205" s="593">
        <f ca="1">$E205*(-SUMIF(INDIRECT(K$3),'Struktur Vorjahr'!$D205,INDIRECT(K$4))+SUMIF(INDIRECT(K$3),'Struktur Vorjahr'!$D205,INDIRECT(K$5)))</f>
        <v>0</v>
      </c>
      <c r="L205" s="593">
        <f ca="1">$E205*(-SUMIF(INDIRECT(L$3),'Struktur Vorjahr'!$D205,INDIRECT(L$4))+SUMIF(INDIRECT(L$3),'Struktur Vorjahr'!$D205,INDIRECT(L$5)))</f>
        <v>0</v>
      </c>
      <c r="M205" s="593">
        <f ca="1">$E205*(-SUMIF(INDIRECT(M$3),'Struktur Vorjahr'!$D205,INDIRECT(M$4))+SUMIF(INDIRECT(M$3),'Struktur Vorjahr'!$D205,INDIRECT(M$5)))</f>
        <v>0</v>
      </c>
      <c r="N205" s="593">
        <f ca="1">$E205*(-SUMIF(INDIRECT(N$3),'Struktur Vorjahr'!$D205,INDIRECT(N$4))+SUMIF(INDIRECT(N$3),'Struktur Vorjahr'!$D205,INDIRECT(N$5)))</f>
        <v>0</v>
      </c>
      <c r="O205" s="593">
        <f ca="1">$E205*(-SUMIF(INDIRECT(O$3),'Struktur Vorjahr'!$D205,INDIRECT(O$4))+SUMIF(INDIRECT(O$3),'Struktur Vorjahr'!$D205,INDIRECT(O$5)))</f>
        <v>0</v>
      </c>
      <c r="P205" s="593">
        <f ca="1">$E205*(-SUMIF(INDIRECT(P$3),'Struktur Vorjahr'!$D205,INDIRECT(P$4))+SUMIF(INDIRECT(P$3),'Struktur Vorjahr'!$D205,INDIRECT(P$5)))</f>
        <v>0</v>
      </c>
      <c r="Q205" s="593">
        <f ca="1">$E205*(-SUMIF(INDIRECT(Q$3),'Struktur Vorjahr'!$D205,INDIRECT(Q$4))+SUMIF(INDIRECT(Q$3),'Struktur Vorjahr'!$D205,INDIRECT(Q$5)))</f>
        <v>0</v>
      </c>
      <c r="R205" s="593">
        <f ca="1">$E205*(-SUMIF(INDIRECT(R$3),'Struktur Vorjahr'!$D205,INDIRECT(R$4))+SUMIF(INDIRECT(R$3),'Struktur Vorjahr'!$D205,INDIRECT(R$5)))</f>
        <v>0</v>
      </c>
      <c r="S205" s="593">
        <f ca="1">$E205*(-SUMIF(INDIRECT(S$3),'Struktur Vorjahr'!$D205,INDIRECT(S$4))+SUMIF(INDIRECT(S$3),'Struktur Vorjahr'!$D205,INDIRECT(S$5)))</f>
        <v>0</v>
      </c>
      <c r="T205" s="593">
        <f ca="1">$E205*(-SUMIF(INDIRECT(T$3),'Struktur Vorjahr'!$D205,INDIRECT(T$4))+SUMIF(INDIRECT(T$3),'Struktur Vorjahr'!$D205,INDIRECT(T$5)))</f>
        <v>0</v>
      </c>
      <c r="U205" s="593">
        <f ca="1">$E205*(-SUMIF(INDIRECT(U$3),'Struktur Vorjahr'!$D205,INDIRECT(U$4))+SUMIF(INDIRECT(U$3),'Struktur Vorjahr'!$D205,INDIRECT(U$5)))</f>
        <v>0</v>
      </c>
      <c r="V205" s="593">
        <f ca="1">$E205*(-SUMIF(INDIRECT(V$3),'Struktur Vorjahr'!$D205,INDIRECT(V$4))+SUMIF(INDIRECT(V$3),'Struktur Vorjahr'!$D205,INDIRECT(V$5)))</f>
        <v>0</v>
      </c>
      <c r="W205" s="593">
        <f ca="1">$E205*(-SUMIF(INDIRECT(W$3),'Struktur Vorjahr'!$D205,INDIRECT(W$4))+SUMIF(INDIRECT(W$3),'Struktur Vorjahr'!$D205,INDIRECT(W$5)))</f>
        <v>0</v>
      </c>
      <c r="X205" s="593">
        <f ca="1">$E205*(-SUMIF(INDIRECT(X$3),'Struktur Vorjahr'!$D205,INDIRECT(X$4))+SUMIF(INDIRECT(X$3),'Struktur Vorjahr'!$D205,INDIRECT(X$5)))</f>
        <v>0</v>
      </c>
      <c r="Y205" s="593">
        <f ca="1">$E205*(-SUMIF(INDIRECT(Y$3),'Struktur Vorjahr'!$D205,INDIRECT(Y$4))+SUMIF(INDIRECT(Y$3),'Struktur Vorjahr'!$D205,INDIRECT(Y$5)))</f>
        <v>0</v>
      </c>
      <c r="Z205" s="593">
        <f ca="1">$E205*(-SUMIF(INDIRECT(Z$3),'Struktur Vorjahr'!$D205,INDIRECT(Z$4))+SUMIF(INDIRECT(Z$3),'Struktur Vorjahr'!$D205,INDIRECT(Z$5)))</f>
        <v>0</v>
      </c>
      <c r="AA205" s="593">
        <f ca="1">$E205*(-SUMIF(INDIRECT(AA$3),'Struktur Vorjahr'!$D205,INDIRECT(AA$4))+SUMIF(INDIRECT(AA$3),'Struktur Vorjahr'!$D205,INDIRECT(AA$5)))</f>
        <v>0</v>
      </c>
      <c r="AB205" s="593">
        <f ca="1">$E205*(-SUMIF(INDIRECT(AB$3),'Struktur Vorjahr'!$D205,INDIRECT(AB$4))+SUMIF(INDIRECT(AB$3),'Struktur Vorjahr'!$D205,INDIRECT(AB$5)))</f>
        <v>0</v>
      </c>
      <c r="AC205" s="593">
        <f ca="1">$E205*(-SUMIF(INDIRECT(AC$3),'Struktur Vorjahr'!$D205,INDIRECT(AC$4))+SUMIF(INDIRECT(AC$3),'Struktur Vorjahr'!$D205,INDIRECT(AC$5)))</f>
        <v>0</v>
      </c>
      <c r="AD205" s="593">
        <f ca="1">$E205*(-SUMIF(INDIRECT(AD$3),'Struktur Vorjahr'!$D205,INDIRECT(AD$4))+SUMIF(INDIRECT(AD$3),'Struktur Vorjahr'!$D205,INDIRECT(AD$5)))</f>
        <v>0</v>
      </c>
      <c r="AE205" s="593">
        <f t="shared" ca="1" si="99"/>
        <v>0</v>
      </c>
      <c r="AF205" s="593">
        <f t="shared" ca="1" si="100"/>
        <v>0</v>
      </c>
      <c r="AG205" s="593">
        <f t="shared" ca="1" si="100"/>
        <v>0</v>
      </c>
      <c r="AH205" s="593">
        <f t="shared" ca="1" si="100"/>
        <v>0</v>
      </c>
      <c r="AI205" s="593">
        <f t="shared" ca="1" si="100"/>
        <v>0</v>
      </c>
      <c r="AJ205" s="593">
        <f t="shared" ca="1" si="100"/>
        <v>0</v>
      </c>
      <c r="AK205" s="593">
        <f t="shared" ca="1" si="100"/>
        <v>0</v>
      </c>
      <c r="AL205" s="593">
        <f t="shared" ca="1" si="100"/>
        <v>0</v>
      </c>
      <c r="AM205" s="593">
        <f t="shared" ca="1" si="100"/>
        <v>0</v>
      </c>
      <c r="AN205" s="593">
        <f t="shared" ca="1" si="100"/>
        <v>0</v>
      </c>
      <c r="AO205" s="593">
        <f t="shared" ca="1" si="100"/>
        <v>0</v>
      </c>
      <c r="AP205" s="593">
        <f t="shared" ca="1" si="100"/>
        <v>0</v>
      </c>
    </row>
    <row r="206" spans="1:42" s="594" customFormat="1" ht="11.25" outlineLevel="1" x14ac:dyDescent="0.2">
      <c r="A206" s="590"/>
      <c r="B206" s="591" t="str">
        <f>IF(D206&lt;&gt;"",
IF(ISERROR(MATCH(D206,'Ist Vorjahr Monat 01'!A:A,0))=FALSE,INDEX('Ist Vorjahr Monat 01'!B:B,MATCH(D206,'Ist Vorjahr Monat 01'!A:A,0)),
IF(ISERROR(MATCH(D206,'Ist Vorjahr Monat 02'!A:A,0))=FALSE,INDEX('Ist Vorjahr Monat 02'!B:B,MATCH(D206,'Ist Vorjahr Monat 02'!A:A,0)),
IF(ISERROR(MATCH(D206,'Ist Vorjahr Monat 03'!A:A,0))=FALSE,INDEX('Ist Vorjahr Monat 03'!B:B,MATCH(D206,'Ist Vorjahr Monat 03'!A:A,0)),
IF(ISERROR(MATCH(D206,'Ist Vorjahr Monat 04'!A:A,0))=FALSE,INDEX('Ist Vorjahr Monat 04'!B:B,MATCH(D206,'Ist Vorjahr Monat 04'!A:A,0)),
IF(ISERROR(MATCH(D206,'Ist Vorjahr Monat 05'!A:A,0))=FALSE,INDEX('Ist Vorjahr Monat 05'!B:B,MATCH(D206,'Ist Vorjahr Monat 05'!A:A,0)),
IF(ISERROR(MATCH(D206,'Ist Vorjahr Monat 06'!A:A,0))=FALSE,INDEX('Ist Vorjahr Monat 06'!B:B,MATCH(D206,'Ist Vorjahr Monat 06'!A:A,0)),
IF(ISERROR(MATCH(D206,'Ist Vorjahr Monat 07'!A:A,0))=FALSE,INDEX('Ist Vorjahr Monat 07'!B:B,MATCH(D206,'Ist Vorjahr Monat 07'!A:A,0)),
IF(ISERROR(MATCH(D206,'Ist Vorjahr Monat 08'!A:A,0))=FALSE,INDEX('Ist Vorjahr Monat 08'!B:B,MATCH(D206,'Ist Vorjahr Monat 08'!A:A,0)),
IF(ISERROR(MATCH(D206,'Ist Vorjahr Monat 09'!A:A,0))=FALSE,INDEX('Ist Vorjahr Monat 09'!B:B,MATCH(D206,'Ist Vorjahr Monat 09'!A:A,0)),
IF(ISERROR(MATCH(D206,'Ist Vorjahr Monat 10'!A:A,0))=FALSE,INDEX('Ist Vorjahr Monat 10'!B:B,MATCH(D206,'Ist Vorjahr Monat 10'!A:A,0)),
IF(ISERROR(MATCH(D206,'Ist Vorjahr Monat 11'!A:A,0))=FALSE,INDEX('Ist Vorjahr Monat 11'!B:B,MATCH(D206,'Ist Vorjahr Monat 11'!A:A,0)),
IF(ISERROR(MATCH(D206,'Ist Vorjahr Monat 12'!A:A,0))=FALSE,INDEX('Ist Vorjahr Monat 12'!B:B,MATCH(D206,'Ist Vorjahr Monat 12'!A:A,0)),
"{Konto unbekannt}"
)))))))))))),"")</f>
        <v/>
      </c>
      <c r="C206" s="591"/>
      <c r="D206" s="590"/>
      <c r="E206" s="592">
        <f t="shared" si="65"/>
        <v>1</v>
      </c>
      <c r="F206" s="590"/>
      <c r="G206" s="593">
        <f ca="1">$E206*(-SUMIF(INDIRECT(G$3),'Struktur Vorjahr'!$D206,INDIRECT(G$4))+SUMIF(INDIRECT(G$3),'Struktur Vorjahr'!$D206,INDIRECT(G$5)))</f>
        <v>0</v>
      </c>
      <c r="H206" s="593">
        <f ca="1">$E206*(-SUMIF(INDIRECT(H$3),'Struktur Vorjahr'!$D206,INDIRECT(H$4))+SUMIF(INDIRECT(H$3),'Struktur Vorjahr'!$D206,INDIRECT(H$5)))</f>
        <v>0</v>
      </c>
      <c r="I206" s="593">
        <f ca="1">$E206*(-SUMIF(INDIRECT(I$3),'Struktur Vorjahr'!$D206,INDIRECT(I$4))+SUMIF(INDIRECT(I$3),'Struktur Vorjahr'!$D206,INDIRECT(I$5)))</f>
        <v>0</v>
      </c>
      <c r="J206" s="593">
        <f ca="1">$E206*(-SUMIF(INDIRECT(J$3),'Struktur Vorjahr'!$D206,INDIRECT(J$4))+SUMIF(INDIRECT(J$3),'Struktur Vorjahr'!$D206,INDIRECT(J$5)))</f>
        <v>0</v>
      </c>
      <c r="K206" s="593">
        <f ca="1">$E206*(-SUMIF(INDIRECT(K$3),'Struktur Vorjahr'!$D206,INDIRECT(K$4))+SUMIF(INDIRECT(K$3),'Struktur Vorjahr'!$D206,INDIRECT(K$5)))</f>
        <v>0</v>
      </c>
      <c r="L206" s="593">
        <f ca="1">$E206*(-SUMIF(INDIRECT(L$3),'Struktur Vorjahr'!$D206,INDIRECT(L$4))+SUMIF(INDIRECT(L$3),'Struktur Vorjahr'!$D206,INDIRECT(L$5)))</f>
        <v>0</v>
      </c>
      <c r="M206" s="593">
        <f ca="1">$E206*(-SUMIF(INDIRECT(M$3),'Struktur Vorjahr'!$D206,INDIRECT(M$4))+SUMIF(INDIRECT(M$3),'Struktur Vorjahr'!$D206,INDIRECT(M$5)))</f>
        <v>0</v>
      </c>
      <c r="N206" s="593">
        <f ca="1">$E206*(-SUMIF(INDIRECT(N$3),'Struktur Vorjahr'!$D206,INDIRECT(N$4))+SUMIF(INDIRECT(N$3),'Struktur Vorjahr'!$D206,INDIRECT(N$5)))</f>
        <v>0</v>
      </c>
      <c r="O206" s="593">
        <f ca="1">$E206*(-SUMIF(INDIRECT(O$3),'Struktur Vorjahr'!$D206,INDIRECT(O$4))+SUMIF(INDIRECT(O$3),'Struktur Vorjahr'!$D206,INDIRECT(O$5)))</f>
        <v>0</v>
      </c>
      <c r="P206" s="593">
        <f ca="1">$E206*(-SUMIF(INDIRECT(P$3),'Struktur Vorjahr'!$D206,INDIRECT(P$4))+SUMIF(INDIRECT(P$3),'Struktur Vorjahr'!$D206,INDIRECT(P$5)))</f>
        <v>0</v>
      </c>
      <c r="Q206" s="593">
        <f ca="1">$E206*(-SUMIF(INDIRECT(Q$3),'Struktur Vorjahr'!$D206,INDIRECT(Q$4))+SUMIF(INDIRECT(Q$3),'Struktur Vorjahr'!$D206,INDIRECT(Q$5)))</f>
        <v>0</v>
      </c>
      <c r="R206" s="593">
        <f ca="1">$E206*(-SUMIF(INDIRECT(R$3),'Struktur Vorjahr'!$D206,INDIRECT(R$4))+SUMIF(INDIRECT(R$3),'Struktur Vorjahr'!$D206,INDIRECT(R$5)))</f>
        <v>0</v>
      </c>
      <c r="S206" s="593">
        <f ca="1">$E206*(-SUMIF(INDIRECT(S$3),'Struktur Vorjahr'!$D206,INDIRECT(S$4))+SUMIF(INDIRECT(S$3),'Struktur Vorjahr'!$D206,INDIRECT(S$5)))</f>
        <v>0</v>
      </c>
      <c r="T206" s="593">
        <f ca="1">$E206*(-SUMIF(INDIRECT(T$3),'Struktur Vorjahr'!$D206,INDIRECT(T$4))+SUMIF(INDIRECT(T$3),'Struktur Vorjahr'!$D206,INDIRECT(T$5)))</f>
        <v>0</v>
      </c>
      <c r="U206" s="593">
        <f ca="1">$E206*(-SUMIF(INDIRECT(U$3),'Struktur Vorjahr'!$D206,INDIRECT(U$4))+SUMIF(INDIRECT(U$3),'Struktur Vorjahr'!$D206,INDIRECT(U$5)))</f>
        <v>0</v>
      </c>
      <c r="V206" s="593">
        <f ca="1">$E206*(-SUMIF(INDIRECT(V$3),'Struktur Vorjahr'!$D206,INDIRECT(V$4))+SUMIF(INDIRECT(V$3),'Struktur Vorjahr'!$D206,INDIRECT(V$5)))</f>
        <v>0</v>
      </c>
      <c r="W206" s="593">
        <f ca="1">$E206*(-SUMIF(INDIRECT(W$3),'Struktur Vorjahr'!$D206,INDIRECT(W$4))+SUMIF(INDIRECT(W$3),'Struktur Vorjahr'!$D206,INDIRECT(W$5)))</f>
        <v>0</v>
      </c>
      <c r="X206" s="593">
        <f ca="1">$E206*(-SUMIF(INDIRECT(X$3),'Struktur Vorjahr'!$D206,INDIRECT(X$4))+SUMIF(INDIRECT(X$3),'Struktur Vorjahr'!$D206,INDIRECT(X$5)))</f>
        <v>0</v>
      </c>
      <c r="Y206" s="593">
        <f ca="1">$E206*(-SUMIF(INDIRECT(Y$3),'Struktur Vorjahr'!$D206,INDIRECT(Y$4))+SUMIF(INDIRECT(Y$3),'Struktur Vorjahr'!$D206,INDIRECT(Y$5)))</f>
        <v>0</v>
      </c>
      <c r="Z206" s="593">
        <f ca="1">$E206*(-SUMIF(INDIRECT(Z$3),'Struktur Vorjahr'!$D206,INDIRECT(Z$4))+SUMIF(INDIRECT(Z$3),'Struktur Vorjahr'!$D206,INDIRECT(Z$5)))</f>
        <v>0</v>
      </c>
      <c r="AA206" s="593">
        <f ca="1">$E206*(-SUMIF(INDIRECT(AA$3),'Struktur Vorjahr'!$D206,INDIRECT(AA$4))+SUMIF(INDIRECT(AA$3),'Struktur Vorjahr'!$D206,INDIRECT(AA$5)))</f>
        <v>0</v>
      </c>
      <c r="AB206" s="593">
        <f ca="1">$E206*(-SUMIF(INDIRECT(AB$3),'Struktur Vorjahr'!$D206,INDIRECT(AB$4))+SUMIF(INDIRECT(AB$3),'Struktur Vorjahr'!$D206,INDIRECT(AB$5)))</f>
        <v>0</v>
      </c>
      <c r="AC206" s="593">
        <f ca="1">$E206*(-SUMIF(INDIRECT(AC$3),'Struktur Vorjahr'!$D206,INDIRECT(AC$4))+SUMIF(INDIRECT(AC$3),'Struktur Vorjahr'!$D206,INDIRECT(AC$5)))</f>
        <v>0</v>
      </c>
      <c r="AD206" s="593">
        <f ca="1">$E206*(-SUMIF(INDIRECT(AD$3),'Struktur Vorjahr'!$D206,INDIRECT(AD$4))+SUMIF(INDIRECT(AD$3),'Struktur Vorjahr'!$D206,INDIRECT(AD$5)))</f>
        <v>0</v>
      </c>
      <c r="AE206" s="593">
        <f t="shared" ca="1" si="99"/>
        <v>0</v>
      </c>
      <c r="AF206" s="593">
        <f t="shared" ca="1" si="100"/>
        <v>0</v>
      </c>
      <c r="AG206" s="593">
        <f t="shared" ca="1" si="100"/>
        <v>0</v>
      </c>
      <c r="AH206" s="593">
        <f t="shared" ca="1" si="100"/>
        <v>0</v>
      </c>
      <c r="AI206" s="593">
        <f t="shared" ca="1" si="100"/>
        <v>0</v>
      </c>
      <c r="AJ206" s="593">
        <f t="shared" ca="1" si="100"/>
        <v>0</v>
      </c>
      <c r="AK206" s="593">
        <f t="shared" ca="1" si="100"/>
        <v>0</v>
      </c>
      <c r="AL206" s="593">
        <f t="shared" ca="1" si="100"/>
        <v>0</v>
      </c>
      <c r="AM206" s="593">
        <f t="shared" ca="1" si="100"/>
        <v>0</v>
      </c>
      <c r="AN206" s="593">
        <f t="shared" ca="1" si="100"/>
        <v>0</v>
      </c>
      <c r="AO206" s="593">
        <f t="shared" ca="1" si="100"/>
        <v>0</v>
      </c>
      <c r="AP206" s="593">
        <f t="shared" ca="1" si="100"/>
        <v>0</v>
      </c>
    </row>
    <row r="207" spans="1:42" s="594" customFormat="1" ht="11.25" outlineLevel="1" x14ac:dyDescent="0.2">
      <c r="A207" s="590"/>
      <c r="B207" s="591" t="str">
        <f>IF(D207&lt;&gt;"",
IF(ISERROR(MATCH(D207,'Ist Vorjahr Monat 01'!A:A,0))=FALSE,INDEX('Ist Vorjahr Monat 01'!B:B,MATCH(D207,'Ist Vorjahr Monat 01'!A:A,0)),
IF(ISERROR(MATCH(D207,'Ist Vorjahr Monat 02'!A:A,0))=FALSE,INDEX('Ist Vorjahr Monat 02'!B:B,MATCH(D207,'Ist Vorjahr Monat 02'!A:A,0)),
IF(ISERROR(MATCH(D207,'Ist Vorjahr Monat 03'!A:A,0))=FALSE,INDEX('Ist Vorjahr Monat 03'!B:B,MATCH(D207,'Ist Vorjahr Monat 03'!A:A,0)),
IF(ISERROR(MATCH(D207,'Ist Vorjahr Monat 04'!A:A,0))=FALSE,INDEX('Ist Vorjahr Monat 04'!B:B,MATCH(D207,'Ist Vorjahr Monat 04'!A:A,0)),
IF(ISERROR(MATCH(D207,'Ist Vorjahr Monat 05'!A:A,0))=FALSE,INDEX('Ist Vorjahr Monat 05'!B:B,MATCH(D207,'Ist Vorjahr Monat 05'!A:A,0)),
IF(ISERROR(MATCH(D207,'Ist Vorjahr Monat 06'!A:A,0))=FALSE,INDEX('Ist Vorjahr Monat 06'!B:B,MATCH(D207,'Ist Vorjahr Monat 06'!A:A,0)),
IF(ISERROR(MATCH(D207,'Ist Vorjahr Monat 07'!A:A,0))=FALSE,INDEX('Ist Vorjahr Monat 07'!B:B,MATCH(D207,'Ist Vorjahr Monat 07'!A:A,0)),
IF(ISERROR(MATCH(D207,'Ist Vorjahr Monat 08'!A:A,0))=FALSE,INDEX('Ist Vorjahr Monat 08'!B:B,MATCH(D207,'Ist Vorjahr Monat 08'!A:A,0)),
IF(ISERROR(MATCH(D207,'Ist Vorjahr Monat 09'!A:A,0))=FALSE,INDEX('Ist Vorjahr Monat 09'!B:B,MATCH(D207,'Ist Vorjahr Monat 09'!A:A,0)),
IF(ISERROR(MATCH(D207,'Ist Vorjahr Monat 10'!A:A,0))=FALSE,INDEX('Ist Vorjahr Monat 10'!B:B,MATCH(D207,'Ist Vorjahr Monat 10'!A:A,0)),
IF(ISERROR(MATCH(D207,'Ist Vorjahr Monat 11'!A:A,0))=FALSE,INDEX('Ist Vorjahr Monat 11'!B:B,MATCH(D207,'Ist Vorjahr Monat 11'!A:A,0)),
IF(ISERROR(MATCH(D207,'Ist Vorjahr Monat 12'!A:A,0))=FALSE,INDEX('Ist Vorjahr Monat 12'!B:B,MATCH(D207,'Ist Vorjahr Monat 12'!A:A,0)),
"{Konto unbekannt}"
)))))))))))),"")</f>
        <v/>
      </c>
      <c r="C207" s="591"/>
      <c r="D207" s="590"/>
      <c r="E207" s="592">
        <f>IF(F207="-",-1,1)</f>
        <v>1</v>
      </c>
      <c r="F207" s="590"/>
      <c r="G207" s="593">
        <f ca="1">$E207*(-SUMIF(INDIRECT(G$3),'Struktur Vorjahr'!$D207,INDIRECT(G$4))+SUMIF(INDIRECT(G$3),'Struktur Vorjahr'!$D207,INDIRECT(G$5)))</f>
        <v>0</v>
      </c>
      <c r="H207" s="593">
        <f ca="1">$E207*(-SUMIF(INDIRECT(H$3),'Struktur Vorjahr'!$D207,INDIRECT(H$4))+SUMIF(INDIRECT(H$3),'Struktur Vorjahr'!$D207,INDIRECT(H$5)))</f>
        <v>0</v>
      </c>
      <c r="I207" s="593">
        <f ca="1">$E207*(-SUMIF(INDIRECT(I$3),'Struktur Vorjahr'!$D207,INDIRECT(I$4))+SUMIF(INDIRECT(I$3),'Struktur Vorjahr'!$D207,INDIRECT(I$5)))</f>
        <v>0</v>
      </c>
      <c r="J207" s="593">
        <f ca="1">$E207*(-SUMIF(INDIRECT(J$3),'Struktur Vorjahr'!$D207,INDIRECT(J$4))+SUMIF(INDIRECT(J$3),'Struktur Vorjahr'!$D207,INDIRECT(J$5)))</f>
        <v>0</v>
      </c>
      <c r="K207" s="593">
        <f ca="1">$E207*(-SUMIF(INDIRECT(K$3),'Struktur Vorjahr'!$D207,INDIRECT(K$4))+SUMIF(INDIRECT(K$3),'Struktur Vorjahr'!$D207,INDIRECT(K$5)))</f>
        <v>0</v>
      </c>
      <c r="L207" s="593">
        <f ca="1">$E207*(-SUMIF(INDIRECT(L$3),'Struktur Vorjahr'!$D207,INDIRECT(L$4))+SUMIF(INDIRECT(L$3),'Struktur Vorjahr'!$D207,INDIRECT(L$5)))</f>
        <v>0</v>
      </c>
      <c r="M207" s="593">
        <f ca="1">$E207*(-SUMIF(INDIRECT(M$3),'Struktur Vorjahr'!$D207,INDIRECT(M$4))+SUMIF(INDIRECT(M$3),'Struktur Vorjahr'!$D207,INDIRECT(M$5)))</f>
        <v>0</v>
      </c>
      <c r="N207" s="593">
        <f ca="1">$E207*(-SUMIF(INDIRECT(N$3),'Struktur Vorjahr'!$D207,INDIRECT(N$4))+SUMIF(INDIRECT(N$3),'Struktur Vorjahr'!$D207,INDIRECT(N$5)))</f>
        <v>0</v>
      </c>
      <c r="O207" s="593">
        <f ca="1">$E207*(-SUMIF(INDIRECT(O$3),'Struktur Vorjahr'!$D207,INDIRECT(O$4))+SUMIF(INDIRECT(O$3),'Struktur Vorjahr'!$D207,INDIRECT(O$5)))</f>
        <v>0</v>
      </c>
      <c r="P207" s="593">
        <f ca="1">$E207*(-SUMIF(INDIRECT(P$3),'Struktur Vorjahr'!$D207,INDIRECT(P$4))+SUMIF(INDIRECT(P$3),'Struktur Vorjahr'!$D207,INDIRECT(P$5)))</f>
        <v>0</v>
      </c>
      <c r="Q207" s="593">
        <f ca="1">$E207*(-SUMIF(INDIRECT(Q$3),'Struktur Vorjahr'!$D207,INDIRECT(Q$4))+SUMIF(INDIRECT(Q$3),'Struktur Vorjahr'!$D207,INDIRECT(Q$5)))</f>
        <v>0</v>
      </c>
      <c r="R207" s="593">
        <f ca="1">$E207*(-SUMIF(INDIRECT(R$3),'Struktur Vorjahr'!$D207,INDIRECT(R$4))+SUMIF(INDIRECT(R$3),'Struktur Vorjahr'!$D207,INDIRECT(R$5)))</f>
        <v>0</v>
      </c>
      <c r="S207" s="593">
        <f ca="1">$E207*(-SUMIF(INDIRECT(S$3),'Struktur Vorjahr'!$D207,INDIRECT(S$4))+SUMIF(INDIRECT(S$3),'Struktur Vorjahr'!$D207,INDIRECT(S$5)))</f>
        <v>0</v>
      </c>
      <c r="T207" s="593">
        <f ca="1">$E207*(-SUMIF(INDIRECT(T$3),'Struktur Vorjahr'!$D207,INDIRECT(T$4))+SUMIF(INDIRECT(T$3),'Struktur Vorjahr'!$D207,INDIRECT(T$5)))</f>
        <v>0</v>
      </c>
      <c r="U207" s="593">
        <f ca="1">$E207*(-SUMIF(INDIRECT(U$3),'Struktur Vorjahr'!$D207,INDIRECT(U$4))+SUMIF(INDIRECT(U$3),'Struktur Vorjahr'!$D207,INDIRECT(U$5)))</f>
        <v>0</v>
      </c>
      <c r="V207" s="593">
        <f ca="1">$E207*(-SUMIF(INDIRECT(V$3),'Struktur Vorjahr'!$D207,INDIRECT(V$4))+SUMIF(INDIRECT(V$3),'Struktur Vorjahr'!$D207,INDIRECT(V$5)))</f>
        <v>0</v>
      </c>
      <c r="W207" s="593">
        <f ca="1">$E207*(-SUMIF(INDIRECT(W$3),'Struktur Vorjahr'!$D207,INDIRECT(W$4))+SUMIF(INDIRECT(W$3),'Struktur Vorjahr'!$D207,INDIRECT(W$5)))</f>
        <v>0</v>
      </c>
      <c r="X207" s="593">
        <f ca="1">$E207*(-SUMIF(INDIRECT(X$3),'Struktur Vorjahr'!$D207,INDIRECT(X$4))+SUMIF(INDIRECT(X$3),'Struktur Vorjahr'!$D207,INDIRECT(X$5)))</f>
        <v>0</v>
      </c>
      <c r="Y207" s="593">
        <f ca="1">$E207*(-SUMIF(INDIRECT(Y$3),'Struktur Vorjahr'!$D207,INDIRECT(Y$4))+SUMIF(INDIRECT(Y$3),'Struktur Vorjahr'!$D207,INDIRECT(Y$5)))</f>
        <v>0</v>
      </c>
      <c r="Z207" s="593">
        <f ca="1">$E207*(-SUMIF(INDIRECT(Z$3),'Struktur Vorjahr'!$D207,INDIRECT(Z$4))+SUMIF(INDIRECT(Z$3),'Struktur Vorjahr'!$D207,INDIRECT(Z$5)))</f>
        <v>0</v>
      </c>
      <c r="AA207" s="593">
        <f ca="1">$E207*(-SUMIF(INDIRECT(AA$3),'Struktur Vorjahr'!$D207,INDIRECT(AA$4))+SUMIF(INDIRECT(AA$3),'Struktur Vorjahr'!$D207,INDIRECT(AA$5)))</f>
        <v>0</v>
      </c>
      <c r="AB207" s="593">
        <f ca="1">$E207*(-SUMIF(INDIRECT(AB$3),'Struktur Vorjahr'!$D207,INDIRECT(AB$4))+SUMIF(INDIRECT(AB$3),'Struktur Vorjahr'!$D207,INDIRECT(AB$5)))</f>
        <v>0</v>
      </c>
      <c r="AC207" s="593">
        <f ca="1">$E207*(-SUMIF(INDIRECT(AC$3),'Struktur Vorjahr'!$D207,INDIRECT(AC$4))+SUMIF(INDIRECT(AC$3),'Struktur Vorjahr'!$D207,INDIRECT(AC$5)))</f>
        <v>0</v>
      </c>
      <c r="AD207" s="593">
        <f ca="1">$E207*(-SUMIF(INDIRECT(AD$3),'Struktur Vorjahr'!$D207,INDIRECT(AD$4))+SUMIF(INDIRECT(AD$3),'Struktur Vorjahr'!$D207,INDIRECT(AD$5)))</f>
        <v>0</v>
      </c>
      <c r="AE207" s="593">
        <f t="shared" ca="1" si="99"/>
        <v>0</v>
      </c>
      <c r="AF207" s="593">
        <f t="shared" ca="1" si="100"/>
        <v>0</v>
      </c>
      <c r="AG207" s="593">
        <f t="shared" ca="1" si="100"/>
        <v>0</v>
      </c>
      <c r="AH207" s="593">
        <f t="shared" ca="1" si="100"/>
        <v>0</v>
      </c>
      <c r="AI207" s="593">
        <f t="shared" ca="1" si="100"/>
        <v>0</v>
      </c>
      <c r="AJ207" s="593">
        <f t="shared" ca="1" si="100"/>
        <v>0</v>
      </c>
      <c r="AK207" s="593">
        <f t="shared" ca="1" si="100"/>
        <v>0</v>
      </c>
      <c r="AL207" s="593">
        <f t="shared" ca="1" si="100"/>
        <v>0</v>
      </c>
      <c r="AM207" s="593">
        <f t="shared" ca="1" si="100"/>
        <v>0</v>
      </c>
      <c r="AN207" s="593">
        <f t="shared" ca="1" si="100"/>
        <v>0</v>
      </c>
      <c r="AO207" s="593">
        <f t="shared" ca="1" si="100"/>
        <v>0</v>
      </c>
      <c r="AP207" s="593">
        <f t="shared" ca="1" si="100"/>
        <v>0</v>
      </c>
    </row>
    <row r="208" spans="1:42" s="589" customFormat="1" x14ac:dyDescent="0.2">
      <c r="A208" s="585">
        <v>19</v>
      </c>
      <c r="B208" s="586" t="s">
        <v>266</v>
      </c>
      <c r="C208" s="587">
        <f ca="1">SUM(G208:R208)</f>
        <v>1007.75</v>
      </c>
      <c r="D208" s="587"/>
      <c r="E208" s="588">
        <f>IF(F208="-",-1,1)</f>
        <v>1</v>
      </c>
      <c r="F208" s="585"/>
      <c r="G208" s="587">
        <f t="shared" ref="G208:R208" ca="1" si="101">SUM(G209:G218)</f>
        <v>224.81</v>
      </c>
      <c r="H208" s="587">
        <f t="shared" ca="1" si="101"/>
        <v>27</v>
      </c>
      <c r="I208" s="587">
        <f t="shared" ca="1" si="101"/>
        <v>46.56</v>
      </c>
      <c r="J208" s="587">
        <f t="shared" ca="1" si="101"/>
        <v>1.2</v>
      </c>
      <c r="K208" s="587">
        <f t="shared" ca="1" si="101"/>
        <v>215.1</v>
      </c>
      <c r="L208" s="587">
        <f t="shared" ca="1" si="101"/>
        <v>86.160000000000011</v>
      </c>
      <c r="M208" s="587">
        <f t="shared" ca="1" si="101"/>
        <v>187.92000000000002</v>
      </c>
      <c r="N208" s="587">
        <f t="shared" ca="1" si="101"/>
        <v>52.5</v>
      </c>
      <c r="O208" s="587">
        <f t="shared" ca="1" si="101"/>
        <v>0</v>
      </c>
      <c r="P208" s="587">
        <f t="shared" ca="1" si="101"/>
        <v>166.5</v>
      </c>
      <c r="Q208" s="587">
        <f t="shared" ca="1" si="101"/>
        <v>0</v>
      </c>
      <c r="R208" s="587">
        <f t="shared" ca="1" si="101"/>
        <v>0</v>
      </c>
      <c r="S208" s="587">
        <f t="shared" ref="S208:AP208" ca="1" si="102">SUM(S209:S218)</f>
        <v>224.81</v>
      </c>
      <c r="T208" s="587">
        <f t="shared" ca="1" si="102"/>
        <v>251.81</v>
      </c>
      <c r="U208" s="587">
        <f t="shared" ca="1" si="102"/>
        <v>298.37</v>
      </c>
      <c r="V208" s="587">
        <f t="shared" ca="1" si="102"/>
        <v>299.57000000000005</v>
      </c>
      <c r="W208" s="587">
        <f t="shared" ca="1" si="102"/>
        <v>514.66999999999996</v>
      </c>
      <c r="X208" s="587">
        <f t="shared" ca="1" si="102"/>
        <v>600.83000000000004</v>
      </c>
      <c r="Y208" s="587">
        <f t="shared" ca="1" si="102"/>
        <v>788.75</v>
      </c>
      <c r="Z208" s="587">
        <f t="shared" ca="1" si="102"/>
        <v>841.25</v>
      </c>
      <c r="AA208" s="587">
        <f t="shared" ca="1" si="102"/>
        <v>841.25</v>
      </c>
      <c r="AB208" s="587">
        <f t="shared" ca="1" si="102"/>
        <v>1007.75</v>
      </c>
      <c r="AC208" s="587">
        <f t="shared" ca="1" si="102"/>
        <v>0</v>
      </c>
      <c r="AD208" s="587">
        <f t="shared" ca="1" si="102"/>
        <v>0</v>
      </c>
      <c r="AE208" s="587">
        <f t="shared" ca="1" si="102"/>
        <v>224.81</v>
      </c>
      <c r="AF208" s="587">
        <f t="shared" ca="1" si="102"/>
        <v>251.81</v>
      </c>
      <c r="AG208" s="587">
        <f t="shared" ca="1" si="102"/>
        <v>298.37</v>
      </c>
      <c r="AH208" s="587">
        <f t="shared" ca="1" si="102"/>
        <v>299.56999999999994</v>
      </c>
      <c r="AI208" s="587">
        <f t="shared" ca="1" si="102"/>
        <v>514.66999999999996</v>
      </c>
      <c r="AJ208" s="587">
        <f t="shared" ca="1" si="102"/>
        <v>600.82999999999993</v>
      </c>
      <c r="AK208" s="587">
        <f t="shared" ca="1" si="102"/>
        <v>788.74999999999989</v>
      </c>
      <c r="AL208" s="587">
        <f t="shared" ca="1" si="102"/>
        <v>841.24999999999989</v>
      </c>
      <c r="AM208" s="587">
        <f t="shared" ca="1" si="102"/>
        <v>841.24999999999989</v>
      </c>
      <c r="AN208" s="587">
        <f t="shared" ca="1" si="102"/>
        <v>1007.7499999999999</v>
      </c>
      <c r="AO208" s="587">
        <f t="shared" ca="1" si="102"/>
        <v>1007.7499999999999</v>
      </c>
      <c r="AP208" s="587">
        <f t="shared" ca="1" si="102"/>
        <v>1007.7499999999999</v>
      </c>
    </row>
    <row r="209" spans="1:42" s="594" customFormat="1" ht="11.25" outlineLevel="1" x14ac:dyDescent="0.2">
      <c r="A209" s="590"/>
      <c r="B209" s="591" t="str">
        <f>IF(D209&lt;&gt;"",
IF(ISERROR(MATCH(D209,'Ist Vorjahr Monat 01'!A:A,0))=FALSE,INDEX('Ist Vorjahr Monat 01'!B:B,MATCH(D209,'Ist Vorjahr Monat 01'!A:A,0)),
IF(ISERROR(MATCH(D209,'Ist Vorjahr Monat 02'!A:A,0))=FALSE,INDEX('Ist Vorjahr Monat 02'!B:B,MATCH(D209,'Ist Vorjahr Monat 02'!A:A,0)),
IF(ISERROR(MATCH(D209,'Ist Vorjahr Monat 03'!A:A,0))=FALSE,INDEX('Ist Vorjahr Monat 03'!B:B,MATCH(D209,'Ist Vorjahr Monat 03'!A:A,0)),
IF(ISERROR(MATCH(D209,'Ist Vorjahr Monat 04'!A:A,0))=FALSE,INDEX('Ist Vorjahr Monat 04'!B:B,MATCH(D209,'Ist Vorjahr Monat 04'!A:A,0)),
IF(ISERROR(MATCH(D209,'Ist Vorjahr Monat 05'!A:A,0))=FALSE,INDEX('Ist Vorjahr Monat 05'!B:B,MATCH(D209,'Ist Vorjahr Monat 05'!A:A,0)),
IF(ISERROR(MATCH(D209,'Ist Vorjahr Monat 06'!A:A,0))=FALSE,INDEX('Ist Vorjahr Monat 06'!B:B,MATCH(D209,'Ist Vorjahr Monat 06'!A:A,0)),
IF(ISERROR(MATCH(D209,'Ist Vorjahr Monat 07'!A:A,0))=FALSE,INDEX('Ist Vorjahr Monat 07'!B:B,MATCH(D209,'Ist Vorjahr Monat 07'!A:A,0)),
IF(ISERROR(MATCH(D209,'Ist Vorjahr Monat 08'!A:A,0))=FALSE,INDEX('Ist Vorjahr Monat 08'!B:B,MATCH(D209,'Ist Vorjahr Monat 08'!A:A,0)),
IF(ISERROR(MATCH(D209,'Ist Vorjahr Monat 09'!A:A,0))=FALSE,INDEX('Ist Vorjahr Monat 09'!B:B,MATCH(D209,'Ist Vorjahr Monat 09'!A:A,0)),
IF(ISERROR(MATCH(D209,'Ist Vorjahr Monat 10'!A:A,0))=FALSE,INDEX('Ist Vorjahr Monat 10'!B:B,MATCH(D209,'Ist Vorjahr Monat 10'!A:A,0)),
IF(ISERROR(MATCH(D209,'Ist Vorjahr Monat 11'!A:A,0))=FALSE,INDEX('Ist Vorjahr Monat 11'!B:B,MATCH(D209,'Ist Vorjahr Monat 11'!A:A,0)),
IF(ISERROR(MATCH(D209,'Ist Vorjahr Monat 12'!A:A,0))=FALSE,INDEX('Ist Vorjahr Monat 12'!B:B,MATCH(D209,'Ist Vorjahr Monat 12'!A:A,0)),
"{Konto unbekannt}"
)))))))))))),"")</f>
        <v>Reisekosten Arbeitnehmer</v>
      </c>
      <c r="C209" s="591"/>
      <c r="D209" s="590">
        <v>4660</v>
      </c>
      <c r="E209" s="592">
        <f>IF(F209="-",-1,1)</f>
        <v>1</v>
      </c>
      <c r="F209" s="590"/>
      <c r="G209" s="593">
        <f ca="1">$E209*(-SUMIF(INDIRECT(G$3),'Struktur Vorjahr'!$D209,INDIRECT(G$4))+SUMIF(INDIRECT(G$3),'Struktur Vorjahr'!$D209,INDIRECT(G$5)))</f>
        <v>13.61</v>
      </c>
      <c r="H209" s="593">
        <f ca="1">$E209*(-SUMIF(INDIRECT(H$3),'Struktur Vorjahr'!$D209,INDIRECT(H$4))+SUMIF(INDIRECT(H$3),'Struktur Vorjahr'!$D209,INDIRECT(H$5)))</f>
        <v>0</v>
      </c>
      <c r="I209" s="593">
        <f ca="1">$E209*(-SUMIF(INDIRECT(I$3),'Struktur Vorjahr'!$D209,INDIRECT(I$4))+SUMIF(INDIRECT(I$3),'Struktur Vorjahr'!$D209,INDIRECT(I$5)))</f>
        <v>3.36</v>
      </c>
      <c r="J209" s="593">
        <f ca="1">$E209*(-SUMIF(INDIRECT(J$3),'Struktur Vorjahr'!$D209,INDIRECT(J$4))+SUMIF(INDIRECT(J$3),'Struktur Vorjahr'!$D209,INDIRECT(J$5)))</f>
        <v>0</v>
      </c>
      <c r="K209" s="593">
        <f ca="1">$E209*(-SUMIF(INDIRECT(K$3),'Struktur Vorjahr'!$D209,INDIRECT(K$4))+SUMIF(INDIRECT(K$3),'Struktur Vorjahr'!$D209,INDIRECT(K$5)))</f>
        <v>0</v>
      </c>
      <c r="L209" s="593">
        <f ca="1">$E209*(-SUMIF(INDIRECT(L$3),'Struktur Vorjahr'!$D209,INDIRECT(L$4))+SUMIF(INDIRECT(L$3),'Struktur Vorjahr'!$D209,INDIRECT(L$5)))</f>
        <v>1.26</v>
      </c>
      <c r="M209" s="593">
        <f ca="1">$E209*(-SUMIF(INDIRECT(M$3),'Struktur Vorjahr'!$D209,INDIRECT(M$4))+SUMIF(INDIRECT(M$3),'Struktur Vorjahr'!$D209,INDIRECT(M$5)))</f>
        <v>32.520000000000003</v>
      </c>
      <c r="N209" s="593">
        <f ca="1">$E209*(-SUMIF(INDIRECT(N$3),'Struktur Vorjahr'!$D209,INDIRECT(N$4))+SUMIF(INDIRECT(N$3),'Struktur Vorjahr'!$D209,INDIRECT(N$5)))</f>
        <v>6.3</v>
      </c>
      <c r="O209" s="593">
        <f ca="1">$E209*(-SUMIF(INDIRECT(O$3),'Struktur Vorjahr'!$D209,INDIRECT(O$4))+SUMIF(INDIRECT(O$3),'Struktur Vorjahr'!$D209,INDIRECT(O$5)))</f>
        <v>0</v>
      </c>
      <c r="P209" s="593">
        <f ca="1">$E209*(-SUMIF(INDIRECT(P$3),'Struktur Vorjahr'!$D209,INDIRECT(P$4))+SUMIF(INDIRECT(P$3),'Struktur Vorjahr'!$D209,INDIRECT(P$5)))</f>
        <v>0</v>
      </c>
      <c r="Q209" s="593">
        <f ca="1">$E209*(-SUMIF(INDIRECT(Q$3),'Struktur Vorjahr'!$D209,INDIRECT(Q$4))+SUMIF(INDIRECT(Q$3),'Struktur Vorjahr'!$D209,INDIRECT(Q$5)))</f>
        <v>0</v>
      </c>
      <c r="R209" s="593">
        <f ca="1">$E209*(-SUMIF(INDIRECT(R$3),'Struktur Vorjahr'!$D209,INDIRECT(R$4))+SUMIF(INDIRECT(R$3),'Struktur Vorjahr'!$D209,INDIRECT(R$5)))</f>
        <v>0</v>
      </c>
      <c r="S209" s="593">
        <f ca="1">$E209*(-SUMIF(INDIRECT(S$3),'Struktur Vorjahr'!$D209,INDIRECT(S$4))+SUMIF(INDIRECT(S$3),'Struktur Vorjahr'!$D209,INDIRECT(S$5)))</f>
        <v>13.61</v>
      </c>
      <c r="T209" s="593">
        <f ca="1">$E209*(-SUMIF(INDIRECT(T$3),'Struktur Vorjahr'!$D209,INDIRECT(T$4))+SUMIF(INDIRECT(T$3),'Struktur Vorjahr'!$D209,INDIRECT(T$5)))</f>
        <v>13.61</v>
      </c>
      <c r="U209" s="593">
        <f ca="1">$E209*(-SUMIF(INDIRECT(U$3),'Struktur Vorjahr'!$D209,INDIRECT(U$4))+SUMIF(INDIRECT(U$3),'Struktur Vorjahr'!$D209,INDIRECT(U$5)))</f>
        <v>16.97</v>
      </c>
      <c r="V209" s="593">
        <f ca="1">$E209*(-SUMIF(INDIRECT(V$3),'Struktur Vorjahr'!$D209,INDIRECT(V$4))+SUMIF(INDIRECT(V$3),'Struktur Vorjahr'!$D209,INDIRECT(V$5)))</f>
        <v>16.97</v>
      </c>
      <c r="W209" s="593">
        <f ca="1">$E209*(-SUMIF(INDIRECT(W$3),'Struktur Vorjahr'!$D209,INDIRECT(W$4))+SUMIF(INDIRECT(W$3),'Struktur Vorjahr'!$D209,INDIRECT(W$5)))</f>
        <v>16.97</v>
      </c>
      <c r="X209" s="593">
        <f ca="1">$E209*(-SUMIF(INDIRECT(X$3),'Struktur Vorjahr'!$D209,INDIRECT(X$4))+SUMIF(INDIRECT(X$3),'Struktur Vorjahr'!$D209,INDIRECT(X$5)))</f>
        <v>18.23</v>
      </c>
      <c r="Y209" s="593">
        <f ca="1">$E209*(-SUMIF(INDIRECT(Y$3),'Struktur Vorjahr'!$D209,INDIRECT(Y$4))+SUMIF(INDIRECT(Y$3),'Struktur Vorjahr'!$D209,INDIRECT(Y$5)))</f>
        <v>50.75</v>
      </c>
      <c r="Z209" s="593">
        <f ca="1">$E209*(-SUMIF(INDIRECT(Z$3),'Struktur Vorjahr'!$D209,INDIRECT(Z$4))+SUMIF(INDIRECT(Z$3),'Struktur Vorjahr'!$D209,INDIRECT(Z$5)))</f>
        <v>57.05</v>
      </c>
      <c r="AA209" s="593">
        <f ca="1">$E209*(-SUMIF(INDIRECT(AA$3),'Struktur Vorjahr'!$D209,INDIRECT(AA$4))+SUMIF(INDIRECT(AA$3),'Struktur Vorjahr'!$D209,INDIRECT(AA$5)))</f>
        <v>57.05</v>
      </c>
      <c r="AB209" s="593">
        <f ca="1">$E209*(-SUMIF(INDIRECT(AB$3),'Struktur Vorjahr'!$D209,INDIRECT(AB$4))+SUMIF(INDIRECT(AB$3),'Struktur Vorjahr'!$D209,INDIRECT(AB$5)))</f>
        <v>57.05</v>
      </c>
      <c r="AC209" s="593">
        <f ca="1">$E209*(-SUMIF(INDIRECT(AC$3),'Struktur Vorjahr'!$D209,INDIRECT(AC$4))+SUMIF(INDIRECT(AC$3),'Struktur Vorjahr'!$D209,INDIRECT(AC$5)))</f>
        <v>0</v>
      </c>
      <c r="AD209" s="593">
        <f ca="1">$E209*(-SUMIF(INDIRECT(AD$3),'Struktur Vorjahr'!$D209,INDIRECT(AD$4))+SUMIF(INDIRECT(AD$3),'Struktur Vorjahr'!$D209,INDIRECT(AD$5)))</f>
        <v>0</v>
      </c>
      <c r="AE209" s="593">
        <f t="shared" ref="AE209:AE218" ca="1" si="103">G209</f>
        <v>13.61</v>
      </c>
      <c r="AF209" s="593">
        <f t="shared" ref="AF209:AP218" ca="1" si="104">H209+AE209</f>
        <v>13.61</v>
      </c>
      <c r="AG209" s="593">
        <f t="shared" ca="1" si="104"/>
        <v>16.97</v>
      </c>
      <c r="AH209" s="593">
        <f t="shared" ca="1" si="104"/>
        <v>16.97</v>
      </c>
      <c r="AI209" s="593">
        <f t="shared" ca="1" si="104"/>
        <v>16.97</v>
      </c>
      <c r="AJ209" s="593">
        <f t="shared" ca="1" si="104"/>
        <v>18.23</v>
      </c>
      <c r="AK209" s="593">
        <f t="shared" ca="1" si="104"/>
        <v>50.75</v>
      </c>
      <c r="AL209" s="593">
        <f t="shared" ca="1" si="104"/>
        <v>57.05</v>
      </c>
      <c r="AM209" s="593">
        <f t="shared" ca="1" si="104"/>
        <v>57.05</v>
      </c>
      <c r="AN209" s="593">
        <f t="shared" ca="1" si="104"/>
        <v>57.05</v>
      </c>
      <c r="AO209" s="593">
        <f t="shared" ca="1" si="104"/>
        <v>57.05</v>
      </c>
      <c r="AP209" s="593">
        <f t="shared" ca="1" si="104"/>
        <v>57.05</v>
      </c>
    </row>
    <row r="210" spans="1:42" s="594" customFormat="1" ht="11.25" outlineLevel="1" x14ac:dyDescent="0.2">
      <c r="A210" s="590"/>
      <c r="B210" s="591" t="str">
        <f>IF(D210&lt;&gt;"",
IF(ISERROR(MATCH(D210,'Ist Vorjahr Monat 01'!A:A,0))=FALSE,INDEX('Ist Vorjahr Monat 01'!B:B,MATCH(D210,'Ist Vorjahr Monat 01'!A:A,0)),
IF(ISERROR(MATCH(D210,'Ist Vorjahr Monat 02'!A:A,0))=FALSE,INDEX('Ist Vorjahr Monat 02'!B:B,MATCH(D210,'Ist Vorjahr Monat 02'!A:A,0)),
IF(ISERROR(MATCH(D210,'Ist Vorjahr Monat 03'!A:A,0))=FALSE,INDEX('Ist Vorjahr Monat 03'!B:B,MATCH(D210,'Ist Vorjahr Monat 03'!A:A,0)),
IF(ISERROR(MATCH(D210,'Ist Vorjahr Monat 04'!A:A,0))=FALSE,INDEX('Ist Vorjahr Monat 04'!B:B,MATCH(D210,'Ist Vorjahr Monat 04'!A:A,0)),
IF(ISERROR(MATCH(D210,'Ist Vorjahr Monat 05'!A:A,0))=FALSE,INDEX('Ist Vorjahr Monat 05'!B:B,MATCH(D210,'Ist Vorjahr Monat 05'!A:A,0)),
IF(ISERROR(MATCH(D210,'Ist Vorjahr Monat 06'!A:A,0))=FALSE,INDEX('Ist Vorjahr Monat 06'!B:B,MATCH(D210,'Ist Vorjahr Monat 06'!A:A,0)),
IF(ISERROR(MATCH(D210,'Ist Vorjahr Monat 07'!A:A,0))=FALSE,INDEX('Ist Vorjahr Monat 07'!B:B,MATCH(D210,'Ist Vorjahr Monat 07'!A:A,0)),
IF(ISERROR(MATCH(D210,'Ist Vorjahr Monat 08'!A:A,0))=FALSE,INDEX('Ist Vorjahr Monat 08'!B:B,MATCH(D210,'Ist Vorjahr Monat 08'!A:A,0)),
IF(ISERROR(MATCH(D210,'Ist Vorjahr Monat 09'!A:A,0))=FALSE,INDEX('Ist Vorjahr Monat 09'!B:B,MATCH(D210,'Ist Vorjahr Monat 09'!A:A,0)),
IF(ISERROR(MATCH(D210,'Ist Vorjahr Monat 10'!A:A,0))=FALSE,INDEX('Ist Vorjahr Monat 10'!B:B,MATCH(D210,'Ist Vorjahr Monat 10'!A:A,0)),
IF(ISERROR(MATCH(D210,'Ist Vorjahr Monat 11'!A:A,0))=FALSE,INDEX('Ist Vorjahr Monat 11'!B:B,MATCH(D210,'Ist Vorjahr Monat 11'!A:A,0)),
IF(ISERROR(MATCH(D210,'Ist Vorjahr Monat 12'!A:A,0))=FALSE,INDEX('Ist Vorjahr Monat 12'!B:B,MATCH(D210,'Ist Vorjahr Monat 12'!A:A,0)),
"{Konto unbekannt}"
)))))))))))),"")</f>
        <v>Kilometergelderstattung Arbeitnehmer</v>
      </c>
      <c r="C210" s="591"/>
      <c r="D210" s="590">
        <v>4668</v>
      </c>
      <c r="E210" s="592">
        <f t="shared" ref="E210:E280" si="105">IF(F210="-",-1,1)</f>
        <v>1</v>
      </c>
      <c r="F210" s="590"/>
      <c r="G210" s="593">
        <f ca="1">$E210*(-SUMIF(INDIRECT(G$3),'Struktur Vorjahr'!$D210,INDIRECT(G$4))+SUMIF(INDIRECT(G$3),'Struktur Vorjahr'!$D210,INDIRECT(G$5)))</f>
        <v>211.2</v>
      </c>
      <c r="H210" s="593">
        <f ca="1">$E210*(-SUMIF(INDIRECT(H$3),'Struktur Vorjahr'!$D210,INDIRECT(H$4))+SUMIF(INDIRECT(H$3),'Struktur Vorjahr'!$D210,INDIRECT(H$5)))</f>
        <v>27</v>
      </c>
      <c r="I210" s="593">
        <f ca="1">$E210*(-SUMIF(INDIRECT(I$3),'Struktur Vorjahr'!$D210,INDIRECT(I$4))+SUMIF(INDIRECT(I$3),'Struktur Vorjahr'!$D210,INDIRECT(I$5)))</f>
        <v>43.2</v>
      </c>
      <c r="J210" s="593">
        <f ca="1">$E210*(-SUMIF(INDIRECT(J$3),'Struktur Vorjahr'!$D210,INDIRECT(J$4))+SUMIF(INDIRECT(J$3),'Struktur Vorjahr'!$D210,INDIRECT(J$5)))</f>
        <v>1.2</v>
      </c>
      <c r="K210" s="593">
        <f ca="1">$E210*(-SUMIF(INDIRECT(K$3),'Struktur Vorjahr'!$D210,INDIRECT(K$4))+SUMIF(INDIRECT(K$3),'Struktur Vorjahr'!$D210,INDIRECT(K$5)))</f>
        <v>215.1</v>
      </c>
      <c r="L210" s="593">
        <f ca="1">$E210*(-SUMIF(INDIRECT(L$3),'Struktur Vorjahr'!$D210,INDIRECT(L$4))+SUMIF(INDIRECT(L$3),'Struktur Vorjahr'!$D210,INDIRECT(L$5)))</f>
        <v>84.9</v>
      </c>
      <c r="M210" s="593">
        <f ca="1">$E210*(-SUMIF(INDIRECT(M$3),'Struktur Vorjahr'!$D210,INDIRECT(M$4))+SUMIF(INDIRECT(M$3),'Struktur Vorjahr'!$D210,INDIRECT(M$5)))</f>
        <v>155.4</v>
      </c>
      <c r="N210" s="593">
        <f ca="1">$E210*(-SUMIF(INDIRECT(N$3),'Struktur Vorjahr'!$D210,INDIRECT(N$4))+SUMIF(INDIRECT(N$3),'Struktur Vorjahr'!$D210,INDIRECT(N$5)))</f>
        <v>46.2</v>
      </c>
      <c r="O210" s="593">
        <f ca="1">$E210*(-SUMIF(INDIRECT(O$3),'Struktur Vorjahr'!$D210,INDIRECT(O$4))+SUMIF(INDIRECT(O$3),'Struktur Vorjahr'!$D210,INDIRECT(O$5)))</f>
        <v>0</v>
      </c>
      <c r="P210" s="593">
        <f ca="1">$E210*(-SUMIF(INDIRECT(P$3),'Struktur Vorjahr'!$D210,INDIRECT(P$4))+SUMIF(INDIRECT(P$3),'Struktur Vorjahr'!$D210,INDIRECT(P$5)))</f>
        <v>166.5</v>
      </c>
      <c r="Q210" s="593">
        <f ca="1">$E210*(-SUMIF(INDIRECT(Q$3),'Struktur Vorjahr'!$D210,INDIRECT(Q$4))+SUMIF(INDIRECT(Q$3),'Struktur Vorjahr'!$D210,INDIRECT(Q$5)))</f>
        <v>0</v>
      </c>
      <c r="R210" s="593">
        <f ca="1">$E210*(-SUMIF(INDIRECT(R$3),'Struktur Vorjahr'!$D210,INDIRECT(R$4))+SUMIF(INDIRECT(R$3),'Struktur Vorjahr'!$D210,INDIRECT(R$5)))</f>
        <v>0</v>
      </c>
      <c r="S210" s="593">
        <f ca="1">$E210*(-SUMIF(INDIRECT(S$3),'Struktur Vorjahr'!$D210,INDIRECT(S$4))+SUMIF(INDIRECT(S$3),'Struktur Vorjahr'!$D210,INDIRECT(S$5)))</f>
        <v>211.2</v>
      </c>
      <c r="T210" s="593">
        <f ca="1">$E210*(-SUMIF(INDIRECT(T$3),'Struktur Vorjahr'!$D210,INDIRECT(T$4))+SUMIF(INDIRECT(T$3),'Struktur Vorjahr'!$D210,INDIRECT(T$5)))</f>
        <v>238.2</v>
      </c>
      <c r="U210" s="593">
        <f ca="1">$E210*(-SUMIF(INDIRECT(U$3),'Struktur Vorjahr'!$D210,INDIRECT(U$4))+SUMIF(INDIRECT(U$3),'Struktur Vorjahr'!$D210,INDIRECT(U$5)))</f>
        <v>281.39999999999998</v>
      </c>
      <c r="V210" s="593">
        <f ca="1">$E210*(-SUMIF(INDIRECT(V$3),'Struktur Vorjahr'!$D210,INDIRECT(V$4))+SUMIF(INDIRECT(V$3),'Struktur Vorjahr'!$D210,INDIRECT(V$5)))</f>
        <v>282.60000000000002</v>
      </c>
      <c r="W210" s="593">
        <f ca="1">$E210*(-SUMIF(INDIRECT(W$3),'Struktur Vorjahr'!$D210,INDIRECT(W$4))+SUMIF(INDIRECT(W$3),'Struktur Vorjahr'!$D210,INDIRECT(W$5)))</f>
        <v>497.7</v>
      </c>
      <c r="X210" s="593">
        <f ca="1">$E210*(-SUMIF(INDIRECT(X$3),'Struktur Vorjahr'!$D210,INDIRECT(X$4))+SUMIF(INDIRECT(X$3),'Struktur Vorjahr'!$D210,INDIRECT(X$5)))</f>
        <v>582.6</v>
      </c>
      <c r="Y210" s="593">
        <f ca="1">$E210*(-SUMIF(INDIRECT(Y$3),'Struktur Vorjahr'!$D210,INDIRECT(Y$4))+SUMIF(INDIRECT(Y$3),'Struktur Vorjahr'!$D210,INDIRECT(Y$5)))</f>
        <v>738</v>
      </c>
      <c r="Z210" s="593">
        <f ca="1">$E210*(-SUMIF(INDIRECT(Z$3),'Struktur Vorjahr'!$D210,INDIRECT(Z$4))+SUMIF(INDIRECT(Z$3),'Struktur Vorjahr'!$D210,INDIRECT(Z$5)))</f>
        <v>784.2</v>
      </c>
      <c r="AA210" s="593">
        <f ca="1">$E210*(-SUMIF(INDIRECT(AA$3),'Struktur Vorjahr'!$D210,INDIRECT(AA$4))+SUMIF(INDIRECT(AA$3),'Struktur Vorjahr'!$D210,INDIRECT(AA$5)))</f>
        <v>784.2</v>
      </c>
      <c r="AB210" s="593">
        <f ca="1">$E210*(-SUMIF(INDIRECT(AB$3),'Struktur Vorjahr'!$D210,INDIRECT(AB$4))+SUMIF(INDIRECT(AB$3),'Struktur Vorjahr'!$D210,INDIRECT(AB$5)))</f>
        <v>950.7</v>
      </c>
      <c r="AC210" s="593">
        <f ca="1">$E210*(-SUMIF(INDIRECT(AC$3),'Struktur Vorjahr'!$D210,INDIRECT(AC$4))+SUMIF(INDIRECT(AC$3),'Struktur Vorjahr'!$D210,INDIRECT(AC$5)))</f>
        <v>0</v>
      </c>
      <c r="AD210" s="593">
        <f ca="1">$E210*(-SUMIF(INDIRECT(AD$3),'Struktur Vorjahr'!$D210,INDIRECT(AD$4))+SUMIF(INDIRECT(AD$3),'Struktur Vorjahr'!$D210,INDIRECT(AD$5)))</f>
        <v>0</v>
      </c>
      <c r="AE210" s="593">
        <f t="shared" ca="1" si="103"/>
        <v>211.2</v>
      </c>
      <c r="AF210" s="593">
        <f t="shared" ca="1" si="104"/>
        <v>238.2</v>
      </c>
      <c r="AG210" s="593">
        <f t="shared" ca="1" si="104"/>
        <v>281.39999999999998</v>
      </c>
      <c r="AH210" s="593">
        <f t="shared" ca="1" si="104"/>
        <v>282.59999999999997</v>
      </c>
      <c r="AI210" s="593">
        <f t="shared" ca="1" si="104"/>
        <v>497.69999999999993</v>
      </c>
      <c r="AJ210" s="593">
        <f t="shared" ca="1" si="104"/>
        <v>582.59999999999991</v>
      </c>
      <c r="AK210" s="593">
        <f t="shared" ca="1" si="104"/>
        <v>737.99999999999989</v>
      </c>
      <c r="AL210" s="593">
        <f t="shared" ca="1" si="104"/>
        <v>784.19999999999993</v>
      </c>
      <c r="AM210" s="593">
        <f t="shared" ca="1" si="104"/>
        <v>784.19999999999993</v>
      </c>
      <c r="AN210" s="593">
        <f t="shared" ca="1" si="104"/>
        <v>950.69999999999993</v>
      </c>
      <c r="AO210" s="593">
        <f t="shared" ca="1" si="104"/>
        <v>950.69999999999993</v>
      </c>
      <c r="AP210" s="593">
        <f t="shared" ca="1" si="104"/>
        <v>950.69999999999993</v>
      </c>
    </row>
    <row r="211" spans="1:42" s="594" customFormat="1" ht="11.25" outlineLevel="1" x14ac:dyDescent="0.2">
      <c r="A211" s="590"/>
      <c r="B211" s="591" t="str">
        <f>IF(D211&lt;&gt;"",
IF(ISERROR(MATCH(D211,'Ist Vorjahr Monat 01'!A:A,0))=FALSE,INDEX('Ist Vorjahr Monat 01'!B:B,MATCH(D211,'Ist Vorjahr Monat 01'!A:A,0)),
IF(ISERROR(MATCH(D211,'Ist Vorjahr Monat 02'!A:A,0))=FALSE,INDEX('Ist Vorjahr Monat 02'!B:B,MATCH(D211,'Ist Vorjahr Monat 02'!A:A,0)),
IF(ISERROR(MATCH(D211,'Ist Vorjahr Monat 03'!A:A,0))=FALSE,INDEX('Ist Vorjahr Monat 03'!B:B,MATCH(D211,'Ist Vorjahr Monat 03'!A:A,0)),
IF(ISERROR(MATCH(D211,'Ist Vorjahr Monat 04'!A:A,0))=FALSE,INDEX('Ist Vorjahr Monat 04'!B:B,MATCH(D211,'Ist Vorjahr Monat 04'!A:A,0)),
IF(ISERROR(MATCH(D211,'Ist Vorjahr Monat 05'!A:A,0))=FALSE,INDEX('Ist Vorjahr Monat 05'!B:B,MATCH(D211,'Ist Vorjahr Monat 05'!A:A,0)),
IF(ISERROR(MATCH(D211,'Ist Vorjahr Monat 06'!A:A,0))=FALSE,INDEX('Ist Vorjahr Monat 06'!B:B,MATCH(D211,'Ist Vorjahr Monat 06'!A:A,0)),
IF(ISERROR(MATCH(D211,'Ist Vorjahr Monat 07'!A:A,0))=FALSE,INDEX('Ist Vorjahr Monat 07'!B:B,MATCH(D211,'Ist Vorjahr Monat 07'!A:A,0)),
IF(ISERROR(MATCH(D211,'Ist Vorjahr Monat 08'!A:A,0))=FALSE,INDEX('Ist Vorjahr Monat 08'!B:B,MATCH(D211,'Ist Vorjahr Monat 08'!A:A,0)),
IF(ISERROR(MATCH(D211,'Ist Vorjahr Monat 09'!A:A,0))=FALSE,INDEX('Ist Vorjahr Monat 09'!B:B,MATCH(D211,'Ist Vorjahr Monat 09'!A:A,0)),
IF(ISERROR(MATCH(D211,'Ist Vorjahr Monat 10'!A:A,0))=FALSE,INDEX('Ist Vorjahr Monat 10'!B:B,MATCH(D211,'Ist Vorjahr Monat 10'!A:A,0)),
IF(ISERROR(MATCH(D211,'Ist Vorjahr Monat 11'!A:A,0))=FALSE,INDEX('Ist Vorjahr Monat 11'!B:B,MATCH(D211,'Ist Vorjahr Monat 11'!A:A,0)),
IF(ISERROR(MATCH(D211,'Ist Vorjahr Monat 12'!A:A,0))=FALSE,INDEX('Ist Vorjahr Monat 12'!B:B,MATCH(D211,'Ist Vorjahr Monat 12'!A:A,0)),
"{Konto unbekannt}"
)))))))))))),"")</f>
        <v/>
      </c>
      <c r="C211" s="591"/>
      <c r="D211" s="590"/>
      <c r="E211" s="592">
        <f t="shared" si="105"/>
        <v>1</v>
      </c>
      <c r="F211" s="590"/>
      <c r="G211" s="593">
        <f ca="1">$E211*(-SUMIF(INDIRECT(G$3),'Struktur Vorjahr'!$D211,INDIRECT(G$4))+SUMIF(INDIRECT(G$3),'Struktur Vorjahr'!$D211,INDIRECT(G$5)))</f>
        <v>0</v>
      </c>
      <c r="H211" s="593">
        <f ca="1">$E211*(-SUMIF(INDIRECT(H$3),'Struktur Vorjahr'!$D211,INDIRECT(H$4))+SUMIF(INDIRECT(H$3),'Struktur Vorjahr'!$D211,INDIRECT(H$5)))</f>
        <v>0</v>
      </c>
      <c r="I211" s="593">
        <f ca="1">$E211*(-SUMIF(INDIRECT(I$3),'Struktur Vorjahr'!$D211,INDIRECT(I$4))+SUMIF(INDIRECT(I$3),'Struktur Vorjahr'!$D211,INDIRECT(I$5)))</f>
        <v>0</v>
      </c>
      <c r="J211" s="593">
        <f ca="1">$E211*(-SUMIF(INDIRECT(J$3),'Struktur Vorjahr'!$D211,INDIRECT(J$4))+SUMIF(INDIRECT(J$3),'Struktur Vorjahr'!$D211,INDIRECT(J$5)))</f>
        <v>0</v>
      </c>
      <c r="K211" s="593">
        <f ca="1">$E211*(-SUMIF(INDIRECT(K$3),'Struktur Vorjahr'!$D211,INDIRECT(K$4))+SUMIF(INDIRECT(K$3),'Struktur Vorjahr'!$D211,INDIRECT(K$5)))</f>
        <v>0</v>
      </c>
      <c r="L211" s="593">
        <f ca="1">$E211*(-SUMIF(INDIRECT(L$3),'Struktur Vorjahr'!$D211,INDIRECT(L$4))+SUMIF(INDIRECT(L$3),'Struktur Vorjahr'!$D211,INDIRECT(L$5)))</f>
        <v>0</v>
      </c>
      <c r="M211" s="593">
        <f ca="1">$E211*(-SUMIF(INDIRECT(M$3),'Struktur Vorjahr'!$D211,INDIRECT(M$4))+SUMIF(INDIRECT(M$3),'Struktur Vorjahr'!$D211,INDIRECT(M$5)))</f>
        <v>0</v>
      </c>
      <c r="N211" s="593">
        <f ca="1">$E211*(-SUMIF(INDIRECT(N$3),'Struktur Vorjahr'!$D211,INDIRECT(N$4))+SUMIF(INDIRECT(N$3),'Struktur Vorjahr'!$D211,INDIRECT(N$5)))</f>
        <v>0</v>
      </c>
      <c r="O211" s="593">
        <f ca="1">$E211*(-SUMIF(INDIRECT(O$3),'Struktur Vorjahr'!$D211,INDIRECT(O$4))+SUMIF(INDIRECT(O$3),'Struktur Vorjahr'!$D211,INDIRECT(O$5)))</f>
        <v>0</v>
      </c>
      <c r="P211" s="593">
        <f ca="1">$E211*(-SUMIF(INDIRECT(P$3),'Struktur Vorjahr'!$D211,INDIRECT(P$4))+SUMIF(INDIRECT(P$3),'Struktur Vorjahr'!$D211,INDIRECT(P$5)))</f>
        <v>0</v>
      </c>
      <c r="Q211" s="593">
        <f ca="1">$E211*(-SUMIF(INDIRECT(Q$3),'Struktur Vorjahr'!$D211,INDIRECT(Q$4))+SUMIF(INDIRECT(Q$3),'Struktur Vorjahr'!$D211,INDIRECT(Q$5)))</f>
        <v>0</v>
      </c>
      <c r="R211" s="593">
        <f ca="1">$E211*(-SUMIF(INDIRECT(R$3),'Struktur Vorjahr'!$D211,INDIRECT(R$4))+SUMIF(INDIRECT(R$3),'Struktur Vorjahr'!$D211,INDIRECT(R$5)))</f>
        <v>0</v>
      </c>
      <c r="S211" s="593">
        <f ca="1">$E211*(-SUMIF(INDIRECT(S$3),'Struktur Vorjahr'!$D211,INDIRECT(S$4))+SUMIF(INDIRECT(S$3),'Struktur Vorjahr'!$D211,INDIRECT(S$5)))</f>
        <v>0</v>
      </c>
      <c r="T211" s="593">
        <f ca="1">$E211*(-SUMIF(INDIRECT(T$3),'Struktur Vorjahr'!$D211,INDIRECT(T$4))+SUMIF(INDIRECT(T$3),'Struktur Vorjahr'!$D211,INDIRECT(T$5)))</f>
        <v>0</v>
      </c>
      <c r="U211" s="593">
        <f ca="1">$E211*(-SUMIF(INDIRECT(U$3),'Struktur Vorjahr'!$D211,INDIRECT(U$4))+SUMIF(INDIRECT(U$3),'Struktur Vorjahr'!$D211,INDIRECT(U$5)))</f>
        <v>0</v>
      </c>
      <c r="V211" s="593">
        <f ca="1">$E211*(-SUMIF(INDIRECT(V$3),'Struktur Vorjahr'!$D211,INDIRECT(V$4))+SUMIF(INDIRECT(V$3),'Struktur Vorjahr'!$D211,INDIRECT(V$5)))</f>
        <v>0</v>
      </c>
      <c r="W211" s="593">
        <f ca="1">$E211*(-SUMIF(INDIRECT(W$3),'Struktur Vorjahr'!$D211,INDIRECT(W$4))+SUMIF(INDIRECT(W$3),'Struktur Vorjahr'!$D211,INDIRECT(W$5)))</f>
        <v>0</v>
      </c>
      <c r="X211" s="593">
        <f ca="1">$E211*(-SUMIF(INDIRECT(X$3),'Struktur Vorjahr'!$D211,INDIRECT(X$4))+SUMIF(INDIRECT(X$3),'Struktur Vorjahr'!$D211,INDIRECT(X$5)))</f>
        <v>0</v>
      </c>
      <c r="Y211" s="593">
        <f ca="1">$E211*(-SUMIF(INDIRECT(Y$3),'Struktur Vorjahr'!$D211,INDIRECT(Y$4))+SUMIF(INDIRECT(Y$3),'Struktur Vorjahr'!$D211,INDIRECT(Y$5)))</f>
        <v>0</v>
      </c>
      <c r="Z211" s="593">
        <f ca="1">$E211*(-SUMIF(INDIRECT(Z$3),'Struktur Vorjahr'!$D211,INDIRECT(Z$4))+SUMIF(INDIRECT(Z$3),'Struktur Vorjahr'!$D211,INDIRECT(Z$5)))</f>
        <v>0</v>
      </c>
      <c r="AA211" s="593">
        <f ca="1">$E211*(-SUMIF(INDIRECT(AA$3),'Struktur Vorjahr'!$D211,INDIRECT(AA$4))+SUMIF(INDIRECT(AA$3),'Struktur Vorjahr'!$D211,INDIRECT(AA$5)))</f>
        <v>0</v>
      </c>
      <c r="AB211" s="593">
        <f ca="1">$E211*(-SUMIF(INDIRECT(AB$3),'Struktur Vorjahr'!$D211,INDIRECT(AB$4))+SUMIF(INDIRECT(AB$3),'Struktur Vorjahr'!$D211,INDIRECT(AB$5)))</f>
        <v>0</v>
      </c>
      <c r="AC211" s="593">
        <f ca="1">$E211*(-SUMIF(INDIRECT(AC$3),'Struktur Vorjahr'!$D211,INDIRECT(AC$4))+SUMIF(INDIRECT(AC$3),'Struktur Vorjahr'!$D211,INDIRECT(AC$5)))</f>
        <v>0</v>
      </c>
      <c r="AD211" s="593">
        <f ca="1">$E211*(-SUMIF(INDIRECT(AD$3),'Struktur Vorjahr'!$D211,INDIRECT(AD$4))+SUMIF(INDIRECT(AD$3),'Struktur Vorjahr'!$D211,INDIRECT(AD$5)))</f>
        <v>0</v>
      </c>
      <c r="AE211" s="593">
        <f t="shared" ca="1" si="103"/>
        <v>0</v>
      </c>
      <c r="AF211" s="593">
        <f t="shared" ca="1" si="104"/>
        <v>0</v>
      </c>
      <c r="AG211" s="593">
        <f t="shared" ca="1" si="104"/>
        <v>0</v>
      </c>
      <c r="AH211" s="593">
        <f t="shared" ca="1" si="104"/>
        <v>0</v>
      </c>
      <c r="AI211" s="593">
        <f t="shared" ca="1" si="104"/>
        <v>0</v>
      </c>
      <c r="AJ211" s="593">
        <f t="shared" ca="1" si="104"/>
        <v>0</v>
      </c>
      <c r="AK211" s="593">
        <f t="shared" ca="1" si="104"/>
        <v>0</v>
      </c>
      <c r="AL211" s="593">
        <f t="shared" ca="1" si="104"/>
        <v>0</v>
      </c>
      <c r="AM211" s="593">
        <f t="shared" ca="1" si="104"/>
        <v>0</v>
      </c>
      <c r="AN211" s="593">
        <f t="shared" ca="1" si="104"/>
        <v>0</v>
      </c>
      <c r="AO211" s="593">
        <f t="shared" ca="1" si="104"/>
        <v>0</v>
      </c>
      <c r="AP211" s="593">
        <f t="shared" ca="1" si="104"/>
        <v>0</v>
      </c>
    </row>
    <row r="212" spans="1:42" s="594" customFormat="1" ht="11.25" outlineLevel="1" x14ac:dyDescent="0.2">
      <c r="A212" s="590"/>
      <c r="B212" s="591" t="str">
        <f>IF(D212&lt;&gt;"",
IF(ISERROR(MATCH(D212,'Ist Vorjahr Monat 01'!A:A,0))=FALSE,INDEX('Ist Vorjahr Monat 01'!B:B,MATCH(D212,'Ist Vorjahr Monat 01'!A:A,0)),
IF(ISERROR(MATCH(D212,'Ist Vorjahr Monat 02'!A:A,0))=FALSE,INDEX('Ist Vorjahr Monat 02'!B:B,MATCH(D212,'Ist Vorjahr Monat 02'!A:A,0)),
IF(ISERROR(MATCH(D212,'Ist Vorjahr Monat 03'!A:A,0))=FALSE,INDEX('Ist Vorjahr Monat 03'!B:B,MATCH(D212,'Ist Vorjahr Monat 03'!A:A,0)),
IF(ISERROR(MATCH(D212,'Ist Vorjahr Monat 04'!A:A,0))=FALSE,INDEX('Ist Vorjahr Monat 04'!B:B,MATCH(D212,'Ist Vorjahr Monat 04'!A:A,0)),
IF(ISERROR(MATCH(D212,'Ist Vorjahr Monat 05'!A:A,0))=FALSE,INDEX('Ist Vorjahr Monat 05'!B:B,MATCH(D212,'Ist Vorjahr Monat 05'!A:A,0)),
IF(ISERROR(MATCH(D212,'Ist Vorjahr Monat 06'!A:A,0))=FALSE,INDEX('Ist Vorjahr Monat 06'!B:B,MATCH(D212,'Ist Vorjahr Monat 06'!A:A,0)),
IF(ISERROR(MATCH(D212,'Ist Vorjahr Monat 07'!A:A,0))=FALSE,INDEX('Ist Vorjahr Monat 07'!B:B,MATCH(D212,'Ist Vorjahr Monat 07'!A:A,0)),
IF(ISERROR(MATCH(D212,'Ist Vorjahr Monat 08'!A:A,0))=FALSE,INDEX('Ist Vorjahr Monat 08'!B:B,MATCH(D212,'Ist Vorjahr Monat 08'!A:A,0)),
IF(ISERROR(MATCH(D212,'Ist Vorjahr Monat 09'!A:A,0))=FALSE,INDEX('Ist Vorjahr Monat 09'!B:B,MATCH(D212,'Ist Vorjahr Monat 09'!A:A,0)),
IF(ISERROR(MATCH(D212,'Ist Vorjahr Monat 10'!A:A,0))=FALSE,INDEX('Ist Vorjahr Monat 10'!B:B,MATCH(D212,'Ist Vorjahr Monat 10'!A:A,0)),
IF(ISERROR(MATCH(D212,'Ist Vorjahr Monat 11'!A:A,0))=FALSE,INDEX('Ist Vorjahr Monat 11'!B:B,MATCH(D212,'Ist Vorjahr Monat 11'!A:A,0)),
IF(ISERROR(MATCH(D212,'Ist Vorjahr Monat 12'!A:A,0))=FALSE,INDEX('Ist Vorjahr Monat 12'!B:B,MATCH(D212,'Ist Vorjahr Monat 12'!A:A,0)),
"{Konto unbekannt}"
)))))))))))),"")</f>
        <v/>
      </c>
      <c r="C212" s="591"/>
      <c r="D212" s="590"/>
      <c r="E212" s="592">
        <f t="shared" si="105"/>
        <v>1</v>
      </c>
      <c r="F212" s="590"/>
      <c r="G212" s="593">
        <f ca="1">$E212*(-SUMIF(INDIRECT(G$3),'Struktur Vorjahr'!$D212,INDIRECT(G$4))+SUMIF(INDIRECT(G$3),'Struktur Vorjahr'!$D212,INDIRECT(G$5)))</f>
        <v>0</v>
      </c>
      <c r="H212" s="593">
        <f ca="1">$E212*(-SUMIF(INDIRECT(H$3),'Struktur Vorjahr'!$D212,INDIRECT(H$4))+SUMIF(INDIRECT(H$3),'Struktur Vorjahr'!$D212,INDIRECT(H$5)))</f>
        <v>0</v>
      </c>
      <c r="I212" s="593">
        <f ca="1">$E212*(-SUMIF(INDIRECT(I$3),'Struktur Vorjahr'!$D212,INDIRECT(I$4))+SUMIF(INDIRECT(I$3),'Struktur Vorjahr'!$D212,INDIRECT(I$5)))</f>
        <v>0</v>
      </c>
      <c r="J212" s="593">
        <f ca="1">$E212*(-SUMIF(INDIRECT(J$3),'Struktur Vorjahr'!$D212,INDIRECT(J$4))+SUMIF(INDIRECT(J$3),'Struktur Vorjahr'!$D212,INDIRECT(J$5)))</f>
        <v>0</v>
      </c>
      <c r="K212" s="593">
        <f ca="1">$E212*(-SUMIF(INDIRECT(K$3),'Struktur Vorjahr'!$D212,INDIRECT(K$4))+SUMIF(INDIRECT(K$3),'Struktur Vorjahr'!$D212,INDIRECT(K$5)))</f>
        <v>0</v>
      </c>
      <c r="L212" s="593">
        <f ca="1">$E212*(-SUMIF(INDIRECT(L$3),'Struktur Vorjahr'!$D212,INDIRECT(L$4))+SUMIF(INDIRECT(L$3),'Struktur Vorjahr'!$D212,INDIRECT(L$5)))</f>
        <v>0</v>
      </c>
      <c r="M212" s="593">
        <f ca="1">$E212*(-SUMIF(INDIRECT(M$3),'Struktur Vorjahr'!$D212,INDIRECT(M$4))+SUMIF(INDIRECT(M$3),'Struktur Vorjahr'!$D212,INDIRECT(M$5)))</f>
        <v>0</v>
      </c>
      <c r="N212" s="593">
        <f ca="1">$E212*(-SUMIF(INDIRECT(N$3),'Struktur Vorjahr'!$D212,INDIRECT(N$4))+SUMIF(INDIRECT(N$3),'Struktur Vorjahr'!$D212,INDIRECT(N$5)))</f>
        <v>0</v>
      </c>
      <c r="O212" s="593">
        <f ca="1">$E212*(-SUMIF(INDIRECT(O$3),'Struktur Vorjahr'!$D212,INDIRECT(O$4))+SUMIF(INDIRECT(O$3),'Struktur Vorjahr'!$D212,INDIRECT(O$5)))</f>
        <v>0</v>
      </c>
      <c r="P212" s="593">
        <f ca="1">$E212*(-SUMIF(INDIRECT(P$3),'Struktur Vorjahr'!$D212,INDIRECT(P$4))+SUMIF(INDIRECT(P$3),'Struktur Vorjahr'!$D212,INDIRECT(P$5)))</f>
        <v>0</v>
      </c>
      <c r="Q212" s="593">
        <f ca="1">$E212*(-SUMIF(INDIRECT(Q$3),'Struktur Vorjahr'!$D212,INDIRECT(Q$4))+SUMIF(INDIRECT(Q$3),'Struktur Vorjahr'!$D212,INDIRECT(Q$5)))</f>
        <v>0</v>
      </c>
      <c r="R212" s="593">
        <f ca="1">$E212*(-SUMIF(INDIRECT(R$3),'Struktur Vorjahr'!$D212,INDIRECT(R$4))+SUMIF(INDIRECT(R$3),'Struktur Vorjahr'!$D212,INDIRECT(R$5)))</f>
        <v>0</v>
      </c>
      <c r="S212" s="593">
        <f ca="1">$E212*(-SUMIF(INDIRECT(S$3),'Struktur Vorjahr'!$D212,INDIRECT(S$4))+SUMIF(INDIRECT(S$3),'Struktur Vorjahr'!$D212,INDIRECT(S$5)))</f>
        <v>0</v>
      </c>
      <c r="T212" s="593">
        <f ca="1">$E212*(-SUMIF(INDIRECT(T$3),'Struktur Vorjahr'!$D212,INDIRECT(T$4))+SUMIF(INDIRECT(T$3),'Struktur Vorjahr'!$D212,INDIRECT(T$5)))</f>
        <v>0</v>
      </c>
      <c r="U212" s="593">
        <f ca="1">$E212*(-SUMIF(INDIRECT(U$3),'Struktur Vorjahr'!$D212,INDIRECT(U$4))+SUMIF(INDIRECT(U$3),'Struktur Vorjahr'!$D212,INDIRECT(U$5)))</f>
        <v>0</v>
      </c>
      <c r="V212" s="593">
        <f ca="1">$E212*(-SUMIF(INDIRECT(V$3),'Struktur Vorjahr'!$D212,INDIRECT(V$4))+SUMIF(INDIRECT(V$3),'Struktur Vorjahr'!$D212,INDIRECT(V$5)))</f>
        <v>0</v>
      </c>
      <c r="W212" s="593">
        <f ca="1">$E212*(-SUMIF(INDIRECT(W$3),'Struktur Vorjahr'!$D212,INDIRECT(W$4))+SUMIF(INDIRECT(W$3),'Struktur Vorjahr'!$D212,INDIRECT(W$5)))</f>
        <v>0</v>
      </c>
      <c r="X212" s="593">
        <f ca="1">$E212*(-SUMIF(INDIRECT(X$3),'Struktur Vorjahr'!$D212,INDIRECT(X$4))+SUMIF(INDIRECT(X$3),'Struktur Vorjahr'!$D212,INDIRECT(X$5)))</f>
        <v>0</v>
      </c>
      <c r="Y212" s="593">
        <f ca="1">$E212*(-SUMIF(INDIRECT(Y$3),'Struktur Vorjahr'!$D212,INDIRECT(Y$4))+SUMIF(INDIRECT(Y$3),'Struktur Vorjahr'!$D212,INDIRECT(Y$5)))</f>
        <v>0</v>
      </c>
      <c r="Z212" s="593">
        <f ca="1">$E212*(-SUMIF(INDIRECT(Z$3),'Struktur Vorjahr'!$D212,INDIRECT(Z$4))+SUMIF(INDIRECT(Z$3),'Struktur Vorjahr'!$D212,INDIRECT(Z$5)))</f>
        <v>0</v>
      </c>
      <c r="AA212" s="593">
        <f ca="1">$E212*(-SUMIF(INDIRECT(AA$3),'Struktur Vorjahr'!$D212,INDIRECT(AA$4))+SUMIF(INDIRECT(AA$3),'Struktur Vorjahr'!$D212,INDIRECT(AA$5)))</f>
        <v>0</v>
      </c>
      <c r="AB212" s="593">
        <f ca="1">$E212*(-SUMIF(INDIRECT(AB$3),'Struktur Vorjahr'!$D212,INDIRECT(AB$4))+SUMIF(INDIRECT(AB$3),'Struktur Vorjahr'!$D212,INDIRECT(AB$5)))</f>
        <v>0</v>
      </c>
      <c r="AC212" s="593">
        <f ca="1">$E212*(-SUMIF(INDIRECT(AC$3),'Struktur Vorjahr'!$D212,INDIRECT(AC$4))+SUMIF(INDIRECT(AC$3),'Struktur Vorjahr'!$D212,INDIRECT(AC$5)))</f>
        <v>0</v>
      </c>
      <c r="AD212" s="593">
        <f ca="1">$E212*(-SUMIF(INDIRECT(AD$3),'Struktur Vorjahr'!$D212,INDIRECT(AD$4))+SUMIF(INDIRECT(AD$3),'Struktur Vorjahr'!$D212,INDIRECT(AD$5)))</f>
        <v>0</v>
      </c>
      <c r="AE212" s="593">
        <f t="shared" ca="1" si="103"/>
        <v>0</v>
      </c>
      <c r="AF212" s="593">
        <f t="shared" ca="1" si="104"/>
        <v>0</v>
      </c>
      <c r="AG212" s="593">
        <f t="shared" ca="1" si="104"/>
        <v>0</v>
      </c>
      <c r="AH212" s="593">
        <f t="shared" ca="1" si="104"/>
        <v>0</v>
      </c>
      <c r="AI212" s="593">
        <f t="shared" ca="1" si="104"/>
        <v>0</v>
      </c>
      <c r="AJ212" s="593">
        <f t="shared" ca="1" si="104"/>
        <v>0</v>
      </c>
      <c r="AK212" s="593">
        <f t="shared" ca="1" si="104"/>
        <v>0</v>
      </c>
      <c r="AL212" s="593">
        <f t="shared" ca="1" si="104"/>
        <v>0</v>
      </c>
      <c r="AM212" s="593">
        <f t="shared" ca="1" si="104"/>
        <v>0</v>
      </c>
      <c r="AN212" s="593">
        <f t="shared" ca="1" si="104"/>
        <v>0</v>
      </c>
      <c r="AO212" s="593">
        <f t="shared" ca="1" si="104"/>
        <v>0</v>
      </c>
      <c r="AP212" s="593">
        <f t="shared" ca="1" si="104"/>
        <v>0</v>
      </c>
    </row>
    <row r="213" spans="1:42" s="594" customFormat="1" ht="11.25" outlineLevel="1" x14ac:dyDescent="0.2">
      <c r="A213" s="590"/>
      <c r="B213" s="591" t="str">
        <f>IF(D213&lt;&gt;"",
IF(ISERROR(MATCH(D213,'Ist Vorjahr Monat 01'!A:A,0))=FALSE,INDEX('Ist Vorjahr Monat 01'!B:B,MATCH(D213,'Ist Vorjahr Monat 01'!A:A,0)),
IF(ISERROR(MATCH(D213,'Ist Vorjahr Monat 02'!A:A,0))=FALSE,INDEX('Ist Vorjahr Monat 02'!B:B,MATCH(D213,'Ist Vorjahr Monat 02'!A:A,0)),
IF(ISERROR(MATCH(D213,'Ist Vorjahr Monat 03'!A:A,0))=FALSE,INDEX('Ist Vorjahr Monat 03'!B:B,MATCH(D213,'Ist Vorjahr Monat 03'!A:A,0)),
IF(ISERROR(MATCH(D213,'Ist Vorjahr Monat 04'!A:A,0))=FALSE,INDEX('Ist Vorjahr Monat 04'!B:B,MATCH(D213,'Ist Vorjahr Monat 04'!A:A,0)),
IF(ISERROR(MATCH(D213,'Ist Vorjahr Monat 05'!A:A,0))=FALSE,INDEX('Ist Vorjahr Monat 05'!B:B,MATCH(D213,'Ist Vorjahr Monat 05'!A:A,0)),
IF(ISERROR(MATCH(D213,'Ist Vorjahr Monat 06'!A:A,0))=FALSE,INDEX('Ist Vorjahr Monat 06'!B:B,MATCH(D213,'Ist Vorjahr Monat 06'!A:A,0)),
IF(ISERROR(MATCH(D213,'Ist Vorjahr Monat 07'!A:A,0))=FALSE,INDEX('Ist Vorjahr Monat 07'!B:B,MATCH(D213,'Ist Vorjahr Monat 07'!A:A,0)),
IF(ISERROR(MATCH(D213,'Ist Vorjahr Monat 08'!A:A,0))=FALSE,INDEX('Ist Vorjahr Monat 08'!B:B,MATCH(D213,'Ist Vorjahr Monat 08'!A:A,0)),
IF(ISERROR(MATCH(D213,'Ist Vorjahr Monat 09'!A:A,0))=FALSE,INDEX('Ist Vorjahr Monat 09'!B:B,MATCH(D213,'Ist Vorjahr Monat 09'!A:A,0)),
IF(ISERROR(MATCH(D213,'Ist Vorjahr Monat 10'!A:A,0))=FALSE,INDEX('Ist Vorjahr Monat 10'!B:B,MATCH(D213,'Ist Vorjahr Monat 10'!A:A,0)),
IF(ISERROR(MATCH(D213,'Ist Vorjahr Monat 11'!A:A,0))=FALSE,INDEX('Ist Vorjahr Monat 11'!B:B,MATCH(D213,'Ist Vorjahr Monat 11'!A:A,0)),
IF(ISERROR(MATCH(D213,'Ist Vorjahr Monat 12'!A:A,0))=FALSE,INDEX('Ist Vorjahr Monat 12'!B:B,MATCH(D213,'Ist Vorjahr Monat 12'!A:A,0)),
"{Konto unbekannt}"
)))))))))))),"")</f>
        <v/>
      </c>
      <c r="C213" s="591"/>
      <c r="D213" s="590"/>
      <c r="E213" s="592">
        <f t="shared" si="105"/>
        <v>1</v>
      </c>
      <c r="F213" s="590"/>
      <c r="G213" s="593">
        <f ca="1">$E213*(-SUMIF(INDIRECT(G$3),'Struktur Vorjahr'!$D213,INDIRECT(G$4))+SUMIF(INDIRECT(G$3),'Struktur Vorjahr'!$D213,INDIRECT(G$5)))</f>
        <v>0</v>
      </c>
      <c r="H213" s="593">
        <f ca="1">$E213*(-SUMIF(INDIRECT(H$3),'Struktur Vorjahr'!$D213,INDIRECT(H$4))+SUMIF(INDIRECT(H$3),'Struktur Vorjahr'!$D213,INDIRECT(H$5)))</f>
        <v>0</v>
      </c>
      <c r="I213" s="593">
        <f ca="1">$E213*(-SUMIF(INDIRECT(I$3),'Struktur Vorjahr'!$D213,INDIRECT(I$4))+SUMIF(INDIRECT(I$3),'Struktur Vorjahr'!$D213,INDIRECT(I$5)))</f>
        <v>0</v>
      </c>
      <c r="J213" s="593">
        <f ca="1">$E213*(-SUMIF(INDIRECT(J$3),'Struktur Vorjahr'!$D213,INDIRECT(J$4))+SUMIF(INDIRECT(J$3),'Struktur Vorjahr'!$D213,INDIRECT(J$5)))</f>
        <v>0</v>
      </c>
      <c r="K213" s="593">
        <f ca="1">$E213*(-SUMIF(INDIRECT(K$3),'Struktur Vorjahr'!$D213,INDIRECT(K$4))+SUMIF(INDIRECT(K$3),'Struktur Vorjahr'!$D213,INDIRECT(K$5)))</f>
        <v>0</v>
      </c>
      <c r="L213" s="593">
        <f ca="1">$E213*(-SUMIF(INDIRECT(L$3),'Struktur Vorjahr'!$D213,INDIRECT(L$4))+SUMIF(INDIRECT(L$3),'Struktur Vorjahr'!$D213,INDIRECT(L$5)))</f>
        <v>0</v>
      </c>
      <c r="M213" s="593">
        <f ca="1">$E213*(-SUMIF(INDIRECT(M$3),'Struktur Vorjahr'!$D213,INDIRECT(M$4))+SUMIF(INDIRECT(M$3),'Struktur Vorjahr'!$D213,INDIRECT(M$5)))</f>
        <v>0</v>
      </c>
      <c r="N213" s="593">
        <f ca="1">$E213*(-SUMIF(INDIRECT(N$3),'Struktur Vorjahr'!$D213,INDIRECT(N$4))+SUMIF(INDIRECT(N$3),'Struktur Vorjahr'!$D213,INDIRECT(N$5)))</f>
        <v>0</v>
      </c>
      <c r="O213" s="593">
        <f ca="1">$E213*(-SUMIF(INDIRECT(O$3),'Struktur Vorjahr'!$D213,INDIRECT(O$4))+SUMIF(INDIRECT(O$3),'Struktur Vorjahr'!$D213,INDIRECT(O$5)))</f>
        <v>0</v>
      </c>
      <c r="P213" s="593">
        <f ca="1">$E213*(-SUMIF(INDIRECT(P$3),'Struktur Vorjahr'!$D213,INDIRECT(P$4))+SUMIF(INDIRECT(P$3),'Struktur Vorjahr'!$D213,INDIRECT(P$5)))</f>
        <v>0</v>
      </c>
      <c r="Q213" s="593">
        <f ca="1">$E213*(-SUMIF(INDIRECT(Q$3),'Struktur Vorjahr'!$D213,INDIRECT(Q$4))+SUMIF(INDIRECT(Q$3),'Struktur Vorjahr'!$D213,INDIRECT(Q$5)))</f>
        <v>0</v>
      </c>
      <c r="R213" s="593">
        <f ca="1">$E213*(-SUMIF(INDIRECT(R$3),'Struktur Vorjahr'!$D213,INDIRECT(R$4))+SUMIF(INDIRECT(R$3),'Struktur Vorjahr'!$D213,INDIRECT(R$5)))</f>
        <v>0</v>
      </c>
      <c r="S213" s="593">
        <f ca="1">$E213*(-SUMIF(INDIRECT(S$3),'Struktur Vorjahr'!$D213,INDIRECT(S$4))+SUMIF(INDIRECT(S$3),'Struktur Vorjahr'!$D213,INDIRECT(S$5)))</f>
        <v>0</v>
      </c>
      <c r="T213" s="593">
        <f ca="1">$E213*(-SUMIF(INDIRECT(T$3),'Struktur Vorjahr'!$D213,INDIRECT(T$4))+SUMIF(INDIRECT(T$3),'Struktur Vorjahr'!$D213,INDIRECT(T$5)))</f>
        <v>0</v>
      </c>
      <c r="U213" s="593">
        <f ca="1">$E213*(-SUMIF(INDIRECT(U$3),'Struktur Vorjahr'!$D213,INDIRECT(U$4))+SUMIF(INDIRECT(U$3),'Struktur Vorjahr'!$D213,INDIRECT(U$5)))</f>
        <v>0</v>
      </c>
      <c r="V213" s="593">
        <f ca="1">$E213*(-SUMIF(INDIRECT(V$3),'Struktur Vorjahr'!$D213,INDIRECT(V$4))+SUMIF(INDIRECT(V$3),'Struktur Vorjahr'!$D213,INDIRECT(V$5)))</f>
        <v>0</v>
      </c>
      <c r="W213" s="593">
        <f ca="1">$E213*(-SUMIF(INDIRECT(W$3),'Struktur Vorjahr'!$D213,INDIRECT(W$4))+SUMIF(INDIRECT(W$3),'Struktur Vorjahr'!$D213,INDIRECT(W$5)))</f>
        <v>0</v>
      </c>
      <c r="X213" s="593">
        <f ca="1">$E213*(-SUMIF(INDIRECT(X$3),'Struktur Vorjahr'!$D213,INDIRECT(X$4))+SUMIF(INDIRECT(X$3),'Struktur Vorjahr'!$D213,INDIRECT(X$5)))</f>
        <v>0</v>
      </c>
      <c r="Y213" s="593">
        <f ca="1">$E213*(-SUMIF(INDIRECT(Y$3),'Struktur Vorjahr'!$D213,INDIRECT(Y$4))+SUMIF(INDIRECT(Y$3),'Struktur Vorjahr'!$D213,INDIRECT(Y$5)))</f>
        <v>0</v>
      </c>
      <c r="Z213" s="593">
        <f ca="1">$E213*(-SUMIF(INDIRECT(Z$3),'Struktur Vorjahr'!$D213,INDIRECT(Z$4))+SUMIF(INDIRECT(Z$3),'Struktur Vorjahr'!$D213,INDIRECT(Z$5)))</f>
        <v>0</v>
      </c>
      <c r="AA213" s="593">
        <f ca="1">$E213*(-SUMIF(INDIRECT(AA$3),'Struktur Vorjahr'!$D213,INDIRECT(AA$4))+SUMIF(INDIRECT(AA$3),'Struktur Vorjahr'!$D213,INDIRECT(AA$5)))</f>
        <v>0</v>
      </c>
      <c r="AB213" s="593">
        <f ca="1">$E213*(-SUMIF(INDIRECT(AB$3),'Struktur Vorjahr'!$D213,INDIRECT(AB$4))+SUMIF(INDIRECT(AB$3),'Struktur Vorjahr'!$D213,INDIRECT(AB$5)))</f>
        <v>0</v>
      </c>
      <c r="AC213" s="593">
        <f ca="1">$E213*(-SUMIF(INDIRECT(AC$3),'Struktur Vorjahr'!$D213,INDIRECT(AC$4))+SUMIF(INDIRECT(AC$3),'Struktur Vorjahr'!$D213,INDIRECT(AC$5)))</f>
        <v>0</v>
      </c>
      <c r="AD213" s="593">
        <f ca="1">$E213*(-SUMIF(INDIRECT(AD$3),'Struktur Vorjahr'!$D213,INDIRECT(AD$4))+SUMIF(INDIRECT(AD$3),'Struktur Vorjahr'!$D213,INDIRECT(AD$5)))</f>
        <v>0</v>
      </c>
      <c r="AE213" s="593">
        <f t="shared" ca="1" si="103"/>
        <v>0</v>
      </c>
      <c r="AF213" s="593">
        <f t="shared" ca="1" si="104"/>
        <v>0</v>
      </c>
      <c r="AG213" s="593">
        <f t="shared" ca="1" si="104"/>
        <v>0</v>
      </c>
      <c r="AH213" s="593">
        <f t="shared" ca="1" si="104"/>
        <v>0</v>
      </c>
      <c r="AI213" s="593">
        <f t="shared" ca="1" si="104"/>
        <v>0</v>
      </c>
      <c r="AJ213" s="593">
        <f t="shared" ca="1" si="104"/>
        <v>0</v>
      </c>
      <c r="AK213" s="593">
        <f t="shared" ca="1" si="104"/>
        <v>0</v>
      </c>
      <c r="AL213" s="593">
        <f t="shared" ca="1" si="104"/>
        <v>0</v>
      </c>
      <c r="AM213" s="593">
        <f t="shared" ca="1" si="104"/>
        <v>0</v>
      </c>
      <c r="AN213" s="593">
        <f t="shared" ca="1" si="104"/>
        <v>0</v>
      </c>
      <c r="AO213" s="593">
        <f t="shared" ca="1" si="104"/>
        <v>0</v>
      </c>
      <c r="AP213" s="593">
        <f t="shared" ca="1" si="104"/>
        <v>0</v>
      </c>
    </row>
    <row r="214" spans="1:42" s="594" customFormat="1" ht="11.25" outlineLevel="1" x14ac:dyDescent="0.2">
      <c r="A214" s="590"/>
      <c r="B214" s="591" t="str">
        <f>IF(D214&lt;&gt;"",
IF(ISERROR(MATCH(D214,'Ist Vorjahr Monat 01'!A:A,0))=FALSE,INDEX('Ist Vorjahr Monat 01'!B:B,MATCH(D214,'Ist Vorjahr Monat 01'!A:A,0)),
IF(ISERROR(MATCH(D214,'Ist Vorjahr Monat 02'!A:A,0))=FALSE,INDEX('Ist Vorjahr Monat 02'!B:B,MATCH(D214,'Ist Vorjahr Monat 02'!A:A,0)),
IF(ISERROR(MATCH(D214,'Ist Vorjahr Monat 03'!A:A,0))=FALSE,INDEX('Ist Vorjahr Monat 03'!B:B,MATCH(D214,'Ist Vorjahr Monat 03'!A:A,0)),
IF(ISERROR(MATCH(D214,'Ist Vorjahr Monat 04'!A:A,0))=FALSE,INDEX('Ist Vorjahr Monat 04'!B:B,MATCH(D214,'Ist Vorjahr Monat 04'!A:A,0)),
IF(ISERROR(MATCH(D214,'Ist Vorjahr Monat 05'!A:A,0))=FALSE,INDEX('Ist Vorjahr Monat 05'!B:B,MATCH(D214,'Ist Vorjahr Monat 05'!A:A,0)),
IF(ISERROR(MATCH(D214,'Ist Vorjahr Monat 06'!A:A,0))=FALSE,INDEX('Ist Vorjahr Monat 06'!B:B,MATCH(D214,'Ist Vorjahr Monat 06'!A:A,0)),
IF(ISERROR(MATCH(D214,'Ist Vorjahr Monat 07'!A:A,0))=FALSE,INDEX('Ist Vorjahr Monat 07'!B:B,MATCH(D214,'Ist Vorjahr Monat 07'!A:A,0)),
IF(ISERROR(MATCH(D214,'Ist Vorjahr Monat 08'!A:A,0))=FALSE,INDEX('Ist Vorjahr Monat 08'!B:B,MATCH(D214,'Ist Vorjahr Monat 08'!A:A,0)),
IF(ISERROR(MATCH(D214,'Ist Vorjahr Monat 09'!A:A,0))=FALSE,INDEX('Ist Vorjahr Monat 09'!B:B,MATCH(D214,'Ist Vorjahr Monat 09'!A:A,0)),
IF(ISERROR(MATCH(D214,'Ist Vorjahr Monat 10'!A:A,0))=FALSE,INDEX('Ist Vorjahr Monat 10'!B:B,MATCH(D214,'Ist Vorjahr Monat 10'!A:A,0)),
IF(ISERROR(MATCH(D214,'Ist Vorjahr Monat 11'!A:A,0))=FALSE,INDEX('Ist Vorjahr Monat 11'!B:B,MATCH(D214,'Ist Vorjahr Monat 11'!A:A,0)),
IF(ISERROR(MATCH(D214,'Ist Vorjahr Monat 12'!A:A,0))=FALSE,INDEX('Ist Vorjahr Monat 12'!B:B,MATCH(D214,'Ist Vorjahr Monat 12'!A:A,0)),
"{Konto unbekannt}"
)))))))))))),"")</f>
        <v/>
      </c>
      <c r="C214" s="591"/>
      <c r="D214" s="590"/>
      <c r="E214" s="592">
        <f t="shared" si="105"/>
        <v>1</v>
      </c>
      <c r="F214" s="590"/>
      <c r="G214" s="593">
        <f ca="1">$E214*(-SUMIF(INDIRECT(G$3),'Struktur Vorjahr'!$D214,INDIRECT(G$4))+SUMIF(INDIRECT(G$3),'Struktur Vorjahr'!$D214,INDIRECT(G$5)))</f>
        <v>0</v>
      </c>
      <c r="H214" s="593">
        <f ca="1">$E214*(-SUMIF(INDIRECT(H$3),'Struktur Vorjahr'!$D214,INDIRECT(H$4))+SUMIF(INDIRECT(H$3),'Struktur Vorjahr'!$D214,INDIRECT(H$5)))</f>
        <v>0</v>
      </c>
      <c r="I214" s="593">
        <f ca="1">$E214*(-SUMIF(INDIRECT(I$3),'Struktur Vorjahr'!$D214,INDIRECT(I$4))+SUMIF(INDIRECT(I$3),'Struktur Vorjahr'!$D214,INDIRECT(I$5)))</f>
        <v>0</v>
      </c>
      <c r="J214" s="593">
        <f ca="1">$E214*(-SUMIF(INDIRECT(J$3),'Struktur Vorjahr'!$D214,INDIRECT(J$4))+SUMIF(INDIRECT(J$3),'Struktur Vorjahr'!$D214,INDIRECT(J$5)))</f>
        <v>0</v>
      </c>
      <c r="K214" s="593">
        <f ca="1">$E214*(-SUMIF(INDIRECT(K$3),'Struktur Vorjahr'!$D214,INDIRECT(K$4))+SUMIF(INDIRECT(K$3),'Struktur Vorjahr'!$D214,INDIRECT(K$5)))</f>
        <v>0</v>
      </c>
      <c r="L214" s="593">
        <f ca="1">$E214*(-SUMIF(INDIRECT(L$3),'Struktur Vorjahr'!$D214,INDIRECT(L$4))+SUMIF(INDIRECT(L$3),'Struktur Vorjahr'!$D214,INDIRECT(L$5)))</f>
        <v>0</v>
      </c>
      <c r="M214" s="593">
        <f ca="1">$E214*(-SUMIF(INDIRECT(M$3),'Struktur Vorjahr'!$D214,INDIRECT(M$4))+SUMIF(INDIRECT(M$3),'Struktur Vorjahr'!$D214,INDIRECT(M$5)))</f>
        <v>0</v>
      </c>
      <c r="N214" s="593">
        <f ca="1">$E214*(-SUMIF(INDIRECT(N$3),'Struktur Vorjahr'!$D214,INDIRECT(N$4))+SUMIF(INDIRECT(N$3),'Struktur Vorjahr'!$D214,INDIRECT(N$5)))</f>
        <v>0</v>
      </c>
      <c r="O214" s="593">
        <f ca="1">$E214*(-SUMIF(INDIRECT(O$3),'Struktur Vorjahr'!$D214,INDIRECT(O$4))+SUMIF(INDIRECT(O$3),'Struktur Vorjahr'!$D214,INDIRECT(O$5)))</f>
        <v>0</v>
      </c>
      <c r="P214" s="593">
        <f ca="1">$E214*(-SUMIF(INDIRECT(P$3),'Struktur Vorjahr'!$D214,INDIRECT(P$4))+SUMIF(INDIRECT(P$3),'Struktur Vorjahr'!$D214,INDIRECT(P$5)))</f>
        <v>0</v>
      </c>
      <c r="Q214" s="593">
        <f ca="1">$E214*(-SUMIF(INDIRECT(Q$3),'Struktur Vorjahr'!$D214,INDIRECT(Q$4))+SUMIF(INDIRECT(Q$3),'Struktur Vorjahr'!$D214,INDIRECT(Q$5)))</f>
        <v>0</v>
      </c>
      <c r="R214" s="593">
        <f ca="1">$E214*(-SUMIF(INDIRECT(R$3),'Struktur Vorjahr'!$D214,INDIRECT(R$4))+SUMIF(INDIRECT(R$3),'Struktur Vorjahr'!$D214,INDIRECT(R$5)))</f>
        <v>0</v>
      </c>
      <c r="S214" s="593">
        <f ca="1">$E214*(-SUMIF(INDIRECT(S$3),'Struktur Vorjahr'!$D214,INDIRECT(S$4))+SUMIF(INDIRECT(S$3),'Struktur Vorjahr'!$D214,INDIRECT(S$5)))</f>
        <v>0</v>
      </c>
      <c r="T214" s="593">
        <f ca="1">$E214*(-SUMIF(INDIRECT(T$3),'Struktur Vorjahr'!$D214,INDIRECT(T$4))+SUMIF(INDIRECT(T$3),'Struktur Vorjahr'!$D214,INDIRECT(T$5)))</f>
        <v>0</v>
      </c>
      <c r="U214" s="593">
        <f ca="1">$E214*(-SUMIF(INDIRECT(U$3),'Struktur Vorjahr'!$D214,INDIRECT(U$4))+SUMIF(INDIRECT(U$3),'Struktur Vorjahr'!$D214,INDIRECT(U$5)))</f>
        <v>0</v>
      </c>
      <c r="V214" s="593">
        <f ca="1">$E214*(-SUMIF(INDIRECT(V$3),'Struktur Vorjahr'!$D214,INDIRECT(V$4))+SUMIF(INDIRECT(V$3),'Struktur Vorjahr'!$D214,INDIRECT(V$5)))</f>
        <v>0</v>
      </c>
      <c r="W214" s="593">
        <f ca="1">$E214*(-SUMIF(INDIRECT(W$3),'Struktur Vorjahr'!$D214,INDIRECT(W$4))+SUMIF(INDIRECT(W$3),'Struktur Vorjahr'!$D214,INDIRECT(W$5)))</f>
        <v>0</v>
      </c>
      <c r="X214" s="593">
        <f ca="1">$E214*(-SUMIF(INDIRECT(X$3),'Struktur Vorjahr'!$D214,INDIRECT(X$4))+SUMIF(INDIRECT(X$3),'Struktur Vorjahr'!$D214,INDIRECT(X$5)))</f>
        <v>0</v>
      </c>
      <c r="Y214" s="593">
        <f ca="1">$E214*(-SUMIF(INDIRECT(Y$3),'Struktur Vorjahr'!$D214,INDIRECT(Y$4))+SUMIF(INDIRECT(Y$3),'Struktur Vorjahr'!$D214,INDIRECT(Y$5)))</f>
        <v>0</v>
      </c>
      <c r="Z214" s="593">
        <f ca="1">$E214*(-SUMIF(INDIRECT(Z$3),'Struktur Vorjahr'!$D214,INDIRECT(Z$4))+SUMIF(INDIRECT(Z$3),'Struktur Vorjahr'!$D214,INDIRECT(Z$5)))</f>
        <v>0</v>
      </c>
      <c r="AA214" s="593">
        <f ca="1">$E214*(-SUMIF(INDIRECT(AA$3),'Struktur Vorjahr'!$D214,INDIRECT(AA$4))+SUMIF(INDIRECT(AA$3),'Struktur Vorjahr'!$D214,INDIRECT(AA$5)))</f>
        <v>0</v>
      </c>
      <c r="AB214" s="593">
        <f ca="1">$E214*(-SUMIF(INDIRECT(AB$3),'Struktur Vorjahr'!$D214,INDIRECT(AB$4))+SUMIF(INDIRECT(AB$3),'Struktur Vorjahr'!$D214,INDIRECT(AB$5)))</f>
        <v>0</v>
      </c>
      <c r="AC214" s="593">
        <f ca="1">$E214*(-SUMIF(INDIRECT(AC$3),'Struktur Vorjahr'!$D214,INDIRECT(AC$4))+SUMIF(INDIRECT(AC$3),'Struktur Vorjahr'!$D214,INDIRECT(AC$5)))</f>
        <v>0</v>
      </c>
      <c r="AD214" s="593">
        <f ca="1">$E214*(-SUMIF(INDIRECT(AD$3),'Struktur Vorjahr'!$D214,INDIRECT(AD$4))+SUMIF(INDIRECT(AD$3),'Struktur Vorjahr'!$D214,INDIRECT(AD$5)))</f>
        <v>0</v>
      </c>
      <c r="AE214" s="593">
        <f t="shared" ca="1" si="103"/>
        <v>0</v>
      </c>
      <c r="AF214" s="593">
        <f t="shared" ca="1" si="104"/>
        <v>0</v>
      </c>
      <c r="AG214" s="593">
        <f t="shared" ca="1" si="104"/>
        <v>0</v>
      </c>
      <c r="AH214" s="593">
        <f t="shared" ca="1" si="104"/>
        <v>0</v>
      </c>
      <c r="AI214" s="593">
        <f t="shared" ca="1" si="104"/>
        <v>0</v>
      </c>
      <c r="AJ214" s="593">
        <f t="shared" ca="1" si="104"/>
        <v>0</v>
      </c>
      <c r="AK214" s="593">
        <f t="shared" ca="1" si="104"/>
        <v>0</v>
      </c>
      <c r="AL214" s="593">
        <f t="shared" ca="1" si="104"/>
        <v>0</v>
      </c>
      <c r="AM214" s="593">
        <f t="shared" ca="1" si="104"/>
        <v>0</v>
      </c>
      <c r="AN214" s="593">
        <f t="shared" ca="1" si="104"/>
        <v>0</v>
      </c>
      <c r="AO214" s="593">
        <f t="shared" ca="1" si="104"/>
        <v>0</v>
      </c>
      <c r="AP214" s="593">
        <f t="shared" ca="1" si="104"/>
        <v>0</v>
      </c>
    </row>
    <row r="215" spans="1:42" s="594" customFormat="1" ht="11.25" outlineLevel="1" x14ac:dyDescent="0.2">
      <c r="A215" s="590"/>
      <c r="B215" s="591" t="str">
        <f>IF(D215&lt;&gt;"",
IF(ISERROR(MATCH(D215,'Ist Vorjahr Monat 01'!A:A,0))=FALSE,INDEX('Ist Vorjahr Monat 01'!B:B,MATCH(D215,'Ist Vorjahr Monat 01'!A:A,0)),
IF(ISERROR(MATCH(D215,'Ist Vorjahr Monat 02'!A:A,0))=FALSE,INDEX('Ist Vorjahr Monat 02'!B:B,MATCH(D215,'Ist Vorjahr Monat 02'!A:A,0)),
IF(ISERROR(MATCH(D215,'Ist Vorjahr Monat 03'!A:A,0))=FALSE,INDEX('Ist Vorjahr Monat 03'!B:B,MATCH(D215,'Ist Vorjahr Monat 03'!A:A,0)),
IF(ISERROR(MATCH(D215,'Ist Vorjahr Monat 04'!A:A,0))=FALSE,INDEX('Ist Vorjahr Monat 04'!B:B,MATCH(D215,'Ist Vorjahr Monat 04'!A:A,0)),
IF(ISERROR(MATCH(D215,'Ist Vorjahr Monat 05'!A:A,0))=FALSE,INDEX('Ist Vorjahr Monat 05'!B:B,MATCH(D215,'Ist Vorjahr Monat 05'!A:A,0)),
IF(ISERROR(MATCH(D215,'Ist Vorjahr Monat 06'!A:A,0))=FALSE,INDEX('Ist Vorjahr Monat 06'!B:B,MATCH(D215,'Ist Vorjahr Monat 06'!A:A,0)),
IF(ISERROR(MATCH(D215,'Ist Vorjahr Monat 07'!A:A,0))=FALSE,INDEX('Ist Vorjahr Monat 07'!B:B,MATCH(D215,'Ist Vorjahr Monat 07'!A:A,0)),
IF(ISERROR(MATCH(D215,'Ist Vorjahr Monat 08'!A:A,0))=FALSE,INDEX('Ist Vorjahr Monat 08'!B:B,MATCH(D215,'Ist Vorjahr Monat 08'!A:A,0)),
IF(ISERROR(MATCH(D215,'Ist Vorjahr Monat 09'!A:A,0))=FALSE,INDEX('Ist Vorjahr Monat 09'!B:B,MATCH(D215,'Ist Vorjahr Monat 09'!A:A,0)),
IF(ISERROR(MATCH(D215,'Ist Vorjahr Monat 10'!A:A,0))=FALSE,INDEX('Ist Vorjahr Monat 10'!B:B,MATCH(D215,'Ist Vorjahr Monat 10'!A:A,0)),
IF(ISERROR(MATCH(D215,'Ist Vorjahr Monat 11'!A:A,0))=FALSE,INDEX('Ist Vorjahr Monat 11'!B:B,MATCH(D215,'Ist Vorjahr Monat 11'!A:A,0)),
IF(ISERROR(MATCH(D215,'Ist Vorjahr Monat 12'!A:A,0))=FALSE,INDEX('Ist Vorjahr Monat 12'!B:B,MATCH(D215,'Ist Vorjahr Monat 12'!A:A,0)),
"{Konto unbekannt}"
)))))))))))),"")</f>
        <v/>
      </c>
      <c r="C215" s="591"/>
      <c r="D215" s="590"/>
      <c r="E215" s="592">
        <f t="shared" si="105"/>
        <v>1</v>
      </c>
      <c r="F215" s="590"/>
      <c r="G215" s="593">
        <f ca="1">$E215*(-SUMIF(INDIRECT(G$3),'Struktur Vorjahr'!$D215,INDIRECT(G$4))+SUMIF(INDIRECT(G$3),'Struktur Vorjahr'!$D215,INDIRECT(G$5)))</f>
        <v>0</v>
      </c>
      <c r="H215" s="593">
        <f ca="1">$E215*(-SUMIF(INDIRECT(H$3),'Struktur Vorjahr'!$D215,INDIRECT(H$4))+SUMIF(INDIRECT(H$3),'Struktur Vorjahr'!$D215,INDIRECT(H$5)))</f>
        <v>0</v>
      </c>
      <c r="I215" s="593">
        <f ca="1">$E215*(-SUMIF(INDIRECT(I$3),'Struktur Vorjahr'!$D215,INDIRECT(I$4))+SUMIF(INDIRECT(I$3),'Struktur Vorjahr'!$D215,INDIRECT(I$5)))</f>
        <v>0</v>
      </c>
      <c r="J215" s="593">
        <f ca="1">$E215*(-SUMIF(INDIRECT(J$3),'Struktur Vorjahr'!$D215,INDIRECT(J$4))+SUMIF(INDIRECT(J$3),'Struktur Vorjahr'!$D215,INDIRECT(J$5)))</f>
        <v>0</v>
      </c>
      <c r="K215" s="593">
        <f ca="1">$E215*(-SUMIF(INDIRECT(K$3),'Struktur Vorjahr'!$D215,INDIRECT(K$4))+SUMIF(INDIRECT(K$3),'Struktur Vorjahr'!$D215,INDIRECT(K$5)))</f>
        <v>0</v>
      </c>
      <c r="L215" s="593">
        <f ca="1">$E215*(-SUMIF(INDIRECT(L$3),'Struktur Vorjahr'!$D215,INDIRECT(L$4))+SUMIF(INDIRECT(L$3),'Struktur Vorjahr'!$D215,INDIRECT(L$5)))</f>
        <v>0</v>
      </c>
      <c r="M215" s="593">
        <f ca="1">$E215*(-SUMIF(INDIRECT(M$3),'Struktur Vorjahr'!$D215,INDIRECT(M$4))+SUMIF(INDIRECT(M$3),'Struktur Vorjahr'!$D215,INDIRECT(M$5)))</f>
        <v>0</v>
      </c>
      <c r="N215" s="593">
        <f ca="1">$E215*(-SUMIF(INDIRECT(N$3),'Struktur Vorjahr'!$D215,INDIRECT(N$4))+SUMIF(INDIRECT(N$3),'Struktur Vorjahr'!$D215,INDIRECT(N$5)))</f>
        <v>0</v>
      </c>
      <c r="O215" s="593">
        <f ca="1">$E215*(-SUMIF(INDIRECT(O$3),'Struktur Vorjahr'!$D215,INDIRECT(O$4))+SUMIF(INDIRECT(O$3),'Struktur Vorjahr'!$D215,INDIRECT(O$5)))</f>
        <v>0</v>
      </c>
      <c r="P215" s="593">
        <f ca="1">$E215*(-SUMIF(INDIRECT(P$3),'Struktur Vorjahr'!$D215,INDIRECT(P$4))+SUMIF(INDIRECT(P$3),'Struktur Vorjahr'!$D215,INDIRECT(P$5)))</f>
        <v>0</v>
      </c>
      <c r="Q215" s="593">
        <f ca="1">$E215*(-SUMIF(INDIRECT(Q$3),'Struktur Vorjahr'!$D215,INDIRECT(Q$4))+SUMIF(INDIRECT(Q$3),'Struktur Vorjahr'!$D215,INDIRECT(Q$5)))</f>
        <v>0</v>
      </c>
      <c r="R215" s="593">
        <f ca="1">$E215*(-SUMIF(INDIRECT(R$3),'Struktur Vorjahr'!$D215,INDIRECT(R$4))+SUMIF(INDIRECT(R$3),'Struktur Vorjahr'!$D215,INDIRECT(R$5)))</f>
        <v>0</v>
      </c>
      <c r="S215" s="593">
        <f ca="1">$E215*(-SUMIF(INDIRECT(S$3),'Struktur Vorjahr'!$D215,INDIRECT(S$4))+SUMIF(INDIRECT(S$3),'Struktur Vorjahr'!$D215,INDIRECT(S$5)))</f>
        <v>0</v>
      </c>
      <c r="T215" s="593">
        <f ca="1">$E215*(-SUMIF(INDIRECT(T$3),'Struktur Vorjahr'!$D215,INDIRECT(T$4))+SUMIF(INDIRECT(T$3),'Struktur Vorjahr'!$D215,INDIRECT(T$5)))</f>
        <v>0</v>
      </c>
      <c r="U215" s="593">
        <f ca="1">$E215*(-SUMIF(INDIRECT(U$3),'Struktur Vorjahr'!$D215,INDIRECT(U$4))+SUMIF(INDIRECT(U$3),'Struktur Vorjahr'!$D215,INDIRECT(U$5)))</f>
        <v>0</v>
      </c>
      <c r="V215" s="593">
        <f ca="1">$E215*(-SUMIF(INDIRECT(V$3),'Struktur Vorjahr'!$D215,INDIRECT(V$4))+SUMIF(INDIRECT(V$3),'Struktur Vorjahr'!$D215,INDIRECT(V$5)))</f>
        <v>0</v>
      </c>
      <c r="W215" s="593">
        <f ca="1">$E215*(-SUMIF(INDIRECT(W$3),'Struktur Vorjahr'!$D215,INDIRECT(W$4))+SUMIF(INDIRECT(W$3),'Struktur Vorjahr'!$D215,INDIRECT(W$5)))</f>
        <v>0</v>
      </c>
      <c r="X215" s="593">
        <f ca="1">$E215*(-SUMIF(INDIRECT(X$3),'Struktur Vorjahr'!$D215,INDIRECT(X$4))+SUMIF(INDIRECT(X$3),'Struktur Vorjahr'!$D215,INDIRECT(X$5)))</f>
        <v>0</v>
      </c>
      <c r="Y215" s="593">
        <f ca="1">$E215*(-SUMIF(INDIRECT(Y$3),'Struktur Vorjahr'!$D215,INDIRECT(Y$4))+SUMIF(INDIRECT(Y$3),'Struktur Vorjahr'!$D215,INDIRECT(Y$5)))</f>
        <v>0</v>
      </c>
      <c r="Z215" s="593">
        <f ca="1">$E215*(-SUMIF(INDIRECT(Z$3),'Struktur Vorjahr'!$D215,INDIRECT(Z$4))+SUMIF(INDIRECT(Z$3),'Struktur Vorjahr'!$D215,INDIRECT(Z$5)))</f>
        <v>0</v>
      </c>
      <c r="AA215" s="593">
        <f ca="1">$E215*(-SUMIF(INDIRECT(AA$3),'Struktur Vorjahr'!$D215,INDIRECT(AA$4))+SUMIF(INDIRECT(AA$3),'Struktur Vorjahr'!$D215,INDIRECT(AA$5)))</f>
        <v>0</v>
      </c>
      <c r="AB215" s="593">
        <f ca="1">$E215*(-SUMIF(INDIRECT(AB$3),'Struktur Vorjahr'!$D215,INDIRECT(AB$4))+SUMIF(INDIRECT(AB$3),'Struktur Vorjahr'!$D215,INDIRECT(AB$5)))</f>
        <v>0</v>
      </c>
      <c r="AC215" s="593">
        <f ca="1">$E215*(-SUMIF(INDIRECT(AC$3),'Struktur Vorjahr'!$D215,INDIRECT(AC$4))+SUMIF(INDIRECT(AC$3),'Struktur Vorjahr'!$D215,INDIRECT(AC$5)))</f>
        <v>0</v>
      </c>
      <c r="AD215" s="593">
        <f ca="1">$E215*(-SUMIF(INDIRECT(AD$3),'Struktur Vorjahr'!$D215,INDIRECT(AD$4))+SUMIF(INDIRECT(AD$3),'Struktur Vorjahr'!$D215,INDIRECT(AD$5)))</f>
        <v>0</v>
      </c>
      <c r="AE215" s="593">
        <f t="shared" ca="1" si="103"/>
        <v>0</v>
      </c>
      <c r="AF215" s="593">
        <f t="shared" ca="1" si="104"/>
        <v>0</v>
      </c>
      <c r="AG215" s="593">
        <f t="shared" ca="1" si="104"/>
        <v>0</v>
      </c>
      <c r="AH215" s="593">
        <f t="shared" ca="1" si="104"/>
        <v>0</v>
      </c>
      <c r="AI215" s="593">
        <f t="shared" ca="1" si="104"/>
        <v>0</v>
      </c>
      <c r="AJ215" s="593">
        <f t="shared" ca="1" si="104"/>
        <v>0</v>
      </c>
      <c r="AK215" s="593">
        <f t="shared" ca="1" si="104"/>
        <v>0</v>
      </c>
      <c r="AL215" s="593">
        <f t="shared" ca="1" si="104"/>
        <v>0</v>
      </c>
      <c r="AM215" s="593">
        <f t="shared" ca="1" si="104"/>
        <v>0</v>
      </c>
      <c r="AN215" s="593">
        <f t="shared" ca="1" si="104"/>
        <v>0</v>
      </c>
      <c r="AO215" s="593">
        <f t="shared" ca="1" si="104"/>
        <v>0</v>
      </c>
      <c r="AP215" s="593">
        <f t="shared" ca="1" si="104"/>
        <v>0</v>
      </c>
    </row>
    <row r="216" spans="1:42" s="594" customFormat="1" ht="11.25" outlineLevel="1" x14ac:dyDescent="0.2">
      <c r="A216" s="590"/>
      <c r="B216" s="591" t="str">
        <f>IF(D216&lt;&gt;"",
IF(ISERROR(MATCH(D216,'Ist Vorjahr Monat 01'!A:A,0))=FALSE,INDEX('Ist Vorjahr Monat 01'!B:B,MATCH(D216,'Ist Vorjahr Monat 01'!A:A,0)),
IF(ISERROR(MATCH(D216,'Ist Vorjahr Monat 02'!A:A,0))=FALSE,INDEX('Ist Vorjahr Monat 02'!B:B,MATCH(D216,'Ist Vorjahr Monat 02'!A:A,0)),
IF(ISERROR(MATCH(D216,'Ist Vorjahr Monat 03'!A:A,0))=FALSE,INDEX('Ist Vorjahr Monat 03'!B:B,MATCH(D216,'Ist Vorjahr Monat 03'!A:A,0)),
IF(ISERROR(MATCH(D216,'Ist Vorjahr Monat 04'!A:A,0))=FALSE,INDEX('Ist Vorjahr Monat 04'!B:B,MATCH(D216,'Ist Vorjahr Monat 04'!A:A,0)),
IF(ISERROR(MATCH(D216,'Ist Vorjahr Monat 05'!A:A,0))=FALSE,INDEX('Ist Vorjahr Monat 05'!B:B,MATCH(D216,'Ist Vorjahr Monat 05'!A:A,0)),
IF(ISERROR(MATCH(D216,'Ist Vorjahr Monat 06'!A:A,0))=FALSE,INDEX('Ist Vorjahr Monat 06'!B:B,MATCH(D216,'Ist Vorjahr Monat 06'!A:A,0)),
IF(ISERROR(MATCH(D216,'Ist Vorjahr Monat 07'!A:A,0))=FALSE,INDEX('Ist Vorjahr Monat 07'!B:B,MATCH(D216,'Ist Vorjahr Monat 07'!A:A,0)),
IF(ISERROR(MATCH(D216,'Ist Vorjahr Monat 08'!A:A,0))=FALSE,INDEX('Ist Vorjahr Monat 08'!B:B,MATCH(D216,'Ist Vorjahr Monat 08'!A:A,0)),
IF(ISERROR(MATCH(D216,'Ist Vorjahr Monat 09'!A:A,0))=FALSE,INDEX('Ist Vorjahr Monat 09'!B:B,MATCH(D216,'Ist Vorjahr Monat 09'!A:A,0)),
IF(ISERROR(MATCH(D216,'Ist Vorjahr Monat 10'!A:A,0))=FALSE,INDEX('Ist Vorjahr Monat 10'!B:B,MATCH(D216,'Ist Vorjahr Monat 10'!A:A,0)),
IF(ISERROR(MATCH(D216,'Ist Vorjahr Monat 11'!A:A,0))=FALSE,INDEX('Ist Vorjahr Monat 11'!B:B,MATCH(D216,'Ist Vorjahr Monat 11'!A:A,0)),
IF(ISERROR(MATCH(D216,'Ist Vorjahr Monat 12'!A:A,0))=FALSE,INDEX('Ist Vorjahr Monat 12'!B:B,MATCH(D216,'Ist Vorjahr Monat 12'!A:A,0)),
"{Konto unbekannt}"
)))))))))))),"")</f>
        <v/>
      </c>
      <c r="C216" s="591"/>
      <c r="D216" s="590"/>
      <c r="E216" s="592">
        <f t="shared" si="105"/>
        <v>1</v>
      </c>
      <c r="F216" s="590"/>
      <c r="G216" s="593">
        <f ca="1">$E216*(-SUMIF(INDIRECT(G$3),'Struktur Vorjahr'!$D216,INDIRECT(G$4))+SUMIF(INDIRECT(G$3),'Struktur Vorjahr'!$D216,INDIRECT(G$5)))</f>
        <v>0</v>
      </c>
      <c r="H216" s="593">
        <f ca="1">$E216*(-SUMIF(INDIRECT(H$3),'Struktur Vorjahr'!$D216,INDIRECT(H$4))+SUMIF(INDIRECT(H$3),'Struktur Vorjahr'!$D216,INDIRECT(H$5)))</f>
        <v>0</v>
      </c>
      <c r="I216" s="593">
        <f ca="1">$E216*(-SUMIF(INDIRECT(I$3),'Struktur Vorjahr'!$D216,INDIRECT(I$4))+SUMIF(INDIRECT(I$3),'Struktur Vorjahr'!$D216,INDIRECT(I$5)))</f>
        <v>0</v>
      </c>
      <c r="J216" s="593">
        <f ca="1">$E216*(-SUMIF(INDIRECT(J$3),'Struktur Vorjahr'!$D216,INDIRECT(J$4))+SUMIF(INDIRECT(J$3),'Struktur Vorjahr'!$D216,INDIRECT(J$5)))</f>
        <v>0</v>
      </c>
      <c r="K216" s="593">
        <f ca="1">$E216*(-SUMIF(INDIRECT(K$3),'Struktur Vorjahr'!$D216,INDIRECT(K$4))+SUMIF(INDIRECT(K$3),'Struktur Vorjahr'!$D216,INDIRECT(K$5)))</f>
        <v>0</v>
      </c>
      <c r="L216" s="593">
        <f ca="1">$E216*(-SUMIF(INDIRECT(L$3),'Struktur Vorjahr'!$D216,INDIRECT(L$4))+SUMIF(INDIRECT(L$3),'Struktur Vorjahr'!$D216,INDIRECT(L$5)))</f>
        <v>0</v>
      </c>
      <c r="M216" s="593">
        <f ca="1">$E216*(-SUMIF(INDIRECT(M$3),'Struktur Vorjahr'!$D216,INDIRECT(M$4))+SUMIF(INDIRECT(M$3),'Struktur Vorjahr'!$D216,INDIRECT(M$5)))</f>
        <v>0</v>
      </c>
      <c r="N216" s="593">
        <f ca="1">$E216*(-SUMIF(INDIRECT(N$3),'Struktur Vorjahr'!$D216,INDIRECT(N$4))+SUMIF(INDIRECT(N$3),'Struktur Vorjahr'!$D216,INDIRECT(N$5)))</f>
        <v>0</v>
      </c>
      <c r="O216" s="593">
        <f ca="1">$E216*(-SUMIF(INDIRECT(O$3),'Struktur Vorjahr'!$D216,INDIRECT(O$4))+SUMIF(INDIRECT(O$3),'Struktur Vorjahr'!$D216,INDIRECT(O$5)))</f>
        <v>0</v>
      </c>
      <c r="P216" s="593">
        <f ca="1">$E216*(-SUMIF(INDIRECT(P$3),'Struktur Vorjahr'!$D216,INDIRECT(P$4))+SUMIF(INDIRECT(P$3),'Struktur Vorjahr'!$D216,INDIRECT(P$5)))</f>
        <v>0</v>
      </c>
      <c r="Q216" s="593">
        <f ca="1">$E216*(-SUMIF(INDIRECT(Q$3),'Struktur Vorjahr'!$D216,INDIRECT(Q$4))+SUMIF(INDIRECT(Q$3),'Struktur Vorjahr'!$D216,INDIRECT(Q$5)))</f>
        <v>0</v>
      </c>
      <c r="R216" s="593">
        <f ca="1">$E216*(-SUMIF(INDIRECT(R$3),'Struktur Vorjahr'!$D216,INDIRECT(R$4))+SUMIF(INDIRECT(R$3),'Struktur Vorjahr'!$D216,INDIRECT(R$5)))</f>
        <v>0</v>
      </c>
      <c r="S216" s="593">
        <f ca="1">$E216*(-SUMIF(INDIRECT(S$3),'Struktur Vorjahr'!$D216,INDIRECT(S$4))+SUMIF(INDIRECT(S$3),'Struktur Vorjahr'!$D216,INDIRECT(S$5)))</f>
        <v>0</v>
      </c>
      <c r="T216" s="593">
        <f ca="1">$E216*(-SUMIF(INDIRECT(T$3),'Struktur Vorjahr'!$D216,INDIRECT(T$4))+SUMIF(INDIRECT(T$3),'Struktur Vorjahr'!$D216,INDIRECT(T$5)))</f>
        <v>0</v>
      </c>
      <c r="U216" s="593">
        <f ca="1">$E216*(-SUMIF(INDIRECT(U$3),'Struktur Vorjahr'!$D216,INDIRECT(U$4))+SUMIF(INDIRECT(U$3),'Struktur Vorjahr'!$D216,INDIRECT(U$5)))</f>
        <v>0</v>
      </c>
      <c r="V216" s="593">
        <f ca="1">$E216*(-SUMIF(INDIRECT(V$3),'Struktur Vorjahr'!$D216,INDIRECT(V$4))+SUMIF(INDIRECT(V$3),'Struktur Vorjahr'!$D216,INDIRECT(V$5)))</f>
        <v>0</v>
      </c>
      <c r="W216" s="593">
        <f ca="1">$E216*(-SUMIF(INDIRECT(W$3),'Struktur Vorjahr'!$D216,INDIRECT(W$4))+SUMIF(INDIRECT(W$3),'Struktur Vorjahr'!$D216,INDIRECT(W$5)))</f>
        <v>0</v>
      </c>
      <c r="X216" s="593">
        <f ca="1">$E216*(-SUMIF(INDIRECT(X$3),'Struktur Vorjahr'!$D216,INDIRECT(X$4))+SUMIF(INDIRECT(X$3),'Struktur Vorjahr'!$D216,INDIRECT(X$5)))</f>
        <v>0</v>
      </c>
      <c r="Y216" s="593">
        <f ca="1">$E216*(-SUMIF(INDIRECT(Y$3),'Struktur Vorjahr'!$D216,INDIRECT(Y$4))+SUMIF(INDIRECT(Y$3),'Struktur Vorjahr'!$D216,INDIRECT(Y$5)))</f>
        <v>0</v>
      </c>
      <c r="Z216" s="593">
        <f ca="1">$E216*(-SUMIF(INDIRECT(Z$3),'Struktur Vorjahr'!$D216,INDIRECT(Z$4))+SUMIF(INDIRECT(Z$3),'Struktur Vorjahr'!$D216,INDIRECT(Z$5)))</f>
        <v>0</v>
      </c>
      <c r="AA216" s="593">
        <f ca="1">$E216*(-SUMIF(INDIRECT(AA$3),'Struktur Vorjahr'!$D216,INDIRECT(AA$4))+SUMIF(INDIRECT(AA$3),'Struktur Vorjahr'!$D216,INDIRECT(AA$5)))</f>
        <v>0</v>
      </c>
      <c r="AB216" s="593">
        <f ca="1">$E216*(-SUMIF(INDIRECT(AB$3),'Struktur Vorjahr'!$D216,INDIRECT(AB$4))+SUMIF(INDIRECT(AB$3),'Struktur Vorjahr'!$D216,INDIRECT(AB$5)))</f>
        <v>0</v>
      </c>
      <c r="AC216" s="593">
        <f ca="1">$E216*(-SUMIF(INDIRECT(AC$3),'Struktur Vorjahr'!$D216,INDIRECT(AC$4))+SUMIF(INDIRECT(AC$3),'Struktur Vorjahr'!$D216,INDIRECT(AC$5)))</f>
        <v>0</v>
      </c>
      <c r="AD216" s="593">
        <f ca="1">$E216*(-SUMIF(INDIRECT(AD$3),'Struktur Vorjahr'!$D216,INDIRECT(AD$4))+SUMIF(INDIRECT(AD$3),'Struktur Vorjahr'!$D216,INDIRECT(AD$5)))</f>
        <v>0</v>
      </c>
      <c r="AE216" s="593">
        <f t="shared" ca="1" si="103"/>
        <v>0</v>
      </c>
      <c r="AF216" s="593">
        <f t="shared" ca="1" si="104"/>
        <v>0</v>
      </c>
      <c r="AG216" s="593">
        <f t="shared" ca="1" si="104"/>
        <v>0</v>
      </c>
      <c r="AH216" s="593">
        <f t="shared" ca="1" si="104"/>
        <v>0</v>
      </c>
      <c r="AI216" s="593">
        <f t="shared" ca="1" si="104"/>
        <v>0</v>
      </c>
      <c r="AJ216" s="593">
        <f t="shared" ca="1" si="104"/>
        <v>0</v>
      </c>
      <c r="AK216" s="593">
        <f t="shared" ca="1" si="104"/>
        <v>0</v>
      </c>
      <c r="AL216" s="593">
        <f t="shared" ca="1" si="104"/>
        <v>0</v>
      </c>
      <c r="AM216" s="593">
        <f t="shared" ca="1" si="104"/>
        <v>0</v>
      </c>
      <c r="AN216" s="593">
        <f t="shared" ca="1" si="104"/>
        <v>0</v>
      </c>
      <c r="AO216" s="593">
        <f t="shared" ca="1" si="104"/>
        <v>0</v>
      </c>
      <c r="AP216" s="593">
        <f t="shared" ca="1" si="104"/>
        <v>0</v>
      </c>
    </row>
    <row r="217" spans="1:42" s="594" customFormat="1" ht="11.25" outlineLevel="1" x14ac:dyDescent="0.2">
      <c r="A217" s="590"/>
      <c r="B217" s="591" t="str">
        <f>IF(D217&lt;&gt;"",
IF(ISERROR(MATCH(D217,'Ist Vorjahr Monat 01'!A:A,0))=FALSE,INDEX('Ist Vorjahr Monat 01'!B:B,MATCH(D217,'Ist Vorjahr Monat 01'!A:A,0)),
IF(ISERROR(MATCH(D217,'Ist Vorjahr Monat 02'!A:A,0))=FALSE,INDEX('Ist Vorjahr Monat 02'!B:B,MATCH(D217,'Ist Vorjahr Monat 02'!A:A,0)),
IF(ISERROR(MATCH(D217,'Ist Vorjahr Monat 03'!A:A,0))=FALSE,INDEX('Ist Vorjahr Monat 03'!B:B,MATCH(D217,'Ist Vorjahr Monat 03'!A:A,0)),
IF(ISERROR(MATCH(D217,'Ist Vorjahr Monat 04'!A:A,0))=FALSE,INDEX('Ist Vorjahr Monat 04'!B:B,MATCH(D217,'Ist Vorjahr Monat 04'!A:A,0)),
IF(ISERROR(MATCH(D217,'Ist Vorjahr Monat 05'!A:A,0))=FALSE,INDEX('Ist Vorjahr Monat 05'!B:B,MATCH(D217,'Ist Vorjahr Monat 05'!A:A,0)),
IF(ISERROR(MATCH(D217,'Ist Vorjahr Monat 06'!A:A,0))=FALSE,INDEX('Ist Vorjahr Monat 06'!B:B,MATCH(D217,'Ist Vorjahr Monat 06'!A:A,0)),
IF(ISERROR(MATCH(D217,'Ist Vorjahr Monat 07'!A:A,0))=FALSE,INDEX('Ist Vorjahr Monat 07'!B:B,MATCH(D217,'Ist Vorjahr Monat 07'!A:A,0)),
IF(ISERROR(MATCH(D217,'Ist Vorjahr Monat 08'!A:A,0))=FALSE,INDEX('Ist Vorjahr Monat 08'!B:B,MATCH(D217,'Ist Vorjahr Monat 08'!A:A,0)),
IF(ISERROR(MATCH(D217,'Ist Vorjahr Monat 09'!A:A,0))=FALSE,INDEX('Ist Vorjahr Monat 09'!B:B,MATCH(D217,'Ist Vorjahr Monat 09'!A:A,0)),
IF(ISERROR(MATCH(D217,'Ist Vorjahr Monat 10'!A:A,0))=FALSE,INDEX('Ist Vorjahr Monat 10'!B:B,MATCH(D217,'Ist Vorjahr Monat 10'!A:A,0)),
IF(ISERROR(MATCH(D217,'Ist Vorjahr Monat 11'!A:A,0))=FALSE,INDEX('Ist Vorjahr Monat 11'!B:B,MATCH(D217,'Ist Vorjahr Monat 11'!A:A,0)),
IF(ISERROR(MATCH(D217,'Ist Vorjahr Monat 12'!A:A,0))=FALSE,INDEX('Ist Vorjahr Monat 12'!B:B,MATCH(D217,'Ist Vorjahr Monat 12'!A:A,0)),
"{Konto unbekannt}"
)))))))))))),"")</f>
        <v/>
      </c>
      <c r="C217" s="591"/>
      <c r="D217" s="590"/>
      <c r="E217" s="592">
        <f t="shared" si="105"/>
        <v>1</v>
      </c>
      <c r="F217" s="590"/>
      <c r="G217" s="593">
        <f ca="1">$E217*(-SUMIF(INDIRECT(G$3),'Struktur Vorjahr'!$D217,INDIRECT(G$4))+SUMIF(INDIRECT(G$3),'Struktur Vorjahr'!$D217,INDIRECT(G$5)))</f>
        <v>0</v>
      </c>
      <c r="H217" s="593">
        <f ca="1">$E217*(-SUMIF(INDIRECT(H$3),'Struktur Vorjahr'!$D217,INDIRECT(H$4))+SUMIF(INDIRECT(H$3),'Struktur Vorjahr'!$D217,INDIRECT(H$5)))</f>
        <v>0</v>
      </c>
      <c r="I217" s="593">
        <f ca="1">$E217*(-SUMIF(INDIRECT(I$3),'Struktur Vorjahr'!$D217,INDIRECT(I$4))+SUMIF(INDIRECT(I$3),'Struktur Vorjahr'!$D217,INDIRECT(I$5)))</f>
        <v>0</v>
      </c>
      <c r="J217" s="593">
        <f ca="1">$E217*(-SUMIF(INDIRECT(J$3),'Struktur Vorjahr'!$D217,INDIRECT(J$4))+SUMIF(INDIRECT(J$3),'Struktur Vorjahr'!$D217,INDIRECT(J$5)))</f>
        <v>0</v>
      </c>
      <c r="K217" s="593">
        <f ca="1">$E217*(-SUMIF(INDIRECT(K$3),'Struktur Vorjahr'!$D217,INDIRECT(K$4))+SUMIF(INDIRECT(K$3),'Struktur Vorjahr'!$D217,INDIRECT(K$5)))</f>
        <v>0</v>
      </c>
      <c r="L217" s="593">
        <f ca="1">$E217*(-SUMIF(INDIRECT(L$3),'Struktur Vorjahr'!$D217,INDIRECT(L$4))+SUMIF(INDIRECT(L$3),'Struktur Vorjahr'!$D217,INDIRECT(L$5)))</f>
        <v>0</v>
      </c>
      <c r="M217" s="593">
        <f ca="1">$E217*(-SUMIF(INDIRECT(M$3),'Struktur Vorjahr'!$D217,INDIRECT(M$4))+SUMIF(INDIRECT(M$3),'Struktur Vorjahr'!$D217,INDIRECT(M$5)))</f>
        <v>0</v>
      </c>
      <c r="N217" s="593">
        <f ca="1">$E217*(-SUMIF(INDIRECT(N$3),'Struktur Vorjahr'!$D217,INDIRECT(N$4))+SUMIF(INDIRECT(N$3),'Struktur Vorjahr'!$D217,INDIRECT(N$5)))</f>
        <v>0</v>
      </c>
      <c r="O217" s="593">
        <f ca="1">$E217*(-SUMIF(INDIRECT(O$3),'Struktur Vorjahr'!$D217,INDIRECT(O$4))+SUMIF(INDIRECT(O$3),'Struktur Vorjahr'!$D217,INDIRECT(O$5)))</f>
        <v>0</v>
      </c>
      <c r="P217" s="593">
        <f ca="1">$E217*(-SUMIF(INDIRECT(P$3),'Struktur Vorjahr'!$D217,INDIRECT(P$4))+SUMIF(INDIRECT(P$3),'Struktur Vorjahr'!$D217,INDIRECT(P$5)))</f>
        <v>0</v>
      </c>
      <c r="Q217" s="593">
        <f ca="1">$E217*(-SUMIF(INDIRECT(Q$3),'Struktur Vorjahr'!$D217,INDIRECT(Q$4))+SUMIF(INDIRECT(Q$3),'Struktur Vorjahr'!$D217,INDIRECT(Q$5)))</f>
        <v>0</v>
      </c>
      <c r="R217" s="593">
        <f ca="1">$E217*(-SUMIF(INDIRECT(R$3),'Struktur Vorjahr'!$D217,INDIRECT(R$4))+SUMIF(INDIRECT(R$3),'Struktur Vorjahr'!$D217,INDIRECT(R$5)))</f>
        <v>0</v>
      </c>
      <c r="S217" s="593">
        <f ca="1">$E217*(-SUMIF(INDIRECT(S$3),'Struktur Vorjahr'!$D217,INDIRECT(S$4))+SUMIF(INDIRECT(S$3),'Struktur Vorjahr'!$D217,INDIRECT(S$5)))</f>
        <v>0</v>
      </c>
      <c r="T217" s="593">
        <f ca="1">$E217*(-SUMIF(INDIRECT(T$3),'Struktur Vorjahr'!$D217,INDIRECT(T$4))+SUMIF(INDIRECT(T$3),'Struktur Vorjahr'!$D217,INDIRECT(T$5)))</f>
        <v>0</v>
      </c>
      <c r="U217" s="593">
        <f ca="1">$E217*(-SUMIF(INDIRECT(U$3),'Struktur Vorjahr'!$D217,INDIRECT(U$4))+SUMIF(INDIRECT(U$3),'Struktur Vorjahr'!$D217,INDIRECT(U$5)))</f>
        <v>0</v>
      </c>
      <c r="V217" s="593">
        <f ca="1">$E217*(-SUMIF(INDIRECT(V$3),'Struktur Vorjahr'!$D217,INDIRECT(V$4))+SUMIF(INDIRECT(V$3),'Struktur Vorjahr'!$D217,INDIRECT(V$5)))</f>
        <v>0</v>
      </c>
      <c r="W217" s="593">
        <f ca="1">$E217*(-SUMIF(INDIRECT(W$3),'Struktur Vorjahr'!$D217,INDIRECT(W$4))+SUMIF(INDIRECT(W$3),'Struktur Vorjahr'!$D217,INDIRECT(W$5)))</f>
        <v>0</v>
      </c>
      <c r="X217" s="593">
        <f ca="1">$E217*(-SUMIF(INDIRECT(X$3),'Struktur Vorjahr'!$D217,INDIRECT(X$4))+SUMIF(INDIRECT(X$3),'Struktur Vorjahr'!$D217,INDIRECT(X$5)))</f>
        <v>0</v>
      </c>
      <c r="Y217" s="593">
        <f ca="1">$E217*(-SUMIF(INDIRECT(Y$3),'Struktur Vorjahr'!$D217,INDIRECT(Y$4))+SUMIF(INDIRECT(Y$3),'Struktur Vorjahr'!$D217,INDIRECT(Y$5)))</f>
        <v>0</v>
      </c>
      <c r="Z217" s="593">
        <f ca="1">$E217*(-SUMIF(INDIRECT(Z$3),'Struktur Vorjahr'!$D217,INDIRECT(Z$4))+SUMIF(INDIRECT(Z$3),'Struktur Vorjahr'!$D217,INDIRECT(Z$5)))</f>
        <v>0</v>
      </c>
      <c r="AA217" s="593">
        <f ca="1">$E217*(-SUMIF(INDIRECT(AA$3),'Struktur Vorjahr'!$D217,INDIRECT(AA$4))+SUMIF(INDIRECT(AA$3),'Struktur Vorjahr'!$D217,INDIRECT(AA$5)))</f>
        <v>0</v>
      </c>
      <c r="AB217" s="593">
        <f ca="1">$E217*(-SUMIF(INDIRECT(AB$3),'Struktur Vorjahr'!$D217,INDIRECT(AB$4))+SUMIF(INDIRECT(AB$3),'Struktur Vorjahr'!$D217,INDIRECT(AB$5)))</f>
        <v>0</v>
      </c>
      <c r="AC217" s="593">
        <f ca="1">$E217*(-SUMIF(INDIRECT(AC$3),'Struktur Vorjahr'!$D217,INDIRECT(AC$4))+SUMIF(INDIRECT(AC$3),'Struktur Vorjahr'!$D217,INDIRECT(AC$5)))</f>
        <v>0</v>
      </c>
      <c r="AD217" s="593">
        <f ca="1">$E217*(-SUMIF(INDIRECT(AD$3),'Struktur Vorjahr'!$D217,INDIRECT(AD$4))+SUMIF(INDIRECT(AD$3),'Struktur Vorjahr'!$D217,INDIRECT(AD$5)))</f>
        <v>0</v>
      </c>
      <c r="AE217" s="593">
        <f t="shared" ca="1" si="103"/>
        <v>0</v>
      </c>
      <c r="AF217" s="593">
        <f t="shared" ca="1" si="104"/>
        <v>0</v>
      </c>
      <c r="AG217" s="593">
        <f t="shared" ca="1" si="104"/>
        <v>0</v>
      </c>
      <c r="AH217" s="593">
        <f t="shared" ca="1" si="104"/>
        <v>0</v>
      </c>
      <c r="AI217" s="593">
        <f t="shared" ca="1" si="104"/>
        <v>0</v>
      </c>
      <c r="AJ217" s="593">
        <f t="shared" ca="1" si="104"/>
        <v>0</v>
      </c>
      <c r="AK217" s="593">
        <f t="shared" ca="1" si="104"/>
        <v>0</v>
      </c>
      <c r="AL217" s="593">
        <f t="shared" ca="1" si="104"/>
        <v>0</v>
      </c>
      <c r="AM217" s="593">
        <f t="shared" ca="1" si="104"/>
        <v>0</v>
      </c>
      <c r="AN217" s="593">
        <f t="shared" ca="1" si="104"/>
        <v>0</v>
      </c>
      <c r="AO217" s="593">
        <f t="shared" ca="1" si="104"/>
        <v>0</v>
      </c>
      <c r="AP217" s="593">
        <f t="shared" ca="1" si="104"/>
        <v>0</v>
      </c>
    </row>
    <row r="218" spans="1:42" s="594" customFormat="1" ht="11.25" outlineLevel="1" x14ac:dyDescent="0.2">
      <c r="A218" s="590"/>
      <c r="B218" s="591" t="str">
        <f>IF(D218&lt;&gt;"",
IF(ISERROR(MATCH(D218,'Ist Vorjahr Monat 01'!A:A,0))=FALSE,INDEX('Ist Vorjahr Monat 01'!B:B,MATCH(D218,'Ist Vorjahr Monat 01'!A:A,0)),
IF(ISERROR(MATCH(D218,'Ist Vorjahr Monat 02'!A:A,0))=FALSE,INDEX('Ist Vorjahr Monat 02'!B:B,MATCH(D218,'Ist Vorjahr Monat 02'!A:A,0)),
IF(ISERROR(MATCH(D218,'Ist Vorjahr Monat 03'!A:A,0))=FALSE,INDEX('Ist Vorjahr Monat 03'!B:B,MATCH(D218,'Ist Vorjahr Monat 03'!A:A,0)),
IF(ISERROR(MATCH(D218,'Ist Vorjahr Monat 04'!A:A,0))=FALSE,INDEX('Ist Vorjahr Monat 04'!B:B,MATCH(D218,'Ist Vorjahr Monat 04'!A:A,0)),
IF(ISERROR(MATCH(D218,'Ist Vorjahr Monat 05'!A:A,0))=FALSE,INDEX('Ist Vorjahr Monat 05'!B:B,MATCH(D218,'Ist Vorjahr Monat 05'!A:A,0)),
IF(ISERROR(MATCH(D218,'Ist Vorjahr Monat 06'!A:A,0))=FALSE,INDEX('Ist Vorjahr Monat 06'!B:B,MATCH(D218,'Ist Vorjahr Monat 06'!A:A,0)),
IF(ISERROR(MATCH(D218,'Ist Vorjahr Monat 07'!A:A,0))=FALSE,INDEX('Ist Vorjahr Monat 07'!B:B,MATCH(D218,'Ist Vorjahr Monat 07'!A:A,0)),
IF(ISERROR(MATCH(D218,'Ist Vorjahr Monat 08'!A:A,0))=FALSE,INDEX('Ist Vorjahr Monat 08'!B:B,MATCH(D218,'Ist Vorjahr Monat 08'!A:A,0)),
IF(ISERROR(MATCH(D218,'Ist Vorjahr Monat 09'!A:A,0))=FALSE,INDEX('Ist Vorjahr Monat 09'!B:B,MATCH(D218,'Ist Vorjahr Monat 09'!A:A,0)),
IF(ISERROR(MATCH(D218,'Ist Vorjahr Monat 10'!A:A,0))=FALSE,INDEX('Ist Vorjahr Monat 10'!B:B,MATCH(D218,'Ist Vorjahr Monat 10'!A:A,0)),
IF(ISERROR(MATCH(D218,'Ist Vorjahr Monat 11'!A:A,0))=FALSE,INDEX('Ist Vorjahr Monat 11'!B:B,MATCH(D218,'Ist Vorjahr Monat 11'!A:A,0)),
IF(ISERROR(MATCH(D218,'Ist Vorjahr Monat 12'!A:A,0))=FALSE,INDEX('Ist Vorjahr Monat 12'!B:B,MATCH(D218,'Ist Vorjahr Monat 12'!A:A,0)),
"{Konto unbekannt}"
)))))))))))),"")</f>
        <v/>
      </c>
      <c r="C218" s="591"/>
      <c r="D218" s="590"/>
      <c r="E218" s="592">
        <f t="shared" si="105"/>
        <v>1</v>
      </c>
      <c r="F218" s="590"/>
      <c r="G218" s="593">
        <f ca="1">$E218*(-SUMIF(INDIRECT(G$3),'Struktur Vorjahr'!$D218,INDIRECT(G$4))+SUMIF(INDIRECT(G$3),'Struktur Vorjahr'!$D218,INDIRECT(G$5)))</f>
        <v>0</v>
      </c>
      <c r="H218" s="593">
        <f ca="1">$E218*(-SUMIF(INDIRECT(H$3),'Struktur Vorjahr'!$D218,INDIRECT(H$4))+SUMIF(INDIRECT(H$3),'Struktur Vorjahr'!$D218,INDIRECT(H$5)))</f>
        <v>0</v>
      </c>
      <c r="I218" s="593">
        <f ca="1">$E218*(-SUMIF(INDIRECT(I$3),'Struktur Vorjahr'!$D218,INDIRECT(I$4))+SUMIF(INDIRECT(I$3),'Struktur Vorjahr'!$D218,INDIRECT(I$5)))</f>
        <v>0</v>
      </c>
      <c r="J218" s="593">
        <f ca="1">$E218*(-SUMIF(INDIRECT(J$3),'Struktur Vorjahr'!$D218,INDIRECT(J$4))+SUMIF(INDIRECT(J$3),'Struktur Vorjahr'!$D218,INDIRECT(J$5)))</f>
        <v>0</v>
      </c>
      <c r="K218" s="593">
        <f ca="1">$E218*(-SUMIF(INDIRECT(K$3),'Struktur Vorjahr'!$D218,INDIRECT(K$4))+SUMIF(INDIRECT(K$3),'Struktur Vorjahr'!$D218,INDIRECT(K$5)))</f>
        <v>0</v>
      </c>
      <c r="L218" s="593">
        <f ca="1">$E218*(-SUMIF(INDIRECT(L$3),'Struktur Vorjahr'!$D218,INDIRECT(L$4))+SUMIF(INDIRECT(L$3),'Struktur Vorjahr'!$D218,INDIRECT(L$5)))</f>
        <v>0</v>
      </c>
      <c r="M218" s="593">
        <f ca="1">$E218*(-SUMIF(INDIRECT(M$3),'Struktur Vorjahr'!$D218,INDIRECT(M$4))+SUMIF(INDIRECT(M$3),'Struktur Vorjahr'!$D218,INDIRECT(M$5)))</f>
        <v>0</v>
      </c>
      <c r="N218" s="593">
        <f ca="1">$E218*(-SUMIF(INDIRECT(N$3),'Struktur Vorjahr'!$D218,INDIRECT(N$4))+SUMIF(INDIRECT(N$3),'Struktur Vorjahr'!$D218,INDIRECT(N$5)))</f>
        <v>0</v>
      </c>
      <c r="O218" s="593">
        <f ca="1">$E218*(-SUMIF(INDIRECT(O$3),'Struktur Vorjahr'!$D218,INDIRECT(O$4))+SUMIF(INDIRECT(O$3),'Struktur Vorjahr'!$D218,INDIRECT(O$5)))</f>
        <v>0</v>
      </c>
      <c r="P218" s="593">
        <f ca="1">$E218*(-SUMIF(INDIRECT(P$3),'Struktur Vorjahr'!$D218,INDIRECT(P$4))+SUMIF(INDIRECT(P$3),'Struktur Vorjahr'!$D218,INDIRECT(P$5)))</f>
        <v>0</v>
      </c>
      <c r="Q218" s="593">
        <f ca="1">$E218*(-SUMIF(INDIRECT(Q$3),'Struktur Vorjahr'!$D218,INDIRECT(Q$4))+SUMIF(INDIRECT(Q$3),'Struktur Vorjahr'!$D218,INDIRECT(Q$5)))</f>
        <v>0</v>
      </c>
      <c r="R218" s="593">
        <f ca="1">$E218*(-SUMIF(INDIRECT(R$3),'Struktur Vorjahr'!$D218,INDIRECT(R$4))+SUMIF(INDIRECT(R$3),'Struktur Vorjahr'!$D218,INDIRECT(R$5)))</f>
        <v>0</v>
      </c>
      <c r="S218" s="593">
        <f ca="1">$E218*(-SUMIF(INDIRECT(S$3),'Struktur Vorjahr'!$D218,INDIRECT(S$4))+SUMIF(INDIRECT(S$3),'Struktur Vorjahr'!$D218,INDIRECT(S$5)))</f>
        <v>0</v>
      </c>
      <c r="T218" s="593">
        <f ca="1">$E218*(-SUMIF(INDIRECT(T$3),'Struktur Vorjahr'!$D218,INDIRECT(T$4))+SUMIF(INDIRECT(T$3),'Struktur Vorjahr'!$D218,INDIRECT(T$5)))</f>
        <v>0</v>
      </c>
      <c r="U218" s="593">
        <f ca="1">$E218*(-SUMIF(INDIRECT(U$3),'Struktur Vorjahr'!$D218,INDIRECT(U$4))+SUMIF(INDIRECT(U$3),'Struktur Vorjahr'!$D218,INDIRECT(U$5)))</f>
        <v>0</v>
      </c>
      <c r="V218" s="593">
        <f ca="1">$E218*(-SUMIF(INDIRECT(V$3),'Struktur Vorjahr'!$D218,INDIRECT(V$4))+SUMIF(INDIRECT(V$3),'Struktur Vorjahr'!$D218,INDIRECT(V$5)))</f>
        <v>0</v>
      </c>
      <c r="W218" s="593">
        <f ca="1">$E218*(-SUMIF(INDIRECT(W$3),'Struktur Vorjahr'!$D218,INDIRECT(W$4))+SUMIF(INDIRECT(W$3),'Struktur Vorjahr'!$D218,INDIRECT(W$5)))</f>
        <v>0</v>
      </c>
      <c r="X218" s="593">
        <f ca="1">$E218*(-SUMIF(INDIRECT(X$3),'Struktur Vorjahr'!$D218,INDIRECT(X$4))+SUMIF(INDIRECT(X$3),'Struktur Vorjahr'!$D218,INDIRECT(X$5)))</f>
        <v>0</v>
      </c>
      <c r="Y218" s="593">
        <f ca="1">$E218*(-SUMIF(INDIRECT(Y$3),'Struktur Vorjahr'!$D218,INDIRECT(Y$4))+SUMIF(INDIRECT(Y$3),'Struktur Vorjahr'!$D218,INDIRECT(Y$5)))</f>
        <v>0</v>
      </c>
      <c r="Z218" s="593">
        <f ca="1">$E218*(-SUMIF(INDIRECT(Z$3),'Struktur Vorjahr'!$D218,INDIRECT(Z$4))+SUMIF(INDIRECT(Z$3),'Struktur Vorjahr'!$D218,INDIRECT(Z$5)))</f>
        <v>0</v>
      </c>
      <c r="AA218" s="593">
        <f ca="1">$E218*(-SUMIF(INDIRECT(AA$3),'Struktur Vorjahr'!$D218,INDIRECT(AA$4))+SUMIF(INDIRECT(AA$3),'Struktur Vorjahr'!$D218,INDIRECT(AA$5)))</f>
        <v>0</v>
      </c>
      <c r="AB218" s="593">
        <f ca="1">$E218*(-SUMIF(INDIRECT(AB$3),'Struktur Vorjahr'!$D218,INDIRECT(AB$4))+SUMIF(INDIRECT(AB$3),'Struktur Vorjahr'!$D218,INDIRECT(AB$5)))</f>
        <v>0</v>
      </c>
      <c r="AC218" s="593">
        <f ca="1">$E218*(-SUMIF(INDIRECT(AC$3),'Struktur Vorjahr'!$D218,INDIRECT(AC$4))+SUMIF(INDIRECT(AC$3),'Struktur Vorjahr'!$D218,INDIRECT(AC$5)))</f>
        <v>0</v>
      </c>
      <c r="AD218" s="593">
        <f ca="1">$E218*(-SUMIF(INDIRECT(AD$3),'Struktur Vorjahr'!$D218,INDIRECT(AD$4))+SUMIF(INDIRECT(AD$3),'Struktur Vorjahr'!$D218,INDIRECT(AD$5)))</f>
        <v>0</v>
      </c>
      <c r="AE218" s="593">
        <f t="shared" ca="1" si="103"/>
        <v>0</v>
      </c>
      <c r="AF218" s="593">
        <f t="shared" ca="1" si="104"/>
        <v>0</v>
      </c>
      <c r="AG218" s="593">
        <f t="shared" ca="1" si="104"/>
        <v>0</v>
      </c>
      <c r="AH218" s="593">
        <f t="shared" ca="1" si="104"/>
        <v>0</v>
      </c>
      <c r="AI218" s="593">
        <f t="shared" ca="1" si="104"/>
        <v>0</v>
      </c>
      <c r="AJ218" s="593">
        <f t="shared" ca="1" si="104"/>
        <v>0</v>
      </c>
      <c r="AK218" s="593">
        <f t="shared" ca="1" si="104"/>
        <v>0</v>
      </c>
      <c r="AL218" s="593">
        <f t="shared" ca="1" si="104"/>
        <v>0</v>
      </c>
      <c r="AM218" s="593">
        <f t="shared" ca="1" si="104"/>
        <v>0</v>
      </c>
      <c r="AN218" s="593">
        <f t="shared" ca="1" si="104"/>
        <v>0</v>
      </c>
      <c r="AO218" s="593">
        <f t="shared" ca="1" si="104"/>
        <v>0</v>
      </c>
      <c r="AP218" s="593">
        <f t="shared" ca="1" si="104"/>
        <v>0</v>
      </c>
    </row>
    <row r="219" spans="1:42" s="589" customFormat="1" x14ac:dyDescent="0.2">
      <c r="A219" s="585">
        <v>20</v>
      </c>
      <c r="B219" s="586" t="s">
        <v>590</v>
      </c>
      <c r="C219" s="587">
        <f ca="1">SUM(G219:R219)</f>
        <v>3524.9299999999994</v>
      </c>
      <c r="D219" s="587"/>
      <c r="E219" s="588">
        <f t="shared" si="105"/>
        <v>1</v>
      </c>
      <c r="F219" s="585"/>
      <c r="G219" s="587">
        <f t="shared" ref="G219:AP219" ca="1" si="106">SUM(G220:G227)</f>
        <v>308.99</v>
      </c>
      <c r="H219" s="587">
        <f t="shared" ca="1" si="106"/>
        <v>264.36</v>
      </c>
      <c r="I219" s="587">
        <f t="shared" ca="1" si="106"/>
        <v>349.12</v>
      </c>
      <c r="J219" s="587">
        <f t="shared" ca="1" si="106"/>
        <v>291.2</v>
      </c>
      <c r="K219" s="587">
        <f t="shared" ca="1" si="106"/>
        <v>399.4</v>
      </c>
      <c r="L219" s="587">
        <f t="shared" ca="1" si="106"/>
        <v>375.57</v>
      </c>
      <c r="M219" s="587">
        <f t="shared" ca="1" si="106"/>
        <v>431.73</v>
      </c>
      <c r="N219" s="587">
        <f t="shared" ca="1" si="106"/>
        <v>393.17999999999995</v>
      </c>
      <c r="O219" s="587">
        <f t="shared" ca="1" si="106"/>
        <v>252.72</v>
      </c>
      <c r="P219" s="587">
        <f t="shared" ca="1" si="106"/>
        <v>458.66</v>
      </c>
      <c r="Q219" s="587">
        <f t="shared" ca="1" si="106"/>
        <v>0</v>
      </c>
      <c r="R219" s="587">
        <f t="shared" ca="1" si="106"/>
        <v>0</v>
      </c>
      <c r="S219" s="587">
        <f t="shared" ca="1" si="106"/>
        <v>308.99</v>
      </c>
      <c r="T219" s="587">
        <f t="shared" ca="1" si="106"/>
        <v>573.35</v>
      </c>
      <c r="U219" s="587">
        <f t="shared" ca="1" si="106"/>
        <v>922.47</v>
      </c>
      <c r="V219" s="587">
        <f t="shared" ca="1" si="106"/>
        <v>1213.67</v>
      </c>
      <c r="W219" s="587">
        <f t="shared" ca="1" si="106"/>
        <v>1613.07</v>
      </c>
      <c r="X219" s="587">
        <f t="shared" ca="1" si="106"/>
        <v>1988.64</v>
      </c>
      <c r="Y219" s="587">
        <f t="shared" ca="1" si="106"/>
        <v>2420.37</v>
      </c>
      <c r="Z219" s="587">
        <f t="shared" ca="1" si="106"/>
        <v>2813.55</v>
      </c>
      <c r="AA219" s="587">
        <f t="shared" ca="1" si="106"/>
        <v>3066.27</v>
      </c>
      <c r="AB219" s="587">
        <f t="shared" ca="1" si="106"/>
        <v>3524.9300000000003</v>
      </c>
      <c r="AC219" s="587">
        <f t="shared" ca="1" si="106"/>
        <v>0</v>
      </c>
      <c r="AD219" s="587">
        <f t="shared" ca="1" si="106"/>
        <v>0</v>
      </c>
      <c r="AE219" s="587">
        <f t="shared" ca="1" si="106"/>
        <v>308.99</v>
      </c>
      <c r="AF219" s="587">
        <f t="shared" ca="1" si="106"/>
        <v>573.35</v>
      </c>
      <c r="AG219" s="587">
        <f t="shared" ca="1" si="106"/>
        <v>922.47</v>
      </c>
      <c r="AH219" s="587">
        <f t="shared" ca="1" si="106"/>
        <v>1213.67</v>
      </c>
      <c r="AI219" s="587">
        <f t="shared" ca="1" si="106"/>
        <v>1613.0700000000002</v>
      </c>
      <c r="AJ219" s="587">
        <f t="shared" ca="1" si="106"/>
        <v>1988.64</v>
      </c>
      <c r="AK219" s="587">
        <f t="shared" ca="1" si="106"/>
        <v>2420.37</v>
      </c>
      <c r="AL219" s="587">
        <f t="shared" ca="1" si="106"/>
        <v>2813.55</v>
      </c>
      <c r="AM219" s="587">
        <f t="shared" ca="1" si="106"/>
        <v>3066.27</v>
      </c>
      <c r="AN219" s="587">
        <f t="shared" ca="1" si="106"/>
        <v>3524.93</v>
      </c>
      <c r="AO219" s="587">
        <f t="shared" ca="1" si="106"/>
        <v>3524.93</v>
      </c>
      <c r="AP219" s="587">
        <f t="shared" ca="1" si="106"/>
        <v>3524.93</v>
      </c>
    </row>
    <row r="220" spans="1:42" s="594" customFormat="1" ht="11.25" outlineLevel="1" x14ac:dyDescent="0.2">
      <c r="A220" s="590"/>
      <c r="B220" s="591" t="str">
        <f>IF(D220&lt;&gt;"",
IF(ISERROR(MATCH(D220,'Ist Vorjahr Monat 01'!A:A,0))=FALSE,INDEX('Ist Vorjahr Monat 01'!B:B,MATCH(D220,'Ist Vorjahr Monat 01'!A:A,0)),
IF(ISERROR(MATCH(D220,'Ist Vorjahr Monat 02'!A:A,0))=FALSE,INDEX('Ist Vorjahr Monat 02'!B:B,MATCH(D220,'Ist Vorjahr Monat 02'!A:A,0)),
IF(ISERROR(MATCH(D220,'Ist Vorjahr Monat 03'!A:A,0))=FALSE,INDEX('Ist Vorjahr Monat 03'!B:B,MATCH(D220,'Ist Vorjahr Monat 03'!A:A,0)),
IF(ISERROR(MATCH(D220,'Ist Vorjahr Monat 04'!A:A,0))=FALSE,INDEX('Ist Vorjahr Monat 04'!B:B,MATCH(D220,'Ist Vorjahr Monat 04'!A:A,0)),
IF(ISERROR(MATCH(D220,'Ist Vorjahr Monat 05'!A:A,0))=FALSE,INDEX('Ist Vorjahr Monat 05'!B:B,MATCH(D220,'Ist Vorjahr Monat 05'!A:A,0)),
IF(ISERROR(MATCH(D220,'Ist Vorjahr Monat 06'!A:A,0))=FALSE,INDEX('Ist Vorjahr Monat 06'!B:B,MATCH(D220,'Ist Vorjahr Monat 06'!A:A,0)),
IF(ISERROR(MATCH(D220,'Ist Vorjahr Monat 07'!A:A,0))=FALSE,INDEX('Ist Vorjahr Monat 07'!B:B,MATCH(D220,'Ist Vorjahr Monat 07'!A:A,0)),
IF(ISERROR(MATCH(D220,'Ist Vorjahr Monat 08'!A:A,0))=FALSE,INDEX('Ist Vorjahr Monat 08'!B:B,MATCH(D220,'Ist Vorjahr Monat 08'!A:A,0)),
IF(ISERROR(MATCH(D220,'Ist Vorjahr Monat 09'!A:A,0))=FALSE,INDEX('Ist Vorjahr Monat 09'!B:B,MATCH(D220,'Ist Vorjahr Monat 09'!A:A,0)),
IF(ISERROR(MATCH(D220,'Ist Vorjahr Monat 10'!A:A,0))=FALSE,INDEX('Ist Vorjahr Monat 10'!B:B,MATCH(D220,'Ist Vorjahr Monat 10'!A:A,0)),
IF(ISERROR(MATCH(D220,'Ist Vorjahr Monat 11'!A:A,0))=FALSE,INDEX('Ist Vorjahr Monat 11'!B:B,MATCH(D220,'Ist Vorjahr Monat 11'!A:A,0)),
IF(ISERROR(MATCH(D220,'Ist Vorjahr Monat 12'!A:A,0))=FALSE,INDEX('Ist Vorjahr Monat 12'!B:B,MATCH(D220,'Ist Vorjahr Monat 12'!A:A,0)),
"{Konto unbekannt}"
)))))))))))),"")</f>
        <v>Telefon</v>
      </c>
      <c r="C220" s="591"/>
      <c r="D220" s="590">
        <v>4920</v>
      </c>
      <c r="E220" s="592">
        <f t="shared" si="105"/>
        <v>1</v>
      </c>
      <c r="F220" s="590"/>
      <c r="G220" s="593">
        <f ca="1">$E220*(-SUMIF(INDIRECT(G$3),'Struktur Vorjahr'!$D220,INDIRECT(G$4))+SUMIF(INDIRECT(G$3),'Struktur Vorjahr'!$D220,INDIRECT(G$5)))</f>
        <v>308.99</v>
      </c>
      <c r="H220" s="593">
        <f ca="1">$E220*(-SUMIF(INDIRECT(H$3),'Struktur Vorjahr'!$D220,INDIRECT(H$4))+SUMIF(INDIRECT(H$3),'Struktur Vorjahr'!$D220,INDIRECT(H$5)))</f>
        <v>264.36</v>
      </c>
      <c r="I220" s="593">
        <f ca="1">$E220*(-SUMIF(INDIRECT(I$3),'Struktur Vorjahr'!$D220,INDIRECT(I$4))+SUMIF(INDIRECT(I$3),'Struktur Vorjahr'!$D220,INDIRECT(I$5)))</f>
        <v>349.12</v>
      </c>
      <c r="J220" s="593">
        <f ca="1">$E220*(-SUMIF(INDIRECT(J$3),'Struktur Vorjahr'!$D220,INDIRECT(J$4))+SUMIF(INDIRECT(J$3),'Struktur Vorjahr'!$D220,INDIRECT(J$5)))</f>
        <v>291.2</v>
      </c>
      <c r="K220" s="593">
        <f ca="1">$E220*(-SUMIF(INDIRECT(K$3),'Struktur Vorjahr'!$D220,INDIRECT(K$4))+SUMIF(INDIRECT(K$3),'Struktur Vorjahr'!$D220,INDIRECT(K$5)))</f>
        <v>399.4</v>
      </c>
      <c r="L220" s="593">
        <f ca="1">$E220*(-SUMIF(INDIRECT(L$3),'Struktur Vorjahr'!$D220,INDIRECT(L$4))+SUMIF(INDIRECT(L$3),'Struktur Vorjahr'!$D220,INDIRECT(L$5)))</f>
        <v>375.57</v>
      </c>
      <c r="M220" s="593">
        <f ca="1">$E220*(-SUMIF(INDIRECT(M$3),'Struktur Vorjahr'!$D220,INDIRECT(M$4))+SUMIF(INDIRECT(M$3),'Struktur Vorjahr'!$D220,INDIRECT(M$5)))</f>
        <v>431.73</v>
      </c>
      <c r="N220" s="593">
        <f ca="1">$E220*(-SUMIF(INDIRECT(N$3),'Struktur Vorjahr'!$D220,INDIRECT(N$4))+SUMIF(INDIRECT(N$3),'Struktur Vorjahr'!$D220,INDIRECT(N$5)))</f>
        <v>392.34</v>
      </c>
      <c r="O220" s="593">
        <f ca="1">$E220*(-SUMIF(INDIRECT(O$3),'Struktur Vorjahr'!$D220,INDIRECT(O$4))+SUMIF(INDIRECT(O$3),'Struktur Vorjahr'!$D220,INDIRECT(O$5)))</f>
        <v>252.72</v>
      </c>
      <c r="P220" s="593">
        <f ca="1">$E220*(-SUMIF(INDIRECT(P$3),'Struktur Vorjahr'!$D220,INDIRECT(P$4))+SUMIF(INDIRECT(P$3),'Struktur Vorjahr'!$D220,INDIRECT(P$5)))</f>
        <v>458.66</v>
      </c>
      <c r="Q220" s="593">
        <f ca="1">$E220*(-SUMIF(INDIRECT(Q$3),'Struktur Vorjahr'!$D220,INDIRECT(Q$4))+SUMIF(INDIRECT(Q$3),'Struktur Vorjahr'!$D220,INDIRECT(Q$5)))</f>
        <v>0</v>
      </c>
      <c r="R220" s="593">
        <f ca="1">$E220*(-SUMIF(INDIRECT(R$3),'Struktur Vorjahr'!$D220,INDIRECT(R$4))+SUMIF(INDIRECT(R$3),'Struktur Vorjahr'!$D220,INDIRECT(R$5)))</f>
        <v>0</v>
      </c>
      <c r="S220" s="593">
        <f ca="1">$E220*(-SUMIF(INDIRECT(S$3),'Struktur Vorjahr'!$D220,INDIRECT(S$4))+SUMIF(INDIRECT(S$3),'Struktur Vorjahr'!$D220,INDIRECT(S$5)))</f>
        <v>308.99</v>
      </c>
      <c r="T220" s="593">
        <f ca="1">$E220*(-SUMIF(INDIRECT(T$3),'Struktur Vorjahr'!$D220,INDIRECT(T$4))+SUMIF(INDIRECT(T$3),'Struktur Vorjahr'!$D220,INDIRECT(T$5)))</f>
        <v>573.35</v>
      </c>
      <c r="U220" s="593">
        <f ca="1">$E220*(-SUMIF(INDIRECT(U$3),'Struktur Vorjahr'!$D220,INDIRECT(U$4))+SUMIF(INDIRECT(U$3),'Struktur Vorjahr'!$D220,INDIRECT(U$5)))</f>
        <v>922.47</v>
      </c>
      <c r="V220" s="593">
        <f ca="1">$E220*(-SUMIF(INDIRECT(V$3),'Struktur Vorjahr'!$D220,INDIRECT(V$4))+SUMIF(INDIRECT(V$3),'Struktur Vorjahr'!$D220,INDIRECT(V$5)))</f>
        <v>1213.67</v>
      </c>
      <c r="W220" s="593">
        <f ca="1">$E220*(-SUMIF(INDIRECT(W$3),'Struktur Vorjahr'!$D220,INDIRECT(W$4))+SUMIF(INDIRECT(W$3),'Struktur Vorjahr'!$D220,INDIRECT(W$5)))</f>
        <v>1613.07</v>
      </c>
      <c r="X220" s="593">
        <f ca="1">$E220*(-SUMIF(INDIRECT(X$3),'Struktur Vorjahr'!$D220,INDIRECT(X$4))+SUMIF(INDIRECT(X$3),'Struktur Vorjahr'!$D220,INDIRECT(X$5)))</f>
        <v>1988.64</v>
      </c>
      <c r="Y220" s="593">
        <f ca="1">$E220*(-SUMIF(INDIRECT(Y$3),'Struktur Vorjahr'!$D220,INDIRECT(Y$4))+SUMIF(INDIRECT(Y$3),'Struktur Vorjahr'!$D220,INDIRECT(Y$5)))</f>
        <v>2420.37</v>
      </c>
      <c r="Z220" s="593">
        <f ca="1">$E220*(-SUMIF(INDIRECT(Z$3),'Struktur Vorjahr'!$D220,INDIRECT(Z$4))+SUMIF(INDIRECT(Z$3),'Struktur Vorjahr'!$D220,INDIRECT(Z$5)))</f>
        <v>2812.71</v>
      </c>
      <c r="AA220" s="593">
        <f ca="1">$E220*(-SUMIF(INDIRECT(AA$3),'Struktur Vorjahr'!$D220,INDIRECT(AA$4))+SUMIF(INDIRECT(AA$3),'Struktur Vorjahr'!$D220,INDIRECT(AA$5)))</f>
        <v>3065.43</v>
      </c>
      <c r="AB220" s="593">
        <f ca="1">$E220*(-SUMIF(INDIRECT(AB$3),'Struktur Vorjahr'!$D220,INDIRECT(AB$4))+SUMIF(INDIRECT(AB$3),'Struktur Vorjahr'!$D220,INDIRECT(AB$5)))</f>
        <v>3524.09</v>
      </c>
      <c r="AC220" s="593">
        <f ca="1">$E220*(-SUMIF(INDIRECT(AC$3),'Struktur Vorjahr'!$D220,INDIRECT(AC$4))+SUMIF(INDIRECT(AC$3),'Struktur Vorjahr'!$D220,INDIRECT(AC$5)))</f>
        <v>0</v>
      </c>
      <c r="AD220" s="593">
        <f ca="1">$E220*(-SUMIF(INDIRECT(AD$3),'Struktur Vorjahr'!$D220,INDIRECT(AD$4))+SUMIF(INDIRECT(AD$3),'Struktur Vorjahr'!$D220,INDIRECT(AD$5)))</f>
        <v>0</v>
      </c>
      <c r="AE220" s="593">
        <f t="shared" ref="AE220:AE227" ca="1" si="107">G220</f>
        <v>308.99</v>
      </c>
      <c r="AF220" s="593">
        <f t="shared" ref="AF220:AP227" ca="1" si="108">H220+AE220</f>
        <v>573.35</v>
      </c>
      <c r="AG220" s="593">
        <f t="shared" ca="1" si="108"/>
        <v>922.47</v>
      </c>
      <c r="AH220" s="593">
        <f t="shared" ca="1" si="108"/>
        <v>1213.67</v>
      </c>
      <c r="AI220" s="593">
        <f t="shared" ca="1" si="108"/>
        <v>1613.0700000000002</v>
      </c>
      <c r="AJ220" s="593">
        <f t="shared" ca="1" si="108"/>
        <v>1988.64</v>
      </c>
      <c r="AK220" s="593">
        <f t="shared" ca="1" si="108"/>
        <v>2420.37</v>
      </c>
      <c r="AL220" s="593">
        <f t="shared" ca="1" si="108"/>
        <v>2812.71</v>
      </c>
      <c r="AM220" s="593">
        <f t="shared" ca="1" si="108"/>
        <v>3065.43</v>
      </c>
      <c r="AN220" s="593">
        <f t="shared" ca="1" si="108"/>
        <v>3524.0899999999997</v>
      </c>
      <c r="AO220" s="593">
        <f t="shared" ca="1" si="108"/>
        <v>3524.0899999999997</v>
      </c>
      <c r="AP220" s="593">
        <f t="shared" ca="1" si="108"/>
        <v>3524.0899999999997</v>
      </c>
    </row>
    <row r="221" spans="1:42" s="594" customFormat="1" ht="11.25" outlineLevel="1" x14ac:dyDescent="0.2">
      <c r="A221" s="590"/>
      <c r="B221" s="591" t="str">
        <f>IF(D221&lt;&gt;"",
IF(ISERROR(MATCH(D221,'Ist Vorjahr Monat 01'!A:A,0))=FALSE,INDEX('Ist Vorjahr Monat 01'!B:B,MATCH(D221,'Ist Vorjahr Monat 01'!A:A,0)),
IF(ISERROR(MATCH(D221,'Ist Vorjahr Monat 02'!A:A,0))=FALSE,INDEX('Ist Vorjahr Monat 02'!B:B,MATCH(D221,'Ist Vorjahr Monat 02'!A:A,0)),
IF(ISERROR(MATCH(D221,'Ist Vorjahr Monat 03'!A:A,0))=FALSE,INDEX('Ist Vorjahr Monat 03'!B:B,MATCH(D221,'Ist Vorjahr Monat 03'!A:A,0)),
IF(ISERROR(MATCH(D221,'Ist Vorjahr Monat 04'!A:A,0))=FALSE,INDEX('Ist Vorjahr Monat 04'!B:B,MATCH(D221,'Ist Vorjahr Monat 04'!A:A,0)),
IF(ISERROR(MATCH(D221,'Ist Vorjahr Monat 05'!A:A,0))=FALSE,INDEX('Ist Vorjahr Monat 05'!B:B,MATCH(D221,'Ist Vorjahr Monat 05'!A:A,0)),
IF(ISERROR(MATCH(D221,'Ist Vorjahr Monat 06'!A:A,0))=FALSE,INDEX('Ist Vorjahr Monat 06'!B:B,MATCH(D221,'Ist Vorjahr Monat 06'!A:A,0)),
IF(ISERROR(MATCH(D221,'Ist Vorjahr Monat 07'!A:A,0))=FALSE,INDEX('Ist Vorjahr Monat 07'!B:B,MATCH(D221,'Ist Vorjahr Monat 07'!A:A,0)),
IF(ISERROR(MATCH(D221,'Ist Vorjahr Monat 08'!A:A,0))=FALSE,INDEX('Ist Vorjahr Monat 08'!B:B,MATCH(D221,'Ist Vorjahr Monat 08'!A:A,0)),
IF(ISERROR(MATCH(D221,'Ist Vorjahr Monat 09'!A:A,0))=FALSE,INDEX('Ist Vorjahr Monat 09'!B:B,MATCH(D221,'Ist Vorjahr Monat 09'!A:A,0)),
IF(ISERROR(MATCH(D221,'Ist Vorjahr Monat 10'!A:A,0))=FALSE,INDEX('Ist Vorjahr Monat 10'!B:B,MATCH(D221,'Ist Vorjahr Monat 10'!A:A,0)),
IF(ISERROR(MATCH(D221,'Ist Vorjahr Monat 11'!A:A,0))=FALSE,INDEX('Ist Vorjahr Monat 11'!B:B,MATCH(D221,'Ist Vorjahr Monat 11'!A:A,0)),
IF(ISERROR(MATCH(D221,'Ist Vorjahr Monat 12'!A:A,0))=FALSE,INDEX('Ist Vorjahr Monat 12'!B:B,MATCH(D221,'Ist Vorjahr Monat 12'!A:A,0)),
"{Konto unbekannt}"
)))))))))))),"")</f>
        <v>Telefax und Internetkosten</v>
      </c>
      <c r="C221" s="591"/>
      <c r="D221" s="590">
        <v>4925</v>
      </c>
      <c r="E221" s="592">
        <f t="shared" si="105"/>
        <v>1</v>
      </c>
      <c r="F221" s="590"/>
      <c r="G221" s="593">
        <f ca="1">$E221*(-SUMIF(INDIRECT(G$3),'Struktur Vorjahr'!$D221,INDIRECT(G$4))+SUMIF(INDIRECT(G$3),'Struktur Vorjahr'!$D221,INDIRECT(G$5)))</f>
        <v>0</v>
      </c>
      <c r="H221" s="593">
        <f ca="1">$E221*(-SUMIF(INDIRECT(H$3),'Struktur Vorjahr'!$D221,INDIRECT(H$4))+SUMIF(INDIRECT(H$3),'Struktur Vorjahr'!$D221,INDIRECT(H$5)))</f>
        <v>0</v>
      </c>
      <c r="I221" s="593">
        <f ca="1">$E221*(-SUMIF(INDIRECT(I$3),'Struktur Vorjahr'!$D221,INDIRECT(I$4))+SUMIF(INDIRECT(I$3),'Struktur Vorjahr'!$D221,INDIRECT(I$5)))</f>
        <v>0</v>
      </c>
      <c r="J221" s="593">
        <f ca="1">$E221*(-SUMIF(INDIRECT(J$3),'Struktur Vorjahr'!$D221,INDIRECT(J$4))+SUMIF(INDIRECT(J$3),'Struktur Vorjahr'!$D221,INDIRECT(J$5)))</f>
        <v>0</v>
      </c>
      <c r="K221" s="593">
        <f ca="1">$E221*(-SUMIF(INDIRECT(K$3),'Struktur Vorjahr'!$D221,INDIRECT(K$4))+SUMIF(INDIRECT(K$3),'Struktur Vorjahr'!$D221,INDIRECT(K$5)))</f>
        <v>0</v>
      </c>
      <c r="L221" s="593">
        <f ca="1">$E221*(-SUMIF(INDIRECT(L$3),'Struktur Vorjahr'!$D221,INDIRECT(L$4))+SUMIF(INDIRECT(L$3),'Struktur Vorjahr'!$D221,INDIRECT(L$5)))</f>
        <v>0</v>
      </c>
      <c r="M221" s="593">
        <f ca="1">$E221*(-SUMIF(INDIRECT(M$3),'Struktur Vorjahr'!$D221,INDIRECT(M$4))+SUMIF(INDIRECT(M$3),'Struktur Vorjahr'!$D221,INDIRECT(M$5)))</f>
        <v>0</v>
      </c>
      <c r="N221" s="593">
        <f ca="1">$E221*(-SUMIF(INDIRECT(N$3),'Struktur Vorjahr'!$D221,INDIRECT(N$4))+SUMIF(INDIRECT(N$3),'Struktur Vorjahr'!$D221,INDIRECT(N$5)))</f>
        <v>0.84</v>
      </c>
      <c r="O221" s="593">
        <f ca="1">$E221*(-SUMIF(INDIRECT(O$3),'Struktur Vorjahr'!$D221,INDIRECT(O$4))+SUMIF(INDIRECT(O$3),'Struktur Vorjahr'!$D221,INDIRECT(O$5)))</f>
        <v>0</v>
      </c>
      <c r="P221" s="593">
        <f ca="1">$E221*(-SUMIF(INDIRECT(P$3),'Struktur Vorjahr'!$D221,INDIRECT(P$4))+SUMIF(INDIRECT(P$3),'Struktur Vorjahr'!$D221,INDIRECT(P$5)))</f>
        <v>0</v>
      </c>
      <c r="Q221" s="593">
        <f ca="1">$E221*(-SUMIF(INDIRECT(Q$3),'Struktur Vorjahr'!$D221,INDIRECT(Q$4))+SUMIF(INDIRECT(Q$3),'Struktur Vorjahr'!$D221,INDIRECT(Q$5)))</f>
        <v>0</v>
      </c>
      <c r="R221" s="593">
        <f ca="1">$E221*(-SUMIF(INDIRECT(R$3),'Struktur Vorjahr'!$D221,INDIRECT(R$4))+SUMIF(INDIRECT(R$3),'Struktur Vorjahr'!$D221,INDIRECT(R$5)))</f>
        <v>0</v>
      </c>
      <c r="S221" s="593">
        <f ca="1">$E221*(-SUMIF(INDIRECT(S$3),'Struktur Vorjahr'!$D221,INDIRECT(S$4))+SUMIF(INDIRECT(S$3),'Struktur Vorjahr'!$D221,INDIRECT(S$5)))</f>
        <v>0</v>
      </c>
      <c r="T221" s="593">
        <f ca="1">$E221*(-SUMIF(INDIRECT(T$3),'Struktur Vorjahr'!$D221,INDIRECT(T$4))+SUMIF(INDIRECT(T$3),'Struktur Vorjahr'!$D221,INDIRECT(T$5)))</f>
        <v>0</v>
      </c>
      <c r="U221" s="593">
        <f ca="1">$E221*(-SUMIF(INDIRECT(U$3),'Struktur Vorjahr'!$D221,INDIRECT(U$4))+SUMIF(INDIRECT(U$3),'Struktur Vorjahr'!$D221,INDIRECT(U$5)))</f>
        <v>0</v>
      </c>
      <c r="V221" s="593">
        <f ca="1">$E221*(-SUMIF(INDIRECT(V$3),'Struktur Vorjahr'!$D221,INDIRECT(V$4))+SUMIF(INDIRECT(V$3),'Struktur Vorjahr'!$D221,INDIRECT(V$5)))</f>
        <v>0</v>
      </c>
      <c r="W221" s="593">
        <f ca="1">$E221*(-SUMIF(INDIRECT(W$3),'Struktur Vorjahr'!$D221,INDIRECT(W$4))+SUMIF(INDIRECT(W$3),'Struktur Vorjahr'!$D221,INDIRECT(W$5)))</f>
        <v>0</v>
      </c>
      <c r="X221" s="593">
        <f ca="1">$E221*(-SUMIF(INDIRECT(X$3),'Struktur Vorjahr'!$D221,INDIRECT(X$4))+SUMIF(INDIRECT(X$3),'Struktur Vorjahr'!$D221,INDIRECT(X$5)))</f>
        <v>0</v>
      </c>
      <c r="Y221" s="593">
        <f ca="1">$E221*(-SUMIF(INDIRECT(Y$3),'Struktur Vorjahr'!$D221,INDIRECT(Y$4))+SUMIF(INDIRECT(Y$3),'Struktur Vorjahr'!$D221,INDIRECT(Y$5)))</f>
        <v>0</v>
      </c>
      <c r="Z221" s="593">
        <f ca="1">$E221*(-SUMIF(INDIRECT(Z$3),'Struktur Vorjahr'!$D221,INDIRECT(Z$4))+SUMIF(INDIRECT(Z$3),'Struktur Vorjahr'!$D221,INDIRECT(Z$5)))</f>
        <v>0.84</v>
      </c>
      <c r="AA221" s="593">
        <f ca="1">$E221*(-SUMIF(INDIRECT(AA$3),'Struktur Vorjahr'!$D221,INDIRECT(AA$4))+SUMIF(INDIRECT(AA$3),'Struktur Vorjahr'!$D221,INDIRECT(AA$5)))</f>
        <v>0.84</v>
      </c>
      <c r="AB221" s="593">
        <f ca="1">$E221*(-SUMIF(INDIRECT(AB$3),'Struktur Vorjahr'!$D221,INDIRECT(AB$4))+SUMIF(INDIRECT(AB$3),'Struktur Vorjahr'!$D221,INDIRECT(AB$5)))</f>
        <v>0.84</v>
      </c>
      <c r="AC221" s="593">
        <f ca="1">$E221*(-SUMIF(INDIRECT(AC$3),'Struktur Vorjahr'!$D221,INDIRECT(AC$4))+SUMIF(INDIRECT(AC$3),'Struktur Vorjahr'!$D221,INDIRECT(AC$5)))</f>
        <v>0</v>
      </c>
      <c r="AD221" s="593">
        <f ca="1">$E221*(-SUMIF(INDIRECT(AD$3),'Struktur Vorjahr'!$D221,INDIRECT(AD$4))+SUMIF(INDIRECT(AD$3),'Struktur Vorjahr'!$D221,INDIRECT(AD$5)))</f>
        <v>0</v>
      </c>
      <c r="AE221" s="593">
        <f t="shared" ca="1" si="107"/>
        <v>0</v>
      </c>
      <c r="AF221" s="593">
        <f t="shared" ca="1" si="108"/>
        <v>0</v>
      </c>
      <c r="AG221" s="593">
        <f t="shared" ca="1" si="108"/>
        <v>0</v>
      </c>
      <c r="AH221" s="593">
        <f t="shared" ca="1" si="108"/>
        <v>0</v>
      </c>
      <c r="AI221" s="593">
        <f t="shared" ca="1" si="108"/>
        <v>0</v>
      </c>
      <c r="AJ221" s="593">
        <f t="shared" ca="1" si="108"/>
        <v>0</v>
      </c>
      <c r="AK221" s="593">
        <f t="shared" ca="1" si="108"/>
        <v>0</v>
      </c>
      <c r="AL221" s="593">
        <f t="shared" ca="1" si="108"/>
        <v>0.84</v>
      </c>
      <c r="AM221" s="593">
        <f t="shared" ca="1" si="108"/>
        <v>0.84</v>
      </c>
      <c r="AN221" s="593">
        <f t="shared" ca="1" si="108"/>
        <v>0.84</v>
      </c>
      <c r="AO221" s="593">
        <f t="shared" ca="1" si="108"/>
        <v>0.84</v>
      </c>
      <c r="AP221" s="593">
        <f t="shared" ca="1" si="108"/>
        <v>0.84</v>
      </c>
    </row>
    <row r="222" spans="1:42" s="594" customFormat="1" ht="11.25" outlineLevel="1" x14ac:dyDescent="0.2">
      <c r="A222" s="590"/>
      <c r="B222" s="591" t="str">
        <f>IF(D222&lt;&gt;"",
IF(ISERROR(MATCH(D222,'Ist Vorjahr Monat 01'!A:A,0))=FALSE,INDEX('Ist Vorjahr Monat 01'!B:B,MATCH(D222,'Ist Vorjahr Monat 01'!A:A,0)),
IF(ISERROR(MATCH(D222,'Ist Vorjahr Monat 02'!A:A,0))=FALSE,INDEX('Ist Vorjahr Monat 02'!B:B,MATCH(D222,'Ist Vorjahr Monat 02'!A:A,0)),
IF(ISERROR(MATCH(D222,'Ist Vorjahr Monat 03'!A:A,0))=FALSE,INDEX('Ist Vorjahr Monat 03'!B:B,MATCH(D222,'Ist Vorjahr Monat 03'!A:A,0)),
IF(ISERROR(MATCH(D222,'Ist Vorjahr Monat 04'!A:A,0))=FALSE,INDEX('Ist Vorjahr Monat 04'!B:B,MATCH(D222,'Ist Vorjahr Monat 04'!A:A,0)),
IF(ISERROR(MATCH(D222,'Ist Vorjahr Monat 05'!A:A,0))=FALSE,INDEX('Ist Vorjahr Monat 05'!B:B,MATCH(D222,'Ist Vorjahr Monat 05'!A:A,0)),
IF(ISERROR(MATCH(D222,'Ist Vorjahr Monat 06'!A:A,0))=FALSE,INDEX('Ist Vorjahr Monat 06'!B:B,MATCH(D222,'Ist Vorjahr Monat 06'!A:A,0)),
IF(ISERROR(MATCH(D222,'Ist Vorjahr Monat 07'!A:A,0))=FALSE,INDEX('Ist Vorjahr Monat 07'!B:B,MATCH(D222,'Ist Vorjahr Monat 07'!A:A,0)),
IF(ISERROR(MATCH(D222,'Ist Vorjahr Monat 08'!A:A,0))=FALSE,INDEX('Ist Vorjahr Monat 08'!B:B,MATCH(D222,'Ist Vorjahr Monat 08'!A:A,0)),
IF(ISERROR(MATCH(D222,'Ist Vorjahr Monat 09'!A:A,0))=FALSE,INDEX('Ist Vorjahr Monat 09'!B:B,MATCH(D222,'Ist Vorjahr Monat 09'!A:A,0)),
IF(ISERROR(MATCH(D222,'Ist Vorjahr Monat 10'!A:A,0))=FALSE,INDEX('Ist Vorjahr Monat 10'!B:B,MATCH(D222,'Ist Vorjahr Monat 10'!A:A,0)),
IF(ISERROR(MATCH(D222,'Ist Vorjahr Monat 11'!A:A,0))=FALSE,INDEX('Ist Vorjahr Monat 11'!B:B,MATCH(D222,'Ist Vorjahr Monat 11'!A:A,0)),
IF(ISERROR(MATCH(D222,'Ist Vorjahr Monat 12'!A:A,0))=FALSE,INDEX('Ist Vorjahr Monat 12'!B:B,MATCH(D222,'Ist Vorjahr Monat 12'!A:A,0)),
"{Konto unbekannt}"
)))))))))))),"")</f>
        <v/>
      </c>
      <c r="C222" s="591"/>
      <c r="D222" s="590"/>
      <c r="E222" s="592">
        <f t="shared" si="105"/>
        <v>1</v>
      </c>
      <c r="F222" s="590"/>
      <c r="G222" s="593">
        <f ca="1">$E222*(-SUMIF(INDIRECT(G$3),'Struktur Vorjahr'!$D222,INDIRECT(G$4))+SUMIF(INDIRECT(G$3),'Struktur Vorjahr'!$D222,INDIRECT(G$5)))</f>
        <v>0</v>
      </c>
      <c r="H222" s="593">
        <f ca="1">$E222*(-SUMIF(INDIRECT(H$3),'Struktur Vorjahr'!$D222,INDIRECT(H$4))+SUMIF(INDIRECT(H$3),'Struktur Vorjahr'!$D222,INDIRECT(H$5)))</f>
        <v>0</v>
      </c>
      <c r="I222" s="593">
        <f ca="1">$E222*(-SUMIF(INDIRECT(I$3),'Struktur Vorjahr'!$D222,INDIRECT(I$4))+SUMIF(INDIRECT(I$3),'Struktur Vorjahr'!$D222,INDIRECT(I$5)))</f>
        <v>0</v>
      </c>
      <c r="J222" s="593">
        <f ca="1">$E222*(-SUMIF(INDIRECT(J$3),'Struktur Vorjahr'!$D222,INDIRECT(J$4))+SUMIF(INDIRECT(J$3),'Struktur Vorjahr'!$D222,INDIRECT(J$5)))</f>
        <v>0</v>
      </c>
      <c r="K222" s="593">
        <f ca="1">$E222*(-SUMIF(INDIRECT(K$3),'Struktur Vorjahr'!$D222,INDIRECT(K$4))+SUMIF(INDIRECT(K$3),'Struktur Vorjahr'!$D222,INDIRECT(K$5)))</f>
        <v>0</v>
      </c>
      <c r="L222" s="593">
        <f ca="1">$E222*(-SUMIF(INDIRECT(L$3),'Struktur Vorjahr'!$D222,INDIRECT(L$4))+SUMIF(INDIRECT(L$3),'Struktur Vorjahr'!$D222,INDIRECT(L$5)))</f>
        <v>0</v>
      </c>
      <c r="M222" s="593">
        <f ca="1">$E222*(-SUMIF(INDIRECT(M$3),'Struktur Vorjahr'!$D222,INDIRECT(M$4))+SUMIF(INDIRECT(M$3),'Struktur Vorjahr'!$D222,INDIRECT(M$5)))</f>
        <v>0</v>
      </c>
      <c r="N222" s="593">
        <f ca="1">$E222*(-SUMIF(INDIRECT(N$3),'Struktur Vorjahr'!$D222,INDIRECT(N$4))+SUMIF(INDIRECT(N$3),'Struktur Vorjahr'!$D222,INDIRECT(N$5)))</f>
        <v>0</v>
      </c>
      <c r="O222" s="593">
        <f ca="1">$E222*(-SUMIF(INDIRECT(O$3),'Struktur Vorjahr'!$D222,INDIRECT(O$4))+SUMIF(INDIRECT(O$3),'Struktur Vorjahr'!$D222,INDIRECT(O$5)))</f>
        <v>0</v>
      </c>
      <c r="P222" s="593">
        <f ca="1">$E222*(-SUMIF(INDIRECT(P$3),'Struktur Vorjahr'!$D222,INDIRECT(P$4))+SUMIF(INDIRECT(P$3),'Struktur Vorjahr'!$D222,INDIRECT(P$5)))</f>
        <v>0</v>
      </c>
      <c r="Q222" s="593">
        <f ca="1">$E222*(-SUMIF(INDIRECT(Q$3),'Struktur Vorjahr'!$D222,INDIRECT(Q$4))+SUMIF(INDIRECT(Q$3),'Struktur Vorjahr'!$D222,INDIRECT(Q$5)))</f>
        <v>0</v>
      </c>
      <c r="R222" s="593">
        <f ca="1">$E222*(-SUMIF(INDIRECT(R$3),'Struktur Vorjahr'!$D222,INDIRECT(R$4))+SUMIF(INDIRECT(R$3),'Struktur Vorjahr'!$D222,INDIRECT(R$5)))</f>
        <v>0</v>
      </c>
      <c r="S222" s="593">
        <f ca="1">$E222*(-SUMIF(INDIRECT(S$3),'Struktur Vorjahr'!$D222,INDIRECT(S$4))+SUMIF(INDIRECT(S$3),'Struktur Vorjahr'!$D222,INDIRECT(S$5)))</f>
        <v>0</v>
      </c>
      <c r="T222" s="593">
        <f ca="1">$E222*(-SUMIF(INDIRECT(T$3),'Struktur Vorjahr'!$D222,INDIRECT(T$4))+SUMIF(INDIRECT(T$3),'Struktur Vorjahr'!$D222,INDIRECT(T$5)))</f>
        <v>0</v>
      </c>
      <c r="U222" s="593">
        <f ca="1">$E222*(-SUMIF(INDIRECT(U$3),'Struktur Vorjahr'!$D222,INDIRECT(U$4))+SUMIF(INDIRECT(U$3),'Struktur Vorjahr'!$D222,INDIRECT(U$5)))</f>
        <v>0</v>
      </c>
      <c r="V222" s="593">
        <f ca="1">$E222*(-SUMIF(INDIRECT(V$3),'Struktur Vorjahr'!$D222,INDIRECT(V$4))+SUMIF(INDIRECT(V$3),'Struktur Vorjahr'!$D222,INDIRECT(V$5)))</f>
        <v>0</v>
      </c>
      <c r="W222" s="593">
        <f ca="1">$E222*(-SUMIF(INDIRECT(W$3),'Struktur Vorjahr'!$D222,INDIRECT(W$4))+SUMIF(INDIRECT(W$3),'Struktur Vorjahr'!$D222,INDIRECT(W$5)))</f>
        <v>0</v>
      </c>
      <c r="X222" s="593">
        <f ca="1">$E222*(-SUMIF(INDIRECT(X$3),'Struktur Vorjahr'!$D222,INDIRECT(X$4))+SUMIF(INDIRECT(X$3),'Struktur Vorjahr'!$D222,INDIRECT(X$5)))</f>
        <v>0</v>
      </c>
      <c r="Y222" s="593">
        <f ca="1">$E222*(-SUMIF(INDIRECT(Y$3),'Struktur Vorjahr'!$D222,INDIRECT(Y$4))+SUMIF(INDIRECT(Y$3),'Struktur Vorjahr'!$D222,INDIRECT(Y$5)))</f>
        <v>0</v>
      </c>
      <c r="Z222" s="593">
        <f ca="1">$E222*(-SUMIF(INDIRECT(Z$3),'Struktur Vorjahr'!$D222,INDIRECT(Z$4))+SUMIF(INDIRECT(Z$3),'Struktur Vorjahr'!$D222,INDIRECT(Z$5)))</f>
        <v>0</v>
      </c>
      <c r="AA222" s="593">
        <f ca="1">$E222*(-SUMIF(INDIRECT(AA$3),'Struktur Vorjahr'!$D222,INDIRECT(AA$4))+SUMIF(INDIRECT(AA$3),'Struktur Vorjahr'!$D222,INDIRECT(AA$5)))</f>
        <v>0</v>
      </c>
      <c r="AB222" s="593">
        <f ca="1">$E222*(-SUMIF(INDIRECT(AB$3),'Struktur Vorjahr'!$D222,INDIRECT(AB$4))+SUMIF(INDIRECT(AB$3),'Struktur Vorjahr'!$D222,INDIRECT(AB$5)))</f>
        <v>0</v>
      </c>
      <c r="AC222" s="593">
        <f ca="1">$E222*(-SUMIF(INDIRECT(AC$3),'Struktur Vorjahr'!$D222,INDIRECT(AC$4))+SUMIF(INDIRECT(AC$3),'Struktur Vorjahr'!$D222,INDIRECT(AC$5)))</f>
        <v>0</v>
      </c>
      <c r="AD222" s="593">
        <f ca="1">$E222*(-SUMIF(INDIRECT(AD$3),'Struktur Vorjahr'!$D222,INDIRECT(AD$4))+SUMIF(INDIRECT(AD$3),'Struktur Vorjahr'!$D222,INDIRECT(AD$5)))</f>
        <v>0</v>
      </c>
      <c r="AE222" s="593">
        <f t="shared" ca="1" si="107"/>
        <v>0</v>
      </c>
      <c r="AF222" s="593">
        <f t="shared" ca="1" si="108"/>
        <v>0</v>
      </c>
      <c r="AG222" s="593">
        <f t="shared" ca="1" si="108"/>
        <v>0</v>
      </c>
      <c r="AH222" s="593">
        <f t="shared" ca="1" si="108"/>
        <v>0</v>
      </c>
      <c r="AI222" s="593">
        <f t="shared" ca="1" si="108"/>
        <v>0</v>
      </c>
      <c r="AJ222" s="593">
        <f t="shared" ca="1" si="108"/>
        <v>0</v>
      </c>
      <c r="AK222" s="593">
        <f t="shared" ca="1" si="108"/>
        <v>0</v>
      </c>
      <c r="AL222" s="593">
        <f t="shared" ca="1" si="108"/>
        <v>0</v>
      </c>
      <c r="AM222" s="593">
        <f t="shared" ca="1" si="108"/>
        <v>0</v>
      </c>
      <c r="AN222" s="593">
        <f t="shared" ca="1" si="108"/>
        <v>0</v>
      </c>
      <c r="AO222" s="593">
        <f t="shared" ca="1" si="108"/>
        <v>0</v>
      </c>
      <c r="AP222" s="593">
        <f t="shared" ca="1" si="108"/>
        <v>0</v>
      </c>
    </row>
    <row r="223" spans="1:42" s="594" customFormat="1" ht="11.25" outlineLevel="1" x14ac:dyDescent="0.2">
      <c r="A223" s="590"/>
      <c r="B223" s="591" t="str">
        <f>IF(D223&lt;&gt;"",
IF(ISERROR(MATCH(D223,'Ist Vorjahr Monat 01'!A:A,0))=FALSE,INDEX('Ist Vorjahr Monat 01'!B:B,MATCH(D223,'Ist Vorjahr Monat 01'!A:A,0)),
IF(ISERROR(MATCH(D223,'Ist Vorjahr Monat 02'!A:A,0))=FALSE,INDEX('Ist Vorjahr Monat 02'!B:B,MATCH(D223,'Ist Vorjahr Monat 02'!A:A,0)),
IF(ISERROR(MATCH(D223,'Ist Vorjahr Monat 03'!A:A,0))=FALSE,INDEX('Ist Vorjahr Monat 03'!B:B,MATCH(D223,'Ist Vorjahr Monat 03'!A:A,0)),
IF(ISERROR(MATCH(D223,'Ist Vorjahr Monat 04'!A:A,0))=FALSE,INDEX('Ist Vorjahr Monat 04'!B:B,MATCH(D223,'Ist Vorjahr Monat 04'!A:A,0)),
IF(ISERROR(MATCH(D223,'Ist Vorjahr Monat 05'!A:A,0))=FALSE,INDEX('Ist Vorjahr Monat 05'!B:B,MATCH(D223,'Ist Vorjahr Monat 05'!A:A,0)),
IF(ISERROR(MATCH(D223,'Ist Vorjahr Monat 06'!A:A,0))=FALSE,INDEX('Ist Vorjahr Monat 06'!B:B,MATCH(D223,'Ist Vorjahr Monat 06'!A:A,0)),
IF(ISERROR(MATCH(D223,'Ist Vorjahr Monat 07'!A:A,0))=FALSE,INDEX('Ist Vorjahr Monat 07'!B:B,MATCH(D223,'Ist Vorjahr Monat 07'!A:A,0)),
IF(ISERROR(MATCH(D223,'Ist Vorjahr Monat 08'!A:A,0))=FALSE,INDEX('Ist Vorjahr Monat 08'!B:B,MATCH(D223,'Ist Vorjahr Monat 08'!A:A,0)),
IF(ISERROR(MATCH(D223,'Ist Vorjahr Monat 09'!A:A,0))=FALSE,INDEX('Ist Vorjahr Monat 09'!B:B,MATCH(D223,'Ist Vorjahr Monat 09'!A:A,0)),
IF(ISERROR(MATCH(D223,'Ist Vorjahr Monat 10'!A:A,0))=FALSE,INDEX('Ist Vorjahr Monat 10'!B:B,MATCH(D223,'Ist Vorjahr Monat 10'!A:A,0)),
IF(ISERROR(MATCH(D223,'Ist Vorjahr Monat 11'!A:A,0))=FALSE,INDEX('Ist Vorjahr Monat 11'!B:B,MATCH(D223,'Ist Vorjahr Monat 11'!A:A,0)),
IF(ISERROR(MATCH(D223,'Ist Vorjahr Monat 12'!A:A,0))=FALSE,INDEX('Ist Vorjahr Monat 12'!B:B,MATCH(D223,'Ist Vorjahr Monat 12'!A:A,0)),
"{Konto unbekannt}"
)))))))))))),"")</f>
        <v/>
      </c>
      <c r="C223" s="591"/>
      <c r="D223" s="590"/>
      <c r="E223" s="592">
        <f t="shared" si="105"/>
        <v>1</v>
      </c>
      <c r="F223" s="590"/>
      <c r="G223" s="593">
        <f ca="1">$E223*(-SUMIF(INDIRECT(G$3),'Struktur Vorjahr'!$D223,INDIRECT(G$4))+SUMIF(INDIRECT(G$3),'Struktur Vorjahr'!$D223,INDIRECT(G$5)))</f>
        <v>0</v>
      </c>
      <c r="H223" s="593">
        <f ca="1">$E223*(-SUMIF(INDIRECT(H$3),'Struktur Vorjahr'!$D223,INDIRECT(H$4))+SUMIF(INDIRECT(H$3),'Struktur Vorjahr'!$D223,INDIRECT(H$5)))</f>
        <v>0</v>
      </c>
      <c r="I223" s="593">
        <f ca="1">$E223*(-SUMIF(INDIRECT(I$3),'Struktur Vorjahr'!$D223,INDIRECT(I$4))+SUMIF(INDIRECT(I$3),'Struktur Vorjahr'!$D223,INDIRECT(I$5)))</f>
        <v>0</v>
      </c>
      <c r="J223" s="593">
        <f ca="1">$E223*(-SUMIF(INDIRECT(J$3),'Struktur Vorjahr'!$D223,INDIRECT(J$4))+SUMIF(INDIRECT(J$3),'Struktur Vorjahr'!$D223,INDIRECT(J$5)))</f>
        <v>0</v>
      </c>
      <c r="K223" s="593">
        <f ca="1">$E223*(-SUMIF(INDIRECT(K$3),'Struktur Vorjahr'!$D223,INDIRECT(K$4))+SUMIF(INDIRECT(K$3),'Struktur Vorjahr'!$D223,INDIRECT(K$5)))</f>
        <v>0</v>
      </c>
      <c r="L223" s="593">
        <f ca="1">$E223*(-SUMIF(INDIRECT(L$3),'Struktur Vorjahr'!$D223,INDIRECT(L$4))+SUMIF(INDIRECT(L$3),'Struktur Vorjahr'!$D223,INDIRECT(L$5)))</f>
        <v>0</v>
      </c>
      <c r="M223" s="593">
        <f ca="1">$E223*(-SUMIF(INDIRECT(M$3),'Struktur Vorjahr'!$D223,INDIRECT(M$4))+SUMIF(INDIRECT(M$3),'Struktur Vorjahr'!$D223,INDIRECT(M$5)))</f>
        <v>0</v>
      </c>
      <c r="N223" s="593">
        <f ca="1">$E223*(-SUMIF(INDIRECT(N$3),'Struktur Vorjahr'!$D223,INDIRECT(N$4))+SUMIF(INDIRECT(N$3),'Struktur Vorjahr'!$D223,INDIRECT(N$5)))</f>
        <v>0</v>
      </c>
      <c r="O223" s="593">
        <f ca="1">$E223*(-SUMIF(INDIRECT(O$3),'Struktur Vorjahr'!$D223,INDIRECT(O$4))+SUMIF(INDIRECT(O$3),'Struktur Vorjahr'!$D223,INDIRECT(O$5)))</f>
        <v>0</v>
      </c>
      <c r="P223" s="593">
        <f ca="1">$E223*(-SUMIF(INDIRECT(P$3),'Struktur Vorjahr'!$D223,INDIRECT(P$4))+SUMIF(INDIRECT(P$3),'Struktur Vorjahr'!$D223,INDIRECT(P$5)))</f>
        <v>0</v>
      </c>
      <c r="Q223" s="593">
        <f ca="1">$E223*(-SUMIF(INDIRECT(Q$3),'Struktur Vorjahr'!$D223,INDIRECT(Q$4))+SUMIF(INDIRECT(Q$3),'Struktur Vorjahr'!$D223,INDIRECT(Q$5)))</f>
        <v>0</v>
      </c>
      <c r="R223" s="593">
        <f ca="1">$E223*(-SUMIF(INDIRECT(R$3),'Struktur Vorjahr'!$D223,INDIRECT(R$4))+SUMIF(INDIRECT(R$3),'Struktur Vorjahr'!$D223,INDIRECT(R$5)))</f>
        <v>0</v>
      </c>
      <c r="S223" s="593">
        <f ca="1">$E223*(-SUMIF(INDIRECT(S$3),'Struktur Vorjahr'!$D223,INDIRECT(S$4))+SUMIF(INDIRECT(S$3),'Struktur Vorjahr'!$D223,INDIRECT(S$5)))</f>
        <v>0</v>
      </c>
      <c r="T223" s="593">
        <f ca="1">$E223*(-SUMIF(INDIRECT(T$3),'Struktur Vorjahr'!$D223,INDIRECT(T$4))+SUMIF(INDIRECT(T$3),'Struktur Vorjahr'!$D223,INDIRECT(T$5)))</f>
        <v>0</v>
      </c>
      <c r="U223" s="593">
        <f ca="1">$E223*(-SUMIF(INDIRECT(U$3),'Struktur Vorjahr'!$D223,INDIRECT(U$4))+SUMIF(INDIRECT(U$3),'Struktur Vorjahr'!$D223,INDIRECT(U$5)))</f>
        <v>0</v>
      </c>
      <c r="V223" s="593">
        <f ca="1">$E223*(-SUMIF(INDIRECT(V$3),'Struktur Vorjahr'!$D223,INDIRECT(V$4))+SUMIF(INDIRECT(V$3),'Struktur Vorjahr'!$D223,INDIRECT(V$5)))</f>
        <v>0</v>
      </c>
      <c r="W223" s="593">
        <f ca="1">$E223*(-SUMIF(INDIRECT(W$3),'Struktur Vorjahr'!$D223,INDIRECT(W$4))+SUMIF(INDIRECT(W$3),'Struktur Vorjahr'!$D223,INDIRECT(W$5)))</f>
        <v>0</v>
      </c>
      <c r="X223" s="593">
        <f ca="1">$E223*(-SUMIF(INDIRECT(X$3),'Struktur Vorjahr'!$D223,INDIRECT(X$4))+SUMIF(INDIRECT(X$3),'Struktur Vorjahr'!$D223,INDIRECT(X$5)))</f>
        <v>0</v>
      </c>
      <c r="Y223" s="593">
        <f ca="1">$E223*(-SUMIF(INDIRECT(Y$3),'Struktur Vorjahr'!$D223,INDIRECT(Y$4))+SUMIF(INDIRECT(Y$3),'Struktur Vorjahr'!$D223,INDIRECT(Y$5)))</f>
        <v>0</v>
      </c>
      <c r="Z223" s="593">
        <f ca="1">$E223*(-SUMIF(INDIRECT(Z$3),'Struktur Vorjahr'!$D223,INDIRECT(Z$4))+SUMIF(INDIRECT(Z$3),'Struktur Vorjahr'!$D223,INDIRECT(Z$5)))</f>
        <v>0</v>
      </c>
      <c r="AA223" s="593">
        <f ca="1">$E223*(-SUMIF(INDIRECT(AA$3),'Struktur Vorjahr'!$D223,INDIRECT(AA$4))+SUMIF(INDIRECT(AA$3),'Struktur Vorjahr'!$D223,INDIRECT(AA$5)))</f>
        <v>0</v>
      </c>
      <c r="AB223" s="593">
        <f ca="1">$E223*(-SUMIF(INDIRECT(AB$3),'Struktur Vorjahr'!$D223,INDIRECT(AB$4))+SUMIF(INDIRECT(AB$3),'Struktur Vorjahr'!$D223,INDIRECT(AB$5)))</f>
        <v>0</v>
      </c>
      <c r="AC223" s="593">
        <f ca="1">$E223*(-SUMIF(INDIRECT(AC$3),'Struktur Vorjahr'!$D223,INDIRECT(AC$4))+SUMIF(INDIRECT(AC$3),'Struktur Vorjahr'!$D223,INDIRECT(AC$5)))</f>
        <v>0</v>
      </c>
      <c r="AD223" s="593">
        <f ca="1">$E223*(-SUMIF(INDIRECT(AD$3),'Struktur Vorjahr'!$D223,INDIRECT(AD$4))+SUMIF(INDIRECT(AD$3),'Struktur Vorjahr'!$D223,INDIRECT(AD$5)))</f>
        <v>0</v>
      </c>
      <c r="AE223" s="593">
        <f t="shared" ca="1" si="107"/>
        <v>0</v>
      </c>
      <c r="AF223" s="593">
        <f t="shared" ca="1" si="108"/>
        <v>0</v>
      </c>
      <c r="AG223" s="593">
        <f t="shared" ca="1" si="108"/>
        <v>0</v>
      </c>
      <c r="AH223" s="593">
        <f t="shared" ca="1" si="108"/>
        <v>0</v>
      </c>
      <c r="AI223" s="593">
        <f t="shared" ca="1" si="108"/>
        <v>0</v>
      </c>
      <c r="AJ223" s="593">
        <f t="shared" ca="1" si="108"/>
        <v>0</v>
      </c>
      <c r="AK223" s="593">
        <f t="shared" ca="1" si="108"/>
        <v>0</v>
      </c>
      <c r="AL223" s="593">
        <f t="shared" ca="1" si="108"/>
        <v>0</v>
      </c>
      <c r="AM223" s="593">
        <f t="shared" ca="1" si="108"/>
        <v>0</v>
      </c>
      <c r="AN223" s="593">
        <f t="shared" ca="1" si="108"/>
        <v>0</v>
      </c>
      <c r="AO223" s="593">
        <f t="shared" ca="1" si="108"/>
        <v>0</v>
      </c>
      <c r="AP223" s="593">
        <f t="shared" ca="1" si="108"/>
        <v>0</v>
      </c>
    </row>
    <row r="224" spans="1:42" s="594" customFormat="1" ht="11.25" outlineLevel="1" x14ac:dyDescent="0.2">
      <c r="A224" s="590"/>
      <c r="B224" s="591" t="str">
        <f>IF(D224&lt;&gt;"",
IF(ISERROR(MATCH(D224,'Ist Vorjahr Monat 01'!A:A,0))=FALSE,INDEX('Ist Vorjahr Monat 01'!B:B,MATCH(D224,'Ist Vorjahr Monat 01'!A:A,0)),
IF(ISERROR(MATCH(D224,'Ist Vorjahr Monat 02'!A:A,0))=FALSE,INDEX('Ist Vorjahr Monat 02'!B:B,MATCH(D224,'Ist Vorjahr Monat 02'!A:A,0)),
IF(ISERROR(MATCH(D224,'Ist Vorjahr Monat 03'!A:A,0))=FALSE,INDEX('Ist Vorjahr Monat 03'!B:B,MATCH(D224,'Ist Vorjahr Monat 03'!A:A,0)),
IF(ISERROR(MATCH(D224,'Ist Vorjahr Monat 04'!A:A,0))=FALSE,INDEX('Ist Vorjahr Monat 04'!B:B,MATCH(D224,'Ist Vorjahr Monat 04'!A:A,0)),
IF(ISERROR(MATCH(D224,'Ist Vorjahr Monat 05'!A:A,0))=FALSE,INDEX('Ist Vorjahr Monat 05'!B:B,MATCH(D224,'Ist Vorjahr Monat 05'!A:A,0)),
IF(ISERROR(MATCH(D224,'Ist Vorjahr Monat 06'!A:A,0))=FALSE,INDEX('Ist Vorjahr Monat 06'!B:B,MATCH(D224,'Ist Vorjahr Monat 06'!A:A,0)),
IF(ISERROR(MATCH(D224,'Ist Vorjahr Monat 07'!A:A,0))=FALSE,INDEX('Ist Vorjahr Monat 07'!B:B,MATCH(D224,'Ist Vorjahr Monat 07'!A:A,0)),
IF(ISERROR(MATCH(D224,'Ist Vorjahr Monat 08'!A:A,0))=FALSE,INDEX('Ist Vorjahr Monat 08'!B:B,MATCH(D224,'Ist Vorjahr Monat 08'!A:A,0)),
IF(ISERROR(MATCH(D224,'Ist Vorjahr Monat 09'!A:A,0))=FALSE,INDEX('Ist Vorjahr Monat 09'!B:B,MATCH(D224,'Ist Vorjahr Monat 09'!A:A,0)),
IF(ISERROR(MATCH(D224,'Ist Vorjahr Monat 10'!A:A,0))=FALSE,INDEX('Ist Vorjahr Monat 10'!B:B,MATCH(D224,'Ist Vorjahr Monat 10'!A:A,0)),
IF(ISERROR(MATCH(D224,'Ist Vorjahr Monat 11'!A:A,0))=FALSE,INDEX('Ist Vorjahr Monat 11'!B:B,MATCH(D224,'Ist Vorjahr Monat 11'!A:A,0)),
IF(ISERROR(MATCH(D224,'Ist Vorjahr Monat 12'!A:A,0))=FALSE,INDEX('Ist Vorjahr Monat 12'!B:B,MATCH(D224,'Ist Vorjahr Monat 12'!A:A,0)),
"{Konto unbekannt}"
)))))))))))),"")</f>
        <v/>
      </c>
      <c r="C224" s="591"/>
      <c r="D224" s="590"/>
      <c r="E224" s="592">
        <f t="shared" si="105"/>
        <v>1</v>
      </c>
      <c r="F224" s="590"/>
      <c r="G224" s="593">
        <f ca="1">$E224*(-SUMIF(INDIRECT(G$3),'Struktur Vorjahr'!$D224,INDIRECT(G$4))+SUMIF(INDIRECT(G$3),'Struktur Vorjahr'!$D224,INDIRECT(G$5)))</f>
        <v>0</v>
      </c>
      <c r="H224" s="593">
        <f ca="1">$E224*(-SUMIF(INDIRECT(H$3),'Struktur Vorjahr'!$D224,INDIRECT(H$4))+SUMIF(INDIRECT(H$3),'Struktur Vorjahr'!$D224,INDIRECT(H$5)))</f>
        <v>0</v>
      </c>
      <c r="I224" s="593">
        <f ca="1">$E224*(-SUMIF(INDIRECT(I$3),'Struktur Vorjahr'!$D224,INDIRECT(I$4))+SUMIF(INDIRECT(I$3),'Struktur Vorjahr'!$D224,INDIRECT(I$5)))</f>
        <v>0</v>
      </c>
      <c r="J224" s="593">
        <f ca="1">$E224*(-SUMIF(INDIRECT(J$3),'Struktur Vorjahr'!$D224,INDIRECT(J$4))+SUMIF(INDIRECT(J$3),'Struktur Vorjahr'!$D224,INDIRECT(J$5)))</f>
        <v>0</v>
      </c>
      <c r="K224" s="593">
        <f ca="1">$E224*(-SUMIF(INDIRECT(K$3),'Struktur Vorjahr'!$D224,INDIRECT(K$4))+SUMIF(INDIRECT(K$3),'Struktur Vorjahr'!$D224,INDIRECT(K$5)))</f>
        <v>0</v>
      </c>
      <c r="L224" s="593">
        <f ca="1">$E224*(-SUMIF(INDIRECT(L$3),'Struktur Vorjahr'!$D224,INDIRECT(L$4))+SUMIF(INDIRECT(L$3),'Struktur Vorjahr'!$D224,INDIRECT(L$5)))</f>
        <v>0</v>
      </c>
      <c r="M224" s="593">
        <f ca="1">$E224*(-SUMIF(INDIRECT(M$3),'Struktur Vorjahr'!$D224,INDIRECT(M$4))+SUMIF(INDIRECT(M$3),'Struktur Vorjahr'!$D224,INDIRECT(M$5)))</f>
        <v>0</v>
      </c>
      <c r="N224" s="593">
        <f ca="1">$E224*(-SUMIF(INDIRECT(N$3),'Struktur Vorjahr'!$D224,INDIRECT(N$4))+SUMIF(INDIRECT(N$3),'Struktur Vorjahr'!$D224,INDIRECT(N$5)))</f>
        <v>0</v>
      </c>
      <c r="O224" s="593">
        <f ca="1">$E224*(-SUMIF(INDIRECT(O$3),'Struktur Vorjahr'!$D224,INDIRECT(O$4))+SUMIF(INDIRECT(O$3),'Struktur Vorjahr'!$D224,INDIRECT(O$5)))</f>
        <v>0</v>
      </c>
      <c r="P224" s="593">
        <f ca="1">$E224*(-SUMIF(INDIRECT(P$3),'Struktur Vorjahr'!$D224,INDIRECT(P$4))+SUMIF(INDIRECT(P$3),'Struktur Vorjahr'!$D224,INDIRECT(P$5)))</f>
        <v>0</v>
      </c>
      <c r="Q224" s="593">
        <f ca="1">$E224*(-SUMIF(INDIRECT(Q$3),'Struktur Vorjahr'!$D224,INDIRECT(Q$4))+SUMIF(INDIRECT(Q$3),'Struktur Vorjahr'!$D224,INDIRECT(Q$5)))</f>
        <v>0</v>
      </c>
      <c r="R224" s="593">
        <f ca="1">$E224*(-SUMIF(INDIRECT(R$3),'Struktur Vorjahr'!$D224,INDIRECT(R$4))+SUMIF(INDIRECT(R$3),'Struktur Vorjahr'!$D224,INDIRECT(R$5)))</f>
        <v>0</v>
      </c>
      <c r="S224" s="593">
        <f ca="1">$E224*(-SUMIF(INDIRECT(S$3),'Struktur Vorjahr'!$D224,INDIRECT(S$4))+SUMIF(INDIRECT(S$3),'Struktur Vorjahr'!$D224,INDIRECT(S$5)))</f>
        <v>0</v>
      </c>
      <c r="T224" s="593">
        <f ca="1">$E224*(-SUMIF(INDIRECT(T$3),'Struktur Vorjahr'!$D224,INDIRECT(T$4))+SUMIF(INDIRECT(T$3),'Struktur Vorjahr'!$D224,INDIRECT(T$5)))</f>
        <v>0</v>
      </c>
      <c r="U224" s="593">
        <f ca="1">$E224*(-SUMIF(INDIRECT(U$3),'Struktur Vorjahr'!$D224,INDIRECT(U$4))+SUMIF(INDIRECT(U$3),'Struktur Vorjahr'!$D224,INDIRECT(U$5)))</f>
        <v>0</v>
      </c>
      <c r="V224" s="593">
        <f ca="1">$E224*(-SUMIF(INDIRECT(V$3),'Struktur Vorjahr'!$D224,INDIRECT(V$4))+SUMIF(INDIRECT(V$3),'Struktur Vorjahr'!$D224,INDIRECT(V$5)))</f>
        <v>0</v>
      </c>
      <c r="W224" s="593">
        <f ca="1">$E224*(-SUMIF(INDIRECT(W$3),'Struktur Vorjahr'!$D224,INDIRECT(W$4))+SUMIF(INDIRECT(W$3),'Struktur Vorjahr'!$D224,INDIRECT(W$5)))</f>
        <v>0</v>
      </c>
      <c r="X224" s="593">
        <f ca="1">$E224*(-SUMIF(INDIRECT(X$3),'Struktur Vorjahr'!$D224,INDIRECT(X$4))+SUMIF(INDIRECT(X$3),'Struktur Vorjahr'!$D224,INDIRECT(X$5)))</f>
        <v>0</v>
      </c>
      <c r="Y224" s="593">
        <f ca="1">$E224*(-SUMIF(INDIRECT(Y$3),'Struktur Vorjahr'!$D224,INDIRECT(Y$4))+SUMIF(INDIRECT(Y$3),'Struktur Vorjahr'!$D224,INDIRECT(Y$5)))</f>
        <v>0</v>
      </c>
      <c r="Z224" s="593">
        <f ca="1">$E224*(-SUMIF(INDIRECT(Z$3),'Struktur Vorjahr'!$D224,INDIRECT(Z$4))+SUMIF(INDIRECT(Z$3),'Struktur Vorjahr'!$D224,INDIRECT(Z$5)))</f>
        <v>0</v>
      </c>
      <c r="AA224" s="593">
        <f ca="1">$E224*(-SUMIF(INDIRECT(AA$3),'Struktur Vorjahr'!$D224,INDIRECT(AA$4))+SUMIF(INDIRECT(AA$3),'Struktur Vorjahr'!$D224,INDIRECT(AA$5)))</f>
        <v>0</v>
      </c>
      <c r="AB224" s="593">
        <f ca="1">$E224*(-SUMIF(INDIRECT(AB$3),'Struktur Vorjahr'!$D224,INDIRECT(AB$4))+SUMIF(INDIRECT(AB$3),'Struktur Vorjahr'!$D224,INDIRECT(AB$5)))</f>
        <v>0</v>
      </c>
      <c r="AC224" s="593">
        <f ca="1">$E224*(-SUMIF(INDIRECT(AC$3),'Struktur Vorjahr'!$D224,INDIRECT(AC$4))+SUMIF(INDIRECT(AC$3),'Struktur Vorjahr'!$D224,INDIRECT(AC$5)))</f>
        <v>0</v>
      </c>
      <c r="AD224" s="593">
        <f ca="1">$E224*(-SUMIF(INDIRECT(AD$3),'Struktur Vorjahr'!$D224,INDIRECT(AD$4))+SUMIF(INDIRECT(AD$3),'Struktur Vorjahr'!$D224,INDIRECT(AD$5)))</f>
        <v>0</v>
      </c>
      <c r="AE224" s="593">
        <f t="shared" ca="1" si="107"/>
        <v>0</v>
      </c>
      <c r="AF224" s="593">
        <f t="shared" ca="1" si="108"/>
        <v>0</v>
      </c>
      <c r="AG224" s="593">
        <f t="shared" ca="1" si="108"/>
        <v>0</v>
      </c>
      <c r="AH224" s="593">
        <f t="shared" ca="1" si="108"/>
        <v>0</v>
      </c>
      <c r="AI224" s="593">
        <f t="shared" ca="1" si="108"/>
        <v>0</v>
      </c>
      <c r="AJ224" s="593">
        <f t="shared" ca="1" si="108"/>
        <v>0</v>
      </c>
      <c r="AK224" s="593">
        <f t="shared" ca="1" si="108"/>
        <v>0</v>
      </c>
      <c r="AL224" s="593">
        <f t="shared" ca="1" si="108"/>
        <v>0</v>
      </c>
      <c r="AM224" s="593">
        <f t="shared" ca="1" si="108"/>
        <v>0</v>
      </c>
      <c r="AN224" s="593">
        <f t="shared" ca="1" si="108"/>
        <v>0</v>
      </c>
      <c r="AO224" s="593">
        <f t="shared" ca="1" si="108"/>
        <v>0</v>
      </c>
      <c r="AP224" s="593">
        <f t="shared" ca="1" si="108"/>
        <v>0</v>
      </c>
    </row>
    <row r="225" spans="1:42" s="594" customFormat="1" ht="11.25" outlineLevel="1" x14ac:dyDescent="0.2">
      <c r="A225" s="590"/>
      <c r="B225" s="591" t="str">
        <f>IF(D225&lt;&gt;"",
IF(ISERROR(MATCH(D225,'Ist Vorjahr Monat 01'!A:A,0))=FALSE,INDEX('Ist Vorjahr Monat 01'!B:B,MATCH(D225,'Ist Vorjahr Monat 01'!A:A,0)),
IF(ISERROR(MATCH(D225,'Ist Vorjahr Monat 02'!A:A,0))=FALSE,INDEX('Ist Vorjahr Monat 02'!B:B,MATCH(D225,'Ist Vorjahr Monat 02'!A:A,0)),
IF(ISERROR(MATCH(D225,'Ist Vorjahr Monat 03'!A:A,0))=FALSE,INDEX('Ist Vorjahr Monat 03'!B:B,MATCH(D225,'Ist Vorjahr Monat 03'!A:A,0)),
IF(ISERROR(MATCH(D225,'Ist Vorjahr Monat 04'!A:A,0))=FALSE,INDEX('Ist Vorjahr Monat 04'!B:B,MATCH(D225,'Ist Vorjahr Monat 04'!A:A,0)),
IF(ISERROR(MATCH(D225,'Ist Vorjahr Monat 05'!A:A,0))=FALSE,INDEX('Ist Vorjahr Monat 05'!B:B,MATCH(D225,'Ist Vorjahr Monat 05'!A:A,0)),
IF(ISERROR(MATCH(D225,'Ist Vorjahr Monat 06'!A:A,0))=FALSE,INDEX('Ist Vorjahr Monat 06'!B:B,MATCH(D225,'Ist Vorjahr Monat 06'!A:A,0)),
IF(ISERROR(MATCH(D225,'Ist Vorjahr Monat 07'!A:A,0))=FALSE,INDEX('Ist Vorjahr Monat 07'!B:B,MATCH(D225,'Ist Vorjahr Monat 07'!A:A,0)),
IF(ISERROR(MATCH(D225,'Ist Vorjahr Monat 08'!A:A,0))=FALSE,INDEX('Ist Vorjahr Monat 08'!B:B,MATCH(D225,'Ist Vorjahr Monat 08'!A:A,0)),
IF(ISERROR(MATCH(D225,'Ist Vorjahr Monat 09'!A:A,0))=FALSE,INDEX('Ist Vorjahr Monat 09'!B:B,MATCH(D225,'Ist Vorjahr Monat 09'!A:A,0)),
IF(ISERROR(MATCH(D225,'Ist Vorjahr Monat 10'!A:A,0))=FALSE,INDEX('Ist Vorjahr Monat 10'!B:B,MATCH(D225,'Ist Vorjahr Monat 10'!A:A,0)),
IF(ISERROR(MATCH(D225,'Ist Vorjahr Monat 11'!A:A,0))=FALSE,INDEX('Ist Vorjahr Monat 11'!B:B,MATCH(D225,'Ist Vorjahr Monat 11'!A:A,0)),
IF(ISERROR(MATCH(D225,'Ist Vorjahr Monat 12'!A:A,0))=FALSE,INDEX('Ist Vorjahr Monat 12'!B:B,MATCH(D225,'Ist Vorjahr Monat 12'!A:A,0)),
"{Konto unbekannt}"
)))))))))))),"")</f>
        <v/>
      </c>
      <c r="C225" s="591"/>
      <c r="D225" s="590"/>
      <c r="E225" s="592">
        <f t="shared" si="105"/>
        <v>1</v>
      </c>
      <c r="F225" s="590"/>
      <c r="G225" s="593">
        <f ca="1">$E225*(-SUMIF(INDIRECT(G$3),'Struktur Vorjahr'!$D225,INDIRECT(G$4))+SUMIF(INDIRECT(G$3),'Struktur Vorjahr'!$D225,INDIRECT(G$5)))</f>
        <v>0</v>
      </c>
      <c r="H225" s="593">
        <f ca="1">$E225*(-SUMIF(INDIRECT(H$3),'Struktur Vorjahr'!$D225,INDIRECT(H$4))+SUMIF(INDIRECT(H$3),'Struktur Vorjahr'!$D225,INDIRECT(H$5)))</f>
        <v>0</v>
      </c>
      <c r="I225" s="593">
        <f ca="1">$E225*(-SUMIF(INDIRECT(I$3),'Struktur Vorjahr'!$D225,INDIRECT(I$4))+SUMIF(INDIRECT(I$3),'Struktur Vorjahr'!$D225,INDIRECT(I$5)))</f>
        <v>0</v>
      </c>
      <c r="J225" s="593">
        <f ca="1">$E225*(-SUMIF(INDIRECT(J$3),'Struktur Vorjahr'!$D225,INDIRECT(J$4))+SUMIF(INDIRECT(J$3),'Struktur Vorjahr'!$D225,INDIRECT(J$5)))</f>
        <v>0</v>
      </c>
      <c r="K225" s="593">
        <f ca="1">$E225*(-SUMIF(INDIRECT(K$3),'Struktur Vorjahr'!$D225,INDIRECT(K$4))+SUMIF(INDIRECT(K$3),'Struktur Vorjahr'!$D225,INDIRECT(K$5)))</f>
        <v>0</v>
      </c>
      <c r="L225" s="593">
        <f ca="1">$E225*(-SUMIF(INDIRECT(L$3),'Struktur Vorjahr'!$D225,INDIRECT(L$4))+SUMIF(INDIRECT(L$3),'Struktur Vorjahr'!$D225,INDIRECT(L$5)))</f>
        <v>0</v>
      </c>
      <c r="M225" s="593">
        <f ca="1">$E225*(-SUMIF(INDIRECT(M$3),'Struktur Vorjahr'!$D225,INDIRECT(M$4))+SUMIF(INDIRECT(M$3),'Struktur Vorjahr'!$D225,INDIRECT(M$5)))</f>
        <v>0</v>
      </c>
      <c r="N225" s="593">
        <f ca="1">$E225*(-SUMIF(INDIRECT(N$3),'Struktur Vorjahr'!$D225,INDIRECT(N$4))+SUMIF(INDIRECT(N$3),'Struktur Vorjahr'!$D225,INDIRECT(N$5)))</f>
        <v>0</v>
      </c>
      <c r="O225" s="593">
        <f ca="1">$E225*(-SUMIF(INDIRECT(O$3),'Struktur Vorjahr'!$D225,INDIRECT(O$4))+SUMIF(INDIRECT(O$3),'Struktur Vorjahr'!$D225,INDIRECT(O$5)))</f>
        <v>0</v>
      </c>
      <c r="P225" s="593">
        <f ca="1">$E225*(-SUMIF(INDIRECT(P$3),'Struktur Vorjahr'!$D225,INDIRECT(P$4))+SUMIF(INDIRECT(P$3),'Struktur Vorjahr'!$D225,INDIRECT(P$5)))</f>
        <v>0</v>
      </c>
      <c r="Q225" s="593">
        <f ca="1">$E225*(-SUMIF(INDIRECT(Q$3),'Struktur Vorjahr'!$D225,INDIRECT(Q$4))+SUMIF(INDIRECT(Q$3),'Struktur Vorjahr'!$D225,INDIRECT(Q$5)))</f>
        <v>0</v>
      </c>
      <c r="R225" s="593">
        <f ca="1">$E225*(-SUMIF(INDIRECT(R$3),'Struktur Vorjahr'!$D225,INDIRECT(R$4))+SUMIF(INDIRECT(R$3),'Struktur Vorjahr'!$D225,INDIRECT(R$5)))</f>
        <v>0</v>
      </c>
      <c r="S225" s="593">
        <f ca="1">$E225*(-SUMIF(INDIRECT(S$3),'Struktur Vorjahr'!$D225,INDIRECT(S$4))+SUMIF(INDIRECT(S$3),'Struktur Vorjahr'!$D225,INDIRECT(S$5)))</f>
        <v>0</v>
      </c>
      <c r="T225" s="593">
        <f ca="1">$E225*(-SUMIF(INDIRECT(T$3),'Struktur Vorjahr'!$D225,INDIRECT(T$4))+SUMIF(INDIRECT(T$3),'Struktur Vorjahr'!$D225,INDIRECT(T$5)))</f>
        <v>0</v>
      </c>
      <c r="U225" s="593">
        <f ca="1">$E225*(-SUMIF(INDIRECT(U$3),'Struktur Vorjahr'!$D225,INDIRECT(U$4))+SUMIF(INDIRECT(U$3),'Struktur Vorjahr'!$D225,INDIRECT(U$5)))</f>
        <v>0</v>
      </c>
      <c r="V225" s="593">
        <f ca="1">$E225*(-SUMIF(INDIRECT(V$3),'Struktur Vorjahr'!$D225,INDIRECT(V$4))+SUMIF(INDIRECT(V$3),'Struktur Vorjahr'!$D225,INDIRECT(V$5)))</f>
        <v>0</v>
      </c>
      <c r="W225" s="593">
        <f ca="1">$E225*(-SUMIF(INDIRECT(W$3),'Struktur Vorjahr'!$D225,INDIRECT(W$4))+SUMIF(INDIRECT(W$3),'Struktur Vorjahr'!$D225,INDIRECT(W$5)))</f>
        <v>0</v>
      </c>
      <c r="X225" s="593">
        <f ca="1">$E225*(-SUMIF(INDIRECT(X$3),'Struktur Vorjahr'!$D225,INDIRECT(X$4))+SUMIF(INDIRECT(X$3),'Struktur Vorjahr'!$D225,INDIRECT(X$5)))</f>
        <v>0</v>
      </c>
      <c r="Y225" s="593">
        <f ca="1">$E225*(-SUMIF(INDIRECT(Y$3),'Struktur Vorjahr'!$D225,INDIRECT(Y$4))+SUMIF(INDIRECT(Y$3),'Struktur Vorjahr'!$D225,INDIRECT(Y$5)))</f>
        <v>0</v>
      </c>
      <c r="Z225" s="593">
        <f ca="1">$E225*(-SUMIF(INDIRECT(Z$3),'Struktur Vorjahr'!$D225,INDIRECT(Z$4))+SUMIF(INDIRECT(Z$3),'Struktur Vorjahr'!$D225,INDIRECT(Z$5)))</f>
        <v>0</v>
      </c>
      <c r="AA225" s="593">
        <f ca="1">$E225*(-SUMIF(INDIRECT(AA$3),'Struktur Vorjahr'!$D225,INDIRECT(AA$4))+SUMIF(INDIRECT(AA$3),'Struktur Vorjahr'!$D225,INDIRECT(AA$5)))</f>
        <v>0</v>
      </c>
      <c r="AB225" s="593">
        <f ca="1">$E225*(-SUMIF(INDIRECT(AB$3),'Struktur Vorjahr'!$D225,INDIRECT(AB$4))+SUMIF(INDIRECT(AB$3),'Struktur Vorjahr'!$D225,INDIRECT(AB$5)))</f>
        <v>0</v>
      </c>
      <c r="AC225" s="593">
        <f ca="1">$E225*(-SUMIF(INDIRECT(AC$3),'Struktur Vorjahr'!$D225,INDIRECT(AC$4))+SUMIF(INDIRECT(AC$3),'Struktur Vorjahr'!$D225,INDIRECT(AC$5)))</f>
        <v>0</v>
      </c>
      <c r="AD225" s="593">
        <f ca="1">$E225*(-SUMIF(INDIRECT(AD$3),'Struktur Vorjahr'!$D225,INDIRECT(AD$4))+SUMIF(INDIRECT(AD$3),'Struktur Vorjahr'!$D225,INDIRECT(AD$5)))</f>
        <v>0</v>
      </c>
      <c r="AE225" s="593">
        <f t="shared" ca="1" si="107"/>
        <v>0</v>
      </c>
      <c r="AF225" s="593">
        <f t="shared" ca="1" si="108"/>
        <v>0</v>
      </c>
      <c r="AG225" s="593">
        <f t="shared" ca="1" si="108"/>
        <v>0</v>
      </c>
      <c r="AH225" s="593">
        <f t="shared" ca="1" si="108"/>
        <v>0</v>
      </c>
      <c r="AI225" s="593">
        <f t="shared" ca="1" si="108"/>
        <v>0</v>
      </c>
      <c r="AJ225" s="593">
        <f t="shared" ca="1" si="108"/>
        <v>0</v>
      </c>
      <c r="AK225" s="593">
        <f t="shared" ca="1" si="108"/>
        <v>0</v>
      </c>
      <c r="AL225" s="593">
        <f t="shared" ca="1" si="108"/>
        <v>0</v>
      </c>
      <c r="AM225" s="593">
        <f t="shared" ca="1" si="108"/>
        <v>0</v>
      </c>
      <c r="AN225" s="593">
        <f t="shared" ca="1" si="108"/>
        <v>0</v>
      </c>
      <c r="AO225" s="593">
        <f t="shared" ca="1" si="108"/>
        <v>0</v>
      </c>
      <c r="AP225" s="593">
        <f t="shared" ca="1" si="108"/>
        <v>0</v>
      </c>
    </row>
    <row r="226" spans="1:42" s="594" customFormat="1" ht="11.25" outlineLevel="1" x14ac:dyDescent="0.2">
      <c r="A226" s="590"/>
      <c r="B226" s="591" t="str">
        <f>IF(D226&lt;&gt;"",
IF(ISERROR(MATCH(D226,'Ist Vorjahr Monat 01'!A:A,0))=FALSE,INDEX('Ist Vorjahr Monat 01'!B:B,MATCH(D226,'Ist Vorjahr Monat 01'!A:A,0)),
IF(ISERROR(MATCH(D226,'Ist Vorjahr Monat 02'!A:A,0))=FALSE,INDEX('Ist Vorjahr Monat 02'!B:B,MATCH(D226,'Ist Vorjahr Monat 02'!A:A,0)),
IF(ISERROR(MATCH(D226,'Ist Vorjahr Monat 03'!A:A,0))=FALSE,INDEX('Ist Vorjahr Monat 03'!B:B,MATCH(D226,'Ist Vorjahr Monat 03'!A:A,0)),
IF(ISERROR(MATCH(D226,'Ist Vorjahr Monat 04'!A:A,0))=FALSE,INDEX('Ist Vorjahr Monat 04'!B:B,MATCH(D226,'Ist Vorjahr Monat 04'!A:A,0)),
IF(ISERROR(MATCH(D226,'Ist Vorjahr Monat 05'!A:A,0))=FALSE,INDEX('Ist Vorjahr Monat 05'!B:B,MATCH(D226,'Ist Vorjahr Monat 05'!A:A,0)),
IF(ISERROR(MATCH(D226,'Ist Vorjahr Monat 06'!A:A,0))=FALSE,INDEX('Ist Vorjahr Monat 06'!B:B,MATCH(D226,'Ist Vorjahr Monat 06'!A:A,0)),
IF(ISERROR(MATCH(D226,'Ist Vorjahr Monat 07'!A:A,0))=FALSE,INDEX('Ist Vorjahr Monat 07'!B:B,MATCH(D226,'Ist Vorjahr Monat 07'!A:A,0)),
IF(ISERROR(MATCH(D226,'Ist Vorjahr Monat 08'!A:A,0))=FALSE,INDEX('Ist Vorjahr Monat 08'!B:B,MATCH(D226,'Ist Vorjahr Monat 08'!A:A,0)),
IF(ISERROR(MATCH(D226,'Ist Vorjahr Monat 09'!A:A,0))=FALSE,INDEX('Ist Vorjahr Monat 09'!B:B,MATCH(D226,'Ist Vorjahr Monat 09'!A:A,0)),
IF(ISERROR(MATCH(D226,'Ist Vorjahr Monat 10'!A:A,0))=FALSE,INDEX('Ist Vorjahr Monat 10'!B:B,MATCH(D226,'Ist Vorjahr Monat 10'!A:A,0)),
IF(ISERROR(MATCH(D226,'Ist Vorjahr Monat 11'!A:A,0))=FALSE,INDEX('Ist Vorjahr Monat 11'!B:B,MATCH(D226,'Ist Vorjahr Monat 11'!A:A,0)),
IF(ISERROR(MATCH(D226,'Ist Vorjahr Monat 12'!A:A,0))=FALSE,INDEX('Ist Vorjahr Monat 12'!B:B,MATCH(D226,'Ist Vorjahr Monat 12'!A:A,0)),
"{Konto unbekannt}"
)))))))))))),"")</f>
        <v/>
      </c>
      <c r="C226" s="591"/>
      <c r="D226" s="590"/>
      <c r="E226" s="592">
        <f t="shared" si="105"/>
        <v>1</v>
      </c>
      <c r="F226" s="590"/>
      <c r="G226" s="593">
        <f ca="1">$E226*(-SUMIF(INDIRECT(G$3),'Struktur Vorjahr'!$D226,INDIRECT(G$4))+SUMIF(INDIRECT(G$3),'Struktur Vorjahr'!$D226,INDIRECT(G$5)))</f>
        <v>0</v>
      </c>
      <c r="H226" s="593">
        <f ca="1">$E226*(-SUMIF(INDIRECT(H$3),'Struktur Vorjahr'!$D226,INDIRECT(H$4))+SUMIF(INDIRECT(H$3),'Struktur Vorjahr'!$D226,INDIRECT(H$5)))</f>
        <v>0</v>
      </c>
      <c r="I226" s="593">
        <f ca="1">$E226*(-SUMIF(INDIRECT(I$3),'Struktur Vorjahr'!$D226,INDIRECT(I$4))+SUMIF(INDIRECT(I$3),'Struktur Vorjahr'!$D226,INDIRECT(I$5)))</f>
        <v>0</v>
      </c>
      <c r="J226" s="593">
        <f ca="1">$E226*(-SUMIF(INDIRECT(J$3),'Struktur Vorjahr'!$D226,INDIRECT(J$4))+SUMIF(INDIRECT(J$3),'Struktur Vorjahr'!$D226,INDIRECT(J$5)))</f>
        <v>0</v>
      </c>
      <c r="K226" s="593">
        <f ca="1">$E226*(-SUMIF(INDIRECT(K$3),'Struktur Vorjahr'!$D226,INDIRECT(K$4))+SUMIF(INDIRECT(K$3),'Struktur Vorjahr'!$D226,INDIRECT(K$5)))</f>
        <v>0</v>
      </c>
      <c r="L226" s="593">
        <f ca="1">$E226*(-SUMIF(INDIRECT(L$3),'Struktur Vorjahr'!$D226,INDIRECT(L$4))+SUMIF(INDIRECT(L$3),'Struktur Vorjahr'!$D226,INDIRECT(L$5)))</f>
        <v>0</v>
      </c>
      <c r="M226" s="593">
        <f ca="1">$E226*(-SUMIF(INDIRECT(M$3),'Struktur Vorjahr'!$D226,INDIRECT(M$4))+SUMIF(INDIRECT(M$3),'Struktur Vorjahr'!$D226,INDIRECT(M$5)))</f>
        <v>0</v>
      </c>
      <c r="N226" s="593">
        <f ca="1">$E226*(-SUMIF(INDIRECT(N$3),'Struktur Vorjahr'!$D226,INDIRECT(N$4))+SUMIF(INDIRECT(N$3),'Struktur Vorjahr'!$D226,INDIRECT(N$5)))</f>
        <v>0</v>
      </c>
      <c r="O226" s="593">
        <f ca="1">$E226*(-SUMIF(INDIRECT(O$3),'Struktur Vorjahr'!$D226,INDIRECT(O$4))+SUMIF(INDIRECT(O$3),'Struktur Vorjahr'!$D226,INDIRECT(O$5)))</f>
        <v>0</v>
      </c>
      <c r="P226" s="593">
        <f ca="1">$E226*(-SUMIF(INDIRECT(P$3),'Struktur Vorjahr'!$D226,INDIRECT(P$4))+SUMIF(INDIRECT(P$3),'Struktur Vorjahr'!$D226,INDIRECT(P$5)))</f>
        <v>0</v>
      </c>
      <c r="Q226" s="593">
        <f ca="1">$E226*(-SUMIF(INDIRECT(Q$3),'Struktur Vorjahr'!$D226,INDIRECT(Q$4))+SUMIF(INDIRECT(Q$3),'Struktur Vorjahr'!$D226,INDIRECT(Q$5)))</f>
        <v>0</v>
      </c>
      <c r="R226" s="593">
        <f ca="1">$E226*(-SUMIF(INDIRECT(R$3),'Struktur Vorjahr'!$D226,INDIRECT(R$4))+SUMIF(INDIRECT(R$3),'Struktur Vorjahr'!$D226,INDIRECT(R$5)))</f>
        <v>0</v>
      </c>
      <c r="S226" s="593">
        <f ca="1">$E226*(-SUMIF(INDIRECT(S$3),'Struktur Vorjahr'!$D226,INDIRECT(S$4))+SUMIF(INDIRECT(S$3),'Struktur Vorjahr'!$D226,INDIRECT(S$5)))</f>
        <v>0</v>
      </c>
      <c r="T226" s="593">
        <f ca="1">$E226*(-SUMIF(INDIRECT(T$3),'Struktur Vorjahr'!$D226,INDIRECT(T$4))+SUMIF(INDIRECT(T$3),'Struktur Vorjahr'!$D226,INDIRECT(T$5)))</f>
        <v>0</v>
      </c>
      <c r="U226" s="593">
        <f ca="1">$E226*(-SUMIF(INDIRECT(U$3),'Struktur Vorjahr'!$D226,INDIRECT(U$4))+SUMIF(INDIRECT(U$3),'Struktur Vorjahr'!$D226,INDIRECT(U$5)))</f>
        <v>0</v>
      </c>
      <c r="V226" s="593">
        <f ca="1">$E226*(-SUMIF(INDIRECT(V$3),'Struktur Vorjahr'!$D226,INDIRECT(V$4))+SUMIF(INDIRECT(V$3),'Struktur Vorjahr'!$D226,INDIRECT(V$5)))</f>
        <v>0</v>
      </c>
      <c r="W226" s="593">
        <f ca="1">$E226*(-SUMIF(INDIRECT(W$3),'Struktur Vorjahr'!$D226,INDIRECT(W$4))+SUMIF(INDIRECT(W$3),'Struktur Vorjahr'!$D226,INDIRECT(W$5)))</f>
        <v>0</v>
      </c>
      <c r="X226" s="593">
        <f ca="1">$E226*(-SUMIF(INDIRECT(X$3),'Struktur Vorjahr'!$D226,INDIRECT(X$4))+SUMIF(INDIRECT(X$3),'Struktur Vorjahr'!$D226,INDIRECT(X$5)))</f>
        <v>0</v>
      </c>
      <c r="Y226" s="593">
        <f ca="1">$E226*(-SUMIF(INDIRECT(Y$3),'Struktur Vorjahr'!$D226,INDIRECT(Y$4))+SUMIF(INDIRECT(Y$3),'Struktur Vorjahr'!$D226,INDIRECT(Y$5)))</f>
        <v>0</v>
      </c>
      <c r="Z226" s="593">
        <f ca="1">$E226*(-SUMIF(INDIRECT(Z$3),'Struktur Vorjahr'!$D226,INDIRECT(Z$4))+SUMIF(INDIRECT(Z$3),'Struktur Vorjahr'!$D226,INDIRECT(Z$5)))</f>
        <v>0</v>
      </c>
      <c r="AA226" s="593">
        <f ca="1">$E226*(-SUMIF(INDIRECT(AA$3),'Struktur Vorjahr'!$D226,INDIRECT(AA$4))+SUMIF(INDIRECT(AA$3),'Struktur Vorjahr'!$D226,INDIRECT(AA$5)))</f>
        <v>0</v>
      </c>
      <c r="AB226" s="593">
        <f ca="1">$E226*(-SUMIF(INDIRECT(AB$3),'Struktur Vorjahr'!$D226,INDIRECT(AB$4))+SUMIF(INDIRECT(AB$3),'Struktur Vorjahr'!$D226,INDIRECT(AB$5)))</f>
        <v>0</v>
      </c>
      <c r="AC226" s="593">
        <f ca="1">$E226*(-SUMIF(INDIRECT(AC$3),'Struktur Vorjahr'!$D226,INDIRECT(AC$4))+SUMIF(INDIRECT(AC$3),'Struktur Vorjahr'!$D226,INDIRECT(AC$5)))</f>
        <v>0</v>
      </c>
      <c r="AD226" s="593">
        <f ca="1">$E226*(-SUMIF(INDIRECT(AD$3),'Struktur Vorjahr'!$D226,INDIRECT(AD$4))+SUMIF(INDIRECT(AD$3),'Struktur Vorjahr'!$D226,INDIRECT(AD$5)))</f>
        <v>0</v>
      </c>
      <c r="AE226" s="593">
        <f t="shared" ca="1" si="107"/>
        <v>0</v>
      </c>
      <c r="AF226" s="593">
        <f t="shared" ca="1" si="108"/>
        <v>0</v>
      </c>
      <c r="AG226" s="593">
        <f t="shared" ca="1" si="108"/>
        <v>0</v>
      </c>
      <c r="AH226" s="593">
        <f t="shared" ca="1" si="108"/>
        <v>0</v>
      </c>
      <c r="AI226" s="593">
        <f t="shared" ca="1" si="108"/>
        <v>0</v>
      </c>
      <c r="AJ226" s="593">
        <f t="shared" ca="1" si="108"/>
        <v>0</v>
      </c>
      <c r="AK226" s="593">
        <f t="shared" ca="1" si="108"/>
        <v>0</v>
      </c>
      <c r="AL226" s="593">
        <f t="shared" ca="1" si="108"/>
        <v>0</v>
      </c>
      <c r="AM226" s="593">
        <f t="shared" ca="1" si="108"/>
        <v>0</v>
      </c>
      <c r="AN226" s="593">
        <f t="shared" ca="1" si="108"/>
        <v>0</v>
      </c>
      <c r="AO226" s="593">
        <f t="shared" ca="1" si="108"/>
        <v>0</v>
      </c>
      <c r="AP226" s="593">
        <f t="shared" ca="1" si="108"/>
        <v>0</v>
      </c>
    </row>
    <row r="227" spans="1:42" s="594" customFormat="1" ht="11.25" outlineLevel="1" x14ac:dyDescent="0.2">
      <c r="A227" s="590"/>
      <c r="B227" s="591" t="str">
        <f>IF(D227&lt;&gt;"",
IF(ISERROR(MATCH(D227,'Ist Vorjahr Monat 01'!A:A,0))=FALSE,INDEX('Ist Vorjahr Monat 01'!B:B,MATCH(D227,'Ist Vorjahr Monat 01'!A:A,0)),
IF(ISERROR(MATCH(D227,'Ist Vorjahr Monat 02'!A:A,0))=FALSE,INDEX('Ist Vorjahr Monat 02'!B:B,MATCH(D227,'Ist Vorjahr Monat 02'!A:A,0)),
IF(ISERROR(MATCH(D227,'Ist Vorjahr Monat 03'!A:A,0))=FALSE,INDEX('Ist Vorjahr Monat 03'!B:B,MATCH(D227,'Ist Vorjahr Monat 03'!A:A,0)),
IF(ISERROR(MATCH(D227,'Ist Vorjahr Monat 04'!A:A,0))=FALSE,INDEX('Ist Vorjahr Monat 04'!B:B,MATCH(D227,'Ist Vorjahr Monat 04'!A:A,0)),
IF(ISERROR(MATCH(D227,'Ist Vorjahr Monat 05'!A:A,0))=FALSE,INDEX('Ist Vorjahr Monat 05'!B:B,MATCH(D227,'Ist Vorjahr Monat 05'!A:A,0)),
IF(ISERROR(MATCH(D227,'Ist Vorjahr Monat 06'!A:A,0))=FALSE,INDEX('Ist Vorjahr Monat 06'!B:B,MATCH(D227,'Ist Vorjahr Monat 06'!A:A,0)),
IF(ISERROR(MATCH(D227,'Ist Vorjahr Monat 07'!A:A,0))=FALSE,INDEX('Ist Vorjahr Monat 07'!B:B,MATCH(D227,'Ist Vorjahr Monat 07'!A:A,0)),
IF(ISERROR(MATCH(D227,'Ist Vorjahr Monat 08'!A:A,0))=FALSE,INDEX('Ist Vorjahr Monat 08'!B:B,MATCH(D227,'Ist Vorjahr Monat 08'!A:A,0)),
IF(ISERROR(MATCH(D227,'Ist Vorjahr Monat 09'!A:A,0))=FALSE,INDEX('Ist Vorjahr Monat 09'!B:B,MATCH(D227,'Ist Vorjahr Monat 09'!A:A,0)),
IF(ISERROR(MATCH(D227,'Ist Vorjahr Monat 10'!A:A,0))=FALSE,INDEX('Ist Vorjahr Monat 10'!B:B,MATCH(D227,'Ist Vorjahr Monat 10'!A:A,0)),
IF(ISERROR(MATCH(D227,'Ist Vorjahr Monat 11'!A:A,0))=FALSE,INDEX('Ist Vorjahr Monat 11'!B:B,MATCH(D227,'Ist Vorjahr Monat 11'!A:A,0)),
IF(ISERROR(MATCH(D227,'Ist Vorjahr Monat 12'!A:A,0))=FALSE,INDEX('Ist Vorjahr Monat 12'!B:B,MATCH(D227,'Ist Vorjahr Monat 12'!A:A,0)),
"{Konto unbekannt}"
)))))))))))),"")</f>
        <v/>
      </c>
      <c r="C227" s="591"/>
      <c r="D227" s="590"/>
      <c r="E227" s="592">
        <f t="shared" si="105"/>
        <v>1</v>
      </c>
      <c r="F227" s="590"/>
      <c r="G227" s="593">
        <f ca="1">$E227*(-SUMIF(INDIRECT(G$3),'Struktur Vorjahr'!$D227,INDIRECT(G$4))+SUMIF(INDIRECT(G$3),'Struktur Vorjahr'!$D227,INDIRECT(G$5)))</f>
        <v>0</v>
      </c>
      <c r="H227" s="593">
        <f ca="1">$E227*(-SUMIF(INDIRECT(H$3),'Struktur Vorjahr'!$D227,INDIRECT(H$4))+SUMIF(INDIRECT(H$3),'Struktur Vorjahr'!$D227,INDIRECT(H$5)))</f>
        <v>0</v>
      </c>
      <c r="I227" s="593">
        <f ca="1">$E227*(-SUMIF(INDIRECT(I$3),'Struktur Vorjahr'!$D227,INDIRECT(I$4))+SUMIF(INDIRECT(I$3),'Struktur Vorjahr'!$D227,INDIRECT(I$5)))</f>
        <v>0</v>
      </c>
      <c r="J227" s="593">
        <f ca="1">$E227*(-SUMIF(INDIRECT(J$3),'Struktur Vorjahr'!$D227,INDIRECT(J$4))+SUMIF(INDIRECT(J$3),'Struktur Vorjahr'!$D227,INDIRECT(J$5)))</f>
        <v>0</v>
      </c>
      <c r="K227" s="593">
        <f ca="1">$E227*(-SUMIF(INDIRECT(K$3),'Struktur Vorjahr'!$D227,INDIRECT(K$4))+SUMIF(INDIRECT(K$3),'Struktur Vorjahr'!$D227,INDIRECT(K$5)))</f>
        <v>0</v>
      </c>
      <c r="L227" s="593">
        <f ca="1">$E227*(-SUMIF(INDIRECT(L$3),'Struktur Vorjahr'!$D227,INDIRECT(L$4))+SUMIF(INDIRECT(L$3),'Struktur Vorjahr'!$D227,INDIRECT(L$5)))</f>
        <v>0</v>
      </c>
      <c r="M227" s="593">
        <f ca="1">$E227*(-SUMIF(INDIRECT(M$3),'Struktur Vorjahr'!$D227,INDIRECT(M$4))+SUMIF(INDIRECT(M$3),'Struktur Vorjahr'!$D227,INDIRECT(M$5)))</f>
        <v>0</v>
      </c>
      <c r="N227" s="593">
        <f ca="1">$E227*(-SUMIF(INDIRECT(N$3),'Struktur Vorjahr'!$D227,INDIRECT(N$4))+SUMIF(INDIRECT(N$3),'Struktur Vorjahr'!$D227,INDIRECT(N$5)))</f>
        <v>0</v>
      </c>
      <c r="O227" s="593">
        <f ca="1">$E227*(-SUMIF(INDIRECT(O$3),'Struktur Vorjahr'!$D227,INDIRECT(O$4))+SUMIF(INDIRECT(O$3),'Struktur Vorjahr'!$D227,INDIRECT(O$5)))</f>
        <v>0</v>
      </c>
      <c r="P227" s="593">
        <f ca="1">$E227*(-SUMIF(INDIRECT(P$3),'Struktur Vorjahr'!$D227,INDIRECT(P$4))+SUMIF(INDIRECT(P$3),'Struktur Vorjahr'!$D227,INDIRECT(P$5)))</f>
        <v>0</v>
      </c>
      <c r="Q227" s="593">
        <f ca="1">$E227*(-SUMIF(INDIRECT(Q$3),'Struktur Vorjahr'!$D227,INDIRECT(Q$4))+SUMIF(INDIRECT(Q$3),'Struktur Vorjahr'!$D227,INDIRECT(Q$5)))</f>
        <v>0</v>
      </c>
      <c r="R227" s="593">
        <f ca="1">$E227*(-SUMIF(INDIRECT(R$3),'Struktur Vorjahr'!$D227,INDIRECT(R$4))+SUMIF(INDIRECT(R$3),'Struktur Vorjahr'!$D227,INDIRECT(R$5)))</f>
        <v>0</v>
      </c>
      <c r="S227" s="593">
        <f ca="1">$E227*(-SUMIF(INDIRECT(S$3),'Struktur Vorjahr'!$D227,INDIRECT(S$4))+SUMIF(INDIRECT(S$3),'Struktur Vorjahr'!$D227,INDIRECT(S$5)))</f>
        <v>0</v>
      </c>
      <c r="T227" s="593">
        <f ca="1">$E227*(-SUMIF(INDIRECT(T$3),'Struktur Vorjahr'!$D227,INDIRECT(T$4))+SUMIF(INDIRECT(T$3),'Struktur Vorjahr'!$D227,INDIRECT(T$5)))</f>
        <v>0</v>
      </c>
      <c r="U227" s="593">
        <f ca="1">$E227*(-SUMIF(INDIRECT(U$3),'Struktur Vorjahr'!$D227,INDIRECT(U$4))+SUMIF(INDIRECT(U$3),'Struktur Vorjahr'!$D227,INDIRECT(U$5)))</f>
        <v>0</v>
      </c>
      <c r="V227" s="593">
        <f ca="1">$E227*(-SUMIF(INDIRECT(V$3),'Struktur Vorjahr'!$D227,INDIRECT(V$4))+SUMIF(INDIRECT(V$3),'Struktur Vorjahr'!$D227,INDIRECT(V$5)))</f>
        <v>0</v>
      </c>
      <c r="W227" s="593">
        <f ca="1">$E227*(-SUMIF(INDIRECT(W$3),'Struktur Vorjahr'!$D227,INDIRECT(W$4))+SUMIF(INDIRECT(W$3),'Struktur Vorjahr'!$D227,INDIRECT(W$5)))</f>
        <v>0</v>
      </c>
      <c r="X227" s="593">
        <f ca="1">$E227*(-SUMIF(INDIRECT(X$3),'Struktur Vorjahr'!$D227,INDIRECT(X$4))+SUMIF(INDIRECT(X$3),'Struktur Vorjahr'!$D227,INDIRECT(X$5)))</f>
        <v>0</v>
      </c>
      <c r="Y227" s="593">
        <f ca="1">$E227*(-SUMIF(INDIRECT(Y$3),'Struktur Vorjahr'!$D227,INDIRECT(Y$4))+SUMIF(INDIRECT(Y$3),'Struktur Vorjahr'!$D227,INDIRECT(Y$5)))</f>
        <v>0</v>
      </c>
      <c r="Z227" s="593">
        <f ca="1">$E227*(-SUMIF(INDIRECT(Z$3),'Struktur Vorjahr'!$D227,INDIRECT(Z$4))+SUMIF(INDIRECT(Z$3),'Struktur Vorjahr'!$D227,INDIRECT(Z$5)))</f>
        <v>0</v>
      </c>
      <c r="AA227" s="593">
        <f ca="1">$E227*(-SUMIF(INDIRECT(AA$3),'Struktur Vorjahr'!$D227,INDIRECT(AA$4))+SUMIF(INDIRECT(AA$3),'Struktur Vorjahr'!$D227,INDIRECT(AA$5)))</f>
        <v>0</v>
      </c>
      <c r="AB227" s="593">
        <f ca="1">$E227*(-SUMIF(INDIRECT(AB$3),'Struktur Vorjahr'!$D227,INDIRECT(AB$4))+SUMIF(INDIRECT(AB$3),'Struktur Vorjahr'!$D227,INDIRECT(AB$5)))</f>
        <v>0</v>
      </c>
      <c r="AC227" s="593">
        <f ca="1">$E227*(-SUMIF(INDIRECT(AC$3),'Struktur Vorjahr'!$D227,INDIRECT(AC$4))+SUMIF(INDIRECT(AC$3),'Struktur Vorjahr'!$D227,INDIRECT(AC$5)))</f>
        <v>0</v>
      </c>
      <c r="AD227" s="593">
        <f ca="1">$E227*(-SUMIF(INDIRECT(AD$3),'Struktur Vorjahr'!$D227,INDIRECT(AD$4))+SUMIF(INDIRECT(AD$3),'Struktur Vorjahr'!$D227,INDIRECT(AD$5)))</f>
        <v>0</v>
      </c>
      <c r="AE227" s="593">
        <f t="shared" ca="1" si="107"/>
        <v>0</v>
      </c>
      <c r="AF227" s="593">
        <f t="shared" ca="1" si="108"/>
        <v>0</v>
      </c>
      <c r="AG227" s="593">
        <f t="shared" ca="1" si="108"/>
        <v>0</v>
      </c>
      <c r="AH227" s="593">
        <f t="shared" ca="1" si="108"/>
        <v>0</v>
      </c>
      <c r="AI227" s="593">
        <f t="shared" ca="1" si="108"/>
        <v>0</v>
      </c>
      <c r="AJ227" s="593">
        <f t="shared" ca="1" si="108"/>
        <v>0</v>
      </c>
      <c r="AK227" s="593">
        <f t="shared" ca="1" si="108"/>
        <v>0</v>
      </c>
      <c r="AL227" s="593">
        <f t="shared" ca="1" si="108"/>
        <v>0</v>
      </c>
      <c r="AM227" s="593">
        <f t="shared" ca="1" si="108"/>
        <v>0</v>
      </c>
      <c r="AN227" s="593">
        <f t="shared" ca="1" si="108"/>
        <v>0</v>
      </c>
      <c r="AO227" s="593">
        <f t="shared" ca="1" si="108"/>
        <v>0</v>
      </c>
      <c r="AP227" s="593">
        <f t="shared" ca="1" si="108"/>
        <v>0</v>
      </c>
    </row>
    <row r="228" spans="1:42" s="589" customFormat="1" x14ac:dyDescent="0.2">
      <c r="A228" s="585">
        <v>21</v>
      </c>
      <c r="B228" s="586" t="s">
        <v>291</v>
      </c>
      <c r="C228" s="587">
        <f ca="1">SUM(G228:R228)</f>
        <v>3010.7300000000005</v>
      </c>
      <c r="D228" s="587"/>
      <c r="E228" s="588">
        <f t="shared" si="105"/>
        <v>1</v>
      </c>
      <c r="F228" s="585"/>
      <c r="G228" s="587">
        <f t="shared" ref="G228:AP228" ca="1" si="109">SUM(G229:G237)</f>
        <v>320.04000000000002</v>
      </c>
      <c r="H228" s="587">
        <f t="shared" ca="1" si="109"/>
        <v>913.2700000000001</v>
      </c>
      <c r="I228" s="587">
        <f t="shared" ca="1" si="109"/>
        <v>120</v>
      </c>
      <c r="J228" s="587">
        <f t="shared" ca="1" si="109"/>
        <v>1756.8400000000001</v>
      </c>
      <c r="K228" s="587">
        <f t="shared" ca="1" si="109"/>
        <v>0</v>
      </c>
      <c r="L228" s="587">
        <f t="shared" ca="1" si="109"/>
        <v>0</v>
      </c>
      <c r="M228" s="587">
        <f t="shared" ca="1" si="109"/>
        <v>-423.27000000000004</v>
      </c>
      <c r="N228" s="587">
        <f t="shared" ca="1" si="109"/>
        <v>300</v>
      </c>
      <c r="O228" s="587">
        <f t="shared" ca="1" si="109"/>
        <v>0</v>
      </c>
      <c r="P228" s="587">
        <f t="shared" ca="1" si="109"/>
        <v>23.85</v>
      </c>
      <c r="Q228" s="587">
        <f t="shared" ca="1" si="109"/>
        <v>0</v>
      </c>
      <c r="R228" s="587">
        <f t="shared" ca="1" si="109"/>
        <v>0</v>
      </c>
      <c r="S228" s="587">
        <f t="shared" ca="1" si="109"/>
        <v>320.04000000000002</v>
      </c>
      <c r="T228" s="587">
        <f t="shared" ca="1" si="109"/>
        <v>1233.31</v>
      </c>
      <c r="U228" s="587">
        <f t="shared" ca="1" si="109"/>
        <v>1353.31</v>
      </c>
      <c r="V228" s="587">
        <f t="shared" ca="1" si="109"/>
        <v>3110.15</v>
      </c>
      <c r="W228" s="587">
        <f t="shared" ca="1" si="109"/>
        <v>3110.15</v>
      </c>
      <c r="X228" s="587">
        <f t="shared" ca="1" si="109"/>
        <v>3110.15</v>
      </c>
      <c r="Y228" s="587">
        <f t="shared" ca="1" si="109"/>
        <v>2686.88</v>
      </c>
      <c r="Z228" s="587">
        <f t="shared" ca="1" si="109"/>
        <v>2986.88</v>
      </c>
      <c r="AA228" s="587">
        <f t="shared" ca="1" si="109"/>
        <v>2986.88</v>
      </c>
      <c r="AB228" s="587">
        <f t="shared" ca="1" si="109"/>
        <v>3010.7299999999996</v>
      </c>
      <c r="AC228" s="587">
        <f t="shared" ca="1" si="109"/>
        <v>0</v>
      </c>
      <c r="AD228" s="587">
        <f t="shared" ca="1" si="109"/>
        <v>0</v>
      </c>
      <c r="AE228" s="587">
        <f t="shared" ca="1" si="109"/>
        <v>320.04000000000002</v>
      </c>
      <c r="AF228" s="587">
        <f t="shared" ca="1" si="109"/>
        <v>1233.31</v>
      </c>
      <c r="AG228" s="587">
        <f t="shared" ca="1" si="109"/>
        <v>1353.31</v>
      </c>
      <c r="AH228" s="587">
        <f t="shared" ca="1" si="109"/>
        <v>3110.1500000000005</v>
      </c>
      <c r="AI228" s="587">
        <f t="shared" ca="1" si="109"/>
        <v>3110.1500000000005</v>
      </c>
      <c r="AJ228" s="587">
        <f t="shared" ca="1" si="109"/>
        <v>3110.1500000000005</v>
      </c>
      <c r="AK228" s="587">
        <f t="shared" ca="1" si="109"/>
        <v>2686.88</v>
      </c>
      <c r="AL228" s="587">
        <f t="shared" ca="1" si="109"/>
        <v>2986.88</v>
      </c>
      <c r="AM228" s="587">
        <f t="shared" ca="1" si="109"/>
        <v>2986.88</v>
      </c>
      <c r="AN228" s="587">
        <f t="shared" ca="1" si="109"/>
        <v>3010.7300000000005</v>
      </c>
      <c r="AO228" s="587">
        <f t="shared" ca="1" si="109"/>
        <v>3010.7300000000005</v>
      </c>
      <c r="AP228" s="587">
        <f t="shared" ca="1" si="109"/>
        <v>3010.7300000000005</v>
      </c>
    </row>
    <row r="229" spans="1:42" s="594" customFormat="1" ht="11.25" outlineLevel="1" x14ac:dyDescent="0.2">
      <c r="A229" s="590"/>
      <c r="B229" s="591" t="str">
        <f>IF(D229&lt;&gt;"",
IF(ISERROR(MATCH(D229,'Ist Vorjahr Monat 01'!A:A,0))=FALSE,INDEX('Ist Vorjahr Monat 01'!B:B,MATCH(D229,'Ist Vorjahr Monat 01'!A:A,0)),
IF(ISERROR(MATCH(D229,'Ist Vorjahr Monat 02'!A:A,0))=FALSE,INDEX('Ist Vorjahr Monat 02'!B:B,MATCH(D229,'Ist Vorjahr Monat 02'!A:A,0)),
IF(ISERROR(MATCH(D229,'Ist Vorjahr Monat 03'!A:A,0))=FALSE,INDEX('Ist Vorjahr Monat 03'!B:B,MATCH(D229,'Ist Vorjahr Monat 03'!A:A,0)),
IF(ISERROR(MATCH(D229,'Ist Vorjahr Monat 04'!A:A,0))=FALSE,INDEX('Ist Vorjahr Monat 04'!B:B,MATCH(D229,'Ist Vorjahr Monat 04'!A:A,0)),
IF(ISERROR(MATCH(D229,'Ist Vorjahr Monat 05'!A:A,0))=FALSE,INDEX('Ist Vorjahr Monat 05'!B:B,MATCH(D229,'Ist Vorjahr Monat 05'!A:A,0)),
IF(ISERROR(MATCH(D229,'Ist Vorjahr Monat 06'!A:A,0))=FALSE,INDEX('Ist Vorjahr Monat 06'!B:B,MATCH(D229,'Ist Vorjahr Monat 06'!A:A,0)),
IF(ISERROR(MATCH(D229,'Ist Vorjahr Monat 07'!A:A,0))=FALSE,INDEX('Ist Vorjahr Monat 07'!B:B,MATCH(D229,'Ist Vorjahr Monat 07'!A:A,0)),
IF(ISERROR(MATCH(D229,'Ist Vorjahr Monat 08'!A:A,0))=FALSE,INDEX('Ist Vorjahr Monat 08'!B:B,MATCH(D229,'Ist Vorjahr Monat 08'!A:A,0)),
IF(ISERROR(MATCH(D229,'Ist Vorjahr Monat 09'!A:A,0))=FALSE,INDEX('Ist Vorjahr Monat 09'!B:B,MATCH(D229,'Ist Vorjahr Monat 09'!A:A,0)),
IF(ISERROR(MATCH(D229,'Ist Vorjahr Monat 10'!A:A,0))=FALSE,INDEX('Ist Vorjahr Monat 10'!B:B,MATCH(D229,'Ist Vorjahr Monat 10'!A:A,0)),
IF(ISERROR(MATCH(D229,'Ist Vorjahr Monat 11'!A:A,0))=FALSE,INDEX('Ist Vorjahr Monat 11'!B:B,MATCH(D229,'Ist Vorjahr Monat 11'!A:A,0)),
IF(ISERROR(MATCH(D229,'Ist Vorjahr Monat 12'!A:A,0))=FALSE,INDEX('Ist Vorjahr Monat 12'!B:B,MATCH(D229,'Ist Vorjahr Monat 12'!A:A,0)),
"{Konto unbekannt}"
)))))))))))),"")</f>
        <v>Versicherungen</v>
      </c>
      <c r="C229" s="591"/>
      <c r="D229" s="590">
        <v>4360</v>
      </c>
      <c r="E229" s="592">
        <f t="shared" si="105"/>
        <v>1</v>
      </c>
      <c r="F229" s="590"/>
      <c r="G229" s="593">
        <f ca="1">$E229*(-SUMIF(INDIRECT(G$3),'Struktur Vorjahr'!$D229,INDIRECT(G$4))+SUMIF(INDIRECT(G$3),'Struktur Vorjahr'!$D229,INDIRECT(G$5)))</f>
        <v>0</v>
      </c>
      <c r="H229" s="593">
        <f ca="1">$E229*(-SUMIF(INDIRECT(H$3),'Struktur Vorjahr'!$D229,INDIRECT(H$4))+SUMIF(INDIRECT(H$3),'Struktur Vorjahr'!$D229,INDIRECT(H$5)))</f>
        <v>209.08</v>
      </c>
      <c r="I229" s="593">
        <f ca="1">$E229*(-SUMIF(INDIRECT(I$3),'Struktur Vorjahr'!$D229,INDIRECT(I$4))+SUMIF(INDIRECT(I$3),'Struktur Vorjahr'!$D229,INDIRECT(I$5)))</f>
        <v>0</v>
      </c>
      <c r="J229" s="593">
        <f ca="1">$E229*(-SUMIF(INDIRECT(J$3),'Struktur Vorjahr'!$D229,INDIRECT(J$4))+SUMIF(INDIRECT(J$3),'Struktur Vorjahr'!$D229,INDIRECT(J$5)))</f>
        <v>1862.2</v>
      </c>
      <c r="K229" s="593">
        <f ca="1">$E229*(-SUMIF(INDIRECT(K$3),'Struktur Vorjahr'!$D229,INDIRECT(K$4))+SUMIF(INDIRECT(K$3),'Struktur Vorjahr'!$D229,INDIRECT(K$5)))</f>
        <v>0</v>
      </c>
      <c r="L229" s="593">
        <f ca="1">$E229*(-SUMIF(INDIRECT(L$3),'Struktur Vorjahr'!$D229,INDIRECT(L$4))+SUMIF(INDIRECT(L$3),'Struktur Vorjahr'!$D229,INDIRECT(L$5)))</f>
        <v>0</v>
      </c>
      <c r="M229" s="593">
        <f ca="1">$E229*(-SUMIF(INDIRECT(M$3),'Struktur Vorjahr'!$D229,INDIRECT(M$4))+SUMIF(INDIRECT(M$3),'Struktur Vorjahr'!$D229,INDIRECT(M$5)))</f>
        <v>-467.16</v>
      </c>
      <c r="N229" s="593">
        <f ca="1">$E229*(-SUMIF(INDIRECT(N$3),'Struktur Vorjahr'!$D229,INDIRECT(N$4))+SUMIF(INDIRECT(N$3),'Struktur Vorjahr'!$D229,INDIRECT(N$5)))</f>
        <v>0</v>
      </c>
      <c r="O229" s="593">
        <f ca="1">$E229*(-SUMIF(INDIRECT(O$3),'Struktur Vorjahr'!$D229,INDIRECT(O$4))+SUMIF(INDIRECT(O$3),'Struktur Vorjahr'!$D229,INDIRECT(O$5)))</f>
        <v>0</v>
      </c>
      <c r="P229" s="593">
        <f ca="1">$E229*(-SUMIF(INDIRECT(P$3),'Struktur Vorjahr'!$D229,INDIRECT(P$4))+SUMIF(INDIRECT(P$3),'Struktur Vorjahr'!$D229,INDIRECT(P$5)))</f>
        <v>0</v>
      </c>
      <c r="Q229" s="593">
        <f ca="1">$E229*(-SUMIF(INDIRECT(Q$3),'Struktur Vorjahr'!$D229,INDIRECT(Q$4))+SUMIF(INDIRECT(Q$3),'Struktur Vorjahr'!$D229,INDIRECT(Q$5)))</f>
        <v>0</v>
      </c>
      <c r="R229" s="593">
        <f ca="1">$E229*(-SUMIF(INDIRECT(R$3),'Struktur Vorjahr'!$D229,INDIRECT(R$4))+SUMIF(INDIRECT(R$3),'Struktur Vorjahr'!$D229,INDIRECT(R$5)))</f>
        <v>0</v>
      </c>
      <c r="S229" s="593">
        <f ca="1">$E229*(-SUMIF(INDIRECT(S$3),'Struktur Vorjahr'!$D229,INDIRECT(S$4))+SUMIF(INDIRECT(S$3),'Struktur Vorjahr'!$D229,INDIRECT(S$5)))</f>
        <v>0</v>
      </c>
      <c r="T229" s="593">
        <f ca="1">$E229*(-SUMIF(INDIRECT(T$3),'Struktur Vorjahr'!$D229,INDIRECT(T$4))+SUMIF(INDIRECT(T$3),'Struktur Vorjahr'!$D229,INDIRECT(T$5)))</f>
        <v>209.08</v>
      </c>
      <c r="U229" s="593">
        <f ca="1">$E229*(-SUMIF(INDIRECT(U$3),'Struktur Vorjahr'!$D229,INDIRECT(U$4))+SUMIF(INDIRECT(U$3),'Struktur Vorjahr'!$D229,INDIRECT(U$5)))</f>
        <v>209.08</v>
      </c>
      <c r="V229" s="593">
        <f ca="1">$E229*(-SUMIF(INDIRECT(V$3),'Struktur Vorjahr'!$D229,INDIRECT(V$4))+SUMIF(INDIRECT(V$3),'Struktur Vorjahr'!$D229,INDIRECT(V$5)))</f>
        <v>2071.2800000000002</v>
      </c>
      <c r="W229" s="593">
        <f ca="1">$E229*(-SUMIF(INDIRECT(W$3),'Struktur Vorjahr'!$D229,INDIRECT(W$4))+SUMIF(INDIRECT(W$3),'Struktur Vorjahr'!$D229,INDIRECT(W$5)))</f>
        <v>2071.2800000000002</v>
      </c>
      <c r="X229" s="593">
        <f ca="1">$E229*(-SUMIF(INDIRECT(X$3),'Struktur Vorjahr'!$D229,INDIRECT(X$4))+SUMIF(INDIRECT(X$3),'Struktur Vorjahr'!$D229,INDIRECT(X$5)))</f>
        <v>2071.2800000000002</v>
      </c>
      <c r="Y229" s="593">
        <f ca="1">$E229*(-SUMIF(INDIRECT(Y$3),'Struktur Vorjahr'!$D229,INDIRECT(Y$4))+SUMIF(INDIRECT(Y$3),'Struktur Vorjahr'!$D229,INDIRECT(Y$5)))</f>
        <v>1604.12</v>
      </c>
      <c r="Z229" s="593">
        <f ca="1">$E229*(-SUMIF(INDIRECT(Z$3),'Struktur Vorjahr'!$D229,INDIRECT(Z$4))+SUMIF(INDIRECT(Z$3),'Struktur Vorjahr'!$D229,INDIRECT(Z$5)))</f>
        <v>1604.12</v>
      </c>
      <c r="AA229" s="593">
        <f ca="1">$E229*(-SUMIF(INDIRECT(AA$3),'Struktur Vorjahr'!$D229,INDIRECT(AA$4))+SUMIF(INDIRECT(AA$3),'Struktur Vorjahr'!$D229,INDIRECT(AA$5)))</f>
        <v>1604.12</v>
      </c>
      <c r="AB229" s="593">
        <f ca="1">$E229*(-SUMIF(INDIRECT(AB$3),'Struktur Vorjahr'!$D229,INDIRECT(AB$4))+SUMIF(INDIRECT(AB$3),'Struktur Vorjahr'!$D229,INDIRECT(AB$5)))</f>
        <v>1604.12</v>
      </c>
      <c r="AC229" s="593">
        <f ca="1">$E229*(-SUMIF(INDIRECT(AC$3),'Struktur Vorjahr'!$D229,INDIRECT(AC$4))+SUMIF(INDIRECT(AC$3),'Struktur Vorjahr'!$D229,INDIRECT(AC$5)))</f>
        <v>0</v>
      </c>
      <c r="AD229" s="593">
        <f ca="1">$E229*(-SUMIF(INDIRECT(AD$3),'Struktur Vorjahr'!$D229,INDIRECT(AD$4))+SUMIF(INDIRECT(AD$3),'Struktur Vorjahr'!$D229,INDIRECT(AD$5)))</f>
        <v>0</v>
      </c>
      <c r="AE229" s="593">
        <f t="shared" ref="AE229:AE237" ca="1" si="110">G229</f>
        <v>0</v>
      </c>
      <c r="AF229" s="593">
        <f t="shared" ref="AF229:AP237" ca="1" si="111">H229+AE229</f>
        <v>209.08</v>
      </c>
      <c r="AG229" s="593">
        <f t="shared" ca="1" si="111"/>
        <v>209.08</v>
      </c>
      <c r="AH229" s="593">
        <f t="shared" ca="1" si="111"/>
        <v>2071.2800000000002</v>
      </c>
      <c r="AI229" s="593">
        <f t="shared" ca="1" si="111"/>
        <v>2071.2800000000002</v>
      </c>
      <c r="AJ229" s="593">
        <f t="shared" ca="1" si="111"/>
        <v>2071.2800000000002</v>
      </c>
      <c r="AK229" s="593">
        <f t="shared" ca="1" si="111"/>
        <v>1604.1200000000001</v>
      </c>
      <c r="AL229" s="593">
        <f t="shared" ca="1" si="111"/>
        <v>1604.1200000000001</v>
      </c>
      <c r="AM229" s="593">
        <f t="shared" ca="1" si="111"/>
        <v>1604.1200000000001</v>
      </c>
      <c r="AN229" s="593">
        <f t="shared" ca="1" si="111"/>
        <v>1604.1200000000001</v>
      </c>
      <c r="AO229" s="593">
        <f t="shared" ca="1" si="111"/>
        <v>1604.1200000000001</v>
      </c>
      <c r="AP229" s="593">
        <f t="shared" ca="1" si="111"/>
        <v>1604.1200000000001</v>
      </c>
    </row>
    <row r="230" spans="1:42" s="594" customFormat="1" ht="11.25" outlineLevel="1" x14ac:dyDescent="0.2">
      <c r="A230" s="590"/>
      <c r="B230" s="591" t="str">
        <f>IF(D230&lt;&gt;"",
IF(ISERROR(MATCH(D230,'Ist Vorjahr Monat 01'!A:A,0))=FALSE,INDEX('Ist Vorjahr Monat 01'!B:B,MATCH(D230,'Ist Vorjahr Monat 01'!A:A,0)),
IF(ISERROR(MATCH(D230,'Ist Vorjahr Monat 02'!A:A,0))=FALSE,INDEX('Ist Vorjahr Monat 02'!B:B,MATCH(D230,'Ist Vorjahr Monat 02'!A:A,0)),
IF(ISERROR(MATCH(D230,'Ist Vorjahr Monat 03'!A:A,0))=FALSE,INDEX('Ist Vorjahr Monat 03'!B:B,MATCH(D230,'Ist Vorjahr Monat 03'!A:A,0)),
IF(ISERROR(MATCH(D230,'Ist Vorjahr Monat 04'!A:A,0))=FALSE,INDEX('Ist Vorjahr Monat 04'!B:B,MATCH(D230,'Ist Vorjahr Monat 04'!A:A,0)),
IF(ISERROR(MATCH(D230,'Ist Vorjahr Monat 05'!A:A,0))=FALSE,INDEX('Ist Vorjahr Monat 05'!B:B,MATCH(D230,'Ist Vorjahr Monat 05'!A:A,0)),
IF(ISERROR(MATCH(D230,'Ist Vorjahr Monat 06'!A:A,0))=FALSE,INDEX('Ist Vorjahr Monat 06'!B:B,MATCH(D230,'Ist Vorjahr Monat 06'!A:A,0)),
IF(ISERROR(MATCH(D230,'Ist Vorjahr Monat 07'!A:A,0))=FALSE,INDEX('Ist Vorjahr Monat 07'!B:B,MATCH(D230,'Ist Vorjahr Monat 07'!A:A,0)),
IF(ISERROR(MATCH(D230,'Ist Vorjahr Monat 08'!A:A,0))=FALSE,INDEX('Ist Vorjahr Monat 08'!B:B,MATCH(D230,'Ist Vorjahr Monat 08'!A:A,0)),
IF(ISERROR(MATCH(D230,'Ist Vorjahr Monat 09'!A:A,0))=FALSE,INDEX('Ist Vorjahr Monat 09'!B:B,MATCH(D230,'Ist Vorjahr Monat 09'!A:A,0)),
IF(ISERROR(MATCH(D230,'Ist Vorjahr Monat 10'!A:A,0))=FALSE,INDEX('Ist Vorjahr Monat 10'!B:B,MATCH(D230,'Ist Vorjahr Monat 10'!A:A,0)),
IF(ISERROR(MATCH(D230,'Ist Vorjahr Monat 11'!A:A,0))=FALSE,INDEX('Ist Vorjahr Monat 11'!B:B,MATCH(D230,'Ist Vorjahr Monat 11'!A:A,0)),
IF(ISERROR(MATCH(D230,'Ist Vorjahr Monat 12'!A:A,0))=FALSE,INDEX('Ist Vorjahr Monat 12'!B:B,MATCH(D230,'Ist Vorjahr Monat 12'!A:A,0)),
"{Konto unbekannt}"
)))))))))))),"")</f>
        <v>Beiträge</v>
      </c>
      <c r="C230" s="591"/>
      <c r="D230" s="590">
        <v>4380</v>
      </c>
      <c r="E230" s="592">
        <f t="shared" si="105"/>
        <v>1</v>
      </c>
      <c r="F230" s="590"/>
      <c r="G230" s="593">
        <f ca="1">$E230*(-SUMIF(INDIRECT(G$3),'Struktur Vorjahr'!$D230,INDIRECT(G$4))+SUMIF(INDIRECT(G$3),'Struktur Vorjahr'!$D230,INDIRECT(G$5)))</f>
        <v>320.04000000000002</v>
      </c>
      <c r="H230" s="593">
        <f ca="1">$E230*(-SUMIF(INDIRECT(H$3),'Struktur Vorjahr'!$D230,INDIRECT(H$4))+SUMIF(INDIRECT(H$3),'Struktur Vorjahr'!$D230,INDIRECT(H$5)))</f>
        <v>704.19</v>
      </c>
      <c r="I230" s="593">
        <f ca="1">$E230*(-SUMIF(INDIRECT(I$3),'Struktur Vorjahr'!$D230,INDIRECT(I$4))+SUMIF(INDIRECT(I$3),'Struktur Vorjahr'!$D230,INDIRECT(I$5)))</f>
        <v>120</v>
      </c>
      <c r="J230" s="593">
        <f ca="1">$E230*(-SUMIF(INDIRECT(J$3),'Struktur Vorjahr'!$D230,INDIRECT(J$4))+SUMIF(INDIRECT(J$3),'Struktur Vorjahr'!$D230,INDIRECT(J$5)))</f>
        <v>-105.36</v>
      </c>
      <c r="K230" s="593">
        <f ca="1">$E230*(-SUMIF(INDIRECT(K$3),'Struktur Vorjahr'!$D230,INDIRECT(K$4))+SUMIF(INDIRECT(K$3),'Struktur Vorjahr'!$D230,INDIRECT(K$5)))</f>
        <v>0</v>
      </c>
      <c r="L230" s="593">
        <f ca="1">$E230*(-SUMIF(INDIRECT(L$3),'Struktur Vorjahr'!$D230,INDIRECT(L$4))+SUMIF(INDIRECT(L$3),'Struktur Vorjahr'!$D230,INDIRECT(L$5)))</f>
        <v>0</v>
      </c>
      <c r="M230" s="593">
        <f ca="1">$E230*(-SUMIF(INDIRECT(M$3),'Struktur Vorjahr'!$D230,INDIRECT(M$4))+SUMIF(INDIRECT(M$3),'Struktur Vorjahr'!$D230,INDIRECT(M$5)))</f>
        <v>43.89</v>
      </c>
      <c r="N230" s="593">
        <f ca="1">$E230*(-SUMIF(INDIRECT(N$3),'Struktur Vorjahr'!$D230,INDIRECT(N$4))+SUMIF(INDIRECT(N$3),'Struktur Vorjahr'!$D230,INDIRECT(N$5)))</f>
        <v>300</v>
      </c>
      <c r="O230" s="593">
        <f ca="1">$E230*(-SUMIF(INDIRECT(O$3),'Struktur Vorjahr'!$D230,INDIRECT(O$4))+SUMIF(INDIRECT(O$3),'Struktur Vorjahr'!$D230,INDIRECT(O$5)))</f>
        <v>0</v>
      </c>
      <c r="P230" s="593">
        <f ca="1">$E230*(-SUMIF(INDIRECT(P$3),'Struktur Vorjahr'!$D230,INDIRECT(P$4))+SUMIF(INDIRECT(P$3),'Struktur Vorjahr'!$D230,INDIRECT(P$5)))</f>
        <v>23.85</v>
      </c>
      <c r="Q230" s="593">
        <f ca="1">$E230*(-SUMIF(INDIRECT(Q$3),'Struktur Vorjahr'!$D230,INDIRECT(Q$4))+SUMIF(INDIRECT(Q$3),'Struktur Vorjahr'!$D230,INDIRECT(Q$5)))</f>
        <v>0</v>
      </c>
      <c r="R230" s="593">
        <f ca="1">$E230*(-SUMIF(INDIRECT(R$3),'Struktur Vorjahr'!$D230,INDIRECT(R$4))+SUMIF(INDIRECT(R$3),'Struktur Vorjahr'!$D230,INDIRECT(R$5)))</f>
        <v>0</v>
      </c>
      <c r="S230" s="593">
        <f ca="1">$E230*(-SUMIF(INDIRECT(S$3),'Struktur Vorjahr'!$D230,INDIRECT(S$4))+SUMIF(INDIRECT(S$3),'Struktur Vorjahr'!$D230,INDIRECT(S$5)))</f>
        <v>320.04000000000002</v>
      </c>
      <c r="T230" s="593">
        <f ca="1">$E230*(-SUMIF(INDIRECT(T$3),'Struktur Vorjahr'!$D230,INDIRECT(T$4))+SUMIF(INDIRECT(T$3),'Struktur Vorjahr'!$D230,INDIRECT(T$5)))</f>
        <v>1024.23</v>
      </c>
      <c r="U230" s="593">
        <f ca="1">$E230*(-SUMIF(INDIRECT(U$3),'Struktur Vorjahr'!$D230,INDIRECT(U$4))+SUMIF(INDIRECT(U$3),'Struktur Vorjahr'!$D230,INDIRECT(U$5)))</f>
        <v>1144.23</v>
      </c>
      <c r="V230" s="593">
        <f ca="1">$E230*(-SUMIF(INDIRECT(V$3),'Struktur Vorjahr'!$D230,INDIRECT(V$4))+SUMIF(INDIRECT(V$3),'Struktur Vorjahr'!$D230,INDIRECT(V$5)))</f>
        <v>1038.8699999999999</v>
      </c>
      <c r="W230" s="593">
        <f ca="1">$E230*(-SUMIF(INDIRECT(W$3),'Struktur Vorjahr'!$D230,INDIRECT(W$4))+SUMIF(INDIRECT(W$3),'Struktur Vorjahr'!$D230,INDIRECT(W$5)))</f>
        <v>1038.8699999999999</v>
      </c>
      <c r="X230" s="593">
        <f ca="1">$E230*(-SUMIF(INDIRECT(X$3),'Struktur Vorjahr'!$D230,INDIRECT(X$4))+SUMIF(INDIRECT(X$3),'Struktur Vorjahr'!$D230,INDIRECT(X$5)))</f>
        <v>1038.8699999999999</v>
      </c>
      <c r="Y230" s="593">
        <f ca="1">$E230*(-SUMIF(INDIRECT(Y$3),'Struktur Vorjahr'!$D230,INDIRECT(Y$4))+SUMIF(INDIRECT(Y$3),'Struktur Vorjahr'!$D230,INDIRECT(Y$5)))</f>
        <v>1082.76</v>
      </c>
      <c r="Z230" s="593">
        <f ca="1">$E230*(-SUMIF(INDIRECT(Z$3),'Struktur Vorjahr'!$D230,INDIRECT(Z$4))+SUMIF(INDIRECT(Z$3),'Struktur Vorjahr'!$D230,INDIRECT(Z$5)))</f>
        <v>1382.76</v>
      </c>
      <c r="AA230" s="593">
        <f ca="1">$E230*(-SUMIF(INDIRECT(AA$3),'Struktur Vorjahr'!$D230,INDIRECT(AA$4))+SUMIF(INDIRECT(AA$3),'Struktur Vorjahr'!$D230,INDIRECT(AA$5)))</f>
        <v>1382.76</v>
      </c>
      <c r="AB230" s="593">
        <f ca="1">$E230*(-SUMIF(INDIRECT(AB$3),'Struktur Vorjahr'!$D230,INDIRECT(AB$4))+SUMIF(INDIRECT(AB$3),'Struktur Vorjahr'!$D230,INDIRECT(AB$5)))</f>
        <v>1406.61</v>
      </c>
      <c r="AC230" s="593">
        <f ca="1">$E230*(-SUMIF(INDIRECT(AC$3),'Struktur Vorjahr'!$D230,INDIRECT(AC$4))+SUMIF(INDIRECT(AC$3),'Struktur Vorjahr'!$D230,INDIRECT(AC$5)))</f>
        <v>0</v>
      </c>
      <c r="AD230" s="593">
        <f ca="1">$E230*(-SUMIF(INDIRECT(AD$3),'Struktur Vorjahr'!$D230,INDIRECT(AD$4))+SUMIF(INDIRECT(AD$3),'Struktur Vorjahr'!$D230,INDIRECT(AD$5)))</f>
        <v>0</v>
      </c>
      <c r="AE230" s="593">
        <f t="shared" ca="1" si="110"/>
        <v>320.04000000000002</v>
      </c>
      <c r="AF230" s="593">
        <f t="shared" ca="1" si="111"/>
        <v>1024.23</v>
      </c>
      <c r="AG230" s="593">
        <f t="shared" ca="1" si="111"/>
        <v>1144.23</v>
      </c>
      <c r="AH230" s="593">
        <f t="shared" ca="1" si="111"/>
        <v>1038.8700000000001</v>
      </c>
      <c r="AI230" s="593">
        <f t="shared" ca="1" si="111"/>
        <v>1038.8700000000001</v>
      </c>
      <c r="AJ230" s="593">
        <f t="shared" ca="1" si="111"/>
        <v>1038.8700000000001</v>
      </c>
      <c r="AK230" s="593">
        <f t="shared" ca="1" si="111"/>
        <v>1082.7600000000002</v>
      </c>
      <c r="AL230" s="593">
        <f t="shared" ca="1" si="111"/>
        <v>1382.7600000000002</v>
      </c>
      <c r="AM230" s="593">
        <f t="shared" ca="1" si="111"/>
        <v>1382.7600000000002</v>
      </c>
      <c r="AN230" s="593">
        <f t="shared" ca="1" si="111"/>
        <v>1406.6100000000001</v>
      </c>
      <c r="AO230" s="593">
        <f t="shared" ca="1" si="111"/>
        <v>1406.6100000000001</v>
      </c>
      <c r="AP230" s="593">
        <f t="shared" ca="1" si="111"/>
        <v>1406.6100000000001</v>
      </c>
    </row>
    <row r="231" spans="1:42" s="594" customFormat="1" ht="11.25" outlineLevel="1" x14ac:dyDescent="0.2">
      <c r="A231" s="590"/>
      <c r="B231" s="591" t="str">
        <f>IF(D231&lt;&gt;"",
IF(ISERROR(MATCH(D231,'Ist Vorjahr Monat 01'!A:A,0))=FALSE,INDEX('Ist Vorjahr Monat 01'!B:B,MATCH(D231,'Ist Vorjahr Monat 01'!A:A,0)),
IF(ISERROR(MATCH(D231,'Ist Vorjahr Monat 02'!A:A,0))=FALSE,INDEX('Ist Vorjahr Monat 02'!B:B,MATCH(D231,'Ist Vorjahr Monat 02'!A:A,0)),
IF(ISERROR(MATCH(D231,'Ist Vorjahr Monat 03'!A:A,0))=FALSE,INDEX('Ist Vorjahr Monat 03'!B:B,MATCH(D231,'Ist Vorjahr Monat 03'!A:A,0)),
IF(ISERROR(MATCH(D231,'Ist Vorjahr Monat 04'!A:A,0))=FALSE,INDEX('Ist Vorjahr Monat 04'!B:B,MATCH(D231,'Ist Vorjahr Monat 04'!A:A,0)),
IF(ISERROR(MATCH(D231,'Ist Vorjahr Monat 05'!A:A,0))=FALSE,INDEX('Ist Vorjahr Monat 05'!B:B,MATCH(D231,'Ist Vorjahr Monat 05'!A:A,0)),
IF(ISERROR(MATCH(D231,'Ist Vorjahr Monat 06'!A:A,0))=FALSE,INDEX('Ist Vorjahr Monat 06'!B:B,MATCH(D231,'Ist Vorjahr Monat 06'!A:A,0)),
IF(ISERROR(MATCH(D231,'Ist Vorjahr Monat 07'!A:A,0))=FALSE,INDEX('Ist Vorjahr Monat 07'!B:B,MATCH(D231,'Ist Vorjahr Monat 07'!A:A,0)),
IF(ISERROR(MATCH(D231,'Ist Vorjahr Monat 08'!A:A,0))=FALSE,INDEX('Ist Vorjahr Monat 08'!B:B,MATCH(D231,'Ist Vorjahr Monat 08'!A:A,0)),
IF(ISERROR(MATCH(D231,'Ist Vorjahr Monat 09'!A:A,0))=FALSE,INDEX('Ist Vorjahr Monat 09'!B:B,MATCH(D231,'Ist Vorjahr Monat 09'!A:A,0)),
IF(ISERROR(MATCH(D231,'Ist Vorjahr Monat 10'!A:A,0))=FALSE,INDEX('Ist Vorjahr Monat 10'!B:B,MATCH(D231,'Ist Vorjahr Monat 10'!A:A,0)),
IF(ISERROR(MATCH(D231,'Ist Vorjahr Monat 11'!A:A,0))=FALSE,INDEX('Ist Vorjahr Monat 11'!B:B,MATCH(D231,'Ist Vorjahr Monat 11'!A:A,0)),
IF(ISERROR(MATCH(D231,'Ist Vorjahr Monat 12'!A:A,0))=FALSE,INDEX('Ist Vorjahr Monat 12'!B:B,MATCH(D231,'Ist Vorjahr Monat 12'!A:A,0)),
"{Konto unbekannt}"
)))))))))))),"")</f>
        <v/>
      </c>
      <c r="C231" s="591"/>
      <c r="D231" s="590"/>
      <c r="E231" s="592">
        <f t="shared" si="105"/>
        <v>1</v>
      </c>
      <c r="F231" s="590"/>
      <c r="G231" s="593">
        <f ca="1">$E231*(-SUMIF(INDIRECT(G$3),'Struktur Vorjahr'!$D231,INDIRECT(G$4))+SUMIF(INDIRECT(G$3),'Struktur Vorjahr'!$D231,INDIRECT(G$5)))</f>
        <v>0</v>
      </c>
      <c r="H231" s="593">
        <f ca="1">$E231*(-SUMIF(INDIRECT(H$3),'Struktur Vorjahr'!$D231,INDIRECT(H$4))+SUMIF(INDIRECT(H$3),'Struktur Vorjahr'!$D231,INDIRECT(H$5)))</f>
        <v>0</v>
      </c>
      <c r="I231" s="593">
        <f ca="1">$E231*(-SUMIF(INDIRECT(I$3),'Struktur Vorjahr'!$D231,INDIRECT(I$4))+SUMIF(INDIRECT(I$3),'Struktur Vorjahr'!$D231,INDIRECT(I$5)))</f>
        <v>0</v>
      </c>
      <c r="J231" s="593">
        <f ca="1">$E231*(-SUMIF(INDIRECT(J$3),'Struktur Vorjahr'!$D231,INDIRECT(J$4))+SUMIF(INDIRECT(J$3),'Struktur Vorjahr'!$D231,INDIRECT(J$5)))</f>
        <v>0</v>
      </c>
      <c r="K231" s="593">
        <f ca="1">$E231*(-SUMIF(INDIRECT(K$3),'Struktur Vorjahr'!$D231,INDIRECT(K$4))+SUMIF(INDIRECT(K$3),'Struktur Vorjahr'!$D231,INDIRECT(K$5)))</f>
        <v>0</v>
      </c>
      <c r="L231" s="593">
        <f ca="1">$E231*(-SUMIF(INDIRECT(L$3),'Struktur Vorjahr'!$D231,INDIRECT(L$4))+SUMIF(INDIRECT(L$3),'Struktur Vorjahr'!$D231,INDIRECT(L$5)))</f>
        <v>0</v>
      </c>
      <c r="M231" s="593">
        <f ca="1">$E231*(-SUMIF(INDIRECT(M$3),'Struktur Vorjahr'!$D231,INDIRECT(M$4))+SUMIF(INDIRECT(M$3),'Struktur Vorjahr'!$D231,INDIRECT(M$5)))</f>
        <v>0</v>
      </c>
      <c r="N231" s="593">
        <f ca="1">$E231*(-SUMIF(INDIRECT(N$3),'Struktur Vorjahr'!$D231,INDIRECT(N$4))+SUMIF(INDIRECT(N$3),'Struktur Vorjahr'!$D231,INDIRECT(N$5)))</f>
        <v>0</v>
      </c>
      <c r="O231" s="593">
        <f ca="1">$E231*(-SUMIF(INDIRECT(O$3),'Struktur Vorjahr'!$D231,INDIRECT(O$4))+SUMIF(INDIRECT(O$3),'Struktur Vorjahr'!$D231,INDIRECT(O$5)))</f>
        <v>0</v>
      </c>
      <c r="P231" s="593">
        <f ca="1">$E231*(-SUMIF(INDIRECT(P$3),'Struktur Vorjahr'!$D231,INDIRECT(P$4))+SUMIF(INDIRECT(P$3),'Struktur Vorjahr'!$D231,INDIRECT(P$5)))</f>
        <v>0</v>
      </c>
      <c r="Q231" s="593">
        <f ca="1">$E231*(-SUMIF(INDIRECT(Q$3),'Struktur Vorjahr'!$D231,INDIRECT(Q$4))+SUMIF(INDIRECT(Q$3),'Struktur Vorjahr'!$D231,INDIRECT(Q$5)))</f>
        <v>0</v>
      </c>
      <c r="R231" s="593">
        <f ca="1">$E231*(-SUMIF(INDIRECT(R$3),'Struktur Vorjahr'!$D231,INDIRECT(R$4))+SUMIF(INDIRECT(R$3),'Struktur Vorjahr'!$D231,INDIRECT(R$5)))</f>
        <v>0</v>
      </c>
      <c r="S231" s="593">
        <f ca="1">$E231*(-SUMIF(INDIRECT(S$3),'Struktur Vorjahr'!$D231,INDIRECT(S$4))+SUMIF(INDIRECT(S$3),'Struktur Vorjahr'!$D231,INDIRECT(S$5)))</f>
        <v>0</v>
      </c>
      <c r="T231" s="593">
        <f ca="1">$E231*(-SUMIF(INDIRECT(T$3),'Struktur Vorjahr'!$D231,INDIRECT(T$4))+SUMIF(INDIRECT(T$3),'Struktur Vorjahr'!$D231,INDIRECT(T$5)))</f>
        <v>0</v>
      </c>
      <c r="U231" s="593">
        <f ca="1">$E231*(-SUMIF(INDIRECT(U$3),'Struktur Vorjahr'!$D231,INDIRECT(U$4))+SUMIF(INDIRECT(U$3),'Struktur Vorjahr'!$D231,INDIRECT(U$5)))</f>
        <v>0</v>
      </c>
      <c r="V231" s="593">
        <f ca="1">$E231*(-SUMIF(INDIRECT(V$3),'Struktur Vorjahr'!$D231,INDIRECT(V$4))+SUMIF(INDIRECT(V$3),'Struktur Vorjahr'!$D231,INDIRECT(V$5)))</f>
        <v>0</v>
      </c>
      <c r="W231" s="593">
        <f ca="1">$E231*(-SUMIF(INDIRECT(W$3),'Struktur Vorjahr'!$D231,INDIRECT(W$4))+SUMIF(INDIRECT(W$3),'Struktur Vorjahr'!$D231,INDIRECT(W$5)))</f>
        <v>0</v>
      </c>
      <c r="X231" s="593">
        <f ca="1">$E231*(-SUMIF(INDIRECT(X$3),'Struktur Vorjahr'!$D231,INDIRECT(X$4))+SUMIF(INDIRECT(X$3),'Struktur Vorjahr'!$D231,INDIRECT(X$5)))</f>
        <v>0</v>
      </c>
      <c r="Y231" s="593">
        <f ca="1">$E231*(-SUMIF(INDIRECT(Y$3),'Struktur Vorjahr'!$D231,INDIRECT(Y$4))+SUMIF(INDIRECT(Y$3),'Struktur Vorjahr'!$D231,INDIRECT(Y$5)))</f>
        <v>0</v>
      </c>
      <c r="Z231" s="593">
        <f ca="1">$E231*(-SUMIF(INDIRECT(Z$3),'Struktur Vorjahr'!$D231,INDIRECT(Z$4))+SUMIF(INDIRECT(Z$3),'Struktur Vorjahr'!$D231,INDIRECT(Z$5)))</f>
        <v>0</v>
      </c>
      <c r="AA231" s="593">
        <f ca="1">$E231*(-SUMIF(INDIRECT(AA$3),'Struktur Vorjahr'!$D231,INDIRECT(AA$4))+SUMIF(INDIRECT(AA$3),'Struktur Vorjahr'!$D231,INDIRECT(AA$5)))</f>
        <v>0</v>
      </c>
      <c r="AB231" s="593">
        <f ca="1">$E231*(-SUMIF(INDIRECT(AB$3),'Struktur Vorjahr'!$D231,INDIRECT(AB$4))+SUMIF(INDIRECT(AB$3),'Struktur Vorjahr'!$D231,INDIRECT(AB$5)))</f>
        <v>0</v>
      </c>
      <c r="AC231" s="593">
        <f ca="1">$E231*(-SUMIF(INDIRECT(AC$3),'Struktur Vorjahr'!$D231,INDIRECT(AC$4))+SUMIF(INDIRECT(AC$3),'Struktur Vorjahr'!$D231,INDIRECT(AC$5)))</f>
        <v>0</v>
      </c>
      <c r="AD231" s="593">
        <f ca="1">$E231*(-SUMIF(INDIRECT(AD$3),'Struktur Vorjahr'!$D231,INDIRECT(AD$4))+SUMIF(INDIRECT(AD$3),'Struktur Vorjahr'!$D231,INDIRECT(AD$5)))</f>
        <v>0</v>
      </c>
      <c r="AE231" s="593">
        <f t="shared" ca="1" si="110"/>
        <v>0</v>
      </c>
      <c r="AF231" s="593">
        <f t="shared" ca="1" si="111"/>
        <v>0</v>
      </c>
      <c r="AG231" s="593">
        <f t="shared" ca="1" si="111"/>
        <v>0</v>
      </c>
      <c r="AH231" s="593">
        <f t="shared" ca="1" si="111"/>
        <v>0</v>
      </c>
      <c r="AI231" s="593">
        <f t="shared" ca="1" si="111"/>
        <v>0</v>
      </c>
      <c r="AJ231" s="593">
        <f t="shared" ca="1" si="111"/>
        <v>0</v>
      </c>
      <c r="AK231" s="593">
        <f t="shared" ca="1" si="111"/>
        <v>0</v>
      </c>
      <c r="AL231" s="593">
        <f t="shared" ca="1" si="111"/>
        <v>0</v>
      </c>
      <c r="AM231" s="593">
        <f t="shared" ca="1" si="111"/>
        <v>0</v>
      </c>
      <c r="AN231" s="593">
        <f t="shared" ca="1" si="111"/>
        <v>0</v>
      </c>
      <c r="AO231" s="593">
        <f t="shared" ca="1" si="111"/>
        <v>0</v>
      </c>
      <c r="AP231" s="593">
        <f t="shared" ca="1" si="111"/>
        <v>0</v>
      </c>
    </row>
    <row r="232" spans="1:42" s="594" customFormat="1" ht="11.25" outlineLevel="1" x14ac:dyDescent="0.2">
      <c r="A232" s="590"/>
      <c r="B232" s="591" t="str">
        <f>IF(D232&lt;&gt;"",
IF(ISERROR(MATCH(D232,'Ist Vorjahr Monat 01'!A:A,0))=FALSE,INDEX('Ist Vorjahr Monat 01'!B:B,MATCH(D232,'Ist Vorjahr Monat 01'!A:A,0)),
IF(ISERROR(MATCH(D232,'Ist Vorjahr Monat 02'!A:A,0))=FALSE,INDEX('Ist Vorjahr Monat 02'!B:B,MATCH(D232,'Ist Vorjahr Monat 02'!A:A,0)),
IF(ISERROR(MATCH(D232,'Ist Vorjahr Monat 03'!A:A,0))=FALSE,INDEX('Ist Vorjahr Monat 03'!B:B,MATCH(D232,'Ist Vorjahr Monat 03'!A:A,0)),
IF(ISERROR(MATCH(D232,'Ist Vorjahr Monat 04'!A:A,0))=FALSE,INDEX('Ist Vorjahr Monat 04'!B:B,MATCH(D232,'Ist Vorjahr Monat 04'!A:A,0)),
IF(ISERROR(MATCH(D232,'Ist Vorjahr Monat 05'!A:A,0))=FALSE,INDEX('Ist Vorjahr Monat 05'!B:B,MATCH(D232,'Ist Vorjahr Monat 05'!A:A,0)),
IF(ISERROR(MATCH(D232,'Ist Vorjahr Monat 06'!A:A,0))=FALSE,INDEX('Ist Vorjahr Monat 06'!B:B,MATCH(D232,'Ist Vorjahr Monat 06'!A:A,0)),
IF(ISERROR(MATCH(D232,'Ist Vorjahr Monat 07'!A:A,0))=FALSE,INDEX('Ist Vorjahr Monat 07'!B:B,MATCH(D232,'Ist Vorjahr Monat 07'!A:A,0)),
IF(ISERROR(MATCH(D232,'Ist Vorjahr Monat 08'!A:A,0))=FALSE,INDEX('Ist Vorjahr Monat 08'!B:B,MATCH(D232,'Ist Vorjahr Monat 08'!A:A,0)),
IF(ISERROR(MATCH(D232,'Ist Vorjahr Monat 09'!A:A,0))=FALSE,INDEX('Ist Vorjahr Monat 09'!B:B,MATCH(D232,'Ist Vorjahr Monat 09'!A:A,0)),
IF(ISERROR(MATCH(D232,'Ist Vorjahr Monat 10'!A:A,0))=FALSE,INDEX('Ist Vorjahr Monat 10'!B:B,MATCH(D232,'Ist Vorjahr Monat 10'!A:A,0)),
IF(ISERROR(MATCH(D232,'Ist Vorjahr Monat 11'!A:A,0))=FALSE,INDEX('Ist Vorjahr Monat 11'!B:B,MATCH(D232,'Ist Vorjahr Monat 11'!A:A,0)),
IF(ISERROR(MATCH(D232,'Ist Vorjahr Monat 12'!A:A,0))=FALSE,INDEX('Ist Vorjahr Monat 12'!B:B,MATCH(D232,'Ist Vorjahr Monat 12'!A:A,0)),
"{Konto unbekannt}"
)))))))))))),"")</f>
        <v/>
      </c>
      <c r="C232" s="591"/>
      <c r="D232" s="590"/>
      <c r="E232" s="592">
        <f t="shared" si="105"/>
        <v>1</v>
      </c>
      <c r="F232" s="590"/>
      <c r="G232" s="593">
        <f ca="1">$E232*(-SUMIF(INDIRECT(G$3),'Struktur Vorjahr'!$D232,INDIRECT(G$4))+SUMIF(INDIRECT(G$3),'Struktur Vorjahr'!$D232,INDIRECT(G$5)))</f>
        <v>0</v>
      </c>
      <c r="H232" s="593">
        <f ca="1">$E232*(-SUMIF(INDIRECT(H$3),'Struktur Vorjahr'!$D232,INDIRECT(H$4))+SUMIF(INDIRECT(H$3),'Struktur Vorjahr'!$D232,INDIRECT(H$5)))</f>
        <v>0</v>
      </c>
      <c r="I232" s="593">
        <f ca="1">$E232*(-SUMIF(INDIRECT(I$3),'Struktur Vorjahr'!$D232,INDIRECT(I$4))+SUMIF(INDIRECT(I$3),'Struktur Vorjahr'!$D232,INDIRECT(I$5)))</f>
        <v>0</v>
      </c>
      <c r="J232" s="593">
        <f ca="1">$E232*(-SUMIF(INDIRECT(J$3),'Struktur Vorjahr'!$D232,INDIRECT(J$4))+SUMIF(INDIRECT(J$3),'Struktur Vorjahr'!$D232,INDIRECT(J$5)))</f>
        <v>0</v>
      </c>
      <c r="K232" s="593">
        <f ca="1">$E232*(-SUMIF(INDIRECT(K$3),'Struktur Vorjahr'!$D232,INDIRECT(K$4))+SUMIF(INDIRECT(K$3),'Struktur Vorjahr'!$D232,INDIRECT(K$5)))</f>
        <v>0</v>
      </c>
      <c r="L232" s="593">
        <f ca="1">$E232*(-SUMIF(INDIRECT(L$3),'Struktur Vorjahr'!$D232,INDIRECT(L$4))+SUMIF(INDIRECT(L$3),'Struktur Vorjahr'!$D232,INDIRECT(L$5)))</f>
        <v>0</v>
      </c>
      <c r="M232" s="593">
        <f ca="1">$E232*(-SUMIF(INDIRECT(M$3),'Struktur Vorjahr'!$D232,INDIRECT(M$4))+SUMIF(INDIRECT(M$3),'Struktur Vorjahr'!$D232,INDIRECT(M$5)))</f>
        <v>0</v>
      </c>
      <c r="N232" s="593">
        <f ca="1">$E232*(-SUMIF(INDIRECT(N$3),'Struktur Vorjahr'!$D232,INDIRECT(N$4))+SUMIF(INDIRECT(N$3),'Struktur Vorjahr'!$D232,INDIRECT(N$5)))</f>
        <v>0</v>
      </c>
      <c r="O232" s="593">
        <f ca="1">$E232*(-SUMIF(INDIRECT(O$3),'Struktur Vorjahr'!$D232,INDIRECT(O$4))+SUMIF(INDIRECT(O$3),'Struktur Vorjahr'!$D232,INDIRECT(O$5)))</f>
        <v>0</v>
      </c>
      <c r="P232" s="593">
        <f ca="1">$E232*(-SUMIF(INDIRECT(P$3),'Struktur Vorjahr'!$D232,INDIRECT(P$4))+SUMIF(INDIRECT(P$3),'Struktur Vorjahr'!$D232,INDIRECT(P$5)))</f>
        <v>0</v>
      </c>
      <c r="Q232" s="593">
        <f ca="1">$E232*(-SUMIF(INDIRECT(Q$3),'Struktur Vorjahr'!$D232,INDIRECT(Q$4))+SUMIF(INDIRECT(Q$3),'Struktur Vorjahr'!$D232,INDIRECT(Q$5)))</f>
        <v>0</v>
      </c>
      <c r="R232" s="593">
        <f ca="1">$E232*(-SUMIF(INDIRECT(R$3),'Struktur Vorjahr'!$D232,INDIRECT(R$4))+SUMIF(INDIRECT(R$3),'Struktur Vorjahr'!$D232,INDIRECT(R$5)))</f>
        <v>0</v>
      </c>
      <c r="S232" s="593">
        <f ca="1">$E232*(-SUMIF(INDIRECT(S$3),'Struktur Vorjahr'!$D232,INDIRECT(S$4))+SUMIF(INDIRECT(S$3),'Struktur Vorjahr'!$D232,INDIRECT(S$5)))</f>
        <v>0</v>
      </c>
      <c r="T232" s="593">
        <f ca="1">$E232*(-SUMIF(INDIRECT(T$3),'Struktur Vorjahr'!$D232,INDIRECT(T$4))+SUMIF(INDIRECT(T$3),'Struktur Vorjahr'!$D232,INDIRECT(T$5)))</f>
        <v>0</v>
      </c>
      <c r="U232" s="593">
        <f ca="1">$E232*(-SUMIF(INDIRECT(U$3),'Struktur Vorjahr'!$D232,INDIRECT(U$4))+SUMIF(INDIRECT(U$3),'Struktur Vorjahr'!$D232,INDIRECT(U$5)))</f>
        <v>0</v>
      </c>
      <c r="V232" s="593">
        <f ca="1">$E232*(-SUMIF(INDIRECT(V$3),'Struktur Vorjahr'!$D232,INDIRECT(V$4))+SUMIF(INDIRECT(V$3),'Struktur Vorjahr'!$D232,INDIRECT(V$5)))</f>
        <v>0</v>
      </c>
      <c r="W232" s="593">
        <f ca="1">$E232*(-SUMIF(INDIRECT(W$3),'Struktur Vorjahr'!$D232,INDIRECT(W$4))+SUMIF(INDIRECT(W$3),'Struktur Vorjahr'!$D232,INDIRECT(W$5)))</f>
        <v>0</v>
      </c>
      <c r="X232" s="593">
        <f ca="1">$E232*(-SUMIF(INDIRECT(X$3),'Struktur Vorjahr'!$D232,INDIRECT(X$4))+SUMIF(INDIRECT(X$3),'Struktur Vorjahr'!$D232,INDIRECT(X$5)))</f>
        <v>0</v>
      </c>
      <c r="Y232" s="593">
        <f ca="1">$E232*(-SUMIF(INDIRECT(Y$3),'Struktur Vorjahr'!$D232,INDIRECT(Y$4))+SUMIF(INDIRECT(Y$3),'Struktur Vorjahr'!$D232,INDIRECT(Y$5)))</f>
        <v>0</v>
      </c>
      <c r="Z232" s="593">
        <f ca="1">$E232*(-SUMIF(INDIRECT(Z$3),'Struktur Vorjahr'!$D232,INDIRECT(Z$4))+SUMIF(INDIRECT(Z$3),'Struktur Vorjahr'!$D232,INDIRECT(Z$5)))</f>
        <v>0</v>
      </c>
      <c r="AA232" s="593">
        <f ca="1">$E232*(-SUMIF(INDIRECT(AA$3),'Struktur Vorjahr'!$D232,INDIRECT(AA$4))+SUMIF(INDIRECT(AA$3),'Struktur Vorjahr'!$D232,INDIRECT(AA$5)))</f>
        <v>0</v>
      </c>
      <c r="AB232" s="593">
        <f ca="1">$E232*(-SUMIF(INDIRECT(AB$3),'Struktur Vorjahr'!$D232,INDIRECT(AB$4))+SUMIF(INDIRECT(AB$3),'Struktur Vorjahr'!$D232,INDIRECT(AB$5)))</f>
        <v>0</v>
      </c>
      <c r="AC232" s="593">
        <f ca="1">$E232*(-SUMIF(INDIRECT(AC$3),'Struktur Vorjahr'!$D232,INDIRECT(AC$4))+SUMIF(INDIRECT(AC$3),'Struktur Vorjahr'!$D232,INDIRECT(AC$5)))</f>
        <v>0</v>
      </c>
      <c r="AD232" s="593">
        <f ca="1">$E232*(-SUMIF(INDIRECT(AD$3),'Struktur Vorjahr'!$D232,INDIRECT(AD$4))+SUMIF(INDIRECT(AD$3),'Struktur Vorjahr'!$D232,INDIRECT(AD$5)))</f>
        <v>0</v>
      </c>
      <c r="AE232" s="593">
        <f t="shared" ca="1" si="110"/>
        <v>0</v>
      </c>
      <c r="AF232" s="593">
        <f t="shared" ca="1" si="111"/>
        <v>0</v>
      </c>
      <c r="AG232" s="593">
        <f t="shared" ca="1" si="111"/>
        <v>0</v>
      </c>
      <c r="AH232" s="593">
        <f t="shared" ca="1" si="111"/>
        <v>0</v>
      </c>
      <c r="AI232" s="593">
        <f t="shared" ca="1" si="111"/>
        <v>0</v>
      </c>
      <c r="AJ232" s="593">
        <f t="shared" ca="1" si="111"/>
        <v>0</v>
      </c>
      <c r="AK232" s="593">
        <f t="shared" ca="1" si="111"/>
        <v>0</v>
      </c>
      <c r="AL232" s="593">
        <f t="shared" ca="1" si="111"/>
        <v>0</v>
      </c>
      <c r="AM232" s="593">
        <f t="shared" ca="1" si="111"/>
        <v>0</v>
      </c>
      <c r="AN232" s="593">
        <f t="shared" ca="1" si="111"/>
        <v>0</v>
      </c>
      <c r="AO232" s="593">
        <f t="shared" ca="1" si="111"/>
        <v>0</v>
      </c>
      <c r="AP232" s="593">
        <f t="shared" ca="1" si="111"/>
        <v>0</v>
      </c>
    </row>
    <row r="233" spans="1:42" s="594" customFormat="1" ht="11.25" outlineLevel="1" x14ac:dyDescent="0.2">
      <c r="A233" s="590"/>
      <c r="B233" s="591" t="str">
        <f>IF(D233&lt;&gt;"",
IF(ISERROR(MATCH(D233,'Ist Vorjahr Monat 01'!A:A,0))=FALSE,INDEX('Ist Vorjahr Monat 01'!B:B,MATCH(D233,'Ist Vorjahr Monat 01'!A:A,0)),
IF(ISERROR(MATCH(D233,'Ist Vorjahr Monat 02'!A:A,0))=FALSE,INDEX('Ist Vorjahr Monat 02'!B:B,MATCH(D233,'Ist Vorjahr Monat 02'!A:A,0)),
IF(ISERROR(MATCH(D233,'Ist Vorjahr Monat 03'!A:A,0))=FALSE,INDEX('Ist Vorjahr Monat 03'!B:B,MATCH(D233,'Ist Vorjahr Monat 03'!A:A,0)),
IF(ISERROR(MATCH(D233,'Ist Vorjahr Monat 04'!A:A,0))=FALSE,INDEX('Ist Vorjahr Monat 04'!B:B,MATCH(D233,'Ist Vorjahr Monat 04'!A:A,0)),
IF(ISERROR(MATCH(D233,'Ist Vorjahr Monat 05'!A:A,0))=FALSE,INDEX('Ist Vorjahr Monat 05'!B:B,MATCH(D233,'Ist Vorjahr Monat 05'!A:A,0)),
IF(ISERROR(MATCH(D233,'Ist Vorjahr Monat 06'!A:A,0))=FALSE,INDEX('Ist Vorjahr Monat 06'!B:B,MATCH(D233,'Ist Vorjahr Monat 06'!A:A,0)),
IF(ISERROR(MATCH(D233,'Ist Vorjahr Monat 07'!A:A,0))=FALSE,INDEX('Ist Vorjahr Monat 07'!B:B,MATCH(D233,'Ist Vorjahr Monat 07'!A:A,0)),
IF(ISERROR(MATCH(D233,'Ist Vorjahr Monat 08'!A:A,0))=FALSE,INDEX('Ist Vorjahr Monat 08'!B:B,MATCH(D233,'Ist Vorjahr Monat 08'!A:A,0)),
IF(ISERROR(MATCH(D233,'Ist Vorjahr Monat 09'!A:A,0))=FALSE,INDEX('Ist Vorjahr Monat 09'!B:B,MATCH(D233,'Ist Vorjahr Monat 09'!A:A,0)),
IF(ISERROR(MATCH(D233,'Ist Vorjahr Monat 10'!A:A,0))=FALSE,INDEX('Ist Vorjahr Monat 10'!B:B,MATCH(D233,'Ist Vorjahr Monat 10'!A:A,0)),
IF(ISERROR(MATCH(D233,'Ist Vorjahr Monat 11'!A:A,0))=FALSE,INDEX('Ist Vorjahr Monat 11'!B:B,MATCH(D233,'Ist Vorjahr Monat 11'!A:A,0)),
IF(ISERROR(MATCH(D233,'Ist Vorjahr Monat 12'!A:A,0))=FALSE,INDEX('Ist Vorjahr Monat 12'!B:B,MATCH(D233,'Ist Vorjahr Monat 12'!A:A,0)),
"{Konto unbekannt}"
)))))))))))),"")</f>
        <v/>
      </c>
      <c r="C233" s="591"/>
      <c r="D233" s="590"/>
      <c r="E233" s="592">
        <f t="shared" si="105"/>
        <v>1</v>
      </c>
      <c r="F233" s="590"/>
      <c r="G233" s="593">
        <f ca="1">$E233*(-SUMIF(INDIRECT(G$3),'Struktur Vorjahr'!$D233,INDIRECT(G$4))+SUMIF(INDIRECT(G$3),'Struktur Vorjahr'!$D233,INDIRECT(G$5)))</f>
        <v>0</v>
      </c>
      <c r="H233" s="593">
        <f ca="1">$E233*(-SUMIF(INDIRECT(H$3),'Struktur Vorjahr'!$D233,INDIRECT(H$4))+SUMIF(INDIRECT(H$3),'Struktur Vorjahr'!$D233,INDIRECT(H$5)))</f>
        <v>0</v>
      </c>
      <c r="I233" s="593">
        <f ca="1">$E233*(-SUMIF(INDIRECT(I$3),'Struktur Vorjahr'!$D233,INDIRECT(I$4))+SUMIF(INDIRECT(I$3),'Struktur Vorjahr'!$D233,INDIRECT(I$5)))</f>
        <v>0</v>
      </c>
      <c r="J233" s="593">
        <f ca="1">$E233*(-SUMIF(INDIRECT(J$3),'Struktur Vorjahr'!$D233,INDIRECT(J$4))+SUMIF(INDIRECT(J$3),'Struktur Vorjahr'!$D233,INDIRECT(J$5)))</f>
        <v>0</v>
      </c>
      <c r="K233" s="593">
        <f ca="1">$E233*(-SUMIF(INDIRECT(K$3),'Struktur Vorjahr'!$D233,INDIRECT(K$4))+SUMIF(INDIRECT(K$3),'Struktur Vorjahr'!$D233,INDIRECT(K$5)))</f>
        <v>0</v>
      </c>
      <c r="L233" s="593">
        <f ca="1">$E233*(-SUMIF(INDIRECT(L$3),'Struktur Vorjahr'!$D233,INDIRECT(L$4))+SUMIF(INDIRECT(L$3),'Struktur Vorjahr'!$D233,INDIRECT(L$5)))</f>
        <v>0</v>
      </c>
      <c r="M233" s="593">
        <f ca="1">$E233*(-SUMIF(INDIRECT(M$3),'Struktur Vorjahr'!$D233,INDIRECT(M$4))+SUMIF(INDIRECT(M$3),'Struktur Vorjahr'!$D233,INDIRECT(M$5)))</f>
        <v>0</v>
      </c>
      <c r="N233" s="593">
        <f ca="1">$E233*(-SUMIF(INDIRECT(N$3),'Struktur Vorjahr'!$D233,INDIRECT(N$4))+SUMIF(INDIRECT(N$3),'Struktur Vorjahr'!$D233,INDIRECT(N$5)))</f>
        <v>0</v>
      </c>
      <c r="O233" s="593">
        <f ca="1">$E233*(-SUMIF(INDIRECT(O$3),'Struktur Vorjahr'!$D233,INDIRECT(O$4))+SUMIF(INDIRECT(O$3),'Struktur Vorjahr'!$D233,INDIRECT(O$5)))</f>
        <v>0</v>
      </c>
      <c r="P233" s="593">
        <f ca="1">$E233*(-SUMIF(INDIRECT(P$3),'Struktur Vorjahr'!$D233,INDIRECT(P$4))+SUMIF(INDIRECT(P$3),'Struktur Vorjahr'!$D233,INDIRECT(P$5)))</f>
        <v>0</v>
      </c>
      <c r="Q233" s="593">
        <f ca="1">$E233*(-SUMIF(INDIRECT(Q$3),'Struktur Vorjahr'!$D233,INDIRECT(Q$4))+SUMIF(INDIRECT(Q$3),'Struktur Vorjahr'!$D233,INDIRECT(Q$5)))</f>
        <v>0</v>
      </c>
      <c r="R233" s="593">
        <f ca="1">$E233*(-SUMIF(INDIRECT(R$3),'Struktur Vorjahr'!$D233,INDIRECT(R$4))+SUMIF(INDIRECT(R$3),'Struktur Vorjahr'!$D233,INDIRECT(R$5)))</f>
        <v>0</v>
      </c>
      <c r="S233" s="593">
        <f ca="1">$E233*(-SUMIF(INDIRECT(S$3),'Struktur Vorjahr'!$D233,INDIRECT(S$4))+SUMIF(INDIRECT(S$3),'Struktur Vorjahr'!$D233,INDIRECT(S$5)))</f>
        <v>0</v>
      </c>
      <c r="T233" s="593">
        <f ca="1">$E233*(-SUMIF(INDIRECT(T$3),'Struktur Vorjahr'!$D233,INDIRECT(T$4))+SUMIF(INDIRECT(T$3),'Struktur Vorjahr'!$D233,INDIRECT(T$5)))</f>
        <v>0</v>
      </c>
      <c r="U233" s="593">
        <f ca="1">$E233*(-SUMIF(INDIRECT(U$3),'Struktur Vorjahr'!$D233,INDIRECT(U$4))+SUMIF(INDIRECT(U$3),'Struktur Vorjahr'!$D233,INDIRECT(U$5)))</f>
        <v>0</v>
      </c>
      <c r="V233" s="593">
        <f ca="1">$E233*(-SUMIF(INDIRECT(V$3),'Struktur Vorjahr'!$D233,INDIRECT(V$4))+SUMIF(INDIRECT(V$3),'Struktur Vorjahr'!$D233,INDIRECT(V$5)))</f>
        <v>0</v>
      </c>
      <c r="W233" s="593">
        <f ca="1">$E233*(-SUMIF(INDIRECT(W$3),'Struktur Vorjahr'!$D233,INDIRECT(W$4))+SUMIF(INDIRECT(W$3),'Struktur Vorjahr'!$D233,INDIRECT(W$5)))</f>
        <v>0</v>
      </c>
      <c r="X233" s="593">
        <f ca="1">$E233*(-SUMIF(INDIRECT(X$3),'Struktur Vorjahr'!$D233,INDIRECT(X$4))+SUMIF(INDIRECT(X$3),'Struktur Vorjahr'!$D233,INDIRECT(X$5)))</f>
        <v>0</v>
      </c>
      <c r="Y233" s="593">
        <f ca="1">$E233*(-SUMIF(INDIRECT(Y$3),'Struktur Vorjahr'!$D233,INDIRECT(Y$4))+SUMIF(INDIRECT(Y$3),'Struktur Vorjahr'!$D233,INDIRECT(Y$5)))</f>
        <v>0</v>
      </c>
      <c r="Z233" s="593">
        <f ca="1">$E233*(-SUMIF(INDIRECT(Z$3),'Struktur Vorjahr'!$D233,INDIRECT(Z$4))+SUMIF(INDIRECT(Z$3),'Struktur Vorjahr'!$D233,INDIRECT(Z$5)))</f>
        <v>0</v>
      </c>
      <c r="AA233" s="593">
        <f ca="1">$E233*(-SUMIF(INDIRECT(AA$3),'Struktur Vorjahr'!$D233,INDIRECT(AA$4))+SUMIF(INDIRECT(AA$3),'Struktur Vorjahr'!$D233,INDIRECT(AA$5)))</f>
        <v>0</v>
      </c>
      <c r="AB233" s="593">
        <f ca="1">$E233*(-SUMIF(INDIRECT(AB$3),'Struktur Vorjahr'!$D233,INDIRECT(AB$4))+SUMIF(INDIRECT(AB$3),'Struktur Vorjahr'!$D233,INDIRECT(AB$5)))</f>
        <v>0</v>
      </c>
      <c r="AC233" s="593">
        <f ca="1">$E233*(-SUMIF(INDIRECT(AC$3),'Struktur Vorjahr'!$D233,INDIRECT(AC$4))+SUMIF(INDIRECT(AC$3),'Struktur Vorjahr'!$D233,INDIRECT(AC$5)))</f>
        <v>0</v>
      </c>
      <c r="AD233" s="593">
        <f ca="1">$E233*(-SUMIF(INDIRECT(AD$3),'Struktur Vorjahr'!$D233,INDIRECT(AD$4))+SUMIF(INDIRECT(AD$3),'Struktur Vorjahr'!$D233,INDIRECT(AD$5)))</f>
        <v>0</v>
      </c>
      <c r="AE233" s="593">
        <f t="shared" ca="1" si="110"/>
        <v>0</v>
      </c>
      <c r="AF233" s="593">
        <f t="shared" ca="1" si="111"/>
        <v>0</v>
      </c>
      <c r="AG233" s="593">
        <f t="shared" ca="1" si="111"/>
        <v>0</v>
      </c>
      <c r="AH233" s="593">
        <f t="shared" ca="1" si="111"/>
        <v>0</v>
      </c>
      <c r="AI233" s="593">
        <f t="shared" ca="1" si="111"/>
        <v>0</v>
      </c>
      <c r="AJ233" s="593">
        <f t="shared" ca="1" si="111"/>
        <v>0</v>
      </c>
      <c r="AK233" s="593">
        <f t="shared" ca="1" si="111"/>
        <v>0</v>
      </c>
      <c r="AL233" s="593">
        <f t="shared" ca="1" si="111"/>
        <v>0</v>
      </c>
      <c r="AM233" s="593">
        <f t="shared" ca="1" si="111"/>
        <v>0</v>
      </c>
      <c r="AN233" s="593">
        <f t="shared" ca="1" si="111"/>
        <v>0</v>
      </c>
      <c r="AO233" s="593">
        <f t="shared" ca="1" si="111"/>
        <v>0</v>
      </c>
      <c r="AP233" s="593">
        <f t="shared" ca="1" si="111"/>
        <v>0</v>
      </c>
    </row>
    <row r="234" spans="1:42" s="594" customFormat="1" ht="11.25" outlineLevel="1" x14ac:dyDescent="0.2">
      <c r="A234" s="590"/>
      <c r="B234" s="591" t="str">
        <f>IF(D234&lt;&gt;"",
IF(ISERROR(MATCH(D234,'Ist Vorjahr Monat 01'!A:A,0))=FALSE,INDEX('Ist Vorjahr Monat 01'!B:B,MATCH(D234,'Ist Vorjahr Monat 01'!A:A,0)),
IF(ISERROR(MATCH(D234,'Ist Vorjahr Monat 02'!A:A,0))=FALSE,INDEX('Ist Vorjahr Monat 02'!B:B,MATCH(D234,'Ist Vorjahr Monat 02'!A:A,0)),
IF(ISERROR(MATCH(D234,'Ist Vorjahr Monat 03'!A:A,0))=FALSE,INDEX('Ist Vorjahr Monat 03'!B:B,MATCH(D234,'Ist Vorjahr Monat 03'!A:A,0)),
IF(ISERROR(MATCH(D234,'Ist Vorjahr Monat 04'!A:A,0))=FALSE,INDEX('Ist Vorjahr Monat 04'!B:B,MATCH(D234,'Ist Vorjahr Monat 04'!A:A,0)),
IF(ISERROR(MATCH(D234,'Ist Vorjahr Monat 05'!A:A,0))=FALSE,INDEX('Ist Vorjahr Monat 05'!B:B,MATCH(D234,'Ist Vorjahr Monat 05'!A:A,0)),
IF(ISERROR(MATCH(D234,'Ist Vorjahr Monat 06'!A:A,0))=FALSE,INDEX('Ist Vorjahr Monat 06'!B:B,MATCH(D234,'Ist Vorjahr Monat 06'!A:A,0)),
IF(ISERROR(MATCH(D234,'Ist Vorjahr Monat 07'!A:A,0))=FALSE,INDEX('Ist Vorjahr Monat 07'!B:B,MATCH(D234,'Ist Vorjahr Monat 07'!A:A,0)),
IF(ISERROR(MATCH(D234,'Ist Vorjahr Monat 08'!A:A,0))=FALSE,INDEX('Ist Vorjahr Monat 08'!B:B,MATCH(D234,'Ist Vorjahr Monat 08'!A:A,0)),
IF(ISERROR(MATCH(D234,'Ist Vorjahr Monat 09'!A:A,0))=FALSE,INDEX('Ist Vorjahr Monat 09'!B:B,MATCH(D234,'Ist Vorjahr Monat 09'!A:A,0)),
IF(ISERROR(MATCH(D234,'Ist Vorjahr Monat 10'!A:A,0))=FALSE,INDEX('Ist Vorjahr Monat 10'!B:B,MATCH(D234,'Ist Vorjahr Monat 10'!A:A,0)),
IF(ISERROR(MATCH(D234,'Ist Vorjahr Monat 11'!A:A,0))=FALSE,INDEX('Ist Vorjahr Monat 11'!B:B,MATCH(D234,'Ist Vorjahr Monat 11'!A:A,0)),
IF(ISERROR(MATCH(D234,'Ist Vorjahr Monat 12'!A:A,0))=FALSE,INDEX('Ist Vorjahr Monat 12'!B:B,MATCH(D234,'Ist Vorjahr Monat 12'!A:A,0)),
"{Konto unbekannt}"
)))))))))))),"")</f>
        <v/>
      </c>
      <c r="C234" s="591"/>
      <c r="D234" s="590"/>
      <c r="E234" s="592">
        <f t="shared" si="105"/>
        <v>1</v>
      </c>
      <c r="F234" s="590"/>
      <c r="G234" s="593">
        <f ca="1">$E234*(-SUMIF(INDIRECT(G$3),'Struktur Vorjahr'!$D234,INDIRECT(G$4))+SUMIF(INDIRECT(G$3),'Struktur Vorjahr'!$D234,INDIRECT(G$5)))</f>
        <v>0</v>
      </c>
      <c r="H234" s="593">
        <f ca="1">$E234*(-SUMIF(INDIRECT(H$3),'Struktur Vorjahr'!$D234,INDIRECT(H$4))+SUMIF(INDIRECT(H$3),'Struktur Vorjahr'!$D234,INDIRECT(H$5)))</f>
        <v>0</v>
      </c>
      <c r="I234" s="593">
        <f ca="1">$E234*(-SUMIF(INDIRECT(I$3),'Struktur Vorjahr'!$D234,INDIRECT(I$4))+SUMIF(INDIRECT(I$3),'Struktur Vorjahr'!$D234,INDIRECT(I$5)))</f>
        <v>0</v>
      </c>
      <c r="J234" s="593">
        <f ca="1">$E234*(-SUMIF(INDIRECT(J$3),'Struktur Vorjahr'!$D234,INDIRECT(J$4))+SUMIF(INDIRECT(J$3),'Struktur Vorjahr'!$D234,INDIRECT(J$5)))</f>
        <v>0</v>
      </c>
      <c r="K234" s="593">
        <f ca="1">$E234*(-SUMIF(INDIRECT(K$3),'Struktur Vorjahr'!$D234,INDIRECT(K$4))+SUMIF(INDIRECT(K$3),'Struktur Vorjahr'!$D234,INDIRECT(K$5)))</f>
        <v>0</v>
      </c>
      <c r="L234" s="593">
        <f ca="1">$E234*(-SUMIF(INDIRECT(L$3),'Struktur Vorjahr'!$D234,INDIRECT(L$4))+SUMIF(INDIRECT(L$3),'Struktur Vorjahr'!$D234,INDIRECT(L$5)))</f>
        <v>0</v>
      </c>
      <c r="M234" s="593">
        <f ca="1">$E234*(-SUMIF(INDIRECT(M$3),'Struktur Vorjahr'!$D234,INDIRECT(M$4))+SUMIF(INDIRECT(M$3),'Struktur Vorjahr'!$D234,INDIRECT(M$5)))</f>
        <v>0</v>
      </c>
      <c r="N234" s="593">
        <f ca="1">$E234*(-SUMIF(INDIRECT(N$3),'Struktur Vorjahr'!$D234,INDIRECT(N$4))+SUMIF(INDIRECT(N$3),'Struktur Vorjahr'!$D234,INDIRECT(N$5)))</f>
        <v>0</v>
      </c>
      <c r="O234" s="593">
        <f ca="1">$E234*(-SUMIF(INDIRECT(O$3),'Struktur Vorjahr'!$D234,INDIRECT(O$4))+SUMIF(INDIRECT(O$3),'Struktur Vorjahr'!$D234,INDIRECT(O$5)))</f>
        <v>0</v>
      </c>
      <c r="P234" s="593">
        <f ca="1">$E234*(-SUMIF(INDIRECT(P$3),'Struktur Vorjahr'!$D234,INDIRECT(P$4))+SUMIF(INDIRECT(P$3),'Struktur Vorjahr'!$D234,INDIRECT(P$5)))</f>
        <v>0</v>
      </c>
      <c r="Q234" s="593">
        <f ca="1">$E234*(-SUMIF(INDIRECT(Q$3),'Struktur Vorjahr'!$D234,INDIRECT(Q$4))+SUMIF(INDIRECT(Q$3),'Struktur Vorjahr'!$D234,INDIRECT(Q$5)))</f>
        <v>0</v>
      </c>
      <c r="R234" s="593">
        <f ca="1">$E234*(-SUMIF(INDIRECT(R$3),'Struktur Vorjahr'!$D234,INDIRECT(R$4))+SUMIF(INDIRECT(R$3),'Struktur Vorjahr'!$D234,INDIRECT(R$5)))</f>
        <v>0</v>
      </c>
      <c r="S234" s="593">
        <f ca="1">$E234*(-SUMIF(INDIRECT(S$3),'Struktur Vorjahr'!$D234,INDIRECT(S$4))+SUMIF(INDIRECT(S$3),'Struktur Vorjahr'!$D234,INDIRECT(S$5)))</f>
        <v>0</v>
      </c>
      <c r="T234" s="593">
        <f ca="1">$E234*(-SUMIF(INDIRECT(T$3),'Struktur Vorjahr'!$D234,INDIRECT(T$4))+SUMIF(INDIRECT(T$3),'Struktur Vorjahr'!$D234,INDIRECT(T$5)))</f>
        <v>0</v>
      </c>
      <c r="U234" s="593">
        <f ca="1">$E234*(-SUMIF(INDIRECT(U$3),'Struktur Vorjahr'!$D234,INDIRECT(U$4))+SUMIF(INDIRECT(U$3),'Struktur Vorjahr'!$D234,INDIRECT(U$5)))</f>
        <v>0</v>
      </c>
      <c r="V234" s="593">
        <f ca="1">$E234*(-SUMIF(INDIRECT(V$3),'Struktur Vorjahr'!$D234,INDIRECT(V$4))+SUMIF(INDIRECT(V$3),'Struktur Vorjahr'!$D234,INDIRECT(V$5)))</f>
        <v>0</v>
      </c>
      <c r="W234" s="593">
        <f ca="1">$E234*(-SUMIF(INDIRECT(W$3),'Struktur Vorjahr'!$D234,INDIRECT(W$4))+SUMIF(INDIRECT(W$3),'Struktur Vorjahr'!$D234,INDIRECT(W$5)))</f>
        <v>0</v>
      </c>
      <c r="X234" s="593">
        <f ca="1">$E234*(-SUMIF(INDIRECT(X$3),'Struktur Vorjahr'!$D234,INDIRECT(X$4))+SUMIF(INDIRECT(X$3),'Struktur Vorjahr'!$D234,INDIRECT(X$5)))</f>
        <v>0</v>
      </c>
      <c r="Y234" s="593">
        <f ca="1">$E234*(-SUMIF(INDIRECT(Y$3),'Struktur Vorjahr'!$D234,INDIRECT(Y$4))+SUMIF(INDIRECT(Y$3),'Struktur Vorjahr'!$D234,INDIRECT(Y$5)))</f>
        <v>0</v>
      </c>
      <c r="Z234" s="593">
        <f ca="1">$E234*(-SUMIF(INDIRECT(Z$3),'Struktur Vorjahr'!$D234,INDIRECT(Z$4))+SUMIF(INDIRECT(Z$3),'Struktur Vorjahr'!$D234,INDIRECT(Z$5)))</f>
        <v>0</v>
      </c>
      <c r="AA234" s="593">
        <f ca="1">$E234*(-SUMIF(INDIRECT(AA$3),'Struktur Vorjahr'!$D234,INDIRECT(AA$4))+SUMIF(INDIRECT(AA$3),'Struktur Vorjahr'!$D234,INDIRECT(AA$5)))</f>
        <v>0</v>
      </c>
      <c r="AB234" s="593">
        <f ca="1">$E234*(-SUMIF(INDIRECT(AB$3),'Struktur Vorjahr'!$D234,INDIRECT(AB$4))+SUMIF(INDIRECT(AB$3),'Struktur Vorjahr'!$D234,INDIRECT(AB$5)))</f>
        <v>0</v>
      </c>
      <c r="AC234" s="593">
        <f ca="1">$E234*(-SUMIF(INDIRECT(AC$3),'Struktur Vorjahr'!$D234,INDIRECT(AC$4))+SUMIF(INDIRECT(AC$3),'Struktur Vorjahr'!$D234,INDIRECT(AC$5)))</f>
        <v>0</v>
      </c>
      <c r="AD234" s="593">
        <f ca="1">$E234*(-SUMIF(INDIRECT(AD$3),'Struktur Vorjahr'!$D234,INDIRECT(AD$4))+SUMIF(INDIRECT(AD$3),'Struktur Vorjahr'!$D234,INDIRECT(AD$5)))</f>
        <v>0</v>
      </c>
      <c r="AE234" s="593">
        <f t="shared" ca="1" si="110"/>
        <v>0</v>
      </c>
      <c r="AF234" s="593">
        <f t="shared" ca="1" si="111"/>
        <v>0</v>
      </c>
      <c r="AG234" s="593">
        <f t="shared" ca="1" si="111"/>
        <v>0</v>
      </c>
      <c r="AH234" s="593">
        <f t="shared" ca="1" si="111"/>
        <v>0</v>
      </c>
      <c r="AI234" s="593">
        <f t="shared" ca="1" si="111"/>
        <v>0</v>
      </c>
      <c r="AJ234" s="593">
        <f t="shared" ca="1" si="111"/>
        <v>0</v>
      </c>
      <c r="AK234" s="593">
        <f t="shared" ca="1" si="111"/>
        <v>0</v>
      </c>
      <c r="AL234" s="593">
        <f t="shared" ca="1" si="111"/>
        <v>0</v>
      </c>
      <c r="AM234" s="593">
        <f t="shared" ca="1" si="111"/>
        <v>0</v>
      </c>
      <c r="AN234" s="593">
        <f t="shared" ca="1" si="111"/>
        <v>0</v>
      </c>
      <c r="AO234" s="593">
        <f t="shared" ca="1" si="111"/>
        <v>0</v>
      </c>
      <c r="AP234" s="593">
        <f t="shared" ca="1" si="111"/>
        <v>0</v>
      </c>
    </row>
    <row r="235" spans="1:42" s="594" customFormat="1" ht="11.25" outlineLevel="1" x14ac:dyDescent="0.2">
      <c r="A235" s="590"/>
      <c r="B235" s="591" t="str">
        <f>IF(D235&lt;&gt;"",
IF(ISERROR(MATCH(D235,'Ist Vorjahr Monat 01'!A:A,0))=FALSE,INDEX('Ist Vorjahr Monat 01'!B:B,MATCH(D235,'Ist Vorjahr Monat 01'!A:A,0)),
IF(ISERROR(MATCH(D235,'Ist Vorjahr Monat 02'!A:A,0))=FALSE,INDEX('Ist Vorjahr Monat 02'!B:B,MATCH(D235,'Ist Vorjahr Monat 02'!A:A,0)),
IF(ISERROR(MATCH(D235,'Ist Vorjahr Monat 03'!A:A,0))=FALSE,INDEX('Ist Vorjahr Monat 03'!B:B,MATCH(D235,'Ist Vorjahr Monat 03'!A:A,0)),
IF(ISERROR(MATCH(D235,'Ist Vorjahr Monat 04'!A:A,0))=FALSE,INDEX('Ist Vorjahr Monat 04'!B:B,MATCH(D235,'Ist Vorjahr Monat 04'!A:A,0)),
IF(ISERROR(MATCH(D235,'Ist Vorjahr Monat 05'!A:A,0))=FALSE,INDEX('Ist Vorjahr Monat 05'!B:B,MATCH(D235,'Ist Vorjahr Monat 05'!A:A,0)),
IF(ISERROR(MATCH(D235,'Ist Vorjahr Monat 06'!A:A,0))=FALSE,INDEX('Ist Vorjahr Monat 06'!B:B,MATCH(D235,'Ist Vorjahr Monat 06'!A:A,0)),
IF(ISERROR(MATCH(D235,'Ist Vorjahr Monat 07'!A:A,0))=FALSE,INDEX('Ist Vorjahr Monat 07'!B:B,MATCH(D235,'Ist Vorjahr Monat 07'!A:A,0)),
IF(ISERROR(MATCH(D235,'Ist Vorjahr Monat 08'!A:A,0))=FALSE,INDEX('Ist Vorjahr Monat 08'!B:B,MATCH(D235,'Ist Vorjahr Monat 08'!A:A,0)),
IF(ISERROR(MATCH(D235,'Ist Vorjahr Monat 09'!A:A,0))=FALSE,INDEX('Ist Vorjahr Monat 09'!B:B,MATCH(D235,'Ist Vorjahr Monat 09'!A:A,0)),
IF(ISERROR(MATCH(D235,'Ist Vorjahr Monat 10'!A:A,0))=FALSE,INDEX('Ist Vorjahr Monat 10'!B:B,MATCH(D235,'Ist Vorjahr Monat 10'!A:A,0)),
IF(ISERROR(MATCH(D235,'Ist Vorjahr Monat 11'!A:A,0))=FALSE,INDEX('Ist Vorjahr Monat 11'!B:B,MATCH(D235,'Ist Vorjahr Monat 11'!A:A,0)),
IF(ISERROR(MATCH(D235,'Ist Vorjahr Monat 12'!A:A,0))=FALSE,INDEX('Ist Vorjahr Monat 12'!B:B,MATCH(D235,'Ist Vorjahr Monat 12'!A:A,0)),
"{Konto unbekannt}"
)))))))))))),"")</f>
        <v/>
      </c>
      <c r="C235" s="591"/>
      <c r="D235" s="590"/>
      <c r="E235" s="592">
        <f t="shared" si="105"/>
        <v>1</v>
      </c>
      <c r="F235" s="590"/>
      <c r="G235" s="593">
        <f ca="1">$E235*(-SUMIF(INDIRECT(G$3),'Struktur Vorjahr'!$D235,INDIRECT(G$4))+SUMIF(INDIRECT(G$3),'Struktur Vorjahr'!$D235,INDIRECT(G$5)))</f>
        <v>0</v>
      </c>
      <c r="H235" s="593">
        <f ca="1">$E235*(-SUMIF(INDIRECT(H$3),'Struktur Vorjahr'!$D235,INDIRECT(H$4))+SUMIF(INDIRECT(H$3),'Struktur Vorjahr'!$D235,INDIRECT(H$5)))</f>
        <v>0</v>
      </c>
      <c r="I235" s="593">
        <f ca="1">$E235*(-SUMIF(INDIRECT(I$3),'Struktur Vorjahr'!$D235,INDIRECT(I$4))+SUMIF(INDIRECT(I$3),'Struktur Vorjahr'!$D235,INDIRECT(I$5)))</f>
        <v>0</v>
      </c>
      <c r="J235" s="593">
        <f ca="1">$E235*(-SUMIF(INDIRECT(J$3),'Struktur Vorjahr'!$D235,INDIRECT(J$4))+SUMIF(INDIRECT(J$3),'Struktur Vorjahr'!$D235,INDIRECT(J$5)))</f>
        <v>0</v>
      </c>
      <c r="K235" s="593">
        <f ca="1">$E235*(-SUMIF(INDIRECT(K$3),'Struktur Vorjahr'!$D235,INDIRECT(K$4))+SUMIF(INDIRECT(K$3),'Struktur Vorjahr'!$D235,INDIRECT(K$5)))</f>
        <v>0</v>
      </c>
      <c r="L235" s="593">
        <f ca="1">$E235*(-SUMIF(INDIRECT(L$3),'Struktur Vorjahr'!$D235,INDIRECT(L$4))+SUMIF(INDIRECT(L$3),'Struktur Vorjahr'!$D235,INDIRECT(L$5)))</f>
        <v>0</v>
      </c>
      <c r="M235" s="593">
        <f ca="1">$E235*(-SUMIF(INDIRECT(M$3),'Struktur Vorjahr'!$D235,INDIRECT(M$4))+SUMIF(INDIRECT(M$3),'Struktur Vorjahr'!$D235,INDIRECT(M$5)))</f>
        <v>0</v>
      </c>
      <c r="N235" s="593">
        <f ca="1">$E235*(-SUMIF(INDIRECT(N$3),'Struktur Vorjahr'!$D235,INDIRECT(N$4))+SUMIF(INDIRECT(N$3),'Struktur Vorjahr'!$D235,INDIRECT(N$5)))</f>
        <v>0</v>
      </c>
      <c r="O235" s="593">
        <f ca="1">$E235*(-SUMIF(INDIRECT(O$3),'Struktur Vorjahr'!$D235,INDIRECT(O$4))+SUMIF(INDIRECT(O$3),'Struktur Vorjahr'!$D235,INDIRECT(O$5)))</f>
        <v>0</v>
      </c>
      <c r="P235" s="593">
        <f ca="1">$E235*(-SUMIF(INDIRECT(P$3),'Struktur Vorjahr'!$D235,INDIRECT(P$4))+SUMIF(INDIRECT(P$3),'Struktur Vorjahr'!$D235,INDIRECT(P$5)))</f>
        <v>0</v>
      </c>
      <c r="Q235" s="593">
        <f ca="1">$E235*(-SUMIF(INDIRECT(Q$3),'Struktur Vorjahr'!$D235,INDIRECT(Q$4))+SUMIF(INDIRECT(Q$3),'Struktur Vorjahr'!$D235,INDIRECT(Q$5)))</f>
        <v>0</v>
      </c>
      <c r="R235" s="593">
        <f ca="1">$E235*(-SUMIF(INDIRECT(R$3),'Struktur Vorjahr'!$D235,INDIRECT(R$4))+SUMIF(INDIRECT(R$3),'Struktur Vorjahr'!$D235,INDIRECT(R$5)))</f>
        <v>0</v>
      </c>
      <c r="S235" s="593">
        <f ca="1">$E235*(-SUMIF(INDIRECT(S$3),'Struktur Vorjahr'!$D235,INDIRECT(S$4))+SUMIF(INDIRECT(S$3),'Struktur Vorjahr'!$D235,INDIRECT(S$5)))</f>
        <v>0</v>
      </c>
      <c r="T235" s="593">
        <f ca="1">$E235*(-SUMIF(INDIRECT(T$3),'Struktur Vorjahr'!$D235,INDIRECT(T$4))+SUMIF(INDIRECT(T$3),'Struktur Vorjahr'!$D235,INDIRECT(T$5)))</f>
        <v>0</v>
      </c>
      <c r="U235" s="593">
        <f ca="1">$E235*(-SUMIF(INDIRECT(U$3),'Struktur Vorjahr'!$D235,INDIRECT(U$4))+SUMIF(INDIRECT(U$3),'Struktur Vorjahr'!$D235,INDIRECT(U$5)))</f>
        <v>0</v>
      </c>
      <c r="V235" s="593">
        <f ca="1">$E235*(-SUMIF(INDIRECT(V$3),'Struktur Vorjahr'!$D235,INDIRECT(V$4))+SUMIF(INDIRECT(V$3),'Struktur Vorjahr'!$D235,INDIRECT(V$5)))</f>
        <v>0</v>
      </c>
      <c r="W235" s="593">
        <f ca="1">$E235*(-SUMIF(INDIRECT(W$3),'Struktur Vorjahr'!$D235,INDIRECT(W$4))+SUMIF(INDIRECT(W$3),'Struktur Vorjahr'!$D235,INDIRECT(W$5)))</f>
        <v>0</v>
      </c>
      <c r="X235" s="593">
        <f ca="1">$E235*(-SUMIF(INDIRECT(X$3),'Struktur Vorjahr'!$D235,INDIRECT(X$4))+SUMIF(INDIRECT(X$3),'Struktur Vorjahr'!$D235,INDIRECT(X$5)))</f>
        <v>0</v>
      </c>
      <c r="Y235" s="593">
        <f ca="1">$E235*(-SUMIF(INDIRECT(Y$3),'Struktur Vorjahr'!$D235,INDIRECT(Y$4))+SUMIF(INDIRECT(Y$3),'Struktur Vorjahr'!$D235,INDIRECT(Y$5)))</f>
        <v>0</v>
      </c>
      <c r="Z235" s="593">
        <f ca="1">$E235*(-SUMIF(INDIRECT(Z$3),'Struktur Vorjahr'!$D235,INDIRECT(Z$4))+SUMIF(INDIRECT(Z$3),'Struktur Vorjahr'!$D235,INDIRECT(Z$5)))</f>
        <v>0</v>
      </c>
      <c r="AA235" s="593">
        <f ca="1">$E235*(-SUMIF(INDIRECT(AA$3),'Struktur Vorjahr'!$D235,INDIRECT(AA$4))+SUMIF(INDIRECT(AA$3),'Struktur Vorjahr'!$D235,INDIRECT(AA$5)))</f>
        <v>0</v>
      </c>
      <c r="AB235" s="593">
        <f ca="1">$E235*(-SUMIF(INDIRECT(AB$3),'Struktur Vorjahr'!$D235,INDIRECT(AB$4))+SUMIF(INDIRECT(AB$3),'Struktur Vorjahr'!$D235,INDIRECT(AB$5)))</f>
        <v>0</v>
      </c>
      <c r="AC235" s="593">
        <f ca="1">$E235*(-SUMIF(INDIRECT(AC$3),'Struktur Vorjahr'!$D235,INDIRECT(AC$4))+SUMIF(INDIRECT(AC$3),'Struktur Vorjahr'!$D235,INDIRECT(AC$5)))</f>
        <v>0</v>
      </c>
      <c r="AD235" s="593">
        <f ca="1">$E235*(-SUMIF(INDIRECT(AD$3),'Struktur Vorjahr'!$D235,INDIRECT(AD$4))+SUMIF(INDIRECT(AD$3),'Struktur Vorjahr'!$D235,INDIRECT(AD$5)))</f>
        <v>0</v>
      </c>
      <c r="AE235" s="593">
        <f t="shared" ca="1" si="110"/>
        <v>0</v>
      </c>
      <c r="AF235" s="593">
        <f t="shared" ca="1" si="111"/>
        <v>0</v>
      </c>
      <c r="AG235" s="593">
        <f t="shared" ca="1" si="111"/>
        <v>0</v>
      </c>
      <c r="AH235" s="593">
        <f t="shared" ca="1" si="111"/>
        <v>0</v>
      </c>
      <c r="AI235" s="593">
        <f t="shared" ca="1" si="111"/>
        <v>0</v>
      </c>
      <c r="AJ235" s="593">
        <f t="shared" ca="1" si="111"/>
        <v>0</v>
      </c>
      <c r="AK235" s="593">
        <f t="shared" ca="1" si="111"/>
        <v>0</v>
      </c>
      <c r="AL235" s="593">
        <f t="shared" ca="1" si="111"/>
        <v>0</v>
      </c>
      <c r="AM235" s="593">
        <f t="shared" ca="1" si="111"/>
        <v>0</v>
      </c>
      <c r="AN235" s="593">
        <f t="shared" ca="1" si="111"/>
        <v>0</v>
      </c>
      <c r="AO235" s="593">
        <f t="shared" ca="1" si="111"/>
        <v>0</v>
      </c>
      <c r="AP235" s="593">
        <f t="shared" ca="1" si="111"/>
        <v>0</v>
      </c>
    </row>
    <row r="236" spans="1:42" s="594" customFormat="1" ht="11.25" outlineLevel="1" x14ac:dyDescent="0.2">
      <c r="A236" s="590"/>
      <c r="B236" s="591" t="str">
        <f>IF(D236&lt;&gt;"",
IF(ISERROR(MATCH(D236,'Ist Vorjahr Monat 01'!A:A,0))=FALSE,INDEX('Ist Vorjahr Monat 01'!B:B,MATCH(D236,'Ist Vorjahr Monat 01'!A:A,0)),
IF(ISERROR(MATCH(D236,'Ist Vorjahr Monat 02'!A:A,0))=FALSE,INDEX('Ist Vorjahr Monat 02'!B:B,MATCH(D236,'Ist Vorjahr Monat 02'!A:A,0)),
IF(ISERROR(MATCH(D236,'Ist Vorjahr Monat 03'!A:A,0))=FALSE,INDEX('Ist Vorjahr Monat 03'!B:B,MATCH(D236,'Ist Vorjahr Monat 03'!A:A,0)),
IF(ISERROR(MATCH(D236,'Ist Vorjahr Monat 04'!A:A,0))=FALSE,INDEX('Ist Vorjahr Monat 04'!B:B,MATCH(D236,'Ist Vorjahr Monat 04'!A:A,0)),
IF(ISERROR(MATCH(D236,'Ist Vorjahr Monat 05'!A:A,0))=FALSE,INDEX('Ist Vorjahr Monat 05'!B:B,MATCH(D236,'Ist Vorjahr Monat 05'!A:A,0)),
IF(ISERROR(MATCH(D236,'Ist Vorjahr Monat 06'!A:A,0))=FALSE,INDEX('Ist Vorjahr Monat 06'!B:B,MATCH(D236,'Ist Vorjahr Monat 06'!A:A,0)),
IF(ISERROR(MATCH(D236,'Ist Vorjahr Monat 07'!A:A,0))=FALSE,INDEX('Ist Vorjahr Monat 07'!B:B,MATCH(D236,'Ist Vorjahr Monat 07'!A:A,0)),
IF(ISERROR(MATCH(D236,'Ist Vorjahr Monat 08'!A:A,0))=FALSE,INDEX('Ist Vorjahr Monat 08'!B:B,MATCH(D236,'Ist Vorjahr Monat 08'!A:A,0)),
IF(ISERROR(MATCH(D236,'Ist Vorjahr Monat 09'!A:A,0))=FALSE,INDEX('Ist Vorjahr Monat 09'!B:B,MATCH(D236,'Ist Vorjahr Monat 09'!A:A,0)),
IF(ISERROR(MATCH(D236,'Ist Vorjahr Monat 10'!A:A,0))=FALSE,INDEX('Ist Vorjahr Monat 10'!B:B,MATCH(D236,'Ist Vorjahr Monat 10'!A:A,0)),
IF(ISERROR(MATCH(D236,'Ist Vorjahr Monat 11'!A:A,0))=FALSE,INDEX('Ist Vorjahr Monat 11'!B:B,MATCH(D236,'Ist Vorjahr Monat 11'!A:A,0)),
IF(ISERROR(MATCH(D236,'Ist Vorjahr Monat 12'!A:A,0))=FALSE,INDEX('Ist Vorjahr Monat 12'!B:B,MATCH(D236,'Ist Vorjahr Monat 12'!A:A,0)),
"{Konto unbekannt}"
)))))))))))),"")</f>
        <v/>
      </c>
      <c r="C236" s="591"/>
      <c r="D236" s="590"/>
      <c r="E236" s="592">
        <f t="shared" si="105"/>
        <v>1</v>
      </c>
      <c r="F236" s="590"/>
      <c r="G236" s="593">
        <f ca="1">$E236*(-SUMIF(INDIRECT(G$3),'Struktur Vorjahr'!$D236,INDIRECT(G$4))+SUMIF(INDIRECT(G$3),'Struktur Vorjahr'!$D236,INDIRECT(G$5)))</f>
        <v>0</v>
      </c>
      <c r="H236" s="593">
        <f ca="1">$E236*(-SUMIF(INDIRECT(H$3),'Struktur Vorjahr'!$D236,INDIRECT(H$4))+SUMIF(INDIRECT(H$3),'Struktur Vorjahr'!$D236,INDIRECT(H$5)))</f>
        <v>0</v>
      </c>
      <c r="I236" s="593">
        <f ca="1">$E236*(-SUMIF(INDIRECT(I$3),'Struktur Vorjahr'!$D236,INDIRECT(I$4))+SUMIF(INDIRECT(I$3),'Struktur Vorjahr'!$D236,INDIRECT(I$5)))</f>
        <v>0</v>
      </c>
      <c r="J236" s="593">
        <f ca="1">$E236*(-SUMIF(INDIRECT(J$3),'Struktur Vorjahr'!$D236,INDIRECT(J$4))+SUMIF(INDIRECT(J$3),'Struktur Vorjahr'!$D236,INDIRECT(J$5)))</f>
        <v>0</v>
      </c>
      <c r="K236" s="593">
        <f ca="1">$E236*(-SUMIF(INDIRECT(K$3),'Struktur Vorjahr'!$D236,INDIRECT(K$4))+SUMIF(INDIRECT(K$3),'Struktur Vorjahr'!$D236,INDIRECT(K$5)))</f>
        <v>0</v>
      </c>
      <c r="L236" s="593">
        <f ca="1">$E236*(-SUMIF(INDIRECT(L$3),'Struktur Vorjahr'!$D236,INDIRECT(L$4))+SUMIF(INDIRECT(L$3),'Struktur Vorjahr'!$D236,INDIRECT(L$5)))</f>
        <v>0</v>
      </c>
      <c r="M236" s="593">
        <f ca="1">$E236*(-SUMIF(INDIRECT(M$3),'Struktur Vorjahr'!$D236,INDIRECT(M$4))+SUMIF(INDIRECT(M$3),'Struktur Vorjahr'!$D236,INDIRECT(M$5)))</f>
        <v>0</v>
      </c>
      <c r="N236" s="593">
        <f ca="1">$E236*(-SUMIF(INDIRECT(N$3),'Struktur Vorjahr'!$D236,INDIRECT(N$4))+SUMIF(INDIRECT(N$3),'Struktur Vorjahr'!$D236,INDIRECT(N$5)))</f>
        <v>0</v>
      </c>
      <c r="O236" s="593">
        <f ca="1">$E236*(-SUMIF(INDIRECT(O$3),'Struktur Vorjahr'!$D236,INDIRECT(O$4))+SUMIF(INDIRECT(O$3),'Struktur Vorjahr'!$D236,INDIRECT(O$5)))</f>
        <v>0</v>
      </c>
      <c r="P236" s="593">
        <f ca="1">$E236*(-SUMIF(INDIRECT(P$3),'Struktur Vorjahr'!$D236,INDIRECT(P$4))+SUMIF(INDIRECT(P$3),'Struktur Vorjahr'!$D236,INDIRECT(P$5)))</f>
        <v>0</v>
      </c>
      <c r="Q236" s="593">
        <f ca="1">$E236*(-SUMIF(INDIRECT(Q$3),'Struktur Vorjahr'!$D236,INDIRECT(Q$4))+SUMIF(INDIRECT(Q$3),'Struktur Vorjahr'!$D236,INDIRECT(Q$5)))</f>
        <v>0</v>
      </c>
      <c r="R236" s="593">
        <f ca="1">$E236*(-SUMIF(INDIRECT(R$3),'Struktur Vorjahr'!$D236,INDIRECT(R$4))+SUMIF(INDIRECT(R$3),'Struktur Vorjahr'!$D236,INDIRECT(R$5)))</f>
        <v>0</v>
      </c>
      <c r="S236" s="593">
        <f ca="1">$E236*(-SUMIF(INDIRECT(S$3),'Struktur Vorjahr'!$D236,INDIRECT(S$4))+SUMIF(INDIRECT(S$3),'Struktur Vorjahr'!$D236,INDIRECT(S$5)))</f>
        <v>0</v>
      </c>
      <c r="T236" s="593">
        <f ca="1">$E236*(-SUMIF(INDIRECT(T$3),'Struktur Vorjahr'!$D236,INDIRECT(T$4))+SUMIF(INDIRECT(T$3),'Struktur Vorjahr'!$D236,INDIRECT(T$5)))</f>
        <v>0</v>
      </c>
      <c r="U236" s="593">
        <f ca="1">$E236*(-SUMIF(INDIRECT(U$3),'Struktur Vorjahr'!$D236,INDIRECT(U$4))+SUMIF(INDIRECT(U$3),'Struktur Vorjahr'!$D236,INDIRECT(U$5)))</f>
        <v>0</v>
      </c>
      <c r="V236" s="593">
        <f ca="1">$E236*(-SUMIF(INDIRECT(V$3),'Struktur Vorjahr'!$D236,INDIRECT(V$4))+SUMIF(INDIRECT(V$3),'Struktur Vorjahr'!$D236,INDIRECT(V$5)))</f>
        <v>0</v>
      </c>
      <c r="W236" s="593">
        <f ca="1">$E236*(-SUMIF(INDIRECT(W$3),'Struktur Vorjahr'!$D236,INDIRECT(W$4))+SUMIF(INDIRECT(W$3),'Struktur Vorjahr'!$D236,INDIRECT(W$5)))</f>
        <v>0</v>
      </c>
      <c r="X236" s="593">
        <f ca="1">$E236*(-SUMIF(INDIRECT(X$3),'Struktur Vorjahr'!$D236,INDIRECT(X$4))+SUMIF(INDIRECT(X$3),'Struktur Vorjahr'!$D236,INDIRECT(X$5)))</f>
        <v>0</v>
      </c>
      <c r="Y236" s="593">
        <f ca="1">$E236*(-SUMIF(INDIRECT(Y$3),'Struktur Vorjahr'!$D236,INDIRECT(Y$4))+SUMIF(INDIRECT(Y$3),'Struktur Vorjahr'!$D236,INDIRECT(Y$5)))</f>
        <v>0</v>
      </c>
      <c r="Z236" s="593">
        <f ca="1">$E236*(-SUMIF(INDIRECT(Z$3),'Struktur Vorjahr'!$D236,INDIRECT(Z$4))+SUMIF(INDIRECT(Z$3),'Struktur Vorjahr'!$D236,INDIRECT(Z$5)))</f>
        <v>0</v>
      </c>
      <c r="AA236" s="593">
        <f ca="1">$E236*(-SUMIF(INDIRECT(AA$3),'Struktur Vorjahr'!$D236,INDIRECT(AA$4))+SUMIF(INDIRECT(AA$3),'Struktur Vorjahr'!$D236,INDIRECT(AA$5)))</f>
        <v>0</v>
      </c>
      <c r="AB236" s="593">
        <f ca="1">$E236*(-SUMIF(INDIRECT(AB$3),'Struktur Vorjahr'!$D236,INDIRECT(AB$4))+SUMIF(INDIRECT(AB$3),'Struktur Vorjahr'!$D236,INDIRECT(AB$5)))</f>
        <v>0</v>
      </c>
      <c r="AC236" s="593">
        <f ca="1">$E236*(-SUMIF(INDIRECT(AC$3),'Struktur Vorjahr'!$D236,INDIRECT(AC$4))+SUMIF(INDIRECT(AC$3),'Struktur Vorjahr'!$D236,INDIRECT(AC$5)))</f>
        <v>0</v>
      </c>
      <c r="AD236" s="593">
        <f ca="1">$E236*(-SUMIF(INDIRECT(AD$3),'Struktur Vorjahr'!$D236,INDIRECT(AD$4))+SUMIF(INDIRECT(AD$3),'Struktur Vorjahr'!$D236,INDIRECT(AD$5)))</f>
        <v>0</v>
      </c>
      <c r="AE236" s="593">
        <f t="shared" ca="1" si="110"/>
        <v>0</v>
      </c>
      <c r="AF236" s="593">
        <f t="shared" ca="1" si="111"/>
        <v>0</v>
      </c>
      <c r="AG236" s="593">
        <f t="shared" ca="1" si="111"/>
        <v>0</v>
      </c>
      <c r="AH236" s="593">
        <f t="shared" ca="1" si="111"/>
        <v>0</v>
      </c>
      <c r="AI236" s="593">
        <f t="shared" ca="1" si="111"/>
        <v>0</v>
      </c>
      <c r="AJ236" s="593">
        <f t="shared" ca="1" si="111"/>
        <v>0</v>
      </c>
      <c r="AK236" s="593">
        <f t="shared" ca="1" si="111"/>
        <v>0</v>
      </c>
      <c r="AL236" s="593">
        <f t="shared" ca="1" si="111"/>
        <v>0</v>
      </c>
      <c r="AM236" s="593">
        <f t="shared" ca="1" si="111"/>
        <v>0</v>
      </c>
      <c r="AN236" s="593">
        <f t="shared" ca="1" si="111"/>
        <v>0</v>
      </c>
      <c r="AO236" s="593">
        <f t="shared" ca="1" si="111"/>
        <v>0</v>
      </c>
      <c r="AP236" s="593">
        <f t="shared" ca="1" si="111"/>
        <v>0</v>
      </c>
    </row>
    <row r="237" spans="1:42" s="594" customFormat="1" ht="11.25" outlineLevel="1" x14ac:dyDescent="0.2">
      <c r="A237" s="590"/>
      <c r="B237" s="591" t="str">
        <f>IF(D237&lt;&gt;"",
IF(ISERROR(MATCH(D237,'Ist Vorjahr Monat 01'!A:A,0))=FALSE,INDEX('Ist Vorjahr Monat 01'!B:B,MATCH(D237,'Ist Vorjahr Monat 01'!A:A,0)),
IF(ISERROR(MATCH(D237,'Ist Vorjahr Monat 02'!A:A,0))=FALSE,INDEX('Ist Vorjahr Monat 02'!B:B,MATCH(D237,'Ist Vorjahr Monat 02'!A:A,0)),
IF(ISERROR(MATCH(D237,'Ist Vorjahr Monat 03'!A:A,0))=FALSE,INDEX('Ist Vorjahr Monat 03'!B:B,MATCH(D237,'Ist Vorjahr Monat 03'!A:A,0)),
IF(ISERROR(MATCH(D237,'Ist Vorjahr Monat 04'!A:A,0))=FALSE,INDEX('Ist Vorjahr Monat 04'!B:B,MATCH(D237,'Ist Vorjahr Monat 04'!A:A,0)),
IF(ISERROR(MATCH(D237,'Ist Vorjahr Monat 05'!A:A,0))=FALSE,INDEX('Ist Vorjahr Monat 05'!B:B,MATCH(D237,'Ist Vorjahr Monat 05'!A:A,0)),
IF(ISERROR(MATCH(D237,'Ist Vorjahr Monat 06'!A:A,0))=FALSE,INDEX('Ist Vorjahr Monat 06'!B:B,MATCH(D237,'Ist Vorjahr Monat 06'!A:A,0)),
IF(ISERROR(MATCH(D237,'Ist Vorjahr Monat 07'!A:A,0))=FALSE,INDEX('Ist Vorjahr Monat 07'!B:B,MATCH(D237,'Ist Vorjahr Monat 07'!A:A,0)),
IF(ISERROR(MATCH(D237,'Ist Vorjahr Monat 08'!A:A,0))=FALSE,INDEX('Ist Vorjahr Monat 08'!B:B,MATCH(D237,'Ist Vorjahr Monat 08'!A:A,0)),
IF(ISERROR(MATCH(D237,'Ist Vorjahr Monat 09'!A:A,0))=FALSE,INDEX('Ist Vorjahr Monat 09'!B:B,MATCH(D237,'Ist Vorjahr Monat 09'!A:A,0)),
IF(ISERROR(MATCH(D237,'Ist Vorjahr Monat 10'!A:A,0))=FALSE,INDEX('Ist Vorjahr Monat 10'!B:B,MATCH(D237,'Ist Vorjahr Monat 10'!A:A,0)),
IF(ISERROR(MATCH(D237,'Ist Vorjahr Monat 11'!A:A,0))=FALSE,INDEX('Ist Vorjahr Monat 11'!B:B,MATCH(D237,'Ist Vorjahr Monat 11'!A:A,0)),
IF(ISERROR(MATCH(D237,'Ist Vorjahr Monat 12'!A:A,0))=FALSE,INDEX('Ist Vorjahr Monat 12'!B:B,MATCH(D237,'Ist Vorjahr Monat 12'!A:A,0)),
"{Konto unbekannt}"
)))))))))))),"")</f>
        <v/>
      </c>
      <c r="C237" s="591"/>
      <c r="D237" s="590"/>
      <c r="E237" s="592">
        <f t="shared" si="105"/>
        <v>1</v>
      </c>
      <c r="F237" s="590"/>
      <c r="G237" s="593">
        <f ca="1">$E237*(-SUMIF(INDIRECT(G$3),'Struktur Vorjahr'!$D237,INDIRECT(G$4))+SUMIF(INDIRECT(G$3),'Struktur Vorjahr'!$D237,INDIRECT(G$5)))</f>
        <v>0</v>
      </c>
      <c r="H237" s="593">
        <f ca="1">$E237*(-SUMIF(INDIRECT(H$3),'Struktur Vorjahr'!$D237,INDIRECT(H$4))+SUMIF(INDIRECT(H$3),'Struktur Vorjahr'!$D237,INDIRECT(H$5)))</f>
        <v>0</v>
      </c>
      <c r="I237" s="593">
        <f ca="1">$E237*(-SUMIF(INDIRECT(I$3),'Struktur Vorjahr'!$D237,INDIRECT(I$4))+SUMIF(INDIRECT(I$3),'Struktur Vorjahr'!$D237,INDIRECT(I$5)))</f>
        <v>0</v>
      </c>
      <c r="J237" s="593">
        <f ca="1">$E237*(-SUMIF(INDIRECT(J$3),'Struktur Vorjahr'!$D237,INDIRECT(J$4))+SUMIF(INDIRECT(J$3),'Struktur Vorjahr'!$D237,INDIRECT(J$5)))</f>
        <v>0</v>
      </c>
      <c r="K237" s="593">
        <f ca="1">$E237*(-SUMIF(INDIRECT(K$3),'Struktur Vorjahr'!$D237,INDIRECT(K$4))+SUMIF(INDIRECT(K$3),'Struktur Vorjahr'!$D237,INDIRECT(K$5)))</f>
        <v>0</v>
      </c>
      <c r="L237" s="593">
        <f ca="1">$E237*(-SUMIF(INDIRECT(L$3),'Struktur Vorjahr'!$D237,INDIRECT(L$4))+SUMIF(INDIRECT(L$3),'Struktur Vorjahr'!$D237,INDIRECT(L$5)))</f>
        <v>0</v>
      </c>
      <c r="M237" s="593">
        <f ca="1">$E237*(-SUMIF(INDIRECT(M$3),'Struktur Vorjahr'!$D237,INDIRECT(M$4))+SUMIF(INDIRECT(M$3),'Struktur Vorjahr'!$D237,INDIRECT(M$5)))</f>
        <v>0</v>
      </c>
      <c r="N237" s="593">
        <f ca="1">$E237*(-SUMIF(INDIRECT(N$3),'Struktur Vorjahr'!$D237,INDIRECT(N$4))+SUMIF(INDIRECT(N$3),'Struktur Vorjahr'!$D237,INDIRECT(N$5)))</f>
        <v>0</v>
      </c>
      <c r="O237" s="593">
        <f ca="1">$E237*(-SUMIF(INDIRECT(O$3),'Struktur Vorjahr'!$D237,INDIRECT(O$4))+SUMIF(INDIRECT(O$3),'Struktur Vorjahr'!$D237,INDIRECT(O$5)))</f>
        <v>0</v>
      </c>
      <c r="P237" s="593">
        <f ca="1">$E237*(-SUMIF(INDIRECT(P$3),'Struktur Vorjahr'!$D237,INDIRECT(P$4))+SUMIF(INDIRECT(P$3),'Struktur Vorjahr'!$D237,INDIRECT(P$5)))</f>
        <v>0</v>
      </c>
      <c r="Q237" s="593">
        <f ca="1">$E237*(-SUMIF(INDIRECT(Q$3),'Struktur Vorjahr'!$D237,INDIRECT(Q$4))+SUMIF(INDIRECT(Q$3),'Struktur Vorjahr'!$D237,INDIRECT(Q$5)))</f>
        <v>0</v>
      </c>
      <c r="R237" s="593">
        <f ca="1">$E237*(-SUMIF(INDIRECT(R$3),'Struktur Vorjahr'!$D237,INDIRECT(R$4))+SUMIF(INDIRECT(R$3),'Struktur Vorjahr'!$D237,INDIRECT(R$5)))</f>
        <v>0</v>
      </c>
      <c r="S237" s="593">
        <f ca="1">$E237*(-SUMIF(INDIRECT(S$3),'Struktur Vorjahr'!$D237,INDIRECT(S$4))+SUMIF(INDIRECT(S$3),'Struktur Vorjahr'!$D237,INDIRECT(S$5)))</f>
        <v>0</v>
      </c>
      <c r="T237" s="593">
        <f ca="1">$E237*(-SUMIF(INDIRECT(T$3),'Struktur Vorjahr'!$D237,INDIRECT(T$4))+SUMIF(INDIRECT(T$3),'Struktur Vorjahr'!$D237,INDIRECT(T$5)))</f>
        <v>0</v>
      </c>
      <c r="U237" s="593">
        <f ca="1">$E237*(-SUMIF(INDIRECT(U$3),'Struktur Vorjahr'!$D237,INDIRECT(U$4))+SUMIF(INDIRECT(U$3),'Struktur Vorjahr'!$D237,INDIRECT(U$5)))</f>
        <v>0</v>
      </c>
      <c r="V237" s="593">
        <f ca="1">$E237*(-SUMIF(INDIRECT(V$3),'Struktur Vorjahr'!$D237,INDIRECT(V$4))+SUMIF(INDIRECT(V$3),'Struktur Vorjahr'!$D237,INDIRECT(V$5)))</f>
        <v>0</v>
      </c>
      <c r="W237" s="593">
        <f ca="1">$E237*(-SUMIF(INDIRECT(W$3),'Struktur Vorjahr'!$D237,INDIRECT(W$4))+SUMIF(INDIRECT(W$3),'Struktur Vorjahr'!$D237,INDIRECT(W$5)))</f>
        <v>0</v>
      </c>
      <c r="X237" s="593">
        <f ca="1">$E237*(-SUMIF(INDIRECT(X$3),'Struktur Vorjahr'!$D237,INDIRECT(X$4))+SUMIF(INDIRECT(X$3),'Struktur Vorjahr'!$D237,INDIRECT(X$5)))</f>
        <v>0</v>
      </c>
      <c r="Y237" s="593">
        <f ca="1">$E237*(-SUMIF(INDIRECT(Y$3),'Struktur Vorjahr'!$D237,INDIRECT(Y$4))+SUMIF(INDIRECT(Y$3),'Struktur Vorjahr'!$D237,INDIRECT(Y$5)))</f>
        <v>0</v>
      </c>
      <c r="Z237" s="593">
        <f ca="1">$E237*(-SUMIF(INDIRECT(Z$3),'Struktur Vorjahr'!$D237,INDIRECT(Z$4))+SUMIF(INDIRECT(Z$3),'Struktur Vorjahr'!$D237,INDIRECT(Z$5)))</f>
        <v>0</v>
      </c>
      <c r="AA237" s="593">
        <f ca="1">$E237*(-SUMIF(INDIRECT(AA$3),'Struktur Vorjahr'!$D237,INDIRECT(AA$4))+SUMIF(INDIRECT(AA$3),'Struktur Vorjahr'!$D237,INDIRECT(AA$5)))</f>
        <v>0</v>
      </c>
      <c r="AB237" s="593">
        <f ca="1">$E237*(-SUMIF(INDIRECT(AB$3),'Struktur Vorjahr'!$D237,INDIRECT(AB$4))+SUMIF(INDIRECT(AB$3),'Struktur Vorjahr'!$D237,INDIRECT(AB$5)))</f>
        <v>0</v>
      </c>
      <c r="AC237" s="593">
        <f ca="1">$E237*(-SUMIF(INDIRECT(AC$3),'Struktur Vorjahr'!$D237,INDIRECT(AC$4))+SUMIF(INDIRECT(AC$3),'Struktur Vorjahr'!$D237,INDIRECT(AC$5)))</f>
        <v>0</v>
      </c>
      <c r="AD237" s="593">
        <f ca="1">$E237*(-SUMIF(INDIRECT(AD$3),'Struktur Vorjahr'!$D237,INDIRECT(AD$4))+SUMIF(INDIRECT(AD$3),'Struktur Vorjahr'!$D237,INDIRECT(AD$5)))</f>
        <v>0</v>
      </c>
      <c r="AE237" s="593">
        <f t="shared" ca="1" si="110"/>
        <v>0</v>
      </c>
      <c r="AF237" s="593">
        <f t="shared" ca="1" si="111"/>
        <v>0</v>
      </c>
      <c r="AG237" s="593">
        <f t="shared" ca="1" si="111"/>
        <v>0</v>
      </c>
      <c r="AH237" s="593">
        <f t="shared" ca="1" si="111"/>
        <v>0</v>
      </c>
      <c r="AI237" s="593">
        <f t="shared" ca="1" si="111"/>
        <v>0</v>
      </c>
      <c r="AJ237" s="593">
        <f t="shared" ca="1" si="111"/>
        <v>0</v>
      </c>
      <c r="AK237" s="593">
        <f t="shared" ca="1" si="111"/>
        <v>0</v>
      </c>
      <c r="AL237" s="593">
        <f t="shared" ca="1" si="111"/>
        <v>0</v>
      </c>
      <c r="AM237" s="593">
        <f t="shared" ca="1" si="111"/>
        <v>0</v>
      </c>
      <c r="AN237" s="593">
        <f t="shared" ca="1" si="111"/>
        <v>0</v>
      </c>
      <c r="AO237" s="593">
        <f t="shared" ca="1" si="111"/>
        <v>0</v>
      </c>
      <c r="AP237" s="593">
        <f t="shared" ca="1" si="111"/>
        <v>0</v>
      </c>
    </row>
    <row r="238" spans="1:42" s="589" customFormat="1" x14ac:dyDescent="0.2">
      <c r="A238" s="585">
        <v>22</v>
      </c>
      <c r="B238" s="586" t="s">
        <v>268</v>
      </c>
      <c r="C238" s="587">
        <f ca="1">SUM(G238:R238)</f>
        <v>0</v>
      </c>
      <c r="D238" s="587"/>
      <c r="E238" s="588">
        <f t="shared" si="105"/>
        <v>1</v>
      </c>
      <c r="F238" s="585"/>
      <c r="G238" s="587">
        <f t="shared" ref="G238:AP238" ca="1" si="112">SUM(G239:G255)</f>
        <v>0</v>
      </c>
      <c r="H238" s="587">
        <f t="shared" ca="1" si="112"/>
        <v>0</v>
      </c>
      <c r="I238" s="587">
        <f t="shared" ca="1" si="112"/>
        <v>0</v>
      </c>
      <c r="J238" s="587">
        <f t="shared" ca="1" si="112"/>
        <v>0</v>
      </c>
      <c r="K238" s="587">
        <f t="shared" ca="1" si="112"/>
        <v>0</v>
      </c>
      <c r="L238" s="587">
        <f t="shared" ca="1" si="112"/>
        <v>0</v>
      </c>
      <c r="M238" s="587">
        <f t="shared" ca="1" si="112"/>
        <v>0</v>
      </c>
      <c r="N238" s="587">
        <f t="shared" ca="1" si="112"/>
        <v>0</v>
      </c>
      <c r="O238" s="587">
        <f t="shared" ca="1" si="112"/>
        <v>0</v>
      </c>
      <c r="P238" s="587">
        <f t="shared" ca="1" si="112"/>
        <v>0</v>
      </c>
      <c r="Q238" s="587">
        <f t="shared" ca="1" si="112"/>
        <v>0</v>
      </c>
      <c r="R238" s="587">
        <f t="shared" ca="1" si="112"/>
        <v>0</v>
      </c>
      <c r="S238" s="587">
        <f t="shared" ca="1" si="112"/>
        <v>0</v>
      </c>
      <c r="T238" s="587">
        <f t="shared" ca="1" si="112"/>
        <v>0</v>
      </c>
      <c r="U238" s="587">
        <f t="shared" ca="1" si="112"/>
        <v>0</v>
      </c>
      <c r="V238" s="587">
        <f t="shared" ca="1" si="112"/>
        <v>0</v>
      </c>
      <c r="W238" s="587">
        <f t="shared" ca="1" si="112"/>
        <v>0</v>
      </c>
      <c r="X238" s="587">
        <f t="shared" ca="1" si="112"/>
        <v>0</v>
      </c>
      <c r="Y238" s="587">
        <f t="shared" ca="1" si="112"/>
        <v>0</v>
      </c>
      <c r="Z238" s="587">
        <f t="shared" ca="1" si="112"/>
        <v>0</v>
      </c>
      <c r="AA238" s="587">
        <f t="shared" ca="1" si="112"/>
        <v>0</v>
      </c>
      <c r="AB238" s="587">
        <f t="shared" ca="1" si="112"/>
        <v>0</v>
      </c>
      <c r="AC238" s="587">
        <f t="shared" ca="1" si="112"/>
        <v>0</v>
      </c>
      <c r="AD238" s="587">
        <f t="shared" ca="1" si="112"/>
        <v>0</v>
      </c>
      <c r="AE238" s="587">
        <f t="shared" ca="1" si="112"/>
        <v>0</v>
      </c>
      <c r="AF238" s="587">
        <f t="shared" ca="1" si="112"/>
        <v>0</v>
      </c>
      <c r="AG238" s="587">
        <f t="shared" ca="1" si="112"/>
        <v>0</v>
      </c>
      <c r="AH238" s="587">
        <f t="shared" ca="1" si="112"/>
        <v>0</v>
      </c>
      <c r="AI238" s="587">
        <f t="shared" ca="1" si="112"/>
        <v>0</v>
      </c>
      <c r="AJ238" s="587">
        <f t="shared" ca="1" si="112"/>
        <v>0</v>
      </c>
      <c r="AK238" s="587">
        <f t="shared" ca="1" si="112"/>
        <v>0</v>
      </c>
      <c r="AL238" s="587">
        <f t="shared" ca="1" si="112"/>
        <v>0</v>
      </c>
      <c r="AM238" s="587">
        <f t="shared" ca="1" si="112"/>
        <v>0</v>
      </c>
      <c r="AN238" s="587">
        <f t="shared" ca="1" si="112"/>
        <v>0</v>
      </c>
      <c r="AO238" s="587">
        <f t="shared" ca="1" si="112"/>
        <v>0</v>
      </c>
      <c r="AP238" s="587">
        <f t="shared" ca="1" si="112"/>
        <v>0</v>
      </c>
    </row>
    <row r="239" spans="1:42" s="594" customFormat="1" ht="11.25" outlineLevel="1" x14ac:dyDescent="0.2">
      <c r="A239" s="590"/>
      <c r="B239" s="591" t="str">
        <f>IF(D239&lt;&gt;"",
IF(ISERROR(MATCH(D239,'Ist Vorjahr Monat 01'!A:A,0))=FALSE,INDEX('Ist Vorjahr Monat 01'!B:B,MATCH(D239,'Ist Vorjahr Monat 01'!A:A,0)),
IF(ISERROR(MATCH(D239,'Ist Vorjahr Monat 02'!A:A,0))=FALSE,INDEX('Ist Vorjahr Monat 02'!B:B,MATCH(D239,'Ist Vorjahr Monat 02'!A:A,0)),
IF(ISERROR(MATCH(D239,'Ist Vorjahr Monat 03'!A:A,0))=FALSE,INDEX('Ist Vorjahr Monat 03'!B:B,MATCH(D239,'Ist Vorjahr Monat 03'!A:A,0)),
IF(ISERROR(MATCH(D239,'Ist Vorjahr Monat 04'!A:A,0))=FALSE,INDEX('Ist Vorjahr Monat 04'!B:B,MATCH(D239,'Ist Vorjahr Monat 04'!A:A,0)),
IF(ISERROR(MATCH(D239,'Ist Vorjahr Monat 05'!A:A,0))=FALSE,INDEX('Ist Vorjahr Monat 05'!B:B,MATCH(D239,'Ist Vorjahr Monat 05'!A:A,0)),
IF(ISERROR(MATCH(D239,'Ist Vorjahr Monat 06'!A:A,0))=FALSE,INDEX('Ist Vorjahr Monat 06'!B:B,MATCH(D239,'Ist Vorjahr Monat 06'!A:A,0)),
IF(ISERROR(MATCH(D239,'Ist Vorjahr Monat 07'!A:A,0))=FALSE,INDEX('Ist Vorjahr Monat 07'!B:B,MATCH(D239,'Ist Vorjahr Monat 07'!A:A,0)),
IF(ISERROR(MATCH(D239,'Ist Vorjahr Monat 08'!A:A,0))=FALSE,INDEX('Ist Vorjahr Monat 08'!B:B,MATCH(D239,'Ist Vorjahr Monat 08'!A:A,0)),
IF(ISERROR(MATCH(D239,'Ist Vorjahr Monat 09'!A:A,0))=FALSE,INDEX('Ist Vorjahr Monat 09'!B:B,MATCH(D239,'Ist Vorjahr Monat 09'!A:A,0)),
IF(ISERROR(MATCH(D239,'Ist Vorjahr Monat 10'!A:A,0))=FALSE,INDEX('Ist Vorjahr Monat 10'!B:B,MATCH(D239,'Ist Vorjahr Monat 10'!A:A,0)),
IF(ISERROR(MATCH(D239,'Ist Vorjahr Monat 11'!A:A,0))=FALSE,INDEX('Ist Vorjahr Monat 11'!B:B,MATCH(D239,'Ist Vorjahr Monat 11'!A:A,0)),
IF(ISERROR(MATCH(D239,'Ist Vorjahr Monat 12'!A:A,0))=FALSE,INDEX('Ist Vorjahr Monat 12'!B:B,MATCH(D239,'Ist Vorjahr Monat 12'!A:A,0)),
"{Konto unbekannt}"
)))))))))))),"")</f>
        <v/>
      </c>
      <c r="C239" s="591"/>
      <c r="D239" s="590"/>
      <c r="E239" s="592">
        <f t="shared" si="105"/>
        <v>1</v>
      </c>
      <c r="F239" s="590"/>
      <c r="G239" s="593">
        <f ca="1">$E239*(-SUMIF(INDIRECT(G$3),'Struktur Vorjahr'!$D239,INDIRECT(G$4))+SUMIF(INDIRECT(G$3),'Struktur Vorjahr'!$D239,INDIRECT(G$5)))</f>
        <v>0</v>
      </c>
      <c r="H239" s="593">
        <f ca="1">$E239*(-SUMIF(INDIRECT(H$3),'Struktur Vorjahr'!$D239,INDIRECT(H$4))+SUMIF(INDIRECT(H$3),'Struktur Vorjahr'!$D239,INDIRECT(H$5)))</f>
        <v>0</v>
      </c>
      <c r="I239" s="593">
        <f ca="1">$E239*(-SUMIF(INDIRECT(I$3),'Struktur Vorjahr'!$D239,INDIRECT(I$4))+SUMIF(INDIRECT(I$3),'Struktur Vorjahr'!$D239,INDIRECT(I$5)))</f>
        <v>0</v>
      </c>
      <c r="J239" s="593">
        <f ca="1">$E239*(-SUMIF(INDIRECT(J$3),'Struktur Vorjahr'!$D239,INDIRECT(J$4))+SUMIF(INDIRECT(J$3),'Struktur Vorjahr'!$D239,INDIRECT(J$5)))</f>
        <v>0</v>
      </c>
      <c r="K239" s="593">
        <f ca="1">$E239*(-SUMIF(INDIRECT(K$3),'Struktur Vorjahr'!$D239,INDIRECT(K$4))+SUMIF(INDIRECT(K$3),'Struktur Vorjahr'!$D239,INDIRECT(K$5)))</f>
        <v>0</v>
      </c>
      <c r="L239" s="593">
        <f ca="1">$E239*(-SUMIF(INDIRECT(L$3),'Struktur Vorjahr'!$D239,INDIRECT(L$4))+SUMIF(INDIRECT(L$3),'Struktur Vorjahr'!$D239,INDIRECT(L$5)))</f>
        <v>0</v>
      </c>
      <c r="M239" s="593">
        <f ca="1">$E239*(-SUMIF(INDIRECT(M$3),'Struktur Vorjahr'!$D239,INDIRECT(M$4))+SUMIF(INDIRECT(M$3),'Struktur Vorjahr'!$D239,INDIRECT(M$5)))</f>
        <v>0</v>
      </c>
      <c r="N239" s="593">
        <f ca="1">$E239*(-SUMIF(INDIRECT(N$3),'Struktur Vorjahr'!$D239,INDIRECT(N$4))+SUMIF(INDIRECT(N$3),'Struktur Vorjahr'!$D239,INDIRECT(N$5)))</f>
        <v>0</v>
      </c>
      <c r="O239" s="593">
        <f ca="1">$E239*(-SUMIF(INDIRECT(O$3),'Struktur Vorjahr'!$D239,INDIRECT(O$4))+SUMIF(INDIRECT(O$3),'Struktur Vorjahr'!$D239,INDIRECT(O$5)))</f>
        <v>0</v>
      </c>
      <c r="P239" s="593">
        <f ca="1">$E239*(-SUMIF(INDIRECT(P$3),'Struktur Vorjahr'!$D239,INDIRECT(P$4))+SUMIF(INDIRECT(P$3),'Struktur Vorjahr'!$D239,INDIRECT(P$5)))</f>
        <v>0</v>
      </c>
      <c r="Q239" s="593">
        <f ca="1">$E239*(-SUMIF(INDIRECT(Q$3),'Struktur Vorjahr'!$D239,INDIRECT(Q$4))+SUMIF(INDIRECT(Q$3),'Struktur Vorjahr'!$D239,INDIRECT(Q$5)))</f>
        <v>0</v>
      </c>
      <c r="R239" s="593">
        <f ca="1">$E239*(-SUMIF(INDIRECT(R$3),'Struktur Vorjahr'!$D239,INDIRECT(R$4))+SUMIF(INDIRECT(R$3),'Struktur Vorjahr'!$D239,INDIRECT(R$5)))</f>
        <v>0</v>
      </c>
      <c r="S239" s="593">
        <f ca="1">$E239*(-SUMIF(INDIRECT(S$3),'Struktur Vorjahr'!$D239,INDIRECT(S$4))+SUMIF(INDIRECT(S$3),'Struktur Vorjahr'!$D239,INDIRECT(S$5)))</f>
        <v>0</v>
      </c>
      <c r="T239" s="593">
        <f ca="1">$E239*(-SUMIF(INDIRECT(T$3),'Struktur Vorjahr'!$D239,INDIRECT(T$4))+SUMIF(INDIRECT(T$3),'Struktur Vorjahr'!$D239,INDIRECT(T$5)))</f>
        <v>0</v>
      </c>
      <c r="U239" s="593">
        <f ca="1">$E239*(-SUMIF(INDIRECT(U$3),'Struktur Vorjahr'!$D239,INDIRECT(U$4))+SUMIF(INDIRECT(U$3),'Struktur Vorjahr'!$D239,INDIRECT(U$5)))</f>
        <v>0</v>
      </c>
      <c r="V239" s="593">
        <f ca="1">$E239*(-SUMIF(INDIRECT(V$3),'Struktur Vorjahr'!$D239,INDIRECT(V$4))+SUMIF(INDIRECT(V$3),'Struktur Vorjahr'!$D239,INDIRECT(V$5)))</f>
        <v>0</v>
      </c>
      <c r="W239" s="593">
        <f ca="1">$E239*(-SUMIF(INDIRECT(W$3),'Struktur Vorjahr'!$D239,INDIRECT(W$4))+SUMIF(INDIRECT(W$3),'Struktur Vorjahr'!$D239,INDIRECT(W$5)))</f>
        <v>0</v>
      </c>
      <c r="X239" s="593">
        <f ca="1">$E239*(-SUMIF(INDIRECT(X$3),'Struktur Vorjahr'!$D239,INDIRECT(X$4))+SUMIF(INDIRECT(X$3),'Struktur Vorjahr'!$D239,INDIRECT(X$5)))</f>
        <v>0</v>
      </c>
      <c r="Y239" s="593">
        <f ca="1">$E239*(-SUMIF(INDIRECT(Y$3),'Struktur Vorjahr'!$D239,INDIRECT(Y$4))+SUMIF(INDIRECT(Y$3),'Struktur Vorjahr'!$D239,INDIRECT(Y$5)))</f>
        <v>0</v>
      </c>
      <c r="Z239" s="593">
        <f ca="1">$E239*(-SUMIF(INDIRECT(Z$3),'Struktur Vorjahr'!$D239,INDIRECT(Z$4))+SUMIF(INDIRECT(Z$3),'Struktur Vorjahr'!$D239,INDIRECT(Z$5)))</f>
        <v>0</v>
      </c>
      <c r="AA239" s="593">
        <f ca="1">$E239*(-SUMIF(INDIRECT(AA$3),'Struktur Vorjahr'!$D239,INDIRECT(AA$4))+SUMIF(INDIRECT(AA$3),'Struktur Vorjahr'!$D239,INDIRECT(AA$5)))</f>
        <v>0</v>
      </c>
      <c r="AB239" s="593">
        <f ca="1">$E239*(-SUMIF(INDIRECT(AB$3),'Struktur Vorjahr'!$D239,INDIRECT(AB$4))+SUMIF(INDIRECT(AB$3),'Struktur Vorjahr'!$D239,INDIRECT(AB$5)))</f>
        <v>0</v>
      </c>
      <c r="AC239" s="593">
        <f ca="1">$E239*(-SUMIF(INDIRECT(AC$3),'Struktur Vorjahr'!$D239,INDIRECT(AC$4))+SUMIF(INDIRECT(AC$3),'Struktur Vorjahr'!$D239,INDIRECT(AC$5)))</f>
        <v>0</v>
      </c>
      <c r="AD239" s="593">
        <f ca="1">$E239*(-SUMIF(INDIRECT(AD$3),'Struktur Vorjahr'!$D239,INDIRECT(AD$4))+SUMIF(INDIRECT(AD$3),'Struktur Vorjahr'!$D239,INDIRECT(AD$5)))</f>
        <v>0</v>
      </c>
      <c r="AE239" s="593">
        <f t="shared" ref="AE239:AE255" ca="1" si="113">G239</f>
        <v>0</v>
      </c>
      <c r="AF239" s="593">
        <f t="shared" ref="AF239:AP255" ca="1" si="114">H239+AE239</f>
        <v>0</v>
      </c>
      <c r="AG239" s="593">
        <f t="shared" ca="1" si="114"/>
        <v>0</v>
      </c>
      <c r="AH239" s="593">
        <f t="shared" ca="1" si="114"/>
        <v>0</v>
      </c>
      <c r="AI239" s="593">
        <f t="shared" ca="1" si="114"/>
        <v>0</v>
      </c>
      <c r="AJ239" s="593">
        <f t="shared" ca="1" si="114"/>
        <v>0</v>
      </c>
      <c r="AK239" s="593">
        <f t="shared" ca="1" si="114"/>
        <v>0</v>
      </c>
      <c r="AL239" s="593">
        <f t="shared" ca="1" si="114"/>
        <v>0</v>
      </c>
      <c r="AM239" s="593">
        <f t="shared" ca="1" si="114"/>
        <v>0</v>
      </c>
      <c r="AN239" s="593">
        <f t="shared" ca="1" si="114"/>
        <v>0</v>
      </c>
      <c r="AO239" s="593">
        <f t="shared" ca="1" si="114"/>
        <v>0</v>
      </c>
      <c r="AP239" s="593">
        <f t="shared" ca="1" si="114"/>
        <v>0</v>
      </c>
    </row>
    <row r="240" spans="1:42" s="594" customFormat="1" ht="11.25" outlineLevel="1" x14ac:dyDescent="0.2">
      <c r="A240" s="590"/>
      <c r="B240" s="591" t="str">
        <f>IF(D240&lt;&gt;"",
IF(ISERROR(MATCH(D240,'Ist Vorjahr Monat 01'!A:A,0))=FALSE,INDEX('Ist Vorjahr Monat 01'!B:B,MATCH(D240,'Ist Vorjahr Monat 01'!A:A,0)),
IF(ISERROR(MATCH(D240,'Ist Vorjahr Monat 02'!A:A,0))=FALSE,INDEX('Ist Vorjahr Monat 02'!B:B,MATCH(D240,'Ist Vorjahr Monat 02'!A:A,0)),
IF(ISERROR(MATCH(D240,'Ist Vorjahr Monat 03'!A:A,0))=FALSE,INDEX('Ist Vorjahr Monat 03'!B:B,MATCH(D240,'Ist Vorjahr Monat 03'!A:A,0)),
IF(ISERROR(MATCH(D240,'Ist Vorjahr Monat 04'!A:A,0))=FALSE,INDEX('Ist Vorjahr Monat 04'!B:B,MATCH(D240,'Ist Vorjahr Monat 04'!A:A,0)),
IF(ISERROR(MATCH(D240,'Ist Vorjahr Monat 05'!A:A,0))=FALSE,INDEX('Ist Vorjahr Monat 05'!B:B,MATCH(D240,'Ist Vorjahr Monat 05'!A:A,0)),
IF(ISERROR(MATCH(D240,'Ist Vorjahr Monat 06'!A:A,0))=FALSE,INDEX('Ist Vorjahr Monat 06'!B:B,MATCH(D240,'Ist Vorjahr Monat 06'!A:A,0)),
IF(ISERROR(MATCH(D240,'Ist Vorjahr Monat 07'!A:A,0))=FALSE,INDEX('Ist Vorjahr Monat 07'!B:B,MATCH(D240,'Ist Vorjahr Monat 07'!A:A,0)),
IF(ISERROR(MATCH(D240,'Ist Vorjahr Monat 08'!A:A,0))=FALSE,INDEX('Ist Vorjahr Monat 08'!B:B,MATCH(D240,'Ist Vorjahr Monat 08'!A:A,0)),
IF(ISERROR(MATCH(D240,'Ist Vorjahr Monat 09'!A:A,0))=FALSE,INDEX('Ist Vorjahr Monat 09'!B:B,MATCH(D240,'Ist Vorjahr Monat 09'!A:A,0)),
IF(ISERROR(MATCH(D240,'Ist Vorjahr Monat 10'!A:A,0))=FALSE,INDEX('Ist Vorjahr Monat 10'!B:B,MATCH(D240,'Ist Vorjahr Monat 10'!A:A,0)),
IF(ISERROR(MATCH(D240,'Ist Vorjahr Monat 11'!A:A,0))=FALSE,INDEX('Ist Vorjahr Monat 11'!B:B,MATCH(D240,'Ist Vorjahr Monat 11'!A:A,0)),
IF(ISERROR(MATCH(D240,'Ist Vorjahr Monat 12'!A:A,0))=FALSE,INDEX('Ist Vorjahr Monat 12'!B:B,MATCH(D240,'Ist Vorjahr Monat 12'!A:A,0)),
"{Konto unbekannt}"
)))))))))))),"")</f>
        <v/>
      </c>
      <c r="C240" s="591"/>
      <c r="D240" s="590"/>
      <c r="E240" s="592">
        <f t="shared" si="105"/>
        <v>1</v>
      </c>
      <c r="F240" s="590"/>
      <c r="G240" s="593">
        <f ca="1">$E240*(-SUMIF(INDIRECT(G$3),'Struktur Vorjahr'!$D240,INDIRECT(G$4))+SUMIF(INDIRECT(G$3),'Struktur Vorjahr'!$D240,INDIRECT(G$5)))</f>
        <v>0</v>
      </c>
      <c r="H240" s="593">
        <f ca="1">$E240*(-SUMIF(INDIRECT(H$3),'Struktur Vorjahr'!$D240,INDIRECT(H$4))+SUMIF(INDIRECT(H$3),'Struktur Vorjahr'!$D240,INDIRECT(H$5)))</f>
        <v>0</v>
      </c>
      <c r="I240" s="593">
        <f ca="1">$E240*(-SUMIF(INDIRECT(I$3),'Struktur Vorjahr'!$D240,INDIRECT(I$4))+SUMIF(INDIRECT(I$3),'Struktur Vorjahr'!$D240,INDIRECT(I$5)))</f>
        <v>0</v>
      </c>
      <c r="J240" s="593">
        <f ca="1">$E240*(-SUMIF(INDIRECT(J$3),'Struktur Vorjahr'!$D240,INDIRECT(J$4))+SUMIF(INDIRECT(J$3),'Struktur Vorjahr'!$D240,INDIRECT(J$5)))</f>
        <v>0</v>
      </c>
      <c r="K240" s="593">
        <f ca="1">$E240*(-SUMIF(INDIRECT(K$3),'Struktur Vorjahr'!$D240,INDIRECT(K$4))+SUMIF(INDIRECT(K$3),'Struktur Vorjahr'!$D240,INDIRECT(K$5)))</f>
        <v>0</v>
      </c>
      <c r="L240" s="593">
        <f ca="1">$E240*(-SUMIF(INDIRECT(L$3),'Struktur Vorjahr'!$D240,INDIRECT(L$4))+SUMIF(INDIRECT(L$3),'Struktur Vorjahr'!$D240,INDIRECT(L$5)))</f>
        <v>0</v>
      </c>
      <c r="M240" s="593">
        <f ca="1">$E240*(-SUMIF(INDIRECT(M$3),'Struktur Vorjahr'!$D240,INDIRECT(M$4))+SUMIF(INDIRECT(M$3),'Struktur Vorjahr'!$D240,INDIRECT(M$5)))</f>
        <v>0</v>
      </c>
      <c r="N240" s="593">
        <f ca="1">$E240*(-SUMIF(INDIRECT(N$3),'Struktur Vorjahr'!$D240,INDIRECT(N$4))+SUMIF(INDIRECT(N$3),'Struktur Vorjahr'!$D240,INDIRECT(N$5)))</f>
        <v>0</v>
      </c>
      <c r="O240" s="593">
        <f ca="1">$E240*(-SUMIF(INDIRECT(O$3),'Struktur Vorjahr'!$D240,INDIRECT(O$4))+SUMIF(INDIRECT(O$3),'Struktur Vorjahr'!$D240,INDIRECT(O$5)))</f>
        <v>0</v>
      </c>
      <c r="P240" s="593">
        <f ca="1">$E240*(-SUMIF(INDIRECT(P$3),'Struktur Vorjahr'!$D240,INDIRECT(P$4))+SUMIF(INDIRECT(P$3),'Struktur Vorjahr'!$D240,INDIRECT(P$5)))</f>
        <v>0</v>
      </c>
      <c r="Q240" s="593">
        <f ca="1">$E240*(-SUMIF(INDIRECT(Q$3),'Struktur Vorjahr'!$D240,INDIRECT(Q$4))+SUMIF(INDIRECT(Q$3),'Struktur Vorjahr'!$D240,INDIRECT(Q$5)))</f>
        <v>0</v>
      </c>
      <c r="R240" s="593">
        <f ca="1">$E240*(-SUMIF(INDIRECT(R$3),'Struktur Vorjahr'!$D240,INDIRECT(R$4))+SUMIF(INDIRECT(R$3),'Struktur Vorjahr'!$D240,INDIRECT(R$5)))</f>
        <v>0</v>
      </c>
      <c r="S240" s="593">
        <f ca="1">$E240*(-SUMIF(INDIRECT(S$3),'Struktur Vorjahr'!$D240,INDIRECT(S$4))+SUMIF(INDIRECT(S$3),'Struktur Vorjahr'!$D240,INDIRECT(S$5)))</f>
        <v>0</v>
      </c>
      <c r="T240" s="593">
        <f ca="1">$E240*(-SUMIF(INDIRECT(T$3),'Struktur Vorjahr'!$D240,INDIRECT(T$4))+SUMIF(INDIRECT(T$3),'Struktur Vorjahr'!$D240,INDIRECT(T$5)))</f>
        <v>0</v>
      </c>
      <c r="U240" s="593">
        <f ca="1">$E240*(-SUMIF(INDIRECT(U$3),'Struktur Vorjahr'!$D240,INDIRECT(U$4))+SUMIF(INDIRECT(U$3),'Struktur Vorjahr'!$D240,INDIRECT(U$5)))</f>
        <v>0</v>
      </c>
      <c r="V240" s="593">
        <f ca="1">$E240*(-SUMIF(INDIRECT(V$3),'Struktur Vorjahr'!$D240,INDIRECT(V$4))+SUMIF(INDIRECT(V$3),'Struktur Vorjahr'!$D240,INDIRECT(V$5)))</f>
        <v>0</v>
      </c>
      <c r="W240" s="593">
        <f ca="1">$E240*(-SUMIF(INDIRECT(W$3),'Struktur Vorjahr'!$D240,INDIRECT(W$4))+SUMIF(INDIRECT(W$3),'Struktur Vorjahr'!$D240,INDIRECT(W$5)))</f>
        <v>0</v>
      </c>
      <c r="X240" s="593">
        <f ca="1">$E240*(-SUMIF(INDIRECT(X$3),'Struktur Vorjahr'!$D240,INDIRECT(X$4))+SUMIF(INDIRECT(X$3),'Struktur Vorjahr'!$D240,INDIRECT(X$5)))</f>
        <v>0</v>
      </c>
      <c r="Y240" s="593">
        <f ca="1">$E240*(-SUMIF(INDIRECT(Y$3),'Struktur Vorjahr'!$D240,INDIRECT(Y$4))+SUMIF(INDIRECT(Y$3),'Struktur Vorjahr'!$D240,INDIRECT(Y$5)))</f>
        <v>0</v>
      </c>
      <c r="Z240" s="593">
        <f ca="1">$E240*(-SUMIF(INDIRECT(Z$3),'Struktur Vorjahr'!$D240,INDIRECT(Z$4))+SUMIF(INDIRECT(Z$3),'Struktur Vorjahr'!$D240,INDIRECT(Z$5)))</f>
        <v>0</v>
      </c>
      <c r="AA240" s="593">
        <f ca="1">$E240*(-SUMIF(INDIRECT(AA$3),'Struktur Vorjahr'!$D240,INDIRECT(AA$4))+SUMIF(INDIRECT(AA$3),'Struktur Vorjahr'!$D240,INDIRECT(AA$5)))</f>
        <v>0</v>
      </c>
      <c r="AB240" s="593">
        <f ca="1">$E240*(-SUMIF(INDIRECT(AB$3),'Struktur Vorjahr'!$D240,INDIRECT(AB$4))+SUMIF(INDIRECT(AB$3),'Struktur Vorjahr'!$D240,INDIRECT(AB$5)))</f>
        <v>0</v>
      </c>
      <c r="AC240" s="593">
        <f ca="1">$E240*(-SUMIF(INDIRECT(AC$3),'Struktur Vorjahr'!$D240,INDIRECT(AC$4))+SUMIF(INDIRECT(AC$3),'Struktur Vorjahr'!$D240,INDIRECT(AC$5)))</f>
        <v>0</v>
      </c>
      <c r="AD240" s="593">
        <f ca="1">$E240*(-SUMIF(INDIRECT(AD$3),'Struktur Vorjahr'!$D240,INDIRECT(AD$4))+SUMIF(INDIRECT(AD$3),'Struktur Vorjahr'!$D240,INDIRECT(AD$5)))</f>
        <v>0</v>
      </c>
      <c r="AE240" s="593">
        <f t="shared" ca="1" si="113"/>
        <v>0</v>
      </c>
      <c r="AF240" s="593">
        <f t="shared" ca="1" si="114"/>
        <v>0</v>
      </c>
      <c r="AG240" s="593">
        <f t="shared" ca="1" si="114"/>
        <v>0</v>
      </c>
      <c r="AH240" s="593">
        <f t="shared" ca="1" si="114"/>
        <v>0</v>
      </c>
      <c r="AI240" s="593">
        <f t="shared" ca="1" si="114"/>
        <v>0</v>
      </c>
      <c r="AJ240" s="593">
        <f t="shared" ca="1" si="114"/>
        <v>0</v>
      </c>
      <c r="AK240" s="593">
        <f t="shared" ca="1" si="114"/>
        <v>0</v>
      </c>
      <c r="AL240" s="593">
        <f t="shared" ca="1" si="114"/>
        <v>0</v>
      </c>
      <c r="AM240" s="593">
        <f t="shared" ca="1" si="114"/>
        <v>0</v>
      </c>
      <c r="AN240" s="593">
        <f t="shared" ca="1" si="114"/>
        <v>0</v>
      </c>
      <c r="AO240" s="593">
        <f t="shared" ca="1" si="114"/>
        <v>0</v>
      </c>
      <c r="AP240" s="593">
        <f t="shared" ca="1" si="114"/>
        <v>0</v>
      </c>
    </row>
    <row r="241" spans="1:42" s="594" customFormat="1" ht="11.25" outlineLevel="1" x14ac:dyDescent="0.2">
      <c r="A241" s="590"/>
      <c r="B241" s="591" t="str">
        <f>IF(D241&lt;&gt;"",
IF(ISERROR(MATCH(D241,'Ist Vorjahr Monat 01'!A:A,0))=FALSE,INDEX('Ist Vorjahr Monat 01'!B:B,MATCH(D241,'Ist Vorjahr Monat 01'!A:A,0)),
IF(ISERROR(MATCH(D241,'Ist Vorjahr Monat 02'!A:A,0))=FALSE,INDEX('Ist Vorjahr Monat 02'!B:B,MATCH(D241,'Ist Vorjahr Monat 02'!A:A,0)),
IF(ISERROR(MATCH(D241,'Ist Vorjahr Monat 03'!A:A,0))=FALSE,INDEX('Ist Vorjahr Monat 03'!B:B,MATCH(D241,'Ist Vorjahr Monat 03'!A:A,0)),
IF(ISERROR(MATCH(D241,'Ist Vorjahr Monat 04'!A:A,0))=FALSE,INDEX('Ist Vorjahr Monat 04'!B:B,MATCH(D241,'Ist Vorjahr Monat 04'!A:A,0)),
IF(ISERROR(MATCH(D241,'Ist Vorjahr Monat 05'!A:A,0))=FALSE,INDEX('Ist Vorjahr Monat 05'!B:B,MATCH(D241,'Ist Vorjahr Monat 05'!A:A,0)),
IF(ISERROR(MATCH(D241,'Ist Vorjahr Monat 06'!A:A,0))=FALSE,INDEX('Ist Vorjahr Monat 06'!B:B,MATCH(D241,'Ist Vorjahr Monat 06'!A:A,0)),
IF(ISERROR(MATCH(D241,'Ist Vorjahr Monat 07'!A:A,0))=FALSE,INDEX('Ist Vorjahr Monat 07'!B:B,MATCH(D241,'Ist Vorjahr Monat 07'!A:A,0)),
IF(ISERROR(MATCH(D241,'Ist Vorjahr Monat 08'!A:A,0))=FALSE,INDEX('Ist Vorjahr Monat 08'!B:B,MATCH(D241,'Ist Vorjahr Monat 08'!A:A,0)),
IF(ISERROR(MATCH(D241,'Ist Vorjahr Monat 09'!A:A,0))=FALSE,INDEX('Ist Vorjahr Monat 09'!B:B,MATCH(D241,'Ist Vorjahr Monat 09'!A:A,0)),
IF(ISERROR(MATCH(D241,'Ist Vorjahr Monat 10'!A:A,0))=FALSE,INDEX('Ist Vorjahr Monat 10'!B:B,MATCH(D241,'Ist Vorjahr Monat 10'!A:A,0)),
IF(ISERROR(MATCH(D241,'Ist Vorjahr Monat 11'!A:A,0))=FALSE,INDEX('Ist Vorjahr Monat 11'!B:B,MATCH(D241,'Ist Vorjahr Monat 11'!A:A,0)),
IF(ISERROR(MATCH(D241,'Ist Vorjahr Monat 12'!A:A,0))=FALSE,INDEX('Ist Vorjahr Monat 12'!B:B,MATCH(D241,'Ist Vorjahr Monat 12'!A:A,0)),
"{Konto unbekannt}"
)))))))))))),"")</f>
        <v/>
      </c>
      <c r="C241" s="591"/>
      <c r="D241" s="590"/>
      <c r="E241" s="592">
        <f t="shared" si="105"/>
        <v>1</v>
      </c>
      <c r="F241" s="590"/>
      <c r="G241" s="593">
        <f ca="1">$E241*(-SUMIF(INDIRECT(G$3),'Struktur Vorjahr'!$D241,INDIRECT(G$4))+SUMIF(INDIRECT(G$3),'Struktur Vorjahr'!$D241,INDIRECT(G$5)))</f>
        <v>0</v>
      </c>
      <c r="H241" s="593">
        <f ca="1">$E241*(-SUMIF(INDIRECT(H$3),'Struktur Vorjahr'!$D241,INDIRECT(H$4))+SUMIF(INDIRECT(H$3),'Struktur Vorjahr'!$D241,INDIRECT(H$5)))</f>
        <v>0</v>
      </c>
      <c r="I241" s="593">
        <f ca="1">$E241*(-SUMIF(INDIRECT(I$3),'Struktur Vorjahr'!$D241,INDIRECT(I$4))+SUMIF(INDIRECT(I$3),'Struktur Vorjahr'!$D241,INDIRECT(I$5)))</f>
        <v>0</v>
      </c>
      <c r="J241" s="593">
        <f ca="1">$E241*(-SUMIF(INDIRECT(J$3),'Struktur Vorjahr'!$D241,INDIRECT(J$4))+SUMIF(INDIRECT(J$3),'Struktur Vorjahr'!$D241,INDIRECT(J$5)))</f>
        <v>0</v>
      </c>
      <c r="K241" s="593">
        <f ca="1">$E241*(-SUMIF(INDIRECT(K$3),'Struktur Vorjahr'!$D241,INDIRECT(K$4))+SUMIF(INDIRECT(K$3),'Struktur Vorjahr'!$D241,INDIRECT(K$5)))</f>
        <v>0</v>
      </c>
      <c r="L241" s="593">
        <f ca="1">$E241*(-SUMIF(INDIRECT(L$3),'Struktur Vorjahr'!$D241,INDIRECT(L$4))+SUMIF(INDIRECT(L$3),'Struktur Vorjahr'!$D241,INDIRECT(L$5)))</f>
        <v>0</v>
      </c>
      <c r="M241" s="593">
        <f ca="1">$E241*(-SUMIF(INDIRECT(M$3),'Struktur Vorjahr'!$D241,INDIRECT(M$4))+SUMIF(INDIRECT(M$3),'Struktur Vorjahr'!$D241,INDIRECT(M$5)))</f>
        <v>0</v>
      </c>
      <c r="N241" s="593">
        <f ca="1">$E241*(-SUMIF(INDIRECT(N$3),'Struktur Vorjahr'!$D241,INDIRECT(N$4))+SUMIF(INDIRECT(N$3),'Struktur Vorjahr'!$D241,INDIRECT(N$5)))</f>
        <v>0</v>
      </c>
      <c r="O241" s="593">
        <f ca="1">$E241*(-SUMIF(INDIRECT(O$3),'Struktur Vorjahr'!$D241,INDIRECT(O$4))+SUMIF(INDIRECT(O$3),'Struktur Vorjahr'!$D241,INDIRECT(O$5)))</f>
        <v>0</v>
      </c>
      <c r="P241" s="593">
        <f ca="1">$E241*(-SUMIF(INDIRECT(P$3),'Struktur Vorjahr'!$D241,INDIRECT(P$4))+SUMIF(INDIRECT(P$3),'Struktur Vorjahr'!$D241,INDIRECT(P$5)))</f>
        <v>0</v>
      </c>
      <c r="Q241" s="593">
        <f ca="1">$E241*(-SUMIF(INDIRECT(Q$3),'Struktur Vorjahr'!$D241,INDIRECT(Q$4))+SUMIF(INDIRECT(Q$3),'Struktur Vorjahr'!$D241,INDIRECT(Q$5)))</f>
        <v>0</v>
      </c>
      <c r="R241" s="593">
        <f ca="1">$E241*(-SUMIF(INDIRECT(R$3),'Struktur Vorjahr'!$D241,INDIRECT(R$4))+SUMIF(INDIRECT(R$3),'Struktur Vorjahr'!$D241,INDIRECT(R$5)))</f>
        <v>0</v>
      </c>
      <c r="S241" s="593">
        <f ca="1">$E241*(-SUMIF(INDIRECT(S$3),'Struktur Vorjahr'!$D241,INDIRECT(S$4))+SUMIF(INDIRECT(S$3),'Struktur Vorjahr'!$D241,INDIRECT(S$5)))</f>
        <v>0</v>
      </c>
      <c r="T241" s="593">
        <f ca="1">$E241*(-SUMIF(INDIRECT(T$3),'Struktur Vorjahr'!$D241,INDIRECT(T$4))+SUMIF(INDIRECT(T$3),'Struktur Vorjahr'!$D241,INDIRECT(T$5)))</f>
        <v>0</v>
      </c>
      <c r="U241" s="593">
        <f ca="1">$E241*(-SUMIF(INDIRECT(U$3),'Struktur Vorjahr'!$D241,INDIRECT(U$4))+SUMIF(INDIRECT(U$3),'Struktur Vorjahr'!$D241,INDIRECT(U$5)))</f>
        <v>0</v>
      </c>
      <c r="V241" s="593">
        <f ca="1">$E241*(-SUMIF(INDIRECT(V$3),'Struktur Vorjahr'!$D241,INDIRECT(V$4))+SUMIF(INDIRECT(V$3),'Struktur Vorjahr'!$D241,INDIRECT(V$5)))</f>
        <v>0</v>
      </c>
      <c r="W241" s="593">
        <f ca="1">$E241*(-SUMIF(INDIRECT(W$3),'Struktur Vorjahr'!$D241,INDIRECT(W$4))+SUMIF(INDIRECT(W$3),'Struktur Vorjahr'!$D241,INDIRECT(W$5)))</f>
        <v>0</v>
      </c>
      <c r="X241" s="593">
        <f ca="1">$E241*(-SUMIF(INDIRECT(X$3),'Struktur Vorjahr'!$D241,INDIRECT(X$4))+SUMIF(INDIRECT(X$3),'Struktur Vorjahr'!$D241,INDIRECT(X$5)))</f>
        <v>0</v>
      </c>
      <c r="Y241" s="593">
        <f ca="1">$E241*(-SUMIF(INDIRECT(Y$3),'Struktur Vorjahr'!$D241,INDIRECT(Y$4))+SUMIF(INDIRECT(Y$3),'Struktur Vorjahr'!$D241,INDIRECT(Y$5)))</f>
        <v>0</v>
      </c>
      <c r="Z241" s="593">
        <f ca="1">$E241*(-SUMIF(INDIRECT(Z$3),'Struktur Vorjahr'!$D241,INDIRECT(Z$4))+SUMIF(INDIRECT(Z$3),'Struktur Vorjahr'!$D241,INDIRECT(Z$5)))</f>
        <v>0</v>
      </c>
      <c r="AA241" s="593">
        <f ca="1">$E241*(-SUMIF(INDIRECT(AA$3),'Struktur Vorjahr'!$D241,INDIRECT(AA$4))+SUMIF(INDIRECT(AA$3),'Struktur Vorjahr'!$D241,INDIRECT(AA$5)))</f>
        <v>0</v>
      </c>
      <c r="AB241" s="593">
        <f ca="1">$E241*(-SUMIF(INDIRECT(AB$3),'Struktur Vorjahr'!$D241,INDIRECT(AB$4))+SUMIF(INDIRECT(AB$3),'Struktur Vorjahr'!$D241,INDIRECT(AB$5)))</f>
        <v>0</v>
      </c>
      <c r="AC241" s="593">
        <f ca="1">$E241*(-SUMIF(INDIRECT(AC$3),'Struktur Vorjahr'!$D241,INDIRECT(AC$4))+SUMIF(INDIRECT(AC$3),'Struktur Vorjahr'!$D241,INDIRECT(AC$5)))</f>
        <v>0</v>
      </c>
      <c r="AD241" s="593">
        <f ca="1">$E241*(-SUMIF(INDIRECT(AD$3),'Struktur Vorjahr'!$D241,INDIRECT(AD$4))+SUMIF(INDIRECT(AD$3),'Struktur Vorjahr'!$D241,INDIRECT(AD$5)))</f>
        <v>0</v>
      </c>
      <c r="AE241" s="593">
        <f t="shared" ca="1" si="113"/>
        <v>0</v>
      </c>
      <c r="AF241" s="593">
        <f t="shared" ca="1" si="114"/>
        <v>0</v>
      </c>
      <c r="AG241" s="593">
        <f t="shared" ca="1" si="114"/>
        <v>0</v>
      </c>
      <c r="AH241" s="593">
        <f t="shared" ca="1" si="114"/>
        <v>0</v>
      </c>
      <c r="AI241" s="593">
        <f t="shared" ca="1" si="114"/>
        <v>0</v>
      </c>
      <c r="AJ241" s="593">
        <f t="shared" ca="1" si="114"/>
        <v>0</v>
      </c>
      <c r="AK241" s="593">
        <f t="shared" ca="1" si="114"/>
        <v>0</v>
      </c>
      <c r="AL241" s="593">
        <f t="shared" ca="1" si="114"/>
        <v>0</v>
      </c>
      <c r="AM241" s="593">
        <f t="shared" ca="1" si="114"/>
        <v>0</v>
      </c>
      <c r="AN241" s="593">
        <f t="shared" ca="1" si="114"/>
        <v>0</v>
      </c>
      <c r="AO241" s="593">
        <f t="shared" ca="1" si="114"/>
        <v>0</v>
      </c>
      <c r="AP241" s="593">
        <f t="shared" ca="1" si="114"/>
        <v>0</v>
      </c>
    </row>
    <row r="242" spans="1:42" s="594" customFormat="1" ht="11.25" outlineLevel="1" x14ac:dyDescent="0.2">
      <c r="A242" s="590"/>
      <c r="B242" s="591" t="str">
        <f>IF(D242&lt;&gt;"",
IF(ISERROR(MATCH(D242,'Ist Vorjahr Monat 01'!A:A,0))=FALSE,INDEX('Ist Vorjahr Monat 01'!B:B,MATCH(D242,'Ist Vorjahr Monat 01'!A:A,0)),
IF(ISERROR(MATCH(D242,'Ist Vorjahr Monat 02'!A:A,0))=FALSE,INDEX('Ist Vorjahr Monat 02'!B:B,MATCH(D242,'Ist Vorjahr Monat 02'!A:A,0)),
IF(ISERROR(MATCH(D242,'Ist Vorjahr Monat 03'!A:A,0))=FALSE,INDEX('Ist Vorjahr Monat 03'!B:B,MATCH(D242,'Ist Vorjahr Monat 03'!A:A,0)),
IF(ISERROR(MATCH(D242,'Ist Vorjahr Monat 04'!A:A,0))=FALSE,INDEX('Ist Vorjahr Monat 04'!B:B,MATCH(D242,'Ist Vorjahr Monat 04'!A:A,0)),
IF(ISERROR(MATCH(D242,'Ist Vorjahr Monat 05'!A:A,0))=FALSE,INDEX('Ist Vorjahr Monat 05'!B:B,MATCH(D242,'Ist Vorjahr Monat 05'!A:A,0)),
IF(ISERROR(MATCH(D242,'Ist Vorjahr Monat 06'!A:A,0))=FALSE,INDEX('Ist Vorjahr Monat 06'!B:B,MATCH(D242,'Ist Vorjahr Monat 06'!A:A,0)),
IF(ISERROR(MATCH(D242,'Ist Vorjahr Monat 07'!A:A,0))=FALSE,INDEX('Ist Vorjahr Monat 07'!B:B,MATCH(D242,'Ist Vorjahr Monat 07'!A:A,0)),
IF(ISERROR(MATCH(D242,'Ist Vorjahr Monat 08'!A:A,0))=FALSE,INDEX('Ist Vorjahr Monat 08'!B:B,MATCH(D242,'Ist Vorjahr Monat 08'!A:A,0)),
IF(ISERROR(MATCH(D242,'Ist Vorjahr Monat 09'!A:A,0))=FALSE,INDEX('Ist Vorjahr Monat 09'!B:B,MATCH(D242,'Ist Vorjahr Monat 09'!A:A,0)),
IF(ISERROR(MATCH(D242,'Ist Vorjahr Monat 10'!A:A,0))=FALSE,INDEX('Ist Vorjahr Monat 10'!B:B,MATCH(D242,'Ist Vorjahr Monat 10'!A:A,0)),
IF(ISERROR(MATCH(D242,'Ist Vorjahr Monat 11'!A:A,0))=FALSE,INDEX('Ist Vorjahr Monat 11'!B:B,MATCH(D242,'Ist Vorjahr Monat 11'!A:A,0)),
IF(ISERROR(MATCH(D242,'Ist Vorjahr Monat 12'!A:A,0))=FALSE,INDEX('Ist Vorjahr Monat 12'!B:B,MATCH(D242,'Ist Vorjahr Monat 12'!A:A,0)),
"{Konto unbekannt}"
)))))))))))),"")</f>
        <v/>
      </c>
      <c r="C242" s="591"/>
      <c r="D242" s="590"/>
      <c r="E242" s="592">
        <f t="shared" si="105"/>
        <v>1</v>
      </c>
      <c r="F242" s="590"/>
      <c r="G242" s="593">
        <f ca="1">$E242*(-SUMIF(INDIRECT(G$3),'Struktur Vorjahr'!$D242,INDIRECT(G$4))+SUMIF(INDIRECT(G$3),'Struktur Vorjahr'!$D242,INDIRECT(G$5)))</f>
        <v>0</v>
      </c>
      <c r="H242" s="593">
        <f ca="1">$E242*(-SUMIF(INDIRECT(H$3),'Struktur Vorjahr'!$D242,INDIRECT(H$4))+SUMIF(INDIRECT(H$3),'Struktur Vorjahr'!$D242,INDIRECT(H$5)))</f>
        <v>0</v>
      </c>
      <c r="I242" s="593">
        <f ca="1">$E242*(-SUMIF(INDIRECT(I$3),'Struktur Vorjahr'!$D242,INDIRECT(I$4))+SUMIF(INDIRECT(I$3),'Struktur Vorjahr'!$D242,INDIRECT(I$5)))</f>
        <v>0</v>
      </c>
      <c r="J242" s="593">
        <f ca="1">$E242*(-SUMIF(INDIRECT(J$3),'Struktur Vorjahr'!$D242,INDIRECT(J$4))+SUMIF(INDIRECT(J$3),'Struktur Vorjahr'!$D242,INDIRECT(J$5)))</f>
        <v>0</v>
      </c>
      <c r="K242" s="593">
        <f ca="1">$E242*(-SUMIF(INDIRECT(K$3),'Struktur Vorjahr'!$D242,INDIRECT(K$4))+SUMIF(INDIRECT(K$3),'Struktur Vorjahr'!$D242,INDIRECT(K$5)))</f>
        <v>0</v>
      </c>
      <c r="L242" s="593">
        <f ca="1">$E242*(-SUMIF(INDIRECT(L$3),'Struktur Vorjahr'!$D242,INDIRECT(L$4))+SUMIF(INDIRECT(L$3),'Struktur Vorjahr'!$D242,INDIRECT(L$5)))</f>
        <v>0</v>
      </c>
      <c r="M242" s="593">
        <f ca="1">$E242*(-SUMIF(INDIRECT(M$3),'Struktur Vorjahr'!$D242,INDIRECT(M$4))+SUMIF(INDIRECT(M$3),'Struktur Vorjahr'!$D242,INDIRECT(M$5)))</f>
        <v>0</v>
      </c>
      <c r="N242" s="593">
        <f ca="1">$E242*(-SUMIF(INDIRECT(N$3),'Struktur Vorjahr'!$D242,INDIRECT(N$4))+SUMIF(INDIRECT(N$3),'Struktur Vorjahr'!$D242,INDIRECT(N$5)))</f>
        <v>0</v>
      </c>
      <c r="O242" s="593">
        <f ca="1">$E242*(-SUMIF(INDIRECT(O$3),'Struktur Vorjahr'!$D242,INDIRECT(O$4))+SUMIF(INDIRECT(O$3),'Struktur Vorjahr'!$D242,INDIRECT(O$5)))</f>
        <v>0</v>
      </c>
      <c r="P242" s="593">
        <f ca="1">$E242*(-SUMIF(INDIRECT(P$3),'Struktur Vorjahr'!$D242,INDIRECT(P$4))+SUMIF(INDIRECT(P$3),'Struktur Vorjahr'!$D242,INDIRECT(P$5)))</f>
        <v>0</v>
      </c>
      <c r="Q242" s="593">
        <f ca="1">$E242*(-SUMIF(INDIRECT(Q$3),'Struktur Vorjahr'!$D242,INDIRECT(Q$4))+SUMIF(INDIRECT(Q$3),'Struktur Vorjahr'!$D242,INDIRECT(Q$5)))</f>
        <v>0</v>
      </c>
      <c r="R242" s="593">
        <f ca="1">$E242*(-SUMIF(INDIRECT(R$3),'Struktur Vorjahr'!$D242,INDIRECT(R$4))+SUMIF(INDIRECT(R$3),'Struktur Vorjahr'!$D242,INDIRECT(R$5)))</f>
        <v>0</v>
      </c>
      <c r="S242" s="593">
        <f ca="1">$E242*(-SUMIF(INDIRECT(S$3),'Struktur Vorjahr'!$D242,INDIRECT(S$4))+SUMIF(INDIRECT(S$3),'Struktur Vorjahr'!$D242,INDIRECT(S$5)))</f>
        <v>0</v>
      </c>
      <c r="T242" s="593">
        <f ca="1">$E242*(-SUMIF(INDIRECT(T$3),'Struktur Vorjahr'!$D242,INDIRECT(T$4))+SUMIF(INDIRECT(T$3),'Struktur Vorjahr'!$D242,INDIRECT(T$5)))</f>
        <v>0</v>
      </c>
      <c r="U242" s="593">
        <f ca="1">$E242*(-SUMIF(INDIRECT(U$3),'Struktur Vorjahr'!$D242,INDIRECT(U$4))+SUMIF(INDIRECT(U$3),'Struktur Vorjahr'!$D242,INDIRECT(U$5)))</f>
        <v>0</v>
      </c>
      <c r="V242" s="593">
        <f ca="1">$E242*(-SUMIF(INDIRECT(V$3),'Struktur Vorjahr'!$D242,INDIRECT(V$4))+SUMIF(INDIRECT(V$3),'Struktur Vorjahr'!$D242,INDIRECT(V$5)))</f>
        <v>0</v>
      </c>
      <c r="W242" s="593">
        <f ca="1">$E242*(-SUMIF(INDIRECT(W$3),'Struktur Vorjahr'!$D242,INDIRECT(W$4))+SUMIF(INDIRECT(W$3),'Struktur Vorjahr'!$D242,INDIRECT(W$5)))</f>
        <v>0</v>
      </c>
      <c r="X242" s="593">
        <f ca="1">$E242*(-SUMIF(INDIRECT(X$3),'Struktur Vorjahr'!$D242,INDIRECT(X$4))+SUMIF(INDIRECT(X$3),'Struktur Vorjahr'!$D242,INDIRECT(X$5)))</f>
        <v>0</v>
      </c>
      <c r="Y242" s="593">
        <f ca="1">$E242*(-SUMIF(INDIRECT(Y$3),'Struktur Vorjahr'!$D242,INDIRECT(Y$4))+SUMIF(INDIRECT(Y$3),'Struktur Vorjahr'!$D242,INDIRECT(Y$5)))</f>
        <v>0</v>
      </c>
      <c r="Z242" s="593">
        <f ca="1">$E242*(-SUMIF(INDIRECT(Z$3),'Struktur Vorjahr'!$D242,INDIRECT(Z$4))+SUMIF(INDIRECT(Z$3),'Struktur Vorjahr'!$D242,INDIRECT(Z$5)))</f>
        <v>0</v>
      </c>
      <c r="AA242" s="593">
        <f ca="1">$E242*(-SUMIF(INDIRECT(AA$3),'Struktur Vorjahr'!$D242,INDIRECT(AA$4))+SUMIF(INDIRECT(AA$3),'Struktur Vorjahr'!$D242,INDIRECT(AA$5)))</f>
        <v>0</v>
      </c>
      <c r="AB242" s="593">
        <f ca="1">$E242*(-SUMIF(INDIRECT(AB$3),'Struktur Vorjahr'!$D242,INDIRECT(AB$4))+SUMIF(INDIRECT(AB$3),'Struktur Vorjahr'!$D242,INDIRECT(AB$5)))</f>
        <v>0</v>
      </c>
      <c r="AC242" s="593">
        <f ca="1">$E242*(-SUMIF(INDIRECT(AC$3),'Struktur Vorjahr'!$D242,INDIRECT(AC$4))+SUMIF(INDIRECT(AC$3),'Struktur Vorjahr'!$D242,INDIRECT(AC$5)))</f>
        <v>0</v>
      </c>
      <c r="AD242" s="593">
        <f ca="1">$E242*(-SUMIF(INDIRECT(AD$3),'Struktur Vorjahr'!$D242,INDIRECT(AD$4))+SUMIF(INDIRECT(AD$3),'Struktur Vorjahr'!$D242,INDIRECT(AD$5)))</f>
        <v>0</v>
      </c>
      <c r="AE242" s="593">
        <f t="shared" ca="1" si="113"/>
        <v>0</v>
      </c>
      <c r="AF242" s="593">
        <f t="shared" ca="1" si="114"/>
        <v>0</v>
      </c>
      <c r="AG242" s="593">
        <f t="shared" ca="1" si="114"/>
        <v>0</v>
      </c>
      <c r="AH242" s="593">
        <f t="shared" ca="1" si="114"/>
        <v>0</v>
      </c>
      <c r="AI242" s="593">
        <f t="shared" ca="1" si="114"/>
        <v>0</v>
      </c>
      <c r="AJ242" s="593">
        <f t="shared" ca="1" si="114"/>
        <v>0</v>
      </c>
      <c r="AK242" s="593">
        <f t="shared" ca="1" si="114"/>
        <v>0</v>
      </c>
      <c r="AL242" s="593">
        <f t="shared" ca="1" si="114"/>
        <v>0</v>
      </c>
      <c r="AM242" s="593">
        <f t="shared" ca="1" si="114"/>
        <v>0</v>
      </c>
      <c r="AN242" s="593">
        <f t="shared" ca="1" si="114"/>
        <v>0</v>
      </c>
      <c r="AO242" s="593">
        <f t="shared" ca="1" si="114"/>
        <v>0</v>
      </c>
      <c r="AP242" s="593">
        <f t="shared" ca="1" si="114"/>
        <v>0</v>
      </c>
    </row>
    <row r="243" spans="1:42" s="594" customFormat="1" ht="11.25" outlineLevel="1" x14ac:dyDescent="0.2">
      <c r="A243" s="590" t="s">
        <v>240</v>
      </c>
      <c r="B243" s="591" t="str">
        <f>IF(D243&lt;&gt;"",
IF(ISERROR(MATCH(D243,'Ist Vorjahr Monat 01'!A:A,0))=FALSE,INDEX('Ist Vorjahr Monat 01'!B:B,MATCH(D243,'Ist Vorjahr Monat 01'!A:A,0)),
IF(ISERROR(MATCH(D243,'Ist Vorjahr Monat 02'!A:A,0))=FALSE,INDEX('Ist Vorjahr Monat 02'!B:B,MATCH(D243,'Ist Vorjahr Monat 02'!A:A,0)),
IF(ISERROR(MATCH(D243,'Ist Vorjahr Monat 03'!A:A,0))=FALSE,INDEX('Ist Vorjahr Monat 03'!B:B,MATCH(D243,'Ist Vorjahr Monat 03'!A:A,0)),
IF(ISERROR(MATCH(D243,'Ist Vorjahr Monat 04'!A:A,0))=FALSE,INDEX('Ist Vorjahr Monat 04'!B:B,MATCH(D243,'Ist Vorjahr Monat 04'!A:A,0)),
IF(ISERROR(MATCH(D243,'Ist Vorjahr Monat 05'!A:A,0))=FALSE,INDEX('Ist Vorjahr Monat 05'!B:B,MATCH(D243,'Ist Vorjahr Monat 05'!A:A,0)),
IF(ISERROR(MATCH(D243,'Ist Vorjahr Monat 06'!A:A,0))=FALSE,INDEX('Ist Vorjahr Monat 06'!B:B,MATCH(D243,'Ist Vorjahr Monat 06'!A:A,0)),
IF(ISERROR(MATCH(D243,'Ist Vorjahr Monat 07'!A:A,0))=FALSE,INDEX('Ist Vorjahr Monat 07'!B:B,MATCH(D243,'Ist Vorjahr Monat 07'!A:A,0)),
IF(ISERROR(MATCH(D243,'Ist Vorjahr Monat 08'!A:A,0))=FALSE,INDEX('Ist Vorjahr Monat 08'!B:B,MATCH(D243,'Ist Vorjahr Monat 08'!A:A,0)),
IF(ISERROR(MATCH(D243,'Ist Vorjahr Monat 09'!A:A,0))=FALSE,INDEX('Ist Vorjahr Monat 09'!B:B,MATCH(D243,'Ist Vorjahr Monat 09'!A:A,0)),
IF(ISERROR(MATCH(D243,'Ist Vorjahr Monat 10'!A:A,0))=FALSE,INDEX('Ist Vorjahr Monat 10'!B:B,MATCH(D243,'Ist Vorjahr Monat 10'!A:A,0)),
IF(ISERROR(MATCH(D243,'Ist Vorjahr Monat 11'!A:A,0))=FALSE,INDEX('Ist Vorjahr Monat 11'!B:B,MATCH(D243,'Ist Vorjahr Monat 11'!A:A,0)),
IF(ISERROR(MATCH(D243,'Ist Vorjahr Monat 12'!A:A,0))=FALSE,INDEX('Ist Vorjahr Monat 12'!B:B,MATCH(D243,'Ist Vorjahr Monat 12'!A:A,0)),
"{Konto unbekannt}"
)))))))))))),"")</f>
        <v/>
      </c>
      <c r="C243" s="591"/>
      <c r="D243" s="590"/>
      <c r="E243" s="592">
        <f t="shared" si="105"/>
        <v>1</v>
      </c>
      <c r="F243" s="590"/>
      <c r="G243" s="593">
        <f ca="1">$E243*(-SUMIF(INDIRECT(G$3),'Struktur Vorjahr'!$D243,INDIRECT(G$4))+SUMIF(INDIRECT(G$3),'Struktur Vorjahr'!$D243,INDIRECT(G$5)))</f>
        <v>0</v>
      </c>
      <c r="H243" s="593">
        <f ca="1">$E243*(-SUMIF(INDIRECT(H$3),'Struktur Vorjahr'!$D243,INDIRECT(H$4))+SUMIF(INDIRECT(H$3),'Struktur Vorjahr'!$D243,INDIRECT(H$5)))</f>
        <v>0</v>
      </c>
      <c r="I243" s="593">
        <f ca="1">$E243*(-SUMIF(INDIRECT(I$3),'Struktur Vorjahr'!$D243,INDIRECT(I$4))+SUMIF(INDIRECT(I$3),'Struktur Vorjahr'!$D243,INDIRECT(I$5)))</f>
        <v>0</v>
      </c>
      <c r="J243" s="593">
        <f ca="1">$E243*(-SUMIF(INDIRECT(J$3),'Struktur Vorjahr'!$D243,INDIRECT(J$4))+SUMIF(INDIRECT(J$3),'Struktur Vorjahr'!$D243,INDIRECT(J$5)))</f>
        <v>0</v>
      </c>
      <c r="K243" s="593">
        <f ca="1">$E243*(-SUMIF(INDIRECT(K$3),'Struktur Vorjahr'!$D243,INDIRECT(K$4))+SUMIF(INDIRECT(K$3),'Struktur Vorjahr'!$D243,INDIRECT(K$5)))</f>
        <v>0</v>
      </c>
      <c r="L243" s="593">
        <f ca="1">$E243*(-SUMIF(INDIRECT(L$3),'Struktur Vorjahr'!$D243,INDIRECT(L$4))+SUMIF(INDIRECT(L$3),'Struktur Vorjahr'!$D243,INDIRECT(L$5)))</f>
        <v>0</v>
      </c>
      <c r="M243" s="593">
        <f ca="1">$E243*(-SUMIF(INDIRECT(M$3),'Struktur Vorjahr'!$D243,INDIRECT(M$4))+SUMIF(INDIRECT(M$3),'Struktur Vorjahr'!$D243,INDIRECT(M$5)))</f>
        <v>0</v>
      </c>
      <c r="N243" s="593">
        <f ca="1">$E243*(-SUMIF(INDIRECT(N$3),'Struktur Vorjahr'!$D243,INDIRECT(N$4))+SUMIF(INDIRECT(N$3),'Struktur Vorjahr'!$D243,INDIRECT(N$5)))</f>
        <v>0</v>
      </c>
      <c r="O243" s="593">
        <f ca="1">$E243*(-SUMIF(INDIRECT(O$3),'Struktur Vorjahr'!$D243,INDIRECT(O$4))+SUMIF(INDIRECT(O$3),'Struktur Vorjahr'!$D243,INDIRECT(O$5)))</f>
        <v>0</v>
      </c>
      <c r="P243" s="593">
        <f ca="1">$E243*(-SUMIF(INDIRECT(P$3),'Struktur Vorjahr'!$D243,INDIRECT(P$4))+SUMIF(INDIRECT(P$3),'Struktur Vorjahr'!$D243,INDIRECT(P$5)))</f>
        <v>0</v>
      </c>
      <c r="Q243" s="593">
        <f ca="1">$E243*(-SUMIF(INDIRECT(Q$3),'Struktur Vorjahr'!$D243,INDIRECT(Q$4))+SUMIF(INDIRECT(Q$3),'Struktur Vorjahr'!$D243,INDIRECT(Q$5)))</f>
        <v>0</v>
      </c>
      <c r="R243" s="593">
        <f ca="1">$E243*(-SUMIF(INDIRECT(R$3),'Struktur Vorjahr'!$D243,INDIRECT(R$4))+SUMIF(INDIRECT(R$3),'Struktur Vorjahr'!$D243,INDIRECT(R$5)))</f>
        <v>0</v>
      </c>
      <c r="S243" s="593">
        <f ca="1">$E243*(-SUMIF(INDIRECT(S$3),'Struktur Vorjahr'!$D243,INDIRECT(S$4))+SUMIF(INDIRECT(S$3),'Struktur Vorjahr'!$D243,INDIRECT(S$5)))</f>
        <v>0</v>
      </c>
      <c r="T243" s="593">
        <f ca="1">$E243*(-SUMIF(INDIRECT(T$3),'Struktur Vorjahr'!$D243,INDIRECT(T$4))+SUMIF(INDIRECT(T$3),'Struktur Vorjahr'!$D243,INDIRECT(T$5)))</f>
        <v>0</v>
      </c>
      <c r="U243" s="593">
        <f ca="1">$E243*(-SUMIF(INDIRECT(U$3),'Struktur Vorjahr'!$D243,INDIRECT(U$4))+SUMIF(INDIRECT(U$3),'Struktur Vorjahr'!$D243,INDIRECT(U$5)))</f>
        <v>0</v>
      </c>
      <c r="V243" s="593">
        <f ca="1">$E243*(-SUMIF(INDIRECT(V$3),'Struktur Vorjahr'!$D243,INDIRECT(V$4))+SUMIF(INDIRECT(V$3),'Struktur Vorjahr'!$D243,INDIRECT(V$5)))</f>
        <v>0</v>
      </c>
      <c r="W243" s="593">
        <f ca="1">$E243*(-SUMIF(INDIRECT(W$3),'Struktur Vorjahr'!$D243,INDIRECT(W$4))+SUMIF(INDIRECT(W$3),'Struktur Vorjahr'!$D243,INDIRECT(W$5)))</f>
        <v>0</v>
      </c>
      <c r="X243" s="593">
        <f ca="1">$E243*(-SUMIF(INDIRECT(X$3),'Struktur Vorjahr'!$D243,INDIRECT(X$4))+SUMIF(INDIRECT(X$3),'Struktur Vorjahr'!$D243,INDIRECT(X$5)))</f>
        <v>0</v>
      </c>
      <c r="Y243" s="593">
        <f ca="1">$E243*(-SUMIF(INDIRECT(Y$3),'Struktur Vorjahr'!$D243,INDIRECT(Y$4))+SUMIF(INDIRECT(Y$3),'Struktur Vorjahr'!$D243,INDIRECT(Y$5)))</f>
        <v>0</v>
      </c>
      <c r="Z243" s="593">
        <f ca="1">$E243*(-SUMIF(INDIRECT(Z$3),'Struktur Vorjahr'!$D243,INDIRECT(Z$4))+SUMIF(INDIRECT(Z$3),'Struktur Vorjahr'!$D243,INDIRECT(Z$5)))</f>
        <v>0</v>
      </c>
      <c r="AA243" s="593">
        <f ca="1">$E243*(-SUMIF(INDIRECT(AA$3),'Struktur Vorjahr'!$D243,INDIRECT(AA$4))+SUMIF(INDIRECT(AA$3),'Struktur Vorjahr'!$D243,INDIRECT(AA$5)))</f>
        <v>0</v>
      </c>
      <c r="AB243" s="593">
        <f ca="1">$E243*(-SUMIF(INDIRECT(AB$3),'Struktur Vorjahr'!$D243,INDIRECT(AB$4))+SUMIF(INDIRECT(AB$3),'Struktur Vorjahr'!$D243,INDIRECT(AB$5)))</f>
        <v>0</v>
      </c>
      <c r="AC243" s="593">
        <f ca="1">$E243*(-SUMIF(INDIRECT(AC$3),'Struktur Vorjahr'!$D243,INDIRECT(AC$4))+SUMIF(INDIRECT(AC$3),'Struktur Vorjahr'!$D243,INDIRECT(AC$5)))</f>
        <v>0</v>
      </c>
      <c r="AD243" s="593">
        <f ca="1">$E243*(-SUMIF(INDIRECT(AD$3),'Struktur Vorjahr'!$D243,INDIRECT(AD$4))+SUMIF(INDIRECT(AD$3),'Struktur Vorjahr'!$D243,INDIRECT(AD$5)))</f>
        <v>0</v>
      </c>
      <c r="AE243" s="593">
        <f t="shared" ca="1" si="113"/>
        <v>0</v>
      </c>
      <c r="AF243" s="593">
        <f t="shared" ca="1" si="114"/>
        <v>0</v>
      </c>
      <c r="AG243" s="593">
        <f t="shared" ca="1" si="114"/>
        <v>0</v>
      </c>
      <c r="AH243" s="593">
        <f t="shared" ca="1" si="114"/>
        <v>0</v>
      </c>
      <c r="AI243" s="593">
        <f t="shared" ca="1" si="114"/>
        <v>0</v>
      </c>
      <c r="AJ243" s="593">
        <f t="shared" ca="1" si="114"/>
        <v>0</v>
      </c>
      <c r="AK243" s="593">
        <f t="shared" ca="1" si="114"/>
        <v>0</v>
      </c>
      <c r="AL243" s="593">
        <f t="shared" ca="1" si="114"/>
        <v>0</v>
      </c>
      <c r="AM243" s="593">
        <f t="shared" ca="1" si="114"/>
        <v>0</v>
      </c>
      <c r="AN243" s="593">
        <f t="shared" ca="1" si="114"/>
        <v>0</v>
      </c>
      <c r="AO243" s="593">
        <f t="shared" ca="1" si="114"/>
        <v>0</v>
      </c>
      <c r="AP243" s="593">
        <f t="shared" ca="1" si="114"/>
        <v>0</v>
      </c>
    </row>
    <row r="244" spans="1:42" s="594" customFormat="1" ht="11.25" outlineLevel="1" x14ac:dyDescent="0.2">
      <c r="A244" s="590"/>
      <c r="B244" s="591" t="str">
        <f>IF(D244&lt;&gt;"",
IF(ISERROR(MATCH(D244,'Ist Vorjahr Monat 01'!A:A,0))=FALSE,INDEX('Ist Vorjahr Monat 01'!B:B,MATCH(D244,'Ist Vorjahr Monat 01'!A:A,0)),
IF(ISERROR(MATCH(D244,'Ist Vorjahr Monat 02'!A:A,0))=FALSE,INDEX('Ist Vorjahr Monat 02'!B:B,MATCH(D244,'Ist Vorjahr Monat 02'!A:A,0)),
IF(ISERROR(MATCH(D244,'Ist Vorjahr Monat 03'!A:A,0))=FALSE,INDEX('Ist Vorjahr Monat 03'!B:B,MATCH(D244,'Ist Vorjahr Monat 03'!A:A,0)),
IF(ISERROR(MATCH(D244,'Ist Vorjahr Monat 04'!A:A,0))=FALSE,INDEX('Ist Vorjahr Monat 04'!B:B,MATCH(D244,'Ist Vorjahr Monat 04'!A:A,0)),
IF(ISERROR(MATCH(D244,'Ist Vorjahr Monat 05'!A:A,0))=FALSE,INDEX('Ist Vorjahr Monat 05'!B:B,MATCH(D244,'Ist Vorjahr Monat 05'!A:A,0)),
IF(ISERROR(MATCH(D244,'Ist Vorjahr Monat 06'!A:A,0))=FALSE,INDEX('Ist Vorjahr Monat 06'!B:B,MATCH(D244,'Ist Vorjahr Monat 06'!A:A,0)),
IF(ISERROR(MATCH(D244,'Ist Vorjahr Monat 07'!A:A,0))=FALSE,INDEX('Ist Vorjahr Monat 07'!B:B,MATCH(D244,'Ist Vorjahr Monat 07'!A:A,0)),
IF(ISERROR(MATCH(D244,'Ist Vorjahr Monat 08'!A:A,0))=FALSE,INDEX('Ist Vorjahr Monat 08'!B:B,MATCH(D244,'Ist Vorjahr Monat 08'!A:A,0)),
IF(ISERROR(MATCH(D244,'Ist Vorjahr Monat 09'!A:A,0))=FALSE,INDEX('Ist Vorjahr Monat 09'!B:B,MATCH(D244,'Ist Vorjahr Monat 09'!A:A,0)),
IF(ISERROR(MATCH(D244,'Ist Vorjahr Monat 10'!A:A,0))=FALSE,INDEX('Ist Vorjahr Monat 10'!B:B,MATCH(D244,'Ist Vorjahr Monat 10'!A:A,0)),
IF(ISERROR(MATCH(D244,'Ist Vorjahr Monat 11'!A:A,0))=FALSE,INDEX('Ist Vorjahr Monat 11'!B:B,MATCH(D244,'Ist Vorjahr Monat 11'!A:A,0)),
IF(ISERROR(MATCH(D244,'Ist Vorjahr Monat 12'!A:A,0))=FALSE,INDEX('Ist Vorjahr Monat 12'!B:B,MATCH(D244,'Ist Vorjahr Monat 12'!A:A,0)),
"{Konto unbekannt}"
)))))))))))),"")</f>
        <v/>
      </c>
      <c r="C244" s="591"/>
      <c r="D244" s="590"/>
      <c r="E244" s="592">
        <f t="shared" si="105"/>
        <v>1</v>
      </c>
      <c r="F244" s="590"/>
      <c r="G244" s="593">
        <f ca="1">$E244*(-SUMIF(INDIRECT(G$3),'Struktur Vorjahr'!$D244,INDIRECT(G$4))+SUMIF(INDIRECT(G$3),'Struktur Vorjahr'!$D244,INDIRECT(G$5)))</f>
        <v>0</v>
      </c>
      <c r="H244" s="593">
        <f ca="1">$E244*(-SUMIF(INDIRECT(H$3),'Struktur Vorjahr'!$D244,INDIRECT(H$4))+SUMIF(INDIRECT(H$3),'Struktur Vorjahr'!$D244,INDIRECT(H$5)))</f>
        <v>0</v>
      </c>
      <c r="I244" s="593">
        <f ca="1">$E244*(-SUMIF(INDIRECT(I$3),'Struktur Vorjahr'!$D244,INDIRECT(I$4))+SUMIF(INDIRECT(I$3),'Struktur Vorjahr'!$D244,INDIRECT(I$5)))</f>
        <v>0</v>
      </c>
      <c r="J244" s="593">
        <f ca="1">$E244*(-SUMIF(INDIRECT(J$3),'Struktur Vorjahr'!$D244,INDIRECT(J$4))+SUMIF(INDIRECT(J$3),'Struktur Vorjahr'!$D244,INDIRECT(J$5)))</f>
        <v>0</v>
      </c>
      <c r="K244" s="593">
        <f ca="1">$E244*(-SUMIF(INDIRECT(K$3),'Struktur Vorjahr'!$D244,INDIRECT(K$4))+SUMIF(INDIRECT(K$3),'Struktur Vorjahr'!$D244,INDIRECT(K$5)))</f>
        <v>0</v>
      </c>
      <c r="L244" s="593">
        <f ca="1">$E244*(-SUMIF(INDIRECT(L$3),'Struktur Vorjahr'!$D244,INDIRECT(L$4))+SUMIF(INDIRECT(L$3),'Struktur Vorjahr'!$D244,INDIRECT(L$5)))</f>
        <v>0</v>
      </c>
      <c r="M244" s="593">
        <f ca="1">$E244*(-SUMIF(INDIRECT(M$3),'Struktur Vorjahr'!$D244,INDIRECT(M$4))+SUMIF(INDIRECT(M$3),'Struktur Vorjahr'!$D244,INDIRECT(M$5)))</f>
        <v>0</v>
      </c>
      <c r="N244" s="593">
        <f ca="1">$E244*(-SUMIF(INDIRECT(N$3),'Struktur Vorjahr'!$D244,INDIRECT(N$4))+SUMIF(INDIRECT(N$3),'Struktur Vorjahr'!$D244,INDIRECT(N$5)))</f>
        <v>0</v>
      </c>
      <c r="O244" s="593">
        <f ca="1">$E244*(-SUMIF(INDIRECT(O$3),'Struktur Vorjahr'!$D244,INDIRECT(O$4))+SUMIF(INDIRECT(O$3),'Struktur Vorjahr'!$D244,INDIRECT(O$5)))</f>
        <v>0</v>
      </c>
      <c r="P244" s="593">
        <f ca="1">$E244*(-SUMIF(INDIRECT(P$3),'Struktur Vorjahr'!$D244,INDIRECT(P$4))+SUMIF(INDIRECT(P$3),'Struktur Vorjahr'!$D244,INDIRECT(P$5)))</f>
        <v>0</v>
      </c>
      <c r="Q244" s="593">
        <f ca="1">$E244*(-SUMIF(INDIRECT(Q$3),'Struktur Vorjahr'!$D244,INDIRECT(Q$4))+SUMIF(INDIRECT(Q$3),'Struktur Vorjahr'!$D244,INDIRECT(Q$5)))</f>
        <v>0</v>
      </c>
      <c r="R244" s="593">
        <f ca="1">$E244*(-SUMIF(INDIRECT(R$3),'Struktur Vorjahr'!$D244,INDIRECT(R$4))+SUMIF(INDIRECT(R$3),'Struktur Vorjahr'!$D244,INDIRECT(R$5)))</f>
        <v>0</v>
      </c>
      <c r="S244" s="593">
        <f ca="1">$E244*(-SUMIF(INDIRECT(S$3),'Struktur Vorjahr'!$D244,INDIRECT(S$4))+SUMIF(INDIRECT(S$3),'Struktur Vorjahr'!$D244,INDIRECT(S$5)))</f>
        <v>0</v>
      </c>
      <c r="T244" s="593">
        <f ca="1">$E244*(-SUMIF(INDIRECT(T$3),'Struktur Vorjahr'!$D244,INDIRECT(T$4))+SUMIF(INDIRECT(T$3),'Struktur Vorjahr'!$D244,INDIRECT(T$5)))</f>
        <v>0</v>
      </c>
      <c r="U244" s="593">
        <f ca="1">$E244*(-SUMIF(INDIRECT(U$3),'Struktur Vorjahr'!$D244,INDIRECT(U$4))+SUMIF(INDIRECT(U$3),'Struktur Vorjahr'!$D244,INDIRECT(U$5)))</f>
        <v>0</v>
      </c>
      <c r="V244" s="593">
        <f ca="1">$E244*(-SUMIF(INDIRECT(V$3),'Struktur Vorjahr'!$D244,INDIRECT(V$4))+SUMIF(INDIRECT(V$3),'Struktur Vorjahr'!$D244,INDIRECT(V$5)))</f>
        <v>0</v>
      </c>
      <c r="W244" s="593">
        <f ca="1">$E244*(-SUMIF(INDIRECT(W$3),'Struktur Vorjahr'!$D244,INDIRECT(W$4))+SUMIF(INDIRECT(W$3),'Struktur Vorjahr'!$D244,INDIRECT(W$5)))</f>
        <v>0</v>
      </c>
      <c r="X244" s="593">
        <f ca="1">$E244*(-SUMIF(INDIRECT(X$3),'Struktur Vorjahr'!$D244,INDIRECT(X$4))+SUMIF(INDIRECT(X$3),'Struktur Vorjahr'!$D244,INDIRECT(X$5)))</f>
        <v>0</v>
      </c>
      <c r="Y244" s="593">
        <f ca="1">$E244*(-SUMIF(INDIRECT(Y$3),'Struktur Vorjahr'!$D244,INDIRECT(Y$4))+SUMIF(INDIRECT(Y$3),'Struktur Vorjahr'!$D244,INDIRECT(Y$5)))</f>
        <v>0</v>
      </c>
      <c r="Z244" s="593">
        <f ca="1">$E244*(-SUMIF(INDIRECT(Z$3),'Struktur Vorjahr'!$D244,INDIRECT(Z$4))+SUMIF(INDIRECT(Z$3),'Struktur Vorjahr'!$D244,INDIRECT(Z$5)))</f>
        <v>0</v>
      </c>
      <c r="AA244" s="593">
        <f ca="1">$E244*(-SUMIF(INDIRECT(AA$3),'Struktur Vorjahr'!$D244,INDIRECT(AA$4))+SUMIF(INDIRECT(AA$3),'Struktur Vorjahr'!$D244,INDIRECT(AA$5)))</f>
        <v>0</v>
      </c>
      <c r="AB244" s="593">
        <f ca="1">$E244*(-SUMIF(INDIRECT(AB$3),'Struktur Vorjahr'!$D244,INDIRECT(AB$4))+SUMIF(INDIRECT(AB$3),'Struktur Vorjahr'!$D244,INDIRECT(AB$5)))</f>
        <v>0</v>
      </c>
      <c r="AC244" s="593">
        <f ca="1">$E244*(-SUMIF(INDIRECT(AC$3),'Struktur Vorjahr'!$D244,INDIRECT(AC$4))+SUMIF(INDIRECT(AC$3),'Struktur Vorjahr'!$D244,INDIRECT(AC$5)))</f>
        <v>0</v>
      </c>
      <c r="AD244" s="593">
        <f ca="1">$E244*(-SUMIF(INDIRECT(AD$3),'Struktur Vorjahr'!$D244,INDIRECT(AD$4))+SUMIF(INDIRECT(AD$3),'Struktur Vorjahr'!$D244,INDIRECT(AD$5)))</f>
        <v>0</v>
      </c>
      <c r="AE244" s="593">
        <f t="shared" ca="1" si="113"/>
        <v>0</v>
      </c>
      <c r="AF244" s="593">
        <f t="shared" ca="1" si="114"/>
        <v>0</v>
      </c>
      <c r="AG244" s="593">
        <f t="shared" ca="1" si="114"/>
        <v>0</v>
      </c>
      <c r="AH244" s="593">
        <f t="shared" ca="1" si="114"/>
        <v>0</v>
      </c>
      <c r="AI244" s="593">
        <f t="shared" ca="1" si="114"/>
        <v>0</v>
      </c>
      <c r="AJ244" s="593">
        <f t="shared" ca="1" si="114"/>
        <v>0</v>
      </c>
      <c r="AK244" s="593">
        <f t="shared" ca="1" si="114"/>
        <v>0</v>
      </c>
      <c r="AL244" s="593">
        <f t="shared" ca="1" si="114"/>
        <v>0</v>
      </c>
      <c r="AM244" s="593">
        <f t="shared" ca="1" si="114"/>
        <v>0</v>
      </c>
      <c r="AN244" s="593">
        <f t="shared" ca="1" si="114"/>
        <v>0</v>
      </c>
      <c r="AO244" s="593">
        <f t="shared" ca="1" si="114"/>
        <v>0</v>
      </c>
      <c r="AP244" s="593">
        <f t="shared" ca="1" si="114"/>
        <v>0</v>
      </c>
    </row>
    <row r="245" spans="1:42" s="594" customFormat="1" ht="11.25" outlineLevel="1" x14ac:dyDescent="0.2">
      <c r="A245" s="590"/>
      <c r="B245" s="591" t="str">
        <f>IF(D245&lt;&gt;"",
IF(ISERROR(MATCH(D245,'Ist Vorjahr Monat 01'!A:A,0))=FALSE,INDEX('Ist Vorjahr Monat 01'!B:B,MATCH(D245,'Ist Vorjahr Monat 01'!A:A,0)),
IF(ISERROR(MATCH(D245,'Ist Vorjahr Monat 02'!A:A,0))=FALSE,INDEX('Ist Vorjahr Monat 02'!B:B,MATCH(D245,'Ist Vorjahr Monat 02'!A:A,0)),
IF(ISERROR(MATCH(D245,'Ist Vorjahr Monat 03'!A:A,0))=FALSE,INDEX('Ist Vorjahr Monat 03'!B:B,MATCH(D245,'Ist Vorjahr Monat 03'!A:A,0)),
IF(ISERROR(MATCH(D245,'Ist Vorjahr Monat 04'!A:A,0))=FALSE,INDEX('Ist Vorjahr Monat 04'!B:B,MATCH(D245,'Ist Vorjahr Monat 04'!A:A,0)),
IF(ISERROR(MATCH(D245,'Ist Vorjahr Monat 05'!A:A,0))=FALSE,INDEX('Ist Vorjahr Monat 05'!B:B,MATCH(D245,'Ist Vorjahr Monat 05'!A:A,0)),
IF(ISERROR(MATCH(D245,'Ist Vorjahr Monat 06'!A:A,0))=FALSE,INDEX('Ist Vorjahr Monat 06'!B:B,MATCH(D245,'Ist Vorjahr Monat 06'!A:A,0)),
IF(ISERROR(MATCH(D245,'Ist Vorjahr Monat 07'!A:A,0))=FALSE,INDEX('Ist Vorjahr Monat 07'!B:B,MATCH(D245,'Ist Vorjahr Monat 07'!A:A,0)),
IF(ISERROR(MATCH(D245,'Ist Vorjahr Monat 08'!A:A,0))=FALSE,INDEX('Ist Vorjahr Monat 08'!B:B,MATCH(D245,'Ist Vorjahr Monat 08'!A:A,0)),
IF(ISERROR(MATCH(D245,'Ist Vorjahr Monat 09'!A:A,0))=FALSE,INDEX('Ist Vorjahr Monat 09'!B:B,MATCH(D245,'Ist Vorjahr Monat 09'!A:A,0)),
IF(ISERROR(MATCH(D245,'Ist Vorjahr Monat 10'!A:A,0))=FALSE,INDEX('Ist Vorjahr Monat 10'!B:B,MATCH(D245,'Ist Vorjahr Monat 10'!A:A,0)),
IF(ISERROR(MATCH(D245,'Ist Vorjahr Monat 11'!A:A,0))=FALSE,INDEX('Ist Vorjahr Monat 11'!B:B,MATCH(D245,'Ist Vorjahr Monat 11'!A:A,0)),
IF(ISERROR(MATCH(D245,'Ist Vorjahr Monat 12'!A:A,0))=FALSE,INDEX('Ist Vorjahr Monat 12'!B:B,MATCH(D245,'Ist Vorjahr Monat 12'!A:A,0)),
"{Konto unbekannt}"
)))))))))))),"")</f>
        <v/>
      </c>
      <c r="C245" s="591"/>
      <c r="D245" s="590"/>
      <c r="E245" s="592">
        <f t="shared" si="105"/>
        <v>1</v>
      </c>
      <c r="F245" s="590"/>
      <c r="G245" s="593">
        <f ca="1">$E245*(-SUMIF(INDIRECT(G$3),'Struktur Vorjahr'!$D245,INDIRECT(G$4))+SUMIF(INDIRECT(G$3),'Struktur Vorjahr'!$D245,INDIRECT(G$5)))</f>
        <v>0</v>
      </c>
      <c r="H245" s="593">
        <f ca="1">$E245*(-SUMIF(INDIRECT(H$3),'Struktur Vorjahr'!$D245,INDIRECT(H$4))+SUMIF(INDIRECT(H$3),'Struktur Vorjahr'!$D245,INDIRECT(H$5)))</f>
        <v>0</v>
      </c>
      <c r="I245" s="593">
        <f ca="1">$E245*(-SUMIF(INDIRECT(I$3),'Struktur Vorjahr'!$D245,INDIRECT(I$4))+SUMIF(INDIRECT(I$3),'Struktur Vorjahr'!$D245,INDIRECT(I$5)))</f>
        <v>0</v>
      </c>
      <c r="J245" s="593">
        <f ca="1">$E245*(-SUMIF(INDIRECT(J$3),'Struktur Vorjahr'!$D245,INDIRECT(J$4))+SUMIF(INDIRECT(J$3),'Struktur Vorjahr'!$D245,INDIRECT(J$5)))</f>
        <v>0</v>
      </c>
      <c r="K245" s="593">
        <f ca="1">$E245*(-SUMIF(INDIRECT(K$3),'Struktur Vorjahr'!$D245,INDIRECT(K$4))+SUMIF(INDIRECT(K$3),'Struktur Vorjahr'!$D245,INDIRECT(K$5)))</f>
        <v>0</v>
      </c>
      <c r="L245" s="593">
        <f ca="1">$E245*(-SUMIF(INDIRECT(L$3),'Struktur Vorjahr'!$D245,INDIRECT(L$4))+SUMIF(INDIRECT(L$3),'Struktur Vorjahr'!$D245,INDIRECT(L$5)))</f>
        <v>0</v>
      </c>
      <c r="M245" s="593">
        <f ca="1">$E245*(-SUMIF(INDIRECT(M$3),'Struktur Vorjahr'!$D245,INDIRECT(M$4))+SUMIF(INDIRECT(M$3),'Struktur Vorjahr'!$D245,INDIRECT(M$5)))</f>
        <v>0</v>
      </c>
      <c r="N245" s="593">
        <f ca="1">$E245*(-SUMIF(INDIRECT(N$3),'Struktur Vorjahr'!$D245,INDIRECT(N$4))+SUMIF(INDIRECT(N$3),'Struktur Vorjahr'!$D245,INDIRECT(N$5)))</f>
        <v>0</v>
      </c>
      <c r="O245" s="593">
        <f ca="1">$E245*(-SUMIF(INDIRECT(O$3),'Struktur Vorjahr'!$D245,INDIRECT(O$4))+SUMIF(INDIRECT(O$3),'Struktur Vorjahr'!$D245,INDIRECT(O$5)))</f>
        <v>0</v>
      </c>
      <c r="P245" s="593">
        <f ca="1">$E245*(-SUMIF(INDIRECT(P$3),'Struktur Vorjahr'!$D245,INDIRECT(P$4))+SUMIF(INDIRECT(P$3),'Struktur Vorjahr'!$D245,INDIRECT(P$5)))</f>
        <v>0</v>
      </c>
      <c r="Q245" s="593">
        <f ca="1">$E245*(-SUMIF(INDIRECT(Q$3),'Struktur Vorjahr'!$D245,INDIRECT(Q$4))+SUMIF(INDIRECT(Q$3),'Struktur Vorjahr'!$D245,INDIRECT(Q$5)))</f>
        <v>0</v>
      </c>
      <c r="R245" s="593">
        <f ca="1">$E245*(-SUMIF(INDIRECT(R$3),'Struktur Vorjahr'!$D245,INDIRECT(R$4))+SUMIF(INDIRECT(R$3),'Struktur Vorjahr'!$D245,INDIRECT(R$5)))</f>
        <v>0</v>
      </c>
      <c r="S245" s="593">
        <f ca="1">$E245*(-SUMIF(INDIRECT(S$3),'Struktur Vorjahr'!$D245,INDIRECT(S$4))+SUMIF(INDIRECT(S$3),'Struktur Vorjahr'!$D245,INDIRECT(S$5)))</f>
        <v>0</v>
      </c>
      <c r="T245" s="593">
        <f ca="1">$E245*(-SUMIF(INDIRECT(T$3),'Struktur Vorjahr'!$D245,INDIRECT(T$4))+SUMIF(INDIRECT(T$3),'Struktur Vorjahr'!$D245,INDIRECT(T$5)))</f>
        <v>0</v>
      </c>
      <c r="U245" s="593">
        <f ca="1">$E245*(-SUMIF(INDIRECT(U$3),'Struktur Vorjahr'!$D245,INDIRECT(U$4))+SUMIF(INDIRECT(U$3),'Struktur Vorjahr'!$D245,INDIRECT(U$5)))</f>
        <v>0</v>
      </c>
      <c r="V245" s="593">
        <f ca="1">$E245*(-SUMIF(INDIRECT(V$3),'Struktur Vorjahr'!$D245,INDIRECT(V$4))+SUMIF(INDIRECT(V$3),'Struktur Vorjahr'!$D245,INDIRECT(V$5)))</f>
        <v>0</v>
      </c>
      <c r="W245" s="593">
        <f ca="1">$E245*(-SUMIF(INDIRECT(W$3),'Struktur Vorjahr'!$D245,INDIRECT(W$4))+SUMIF(INDIRECT(W$3),'Struktur Vorjahr'!$D245,INDIRECT(W$5)))</f>
        <v>0</v>
      </c>
      <c r="X245" s="593">
        <f ca="1">$E245*(-SUMIF(INDIRECT(X$3),'Struktur Vorjahr'!$D245,INDIRECT(X$4))+SUMIF(INDIRECT(X$3),'Struktur Vorjahr'!$D245,INDIRECT(X$5)))</f>
        <v>0</v>
      </c>
      <c r="Y245" s="593">
        <f ca="1">$E245*(-SUMIF(INDIRECT(Y$3),'Struktur Vorjahr'!$D245,INDIRECT(Y$4))+SUMIF(INDIRECT(Y$3),'Struktur Vorjahr'!$D245,INDIRECT(Y$5)))</f>
        <v>0</v>
      </c>
      <c r="Z245" s="593">
        <f ca="1">$E245*(-SUMIF(INDIRECT(Z$3),'Struktur Vorjahr'!$D245,INDIRECT(Z$4))+SUMIF(INDIRECT(Z$3),'Struktur Vorjahr'!$D245,INDIRECT(Z$5)))</f>
        <v>0</v>
      </c>
      <c r="AA245" s="593">
        <f ca="1">$E245*(-SUMIF(INDIRECT(AA$3),'Struktur Vorjahr'!$D245,INDIRECT(AA$4))+SUMIF(INDIRECT(AA$3),'Struktur Vorjahr'!$D245,INDIRECT(AA$5)))</f>
        <v>0</v>
      </c>
      <c r="AB245" s="593">
        <f ca="1">$E245*(-SUMIF(INDIRECT(AB$3),'Struktur Vorjahr'!$D245,INDIRECT(AB$4))+SUMIF(INDIRECT(AB$3),'Struktur Vorjahr'!$D245,INDIRECT(AB$5)))</f>
        <v>0</v>
      </c>
      <c r="AC245" s="593">
        <f ca="1">$E245*(-SUMIF(INDIRECT(AC$3),'Struktur Vorjahr'!$D245,INDIRECT(AC$4))+SUMIF(INDIRECT(AC$3),'Struktur Vorjahr'!$D245,INDIRECT(AC$5)))</f>
        <v>0</v>
      </c>
      <c r="AD245" s="593">
        <f ca="1">$E245*(-SUMIF(INDIRECT(AD$3),'Struktur Vorjahr'!$D245,INDIRECT(AD$4))+SUMIF(INDIRECT(AD$3),'Struktur Vorjahr'!$D245,INDIRECT(AD$5)))</f>
        <v>0</v>
      </c>
      <c r="AE245" s="593">
        <f t="shared" ca="1" si="113"/>
        <v>0</v>
      </c>
      <c r="AF245" s="593">
        <f t="shared" ca="1" si="114"/>
        <v>0</v>
      </c>
      <c r="AG245" s="593">
        <f t="shared" ca="1" si="114"/>
        <v>0</v>
      </c>
      <c r="AH245" s="593">
        <f t="shared" ca="1" si="114"/>
        <v>0</v>
      </c>
      <c r="AI245" s="593">
        <f t="shared" ca="1" si="114"/>
        <v>0</v>
      </c>
      <c r="AJ245" s="593">
        <f t="shared" ca="1" si="114"/>
        <v>0</v>
      </c>
      <c r="AK245" s="593">
        <f t="shared" ca="1" si="114"/>
        <v>0</v>
      </c>
      <c r="AL245" s="593">
        <f t="shared" ca="1" si="114"/>
        <v>0</v>
      </c>
      <c r="AM245" s="593">
        <f t="shared" ca="1" si="114"/>
        <v>0</v>
      </c>
      <c r="AN245" s="593">
        <f t="shared" ca="1" si="114"/>
        <v>0</v>
      </c>
      <c r="AO245" s="593">
        <f t="shared" ca="1" si="114"/>
        <v>0</v>
      </c>
      <c r="AP245" s="593">
        <f t="shared" ca="1" si="114"/>
        <v>0</v>
      </c>
    </row>
    <row r="246" spans="1:42" s="594" customFormat="1" ht="11.25" outlineLevel="1" x14ac:dyDescent="0.2">
      <c r="A246" s="590"/>
      <c r="B246" s="591" t="str">
        <f>IF(D246&lt;&gt;"",
IF(ISERROR(MATCH(D246,'Ist Vorjahr Monat 01'!A:A,0))=FALSE,INDEX('Ist Vorjahr Monat 01'!B:B,MATCH(D246,'Ist Vorjahr Monat 01'!A:A,0)),
IF(ISERROR(MATCH(D246,'Ist Vorjahr Monat 02'!A:A,0))=FALSE,INDEX('Ist Vorjahr Monat 02'!B:B,MATCH(D246,'Ist Vorjahr Monat 02'!A:A,0)),
IF(ISERROR(MATCH(D246,'Ist Vorjahr Monat 03'!A:A,0))=FALSE,INDEX('Ist Vorjahr Monat 03'!B:B,MATCH(D246,'Ist Vorjahr Monat 03'!A:A,0)),
IF(ISERROR(MATCH(D246,'Ist Vorjahr Monat 04'!A:A,0))=FALSE,INDEX('Ist Vorjahr Monat 04'!B:B,MATCH(D246,'Ist Vorjahr Monat 04'!A:A,0)),
IF(ISERROR(MATCH(D246,'Ist Vorjahr Monat 05'!A:A,0))=FALSE,INDEX('Ist Vorjahr Monat 05'!B:B,MATCH(D246,'Ist Vorjahr Monat 05'!A:A,0)),
IF(ISERROR(MATCH(D246,'Ist Vorjahr Monat 06'!A:A,0))=FALSE,INDEX('Ist Vorjahr Monat 06'!B:B,MATCH(D246,'Ist Vorjahr Monat 06'!A:A,0)),
IF(ISERROR(MATCH(D246,'Ist Vorjahr Monat 07'!A:A,0))=FALSE,INDEX('Ist Vorjahr Monat 07'!B:B,MATCH(D246,'Ist Vorjahr Monat 07'!A:A,0)),
IF(ISERROR(MATCH(D246,'Ist Vorjahr Monat 08'!A:A,0))=FALSE,INDEX('Ist Vorjahr Monat 08'!B:B,MATCH(D246,'Ist Vorjahr Monat 08'!A:A,0)),
IF(ISERROR(MATCH(D246,'Ist Vorjahr Monat 09'!A:A,0))=FALSE,INDEX('Ist Vorjahr Monat 09'!B:B,MATCH(D246,'Ist Vorjahr Monat 09'!A:A,0)),
IF(ISERROR(MATCH(D246,'Ist Vorjahr Monat 10'!A:A,0))=FALSE,INDEX('Ist Vorjahr Monat 10'!B:B,MATCH(D246,'Ist Vorjahr Monat 10'!A:A,0)),
IF(ISERROR(MATCH(D246,'Ist Vorjahr Monat 11'!A:A,0))=FALSE,INDEX('Ist Vorjahr Monat 11'!B:B,MATCH(D246,'Ist Vorjahr Monat 11'!A:A,0)),
IF(ISERROR(MATCH(D246,'Ist Vorjahr Monat 12'!A:A,0))=FALSE,INDEX('Ist Vorjahr Monat 12'!B:B,MATCH(D246,'Ist Vorjahr Monat 12'!A:A,0)),
"{Konto unbekannt}"
)))))))))))),"")</f>
        <v/>
      </c>
      <c r="C246" s="591"/>
      <c r="D246" s="590"/>
      <c r="E246" s="592">
        <f t="shared" si="105"/>
        <v>1</v>
      </c>
      <c r="F246" s="590"/>
      <c r="G246" s="593">
        <f ca="1">$E246*(-SUMIF(INDIRECT(G$3),'Struktur Vorjahr'!$D246,INDIRECT(G$4))+SUMIF(INDIRECT(G$3),'Struktur Vorjahr'!$D246,INDIRECT(G$5)))</f>
        <v>0</v>
      </c>
      <c r="H246" s="593">
        <f ca="1">$E246*(-SUMIF(INDIRECT(H$3),'Struktur Vorjahr'!$D246,INDIRECT(H$4))+SUMIF(INDIRECT(H$3),'Struktur Vorjahr'!$D246,INDIRECT(H$5)))</f>
        <v>0</v>
      </c>
      <c r="I246" s="593">
        <f ca="1">$E246*(-SUMIF(INDIRECT(I$3),'Struktur Vorjahr'!$D246,INDIRECT(I$4))+SUMIF(INDIRECT(I$3),'Struktur Vorjahr'!$D246,INDIRECT(I$5)))</f>
        <v>0</v>
      </c>
      <c r="J246" s="593">
        <f ca="1">$E246*(-SUMIF(INDIRECT(J$3),'Struktur Vorjahr'!$D246,INDIRECT(J$4))+SUMIF(INDIRECT(J$3),'Struktur Vorjahr'!$D246,INDIRECT(J$5)))</f>
        <v>0</v>
      </c>
      <c r="K246" s="593">
        <f ca="1">$E246*(-SUMIF(INDIRECT(K$3),'Struktur Vorjahr'!$D246,INDIRECT(K$4))+SUMIF(INDIRECT(K$3),'Struktur Vorjahr'!$D246,INDIRECT(K$5)))</f>
        <v>0</v>
      </c>
      <c r="L246" s="593">
        <f ca="1">$E246*(-SUMIF(INDIRECT(L$3),'Struktur Vorjahr'!$D246,INDIRECT(L$4))+SUMIF(INDIRECT(L$3),'Struktur Vorjahr'!$D246,INDIRECT(L$5)))</f>
        <v>0</v>
      </c>
      <c r="M246" s="593">
        <f ca="1">$E246*(-SUMIF(INDIRECT(M$3),'Struktur Vorjahr'!$D246,INDIRECT(M$4))+SUMIF(INDIRECT(M$3),'Struktur Vorjahr'!$D246,INDIRECT(M$5)))</f>
        <v>0</v>
      </c>
      <c r="N246" s="593">
        <f ca="1">$E246*(-SUMIF(INDIRECT(N$3),'Struktur Vorjahr'!$D246,INDIRECT(N$4))+SUMIF(INDIRECT(N$3),'Struktur Vorjahr'!$D246,INDIRECT(N$5)))</f>
        <v>0</v>
      </c>
      <c r="O246" s="593">
        <f ca="1">$E246*(-SUMIF(INDIRECT(O$3),'Struktur Vorjahr'!$D246,INDIRECT(O$4))+SUMIF(INDIRECT(O$3),'Struktur Vorjahr'!$D246,INDIRECT(O$5)))</f>
        <v>0</v>
      </c>
      <c r="P246" s="593">
        <f ca="1">$E246*(-SUMIF(INDIRECT(P$3),'Struktur Vorjahr'!$D246,INDIRECT(P$4))+SUMIF(INDIRECT(P$3),'Struktur Vorjahr'!$D246,INDIRECT(P$5)))</f>
        <v>0</v>
      </c>
      <c r="Q246" s="593">
        <f ca="1">$E246*(-SUMIF(INDIRECT(Q$3),'Struktur Vorjahr'!$D246,INDIRECT(Q$4))+SUMIF(INDIRECT(Q$3),'Struktur Vorjahr'!$D246,INDIRECT(Q$5)))</f>
        <v>0</v>
      </c>
      <c r="R246" s="593">
        <f ca="1">$E246*(-SUMIF(INDIRECT(R$3),'Struktur Vorjahr'!$D246,INDIRECT(R$4))+SUMIF(INDIRECT(R$3),'Struktur Vorjahr'!$D246,INDIRECT(R$5)))</f>
        <v>0</v>
      </c>
      <c r="S246" s="593">
        <f ca="1">$E246*(-SUMIF(INDIRECT(S$3),'Struktur Vorjahr'!$D246,INDIRECT(S$4))+SUMIF(INDIRECT(S$3),'Struktur Vorjahr'!$D246,INDIRECT(S$5)))</f>
        <v>0</v>
      </c>
      <c r="T246" s="593">
        <f ca="1">$E246*(-SUMIF(INDIRECT(T$3),'Struktur Vorjahr'!$D246,INDIRECT(T$4))+SUMIF(INDIRECT(T$3),'Struktur Vorjahr'!$D246,INDIRECT(T$5)))</f>
        <v>0</v>
      </c>
      <c r="U246" s="593">
        <f ca="1">$E246*(-SUMIF(INDIRECT(U$3),'Struktur Vorjahr'!$D246,INDIRECT(U$4))+SUMIF(INDIRECT(U$3),'Struktur Vorjahr'!$D246,INDIRECT(U$5)))</f>
        <v>0</v>
      </c>
      <c r="V246" s="593">
        <f ca="1">$E246*(-SUMIF(INDIRECT(V$3),'Struktur Vorjahr'!$D246,INDIRECT(V$4))+SUMIF(INDIRECT(V$3),'Struktur Vorjahr'!$D246,INDIRECT(V$5)))</f>
        <v>0</v>
      </c>
      <c r="W246" s="593">
        <f ca="1">$E246*(-SUMIF(INDIRECT(W$3),'Struktur Vorjahr'!$D246,INDIRECT(W$4))+SUMIF(INDIRECT(W$3),'Struktur Vorjahr'!$D246,INDIRECT(W$5)))</f>
        <v>0</v>
      </c>
      <c r="X246" s="593">
        <f ca="1">$E246*(-SUMIF(INDIRECT(X$3),'Struktur Vorjahr'!$D246,INDIRECT(X$4))+SUMIF(INDIRECT(X$3),'Struktur Vorjahr'!$D246,INDIRECT(X$5)))</f>
        <v>0</v>
      </c>
      <c r="Y246" s="593">
        <f ca="1">$E246*(-SUMIF(INDIRECT(Y$3),'Struktur Vorjahr'!$D246,INDIRECT(Y$4))+SUMIF(INDIRECT(Y$3),'Struktur Vorjahr'!$D246,INDIRECT(Y$5)))</f>
        <v>0</v>
      </c>
      <c r="Z246" s="593">
        <f ca="1">$E246*(-SUMIF(INDIRECT(Z$3),'Struktur Vorjahr'!$D246,INDIRECT(Z$4))+SUMIF(INDIRECT(Z$3),'Struktur Vorjahr'!$D246,INDIRECT(Z$5)))</f>
        <v>0</v>
      </c>
      <c r="AA246" s="593">
        <f ca="1">$E246*(-SUMIF(INDIRECT(AA$3),'Struktur Vorjahr'!$D246,INDIRECT(AA$4))+SUMIF(INDIRECT(AA$3),'Struktur Vorjahr'!$D246,INDIRECT(AA$5)))</f>
        <v>0</v>
      </c>
      <c r="AB246" s="593">
        <f ca="1">$E246*(-SUMIF(INDIRECT(AB$3),'Struktur Vorjahr'!$D246,INDIRECT(AB$4))+SUMIF(INDIRECT(AB$3),'Struktur Vorjahr'!$D246,INDIRECT(AB$5)))</f>
        <v>0</v>
      </c>
      <c r="AC246" s="593">
        <f ca="1">$E246*(-SUMIF(INDIRECT(AC$3),'Struktur Vorjahr'!$D246,INDIRECT(AC$4))+SUMIF(INDIRECT(AC$3),'Struktur Vorjahr'!$D246,INDIRECT(AC$5)))</f>
        <v>0</v>
      </c>
      <c r="AD246" s="593">
        <f ca="1">$E246*(-SUMIF(INDIRECT(AD$3),'Struktur Vorjahr'!$D246,INDIRECT(AD$4))+SUMIF(INDIRECT(AD$3),'Struktur Vorjahr'!$D246,INDIRECT(AD$5)))</f>
        <v>0</v>
      </c>
      <c r="AE246" s="593">
        <f t="shared" ca="1" si="113"/>
        <v>0</v>
      </c>
      <c r="AF246" s="593">
        <f t="shared" ca="1" si="114"/>
        <v>0</v>
      </c>
      <c r="AG246" s="593">
        <f t="shared" ca="1" si="114"/>
        <v>0</v>
      </c>
      <c r="AH246" s="593">
        <f t="shared" ca="1" si="114"/>
        <v>0</v>
      </c>
      <c r="AI246" s="593">
        <f t="shared" ca="1" si="114"/>
        <v>0</v>
      </c>
      <c r="AJ246" s="593">
        <f t="shared" ca="1" si="114"/>
        <v>0</v>
      </c>
      <c r="AK246" s="593">
        <f t="shared" ca="1" si="114"/>
        <v>0</v>
      </c>
      <c r="AL246" s="593">
        <f t="shared" ca="1" si="114"/>
        <v>0</v>
      </c>
      <c r="AM246" s="593">
        <f t="shared" ca="1" si="114"/>
        <v>0</v>
      </c>
      <c r="AN246" s="593">
        <f t="shared" ca="1" si="114"/>
        <v>0</v>
      </c>
      <c r="AO246" s="593">
        <f t="shared" ca="1" si="114"/>
        <v>0</v>
      </c>
      <c r="AP246" s="593">
        <f t="shared" ca="1" si="114"/>
        <v>0</v>
      </c>
    </row>
    <row r="247" spans="1:42" s="594" customFormat="1" ht="11.25" outlineLevel="1" x14ac:dyDescent="0.2">
      <c r="A247" s="590"/>
      <c r="B247" s="591" t="str">
        <f>IF(D247&lt;&gt;"",
IF(ISERROR(MATCH(D247,'Ist Vorjahr Monat 01'!A:A,0))=FALSE,INDEX('Ist Vorjahr Monat 01'!B:B,MATCH(D247,'Ist Vorjahr Monat 01'!A:A,0)),
IF(ISERROR(MATCH(D247,'Ist Vorjahr Monat 02'!A:A,0))=FALSE,INDEX('Ist Vorjahr Monat 02'!B:B,MATCH(D247,'Ist Vorjahr Monat 02'!A:A,0)),
IF(ISERROR(MATCH(D247,'Ist Vorjahr Monat 03'!A:A,0))=FALSE,INDEX('Ist Vorjahr Monat 03'!B:B,MATCH(D247,'Ist Vorjahr Monat 03'!A:A,0)),
IF(ISERROR(MATCH(D247,'Ist Vorjahr Monat 04'!A:A,0))=FALSE,INDEX('Ist Vorjahr Monat 04'!B:B,MATCH(D247,'Ist Vorjahr Monat 04'!A:A,0)),
IF(ISERROR(MATCH(D247,'Ist Vorjahr Monat 05'!A:A,0))=FALSE,INDEX('Ist Vorjahr Monat 05'!B:B,MATCH(D247,'Ist Vorjahr Monat 05'!A:A,0)),
IF(ISERROR(MATCH(D247,'Ist Vorjahr Monat 06'!A:A,0))=FALSE,INDEX('Ist Vorjahr Monat 06'!B:B,MATCH(D247,'Ist Vorjahr Monat 06'!A:A,0)),
IF(ISERROR(MATCH(D247,'Ist Vorjahr Monat 07'!A:A,0))=FALSE,INDEX('Ist Vorjahr Monat 07'!B:B,MATCH(D247,'Ist Vorjahr Monat 07'!A:A,0)),
IF(ISERROR(MATCH(D247,'Ist Vorjahr Monat 08'!A:A,0))=FALSE,INDEX('Ist Vorjahr Monat 08'!B:B,MATCH(D247,'Ist Vorjahr Monat 08'!A:A,0)),
IF(ISERROR(MATCH(D247,'Ist Vorjahr Monat 09'!A:A,0))=FALSE,INDEX('Ist Vorjahr Monat 09'!B:B,MATCH(D247,'Ist Vorjahr Monat 09'!A:A,0)),
IF(ISERROR(MATCH(D247,'Ist Vorjahr Monat 10'!A:A,0))=FALSE,INDEX('Ist Vorjahr Monat 10'!B:B,MATCH(D247,'Ist Vorjahr Monat 10'!A:A,0)),
IF(ISERROR(MATCH(D247,'Ist Vorjahr Monat 11'!A:A,0))=FALSE,INDEX('Ist Vorjahr Monat 11'!B:B,MATCH(D247,'Ist Vorjahr Monat 11'!A:A,0)),
IF(ISERROR(MATCH(D247,'Ist Vorjahr Monat 12'!A:A,0))=FALSE,INDEX('Ist Vorjahr Monat 12'!B:B,MATCH(D247,'Ist Vorjahr Monat 12'!A:A,0)),
"{Konto unbekannt}"
)))))))))))),"")</f>
        <v/>
      </c>
      <c r="C247" s="591"/>
      <c r="D247" s="590"/>
      <c r="E247" s="592">
        <f t="shared" si="105"/>
        <v>1</v>
      </c>
      <c r="F247" s="590"/>
      <c r="G247" s="593">
        <f ca="1">$E247*(-SUMIF(INDIRECT(G$3),'Struktur Vorjahr'!$D247,INDIRECT(G$4))+SUMIF(INDIRECT(G$3),'Struktur Vorjahr'!$D247,INDIRECT(G$5)))</f>
        <v>0</v>
      </c>
      <c r="H247" s="593">
        <f ca="1">$E247*(-SUMIF(INDIRECT(H$3),'Struktur Vorjahr'!$D247,INDIRECT(H$4))+SUMIF(INDIRECT(H$3),'Struktur Vorjahr'!$D247,INDIRECT(H$5)))</f>
        <v>0</v>
      </c>
      <c r="I247" s="593">
        <f ca="1">$E247*(-SUMIF(INDIRECT(I$3),'Struktur Vorjahr'!$D247,INDIRECT(I$4))+SUMIF(INDIRECT(I$3),'Struktur Vorjahr'!$D247,INDIRECT(I$5)))</f>
        <v>0</v>
      </c>
      <c r="J247" s="593">
        <f ca="1">$E247*(-SUMIF(INDIRECT(J$3),'Struktur Vorjahr'!$D247,INDIRECT(J$4))+SUMIF(INDIRECT(J$3),'Struktur Vorjahr'!$D247,INDIRECT(J$5)))</f>
        <v>0</v>
      </c>
      <c r="K247" s="593">
        <f ca="1">$E247*(-SUMIF(INDIRECT(K$3),'Struktur Vorjahr'!$D247,INDIRECT(K$4))+SUMIF(INDIRECT(K$3),'Struktur Vorjahr'!$D247,INDIRECT(K$5)))</f>
        <v>0</v>
      </c>
      <c r="L247" s="593">
        <f ca="1">$E247*(-SUMIF(INDIRECT(L$3),'Struktur Vorjahr'!$D247,INDIRECT(L$4))+SUMIF(INDIRECT(L$3),'Struktur Vorjahr'!$D247,INDIRECT(L$5)))</f>
        <v>0</v>
      </c>
      <c r="M247" s="593">
        <f ca="1">$E247*(-SUMIF(INDIRECT(M$3),'Struktur Vorjahr'!$D247,INDIRECT(M$4))+SUMIF(INDIRECT(M$3),'Struktur Vorjahr'!$D247,INDIRECT(M$5)))</f>
        <v>0</v>
      </c>
      <c r="N247" s="593">
        <f ca="1">$E247*(-SUMIF(INDIRECT(N$3),'Struktur Vorjahr'!$D247,INDIRECT(N$4))+SUMIF(INDIRECT(N$3),'Struktur Vorjahr'!$D247,INDIRECT(N$5)))</f>
        <v>0</v>
      </c>
      <c r="O247" s="593">
        <f ca="1">$E247*(-SUMIF(INDIRECT(O$3),'Struktur Vorjahr'!$D247,INDIRECT(O$4))+SUMIF(INDIRECT(O$3),'Struktur Vorjahr'!$D247,INDIRECT(O$5)))</f>
        <v>0</v>
      </c>
      <c r="P247" s="593">
        <f ca="1">$E247*(-SUMIF(INDIRECT(P$3),'Struktur Vorjahr'!$D247,INDIRECT(P$4))+SUMIF(INDIRECT(P$3),'Struktur Vorjahr'!$D247,INDIRECT(P$5)))</f>
        <v>0</v>
      </c>
      <c r="Q247" s="593">
        <f ca="1">$E247*(-SUMIF(INDIRECT(Q$3),'Struktur Vorjahr'!$D247,INDIRECT(Q$4))+SUMIF(INDIRECT(Q$3),'Struktur Vorjahr'!$D247,INDIRECT(Q$5)))</f>
        <v>0</v>
      </c>
      <c r="R247" s="593">
        <f ca="1">$E247*(-SUMIF(INDIRECT(R$3),'Struktur Vorjahr'!$D247,INDIRECT(R$4))+SUMIF(INDIRECT(R$3),'Struktur Vorjahr'!$D247,INDIRECT(R$5)))</f>
        <v>0</v>
      </c>
      <c r="S247" s="593">
        <f ca="1">$E247*(-SUMIF(INDIRECT(S$3),'Struktur Vorjahr'!$D247,INDIRECT(S$4))+SUMIF(INDIRECT(S$3),'Struktur Vorjahr'!$D247,INDIRECT(S$5)))</f>
        <v>0</v>
      </c>
      <c r="T247" s="593">
        <f ca="1">$E247*(-SUMIF(INDIRECT(T$3),'Struktur Vorjahr'!$D247,INDIRECT(T$4))+SUMIF(INDIRECT(T$3),'Struktur Vorjahr'!$D247,INDIRECT(T$5)))</f>
        <v>0</v>
      </c>
      <c r="U247" s="593">
        <f ca="1">$E247*(-SUMIF(INDIRECT(U$3),'Struktur Vorjahr'!$D247,INDIRECT(U$4))+SUMIF(INDIRECT(U$3),'Struktur Vorjahr'!$D247,INDIRECT(U$5)))</f>
        <v>0</v>
      </c>
      <c r="V247" s="593">
        <f ca="1">$E247*(-SUMIF(INDIRECT(V$3),'Struktur Vorjahr'!$D247,INDIRECT(V$4))+SUMIF(INDIRECT(V$3),'Struktur Vorjahr'!$D247,INDIRECT(V$5)))</f>
        <v>0</v>
      </c>
      <c r="W247" s="593">
        <f ca="1">$E247*(-SUMIF(INDIRECT(W$3),'Struktur Vorjahr'!$D247,INDIRECT(W$4))+SUMIF(INDIRECT(W$3),'Struktur Vorjahr'!$D247,INDIRECT(W$5)))</f>
        <v>0</v>
      </c>
      <c r="X247" s="593">
        <f ca="1">$E247*(-SUMIF(INDIRECT(X$3),'Struktur Vorjahr'!$D247,INDIRECT(X$4))+SUMIF(INDIRECT(X$3),'Struktur Vorjahr'!$D247,INDIRECT(X$5)))</f>
        <v>0</v>
      </c>
      <c r="Y247" s="593">
        <f ca="1">$E247*(-SUMIF(INDIRECT(Y$3),'Struktur Vorjahr'!$D247,INDIRECT(Y$4))+SUMIF(INDIRECT(Y$3),'Struktur Vorjahr'!$D247,INDIRECT(Y$5)))</f>
        <v>0</v>
      </c>
      <c r="Z247" s="593">
        <f ca="1">$E247*(-SUMIF(INDIRECT(Z$3),'Struktur Vorjahr'!$D247,INDIRECT(Z$4))+SUMIF(INDIRECT(Z$3),'Struktur Vorjahr'!$D247,INDIRECT(Z$5)))</f>
        <v>0</v>
      </c>
      <c r="AA247" s="593">
        <f ca="1">$E247*(-SUMIF(INDIRECT(AA$3),'Struktur Vorjahr'!$D247,INDIRECT(AA$4))+SUMIF(INDIRECT(AA$3),'Struktur Vorjahr'!$D247,INDIRECT(AA$5)))</f>
        <v>0</v>
      </c>
      <c r="AB247" s="593">
        <f ca="1">$E247*(-SUMIF(INDIRECT(AB$3),'Struktur Vorjahr'!$D247,INDIRECT(AB$4))+SUMIF(INDIRECT(AB$3),'Struktur Vorjahr'!$D247,INDIRECT(AB$5)))</f>
        <v>0</v>
      </c>
      <c r="AC247" s="593">
        <f ca="1">$E247*(-SUMIF(INDIRECT(AC$3),'Struktur Vorjahr'!$D247,INDIRECT(AC$4))+SUMIF(INDIRECT(AC$3),'Struktur Vorjahr'!$D247,INDIRECT(AC$5)))</f>
        <v>0</v>
      </c>
      <c r="AD247" s="593">
        <f ca="1">$E247*(-SUMIF(INDIRECT(AD$3),'Struktur Vorjahr'!$D247,INDIRECT(AD$4))+SUMIF(INDIRECT(AD$3),'Struktur Vorjahr'!$D247,INDIRECT(AD$5)))</f>
        <v>0</v>
      </c>
      <c r="AE247" s="593">
        <f t="shared" ca="1" si="113"/>
        <v>0</v>
      </c>
      <c r="AF247" s="593">
        <f t="shared" ca="1" si="114"/>
        <v>0</v>
      </c>
      <c r="AG247" s="593">
        <f t="shared" ca="1" si="114"/>
        <v>0</v>
      </c>
      <c r="AH247" s="593">
        <f t="shared" ca="1" si="114"/>
        <v>0</v>
      </c>
      <c r="AI247" s="593">
        <f t="shared" ca="1" si="114"/>
        <v>0</v>
      </c>
      <c r="AJ247" s="593">
        <f t="shared" ca="1" si="114"/>
        <v>0</v>
      </c>
      <c r="AK247" s="593">
        <f t="shared" ca="1" si="114"/>
        <v>0</v>
      </c>
      <c r="AL247" s="593">
        <f t="shared" ca="1" si="114"/>
        <v>0</v>
      </c>
      <c r="AM247" s="593">
        <f t="shared" ca="1" si="114"/>
        <v>0</v>
      </c>
      <c r="AN247" s="593">
        <f t="shared" ca="1" si="114"/>
        <v>0</v>
      </c>
      <c r="AO247" s="593">
        <f t="shared" ca="1" si="114"/>
        <v>0</v>
      </c>
      <c r="AP247" s="593">
        <f t="shared" ca="1" si="114"/>
        <v>0</v>
      </c>
    </row>
    <row r="248" spans="1:42" s="594" customFormat="1" ht="11.25" outlineLevel="1" x14ac:dyDescent="0.2">
      <c r="A248" s="590"/>
      <c r="B248" s="591" t="str">
        <f>IF(D248&lt;&gt;"",
IF(ISERROR(MATCH(D248,'Ist Vorjahr Monat 01'!A:A,0))=FALSE,INDEX('Ist Vorjahr Monat 01'!B:B,MATCH(D248,'Ist Vorjahr Monat 01'!A:A,0)),
IF(ISERROR(MATCH(D248,'Ist Vorjahr Monat 02'!A:A,0))=FALSE,INDEX('Ist Vorjahr Monat 02'!B:B,MATCH(D248,'Ist Vorjahr Monat 02'!A:A,0)),
IF(ISERROR(MATCH(D248,'Ist Vorjahr Monat 03'!A:A,0))=FALSE,INDEX('Ist Vorjahr Monat 03'!B:B,MATCH(D248,'Ist Vorjahr Monat 03'!A:A,0)),
IF(ISERROR(MATCH(D248,'Ist Vorjahr Monat 04'!A:A,0))=FALSE,INDEX('Ist Vorjahr Monat 04'!B:B,MATCH(D248,'Ist Vorjahr Monat 04'!A:A,0)),
IF(ISERROR(MATCH(D248,'Ist Vorjahr Monat 05'!A:A,0))=FALSE,INDEX('Ist Vorjahr Monat 05'!B:B,MATCH(D248,'Ist Vorjahr Monat 05'!A:A,0)),
IF(ISERROR(MATCH(D248,'Ist Vorjahr Monat 06'!A:A,0))=FALSE,INDEX('Ist Vorjahr Monat 06'!B:B,MATCH(D248,'Ist Vorjahr Monat 06'!A:A,0)),
IF(ISERROR(MATCH(D248,'Ist Vorjahr Monat 07'!A:A,0))=FALSE,INDEX('Ist Vorjahr Monat 07'!B:B,MATCH(D248,'Ist Vorjahr Monat 07'!A:A,0)),
IF(ISERROR(MATCH(D248,'Ist Vorjahr Monat 08'!A:A,0))=FALSE,INDEX('Ist Vorjahr Monat 08'!B:B,MATCH(D248,'Ist Vorjahr Monat 08'!A:A,0)),
IF(ISERROR(MATCH(D248,'Ist Vorjahr Monat 09'!A:A,0))=FALSE,INDEX('Ist Vorjahr Monat 09'!B:B,MATCH(D248,'Ist Vorjahr Monat 09'!A:A,0)),
IF(ISERROR(MATCH(D248,'Ist Vorjahr Monat 10'!A:A,0))=FALSE,INDEX('Ist Vorjahr Monat 10'!B:B,MATCH(D248,'Ist Vorjahr Monat 10'!A:A,0)),
IF(ISERROR(MATCH(D248,'Ist Vorjahr Monat 11'!A:A,0))=FALSE,INDEX('Ist Vorjahr Monat 11'!B:B,MATCH(D248,'Ist Vorjahr Monat 11'!A:A,0)),
IF(ISERROR(MATCH(D248,'Ist Vorjahr Monat 12'!A:A,0))=FALSE,INDEX('Ist Vorjahr Monat 12'!B:B,MATCH(D248,'Ist Vorjahr Monat 12'!A:A,0)),
"{Konto unbekannt}"
)))))))))))),"")</f>
        <v/>
      </c>
      <c r="C248" s="591"/>
      <c r="D248" s="590"/>
      <c r="E248" s="592">
        <f t="shared" si="105"/>
        <v>1</v>
      </c>
      <c r="F248" s="590"/>
      <c r="G248" s="593">
        <f ca="1">$E248*(-SUMIF(INDIRECT(G$3),'Struktur Vorjahr'!$D248,INDIRECT(G$4))+SUMIF(INDIRECT(G$3),'Struktur Vorjahr'!$D248,INDIRECT(G$5)))</f>
        <v>0</v>
      </c>
      <c r="H248" s="593">
        <f ca="1">$E248*(-SUMIF(INDIRECT(H$3),'Struktur Vorjahr'!$D248,INDIRECT(H$4))+SUMIF(INDIRECT(H$3),'Struktur Vorjahr'!$D248,INDIRECT(H$5)))</f>
        <v>0</v>
      </c>
      <c r="I248" s="593">
        <f ca="1">$E248*(-SUMIF(INDIRECT(I$3),'Struktur Vorjahr'!$D248,INDIRECT(I$4))+SUMIF(INDIRECT(I$3),'Struktur Vorjahr'!$D248,INDIRECT(I$5)))</f>
        <v>0</v>
      </c>
      <c r="J248" s="593">
        <f ca="1">$E248*(-SUMIF(INDIRECT(J$3),'Struktur Vorjahr'!$D248,INDIRECT(J$4))+SUMIF(INDIRECT(J$3),'Struktur Vorjahr'!$D248,INDIRECT(J$5)))</f>
        <v>0</v>
      </c>
      <c r="K248" s="593">
        <f ca="1">$E248*(-SUMIF(INDIRECT(K$3),'Struktur Vorjahr'!$D248,INDIRECT(K$4))+SUMIF(INDIRECT(K$3),'Struktur Vorjahr'!$D248,INDIRECT(K$5)))</f>
        <v>0</v>
      </c>
      <c r="L248" s="593">
        <f ca="1">$E248*(-SUMIF(INDIRECT(L$3),'Struktur Vorjahr'!$D248,INDIRECT(L$4))+SUMIF(INDIRECT(L$3),'Struktur Vorjahr'!$D248,INDIRECT(L$5)))</f>
        <v>0</v>
      </c>
      <c r="M248" s="593">
        <f ca="1">$E248*(-SUMIF(INDIRECT(M$3),'Struktur Vorjahr'!$D248,INDIRECT(M$4))+SUMIF(INDIRECT(M$3),'Struktur Vorjahr'!$D248,INDIRECT(M$5)))</f>
        <v>0</v>
      </c>
      <c r="N248" s="593">
        <f ca="1">$E248*(-SUMIF(INDIRECT(N$3),'Struktur Vorjahr'!$D248,INDIRECT(N$4))+SUMIF(INDIRECT(N$3),'Struktur Vorjahr'!$D248,INDIRECT(N$5)))</f>
        <v>0</v>
      </c>
      <c r="O248" s="593">
        <f ca="1">$E248*(-SUMIF(INDIRECT(O$3),'Struktur Vorjahr'!$D248,INDIRECT(O$4))+SUMIF(INDIRECT(O$3),'Struktur Vorjahr'!$D248,INDIRECT(O$5)))</f>
        <v>0</v>
      </c>
      <c r="P248" s="593">
        <f ca="1">$E248*(-SUMIF(INDIRECT(P$3),'Struktur Vorjahr'!$D248,INDIRECT(P$4))+SUMIF(INDIRECT(P$3),'Struktur Vorjahr'!$D248,INDIRECT(P$5)))</f>
        <v>0</v>
      </c>
      <c r="Q248" s="593">
        <f ca="1">$E248*(-SUMIF(INDIRECT(Q$3),'Struktur Vorjahr'!$D248,INDIRECT(Q$4))+SUMIF(INDIRECT(Q$3),'Struktur Vorjahr'!$D248,INDIRECT(Q$5)))</f>
        <v>0</v>
      </c>
      <c r="R248" s="593">
        <f ca="1">$E248*(-SUMIF(INDIRECT(R$3),'Struktur Vorjahr'!$D248,INDIRECT(R$4))+SUMIF(INDIRECT(R$3),'Struktur Vorjahr'!$D248,INDIRECT(R$5)))</f>
        <v>0</v>
      </c>
      <c r="S248" s="593">
        <f ca="1">$E248*(-SUMIF(INDIRECT(S$3),'Struktur Vorjahr'!$D248,INDIRECT(S$4))+SUMIF(INDIRECT(S$3),'Struktur Vorjahr'!$D248,INDIRECT(S$5)))</f>
        <v>0</v>
      </c>
      <c r="T248" s="593">
        <f ca="1">$E248*(-SUMIF(INDIRECT(T$3),'Struktur Vorjahr'!$D248,INDIRECT(T$4))+SUMIF(INDIRECT(T$3),'Struktur Vorjahr'!$D248,INDIRECT(T$5)))</f>
        <v>0</v>
      </c>
      <c r="U248" s="593">
        <f ca="1">$E248*(-SUMIF(INDIRECT(U$3),'Struktur Vorjahr'!$D248,INDIRECT(U$4))+SUMIF(INDIRECT(U$3),'Struktur Vorjahr'!$D248,INDIRECT(U$5)))</f>
        <v>0</v>
      </c>
      <c r="V248" s="593">
        <f ca="1">$E248*(-SUMIF(INDIRECT(V$3),'Struktur Vorjahr'!$D248,INDIRECT(V$4))+SUMIF(INDIRECT(V$3),'Struktur Vorjahr'!$D248,INDIRECT(V$5)))</f>
        <v>0</v>
      </c>
      <c r="W248" s="593">
        <f ca="1">$E248*(-SUMIF(INDIRECT(W$3),'Struktur Vorjahr'!$D248,INDIRECT(W$4))+SUMIF(INDIRECT(W$3),'Struktur Vorjahr'!$D248,INDIRECT(W$5)))</f>
        <v>0</v>
      </c>
      <c r="X248" s="593">
        <f ca="1">$E248*(-SUMIF(INDIRECT(X$3),'Struktur Vorjahr'!$D248,INDIRECT(X$4))+SUMIF(INDIRECT(X$3),'Struktur Vorjahr'!$D248,INDIRECT(X$5)))</f>
        <v>0</v>
      </c>
      <c r="Y248" s="593">
        <f ca="1">$E248*(-SUMIF(INDIRECT(Y$3),'Struktur Vorjahr'!$D248,INDIRECT(Y$4))+SUMIF(INDIRECT(Y$3),'Struktur Vorjahr'!$D248,INDIRECT(Y$5)))</f>
        <v>0</v>
      </c>
      <c r="Z248" s="593">
        <f ca="1">$E248*(-SUMIF(INDIRECT(Z$3),'Struktur Vorjahr'!$D248,INDIRECT(Z$4))+SUMIF(INDIRECT(Z$3),'Struktur Vorjahr'!$D248,INDIRECT(Z$5)))</f>
        <v>0</v>
      </c>
      <c r="AA248" s="593">
        <f ca="1">$E248*(-SUMIF(INDIRECT(AA$3),'Struktur Vorjahr'!$D248,INDIRECT(AA$4))+SUMIF(INDIRECT(AA$3),'Struktur Vorjahr'!$D248,INDIRECT(AA$5)))</f>
        <v>0</v>
      </c>
      <c r="AB248" s="593">
        <f ca="1">$E248*(-SUMIF(INDIRECT(AB$3),'Struktur Vorjahr'!$D248,INDIRECT(AB$4))+SUMIF(INDIRECT(AB$3),'Struktur Vorjahr'!$D248,INDIRECT(AB$5)))</f>
        <v>0</v>
      </c>
      <c r="AC248" s="593">
        <f ca="1">$E248*(-SUMIF(INDIRECT(AC$3),'Struktur Vorjahr'!$D248,INDIRECT(AC$4))+SUMIF(INDIRECT(AC$3),'Struktur Vorjahr'!$D248,INDIRECT(AC$5)))</f>
        <v>0</v>
      </c>
      <c r="AD248" s="593">
        <f ca="1">$E248*(-SUMIF(INDIRECT(AD$3),'Struktur Vorjahr'!$D248,INDIRECT(AD$4))+SUMIF(INDIRECT(AD$3),'Struktur Vorjahr'!$D248,INDIRECT(AD$5)))</f>
        <v>0</v>
      </c>
      <c r="AE248" s="593">
        <f t="shared" ca="1" si="113"/>
        <v>0</v>
      </c>
      <c r="AF248" s="593">
        <f t="shared" ca="1" si="114"/>
        <v>0</v>
      </c>
      <c r="AG248" s="593">
        <f t="shared" ca="1" si="114"/>
        <v>0</v>
      </c>
      <c r="AH248" s="593">
        <f t="shared" ca="1" si="114"/>
        <v>0</v>
      </c>
      <c r="AI248" s="593">
        <f t="shared" ca="1" si="114"/>
        <v>0</v>
      </c>
      <c r="AJ248" s="593">
        <f t="shared" ca="1" si="114"/>
        <v>0</v>
      </c>
      <c r="AK248" s="593">
        <f t="shared" ca="1" si="114"/>
        <v>0</v>
      </c>
      <c r="AL248" s="593">
        <f t="shared" ca="1" si="114"/>
        <v>0</v>
      </c>
      <c r="AM248" s="593">
        <f t="shared" ca="1" si="114"/>
        <v>0</v>
      </c>
      <c r="AN248" s="593">
        <f t="shared" ca="1" si="114"/>
        <v>0</v>
      </c>
      <c r="AO248" s="593">
        <f t="shared" ca="1" si="114"/>
        <v>0</v>
      </c>
      <c r="AP248" s="593">
        <f t="shared" ca="1" si="114"/>
        <v>0</v>
      </c>
    </row>
    <row r="249" spans="1:42" s="594" customFormat="1" ht="11.25" outlineLevel="1" x14ac:dyDescent="0.2">
      <c r="A249" s="590"/>
      <c r="B249" s="591" t="str">
        <f>IF(D249&lt;&gt;"",
IF(ISERROR(MATCH(D249,'Ist Vorjahr Monat 01'!A:A,0))=FALSE,INDEX('Ist Vorjahr Monat 01'!B:B,MATCH(D249,'Ist Vorjahr Monat 01'!A:A,0)),
IF(ISERROR(MATCH(D249,'Ist Vorjahr Monat 02'!A:A,0))=FALSE,INDEX('Ist Vorjahr Monat 02'!B:B,MATCH(D249,'Ist Vorjahr Monat 02'!A:A,0)),
IF(ISERROR(MATCH(D249,'Ist Vorjahr Monat 03'!A:A,0))=FALSE,INDEX('Ist Vorjahr Monat 03'!B:B,MATCH(D249,'Ist Vorjahr Monat 03'!A:A,0)),
IF(ISERROR(MATCH(D249,'Ist Vorjahr Monat 04'!A:A,0))=FALSE,INDEX('Ist Vorjahr Monat 04'!B:B,MATCH(D249,'Ist Vorjahr Monat 04'!A:A,0)),
IF(ISERROR(MATCH(D249,'Ist Vorjahr Monat 05'!A:A,0))=FALSE,INDEX('Ist Vorjahr Monat 05'!B:B,MATCH(D249,'Ist Vorjahr Monat 05'!A:A,0)),
IF(ISERROR(MATCH(D249,'Ist Vorjahr Monat 06'!A:A,0))=FALSE,INDEX('Ist Vorjahr Monat 06'!B:B,MATCH(D249,'Ist Vorjahr Monat 06'!A:A,0)),
IF(ISERROR(MATCH(D249,'Ist Vorjahr Monat 07'!A:A,0))=FALSE,INDEX('Ist Vorjahr Monat 07'!B:B,MATCH(D249,'Ist Vorjahr Monat 07'!A:A,0)),
IF(ISERROR(MATCH(D249,'Ist Vorjahr Monat 08'!A:A,0))=FALSE,INDEX('Ist Vorjahr Monat 08'!B:B,MATCH(D249,'Ist Vorjahr Monat 08'!A:A,0)),
IF(ISERROR(MATCH(D249,'Ist Vorjahr Monat 09'!A:A,0))=FALSE,INDEX('Ist Vorjahr Monat 09'!B:B,MATCH(D249,'Ist Vorjahr Monat 09'!A:A,0)),
IF(ISERROR(MATCH(D249,'Ist Vorjahr Monat 10'!A:A,0))=FALSE,INDEX('Ist Vorjahr Monat 10'!B:B,MATCH(D249,'Ist Vorjahr Monat 10'!A:A,0)),
IF(ISERROR(MATCH(D249,'Ist Vorjahr Monat 11'!A:A,0))=FALSE,INDEX('Ist Vorjahr Monat 11'!B:B,MATCH(D249,'Ist Vorjahr Monat 11'!A:A,0)),
IF(ISERROR(MATCH(D249,'Ist Vorjahr Monat 12'!A:A,0))=FALSE,INDEX('Ist Vorjahr Monat 12'!B:B,MATCH(D249,'Ist Vorjahr Monat 12'!A:A,0)),
"{Konto unbekannt}"
)))))))))))),"")</f>
        <v/>
      </c>
      <c r="C249" s="591"/>
      <c r="D249" s="590"/>
      <c r="E249" s="592">
        <f t="shared" si="105"/>
        <v>1</v>
      </c>
      <c r="F249" s="590"/>
      <c r="G249" s="593">
        <f ca="1">$E249*(-SUMIF(INDIRECT(G$3),'Struktur Vorjahr'!$D249,INDIRECT(G$4))+SUMIF(INDIRECT(G$3),'Struktur Vorjahr'!$D249,INDIRECT(G$5)))</f>
        <v>0</v>
      </c>
      <c r="H249" s="593">
        <f ca="1">$E249*(-SUMIF(INDIRECT(H$3),'Struktur Vorjahr'!$D249,INDIRECT(H$4))+SUMIF(INDIRECT(H$3),'Struktur Vorjahr'!$D249,INDIRECT(H$5)))</f>
        <v>0</v>
      </c>
      <c r="I249" s="593">
        <f ca="1">$E249*(-SUMIF(INDIRECT(I$3),'Struktur Vorjahr'!$D249,INDIRECT(I$4))+SUMIF(INDIRECT(I$3),'Struktur Vorjahr'!$D249,INDIRECT(I$5)))</f>
        <v>0</v>
      </c>
      <c r="J249" s="593">
        <f ca="1">$E249*(-SUMIF(INDIRECT(J$3),'Struktur Vorjahr'!$D249,INDIRECT(J$4))+SUMIF(INDIRECT(J$3),'Struktur Vorjahr'!$D249,INDIRECT(J$5)))</f>
        <v>0</v>
      </c>
      <c r="K249" s="593">
        <f ca="1">$E249*(-SUMIF(INDIRECT(K$3),'Struktur Vorjahr'!$D249,INDIRECT(K$4))+SUMIF(INDIRECT(K$3),'Struktur Vorjahr'!$D249,INDIRECT(K$5)))</f>
        <v>0</v>
      </c>
      <c r="L249" s="593">
        <f ca="1">$E249*(-SUMIF(INDIRECT(L$3),'Struktur Vorjahr'!$D249,INDIRECT(L$4))+SUMIF(INDIRECT(L$3),'Struktur Vorjahr'!$D249,INDIRECT(L$5)))</f>
        <v>0</v>
      </c>
      <c r="M249" s="593">
        <f ca="1">$E249*(-SUMIF(INDIRECT(M$3),'Struktur Vorjahr'!$D249,INDIRECT(M$4))+SUMIF(INDIRECT(M$3),'Struktur Vorjahr'!$D249,INDIRECT(M$5)))</f>
        <v>0</v>
      </c>
      <c r="N249" s="593">
        <f ca="1">$E249*(-SUMIF(INDIRECT(N$3),'Struktur Vorjahr'!$D249,INDIRECT(N$4))+SUMIF(INDIRECT(N$3),'Struktur Vorjahr'!$D249,INDIRECT(N$5)))</f>
        <v>0</v>
      </c>
      <c r="O249" s="593">
        <f ca="1">$E249*(-SUMIF(INDIRECT(O$3),'Struktur Vorjahr'!$D249,INDIRECT(O$4))+SUMIF(INDIRECT(O$3),'Struktur Vorjahr'!$D249,INDIRECT(O$5)))</f>
        <v>0</v>
      </c>
      <c r="P249" s="593">
        <f ca="1">$E249*(-SUMIF(INDIRECT(P$3),'Struktur Vorjahr'!$D249,INDIRECT(P$4))+SUMIF(INDIRECT(P$3),'Struktur Vorjahr'!$D249,INDIRECT(P$5)))</f>
        <v>0</v>
      </c>
      <c r="Q249" s="593">
        <f ca="1">$E249*(-SUMIF(INDIRECT(Q$3),'Struktur Vorjahr'!$D249,INDIRECT(Q$4))+SUMIF(INDIRECT(Q$3),'Struktur Vorjahr'!$D249,INDIRECT(Q$5)))</f>
        <v>0</v>
      </c>
      <c r="R249" s="593">
        <f ca="1">$E249*(-SUMIF(INDIRECT(R$3),'Struktur Vorjahr'!$D249,INDIRECT(R$4))+SUMIF(INDIRECT(R$3),'Struktur Vorjahr'!$D249,INDIRECT(R$5)))</f>
        <v>0</v>
      </c>
      <c r="S249" s="593">
        <f ca="1">$E249*(-SUMIF(INDIRECT(S$3),'Struktur Vorjahr'!$D249,INDIRECT(S$4))+SUMIF(INDIRECT(S$3),'Struktur Vorjahr'!$D249,INDIRECT(S$5)))</f>
        <v>0</v>
      </c>
      <c r="T249" s="593">
        <f ca="1">$E249*(-SUMIF(INDIRECT(T$3),'Struktur Vorjahr'!$D249,INDIRECT(T$4))+SUMIF(INDIRECT(T$3),'Struktur Vorjahr'!$D249,INDIRECT(T$5)))</f>
        <v>0</v>
      </c>
      <c r="U249" s="593">
        <f ca="1">$E249*(-SUMIF(INDIRECT(U$3),'Struktur Vorjahr'!$D249,INDIRECT(U$4))+SUMIF(INDIRECT(U$3),'Struktur Vorjahr'!$D249,INDIRECT(U$5)))</f>
        <v>0</v>
      </c>
      <c r="V249" s="593">
        <f ca="1">$E249*(-SUMIF(INDIRECT(V$3),'Struktur Vorjahr'!$D249,INDIRECT(V$4))+SUMIF(INDIRECT(V$3),'Struktur Vorjahr'!$D249,INDIRECT(V$5)))</f>
        <v>0</v>
      </c>
      <c r="W249" s="593">
        <f ca="1">$E249*(-SUMIF(INDIRECT(W$3),'Struktur Vorjahr'!$D249,INDIRECT(W$4))+SUMIF(INDIRECT(W$3),'Struktur Vorjahr'!$D249,INDIRECT(W$5)))</f>
        <v>0</v>
      </c>
      <c r="X249" s="593">
        <f ca="1">$E249*(-SUMIF(INDIRECT(X$3),'Struktur Vorjahr'!$D249,INDIRECT(X$4))+SUMIF(INDIRECT(X$3),'Struktur Vorjahr'!$D249,INDIRECT(X$5)))</f>
        <v>0</v>
      </c>
      <c r="Y249" s="593">
        <f ca="1">$E249*(-SUMIF(INDIRECT(Y$3),'Struktur Vorjahr'!$D249,INDIRECT(Y$4))+SUMIF(INDIRECT(Y$3),'Struktur Vorjahr'!$D249,INDIRECT(Y$5)))</f>
        <v>0</v>
      </c>
      <c r="Z249" s="593">
        <f ca="1">$E249*(-SUMIF(INDIRECT(Z$3),'Struktur Vorjahr'!$D249,INDIRECT(Z$4))+SUMIF(INDIRECT(Z$3),'Struktur Vorjahr'!$D249,INDIRECT(Z$5)))</f>
        <v>0</v>
      </c>
      <c r="AA249" s="593">
        <f ca="1">$E249*(-SUMIF(INDIRECT(AA$3),'Struktur Vorjahr'!$D249,INDIRECT(AA$4))+SUMIF(INDIRECT(AA$3),'Struktur Vorjahr'!$D249,INDIRECT(AA$5)))</f>
        <v>0</v>
      </c>
      <c r="AB249" s="593">
        <f ca="1">$E249*(-SUMIF(INDIRECT(AB$3),'Struktur Vorjahr'!$D249,INDIRECT(AB$4))+SUMIF(INDIRECT(AB$3),'Struktur Vorjahr'!$D249,INDIRECT(AB$5)))</f>
        <v>0</v>
      </c>
      <c r="AC249" s="593">
        <f ca="1">$E249*(-SUMIF(INDIRECT(AC$3),'Struktur Vorjahr'!$D249,INDIRECT(AC$4))+SUMIF(INDIRECT(AC$3),'Struktur Vorjahr'!$D249,INDIRECT(AC$5)))</f>
        <v>0</v>
      </c>
      <c r="AD249" s="593">
        <f ca="1">$E249*(-SUMIF(INDIRECT(AD$3),'Struktur Vorjahr'!$D249,INDIRECT(AD$4))+SUMIF(INDIRECT(AD$3),'Struktur Vorjahr'!$D249,INDIRECT(AD$5)))</f>
        <v>0</v>
      </c>
      <c r="AE249" s="593">
        <f t="shared" ca="1" si="113"/>
        <v>0</v>
      </c>
      <c r="AF249" s="593">
        <f t="shared" ca="1" si="114"/>
        <v>0</v>
      </c>
      <c r="AG249" s="593">
        <f t="shared" ca="1" si="114"/>
        <v>0</v>
      </c>
      <c r="AH249" s="593">
        <f t="shared" ca="1" si="114"/>
        <v>0</v>
      </c>
      <c r="AI249" s="593">
        <f t="shared" ca="1" si="114"/>
        <v>0</v>
      </c>
      <c r="AJ249" s="593">
        <f t="shared" ca="1" si="114"/>
        <v>0</v>
      </c>
      <c r="AK249" s="593">
        <f t="shared" ca="1" si="114"/>
        <v>0</v>
      </c>
      <c r="AL249" s="593">
        <f t="shared" ca="1" si="114"/>
        <v>0</v>
      </c>
      <c r="AM249" s="593">
        <f t="shared" ca="1" si="114"/>
        <v>0</v>
      </c>
      <c r="AN249" s="593">
        <f t="shared" ca="1" si="114"/>
        <v>0</v>
      </c>
      <c r="AO249" s="593">
        <f t="shared" ca="1" si="114"/>
        <v>0</v>
      </c>
      <c r="AP249" s="593">
        <f t="shared" ca="1" si="114"/>
        <v>0</v>
      </c>
    </row>
    <row r="250" spans="1:42" s="594" customFormat="1" ht="11.25" outlineLevel="1" x14ac:dyDescent="0.2">
      <c r="A250" s="590"/>
      <c r="B250" s="591" t="str">
        <f>IF(D250&lt;&gt;"",
IF(ISERROR(MATCH(D250,'Ist Vorjahr Monat 01'!A:A,0))=FALSE,INDEX('Ist Vorjahr Monat 01'!B:B,MATCH(D250,'Ist Vorjahr Monat 01'!A:A,0)),
IF(ISERROR(MATCH(D250,'Ist Vorjahr Monat 02'!A:A,0))=FALSE,INDEX('Ist Vorjahr Monat 02'!B:B,MATCH(D250,'Ist Vorjahr Monat 02'!A:A,0)),
IF(ISERROR(MATCH(D250,'Ist Vorjahr Monat 03'!A:A,0))=FALSE,INDEX('Ist Vorjahr Monat 03'!B:B,MATCH(D250,'Ist Vorjahr Monat 03'!A:A,0)),
IF(ISERROR(MATCH(D250,'Ist Vorjahr Monat 04'!A:A,0))=FALSE,INDEX('Ist Vorjahr Monat 04'!B:B,MATCH(D250,'Ist Vorjahr Monat 04'!A:A,0)),
IF(ISERROR(MATCH(D250,'Ist Vorjahr Monat 05'!A:A,0))=FALSE,INDEX('Ist Vorjahr Monat 05'!B:B,MATCH(D250,'Ist Vorjahr Monat 05'!A:A,0)),
IF(ISERROR(MATCH(D250,'Ist Vorjahr Monat 06'!A:A,0))=FALSE,INDEX('Ist Vorjahr Monat 06'!B:B,MATCH(D250,'Ist Vorjahr Monat 06'!A:A,0)),
IF(ISERROR(MATCH(D250,'Ist Vorjahr Monat 07'!A:A,0))=FALSE,INDEX('Ist Vorjahr Monat 07'!B:B,MATCH(D250,'Ist Vorjahr Monat 07'!A:A,0)),
IF(ISERROR(MATCH(D250,'Ist Vorjahr Monat 08'!A:A,0))=FALSE,INDEX('Ist Vorjahr Monat 08'!B:B,MATCH(D250,'Ist Vorjahr Monat 08'!A:A,0)),
IF(ISERROR(MATCH(D250,'Ist Vorjahr Monat 09'!A:A,0))=FALSE,INDEX('Ist Vorjahr Monat 09'!B:B,MATCH(D250,'Ist Vorjahr Monat 09'!A:A,0)),
IF(ISERROR(MATCH(D250,'Ist Vorjahr Monat 10'!A:A,0))=FALSE,INDEX('Ist Vorjahr Monat 10'!B:B,MATCH(D250,'Ist Vorjahr Monat 10'!A:A,0)),
IF(ISERROR(MATCH(D250,'Ist Vorjahr Monat 11'!A:A,0))=FALSE,INDEX('Ist Vorjahr Monat 11'!B:B,MATCH(D250,'Ist Vorjahr Monat 11'!A:A,0)),
IF(ISERROR(MATCH(D250,'Ist Vorjahr Monat 12'!A:A,0))=FALSE,INDEX('Ist Vorjahr Monat 12'!B:B,MATCH(D250,'Ist Vorjahr Monat 12'!A:A,0)),
"{Konto unbekannt}"
)))))))))))),"")</f>
        <v/>
      </c>
      <c r="C250" s="591"/>
      <c r="D250" s="590"/>
      <c r="E250" s="592">
        <f t="shared" si="105"/>
        <v>1</v>
      </c>
      <c r="F250" s="590"/>
      <c r="G250" s="593">
        <f ca="1">$E250*(-SUMIF(INDIRECT(G$3),'Struktur Vorjahr'!$D250,INDIRECT(G$4))+SUMIF(INDIRECT(G$3),'Struktur Vorjahr'!$D250,INDIRECT(G$5)))</f>
        <v>0</v>
      </c>
      <c r="H250" s="593">
        <f ca="1">$E250*(-SUMIF(INDIRECT(H$3),'Struktur Vorjahr'!$D250,INDIRECT(H$4))+SUMIF(INDIRECT(H$3),'Struktur Vorjahr'!$D250,INDIRECT(H$5)))</f>
        <v>0</v>
      </c>
      <c r="I250" s="593">
        <f ca="1">$E250*(-SUMIF(INDIRECT(I$3),'Struktur Vorjahr'!$D250,INDIRECT(I$4))+SUMIF(INDIRECT(I$3),'Struktur Vorjahr'!$D250,INDIRECT(I$5)))</f>
        <v>0</v>
      </c>
      <c r="J250" s="593">
        <f ca="1">$E250*(-SUMIF(INDIRECT(J$3),'Struktur Vorjahr'!$D250,INDIRECT(J$4))+SUMIF(INDIRECT(J$3),'Struktur Vorjahr'!$D250,INDIRECT(J$5)))</f>
        <v>0</v>
      </c>
      <c r="K250" s="593">
        <f ca="1">$E250*(-SUMIF(INDIRECT(K$3),'Struktur Vorjahr'!$D250,INDIRECT(K$4))+SUMIF(INDIRECT(K$3),'Struktur Vorjahr'!$D250,INDIRECT(K$5)))</f>
        <v>0</v>
      </c>
      <c r="L250" s="593">
        <f ca="1">$E250*(-SUMIF(INDIRECT(L$3),'Struktur Vorjahr'!$D250,INDIRECT(L$4))+SUMIF(INDIRECT(L$3),'Struktur Vorjahr'!$D250,INDIRECT(L$5)))</f>
        <v>0</v>
      </c>
      <c r="M250" s="593">
        <f ca="1">$E250*(-SUMIF(INDIRECT(M$3),'Struktur Vorjahr'!$D250,INDIRECT(M$4))+SUMIF(INDIRECT(M$3),'Struktur Vorjahr'!$D250,INDIRECT(M$5)))</f>
        <v>0</v>
      </c>
      <c r="N250" s="593">
        <f ca="1">$E250*(-SUMIF(INDIRECT(N$3),'Struktur Vorjahr'!$D250,INDIRECT(N$4))+SUMIF(INDIRECT(N$3),'Struktur Vorjahr'!$D250,INDIRECT(N$5)))</f>
        <v>0</v>
      </c>
      <c r="O250" s="593">
        <f ca="1">$E250*(-SUMIF(INDIRECT(O$3),'Struktur Vorjahr'!$D250,INDIRECT(O$4))+SUMIF(INDIRECT(O$3),'Struktur Vorjahr'!$D250,INDIRECT(O$5)))</f>
        <v>0</v>
      </c>
      <c r="P250" s="593">
        <f ca="1">$E250*(-SUMIF(INDIRECT(P$3),'Struktur Vorjahr'!$D250,INDIRECT(P$4))+SUMIF(INDIRECT(P$3),'Struktur Vorjahr'!$D250,INDIRECT(P$5)))</f>
        <v>0</v>
      </c>
      <c r="Q250" s="593">
        <f ca="1">$E250*(-SUMIF(INDIRECT(Q$3),'Struktur Vorjahr'!$D250,INDIRECT(Q$4))+SUMIF(INDIRECT(Q$3),'Struktur Vorjahr'!$D250,INDIRECT(Q$5)))</f>
        <v>0</v>
      </c>
      <c r="R250" s="593">
        <f ca="1">$E250*(-SUMIF(INDIRECT(R$3),'Struktur Vorjahr'!$D250,INDIRECT(R$4))+SUMIF(INDIRECT(R$3),'Struktur Vorjahr'!$D250,INDIRECT(R$5)))</f>
        <v>0</v>
      </c>
      <c r="S250" s="593">
        <f ca="1">$E250*(-SUMIF(INDIRECT(S$3),'Struktur Vorjahr'!$D250,INDIRECT(S$4))+SUMIF(INDIRECT(S$3),'Struktur Vorjahr'!$D250,INDIRECT(S$5)))</f>
        <v>0</v>
      </c>
      <c r="T250" s="593">
        <f ca="1">$E250*(-SUMIF(INDIRECT(T$3),'Struktur Vorjahr'!$D250,INDIRECT(T$4))+SUMIF(INDIRECT(T$3),'Struktur Vorjahr'!$D250,INDIRECT(T$5)))</f>
        <v>0</v>
      </c>
      <c r="U250" s="593">
        <f ca="1">$E250*(-SUMIF(INDIRECT(U$3),'Struktur Vorjahr'!$D250,INDIRECT(U$4))+SUMIF(INDIRECT(U$3),'Struktur Vorjahr'!$D250,INDIRECT(U$5)))</f>
        <v>0</v>
      </c>
      <c r="V250" s="593">
        <f ca="1">$E250*(-SUMIF(INDIRECT(V$3),'Struktur Vorjahr'!$D250,INDIRECT(V$4))+SUMIF(INDIRECT(V$3),'Struktur Vorjahr'!$D250,INDIRECT(V$5)))</f>
        <v>0</v>
      </c>
      <c r="W250" s="593">
        <f ca="1">$E250*(-SUMIF(INDIRECT(W$3),'Struktur Vorjahr'!$D250,INDIRECT(W$4))+SUMIF(INDIRECT(W$3),'Struktur Vorjahr'!$D250,INDIRECT(W$5)))</f>
        <v>0</v>
      </c>
      <c r="X250" s="593">
        <f ca="1">$E250*(-SUMIF(INDIRECT(X$3),'Struktur Vorjahr'!$D250,INDIRECT(X$4))+SUMIF(INDIRECT(X$3),'Struktur Vorjahr'!$D250,INDIRECT(X$5)))</f>
        <v>0</v>
      </c>
      <c r="Y250" s="593">
        <f ca="1">$E250*(-SUMIF(INDIRECT(Y$3),'Struktur Vorjahr'!$D250,INDIRECT(Y$4))+SUMIF(INDIRECT(Y$3),'Struktur Vorjahr'!$D250,INDIRECT(Y$5)))</f>
        <v>0</v>
      </c>
      <c r="Z250" s="593">
        <f ca="1">$E250*(-SUMIF(INDIRECT(Z$3),'Struktur Vorjahr'!$D250,INDIRECT(Z$4))+SUMIF(INDIRECT(Z$3),'Struktur Vorjahr'!$D250,INDIRECT(Z$5)))</f>
        <v>0</v>
      </c>
      <c r="AA250" s="593">
        <f ca="1">$E250*(-SUMIF(INDIRECT(AA$3),'Struktur Vorjahr'!$D250,INDIRECT(AA$4))+SUMIF(INDIRECT(AA$3),'Struktur Vorjahr'!$D250,INDIRECT(AA$5)))</f>
        <v>0</v>
      </c>
      <c r="AB250" s="593">
        <f ca="1">$E250*(-SUMIF(INDIRECT(AB$3),'Struktur Vorjahr'!$D250,INDIRECT(AB$4))+SUMIF(INDIRECT(AB$3),'Struktur Vorjahr'!$D250,INDIRECT(AB$5)))</f>
        <v>0</v>
      </c>
      <c r="AC250" s="593">
        <f ca="1">$E250*(-SUMIF(INDIRECT(AC$3),'Struktur Vorjahr'!$D250,INDIRECT(AC$4))+SUMIF(INDIRECT(AC$3),'Struktur Vorjahr'!$D250,INDIRECT(AC$5)))</f>
        <v>0</v>
      </c>
      <c r="AD250" s="593">
        <f ca="1">$E250*(-SUMIF(INDIRECT(AD$3),'Struktur Vorjahr'!$D250,INDIRECT(AD$4))+SUMIF(INDIRECT(AD$3),'Struktur Vorjahr'!$D250,INDIRECT(AD$5)))</f>
        <v>0</v>
      </c>
      <c r="AE250" s="593">
        <f t="shared" ca="1" si="113"/>
        <v>0</v>
      </c>
      <c r="AF250" s="593">
        <f t="shared" ca="1" si="114"/>
        <v>0</v>
      </c>
      <c r="AG250" s="593">
        <f t="shared" ca="1" si="114"/>
        <v>0</v>
      </c>
      <c r="AH250" s="593">
        <f t="shared" ca="1" si="114"/>
        <v>0</v>
      </c>
      <c r="AI250" s="593">
        <f t="shared" ca="1" si="114"/>
        <v>0</v>
      </c>
      <c r="AJ250" s="593">
        <f t="shared" ca="1" si="114"/>
        <v>0</v>
      </c>
      <c r="AK250" s="593">
        <f t="shared" ca="1" si="114"/>
        <v>0</v>
      </c>
      <c r="AL250" s="593">
        <f t="shared" ca="1" si="114"/>
        <v>0</v>
      </c>
      <c r="AM250" s="593">
        <f t="shared" ca="1" si="114"/>
        <v>0</v>
      </c>
      <c r="AN250" s="593">
        <f t="shared" ca="1" si="114"/>
        <v>0</v>
      </c>
      <c r="AO250" s="593">
        <f t="shared" ca="1" si="114"/>
        <v>0</v>
      </c>
      <c r="AP250" s="593">
        <f t="shared" ca="1" si="114"/>
        <v>0</v>
      </c>
    </row>
    <row r="251" spans="1:42" s="594" customFormat="1" ht="11.25" outlineLevel="1" x14ac:dyDescent="0.2">
      <c r="A251" s="590"/>
      <c r="B251" s="591" t="str">
        <f>IF(D251&lt;&gt;"",
IF(ISERROR(MATCH(D251,'Ist Vorjahr Monat 01'!A:A,0))=FALSE,INDEX('Ist Vorjahr Monat 01'!B:B,MATCH(D251,'Ist Vorjahr Monat 01'!A:A,0)),
IF(ISERROR(MATCH(D251,'Ist Vorjahr Monat 02'!A:A,0))=FALSE,INDEX('Ist Vorjahr Monat 02'!B:B,MATCH(D251,'Ist Vorjahr Monat 02'!A:A,0)),
IF(ISERROR(MATCH(D251,'Ist Vorjahr Monat 03'!A:A,0))=FALSE,INDEX('Ist Vorjahr Monat 03'!B:B,MATCH(D251,'Ist Vorjahr Monat 03'!A:A,0)),
IF(ISERROR(MATCH(D251,'Ist Vorjahr Monat 04'!A:A,0))=FALSE,INDEX('Ist Vorjahr Monat 04'!B:B,MATCH(D251,'Ist Vorjahr Monat 04'!A:A,0)),
IF(ISERROR(MATCH(D251,'Ist Vorjahr Monat 05'!A:A,0))=FALSE,INDEX('Ist Vorjahr Monat 05'!B:B,MATCH(D251,'Ist Vorjahr Monat 05'!A:A,0)),
IF(ISERROR(MATCH(D251,'Ist Vorjahr Monat 06'!A:A,0))=FALSE,INDEX('Ist Vorjahr Monat 06'!B:B,MATCH(D251,'Ist Vorjahr Monat 06'!A:A,0)),
IF(ISERROR(MATCH(D251,'Ist Vorjahr Monat 07'!A:A,0))=FALSE,INDEX('Ist Vorjahr Monat 07'!B:B,MATCH(D251,'Ist Vorjahr Monat 07'!A:A,0)),
IF(ISERROR(MATCH(D251,'Ist Vorjahr Monat 08'!A:A,0))=FALSE,INDEX('Ist Vorjahr Monat 08'!B:B,MATCH(D251,'Ist Vorjahr Monat 08'!A:A,0)),
IF(ISERROR(MATCH(D251,'Ist Vorjahr Monat 09'!A:A,0))=FALSE,INDEX('Ist Vorjahr Monat 09'!B:B,MATCH(D251,'Ist Vorjahr Monat 09'!A:A,0)),
IF(ISERROR(MATCH(D251,'Ist Vorjahr Monat 10'!A:A,0))=FALSE,INDEX('Ist Vorjahr Monat 10'!B:B,MATCH(D251,'Ist Vorjahr Monat 10'!A:A,0)),
IF(ISERROR(MATCH(D251,'Ist Vorjahr Monat 11'!A:A,0))=FALSE,INDEX('Ist Vorjahr Monat 11'!B:B,MATCH(D251,'Ist Vorjahr Monat 11'!A:A,0)),
IF(ISERROR(MATCH(D251,'Ist Vorjahr Monat 12'!A:A,0))=FALSE,INDEX('Ist Vorjahr Monat 12'!B:B,MATCH(D251,'Ist Vorjahr Monat 12'!A:A,0)),
"{Konto unbekannt}"
)))))))))))),"")</f>
        <v/>
      </c>
      <c r="C251" s="591"/>
      <c r="D251" s="590"/>
      <c r="E251" s="592">
        <f t="shared" si="105"/>
        <v>1</v>
      </c>
      <c r="F251" s="590"/>
      <c r="G251" s="593">
        <f ca="1">$E251*(-SUMIF(INDIRECT(G$3),'Struktur Vorjahr'!$D251,INDIRECT(G$4))+SUMIF(INDIRECT(G$3),'Struktur Vorjahr'!$D251,INDIRECT(G$5)))</f>
        <v>0</v>
      </c>
      <c r="H251" s="593">
        <f ca="1">$E251*(-SUMIF(INDIRECT(H$3),'Struktur Vorjahr'!$D251,INDIRECT(H$4))+SUMIF(INDIRECT(H$3),'Struktur Vorjahr'!$D251,INDIRECT(H$5)))</f>
        <v>0</v>
      </c>
      <c r="I251" s="593">
        <f ca="1">$E251*(-SUMIF(INDIRECT(I$3),'Struktur Vorjahr'!$D251,INDIRECT(I$4))+SUMIF(INDIRECT(I$3),'Struktur Vorjahr'!$D251,INDIRECT(I$5)))</f>
        <v>0</v>
      </c>
      <c r="J251" s="593">
        <f ca="1">$E251*(-SUMIF(INDIRECT(J$3),'Struktur Vorjahr'!$D251,INDIRECT(J$4))+SUMIF(INDIRECT(J$3),'Struktur Vorjahr'!$D251,INDIRECT(J$5)))</f>
        <v>0</v>
      </c>
      <c r="K251" s="593">
        <f ca="1">$E251*(-SUMIF(INDIRECT(K$3),'Struktur Vorjahr'!$D251,INDIRECT(K$4))+SUMIF(INDIRECT(K$3),'Struktur Vorjahr'!$D251,INDIRECT(K$5)))</f>
        <v>0</v>
      </c>
      <c r="L251" s="593">
        <f ca="1">$E251*(-SUMIF(INDIRECT(L$3),'Struktur Vorjahr'!$D251,INDIRECT(L$4))+SUMIF(INDIRECT(L$3),'Struktur Vorjahr'!$D251,INDIRECT(L$5)))</f>
        <v>0</v>
      </c>
      <c r="M251" s="593">
        <f ca="1">$E251*(-SUMIF(INDIRECT(M$3),'Struktur Vorjahr'!$D251,INDIRECT(M$4))+SUMIF(INDIRECT(M$3),'Struktur Vorjahr'!$D251,INDIRECT(M$5)))</f>
        <v>0</v>
      </c>
      <c r="N251" s="593">
        <f ca="1">$E251*(-SUMIF(INDIRECT(N$3),'Struktur Vorjahr'!$D251,INDIRECT(N$4))+SUMIF(INDIRECT(N$3),'Struktur Vorjahr'!$D251,INDIRECT(N$5)))</f>
        <v>0</v>
      </c>
      <c r="O251" s="593">
        <f ca="1">$E251*(-SUMIF(INDIRECT(O$3),'Struktur Vorjahr'!$D251,INDIRECT(O$4))+SUMIF(INDIRECT(O$3),'Struktur Vorjahr'!$D251,INDIRECT(O$5)))</f>
        <v>0</v>
      </c>
      <c r="P251" s="593">
        <f ca="1">$E251*(-SUMIF(INDIRECT(P$3),'Struktur Vorjahr'!$D251,INDIRECT(P$4))+SUMIF(INDIRECT(P$3),'Struktur Vorjahr'!$D251,INDIRECT(P$5)))</f>
        <v>0</v>
      </c>
      <c r="Q251" s="593">
        <f ca="1">$E251*(-SUMIF(INDIRECT(Q$3),'Struktur Vorjahr'!$D251,INDIRECT(Q$4))+SUMIF(INDIRECT(Q$3),'Struktur Vorjahr'!$D251,INDIRECT(Q$5)))</f>
        <v>0</v>
      </c>
      <c r="R251" s="593">
        <f ca="1">$E251*(-SUMIF(INDIRECT(R$3),'Struktur Vorjahr'!$D251,INDIRECT(R$4))+SUMIF(INDIRECT(R$3),'Struktur Vorjahr'!$D251,INDIRECT(R$5)))</f>
        <v>0</v>
      </c>
      <c r="S251" s="593">
        <f ca="1">$E251*(-SUMIF(INDIRECT(S$3),'Struktur Vorjahr'!$D251,INDIRECT(S$4))+SUMIF(INDIRECT(S$3),'Struktur Vorjahr'!$D251,INDIRECT(S$5)))</f>
        <v>0</v>
      </c>
      <c r="T251" s="593">
        <f ca="1">$E251*(-SUMIF(INDIRECT(T$3),'Struktur Vorjahr'!$D251,INDIRECT(T$4))+SUMIF(INDIRECT(T$3),'Struktur Vorjahr'!$D251,INDIRECT(T$5)))</f>
        <v>0</v>
      </c>
      <c r="U251" s="593">
        <f ca="1">$E251*(-SUMIF(INDIRECT(U$3),'Struktur Vorjahr'!$D251,INDIRECT(U$4))+SUMIF(INDIRECT(U$3),'Struktur Vorjahr'!$D251,INDIRECT(U$5)))</f>
        <v>0</v>
      </c>
      <c r="V251" s="593">
        <f ca="1">$E251*(-SUMIF(INDIRECT(V$3),'Struktur Vorjahr'!$D251,INDIRECT(V$4))+SUMIF(INDIRECT(V$3),'Struktur Vorjahr'!$D251,INDIRECT(V$5)))</f>
        <v>0</v>
      </c>
      <c r="W251" s="593">
        <f ca="1">$E251*(-SUMIF(INDIRECT(W$3),'Struktur Vorjahr'!$D251,INDIRECT(W$4))+SUMIF(INDIRECT(W$3),'Struktur Vorjahr'!$D251,INDIRECT(W$5)))</f>
        <v>0</v>
      </c>
      <c r="X251" s="593">
        <f ca="1">$E251*(-SUMIF(INDIRECT(X$3),'Struktur Vorjahr'!$D251,INDIRECT(X$4))+SUMIF(INDIRECT(X$3),'Struktur Vorjahr'!$D251,INDIRECT(X$5)))</f>
        <v>0</v>
      </c>
      <c r="Y251" s="593">
        <f ca="1">$E251*(-SUMIF(INDIRECT(Y$3),'Struktur Vorjahr'!$D251,INDIRECT(Y$4))+SUMIF(INDIRECT(Y$3),'Struktur Vorjahr'!$D251,INDIRECT(Y$5)))</f>
        <v>0</v>
      </c>
      <c r="Z251" s="593">
        <f ca="1">$E251*(-SUMIF(INDIRECT(Z$3),'Struktur Vorjahr'!$D251,INDIRECT(Z$4))+SUMIF(INDIRECT(Z$3),'Struktur Vorjahr'!$D251,INDIRECT(Z$5)))</f>
        <v>0</v>
      </c>
      <c r="AA251" s="593">
        <f ca="1">$E251*(-SUMIF(INDIRECT(AA$3),'Struktur Vorjahr'!$D251,INDIRECT(AA$4))+SUMIF(INDIRECT(AA$3),'Struktur Vorjahr'!$D251,INDIRECT(AA$5)))</f>
        <v>0</v>
      </c>
      <c r="AB251" s="593">
        <f ca="1">$E251*(-SUMIF(INDIRECT(AB$3),'Struktur Vorjahr'!$D251,INDIRECT(AB$4))+SUMIF(INDIRECT(AB$3),'Struktur Vorjahr'!$D251,INDIRECT(AB$5)))</f>
        <v>0</v>
      </c>
      <c r="AC251" s="593">
        <f ca="1">$E251*(-SUMIF(INDIRECT(AC$3),'Struktur Vorjahr'!$D251,INDIRECT(AC$4))+SUMIF(INDIRECT(AC$3),'Struktur Vorjahr'!$D251,INDIRECT(AC$5)))</f>
        <v>0</v>
      </c>
      <c r="AD251" s="593">
        <f ca="1">$E251*(-SUMIF(INDIRECT(AD$3),'Struktur Vorjahr'!$D251,INDIRECT(AD$4))+SUMIF(INDIRECT(AD$3),'Struktur Vorjahr'!$D251,INDIRECT(AD$5)))</f>
        <v>0</v>
      </c>
      <c r="AE251" s="593">
        <f t="shared" ca="1" si="113"/>
        <v>0</v>
      </c>
      <c r="AF251" s="593">
        <f t="shared" ca="1" si="114"/>
        <v>0</v>
      </c>
      <c r="AG251" s="593">
        <f t="shared" ca="1" si="114"/>
        <v>0</v>
      </c>
      <c r="AH251" s="593">
        <f t="shared" ca="1" si="114"/>
        <v>0</v>
      </c>
      <c r="AI251" s="593">
        <f t="shared" ca="1" si="114"/>
        <v>0</v>
      </c>
      <c r="AJ251" s="593">
        <f t="shared" ca="1" si="114"/>
        <v>0</v>
      </c>
      <c r="AK251" s="593">
        <f t="shared" ca="1" si="114"/>
        <v>0</v>
      </c>
      <c r="AL251" s="593">
        <f t="shared" ca="1" si="114"/>
        <v>0</v>
      </c>
      <c r="AM251" s="593">
        <f t="shared" ca="1" si="114"/>
        <v>0</v>
      </c>
      <c r="AN251" s="593">
        <f t="shared" ca="1" si="114"/>
        <v>0</v>
      </c>
      <c r="AO251" s="593">
        <f t="shared" ca="1" si="114"/>
        <v>0</v>
      </c>
      <c r="AP251" s="593">
        <f t="shared" ca="1" si="114"/>
        <v>0</v>
      </c>
    </row>
    <row r="252" spans="1:42" s="594" customFormat="1" ht="11.25" outlineLevel="1" x14ac:dyDescent="0.2">
      <c r="A252" s="590"/>
      <c r="B252" s="591" t="str">
        <f>IF(D252&lt;&gt;"",
IF(ISERROR(MATCH(D252,'Ist Vorjahr Monat 01'!A:A,0))=FALSE,INDEX('Ist Vorjahr Monat 01'!B:B,MATCH(D252,'Ist Vorjahr Monat 01'!A:A,0)),
IF(ISERROR(MATCH(D252,'Ist Vorjahr Monat 02'!A:A,0))=FALSE,INDEX('Ist Vorjahr Monat 02'!B:B,MATCH(D252,'Ist Vorjahr Monat 02'!A:A,0)),
IF(ISERROR(MATCH(D252,'Ist Vorjahr Monat 03'!A:A,0))=FALSE,INDEX('Ist Vorjahr Monat 03'!B:B,MATCH(D252,'Ist Vorjahr Monat 03'!A:A,0)),
IF(ISERROR(MATCH(D252,'Ist Vorjahr Monat 04'!A:A,0))=FALSE,INDEX('Ist Vorjahr Monat 04'!B:B,MATCH(D252,'Ist Vorjahr Monat 04'!A:A,0)),
IF(ISERROR(MATCH(D252,'Ist Vorjahr Monat 05'!A:A,0))=FALSE,INDEX('Ist Vorjahr Monat 05'!B:B,MATCH(D252,'Ist Vorjahr Monat 05'!A:A,0)),
IF(ISERROR(MATCH(D252,'Ist Vorjahr Monat 06'!A:A,0))=FALSE,INDEX('Ist Vorjahr Monat 06'!B:B,MATCH(D252,'Ist Vorjahr Monat 06'!A:A,0)),
IF(ISERROR(MATCH(D252,'Ist Vorjahr Monat 07'!A:A,0))=FALSE,INDEX('Ist Vorjahr Monat 07'!B:B,MATCH(D252,'Ist Vorjahr Monat 07'!A:A,0)),
IF(ISERROR(MATCH(D252,'Ist Vorjahr Monat 08'!A:A,0))=FALSE,INDEX('Ist Vorjahr Monat 08'!B:B,MATCH(D252,'Ist Vorjahr Monat 08'!A:A,0)),
IF(ISERROR(MATCH(D252,'Ist Vorjahr Monat 09'!A:A,0))=FALSE,INDEX('Ist Vorjahr Monat 09'!B:B,MATCH(D252,'Ist Vorjahr Monat 09'!A:A,0)),
IF(ISERROR(MATCH(D252,'Ist Vorjahr Monat 10'!A:A,0))=FALSE,INDEX('Ist Vorjahr Monat 10'!B:B,MATCH(D252,'Ist Vorjahr Monat 10'!A:A,0)),
IF(ISERROR(MATCH(D252,'Ist Vorjahr Monat 11'!A:A,0))=FALSE,INDEX('Ist Vorjahr Monat 11'!B:B,MATCH(D252,'Ist Vorjahr Monat 11'!A:A,0)),
IF(ISERROR(MATCH(D252,'Ist Vorjahr Monat 12'!A:A,0))=FALSE,INDEX('Ist Vorjahr Monat 12'!B:B,MATCH(D252,'Ist Vorjahr Monat 12'!A:A,0)),
"{Konto unbekannt}"
)))))))))))),"")</f>
        <v/>
      </c>
      <c r="C252" s="591"/>
      <c r="D252" s="590"/>
      <c r="E252" s="592">
        <f t="shared" si="105"/>
        <v>1</v>
      </c>
      <c r="F252" s="590"/>
      <c r="G252" s="593">
        <f ca="1">$E252*(-SUMIF(INDIRECT(G$3),'Struktur Vorjahr'!$D252,INDIRECT(G$4))+SUMIF(INDIRECT(G$3),'Struktur Vorjahr'!$D252,INDIRECT(G$5)))</f>
        <v>0</v>
      </c>
      <c r="H252" s="593">
        <f ca="1">$E252*(-SUMIF(INDIRECT(H$3),'Struktur Vorjahr'!$D252,INDIRECT(H$4))+SUMIF(INDIRECT(H$3),'Struktur Vorjahr'!$D252,INDIRECT(H$5)))</f>
        <v>0</v>
      </c>
      <c r="I252" s="593">
        <f ca="1">$E252*(-SUMIF(INDIRECT(I$3),'Struktur Vorjahr'!$D252,INDIRECT(I$4))+SUMIF(INDIRECT(I$3),'Struktur Vorjahr'!$D252,INDIRECT(I$5)))</f>
        <v>0</v>
      </c>
      <c r="J252" s="593">
        <f ca="1">$E252*(-SUMIF(INDIRECT(J$3),'Struktur Vorjahr'!$D252,INDIRECT(J$4))+SUMIF(INDIRECT(J$3),'Struktur Vorjahr'!$D252,INDIRECT(J$5)))</f>
        <v>0</v>
      </c>
      <c r="K252" s="593">
        <f ca="1">$E252*(-SUMIF(INDIRECT(K$3),'Struktur Vorjahr'!$D252,INDIRECT(K$4))+SUMIF(INDIRECT(K$3),'Struktur Vorjahr'!$D252,INDIRECT(K$5)))</f>
        <v>0</v>
      </c>
      <c r="L252" s="593">
        <f ca="1">$E252*(-SUMIF(INDIRECT(L$3),'Struktur Vorjahr'!$D252,INDIRECT(L$4))+SUMIF(INDIRECT(L$3),'Struktur Vorjahr'!$D252,INDIRECT(L$5)))</f>
        <v>0</v>
      </c>
      <c r="M252" s="593">
        <f ca="1">$E252*(-SUMIF(INDIRECT(M$3),'Struktur Vorjahr'!$D252,INDIRECT(M$4))+SUMIF(INDIRECT(M$3),'Struktur Vorjahr'!$D252,INDIRECT(M$5)))</f>
        <v>0</v>
      </c>
      <c r="N252" s="593">
        <f ca="1">$E252*(-SUMIF(INDIRECT(N$3),'Struktur Vorjahr'!$D252,INDIRECT(N$4))+SUMIF(INDIRECT(N$3),'Struktur Vorjahr'!$D252,INDIRECT(N$5)))</f>
        <v>0</v>
      </c>
      <c r="O252" s="593">
        <f ca="1">$E252*(-SUMIF(INDIRECT(O$3),'Struktur Vorjahr'!$D252,INDIRECT(O$4))+SUMIF(INDIRECT(O$3),'Struktur Vorjahr'!$D252,INDIRECT(O$5)))</f>
        <v>0</v>
      </c>
      <c r="P252" s="593">
        <f ca="1">$E252*(-SUMIF(INDIRECT(P$3),'Struktur Vorjahr'!$D252,INDIRECT(P$4))+SUMIF(INDIRECT(P$3),'Struktur Vorjahr'!$D252,INDIRECT(P$5)))</f>
        <v>0</v>
      </c>
      <c r="Q252" s="593">
        <f ca="1">$E252*(-SUMIF(INDIRECT(Q$3),'Struktur Vorjahr'!$D252,INDIRECT(Q$4))+SUMIF(INDIRECT(Q$3),'Struktur Vorjahr'!$D252,INDIRECT(Q$5)))</f>
        <v>0</v>
      </c>
      <c r="R252" s="593">
        <f ca="1">$E252*(-SUMIF(INDIRECT(R$3),'Struktur Vorjahr'!$D252,INDIRECT(R$4))+SUMIF(INDIRECT(R$3),'Struktur Vorjahr'!$D252,INDIRECT(R$5)))</f>
        <v>0</v>
      </c>
      <c r="S252" s="593">
        <f ca="1">$E252*(-SUMIF(INDIRECT(S$3),'Struktur Vorjahr'!$D252,INDIRECT(S$4))+SUMIF(INDIRECT(S$3),'Struktur Vorjahr'!$D252,INDIRECT(S$5)))</f>
        <v>0</v>
      </c>
      <c r="T252" s="593">
        <f ca="1">$E252*(-SUMIF(INDIRECT(T$3),'Struktur Vorjahr'!$D252,INDIRECT(T$4))+SUMIF(INDIRECT(T$3),'Struktur Vorjahr'!$D252,INDIRECT(T$5)))</f>
        <v>0</v>
      </c>
      <c r="U252" s="593">
        <f ca="1">$E252*(-SUMIF(INDIRECT(U$3),'Struktur Vorjahr'!$D252,INDIRECT(U$4))+SUMIF(INDIRECT(U$3),'Struktur Vorjahr'!$D252,INDIRECT(U$5)))</f>
        <v>0</v>
      </c>
      <c r="V252" s="593">
        <f ca="1">$E252*(-SUMIF(INDIRECT(V$3),'Struktur Vorjahr'!$D252,INDIRECT(V$4))+SUMIF(INDIRECT(V$3),'Struktur Vorjahr'!$D252,INDIRECT(V$5)))</f>
        <v>0</v>
      </c>
      <c r="W252" s="593">
        <f ca="1">$E252*(-SUMIF(INDIRECT(W$3),'Struktur Vorjahr'!$D252,INDIRECT(W$4))+SUMIF(INDIRECT(W$3),'Struktur Vorjahr'!$D252,INDIRECT(W$5)))</f>
        <v>0</v>
      </c>
      <c r="X252" s="593">
        <f ca="1">$E252*(-SUMIF(INDIRECT(X$3),'Struktur Vorjahr'!$D252,INDIRECT(X$4))+SUMIF(INDIRECT(X$3),'Struktur Vorjahr'!$D252,INDIRECT(X$5)))</f>
        <v>0</v>
      </c>
      <c r="Y252" s="593">
        <f ca="1">$E252*(-SUMIF(INDIRECT(Y$3),'Struktur Vorjahr'!$D252,INDIRECT(Y$4))+SUMIF(INDIRECT(Y$3),'Struktur Vorjahr'!$D252,INDIRECT(Y$5)))</f>
        <v>0</v>
      </c>
      <c r="Z252" s="593">
        <f ca="1">$E252*(-SUMIF(INDIRECT(Z$3),'Struktur Vorjahr'!$D252,INDIRECT(Z$4))+SUMIF(INDIRECT(Z$3),'Struktur Vorjahr'!$D252,INDIRECT(Z$5)))</f>
        <v>0</v>
      </c>
      <c r="AA252" s="593">
        <f ca="1">$E252*(-SUMIF(INDIRECT(AA$3),'Struktur Vorjahr'!$D252,INDIRECT(AA$4))+SUMIF(INDIRECT(AA$3),'Struktur Vorjahr'!$D252,INDIRECT(AA$5)))</f>
        <v>0</v>
      </c>
      <c r="AB252" s="593">
        <f ca="1">$E252*(-SUMIF(INDIRECT(AB$3),'Struktur Vorjahr'!$D252,INDIRECT(AB$4))+SUMIF(INDIRECT(AB$3),'Struktur Vorjahr'!$D252,INDIRECT(AB$5)))</f>
        <v>0</v>
      </c>
      <c r="AC252" s="593">
        <f ca="1">$E252*(-SUMIF(INDIRECT(AC$3),'Struktur Vorjahr'!$D252,INDIRECT(AC$4))+SUMIF(INDIRECT(AC$3),'Struktur Vorjahr'!$D252,INDIRECT(AC$5)))</f>
        <v>0</v>
      </c>
      <c r="AD252" s="593">
        <f ca="1">$E252*(-SUMIF(INDIRECT(AD$3),'Struktur Vorjahr'!$D252,INDIRECT(AD$4))+SUMIF(INDIRECT(AD$3),'Struktur Vorjahr'!$D252,INDIRECT(AD$5)))</f>
        <v>0</v>
      </c>
      <c r="AE252" s="593">
        <f t="shared" ca="1" si="113"/>
        <v>0</v>
      </c>
      <c r="AF252" s="593">
        <f t="shared" ca="1" si="114"/>
        <v>0</v>
      </c>
      <c r="AG252" s="593">
        <f t="shared" ca="1" si="114"/>
        <v>0</v>
      </c>
      <c r="AH252" s="593">
        <f t="shared" ca="1" si="114"/>
        <v>0</v>
      </c>
      <c r="AI252" s="593">
        <f t="shared" ca="1" si="114"/>
        <v>0</v>
      </c>
      <c r="AJ252" s="593">
        <f t="shared" ca="1" si="114"/>
        <v>0</v>
      </c>
      <c r="AK252" s="593">
        <f t="shared" ca="1" si="114"/>
        <v>0</v>
      </c>
      <c r="AL252" s="593">
        <f t="shared" ca="1" si="114"/>
        <v>0</v>
      </c>
      <c r="AM252" s="593">
        <f t="shared" ca="1" si="114"/>
        <v>0</v>
      </c>
      <c r="AN252" s="593">
        <f t="shared" ca="1" si="114"/>
        <v>0</v>
      </c>
      <c r="AO252" s="593">
        <f t="shared" ca="1" si="114"/>
        <v>0</v>
      </c>
      <c r="AP252" s="593">
        <f t="shared" ca="1" si="114"/>
        <v>0</v>
      </c>
    </row>
    <row r="253" spans="1:42" s="594" customFormat="1" ht="11.25" outlineLevel="1" x14ac:dyDescent="0.2">
      <c r="A253" s="590"/>
      <c r="B253" s="591" t="str">
        <f>IF(D253&lt;&gt;"",
IF(ISERROR(MATCH(D253,'Ist Vorjahr Monat 01'!A:A,0))=FALSE,INDEX('Ist Vorjahr Monat 01'!B:B,MATCH(D253,'Ist Vorjahr Monat 01'!A:A,0)),
IF(ISERROR(MATCH(D253,'Ist Vorjahr Monat 02'!A:A,0))=FALSE,INDEX('Ist Vorjahr Monat 02'!B:B,MATCH(D253,'Ist Vorjahr Monat 02'!A:A,0)),
IF(ISERROR(MATCH(D253,'Ist Vorjahr Monat 03'!A:A,0))=FALSE,INDEX('Ist Vorjahr Monat 03'!B:B,MATCH(D253,'Ist Vorjahr Monat 03'!A:A,0)),
IF(ISERROR(MATCH(D253,'Ist Vorjahr Monat 04'!A:A,0))=FALSE,INDEX('Ist Vorjahr Monat 04'!B:B,MATCH(D253,'Ist Vorjahr Monat 04'!A:A,0)),
IF(ISERROR(MATCH(D253,'Ist Vorjahr Monat 05'!A:A,0))=FALSE,INDEX('Ist Vorjahr Monat 05'!B:B,MATCH(D253,'Ist Vorjahr Monat 05'!A:A,0)),
IF(ISERROR(MATCH(D253,'Ist Vorjahr Monat 06'!A:A,0))=FALSE,INDEX('Ist Vorjahr Monat 06'!B:B,MATCH(D253,'Ist Vorjahr Monat 06'!A:A,0)),
IF(ISERROR(MATCH(D253,'Ist Vorjahr Monat 07'!A:A,0))=FALSE,INDEX('Ist Vorjahr Monat 07'!B:B,MATCH(D253,'Ist Vorjahr Monat 07'!A:A,0)),
IF(ISERROR(MATCH(D253,'Ist Vorjahr Monat 08'!A:A,0))=FALSE,INDEX('Ist Vorjahr Monat 08'!B:B,MATCH(D253,'Ist Vorjahr Monat 08'!A:A,0)),
IF(ISERROR(MATCH(D253,'Ist Vorjahr Monat 09'!A:A,0))=FALSE,INDEX('Ist Vorjahr Monat 09'!B:B,MATCH(D253,'Ist Vorjahr Monat 09'!A:A,0)),
IF(ISERROR(MATCH(D253,'Ist Vorjahr Monat 10'!A:A,0))=FALSE,INDEX('Ist Vorjahr Monat 10'!B:B,MATCH(D253,'Ist Vorjahr Monat 10'!A:A,0)),
IF(ISERROR(MATCH(D253,'Ist Vorjahr Monat 11'!A:A,0))=FALSE,INDEX('Ist Vorjahr Monat 11'!B:B,MATCH(D253,'Ist Vorjahr Monat 11'!A:A,0)),
IF(ISERROR(MATCH(D253,'Ist Vorjahr Monat 12'!A:A,0))=FALSE,INDEX('Ist Vorjahr Monat 12'!B:B,MATCH(D253,'Ist Vorjahr Monat 12'!A:A,0)),
"{Konto unbekannt}"
)))))))))))),"")</f>
        <v/>
      </c>
      <c r="C253" s="591"/>
      <c r="D253" s="590"/>
      <c r="E253" s="592">
        <f t="shared" si="105"/>
        <v>1</v>
      </c>
      <c r="F253" s="590"/>
      <c r="G253" s="593">
        <f ca="1">$E253*(-SUMIF(INDIRECT(G$3),'Struktur Vorjahr'!$D253,INDIRECT(G$4))+SUMIF(INDIRECT(G$3),'Struktur Vorjahr'!$D253,INDIRECT(G$5)))</f>
        <v>0</v>
      </c>
      <c r="H253" s="593">
        <f ca="1">$E253*(-SUMIF(INDIRECT(H$3),'Struktur Vorjahr'!$D253,INDIRECT(H$4))+SUMIF(INDIRECT(H$3),'Struktur Vorjahr'!$D253,INDIRECT(H$5)))</f>
        <v>0</v>
      </c>
      <c r="I253" s="593">
        <f ca="1">$E253*(-SUMIF(INDIRECT(I$3),'Struktur Vorjahr'!$D253,INDIRECT(I$4))+SUMIF(INDIRECT(I$3),'Struktur Vorjahr'!$D253,INDIRECT(I$5)))</f>
        <v>0</v>
      </c>
      <c r="J253" s="593">
        <f ca="1">$E253*(-SUMIF(INDIRECT(J$3),'Struktur Vorjahr'!$D253,INDIRECT(J$4))+SUMIF(INDIRECT(J$3),'Struktur Vorjahr'!$D253,INDIRECT(J$5)))</f>
        <v>0</v>
      </c>
      <c r="K253" s="593">
        <f ca="1">$E253*(-SUMIF(INDIRECT(K$3),'Struktur Vorjahr'!$D253,INDIRECT(K$4))+SUMIF(INDIRECT(K$3),'Struktur Vorjahr'!$D253,INDIRECT(K$5)))</f>
        <v>0</v>
      </c>
      <c r="L253" s="593">
        <f ca="1">$E253*(-SUMIF(INDIRECT(L$3),'Struktur Vorjahr'!$D253,INDIRECT(L$4))+SUMIF(INDIRECT(L$3),'Struktur Vorjahr'!$D253,INDIRECT(L$5)))</f>
        <v>0</v>
      </c>
      <c r="M253" s="593">
        <f ca="1">$E253*(-SUMIF(INDIRECT(M$3),'Struktur Vorjahr'!$D253,INDIRECT(M$4))+SUMIF(INDIRECT(M$3),'Struktur Vorjahr'!$D253,INDIRECT(M$5)))</f>
        <v>0</v>
      </c>
      <c r="N253" s="593">
        <f ca="1">$E253*(-SUMIF(INDIRECT(N$3),'Struktur Vorjahr'!$D253,INDIRECT(N$4))+SUMIF(INDIRECT(N$3),'Struktur Vorjahr'!$D253,INDIRECT(N$5)))</f>
        <v>0</v>
      </c>
      <c r="O253" s="593">
        <f ca="1">$E253*(-SUMIF(INDIRECT(O$3),'Struktur Vorjahr'!$D253,INDIRECT(O$4))+SUMIF(INDIRECT(O$3),'Struktur Vorjahr'!$D253,INDIRECT(O$5)))</f>
        <v>0</v>
      </c>
      <c r="P253" s="593">
        <f ca="1">$E253*(-SUMIF(INDIRECT(P$3),'Struktur Vorjahr'!$D253,INDIRECT(P$4))+SUMIF(INDIRECT(P$3),'Struktur Vorjahr'!$D253,INDIRECT(P$5)))</f>
        <v>0</v>
      </c>
      <c r="Q253" s="593">
        <f ca="1">$E253*(-SUMIF(INDIRECT(Q$3),'Struktur Vorjahr'!$D253,INDIRECT(Q$4))+SUMIF(INDIRECT(Q$3),'Struktur Vorjahr'!$D253,INDIRECT(Q$5)))</f>
        <v>0</v>
      </c>
      <c r="R253" s="593">
        <f ca="1">$E253*(-SUMIF(INDIRECT(R$3),'Struktur Vorjahr'!$D253,INDIRECT(R$4))+SUMIF(INDIRECT(R$3),'Struktur Vorjahr'!$D253,INDIRECT(R$5)))</f>
        <v>0</v>
      </c>
      <c r="S253" s="593">
        <f ca="1">$E253*(-SUMIF(INDIRECT(S$3),'Struktur Vorjahr'!$D253,INDIRECT(S$4))+SUMIF(INDIRECT(S$3),'Struktur Vorjahr'!$D253,INDIRECT(S$5)))</f>
        <v>0</v>
      </c>
      <c r="T253" s="593">
        <f ca="1">$E253*(-SUMIF(INDIRECT(T$3),'Struktur Vorjahr'!$D253,INDIRECT(T$4))+SUMIF(INDIRECT(T$3),'Struktur Vorjahr'!$D253,INDIRECT(T$5)))</f>
        <v>0</v>
      </c>
      <c r="U253" s="593">
        <f ca="1">$E253*(-SUMIF(INDIRECT(U$3),'Struktur Vorjahr'!$D253,INDIRECT(U$4))+SUMIF(INDIRECT(U$3),'Struktur Vorjahr'!$D253,INDIRECT(U$5)))</f>
        <v>0</v>
      </c>
      <c r="V253" s="593">
        <f ca="1">$E253*(-SUMIF(INDIRECT(V$3),'Struktur Vorjahr'!$D253,INDIRECT(V$4))+SUMIF(INDIRECT(V$3),'Struktur Vorjahr'!$D253,INDIRECT(V$5)))</f>
        <v>0</v>
      </c>
      <c r="W253" s="593">
        <f ca="1">$E253*(-SUMIF(INDIRECT(W$3),'Struktur Vorjahr'!$D253,INDIRECT(W$4))+SUMIF(INDIRECT(W$3),'Struktur Vorjahr'!$D253,INDIRECT(W$5)))</f>
        <v>0</v>
      </c>
      <c r="X253" s="593">
        <f ca="1">$E253*(-SUMIF(INDIRECT(X$3),'Struktur Vorjahr'!$D253,INDIRECT(X$4))+SUMIF(INDIRECT(X$3),'Struktur Vorjahr'!$D253,INDIRECT(X$5)))</f>
        <v>0</v>
      </c>
      <c r="Y253" s="593">
        <f ca="1">$E253*(-SUMIF(INDIRECT(Y$3),'Struktur Vorjahr'!$D253,INDIRECT(Y$4))+SUMIF(INDIRECT(Y$3),'Struktur Vorjahr'!$D253,INDIRECT(Y$5)))</f>
        <v>0</v>
      </c>
      <c r="Z253" s="593">
        <f ca="1">$E253*(-SUMIF(INDIRECT(Z$3),'Struktur Vorjahr'!$D253,INDIRECT(Z$4))+SUMIF(INDIRECT(Z$3),'Struktur Vorjahr'!$D253,INDIRECT(Z$5)))</f>
        <v>0</v>
      </c>
      <c r="AA253" s="593">
        <f ca="1">$E253*(-SUMIF(INDIRECT(AA$3),'Struktur Vorjahr'!$D253,INDIRECT(AA$4))+SUMIF(INDIRECT(AA$3),'Struktur Vorjahr'!$D253,INDIRECT(AA$5)))</f>
        <v>0</v>
      </c>
      <c r="AB253" s="593">
        <f ca="1">$E253*(-SUMIF(INDIRECT(AB$3),'Struktur Vorjahr'!$D253,INDIRECT(AB$4))+SUMIF(INDIRECT(AB$3),'Struktur Vorjahr'!$D253,INDIRECT(AB$5)))</f>
        <v>0</v>
      </c>
      <c r="AC253" s="593">
        <f ca="1">$E253*(-SUMIF(INDIRECT(AC$3),'Struktur Vorjahr'!$D253,INDIRECT(AC$4))+SUMIF(INDIRECT(AC$3),'Struktur Vorjahr'!$D253,INDIRECT(AC$5)))</f>
        <v>0</v>
      </c>
      <c r="AD253" s="593">
        <f ca="1">$E253*(-SUMIF(INDIRECT(AD$3),'Struktur Vorjahr'!$D253,INDIRECT(AD$4))+SUMIF(INDIRECT(AD$3),'Struktur Vorjahr'!$D253,INDIRECT(AD$5)))</f>
        <v>0</v>
      </c>
      <c r="AE253" s="593">
        <f t="shared" ca="1" si="113"/>
        <v>0</v>
      </c>
      <c r="AF253" s="593">
        <f t="shared" ca="1" si="114"/>
        <v>0</v>
      </c>
      <c r="AG253" s="593">
        <f t="shared" ca="1" si="114"/>
        <v>0</v>
      </c>
      <c r="AH253" s="593">
        <f t="shared" ca="1" si="114"/>
        <v>0</v>
      </c>
      <c r="AI253" s="593">
        <f t="shared" ca="1" si="114"/>
        <v>0</v>
      </c>
      <c r="AJ253" s="593">
        <f t="shared" ca="1" si="114"/>
        <v>0</v>
      </c>
      <c r="AK253" s="593">
        <f t="shared" ca="1" si="114"/>
        <v>0</v>
      </c>
      <c r="AL253" s="593">
        <f t="shared" ca="1" si="114"/>
        <v>0</v>
      </c>
      <c r="AM253" s="593">
        <f t="shared" ca="1" si="114"/>
        <v>0</v>
      </c>
      <c r="AN253" s="593">
        <f t="shared" ca="1" si="114"/>
        <v>0</v>
      </c>
      <c r="AO253" s="593">
        <f t="shared" ca="1" si="114"/>
        <v>0</v>
      </c>
      <c r="AP253" s="593">
        <f t="shared" ca="1" si="114"/>
        <v>0</v>
      </c>
    </row>
    <row r="254" spans="1:42" s="594" customFormat="1" ht="11.25" outlineLevel="1" x14ac:dyDescent="0.2">
      <c r="A254" s="590"/>
      <c r="B254" s="591" t="str">
        <f>IF(D254&lt;&gt;"",
IF(ISERROR(MATCH(D254,'Ist Vorjahr Monat 01'!A:A,0))=FALSE,INDEX('Ist Vorjahr Monat 01'!B:B,MATCH(D254,'Ist Vorjahr Monat 01'!A:A,0)),
IF(ISERROR(MATCH(D254,'Ist Vorjahr Monat 02'!A:A,0))=FALSE,INDEX('Ist Vorjahr Monat 02'!B:B,MATCH(D254,'Ist Vorjahr Monat 02'!A:A,0)),
IF(ISERROR(MATCH(D254,'Ist Vorjahr Monat 03'!A:A,0))=FALSE,INDEX('Ist Vorjahr Monat 03'!B:B,MATCH(D254,'Ist Vorjahr Monat 03'!A:A,0)),
IF(ISERROR(MATCH(D254,'Ist Vorjahr Monat 04'!A:A,0))=FALSE,INDEX('Ist Vorjahr Monat 04'!B:B,MATCH(D254,'Ist Vorjahr Monat 04'!A:A,0)),
IF(ISERROR(MATCH(D254,'Ist Vorjahr Monat 05'!A:A,0))=FALSE,INDEX('Ist Vorjahr Monat 05'!B:B,MATCH(D254,'Ist Vorjahr Monat 05'!A:A,0)),
IF(ISERROR(MATCH(D254,'Ist Vorjahr Monat 06'!A:A,0))=FALSE,INDEX('Ist Vorjahr Monat 06'!B:B,MATCH(D254,'Ist Vorjahr Monat 06'!A:A,0)),
IF(ISERROR(MATCH(D254,'Ist Vorjahr Monat 07'!A:A,0))=FALSE,INDEX('Ist Vorjahr Monat 07'!B:B,MATCH(D254,'Ist Vorjahr Monat 07'!A:A,0)),
IF(ISERROR(MATCH(D254,'Ist Vorjahr Monat 08'!A:A,0))=FALSE,INDEX('Ist Vorjahr Monat 08'!B:B,MATCH(D254,'Ist Vorjahr Monat 08'!A:A,0)),
IF(ISERROR(MATCH(D254,'Ist Vorjahr Monat 09'!A:A,0))=FALSE,INDEX('Ist Vorjahr Monat 09'!B:B,MATCH(D254,'Ist Vorjahr Monat 09'!A:A,0)),
IF(ISERROR(MATCH(D254,'Ist Vorjahr Monat 10'!A:A,0))=FALSE,INDEX('Ist Vorjahr Monat 10'!B:B,MATCH(D254,'Ist Vorjahr Monat 10'!A:A,0)),
IF(ISERROR(MATCH(D254,'Ist Vorjahr Monat 11'!A:A,0))=FALSE,INDEX('Ist Vorjahr Monat 11'!B:B,MATCH(D254,'Ist Vorjahr Monat 11'!A:A,0)),
IF(ISERROR(MATCH(D254,'Ist Vorjahr Monat 12'!A:A,0))=FALSE,INDEX('Ist Vorjahr Monat 12'!B:B,MATCH(D254,'Ist Vorjahr Monat 12'!A:A,0)),
"{Konto unbekannt}"
)))))))))))),"")</f>
        <v/>
      </c>
      <c r="C254" s="591"/>
      <c r="D254" s="590"/>
      <c r="E254" s="592">
        <f t="shared" si="105"/>
        <v>1</v>
      </c>
      <c r="F254" s="590"/>
      <c r="G254" s="593">
        <f ca="1">$E254*(-SUMIF(INDIRECT(G$3),'Struktur Vorjahr'!$D254,INDIRECT(G$4))+SUMIF(INDIRECT(G$3),'Struktur Vorjahr'!$D254,INDIRECT(G$5)))</f>
        <v>0</v>
      </c>
      <c r="H254" s="593">
        <f ca="1">$E254*(-SUMIF(INDIRECT(H$3),'Struktur Vorjahr'!$D254,INDIRECT(H$4))+SUMIF(INDIRECT(H$3),'Struktur Vorjahr'!$D254,INDIRECT(H$5)))</f>
        <v>0</v>
      </c>
      <c r="I254" s="593">
        <f ca="1">$E254*(-SUMIF(INDIRECT(I$3),'Struktur Vorjahr'!$D254,INDIRECT(I$4))+SUMIF(INDIRECT(I$3),'Struktur Vorjahr'!$D254,INDIRECT(I$5)))</f>
        <v>0</v>
      </c>
      <c r="J254" s="593">
        <f ca="1">$E254*(-SUMIF(INDIRECT(J$3),'Struktur Vorjahr'!$D254,INDIRECT(J$4))+SUMIF(INDIRECT(J$3),'Struktur Vorjahr'!$D254,INDIRECT(J$5)))</f>
        <v>0</v>
      </c>
      <c r="K254" s="593">
        <f ca="1">$E254*(-SUMIF(INDIRECT(K$3),'Struktur Vorjahr'!$D254,INDIRECT(K$4))+SUMIF(INDIRECT(K$3),'Struktur Vorjahr'!$D254,INDIRECT(K$5)))</f>
        <v>0</v>
      </c>
      <c r="L254" s="593">
        <f ca="1">$E254*(-SUMIF(INDIRECT(L$3),'Struktur Vorjahr'!$D254,INDIRECT(L$4))+SUMIF(INDIRECT(L$3),'Struktur Vorjahr'!$D254,INDIRECT(L$5)))</f>
        <v>0</v>
      </c>
      <c r="M254" s="593">
        <f ca="1">$E254*(-SUMIF(INDIRECT(M$3),'Struktur Vorjahr'!$D254,INDIRECT(M$4))+SUMIF(INDIRECT(M$3),'Struktur Vorjahr'!$D254,INDIRECT(M$5)))</f>
        <v>0</v>
      </c>
      <c r="N254" s="593">
        <f ca="1">$E254*(-SUMIF(INDIRECT(N$3),'Struktur Vorjahr'!$D254,INDIRECT(N$4))+SUMIF(INDIRECT(N$3),'Struktur Vorjahr'!$D254,INDIRECT(N$5)))</f>
        <v>0</v>
      </c>
      <c r="O254" s="593">
        <f ca="1">$E254*(-SUMIF(INDIRECT(O$3),'Struktur Vorjahr'!$D254,INDIRECT(O$4))+SUMIF(INDIRECT(O$3),'Struktur Vorjahr'!$D254,INDIRECT(O$5)))</f>
        <v>0</v>
      </c>
      <c r="P254" s="593">
        <f ca="1">$E254*(-SUMIF(INDIRECT(P$3),'Struktur Vorjahr'!$D254,INDIRECT(P$4))+SUMIF(INDIRECT(P$3),'Struktur Vorjahr'!$D254,INDIRECT(P$5)))</f>
        <v>0</v>
      </c>
      <c r="Q254" s="593">
        <f ca="1">$E254*(-SUMIF(INDIRECT(Q$3),'Struktur Vorjahr'!$D254,INDIRECT(Q$4))+SUMIF(INDIRECT(Q$3),'Struktur Vorjahr'!$D254,INDIRECT(Q$5)))</f>
        <v>0</v>
      </c>
      <c r="R254" s="593">
        <f ca="1">$E254*(-SUMIF(INDIRECT(R$3),'Struktur Vorjahr'!$D254,INDIRECT(R$4))+SUMIF(INDIRECT(R$3),'Struktur Vorjahr'!$D254,INDIRECT(R$5)))</f>
        <v>0</v>
      </c>
      <c r="S254" s="593">
        <f ca="1">$E254*(-SUMIF(INDIRECT(S$3),'Struktur Vorjahr'!$D254,INDIRECT(S$4))+SUMIF(INDIRECT(S$3),'Struktur Vorjahr'!$D254,INDIRECT(S$5)))</f>
        <v>0</v>
      </c>
      <c r="T254" s="593">
        <f ca="1">$E254*(-SUMIF(INDIRECT(T$3),'Struktur Vorjahr'!$D254,INDIRECT(T$4))+SUMIF(INDIRECT(T$3),'Struktur Vorjahr'!$D254,INDIRECT(T$5)))</f>
        <v>0</v>
      </c>
      <c r="U254" s="593">
        <f ca="1">$E254*(-SUMIF(INDIRECT(U$3),'Struktur Vorjahr'!$D254,INDIRECT(U$4))+SUMIF(INDIRECT(U$3),'Struktur Vorjahr'!$D254,INDIRECT(U$5)))</f>
        <v>0</v>
      </c>
      <c r="V254" s="593">
        <f ca="1">$E254*(-SUMIF(INDIRECT(V$3),'Struktur Vorjahr'!$D254,INDIRECT(V$4))+SUMIF(INDIRECT(V$3),'Struktur Vorjahr'!$D254,INDIRECT(V$5)))</f>
        <v>0</v>
      </c>
      <c r="W254" s="593">
        <f ca="1">$E254*(-SUMIF(INDIRECT(W$3),'Struktur Vorjahr'!$D254,INDIRECT(W$4))+SUMIF(INDIRECT(W$3),'Struktur Vorjahr'!$D254,INDIRECT(W$5)))</f>
        <v>0</v>
      </c>
      <c r="X254" s="593">
        <f ca="1">$E254*(-SUMIF(INDIRECT(X$3),'Struktur Vorjahr'!$D254,INDIRECT(X$4))+SUMIF(INDIRECT(X$3),'Struktur Vorjahr'!$D254,INDIRECT(X$5)))</f>
        <v>0</v>
      </c>
      <c r="Y254" s="593">
        <f ca="1">$E254*(-SUMIF(INDIRECT(Y$3),'Struktur Vorjahr'!$D254,INDIRECT(Y$4))+SUMIF(INDIRECT(Y$3),'Struktur Vorjahr'!$D254,INDIRECT(Y$5)))</f>
        <v>0</v>
      </c>
      <c r="Z254" s="593">
        <f ca="1">$E254*(-SUMIF(INDIRECT(Z$3),'Struktur Vorjahr'!$D254,INDIRECT(Z$4))+SUMIF(INDIRECT(Z$3),'Struktur Vorjahr'!$D254,INDIRECT(Z$5)))</f>
        <v>0</v>
      </c>
      <c r="AA254" s="593">
        <f ca="1">$E254*(-SUMIF(INDIRECT(AA$3),'Struktur Vorjahr'!$D254,INDIRECT(AA$4))+SUMIF(INDIRECT(AA$3),'Struktur Vorjahr'!$D254,INDIRECT(AA$5)))</f>
        <v>0</v>
      </c>
      <c r="AB254" s="593">
        <f ca="1">$E254*(-SUMIF(INDIRECT(AB$3),'Struktur Vorjahr'!$D254,INDIRECT(AB$4))+SUMIF(INDIRECT(AB$3),'Struktur Vorjahr'!$D254,INDIRECT(AB$5)))</f>
        <v>0</v>
      </c>
      <c r="AC254" s="593">
        <f ca="1">$E254*(-SUMIF(INDIRECT(AC$3),'Struktur Vorjahr'!$D254,INDIRECT(AC$4))+SUMIF(INDIRECT(AC$3),'Struktur Vorjahr'!$D254,INDIRECT(AC$5)))</f>
        <v>0</v>
      </c>
      <c r="AD254" s="593">
        <f ca="1">$E254*(-SUMIF(INDIRECT(AD$3),'Struktur Vorjahr'!$D254,INDIRECT(AD$4))+SUMIF(INDIRECT(AD$3),'Struktur Vorjahr'!$D254,INDIRECT(AD$5)))</f>
        <v>0</v>
      </c>
      <c r="AE254" s="593">
        <f t="shared" ca="1" si="113"/>
        <v>0</v>
      </c>
      <c r="AF254" s="593">
        <f t="shared" ca="1" si="114"/>
        <v>0</v>
      </c>
      <c r="AG254" s="593">
        <f t="shared" ca="1" si="114"/>
        <v>0</v>
      </c>
      <c r="AH254" s="593">
        <f t="shared" ca="1" si="114"/>
        <v>0</v>
      </c>
      <c r="AI254" s="593">
        <f t="shared" ca="1" si="114"/>
        <v>0</v>
      </c>
      <c r="AJ254" s="593">
        <f t="shared" ca="1" si="114"/>
        <v>0</v>
      </c>
      <c r="AK254" s="593">
        <f t="shared" ca="1" si="114"/>
        <v>0</v>
      </c>
      <c r="AL254" s="593">
        <f t="shared" ca="1" si="114"/>
        <v>0</v>
      </c>
      <c r="AM254" s="593">
        <f t="shared" ca="1" si="114"/>
        <v>0</v>
      </c>
      <c r="AN254" s="593">
        <f t="shared" ca="1" si="114"/>
        <v>0</v>
      </c>
      <c r="AO254" s="593">
        <f t="shared" ca="1" si="114"/>
        <v>0</v>
      </c>
      <c r="AP254" s="593">
        <f t="shared" ca="1" si="114"/>
        <v>0</v>
      </c>
    </row>
    <row r="255" spans="1:42" s="594" customFormat="1" ht="11.25" outlineLevel="1" x14ac:dyDescent="0.2">
      <c r="A255" s="590"/>
      <c r="B255" s="591" t="str">
        <f>IF(D255&lt;&gt;"",
IF(ISERROR(MATCH(D255,'Ist Vorjahr Monat 01'!A:A,0))=FALSE,INDEX('Ist Vorjahr Monat 01'!B:B,MATCH(D255,'Ist Vorjahr Monat 01'!A:A,0)),
IF(ISERROR(MATCH(D255,'Ist Vorjahr Monat 02'!A:A,0))=FALSE,INDEX('Ist Vorjahr Monat 02'!B:B,MATCH(D255,'Ist Vorjahr Monat 02'!A:A,0)),
IF(ISERROR(MATCH(D255,'Ist Vorjahr Monat 03'!A:A,0))=FALSE,INDEX('Ist Vorjahr Monat 03'!B:B,MATCH(D255,'Ist Vorjahr Monat 03'!A:A,0)),
IF(ISERROR(MATCH(D255,'Ist Vorjahr Monat 04'!A:A,0))=FALSE,INDEX('Ist Vorjahr Monat 04'!B:B,MATCH(D255,'Ist Vorjahr Monat 04'!A:A,0)),
IF(ISERROR(MATCH(D255,'Ist Vorjahr Monat 05'!A:A,0))=FALSE,INDEX('Ist Vorjahr Monat 05'!B:B,MATCH(D255,'Ist Vorjahr Monat 05'!A:A,0)),
IF(ISERROR(MATCH(D255,'Ist Vorjahr Monat 06'!A:A,0))=FALSE,INDEX('Ist Vorjahr Monat 06'!B:B,MATCH(D255,'Ist Vorjahr Monat 06'!A:A,0)),
IF(ISERROR(MATCH(D255,'Ist Vorjahr Monat 07'!A:A,0))=FALSE,INDEX('Ist Vorjahr Monat 07'!B:B,MATCH(D255,'Ist Vorjahr Monat 07'!A:A,0)),
IF(ISERROR(MATCH(D255,'Ist Vorjahr Monat 08'!A:A,0))=FALSE,INDEX('Ist Vorjahr Monat 08'!B:B,MATCH(D255,'Ist Vorjahr Monat 08'!A:A,0)),
IF(ISERROR(MATCH(D255,'Ist Vorjahr Monat 09'!A:A,0))=FALSE,INDEX('Ist Vorjahr Monat 09'!B:B,MATCH(D255,'Ist Vorjahr Monat 09'!A:A,0)),
IF(ISERROR(MATCH(D255,'Ist Vorjahr Monat 10'!A:A,0))=FALSE,INDEX('Ist Vorjahr Monat 10'!B:B,MATCH(D255,'Ist Vorjahr Monat 10'!A:A,0)),
IF(ISERROR(MATCH(D255,'Ist Vorjahr Monat 11'!A:A,0))=FALSE,INDEX('Ist Vorjahr Monat 11'!B:B,MATCH(D255,'Ist Vorjahr Monat 11'!A:A,0)),
IF(ISERROR(MATCH(D255,'Ist Vorjahr Monat 12'!A:A,0))=FALSE,INDEX('Ist Vorjahr Monat 12'!B:B,MATCH(D255,'Ist Vorjahr Monat 12'!A:A,0)),
"{Konto unbekannt}"
)))))))))))),"")</f>
        <v/>
      </c>
      <c r="C255" s="591"/>
      <c r="D255" s="590"/>
      <c r="E255" s="592">
        <f t="shared" si="105"/>
        <v>1</v>
      </c>
      <c r="F255" s="590"/>
      <c r="G255" s="593">
        <f ca="1">$E255*(-SUMIF(INDIRECT(G$3),'Struktur Vorjahr'!$D255,INDIRECT(G$4))+SUMIF(INDIRECT(G$3),'Struktur Vorjahr'!$D255,INDIRECT(G$5)))</f>
        <v>0</v>
      </c>
      <c r="H255" s="593">
        <f ca="1">$E255*(-SUMIF(INDIRECT(H$3),'Struktur Vorjahr'!$D255,INDIRECT(H$4))+SUMIF(INDIRECT(H$3),'Struktur Vorjahr'!$D255,INDIRECT(H$5)))</f>
        <v>0</v>
      </c>
      <c r="I255" s="593">
        <f ca="1">$E255*(-SUMIF(INDIRECT(I$3),'Struktur Vorjahr'!$D255,INDIRECT(I$4))+SUMIF(INDIRECT(I$3),'Struktur Vorjahr'!$D255,INDIRECT(I$5)))</f>
        <v>0</v>
      </c>
      <c r="J255" s="593">
        <f ca="1">$E255*(-SUMIF(INDIRECT(J$3),'Struktur Vorjahr'!$D255,INDIRECT(J$4))+SUMIF(INDIRECT(J$3),'Struktur Vorjahr'!$D255,INDIRECT(J$5)))</f>
        <v>0</v>
      </c>
      <c r="K255" s="593">
        <f ca="1">$E255*(-SUMIF(INDIRECT(K$3),'Struktur Vorjahr'!$D255,INDIRECT(K$4))+SUMIF(INDIRECT(K$3),'Struktur Vorjahr'!$D255,INDIRECT(K$5)))</f>
        <v>0</v>
      </c>
      <c r="L255" s="593">
        <f ca="1">$E255*(-SUMIF(INDIRECT(L$3),'Struktur Vorjahr'!$D255,INDIRECT(L$4))+SUMIF(INDIRECT(L$3),'Struktur Vorjahr'!$D255,INDIRECT(L$5)))</f>
        <v>0</v>
      </c>
      <c r="M255" s="593">
        <f ca="1">$E255*(-SUMIF(INDIRECT(M$3),'Struktur Vorjahr'!$D255,INDIRECT(M$4))+SUMIF(INDIRECT(M$3),'Struktur Vorjahr'!$D255,INDIRECT(M$5)))</f>
        <v>0</v>
      </c>
      <c r="N255" s="593">
        <f ca="1">$E255*(-SUMIF(INDIRECT(N$3),'Struktur Vorjahr'!$D255,INDIRECT(N$4))+SUMIF(INDIRECT(N$3),'Struktur Vorjahr'!$D255,INDIRECT(N$5)))</f>
        <v>0</v>
      </c>
      <c r="O255" s="593">
        <f ca="1">$E255*(-SUMIF(INDIRECT(O$3),'Struktur Vorjahr'!$D255,INDIRECT(O$4))+SUMIF(INDIRECT(O$3),'Struktur Vorjahr'!$D255,INDIRECT(O$5)))</f>
        <v>0</v>
      </c>
      <c r="P255" s="593">
        <f ca="1">$E255*(-SUMIF(INDIRECT(P$3),'Struktur Vorjahr'!$D255,INDIRECT(P$4))+SUMIF(INDIRECT(P$3),'Struktur Vorjahr'!$D255,INDIRECT(P$5)))</f>
        <v>0</v>
      </c>
      <c r="Q255" s="593">
        <f ca="1">$E255*(-SUMIF(INDIRECT(Q$3),'Struktur Vorjahr'!$D255,INDIRECT(Q$4))+SUMIF(INDIRECT(Q$3),'Struktur Vorjahr'!$D255,INDIRECT(Q$5)))</f>
        <v>0</v>
      </c>
      <c r="R255" s="593">
        <f ca="1">$E255*(-SUMIF(INDIRECT(R$3),'Struktur Vorjahr'!$D255,INDIRECT(R$4))+SUMIF(INDIRECT(R$3),'Struktur Vorjahr'!$D255,INDIRECT(R$5)))</f>
        <v>0</v>
      </c>
      <c r="S255" s="593">
        <f ca="1">$E255*(-SUMIF(INDIRECT(S$3),'Struktur Vorjahr'!$D255,INDIRECT(S$4))+SUMIF(INDIRECT(S$3),'Struktur Vorjahr'!$D255,INDIRECT(S$5)))</f>
        <v>0</v>
      </c>
      <c r="T255" s="593">
        <f ca="1">$E255*(-SUMIF(INDIRECT(T$3),'Struktur Vorjahr'!$D255,INDIRECT(T$4))+SUMIF(INDIRECT(T$3),'Struktur Vorjahr'!$D255,INDIRECT(T$5)))</f>
        <v>0</v>
      </c>
      <c r="U255" s="593">
        <f ca="1">$E255*(-SUMIF(INDIRECT(U$3),'Struktur Vorjahr'!$D255,INDIRECT(U$4))+SUMIF(INDIRECT(U$3),'Struktur Vorjahr'!$D255,INDIRECT(U$5)))</f>
        <v>0</v>
      </c>
      <c r="V255" s="593">
        <f ca="1">$E255*(-SUMIF(INDIRECT(V$3),'Struktur Vorjahr'!$D255,INDIRECT(V$4))+SUMIF(INDIRECT(V$3),'Struktur Vorjahr'!$D255,INDIRECT(V$5)))</f>
        <v>0</v>
      </c>
      <c r="W255" s="593">
        <f ca="1">$E255*(-SUMIF(INDIRECT(W$3),'Struktur Vorjahr'!$D255,INDIRECT(W$4))+SUMIF(INDIRECT(W$3),'Struktur Vorjahr'!$D255,INDIRECT(W$5)))</f>
        <v>0</v>
      </c>
      <c r="X255" s="593">
        <f ca="1">$E255*(-SUMIF(INDIRECT(X$3),'Struktur Vorjahr'!$D255,INDIRECT(X$4))+SUMIF(INDIRECT(X$3),'Struktur Vorjahr'!$D255,INDIRECT(X$5)))</f>
        <v>0</v>
      </c>
      <c r="Y255" s="593">
        <f ca="1">$E255*(-SUMIF(INDIRECT(Y$3),'Struktur Vorjahr'!$D255,INDIRECT(Y$4))+SUMIF(INDIRECT(Y$3),'Struktur Vorjahr'!$D255,INDIRECT(Y$5)))</f>
        <v>0</v>
      </c>
      <c r="Z255" s="593">
        <f ca="1">$E255*(-SUMIF(INDIRECT(Z$3),'Struktur Vorjahr'!$D255,INDIRECT(Z$4))+SUMIF(INDIRECT(Z$3),'Struktur Vorjahr'!$D255,INDIRECT(Z$5)))</f>
        <v>0</v>
      </c>
      <c r="AA255" s="593">
        <f ca="1">$E255*(-SUMIF(INDIRECT(AA$3),'Struktur Vorjahr'!$D255,INDIRECT(AA$4))+SUMIF(INDIRECT(AA$3),'Struktur Vorjahr'!$D255,INDIRECT(AA$5)))</f>
        <v>0</v>
      </c>
      <c r="AB255" s="593">
        <f ca="1">$E255*(-SUMIF(INDIRECT(AB$3),'Struktur Vorjahr'!$D255,INDIRECT(AB$4))+SUMIF(INDIRECT(AB$3),'Struktur Vorjahr'!$D255,INDIRECT(AB$5)))</f>
        <v>0</v>
      </c>
      <c r="AC255" s="593">
        <f ca="1">$E255*(-SUMIF(INDIRECT(AC$3),'Struktur Vorjahr'!$D255,INDIRECT(AC$4))+SUMIF(INDIRECT(AC$3),'Struktur Vorjahr'!$D255,INDIRECT(AC$5)))</f>
        <v>0</v>
      </c>
      <c r="AD255" s="593">
        <f ca="1">$E255*(-SUMIF(INDIRECT(AD$3),'Struktur Vorjahr'!$D255,INDIRECT(AD$4))+SUMIF(INDIRECT(AD$3),'Struktur Vorjahr'!$D255,INDIRECT(AD$5)))</f>
        <v>0</v>
      </c>
      <c r="AE255" s="593">
        <f t="shared" ca="1" si="113"/>
        <v>0</v>
      </c>
      <c r="AF255" s="593">
        <f t="shared" ca="1" si="114"/>
        <v>0</v>
      </c>
      <c r="AG255" s="593">
        <f t="shared" ca="1" si="114"/>
        <v>0</v>
      </c>
      <c r="AH255" s="593">
        <f t="shared" ca="1" si="114"/>
        <v>0</v>
      </c>
      <c r="AI255" s="593">
        <f t="shared" ca="1" si="114"/>
        <v>0</v>
      </c>
      <c r="AJ255" s="593">
        <f t="shared" ca="1" si="114"/>
        <v>0</v>
      </c>
      <c r="AK255" s="593">
        <f t="shared" ca="1" si="114"/>
        <v>0</v>
      </c>
      <c r="AL255" s="593">
        <f t="shared" ca="1" si="114"/>
        <v>0</v>
      </c>
      <c r="AM255" s="593">
        <f t="shared" ca="1" si="114"/>
        <v>0</v>
      </c>
      <c r="AN255" s="593">
        <f t="shared" ca="1" si="114"/>
        <v>0</v>
      </c>
      <c r="AO255" s="593">
        <f t="shared" ca="1" si="114"/>
        <v>0</v>
      </c>
      <c r="AP255" s="593">
        <f t="shared" ca="1" si="114"/>
        <v>0</v>
      </c>
    </row>
    <row r="256" spans="1:42" s="589" customFormat="1" x14ac:dyDescent="0.2">
      <c r="A256" s="585">
        <v>23</v>
      </c>
      <c r="B256" s="586" t="s">
        <v>370</v>
      </c>
      <c r="C256" s="587">
        <f ca="1">SUM(G256:R256)</f>
        <v>5135.9100000000008</v>
      </c>
      <c r="D256" s="587"/>
      <c r="E256" s="588">
        <f t="shared" si="105"/>
        <v>1</v>
      </c>
      <c r="F256" s="585"/>
      <c r="G256" s="587">
        <f t="shared" ref="G256:AP256" ca="1" si="115">SUM(G257:G266)</f>
        <v>0</v>
      </c>
      <c r="H256" s="587">
        <f t="shared" ca="1" si="115"/>
        <v>530.53</v>
      </c>
      <c r="I256" s="587">
        <f t="shared" ca="1" si="115"/>
        <v>211.6</v>
      </c>
      <c r="J256" s="587">
        <f t="shared" ca="1" si="115"/>
        <v>223</v>
      </c>
      <c r="K256" s="587">
        <f t="shared" ca="1" si="115"/>
        <v>2491.34</v>
      </c>
      <c r="L256" s="587">
        <f t="shared" ca="1" si="115"/>
        <v>620.01</v>
      </c>
      <c r="M256" s="587">
        <f t="shared" ca="1" si="115"/>
        <v>318.08000000000004</v>
      </c>
      <c r="N256" s="587">
        <f t="shared" ca="1" si="115"/>
        <v>158</v>
      </c>
      <c r="O256" s="587">
        <f t="shared" ca="1" si="115"/>
        <v>433.35</v>
      </c>
      <c r="P256" s="587">
        <f t="shared" ca="1" si="115"/>
        <v>150</v>
      </c>
      <c r="Q256" s="587">
        <f t="shared" ca="1" si="115"/>
        <v>0</v>
      </c>
      <c r="R256" s="587">
        <f t="shared" ca="1" si="115"/>
        <v>0</v>
      </c>
      <c r="S256" s="587">
        <f t="shared" ca="1" si="115"/>
        <v>0</v>
      </c>
      <c r="T256" s="587">
        <f t="shared" ca="1" si="115"/>
        <v>530.53</v>
      </c>
      <c r="U256" s="587">
        <f t="shared" ca="1" si="115"/>
        <v>742.13</v>
      </c>
      <c r="V256" s="587">
        <f t="shared" ca="1" si="115"/>
        <v>965.13</v>
      </c>
      <c r="W256" s="587">
        <f t="shared" ca="1" si="115"/>
        <v>3456.4700000000003</v>
      </c>
      <c r="X256" s="587">
        <f t="shared" ca="1" si="115"/>
        <v>4076.48</v>
      </c>
      <c r="Y256" s="587">
        <f t="shared" ca="1" si="115"/>
        <v>4394.5599999999995</v>
      </c>
      <c r="Z256" s="587">
        <f t="shared" ca="1" si="115"/>
        <v>4552.5599999999995</v>
      </c>
      <c r="AA256" s="587">
        <f t="shared" ca="1" si="115"/>
        <v>4985.91</v>
      </c>
      <c r="AB256" s="587">
        <f t="shared" ca="1" si="115"/>
        <v>5135.91</v>
      </c>
      <c r="AC256" s="587">
        <f t="shared" ca="1" si="115"/>
        <v>0</v>
      </c>
      <c r="AD256" s="587">
        <f t="shared" ca="1" si="115"/>
        <v>0</v>
      </c>
      <c r="AE256" s="587">
        <f t="shared" ca="1" si="115"/>
        <v>0</v>
      </c>
      <c r="AF256" s="587">
        <f t="shared" ca="1" si="115"/>
        <v>530.53</v>
      </c>
      <c r="AG256" s="587">
        <f t="shared" ca="1" si="115"/>
        <v>742.13</v>
      </c>
      <c r="AH256" s="587">
        <f t="shared" ca="1" si="115"/>
        <v>965.13</v>
      </c>
      <c r="AI256" s="587">
        <f t="shared" ca="1" si="115"/>
        <v>3456.4700000000003</v>
      </c>
      <c r="AJ256" s="587">
        <f t="shared" ca="1" si="115"/>
        <v>4076.48</v>
      </c>
      <c r="AK256" s="587">
        <f t="shared" ca="1" si="115"/>
        <v>4394.5599999999995</v>
      </c>
      <c r="AL256" s="587">
        <f t="shared" ca="1" si="115"/>
        <v>4552.5599999999995</v>
      </c>
      <c r="AM256" s="587">
        <f t="shared" ca="1" si="115"/>
        <v>4985.91</v>
      </c>
      <c r="AN256" s="587">
        <f t="shared" ca="1" si="115"/>
        <v>5135.91</v>
      </c>
      <c r="AO256" s="587">
        <f t="shared" ca="1" si="115"/>
        <v>5135.91</v>
      </c>
      <c r="AP256" s="587">
        <f t="shared" ca="1" si="115"/>
        <v>5135.91</v>
      </c>
    </row>
    <row r="257" spans="1:42" s="594" customFormat="1" ht="11.25" outlineLevel="1" x14ac:dyDescent="0.2">
      <c r="A257" s="590"/>
      <c r="B257" s="591" t="str">
        <f>IF(D257&lt;&gt;"",
IF(ISERROR(MATCH(D257,'Ist Vorjahr Monat 01'!A:A,0))=FALSE,INDEX('Ist Vorjahr Monat 01'!B:B,MATCH(D257,'Ist Vorjahr Monat 01'!A:A,0)),
IF(ISERROR(MATCH(D257,'Ist Vorjahr Monat 02'!A:A,0))=FALSE,INDEX('Ist Vorjahr Monat 02'!B:B,MATCH(D257,'Ist Vorjahr Monat 02'!A:A,0)),
IF(ISERROR(MATCH(D257,'Ist Vorjahr Monat 03'!A:A,0))=FALSE,INDEX('Ist Vorjahr Monat 03'!B:B,MATCH(D257,'Ist Vorjahr Monat 03'!A:A,0)),
IF(ISERROR(MATCH(D257,'Ist Vorjahr Monat 04'!A:A,0))=FALSE,INDEX('Ist Vorjahr Monat 04'!B:B,MATCH(D257,'Ist Vorjahr Monat 04'!A:A,0)),
IF(ISERROR(MATCH(D257,'Ist Vorjahr Monat 05'!A:A,0))=FALSE,INDEX('Ist Vorjahr Monat 05'!B:B,MATCH(D257,'Ist Vorjahr Monat 05'!A:A,0)),
IF(ISERROR(MATCH(D257,'Ist Vorjahr Monat 06'!A:A,0))=FALSE,INDEX('Ist Vorjahr Monat 06'!B:B,MATCH(D257,'Ist Vorjahr Monat 06'!A:A,0)),
IF(ISERROR(MATCH(D257,'Ist Vorjahr Monat 07'!A:A,0))=FALSE,INDEX('Ist Vorjahr Monat 07'!B:B,MATCH(D257,'Ist Vorjahr Monat 07'!A:A,0)),
IF(ISERROR(MATCH(D257,'Ist Vorjahr Monat 08'!A:A,0))=FALSE,INDEX('Ist Vorjahr Monat 08'!B:B,MATCH(D257,'Ist Vorjahr Monat 08'!A:A,0)),
IF(ISERROR(MATCH(D257,'Ist Vorjahr Monat 09'!A:A,0))=FALSE,INDEX('Ist Vorjahr Monat 09'!B:B,MATCH(D257,'Ist Vorjahr Monat 09'!A:A,0)),
IF(ISERROR(MATCH(D257,'Ist Vorjahr Monat 10'!A:A,0))=FALSE,INDEX('Ist Vorjahr Monat 10'!B:B,MATCH(D257,'Ist Vorjahr Monat 10'!A:A,0)),
IF(ISERROR(MATCH(D257,'Ist Vorjahr Monat 11'!A:A,0))=FALSE,INDEX('Ist Vorjahr Monat 11'!B:B,MATCH(D257,'Ist Vorjahr Monat 11'!A:A,0)),
IF(ISERROR(MATCH(D257,'Ist Vorjahr Monat 12'!A:A,0))=FALSE,INDEX('Ist Vorjahr Monat 12'!B:B,MATCH(D257,'Ist Vorjahr Monat 12'!A:A,0)),
"{Konto unbekannt}"
)))))))))))),"")</f>
        <v>Fortbildungskosten</v>
      </c>
      <c r="C257" s="591"/>
      <c r="D257" s="590">
        <v>4945</v>
      </c>
      <c r="E257" s="592">
        <f t="shared" si="105"/>
        <v>1</v>
      </c>
      <c r="F257" s="590"/>
      <c r="G257" s="593">
        <f ca="1">$E257*(-SUMIF(INDIRECT(G$3),'Struktur Vorjahr'!$D257,INDIRECT(G$4))+SUMIF(INDIRECT(G$3),'Struktur Vorjahr'!$D257,INDIRECT(G$5)))</f>
        <v>0</v>
      </c>
      <c r="H257" s="593">
        <f ca="1">$E257*(-SUMIF(INDIRECT(H$3),'Struktur Vorjahr'!$D257,INDIRECT(H$4))+SUMIF(INDIRECT(H$3),'Struktur Vorjahr'!$D257,INDIRECT(H$5)))</f>
        <v>146.25</v>
      </c>
      <c r="I257" s="593">
        <f ca="1">$E257*(-SUMIF(INDIRECT(I$3),'Struktur Vorjahr'!$D257,INDIRECT(I$4))+SUMIF(INDIRECT(I$3),'Struktur Vorjahr'!$D257,INDIRECT(I$5)))</f>
        <v>90</v>
      </c>
      <c r="J257" s="593">
        <f ca="1">$E257*(-SUMIF(INDIRECT(J$3),'Struktur Vorjahr'!$D257,INDIRECT(J$4))+SUMIF(INDIRECT(J$3),'Struktur Vorjahr'!$D257,INDIRECT(J$5)))</f>
        <v>223</v>
      </c>
      <c r="K257" s="593">
        <f ca="1">$E257*(-SUMIF(INDIRECT(K$3),'Struktur Vorjahr'!$D257,INDIRECT(K$4))+SUMIF(INDIRECT(K$3),'Struktur Vorjahr'!$D257,INDIRECT(K$5)))</f>
        <v>120</v>
      </c>
      <c r="L257" s="593">
        <f ca="1">$E257*(-SUMIF(INDIRECT(L$3),'Struktur Vorjahr'!$D257,INDIRECT(L$4))+SUMIF(INDIRECT(L$3),'Struktur Vorjahr'!$D257,INDIRECT(L$5)))</f>
        <v>71.209999999999994</v>
      </c>
      <c r="M257" s="593">
        <f ca="1">$E257*(-SUMIF(INDIRECT(M$3),'Struktur Vorjahr'!$D257,INDIRECT(M$4))+SUMIF(INDIRECT(M$3),'Struktur Vorjahr'!$D257,INDIRECT(M$5)))</f>
        <v>0</v>
      </c>
      <c r="N257" s="593">
        <f ca="1">$E257*(-SUMIF(INDIRECT(N$3),'Struktur Vorjahr'!$D257,INDIRECT(N$4))+SUMIF(INDIRECT(N$3),'Struktur Vorjahr'!$D257,INDIRECT(N$5)))</f>
        <v>0</v>
      </c>
      <c r="O257" s="593">
        <f ca="1">$E257*(-SUMIF(INDIRECT(O$3),'Struktur Vorjahr'!$D257,INDIRECT(O$4))+SUMIF(INDIRECT(O$3),'Struktur Vorjahr'!$D257,INDIRECT(O$5)))</f>
        <v>0</v>
      </c>
      <c r="P257" s="593">
        <f ca="1">$E257*(-SUMIF(INDIRECT(P$3),'Struktur Vorjahr'!$D257,INDIRECT(P$4))+SUMIF(INDIRECT(P$3),'Struktur Vorjahr'!$D257,INDIRECT(P$5)))</f>
        <v>55</v>
      </c>
      <c r="Q257" s="593">
        <f ca="1">$E257*(-SUMIF(INDIRECT(Q$3),'Struktur Vorjahr'!$D257,INDIRECT(Q$4))+SUMIF(INDIRECT(Q$3),'Struktur Vorjahr'!$D257,INDIRECT(Q$5)))</f>
        <v>0</v>
      </c>
      <c r="R257" s="593">
        <f ca="1">$E257*(-SUMIF(INDIRECT(R$3),'Struktur Vorjahr'!$D257,INDIRECT(R$4))+SUMIF(INDIRECT(R$3),'Struktur Vorjahr'!$D257,INDIRECT(R$5)))</f>
        <v>0</v>
      </c>
      <c r="S257" s="593">
        <f ca="1">$E257*(-SUMIF(INDIRECT(S$3),'Struktur Vorjahr'!$D257,INDIRECT(S$4))+SUMIF(INDIRECT(S$3),'Struktur Vorjahr'!$D257,INDIRECT(S$5)))</f>
        <v>0</v>
      </c>
      <c r="T257" s="593">
        <f ca="1">$E257*(-SUMIF(INDIRECT(T$3),'Struktur Vorjahr'!$D257,INDIRECT(T$4))+SUMIF(INDIRECT(T$3),'Struktur Vorjahr'!$D257,INDIRECT(T$5)))</f>
        <v>146.25</v>
      </c>
      <c r="U257" s="593">
        <f ca="1">$E257*(-SUMIF(INDIRECT(U$3),'Struktur Vorjahr'!$D257,INDIRECT(U$4))+SUMIF(INDIRECT(U$3),'Struktur Vorjahr'!$D257,INDIRECT(U$5)))</f>
        <v>236.25</v>
      </c>
      <c r="V257" s="593">
        <f ca="1">$E257*(-SUMIF(INDIRECT(V$3),'Struktur Vorjahr'!$D257,INDIRECT(V$4))+SUMIF(INDIRECT(V$3),'Struktur Vorjahr'!$D257,INDIRECT(V$5)))</f>
        <v>459.25</v>
      </c>
      <c r="W257" s="593">
        <f ca="1">$E257*(-SUMIF(INDIRECT(W$3),'Struktur Vorjahr'!$D257,INDIRECT(W$4))+SUMIF(INDIRECT(W$3),'Struktur Vorjahr'!$D257,INDIRECT(W$5)))</f>
        <v>579.25</v>
      </c>
      <c r="X257" s="593">
        <f ca="1">$E257*(-SUMIF(INDIRECT(X$3),'Struktur Vorjahr'!$D257,INDIRECT(X$4))+SUMIF(INDIRECT(X$3),'Struktur Vorjahr'!$D257,INDIRECT(X$5)))</f>
        <v>650.46</v>
      </c>
      <c r="Y257" s="593">
        <f ca="1">$E257*(-SUMIF(INDIRECT(Y$3),'Struktur Vorjahr'!$D257,INDIRECT(Y$4))+SUMIF(INDIRECT(Y$3),'Struktur Vorjahr'!$D257,INDIRECT(Y$5)))</f>
        <v>650.46</v>
      </c>
      <c r="Z257" s="593">
        <f ca="1">$E257*(-SUMIF(INDIRECT(Z$3),'Struktur Vorjahr'!$D257,INDIRECT(Z$4))+SUMIF(INDIRECT(Z$3),'Struktur Vorjahr'!$D257,INDIRECT(Z$5)))</f>
        <v>650.46</v>
      </c>
      <c r="AA257" s="593">
        <f ca="1">$E257*(-SUMIF(INDIRECT(AA$3),'Struktur Vorjahr'!$D257,INDIRECT(AA$4))+SUMIF(INDIRECT(AA$3),'Struktur Vorjahr'!$D257,INDIRECT(AA$5)))</f>
        <v>650.46</v>
      </c>
      <c r="AB257" s="593">
        <f ca="1">$E257*(-SUMIF(INDIRECT(AB$3),'Struktur Vorjahr'!$D257,INDIRECT(AB$4))+SUMIF(INDIRECT(AB$3),'Struktur Vorjahr'!$D257,INDIRECT(AB$5)))</f>
        <v>705.46</v>
      </c>
      <c r="AC257" s="593">
        <f ca="1">$E257*(-SUMIF(INDIRECT(AC$3),'Struktur Vorjahr'!$D257,INDIRECT(AC$4))+SUMIF(INDIRECT(AC$3),'Struktur Vorjahr'!$D257,INDIRECT(AC$5)))</f>
        <v>0</v>
      </c>
      <c r="AD257" s="593">
        <f ca="1">$E257*(-SUMIF(INDIRECT(AD$3),'Struktur Vorjahr'!$D257,INDIRECT(AD$4))+SUMIF(INDIRECT(AD$3),'Struktur Vorjahr'!$D257,INDIRECT(AD$5)))</f>
        <v>0</v>
      </c>
      <c r="AE257" s="593">
        <f t="shared" ref="AE257:AE266" ca="1" si="116">G257</f>
        <v>0</v>
      </c>
      <c r="AF257" s="593">
        <f t="shared" ref="AF257:AP266" ca="1" si="117">H257+AE257</f>
        <v>146.25</v>
      </c>
      <c r="AG257" s="593">
        <f t="shared" ca="1" si="117"/>
        <v>236.25</v>
      </c>
      <c r="AH257" s="593">
        <f t="shared" ca="1" si="117"/>
        <v>459.25</v>
      </c>
      <c r="AI257" s="593">
        <f t="shared" ca="1" si="117"/>
        <v>579.25</v>
      </c>
      <c r="AJ257" s="593">
        <f t="shared" ca="1" si="117"/>
        <v>650.46</v>
      </c>
      <c r="AK257" s="593">
        <f t="shared" ca="1" si="117"/>
        <v>650.46</v>
      </c>
      <c r="AL257" s="593">
        <f t="shared" ca="1" si="117"/>
        <v>650.46</v>
      </c>
      <c r="AM257" s="593">
        <f t="shared" ca="1" si="117"/>
        <v>650.46</v>
      </c>
      <c r="AN257" s="593">
        <f t="shared" ca="1" si="117"/>
        <v>705.46</v>
      </c>
      <c r="AO257" s="593">
        <f t="shared" ca="1" si="117"/>
        <v>705.46</v>
      </c>
      <c r="AP257" s="593">
        <f t="shared" ca="1" si="117"/>
        <v>705.46</v>
      </c>
    </row>
    <row r="258" spans="1:42" s="594" customFormat="1" ht="11.25" outlineLevel="1" x14ac:dyDescent="0.2">
      <c r="A258" s="590"/>
      <c r="B258" s="591" t="str">
        <f>IF(D258&lt;&gt;"",
IF(ISERROR(MATCH(D258,'Ist Vorjahr Monat 01'!A:A,0))=FALSE,INDEX('Ist Vorjahr Monat 01'!B:B,MATCH(D258,'Ist Vorjahr Monat 01'!A:A,0)),
IF(ISERROR(MATCH(D258,'Ist Vorjahr Monat 02'!A:A,0))=FALSE,INDEX('Ist Vorjahr Monat 02'!B:B,MATCH(D258,'Ist Vorjahr Monat 02'!A:A,0)),
IF(ISERROR(MATCH(D258,'Ist Vorjahr Monat 03'!A:A,0))=FALSE,INDEX('Ist Vorjahr Monat 03'!B:B,MATCH(D258,'Ist Vorjahr Monat 03'!A:A,0)),
IF(ISERROR(MATCH(D258,'Ist Vorjahr Monat 04'!A:A,0))=FALSE,INDEX('Ist Vorjahr Monat 04'!B:B,MATCH(D258,'Ist Vorjahr Monat 04'!A:A,0)),
IF(ISERROR(MATCH(D258,'Ist Vorjahr Monat 05'!A:A,0))=FALSE,INDEX('Ist Vorjahr Monat 05'!B:B,MATCH(D258,'Ist Vorjahr Monat 05'!A:A,0)),
IF(ISERROR(MATCH(D258,'Ist Vorjahr Monat 06'!A:A,0))=FALSE,INDEX('Ist Vorjahr Monat 06'!B:B,MATCH(D258,'Ist Vorjahr Monat 06'!A:A,0)),
IF(ISERROR(MATCH(D258,'Ist Vorjahr Monat 07'!A:A,0))=FALSE,INDEX('Ist Vorjahr Monat 07'!B:B,MATCH(D258,'Ist Vorjahr Monat 07'!A:A,0)),
IF(ISERROR(MATCH(D258,'Ist Vorjahr Monat 08'!A:A,0))=FALSE,INDEX('Ist Vorjahr Monat 08'!B:B,MATCH(D258,'Ist Vorjahr Monat 08'!A:A,0)),
IF(ISERROR(MATCH(D258,'Ist Vorjahr Monat 09'!A:A,0))=FALSE,INDEX('Ist Vorjahr Monat 09'!B:B,MATCH(D258,'Ist Vorjahr Monat 09'!A:A,0)),
IF(ISERROR(MATCH(D258,'Ist Vorjahr Monat 10'!A:A,0))=FALSE,INDEX('Ist Vorjahr Monat 10'!B:B,MATCH(D258,'Ist Vorjahr Monat 10'!A:A,0)),
IF(ISERROR(MATCH(D258,'Ist Vorjahr Monat 11'!A:A,0))=FALSE,INDEX('Ist Vorjahr Monat 11'!B:B,MATCH(D258,'Ist Vorjahr Monat 11'!A:A,0)),
IF(ISERROR(MATCH(D258,'Ist Vorjahr Monat 12'!A:A,0))=FALSE,INDEX('Ist Vorjahr Monat 12'!B:B,MATCH(D258,'Ist Vorjahr Monat 12'!A:A,0)),
"{Konto unbekannt}"
)))))))))))),"")</f>
        <v>Rechts- und Beratungskosten</v>
      </c>
      <c r="C258" s="591"/>
      <c r="D258" s="590">
        <v>4950</v>
      </c>
      <c r="E258" s="592">
        <f t="shared" si="105"/>
        <v>1</v>
      </c>
      <c r="F258" s="590"/>
      <c r="G258" s="593">
        <f ca="1">$E258*(-SUMIF(INDIRECT(G$3),'Struktur Vorjahr'!$D258,INDIRECT(G$4))+SUMIF(INDIRECT(G$3),'Struktur Vorjahr'!$D258,INDIRECT(G$5)))</f>
        <v>0</v>
      </c>
      <c r="H258" s="593">
        <f ca="1">$E258*(-SUMIF(INDIRECT(H$3),'Struktur Vorjahr'!$D258,INDIRECT(H$4))+SUMIF(INDIRECT(H$3),'Struktur Vorjahr'!$D258,INDIRECT(H$5)))</f>
        <v>237.36</v>
      </c>
      <c r="I258" s="593">
        <f ca="1">$E258*(-SUMIF(INDIRECT(I$3),'Struktur Vorjahr'!$D258,INDIRECT(I$4))+SUMIF(INDIRECT(I$3),'Struktur Vorjahr'!$D258,INDIRECT(I$5)))</f>
        <v>0</v>
      </c>
      <c r="J258" s="593">
        <f ca="1">$E258*(-SUMIF(INDIRECT(J$3),'Struktur Vorjahr'!$D258,INDIRECT(J$4))+SUMIF(INDIRECT(J$3),'Struktur Vorjahr'!$D258,INDIRECT(J$5)))</f>
        <v>0</v>
      </c>
      <c r="K258" s="593">
        <f ca="1">$E258*(-SUMIF(INDIRECT(K$3),'Struktur Vorjahr'!$D258,INDIRECT(K$4))+SUMIF(INDIRECT(K$3),'Struktur Vorjahr'!$D258,INDIRECT(K$5)))</f>
        <v>95</v>
      </c>
      <c r="L258" s="593">
        <f ca="1">$E258*(-SUMIF(INDIRECT(L$3),'Struktur Vorjahr'!$D258,INDIRECT(L$4))+SUMIF(INDIRECT(L$3),'Struktur Vorjahr'!$D258,INDIRECT(L$5)))</f>
        <v>285.08999999999997</v>
      </c>
      <c r="M258" s="593">
        <f ca="1">$E258*(-SUMIF(INDIRECT(M$3),'Struktur Vorjahr'!$D258,INDIRECT(M$4))+SUMIF(INDIRECT(M$3),'Struktur Vorjahr'!$D258,INDIRECT(M$5)))</f>
        <v>95</v>
      </c>
      <c r="N258" s="593">
        <f ca="1">$E258*(-SUMIF(INDIRECT(N$3),'Struktur Vorjahr'!$D258,INDIRECT(N$4))+SUMIF(INDIRECT(N$3),'Struktur Vorjahr'!$D258,INDIRECT(N$5)))</f>
        <v>95</v>
      </c>
      <c r="O258" s="593">
        <f ca="1">$E258*(-SUMIF(INDIRECT(O$3),'Struktur Vorjahr'!$D258,INDIRECT(O$4))+SUMIF(INDIRECT(O$3),'Struktur Vorjahr'!$D258,INDIRECT(O$5)))</f>
        <v>155</v>
      </c>
      <c r="P258" s="593">
        <f ca="1">$E258*(-SUMIF(INDIRECT(P$3),'Struktur Vorjahr'!$D258,INDIRECT(P$4))+SUMIF(INDIRECT(P$3),'Struktur Vorjahr'!$D258,INDIRECT(P$5)))</f>
        <v>95</v>
      </c>
      <c r="Q258" s="593">
        <f ca="1">$E258*(-SUMIF(INDIRECT(Q$3),'Struktur Vorjahr'!$D258,INDIRECT(Q$4))+SUMIF(INDIRECT(Q$3),'Struktur Vorjahr'!$D258,INDIRECT(Q$5)))</f>
        <v>0</v>
      </c>
      <c r="R258" s="593">
        <f ca="1">$E258*(-SUMIF(INDIRECT(R$3),'Struktur Vorjahr'!$D258,INDIRECT(R$4))+SUMIF(INDIRECT(R$3),'Struktur Vorjahr'!$D258,INDIRECT(R$5)))</f>
        <v>0</v>
      </c>
      <c r="S258" s="593">
        <f ca="1">$E258*(-SUMIF(INDIRECT(S$3),'Struktur Vorjahr'!$D258,INDIRECT(S$4))+SUMIF(INDIRECT(S$3),'Struktur Vorjahr'!$D258,INDIRECT(S$5)))</f>
        <v>0</v>
      </c>
      <c r="T258" s="593">
        <f ca="1">$E258*(-SUMIF(INDIRECT(T$3),'Struktur Vorjahr'!$D258,INDIRECT(T$4))+SUMIF(INDIRECT(T$3),'Struktur Vorjahr'!$D258,INDIRECT(T$5)))</f>
        <v>237.36</v>
      </c>
      <c r="U258" s="593">
        <f ca="1">$E258*(-SUMIF(INDIRECT(U$3),'Struktur Vorjahr'!$D258,INDIRECT(U$4))+SUMIF(INDIRECT(U$3),'Struktur Vorjahr'!$D258,INDIRECT(U$5)))</f>
        <v>237.36</v>
      </c>
      <c r="V258" s="593">
        <f ca="1">$E258*(-SUMIF(INDIRECT(V$3),'Struktur Vorjahr'!$D258,INDIRECT(V$4))+SUMIF(INDIRECT(V$3),'Struktur Vorjahr'!$D258,INDIRECT(V$5)))</f>
        <v>237.36</v>
      </c>
      <c r="W258" s="593">
        <f ca="1">$E258*(-SUMIF(INDIRECT(W$3),'Struktur Vorjahr'!$D258,INDIRECT(W$4))+SUMIF(INDIRECT(W$3),'Struktur Vorjahr'!$D258,INDIRECT(W$5)))</f>
        <v>332.36</v>
      </c>
      <c r="X258" s="593">
        <f ca="1">$E258*(-SUMIF(INDIRECT(X$3),'Struktur Vorjahr'!$D258,INDIRECT(X$4))+SUMIF(INDIRECT(X$3),'Struktur Vorjahr'!$D258,INDIRECT(X$5)))</f>
        <v>617.45000000000005</v>
      </c>
      <c r="Y258" s="593">
        <f ca="1">$E258*(-SUMIF(INDIRECT(Y$3),'Struktur Vorjahr'!$D258,INDIRECT(Y$4))+SUMIF(INDIRECT(Y$3),'Struktur Vorjahr'!$D258,INDIRECT(Y$5)))</f>
        <v>712.45</v>
      </c>
      <c r="Z258" s="593">
        <f ca="1">$E258*(-SUMIF(INDIRECT(Z$3),'Struktur Vorjahr'!$D258,INDIRECT(Z$4))+SUMIF(INDIRECT(Z$3),'Struktur Vorjahr'!$D258,INDIRECT(Z$5)))</f>
        <v>807.45</v>
      </c>
      <c r="AA258" s="593">
        <f ca="1">$E258*(-SUMIF(INDIRECT(AA$3),'Struktur Vorjahr'!$D258,INDIRECT(AA$4))+SUMIF(INDIRECT(AA$3),'Struktur Vorjahr'!$D258,INDIRECT(AA$5)))</f>
        <v>962.45</v>
      </c>
      <c r="AB258" s="593">
        <f ca="1">$E258*(-SUMIF(INDIRECT(AB$3),'Struktur Vorjahr'!$D258,INDIRECT(AB$4))+SUMIF(INDIRECT(AB$3),'Struktur Vorjahr'!$D258,INDIRECT(AB$5)))</f>
        <v>1057.45</v>
      </c>
      <c r="AC258" s="593">
        <f ca="1">$E258*(-SUMIF(INDIRECT(AC$3),'Struktur Vorjahr'!$D258,INDIRECT(AC$4))+SUMIF(INDIRECT(AC$3),'Struktur Vorjahr'!$D258,INDIRECT(AC$5)))</f>
        <v>0</v>
      </c>
      <c r="AD258" s="593">
        <f ca="1">$E258*(-SUMIF(INDIRECT(AD$3),'Struktur Vorjahr'!$D258,INDIRECT(AD$4))+SUMIF(INDIRECT(AD$3),'Struktur Vorjahr'!$D258,INDIRECT(AD$5)))</f>
        <v>0</v>
      </c>
      <c r="AE258" s="593">
        <f t="shared" ca="1" si="116"/>
        <v>0</v>
      </c>
      <c r="AF258" s="593">
        <f t="shared" ca="1" si="117"/>
        <v>237.36</v>
      </c>
      <c r="AG258" s="593">
        <f t="shared" ca="1" si="117"/>
        <v>237.36</v>
      </c>
      <c r="AH258" s="593">
        <f t="shared" ca="1" si="117"/>
        <v>237.36</v>
      </c>
      <c r="AI258" s="593">
        <f t="shared" ca="1" si="117"/>
        <v>332.36</v>
      </c>
      <c r="AJ258" s="593">
        <f t="shared" ca="1" si="117"/>
        <v>617.45000000000005</v>
      </c>
      <c r="AK258" s="593">
        <f t="shared" ca="1" si="117"/>
        <v>712.45</v>
      </c>
      <c r="AL258" s="593">
        <f t="shared" ca="1" si="117"/>
        <v>807.45</v>
      </c>
      <c r="AM258" s="593">
        <f t="shared" ca="1" si="117"/>
        <v>962.45</v>
      </c>
      <c r="AN258" s="593">
        <f t="shared" ca="1" si="117"/>
        <v>1057.45</v>
      </c>
      <c r="AO258" s="593">
        <f t="shared" ca="1" si="117"/>
        <v>1057.45</v>
      </c>
      <c r="AP258" s="593">
        <f t="shared" ca="1" si="117"/>
        <v>1057.45</v>
      </c>
    </row>
    <row r="259" spans="1:42" s="594" customFormat="1" ht="11.25" outlineLevel="1" x14ac:dyDescent="0.2">
      <c r="A259" s="590"/>
      <c r="B259" s="591" t="str">
        <f>IF(D259&lt;&gt;"",
IF(ISERROR(MATCH(D259,'Ist Vorjahr Monat 01'!A:A,0))=FALSE,INDEX('Ist Vorjahr Monat 01'!B:B,MATCH(D259,'Ist Vorjahr Monat 01'!A:A,0)),
IF(ISERROR(MATCH(D259,'Ist Vorjahr Monat 02'!A:A,0))=FALSE,INDEX('Ist Vorjahr Monat 02'!B:B,MATCH(D259,'Ist Vorjahr Monat 02'!A:A,0)),
IF(ISERROR(MATCH(D259,'Ist Vorjahr Monat 03'!A:A,0))=FALSE,INDEX('Ist Vorjahr Monat 03'!B:B,MATCH(D259,'Ist Vorjahr Monat 03'!A:A,0)),
IF(ISERROR(MATCH(D259,'Ist Vorjahr Monat 04'!A:A,0))=FALSE,INDEX('Ist Vorjahr Monat 04'!B:B,MATCH(D259,'Ist Vorjahr Monat 04'!A:A,0)),
IF(ISERROR(MATCH(D259,'Ist Vorjahr Monat 05'!A:A,0))=FALSE,INDEX('Ist Vorjahr Monat 05'!B:B,MATCH(D259,'Ist Vorjahr Monat 05'!A:A,0)),
IF(ISERROR(MATCH(D259,'Ist Vorjahr Monat 06'!A:A,0))=FALSE,INDEX('Ist Vorjahr Monat 06'!B:B,MATCH(D259,'Ist Vorjahr Monat 06'!A:A,0)),
IF(ISERROR(MATCH(D259,'Ist Vorjahr Monat 07'!A:A,0))=FALSE,INDEX('Ist Vorjahr Monat 07'!B:B,MATCH(D259,'Ist Vorjahr Monat 07'!A:A,0)),
IF(ISERROR(MATCH(D259,'Ist Vorjahr Monat 08'!A:A,0))=FALSE,INDEX('Ist Vorjahr Monat 08'!B:B,MATCH(D259,'Ist Vorjahr Monat 08'!A:A,0)),
IF(ISERROR(MATCH(D259,'Ist Vorjahr Monat 09'!A:A,0))=FALSE,INDEX('Ist Vorjahr Monat 09'!B:B,MATCH(D259,'Ist Vorjahr Monat 09'!A:A,0)),
IF(ISERROR(MATCH(D259,'Ist Vorjahr Monat 10'!A:A,0))=FALSE,INDEX('Ist Vorjahr Monat 10'!B:B,MATCH(D259,'Ist Vorjahr Monat 10'!A:A,0)),
IF(ISERROR(MATCH(D259,'Ist Vorjahr Monat 11'!A:A,0))=FALSE,INDEX('Ist Vorjahr Monat 11'!B:B,MATCH(D259,'Ist Vorjahr Monat 11'!A:A,0)),
IF(ISERROR(MATCH(D259,'Ist Vorjahr Monat 12'!A:A,0))=FALSE,INDEX('Ist Vorjahr Monat 12'!B:B,MATCH(D259,'Ist Vorjahr Monat 12'!A:A,0)),
"{Konto unbekannt}"
)))))))))))),"")</f>
        <v>Buchführungs- und Lohnkosten</v>
      </c>
      <c r="C259" s="591"/>
      <c r="D259" s="590">
        <v>4955</v>
      </c>
      <c r="E259" s="592">
        <f t="shared" si="105"/>
        <v>1</v>
      </c>
      <c r="F259" s="590"/>
      <c r="G259" s="593">
        <f ca="1">$E259*(-SUMIF(INDIRECT(G$3),'Struktur Vorjahr'!$D259,INDIRECT(G$4))+SUMIF(INDIRECT(G$3),'Struktur Vorjahr'!$D259,INDIRECT(G$5)))</f>
        <v>0</v>
      </c>
      <c r="H259" s="593">
        <f ca="1">$E259*(-SUMIF(INDIRECT(H$3),'Struktur Vorjahr'!$D259,INDIRECT(H$4))+SUMIF(INDIRECT(H$3),'Struktur Vorjahr'!$D259,INDIRECT(H$5)))</f>
        <v>118.42</v>
      </c>
      <c r="I259" s="593">
        <f ca="1">$E259*(-SUMIF(INDIRECT(I$3),'Struktur Vorjahr'!$D259,INDIRECT(I$4))+SUMIF(INDIRECT(I$3),'Struktur Vorjahr'!$D259,INDIRECT(I$5)))</f>
        <v>121.6</v>
      </c>
      <c r="J259" s="593">
        <f ca="1">$E259*(-SUMIF(INDIRECT(J$3),'Struktur Vorjahr'!$D259,INDIRECT(J$4))+SUMIF(INDIRECT(J$3),'Struktur Vorjahr'!$D259,INDIRECT(J$5)))</f>
        <v>0</v>
      </c>
      <c r="K259" s="593">
        <f ca="1">$E259*(-SUMIF(INDIRECT(K$3),'Struktur Vorjahr'!$D259,INDIRECT(K$4))+SUMIF(INDIRECT(K$3),'Struktur Vorjahr'!$D259,INDIRECT(K$5)))</f>
        <v>126.34</v>
      </c>
      <c r="L259" s="593">
        <f ca="1">$E259*(-SUMIF(INDIRECT(L$3),'Struktur Vorjahr'!$D259,INDIRECT(L$4))+SUMIF(INDIRECT(L$3),'Struktur Vorjahr'!$D259,INDIRECT(L$5)))</f>
        <v>263.70999999999998</v>
      </c>
      <c r="M259" s="593">
        <f ca="1">$E259*(-SUMIF(INDIRECT(M$3),'Struktur Vorjahr'!$D259,INDIRECT(M$4))+SUMIF(INDIRECT(M$3),'Struktur Vorjahr'!$D259,INDIRECT(M$5)))</f>
        <v>223.08</v>
      </c>
      <c r="N259" s="593">
        <f ca="1">$E259*(-SUMIF(INDIRECT(N$3),'Struktur Vorjahr'!$D259,INDIRECT(N$4))+SUMIF(INDIRECT(N$3),'Struktur Vorjahr'!$D259,INDIRECT(N$5)))</f>
        <v>63</v>
      </c>
      <c r="O259" s="593">
        <f ca="1">$E259*(-SUMIF(INDIRECT(O$3),'Struktur Vorjahr'!$D259,INDIRECT(O$4))+SUMIF(INDIRECT(O$3),'Struktur Vorjahr'!$D259,INDIRECT(O$5)))</f>
        <v>278.35000000000002</v>
      </c>
      <c r="P259" s="593">
        <f ca="1">$E259*(-SUMIF(INDIRECT(P$3),'Struktur Vorjahr'!$D259,INDIRECT(P$4))+SUMIF(INDIRECT(P$3),'Struktur Vorjahr'!$D259,INDIRECT(P$5)))</f>
        <v>0</v>
      </c>
      <c r="Q259" s="593">
        <f ca="1">$E259*(-SUMIF(INDIRECT(Q$3),'Struktur Vorjahr'!$D259,INDIRECT(Q$4))+SUMIF(INDIRECT(Q$3),'Struktur Vorjahr'!$D259,INDIRECT(Q$5)))</f>
        <v>0</v>
      </c>
      <c r="R259" s="593">
        <f ca="1">$E259*(-SUMIF(INDIRECT(R$3),'Struktur Vorjahr'!$D259,INDIRECT(R$4))+SUMIF(INDIRECT(R$3),'Struktur Vorjahr'!$D259,INDIRECT(R$5)))</f>
        <v>0</v>
      </c>
      <c r="S259" s="593">
        <f ca="1">$E259*(-SUMIF(INDIRECT(S$3),'Struktur Vorjahr'!$D259,INDIRECT(S$4))+SUMIF(INDIRECT(S$3),'Struktur Vorjahr'!$D259,INDIRECT(S$5)))</f>
        <v>0</v>
      </c>
      <c r="T259" s="593">
        <f ca="1">$E259*(-SUMIF(INDIRECT(T$3),'Struktur Vorjahr'!$D259,INDIRECT(T$4))+SUMIF(INDIRECT(T$3),'Struktur Vorjahr'!$D259,INDIRECT(T$5)))</f>
        <v>118.42</v>
      </c>
      <c r="U259" s="593">
        <f ca="1">$E259*(-SUMIF(INDIRECT(U$3),'Struktur Vorjahr'!$D259,INDIRECT(U$4))+SUMIF(INDIRECT(U$3),'Struktur Vorjahr'!$D259,INDIRECT(U$5)))</f>
        <v>240.02</v>
      </c>
      <c r="V259" s="593">
        <f ca="1">$E259*(-SUMIF(INDIRECT(V$3),'Struktur Vorjahr'!$D259,INDIRECT(V$4))+SUMIF(INDIRECT(V$3),'Struktur Vorjahr'!$D259,INDIRECT(V$5)))</f>
        <v>240.02</v>
      </c>
      <c r="W259" s="593">
        <f ca="1">$E259*(-SUMIF(INDIRECT(W$3),'Struktur Vorjahr'!$D259,INDIRECT(W$4))+SUMIF(INDIRECT(W$3),'Struktur Vorjahr'!$D259,INDIRECT(W$5)))</f>
        <v>366.36</v>
      </c>
      <c r="X259" s="593">
        <f ca="1">$E259*(-SUMIF(INDIRECT(X$3),'Struktur Vorjahr'!$D259,INDIRECT(X$4))+SUMIF(INDIRECT(X$3),'Struktur Vorjahr'!$D259,INDIRECT(X$5)))</f>
        <v>630.07000000000005</v>
      </c>
      <c r="Y259" s="593">
        <f ca="1">$E259*(-SUMIF(INDIRECT(Y$3),'Struktur Vorjahr'!$D259,INDIRECT(Y$4))+SUMIF(INDIRECT(Y$3),'Struktur Vorjahr'!$D259,INDIRECT(Y$5)))</f>
        <v>853.15</v>
      </c>
      <c r="Z259" s="593">
        <f ca="1">$E259*(-SUMIF(INDIRECT(Z$3),'Struktur Vorjahr'!$D259,INDIRECT(Z$4))+SUMIF(INDIRECT(Z$3),'Struktur Vorjahr'!$D259,INDIRECT(Z$5)))</f>
        <v>916.15</v>
      </c>
      <c r="AA259" s="593">
        <f ca="1">$E259*(-SUMIF(INDIRECT(AA$3),'Struktur Vorjahr'!$D259,INDIRECT(AA$4))+SUMIF(INDIRECT(AA$3),'Struktur Vorjahr'!$D259,INDIRECT(AA$5)))</f>
        <v>1194.5</v>
      </c>
      <c r="AB259" s="593">
        <f ca="1">$E259*(-SUMIF(INDIRECT(AB$3),'Struktur Vorjahr'!$D259,INDIRECT(AB$4))+SUMIF(INDIRECT(AB$3),'Struktur Vorjahr'!$D259,INDIRECT(AB$5)))</f>
        <v>1194.5</v>
      </c>
      <c r="AC259" s="593">
        <f ca="1">$E259*(-SUMIF(INDIRECT(AC$3),'Struktur Vorjahr'!$D259,INDIRECT(AC$4))+SUMIF(INDIRECT(AC$3),'Struktur Vorjahr'!$D259,INDIRECT(AC$5)))</f>
        <v>0</v>
      </c>
      <c r="AD259" s="593">
        <f ca="1">$E259*(-SUMIF(INDIRECT(AD$3),'Struktur Vorjahr'!$D259,INDIRECT(AD$4))+SUMIF(INDIRECT(AD$3),'Struktur Vorjahr'!$D259,INDIRECT(AD$5)))</f>
        <v>0</v>
      </c>
      <c r="AE259" s="593">
        <f t="shared" ca="1" si="116"/>
        <v>0</v>
      </c>
      <c r="AF259" s="593">
        <f t="shared" ca="1" si="117"/>
        <v>118.42</v>
      </c>
      <c r="AG259" s="593">
        <f t="shared" ca="1" si="117"/>
        <v>240.01999999999998</v>
      </c>
      <c r="AH259" s="593">
        <f t="shared" ca="1" si="117"/>
        <v>240.01999999999998</v>
      </c>
      <c r="AI259" s="593">
        <f t="shared" ca="1" si="117"/>
        <v>366.36</v>
      </c>
      <c r="AJ259" s="593">
        <f t="shared" ca="1" si="117"/>
        <v>630.06999999999994</v>
      </c>
      <c r="AK259" s="593">
        <f t="shared" ca="1" si="117"/>
        <v>853.15</v>
      </c>
      <c r="AL259" s="593">
        <f t="shared" ca="1" si="117"/>
        <v>916.15</v>
      </c>
      <c r="AM259" s="593">
        <f t="shared" ca="1" si="117"/>
        <v>1194.5</v>
      </c>
      <c r="AN259" s="593">
        <f t="shared" ca="1" si="117"/>
        <v>1194.5</v>
      </c>
      <c r="AO259" s="593">
        <f t="shared" ca="1" si="117"/>
        <v>1194.5</v>
      </c>
      <c r="AP259" s="593">
        <f t="shared" ca="1" si="117"/>
        <v>1194.5</v>
      </c>
    </row>
    <row r="260" spans="1:42" s="594" customFormat="1" ht="11.25" outlineLevel="1" x14ac:dyDescent="0.2">
      <c r="A260" s="590"/>
      <c r="B260" s="591" t="str">
        <f>IF(D260&lt;&gt;"",
IF(ISERROR(MATCH(D260,'Ist Vorjahr Monat 01'!A:A,0))=FALSE,INDEX('Ist Vorjahr Monat 01'!B:B,MATCH(D260,'Ist Vorjahr Monat 01'!A:A,0)),
IF(ISERROR(MATCH(D260,'Ist Vorjahr Monat 02'!A:A,0))=FALSE,INDEX('Ist Vorjahr Monat 02'!B:B,MATCH(D260,'Ist Vorjahr Monat 02'!A:A,0)),
IF(ISERROR(MATCH(D260,'Ist Vorjahr Monat 03'!A:A,0))=FALSE,INDEX('Ist Vorjahr Monat 03'!B:B,MATCH(D260,'Ist Vorjahr Monat 03'!A:A,0)),
IF(ISERROR(MATCH(D260,'Ist Vorjahr Monat 04'!A:A,0))=FALSE,INDEX('Ist Vorjahr Monat 04'!B:B,MATCH(D260,'Ist Vorjahr Monat 04'!A:A,0)),
IF(ISERROR(MATCH(D260,'Ist Vorjahr Monat 05'!A:A,0))=FALSE,INDEX('Ist Vorjahr Monat 05'!B:B,MATCH(D260,'Ist Vorjahr Monat 05'!A:A,0)),
IF(ISERROR(MATCH(D260,'Ist Vorjahr Monat 06'!A:A,0))=FALSE,INDEX('Ist Vorjahr Monat 06'!B:B,MATCH(D260,'Ist Vorjahr Monat 06'!A:A,0)),
IF(ISERROR(MATCH(D260,'Ist Vorjahr Monat 07'!A:A,0))=FALSE,INDEX('Ist Vorjahr Monat 07'!B:B,MATCH(D260,'Ist Vorjahr Monat 07'!A:A,0)),
IF(ISERROR(MATCH(D260,'Ist Vorjahr Monat 08'!A:A,0))=FALSE,INDEX('Ist Vorjahr Monat 08'!B:B,MATCH(D260,'Ist Vorjahr Monat 08'!A:A,0)),
IF(ISERROR(MATCH(D260,'Ist Vorjahr Monat 09'!A:A,0))=FALSE,INDEX('Ist Vorjahr Monat 09'!B:B,MATCH(D260,'Ist Vorjahr Monat 09'!A:A,0)),
IF(ISERROR(MATCH(D260,'Ist Vorjahr Monat 10'!A:A,0))=FALSE,INDEX('Ist Vorjahr Monat 10'!B:B,MATCH(D260,'Ist Vorjahr Monat 10'!A:A,0)),
IF(ISERROR(MATCH(D260,'Ist Vorjahr Monat 11'!A:A,0))=FALSE,INDEX('Ist Vorjahr Monat 11'!B:B,MATCH(D260,'Ist Vorjahr Monat 11'!A:A,0)),
IF(ISERROR(MATCH(D260,'Ist Vorjahr Monat 12'!A:A,0))=FALSE,INDEX('Ist Vorjahr Monat 12'!B:B,MATCH(D260,'Ist Vorjahr Monat 12'!A:A,0)),
"{Konto unbekannt}"
)))))))))))),"")</f>
        <v>Abschluss- und Prüfungskosten</v>
      </c>
      <c r="C260" s="591"/>
      <c r="D260" s="590">
        <v>4957</v>
      </c>
      <c r="E260" s="592">
        <f t="shared" si="105"/>
        <v>1</v>
      </c>
      <c r="F260" s="590"/>
      <c r="G260" s="593">
        <f ca="1">$E260*(-SUMIF(INDIRECT(G$3),'Struktur Vorjahr'!$D260,INDIRECT(G$4))+SUMIF(INDIRECT(G$3),'Struktur Vorjahr'!$D260,INDIRECT(G$5)))</f>
        <v>0</v>
      </c>
      <c r="H260" s="593">
        <f ca="1">$E260*(-SUMIF(INDIRECT(H$3),'Struktur Vorjahr'!$D260,INDIRECT(H$4))+SUMIF(INDIRECT(H$3),'Struktur Vorjahr'!$D260,INDIRECT(H$5)))</f>
        <v>28.5</v>
      </c>
      <c r="I260" s="593">
        <f ca="1">$E260*(-SUMIF(INDIRECT(I$3),'Struktur Vorjahr'!$D260,INDIRECT(I$4))+SUMIF(INDIRECT(I$3),'Struktur Vorjahr'!$D260,INDIRECT(I$5)))</f>
        <v>0</v>
      </c>
      <c r="J260" s="593">
        <f ca="1">$E260*(-SUMIF(INDIRECT(J$3),'Struktur Vorjahr'!$D260,INDIRECT(J$4))+SUMIF(INDIRECT(J$3),'Struktur Vorjahr'!$D260,INDIRECT(J$5)))</f>
        <v>0</v>
      </c>
      <c r="K260" s="593">
        <f ca="1">$E260*(-SUMIF(INDIRECT(K$3),'Struktur Vorjahr'!$D260,INDIRECT(K$4))+SUMIF(INDIRECT(K$3),'Struktur Vorjahr'!$D260,INDIRECT(K$5)))</f>
        <v>2150</v>
      </c>
      <c r="L260" s="593">
        <f ca="1">$E260*(-SUMIF(INDIRECT(L$3),'Struktur Vorjahr'!$D260,INDIRECT(L$4))+SUMIF(INDIRECT(L$3),'Struktur Vorjahr'!$D260,INDIRECT(L$5)))</f>
        <v>0</v>
      </c>
      <c r="M260" s="593">
        <f ca="1">$E260*(-SUMIF(INDIRECT(M$3),'Struktur Vorjahr'!$D260,INDIRECT(M$4))+SUMIF(INDIRECT(M$3),'Struktur Vorjahr'!$D260,INDIRECT(M$5)))</f>
        <v>0</v>
      </c>
      <c r="N260" s="593">
        <f ca="1">$E260*(-SUMIF(INDIRECT(N$3),'Struktur Vorjahr'!$D260,INDIRECT(N$4))+SUMIF(INDIRECT(N$3),'Struktur Vorjahr'!$D260,INDIRECT(N$5)))</f>
        <v>0</v>
      </c>
      <c r="O260" s="593">
        <f ca="1">$E260*(-SUMIF(INDIRECT(O$3),'Struktur Vorjahr'!$D260,INDIRECT(O$4))+SUMIF(INDIRECT(O$3),'Struktur Vorjahr'!$D260,INDIRECT(O$5)))</f>
        <v>0</v>
      </c>
      <c r="P260" s="593">
        <f ca="1">$E260*(-SUMIF(INDIRECT(P$3),'Struktur Vorjahr'!$D260,INDIRECT(P$4))+SUMIF(INDIRECT(P$3),'Struktur Vorjahr'!$D260,INDIRECT(P$5)))</f>
        <v>0</v>
      </c>
      <c r="Q260" s="593">
        <f ca="1">$E260*(-SUMIF(INDIRECT(Q$3),'Struktur Vorjahr'!$D260,INDIRECT(Q$4))+SUMIF(INDIRECT(Q$3),'Struktur Vorjahr'!$D260,INDIRECT(Q$5)))</f>
        <v>0</v>
      </c>
      <c r="R260" s="593">
        <f ca="1">$E260*(-SUMIF(INDIRECT(R$3),'Struktur Vorjahr'!$D260,INDIRECT(R$4))+SUMIF(INDIRECT(R$3),'Struktur Vorjahr'!$D260,INDIRECT(R$5)))</f>
        <v>0</v>
      </c>
      <c r="S260" s="593">
        <f ca="1">$E260*(-SUMIF(INDIRECT(S$3),'Struktur Vorjahr'!$D260,INDIRECT(S$4))+SUMIF(INDIRECT(S$3),'Struktur Vorjahr'!$D260,INDIRECT(S$5)))</f>
        <v>0</v>
      </c>
      <c r="T260" s="593">
        <f ca="1">$E260*(-SUMIF(INDIRECT(T$3),'Struktur Vorjahr'!$D260,INDIRECT(T$4))+SUMIF(INDIRECT(T$3),'Struktur Vorjahr'!$D260,INDIRECT(T$5)))</f>
        <v>28.5</v>
      </c>
      <c r="U260" s="593">
        <f ca="1">$E260*(-SUMIF(INDIRECT(U$3),'Struktur Vorjahr'!$D260,INDIRECT(U$4))+SUMIF(INDIRECT(U$3),'Struktur Vorjahr'!$D260,INDIRECT(U$5)))</f>
        <v>28.5</v>
      </c>
      <c r="V260" s="593">
        <f ca="1">$E260*(-SUMIF(INDIRECT(V$3),'Struktur Vorjahr'!$D260,INDIRECT(V$4))+SUMIF(INDIRECT(V$3),'Struktur Vorjahr'!$D260,INDIRECT(V$5)))</f>
        <v>28.5</v>
      </c>
      <c r="W260" s="593">
        <f ca="1">$E260*(-SUMIF(INDIRECT(W$3),'Struktur Vorjahr'!$D260,INDIRECT(W$4))+SUMIF(INDIRECT(W$3),'Struktur Vorjahr'!$D260,INDIRECT(W$5)))</f>
        <v>2178.5</v>
      </c>
      <c r="X260" s="593">
        <f ca="1">$E260*(-SUMIF(INDIRECT(X$3),'Struktur Vorjahr'!$D260,INDIRECT(X$4))+SUMIF(INDIRECT(X$3),'Struktur Vorjahr'!$D260,INDIRECT(X$5)))</f>
        <v>2178.5</v>
      </c>
      <c r="Y260" s="593">
        <f ca="1">$E260*(-SUMIF(INDIRECT(Y$3),'Struktur Vorjahr'!$D260,INDIRECT(Y$4))+SUMIF(INDIRECT(Y$3),'Struktur Vorjahr'!$D260,INDIRECT(Y$5)))</f>
        <v>2178.5</v>
      </c>
      <c r="Z260" s="593">
        <f ca="1">$E260*(-SUMIF(INDIRECT(Z$3),'Struktur Vorjahr'!$D260,INDIRECT(Z$4))+SUMIF(INDIRECT(Z$3),'Struktur Vorjahr'!$D260,INDIRECT(Z$5)))</f>
        <v>2178.5</v>
      </c>
      <c r="AA260" s="593">
        <f ca="1">$E260*(-SUMIF(INDIRECT(AA$3),'Struktur Vorjahr'!$D260,INDIRECT(AA$4))+SUMIF(INDIRECT(AA$3),'Struktur Vorjahr'!$D260,INDIRECT(AA$5)))</f>
        <v>2178.5</v>
      </c>
      <c r="AB260" s="593">
        <f ca="1">$E260*(-SUMIF(INDIRECT(AB$3),'Struktur Vorjahr'!$D260,INDIRECT(AB$4))+SUMIF(INDIRECT(AB$3),'Struktur Vorjahr'!$D260,INDIRECT(AB$5)))</f>
        <v>2178.5</v>
      </c>
      <c r="AC260" s="593">
        <f ca="1">$E260*(-SUMIF(INDIRECT(AC$3),'Struktur Vorjahr'!$D260,INDIRECT(AC$4))+SUMIF(INDIRECT(AC$3),'Struktur Vorjahr'!$D260,INDIRECT(AC$5)))</f>
        <v>0</v>
      </c>
      <c r="AD260" s="593">
        <f ca="1">$E260*(-SUMIF(INDIRECT(AD$3),'Struktur Vorjahr'!$D260,INDIRECT(AD$4))+SUMIF(INDIRECT(AD$3),'Struktur Vorjahr'!$D260,INDIRECT(AD$5)))</f>
        <v>0</v>
      </c>
      <c r="AE260" s="593">
        <f t="shared" ca="1" si="116"/>
        <v>0</v>
      </c>
      <c r="AF260" s="593">
        <f t="shared" ca="1" si="117"/>
        <v>28.5</v>
      </c>
      <c r="AG260" s="593">
        <f t="shared" ca="1" si="117"/>
        <v>28.5</v>
      </c>
      <c r="AH260" s="593">
        <f t="shared" ca="1" si="117"/>
        <v>28.5</v>
      </c>
      <c r="AI260" s="593">
        <f t="shared" ca="1" si="117"/>
        <v>2178.5</v>
      </c>
      <c r="AJ260" s="593">
        <f t="shared" ca="1" si="117"/>
        <v>2178.5</v>
      </c>
      <c r="AK260" s="593">
        <f t="shared" ca="1" si="117"/>
        <v>2178.5</v>
      </c>
      <c r="AL260" s="593">
        <f t="shared" ca="1" si="117"/>
        <v>2178.5</v>
      </c>
      <c r="AM260" s="593">
        <f t="shared" ca="1" si="117"/>
        <v>2178.5</v>
      </c>
      <c r="AN260" s="593">
        <f t="shared" ca="1" si="117"/>
        <v>2178.5</v>
      </c>
      <c r="AO260" s="593">
        <f t="shared" ca="1" si="117"/>
        <v>2178.5</v>
      </c>
      <c r="AP260" s="593">
        <f t="shared" ca="1" si="117"/>
        <v>2178.5</v>
      </c>
    </row>
    <row r="261" spans="1:42" s="594" customFormat="1" ht="11.25" outlineLevel="1" x14ac:dyDescent="0.2">
      <c r="A261" s="590"/>
      <c r="B261" s="591" t="str">
        <f>IF(D261&lt;&gt;"",
IF(ISERROR(MATCH(D261,'Ist Vorjahr Monat 01'!A:A,0))=FALSE,INDEX('Ist Vorjahr Monat 01'!B:B,MATCH(D261,'Ist Vorjahr Monat 01'!A:A,0)),
IF(ISERROR(MATCH(D261,'Ist Vorjahr Monat 02'!A:A,0))=FALSE,INDEX('Ist Vorjahr Monat 02'!B:B,MATCH(D261,'Ist Vorjahr Monat 02'!A:A,0)),
IF(ISERROR(MATCH(D261,'Ist Vorjahr Monat 03'!A:A,0))=FALSE,INDEX('Ist Vorjahr Monat 03'!B:B,MATCH(D261,'Ist Vorjahr Monat 03'!A:A,0)),
IF(ISERROR(MATCH(D261,'Ist Vorjahr Monat 04'!A:A,0))=FALSE,INDEX('Ist Vorjahr Monat 04'!B:B,MATCH(D261,'Ist Vorjahr Monat 04'!A:A,0)),
IF(ISERROR(MATCH(D261,'Ist Vorjahr Monat 05'!A:A,0))=FALSE,INDEX('Ist Vorjahr Monat 05'!B:B,MATCH(D261,'Ist Vorjahr Monat 05'!A:A,0)),
IF(ISERROR(MATCH(D261,'Ist Vorjahr Monat 06'!A:A,0))=FALSE,INDEX('Ist Vorjahr Monat 06'!B:B,MATCH(D261,'Ist Vorjahr Monat 06'!A:A,0)),
IF(ISERROR(MATCH(D261,'Ist Vorjahr Monat 07'!A:A,0))=FALSE,INDEX('Ist Vorjahr Monat 07'!B:B,MATCH(D261,'Ist Vorjahr Monat 07'!A:A,0)),
IF(ISERROR(MATCH(D261,'Ist Vorjahr Monat 08'!A:A,0))=FALSE,INDEX('Ist Vorjahr Monat 08'!B:B,MATCH(D261,'Ist Vorjahr Monat 08'!A:A,0)),
IF(ISERROR(MATCH(D261,'Ist Vorjahr Monat 09'!A:A,0))=FALSE,INDEX('Ist Vorjahr Monat 09'!B:B,MATCH(D261,'Ist Vorjahr Monat 09'!A:A,0)),
IF(ISERROR(MATCH(D261,'Ist Vorjahr Monat 10'!A:A,0))=FALSE,INDEX('Ist Vorjahr Monat 10'!B:B,MATCH(D261,'Ist Vorjahr Monat 10'!A:A,0)),
IF(ISERROR(MATCH(D261,'Ist Vorjahr Monat 11'!A:A,0))=FALSE,INDEX('Ist Vorjahr Monat 11'!B:B,MATCH(D261,'Ist Vorjahr Monat 11'!A:A,0)),
IF(ISERROR(MATCH(D261,'Ist Vorjahr Monat 12'!A:A,0))=FALSE,INDEX('Ist Vorjahr Monat 12'!B:B,MATCH(D261,'Ist Vorjahr Monat 12'!A:A,0)),
"{Konto unbekannt}"
)))))))))))),"")</f>
        <v/>
      </c>
      <c r="C261" s="591"/>
      <c r="D261" s="590"/>
      <c r="E261" s="592">
        <f t="shared" si="105"/>
        <v>1</v>
      </c>
      <c r="F261" s="590"/>
      <c r="G261" s="593">
        <f ca="1">$E261*(-SUMIF(INDIRECT(G$3),'Struktur Vorjahr'!$D261,INDIRECT(G$4))+SUMIF(INDIRECT(G$3),'Struktur Vorjahr'!$D261,INDIRECT(G$5)))</f>
        <v>0</v>
      </c>
      <c r="H261" s="593">
        <f ca="1">$E261*(-SUMIF(INDIRECT(H$3),'Struktur Vorjahr'!$D261,INDIRECT(H$4))+SUMIF(INDIRECT(H$3),'Struktur Vorjahr'!$D261,INDIRECT(H$5)))</f>
        <v>0</v>
      </c>
      <c r="I261" s="593">
        <f ca="1">$E261*(-SUMIF(INDIRECT(I$3),'Struktur Vorjahr'!$D261,INDIRECT(I$4))+SUMIF(INDIRECT(I$3),'Struktur Vorjahr'!$D261,INDIRECT(I$5)))</f>
        <v>0</v>
      </c>
      <c r="J261" s="593">
        <f ca="1">$E261*(-SUMIF(INDIRECT(J$3),'Struktur Vorjahr'!$D261,INDIRECT(J$4))+SUMIF(INDIRECT(J$3),'Struktur Vorjahr'!$D261,INDIRECT(J$5)))</f>
        <v>0</v>
      </c>
      <c r="K261" s="593">
        <f ca="1">$E261*(-SUMIF(INDIRECT(K$3),'Struktur Vorjahr'!$D261,INDIRECT(K$4))+SUMIF(INDIRECT(K$3),'Struktur Vorjahr'!$D261,INDIRECT(K$5)))</f>
        <v>0</v>
      </c>
      <c r="L261" s="593">
        <f ca="1">$E261*(-SUMIF(INDIRECT(L$3),'Struktur Vorjahr'!$D261,INDIRECT(L$4))+SUMIF(INDIRECT(L$3),'Struktur Vorjahr'!$D261,INDIRECT(L$5)))</f>
        <v>0</v>
      </c>
      <c r="M261" s="593">
        <f ca="1">$E261*(-SUMIF(INDIRECT(M$3),'Struktur Vorjahr'!$D261,INDIRECT(M$4))+SUMIF(INDIRECT(M$3),'Struktur Vorjahr'!$D261,INDIRECT(M$5)))</f>
        <v>0</v>
      </c>
      <c r="N261" s="593">
        <f ca="1">$E261*(-SUMIF(INDIRECT(N$3),'Struktur Vorjahr'!$D261,INDIRECT(N$4))+SUMIF(INDIRECT(N$3),'Struktur Vorjahr'!$D261,INDIRECT(N$5)))</f>
        <v>0</v>
      </c>
      <c r="O261" s="593">
        <f ca="1">$E261*(-SUMIF(INDIRECT(O$3),'Struktur Vorjahr'!$D261,INDIRECT(O$4))+SUMIF(INDIRECT(O$3),'Struktur Vorjahr'!$D261,INDIRECT(O$5)))</f>
        <v>0</v>
      </c>
      <c r="P261" s="593">
        <f ca="1">$E261*(-SUMIF(INDIRECT(P$3),'Struktur Vorjahr'!$D261,INDIRECT(P$4))+SUMIF(INDIRECT(P$3),'Struktur Vorjahr'!$D261,INDIRECT(P$5)))</f>
        <v>0</v>
      </c>
      <c r="Q261" s="593">
        <f ca="1">$E261*(-SUMIF(INDIRECT(Q$3),'Struktur Vorjahr'!$D261,INDIRECT(Q$4))+SUMIF(INDIRECT(Q$3),'Struktur Vorjahr'!$D261,INDIRECT(Q$5)))</f>
        <v>0</v>
      </c>
      <c r="R261" s="593">
        <f ca="1">$E261*(-SUMIF(INDIRECT(R$3),'Struktur Vorjahr'!$D261,INDIRECT(R$4))+SUMIF(INDIRECT(R$3),'Struktur Vorjahr'!$D261,INDIRECT(R$5)))</f>
        <v>0</v>
      </c>
      <c r="S261" s="593">
        <f ca="1">$E261*(-SUMIF(INDIRECT(S$3),'Struktur Vorjahr'!$D261,INDIRECT(S$4))+SUMIF(INDIRECT(S$3),'Struktur Vorjahr'!$D261,INDIRECT(S$5)))</f>
        <v>0</v>
      </c>
      <c r="T261" s="593">
        <f ca="1">$E261*(-SUMIF(INDIRECT(T$3),'Struktur Vorjahr'!$D261,INDIRECT(T$4))+SUMIF(INDIRECT(T$3),'Struktur Vorjahr'!$D261,INDIRECT(T$5)))</f>
        <v>0</v>
      </c>
      <c r="U261" s="593">
        <f ca="1">$E261*(-SUMIF(INDIRECT(U$3),'Struktur Vorjahr'!$D261,INDIRECT(U$4))+SUMIF(INDIRECT(U$3),'Struktur Vorjahr'!$D261,INDIRECT(U$5)))</f>
        <v>0</v>
      </c>
      <c r="V261" s="593">
        <f ca="1">$E261*(-SUMIF(INDIRECT(V$3),'Struktur Vorjahr'!$D261,INDIRECT(V$4))+SUMIF(INDIRECT(V$3),'Struktur Vorjahr'!$D261,INDIRECT(V$5)))</f>
        <v>0</v>
      </c>
      <c r="W261" s="593">
        <f ca="1">$E261*(-SUMIF(INDIRECT(W$3),'Struktur Vorjahr'!$D261,INDIRECT(W$4))+SUMIF(INDIRECT(W$3),'Struktur Vorjahr'!$D261,INDIRECT(W$5)))</f>
        <v>0</v>
      </c>
      <c r="X261" s="593">
        <f ca="1">$E261*(-SUMIF(INDIRECT(X$3),'Struktur Vorjahr'!$D261,INDIRECT(X$4))+SUMIF(INDIRECT(X$3),'Struktur Vorjahr'!$D261,INDIRECT(X$5)))</f>
        <v>0</v>
      </c>
      <c r="Y261" s="593">
        <f ca="1">$E261*(-SUMIF(INDIRECT(Y$3),'Struktur Vorjahr'!$D261,INDIRECT(Y$4))+SUMIF(INDIRECT(Y$3),'Struktur Vorjahr'!$D261,INDIRECT(Y$5)))</f>
        <v>0</v>
      </c>
      <c r="Z261" s="593">
        <f ca="1">$E261*(-SUMIF(INDIRECT(Z$3),'Struktur Vorjahr'!$D261,INDIRECT(Z$4))+SUMIF(INDIRECT(Z$3),'Struktur Vorjahr'!$D261,INDIRECT(Z$5)))</f>
        <v>0</v>
      </c>
      <c r="AA261" s="593">
        <f ca="1">$E261*(-SUMIF(INDIRECT(AA$3),'Struktur Vorjahr'!$D261,INDIRECT(AA$4))+SUMIF(INDIRECT(AA$3),'Struktur Vorjahr'!$D261,INDIRECT(AA$5)))</f>
        <v>0</v>
      </c>
      <c r="AB261" s="593">
        <f ca="1">$E261*(-SUMIF(INDIRECT(AB$3),'Struktur Vorjahr'!$D261,INDIRECT(AB$4))+SUMIF(INDIRECT(AB$3),'Struktur Vorjahr'!$D261,INDIRECT(AB$5)))</f>
        <v>0</v>
      </c>
      <c r="AC261" s="593">
        <f ca="1">$E261*(-SUMIF(INDIRECT(AC$3),'Struktur Vorjahr'!$D261,INDIRECT(AC$4))+SUMIF(INDIRECT(AC$3),'Struktur Vorjahr'!$D261,INDIRECT(AC$5)))</f>
        <v>0</v>
      </c>
      <c r="AD261" s="593">
        <f ca="1">$E261*(-SUMIF(INDIRECT(AD$3),'Struktur Vorjahr'!$D261,INDIRECT(AD$4))+SUMIF(INDIRECT(AD$3),'Struktur Vorjahr'!$D261,INDIRECT(AD$5)))</f>
        <v>0</v>
      </c>
      <c r="AE261" s="593">
        <f t="shared" ca="1" si="116"/>
        <v>0</v>
      </c>
      <c r="AF261" s="593">
        <f t="shared" ca="1" si="117"/>
        <v>0</v>
      </c>
      <c r="AG261" s="593">
        <f t="shared" ca="1" si="117"/>
        <v>0</v>
      </c>
      <c r="AH261" s="593">
        <f t="shared" ca="1" si="117"/>
        <v>0</v>
      </c>
      <c r="AI261" s="593">
        <f t="shared" ca="1" si="117"/>
        <v>0</v>
      </c>
      <c r="AJ261" s="593">
        <f t="shared" ca="1" si="117"/>
        <v>0</v>
      </c>
      <c r="AK261" s="593">
        <f t="shared" ca="1" si="117"/>
        <v>0</v>
      </c>
      <c r="AL261" s="593">
        <f t="shared" ca="1" si="117"/>
        <v>0</v>
      </c>
      <c r="AM261" s="593">
        <f t="shared" ca="1" si="117"/>
        <v>0</v>
      </c>
      <c r="AN261" s="593">
        <f t="shared" ca="1" si="117"/>
        <v>0</v>
      </c>
      <c r="AO261" s="593">
        <f t="shared" ca="1" si="117"/>
        <v>0</v>
      </c>
      <c r="AP261" s="593">
        <f t="shared" ca="1" si="117"/>
        <v>0</v>
      </c>
    </row>
    <row r="262" spans="1:42" s="594" customFormat="1" ht="11.25" outlineLevel="1" x14ac:dyDescent="0.2">
      <c r="A262" s="590"/>
      <c r="B262" s="591" t="str">
        <f>IF(D262&lt;&gt;"",
IF(ISERROR(MATCH(D262,'Ist Vorjahr Monat 01'!A:A,0))=FALSE,INDEX('Ist Vorjahr Monat 01'!B:B,MATCH(D262,'Ist Vorjahr Monat 01'!A:A,0)),
IF(ISERROR(MATCH(D262,'Ist Vorjahr Monat 02'!A:A,0))=FALSE,INDEX('Ist Vorjahr Monat 02'!B:B,MATCH(D262,'Ist Vorjahr Monat 02'!A:A,0)),
IF(ISERROR(MATCH(D262,'Ist Vorjahr Monat 03'!A:A,0))=FALSE,INDEX('Ist Vorjahr Monat 03'!B:B,MATCH(D262,'Ist Vorjahr Monat 03'!A:A,0)),
IF(ISERROR(MATCH(D262,'Ist Vorjahr Monat 04'!A:A,0))=FALSE,INDEX('Ist Vorjahr Monat 04'!B:B,MATCH(D262,'Ist Vorjahr Monat 04'!A:A,0)),
IF(ISERROR(MATCH(D262,'Ist Vorjahr Monat 05'!A:A,0))=FALSE,INDEX('Ist Vorjahr Monat 05'!B:B,MATCH(D262,'Ist Vorjahr Monat 05'!A:A,0)),
IF(ISERROR(MATCH(D262,'Ist Vorjahr Monat 06'!A:A,0))=FALSE,INDEX('Ist Vorjahr Monat 06'!B:B,MATCH(D262,'Ist Vorjahr Monat 06'!A:A,0)),
IF(ISERROR(MATCH(D262,'Ist Vorjahr Monat 07'!A:A,0))=FALSE,INDEX('Ist Vorjahr Monat 07'!B:B,MATCH(D262,'Ist Vorjahr Monat 07'!A:A,0)),
IF(ISERROR(MATCH(D262,'Ist Vorjahr Monat 08'!A:A,0))=FALSE,INDEX('Ist Vorjahr Monat 08'!B:B,MATCH(D262,'Ist Vorjahr Monat 08'!A:A,0)),
IF(ISERROR(MATCH(D262,'Ist Vorjahr Monat 09'!A:A,0))=FALSE,INDEX('Ist Vorjahr Monat 09'!B:B,MATCH(D262,'Ist Vorjahr Monat 09'!A:A,0)),
IF(ISERROR(MATCH(D262,'Ist Vorjahr Monat 10'!A:A,0))=FALSE,INDEX('Ist Vorjahr Monat 10'!B:B,MATCH(D262,'Ist Vorjahr Monat 10'!A:A,0)),
IF(ISERROR(MATCH(D262,'Ist Vorjahr Monat 11'!A:A,0))=FALSE,INDEX('Ist Vorjahr Monat 11'!B:B,MATCH(D262,'Ist Vorjahr Monat 11'!A:A,0)),
IF(ISERROR(MATCH(D262,'Ist Vorjahr Monat 12'!A:A,0))=FALSE,INDEX('Ist Vorjahr Monat 12'!B:B,MATCH(D262,'Ist Vorjahr Monat 12'!A:A,0)),
"{Konto unbekannt}"
)))))))))))),"")</f>
        <v/>
      </c>
      <c r="C262" s="591"/>
      <c r="D262" s="590"/>
      <c r="E262" s="592">
        <f t="shared" si="105"/>
        <v>1</v>
      </c>
      <c r="F262" s="590"/>
      <c r="G262" s="593">
        <f ca="1">$E262*(-SUMIF(INDIRECT(G$3),'Struktur Vorjahr'!$D262,INDIRECT(G$4))+SUMIF(INDIRECT(G$3),'Struktur Vorjahr'!$D262,INDIRECT(G$5)))</f>
        <v>0</v>
      </c>
      <c r="H262" s="593">
        <f ca="1">$E262*(-SUMIF(INDIRECT(H$3),'Struktur Vorjahr'!$D262,INDIRECT(H$4))+SUMIF(INDIRECT(H$3),'Struktur Vorjahr'!$D262,INDIRECT(H$5)))</f>
        <v>0</v>
      </c>
      <c r="I262" s="593">
        <f ca="1">$E262*(-SUMIF(INDIRECT(I$3),'Struktur Vorjahr'!$D262,INDIRECT(I$4))+SUMIF(INDIRECT(I$3),'Struktur Vorjahr'!$D262,INDIRECT(I$5)))</f>
        <v>0</v>
      </c>
      <c r="J262" s="593">
        <f ca="1">$E262*(-SUMIF(INDIRECT(J$3),'Struktur Vorjahr'!$D262,INDIRECT(J$4))+SUMIF(INDIRECT(J$3),'Struktur Vorjahr'!$D262,INDIRECT(J$5)))</f>
        <v>0</v>
      </c>
      <c r="K262" s="593">
        <f ca="1">$E262*(-SUMIF(INDIRECT(K$3),'Struktur Vorjahr'!$D262,INDIRECT(K$4))+SUMIF(INDIRECT(K$3),'Struktur Vorjahr'!$D262,INDIRECT(K$5)))</f>
        <v>0</v>
      </c>
      <c r="L262" s="593">
        <f ca="1">$E262*(-SUMIF(INDIRECT(L$3),'Struktur Vorjahr'!$D262,INDIRECT(L$4))+SUMIF(INDIRECT(L$3),'Struktur Vorjahr'!$D262,INDIRECT(L$5)))</f>
        <v>0</v>
      </c>
      <c r="M262" s="593">
        <f ca="1">$E262*(-SUMIF(INDIRECT(M$3),'Struktur Vorjahr'!$D262,INDIRECT(M$4))+SUMIF(INDIRECT(M$3),'Struktur Vorjahr'!$D262,INDIRECT(M$5)))</f>
        <v>0</v>
      </c>
      <c r="N262" s="593">
        <f ca="1">$E262*(-SUMIF(INDIRECT(N$3),'Struktur Vorjahr'!$D262,INDIRECT(N$4))+SUMIF(INDIRECT(N$3),'Struktur Vorjahr'!$D262,INDIRECT(N$5)))</f>
        <v>0</v>
      </c>
      <c r="O262" s="593">
        <f ca="1">$E262*(-SUMIF(INDIRECT(O$3),'Struktur Vorjahr'!$D262,INDIRECT(O$4))+SUMIF(INDIRECT(O$3),'Struktur Vorjahr'!$D262,INDIRECT(O$5)))</f>
        <v>0</v>
      </c>
      <c r="P262" s="593">
        <f ca="1">$E262*(-SUMIF(INDIRECT(P$3),'Struktur Vorjahr'!$D262,INDIRECT(P$4))+SUMIF(INDIRECT(P$3),'Struktur Vorjahr'!$D262,INDIRECT(P$5)))</f>
        <v>0</v>
      </c>
      <c r="Q262" s="593">
        <f ca="1">$E262*(-SUMIF(INDIRECT(Q$3),'Struktur Vorjahr'!$D262,INDIRECT(Q$4))+SUMIF(INDIRECT(Q$3),'Struktur Vorjahr'!$D262,INDIRECT(Q$5)))</f>
        <v>0</v>
      </c>
      <c r="R262" s="593">
        <f ca="1">$E262*(-SUMIF(INDIRECT(R$3),'Struktur Vorjahr'!$D262,INDIRECT(R$4))+SUMIF(INDIRECT(R$3),'Struktur Vorjahr'!$D262,INDIRECT(R$5)))</f>
        <v>0</v>
      </c>
      <c r="S262" s="593">
        <f ca="1">$E262*(-SUMIF(INDIRECT(S$3),'Struktur Vorjahr'!$D262,INDIRECT(S$4))+SUMIF(INDIRECT(S$3),'Struktur Vorjahr'!$D262,INDIRECT(S$5)))</f>
        <v>0</v>
      </c>
      <c r="T262" s="593">
        <f ca="1">$E262*(-SUMIF(INDIRECT(T$3),'Struktur Vorjahr'!$D262,INDIRECT(T$4))+SUMIF(INDIRECT(T$3),'Struktur Vorjahr'!$D262,INDIRECT(T$5)))</f>
        <v>0</v>
      </c>
      <c r="U262" s="593">
        <f ca="1">$E262*(-SUMIF(INDIRECT(U$3),'Struktur Vorjahr'!$D262,INDIRECT(U$4))+SUMIF(INDIRECT(U$3),'Struktur Vorjahr'!$D262,INDIRECT(U$5)))</f>
        <v>0</v>
      </c>
      <c r="V262" s="593">
        <f ca="1">$E262*(-SUMIF(INDIRECT(V$3),'Struktur Vorjahr'!$D262,INDIRECT(V$4))+SUMIF(INDIRECT(V$3),'Struktur Vorjahr'!$D262,INDIRECT(V$5)))</f>
        <v>0</v>
      </c>
      <c r="W262" s="593">
        <f ca="1">$E262*(-SUMIF(INDIRECT(W$3),'Struktur Vorjahr'!$D262,INDIRECT(W$4))+SUMIF(INDIRECT(W$3),'Struktur Vorjahr'!$D262,INDIRECT(W$5)))</f>
        <v>0</v>
      </c>
      <c r="X262" s="593">
        <f ca="1">$E262*(-SUMIF(INDIRECT(X$3),'Struktur Vorjahr'!$D262,INDIRECT(X$4))+SUMIF(INDIRECT(X$3),'Struktur Vorjahr'!$D262,INDIRECT(X$5)))</f>
        <v>0</v>
      </c>
      <c r="Y262" s="593">
        <f ca="1">$E262*(-SUMIF(INDIRECT(Y$3),'Struktur Vorjahr'!$D262,INDIRECT(Y$4))+SUMIF(INDIRECT(Y$3),'Struktur Vorjahr'!$D262,INDIRECT(Y$5)))</f>
        <v>0</v>
      </c>
      <c r="Z262" s="593">
        <f ca="1">$E262*(-SUMIF(INDIRECT(Z$3),'Struktur Vorjahr'!$D262,INDIRECT(Z$4))+SUMIF(INDIRECT(Z$3),'Struktur Vorjahr'!$D262,INDIRECT(Z$5)))</f>
        <v>0</v>
      </c>
      <c r="AA262" s="593">
        <f ca="1">$E262*(-SUMIF(INDIRECT(AA$3),'Struktur Vorjahr'!$D262,INDIRECT(AA$4))+SUMIF(INDIRECT(AA$3),'Struktur Vorjahr'!$D262,INDIRECT(AA$5)))</f>
        <v>0</v>
      </c>
      <c r="AB262" s="593">
        <f ca="1">$E262*(-SUMIF(INDIRECT(AB$3),'Struktur Vorjahr'!$D262,INDIRECT(AB$4))+SUMIF(INDIRECT(AB$3),'Struktur Vorjahr'!$D262,INDIRECT(AB$5)))</f>
        <v>0</v>
      </c>
      <c r="AC262" s="593">
        <f ca="1">$E262*(-SUMIF(INDIRECT(AC$3),'Struktur Vorjahr'!$D262,INDIRECT(AC$4))+SUMIF(INDIRECT(AC$3),'Struktur Vorjahr'!$D262,INDIRECT(AC$5)))</f>
        <v>0</v>
      </c>
      <c r="AD262" s="593">
        <f ca="1">$E262*(-SUMIF(INDIRECT(AD$3),'Struktur Vorjahr'!$D262,INDIRECT(AD$4))+SUMIF(INDIRECT(AD$3),'Struktur Vorjahr'!$D262,INDIRECT(AD$5)))</f>
        <v>0</v>
      </c>
      <c r="AE262" s="593">
        <f t="shared" ca="1" si="116"/>
        <v>0</v>
      </c>
      <c r="AF262" s="593">
        <f t="shared" ca="1" si="117"/>
        <v>0</v>
      </c>
      <c r="AG262" s="593">
        <f t="shared" ca="1" si="117"/>
        <v>0</v>
      </c>
      <c r="AH262" s="593">
        <f t="shared" ca="1" si="117"/>
        <v>0</v>
      </c>
      <c r="AI262" s="593">
        <f t="shared" ca="1" si="117"/>
        <v>0</v>
      </c>
      <c r="AJ262" s="593">
        <f t="shared" ca="1" si="117"/>
        <v>0</v>
      </c>
      <c r="AK262" s="593">
        <f t="shared" ca="1" si="117"/>
        <v>0</v>
      </c>
      <c r="AL262" s="593">
        <f t="shared" ca="1" si="117"/>
        <v>0</v>
      </c>
      <c r="AM262" s="593">
        <f t="shared" ca="1" si="117"/>
        <v>0</v>
      </c>
      <c r="AN262" s="593">
        <f t="shared" ca="1" si="117"/>
        <v>0</v>
      </c>
      <c r="AO262" s="593">
        <f t="shared" ca="1" si="117"/>
        <v>0</v>
      </c>
      <c r="AP262" s="593">
        <f t="shared" ca="1" si="117"/>
        <v>0</v>
      </c>
    </row>
    <row r="263" spans="1:42" s="594" customFormat="1" ht="11.25" outlineLevel="1" x14ac:dyDescent="0.2">
      <c r="A263" s="590"/>
      <c r="B263" s="591" t="str">
        <f>IF(D263&lt;&gt;"",
IF(ISERROR(MATCH(D263,'Ist Vorjahr Monat 01'!A:A,0))=FALSE,INDEX('Ist Vorjahr Monat 01'!B:B,MATCH(D263,'Ist Vorjahr Monat 01'!A:A,0)),
IF(ISERROR(MATCH(D263,'Ist Vorjahr Monat 02'!A:A,0))=FALSE,INDEX('Ist Vorjahr Monat 02'!B:B,MATCH(D263,'Ist Vorjahr Monat 02'!A:A,0)),
IF(ISERROR(MATCH(D263,'Ist Vorjahr Monat 03'!A:A,0))=FALSE,INDEX('Ist Vorjahr Monat 03'!B:B,MATCH(D263,'Ist Vorjahr Monat 03'!A:A,0)),
IF(ISERROR(MATCH(D263,'Ist Vorjahr Monat 04'!A:A,0))=FALSE,INDEX('Ist Vorjahr Monat 04'!B:B,MATCH(D263,'Ist Vorjahr Monat 04'!A:A,0)),
IF(ISERROR(MATCH(D263,'Ist Vorjahr Monat 05'!A:A,0))=FALSE,INDEX('Ist Vorjahr Monat 05'!B:B,MATCH(D263,'Ist Vorjahr Monat 05'!A:A,0)),
IF(ISERROR(MATCH(D263,'Ist Vorjahr Monat 06'!A:A,0))=FALSE,INDEX('Ist Vorjahr Monat 06'!B:B,MATCH(D263,'Ist Vorjahr Monat 06'!A:A,0)),
IF(ISERROR(MATCH(D263,'Ist Vorjahr Monat 07'!A:A,0))=FALSE,INDEX('Ist Vorjahr Monat 07'!B:B,MATCH(D263,'Ist Vorjahr Monat 07'!A:A,0)),
IF(ISERROR(MATCH(D263,'Ist Vorjahr Monat 08'!A:A,0))=FALSE,INDEX('Ist Vorjahr Monat 08'!B:B,MATCH(D263,'Ist Vorjahr Monat 08'!A:A,0)),
IF(ISERROR(MATCH(D263,'Ist Vorjahr Monat 09'!A:A,0))=FALSE,INDEX('Ist Vorjahr Monat 09'!B:B,MATCH(D263,'Ist Vorjahr Monat 09'!A:A,0)),
IF(ISERROR(MATCH(D263,'Ist Vorjahr Monat 10'!A:A,0))=FALSE,INDEX('Ist Vorjahr Monat 10'!B:B,MATCH(D263,'Ist Vorjahr Monat 10'!A:A,0)),
IF(ISERROR(MATCH(D263,'Ist Vorjahr Monat 11'!A:A,0))=FALSE,INDEX('Ist Vorjahr Monat 11'!B:B,MATCH(D263,'Ist Vorjahr Monat 11'!A:A,0)),
IF(ISERROR(MATCH(D263,'Ist Vorjahr Monat 12'!A:A,0))=FALSE,INDEX('Ist Vorjahr Monat 12'!B:B,MATCH(D263,'Ist Vorjahr Monat 12'!A:A,0)),
"{Konto unbekannt}"
)))))))))))),"")</f>
        <v/>
      </c>
      <c r="C263" s="591"/>
      <c r="D263" s="590"/>
      <c r="E263" s="592">
        <f t="shared" si="105"/>
        <v>1</v>
      </c>
      <c r="F263" s="590"/>
      <c r="G263" s="593">
        <f ca="1">$E263*(-SUMIF(INDIRECT(G$3),'Struktur Vorjahr'!$D263,INDIRECT(G$4))+SUMIF(INDIRECT(G$3),'Struktur Vorjahr'!$D263,INDIRECT(G$5)))</f>
        <v>0</v>
      </c>
      <c r="H263" s="593">
        <f ca="1">$E263*(-SUMIF(INDIRECT(H$3),'Struktur Vorjahr'!$D263,INDIRECT(H$4))+SUMIF(INDIRECT(H$3),'Struktur Vorjahr'!$D263,INDIRECT(H$5)))</f>
        <v>0</v>
      </c>
      <c r="I263" s="593">
        <f ca="1">$E263*(-SUMIF(INDIRECT(I$3),'Struktur Vorjahr'!$D263,INDIRECT(I$4))+SUMIF(INDIRECT(I$3),'Struktur Vorjahr'!$D263,INDIRECT(I$5)))</f>
        <v>0</v>
      </c>
      <c r="J263" s="593">
        <f ca="1">$E263*(-SUMIF(INDIRECT(J$3),'Struktur Vorjahr'!$D263,INDIRECT(J$4))+SUMIF(INDIRECT(J$3),'Struktur Vorjahr'!$D263,INDIRECT(J$5)))</f>
        <v>0</v>
      </c>
      <c r="K263" s="593">
        <f ca="1">$E263*(-SUMIF(INDIRECT(K$3),'Struktur Vorjahr'!$D263,INDIRECT(K$4))+SUMIF(INDIRECT(K$3),'Struktur Vorjahr'!$D263,INDIRECT(K$5)))</f>
        <v>0</v>
      </c>
      <c r="L263" s="593">
        <f ca="1">$E263*(-SUMIF(INDIRECT(L$3),'Struktur Vorjahr'!$D263,INDIRECT(L$4))+SUMIF(INDIRECT(L$3),'Struktur Vorjahr'!$D263,INDIRECT(L$5)))</f>
        <v>0</v>
      </c>
      <c r="M263" s="593">
        <f ca="1">$E263*(-SUMIF(INDIRECT(M$3),'Struktur Vorjahr'!$D263,INDIRECT(M$4))+SUMIF(INDIRECT(M$3),'Struktur Vorjahr'!$D263,INDIRECT(M$5)))</f>
        <v>0</v>
      </c>
      <c r="N263" s="593">
        <f ca="1">$E263*(-SUMIF(INDIRECT(N$3),'Struktur Vorjahr'!$D263,INDIRECT(N$4))+SUMIF(INDIRECT(N$3),'Struktur Vorjahr'!$D263,INDIRECT(N$5)))</f>
        <v>0</v>
      </c>
      <c r="O263" s="593">
        <f ca="1">$E263*(-SUMIF(INDIRECT(O$3),'Struktur Vorjahr'!$D263,INDIRECT(O$4))+SUMIF(INDIRECT(O$3),'Struktur Vorjahr'!$D263,INDIRECT(O$5)))</f>
        <v>0</v>
      </c>
      <c r="P263" s="593">
        <f ca="1">$E263*(-SUMIF(INDIRECT(P$3),'Struktur Vorjahr'!$D263,INDIRECT(P$4))+SUMIF(INDIRECT(P$3),'Struktur Vorjahr'!$D263,INDIRECT(P$5)))</f>
        <v>0</v>
      </c>
      <c r="Q263" s="593">
        <f ca="1">$E263*(-SUMIF(INDIRECT(Q$3),'Struktur Vorjahr'!$D263,INDIRECT(Q$4))+SUMIF(INDIRECT(Q$3),'Struktur Vorjahr'!$D263,INDIRECT(Q$5)))</f>
        <v>0</v>
      </c>
      <c r="R263" s="593">
        <f ca="1">$E263*(-SUMIF(INDIRECT(R$3),'Struktur Vorjahr'!$D263,INDIRECT(R$4))+SUMIF(INDIRECT(R$3),'Struktur Vorjahr'!$D263,INDIRECT(R$5)))</f>
        <v>0</v>
      </c>
      <c r="S263" s="593">
        <f ca="1">$E263*(-SUMIF(INDIRECT(S$3),'Struktur Vorjahr'!$D263,INDIRECT(S$4))+SUMIF(INDIRECT(S$3),'Struktur Vorjahr'!$D263,INDIRECT(S$5)))</f>
        <v>0</v>
      </c>
      <c r="T263" s="593">
        <f ca="1">$E263*(-SUMIF(INDIRECT(T$3),'Struktur Vorjahr'!$D263,INDIRECT(T$4))+SUMIF(INDIRECT(T$3),'Struktur Vorjahr'!$D263,INDIRECT(T$5)))</f>
        <v>0</v>
      </c>
      <c r="U263" s="593">
        <f ca="1">$E263*(-SUMIF(INDIRECT(U$3),'Struktur Vorjahr'!$D263,INDIRECT(U$4))+SUMIF(INDIRECT(U$3),'Struktur Vorjahr'!$D263,INDIRECT(U$5)))</f>
        <v>0</v>
      </c>
      <c r="V263" s="593">
        <f ca="1">$E263*(-SUMIF(INDIRECT(V$3),'Struktur Vorjahr'!$D263,INDIRECT(V$4))+SUMIF(INDIRECT(V$3),'Struktur Vorjahr'!$D263,INDIRECT(V$5)))</f>
        <v>0</v>
      </c>
      <c r="W263" s="593">
        <f ca="1">$E263*(-SUMIF(INDIRECT(W$3),'Struktur Vorjahr'!$D263,INDIRECT(W$4))+SUMIF(INDIRECT(W$3),'Struktur Vorjahr'!$D263,INDIRECT(W$5)))</f>
        <v>0</v>
      </c>
      <c r="X263" s="593">
        <f ca="1">$E263*(-SUMIF(INDIRECT(X$3),'Struktur Vorjahr'!$D263,INDIRECT(X$4))+SUMIF(INDIRECT(X$3),'Struktur Vorjahr'!$D263,INDIRECT(X$5)))</f>
        <v>0</v>
      </c>
      <c r="Y263" s="593">
        <f ca="1">$E263*(-SUMIF(INDIRECT(Y$3),'Struktur Vorjahr'!$D263,INDIRECT(Y$4))+SUMIF(INDIRECT(Y$3),'Struktur Vorjahr'!$D263,INDIRECT(Y$5)))</f>
        <v>0</v>
      </c>
      <c r="Z263" s="593">
        <f ca="1">$E263*(-SUMIF(INDIRECT(Z$3),'Struktur Vorjahr'!$D263,INDIRECT(Z$4))+SUMIF(INDIRECT(Z$3),'Struktur Vorjahr'!$D263,INDIRECT(Z$5)))</f>
        <v>0</v>
      </c>
      <c r="AA263" s="593">
        <f ca="1">$E263*(-SUMIF(INDIRECT(AA$3),'Struktur Vorjahr'!$D263,INDIRECT(AA$4))+SUMIF(INDIRECT(AA$3),'Struktur Vorjahr'!$D263,INDIRECT(AA$5)))</f>
        <v>0</v>
      </c>
      <c r="AB263" s="593">
        <f ca="1">$E263*(-SUMIF(INDIRECT(AB$3),'Struktur Vorjahr'!$D263,INDIRECT(AB$4))+SUMIF(INDIRECT(AB$3),'Struktur Vorjahr'!$D263,INDIRECT(AB$5)))</f>
        <v>0</v>
      </c>
      <c r="AC263" s="593">
        <f ca="1">$E263*(-SUMIF(INDIRECT(AC$3),'Struktur Vorjahr'!$D263,INDIRECT(AC$4))+SUMIF(INDIRECT(AC$3),'Struktur Vorjahr'!$D263,INDIRECT(AC$5)))</f>
        <v>0</v>
      </c>
      <c r="AD263" s="593">
        <f ca="1">$E263*(-SUMIF(INDIRECT(AD$3),'Struktur Vorjahr'!$D263,INDIRECT(AD$4))+SUMIF(INDIRECT(AD$3),'Struktur Vorjahr'!$D263,INDIRECT(AD$5)))</f>
        <v>0</v>
      </c>
      <c r="AE263" s="593">
        <f t="shared" ca="1" si="116"/>
        <v>0</v>
      </c>
      <c r="AF263" s="593">
        <f t="shared" ca="1" si="117"/>
        <v>0</v>
      </c>
      <c r="AG263" s="593">
        <f t="shared" ca="1" si="117"/>
        <v>0</v>
      </c>
      <c r="AH263" s="593">
        <f t="shared" ca="1" si="117"/>
        <v>0</v>
      </c>
      <c r="AI263" s="593">
        <f t="shared" ca="1" si="117"/>
        <v>0</v>
      </c>
      <c r="AJ263" s="593">
        <f t="shared" ca="1" si="117"/>
        <v>0</v>
      </c>
      <c r="AK263" s="593">
        <f t="shared" ca="1" si="117"/>
        <v>0</v>
      </c>
      <c r="AL263" s="593">
        <f t="shared" ca="1" si="117"/>
        <v>0</v>
      </c>
      <c r="AM263" s="593">
        <f t="shared" ca="1" si="117"/>
        <v>0</v>
      </c>
      <c r="AN263" s="593">
        <f t="shared" ca="1" si="117"/>
        <v>0</v>
      </c>
      <c r="AO263" s="593">
        <f t="shared" ca="1" si="117"/>
        <v>0</v>
      </c>
      <c r="AP263" s="593">
        <f t="shared" ca="1" si="117"/>
        <v>0</v>
      </c>
    </row>
    <row r="264" spans="1:42" s="594" customFormat="1" ht="11.25" outlineLevel="1" x14ac:dyDescent="0.2">
      <c r="A264" s="590"/>
      <c r="B264" s="591" t="str">
        <f>IF(D264&lt;&gt;"",
IF(ISERROR(MATCH(D264,'Ist Vorjahr Monat 01'!A:A,0))=FALSE,INDEX('Ist Vorjahr Monat 01'!B:B,MATCH(D264,'Ist Vorjahr Monat 01'!A:A,0)),
IF(ISERROR(MATCH(D264,'Ist Vorjahr Monat 02'!A:A,0))=FALSE,INDEX('Ist Vorjahr Monat 02'!B:B,MATCH(D264,'Ist Vorjahr Monat 02'!A:A,0)),
IF(ISERROR(MATCH(D264,'Ist Vorjahr Monat 03'!A:A,0))=FALSE,INDEX('Ist Vorjahr Monat 03'!B:B,MATCH(D264,'Ist Vorjahr Monat 03'!A:A,0)),
IF(ISERROR(MATCH(D264,'Ist Vorjahr Monat 04'!A:A,0))=FALSE,INDEX('Ist Vorjahr Monat 04'!B:B,MATCH(D264,'Ist Vorjahr Monat 04'!A:A,0)),
IF(ISERROR(MATCH(D264,'Ist Vorjahr Monat 05'!A:A,0))=FALSE,INDEX('Ist Vorjahr Monat 05'!B:B,MATCH(D264,'Ist Vorjahr Monat 05'!A:A,0)),
IF(ISERROR(MATCH(D264,'Ist Vorjahr Monat 06'!A:A,0))=FALSE,INDEX('Ist Vorjahr Monat 06'!B:B,MATCH(D264,'Ist Vorjahr Monat 06'!A:A,0)),
IF(ISERROR(MATCH(D264,'Ist Vorjahr Monat 07'!A:A,0))=FALSE,INDEX('Ist Vorjahr Monat 07'!B:B,MATCH(D264,'Ist Vorjahr Monat 07'!A:A,0)),
IF(ISERROR(MATCH(D264,'Ist Vorjahr Monat 08'!A:A,0))=FALSE,INDEX('Ist Vorjahr Monat 08'!B:B,MATCH(D264,'Ist Vorjahr Monat 08'!A:A,0)),
IF(ISERROR(MATCH(D264,'Ist Vorjahr Monat 09'!A:A,0))=FALSE,INDEX('Ist Vorjahr Monat 09'!B:B,MATCH(D264,'Ist Vorjahr Monat 09'!A:A,0)),
IF(ISERROR(MATCH(D264,'Ist Vorjahr Monat 10'!A:A,0))=FALSE,INDEX('Ist Vorjahr Monat 10'!B:B,MATCH(D264,'Ist Vorjahr Monat 10'!A:A,0)),
IF(ISERROR(MATCH(D264,'Ist Vorjahr Monat 11'!A:A,0))=FALSE,INDEX('Ist Vorjahr Monat 11'!B:B,MATCH(D264,'Ist Vorjahr Monat 11'!A:A,0)),
IF(ISERROR(MATCH(D264,'Ist Vorjahr Monat 12'!A:A,0))=FALSE,INDEX('Ist Vorjahr Monat 12'!B:B,MATCH(D264,'Ist Vorjahr Monat 12'!A:A,0)),
"{Konto unbekannt}"
)))))))))))),"")</f>
        <v/>
      </c>
      <c r="C264" s="591"/>
      <c r="D264" s="590"/>
      <c r="E264" s="592">
        <f t="shared" si="105"/>
        <v>1</v>
      </c>
      <c r="F264" s="590"/>
      <c r="G264" s="593">
        <f ca="1">$E264*(-SUMIF(INDIRECT(G$3),'Struktur Vorjahr'!$D264,INDIRECT(G$4))+SUMIF(INDIRECT(G$3),'Struktur Vorjahr'!$D264,INDIRECT(G$5)))</f>
        <v>0</v>
      </c>
      <c r="H264" s="593">
        <f ca="1">$E264*(-SUMIF(INDIRECT(H$3),'Struktur Vorjahr'!$D264,INDIRECT(H$4))+SUMIF(INDIRECT(H$3),'Struktur Vorjahr'!$D264,INDIRECT(H$5)))</f>
        <v>0</v>
      </c>
      <c r="I264" s="593">
        <f ca="1">$E264*(-SUMIF(INDIRECT(I$3),'Struktur Vorjahr'!$D264,INDIRECT(I$4))+SUMIF(INDIRECT(I$3),'Struktur Vorjahr'!$D264,INDIRECT(I$5)))</f>
        <v>0</v>
      </c>
      <c r="J264" s="593">
        <f ca="1">$E264*(-SUMIF(INDIRECT(J$3),'Struktur Vorjahr'!$D264,INDIRECT(J$4))+SUMIF(INDIRECT(J$3),'Struktur Vorjahr'!$D264,INDIRECT(J$5)))</f>
        <v>0</v>
      </c>
      <c r="K264" s="593">
        <f ca="1">$E264*(-SUMIF(INDIRECT(K$3),'Struktur Vorjahr'!$D264,INDIRECT(K$4))+SUMIF(INDIRECT(K$3),'Struktur Vorjahr'!$D264,INDIRECT(K$5)))</f>
        <v>0</v>
      </c>
      <c r="L264" s="593">
        <f ca="1">$E264*(-SUMIF(INDIRECT(L$3),'Struktur Vorjahr'!$D264,INDIRECT(L$4))+SUMIF(INDIRECT(L$3),'Struktur Vorjahr'!$D264,INDIRECT(L$5)))</f>
        <v>0</v>
      </c>
      <c r="M264" s="593">
        <f ca="1">$E264*(-SUMIF(INDIRECT(M$3),'Struktur Vorjahr'!$D264,INDIRECT(M$4))+SUMIF(INDIRECT(M$3),'Struktur Vorjahr'!$D264,INDIRECT(M$5)))</f>
        <v>0</v>
      </c>
      <c r="N264" s="593">
        <f ca="1">$E264*(-SUMIF(INDIRECT(N$3),'Struktur Vorjahr'!$D264,INDIRECT(N$4))+SUMIF(INDIRECT(N$3),'Struktur Vorjahr'!$D264,INDIRECT(N$5)))</f>
        <v>0</v>
      </c>
      <c r="O264" s="593">
        <f ca="1">$E264*(-SUMIF(INDIRECT(O$3),'Struktur Vorjahr'!$D264,INDIRECT(O$4))+SUMIF(INDIRECT(O$3),'Struktur Vorjahr'!$D264,INDIRECT(O$5)))</f>
        <v>0</v>
      </c>
      <c r="P264" s="593">
        <f ca="1">$E264*(-SUMIF(INDIRECT(P$3),'Struktur Vorjahr'!$D264,INDIRECT(P$4))+SUMIF(INDIRECT(P$3),'Struktur Vorjahr'!$D264,INDIRECT(P$5)))</f>
        <v>0</v>
      </c>
      <c r="Q264" s="593">
        <f ca="1">$E264*(-SUMIF(INDIRECT(Q$3),'Struktur Vorjahr'!$D264,INDIRECT(Q$4))+SUMIF(INDIRECT(Q$3),'Struktur Vorjahr'!$D264,INDIRECT(Q$5)))</f>
        <v>0</v>
      </c>
      <c r="R264" s="593">
        <f ca="1">$E264*(-SUMIF(INDIRECT(R$3),'Struktur Vorjahr'!$D264,INDIRECT(R$4))+SUMIF(INDIRECT(R$3),'Struktur Vorjahr'!$D264,INDIRECT(R$5)))</f>
        <v>0</v>
      </c>
      <c r="S264" s="593">
        <f ca="1">$E264*(-SUMIF(INDIRECT(S$3),'Struktur Vorjahr'!$D264,INDIRECT(S$4))+SUMIF(INDIRECT(S$3),'Struktur Vorjahr'!$D264,INDIRECT(S$5)))</f>
        <v>0</v>
      </c>
      <c r="T264" s="593">
        <f ca="1">$E264*(-SUMIF(INDIRECT(T$3),'Struktur Vorjahr'!$D264,INDIRECT(T$4))+SUMIF(INDIRECT(T$3),'Struktur Vorjahr'!$D264,INDIRECT(T$5)))</f>
        <v>0</v>
      </c>
      <c r="U264" s="593">
        <f ca="1">$E264*(-SUMIF(INDIRECT(U$3),'Struktur Vorjahr'!$D264,INDIRECT(U$4))+SUMIF(INDIRECT(U$3),'Struktur Vorjahr'!$D264,INDIRECT(U$5)))</f>
        <v>0</v>
      </c>
      <c r="V264" s="593">
        <f ca="1">$E264*(-SUMIF(INDIRECT(V$3),'Struktur Vorjahr'!$D264,INDIRECT(V$4))+SUMIF(INDIRECT(V$3),'Struktur Vorjahr'!$D264,INDIRECT(V$5)))</f>
        <v>0</v>
      </c>
      <c r="W264" s="593">
        <f ca="1">$E264*(-SUMIF(INDIRECT(W$3),'Struktur Vorjahr'!$D264,INDIRECT(W$4))+SUMIF(INDIRECT(W$3),'Struktur Vorjahr'!$D264,INDIRECT(W$5)))</f>
        <v>0</v>
      </c>
      <c r="X264" s="593">
        <f ca="1">$E264*(-SUMIF(INDIRECT(X$3),'Struktur Vorjahr'!$D264,INDIRECT(X$4))+SUMIF(INDIRECT(X$3),'Struktur Vorjahr'!$D264,INDIRECT(X$5)))</f>
        <v>0</v>
      </c>
      <c r="Y264" s="593">
        <f ca="1">$E264*(-SUMIF(INDIRECT(Y$3),'Struktur Vorjahr'!$D264,INDIRECT(Y$4))+SUMIF(INDIRECT(Y$3),'Struktur Vorjahr'!$D264,INDIRECT(Y$5)))</f>
        <v>0</v>
      </c>
      <c r="Z264" s="593">
        <f ca="1">$E264*(-SUMIF(INDIRECT(Z$3),'Struktur Vorjahr'!$D264,INDIRECT(Z$4))+SUMIF(INDIRECT(Z$3),'Struktur Vorjahr'!$D264,INDIRECT(Z$5)))</f>
        <v>0</v>
      </c>
      <c r="AA264" s="593">
        <f ca="1">$E264*(-SUMIF(INDIRECT(AA$3),'Struktur Vorjahr'!$D264,INDIRECT(AA$4))+SUMIF(INDIRECT(AA$3),'Struktur Vorjahr'!$D264,INDIRECT(AA$5)))</f>
        <v>0</v>
      </c>
      <c r="AB264" s="593">
        <f ca="1">$E264*(-SUMIF(INDIRECT(AB$3),'Struktur Vorjahr'!$D264,INDIRECT(AB$4))+SUMIF(INDIRECT(AB$3),'Struktur Vorjahr'!$D264,INDIRECT(AB$5)))</f>
        <v>0</v>
      </c>
      <c r="AC264" s="593">
        <f ca="1">$E264*(-SUMIF(INDIRECT(AC$3),'Struktur Vorjahr'!$D264,INDIRECT(AC$4))+SUMIF(INDIRECT(AC$3),'Struktur Vorjahr'!$D264,INDIRECT(AC$5)))</f>
        <v>0</v>
      </c>
      <c r="AD264" s="593">
        <f ca="1">$E264*(-SUMIF(INDIRECT(AD$3),'Struktur Vorjahr'!$D264,INDIRECT(AD$4))+SUMIF(INDIRECT(AD$3),'Struktur Vorjahr'!$D264,INDIRECT(AD$5)))</f>
        <v>0</v>
      </c>
      <c r="AE264" s="593">
        <f t="shared" ca="1" si="116"/>
        <v>0</v>
      </c>
      <c r="AF264" s="593">
        <f t="shared" ca="1" si="117"/>
        <v>0</v>
      </c>
      <c r="AG264" s="593">
        <f t="shared" ca="1" si="117"/>
        <v>0</v>
      </c>
      <c r="AH264" s="593">
        <f t="shared" ca="1" si="117"/>
        <v>0</v>
      </c>
      <c r="AI264" s="593">
        <f t="shared" ca="1" si="117"/>
        <v>0</v>
      </c>
      <c r="AJ264" s="593">
        <f t="shared" ca="1" si="117"/>
        <v>0</v>
      </c>
      <c r="AK264" s="593">
        <f t="shared" ca="1" si="117"/>
        <v>0</v>
      </c>
      <c r="AL264" s="593">
        <f t="shared" ca="1" si="117"/>
        <v>0</v>
      </c>
      <c r="AM264" s="593">
        <f t="shared" ca="1" si="117"/>
        <v>0</v>
      </c>
      <c r="AN264" s="593">
        <f t="shared" ca="1" si="117"/>
        <v>0</v>
      </c>
      <c r="AO264" s="593">
        <f t="shared" ca="1" si="117"/>
        <v>0</v>
      </c>
      <c r="AP264" s="593">
        <f t="shared" ca="1" si="117"/>
        <v>0</v>
      </c>
    </row>
    <row r="265" spans="1:42" s="594" customFormat="1" ht="11.25" outlineLevel="1" x14ac:dyDescent="0.2">
      <c r="A265" s="590"/>
      <c r="B265" s="591" t="str">
        <f>IF(D265&lt;&gt;"",
IF(ISERROR(MATCH(D265,'Ist Vorjahr Monat 01'!A:A,0))=FALSE,INDEX('Ist Vorjahr Monat 01'!B:B,MATCH(D265,'Ist Vorjahr Monat 01'!A:A,0)),
IF(ISERROR(MATCH(D265,'Ist Vorjahr Monat 02'!A:A,0))=FALSE,INDEX('Ist Vorjahr Monat 02'!B:B,MATCH(D265,'Ist Vorjahr Monat 02'!A:A,0)),
IF(ISERROR(MATCH(D265,'Ist Vorjahr Monat 03'!A:A,0))=FALSE,INDEX('Ist Vorjahr Monat 03'!B:B,MATCH(D265,'Ist Vorjahr Monat 03'!A:A,0)),
IF(ISERROR(MATCH(D265,'Ist Vorjahr Monat 04'!A:A,0))=FALSE,INDEX('Ist Vorjahr Monat 04'!B:B,MATCH(D265,'Ist Vorjahr Monat 04'!A:A,0)),
IF(ISERROR(MATCH(D265,'Ist Vorjahr Monat 05'!A:A,0))=FALSE,INDEX('Ist Vorjahr Monat 05'!B:B,MATCH(D265,'Ist Vorjahr Monat 05'!A:A,0)),
IF(ISERROR(MATCH(D265,'Ist Vorjahr Monat 06'!A:A,0))=FALSE,INDEX('Ist Vorjahr Monat 06'!B:B,MATCH(D265,'Ist Vorjahr Monat 06'!A:A,0)),
IF(ISERROR(MATCH(D265,'Ist Vorjahr Monat 07'!A:A,0))=FALSE,INDEX('Ist Vorjahr Monat 07'!B:B,MATCH(D265,'Ist Vorjahr Monat 07'!A:A,0)),
IF(ISERROR(MATCH(D265,'Ist Vorjahr Monat 08'!A:A,0))=FALSE,INDEX('Ist Vorjahr Monat 08'!B:B,MATCH(D265,'Ist Vorjahr Monat 08'!A:A,0)),
IF(ISERROR(MATCH(D265,'Ist Vorjahr Monat 09'!A:A,0))=FALSE,INDEX('Ist Vorjahr Monat 09'!B:B,MATCH(D265,'Ist Vorjahr Monat 09'!A:A,0)),
IF(ISERROR(MATCH(D265,'Ist Vorjahr Monat 10'!A:A,0))=FALSE,INDEX('Ist Vorjahr Monat 10'!B:B,MATCH(D265,'Ist Vorjahr Monat 10'!A:A,0)),
IF(ISERROR(MATCH(D265,'Ist Vorjahr Monat 11'!A:A,0))=FALSE,INDEX('Ist Vorjahr Monat 11'!B:B,MATCH(D265,'Ist Vorjahr Monat 11'!A:A,0)),
IF(ISERROR(MATCH(D265,'Ist Vorjahr Monat 12'!A:A,0))=FALSE,INDEX('Ist Vorjahr Monat 12'!B:B,MATCH(D265,'Ist Vorjahr Monat 12'!A:A,0)),
"{Konto unbekannt}"
)))))))))))),"")</f>
        <v/>
      </c>
      <c r="C265" s="591"/>
      <c r="D265" s="590"/>
      <c r="E265" s="592">
        <f t="shared" si="105"/>
        <v>1</v>
      </c>
      <c r="F265" s="590"/>
      <c r="G265" s="593">
        <f ca="1">$E265*(-SUMIF(INDIRECT(G$3),'Struktur Vorjahr'!$D265,INDIRECT(G$4))+SUMIF(INDIRECT(G$3),'Struktur Vorjahr'!$D265,INDIRECT(G$5)))</f>
        <v>0</v>
      </c>
      <c r="H265" s="593">
        <f ca="1">$E265*(-SUMIF(INDIRECT(H$3),'Struktur Vorjahr'!$D265,INDIRECT(H$4))+SUMIF(INDIRECT(H$3),'Struktur Vorjahr'!$D265,INDIRECT(H$5)))</f>
        <v>0</v>
      </c>
      <c r="I265" s="593">
        <f ca="1">$E265*(-SUMIF(INDIRECT(I$3),'Struktur Vorjahr'!$D265,INDIRECT(I$4))+SUMIF(INDIRECT(I$3),'Struktur Vorjahr'!$D265,INDIRECT(I$5)))</f>
        <v>0</v>
      </c>
      <c r="J265" s="593">
        <f ca="1">$E265*(-SUMIF(INDIRECT(J$3),'Struktur Vorjahr'!$D265,INDIRECT(J$4))+SUMIF(INDIRECT(J$3),'Struktur Vorjahr'!$D265,INDIRECT(J$5)))</f>
        <v>0</v>
      </c>
      <c r="K265" s="593">
        <f ca="1">$E265*(-SUMIF(INDIRECT(K$3),'Struktur Vorjahr'!$D265,INDIRECT(K$4))+SUMIF(INDIRECT(K$3),'Struktur Vorjahr'!$D265,INDIRECT(K$5)))</f>
        <v>0</v>
      </c>
      <c r="L265" s="593">
        <f ca="1">$E265*(-SUMIF(INDIRECT(L$3),'Struktur Vorjahr'!$D265,INDIRECT(L$4))+SUMIF(INDIRECT(L$3),'Struktur Vorjahr'!$D265,INDIRECT(L$5)))</f>
        <v>0</v>
      </c>
      <c r="M265" s="593">
        <f ca="1">$E265*(-SUMIF(INDIRECT(M$3),'Struktur Vorjahr'!$D265,INDIRECT(M$4))+SUMIF(INDIRECT(M$3),'Struktur Vorjahr'!$D265,INDIRECT(M$5)))</f>
        <v>0</v>
      </c>
      <c r="N265" s="593">
        <f ca="1">$E265*(-SUMIF(INDIRECT(N$3),'Struktur Vorjahr'!$D265,INDIRECT(N$4))+SUMIF(INDIRECT(N$3),'Struktur Vorjahr'!$D265,INDIRECT(N$5)))</f>
        <v>0</v>
      </c>
      <c r="O265" s="593">
        <f ca="1">$E265*(-SUMIF(INDIRECT(O$3),'Struktur Vorjahr'!$D265,INDIRECT(O$4))+SUMIF(INDIRECT(O$3),'Struktur Vorjahr'!$D265,INDIRECT(O$5)))</f>
        <v>0</v>
      </c>
      <c r="P265" s="593">
        <f ca="1">$E265*(-SUMIF(INDIRECT(P$3),'Struktur Vorjahr'!$D265,INDIRECT(P$4))+SUMIF(INDIRECT(P$3),'Struktur Vorjahr'!$D265,INDIRECT(P$5)))</f>
        <v>0</v>
      </c>
      <c r="Q265" s="593">
        <f ca="1">$E265*(-SUMIF(INDIRECT(Q$3),'Struktur Vorjahr'!$D265,INDIRECT(Q$4))+SUMIF(INDIRECT(Q$3),'Struktur Vorjahr'!$D265,INDIRECT(Q$5)))</f>
        <v>0</v>
      </c>
      <c r="R265" s="593">
        <f ca="1">$E265*(-SUMIF(INDIRECT(R$3),'Struktur Vorjahr'!$D265,INDIRECT(R$4))+SUMIF(INDIRECT(R$3),'Struktur Vorjahr'!$D265,INDIRECT(R$5)))</f>
        <v>0</v>
      </c>
      <c r="S265" s="593">
        <f ca="1">$E265*(-SUMIF(INDIRECT(S$3),'Struktur Vorjahr'!$D265,INDIRECT(S$4))+SUMIF(INDIRECT(S$3),'Struktur Vorjahr'!$D265,INDIRECT(S$5)))</f>
        <v>0</v>
      </c>
      <c r="T265" s="593">
        <f ca="1">$E265*(-SUMIF(INDIRECT(T$3),'Struktur Vorjahr'!$D265,INDIRECT(T$4))+SUMIF(INDIRECT(T$3),'Struktur Vorjahr'!$D265,INDIRECT(T$5)))</f>
        <v>0</v>
      </c>
      <c r="U265" s="593">
        <f ca="1">$E265*(-SUMIF(INDIRECT(U$3),'Struktur Vorjahr'!$D265,INDIRECT(U$4))+SUMIF(INDIRECT(U$3),'Struktur Vorjahr'!$D265,INDIRECT(U$5)))</f>
        <v>0</v>
      </c>
      <c r="V265" s="593">
        <f ca="1">$E265*(-SUMIF(INDIRECT(V$3),'Struktur Vorjahr'!$D265,INDIRECT(V$4))+SUMIF(INDIRECT(V$3),'Struktur Vorjahr'!$D265,INDIRECT(V$5)))</f>
        <v>0</v>
      </c>
      <c r="W265" s="593">
        <f ca="1">$E265*(-SUMIF(INDIRECT(W$3),'Struktur Vorjahr'!$D265,INDIRECT(W$4))+SUMIF(INDIRECT(W$3),'Struktur Vorjahr'!$D265,INDIRECT(W$5)))</f>
        <v>0</v>
      </c>
      <c r="X265" s="593">
        <f ca="1">$E265*(-SUMIF(INDIRECT(X$3),'Struktur Vorjahr'!$D265,INDIRECT(X$4))+SUMIF(INDIRECT(X$3),'Struktur Vorjahr'!$D265,INDIRECT(X$5)))</f>
        <v>0</v>
      </c>
      <c r="Y265" s="593">
        <f ca="1">$E265*(-SUMIF(INDIRECT(Y$3),'Struktur Vorjahr'!$D265,INDIRECT(Y$4))+SUMIF(INDIRECT(Y$3),'Struktur Vorjahr'!$D265,INDIRECT(Y$5)))</f>
        <v>0</v>
      </c>
      <c r="Z265" s="593">
        <f ca="1">$E265*(-SUMIF(INDIRECT(Z$3),'Struktur Vorjahr'!$D265,INDIRECT(Z$4))+SUMIF(INDIRECT(Z$3),'Struktur Vorjahr'!$D265,INDIRECT(Z$5)))</f>
        <v>0</v>
      </c>
      <c r="AA265" s="593">
        <f ca="1">$E265*(-SUMIF(INDIRECT(AA$3),'Struktur Vorjahr'!$D265,INDIRECT(AA$4))+SUMIF(INDIRECT(AA$3),'Struktur Vorjahr'!$D265,INDIRECT(AA$5)))</f>
        <v>0</v>
      </c>
      <c r="AB265" s="593">
        <f ca="1">$E265*(-SUMIF(INDIRECT(AB$3),'Struktur Vorjahr'!$D265,INDIRECT(AB$4))+SUMIF(INDIRECT(AB$3),'Struktur Vorjahr'!$D265,INDIRECT(AB$5)))</f>
        <v>0</v>
      </c>
      <c r="AC265" s="593">
        <f ca="1">$E265*(-SUMIF(INDIRECT(AC$3),'Struktur Vorjahr'!$D265,INDIRECT(AC$4))+SUMIF(INDIRECT(AC$3),'Struktur Vorjahr'!$D265,INDIRECT(AC$5)))</f>
        <v>0</v>
      </c>
      <c r="AD265" s="593">
        <f ca="1">$E265*(-SUMIF(INDIRECT(AD$3),'Struktur Vorjahr'!$D265,INDIRECT(AD$4))+SUMIF(INDIRECT(AD$3),'Struktur Vorjahr'!$D265,INDIRECT(AD$5)))</f>
        <v>0</v>
      </c>
      <c r="AE265" s="593">
        <f t="shared" ca="1" si="116"/>
        <v>0</v>
      </c>
      <c r="AF265" s="593">
        <f t="shared" ca="1" si="117"/>
        <v>0</v>
      </c>
      <c r="AG265" s="593">
        <f t="shared" ca="1" si="117"/>
        <v>0</v>
      </c>
      <c r="AH265" s="593">
        <f t="shared" ca="1" si="117"/>
        <v>0</v>
      </c>
      <c r="AI265" s="593">
        <f t="shared" ca="1" si="117"/>
        <v>0</v>
      </c>
      <c r="AJ265" s="593">
        <f t="shared" ca="1" si="117"/>
        <v>0</v>
      </c>
      <c r="AK265" s="593">
        <f t="shared" ca="1" si="117"/>
        <v>0</v>
      </c>
      <c r="AL265" s="593">
        <f t="shared" ca="1" si="117"/>
        <v>0</v>
      </c>
      <c r="AM265" s="593">
        <f t="shared" ca="1" si="117"/>
        <v>0</v>
      </c>
      <c r="AN265" s="593">
        <f t="shared" ca="1" si="117"/>
        <v>0</v>
      </c>
      <c r="AO265" s="593">
        <f t="shared" ca="1" si="117"/>
        <v>0</v>
      </c>
      <c r="AP265" s="593">
        <f t="shared" ca="1" si="117"/>
        <v>0</v>
      </c>
    </row>
    <row r="266" spans="1:42" s="594" customFormat="1" ht="11.25" outlineLevel="1" x14ac:dyDescent="0.2">
      <c r="A266" s="590"/>
      <c r="B266" s="591" t="str">
        <f>IF(D266&lt;&gt;"",
IF(ISERROR(MATCH(D266,'Ist Vorjahr Monat 01'!A:A,0))=FALSE,INDEX('Ist Vorjahr Monat 01'!B:B,MATCH(D266,'Ist Vorjahr Monat 01'!A:A,0)),
IF(ISERROR(MATCH(D266,'Ist Vorjahr Monat 02'!A:A,0))=FALSE,INDEX('Ist Vorjahr Monat 02'!B:B,MATCH(D266,'Ist Vorjahr Monat 02'!A:A,0)),
IF(ISERROR(MATCH(D266,'Ist Vorjahr Monat 03'!A:A,0))=FALSE,INDEX('Ist Vorjahr Monat 03'!B:B,MATCH(D266,'Ist Vorjahr Monat 03'!A:A,0)),
IF(ISERROR(MATCH(D266,'Ist Vorjahr Monat 04'!A:A,0))=FALSE,INDEX('Ist Vorjahr Monat 04'!B:B,MATCH(D266,'Ist Vorjahr Monat 04'!A:A,0)),
IF(ISERROR(MATCH(D266,'Ist Vorjahr Monat 05'!A:A,0))=FALSE,INDEX('Ist Vorjahr Monat 05'!B:B,MATCH(D266,'Ist Vorjahr Monat 05'!A:A,0)),
IF(ISERROR(MATCH(D266,'Ist Vorjahr Monat 06'!A:A,0))=FALSE,INDEX('Ist Vorjahr Monat 06'!B:B,MATCH(D266,'Ist Vorjahr Monat 06'!A:A,0)),
IF(ISERROR(MATCH(D266,'Ist Vorjahr Monat 07'!A:A,0))=FALSE,INDEX('Ist Vorjahr Monat 07'!B:B,MATCH(D266,'Ist Vorjahr Monat 07'!A:A,0)),
IF(ISERROR(MATCH(D266,'Ist Vorjahr Monat 08'!A:A,0))=FALSE,INDEX('Ist Vorjahr Monat 08'!B:B,MATCH(D266,'Ist Vorjahr Monat 08'!A:A,0)),
IF(ISERROR(MATCH(D266,'Ist Vorjahr Monat 09'!A:A,0))=FALSE,INDEX('Ist Vorjahr Monat 09'!B:B,MATCH(D266,'Ist Vorjahr Monat 09'!A:A,0)),
IF(ISERROR(MATCH(D266,'Ist Vorjahr Monat 10'!A:A,0))=FALSE,INDEX('Ist Vorjahr Monat 10'!B:B,MATCH(D266,'Ist Vorjahr Monat 10'!A:A,0)),
IF(ISERROR(MATCH(D266,'Ist Vorjahr Monat 11'!A:A,0))=FALSE,INDEX('Ist Vorjahr Monat 11'!B:B,MATCH(D266,'Ist Vorjahr Monat 11'!A:A,0)),
IF(ISERROR(MATCH(D266,'Ist Vorjahr Monat 12'!A:A,0))=FALSE,INDEX('Ist Vorjahr Monat 12'!B:B,MATCH(D266,'Ist Vorjahr Monat 12'!A:A,0)),
"{Konto unbekannt}"
)))))))))))),"")</f>
        <v/>
      </c>
      <c r="C266" s="591"/>
      <c r="D266" s="590"/>
      <c r="E266" s="592">
        <f t="shared" si="105"/>
        <v>1</v>
      </c>
      <c r="F266" s="590"/>
      <c r="G266" s="593">
        <f ca="1">$E266*(-SUMIF(INDIRECT(G$3),'Struktur Vorjahr'!$D266,INDIRECT(G$4))+SUMIF(INDIRECT(G$3),'Struktur Vorjahr'!$D266,INDIRECT(G$5)))</f>
        <v>0</v>
      </c>
      <c r="H266" s="593">
        <f ca="1">$E266*(-SUMIF(INDIRECT(H$3),'Struktur Vorjahr'!$D266,INDIRECT(H$4))+SUMIF(INDIRECT(H$3),'Struktur Vorjahr'!$D266,INDIRECT(H$5)))</f>
        <v>0</v>
      </c>
      <c r="I266" s="593">
        <f ca="1">$E266*(-SUMIF(INDIRECT(I$3),'Struktur Vorjahr'!$D266,INDIRECT(I$4))+SUMIF(INDIRECT(I$3),'Struktur Vorjahr'!$D266,INDIRECT(I$5)))</f>
        <v>0</v>
      </c>
      <c r="J266" s="593">
        <f ca="1">$E266*(-SUMIF(INDIRECT(J$3),'Struktur Vorjahr'!$D266,INDIRECT(J$4))+SUMIF(INDIRECT(J$3),'Struktur Vorjahr'!$D266,INDIRECT(J$5)))</f>
        <v>0</v>
      </c>
      <c r="K266" s="593">
        <f ca="1">$E266*(-SUMIF(INDIRECT(K$3),'Struktur Vorjahr'!$D266,INDIRECT(K$4))+SUMIF(INDIRECT(K$3),'Struktur Vorjahr'!$D266,INDIRECT(K$5)))</f>
        <v>0</v>
      </c>
      <c r="L266" s="593">
        <f ca="1">$E266*(-SUMIF(INDIRECT(L$3),'Struktur Vorjahr'!$D266,INDIRECT(L$4))+SUMIF(INDIRECT(L$3),'Struktur Vorjahr'!$D266,INDIRECT(L$5)))</f>
        <v>0</v>
      </c>
      <c r="M266" s="593">
        <f ca="1">$E266*(-SUMIF(INDIRECT(M$3),'Struktur Vorjahr'!$D266,INDIRECT(M$4))+SUMIF(INDIRECT(M$3),'Struktur Vorjahr'!$D266,INDIRECT(M$5)))</f>
        <v>0</v>
      </c>
      <c r="N266" s="593">
        <f ca="1">$E266*(-SUMIF(INDIRECT(N$3),'Struktur Vorjahr'!$D266,INDIRECT(N$4))+SUMIF(INDIRECT(N$3),'Struktur Vorjahr'!$D266,INDIRECT(N$5)))</f>
        <v>0</v>
      </c>
      <c r="O266" s="593">
        <f ca="1">$E266*(-SUMIF(INDIRECT(O$3),'Struktur Vorjahr'!$D266,INDIRECT(O$4))+SUMIF(INDIRECT(O$3),'Struktur Vorjahr'!$D266,INDIRECT(O$5)))</f>
        <v>0</v>
      </c>
      <c r="P266" s="593">
        <f ca="1">$E266*(-SUMIF(INDIRECT(P$3),'Struktur Vorjahr'!$D266,INDIRECT(P$4))+SUMIF(INDIRECT(P$3),'Struktur Vorjahr'!$D266,INDIRECT(P$5)))</f>
        <v>0</v>
      </c>
      <c r="Q266" s="593">
        <f ca="1">$E266*(-SUMIF(INDIRECT(Q$3),'Struktur Vorjahr'!$D266,INDIRECT(Q$4))+SUMIF(INDIRECT(Q$3),'Struktur Vorjahr'!$D266,INDIRECT(Q$5)))</f>
        <v>0</v>
      </c>
      <c r="R266" s="593">
        <f ca="1">$E266*(-SUMIF(INDIRECT(R$3),'Struktur Vorjahr'!$D266,INDIRECT(R$4))+SUMIF(INDIRECT(R$3),'Struktur Vorjahr'!$D266,INDIRECT(R$5)))</f>
        <v>0</v>
      </c>
      <c r="S266" s="593">
        <f ca="1">$E266*(-SUMIF(INDIRECT(S$3),'Struktur Vorjahr'!$D266,INDIRECT(S$4))+SUMIF(INDIRECT(S$3),'Struktur Vorjahr'!$D266,INDIRECT(S$5)))</f>
        <v>0</v>
      </c>
      <c r="T266" s="593">
        <f ca="1">$E266*(-SUMIF(INDIRECT(T$3),'Struktur Vorjahr'!$D266,INDIRECT(T$4))+SUMIF(INDIRECT(T$3),'Struktur Vorjahr'!$D266,INDIRECT(T$5)))</f>
        <v>0</v>
      </c>
      <c r="U266" s="593">
        <f ca="1">$E266*(-SUMIF(INDIRECT(U$3),'Struktur Vorjahr'!$D266,INDIRECT(U$4))+SUMIF(INDIRECT(U$3),'Struktur Vorjahr'!$D266,INDIRECT(U$5)))</f>
        <v>0</v>
      </c>
      <c r="V266" s="593">
        <f ca="1">$E266*(-SUMIF(INDIRECT(V$3),'Struktur Vorjahr'!$D266,INDIRECT(V$4))+SUMIF(INDIRECT(V$3),'Struktur Vorjahr'!$D266,INDIRECT(V$5)))</f>
        <v>0</v>
      </c>
      <c r="W266" s="593">
        <f ca="1">$E266*(-SUMIF(INDIRECT(W$3),'Struktur Vorjahr'!$D266,INDIRECT(W$4))+SUMIF(INDIRECT(W$3),'Struktur Vorjahr'!$D266,INDIRECT(W$5)))</f>
        <v>0</v>
      </c>
      <c r="X266" s="593">
        <f ca="1">$E266*(-SUMIF(INDIRECT(X$3),'Struktur Vorjahr'!$D266,INDIRECT(X$4))+SUMIF(INDIRECT(X$3),'Struktur Vorjahr'!$D266,INDIRECT(X$5)))</f>
        <v>0</v>
      </c>
      <c r="Y266" s="593">
        <f ca="1">$E266*(-SUMIF(INDIRECT(Y$3),'Struktur Vorjahr'!$D266,INDIRECT(Y$4))+SUMIF(INDIRECT(Y$3),'Struktur Vorjahr'!$D266,INDIRECT(Y$5)))</f>
        <v>0</v>
      </c>
      <c r="Z266" s="593">
        <f ca="1">$E266*(-SUMIF(INDIRECT(Z$3),'Struktur Vorjahr'!$D266,INDIRECT(Z$4))+SUMIF(INDIRECT(Z$3),'Struktur Vorjahr'!$D266,INDIRECT(Z$5)))</f>
        <v>0</v>
      </c>
      <c r="AA266" s="593">
        <f ca="1">$E266*(-SUMIF(INDIRECT(AA$3),'Struktur Vorjahr'!$D266,INDIRECT(AA$4))+SUMIF(INDIRECT(AA$3),'Struktur Vorjahr'!$D266,INDIRECT(AA$5)))</f>
        <v>0</v>
      </c>
      <c r="AB266" s="593">
        <f ca="1">$E266*(-SUMIF(INDIRECT(AB$3),'Struktur Vorjahr'!$D266,INDIRECT(AB$4))+SUMIF(INDIRECT(AB$3),'Struktur Vorjahr'!$D266,INDIRECT(AB$5)))</f>
        <v>0</v>
      </c>
      <c r="AC266" s="593">
        <f ca="1">$E266*(-SUMIF(INDIRECT(AC$3),'Struktur Vorjahr'!$D266,INDIRECT(AC$4))+SUMIF(INDIRECT(AC$3),'Struktur Vorjahr'!$D266,INDIRECT(AC$5)))</f>
        <v>0</v>
      </c>
      <c r="AD266" s="593">
        <f ca="1">$E266*(-SUMIF(INDIRECT(AD$3),'Struktur Vorjahr'!$D266,INDIRECT(AD$4))+SUMIF(INDIRECT(AD$3),'Struktur Vorjahr'!$D266,INDIRECT(AD$5)))</f>
        <v>0</v>
      </c>
      <c r="AE266" s="593">
        <f t="shared" ca="1" si="116"/>
        <v>0</v>
      </c>
      <c r="AF266" s="593">
        <f t="shared" ca="1" si="117"/>
        <v>0</v>
      </c>
      <c r="AG266" s="593">
        <f t="shared" ca="1" si="117"/>
        <v>0</v>
      </c>
      <c r="AH266" s="593">
        <f t="shared" ca="1" si="117"/>
        <v>0</v>
      </c>
      <c r="AI266" s="593">
        <f t="shared" ca="1" si="117"/>
        <v>0</v>
      </c>
      <c r="AJ266" s="593">
        <f t="shared" ca="1" si="117"/>
        <v>0</v>
      </c>
      <c r="AK266" s="593">
        <f t="shared" ca="1" si="117"/>
        <v>0</v>
      </c>
      <c r="AL266" s="593">
        <f t="shared" ca="1" si="117"/>
        <v>0</v>
      </c>
      <c r="AM266" s="593">
        <f t="shared" ca="1" si="117"/>
        <v>0</v>
      </c>
      <c r="AN266" s="593">
        <f t="shared" ca="1" si="117"/>
        <v>0</v>
      </c>
      <c r="AO266" s="593">
        <f t="shared" ca="1" si="117"/>
        <v>0</v>
      </c>
      <c r="AP266" s="593">
        <f t="shared" ca="1" si="117"/>
        <v>0</v>
      </c>
    </row>
    <row r="267" spans="1:42" s="589" customFormat="1" x14ac:dyDescent="0.2">
      <c r="A267" s="585">
        <v>24</v>
      </c>
      <c r="B267" s="586" t="s">
        <v>585</v>
      </c>
      <c r="C267" s="587">
        <f ca="1">SUM(G267:R267)</f>
        <v>3255.74</v>
      </c>
      <c r="D267" s="587"/>
      <c r="E267" s="588">
        <f t="shared" si="105"/>
        <v>1</v>
      </c>
      <c r="F267" s="585"/>
      <c r="G267" s="587">
        <f t="shared" ref="G267:AP267" ca="1" si="118">SUM(G268:G285)</f>
        <v>168.98</v>
      </c>
      <c r="H267" s="587">
        <f t="shared" ca="1" si="118"/>
        <v>393.48</v>
      </c>
      <c r="I267" s="587">
        <f t="shared" ca="1" si="118"/>
        <v>459.4</v>
      </c>
      <c r="J267" s="587">
        <f t="shared" ca="1" si="118"/>
        <v>277.83</v>
      </c>
      <c r="K267" s="587">
        <f t="shared" ca="1" si="118"/>
        <v>293.74</v>
      </c>
      <c r="L267" s="587">
        <f t="shared" ca="1" si="118"/>
        <v>495.77</v>
      </c>
      <c r="M267" s="587">
        <f t="shared" ca="1" si="118"/>
        <v>315.00000000000006</v>
      </c>
      <c r="N267" s="587">
        <f t="shared" ca="1" si="118"/>
        <v>450.22</v>
      </c>
      <c r="O267" s="587">
        <f t="shared" ca="1" si="118"/>
        <v>127.83000000000001</v>
      </c>
      <c r="P267" s="587">
        <f t="shared" ca="1" si="118"/>
        <v>273.48999999999995</v>
      </c>
      <c r="Q267" s="587">
        <f t="shared" ca="1" si="118"/>
        <v>0</v>
      </c>
      <c r="R267" s="587">
        <f t="shared" ca="1" si="118"/>
        <v>0</v>
      </c>
      <c r="S267" s="587">
        <f t="shared" ca="1" si="118"/>
        <v>168.98</v>
      </c>
      <c r="T267" s="587">
        <f t="shared" ca="1" si="118"/>
        <v>562.45999999999992</v>
      </c>
      <c r="U267" s="587">
        <f t="shared" ca="1" si="118"/>
        <v>1021.86</v>
      </c>
      <c r="V267" s="587">
        <f t="shared" ca="1" si="118"/>
        <v>1299.69</v>
      </c>
      <c r="W267" s="587">
        <f t="shared" ca="1" si="118"/>
        <v>1593.4299999999998</v>
      </c>
      <c r="X267" s="587">
        <f t="shared" ca="1" si="118"/>
        <v>2089.2000000000003</v>
      </c>
      <c r="Y267" s="587">
        <f t="shared" ca="1" si="118"/>
        <v>2404.1999999999998</v>
      </c>
      <c r="Z267" s="587">
        <f t="shared" ca="1" si="118"/>
        <v>2854.42</v>
      </c>
      <c r="AA267" s="587">
        <f t="shared" ca="1" si="118"/>
        <v>2982.2499999999995</v>
      </c>
      <c r="AB267" s="587">
        <f t="shared" ca="1" si="118"/>
        <v>3255.74</v>
      </c>
      <c r="AC267" s="587">
        <f t="shared" ca="1" si="118"/>
        <v>0</v>
      </c>
      <c r="AD267" s="587">
        <f t="shared" ca="1" si="118"/>
        <v>0</v>
      </c>
      <c r="AE267" s="587">
        <f t="shared" ca="1" si="118"/>
        <v>168.98</v>
      </c>
      <c r="AF267" s="587">
        <f t="shared" ca="1" si="118"/>
        <v>562.45999999999992</v>
      </c>
      <c r="AG267" s="587">
        <f t="shared" ca="1" si="118"/>
        <v>1021.8600000000001</v>
      </c>
      <c r="AH267" s="587">
        <f t="shared" ca="1" si="118"/>
        <v>1299.69</v>
      </c>
      <c r="AI267" s="587">
        <f t="shared" ca="1" si="118"/>
        <v>1593.43</v>
      </c>
      <c r="AJ267" s="587">
        <f t="shared" ca="1" si="118"/>
        <v>2089.1999999999998</v>
      </c>
      <c r="AK267" s="587">
        <f t="shared" ca="1" si="118"/>
        <v>2404.1999999999998</v>
      </c>
      <c r="AL267" s="587">
        <f t="shared" ca="1" si="118"/>
        <v>2854.4199999999996</v>
      </c>
      <c r="AM267" s="587">
        <f t="shared" ca="1" si="118"/>
        <v>2982.2499999999995</v>
      </c>
      <c r="AN267" s="587">
        <f t="shared" ca="1" si="118"/>
        <v>3255.7400000000002</v>
      </c>
      <c r="AO267" s="587">
        <f t="shared" ca="1" si="118"/>
        <v>3255.7400000000002</v>
      </c>
      <c r="AP267" s="587">
        <f t="shared" ca="1" si="118"/>
        <v>3255.7400000000002</v>
      </c>
    </row>
    <row r="268" spans="1:42" s="594" customFormat="1" ht="11.25" outlineLevel="1" x14ac:dyDescent="0.2">
      <c r="A268" s="590"/>
      <c r="B268" s="591" t="str">
        <f>IF(D268&lt;&gt;"",
IF(ISERROR(MATCH(D268,'Ist Vorjahr Monat 01'!A:A,0))=FALSE,INDEX('Ist Vorjahr Monat 01'!B:B,MATCH(D268,'Ist Vorjahr Monat 01'!A:A,0)),
IF(ISERROR(MATCH(D268,'Ist Vorjahr Monat 02'!A:A,0))=FALSE,INDEX('Ist Vorjahr Monat 02'!B:B,MATCH(D268,'Ist Vorjahr Monat 02'!A:A,0)),
IF(ISERROR(MATCH(D268,'Ist Vorjahr Monat 03'!A:A,0))=FALSE,INDEX('Ist Vorjahr Monat 03'!B:B,MATCH(D268,'Ist Vorjahr Monat 03'!A:A,0)),
IF(ISERROR(MATCH(D268,'Ist Vorjahr Monat 04'!A:A,0))=FALSE,INDEX('Ist Vorjahr Monat 04'!B:B,MATCH(D268,'Ist Vorjahr Monat 04'!A:A,0)),
IF(ISERROR(MATCH(D268,'Ist Vorjahr Monat 05'!A:A,0))=FALSE,INDEX('Ist Vorjahr Monat 05'!B:B,MATCH(D268,'Ist Vorjahr Monat 05'!A:A,0)),
IF(ISERROR(MATCH(D268,'Ist Vorjahr Monat 06'!A:A,0))=FALSE,INDEX('Ist Vorjahr Monat 06'!B:B,MATCH(D268,'Ist Vorjahr Monat 06'!A:A,0)),
IF(ISERROR(MATCH(D268,'Ist Vorjahr Monat 07'!A:A,0))=FALSE,INDEX('Ist Vorjahr Monat 07'!B:B,MATCH(D268,'Ist Vorjahr Monat 07'!A:A,0)),
IF(ISERROR(MATCH(D268,'Ist Vorjahr Monat 08'!A:A,0))=FALSE,INDEX('Ist Vorjahr Monat 08'!B:B,MATCH(D268,'Ist Vorjahr Monat 08'!A:A,0)),
IF(ISERROR(MATCH(D268,'Ist Vorjahr Monat 09'!A:A,0))=FALSE,INDEX('Ist Vorjahr Monat 09'!B:B,MATCH(D268,'Ist Vorjahr Monat 09'!A:A,0)),
IF(ISERROR(MATCH(D268,'Ist Vorjahr Monat 10'!A:A,0))=FALSE,INDEX('Ist Vorjahr Monat 10'!B:B,MATCH(D268,'Ist Vorjahr Monat 10'!A:A,0)),
IF(ISERROR(MATCH(D268,'Ist Vorjahr Monat 11'!A:A,0))=FALSE,INDEX('Ist Vorjahr Monat 11'!B:B,MATCH(D268,'Ist Vorjahr Monat 11'!A:A,0)),
IF(ISERROR(MATCH(D268,'Ist Vorjahr Monat 12'!A:A,0))=FALSE,INDEX('Ist Vorjahr Monat 12'!B:B,MATCH(D268,'Ist Vorjahr Monat 12'!A:A,0)),
"{Konto unbekannt}"
)))))))))))),"")</f>
        <v>Sonstige betriebliche Aufwendungen</v>
      </c>
      <c r="C268" s="591"/>
      <c r="D268" s="590">
        <v>4900</v>
      </c>
      <c r="E268" s="592">
        <f t="shared" si="105"/>
        <v>1</v>
      </c>
      <c r="F268" s="590"/>
      <c r="G268" s="593">
        <f ca="1">$E268*(-SUMIF(INDIRECT(G$3),'Struktur Vorjahr'!$D268,INDIRECT(G$4))+SUMIF(INDIRECT(G$3),'Struktur Vorjahr'!$D268,INDIRECT(G$5)))</f>
        <v>145.19999999999999</v>
      </c>
      <c r="H268" s="593">
        <f ca="1">$E268*(-SUMIF(INDIRECT(H$3),'Struktur Vorjahr'!$D268,INDIRECT(H$4))+SUMIF(INDIRECT(H$3),'Struktur Vorjahr'!$D268,INDIRECT(H$5)))</f>
        <v>166.49</v>
      </c>
      <c r="I268" s="593">
        <f ca="1">$E268*(-SUMIF(INDIRECT(I$3),'Struktur Vorjahr'!$D268,INDIRECT(I$4))+SUMIF(INDIRECT(I$3),'Struktur Vorjahr'!$D268,INDIRECT(I$5)))</f>
        <v>281.72000000000003</v>
      </c>
      <c r="J268" s="593">
        <f ca="1">$E268*(-SUMIF(INDIRECT(J$3),'Struktur Vorjahr'!$D268,INDIRECT(J$4))+SUMIF(INDIRECT(J$3),'Struktur Vorjahr'!$D268,INDIRECT(J$5)))</f>
        <v>62.58</v>
      </c>
      <c r="K268" s="593">
        <f ca="1">$E268*(-SUMIF(INDIRECT(K$3),'Struktur Vorjahr'!$D268,INDIRECT(K$4))+SUMIF(INDIRECT(K$3),'Struktur Vorjahr'!$D268,INDIRECT(K$5)))</f>
        <v>170.92</v>
      </c>
      <c r="L268" s="593">
        <f ca="1">$E268*(-SUMIF(INDIRECT(L$3),'Struktur Vorjahr'!$D268,INDIRECT(L$4))+SUMIF(INDIRECT(L$3),'Struktur Vorjahr'!$D268,INDIRECT(L$5)))</f>
        <v>93.07</v>
      </c>
      <c r="M268" s="593">
        <f ca="1">$E268*(-SUMIF(INDIRECT(M$3),'Struktur Vorjahr'!$D268,INDIRECT(M$4))+SUMIF(INDIRECT(M$3),'Struktur Vorjahr'!$D268,INDIRECT(M$5)))</f>
        <v>93.97</v>
      </c>
      <c r="N268" s="593">
        <f ca="1">$E268*(-SUMIF(INDIRECT(N$3),'Struktur Vorjahr'!$D268,INDIRECT(N$4))+SUMIF(INDIRECT(N$3),'Struktur Vorjahr'!$D268,INDIRECT(N$5)))</f>
        <v>126.9</v>
      </c>
      <c r="O268" s="593">
        <f ca="1">$E268*(-SUMIF(INDIRECT(O$3),'Struktur Vorjahr'!$D268,INDIRECT(O$4))+SUMIF(INDIRECT(O$3),'Struktur Vorjahr'!$D268,INDIRECT(O$5)))</f>
        <v>44.19</v>
      </c>
      <c r="P268" s="593">
        <f ca="1">$E268*(-SUMIF(INDIRECT(P$3),'Struktur Vorjahr'!$D268,INDIRECT(P$4))+SUMIF(INDIRECT(P$3),'Struktur Vorjahr'!$D268,INDIRECT(P$5)))</f>
        <v>119.64</v>
      </c>
      <c r="Q268" s="593">
        <f ca="1">$E268*(-SUMIF(INDIRECT(Q$3),'Struktur Vorjahr'!$D268,INDIRECT(Q$4))+SUMIF(INDIRECT(Q$3),'Struktur Vorjahr'!$D268,INDIRECT(Q$5)))</f>
        <v>0</v>
      </c>
      <c r="R268" s="593">
        <f ca="1">$E268*(-SUMIF(INDIRECT(R$3),'Struktur Vorjahr'!$D268,INDIRECT(R$4))+SUMIF(INDIRECT(R$3),'Struktur Vorjahr'!$D268,INDIRECT(R$5)))</f>
        <v>0</v>
      </c>
      <c r="S268" s="593">
        <f ca="1">$E268*(-SUMIF(INDIRECT(S$3),'Struktur Vorjahr'!$D268,INDIRECT(S$4))+SUMIF(INDIRECT(S$3),'Struktur Vorjahr'!$D268,INDIRECT(S$5)))</f>
        <v>145.19999999999999</v>
      </c>
      <c r="T268" s="593">
        <f ca="1">$E268*(-SUMIF(INDIRECT(T$3),'Struktur Vorjahr'!$D268,INDIRECT(T$4))+SUMIF(INDIRECT(T$3),'Struktur Vorjahr'!$D268,INDIRECT(T$5)))</f>
        <v>311.69</v>
      </c>
      <c r="U268" s="593">
        <f ca="1">$E268*(-SUMIF(INDIRECT(U$3),'Struktur Vorjahr'!$D268,INDIRECT(U$4))+SUMIF(INDIRECT(U$3),'Struktur Vorjahr'!$D268,INDIRECT(U$5)))</f>
        <v>593.41</v>
      </c>
      <c r="V268" s="593">
        <f ca="1">$E268*(-SUMIF(INDIRECT(V$3),'Struktur Vorjahr'!$D268,INDIRECT(V$4))+SUMIF(INDIRECT(V$3),'Struktur Vorjahr'!$D268,INDIRECT(V$5)))</f>
        <v>655.99</v>
      </c>
      <c r="W268" s="593">
        <f ca="1">$E268*(-SUMIF(INDIRECT(W$3),'Struktur Vorjahr'!$D268,INDIRECT(W$4))+SUMIF(INDIRECT(W$3),'Struktur Vorjahr'!$D268,INDIRECT(W$5)))</f>
        <v>826.91</v>
      </c>
      <c r="X268" s="593">
        <f ca="1">$E268*(-SUMIF(INDIRECT(X$3),'Struktur Vorjahr'!$D268,INDIRECT(X$4))+SUMIF(INDIRECT(X$3),'Struktur Vorjahr'!$D268,INDIRECT(X$5)))</f>
        <v>919.98</v>
      </c>
      <c r="Y268" s="593">
        <f ca="1">$E268*(-SUMIF(INDIRECT(Y$3),'Struktur Vorjahr'!$D268,INDIRECT(Y$4))+SUMIF(INDIRECT(Y$3),'Struktur Vorjahr'!$D268,INDIRECT(Y$5)))</f>
        <v>1013.95</v>
      </c>
      <c r="Z268" s="593">
        <f ca="1">$E268*(-SUMIF(INDIRECT(Z$3),'Struktur Vorjahr'!$D268,INDIRECT(Z$4))+SUMIF(INDIRECT(Z$3),'Struktur Vorjahr'!$D268,INDIRECT(Z$5)))</f>
        <v>1140.8499999999999</v>
      </c>
      <c r="AA268" s="593">
        <f ca="1">$E268*(-SUMIF(INDIRECT(AA$3),'Struktur Vorjahr'!$D268,INDIRECT(AA$4))+SUMIF(INDIRECT(AA$3),'Struktur Vorjahr'!$D268,INDIRECT(AA$5)))</f>
        <v>1185.04</v>
      </c>
      <c r="AB268" s="593">
        <f ca="1">$E268*(-SUMIF(INDIRECT(AB$3),'Struktur Vorjahr'!$D268,INDIRECT(AB$4))+SUMIF(INDIRECT(AB$3),'Struktur Vorjahr'!$D268,INDIRECT(AB$5)))</f>
        <v>1304.68</v>
      </c>
      <c r="AC268" s="593">
        <f ca="1">$E268*(-SUMIF(INDIRECT(AC$3),'Struktur Vorjahr'!$D268,INDIRECT(AC$4))+SUMIF(INDIRECT(AC$3),'Struktur Vorjahr'!$D268,INDIRECT(AC$5)))</f>
        <v>0</v>
      </c>
      <c r="AD268" s="593">
        <f ca="1">$E268*(-SUMIF(INDIRECT(AD$3),'Struktur Vorjahr'!$D268,INDIRECT(AD$4))+SUMIF(INDIRECT(AD$3),'Struktur Vorjahr'!$D268,INDIRECT(AD$5)))</f>
        <v>0</v>
      </c>
      <c r="AE268" s="593">
        <f t="shared" ref="AE268:AE285" ca="1" si="119">G268</f>
        <v>145.19999999999999</v>
      </c>
      <c r="AF268" s="593">
        <f t="shared" ref="AF268:AP285" ca="1" si="120">H268+AE268</f>
        <v>311.69</v>
      </c>
      <c r="AG268" s="593">
        <f t="shared" ca="1" si="120"/>
        <v>593.41000000000008</v>
      </c>
      <c r="AH268" s="593">
        <f t="shared" ca="1" si="120"/>
        <v>655.99000000000012</v>
      </c>
      <c r="AI268" s="593">
        <f t="shared" ca="1" si="120"/>
        <v>826.91000000000008</v>
      </c>
      <c r="AJ268" s="593">
        <f t="shared" ca="1" si="120"/>
        <v>919.98</v>
      </c>
      <c r="AK268" s="593">
        <f t="shared" ca="1" si="120"/>
        <v>1013.95</v>
      </c>
      <c r="AL268" s="593">
        <f t="shared" ca="1" si="120"/>
        <v>1140.8500000000001</v>
      </c>
      <c r="AM268" s="593">
        <f t="shared" ca="1" si="120"/>
        <v>1185.0400000000002</v>
      </c>
      <c r="AN268" s="593">
        <f t="shared" ca="1" si="120"/>
        <v>1304.6800000000003</v>
      </c>
      <c r="AO268" s="593">
        <f t="shared" ca="1" si="120"/>
        <v>1304.6800000000003</v>
      </c>
      <c r="AP268" s="593">
        <f t="shared" ca="1" si="120"/>
        <v>1304.6800000000003</v>
      </c>
    </row>
    <row r="269" spans="1:42" s="594" customFormat="1" ht="11.25" outlineLevel="1" x14ac:dyDescent="0.2">
      <c r="A269" s="590"/>
      <c r="B269" s="591" t="str">
        <f>IF(D269&lt;&gt;"",
IF(ISERROR(MATCH(D269,'Ist Vorjahr Monat 01'!A:A,0))=FALSE,INDEX('Ist Vorjahr Monat 01'!B:B,MATCH(D269,'Ist Vorjahr Monat 01'!A:A,0)),
IF(ISERROR(MATCH(D269,'Ist Vorjahr Monat 02'!A:A,0))=FALSE,INDEX('Ist Vorjahr Monat 02'!B:B,MATCH(D269,'Ist Vorjahr Monat 02'!A:A,0)),
IF(ISERROR(MATCH(D269,'Ist Vorjahr Monat 03'!A:A,0))=FALSE,INDEX('Ist Vorjahr Monat 03'!B:B,MATCH(D269,'Ist Vorjahr Monat 03'!A:A,0)),
IF(ISERROR(MATCH(D269,'Ist Vorjahr Monat 04'!A:A,0))=FALSE,INDEX('Ist Vorjahr Monat 04'!B:B,MATCH(D269,'Ist Vorjahr Monat 04'!A:A,0)),
IF(ISERROR(MATCH(D269,'Ist Vorjahr Monat 05'!A:A,0))=FALSE,INDEX('Ist Vorjahr Monat 05'!B:B,MATCH(D269,'Ist Vorjahr Monat 05'!A:A,0)),
IF(ISERROR(MATCH(D269,'Ist Vorjahr Monat 06'!A:A,0))=FALSE,INDEX('Ist Vorjahr Monat 06'!B:B,MATCH(D269,'Ist Vorjahr Monat 06'!A:A,0)),
IF(ISERROR(MATCH(D269,'Ist Vorjahr Monat 07'!A:A,0))=FALSE,INDEX('Ist Vorjahr Monat 07'!B:B,MATCH(D269,'Ist Vorjahr Monat 07'!A:A,0)),
IF(ISERROR(MATCH(D269,'Ist Vorjahr Monat 08'!A:A,0))=FALSE,INDEX('Ist Vorjahr Monat 08'!B:B,MATCH(D269,'Ist Vorjahr Monat 08'!A:A,0)),
IF(ISERROR(MATCH(D269,'Ist Vorjahr Monat 09'!A:A,0))=FALSE,INDEX('Ist Vorjahr Monat 09'!B:B,MATCH(D269,'Ist Vorjahr Monat 09'!A:A,0)),
IF(ISERROR(MATCH(D269,'Ist Vorjahr Monat 10'!A:A,0))=FALSE,INDEX('Ist Vorjahr Monat 10'!B:B,MATCH(D269,'Ist Vorjahr Monat 10'!A:A,0)),
IF(ISERROR(MATCH(D269,'Ist Vorjahr Monat 11'!A:A,0))=FALSE,INDEX('Ist Vorjahr Monat 11'!B:B,MATCH(D269,'Ist Vorjahr Monat 11'!A:A,0)),
IF(ISERROR(MATCH(D269,'Ist Vorjahr Monat 12'!A:A,0))=FALSE,INDEX('Ist Vorjahr Monat 12'!B:B,MATCH(D269,'Ist Vorjahr Monat 12'!A:A,0)),
"{Konto unbekannt}"
)))))))))))),"")</f>
        <v>Porto</v>
      </c>
      <c r="C269" s="591"/>
      <c r="D269" s="590">
        <v>4910</v>
      </c>
      <c r="E269" s="592">
        <f t="shared" si="105"/>
        <v>1</v>
      </c>
      <c r="F269" s="590"/>
      <c r="G269" s="593">
        <f ca="1">$E269*(-SUMIF(INDIRECT(G$3),'Struktur Vorjahr'!$D269,INDIRECT(G$4))+SUMIF(INDIRECT(G$3),'Struktur Vorjahr'!$D269,INDIRECT(G$5)))</f>
        <v>0</v>
      </c>
      <c r="H269" s="593">
        <f ca="1">$E269*(-SUMIF(INDIRECT(H$3),'Struktur Vorjahr'!$D269,INDIRECT(H$4))+SUMIF(INDIRECT(H$3),'Struktur Vorjahr'!$D269,INDIRECT(H$5)))</f>
        <v>84</v>
      </c>
      <c r="I269" s="593">
        <f ca="1">$E269*(-SUMIF(INDIRECT(I$3),'Struktur Vorjahr'!$D269,INDIRECT(I$4))+SUMIF(INDIRECT(I$3),'Struktur Vorjahr'!$D269,INDIRECT(I$5)))</f>
        <v>0</v>
      </c>
      <c r="J269" s="593">
        <f ca="1">$E269*(-SUMIF(INDIRECT(J$3),'Struktur Vorjahr'!$D269,INDIRECT(J$4))+SUMIF(INDIRECT(J$3),'Struktur Vorjahr'!$D269,INDIRECT(J$5)))</f>
        <v>2.85</v>
      </c>
      <c r="K269" s="593">
        <f ca="1">$E269*(-SUMIF(INDIRECT(K$3),'Struktur Vorjahr'!$D269,INDIRECT(K$4))+SUMIF(INDIRECT(K$3),'Struktur Vorjahr'!$D269,INDIRECT(K$5)))</f>
        <v>7.49</v>
      </c>
      <c r="L269" s="593">
        <f ca="1">$E269*(-SUMIF(INDIRECT(L$3),'Struktur Vorjahr'!$D269,INDIRECT(L$4))+SUMIF(INDIRECT(L$3),'Struktur Vorjahr'!$D269,INDIRECT(L$5)))</f>
        <v>0</v>
      </c>
      <c r="M269" s="593">
        <f ca="1">$E269*(-SUMIF(INDIRECT(M$3),'Struktur Vorjahr'!$D269,INDIRECT(M$4))+SUMIF(INDIRECT(M$3),'Struktur Vorjahr'!$D269,INDIRECT(M$5)))</f>
        <v>14.79</v>
      </c>
      <c r="N269" s="593">
        <f ca="1">$E269*(-SUMIF(INDIRECT(N$3),'Struktur Vorjahr'!$D269,INDIRECT(N$4))+SUMIF(INDIRECT(N$3),'Struktur Vorjahr'!$D269,INDIRECT(N$5)))</f>
        <v>0</v>
      </c>
      <c r="O269" s="593">
        <f ca="1">$E269*(-SUMIF(INDIRECT(O$3),'Struktur Vorjahr'!$D269,INDIRECT(O$4))+SUMIF(INDIRECT(O$3),'Struktur Vorjahr'!$D269,INDIRECT(O$5)))</f>
        <v>8.75</v>
      </c>
      <c r="P269" s="593">
        <f ca="1">$E269*(-SUMIF(INDIRECT(P$3),'Struktur Vorjahr'!$D269,INDIRECT(P$4))+SUMIF(INDIRECT(P$3),'Struktur Vorjahr'!$D269,INDIRECT(P$5)))</f>
        <v>8</v>
      </c>
      <c r="Q269" s="593">
        <f ca="1">$E269*(-SUMIF(INDIRECT(Q$3),'Struktur Vorjahr'!$D269,INDIRECT(Q$4))+SUMIF(INDIRECT(Q$3),'Struktur Vorjahr'!$D269,INDIRECT(Q$5)))</f>
        <v>0</v>
      </c>
      <c r="R269" s="593">
        <f ca="1">$E269*(-SUMIF(INDIRECT(R$3),'Struktur Vorjahr'!$D269,INDIRECT(R$4))+SUMIF(INDIRECT(R$3),'Struktur Vorjahr'!$D269,INDIRECT(R$5)))</f>
        <v>0</v>
      </c>
      <c r="S269" s="593">
        <f ca="1">$E269*(-SUMIF(INDIRECT(S$3),'Struktur Vorjahr'!$D269,INDIRECT(S$4))+SUMIF(INDIRECT(S$3),'Struktur Vorjahr'!$D269,INDIRECT(S$5)))</f>
        <v>0</v>
      </c>
      <c r="T269" s="593">
        <f ca="1">$E269*(-SUMIF(INDIRECT(T$3),'Struktur Vorjahr'!$D269,INDIRECT(T$4))+SUMIF(INDIRECT(T$3),'Struktur Vorjahr'!$D269,INDIRECT(T$5)))</f>
        <v>84</v>
      </c>
      <c r="U269" s="593">
        <f ca="1">$E269*(-SUMIF(INDIRECT(U$3),'Struktur Vorjahr'!$D269,INDIRECT(U$4))+SUMIF(INDIRECT(U$3),'Struktur Vorjahr'!$D269,INDIRECT(U$5)))</f>
        <v>84</v>
      </c>
      <c r="V269" s="593">
        <f ca="1">$E269*(-SUMIF(INDIRECT(V$3),'Struktur Vorjahr'!$D269,INDIRECT(V$4))+SUMIF(INDIRECT(V$3),'Struktur Vorjahr'!$D269,INDIRECT(V$5)))</f>
        <v>86.85</v>
      </c>
      <c r="W269" s="593">
        <f ca="1">$E269*(-SUMIF(INDIRECT(W$3),'Struktur Vorjahr'!$D269,INDIRECT(W$4))+SUMIF(INDIRECT(W$3),'Struktur Vorjahr'!$D269,INDIRECT(W$5)))</f>
        <v>94.34</v>
      </c>
      <c r="X269" s="593">
        <f ca="1">$E269*(-SUMIF(INDIRECT(X$3),'Struktur Vorjahr'!$D269,INDIRECT(X$4))+SUMIF(INDIRECT(X$3),'Struktur Vorjahr'!$D269,INDIRECT(X$5)))</f>
        <v>94.34</v>
      </c>
      <c r="Y269" s="593">
        <f ca="1">$E269*(-SUMIF(INDIRECT(Y$3),'Struktur Vorjahr'!$D269,INDIRECT(Y$4))+SUMIF(INDIRECT(Y$3),'Struktur Vorjahr'!$D269,INDIRECT(Y$5)))</f>
        <v>109.13</v>
      </c>
      <c r="Z269" s="593">
        <f ca="1">$E269*(-SUMIF(INDIRECT(Z$3),'Struktur Vorjahr'!$D269,INDIRECT(Z$4))+SUMIF(INDIRECT(Z$3),'Struktur Vorjahr'!$D269,INDIRECT(Z$5)))</f>
        <v>109.13</v>
      </c>
      <c r="AA269" s="593">
        <f ca="1">$E269*(-SUMIF(INDIRECT(AA$3),'Struktur Vorjahr'!$D269,INDIRECT(AA$4))+SUMIF(INDIRECT(AA$3),'Struktur Vorjahr'!$D269,INDIRECT(AA$5)))</f>
        <v>117.88</v>
      </c>
      <c r="AB269" s="593">
        <f ca="1">$E269*(-SUMIF(INDIRECT(AB$3),'Struktur Vorjahr'!$D269,INDIRECT(AB$4))+SUMIF(INDIRECT(AB$3),'Struktur Vorjahr'!$D269,INDIRECT(AB$5)))</f>
        <v>125.88</v>
      </c>
      <c r="AC269" s="593">
        <f ca="1">$E269*(-SUMIF(INDIRECT(AC$3),'Struktur Vorjahr'!$D269,INDIRECT(AC$4))+SUMIF(INDIRECT(AC$3),'Struktur Vorjahr'!$D269,INDIRECT(AC$5)))</f>
        <v>0</v>
      </c>
      <c r="AD269" s="593">
        <f ca="1">$E269*(-SUMIF(INDIRECT(AD$3),'Struktur Vorjahr'!$D269,INDIRECT(AD$4))+SUMIF(INDIRECT(AD$3),'Struktur Vorjahr'!$D269,INDIRECT(AD$5)))</f>
        <v>0</v>
      </c>
      <c r="AE269" s="593">
        <f t="shared" ca="1" si="119"/>
        <v>0</v>
      </c>
      <c r="AF269" s="593">
        <f t="shared" ca="1" si="120"/>
        <v>84</v>
      </c>
      <c r="AG269" s="593">
        <f t="shared" ca="1" si="120"/>
        <v>84</v>
      </c>
      <c r="AH269" s="593">
        <f t="shared" ca="1" si="120"/>
        <v>86.85</v>
      </c>
      <c r="AI269" s="593">
        <f t="shared" ca="1" si="120"/>
        <v>94.339999999999989</v>
      </c>
      <c r="AJ269" s="593">
        <f t="shared" ca="1" si="120"/>
        <v>94.339999999999989</v>
      </c>
      <c r="AK269" s="593">
        <f t="shared" ca="1" si="120"/>
        <v>109.13</v>
      </c>
      <c r="AL269" s="593">
        <f t="shared" ca="1" si="120"/>
        <v>109.13</v>
      </c>
      <c r="AM269" s="593">
        <f t="shared" ca="1" si="120"/>
        <v>117.88</v>
      </c>
      <c r="AN269" s="593">
        <f t="shared" ca="1" si="120"/>
        <v>125.88</v>
      </c>
      <c r="AO269" s="593">
        <f t="shared" ca="1" si="120"/>
        <v>125.88</v>
      </c>
      <c r="AP269" s="593">
        <f t="shared" ca="1" si="120"/>
        <v>125.88</v>
      </c>
    </row>
    <row r="270" spans="1:42" s="594" customFormat="1" ht="11.25" outlineLevel="1" x14ac:dyDescent="0.2">
      <c r="A270" s="590"/>
      <c r="B270" s="591" t="str">
        <f>IF(D270&lt;&gt;"",
IF(ISERROR(MATCH(D270,'Ist Vorjahr Monat 01'!A:A,0))=FALSE,INDEX('Ist Vorjahr Monat 01'!B:B,MATCH(D270,'Ist Vorjahr Monat 01'!A:A,0)),
IF(ISERROR(MATCH(D270,'Ist Vorjahr Monat 02'!A:A,0))=FALSE,INDEX('Ist Vorjahr Monat 02'!B:B,MATCH(D270,'Ist Vorjahr Monat 02'!A:A,0)),
IF(ISERROR(MATCH(D270,'Ist Vorjahr Monat 03'!A:A,0))=FALSE,INDEX('Ist Vorjahr Monat 03'!B:B,MATCH(D270,'Ist Vorjahr Monat 03'!A:A,0)),
IF(ISERROR(MATCH(D270,'Ist Vorjahr Monat 04'!A:A,0))=FALSE,INDEX('Ist Vorjahr Monat 04'!B:B,MATCH(D270,'Ist Vorjahr Monat 04'!A:A,0)),
IF(ISERROR(MATCH(D270,'Ist Vorjahr Monat 05'!A:A,0))=FALSE,INDEX('Ist Vorjahr Monat 05'!B:B,MATCH(D270,'Ist Vorjahr Monat 05'!A:A,0)),
IF(ISERROR(MATCH(D270,'Ist Vorjahr Monat 06'!A:A,0))=FALSE,INDEX('Ist Vorjahr Monat 06'!B:B,MATCH(D270,'Ist Vorjahr Monat 06'!A:A,0)),
IF(ISERROR(MATCH(D270,'Ist Vorjahr Monat 07'!A:A,0))=FALSE,INDEX('Ist Vorjahr Monat 07'!B:B,MATCH(D270,'Ist Vorjahr Monat 07'!A:A,0)),
IF(ISERROR(MATCH(D270,'Ist Vorjahr Monat 08'!A:A,0))=FALSE,INDEX('Ist Vorjahr Monat 08'!B:B,MATCH(D270,'Ist Vorjahr Monat 08'!A:A,0)),
IF(ISERROR(MATCH(D270,'Ist Vorjahr Monat 09'!A:A,0))=FALSE,INDEX('Ist Vorjahr Monat 09'!B:B,MATCH(D270,'Ist Vorjahr Monat 09'!A:A,0)),
IF(ISERROR(MATCH(D270,'Ist Vorjahr Monat 10'!A:A,0))=FALSE,INDEX('Ist Vorjahr Monat 10'!B:B,MATCH(D270,'Ist Vorjahr Monat 10'!A:A,0)),
IF(ISERROR(MATCH(D270,'Ist Vorjahr Monat 11'!A:A,0))=FALSE,INDEX('Ist Vorjahr Monat 11'!B:B,MATCH(D270,'Ist Vorjahr Monat 11'!A:A,0)),
IF(ISERROR(MATCH(D270,'Ist Vorjahr Monat 12'!A:A,0))=FALSE,INDEX('Ist Vorjahr Monat 12'!B:B,MATCH(D270,'Ist Vorjahr Monat 12'!A:A,0)),
"{Konto unbekannt}"
)))))))))))),"")</f>
        <v>Bürobedarf</v>
      </c>
      <c r="C270" s="591"/>
      <c r="D270" s="590">
        <v>4930</v>
      </c>
      <c r="E270" s="592">
        <f t="shared" si="105"/>
        <v>1</v>
      </c>
      <c r="F270" s="590"/>
      <c r="G270" s="593">
        <f ca="1">$E270*(-SUMIF(INDIRECT(G$3),'Struktur Vorjahr'!$D270,INDIRECT(G$4))+SUMIF(INDIRECT(G$3),'Struktur Vorjahr'!$D270,INDIRECT(G$5)))</f>
        <v>0</v>
      </c>
      <c r="H270" s="593">
        <f ca="1">$E270*(-SUMIF(INDIRECT(H$3),'Struktur Vorjahr'!$D270,INDIRECT(H$4))+SUMIF(INDIRECT(H$3),'Struktur Vorjahr'!$D270,INDIRECT(H$5)))</f>
        <v>0</v>
      </c>
      <c r="I270" s="593">
        <f ca="1">$E270*(-SUMIF(INDIRECT(I$3),'Struktur Vorjahr'!$D270,INDIRECT(I$4))+SUMIF(INDIRECT(I$3),'Struktur Vorjahr'!$D270,INDIRECT(I$5)))</f>
        <v>9.39</v>
      </c>
      <c r="J270" s="593">
        <f ca="1">$E270*(-SUMIF(INDIRECT(J$3),'Struktur Vorjahr'!$D270,INDIRECT(J$4))+SUMIF(INDIRECT(J$3),'Struktur Vorjahr'!$D270,INDIRECT(J$5)))</f>
        <v>0</v>
      </c>
      <c r="K270" s="593">
        <f ca="1">$E270*(-SUMIF(INDIRECT(K$3),'Struktur Vorjahr'!$D270,INDIRECT(K$4))+SUMIF(INDIRECT(K$3),'Struktur Vorjahr'!$D270,INDIRECT(K$5)))</f>
        <v>27</v>
      </c>
      <c r="L270" s="593">
        <f ca="1">$E270*(-SUMIF(INDIRECT(L$3),'Struktur Vorjahr'!$D270,INDIRECT(L$4))+SUMIF(INDIRECT(L$3),'Struktur Vorjahr'!$D270,INDIRECT(L$5)))</f>
        <v>264.08999999999997</v>
      </c>
      <c r="M270" s="593">
        <f ca="1">$E270*(-SUMIF(INDIRECT(M$3),'Struktur Vorjahr'!$D270,INDIRECT(M$4))+SUMIF(INDIRECT(M$3),'Struktur Vorjahr'!$D270,INDIRECT(M$5)))</f>
        <v>118.92</v>
      </c>
      <c r="N270" s="593">
        <f ca="1">$E270*(-SUMIF(INDIRECT(N$3),'Struktur Vorjahr'!$D270,INDIRECT(N$4))+SUMIF(INDIRECT(N$3),'Struktur Vorjahr'!$D270,INDIRECT(N$5)))</f>
        <v>226.2</v>
      </c>
      <c r="O270" s="593">
        <f ca="1">$E270*(-SUMIF(INDIRECT(O$3),'Struktur Vorjahr'!$D270,INDIRECT(O$4))+SUMIF(INDIRECT(O$3),'Struktur Vorjahr'!$D270,INDIRECT(O$5)))</f>
        <v>0</v>
      </c>
      <c r="P270" s="593">
        <f ca="1">$E270*(-SUMIF(INDIRECT(P$3),'Struktur Vorjahr'!$D270,INDIRECT(P$4))+SUMIF(INDIRECT(P$3),'Struktur Vorjahr'!$D270,INDIRECT(P$5)))</f>
        <v>33.57</v>
      </c>
      <c r="Q270" s="593">
        <f ca="1">$E270*(-SUMIF(INDIRECT(Q$3),'Struktur Vorjahr'!$D270,INDIRECT(Q$4))+SUMIF(INDIRECT(Q$3),'Struktur Vorjahr'!$D270,INDIRECT(Q$5)))</f>
        <v>0</v>
      </c>
      <c r="R270" s="593">
        <f ca="1">$E270*(-SUMIF(INDIRECT(R$3),'Struktur Vorjahr'!$D270,INDIRECT(R$4))+SUMIF(INDIRECT(R$3),'Struktur Vorjahr'!$D270,INDIRECT(R$5)))</f>
        <v>0</v>
      </c>
      <c r="S270" s="593">
        <f ca="1">$E270*(-SUMIF(INDIRECT(S$3),'Struktur Vorjahr'!$D270,INDIRECT(S$4))+SUMIF(INDIRECT(S$3),'Struktur Vorjahr'!$D270,INDIRECT(S$5)))</f>
        <v>0</v>
      </c>
      <c r="T270" s="593">
        <f ca="1">$E270*(-SUMIF(INDIRECT(T$3),'Struktur Vorjahr'!$D270,INDIRECT(T$4))+SUMIF(INDIRECT(T$3),'Struktur Vorjahr'!$D270,INDIRECT(T$5)))</f>
        <v>0</v>
      </c>
      <c r="U270" s="593">
        <f ca="1">$E270*(-SUMIF(INDIRECT(U$3),'Struktur Vorjahr'!$D270,INDIRECT(U$4))+SUMIF(INDIRECT(U$3),'Struktur Vorjahr'!$D270,INDIRECT(U$5)))</f>
        <v>9.39</v>
      </c>
      <c r="V270" s="593">
        <f ca="1">$E270*(-SUMIF(INDIRECT(V$3),'Struktur Vorjahr'!$D270,INDIRECT(V$4))+SUMIF(INDIRECT(V$3),'Struktur Vorjahr'!$D270,INDIRECT(V$5)))</f>
        <v>9.39</v>
      </c>
      <c r="W270" s="593">
        <f ca="1">$E270*(-SUMIF(INDIRECT(W$3),'Struktur Vorjahr'!$D270,INDIRECT(W$4))+SUMIF(INDIRECT(W$3),'Struktur Vorjahr'!$D270,INDIRECT(W$5)))</f>
        <v>36.39</v>
      </c>
      <c r="X270" s="593">
        <f ca="1">$E270*(-SUMIF(INDIRECT(X$3),'Struktur Vorjahr'!$D270,INDIRECT(X$4))+SUMIF(INDIRECT(X$3),'Struktur Vorjahr'!$D270,INDIRECT(X$5)))</f>
        <v>300.48</v>
      </c>
      <c r="Y270" s="593">
        <f ca="1">$E270*(-SUMIF(INDIRECT(Y$3),'Struktur Vorjahr'!$D270,INDIRECT(Y$4))+SUMIF(INDIRECT(Y$3),'Struktur Vorjahr'!$D270,INDIRECT(Y$5)))</f>
        <v>419.4</v>
      </c>
      <c r="Z270" s="593">
        <f ca="1">$E270*(-SUMIF(INDIRECT(Z$3),'Struktur Vorjahr'!$D270,INDIRECT(Z$4))+SUMIF(INDIRECT(Z$3),'Struktur Vorjahr'!$D270,INDIRECT(Z$5)))</f>
        <v>645.6</v>
      </c>
      <c r="AA270" s="593">
        <f ca="1">$E270*(-SUMIF(INDIRECT(AA$3),'Struktur Vorjahr'!$D270,INDIRECT(AA$4))+SUMIF(INDIRECT(AA$3),'Struktur Vorjahr'!$D270,INDIRECT(AA$5)))</f>
        <v>645.6</v>
      </c>
      <c r="AB270" s="593">
        <f ca="1">$E270*(-SUMIF(INDIRECT(AB$3),'Struktur Vorjahr'!$D270,INDIRECT(AB$4))+SUMIF(INDIRECT(AB$3),'Struktur Vorjahr'!$D270,INDIRECT(AB$5)))</f>
        <v>679.17</v>
      </c>
      <c r="AC270" s="593">
        <f ca="1">$E270*(-SUMIF(INDIRECT(AC$3),'Struktur Vorjahr'!$D270,INDIRECT(AC$4))+SUMIF(INDIRECT(AC$3),'Struktur Vorjahr'!$D270,INDIRECT(AC$5)))</f>
        <v>0</v>
      </c>
      <c r="AD270" s="593">
        <f ca="1">$E270*(-SUMIF(INDIRECT(AD$3),'Struktur Vorjahr'!$D270,INDIRECT(AD$4))+SUMIF(INDIRECT(AD$3),'Struktur Vorjahr'!$D270,INDIRECT(AD$5)))</f>
        <v>0</v>
      </c>
      <c r="AE270" s="593">
        <f t="shared" ca="1" si="119"/>
        <v>0</v>
      </c>
      <c r="AF270" s="593">
        <f t="shared" ca="1" si="120"/>
        <v>0</v>
      </c>
      <c r="AG270" s="593">
        <f t="shared" ca="1" si="120"/>
        <v>9.39</v>
      </c>
      <c r="AH270" s="593">
        <f t="shared" ca="1" si="120"/>
        <v>9.39</v>
      </c>
      <c r="AI270" s="593">
        <f t="shared" ca="1" si="120"/>
        <v>36.39</v>
      </c>
      <c r="AJ270" s="593">
        <f t="shared" ca="1" si="120"/>
        <v>300.47999999999996</v>
      </c>
      <c r="AK270" s="593">
        <f t="shared" ca="1" si="120"/>
        <v>419.4</v>
      </c>
      <c r="AL270" s="593">
        <f t="shared" ca="1" si="120"/>
        <v>645.59999999999991</v>
      </c>
      <c r="AM270" s="593">
        <f t="shared" ca="1" si="120"/>
        <v>645.59999999999991</v>
      </c>
      <c r="AN270" s="593">
        <f t="shared" ca="1" si="120"/>
        <v>679.17</v>
      </c>
      <c r="AO270" s="593">
        <f t="shared" ca="1" si="120"/>
        <v>679.17</v>
      </c>
      <c r="AP270" s="593">
        <f t="shared" ca="1" si="120"/>
        <v>679.17</v>
      </c>
    </row>
    <row r="271" spans="1:42" s="594" customFormat="1" ht="11.25" outlineLevel="1" x14ac:dyDescent="0.2">
      <c r="A271" s="590"/>
      <c r="B271" s="591" t="str">
        <f>IF(D271&lt;&gt;"",
IF(ISERROR(MATCH(D271,'Ist Vorjahr Monat 01'!A:A,0))=FALSE,INDEX('Ist Vorjahr Monat 01'!B:B,MATCH(D271,'Ist Vorjahr Monat 01'!A:A,0)),
IF(ISERROR(MATCH(D271,'Ist Vorjahr Monat 02'!A:A,0))=FALSE,INDEX('Ist Vorjahr Monat 02'!B:B,MATCH(D271,'Ist Vorjahr Monat 02'!A:A,0)),
IF(ISERROR(MATCH(D271,'Ist Vorjahr Monat 03'!A:A,0))=FALSE,INDEX('Ist Vorjahr Monat 03'!B:B,MATCH(D271,'Ist Vorjahr Monat 03'!A:A,0)),
IF(ISERROR(MATCH(D271,'Ist Vorjahr Monat 04'!A:A,0))=FALSE,INDEX('Ist Vorjahr Monat 04'!B:B,MATCH(D271,'Ist Vorjahr Monat 04'!A:A,0)),
IF(ISERROR(MATCH(D271,'Ist Vorjahr Monat 05'!A:A,0))=FALSE,INDEX('Ist Vorjahr Monat 05'!B:B,MATCH(D271,'Ist Vorjahr Monat 05'!A:A,0)),
IF(ISERROR(MATCH(D271,'Ist Vorjahr Monat 06'!A:A,0))=FALSE,INDEX('Ist Vorjahr Monat 06'!B:B,MATCH(D271,'Ist Vorjahr Monat 06'!A:A,0)),
IF(ISERROR(MATCH(D271,'Ist Vorjahr Monat 07'!A:A,0))=FALSE,INDEX('Ist Vorjahr Monat 07'!B:B,MATCH(D271,'Ist Vorjahr Monat 07'!A:A,0)),
IF(ISERROR(MATCH(D271,'Ist Vorjahr Monat 08'!A:A,0))=FALSE,INDEX('Ist Vorjahr Monat 08'!B:B,MATCH(D271,'Ist Vorjahr Monat 08'!A:A,0)),
IF(ISERROR(MATCH(D271,'Ist Vorjahr Monat 09'!A:A,0))=FALSE,INDEX('Ist Vorjahr Monat 09'!B:B,MATCH(D271,'Ist Vorjahr Monat 09'!A:A,0)),
IF(ISERROR(MATCH(D271,'Ist Vorjahr Monat 10'!A:A,0))=FALSE,INDEX('Ist Vorjahr Monat 10'!B:B,MATCH(D271,'Ist Vorjahr Monat 10'!A:A,0)),
IF(ISERROR(MATCH(D271,'Ist Vorjahr Monat 11'!A:A,0))=FALSE,INDEX('Ist Vorjahr Monat 11'!B:B,MATCH(D271,'Ist Vorjahr Monat 11'!A:A,0)),
IF(ISERROR(MATCH(D271,'Ist Vorjahr Monat 12'!A:A,0))=FALSE,INDEX('Ist Vorjahr Monat 12'!B:B,MATCH(D271,'Ist Vorjahr Monat 12'!A:A,0)),
"{Konto unbekannt}"
)))))))))))),"")</f>
        <v>Internet "Allgemein"</v>
      </c>
      <c r="C271" s="591"/>
      <c r="D271" s="590">
        <v>4935</v>
      </c>
      <c r="E271" s="592">
        <f t="shared" si="105"/>
        <v>1</v>
      </c>
      <c r="F271" s="590"/>
      <c r="G271" s="593">
        <f ca="1">$E271*(-SUMIF(INDIRECT(G$3),'Struktur Vorjahr'!$D271,INDIRECT(G$4))+SUMIF(INDIRECT(G$3),'Struktur Vorjahr'!$D271,INDIRECT(G$5)))</f>
        <v>13.78</v>
      </c>
      <c r="H271" s="593">
        <f ca="1">$E271*(-SUMIF(INDIRECT(H$3),'Struktur Vorjahr'!$D271,INDIRECT(H$4))+SUMIF(INDIRECT(H$3),'Struktur Vorjahr'!$D271,INDIRECT(H$5)))</f>
        <v>112.09</v>
      </c>
      <c r="I271" s="593">
        <f ca="1">$E271*(-SUMIF(INDIRECT(I$3),'Struktur Vorjahr'!$D271,INDIRECT(I$4))+SUMIF(INDIRECT(I$3),'Struktur Vorjahr'!$D271,INDIRECT(I$5)))</f>
        <v>17.13</v>
      </c>
      <c r="J271" s="593">
        <f ca="1">$E271*(-SUMIF(INDIRECT(J$3),'Struktur Vorjahr'!$D271,INDIRECT(J$4))+SUMIF(INDIRECT(J$3),'Struktur Vorjahr'!$D271,INDIRECT(J$5)))</f>
        <v>43.15</v>
      </c>
      <c r="K271" s="593">
        <f ca="1">$E271*(-SUMIF(INDIRECT(K$3),'Struktur Vorjahr'!$D271,INDIRECT(K$4))+SUMIF(INDIRECT(K$3),'Struktur Vorjahr'!$D271,INDIRECT(K$5)))</f>
        <v>20.07</v>
      </c>
      <c r="L271" s="593">
        <f ca="1">$E271*(-SUMIF(INDIRECT(L$3),'Struktur Vorjahr'!$D271,INDIRECT(L$4))+SUMIF(INDIRECT(L$3),'Struktur Vorjahr'!$D271,INDIRECT(L$5)))</f>
        <v>75.75</v>
      </c>
      <c r="M271" s="593">
        <f ca="1">$E271*(-SUMIF(INDIRECT(M$3),'Struktur Vorjahr'!$D271,INDIRECT(M$4))+SUMIF(INDIRECT(M$3),'Struktur Vorjahr'!$D271,INDIRECT(M$5)))</f>
        <v>20.059999999999999</v>
      </c>
      <c r="N271" s="593">
        <f ca="1">$E271*(-SUMIF(INDIRECT(N$3),'Struktur Vorjahr'!$D271,INDIRECT(N$4))+SUMIF(INDIRECT(N$3),'Struktur Vorjahr'!$D271,INDIRECT(N$5)))</f>
        <v>52.87</v>
      </c>
      <c r="O271" s="593">
        <f ca="1">$E271*(-SUMIF(INDIRECT(O$3),'Struktur Vorjahr'!$D271,INDIRECT(O$4))+SUMIF(INDIRECT(O$3),'Struktur Vorjahr'!$D271,INDIRECT(O$5)))</f>
        <v>37.24</v>
      </c>
      <c r="P271" s="593">
        <f ca="1">$E271*(-SUMIF(INDIRECT(P$3),'Struktur Vorjahr'!$D271,INDIRECT(P$4))+SUMIF(INDIRECT(P$3),'Struktur Vorjahr'!$D271,INDIRECT(P$5)))</f>
        <v>10.92</v>
      </c>
      <c r="Q271" s="593">
        <f ca="1">$E271*(-SUMIF(INDIRECT(Q$3),'Struktur Vorjahr'!$D271,INDIRECT(Q$4))+SUMIF(INDIRECT(Q$3),'Struktur Vorjahr'!$D271,INDIRECT(Q$5)))</f>
        <v>0</v>
      </c>
      <c r="R271" s="593">
        <f ca="1">$E271*(-SUMIF(INDIRECT(R$3),'Struktur Vorjahr'!$D271,INDIRECT(R$4))+SUMIF(INDIRECT(R$3),'Struktur Vorjahr'!$D271,INDIRECT(R$5)))</f>
        <v>0</v>
      </c>
      <c r="S271" s="593">
        <f ca="1">$E271*(-SUMIF(INDIRECT(S$3),'Struktur Vorjahr'!$D271,INDIRECT(S$4))+SUMIF(INDIRECT(S$3),'Struktur Vorjahr'!$D271,INDIRECT(S$5)))</f>
        <v>13.78</v>
      </c>
      <c r="T271" s="593">
        <f ca="1">$E271*(-SUMIF(INDIRECT(T$3),'Struktur Vorjahr'!$D271,INDIRECT(T$4))+SUMIF(INDIRECT(T$3),'Struktur Vorjahr'!$D271,INDIRECT(T$5)))</f>
        <v>125.87</v>
      </c>
      <c r="U271" s="593">
        <f ca="1">$E271*(-SUMIF(INDIRECT(U$3),'Struktur Vorjahr'!$D271,INDIRECT(U$4))+SUMIF(INDIRECT(U$3),'Struktur Vorjahr'!$D271,INDIRECT(U$5)))</f>
        <v>143</v>
      </c>
      <c r="V271" s="593">
        <f ca="1">$E271*(-SUMIF(INDIRECT(V$3),'Struktur Vorjahr'!$D271,INDIRECT(V$4))+SUMIF(INDIRECT(V$3),'Struktur Vorjahr'!$D271,INDIRECT(V$5)))</f>
        <v>186.15</v>
      </c>
      <c r="W271" s="593">
        <f ca="1">$E271*(-SUMIF(INDIRECT(W$3),'Struktur Vorjahr'!$D271,INDIRECT(W$4))+SUMIF(INDIRECT(W$3),'Struktur Vorjahr'!$D271,INDIRECT(W$5)))</f>
        <v>206.22</v>
      </c>
      <c r="X271" s="593">
        <f ca="1">$E271*(-SUMIF(INDIRECT(X$3),'Struktur Vorjahr'!$D271,INDIRECT(X$4))+SUMIF(INDIRECT(X$3),'Struktur Vorjahr'!$D271,INDIRECT(X$5)))</f>
        <v>281.97000000000003</v>
      </c>
      <c r="Y271" s="593">
        <f ca="1">$E271*(-SUMIF(INDIRECT(Y$3),'Struktur Vorjahr'!$D271,INDIRECT(Y$4))+SUMIF(INDIRECT(Y$3),'Struktur Vorjahr'!$D271,INDIRECT(Y$5)))</f>
        <v>302.02999999999997</v>
      </c>
      <c r="Z271" s="593">
        <f ca="1">$E271*(-SUMIF(INDIRECT(Z$3),'Struktur Vorjahr'!$D271,INDIRECT(Z$4))+SUMIF(INDIRECT(Z$3),'Struktur Vorjahr'!$D271,INDIRECT(Z$5)))</f>
        <v>354.9</v>
      </c>
      <c r="AA271" s="593">
        <f ca="1">$E271*(-SUMIF(INDIRECT(AA$3),'Struktur Vorjahr'!$D271,INDIRECT(AA$4))+SUMIF(INDIRECT(AA$3),'Struktur Vorjahr'!$D271,INDIRECT(AA$5)))</f>
        <v>392.14</v>
      </c>
      <c r="AB271" s="593">
        <f ca="1">$E271*(-SUMIF(INDIRECT(AB$3),'Struktur Vorjahr'!$D271,INDIRECT(AB$4))+SUMIF(INDIRECT(AB$3),'Struktur Vorjahr'!$D271,INDIRECT(AB$5)))</f>
        <v>403.06</v>
      </c>
      <c r="AC271" s="593">
        <f ca="1">$E271*(-SUMIF(INDIRECT(AC$3),'Struktur Vorjahr'!$D271,INDIRECT(AC$4))+SUMIF(INDIRECT(AC$3),'Struktur Vorjahr'!$D271,INDIRECT(AC$5)))</f>
        <v>0</v>
      </c>
      <c r="AD271" s="593">
        <f ca="1">$E271*(-SUMIF(INDIRECT(AD$3),'Struktur Vorjahr'!$D271,INDIRECT(AD$4))+SUMIF(INDIRECT(AD$3),'Struktur Vorjahr'!$D271,INDIRECT(AD$5)))</f>
        <v>0</v>
      </c>
      <c r="AE271" s="593">
        <f t="shared" ca="1" si="119"/>
        <v>13.78</v>
      </c>
      <c r="AF271" s="593">
        <f t="shared" ca="1" si="120"/>
        <v>125.87</v>
      </c>
      <c r="AG271" s="593">
        <f t="shared" ca="1" si="120"/>
        <v>143</v>
      </c>
      <c r="AH271" s="593">
        <f t="shared" ca="1" si="120"/>
        <v>186.15</v>
      </c>
      <c r="AI271" s="593">
        <f t="shared" ca="1" si="120"/>
        <v>206.22</v>
      </c>
      <c r="AJ271" s="593">
        <f t="shared" ca="1" si="120"/>
        <v>281.97000000000003</v>
      </c>
      <c r="AK271" s="593">
        <f t="shared" ca="1" si="120"/>
        <v>302.03000000000003</v>
      </c>
      <c r="AL271" s="593">
        <f t="shared" ca="1" si="120"/>
        <v>354.90000000000003</v>
      </c>
      <c r="AM271" s="593">
        <f t="shared" ca="1" si="120"/>
        <v>392.14000000000004</v>
      </c>
      <c r="AN271" s="593">
        <f t="shared" ca="1" si="120"/>
        <v>403.06000000000006</v>
      </c>
      <c r="AO271" s="593">
        <f t="shared" ca="1" si="120"/>
        <v>403.06000000000006</v>
      </c>
      <c r="AP271" s="593">
        <f t="shared" ca="1" si="120"/>
        <v>403.06000000000006</v>
      </c>
    </row>
    <row r="272" spans="1:42" s="594" customFormat="1" ht="11.25" outlineLevel="1" x14ac:dyDescent="0.2">
      <c r="A272" s="590"/>
      <c r="B272" s="591" t="str">
        <f>IF(D272&lt;&gt;"",
IF(ISERROR(MATCH(D272,'Ist Vorjahr Monat 01'!A:A,0))=FALSE,INDEX('Ist Vorjahr Monat 01'!B:B,MATCH(D272,'Ist Vorjahr Monat 01'!A:A,0)),
IF(ISERROR(MATCH(D272,'Ist Vorjahr Monat 02'!A:A,0))=FALSE,INDEX('Ist Vorjahr Monat 02'!B:B,MATCH(D272,'Ist Vorjahr Monat 02'!A:A,0)),
IF(ISERROR(MATCH(D272,'Ist Vorjahr Monat 03'!A:A,0))=FALSE,INDEX('Ist Vorjahr Monat 03'!B:B,MATCH(D272,'Ist Vorjahr Monat 03'!A:A,0)),
IF(ISERROR(MATCH(D272,'Ist Vorjahr Monat 04'!A:A,0))=FALSE,INDEX('Ist Vorjahr Monat 04'!B:B,MATCH(D272,'Ist Vorjahr Monat 04'!A:A,0)),
IF(ISERROR(MATCH(D272,'Ist Vorjahr Monat 05'!A:A,0))=FALSE,INDEX('Ist Vorjahr Monat 05'!B:B,MATCH(D272,'Ist Vorjahr Monat 05'!A:A,0)),
IF(ISERROR(MATCH(D272,'Ist Vorjahr Monat 06'!A:A,0))=FALSE,INDEX('Ist Vorjahr Monat 06'!B:B,MATCH(D272,'Ist Vorjahr Monat 06'!A:A,0)),
IF(ISERROR(MATCH(D272,'Ist Vorjahr Monat 07'!A:A,0))=FALSE,INDEX('Ist Vorjahr Monat 07'!B:B,MATCH(D272,'Ist Vorjahr Monat 07'!A:A,0)),
IF(ISERROR(MATCH(D272,'Ist Vorjahr Monat 08'!A:A,0))=FALSE,INDEX('Ist Vorjahr Monat 08'!B:B,MATCH(D272,'Ist Vorjahr Monat 08'!A:A,0)),
IF(ISERROR(MATCH(D272,'Ist Vorjahr Monat 09'!A:A,0))=FALSE,INDEX('Ist Vorjahr Monat 09'!B:B,MATCH(D272,'Ist Vorjahr Monat 09'!A:A,0)),
IF(ISERROR(MATCH(D272,'Ist Vorjahr Monat 10'!A:A,0))=FALSE,INDEX('Ist Vorjahr Monat 10'!B:B,MATCH(D272,'Ist Vorjahr Monat 10'!A:A,0)),
IF(ISERROR(MATCH(D272,'Ist Vorjahr Monat 11'!A:A,0))=FALSE,INDEX('Ist Vorjahr Monat 11'!B:B,MATCH(D272,'Ist Vorjahr Monat 11'!A:A,0)),
IF(ISERROR(MATCH(D272,'Ist Vorjahr Monat 12'!A:A,0))=FALSE,INDEX('Ist Vorjahr Monat 12'!B:B,MATCH(D272,'Ist Vorjahr Monat 12'!A:A,0)),
"{Konto unbekannt}"
)))))))))))),"")</f>
        <v>Zeitschriften, Bücher (Fachliteratur)</v>
      </c>
      <c r="C272" s="591"/>
      <c r="D272" s="590">
        <v>4940</v>
      </c>
      <c r="E272" s="592">
        <f t="shared" si="105"/>
        <v>1</v>
      </c>
      <c r="F272" s="590"/>
      <c r="G272" s="593">
        <f ca="1">$E272*(-SUMIF(INDIRECT(G$3),'Struktur Vorjahr'!$D272,INDIRECT(G$4))+SUMIF(INDIRECT(G$3),'Struktur Vorjahr'!$D272,INDIRECT(G$5)))</f>
        <v>0</v>
      </c>
      <c r="H272" s="593">
        <f ca="1">$E272*(-SUMIF(INDIRECT(H$3),'Struktur Vorjahr'!$D272,INDIRECT(H$4))+SUMIF(INDIRECT(H$3),'Struktur Vorjahr'!$D272,INDIRECT(H$5)))</f>
        <v>0</v>
      </c>
      <c r="I272" s="593">
        <f ca="1">$E272*(-SUMIF(INDIRECT(I$3),'Struktur Vorjahr'!$D272,INDIRECT(I$4))+SUMIF(INDIRECT(I$3),'Struktur Vorjahr'!$D272,INDIRECT(I$5)))</f>
        <v>0</v>
      </c>
      <c r="J272" s="593">
        <f ca="1">$E272*(-SUMIF(INDIRECT(J$3),'Struktur Vorjahr'!$D272,INDIRECT(J$4))+SUMIF(INDIRECT(J$3),'Struktur Vorjahr'!$D272,INDIRECT(J$5)))</f>
        <v>130.1</v>
      </c>
      <c r="K272" s="593">
        <f ca="1">$E272*(-SUMIF(INDIRECT(K$3),'Struktur Vorjahr'!$D272,INDIRECT(K$4))+SUMIF(INDIRECT(K$3),'Struktur Vorjahr'!$D272,INDIRECT(K$5)))</f>
        <v>0</v>
      </c>
      <c r="L272" s="593">
        <f ca="1">$E272*(-SUMIF(INDIRECT(L$3),'Struktur Vorjahr'!$D272,INDIRECT(L$4))+SUMIF(INDIRECT(L$3),'Struktur Vorjahr'!$D272,INDIRECT(L$5)))</f>
        <v>0</v>
      </c>
      <c r="M272" s="593">
        <f ca="1">$E272*(-SUMIF(INDIRECT(M$3),'Struktur Vorjahr'!$D272,INDIRECT(M$4))+SUMIF(INDIRECT(M$3),'Struktur Vorjahr'!$D272,INDIRECT(M$5)))</f>
        <v>27.94</v>
      </c>
      <c r="N272" s="593">
        <f ca="1">$E272*(-SUMIF(INDIRECT(N$3),'Struktur Vorjahr'!$D272,INDIRECT(N$4))+SUMIF(INDIRECT(N$3),'Struktur Vorjahr'!$D272,INDIRECT(N$5)))</f>
        <v>0</v>
      </c>
      <c r="O272" s="593">
        <f ca="1">$E272*(-SUMIF(INDIRECT(O$3),'Struktur Vorjahr'!$D272,INDIRECT(O$4))+SUMIF(INDIRECT(O$3),'Struktur Vorjahr'!$D272,INDIRECT(O$5)))</f>
        <v>0</v>
      </c>
      <c r="P272" s="593">
        <f ca="1">$E272*(-SUMIF(INDIRECT(P$3),'Struktur Vorjahr'!$D272,INDIRECT(P$4))+SUMIF(INDIRECT(P$3),'Struktur Vorjahr'!$D272,INDIRECT(P$5)))</f>
        <v>71.209999999999994</v>
      </c>
      <c r="Q272" s="593">
        <f ca="1">$E272*(-SUMIF(INDIRECT(Q$3),'Struktur Vorjahr'!$D272,INDIRECT(Q$4))+SUMIF(INDIRECT(Q$3),'Struktur Vorjahr'!$D272,INDIRECT(Q$5)))</f>
        <v>0</v>
      </c>
      <c r="R272" s="593">
        <f ca="1">$E272*(-SUMIF(INDIRECT(R$3),'Struktur Vorjahr'!$D272,INDIRECT(R$4))+SUMIF(INDIRECT(R$3),'Struktur Vorjahr'!$D272,INDIRECT(R$5)))</f>
        <v>0</v>
      </c>
      <c r="S272" s="593">
        <f ca="1">$E272*(-SUMIF(INDIRECT(S$3),'Struktur Vorjahr'!$D272,INDIRECT(S$4))+SUMIF(INDIRECT(S$3),'Struktur Vorjahr'!$D272,INDIRECT(S$5)))</f>
        <v>0</v>
      </c>
      <c r="T272" s="593">
        <f ca="1">$E272*(-SUMIF(INDIRECT(T$3),'Struktur Vorjahr'!$D272,INDIRECT(T$4))+SUMIF(INDIRECT(T$3),'Struktur Vorjahr'!$D272,INDIRECT(T$5)))</f>
        <v>0</v>
      </c>
      <c r="U272" s="593">
        <f ca="1">$E272*(-SUMIF(INDIRECT(U$3),'Struktur Vorjahr'!$D272,INDIRECT(U$4))+SUMIF(INDIRECT(U$3),'Struktur Vorjahr'!$D272,INDIRECT(U$5)))</f>
        <v>0</v>
      </c>
      <c r="V272" s="593">
        <f ca="1">$E272*(-SUMIF(INDIRECT(V$3),'Struktur Vorjahr'!$D272,INDIRECT(V$4))+SUMIF(INDIRECT(V$3),'Struktur Vorjahr'!$D272,INDIRECT(V$5)))</f>
        <v>130.1</v>
      </c>
      <c r="W272" s="593">
        <f ca="1">$E272*(-SUMIF(INDIRECT(W$3),'Struktur Vorjahr'!$D272,INDIRECT(W$4))+SUMIF(INDIRECT(W$3),'Struktur Vorjahr'!$D272,INDIRECT(W$5)))</f>
        <v>130.1</v>
      </c>
      <c r="X272" s="593">
        <f ca="1">$E272*(-SUMIF(INDIRECT(X$3),'Struktur Vorjahr'!$D272,INDIRECT(X$4))+SUMIF(INDIRECT(X$3),'Struktur Vorjahr'!$D272,INDIRECT(X$5)))</f>
        <v>130.1</v>
      </c>
      <c r="Y272" s="593">
        <f ca="1">$E272*(-SUMIF(INDIRECT(Y$3),'Struktur Vorjahr'!$D272,INDIRECT(Y$4))+SUMIF(INDIRECT(Y$3),'Struktur Vorjahr'!$D272,INDIRECT(Y$5)))</f>
        <v>158.04</v>
      </c>
      <c r="Z272" s="593">
        <f ca="1">$E272*(-SUMIF(INDIRECT(Z$3),'Struktur Vorjahr'!$D272,INDIRECT(Z$4))+SUMIF(INDIRECT(Z$3),'Struktur Vorjahr'!$D272,INDIRECT(Z$5)))</f>
        <v>158.04</v>
      </c>
      <c r="AA272" s="593">
        <f ca="1">$E272*(-SUMIF(INDIRECT(AA$3),'Struktur Vorjahr'!$D272,INDIRECT(AA$4))+SUMIF(INDIRECT(AA$3),'Struktur Vorjahr'!$D272,INDIRECT(AA$5)))</f>
        <v>158.04</v>
      </c>
      <c r="AB272" s="593">
        <f ca="1">$E272*(-SUMIF(INDIRECT(AB$3),'Struktur Vorjahr'!$D272,INDIRECT(AB$4))+SUMIF(INDIRECT(AB$3),'Struktur Vorjahr'!$D272,INDIRECT(AB$5)))</f>
        <v>229.25</v>
      </c>
      <c r="AC272" s="593">
        <f ca="1">$E272*(-SUMIF(INDIRECT(AC$3),'Struktur Vorjahr'!$D272,INDIRECT(AC$4))+SUMIF(INDIRECT(AC$3),'Struktur Vorjahr'!$D272,INDIRECT(AC$5)))</f>
        <v>0</v>
      </c>
      <c r="AD272" s="593">
        <f ca="1">$E272*(-SUMIF(INDIRECT(AD$3),'Struktur Vorjahr'!$D272,INDIRECT(AD$4))+SUMIF(INDIRECT(AD$3),'Struktur Vorjahr'!$D272,INDIRECT(AD$5)))</f>
        <v>0</v>
      </c>
      <c r="AE272" s="593">
        <f t="shared" ca="1" si="119"/>
        <v>0</v>
      </c>
      <c r="AF272" s="593">
        <f t="shared" ca="1" si="120"/>
        <v>0</v>
      </c>
      <c r="AG272" s="593">
        <f t="shared" ca="1" si="120"/>
        <v>0</v>
      </c>
      <c r="AH272" s="593">
        <f t="shared" ca="1" si="120"/>
        <v>130.1</v>
      </c>
      <c r="AI272" s="593">
        <f t="shared" ca="1" si="120"/>
        <v>130.1</v>
      </c>
      <c r="AJ272" s="593">
        <f t="shared" ca="1" si="120"/>
        <v>130.1</v>
      </c>
      <c r="AK272" s="593">
        <f t="shared" ca="1" si="120"/>
        <v>158.04</v>
      </c>
      <c r="AL272" s="593">
        <f t="shared" ca="1" si="120"/>
        <v>158.04</v>
      </c>
      <c r="AM272" s="593">
        <f t="shared" ca="1" si="120"/>
        <v>158.04</v>
      </c>
      <c r="AN272" s="593">
        <f t="shared" ca="1" si="120"/>
        <v>229.25</v>
      </c>
      <c r="AO272" s="593">
        <f t="shared" ca="1" si="120"/>
        <v>229.25</v>
      </c>
      <c r="AP272" s="593">
        <f t="shared" ca="1" si="120"/>
        <v>229.25</v>
      </c>
    </row>
    <row r="273" spans="1:42" s="594" customFormat="1" ht="11.25" outlineLevel="1" x14ac:dyDescent="0.2">
      <c r="A273" s="590"/>
      <c r="B273" s="591" t="str">
        <f>IF(D273&lt;&gt;"",
IF(ISERROR(MATCH(D273,'Ist Vorjahr Monat 01'!A:A,0))=FALSE,INDEX('Ist Vorjahr Monat 01'!B:B,MATCH(D273,'Ist Vorjahr Monat 01'!A:A,0)),
IF(ISERROR(MATCH(D273,'Ist Vorjahr Monat 02'!A:A,0))=FALSE,INDEX('Ist Vorjahr Monat 02'!B:B,MATCH(D273,'Ist Vorjahr Monat 02'!A:A,0)),
IF(ISERROR(MATCH(D273,'Ist Vorjahr Monat 03'!A:A,0))=FALSE,INDEX('Ist Vorjahr Monat 03'!B:B,MATCH(D273,'Ist Vorjahr Monat 03'!A:A,0)),
IF(ISERROR(MATCH(D273,'Ist Vorjahr Monat 04'!A:A,0))=FALSE,INDEX('Ist Vorjahr Monat 04'!B:B,MATCH(D273,'Ist Vorjahr Monat 04'!A:A,0)),
IF(ISERROR(MATCH(D273,'Ist Vorjahr Monat 05'!A:A,0))=FALSE,INDEX('Ist Vorjahr Monat 05'!B:B,MATCH(D273,'Ist Vorjahr Monat 05'!A:A,0)),
IF(ISERROR(MATCH(D273,'Ist Vorjahr Monat 06'!A:A,0))=FALSE,INDEX('Ist Vorjahr Monat 06'!B:B,MATCH(D273,'Ist Vorjahr Monat 06'!A:A,0)),
IF(ISERROR(MATCH(D273,'Ist Vorjahr Monat 07'!A:A,0))=FALSE,INDEX('Ist Vorjahr Monat 07'!B:B,MATCH(D273,'Ist Vorjahr Monat 07'!A:A,0)),
IF(ISERROR(MATCH(D273,'Ist Vorjahr Monat 08'!A:A,0))=FALSE,INDEX('Ist Vorjahr Monat 08'!B:B,MATCH(D273,'Ist Vorjahr Monat 08'!A:A,0)),
IF(ISERROR(MATCH(D273,'Ist Vorjahr Monat 09'!A:A,0))=FALSE,INDEX('Ist Vorjahr Monat 09'!B:B,MATCH(D273,'Ist Vorjahr Monat 09'!A:A,0)),
IF(ISERROR(MATCH(D273,'Ist Vorjahr Monat 10'!A:A,0))=FALSE,INDEX('Ist Vorjahr Monat 10'!B:B,MATCH(D273,'Ist Vorjahr Monat 10'!A:A,0)),
IF(ISERROR(MATCH(D273,'Ist Vorjahr Monat 11'!A:A,0))=FALSE,INDEX('Ist Vorjahr Monat 11'!B:B,MATCH(D273,'Ist Vorjahr Monat 11'!A:A,0)),
IF(ISERROR(MATCH(D273,'Ist Vorjahr Monat 12'!A:A,0))=FALSE,INDEX('Ist Vorjahr Monat 12'!B:B,MATCH(D273,'Ist Vorjahr Monat 12'!A:A,0)),
"{Konto unbekannt}"
)))))))))))),"")</f>
        <v>Nebenkosten des Geldverkehrs</v>
      </c>
      <c r="C273" s="591"/>
      <c r="D273" s="590">
        <v>4970</v>
      </c>
      <c r="E273" s="592">
        <f t="shared" si="105"/>
        <v>1</v>
      </c>
      <c r="F273" s="590"/>
      <c r="G273" s="593">
        <f ca="1">$E273*(-SUMIF(INDIRECT(G$3),'Struktur Vorjahr'!$D273,INDIRECT(G$4))+SUMIF(INDIRECT(G$3),'Struktur Vorjahr'!$D273,INDIRECT(G$5)))</f>
        <v>10</v>
      </c>
      <c r="H273" s="593">
        <f ca="1">$E273*(-SUMIF(INDIRECT(H$3),'Struktur Vorjahr'!$D273,INDIRECT(H$4))+SUMIF(INDIRECT(H$3),'Struktur Vorjahr'!$D273,INDIRECT(H$5)))</f>
        <v>30.9</v>
      </c>
      <c r="I273" s="593">
        <f ca="1">$E273*(-SUMIF(INDIRECT(I$3),'Struktur Vorjahr'!$D273,INDIRECT(I$4))+SUMIF(INDIRECT(I$3),'Struktur Vorjahr'!$D273,INDIRECT(I$5)))</f>
        <v>31.95</v>
      </c>
      <c r="J273" s="593">
        <f ca="1">$E273*(-SUMIF(INDIRECT(J$3),'Struktur Vorjahr'!$D273,INDIRECT(J$4))+SUMIF(INDIRECT(J$3),'Struktur Vorjahr'!$D273,INDIRECT(J$5)))</f>
        <v>39.15</v>
      </c>
      <c r="K273" s="593">
        <f ca="1">$E273*(-SUMIF(INDIRECT(K$3),'Struktur Vorjahr'!$D273,INDIRECT(K$4))+SUMIF(INDIRECT(K$3),'Struktur Vorjahr'!$D273,INDIRECT(K$5)))</f>
        <v>34.65</v>
      </c>
      <c r="L273" s="593">
        <f ca="1">$E273*(-SUMIF(INDIRECT(L$3),'Struktur Vorjahr'!$D273,INDIRECT(L$4))+SUMIF(INDIRECT(L$3),'Struktur Vorjahr'!$D273,INDIRECT(L$5)))</f>
        <v>37.049999999999997</v>
      </c>
      <c r="M273" s="593">
        <f ca="1">$E273*(-SUMIF(INDIRECT(M$3),'Struktur Vorjahr'!$D273,INDIRECT(M$4))+SUMIF(INDIRECT(M$3),'Struktur Vorjahr'!$D273,INDIRECT(M$5)))</f>
        <v>32.1</v>
      </c>
      <c r="N273" s="593">
        <f ca="1">$E273*(-SUMIF(INDIRECT(N$3),'Struktur Vorjahr'!$D273,INDIRECT(N$4))+SUMIF(INDIRECT(N$3),'Struktur Vorjahr'!$D273,INDIRECT(N$5)))</f>
        <v>44.25</v>
      </c>
      <c r="O273" s="593">
        <f ca="1">$E273*(-SUMIF(INDIRECT(O$3),'Struktur Vorjahr'!$D273,INDIRECT(O$4))+SUMIF(INDIRECT(O$3),'Struktur Vorjahr'!$D273,INDIRECT(O$5)))</f>
        <v>37.65</v>
      </c>
      <c r="P273" s="593">
        <f ca="1">$E273*(-SUMIF(INDIRECT(P$3),'Struktur Vorjahr'!$D273,INDIRECT(P$4))+SUMIF(INDIRECT(P$3),'Struktur Vorjahr'!$D273,INDIRECT(P$5)))</f>
        <v>30.15</v>
      </c>
      <c r="Q273" s="593">
        <f ca="1">$E273*(-SUMIF(INDIRECT(Q$3),'Struktur Vorjahr'!$D273,INDIRECT(Q$4))+SUMIF(INDIRECT(Q$3),'Struktur Vorjahr'!$D273,INDIRECT(Q$5)))</f>
        <v>0</v>
      </c>
      <c r="R273" s="593">
        <f ca="1">$E273*(-SUMIF(INDIRECT(R$3),'Struktur Vorjahr'!$D273,INDIRECT(R$4))+SUMIF(INDIRECT(R$3),'Struktur Vorjahr'!$D273,INDIRECT(R$5)))</f>
        <v>0</v>
      </c>
      <c r="S273" s="593">
        <f ca="1">$E273*(-SUMIF(INDIRECT(S$3),'Struktur Vorjahr'!$D273,INDIRECT(S$4))+SUMIF(INDIRECT(S$3),'Struktur Vorjahr'!$D273,INDIRECT(S$5)))</f>
        <v>10</v>
      </c>
      <c r="T273" s="593">
        <f ca="1">$E273*(-SUMIF(INDIRECT(T$3),'Struktur Vorjahr'!$D273,INDIRECT(T$4))+SUMIF(INDIRECT(T$3),'Struktur Vorjahr'!$D273,INDIRECT(T$5)))</f>
        <v>40.9</v>
      </c>
      <c r="U273" s="593">
        <f ca="1">$E273*(-SUMIF(INDIRECT(U$3),'Struktur Vorjahr'!$D273,INDIRECT(U$4))+SUMIF(INDIRECT(U$3),'Struktur Vorjahr'!$D273,INDIRECT(U$5)))</f>
        <v>72.849999999999994</v>
      </c>
      <c r="V273" s="593">
        <f ca="1">$E273*(-SUMIF(INDIRECT(V$3),'Struktur Vorjahr'!$D273,INDIRECT(V$4))+SUMIF(INDIRECT(V$3),'Struktur Vorjahr'!$D273,INDIRECT(V$5)))</f>
        <v>112</v>
      </c>
      <c r="W273" s="593">
        <f ca="1">$E273*(-SUMIF(INDIRECT(W$3),'Struktur Vorjahr'!$D273,INDIRECT(W$4))+SUMIF(INDIRECT(W$3),'Struktur Vorjahr'!$D273,INDIRECT(W$5)))</f>
        <v>146.65</v>
      </c>
      <c r="X273" s="593">
        <f ca="1">$E273*(-SUMIF(INDIRECT(X$3),'Struktur Vorjahr'!$D273,INDIRECT(X$4))+SUMIF(INDIRECT(X$3),'Struktur Vorjahr'!$D273,INDIRECT(X$5)))</f>
        <v>183.7</v>
      </c>
      <c r="Y273" s="593">
        <f ca="1">$E273*(-SUMIF(INDIRECT(Y$3),'Struktur Vorjahr'!$D273,INDIRECT(Y$4))+SUMIF(INDIRECT(Y$3),'Struktur Vorjahr'!$D273,INDIRECT(Y$5)))</f>
        <v>215.8</v>
      </c>
      <c r="Z273" s="593">
        <f ca="1">$E273*(-SUMIF(INDIRECT(Z$3),'Struktur Vorjahr'!$D273,INDIRECT(Z$4))+SUMIF(INDIRECT(Z$3),'Struktur Vorjahr'!$D273,INDIRECT(Z$5)))</f>
        <v>260.05</v>
      </c>
      <c r="AA273" s="593">
        <f ca="1">$E273*(-SUMIF(INDIRECT(AA$3),'Struktur Vorjahr'!$D273,INDIRECT(AA$4))+SUMIF(INDIRECT(AA$3),'Struktur Vorjahr'!$D273,INDIRECT(AA$5)))</f>
        <v>297.7</v>
      </c>
      <c r="AB273" s="593">
        <f ca="1">$E273*(-SUMIF(INDIRECT(AB$3),'Struktur Vorjahr'!$D273,INDIRECT(AB$4))+SUMIF(INDIRECT(AB$3),'Struktur Vorjahr'!$D273,INDIRECT(AB$5)))</f>
        <v>327.85</v>
      </c>
      <c r="AC273" s="593">
        <f ca="1">$E273*(-SUMIF(INDIRECT(AC$3),'Struktur Vorjahr'!$D273,INDIRECT(AC$4))+SUMIF(INDIRECT(AC$3),'Struktur Vorjahr'!$D273,INDIRECT(AC$5)))</f>
        <v>0</v>
      </c>
      <c r="AD273" s="593">
        <f ca="1">$E273*(-SUMIF(INDIRECT(AD$3),'Struktur Vorjahr'!$D273,INDIRECT(AD$4))+SUMIF(INDIRECT(AD$3),'Struktur Vorjahr'!$D273,INDIRECT(AD$5)))</f>
        <v>0</v>
      </c>
      <c r="AE273" s="593">
        <f t="shared" ca="1" si="119"/>
        <v>10</v>
      </c>
      <c r="AF273" s="593">
        <f t="shared" ca="1" si="120"/>
        <v>40.9</v>
      </c>
      <c r="AG273" s="593">
        <f t="shared" ca="1" si="120"/>
        <v>72.849999999999994</v>
      </c>
      <c r="AH273" s="593">
        <f t="shared" ca="1" si="120"/>
        <v>112</v>
      </c>
      <c r="AI273" s="593">
        <f t="shared" ca="1" si="120"/>
        <v>146.65</v>
      </c>
      <c r="AJ273" s="593">
        <f t="shared" ca="1" si="120"/>
        <v>183.7</v>
      </c>
      <c r="AK273" s="593">
        <f t="shared" ca="1" si="120"/>
        <v>215.79999999999998</v>
      </c>
      <c r="AL273" s="593">
        <f t="shared" ca="1" si="120"/>
        <v>260.04999999999995</v>
      </c>
      <c r="AM273" s="593">
        <f t="shared" ca="1" si="120"/>
        <v>297.69999999999993</v>
      </c>
      <c r="AN273" s="593">
        <f t="shared" ca="1" si="120"/>
        <v>327.84999999999991</v>
      </c>
      <c r="AO273" s="593">
        <f t="shared" ca="1" si="120"/>
        <v>327.84999999999991</v>
      </c>
      <c r="AP273" s="593">
        <f t="shared" ca="1" si="120"/>
        <v>327.84999999999991</v>
      </c>
    </row>
    <row r="274" spans="1:42" s="594" customFormat="1" ht="11.25" outlineLevel="1" x14ac:dyDescent="0.2">
      <c r="A274" s="590"/>
      <c r="B274" s="591" t="str">
        <f>IF(D274&lt;&gt;"",
IF(ISERROR(MATCH(D274,'Ist Vorjahr Monat 01'!A:A,0))=FALSE,INDEX('Ist Vorjahr Monat 01'!B:B,MATCH(D274,'Ist Vorjahr Monat 01'!A:A,0)),
IF(ISERROR(MATCH(D274,'Ist Vorjahr Monat 02'!A:A,0))=FALSE,INDEX('Ist Vorjahr Monat 02'!B:B,MATCH(D274,'Ist Vorjahr Monat 02'!A:A,0)),
IF(ISERROR(MATCH(D274,'Ist Vorjahr Monat 03'!A:A,0))=FALSE,INDEX('Ist Vorjahr Monat 03'!B:B,MATCH(D274,'Ist Vorjahr Monat 03'!A:A,0)),
IF(ISERROR(MATCH(D274,'Ist Vorjahr Monat 04'!A:A,0))=FALSE,INDEX('Ist Vorjahr Monat 04'!B:B,MATCH(D274,'Ist Vorjahr Monat 04'!A:A,0)),
IF(ISERROR(MATCH(D274,'Ist Vorjahr Monat 05'!A:A,0))=FALSE,INDEX('Ist Vorjahr Monat 05'!B:B,MATCH(D274,'Ist Vorjahr Monat 05'!A:A,0)),
IF(ISERROR(MATCH(D274,'Ist Vorjahr Monat 06'!A:A,0))=FALSE,INDEX('Ist Vorjahr Monat 06'!B:B,MATCH(D274,'Ist Vorjahr Monat 06'!A:A,0)),
IF(ISERROR(MATCH(D274,'Ist Vorjahr Monat 07'!A:A,0))=FALSE,INDEX('Ist Vorjahr Monat 07'!B:B,MATCH(D274,'Ist Vorjahr Monat 07'!A:A,0)),
IF(ISERROR(MATCH(D274,'Ist Vorjahr Monat 08'!A:A,0))=FALSE,INDEX('Ist Vorjahr Monat 08'!B:B,MATCH(D274,'Ist Vorjahr Monat 08'!A:A,0)),
IF(ISERROR(MATCH(D274,'Ist Vorjahr Monat 09'!A:A,0))=FALSE,INDEX('Ist Vorjahr Monat 09'!B:B,MATCH(D274,'Ist Vorjahr Monat 09'!A:A,0)),
IF(ISERROR(MATCH(D274,'Ist Vorjahr Monat 10'!A:A,0))=FALSE,INDEX('Ist Vorjahr Monat 10'!B:B,MATCH(D274,'Ist Vorjahr Monat 10'!A:A,0)),
IF(ISERROR(MATCH(D274,'Ist Vorjahr Monat 11'!A:A,0))=FALSE,INDEX('Ist Vorjahr Monat 11'!B:B,MATCH(D274,'Ist Vorjahr Monat 11'!A:A,0)),
IF(ISERROR(MATCH(D274,'Ist Vorjahr Monat 12'!A:A,0))=FALSE,INDEX('Ist Vorjahr Monat 12'!B:B,MATCH(D274,'Ist Vorjahr Monat 12'!A:A,0)),
"{Konto unbekannt}"
)))))))))))),"")</f>
        <v>Werkzeuge und Kleingeräte</v>
      </c>
      <c r="C274" s="591"/>
      <c r="D274" s="590">
        <v>4985</v>
      </c>
      <c r="E274" s="592">
        <f>IF(F274="-",-1,1)</f>
        <v>1</v>
      </c>
      <c r="F274" s="590"/>
      <c r="G274" s="593">
        <f ca="1">$E274*(-SUMIF(INDIRECT(G$3),'Struktur Vorjahr'!$D274,INDIRECT(G$4))+SUMIF(INDIRECT(G$3),'Struktur Vorjahr'!$D274,INDIRECT(G$5)))</f>
        <v>0</v>
      </c>
      <c r="H274" s="593">
        <f ca="1">$E274*(-SUMIF(INDIRECT(H$3),'Struktur Vorjahr'!$D274,INDIRECT(H$4))+SUMIF(INDIRECT(H$3),'Struktur Vorjahr'!$D274,INDIRECT(H$5)))</f>
        <v>0</v>
      </c>
      <c r="I274" s="593">
        <f ca="1">$E274*(-SUMIF(INDIRECT(I$3),'Struktur Vorjahr'!$D274,INDIRECT(I$4))+SUMIF(INDIRECT(I$3),'Struktur Vorjahr'!$D274,INDIRECT(I$5)))</f>
        <v>119.21</v>
      </c>
      <c r="J274" s="593">
        <f ca="1">$E274*(-SUMIF(INDIRECT(J$3),'Struktur Vorjahr'!$D274,INDIRECT(J$4))+SUMIF(INDIRECT(J$3),'Struktur Vorjahr'!$D274,INDIRECT(J$5)))</f>
        <v>0</v>
      </c>
      <c r="K274" s="593">
        <f ca="1">$E274*(-SUMIF(INDIRECT(K$3),'Struktur Vorjahr'!$D274,INDIRECT(K$4))+SUMIF(INDIRECT(K$3),'Struktur Vorjahr'!$D274,INDIRECT(K$5)))</f>
        <v>33.61</v>
      </c>
      <c r="L274" s="593">
        <f ca="1">$E274*(-SUMIF(INDIRECT(L$3),'Struktur Vorjahr'!$D274,INDIRECT(L$4))+SUMIF(INDIRECT(L$3),'Struktur Vorjahr'!$D274,INDIRECT(L$5)))</f>
        <v>25.81</v>
      </c>
      <c r="M274" s="593">
        <f ca="1">$E274*(-SUMIF(INDIRECT(M$3),'Struktur Vorjahr'!$D274,INDIRECT(M$4))+SUMIF(INDIRECT(M$3),'Struktur Vorjahr'!$D274,INDIRECT(M$5)))</f>
        <v>7.22</v>
      </c>
      <c r="N274" s="593">
        <f ca="1">$E274*(-SUMIF(INDIRECT(N$3),'Struktur Vorjahr'!$D274,INDIRECT(N$4))+SUMIF(INDIRECT(N$3),'Struktur Vorjahr'!$D274,INDIRECT(N$5)))</f>
        <v>0</v>
      </c>
      <c r="O274" s="593">
        <f ca="1">$E274*(-SUMIF(INDIRECT(O$3),'Struktur Vorjahr'!$D274,INDIRECT(O$4))+SUMIF(INDIRECT(O$3),'Struktur Vorjahr'!$D274,INDIRECT(O$5)))</f>
        <v>0</v>
      </c>
      <c r="P274" s="593">
        <f ca="1">$E274*(-SUMIF(INDIRECT(P$3),'Struktur Vorjahr'!$D274,INDIRECT(P$4))+SUMIF(INDIRECT(P$3),'Struktur Vorjahr'!$D274,INDIRECT(P$5)))</f>
        <v>0</v>
      </c>
      <c r="Q274" s="593">
        <f ca="1">$E274*(-SUMIF(INDIRECT(Q$3),'Struktur Vorjahr'!$D274,INDIRECT(Q$4))+SUMIF(INDIRECT(Q$3),'Struktur Vorjahr'!$D274,INDIRECT(Q$5)))</f>
        <v>0</v>
      </c>
      <c r="R274" s="593">
        <f ca="1">$E274*(-SUMIF(INDIRECT(R$3),'Struktur Vorjahr'!$D274,INDIRECT(R$4))+SUMIF(INDIRECT(R$3),'Struktur Vorjahr'!$D274,INDIRECT(R$5)))</f>
        <v>0</v>
      </c>
      <c r="S274" s="593">
        <f ca="1">$E274*(-SUMIF(INDIRECT(S$3),'Struktur Vorjahr'!$D274,INDIRECT(S$4))+SUMIF(INDIRECT(S$3),'Struktur Vorjahr'!$D274,INDIRECT(S$5)))</f>
        <v>0</v>
      </c>
      <c r="T274" s="593">
        <f ca="1">$E274*(-SUMIF(INDIRECT(T$3),'Struktur Vorjahr'!$D274,INDIRECT(T$4))+SUMIF(INDIRECT(T$3),'Struktur Vorjahr'!$D274,INDIRECT(T$5)))</f>
        <v>0</v>
      </c>
      <c r="U274" s="593">
        <f ca="1">$E274*(-SUMIF(INDIRECT(U$3),'Struktur Vorjahr'!$D274,INDIRECT(U$4))+SUMIF(INDIRECT(U$3),'Struktur Vorjahr'!$D274,INDIRECT(U$5)))</f>
        <v>119.21</v>
      </c>
      <c r="V274" s="593">
        <f ca="1">$E274*(-SUMIF(INDIRECT(V$3),'Struktur Vorjahr'!$D274,INDIRECT(V$4))+SUMIF(INDIRECT(V$3),'Struktur Vorjahr'!$D274,INDIRECT(V$5)))</f>
        <v>119.21</v>
      </c>
      <c r="W274" s="593">
        <f ca="1">$E274*(-SUMIF(INDIRECT(W$3),'Struktur Vorjahr'!$D274,INDIRECT(W$4))+SUMIF(INDIRECT(W$3),'Struktur Vorjahr'!$D274,INDIRECT(W$5)))</f>
        <v>152.82</v>
      </c>
      <c r="X274" s="593">
        <f ca="1">$E274*(-SUMIF(INDIRECT(X$3),'Struktur Vorjahr'!$D274,INDIRECT(X$4))+SUMIF(INDIRECT(X$3),'Struktur Vorjahr'!$D274,INDIRECT(X$5)))</f>
        <v>178.63</v>
      </c>
      <c r="Y274" s="593">
        <f ca="1">$E274*(-SUMIF(INDIRECT(Y$3),'Struktur Vorjahr'!$D274,INDIRECT(Y$4))+SUMIF(INDIRECT(Y$3),'Struktur Vorjahr'!$D274,INDIRECT(Y$5)))</f>
        <v>185.85</v>
      </c>
      <c r="Z274" s="593">
        <f ca="1">$E274*(-SUMIF(INDIRECT(Z$3),'Struktur Vorjahr'!$D274,INDIRECT(Z$4))+SUMIF(INDIRECT(Z$3),'Struktur Vorjahr'!$D274,INDIRECT(Z$5)))</f>
        <v>185.85</v>
      </c>
      <c r="AA274" s="593">
        <f ca="1">$E274*(-SUMIF(INDIRECT(AA$3),'Struktur Vorjahr'!$D274,INDIRECT(AA$4))+SUMIF(INDIRECT(AA$3),'Struktur Vorjahr'!$D274,INDIRECT(AA$5)))</f>
        <v>185.85</v>
      </c>
      <c r="AB274" s="593">
        <f ca="1">$E274*(-SUMIF(INDIRECT(AB$3),'Struktur Vorjahr'!$D274,INDIRECT(AB$4))+SUMIF(INDIRECT(AB$3),'Struktur Vorjahr'!$D274,INDIRECT(AB$5)))</f>
        <v>185.85</v>
      </c>
      <c r="AC274" s="593">
        <f ca="1">$E274*(-SUMIF(INDIRECT(AC$3),'Struktur Vorjahr'!$D274,INDIRECT(AC$4))+SUMIF(INDIRECT(AC$3),'Struktur Vorjahr'!$D274,INDIRECT(AC$5)))</f>
        <v>0</v>
      </c>
      <c r="AD274" s="593">
        <f ca="1">$E274*(-SUMIF(INDIRECT(AD$3),'Struktur Vorjahr'!$D274,INDIRECT(AD$4))+SUMIF(INDIRECT(AD$3),'Struktur Vorjahr'!$D274,INDIRECT(AD$5)))</f>
        <v>0</v>
      </c>
      <c r="AE274" s="593">
        <f t="shared" ca="1" si="119"/>
        <v>0</v>
      </c>
      <c r="AF274" s="593">
        <f t="shared" ca="1" si="120"/>
        <v>0</v>
      </c>
      <c r="AG274" s="593">
        <f t="shared" ca="1" si="120"/>
        <v>119.21</v>
      </c>
      <c r="AH274" s="593">
        <f t="shared" ca="1" si="120"/>
        <v>119.21</v>
      </c>
      <c r="AI274" s="593">
        <f t="shared" ca="1" si="120"/>
        <v>152.82</v>
      </c>
      <c r="AJ274" s="593">
        <f t="shared" ca="1" si="120"/>
        <v>178.63</v>
      </c>
      <c r="AK274" s="593">
        <f t="shared" ca="1" si="120"/>
        <v>185.85</v>
      </c>
      <c r="AL274" s="593">
        <f t="shared" ca="1" si="120"/>
        <v>185.85</v>
      </c>
      <c r="AM274" s="593">
        <f t="shared" ca="1" si="120"/>
        <v>185.85</v>
      </c>
      <c r="AN274" s="593">
        <f t="shared" ca="1" si="120"/>
        <v>185.85</v>
      </c>
      <c r="AO274" s="593">
        <f t="shared" ca="1" si="120"/>
        <v>185.85</v>
      </c>
      <c r="AP274" s="593">
        <f t="shared" ca="1" si="120"/>
        <v>185.85</v>
      </c>
    </row>
    <row r="275" spans="1:42" s="594" customFormat="1" ht="11.25" outlineLevel="1" x14ac:dyDescent="0.2">
      <c r="A275" s="590"/>
      <c r="B275" s="591" t="str">
        <f>IF(D275&lt;&gt;"",
IF(ISERROR(MATCH(D275,'Ist Vorjahr Monat 01'!A:A,0))=FALSE,INDEX('Ist Vorjahr Monat 01'!B:B,MATCH(D275,'Ist Vorjahr Monat 01'!A:A,0)),
IF(ISERROR(MATCH(D275,'Ist Vorjahr Monat 02'!A:A,0))=FALSE,INDEX('Ist Vorjahr Monat 02'!B:B,MATCH(D275,'Ist Vorjahr Monat 02'!A:A,0)),
IF(ISERROR(MATCH(D275,'Ist Vorjahr Monat 03'!A:A,0))=FALSE,INDEX('Ist Vorjahr Monat 03'!B:B,MATCH(D275,'Ist Vorjahr Monat 03'!A:A,0)),
IF(ISERROR(MATCH(D275,'Ist Vorjahr Monat 04'!A:A,0))=FALSE,INDEX('Ist Vorjahr Monat 04'!B:B,MATCH(D275,'Ist Vorjahr Monat 04'!A:A,0)),
IF(ISERROR(MATCH(D275,'Ist Vorjahr Monat 05'!A:A,0))=FALSE,INDEX('Ist Vorjahr Monat 05'!B:B,MATCH(D275,'Ist Vorjahr Monat 05'!A:A,0)),
IF(ISERROR(MATCH(D275,'Ist Vorjahr Monat 06'!A:A,0))=FALSE,INDEX('Ist Vorjahr Monat 06'!B:B,MATCH(D275,'Ist Vorjahr Monat 06'!A:A,0)),
IF(ISERROR(MATCH(D275,'Ist Vorjahr Monat 07'!A:A,0))=FALSE,INDEX('Ist Vorjahr Monat 07'!B:B,MATCH(D275,'Ist Vorjahr Monat 07'!A:A,0)),
IF(ISERROR(MATCH(D275,'Ist Vorjahr Monat 08'!A:A,0))=FALSE,INDEX('Ist Vorjahr Monat 08'!B:B,MATCH(D275,'Ist Vorjahr Monat 08'!A:A,0)),
IF(ISERROR(MATCH(D275,'Ist Vorjahr Monat 09'!A:A,0))=FALSE,INDEX('Ist Vorjahr Monat 09'!B:B,MATCH(D275,'Ist Vorjahr Monat 09'!A:A,0)),
IF(ISERROR(MATCH(D275,'Ist Vorjahr Monat 10'!A:A,0))=FALSE,INDEX('Ist Vorjahr Monat 10'!B:B,MATCH(D275,'Ist Vorjahr Monat 10'!A:A,0)),
IF(ISERROR(MATCH(D275,'Ist Vorjahr Monat 11'!A:A,0))=FALSE,INDEX('Ist Vorjahr Monat 11'!B:B,MATCH(D275,'Ist Vorjahr Monat 11'!A:A,0)),
IF(ISERROR(MATCH(D275,'Ist Vorjahr Monat 12'!A:A,0))=FALSE,INDEX('Ist Vorjahr Monat 12'!B:B,MATCH(D275,'Ist Vorjahr Monat 12'!A:A,0)),
"{Konto unbekannt}"
)))))))))))),"")</f>
        <v/>
      </c>
      <c r="C275" s="591"/>
      <c r="D275" s="590"/>
      <c r="E275" s="592">
        <f t="shared" si="105"/>
        <v>1</v>
      </c>
      <c r="F275" s="590"/>
      <c r="G275" s="593">
        <f ca="1">$E275*(-SUMIF(INDIRECT(G$3),'Struktur Vorjahr'!$D275,INDIRECT(G$4))+SUMIF(INDIRECT(G$3),'Struktur Vorjahr'!$D275,INDIRECT(G$5)))</f>
        <v>0</v>
      </c>
      <c r="H275" s="593">
        <f ca="1">$E275*(-SUMIF(INDIRECT(H$3),'Struktur Vorjahr'!$D275,INDIRECT(H$4))+SUMIF(INDIRECT(H$3),'Struktur Vorjahr'!$D275,INDIRECT(H$5)))</f>
        <v>0</v>
      </c>
      <c r="I275" s="593">
        <f ca="1">$E275*(-SUMIF(INDIRECT(I$3),'Struktur Vorjahr'!$D275,INDIRECT(I$4))+SUMIF(INDIRECT(I$3),'Struktur Vorjahr'!$D275,INDIRECT(I$5)))</f>
        <v>0</v>
      </c>
      <c r="J275" s="593">
        <f ca="1">$E275*(-SUMIF(INDIRECT(J$3),'Struktur Vorjahr'!$D275,INDIRECT(J$4))+SUMIF(INDIRECT(J$3),'Struktur Vorjahr'!$D275,INDIRECT(J$5)))</f>
        <v>0</v>
      </c>
      <c r="K275" s="593">
        <f ca="1">$E275*(-SUMIF(INDIRECT(K$3),'Struktur Vorjahr'!$D275,INDIRECT(K$4))+SUMIF(INDIRECT(K$3),'Struktur Vorjahr'!$D275,INDIRECT(K$5)))</f>
        <v>0</v>
      </c>
      <c r="L275" s="593">
        <f ca="1">$E275*(-SUMIF(INDIRECT(L$3),'Struktur Vorjahr'!$D275,INDIRECT(L$4))+SUMIF(INDIRECT(L$3),'Struktur Vorjahr'!$D275,INDIRECT(L$5)))</f>
        <v>0</v>
      </c>
      <c r="M275" s="593">
        <f ca="1">$E275*(-SUMIF(INDIRECT(M$3),'Struktur Vorjahr'!$D275,INDIRECT(M$4))+SUMIF(INDIRECT(M$3),'Struktur Vorjahr'!$D275,INDIRECT(M$5)))</f>
        <v>0</v>
      </c>
      <c r="N275" s="593">
        <f ca="1">$E275*(-SUMIF(INDIRECT(N$3),'Struktur Vorjahr'!$D275,INDIRECT(N$4))+SUMIF(INDIRECT(N$3),'Struktur Vorjahr'!$D275,INDIRECT(N$5)))</f>
        <v>0</v>
      </c>
      <c r="O275" s="593">
        <f ca="1">$E275*(-SUMIF(INDIRECT(O$3),'Struktur Vorjahr'!$D275,INDIRECT(O$4))+SUMIF(INDIRECT(O$3),'Struktur Vorjahr'!$D275,INDIRECT(O$5)))</f>
        <v>0</v>
      </c>
      <c r="P275" s="593">
        <f ca="1">$E275*(-SUMIF(INDIRECT(P$3),'Struktur Vorjahr'!$D275,INDIRECT(P$4))+SUMIF(INDIRECT(P$3),'Struktur Vorjahr'!$D275,INDIRECT(P$5)))</f>
        <v>0</v>
      </c>
      <c r="Q275" s="593">
        <f ca="1">$E275*(-SUMIF(INDIRECT(Q$3),'Struktur Vorjahr'!$D275,INDIRECT(Q$4))+SUMIF(INDIRECT(Q$3),'Struktur Vorjahr'!$D275,INDIRECT(Q$5)))</f>
        <v>0</v>
      </c>
      <c r="R275" s="593">
        <f ca="1">$E275*(-SUMIF(INDIRECT(R$3),'Struktur Vorjahr'!$D275,INDIRECT(R$4))+SUMIF(INDIRECT(R$3),'Struktur Vorjahr'!$D275,INDIRECT(R$5)))</f>
        <v>0</v>
      </c>
      <c r="S275" s="593">
        <f ca="1">$E275*(-SUMIF(INDIRECT(S$3),'Struktur Vorjahr'!$D275,INDIRECT(S$4))+SUMIF(INDIRECT(S$3),'Struktur Vorjahr'!$D275,INDIRECT(S$5)))</f>
        <v>0</v>
      </c>
      <c r="T275" s="593">
        <f ca="1">$E275*(-SUMIF(INDIRECT(T$3),'Struktur Vorjahr'!$D275,INDIRECT(T$4))+SUMIF(INDIRECT(T$3),'Struktur Vorjahr'!$D275,INDIRECT(T$5)))</f>
        <v>0</v>
      </c>
      <c r="U275" s="593">
        <f ca="1">$E275*(-SUMIF(INDIRECT(U$3),'Struktur Vorjahr'!$D275,INDIRECT(U$4))+SUMIF(INDIRECT(U$3),'Struktur Vorjahr'!$D275,INDIRECT(U$5)))</f>
        <v>0</v>
      </c>
      <c r="V275" s="593">
        <f ca="1">$E275*(-SUMIF(INDIRECT(V$3),'Struktur Vorjahr'!$D275,INDIRECT(V$4))+SUMIF(INDIRECT(V$3),'Struktur Vorjahr'!$D275,INDIRECT(V$5)))</f>
        <v>0</v>
      </c>
      <c r="W275" s="593">
        <f ca="1">$E275*(-SUMIF(INDIRECT(W$3),'Struktur Vorjahr'!$D275,INDIRECT(W$4))+SUMIF(INDIRECT(W$3),'Struktur Vorjahr'!$D275,INDIRECT(W$5)))</f>
        <v>0</v>
      </c>
      <c r="X275" s="593">
        <f ca="1">$E275*(-SUMIF(INDIRECT(X$3),'Struktur Vorjahr'!$D275,INDIRECT(X$4))+SUMIF(INDIRECT(X$3),'Struktur Vorjahr'!$D275,INDIRECT(X$5)))</f>
        <v>0</v>
      </c>
      <c r="Y275" s="593">
        <f ca="1">$E275*(-SUMIF(INDIRECT(Y$3),'Struktur Vorjahr'!$D275,INDIRECT(Y$4))+SUMIF(INDIRECT(Y$3),'Struktur Vorjahr'!$D275,INDIRECT(Y$5)))</f>
        <v>0</v>
      </c>
      <c r="Z275" s="593">
        <f ca="1">$E275*(-SUMIF(INDIRECT(Z$3),'Struktur Vorjahr'!$D275,INDIRECT(Z$4))+SUMIF(INDIRECT(Z$3),'Struktur Vorjahr'!$D275,INDIRECT(Z$5)))</f>
        <v>0</v>
      </c>
      <c r="AA275" s="593">
        <f ca="1">$E275*(-SUMIF(INDIRECT(AA$3),'Struktur Vorjahr'!$D275,INDIRECT(AA$4))+SUMIF(INDIRECT(AA$3),'Struktur Vorjahr'!$D275,INDIRECT(AA$5)))</f>
        <v>0</v>
      </c>
      <c r="AB275" s="593">
        <f ca="1">$E275*(-SUMIF(INDIRECT(AB$3),'Struktur Vorjahr'!$D275,INDIRECT(AB$4))+SUMIF(INDIRECT(AB$3),'Struktur Vorjahr'!$D275,INDIRECT(AB$5)))</f>
        <v>0</v>
      </c>
      <c r="AC275" s="593">
        <f ca="1">$E275*(-SUMIF(INDIRECT(AC$3),'Struktur Vorjahr'!$D275,INDIRECT(AC$4))+SUMIF(INDIRECT(AC$3),'Struktur Vorjahr'!$D275,INDIRECT(AC$5)))</f>
        <v>0</v>
      </c>
      <c r="AD275" s="593">
        <f ca="1">$E275*(-SUMIF(INDIRECT(AD$3),'Struktur Vorjahr'!$D275,INDIRECT(AD$4))+SUMIF(INDIRECT(AD$3),'Struktur Vorjahr'!$D275,INDIRECT(AD$5)))</f>
        <v>0</v>
      </c>
      <c r="AE275" s="593">
        <f t="shared" ca="1" si="119"/>
        <v>0</v>
      </c>
      <c r="AF275" s="593">
        <f t="shared" ca="1" si="120"/>
        <v>0</v>
      </c>
      <c r="AG275" s="593">
        <f t="shared" ca="1" si="120"/>
        <v>0</v>
      </c>
      <c r="AH275" s="593">
        <f t="shared" ca="1" si="120"/>
        <v>0</v>
      </c>
      <c r="AI275" s="593">
        <f t="shared" ca="1" si="120"/>
        <v>0</v>
      </c>
      <c r="AJ275" s="593">
        <f t="shared" ca="1" si="120"/>
        <v>0</v>
      </c>
      <c r="AK275" s="593">
        <f t="shared" ca="1" si="120"/>
        <v>0</v>
      </c>
      <c r="AL275" s="593">
        <f t="shared" ca="1" si="120"/>
        <v>0</v>
      </c>
      <c r="AM275" s="593">
        <f t="shared" ca="1" si="120"/>
        <v>0</v>
      </c>
      <c r="AN275" s="593">
        <f t="shared" ca="1" si="120"/>
        <v>0</v>
      </c>
      <c r="AO275" s="593">
        <f t="shared" ca="1" si="120"/>
        <v>0</v>
      </c>
      <c r="AP275" s="593">
        <f t="shared" ca="1" si="120"/>
        <v>0</v>
      </c>
    </row>
    <row r="276" spans="1:42" s="594" customFormat="1" ht="11.25" outlineLevel="1" x14ac:dyDescent="0.2">
      <c r="A276" s="590"/>
      <c r="B276" s="591" t="str">
        <f>IF(D276&lt;&gt;"",
IF(ISERROR(MATCH(D276,'Ist Vorjahr Monat 01'!A:A,0))=FALSE,INDEX('Ist Vorjahr Monat 01'!B:B,MATCH(D276,'Ist Vorjahr Monat 01'!A:A,0)),
IF(ISERROR(MATCH(D276,'Ist Vorjahr Monat 02'!A:A,0))=FALSE,INDEX('Ist Vorjahr Monat 02'!B:B,MATCH(D276,'Ist Vorjahr Monat 02'!A:A,0)),
IF(ISERROR(MATCH(D276,'Ist Vorjahr Monat 03'!A:A,0))=FALSE,INDEX('Ist Vorjahr Monat 03'!B:B,MATCH(D276,'Ist Vorjahr Monat 03'!A:A,0)),
IF(ISERROR(MATCH(D276,'Ist Vorjahr Monat 04'!A:A,0))=FALSE,INDEX('Ist Vorjahr Monat 04'!B:B,MATCH(D276,'Ist Vorjahr Monat 04'!A:A,0)),
IF(ISERROR(MATCH(D276,'Ist Vorjahr Monat 05'!A:A,0))=FALSE,INDEX('Ist Vorjahr Monat 05'!B:B,MATCH(D276,'Ist Vorjahr Monat 05'!A:A,0)),
IF(ISERROR(MATCH(D276,'Ist Vorjahr Monat 06'!A:A,0))=FALSE,INDEX('Ist Vorjahr Monat 06'!B:B,MATCH(D276,'Ist Vorjahr Monat 06'!A:A,0)),
IF(ISERROR(MATCH(D276,'Ist Vorjahr Monat 07'!A:A,0))=FALSE,INDEX('Ist Vorjahr Monat 07'!B:B,MATCH(D276,'Ist Vorjahr Monat 07'!A:A,0)),
IF(ISERROR(MATCH(D276,'Ist Vorjahr Monat 08'!A:A,0))=FALSE,INDEX('Ist Vorjahr Monat 08'!B:B,MATCH(D276,'Ist Vorjahr Monat 08'!A:A,0)),
IF(ISERROR(MATCH(D276,'Ist Vorjahr Monat 09'!A:A,0))=FALSE,INDEX('Ist Vorjahr Monat 09'!B:B,MATCH(D276,'Ist Vorjahr Monat 09'!A:A,0)),
IF(ISERROR(MATCH(D276,'Ist Vorjahr Monat 10'!A:A,0))=FALSE,INDEX('Ist Vorjahr Monat 10'!B:B,MATCH(D276,'Ist Vorjahr Monat 10'!A:A,0)),
IF(ISERROR(MATCH(D276,'Ist Vorjahr Monat 11'!A:A,0))=FALSE,INDEX('Ist Vorjahr Monat 11'!B:B,MATCH(D276,'Ist Vorjahr Monat 11'!A:A,0)),
IF(ISERROR(MATCH(D276,'Ist Vorjahr Monat 12'!A:A,0))=FALSE,INDEX('Ist Vorjahr Monat 12'!B:B,MATCH(D276,'Ist Vorjahr Monat 12'!A:A,0)),
"{Konto unbekannt}"
)))))))))))),"")</f>
        <v/>
      </c>
      <c r="C276" s="591"/>
      <c r="D276" s="590"/>
      <c r="E276" s="592">
        <f>IF(F276="-",-1,1)</f>
        <v>1</v>
      </c>
      <c r="F276" s="590"/>
      <c r="G276" s="593">
        <f ca="1">$E276*(-SUMIF(INDIRECT(G$3),'Struktur Vorjahr'!$D276,INDIRECT(G$4))+SUMIF(INDIRECT(G$3),'Struktur Vorjahr'!$D276,INDIRECT(G$5)))</f>
        <v>0</v>
      </c>
      <c r="H276" s="593">
        <f ca="1">$E276*(-SUMIF(INDIRECT(H$3),'Struktur Vorjahr'!$D276,INDIRECT(H$4))+SUMIF(INDIRECT(H$3),'Struktur Vorjahr'!$D276,INDIRECT(H$5)))</f>
        <v>0</v>
      </c>
      <c r="I276" s="593">
        <f ca="1">$E276*(-SUMIF(INDIRECT(I$3),'Struktur Vorjahr'!$D276,INDIRECT(I$4))+SUMIF(INDIRECT(I$3),'Struktur Vorjahr'!$D276,INDIRECT(I$5)))</f>
        <v>0</v>
      </c>
      <c r="J276" s="593">
        <f ca="1">$E276*(-SUMIF(INDIRECT(J$3),'Struktur Vorjahr'!$D276,INDIRECT(J$4))+SUMIF(INDIRECT(J$3),'Struktur Vorjahr'!$D276,INDIRECT(J$5)))</f>
        <v>0</v>
      </c>
      <c r="K276" s="593">
        <f ca="1">$E276*(-SUMIF(INDIRECT(K$3),'Struktur Vorjahr'!$D276,INDIRECT(K$4))+SUMIF(INDIRECT(K$3),'Struktur Vorjahr'!$D276,INDIRECT(K$5)))</f>
        <v>0</v>
      </c>
      <c r="L276" s="593">
        <f ca="1">$E276*(-SUMIF(INDIRECT(L$3),'Struktur Vorjahr'!$D276,INDIRECT(L$4))+SUMIF(INDIRECT(L$3),'Struktur Vorjahr'!$D276,INDIRECT(L$5)))</f>
        <v>0</v>
      </c>
      <c r="M276" s="593">
        <f ca="1">$E276*(-SUMIF(INDIRECT(M$3),'Struktur Vorjahr'!$D276,INDIRECT(M$4))+SUMIF(INDIRECT(M$3),'Struktur Vorjahr'!$D276,INDIRECT(M$5)))</f>
        <v>0</v>
      </c>
      <c r="N276" s="593">
        <f ca="1">$E276*(-SUMIF(INDIRECT(N$3),'Struktur Vorjahr'!$D276,INDIRECT(N$4))+SUMIF(INDIRECT(N$3),'Struktur Vorjahr'!$D276,INDIRECT(N$5)))</f>
        <v>0</v>
      </c>
      <c r="O276" s="593">
        <f ca="1">$E276*(-SUMIF(INDIRECT(O$3),'Struktur Vorjahr'!$D276,INDIRECT(O$4))+SUMIF(INDIRECT(O$3),'Struktur Vorjahr'!$D276,INDIRECT(O$5)))</f>
        <v>0</v>
      </c>
      <c r="P276" s="593">
        <f ca="1">$E276*(-SUMIF(INDIRECT(P$3),'Struktur Vorjahr'!$D276,INDIRECT(P$4))+SUMIF(INDIRECT(P$3),'Struktur Vorjahr'!$D276,INDIRECT(P$5)))</f>
        <v>0</v>
      </c>
      <c r="Q276" s="593">
        <f ca="1">$E276*(-SUMIF(INDIRECT(Q$3),'Struktur Vorjahr'!$D276,INDIRECT(Q$4))+SUMIF(INDIRECT(Q$3),'Struktur Vorjahr'!$D276,INDIRECT(Q$5)))</f>
        <v>0</v>
      </c>
      <c r="R276" s="593">
        <f ca="1">$E276*(-SUMIF(INDIRECT(R$3),'Struktur Vorjahr'!$D276,INDIRECT(R$4))+SUMIF(INDIRECT(R$3),'Struktur Vorjahr'!$D276,INDIRECT(R$5)))</f>
        <v>0</v>
      </c>
      <c r="S276" s="593">
        <f ca="1">$E276*(-SUMIF(INDIRECT(S$3),'Struktur Vorjahr'!$D276,INDIRECT(S$4))+SUMIF(INDIRECT(S$3),'Struktur Vorjahr'!$D276,INDIRECT(S$5)))</f>
        <v>0</v>
      </c>
      <c r="T276" s="593">
        <f ca="1">$E276*(-SUMIF(INDIRECT(T$3),'Struktur Vorjahr'!$D276,INDIRECT(T$4))+SUMIF(INDIRECT(T$3),'Struktur Vorjahr'!$D276,INDIRECT(T$5)))</f>
        <v>0</v>
      </c>
      <c r="U276" s="593">
        <f ca="1">$E276*(-SUMIF(INDIRECT(U$3),'Struktur Vorjahr'!$D276,INDIRECT(U$4))+SUMIF(INDIRECT(U$3),'Struktur Vorjahr'!$D276,INDIRECT(U$5)))</f>
        <v>0</v>
      </c>
      <c r="V276" s="593">
        <f ca="1">$E276*(-SUMIF(INDIRECT(V$3),'Struktur Vorjahr'!$D276,INDIRECT(V$4))+SUMIF(INDIRECT(V$3),'Struktur Vorjahr'!$D276,INDIRECT(V$5)))</f>
        <v>0</v>
      </c>
      <c r="W276" s="593">
        <f ca="1">$E276*(-SUMIF(INDIRECT(W$3),'Struktur Vorjahr'!$D276,INDIRECT(W$4))+SUMIF(INDIRECT(W$3),'Struktur Vorjahr'!$D276,INDIRECT(W$5)))</f>
        <v>0</v>
      </c>
      <c r="X276" s="593">
        <f ca="1">$E276*(-SUMIF(INDIRECT(X$3),'Struktur Vorjahr'!$D276,INDIRECT(X$4))+SUMIF(INDIRECT(X$3),'Struktur Vorjahr'!$D276,INDIRECT(X$5)))</f>
        <v>0</v>
      </c>
      <c r="Y276" s="593">
        <f ca="1">$E276*(-SUMIF(INDIRECT(Y$3),'Struktur Vorjahr'!$D276,INDIRECT(Y$4))+SUMIF(INDIRECT(Y$3),'Struktur Vorjahr'!$D276,INDIRECT(Y$5)))</f>
        <v>0</v>
      </c>
      <c r="Z276" s="593">
        <f ca="1">$E276*(-SUMIF(INDIRECT(Z$3),'Struktur Vorjahr'!$D276,INDIRECT(Z$4))+SUMIF(INDIRECT(Z$3),'Struktur Vorjahr'!$D276,INDIRECT(Z$5)))</f>
        <v>0</v>
      </c>
      <c r="AA276" s="593">
        <f ca="1">$E276*(-SUMIF(INDIRECT(AA$3),'Struktur Vorjahr'!$D276,INDIRECT(AA$4))+SUMIF(INDIRECT(AA$3),'Struktur Vorjahr'!$D276,INDIRECT(AA$5)))</f>
        <v>0</v>
      </c>
      <c r="AB276" s="593">
        <f ca="1">$E276*(-SUMIF(INDIRECT(AB$3),'Struktur Vorjahr'!$D276,INDIRECT(AB$4))+SUMIF(INDIRECT(AB$3),'Struktur Vorjahr'!$D276,INDIRECT(AB$5)))</f>
        <v>0</v>
      </c>
      <c r="AC276" s="593">
        <f ca="1">$E276*(-SUMIF(INDIRECT(AC$3),'Struktur Vorjahr'!$D276,INDIRECT(AC$4))+SUMIF(INDIRECT(AC$3),'Struktur Vorjahr'!$D276,INDIRECT(AC$5)))</f>
        <v>0</v>
      </c>
      <c r="AD276" s="593">
        <f ca="1">$E276*(-SUMIF(INDIRECT(AD$3),'Struktur Vorjahr'!$D276,INDIRECT(AD$4))+SUMIF(INDIRECT(AD$3),'Struktur Vorjahr'!$D276,INDIRECT(AD$5)))</f>
        <v>0</v>
      </c>
      <c r="AE276" s="593">
        <f t="shared" ca="1" si="119"/>
        <v>0</v>
      </c>
      <c r="AF276" s="593">
        <f t="shared" ca="1" si="120"/>
        <v>0</v>
      </c>
      <c r="AG276" s="593">
        <f t="shared" ca="1" si="120"/>
        <v>0</v>
      </c>
      <c r="AH276" s="593">
        <f t="shared" ca="1" si="120"/>
        <v>0</v>
      </c>
      <c r="AI276" s="593">
        <f t="shared" ca="1" si="120"/>
        <v>0</v>
      </c>
      <c r="AJ276" s="593">
        <f t="shared" ca="1" si="120"/>
        <v>0</v>
      </c>
      <c r="AK276" s="593">
        <f t="shared" ca="1" si="120"/>
        <v>0</v>
      </c>
      <c r="AL276" s="593">
        <f t="shared" ca="1" si="120"/>
        <v>0</v>
      </c>
      <c r="AM276" s="593">
        <f t="shared" ca="1" si="120"/>
        <v>0</v>
      </c>
      <c r="AN276" s="593">
        <f t="shared" ca="1" si="120"/>
        <v>0</v>
      </c>
      <c r="AO276" s="593">
        <f t="shared" ca="1" si="120"/>
        <v>0</v>
      </c>
      <c r="AP276" s="593">
        <f t="shared" ca="1" si="120"/>
        <v>0</v>
      </c>
    </row>
    <row r="277" spans="1:42" s="594" customFormat="1" ht="11.25" outlineLevel="1" x14ac:dyDescent="0.2">
      <c r="A277" s="590"/>
      <c r="B277" s="591" t="str">
        <f>IF(D277&lt;&gt;"",
IF(ISERROR(MATCH(D277,'Ist Vorjahr Monat 01'!A:A,0))=FALSE,INDEX('Ist Vorjahr Monat 01'!B:B,MATCH(D277,'Ist Vorjahr Monat 01'!A:A,0)),
IF(ISERROR(MATCH(D277,'Ist Vorjahr Monat 02'!A:A,0))=FALSE,INDEX('Ist Vorjahr Monat 02'!B:B,MATCH(D277,'Ist Vorjahr Monat 02'!A:A,0)),
IF(ISERROR(MATCH(D277,'Ist Vorjahr Monat 03'!A:A,0))=FALSE,INDEX('Ist Vorjahr Monat 03'!B:B,MATCH(D277,'Ist Vorjahr Monat 03'!A:A,0)),
IF(ISERROR(MATCH(D277,'Ist Vorjahr Monat 04'!A:A,0))=FALSE,INDEX('Ist Vorjahr Monat 04'!B:B,MATCH(D277,'Ist Vorjahr Monat 04'!A:A,0)),
IF(ISERROR(MATCH(D277,'Ist Vorjahr Monat 05'!A:A,0))=FALSE,INDEX('Ist Vorjahr Monat 05'!B:B,MATCH(D277,'Ist Vorjahr Monat 05'!A:A,0)),
IF(ISERROR(MATCH(D277,'Ist Vorjahr Monat 06'!A:A,0))=FALSE,INDEX('Ist Vorjahr Monat 06'!B:B,MATCH(D277,'Ist Vorjahr Monat 06'!A:A,0)),
IF(ISERROR(MATCH(D277,'Ist Vorjahr Monat 07'!A:A,0))=FALSE,INDEX('Ist Vorjahr Monat 07'!B:B,MATCH(D277,'Ist Vorjahr Monat 07'!A:A,0)),
IF(ISERROR(MATCH(D277,'Ist Vorjahr Monat 08'!A:A,0))=FALSE,INDEX('Ist Vorjahr Monat 08'!B:B,MATCH(D277,'Ist Vorjahr Monat 08'!A:A,0)),
IF(ISERROR(MATCH(D277,'Ist Vorjahr Monat 09'!A:A,0))=FALSE,INDEX('Ist Vorjahr Monat 09'!B:B,MATCH(D277,'Ist Vorjahr Monat 09'!A:A,0)),
IF(ISERROR(MATCH(D277,'Ist Vorjahr Monat 10'!A:A,0))=FALSE,INDEX('Ist Vorjahr Monat 10'!B:B,MATCH(D277,'Ist Vorjahr Monat 10'!A:A,0)),
IF(ISERROR(MATCH(D277,'Ist Vorjahr Monat 11'!A:A,0))=FALSE,INDEX('Ist Vorjahr Monat 11'!B:B,MATCH(D277,'Ist Vorjahr Monat 11'!A:A,0)),
IF(ISERROR(MATCH(D277,'Ist Vorjahr Monat 12'!A:A,0))=FALSE,INDEX('Ist Vorjahr Monat 12'!B:B,MATCH(D277,'Ist Vorjahr Monat 12'!A:A,0)),
"{Konto unbekannt}"
)))))))))))),"")</f>
        <v/>
      </c>
      <c r="C277" s="591"/>
      <c r="D277" s="590"/>
      <c r="E277" s="592">
        <f>IF(F277="-",-1,1)</f>
        <v>1</v>
      </c>
      <c r="F277" s="590"/>
      <c r="G277" s="593">
        <f ca="1">$E277*(-SUMIF(INDIRECT(G$3),'Struktur Vorjahr'!$D277,INDIRECT(G$4))+SUMIF(INDIRECT(G$3),'Struktur Vorjahr'!$D277,INDIRECT(G$5)))</f>
        <v>0</v>
      </c>
      <c r="H277" s="593">
        <f ca="1">$E277*(-SUMIF(INDIRECT(H$3),'Struktur Vorjahr'!$D277,INDIRECT(H$4))+SUMIF(INDIRECT(H$3),'Struktur Vorjahr'!$D277,INDIRECT(H$5)))</f>
        <v>0</v>
      </c>
      <c r="I277" s="593">
        <f ca="1">$E277*(-SUMIF(INDIRECT(I$3),'Struktur Vorjahr'!$D277,INDIRECT(I$4))+SUMIF(INDIRECT(I$3),'Struktur Vorjahr'!$D277,INDIRECT(I$5)))</f>
        <v>0</v>
      </c>
      <c r="J277" s="593">
        <f ca="1">$E277*(-SUMIF(INDIRECT(J$3),'Struktur Vorjahr'!$D277,INDIRECT(J$4))+SUMIF(INDIRECT(J$3),'Struktur Vorjahr'!$D277,INDIRECT(J$5)))</f>
        <v>0</v>
      </c>
      <c r="K277" s="593">
        <f ca="1">$E277*(-SUMIF(INDIRECT(K$3),'Struktur Vorjahr'!$D277,INDIRECT(K$4))+SUMIF(INDIRECT(K$3),'Struktur Vorjahr'!$D277,INDIRECT(K$5)))</f>
        <v>0</v>
      </c>
      <c r="L277" s="593">
        <f ca="1">$E277*(-SUMIF(INDIRECT(L$3),'Struktur Vorjahr'!$D277,INDIRECT(L$4))+SUMIF(INDIRECT(L$3),'Struktur Vorjahr'!$D277,INDIRECT(L$5)))</f>
        <v>0</v>
      </c>
      <c r="M277" s="593">
        <f ca="1">$E277*(-SUMIF(INDIRECT(M$3),'Struktur Vorjahr'!$D277,INDIRECT(M$4))+SUMIF(INDIRECT(M$3),'Struktur Vorjahr'!$D277,INDIRECT(M$5)))</f>
        <v>0</v>
      </c>
      <c r="N277" s="593">
        <f ca="1">$E277*(-SUMIF(INDIRECT(N$3),'Struktur Vorjahr'!$D277,INDIRECT(N$4))+SUMIF(INDIRECT(N$3),'Struktur Vorjahr'!$D277,INDIRECT(N$5)))</f>
        <v>0</v>
      </c>
      <c r="O277" s="593">
        <f ca="1">$E277*(-SUMIF(INDIRECT(O$3),'Struktur Vorjahr'!$D277,INDIRECT(O$4))+SUMIF(INDIRECT(O$3),'Struktur Vorjahr'!$D277,INDIRECT(O$5)))</f>
        <v>0</v>
      </c>
      <c r="P277" s="593">
        <f ca="1">$E277*(-SUMIF(INDIRECT(P$3),'Struktur Vorjahr'!$D277,INDIRECT(P$4))+SUMIF(INDIRECT(P$3),'Struktur Vorjahr'!$D277,INDIRECT(P$5)))</f>
        <v>0</v>
      </c>
      <c r="Q277" s="593">
        <f ca="1">$E277*(-SUMIF(INDIRECT(Q$3),'Struktur Vorjahr'!$D277,INDIRECT(Q$4))+SUMIF(INDIRECT(Q$3),'Struktur Vorjahr'!$D277,INDIRECT(Q$5)))</f>
        <v>0</v>
      </c>
      <c r="R277" s="593">
        <f ca="1">$E277*(-SUMIF(INDIRECT(R$3),'Struktur Vorjahr'!$D277,INDIRECT(R$4))+SUMIF(INDIRECT(R$3),'Struktur Vorjahr'!$D277,INDIRECT(R$5)))</f>
        <v>0</v>
      </c>
      <c r="S277" s="593">
        <f ca="1">$E277*(-SUMIF(INDIRECT(S$3),'Struktur Vorjahr'!$D277,INDIRECT(S$4))+SUMIF(INDIRECT(S$3),'Struktur Vorjahr'!$D277,INDIRECT(S$5)))</f>
        <v>0</v>
      </c>
      <c r="T277" s="593">
        <f ca="1">$E277*(-SUMIF(INDIRECT(T$3),'Struktur Vorjahr'!$D277,INDIRECT(T$4))+SUMIF(INDIRECT(T$3),'Struktur Vorjahr'!$D277,INDIRECT(T$5)))</f>
        <v>0</v>
      </c>
      <c r="U277" s="593">
        <f ca="1">$E277*(-SUMIF(INDIRECT(U$3),'Struktur Vorjahr'!$D277,INDIRECT(U$4))+SUMIF(INDIRECT(U$3),'Struktur Vorjahr'!$D277,INDIRECT(U$5)))</f>
        <v>0</v>
      </c>
      <c r="V277" s="593">
        <f ca="1">$E277*(-SUMIF(INDIRECT(V$3),'Struktur Vorjahr'!$D277,INDIRECT(V$4))+SUMIF(INDIRECT(V$3),'Struktur Vorjahr'!$D277,INDIRECT(V$5)))</f>
        <v>0</v>
      </c>
      <c r="W277" s="593">
        <f ca="1">$E277*(-SUMIF(INDIRECT(W$3),'Struktur Vorjahr'!$D277,INDIRECT(W$4))+SUMIF(INDIRECT(W$3),'Struktur Vorjahr'!$D277,INDIRECT(W$5)))</f>
        <v>0</v>
      </c>
      <c r="X277" s="593">
        <f ca="1">$E277*(-SUMIF(INDIRECT(X$3),'Struktur Vorjahr'!$D277,INDIRECT(X$4))+SUMIF(INDIRECT(X$3),'Struktur Vorjahr'!$D277,INDIRECT(X$5)))</f>
        <v>0</v>
      </c>
      <c r="Y277" s="593">
        <f ca="1">$E277*(-SUMIF(INDIRECT(Y$3),'Struktur Vorjahr'!$D277,INDIRECT(Y$4))+SUMIF(INDIRECT(Y$3),'Struktur Vorjahr'!$D277,INDIRECT(Y$5)))</f>
        <v>0</v>
      </c>
      <c r="Z277" s="593">
        <f ca="1">$E277*(-SUMIF(INDIRECT(Z$3),'Struktur Vorjahr'!$D277,INDIRECT(Z$4))+SUMIF(INDIRECT(Z$3),'Struktur Vorjahr'!$D277,INDIRECT(Z$5)))</f>
        <v>0</v>
      </c>
      <c r="AA277" s="593">
        <f ca="1">$E277*(-SUMIF(INDIRECT(AA$3),'Struktur Vorjahr'!$D277,INDIRECT(AA$4))+SUMIF(INDIRECT(AA$3),'Struktur Vorjahr'!$D277,INDIRECT(AA$5)))</f>
        <v>0</v>
      </c>
      <c r="AB277" s="593">
        <f ca="1">$E277*(-SUMIF(INDIRECT(AB$3),'Struktur Vorjahr'!$D277,INDIRECT(AB$4))+SUMIF(INDIRECT(AB$3),'Struktur Vorjahr'!$D277,INDIRECT(AB$5)))</f>
        <v>0</v>
      </c>
      <c r="AC277" s="593">
        <f ca="1">$E277*(-SUMIF(INDIRECT(AC$3),'Struktur Vorjahr'!$D277,INDIRECT(AC$4))+SUMIF(INDIRECT(AC$3),'Struktur Vorjahr'!$D277,INDIRECT(AC$5)))</f>
        <v>0</v>
      </c>
      <c r="AD277" s="593">
        <f ca="1">$E277*(-SUMIF(INDIRECT(AD$3),'Struktur Vorjahr'!$D277,INDIRECT(AD$4))+SUMIF(INDIRECT(AD$3),'Struktur Vorjahr'!$D277,INDIRECT(AD$5)))</f>
        <v>0</v>
      </c>
      <c r="AE277" s="593">
        <f t="shared" ca="1" si="119"/>
        <v>0</v>
      </c>
      <c r="AF277" s="593">
        <f t="shared" ca="1" si="120"/>
        <v>0</v>
      </c>
      <c r="AG277" s="593">
        <f t="shared" ca="1" si="120"/>
        <v>0</v>
      </c>
      <c r="AH277" s="593">
        <f t="shared" ca="1" si="120"/>
        <v>0</v>
      </c>
      <c r="AI277" s="593">
        <f t="shared" ca="1" si="120"/>
        <v>0</v>
      </c>
      <c r="AJ277" s="593">
        <f t="shared" ca="1" si="120"/>
        <v>0</v>
      </c>
      <c r="AK277" s="593">
        <f t="shared" ca="1" si="120"/>
        <v>0</v>
      </c>
      <c r="AL277" s="593">
        <f t="shared" ca="1" si="120"/>
        <v>0</v>
      </c>
      <c r="AM277" s="593">
        <f t="shared" ca="1" si="120"/>
        <v>0</v>
      </c>
      <c r="AN277" s="593">
        <f t="shared" ca="1" si="120"/>
        <v>0</v>
      </c>
      <c r="AO277" s="593">
        <f t="shared" ca="1" si="120"/>
        <v>0</v>
      </c>
      <c r="AP277" s="593">
        <f t="shared" ca="1" si="120"/>
        <v>0</v>
      </c>
    </row>
    <row r="278" spans="1:42" s="594" customFormat="1" ht="11.25" outlineLevel="1" x14ac:dyDescent="0.2">
      <c r="A278" s="590"/>
      <c r="B278" s="591" t="str">
        <f>IF(D278&lt;&gt;"",
IF(ISERROR(MATCH(D278,'Ist Vorjahr Monat 01'!A:A,0))=FALSE,INDEX('Ist Vorjahr Monat 01'!B:B,MATCH(D278,'Ist Vorjahr Monat 01'!A:A,0)),
IF(ISERROR(MATCH(D278,'Ist Vorjahr Monat 02'!A:A,0))=FALSE,INDEX('Ist Vorjahr Monat 02'!B:B,MATCH(D278,'Ist Vorjahr Monat 02'!A:A,0)),
IF(ISERROR(MATCH(D278,'Ist Vorjahr Monat 03'!A:A,0))=FALSE,INDEX('Ist Vorjahr Monat 03'!B:B,MATCH(D278,'Ist Vorjahr Monat 03'!A:A,0)),
IF(ISERROR(MATCH(D278,'Ist Vorjahr Monat 04'!A:A,0))=FALSE,INDEX('Ist Vorjahr Monat 04'!B:B,MATCH(D278,'Ist Vorjahr Monat 04'!A:A,0)),
IF(ISERROR(MATCH(D278,'Ist Vorjahr Monat 05'!A:A,0))=FALSE,INDEX('Ist Vorjahr Monat 05'!B:B,MATCH(D278,'Ist Vorjahr Monat 05'!A:A,0)),
IF(ISERROR(MATCH(D278,'Ist Vorjahr Monat 06'!A:A,0))=FALSE,INDEX('Ist Vorjahr Monat 06'!B:B,MATCH(D278,'Ist Vorjahr Monat 06'!A:A,0)),
IF(ISERROR(MATCH(D278,'Ist Vorjahr Monat 07'!A:A,0))=FALSE,INDEX('Ist Vorjahr Monat 07'!B:B,MATCH(D278,'Ist Vorjahr Monat 07'!A:A,0)),
IF(ISERROR(MATCH(D278,'Ist Vorjahr Monat 08'!A:A,0))=FALSE,INDEX('Ist Vorjahr Monat 08'!B:B,MATCH(D278,'Ist Vorjahr Monat 08'!A:A,0)),
IF(ISERROR(MATCH(D278,'Ist Vorjahr Monat 09'!A:A,0))=FALSE,INDEX('Ist Vorjahr Monat 09'!B:B,MATCH(D278,'Ist Vorjahr Monat 09'!A:A,0)),
IF(ISERROR(MATCH(D278,'Ist Vorjahr Monat 10'!A:A,0))=FALSE,INDEX('Ist Vorjahr Monat 10'!B:B,MATCH(D278,'Ist Vorjahr Monat 10'!A:A,0)),
IF(ISERROR(MATCH(D278,'Ist Vorjahr Monat 11'!A:A,0))=FALSE,INDEX('Ist Vorjahr Monat 11'!B:B,MATCH(D278,'Ist Vorjahr Monat 11'!A:A,0)),
IF(ISERROR(MATCH(D278,'Ist Vorjahr Monat 12'!A:A,0))=FALSE,INDEX('Ist Vorjahr Monat 12'!B:B,MATCH(D278,'Ist Vorjahr Monat 12'!A:A,0)),
"{Konto unbekannt}"
)))))))))))),"")</f>
        <v/>
      </c>
      <c r="C278" s="591"/>
      <c r="D278" s="590"/>
      <c r="E278" s="592">
        <f t="shared" si="105"/>
        <v>1</v>
      </c>
      <c r="F278" s="590"/>
      <c r="G278" s="593">
        <f ca="1">$E278*(-SUMIF(INDIRECT(G$3),'Struktur Vorjahr'!$D278,INDIRECT(G$4))+SUMIF(INDIRECT(G$3),'Struktur Vorjahr'!$D278,INDIRECT(G$5)))</f>
        <v>0</v>
      </c>
      <c r="H278" s="593">
        <f ca="1">$E278*(-SUMIF(INDIRECT(H$3),'Struktur Vorjahr'!$D278,INDIRECT(H$4))+SUMIF(INDIRECT(H$3),'Struktur Vorjahr'!$D278,INDIRECT(H$5)))</f>
        <v>0</v>
      </c>
      <c r="I278" s="593">
        <f ca="1">$E278*(-SUMIF(INDIRECT(I$3),'Struktur Vorjahr'!$D278,INDIRECT(I$4))+SUMIF(INDIRECT(I$3),'Struktur Vorjahr'!$D278,INDIRECT(I$5)))</f>
        <v>0</v>
      </c>
      <c r="J278" s="593">
        <f ca="1">$E278*(-SUMIF(INDIRECT(J$3),'Struktur Vorjahr'!$D278,INDIRECT(J$4))+SUMIF(INDIRECT(J$3),'Struktur Vorjahr'!$D278,INDIRECT(J$5)))</f>
        <v>0</v>
      </c>
      <c r="K278" s="593">
        <f ca="1">$E278*(-SUMIF(INDIRECT(K$3),'Struktur Vorjahr'!$D278,INDIRECT(K$4))+SUMIF(INDIRECT(K$3),'Struktur Vorjahr'!$D278,INDIRECT(K$5)))</f>
        <v>0</v>
      </c>
      <c r="L278" s="593">
        <f ca="1">$E278*(-SUMIF(INDIRECT(L$3),'Struktur Vorjahr'!$D278,INDIRECT(L$4))+SUMIF(INDIRECT(L$3),'Struktur Vorjahr'!$D278,INDIRECT(L$5)))</f>
        <v>0</v>
      </c>
      <c r="M278" s="593">
        <f ca="1">$E278*(-SUMIF(INDIRECT(M$3),'Struktur Vorjahr'!$D278,INDIRECT(M$4))+SUMIF(INDIRECT(M$3),'Struktur Vorjahr'!$D278,INDIRECT(M$5)))</f>
        <v>0</v>
      </c>
      <c r="N278" s="593">
        <f ca="1">$E278*(-SUMIF(INDIRECT(N$3),'Struktur Vorjahr'!$D278,INDIRECT(N$4))+SUMIF(INDIRECT(N$3),'Struktur Vorjahr'!$D278,INDIRECT(N$5)))</f>
        <v>0</v>
      </c>
      <c r="O278" s="593">
        <f ca="1">$E278*(-SUMIF(INDIRECT(O$3),'Struktur Vorjahr'!$D278,INDIRECT(O$4))+SUMIF(INDIRECT(O$3),'Struktur Vorjahr'!$D278,INDIRECT(O$5)))</f>
        <v>0</v>
      </c>
      <c r="P278" s="593">
        <f ca="1">$E278*(-SUMIF(INDIRECT(P$3),'Struktur Vorjahr'!$D278,INDIRECT(P$4))+SUMIF(INDIRECT(P$3),'Struktur Vorjahr'!$D278,INDIRECT(P$5)))</f>
        <v>0</v>
      </c>
      <c r="Q278" s="593">
        <f ca="1">$E278*(-SUMIF(INDIRECT(Q$3),'Struktur Vorjahr'!$D278,INDIRECT(Q$4))+SUMIF(INDIRECT(Q$3),'Struktur Vorjahr'!$D278,INDIRECT(Q$5)))</f>
        <v>0</v>
      </c>
      <c r="R278" s="593">
        <f ca="1">$E278*(-SUMIF(INDIRECT(R$3),'Struktur Vorjahr'!$D278,INDIRECT(R$4))+SUMIF(INDIRECT(R$3),'Struktur Vorjahr'!$D278,INDIRECT(R$5)))</f>
        <v>0</v>
      </c>
      <c r="S278" s="593">
        <f ca="1">$E278*(-SUMIF(INDIRECT(S$3),'Struktur Vorjahr'!$D278,INDIRECT(S$4))+SUMIF(INDIRECT(S$3),'Struktur Vorjahr'!$D278,INDIRECT(S$5)))</f>
        <v>0</v>
      </c>
      <c r="T278" s="593">
        <f ca="1">$E278*(-SUMIF(INDIRECT(T$3),'Struktur Vorjahr'!$D278,INDIRECT(T$4))+SUMIF(INDIRECT(T$3),'Struktur Vorjahr'!$D278,INDIRECT(T$5)))</f>
        <v>0</v>
      </c>
      <c r="U278" s="593">
        <f ca="1">$E278*(-SUMIF(INDIRECT(U$3),'Struktur Vorjahr'!$D278,INDIRECT(U$4))+SUMIF(INDIRECT(U$3),'Struktur Vorjahr'!$D278,INDIRECT(U$5)))</f>
        <v>0</v>
      </c>
      <c r="V278" s="593">
        <f ca="1">$E278*(-SUMIF(INDIRECT(V$3),'Struktur Vorjahr'!$D278,INDIRECT(V$4))+SUMIF(INDIRECT(V$3),'Struktur Vorjahr'!$D278,INDIRECT(V$5)))</f>
        <v>0</v>
      </c>
      <c r="W278" s="593">
        <f ca="1">$E278*(-SUMIF(INDIRECT(W$3),'Struktur Vorjahr'!$D278,INDIRECT(W$4))+SUMIF(INDIRECT(W$3),'Struktur Vorjahr'!$D278,INDIRECT(W$5)))</f>
        <v>0</v>
      </c>
      <c r="X278" s="593">
        <f ca="1">$E278*(-SUMIF(INDIRECT(X$3),'Struktur Vorjahr'!$D278,INDIRECT(X$4))+SUMIF(INDIRECT(X$3),'Struktur Vorjahr'!$D278,INDIRECT(X$5)))</f>
        <v>0</v>
      </c>
      <c r="Y278" s="593">
        <f ca="1">$E278*(-SUMIF(INDIRECT(Y$3),'Struktur Vorjahr'!$D278,INDIRECT(Y$4))+SUMIF(INDIRECT(Y$3),'Struktur Vorjahr'!$D278,INDIRECT(Y$5)))</f>
        <v>0</v>
      </c>
      <c r="Z278" s="593">
        <f ca="1">$E278*(-SUMIF(INDIRECT(Z$3),'Struktur Vorjahr'!$D278,INDIRECT(Z$4))+SUMIF(INDIRECT(Z$3),'Struktur Vorjahr'!$D278,INDIRECT(Z$5)))</f>
        <v>0</v>
      </c>
      <c r="AA278" s="593">
        <f ca="1">$E278*(-SUMIF(INDIRECT(AA$3),'Struktur Vorjahr'!$D278,INDIRECT(AA$4))+SUMIF(INDIRECT(AA$3),'Struktur Vorjahr'!$D278,INDIRECT(AA$5)))</f>
        <v>0</v>
      </c>
      <c r="AB278" s="593">
        <f ca="1">$E278*(-SUMIF(INDIRECT(AB$3),'Struktur Vorjahr'!$D278,INDIRECT(AB$4))+SUMIF(INDIRECT(AB$3),'Struktur Vorjahr'!$D278,INDIRECT(AB$5)))</f>
        <v>0</v>
      </c>
      <c r="AC278" s="593">
        <f ca="1">$E278*(-SUMIF(INDIRECT(AC$3),'Struktur Vorjahr'!$D278,INDIRECT(AC$4))+SUMIF(INDIRECT(AC$3),'Struktur Vorjahr'!$D278,INDIRECT(AC$5)))</f>
        <v>0</v>
      </c>
      <c r="AD278" s="593">
        <f ca="1">$E278*(-SUMIF(INDIRECT(AD$3),'Struktur Vorjahr'!$D278,INDIRECT(AD$4))+SUMIF(INDIRECT(AD$3),'Struktur Vorjahr'!$D278,INDIRECT(AD$5)))</f>
        <v>0</v>
      </c>
      <c r="AE278" s="593">
        <f t="shared" ca="1" si="119"/>
        <v>0</v>
      </c>
      <c r="AF278" s="593">
        <f t="shared" ca="1" si="120"/>
        <v>0</v>
      </c>
      <c r="AG278" s="593">
        <f t="shared" ca="1" si="120"/>
        <v>0</v>
      </c>
      <c r="AH278" s="593">
        <f t="shared" ca="1" si="120"/>
        <v>0</v>
      </c>
      <c r="AI278" s="593">
        <f t="shared" ca="1" si="120"/>
        <v>0</v>
      </c>
      <c r="AJ278" s="593">
        <f t="shared" ca="1" si="120"/>
        <v>0</v>
      </c>
      <c r="AK278" s="593">
        <f t="shared" ca="1" si="120"/>
        <v>0</v>
      </c>
      <c r="AL278" s="593">
        <f t="shared" ca="1" si="120"/>
        <v>0</v>
      </c>
      <c r="AM278" s="593">
        <f t="shared" ca="1" si="120"/>
        <v>0</v>
      </c>
      <c r="AN278" s="593">
        <f t="shared" ca="1" si="120"/>
        <v>0</v>
      </c>
      <c r="AO278" s="593">
        <f t="shared" ca="1" si="120"/>
        <v>0</v>
      </c>
      <c r="AP278" s="593">
        <f t="shared" ca="1" si="120"/>
        <v>0</v>
      </c>
    </row>
    <row r="279" spans="1:42" s="594" customFormat="1" ht="11.25" outlineLevel="1" x14ac:dyDescent="0.2">
      <c r="A279" s="590"/>
      <c r="B279" s="591" t="str">
        <f>IF(D279&lt;&gt;"",
IF(ISERROR(MATCH(D279,'Ist Vorjahr Monat 01'!A:A,0))=FALSE,INDEX('Ist Vorjahr Monat 01'!B:B,MATCH(D279,'Ist Vorjahr Monat 01'!A:A,0)),
IF(ISERROR(MATCH(D279,'Ist Vorjahr Monat 02'!A:A,0))=FALSE,INDEX('Ist Vorjahr Monat 02'!B:B,MATCH(D279,'Ist Vorjahr Monat 02'!A:A,0)),
IF(ISERROR(MATCH(D279,'Ist Vorjahr Monat 03'!A:A,0))=FALSE,INDEX('Ist Vorjahr Monat 03'!B:B,MATCH(D279,'Ist Vorjahr Monat 03'!A:A,0)),
IF(ISERROR(MATCH(D279,'Ist Vorjahr Monat 04'!A:A,0))=FALSE,INDEX('Ist Vorjahr Monat 04'!B:B,MATCH(D279,'Ist Vorjahr Monat 04'!A:A,0)),
IF(ISERROR(MATCH(D279,'Ist Vorjahr Monat 05'!A:A,0))=FALSE,INDEX('Ist Vorjahr Monat 05'!B:B,MATCH(D279,'Ist Vorjahr Monat 05'!A:A,0)),
IF(ISERROR(MATCH(D279,'Ist Vorjahr Monat 06'!A:A,0))=FALSE,INDEX('Ist Vorjahr Monat 06'!B:B,MATCH(D279,'Ist Vorjahr Monat 06'!A:A,0)),
IF(ISERROR(MATCH(D279,'Ist Vorjahr Monat 07'!A:A,0))=FALSE,INDEX('Ist Vorjahr Monat 07'!B:B,MATCH(D279,'Ist Vorjahr Monat 07'!A:A,0)),
IF(ISERROR(MATCH(D279,'Ist Vorjahr Monat 08'!A:A,0))=FALSE,INDEX('Ist Vorjahr Monat 08'!B:B,MATCH(D279,'Ist Vorjahr Monat 08'!A:A,0)),
IF(ISERROR(MATCH(D279,'Ist Vorjahr Monat 09'!A:A,0))=FALSE,INDEX('Ist Vorjahr Monat 09'!B:B,MATCH(D279,'Ist Vorjahr Monat 09'!A:A,0)),
IF(ISERROR(MATCH(D279,'Ist Vorjahr Monat 10'!A:A,0))=FALSE,INDEX('Ist Vorjahr Monat 10'!B:B,MATCH(D279,'Ist Vorjahr Monat 10'!A:A,0)),
IF(ISERROR(MATCH(D279,'Ist Vorjahr Monat 11'!A:A,0))=FALSE,INDEX('Ist Vorjahr Monat 11'!B:B,MATCH(D279,'Ist Vorjahr Monat 11'!A:A,0)),
IF(ISERROR(MATCH(D279,'Ist Vorjahr Monat 12'!A:A,0))=FALSE,INDEX('Ist Vorjahr Monat 12'!B:B,MATCH(D279,'Ist Vorjahr Monat 12'!A:A,0)),
"{Konto unbekannt}"
)))))))))))),"")</f>
        <v/>
      </c>
      <c r="C279" s="591"/>
      <c r="D279" s="590"/>
      <c r="E279" s="592">
        <f t="shared" si="105"/>
        <v>1</v>
      </c>
      <c r="F279" s="590"/>
      <c r="G279" s="593">
        <f ca="1">$E279*(-SUMIF(INDIRECT(G$3),'Struktur Vorjahr'!$D279,INDIRECT(G$4))+SUMIF(INDIRECT(G$3),'Struktur Vorjahr'!$D279,INDIRECT(G$5)))</f>
        <v>0</v>
      </c>
      <c r="H279" s="593">
        <f ca="1">$E279*(-SUMIF(INDIRECT(H$3),'Struktur Vorjahr'!$D279,INDIRECT(H$4))+SUMIF(INDIRECT(H$3),'Struktur Vorjahr'!$D279,INDIRECT(H$5)))</f>
        <v>0</v>
      </c>
      <c r="I279" s="593">
        <f ca="1">$E279*(-SUMIF(INDIRECT(I$3),'Struktur Vorjahr'!$D279,INDIRECT(I$4))+SUMIF(INDIRECT(I$3),'Struktur Vorjahr'!$D279,INDIRECT(I$5)))</f>
        <v>0</v>
      </c>
      <c r="J279" s="593">
        <f ca="1">$E279*(-SUMIF(INDIRECT(J$3),'Struktur Vorjahr'!$D279,INDIRECT(J$4))+SUMIF(INDIRECT(J$3),'Struktur Vorjahr'!$D279,INDIRECT(J$5)))</f>
        <v>0</v>
      </c>
      <c r="K279" s="593">
        <f ca="1">$E279*(-SUMIF(INDIRECT(K$3),'Struktur Vorjahr'!$D279,INDIRECT(K$4))+SUMIF(INDIRECT(K$3),'Struktur Vorjahr'!$D279,INDIRECT(K$5)))</f>
        <v>0</v>
      </c>
      <c r="L279" s="593">
        <f ca="1">$E279*(-SUMIF(INDIRECT(L$3),'Struktur Vorjahr'!$D279,INDIRECT(L$4))+SUMIF(INDIRECT(L$3),'Struktur Vorjahr'!$D279,INDIRECT(L$5)))</f>
        <v>0</v>
      </c>
      <c r="M279" s="593">
        <f ca="1">$E279*(-SUMIF(INDIRECT(M$3),'Struktur Vorjahr'!$D279,INDIRECT(M$4))+SUMIF(INDIRECT(M$3),'Struktur Vorjahr'!$D279,INDIRECT(M$5)))</f>
        <v>0</v>
      </c>
      <c r="N279" s="593">
        <f ca="1">$E279*(-SUMIF(INDIRECT(N$3),'Struktur Vorjahr'!$D279,INDIRECT(N$4))+SUMIF(INDIRECT(N$3),'Struktur Vorjahr'!$D279,INDIRECT(N$5)))</f>
        <v>0</v>
      </c>
      <c r="O279" s="593">
        <f ca="1">$E279*(-SUMIF(INDIRECT(O$3),'Struktur Vorjahr'!$D279,INDIRECT(O$4))+SUMIF(INDIRECT(O$3),'Struktur Vorjahr'!$D279,INDIRECT(O$5)))</f>
        <v>0</v>
      </c>
      <c r="P279" s="593">
        <f ca="1">$E279*(-SUMIF(INDIRECT(P$3),'Struktur Vorjahr'!$D279,INDIRECT(P$4))+SUMIF(INDIRECT(P$3),'Struktur Vorjahr'!$D279,INDIRECT(P$5)))</f>
        <v>0</v>
      </c>
      <c r="Q279" s="593">
        <f ca="1">$E279*(-SUMIF(INDIRECT(Q$3),'Struktur Vorjahr'!$D279,INDIRECT(Q$4))+SUMIF(INDIRECT(Q$3),'Struktur Vorjahr'!$D279,INDIRECT(Q$5)))</f>
        <v>0</v>
      </c>
      <c r="R279" s="593">
        <f ca="1">$E279*(-SUMIF(INDIRECT(R$3),'Struktur Vorjahr'!$D279,INDIRECT(R$4))+SUMIF(INDIRECT(R$3),'Struktur Vorjahr'!$D279,INDIRECT(R$5)))</f>
        <v>0</v>
      </c>
      <c r="S279" s="593">
        <f ca="1">$E279*(-SUMIF(INDIRECT(S$3),'Struktur Vorjahr'!$D279,INDIRECT(S$4))+SUMIF(INDIRECT(S$3),'Struktur Vorjahr'!$D279,INDIRECT(S$5)))</f>
        <v>0</v>
      </c>
      <c r="T279" s="593">
        <f ca="1">$E279*(-SUMIF(INDIRECT(T$3),'Struktur Vorjahr'!$D279,INDIRECT(T$4))+SUMIF(INDIRECT(T$3),'Struktur Vorjahr'!$D279,INDIRECT(T$5)))</f>
        <v>0</v>
      </c>
      <c r="U279" s="593">
        <f ca="1">$E279*(-SUMIF(INDIRECT(U$3),'Struktur Vorjahr'!$D279,INDIRECT(U$4))+SUMIF(INDIRECT(U$3),'Struktur Vorjahr'!$D279,INDIRECT(U$5)))</f>
        <v>0</v>
      </c>
      <c r="V279" s="593">
        <f ca="1">$E279*(-SUMIF(INDIRECT(V$3),'Struktur Vorjahr'!$D279,INDIRECT(V$4))+SUMIF(INDIRECT(V$3),'Struktur Vorjahr'!$D279,INDIRECT(V$5)))</f>
        <v>0</v>
      </c>
      <c r="W279" s="593">
        <f ca="1">$E279*(-SUMIF(INDIRECT(W$3),'Struktur Vorjahr'!$D279,INDIRECT(W$4))+SUMIF(INDIRECT(W$3),'Struktur Vorjahr'!$D279,INDIRECT(W$5)))</f>
        <v>0</v>
      </c>
      <c r="X279" s="593">
        <f ca="1">$E279*(-SUMIF(INDIRECT(X$3),'Struktur Vorjahr'!$D279,INDIRECT(X$4))+SUMIF(INDIRECT(X$3),'Struktur Vorjahr'!$D279,INDIRECT(X$5)))</f>
        <v>0</v>
      </c>
      <c r="Y279" s="593">
        <f ca="1">$E279*(-SUMIF(INDIRECT(Y$3),'Struktur Vorjahr'!$D279,INDIRECT(Y$4))+SUMIF(INDIRECT(Y$3),'Struktur Vorjahr'!$D279,INDIRECT(Y$5)))</f>
        <v>0</v>
      </c>
      <c r="Z279" s="593">
        <f ca="1">$E279*(-SUMIF(INDIRECT(Z$3),'Struktur Vorjahr'!$D279,INDIRECT(Z$4))+SUMIF(INDIRECT(Z$3),'Struktur Vorjahr'!$D279,INDIRECT(Z$5)))</f>
        <v>0</v>
      </c>
      <c r="AA279" s="593">
        <f ca="1">$E279*(-SUMIF(INDIRECT(AA$3),'Struktur Vorjahr'!$D279,INDIRECT(AA$4))+SUMIF(INDIRECT(AA$3),'Struktur Vorjahr'!$D279,INDIRECT(AA$5)))</f>
        <v>0</v>
      </c>
      <c r="AB279" s="593">
        <f ca="1">$E279*(-SUMIF(INDIRECT(AB$3),'Struktur Vorjahr'!$D279,INDIRECT(AB$4))+SUMIF(INDIRECT(AB$3),'Struktur Vorjahr'!$D279,INDIRECT(AB$5)))</f>
        <v>0</v>
      </c>
      <c r="AC279" s="593">
        <f ca="1">$E279*(-SUMIF(INDIRECT(AC$3),'Struktur Vorjahr'!$D279,INDIRECT(AC$4))+SUMIF(INDIRECT(AC$3),'Struktur Vorjahr'!$D279,INDIRECT(AC$5)))</f>
        <v>0</v>
      </c>
      <c r="AD279" s="593">
        <f ca="1">$E279*(-SUMIF(INDIRECT(AD$3),'Struktur Vorjahr'!$D279,INDIRECT(AD$4))+SUMIF(INDIRECT(AD$3),'Struktur Vorjahr'!$D279,INDIRECT(AD$5)))</f>
        <v>0</v>
      </c>
      <c r="AE279" s="593">
        <f t="shared" ca="1" si="119"/>
        <v>0</v>
      </c>
      <c r="AF279" s="593">
        <f t="shared" ca="1" si="120"/>
        <v>0</v>
      </c>
      <c r="AG279" s="593">
        <f t="shared" ca="1" si="120"/>
        <v>0</v>
      </c>
      <c r="AH279" s="593">
        <f t="shared" ca="1" si="120"/>
        <v>0</v>
      </c>
      <c r="AI279" s="593">
        <f t="shared" ca="1" si="120"/>
        <v>0</v>
      </c>
      <c r="AJ279" s="593">
        <f t="shared" ca="1" si="120"/>
        <v>0</v>
      </c>
      <c r="AK279" s="593">
        <f t="shared" ca="1" si="120"/>
        <v>0</v>
      </c>
      <c r="AL279" s="593">
        <f t="shared" ca="1" si="120"/>
        <v>0</v>
      </c>
      <c r="AM279" s="593">
        <f t="shared" ca="1" si="120"/>
        <v>0</v>
      </c>
      <c r="AN279" s="593">
        <f t="shared" ca="1" si="120"/>
        <v>0</v>
      </c>
      <c r="AO279" s="593">
        <f t="shared" ca="1" si="120"/>
        <v>0</v>
      </c>
      <c r="AP279" s="593">
        <f t="shared" ca="1" si="120"/>
        <v>0</v>
      </c>
    </row>
    <row r="280" spans="1:42" s="594" customFormat="1" ht="11.25" outlineLevel="1" x14ac:dyDescent="0.2">
      <c r="A280" s="590"/>
      <c r="B280" s="591" t="str">
        <f>IF(D280&lt;&gt;"",
IF(ISERROR(MATCH(D280,'Ist Vorjahr Monat 01'!A:A,0))=FALSE,INDEX('Ist Vorjahr Monat 01'!B:B,MATCH(D280,'Ist Vorjahr Monat 01'!A:A,0)),
IF(ISERROR(MATCH(D280,'Ist Vorjahr Monat 02'!A:A,0))=FALSE,INDEX('Ist Vorjahr Monat 02'!B:B,MATCH(D280,'Ist Vorjahr Monat 02'!A:A,0)),
IF(ISERROR(MATCH(D280,'Ist Vorjahr Monat 03'!A:A,0))=FALSE,INDEX('Ist Vorjahr Monat 03'!B:B,MATCH(D280,'Ist Vorjahr Monat 03'!A:A,0)),
IF(ISERROR(MATCH(D280,'Ist Vorjahr Monat 04'!A:A,0))=FALSE,INDEX('Ist Vorjahr Monat 04'!B:B,MATCH(D280,'Ist Vorjahr Monat 04'!A:A,0)),
IF(ISERROR(MATCH(D280,'Ist Vorjahr Monat 05'!A:A,0))=FALSE,INDEX('Ist Vorjahr Monat 05'!B:B,MATCH(D280,'Ist Vorjahr Monat 05'!A:A,0)),
IF(ISERROR(MATCH(D280,'Ist Vorjahr Monat 06'!A:A,0))=FALSE,INDEX('Ist Vorjahr Monat 06'!B:B,MATCH(D280,'Ist Vorjahr Monat 06'!A:A,0)),
IF(ISERROR(MATCH(D280,'Ist Vorjahr Monat 07'!A:A,0))=FALSE,INDEX('Ist Vorjahr Monat 07'!B:B,MATCH(D280,'Ist Vorjahr Monat 07'!A:A,0)),
IF(ISERROR(MATCH(D280,'Ist Vorjahr Monat 08'!A:A,0))=FALSE,INDEX('Ist Vorjahr Monat 08'!B:B,MATCH(D280,'Ist Vorjahr Monat 08'!A:A,0)),
IF(ISERROR(MATCH(D280,'Ist Vorjahr Monat 09'!A:A,0))=FALSE,INDEX('Ist Vorjahr Monat 09'!B:B,MATCH(D280,'Ist Vorjahr Monat 09'!A:A,0)),
IF(ISERROR(MATCH(D280,'Ist Vorjahr Monat 10'!A:A,0))=FALSE,INDEX('Ist Vorjahr Monat 10'!B:B,MATCH(D280,'Ist Vorjahr Monat 10'!A:A,0)),
IF(ISERROR(MATCH(D280,'Ist Vorjahr Monat 11'!A:A,0))=FALSE,INDEX('Ist Vorjahr Monat 11'!B:B,MATCH(D280,'Ist Vorjahr Monat 11'!A:A,0)),
IF(ISERROR(MATCH(D280,'Ist Vorjahr Monat 12'!A:A,0))=FALSE,INDEX('Ist Vorjahr Monat 12'!B:B,MATCH(D280,'Ist Vorjahr Monat 12'!A:A,0)),
"{Konto unbekannt}"
)))))))))))),"")</f>
        <v/>
      </c>
      <c r="C280" s="591"/>
      <c r="D280" s="590"/>
      <c r="E280" s="592">
        <f t="shared" si="105"/>
        <v>1</v>
      </c>
      <c r="F280" s="590"/>
      <c r="G280" s="593">
        <f ca="1">$E280*(-SUMIF(INDIRECT(G$3),'Struktur Vorjahr'!$D280,INDIRECT(G$4))+SUMIF(INDIRECT(G$3),'Struktur Vorjahr'!$D280,INDIRECT(G$5)))</f>
        <v>0</v>
      </c>
      <c r="H280" s="593">
        <f ca="1">$E280*(-SUMIF(INDIRECT(H$3),'Struktur Vorjahr'!$D280,INDIRECT(H$4))+SUMIF(INDIRECT(H$3),'Struktur Vorjahr'!$D280,INDIRECT(H$5)))</f>
        <v>0</v>
      </c>
      <c r="I280" s="593">
        <f ca="1">$E280*(-SUMIF(INDIRECT(I$3),'Struktur Vorjahr'!$D280,INDIRECT(I$4))+SUMIF(INDIRECT(I$3),'Struktur Vorjahr'!$D280,INDIRECT(I$5)))</f>
        <v>0</v>
      </c>
      <c r="J280" s="593">
        <f ca="1">$E280*(-SUMIF(INDIRECT(J$3),'Struktur Vorjahr'!$D280,INDIRECT(J$4))+SUMIF(INDIRECT(J$3),'Struktur Vorjahr'!$D280,INDIRECT(J$5)))</f>
        <v>0</v>
      </c>
      <c r="K280" s="593">
        <f ca="1">$E280*(-SUMIF(INDIRECT(K$3),'Struktur Vorjahr'!$D280,INDIRECT(K$4))+SUMIF(INDIRECT(K$3),'Struktur Vorjahr'!$D280,INDIRECT(K$5)))</f>
        <v>0</v>
      </c>
      <c r="L280" s="593">
        <f ca="1">$E280*(-SUMIF(INDIRECT(L$3),'Struktur Vorjahr'!$D280,INDIRECT(L$4))+SUMIF(INDIRECT(L$3),'Struktur Vorjahr'!$D280,INDIRECT(L$5)))</f>
        <v>0</v>
      </c>
      <c r="M280" s="593">
        <f ca="1">$E280*(-SUMIF(INDIRECT(M$3),'Struktur Vorjahr'!$D280,INDIRECT(M$4))+SUMIF(INDIRECT(M$3),'Struktur Vorjahr'!$D280,INDIRECT(M$5)))</f>
        <v>0</v>
      </c>
      <c r="N280" s="593">
        <f ca="1">$E280*(-SUMIF(INDIRECT(N$3),'Struktur Vorjahr'!$D280,INDIRECT(N$4))+SUMIF(INDIRECT(N$3),'Struktur Vorjahr'!$D280,INDIRECT(N$5)))</f>
        <v>0</v>
      </c>
      <c r="O280" s="593">
        <f ca="1">$E280*(-SUMIF(INDIRECT(O$3),'Struktur Vorjahr'!$D280,INDIRECT(O$4))+SUMIF(INDIRECT(O$3),'Struktur Vorjahr'!$D280,INDIRECT(O$5)))</f>
        <v>0</v>
      </c>
      <c r="P280" s="593">
        <f ca="1">$E280*(-SUMIF(INDIRECT(P$3),'Struktur Vorjahr'!$D280,INDIRECT(P$4))+SUMIF(INDIRECT(P$3),'Struktur Vorjahr'!$D280,INDIRECT(P$5)))</f>
        <v>0</v>
      </c>
      <c r="Q280" s="593">
        <f ca="1">$E280*(-SUMIF(INDIRECT(Q$3),'Struktur Vorjahr'!$D280,INDIRECT(Q$4))+SUMIF(INDIRECT(Q$3),'Struktur Vorjahr'!$D280,INDIRECT(Q$5)))</f>
        <v>0</v>
      </c>
      <c r="R280" s="593">
        <f ca="1">$E280*(-SUMIF(INDIRECT(R$3),'Struktur Vorjahr'!$D280,INDIRECT(R$4))+SUMIF(INDIRECT(R$3),'Struktur Vorjahr'!$D280,INDIRECT(R$5)))</f>
        <v>0</v>
      </c>
      <c r="S280" s="593">
        <f ca="1">$E280*(-SUMIF(INDIRECT(S$3),'Struktur Vorjahr'!$D280,INDIRECT(S$4))+SUMIF(INDIRECT(S$3),'Struktur Vorjahr'!$D280,INDIRECT(S$5)))</f>
        <v>0</v>
      </c>
      <c r="T280" s="593">
        <f ca="1">$E280*(-SUMIF(INDIRECT(T$3),'Struktur Vorjahr'!$D280,INDIRECT(T$4))+SUMIF(INDIRECT(T$3),'Struktur Vorjahr'!$D280,INDIRECT(T$5)))</f>
        <v>0</v>
      </c>
      <c r="U280" s="593">
        <f ca="1">$E280*(-SUMIF(INDIRECT(U$3),'Struktur Vorjahr'!$D280,INDIRECT(U$4))+SUMIF(INDIRECT(U$3),'Struktur Vorjahr'!$D280,INDIRECT(U$5)))</f>
        <v>0</v>
      </c>
      <c r="V280" s="593">
        <f ca="1">$E280*(-SUMIF(INDIRECT(V$3),'Struktur Vorjahr'!$D280,INDIRECT(V$4))+SUMIF(INDIRECT(V$3),'Struktur Vorjahr'!$D280,INDIRECT(V$5)))</f>
        <v>0</v>
      </c>
      <c r="W280" s="593">
        <f ca="1">$E280*(-SUMIF(INDIRECT(W$3),'Struktur Vorjahr'!$D280,INDIRECT(W$4))+SUMIF(INDIRECT(W$3),'Struktur Vorjahr'!$D280,INDIRECT(W$5)))</f>
        <v>0</v>
      </c>
      <c r="X280" s="593">
        <f ca="1">$E280*(-SUMIF(INDIRECT(X$3),'Struktur Vorjahr'!$D280,INDIRECT(X$4))+SUMIF(INDIRECT(X$3),'Struktur Vorjahr'!$D280,INDIRECT(X$5)))</f>
        <v>0</v>
      </c>
      <c r="Y280" s="593">
        <f ca="1">$E280*(-SUMIF(INDIRECT(Y$3),'Struktur Vorjahr'!$D280,INDIRECT(Y$4))+SUMIF(INDIRECT(Y$3),'Struktur Vorjahr'!$D280,INDIRECT(Y$5)))</f>
        <v>0</v>
      </c>
      <c r="Z280" s="593">
        <f ca="1">$E280*(-SUMIF(INDIRECT(Z$3),'Struktur Vorjahr'!$D280,INDIRECT(Z$4))+SUMIF(INDIRECT(Z$3),'Struktur Vorjahr'!$D280,INDIRECT(Z$5)))</f>
        <v>0</v>
      </c>
      <c r="AA280" s="593">
        <f ca="1">$E280*(-SUMIF(INDIRECT(AA$3),'Struktur Vorjahr'!$D280,INDIRECT(AA$4))+SUMIF(INDIRECT(AA$3),'Struktur Vorjahr'!$D280,INDIRECT(AA$5)))</f>
        <v>0</v>
      </c>
      <c r="AB280" s="593">
        <f ca="1">$E280*(-SUMIF(INDIRECT(AB$3),'Struktur Vorjahr'!$D280,INDIRECT(AB$4))+SUMIF(INDIRECT(AB$3),'Struktur Vorjahr'!$D280,INDIRECT(AB$5)))</f>
        <v>0</v>
      </c>
      <c r="AC280" s="593">
        <f ca="1">$E280*(-SUMIF(INDIRECT(AC$3),'Struktur Vorjahr'!$D280,INDIRECT(AC$4))+SUMIF(INDIRECT(AC$3),'Struktur Vorjahr'!$D280,INDIRECT(AC$5)))</f>
        <v>0</v>
      </c>
      <c r="AD280" s="593">
        <f ca="1">$E280*(-SUMIF(INDIRECT(AD$3),'Struktur Vorjahr'!$D280,INDIRECT(AD$4))+SUMIF(INDIRECT(AD$3),'Struktur Vorjahr'!$D280,INDIRECT(AD$5)))</f>
        <v>0</v>
      </c>
      <c r="AE280" s="593">
        <f t="shared" ca="1" si="119"/>
        <v>0</v>
      </c>
      <c r="AF280" s="593">
        <f t="shared" ca="1" si="120"/>
        <v>0</v>
      </c>
      <c r="AG280" s="593">
        <f t="shared" ca="1" si="120"/>
        <v>0</v>
      </c>
      <c r="AH280" s="593">
        <f t="shared" ca="1" si="120"/>
        <v>0</v>
      </c>
      <c r="AI280" s="593">
        <f t="shared" ca="1" si="120"/>
        <v>0</v>
      </c>
      <c r="AJ280" s="593">
        <f t="shared" ca="1" si="120"/>
        <v>0</v>
      </c>
      <c r="AK280" s="593">
        <f t="shared" ca="1" si="120"/>
        <v>0</v>
      </c>
      <c r="AL280" s="593">
        <f t="shared" ca="1" si="120"/>
        <v>0</v>
      </c>
      <c r="AM280" s="593">
        <f t="shared" ca="1" si="120"/>
        <v>0</v>
      </c>
      <c r="AN280" s="593">
        <f t="shared" ca="1" si="120"/>
        <v>0</v>
      </c>
      <c r="AO280" s="593">
        <f t="shared" ca="1" si="120"/>
        <v>0</v>
      </c>
      <c r="AP280" s="593">
        <f t="shared" ca="1" si="120"/>
        <v>0</v>
      </c>
    </row>
    <row r="281" spans="1:42" s="594" customFormat="1" ht="11.25" outlineLevel="1" x14ac:dyDescent="0.2">
      <c r="A281" s="590"/>
      <c r="B281" s="591" t="str">
        <f>IF(D281&lt;&gt;"",
IF(ISERROR(MATCH(D281,'Ist Vorjahr Monat 01'!A:A,0))=FALSE,INDEX('Ist Vorjahr Monat 01'!B:B,MATCH(D281,'Ist Vorjahr Monat 01'!A:A,0)),
IF(ISERROR(MATCH(D281,'Ist Vorjahr Monat 02'!A:A,0))=FALSE,INDEX('Ist Vorjahr Monat 02'!B:B,MATCH(D281,'Ist Vorjahr Monat 02'!A:A,0)),
IF(ISERROR(MATCH(D281,'Ist Vorjahr Monat 03'!A:A,0))=FALSE,INDEX('Ist Vorjahr Monat 03'!B:B,MATCH(D281,'Ist Vorjahr Monat 03'!A:A,0)),
IF(ISERROR(MATCH(D281,'Ist Vorjahr Monat 04'!A:A,0))=FALSE,INDEX('Ist Vorjahr Monat 04'!B:B,MATCH(D281,'Ist Vorjahr Monat 04'!A:A,0)),
IF(ISERROR(MATCH(D281,'Ist Vorjahr Monat 05'!A:A,0))=FALSE,INDEX('Ist Vorjahr Monat 05'!B:B,MATCH(D281,'Ist Vorjahr Monat 05'!A:A,0)),
IF(ISERROR(MATCH(D281,'Ist Vorjahr Monat 06'!A:A,0))=FALSE,INDEX('Ist Vorjahr Monat 06'!B:B,MATCH(D281,'Ist Vorjahr Monat 06'!A:A,0)),
IF(ISERROR(MATCH(D281,'Ist Vorjahr Monat 07'!A:A,0))=FALSE,INDEX('Ist Vorjahr Monat 07'!B:B,MATCH(D281,'Ist Vorjahr Monat 07'!A:A,0)),
IF(ISERROR(MATCH(D281,'Ist Vorjahr Monat 08'!A:A,0))=FALSE,INDEX('Ist Vorjahr Monat 08'!B:B,MATCH(D281,'Ist Vorjahr Monat 08'!A:A,0)),
IF(ISERROR(MATCH(D281,'Ist Vorjahr Monat 09'!A:A,0))=FALSE,INDEX('Ist Vorjahr Monat 09'!B:B,MATCH(D281,'Ist Vorjahr Monat 09'!A:A,0)),
IF(ISERROR(MATCH(D281,'Ist Vorjahr Monat 10'!A:A,0))=FALSE,INDEX('Ist Vorjahr Monat 10'!B:B,MATCH(D281,'Ist Vorjahr Monat 10'!A:A,0)),
IF(ISERROR(MATCH(D281,'Ist Vorjahr Monat 11'!A:A,0))=FALSE,INDEX('Ist Vorjahr Monat 11'!B:B,MATCH(D281,'Ist Vorjahr Monat 11'!A:A,0)),
IF(ISERROR(MATCH(D281,'Ist Vorjahr Monat 12'!A:A,0))=FALSE,INDEX('Ist Vorjahr Monat 12'!B:B,MATCH(D281,'Ist Vorjahr Monat 12'!A:A,0)),
"{Konto unbekannt}"
)))))))))))),"")</f>
        <v/>
      </c>
      <c r="C281" s="591"/>
      <c r="D281" s="590"/>
      <c r="E281" s="592">
        <f t="shared" ref="E281:E383" si="121">IF(F281="-",-1,1)</f>
        <v>1</v>
      </c>
      <c r="F281" s="590"/>
      <c r="G281" s="593">
        <f ca="1">$E281*(-SUMIF(INDIRECT(G$3),'Struktur Vorjahr'!$D281,INDIRECT(G$4))+SUMIF(INDIRECT(G$3),'Struktur Vorjahr'!$D281,INDIRECT(G$5)))</f>
        <v>0</v>
      </c>
      <c r="H281" s="593">
        <f ca="1">$E281*(-SUMIF(INDIRECT(H$3),'Struktur Vorjahr'!$D281,INDIRECT(H$4))+SUMIF(INDIRECT(H$3),'Struktur Vorjahr'!$D281,INDIRECT(H$5)))</f>
        <v>0</v>
      </c>
      <c r="I281" s="593">
        <f ca="1">$E281*(-SUMIF(INDIRECT(I$3),'Struktur Vorjahr'!$D281,INDIRECT(I$4))+SUMIF(INDIRECT(I$3),'Struktur Vorjahr'!$D281,INDIRECT(I$5)))</f>
        <v>0</v>
      </c>
      <c r="J281" s="593">
        <f ca="1">$E281*(-SUMIF(INDIRECT(J$3),'Struktur Vorjahr'!$D281,INDIRECT(J$4))+SUMIF(INDIRECT(J$3),'Struktur Vorjahr'!$D281,INDIRECT(J$5)))</f>
        <v>0</v>
      </c>
      <c r="K281" s="593">
        <f ca="1">$E281*(-SUMIF(INDIRECT(K$3),'Struktur Vorjahr'!$D281,INDIRECT(K$4))+SUMIF(INDIRECT(K$3),'Struktur Vorjahr'!$D281,INDIRECT(K$5)))</f>
        <v>0</v>
      </c>
      <c r="L281" s="593">
        <f ca="1">$E281*(-SUMIF(INDIRECT(L$3),'Struktur Vorjahr'!$D281,INDIRECT(L$4))+SUMIF(INDIRECT(L$3),'Struktur Vorjahr'!$D281,INDIRECT(L$5)))</f>
        <v>0</v>
      </c>
      <c r="M281" s="593">
        <f ca="1">$E281*(-SUMIF(INDIRECT(M$3),'Struktur Vorjahr'!$D281,INDIRECT(M$4))+SUMIF(INDIRECT(M$3),'Struktur Vorjahr'!$D281,INDIRECT(M$5)))</f>
        <v>0</v>
      </c>
      <c r="N281" s="593">
        <f ca="1">$E281*(-SUMIF(INDIRECT(N$3),'Struktur Vorjahr'!$D281,INDIRECT(N$4))+SUMIF(INDIRECT(N$3),'Struktur Vorjahr'!$D281,INDIRECT(N$5)))</f>
        <v>0</v>
      </c>
      <c r="O281" s="593">
        <f ca="1">$E281*(-SUMIF(INDIRECT(O$3),'Struktur Vorjahr'!$D281,INDIRECT(O$4))+SUMIF(INDIRECT(O$3),'Struktur Vorjahr'!$D281,INDIRECT(O$5)))</f>
        <v>0</v>
      </c>
      <c r="P281" s="593">
        <f ca="1">$E281*(-SUMIF(INDIRECT(P$3),'Struktur Vorjahr'!$D281,INDIRECT(P$4))+SUMIF(INDIRECT(P$3),'Struktur Vorjahr'!$D281,INDIRECT(P$5)))</f>
        <v>0</v>
      </c>
      <c r="Q281" s="593">
        <f ca="1">$E281*(-SUMIF(INDIRECT(Q$3),'Struktur Vorjahr'!$D281,INDIRECT(Q$4))+SUMIF(INDIRECT(Q$3),'Struktur Vorjahr'!$D281,INDIRECT(Q$5)))</f>
        <v>0</v>
      </c>
      <c r="R281" s="593">
        <f ca="1">$E281*(-SUMIF(INDIRECT(R$3),'Struktur Vorjahr'!$D281,INDIRECT(R$4))+SUMIF(INDIRECT(R$3),'Struktur Vorjahr'!$D281,INDIRECT(R$5)))</f>
        <v>0</v>
      </c>
      <c r="S281" s="593">
        <f ca="1">$E281*(-SUMIF(INDIRECT(S$3),'Struktur Vorjahr'!$D281,INDIRECT(S$4))+SUMIF(INDIRECT(S$3),'Struktur Vorjahr'!$D281,INDIRECT(S$5)))</f>
        <v>0</v>
      </c>
      <c r="T281" s="593">
        <f ca="1">$E281*(-SUMIF(INDIRECT(T$3),'Struktur Vorjahr'!$D281,INDIRECT(T$4))+SUMIF(INDIRECT(T$3),'Struktur Vorjahr'!$D281,INDIRECT(T$5)))</f>
        <v>0</v>
      </c>
      <c r="U281" s="593">
        <f ca="1">$E281*(-SUMIF(INDIRECT(U$3),'Struktur Vorjahr'!$D281,INDIRECT(U$4))+SUMIF(INDIRECT(U$3),'Struktur Vorjahr'!$D281,INDIRECT(U$5)))</f>
        <v>0</v>
      </c>
      <c r="V281" s="593">
        <f ca="1">$E281*(-SUMIF(INDIRECT(V$3),'Struktur Vorjahr'!$D281,INDIRECT(V$4))+SUMIF(INDIRECT(V$3),'Struktur Vorjahr'!$D281,INDIRECT(V$5)))</f>
        <v>0</v>
      </c>
      <c r="W281" s="593">
        <f ca="1">$E281*(-SUMIF(INDIRECT(W$3),'Struktur Vorjahr'!$D281,INDIRECT(W$4))+SUMIF(INDIRECT(W$3),'Struktur Vorjahr'!$D281,INDIRECT(W$5)))</f>
        <v>0</v>
      </c>
      <c r="X281" s="593">
        <f ca="1">$E281*(-SUMIF(INDIRECT(X$3),'Struktur Vorjahr'!$D281,INDIRECT(X$4))+SUMIF(INDIRECT(X$3),'Struktur Vorjahr'!$D281,INDIRECT(X$5)))</f>
        <v>0</v>
      </c>
      <c r="Y281" s="593">
        <f ca="1">$E281*(-SUMIF(INDIRECT(Y$3),'Struktur Vorjahr'!$D281,INDIRECT(Y$4))+SUMIF(INDIRECT(Y$3),'Struktur Vorjahr'!$D281,INDIRECT(Y$5)))</f>
        <v>0</v>
      </c>
      <c r="Z281" s="593">
        <f ca="1">$E281*(-SUMIF(INDIRECT(Z$3),'Struktur Vorjahr'!$D281,INDIRECT(Z$4))+SUMIF(INDIRECT(Z$3),'Struktur Vorjahr'!$D281,INDIRECT(Z$5)))</f>
        <v>0</v>
      </c>
      <c r="AA281" s="593">
        <f ca="1">$E281*(-SUMIF(INDIRECT(AA$3),'Struktur Vorjahr'!$D281,INDIRECT(AA$4))+SUMIF(INDIRECT(AA$3),'Struktur Vorjahr'!$D281,INDIRECT(AA$5)))</f>
        <v>0</v>
      </c>
      <c r="AB281" s="593">
        <f ca="1">$E281*(-SUMIF(INDIRECT(AB$3),'Struktur Vorjahr'!$D281,INDIRECT(AB$4))+SUMIF(INDIRECT(AB$3),'Struktur Vorjahr'!$D281,INDIRECT(AB$5)))</f>
        <v>0</v>
      </c>
      <c r="AC281" s="593">
        <f ca="1">$E281*(-SUMIF(INDIRECT(AC$3),'Struktur Vorjahr'!$D281,INDIRECT(AC$4))+SUMIF(INDIRECT(AC$3),'Struktur Vorjahr'!$D281,INDIRECT(AC$5)))</f>
        <v>0</v>
      </c>
      <c r="AD281" s="593">
        <f ca="1">$E281*(-SUMIF(INDIRECT(AD$3),'Struktur Vorjahr'!$D281,INDIRECT(AD$4))+SUMIF(INDIRECT(AD$3),'Struktur Vorjahr'!$D281,INDIRECT(AD$5)))</f>
        <v>0</v>
      </c>
      <c r="AE281" s="593">
        <f t="shared" ca="1" si="119"/>
        <v>0</v>
      </c>
      <c r="AF281" s="593">
        <f t="shared" ca="1" si="120"/>
        <v>0</v>
      </c>
      <c r="AG281" s="593">
        <f t="shared" ca="1" si="120"/>
        <v>0</v>
      </c>
      <c r="AH281" s="593">
        <f t="shared" ca="1" si="120"/>
        <v>0</v>
      </c>
      <c r="AI281" s="593">
        <f t="shared" ca="1" si="120"/>
        <v>0</v>
      </c>
      <c r="AJ281" s="593">
        <f t="shared" ca="1" si="120"/>
        <v>0</v>
      </c>
      <c r="AK281" s="593">
        <f t="shared" ca="1" si="120"/>
        <v>0</v>
      </c>
      <c r="AL281" s="593">
        <f t="shared" ca="1" si="120"/>
        <v>0</v>
      </c>
      <c r="AM281" s="593">
        <f t="shared" ca="1" si="120"/>
        <v>0</v>
      </c>
      <c r="AN281" s="593">
        <f t="shared" ca="1" si="120"/>
        <v>0</v>
      </c>
      <c r="AO281" s="593">
        <f t="shared" ca="1" si="120"/>
        <v>0</v>
      </c>
      <c r="AP281" s="593">
        <f t="shared" ca="1" si="120"/>
        <v>0</v>
      </c>
    </row>
    <row r="282" spans="1:42" s="594" customFormat="1" ht="11.25" outlineLevel="1" x14ac:dyDescent="0.2">
      <c r="A282" s="590"/>
      <c r="B282" s="591" t="str">
        <f>IF(D282&lt;&gt;"",
IF(ISERROR(MATCH(D282,'Ist Vorjahr Monat 01'!A:A,0))=FALSE,INDEX('Ist Vorjahr Monat 01'!B:B,MATCH(D282,'Ist Vorjahr Monat 01'!A:A,0)),
IF(ISERROR(MATCH(D282,'Ist Vorjahr Monat 02'!A:A,0))=FALSE,INDEX('Ist Vorjahr Monat 02'!B:B,MATCH(D282,'Ist Vorjahr Monat 02'!A:A,0)),
IF(ISERROR(MATCH(D282,'Ist Vorjahr Monat 03'!A:A,0))=FALSE,INDEX('Ist Vorjahr Monat 03'!B:B,MATCH(D282,'Ist Vorjahr Monat 03'!A:A,0)),
IF(ISERROR(MATCH(D282,'Ist Vorjahr Monat 04'!A:A,0))=FALSE,INDEX('Ist Vorjahr Monat 04'!B:B,MATCH(D282,'Ist Vorjahr Monat 04'!A:A,0)),
IF(ISERROR(MATCH(D282,'Ist Vorjahr Monat 05'!A:A,0))=FALSE,INDEX('Ist Vorjahr Monat 05'!B:B,MATCH(D282,'Ist Vorjahr Monat 05'!A:A,0)),
IF(ISERROR(MATCH(D282,'Ist Vorjahr Monat 06'!A:A,0))=FALSE,INDEX('Ist Vorjahr Monat 06'!B:B,MATCH(D282,'Ist Vorjahr Monat 06'!A:A,0)),
IF(ISERROR(MATCH(D282,'Ist Vorjahr Monat 07'!A:A,0))=FALSE,INDEX('Ist Vorjahr Monat 07'!B:B,MATCH(D282,'Ist Vorjahr Monat 07'!A:A,0)),
IF(ISERROR(MATCH(D282,'Ist Vorjahr Monat 08'!A:A,0))=FALSE,INDEX('Ist Vorjahr Monat 08'!B:B,MATCH(D282,'Ist Vorjahr Monat 08'!A:A,0)),
IF(ISERROR(MATCH(D282,'Ist Vorjahr Monat 09'!A:A,0))=FALSE,INDEX('Ist Vorjahr Monat 09'!B:B,MATCH(D282,'Ist Vorjahr Monat 09'!A:A,0)),
IF(ISERROR(MATCH(D282,'Ist Vorjahr Monat 10'!A:A,0))=FALSE,INDEX('Ist Vorjahr Monat 10'!B:B,MATCH(D282,'Ist Vorjahr Monat 10'!A:A,0)),
IF(ISERROR(MATCH(D282,'Ist Vorjahr Monat 11'!A:A,0))=FALSE,INDEX('Ist Vorjahr Monat 11'!B:B,MATCH(D282,'Ist Vorjahr Monat 11'!A:A,0)),
IF(ISERROR(MATCH(D282,'Ist Vorjahr Monat 12'!A:A,0))=FALSE,INDEX('Ist Vorjahr Monat 12'!B:B,MATCH(D282,'Ist Vorjahr Monat 12'!A:A,0)),
"{Konto unbekannt}"
)))))))))))),"")</f>
        <v/>
      </c>
      <c r="C282" s="591"/>
      <c r="D282" s="590"/>
      <c r="E282" s="592">
        <f t="shared" si="121"/>
        <v>1</v>
      </c>
      <c r="F282" s="590"/>
      <c r="G282" s="593">
        <f ca="1">$E282*(-SUMIF(INDIRECT(G$3),'Struktur Vorjahr'!$D282,INDIRECT(G$4))+SUMIF(INDIRECT(G$3),'Struktur Vorjahr'!$D282,INDIRECT(G$5)))</f>
        <v>0</v>
      </c>
      <c r="H282" s="593">
        <f ca="1">$E282*(-SUMIF(INDIRECT(H$3),'Struktur Vorjahr'!$D282,INDIRECT(H$4))+SUMIF(INDIRECT(H$3),'Struktur Vorjahr'!$D282,INDIRECT(H$5)))</f>
        <v>0</v>
      </c>
      <c r="I282" s="593">
        <f ca="1">$E282*(-SUMIF(INDIRECT(I$3),'Struktur Vorjahr'!$D282,INDIRECT(I$4))+SUMIF(INDIRECT(I$3),'Struktur Vorjahr'!$D282,INDIRECT(I$5)))</f>
        <v>0</v>
      </c>
      <c r="J282" s="593">
        <f ca="1">$E282*(-SUMIF(INDIRECT(J$3),'Struktur Vorjahr'!$D282,INDIRECT(J$4))+SUMIF(INDIRECT(J$3),'Struktur Vorjahr'!$D282,INDIRECT(J$5)))</f>
        <v>0</v>
      </c>
      <c r="K282" s="593">
        <f ca="1">$E282*(-SUMIF(INDIRECT(K$3),'Struktur Vorjahr'!$D282,INDIRECT(K$4))+SUMIF(INDIRECT(K$3),'Struktur Vorjahr'!$D282,INDIRECT(K$5)))</f>
        <v>0</v>
      </c>
      <c r="L282" s="593">
        <f ca="1">$E282*(-SUMIF(INDIRECT(L$3),'Struktur Vorjahr'!$D282,INDIRECT(L$4))+SUMIF(INDIRECT(L$3),'Struktur Vorjahr'!$D282,INDIRECT(L$5)))</f>
        <v>0</v>
      </c>
      <c r="M282" s="593">
        <f ca="1">$E282*(-SUMIF(INDIRECT(M$3),'Struktur Vorjahr'!$D282,INDIRECT(M$4))+SUMIF(INDIRECT(M$3),'Struktur Vorjahr'!$D282,INDIRECT(M$5)))</f>
        <v>0</v>
      </c>
      <c r="N282" s="593">
        <f ca="1">$E282*(-SUMIF(INDIRECT(N$3),'Struktur Vorjahr'!$D282,INDIRECT(N$4))+SUMIF(INDIRECT(N$3),'Struktur Vorjahr'!$D282,INDIRECT(N$5)))</f>
        <v>0</v>
      </c>
      <c r="O282" s="593">
        <f ca="1">$E282*(-SUMIF(INDIRECT(O$3),'Struktur Vorjahr'!$D282,INDIRECT(O$4))+SUMIF(INDIRECT(O$3),'Struktur Vorjahr'!$D282,INDIRECT(O$5)))</f>
        <v>0</v>
      </c>
      <c r="P282" s="593">
        <f ca="1">$E282*(-SUMIF(INDIRECT(P$3),'Struktur Vorjahr'!$D282,INDIRECT(P$4))+SUMIF(INDIRECT(P$3),'Struktur Vorjahr'!$D282,INDIRECT(P$5)))</f>
        <v>0</v>
      </c>
      <c r="Q282" s="593">
        <f ca="1">$E282*(-SUMIF(INDIRECT(Q$3),'Struktur Vorjahr'!$D282,INDIRECT(Q$4))+SUMIF(INDIRECT(Q$3),'Struktur Vorjahr'!$D282,INDIRECT(Q$5)))</f>
        <v>0</v>
      </c>
      <c r="R282" s="593">
        <f ca="1">$E282*(-SUMIF(INDIRECT(R$3),'Struktur Vorjahr'!$D282,INDIRECT(R$4))+SUMIF(INDIRECT(R$3),'Struktur Vorjahr'!$D282,INDIRECT(R$5)))</f>
        <v>0</v>
      </c>
      <c r="S282" s="593">
        <f ca="1">$E282*(-SUMIF(INDIRECT(S$3),'Struktur Vorjahr'!$D282,INDIRECT(S$4))+SUMIF(INDIRECT(S$3),'Struktur Vorjahr'!$D282,INDIRECT(S$5)))</f>
        <v>0</v>
      </c>
      <c r="T282" s="593">
        <f ca="1">$E282*(-SUMIF(INDIRECT(T$3),'Struktur Vorjahr'!$D282,INDIRECT(T$4))+SUMIF(INDIRECT(T$3),'Struktur Vorjahr'!$D282,INDIRECT(T$5)))</f>
        <v>0</v>
      </c>
      <c r="U282" s="593">
        <f ca="1">$E282*(-SUMIF(INDIRECT(U$3),'Struktur Vorjahr'!$D282,INDIRECT(U$4))+SUMIF(INDIRECT(U$3),'Struktur Vorjahr'!$D282,INDIRECT(U$5)))</f>
        <v>0</v>
      </c>
      <c r="V282" s="593">
        <f ca="1">$E282*(-SUMIF(INDIRECT(V$3),'Struktur Vorjahr'!$D282,INDIRECT(V$4))+SUMIF(INDIRECT(V$3),'Struktur Vorjahr'!$D282,INDIRECT(V$5)))</f>
        <v>0</v>
      </c>
      <c r="W282" s="593">
        <f ca="1">$E282*(-SUMIF(INDIRECT(W$3),'Struktur Vorjahr'!$D282,INDIRECT(W$4))+SUMIF(INDIRECT(W$3),'Struktur Vorjahr'!$D282,INDIRECT(W$5)))</f>
        <v>0</v>
      </c>
      <c r="X282" s="593">
        <f ca="1">$E282*(-SUMIF(INDIRECT(X$3),'Struktur Vorjahr'!$D282,INDIRECT(X$4))+SUMIF(INDIRECT(X$3),'Struktur Vorjahr'!$D282,INDIRECT(X$5)))</f>
        <v>0</v>
      </c>
      <c r="Y282" s="593">
        <f ca="1">$E282*(-SUMIF(INDIRECT(Y$3),'Struktur Vorjahr'!$D282,INDIRECT(Y$4))+SUMIF(INDIRECT(Y$3),'Struktur Vorjahr'!$D282,INDIRECT(Y$5)))</f>
        <v>0</v>
      </c>
      <c r="Z282" s="593">
        <f ca="1">$E282*(-SUMIF(INDIRECT(Z$3),'Struktur Vorjahr'!$D282,INDIRECT(Z$4))+SUMIF(INDIRECT(Z$3),'Struktur Vorjahr'!$D282,INDIRECT(Z$5)))</f>
        <v>0</v>
      </c>
      <c r="AA282" s="593">
        <f ca="1">$E282*(-SUMIF(INDIRECT(AA$3),'Struktur Vorjahr'!$D282,INDIRECT(AA$4))+SUMIF(INDIRECT(AA$3),'Struktur Vorjahr'!$D282,INDIRECT(AA$5)))</f>
        <v>0</v>
      </c>
      <c r="AB282" s="593">
        <f ca="1">$E282*(-SUMIF(INDIRECT(AB$3),'Struktur Vorjahr'!$D282,INDIRECT(AB$4))+SUMIF(INDIRECT(AB$3),'Struktur Vorjahr'!$D282,INDIRECT(AB$5)))</f>
        <v>0</v>
      </c>
      <c r="AC282" s="593">
        <f ca="1">$E282*(-SUMIF(INDIRECT(AC$3),'Struktur Vorjahr'!$D282,INDIRECT(AC$4))+SUMIF(INDIRECT(AC$3),'Struktur Vorjahr'!$D282,INDIRECT(AC$5)))</f>
        <v>0</v>
      </c>
      <c r="AD282" s="593">
        <f ca="1">$E282*(-SUMIF(INDIRECT(AD$3),'Struktur Vorjahr'!$D282,INDIRECT(AD$4))+SUMIF(INDIRECT(AD$3),'Struktur Vorjahr'!$D282,INDIRECT(AD$5)))</f>
        <v>0</v>
      </c>
      <c r="AE282" s="593">
        <f t="shared" ca="1" si="119"/>
        <v>0</v>
      </c>
      <c r="AF282" s="593">
        <f t="shared" ca="1" si="120"/>
        <v>0</v>
      </c>
      <c r="AG282" s="593">
        <f t="shared" ca="1" si="120"/>
        <v>0</v>
      </c>
      <c r="AH282" s="593">
        <f t="shared" ca="1" si="120"/>
        <v>0</v>
      </c>
      <c r="AI282" s="593">
        <f t="shared" ca="1" si="120"/>
        <v>0</v>
      </c>
      <c r="AJ282" s="593">
        <f t="shared" ca="1" si="120"/>
        <v>0</v>
      </c>
      <c r="AK282" s="593">
        <f t="shared" ca="1" si="120"/>
        <v>0</v>
      </c>
      <c r="AL282" s="593">
        <f t="shared" ca="1" si="120"/>
        <v>0</v>
      </c>
      <c r="AM282" s="593">
        <f t="shared" ca="1" si="120"/>
        <v>0</v>
      </c>
      <c r="AN282" s="593">
        <f t="shared" ca="1" si="120"/>
        <v>0</v>
      </c>
      <c r="AO282" s="593">
        <f t="shared" ca="1" si="120"/>
        <v>0</v>
      </c>
      <c r="AP282" s="593">
        <f t="shared" ca="1" si="120"/>
        <v>0</v>
      </c>
    </row>
    <row r="283" spans="1:42" s="594" customFormat="1" ht="11.25" outlineLevel="1" x14ac:dyDescent="0.2">
      <c r="A283" s="590"/>
      <c r="B283" s="591" t="str">
        <f>IF(D283&lt;&gt;"",
IF(ISERROR(MATCH(D283,'Ist Vorjahr Monat 01'!A:A,0))=FALSE,INDEX('Ist Vorjahr Monat 01'!B:B,MATCH(D283,'Ist Vorjahr Monat 01'!A:A,0)),
IF(ISERROR(MATCH(D283,'Ist Vorjahr Monat 02'!A:A,0))=FALSE,INDEX('Ist Vorjahr Monat 02'!B:B,MATCH(D283,'Ist Vorjahr Monat 02'!A:A,0)),
IF(ISERROR(MATCH(D283,'Ist Vorjahr Monat 03'!A:A,0))=FALSE,INDEX('Ist Vorjahr Monat 03'!B:B,MATCH(D283,'Ist Vorjahr Monat 03'!A:A,0)),
IF(ISERROR(MATCH(D283,'Ist Vorjahr Monat 04'!A:A,0))=FALSE,INDEX('Ist Vorjahr Monat 04'!B:B,MATCH(D283,'Ist Vorjahr Monat 04'!A:A,0)),
IF(ISERROR(MATCH(D283,'Ist Vorjahr Monat 05'!A:A,0))=FALSE,INDEX('Ist Vorjahr Monat 05'!B:B,MATCH(D283,'Ist Vorjahr Monat 05'!A:A,0)),
IF(ISERROR(MATCH(D283,'Ist Vorjahr Monat 06'!A:A,0))=FALSE,INDEX('Ist Vorjahr Monat 06'!B:B,MATCH(D283,'Ist Vorjahr Monat 06'!A:A,0)),
IF(ISERROR(MATCH(D283,'Ist Vorjahr Monat 07'!A:A,0))=FALSE,INDEX('Ist Vorjahr Monat 07'!B:B,MATCH(D283,'Ist Vorjahr Monat 07'!A:A,0)),
IF(ISERROR(MATCH(D283,'Ist Vorjahr Monat 08'!A:A,0))=FALSE,INDEX('Ist Vorjahr Monat 08'!B:B,MATCH(D283,'Ist Vorjahr Monat 08'!A:A,0)),
IF(ISERROR(MATCH(D283,'Ist Vorjahr Monat 09'!A:A,0))=FALSE,INDEX('Ist Vorjahr Monat 09'!B:B,MATCH(D283,'Ist Vorjahr Monat 09'!A:A,0)),
IF(ISERROR(MATCH(D283,'Ist Vorjahr Monat 10'!A:A,0))=FALSE,INDEX('Ist Vorjahr Monat 10'!B:B,MATCH(D283,'Ist Vorjahr Monat 10'!A:A,0)),
IF(ISERROR(MATCH(D283,'Ist Vorjahr Monat 11'!A:A,0))=FALSE,INDEX('Ist Vorjahr Monat 11'!B:B,MATCH(D283,'Ist Vorjahr Monat 11'!A:A,0)),
IF(ISERROR(MATCH(D283,'Ist Vorjahr Monat 12'!A:A,0))=FALSE,INDEX('Ist Vorjahr Monat 12'!B:B,MATCH(D283,'Ist Vorjahr Monat 12'!A:A,0)),
"{Konto unbekannt}"
)))))))))))),"")</f>
        <v/>
      </c>
      <c r="C283" s="591"/>
      <c r="D283" s="590"/>
      <c r="E283" s="592">
        <f t="shared" si="121"/>
        <v>1</v>
      </c>
      <c r="F283" s="590"/>
      <c r="G283" s="593">
        <f ca="1">$E283*(-SUMIF(INDIRECT(G$3),'Struktur Vorjahr'!$D283,INDIRECT(G$4))+SUMIF(INDIRECT(G$3),'Struktur Vorjahr'!$D283,INDIRECT(G$5)))</f>
        <v>0</v>
      </c>
      <c r="H283" s="593">
        <f ca="1">$E283*(-SUMIF(INDIRECT(H$3),'Struktur Vorjahr'!$D283,INDIRECT(H$4))+SUMIF(INDIRECT(H$3),'Struktur Vorjahr'!$D283,INDIRECT(H$5)))</f>
        <v>0</v>
      </c>
      <c r="I283" s="593">
        <f ca="1">$E283*(-SUMIF(INDIRECT(I$3),'Struktur Vorjahr'!$D283,INDIRECT(I$4))+SUMIF(INDIRECT(I$3),'Struktur Vorjahr'!$D283,INDIRECT(I$5)))</f>
        <v>0</v>
      </c>
      <c r="J283" s="593">
        <f ca="1">$E283*(-SUMIF(INDIRECT(J$3),'Struktur Vorjahr'!$D283,INDIRECT(J$4))+SUMIF(INDIRECT(J$3),'Struktur Vorjahr'!$D283,INDIRECT(J$5)))</f>
        <v>0</v>
      </c>
      <c r="K283" s="593">
        <f ca="1">$E283*(-SUMIF(INDIRECT(K$3),'Struktur Vorjahr'!$D283,INDIRECT(K$4))+SUMIF(INDIRECT(K$3),'Struktur Vorjahr'!$D283,INDIRECT(K$5)))</f>
        <v>0</v>
      </c>
      <c r="L283" s="593">
        <f ca="1">$E283*(-SUMIF(INDIRECT(L$3),'Struktur Vorjahr'!$D283,INDIRECT(L$4))+SUMIF(INDIRECT(L$3),'Struktur Vorjahr'!$D283,INDIRECT(L$5)))</f>
        <v>0</v>
      </c>
      <c r="M283" s="593">
        <f ca="1">$E283*(-SUMIF(INDIRECT(M$3),'Struktur Vorjahr'!$D283,INDIRECT(M$4))+SUMIF(INDIRECT(M$3),'Struktur Vorjahr'!$D283,INDIRECT(M$5)))</f>
        <v>0</v>
      </c>
      <c r="N283" s="593">
        <f ca="1">$E283*(-SUMIF(INDIRECT(N$3),'Struktur Vorjahr'!$D283,INDIRECT(N$4))+SUMIF(INDIRECT(N$3),'Struktur Vorjahr'!$D283,INDIRECT(N$5)))</f>
        <v>0</v>
      </c>
      <c r="O283" s="593">
        <f ca="1">$E283*(-SUMIF(INDIRECT(O$3),'Struktur Vorjahr'!$D283,INDIRECT(O$4))+SUMIF(INDIRECT(O$3),'Struktur Vorjahr'!$D283,INDIRECT(O$5)))</f>
        <v>0</v>
      </c>
      <c r="P283" s="593">
        <f ca="1">$E283*(-SUMIF(INDIRECT(P$3),'Struktur Vorjahr'!$D283,INDIRECT(P$4))+SUMIF(INDIRECT(P$3),'Struktur Vorjahr'!$D283,INDIRECT(P$5)))</f>
        <v>0</v>
      </c>
      <c r="Q283" s="593">
        <f ca="1">$E283*(-SUMIF(INDIRECT(Q$3),'Struktur Vorjahr'!$D283,INDIRECT(Q$4))+SUMIF(INDIRECT(Q$3),'Struktur Vorjahr'!$D283,INDIRECT(Q$5)))</f>
        <v>0</v>
      </c>
      <c r="R283" s="593">
        <f ca="1">$E283*(-SUMIF(INDIRECT(R$3),'Struktur Vorjahr'!$D283,INDIRECT(R$4))+SUMIF(INDIRECT(R$3),'Struktur Vorjahr'!$D283,INDIRECT(R$5)))</f>
        <v>0</v>
      </c>
      <c r="S283" s="593">
        <f ca="1">$E283*(-SUMIF(INDIRECT(S$3),'Struktur Vorjahr'!$D283,INDIRECT(S$4))+SUMIF(INDIRECT(S$3),'Struktur Vorjahr'!$D283,INDIRECT(S$5)))</f>
        <v>0</v>
      </c>
      <c r="T283" s="593">
        <f ca="1">$E283*(-SUMIF(INDIRECT(T$3),'Struktur Vorjahr'!$D283,INDIRECT(T$4))+SUMIF(INDIRECT(T$3),'Struktur Vorjahr'!$D283,INDIRECT(T$5)))</f>
        <v>0</v>
      </c>
      <c r="U283" s="593">
        <f ca="1">$E283*(-SUMIF(INDIRECT(U$3),'Struktur Vorjahr'!$D283,INDIRECT(U$4))+SUMIF(INDIRECT(U$3),'Struktur Vorjahr'!$D283,INDIRECT(U$5)))</f>
        <v>0</v>
      </c>
      <c r="V283" s="593">
        <f ca="1">$E283*(-SUMIF(INDIRECT(V$3),'Struktur Vorjahr'!$D283,INDIRECT(V$4))+SUMIF(INDIRECT(V$3),'Struktur Vorjahr'!$D283,INDIRECT(V$5)))</f>
        <v>0</v>
      </c>
      <c r="W283" s="593">
        <f ca="1">$E283*(-SUMIF(INDIRECT(W$3),'Struktur Vorjahr'!$D283,INDIRECT(W$4))+SUMIF(INDIRECT(W$3),'Struktur Vorjahr'!$D283,INDIRECT(W$5)))</f>
        <v>0</v>
      </c>
      <c r="X283" s="593">
        <f ca="1">$E283*(-SUMIF(INDIRECT(X$3),'Struktur Vorjahr'!$D283,INDIRECT(X$4))+SUMIF(INDIRECT(X$3),'Struktur Vorjahr'!$D283,INDIRECT(X$5)))</f>
        <v>0</v>
      </c>
      <c r="Y283" s="593">
        <f ca="1">$E283*(-SUMIF(INDIRECT(Y$3),'Struktur Vorjahr'!$D283,INDIRECT(Y$4))+SUMIF(INDIRECT(Y$3),'Struktur Vorjahr'!$D283,INDIRECT(Y$5)))</f>
        <v>0</v>
      </c>
      <c r="Z283" s="593">
        <f ca="1">$E283*(-SUMIF(INDIRECT(Z$3),'Struktur Vorjahr'!$D283,INDIRECT(Z$4))+SUMIF(INDIRECT(Z$3),'Struktur Vorjahr'!$D283,INDIRECT(Z$5)))</f>
        <v>0</v>
      </c>
      <c r="AA283" s="593">
        <f ca="1">$E283*(-SUMIF(INDIRECT(AA$3),'Struktur Vorjahr'!$D283,INDIRECT(AA$4))+SUMIF(INDIRECT(AA$3),'Struktur Vorjahr'!$D283,INDIRECT(AA$5)))</f>
        <v>0</v>
      </c>
      <c r="AB283" s="593">
        <f ca="1">$E283*(-SUMIF(INDIRECT(AB$3),'Struktur Vorjahr'!$D283,INDIRECT(AB$4))+SUMIF(INDIRECT(AB$3),'Struktur Vorjahr'!$D283,INDIRECT(AB$5)))</f>
        <v>0</v>
      </c>
      <c r="AC283" s="593">
        <f ca="1">$E283*(-SUMIF(INDIRECT(AC$3),'Struktur Vorjahr'!$D283,INDIRECT(AC$4))+SUMIF(INDIRECT(AC$3),'Struktur Vorjahr'!$D283,INDIRECT(AC$5)))</f>
        <v>0</v>
      </c>
      <c r="AD283" s="593">
        <f ca="1">$E283*(-SUMIF(INDIRECT(AD$3),'Struktur Vorjahr'!$D283,INDIRECT(AD$4))+SUMIF(INDIRECT(AD$3),'Struktur Vorjahr'!$D283,INDIRECT(AD$5)))</f>
        <v>0</v>
      </c>
      <c r="AE283" s="593">
        <f t="shared" ca="1" si="119"/>
        <v>0</v>
      </c>
      <c r="AF283" s="593">
        <f t="shared" ca="1" si="120"/>
        <v>0</v>
      </c>
      <c r="AG283" s="593">
        <f t="shared" ca="1" si="120"/>
        <v>0</v>
      </c>
      <c r="AH283" s="593">
        <f t="shared" ca="1" si="120"/>
        <v>0</v>
      </c>
      <c r="AI283" s="593">
        <f t="shared" ca="1" si="120"/>
        <v>0</v>
      </c>
      <c r="AJ283" s="593">
        <f t="shared" ca="1" si="120"/>
        <v>0</v>
      </c>
      <c r="AK283" s="593">
        <f t="shared" ca="1" si="120"/>
        <v>0</v>
      </c>
      <c r="AL283" s="593">
        <f t="shared" ca="1" si="120"/>
        <v>0</v>
      </c>
      <c r="AM283" s="593">
        <f t="shared" ca="1" si="120"/>
        <v>0</v>
      </c>
      <c r="AN283" s="593">
        <f t="shared" ca="1" si="120"/>
        <v>0</v>
      </c>
      <c r="AO283" s="593">
        <f t="shared" ca="1" si="120"/>
        <v>0</v>
      </c>
      <c r="AP283" s="593">
        <f t="shared" ca="1" si="120"/>
        <v>0</v>
      </c>
    </row>
    <row r="284" spans="1:42" s="594" customFormat="1" ht="11.25" outlineLevel="1" x14ac:dyDescent="0.2">
      <c r="A284" s="590"/>
      <c r="B284" s="591" t="str">
        <f>IF(D284&lt;&gt;"",
IF(ISERROR(MATCH(D284,'Ist Vorjahr Monat 01'!A:A,0))=FALSE,INDEX('Ist Vorjahr Monat 01'!B:B,MATCH(D284,'Ist Vorjahr Monat 01'!A:A,0)),
IF(ISERROR(MATCH(D284,'Ist Vorjahr Monat 02'!A:A,0))=FALSE,INDEX('Ist Vorjahr Monat 02'!B:B,MATCH(D284,'Ist Vorjahr Monat 02'!A:A,0)),
IF(ISERROR(MATCH(D284,'Ist Vorjahr Monat 03'!A:A,0))=FALSE,INDEX('Ist Vorjahr Monat 03'!B:B,MATCH(D284,'Ist Vorjahr Monat 03'!A:A,0)),
IF(ISERROR(MATCH(D284,'Ist Vorjahr Monat 04'!A:A,0))=FALSE,INDEX('Ist Vorjahr Monat 04'!B:B,MATCH(D284,'Ist Vorjahr Monat 04'!A:A,0)),
IF(ISERROR(MATCH(D284,'Ist Vorjahr Monat 05'!A:A,0))=FALSE,INDEX('Ist Vorjahr Monat 05'!B:B,MATCH(D284,'Ist Vorjahr Monat 05'!A:A,0)),
IF(ISERROR(MATCH(D284,'Ist Vorjahr Monat 06'!A:A,0))=FALSE,INDEX('Ist Vorjahr Monat 06'!B:B,MATCH(D284,'Ist Vorjahr Monat 06'!A:A,0)),
IF(ISERROR(MATCH(D284,'Ist Vorjahr Monat 07'!A:A,0))=FALSE,INDEX('Ist Vorjahr Monat 07'!B:B,MATCH(D284,'Ist Vorjahr Monat 07'!A:A,0)),
IF(ISERROR(MATCH(D284,'Ist Vorjahr Monat 08'!A:A,0))=FALSE,INDEX('Ist Vorjahr Monat 08'!B:B,MATCH(D284,'Ist Vorjahr Monat 08'!A:A,0)),
IF(ISERROR(MATCH(D284,'Ist Vorjahr Monat 09'!A:A,0))=FALSE,INDEX('Ist Vorjahr Monat 09'!B:B,MATCH(D284,'Ist Vorjahr Monat 09'!A:A,0)),
IF(ISERROR(MATCH(D284,'Ist Vorjahr Monat 10'!A:A,0))=FALSE,INDEX('Ist Vorjahr Monat 10'!B:B,MATCH(D284,'Ist Vorjahr Monat 10'!A:A,0)),
IF(ISERROR(MATCH(D284,'Ist Vorjahr Monat 11'!A:A,0))=FALSE,INDEX('Ist Vorjahr Monat 11'!B:B,MATCH(D284,'Ist Vorjahr Monat 11'!A:A,0)),
IF(ISERROR(MATCH(D284,'Ist Vorjahr Monat 12'!A:A,0))=FALSE,INDEX('Ist Vorjahr Monat 12'!B:B,MATCH(D284,'Ist Vorjahr Monat 12'!A:A,0)),
"{Konto unbekannt}"
)))))))))))),"")</f>
        <v/>
      </c>
      <c r="C284" s="591"/>
      <c r="D284" s="590"/>
      <c r="E284" s="592">
        <f t="shared" si="121"/>
        <v>1</v>
      </c>
      <c r="F284" s="590"/>
      <c r="G284" s="593">
        <f ca="1">$E284*(-SUMIF(INDIRECT(G$3),'Struktur Vorjahr'!$D284,INDIRECT(G$4))+SUMIF(INDIRECT(G$3),'Struktur Vorjahr'!$D284,INDIRECT(G$5)))</f>
        <v>0</v>
      </c>
      <c r="H284" s="593">
        <f ca="1">$E284*(-SUMIF(INDIRECT(H$3),'Struktur Vorjahr'!$D284,INDIRECT(H$4))+SUMIF(INDIRECT(H$3),'Struktur Vorjahr'!$D284,INDIRECT(H$5)))</f>
        <v>0</v>
      </c>
      <c r="I284" s="593">
        <f ca="1">$E284*(-SUMIF(INDIRECT(I$3),'Struktur Vorjahr'!$D284,INDIRECT(I$4))+SUMIF(INDIRECT(I$3),'Struktur Vorjahr'!$D284,INDIRECT(I$5)))</f>
        <v>0</v>
      </c>
      <c r="J284" s="593">
        <f ca="1">$E284*(-SUMIF(INDIRECT(J$3),'Struktur Vorjahr'!$D284,INDIRECT(J$4))+SUMIF(INDIRECT(J$3),'Struktur Vorjahr'!$D284,INDIRECT(J$5)))</f>
        <v>0</v>
      </c>
      <c r="K284" s="593">
        <f ca="1">$E284*(-SUMIF(INDIRECT(K$3),'Struktur Vorjahr'!$D284,INDIRECT(K$4))+SUMIF(INDIRECT(K$3),'Struktur Vorjahr'!$D284,INDIRECT(K$5)))</f>
        <v>0</v>
      </c>
      <c r="L284" s="593">
        <f ca="1">$E284*(-SUMIF(INDIRECT(L$3),'Struktur Vorjahr'!$D284,INDIRECT(L$4))+SUMIF(INDIRECT(L$3),'Struktur Vorjahr'!$D284,INDIRECT(L$5)))</f>
        <v>0</v>
      </c>
      <c r="M284" s="593">
        <f ca="1">$E284*(-SUMIF(INDIRECT(M$3),'Struktur Vorjahr'!$D284,INDIRECT(M$4))+SUMIF(INDIRECT(M$3),'Struktur Vorjahr'!$D284,INDIRECT(M$5)))</f>
        <v>0</v>
      </c>
      <c r="N284" s="593">
        <f ca="1">$E284*(-SUMIF(INDIRECT(N$3),'Struktur Vorjahr'!$D284,INDIRECT(N$4))+SUMIF(INDIRECT(N$3),'Struktur Vorjahr'!$D284,INDIRECT(N$5)))</f>
        <v>0</v>
      </c>
      <c r="O284" s="593">
        <f ca="1">$E284*(-SUMIF(INDIRECT(O$3),'Struktur Vorjahr'!$D284,INDIRECT(O$4))+SUMIF(INDIRECT(O$3),'Struktur Vorjahr'!$D284,INDIRECT(O$5)))</f>
        <v>0</v>
      </c>
      <c r="P284" s="593">
        <f ca="1">$E284*(-SUMIF(INDIRECT(P$3),'Struktur Vorjahr'!$D284,INDIRECT(P$4))+SUMIF(INDIRECT(P$3),'Struktur Vorjahr'!$D284,INDIRECT(P$5)))</f>
        <v>0</v>
      </c>
      <c r="Q284" s="593">
        <f ca="1">$E284*(-SUMIF(INDIRECT(Q$3),'Struktur Vorjahr'!$D284,INDIRECT(Q$4))+SUMIF(INDIRECT(Q$3),'Struktur Vorjahr'!$D284,INDIRECT(Q$5)))</f>
        <v>0</v>
      </c>
      <c r="R284" s="593">
        <f ca="1">$E284*(-SUMIF(INDIRECT(R$3),'Struktur Vorjahr'!$D284,INDIRECT(R$4))+SUMIF(INDIRECT(R$3),'Struktur Vorjahr'!$D284,INDIRECT(R$5)))</f>
        <v>0</v>
      </c>
      <c r="S284" s="593">
        <f ca="1">$E284*(-SUMIF(INDIRECT(S$3),'Struktur Vorjahr'!$D284,INDIRECT(S$4))+SUMIF(INDIRECT(S$3),'Struktur Vorjahr'!$D284,INDIRECT(S$5)))</f>
        <v>0</v>
      </c>
      <c r="T284" s="593">
        <f ca="1">$E284*(-SUMIF(INDIRECT(T$3),'Struktur Vorjahr'!$D284,INDIRECT(T$4))+SUMIF(INDIRECT(T$3),'Struktur Vorjahr'!$D284,INDIRECT(T$5)))</f>
        <v>0</v>
      </c>
      <c r="U284" s="593">
        <f ca="1">$E284*(-SUMIF(INDIRECT(U$3),'Struktur Vorjahr'!$D284,INDIRECT(U$4))+SUMIF(INDIRECT(U$3),'Struktur Vorjahr'!$D284,INDIRECT(U$5)))</f>
        <v>0</v>
      </c>
      <c r="V284" s="593">
        <f ca="1">$E284*(-SUMIF(INDIRECT(V$3),'Struktur Vorjahr'!$D284,INDIRECT(V$4))+SUMIF(INDIRECT(V$3),'Struktur Vorjahr'!$D284,INDIRECT(V$5)))</f>
        <v>0</v>
      </c>
      <c r="W284" s="593">
        <f ca="1">$E284*(-SUMIF(INDIRECT(W$3),'Struktur Vorjahr'!$D284,INDIRECT(W$4))+SUMIF(INDIRECT(W$3),'Struktur Vorjahr'!$D284,INDIRECT(W$5)))</f>
        <v>0</v>
      </c>
      <c r="X284" s="593">
        <f ca="1">$E284*(-SUMIF(INDIRECT(X$3),'Struktur Vorjahr'!$D284,INDIRECT(X$4))+SUMIF(INDIRECT(X$3),'Struktur Vorjahr'!$D284,INDIRECT(X$5)))</f>
        <v>0</v>
      </c>
      <c r="Y284" s="593">
        <f ca="1">$E284*(-SUMIF(INDIRECT(Y$3),'Struktur Vorjahr'!$D284,INDIRECT(Y$4))+SUMIF(INDIRECT(Y$3),'Struktur Vorjahr'!$D284,INDIRECT(Y$5)))</f>
        <v>0</v>
      </c>
      <c r="Z284" s="593">
        <f ca="1">$E284*(-SUMIF(INDIRECT(Z$3),'Struktur Vorjahr'!$D284,INDIRECT(Z$4))+SUMIF(INDIRECT(Z$3),'Struktur Vorjahr'!$D284,INDIRECT(Z$5)))</f>
        <v>0</v>
      </c>
      <c r="AA284" s="593">
        <f ca="1">$E284*(-SUMIF(INDIRECT(AA$3),'Struktur Vorjahr'!$D284,INDIRECT(AA$4))+SUMIF(INDIRECT(AA$3),'Struktur Vorjahr'!$D284,INDIRECT(AA$5)))</f>
        <v>0</v>
      </c>
      <c r="AB284" s="593">
        <f ca="1">$E284*(-SUMIF(INDIRECT(AB$3),'Struktur Vorjahr'!$D284,INDIRECT(AB$4))+SUMIF(INDIRECT(AB$3),'Struktur Vorjahr'!$D284,INDIRECT(AB$5)))</f>
        <v>0</v>
      </c>
      <c r="AC284" s="593">
        <f ca="1">$E284*(-SUMIF(INDIRECT(AC$3),'Struktur Vorjahr'!$D284,INDIRECT(AC$4))+SUMIF(INDIRECT(AC$3),'Struktur Vorjahr'!$D284,INDIRECT(AC$5)))</f>
        <v>0</v>
      </c>
      <c r="AD284" s="593">
        <f ca="1">$E284*(-SUMIF(INDIRECT(AD$3),'Struktur Vorjahr'!$D284,INDIRECT(AD$4))+SUMIF(INDIRECT(AD$3),'Struktur Vorjahr'!$D284,INDIRECT(AD$5)))</f>
        <v>0</v>
      </c>
      <c r="AE284" s="593">
        <f t="shared" ca="1" si="119"/>
        <v>0</v>
      </c>
      <c r="AF284" s="593">
        <f t="shared" ca="1" si="120"/>
        <v>0</v>
      </c>
      <c r="AG284" s="593">
        <f t="shared" ca="1" si="120"/>
        <v>0</v>
      </c>
      <c r="AH284" s="593">
        <f t="shared" ca="1" si="120"/>
        <v>0</v>
      </c>
      <c r="AI284" s="593">
        <f t="shared" ca="1" si="120"/>
        <v>0</v>
      </c>
      <c r="AJ284" s="593">
        <f t="shared" ca="1" si="120"/>
        <v>0</v>
      </c>
      <c r="AK284" s="593">
        <f t="shared" ca="1" si="120"/>
        <v>0</v>
      </c>
      <c r="AL284" s="593">
        <f t="shared" ca="1" si="120"/>
        <v>0</v>
      </c>
      <c r="AM284" s="593">
        <f t="shared" ca="1" si="120"/>
        <v>0</v>
      </c>
      <c r="AN284" s="593">
        <f t="shared" ca="1" si="120"/>
        <v>0</v>
      </c>
      <c r="AO284" s="593">
        <f t="shared" ca="1" si="120"/>
        <v>0</v>
      </c>
      <c r="AP284" s="593">
        <f t="shared" ca="1" si="120"/>
        <v>0</v>
      </c>
    </row>
    <row r="285" spans="1:42" s="594" customFormat="1" ht="11.25" outlineLevel="1" x14ac:dyDescent="0.2">
      <c r="A285" s="590"/>
      <c r="B285" s="591" t="str">
        <f>IF(D285&lt;&gt;"",
IF(ISERROR(MATCH(D285,'Ist Vorjahr Monat 01'!A:A,0))=FALSE,INDEX('Ist Vorjahr Monat 01'!B:B,MATCH(D285,'Ist Vorjahr Monat 01'!A:A,0)),
IF(ISERROR(MATCH(D285,'Ist Vorjahr Monat 02'!A:A,0))=FALSE,INDEX('Ist Vorjahr Monat 02'!B:B,MATCH(D285,'Ist Vorjahr Monat 02'!A:A,0)),
IF(ISERROR(MATCH(D285,'Ist Vorjahr Monat 03'!A:A,0))=FALSE,INDEX('Ist Vorjahr Monat 03'!B:B,MATCH(D285,'Ist Vorjahr Monat 03'!A:A,0)),
IF(ISERROR(MATCH(D285,'Ist Vorjahr Monat 04'!A:A,0))=FALSE,INDEX('Ist Vorjahr Monat 04'!B:B,MATCH(D285,'Ist Vorjahr Monat 04'!A:A,0)),
IF(ISERROR(MATCH(D285,'Ist Vorjahr Monat 05'!A:A,0))=FALSE,INDEX('Ist Vorjahr Monat 05'!B:B,MATCH(D285,'Ist Vorjahr Monat 05'!A:A,0)),
IF(ISERROR(MATCH(D285,'Ist Vorjahr Monat 06'!A:A,0))=FALSE,INDEX('Ist Vorjahr Monat 06'!B:B,MATCH(D285,'Ist Vorjahr Monat 06'!A:A,0)),
IF(ISERROR(MATCH(D285,'Ist Vorjahr Monat 07'!A:A,0))=FALSE,INDEX('Ist Vorjahr Monat 07'!B:B,MATCH(D285,'Ist Vorjahr Monat 07'!A:A,0)),
IF(ISERROR(MATCH(D285,'Ist Vorjahr Monat 08'!A:A,0))=FALSE,INDEX('Ist Vorjahr Monat 08'!B:B,MATCH(D285,'Ist Vorjahr Monat 08'!A:A,0)),
IF(ISERROR(MATCH(D285,'Ist Vorjahr Monat 09'!A:A,0))=FALSE,INDEX('Ist Vorjahr Monat 09'!B:B,MATCH(D285,'Ist Vorjahr Monat 09'!A:A,0)),
IF(ISERROR(MATCH(D285,'Ist Vorjahr Monat 10'!A:A,0))=FALSE,INDEX('Ist Vorjahr Monat 10'!B:B,MATCH(D285,'Ist Vorjahr Monat 10'!A:A,0)),
IF(ISERROR(MATCH(D285,'Ist Vorjahr Monat 11'!A:A,0))=FALSE,INDEX('Ist Vorjahr Monat 11'!B:B,MATCH(D285,'Ist Vorjahr Monat 11'!A:A,0)),
IF(ISERROR(MATCH(D285,'Ist Vorjahr Monat 12'!A:A,0))=FALSE,INDEX('Ist Vorjahr Monat 12'!B:B,MATCH(D285,'Ist Vorjahr Monat 12'!A:A,0)),
"{Konto unbekannt}"
)))))))))))),"")</f>
        <v/>
      </c>
      <c r="C285" s="591"/>
      <c r="D285" s="590"/>
      <c r="E285" s="592">
        <f t="shared" si="121"/>
        <v>1</v>
      </c>
      <c r="F285" s="590"/>
      <c r="G285" s="593">
        <f ca="1">$E285*(-SUMIF(INDIRECT(G$3),'Struktur Vorjahr'!$D285,INDIRECT(G$4))+SUMIF(INDIRECT(G$3),'Struktur Vorjahr'!$D285,INDIRECT(G$5)))</f>
        <v>0</v>
      </c>
      <c r="H285" s="593">
        <f ca="1">$E285*(-SUMIF(INDIRECT(H$3),'Struktur Vorjahr'!$D285,INDIRECT(H$4))+SUMIF(INDIRECT(H$3),'Struktur Vorjahr'!$D285,INDIRECT(H$5)))</f>
        <v>0</v>
      </c>
      <c r="I285" s="593">
        <f ca="1">$E285*(-SUMIF(INDIRECT(I$3),'Struktur Vorjahr'!$D285,INDIRECT(I$4))+SUMIF(INDIRECT(I$3),'Struktur Vorjahr'!$D285,INDIRECT(I$5)))</f>
        <v>0</v>
      </c>
      <c r="J285" s="593">
        <f ca="1">$E285*(-SUMIF(INDIRECT(J$3),'Struktur Vorjahr'!$D285,INDIRECT(J$4))+SUMIF(INDIRECT(J$3),'Struktur Vorjahr'!$D285,INDIRECT(J$5)))</f>
        <v>0</v>
      </c>
      <c r="K285" s="593">
        <f ca="1">$E285*(-SUMIF(INDIRECT(K$3),'Struktur Vorjahr'!$D285,INDIRECT(K$4))+SUMIF(INDIRECT(K$3),'Struktur Vorjahr'!$D285,INDIRECT(K$5)))</f>
        <v>0</v>
      </c>
      <c r="L285" s="593">
        <f ca="1">$E285*(-SUMIF(INDIRECT(L$3),'Struktur Vorjahr'!$D285,INDIRECT(L$4))+SUMIF(INDIRECT(L$3),'Struktur Vorjahr'!$D285,INDIRECT(L$5)))</f>
        <v>0</v>
      </c>
      <c r="M285" s="593">
        <f ca="1">$E285*(-SUMIF(INDIRECT(M$3),'Struktur Vorjahr'!$D285,INDIRECT(M$4))+SUMIF(INDIRECT(M$3),'Struktur Vorjahr'!$D285,INDIRECT(M$5)))</f>
        <v>0</v>
      </c>
      <c r="N285" s="593">
        <f ca="1">$E285*(-SUMIF(INDIRECT(N$3),'Struktur Vorjahr'!$D285,INDIRECT(N$4))+SUMIF(INDIRECT(N$3),'Struktur Vorjahr'!$D285,INDIRECT(N$5)))</f>
        <v>0</v>
      </c>
      <c r="O285" s="593">
        <f ca="1">$E285*(-SUMIF(INDIRECT(O$3),'Struktur Vorjahr'!$D285,INDIRECT(O$4))+SUMIF(INDIRECT(O$3),'Struktur Vorjahr'!$D285,INDIRECT(O$5)))</f>
        <v>0</v>
      </c>
      <c r="P285" s="593">
        <f ca="1">$E285*(-SUMIF(INDIRECT(P$3),'Struktur Vorjahr'!$D285,INDIRECT(P$4))+SUMIF(INDIRECT(P$3),'Struktur Vorjahr'!$D285,INDIRECT(P$5)))</f>
        <v>0</v>
      </c>
      <c r="Q285" s="593">
        <f ca="1">$E285*(-SUMIF(INDIRECT(Q$3),'Struktur Vorjahr'!$D285,INDIRECT(Q$4))+SUMIF(INDIRECT(Q$3),'Struktur Vorjahr'!$D285,INDIRECT(Q$5)))</f>
        <v>0</v>
      </c>
      <c r="R285" s="593">
        <f ca="1">$E285*(-SUMIF(INDIRECT(R$3),'Struktur Vorjahr'!$D285,INDIRECT(R$4))+SUMIF(INDIRECT(R$3),'Struktur Vorjahr'!$D285,INDIRECT(R$5)))</f>
        <v>0</v>
      </c>
      <c r="S285" s="593">
        <f ca="1">$E285*(-SUMIF(INDIRECT(S$3),'Struktur Vorjahr'!$D285,INDIRECT(S$4))+SUMIF(INDIRECT(S$3),'Struktur Vorjahr'!$D285,INDIRECT(S$5)))</f>
        <v>0</v>
      </c>
      <c r="T285" s="593">
        <f ca="1">$E285*(-SUMIF(INDIRECT(T$3),'Struktur Vorjahr'!$D285,INDIRECT(T$4))+SUMIF(INDIRECT(T$3),'Struktur Vorjahr'!$D285,INDIRECT(T$5)))</f>
        <v>0</v>
      </c>
      <c r="U285" s="593">
        <f ca="1">$E285*(-SUMIF(INDIRECT(U$3),'Struktur Vorjahr'!$D285,INDIRECT(U$4))+SUMIF(INDIRECT(U$3),'Struktur Vorjahr'!$D285,INDIRECT(U$5)))</f>
        <v>0</v>
      </c>
      <c r="V285" s="593">
        <f ca="1">$E285*(-SUMIF(INDIRECT(V$3),'Struktur Vorjahr'!$D285,INDIRECT(V$4))+SUMIF(INDIRECT(V$3),'Struktur Vorjahr'!$D285,INDIRECT(V$5)))</f>
        <v>0</v>
      </c>
      <c r="W285" s="593">
        <f ca="1">$E285*(-SUMIF(INDIRECT(W$3),'Struktur Vorjahr'!$D285,INDIRECT(W$4))+SUMIF(INDIRECT(W$3),'Struktur Vorjahr'!$D285,INDIRECT(W$5)))</f>
        <v>0</v>
      </c>
      <c r="X285" s="593">
        <f ca="1">$E285*(-SUMIF(INDIRECT(X$3),'Struktur Vorjahr'!$D285,INDIRECT(X$4))+SUMIF(INDIRECT(X$3),'Struktur Vorjahr'!$D285,INDIRECT(X$5)))</f>
        <v>0</v>
      </c>
      <c r="Y285" s="593">
        <f ca="1">$E285*(-SUMIF(INDIRECT(Y$3),'Struktur Vorjahr'!$D285,INDIRECT(Y$4))+SUMIF(INDIRECT(Y$3),'Struktur Vorjahr'!$D285,INDIRECT(Y$5)))</f>
        <v>0</v>
      </c>
      <c r="Z285" s="593">
        <f ca="1">$E285*(-SUMIF(INDIRECT(Z$3),'Struktur Vorjahr'!$D285,INDIRECT(Z$4))+SUMIF(INDIRECT(Z$3),'Struktur Vorjahr'!$D285,INDIRECT(Z$5)))</f>
        <v>0</v>
      </c>
      <c r="AA285" s="593">
        <f ca="1">$E285*(-SUMIF(INDIRECT(AA$3),'Struktur Vorjahr'!$D285,INDIRECT(AA$4))+SUMIF(INDIRECT(AA$3),'Struktur Vorjahr'!$D285,INDIRECT(AA$5)))</f>
        <v>0</v>
      </c>
      <c r="AB285" s="593">
        <f ca="1">$E285*(-SUMIF(INDIRECT(AB$3),'Struktur Vorjahr'!$D285,INDIRECT(AB$4))+SUMIF(INDIRECT(AB$3),'Struktur Vorjahr'!$D285,INDIRECT(AB$5)))</f>
        <v>0</v>
      </c>
      <c r="AC285" s="593">
        <f ca="1">$E285*(-SUMIF(INDIRECT(AC$3),'Struktur Vorjahr'!$D285,INDIRECT(AC$4))+SUMIF(INDIRECT(AC$3),'Struktur Vorjahr'!$D285,INDIRECT(AC$5)))</f>
        <v>0</v>
      </c>
      <c r="AD285" s="593">
        <f ca="1">$E285*(-SUMIF(INDIRECT(AD$3),'Struktur Vorjahr'!$D285,INDIRECT(AD$4))+SUMIF(INDIRECT(AD$3),'Struktur Vorjahr'!$D285,INDIRECT(AD$5)))</f>
        <v>0</v>
      </c>
      <c r="AE285" s="593">
        <f t="shared" ca="1" si="119"/>
        <v>0</v>
      </c>
      <c r="AF285" s="593">
        <f t="shared" ca="1" si="120"/>
        <v>0</v>
      </c>
      <c r="AG285" s="593">
        <f t="shared" ca="1" si="120"/>
        <v>0</v>
      </c>
      <c r="AH285" s="593">
        <f t="shared" ca="1" si="120"/>
        <v>0</v>
      </c>
      <c r="AI285" s="593">
        <f t="shared" ca="1" si="120"/>
        <v>0</v>
      </c>
      <c r="AJ285" s="593">
        <f t="shared" ca="1" si="120"/>
        <v>0</v>
      </c>
      <c r="AK285" s="593">
        <f t="shared" ca="1" si="120"/>
        <v>0</v>
      </c>
      <c r="AL285" s="593">
        <f t="shared" ca="1" si="120"/>
        <v>0</v>
      </c>
      <c r="AM285" s="593">
        <f t="shared" ca="1" si="120"/>
        <v>0</v>
      </c>
      <c r="AN285" s="593">
        <f t="shared" ca="1" si="120"/>
        <v>0</v>
      </c>
      <c r="AO285" s="593">
        <f t="shared" ca="1" si="120"/>
        <v>0</v>
      </c>
      <c r="AP285" s="593">
        <f t="shared" ca="1" si="120"/>
        <v>0</v>
      </c>
    </row>
    <row r="286" spans="1:42" s="589" customFormat="1" x14ac:dyDescent="0.2">
      <c r="A286" s="585">
        <v>25</v>
      </c>
      <c r="B286" s="586" t="s">
        <v>371</v>
      </c>
      <c r="C286" s="587">
        <f ca="1">SUM(G286:R286)</f>
        <v>2998.7599999999998</v>
      </c>
      <c r="D286" s="587"/>
      <c r="E286" s="588">
        <f t="shared" si="121"/>
        <v>1</v>
      </c>
      <c r="F286" s="585"/>
      <c r="G286" s="587">
        <f t="shared" ref="G286:AP286" ca="1" si="122">SUM(G287:G292)</f>
        <v>91.22</v>
      </c>
      <c r="H286" s="587">
        <f t="shared" ca="1" si="122"/>
        <v>71.87</v>
      </c>
      <c r="I286" s="587">
        <f t="shared" ca="1" si="122"/>
        <v>1077.5999999999999</v>
      </c>
      <c r="J286" s="587">
        <f t="shared" ca="1" si="122"/>
        <v>353.57</v>
      </c>
      <c r="K286" s="587">
        <f t="shared" ca="1" si="122"/>
        <v>44.89</v>
      </c>
      <c r="L286" s="587">
        <f t="shared" ca="1" si="122"/>
        <v>782.72</v>
      </c>
      <c r="M286" s="587">
        <f t="shared" ca="1" si="122"/>
        <v>344.44</v>
      </c>
      <c r="N286" s="587">
        <f t="shared" ca="1" si="122"/>
        <v>63.34</v>
      </c>
      <c r="O286" s="587">
        <f t="shared" ca="1" si="122"/>
        <v>58.24</v>
      </c>
      <c r="P286" s="587">
        <f t="shared" ca="1" si="122"/>
        <v>110.87</v>
      </c>
      <c r="Q286" s="587">
        <f t="shared" ca="1" si="122"/>
        <v>0</v>
      </c>
      <c r="R286" s="587">
        <f t="shared" ca="1" si="122"/>
        <v>0</v>
      </c>
      <c r="S286" s="587">
        <f t="shared" ca="1" si="122"/>
        <v>91.22</v>
      </c>
      <c r="T286" s="587">
        <f t="shared" ca="1" si="122"/>
        <v>163.09</v>
      </c>
      <c r="U286" s="587">
        <f t="shared" ca="1" si="122"/>
        <v>1240.69</v>
      </c>
      <c r="V286" s="587">
        <f t="shared" ca="1" si="122"/>
        <v>1594.26</v>
      </c>
      <c r="W286" s="587">
        <f t="shared" ca="1" si="122"/>
        <v>1639.15</v>
      </c>
      <c r="X286" s="587">
        <f t="shared" ca="1" si="122"/>
        <v>2421.87</v>
      </c>
      <c r="Y286" s="587">
        <f t="shared" ca="1" si="122"/>
        <v>2766.31</v>
      </c>
      <c r="Z286" s="587">
        <f t="shared" ca="1" si="122"/>
        <v>2829.65</v>
      </c>
      <c r="AA286" s="587">
        <f t="shared" ca="1" si="122"/>
        <v>2887.89</v>
      </c>
      <c r="AB286" s="587">
        <f t="shared" ca="1" si="122"/>
        <v>2998.76</v>
      </c>
      <c r="AC286" s="587">
        <f t="shared" ca="1" si="122"/>
        <v>0</v>
      </c>
      <c r="AD286" s="587">
        <f t="shared" ca="1" si="122"/>
        <v>0</v>
      </c>
      <c r="AE286" s="587">
        <f t="shared" ca="1" si="122"/>
        <v>91.22</v>
      </c>
      <c r="AF286" s="587">
        <f t="shared" ca="1" si="122"/>
        <v>163.09</v>
      </c>
      <c r="AG286" s="587">
        <f t="shared" ca="1" si="122"/>
        <v>1240.69</v>
      </c>
      <c r="AH286" s="587">
        <f t="shared" ca="1" si="122"/>
        <v>1594.2600000000002</v>
      </c>
      <c r="AI286" s="587">
        <f t="shared" ca="1" si="122"/>
        <v>1639.15</v>
      </c>
      <c r="AJ286" s="587">
        <f t="shared" ca="1" si="122"/>
        <v>2421.87</v>
      </c>
      <c r="AK286" s="587">
        <f t="shared" ca="1" si="122"/>
        <v>2766.31</v>
      </c>
      <c r="AL286" s="587">
        <f t="shared" ca="1" si="122"/>
        <v>2829.65</v>
      </c>
      <c r="AM286" s="587">
        <f t="shared" ca="1" si="122"/>
        <v>2887.89</v>
      </c>
      <c r="AN286" s="587">
        <f t="shared" ca="1" si="122"/>
        <v>2998.76</v>
      </c>
      <c r="AO286" s="587">
        <f t="shared" ca="1" si="122"/>
        <v>2998.76</v>
      </c>
      <c r="AP286" s="587">
        <f t="shared" ca="1" si="122"/>
        <v>2998.76</v>
      </c>
    </row>
    <row r="287" spans="1:42" s="594" customFormat="1" ht="11.25" outlineLevel="1" x14ac:dyDescent="0.2">
      <c r="A287" s="590"/>
      <c r="B287" s="591" t="str">
        <f>IF(D287&lt;&gt;"",
IF(ISERROR(MATCH(D287,'Ist Vorjahr Monat 01'!A:A,0))=FALSE,INDEX('Ist Vorjahr Monat 01'!B:B,MATCH(D287,'Ist Vorjahr Monat 01'!A:A,0)),
IF(ISERROR(MATCH(D287,'Ist Vorjahr Monat 02'!A:A,0))=FALSE,INDEX('Ist Vorjahr Monat 02'!B:B,MATCH(D287,'Ist Vorjahr Monat 02'!A:A,0)),
IF(ISERROR(MATCH(D287,'Ist Vorjahr Monat 03'!A:A,0))=FALSE,INDEX('Ist Vorjahr Monat 03'!B:B,MATCH(D287,'Ist Vorjahr Monat 03'!A:A,0)),
IF(ISERROR(MATCH(D287,'Ist Vorjahr Monat 04'!A:A,0))=FALSE,INDEX('Ist Vorjahr Monat 04'!B:B,MATCH(D287,'Ist Vorjahr Monat 04'!A:A,0)),
IF(ISERROR(MATCH(D287,'Ist Vorjahr Monat 05'!A:A,0))=FALSE,INDEX('Ist Vorjahr Monat 05'!B:B,MATCH(D287,'Ist Vorjahr Monat 05'!A:A,0)),
IF(ISERROR(MATCH(D287,'Ist Vorjahr Monat 06'!A:A,0))=FALSE,INDEX('Ist Vorjahr Monat 06'!B:B,MATCH(D287,'Ist Vorjahr Monat 06'!A:A,0)),
IF(ISERROR(MATCH(D287,'Ist Vorjahr Monat 07'!A:A,0))=FALSE,INDEX('Ist Vorjahr Monat 07'!B:B,MATCH(D287,'Ist Vorjahr Monat 07'!A:A,0)),
IF(ISERROR(MATCH(D287,'Ist Vorjahr Monat 08'!A:A,0))=FALSE,INDEX('Ist Vorjahr Monat 08'!B:B,MATCH(D287,'Ist Vorjahr Monat 08'!A:A,0)),
IF(ISERROR(MATCH(D287,'Ist Vorjahr Monat 09'!A:A,0))=FALSE,INDEX('Ist Vorjahr Monat 09'!B:B,MATCH(D287,'Ist Vorjahr Monat 09'!A:A,0)),
IF(ISERROR(MATCH(D287,'Ist Vorjahr Monat 10'!A:A,0))=FALSE,INDEX('Ist Vorjahr Monat 10'!B:B,MATCH(D287,'Ist Vorjahr Monat 10'!A:A,0)),
IF(ISERROR(MATCH(D287,'Ist Vorjahr Monat 11'!A:A,0))=FALSE,INDEX('Ist Vorjahr Monat 11'!B:B,MATCH(D287,'Ist Vorjahr Monat 11'!A:A,0)),
IF(ISERROR(MATCH(D287,'Ist Vorjahr Monat 12'!A:A,0))=FALSE,INDEX('Ist Vorjahr Monat 12'!B:B,MATCH(D287,'Ist Vorjahr Monat 12'!A:A,0)),
"{Konto unbekannt}"
)))))))))))),"")</f>
        <v>Reparatur/Instandh. Betriebs- u. Gesch.</v>
      </c>
      <c r="C287" s="591"/>
      <c r="D287" s="590">
        <v>4805</v>
      </c>
      <c r="E287" s="592">
        <f t="shared" si="121"/>
        <v>1</v>
      </c>
      <c r="F287" s="590"/>
      <c r="G287" s="593">
        <f ca="1">$E287*(-SUMIF(INDIRECT(G$3),'Struktur Vorjahr'!$D287,INDIRECT(G$4))+SUMIF(INDIRECT(G$3),'Struktur Vorjahr'!$D287,INDIRECT(G$5)))</f>
        <v>0</v>
      </c>
      <c r="H287" s="593">
        <f ca="1">$E287*(-SUMIF(INDIRECT(H$3),'Struktur Vorjahr'!$D287,INDIRECT(H$4))+SUMIF(INDIRECT(H$3),'Struktur Vorjahr'!$D287,INDIRECT(H$5)))</f>
        <v>16.78</v>
      </c>
      <c r="I287" s="593">
        <f ca="1">$E287*(-SUMIF(INDIRECT(I$3),'Struktur Vorjahr'!$D287,INDIRECT(I$4))+SUMIF(INDIRECT(I$3),'Struktur Vorjahr'!$D287,INDIRECT(I$5)))</f>
        <v>76.7</v>
      </c>
      <c r="J287" s="593">
        <f ca="1">$E287*(-SUMIF(INDIRECT(J$3),'Struktur Vorjahr'!$D287,INDIRECT(J$4))+SUMIF(INDIRECT(J$3),'Struktur Vorjahr'!$D287,INDIRECT(J$5)))</f>
        <v>0</v>
      </c>
      <c r="K287" s="593">
        <f ca="1">$E287*(-SUMIF(INDIRECT(K$3),'Struktur Vorjahr'!$D287,INDIRECT(K$4))+SUMIF(INDIRECT(K$3),'Struktur Vorjahr'!$D287,INDIRECT(K$5)))</f>
        <v>0</v>
      </c>
      <c r="L287" s="593">
        <f ca="1">$E287*(-SUMIF(INDIRECT(L$3),'Struktur Vorjahr'!$D287,INDIRECT(L$4))+SUMIF(INDIRECT(L$3),'Struktur Vorjahr'!$D287,INDIRECT(L$5)))</f>
        <v>0</v>
      </c>
      <c r="M287" s="593">
        <f ca="1">$E287*(-SUMIF(INDIRECT(M$3),'Struktur Vorjahr'!$D287,INDIRECT(M$4))+SUMIF(INDIRECT(M$3),'Struktur Vorjahr'!$D287,INDIRECT(M$5)))</f>
        <v>0</v>
      </c>
      <c r="N287" s="593">
        <f ca="1">$E287*(-SUMIF(INDIRECT(N$3),'Struktur Vorjahr'!$D287,INDIRECT(N$4))+SUMIF(INDIRECT(N$3),'Struktur Vorjahr'!$D287,INDIRECT(N$5)))</f>
        <v>0</v>
      </c>
      <c r="O287" s="593">
        <f ca="1">$E287*(-SUMIF(INDIRECT(O$3),'Struktur Vorjahr'!$D287,INDIRECT(O$4))+SUMIF(INDIRECT(O$3),'Struktur Vorjahr'!$D287,INDIRECT(O$5)))</f>
        <v>0</v>
      </c>
      <c r="P287" s="593">
        <f ca="1">$E287*(-SUMIF(INDIRECT(P$3),'Struktur Vorjahr'!$D287,INDIRECT(P$4))+SUMIF(INDIRECT(P$3),'Struktur Vorjahr'!$D287,INDIRECT(P$5)))</f>
        <v>0</v>
      </c>
      <c r="Q287" s="593">
        <f ca="1">$E287*(-SUMIF(INDIRECT(Q$3),'Struktur Vorjahr'!$D287,INDIRECT(Q$4))+SUMIF(INDIRECT(Q$3),'Struktur Vorjahr'!$D287,INDIRECT(Q$5)))</f>
        <v>0</v>
      </c>
      <c r="R287" s="593">
        <f ca="1">$E287*(-SUMIF(INDIRECT(R$3),'Struktur Vorjahr'!$D287,INDIRECT(R$4))+SUMIF(INDIRECT(R$3),'Struktur Vorjahr'!$D287,INDIRECT(R$5)))</f>
        <v>0</v>
      </c>
      <c r="S287" s="593">
        <f ca="1">$E287*(-SUMIF(INDIRECT(S$3),'Struktur Vorjahr'!$D287,INDIRECT(S$4))+SUMIF(INDIRECT(S$3),'Struktur Vorjahr'!$D287,INDIRECT(S$5)))</f>
        <v>0</v>
      </c>
      <c r="T287" s="593">
        <f ca="1">$E287*(-SUMIF(INDIRECT(T$3),'Struktur Vorjahr'!$D287,INDIRECT(T$4))+SUMIF(INDIRECT(T$3),'Struktur Vorjahr'!$D287,INDIRECT(T$5)))</f>
        <v>16.78</v>
      </c>
      <c r="U287" s="593">
        <f ca="1">$E287*(-SUMIF(INDIRECT(U$3),'Struktur Vorjahr'!$D287,INDIRECT(U$4))+SUMIF(INDIRECT(U$3),'Struktur Vorjahr'!$D287,INDIRECT(U$5)))</f>
        <v>93.48</v>
      </c>
      <c r="V287" s="593">
        <f ca="1">$E287*(-SUMIF(INDIRECT(V$3),'Struktur Vorjahr'!$D287,INDIRECT(V$4))+SUMIF(INDIRECT(V$3),'Struktur Vorjahr'!$D287,INDIRECT(V$5)))</f>
        <v>93.48</v>
      </c>
      <c r="W287" s="593">
        <f ca="1">$E287*(-SUMIF(INDIRECT(W$3),'Struktur Vorjahr'!$D287,INDIRECT(W$4))+SUMIF(INDIRECT(W$3),'Struktur Vorjahr'!$D287,INDIRECT(W$5)))</f>
        <v>93.48</v>
      </c>
      <c r="X287" s="593">
        <f ca="1">$E287*(-SUMIF(INDIRECT(X$3),'Struktur Vorjahr'!$D287,INDIRECT(X$4))+SUMIF(INDIRECT(X$3),'Struktur Vorjahr'!$D287,INDIRECT(X$5)))</f>
        <v>93.48</v>
      </c>
      <c r="Y287" s="593">
        <f ca="1">$E287*(-SUMIF(INDIRECT(Y$3),'Struktur Vorjahr'!$D287,INDIRECT(Y$4))+SUMIF(INDIRECT(Y$3),'Struktur Vorjahr'!$D287,INDIRECT(Y$5)))</f>
        <v>93.48</v>
      </c>
      <c r="Z287" s="593">
        <f ca="1">$E287*(-SUMIF(INDIRECT(Z$3),'Struktur Vorjahr'!$D287,INDIRECT(Z$4))+SUMIF(INDIRECT(Z$3),'Struktur Vorjahr'!$D287,INDIRECT(Z$5)))</f>
        <v>93.48</v>
      </c>
      <c r="AA287" s="593">
        <f ca="1">$E287*(-SUMIF(INDIRECT(AA$3),'Struktur Vorjahr'!$D287,INDIRECT(AA$4))+SUMIF(INDIRECT(AA$3),'Struktur Vorjahr'!$D287,INDIRECT(AA$5)))</f>
        <v>93.48</v>
      </c>
      <c r="AB287" s="593">
        <f ca="1">$E287*(-SUMIF(INDIRECT(AB$3),'Struktur Vorjahr'!$D287,INDIRECT(AB$4))+SUMIF(INDIRECT(AB$3),'Struktur Vorjahr'!$D287,INDIRECT(AB$5)))</f>
        <v>93.48</v>
      </c>
      <c r="AC287" s="593">
        <f ca="1">$E287*(-SUMIF(INDIRECT(AC$3),'Struktur Vorjahr'!$D287,INDIRECT(AC$4))+SUMIF(INDIRECT(AC$3),'Struktur Vorjahr'!$D287,INDIRECT(AC$5)))</f>
        <v>0</v>
      </c>
      <c r="AD287" s="593">
        <f ca="1">$E287*(-SUMIF(INDIRECT(AD$3),'Struktur Vorjahr'!$D287,INDIRECT(AD$4))+SUMIF(INDIRECT(AD$3),'Struktur Vorjahr'!$D287,INDIRECT(AD$5)))</f>
        <v>0</v>
      </c>
      <c r="AE287" s="593">
        <f t="shared" ref="AE287:AE292" ca="1" si="123">G287</f>
        <v>0</v>
      </c>
      <c r="AF287" s="593">
        <f t="shared" ref="AF287:AP292" ca="1" si="124">H287+AE287</f>
        <v>16.78</v>
      </c>
      <c r="AG287" s="593">
        <f t="shared" ca="1" si="124"/>
        <v>93.48</v>
      </c>
      <c r="AH287" s="593">
        <f t="shared" ca="1" si="124"/>
        <v>93.48</v>
      </c>
      <c r="AI287" s="593">
        <f t="shared" ca="1" si="124"/>
        <v>93.48</v>
      </c>
      <c r="AJ287" s="593">
        <f t="shared" ca="1" si="124"/>
        <v>93.48</v>
      </c>
      <c r="AK287" s="593">
        <f t="shared" ca="1" si="124"/>
        <v>93.48</v>
      </c>
      <c r="AL287" s="593">
        <f t="shared" ca="1" si="124"/>
        <v>93.48</v>
      </c>
      <c r="AM287" s="593">
        <f t="shared" ca="1" si="124"/>
        <v>93.48</v>
      </c>
      <c r="AN287" s="593">
        <f t="shared" ca="1" si="124"/>
        <v>93.48</v>
      </c>
      <c r="AO287" s="593">
        <f t="shared" ca="1" si="124"/>
        <v>93.48</v>
      </c>
      <c r="AP287" s="593">
        <f t="shared" ca="1" si="124"/>
        <v>93.48</v>
      </c>
    </row>
    <row r="288" spans="1:42" s="594" customFormat="1" ht="11.25" outlineLevel="1" x14ac:dyDescent="0.2">
      <c r="A288" s="590"/>
      <c r="B288" s="591" t="str">
        <f>IF(D288&lt;&gt;"",
IF(ISERROR(MATCH(D288,'Ist Vorjahr Monat 01'!A:A,0))=FALSE,INDEX('Ist Vorjahr Monat 01'!B:B,MATCH(D288,'Ist Vorjahr Monat 01'!A:A,0)),
IF(ISERROR(MATCH(D288,'Ist Vorjahr Monat 02'!A:A,0))=FALSE,INDEX('Ist Vorjahr Monat 02'!B:B,MATCH(D288,'Ist Vorjahr Monat 02'!A:A,0)),
IF(ISERROR(MATCH(D288,'Ist Vorjahr Monat 03'!A:A,0))=FALSE,INDEX('Ist Vorjahr Monat 03'!B:B,MATCH(D288,'Ist Vorjahr Monat 03'!A:A,0)),
IF(ISERROR(MATCH(D288,'Ist Vorjahr Monat 04'!A:A,0))=FALSE,INDEX('Ist Vorjahr Monat 04'!B:B,MATCH(D288,'Ist Vorjahr Monat 04'!A:A,0)),
IF(ISERROR(MATCH(D288,'Ist Vorjahr Monat 05'!A:A,0))=FALSE,INDEX('Ist Vorjahr Monat 05'!B:B,MATCH(D288,'Ist Vorjahr Monat 05'!A:A,0)),
IF(ISERROR(MATCH(D288,'Ist Vorjahr Monat 06'!A:A,0))=FALSE,INDEX('Ist Vorjahr Monat 06'!B:B,MATCH(D288,'Ist Vorjahr Monat 06'!A:A,0)),
IF(ISERROR(MATCH(D288,'Ist Vorjahr Monat 07'!A:A,0))=FALSE,INDEX('Ist Vorjahr Monat 07'!B:B,MATCH(D288,'Ist Vorjahr Monat 07'!A:A,0)),
IF(ISERROR(MATCH(D288,'Ist Vorjahr Monat 08'!A:A,0))=FALSE,INDEX('Ist Vorjahr Monat 08'!B:B,MATCH(D288,'Ist Vorjahr Monat 08'!A:A,0)),
IF(ISERROR(MATCH(D288,'Ist Vorjahr Monat 09'!A:A,0))=FALSE,INDEX('Ist Vorjahr Monat 09'!B:B,MATCH(D288,'Ist Vorjahr Monat 09'!A:A,0)),
IF(ISERROR(MATCH(D288,'Ist Vorjahr Monat 10'!A:A,0))=FALSE,INDEX('Ist Vorjahr Monat 10'!B:B,MATCH(D288,'Ist Vorjahr Monat 10'!A:A,0)),
IF(ISERROR(MATCH(D288,'Ist Vorjahr Monat 11'!A:A,0))=FALSE,INDEX('Ist Vorjahr Monat 11'!B:B,MATCH(D288,'Ist Vorjahr Monat 11'!A:A,0)),
IF(ISERROR(MATCH(D288,'Ist Vorjahr Monat 12'!A:A,0))=FALSE,INDEX('Ist Vorjahr Monat 12'!B:B,MATCH(D288,'Ist Vorjahr Monat 12'!A:A,0)),
"{Konto unbekannt}"
)))))))))))),"")</f>
        <v>Wartungskosten für Hard- und Software</v>
      </c>
      <c r="C288" s="591"/>
      <c r="D288" s="590">
        <v>4806</v>
      </c>
      <c r="E288" s="592">
        <f t="shared" si="121"/>
        <v>1</v>
      </c>
      <c r="F288" s="590"/>
      <c r="G288" s="593">
        <f ca="1">$E288*(-SUMIF(INDIRECT(G$3),'Struktur Vorjahr'!$D288,INDIRECT(G$4))+SUMIF(INDIRECT(G$3),'Struktur Vorjahr'!$D288,INDIRECT(G$5)))</f>
        <v>55.09</v>
      </c>
      <c r="H288" s="593">
        <f ca="1">$E288*(-SUMIF(INDIRECT(H$3),'Struktur Vorjahr'!$D288,INDIRECT(H$4))+SUMIF(INDIRECT(H$3),'Struktur Vorjahr'!$D288,INDIRECT(H$5)))</f>
        <v>55.09</v>
      </c>
      <c r="I288" s="593">
        <f ca="1">$E288*(-SUMIF(INDIRECT(I$3),'Struktur Vorjahr'!$D288,INDIRECT(I$4))+SUMIF(INDIRECT(I$3),'Struktur Vorjahr'!$D288,INDIRECT(I$5)))</f>
        <v>55.09</v>
      </c>
      <c r="J288" s="593">
        <f ca="1">$E288*(-SUMIF(INDIRECT(J$3),'Struktur Vorjahr'!$D288,INDIRECT(J$4))+SUMIF(INDIRECT(J$3),'Struktur Vorjahr'!$D288,INDIRECT(J$5)))</f>
        <v>304.57</v>
      </c>
      <c r="K288" s="593">
        <f ca="1">$E288*(-SUMIF(INDIRECT(K$3),'Struktur Vorjahr'!$D288,INDIRECT(K$4))+SUMIF(INDIRECT(K$3),'Struktur Vorjahr'!$D288,INDIRECT(K$5)))</f>
        <v>44.89</v>
      </c>
      <c r="L288" s="593">
        <f ca="1">$E288*(-SUMIF(INDIRECT(L$3),'Struktur Vorjahr'!$D288,INDIRECT(L$4))+SUMIF(INDIRECT(L$3),'Struktur Vorjahr'!$D288,INDIRECT(L$5)))</f>
        <v>138.99</v>
      </c>
      <c r="M288" s="593">
        <f ca="1">$E288*(-SUMIF(INDIRECT(M$3),'Struktur Vorjahr'!$D288,INDIRECT(M$4))+SUMIF(INDIRECT(M$3),'Struktur Vorjahr'!$D288,INDIRECT(M$5)))</f>
        <v>97.84</v>
      </c>
      <c r="N288" s="593">
        <f ca="1">$E288*(-SUMIF(INDIRECT(N$3),'Struktur Vorjahr'!$D288,INDIRECT(N$4))+SUMIF(INDIRECT(N$3),'Struktur Vorjahr'!$D288,INDIRECT(N$5)))</f>
        <v>57.89</v>
      </c>
      <c r="O288" s="593">
        <f ca="1">$E288*(-SUMIF(INDIRECT(O$3),'Struktur Vorjahr'!$D288,INDIRECT(O$4))+SUMIF(INDIRECT(O$3),'Struktur Vorjahr'!$D288,INDIRECT(O$5)))</f>
        <v>7.9</v>
      </c>
      <c r="P288" s="593">
        <f ca="1">$E288*(-SUMIF(INDIRECT(P$3),'Struktur Vorjahr'!$D288,INDIRECT(P$4))+SUMIF(INDIRECT(P$3),'Struktur Vorjahr'!$D288,INDIRECT(P$5)))</f>
        <v>110.87</v>
      </c>
      <c r="Q288" s="593">
        <f ca="1">$E288*(-SUMIF(INDIRECT(Q$3),'Struktur Vorjahr'!$D288,INDIRECT(Q$4))+SUMIF(INDIRECT(Q$3),'Struktur Vorjahr'!$D288,INDIRECT(Q$5)))</f>
        <v>0</v>
      </c>
      <c r="R288" s="593">
        <f ca="1">$E288*(-SUMIF(INDIRECT(R$3),'Struktur Vorjahr'!$D288,INDIRECT(R$4))+SUMIF(INDIRECT(R$3),'Struktur Vorjahr'!$D288,INDIRECT(R$5)))</f>
        <v>0</v>
      </c>
      <c r="S288" s="593">
        <f ca="1">$E288*(-SUMIF(INDIRECT(S$3),'Struktur Vorjahr'!$D288,INDIRECT(S$4))+SUMIF(INDIRECT(S$3),'Struktur Vorjahr'!$D288,INDIRECT(S$5)))</f>
        <v>55.09</v>
      </c>
      <c r="T288" s="593">
        <f ca="1">$E288*(-SUMIF(INDIRECT(T$3),'Struktur Vorjahr'!$D288,INDIRECT(T$4))+SUMIF(INDIRECT(T$3),'Struktur Vorjahr'!$D288,INDIRECT(T$5)))</f>
        <v>110.18</v>
      </c>
      <c r="U288" s="593">
        <f ca="1">$E288*(-SUMIF(INDIRECT(U$3),'Struktur Vorjahr'!$D288,INDIRECT(U$4))+SUMIF(INDIRECT(U$3),'Struktur Vorjahr'!$D288,INDIRECT(U$5)))</f>
        <v>165.27</v>
      </c>
      <c r="V288" s="593">
        <f ca="1">$E288*(-SUMIF(INDIRECT(V$3),'Struktur Vorjahr'!$D288,INDIRECT(V$4))+SUMIF(INDIRECT(V$3),'Struktur Vorjahr'!$D288,INDIRECT(V$5)))</f>
        <v>469.84</v>
      </c>
      <c r="W288" s="593">
        <f ca="1">$E288*(-SUMIF(INDIRECT(W$3),'Struktur Vorjahr'!$D288,INDIRECT(W$4))+SUMIF(INDIRECT(W$3),'Struktur Vorjahr'!$D288,INDIRECT(W$5)))</f>
        <v>514.73</v>
      </c>
      <c r="X288" s="593">
        <f ca="1">$E288*(-SUMIF(INDIRECT(X$3),'Struktur Vorjahr'!$D288,INDIRECT(X$4))+SUMIF(INDIRECT(X$3),'Struktur Vorjahr'!$D288,INDIRECT(X$5)))</f>
        <v>653.72</v>
      </c>
      <c r="Y288" s="593">
        <f ca="1">$E288*(-SUMIF(INDIRECT(Y$3),'Struktur Vorjahr'!$D288,INDIRECT(Y$4))+SUMIF(INDIRECT(Y$3),'Struktur Vorjahr'!$D288,INDIRECT(Y$5)))</f>
        <v>751.56</v>
      </c>
      <c r="Z288" s="593">
        <f ca="1">$E288*(-SUMIF(INDIRECT(Z$3),'Struktur Vorjahr'!$D288,INDIRECT(Z$4))+SUMIF(INDIRECT(Z$3),'Struktur Vorjahr'!$D288,INDIRECT(Z$5)))</f>
        <v>809.45</v>
      </c>
      <c r="AA288" s="593">
        <f ca="1">$E288*(-SUMIF(INDIRECT(AA$3),'Struktur Vorjahr'!$D288,INDIRECT(AA$4))+SUMIF(INDIRECT(AA$3),'Struktur Vorjahr'!$D288,INDIRECT(AA$5)))</f>
        <v>817.35</v>
      </c>
      <c r="AB288" s="593">
        <f ca="1">$E288*(-SUMIF(INDIRECT(AB$3),'Struktur Vorjahr'!$D288,INDIRECT(AB$4))+SUMIF(INDIRECT(AB$3),'Struktur Vorjahr'!$D288,INDIRECT(AB$5)))</f>
        <v>928.22</v>
      </c>
      <c r="AC288" s="593">
        <f ca="1">$E288*(-SUMIF(INDIRECT(AC$3),'Struktur Vorjahr'!$D288,INDIRECT(AC$4))+SUMIF(INDIRECT(AC$3),'Struktur Vorjahr'!$D288,INDIRECT(AC$5)))</f>
        <v>0</v>
      </c>
      <c r="AD288" s="593">
        <f ca="1">$E288*(-SUMIF(INDIRECT(AD$3),'Struktur Vorjahr'!$D288,INDIRECT(AD$4))+SUMIF(INDIRECT(AD$3),'Struktur Vorjahr'!$D288,INDIRECT(AD$5)))</f>
        <v>0</v>
      </c>
      <c r="AE288" s="593">
        <f t="shared" ca="1" si="123"/>
        <v>55.09</v>
      </c>
      <c r="AF288" s="593">
        <f t="shared" ca="1" si="124"/>
        <v>110.18</v>
      </c>
      <c r="AG288" s="593">
        <f t="shared" ca="1" si="124"/>
        <v>165.27</v>
      </c>
      <c r="AH288" s="593">
        <f t="shared" ca="1" si="124"/>
        <v>469.84000000000003</v>
      </c>
      <c r="AI288" s="593">
        <f t="shared" ca="1" si="124"/>
        <v>514.73</v>
      </c>
      <c r="AJ288" s="593">
        <f t="shared" ca="1" si="124"/>
        <v>653.72</v>
      </c>
      <c r="AK288" s="593">
        <f t="shared" ca="1" si="124"/>
        <v>751.56000000000006</v>
      </c>
      <c r="AL288" s="593">
        <f t="shared" ca="1" si="124"/>
        <v>809.45</v>
      </c>
      <c r="AM288" s="593">
        <f t="shared" ca="1" si="124"/>
        <v>817.35</v>
      </c>
      <c r="AN288" s="593">
        <f t="shared" ca="1" si="124"/>
        <v>928.22</v>
      </c>
      <c r="AO288" s="593">
        <f t="shared" ca="1" si="124"/>
        <v>928.22</v>
      </c>
      <c r="AP288" s="593">
        <f t="shared" ca="1" si="124"/>
        <v>928.22</v>
      </c>
    </row>
    <row r="289" spans="1:42" s="594" customFormat="1" ht="11.25" outlineLevel="1" x14ac:dyDescent="0.2">
      <c r="A289" s="590"/>
      <c r="B289" s="591" t="str">
        <f>IF(D289&lt;&gt;"",
IF(ISERROR(MATCH(D289,'Ist Vorjahr Monat 01'!A:A,0))=FALSE,INDEX('Ist Vorjahr Monat 01'!B:B,MATCH(D289,'Ist Vorjahr Monat 01'!A:A,0)),
IF(ISERROR(MATCH(D289,'Ist Vorjahr Monat 02'!A:A,0))=FALSE,INDEX('Ist Vorjahr Monat 02'!B:B,MATCH(D289,'Ist Vorjahr Monat 02'!A:A,0)),
IF(ISERROR(MATCH(D289,'Ist Vorjahr Monat 03'!A:A,0))=FALSE,INDEX('Ist Vorjahr Monat 03'!B:B,MATCH(D289,'Ist Vorjahr Monat 03'!A:A,0)),
IF(ISERROR(MATCH(D289,'Ist Vorjahr Monat 04'!A:A,0))=FALSE,INDEX('Ist Vorjahr Monat 04'!B:B,MATCH(D289,'Ist Vorjahr Monat 04'!A:A,0)),
IF(ISERROR(MATCH(D289,'Ist Vorjahr Monat 05'!A:A,0))=FALSE,INDEX('Ist Vorjahr Monat 05'!B:B,MATCH(D289,'Ist Vorjahr Monat 05'!A:A,0)),
IF(ISERROR(MATCH(D289,'Ist Vorjahr Monat 06'!A:A,0))=FALSE,INDEX('Ist Vorjahr Monat 06'!B:B,MATCH(D289,'Ist Vorjahr Monat 06'!A:A,0)),
IF(ISERROR(MATCH(D289,'Ist Vorjahr Monat 07'!A:A,0))=FALSE,INDEX('Ist Vorjahr Monat 07'!B:B,MATCH(D289,'Ist Vorjahr Monat 07'!A:A,0)),
IF(ISERROR(MATCH(D289,'Ist Vorjahr Monat 08'!A:A,0))=FALSE,INDEX('Ist Vorjahr Monat 08'!B:B,MATCH(D289,'Ist Vorjahr Monat 08'!A:A,0)),
IF(ISERROR(MATCH(D289,'Ist Vorjahr Monat 09'!A:A,0))=FALSE,INDEX('Ist Vorjahr Monat 09'!B:B,MATCH(D289,'Ist Vorjahr Monat 09'!A:A,0)),
IF(ISERROR(MATCH(D289,'Ist Vorjahr Monat 10'!A:A,0))=FALSE,INDEX('Ist Vorjahr Monat 10'!B:B,MATCH(D289,'Ist Vorjahr Monat 10'!A:A,0)),
IF(ISERROR(MATCH(D289,'Ist Vorjahr Monat 11'!A:A,0))=FALSE,INDEX('Ist Vorjahr Monat 11'!B:B,MATCH(D289,'Ist Vorjahr Monat 11'!A:A,0)),
IF(ISERROR(MATCH(D289,'Ist Vorjahr Monat 12'!A:A,0))=FALSE,INDEX('Ist Vorjahr Monat 12'!B:B,MATCH(D289,'Ist Vorjahr Monat 12'!A:A,0)),
"{Konto unbekannt}"
)))))))))))),"")</f>
        <v xml:space="preserve"> Computerkosten bzw. Zubehör</v>
      </c>
      <c r="C289" s="591"/>
      <c r="D289" s="590">
        <v>4931</v>
      </c>
      <c r="E289" s="592">
        <f>IF(F289="-",-1,1)</f>
        <v>1</v>
      </c>
      <c r="F289" s="590"/>
      <c r="G289" s="593">
        <f ca="1">$E289*(-SUMIF(INDIRECT(G$3),'Struktur Vorjahr'!$D289,INDIRECT(G$4))+SUMIF(INDIRECT(G$3),'Struktur Vorjahr'!$D289,INDIRECT(G$5)))</f>
        <v>36.130000000000003</v>
      </c>
      <c r="H289" s="593">
        <f ca="1">$E289*(-SUMIF(INDIRECT(H$3),'Struktur Vorjahr'!$D289,INDIRECT(H$4))+SUMIF(INDIRECT(H$3),'Struktur Vorjahr'!$D289,INDIRECT(H$5)))</f>
        <v>0</v>
      </c>
      <c r="I289" s="593">
        <f ca="1">$E289*(-SUMIF(INDIRECT(I$3),'Struktur Vorjahr'!$D289,INDIRECT(I$4))+SUMIF(INDIRECT(I$3),'Struktur Vorjahr'!$D289,INDIRECT(I$5)))</f>
        <v>945.81</v>
      </c>
      <c r="J289" s="593">
        <f ca="1">$E289*(-SUMIF(INDIRECT(J$3),'Struktur Vorjahr'!$D289,INDIRECT(J$4))+SUMIF(INDIRECT(J$3),'Struktur Vorjahr'!$D289,INDIRECT(J$5)))</f>
        <v>49</v>
      </c>
      <c r="K289" s="593">
        <f ca="1">$E289*(-SUMIF(INDIRECT(K$3),'Struktur Vorjahr'!$D289,INDIRECT(K$4))+SUMIF(INDIRECT(K$3),'Struktur Vorjahr'!$D289,INDIRECT(K$5)))</f>
        <v>0</v>
      </c>
      <c r="L289" s="593">
        <f ca="1">$E289*(-SUMIF(INDIRECT(L$3),'Struktur Vorjahr'!$D289,INDIRECT(L$4))+SUMIF(INDIRECT(L$3),'Struktur Vorjahr'!$D289,INDIRECT(L$5)))</f>
        <v>643.73</v>
      </c>
      <c r="M289" s="593">
        <f ca="1">$E289*(-SUMIF(INDIRECT(M$3),'Struktur Vorjahr'!$D289,INDIRECT(M$4))+SUMIF(INDIRECT(M$3),'Struktur Vorjahr'!$D289,INDIRECT(M$5)))</f>
        <v>246.6</v>
      </c>
      <c r="N289" s="593">
        <f ca="1">$E289*(-SUMIF(INDIRECT(N$3),'Struktur Vorjahr'!$D289,INDIRECT(N$4))+SUMIF(INDIRECT(N$3),'Struktur Vorjahr'!$D289,INDIRECT(N$5)))</f>
        <v>5.45</v>
      </c>
      <c r="O289" s="593">
        <f ca="1">$E289*(-SUMIF(INDIRECT(O$3),'Struktur Vorjahr'!$D289,INDIRECT(O$4))+SUMIF(INDIRECT(O$3),'Struktur Vorjahr'!$D289,INDIRECT(O$5)))</f>
        <v>50.34</v>
      </c>
      <c r="P289" s="593">
        <f ca="1">$E289*(-SUMIF(INDIRECT(P$3),'Struktur Vorjahr'!$D289,INDIRECT(P$4))+SUMIF(INDIRECT(P$3),'Struktur Vorjahr'!$D289,INDIRECT(P$5)))</f>
        <v>0</v>
      </c>
      <c r="Q289" s="593">
        <f ca="1">$E289*(-SUMIF(INDIRECT(Q$3),'Struktur Vorjahr'!$D289,INDIRECT(Q$4))+SUMIF(INDIRECT(Q$3),'Struktur Vorjahr'!$D289,INDIRECT(Q$5)))</f>
        <v>0</v>
      </c>
      <c r="R289" s="593">
        <f ca="1">$E289*(-SUMIF(INDIRECT(R$3),'Struktur Vorjahr'!$D289,INDIRECT(R$4))+SUMIF(INDIRECT(R$3),'Struktur Vorjahr'!$D289,INDIRECT(R$5)))</f>
        <v>0</v>
      </c>
      <c r="S289" s="593">
        <f ca="1">$E289*(-SUMIF(INDIRECT(S$3),'Struktur Vorjahr'!$D289,INDIRECT(S$4))+SUMIF(INDIRECT(S$3),'Struktur Vorjahr'!$D289,INDIRECT(S$5)))</f>
        <v>36.130000000000003</v>
      </c>
      <c r="T289" s="593">
        <f ca="1">$E289*(-SUMIF(INDIRECT(T$3),'Struktur Vorjahr'!$D289,INDIRECT(T$4))+SUMIF(INDIRECT(T$3),'Struktur Vorjahr'!$D289,INDIRECT(T$5)))</f>
        <v>36.130000000000003</v>
      </c>
      <c r="U289" s="593">
        <f ca="1">$E289*(-SUMIF(INDIRECT(U$3),'Struktur Vorjahr'!$D289,INDIRECT(U$4))+SUMIF(INDIRECT(U$3),'Struktur Vorjahr'!$D289,INDIRECT(U$5)))</f>
        <v>981.94</v>
      </c>
      <c r="V289" s="593">
        <f ca="1">$E289*(-SUMIF(INDIRECT(V$3),'Struktur Vorjahr'!$D289,INDIRECT(V$4))+SUMIF(INDIRECT(V$3),'Struktur Vorjahr'!$D289,INDIRECT(V$5)))</f>
        <v>1030.94</v>
      </c>
      <c r="W289" s="593">
        <f ca="1">$E289*(-SUMIF(INDIRECT(W$3),'Struktur Vorjahr'!$D289,INDIRECT(W$4))+SUMIF(INDIRECT(W$3),'Struktur Vorjahr'!$D289,INDIRECT(W$5)))</f>
        <v>1030.94</v>
      </c>
      <c r="X289" s="593">
        <f ca="1">$E289*(-SUMIF(INDIRECT(X$3),'Struktur Vorjahr'!$D289,INDIRECT(X$4))+SUMIF(INDIRECT(X$3),'Struktur Vorjahr'!$D289,INDIRECT(X$5)))</f>
        <v>1674.67</v>
      </c>
      <c r="Y289" s="593">
        <f ca="1">$E289*(-SUMIF(INDIRECT(Y$3),'Struktur Vorjahr'!$D289,INDIRECT(Y$4))+SUMIF(INDIRECT(Y$3),'Struktur Vorjahr'!$D289,INDIRECT(Y$5)))</f>
        <v>1921.27</v>
      </c>
      <c r="Z289" s="593">
        <f ca="1">$E289*(-SUMIF(INDIRECT(Z$3),'Struktur Vorjahr'!$D289,INDIRECT(Z$4))+SUMIF(INDIRECT(Z$3),'Struktur Vorjahr'!$D289,INDIRECT(Z$5)))</f>
        <v>1926.72</v>
      </c>
      <c r="AA289" s="593">
        <f ca="1">$E289*(-SUMIF(INDIRECT(AA$3),'Struktur Vorjahr'!$D289,INDIRECT(AA$4))+SUMIF(INDIRECT(AA$3),'Struktur Vorjahr'!$D289,INDIRECT(AA$5)))</f>
        <v>1977.06</v>
      </c>
      <c r="AB289" s="593">
        <f ca="1">$E289*(-SUMIF(INDIRECT(AB$3),'Struktur Vorjahr'!$D289,INDIRECT(AB$4))+SUMIF(INDIRECT(AB$3),'Struktur Vorjahr'!$D289,INDIRECT(AB$5)))</f>
        <v>1977.06</v>
      </c>
      <c r="AC289" s="593">
        <f ca="1">$E289*(-SUMIF(INDIRECT(AC$3),'Struktur Vorjahr'!$D289,INDIRECT(AC$4))+SUMIF(INDIRECT(AC$3),'Struktur Vorjahr'!$D289,INDIRECT(AC$5)))</f>
        <v>0</v>
      </c>
      <c r="AD289" s="593">
        <f ca="1">$E289*(-SUMIF(INDIRECT(AD$3),'Struktur Vorjahr'!$D289,INDIRECT(AD$4))+SUMIF(INDIRECT(AD$3),'Struktur Vorjahr'!$D289,INDIRECT(AD$5)))</f>
        <v>0</v>
      </c>
      <c r="AE289" s="593">
        <f t="shared" ca="1" si="123"/>
        <v>36.130000000000003</v>
      </c>
      <c r="AF289" s="593">
        <f t="shared" ca="1" si="124"/>
        <v>36.130000000000003</v>
      </c>
      <c r="AG289" s="593">
        <f t="shared" ca="1" si="124"/>
        <v>981.93999999999994</v>
      </c>
      <c r="AH289" s="593">
        <f t="shared" ca="1" si="124"/>
        <v>1030.94</v>
      </c>
      <c r="AI289" s="593">
        <f t="shared" ca="1" si="124"/>
        <v>1030.94</v>
      </c>
      <c r="AJ289" s="593">
        <f t="shared" ca="1" si="124"/>
        <v>1674.67</v>
      </c>
      <c r="AK289" s="593">
        <f t="shared" ca="1" si="124"/>
        <v>1921.27</v>
      </c>
      <c r="AL289" s="593">
        <f t="shared" ca="1" si="124"/>
        <v>1926.72</v>
      </c>
      <c r="AM289" s="593">
        <f t="shared" ca="1" si="124"/>
        <v>1977.06</v>
      </c>
      <c r="AN289" s="593">
        <f t="shared" ca="1" si="124"/>
        <v>1977.06</v>
      </c>
      <c r="AO289" s="593">
        <f t="shared" ca="1" si="124"/>
        <v>1977.06</v>
      </c>
      <c r="AP289" s="593">
        <f t="shared" ca="1" si="124"/>
        <v>1977.06</v>
      </c>
    </row>
    <row r="290" spans="1:42" s="594" customFormat="1" ht="11.25" outlineLevel="1" x14ac:dyDescent="0.2">
      <c r="A290" s="590"/>
      <c r="B290" s="591" t="str">
        <f>IF(D290&lt;&gt;"",
IF(ISERROR(MATCH(D290,'Ist Vorjahr Monat 01'!A:A,0))=FALSE,INDEX('Ist Vorjahr Monat 01'!B:B,MATCH(D290,'Ist Vorjahr Monat 01'!A:A,0)),
IF(ISERROR(MATCH(D290,'Ist Vorjahr Monat 02'!A:A,0))=FALSE,INDEX('Ist Vorjahr Monat 02'!B:B,MATCH(D290,'Ist Vorjahr Monat 02'!A:A,0)),
IF(ISERROR(MATCH(D290,'Ist Vorjahr Monat 03'!A:A,0))=FALSE,INDEX('Ist Vorjahr Monat 03'!B:B,MATCH(D290,'Ist Vorjahr Monat 03'!A:A,0)),
IF(ISERROR(MATCH(D290,'Ist Vorjahr Monat 04'!A:A,0))=FALSE,INDEX('Ist Vorjahr Monat 04'!B:B,MATCH(D290,'Ist Vorjahr Monat 04'!A:A,0)),
IF(ISERROR(MATCH(D290,'Ist Vorjahr Monat 05'!A:A,0))=FALSE,INDEX('Ist Vorjahr Monat 05'!B:B,MATCH(D290,'Ist Vorjahr Monat 05'!A:A,0)),
IF(ISERROR(MATCH(D290,'Ist Vorjahr Monat 06'!A:A,0))=FALSE,INDEX('Ist Vorjahr Monat 06'!B:B,MATCH(D290,'Ist Vorjahr Monat 06'!A:A,0)),
IF(ISERROR(MATCH(D290,'Ist Vorjahr Monat 07'!A:A,0))=FALSE,INDEX('Ist Vorjahr Monat 07'!B:B,MATCH(D290,'Ist Vorjahr Monat 07'!A:A,0)),
IF(ISERROR(MATCH(D290,'Ist Vorjahr Monat 08'!A:A,0))=FALSE,INDEX('Ist Vorjahr Monat 08'!B:B,MATCH(D290,'Ist Vorjahr Monat 08'!A:A,0)),
IF(ISERROR(MATCH(D290,'Ist Vorjahr Monat 09'!A:A,0))=FALSE,INDEX('Ist Vorjahr Monat 09'!B:B,MATCH(D290,'Ist Vorjahr Monat 09'!A:A,0)),
IF(ISERROR(MATCH(D290,'Ist Vorjahr Monat 10'!A:A,0))=FALSE,INDEX('Ist Vorjahr Monat 10'!B:B,MATCH(D290,'Ist Vorjahr Monat 10'!A:A,0)),
IF(ISERROR(MATCH(D290,'Ist Vorjahr Monat 11'!A:A,0))=FALSE,INDEX('Ist Vorjahr Monat 11'!B:B,MATCH(D290,'Ist Vorjahr Monat 11'!A:A,0)),
IF(ISERROR(MATCH(D290,'Ist Vorjahr Monat 12'!A:A,0))=FALSE,INDEX('Ist Vorjahr Monat 12'!B:B,MATCH(D290,'Ist Vorjahr Monat 12'!A:A,0)),
"{Konto unbekannt}"
)))))))))))),"")</f>
        <v>{Konto unbekannt}</v>
      </c>
      <c r="C290" s="591"/>
      <c r="D290" s="590">
        <v>4800</v>
      </c>
      <c r="E290" s="592">
        <f>IF(F290="-",-1,1)</f>
        <v>1</v>
      </c>
      <c r="F290" s="590"/>
      <c r="G290" s="593">
        <f ca="1">$E290*(-SUMIF(INDIRECT(G$3),'Struktur Vorjahr'!$D290,INDIRECT(G$4))+SUMIF(INDIRECT(G$3),'Struktur Vorjahr'!$D290,INDIRECT(G$5)))</f>
        <v>0</v>
      </c>
      <c r="H290" s="593">
        <f ca="1">$E290*(-SUMIF(INDIRECT(H$3),'Struktur Vorjahr'!$D290,INDIRECT(H$4))+SUMIF(INDIRECT(H$3),'Struktur Vorjahr'!$D290,INDIRECT(H$5)))</f>
        <v>0</v>
      </c>
      <c r="I290" s="593">
        <f ca="1">$E290*(-SUMIF(INDIRECT(I$3),'Struktur Vorjahr'!$D290,INDIRECT(I$4))+SUMIF(INDIRECT(I$3),'Struktur Vorjahr'!$D290,INDIRECT(I$5)))</f>
        <v>0</v>
      </c>
      <c r="J290" s="593">
        <f ca="1">$E290*(-SUMIF(INDIRECT(J$3),'Struktur Vorjahr'!$D290,INDIRECT(J$4))+SUMIF(INDIRECT(J$3),'Struktur Vorjahr'!$D290,INDIRECT(J$5)))</f>
        <v>0</v>
      </c>
      <c r="K290" s="593">
        <f ca="1">$E290*(-SUMIF(INDIRECT(K$3),'Struktur Vorjahr'!$D290,INDIRECT(K$4))+SUMIF(INDIRECT(K$3),'Struktur Vorjahr'!$D290,INDIRECT(K$5)))</f>
        <v>0</v>
      </c>
      <c r="L290" s="593">
        <f ca="1">$E290*(-SUMIF(INDIRECT(L$3),'Struktur Vorjahr'!$D290,INDIRECT(L$4))+SUMIF(INDIRECT(L$3),'Struktur Vorjahr'!$D290,INDIRECT(L$5)))</f>
        <v>0</v>
      </c>
      <c r="M290" s="593">
        <f ca="1">$E290*(-SUMIF(INDIRECT(M$3),'Struktur Vorjahr'!$D290,INDIRECT(M$4))+SUMIF(INDIRECT(M$3),'Struktur Vorjahr'!$D290,INDIRECT(M$5)))</f>
        <v>0</v>
      </c>
      <c r="N290" s="593">
        <f ca="1">$E290*(-SUMIF(INDIRECT(N$3),'Struktur Vorjahr'!$D290,INDIRECT(N$4))+SUMIF(INDIRECT(N$3),'Struktur Vorjahr'!$D290,INDIRECT(N$5)))</f>
        <v>0</v>
      </c>
      <c r="O290" s="593">
        <f ca="1">$E290*(-SUMIF(INDIRECT(O$3),'Struktur Vorjahr'!$D290,INDIRECT(O$4))+SUMIF(INDIRECT(O$3),'Struktur Vorjahr'!$D290,INDIRECT(O$5)))</f>
        <v>0</v>
      </c>
      <c r="P290" s="593">
        <f ca="1">$E290*(-SUMIF(INDIRECT(P$3),'Struktur Vorjahr'!$D290,INDIRECT(P$4))+SUMIF(INDIRECT(P$3),'Struktur Vorjahr'!$D290,INDIRECT(P$5)))</f>
        <v>0</v>
      </c>
      <c r="Q290" s="593">
        <f ca="1">$E290*(-SUMIF(INDIRECT(Q$3),'Struktur Vorjahr'!$D290,INDIRECT(Q$4))+SUMIF(INDIRECT(Q$3),'Struktur Vorjahr'!$D290,INDIRECT(Q$5)))</f>
        <v>0</v>
      </c>
      <c r="R290" s="593">
        <f ca="1">$E290*(-SUMIF(INDIRECT(R$3),'Struktur Vorjahr'!$D290,INDIRECT(R$4))+SUMIF(INDIRECT(R$3),'Struktur Vorjahr'!$D290,INDIRECT(R$5)))</f>
        <v>0</v>
      </c>
      <c r="S290" s="593">
        <f ca="1">$E290*(-SUMIF(INDIRECT(S$3),'Struktur Vorjahr'!$D290,INDIRECT(S$4))+SUMIF(INDIRECT(S$3),'Struktur Vorjahr'!$D290,INDIRECT(S$5)))</f>
        <v>0</v>
      </c>
      <c r="T290" s="593">
        <f ca="1">$E290*(-SUMIF(INDIRECT(T$3),'Struktur Vorjahr'!$D290,INDIRECT(T$4))+SUMIF(INDIRECT(T$3),'Struktur Vorjahr'!$D290,INDIRECT(T$5)))</f>
        <v>0</v>
      </c>
      <c r="U290" s="593">
        <f ca="1">$E290*(-SUMIF(INDIRECT(U$3),'Struktur Vorjahr'!$D290,INDIRECT(U$4))+SUMIF(INDIRECT(U$3),'Struktur Vorjahr'!$D290,INDIRECT(U$5)))</f>
        <v>0</v>
      </c>
      <c r="V290" s="593">
        <f ca="1">$E290*(-SUMIF(INDIRECT(V$3),'Struktur Vorjahr'!$D290,INDIRECT(V$4))+SUMIF(INDIRECT(V$3),'Struktur Vorjahr'!$D290,INDIRECT(V$5)))</f>
        <v>0</v>
      </c>
      <c r="W290" s="593">
        <f ca="1">$E290*(-SUMIF(INDIRECT(W$3),'Struktur Vorjahr'!$D290,INDIRECT(W$4))+SUMIF(INDIRECT(W$3),'Struktur Vorjahr'!$D290,INDIRECT(W$5)))</f>
        <v>0</v>
      </c>
      <c r="X290" s="593">
        <f ca="1">$E290*(-SUMIF(INDIRECT(X$3),'Struktur Vorjahr'!$D290,INDIRECT(X$4))+SUMIF(INDIRECT(X$3),'Struktur Vorjahr'!$D290,INDIRECT(X$5)))</f>
        <v>0</v>
      </c>
      <c r="Y290" s="593">
        <f ca="1">$E290*(-SUMIF(INDIRECT(Y$3),'Struktur Vorjahr'!$D290,INDIRECT(Y$4))+SUMIF(INDIRECT(Y$3),'Struktur Vorjahr'!$D290,INDIRECT(Y$5)))</f>
        <v>0</v>
      </c>
      <c r="Z290" s="593">
        <f ca="1">$E290*(-SUMIF(INDIRECT(Z$3),'Struktur Vorjahr'!$D290,INDIRECT(Z$4))+SUMIF(INDIRECT(Z$3),'Struktur Vorjahr'!$D290,INDIRECT(Z$5)))</f>
        <v>0</v>
      </c>
      <c r="AA290" s="593">
        <f ca="1">$E290*(-SUMIF(INDIRECT(AA$3),'Struktur Vorjahr'!$D290,INDIRECT(AA$4))+SUMIF(INDIRECT(AA$3),'Struktur Vorjahr'!$D290,INDIRECT(AA$5)))</f>
        <v>0</v>
      </c>
      <c r="AB290" s="593">
        <f ca="1">$E290*(-SUMIF(INDIRECT(AB$3),'Struktur Vorjahr'!$D290,INDIRECT(AB$4))+SUMIF(INDIRECT(AB$3),'Struktur Vorjahr'!$D290,INDIRECT(AB$5)))</f>
        <v>0</v>
      </c>
      <c r="AC290" s="593">
        <f ca="1">$E290*(-SUMIF(INDIRECT(AC$3),'Struktur Vorjahr'!$D290,INDIRECT(AC$4))+SUMIF(INDIRECT(AC$3),'Struktur Vorjahr'!$D290,INDIRECT(AC$5)))</f>
        <v>0</v>
      </c>
      <c r="AD290" s="593">
        <f ca="1">$E290*(-SUMIF(INDIRECT(AD$3),'Struktur Vorjahr'!$D290,INDIRECT(AD$4))+SUMIF(INDIRECT(AD$3),'Struktur Vorjahr'!$D290,INDIRECT(AD$5)))</f>
        <v>0</v>
      </c>
      <c r="AE290" s="593">
        <f t="shared" ca="1" si="123"/>
        <v>0</v>
      </c>
      <c r="AF290" s="593">
        <f t="shared" ca="1" si="124"/>
        <v>0</v>
      </c>
      <c r="AG290" s="593">
        <f t="shared" ca="1" si="124"/>
        <v>0</v>
      </c>
      <c r="AH290" s="593">
        <f t="shared" ca="1" si="124"/>
        <v>0</v>
      </c>
      <c r="AI290" s="593">
        <f t="shared" ca="1" si="124"/>
        <v>0</v>
      </c>
      <c r="AJ290" s="593">
        <f t="shared" ca="1" si="124"/>
        <v>0</v>
      </c>
      <c r="AK290" s="593">
        <f t="shared" ca="1" si="124"/>
        <v>0</v>
      </c>
      <c r="AL290" s="593">
        <f t="shared" ca="1" si="124"/>
        <v>0</v>
      </c>
      <c r="AM290" s="593">
        <f t="shared" ca="1" si="124"/>
        <v>0</v>
      </c>
      <c r="AN290" s="593">
        <f t="shared" ca="1" si="124"/>
        <v>0</v>
      </c>
      <c r="AO290" s="593">
        <f t="shared" ca="1" si="124"/>
        <v>0</v>
      </c>
      <c r="AP290" s="593">
        <f t="shared" ca="1" si="124"/>
        <v>0</v>
      </c>
    </row>
    <row r="291" spans="1:42" s="594" customFormat="1" ht="11.25" outlineLevel="1" x14ac:dyDescent="0.2">
      <c r="A291" s="590"/>
      <c r="B291" s="591" t="str">
        <f>IF(D291&lt;&gt;"",
IF(ISERROR(MATCH(D291,'Ist Vorjahr Monat 01'!A:A,0))=FALSE,INDEX('Ist Vorjahr Monat 01'!B:B,MATCH(D291,'Ist Vorjahr Monat 01'!A:A,0)),
IF(ISERROR(MATCH(D291,'Ist Vorjahr Monat 02'!A:A,0))=FALSE,INDEX('Ist Vorjahr Monat 02'!B:B,MATCH(D291,'Ist Vorjahr Monat 02'!A:A,0)),
IF(ISERROR(MATCH(D291,'Ist Vorjahr Monat 03'!A:A,0))=FALSE,INDEX('Ist Vorjahr Monat 03'!B:B,MATCH(D291,'Ist Vorjahr Monat 03'!A:A,0)),
IF(ISERROR(MATCH(D291,'Ist Vorjahr Monat 04'!A:A,0))=FALSE,INDEX('Ist Vorjahr Monat 04'!B:B,MATCH(D291,'Ist Vorjahr Monat 04'!A:A,0)),
IF(ISERROR(MATCH(D291,'Ist Vorjahr Monat 05'!A:A,0))=FALSE,INDEX('Ist Vorjahr Monat 05'!B:B,MATCH(D291,'Ist Vorjahr Monat 05'!A:A,0)),
IF(ISERROR(MATCH(D291,'Ist Vorjahr Monat 06'!A:A,0))=FALSE,INDEX('Ist Vorjahr Monat 06'!B:B,MATCH(D291,'Ist Vorjahr Monat 06'!A:A,0)),
IF(ISERROR(MATCH(D291,'Ist Vorjahr Monat 07'!A:A,0))=FALSE,INDEX('Ist Vorjahr Monat 07'!B:B,MATCH(D291,'Ist Vorjahr Monat 07'!A:A,0)),
IF(ISERROR(MATCH(D291,'Ist Vorjahr Monat 08'!A:A,0))=FALSE,INDEX('Ist Vorjahr Monat 08'!B:B,MATCH(D291,'Ist Vorjahr Monat 08'!A:A,0)),
IF(ISERROR(MATCH(D291,'Ist Vorjahr Monat 09'!A:A,0))=FALSE,INDEX('Ist Vorjahr Monat 09'!B:B,MATCH(D291,'Ist Vorjahr Monat 09'!A:A,0)),
IF(ISERROR(MATCH(D291,'Ist Vorjahr Monat 10'!A:A,0))=FALSE,INDEX('Ist Vorjahr Monat 10'!B:B,MATCH(D291,'Ist Vorjahr Monat 10'!A:A,0)),
IF(ISERROR(MATCH(D291,'Ist Vorjahr Monat 11'!A:A,0))=FALSE,INDEX('Ist Vorjahr Monat 11'!B:B,MATCH(D291,'Ist Vorjahr Monat 11'!A:A,0)),
IF(ISERROR(MATCH(D291,'Ist Vorjahr Monat 12'!A:A,0))=FALSE,INDEX('Ist Vorjahr Monat 12'!B:B,MATCH(D291,'Ist Vorjahr Monat 12'!A:A,0)),
"{Konto unbekannt}"
)))))))))))),"")</f>
        <v/>
      </c>
      <c r="C291" s="591"/>
      <c r="D291" s="590"/>
      <c r="E291" s="592">
        <f t="shared" si="121"/>
        <v>1</v>
      </c>
      <c r="F291" s="590"/>
      <c r="G291" s="593">
        <f ca="1">$E291*(-SUMIF(INDIRECT(G$3),'Struktur Vorjahr'!$D291,INDIRECT(G$4))+SUMIF(INDIRECT(G$3),'Struktur Vorjahr'!$D291,INDIRECT(G$5)))</f>
        <v>0</v>
      </c>
      <c r="H291" s="593">
        <f ca="1">$E291*(-SUMIF(INDIRECT(H$3),'Struktur Vorjahr'!$D291,INDIRECT(H$4))+SUMIF(INDIRECT(H$3),'Struktur Vorjahr'!$D291,INDIRECT(H$5)))</f>
        <v>0</v>
      </c>
      <c r="I291" s="593">
        <f ca="1">$E291*(-SUMIF(INDIRECT(I$3),'Struktur Vorjahr'!$D291,INDIRECT(I$4))+SUMIF(INDIRECT(I$3),'Struktur Vorjahr'!$D291,INDIRECT(I$5)))</f>
        <v>0</v>
      </c>
      <c r="J291" s="593">
        <f ca="1">$E291*(-SUMIF(INDIRECT(J$3),'Struktur Vorjahr'!$D291,INDIRECT(J$4))+SUMIF(INDIRECT(J$3),'Struktur Vorjahr'!$D291,INDIRECT(J$5)))</f>
        <v>0</v>
      </c>
      <c r="K291" s="593">
        <f ca="1">$E291*(-SUMIF(INDIRECT(K$3),'Struktur Vorjahr'!$D291,INDIRECT(K$4))+SUMIF(INDIRECT(K$3),'Struktur Vorjahr'!$D291,INDIRECT(K$5)))</f>
        <v>0</v>
      </c>
      <c r="L291" s="593">
        <f ca="1">$E291*(-SUMIF(INDIRECT(L$3),'Struktur Vorjahr'!$D291,INDIRECT(L$4))+SUMIF(INDIRECT(L$3),'Struktur Vorjahr'!$D291,INDIRECT(L$5)))</f>
        <v>0</v>
      </c>
      <c r="M291" s="593">
        <f ca="1">$E291*(-SUMIF(INDIRECT(M$3),'Struktur Vorjahr'!$D291,INDIRECT(M$4))+SUMIF(INDIRECT(M$3),'Struktur Vorjahr'!$D291,INDIRECT(M$5)))</f>
        <v>0</v>
      </c>
      <c r="N291" s="593">
        <f ca="1">$E291*(-SUMIF(INDIRECT(N$3),'Struktur Vorjahr'!$D291,INDIRECT(N$4))+SUMIF(INDIRECT(N$3),'Struktur Vorjahr'!$D291,INDIRECT(N$5)))</f>
        <v>0</v>
      </c>
      <c r="O291" s="593">
        <f ca="1">$E291*(-SUMIF(INDIRECT(O$3),'Struktur Vorjahr'!$D291,INDIRECT(O$4))+SUMIF(INDIRECT(O$3),'Struktur Vorjahr'!$D291,INDIRECT(O$5)))</f>
        <v>0</v>
      </c>
      <c r="P291" s="593">
        <f ca="1">$E291*(-SUMIF(INDIRECT(P$3),'Struktur Vorjahr'!$D291,INDIRECT(P$4))+SUMIF(INDIRECT(P$3),'Struktur Vorjahr'!$D291,INDIRECT(P$5)))</f>
        <v>0</v>
      </c>
      <c r="Q291" s="593">
        <f ca="1">$E291*(-SUMIF(INDIRECT(Q$3),'Struktur Vorjahr'!$D291,INDIRECT(Q$4))+SUMIF(INDIRECT(Q$3),'Struktur Vorjahr'!$D291,INDIRECT(Q$5)))</f>
        <v>0</v>
      </c>
      <c r="R291" s="593">
        <f ca="1">$E291*(-SUMIF(INDIRECT(R$3),'Struktur Vorjahr'!$D291,INDIRECT(R$4))+SUMIF(INDIRECT(R$3),'Struktur Vorjahr'!$D291,INDIRECT(R$5)))</f>
        <v>0</v>
      </c>
      <c r="S291" s="593">
        <f ca="1">$E291*(-SUMIF(INDIRECT(S$3),'Struktur Vorjahr'!$D291,INDIRECT(S$4))+SUMIF(INDIRECT(S$3),'Struktur Vorjahr'!$D291,INDIRECT(S$5)))</f>
        <v>0</v>
      </c>
      <c r="T291" s="593">
        <f ca="1">$E291*(-SUMIF(INDIRECT(T$3),'Struktur Vorjahr'!$D291,INDIRECT(T$4))+SUMIF(INDIRECT(T$3),'Struktur Vorjahr'!$D291,INDIRECT(T$5)))</f>
        <v>0</v>
      </c>
      <c r="U291" s="593">
        <f ca="1">$E291*(-SUMIF(INDIRECT(U$3),'Struktur Vorjahr'!$D291,INDIRECT(U$4))+SUMIF(INDIRECT(U$3),'Struktur Vorjahr'!$D291,INDIRECT(U$5)))</f>
        <v>0</v>
      </c>
      <c r="V291" s="593">
        <f ca="1">$E291*(-SUMIF(INDIRECT(V$3),'Struktur Vorjahr'!$D291,INDIRECT(V$4))+SUMIF(INDIRECT(V$3),'Struktur Vorjahr'!$D291,INDIRECT(V$5)))</f>
        <v>0</v>
      </c>
      <c r="W291" s="593">
        <f ca="1">$E291*(-SUMIF(INDIRECT(W$3),'Struktur Vorjahr'!$D291,INDIRECT(W$4))+SUMIF(INDIRECT(W$3),'Struktur Vorjahr'!$D291,INDIRECT(W$5)))</f>
        <v>0</v>
      </c>
      <c r="X291" s="593">
        <f ca="1">$E291*(-SUMIF(INDIRECT(X$3),'Struktur Vorjahr'!$D291,INDIRECT(X$4))+SUMIF(INDIRECT(X$3),'Struktur Vorjahr'!$D291,INDIRECT(X$5)))</f>
        <v>0</v>
      </c>
      <c r="Y291" s="593">
        <f ca="1">$E291*(-SUMIF(INDIRECT(Y$3),'Struktur Vorjahr'!$D291,INDIRECT(Y$4))+SUMIF(INDIRECT(Y$3),'Struktur Vorjahr'!$D291,INDIRECT(Y$5)))</f>
        <v>0</v>
      </c>
      <c r="Z291" s="593">
        <f ca="1">$E291*(-SUMIF(INDIRECT(Z$3),'Struktur Vorjahr'!$D291,INDIRECT(Z$4))+SUMIF(INDIRECT(Z$3),'Struktur Vorjahr'!$D291,INDIRECT(Z$5)))</f>
        <v>0</v>
      </c>
      <c r="AA291" s="593">
        <f ca="1">$E291*(-SUMIF(INDIRECT(AA$3),'Struktur Vorjahr'!$D291,INDIRECT(AA$4))+SUMIF(INDIRECT(AA$3),'Struktur Vorjahr'!$D291,INDIRECT(AA$5)))</f>
        <v>0</v>
      </c>
      <c r="AB291" s="593">
        <f ca="1">$E291*(-SUMIF(INDIRECT(AB$3),'Struktur Vorjahr'!$D291,INDIRECT(AB$4))+SUMIF(INDIRECT(AB$3),'Struktur Vorjahr'!$D291,INDIRECT(AB$5)))</f>
        <v>0</v>
      </c>
      <c r="AC291" s="593">
        <f ca="1">$E291*(-SUMIF(INDIRECT(AC$3),'Struktur Vorjahr'!$D291,INDIRECT(AC$4))+SUMIF(INDIRECT(AC$3),'Struktur Vorjahr'!$D291,INDIRECT(AC$5)))</f>
        <v>0</v>
      </c>
      <c r="AD291" s="593">
        <f ca="1">$E291*(-SUMIF(INDIRECT(AD$3),'Struktur Vorjahr'!$D291,INDIRECT(AD$4))+SUMIF(INDIRECT(AD$3),'Struktur Vorjahr'!$D291,INDIRECT(AD$5)))</f>
        <v>0</v>
      </c>
      <c r="AE291" s="593">
        <f t="shared" ca="1" si="123"/>
        <v>0</v>
      </c>
      <c r="AF291" s="593">
        <f t="shared" ca="1" si="124"/>
        <v>0</v>
      </c>
      <c r="AG291" s="593">
        <f t="shared" ca="1" si="124"/>
        <v>0</v>
      </c>
      <c r="AH291" s="593">
        <f t="shared" ca="1" si="124"/>
        <v>0</v>
      </c>
      <c r="AI291" s="593">
        <f t="shared" ca="1" si="124"/>
        <v>0</v>
      </c>
      <c r="AJ291" s="593">
        <f t="shared" ca="1" si="124"/>
        <v>0</v>
      </c>
      <c r="AK291" s="593">
        <f t="shared" ca="1" si="124"/>
        <v>0</v>
      </c>
      <c r="AL291" s="593">
        <f t="shared" ca="1" si="124"/>
        <v>0</v>
      </c>
      <c r="AM291" s="593">
        <f t="shared" ca="1" si="124"/>
        <v>0</v>
      </c>
      <c r="AN291" s="593">
        <f t="shared" ca="1" si="124"/>
        <v>0</v>
      </c>
      <c r="AO291" s="593">
        <f t="shared" ca="1" si="124"/>
        <v>0</v>
      </c>
      <c r="AP291" s="593">
        <f t="shared" ca="1" si="124"/>
        <v>0</v>
      </c>
    </row>
    <row r="292" spans="1:42" s="594" customFormat="1" ht="11.25" outlineLevel="1" x14ac:dyDescent="0.2">
      <c r="A292" s="590"/>
      <c r="B292" s="591" t="str">
        <f>IF(D292&lt;&gt;"",
IF(ISERROR(MATCH(D292,'Ist Vorjahr Monat 01'!A:A,0))=FALSE,INDEX('Ist Vorjahr Monat 01'!B:B,MATCH(D292,'Ist Vorjahr Monat 01'!A:A,0)),
IF(ISERROR(MATCH(D292,'Ist Vorjahr Monat 02'!A:A,0))=FALSE,INDEX('Ist Vorjahr Monat 02'!B:B,MATCH(D292,'Ist Vorjahr Monat 02'!A:A,0)),
IF(ISERROR(MATCH(D292,'Ist Vorjahr Monat 03'!A:A,0))=FALSE,INDEX('Ist Vorjahr Monat 03'!B:B,MATCH(D292,'Ist Vorjahr Monat 03'!A:A,0)),
IF(ISERROR(MATCH(D292,'Ist Vorjahr Monat 04'!A:A,0))=FALSE,INDEX('Ist Vorjahr Monat 04'!B:B,MATCH(D292,'Ist Vorjahr Monat 04'!A:A,0)),
IF(ISERROR(MATCH(D292,'Ist Vorjahr Monat 05'!A:A,0))=FALSE,INDEX('Ist Vorjahr Monat 05'!B:B,MATCH(D292,'Ist Vorjahr Monat 05'!A:A,0)),
IF(ISERROR(MATCH(D292,'Ist Vorjahr Monat 06'!A:A,0))=FALSE,INDEX('Ist Vorjahr Monat 06'!B:B,MATCH(D292,'Ist Vorjahr Monat 06'!A:A,0)),
IF(ISERROR(MATCH(D292,'Ist Vorjahr Monat 07'!A:A,0))=FALSE,INDEX('Ist Vorjahr Monat 07'!B:B,MATCH(D292,'Ist Vorjahr Monat 07'!A:A,0)),
IF(ISERROR(MATCH(D292,'Ist Vorjahr Monat 08'!A:A,0))=FALSE,INDEX('Ist Vorjahr Monat 08'!B:B,MATCH(D292,'Ist Vorjahr Monat 08'!A:A,0)),
IF(ISERROR(MATCH(D292,'Ist Vorjahr Monat 09'!A:A,0))=FALSE,INDEX('Ist Vorjahr Monat 09'!B:B,MATCH(D292,'Ist Vorjahr Monat 09'!A:A,0)),
IF(ISERROR(MATCH(D292,'Ist Vorjahr Monat 10'!A:A,0))=FALSE,INDEX('Ist Vorjahr Monat 10'!B:B,MATCH(D292,'Ist Vorjahr Monat 10'!A:A,0)),
IF(ISERROR(MATCH(D292,'Ist Vorjahr Monat 11'!A:A,0))=FALSE,INDEX('Ist Vorjahr Monat 11'!B:B,MATCH(D292,'Ist Vorjahr Monat 11'!A:A,0)),
IF(ISERROR(MATCH(D292,'Ist Vorjahr Monat 12'!A:A,0))=FALSE,INDEX('Ist Vorjahr Monat 12'!B:B,MATCH(D292,'Ist Vorjahr Monat 12'!A:A,0)),
"{Konto unbekannt}"
)))))))))))),"")</f>
        <v/>
      </c>
      <c r="C292" s="591"/>
      <c r="D292" s="590"/>
      <c r="E292" s="592">
        <f t="shared" si="121"/>
        <v>1</v>
      </c>
      <c r="F292" s="590"/>
      <c r="G292" s="593">
        <f ca="1">$E292*(-SUMIF(INDIRECT(G$3),'Struktur Vorjahr'!$D292,INDIRECT(G$4))+SUMIF(INDIRECT(G$3),'Struktur Vorjahr'!$D292,INDIRECT(G$5)))</f>
        <v>0</v>
      </c>
      <c r="H292" s="593">
        <f ca="1">$E292*(-SUMIF(INDIRECT(H$3),'Struktur Vorjahr'!$D292,INDIRECT(H$4))+SUMIF(INDIRECT(H$3),'Struktur Vorjahr'!$D292,INDIRECT(H$5)))</f>
        <v>0</v>
      </c>
      <c r="I292" s="593">
        <f ca="1">$E292*(-SUMIF(INDIRECT(I$3),'Struktur Vorjahr'!$D292,INDIRECT(I$4))+SUMIF(INDIRECT(I$3),'Struktur Vorjahr'!$D292,INDIRECT(I$5)))</f>
        <v>0</v>
      </c>
      <c r="J292" s="593">
        <f ca="1">$E292*(-SUMIF(INDIRECT(J$3),'Struktur Vorjahr'!$D292,INDIRECT(J$4))+SUMIF(INDIRECT(J$3),'Struktur Vorjahr'!$D292,INDIRECT(J$5)))</f>
        <v>0</v>
      </c>
      <c r="K292" s="593">
        <f ca="1">$E292*(-SUMIF(INDIRECT(K$3),'Struktur Vorjahr'!$D292,INDIRECT(K$4))+SUMIF(INDIRECT(K$3),'Struktur Vorjahr'!$D292,INDIRECT(K$5)))</f>
        <v>0</v>
      </c>
      <c r="L292" s="593">
        <f ca="1">$E292*(-SUMIF(INDIRECT(L$3),'Struktur Vorjahr'!$D292,INDIRECT(L$4))+SUMIF(INDIRECT(L$3),'Struktur Vorjahr'!$D292,INDIRECT(L$5)))</f>
        <v>0</v>
      </c>
      <c r="M292" s="593">
        <f ca="1">$E292*(-SUMIF(INDIRECT(M$3),'Struktur Vorjahr'!$D292,INDIRECT(M$4))+SUMIF(INDIRECT(M$3),'Struktur Vorjahr'!$D292,INDIRECT(M$5)))</f>
        <v>0</v>
      </c>
      <c r="N292" s="593">
        <f ca="1">$E292*(-SUMIF(INDIRECT(N$3),'Struktur Vorjahr'!$D292,INDIRECT(N$4))+SUMIF(INDIRECT(N$3),'Struktur Vorjahr'!$D292,INDIRECT(N$5)))</f>
        <v>0</v>
      </c>
      <c r="O292" s="593">
        <f ca="1">$E292*(-SUMIF(INDIRECT(O$3),'Struktur Vorjahr'!$D292,INDIRECT(O$4))+SUMIF(INDIRECT(O$3),'Struktur Vorjahr'!$D292,INDIRECT(O$5)))</f>
        <v>0</v>
      </c>
      <c r="P292" s="593">
        <f ca="1">$E292*(-SUMIF(INDIRECT(P$3),'Struktur Vorjahr'!$D292,INDIRECT(P$4))+SUMIF(INDIRECT(P$3),'Struktur Vorjahr'!$D292,INDIRECT(P$5)))</f>
        <v>0</v>
      </c>
      <c r="Q292" s="593">
        <f ca="1">$E292*(-SUMIF(INDIRECT(Q$3),'Struktur Vorjahr'!$D292,INDIRECT(Q$4))+SUMIF(INDIRECT(Q$3),'Struktur Vorjahr'!$D292,INDIRECT(Q$5)))</f>
        <v>0</v>
      </c>
      <c r="R292" s="593">
        <f ca="1">$E292*(-SUMIF(INDIRECT(R$3),'Struktur Vorjahr'!$D292,INDIRECT(R$4))+SUMIF(INDIRECT(R$3),'Struktur Vorjahr'!$D292,INDIRECT(R$5)))</f>
        <v>0</v>
      </c>
      <c r="S292" s="593">
        <f ca="1">$E292*(-SUMIF(INDIRECT(S$3),'Struktur Vorjahr'!$D292,INDIRECT(S$4))+SUMIF(INDIRECT(S$3),'Struktur Vorjahr'!$D292,INDIRECT(S$5)))</f>
        <v>0</v>
      </c>
      <c r="T292" s="593">
        <f ca="1">$E292*(-SUMIF(INDIRECT(T$3),'Struktur Vorjahr'!$D292,INDIRECT(T$4))+SUMIF(INDIRECT(T$3),'Struktur Vorjahr'!$D292,INDIRECT(T$5)))</f>
        <v>0</v>
      </c>
      <c r="U292" s="593">
        <f ca="1">$E292*(-SUMIF(INDIRECT(U$3),'Struktur Vorjahr'!$D292,INDIRECT(U$4))+SUMIF(INDIRECT(U$3),'Struktur Vorjahr'!$D292,INDIRECT(U$5)))</f>
        <v>0</v>
      </c>
      <c r="V292" s="593">
        <f ca="1">$E292*(-SUMIF(INDIRECT(V$3),'Struktur Vorjahr'!$D292,INDIRECT(V$4))+SUMIF(INDIRECT(V$3),'Struktur Vorjahr'!$D292,INDIRECT(V$5)))</f>
        <v>0</v>
      </c>
      <c r="W292" s="593">
        <f ca="1">$E292*(-SUMIF(INDIRECT(W$3),'Struktur Vorjahr'!$D292,INDIRECT(W$4))+SUMIF(INDIRECT(W$3),'Struktur Vorjahr'!$D292,INDIRECT(W$5)))</f>
        <v>0</v>
      </c>
      <c r="X292" s="593">
        <f ca="1">$E292*(-SUMIF(INDIRECT(X$3),'Struktur Vorjahr'!$D292,INDIRECT(X$4))+SUMIF(INDIRECT(X$3),'Struktur Vorjahr'!$D292,INDIRECT(X$5)))</f>
        <v>0</v>
      </c>
      <c r="Y292" s="593">
        <f ca="1">$E292*(-SUMIF(INDIRECT(Y$3),'Struktur Vorjahr'!$D292,INDIRECT(Y$4))+SUMIF(INDIRECT(Y$3),'Struktur Vorjahr'!$D292,INDIRECT(Y$5)))</f>
        <v>0</v>
      </c>
      <c r="Z292" s="593">
        <f ca="1">$E292*(-SUMIF(INDIRECT(Z$3),'Struktur Vorjahr'!$D292,INDIRECT(Z$4))+SUMIF(INDIRECT(Z$3),'Struktur Vorjahr'!$D292,INDIRECT(Z$5)))</f>
        <v>0</v>
      </c>
      <c r="AA292" s="593">
        <f ca="1">$E292*(-SUMIF(INDIRECT(AA$3),'Struktur Vorjahr'!$D292,INDIRECT(AA$4))+SUMIF(INDIRECT(AA$3),'Struktur Vorjahr'!$D292,INDIRECT(AA$5)))</f>
        <v>0</v>
      </c>
      <c r="AB292" s="593">
        <f ca="1">$E292*(-SUMIF(INDIRECT(AB$3),'Struktur Vorjahr'!$D292,INDIRECT(AB$4))+SUMIF(INDIRECT(AB$3),'Struktur Vorjahr'!$D292,INDIRECT(AB$5)))</f>
        <v>0</v>
      </c>
      <c r="AC292" s="593">
        <f ca="1">$E292*(-SUMIF(INDIRECT(AC$3),'Struktur Vorjahr'!$D292,INDIRECT(AC$4))+SUMIF(INDIRECT(AC$3),'Struktur Vorjahr'!$D292,INDIRECT(AC$5)))</f>
        <v>0</v>
      </c>
      <c r="AD292" s="593">
        <f ca="1">$E292*(-SUMIF(INDIRECT(AD$3),'Struktur Vorjahr'!$D292,INDIRECT(AD$4))+SUMIF(INDIRECT(AD$3),'Struktur Vorjahr'!$D292,INDIRECT(AD$5)))</f>
        <v>0</v>
      </c>
      <c r="AE292" s="593">
        <f t="shared" ca="1" si="123"/>
        <v>0</v>
      </c>
      <c r="AF292" s="593">
        <f t="shared" ca="1" si="124"/>
        <v>0</v>
      </c>
      <c r="AG292" s="593">
        <f t="shared" ca="1" si="124"/>
        <v>0</v>
      </c>
      <c r="AH292" s="593">
        <f t="shared" ca="1" si="124"/>
        <v>0</v>
      </c>
      <c r="AI292" s="593">
        <f t="shared" ca="1" si="124"/>
        <v>0</v>
      </c>
      <c r="AJ292" s="593">
        <f t="shared" ca="1" si="124"/>
        <v>0</v>
      </c>
      <c r="AK292" s="593">
        <f t="shared" ca="1" si="124"/>
        <v>0</v>
      </c>
      <c r="AL292" s="593">
        <f t="shared" ca="1" si="124"/>
        <v>0</v>
      </c>
      <c r="AM292" s="593">
        <f t="shared" ca="1" si="124"/>
        <v>0</v>
      </c>
      <c r="AN292" s="593">
        <f t="shared" ca="1" si="124"/>
        <v>0</v>
      </c>
      <c r="AO292" s="593">
        <f t="shared" ca="1" si="124"/>
        <v>0</v>
      </c>
      <c r="AP292" s="593">
        <f t="shared" ca="1" si="124"/>
        <v>0</v>
      </c>
    </row>
    <row r="293" spans="1:42" s="589" customFormat="1" x14ac:dyDescent="0.2">
      <c r="A293" s="585">
        <v>26</v>
      </c>
      <c r="B293" s="586" t="s">
        <v>293</v>
      </c>
      <c r="C293" s="587">
        <f ca="1">SUM(G293:R293)</f>
        <v>322.53999999999996</v>
      </c>
      <c r="D293" s="587"/>
      <c r="E293" s="588">
        <f t="shared" si="121"/>
        <v>1</v>
      </c>
      <c r="F293" s="585"/>
      <c r="G293" s="587">
        <f t="shared" ref="G293:AP293" ca="1" si="125">SUM(G294:G299)</f>
        <v>0</v>
      </c>
      <c r="H293" s="587">
        <f t="shared" ca="1" si="125"/>
        <v>0</v>
      </c>
      <c r="I293" s="587">
        <f t="shared" ca="1" si="125"/>
        <v>27.18</v>
      </c>
      <c r="J293" s="587">
        <f t="shared" ca="1" si="125"/>
        <v>0</v>
      </c>
      <c r="K293" s="587">
        <f t="shared" ca="1" si="125"/>
        <v>0</v>
      </c>
      <c r="L293" s="587">
        <f t="shared" ca="1" si="125"/>
        <v>231.08</v>
      </c>
      <c r="M293" s="587">
        <f t="shared" ca="1" si="125"/>
        <v>64.28</v>
      </c>
      <c r="N293" s="587">
        <f t="shared" ca="1" si="125"/>
        <v>0</v>
      </c>
      <c r="O293" s="587">
        <f t="shared" ca="1" si="125"/>
        <v>0</v>
      </c>
      <c r="P293" s="587">
        <f t="shared" ca="1" si="125"/>
        <v>0</v>
      </c>
      <c r="Q293" s="587">
        <f t="shared" ca="1" si="125"/>
        <v>0</v>
      </c>
      <c r="R293" s="587">
        <f t="shared" ca="1" si="125"/>
        <v>0</v>
      </c>
      <c r="S293" s="587">
        <f t="shared" ca="1" si="125"/>
        <v>0</v>
      </c>
      <c r="T293" s="587">
        <f t="shared" ca="1" si="125"/>
        <v>0</v>
      </c>
      <c r="U293" s="587">
        <f t="shared" ca="1" si="125"/>
        <v>27.18</v>
      </c>
      <c r="V293" s="587">
        <f t="shared" ca="1" si="125"/>
        <v>27.18</v>
      </c>
      <c r="W293" s="587">
        <f t="shared" ca="1" si="125"/>
        <v>27.18</v>
      </c>
      <c r="X293" s="587">
        <f t="shared" ca="1" si="125"/>
        <v>258.26</v>
      </c>
      <c r="Y293" s="587">
        <f t="shared" ca="1" si="125"/>
        <v>322.54000000000002</v>
      </c>
      <c r="Z293" s="587">
        <f t="shared" ca="1" si="125"/>
        <v>322.54000000000002</v>
      </c>
      <c r="AA293" s="587">
        <f t="shared" ca="1" si="125"/>
        <v>322.54000000000002</v>
      </c>
      <c r="AB293" s="587">
        <f t="shared" ca="1" si="125"/>
        <v>322.54000000000002</v>
      </c>
      <c r="AC293" s="587">
        <f t="shared" ca="1" si="125"/>
        <v>0</v>
      </c>
      <c r="AD293" s="587">
        <f t="shared" ca="1" si="125"/>
        <v>0</v>
      </c>
      <c r="AE293" s="587">
        <f t="shared" ca="1" si="125"/>
        <v>0</v>
      </c>
      <c r="AF293" s="587">
        <f t="shared" ca="1" si="125"/>
        <v>0</v>
      </c>
      <c r="AG293" s="587">
        <f t="shared" ca="1" si="125"/>
        <v>27.18</v>
      </c>
      <c r="AH293" s="587">
        <f t="shared" ca="1" si="125"/>
        <v>27.18</v>
      </c>
      <c r="AI293" s="587">
        <f t="shared" ca="1" si="125"/>
        <v>27.18</v>
      </c>
      <c r="AJ293" s="587">
        <f t="shared" ca="1" si="125"/>
        <v>258.26</v>
      </c>
      <c r="AK293" s="587">
        <f t="shared" ca="1" si="125"/>
        <v>322.53999999999996</v>
      </c>
      <c r="AL293" s="587">
        <f t="shared" ca="1" si="125"/>
        <v>322.53999999999996</v>
      </c>
      <c r="AM293" s="587">
        <f t="shared" ca="1" si="125"/>
        <v>322.53999999999996</v>
      </c>
      <c r="AN293" s="587">
        <f t="shared" ca="1" si="125"/>
        <v>322.53999999999996</v>
      </c>
      <c r="AO293" s="587">
        <f t="shared" ca="1" si="125"/>
        <v>322.53999999999996</v>
      </c>
      <c r="AP293" s="587">
        <f t="shared" ca="1" si="125"/>
        <v>322.53999999999996</v>
      </c>
    </row>
    <row r="294" spans="1:42" s="594" customFormat="1" ht="11.25" outlineLevel="1" x14ac:dyDescent="0.2">
      <c r="A294" s="590"/>
      <c r="B294" s="591" t="str">
        <f>IF(D294&lt;&gt;"",
IF(ISERROR(MATCH(D294,'Ist Vorjahr Monat 01'!A:A,0))=FALSE,INDEX('Ist Vorjahr Monat 01'!B:B,MATCH(D294,'Ist Vorjahr Monat 01'!A:A,0)),
IF(ISERROR(MATCH(D294,'Ist Vorjahr Monat 02'!A:A,0))=FALSE,INDEX('Ist Vorjahr Monat 02'!B:B,MATCH(D294,'Ist Vorjahr Monat 02'!A:A,0)),
IF(ISERROR(MATCH(D294,'Ist Vorjahr Monat 03'!A:A,0))=FALSE,INDEX('Ist Vorjahr Monat 03'!B:B,MATCH(D294,'Ist Vorjahr Monat 03'!A:A,0)),
IF(ISERROR(MATCH(D294,'Ist Vorjahr Monat 04'!A:A,0))=FALSE,INDEX('Ist Vorjahr Monat 04'!B:B,MATCH(D294,'Ist Vorjahr Monat 04'!A:A,0)),
IF(ISERROR(MATCH(D294,'Ist Vorjahr Monat 05'!A:A,0))=FALSE,INDEX('Ist Vorjahr Monat 05'!B:B,MATCH(D294,'Ist Vorjahr Monat 05'!A:A,0)),
IF(ISERROR(MATCH(D294,'Ist Vorjahr Monat 06'!A:A,0))=FALSE,INDEX('Ist Vorjahr Monat 06'!B:B,MATCH(D294,'Ist Vorjahr Monat 06'!A:A,0)),
IF(ISERROR(MATCH(D294,'Ist Vorjahr Monat 07'!A:A,0))=FALSE,INDEX('Ist Vorjahr Monat 07'!B:B,MATCH(D294,'Ist Vorjahr Monat 07'!A:A,0)),
IF(ISERROR(MATCH(D294,'Ist Vorjahr Monat 08'!A:A,0))=FALSE,INDEX('Ist Vorjahr Monat 08'!B:B,MATCH(D294,'Ist Vorjahr Monat 08'!A:A,0)),
IF(ISERROR(MATCH(D294,'Ist Vorjahr Monat 09'!A:A,0))=FALSE,INDEX('Ist Vorjahr Monat 09'!B:B,MATCH(D294,'Ist Vorjahr Monat 09'!A:A,0)),
IF(ISERROR(MATCH(D294,'Ist Vorjahr Monat 10'!A:A,0))=FALSE,INDEX('Ist Vorjahr Monat 10'!B:B,MATCH(D294,'Ist Vorjahr Monat 10'!A:A,0)),
IF(ISERROR(MATCH(D294,'Ist Vorjahr Monat 11'!A:A,0))=FALSE,INDEX('Ist Vorjahr Monat 11'!B:B,MATCH(D294,'Ist Vorjahr Monat 11'!A:A,0)),
IF(ISERROR(MATCH(D294,'Ist Vorjahr Monat 12'!A:A,0))=FALSE,INDEX('Ist Vorjahr Monat 12'!B:B,MATCH(D294,'Ist Vorjahr Monat 12'!A:A,0)),
"{Konto unbekannt}"
)))))))))))),"")</f>
        <v>Aufwand Abraum-/Abfallbeseitigung</v>
      </c>
      <c r="C294" s="591"/>
      <c r="D294" s="590">
        <v>4969</v>
      </c>
      <c r="E294" s="592">
        <f t="shared" si="121"/>
        <v>1</v>
      </c>
      <c r="F294" s="590"/>
      <c r="G294" s="593">
        <f ca="1">$E294*(-SUMIF(INDIRECT(G$3),'Struktur Vorjahr'!$D294,INDIRECT(G$4))+SUMIF(INDIRECT(G$3),'Struktur Vorjahr'!$D294,INDIRECT(G$5)))</f>
        <v>0</v>
      </c>
      <c r="H294" s="593">
        <f ca="1">$E294*(-SUMIF(INDIRECT(H$3),'Struktur Vorjahr'!$D294,INDIRECT(H$4))+SUMIF(INDIRECT(H$3),'Struktur Vorjahr'!$D294,INDIRECT(H$5)))</f>
        <v>0</v>
      </c>
      <c r="I294" s="593">
        <f ca="1">$E294*(-SUMIF(INDIRECT(I$3),'Struktur Vorjahr'!$D294,INDIRECT(I$4))+SUMIF(INDIRECT(I$3),'Struktur Vorjahr'!$D294,INDIRECT(I$5)))</f>
        <v>27.18</v>
      </c>
      <c r="J294" s="593">
        <f ca="1">$E294*(-SUMIF(INDIRECT(J$3),'Struktur Vorjahr'!$D294,INDIRECT(J$4))+SUMIF(INDIRECT(J$3),'Struktur Vorjahr'!$D294,INDIRECT(J$5)))</f>
        <v>0</v>
      </c>
      <c r="K294" s="593">
        <f ca="1">$E294*(-SUMIF(INDIRECT(K$3),'Struktur Vorjahr'!$D294,INDIRECT(K$4))+SUMIF(INDIRECT(K$3),'Struktur Vorjahr'!$D294,INDIRECT(K$5)))</f>
        <v>0</v>
      </c>
      <c r="L294" s="593">
        <f ca="1">$E294*(-SUMIF(INDIRECT(L$3),'Struktur Vorjahr'!$D294,INDIRECT(L$4))+SUMIF(INDIRECT(L$3),'Struktur Vorjahr'!$D294,INDIRECT(L$5)))</f>
        <v>231.08</v>
      </c>
      <c r="M294" s="593">
        <f ca="1">$E294*(-SUMIF(INDIRECT(M$3),'Struktur Vorjahr'!$D294,INDIRECT(M$4))+SUMIF(INDIRECT(M$3),'Struktur Vorjahr'!$D294,INDIRECT(M$5)))</f>
        <v>64.28</v>
      </c>
      <c r="N294" s="593">
        <f ca="1">$E294*(-SUMIF(INDIRECT(N$3),'Struktur Vorjahr'!$D294,INDIRECT(N$4))+SUMIF(INDIRECT(N$3),'Struktur Vorjahr'!$D294,INDIRECT(N$5)))</f>
        <v>0</v>
      </c>
      <c r="O294" s="593">
        <f ca="1">$E294*(-SUMIF(INDIRECT(O$3),'Struktur Vorjahr'!$D294,INDIRECT(O$4))+SUMIF(INDIRECT(O$3),'Struktur Vorjahr'!$D294,INDIRECT(O$5)))</f>
        <v>0</v>
      </c>
      <c r="P294" s="593">
        <f ca="1">$E294*(-SUMIF(INDIRECT(P$3),'Struktur Vorjahr'!$D294,INDIRECT(P$4))+SUMIF(INDIRECT(P$3),'Struktur Vorjahr'!$D294,INDIRECT(P$5)))</f>
        <v>0</v>
      </c>
      <c r="Q294" s="593">
        <f ca="1">$E294*(-SUMIF(INDIRECT(Q$3),'Struktur Vorjahr'!$D294,INDIRECT(Q$4))+SUMIF(INDIRECT(Q$3),'Struktur Vorjahr'!$D294,INDIRECT(Q$5)))</f>
        <v>0</v>
      </c>
      <c r="R294" s="593">
        <f ca="1">$E294*(-SUMIF(INDIRECT(R$3),'Struktur Vorjahr'!$D294,INDIRECT(R$4))+SUMIF(INDIRECT(R$3),'Struktur Vorjahr'!$D294,INDIRECT(R$5)))</f>
        <v>0</v>
      </c>
      <c r="S294" s="593">
        <f ca="1">$E294*(-SUMIF(INDIRECT(S$3),'Struktur Vorjahr'!$D294,INDIRECT(S$4))+SUMIF(INDIRECT(S$3),'Struktur Vorjahr'!$D294,INDIRECT(S$5)))</f>
        <v>0</v>
      </c>
      <c r="T294" s="593">
        <f ca="1">$E294*(-SUMIF(INDIRECT(T$3),'Struktur Vorjahr'!$D294,INDIRECT(T$4))+SUMIF(INDIRECT(T$3),'Struktur Vorjahr'!$D294,INDIRECT(T$5)))</f>
        <v>0</v>
      </c>
      <c r="U294" s="593">
        <f ca="1">$E294*(-SUMIF(INDIRECT(U$3),'Struktur Vorjahr'!$D294,INDIRECT(U$4))+SUMIF(INDIRECT(U$3),'Struktur Vorjahr'!$D294,INDIRECT(U$5)))</f>
        <v>27.18</v>
      </c>
      <c r="V294" s="593">
        <f ca="1">$E294*(-SUMIF(INDIRECT(V$3),'Struktur Vorjahr'!$D294,INDIRECT(V$4))+SUMIF(INDIRECT(V$3),'Struktur Vorjahr'!$D294,INDIRECT(V$5)))</f>
        <v>27.18</v>
      </c>
      <c r="W294" s="593">
        <f ca="1">$E294*(-SUMIF(INDIRECT(W$3),'Struktur Vorjahr'!$D294,INDIRECT(W$4))+SUMIF(INDIRECT(W$3),'Struktur Vorjahr'!$D294,INDIRECT(W$5)))</f>
        <v>27.18</v>
      </c>
      <c r="X294" s="593">
        <f ca="1">$E294*(-SUMIF(INDIRECT(X$3),'Struktur Vorjahr'!$D294,INDIRECT(X$4))+SUMIF(INDIRECT(X$3),'Struktur Vorjahr'!$D294,INDIRECT(X$5)))</f>
        <v>258.26</v>
      </c>
      <c r="Y294" s="593">
        <f ca="1">$E294*(-SUMIF(INDIRECT(Y$3),'Struktur Vorjahr'!$D294,INDIRECT(Y$4))+SUMIF(INDIRECT(Y$3),'Struktur Vorjahr'!$D294,INDIRECT(Y$5)))</f>
        <v>322.54000000000002</v>
      </c>
      <c r="Z294" s="593">
        <f ca="1">$E294*(-SUMIF(INDIRECT(Z$3),'Struktur Vorjahr'!$D294,INDIRECT(Z$4))+SUMIF(INDIRECT(Z$3),'Struktur Vorjahr'!$D294,INDIRECT(Z$5)))</f>
        <v>322.54000000000002</v>
      </c>
      <c r="AA294" s="593">
        <f ca="1">$E294*(-SUMIF(INDIRECT(AA$3),'Struktur Vorjahr'!$D294,INDIRECT(AA$4))+SUMIF(INDIRECT(AA$3),'Struktur Vorjahr'!$D294,INDIRECT(AA$5)))</f>
        <v>322.54000000000002</v>
      </c>
      <c r="AB294" s="593">
        <f ca="1">$E294*(-SUMIF(INDIRECT(AB$3),'Struktur Vorjahr'!$D294,INDIRECT(AB$4))+SUMIF(INDIRECT(AB$3),'Struktur Vorjahr'!$D294,INDIRECT(AB$5)))</f>
        <v>322.54000000000002</v>
      </c>
      <c r="AC294" s="593">
        <f ca="1">$E294*(-SUMIF(INDIRECT(AC$3),'Struktur Vorjahr'!$D294,INDIRECT(AC$4))+SUMIF(INDIRECT(AC$3),'Struktur Vorjahr'!$D294,INDIRECT(AC$5)))</f>
        <v>0</v>
      </c>
      <c r="AD294" s="593">
        <f ca="1">$E294*(-SUMIF(INDIRECT(AD$3),'Struktur Vorjahr'!$D294,INDIRECT(AD$4))+SUMIF(INDIRECT(AD$3),'Struktur Vorjahr'!$D294,INDIRECT(AD$5)))</f>
        <v>0</v>
      </c>
      <c r="AE294" s="593">
        <f t="shared" ref="AE294:AE299" ca="1" si="126">G294</f>
        <v>0</v>
      </c>
      <c r="AF294" s="593">
        <f t="shared" ref="AF294:AP299" ca="1" si="127">H294+AE294</f>
        <v>0</v>
      </c>
      <c r="AG294" s="593">
        <f t="shared" ca="1" si="127"/>
        <v>27.18</v>
      </c>
      <c r="AH294" s="593">
        <f t="shared" ca="1" si="127"/>
        <v>27.18</v>
      </c>
      <c r="AI294" s="593">
        <f t="shared" ca="1" si="127"/>
        <v>27.18</v>
      </c>
      <c r="AJ294" s="593">
        <f t="shared" ca="1" si="127"/>
        <v>258.26</v>
      </c>
      <c r="AK294" s="593">
        <f t="shared" ca="1" si="127"/>
        <v>322.53999999999996</v>
      </c>
      <c r="AL294" s="593">
        <f t="shared" ca="1" si="127"/>
        <v>322.53999999999996</v>
      </c>
      <c r="AM294" s="593">
        <f t="shared" ca="1" si="127"/>
        <v>322.53999999999996</v>
      </c>
      <c r="AN294" s="593">
        <f t="shared" ca="1" si="127"/>
        <v>322.53999999999996</v>
      </c>
      <c r="AO294" s="593">
        <f t="shared" ca="1" si="127"/>
        <v>322.53999999999996</v>
      </c>
      <c r="AP294" s="593">
        <f t="shared" ca="1" si="127"/>
        <v>322.53999999999996</v>
      </c>
    </row>
    <row r="295" spans="1:42" s="594" customFormat="1" ht="11.25" outlineLevel="1" x14ac:dyDescent="0.2">
      <c r="A295" s="590"/>
      <c r="B295" s="591" t="str">
        <f>IF(D295&lt;&gt;"",
IF(ISERROR(MATCH(D295,'Ist Vorjahr Monat 01'!A:A,0))=FALSE,INDEX('Ist Vorjahr Monat 01'!B:B,MATCH(D295,'Ist Vorjahr Monat 01'!A:A,0)),
IF(ISERROR(MATCH(D295,'Ist Vorjahr Monat 02'!A:A,0))=FALSE,INDEX('Ist Vorjahr Monat 02'!B:B,MATCH(D295,'Ist Vorjahr Monat 02'!A:A,0)),
IF(ISERROR(MATCH(D295,'Ist Vorjahr Monat 03'!A:A,0))=FALSE,INDEX('Ist Vorjahr Monat 03'!B:B,MATCH(D295,'Ist Vorjahr Monat 03'!A:A,0)),
IF(ISERROR(MATCH(D295,'Ist Vorjahr Monat 04'!A:A,0))=FALSE,INDEX('Ist Vorjahr Monat 04'!B:B,MATCH(D295,'Ist Vorjahr Monat 04'!A:A,0)),
IF(ISERROR(MATCH(D295,'Ist Vorjahr Monat 05'!A:A,0))=FALSE,INDEX('Ist Vorjahr Monat 05'!B:B,MATCH(D295,'Ist Vorjahr Monat 05'!A:A,0)),
IF(ISERROR(MATCH(D295,'Ist Vorjahr Monat 06'!A:A,0))=FALSE,INDEX('Ist Vorjahr Monat 06'!B:B,MATCH(D295,'Ist Vorjahr Monat 06'!A:A,0)),
IF(ISERROR(MATCH(D295,'Ist Vorjahr Monat 07'!A:A,0))=FALSE,INDEX('Ist Vorjahr Monat 07'!B:B,MATCH(D295,'Ist Vorjahr Monat 07'!A:A,0)),
IF(ISERROR(MATCH(D295,'Ist Vorjahr Monat 08'!A:A,0))=FALSE,INDEX('Ist Vorjahr Monat 08'!B:B,MATCH(D295,'Ist Vorjahr Monat 08'!A:A,0)),
IF(ISERROR(MATCH(D295,'Ist Vorjahr Monat 09'!A:A,0))=FALSE,INDEX('Ist Vorjahr Monat 09'!B:B,MATCH(D295,'Ist Vorjahr Monat 09'!A:A,0)),
IF(ISERROR(MATCH(D295,'Ist Vorjahr Monat 10'!A:A,0))=FALSE,INDEX('Ist Vorjahr Monat 10'!B:B,MATCH(D295,'Ist Vorjahr Monat 10'!A:A,0)),
IF(ISERROR(MATCH(D295,'Ist Vorjahr Monat 11'!A:A,0))=FALSE,INDEX('Ist Vorjahr Monat 11'!B:B,MATCH(D295,'Ist Vorjahr Monat 11'!A:A,0)),
IF(ISERROR(MATCH(D295,'Ist Vorjahr Monat 12'!A:A,0))=FALSE,INDEX('Ist Vorjahr Monat 12'!B:B,MATCH(D295,'Ist Vorjahr Monat 12'!A:A,0)),
"{Konto unbekannt}"
)))))))))))),"")</f>
        <v/>
      </c>
      <c r="C295" s="591"/>
      <c r="D295" s="590"/>
      <c r="E295" s="592">
        <f t="shared" si="121"/>
        <v>1</v>
      </c>
      <c r="F295" s="590"/>
      <c r="G295" s="593">
        <f ca="1">$E295*(-SUMIF(INDIRECT(G$3),'Struktur Vorjahr'!$D295,INDIRECT(G$4))+SUMIF(INDIRECT(G$3),'Struktur Vorjahr'!$D295,INDIRECT(G$5)))</f>
        <v>0</v>
      </c>
      <c r="H295" s="593">
        <f ca="1">$E295*(-SUMIF(INDIRECT(H$3),'Struktur Vorjahr'!$D295,INDIRECT(H$4))+SUMIF(INDIRECT(H$3),'Struktur Vorjahr'!$D295,INDIRECT(H$5)))</f>
        <v>0</v>
      </c>
      <c r="I295" s="593">
        <f ca="1">$E295*(-SUMIF(INDIRECT(I$3),'Struktur Vorjahr'!$D295,INDIRECT(I$4))+SUMIF(INDIRECT(I$3),'Struktur Vorjahr'!$D295,INDIRECT(I$5)))</f>
        <v>0</v>
      </c>
      <c r="J295" s="593">
        <f ca="1">$E295*(-SUMIF(INDIRECT(J$3),'Struktur Vorjahr'!$D295,INDIRECT(J$4))+SUMIF(INDIRECT(J$3),'Struktur Vorjahr'!$D295,INDIRECT(J$5)))</f>
        <v>0</v>
      </c>
      <c r="K295" s="593">
        <f ca="1">$E295*(-SUMIF(INDIRECT(K$3),'Struktur Vorjahr'!$D295,INDIRECT(K$4))+SUMIF(INDIRECT(K$3),'Struktur Vorjahr'!$D295,INDIRECT(K$5)))</f>
        <v>0</v>
      </c>
      <c r="L295" s="593">
        <f ca="1">$E295*(-SUMIF(INDIRECT(L$3),'Struktur Vorjahr'!$D295,INDIRECT(L$4))+SUMIF(INDIRECT(L$3),'Struktur Vorjahr'!$D295,INDIRECT(L$5)))</f>
        <v>0</v>
      </c>
      <c r="M295" s="593">
        <f ca="1">$E295*(-SUMIF(INDIRECT(M$3),'Struktur Vorjahr'!$D295,INDIRECT(M$4))+SUMIF(INDIRECT(M$3),'Struktur Vorjahr'!$D295,INDIRECT(M$5)))</f>
        <v>0</v>
      </c>
      <c r="N295" s="593">
        <f ca="1">$E295*(-SUMIF(INDIRECT(N$3),'Struktur Vorjahr'!$D295,INDIRECT(N$4))+SUMIF(INDIRECT(N$3),'Struktur Vorjahr'!$D295,INDIRECT(N$5)))</f>
        <v>0</v>
      </c>
      <c r="O295" s="593">
        <f ca="1">$E295*(-SUMIF(INDIRECT(O$3),'Struktur Vorjahr'!$D295,INDIRECT(O$4))+SUMIF(INDIRECT(O$3),'Struktur Vorjahr'!$D295,INDIRECT(O$5)))</f>
        <v>0</v>
      </c>
      <c r="P295" s="593">
        <f ca="1">$E295*(-SUMIF(INDIRECT(P$3),'Struktur Vorjahr'!$D295,INDIRECT(P$4))+SUMIF(INDIRECT(P$3),'Struktur Vorjahr'!$D295,INDIRECT(P$5)))</f>
        <v>0</v>
      </c>
      <c r="Q295" s="593">
        <f ca="1">$E295*(-SUMIF(INDIRECT(Q$3),'Struktur Vorjahr'!$D295,INDIRECT(Q$4))+SUMIF(INDIRECT(Q$3),'Struktur Vorjahr'!$D295,INDIRECT(Q$5)))</f>
        <v>0</v>
      </c>
      <c r="R295" s="593">
        <f ca="1">$E295*(-SUMIF(INDIRECT(R$3),'Struktur Vorjahr'!$D295,INDIRECT(R$4))+SUMIF(INDIRECT(R$3),'Struktur Vorjahr'!$D295,INDIRECT(R$5)))</f>
        <v>0</v>
      </c>
      <c r="S295" s="593">
        <f ca="1">$E295*(-SUMIF(INDIRECT(S$3),'Struktur Vorjahr'!$D295,INDIRECT(S$4))+SUMIF(INDIRECT(S$3),'Struktur Vorjahr'!$D295,INDIRECT(S$5)))</f>
        <v>0</v>
      </c>
      <c r="T295" s="593">
        <f ca="1">$E295*(-SUMIF(INDIRECT(T$3),'Struktur Vorjahr'!$D295,INDIRECT(T$4))+SUMIF(INDIRECT(T$3),'Struktur Vorjahr'!$D295,INDIRECT(T$5)))</f>
        <v>0</v>
      </c>
      <c r="U295" s="593">
        <f ca="1">$E295*(-SUMIF(INDIRECT(U$3),'Struktur Vorjahr'!$D295,INDIRECT(U$4))+SUMIF(INDIRECT(U$3),'Struktur Vorjahr'!$D295,INDIRECT(U$5)))</f>
        <v>0</v>
      </c>
      <c r="V295" s="593">
        <f ca="1">$E295*(-SUMIF(INDIRECT(V$3),'Struktur Vorjahr'!$D295,INDIRECT(V$4))+SUMIF(INDIRECT(V$3),'Struktur Vorjahr'!$D295,INDIRECT(V$5)))</f>
        <v>0</v>
      </c>
      <c r="W295" s="593">
        <f ca="1">$E295*(-SUMIF(INDIRECT(W$3),'Struktur Vorjahr'!$D295,INDIRECT(W$4))+SUMIF(INDIRECT(W$3),'Struktur Vorjahr'!$D295,INDIRECT(W$5)))</f>
        <v>0</v>
      </c>
      <c r="X295" s="593">
        <f ca="1">$E295*(-SUMIF(INDIRECT(X$3),'Struktur Vorjahr'!$D295,INDIRECT(X$4))+SUMIF(INDIRECT(X$3),'Struktur Vorjahr'!$D295,INDIRECT(X$5)))</f>
        <v>0</v>
      </c>
      <c r="Y295" s="593">
        <f ca="1">$E295*(-SUMIF(INDIRECT(Y$3),'Struktur Vorjahr'!$D295,INDIRECT(Y$4))+SUMIF(INDIRECT(Y$3),'Struktur Vorjahr'!$D295,INDIRECT(Y$5)))</f>
        <v>0</v>
      </c>
      <c r="Z295" s="593">
        <f ca="1">$E295*(-SUMIF(INDIRECT(Z$3),'Struktur Vorjahr'!$D295,INDIRECT(Z$4))+SUMIF(INDIRECT(Z$3),'Struktur Vorjahr'!$D295,INDIRECT(Z$5)))</f>
        <v>0</v>
      </c>
      <c r="AA295" s="593">
        <f ca="1">$E295*(-SUMIF(INDIRECT(AA$3),'Struktur Vorjahr'!$D295,INDIRECT(AA$4))+SUMIF(INDIRECT(AA$3),'Struktur Vorjahr'!$D295,INDIRECT(AA$5)))</f>
        <v>0</v>
      </c>
      <c r="AB295" s="593">
        <f ca="1">$E295*(-SUMIF(INDIRECT(AB$3),'Struktur Vorjahr'!$D295,INDIRECT(AB$4))+SUMIF(INDIRECT(AB$3),'Struktur Vorjahr'!$D295,INDIRECT(AB$5)))</f>
        <v>0</v>
      </c>
      <c r="AC295" s="593">
        <f ca="1">$E295*(-SUMIF(INDIRECT(AC$3),'Struktur Vorjahr'!$D295,INDIRECT(AC$4))+SUMIF(INDIRECT(AC$3),'Struktur Vorjahr'!$D295,INDIRECT(AC$5)))</f>
        <v>0</v>
      </c>
      <c r="AD295" s="593">
        <f ca="1">$E295*(-SUMIF(INDIRECT(AD$3),'Struktur Vorjahr'!$D295,INDIRECT(AD$4))+SUMIF(INDIRECT(AD$3),'Struktur Vorjahr'!$D295,INDIRECT(AD$5)))</f>
        <v>0</v>
      </c>
      <c r="AE295" s="593">
        <f t="shared" ca="1" si="126"/>
        <v>0</v>
      </c>
      <c r="AF295" s="593">
        <f t="shared" ca="1" si="127"/>
        <v>0</v>
      </c>
      <c r="AG295" s="593">
        <f t="shared" ca="1" si="127"/>
        <v>0</v>
      </c>
      <c r="AH295" s="593">
        <f t="shared" ca="1" si="127"/>
        <v>0</v>
      </c>
      <c r="AI295" s="593">
        <f t="shared" ca="1" si="127"/>
        <v>0</v>
      </c>
      <c r="AJ295" s="593">
        <f t="shared" ca="1" si="127"/>
        <v>0</v>
      </c>
      <c r="AK295" s="593">
        <f t="shared" ca="1" si="127"/>
        <v>0</v>
      </c>
      <c r="AL295" s="593">
        <f t="shared" ca="1" si="127"/>
        <v>0</v>
      </c>
      <c r="AM295" s="593">
        <f t="shared" ca="1" si="127"/>
        <v>0</v>
      </c>
      <c r="AN295" s="593">
        <f t="shared" ca="1" si="127"/>
        <v>0</v>
      </c>
      <c r="AO295" s="593">
        <f t="shared" ca="1" si="127"/>
        <v>0</v>
      </c>
      <c r="AP295" s="593">
        <f t="shared" ca="1" si="127"/>
        <v>0</v>
      </c>
    </row>
    <row r="296" spans="1:42" s="594" customFormat="1" ht="11.25" outlineLevel="1" x14ac:dyDescent="0.2">
      <c r="A296" s="590"/>
      <c r="B296" s="591" t="str">
        <f>IF(D296&lt;&gt;"",
IF(ISERROR(MATCH(D296,'Ist Vorjahr Monat 01'!A:A,0))=FALSE,INDEX('Ist Vorjahr Monat 01'!B:B,MATCH(D296,'Ist Vorjahr Monat 01'!A:A,0)),
IF(ISERROR(MATCH(D296,'Ist Vorjahr Monat 02'!A:A,0))=FALSE,INDEX('Ist Vorjahr Monat 02'!B:B,MATCH(D296,'Ist Vorjahr Monat 02'!A:A,0)),
IF(ISERROR(MATCH(D296,'Ist Vorjahr Monat 03'!A:A,0))=FALSE,INDEX('Ist Vorjahr Monat 03'!B:B,MATCH(D296,'Ist Vorjahr Monat 03'!A:A,0)),
IF(ISERROR(MATCH(D296,'Ist Vorjahr Monat 04'!A:A,0))=FALSE,INDEX('Ist Vorjahr Monat 04'!B:B,MATCH(D296,'Ist Vorjahr Monat 04'!A:A,0)),
IF(ISERROR(MATCH(D296,'Ist Vorjahr Monat 05'!A:A,0))=FALSE,INDEX('Ist Vorjahr Monat 05'!B:B,MATCH(D296,'Ist Vorjahr Monat 05'!A:A,0)),
IF(ISERROR(MATCH(D296,'Ist Vorjahr Monat 06'!A:A,0))=FALSE,INDEX('Ist Vorjahr Monat 06'!B:B,MATCH(D296,'Ist Vorjahr Monat 06'!A:A,0)),
IF(ISERROR(MATCH(D296,'Ist Vorjahr Monat 07'!A:A,0))=FALSE,INDEX('Ist Vorjahr Monat 07'!B:B,MATCH(D296,'Ist Vorjahr Monat 07'!A:A,0)),
IF(ISERROR(MATCH(D296,'Ist Vorjahr Monat 08'!A:A,0))=FALSE,INDEX('Ist Vorjahr Monat 08'!B:B,MATCH(D296,'Ist Vorjahr Monat 08'!A:A,0)),
IF(ISERROR(MATCH(D296,'Ist Vorjahr Monat 09'!A:A,0))=FALSE,INDEX('Ist Vorjahr Monat 09'!B:B,MATCH(D296,'Ist Vorjahr Monat 09'!A:A,0)),
IF(ISERROR(MATCH(D296,'Ist Vorjahr Monat 10'!A:A,0))=FALSE,INDEX('Ist Vorjahr Monat 10'!B:B,MATCH(D296,'Ist Vorjahr Monat 10'!A:A,0)),
IF(ISERROR(MATCH(D296,'Ist Vorjahr Monat 11'!A:A,0))=FALSE,INDEX('Ist Vorjahr Monat 11'!B:B,MATCH(D296,'Ist Vorjahr Monat 11'!A:A,0)),
IF(ISERROR(MATCH(D296,'Ist Vorjahr Monat 12'!A:A,0))=FALSE,INDEX('Ist Vorjahr Monat 12'!B:B,MATCH(D296,'Ist Vorjahr Monat 12'!A:A,0)),
"{Konto unbekannt}"
)))))))))))),"")</f>
        <v/>
      </c>
      <c r="C296" s="591"/>
      <c r="D296" s="590"/>
      <c r="E296" s="592">
        <f>IF(F296="-",-1,1)</f>
        <v>1</v>
      </c>
      <c r="F296" s="590"/>
      <c r="G296" s="593">
        <f ca="1">$E296*(-SUMIF(INDIRECT(G$3),'Struktur Vorjahr'!$D296,INDIRECT(G$4))+SUMIF(INDIRECT(G$3),'Struktur Vorjahr'!$D296,INDIRECT(G$5)))</f>
        <v>0</v>
      </c>
      <c r="H296" s="593">
        <f ca="1">$E296*(-SUMIF(INDIRECT(H$3),'Struktur Vorjahr'!$D296,INDIRECT(H$4))+SUMIF(INDIRECT(H$3),'Struktur Vorjahr'!$D296,INDIRECT(H$5)))</f>
        <v>0</v>
      </c>
      <c r="I296" s="593">
        <f ca="1">$E296*(-SUMIF(INDIRECT(I$3),'Struktur Vorjahr'!$D296,INDIRECT(I$4))+SUMIF(INDIRECT(I$3),'Struktur Vorjahr'!$D296,INDIRECT(I$5)))</f>
        <v>0</v>
      </c>
      <c r="J296" s="593">
        <f ca="1">$E296*(-SUMIF(INDIRECT(J$3),'Struktur Vorjahr'!$D296,INDIRECT(J$4))+SUMIF(INDIRECT(J$3),'Struktur Vorjahr'!$D296,INDIRECT(J$5)))</f>
        <v>0</v>
      </c>
      <c r="K296" s="593">
        <f ca="1">$E296*(-SUMIF(INDIRECT(K$3),'Struktur Vorjahr'!$D296,INDIRECT(K$4))+SUMIF(INDIRECT(K$3),'Struktur Vorjahr'!$D296,INDIRECT(K$5)))</f>
        <v>0</v>
      </c>
      <c r="L296" s="593">
        <f ca="1">$E296*(-SUMIF(INDIRECT(L$3),'Struktur Vorjahr'!$D296,INDIRECT(L$4))+SUMIF(INDIRECT(L$3),'Struktur Vorjahr'!$D296,INDIRECT(L$5)))</f>
        <v>0</v>
      </c>
      <c r="M296" s="593">
        <f ca="1">$E296*(-SUMIF(INDIRECT(M$3),'Struktur Vorjahr'!$D296,INDIRECT(M$4))+SUMIF(INDIRECT(M$3),'Struktur Vorjahr'!$D296,INDIRECT(M$5)))</f>
        <v>0</v>
      </c>
      <c r="N296" s="593">
        <f ca="1">$E296*(-SUMIF(INDIRECT(N$3),'Struktur Vorjahr'!$D296,INDIRECT(N$4))+SUMIF(INDIRECT(N$3),'Struktur Vorjahr'!$D296,INDIRECT(N$5)))</f>
        <v>0</v>
      </c>
      <c r="O296" s="593">
        <f ca="1">$E296*(-SUMIF(INDIRECT(O$3),'Struktur Vorjahr'!$D296,INDIRECT(O$4))+SUMIF(INDIRECT(O$3),'Struktur Vorjahr'!$D296,INDIRECT(O$5)))</f>
        <v>0</v>
      </c>
      <c r="P296" s="593">
        <f ca="1">$E296*(-SUMIF(INDIRECT(P$3),'Struktur Vorjahr'!$D296,INDIRECT(P$4))+SUMIF(INDIRECT(P$3),'Struktur Vorjahr'!$D296,INDIRECT(P$5)))</f>
        <v>0</v>
      </c>
      <c r="Q296" s="593">
        <f ca="1">$E296*(-SUMIF(INDIRECT(Q$3),'Struktur Vorjahr'!$D296,INDIRECT(Q$4))+SUMIF(INDIRECT(Q$3),'Struktur Vorjahr'!$D296,INDIRECT(Q$5)))</f>
        <v>0</v>
      </c>
      <c r="R296" s="593">
        <f ca="1">$E296*(-SUMIF(INDIRECT(R$3),'Struktur Vorjahr'!$D296,INDIRECT(R$4))+SUMIF(INDIRECT(R$3),'Struktur Vorjahr'!$D296,INDIRECT(R$5)))</f>
        <v>0</v>
      </c>
      <c r="S296" s="593">
        <f ca="1">$E296*(-SUMIF(INDIRECT(S$3),'Struktur Vorjahr'!$D296,INDIRECT(S$4))+SUMIF(INDIRECT(S$3),'Struktur Vorjahr'!$D296,INDIRECT(S$5)))</f>
        <v>0</v>
      </c>
      <c r="T296" s="593">
        <f ca="1">$E296*(-SUMIF(INDIRECT(T$3),'Struktur Vorjahr'!$D296,INDIRECT(T$4))+SUMIF(INDIRECT(T$3),'Struktur Vorjahr'!$D296,INDIRECT(T$5)))</f>
        <v>0</v>
      </c>
      <c r="U296" s="593">
        <f ca="1">$E296*(-SUMIF(INDIRECT(U$3),'Struktur Vorjahr'!$D296,INDIRECT(U$4))+SUMIF(INDIRECT(U$3),'Struktur Vorjahr'!$D296,INDIRECT(U$5)))</f>
        <v>0</v>
      </c>
      <c r="V296" s="593">
        <f ca="1">$E296*(-SUMIF(INDIRECT(V$3),'Struktur Vorjahr'!$D296,INDIRECT(V$4))+SUMIF(INDIRECT(V$3),'Struktur Vorjahr'!$D296,INDIRECT(V$5)))</f>
        <v>0</v>
      </c>
      <c r="W296" s="593">
        <f ca="1">$E296*(-SUMIF(INDIRECT(W$3),'Struktur Vorjahr'!$D296,INDIRECT(W$4))+SUMIF(INDIRECT(W$3),'Struktur Vorjahr'!$D296,INDIRECT(W$5)))</f>
        <v>0</v>
      </c>
      <c r="X296" s="593">
        <f ca="1">$E296*(-SUMIF(INDIRECT(X$3),'Struktur Vorjahr'!$D296,INDIRECT(X$4))+SUMIF(INDIRECT(X$3),'Struktur Vorjahr'!$D296,INDIRECT(X$5)))</f>
        <v>0</v>
      </c>
      <c r="Y296" s="593">
        <f ca="1">$E296*(-SUMIF(INDIRECT(Y$3),'Struktur Vorjahr'!$D296,INDIRECT(Y$4))+SUMIF(INDIRECT(Y$3),'Struktur Vorjahr'!$D296,INDIRECT(Y$5)))</f>
        <v>0</v>
      </c>
      <c r="Z296" s="593">
        <f ca="1">$E296*(-SUMIF(INDIRECT(Z$3),'Struktur Vorjahr'!$D296,INDIRECT(Z$4))+SUMIF(INDIRECT(Z$3),'Struktur Vorjahr'!$D296,INDIRECT(Z$5)))</f>
        <v>0</v>
      </c>
      <c r="AA296" s="593">
        <f ca="1">$E296*(-SUMIF(INDIRECT(AA$3),'Struktur Vorjahr'!$D296,INDIRECT(AA$4))+SUMIF(INDIRECT(AA$3),'Struktur Vorjahr'!$D296,INDIRECT(AA$5)))</f>
        <v>0</v>
      </c>
      <c r="AB296" s="593">
        <f ca="1">$E296*(-SUMIF(INDIRECT(AB$3),'Struktur Vorjahr'!$D296,INDIRECT(AB$4))+SUMIF(INDIRECT(AB$3),'Struktur Vorjahr'!$D296,INDIRECT(AB$5)))</f>
        <v>0</v>
      </c>
      <c r="AC296" s="593">
        <f ca="1">$E296*(-SUMIF(INDIRECT(AC$3),'Struktur Vorjahr'!$D296,INDIRECT(AC$4))+SUMIF(INDIRECT(AC$3),'Struktur Vorjahr'!$D296,INDIRECT(AC$5)))</f>
        <v>0</v>
      </c>
      <c r="AD296" s="593">
        <f ca="1">$E296*(-SUMIF(INDIRECT(AD$3),'Struktur Vorjahr'!$D296,INDIRECT(AD$4))+SUMIF(INDIRECT(AD$3),'Struktur Vorjahr'!$D296,INDIRECT(AD$5)))</f>
        <v>0</v>
      </c>
      <c r="AE296" s="593">
        <f t="shared" ca="1" si="126"/>
        <v>0</v>
      </c>
      <c r="AF296" s="593">
        <f t="shared" ca="1" si="127"/>
        <v>0</v>
      </c>
      <c r="AG296" s="593">
        <f t="shared" ca="1" si="127"/>
        <v>0</v>
      </c>
      <c r="AH296" s="593">
        <f t="shared" ca="1" si="127"/>
        <v>0</v>
      </c>
      <c r="AI296" s="593">
        <f t="shared" ca="1" si="127"/>
        <v>0</v>
      </c>
      <c r="AJ296" s="593">
        <f t="shared" ca="1" si="127"/>
        <v>0</v>
      </c>
      <c r="AK296" s="593">
        <f t="shared" ca="1" si="127"/>
        <v>0</v>
      </c>
      <c r="AL296" s="593">
        <f t="shared" ca="1" si="127"/>
        <v>0</v>
      </c>
      <c r="AM296" s="593">
        <f t="shared" ca="1" si="127"/>
        <v>0</v>
      </c>
      <c r="AN296" s="593">
        <f t="shared" ca="1" si="127"/>
        <v>0</v>
      </c>
      <c r="AO296" s="593">
        <f t="shared" ca="1" si="127"/>
        <v>0</v>
      </c>
      <c r="AP296" s="593">
        <f t="shared" ca="1" si="127"/>
        <v>0</v>
      </c>
    </row>
    <row r="297" spans="1:42" s="594" customFormat="1" ht="11.25" outlineLevel="1" x14ac:dyDescent="0.2">
      <c r="A297" s="590"/>
      <c r="B297" s="591" t="str">
        <f>IF(D297&lt;&gt;"",
IF(ISERROR(MATCH(D297,'Ist Vorjahr Monat 01'!A:A,0))=FALSE,INDEX('Ist Vorjahr Monat 01'!B:B,MATCH(D297,'Ist Vorjahr Monat 01'!A:A,0)),
IF(ISERROR(MATCH(D297,'Ist Vorjahr Monat 02'!A:A,0))=FALSE,INDEX('Ist Vorjahr Monat 02'!B:B,MATCH(D297,'Ist Vorjahr Monat 02'!A:A,0)),
IF(ISERROR(MATCH(D297,'Ist Vorjahr Monat 03'!A:A,0))=FALSE,INDEX('Ist Vorjahr Monat 03'!B:B,MATCH(D297,'Ist Vorjahr Monat 03'!A:A,0)),
IF(ISERROR(MATCH(D297,'Ist Vorjahr Monat 04'!A:A,0))=FALSE,INDEX('Ist Vorjahr Monat 04'!B:B,MATCH(D297,'Ist Vorjahr Monat 04'!A:A,0)),
IF(ISERROR(MATCH(D297,'Ist Vorjahr Monat 05'!A:A,0))=FALSE,INDEX('Ist Vorjahr Monat 05'!B:B,MATCH(D297,'Ist Vorjahr Monat 05'!A:A,0)),
IF(ISERROR(MATCH(D297,'Ist Vorjahr Monat 06'!A:A,0))=FALSE,INDEX('Ist Vorjahr Monat 06'!B:B,MATCH(D297,'Ist Vorjahr Monat 06'!A:A,0)),
IF(ISERROR(MATCH(D297,'Ist Vorjahr Monat 07'!A:A,0))=FALSE,INDEX('Ist Vorjahr Monat 07'!B:B,MATCH(D297,'Ist Vorjahr Monat 07'!A:A,0)),
IF(ISERROR(MATCH(D297,'Ist Vorjahr Monat 08'!A:A,0))=FALSE,INDEX('Ist Vorjahr Monat 08'!B:B,MATCH(D297,'Ist Vorjahr Monat 08'!A:A,0)),
IF(ISERROR(MATCH(D297,'Ist Vorjahr Monat 09'!A:A,0))=FALSE,INDEX('Ist Vorjahr Monat 09'!B:B,MATCH(D297,'Ist Vorjahr Monat 09'!A:A,0)),
IF(ISERROR(MATCH(D297,'Ist Vorjahr Monat 10'!A:A,0))=FALSE,INDEX('Ist Vorjahr Monat 10'!B:B,MATCH(D297,'Ist Vorjahr Monat 10'!A:A,0)),
IF(ISERROR(MATCH(D297,'Ist Vorjahr Monat 11'!A:A,0))=FALSE,INDEX('Ist Vorjahr Monat 11'!B:B,MATCH(D297,'Ist Vorjahr Monat 11'!A:A,0)),
IF(ISERROR(MATCH(D297,'Ist Vorjahr Monat 12'!A:A,0))=FALSE,INDEX('Ist Vorjahr Monat 12'!B:B,MATCH(D297,'Ist Vorjahr Monat 12'!A:A,0)),
"{Konto unbekannt}"
)))))))))))),"")</f>
        <v/>
      </c>
      <c r="C297" s="591"/>
      <c r="D297" s="590"/>
      <c r="E297" s="592">
        <f>IF(F297="-",-1,1)</f>
        <v>1</v>
      </c>
      <c r="F297" s="590"/>
      <c r="G297" s="593">
        <f ca="1">$E297*(-SUMIF(INDIRECT(G$3),'Struktur Vorjahr'!$D297,INDIRECT(G$4))+SUMIF(INDIRECT(G$3),'Struktur Vorjahr'!$D297,INDIRECT(G$5)))</f>
        <v>0</v>
      </c>
      <c r="H297" s="593">
        <f ca="1">$E297*(-SUMIF(INDIRECT(H$3),'Struktur Vorjahr'!$D297,INDIRECT(H$4))+SUMIF(INDIRECT(H$3),'Struktur Vorjahr'!$D297,INDIRECT(H$5)))</f>
        <v>0</v>
      </c>
      <c r="I297" s="593">
        <f ca="1">$E297*(-SUMIF(INDIRECT(I$3),'Struktur Vorjahr'!$D297,INDIRECT(I$4))+SUMIF(INDIRECT(I$3),'Struktur Vorjahr'!$D297,INDIRECT(I$5)))</f>
        <v>0</v>
      </c>
      <c r="J297" s="593">
        <f ca="1">$E297*(-SUMIF(INDIRECT(J$3),'Struktur Vorjahr'!$D297,INDIRECT(J$4))+SUMIF(INDIRECT(J$3),'Struktur Vorjahr'!$D297,INDIRECT(J$5)))</f>
        <v>0</v>
      </c>
      <c r="K297" s="593">
        <f ca="1">$E297*(-SUMIF(INDIRECT(K$3),'Struktur Vorjahr'!$D297,INDIRECT(K$4))+SUMIF(INDIRECT(K$3),'Struktur Vorjahr'!$D297,INDIRECT(K$5)))</f>
        <v>0</v>
      </c>
      <c r="L297" s="593">
        <f ca="1">$E297*(-SUMIF(INDIRECT(L$3),'Struktur Vorjahr'!$D297,INDIRECT(L$4))+SUMIF(INDIRECT(L$3),'Struktur Vorjahr'!$D297,INDIRECT(L$5)))</f>
        <v>0</v>
      </c>
      <c r="M297" s="593">
        <f ca="1">$E297*(-SUMIF(INDIRECT(M$3),'Struktur Vorjahr'!$D297,INDIRECT(M$4))+SUMIF(INDIRECT(M$3),'Struktur Vorjahr'!$D297,INDIRECT(M$5)))</f>
        <v>0</v>
      </c>
      <c r="N297" s="593">
        <f ca="1">$E297*(-SUMIF(INDIRECT(N$3),'Struktur Vorjahr'!$D297,INDIRECT(N$4))+SUMIF(INDIRECT(N$3),'Struktur Vorjahr'!$D297,INDIRECT(N$5)))</f>
        <v>0</v>
      </c>
      <c r="O297" s="593">
        <f ca="1">$E297*(-SUMIF(INDIRECT(O$3),'Struktur Vorjahr'!$D297,INDIRECT(O$4))+SUMIF(INDIRECT(O$3),'Struktur Vorjahr'!$D297,INDIRECT(O$5)))</f>
        <v>0</v>
      </c>
      <c r="P297" s="593">
        <f ca="1">$E297*(-SUMIF(INDIRECT(P$3),'Struktur Vorjahr'!$D297,INDIRECT(P$4))+SUMIF(INDIRECT(P$3),'Struktur Vorjahr'!$D297,INDIRECT(P$5)))</f>
        <v>0</v>
      </c>
      <c r="Q297" s="593">
        <f ca="1">$E297*(-SUMIF(INDIRECT(Q$3),'Struktur Vorjahr'!$D297,INDIRECT(Q$4))+SUMIF(INDIRECT(Q$3),'Struktur Vorjahr'!$D297,INDIRECT(Q$5)))</f>
        <v>0</v>
      </c>
      <c r="R297" s="593">
        <f ca="1">$E297*(-SUMIF(INDIRECT(R$3),'Struktur Vorjahr'!$D297,INDIRECT(R$4))+SUMIF(INDIRECT(R$3),'Struktur Vorjahr'!$D297,INDIRECT(R$5)))</f>
        <v>0</v>
      </c>
      <c r="S297" s="593">
        <f ca="1">$E297*(-SUMIF(INDIRECT(S$3),'Struktur Vorjahr'!$D297,INDIRECT(S$4))+SUMIF(INDIRECT(S$3),'Struktur Vorjahr'!$D297,INDIRECT(S$5)))</f>
        <v>0</v>
      </c>
      <c r="T297" s="593">
        <f ca="1">$E297*(-SUMIF(INDIRECT(T$3),'Struktur Vorjahr'!$D297,INDIRECT(T$4))+SUMIF(INDIRECT(T$3),'Struktur Vorjahr'!$D297,INDIRECT(T$5)))</f>
        <v>0</v>
      </c>
      <c r="U297" s="593">
        <f ca="1">$E297*(-SUMIF(INDIRECT(U$3),'Struktur Vorjahr'!$D297,INDIRECT(U$4))+SUMIF(INDIRECT(U$3),'Struktur Vorjahr'!$D297,INDIRECT(U$5)))</f>
        <v>0</v>
      </c>
      <c r="V297" s="593">
        <f ca="1">$E297*(-SUMIF(INDIRECT(V$3),'Struktur Vorjahr'!$D297,INDIRECT(V$4))+SUMIF(INDIRECT(V$3),'Struktur Vorjahr'!$D297,INDIRECT(V$5)))</f>
        <v>0</v>
      </c>
      <c r="W297" s="593">
        <f ca="1">$E297*(-SUMIF(INDIRECT(W$3),'Struktur Vorjahr'!$D297,INDIRECT(W$4))+SUMIF(INDIRECT(W$3),'Struktur Vorjahr'!$D297,INDIRECT(W$5)))</f>
        <v>0</v>
      </c>
      <c r="X297" s="593">
        <f ca="1">$E297*(-SUMIF(INDIRECT(X$3),'Struktur Vorjahr'!$D297,INDIRECT(X$4))+SUMIF(INDIRECT(X$3),'Struktur Vorjahr'!$D297,INDIRECT(X$5)))</f>
        <v>0</v>
      </c>
      <c r="Y297" s="593">
        <f ca="1">$E297*(-SUMIF(INDIRECT(Y$3),'Struktur Vorjahr'!$D297,INDIRECT(Y$4))+SUMIF(INDIRECT(Y$3),'Struktur Vorjahr'!$D297,INDIRECT(Y$5)))</f>
        <v>0</v>
      </c>
      <c r="Z297" s="593">
        <f ca="1">$E297*(-SUMIF(INDIRECT(Z$3),'Struktur Vorjahr'!$D297,INDIRECT(Z$4))+SUMIF(INDIRECT(Z$3),'Struktur Vorjahr'!$D297,INDIRECT(Z$5)))</f>
        <v>0</v>
      </c>
      <c r="AA297" s="593">
        <f ca="1">$E297*(-SUMIF(INDIRECT(AA$3),'Struktur Vorjahr'!$D297,INDIRECT(AA$4))+SUMIF(INDIRECT(AA$3),'Struktur Vorjahr'!$D297,INDIRECT(AA$5)))</f>
        <v>0</v>
      </c>
      <c r="AB297" s="593">
        <f ca="1">$E297*(-SUMIF(INDIRECT(AB$3),'Struktur Vorjahr'!$D297,INDIRECT(AB$4))+SUMIF(INDIRECT(AB$3),'Struktur Vorjahr'!$D297,INDIRECT(AB$5)))</f>
        <v>0</v>
      </c>
      <c r="AC297" s="593">
        <f ca="1">$E297*(-SUMIF(INDIRECT(AC$3),'Struktur Vorjahr'!$D297,INDIRECT(AC$4))+SUMIF(INDIRECT(AC$3),'Struktur Vorjahr'!$D297,INDIRECT(AC$5)))</f>
        <v>0</v>
      </c>
      <c r="AD297" s="593">
        <f ca="1">$E297*(-SUMIF(INDIRECT(AD$3),'Struktur Vorjahr'!$D297,INDIRECT(AD$4))+SUMIF(INDIRECT(AD$3),'Struktur Vorjahr'!$D297,INDIRECT(AD$5)))</f>
        <v>0</v>
      </c>
      <c r="AE297" s="593">
        <f t="shared" ca="1" si="126"/>
        <v>0</v>
      </c>
      <c r="AF297" s="593">
        <f t="shared" ca="1" si="127"/>
        <v>0</v>
      </c>
      <c r="AG297" s="593">
        <f t="shared" ca="1" si="127"/>
        <v>0</v>
      </c>
      <c r="AH297" s="593">
        <f t="shared" ca="1" si="127"/>
        <v>0</v>
      </c>
      <c r="AI297" s="593">
        <f t="shared" ca="1" si="127"/>
        <v>0</v>
      </c>
      <c r="AJ297" s="593">
        <f t="shared" ca="1" si="127"/>
        <v>0</v>
      </c>
      <c r="AK297" s="593">
        <f t="shared" ca="1" si="127"/>
        <v>0</v>
      </c>
      <c r="AL297" s="593">
        <f t="shared" ca="1" si="127"/>
        <v>0</v>
      </c>
      <c r="AM297" s="593">
        <f t="shared" ca="1" si="127"/>
        <v>0</v>
      </c>
      <c r="AN297" s="593">
        <f t="shared" ca="1" si="127"/>
        <v>0</v>
      </c>
      <c r="AO297" s="593">
        <f t="shared" ca="1" si="127"/>
        <v>0</v>
      </c>
      <c r="AP297" s="593">
        <f t="shared" ca="1" si="127"/>
        <v>0</v>
      </c>
    </row>
    <row r="298" spans="1:42" s="594" customFormat="1" ht="11.25" outlineLevel="1" x14ac:dyDescent="0.2">
      <c r="A298" s="590"/>
      <c r="B298" s="591" t="str">
        <f>IF(D298&lt;&gt;"",
IF(ISERROR(MATCH(D298,'Ist Vorjahr Monat 01'!A:A,0))=FALSE,INDEX('Ist Vorjahr Monat 01'!B:B,MATCH(D298,'Ist Vorjahr Monat 01'!A:A,0)),
IF(ISERROR(MATCH(D298,'Ist Vorjahr Monat 02'!A:A,0))=FALSE,INDEX('Ist Vorjahr Monat 02'!B:B,MATCH(D298,'Ist Vorjahr Monat 02'!A:A,0)),
IF(ISERROR(MATCH(D298,'Ist Vorjahr Monat 03'!A:A,0))=FALSE,INDEX('Ist Vorjahr Monat 03'!B:B,MATCH(D298,'Ist Vorjahr Monat 03'!A:A,0)),
IF(ISERROR(MATCH(D298,'Ist Vorjahr Monat 04'!A:A,0))=FALSE,INDEX('Ist Vorjahr Monat 04'!B:B,MATCH(D298,'Ist Vorjahr Monat 04'!A:A,0)),
IF(ISERROR(MATCH(D298,'Ist Vorjahr Monat 05'!A:A,0))=FALSE,INDEX('Ist Vorjahr Monat 05'!B:B,MATCH(D298,'Ist Vorjahr Monat 05'!A:A,0)),
IF(ISERROR(MATCH(D298,'Ist Vorjahr Monat 06'!A:A,0))=FALSE,INDEX('Ist Vorjahr Monat 06'!B:B,MATCH(D298,'Ist Vorjahr Monat 06'!A:A,0)),
IF(ISERROR(MATCH(D298,'Ist Vorjahr Monat 07'!A:A,0))=FALSE,INDEX('Ist Vorjahr Monat 07'!B:B,MATCH(D298,'Ist Vorjahr Monat 07'!A:A,0)),
IF(ISERROR(MATCH(D298,'Ist Vorjahr Monat 08'!A:A,0))=FALSE,INDEX('Ist Vorjahr Monat 08'!B:B,MATCH(D298,'Ist Vorjahr Monat 08'!A:A,0)),
IF(ISERROR(MATCH(D298,'Ist Vorjahr Monat 09'!A:A,0))=FALSE,INDEX('Ist Vorjahr Monat 09'!B:B,MATCH(D298,'Ist Vorjahr Monat 09'!A:A,0)),
IF(ISERROR(MATCH(D298,'Ist Vorjahr Monat 10'!A:A,0))=FALSE,INDEX('Ist Vorjahr Monat 10'!B:B,MATCH(D298,'Ist Vorjahr Monat 10'!A:A,0)),
IF(ISERROR(MATCH(D298,'Ist Vorjahr Monat 11'!A:A,0))=FALSE,INDEX('Ist Vorjahr Monat 11'!B:B,MATCH(D298,'Ist Vorjahr Monat 11'!A:A,0)),
IF(ISERROR(MATCH(D298,'Ist Vorjahr Monat 12'!A:A,0))=FALSE,INDEX('Ist Vorjahr Monat 12'!B:B,MATCH(D298,'Ist Vorjahr Monat 12'!A:A,0)),
"{Konto unbekannt}"
)))))))))))),"")</f>
        <v/>
      </c>
      <c r="C298" s="591"/>
      <c r="D298" s="590"/>
      <c r="E298" s="592">
        <f t="shared" ref="E298:E299" si="128">IF(F298="-",-1,1)</f>
        <v>1</v>
      </c>
      <c r="F298" s="590"/>
      <c r="G298" s="593">
        <f ca="1">$E298*(-SUMIF(INDIRECT(G$3),'Struktur Vorjahr'!$D298,INDIRECT(G$4))+SUMIF(INDIRECT(G$3),'Struktur Vorjahr'!$D298,INDIRECT(G$5)))</f>
        <v>0</v>
      </c>
      <c r="H298" s="593">
        <f ca="1">$E298*(-SUMIF(INDIRECT(H$3),'Struktur Vorjahr'!$D298,INDIRECT(H$4))+SUMIF(INDIRECT(H$3),'Struktur Vorjahr'!$D298,INDIRECT(H$5)))</f>
        <v>0</v>
      </c>
      <c r="I298" s="593">
        <f ca="1">$E298*(-SUMIF(INDIRECT(I$3),'Struktur Vorjahr'!$D298,INDIRECT(I$4))+SUMIF(INDIRECT(I$3),'Struktur Vorjahr'!$D298,INDIRECT(I$5)))</f>
        <v>0</v>
      </c>
      <c r="J298" s="593">
        <f ca="1">$E298*(-SUMIF(INDIRECT(J$3),'Struktur Vorjahr'!$D298,INDIRECT(J$4))+SUMIF(INDIRECT(J$3),'Struktur Vorjahr'!$D298,INDIRECT(J$5)))</f>
        <v>0</v>
      </c>
      <c r="K298" s="593">
        <f ca="1">$E298*(-SUMIF(INDIRECT(K$3),'Struktur Vorjahr'!$D298,INDIRECT(K$4))+SUMIF(INDIRECT(K$3),'Struktur Vorjahr'!$D298,INDIRECT(K$5)))</f>
        <v>0</v>
      </c>
      <c r="L298" s="593">
        <f ca="1">$E298*(-SUMIF(INDIRECT(L$3),'Struktur Vorjahr'!$D298,INDIRECT(L$4))+SUMIF(INDIRECT(L$3),'Struktur Vorjahr'!$D298,INDIRECT(L$5)))</f>
        <v>0</v>
      </c>
      <c r="M298" s="593">
        <f ca="1">$E298*(-SUMIF(INDIRECT(M$3),'Struktur Vorjahr'!$D298,INDIRECT(M$4))+SUMIF(INDIRECT(M$3),'Struktur Vorjahr'!$D298,INDIRECT(M$5)))</f>
        <v>0</v>
      </c>
      <c r="N298" s="593">
        <f ca="1">$E298*(-SUMIF(INDIRECT(N$3),'Struktur Vorjahr'!$D298,INDIRECT(N$4))+SUMIF(INDIRECT(N$3),'Struktur Vorjahr'!$D298,INDIRECT(N$5)))</f>
        <v>0</v>
      </c>
      <c r="O298" s="593">
        <f ca="1">$E298*(-SUMIF(INDIRECT(O$3),'Struktur Vorjahr'!$D298,INDIRECT(O$4))+SUMIF(INDIRECT(O$3),'Struktur Vorjahr'!$D298,INDIRECT(O$5)))</f>
        <v>0</v>
      </c>
      <c r="P298" s="593">
        <f ca="1">$E298*(-SUMIF(INDIRECT(P$3),'Struktur Vorjahr'!$D298,INDIRECT(P$4))+SUMIF(INDIRECT(P$3),'Struktur Vorjahr'!$D298,INDIRECT(P$5)))</f>
        <v>0</v>
      </c>
      <c r="Q298" s="593">
        <f ca="1">$E298*(-SUMIF(INDIRECT(Q$3),'Struktur Vorjahr'!$D298,INDIRECT(Q$4))+SUMIF(INDIRECT(Q$3),'Struktur Vorjahr'!$D298,INDIRECT(Q$5)))</f>
        <v>0</v>
      </c>
      <c r="R298" s="593">
        <f ca="1">$E298*(-SUMIF(INDIRECT(R$3),'Struktur Vorjahr'!$D298,INDIRECT(R$4))+SUMIF(INDIRECT(R$3),'Struktur Vorjahr'!$D298,INDIRECT(R$5)))</f>
        <v>0</v>
      </c>
      <c r="S298" s="593">
        <f ca="1">$E298*(-SUMIF(INDIRECT(S$3),'Struktur Vorjahr'!$D298,INDIRECT(S$4))+SUMIF(INDIRECT(S$3),'Struktur Vorjahr'!$D298,INDIRECT(S$5)))</f>
        <v>0</v>
      </c>
      <c r="T298" s="593">
        <f ca="1">$E298*(-SUMIF(INDIRECT(T$3),'Struktur Vorjahr'!$D298,INDIRECT(T$4))+SUMIF(INDIRECT(T$3),'Struktur Vorjahr'!$D298,INDIRECT(T$5)))</f>
        <v>0</v>
      </c>
      <c r="U298" s="593">
        <f ca="1">$E298*(-SUMIF(INDIRECT(U$3),'Struktur Vorjahr'!$D298,INDIRECT(U$4))+SUMIF(INDIRECT(U$3),'Struktur Vorjahr'!$D298,INDIRECT(U$5)))</f>
        <v>0</v>
      </c>
      <c r="V298" s="593">
        <f ca="1">$E298*(-SUMIF(INDIRECT(V$3),'Struktur Vorjahr'!$D298,INDIRECT(V$4))+SUMIF(INDIRECT(V$3),'Struktur Vorjahr'!$D298,INDIRECT(V$5)))</f>
        <v>0</v>
      </c>
      <c r="W298" s="593">
        <f ca="1">$E298*(-SUMIF(INDIRECT(W$3),'Struktur Vorjahr'!$D298,INDIRECT(W$4))+SUMIF(INDIRECT(W$3),'Struktur Vorjahr'!$D298,INDIRECT(W$5)))</f>
        <v>0</v>
      </c>
      <c r="X298" s="593">
        <f ca="1">$E298*(-SUMIF(INDIRECT(X$3),'Struktur Vorjahr'!$D298,INDIRECT(X$4))+SUMIF(INDIRECT(X$3),'Struktur Vorjahr'!$D298,INDIRECT(X$5)))</f>
        <v>0</v>
      </c>
      <c r="Y298" s="593">
        <f ca="1">$E298*(-SUMIF(INDIRECT(Y$3),'Struktur Vorjahr'!$D298,INDIRECT(Y$4))+SUMIF(INDIRECT(Y$3),'Struktur Vorjahr'!$D298,INDIRECT(Y$5)))</f>
        <v>0</v>
      </c>
      <c r="Z298" s="593">
        <f ca="1">$E298*(-SUMIF(INDIRECT(Z$3),'Struktur Vorjahr'!$D298,INDIRECT(Z$4))+SUMIF(INDIRECT(Z$3),'Struktur Vorjahr'!$D298,INDIRECT(Z$5)))</f>
        <v>0</v>
      </c>
      <c r="AA298" s="593">
        <f ca="1">$E298*(-SUMIF(INDIRECT(AA$3),'Struktur Vorjahr'!$D298,INDIRECT(AA$4))+SUMIF(INDIRECT(AA$3),'Struktur Vorjahr'!$D298,INDIRECT(AA$5)))</f>
        <v>0</v>
      </c>
      <c r="AB298" s="593">
        <f ca="1">$E298*(-SUMIF(INDIRECT(AB$3),'Struktur Vorjahr'!$D298,INDIRECT(AB$4))+SUMIF(INDIRECT(AB$3),'Struktur Vorjahr'!$D298,INDIRECT(AB$5)))</f>
        <v>0</v>
      </c>
      <c r="AC298" s="593">
        <f ca="1">$E298*(-SUMIF(INDIRECT(AC$3),'Struktur Vorjahr'!$D298,INDIRECT(AC$4))+SUMIF(INDIRECT(AC$3),'Struktur Vorjahr'!$D298,INDIRECT(AC$5)))</f>
        <v>0</v>
      </c>
      <c r="AD298" s="593">
        <f ca="1">$E298*(-SUMIF(INDIRECT(AD$3),'Struktur Vorjahr'!$D298,INDIRECT(AD$4))+SUMIF(INDIRECT(AD$3),'Struktur Vorjahr'!$D298,INDIRECT(AD$5)))</f>
        <v>0</v>
      </c>
      <c r="AE298" s="593">
        <f t="shared" ca="1" si="126"/>
        <v>0</v>
      </c>
      <c r="AF298" s="593">
        <f t="shared" ca="1" si="127"/>
        <v>0</v>
      </c>
      <c r="AG298" s="593">
        <f t="shared" ca="1" si="127"/>
        <v>0</v>
      </c>
      <c r="AH298" s="593">
        <f t="shared" ca="1" si="127"/>
        <v>0</v>
      </c>
      <c r="AI298" s="593">
        <f t="shared" ca="1" si="127"/>
        <v>0</v>
      </c>
      <c r="AJ298" s="593">
        <f t="shared" ca="1" si="127"/>
        <v>0</v>
      </c>
      <c r="AK298" s="593">
        <f t="shared" ca="1" si="127"/>
        <v>0</v>
      </c>
      <c r="AL298" s="593">
        <f t="shared" ca="1" si="127"/>
        <v>0</v>
      </c>
      <c r="AM298" s="593">
        <f t="shared" ca="1" si="127"/>
        <v>0</v>
      </c>
      <c r="AN298" s="593">
        <f t="shared" ca="1" si="127"/>
        <v>0</v>
      </c>
      <c r="AO298" s="593">
        <f t="shared" ca="1" si="127"/>
        <v>0</v>
      </c>
      <c r="AP298" s="593">
        <f t="shared" ca="1" si="127"/>
        <v>0</v>
      </c>
    </row>
    <row r="299" spans="1:42" s="594" customFormat="1" ht="11.25" outlineLevel="1" x14ac:dyDescent="0.2">
      <c r="A299" s="590"/>
      <c r="B299" s="591" t="str">
        <f>IF(D299&lt;&gt;"",
IF(ISERROR(MATCH(D299,'Ist Vorjahr Monat 01'!A:A,0))=FALSE,INDEX('Ist Vorjahr Monat 01'!B:B,MATCH(D299,'Ist Vorjahr Monat 01'!A:A,0)),
IF(ISERROR(MATCH(D299,'Ist Vorjahr Monat 02'!A:A,0))=FALSE,INDEX('Ist Vorjahr Monat 02'!B:B,MATCH(D299,'Ist Vorjahr Monat 02'!A:A,0)),
IF(ISERROR(MATCH(D299,'Ist Vorjahr Monat 03'!A:A,0))=FALSE,INDEX('Ist Vorjahr Monat 03'!B:B,MATCH(D299,'Ist Vorjahr Monat 03'!A:A,0)),
IF(ISERROR(MATCH(D299,'Ist Vorjahr Monat 04'!A:A,0))=FALSE,INDEX('Ist Vorjahr Monat 04'!B:B,MATCH(D299,'Ist Vorjahr Monat 04'!A:A,0)),
IF(ISERROR(MATCH(D299,'Ist Vorjahr Monat 05'!A:A,0))=FALSE,INDEX('Ist Vorjahr Monat 05'!B:B,MATCH(D299,'Ist Vorjahr Monat 05'!A:A,0)),
IF(ISERROR(MATCH(D299,'Ist Vorjahr Monat 06'!A:A,0))=FALSE,INDEX('Ist Vorjahr Monat 06'!B:B,MATCH(D299,'Ist Vorjahr Monat 06'!A:A,0)),
IF(ISERROR(MATCH(D299,'Ist Vorjahr Monat 07'!A:A,0))=FALSE,INDEX('Ist Vorjahr Monat 07'!B:B,MATCH(D299,'Ist Vorjahr Monat 07'!A:A,0)),
IF(ISERROR(MATCH(D299,'Ist Vorjahr Monat 08'!A:A,0))=FALSE,INDEX('Ist Vorjahr Monat 08'!B:B,MATCH(D299,'Ist Vorjahr Monat 08'!A:A,0)),
IF(ISERROR(MATCH(D299,'Ist Vorjahr Monat 09'!A:A,0))=FALSE,INDEX('Ist Vorjahr Monat 09'!B:B,MATCH(D299,'Ist Vorjahr Monat 09'!A:A,0)),
IF(ISERROR(MATCH(D299,'Ist Vorjahr Monat 10'!A:A,0))=FALSE,INDEX('Ist Vorjahr Monat 10'!B:B,MATCH(D299,'Ist Vorjahr Monat 10'!A:A,0)),
IF(ISERROR(MATCH(D299,'Ist Vorjahr Monat 11'!A:A,0))=FALSE,INDEX('Ist Vorjahr Monat 11'!B:B,MATCH(D299,'Ist Vorjahr Monat 11'!A:A,0)),
IF(ISERROR(MATCH(D299,'Ist Vorjahr Monat 12'!A:A,0))=FALSE,INDEX('Ist Vorjahr Monat 12'!B:B,MATCH(D299,'Ist Vorjahr Monat 12'!A:A,0)),
"{Konto unbekannt}"
)))))))))))),"")</f>
        <v/>
      </c>
      <c r="C299" s="591"/>
      <c r="D299" s="590"/>
      <c r="E299" s="592">
        <f t="shared" si="128"/>
        <v>1</v>
      </c>
      <c r="F299" s="590"/>
      <c r="G299" s="593">
        <f ca="1">$E299*(-SUMIF(INDIRECT(G$3),'Struktur Vorjahr'!$D299,INDIRECT(G$4))+SUMIF(INDIRECT(G$3),'Struktur Vorjahr'!$D299,INDIRECT(G$5)))</f>
        <v>0</v>
      </c>
      <c r="H299" s="593">
        <f ca="1">$E299*(-SUMIF(INDIRECT(H$3),'Struktur Vorjahr'!$D299,INDIRECT(H$4))+SUMIF(INDIRECT(H$3),'Struktur Vorjahr'!$D299,INDIRECT(H$5)))</f>
        <v>0</v>
      </c>
      <c r="I299" s="593">
        <f ca="1">$E299*(-SUMIF(INDIRECT(I$3),'Struktur Vorjahr'!$D299,INDIRECT(I$4))+SUMIF(INDIRECT(I$3),'Struktur Vorjahr'!$D299,INDIRECT(I$5)))</f>
        <v>0</v>
      </c>
      <c r="J299" s="593">
        <f ca="1">$E299*(-SUMIF(INDIRECT(J$3),'Struktur Vorjahr'!$D299,INDIRECT(J$4))+SUMIF(INDIRECT(J$3),'Struktur Vorjahr'!$D299,INDIRECT(J$5)))</f>
        <v>0</v>
      </c>
      <c r="K299" s="593">
        <f ca="1">$E299*(-SUMIF(INDIRECT(K$3),'Struktur Vorjahr'!$D299,INDIRECT(K$4))+SUMIF(INDIRECT(K$3),'Struktur Vorjahr'!$D299,INDIRECT(K$5)))</f>
        <v>0</v>
      </c>
      <c r="L299" s="593">
        <f ca="1">$E299*(-SUMIF(INDIRECT(L$3),'Struktur Vorjahr'!$D299,INDIRECT(L$4))+SUMIF(INDIRECT(L$3),'Struktur Vorjahr'!$D299,INDIRECT(L$5)))</f>
        <v>0</v>
      </c>
      <c r="M299" s="593">
        <f ca="1">$E299*(-SUMIF(INDIRECT(M$3),'Struktur Vorjahr'!$D299,INDIRECT(M$4))+SUMIF(INDIRECT(M$3),'Struktur Vorjahr'!$D299,INDIRECT(M$5)))</f>
        <v>0</v>
      </c>
      <c r="N299" s="593">
        <f ca="1">$E299*(-SUMIF(INDIRECT(N$3),'Struktur Vorjahr'!$D299,INDIRECT(N$4))+SUMIF(INDIRECT(N$3),'Struktur Vorjahr'!$D299,INDIRECT(N$5)))</f>
        <v>0</v>
      </c>
      <c r="O299" s="593">
        <f ca="1">$E299*(-SUMIF(INDIRECT(O$3),'Struktur Vorjahr'!$D299,INDIRECT(O$4))+SUMIF(INDIRECT(O$3),'Struktur Vorjahr'!$D299,INDIRECT(O$5)))</f>
        <v>0</v>
      </c>
      <c r="P299" s="593">
        <f ca="1">$E299*(-SUMIF(INDIRECT(P$3),'Struktur Vorjahr'!$D299,INDIRECT(P$4))+SUMIF(INDIRECT(P$3),'Struktur Vorjahr'!$D299,INDIRECT(P$5)))</f>
        <v>0</v>
      </c>
      <c r="Q299" s="593">
        <f ca="1">$E299*(-SUMIF(INDIRECT(Q$3),'Struktur Vorjahr'!$D299,INDIRECT(Q$4))+SUMIF(INDIRECT(Q$3),'Struktur Vorjahr'!$D299,INDIRECT(Q$5)))</f>
        <v>0</v>
      </c>
      <c r="R299" s="593">
        <f ca="1">$E299*(-SUMIF(INDIRECT(R$3),'Struktur Vorjahr'!$D299,INDIRECT(R$4))+SUMIF(INDIRECT(R$3),'Struktur Vorjahr'!$D299,INDIRECT(R$5)))</f>
        <v>0</v>
      </c>
      <c r="S299" s="593">
        <f ca="1">$E299*(-SUMIF(INDIRECT(S$3),'Struktur Vorjahr'!$D299,INDIRECT(S$4))+SUMIF(INDIRECT(S$3),'Struktur Vorjahr'!$D299,INDIRECT(S$5)))</f>
        <v>0</v>
      </c>
      <c r="T299" s="593">
        <f ca="1">$E299*(-SUMIF(INDIRECT(T$3),'Struktur Vorjahr'!$D299,INDIRECT(T$4))+SUMIF(INDIRECT(T$3),'Struktur Vorjahr'!$D299,INDIRECT(T$5)))</f>
        <v>0</v>
      </c>
      <c r="U299" s="593">
        <f ca="1">$E299*(-SUMIF(INDIRECT(U$3),'Struktur Vorjahr'!$D299,INDIRECT(U$4))+SUMIF(INDIRECT(U$3),'Struktur Vorjahr'!$D299,INDIRECT(U$5)))</f>
        <v>0</v>
      </c>
      <c r="V299" s="593">
        <f ca="1">$E299*(-SUMIF(INDIRECT(V$3),'Struktur Vorjahr'!$D299,INDIRECT(V$4))+SUMIF(INDIRECT(V$3),'Struktur Vorjahr'!$D299,INDIRECT(V$5)))</f>
        <v>0</v>
      </c>
      <c r="W299" s="593">
        <f ca="1">$E299*(-SUMIF(INDIRECT(W$3),'Struktur Vorjahr'!$D299,INDIRECT(W$4))+SUMIF(INDIRECT(W$3),'Struktur Vorjahr'!$D299,INDIRECT(W$5)))</f>
        <v>0</v>
      </c>
      <c r="X299" s="593">
        <f ca="1">$E299*(-SUMIF(INDIRECT(X$3),'Struktur Vorjahr'!$D299,INDIRECT(X$4))+SUMIF(INDIRECT(X$3),'Struktur Vorjahr'!$D299,INDIRECT(X$5)))</f>
        <v>0</v>
      </c>
      <c r="Y299" s="593">
        <f ca="1">$E299*(-SUMIF(INDIRECT(Y$3),'Struktur Vorjahr'!$D299,INDIRECT(Y$4))+SUMIF(INDIRECT(Y$3),'Struktur Vorjahr'!$D299,INDIRECT(Y$5)))</f>
        <v>0</v>
      </c>
      <c r="Z299" s="593">
        <f ca="1">$E299*(-SUMIF(INDIRECT(Z$3),'Struktur Vorjahr'!$D299,INDIRECT(Z$4))+SUMIF(INDIRECT(Z$3),'Struktur Vorjahr'!$D299,INDIRECT(Z$5)))</f>
        <v>0</v>
      </c>
      <c r="AA299" s="593">
        <f ca="1">$E299*(-SUMIF(INDIRECT(AA$3),'Struktur Vorjahr'!$D299,INDIRECT(AA$4))+SUMIF(INDIRECT(AA$3),'Struktur Vorjahr'!$D299,INDIRECT(AA$5)))</f>
        <v>0</v>
      </c>
      <c r="AB299" s="593">
        <f ca="1">$E299*(-SUMIF(INDIRECT(AB$3),'Struktur Vorjahr'!$D299,INDIRECT(AB$4))+SUMIF(INDIRECT(AB$3),'Struktur Vorjahr'!$D299,INDIRECT(AB$5)))</f>
        <v>0</v>
      </c>
      <c r="AC299" s="593">
        <f ca="1">$E299*(-SUMIF(INDIRECT(AC$3),'Struktur Vorjahr'!$D299,INDIRECT(AC$4))+SUMIF(INDIRECT(AC$3),'Struktur Vorjahr'!$D299,INDIRECT(AC$5)))</f>
        <v>0</v>
      </c>
      <c r="AD299" s="593">
        <f ca="1">$E299*(-SUMIF(INDIRECT(AD$3),'Struktur Vorjahr'!$D299,INDIRECT(AD$4))+SUMIF(INDIRECT(AD$3),'Struktur Vorjahr'!$D299,INDIRECT(AD$5)))</f>
        <v>0</v>
      </c>
      <c r="AE299" s="593">
        <f t="shared" ca="1" si="126"/>
        <v>0</v>
      </c>
      <c r="AF299" s="593">
        <f t="shared" ca="1" si="127"/>
        <v>0</v>
      </c>
      <c r="AG299" s="593">
        <f t="shared" ca="1" si="127"/>
        <v>0</v>
      </c>
      <c r="AH299" s="593">
        <f t="shared" ca="1" si="127"/>
        <v>0</v>
      </c>
      <c r="AI299" s="593">
        <f t="shared" ca="1" si="127"/>
        <v>0</v>
      </c>
      <c r="AJ299" s="593">
        <f t="shared" ca="1" si="127"/>
        <v>0</v>
      </c>
      <c r="AK299" s="593">
        <f t="shared" ca="1" si="127"/>
        <v>0</v>
      </c>
      <c r="AL299" s="593">
        <f t="shared" ca="1" si="127"/>
        <v>0</v>
      </c>
      <c r="AM299" s="593">
        <f t="shared" ca="1" si="127"/>
        <v>0</v>
      </c>
      <c r="AN299" s="593">
        <f t="shared" ca="1" si="127"/>
        <v>0</v>
      </c>
      <c r="AO299" s="593">
        <f t="shared" ca="1" si="127"/>
        <v>0</v>
      </c>
      <c r="AP299" s="593">
        <f t="shared" ca="1" si="127"/>
        <v>0</v>
      </c>
    </row>
    <row r="300" spans="1:42" s="589" customFormat="1" x14ac:dyDescent="0.2">
      <c r="A300" s="595"/>
      <c r="B300" s="596" t="s">
        <v>372</v>
      </c>
      <c r="C300" s="597">
        <f ca="1">SUM(G300:R300)</f>
        <v>-32469.819999999992</v>
      </c>
      <c r="D300" s="597"/>
      <c r="E300" s="598">
        <f t="shared" si="121"/>
        <v>1</v>
      </c>
      <c r="F300" s="595"/>
      <c r="G300" s="597">
        <f ca="1">G156-G157-G177</f>
        <v>-9329.1200000000008</v>
      </c>
      <c r="H300" s="597">
        <f t="shared" ref="H300:R300" ca="1" si="129">H156-H157-H177</f>
        <v>-8517.4599999999991</v>
      </c>
      <c r="I300" s="597">
        <f t="shared" ca="1" si="129"/>
        <v>-17290.11</v>
      </c>
      <c r="J300" s="597">
        <f t="shared" ca="1" si="129"/>
        <v>-9357.6400000000031</v>
      </c>
      <c r="K300" s="597">
        <f t="shared" ca="1" si="129"/>
        <v>-15077.769999999997</v>
      </c>
      <c r="L300" s="597">
        <f t="shared" ca="1" si="129"/>
        <v>-9068.6899999999987</v>
      </c>
      <c r="M300" s="597">
        <f t="shared" ca="1" si="129"/>
        <v>28137.950000000004</v>
      </c>
      <c r="N300" s="597">
        <f t="shared" ca="1" si="129"/>
        <v>1239.850000000001</v>
      </c>
      <c r="O300" s="597">
        <f t="shared" ca="1" si="129"/>
        <v>-7196.3599999999988</v>
      </c>
      <c r="P300" s="597">
        <f t="shared" ca="1" si="129"/>
        <v>13989.53</v>
      </c>
      <c r="Q300" s="597">
        <f t="shared" ca="1" si="129"/>
        <v>0</v>
      </c>
      <c r="R300" s="597">
        <f t="shared" ca="1" si="129"/>
        <v>0</v>
      </c>
      <c r="S300" s="597">
        <f ca="1">S156-S157-S177</f>
        <v>-9329.1200000000008</v>
      </c>
      <c r="T300" s="597">
        <f t="shared" ref="T300:AD300" ca="1" si="130">T156-T157-T177</f>
        <v>-17846.580000000005</v>
      </c>
      <c r="U300" s="597">
        <f t="shared" ca="1" si="130"/>
        <v>-35136.69000000001</v>
      </c>
      <c r="V300" s="597">
        <f t="shared" ca="1" si="130"/>
        <v>-44494.33</v>
      </c>
      <c r="W300" s="597">
        <f t="shared" ca="1" si="130"/>
        <v>-59572.1</v>
      </c>
      <c r="X300" s="597">
        <f t="shared" ca="1" si="130"/>
        <v>-68640.789999999994</v>
      </c>
      <c r="Y300" s="597">
        <f t="shared" ca="1" si="130"/>
        <v>-40502.839999999997</v>
      </c>
      <c r="Z300" s="597">
        <f t="shared" ca="1" si="130"/>
        <v>-39262.989999999991</v>
      </c>
      <c r="AA300" s="597">
        <f t="shared" ca="1" si="130"/>
        <v>-46459.350000000013</v>
      </c>
      <c r="AB300" s="597">
        <f t="shared" ca="1" si="130"/>
        <v>-32469.820000000007</v>
      </c>
      <c r="AC300" s="597">
        <f t="shared" ca="1" si="130"/>
        <v>0</v>
      </c>
      <c r="AD300" s="597">
        <f t="shared" ca="1" si="130"/>
        <v>0</v>
      </c>
      <c r="AE300" s="597">
        <f ca="1">AE156-AE157-AE177</f>
        <v>-9329.1200000000008</v>
      </c>
      <c r="AF300" s="597">
        <f t="shared" ref="AF300:AP300" ca="1" si="131">AF156-AF157-AF177</f>
        <v>-17846.580000000005</v>
      </c>
      <c r="AG300" s="597">
        <f t="shared" ca="1" si="131"/>
        <v>-35136.69000000001</v>
      </c>
      <c r="AH300" s="597">
        <f t="shared" ca="1" si="131"/>
        <v>-44494.33</v>
      </c>
      <c r="AI300" s="597">
        <f t="shared" ca="1" si="131"/>
        <v>-59572.100000000006</v>
      </c>
      <c r="AJ300" s="597">
        <f t="shared" ca="1" si="131"/>
        <v>-68640.789999999994</v>
      </c>
      <c r="AK300" s="597">
        <f t="shared" ca="1" si="131"/>
        <v>-40502.839999999997</v>
      </c>
      <c r="AL300" s="597">
        <f t="shared" ca="1" si="131"/>
        <v>-39262.989999999991</v>
      </c>
      <c r="AM300" s="597">
        <f t="shared" ca="1" si="131"/>
        <v>-46459.350000000013</v>
      </c>
      <c r="AN300" s="597">
        <f t="shared" ca="1" si="131"/>
        <v>-32469.819999999956</v>
      </c>
      <c r="AO300" s="597">
        <f t="shared" ca="1" si="131"/>
        <v>-32469.819999999956</v>
      </c>
      <c r="AP300" s="597">
        <f t="shared" ca="1" si="131"/>
        <v>-32469.819999999956</v>
      </c>
    </row>
    <row r="301" spans="1:42" s="589" customFormat="1" x14ac:dyDescent="0.2">
      <c r="A301" s="585">
        <v>27</v>
      </c>
      <c r="B301" s="586" t="s">
        <v>373</v>
      </c>
      <c r="C301" s="587">
        <f ca="1">SUM(G301:R301)</f>
        <v>0</v>
      </c>
      <c r="D301" s="587"/>
      <c r="E301" s="588">
        <f t="shared" si="121"/>
        <v>1</v>
      </c>
      <c r="F301" s="585"/>
      <c r="G301" s="587">
        <f t="shared" ref="G301:AP301" ca="1" si="132">SUM(G302:G305)</f>
        <v>0</v>
      </c>
      <c r="H301" s="587">
        <f t="shared" ca="1" si="132"/>
        <v>0</v>
      </c>
      <c r="I301" s="587">
        <f t="shared" ca="1" si="132"/>
        <v>0</v>
      </c>
      <c r="J301" s="587">
        <f t="shared" ca="1" si="132"/>
        <v>0</v>
      </c>
      <c r="K301" s="587">
        <f t="shared" ca="1" si="132"/>
        <v>0</v>
      </c>
      <c r="L301" s="587">
        <f t="shared" ca="1" si="132"/>
        <v>0</v>
      </c>
      <c r="M301" s="587">
        <f t="shared" ca="1" si="132"/>
        <v>0</v>
      </c>
      <c r="N301" s="587">
        <f t="shared" ca="1" si="132"/>
        <v>0</v>
      </c>
      <c r="O301" s="587">
        <f t="shared" ca="1" si="132"/>
        <v>0</v>
      </c>
      <c r="P301" s="587">
        <f t="shared" ca="1" si="132"/>
        <v>0</v>
      </c>
      <c r="Q301" s="587">
        <f t="shared" ca="1" si="132"/>
        <v>0</v>
      </c>
      <c r="R301" s="587">
        <f t="shared" ca="1" si="132"/>
        <v>0</v>
      </c>
      <c r="S301" s="587">
        <f t="shared" ca="1" si="132"/>
        <v>0</v>
      </c>
      <c r="T301" s="587">
        <f t="shared" ca="1" si="132"/>
        <v>0</v>
      </c>
      <c r="U301" s="587">
        <f t="shared" ca="1" si="132"/>
        <v>0</v>
      </c>
      <c r="V301" s="587">
        <f t="shared" ca="1" si="132"/>
        <v>0</v>
      </c>
      <c r="W301" s="587">
        <f t="shared" ca="1" si="132"/>
        <v>0</v>
      </c>
      <c r="X301" s="587">
        <f t="shared" ca="1" si="132"/>
        <v>0</v>
      </c>
      <c r="Y301" s="587">
        <f t="shared" ca="1" si="132"/>
        <v>0</v>
      </c>
      <c r="Z301" s="587">
        <f t="shared" ca="1" si="132"/>
        <v>0</v>
      </c>
      <c r="AA301" s="587">
        <f t="shared" ca="1" si="132"/>
        <v>0</v>
      </c>
      <c r="AB301" s="587">
        <f t="shared" ca="1" si="132"/>
        <v>0</v>
      </c>
      <c r="AC301" s="587">
        <f t="shared" ca="1" si="132"/>
        <v>0</v>
      </c>
      <c r="AD301" s="587">
        <f t="shared" ca="1" si="132"/>
        <v>0</v>
      </c>
      <c r="AE301" s="587">
        <f t="shared" ca="1" si="132"/>
        <v>0</v>
      </c>
      <c r="AF301" s="587">
        <f t="shared" ca="1" si="132"/>
        <v>0</v>
      </c>
      <c r="AG301" s="587">
        <f t="shared" ca="1" si="132"/>
        <v>0</v>
      </c>
      <c r="AH301" s="587">
        <f t="shared" ca="1" si="132"/>
        <v>0</v>
      </c>
      <c r="AI301" s="587">
        <f t="shared" ca="1" si="132"/>
        <v>0</v>
      </c>
      <c r="AJ301" s="587">
        <f t="shared" ca="1" si="132"/>
        <v>0</v>
      </c>
      <c r="AK301" s="587">
        <f t="shared" ca="1" si="132"/>
        <v>0</v>
      </c>
      <c r="AL301" s="587">
        <f t="shared" ca="1" si="132"/>
        <v>0</v>
      </c>
      <c r="AM301" s="587">
        <f t="shared" ca="1" si="132"/>
        <v>0</v>
      </c>
      <c r="AN301" s="587">
        <f t="shared" ca="1" si="132"/>
        <v>0</v>
      </c>
      <c r="AO301" s="587">
        <f t="shared" ca="1" si="132"/>
        <v>0</v>
      </c>
      <c r="AP301" s="587">
        <f t="shared" ca="1" si="132"/>
        <v>0</v>
      </c>
    </row>
    <row r="302" spans="1:42" s="594" customFormat="1" ht="11.25" outlineLevel="1" x14ac:dyDescent="0.2">
      <c r="A302" s="590"/>
      <c r="B302" s="591" t="str">
        <f>IF(D302&lt;&gt;"",
IF(ISERROR(MATCH(D302,'Ist Vorjahr Monat 01'!A:A,0))=FALSE,INDEX('Ist Vorjahr Monat 01'!B:B,MATCH(D302,'Ist Vorjahr Monat 01'!A:A,0)),
IF(ISERROR(MATCH(D302,'Ist Vorjahr Monat 02'!A:A,0))=FALSE,INDEX('Ist Vorjahr Monat 02'!B:B,MATCH(D302,'Ist Vorjahr Monat 02'!A:A,0)),
IF(ISERROR(MATCH(D302,'Ist Vorjahr Monat 03'!A:A,0))=FALSE,INDEX('Ist Vorjahr Monat 03'!B:B,MATCH(D302,'Ist Vorjahr Monat 03'!A:A,0)),
IF(ISERROR(MATCH(D302,'Ist Vorjahr Monat 04'!A:A,0))=FALSE,INDEX('Ist Vorjahr Monat 04'!B:B,MATCH(D302,'Ist Vorjahr Monat 04'!A:A,0)),
IF(ISERROR(MATCH(D302,'Ist Vorjahr Monat 05'!A:A,0))=FALSE,INDEX('Ist Vorjahr Monat 05'!B:B,MATCH(D302,'Ist Vorjahr Monat 05'!A:A,0)),
IF(ISERROR(MATCH(D302,'Ist Vorjahr Monat 06'!A:A,0))=FALSE,INDEX('Ist Vorjahr Monat 06'!B:B,MATCH(D302,'Ist Vorjahr Monat 06'!A:A,0)),
IF(ISERROR(MATCH(D302,'Ist Vorjahr Monat 07'!A:A,0))=FALSE,INDEX('Ist Vorjahr Monat 07'!B:B,MATCH(D302,'Ist Vorjahr Monat 07'!A:A,0)),
IF(ISERROR(MATCH(D302,'Ist Vorjahr Monat 08'!A:A,0))=FALSE,INDEX('Ist Vorjahr Monat 08'!B:B,MATCH(D302,'Ist Vorjahr Monat 08'!A:A,0)),
IF(ISERROR(MATCH(D302,'Ist Vorjahr Monat 09'!A:A,0))=FALSE,INDEX('Ist Vorjahr Monat 09'!B:B,MATCH(D302,'Ist Vorjahr Monat 09'!A:A,0)),
IF(ISERROR(MATCH(D302,'Ist Vorjahr Monat 10'!A:A,0))=FALSE,INDEX('Ist Vorjahr Monat 10'!B:B,MATCH(D302,'Ist Vorjahr Monat 10'!A:A,0)),
IF(ISERROR(MATCH(D302,'Ist Vorjahr Monat 11'!A:A,0))=FALSE,INDEX('Ist Vorjahr Monat 11'!B:B,MATCH(D302,'Ist Vorjahr Monat 11'!A:A,0)),
IF(ISERROR(MATCH(D302,'Ist Vorjahr Monat 12'!A:A,0))=FALSE,INDEX('Ist Vorjahr Monat 12'!B:B,MATCH(D302,'Ist Vorjahr Monat 12'!A:A,0)),
"{Konto unbekannt}"
)))))))))))),"")</f>
        <v/>
      </c>
      <c r="C302" s="591"/>
      <c r="D302" s="590"/>
      <c r="E302" s="592">
        <f t="shared" si="121"/>
        <v>-1</v>
      </c>
      <c r="F302" s="590" t="s">
        <v>996</v>
      </c>
      <c r="G302" s="593">
        <f ca="1">$E302*(-SUMIF(INDIRECT(G$3),'Struktur Vorjahr'!$D302,INDIRECT(G$4))+SUMIF(INDIRECT(G$3),'Struktur Vorjahr'!$D302,INDIRECT(G$5)))</f>
        <v>0</v>
      </c>
      <c r="H302" s="593">
        <f ca="1">$E302*(-SUMIF(INDIRECT(H$3),'Struktur Vorjahr'!$D302,INDIRECT(H$4))+SUMIF(INDIRECT(H$3),'Struktur Vorjahr'!$D302,INDIRECT(H$5)))</f>
        <v>0</v>
      </c>
      <c r="I302" s="593">
        <f ca="1">$E302*(-SUMIF(INDIRECT(I$3),'Struktur Vorjahr'!$D302,INDIRECT(I$4))+SUMIF(INDIRECT(I$3),'Struktur Vorjahr'!$D302,INDIRECT(I$5)))</f>
        <v>0</v>
      </c>
      <c r="J302" s="593">
        <f ca="1">$E302*(-SUMIF(INDIRECT(J$3),'Struktur Vorjahr'!$D302,INDIRECT(J$4))+SUMIF(INDIRECT(J$3),'Struktur Vorjahr'!$D302,INDIRECT(J$5)))</f>
        <v>0</v>
      </c>
      <c r="K302" s="593">
        <f ca="1">$E302*(-SUMIF(INDIRECT(K$3),'Struktur Vorjahr'!$D302,INDIRECT(K$4))+SUMIF(INDIRECT(K$3),'Struktur Vorjahr'!$D302,INDIRECT(K$5)))</f>
        <v>0</v>
      </c>
      <c r="L302" s="593">
        <f ca="1">$E302*(-SUMIF(INDIRECT(L$3),'Struktur Vorjahr'!$D302,INDIRECT(L$4))+SUMIF(INDIRECT(L$3),'Struktur Vorjahr'!$D302,INDIRECT(L$5)))</f>
        <v>0</v>
      </c>
      <c r="M302" s="593">
        <f ca="1">$E302*(-SUMIF(INDIRECT(M$3),'Struktur Vorjahr'!$D302,INDIRECT(M$4))+SUMIF(INDIRECT(M$3),'Struktur Vorjahr'!$D302,INDIRECT(M$5)))</f>
        <v>0</v>
      </c>
      <c r="N302" s="593">
        <f ca="1">$E302*(-SUMIF(INDIRECT(N$3),'Struktur Vorjahr'!$D302,INDIRECT(N$4))+SUMIF(INDIRECT(N$3),'Struktur Vorjahr'!$D302,INDIRECT(N$5)))</f>
        <v>0</v>
      </c>
      <c r="O302" s="593">
        <f ca="1">$E302*(-SUMIF(INDIRECT(O$3),'Struktur Vorjahr'!$D302,INDIRECT(O$4))+SUMIF(INDIRECT(O$3),'Struktur Vorjahr'!$D302,INDIRECT(O$5)))</f>
        <v>0</v>
      </c>
      <c r="P302" s="593">
        <f ca="1">$E302*(-SUMIF(INDIRECT(P$3),'Struktur Vorjahr'!$D302,INDIRECT(P$4))+SUMIF(INDIRECT(P$3),'Struktur Vorjahr'!$D302,INDIRECT(P$5)))</f>
        <v>0</v>
      </c>
      <c r="Q302" s="593">
        <f ca="1">$E302*(-SUMIF(INDIRECT(Q$3),'Struktur Vorjahr'!$D302,INDIRECT(Q$4))+SUMIF(INDIRECT(Q$3),'Struktur Vorjahr'!$D302,INDIRECT(Q$5)))</f>
        <v>0</v>
      </c>
      <c r="R302" s="593">
        <f ca="1">$E302*(-SUMIF(INDIRECT(R$3),'Struktur Vorjahr'!$D302,INDIRECT(R$4))+SUMIF(INDIRECT(R$3),'Struktur Vorjahr'!$D302,INDIRECT(R$5)))</f>
        <v>0</v>
      </c>
      <c r="S302" s="593">
        <f ca="1">$E302*(-SUMIF(INDIRECT(S$3),'Struktur Vorjahr'!$D302,INDIRECT(S$4))+SUMIF(INDIRECT(S$3),'Struktur Vorjahr'!$D302,INDIRECT(S$5)))</f>
        <v>0</v>
      </c>
      <c r="T302" s="593">
        <f ca="1">$E302*(-SUMIF(INDIRECT(T$3),'Struktur Vorjahr'!$D302,INDIRECT(T$4))+SUMIF(INDIRECT(T$3),'Struktur Vorjahr'!$D302,INDIRECT(T$5)))</f>
        <v>0</v>
      </c>
      <c r="U302" s="593">
        <f ca="1">$E302*(-SUMIF(INDIRECT(U$3),'Struktur Vorjahr'!$D302,INDIRECT(U$4))+SUMIF(INDIRECT(U$3),'Struktur Vorjahr'!$D302,INDIRECT(U$5)))</f>
        <v>0</v>
      </c>
      <c r="V302" s="593">
        <f ca="1">$E302*(-SUMIF(INDIRECT(V$3),'Struktur Vorjahr'!$D302,INDIRECT(V$4))+SUMIF(INDIRECT(V$3),'Struktur Vorjahr'!$D302,INDIRECT(V$5)))</f>
        <v>0</v>
      </c>
      <c r="W302" s="593">
        <f ca="1">$E302*(-SUMIF(INDIRECT(W$3),'Struktur Vorjahr'!$D302,INDIRECT(W$4))+SUMIF(INDIRECT(W$3),'Struktur Vorjahr'!$D302,INDIRECT(W$5)))</f>
        <v>0</v>
      </c>
      <c r="X302" s="593">
        <f ca="1">$E302*(-SUMIF(INDIRECT(X$3),'Struktur Vorjahr'!$D302,INDIRECT(X$4))+SUMIF(INDIRECT(X$3),'Struktur Vorjahr'!$D302,INDIRECT(X$5)))</f>
        <v>0</v>
      </c>
      <c r="Y302" s="593">
        <f ca="1">$E302*(-SUMIF(INDIRECT(Y$3),'Struktur Vorjahr'!$D302,INDIRECT(Y$4))+SUMIF(INDIRECT(Y$3),'Struktur Vorjahr'!$D302,INDIRECT(Y$5)))</f>
        <v>0</v>
      </c>
      <c r="Z302" s="593">
        <f ca="1">$E302*(-SUMIF(INDIRECT(Z$3),'Struktur Vorjahr'!$D302,INDIRECT(Z$4))+SUMIF(INDIRECT(Z$3),'Struktur Vorjahr'!$D302,INDIRECT(Z$5)))</f>
        <v>0</v>
      </c>
      <c r="AA302" s="593">
        <f ca="1">$E302*(-SUMIF(INDIRECT(AA$3),'Struktur Vorjahr'!$D302,INDIRECT(AA$4))+SUMIF(INDIRECT(AA$3),'Struktur Vorjahr'!$D302,INDIRECT(AA$5)))</f>
        <v>0</v>
      </c>
      <c r="AB302" s="593">
        <f ca="1">$E302*(-SUMIF(INDIRECT(AB$3),'Struktur Vorjahr'!$D302,INDIRECT(AB$4))+SUMIF(INDIRECT(AB$3),'Struktur Vorjahr'!$D302,INDIRECT(AB$5)))</f>
        <v>0</v>
      </c>
      <c r="AC302" s="593">
        <f ca="1">$E302*(-SUMIF(INDIRECT(AC$3),'Struktur Vorjahr'!$D302,INDIRECT(AC$4))+SUMIF(INDIRECT(AC$3),'Struktur Vorjahr'!$D302,INDIRECT(AC$5)))</f>
        <v>0</v>
      </c>
      <c r="AD302" s="593">
        <f ca="1">$E302*(-SUMIF(INDIRECT(AD$3),'Struktur Vorjahr'!$D302,INDIRECT(AD$4))+SUMIF(INDIRECT(AD$3),'Struktur Vorjahr'!$D302,INDIRECT(AD$5)))</f>
        <v>0</v>
      </c>
      <c r="AE302" s="593">
        <f t="shared" ref="AE302:AE305" ca="1" si="133">G302</f>
        <v>0</v>
      </c>
      <c r="AF302" s="593">
        <f t="shared" ref="AF302:AP305" ca="1" si="134">H302+AE302</f>
        <v>0</v>
      </c>
      <c r="AG302" s="593">
        <f t="shared" ca="1" si="134"/>
        <v>0</v>
      </c>
      <c r="AH302" s="593">
        <f t="shared" ca="1" si="134"/>
        <v>0</v>
      </c>
      <c r="AI302" s="593">
        <f t="shared" ca="1" si="134"/>
        <v>0</v>
      </c>
      <c r="AJ302" s="593">
        <f t="shared" ca="1" si="134"/>
        <v>0</v>
      </c>
      <c r="AK302" s="593">
        <f t="shared" ca="1" si="134"/>
        <v>0</v>
      </c>
      <c r="AL302" s="593">
        <f t="shared" ca="1" si="134"/>
        <v>0</v>
      </c>
      <c r="AM302" s="593">
        <f t="shared" ca="1" si="134"/>
        <v>0</v>
      </c>
      <c r="AN302" s="593">
        <f t="shared" ca="1" si="134"/>
        <v>0</v>
      </c>
      <c r="AO302" s="593">
        <f t="shared" ca="1" si="134"/>
        <v>0</v>
      </c>
      <c r="AP302" s="593">
        <f t="shared" ca="1" si="134"/>
        <v>0</v>
      </c>
    </row>
    <row r="303" spans="1:42" s="594" customFormat="1" ht="11.25" outlineLevel="1" x14ac:dyDescent="0.2">
      <c r="A303" s="590"/>
      <c r="B303" s="591" t="str">
        <f>IF(D303&lt;&gt;"",
IF(ISERROR(MATCH(D303,'Ist Vorjahr Monat 01'!A:A,0))=FALSE,INDEX('Ist Vorjahr Monat 01'!B:B,MATCH(D303,'Ist Vorjahr Monat 01'!A:A,0)),
IF(ISERROR(MATCH(D303,'Ist Vorjahr Monat 02'!A:A,0))=FALSE,INDEX('Ist Vorjahr Monat 02'!B:B,MATCH(D303,'Ist Vorjahr Monat 02'!A:A,0)),
IF(ISERROR(MATCH(D303,'Ist Vorjahr Monat 03'!A:A,0))=FALSE,INDEX('Ist Vorjahr Monat 03'!B:B,MATCH(D303,'Ist Vorjahr Monat 03'!A:A,0)),
IF(ISERROR(MATCH(D303,'Ist Vorjahr Monat 04'!A:A,0))=FALSE,INDEX('Ist Vorjahr Monat 04'!B:B,MATCH(D303,'Ist Vorjahr Monat 04'!A:A,0)),
IF(ISERROR(MATCH(D303,'Ist Vorjahr Monat 05'!A:A,0))=FALSE,INDEX('Ist Vorjahr Monat 05'!B:B,MATCH(D303,'Ist Vorjahr Monat 05'!A:A,0)),
IF(ISERROR(MATCH(D303,'Ist Vorjahr Monat 06'!A:A,0))=FALSE,INDEX('Ist Vorjahr Monat 06'!B:B,MATCH(D303,'Ist Vorjahr Monat 06'!A:A,0)),
IF(ISERROR(MATCH(D303,'Ist Vorjahr Monat 07'!A:A,0))=FALSE,INDEX('Ist Vorjahr Monat 07'!B:B,MATCH(D303,'Ist Vorjahr Monat 07'!A:A,0)),
IF(ISERROR(MATCH(D303,'Ist Vorjahr Monat 08'!A:A,0))=FALSE,INDEX('Ist Vorjahr Monat 08'!B:B,MATCH(D303,'Ist Vorjahr Monat 08'!A:A,0)),
IF(ISERROR(MATCH(D303,'Ist Vorjahr Monat 09'!A:A,0))=FALSE,INDEX('Ist Vorjahr Monat 09'!B:B,MATCH(D303,'Ist Vorjahr Monat 09'!A:A,0)),
IF(ISERROR(MATCH(D303,'Ist Vorjahr Monat 10'!A:A,0))=FALSE,INDEX('Ist Vorjahr Monat 10'!B:B,MATCH(D303,'Ist Vorjahr Monat 10'!A:A,0)),
IF(ISERROR(MATCH(D303,'Ist Vorjahr Monat 11'!A:A,0))=FALSE,INDEX('Ist Vorjahr Monat 11'!B:B,MATCH(D303,'Ist Vorjahr Monat 11'!A:A,0)),
IF(ISERROR(MATCH(D303,'Ist Vorjahr Monat 12'!A:A,0))=FALSE,INDEX('Ist Vorjahr Monat 12'!B:B,MATCH(D303,'Ist Vorjahr Monat 12'!A:A,0)),
"{Konto unbekannt}"
)))))))))))),"")</f>
        <v/>
      </c>
      <c r="C303" s="591"/>
      <c r="D303" s="590"/>
      <c r="E303" s="592">
        <f t="shared" si="121"/>
        <v>-1</v>
      </c>
      <c r="F303" s="590" t="s">
        <v>996</v>
      </c>
      <c r="G303" s="593">
        <f ca="1">$E303*(-SUMIF(INDIRECT(G$3),'Struktur Vorjahr'!$D303,INDIRECT(G$4))+SUMIF(INDIRECT(G$3),'Struktur Vorjahr'!$D303,INDIRECT(G$5)))</f>
        <v>0</v>
      </c>
      <c r="H303" s="593">
        <f ca="1">$E303*(-SUMIF(INDIRECT(H$3),'Struktur Vorjahr'!$D303,INDIRECT(H$4))+SUMIF(INDIRECT(H$3),'Struktur Vorjahr'!$D303,INDIRECT(H$5)))</f>
        <v>0</v>
      </c>
      <c r="I303" s="593">
        <f ca="1">$E303*(-SUMIF(INDIRECT(I$3),'Struktur Vorjahr'!$D303,INDIRECT(I$4))+SUMIF(INDIRECT(I$3),'Struktur Vorjahr'!$D303,INDIRECT(I$5)))</f>
        <v>0</v>
      </c>
      <c r="J303" s="593">
        <f ca="1">$E303*(-SUMIF(INDIRECT(J$3),'Struktur Vorjahr'!$D303,INDIRECT(J$4))+SUMIF(INDIRECT(J$3),'Struktur Vorjahr'!$D303,INDIRECT(J$5)))</f>
        <v>0</v>
      </c>
      <c r="K303" s="593">
        <f ca="1">$E303*(-SUMIF(INDIRECT(K$3),'Struktur Vorjahr'!$D303,INDIRECT(K$4))+SUMIF(INDIRECT(K$3),'Struktur Vorjahr'!$D303,INDIRECT(K$5)))</f>
        <v>0</v>
      </c>
      <c r="L303" s="593">
        <f ca="1">$E303*(-SUMIF(INDIRECT(L$3),'Struktur Vorjahr'!$D303,INDIRECT(L$4))+SUMIF(INDIRECT(L$3),'Struktur Vorjahr'!$D303,INDIRECT(L$5)))</f>
        <v>0</v>
      </c>
      <c r="M303" s="593">
        <f ca="1">$E303*(-SUMIF(INDIRECT(M$3),'Struktur Vorjahr'!$D303,INDIRECT(M$4))+SUMIF(INDIRECT(M$3),'Struktur Vorjahr'!$D303,INDIRECT(M$5)))</f>
        <v>0</v>
      </c>
      <c r="N303" s="593">
        <f ca="1">$E303*(-SUMIF(INDIRECT(N$3),'Struktur Vorjahr'!$D303,INDIRECT(N$4))+SUMIF(INDIRECT(N$3),'Struktur Vorjahr'!$D303,INDIRECT(N$5)))</f>
        <v>0</v>
      </c>
      <c r="O303" s="593">
        <f ca="1">$E303*(-SUMIF(INDIRECT(O$3),'Struktur Vorjahr'!$D303,INDIRECT(O$4))+SUMIF(INDIRECT(O$3),'Struktur Vorjahr'!$D303,INDIRECT(O$5)))</f>
        <v>0</v>
      </c>
      <c r="P303" s="593">
        <f ca="1">$E303*(-SUMIF(INDIRECT(P$3),'Struktur Vorjahr'!$D303,INDIRECT(P$4))+SUMIF(INDIRECT(P$3),'Struktur Vorjahr'!$D303,INDIRECT(P$5)))</f>
        <v>0</v>
      </c>
      <c r="Q303" s="593">
        <f ca="1">$E303*(-SUMIF(INDIRECT(Q$3),'Struktur Vorjahr'!$D303,INDIRECT(Q$4))+SUMIF(INDIRECT(Q$3),'Struktur Vorjahr'!$D303,INDIRECT(Q$5)))</f>
        <v>0</v>
      </c>
      <c r="R303" s="593">
        <f ca="1">$E303*(-SUMIF(INDIRECT(R$3),'Struktur Vorjahr'!$D303,INDIRECT(R$4))+SUMIF(INDIRECT(R$3),'Struktur Vorjahr'!$D303,INDIRECT(R$5)))</f>
        <v>0</v>
      </c>
      <c r="S303" s="593">
        <f ca="1">$E303*(-SUMIF(INDIRECT(S$3),'Struktur Vorjahr'!$D303,INDIRECT(S$4))+SUMIF(INDIRECT(S$3),'Struktur Vorjahr'!$D303,INDIRECT(S$5)))</f>
        <v>0</v>
      </c>
      <c r="T303" s="593">
        <f ca="1">$E303*(-SUMIF(INDIRECT(T$3),'Struktur Vorjahr'!$D303,INDIRECT(T$4))+SUMIF(INDIRECT(T$3),'Struktur Vorjahr'!$D303,INDIRECT(T$5)))</f>
        <v>0</v>
      </c>
      <c r="U303" s="593">
        <f ca="1">$E303*(-SUMIF(INDIRECT(U$3),'Struktur Vorjahr'!$D303,INDIRECT(U$4))+SUMIF(INDIRECT(U$3),'Struktur Vorjahr'!$D303,INDIRECT(U$5)))</f>
        <v>0</v>
      </c>
      <c r="V303" s="593">
        <f ca="1">$E303*(-SUMIF(INDIRECT(V$3),'Struktur Vorjahr'!$D303,INDIRECT(V$4))+SUMIF(INDIRECT(V$3),'Struktur Vorjahr'!$D303,INDIRECT(V$5)))</f>
        <v>0</v>
      </c>
      <c r="W303" s="593">
        <f ca="1">$E303*(-SUMIF(INDIRECT(W$3),'Struktur Vorjahr'!$D303,INDIRECT(W$4))+SUMIF(INDIRECT(W$3),'Struktur Vorjahr'!$D303,INDIRECT(W$5)))</f>
        <v>0</v>
      </c>
      <c r="X303" s="593">
        <f ca="1">$E303*(-SUMIF(INDIRECT(X$3),'Struktur Vorjahr'!$D303,INDIRECT(X$4))+SUMIF(INDIRECT(X$3),'Struktur Vorjahr'!$D303,INDIRECT(X$5)))</f>
        <v>0</v>
      </c>
      <c r="Y303" s="593">
        <f ca="1">$E303*(-SUMIF(INDIRECT(Y$3),'Struktur Vorjahr'!$D303,INDIRECT(Y$4))+SUMIF(INDIRECT(Y$3),'Struktur Vorjahr'!$D303,INDIRECT(Y$5)))</f>
        <v>0</v>
      </c>
      <c r="Z303" s="593">
        <f ca="1">$E303*(-SUMIF(INDIRECT(Z$3),'Struktur Vorjahr'!$D303,INDIRECT(Z$4))+SUMIF(INDIRECT(Z$3),'Struktur Vorjahr'!$D303,INDIRECT(Z$5)))</f>
        <v>0</v>
      </c>
      <c r="AA303" s="593">
        <f ca="1">$E303*(-SUMIF(INDIRECT(AA$3),'Struktur Vorjahr'!$D303,INDIRECT(AA$4))+SUMIF(INDIRECT(AA$3),'Struktur Vorjahr'!$D303,INDIRECT(AA$5)))</f>
        <v>0</v>
      </c>
      <c r="AB303" s="593">
        <f ca="1">$E303*(-SUMIF(INDIRECT(AB$3),'Struktur Vorjahr'!$D303,INDIRECT(AB$4))+SUMIF(INDIRECT(AB$3),'Struktur Vorjahr'!$D303,INDIRECT(AB$5)))</f>
        <v>0</v>
      </c>
      <c r="AC303" s="593">
        <f ca="1">$E303*(-SUMIF(INDIRECT(AC$3),'Struktur Vorjahr'!$D303,INDIRECT(AC$4))+SUMIF(INDIRECT(AC$3),'Struktur Vorjahr'!$D303,INDIRECT(AC$5)))</f>
        <v>0</v>
      </c>
      <c r="AD303" s="593">
        <f ca="1">$E303*(-SUMIF(INDIRECT(AD$3),'Struktur Vorjahr'!$D303,INDIRECT(AD$4))+SUMIF(INDIRECT(AD$3),'Struktur Vorjahr'!$D303,INDIRECT(AD$5)))</f>
        <v>0</v>
      </c>
      <c r="AE303" s="593">
        <f t="shared" ca="1" si="133"/>
        <v>0</v>
      </c>
      <c r="AF303" s="593">
        <f t="shared" ca="1" si="134"/>
        <v>0</v>
      </c>
      <c r="AG303" s="593">
        <f t="shared" ca="1" si="134"/>
        <v>0</v>
      </c>
      <c r="AH303" s="593">
        <f t="shared" ca="1" si="134"/>
        <v>0</v>
      </c>
      <c r="AI303" s="593">
        <f t="shared" ca="1" si="134"/>
        <v>0</v>
      </c>
      <c r="AJ303" s="593">
        <f t="shared" ca="1" si="134"/>
        <v>0</v>
      </c>
      <c r="AK303" s="593">
        <f t="shared" ca="1" si="134"/>
        <v>0</v>
      </c>
      <c r="AL303" s="593">
        <f t="shared" ca="1" si="134"/>
        <v>0</v>
      </c>
      <c r="AM303" s="593">
        <f t="shared" ca="1" si="134"/>
        <v>0</v>
      </c>
      <c r="AN303" s="593">
        <f t="shared" ca="1" si="134"/>
        <v>0</v>
      </c>
      <c r="AO303" s="593">
        <f t="shared" ca="1" si="134"/>
        <v>0</v>
      </c>
      <c r="AP303" s="593">
        <f t="shared" ca="1" si="134"/>
        <v>0</v>
      </c>
    </row>
    <row r="304" spans="1:42" s="594" customFormat="1" ht="11.25" outlineLevel="1" x14ac:dyDescent="0.2">
      <c r="A304" s="590"/>
      <c r="B304" s="591" t="str">
        <f>IF(D304&lt;&gt;"",
IF(ISERROR(MATCH(D304,'Ist Vorjahr Monat 01'!A:A,0))=FALSE,INDEX('Ist Vorjahr Monat 01'!B:B,MATCH(D304,'Ist Vorjahr Monat 01'!A:A,0)),
IF(ISERROR(MATCH(D304,'Ist Vorjahr Monat 02'!A:A,0))=FALSE,INDEX('Ist Vorjahr Monat 02'!B:B,MATCH(D304,'Ist Vorjahr Monat 02'!A:A,0)),
IF(ISERROR(MATCH(D304,'Ist Vorjahr Monat 03'!A:A,0))=FALSE,INDEX('Ist Vorjahr Monat 03'!B:B,MATCH(D304,'Ist Vorjahr Monat 03'!A:A,0)),
IF(ISERROR(MATCH(D304,'Ist Vorjahr Monat 04'!A:A,0))=FALSE,INDEX('Ist Vorjahr Monat 04'!B:B,MATCH(D304,'Ist Vorjahr Monat 04'!A:A,0)),
IF(ISERROR(MATCH(D304,'Ist Vorjahr Monat 05'!A:A,0))=FALSE,INDEX('Ist Vorjahr Monat 05'!B:B,MATCH(D304,'Ist Vorjahr Monat 05'!A:A,0)),
IF(ISERROR(MATCH(D304,'Ist Vorjahr Monat 06'!A:A,0))=FALSE,INDEX('Ist Vorjahr Monat 06'!B:B,MATCH(D304,'Ist Vorjahr Monat 06'!A:A,0)),
IF(ISERROR(MATCH(D304,'Ist Vorjahr Monat 07'!A:A,0))=FALSE,INDEX('Ist Vorjahr Monat 07'!B:B,MATCH(D304,'Ist Vorjahr Monat 07'!A:A,0)),
IF(ISERROR(MATCH(D304,'Ist Vorjahr Monat 08'!A:A,0))=FALSE,INDEX('Ist Vorjahr Monat 08'!B:B,MATCH(D304,'Ist Vorjahr Monat 08'!A:A,0)),
IF(ISERROR(MATCH(D304,'Ist Vorjahr Monat 09'!A:A,0))=FALSE,INDEX('Ist Vorjahr Monat 09'!B:B,MATCH(D304,'Ist Vorjahr Monat 09'!A:A,0)),
IF(ISERROR(MATCH(D304,'Ist Vorjahr Monat 10'!A:A,0))=FALSE,INDEX('Ist Vorjahr Monat 10'!B:B,MATCH(D304,'Ist Vorjahr Monat 10'!A:A,0)),
IF(ISERROR(MATCH(D304,'Ist Vorjahr Monat 11'!A:A,0))=FALSE,INDEX('Ist Vorjahr Monat 11'!B:B,MATCH(D304,'Ist Vorjahr Monat 11'!A:A,0)),
IF(ISERROR(MATCH(D304,'Ist Vorjahr Monat 12'!A:A,0))=FALSE,INDEX('Ist Vorjahr Monat 12'!B:B,MATCH(D304,'Ist Vorjahr Monat 12'!A:A,0)),
"{Konto unbekannt}"
)))))))))))),"")</f>
        <v/>
      </c>
      <c r="C304" s="591"/>
      <c r="D304" s="590"/>
      <c r="E304" s="592">
        <f t="shared" si="121"/>
        <v>-1</v>
      </c>
      <c r="F304" s="590" t="s">
        <v>996</v>
      </c>
      <c r="G304" s="593">
        <f ca="1">$E304*(-SUMIF(INDIRECT(G$3),'Struktur Vorjahr'!$D304,INDIRECT(G$4))+SUMIF(INDIRECT(G$3),'Struktur Vorjahr'!$D304,INDIRECT(G$5)))</f>
        <v>0</v>
      </c>
      <c r="H304" s="593">
        <f ca="1">$E304*(-SUMIF(INDIRECT(H$3),'Struktur Vorjahr'!$D304,INDIRECT(H$4))+SUMIF(INDIRECT(H$3),'Struktur Vorjahr'!$D304,INDIRECT(H$5)))</f>
        <v>0</v>
      </c>
      <c r="I304" s="593">
        <f ca="1">$E304*(-SUMIF(INDIRECT(I$3),'Struktur Vorjahr'!$D304,INDIRECT(I$4))+SUMIF(INDIRECT(I$3),'Struktur Vorjahr'!$D304,INDIRECT(I$5)))</f>
        <v>0</v>
      </c>
      <c r="J304" s="593">
        <f ca="1">$E304*(-SUMIF(INDIRECT(J$3),'Struktur Vorjahr'!$D304,INDIRECT(J$4))+SUMIF(INDIRECT(J$3),'Struktur Vorjahr'!$D304,INDIRECT(J$5)))</f>
        <v>0</v>
      </c>
      <c r="K304" s="593">
        <f ca="1">$E304*(-SUMIF(INDIRECT(K$3),'Struktur Vorjahr'!$D304,INDIRECT(K$4))+SUMIF(INDIRECT(K$3),'Struktur Vorjahr'!$D304,INDIRECT(K$5)))</f>
        <v>0</v>
      </c>
      <c r="L304" s="593">
        <f ca="1">$E304*(-SUMIF(INDIRECT(L$3),'Struktur Vorjahr'!$D304,INDIRECT(L$4))+SUMIF(INDIRECT(L$3),'Struktur Vorjahr'!$D304,INDIRECT(L$5)))</f>
        <v>0</v>
      </c>
      <c r="M304" s="593">
        <f ca="1">$E304*(-SUMIF(INDIRECT(M$3),'Struktur Vorjahr'!$D304,INDIRECT(M$4))+SUMIF(INDIRECT(M$3),'Struktur Vorjahr'!$D304,INDIRECT(M$5)))</f>
        <v>0</v>
      </c>
      <c r="N304" s="593">
        <f ca="1">$E304*(-SUMIF(INDIRECT(N$3),'Struktur Vorjahr'!$D304,INDIRECT(N$4))+SUMIF(INDIRECT(N$3),'Struktur Vorjahr'!$D304,INDIRECT(N$5)))</f>
        <v>0</v>
      </c>
      <c r="O304" s="593">
        <f ca="1">$E304*(-SUMIF(INDIRECT(O$3),'Struktur Vorjahr'!$D304,INDIRECT(O$4))+SUMIF(INDIRECT(O$3),'Struktur Vorjahr'!$D304,INDIRECT(O$5)))</f>
        <v>0</v>
      </c>
      <c r="P304" s="593">
        <f ca="1">$E304*(-SUMIF(INDIRECT(P$3),'Struktur Vorjahr'!$D304,INDIRECT(P$4))+SUMIF(INDIRECT(P$3),'Struktur Vorjahr'!$D304,INDIRECT(P$5)))</f>
        <v>0</v>
      </c>
      <c r="Q304" s="593">
        <f ca="1">$E304*(-SUMIF(INDIRECT(Q$3),'Struktur Vorjahr'!$D304,INDIRECT(Q$4))+SUMIF(INDIRECT(Q$3),'Struktur Vorjahr'!$D304,INDIRECT(Q$5)))</f>
        <v>0</v>
      </c>
      <c r="R304" s="593">
        <f ca="1">$E304*(-SUMIF(INDIRECT(R$3),'Struktur Vorjahr'!$D304,INDIRECT(R$4))+SUMIF(INDIRECT(R$3),'Struktur Vorjahr'!$D304,INDIRECT(R$5)))</f>
        <v>0</v>
      </c>
      <c r="S304" s="593">
        <f ca="1">$E304*(-SUMIF(INDIRECT(S$3),'Struktur Vorjahr'!$D304,INDIRECT(S$4))+SUMIF(INDIRECT(S$3),'Struktur Vorjahr'!$D304,INDIRECT(S$5)))</f>
        <v>0</v>
      </c>
      <c r="T304" s="593">
        <f ca="1">$E304*(-SUMIF(INDIRECT(T$3),'Struktur Vorjahr'!$D304,INDIRECT(T$4))+SUMIF(INDIRECT(T$3),'Struktur Vorjahr'!$D304,INDIRECT(T$5)))</f>
        <v>0</v>
      </c>
      <c r="U304" s="593">
        <f ca="1">$E304*(-SUMIF(INDIRECT(U$3),'Struktur Vorjahr'!$D304,INDIRECT(U$4))+SUMIF(INDIRECT(U$3),'Struktur Vorjahr'!$D304,INDIRECT(U$5)))</f>
        <v>0</v>
      </c>
      <c r="V304" s="593">
        <f ca="1">$E304*(-SUMIF(INDIRECT(V$3),'Struktur Vorjahr'!$D304,INDIRECT(V$4))+SUMIF(INDIRECT(V$3),'Struktur Vorjahr'!$D304,INDIRECT(V$5)))</f>
        <v>0</v>
      </c>
      <c r="W304" s="593">
        <f ca="1">$E304*(-SUMIF(INDIRECT(W$3),'Struktur Vorjahr'!$D304,INDIRECT(W$4))+SUMIF(INDIRECT(W$3),'Struktur Vorjahr'!$D304,INDIRECT(W$5)))</f>
        <v>0</v>
      </c>
      <c r="X304" s="593">
        <f ca="1">$E304*(-SUMIF(INDIRECT(X$3),'Struktur Vorjahr'!$D304,INDIRECT(X$4))+SUMIF(INDIRECT(X$3),'Struktur Vorjahr'!$D304,INDIRECT(X$5)))</f>
        <v>0</v>
      </c>
      <c r="Y304" s="593">
        <f ca="1">$E304*(-SUMIF(INDIRECT(Y$3),'Struktur Vorjahr'!$D304,INDIRECT(Y$4))+SUMIF(INDIRECT(Y$3),'Struktur Vorjahr'!$D304,INDIRECT(Y$5)))</f>
        <v>0</v>
      </c>
      <c r="Z304" s="593">
        <f ca="1">$E304*(-SUMIF(INDIRECT(Z$3),'Struktur Vorjahr'!$D304,INDIRECT(Z$4))+SUMIF(INDIRECT(Z$3),'Struktur Vorjahr'!$D304,INDIRECT(Z$5)))</f>
        <v>0</v>
      </c>
      <c r="AA304" s="593">
        <f ca="1">$E304*(-SUMIF(INDIRECT(AA$3),'Struktur Vorjahr'!$D304,INDIRECT(AA$4))+SUMIF(INDIRECT(AA$3),'Struktur Vorjahr'!$D304,INDIRECT(AA$5)))</f>
        <v>0</v>
      </c>
      <c r="AB304" s="593">
        <f ca="1">$E304*(-SUMIF(INDIRECT(AB$3),'Struktur Vorjahr'!$D304,INDIRECT(AB$4))+SUMIF(INDIRECT(AB$3),'Struktur Vorjahr'!$D304,INDIRECT(AB$5)))</f>
        <v>0</v>
      </c>
      <c r="AC304" s="593">
        <f ca="1">$E304*(-SUMIF(INDIRECT(AC$3),'Struktur Vorjahr'!$D304,INDIRECT(AC$4))+SUMIF(INDIRECT(AC$3),'Struktur Vorjahr'!$D304,INDIRECT(AC$5)))</f>
        <v>0</v>
      </c>
      <c r="AD304" s="593">
        <f ca="1">$E304*(-SUMIF(INDIRECT(AD$3),'Struktur Vorjahr'!$D304,INDIRECT(AD$4))+SUMIF(INDIRECT(AD$3),'Struktur Vorjahr'!$D304,INDIRECT(AD$5)))</f>
        <v>0</v>
      </c>
      <c r="AE304" s="593">
        <f t="shared" ca="1" si="133"/>
        <v>0</v>
      </c>
      <c r="AF304" s="593">
        <f t="shared" ca="1" si="134"/>
        <v>0</v>
      </c>
      <c r="AG304" s="593">
        <f t="shared" ca="1" si="134"/>
        <v>0</v>
      </c>
      <c r="AH304" s="593">
        <f t="shared" ca="1" si="134"/>
        <v>0</v>
      </c>
      <c r="AI304" s="593">
        <f t="shared" ca="1" si="134"/>
        <v>0</v>
      </c>
      <c r="AJ304" s="593">
        <f t="shared" ca="1" si="134"/>
        <v>0</v>
      </c>
      <c r="AK304" s="593">
        <f t="shared" ca="1" si="134"/>
        <v>0</v>
      </c>
      <c r="AL304" s="593">
        <f t="shared" ca="1" si="134"/>
        <v>0</v>
      </c>
      <c r="AM304" s="593">
        <f t="shared" ca="1" si="134"/>
        <v>0</v>
      </c>
      <c r="AN304" s="593">
        <f t="shared" ca="1" si="134"/>
        <v>0</v>
      </c>
      <c r="AO304" s="593">
        <f t="shared" ca="1" si="134"/>
        <v>0</v>
      </c>
      <c r="AP304" s="593">
        <f t="shared" ca="1" si="134"/>
        <v>0</v>
      </c>
    </row>
    <row r="305" spans="1:42" s="594" customFormat="1" ht="11.25" outlineLevel="1" x14ac:dyDescent="0.2">
      <c r="A305" s="590"/>
      <c r="B305" s="591" t="str">
        <f>IF(D305&lt;&gt;"",
IF(ISERROR(MATCH(D305,'Ist Vorjahr Monat 01'!A:A,0))=FALSE,INDEX('Ist Vorjahr Monat 01'!B:B,MATCH(D305,'Ist Vorjahr Monat 01'!A:A,0)),
IF(ISERROR(MATCH(D305,'Ist Vorjahr Monat 02'!A:A,0))=FALSE,INDEX('Ist Vorjahr Monat 02'!B:B,MATCH(D305,'Ist Vorjahr Monat 02'!A:A,0)),
IF(ISERROR(MATCH(D305,'Ist Vorjahr Monat 03'!A:A,0))=FALSE,INDEX('Ist Vorjahr Monat 03'!B:B,MATCH(D305,'Ist Vorjahr Monat 03'!A:A,0)),
IF(ISERROR(MATCH(D305,'Ist Vorjahr Monat 04'!A:A,0))=FALSE,INDEX('Ist Vorjahr Monat 04'!B:B,MATCH(D305,'Ist Vorjahr Monat 04'!A:A,0)),
IF(ISERROR(MATCH(D305,'Ist Vorjahr Monat 05'!A:A,0))=FALSE,INDEX('Ist Vorjahr Monat 05'!B:B,MATCH(D305,'Ist Vorjahr Monat 05'!A:A,0)),
IF(ISERROR(MATCH(D305,'Ist Vorjahr Monat 06'!A:A,0))=FALSE,INDEX('Ist Vorjahr Monat 06'!B:B,MATCH(D305,'Ist Vorjahr Monat 06'!A:A,0)),
IF(ISERROR(MATCH(D305,'Ist Vorjahr Monat 07'!A:A,0))=FALSE,INDEX('Ist Vorjahr Monat 07'!B:B,MATCH(D305,'Ist Vorjahr Monat 07'!A:A,0)),
IF(ISERROR(MATCH(D305,'Ist Vorjahr Monat 08'!A:A,0))=FALSE,INDEX('Ist Vorjahr Monat 08'!B:B,MATCH(D305,'Ist Vorjahr Monat 08'!A:A,0)),
IF(ISERROR(MATCH(D305,'Ist Vorjahr Monat 09'!A:A,0))=FALSE,INDEX('Ist Vorjahr Monat 09'!B:B,MATCH(D305,'Ist Vorjahr Monat 09'!A:A,0)),
IF(ISERROR(MATCH(D305,'Ist Vorjahr Monat 10'!A:A,0))=FALSE,INDEX('Ist Vorjahr Monat 10'!B:B,MATCH(D305,'Ist Vorjahr Monat 10'!A:A,0)),
IF(ISERROR(MATCH(D305,'Ist Vorjahr Monat 11'!A:A,0))=FALSE,INDEX('Ist Vorjahr Monat 11'!B:B,MATCH(D305,'Ist Vorjahr Monat 11'!A:A,0)),
IF(ISERROR(MATCH(D305,'Ist Vorjahr Monat 12'!A:A,0))=FALSE,INDEX('Ist Vorjahr Monat 12'!B:B,MATCH(D305,'Ist Vorjahr Monat 12'!A:A,0)),
"{Konto unbekannt}"
)))))))))))),"")</f>
        <v/>
      </c>
      <c r="C305" s="591"/>
      <c r="D305" s="590"/>
      <c r="E305" s="592">
        <f t="shared" si="121"/>
        <v>-1</v>
      </c>
      <c r="F305" s="590" t="s">
        <v>996</v>
      </c>
      <c r="G305" s="593">
        <f ca="1">$E305*(-SUMIF(INDIRECT(G$3),'Struktur Vorjahr'!$D305,INDIRECT(G$4))+SUMIF(INDIRECT(G$3),'Struktur Vorjahr'!$D305,INDIRECT(G$5)))</f>
        <v>0</v>
      </c>
      <c r="H305" s="593">
        <f ca="1">$E305*(-SUMIF(INDIRECT(H$3),'Struktur Vorjahr'!$D305,INDIRECT(H$4))+SUMIF(INDIRECT(H$3),'Struktur Vorjahr'!$D305,INDIRECT(H$5)))</f>
        <v>0</v>
      </c>
      <c r="I305" s="593">
        <f ca="1">$E305*(-SUMIF(INDIRECT(I$3),'Struktur Vorjahr'!$D305,INDIRECT(I$4))+SUMIF(INDIRECT(I$3),'Struktur Vorjahr'!$D305,INDIRECT(I$5)))</f>
        <v>0</v>
      </c>
      <c r="J305" s="593">
        <f ca="1">$E305*(-SUMIF(INDIRECT(J$3),'Struktur Vorjahr'!$D305,INDIRECT(J$4))+SUMIF(INDIRECT(J$3),'Struktur Vorjahr'!$D305,INDIRECT(J$5)))</f>
        <v>0</v>
      </c>
      <c r="K305" s="593">
        <f ca="1">$E305*(-SUMIF(INDIRECT(K$3),'Struktur Vorjahr'!$D305,INDIRECT(K$4))+SUMIF(INDIRECT(K$3),'Struktur Vorjahr'!$D305,INDIRECT(K$5)))</f>
        <v>0</v>
      </c>
      <c r="L305" s="593">
        <f ca="1">$E305*(-SUMIF(INDIRECT(L$3),'Struktur Vorjahr'!$D305,INDIRECT(L$4))+SUMIF(INDIRECT(L$3),'Struktur Vorjahr'!$D305,INDIRECT(L$5)))</f>
        <v>0</v>
      </c>
      <c r="M305" s="593">
        <f ca="1">$E305*(-SUMIF(INDIRECT(M$3),'Struktur Vorjahr'!$D305,INDIRECT(M$4))+SUMIF(INDIRECT(M$3),'Struktur Vorjahr'!$D305,INDIRECT(M$5)))</f>
        <v>0</v>
      </c>
      <c r="N305" s="593">
        <f ca="1">$E305*(-SUMIF(INDIRECT(N$3),'Struktur Vorjahr'!$D305,INDIRECT(N$4))+SUMIF(INDIRECT(N$3),'Struktur Vorjahr'!$D305,INDIRECT(N$5)))</f>
        <v>0</v>
      </c>
      <c r="O305" s="593">
        <f ca="1">$E305*(-SUMIF(INDIRECT(O$3),'Struktur Vorjahr'!$D305,INDIRECT(O$4))+SUMIF(INDIRECT(O$3),'Struktur Vorjahr'!$D305,INDIRECT(O$5)))</f>
        <v>0</v>
      </c>
      <c r="P305" s="593">
        <f ca="1">$E305*(-SUMIF(INDIRECT(P$3),'Struktur Vorjahr'!$D305,INDIRECT(P$4))+SUMIF(INDIRECT(P$3),'Struktur Vorjahr'!$D305,INDIRECT(P$5)))</f>
        <v>0</v>
      </c>
      <c r="Q305" s="593">
        <f ca="1">$E305*(-SUMIF(INDIRECT(Q$3),'Struktur Vorjahr'!$D305,INDIRECT(Q$4))+SUMIF(INDIRECT(Q$3),'Struktur Vorjahr'!$D305,INDIRECT(Q$5)))</f>
        <v>0</v>
      </c>
      <c r="R305" s="593">
        <f ca="1">$E305*(-SUMIF(INDIRECT(R$3),'Struktur Vorjahr'!$D305,INDIRECT(R$4))+SUMIF(INDIRECT(R$3),'Struktur Vorjahr'!$D305,INDIRECT(R$5)))</f>
        <v>0</v>
      </c>
      <c r="S305" s="593">
        <f ca="1">$E305*(-SUMIF(INDIRECT(S$3),'Struktur Vorjahr'!$D305,INDIRECT(S$4))+SUMIF(INDIRECT(S$3),'Struktur Vorjahr'!$D305,INDIRECT(S$5)))</f>
        <v>0</v>
      </c>
      <c r="T305" s="593">
        <f ca="1">$E305*(-SUMIF(INDIRECT(T$3),'Struktur Vorjahr'!$D305,INDIRECT(T$4))+SUMIF(INDIRECT(T$3),'Struktur Vorjahr'!$D305,INDIRECT(T$5)))</f>
        <v>0</v>
      </c>
      <c r="U305" s="593">
        <f ca="1">$E305*(-SUMIF(INDIRECT(U$3),'Struktur Vorjahr'!$D305,INDIRECT(U$4))+SUMIF(INDIRECT(U$3),'Struktur Vorjahr'!$D305,INDIRECT(U$5)))</f>
        <v>0</v>
      </c>
      <c r="V305" s="593">
        <f ca="1">$E305*(-SUMIF(INDIRECT(V$3),'Struktur Vorjahr'!$D305,INDIRECT(V$4))+SUMIF(INDIRECT(V$3),'Struktur Vorjahr'!$D305,INDIRECT(V$5)))</f>
        <v>0</v>
      </c>
      <c r="W305" s="593">
        <f ca="1">$E305*(-SUMIF(INDIRECT(W$3),'Struktur Vorjahr'!$D305,INDIRECT(W$4))+SUMIF(INDIRECT(W$3),'Struktur Vorjahr'!$D305,INDIRECT(W$5)))</f>
        <v>0</v>
      </c>
      <c r="X305" s="593">
        <f ca="1">$E305*(-SUMIF(INDIRECT(X$3),'Struktur Vorjahr'!$D305,INDIRECT(X$4))+SUMIF(INDIRECT(X$3),'Struktur Vorjahr'!$D305,INDIRECT(X$5)))</f>
        <v>0</v>
      </c>
      <c r="Y305" s="593">
        <f ca="1">$E305*(-SUMIF(INDIRECT(Y$3),'Struktur Vorjahr'!$D305,INDIRECT(Y$4))+SUMIF(INDIRECT(Y$3),'Struktur Vorjahr'!$D305,INDIRECT(Y$5)))</f>
        <v>0</v>
      </c>
      <c r="Z305" s="593">
        <f ca="1">$E305*(-SUMIF(INDIRECT(Z$3),'Struktur Vorjahr'!$D305,INDIRECT(Z$4))+SUMIF(INDIRECT(Z$3),'Struktur Vorjahr'!$D305,INDIRECT(Z$5)))</f>
        <v>0</v>
      </c>
      <c r="AA305" s="593">
        <f ca="1">$E305*(-SUMIF(INDIRECT(AA$3),'Struktur Vorjahr'!$D305,INDIRECT(AA$4))+SUMIF(INDIRECT(AA$3),'Struktur Vorjahr'!$D305,INDIRECT(AA$5)))</f>
        <v>0</v>
      </c>
      <c r="AB305" s="593">
        <f ca="1">$E305*(-SUMIF(INDIRECT(AB$3),'Struktur Vorjahr'!$D305,INDIRECT(AB$4))+SUMIF(INDIRECT(AB$3),'Struktur Vorjahr'!$D305,INDIRECT(AB$5)))</f>
        <v>0</v>
      </c>
      <c r="AC305" s="593">
        <f ca="1">$E305*(-SUMIF(INDIRECT(AC$3),'Struktur Vorjahr'!$D305,INDIRECT(AC$4))+SUMIF(INDIRECT(AC$3),'Struktur Vorjahr'!$D305,INDIRECT(AC$5)))</f>
        <v>0</v>
      </c>
      <c r="AD305" s="593">
        <f ca="1">$E305*(-SUMIF(INDIRECT(AD$3),'Struktur Vorjahr'!$D305,INDIRECT(AD$4))+SUMIF(INDIRECT(AD$3),'Struktur Vorjahr'!$D305,INDIRECT(AD$5)))</f>
        <v>0</v>
      </c>
      <c r="AE305" s="593">
        <f t="shared" ca="1" si="133"/>
        <v>0</v>
      </c>
      <c r="AF305" s="593">
        <f t="shared" ca="1" si="134"/>
        <v>0</v>
      </c>
      <c r="AG305" s="593">
        <f t="shared" ca="1" si="134"/>
        <v>0</v>
      </c>
      <c r="AH305" s="593">
        <f t="shared" ca="1" si="134"/>
        <v>0</v>
      </c>
      <c r="AI305" s="593">
        <f t="shared" ca="1" si="134"/>
        <v>0</v>
      </c>
      <c r="AJ305" s="593">
        <f t="shared" ca="1" si="134"/>
        <v>0</v>
      </c>
      <c r="AK305" s="593">
        <f t="shared" ca="1" si="134"/>
        <v>0</v>
      </c>
      <c r="AL305" s="593">
        <f t="shared" ca="1" si="134"/>
        <v>0</v>
      </c>
      <c r="AM305" s="593">
        <f t="shared" ca="1" si="134"/>
        <v>0</v>
      </c>
      <c r="AN305" s="593">
        <f t="shared" ca="1" si="134"/>
        <v>0</v>
      </c>
      <c r="AO305" s="593">
        <f t="shared" ca="1" si="134"/>
        <v>0</v>
      </c>
      <c r="AP305" s="593">
        <f t="shared" ca="1" si="134"/>
        <v>0</v>
      </c>
    </row>
    <row r="306" spans="1:42" s="589" customFormat="1" x14ac:dyDescent="0.2">
      <c r="A306" s="585">
        <v>28</v>
      </c>
      <c r="B306" s="586" t="s">
        <v>374</v>
      </c>
      <c r="C306" s="587">
        <f ca="1">SUM(G306:R306)</f>
        <v>0</v>
      </c>
      <c r="D306" s="587"/>
      <c r="E306" s="588">
        <f t="shared" si="121"/>
        <v>1</v>
      </c>
      <c r="F306" s="585"/>
      <c r="G306" s="587">
        <f t="shared" ref="G306:AP306" ca="1" si="135">SUM(G307:G312)</f>
        <v>0</v>
      </c>
      <c r="H306" s="587">
        <f t="shared" ca="1" si="135"/>
        <v>0</v>
      </c>
      <c r="I306" s="587">
        <f t="shared" ca="1" si="135"/>
        <v>0</v>
      </c>
      <c r="J306" s="587">
        <f t="shared" ca="1" si="135"/>
        <v>0</v>
      </c>
      <c r="K306" s="587">
        <f t="shared" ca="1" si="135"/>
        <v>0</v>
      </c>
      <c r="L306" s="587">
        <f t="shared" ca="1" si="135"/>
        <v>0</v>
      </c>
      <c r="M306" s="587">
        <f t="shared" ca="1" si="135"/>
        <v>0</v>
      </c>
      <c r="N306" s="587">
        <f t="shared" ca="1" si="135"/>
        <v>0</v>
      </c>
      <c r="O306" s="587">
        <f t="shared" ca="1" si="135"/>
        <v>0</v>
      </c>
      <c r="P306" s="587">
        <f t="shared" ca="1" si="135"/>
        <v>0</v>
      </c>
      <c r="Q306" s="587">
        <f t="shared" ca="1" si="135"/>
        <v>0</v>
      </c>
      <c r="R306" s="587">
        <f t="shared" ca="1" si="135"/>
        <v>0</v>
      </c>
      <c r="S306" s="587">
        <f t="shared" ca="1" si="135"/>
        <v>0</v>
      </c>
      <c r="T306" s="587">
        <f t="shared" ca="1" si="135"/>
        <v>0</v>
      </c>
      <c r="U306" s="587">
        <f t="shared" ca="1" si="135"/>
        <v>0</v>
      </c>
      <c r="V306" s="587">
        <f t="shared" ca="1" si="135"/>
        <v>0</v>
      </c>
      <c r="W306" s="587">
        <f t="shared" ca="1" si="135"/>
        <v>0</v>
      </c>
      <c r="X306" s="587">
        <f t="shared" ca="1" si="135"/>
        <v>0</v>
      </c>
      <c r="Y306" s="587">
        <f t="shared" ca="1" si="135"/>
        <v>0</v>
      </c>
      <c r="Z306" s="587">
        <f t="shared" ca="1" si="135"/>
        <v>0</v>
      </c>
      <c r="AA306" s="587">
        <f t="shared" ca="1" si="135"/>
        <v>0</v>
      </c>
      <c r="AB306" s="587">
        <f t="shared" ca="1" si="135"/>
        <v>0</v>
      </c>
      <c r="AC306" s="587">
        <f t="shared" ca="1" si="135"/>
        <v>0</v>
      </c>
      <c r="AD306" s="587">
        <f t="shared" ca="1" si="135"/>
        <v>0</v>
      </c>
      <c r="AE306" s="587">
        <f t="shared" ca="1" si="135"/>
        <v>0</v>
      </c>
      <c r="AF306" s="587">
        <f t="shared" ca="1" si="135"/>
        <v>0</v>
      </c>
      <c r="AG306" s="587">
        <f t="shared" ca="1" si="135"/>
        <v>0</v>
      </c>
      <c r="AH306" s="587">
        <f t="shared" ca="1" si="135"/>
        <v>0</v>
      </c>
      <c r="AI306" s="587">
        <f t="shared" ca="1" si="135"/>
        <v>0</v>
      </c>
      <c r="AJ306" s="587">
        <f t="shared" ca="1" si="135"/>
        <v>0</v>
      </c>
      <c r="AK306" s="587">
        <f t="shared" ca="1" si="135"/>
        <v>0</v>
      </c>
      <c r="AL306" s="587">
        <f t="shared" ca="1" si="135"/>
        <v>0</v>
      </c>
      <c r="AM306" s="587">
        <f t="shared" ca="1" si="135"/>
        <v>0</v>
      </c>
      <c r="AN306" s="587">
        <f t="shared" ca="1" si="135"/>
        <v>0</v>
      </c>
      <c r="AO306" s="587">
        <f t="shared" ca="1" si="135"/>
        <v>0</v>
      </c>
      <c r="AP306" s="587">
        <f t="shared" ca="1" si="135"/>
        <v>0</v>
      </c>
    </row>
    <row r="307" spans="1:42" s="594" customFormat="1" ht="11.25" outlineLevel="1" x14ac:dyDescent="0.2">
      <c r="A307" s="590"/>
      <c r="B307" s="591" t="str">
        <f>IF(D307&lt;&gt;"",
IF(ISERROR(MATCH(D307,'Ist Vorjahr Monat 01'!A:A,0))=FALSE,INDEX('Ist Vorjahr Monat 01'!B:B,MATCH(D307,'Ist Vorjahr Monat 01'!A:A,0)),
IF(ISERROR(MATCH(D307,'Ist Vorjahr Monat 02'!A:A,0))=FALSE,INDEX('Ist Vorjahr Monat 02'!B:B,MATCH(D307,'Ist Vorjahr Monat 02'!A:A,0)),
IF(ISERROR(MATCH(D307,'Ist Vorjahr Monat 03'!A:A,0))=FALSE,INDEX('Ist Vorjahr Monat 03'!B:B,MATCH(D307,'Ist Vorjahr Monat 03'!A:A,0)),
IF(ISERROR(MATCH(D307,'Ist Vorjahr Monat 04'!A:A,0))=FALSE,INDEX('Ist Vorjahr Monat 04'!B:B,MATCH(D307,'Ist Vorjahr Monat 04'!A:A,0)),
IF(ISERROR(MATCH(D307,'Ist Vorjahr Monat 05'!A:A,0))=FALSE,INDEX('Ist Vorjahr Monat 05'!B:B,MATCH(D307,'Ist Vorjahr Monat 05'!A:A,0)),
IF(ISERROR(MATCH(D307,'Ist Vorjahr Monat 06'!A:A,0))=FALSE,INDEX('Ist Vorjahr Monat 06'!B:B,MATCH(D307,'Ist Vorjahr Monat 06'!A:A,0)),
IF(ISERROR(MATCH(D307,'Ist Vorjahr Monat 07'!A:A,0))=FALSE,INDEX('Ist Vorjahr Monat 07'!B:B,MATCH(D307,'Ist Vorjahr Monat 07'!A:A,0)),
IF(ISERROR(MATCH(D307,'Ist Vorjahr Monat 08'!A:A,0))=FALSE,INDEX('Ist Vorjahr Monat 08'!B:B,MATCH(D307,'Ist Vorjahr Monat 08'!A:A,0)),
IF(ISERROR(MATCH(D307,'Ist Vorjahr Monat 09'!A:A,0))=FALSE,INDEX('Ist Vorjahr Monat 09'!B:B,MATCH(D307,'Ist Vorjahr Monat 09'!A:A,0)),
IF(ISERROR(MATCH(D307,'Ist Vorjahr Monat 10'!A:A,0))=FALSE,INDEX('Ist Vorjahr Monat 10'!B:B,MATCH(D307,'Ist Vorjahr Monat 10'!A:A,0)),
IF(ISERROR(MATCH(D307,'Ist Vorjahr Monat 11'!A:A,0))=FALSE,INDEX('Ist Vorjahr Monat 11'!B:B,MATCH(D307,'Ist Vorjahr Monat 11'!A:A,0)),
IF(ISERROR(MATCH(D307,'Ist Vorjahr Monat 12'!A:A,0))=FALSE,INDEX('Ist Vorjahr Monat 12'!B:B,MATCH(D307,'Ist Vorjahr Monat 12'!A:A,0)),
"{Konto unbekannt}"
)))))))))))),"")</f>
        <v>{Konto unbekannt}</v>
      </c>
      <c r="C307" s="591"/>
      <c r="D307" s="590">
        <v>2100</v>
      </c>
      <c r="E307" s="592">
        <f t="shared" si="121"/>
        <v>1</v>
      </c>
      <c r="F307" s="590"/>
      <c r="G307" s="593">
        <f ca="1">$E307*(-SUMIF(INDIRECT(G$3),'Struktur Vorjahr'!$D307,INDIRECT(G$4))+SUMIF(INDIRECT(G$3),'Struktur Vorjahr'!$D307,INDIRECT(G$5)))</f>
        <v>0</v>
      </c>
      <c r="H307" s="593">
        <f ca="1">$E307*(-SUMIF(INDIRECT(H$3),'Struktur Vorjahr'!$D307,INDIRECT(H$4))+SUMIF(INDIRECT(H$3),'Struktur Vorjahr'!$D307,INDIRECT(H$5)))</f>
        <v>0</v>
      </c>
      <c r="I307" s="593">
        <f ca="1">$E307*(-SUMIF(INDIRECT(I$3),'Struktur Vorjahr'!$D307,INDIRECT(I$4))+SUMIF(INDIRECT(I$3),'Struktur Vorjahr'!$D307,INDIRECT(I$5)))</f>
        <v>0</v>
      </c>
      <c r="J307" s="593">
        <f ca="1">$E307*(-SUMIF(INDIRECT(J$3),'Struktur Vorjahr'!$D307,INDIRECT(J$4))+SUMIF(INDIRECT(J$3),'Struktur Vorjahr'!$D307,INDIRECT(J$5)))</f>
        <v>0</v>
      </c>
      <c r="K307" s="593">
        <f ca="1">$E307*(-SUMIF(INDIRECT(K$3),'Struktur Vorjahr'!$D307,INDIRECT(K$4))+SUMIF(INDIRECT(K$3),'Struktur Vorjahr'!$D307,INDIRECT(K$5)))</f>
        <v>0</v>
      </c>
      <c r="L307" s="593">
        <f ca="1">$E307*(-SUMIF(INDIRECT(L$3),'Struktur Vorjahr'!$D307,INDIRECT(L$4))+SUMIF(INDIRECT(L$3),'Struktur Vorjahr'!$D307,INDIRECT(L$5)))</f>
        <v>0</v>
      </c>
      <c r="M307" s="593">
        <f ca="1">$E307*(-SUMIF(INDIRECT(M$3),'Struktur Vorjahr'!$D307,INDIRECT(M$4))+SUMIF(INDIRECT(M$3),'Struktur Vorjahr'!$D307,INDIRECT(M$5)))</f>
        <v>0</v>
      </c>
      <c r="N307" s="593">
        <f ca="1">$E307*(-SUMIF(INDIRECT(N$3),'Struktur Vorjahr'!$D307,INDIRECT(N$4))+SUMIF(INDIRECT(N$3),'Struktur Vorjahr'!$D307,INDIRECT(N$5)))</f>
        <v>0</v>
      </c>
      <c r="O307" s="593">
        <f ca="1">$E307*(-SUMIF(INDIRECT(O$3),'Struktur Vorjahr'!$D307,INDIRECT(O$4))+SUMIF(INDIRECT(O$3),'Struktur Vorjahr'!$D307,INDIRECT(O$5)))</f>
        <v>0</v>
      </c>
      <c r="P307" s="593">
        <f ca="1">$E307*(-SUMIF(INDIRECT(P$3),'Struktur Vorjahr'!$D307,INDIRECT(P$4))+SUMIF(INDIRECT(P$3),'Struktur Vorjahr'!$D307,INDIRECT(P$5)))</f>
        <v>0</v>
      </c>
      <c r="Q307" s="593">
        <f ca="1">$E307*(-SUMIF(INDIRECT(Q$3),'Struktur Vorjahr'!$D307,INDIRECT(Q$4))+SUMIF(INDIRECT(Q$3),'Struktur Vorjahr'!$D307,INDIRECT(Q$5)))</f>
        <v>0</v>
      </c>
      <c r="R307" s="593">
        <f ca="1">$E307*(-SUMIF(INDIRECT(R$3),'Struktur Vorjahr'!$D307,INDIRECT(R$4))+SUMIF(INDIRECT(R$3),'Struktur Vorjahr'!$D307,INDIRECT(R$5)))</f>
        <v>0</v>
      </c>
      <c r="S307" s="593">
        <f ca="1">$E307*(-SUMIF(INDIRECT(S$3),'Struktur Vorjahr'!$D307,INDIRECT(S$4))+SUMIF(INDIRECT(S$3),'Struktur Vorjahr'!$D307,INDIRECT(S$5)))</f>
        <v>0</v>
      </c>
      <c r="T307" s="593">
        <f ca="1">$E307*(-SUMIF(INDIRECT(T$3),'Struktur Vorjahr'!$D307,INDIRECT(T$4))+SUMIF(INDIRECT(T$3),'Struktur Vorjahr'!$D307,INDIRECT(T$5)))</f>
        <v>0</v>
      </c>
      <c r="U307" s="593">
        <f ca="1">$E307*(-SUMIF(INDIRECT(U$3),'Struktur Vorjahr'!$D307,INDIRECT(U$4))+SUMIF(INDIRECT(U$3),'Struktur Vorjahr'!$D307,INDIRECT(U$5)))</f>
        <v>0</v>
      </c>
      <c r="V307" s="593">
        <f ca="1">$E307*(-SUMIF(INDIRECT(V$3),'Struktur Vorjahr'!$D307,INDIRECT(V$4))+SUMIF(INDIRECT(V$3),'Struktur Vorjahr'!$D307,INDIRECT(V$5)))</f>
        <v>0</v>
      </c>
      <c r="W307" s="593">
        <f ca="1">$E307*(-SUMIF(INDIRECT(W$3),'Struktur Vorjahr'!$D307,INDIRECT(W$4))+SUMIF(INDIRECT(W$3),'Struktur Vorjahr'!$D307,INDIRECT(W$5)))</f>
        <v>0</v>
      </c>
      <c r="X307" s="593">
        <f ca="1">$E307*(-SUMIF(INDIRECT(X$3),'Struktur Vorjahr'!$D307,INDIRECT(X$4))+SUMIF(INDIRECT(X$3),'Struktur Vorjahr'!$D307,INDIRECT(X$5)))</f>
        <v>0</v>
      </c>
      <c r="Y307" s="593">
        <f ca="1">$E307*(-SUMIF(INDIRECT(Y$3),'Struktur Vorjahr'!$D307,INDIRECT(Y$4))+SUMIF(INDIRECT(Y$3),'Struktur Vorjahr'!$D307,INDIRECT(Y$5)))</f>
        <v>0</v>
      </c>
      <c r="Z307" s="593">
        <f ca="1">$E307*(-SUMIF(INDIRECT(Z$3),'Struktur Vorjahr'!$D307,INDIRECT(Z$4))+SUMIF(INDIRECT(Z$3),'Struktur Vorjahr'!$D307,INDIRECT(Z$5)))</f>
        <v>0</v>
      </c>
      <c r="AA307" s="593">
        <f ca="1">$E307*(-SUMIF(INDIRECT(AA$3),'Struktur Vorjahr'!$D307,INDIRECT(AA$4))+SUMIF(INDIRECT(AA$3),'Struktur Vorjahr'!$D307,INDIRECT(AA$5)))</f>
        <v>0</v>
      </c>
      <c r="AB307" s="593">
        <f ca="1">$E307*(-SUMIF(INDIRECT(AB$3),'Struktur Vorjahr'!$D307,INDIRECT(AB$4))+SUMIF(INDIRECT(AB$3),'Struktur Vorjahr'!$D307,INDIRECT(AB$5)))</f>
        <v>0</v>
      </c>
      <c r="AC307" s="593">
        <f ca="1">$E307*(-SUMIF(INDIRECT(AC$3),'Struktur Vorjahr'!$D307,INDIRECT(AC$4))+SUMIF(INDIRECT(AC$3),'Struktur Vorjahr'!$D307,INDIRECT(AC$5)))</f>
        <v>0</v>
      </c>
      <c r="AD307" s="593">
        <f ca="1">$E307*(-SUMIF(INDIRECT(AD$3),'Struktur Vorjahr'!$D307,INDIRECT(AD$4))+SUMIF(INDIRECT(AD$3),'Struktur Vorjahr'!$D307,INDIRECT(AD$5)))</f>
        <v>0</v>
      </c>
      <c r="AE307" s="593">
        <f t="shared" ref="AE307:AE312" ca="1" si="136">G307</f>
        <v>0</v>
      </c>
      <c r="AF307" s="593">
        <f t="shared" ref="AF307:AP312" ca="1" si="137">H307+AE307</f>
        <v>0</v>
      </c>
      <c r="AG307" s="593">
        <f t="shared" ca="1" si="137"/>
        <v>0</v>
      </c>
      <c r="AH307" s="593">
        <f t="shared" ca="1" si="137"/>
        <v>0</v>
      </c>
      <c r="AI307" s="593">
        <f t="shared" ca="1" si="137"/>
        <v>0</v>
      </c>
      <c r="AJ307" s="593">
        <f t="shared" ca="1" si="137"/>
        <v>0</v>
      </c>
      <c r="AK307" s="593">
        <f t="shared" ca="1" si="137"/>
        <v>0</v>
      </c>
      <c r="AL307" s="593">
        <f t="shared" ca="1" si="137"/>
        <v>0</v>
      </c>
      <c r="AM307" s="593">
        <f t="shared" ca="1" si="137"/>
        <v>0</v>
      </c>
      <c r="AN307" s="593">
        <f t="shared" ca="1" si="137"/>
        <v>0</v>
      </c>
      <c r="AO307" s="593">
        <f t="shared" ca="1" si="137"/>
        <v>0</v>
      </c>
      <c r="AP307" s="593">
        <f t="shared" ca="1" si="137"/>
        <v>0</v>
      </c>
    </row>
    <row r="308" spans="1:42" s="594" customFormat="1" ht="11.25" outlineLevel="1" x14ac:dyDescent="0.2">
      <c r="A308" s="590"/>
      <c r="B308" s="591" t="str">
        <f>IF(D308&lt;&gt;"",
IF(ISERROR(MATCH(D308,'Ist Vorjahr Monat 01'!A:A,0))=FALSE,INDEX('Ist Vorjahr Monat 01'!B:B,MATCH(D308,'Ist Vorjahr Monat 01'!A:A,0)),
IF(ISERROR(MATCH(D308,'Ist Vorjahr Monat 02'!A:A,0))=FALSE,INDEX('Ist Vorjahr Monat 02'!B:B,MATCH(D308,'Ist Vorjahr Monat 02'!A:A,0)),
IF(ISERROR(MATCH(D308,'Ist Vorjahr Monat 03'!A:A,0))=FALSE,INDEX('Ist Vorjahr Monat 03'!B:B,MATCH(D308,'Ist Vorjahr Monat 03'!A:A,0)),
IF(ISERROR(MATCH(D308,'Ist Vorjahr Monat 04'!A:A,0))=FALSE,INDEX('Ist Vorjahr Monat 04'!B:B,MATCH(D308,'Ist Vorjahr Monat 04'!A:A,0)),
IF(ISERROR(MATCH(D308,'Ist Vorjahr Monat 05'!A:A,0))=FALSE,INDEX('Ist Vorjahr Monat 05'!B:B,MATCH(D308,'Ist Vorjahr Monat 05'!A:A,0)),
IF(ISERROR(MATCH(D308,'Ist Vorjahr Monat 06'!A:A,0))=FALSE,INDEX('Ist Vorjahr Monat 06'!B:B,MATCH(D308,'Ist Vorjahr Monat 06'!A:A,0)),
IF(ISERROR(MATCH(D308,'Ist Vorjahr Monat 07'!A:A,0))=FALSE,INDEX('Ist Vorjahr Monat 07'!B:B,MATCH(D308,'Ist Vorjahr Monat 07'!A:A,0)),
IF(ISERROR(MATCH(D308,'Ist Vorjahr Monat 08'!A:A,0))=FALSE,INDEX('Ist Vorjahr Monat 08'!B:B,MATCH(D308,'Ist Vorjahr Monat 08'!A:A,0)),
IF(ISERROR(MATCH(D308,'Ist Vorjahr Monat 09'!A:A,0))=FALSE,INDEX('Ist Vorjahr Monat 09'!B:B,MATCH(D308,'Ist Vorjahr Monat 09'!A:A,0)),
IF(ISERROR(MATCH(D308,'Ist Vorjahr Monat 10'!A:A,0))=FALSE,INDEX('Ist Vorjahr Monat 10'!B:B,MATCH(D308,'Ist Vorjahr Monat 10'!A:A,0)),
IF(ISERROR(MATCH(D308,'Ist Vorjahr Monat 11'!A:A,0))=FALSE,INDEX('Ist Vorjahr Monat 11'!B:B,MATCH(D308,'Ist Vorjahr Monat 11'!A:A,0)),
IF(ISERROR(MATCH(D308,'Ist Vorjahr Monat 12'!A:A,0))=FALSE,INDEX('Ist Vorjahr Monat 12'!B:B,MATCH(D308,'Ist Vorjahr Monat 12'!A:A,0)),
"{Konto unbekannt}"
)))))))))))),"")</f>
        <v>{Konto unbekannt}</v>
      </c>
      <c r="C308" s="591"/>
      <c r="D308" s="590">
        <v>2114</v>
      </c>
      <c r="E308" s="592">
        <f t="shared" si="121"/>
        <v>1</v>
      </c>
      <c r="F308" s="590"/>
      <c r="G308" s="593">
        <f ca="1">$E308*(-SUMIF(INDIRECT(G$3),'Struktur Vorjahr'!$D308,INDIRECT(G$4))+SUMIF(INDIRECT(G$3),'Struktur Vorjahr'!$D308,INDIRECT(G$5)))</f>
        <v>0</v>
      </c>
      <c r="H308" s="593">
        <f ca="1">$E308*(-SUMIF(INDIRECT(H$3),'Struktur Vorjahr'!$D308,INDIRECT(H$4))+SUMIF(INDIRECT(H$3),'Struktur Vorjahr'!$D308,INDIRECT(H$5)))</f>
        <v>0</v>
      </c>
      <c r="I308" s="593">
        <f ca="1">$E308*(-SUMIF(INDIRECT(I$3),'Struktur Vorjahr'!$D308,INDIRECT(I$4))+SUMIF(INDIRECT(I$3),'Struktur Vorjahr'!$D308,INDIRECT(I$5)))</f>
        <v>0</v>
      </c>
      <c r="J308" s="593">
        <f ca="1">$E308*(-SUMIF(INDIRECT(J$3),'Struktur Vorjahr'!$D308,INDIRECT(J$4))+SUMIF(INDIRECT(J$3),'Struktur Vorjahr'!$D308,INDIRECT(J$5)))</f>
        <v>0</v>
      </c>
      <c r="K308" s="593">
        <f ca="1">$E308*(-SUMIF(INDIRECT(K$3),'Struktur Vorjahr'!$D308,INDIRECT(K$4))+SUMIF(INDIRECT(K$3),'Struktur Vorjahr'!$D308,INDIRECT(K$5)))</f>
        <v>0</v>
      </c>
      <c r="L308" s="593">
        <f ca="1">$E308*(-SUMIF(INDIRECT(L$3),'Struktur Vorjahr'!$D308,INDIRECT(L$4))+SUMIF(INDIRECT(L$3),'Struktur Vorjahr'!$D308,INDIRECT(L$5)))</f>
        <v>0</v>
      </c>
      <c r="M308" s="593">
        <f ca="1">$E308*(-SUMIF(INDIRECT(M$3),'Struktur Vorjahr'!$D308,INDIRECT(M$4))+SUMIF(INDIRECT(M$3),'Struktur Vorjahr'!$D308,INDIRECT(M$5)))</f>
        <v>0</v>
      </c>
      <c r="N308" s="593">
        <f ca="1">$E308*(-SUMIF(INDIRECT(N$3),'Struktur Vorjahr'!$D308,INDIRECT(N$4))+SUMIF(INDIRECT(N$3),'Struktur Vorjahr'!$D308,INDIRECT(N$5)))</f>
        <v>0</v>
      </c>
      <c r="O308" s="593">
        <f ca="1">$E308*(-SUMIF(INDIRECT(O$3),'Struktur Vorjahr'!$D308,INDIRECT(O$4))+SUMIF(INDIRECT(O$3),'Struktur Vorjahr'!$D308,INDIRECT(O$5)))</f>
        <v>0</v>
      </c>
      <c r="P308" s="593">
        <f ca="1">$E308*(-SUMIF(INDIRECT(P$3),'Struktur Vorjahr'!$D308,INDIRECT(P$4))+SUMIF(INDIRECT(P$3),'Struktur Vorjahr'!$D308,INDIRECT(P$5)))</f>
        <v>0</v>
      </c>
      <c r="Q308" s="593">
        <f ca="1">$E308*(-SUMIF(INDIRECT(Q$3),'Struktur Vorjahr'!$D308,INDIRECT(Q$4))+SUMIF(INDIRECT(Q$3),'Struktur Vorjahr'!$D308,INDIRECT(Q$5)))</f>
        <v>0</v>
      </c>
      <c r="R308" s="593">
        <f ca="1">$E308*(-SUMIF(INDIRECT(R$3),'Struktur Vorjahr'!$D308,INDIRECT(R$4))+SUMIF(INDIRECT(R$3),'Struktur Vorjahr'!$D308,INDIRECT(R$5)))</f>
        <v>0</v>
      </c>
      <c r="S308" s="593">
        <f ca="1">$E308*(-SUMIF(INDIRECT(S$3),'Struktur Vorjahr'!$D308,INDIRECT(S$4))+SUMIF(INDIRECT(S$3),'Struktur Vorjahr'!$D308,INDIRECT(S$5)))</f>
        <v>0</v>
      </c>
      <c r="T308" s="593">
        <f ca="1">$E308*(-SUMIF(INDIRECT(T$3),'Struktur Vorjahr'!$D308,INDIRECT(T$4))+SUMIF(INDIRECT(T$3),'Struktur Vorjahr'!$D308,INDIRECT(T$5)))</f>
        <v>0</v>
      </c>
      <c r="U308" s="593">
        <f ca="1">$E308*(-SUMIF(INDIRECT(U$3),'Struktur Vorjahr'!$D308,INDIRECT(U$4))+SUMIF(INDIRECT(U$3),'Struktur Vorjahr'!$D308,INDIRECT(U$5)))</f>
        <v>0</v>
      </c>
      <c r="V308" s="593">
        <f ca="1">$E308*(-SUMIF(INDIRECT(V$3),'Struktur Vorjahr'!$D308,INDIRECT(V$4))+SUMIF(INDIRECT(V$3),'Struktur Vorjahr'!$D308,INDIRECT(V$5)))</f>
        <v>0</v>
      </c>
      <c r="W308" s="593">
        <f ca="1">$E308*(-SUMIF(INDIRECT(W$3),'Struktur Vorjahr'!$D308,INDIRECT(W$4))+SUMIF(INDIRECT(W$3),'Struktur Vorjahr'!$D308,INDIRECT(W$5)))</f>
        <v>0</v>
      </c>
      <c r="X308" s="593">
        <f ca="1">$E308*(-SUMIF(INDIRECT(X$3),'Struktur Vorjahr'!$D308,INDIRECT(X$4))+SUMIF(INDIRECT(X$3),'Struktur Vorjahr'!$D308,INDIRECT(X$5)))</f>
        <v>0</v>
      </c>
      <c r="Y308" s="593">
        <f ca="1">$E308*(-SUMIF(INDIRECT(Y$3),'Struktur Vorjahr'!$D308,INDIRECT(Y$4))+SUMIF(INDIRECT(Y$3),'Struktur Vorjahr'!$D308,INDIRECT(Y$5)))</f>
        <v>0</v>
      </c>
      <c r="Z308" s="593">
        <f ca="1">$E308*(-SUMIF(INDIRECT(Z$3),'Struktur Vorjahr'!$D308,INDIRECT(Z$4))+SUMIF(INDIRECT(Z$3),'Struktur Vorjahr'!$D308,INDIRECT(Z$5)))</f>
        <v>0</v>
      </c>
      <c r="AA308" s="593">
        <f ca="1">$E308*(-SUMIF(INDIRECT(AA$3),'Struktur Vorjahr'!$D308,INDIRECT(AA$4))+SUMIF(INDIRECT(AA$3),'Struktur Vorjahr'!$D308,INDIRECT(AA$5)))</f>
        <v>0</v>
      </c>
      <c r="AB308" s="593">
        <f ca="1">$E308*(-SUMIF(INDIRECT(AB$3),'Struktur Vorjahr'!$D308,INDIRECT(AB$4))+SUMIF(INDIRECT(AB$3),'Struktur Vorjahr'!$D308,INDIRECT(AB$5)))</f>
        <v>0</v>
      </c>
      <c r="AC308" s="593">
        <f ca="1">$E308*(-SUMIF(INDIRECT(AC$3),'Struktur Vorjahr'!$D308,INDIRECT(AC$4))+SUMIF(INDIRECT(AC$3),'Struktur Vorjahr'!$D308,INDIRECT(AC$5)))</f>
        <v>0</v>
      </c>
      <c r="AD308" s="593">
        <f ca="1">$E308*(-SUMIF(INDIRECT(AD$3),'Struktur Vorjahr'!$D308,INDIRECT(AD$4))+SUMIF(INDIRECT(AD$3),'Struktur Vorjahr'!$D308,INDIRECT(AD$5)))</f>
        <v>0</v>
      </c>
      <c r="AE308" s="593">
        <f t="shared" ca="1" si="136"/>
        <v>0</v>
      </c>
      <c r="AF308" s="593">
        <f t="shared" ca="1" si="137"/>
        <v>0</v>
      </c>
      <c r="AG308" s="593">
        <f t="shared" ca="1" si="137"/>
        <v>0</v>
      </c>
      <c r="AH308" s="593">
        <f t="shared" ca="1" si="137"/>
        <v>0</v>
      </c>
      <c r="AI308" s="593">
        <f t="shared" ca="1" si="137"/>
        <v>0</v>
      </c>
      <c r="AJ308" s="593">
        <f t="shared" ca="1" si="137"/>
        <v>0</v>
      </c>
      <c r="AK308" s="593">
        <f t="shared" ca="1" si="137"/>
        <v>0</v>
      </c>
      <c r="AL308" s="593">
        <f t="shared" ca="1" si="137"/>
        <v>0</v>
      </c>
      <c r="AM308" s="593">
        <f t="shared" ca="1" si="137"/>
        <v>0</v>
      </c>
      <c r="AN308" s="593">
        <f t="shared" ca="1" si="137"/>
        <v>0</v>
      </c>
      <c r="AO308" s="593">
        <f t="shared" ca="1" si="137"/>
        <v>0</v>
      </c>
      <c r="AP308" s="593">
        <f t="shared" ca="1" si="137"/>
        <v>0</v>
      </c>
    </row>
    <row r="309" spans="1:42" s="594" customFormat="1" ht="11.25" outlineLevel="1" x14ac:dyDescent="0.2">
      <c r="A309" s="590"/>
      <c r="B309" s="591" t="str">
        <f>IF(D309&lt;&gt;"",
IF(ISERROR(MATCH(D309,'Ist Vorjahr Monat 01'!A:A,0))=FALSE,INDEX('Ist Vorjahr Monat 01'!B:B,MATCH(D309,'Ist Vorjahr Monat 01'!A:A,0)),
IF(ISERROR(MATCH(D309,'Ist Vorjahr Monat 02'!A:A,0))=FALSE,INDEX('Ist Vorjahr Monat 02'!B:B,MATCH(D309,'Ist Vorjahr Monat 02'!A:A,0)),
IF(ISERROR(MATCH(D309,'Ist Vorjahr Monat 03'!A:A,0))=FALSE,INDEX('Ist Vorjahr Monat 03'!B:B,MATCH(D309,'Ist Vorjahr Monat 03'!A:A,0)),
IF(ISERROR(MATCH(D309,'Ist Vorjahr Monat 04'!A:A,0))=FALSE,INDEX('Ist Vorjahr Monat 04'!B:B,MATCH(D309,'Ist Vorjahr Monat 04'!A:A,0)),
IF(ISERROR(MATCH(D309,'Ist Vorjahr Monat 05'!A:A,0))=FALSE,INDEX('Ist Vorjahr Monat 05'!B:B,MATCH(D309,'Ist Vorjahr Monat 05'!A:A,0)),
IF(ISERROR(MATCH(D309,'Ist Vorjahr Monat 06'!A:A,0))=FALSE,INDEX('Ist Vorjahr Monat 06'!B:B,MATCH(D309,'Ist Vorjahr Monat 06'!A:A,0)),
IF(ISERROR(MATCH(D309,'Ist Vorjahr Monat 07'!A:A,0))=FALSE,INDEX('Ist Vorjahr Monat 07'!B:B,MATCH(D309,'Ist Vorjahr Monat 07'!A:A,0)),
IF(ISERROR(MATCH(D309,'Ist Vorjahr Monat 08'!A:A,0))=FALSE,INDEX('Ist Vorjahr Monat 08'!B:B,MATCH(D309,'Ist Vorjahr Monat 08'!A:A,0)),
IF(ISERROR(MATCH(D309,'Ist Vorjahr Monat 09'!A:A,0))=FALSE,INDEX('Ist Vorjahr Monat 09'!B:B,MATCH(D309,'Ist Vorjahr Monat 09'!A:A,0)),
IF(ISERROR(MATCH(D309,'Ist Vorjahr Monat 10'!A:A,0))=FALSE,INDEX('Ist Vorjahr Monat 10'!B:B,MATCH(D309,'Ist Vorjahr Monat 10'!A:A,0)),
IF(ISERROR(MATCH(D309,'Ist Vorjahr Monat 11'!A:A,0))=FALSE,INDEX('Ist Vorjahr Monat 11'!B:B,MATCH(D309,'Ist Vorjahr Monat 11'!A:A,0)),
IF(ISERROR(MATCH(D309,'Ist Vorjahr Monat 12'!A:A,0))=FALSE,INDEX('Ist Vorjahr Monat 12'!B:B,MATCH(D309,'Ist Vorjahr Monat 12'!A:A,0)),
"{Konto unbekannt}"
)))))))))))),"")</f>
        <v>{Konto unbekannt}</v>
      </c>
      <c r="C309" s="591"/>
      <c r="D309" s="590">
        <v>2118</v>
      </c>
      <c r="E309" s="592">
        <f>IF(F309="-",-1,1)</f>
        <v>1</v>
      </c>
      <c r="F309" s="590"/>
      <c r="G309" s="593">
        <f ca="1">$E309*(-SUMIF(INDIRECT(G$3),'Struktur Vorjahr'!$D309,INDIRECT(G$4))+SUMIF(INDIRECT(G$3),'Struktur Vorjahr'!$D309,INDIRECT(G$5)))</f>
        <v>0</v>
      </c>
      <c r="H309" s="593">
        <f ca="1">$E309*(-SUMIF(INDIRECT(H$3),'Struktur Vorjahr'!$D309,INDIRECT(H$4))+SUMIF(INDIRECT(H$3),'Struktur Vorjahr'!$D309,INDIRECT(H$5)))</f>
        <v>0</v>
      </c>
      <c r="I309" s="593">
        <f ca="1">$E309*(-SUMIF(INDIRECT(I$3),'Struktur Vorjahr'!$D309,INDIRECT(I$4))+SUMIF(INDIRECT(I$3),'Struktur Vorjahr'!$D309,INDIRECT(I$5)))</f>
        <v>0</v>
      </c>
      <c r="J309" s="593">
        <f ca="1">$E309*(-SUMIF(INDIRECT(J$3),'Struktur Vorjahr'!$D309,INDIRECT(J$4))+SUMIF(INDIRECT(J$3),'Struktur Vorjahr'!$D309,INDIRECT(J$5)))</f>
        <v>0</v>
      </c>
      <c r="K309" s="593">
        <f ca="1">$E309*(-SUMIF(INDIRECT(K$3),'Struktur Vorjahr'!$D309,INDIRECT(K$4))+SUMIF(INDIRECT(K$3),'Struktur Vorjahr'!$D309,INDIRECT(K$5)))</f>
        <v>0</v>
      </c>
      <c r="L309" s="593">
        <f ca="1">$E309*(-SUMIF(INDIRECT(L$3),'Struktur Vorjahr'!$D309,INDIRECT(L$4))+SUMIF(INDIRECT(L$3),'Struktur Vorjahr'!$D309,INDIRECT(L$5)))</f>
        <v>0</v>
      </c>
      <c r="M309" s="593">
        <f ca="1">$E309*(-SUMIF(INDIRECT(M$3),'Struktur Vorjahr'!$D309,INDIRECT(M$4))+SUMIF(INDIRECT(M$3),'Struktur Vorjahr'!$D309,INDIRECT(M$5)))</f>
        <v>0</v>
      </c>
      <c r="N309" s="593">
        <f ca="1">$E309*(-SUMIF(INDIRECT(N$3),'Struktur Vorjahr'!$D309,INDIRECT(N$4))+SUMIF(INDIRECT(N$3),'Struktur Vorjahr'!$D309,INDIRECT(N$5)))</f>
        <v>0</v>
      </c>
      <c r="O309" s="593">
        <f ca="1">$E309*(-SUMIF(INDIRECT(O$3),'Struktur Vorjahr'!$D309,INDIRECT(O$4))+SUMIF(INDIRECT(O$3),'Struktur Vorjahr'!$D309,INDIRECT(O$5)))</f>
        <v>0</v>
      </c>
      <c r="P309" s="593">
        <f ca="1">$E309*(-SUMIF(INDIRECT(P$3),'Struktur Vorjahr'!$D309,INDIRECT(P$4))+SUMIF(INDIRECT(P$3),'Struktur Vorjahr'!$D309,INDIRECT(P$5)))</f>
        <v>0</v>
      </c>
      <c r="Q309" s="593">
        <f ca="1">$E309*(-SUMIF(INDIRECT(Q$3),'Struktur Vorjahr'!$D309,INDIRECT(Q$4))+SUMIF(INDIRECT(Q$3),'Struktur Vorjahr'!$D309,INDIRECT(Q$5)))</f>
        <v>0</v>
      </c>
      <c r="R309" s="593">
        <f ca="1">$E309*(-SUMIF(INDIRECT(R$3),'Struktur Vorjahr'!$D309,INDIRECT(R$4))+SUMIF(INDIRECT(R$3),'Struktur Vorjahr'!$D309,INDIRECT(R$5)))</f>
        <v>0</v>
      </c>
      <c r="S309" s="593">
        <f ca="1">$E309*(-SUMIF(INDIRECT(S$3),'Struktur Vorjahr'!$D309,INDIRECT(S$4))+SUMIF(INDIRECT(S$3),'Struktur Vorjahr'!$D309,INDIRECT(S$5)))</f>
        <v>0</v>
      </c>
      <c r="T309" s="593">
        <f ca="1">$E309*(-SUMIF(INDIRECT(T$3),'Struktur Vorjahr'!$D309,INDIRECT(T$4))+SUMIF(INDIRECT(T$3),'Struktur Vorjahr'!$D309,INDIRECT(T$5)))</f>
        <v>0</v>
      </c>
      <c r="U309" s="593">
        <f ca="1">$E309*(-SUMIF(INDIRECT(U$3),'Struktur Vorjahr'!$D309,INDIRECT(U$4))+SUMIF(INDIRECT(U$3),'Struktur Vorjahr'!$D309,INDIRECT(U$5)))</f>
        <v>0</v>
      </c>
      <c r="V309" s="593">
        <f ca="1">$E309*(-SUMIF(INDIRECT(V$3),'Struktur Vorjahr'!$D309,INDIRECT(V$4))+SUMIF(INDIRECT(V$3),'Struktur Vorjahr'!$D309,INDIRECT(V$5)))</f>
        <v>0</v>
      </c>
      <c r="W309" s="593">
        <f ca="1">$E309*(-SUMIF(INDIRECT(W$3),'Struktur Vorjahr'!$D309,INDIRECT(W$4))+SUMIF(INDIRECT(W$3),'Struktur Vorjahr'!$D309,INDIRECT(W$5)))</f>
        <v>0</v>
      </c>
      <c r="X309" s="593">
        <f ca="1">$E309*(-SUMIF(INDIRECT(X$3),'Struktur Vorjahr'!$D309,INDIRECT(X$4))+SUMIF(INDIRECT(X$3),'Struktur Vorjahr'!$D309,INDIRECT(X$5)))</f>
        <v>0</v>
      </c>
      <c r="Y309" s="593">
        <f ca="1">$E309*(-SUMIF(INDIRECT(Y$3),'Struktur Vorjahr'!$D309,INDIRECT(Y$4))+SUMIF(INDIRECT(Y$3),'Struktur Vorjahr'!$D309,INDIRECT(Y$5)))</f>
        <v>0</v>
      </c>
      <c r="Z309" s="593">
        <f ca="1">$E309*(-SUMIF(INDIRECT(Z$3),'Struktur Vorjahr'!$D309,INDIRECT(Z$4))+SUMIF(INDIRECT(Z$3),'Struktur Vorjahr'!$D309,INDIRECT(Z$5)))</f>
        <v>0</v>
      </c>
      <c r="AA309" s="593">
        <f ca="1">$E309*(-SUMIF(INDIRECT(AA$3),'Struktur Vorjahr'!$D309,INDIRECT(AA$4))+SUMIF(INDIRECT(AA$3),'Struktur Vorjahr'!$D309,INDIRECT(AA$5)))</f>
        <v>0</v>
      </c>
      <c r="AB309" s="593">
        <f ca="1">$E309*(-SUMIF(INDIRECT(AB$3),'Struktur Vorjahr'!$D309,INDIRECT(AB$4))+SUMIF(INDIRECT(AB$3),'Struktur Vorjahr'!$D309,INDIRECT(AB$5)))</f>
        <v>0</v>
      </c>
      <c r="AC309" s="593">
        <f ca="1">$E309*(-SUMIF(INDIRECT(AC$3),'Struktur Vorjahr'!$D309,INDIRECT(AC$4))+SUMIF(INDIRECT(AC$3),'Struktur Vorjahr'!$D309,INDIRECT(AC$5)))</f>
        <v>0</v>
      </c>
      <c r="AD309" s="593">
        <f ca="1">$E309*(-SUMIF(INDIRECT(AD$3),'Struktur Vorjahr'!$D309,INDIRECT(AD$4))+SUMIF(INDIRECT(AD$3),'Struktur Vorjahr'!$D309,INDIRECT(AD$5)))</f>
        <v>0</v>
      </c>
      <c r="AE309" s="593">
        <f t="shared" ca="1" si="136"/>
        <v>0</v>
      </c>
      <c r="AF309" s="593">
        <f t="shared" ca="1" si="137"/>
        <v>0</v>
      </c>
      <c r="AG309" s="593">
        <f t="shared" ca="1" si="137"/>
        <v>0</v>
      </c>
      <c r="AH309" s="593">
        <f t="shared" ca="1" si="137"/>
        <v>0</v>
      </c>
      <c r="AI309" s="593">
        <f t="shared" ca="1" si="137"/>
        <v>0</v>
      </c>
      <c r="AJ309" s="593">
        <f t="shared" ca="1" si="137"/>
        <v>0</v>
      </c>
      <c r="AK309" s="593">
        <f t="shared" ca="1" si="137"/>
        <v>0</v>
      </c>
      <c r="AL309" s="593">
        <f t="shared" ca="1" si="137"/>
        <v>0</v>
      </c>
      <c r="AM309" s="593">
        <f t="shared" ca="1" si="137"/>
        <v>0</v>
      </c>
      <c r="AN309" s="593">
        <f t="shared" ca="1" si="137"/>
        <v>0</v>
      </c>
      <c r="AO309" s="593">
        <f t="shared" ca="1" si="137"/>
        <v>0</v>
      </c>
      <c r="AP309" s="593">
        <f t="shared" ca="1" si="137"/>
        <v>0</v>
      </c>
    </row>
    <row r="310" spans="1:42" s="594" customFormat="1" ht="11.25" outlineLevel="1" x14ac:dyDescent="0.2">
      <c r="A310" s="590"/>
      <c r="B310" s="591" t="str">
        <f>IF(D310&lt;&gt;"",
IF(ISERROR(MATCH(D310,'Ist Vorjahr Monat 01'!A:A,0))=FALSE,INDEX('Ist Vorjahr Monat 01'!B:B,MATCH(D310,'Ist Vorjahr Monat 01'!A:A,0)),
IF(ISERROR(MATCH(D310,'Ist Vorjahr Monat 02'!A:A,0))=FALSE,INDEX('Ist Vorjahr Monat 02'!B:B,MATCH(D310,'Ist Vorjahr Monat 02'!A:A,0)),
IF(ISERROR(MATCH(D310,'Ist Vorjahr Monat 03'!A:A,0))=FALSE,INDEX('Ist Vorjahr Monat 03'!B:B,MATCH(D310,'Ist Vorjahr Monat 03'!A:A,0)),
IF(ISERROR(MATCH(D310,'Ist Vorjahr Monat 04'!A:A,0))=FALSE,INDEX('Ist Vorjahr Monat 04'!B:B,MATCH(D310,'Ist Vorjahr Monat 04'!A:A,0)),
IF(ISERROR(MATCH(D310,'Ist Vorjahr Monat 05'!A:A,0))=FALSE,INDEX('Ist Vorjahr Monat 05'!B:B,MATCH(D310,'Ist Vorjahr Monat 05'!A:A,0)),
IF(ISERROR(MATCH(D310,'Ist Vorjahr Monat 06'!A:A,0))=FALSE,INDEX('Ist Vorjahr Monat 06'!B:B,MATCH(D310,'Ist Vorjahr Monat 06'!A:A,0)),
IF(ISERROR(MATCH(D310,'Ist Vorjahr Monat 07'!A:A,0))=FALSE,INDEX('Ist Vorjahr Monat 07'!B:B,MATCH(D310,'Ist Vorjahr Monat 07'!A:A,0)),
IF(ISERROR(MATCH(D310,'Ist Vorjahr Monat 08'!A:A,0))=FALSE,INDEX('Ist Vorjahr Monat 08'!B:B,MATCH(D310,'Ist Vorjahr Monat 08'!A:A,0)),
IF(ISERROR(MATCH(D310,'Ist Vorjahr Monat 09'!A:A,0))=FALSE,INDEX('Ist Vorjahr Monat 09'!B:B,MATCH(D310,'Ist Vorjahr Monat 09'!A:A,0)),
IF(ISERROR(MATCH(D310,'Ist Vorjahr Monat 10'!A:A,0))=FALSE,INDEX('Ist Vorjahr Monat 10'!B:B,MATCH(D310,'Ist Vorjahr Monat 10'!A:A,0)),
IF(ISERROR(MATCH(D310,'Ist Vorjahr Monat 11'!A:A,0))=FALSE,INDEX('Ist Vorjahr Monat 11'!B:B,MATCH(D310,'Ist Vorjahr Monat 11'!A:A,0)),
IF(ISERROR(MATCH(D310,'Ist Vorjahr Monat 12'!A:A,0))=FALSE,INDEX('Ist Vorjahr Monat 12'!B:B,MATCH(D310,'Ist Vorjahr Monat 12'!A:A,0)),
"{Konto unbekannt}"
)))))))))))),"")</f>
        <v>{Konto unbekannt}</v>
      </c>
      <c r="C310" s="591"/>
      <c r="D310" s="590">
        <v>2120</v>
      </c>
      <c r="E310" s="592">
        <f>IF(F310="-",-1,1)</f>
        <v>1</v>
      </c>
      <c r="F310" s="590"/>
      <c r="G310" s="593">
        <f ca="1">$E310*(-SUMIF(INDIRECT(G$3),'Struktur Vorjahr'!$D310,INDIRECT(G$4))+SUMIF(INDIRECT(G$3),'Struktur Vorjahr'!$D310,INDIRECT(G$5)))</f>
        <v>0</v>
      </c>
      <c r="H310" s="593">
        <f ca="1">$E310*(-SUMIF(INDIRECT(H$3),'Struktur Vorjahr'!$D310,INDIRECT(H$4))+SUMIF(INDIRECT(H$3),'Struktur Vorjahr'!$D310,INDIRECT(H$5)))</f>
        <v>0</v>
      </c>
      <c r="I310" s="593">
        <f ca="1">$E310*(-SUMIF(INDIRECT(I$3),'Struktur Vorjahr'!$D310,INDIRECT(I$4))+SUMIF(INDIRECT(I$3),'Struktur Vorjahr'!$D310,INDIRECT(I$5)))</f>
        <v>0</v>
      </c>
      <c r="J310" s="593">
        <f ca="1">$E310*(-SUMIF(INDIRECT(J$3),'Struktur Vorjahr'!$D310,INDIRECT(J$4))+SUMIF(INDIRECT(J$3),'Struktur Vorjahr'!$D310,INDIRECT(J$5)))</f>
        <v>0</v>
      </c>
      <c r="K310" s="593">
        <f ca="1">$E310*(-SUMIF(INDIRECT(K$3),'Struktur Vorjahr'!$D310,INDIRECT(K$4))+SUMIF(INDIRECT(K$3),'Struktur Vorjahr'!$D310,INDIRECT(K$5)))</f>
        <v>0</v>
      </c>
      <c r="L310" s="593">
        <f ca="1">$E310*(-SUMIF(INDIRECT(L$3),'Struktur Vorjahr'!$D310,INDIRECT(L$4))+SUMIF(INDIRECT(L$3),'Struktur Vorjahr'!$D310,INDIRECT(L$5)))</f>
        <v>0</v>
      </c>
      <c r="M310" s="593">
        <f ca="1">$E310*(-SUMIF(INDIRECT(M$3),'Struktur Vorjahr'!$D310,INDIRECT(M$4))+SUMIF(INDIRECT(M$3),'Struktur Vorjahr'!$D310,INDIRECT(M$5)))</f>
        <v>0</v>
      </c>
      <c r="N310" s="593">
        <f ca="1">$E310*(-SUMIF(INDIRECT(N$3),'Struktur Vorjahr'!$D310,INDIRECT(N$4))+SUMIF(INDIRECT(N$3),'Struktur Vorjahr'!$D310,INDIRECT(N$5)))</f>
        <v>0</v>
      </c>
      <c r="O310" s="593">
        <f ca="1">$E310*(-SUMIF(INDIRECT(O$3),'Struktur Vorjahr'!$D310,INDIRECT(O$4))+SUMIF(INDIRECT(O$3),'Struktur Vorjahr'!$D310,INDIRECT(O$5)))</f>
        <v>0</v>
      </c>
      <c r="P310" s="593">
        <f ca="1">$E310*(-SUMIF(INDIRECT(P$3),'Struktur Vorjahr'!$D310,INDIRECT(P$4))+SUMIF(INDIRECT(P$3),'Struktur Vorjahr'!$D310,INDIRECT(P$5)))</f>
        <v>0</v>
      </c>
      <c r="Q310" s="593">
        <f ca="1">$E310*(-SUMIF(INDIRECT(Q$3),'Struktur Vorjahr'!$D310,INDIRECT(Q$4))+SUMIF(INDIRECT(Q$3),'Struktur Vorjahr'!$D310,INDIRECT(Q$5)))</f>
        <v>0</v>
      </c>
      <c r="R310" s="593">
        <f ca="1">$E310*(-SUMIF(INDIRECT(R$3),'Struktur Vorjahr'!$D310,INDIRECT(R$4))+SUMIF(INDIRECT(R$3),'Struktur Vorjahr'!$D310,INDIRECT(R$5)))</f>
        <v>0</v>
      </c>
      <c r="S310" s="593">
        <f ca="1">$E310*(-SUMIF(INDIRECT(S$3),'Struktur Vorjahr'!$D310,INDIRECT(S$4))+SUMIF(INDIRECT(S$3),'Struktur Vorjahr'!$D310,INDIRECT(S$5)))</f>
        <v>0</v>
      </c>
      <c r="T310" s="593">
        <f ca="1">$E310*(-SUMIF(INDIRECT(T$3),'Struktur Vorjahr'!$D310,INDIRECT(T$4))+SUMIF(INDIRECT(T$3),'Struktur Vorjahr'!$D310,INDIRECT(T$5)))</f>
        <v>0</v>
      </c>
      <c r="U310" s="593">
        <f ca="1">$E310*(-SUMIF(INDIRECT(U$3),'Struktur Vorjahr'!$D310,INDIRECT(U$4))+SUMIF(INDIRECT(U$3),'Struktur Vorjahr'!$D310,INDIRECT(U$5)))</f>
        <v>0</v>
      </c>
      <c r="V310" s="593">
        <f ca="1">$E310*(-SUMIF(INDIRECT(V$3),'Struktur Vorjahr'!$D310,INDIRECT(V$4))+SUMIF(INDIRECT(V$3),'Struktur Vorjahr'!$D310,INDIRECT(V$5)))</f>
        <v>0</v>
      </c>
      <c r="W310" s="593">
        <f ca="1">$E310*(-SUMIF(INDIRECT(W$3),'Struktur Vorjahr'!$D310,INDIRECT(W$4))+SUMIF(INDIRECT(W$3),'Struktur Vorjahr'!$D310,INDIRECT(W$5)))</f>
        <v>0</v>
      </c>
      <c r="X310" s="593">
        <f ca="1">$E310*(-SUMIF(INDIRECT(X$3),'Struktur Vorjahr'!$D310,INDIRECT(X$4))+SUMIF(INDIRECT(X$3),'Struktur Vorjahr'!$D310,INDIRECT(X$5)))</f>
        <v>0</v>
      </c>
      <c r="Y310" s="593">
        <f ca="1">$E310*(-SUMIF(INDIRECT(Y$3),'Struktur Vorjahr'!$D310,INDIRECT(Y$4))+SUMIF(INDIRECT(Y$3),'Struktur Vorjahr'!$D310,INDIRECT(Y$5)))</f>
        <v>0</v>
      </c>
      <c r="Z310" s="593">
        <f ca="1">$E310*(-SUMIF(INDIRECT(Z$3),'Struktur Vorjahr'!$D310,INDIRECT(Z$4))+SUMIF(INDIRECT(Z$3),'Struktur Vorjahr'!$D310,INDIRECT(Z$5)))</f>
        <v>0</v>
      </c>
      <c r="AA310" s="593">
        <f ca="1">$E310*(-SUMIF(INDIRECT(AA$3),'Struktur Vorjahr'!$D310,INDIRECT(AA$4))+SUMIF(INDIRECT(AA$3),'Struktur Vorjahr'!$D310,INDIRECT(AA$5)))</f>
        <v>0</v>
      </c>
      <c r="AB310" s="593">
        <f ca="1">$E310*(-SUMIF(INDIRECT(AB$3),'Struktur Vorjahr'!$D310,INDIRECT(AB$4))+SUMIF(INDIRECT(AB$3),'Struktur Vorjahr'!$D310,INDIRECT(AB$5)))</f>
        <v>0</v>
      </c>
      <c r="AC310" s="593">
        <f ca="1">$E310*(-SUMIF(INDIRECT(AC$3),'Struktur Vorjahr'!$D310,INDIRECT(AC$4))+SUMIF(INDIRECT(AC$3),'Struktur Vorjahr'!$D310,INDIRECT(AC$5)))</f>
        <v>0</v>
      </c>
      <c r="AD310" s="593">
        <f ca="1">$E310*(-SUMIF(INDIRECT(AD$3),'Struktur Vorjahr'!$D310,INDIRECT(AD$4))+SUMIF(INDIRECT(AD$3),'Struktur Vorjahr'!$D310,INDIRECT(AD$5)))</f>
        <v>0</v>
      </c>
      <c r="AE310" s="593">
        <f t="shared" ca="1" si="136"/>
        <v>0</v>
      </c>
      <c r="AF310" s="593">
        <f t="shared" ca="1" si="137"/>
        <v>0</v>
      </c>
      <c r="AG310" s="593">
        <f t="shared" ca="1" si="137"/>
        <v>0</v>
      </c>
      <c r="AH310" s="593">
        <f t="shared" ca="1" si="137"/>
        <v>0</v>
      </c>
      <c r="AI310" s="593">
        <f t="shared" ca="1" si="137"/>
        <v>0</v>
      </c>
      <c r="AJ310" s="593">
        <f t="shared" ca="1" si="137"/>
        <v>0</v>
      </c>
      <c r="AK310" s="593">
        <f t="shared" ca="1" si="137"/>
        <v>0</v>
      </c>
      <c r="AL310" s="593">
        <f t="shared" ca="1" si="137"/>
        <v>0</v>
      </c>
      <c r="AM310" s="593">
        <f t="shared" ca="1" si="137"/>
        <v>0</v>
      </c>
      <c r="AN310" s="593">
        <f t="shared" ca="1" si="137"/>
        <v>0</v>
      </c>
      <c r="AO310" s="593">
        <f t="shared" ca="1" si="137"/>
        <v>0</v>
      </c>
      <c r="AP310" s="593">
        <f t="shared" ca="1" si="137"/>
        <v>0</v>
      </c>
    </row>
    <row r="311" spans="1:42" s="594" customFormat="1" ht="11.25" outlineLevel="1" x14ac:dyDescent="0.2">
      <c r="A311" s="590"/>
      <c r="B311" s="591" t="str">
        <f>IF(D311&lt;&gt;"",
IF(ISERROR(MATCH(D311,'Ist Vorjahr Monat 01'!A:A,0))=FALSE,INDEX('Ist Vorjahr Monat 01'!B:B,MATCH(D311,'Ist Vorjahr Monat 01'!A:A,0)),
IF(ISERROR(MATCH(D311,'Ist Vorjahr Monat 02'!A:A,0))=FALSE,INDEX('Ist Vorjahr Monat 02'!B:B,MATCH(D311,'Ist Vorjahr Monat 02'!A:A,0)),
IF(ISERROR(MATCH(D311,'Ist Vorjahr Monat 03'!A:A,0))=FALSE,INDEX('Ist Vorjahr Monat 03'!B:B,MATCH(D311,'Ist Vorjahr Monat 03'!A:A,0)),
IF(ISERROR(MATCH(D311,'Ist Vorjahr Monat 04'!A:A,0))=FALSE,INDEX('Ist Vorjahr Monat 04'!B:B,MATCH(D311,'Ist Vorjahr Monat 04'!A:A,0)),
IF(ISERROR(MATCH(D311,'Ist Vorjahr Monat 05'!A:A,0))=FALSE,INDEX('Ist Vorjahr Monat 05'!B:B,MATCH(D311,'Ist Vorjahr Monat 05'!A:A,0)),
IF(ISERROR(MATCH(D311,'Ist Vorjahr Monat 06'!A:A,0))=FALSE,INDEX('Ist Vorjahr Monat 06'!B:B,MATCH(D311,'Ist Vorjahr Monat 06'!A:A,0)),
IF(ISERROR(MATCH(D311,'Ist Vorjahr Monat 07'!A:A,0))=FALSE,INDEX('Ist Vorjahr Monat 07'!B:B,MATCH(D311,'Ist Vorjahr Monat 07'!A:A,0)),
IF(ISERROR(MATCH(D311,'Ist Vorjahr Monat 08'!A:A,0))=FALSE,INDEX('Ist Vorjahr Monat 08'!B:B,MATCH(D311,'Ist Vorjahr Monat 08'!A:A,0)),
IF(ISERROR(MATCH(D311,'Ist Vorjahr Monat 09'!A:A,0))=FALSE,INDEX('Ist Vorjahr Monat 09'!B:B,MATCH(D311,'Ist Vorjahr Monat 09'!A:A,0)),
IF(ISERROR(MATCH(D311,'Ist Vorjahr Monat 10'!A:A,0))=FALSE,INDEX('Ist Vorjahr Monat 10'!B:B,MATCH(D311,'Ist Vorjahr Monat 10'!A:A,0)),
IF(ISERROR(MATCH(D311,'Ist Vorjahr Monat 11'!A:A,0))=FALSE,INDEX('Ist Vorjahr Monat 11'!B:B,MATCH(D311,'Ist Vorjahr Monat 11'!A:A,0)),
IF(ISERROR(MATCH(D311,'Ist Vorjahr Monat 12'!A:A,0))=FALSE,INDEX('Ist Vorjahr Monat 12'!B:B,MATCH(D311,'Ist Vorjahr Monat 12'!A:A,0)),
"{Konto unbekannt}"
)))))))))))),"")</f>
        <v/>
      </c>
      <c r="C311" s="591"/>
      <c r="D311" s="590"/>
      <c r="E311" s="592">
        <f t="shared" si="121"/>
        <v>1</v>
      </c>
      <c r="F311" s="590"/>
      <c r="G311" s="593">
        <f ca="1">$E311*(-SUMIF(INDIRECT(G$3),'Struktur Vorjahr'!$D311,INDIRECT(G$4))+SUMIF(INDIRECT(G$3),'Struktur Vorjahr'!$D311,INDIRECT(G$5)))</f>
        <v>0</v>
      </c>
      <c r="H311" s="593">
        <f ca="1">$E311*(-SUMIF(INDIRECT(H$3),'Struktur Vorjahr'!$D311,INDIRECT(H$4))+SUMIF(INDIRECT(H$3),'Struktur Vorjahr'!$D311,INDIRECT(H$5)))</f>
        <v>0</v>
      </c>
      <c r="I311" s="593">
        <f ca="1">$E311*(-SUMIF(INDIRECT(I$3),'Struktur Vorjahr'!$D311,INDIRECT(I$4))+SUMIF(INDIRECT(I$3),'Struktur Vorjahr'!$D311,INDIRECT(I$5)))</f>
        <v>0</v>
      </c>
      <c r="J311" s="593">
        <f ca="1">$E311*(-SUMIF(INDIRECT(J$3),'Struktur Vorjahr'!$D311,INDIRECT(J$4))+SUMIF(INDIRECT(J$3),'Struktur Vorjahr'!$D311,INDIRECT(J$5)))</f>
        <v>0</v>
      </c>
      <c r="K311" s="593">
        <f ca="1">$E311*(-SUMIF(INDIRECT(K$3),'Struktur Vorjahr'!$D311,INDIRECT(K$4))+SUMIF(INDIRECT(K$3),'Struktur Vorjahr'!$D311,INDIRECT(K$5)))</f>
        <v>0</v>
      </c>
      <c r="L311" s="593">
        <f ca="1">$E311*(-SUMIF(INDIRECT(L$3),'Struktur Vorjahr'!$D311,INDIRECT(L$4))+SUMIF(INDIRECT(L$3),'Struktur Vorjahr'!$D311,INDIRECT(L$5)))</f>
        <v>0</v>
      </c>
      <c r="M311" s="593">
        <f ca="1">$E311*(-SUMIF(INDIRECT(M$3),'Struktur Vorjahr'!$D311,INDIRECT(M$4))+SUMIF(INDIRECT(M$3),'Struktur Vorjahr'!$D311,INDIRECT(M$5)))</f>
        <v>0</v>
      </c>
      <c r="N311" s="593">
        <f ca="1">$E311*(-SUMIF(INDIRECT(N$3),'Struktur Vorjahr'!$D311,INDIRECT(N$4))+SUMIF(INDIRECT(N$3),'Struktur Vorjahr'!$D311,INDIRECT(N$5)))</f>
        <v>0</v>
      </c>
      <c r="O311" s="593">
        <f ca="1">$E311*(-SUMIF(INDIRECT(O$3),'Struktur Vorjahr'!$D311,INDIRECT(O$4))+SUMIF(INDIRECT(O$3),'Struktur Vorjahr'!$D311,INDIRECT(O$5)))</f>
        <v>0</v>
      </c>
      <c r="P311" s="593">
        <f ca="1">$E311*(-SUMIF(INDIRECT(P$3),'Struktur Vorjahr'!$D311,INDIRECT(P$4))+SUMIF(INDIRECT(P$3),'Struktur Vorjahr'!$D311,INDIRECT(P$5)))</f>
        <v>0</v>
      </c>
      <c r="Q311" s="593">
        <f ca="1">$E311*(-SUMIF(INDIRECT(Q$3),'Struktur Vorjahr'!$D311,INDIRECT(Q$4))+SUMIF(INDIRECT(Q$3),'Struktur Vorjahr'!$D311,INDIRECT(Q$5)))</f>
        <v>0</v>
      </c>
      <c r="R311" s="593">
        <f ca="1">$E311*(-SUMIF(INDIRECT(R$3),'Struktur Vorjahr'!$D311,INDIRECT(R$4))+SUMIF(INDIRECT(R$3),'Struktur Vorjahr'!$D311,INDIRECT(R$5)))</f>
        <v>0</v>
      </c>
      <c r="S311" s="593">
        <f ca="1">$E311*(-SUMIF(INDIRECT(S$3),'Struktur Vorjahr'!$D311,INDIRECT(S$4))+SUMIF(INDIRECT(S$3),'Struktur Vorjahr'!$D311,INDIRECT(S$5)))</f>
        <v>0</v>
      </c>
      <c r="T311" s="593">
        <f ca="1">$E311*(-SUMIF(INDIRECT(T$3),'Struktur Vorjahr'!$D311,INDIRECT(T$4))+SUMIF(INDIRECT(T$3),'Struktur Vorjahr'!$D311,INDIRECT(T$5)))</f>
        <v>0</v>
      </c>
      <c r="U311" s="593">
        <f ca="1">$E311*(-SUMIF(INDIRECT(U$3),'Struktur Vorjahr'!$D311,INDIRECT(U$4))+SUMIF(INDIRECT(U$3),'Struktur Vorjahr'!$D311,INDIRECT(U$5)))</f>
        <v>0</v>
      </c>
      <c r="V311" s="593">
        <f ca="1">$E311*(-SUMIF(INDIRECT(V$3),'Struktur Vorjahr'!$D311,INDIRECT(V$4))+SUMIF(INDIRECT(V$3),'Struktur Vorjahr'!$D311,INDIRECT(V$5)))</f>
        <v>0</v>
      </c>
      <c r="W311" s="593">
        <f ca="1">$E311*(-SUMIF(INDIRECT(W$3),'Struktur Vorjahr'!$D311,INDIRECT(W$4))+SUMIF(INDIRECT(W$3),'Struktur Vorjahr'!$D311,INDIRECT(W$5)))</f>
        <v>0</v>
      </c>
      <c r="X311" s="593">
        <f ca="1">$E311*(-SUMIF(INDIRECT(X$3),'Struktur Vorjahr'!$D311,INDIRECT(X$4))+SUMIF(INDIRECT(X$3),'Struktur Vorjahr'!$D311,INDIRECT(X$5)))</f>
        <v>0</v>
      </c>
      <c r="Y311" s="593">
        <f ca="1">$E311*(-SUMIF(INDIRECT(Y$3),'Struktur Vorjahr'!$D311,INDIRECT(Y$4))+SUMIF(INDIRECT(Y$3),'Struktur Vorjahr'!$D311,INDIRECT(Y$5)))</f>
        <v>0</v>
      </c>
      <c r="Z311" s="593">
        <f ca="1">$E311*(-SUMIF(INDIRECT(Z$3),'Struktur Vorjahr'!$D311,INDIRECT(Z$4))+SUMIF(INDIRECT(Z$3),'Struktur Vorjahr'!$D311,INDIRECT(Z$5)))</f>
        <v>0</v>
      </c>
      <c r="AA311" s="593">
        <f ca="1">$E311*(-SUMIF(INDIRECT(AA$3),'Struktur Vorjahr'!$D311,INDIRECT(AA$4))+SUMIF(INDIRECT(AA$3),'Struktur Vorjahr'!$D311,INDIRECT(AA$5)))</f>
        <v>0</v>
      </c>
      <c r="AB311" s="593">
        <f ca="1">$E311*(-SUMIF(INDIRECT(AB$3),'Struktur Vorjahr'!$D311,INDIRECT(AB$4))+SUMIF(INDIRECT(AB$3),'Struktur Vorjahr'!$D311,INDIRECT(AB$5)))</f>
        <v>0</v>
      </c>
      <c r="AC311" s="593">
        <f ca="1">$E311*(-SUMIF(INDIRECT(AC$3),'Struktur Vorjahr'!$D311,INDIRECT(AC$4))+SUMIF(INDIRECT(AC$3),'Struktur Vorjahr'!$D311,INDIRECT(AC$5)))</f>
        <v>0</v>
      </c>
      <c r="AD311" s="593">
        <f ca="1">$E311*(-SUMIF(INDIRECT(AD$3),'Struktur Vorjahr'!$D311,INDIRECT(AD$4))+SUMIF(INDIRECT(AD$3),'Struktur Vorjahr'!$D311,INDIRECT(AD$5)))</f>
        <v>0</v>
      </c>
      <c r="AE311" s="593">
        <f t="shared" ca="1" si="136"/>
        <v>0</v>
      </c>
      <c r="AF311" s="593">
        <f t="shared" ca="1" si="137"/>
        <v>0</v>
      </c>
      <c r="AG311" s="593">
        <f t="shared" ca="1" si="137"/>
        <v>0</v>
      </c>
      <c r="AH311" s="593">
        <f t="shared" ca="1" si="137"/>
        <v>0</v>
      </c>
      <c r="AI311" s="593">
        <f t="shared" ca="1" si="137"/>
        <v>0</v>
      </c>
      <c r="AJ311" s="593">
        <f t="shared" ca="1" si="137"/>
        <v>0</v>
      </c>
      <c r="AK311" s="593">
        <f t="shared" ca="1" si="137"/>
        <v>0</v>
      </c>
      <c r="AL311" s="593">
        <f t="shared" ca="1" si="137"/>
        <v>0</v>
      </c>
      <c r="AM311" s="593">
        <f t="shared" ca="1" si="137"/>
        <v>0</v>
      </c>
      <c r="AN311" s="593">
        <f t="shared" ca="1" si="137"/>
        <v>0</v>
      </c>
      <c r="AO311" s="593">
        <f t="shared" ca="1" si="137"/>
        <v>0</v>
      </c>
      <c r="AP311" s="593">
        <f t="shared" ca="1" si="137"/>
        <v>0</v>
      </c>
    </row>
    <row r="312" spans="1:42" s="594" customFormat="1" ht="11.25" outlineLevel="1" x14ac:dyDescent="0.2">
      <c r="A312" s="590"/>
      <c r="B312" s="591" t="str">
        <f>IF(D312&lt;&gt;"",
IF(ISERROR(MATCH(D312,'Ist Vorjahr Monat 01'!A:A,0))=FALSE,INDEX('Ist Vorjahr Monat 01'!B:B,MATCH(D312,'Ist Vorjahr Monat 01'!A:A,0)),
IF(ISERROR(MATCH(D312,'Ist Vorjahr Monat 02'!A:A,0))=FALSE,INDEX('Ist Vorjahr Monat 02'!B:B,MATCH(D312,'Ist Vorjahr Monat 02'!A:A,0)),
IF(ISERROR(MATCH(D312,'Ist Vorjahr Monat 03'!A:A,0))=FALSE,INDEX('Ist Vorjahr Monat 03'!B:B,MATCH(D312,'Ist Vorjahr Monat 03'!A:A,0)),
IF(ISERROR(MATCH(D312,'Ist Vorjahr Monat 04'!A:A,0))=FALSE,INDEX('Ist Vorjahr Monat 04'!B:B,MATCH(D312,'Ist Vorjahr Monat 04'!A:A,0)),
IF(ISERROR(MATCH(D312,'Ist Vorjahr Monat 05'!A:A,0))=FALSE,INDEX('Ist Vorjahr Monat 05'!B:B,MATCH(D312,'Ist Vorjahr Monat 05'!A:A,0)),
IF(ISERROR(MATCH(D312,'Ist Vorjahr Monat 06'!A:A,0))=FALSE,INDEX('Ist Vorjahr Monat 06'!B:B,MATCH(D312,'Ist Vorjahr Monat 06'!A:A,0)),
IF(ISERROR(MATCH(D312,'Ist Vorjahr Monat 07'!A:A,0))=FALSE,INDEX('Ist Vorjahr Monat 07'!B:B,MATCH(D312,'Ist Vorjahr Monat 07'!A:A,0)),
IF(ISERROR(MATCH(D312,'Ist Vorjahr Monat 08'!A:A,0))=FALSE,INDEX('Ist Vorjahr Monat 08'!B:B,MATCH(D312,'Ist Vorjahr Monat 08'!A:A,0)),
IF(ISERROR(MATCH(D312,'Ist Vorjahr Monat 09'!A:A,0))=FALSE,INDEX('Ist Vorjahr Monat 09'!B:B,MATCH(D312,'Ist Vorjahr Monat 09'!A:A,0)),
IF(ISERROR(MATCH(D312,'Ist Vorjahr Monat 10'!A:A,0))=FALSE,INDEX('Ist Vorjahr Monat 10'!B:B,MATCH(D312,'Ist Vorjahr Monat 10'!A:A,0)),
IF(ISERROR(MATCH(D312,'Ist Vorjahr Monat 11'!A:A,0))=FALSE,INDEX('Ist Vorjahr Monat 11'!B:B,MATCH(D312,'Ist Vorjahr Monat 11'!A:A,0)),
IF(ISERROR(MATCH(D312,'Ist Vorjahr Monat 12'!A:A,0))=FALSE,INDEX('Ist Vorjahr Monat 12'!B:B,MATCH(D312,'Ist Vorjahr Monat 12'!A:A,0)),
"{Konto unbekannt}"
)))))))))))),"")</f>
        <v/>
      </c>
      <c r="C312" s="591"/>
      <c r="D312" s="590"/>
      <c r="E312" s="592">
        <f t="shared" si="121"/>
        <v>1</v>
      </c>
      <c r="F312" s="590"/>
      <c r="G312" s="593">
        <f ca="1">$E312*(-SUMIF(INDIRECT(G$3),'Struktur Vorjahr'!$D312,INDIRECT(G$4))+SUMIF(INDIRECT(G$3),'Struktur Vorjahr'!$D312,INDIRECT(G$5)))</f>
        <v>0</v>
      </c>
      <c r="H312" s="593">
        <f ca="1">$E312*(-SUMIF(INDIRECT(H$3),'Struktur Vorjahr'!$D312,INDIRECT(H$4))+SUMIF(INDIRECT(H$3),'Struktur Vorjahr'!$D312,INDIRECT(H$5)))</f>
        <v>0</v>
      </c>
      <c r="I312" s="593">
        <f ca="1">$E312*(-SUMIF(INDIRECT(I$3),'Struktur Vorjahr'!$D312,INDIRECT(I$4))+SUMIF(INDIRECT(I$3),'Struktur Vorjahr'!$D312,INDIRECT(I$5)))</f>
        <v>0</v>
      </c>
      <c r="J312" s="593">
        <f ca="1">$E312*(-SUMIF(INDIRECT(J$3),'Struktur Vorjahr'!$D312,INDIRECT(J$4))+SUMIF(INDIRECT(J$3),'Struktur Vorjahr'!$D312,INDIRECT(J$5)))</f>
        <v>0</v>
      </c>
      <c r="K312" s="593">
        <f ca="1">$E312*(-SUMIF(INDIRECT(K$3),'Struktur Vorjahr'!$D312,INDIRECT(K$4))+SUMIF(INDIRECT(K$3),'Struktur Vorjahr'!$D312,INDIRECT(K$5)))</f>
        <v>0</v>
      </c>
      <c r="L312" s="593">
        <f ca="1">$E312*(-SUMIF(INDIRECT(L$3),'Struktur Vorjahr'!$D312,INDIRECT(L$4))+SUMIF(INDIRECT(L$3),'Struktur Vorjahr'!$D312,INDIRECT(L$5)))</f>
        <v>0</v>
      </c>
      <c r="M312" s="593">
        <f ca="1">$E312*(-SUMIF(INDIRECT(M$3),'Struktur Vorjahr'!$D312,INDIRECT(M$4))+SUMIF(INDIRECT(M$3),'Struktur Vorjahr'!$D312,INDIRECT(M$5)))</f>
        <v>0</v>
      </c>
      <c r="N312" s="593">
        <f ca="1">$E312*(-SUMIF(INDIRECT(N$3),'Struktur Vorjahr'!$D312,INDIRECT(N$4))+SUMIF(INDIRECT(N$3),'Struktur Vorjahr'!$D312,INDIRECT(N$5)))</f>
        <v>0</v>
      </c>
      <c r="O312" s="593">
        <f ca="1">$E312*(-SUMIF(INDIRECT(O$3),'Struktur Vorjahr'!$D312,INDIRECT(O$4))+SUMIF(INDIRECT(O$3),'Struktur Vorjahr'!$D312,INDIRECT(O$5)))</f>
        <v>0</v>
      </c>
      <c r="P312" s="593">
        <f ca="1">$E312*(-SUMIF(INDIRECT(P$3),'Struktur Vorjahr'!$D312,INDIRECT(P$4))+SUMIF(INDIRECT(P$3),'Struktur Vorjahr'!$D312,INDIRECT(P$5)))</f>
        <v>0</v>
      </c>
      <c r="Q312" s="593">
        <f ca="1">$E312*(-SUMIF(INDIRECT(Q$3),'Struktur Vorjahr'!$D312,INDIRECT(Q$4))+SUMIF(INDIRECT(Q$3),'Struktur Vorjahr'!$D312,INDIRECT(Q$5)))</f>
        <v>0</v>
      </c>
      <c r="R312" s="593">
        <f ca="1">$E312*(-SUMIF(INDIRECT(R$3),'Struktur Vorjahr'!$D312,INDIRECT(R$4))+SUMIF(INDIRECT(R$3),'Struktur Vorjahr'!$D312,INDIRECT(R$5)))</f>
        <v>0</v>
      </c>
      <c r="S312" s="593">
        <f ca="1">$E312*(-SUMIF(INDIRECT(S$3),'Struktur Vorjahr'!$D312,INDIRECT(S$4))+SUMIF(INDIRECT(S$3),'Struktur Vorjahr'!$D312,INDIRECT(S$5)))</f>
        <v>0</v>
      </c>
      <c r="T312" s="593">
        <f ca="1">$E312*(-SUMIF(INDIRECT(T$3),'Struktur Vorjahr'!$D312,INDIRECT(T$4))+SUMIF(INDIRECT(T$3),'Struktur Vorjahr'!$D312,INDIRECT(T$5)))</f>
        <v>0</v>
      </c>
      <c r="U312" s="593">
        <f ca="1">$E312*(-SUMIF(INDIRECT(U$3),'Struktur Vorjahr'!$D312,INDIRECT(U$4))+SUMIF(INDIRECT(U$3),'Struktur Vorjahr'!$D312,INDIRECT(U$5)))</f>
        <v>0</v>
      </c>
      <c r="V312" s="593">
        <f ca="1">$E312*(-SUMIF(INDIRECT(V$3),'Struktur Vorjahr'!$D312,INDIRECT(V$4))+SUMIF(INDIRECT(V$3),'Struktur Vorjahr'!$D312,INDIRECT(V$5)))</f>
        <v>0</v>
      </c>
      <c r="W312" s="593">
        <f ca="1">$E312*(-SUMIF(INDIRECT(W$3),'Struktur Vorjahr'!$D312,INDIRECT(W$4))+SUMIF(INDIRECT(W$3),'Struktur Vorjahr'!$D312,INDIRECT(W$5)))</f>
        <v>0</v>
      </c>
      <c r="X312" s="593">
        <f ca="1">$E312*(-SUMIF(INDIRECT(X$3),'Struktur Vorjahr'!$D312,INDIRECT(X$4))+SUMIF(INDIRECT(X$3),'Struktur Vorjahr'!$D312,INDIRECT(X$5)))</f>
        <v>0</v>
      </c>
      <c r="Y312" s="593">
        <f ca="1">$E312*(-SUMIF(INDIRECT(Y$3),'Struktur Vorjahr'!$D312,INDIRECT(Y$4))+SUMIF(INDIRECT(Y$3),'Struktur Vorjahr'!$D312,INDIRECT(Y$5)))</f>
        <v>0</v>
      </c>
      <c r="Z312" s="593">
        <f ca="1">$E312*(-SUMIF(INDIRECT(Z$3),'Struktur Vorjahr'!$D312,INDIRECT(Z$4))+SUMIF(INDIRECT(Z$3),'Struktur Vorjahr'!$D312,INDIRECT(Z$5)))</f>
        <v>0</v>
      </c>
      <c r="AA312" s="593">
        <f ca="1">$E312*(-SUMIF(INDIRECT(AA$3),'Struktur Vorjahr'!$D312,INDIRECT(AA$4))+SUMIF(INDIRECT(AA$3),'Struktur Vorjahr'!$D312,INDIRECT(AA$5)))</f>
        <v>0</v>
      </c>
      <c r="AB312" s="593">
        <f ca="1">$E312*(-SUMIF(INDIRECT(AB$3),'Struktur Vorjahr'!$D312,INDIRECT(AB$4))+SUMIF(INDIRECT(AB$3),'Struktur Vorjahr'!$D312,INDIRECT(AB$5)))</f>
        <v>0</v>
      </c>
      <c r="AC312" s="593">
        <f ca="1">$E312*(-SUMIF(INDIRECT(AC$3),'Struktur Vorjahr'!$D312,INDIRECT(AC$4))+SUMIF(INDIRECT(AC$3),'Struktur Vorjahr'!$D312,INDIRECT(AC$5)))</f>
        <v>0</v>
      </c>
      <c r="AD312" s="593">
        <f ca="1">$E312*(-SUMIF(INDIRECT(AD$3),'Struktur Vorjahr'!$D312,INDIRECT(AD$4))+SUMIF(INDIRECT(AD$3),'Struktur Vorjahr'!$D312,INDIRECT(AD$5)))</f>
        <v>0</v>
      </c>
      <c r="AE312" s="593">
        <f t="shared" ca="1" si="136"/>
        <v>0</v>
      </c>
      <c r="AF312" s="593">
        <f t="shared" ca="1" si="137"/>
        <v>0</v>
      </c>
      <c r="AG312" s="593">
        <f t="shared" ca="1" si="137"/>
        <v>0</v>
      </c>
      <c r="AH312" s="593">
        <f t="shared" ca="1" si="137"/>
        <v>0</v>
      </c>
      <c r="AI312" s="593">
        <f t="shared" ca="1" si="137"/>
        <v>0</v>
      </c>
      <c r="AJ312" s="593">
        <f t="shared" ca="1" si="137"/>
        <v>0</v>
      </c>
      <c r="AK312" s="593">
        <f t="shared" ca="1" si="137"/>
        <v>0</v>
      </c>
      <c r="AL312" s="593">
        <f t="shared" ca="1" si="137"/>
        <v>0</v>
      </c>
      <c r="AM312" s="593">
        <f t="shared" ca="1" si="137"/>
        <v>0</v>
      </c>
      <c r="AN312" s="593">
        <f t="shared" ca="1" si="137"/>
        <v>0</v>
      </c>
      <c r="AO312" s="593">
        <f t="shared" ca="1" si="137"/>
        <v>0</v>
      </c>
      <c r="AP312" s="593">
        <f t="shared" ca="1" si="137"/>
        <v>0</v>
      </c>
    </row>
    <row r="313" spans="1:42" s="589" customFormat="1" x14ac:dyDescent="0.2">
      <c r="A313" s="595"/>
      <c r="B313" s="596" t="s">
        <v>1014</v>
      </c>
      <c r="C313" s="597">
        <f ca="1">SUM(G313:R313)</f>
        <v>0</v>
      </c>
      <c r="D313" s="597"/>
      <c r="E313" s="598">
        <f t="shared" si="121"/>
        <v>1</v>
      </c>
      <c r="F313" s="595"/>
      <c r="G313" s="597">
        <f ca="1">-G301+G306</f>
        <v>0</v>
      </c>
      <c r="H313" s="597">
        <f t="shared" ref="H313:R313" ca="1" si="138">-H301+H306</f>
        <v>0</v>
      </c>
      <c r="I313" s="597">
        <f t="shared" ca="1" si="138"/>
        <v>0</v>
      </c>
      <c r="J313" s="597">
        <f t="shared" ca="1" si="138"/>
        <v>0</v>
      </c>
      <c r="K313" s="597">
        <f t="shared" ca="1" si="138"/>
        <v>0</v>
      </c>
      <c r="L313" s="597">
        <f t="shared" ca="1" si="138"/>
        <v>0</v>
      </c>
      <c r="M313" s="597">
        <f t="shared" ca="1" si="138"/>
        <v>0</v>
      </c>
      <c r="N313" s="597">
        <f t="shared" ca="1" si="138"/>
        <v>0</v>
      </c>
      <c r="O313" s="597">
        <f t="shared" ca="1" si="138"/>
        <v>0</v>
      </c>
      <c r="P313" s="597">
        <f t="shared" ca="1" si="138"/>
        <v>0</v>
      </c>
      <c r="Q313" s="597">
        <f t="shared" ca="1" si="138"/>
        <v>0</v>
      </c>
      <c r="R313" s="597">
        <f t="shared" ca="1" si="138"/>
        <v>0</v>
      </c>
      <c r="S313" s="597">
        <f ca="1">-S301+S306</f>
        <v>0</v>
      </c>
      <c r="T313" s="597">
        <f t="shared" ref="T313:AD313" ca="1" si="139">-T301+T306</f>
        <v>0</v>
      </c>
      <c r="U313" s="597">
        <f t="shared" ca="1" si="139"/>
        <v>0</v>
      </c>
      <c r="V313" s="597">
        <f t="shared" ca="1" si="139"/>
        <v>0</v>
      </c>
      <c r="W313" s="597">
        <f t="shared" ca="1" si="139"/>
        <v>0</v>
      </c>
      <c r="X313" s="597">
        <f t="shared" ca="1" si="139"/>
        <v>0</v>
      </c>
      <c r="Y313" s="597">
        <f t="shared" ca="1" si="139"/>
        <v>0</v>
      </c>
      <c r="Z313" s="597">
        <f t="shared" ca="1" si="139"/>
        <v>0</v>
      </c>
      <c r="AA313" s="597">
        <f t="shared" ca="1" si="139"/>
        <v>0</v>
      </c>
      <c r="AB313" s="597">
        <f t="shared" ca="1" si="139"/>
        <v>0</v>
      </c>
      <c r="AC313" s="597">
        <f t="shared" ca="1" si="139"/>
        <v>0</v>
      </c>
      <c r="AD313" s="597">
        <f t="shared" ca="1" si="139"/>
        <v>0</v>
      </c>
      <c r="AE313" s="597">
        <f ca="1">-AE301+AE306</f>
        <v>0</v>
      </c>
      <c r="AF313" s="597">
        <f t="shared" ref="AF313:AP313" ca="1" si="140">-AF301+AF306</f>
        <v>0</v>
      </c>
      <c r="AG313" s="597">
        <f t="shared" ca="1" si="140"/>
        <v>0</v>
      </c>
      <c r="AH313" s="597">
        <f t="shared" ca="1" si="140"/>
        <v>0</v>
      </c>
      <c r="AI313" s="597">
        <f t="shared" ca="1" si="140"/>
        <v>0</v>
      </c>
      <c r="AJ313" s="597">
        <f t="shared" ca="1" si="140"/>
        <v>0</v>
      </c>
      <c r="AK313" s="597">
        <f t="shared" ca="1" si="140"/>
        <v>0</v>
      </c>
      <c r="AL313" s="597">
        <f t="shared" ca="1" si="140"/>
        <v>0</v>
      </c>
      <c r="AM313" s="597">
        <f t="shared" ca="1" si="140"/>
        <v>0</v>
      </c>
      <c r="AN313" s="597">
        <f t="shared" ca="1" si="140"/>
        <v>0</v>
      </c>
      <c r="AO313" s="597">
        <f t="shared" ca="1" si="140"/>
        <v>0</v>
      </c>
      <c r="AP313" s="597">
        <f t="shared" ca="1" si="140"/>
        <v>0</v>
      </c>
    </row>
    <row r="314" spans="1:42" s="589" customFormat="1" x14ac:dyDescent="0.2">
      <c r="A314" s="595"/>
      <c r="B314" s="596" t="s">
        <v>1015</v>
      </c>
      <c r="C314" s="597">
        <f ca="1">SUM(G314:R314)</f>
        <v>-32469.819999999992</v>
      </c>
      <c r="D314" s="597"/>
      <c r="E314" s="598">
        <f t="shared" si="121"/>
        <v>1</v>
      </c>
      <c r="F314" s="595"/>
      <c r="G314" s="597">
        <f ca="1">G300-G313</f>
        <v>-9329.1200000000008</v>
      </c>
      <c r="H314" s="597">
        <f t="shared" ref="H314:R314" ca="1" si="141">H300-H313</f>
        <v>-8517.4599999999991</v>
      </c>
      <c r="I314" s="597">
        <f t="shared" ca="1" si="141"/>
        <v>-17290.11</v>
      </c>
      <c r="J314" s="597">
        <f t="shared" ca="1" si="141"/>
        <v>-9357.6400000000031</v>
      </c>
      <c r="K314" s="597">
        <f t="shared" ca="1" si="141"/>
        <v>-15077.769999999997</v>
      </c>
      <c r="L314" s="597">
        <f t="shared" ca="1" si="141"/>
        <v>-9068.6899999999987</v>
      </c>
      <c r="M314" s="597">
        <f t="shared" ca="1" si="141"/>
        <v>28137.950000000004</v>
      </c>
      <c r="N314" s="597">
        <f t="shared" ca="1" si="141"/>
        <v>1239.850000000001</v>
      </c>
      <c r="O314" s="597">
        <f t="shared" ca="1" si="141"/>
        <v>-7196.3599999999988</v>
      </c>
      <c r="P314" s="597">
        <f t="shared" ca="1" si="141"/>
        <v>13989.53</v>
      </c>
      <c r="Q314" s="597">
        <f t="shared" ca="1" si="141"/>
        <v>0</v>
      </c>
      <c r="R314" s="597">
        <f t="shared" ca="1" si="141"/>
        <v>0</v>
      </c>
      <c r="S314" s="597">
        <f ca="1">S300-S313</f>
        <v>-9329.1200000000008</v>
      </c>
      <c r="T314" s="597">
        <f t="shared" ref="T314:AD314" ca="1" si="142">T300-T313</f>
        <v>-17846.580000000005</v>
      </c>
      <c r="U314" s="597">
        <f t="shared" ca="1" si="142"/>
        <v>-35136.69000000001</v>
      </c>
      <c r="V314" s="597">
        <f t="shared" ca="1" si="142"/>
        <v>-44494.33</v>
      </c>
      <c r="W314" s="597">
        <f t="shared" ca="1" si="142"/>
        <v>-59572.1</v>
      </c>
      <c r="X314" s="597">
        <f t="shared" ca="1" si="142"/>
        <v>-68640.789999999994</v>
      </c>
      <c r="Y314" s="597">
        <f t="shared" ca="1" si="142"/>
        <v>-40502.839999999997</v>
      </c>
      <c r="Z314" s="597">
        <f t="shared" ca="1" si="142"/>
        <v>-39262.989999999991</v>
      </c>
      <c r="AA314" s="597">
        <f t="shared" ca="1" si="142"/>
        <v>-46459.350000000013</v>
      </c>
      <c r="AB314" s="597">
        <f t="shared" ca="1" si="142"/>
        <v>-32469.820000000007</v>
      </c>
      <c r="AC314" s="597">
        <f t="shared" ca="1" si="142"/>
        <v>0</v>
      </c>
      <c r="AD314" s="597">
        <f t="shared" ca="1" si="142"/>
        <v>0</v>
      </c>
      <c r="AE314" s="597">
        <f ca="1">AE300-AE313</f>
        <v>-9329.1200000000008</v>
      </c>
      <c r="AF314" s="597">
        <f t="shared" ref="AF314:AP314" ca="1" si="143">AF300-AF313</f>
        <v>-17846.580000000005</v>
      </c>
      <c r="AG314" s="597">
        <f t="shared" ca="1" si="143"/>
        <v>-35136.69000000001</v>
      </c>
      <c r="AH314" s="597">
        <f t="shared" ca="1" si="143"/>
        <v>-44494.33</v>
      </c>
      <c r="AI314" s="597">
        <f t="shared" ca="1" si="143"/>
        <v>-59572.100000000006</v>
      </c>
      <c r="AJ314" s="597">
        <f t="shared" ca="1" si="143"/>
        <v>-68640.789999999994</v>
      </c>
      <c r="AK314" s="597">
        <f t="shared" ca="1" si="143"/>
        <v>-40502.839999999997</v>
      </c>
      <c r="AL314" s="597">
        <f t="shared" ca="1" si="143"/>
        <v>-39262.989999999991</v>
      </c>
      <c r="AM314" s="597">
        <f t="shared" ca="1" si="143"/>
        <v>-46459.350000000013</v>
      </c>
      <c r="AN314" s="597">
        <f t="shared" ca="1" si="143"/>
        <v>-32469.819999999956</v>
      </c>
      <c r="AO314" s="597">
        <f t="shared" ca="1" si="143"/>
        <v>-32469.819999999956</v>
      </c>
      <c r="AP314" s="597">
        <f t="shared" ca="1" si="143"/>
        <v>-32469.819999999956</v>
      </c>
    </row>
    <row r="315" spans="1:42" s="589" customFormat="1" x14ac:dyDescent="0.2">
      <c r="A315" s="585">
        <v>29</v>
      </c>
      <c r="B315" s="586" t="s">
        <v>272</v>
      </c>
      <c r="C315" s="587">
        <f ca="1">SUM(G315:R315)</f>
        <v>4161.8900000000003</v>
      </c>
      <c r="D315" s="587"/>
      <c r="E315" s="588">
        <f t="shared" si="121"/>
        <v>1</v>
      </c>
      <c r="F315" s="585"/>
      <c r="G315" s="587">
        <f t="shared" ref="G315:AP315" ca="1" si="144">SUM(G316:G320)</f>
        <v>232.46</v>
      </c>
      <c r="H315" s="587">
        <f t="shared" ca="1" si="144"/>
        <v>232.51999999999998</v>
      </c>
      <c r="I315" s="587">
        <f t="shared" ca="1" si="144"/>
        <v>400.51</v>
      </c>
      <c r="J315" s="587">
        <f t="shared" ca="1" si="144"/>
        <v>346.14</v>
      </c>
      <c r="K315" s="587">
        <f t="shared" ca="1" si="144"/>
        <v>740.75</v>
      </c>
      <c r="L315" s="587">
        <f t="shared" ca="1" si="144"/>
        <v>651.68000000000006</v>
      </c>
      <c r="M315" s="587">
        <f t="shared" ca="1" si="144"/>
        <v>687.79</v>
      </c>
      <c r="N315" s="587">
        <f t="shared" ca="1" si="144"/>
        <v>324.77999999999997</v>
      </c>
      <c r="O315" s="587">
        <f t="shared" ca="1" si="144"/>
        <v>272.60000000000002</v>
      </c>
      <c r="P315" s="587">
        <f t="shared" ca="1" si="144"/>
        <v>272.66000000000003</v>
      </c>
      <c r="Q315" s="587">
        <f t="shared" ca="1" si="144"/>
        <v>0</v>
      </c>
      <c r="R315" s="587">
        <f t="shared" ca="1" si="144"/>
        <v>0</v>
      </c>
      <c r="S315" s="587">
        <f t="shared" ca="1" si="144"/>
        <v>232.46</v>
      </c>
      <c r="T315" s="587">
        <f t="shared" ca="1" si="144"/>
        <v>464.98</v>
      </c>
      <c r="U315" s="587">
        <f t="shared" ca="1" si="144"/>
        <v>865.49</v>
      </c>
      <c r="V315" s="587">
        <f t="shared" ca="1" si="144"/>
        <v>1211.6299999999999</v>
      </c>
      <c r="W315" s="587">
        <f t="shared" ca="1" si="144"/>
        <v>1952.38</v>
      </c>
      <c r="X315" s="587">
        <f t="shared" ca="1" si="144"/>
        <v>2604.06</v>
      </c>
      <c r="Y315" s="587">
        <f t="shared" ca="1" si="144"/>
        <v>3291.85</v>
      </c>
      <c r="Z315" s="587">
        <f t="shared" ca="1" si="144"/>
        <v>3616.63</v>
      </c>
      <c r="AA315" s="587">
        <f t="shared" ca="1" si="144"/>
        <v>3889.23</v>
      </c>
      <c r="AB315" s="587">
        <f t="shared" ca="1" si="144"/>
        <v>4161.8899999999994</v>
      </c>
      <c r="AC315" s="587">
        <f t="shared" ca="1" si="144"/>
        <v>0</v>
      </c>
      <c r="AD315" s="587">
        <f t="shared" ca="1" si="144"/>
        <v>0</v>
      </c>
      <c r="AE315" s="587">
        <f t="shared" ca="1" si="144"/>
        <v>232.46</v>
      </c>
      <c r="AF315" s="587">
        <f t="shared" ca="1" si="144"/>
        <v>464.97999999999996</v>
      </c>
      <c r="AG315" s="587">
        <f t="shared" ca="1" si="144"/>
        <v>865.49</v>
      </c>
      <c r="AH315" s="587">
        <f t="shared" ca="1" si="144"/>
        <v>1211.6299999999999</v>
      </c>
      <c r="AI315" s="587">
        <f t="shared" ca="1" si="144"/>
        <v>1952.38</v>
      </c>
      <c r="AJ315" s="587">
        <f t="shared" ca="1" si="144"/>
        <v>2604.06</v>
      </c>
      <c r="AK315" s="587">
        <f t="shared" ca="1" si="144"/>
        <v>3291.85</v>
      </c>
      <c r="AL315" s="587">
        <f t="shared" ca="1" si="144"/>
        <v>3616.6299999999997</v>
      </c>
      <c r="AM315" s="587">
        <f t="shared" ca="1" si="144"/>
        <v>3889.23</v>
      </c>
      <c r="AN315" s="587">
        <f t="shared" ca="1" si="144"/>
        <v>4161.8899999999994</v>
      </c>
      <c r="AO315" s="587">
        <f t="shared" ca="1" si="144"/>
        <v>4161.8899999999994</v>
      </c>
      <c r="AP315" s="587">
        <f t="shared" ca="1" si="144"/>
        <v>4161.8899999999994</v>
      </c>
    </row>
    <row r="316" spans="1:42" s="594" customFormat="1" ht="11.25" outlineLevel="1" x14ac:dyDescent="0.2">
      <c r="A316" s="590"/>
      <c r="B316" s="591" t="str">
        <f>IF(D316&lt;&gt;"",
IF(ISERROR(MATCH(D316,'Ist Vorjahr Monat 01'!A:A,0))=FALSE,INDEX('Ist Vorjahr Monat 01'!B:B,MATCH(D316,'Ist Vorjahr Monat 01'!A:A,0)),
IF(ISERROR(MATCH(D316,'Ist Vorjahr Monat 02'!A:A,0))=FALSE,INDEX('Ist Vorjahr Monat 02'!B:B,MATCH(D316,'Ist Vorjahr Monat 02'!A:A,0)),
IF(ISERROR(MATCH(D316,'Ist Vorjahr Monat 03'!A:A,0))=FALSE,INDEX('Ist Vorjahr Monat 03'!B:B,MATCH(D316,'Ist Vorjahr Monat 03'!A:A,0)),
IF(ISERROR(MATCH(D316,'Ist Vorjahr Monat 04'!A:A,0))=FALSE,INDEX('Ist Vorjahr Monat 04'!B:B,MATCH(D316,'Ist Vorjahr Monat 04'!A:A,0)),
IF(ISERROR(MATCH(D316,'Ist Vorjahr Monat 05'!A:A,0))=FALSE,INDEX('Ist Vorjahr Monat 05'!B:B,MATCH(D316,'Ist Vorjahr Monat 05'!A:A,0)),
IF(ISERROR(MATCH(D316,'Ist Vorjahr Monat 06'!A:A,0))=FALSE,INDEX('Ist Vorjahr Monat 06'!B:B,MATCH(D316,'Ist Vorjahr Monat 06'!A:A,0)),
IF(ISERROR(MATCH(D316,'Ist Vorjahr Monat 07'!A:A,0))=FALSE,INDEX('Ist Vorjahr Monat 07'!B:B,MATCH(D316,'Ist Vorjahr Monat 07'!A:A,0)),
IF(ISERROR(MATCH(D316,'Ist Vorjahr Monat 08'!A:A,0))=FALSE,INDEX('Ist Vorjahr Monat 08'!B:B,MATCH(D316,'Ist Vorjahr Monat 08'!A:A,0)),
IF(ISERROR(MATCH(D316,'Ist Vorjahr Monat 09'!A:A,0))=FALSE,INDEX('Ist Vorjahr Monat 09'!B:B,MATCH(D316,'Ist Vorjahr Monat 09'!A:A,0)),
IF(ISERROR(MATCH(D316,'Ist Vorjahr Monat 10'!A:A,0))=FALSE,INDEX('Ist Vorjahr Monat 10'!B:B,MATCH(D316,'Ist Vorjahr Monat 10'!A:A,0)),
IF(ISERROR(MATCH(D316,'Ist Vorjahr Monat 11'!A:A,0))=FALSE,INDEX('Ist Vorjahr Monat 11'!B:B,MATCH(D316,'Ist Vorjahr Monat 11'!A:A,0)),
IF(ISERROR(MATCH(D316,'Ist Vorjahr Monat 12'!A:A,0))=FALSE,INDEX('Ist Vorjahr Monat 12'!B:B,MATCH(D316,'Ist Vorjahr Monat 12'!A:A,0)),
"{Konto unbekannt}"
)))))))))))),"")</f>
        <v>Abschreibung immaterielle VermG</v>
      </c>
      <c r="C316" s="591"/>
      <c r="D316" s="590">
        <v>4822</v>
      </c>
      <c r="E316" s="592">
        <f t="shared" si="121"/>
        <v>1</v>
      </c>
      <c r="F316" s="590"/>
      <c r="G316" s="593">
        <f ca="1">$E316*(-SUMIF(INDIRECT(G$3),'Struktur Vorjahr'!$D316,INDIRECT(G$4))+SUMIF(INDIRECT(G$3),'Struktur Vorjahr'!$D316,INDIRECT(G$5)))</f>
        <v>104.28</v>
      </c>
      <c r="H316" s="593">
        <f ca="1">$E316*(-SUMIF(INDIRECT(H$3),'Struktur Vorjahr'!$D316,INDIRECT(H$4))+SUMIF(INDIRECT(H$3),'Struktur Vorjahr'!$D316,INDIRECT(H$5)))</f>
        <v>104.3</v>
      </c>
      <c r="I316" s="593">
        <f ca="1">$E316*(-SUMIF(INDIRECT(I$3),'Struktur Vorjahr'!$D316,INDIRECT(I$4))+SUMIF(INDIRECT(I$3),'Struktur Vorjahr'!$D316,INDIRECT(I$5)))</f>
        <v>104.28</v>
      </c>
      <c r="J316" s="593">
        <f ca="1">$E316*(-SUMIF(INDIRECT(J$3),'Struktur Vorjahr'!$D316,INDIRECT(J$4))+SUMIF(INDIRECT(J$3),'Struktur Vorjahr'!$D316,INDIRECT(J$5)))</f>
        <v>104.3</v>
      </c>
      <c r="K316" s="593">
        <f ca="1">$E316*(-SUMIF(INDIRECT(K$3),'Struktur Vorjahr'!$D316,INDIRECT(K$4))+SUMIF(INDIRECT(K$3),'Struktur Vorjahr'!$D316,INDIRECT(K$5)))</f>
        <v>104.29</v>
      </c>
      <c r="L316" s="593">
        <f ca="1">$E316*(-SUMIF(INDIRECT(L$3),'Struktur Vorjahr'!$D316,INDIRECT(L$4))+SUMIF(INDIRECT(L$3),'Struktur Vorjahr'!$D316,INDIRECT(L$5)))</f>
        <v>104.29</v>
      </c>
      <c r="M316" s="593">
        <f ca="1">$E316*(-SUMIF(INDIRECT(M$3),'Struktur Vorjahr'!$D316,INDIRECT(M$4))+SUMIF(INDIRECT(M$3),'Struktur Vorjahr'!$D316,INDIRECT(M$5)))</f>
        <v>104.29</v>
      </c>
      <c r="N316" s="593">
        <f ca="1">$E316*(-SUMIF(INDIRECT(N$3),'Struktur Vorjahr'!$D316,INDIRECT(N$4))+SUMIF(INDIRECT(N$3),'Struktur Vorjahr'!$D316,INDIRECT(N$5)))</f>
        <v>104.3</v>
      </c>
      <c r="O316" s="593">
        <f ca="1">$E316*(-SUMIF(INDIRECT(O$3),'Struktur Vorjahr'!$D316,INDIRECT(O$4))+SUMIF(INDIRECT(O$3),'Struktur Vorjahr'!$D316,INDIRECT(O$5)))</f>
        <v>52.16</v>
      </c>
      <c r="P316" s="593">
        <f ca="1">$E316*(-SUMIF(INDIRECT(P$3),'Struktur Vorjahr'!$D316,INDIRECT(P$4))+SUMIF(INDIRECT(P$3),'Struktur Vorjahr'!$D316,INDIRECT(P$5)))</f>
        <v>52.17</v>
      </c>
      <c r="Q316" s="593">
        <f ca="1">$E316*(-SUMIF(INDIRECT(Q$3),'Struktur Vorjahr'!$D316,INDIRECT(Q$4))+SUMIF(INDIRECT(Q$3),'Struktur Vorjahr'!$D316,INDIRECT(Q$5)))</f>
        <v>0</v>
      </c>
      <c r="R316" s="593">
        <f ca="1">$E316*(-SUMIF(INDIRECT(R$3),'Struktur Vorjahr'!$D316,INDIRECT(R$4))+SUMIF(INDIRECT(R$3),'Struktur Vorjahr'!$D316,INDIRECT(R$5)))</f>
        <v>0</v>
      </c>
      <c r="S316" s="593">
        <f ca="1">$E316*(-SUMIF(INDIRECT(S$3),'Struktur Vorjahr'!$D316,INDIRECT(S$4))+SUMIF(INDIRECT(S$3),'Struktur Vorjahr'!$D316,INDIRECT(S$5)))</f>
        <v>104.28</v>
      </c>
      <c r="T316" s="593">
        <f ca="1">$E316*(-SUMIF(INDIRECT(T$3),'Struktur Vorjahr'!$D316,INDIRECT(T$4))+SUMIF(INDIRECT(T$3),'Struktur Vorjahr'!$D316,INDIRECT(T$5)))</f>
        <v>208.58</v>
      </c>
      <c r="U316" s="593">
        <f ca="1">$E316*(-SUMIF(INDIRECT(U$3),'Struktur Vorjahr'!$D316,INDIRECT(U$4))+SUMIF(INDIRECT(U$3),'Struktur Vorjahr'!$D316,INDIRECT(U$5)))</f>
        <v>312.86</v>
      </c>
      <c r="V316" s="593">
        <f ca="1">$E316*(-SUMIF(INDIRECT(V$3),'Struktur Vorjahr'!$D316,INDIRECT(V$4))+SUMIF(INDIRECT(V$3),'Struktur Vorjahr'!$D316,INDIRECT(V$5)))</f>
        <v>417.16</v>
      </c>
      <c r="W316" s="593">
        <f ca="1">$E316*(-SUMIF(INDIRECT(W$3),'Struktur Vorjahr'!$D316,INDIRECT(W$4))+SUMIF(INDIRECT(W$3),'Struktur Vorjahr'!$D316,INDIRECT(W$5)))</f>
        <v>521.45000000000005</v>
      </c>
      <c r="X316" s="593">
        <f ca="1">$E316*(-SUMIF(INDIRECT(X$3),'Struktur Vorjahr'!$D316,INDIRECT(X$4))+SUMIF(INDIRECT(X$3),'Struktur Vorjahr'!$D316,INDIRECT(X$5)))</f>
        <v>625.74</v>
      </c>
      <c r="Y316" s="593">
        <f ca="1">$E316*(-SUMIF(INDIRECT(Y$3),'Struktur Vorjahr'!$D316,INDIRECT(Y$4))+SUMIF(INDIRECT(Y$3),'Struktur Vorjahr'!$D316,INDIRECT(Y$5)))</f>
        <v>730.03</v>
      </c>
      <c r="Z316" s="593">
        <f ca="1">$E316*(-SUMIF(INDIRECT(Z$3),'Struktur Vorjahr'!$D316,INDIRECT(Z$4))+SUMIF(INDIRECT(Z$3),'Struktur Vorjahr'!$D316,INDIRECT(Z$5)))</f>
        <v>834.33</v>
      </c>
      <c r="AA316" s="593">
        <f ca="1">$E316*(-SUMIF(INDIRECT(AA$3),'Struktur Vorjahr'!$D316,INDIRECT(AA$4))+SUMIF(INDIRECT(AA$3),'Struktur Vorjahr'!$D316,INDIRECT(AA$5)))</f>
        <v>886.49</v>
      </c>
      <c r="AB316" s="593">
        <f ca="1">$E316*(-SUMIF(INDIRECT(AB$3),'Struktur Vorjahr'!$D316,INDIRECT(AB$4))+SUMIF(INDIRECT(AB$3),'Struktur Vorjahr'!$D316,INDIRECT(AB$5)))</f>
        <v>938.66</v>
      </c>
      <c r="AC316" s="593">
        <f ca="1">$E316*(-SUMIF(INDIRECT(AC$3),'Struktur Vorjahr'!$D316,INDIRECT(AC$4))+SUMIF(INDIRECT(AC$3),'Struktur Vorjahr'!$D316,INDIRECT(AC$5)))</f>
        <v>0</v>
      </c>
      <c r="AD316" s="593">
        <f ca="1">$E316*(-SUMIF(INDIRECT(AD$3),'Struktur Vorjahr'!$D316,INDIRECT(AD$4))+SUMIF(INDIRECT(AD$3),'Struktur Vorjahr'!$D316,INDIRECT(AD$5)))</f>
        <v>0</v>
      </c>
      <c r="AE316" s="593">
        <f t="shared" ref="AE316:AE320" ca="1" si="145">G316</f>
        <v>104.28</v>
      </c>
      <c r="AF316" s="593">
        <f t="shared" ref="AF316:AP320" ca="1" si="146">H316+AE316</f>
        <v>208.57999999999998</v>
      </c>
      <c r="AG316" s="593">
        <f t="shared" ca="1" si="146"/>
        <v>312.86</v>
      </c>
      <c r="AH316" s="593">
        <f t="shared" ca="1" si="146"/>
        <v>417.16</v>
      </c>
      <c r="AI316" s="593">
        <f t="shared" ca="1" si="146"/>
        <v>521.45000000000005</v>
      </c>
      <c r="AJ316" s="593">
        <f t="shared" ca="1" si="146"/>
        <v>625.74</v>
      </c>
      <c r="AK316" s="593">
        <f t="shared" ca="1" si="146"/>
        <v>730.03</v>
      </c>
      <c r="AL316" s="593">
        <f t="shared" ca="1" si="146"/>
        <v>834.32999999999993</v>
      </c>
      <c r="AM316" s="593">
        <f t="shared" ca="1" si="146"/>
        <v>886.4899999999999</v>
      </c>
      <c r="AN316" s="593">
        <f t="shared" ca="1" si="146"/>
        <v>938.65999999999985</v>
      </c>
      <c r="AO316" s="593">
        <f t="shared" ca="1" si="146"/>
        <v>938.65999999999985</v>
      </c>
      <c r="AP316" s="593">
        <f t="shared" ca="1" si="146"/>
        <v>938.65999999999985</v>
      </c>
    </row>
    <row r="317" spans="1:42" s="594" customFormat="1" ht="11.25" outlineLevel="1" x14ac:dyDescent="0.2">
      <c r="A317" s="590"/>
      <c r="B317" s="591" t="str">
        <f>IF(D317&lt;&gt;"",
IF(ISERROR(MATCH(D317,'Ist Vorjahr Monat 01'!A:A,0))=FALSE,INDEX('Ist Vorjahr Monat 01'!B:B,MATCH(D317,'Ist Vorjahr Monat 01'!A:A,0)),
IF(ISERROR(MATCH(D317,'Ist Vorjahr Monat 02'!A:A,0))=FALSE,INDEX('Ist Vorjahr Monat 02'!B:B,MATCH(D317,'Ist Vorjahr Monat 02'!A:A,0)),
IF(ISERROR(MATCH(D317,'Ist Vorjahr Monat 03'!A:A,0))=FALSE,INDEX('Ist Vorjahr Monat 03'!B:B,MATCH(D317,'Ist Vorjahr Monat 03'!A:A,0)),
IF(ISERROR(MATCH(D317,'Ist Vorjahr Monat 04'!A:A,0))=FALSE,INDEX('Ist Vorjahr Monat 04'!B:B,MATCH(D317,'Ist Vorjahr Monat 04'!A:A,0)),
IF(ISERROR(MATCH(D317,'Ist Vorjahr Monat 05'!A:A,0))=FALSE,INDEX('Ist Vorjahr Monat 05'!B:B,MATCH(D317,'Ist Vorjahr Monat 05'!A:A,0)),
IF(ISERROR(MATCH(D317,'Ist Vorjahr Monat 06'!A:A,0))=FALSE,INDEX('Ist Vorjahr Monat 06'!B:B,MATCH(D317,'Ist Vorjahr Monat 06'!A:A,0)),
IF(ISERROR(MATCH(D317,'Ist Vorjahr Monat 07'!A:A,0))=FALSE,INDEX('Ist Vorjahr Monat 07'!B:B,MATCH(D317,'Ist Vorjahr Monat 07'!A:A,0)),
IF(ISERROR(MATCH(D317,'Ist Vorjahr Monat 08'!A:A,0))=FALSE,INDEX('Ist Vorjahr Monat 08'!B:B,MATCH(D317,'Ist Vorjahr Monat 08'!A:A,0)),
IF(ISERROR(MATCH(D317,'Ist Vorjahr Monat 09'!A:A,0))=FALSE,INDEX('Ist Vorjahr Monat 09'!B:B,MATCH(D317,'Ist Vorjahr Monat 09'!A:A,0)),
IF(ISERROR(MATCH(D317,'Ist Vorjahr Monat 10'!A:A,0))=FALSE,INDEX('Ist Vorjahr Monat 10'!B:B,MATCH(D317,'Ist Vorjahr Monat 10'!A:A,0)),
IF(ISERROR(MATCH(D317,'Ist Vorjahr Monat 11'!A:A,0))=FALSE,INDEX('Ist Vorjahr Monat 11'!B:B,MATCH(D317,'Ist Vorjahr Monat 11'!A:A,0)),
IF(ISERROR(MATCH(D317,'Ist Vorjahr Monat 12'!A:A,0))=FALSE,INDEX('Ist Vorjahr Monat 12'!B:B,MATCH(D317,'Ist Vorjahr Monat 12'!A:A,0)),
"{Konto unbekannt}"
)))))))))))),"")</f>
        <v>Abschreibungen auf Sachanlagen</v>
      </c>
      <c r="C317" s="591"/>
      <c r="D317" s="590">
        <v>4830</v>
      </c>
      <c r="E317" s="592">
        <f>IF(F317="-",-1,1)</f>
        <v>1</v>
      </c>
      <c r="F317" s="590"/>
      <c r="G317" s="593">
        <f ca="1">$E317*(-SUMIF(INDIRECT(G$3),'Struktur Vorjahr'!$D317,INDIRECT(G$4))+SUMIF(INDIRECT(G$3),'Struktur Vorjahr'!$D317,INDIRECT(G$5)))</f>
        <v>128.18</v>
      </c>
      <c r="H317" s="593">
        <f ca="1">$E317*(-SUMIF(INDIRECT(H$3),'Struktur Vorjahr'!$D317,INDIRECT(H$4))+SUMIF(INDIRECT(H$3),'Struktur Vorjahr'!$D317,INDIRECT(H$5)))</f>
        <v>128.22</v>
      </c>
      <c r="I317" s="593">
        <f ca="1">$E317*(-SUMIF(INDIRECT(I$3),'Struktur Vorjahr'!$D317,INDIRECT(I$4))+SUMIF(INDIRECT(I$3),'Struktur Vorjahr'!$D317,INDIRECT(I$5)))</f>
        <v>128.18</v>
      </c>
      <c r="J317" s="593">
        <f ca="1">$E317*(-SUMIF(INDIRECT(J$3),'Struktur Vorjahr'!$D317,INDIRECT(J$4))+SUMIF(INDIRECT(J$3),'Struktur Vorjahr'!$D317,INDIRECT(J$5)))</f>
        <v>241.84</v>
      </c>
      <c r="K317" s="593">
        <f ca="1">$E317*(-SUMIF(INDIRECT(K$3),'Struktur Vorjahr'!$D317,INDIRECT(K$4))+SUMIF(INDIRECT(K$3),'Struktur Vorjahr'!$D317,INDIRECT(K$5)))</f>
        <v>220.49</v>
      </c>
      <c r="L317" s="593">
        <f ca="1">$E317*(-SUMIF(INDIRECT(L$3),'Struktur Vorjahr'!$D317,INDIRECT(L$4))+SUMIF(INDIRECT(L$3),'Struktur Vorjahr'!$D317,INDIRECT(L$5)))</f>
        <v>220.43</v>
      </c>
      <c r="M317" s="593">
        <f ca="1">$E317*(-SUMIF(INDIRECT(M$3),'Struktur Vorjahr'!$D317,INDIRECT(M$4))+SUMIF(INDIRECT(M$3),'Struktur Vorjahr'!$D317,INDIRECT(M$5)))</f>
        <v>220.5</v>
      </c>
      <c r="N317" s="593">
        <f ca="1">$E317*(-SUMIF(INDIRECT(N$3),'Struktur Vorjahr'!$D317,INDIRECT(N$4))+SUMIF(INDIRECT(N$3),'Struktur Vorjahr'!$D317,INDIRECT(N$5)))</f>
        <v>220.48</v>
      </c>
      <c r="O317" s="593">
        <f ca="1">$E317*(-SUMIF(INDIRECT(O$3),'Struktur Vorjahr'!$D317,INDIRECT(O$4))+SUMIF(INDIRECT(O$3),'Struktur Vorjahr'!$D317,INDIRECT(O$5)))</f>
        <v>220.44</v>
      </c>
      <c r="P317" s="593">
        <f ca="1">$E317*(-SUMIF(INDIRECT(P$3),'Struktur Vorjahr'!$D317,INDIRECT(P$4))+SUMIF(INDIRECT(P$3),'Struktur Vorjahr'!$D317,INDIRECT(P$5)))</f>
        <v>220.49</v>
      </c>
      <c r="Q317" s="593">
        <f ca="1">$E317*(-SUMIF(INDIRECT(Q$3),'Struktur Vorjahr'!$D317,INDIRECT(Q$4))+SUMIF(INDIRECT(Q$3),'Struktur Vorjahr'!$D317,INDIRECT(Q$5)))</f>
        <v>0</v>
      </c>
      <c r="R317" s="593">
        <f ca="1">$E317*(-SUMIF(INDIRECT(R$3),'Struktur Vorjahr'!$D317,INDIRECT(R$4))+SUMIF(INDIRECT(R$3),'Struktur Vorjahr'!$D317,INDIRECT(R$5)))</f>
        <v>0</v>
      </c>
      <c r="S317" s="593">
        <f ca="1">$E317*(-SUMIF(INDIRECT(S$3),'Struktur Vorjahr'!$D317,INDIRECT(S$4))+SUMIF(INDIRECT(S$3),'Struktur Vorjahr'!$D317,INDIRECT(S$5)))</f>
        <v>128.18</v>
      </c>
      <c r="T317" s="593">
        <f ca="1">$E317*(-SUMIF(INDIRECT(T$3),'Struktur Vorjahr'!$D317,INDIRECT(T$4))+SUMIF(INDIRECT(T$3),'Struktur Vorjahr'!$D317,INDIRECT(T$5)))</f>
        <v>256.39999999999998</v>
      </c>
      <c r="U317" s="593">
        <f ca="1">$E317*(-SUMIF(INDIRECT(U$3),'Struktur Vorjahr'!$D317,INDIRECT(U$4))+SUMIF(INDIRECT(U$3),'Struktur Vorjahr'!$D317,INDIRECT(U$5)))</f>
        <v>384.58</v>
      </c>
      <c r="V317" s="593">
        <f ca="1">$E317*(-SUMIF(INDIRECT(V$3),'Struktur Vorjahr'!$D317,INDIRECT(V$4))+SUMIF(INDIRECT(V$3),'Struktur Vorjahr'!$D317,INDIRECT(V$5)))</f>
        <v>626.41999999999996</v>
      </c>
      <c r="W317" s="593">
        <f ca="1">$E317*(-SUMIF(INDIRECT(W$3),'Struktur Vorjahr'!$D317,INDIRECT(W$4))+SUMIF(INDIRECT(W$3),'Struktur Vorjahr'!$D317,INDIRECT(W$5)))</f>
        <v>846.91</v>
      </c>
      <c r="X317" s="593">
        <f ca="1">$E317*(-SUMIF(INDIRECT(X$3),'Struktur Vorjahr'!$D317,INDIRECT(X$4))+SUMIF(INDIRECT(X$3),'Struktur Vorjahr'!$D317,INDIRECT(X$5)))</f>
        <v>1067.3399999999999</v>
      </c>
      <c r="Y317" s="593">
        <f ca="1">$E317*(-SUMIF(INDIRECT(Y$3),'Struktur Vorjahr'!$D317,INDIRECT(Y$4))+SUMIF(INDIRECT(Y$3),'Struktur Vorjahr'!$D317,INDIRECT(Y$5)))</f>
        <v>1287.8399999999999</v>
      </c>
      <c r="Z317" s="593">
        <f ca="1">$E317*(-SUMIF(INDIRECT(Z$3),'Struktur Vorjahr'!$D317,INDIRECT(Z$4))+SUMIF(INDIRECT(Z$3),'Struktur Vorjahr'!$D317,INDIRECT(Z$5)))</f>
        <v>1508.32</v>
      </c>
      <c r="AA317" s="593">
        <f ca="1">$E317*(-SUMIF(INDIRECT(AA$3),'Struktur Vorjahr'!$D317,INDIRECT(AA$4))+SUMIF(INDIRECT(AA$3),'Struktur Vorjahr'!$D317,INDIRECT(AA$5)))</f>
        <v>1728.76</v>
      </c>
      <c r="AB317" s="593">
        <f ca="1">$E317*(-SUMIF(INDIRECT(AB$3),'Struktur Vorjahr'!$D317,INDIRECT(AB$4))+SUMIF(INDIRECT(AB$3),'Struktur Vorjahr'!$D317,INDIRECT(AB$5)))</f>
        <v>1949.25</v>
      </c>
      <c r="AC317" s="593">
        <f ca="1">$E317*(-SUMIF(INDIRECT(AC$3),'Struktur Vorjahr'!$D317,INDIRECT(AC$4))+SUMIF(INDIRECT(AC$3),'Struktur Vorjahr'!$D317,INDIRECT(AC$5)))</f>
        <v>0</v>
      </c>
      <c r="AD317" s="593">
        <f ca="1">$E317*(-SUMIF(INDIRECT(AD$3),'Struktur Vorjahr'!$D317,INDIRECT(AD$4))+SUMIF(INDIRECT(AD$3),'Struktur Vorjahr'!$D317,INDIRECT(AD$5)))</f>
        <v>0</v>
      </c>
      <c r="AE317" s="593">
        <f t="shared" ca="1" si="145"/>
        <v>128.18</v>
      </c>
      <c r="AF317" s="593">
        <f t="shared" ca="1" si="146"/>
        <v>256.39999999999998</v>
      </c>
      <c r="AG317" s="593">
        <f t="shared" ca="1" si="146"/>
        <v>384.58</v>
      </c>
      <c r="AH317" s="593">
        <f t="shared" ca="1" si="146"/>
        <v>626.41999999999996</v>
      </c>
      <c r="AI317" s="593">
        <f t="shared" ca="1" si="146"/>
        <v>846.91</v>
      </c>
      <c r="AJ317" s="593">
        <f t="shared" ca="1" si="146"/>
        <v>1067.3399999999999</v>
      </c>
      <c r="AK317" s="593">
        <f t="shared" ca="1" si="146"/>
        <v>1287.8399999999999</v>
      </c>
      <c r="AL317" s="593">
        <f t="shared" ca="1" si="146"/>
        <v>1508.32</v>
      </c>
      <c r="AM317" s="593">
        <f t="shared" ca="1" si="146"/>
        <v>1728.76</v>
      </c>
      <c r="AN317" s="593">
        <f t="shared" ca="1" si="146"/>
        <v>1949.25</v>
      </c>
      <c r="AO317" s="593">
        <f t="shared" ca="1" si="146"/>
        <v>1949.25</v>
      </c>
      <c r="AP317" s="593">
        <f t="shared" ca="1" si="146"/>
        <v>1949.25</v>
      </c>
    </row>
    <row r="318" spans="1:42" s="594" customFormat="1" ht="11.25" outlineLevel="1" x14ac:dyDescent="0.2">
      <c r="A318" s="590"/>
      <c r="B318" s="591" t="str">
        <f>IF(D318&lt;&gt;"",
IF(ISERROR(MATCH(D318,'Ist Vorjahr Monat 01'!A:A,0))=FALSE,INDEX('Ist Vorjahr Monat 01'!B:B,MATCH(D318,'Ist Vorjahr Monat 01'!A:A,0)),
IF(ISERROR(MATCH(D318,'Ist Vorjahr Monat 02'!A:A,0))=FALSE,INDEX('Ist Vorjahr Monat 02'!B:B,MATCH(D318,'Ist Vorjahr Monat 02'!A:A,0)),
IF(ISERROR(MATCH(D318,'Ist Vorjahr Monat 03'!A:A,0))=FALSE,INDEX('Ist Vorjahr Monat 03'!B:B,MATCH(D318,'Ist Vorjahr Monat 03'!A:A,0)),
IF(ISERROR(MATCH(D318,'Ist Vorjahr Monat 04'!A:A,0))=FALSE,INDEX('Ist Vorjahr Monat 04'!B:B,MATCH(D318,'Ist Vorjahr Monat 04'!A:A,0)),
IF(ISERROR(MATCH(D318,'Ist Vorjahr Monat 05'!A:A,0))=FALSE,INDEX('Ist Vorjahr Monat 05'!B:B,MATCH(D318,'Ist Vorjahr Monat 05'!A:A,0)),
IF(ISERROR(MATCH(D318,'Ist Vorjahr Monat 06'!A:A,0))=FALSE,INDEX('Ist Vorjahr Monat 06'!B:B,MATCH(D318,'Ist Vorjahr Monat 06'!A:A,0)),
IF(ISERROR(MATCH(D318,'Ist Vorjahr Monat 07'!A:A,0))=FALSE,INDEX('Ist Vorjahr Monat 07'!B:B,MATCH(D318,'Ist Vorjahr Monat 07'!A:A,0)),
IF(ISERROR(MATCH(D318,'Ist Vorjahr Monat 08'!A:A,0))=FALSE,INDEX('Ist Vorjahr Monat 08'!B:B,MATCH(D318,'Ist Vorjahr Monat 08'!A:A,0)),
IF(ISERROR(MATCH(D318,'Ist Vorjahr Monat 09'!A:A,0))=FALSE,INDEX('Ist Vorjahr Monat 09'!B:B,MATCH(D318,'Ist Vorjahr Monat 09'!A:A,0)),
IF(ISERROR(MATCH(D318,'Ist Vorjahr Monat 10'!A:A,0))=FALSE,INDEX('Ist Vorjahr Monat 10'!B:B,MATCH(D318,'Ist Vorjahr Monat 10'!A:A,0)),
IF(ISERROR(MATCH(D318,'Ist Vorjahr Monat 11'!A:A,0))=FALSE,INDEX('Ist Vorjahr Monat 11'!B:B,MATCH(D318,'Ist Vorjahr Monat 11'!A:A,0)),
IF(ISERROR(MATCH(D318,'Ist Vorjahr Monat 12'!A:A,0))=FALSE,INDEX('Ist Vorjahr Monat 12'!B:B,MATCH(D318,'Ist Vorjahr Monat 12'!A:A,0)),
"{Konto unbekannt}"
)))))))))))),"")</f>
        <v>Sofortabschreibung GWG</v>
      </c>
      <c r="C318" s="591"/>
      <c r="D318" s="590">
        <v>4855</v>
      </c>
      <c r="E318" s="592">
        <f>IF(F318="-",-1,1)</f>
        <v>1</v>
      </c>
      <c r="F318" s="590"/>
      <c r="G318" s="593">
        <f ca="1">$E318*(-SUMIF(INDIRECT(G$3),'Struktur Vorjahr'!$D318,INDIRECT(G$4))+SUMIF(INDIRECT(G$3),'Struktur Vorjahr'!$D318,INDIRECT(G$5)))</f>
        <v>0</v>
      </c>
      <c r="H318" s="593">
        <f ca="1">$E318*(-SUMIF(INDIRECT(H$3),'Struktur Vorjahr'!$D318,INDIRECT(H$4))+SUMIF(INDIRECT(H$3),'Struktur Vorjahr'!$D318,INDIRECT(H$5)))</f>
        <v>0</v>
      </c>
      <c r="I318" s="593">
        <f ca="1">$E318*(-SUMIF(INDIRECT(I$3),'Struktur Vorjahr'!$D318,INDIRECT(I$4))+SUMIF(INDIRECT(I$3),'Struktur Vorjahr'!$D318,INDIRECT(I$5)))</f>
        <v>168.05</v>
      </c>
      <c r="J318" s="593">
        <f ca="1">$E318*(-SUMIF(INDIRECT(J$3),'Struktur Vorjahr'!$D318,INDIRECT(J$4))+SUMIF(INDIRECT(J$3),'Struktur Vorjahr'!$D318,INDIRECT(J$5)))</f>
        <v>0</v>
      </c>
      <c r="K318" s="593">
        <f ca="1">$E318*(-SUMIF(INDIRECT(K$3),'Struktur Vorjahr'!$D318,INDIRECT(K$4))+SUMIF(INDIRECT(K$3),'Struktur Vorjahr'!$D318,INDIRECT(K$5)))</f>
        <v>415.97</v>
      </c>
      <c r="L318" s="593">
        <f ca="1">$E318*(-SUMIF(INDIRECT(L$3),'Struktur Vorjahr'!$D318,INDIRECT(L$4))+SUMIF(INDIRECT(L$3),'Struktur Vorjahr'!$D318,INDIRECT(L$5)))</f>
        <v>326.95999999999998</v>
      </c>
      <c r="M318" s="593">
        <f ca="1">$E318*(-SUMIF(INDIRECT(M$3),'Struktur Vorjahr'!$D318,INDIRECT(M$4))+SUMIF(INDIRECT(M$3),'Struktur Vorjahr'!$D318,INDIRECT(M$5)))</f>
        <v>363</v>
      </c>
      <c r="N318" s="593">
        <f ca="1">$E318*(-SUMIF(INDIRECT(N$3),'Struktur Vorjahr'!$D318,INDIRECT(N$4))+SUMIF(INDIRECT(N$3),'Struktur Vorjahr'!$D318,INDIRECT(N$5)))</f>
        <v>0</v>
      </c>
      <c r="O318" s="593">
        <f ca="1">$E318*(-SUMIF(INDIRECT(O$3),'Struktur Vorjahr'!$D318,INDIRECT(O$4))+SUMIF(INDIRECT(O$3),'Struktur Vorjahr'!$D318,INDIRECT(O$5)))</f>
        <v>0</v>
      </c>
      <c r="P318" s="593">
        <f ca="1">$E318*(-SUMIF(INDIRECT(P$3),'Struktur Vorjahr'!$D318,INDIRECT(P$4))+SUMIF(INDIRECT(P$3),'Struktur Vorjahr'!$D318,INDIRECT(P$5)))</f>
        <v>0</v>
      </c>
      <c r="Q318" s="593">
        <f ca="1">$E318*(-SUMIF(INDIRECT(Q$3),'Struktur Vorjahr'!$D318,INDIRECT(Q$4))+SUMIF(INDIRECT(Q$3),'Struktur Vorjahr'!$D318,INDIRECT(Q$5)))</f>
        <v>0</v>
      </c>
      <c r="R318" s="593">
        <f ca="1">$E318*(-SUMIF(INDIRECT(R$3),'Struktur Vorjahr'!$D318,INDIRECT(R$4))+SUMIF(INDIRECT(R$3),'Struktur Vorjahr'!$D318,INDIRECT(R$5)))</f>
        <v>0</v>
      </c>
      <c r="S318" s="593">
        <f ca="1">$E318*(-SUMIF(INDIRECT(S$3),'Struktur Vorjahr'!$D318,INDIRECT(S$4))+SUMIF(INDIRECT(S$3),'Struktur Vorjahr'!$D318,INDIRECT(S$5)))</f>
        <v>0</v>
      </c>
      <c r="T318" s="593">
        <f ca="1">$E318*(-SUMIF(INDIRECT(T$3),'Struktur Vorjahr'!$D318,INDIRECT(T$4))+SUMIF(INDIRECT(T$3),'Struktur Vorjahr'!$D318,INDIRECT(T$5)))</f>
        <v>0</v>
      </c>
      <c r="U318" s="593">
        <f ca="1">$E318*(-SUMIF(INDIRECT(U$3),'Struktur Vorjahr'!$D318,INDIRECT(U$4))+SUMIF(INDIRECT(U$3),'Struktur Vorjahr'!$D318,INDIRECT(U$5)))</f>
        <v>168.05</v>
      </c>
      <c r="V318" s="593">
        <f ca="1">$E318*(-SUMIF(INDIRECT(V$3),'Struktur Vorjahr'!$D318,INDIRECT(V$4))+SUMIF(INDIRECT(V$3),'Struktur Vorjahr'!$D318,INDIRECT(V$5)))</f>
        <v>168.05</v>
      </c>
      <c r="W318" s="593">
        <f ca="1">$E318*(-SUMIF(INDIRECT(W$3),'Struktur Vorjahr'!$D318,INDIRECT(W$4))+SUMIF(INDIRECT(W$3),'Struktur Vorjahr'!$D318,INDIRECT(W$5)))</f>
        <v>584.02</v>
      </c>
      <c r="X318" s="593">
        <f ca="1">$E318*(-SUMIF(INDIRECT(X$3),'Struktur Vorjahr'!$D318,INDIRECT(X$4))+SUMIF(INDIRECT(X$3),'Struktur Vorjahr'!$D318,INDIRECT(X$5)))</f>
        <v>910.98</v>
      </c>
      <c r="Y318" s="593">
        <f ca="1">$E318*(-SUMIF(INDIRECT(Y$3),'Struktur Vorjahr'!$D318,INDIRECT(Y$4))+SUMIF(INDIRECT(Y$3),'Struktur Vorjahr'!$D318,INDIRECT(Y$5)))</f>
        <v>1273.98</v>
      </c>
      <c r="Z318" s="593">
        <f ca="1">$E318*(-SUMIF(INDIRECT(Z$3),'Struktur Vorjahr'!$D318,INDIRECT(Z$4))+SUMIF(INDIRECT(Z$3),'Struktur Vorjahr'!$D318,INDIRECT(Z$5)))</f>
        <v>1273.98</v>
      </c>
      <c r="AA318" s="593">
        <f ca="1">$E318*(-SUMIF(INDIRECT(AA$3),'Struktur Vorjahr'!$D318,INDIRECT(AA$4))+SUMIF(INDIRECT(AA$3),'Struktur Vorjahr'!$D318,INDIRECT(AA$5)))</f>
        <v>1273.98</v>
      </c>
      <c r="AB318" s="593">
        <f ca="1">$E318*(-SUMIF(INDIRECT(AB$3),'Struktur Vorjahr'!$D318,INDIRECT(AB$4))+SUMIF(INDIRECT(AB$3),'Struktur Vorjahr'!$D318,INDIRECT(AB$5)))</f>
        <v>1273.98</v>
      </c>
      <c r="AC318" s="593">
        <f ca="1">$E318*(-SUMIF(INDIRECT(AC$3),'Struktur Vorjahr'!$D318,INDIRECT(AC$4))+SUMIF(INDIRECT(AC$3),'Struktur Vorjahr'!$D318,INDIRECT(AC$5)))</f>
        <v>0</v>
      </c>
      <c r="AD318" s="593">
        <f ca="1">$E318*(-SUMIF(INDIRECT(AD$3),'Struktur Vorjahr'!$D318,INDIRECT(AD$4))+SUMIF(INDIRECT(AD$3),'Struktur Vorjahr'!$D318,INDIRECT(AD$5)))</f>
        <v>0</v>
      </c>
      <c r="AE318" s="593">
        <f t="shared" ca="1" si="145"/>
        <v>0</v>
      </c>
      <c r="AF318" s="593">
        <f t="shared" ca="1" si="146"/>
        <v>0</v>
      </c>
      <c r="AG318" s="593">
        <f t="shared" ca="1" si="146"/>
        <v>168.05</v>
      </c>
      <c r="AH318" s="593">
        <f t="shared" ca="1" si="146"/>
        <v>168.05</v>
      </c>
      <c r="AI318" s="593">
        <f t="shared" ca="1" si="146"/>
        <v>584.02</v>
      </c>
      <c r="AJ318" s="593">
        <f t="shared" ca="1" si="146"/>
        <v>910.98</v>
      </c>
      <c r="AK318" s="593">
        <f t="shared" ca="1" si="146"/>
        <v>1273.98</v>
      </c>
      <c r="AL318" s="593">
        <f t="shared" ca="1" si="146"/>
        <v>1273.98</v>
      </c>
      <c r="AM318" s="593">
        <f t="shared" ca="1" si="146"/>
        <v>1273.98</v>
      </c>
      <c r="AN318" s="593">
        <f t="shared" ca="1" si="146"/>
        <v>1273.98</v>
      </c>
      <c r="AO318" s="593">
        <f t="shared" ca="1" si="146"/>
        <v>1273.98</v>
      </c>
      <c r="AP318" s="593">
        <f t="shared" ca="1" si="146"/>
        <v>1273.98</v>
      </c>
    </row>
    <row r="319" spans="1:42" s="594" customFormat="1" ht="11.25" outlineLevel="1" x14ac:dyDescent="0.2">
      <c r="A319" s="590"/>
      <c r="B319" s="591" t="str">
        <f>IF(D319&lt;&gt;"",
IF(ISERROR(MATCH(D319,'Ist Vorjahr Monat 01'!A:A,0))=FALSE,INDEX('Ist Vorjahr Monat 01'!B:B,MATCH(D319,'Ist Vorjahr Monat 01'!A:A,0)),
IF(ISERROR(MATCH(D319,'Ist Vorjahr Monat 02'!A:A,0))=FALSE,INDEX('Ist Vorjahr Monat 02'!B:B,MATCH(D319,'Ist Vorjahr Monat 02'!A:A,0)),
IF(ISERROR(MATCH(D319,'Ist Vorjahr Monat 03'!A:A,0))=FALSE,INDEX('Ist Vorjahr Monat 03'!B:B,MATCH(D319,'Ist Vorjahr Monat 03'!A:A,0)),
IF(ISERROR(MATCH(D319,'Ist Vorjahr Monat 04'!A:A,0))=FALSE,INDEX('Ist Vorjahr Monat 04'!B:B,MATCH(D319,'Ist Vorjahr Monat 04'!A:A,0)),
IF(ISERROR(MATCH(D319,'Ist Vorjahr Monat 05'!A:A,0))=FALSE,INDEX('Ist Vorjahr Monat 05'!B:B,MATCH(D319,'Ist Vorjahr Monat 05'!A:A,0)),
IF(ISERROR(MATCH(D319,'Ist Vorjahr Monat 06'!A:A,0))=FALSE,INDEX('Ist Vorjahr Monat 06'!B:B,MATCH(D319,'Ist Vorjahr Monat 06'!A:A,0)),
IF(ISERROR(MATCH(D319,'Ist Vorjahr Monat 07'!A:A,0))=FALSE,INDEX('Ist Vorjahr Monat 07'!B:B,MATCH(D319,'Ist Vorjahr Monat 07'!A:A,0)),
IF(ISERROR(MATCH(D319,'Ist Vorjahr Monat 08'!A:A,0))=FALSE,INDEX('Ist Vorjahr Monat 08'!B:B,MATCH(D319,'Ist Vorjahr Monat 08'!A:A,0)),
IF(ISERROR(MATCH(D319,'Ist Vorjahr Monat 09'!A:A,0))=FALSE,INDEX('Ist Vorjahr Monat 09'!B:B,MATCH(D319,'Ist Vorjahr Monat 09'!A:A,0)),
IF(ISERROR(MATCH(D319,'Ist Vorjahr Monat 10'!A:A,0))=FALSE,INDEX('Ist Vorjahr Monat 10'!B:B,MATCH(D319,'Ist Vorjahr Monat 10'!A:A,0)),
IF(ISERROR(MATCH(D319,'Ist Vorjahr Monat 11'!A:A,0))=FALSE,INDEX('Ist Vorjahr Monat 11'!B:B,MATCH(D319,'Ist Vorjahr Monat 11'!A:A,0)),
IF(ISERROR(MATCH(D319,'Ist Vorjahr Monat 12'!A:A,0))=FALSE,INDEX('Ist Vorjahr Monat 12'!B:B,MATCH(D319,'Ist Vorjahr Monat 12'!A:A,0)),
"{Konto unbekannt}"
)))))))))))),"")</f>
        <v/>
      </c>
      <c r="C319" s="591"/>
      <c r="D319" s="590"/>
      <c r="E319" s="592">
        <f>IF(F319="-",-1,1)</f>
        <v>1</v>
      </c>
      <c r="F319" s="590"/>
      <c r="G319" s="593">
        <f ca="1">$E319*(-SUMIF(INDIRECT(G$3),'Struktur Vorjahr'!$D319,INDIRECT(G$4))+SUMIF(INDIRECT(G$3),'Struktur Vorjahr'!$D319,INDIRECT(G$5)))</f>
        <v>0</v>
      </c>
      <c r="H319" s="593">
        <f ca="1">$E319*(-SUMIF(INDIRECT(H$3),'Struktur Vorjahr'!$D319,INDIRECT(H$4))+SUMIF(INDIRECT(H$3),'Struktur Vorjahr'!$D319,INDIRECT(H$5)))</f>
        <v>0</v>
      </c>
      <c r="I319" s="593">
        <f ca="1">$E319*(-SUMIF(INDIRECT(I$3),'Struktur Vorjahr'!$D319,INDIRECT(I$4))+SUMIF(INDIRECT(I$3),'Struktur Vorjahr'!$D319,INDIRECT(I$5)))</f>
        <v>0</v>
      </c>
      <c r="J319" s="593">
        <f ca="1">$E319*(-SUMIF(INDIRECT(J$3),'Struktur Vorjahr'!$D319,INDIRECT(J$4))+SUMIF(INDIRECT(J$3),'Struktur Vorjahr'!$D319,INDIRECT(J$5)))</f>
        <v>0</v>
      </c>
      <c r="K319" s="593">
        <f ca="1">$E319*(-SUMIF(INDIRECT(K$3),'Struktur Vorjahr'!$D319,INDIRECT(K$4))+SUMIF(INDIRECT(K$3),'Struktur Vorjahr'!$D319,INDIRECT(K$5)))</f>
        <v>0</v>
      </c>
      <c r="L319" s="593">
        <f ca="1">$E319*(-SUMIF(INDIRECT(L$3),'Struktur Vorjahr'!$D319,INDIRECT(L$4))+SUMIF(INDIRECT(L$3),'Struktur Vorjahr'!$D319,INDIRECT(L$5)))</f>
        <v>0</v>
      </c>
      <c r="M319" s="593">
        <f ca="1">$E319*(-SUMIF(INDIRECT(M$3),'Struktur Vorjahr'!$D319,INDIRECT(M$4))+SUMIF(INDIRECT(M$3),'Struktur Vorjahr'!$D319,INDIRECT(M$5)))</f>
        <v>0</v>
      </c>
      <c r="N319" s="593">
        <f ca="1">$E319*(-SUMIF(INDIRECT(N$3),'Struktur Vorjahr'!$D319,INDIRECT(N$4))+SUMIF(INDIRECT(N$3),'Struktur Vorjahr'!$D319,INDIRECT(N$5)))</f>
        <v>0</v>
      </c>
      <c r="O319" s="593">
        <f ca="1">$E319*(-SUMIF(INDIRECT(O$3),'Struktur Vorjahr'!$D319,INDIRECT(O$4))+SUMIF(INDIRECT(O$3),'Struktur Vorjahr'!$D319,INDIRECT(O$5)))</f>
        <v>0</v>
      </c>
      <c r="P319" s="593">
        <f ca="1">$E319*(-SUMIF(INDIRECT(P$3),'Struktur Vorjahr'!$D319,INDIRECT(P$4))+SUMIF(INDIRECT(P$3),'Struktur Vorjahr'!$D319,INDIRECT(P$5)))</f>
        <v>0</v>
      </c>
      <c r="Q319" s="593">
        <f ca="1">$E319*(-SUMIF(INDIRECT(Q$3),'Struktur Vorjahr'!$D319,INDIRECT(Q$4))+SUMIF(INDIRECT(Q$3),'Struktur Vorjahr'!$D319,INDIRECT(Q$5)))</f>
        <v>0</v>
      </c>
      <c r="R319" s="593">
        <f ca="1">$E319*(-SUMIF(INDIRECT(R$3),'Struktur Vorjahr'!$D319,INDIRECT(R$4))+SUMIF(INDIRECT(R$3),'Struktur Vorjahr'!$D319,INDIRECT(R$5)))</f>
        <v>0</v>
      </c>
      <c r="S319" s="593">
        <f ca="1">$E319*(-SUMIF(INDIRECT(S$3),'Struktur Vorjahr'!$D319,INDIRECT(S$4))+SUMIF(INDIRECT(S$3),'Struktur Vorjahr'!$D319,INDIRECT(S$5)))</f>
        <v>0</v>
      </c>
      <c r="T319" s="593">
        <f ca="1">$E319*(-SUMIF(INDIRECT(T$3),'Struktur Vorjahr'!$D319,INDIRECT(T$4))+SUMIF(INDIRECT(T$3),'Struktur Vorjahr'!$D319,INDIRECT(T$5)))</f>
        <v>0</v>
      </c>
      <c r="U319" s="593">
        <f ca="1">$E319*(-SUMIF(INDIRECT(U$3),'Struktur Vorjahr'!$D319,INDIRECT(U$4))+SUMIF(INDIRECT(U$3),'Struktur Vorjahr'!$D319,INDIRECT(U$5)))</f>
        <v>0</v>
      </c>
      <c r="V319" s="593">
        <f ca="1">$E319*(-SUMIF(INDIRECT(V$3),'Struktur Vorjahr'!$D319,INDIRECT(V$4))+SUMIF(INDIRECT(V$3),'Struktur Vorjahr'!$D319,INDIRECT(V$5)))</f>
        <v>0</v>
      </c>
      <c r="W319" s="593">
        <f ca="1">$E319*(-SUMIF(INDIRECT(W$3),'Struktur Vorjahr'!$D319,INDIRECT(W$4))+SUMIF(INDIRECT(W$3),'Struktur Vorjahr'!$D319,INDIRECT(W$5)))</f>
        <v>0</v>
      </c>
      <c r="X319" s="593">
        <f ca="1">$E319*(-SUMIF(INDIRECT(X$3),'Struktur Vorjahr'!$D319,INDIRECT(X$4))+SUMIF(INDIRECT(X$3),'Struktur Vorjahr'!$D319,INDIRECT(X$5)))</f>
        <v>0</v>
      </c>
      <c r="Y319" s="593">
        <f ca="1">$E319*(-SUMIF(INDIRECT(Y$3),'Struktur Vorjahr'!$D319,INDIRECT(Y$4))+SUMIF(INDIRECT(Y$3),'Struktur Vorjahr'!$D319,INDIRECT(Y$5)))</f>
        <v>0</v>
      </c>
      <c r="Z319" s="593">
        <f ca="1">$E319*(-SUMIF(INDIRECT(Z$3),'Struktur Vorjahr'!$D319,INDIRECT(Z$4))+SUMIF(INDIRECT(Z$3),'Struktur Vorjahr'!$D319,INDIRECT(Z$5)))</f>
        <v>0</v>
      </c>
      <c r="AA319" s="593">
        <f ca="1">$E319*(-SUMIF(INDIRECT(AA$3),'Struktur Vorjahr'!$D319,INDIRECT(AA$4))+SUMIF(INDIRECT(AA$3),'Struktur Vorjahr'!$D319,INDIRECT(AA$5)))</f>
        <v>0</v>
      </c>
      <c r="AB319" s="593">
        <f ca="1">$E319*(-SUMIF(INDIRECT(AB$3),'Struktur Vorjahr'!$D319,INDIRECT(AB$4))+SUMIF(INDIRECT(AB$3),'Struktur Vorjahr'!$D319,INDIRECT(AB$5)))</f>
        <v>0</v>
      </c>
      <c r="AC319" s="593">
        <f ca="1">$E319*(-SUMIF(INDIRECT(AC$3),'Struktur Vorjahr'!$D319,INDIRECT(AC$4))+SUMIF(INDIRECT(AC$3),'Struktur Vorjahr'!$D319,INDIRECT(AC$5)))</f>
        <v>0</v>
      </c>
      <c r="AD319" s="593">
        <f ca="1">$E319*(-SUMIF(INDIRECT(AD$3),'Struktur Vorjahr'!$D319,INDIRECT(AD$4))+SUMIF(INDIRECT(AD$3),'Struktur Vorjahr'!$D319,INDIRECT(AD$5)))</f>
        <v>0</v>
      </c>
      <c r="AE319" s="593">
        <f t="shared" ca="1" si="145"/>
        <v>0</v>
      </c>
      <c r="AF319" s="593">
        <f t="shared" ca="1" si="146"/>
        <v>0</v>
      </c>
      <c r="AG319" s="593">
        <f t="shared" ca="1" si="146"/>
        <v>0</v>
      </c>
      <c r="AH319" s="593">
        <f t="shared" ca="1" si="146"/>
        <v>0</v>
      </c>
      <c r="AI319" s="593">
        <f t="shared" ca="1" si="146"/>
        <v>0</v>
      </c>
      <c r="AJ319" s="593">
        <f t="shared" ca="1" si="146"/>
        <v>0</v>
      </c>
      <c r="AK319" s="593">
        <f t="shared" ca="1" si="146"/>
        <v>0</v>
      </c>
      <c r="AL319" s="593">
        <f t="shared" ca="1" si="146"/>
        <v>0</v>
      </c>
      <c r="AM319" s="593">
        <f t="shared" ca="1" si="146"/>
        <v>0</v>
      </c>
      <c r="AN319" s="593">
        <f t="shared" ca="1" si="146"/>
        <v>0</v>
      </c>
      <c r="AO319" s="593">
        <f t="shared" ca="1" si="146"/>
        <v>0</v>
      </c>
      <c r="AP319" s="593">
        <f t="shared" ca="1" si="146"/>
        <v>0</v>
      </c>
    </row>
    <row r="320" spans="1:42" s="594" customFormat="1" ht="11.25" outlineLevel="1" x14ac:dyDescent="0.2">
      <c r="A320" s="590"/>
      <c r="B320" s="591" t="str">
        <f>IF(D320&lt;&gt;"",
IF(ISERROR(MATCH(D320,'Ist Vorjahr Monat 01'!A:A,0))=FALSE,INDEX('Ist Vorjahr Monat 01'!B:B,MATCH(D320,'Ist Vorjahr Monat 01'!A:A,0)),
IF(ISERROR(MATCH(D320,'Ist Vorjahr Monat 02'!A:A,0))=FALSE,INDEX('Ist Vorjahr Monat 02'!B:B,MATCH(D320,'Ist Vorjahr Monat 02'!A:A,0)),
IF(ISERROR(MATCH(D320,'Ist Vorjahr Monat 03'!A:A,0))=FALSE,INDEX('Ist Vorjahr Monat 03'!B:B,MATCH(D320,'Ist Vorjahr Monat 03'!A:A,0)),
IF(ISERROR(MATCH(D320,'Ist Vorjahr Monat 04'!A:A,0))=FALSE,INDEX('Ist Vorjahr Monat 04'!B:B,MATCH(D320,'Ist Vorjahr Monat 04'!A:A,0)),
IF(ISERROR(MATCH(D320,'Ist Vorjahr Monat 05'!A:A,0))=FALSE,INDEX('Ist Vorjahr Monat 05'!B:B,MATCH(D320,'Ist Vorjahr Monat 05'!A:A,0)),
IF(ISERROR(MATCH(D320,'Ist Vorjahr Monat 06'!A:A,0))=FALSE,INDEX('Ist Vorjahr Monat 06'!B:B,MATCH(D320,'Ist Vorjahr Monat 06'!A:A,0)),
IF(ISERROR(MATCH(D320,'Ist Vorjahr Monat 07'!A:A,0))=FALSE,INDEX('Ist Vorjahr Monat 07'!B:B,MATCH(D320,'Ist Vorjahr Monat 07'!A:A,0)),
IF(ISERROR(MATCH(D320,'Ist Vorjahr Monat 08'!A:A,0))=FALSE,INDEX('Ist Vorjahr Monat 08'!B:B,MATCH(D320,'Ist Vorjahr Monat 08'!A:A,0)),
IF(ISERROR(MATCH(D320,'Ist Vorjahr Monat 09'!A:A,0))=FALSE,INDEX('Ist Vorjahr Monat 09'!B:B,MATCH(D320,'Ist Vorjahr Monat 09'!A:A,0)),
IF(ISERROR(MATCH(D320,'Ist Vorjahr Monat 10'!A:A,0))=FALSE,INDEX('Ist Vorjahr Monat 10'!B:B,MATCH(D320,'Ist Vorjahr Monat 10'!A:A,0)),
IF(ISERROR(MATCH(D320,'Ist Vorjahr Monat 11'!A:A,0))=FALSE,INDEX('Ist Vorjahr Monat 11'!B:B,MATCH(D320,'Ist Vorjahr Monat 11'!A:A,0)),
IF(ISERROR(MATCH(D320,'Ist Vorjahr Monat 12'!A:A,0))=FALSE,INDEX('Ist Vorjahr Monat 12'!B:B,MATCH(D320,'Ist Vorjahr Monat 12'!A:A,0)),
"{Konto unbekannt}"
)))))))))))),"")</f>
        <v/>
      </c>
      <c r="C320" s="591"/>
      <c r="D320" s="590"/>
      <c r="E320" s="592">
        <f t="shared" si="121"/>
        <v>1</v>
      </c>
      <c r="F320" s="590"/>
      <c r="G320" s="593">
        <f ca="1">$E320*(-SUMIF(INDIRECT(G$3),'Struktur Vorjahr'!$D320,INDIRECT(G$4))+SUMIF(INDIRECT(G$3),'Struktur Vorjahr'!$D320,INDIRECT(G$5)))</f>
        <v>0</v>
      </c>
      <c r="H320" s="593">
        <f ca="1">$E320*(-SUMIF(INDIRECT(H$3),'Struktur Vorjahr'!$D320,INDIRECT(H$4))+SUMIF(INDIRECT(H$3),'Struktur Vorjahr'!$D320,INDIRECT(H$5)))</f>
        <v>0</v>
      </c>
      <c r="I320" s="593">
        <f ca="1">$E320*(-SUMIF(INDIRECT(I$3),'Struktur Vorjahr'!$D320,INDIRECT(I$4))+SUMIF(INDIRECT(I$3),'Struktur Vorjahr'!$D320,INDIRECT(I$5)))</f>
        <v>0</v>
      </c>
      <c r="J320" s="593">
        <f ca="1">$E320*(-SUMIF(INDIRECT(J$3),'Struktur Vorjahr'!$D320,INDIRECT(J$4))+SUMIF(INDIRECT(J$3),'Struktur Vorjahr'!$D320,INDIRECT(J$5)))</f>
        <v>0</v>
      </c>
      <c r="K320" s="593">
        <f ca="1">$E320*(-SUMIF(INDIRECT(K$3),'Struktur Vorjahr'!$D320,INDIRECT(K$4))+SUMIF(INDIRECT(K$3),'Struktur Vorjahr'!$D320,INDIRECT(K$5)))</f>
        <v>0</v>
      </c>
      <c r="L320" s="593">
        <f ca="1">$E320*(-SUMIF(INDIRECT(L$3),'Struktur Vorjahr'!$D320,INDIRECT(L$4))+SUMIF(INDIRECT(L$3),'Struktur Vorjahr'!$D320,INDIRECT(L$5)))</f>
        <v>0</v>
      </c>
      <c r="M320" s="593">
        <f ca="1">$E320*(-SUMIF(INDIRECT(M$3),'Struktur Vorjahr'!$D320,INDIRECT(M$4))+SUMIF(INDIRECT(M$3),'Struktur Vorjahr'!$D320,INDIRECT(M$5)))</f>
        <v>0</v>
      </c>
      <c r="N320" s="593">
        <f ca="1">$E320*(-SUMIF(INDIRECT(N$3),'Struktur Vorjahr'!$D320,INDIRECT(N$4))+SUMIF(INDIRECT(N$3),'Struktur Vorjahr'!$D320,INDIRECT(N$5)))</f>
        <v>0</v>
      </c>
      <c r="O320" s="593">
        <f ca="1">$E320*(-SUMIF(INDIRECT(O$3),'Struktur Vorjahr'!$D320,INDIRECT(O$4))+SUMIF(INDIRECT(O$3),'Struktur Vorjahr'!$D320,INDIRECT(O$5)))</f>
        <v>0</v>
      </c>
      <c r="P320" s="593">
        <f ca="1">$E320*(-SUMIF(INDIRECT(P$3),'Struktur Vorjahr'!$D320,INDIRECT(P$4))+SUMIF(INDIRECT(P$3),'Struktur Vorjahr'!$D320,INDIRECT(P$5)))</f>
        <v>0</v>
      </c>
      <c r="Q320" s="593">
        <f ca="1">$E320*(-SUMIF(INDIRECT(Q$3),'Struktur Vorjahr'!$D320,INDIRECT(Q$4))+SUMIF(INDIRECT(Q$3),'Struktur Vorjahr'!$D320,INDIRECT(Q$5)))</f>
        <v>0</v>
      </c>
      <c r="R320" s="593">
        <f ca="1">$E320*(-SUMIF(INDIRECT(R$3),'Struktur Vorjahr'!$D320,INDIRECT(R$4))+SUMIF(INDIRECT(R$3),'Struktur Vorjahr'!$D320,INDIRECT(R$5)))</f>
        <v>0</v>
      </c>
      <c r="S320" s="593">
        <f ca="1">$E320*(-SUMIF(INDIRECT(S$3),'Struktur Vorjahr'!$D320,INDIRECT(S$4))+SUMIF(INDIRECT(S$3),'Struktur Vorjahr'!$D320,INDIRECT(S$5)))</f>
        <v>0</v>
      </c>
      <c r="T320" s="593">
        <f ca="1">$E320*(-SUMIF(INDIRECT(T$3),'Struktur Vorjahr'!$D320,INDIRECT(T$4))+SUMIF(INDIRECT(T$3),'Struktur Vorjahr'!$D320,INDIRECT(T$5)))</f>
        <v>0</v>
      </c>
      <c r="U320" s="593">
        <f ca="1">$E320*(-SUMIF(INDIRECT(U$3),'Struktur Vorjahr'!$D320,INDIRECT(U$4))+SUMIF(INDIRECT(U$3),'Struktur Vorjahr'!$D320,INDIRECT(U$5)))</f>
        <v>0</v>
      </c>
      <c r="V320" s="593">
        <f ca="1">$E320*(-SUMIF(INDIRECT(V$3),'Struktur Vorjahr'!$D320,INDIRECT(V$4))+SUMIF(INDIRECT(V$3),'Struktur Vorjahr'!$D320,INDIRECT(V$5)))</f>
        <v>0</v>
      </c>
      <c r="W320" s="593">
        <f ca="1">$E320*(-SUMIF(INDIRECT(W$3),'Struktur Vorjahr'!$D320,INDIRECT(W$4))+SUMIF(INDIRECT(W$3),'Struktur Vorjahr'!$D320,INDIRECT(W$5)))</f>
        <v>0</v>
      </c>
      <c r="X320" s="593">
        <f ca="1">$E320*(-SUMIF(INDIRECT(X$3),'Struktur Vorjahr'!$D320,INDIRECT(X$4))+SUMIF(INDIRECT(X$3),'Struktur Vorjahr'!$D320,INDIRECT(X$5)))</f>
        <v>0</v>
      </c>
      <c r="Y320" s="593">
        <f ca="1">$E320*(-SUMIF(INDIRECT(Y$3),'Struktur Vorjahr'!$D320,INDIRECT(Y$4))+SUMIF(INDIRECT(Y$3),'Struktur Vorjahr'!$D320,INDIRECT(Y$5)))</f>
        <v>0</v>
      </c>
      <c r="Z320" s="593">
        <f ca="1">$E320*(-SUMIF(INDIRECT(Z$3),'Struktur Vorjahr'!$D320,INDIRECT(Z$4))+SUMIF(INDIRECT(Z$3),'Struktur Vorjahr'!$D320,INDIRECT(Z$5)))</f>
        <v>0</v>
      </c>
      <c r="AA320" s="593">
        <f ca="1">$E320*(-SUMIF(INDIRECT(AA$3),'Struktur Vorjahr'!$D320,INDIRECT(AA$4))+SUMIF(INDIRECT(AA$3),'Struktur Vorjahr'!$D320,INDIRECT(AA$5)))</f>
        <v>0</v>
      </c>
      <c r="AB320" s="593">
        <f ca="1">$E320*(-SUMIF(INDIRECT(AB$3),'Struktur Vorjahr'!$D320,INDIRECT(AB$4))+SUMIF(INDIRECT(AB$3),'Struktur Vorjahr'!$D320,INDIRECT(AB$5)))</f>
        <v>0</v>
      </c>
      <c r="AC320" s="593">
        <f ca="1">$E320*(-SUMIF(INDIRECT(AC$3),'Struktur Vorjahr'!$D320,INDIRECT(AC$4))+SUMIF(INDIRECT(AC$3),'Struktur Vorjahr'!$D320,INDIRECT(AC$5)))</f>
        <v>0</v>
      </c>
      <c r="AD320" s="593">
        <f ca="1">$E320*(-SUMIF(INDIRECT(AD$3),'Struktur Vorjahr'!$D320,INDIRECT(AD$4))+SUMIF(INDIRECT(AD$3),'Struktur Vorjahr'!$D320,INDIRECT(AD$5)))</f>
        <v>0</v>
      </c>
      <c r="AE320" s="593">
        <f t="shared" ca="1" si="145"/>
        <v>0</v>
      </c>
      <c r="AF320" s="593">
        <f t="shared" ca="1" si="146"/>
        <v>0</v>
      </c>
      <c r="AG320" s="593">
        <f t="shared" ca="1" si="146"/>
        <v>0</v>
      </c>
      <c r="AH320" s="593">
        <f t="shared" ca="1" si="146"/>
        <v>0</v>
      </c>
      <c r="AI320" s="593">
        <f t="shared" ca="1" si="146"/>
        <v>0</v>
      </c>
      <c r="AJ320" s="593">
        <f t="shared" ca="1" si="146"/>
        <v>0</v>
      </c>
      <c r="AK320" s="593">
        <f t="shared" ca="1" si="146"/>
        <v>0</v>
      </c>
      <c r="AL320" s="593">
        <f t="shared" ca="1" si="146"/>
        <v>0</v>
      </c>
      <c r="AM320" s="593">
        <f t="shared" ca="1" si="146"/>
        <v>0</v>
      </c>
      <c r="AN320" s="593">
        <f t="shared" ca="1" si="146"/>
        <v>0</v>
      </c>
      <c r="AO320" s="593">
        <f t="shared" ca="1" si="146"/>
        <v>0</v>
      </c>
      <c r="AP320" s="593">
        <f t="shared" ca="1" si="146"/>
        <v>0</v>
      </c>
    </row>
    <row r="321" spans="1:42" s="589" customFormat="1" x14ac:dyDescent="0.2">
      <c r="A321" s="585">
        <v>30</v>
      </c>
      <c r="B321" s="586" t="s">
        <v>1016</v>
      </c>
      <c r="C321" s="587">
        <f ca="1">SUM(G321:R321)</f>
        <v>0</v>
      </c>
      <c r="D321" s="587"/>
      <c r="E321" s="588">
        <f t="shared" si="121"/>
        <v>1</v>
      </c>
      <c r="F321" s="585"/>
      <c r="G321" s="587">
        <f t="shared" ref="G321:AP321" ca="1" si="147">SUM(G322:G327)</f>
        <v>0</v>
      </c>
      <c r="H321" s="587">
        <f t="shared" ca="1" si="147"/>
        <v>0</v>
      </c>
      <c r="I321" s="587">
        <f t="shared" ca="1" si="147"/>
        <v>0</v>
      </c>
      <c r="J321" s="587">
        <f t="shared" ca="1" si="147"/>
        <v>0</v>
      </c>
      <c r="K321" s="587">
        <f t="shared" ca="1" si="147"/>
        <v>0</v>
      </c>
      <c r="L321" s="587">
        <f t="shared" ca="1" si="147"/>
        <v>0</v>
      </c>
      <c r="M321" s="587">
        <f t="shared" ca="1" si="147"/>
        <v>0</v>
      </c>
      <c r="N321" s="587">
        <f t="shared" ca="1" si="147"/>
        <v>0</v>
      </c>
      <c r="O321" s="587">
        <f t="shared" ca="1" si="147"/>
        <v>0</v>
      </c>
      <c r="P321" s="587">
        <f t="shared" ca="1" si="147"/>
        <v>0</v>
      </c>
      <c r="Q321" s="587">
        <f t="shared" ca="1" si="147"/>
        <v>0</v>
      </c>
      <c r="R321" s="587">
        <f t="shared" ca="1" si="147"/>
        <v>0</v>
      </c>
      <c r="S321" s="587">
        <f t="shared" ca="1" si="147"/>
        <v>0</v>
      </c>
      <c r="T321" s="587">
        <f t="shared" ca="1" si="147"/>
        <v>0</v>
      </c>
      <c r="U321" s="587">
        <f t="shared" ca="1" si="147"/>
        <v>0</v>
      </c>
      <c r="V321" s="587">
        <f t="shared" ca="1" si="147"/>
        <v>0</v>
      </c>
      <c r="W321" s="587">
        <f t="shared" ca="1" si="147"/>
        <v>0</v>
      </c>
      <c r="X321" s="587">
        <f t="shared" ca="1" si="147"/>
        <v>0</v>
      </c>
      <c r="Y321" s="587">
        <f t="shared" ca="1" si="147"/>
        <v>0</v>
      </c>
      <c r="Z321" s="587">
        <f t="shared" ca="1" si="147"/>
        <v>0</v>
      </c>
      <c r="AA321" s="587">
        <f t="shared" ca="1" si="147"/>
        <v>0</v>
      </c>
      <c r="AB321" s="587">
        <f t="shared" ca="1" si="147"/>
        <v>0</v>
      </c>
      <c r="AC321" s="587">
        <f t="shared" ca="1" si="147"/>
        <v>0</v>
      </c>
      <c r="AD321" s="587">
        <f t="shared" ca="1" si="147"/>
        <v>0</v>
      </c>
      <c r="AE321" s="587">
        <f t="shared" ca="1" si="147"/>
        <v>0</v>
      </c>
      <c r="AF321" s="587">
        <f t="shared" ca="1" si="147"/>
        <v>0</v>
      </c>
      <c r="AG321" s="587">
        <f t="shared" ca="1" si="147"/>
        <v>0</v>
      </c>
      <c r="AH321" s="587">
        <f t="shared" ca="1" si="147"/>
        <v>0</v>
      </c>
      <c r="AI321" s="587">
        <f t="shared" ca="1" si="147"/>
        <v>0</v>
      </c>
      <c r="AJ321" s="587">
        <f t="shared" ca="1" si="147"/>
        <v>0</v>
      </c>
      <c r="AK321" s="587">
        <f t="shared" ca="1" si="147"/>
        <v>0</v>
      </c>
      <c r="AL321" s="587">
        <f t="shared" ca="1" si="147"/>
        <v>0</v>
      </c>
      <c r="AM321" s="587">
        <f t="shared" ca="1" si="147"/>
        <v>0</v>
      </c>
      <c r="AN321" s="587">
        <f t="shared" ca="1" si="147"/>
        <v>0</v>
      </c>
      <c r="AO321" s="587">
        <f t="shared" ca="1" si="147"/>
        <v>0</v>
      </c>
      <c r="AP321" s="587">
        <f t="shared" ca="1" si="147"/>
        <v>0</v>
      </c>
    </row>
    <row r="322" spans="1:42" s="594" customFormat="1" ht="11.25" outlineLevel="1" x14ac:dyDescent="0.2">
      <c r="A322" s="590"/>
      <c r="B322" s="591" t="str">
        <f>IF(D322&lt;&gt;"",
IF(ISERROR(MATCH(D322,'Ist Vorjahr Monat 01'!A:A,0))=FALSE,INDEX('Ist Vorjahr Monat 01'!B:B,MATCH(D322,'Ist Vorjahr Monat 01'!A:A,0)),
IF(ISERROR(MATCH(D322,'Ist Vorjahr Monat 02'!A:A,0))=FALSE,INDEX('Ist Vorjahr Monat 02'!B:B,MATCH(D322,'Ist Vorjahr Monat 02'!A:A,0)),
IF(ISERROR(MATCH(D322,'Ist Vorjahr Monat 03'!A:A,0))=FALSE,INDEX('Ist Vorjahr Monat 03'!B:B,MATCH(D322,'Ist Vorjahr Monat 03'!A:A,0)),
IF(ISERROR(MATCH(D322,'Ist Vorjahr Monat 04'!A:A,0))=FALSE,INDEX('Ist Vorjahr Monat 04'!B:B,MATCH(D322,'Ist Vorjahr Monat 04'!A:A,0)),
IF(ISERROR(MATCH(D322,'Ist Vorjahr Monat 05'!A:A,0))=FALSE,INDEX('Ist Vorjahr Monat 05'!B:B,MATCH(D322,'Ist Vorjahr Monat 05'!A:A,0)),
IF(ISERROR(MATCH(D322,'Ist Vorjahr Monat 06'!A:A,0))=FALSE,INDEX('Ist Vorjahr Monat 06'!B:B,MATCH(D322,'Ist Vorjahr Monat 06'!A:A,0)),
IF(ISERROR(MATCH(D322,'Ist Vorjahr Monat 07'!A:A,0))=FALSE,INDEX('Ist Vorjahr Monat 07'!B:B,MATCH(D322,'Ist Vorjahr Monat 07'!A:A,0)),
IF(ISERROR(MATCH(D322,'Ist Vorjahr Monat 08'!A:A,0))=FALSE,INDEX('Ist Vorjahr Monat 08'!B:B,MATCH(D322,'Ist Vorjahr Monat 08'!A:A,0)),
IF(ISERROR(MATCH(D322,'Ist Vorjahr Monat 09'!A:A,0))=FALSE,INDEX('Ist Vorjahr Monat 09'!B:B,MATCH(D322,'Ist Vorjahr Monat 09'!A:A,0)),
IF(ISERROR(MATCH(D322,'Ist Vorjahr Monat 10'!A:A,0))=FALSE,INDEX('Ist Vorjahr Monat 10'!B:B,MATCH(D322,'Ist Vorjahr Monat 10'!A:A,0)),
IF(ISERROR(MATCH(D322,'Ist Vorjahr Monat 11'!A:A,0))=FALSE,INDEX('Ist Vorjahr Monat 11'!B:B,MATCH(D322,'Ist Vorjahr Monat 11'!A:A,0)),
IF(ISERROR(MATCH(D322,'Ist Vorjahr Monat 12'!A:A,0))=FALSE,INDEX('Ist Vorjahr Monat 12'!B:B,MATCH(D322,'Ist Vorjahr Monat 12'!A:A,0)),
"{Konto unbekannt}"
)))))))))))),"")</f>
        <v>{Konto unbekannt}</v>
      </c>
      <c r="C322" s="591"/>
      <c r="D322" s="590">
        <v>2020</v>
      </c>
      <c r="E322" s="592">
        <f t="shared" si="121"/>
        <v>1</v>
      </c>
      <c r="F322" s="590"/>
      <c r="G322" s="593">
        <f ca="1">$E322*(-SUMIF(INDIRECT(G$3),'Struktur Vorjahr'!$D322,INDIRECT(G$4))+SUMIF(INDIRECT(G$3),'Struktur Vorjahr'!$D322,INDIRECT(G$5)))</f>
        <v>0</v>
      </c>
      <c r="H322" s="593">
        <f ca="1">$E322*(-SUMIF(INDIRECT(H$3),'Struktur Vorjahr'!$D322,INDIRECT(H$4))+SUMIF(INDIRECT(H$3),'Struktur Vorjahr'!$D322,INDIRECT(H$5)))</f>
        <v>0</v>
      </c>
      <c r="I322" s="593">
        <f ca="1">$E322*(-SUMIF(INDIRECT(I$3),'Struktur Vorjahr'!$D322,INDIRECT(I$4))+SUMIF(INDIRECT(I$3),'Struktur Vorjahr'!$D322,INDIRECT(I$5)))</f>
        <v>0</v>
      </c>
      <c r="J322" s="593">
        <f ca="1">$E322*(-SUMIF(INDIRECT(J$3),'Struktur Vorjahr'!$D322,INDIRECT(J$4))+SUMIF(INDIRECT(J$3),'Struktur Vorjahr'!$D322,INDIRECT(J$5)))</f>
        <v>0</v>
      </c>
      <c r="K322" s="593">
        <f ca="1">$E322*(-SUMIF(INDIRECT(K$3),'Struktur Vorjahr'!$D322,INDIRECT(K$4))+SUMIF(INDIRECT(K$3),'Struktur Vorjahr'!$D322,INDIRECT(K$5)))</f>
        <v>0</v>
      </c>
      <c r="L322" s="593">
        <f ca="1">$E322*(-SUMIF(INDIRECT(L$3),'Struktur Vorjahr'!$D322,INDIRECT(L$4))+SUMIF(INDIRECT(L$3),'Struktur Vorjahr'!$D322,INDIRECT(L$5)))</f>
        <v>0</v>
      </c>
      <c r="M322" s="593">
        <f ca="1">$E322*(-SUMIF(INDIRECT(M$3),'Struktur Vorjahr'!$D322,INDIRECT(M$4))+SUMIF(INDIRECT(M$3),'Struktur Vorjahr'!$D322,INDIRECT(M$5)))</f>
        <v>0</v>
      </c>
      <c r="N322" s="593">
        <f ca="1">$E322*(-SUMIF(INDIRECT(N$3),'Struktur Vorjahr'!$D322,INDIRECT(N$4))+SUMIF(INDIRECT(N$3),'Struktur Vorjahr'!$D322,INDIRECT(N$5)))</f>
        <v>0</v>
      </c>
      <c r="O322" s="593">
        <f ca="1">$E322*(-SUMIF(INDIRECT(O$3),'Struktur Vorjahr'!$D322,INDIRECT(O$4))+SUMIF(INDIRECT(O$3),'Struktur Vorjahr'!$D322,INDIRECT(O$5)))</f>
        <v>0</v>
      </c>
      <c r="P322" s="593">
        <f ca="1">$E322*(-SUMIF(INDIRECT(P$3),'Struktur Vorjahr'!$D322,INDIRECT(P$4))+SUMIF(INDIRECT(P$3),'Struktur Vorjahr'!$D322,INDIRECT(P$5)))</f>
        <v>0</v>
      </c>
      <c r="Q322" s="593">
        <f ca="1">$E322*(-SUMIF(INDIRECT(Q$3),'Struktur Vorjahr'!$D322,INDIRECT(Q$4))+SUMIF(INDIRECT(Q$3),'Struktur Vorjahr'!$D322,INDIRECT(Q$5)))</f>
        <v>0</v>
      </c>
      <c r="R322" s="593">
        <f ca="1">$E322*(-SUMIF(INDIRECT(R$3),'Struktur Vorjahr'!$D322,INDIRECT(R$4))+SUMIF(INDIRECT(R$3),'Struktur Vorjahr'!$D322,INDIRECT(R$5)))</f>
        <v>0</v>
      </c>
      <c r="S322" s="593">
        <f ca="1">$E322*(-SUMIF(INDIRECT(S$3),'Struktur Vorjahr'!$D322,INDIRECT(S$4))+SUMIF(INDIRECT(S$3),'Struktur Vorjahr'!$D322,INDIRECT(S$5)))</f>
        <v>0</v>
      </c>
      <c r="T322" s="593">
        <f ca="1">$E322*(-SUMIF(INDIRECT(T$3),'Struktur Vorjahr'!$D322,INDIRECT(T$4))+SUMIF(INDIRECT(T$3),'Struktur Vorjahr'!$D322,INDIRECT(T$5)))</f>
        <v>0</v>
      </c>
      <c r="U322" s="593">
        <f ca="1">$E322*(-SUMIF(INDIRECT(U$3),'Struktur Vorjahr'!$D322,INDIRECT(U$4))+SUMIF(INDIRECT(U$3),'Struktur Vorjahr'!$D322,INDIRECT(U$5)))</f>
        <v>0</v>
      </c>
      <c r="V322" s="593">
        <f ca="1">$E322*(-SUMIF(INDIRECT(V$3),'Struktur Vorjahr'!$D322,INDIRECT(V$4))+SUMIF(INDIRECT(V$3),'Struktur Vorjahr'!$D322,INDIRECT(V$5)))</f>
        <v>0</v>
      </c>
      <c r="W322" s="593">
        <f ca="1">$E322*(-SUMIF(INDIRECT(W$3),'Struktur Vorjahr'!$D322,INDIRECT(W$4))+SUMIF(INDIRECT(W$3),'Struktur Vorjahr'!$D322,INDIRECT(W$5)))</f>
        <v>0</v>
      </c>
      <c r="X322" s="593">
        <f ca="1">$E322*(-SUMIF(INDIRECT(X$3),'Struktur Vorjahr'!$D322,INDIRECT(X$4))+SUMIF(INDIRECT(X$3),'Struktur Vorjahr'!$D322,INDIRECT(X$5)))</f>
        <v>0</v>
      </c>
      <c r="Y322" s="593">
        <f ca="1">$E322*(-SUMIF(INDIRECT(Y$3),'Struktur Vorjahr'!$D322,INDIRECT(Y$4))+SUMIF(INDIRECT(Y$3),'Struktur Vorjahr'!$D322,INDIRECT(Y$5)))</f>
        <v>0</v>
      </c>
      <c r="Z322" s="593">
        <f ca="1">$E322*(-SUMIF(INDIRECT(Z$3),'Struktur Vorjahr'!$D322,INDIRECT(Z$4))+SUMIF(INDIRECT(Z$3),'Struktur Vorjahr'!$D322,INDIRECT(Z$5)))</f>
        <v>0</v>
      </c>
      <c r="AA322" s="593">
        <f ca="1">$E322*(-SUMIF(INDIRECT(AA$3),'Struktur Vorjahr'!$D322,INDIRECT(AA$4))+SUMIF(INDIRECT(AA$3),'Struktur Vorjahr'!$D322,INDIRECT(AA$5)))</f>
        <v>0</v>
      </c>
      <c r="AB322" s="593">
        <f ca="1">$E322*(-SUMIF(INDIRECT(AB$3),'Struktur Vorjahr'!$D322,INDIRECT(AB$4))+SUMIF(INDIRECT(AB$3),'Struktur Vorjahr'!$D322,INDIRECT(AB$5)))</f>
        <v>0</v>
      </c>
      <c r="AC322" s="593">
        <f ca="1">$E322*(-SUMIF(INDIRECT(AC$3),'Struktur Vorjahr'!$D322,INDIRECT(AC$4))+SUMIF(INDIRECT(AC$3),'Struktur Vorjahr'!$D322,INDIRECT(AC$5)))</f>
        <v>0</v>
      </c>
      <c r="AD322" s="593">
        <f ca="1">$E322*(-SUMIF(INDIRECT(AD$3),'Struktur Vorjahr'!$D322,INDIRECT(AD$4))+SUMIF(INDIRECT(AD$3),'Struktur Vorjahr'!$D322,INDIRECT(AD$5)))</f>
        <v>0</v>
      </c>
      <c r="AE322" s="593">
        <f t="shared" ref="AE322:AE327" ca="1" si="148">G322</f>
        <v>0</v>
      </c>
      <c r="AF322" s="593">
        <f t="shared" ref="AF322:AP327" ca="1" si="149">H322+AE322</f>
        <v>0</v>
      </c>
      <c r="AG322" s="593">
        <f t="shared" ca="1" si="149"/>
        <v>0</v>
      </c>
      <c r="AH322" s="593">
        <f t="shared" ca="1" si="149"/>
        <v>0</v>
      </c>
      <c r="AI322" s="593">
        <f t="shared" ca="1" si="149"/>
        <v>0</v>
      </c>
      <c r="AJ322" s="593">
        <f t="shared" ca="1" si="149"/>
        <v>0</v>
      </c>
      <c r="AK322" s="593">
        <f t="shared" ca="1" si="149"/>
        <v>0</v>
      </c>
      <c r="AL322" s="593">
        <f t="shared" ca="1" si="149"/>
        <v>0</v>
      </c>
      <c r="AM322" s="593">
        <f t="shared" ca="1" si="149"/>
        <v>0</v>
      </c>
      <c r="AN322" s="593">
        <f t="shared" ca="1" si="149"/>
        <v>0</v>
      </c>
      <c r="AO322" s="593">
        <f t="shared" ca="1" si="149"/>
        <v>0</v>
      </c>
      <c r="AP322" s="593">
        <f t="shared" ca="1" si="149"/>
        <v>0</v>
      </c>
    </row>
    <row r="323" spans="1:42" s="594" customFormat="1" ht="11.25" outlineLevel="1" x14ac:dyDescent="0.2">
      <c r="A323" s="590"/>
      <c r="B323" s="591" t="str">
        <f>IF(D323&lt;&gt;"",
IF(ISERROR(MATCH(D323,'Ist Vorjahr Monat 01'!A:A,0))=FALSE,INDEX('Ist Vorjahr Monat 01'!B:B,MATCH(D323,'Ist Vorjahr Monat 01'!A:A,0)),
IF(ISERROR(MATCH(D323,'Ist Vorjahr Monat 02'!A:A,0))=FALSE,INDEX('Ist Vorjahr Monat 02'!B:B,MATCH(D323,'Ist Vorjahr Monat 02'!A:A,0)),
IF(ISERROR(MATCH(D323,'Ist Vorjahr Monat 03'!A:A,0))=FALSE,INDEX('Ist Vorjahr Monat 03'!B:B,MATCH(D323,'Ist Vorjahr Monat 03'!A:A,0)),
IF(ISERROR(MATCH(D323,'Ist Vorjahr Monat 04'!A:A,0))=FALSE,INDEX('Ist Vorjahr Monat 04'!B:B,MATCH(D323,'Ist Vorjahr Monat 04'!A:A,0)),
IF(ISERROR(MATCH(D323,'Ist Vorjahr Monat 05'!A:A,0))=FALSE,INDEX('Ist Vorjahr Monat 05'!B:B,MATCH(D323,'Ist Vorjahr Monat 05'!A:A,0)),
IF(ISERROR(MATCH(D323,'Ist Vorjahr Monat 06'!A:A,0))=FALSE,INDEX('Ist Vorjahr Monat 06'!B:B,MATCH(D323,'Ist Vorjahr Monat 06'!A:A,0)),
IF(ISERROR(MATCH(D323,'Ist Vorjahr Monat 07'!A:A,0))=FALSE,INDEX('Ist Vorjahr Monat 07'!B:B,MATCH(D323,'Ist Vorjahr Monat 07'!A:A,0)),
IF(ISERROR(MATCH(D323,'Ist Vorjahr Monat 08'!A:A,0))=FALSE,INDEX('Ist Vorjahr Monat 08'!B:B,MATCH(D323,'Ist Vorjahr Monat 08'!A:A,0)),
IF(ISERROR(MATCH(D323,'Ist Vorjahr Monat 09'!A:A,0))=FALSE,INDEX('Ist Vorjahr Monat 09'!B:B,MATCH(D323,'Ist Vorjahr Monat 09'!A:A,0)),
IF(ISERROR(MATCH(D323,'Ist Vorjahr Monat 10'!A:A,0))=FALSE,INDEX('Ist Vorjahr Monat 10'!B:B,MATCH(D323,'Ist Vorjahr Monat 10'!A:A,0)),
IF(ISERROR(MATCH(D323,'Ist Vorjahr Monat 11'!A:A,0))=FALSE,INDEX('Ist Vorjahr Monat 11'!B:B,MATCH(D323,'Ist Vorjahr Monat 11'!A:A,0)),
IF(ISERROR(MATCH(D323,'Ist Vorjahr Monat 12'!A:A,0))=FALSE,INDEX('Ist Vorjahr Monat 12'!B:B,MATCH(D323,'Ist Vorjahr Monat 12'!A:A,0)),
"{Konto unbekannt}"
)))))))))))),"")</f>
        <v/>
      </c>
      <c r="C323" s="591"/>
      <c r="D323" s="590"/>
      <c r="E323" s="592">
        <f t="shared" si="121"/>
        <v>1</v>
      </c>
      <c r="F323" s="590"/>
      <c r="G323" s="593">
        <f ca="1">$E323*(-SUMIF(INDIRECT(G$3),'Struktur Vorjahr'!$D323,INDIRECT(G$4))+SUMIF(INDIRECT(G$3),'Struktur Vorjahr'!$D323,INDIRECT(G$5)))</f>
        <v>0</v>
      </c>
      <c r="H323" s="593">
        <f ca="1">$E323*(-SUMIF(INDIRECT(H$3),'Struktur Vorjahr'!$D323,INDIRECT(H$4))+SUMIF(INDIRECT(H$3),'Struktur Vorjahr'!$D323,INDIRECT(H$5)))</f>
        <v>0</v>
      </c>
      <c r="I323" s="593">
        <f ca="1">$E323*(-SUMIF(INDIRECT(I$3),'Struktur Vorjahr'!$D323,INDIRECT(I$4))+SUMIF(INDIRECT(I$3),'Struktur Vorjahr'!$D323,INDIRECT(I$5)))</f>
        <v>0</v>
      </c>
      <c r="J323" s="593">
        <f ca="1">$E323*(-SUMIF(INDIRECT(J$3),'Struktur Vorjahr'!$D323,INDIRECT(J$4))+SUMIF(INDIRECT(J$3),'Struktur Vorjahr'!$D323,INDIRECT(J$5)))</f>
        <v>0</v>
      </c>
      <c r="K323" s="593">
        <f ca="1">$E323*(-SUMIF(INDIRECT(K$3),'Struktur Vorjahr'!$D323,INDIRECT(K$4))+SUMIF(INDIRECT(K$3),'Struktur Vorjahr'!$D323,INDIRECT(K$5)))</f>
        <v>0</v>
      </c>
      <c r="L323" s="593">
        <f ca="1">$E323*(-SUMIF(INDIRECT(L$3),'Struktur Vorjahr'!$D323,INDIRECT(L$4))+SUMIF(INDIRECT(L$3),'Struktur Vorjahr'!$D323,INDIRECT(L$5)))</f>
        <v>0</v>
      </c>
      <c r="M323" s="593">
        <f ca="1">$E323*(-SUMIF(INDIRECT(M$3),'Struktur Vorjahr'!$D323,INDIRECT(M$4))+SUMIF(INDIRECT(M$3),'Struktur Vorjahr'!$D323,INDIRECT(M$5)))</f>
        <v>0</v>
      </c>
      <c r="N323" s="593">
        <f ca="1">$E323*(-SUMIF(INDIRECT(N$3),'Struktur Vorjahr'!$D323,INDIRECT(N$4))+SUMIF(INDIRECT(N$3),'Struktur Vorjahr'!$D323,INDIRECT(N$5)))</f>
        <v>0</v>
      </c>
      <c r="O323" s="593">
        <f ca="1">$E323*(-SUMIF(INDIRECT(O$3),'Struktur Vorjahr'!$D323,INDIRECT(O$4))+SUMIF(INDIRECT(O$3),'Struktur Vorjahr'!$D323,INDIRECT(O$5)))</f>
        <v>0</v>
      </c>
      <c r="P323" s="593">
        <f ca="1">$E323*(-SUMIF(INDIRECT(P$3),'Struktur Vorjahr'!$D323,INDIRECT(P$4))+SUMIF(INDIRECT(P$3),'Struktur Vorjahr'!$D323,INDIRECT(P$5)))</f>
        <v>0</v>
      </c>
      <c r="Q323" s="593">
        <f ca="1">$E323*(-SUMIF(INDIRECT(Q$3),'Struktur Vorjahr'!$D323,INDIRECT(Q$4))+SUMIF(INDIRECT(Q$3),'Struktur Vorjahr'!$D323,INDIRECT(Q$5)))</f>
        <v>0</v>
      </c>
      <c r="R323" s="593">
        <f ca="1">$E323*(-SUMIF(INDIRECT(R$3),'Struktur Vorjahr'!$D323,INDIRECT(R$4))+SUMIF(INDIRECT(R$3),'Struktur Vorjahr'!$D323,INDIRECT(R$5)))</f>
        <v>0</v>
      </c>
      <c r="S323" s="593">
        <f ca="1">$E323*(-SUMIF(INDIRECT(S$3),'Struktur Vorjahr'!$D323,INDIRECT(S$4))+SUMIF(INDIRECT(S$3),'Struktur Vorjahr'!$D323,INDIRECT(S$5)))</f>
        <v>0</v>
      </c>
      <c r="T323" s="593">
        <f ca="1">$E323*(-SUMIF(INDIRECT(T$3),'Struktur Vorjahr'!$D323,INDIRECT(T$4))+SUMIF(INDIRECT(T$3),'Struktur Vorjahr'!$D323,INDIRECT(T$5)))</f>
        <v>0</v>
      </c>
      <c r="U323" s="593">
        <f ca="1">$E323*(-SUMIF(INDIRECT(U$3),'Struktur Vorjahr'!$D323,INDIRECT(U$4))+SUMIF(INDIRECT(U$3),'Struktur Vorjahr'!$D323,INDIRECT(U$5)))</f>
        <v>0</v>
      </c>
      <c r="V323" s="593">
        <f ca="1">$E323*(-SUMIF(INDIRECT(V$3),'Struktur Vorjahr'!$D323,INDIRECT(V$4))+SUMIF(INDIRECT(V$3),'Struktur Vorjahr'!$D323,INDIRECT(V$5)))</f>
        <v>0</v>
      </c>
      <c r="W323" s="593">
        <f ca="1">$E323*(-SUMIF(INDIRECT(W$3),'Struktur Vorjahr'!$D323,INDIRECT(W$4))+SUMIF(INDIRECT(W$3),'Struktur Vorjahr'!$D323,INDIRECT(W$5)))</f>
        <v>0</v>
      </c>
      <c r="X323" s="593">
        <f ca="1">$E323*(-SUMIF(INDIRECT(X$3),'Struktur Vorjahr'!$D323,INDIRECT(X$4))+SUMIF(INDIRECT(X$3),'Struktur Vorjahr'!$D323,INDIRECT(X$5)))</f>
        <v>0</v>
      </c>
      <c r="Y323" s="593">
        <f ca="1">$E323*(-SUMIF(INDIRECT(Y$3),'Struktur Vorjahr'!$D323,INDIRECT(Y$4))+SUMIF(INDIRECT(Y$3),'Struktur Vorjahr'!$D323,INDIRECT(Y$5)))</f>
        <v>0</v>
      </c>
      <c r="Z323" s="593">
        <f ca="1">$E323*(-SUMIF(INDIRECT(Z$3),'Struktur Vorjahr'!$D323,INDIRECT(Z$4))+SUMIF(INDIRECT(Z$3),'Struktur Vorjahr'!$D323,INDIRECT(Z$5)))</f>
        <v>0</v>
      </c>
      <c r="AA323" s="593">
        <f ca="1">$E323*(-SUMIF(INDIRECT(AA$3),'Struktur Vorjahr'!$D323,INDIRECT(AA$4))+SUMIF(INDIRECT(AA$3),'Struktur Vorjahr'!$D323,INDIRECT(AA$5)))</f>
        <v>0</v>
      </c>
      <c r="AB323" s="593">
        <f ca="1">$E323*(-SUMIF(INDIRECT(AB$3),'Struktur Vorjahr'!$D323,INDIRECT(AB$4))+SUMIF(INDIRECT(AB$3),'Struktur Vorjahr'!$D323,INDIRECT(AB$5)))</f>
        <v>0</v>
      </c>
      <c r="AC323" s="593">
        <f ca="1">$E323*(-SUMIF(INDIRECT(AC$3),'Struktur Vorjahr'!$D323,INDIRECT(AC$4))+SUMIF(INDIRECT(AC$3),'Struktur Vorjahr'!$D323,INDIRECT(AC$5)))</f>
        <v>0</v>
      </c>
      <c r="AD323" s="593">
        <f ca="1">$E323*(-SUMIF(INDIRECT(AD$3),'Struktur Vorjahr'!$D323,INDIRECT(AD$4))+SUMIF(INDIRECT(AD$3),'Struktur Vorjahr'!$D323,INDIRECT(AD$5)))</f>
        <v>0</v>
      </c>
      <c r="AE323" s="593">
        <f t="shared" ca="1" si="148"/>
        <v>0</v>
      </c>
      <c r="AF323" s="593">
        <f t="shared" ca="1" si="149"/>
        <v>0</v>
      </c>
      <c r="AG323" s="593">
        <f t="shared" ca="1" si="149"/>
        <v>0</v>
      </c>
      <c r="AH323" s="593">
        <f t="shared" ca="1" si="149"/>
        <v>0</v>
      </c>
      <c r="AI323" s="593">
        <f t="shared" ca="1" si="149"/>
        <v>0</v>
      </c>
      <c r="AJ323" s="593">
        <f t="shared" ca="1" si="149"/>
        <v>0</v>
      </c>
      <c r="AK323" s="593">
        <f t="shared" ca="1" si="149"/>
        <v>0</v>
      </c>
      <c r="AL323" s="593">
        <f t="shared" ca="1" si="149"/>
        <v>0</v>
      </c>
      <c r="AM323" s="593">
        <f t="shared" ca="1" si="149"/>
        <v>0</v>
      </c>
      <c r="AN323" s="593">
        <f t="shared" ca="1" si="149"/>
        <v>0</v>
      </c>
      <c r="AO323" s="593">
        <f t="shared" ca="1" si="149"/>
        <v>0</v>
      </c>
      <c r="AP323" s="593">
        <f t="shared" ca="1" si="149"/>
        <v>0</v>
      </c>
    </row>
    <row r="324" spans="1:42" s="594" customFormat="1" ht="11.25" outlineLevel="1" x14ac:dyDescent="0.2">
      <c r="A324" s="590"/>
      <c r="B324" s="591" t="str">
        <f>IF(D324&lt;&gt;"",
IF(ISERROR(MATCH(D324,'Ist Vorjahr Monat 01'!A:A,0))=FALSE,INDEX('Ist Vorjahr Monat 01'!B:B,MATCH(D324,'Ist Vorjahr Monat 01'!A:A,0)),
IF(ISERROR(MATCH(D324,'Ist Vorjahr Monat 02'!A:A,0))=FALSE,INDEX('Ist Vorjahr Monat 02'!B:B,MATCH(D324,'Ist Vorjahr Monat 02'!A:A,0)),
IF(ISERROR(MATCH(D324,'Ist Vorjahr Monat 03'!A:A,0))=FALSE,INDEX('Ist Vorjahr Monat 03'!B:B,MATCH(D324,'Ist Vorjahr Monat 03'!A:A,0)),
IF(ISERROR(MATCH(D324,'Ist Vorjahr Monat 04'!A:A,0))=FALSE,INDEX('Ist Vorjahr Monat 04'!B:B,MATCH(D324,'Ist Vorjahr Monat 04'!A:A,0)),
IF(ISERROR(MATCH(D324,'Ist Vorjahr Monat 05'!A:A,0))=FALSE,INDEX('Ist Vorjahr Monat 05'!B:B,MATCH(D324,'Ist Vorjahr Monat 05'!A:A,0)),
IF(ISERROR(MATCH(D324,'Ist Vorjahr Monat 06'!A:A,0))=FALSE,INDEX('Ist Vorjahr Monat 06'!B:B,MATCH(D324,'Ist Vorjahr Monat 06'!A:A,0)),
IF(ISERROR(MATCH(D324,'Ist Vorjahr Monat 07'!A:A,0))=FALSE,INDEX('Ist Vorjahr Monat 07'!B:B,MATCH(D324,'Ist Vorjahr Monat 07'!A:A,0)),
IF(ISERROR(MATCH(D324,'Ist Vorjahr Monat 08'!A:A,0))=FALSE,INDEX('Ist Vorjahr Monat 08'!B:B,MATCH(D324,'Ist Vorjahr Monat 08'!A:A,0)),
IF(ISERROR(MATCH(D324,'Ist Vorjahr Monat 09'!A:A,0))=FALSE,INDEX('Ist Vorjahr Monat 09'!B:B,MATCH(D324,'Ist Vorjahr Monat 09'!A:A,0)),
IF(ISERROR(MATCH(D324,'Ist Vorjahr Monat 10'!A:A,0))=FALSE,INDEX('Ist Vorjahr Monat 10'!B:B,MATCH(D324,'Ist Vorjahr Monat 10'!A:A,0)),
IF(ISERROR(MATCH(D324,'Ist Vorjahr Monat 11'!A:A,0))=FALSE,INDEX('Ist Vorjahr Monat 11'!B:B,MATCH(D324,'Ist Vorjahr Monat 11'!A:A,0)),
IF(ISERROR(MATCH(D324,'Ist Vorjahr Monat 12'!A:A,0))=FALSE,INDEX('Ist Vorjahr Monat 12'!B:B,MATCH(D324,'Ist Vorjahr Monat 12'!A:A,0)),
"{Konto unbekannt}"
)))))))))))),"")</f>
        <v/>
      </c>
      <c r="C324" s="591"/>
      <c r="D324" s="590"/>
      <c r="E324" s="592">
        <f t="shared" si="121"/>
        <v>1</v>
      </c>
      <c r="F324" s="590"/>
      <c r="G324" s="593">
        <f ca="1">$E324*(-SUMIF(INDIRECT(G$3),'Struktur Vorjahr'!$D324,INDIRECT(G$4))+SUMIF(INDIRECT(G$3),'Struktur Vorjahr'!$D324,INDIRECT(G$5)))</f>
        <v>0</v>
      </c>
      <c r="H324" s="593">
        <f ca="1">$E324*(-SUMIF(INDIRECT(H$3),'Struktur Vorjahr'!$D324,INDIRECT(H$4))+SUMIF(INDIRECT(H$3),'Struktur Vorjahr'!$D324,INDIRECT(H$5)))</f>
        <v>0</v>
      </c>
      <c r="I324" s="593">
        <f ca="1">$E324*(-SUMIF(INDIRECT(I$3),'Struktur Vorjahr'!$D324,INDIRECT(I$4))+SUMIF(INDIRECT(I$3),'Struktur Vorjahr'!$D324,INDIRECT(I$5)))</f>
        <v>0</v>
      </c>
      <c r="J324" s="593">
        <f ca="1">$E324*(-SUMIF(INDIRECT(J$3),'Struktur Vorjahr'!$D324,INDIRECT(J$4))+SUMIF(INDIRECT(J$3),'Struktur Vorjahr'!$D324,INDIRECT(J$5)))</f>
        <v>0</v>
      </c>
      <c r="K324" s="593">
        <f ca="1">$E324*(-SUMIF(INDIRECT(K$3),'Struktur Vorjahr'!$D324,INDIRECT(K$4))+SUMIF(INDIRECT(K$3),'Struktur Vorjahr'!$D324,INDIRECT(K$5)))</f>
        <v>0</v>
      </c>
      <c r="L324" s="593">
        <f ca="1">$E324*(-SUMIF(INDIRECT(L$3),'Struktur Vorjahr'!$D324,INDIRECT(L$4))+SUMIF(INDIRECT(L$3),'Struktur Vorjahr'!$D324,INDIRECT(L$5)))</f>
        <v>0</v>
      </c>
      <c r="M324" s="593">
        <f ca="1">$E324*(-SUMIF(INDIRECT(M$3),'Struktur Vorjahr'!$D324,INDIRECT(M$4))+SUMIF(INDIRECT(M$3),'Struktur Vorjahr'!$D324,INDIRECT(M$5)))</f>
        <v>0</v>
      </c>
      <c r="N324" s="593">
        <f ca="1">$E324*(-SUMIF(INDIRECT(N$3),'Struktur Vorjahr'!$D324,INDIRECT(N$4))+SUMIF(INDIRECT(N$3),'Struktur Vorjahr'!$D324,INDIRECT(N$5)))</f>
        <v>0</v>
      </c>
      <c r="O324" s="593">
        <f ca="1">$E324*(-SUMIF(INDIRECT(O$3),'Struktur Vorjahr'!$D324,INDIRECT(O$4))+SUMIF(INDIRECT(O$3),'Struktur Vorjahr'!$D324,INDIRECT(O$5)))</f>
        <v>0</v>
      </c>
      <c r="P324" s="593">
        <f ca="1">$E324*(-SUMIF(INDIRECT(P$3),'Struktur Vorjahr'!$D324,INDIRECT(P$4))+SUMIF(INDIRECT(P$3),'Struktur Vorjahr'!$D324,INDIRECT(P$5)))</f>
        <v>0</v>
      </c>
      <c r="Q324" s="593">
        <f ca="1">$E324*(-SUMIF(INDIRECT(Q$3),'Struktur Vorjahr'!$D324,INDIRECT(Q$4))+SUMIF(INDIRECT(Q$3),'Struktur Vorjahr'!$D324,INDIRECT(Q$5)))</f>
        <v>0</v>
      </c>
      <c r="R324" s="593">
        <f ca="1">$E324*(-SUMIF(INDIRECT(R$3),'Struktur Vorjahr'!$D324,INDIRECT(R$4))+SUMIF(INDIRECT(R$3),'Struktur Vorjahr'!$D324,INDIRECT(R$5)))</f>
        <v>0</v>
      </c>
      <c r="S324" s="593">
        <f ca="1">$E324*(-SUMIF(INDIRECT(S$3),'Struktur Vorjahr'!$D324,INDIRECT(S$4))+SUMIF(INDIRECT(S$3),'Struktur Vorjahr'!$D324,INDIRECT(S$5)))</f>
        <v>0</v>
      </c>
      <c r="T324" s="593">
        <f ca="1">$E324*(-SUMIF(INDIRECT(T$3),'Struktur Vorjahr'!$D324,INDIRECT(T$4))+SUMIF(INDIRECT(T$3),'Struktur Vorjahr'!$D324,INDIRECT(T$5)))</f>
        <v>0</v>
      </c>
      <c r="U324" s="593">
        <f ca="1">$E324*(-SUMIF(INDIRECT(U$3),'Struktur Vorjahr'!$D324,INDIRECT(U$4))+SUMIF(INDIRECT(U$3),'Struktur Vorjahr'!$D324,INDIRECT(U$5)))</f>
        <v>0</v>
      </c>
      <c r="V324" s="593">
        <f ca="1">$E324*(-SUMIF(INDIRECT(V$3),'Struktur Vorjahr'!$D324,INDIRECT(V$4))+SUMIF(INDIRECT(V$3),'Struktur Vorjahr'!$D324,INDIRECT(V$5)))</f>
        <v>0</v>
      </c>
      <c r="W324" s="593">
        <f ca="1">$E324*(-SUMIF(INDIRECT(W$3),'Struktur Vorjahr'!$D324,INDIRECT(W$4))+SUMIF(INDIRECT(W$3),'Struktur Vorjahr'!$D324,INDIRECT(W$5)))</f>
        <v>0</v>
      </c>
      <c r="X324" s="593">
        <f ca="1">$E324*(-SUMIF(INDIRECT(X$3),'Struktur Vorjahr'!$D324,INDIRECT(X$4))+SUMIF(INDIRECT(X$3),'Struktur Vorjahr'!$D324,INDIRECT(X$5)))</f>
        <v>0</v>
      </c>
      <c r="Y324" s="593">
        <f ca="1">$E324*(-SUMIF(INDIRECT(Y$3),'Struktur Vorjahr'!$D324,INDIRECT(Y$4))+SUMIF(INDIRECT(Y$3),'Struktur Vorjahr'!$D324,INDIRECT(Y$5)))</f>
        <v>0</v>
      </c>
      <c r="Z324" s="593">
        <f ca="1">$E324*(-SUMIF(INDIRECT(Z$3),'Struktur Vorjahr'!$D324,INDIRECT(Z$4))+SUMIF(INDIRECT(Z$3),'Struktur Vorjahr'!$D324,INDIRECT(Z$5)))</f>
        <v>0</v>
      </c>
      <c r="AA324" s="593">
        <f ca="1">$E324*(-SUMIF(INDIRECT(AA$3),'Struktur Vorjahr'!$D324,INDIRECT(AA$4))+SUMIF(INDIRECT(AA$3),'Struktur Vorjahr'!$D324,INDIRECT(AA$5)))</f>
        <v>0</v>
      </c>
      <c r="AB324" s="593">
        <f ca="1">$E324*(-SUMIF(INDIRECT(AB$3),'Struktur Vorjahr'!$D324,INDIRECT(AB$4))+SUMIF(INDIRECT(AB$3),'Struktur Vorjahr'!$D324,INDIRECT(AB$5)))</f>
        <v>0</v>
      </c>
      <c r="AC324" s="593">
        <f ca="1">$E324*(-SUMIF(INDIRECT(AC$3),'Struktur Vorjahr'!$D324,INDIRECT(AC$4))+SUMIF(INDIRECT(AC$3),'Struktur Vorjahr'!$D324,INDIRECT(AC$5)))</f>
        <v>0</v>
      </c>
      <c r="AD324" s="593">
        <f ca="1">$E324*(-SUMIF(INDIRECT(AD$3),'Struktur Vorjahr'!$D324,INDIRECT(AD$4))+SUMIF(INDIRECT(AD$3),'Struktur Vorjahr'!$D324,INDIRECT(AD$5)))</f>
        <v>0</v>
      </c>
      <c r="AE324" s="593">
        <f t="shared" ca="1" si="148"/>
        <v>0</v>
      </c>
      <c r="AF324" s="593">
        <f t="shared" ca="1" si="149"/>
        <v>0</v>
      </c>
      <c r="AG324" s="593">
        <f t="shared" ca="1" si="149"/>
        <v>0</v>
      </c>
      <c r="AH324" s="593">
        <f t="shared" ca="1" si="149"/>
        <v>0</v>
      </c>
      <c r="AI324" s="593">
        <f t="shared" ca="1" si="149"/>
        <v>0</v>
      </c>
      <c r="AJ324" s="593">
        <f t="shared" ca="1" si="149"/>
        <v>0</v>
      </c>
      <c r="AK324" s="593">
        <f t="shared" ca="1" si="149"/>
        <v>0</v>
      </c>
      <c r="AL324" s="593">
        <f t="shared" ca="1" si="149"/>
        <v>0</v>
      </c>
      <c r="AM324" s="593">
        <f t="shared" ca="1" si="149"/>
        <v>0</v>
      </c>
      <c r="AN324" s="593">
        <f t="shared" ca="1" si="149"/>
        <v>0</v>
      </c>
      <c r="AO324" s="593">
        <f t="shared" ca="1" si="149"/>
        <v>0</v>
      </c>
      <c r="AP324" s="593">
        <f t="shared" ca="1" si="149"/>
        <v>0</v>
      </c>
    </row>
    <row r="325" spans="1:42" s="594" customFormat="1" ht="11.25" outlineLevel="1" x14ac:dyDescent="0.2">
      <c r="A325" s="590"/>
      <c r="B325" s="591" t="str">
        <f>IF(D325&lt;&gt;"",
IF(ISERROR(MATCH(D325,'Ist Vorjahr Monat 01'!A:A,0))=FALSE,INDEX('Ist Vorjahr Monat 01'!B:B,MATCH(D325,'Ist Vorjahr Monat 01'!A:A,0)),
IF(ISERROR(MATCH(D325,'Ist Vorjahr Monat 02'!A:A,0))=FALSE,INDEX('Ist Vorjahr Monat 02'!B:B,MATCH(D325,'Ist Vorjahr Monat 02'!A:A,0)),
IF(ISERROR(MATCH(D325,'Ist Vorjahr Monat 03'!A:A,0))=FALSE,INDEX('Ist Vorjahr Monat 03'!B:B,MATCH(D325,'Ist Vorjahr Monat 03'!A:A,0)),
IF(ISERROR(MATCH(D325,'Ist Vorjahr Monat 04'!A:A,0))=FALSE,INDEX('Ist Vorjahr Monat 04'!B:B,MATCH(D325,'Ist Vorjahr Monat 04'!A:A,0)),
IF(ISERROR(MATCH(D325,'Ist Vorjahr Monat 05'!A:A,0))=FALSE,INDEX('Ist Vorjahr Monat 05'!B:B,MATCH(D325,'Ist Vorjahr Monat 05'!A:A,0)),
IF(ISERROR(MATCH(D325,'Ist Vorjahr Monat 06'!A:A,0))=FALSE,INDEX('Ist Vorjahr Monat 06'!B:B,MATCH(D325,'Ist Vorjahr Monat 06'!A:A,0)),
IF(ISERROR(MATCH(D325,'Ist Vorjahr Monat 07'!A:A,0))=FALSE,INDEX('Ist Vorjahr Monat 07'!B:B,MATCH(D325,'Ist Vorjahr Monat 07'!A:A,0)),
IF(ISERROR(MATCH(D325,'Ist Vorjahr Monat 08'!A:A,0))=FALSE,INDEX('Ist Vorjahr Monat 08'!B:B,MATCH(D325,'Ist Vorjahr Monat 08'!A:A,0)),
IF(ISERROR(MATCH(D325,'Ist Vorjahr Monat 09'!A:A,0))=FALSE,INDEX('Ist Vorjahr Monat 09'!B:B,MATCH(D325,'Ist Vorjahr Monat 09'!A:A,0)),
IF(ISERROR(MATCH(D325,'Ist Vorjahr Monat 10'!A:A,0))=FALSE,INDEX('Ist Vorjahr Monat 10'!B:B,MATCH(D325,'Ist Vorjahr Monat 10'!A:A,0)),
IF(ISERROR(MATCH(D325,'Ist Vorjahr Monat 11'!A:A,0))=FALSE,INDEX('Ist Vorjahr Monat 11'!B:B,MATCH(D325,'Ist Vorjahr Monat 11'!A:A,0)),
IF(ISERROR(MATCH(D325,'Ist Vorjahr Monat 12'!A:A,0))=FALSE,INDEX('Ist Vorjahr Monat 12'!B:B,MATCH(D325,'Ist Vorjahr Monat 12'!A:A,0)),
"{Konto unbekannt}"
)))))))))))),"")</f>
        <v/>
      </c>
      <c r="C325" s="591"/>
      <c r="D325" s="590"/>
      <c r="E325" s="592">
        <f t="shared" si="121"/>
        <v>1</v>
      </c>
      <c r="F325" s="590"/>
      <c r="G325" s="593">
        <f ca="1">$E325*(-SUMIF(INDIRECT(G$3),'Struktur Vorjahr'!$D325,INDIRECT(G$4))+SUMIF(INDIRECT(G$3),'Struktur Vorjahr'!$D325,INDIRECT(G$5)))</f>
        <v>0</v>
      </c>
      <c r="H325" s="593">
        <f ca="1">$E325*(-SUMIF(INDIRECT(H$3),'Struktur Vorjahr'!$D325,INDIRECT(H$4))+SUMIF(INDIRECT(H$3),'Struktur Vorjahr'!$D325,INDIRECT(H$5)))</f>
        <v>0</v>
      </c>
      <c r="I325" s="593">
        <f ca="1">$E325*(-SUMIF(INDIRECT(I$3),'Struktur Vorjahr'!$D325,INDIRECT(I$4))+SUMIF(INDIRECT(I$3),'Struktur Vorjahr'!$D325,INDIRECT(I$5)))</f>
        <v>0</v>
      </c>
      <c r="J325" s="593">
        <f ca="1">$E325*(-SUMIF(INDIRECT(J$3),'Struktur Vorjahr'!$D325,INDIRECT(J$4))+SUMIF(INDIRECT(J$3),'Struktur Vorjahr'!$D325,INDIRECT(J$5)))</f>
        <v>0</v>
      </c>
      <c r="K325" s="593">
        <f ca="1">$E325*(-SUMIF(INDIRECT(K$3),'Struktur Vorjahr'!$D325,INDIRECT(K$4))+SUMIF(INDIRECT(K$3),'Struktur Vorjahr'!$D325,INDIRECT(K$5)))</f>
        <v>0</v>
      </c>
      <c r="L325" s="593">
        <f ca="1">$E325*(-SUMIF(INDIRECT(L$3),'Struktur Vorjahr'!$D325,INDIRECT(L$4))+SUMIF(INDIRECT(L$3),'Struktur Vorjahr'!$D325,INDIRECT(L$5)))</f>
        <v>0</v>
      </c>
      <c r="M325" s="593">
        <f ca="1">$E325*(-SUMIF(INDIRECT(M$3),'Struktur Vorjahr'!$D325,INDIRECT(M$4))+SUMIF(INDIRECT(M$3),'Struktur Vorjahr'!$D325,INDIRECT(M$5)))</f>
        <v>0</v>
      </c>
      <c r="N325" s="593">
        <f ca="1">$E325*(-SUMIF(INDIRECT(N$3),'Struktur Vorjahr'!$D325,INDIRECT(N$4))+SUMIF(INDIRECT(N$3),'Struktur Vorjahr'!$D325,INDIRECT(N$5)))</f>
        <v>0</v>
      </c>
      <c r="O325" s="593">
        <f ca="1">$E325*(-SUMIF(INDIRECT(O$3),'Struktur Vorjahr'!$D325,INDIRECT(O$4))+SUMIF(INDIRECT(O$3),'Struktur Vorjahr'!$D325,INDIRECT(O$5)))</f>
        <v>0</v>
      </c>
      <c r="P325" s="593">
        <f ca="1">$E325*(-SUMIF(INDIRECT(P$3),'Struktur Vorjahr'!$D325,INDIRECT(P$4))+SUMIF(INDIRECT(P$3),'Struktur Vorjahr'!$D325,INDIRECT(P$5)))</f>
        <v>0</v>
      </c>
      <c r="Q325" s="593">
        <f ca="1">$E325*(-SUMIF(INDIRECT(Q$3),'Struktur Vorjahr'!$D325,INDIRECT(Q$4))+SUMIF(INDIRECT(Q$3),'Struktur Vorjahr'!$D325,INDIRECT(Q$5)))</f>
        <v>0</v>
      </c>
      <c r="R325" s="593">
        <f ca="1">$E325*(-SUMIF(INDIRECT(R$3),'Struktur Vorjahr'!$D325,INDIRECT(R$4))+SUMIF(INDIRECT(R$3),'Struktur Vorjahr'!$D325,INDIRECT(R$5)))</f>
        <v>0</v>
      </c>
      <c r="S325" s="593">
        <f ca="1">$E325*(-SUMIF(INDIRECT(S$3),'Struktur Vorjahr'!$D325,INDIRECT(S$4))+SUMIF(INDIRECT(S$3),'Struktur Vorjahr'!$D325,INDIRECT(S$5)))</f>
        <v>0</v>
      </c>
      <c r="T325" s="593">
        <f ca="1">$E325*(-SUMIF(INDIRECT(T$3),'Struktur Vorjahr'!$D325,INDIRECT(T$4))+SUMIF(INDIRECT(T$3),'Struktur Vorjahr'!$D325,INDIRECT(T$5)))</f>
        <v>0</v>
      </c>
      <c r="U325" s="593">
        <f ca="1">$E325*(-SUMIF(INDIRECT(U$3),'Struktur Vorjahr'!$D325,INDIRECT(U$4))+SUMIF(INDIRECT(U$3),'Struktur Vorjahr'!$D325,INDIRECT(U$5)))</f>
        <v>0</v>
      </c>
      <c r="V325" s="593">
        <f ca="1">$E325*(-SUMIF(INDIRECT(V$3),'Struktur Vorjahr'!$D325,INDIRECT(V$4))+SUMIF(INDIRECT(V$3),'Struktur Vorjahr'!$D325,INDIRECT(V$5)))</f>
        <v>0</v>
      </c>
      <c r="W325" s="593">
        <f ca="1">$E325*(-SUMIF(INDIRECT(W$3),'Struktur Vorjahr'!$D325,INDIRECT(W$4))+SUMIF(INDIRECT(W$3),'Struktur Vorjahr'!$D325,INDIRECT(W$5)))</f>
        <v>0</v>
      </c>
      <c r="X325" s="593">
        <f ca="1">$E325*(-SUMIF(INDIRECT(X$3),'Struktur Vorjahr'!$D325,INDIRECT(X$4))+SUMIF(INDIRECT(X$3),'Struktur Vorjahr'!$D325,INDIRECT(X$5)))</f>
        <v>0</v>
      </c>
      <c r="Y325" s="593">
        <f ca="1">$E325*(-SUMIF(INDIRECT(Y$3),'Struktur Vorjahr'!$D325,INDIRECT(Y$4))+SUMIF(INDIRECT(Y$3),'Struktur Vorjahr'!$D325,INDIRECT(Y$5)))</f>
        <v>0</v>
      </c>
      <c r="Z325" s="593">
        <f ca="1">$E325*(-SUMIF(INDIRECT(Z$3),'Struktur Vorjahr'!$D325,INDIRECT(Z$4))+SUMIF(INDIRECT(Z$3),'Struktur Vorjahr'!$D325,INDIRECT(Z$5)))</f>
        <v>0</v>
      </c>
      <c r="AA325" s="593">
        <f ca="1">$E325*(-SUMIF(INDIRECT(AA$3),'Struktur Vorjahr'!$D325,INDIRECT(AA$4))+SUMIF(INDIRECT(AA$3),'Struktur Vorjahr'!$D325,INDIRECT(AA$5)))</f>
        <v>0</v>
      </c>
      <c r="AB325" s="593">
        <f ca="1">$E325*(-SUMIF(INDIRECT(AB$3),'Struktur Vorjahr'!$D325,INDIRECT(AB$4))+SUMIF(INDIRECT(AB$3),'Struktur Vorjahr'!$D325,INDIRECT(AB$5)))</f>
        <v>0</v>
      </c>
      <c r="AC325" s="593">
        <f ca="1">$E325*(-SUMIF(INDIRECT(AC$3),'Struktur Vorjahr'!$D325,INDIRECT(AC$4))+SUMIF(INDIRECT(AC$3),'Struktur Vorjahr'!$D325,INDIRECT(AC$5)))</f>
        <v>0</v>
      </c>
      <c r="AD325" s="593">
        <f ca="1">$E325*(-SUMIF(INDIRECT(AD$3),'Struktur Vorjahr'!$D325,INDIRECT(AD$4))+SUMIF(INDIRECT(AD$3),'Struktur Vorjahr'!$D325,INDIRECT(AD$5)))</f>
        <v>0</v>
      </c>
      <c r="AE325" s="593">
        <f t="shared" ca="1" si="148"/>
        <v>0</v>
      </c>
      <c r="AF325" s="593">
        <f t="shared" ca="1" si="149"/>
        <v>0</v>
      </c>
      <c r="AG325" s="593">
        <f t="shared" ca="1" si="149"/>
        <v>0</v>
      </c>
      <c r="AH325" s="593">
        <f t="shared" ca="1" si="149"/>
        <v>0</v>
      </c>
      <c r="AI325" s="593">
        <f t="shared" ca="1" si="149"/>
        <v>0</v>
      </c>
      <c r="AJ325" s="593">
        <f t="shared" ca="1" si="149"/>
        <v>0</v>
      </c>
      <c r="AK325" s="593">
        <f t="shared" ca="1" si="149"/>
        <v>0</v>
      </c>
      <c r="AL325" s="593">
        <f t="shared" ca="1" si="149"/>
        <v>0</v>
      </c>
      <c r="AM325" s="593">
        <f t="shared" ca="1" si="149"/>
        <v>0</v>
      </c>
      <c r="AN325" s="593">
        <f t="shared" ca="1" si="149"/>
        <v>0</v>
      </c>
      <c r="AO325" s="593">
        <f t="shared" ca="1" si="149"/>
        <v>0</v>
      </c>
      <c r="AP325" s="593">
        <f t="shared" ca="1" si="149"/>
        <v>0</v>
      </c>
    </row>
    <row r="326" spans="1:42" s="594" customFormat="1" ht="11.25" outlineLevel="1" x14ac:dyDescent="0.2">
      <c r="A326" s="590"/>
      <c r="B326" s="591" t="str">
        <f>IF(D326&lt;&gt;"",
IF(ISERROR(MATCH(D326,'Ist Vorjahr Monat 01'!A:A,0))=FALSE,INDEX('Ist Vorjahr Monat 01'!B:B,MATCH(D326,'Ist Vorjahr Monat 01'!A:A,0)),
IF(ISERROR(MATCH(D326,'Ist Vorjahr Monat 02'!A:A,0))=FALSE,INDEX('Ist Vorjahr Monat 02'!B:B,MATCH(D326,'Ist Vorjahr Monat 02'!A:A,0)),
IF(ISERROR(MATCH(D326,'Ist Vorjahr Monat 03'!A:A,0))=FALSE,INDEX('Ist Vorjahr Monat 03'!B:B,MATCH(D326,'Ist Vorjahr Monat 03'!A:A,0)),
IF(ISERROR(MATCH(D326,'Ist Vorjahr Monat 04'!A:A,0))=FALSE,INDEX('Ist Vorjahr Monat 04'!B:B,MATCH(D326,'Ist Vorjahr Monat 04'!A:A,0)),
IF(ISERROR(MATCH(D326,'Ist Vorjahr Monat 05'!A:A,0))=FALSE,INDEX('Ist Vorjahr Monat 05'!B:B,MATCH(D326,'Ist Vorjahr Monat 05'!A:A,0)),
IF(ISERROR(MATCH(D326,'Ist Vorjahr Monat 06'!A:A,0))=FALSE,INDEX('Ist Vorjahr Monat 06'!B:B,MATCH(D326,'Ist Vorjahr Monat 06'!A:A,0)),
IF(ISERROR(MATCH(D326,'Ist Vorjahr Monat 07'!A:A,0))=FALSE,INDEX('Ist Vorjahr Monat 07'!B:B,MATCH(D326,'Ist Vorjahr Monat 07'!A:A,0)),
IF(ISERROR(MATCH(D326,'Ist Vorjahr Monat 08'!A:A,0))=FALSE,INDEX('Ist Vorjahr Monat 08'!B:B,MATCH(D326,'Ist Vorjahr Monat 08'!A:A,0)),
IF(ISERROR(MATCH(D326,'Ist Vorjahr Monat 09'!A:A,0))=FALSE,INDEX('Ist Vorjahr Monat 09'!B:B,MATCH(D326,'Ist Vorjahr Monat 09'!A:A,0)),
IF(ISERROR(MATCH(D326,'Ist Vorjahr Monat 10'!A:A,0))=FALSE,INDEX('Ist Vorjahr Monat 10'!B:B,MATCH(D326,'Ist Vorjahr Monat 10'!A:A,0)),
IF(ISERROR(MATCH(D326,'Ist Vorjahr Monat 11'!A:A,0))=FALSE,INDEX('Ist Vorjahr Monat 11'!B:B,MATCH(D326,'Ist Vorjahr Monat 11'!A:A,0)),
IF(ISERROR(MATCH(D326,'Ist Vorjahr Monat 12'!A:A,0))=FALSE,INDEX('Ist Vorjahr Monat 12'!B:B,MATCH(D326,'Ist Vorjahr Monat 12'!A:A,0)),
"{Konto unbekannt}"
)))))))))))),"")</f>
        <v/>
      </c>
      <c r="C326" s="591"/>
      <c r="D326" s="590"/>
      <c r="E326" s="592">
        <f t="shared" si="121"/>
        <v>1</v>
      </c>
      <c r="F326" s="590"/>
      <c r="G326" s="593">
        <f ca="1">$E326*(-SUMIF(INDIRECT(G$3),'Struktur Vorjahr'!$D326,INDIRECT(G$4))+SUMIF(INDIRECT(G$3),'Struktur Vorjahr'!$D326,INDIRECT(G$5)))</f>
        <v>0</v>
      </c>
      <c r="H326" s="593">
        <f ca="1">$E326*(-SUMIF(INDIRECT(H$3),'Struktur Vorjahr'!$D326,INDIRECT(H$4))+SUMIF(INDIRECT(H$3),'Struktur Vorjahr'!$D326,INDIRECT(H$5)))</f>
        <v>0</v>
      </c>
      <c r="I326" s="593">
        <f ca="1">$E326*(-SUMIF(INDIRECT(I$3),'Struktur Vorjahr'!$D326,INDIRECT(I$4))+SUMIF(INDIRECT(I$3),'Struktur Vorjahr'!$D326,INDIRECT(I$5)))</f>
        <v>0</v>
      </c>
      <c r="J326" s="593">
        <f ca="1">$E326*(-SUMIF(INDIRECT(J$3),'Struktur Vorjahr'!$D326,INDIRECT(J$4))+SUMIF(INDIRECT(J$3),'Struktur Vorjahr'!$D326,INDIRECT(J$5)))</f>
        <v>0</v>
      </c>
      <c r="K326" s="593">
        <f ca="1">$E326*(-SUMIF(INDIRECT(K$3),'Struktur Vorjahr'!$D326,INDIRECT(K$4))+SUMIF(INDIRECT(K$3),'Struktur Vorjahr'!$D326,INDIRECT(K$5)))</f>
        <v>0</v>
      </c>
      <c r="L326" s="593">
        <f ca="1">$E326*(-SUMIF(INDIRECT(L$3),'Struktur Vorjahr'!$D326,INDIRECT(L$4))+SUMIF(INDIRECT(L$3),'Struktur Vorjahr'!$D326,INDIRECT(L$5)))</f>
        <v>0</v>
      </c>
      <c r="M326" s="593">
        <f ca="1">$E326*(-SUMIF(INDIRECT(M$3),'Struktur Vorjahr'!$D326,INDIRECT(M$4))+SUMIF(INDIRECT(M$3),'Struktur Vorjahr'!$D326,INDIRECT(M$5)))</f>
        <v>0</v>
      </c>
      <c r="N326" s="593">
        <f ca="1">$E326*(-SUMIF(INDIRECT(N$3),'Struktur Vorjahr'!$D326,INDIRECT(N$4))+SUMIF(INDIRECT(N$3),'Struktur Vorjahr'!$D326,INDIRECT(N$5)))</f>
        <v>0</v>
      </c>
      <c r="O326" s="593">
        <f ca="1">$E326*(-SUMIF(INDIRECT(O$3),'Struktur Vorjahr'!$D326,INDIRECT(O$4))+SUMIF(INDIRECT(O$3),'Struktur Vorjahr'!$D326,INDIRECT(O$5)))</f>
        <v>0</v>
      </c>
      <c r="P326" s="593">
        <f ca="1">$E326*(-SUMIF(INDIRECT(P$3),'Struktur Vorjahr'!$D326,INDIRECT(P$4))+SUMIF(INDIRECT(P$3),'Struktur Vorjahr'!$D326,INDIRECT(P$5)))</f>
        <v>0</v>
      </c>
      <c r="Q326" s="593">
        <f ca="1">$E326*(-SUMIF(INDIRECT(Q$3),'Struktur Vorjahr'!$D326,INDIRECT(Q$4))+SUMIF(INDIRECT(Q$3),'Struktur Vorjahr'!$D326,INDIRECT(Q$5)))</f>
        <v>0</v>
      </c>
      <c r="R326" s="593">
        <f ca="1">$E326*(-SUMIF(INDIRECT(R$3),'Struktur Vorjahr'!$D326,INDIRECT(R$4))+SUMIF(INDIRECT(R$3),'Struktur Vorjahr'!$D326,INDIRECT(R$5)))</f>
        <v>0</v>
      </c>
      <c r="S326" s="593">
        <f ca="1">$E326*(-SUMIF(INDIRECT(S$3),'Struktur Vorjahr'!$D326,INDIRECT(S$4))+SUMIF(INDIRECT(S$3),'Struktur Vorjahr'!$D326,INDIRECT(S$5)))</f>
        <v>0</v>
      </c>
      <c r="T326" s="593">
        <f ca="1">$E326*(-SUMIF(INDIRECT(T$3),'Struktur Vorjahr'!$D326,INDIRECT(T$4))+SUMIF(INDIRECT(T$3),'Struktur Vorjahr'!$D326,INDIRECT(T$5)))</f>
        <v>0</v>
      </c>
      <c r="U326" s="593">
        <f ca="1">$E326*(-SUMIF(INDIRECT(U$3),'Struktur Vorjahr'!$D326,INDIRECT(U$4))+SUMIF(INDIRECT(U$3),'Struktur Vorjahr'!$D326,INDIRECT(U$5)))</f>
        <v>0</v>
      </c>
      <c r="V326" s="593">
        <f ca="1">$E326*(-SUMIF(INDIRECT(V$3),'Struktur Vorjahr'!$D326,INDIRECT(V$4))+SUMIF(INDIRECT(V$3),'Struktur Vorjahr'!$D326,INDIRECT(V$5)))</f>
        <v>0</v>
      </c>
      <c r="W326" s="593">
        <f ca="1">$E326*(-SUMIF(INDIRECT(W$3),'Struktur Vorjahr'!$D326,INDIRECT(W$4))+SUMIF(INDIRECT(W$3),'Struktur Vorjahr'!$D326,INDIRECT(W$5)))</f>
        <v>0</v>
      </c>
      <c r="X326" s="593">
        <f ca="1">$E326*(-SUMIF(INDIRECT(X$3),'Struktur Vorjahr'!$D326,INDIRECT(X$4))+SUMIF(INDIRECT(X$3),'Struktur Vorjahr'!$D326,INDIRECT(X$5)))</f>
        <v>0</v>
      </c>
      <c r="Y326" s="593">
        <f ca="1">$E326*(-SUMIF(INDIRECT(Y$3),'Struktur Vorjahr'!$D326,INDIRECT(Y$4))+SUMIF(INDIRECT(Y$3),'Struktur Vorjahr'!$D326,INDIRECT(Y$5)))</f>
        <v>0</v>
      </c>
      <c r="Z326" s="593">
        <f ca="1">$E326*(-SUMIF(INDIRECT(Z$3),'Struktur Vorjahr'!$D326,INDIRECT(Z$4))+SUMIF(INDIRECT(Z$3),'Struktur Vorjahr'!$D326,INDIRECT(Z$5)))</f>
        <v>0</v>
      </c>
      <c r="AA326" s="593">
        <f ca="1">$E326*(-SUMIF(INDIRECT(AA$3),'Struktur Vorjahr'!$D326,INDIRECT(AA$4))+SUMIF(INDIRECT(AA$3),'Struktur Vorjahr'!$D326,INDIRECT(AA$5)))</f>
        <v>0</v>
      </c>
      <c r="AB326" s="593">
        <f ca="1">$E326*(-SUMIF(INDIRECT(AB$3),'Struktur Vorjahr'!$D326,INDIRECT(AB$4))+SUMIF(INDIRECT(AB$3),'Struktur Vorjahr'!$D326,INDIRECT(AB$5)))</f>
        <v>0</v>
      </c>
      <c r="AC326" s="593">
        <f ca="1">$E326*(-SUMIF(INDIRECT(AC$3),'Struktur Vorjahr'!$D326,INDIRECT(AC$4))+SUMIF(INDIRECT(AC$3),'Struktur Vorjahr'!$D326,INDIRECT(AC$5)))</f>
        <v>0</v>
      </c>
      <c r="AD326" s="593">
        <f ca="1">$E326*(-SUMIF(INDIRECT(AD$3),'Struktur Vorjahr'!$D326,INDIRECT(AD$4))+SUMIF(INDIRECT(AD$3),'Struktur Vorjahr'!$D326,INDIRECT(AD$5)))</f>
        <v>0</v>
      </c>
      <c r="AE326" s="593">
        <f t="shared" ca="1" si="148"/>
        <v>0</v>
      </c>
      <c r="AF326" s="593">
        <f t="shared" ca="1" si="149"/>
        <v>0</v>
      </c>
      <c r="AG326" s="593">
        <f t="shared" ca="1" si="149"/>
        <v>0</v>
      </c>
      <c r="AH326" s="593">
        <f t="shared" ca="1" si="149"/>
        <v>0</v>
      </c>
      <c r="AI326" s="593">
        <f t="shared" ca="1" si="149"/>
        <v>0</v>
      </c>
      <c r="AJ326" s="593">
        <f t="shared" ca="1" si="149"/>
        <v>0</v>
      </c>
      <c r="AK326" s="593">
        <f t="shared" ca="1" si="149"/>
        <v>0</v>
      </c>
      <c r="AL326" s="593">
        <f t="shared" ca="1" si="149"/>
        <v>0</v>
      </c>
      <c r="AM326" s="593">
        <f t="shared" ca="1" si="149"/>
        <v>0</v>
      </c>
      <c r="AN326" s="593">
        <f t="shared" ca="1" si="149"/>
        <v>0</v>
      </c>
      <c r="AO326" s="593">
        <f t="shared" ca="1" si="149"/>
        <v>0</v>
      </c>
      <c r="AP326" s="593">
        <f t="shared" ca="1" si="149"/>
        <v>0</v>
      </c>
    </row>
    <row r="327" spans="1:42" s="594" customFormat="1" ht="11.25" outlineLevel="1" x14ac:dyDescent="0.2">
      <c r="A327" s="590"/>
      <c r="B327" s="591" t="str">
        <f>IF(D327&lt;&gt;"",
IF(ISERROR(MATCH(D327,'Ist Vorjahr Monat 01'!A:A,0))=FALSE,INDEX('Ist Vorjahr Monat 01'!B:B,MATCH(D327,'Ist Vorjahr Monat 01'!A:A,0)),
IF(ISERROR(MATCH(D327,'Ist Vorjahr Monat 02'!A:A,0))=FALSE,INDEX('Ist Vorjahr Monat 02'!B:B,MATCH(D327,'Ist Vorjahr Monat 02'!A:A,0)),
IF(ISERROR(MATCH(D327,'Ist Vorjahr Monat 03'!A:A,0))=FALSE,INDEX('Ist Vorjahr Monat 03'!B:B,MATCH(D327,'Ist Vorjahr Monat 03'!A:A,0)),
IF(ISERROR(MATCH(D327,'Ist Vorjahr Monat 04'!A:A,0))=FALSE,INDEX('Ist Vorjahr Monat 04'!B:B,MATCH(D327,'Ist Vorjahr Monat 04'!A:A,0)),
IF(ISERROR(MATCH(D327,'Ist Vorjahr Monat 05'!A:A,0))=FALSE,INDEX('Ist Vorjahr Monat 05'!B:B,MATCH(D327,'Ist Vorjahr Monat 05'!A:A,0)),
IF(ISERROR(MATCH(D327,'Ist Vorjahr Monat 06'!A:A,0))=FALSE,INDEX('Ist Vorjahr Monat 06'!B:B,MATCH(D327,'Ist Vorjahr Monat 06'!A:A,0)),
IF(ISERROR(MATCH(D327,'Ist Vorjahr Monat 07'!A:A,0))=FALSE,INDEX('Ist Vorjahr Monat 07'!B:B,MATCH(D327,'Ist Vorjahr Monat 07'!A:A,0)),
IF(ISERROR(MATCH(D327,'Ist Vorjahr Monat 08'!A:A,0))=FALSE,INDEX('Ist Vorjahr Monat 08'!B:B,MATCH(D327,'Ist Vorjahr Monat 08'!A:A,0)),
IF(ISERROR(MATCH(D327,'Ist Vorjahr Monat 09'!A:A,0))=FALSE,INDEX('Ist Vorjahr Monat 09'!B:B,MATCH(D327,'Ist Vorjahr Monat 09'!A:A,0)),
IF(ISERROR(MATCH(D327,'Ist Vorjahr Monat 10'!A:A,0))=FALSE,INDEX('Ist Vorjahr Monat 10'!B:B,MATCH(D327,'Ist Vorjahr Monat 10'!A:A,0)),
IF(ISERROR(MATCH(D327,'Ist Vorjahr Monat 11'!A:A,0))=FALSE,INDEX('Ist Vorjahr Monat 11'!B:B,MATCH(D327,'Ist Vorjahr Monat 11'!A:A,0)),
IF(ISERROR(MATCH(D327,'Ist Vorjahr Monat 12'!A:A,0))=FALSE,INDEX('Ist Vorjahr Monat 12'!B:B,MATCH(D327,'Ist Vorjahr Monat 12'!A:A,0)),
"{Konto unbekannt}"
)))))))))))),"")</f>
        <v/>
      </c>
      <c r="C327" s="591"/>
      <c r="D327" s="590"/>
      <c r="E327" s="592">
        <f t="shared" si="121"/>
        <v>1</v>
      </c>
      <c r="F327" s="590"/>
      <c r="G327" s="593">
        <f ca="1">$E327*(-SUMIF(INDIRECT(G$3),'Struktur Vorjahr'!$D327,INDIRECT(G$4))+SUMIF(INDIRECT(G$3),'Struktur Vorjahr'!$D327,INDIRECT(G$5)))</f>
        <v>0</v>
      </c>
      <c r="H327" s="593">
        <f ca="1">$E327*(-SUMIF(INDIRECT(H$3),'Struktur Vorjahr'!$D327,INDIRECT(H$4))+SUMIF(INDIRECT(H$3),'Struktur Vorjahr'!$D327,INDIRECT(H$5)))</f>
        <v>0</v>
      </c>
      <c r="I327" s="593">
        <f ca="1">$E327*(-SUMIF(INDIRECT(I$3),'Struktur Vorjahr'!$D327,INDIRECT(I$4))+SUMIF(INDIRECT(I$3),'Struktur Vorjahr'!$D327,INDIRECT(I$5)))</f>
        <v>0</v>
      </c>
      <c r="J327" s="593">
        <f ca="1">$E327*(-SUMIF(INDIRECT(J$3),'Struktur Vorjahr'!$D327,INDIRECT(J$4))+SUMIF(INDIRECT(J$3),'Struktur Vorjahr'!$D327,INDIRECT(J$5)))</f>
        <v>0</v>
      </c>
      <c r="K327" s="593">
        <f ca="1">$E327*(-SUMIF(INDIRECT(K$3),'Struktur Vorjahr'!$D327,INDIRECT(K$4))+SUMIF(INDIRECT(K$3),'Struktur Vorjahr'!$D327,INDIRECT(K$5)))</f>
        <v>0</v>
      </c>
      <c r="L327" s="593">
        <f ca="1">$E327*(-SUMIF(INDIRECT(L$3),'Struktur Vorjahr'!$D327,INDIRECT(L$4))+SUMIF(INDIRECT(L$3),'Struktur Vorjahr'!$D327,INDIRECT(L$5)))</f>
        <v>0</v>
      </c>
      <c r="M327" s="593">
        <f ca="1">$E327*(-SUMIF(INDIRECT(M$3),'Struktur Vorjahr'!$D327,INDIRECT(M$4))+SUMIF(INDIRECT(M$3),'Struktur Vorjahr'!$D327,INDIRECT(M$5)))</f>
        <v>0</v>
      </c>
      <c r="N327" s="593">
        <f ca="1">$E327*(-SUMIF(INDIRECT(N$3),'Struktur Vorjahr'!$D327,INDIRECT(N$4))+SUMIF(INDIRECT(N$3),'Struktur Vorjahr'!$D327,INDIRECT(N$5)))</f>
        <v>0</v>
      </c>
      <c r="O327" s="593">
        <f ca="1">$E327*(-SUMIF(INDIRECT(O$3),'Struktur Vorjahr'!$D327,INDIRECT(O$4))+SUMIF(INDIRECT(O$3),'Struktur Vorjahr'!$D327,INDIRECT(O$5)))</f>
        <v>0</v>
      </c>
      <c r="P327" s="593">
        <f ca="1">$E327*(-SUMIF(INDIRECT(P$3),'Struktur Vorjahr'!$D327,INDIRECT(P$4))+SUMIF(INDIRECT(P$3),'Struktur Vorjahr'!$D327,INDIRECT(P$5)))</f>
        <v>0</v>
      </c>
      <c r="Q327" s="593">
        <f ca="1">$E327*(-SUMIF(INDIRECT(Q$3),'Struktur Vorjahr'!$D327,INDIRECT(Q$4))+SUMIF(INDIRECT(Q$3),'Struktur Vorjahr'!$D327,INDIRECT(Q$5)))</f>
        <v>0</v>
      </c>
      <c r="R327" s="593">
        <f ca="1">$E327*(-SUMIF(INDIRECT(R$3),'Struktur Vorjahr'!$D327,INDIRECT(R$4))+SUMIF(INDIRECT(R$3),'Struktur Vorjahr'!$D327,INDIRECT(R$5)))</f>
        <v>0</v>
      </c>
      <c r="S327" s="593">
        <f ca="1">$E327*(-SUMIF(INDIRECT(S$3),'Struktur Vorjahr'!$D327,INDIRECT(S$4))+SUMIF(INDIRECT(S$3),'Struktur Vorjahr'!$D327,INDIRECT(S$5)))</f>
        <v>0</v>
      </c>
      <c r="T327" s="593">
        <f ca="1">$E327*(-SUMIF(INDIRECT(T$3),'Struktur Vorjahr'!$D327,INDIRECT(T$4))+SUMIF(INDIRECT(T$3),'Struktur Vorjahr'!$D327,INDIRECT(T$5)))</f>
        <v>0</v>
      </c>
      <c r="U327" s="593">
        <f ca="1">$E327*(-SUMIF(INDIRECT(U$3),'Struktur Vorjahr'!$D327,INDIRECT(U$4))+SUMIF(INDIRECT(U$3),'Struktur Vorjahr'!$D327,INDIRECT(U$5)))</f>
        <v>0</v>
      </c>
      <c r="V327" s="593">
        <f ca="1">$E327*(-SUMIF(INDIRECT(V$3),'Struktur Vorjahr'!$D327,INDIRECT(V$4))+SUMIF(INDIRECT(V$3),'Struktur Vorjahr'!$D327,INDIRECT(V$5)))</f>
        <v>0</v>
      </c>
      <c r="W327" s="593">
        <f ca="1">$E327*(-SUMIF(INDIRECT(W$3),'Struktur Vorjahr'!$D327,INDIRECT(W$4))+SUMIF(INDIRECT(W$3),'Struktur Vorjahr'!$D327,INDIRECT(W$5)))</f>
        <v>0</v>
      </c>
      <c r="X327" s="593">
        <f ca="1">$E327*(-SUMIF(INDIRECT(X$3),'Struktur Vorjahr'!$D327,INDIRECT(X$4))+SUMIF(INDIRECT(X$3),'Struktur Vorjahr'!$D327,INDIRECT(X$5)))</f>
        <v>0</v>
      </c>
      <c r="Y327" s="593">
        <f ca="1">$E327*(-SUMIF(INDIRECT(Y$3),'Struktur Vorjahr'!$D327,INDIRECT(Y$4))+SUMIF(INDIRECT(Y$3),'Struktur Vorjahr'!$D327,INDIRECT(Y$5)))</f>
        <v>0</v>
      </c>
      <c r="Z327" s="593">
        <f ca="1">$E327*(-SUMIF(INDIRECT(Z$3),'Struktur Vorjahr'!$D327,INDIRECT(Z$4))+SUMIF(INDIRECT(Z$3),'Struktur Vorjahr'!$D327,INDIRECT(Z$5)))</f>
        <v>0</v>
      </c>
      <c r="AA327" s="593">
        <f ca="1">$E327*(-SUMIF(INDIRECT(AA$3),'Struktur Vorjahr'!$D327,INDIRECT(AA$4))+SUMIF(INDIRECT(AA$3),'Struktur Vorjahr'!$D327,INDIRECT(AA$5)))</f>
        <v>0</v>
      </c>
      <c r="AB327" s="593">
        <f ca="1">$E327*(-SUMIF(INDIRECT(AB$3),'Struktur Vorjahr'!$D327,INDIRECT(AB$4))+SUMIF(INDIRECT(AB$3),'Struktur Vorjahr'!$D327,INDIRECT(AB$5)))</f>
        <v>0</v>
      </c>
      <c r="AC327" s="593">
        <f ca="1">$E327*(-SUMIF(INDIRECT(AC$3),'Struktur Vorjahr'!$D327,INDIRECT(AC$4))+SUMIF(INDIRECT(AC$3),'Struktur Vorjahr'!$D327,INDIRECT(AC$5)))</f>
        <v>0</v>
      </c>
      <c r="AD327" s="593">
        <f ca="1">$E327*(-SUMIF(INDIRECT(AD$3),'Struktur Vorjahr'!$D327,INDIRECT(AD$4))+SUMIF(INDIRECT(AD$3),'Struktur Vorjahr'!$D327,INDIRECT(AD$5)))</f>
        <v>0</v>
      </c>
      <c r="AE327" s="593">
        <f t="shared" ca="1" si="148"/>
        <v>0</v>
      </c>
      <c r="AF327" s="593">
        <f t="shared" ca="1" si="149"/>
        <v>0</v>
      </c>
      <c r="AG327" s="593">
        <f t="shared" ca="1" si="149"/>
        <v>0</v>
      </c>
      <c r="AH327" s="593">
        <f t="shared" ca="1" si="149"/>
        <v>0</v>
      </c>
      <c r="AI327" s="593">
        <f t="shared" ca="1" si="149"/>
        <v>0</v>
      </c>
      <c r="AJ327" s="593">
        <f t="shared" ca="1" si="149"/>
        <v>0</v>
      </c>
      <c r="AK327" s="593">
        <f t="shared" ca="1" si="149"/>
        <v>0</v>
      </c>
      <c r="AL327" s="593">
        <f t="shared" ca="1" si="149"/>
        <v>0</v>
      </c>
      <c r="AM327" s="593">
        <f t="shared" ca="1" si="149"/>
        <v>0</v>
      </c>
      <c r="AN327" s="593">
        <f t="shared" ca="1" si="149"/>
        <v>0</v>
      </c>
      <c r="AO327" s="593">
        <f t="shared" ca="1" si="149"/>
        <v>0</v>
      </c>
      <c r="AP327" s="593">
        <f t="shared" ca="1" si="149"/>
        <v>0</v>
      </c>
    </row>
    <row r="328" spans="1:42" s="589" customFormat="1" x14ac:dyDescent="0.2">
      <c r="A328" s="585">
        <v>31</v>
      </c>
      <c r="B328" s="586" t="s">
        <v>1017</v>
      </c>
      <c r="C328" s="587">
        <f ca="1">SUM(G328:R328)</f>
        <v>0</v>
      </c>
      <c r="D328" s="587"/>
      <c r="E328" s="588">
        <f t="shared" si="121"/>
        <v>1</v>
      </c>
      <c r="F328" s="585"/>
      <c r="G328" s="587">
        <f t="shared" ref="G328:AP328" ca="1" si="150">SUM(G329:G332)</f>
        <v>0</v>
      </c>
      <c r="H328" s="587">
        <f t="shared" ca="1" si="150"/>
        <v>0</v>
      </c>
      <c r="I328" s="587">
        <f t="shared" ca="1" si="150"/>
        <v>0</v>
      </c>
      <c r="J328" s="587">
        <f t="shared" ca="1" si="150"/>
        <v>0</v>
      </c>
      <c r="K328" s="587">
        <f t="shared" ca="1" si="150"/>
        <v>0</v>
      </c>
      <c r="L328" s="587">
        <f t="shared" ca="1" si="150"/>
        <v>0</v>
      </c>
      <c r="M328" s="587">
        <f t="shared" ca="1" si="150"/>
        <v>0</v>
      </c>
      <c r="N328" s="587">
        <f t="shared" ca="1" si="150"/>
        <v>0</v>
      </c>
      <c r="O328" s="587">
        <f t="shared" ca="1" si="150"/>
        <v>0</v>
      </c>
      <c r="P328" s="587">
        <f t="shared" ca="1" si="150"/>
        <v>0</v>
      </c>
      <c r="Q328" s="587">
        <f t="shared" ca="1" si="150"/>
        <v>0</v>
      </c>
      <c r="R328" s="587">
        <f t="shared" ca="1" si="150"/>
        <v>0</v>
      </c>
      <c r="S328" s="587">
        <f t="shared" ca="1" si="150"/>
        <v>0</v>
      </c>
      <c r="T328" s="587">
        <f t="shared" ca="1" si="150"/>
        <v>0</v>
      </c>
      <c r="U328" s="587">
        <f t="shared" ca="1" si="150"/>
        <v>0</v>
      </c>
      <c r="V328" s="587">
        <f t="shared" ca="1" si="150"/>
        <v>0</v>
      </c>
      <c r="W328" s="587">
        <f t="shared" ca="1" si="150"/>
        <v>0</v>
      </c>
      <c r="X328" s="587">
        <f t="shared" ca="1" si="150"/>
        <v>0</v>
      </c>
      <c r="Y328" s="587">
        <f t="shared" ca="1" si="150"/>
        <v>0</v>
      </c>
      <c r="Z328" s="587">
        <f t="shared" ca="1" si="150"/>
        <v>0</v>
      </c>
      <c r="AA328" s="587">
        <f t="shared" ca="1" si="150"/>
        <v>0</v>
      </c>
      <c r="AB328" s="587">
        <f t="shared" ca="1" si="150"/>
        <v>0</v>
      </c>
      <c r="AC328" s="587">
        <f t="shared" ca="1" si="150"/>
        <v>0</v>
      </c>
      <c r="AD328" s="587">
        <f t="shared" ca="1" si="150"/>
        <v>0</v>
      </c>
      <c r="AE328" s="587">
        <f t="shared" ca="1" si="150"/>
        <v>0</v>
      </c>
      <c r="AF328" s="587">
        <f t="shared" ca="1" si="150"/>
        <v>0</v>
      </c>
      <c r="AG328" s="587">
        <f t="shared" ca="1" si="150"/>
        <v>0</v>
      </c>
      <c r="AH328" s="587">
        <f t="shared" ca="1" si="150"/>
        <v>0</v>
      </c>
      <c r="AI328" s="587">
        <f t="shared" ca="1" si="150"/>
        <v>0</v>
      </c>
      <c r="AJ328" s="587">
        <f t="shared" ca="1" si="150"/>
        <v>0</v>
      </c>
      <c r="AK328" s="587">
        <f t="shared" ca="1" si="150"/>
        <v>0</v>
      </c>
      <c r="AL328" s="587">
        <f t="shared" ca="1" si="150"/>
        <v>0</v>
      </c>
      <c r="AM328" s="587">
        <f t="shared" ca="1" si="150"/>
        <v>0</v>
      </c>
      <c r="AN328" s="587">
        <f t="shared" ca="1" si="150"/>
        <v>0</v>
      </c>
      <c r="AO328" s="587">
        <f t="shared" ca="1" si="150"/>
        <v>0</v>
      </c>
      <c r="AP328" s="587">
        <f t="shared" ca="1" si="150"/>
        <v>0</v>
      </c>
    </row>
    <row r="329" spans="1:42" s="594" customFormat="1" ht="11.25" outlineLevel="1" x14ac:dyDescent="0.2">
      <c r="A329" s="590"/>
      <c r="B329" s="591" t="str">
        <f>IF(D329&lt;&gt;"",
IF(ISERROR(MATCH(D329,'Ist Vorjahr Monat 01'!A:A,0))=FALSE,INDEX('Ist Vorjahr Monat 01'!B:B,MATCH(D329,'Ist Vorjahr Monat 01'!A:A,0)),
IF(ISERROR(MATCH(D329,'Ist Vorjahr Monat 02'!A:A,0))=FALSE,INDEX('Ist Vorjahr Monat 02'!B:B,MATCH(D329,'Ist Vorjahr Monat 02'!A:A,0)),
IF(ISERROR(MATCH(D329,'Ist Vorjahr Monat 03'!A:A,0))=FALSE,INDEX('Ist Vorjahr Monat 03'!B:B,MATCH(D329,'Ist Vorjahr Monat 03'!A:A,0)),
IF(ISERROR(MATCH(D329,'Ist Vorjahr Monat 04'!A:A,0))=FALSE,INDEX('Ist Vorjahr Monat 04'!B:B,MATCH(D329,'Ist Vorjahr Monat 04'!A:A,0)),
IF(ISERROR(MATCH(D329,'Ist Vorjahr Monat 05'!A:A,0))=FALSE,INDEX('Ist Vorjahr Monat 05'!B:B,MATCH(D329,'Ist Vorjahr Monat 05'!A:A,0)),
IF(ISERROR(MATCH(D329,'Ist Vorjahr Monat 06'!A:A,0))=FALSE,INDEX('Ist Vorjahr Monat 06'!B:B,MATCH(D329,'Ist Vorjahr Monat 06'!A:A,0)),
IF(ISERROR(MATCH(D329,'Ist Vorjahr Monat 07'!A:A,0))=FALSE,INDEX('Ist Vorjahr Monat 07'!B:B,MATCH(D329,'Ist Vorjahr Monat 07'!A:A,0)),
IF(ISERROR(MATCH(D329,'Ist Vorjahr Monat 08'!A:A,0))=FALSE,INDEX('Ist Vorjahr Monat 08'!B:B,MATCH(D329,'Ist Vorjahr Monat 08'!A:A,0)),
IF(ISERROR(MATCH(D329,'Ist Vorjahr Monat 09'!A:A,0))=FALSE,INDEX('Ist Vorjahr Monat 09'!B:B,MATCH(D329,'Ist Vorjahr Monat 09'!A:A,0)),
IF(ISERROR(MATCH(D329,'Ist Vorjahr Monat 10'!A:A,0))=FALSE,INDEX('Ist Vorjahr Monat 10'!B:B,MATCH(D329,'Ist Vorjahr Monat 10'!A:A,0)),
IF(ISERROR(MATCH(D329,'Ist Vorjahr Monat 11'!A:A,0))=FALSE,INDEX('Ist Vorjahr Monat 11'!B:B,MATCH(D329,'Ist Vorjahr Monat 11'!A:A,0)),
IF(ISERROR(MATCH(D329,'Ist Vorjahr Monat 12'!A:A,0))=FALSE,INDEX('Ist Vorjahr Monat 12'!B:B,MATCH(D329,'Ist Vorjahr Monat 12'!A:A,0)),
"{Konto unbekannt}"
)))))))))))),"")</f>
        <v/>
      </c>
      <c r="C329" s="591"/>
      <c r="D329" s="590"/>
      <c r="E329" s="592">
        <f t="shared" si="121"/>
        <v>1</v>
      </c>
      <c r="F329" s="590"/>
      <c r="G329" s="593">
        <f ca="1">$E329*(-SUMIF(INDIRECT(G$3),'Struktur Vorjahr'!$D329,INDIRECT(G$4))+SUMIF(INDIRECT(G$3),'Struktur Vorjahr'!$D329,INDIRECT(G$5)))</f>
        <v>0</v>
      </c>
      <c r="H329" s="593">
        <f ca="1">$E329*(-SUMIF(INDIRECT(H$3),'Struktur Vorjahr'!$D329,INDIRECT(H$4))+SUMIF(INDIRECT(H$3),'Struktur Vorjahr'!$D329,INDIRECT(H$5)))</f>
        <v>0</v>
      </c>
      <c r="I329" s="593">
        <f ca="1">$E329*(-SUMIF(INDIRECT(I$3),'Struktur Vorjahr'!$D329,INDIRECT(I$4))+SUMIF(INDIRECT(I$3),'Struktur Vorjahr'!$D329,INDIRECT(I$5)))</f>
        <v>0</v>
      </c>
      <c r="J329" s="593">
        <f ca="1">$E329*(-SUMIF(INDIRECT(J$3),'Struktur Vorjahr'!$D329,INDIRECT(J$4))+SUMIF(INDIRECT(J$3),'Struktur Vorjahr'!$D329,INDIRECT(J$5)))</f>
        <v>0</v>
      </c>
      <c r="K329" s="593">
        <f ca="1">$E329*(-SUMIF(INDIRECT(K$3),'Struktur Vorjahr'!$D329,INDIRECT(K$4))+SUMIF(INDIRECT(K$3),'Struktur Vorjahr'!$D329,INDIRECT(K$5)))</f>
        <v>0</v>
      </c>
      <c r="L329" s="593">
        <f ca="1">$E329*(-SUMIF(INDIRECT(L$3),'Struktur Vorjahr'!$D329,INDIRECT(L$4))+SUMIF(INDIRECT(L$3),'Struktur Vorjahr'!$D329,INDIRECT(L$5)))</f>
        <v>0</v>
      </c>
      <c r="M329" s="593">
        <f ca="1">$E329*(-SUMIF(INDIRECT(M$3),'Struktur Vorjahr'!$D329,INDIRECT(M$4))+SUMIF(INDIRECT(M$3),'Struktur Vorjahr'!$D329,INDIRECT(M$5)))</f>
        <v>0</v>
      </c>
      <c r="N329" s="593">
        <f ca="1">$E329*(-SUMIF(INDIRECT(N$3),'Struktur Vorjahr'!$D329,INDIRECT(N$4))+SUMIF(INDIRECT(N$3),'Struktur Vorjahr'!$D329,INDIRECT(N$5)))</f>
        <v>0</v>
      </c>
      <c r="O329" s="593">
        <f ca="1">$E329*(-SUMIF(INDIRECT(O$3),'Struktur Vorjahr'!$D329,INDIRECT(O$4))+SUMIF(INDIRECT(O$3),'Struktur Vorjahr'!$D329,INDIRECT(O$5)))</f>
        <v>0</v>
      </c>
      <c r="P329" s="593">
        <f ca="1">$E329*(-SUMIF(INDIRECT(P$3),'Struktur Vorjahr'!$D329,INDIRECT(P$4))+SUMIF(INDIRECT(P$3),'Struktur Vorjahr'!$D329,INDIRECT(P$5)))</f>
        <v>0</v>
      </c>
      <c r="Q329" s="593">
        <f ca="1">$E329*(-SUMIF(INDIRECT(Q$3),'Struktur Vorjahr'!$D329,INDIRECT(Q$4))+SUMIF(INDIRECT(Q$3),'Struktur Vorjahr'!$D329,INDIRECT(Q$5)))</f>
        <v>0</v>
      </c>
      <c r="R329" s="593">
        <f ca="1">$E329*(-SUMIF(INDIRECT(R$3),'Struktur Vorjahr'!$D329,INDIRECT(R$4))+SUMIF(INDIRECT(R$3),'Struktur Vorjahr'!$D329,INDIRECT(R$5)))</f>
        <v>0</v>
      </c>
      <c r="S329" s="593">
        <f ca="1">$E329*(-SUMIF(INDIRECT(S$3),'Struktur Vorjahr'!$D329,INDIRECT(S$4))+SUMIF(INDIRECT(S$3),'Struktur Vorjahr'!$D329,INDIRECT(S$5)))</f>
        <v>0</v>
      </c>
      <c r="T329" s="593">
        <f ca="1">$E329*(-SUMIF(INDIRECT(T$3),'Struktur Vorjahr'!$D329,INDIRECT(T$4))+SUMIF(INDIRECT(T$3),'Struktur Vorjahr'!$D329,INDIRECT(T$5)))</f>
        <v>0</v>
      </c>
      <c r="U329" s="593">
        <f ca="1">$E329*(-SUMIF(INDIRECT(U$3),'Struktur Vorjahr'!$D329,INDIRECT(U$4))+SUMIF(INDIRECT(U$3),'Struktur Vorjahr'!$D329,INDIRECT(U$5)))</f>
        <v>0</v>
      </c>
      <c r="V329" s="593">
        <f ca="1">$E329*(-SUMIF(INDIRECT(V$3),'Struktur Vorjahr'!$D329,INDIRECT(V$4))+SUMIF(INDIRECT(V$3),'Struktur Vorjahr'!$D329,INDIRECT(V$5)))</f>
        <v>0</v>
      </c>
      <c r="W329" s="593">
        <f ca="1">$E329*(-SUMIF(INDIRECT(W$3),'Struktur Vorjahr'!$D329,INDIRECT(W$4))+SUMIF(INDIRECT(W$3),'Struktur Vorjahr'!$D329,INDIRECT(W$5)))</f>
        <v>0</v>
      </c>
      <c r="X329" s="593">
        <f ca="1">$E329*(-SUMIF(INDIRECT(X$3),'Struktur Vorjahr'!$D329,INDIRECT(X$4))+SUMIF(INDIRECT(X$3),'Struktur Vorjahr'!$D329,INDIRECT(X$5)))</f>
        <v>0</v>
      </c>
      <c r="Y329" s="593">
        <f ca="1">$E329*(-SUMIF(INDIRECT(Y$3),'Struktur Vorjahr'!$D329,INDIRECT(Y$4))+SUMIF(INDIRECT(Y$3),'Struktur Vorjahr'!$D329,INDIRECT(Y$5)))</f>
        <v>0</v>
      </c>
      <c r="Z329" s="593">
        <f ca="1">$E329*(-SUMIF(INDIRECT(Z$3),'Struktur Vorjahr'!$D329,INDIRECT(Z$4))+SUMIF(INDIRECT(Z$3),'Struktur Vorjahr'!$D329,INDIRECT(Z$5)))</f>
        <v>0</v>
      </c>
      <c r="AA329" s="593">
        <f ca="1">$E329*(-SUMIF(INDIRECT(AA$3),'Struktur Vorjahr'!$D329,INDIRECT(AA$4))+SUMIF(INDIRECT(AA$3),'Struktur Vorjahr'!$D329,INDIRECT(AA$5)))</f>
        <v>0</v>
      </c>
      <c r="AB329" s="593">
        <f ca="1">$E329*(-SUMIF(INDIRECT(AB$3),'Struktur Vorjahr'!$D329,INDIRECT(AB$4))+SUMIF(INDIRECT(AB$3),'Struktur Vorjahr'!$D329,INDIRECT(AB$5)))</f>
        <v>0</v>
      </c>
      <c r="AC329" s="593">
        <f ca="1">$E329*(-SUMIF(INDIRECT(AC$3),'Struktur Vorjahr'!$D329,INDIRECT(AC$4))+SUMIF(INDIRECT(AC$3),'Struktur Vorjahr'!$D329,INDIRECT(AC$5)))</f>
        <v>0</v>
      </c>
      <c r="AD329" s="593">
        <f ca="1">$E329*(-SUMIF(INDIRECT(AD$3),'Struktur Vorjahr'!$D329,INDIRECT(AD$4))+SUMIF(INDIRECT(AD$3),'Struktur Vorjahr'!$D329,INDIRECT(AD$5)))</f>
        <v>0</v>
      </c>
      <c r="AE329" s="593">
        <f t="shared" ref="AE329:AE332" ca="1" si="151">G329</f>
        <v>0</v>
      </c>
      <c r="AF329" s="593">
        <f t="shared" ref="AF329:AP332" ca="1" si="152">H329+AE329</f>
        <v>0</v>
      </c>
      <c r="AG329" s="593">
        <f t="shared" ca="1" si="152"/>
        <v>0</v>
      </c>
      <c r="AH329" s="593">
        <f t="shared" ca="1" si="152"/>
        <v>0</v>
      </c>
      <c r="AI329" s="593">
        <f t="shared" ca="1" si="152"/>
        <v>0</v>
      </c>
      <c r="AJ329" s="593">
        <f t="shared" ca="1" si="152"/>
        <v>0</v>
      </c>
      <c r="AK329" s="593">
        <f t="shared" ca="1" si="152"/>
        <v>0</v>
      </c>
      <c r="AL329" s="593">
        <f t="shared" ca="1" si="152"/>
        <v>0</v>
      </c>
      <c r="AM329" s="593">
        <f t="shared" ca="1" si="152"/>
        <v>0</v>
      </c>
      <c r="AN329" s="593">
        <f t="shared" ca="1" si="152"/>
        <v>0</v>
      </c>
      <c r="AO329" s="593">
        <f t="shared" ca="1" si="152"/>
        <v>0</v>
      </c>
      <c r="AP329" s="593">
        <f t="shared" ca="1" si="152"/>
        <v>0</v>
      </c>
    </row>
    <row r="330" spans="1:42" s="594" customFormat="1" ht="11.25" outlineLevel="1" x14ac:dyDescent="0.2">
      <c r="A330" s="590"/>
      <c r="B330" s="591" t="str">
        <f>IF(D330&lt;&gt;"",
IF(ISERROR(MATCH(D330,'Ist Vorjahr Monat 01'!A:A,0))=FALSE,INDEX('Ist Vorjahr Monat 01'!B:B,MATCH(D330,'Ist Vorjahr Monat 01'!A:A,0)),
IF(ISERROR(MATCH(D330,'Ist Vorjahr Monat 02'!A:A,0))=FALSE,INDEX('Ist Vorjahr Monat 02'!B:B,MATCH(D330,'Ist Vorjahr Monat 02'!A:A,0)),
IF(ISERROR(MATCH(D330,'Ist Vorjahr Monat 03'!A:A,0))=FALSE,INDEX('Ist Vorjahr Monat 03'!B:B,MATCH(D330,'Ist Vorjahr Monat 03'!A:A,0)),
IF(ISERROR(MATCH(D330,'Ist Vorjahr Monat 04'!A:A,0))=FALSE,INDEX('Ist Vorjahr Monat 04'!B:B,MATCH(D330,'Ist Vorjahr Monat 04'!A:A,0)),
IF(ISERROR(MATCH(D330,'Ist Vorjahr Monat 05'!A:A,0))=FALSE,INDEX('Ist Vorjahr Monat 05'!B:B,MATCH(D330,'Ist Vorjahr Monat 05'!A:A,0)),
IF(ISERROR(MATCH(D330,'Ist Vorjahr Monat 06'!A:A,0))=FALSE,INDEX('Ist Vorjahr Monat 06'!B:B,MATCH(D330,'Ist Vorjahr Monat 06'!A:A,0)),
IF(ISERROR(MATCH(D330,'Ist Vorjahr Monat 07'!A:A,0))=FALSE,INDEX('Ist Vorjahr Monat 07'!B:B,MATCH(D330,'Ist Vorjahr Monat 07'!A:A,0)),
IF(ISERROR(MATCH(D330,'Ist Vorjahr Monat 08'!A:A,0))=FALSE,INDEX('Ist Vorjahr Monat 08'!B:B,MATCH(D330,'Ist Vorjahr Monat 08'!A:A,0)),
IF(ISERROR(MATCH(D330,'Ist Vorjahr Monat 09'!A:A,0))=FALSE,INDEX('Ist Vorjahr Monat 09'!B:B,MATCH(D330,'Ist Vorjahr Monat 09'!A:A,0)),
IF(ISERROR(MATCH(D330,'Ist Vorjahr Monat 10'!A:A,0))=FALSE,INDEX('Ist Vorjahr Monat 10'!B:B,MATCH(D330,'Ist Vorjahr Monat 10'!A:A,0)),
IF(ISERROR(MATCH(D330,'Ist Vorjahr Monat 11'!A:A,0))=FALSE,INDEX('Ist Vorjahr Monat 11'!B:B,MATCH(D330,'Ist Vorjahr Monat 11'!A:A,0)),
IF(ISERROR(MATCH(D330,'Ist Vorjahr Monat 12'!A:A,0))=FALSE,INDEX('Ist Vorjahr Monat 12'!B:B,MATCH(D330,'Ist Vorjahr Monat 12'!A:A,0)),
"{Konto unbekannt}"
)))))))))))),"")</f>
        <v/>
      </c>
      <c r="C330" s="591"/>
      <c r="D330" s="590"/>
      <c r="E330" s="592">
        <f t="shared" si="121"/>
        <v>1</v>
      </c>
      <c r="F330" s="590"/>
      <c r="G330" s="593">
        <f ca="1">$E330*(-SUMIF(INDIRECT(G$3),'Struktur Vorjahr'!$D330,INDIRECT(G$4))+SUMIF(INDIRECT(G$3),'Struktur Vorjahr'!$D330,INDIRECT(G$5)))</f>
        <v>0</v>
      </c>
      <c r="H330" s="593">
        <f ca="1">$E330*(-SUMIF(INDIRECT(H$3),'Struktur Vorjahr'!$D330,INDIRECT(H$4))+SUMIF(INDIRECT(H$3),'Struktur Vorjahr'!$D330,INDIRECT(H$5)))</f>
        <v>0</v>
      </c>
      <c r="I330" s="593">
        <f ca="1">$E330*(-SUMIF(INDIRECT(I$3),'Struktur Vorjahr'!$D330,INDIRECT(I$4))+SUMIF(INDIRECT(I$3),'Struktur Vorjahr'!$D330,INDIRECT(I$5)))</f>
        <v>0</v>
      </c>
      <c r="J330" s="593">
        <f ca="1">$E330*(-SUMIF(INDIRECT(J$3),'Struktur Vorjahr'!$D330,INDIRECT(J$4))+SUMIF(INDIRECT(J$3),'Struktur Vorjahr'!$D330,INDIRECT(J$5)))</f>
        <v>0</v>
      </c>
      <c r="K330" s="593">
        <f ca="1">$E330*(-SUMIF(INDIRECT(K$3),'Struktur Vorjahr'!$D330,INDIRECT(K$4))+SUMIF(INDIRECT(K$3),'Struktur Vorjahr'!$D330,INDIRECT(K$5)))</f>
        <v>0</v>
      </c>
      <c r="L330" s="593">
        <f ca="1">$E330*(-SUMIF(INDIRECT(L$3),'Struktur Vorjahr'!$D330,INDIRECT(L$4))+SUMIF(INDIRECT(L$3),'Struktur Vorjahr'!$D330,INDIRECT(L$5)))</f>
        <v>0</v>
      </c>
      <c r="M330" s="593">
        <f ca="1">$E330*(-SUMIF(INDIRECT(M$3),'Struktur Vorjahr'!$D330,INDIRECT(M$4))+SUMIF(INDIRECT(M$3),'Struktur Vorjahr'!$D330,INDIRECT(M$5)))</f>
        <v>0</v>
      </c>
      <c r="N330" s="593">
        <f ca="1">$E330*(-SUMIF(INDIRECT(N$3),'Struktur Vorjahr'!$D330,INDIRECT(N$4))+SUMIF(INDIRECT(N$3),'Struktur Vorjahr'!$D330,INDIRECT(N$5)))</f>
        <v>0</v>
      </c>
      <c r="O330" s="593">
        <f ca="1">$E330*(-SUMIF(INDIRECT(O$3),'Struktur Vorjahr'!$D330,INDIRECT(O$4))+SUMIF(INDIRECT(O$3),'Struktur Vorjahr'!$D330,INDIRECT(O$5)))</f>
        <v>0</v>
      </c>
      <c r="P330" s="593">
        <f ca="1">$E330*(-SUMIF(INDIRECT(P$3),'Struktur Vorjahr'!$D330,INDIRECT(P$4))+SUMIF(INDIRECT(P$3),'Struktur Vorjahr'!$D330,INDIRECT(P$5)))</f>
        <v>0</v>
      </c>
      <c r="Q330" s="593">
        <f ca="1">$E330*(-SUMIF(INDIRECT(Q$3),'Struktur Vorjahr'!$D330,INDIRECT(Q$4))+SUMIF(INDIRECT(Q$3),'Struktur Vorjahr'!$D330,INDIRECT(Q$5)))</f>
        <v>0</v>
      </c>
      <c r="R330" s="593">
        <f ca="1">$E330*(-SUMIF(INDIRECT(R$3),'Struktur Vorjahr'!$D330,INDIRECT(R$4))+SUMIF(INDIRECT(R$3),'Struktur Vorjahr'!$D330,INDIRECT(R$5)))</f>
        <v>0</v>
      </c>
      <c r="S330" s="593">
        <f ca="1">$E330*(-SUMIF(INDIRECT(S$3),'Struktur Vorjahr'!$D330,INDIRECT(S$4))+SUMIF(INDIRECT(S$3),'Struktur Vorjahr'!$D330,INDIRECT(S$5)))</f>
        <v>0</v>
      </c>
      <c r="T330" s="593">
        <f ca="1">$E330*(-SUMIF(INDIRECT(T$3),'Struktur Vorjahr'!$D330,INDIRECT(T$4))+SUMIF(INDIRECT(T$3),'Struktur Vorjahr'!$D330,INDIRECT(T$5)))</f>
        <v>0</v>
      </c>
      <c r="U330" s="593">
        <f ca="1">$E330*(-SUMIF(INDIRECT(U$3),'Struktur Vorjahr'!$D330,INDIRECT(U$4))+SUMIF(INDIRECT(U$3),'Struktur Vorjahr'!$D330,INDIRECT(U$5)))</f>
        <v>0</v>
      </c>
      <c r="V330" s="593">
        <f ca="1">$E330*(-SUMIF(INDIRECT(V$3),'Struktur Vorjahr'!$D330,INDIRECT(V$4))+SUMIF(INDIRECT(V$3),'Struktur Vorjahr'!$D330,INDIRECT(V$5)))</f>
        <v>0</v>
      </c>
      <c r="W330" s="593">
        <f ca="1">$E330*(-SUMIF(INDIRECT(W$3),'Struktur Vorjahr'!$D330,INDIRECT(W$4))+SUMIF(INDIRECT(W$3),'Struktur Vorjahr'!$D330,INDIRECT(W$5)))</f>
        <v>0</v>
      </c>
      <c r="X330" s="593">
        <f ca="1">$E330*(-SUMIF(INDIRECT(X$3),'Struktur Vorjahr'!$D330,INDIRECT(X$4))+SUMIF(INDIRECT(X$3),'Struktur Vorjahr'!$D330,INDIRECT(X$5)))</f>
        <v>0</v>
      </c>
      <c r="Y330" s="593">
        <f ca="1">$E330*(-SUMIF(INDIRECT(Y$3),'Struktur Vorjahr'!$D330,INDIRECT(Y$4))+SUMIF(INDIRECT(Y$3),'Struktur Vorjahr'!$D330,INDIRECT(Y$5)))</f>
        <v>0</v>
      </c>
      <c r="Z330" s="593">
        <f ca="1">$E330*(-SUMIF(INDIRECT(Z$3),'Struktur Vorjahr'!$D330,INDIRECT(Z$4))+SUMIF(INDIRECT(Z$3),'Struktur Vorjahr'!$D330,INDIRECT(Z$5)))</f>
        <v>0</v>
      </c>
      <c r="AA330" s="593">
        <f ca="1">$E330*(-SUMIF(INDIRECT(AA$3),'Struktur Vorjahr'!$D330,INDIRECT(AA$4))+SUMIF(INDIRECT(AA$3),'Struktur Vorjahr'!$D330,INDIRECT(AA$5)))</f>
        <v>0</v>
      </c>
      <c r="AB330" s="593">
        <f ca="1">$E330*(-SUMIF(INDIRECT(AB$3),'Struktur Vorjahr'!$D330,INDIRECT(AB$4))+SUMIF(INDIRECT(AB$3),'Struktur Vorjahr'!$D330,INDIRECT(AB$5)))</f>
        <v>0</v>
      </c>
      <c r="AC330" s="593">
        <f ca="1">$E330*(-SUMIF(INDIRECT(AC$3),'Struktur Vorjahr'!$D330,INDIRECT(AC$4))+SUMIF(INDIRECT(AC$3),'Struktur Vorjahr'!$D330,INDIRECT(AC$5)))</f>
        <v>0</v>
      </c>
      <c r="AD330" s="593">
        <f ca="1">$E330*(-SUMIF(INDIRECT(AD$3),'Struktur Vorjahr'!$D330,INDIRECT(AD$4))+SUMIF(INDIRECT(AD$3),'Struktur Vorjahr'!$D330,INDIRECT(AD$5)))</f>
        <v>0</v>
      </c>
      <c r="AE330" s="593">
        <f t="shared" ca="1" si="151"/>
        <v>0</v>
      </c>
      <c r="AF330" s="593">
        <f t="shared" ca="1" si="152"/>
        <v>0</v>
      </c>
      <c r="AG330" s="593">
        <f t="shared" ca="1" si="152"/>
        <v>0</v>
      </c>
      <c r="AH330" s="593">
        <f t="shared" ca="1" si="152"/>
        <v>0</v>
      </c>
      <c r="AI330" s="593">
        <f t="shared" ca="1" si="152"/>
        <v>0</v>
      </c>
      <c r="AJ330" s="593">
        <f t="shared" ca="1" si="152"/>
        <v>0</v>
      </c>
      <c r="AK330" s="593">
        <f t="shared" ca="1" si="152"/>
        <v>0</v>
      </c>
      <c r="AL330" s="593">
        <f t="shared" ca="1" si="152"/>
        <v>0</v>
      </c>
      <c r="AM330" s="593">
        <f t="shared" ca="1" si="152"/>
        <v>0</v>
      </c>
      <c r="AN330" s="593">
        <f t="shared" ca="1" si="152"/>
        <v>0</v>
      </c>
      <c r="AO330" s="593">
        <f t="shared" ca="1" si="152"/>
        <v>0</v>
      </c>
      <c r="AP330" s="593">
        <f t="shared" ca="1" si="152"/>
        <v>0</v>
      </c>
    </row>
    <row r="331" spans="1:42" s="594" customFormat="1" ht="11.25" outlineLevel="1" x14ac:dyDescent="0.2">
      <c r="A331" s="590"/>
      <c r="B331" s="591" t="str">
        <f>IF(D331&lt;&gt;"",
IF(ISERROR(MATCH(D331,'Ist Vorjahr Monat 01'!A:A,0))=FALSE,INDEX('Ist Vorjahr Monat 01'!B:B,MATCH(D331,'Ist Vorjahr Monat 01'!A:A,0)),
IF(ISERROR(MATCH(D331,'Ist Vorjahr Monat 02'!A:A,0))=FALSE,INDEX('Ist Vorjahr Monat 02'!B:B,MATCH(D331,'Ist Vorjahr Monat 02'!A:A,0)),
IF(ISERROR(MATCH(D331,'Ist Vorjahr Monat 03'!A:A,0))=FALSE,INDEX('Ist Vorjahr Monat 03'!B:B,MATCH(D331,'Ist Vorjahr Monat 03'!A:A,0)),
IF(ISERROR(MATCH(D331,'Ist Vorjahr Monat 04'!A:A,0))=FALSE,INDEX('Ist Vorjahr Monat 04'!B:B,MATCH(D331,'Ist Vorjahr Monat 04'!A:A,0)),
IF(ISERROR(MATCH(D331,'Ist Vorjahr Monat 05'!A:A,0))=FALSE,INDEX('Ist Vorjahr Monat 05'!B:B,MATCH(D331,'Ist Vorjahr Monat 05'!A:A,0)),
IF(ISERROR(MATCH(D331,'Ist Vorjahr Monat 06'!A:A,0))=FALSE,INDEX('Ist Vorjahr Monat 06'!B:B,MATCH(D331,'Ist Vorjahr Monat 06'!A:A,0)),
IF(ISERROR(MATCH(D331,'Ist Vorjahr Monat 07'!A:A,0))=FALSE,INDEX('Ist Vorjahr Monat 07'!B:B,MATCH(D331,'Ist Vorjahr Monat 07'!A:A,0)),
IF(ISERROR(MATCH(D331,'Ist Vorjahr Monat 08'!A:A,0))=FALSE,INDEX('Ist Vorjahr Monat 08'!B:B,MATCH(D331,'Ist Vorjahr Monat 08'!A:A,0)),
IF(ISERROR(MATCH(D331,'Ist Vorjahr Monat 09'!A:A,0))=FALSE,INDEX('Ist Vorjahr Monat 09'!B:B,MATCH(D331,'Ist Vorjahr Monat 09'!A:A,0)),
IF(ISERROR(MATCH(D331,'Ist Vorjahr Monat 10'!A:A,0))=FALSE,INDEX('Ist Vorjahr Monat 10'!B:B,MATCH(D331,'Ist Vorjahr Monat 10'!A:A,0)),
IF(ISERROR(MATCH(D331,'Ist Vorjahr Monat 11'!A:A,0))=FALSE,INDEX('Ist Vorjahr Monat 11'!B:B,MATCH(D331,'Ist Vorjahr Monat 11'!A:A,0)),
IF(ISERROR(MATCH(D331,'Ist Vorjahr Monat 12'!A:A,0))=FALSE,INDEX('Ist Vorjahr Monat 12'!B:B,MATCH(D331,'Ist Vorjahr Monat 12'!A:A,0)),
"{Konto unbekannt}"
)))))))))))),"")</f>
        <v/>
      </c>
      <c r="C331" s="591"/>
      <c r="D331" s="590"/>
      <c r="E331" s="592">
        <f t="shared" si="121"/>
        <v>1</v>
      </c>
      <c r="F331" s="590"/>
      <c r="G331" s="593">
        <f ca="1">$E331*(-SUMIF(INDIRECT(G$3),'Struktur Vorjahr'!$D331,INDIRECT(G$4))+SUMIF(INDIRECT(G$3),'Struktur Vorjahr'!$D331,INDIRECT(G$5)))</f>
        <v>0</v>
      </c>
      <c r="H331" s="593">
        <f ca="1">$E331*(-SUMIF(INDIRECT(H$3),'Struktur Vorjahr'!$D331,INDIRECT(H$4))+SUMIF(INDIRECT(H$3),'Struktur Vorjahr'!$D331,INDIRECT(H$5)))</f>
        <v>0</v>
      </c>
      <c r="I331" s="593">
        <f ca="1">$E331*(-SUMIF(INDIRECT(I$3),'Struktur Vorjahr'!$D331,INDIRECT(I$4))+SUMIF(INDIRECT(I$3),'Struktur Vorjahr'!$D331,INDIRECT(I$5)))</f>
        <v>0</v>
      </c>
      <c r="J331" s="593">
        <f ca="1">$E331*(-SUMIF(INDIRECT(J$3),'Struktur Vorjahr'!$D331,INDIRECT(J$4))+SUMIF(INDIRECT(J$3),'Struktur Vorjahr'!$D331,INDIRECT(J$5)))</f>
        <v>0</v>
      </c>
      <c r="K331" s="593">
        <f ca="1">$E331*(-SUMIF(INDIRECT(K$3),'Struktur Vorjahr'!$D331,INDIRECT(K$4))+SUMIF(INDIRECT(K$3),'Struktur Vorjahr'!$D331,INDIRECT(K$5)))</f>
        <v>0</v>
      </c>
      <c r="L331" s="593">
        <f ca="1">$E331*(-SUMIF(INDIRECT(L$3),'Struktur Vorjahr'!$D331,INDIRECT(L$4))+SUMIF(INDIRECT(L$3),'Struktur Vorjahr'!$D331,INDIRECT(L$5)))</f>
        <v>0</v>
      </c>
      <c r="M331" s="593">
        <f ca="1">$E331*(-SUMIF(INDIRECT(M$3),'Struktur Vorjahr'!$D331,INDIRECT(M$4))+SUMIF(INDIRECT(M$3),'Struktur Vorjahr'!$D331,INDIRECT(M$5)))</f>
        <v>0</v>
      </c>
      <c r="N331" s="593">
        <f ca="1">$E331*(-SUMIF(INDIRECT(N$3),'Struktur Vorjahr'!$D331,INDIRECT(N$4))+SUMIF(INDIRECT(N$3),'Struktur Vorjahr'!$D331,INDIRECT(N$5)))</f>
        <v>0</v>
      </c>
      <c r="O331" s="593">
        <f ca="1">$E331*(-SUMIF(INDIRECT(O$3),'Struktur Vorjahr'!$D331,INDIRECT(O$4))+SUMIF(INDIRECT(O$3),'Struktur Vorjahr'!$D331,INDIRECT(O$5)))</f>
        <v>0</v>
      </c>
      <c r="P331" s="593">
        <f ca="1">$E331*(-SUMIF(INDIRECT(P$3),'Struktur Vorjahr'!$D331,INDIRECT(P$4))+SUMIF(INDIRECT(P$3),'Struktur Vorjahr'!$D331,INDIRECT(P$5)))</f>
        <v>0</v>
      </c>
      <c r="Q331" s="593">
        <f ca="1">$E331*(-SUMIF(INDIRECT(Q$3),'Struktur Vorjahr'!$D331,INDIRECT(Q$4))+SUMIF(INDIRECT(Q$3),'Struktur Vorjahr'!$D331,INDIRECT(Q$5)))</f>
        <v>0</v>
      </c>
      <c r="R331" s="593">
        <f ca="1">$E331*(-SUMIF(INDIRECT(R$3),'Struktur Vorjahr'!$D331,INDIRECT(R$4))+SUMIF(INDIRECT(R$3),'Struktur Vorjahr'!$D331,INDIRECT(R$5)))</f>
        <v>0</v>
      </c>
      <c r="S331" s="593">
        <f ca="1">$E331*(-SUMIF(INDIRECT(S$3),'Struktur Vorjahr'!$D331,INDIRECT(S$4))+SUMIF(INDIRECT(S$3),'Struktur Vorjahr'!$D331,INDIRECT(S$5)))</f>
        <v>0</v>
      </c>
      <c r="T331" s="593">
        <f ca="1">$E331*(-SUMIF(INDIRECT(T$3),'Struktur Vorjahr'!$D331,INDIRECT(T$4))+SUMIF(INDIRECT(T$3),'Struktur Vorjahr'!$D331,INDIRECT(T$5)))</f>
        <v>0</v>
      </c>
      <c r="U331" s="593">
        <f ca="1">$E331*(-SUMIF(INDIRECT(U$3),'Struktur Vorjahr'!$D331,INDIRECT(U$4))+SUMIF(INDIRECT(U$3),'Struktur Vorjahr'!$D331,INDIRECT(U$5)))</f>
        <v>0</v>
      </c>
      <c r="V331" s="593">
        <f ca="1">$E331*(-SUMIF(INDIRECT(V$3),'Struktur Vorjahr'!$D331,INDIRECT(V$4))+SUMIF(INDIRECT(V$3),'Struktur Vorjahr'!$D331,INDIRECT(V$5)))</f>
        <v>0</v>
      </c>
      <c r="W331" s="593">
        <f ca="1">$E331*(-SUMIF(INDIRECT(W$3),'Struktur Vorjahr'!$D331,INDIRECT(W$4))+SUMIF(INDIRECT(W$3),'Struktur Vorjahr'!$D331,INDIRECT(W$5)))</f>
        <v>0</v>
      </c>
      <c r="X331" s="593">
        <f ca="1">$E331*(-SUMIF(INDIRECT(X$3),'Struktur Vorjahr'!$D331,INDIRECT(X$4))+SUMIF(INDIRECT(X$3),'Struktur Vorjahr'!$D331,INDIRECT(X$5)))</f>
        <v>0</v>
      </c>
      <c r="Y331" s="593">
        <f ca="1">$E331*(-SUMIF(INDIRECT(Y$3),'Struktur Vorjahr'!$D331,INDIRECT(Y$4))+SUMIF(INDIRECT(Y$3),'Struktur Vorjahr'!$D331,INDIRECT(Y$5)))</f>
        <v>0</v>
      </c>
      <c r="Z331" s="593">
        <f ca="1">$E331*(-SUMIF(INDIRECT(Z$3),'Struktur Vorjahr'!$D331,INDIRECT(Z$4))+SUMIF(INDIRECT(Z$3),'Struktur Vorjahr'!$D331,INDIRECT(Z$5)))</f>
        <v>0</v>
      </c>
      <c r="AA331" s="593">
        <f ca="1">$E331*(-SUMIF(INDIRECT(AA$3),'Struktur Vorjahr'!$D331,INDIRECT(AA$4))+SUMIF(INDIRECT(AA$3),'Struktur Vorjahr'!$D331,INDIRECT(AA$5)))</f>
        <v>0</v>
      </c>
      <c r="AB331" s="593">
        <f ca="1">$E331*(-SUMIF(INDIRECT(AB$3),'Struktur Vorjahr'!$D331,INDIRECT(AB$4))+SUMIF(INDIRECT(AB$3),'Struktur Vorjahr'!$D331,INDIRECT(AB$5)))</f>
        <v>0</v>
      </c>
      <c r="AC331" s="593">
        <f ca="1">$E331*(-SUMIF(INDIRECT(AC$3),'Struktur Vorjahr'!$D331,INDIRECT(AC$4))+SUMIF(INDIRECT(AC$3),'Struktur Vorjahr'!$D331,INDIRECT(AC$5)))</f>
        <v>0</v>
      </c>
      <c r="AD331" s="593">
        <f ca="1">$E331*(-SUMIF(INDIRECT(AD$3),'Struktur Vorjahr'!$D331,INDIRECT(AD$4))+SUMIF(INDIRECT(AD$3),'Struktur Vorjahr'!$D331,INDIRECT(AD$5)))</f>
        <v>0</v>
      </c>
      <c r="AE331" s="593">
        <f t="shared" ca="1" si="151"/>
        <v>0</v>
      </c>
      <c r="AF331" s="593">
        <f t="shared" ca="1" si="152"/>
        <v>0</v>
      </c>
      <c r="AG331" s="593">
        <f t="shared" ca="1" si="152"/>
        <v>0</v>
      </c>
      <c r="AH331" s="593">
        <f t="shared" ca="1" si="152"/>
        <v>0</v>
      </c>
      <c r="AI331" s="593">
        <f t="shared" ca="1" si="152"/>
        <v>0</v>
      </c>
      <c r="AJ331" s="593">
        <f t="shared" ca="1" si="152"/>
        <v>0</v>
      </c>
      <c r="AK331" s="593">
        <f t="shared" ca="1" si="152"/>
        <v>0</v>
      </c>
      <c r="AL331" s="593">
        <f t="shared" ca="1" si="152"/>
        <v>0</v>
      </c>
      <c r="AM331" s="593">
        <f t="shared" ca="1" si="152"/>
        <v>0</v>
      </c>
      <c r="AN331" s="593">
        <f t="shared" ca="1" si="152"/>
        <v>0</v>
      </c>
      <c r="AO331" s="593">
        <f t="shared" ca="1" si="152"/>
        <v>0</v>
      </c>
      <c r="AP331" s="593">
        <f t="shared" ca="1" si="152"/>
        <v>0</v>
      </c>
    </row>
    <row r="332" spans="1:42" s="594" customFormat="1" ht="11.25" outlineLevel="1" x14ac:dyDescent="0.2">
      <c r="A332" s="590"/>
      <c r="B332" s="591" t="str">
        <f>IF(D332&lt;&gt;"",
IF(ISERROR(MATCH(D332,'Ist Vorjahr Monat 01'!A:A,0))=FALSE,INDEX('Ist Vorjahr Monat 01'!B:B,MATCH(D332,'Ist Vorjahr Monat 01'!A:A,0)),
IF(ISERROR(MATCH(D332,'Ist Vorjahr Monat 02'!A:A,0))=FALSE,INDEX('Ist Vorjahr Monat 02'!B:B,MATCH(D332,'Ist Vorjahr Monat 02'!A:A,0)),
IF(ISERROR(MATCH(D332,'Ist Vorjahr Monat 03'!A:A,0))=FALSE,INDEX('Ist Vorjahr Monat 03'!B:B,MATCH(D332,'Ist Vorjahr Monat 03'!A:A,0)),
IF(ISERROR(MATCH(D332,'Ist Vorjahr Monat 04'!A:A,0))=FALSE,INDEX('Ist Vorjahr Monat 04'!B:B,MATCH(D332,'Ist Vorjahr Monat 04'!A:A,0)),
IF(ISERROR(MATCH(D332,'Ist Vorjahr Monat 05'!A:A,0))=FALSE,INDEX('Ist Vorjahr Monat 05'!B:B,MATCH(D332,'Ist Vorjahr Monat 05'!A:A,0)),
IF(ISERROR(MATCH(D332,'Ist Vorjahr Monat 06'!A:A,0))=FALSE,INDEX('Ist Vorjahr Monat 06'!B:B,MATCH(D332,'Ist Vorjahr Monat 06'!A:A,0)),
IF(ISERROR(MATCH(D332,'Ist Vorjahr Monat 07'!A:A,0))=FALSE,INDEX('Ist Vorjahr Monat 07'!B:B,MATCH(D332,'Ist Vorjahr Monat 07'!A:A,0)),
IF(ISERROR(MATCH(D332,'Ist Vorjahr Monat 08'!A:A,0))=FALSE,INDEX('Ist Vorjahr Monat 08'!B:B,MATCH(D332,'Ist Vorjahr Monat 08'!A:A,0)),
IF(ISERROR(MATCH(D332,'Ist Vorjahr Monat 09'!A:A,0))=FALSE,INDEX('Ist Vorjahr Monat 09'!B:B,MATCH(D332,'Ist Vorjahr Monat 09'!A:A,0)),
IF(ISERROR(MATCH(D332,'Ist Vorjahr Monat 10'!A:A,0))=FALSE,INDEX('Ist Vorjahr Monat 10'!B:B,MATCH(D332,'Ist Vorjahr Monat 10'!A:A,0)),
IF(ISERROR(MATCH(D332,'Ist Vorjahr Monat 11'!A:A,0))=FALSE,INDEX('Ist Vorjahr Monat 11'!B:B,MATCH(D332,'Ist Vorjahr Monat 11'!A:A,0)),
IF(ISERROR(MATCH(D332,'Ist Vorjahr Monat 12'!A:A,0))=FALSE,INDEX('Ist Vorjahr Monat 12'!B:B,MATCH(D332,'Ist Vorjahr Monat 12'!A:A,0)),
"{Konto unbekannt}"
)))))))))))),"")</f>
        <v/>
      </c>
      <c r="C332" s="591"/>
      <c r="D332" s="590"/>
      <c r="E332" s="592">
        <f t="shared" si="121"/>
        <v>1</v>
      </c>
      <c r="F332" s="590"/>
      <c r="G332" s="593">
        <f ca="1">$E332*(-SUMIF(INDIRECT(G$3),'Struktur Vorjahr'!$D332,INDIRECT(G$4))+SUMIF(INDIRECT(G$3),'Struktur Vorjahr'!$D332,INDIRECT(G$5)))</f>
        <v>0</v>
      </c>
      <c r="H332" s="593">
        <f ca="1">$E332*(-SUMIF(INDIRECT(H$3),'Struktur Vorjahr'!$D332,INDIRECT(H$4))+SUMIF(INDIRECT(H$3),'Struktur Vorjahr'!$D332,INDIRECT(H$5)))</f>
        <v>0</v>
      </c>
      <c r="I332" s="593">
        <f ca="1">$E332*(-SUMIF(INDIRECT(I$3),'Struktur Vorjahr'!$D332,INDIRECT(I$4))+SUMIF(INDIRECT(I$3),'Struktur Vorjahr'!$D332,INDIRECT(I$5)))</f>
        <v>0</v>
      </c>
      <c r="J332" s="593">
        <f ca="1">$E332*(-SUMIF(INDIRECT(J$3),'Struktur Vorjahr'!$D332,INDIRECT(J$4))+SUMIF(INDIRECT(J$3),'Struktur Vorjahr'!$D332,INDIRECT(J$5)))</f>
        <v>0</v>
      </c>
      <c r="K332" s="593">
        <f ca="1">$E332*(-SUMIF(INDIRECT(K$3),'Struktur Vorjahr'!$D332,INDIRECT(K$4))+SUMIF(INDIRECT(K$3),'Struktur Vorjahr'!$D332,INDIRECT(K$5)))</f>
        <v>0</v>
      </c>
      <c r="L332" s="593">
        <f ca="1">$E332*(-SUMIF(INDIRECT(L$3),'Struktur Vorjahr'!$D332,INDIRECT(L$4))+SUMIF(INDIRECT(L$3),'Struktur Vorjahr'!$D332,INDIRECT(L$5)))</f>
        <v>0</v>
      </c>
      <c r="M332" s="593">
        <f ca="1">$E332*(-SUMIF(INDIRECT(M$3),'Struktur Vorjahr'!$D332,INDIRECT(M$4))+SUMIF(INDIRECT(M$3),'Struktur Vorjahr'!$D332,INDIRECT(M$5)))</f>
        <v>0</v>
      </c>
      <c r="N332" s="593">
        <f ca="1">$E332*(-SUMIF(INDIRECT(N$3),'Struktur Vorjahr'!$D332,INDIRECT(N$4))+SUMIF(INDIRECT(N$3),'Struktur Vorjahr'!$D332,INDIRECT(N$5)))</f>
        <v>0</v>
      </c>
      <c r="O332" s="593">
        <f ca="1">$E332*(-SUMIF(INDIRECT(O$3),'Struktur Vorjahr'!$D332,INDIRECT(O$4))+SUMIF(INDIRECT(O$3),'Struktur Vorjahr'!$D332,INDIRECT(O$5)))</f>
        <v>0</v>
      </c>
      <c r="P332" s="593">
        <f ca="1">$E332*(-SUMIF(INDIRECT(P$3),'Struktur Vorjahr'!$D332,INDIRECT(P$4))+SUMIF(INDIRECT(P$3),'Struktur Vorjahr'!$D332,INDIRECT(P$5)))</f>
        <v>0</v>
      </c>
      <c r="Q332" s="593">
        <f ca="1">$E332*(-SUMIF(INDIRECT(Q$3),'Struktur Vorjahr'!$D332,INDIRECT(Q$4))+SUMIF(INDIRECT(Q$3),'Struktur Vorjahr'!$D332,INDIRECT(Q$5)))</f>
        <v>0</v>
      </c>
      <c r="R332" s="593">
        <f ca="1">$E332*(-SUMIF(INDIRECT(R$3),'Struktur Vorjahr'!$D332,INDIRECT(R$4))+SUMIF(INDIRECT(R$3),'Struktur Vorjahr'!$D332,INDIRECT(R$5)))</f>
        <v>0</v>
      </c>
      <c r="S332" s="593">
        <f ca="1">$E332*(-SUMIF(INDIRECT(S$3),'Struktur Vorjahr'!$D332,INDIRECT(S$4))+SUMIF(INDIRECT(S$3),'Struktur Vorjahr'!$D332,INDIRECT(S$5)))</f>
        <v>0</v>
      </c>
      <c r="T332" s="593">
        <f ca="1">$E332*(-SUMIF(INDIRECT(T$3),'Struktur Vorjahr'!$D332,INDIRECT(T$4))+SUMIF(INDIRECT(T$3),'Struktur Vorjahr'!$D332,INDIRECT(T$5)))</f>
        <v>0</v>
      </c>
      <c r="U332" s="593">
        <f ca="1">$E332*(-SUMIF(INDIRECT(U$3),'Struktur Vorjahr'!$D332,INDIRECT(U$4))+SUMIF(INDIRECT(U$3),'Struktur Vorjahr'!$D332,INDIRECT(U$5)))</f>
        <v>0</v>
      </c>
      <c r="V332" s="593">
        <f ca="1">$E332*(-SUMIF(INDIRECT(V$3),'Struktur Vorjahr'!$D332,INDIRECT(V$4))+SUMIF(INDIRECT(V$3),'Struktur Vorjahr'!$D332,INDIRECT(V$5)))</f>
        <v>0</v>
      </c>
      <c r="W332" s="593">
        <f ca="1">$E332*(-SUMIF(INDIRECT(W$3),'Struktur Vorjahr'!$D332,INDIRECT(W$4))+SUMIF(INDIRECT(W$3),'Struktur Vorjahr'!$D332,INDIRECT(W$5)))</f>
        <v>0</v>
      </c>
      <c r="X332" s="593">
        <f ca="1">$E332*(-SUMIF(INDIRECT(X$3),'Struktur Vorjahr'!$D332,INDIRECT(X$4))+SUMIF(INDIRECT(X$3),'Struktur Vorjahr'!$D332,INDIRECT(X$5)))</f>
        <v>0</v>
      </c>
      <c r="Y332" s="593">
        <f ca="1">$E332*(-SUMIF(INDIRECT(Y$3),'Struktur Vorjahr'!$D332,INDIRECT(Y$4))+SUMIF(INDIRECT(Y$3),'Struktur Vorjahr'!$D332,INDIRECT(Y$5)))</f>
        <v>0</v>
      </c>
      <c r="Z332" s="593">
        <f ca="1">$E332*(-SUMIF(INDIRECT(Z$3),'Struktur Vorjahr'!$D332,INDIRECT(Z$4))+SUMIF(INDIRECT(Z$3),'Struktur Vorjahr'!$D332,INDIRECT(Z$5)))</f>
        <v>0</v>
      </c>
      <c r="AA332" s="593">
        <f ca="1">$E332*(-SUMIF(INDIRECT(AA$3),'Struktur Vorjahr'!$D332,INDIRECT(AA$4))+SUMIF(INDIRECT(AA$3),'Struktur Vorjahr'!$D332,INDIRECT(AA$5)))</f>
        <v>0</v>
      </c>
      <c r="AB332" s="593">
        <f ca="1">$E332*(-SUMIF(INDIRECT(AB$3),'Struktur Vorjahr'!$D332,INDIRECT(AB$4))+SUMIF(INDIRECT(AB$3),'Struktur Vorjahr'!$D332,INDIRECT(AB$5)))</f>
        <v>0</v>
      </c>
      <c r="AC332" s="593">
        <f ca="1">$E332*(-SUMIF(INDIRECT(AC$3),'Struktur Vorjahr'!$D332,INDIRECT(AC$4))+SUMIF(INDIRECT(AC$3),'Struktur Vorjahr'!$D332,INDIRECT(AC$5)))</f>
        <v>0</v>
      </c>
      <c r="AD332" s="593">
        <f ca="1">$E332*(-SUMIF(INDIRECT(AD$3),'Struktur Vorjahr'!$D332,INDIRECT(AD$4))+SUMIF(INDIRECT(AD$3),'Struktur Vorjahr'!$D332,INDIRECT(AD$5)))</f>
        <v>0</v>
      </c>
      <c r="AE332" s="593">
        <f t="shared" ca="1" si="151"/>
        <v>0</v>
      </c>
      <c r="AF332" s="593">
        <f t="shared" ca="1" si="152"/>
        <v>0</v>
      </c>
      <c r="AG332" s="593">
        <f t="shared" ca="1" si="152"/>
        <v>0</v>
      </c>
      <c r="AH332" s="593">
        <f t="shared" ca="1" si="152"/>
        <v>0</v>
      </c>
      <c r="AI332" s="593">
        <f t="shared" ca="1" si="152"/>
        <v>0</v>
      </c>
      <c r="AJ332" s="593">
        <f t="shared" ca="1" si="152"/>
        <v>0</v>
      </c>
      <c r="AK332" s="593">
        <f t="shared" ca="1" si="152"/>
        <v>0</v>
      </c>
      <c r="AL332" s="593">
        <f t="shared" ca="1" si="152"/>
        <v>0</v>
      </c>
      <c r="AM332" s="593">
        <f t="shared" ca="1" si="152"/>
        <v>0</v>
      </c>
      <c r="AN332" s="593">
        <f t="shared" ca="1" si="152"/>
        <v>0</v>
      </c>
      <c r="AO332" s="593">
        <f t="shared" ca="1" si="152"/>
        <v>0</v>
      </c>
      <c r="AP332" s="593">
        <f t="shared" ca="1" si="152"/>
        <v>0</v>
      </c>
    </row>
    <row r="333" spans="1:42" s="589" customFormat="1" x14ac:dyDescent="0.2">
      <c r="A333" s="585">
        <v>32</v>
      </c>
      <c r="B333" s="586" t="s">
        <v>1018</v>
      </c>
      <c r="C333" s="587">
        <f ca="1">SUM(G333:R333)</f>
        <v>1255.8399999999999</v>
      </c>
      <c r="D333" s="587"/>
      <c r="E333" s="588">
        <f t="shared" si="121"/>
        <v>1</v>
      </c>
      <c r="F333" s="585"/>
      <c r="G333" s="587">
        <f t="shared" ref="G333:AP333" ca="1" si="153">SUM(G334:G339)</f>
        <v>234.92</v>
      </c>
      <c r="H333" s="587">
        <f t="shared" ca="1" si="153"/>
        <v>0</v>
      </c>
      <c r="I333" s="587">
        <f t="shared" ca="1" si="153"/>
        <v>0</v>
      </c>
      <c r="J333" s="587">
        <f t="shared" ca="1" si="153"/>
        <v>0</v>
      </c>
      <c r="K333" s="587">
        <f t="shared" ca="1" si="153"/>
        <v>0</v>
      </c>
      <c r="L333" s="587">
        <f t="shared" ca="1" si="153"/>
        <v>234.92</v>
      </c>
      <c r="M333" s="587">
        <f t="shared" ca="1" si="153"/>
        <v>518.17000000000007</v>
      </c>
      <c r="N333" s="587">
        <f t="shared" ca="1" si="153"/>
        <v>176.74</v>
      </c>
      <c r="O333" s="587">
        <f t="shared" ca="1" si="153"/>
        <v>91.09</v>
      </c>
      <c r="P333" s="587">
        <f t="shared" ca="1" si="153"/>
        <v>0</v>
      </c>
      <c r="Q333" s="587">
        <f t="shared" ca="1" si="153"/>
        <v>0</v>
      </c>
      <c r="R333" s="587">
        <f t="shared" ca="1" si="153"/>
        <v>0</v>
      </c>
      <c r="S333" s="587">
        <f t="shared" ca="1" si="153"/>
        <v>234.92</v>
      </c>
      <c r="T333" s="587">
        <f t="shared" ca="1" si="153"/>
        <v>234.92</v>
      </c>
      <c r="U333" s="587">
        <f t="shared" ca="1" si="153"/>
        <v>234.92</v>
      </c>
      <c r="V333" s="587">
        <f t="shared" ca="1" si="153"/>
        <v>234.92</v>
      </c>
      <c r="W333" s="587">
        <f t="shared" ca="1" si="153"/>
        <v>234.92</v>
      </c>
      <c r="X333" s="587">
        <f t="shared" ca="1" si="153"/>
        <v>469.84</v>
      </c>
      <c r="Y333" s="587">
        <f t="shared" ca="1" si="153"/>
        <v>988.01</v>
      </c>
      <c r="Z333" s="587">
        <f t="shared" ca="1" si="153"/>
        <v>1164.75</v>
      </c>
      <c r="AA333" s="587">
        <f t="shared" ca="1" si="153"/>
        <v>1255.8399999999999</v>
      </c>
      <c r="AB333" s="587">
        <f t="shared" ca="1" si="153"/>
        <v>1255.8399999999999</v>
      </c>
      <c r="AC333" s="587">
        <f t="shared" ca="1" si="153"/>
        <v>0</v>
      </c>
      <c r="AD333" s="587">
        <f t="shared" ca="1" si="153"/>
        <v>0</v>
      </c>
      <c r="AE333" s="587">
        <f t="shared" ca="1" si="153"/>
        <v>234.92</v>
      </c>
      <c r="AF333" s="587">
        <f t="shared" ca="1" si="153"/>
        <v>234.92</v>
      </c>
      <c r="AG333" s="587">
        <f t="shared" ca="1" si="153"/>
        <v>234.92</v>
      </c>
      <c r="AH333" s="587">
        <f t="shared" ca="1" si="153"/>
        <v>234.92</v>
      </c>
      <c r="AI333" s="587">
        <f t="shared" ca="1" si="153"/>
        <v>234.92</v>
      </c>
      <c r="AJ333" s="587">
        <f t="shared" ca="1" si="153"/>
        <v>469.84</v>
      </c>
      <c r="AK333" s="587">
        <f t="shared" ca="1" si="153"/>
        <v>988.01</v>
      </c>
      <c r="AL333" s="587">
        <f t="shared" ca="1" si="153"/>
        <v>1164.75</v>
      </c>
      <c r="AM333" s="587">
        <f t="shared" ca="1" si="153"/>
        <v>1255.8400000000001</v>
      </c>
      <c r="AN333" s="587">
        <f t="shared" ca="1" si="153"/>
        <v>1255.8400000000001</v>
      </c>
      <c r="AO333" s="587">
        <f t="shared" ca="1" si="153"/>
        <v>1255.8400000000001</v>
      </c>
      <c r="AP333" s="587">
        <f t="shared" ca="1" si="153"/>
        <v>1255.8400000000001</v>
      </c>
    </row>
    <row r="334" spans="1:42" s="594" customFormat="1" ht="11.25" outlineLevel="1" x14ac:dyDescent="0.2">
      <c r="A334" s="590"/>
      <c r="B334" s="591" t="str">
        <f>IF(D334&lt;&gt;"",
IF(ISERROR(MATCH(D334,'Ist Vorjahr Monat 01'!A:A,0))=FALSE,INDEX('Ist Vorjahr Monat 01'!B:B,MATCH(D334,'Ist Vorjahr Monat 01'!A:A,0)),
IF(ISERROR(MATCH(D334,'Ist Vorjahr Monat 02'!A:A,0))=FALSE,INDEX('Ist Vorjahr Monat 02'!B:B,MATCH(D334,'Ist Vorjahr Monat 02'!A:A,0)),
IF(ISERROR(MATCH(D334,'Ist Vorjahr Monat 03'!A:A,0))=FALSE,INDEX('Ist Vorjahr Monat 03'!B:B,MATCH(D334,'Ist Vorjahr Monat 03'!A:A,0)),
IF(ISERROR(MATCH(D334,'Ist Vorjahr Monat 04'!A:A,0))=FALSE,INDEX('Ist Vorjahr Monat 04'!B:B,MATCH(D334,'Ist Vorjahr Monat 04'!A:A,0)),
IF(ISERROR(MATCH(D334,'Ist Vorjahr Monat 05'!A:A,0))=FALSE,INDEX('Ist Vorjahr Monat 05'!B:B,MATCH(D334,'Ist Vorjahr Monat 05'!A:A,0)),
IF(ISERROR(MATCH(D334,'Ist Vorjahr Monat 06'!A:A,0))=FALSE,INDEX('Ist Vorjahr Monat 06'!B:B,MATCH(D334,'Ist Vorjahr Monat 06'!A:A,0)),
IF(ISERROR(MATCH(D334,'Ist Vorjahr Monat 07'!A:A,0))=FALSE,INDEX('Ist Vorjahr Monat 07'!B:B,MATCH(D334,'Ist Vorjahr Monat 07'!A:A,0)),
IF(ISERROR(MATCH(D334,'Ist Vorjahr Monat 08'!A:A,0))=FALSE,INDEX('Ist Vorjahr Monat 08'!B:B,MATCH(D334,'Ist Vorjahr Monat 08'!A:A,0)),
IF(ISERROR(MATCH(D334,'Ist Vorjahr Monat 09'!A:A,0))=FALSE,INDEX('Ist Vorjahr Monat 09'!B:B,MATCH(D334,'Ist Vorjahr Monat 09'!A:A,0)),
IF(ISERROR(MATCH(D334,'Ist Vorjahr Monat 10'!A:A,0))=FALSE,INDEX('Ist Vorjahr Monat 10'!B:B,MATCH(D334,'Ist Vorjahr Monat 10'!A:A,0)),
IF(ISERROR(MATCH(D334,'Ist Vorjahr Monat 11'!A:A,0))=FALSE,INDEX('Ist Vorjahr Monat 11'!B:B,MATCH(D334,'Ist Vorjahr Monat 11'!A:A,0)),
IF(ISERROR(MATCH(D334,'Ist Vorjahr Monat 12'!A:A,0))=FALSE,INDEX('Ist Vorjahr Monat 12'!B:B,MATCH(D334,'Ist Vorjahr Monat 12'!A:A,0)),
"{Konto unbekannt}"
)))))))))))),"")</f>
        <v>Versich.entschädigung, Schadenersatz</v>
      </c>
      <c r="C334" s="591"/>
      <c r="D334" s="590">
        <v>2742</v>
      </c>
      <c r="E334" s="592">
        <f t="shared" si="121"/>
        <v>-1</v>
      </c>
      <c r="F334" s="590" t="s">
        <v>996</v>
      </c>
      <c r="G334" s="593">
        <f ca="1">$E334*(-SUMIF(INDIRECT(G$3),'Struktur Vorjahr'!$D334,INDIRECT(G$4))+SUMIF(INDIRECT(G$3),'Struktur Vorjahr'!$D334,INDIRECT(G$5)))</f>
        <v>0</v>
      </c>
      <c r="H334" s="593">
        <f ca="1">$E334*(-SUMIF(INDIRECT(H$3),'Struktur Vorjahr'!$D334,INDIRECT(H$4))+SUMIF(INDIRECT(H$3),'Struktur Vorjahr'!$D334,INDIRECT(H$5)))</f>
        <v>0</v>
      </c>
      <c r="I334" s="593">
        <f ca="1">$E334*(-SUMIF(INDIRECT(I$3),'Struktur Vorjahr'!$D334,INDIRECT(I$4))+SUMIF(INDIRECT(I$3),'Struktur Vorjahr'!$D334,INDIRECT(I$5)))</f>
        <v>0</v>
      </c>
      <c r="J334" s="593">
        <f ca="1">$E334*(-SUMIF(INDIRECT(J$3),'Struktur Vorjahr'!$D334,INDIRECT(J$4))+SUMIF(INDIRECT(J$3),'Struktur Vorjahr'!$D334,INDIRECT(J$5)))</f>
        <v>0</v>
      </c>
      <c r="K334" s="593">
        <f ca="1">$E334*(-SUMIF(INDIRECT(K$3),'Struktur Vorjahr'!$D334,INDIRECT(K$4))+SUMIF(INDIRECT(K$3),'Struktur Vorjahr'!$D334,INDIRECT(K$5)))</f>
        <v>0</v>
      </c>
      <c r="L334" s="593">
        <f ca="1">$E334*(-SUMIF(INDIRECT(L$3),'Struktur Vorjahr'!$D334,INDIRECT(L$4))+SUMIF(INDIRECT(L$3),'Struktur Vorjahr'!$D334,INDIRECT(L$5)))</f>
        <v>0</v>
      </c>
      <c r="M334" s="593">
        <f ca="1">$E334*(-SUMIF(INDIRECT(M$3),'Struktur Vorjahr'!$D334,INDIRECT(M$4))+SUMIF(INDIRECT(M$3),'Struktur Vorjahr'!$D334,INDIRECT(M$5)))</f>
        <v>467.16</v>
      </c>
      <c r="N334" s="593">
        <f ca="1">$E334*(-SUMIF(INDIRECT(N$3),'Struktur Vorjahr'!$D334,INDIRECT(N$4))+SUMIF(INDIRECT(N$3),'Struktur Vorjahr'!$D334,INDIRECT(N$5)))</f>
        <v>0</v>
      </c>
      <c r="O334" s="593">
        <f ca="1">$E334*(-SUMIF(INDIRECT(O$3),'Struktur Vorjahr'!$D334,INDIRECT(O$4))+SUMIF(INDIRECT(O$3),'Struktur Vorjahr'!$D334,INDIRECT(O$5)))</f>
        <v>0</v>
      </c>
      <c r="P334" s="593">
        <f ca="1">$E334*(-SUMIF(INDIRECT(P$3),'Struktur Vorjahr'!$D334,INDIRECT(P$4))+SUMIF(INDIRECT(P$3),'Struktur Vorjahr'!$D334,INDIRECT(P$5)))</f>
        <v>0</v>
      </c>
      <c r="Q334" s="593">
        <f ca="1">$E334*(-SUMIF(INDIRECT(Q$3),'Struktur Vorjahr'!$D334,INDIRECT(Q$4))+SUMIF(INDIRECT(Q$3),'Struktur Vorjahr'!$D334,INDIRECT(Q$5)))</f>
        <v>0</v>
      </c>
      <c r="R334" s="593">
        <f ca="1">$E334*(-SUMIF(INDIRECT(R$3),'Struktur Vorjahr'!$D334,INDIRECT(R$4))+SUMIF(INDIRECT(R$3),'Struktur Vorjahr'!$D334,INDIRECT(R$5)))</f>
        <v>0</v>
      </c>
      <c r="S334" s="593">
        <f ca="1">$E334*(-SUMIF(INDIRECT(S$3),'Struktur Vorjahr'!$D334,INDIRECT(S$4))+SUMIF(INDIRECT(S$3),'Struktur Vorjahr'!$D334,INDIRECT(S$5)))</f>
        <v>0</v>
      </c>
      <c r="T334" s="593">
        <f ca="1">$E334*(-SUMIF(INDIRECT(T$3),'Struktur Vorjahr'!$D334,INDIRECT(T$4))+SUMIF(INDIRECT(T$3),'Struktur Vorjahr'!$D334,INDIRECT(T$5)))</f>
        <v>0</v>
      </c>
      <c r="U334" s="593">
        <f ca="1">$E334*(-SUMIF(INDIRECT(U$3),'Struktur Vorjahr'!$D334,INDIRECT(U$4))+SUMIF(INDIRECT(U$3),'Struktur Vorjahr'!$D334,INDIRECT(U$5)))</f>
        <v>0</v>
      </c>
      <c r="V334" s="593">
        <f ca="1">$E334*(-SUMIF(INDIRECT(V$3),'Struktur Vorjahr'!$D334,INDIRECT(V$4))+SUMIF(INDIRECT(V$3),'Struktur Vorjahr'!$D334,INDIRECT(V$5)))</f>
        <v>0</v>
      </c>
      <c r="W334" s="593">
        <f ca="1">$E334*(-SUMIF(INDIRECT(W$3),'Struktur Vorjahr'!$D334,INDIRECT(W$4))+SUMIF(INDIRECT(W$3),'Struktur Vorjahr'!$D334,INDIRECT(W$5)))</f>
        <v>0</v>
      </c>
      <c r="X334" s="593">
        <f ca="1">$E334*(-SUMIF(INDIRECT(X$3),'Struktur Vorjahr'!$D334,INDIRECT(X$4))+SUMIF(INDIRECT(X$3),'Struktur Vorjahr'!$D334,INDIRECT(X$5)))</f>
        <v>0</v>
      </c>
      <c r="Y334" s="593">
        <f ca="1">$E334*(-SUMIF(INDIRECT(Y$3),'Struktur Vorjahr'!$D334,INDIRECT(Y$4))+SUMIF(INDIRECT(Y$3),'Struktur Vorjahr'!$D334,INDIRECT(Y$5)))</f>
        <v>467.16</v>
      </c>
      <c r="Z334" s="593">
        <f ca="1">$E334*(-SUMIF(INDIRECT(Z$3),'Struktur Vorjahr'!$D334,INDIRECT(Z$4))+SUMIF(INDIRECT(Z$3),'Struktur Vorjahr'!$D334,INDIRECT(Z$5)))</f>
        <v>467.16</v>
      </c>
      <c r="AA334" s="593">
        <f ca="1">$E334*(-SUMIF(INDIRECT(AA$3),'Struktur Vorjahr'!$D334,INDIRECT(AA$4))+SUMIF(INDIRECT(AA$3),'Struktur Vorjahr'!$D334,INDIRECT(AA$5)))</f>
        <v>467.16</v>
      </c>
      <c r="AB334" s="593">
        <f ca="1">$E334*(-SUMIF(INDIRECT(AB$3),'Struktur Vorjahr'!$D334,INDIRECT(AB$4))+SUMIF(INDIRECT(AB$3),'Struktur Vorjahr'!$D334,INDIRECT(AB$5)))</f>
        <v>467.16</v>
      </c>
      <c r="AC334" s="593">
        <f ca="1">$E334*(-SUMIF(INDIRECT(AC$3),'Struktur Vorjahr'!$D334,INDIRECT(AC$4))+SUMIF(INDIRECT(AC$3),'Struktur Vorjahr'!$D334,INDIRECT(AC$5)))</f>
        <v>0</v>
      </c>
      <c r="AD334" s="593">
        <f ca="1">$E334*(-SUMIF(INDIRECT(AD$3),'Struktur Vorjahr'!$D334,INDIRECT(AD$4))+SUMIF(INDIRECT(AD$3),'Struktur Vorjahr'!$D334,INDIRECT(AD$5)))</f>
        <v>0</v>
      </c>
      <c r="AE334" s="593">
        <f t="shared" ref="AE334:AE339" ca="1" si="154">G334</f>
        <v>0</v>
      </c>
      <c r="AF334" s="593">
        <f t="shared" ref="AF334:AP339" ca="1" si="155">H334+AE334</f>
        <v>0</v>
      </c>
      <c r="AG334" s="593">
        <f t="shared" ca="1" si="155"/>
        <v>0</v>
      </c>
      <c r="AH334" s="593">
        <f t="shared" ca="1" si="155"/>
        <v>0</v>
      </c>
      <c r="AI334" s="593">
        <f t="shared" ca="1" si="155"/>
        <v>0</v>
      </c>
      <c r="AJ334" s="593">
        <f t="shared" ca="1" si="155"/>
        <v>0</v>
      </c>
      <c r="AK334" s="593">
        <f t="shared" ca="1" si="155"/>
        <v>467.16</v>
      </c>
      <c r="AL334" s="593">
        <f t="shared" ca="1" si="155"/>
        <v>467.16</v>
      </c>
      <c r="AM334" s="593">
        <f t="shared" ca="1" si="155"/>
        <v>467.16</v>
      </c>
      <c r="AN334" s="593">
        <f t="shared" ca="1" si="155"/>
        <v>467.16</v>
      </c>
      <c r="AO334" s="593">
        <f t="shared" ca="1" si="155"/>
        <v>467.16</v>
      </c>
      <c r="AP334" s="593">
        <f t="shared" ca="1" si="155"/>
        <v>467.16</v>
      </c>
    </row>
    <row r="335" spans="1:42" s="594" customFormat="1" ht="11.25" outlineLevel="1" x14ac:dyDescent="0.2">
      <c r="A335" s="590"/>
      <c r="B335" s="591" t="str">
        <f>IF(D335&lt;&gt;"",
IF(ISERROR(MATCH(D335,'Ist Vorjahr Monat 01'!A:A,0))=FALSE,INDEX('Ist Vorjahr Monat 01'!B:B,MATCH(D335,'Ist Vorjahr Monat 01'!A:A,0)),
IF(ISERROR(MATCH(D335,'Ist Vorjahr Monat 02'!A:A,0))=FALSE,INDEX('Ist Vorjahr Monat 02'!B:B,MATCH(D335,'Ist Vorjahr Monat 02'!A:A,0)),
IF(ISERROR(MATCH(D335,'Ist Vorjahr Monat 03'!A:A,0))=FALSE,INDEX('Ist Vorjahr Monat 03'!B:B,MATCH(D335,'Ist Vorjahr Monat 03'!A:A,0)),
IF(ISERROR(MATCH(D335,'Ist Vorjahr Monat 04'!A:A,0))=FALSE,INDEX('Ist Vorjahr Monat 04'!B:B,MATCH(D335,'Ist Vorjahr Monat 04'!A:A,0)),
IF(ISERROR(MATCH(D335,'Ist Vorjahr Monat 05'!A:A,0))=FALSE,INDEX('Ist Vorjahr Monat 05'!B:B,MATCH(D335,'Ist Vorjahr Monat 05'!A:A,0)),
IF(ISERROR(MATCH(D335,'Ist Vorjahr Monat 06'!A:A,0))=FALSE,INDEX('Ist Vorjahr Monat 06'!B:B,MATCH(D335,'Ist Vorjahr Monat 06'!A:A,0)),
IF(ISERROR(MATCH(D335,'Ist Vorjahr Monat 07'!A:A,0))=FALSE,INDEX('Ist Vorjahr Monat 07'!B:B,MATCH(D335,'Ist Vorjahr Monat 07'!A:A,0)),
IF(ISERROR(MATCH(D335,'Ist Vorjahr Monat 08'!A:A,0))=FALSE,INDEX('Ist Vorjahr Monat 08'!B:B,MATCH(D335,'Ist Vorjahr Monat 08'!A:A,0)),
IF(ISERROR(MATCH(D335,'Ist Vorjahr Monat 09'!A:A,0))=FALSE,INDEX('Ist Vorjahr Monat 09'!B:B,MATCH(D335,'Ist Vorjahr Monat 09'!A:A,0)),
IF(ISERROR(MATCH(D335,'Ist Vorjahr Monat 10'!A:A,0))=FALSE,INDEX('Ist Vorjahr Monat 10'!B:B,MATCH(D335,'Ist Vorjahr Monat 10'!A:A,0)),
IF(ISERROR(MATCH(D335,'Ist Vorjahr Monat 11'!A:A,0))=FALSE,INDEX('Ist Vorjahr Monat 11'!B:B,MATCH(D335,'Ist Vorjahr Monat 11'!A:A,0)),
IF(ISERROR(MATCH(D335,'Ist Vorjahr Monat 12'!A:A,0))=FALSE,INDEX('Ist Vorjahr Monat 12'!B:B,MATCH(D335,'Ist Vorjahr Monat 12'!A:A,0)),
"{Konto unbekannt}"
)))))))))))),"")</f>
        <v>Erstattungen AufwendungsausgleichsG</v>
      </c>
      <c r="C335" s="591"/>
      <c r="D335" s="590">
        <v>2749</v>
      </c>
      <c r="E335" s="592">
        <f>IF(F335="-",-1,1)</f>
        <v>-1</v>
      </c>
      <c r="F335" s="590" t="s">
        <v>996</v>
      </c>
      <c r="G335" s="593">
        <f ca="1">$E335*(-SUMIF(INDIRECT(G$3),'Struktur Vorjahr'!$D335,INDIRECT(G$4))+SUMIF(INDIRECT(G$3),'Struktur Vorjahr'!$D335,INDIRECT(G$5)))</f>
        <v>234.92</v>
      </c>
      <c r="H335" s="593">
        <f ca="1">$E335*(-SUMIF(INDIRECT(H$3),'Struktur Vorjahr'!$D335,INDIRECT(H$4))+SUMIF(INDIRECT(H$3),'Struktur Vorjahr'!$D335,INDIRECT(H$5)))</f>
        <v>0</v>
      </c>
      <c r="I335" s="593">
        <f ca="1">$E335*(-SUMIF(INDIRECT(I$3),'Struktur Vorjahr'!$D335,INDIRECT(I$4))+SUMIF(INDIRECT(I$3),'Struktur Vorjahr'!$D335,INDIRECT(I$5)))</f>
        <v>0</v>
      </c>
      <c r="J335" s="593">
        <f ca="1">$E335*(-SUMIF(INDIRECT(J$3),'Struktur Vorjahr'!$D335,INDIRECT(J$4))+SUMIF(INDIRECT(J$3),'Struktur Vorjahr'!$D335,INDIRECT(J$5)))</f>
        <v>0</v>
      </c>
      <c r="K335" s="593">
        <f ca="1">$E335*(-SUMIF(INDIRECT(K$3),'Struktur Vorjahr'!$D335,INDIRECT(K$4))+SUMIF(INDIRECT(K$3),'Struktur Vorjahr'!$D335,INDIRECT(K$5)))</f>
        <v>0</v>
      </c>
      <c r="L335" s="593">
        <f ca="1">$E335*(-SUMIF(INDIRECT(L$3),'Struktur Vorjahr'!$D335,INDIRECT(L$4))+SUMIF(INDIRECT(L$3),'Struktur Vorjahr'!$D335,INDIRECT(L$5)))</f>
        <v>234.92</v>
      </c>
      <c r="M335" s="593">
        <f ca="1">$E335*(-SUMIF(INDIRECT(M$3),'Struktur Vorjahr'!$D335,INDIRECT(M$4))+SUMIF(INDIRECT(M$3),'Struktur Vorjahr'!$D335,INDIRECT(M$5)))</f>
        <v>51.01</v>
      </c>
      <c r="N335" s="593">
        <f ca="1">$E335*(-SUMIF(INDIRECT(N$3),'Struktur Vorjahr'!$D335,INDIRECT(N$4))+SUMIF(INDIRECT(N$3),'Struktur Vorjahr'!$D335,INDIRECT(N$5)))</f>
        <v>176.74</v>
      </c>
      <c r="O335" s="593">
        <f ca="1">$E335*(-SUMIF(INDIRECT(O$3),'Struktur Vorjahr'!$D335,INDIRECT(O$4))+SUMIF(INDIRECT(O$3),'Struktur Vorjahr'!$D335,INDIRECT(O$5)))</f>
        <v>91.09</v>
      </c>
      <c r="P335" s="593">
        <f ca="1">$E335*(-SUMIF(INDIRECT(P$3),'Struktur Vorjahr'!$D335,INDIRECT(P$4))+SUMIF(INDIRECT(P$3),'Struktur Vorjahr'!$D335,INDIRECT(P$5)))</f>
        <v>0</v>
      </c>
      <c r="Q335" s="593">
        <f ca="1">$E335*(-SUMIF(INDIRECT(Q$3),'Struktur Vorjahr'!$D335,INDIRECT(Q$4))+SUMIF(INDIRECT(Q$3),'Struktur Vorjahr'!$D335,INDIRECT(Q$5)))</f>
        <v>0</v>
      </c>
      <c r="R335" s="593">
        <f ca="1">$E335*(-SUMIF(INDIRECT(R$3),'Struktur Vorjahr'!$D335,INDIRECT(R$4))+SUMIF(INDIRECT(R$3),'Struktur Vorjahr'!$D335,INDIRECT(R$5)))</f>
        <v>0</v>
      </c>
      <c r="S335" s="593">
        <f ca="1">$E335*(-SUMIF(INDIRECT(S$3),'Struktur Vorjahr'!$D335,INDIRECT(S$4))+SUMIF(INDIRECT(S$3),'Struktur Vorjahr'!$D335,INDIRECT(S$5)))</f>
        <v>234.92</v>
      </c>
      <c r="T335" s="593">
        <f ca="1">$E335*(-SUMIF(INDIRECT(T$3),'Struktur Vorjahr'!$D335,INDIRECT(T$4))+SUMIF(INDIRECT(T$3),'Struktur Vorjahr'!$D335,INDIRECT(T$5)))</f>
        <v>234.92</v>
      </c>
      <c r="U335" s="593">
        <f ca="1">$E335*(-SUMIF(INDIRECT(U$3),'Struktur Vorjahr'!$D335,INDIRECT(U$4))+SUMIF(INDIRECT(U$3),'Struktur Vorjahr'!$D335,INDIRECT(U$5)))</f>
        <v>234.92</v>
      </c>
      <c r="V335" s="593">
        <f ca="1">$E335*(-SUMIF(INDIRECT(V$3),'Struktur Vorjahr'!$D335,INDIRECT(V$4))+SUMIF(INDIRECT(V$3),'Struktur Vorjahr'!$D335,INDIRECT(V$5)))</f>
        <v>234.92</v>
      </c>
      <c r="W335" s="593">
        <f ca="1">$E335*(-SUMIF(INDIRECT(W$3),'Struktur Vorjahr'!$D335,INDIRECT(W$4))+SUMIF(INDIRECT(W$3),'Struktur Vorjahr'!$D335,INDIRECT(W$5)))</f>
        <v>234.92</v>
      </c>
      <c r="X335" s="593">
        <f ca="1">$E335*(-SUMIF(INDIRECT(X$3),'Struktur Vorjahr'!$D335,INDIRECT(X$4))+SUMIF(INDIRECT(X$3),'Struktur Vorjahr'!$D335,INDIRECT(X$5)))</f>
        <v>469.84</v>
      </c>
      <c r="Y335" s="593">
        <f ca="1">$E335*(-SUMIF(INDIRECT(Y$3),'Struktur Vorjahr'!$D335,INDIRECT(Y$4))+SUMIF(INDIRECT(Y$3),'Struktur Vorjahr'!$D335,INDIRECT(Y$5)))</f>
        <v>520.85</v>
      </c>
      <c r="Z335" s="593">
        <f ca="1">$E335*(-SUMIF(INDIRECT(Z$3),'Struktur Vorjahr'!$D335,INDIRECT(Z$4))+SUMIF(INDIRECT(Z$3),'Struktur Vorjahr'!$D335,INDIRECT(Z$5)))</f>
        <v>697.59</v>
      </c>
      <c r="AA335" s="593">
        <f ca="1">$E335*(-SUMIF(INDIRECT(AA$3),'Struktur Vorjahr'!$D335,INDIRECT(AA$4))+SUMIF(INDIRECT(AA$3),'Struktur Vorjahr'!$D335,INDIRECT(AA$5)))</f>
        <v>788.68</v>
      </c>
      <c r="AB335" s="593">
        <f ca="1">$E335*(-SUMIF(INDIRECT(AB$3),'Struktur Vorjahr'!$D335,INDIRECT(AB$4))+SUMIF(INDIRECT(AB$3),'Struktur Vorjahr'!$D335,INDIRECT(AB$5)))</f>
        <v>788.68</v>
      </c>
      <c r="AC335" s="593">
        <f ca="1">$E335*(-SUMIF(INDIRECT(AC$3),'Struktur Vorjahr'!$D335,INDIRECT(AC$4))+SUMIF(INDIRECT(AC$3),'Struktur Vorjahr'!$D335,INDIRECT(AC$5)))</f>
        <v>0</v>
      </c>
      <c r="AD335" s="593">
        <f ca="1">$E335*(-SUMIF(INDIRECT(AD$3),'Struktur Vorjahr'!$D335,INDIRECT(AD$4))+SUMIF(INDIRECT(AD$3),'Struktur Vorjahr'!$D335,INDIRECT(AD$5)))</f>
        <v>0</v>
      </c>
      <c r="AE335" s="593">
        <f t="shared" ca="1" si="154"/>
        <v>234.92</v>
      </c>
      <c r="AF335" s="593">
        <f t="shared" ca="1" si="155"/>
        <v>234.92</v>
      </c>
      <c r="AG335" s="593">
        <f t="shared" ca="1" si="155"/>
        <v>234.92</v>
      </c>
      <c r="AH335" s="593">
        <f t="shared" ca="1" si="155"/>
        <v>234.92</v>
      </c>
      <c r="AI335" s="593">
        <f t="shared" ca="1" si="155"/>
        <v>234.92</v>
      </c>
      <c r="AJ335" s="593">
        <f t="shared" ca="1" si="155"/>
        <v>469.84</v>
      </c>
      <c r="AK335" s="593">
        <f t="shared" ca="1" si="155"/>
        <v>520.85</v>
      </c>
      <c r="AL335" s="593">
        <f t="shared" ca="1" si="155"/>
        <v>697.59</v>
      </c>
      <c r="AM335" s="593">
        <f t="shared" ca="1" si="155"/>
        <v>788.68000000000006</v>
      </c>
      <c r="AN335" s="593">
        <f t="shared" ca="1" si="155"/>
        <v>788.68000000000006</v>
      </c>
      <c r="AO335" s="593">
        <f t="shared" ca="1" si="155"/>
        <v>788.68000000000006</v>
      </c>
      <c r="AP335" s="593">
        <f t="shared" ca="1" si="155"/>
        <v>788.68000000000006</v>
      </c>
    </row>
    <row r="336" spans="1:42" s="594" customFormat="1" ht="11.25" outlineLevel="1" x14ac:dyDescent="0.2">
      <c r="A336" s="590"/>
      <c r="B336" s="591" t="str">
        <f>IF(D336&lt;&gt;"",
IF(ISERROR(MATCH(D336,'Ist Vorjahr Monat 01'!A:A,0))=FALSE,INDEX('Ist Vorjahr Monat 01'!B:B,MATCH(D336,'Ist Vorjahr Monat 01'!A:A,0)),
IF(ISERROR(MATCH(D336,'Ist Vorjahr Monat 02'!A:A,0))=FALSE,INDEX('Ist Vorjahr Monat 02'!B:B,MATCH(D336,'Ist Vorjahr Monat 02'!A:A,0)),
IF(ISERROR(MATCH(D336,'Ist Vorjahr Monat 03'!A:A,0))=FALSE,INDEX('Ist Vorjahr Monat 03'!B:B,MATCH(D336,'Ist Vorjahr Monat 03'!A:A,0)),
IF(ISERROR(MATCH(D336,'Ist Vorjahr Monat 04'!A:A,0))=FALSE,INDEX('Ist Vorjahr Monat 04'!B:B,MATCH(D336,'Ist Vorjahr Monat 04'!A:A,0)),
IF(ISERROR(MATCH(D336,'Ist Vorjahr Monat 05'!A:A,0))=FALSE,INDEX('Ist Vorjahr Monat 05'!B:B,MATCH(D336,'Ist Vorjahr Monat 05'!A:A,0)),
IF(ISERROR(MATCH(D336,'Ist Vorjahr Monat 06'!A:A,0))=FALSE,INDEX('Ist Vorjahr Monat 06'!B:B,MATCH(D336,'Ist Vorjahr Monat 06'!A:A,0)),
IF(ISERROR(MATCH(D336,'Ist Vorjahr Monat 07'!A:A,0))=FALSE,INDEX('Ist Vorjahr Monat 07'!B:B,MATCH(D336,'Ist Vorjahr Monat 07'!A:A,0)),
IF(ISERROR(MATCH(D336,'Ist Vorjahr Monat 08'!A:A,0))=FALSE,INDEX('Ist Vorjahr Monat 08'!B:B,MATCH(D336,'Ist Vorjahr Monat 08'!A:A,0)),
IF(ISERROR(MATCH(D336,'Ist Vorjahr Monat 09'!A:A,0))=FALSE,INDEX('Ist Vorjahr Monat 09'!B:B,MATCH(D336,'Ist Vorjahr Monat 09'!A:A,0)),
IF(ISERROR(MATCH(D336,'Ist Vorjahr Monat 10'!A:A,0))=FALSE,INDEX('Ist Vorjahr Monat 10'!B:B,MATCH(D336,'Ist Vorjahr Monat 10'!A:A,0)),
IF(ISERROR(MATCH(D336,'Ist Vorjahr Monat 11'!A:A,0))=FALSE,INDEX('Ist Vorjahr Monat 11'!B:B,MATCH(D336,'Ist Vorjahr Monat 11'!A:A,0)),
IF(ISERROR(MATCH(D336,'Ist Vorjahr Monat 12'!A:A,0))=FALSE,INDEX('Ist Vorjahr Monat 12'!B:B,MATCH(D336,'Ist Vorjahr Monat 12'!A:A,0)),
"{Konto unbekannt}"
)))))))))))),"")</f>
        <v>{Konto unbekannt}</v>
      </c>
      <c r="C336" s="591"/>
      <c r="D336" s="590">
        <v>2520</v>
      </c>
      <c r="E336" s="592">
        <f>IF(F336="-",-1,1)</f>
        <v>-1</v>
      </c>
      <c r="F336" s="590" t="s">
        <v>996</v>
      </c>
      <c r="G336" s="593">
        <f ca="1">$E336*(-SUMIF(INDIRECT(G$3),'Struktur Vorjahr'!$D336,INDIRECT(G$4))+SUMIF(INDIRECT(G$3),'Struktur Vorjahr'!$D336,INDIRECT(G$5)))</f>
        <v>0</v>
      </c>
      <c r="H336" s="593">
        <f ca="1">$E336*(-SUMIF(INDIRECT(H$3),'Struktur Vorjahr'!$D336,INDIRECT(H$4))+SUMIF(INDIRECT(H$3),'Struktur Vorjahr'!$D336,INDIRECT(H$5)))</f>
        <v>0</v>
      </c>
      <c r="I336" s="593">
        <f ca="1">$E336*(-SUMIF(INDIRECT(I$3),'Struktur Vorjahr'!$D336,INDIRECT(I$4))+SUMIF(INDIRECT(I$3),'Struktur Vorjahr'!$D336,INDIRECT(I$5)))</f>
        <v>0</v>
      </c>
      <c r="J336" s="593">
        <f ca="1">$E336*(-SUMIF(INDIRECT(J$3),'Struktur Vorjahr'!$D336,INDIRECT(J$4))+SUMIF(INDIRECT(J$3),'Struktur Vorjahr'!$D336,INDIRECT(J$5)))</f>
        <v>0</v>
      </c>
      <c r="K336" s="593">
        <f ca="1">$E336*(-SUMIF(INDIRECT(K$3),'Struktur Vorjahr'!$D336,INDIRECT(K$4))+SUMIF(INDIRECT(K$3),'Struktur Vorjahr'!$D336,INDIRECT(K$5)))</f>
        <v>0</v>
      </c>
      <c r="L336" s="593">
        <f ca="1">$E336*(-SUMIF(INDIRECT(L$3),'Struktur Vorjahr'!$D336,INDIRECT(L$4))+SUMIF(INDIRECT(L$3),'Struktur Vorjahr'!$D336,INDIRECT(L$5)))</f>
        <v>0</v>
      </c>
      <c r="M336" s="593">
        <f ca="1">$E336*(-SUMIF(INDIRECT(M$3),'Struktur Vorjahr'!$D336,INDIRECT(M$4))+SUMIF(INDIRECT(M$3),'Struktur Vorjahr'!$D336,INDIRECT(M$5)))</f>
        <v>0</v>
      </c>
      <c r="N336" s="593">
        <f ca="1">$E336*(-SUMIF(INDIRECT(N$3),'Struktur Vorjahr'!$D336,INDIRECT(N$4))+SUMIF(INDIRECT(N$3),'Struktur Vorjahr'!$D336,INDIRECT(N$5)))</f>
        <v>0</v>
      </c>
      <c r="O336" s="593">
        <f ca="1">$E336*(-SUMIF(INDIRECT(O$3),'Struktur Vorjahr'!$D336,INDIRECT(O$4))+SUMIF(INDIRECT(O$3),'Struktur Vorjahr'!$D336,INDIRECT(O$5)))</f>
        <v>0</v>
      </c>
      <c r="P336" s="593">
        <f ca="1">$E336*(-SUMIF(INDIRECT(P$3),'Struktur Vorjahr'!$D336,INDIRECT(P$4))+SUMIF(INDIRECT(P$3),'Struktur Vorjahr'!$D336,INDIRECT(P$5)))</f>
        <v>0</v>
      </c>
      <c r="Q336" s="593">
        <f ca="1">$E336*(-SUMIF(INDIRECT(Q$3),'Struktur Vorjahr'!$D336,INDIRECT(Q$4))+SUMIF(INDIRECT(Q$3),'Struktur Vorjahr'!$D336,INDIRECT(Q$5)))</f>
        <v>0</v>
      </c>
      <c r="R336" s="593">
        <f ca="1">$E336*(-SUMIF(INDIRECT(R$3),'Struktur Vorjahr'!$D336,INDIRECT(R$4))+SUMIF(INDIRECT(R$3),'Struktur Vorjahr'!$D336,INDIRECT(R$5)))</f>
        <v>0</v>
      </c>
      <c r="S336" s="593">
        <f ca="1">$E336*(-SUMIF(INDIRECT(S$3),'Struktur Vorjahr'!$D336,INDIRECT(S$4))+SUMIF(INDIRECT(S$3),'Struktur Vorjahr'!$D336,INDIRECT(S$5)))</f>
        <v>0</v>
      </c>
      <c r="T336" s="593">
        <f ca="1">$E336*(-SUMIF(INDIRECT(T$3),'Struktur Vorjahr'!$D336,INDIRECT(T$4))+SUMIF(INDIRECT(T$3),'Struktur Vorjahr'!$D336,INDIRECT(T$5)))</f>
        <v>0</v>
      </c>
      <c r="U336" s="593">
        <f ca="1">$E336*(-SUMIF(INDIRECT(U$3),'Struktur Vorjahr'!$D336,INDIRECT(U$4))+SUMIF(INDIRECT(U$3),'Struktur Vorjahr'!$D336,INDIRECT(U$5)))</f>
        <v>0</v>
      </c>
      <c r="V336" s="593">
        <f ca="1">$E336*(-SUMIF(INDIRECT(V$3),'Struktur Vorjahr'!$D336,INDIRECT(V$4))+SUMIF(INDIRECT(V$3),'Struktur Vorjahr'!$D336,INDIRECT(V$5)))</f>
        <v>0</v>
      </c>
      <c r="W336" s="593">
        <f ca="1">$E336*(-SUMIF(INDIRECT(W$3),'Struktur Vorjahr'!$D336,INDIRECT(W$4))+SUMIF(INDIRECT(W$3),'Struktur Vorjahr'!$D336,INDIRECT(W$5)))</f>
        <v>0</v>
      </c>
      <c r="X336" s="593">
        <f ca="1">$E336*(-SUMIF(INDIRECT(X$3),'Struktur Vorjahr'!$D336,INDIRECT(X$4))+SUMIF(INDIRECT(X$3),'Struktur Vorjahr'!$D336,INDIRECT(X$5)))</f>
        <v>0</v>
      </c>
      <c r="Y336" s="593">
        <f ca="1">$E336*(-SUMIF(INDIRECT(Y$3),'Struktur Vorjahr'!$D336,INDIRECT(Y$4))+SUMIF(INDIRECT(Y$3),'Struktur Vorjahr'!$D336,INDIRECT(Y$5)))</f>
        <v>0</v>
      </c>
      <c r="Z336" s="593">
        <f ca="1">$E336*(-SUMIF(INDIRECT(Z$3),'Struktur Vorjahr'!$D336,INDIRECT(Z$4))+SUMIF(INDIRECT(Z$3),'Struktur Vorjahr'!$D336,INDIRECT(Z$5)))</f>
        <v>0</v>
      </c>
      <c r="AA336" s="593">
        <f ca="1">$E336*(-SUMIF(INDIRECT(AA$3),'Struktur Vorjahr'!$D336,INDIRECT(AA$4))+SUMIF(INDIRECT(AA$3),'Struktur Vorjahr'!$D336,INDIRECT(AA$5)))</f>
        <v>0</v>
      </c>
      <c r="AB336" s="593">
        <f ca="1">$E336*(-SUMIF(INDIRECT(AB$3),'Struktur Vorjahr'!$D336,INDIRECT(AB$4))+SUMIF(INDIRECT(AB$3),'Struktur Vorjahr'!$D336,INDIRECT(AB$5)))</f>
        <v>0</v>
      </c>
      <c r="AC336" s="593">
        <f ca="1">$E336*(-SUMIF(INDIRECT(AC$3),'Struktur Vorjahr'!$D336,INDIRECT(AC$4))+SUMIF(INDIRECT(AC$3),'Struktur Vorjahr'!$D336,INDIRECT(AC$5)))</f>
        <v>0</v>
      </c>
      <c r="AD336" s="593">
        <f ca="1">$E336*(-SUMIF(INDIRECT(AD$3),'Struktur Vorjahr'!$D336,INDIRECT(AD$4))+SUMIF(INDIRECT(AD$3),'Struktur Vorjahr'!$D336,INDIRECT(AD$5)))</f>
        <v>0</v>
      </c>
      <c r="AE336" s="593">
        <f t="shared" ca="1" si="154"/>
        <v>0</v>
      </c>
      <c r="AF336" s="593">
        <f t="shared" ca="1" si="155"/>
        <v>0</v>
      </c>
      <c r="AG336" s="593">
        <f t="shared" ca="1" si="155"/>
        <v>0</v>
      </c>
      <c r="AH336" s="593">
        <f t="shared" ca="1" si="155"/>
        <v>0</v>
      </c>
      <c r="AI336" s="593">
        <f t="shared" ca="1" si="155"/>
        <v>0</v>
      </c>
      <c r="AJ336" s="593">
        <f t="shared" ca="1" si="155"/>
        <v>0</v>
      </c>
      <c r="AK336" s="593">
        <f t="shared" ca="1" si="155"/>
        <v>0</v>
      </c>
      <c r="AL336" s="593">
        <f t="shared" ca="1" si="155"/>
        <v>0</v>
      </c>
      <c r="AM336" s="593">
        <f t="shared" ca="1" si="155"/>
        <v>0</v>
      </c>
      <c r="AN336" s="593">
        <f t="shared" ca="1" si="155"/>
        <v>0</v>
      </c>
      <c r="AO336" s="593">
        <f t="shared" ca="1" si="155"/>
        <v>0</v>
      </c>
      <c r="AP336" s="593">
        <f t="shared" ca="1" si="155"/>
        <v>0</v>
      </c>
    </row>
    <row r="337" spans="1:42" s="594" customFormat="1" ht="11.25" outlineLevel="1" x14ac:dyDescent="0.2">
      <c r="A337" s="590"/>
      <c r="B337" s="591" t="str">
        <f>IF(D337&lt;&gt;"",
IF(ISERROR(MATCH(D337,'Ist Vorjahr Monat 01'!A:A,0))=FALSE,INDEX('Ist Vorjahr Monat 01'!B:B,MATCH(D337,'Ist Vorjahr Monat 01'!A:A,0)),
IF(ISERROR(MATCH(D337,'Ist Vorjahr Monat 02'!A:A,0))=FALSE,INDEX('Ist Vorjahr Monat 02'!B:B,MATCH(D337,'Ist Vorjahr Monat 02'!A:A,0)),
IF(ISERROR(MATCH(D337,'Ist Vorjahr Monat 03'!A:A,0))=FALSE,INDEX('Ist Vorjahr Monat 03'!B:B,MATCH(D337,'Ist Vorjahr Monat 03'!A:A,0)),
IF(ISERROR(MATCH(D337,'Ist Vorjahr Monat 04'!A:A,0))=FALSE,INDEX('Ist Vorjahr Monat 04'!B:B,MATCH(D337,'Ist Vorjahr Monat 04'!A:A,0)),
IF(ISERROR(MATCH(D337,'Ist Vorjahr Monat 05'!A:A,0))=FALSE,INDEX('Ist Vorjahr Monat 05'!B:B,MATCH(D337,'Ist Vorjahr Monat 05'!A:A,0)),
IF(ISERROR(MATCH(D337,'Ist Vorjahr Monat 06'!A:A,0))=FALSE,INDEX('Ist Vorjahr Monat 06'!B:B,MATCH(D337,'Ist Vorjahr Monat 06'!A:A,0)),
IF(ISERROR(MATCH(D337,'Ist Vorjahr Monat 07'!A:A,0))=FALSE,INDEX('Ist Vorjahr Monat 07'!B:B,MATCH(D337,'Ist Vorjahr Monat 07'!A:A,0)),
IF(ISERROR(MATCH(D337,'Ist Vorjahr Monat 08'!A:A,0))=FALSE,INDEX('Ist Vorjahr Monat 08'!B:B,MATCH(D337,'Ist Vorjahr Monat 08'!A:A,0)),
IF(ISERROR(MATCH(D337,'Ist Vorjahr Monat 09'!A:A,0))=FALSE,INDEX('Ist Vorjahr Monat 09'!B:B,MATCH(D337,'Ist Vorjahr Monat 09'!A:A,0)),
IF(ISERROR(MATCH(D337,'Ist Vorjahr Monat 10'!A:A,0))=FALSE,INDEX('Ist Vorjahr Monat 10'!B:B,MATCH(D337,'Ist Vorjahr Monat 10'!A:A,0)),
IF(ISERROR(MATCH(D337,'Ist Vorjahr Monat 11'!A:A,0))=FALSE,INDEX('Ist Vorjahr Monat 11'!B:B,MATCH(D337,'Ist Vorjahr Monat 11'!A:A,0)),
IF(ISERROR(MATCH(D337,'Ist Vorjahr Monat 12'!A:A,0))=FALSE,INDEX('Ist Vorjahr Monat 12'!B:B,MATCH(D337,'Ist Vorjahr Monat 12'!A:A,0)),
"{Konto unbekannt}"
)))))))))))),"")</f>
        <v/>
      </c>
      <c r="C337" s="591"/>
      <c r="D337" s="590"/>
      <c r="E337" s="592">
        <f t="shared" si="121"/>
        <v>-1</v>
      </c>
      <c r="F337" s="590" t="s">
        <v>996</v>
      </c>
      <c r="G337" s="593">
        <f ca="1">$E337*(-SUMIF(INDIRECT(G$3),'Struktur Vorjahr'!$D337,INDIRECT(G$4))+SUMIF(INDIRECT(G$3),'Struktur Vorjahr'!$D337,INDIRECT(G$5)))</f>
        <v>0</v>
      </c>
      <c r="H337" s="593">
        <f ca="1">$E337*(-SUMIF(INDIRECT(H$3),'Struktur Vorjahr'!$D337,INDIRECT(H$4))+SUMIF(INDIRECT(H$3),'Struktur Vorjahr'!$D337,INDIRECT(H$5)))</f>
        <v>0</v>
      </c>
      <c r="I337" s="593">
        <f ca="1">$E337*(-SUMIF(INDIRECT(I$3),'Struktur Vorjahr'!$D337,INDIRECT(I$4))+SUMIF(INDIRECT(I$3),'Struktur Vorjahr'!$D337,INDIRECT(I$5)))</f>
        <v>0</v>
      </c>
      <c r="J337" s="593">
        <f ca="1">$E337*(-SUMIF(INDIRECT(J$3),'Struktur Vorjahr'!$D337,INDIRECT(J$4))+SUMIF(INDIRECT(J$3),'Struktur Vorjahr'!$D337,INDIRECT(J$5)))</f>
        <v>0</v>
      </c>
      <c r="K337" s="593">
        <f ca="1">$E337*(-SUMIF(INDIRECT(K$3),'Struktur Vorjahr'!$D337,INDIRECT(K$4))+SUMIF(INDIRECT(K$3),'Struktur Vorjahr'!$D337,INDIRECT(K$5)))</f>
        <v>0</v>
      </c>
      <c r="L337" s="593">
        <f ca="1">$E337*(-SUMIF(INDIRECT(L$3),'Struktur Vorjahr'!$D337,INDIRECT(L$4))+SUMIF(INDIRECT(L$3),'Struktur Vorjahr'!$D337,INDIRECT(L$5)))</f>
        <v>0</v>
      </c>
      <c r="M337" s="593">
        <f ca="1">$E337*(-SUMIF(INDIRECT(M$3),'Struktur Vorjahr'!$D337,INDIRECT(M$4))+SUMIF(INDIRECT(M$3),'Struktur Vorjahr'!$D337,INDIRECT(M$5)))</f>
        <v>0</v>
      </c>
      <c r="N337" s="593">
        <f ca="1">$E337*(-SUMIF(INDIRECT(N$3),'Struktur Vorjahr'!$D337,INDIRECT(N$4))+SUMIF(INDIRECT(N$3),'Struktur Vorjahr'!$D337,INDIRECT(N$5)))</f>
        <v>0</v>
      </c>
      <c r="O337" s="593">
        <f ca="1">$E337*(-SUMIF(INDIRECT(O$3),'Struktur Vorjahr'!$D337,INDIRECT(O$4))+SUMIF(INDIRECT(O$3),'Struktur Vorjahr'!$D337,INDIRECT(O$5)))</f>
        <v>0</v>
      </c>
      <c r="P337" s="593">
        <f ca="1">$E337*(-SUMIF(INDIRECT(P$3),'Struktur Vorjahr'!$D337,INDIRECT(P$4))+SUMIF(INDIRECT(P$3),'Struktur Vorjahr'!$D337,INDIRECT(P$5)))</f>
        <v>0</v>
      </c>
      <c r="Q337" s="593">
        <f ca="1">$E337*(-SUMIF(INDIRECT(Q$3),'Struktur Vorjahr'!$D337,INDIRECT(Q$4))+SUMIF(INDIRECT(Q$3),'Struktur Vorjahr'!$D337,INDIRECT(Q$5)))</f>
        <v>0</v>
      </c>
      <c r="R337" s="593">
        <f ca="1">$E337*(-SUMIF(INDIRECT(R$3),'Struktur Vorjahr'!$D337,INDIRECT(R$4))+SUMIF(INDIRECT(R$3),'Struktur Vorjahr'!$D337,INDIRECT(R$5)))</f>
        <v>0</v>
      </c>
      <c r="S337" s="593">
        <f ca="1">$E337*(-SUMIF(INDIRECT(S$3),'Struktur Vorjahr'!$D337,INDIRECT(S$4))+SUMIF(INDIRECT(S$3),'Struktur Vorjahr'!$D337,INDIRECT(S$5)))</f>
        <v>0</v>
      </c>
      <c r="T337" s="593">
        <f ca="1">$E337*(-SUMIF(INDIRECT(T$3),'Struktur Vorjahr'!$D337,INDIRECT(T$4))+SUMIF(INDIRECT(T$3),'Struktur Vorjahr'!$D337,INDIRECT(T$5)))</f>
        <v>0</v>
      </c>
      <c r="U337" s="593">
        <f ca="1">$E337*(-SUMIF(INDIRECT(U$3),'Struktur Vorjahr'!$D337,INDIRECT(U$4))+SUMIF(INDIRECT(U$3),'Struktur Vorjahr'!$D337,INDIRECT(U$5)))</f>
        <v>0</v>
      </c>
      <c r="V337" s="593">
        <f ca="1">$E337*(-SUMIF(INDIRECT(V$3),'Struktur Vorjahr'!$D337,INDIRECT(V$4))+SUMIF(INDIRECT(V$3),'Struktur Vorjahr'!$D337,INDIRECT(V$5)))</f>
        <v>0</v>
      </c>
      <c r="W337" s="593">
        <f ca="1">$E337*(-SUMIF(INDIRECT(W$3),'Struktur Vorjahr'!$D337,INDIRECT(W$4))+SUMIF(INDIRECT(W$3),'Struktur Vorjahr'!$D337,INDIRECT(W$5)))</f>
        <v>0</v>
      </c>
      <c r="X337" s="593">
        <f ca="1">$E337*(-SUMIF(INDIRECT(X$3),'Struktur Vorjahr'!$D337,INDIRECT(X$4))+SUMIF(INDIRECT(X$3),'Struktur Vorjahr'!$D337,INDIRECT(X$5)))</f>
        <v>0</v>
      </c>
      <c r="Y337" s="593">
        <f ca="1">$E337*(-SUMIF(INDIRECT(Y$3),'Struktur Vorjahr'!$D337,INDIRECT(Y$4))+SUMIF(INDIRECT(Y$3),'Struktur Vorjahr'!$D337,INDIRECT(Y$5)))</f>
        <v>0</v>
      </c>
      <c r="Z337" s="593">
        <f ca="1">$E337*(-SUMIF(INDIRECT(Z$3),'Struktur Vorjahr'!$D337,INDIRECT(Z$4))+SUMIF(INDIRECT(Z$3),'Struktur Vorjahr'!$D337,INDIRECT(Z$5)))</f>
        <v>0</v>
      </c>
      <c r="AA337" s="593">
        <f ca="1">$E337*(-SUMIF(INDIRECT(AA$3),'Struktur Vorjahr'!$D337,INDIRECT(AA$4))+SUMIF(INDIRECT(AA$3),'Struktur Vorjahr'!$D337,INDIRECT(AA$5)))</f>
        <v>0</v>
      </c>
      <c r="AB337" s="593">
        <f ca="1">$E337*(-SUMIF(INDIRECT(AB$3),'Struktur Vorjahr'!$D337,INDIRECT(AB$4))+SUMIF(INDIRECT(AB$3),'Struktur Vorjahr'!$D337,INDIRECT(AB$5)))</f>
        <v>0</v>
      </c>
      <c r="AC337" s="593">
        <f ca="1">$E337*(-SUMIF(INDIRECT(AC$3),'Struktur Vorjahr'!$D337,INDIRECT(AC$4))+SUMIF(INDIRECT(AC$3),'Struktur Vorjahr'!$D337,INDIRECT(AC$5)))</f>
        <v>0</v>
      </c>
      <c r="AD337" s="593">
        <f ca="1">$E337*(-SUMIF(INDIRECT(AD$3),'Struktur Vorjahr'!$D337,INDIRECT(AD$4))+SUMIF(INDIRECT(AD$3),'Struktur Vorjahr'!$D337,INDIRECT(AD$5)))</f>
        <v>0</v>
      </c>
      <c r="AE337" s="593">
        <f t="shared" ca="1" si="154"/>
        <v>0</v>
      </c>
      <c r="AF337" s="593">
        <f t="shared" ca="1" si="155"/>
        <v>0</v>
      </c>
      <c r="AG337" s="593">
        <f t="shared" ca="1" si="155"/>
        <v>0</v>
      </c>
      <c r="AH337" s="593">
        <f t="shared" ca="1" si="155"/>
        <v>0</v>
      </c>
      <c r="AI337" s="593">
        <f t="shared" ca="1" si="155"/>
        <v>0</v>
      </c>
      <c r="AJ337" s="593">
        <f t="shared" ca="1" si="155"/>
        <v>0</v>
      </c>
      <c r="AK337" s="593">
        <f t="shared" ca="1" si="155"/>
        <v>0</v>
      </c>
      <c r="AL337" s="593">
        <f t="shared" ca="1" si="155"/>
        <v>0</v>
      </c>
      <c r="AM337" s="593">
        <f t="shared" ca="1" si="155"/>
        <v>0</v>
      </c>
      <c r="AN337" s="593">
        <f t="shared" ca="1" si="155"/>
        <v>0</v>
      </c>
      <c r="AO337" s="593">
        <f t="shared" ca="1" si="155"/>
        <v>0</v>
      </c>
      <c r="AP337" s="593">
        <f t="shared" ca="1" si="155"/>
        <v>0</v>
      </c>
    </row>
    <row r="338" spans="1:42" s="594" customFormat="1" ht="11.25" outlineLevel="1" x14ac:dyDescent="0.2">
      <c r="A338" s="590"/>
      <c r="B338" s="591" t="str">
        <f>IF(D338&lt;&gt;"",
IF(ISERROR(MATCH(D338,'Ist Vorjahr Monat 01'!A:A,0))=FALSE,INDEX('Ist Vorjahr Monat 01'!B:B,MATCH(D338,'Ist Vorjahr Monat 01'!A:A,0)),
IF(ISERROR(MATCH(D338,'Ist Vorjahr Monat 02'!A:A,0))=FALSE,INDEX('Ist Vorjahr Monat 02'!B:B,MATCH(D338,'Ist Vorjahr Monat 02'!A:A,0)),
IF(ISERROR(MATCH(D338,'Ist Vorjahr Monat 03'!A:A,0))=FALSE,INDEX('Ist Vorjahr Monat 03'!B:B,MATCH(D338,'Ist Vorjahr Monat 03'!A:A,0)),
IF(ISERROR(MATCH(D338,'Ist Vorjahr Monat 04'!A:A,0))=FALSE,INDEX('Ist Vorjahr Monat 04'!B:B,MATCH(D338,'Ist Vorjahr Monat 04'!A:A,0)),
IF(ISERROR(MATCH(D338,'Ist Vorjahr Monat 05'!A:A,0))=FALSE,INDEX('Ist Vorjahr Monat 05'!B:B,MATCH(D338,'Ist Vorjahr Monat 05'!A:A,0)),
IF(ISERROR(MATCH(D338,'Ist Vorjahr Monat 06'!A:A,0))=FALSE,INDEX('Ist Vorjahr Monat 06'!B:B,MATCH(D338,'Ist Vorjahr Monat 06'!A:A,0)),
IF(ISERROR(MATCH(D338,'Ist Vorjahr Monat 07'!A:A,0))=FALSE,INDEX('Ist Vorjahr Monat 07'!B:B,MATCH(D338,'Ist Vorjahr Monat 07'!A:A,0)),
IF(ISERROR(MATCH(D338,'Ist Vorjahr Monat 08'!A:A,0))=FALSE,INDEX('Ist Vorjahr Monat 08'!B:B,MATCH(D338,'Ist Vorjahr Monat 08'!A:A,0)),
IF(ISERROR(MATCH(D338,'Ist Vorjahr Monat 09'!A:A,0))=FALSE,INDEX('Ist Vorjahr Monat 09'!B:B,MATCH(D338,'Ist Vorjahr Monat 09'!A:A,0)),
IF(ISERROR(MATCH(D338,'Ist Vorjahr Monat 10'!A:A,0))=FALSE,INDEX('Ist Vorjahr Monat 10'!B:B,MATCH(D338,'Ist Vorjahr Monat 10'!A:A,0)),
IF(ISERROR(MATCH(D338,'Ist Vorjahr Monat 11'!A:A,0))=FALSE,INDEX('Ist Vorjahr Monat 11'!B:B,MATCH(D338,'Ist Vorjahr Monat 11'!A:A,0)),
IF(ISERROR(MATCH(D338,'Ist Vorjahr Monat 12'!A:A,0))=FALSE,INDEX('Ist Vorjahr Monat 12'!B:B,MATCH(D338,'Ist Vorjahr Monat 12'!A:A,0)),
"{Konto unbekannt}"
)))))))))))),"")</f>
        <v/>
      </c>
      <c r="C338" s="591"/>
      <c r="D338" s="590"/>
      <c r="E338" s="592">
        <f t="shared" si="121"/>
        <v>-1</v>
      </c>
      <c r="F338" s="590" t="s">
        <v>996</v>
      </c>
      <c r="G338" s="593">
        <f ca="1">$E338*(-SUMIF(INDIRECT(G$3),'Struktur Vorjahr'!$D338,INDIRECT(G$4))+SUMIF(INDIRECT(G$3),'Struktur Vorjahr'!$D338,INDIRECT(G$5)))</f>
        <v>0</v>
      </c>
      <c r="H338" s="593">
        <f ca="1">$E338*(-SUMIF(INDIRECT(H$3),'Struktur Vorjahr'!$D338,INDIRECT(H$4))+SUMIF(INDIRECT(H$3),'Struktur Vorjahr'!$D338,INDIRECT(H$5)))</f>
        <v>0</v>
      </c>
      <c r="I338" s="593">
        <f ca="1">$E338*(-SUMIF(INDIRECT(I$3),'Struktur Vorjahr'!$D338,INDIRECT(I$4))+SUMIF(INDIRECT(I$3),'Struktur Vorjahr'!$D338,INDIRECT(I$5)))</f>
        <v>0</v>
      </c>
      <c r="J338" s="593">
        <f ca="1">$E338*(-SUMIF(INDIRECT(J$3),'Struktur Vorjahr'!$D338,INDIRECT(J$4))+SUMIF(INDIRECT(J$3),'Struktur Vorjahr'!$D338,INDIRECT(J$5)))</f>
        <v>0</v>
      </c>
      <c r="K338" s="593">
        <f ca="1">$E338*(-SUMIF(INDIRECT(K$3),'Struktur Vorjahr'!$D338,INDIRECT(K$4))+SUMIF(INDIRECT(K$3),'Struktur Vorjahr'!$D338,INDIRECT(K$5)))</f>
        <v>0</v>
      </c>
      <c r="L338" s="593">
        <f ca="1">$E338*(-SUMIF(INDIRECT(L$3),'Struktur Vorjahr'!$D338,INDIRECT(L$4))+SUMIF(INDIRECT(L$3),'Struktur Vorjahr'!$D338,INDIRECT(L$5)))</f>
        <v>0</v>
      </c>
      <c r="M338" s="593">
        <f ca="1">$E338*(-SUMIF(INDIRECT(M$3),'Struktur Vorjahr'!$D338,INDIRECT(M$4))+SUMIF(INDIRECT(M$3),'Struktur Vorjahr'!$D338,INDIRECT(M$5)))</f>
        <v>0</v>
      </c>
      <c r="N338" s="593">
        <f ca="1">$E338*(-SUMIF(INDIRECT(N$3),'Struktur Vorjahr'!$D338,INDIRECT(N$4))+SUMIF(INDIRECT(N$3),'Struktur Vorjahr'!$D338,INDIRECT(N$5)))</f>
        <v>0</v>
      </c>
      <c r="O338" s="593">
        <f ca="1">$E338*(-SUMIF(INDIRECT(O$3),'Struktur Vorjahr'!$D338,INDIRECT(O$4))+SUMIF(INDIRECT(O$3),'Struktur Vorjahr'!$D338,INDIRECT(O$5)))</f>
        <v>0</v>
      </c>
      <c r="P338" s="593">
        <f ca="1">$E338*(-SUMIF(INDIRECT(P$3),'Struktur Vorjahr'!$D338,INDIRECT(P$4))+SUMIF(INDIRECT(P$3),'Struktur Vorjahr'!$D338,INDIRECT(P$5)))</f>
        <v>0</v>
      </c>
      <c r="Q338" s="593">
        <f ca="1">$E338*(-SUMIF(INDIRECT(Q$3),'Struktur Vorjahr'!$D338,INDIRECT(Q$4))+SUMIF(INDIRECT(Q$3),'Struktur Vorjahr'!$D338,INDIRECT(Q$5)))</f>
        <v>0</v>
      </c>
      <c r="R338" s="593">
        <f ca="1">$E338*(-SUMIF(INDIRECT(R$3),'Struktur Vorjahr'!$D338,INDIRECT(R$4))+SUMIF(INDIRECT(R$3),'Struktur Vorjahr'!$D338,INDIRECT(R$5)))</f>
        <v>0</v>
      </c>
      <c r="S338" s="593">
        <f ca="1">$E338*(-SUMIF(INDIRECT(S$3),'Struktur Vorjahr'!$D338,INDIRECT(S$4))+SUMIF(INDIRECT(S$3),'Struktur Vorjahr'!$D338,INDIRECT(S$5)))</f>
        <v>0</v>
      </c>
      <c r="T338" s="593">
        <f ca="1">$E338*(-SUMIF(INDIRECT(T$3),'Struktur Vorjahr'!$D338,INDIRECT(T$4))+SUMIF(INDIRECT(T$3),'Struktur Vorjahr'!$D338,INDIRECT(T$5)))</f>
        <v>0</v>
      </c>
      <c r="U338" s="593">
        <f ca="1">$E338*(-SUMIF(INDIRECT(U$3),'Struktur Vorjahr'!$D338,INDIRECT(U$4))+SUMIF(INDIRECT(U$3),'Struktur Vorjahr'!$D338,INDIRECT(U$5)))</f>
        <v>0</v>
      </c>
      <c r="V338" s="593">
        <f ca="1">$E338*(-SUMIF(INDIRECT(V$3),'Struktur Vorjahr'!$D338,INDIRECT(V$4))+SUMIF(INDIRECT(V$3),'Struktur Vorjahr'!$D338,INDIRECT(V$5)))</f>
        <v>0</v>
      </c>
      <c r="W338" s="593">
        <f ca="1">$E338*(-SUMIF(INDIRECT(W$3),'Struktur Vorjahr'!$D338,INDIRECT(W$4))+SUMIF(INDIRECT(W$3),'Struktur Vorjahr'!$D338,INDIRECT(W$5)))</f>
        <v>0</v>
      </c>
      <c r="X338" s="593">
        <f ca="1">$E338*(-SUMIF(INDIRECT(X$3),'Struktur Vorjahr'!$D338,INDIRECT(X$4))+SUMIF(INDIRECT(X$3),'Struktur Vorjahr'!$D338,INDIRECT(X$5)))</f>
        <v>0</v>
      </c>
      <c r="Y338" s="593">
        <f ca="1">$E338*(-SUMIF(INDIRECT(Y$3),'Struktur Vorjahr'!$D338,INDIRECT(Y$4))+SUMIF(INDIRECT(Y$3),'Struktur Vorjahr'!$D338,INDIRECT(Y$5)))</f>
        <v>0</v>
      </c>
      <c r="Z338" s="593">
        <f ca="1">$E338*(-SUMIF(INDIRECT(Z$3),'Struktur Vorjahr'!$D338,INDIRECT(Z$4))+SUMIF(INDIRECT(Z$3),'Struktur Vorjahr'!$D338,INDIRECT(Z$5)))</f>
        <v>0</v>
      </c>
      <c r="AA338" s="593">
        <f ca="1">$E338*(-SUMIF(INDIRECT(AA$3),'Struktur Vorjahr'!$D338,INDIRECT(AA$4))+SUMIF(INDIRECT(AA$3),'Struktur Vorjahr'!$D338,INDIRECT(AA$5)))</f>
        <v>0</v>
      </c>
      <c r="AB338" s="593">
        <f ca="1">$E338*(-SUMIF(INDIRECT(AB$3),'Struktur Vorjahr'!$D338,INDIRECT(AB$4))+SUMIF(INDIRECT(AB$3),'Struktur Vorjahr'!$D338,INDIRECT(AB$5)))</f>
        <v>0</v>
      </c>
      <c r="AC338" s="593">
        <f ca="1">$E338*(-SUMIF(INDIRECT(AC$3),'Struktur Vorjahr'!$D338,INDIRECT(AC$4))+SUMIF(INDIRECT(AC$3),'Struktur Vorjahr'!$D338,INDIRECT(AC$5)))</f>
        <v>0</v>
      </c>
      <c r="AD338" s="593">
        <f ca="1">$E338*(-SUMIF(INDIRECT(AD$3),'Struktur Vorjahr'!$D338,INDIRECT(AD$4))+SUMIF(INDIRECT(AD$3),'Struktur Vorjahr'!$D338,INDIRECT(AD$5)))</f>
        <v>0</v>
      </c>
      <c r="AE338" s="593">
        <f t="shared" ca="1" si="154"/>
        <v>0</v>
      </c>
      <c r="AF338" s="593">
        <f t="shared" ca="1" si="155"/>
        <v>0</v>
      </c>
      <c r="AG338" s="593">
        <f t="shared" ca="1" si="155"/>
        <v>0</v>
      </c>
      <c r="AH338" s="593">
        <f t="shared" ca="1" si="155"/>
        <v>0</v>
      </c>
      <c r="AI338" s="593">
        <f t="shared" ca="1" si="155"/>
        <v>0</v>
      </c>
      <c r="AJ338" s="593">
        <f t="shared" ca="1" si="155"/>
        <v>0</v>
      </c>
      <c r="AK338" s="593">
        <f t="shared" ca="1" si="155"/>
        <v>0</v>
      </c>
      <c r="AL338" s="593">
        <f t="shared" ca="1" si="155"/>
        <v>0</v>
      </c>
      <c r="AM338" s="593">
        <f t="shared" ca="1" si="155"/>
        <v>0</v>
      </c>
      <c r="AN338" s="593">
        <f t="shared" ca="1" si="155"/>
        <v>0</v>
      </c>
      <c r="AO338" s="593">
        <f t="shared" ca="1" si="155"/>
        <v>0</v>
      </c>
      <c r="AP338" s="593">
        <f t="shared" ca="1" si="155"/>
        <v>0</v>
      </c>
    </row>
    <row r="339" spans="1:42" s="594" customFormat="1" ht="11.25" outlineLevel="1" x14ac:dyDescent="0.2">
      <c r="A339" s="590"/>
      <c r="B339" s="591" t="str">
        <f>IF(D339&lt;&gt;"",
IF(ISERROR(MATCH(D339,'Ist Vorjahr Monat 01'!A:A,0))=FALSE,INDEX('Ist Vorjahr Monat 01'!B:B,MATCH(D339,'Ist Vorjahr Monat 01'!A:A,0)),
IF(ISERROR(MATCH(D339,'Ist Vorjahr Monat 02'!A:A,0))=FALSE,INDEX('Ist Vorjahr Monat 02'!B:B,MATCH(D339,'Ist Vorjahr Monat 02'!A:A,0)),
IF(ISERROR(MATCH(D339,'Ist Vorjahr Monat 03'!A:A,0))=FALSE,INDEX('Ist Vorjahr Monat 03'!B:B,MATCH(D339,'Ist Vorjahr Monat 03'!A:A,0)),
IF(ISERROR(MATCH(D339,'Ist Vorjahr Monat 04'!A:A,0))=FALSE,INDEX('Ist Vorjahr Monat 04'!B:B,MATCH(D339,'Ist Vorjahr Monat 04'!A:A,0)),
IF(ISERROR(MATCH(D339,'Ist Vorjahr Monat 05'!A:A,0))=FALSE,INDEX('Ist Vorjahr Monat 05'!B:B,MATCH(D339,'Ist Vorjahr Monat 05'!A:A,0)),
IF(ISERROR(MATCH(D339,'Ist Vorjahr Monat 06'!A:A,0))=FALSE,INDEX('Ist Vorjahr Monat 06'!B:B,MATCH(D339,'Ist Vorjahr Monat 06'!A:A,0)),
IF(ISERROR(MATCH(D339,'Ist Vorjahr Monat 07'!A:A,0))=FALSE,INDEX('Ist Vorjahr Monat 07'!B:B,MATCH(D339,'Ist Vorjahr Monat 07'!A:A,0)),
IF(ISERROR(MATCH(D339,'Ist Vorjahr Monat 08'!A:A,0))=FALSE,INDEX('Ist Vorjahr Monat 08'!B:B,MATCH(D339,'Ist Vorjahr Monat 08'!A:A,0)),
IF(ISERROR(MATCH(D339,'Ist Vorjahr Monat 09'!A:A,0))=FALSE,INDEX('Ist Vorjahr Monat 09'!B:B,MATCH(D339,'Ist Vorjahr Monat 09'!A:A,0)),
IF(ISERROR(MATCH(D339,'Ist Vorjahr Monat 10'!A:A,0))=FALSE,INDEX('Ist Vorjahr Monat 10'!B:B,MATCH(D339,'Ist Vorjahr Monat 10'!A:A,0)),
IF(ISERROR(MATCH(D339,'Ist Vorjahr Monat 11'!A:A,0))=FALSE,INDEX('Ist Vorjahr Monat 11'!B:B,MATCH(D339,'Ist Vorjahr Monat 11'!A:A,0)),
IF(ISERROR(MATCH(D339,'Ist Vorjahr Monat 12'!A:A,0))=FALSE,INDEX('Ist Vorjahr Monat 12'!B:B,MATCH(D339,'Ist Vorjahr Monat 12'!A:A,0)),
"{Konto unbekannt}"
)))))))))))),"")</f>
        <v/>
      </c>
      <c r="C339" s="591"/>
      <c r="D339" s="590"/>
      <c r="E339" s="592">
        <f t="shared" si="121"/>
        <v>-1</v>
      </c>
      <c r="F339" s="590" t="s">
        <v>996</v>
      </c>
      <c r="G339" s="593">
        <f ca="1">$E339*(-SUMIF(INDIRECT(G$3),'Struktur Vorjahr'!$D339,INDIRECT(G$4))+SUMIF(INDIRECT(G$3),'Struktur Vorjahr'!$D339,INDIRECT(G$5)))</f>
        <v>0</v>
      </c>
      <c r="H339" s="593">
        <f ca="1">$E339*(-SUMIF(INDIRECT(H$3),'Struktur Vorjahr'!$D339,INDIRECT(H$4))+SUMIF(INDIRECT(H$3),'Struktur Vorjahr'!$D339,INDIRECT(H$5)))</f>
        <v>0</v>
      </c>
      <c r="I339" s="593">
        <f ca="1">$E339*(-SUMIF(INDIRECT(I$3),'Struktur Vorjahr'!$D339,INDIRECT(I$4))+SUMIF(INDIRECT(I$3),'Struktur Vorjahr'!$D339,INDIRECT(I$5)))</f>
        <v>0</v>
      </c>
      <c r="J339" s="593">
        <f ca="1">$E339*(-SUMIF(INDIRECT(J$3),'Struktur Vorjahr'!$D339,INDIRECT(J$4))+SUMIF(INDIRECT(J$3),'Struktur Vorjahr'!$D339,INDIRECT(J$5)))</f>
        <v>0</v>
      </c>
      <c r="K339" s="593">
        <f ca="1">$E339*(-SUMIF(INDIRECT(K$3),'Struktur Vorjahr'!$D339,INDIRECT(K$4))+SUMIF(INDIRECT(K$3),'Struktur Vorjahr'!$D339,INDIRECT(K$5)))</f>
        <v>0</v>
      </c>
      <c r="L339" s="593">
        <f ca="1">$E339*(-SUMIF(INDIRECT(L$3),'Struktur Vorjahr'!$D339,INDIRECT(L$4))+SUMIF(INDIRECT(L$3),'Struktur Vorjahr'!$D339,INDIRECT(L$5)))</f>
        <v>0</v>
      </c>
      <c r="M339" s="593">
        <f ca="1">$E339*(-SUMIF(INDIRECT(M$3),'Struktur Vorjahr'!$D339,INDIRECT(M$4))+SUMIF(INDIRECT(M$3),'Struktur Vorjahr'!$D339,INDIRECT(M$5)))</f>
        <v>0</v>
      </c>
      <c r="N339" s="593">
        <f ca="1">$E339*(-SUMIF(INDIRECT(N$3),'Struktur Vorjahr'!$D339,INDIRECT(N$4))+SUMIF(INDIRECT(N$3),'Struktur Vorjahr'!$D339,INDIRECT(N$5)))</f>
        <v>0</v>
      </c>
      <c r="O339" s="593">
        <f ca="1">$E339*(-SUMIF(INDIRECT(O$3),'Struktur Vorjahr'!$D339,INDIRECT(O$4))+SUMIF(INDIRECT(O$3),'Struktur Vorjahr'!$D339,INDIRECT(O$5)))</f>
        <v>0</v>
      </c>
      <c r="P339" s="593">
        <f ca="1">$E339*(-SUMIF(INDIRECT(P$3),'Struktur Vorjahr'!$D339,INDIRECT(P$4))+SUMIF(INDIRECT(P$3),'Struktur Vorjahr'!$D339,INDIRECT(P$5)))</f>
        <v>0</v>
      </c>
      <c r="Q339" s="593">
        <f ca="1">$E339*(-SUMIF(INDIRECT(Q$3),'Struktur Vorjahr'!$D339,INDIRECT(Q$4))+SUMIF(INDIRECT(Q$3),'Struktur Vorjahr'!$D339,INDIRECT(Q$5)))</f>
        <v>0</v>
      </c>
      <c r="R339" s="593">
        <f ca="1">$E339*(-SUMIF(INDIRECT(R$3),'Struktur Vorjahr'!$D339,INDIRECT(R$4))+SUMIF(INDIRECT(R$3),'Struktur Vorjahr'!$D339,INDIRECT(R$5)))</f>
        <v>0</v>
      </c>
      <c r="S339" s="593">
        <f ca="1">$E339*(-SUMIF(INDIRECT(S$3),'Struktur Vorjahr'!$D339,INDIRECT(S$4))+SUMIF(INDIRECT(S$3),'Struktur Vorjahr'!$D339,INDIRECT(S$5)))</f>
        <v>0</v>
      </c>
      <c r="T339" s="593">
        <f ca="1">$E339*(-SUMIF(INDIRECT(T$3),'Struktur Vorjahr'!$D339,INDIRECT(T$4))+SUMIF(INDIRECT(T$3),'Struktur Vorjahr'!$D339,INDIRECT(T$5)))</f>
        <v>0</v>
      </c>
      <c r="U339" s="593">
        <f ca="1">$E339*(-SUMIF(INDIRECT(U$3),'Struktur Vorjahr'!$D339,INDIRECT(U$4))+SUMIF(INDIRECT(U$3),'Struktur Vorjahr'!$D339,INDIRECT(U$5)))</f>
        <v>0</v>
      </c>
      <c r="V339" s="593">
        <f ca="1">$E339*(-SUMIF(INDIRECT(V$3),'Struktur Vorjahr'!$D339,INDIRECT(V$4))+SUMIF(INDIRECT(V$3),'Struktur Vorjahr'!$D339,INDIRECT(V$5)))</f>
        <v>0</v>
      </c>
      <c r="W339" s="593">
        <f ca="1">$E339*(-SUMIF(INDIRECT(W$3),'Struktur Vorjahr'!$D339,INDIRECT(W$4))+SUMIF(INDIRECT(W$3),'Struktur Vorjahr'!$D339,INDIRECT(W$5)))</f>
        <v>0</v>
      </c>
      <c r="X339" s="593">
        <f ca="1">$E339*(-SUMIF(INDIRECT(X$3),'Struktur Vorjahr'!$D339,INDIRECT(X$4))+SUMIF(INDIRECT(X$3),'Struktur Vorjahr'!$D339,INDIRECT(X$5)))</f>
        <v>0</v>
      </c>
      <c r="Y339" s="593">
        <f ca="1">$E339*(-SUMIF(INDIRECT(Y$3),'Struktur Vorjahr'!$D339,INDIRECT(Y$4))+SUMIF(INDIRECT(Y$3),'Struktur Vorjahr'!$D339,INDIRECT(Y$5)))</f>
        <v>0</v>
      </c>
      <c r="Z339" s="593">
        <f ca="1">$E339*(-SUMIF(INDIRECT(Z$3),'Struktur Vorjahr'!$D339,INDIRECT(Z$4))+SUMIF(INDIRECT(Z$3),'Struktur Vorjahr'!$D339,INDIRECT(Z$5)))</f>
        <v>0</v>
      </c>
      <c r="AA339" s="593">
        <f ca="1">$E339*(-SUMIF(INDIRECT(AA$3),'Struktur Vorjahr'!$D339,INDIRECT(AA$4))+SUMIF(INDIRECT(AA$3),'Struktur Vorjahr'!$D339,INDIRECT(AA$5)))</f>
        <v>0</v>
      </c>
      <c r="AB339" s="593">
        <f ca="1">$E339*(-SUMIF(INDIRECT(AB$3),'Struktur Vorjahr'!$D339,INDIRECT(AB$4))+SUMIF(INDIRECT(AB$3),'Struktur Vorjahr'!$D339,INDIRECT(AB$5)))</f>
        <v>0</v>
      </c>
      <c r="AC339" s="593">
        <f ca="1">$E339*(-SUMIF(INDIRECT(AC$3),'Struktur Vorjahr'!$D339,INDIRECT(AC$4))+SUMIF(INDIRECT(AC$3),'Struktur Vorjahr'!$D339,INDIRECT(AC$5)))</f>
        <v>0</v>
      </c>
      <c r="AD339" s="593">
        <f ca="1">$E339*(-SUMIF(INDIRECT(AD$3),'Struktur Vorjahr'!$D339,INDIRECT(AD$4))+SUMIF(INDIRECT(AD$3),'Struktur Vorjahr'!$D339,INDIRECT(AD$5)))</f>
        <v>0</v>
      </c>
      <c r="AE339" s="593">
        <f t="shared" ca="1" si="154"/>
        <v>0</v>
      </c>
      <c r="AF339" s="593">
        <f t="shared" ca="1" si="155"/>
        <v>0</v>
      </c>
      <c r="AG339" s="593">
        <f t="shared" ca="1" si="155"/>
        <v>0</v>
      </c>
      <c r="AH339" s="593">
        <f t="shared" ca="1" si="155"/>
        <v>0</v>
      </c>
      <c r="AI339" s="593">
        <f t="shared" ca="1" si="155"/>
        <v>0</v>
      </c>
      <c r="AJ339" s="593">
        <f t="shared" ca="1" si="155"/>
        <v>0</v>
      </c>
      <c r="AK339" s="593">
        <f t="shared" ca="1" si="155"/>
        <v>0</v>
      </c>
      <c r="AL339" s="593">
        <f t="shared" ca="1" si="155"/>
        <v>0</v>
      </c>
      <c r="AM339" s="593">
        <f t="shared" ca="1" si="155"/>
        <v>0</v>
      </c>
      <c r="AN339" s="593">
        <f t="shared" ca="1" si="155"/>
        <v>0</v>
      </c>
      <c r="AO339" s="593">
        <f t="shared" ca="1" si="155"/>
        <v>0</v>
      </c>
      <c r="AP339" s="593">
        <f t="shared" ca="1" si="155"/>
        <v>0</v>
      </c>
    </row>
    <row r="340" spans="1:42" s="589" customFormat="1" x14ac:dyDescent="0.2">
      <c r="A340" s="585">
        <v>33</v>
      </c>
      <c r="B340" s="586" t="s">
        <v>1019</v>
      </c>
      <c r="C340" s="587">
        <f ca="1">SUM(G340:R340)</f>
        <v>0</v>
      </c>
      <c r="D340" s="587"/>
      <c r="E340" s="588">
        <f t="shared" si="121"/>
        <v>1</v>
      </c>
      <c r="F340" s="585"/>
      <c r="G340" s="587">
        <f t="shared" ref="G340:AP340" ca="1" si="156">SUM(G341:G346)</f>
        <v>0</v>
      </c>
      <c r="H340" s="587">
        <f t="shared" ca="1" si="156"/>
        <v>0</v>
      </c>
      <c r="I340" s="587">
        <f t="shared" ca="1" si="156"/>
        <v>0</v>
      </c>
      <c r="J340" s="587">
        <f t="shared" ca="1" si="156"/>
        <v>0</v>
      </c>
      <c r="K340" s="587">
        <f t="shared" ca="1" si="156"/>
        <v>0</v>
      </c>
      <c r="L340" s="587">
        <f t="shared" ca="1" si="156"/>
        <v>0</v>
      </c>
      <c r="M340" s="587">
        <f t="shared" ca="1" si="156"/>
        <v>0</v>
      </c>
      <c r="N340" s="587">
        <f t="shared" ca="1" si="156"/>
        <v>0</v>
      </c>
      <c r="O340" s="587">
        <f t="shared" ca="1" si="156"/>
        <v>0</v>
      </c>
      <c r="P340" s="587">
        <f t="shared" ca="1" si="156"/>
        <v>0</v>
      </c>
      <c r="Q340" s="587">
        <f t="shared" ca="1" si="156"/>
        <v>0</v>
      </c>
      <c r="R340" s="587">
        <f t="shared" ca="1" si="156"/>
        <v>0</v>
      </c>
      <c r="S340" s="587">
        <f t="shared" ca="1" si="156"/>
        <v>0</v>
      </c>
      <c r="T340" s="587">
        <f t="shared" ca="1" si="156"/>
        <v>0</v>
      </c>
      <c r="U340" s="587">
        <f t="shared" ca="1" si="156"/>
        <v>0</v>
      </c>
      <c r="V340" s="587">
        <f t="shared" ca="1" si="156"/>
        <v>0</v>
      </c>
      <c r="W340" s="587">
        <f t="shared" ca="1" si="156"/>
        <v>0</v>
      </c>
      <c r="X340" s="587">
        <f t="shared" ca="1" si="156"/>
        <v>0</v>
      </c>
      <c r="Y340" s="587">
        <f t="shared" ca="1" si="156"/>
        <v>0</v>
      </c>
      <c r="Z340" s="587">
        <f t="shared" ca="1" si="156"/>
        <v>0</v>
      </c>
      <c r="AA340" s="587">
        <f t="shared" ca="1" si="156"/>
        <v>0</v>
      </c>
      <c r="AB340" s="587">
        <f t="shared" ca="1" si="156"/>
        <v>0</v>
      </c>
      <c r="AC340" s="587">
        <f t="shared" ca="1" si="156"/>
        <v>0</v>
      </c>
      <c r="AD340" s="587">
        <f t="shared" ca="1" si="156"/>
        <v>0</v>
      </c>
      <c r="AE340" s="587">
        <f t="shared" ca="1" si="156"/>
        <v>0</v>
      </c>
      <c r="AF340" s="587">
        <f t="shared" ca="1" si="156"/>
        <v>0</v>
      </c>
      <c r="AG340" s="587">
        <f t="shared" ca="1" si="156"/>
        <v>0</v>
      </c>
      <c r="AH340" s="587">
        <f t="shared" ca="1" si="156"/>
        <v>0</v>
      </c>
      <c r="AI340" s="587">
        <f t="shared" ca="1" si="156"/>
        <v>0</v>
      </c>
      <c r="AJ340" s="587">
        <f t="shared" ca="1" si="156"/>
        <v>0</v>
      </c>
      <c r="AK340" s="587">
        <f t="shared" ca="1" si="156"/>
        <v>0</v>
      </c>
      <c r="AL340" s="587">
        <f t="shared" ca="1" si="156"/>
        <v>0</v>
      </c>
      <c r="AM340" s="587">
        <f t="shared" ca="1" si="156"/>
        <v>0</v>
      </c>
      <c r="AN340" s="587">
        <f t="shared" ca="1" si="156"/>
        <v>0</v>
      </c>
      <c r="AO340" s="587">
        <f t="shared" ca="1" si="156"/>
        <v>0</v>
      </c>
      <c r="AP340" s="587">
        <f t="shared" ca="1" si="156"/>
        <v>0</v>
      </c>
    </row>
    <row r="341" spans="1:42" s="594" customFormat="1" ht="11.25" outlineLevel="1" x14ac:dyDescent="0.2">
      <c r="A341" s="590"/>
      <c r="B341" s="591" t="str">
        <f>IF(D341&lt;&gt;"",
IF(ISERROR(MATCH(D341,'Ist Vorjahr Monat 01'!A:A,0))=FALSE,INDEX('Ist Vorjahr Monat 01'!B:B,MATCH(D341,'Ist Vorjahr Monat 01'!A:A,0)),
IF(ISERROR(MATCH(D341,'Ist Vorjahr Monat 02'!A:A,0))=FALSE,INDEX('Ist Vorjahr Monat 02'!B:B,MATCH(D341,'Ist Vorjahr Monat 02'!A:A,0)),
IF(ISERROR(MATCH(D341,'Ist Vorjahr Monat 03'!A:A,0))=FALSE,INDEX('Ist Vorjahr Monat 03'!B:B,MATCH(D341,'Ist Vorjahr Monat 03'!A:A,0)),
IF(ISERROR(MATCH(D341,'Ist Vorjahr Monat 04'!A:A,0))=FALSE,INDEX('Ist Vorjahr Monat 04'!B:B,MATCH(D341,'Ist Vorjahr Monat 04'!A:A,0)),
IF(ISERROR(MATCH(D341,'Ist Vorjahr Monat 05'!A:A,0))=FALSE,INDEX('Ist Vorjahr Monat 05'!B:B,MATCH(D341,'Ist Vorjahr Monat 05'!A:A,0)),
IF(ISERROR(MATCH(D341,'Ist Vorjahr Monat 06'!A:A,0))=FALSE,INDEX('Ist Vorjahr Monat 06'!B:B,MATCH(D341,'Ist Vorjahr Monat 06'!A:A,0)),
IF(ISERROR(MATCH(D341,'Ist Vorjahr Monat 07'!A:A,0))=FALSE,INDEX('Ist Vorjahr Monat 07'!B:B,MATCH(D341,'Ist Vorjahr Monat 07'!A:A,0)),
IF(ISERROR(MATCH(D341,'Ist Vorjahr Monat 08'!A:A,0))=FALSE,INDEX('Ist Vorjahr Monat 08'!B:B,MATCH(D341,'Ist Vorjahr Monat 08'!A:A,0)),
IF(ISERROR(MATCH(D341,'Ist Vorjahr Monat 09'!A:A,0))=FALSE,INDEX('Ist Vorjahr Monat 09'!B:B,MATCH(D341,'Ist Vorjahr Monat 09'!A:A,0)),
IF(ISERROR(MATCH(D341,'Ist Vorjahr Monat 10'!A:A,0))=FALSE,INDEX('Ist Vorjahr Monat 10'!B:B,MATCH(D341,'Ist Vorjahr Monat 10'!A:A,0)),
IF(ISERROR(MATCH(D341,'Ist Vorjahr Monat 11'!A:A,0))=FALSE,INDEX('Ist Vorjahr Monat 11'!B:B,MATCH(D341,'Ist Vorjahr Monat 11'!A:A,0)),
IF(ISERROR(MATCH(D341,'Ist Vorjahr Monat 12'!A:A,0))=FALSE,INDEX('Ist Vorjahr Monat 12'!B:B,MATCH(D341,'Ist Vorjahr Monat 12'!A:A,0)),
"{Konto unbekannt}"
)))))))))))),"")</f>
        <v/>
      </c>
      <c r="C341" s="591"/>
      <c r="D341" s="590"/>
      <c r="E341" s="592">
        <f t="shared" si="121"/>
        <v>-1</v>
      </c>
      <c r="F341" s="590" t="s">
        <v>996</v>
      </c>
      <c r="G341" s="593">
        <f ca="1">$E341*(-SUMIF(INDIRECT(G$3),'Struktur Vorjahr'!$D341,INDIRECT(G$4))+SUMIF(INDIRECT(G$3),'Struktur Vorjahr'!$D341,INDIRECT(G$5)))</f>
        <v>0</v>
      </c>
      <c r="H341" s="593">
        <f ca="1">$E341*(-SUMIF(INDIRECT(H$3),'Struktur Vorjahr'!$D341,INDIRECT(H$4))+SUMIF(INDIRECT(H$3),'Struktur Vorjahr'!$D341,INDIRECT(H$5)))</f>
        <v>0</v>
      </c>
      <c r="I341" s="593">
        <f ca="1">$E341*(-SUMIF(INDIRECT(I$3),'Struktur Vorjahr'!$D341,INDIRECT(I$4))+SUMIF(INDIRECT(I$3),'Struktur Vorjahr'!$D341,INDIRECT(I$5)))</f>
        <v>0</v>
      </c>
      <c r="J341" s="593">
        <f ca="1">$E341*(-SUMIF(INDIRECT(J$3),'Struktur Vorjahr'!$D341,INDIRECT(J$4))+SUMIF(INDIRECT(J$3),'Struktur Vorjahr'!$D341,INDIRECT(J$5)))</f>
        <v>0</v>
      </c>
      <c r="K341" s="593">
        <f ca="1">$E341*(-SUMIF(INDIRECT(K$3),'Struktur Vorjahr'!$D341,INDIRECT(K$4))+SUMIF(INDIRECT(K$3),'Struktur Vorjahr'!$D341,INDIRECT(K$5)))</f>
        <v>0</v>
      </c>
      <c r="L341" s="593">
        <f ca="1">$E341*(-SUMIF(INDIRECT(L$3),'Struktur Vorjahr'!$D341,INDIRECT(L$4))+SUMIF(INDIRECT(L$3),'Struktur Vorjahr'!$D341,INDIRECT(L$5)))</f>
        <v>0</v>
      </c>
      <c r="M341" s="593">
        <f ca="1">$E341*(-SUMIF(INDIRECT(M$3),'Struktur Vorjahr'!$D341,INDIRECT(M$4))+SUMIF(INDIRECT(M$3),'Struktur Vorjahr'!$D341,INDIRECT(M$5)))</f>
        <v>0</v>
      </c>
      <c r="N341" s="593">
        <f ca="1">$E341*(-SUMIF(INDIRECT(N$3),'Struktur Vorjahr'!$D341,INDIRECT(N$4))+SUMIF(INDIRECT(N$3),'Struktur Vorjahr'!$D341,INDIRECT(N$5)))</f>
        <v>0</v>
      </c>
      <c r="O341" s="593">
        <f ca="1">$E341*(-SUMIF(INDIRECT(O$3),'Struktur Vorjahr'!$D341,INDIRECT(O$4))+SUMIF(INDIRECT(O$3),'Struktur Vorjahr'!$D341,INDIRECT(O$5)))</f>
        <v>0</v>
      </c>
      <c r="P341" s="593">
        <f ca="1">$E341*(-SUMIF(INDIRECT(P$3),'Struktur Vorjahr'!$D341,INDIRECT(P$4))+SUMIF(INDIRECT(P$3),'Struktur Vorjahr'!$D341,INDIRECT(P$5)))</f>
        <v>0</v>
      </c>
      <c r="Q341" s="593">
        <f ca="1">$E341*(-SUMIF(INDIRECT(Q$3),'Struktur Vorjahr'!$D341,INDIRECT(Q$4))+SUMIF(INDIRECT(Q$3),'Struktur Vorjahr'!$D341,INDIRECT(Q$5)))</f>
        <v>0</v>
      </c>
      <c r="R341" s="593">
        <f ca="1">$E341*(-SUMIF(INDIRECT(R$3),'Struktur Vorjahr'!$D341,INDIRECT(R$4))+SUMIF(INDIRECT(R$3),'Struktur Vorjahr'!$D341,INDIRECT(R$5)))</f>
        <v>0</v>
      </c>
      <c r="S341" s="593">
        <f ca="1">$E341*(-SUMIF(INDIRECT(S$3),'Struktur Vorjahr'!$D341,INDIRECT(S$4))+SUMIF(INDIRECT(S$3),'Struktur Vorjahr'!$D341,INDIRECT(S$5)))</f>
        <v>0</v>
      </c>
      <c r="T341" s="593">
        <f ca="1">$E341*(-SUMIF(INDIRECT(T$3),'Struktur Vorjahr'!$D341,INDIRECT(T$4))+SUMIF(INDIRECT(T$3),'Struktur Vorjahr'!$D341,INDIRECT(T$5)))</f>
        <v>0</v>
      </c>
      <c r="U341" s="593">
        <f ca="1">$E341*(-SUMIF(INDIRECT(U$3),'Struktur Vorjahr'!$D341,INDIRECT(U$4))+SUMIF(INDIRECT(U$3),'Struktur Vorjahr'!$D341,INDIRECT(U$5)))</f>
        <v>0</v>
      </c>
      <c r="V341" s="593">
        <f ca="1">$E341*(-SUMIF(INDIRECT(V$3),'Struktur Vorjahr'!$D341,INDIRECT(V$4))+SUMIF(INDIRECT(V$3),'Struktur Vorjahr'!$D341,INDIRECT(V$5)))</f>
        <v>0</v>
      </c>
      <c r="W341" s="593">
        <f ca="1">$E341*(-SUMIF(INDIRECT(W$3),'Struktur Vorjahr'!$D341,INDIRECT(W$4))+SUMIF(INDIRECT(W$3),'Struktur Vorjahr'!$D341,INDIRECT(W$5)))</f>
        <v>0</v>
      </c>
      <c r="X341" s="593">
        <f ca="1">$E341*(-SUMIF(INDIRECT(X$3),'Struktur Vorjahr'!$D341,INDIRECT(X$4))+SUMIF(INDIRECT(X$3),'Struktur Vorjahr'!$D341,INDIRECT(X$5)))</f>
        <v>0</v>
      </c>
      <c r="Y341" s="593">
        <f ca="1">$E341*(-SUMIF(INDIRECT(Y$3),'Struktur Vorjahr'!$D341,INDIRECT(Y$4))+SUMIF(INDIRECT(Y$3),'Struktur Vorjahr'!$D341,INDIRECT(Y$5)))</f>
        <v>0</v>
      </c>
      <c r="Z341" s="593">
        <f ca="1">$E341*(-SUMIF(INDIRECT(Z$3),'Struktur Vorjahr'!$D341,INDIRECT(Z$4))+SUMIF(INDIRECT(Z$3),'Struktur Vorjahr'!$D341,INDIRECT(Z$5)))</f>
        <v>0</v>
      </c>
      <c r="AA341" s="593">
        <f ca="1">$E341*(-SUMIF(INDIRECT(AA$3),'Struktur Vorjahr'!$D341,INDIRECT(AA$4))+SUMIF(INDIRECT(AA$3),'Struktur Vorjahr'!$D341,INDIRECT(AA$5)))</f>
        <v>0</v>
      </c>
      <c r="AB341" s="593">
        <f ca="1">$E341*(-SUMIF(INDIRECT(AB$3),'Struktur Vorjahr'!$D341,INDIRECT(AB$4))+SUMIF(INDIRECT(AB$3),'Struktur Vorjahr'!$D341,INDIRECT(AB$5)))</f>
        <v>0</v>
      </c>
      <c r="AC341" s="593">
        <f ca="1">$E341*(-SUMIF(INDIRECT(AC$3),'Struktur Vorjahr'!$D341,INDIRECT(AC$4))+SUMIF(INDIRECT(AC$3),'Struktur Vorjahr'!$D341,INDIRECT(AC$5)))</f>
        <v>0</v>
      </c>
      <c r="AD341" s="593">
        <f ca="1">$E341*(-SUMIF(INDIRECT(AD$3),'Struktur Vorjahr'!$D341,INDIRECT(AD$4))+SUMIF(INDIRECT(AD$3),'Struktur Vorjahr'!$D341,INDIRECT(AD$5)))</f>
        <v>0</v>
      </c>
      <c r="AE341" s="593">
        <f t="shared" ref="AE341:AE346" ca="1" si="157">G341</f>
        <v>0</v>
      </c>
      <c r="AF341" s="593">
        <f t="shared" ref="AF341:AP346" ca="1" si="158">H341+AE341</f>
        <v>0</v>
      </c>
      <c r="AG341" s="593">
        <f t="shared" ca="1" si="158"/>
        <v>0</v>
      </c>
      <c r="AH341" s="593">
        <f t="shared" ca="1" si="158"/>
        <v>0</v>
      </c>
      <c r="AI341" s="593">
        <f t="shared" ca="1" si="158"/>
        <v>0</v>
      </c>
      <c r="AJ341" s="593">
        <f t="shared" ca="1" si="158"/>
        <v>0</v>
      </c>
      <c r="AK341" s="593">
        <f t="shared" ca="1" si="158"/>
        <v>0</v>
      </c>
      <c r="AL341" s="593">
        <f t="shared" ca="1" si="158"/>
        <v>0</v>
      </c>
      <c r="AM341" s="593">
        <f t="shared" ca="1" si="158"/>
        <v>0</v>
      </c>
      <c r="AN341" s="593">
        <f t="shared" ca="1" si="158"/>
        <v>0</v>
      </c>
      <c r="AO341" s="593">
        <f t="shared" ca="1" si="158"/>
        <v>0</v>
      </c>
      <c r="AP341" s="593">
        <f t="shared" ca="1" si="158"/>
        <v>0</v>
      </c>
    </row>
    <row r="342" spans="1:42" s="594" customFormat="1" ht="11.25" outlineLevel="1" x14ac:dyDescent="0.2">
      <c r="A342" s="590"/>
      <c r="B342" s="591" t="str">
        <f>IF(D342&lt;&gt;"",
IF(ISERROR(MATCH(D342,'Ist Vorjahr Monat 01'!A:A,0))=FALSE,INDEX('Ist Vorjahr Monat 01'!B:B,MATCH(D342,'Ist Vorjahr Monat 01'!A:A,0)),
IF(ISERROR(MATCH(D342,'Ist Vorjahr Monat 02'!A:A,0))=FALSE,INDEX('Ist Vorjahr Monat 02'!B:B,MATCH(D342,'Ist Vorjahr Monat 02'!A:A,0)),
IF(ISERROR(MATCH(D342,'Ist Vorjahr Monat 03'!A:A,0))=FALSE,INDEX('Ist Vorjahr Monat 03'!B:B,MATCH(D342,'Ist Vorjahr Monat 03'!A:A,0)),
IF(ISERROR(MATCH(D342,'Ist Vorjahr Monat 04'!A:A,0))=FALSE,INDEX('Ist Vorjahr Monat 04'!B:B,MATCH(D342,'Ist Vorjahr Monat 04'!A:A,0)),
IF(ISERROR(MATCH(D342,'Ist Vorjahr Monat 05'!A:A,0))=FALSE,INDEX('Ist Vorjahr Monat 05'!B:B,MATCH(D342,'Ist Vorjahr Monat 05'!A:A,0)),
IF(ISERROR(MATCH(D342,'Ist Vorjahr Monat 06'!A:A,0))=FALSE,INDEX('Ist Vorjahr Monat 06'!B:B,MATCH(D342,'Ist Vorjahr Monat 06'!A:A,0)),
IF(ISERROR(MATCH(D342,'Ist Vorjahr Monat 07'!A:A,0))=FALSE,INDEX('Ist Vorjahr Monat 07'!B:B,MATCH(D342,'Ist Vorjahr Monat 07'!A:A,0)),
IF(ISERROR(MATCH(D342,'Ist Vorjahr Monat 08'!A:A,0))=FALSE,INDEX('Ist Vorjahr Monat 08'!B:B,MATCH(D342,'Ist Vorjahr Monat 08'!A:A,0)),
IF(ISERROR(MATCH(D342,'Ist Vorjahr Monat 09'!A:A,0))=FALSE,INDEX('Ist Vorjahr Monat 09'!B:B,MATCH(D342,'Ist Vorjahr Monat 09'!A:A,0)),
IF(ISERROR(MATCH(D342,'Ist Vorjahr Monat 10'!A:A,0))=FALSE,INDEX('Ist Vorjahr Monat 10'!B:B,MATCH(D342,'Ist Vorjahr Monat 10'!A:A,0)),
IF(ISERROR(MATCH(D342,'Ist Vorjahr Monat 11'!A:A,0))=FALSE,INDEX('Ist Vorjahr Monat 11'!B:B,MATCH(D342,'Ist Vorjahr Monat 11'!A:A,0)),
IF(ISERROR(MATCH(D342,'Ist Vorjahr Monat 12'!A:A,0))=FALSE,INDEX('Ist Vorjahr Monat 12'!B:B,MATCH(D342,'Ist Vorjahr Monat 12'!A:A,0)),
"{Konto unbekannt}"
)))))))))))),"")</f>
        <v/>
      </c>
      <c r="C342" s="591"/>
      <c r="D342" s="590"/>
      <c r="E342" s="592">
        <f>IF(F342="-",-1,1)</f>
        <v>-1</v>
      </c>
      <c r="F342" s="590" t="s">
        <v>996</v>
      </c>
      <c r="G342" s="593">
        <f ca="1">$E342*(-SUMIF(INDIRECT(G$3),'Struktur Vorjahr'!$D342,INDIRECT(G$4))+SUMIF(INDIRECT(G$3),'Struktur Vorjahr'!$D342,INDIRECT(G$5)))</f>
        <v>0</v>
      </c>
      <c r="H342" s="593">
        <f ca="1">$E342*(-SUMIF(INDIRECT(H$3),'Struktur Vorjahr'!$D342,INDIRECT(H$4))+SUMIF(INDIRECT(H$3),'Struktur Vorjahr'!$D342,INDIRECT(H$5)))</f>
        <v>0</v>
      </c>
      <c r="I342" s="593">
        <f ca="1">$E342*(-SUMIF(INDIRECT(I$3),'Struktur Vorjahr'!$D342,INDIRECT(I$4))+SUMIF(INDIRECT(I$3),'Struktur Vorjahr'!$D342,INDIRECT(I$5)))</f>
        <v>0</v>
      </c>
      <c r="J342" s="593">
        <f ca="1">$E342*(-SUMIF(INDIRECT(J$3),'Struktur Vorjahr'!$D342,INDIRECT(J$4))+SUMIF(INDIRECT(J$3),'Struktur Vorjahr'!$D342,INDIRECT(J$5)))</f>
        <v>0</v>
      </c>
      <c r="K342" s="593">
        <f ca="1">$E342*(-SUMIF(INDIRECT(K$3),'Struktur Vorjahr'!$D342,INDIRECT(K$4))+SUMIF(INDIRECT(K$3),'Struktur Vorjahr'!$D342,INDIRECT(K$5)))</f>
        <v>0</v>
      </c>
      <c r="L342" s="593">
        <f ca="1">$E342*(-SUMIF(INDIRECT(L$3),'Struktur Vorjahr'!$D342,INDIRECT(L$4))+SUMIF(INDIRECT(L$3),'Struktur Vorjahr'!$D342,INDIRECT(L$5)))</f>
        <v>0</v>
      </c>
      <c r="M342" s="593">
        <f ca="1">$E342*(-SUMIF(INDIRECT(M$3),'Struktur Vorjahr'!$D342,INDIRECT(M$4))+SUMIF(INDIRECT(M$3),'Struktur Vorjahr'!$D342,INDIRECT(M$5)))</f>
        <v>0</v>
      </c>
      <c r="N342" s="593">
        <f ca="1">$E342*(-SUMIF(INDIRECT(N$3),'Struktur Vorjahr'!$D342,INDIRECT(N$4))+SUMIF(INDIRECT(N$3),'Struktur Vorjahr'!$D342,INDIRECT(N$5)))</f>
        <v>0</v>
      </c>
      <c r="O342" s="593">
        <f ca="1">$E342*(-SUMIF(INDIRECT(O$3),'Struktur Vorjahr'!$D342,INDIRECT(O$4))+SUMIF(INDIRECT(O$3),'Struktur Vorjahr'!$D342,INDIRECT(O$5)))</f>
        <v>0</v>
      </c>
      <c r="P342" s="593">
        <f ca="1">$E342*(-SUMIF(INDIRECT(P$3),'Struktur Vorjahr'!$D342,INDIRECT(P$4))+SUMIF(INDIRECT(P$3),'Struktur Vorjahr'!$D342,INDIRECT(P$5)))</f>
        <v>0</v>
      </c>
      <c r="Q342" s="593">
        <f ca="1">$E342*(-SUMIF(INDIRECT(Q$3),'Struktur Vorjahr'!$D342,INDIRECT(Q$4))+SUMIF(INDIRECT(Q$3),'Struktur Vorjahr'!$D342,INDIRECT(Q$5)))</f>
        <v>0</v>
      </c>
      <c r="R342" s="593">
        <f ca="1">$E342*(-SUMIF(INDIRECT(R$3),'Struktur Vorjahr'!$D342,INDIRECT(R$4))+SUMIF(INDIRECT(R$3),'Struktur Vorjahr'!$D342,INDIRECT(R$5)))</f>
        <v>0</v>
      </c>
      <c r="S342" s="593">
        <f ca="1">$E342*(-SUMIF(INDIRECT(S$3),'Struktur Vorjahr'!$D342,INDIRECT(S$4))+SUMIF(INDIRECT(S$3),'Struktur Vorjahr'!$D342,INDIRECT(S$5)))</f>
        <v>0</v>
      </c>
      <c r="T342" s="593">
        <f ca="1">$E342*(-SUMIF(INDIRECT(T$3),'Struktur Vorjahr'!$D342,INDIRECT(T$4))+SUMIF(INDIRECT(T$3),'Struktur Vorjahr'!$D342,INDIRECT(T$5)))</f>
        <v>0</v>
      </c>
      <c r="U342" s="593">
        <f ca="1">$E342*(-SUMIF(INDIRECT(U$3),'Struktur Vorjahr'!$D342,INDIRECT(U$4))+SUMIF(INDIRECT(U$3),'Struktur Vorjahr'!$D342,INDIRECT(U$5)))</f>
        <v>0</v>
      </c>
      <c r="V342" s="593">
        <f ca="1">$E342*(-SUMIF(INDIRECT(V$3),'Struktur Vorjahr'!$D342,INDIRECT(V$4))+SUMIF(INDIRECT(V$3),'Struktur Vorjahr'!$D342,INDIRECT(V$5)))</f>
        <v>0</v>
      </c>
      <c r="W342" s="593">
        <f ca="1">$E342*(-SUMIF(INDIRECT(W$3),'Struktur Vorjahr'!$D342,INDIRECT(W$4))+SUMIF(INDIRECT(W$3),'Struktur Vorjahr'!$D342,INDIRECT(W$5)))</f>
        <v>0</v>
      </c>
      <c r="X342" s="593">
        <f ca="1">$E342*(-SUMIF(INDIRECT(X$3),'Struktur Vorjahr'!$D342,INDIRECT(X$4))+SUMIF(INDIRECT(X$3),'Struktur Vorjahr'!$D342,INDIRECT(X$5)))</f>
        <v>0</v>
      </c>
      <c r="Y342" s="593">
        <f ca="1">$E342*(-SUMIF(INDIRECT(Y$3),'Struktur Vorjahr'!$D342,INDIRECT(Y$4))+SUMIF(INDIRECT(Y$3),'Struktur Vorjahr'!$D342,INDIRECT(Y$5)))</f>
        <v>0</v>
      </c>
      <c r="Z342" s="593">
        <f ca="1">$E342*(-SUMIF(INDIRECT(Z$3),'Struktur Vorjahr'!$D342,INDIRECT(Z$4))+SUMIF(INDIRECT(Z$3),'Struktur Vorjahr'!$D342,INDIRECT(Z$5)))</f>
        <v>0</v>
      </c>
      <c r="AA342" s="593">
        <f ca="1">$E342*(-SUMIF(INDIRECT(AA$3),'Struktur Vorjahr'!$D342,INDIRECT(AA$4))+SUMIF(INDIRECT(AA$3),'Struktur Vorjahr'!$D342,INDIRECT(AA$5)))</f>
        <v>0</v>
      </c>
      <c r="AB342" s="593">
        <f ca="1">$E342*(-SUMIF(INDIRECT(AB$3),'Struktur Vorjahr'!$D342,INDIRECT(AB$4))+SUMIF(INDIRECT(AB$3),'Struktur Vorjahr'!$D342,INDIRECT(AB$5)))</f>
        <v>0</v>
      </c>
      <c r="AC342" s="593">
        <f ca="1">$E342*(-SUMIF(INDIRECT(AC$3),'Struktur Vorjahr'!$D342,INDIRECT(AC$4))+SUMIF(INDIRECT(AC$3),'Struktur Vorjahr'!$D342,INDIRECT(AC$5)))</f>
        <v>0</v>
      </c>
      <c r="AD342" s="593">
        <f ca="1">$E342*(-SUMIF(INDIRECT(AD$3),'Struktur Vorjahr'!$D342,INDIRECT(AD$4))+SUMIF(INDIRECT(AD$3),'Struktur Vorjahr'!$D342,INDIRECT(AD$5)))</f>
        <v>0</v>
      </c>
      <c r="AE342" s="593">
        <f t="shared" ca="1" si="157"/>
        <v>0</v>
      </c>
      <c r="AF342" s="593">
        <f t="shared" ca="1" si="158"/>
        <v>0</v>
      </c>
      <c r="AG342" s="593">
        <f t="shared" ca="1" si="158"/>
        <v>0</v>
      </c>
      <c r="AH342" s="593">
        <f t="shared" ca="1" si="158"/>
        <v>0</v>
      </c>
      <c r="AI342" s="593">
        <f t="shared" ca="1" si="158"/>
        <v>0</v>
      </c>
      <c r="AJ342" s="593">
        <f t="shared" ca="1" si="158"/>
        <v>0</v>
      </c>
      <c r="AK342" s="593">
        <f t="shared" ca="1" si="158"/>
        <v>0</v>
      </c>
      <c r="AL342" s="593">
        <f t="shared" ca="1" si="158"/>
        <v>0</v>
      </c>
      <c r="AM342" s="593">
        <f t="shared" ca="1" si="158"/>
        <v>0</v>
      </c>
      <c r="AN342" s="593">
        <f t="shared" ca="1" si="158"/>
        <v>0</v>
      </c>
      <c r="AO342" s="593">
        <f t="shared" ca="1" si="158"/>
        <v>0</v>
      </c>
      <c r="AP342" s="593">
        <f t="shared" ca="1" si="158"/>
        <v>0</v>
      </c>
    </row>
    <row r="343" spans="1:42" s="594" customFormat="1" ht="11.25" outlineLevel="1" x14ac:dyDescent="0.2">
      <c r="A343" s="590"/>
      <c r="B343" s="591" t="str">
        <f>IF(D343&lt;&gt;"",
IF(ISERROR(MATCH(D343,'Ist Vorjahr Monat 01'!A:A,0))=FALSE,INDEX('Ist Vorjahr Monat 01'!B:B,MATCH(D343,'Ist Vorjahr Monat 01'!A:A,0)),
IF(ISERROR(MATCH(D343,'Ist Vorjahr Monat 02'!A:A,0))=FALSE,INDEX('Ist Vorjahr Monat 02'!B:B,MATCH(D343,'Ist Vorjahr Monat 02'!A:A,0)),
IF(ISERROR(MATCH(D343,'Ist Vorjahr Monat 03'!A:A,0))=FALSE,INDEX('Ist Vorjahr Monat 03'!B:B,MATCH(D343,'Ist Vorjahr Monat 03'!A:A,0)),
IF(ISERROR(MATCH(D343,'Ist Vorjahr Monat 04'!A:A,0))=FALSE,INDEX('Ist Vorjahr Monat 04'!B:B,MATCH(D343,'Ist Vorjahr Monat 04'!A:A,0)),
IF(ISERROR(MATCH(D343,'Ist Vorjahr Monat 05'!A:A,0))=FALSE,INDEX('Ist Vorjahr Monat 05'!B:B,MATCH(D343,'Ist Vorjahr Monat 05'!A:A,0)),
IF(ISERROR(MATCH(D343,'Ist Vorjahr Monat 06'!A:A,0))=FALSE,INDEX('Ist Vorjahr Monat 06'!B:B,MATCH(D343,'Ist Vorjahr Monat 06'!A:A,0)),
IF(ISERROR(MATCH(D343,'Ist Vorjahr Monat 07'!A:A,0))=FALSE,INDEX('Ist Vorjahr Monat 07'!B:B,MATCH(D343,'Ist Vorjahr Monat 07'!A:A,0)),
IF(ISERROR(MATCH(D343,'Ist Vorjahr Monat 08'!A:A,0))=FALSE,INDEX('Ist Vorjahr Monat 08'!B:B,MATCH(D343,'Ist Vorjahr Monat 08'!A:A,0)),
IF(ISERROR(MATCH(D343,'Ist Vorjahr Monat 09'!A:A,0))=FALSE,INDEX('Ist Vorjahr Monat 09'!B:B,MATCH(D343,'Ist Vorjahr Monat 09'!A:A,0)),
IF(ISERROR(MATCH(D343,'Ist Vorjahr Monat 10'!A:A,0))=FALSE,INDEX('Ist Vorjahr Monat 10'!B:B,MATCH(D343,'Ist Vorjahr Monat 10'!A:A,0)),
IF(ISERROR(MATCH(D343,'Ist Vorjahr Monat 11'!A:A,0))=FALSE,INDEX('Ist Vorjahr Monat 11'!B:B,MATCH(D343,'Ist Vorjahr Monat 11'!A:A,0)),
IF(ISERROR(MATCH(D343,'Ist Vorjahr Monat 12'!A:A,0))=FALSE,INDEX('Ist Vorjahr Monat 12'!B:B,MATCH(D343,'Ist Vorjahr Monat 12'!A:A,0)),
"{Konto unbekannt}"
)))))))))))),"")</f>
        <v/>
      </c>
      <c r="C343" s="591"/>
      <c r="D343" s="590"/>
      <c r="E343" s="592">
        <f>IF(F343="-",-1,1)</f>
        <v>-1</v>
      </c>
      <c r="F343" s="590" t="s">
        <v>996</v>
      </c>
      <c r="G343" s="593">
        <f ca="1">$E343*(-SUMIF(INDIRECT(G$3),'Struktur Vorjahr'!$D343,INDIRECT(G$4))+SUMIF(INDIRECT(G$3),'Struktur Vorjahr'!$D343,INDIRECT(G$5)))</f>
        <v>0</v>
      </c>
      <c r="H343" s="593">
        <f ca="1">$E343*(-SUMIF(INDIRECT(H$3),'Struktur Vorjahr'!$D343,INDIRECT(H$4))+SUMIF(INDIRECT(H$3),'Struktur Vorjahr'!$D343,INDIRECT(H$5)))</f>
        <v>0</v>
      </c>
      <c r="I343" s="593">
        <f ca="1">$E343*(-SUMIF(INDIRECT(I$3),'Struktur Vorjahr'!$D343,INDIRECT(I$4))+SUMIF(INDIRECT(I$3),'Struktur Vorjahr'!$D343,INDIRECT(I$5)))</f>
        <v>0</v>
      </c>
      <c r="J343" s="593">
        <f ca="1">$E343*(-SUMIF(INDIRECT(J$3),'Struktur Vorjahr'!$D343,INDIRECT(J$4))+SUMIF(INDIRECT(J$3),'Struktur Vorjahr'!$D343,INDIRECT(J$5)))</f>
        <v>0</v>
      </c>
      <c r="K343" s="593">
        <f ca="1">$E343*(-SUMIF(INDIRECT(K$3),'Struktur Vorjahr'!$D343,INDIRECT(K$4))+SUMIF(INDIRECT(K$3),'Struktur Vorjahr'!$D343,INDIRECT(K$5)))</f>
        <v>0</v>
      </c>
      <c r="L343" s="593">
        <f ca="1">$E343*(-SUMIF(INDIRECT(L$3),'Struktur Vorjahr'!$D343,INDIRECT(L$4))+SUMIF(INDIRECT(L$3),'Struktur Vorjahr'!$D343,INDIRECT(L$5)))</f>
        <v>0</v>
      </c>
      <c r="M343" s="593">
        <f ca="1">$E343*(-SUMIF(INDIRECT(M$3),'Struktur Vorjahr'!$D343,INDIRECT(M$4))+SUMIF(INDIRECT(M$3),'Struktur Vorjahr'!$D343,INDIRECT(M$5)))</f>
        <v>0</v>
      </c>
      <c r="N343" s="593">
        <f ca="1">$E343*(-SUMIF(INDIRECT(N$3),'Struktur Vorjahr'!$D343,INDIRECT(N$4))+SUMIF(INDIRECT(N$3),'Struktur Vorjahr'!$D343,INDIRECT(N$5)))</f>
        <v>0</v>
      </c>
      <c r="O343" s="593">
        <f ca="1">$E343*(-SUMIF(INDIRECT(O$3),'Struktur Vorjahr'!$D343,INDIRECT(O$4))+SUMIF(INDIRECT(O$3),'Struktur Vorjahr'!$D343,INDIRECT(O$5)))</f>
        <v>0</v>
      </c>
      <c r="P343" s="593">
        <f ca="1">$E343*(-SUMIF(INDIRECT(P$3),'Struktur Vorjahr'!$D343,INDIRECT(P$4))+SUMIF(INDIRECT(P$3),'Struktur Vorjahr'!$D343,INDIRECT(P$5)))</f>
        <v>0</v>
      </c>
      <c r="Q343" s="593">
        <f ca="1">$E343*(-SUMIF(INDIRECT(Q$3),'Struktur Vorjahr'!$D343,INDIRECT(Q$4))+SUMIF(INDIRECT(Q$3),'Struktur Vorjahr'!$D343,INDIRECT(Q$5)))</f>
        <v>0</v>
      </c>
      <c r="R343" s="593">
        <f ca="1">$E343*(-SUMIF(INDIRECT(R$3),'Struktur Vorjahr'!$D343,INDIRECT(R$4))+SUMIF(INDIRECT(R$3),'Struktur Vorjahr'!$D343,INDIRECT(R$5)))</f>
        <v>0</v>
      </c>
      <c r="S343" s="593">
        <f ca="1">$E343*(-SUMIF(INDIRECT(S$3),'Struktur Vorjahr'!$D343,INDIRECT(S$4))+SUMIF(INDIRECT(S$3),'Struktur Vorjahr'!$D343,INDIRECT(S$5)))</f>
        <v>0</v>
      </c>
      <c r="T343" s="593">
        <f ca="1">$E343*(-SUMIF(INDIRECT(T$3),'Struktur Vorjahr'!$D343,INDIRECT(T$4))+SUMIF(INDIRECT(T$3),'Struktur Vorjahr'!$D343,INDIRECT(T$5)))</f>
        <v>0</v>
      </c>
      <c r="U343" s="593">
        <f ca="1">$E343*(-SUMIF(INDIRECT(U$3),'Struktur Vorjahr'!$D343,INDIRECT(U$4))+SUMIF(INDIRECT(U$3),'Struktur Vorjahr'!$D343,INDIRECT(U$5)))</f>
        <v>0</v>
      </c>
      <c r="V343" s="593">
        <f ca="1">$E343*(-SUMIF(INDIRECT(V$3),'Struktur Vorjahr'!$D343,INDIRECT(V$4))+SUMIF(INDIRECT(V$3),'Struktur Vorjahr'!$D343,INDIRECT(V$5)))</f>
        <v>0</v>
      </c>
      <c r="W343" s="593">
        <f ca="1">$E343*(-SUMIF(INDIRECT(W$3),'Struktur Vorjahr'!$D343,INDIRECT(W$4))+SUMIF(INDIRECT(W$3),'Struktur Vorjahr'!$D343,INDIRECT(W$5)))</f>
        <v>0</v>
      </c>
      <c r="X343" s="593">
        <f ca="1">$E343*(-SUMIF(INDIRECT(X$3),'Struktur Vorjahr'!$D343,INDIRECT(X$4))+SUMIF(INDIRECT(X$3),'Struktur Vorjahr'!$D343,INDIRECT(X$5)))</f>
        <v>0</v>
      </c>
      <c r="Y343" s="593">
        <f ca="1">$E343*(-SUMIF(INDIRECT(Y$3),'Struktur Vorjahr'!$D343,INDIRECT(Y$4))+SUMIF(INDIRECT(Y$3),'Struktur Vorjahr'!$D343,INDIRECT(Y$5)))</f>
        <v>0</v>
      </c>
      <c r="Z343" s="593">
        <f ca="1">$E343*(-SUMIF(INDIRECT(Z$3),'Struktur Vorjahr'!$D343,INDIRECT(Z$4))+SUMIF(INDIRECT(Z$3),'Struktur Vorjahr'!$D343,INDIRECT(Z$5)))</f>
        <v>0</v>
      </c>
      <c r="AA343" s="593">
        <f ca="1">$E343*(-SUMIF(INDIRECT(AA$3),'Struktur Vorjahr'!$D343,INDIRECT(AA$4))+SUMIF(INDIRECT(AA$3),'Struktur Vorjahr'!$D343,INDIRECT(AA$5)))</f>
        <v>0</v>
      </c>
      <c r="AB343" s="593">
        <f ca="1">$E343*(-SUMIF(INDIRECT(AB$3),'Struktur Vorjahr'!$D343,INDIRECT(AB$4))+SUMIF(INDIRECT(AB$3),'Struktur Vorjahr'!$D343,INDIRECT(AB$5)))</f>
        <v>0</v>
      </c>
      <c r="AC343" s="593">
        <f ca="1">$E343*(-SUMIF(INDIRECT(AC$3),'Struktur Vorjahr'!$D343,INDIRECT(AC$4))+SUMIF(INDIRECT(AC$3),'Struktur Vorjahr'!$D343,INDIRECT(AC$5)))</f>
        <v>0</v>
      </c>
      <c r="AD343" s="593">
        <f ca="1">$E343*(-SUMIF(INDIRECT(AD$3),'Struktur Vorjahr'!$D343,INDIRECT(AD$4))+SUMIF(INDIRECT(AD$3),'Struktur Vorjahr'!$D343,INDIRECT(AD$5)))</f>
        <v>0</v>
      </c>
      <c r="AE343" s="593">
        <f t="shared" ca="1" si="157"/>
        <v>0</v>
      </c>
      <c r="AF343" s="593">
        <f t="shared" ca="1" si="158"/>
        <v>0</v>
      </c>
      <c r="AG343" s="593">
        <f t="shared" ca="1" si="158"/>
        <v>0</v>
      </c>
      <c r="AH343" s="593">
        <f t="shared" ca="1" si="158"/>
        <v>0</v>
      </c>
      <c r="AI343" s="593">
        <f t="shared" ca="1" si="158"/>
        <v>0</v>
      </c>
      <c r="AJ343" s="593">
        <f t="shared" ca="1" si="158"/>
        <v>0</v>
      </c>
      <c r="AK343" s="593">
        <f t="shared" ca="1" si="158"/>
        <v>0</v>
      </c>
      <c r="AL343" s="593">
        <f t="shared" ca="1" si="158"/>
        <v>0</v>
      </c>
      <c r="AM343" s="593">
        <f t="shared" ca="1" si="158"/>
        <v>0</v>
      </c>
      <c r="AN343" s="593">
        <f t="shared" ca="1" si="158"/>
        <v>0</v>
      </c>
      <c r="AO343" s="593">
        <f t="shared" ca="1" si="158"/>
        <v>0</v>
      </c>
      <c r="AP343" s="593">
        <f t="shared" ca="1" si="158"/>
        <v>0</v>
      </c>
    </row>
    <row r="344" spans="1:42" s="594" customFormat="1" ht="11.25" outlineLevel="1" x14ac:dyDescent="0.2">
      <c r="A344" s="590"/>
      <c r="B344" s="591" t="str">
        <f>IF(D344&lt;&gt;"",
IF(ISERROR(MATCH(D344,'Ist Vorjahr Monat 01'!A:A,0))=FALSE,INDEX('Ist Vorjahr Monat 01'!B:B,MATCH(D344,'Ist Vorjahr Monat 01'!A:A,0)),
IF(ISERROR(MATCH(D344,'Ist Vorjahr Monat 02'!A:A,0))=FALSE,INDEX('Ist Vorjahr Monat 02'!B:B,MATCH(D344,'Ist Vorjahr Monat 02'!A:A,0)),
IF(ISERROR(MATCH(D344,'Ist Vorjahr Monat 03'!A:A,0))=FALSE,INDEX('Ist Vorjahr Monat 03'!B:B,MATCH(D344,'Ist Vorjahr Monat 03'!A:A,0)),
IF(ISERROR(MATCH(D344,'Ist Vorjahr Monat 04'!A:A,0))=FALSE,INDEX('Ist Vorjahr Monat 04'!B:B,MATCH(D344,'Ist Vorjahr Monat 04'!A:A,0)),
IF(ISERROR(MATCH(D344,'Ist Vorjahr Monat 05'!A:A,0))=FALSE,INDEX('Ist Vorjahr Monat 05'!B:B,MATCH(D344,'Ist Vorjahr Monat 05'!A:A,0)),
IF(ISERROR(MATCH(D344,'Ist Vorjahr Monat 06'!A:A,0))=FALSE,INDEX('Ist Vorjahr Monat 06'!B:B,MATCH(D344,'Ist Vorjahr Monat 06'!A:A,0)),
IF(ISERROR(MATCH(D344,'Ist Vorjahr Monat 07'!A:A,0))=FALSE,INDEX('Ist Vorjahr Monat 07'!B:B,MATCH(D344,'Ist Vorjahr Monat 07'!A:A,0)),
IF(ISERROR(MATCH(D344,'Ist Vorjahr Monat 08'!A:A,0))=FALSE,INDEX('Ist Vorjahr Monat 08'!B:B,MATCH(D344,'Ist Vorjahr Monat 08'!A:A,0)),
IF(ISERROR(MATCH(D344,'Ist Vorjahr Monat 09'!A:A,0))=FALSE,INDEX('Ist Vorjahr Monat 09'!B:B,MATCH(D344,'Ist Vorjahr Monat 09'!A:A,0)),
IF(ISERROR(MATCH(D344,'Ist Vorjahr Monat 10'!A:A,0))=FALSE,INDEX('Ist Vorjahr Monat 10'!B:B,MATCH(D344,'Ist Vorjahr Monat 10'!A:A,0)),
IF(ISERROR(MATCH(D344,'Ist Vorjahr Monat 11'!A:A,0))=FALSE,INDEX('Ist Vorjahr Monat 11'!B:B,MATCH(D344,'Ist Vorjahr Monat 11'!A:A,0)),
IF(ISERROR(MATCH(D344,'Ist Vorjahr Monat 12'!A:A,0))=FALSE,INDEX('Ist Vorjahr Monat 12'!B:B,MATCH(D344,'Ist Vorjahr Monat 12'!A:A,0)),
"{Konto unbekannt}"
)))))))))))),"")</f>
        <v/>
      </c>
      <c r="C344" s="591"/>
      <c r="D344" s="590"/>
      <c r="E344" s="592">
        <f t="shared" ref="E344:E348" si="159">IF(F344="-",-1,1)</f>
        <v>-1</v>
      </c>
      <c r="F344" s="590" t="s">
        <v>996</v>
      </c>
      <c r="G344" s="593">
        <f ca="1">$E344*(-SUMIF(INDIRECT(G$3),'Struktur Vorjahr'!$D344,INDIRECT(G$4))+SUMIF(INDIRECT(G$3),'Struktur Vorjahr'!$D344,INDIRECT(G$5)))</f>
        <v>0</v>
      </c>
      <c r="H344" s="593">
        <f ca="1">$E344*(-SUMIF(INDIRECT(H$3),'Struktur Vorjahr'!$D344,INDIRECT(H$4))+SUMIF(INDIRECT(H$3),'Struktur Vorjahr'!$D344,INDIRECT(H$5)))</f>
        <v>0</v>
      </c>
      <c r="I344" s="593">
        <f ca="1">$E344*(-SUMIF(INDIRECT(I$3),'Struktur Vorjahr'!$D344,INDIRECT(I$4))+SUMIF(INDIRECT(I$3),'Struktur Vorjahr'!$D344,INDIRECT(I$5)))</f>
        <v>0</v>
      </c>
      <c r="J344" s="593">
        <f ca="1">$E344*(-SUMIF(INDIRECT(J$3),'Struktur Vorjahr'!$D344,INDIRECT(J$4))+SUMIF(INDIRECT(J$3),'Struktur Vorjahr'!$D344,INDIRECT(J$5)))</f>
        <v>0</v>
      </c>
      <c r="K344" s="593">
        <f ca="1">$E344*(-SUMIF(INDIRECT(K$3),'Struktur Vorjahr'!$D344,INDIRECT(K$4))+SUMIF(INDIRECT(K$3),'Struktur Vorjahr'!$D344,INDIRECT(K$5)))</f>
        <v>0</v>
      </c>
      <c r="L344" s="593">
        <f ca="1">$E344*(-SUMIF(INDIRECT(L$3),'Struktur Vorjahr'!$D344,INDIRECT(L$4))+SUMIF(INDIRECT(L$3),'Struktur Vorjahr'!$D344,INDIRECT(L$5)))</f>
        <v>0</v>
      </c>
      <c r="M344" s="593">
        <f ca="1">$E344*(-SUMIF(INDIRECT(M$3),'Struktur Vorjahr'!$D344,INDIRECT(M$4))+SUMIF(INDIRECT(M$3),'Struktur Vorjahr'!$D344,INDIRECT(M$5)))</f>
        <v>0</v>
      </c>
      <c r="N344" s="593">
        <f ca="1">$E344*(-SUMIF(INDIRECT(N$3),'Struktur Vorjahr'!$D344,INDIRECT(N$4))+SUMIF(INDIRECT(N$3),'Struktur Vorjahr'!$D344,INDIRECT(N$5)))</f>
        <v>0</v>
      </c>
      <c r="O344" s="593">
        <f ca="1">$E344*(-SUMIF(INDIRECT(O$3),'Struktur Vorjahr'!$D344,INDIRECT(O$4))+SUMIF(INDIRECT(O$3),'Struktur Vorjahr'!$D344,INDIRECT(O$5)))</f>
        <v>0</v>
      </c>
      <c r="P344" s="593">
        <f ca="1">$E344*(-SUMIF(INDIRECT(P$3),'Struktur Vorjahr'!$D344,INDIRECT(P$4))+SUMIF(INDIRECT(P$3),'Struktur Vorjahr'!$D344,INDIRECT(P$5)))</f>
        <v>0</v>
      </c>
      <c r="Q344" s="593">
        <f ca="1">$E344*(-SUMIF(INDIRECT(Q$3),'Struktur Vorjahr'!$D344,INDIRECT(Q$4))+SUMIF(INDIRECT(Q$3),'Struktur Vorjahr'!$D344,INDIRECT(Q$5)))</f>
        <v>0</v>
      </c>
      <c r="R344" s="593">
        <f ca="1">$E344*(-SUMIF(INDIRECT(R$3),'Struktur Vorjahr'!$D344,INDIRECT(R$4))+SUMIF(INDIRECT(R$3),'Struktur Vorjahr'!$D344,INDIRECT(R$5)))</f>
        <v>0</v>
      </c>
      <c r="S344" s="593">
        <f ca="1">$E344*(-SUMIF(INDIRECT(S$3),'Struktur Vorjahr'!$D344,INDIRECT(S$4))+SUMIF(INDIRECT(S$3),'Struktur Vorjahr'!$D344,INDIRECT(S$5)))</f>
        <v>0</v>
      </c>
      <c r="T344" s="593">
        <f ca="1">$E344*(-SUMIF(INDIRECT(T$3),'Struktur Vorjahr'!$D344,INDIRECT(T$4))+SUMIF(INDIRECT(T$3),'Struktur Vorjahr'!$D344,INDIRECT(T$5)))</f>
        <v>0</v>
      </c>
      <c r="U344" s="593">
        <f ca="1">$E344*(-SUMIF(INDIRECT(U$3),'Struktur Vorjahr'!$D344,INDIRECT(U$4))+SUMIF(INDIRECT(U$3),'Struktur Vorjahr'!$D344,INDIRECT(U$5)))</f>
        <v>0</v>
      </c>
      <c r="V344" s="593">
        <f ca="1">$E344*(-SUMIF(INDIRECT(V$3),'Struktur Vorjahr'!$D344,INDIRECT(V$4))+SUMIF(INDIRECT(V$3),'Struktur Vorjahr'!$D344,INDIRECT(V$5)))</f>
        <v>0</v>
      </c>
      <c r="W344" s="593">
        <f ca="1">$E344*(-SUMIF(INDIRECT(W$3),'Struktur Vorjahr'!$D344,INDIRECT(W$4))+SUMIF(INDIRECT(W$3),'Struktur Vorjahr'!$D344,INDIRECT(W$5)))</f>
        <v>0</v>
      </c>
      <c r="X344" s="593">
        <f ca="1">$E344*(-SUMIF(INDIRECT(X$3),'Struktur Vorjahr'!$D344,INDIRECT(X$4))+SUMIF(INDIRECT(X$3),'Struktur Vorjahr'!$D344,INDIRECT(X$5)))</f>
        <v>0</v>
      </c>
      <c r="Y344" s="593">
        <f ca="1">$E344*(-SUMIF(INDIRECT(Y$3),'Struktur Vorjahr'!$D344,INDIRECT(Y$4))+SUMIF(INDIRECT(Y$3),'Struktur Vorjahr'!$D344,INDIRECT(Y$5)))</f>
        <v>0</v>
      </c>
      <c r="Z344" s="593">
        <f ca="1">$E344*(-SUMIF(INDIRECT(Z$3),'Struktur Vorjahr'!$D344,INDIRECT(Z$4))+SUMIF(INDIRECT(Z$3),'Struktur Vorjahr'!$D344,INDIRECT(Z$5)))</f>
        <v>0</v>
      </c>
      <c r="AA344" s="593">
        <f ca="1">$E344*(-SUMIF(INDIRECT(AA$3),'Struktur Vorjahr'!$D344,INDIRECT(AA$4))+SUMIF(INDIRECT(AA$3),'Struktur Vorjahr'!$D344,INDIRECT(AA$5)))</f>
        <v>0</v>
      </c>
      <c r="AB344" s="593">
        <f ca="1">$E344*(-SUMIF(INDIRECT(AB$3),'Struktur Vorjahr'!$D344,INDIRECT(AB$4))+SUMIF(INDIRECT(AB$3),'Struktur Vorjahr'!$D344,INDIRECT(AB$5)))</f>
        <v>0</v>
      </c>
      <c r="AC344" s="593">
        <f ca="1">$E344*(-SUMIF(INDIRECT(AC$3),'Struktur Vorjahr'!$D344,INDIRECT(AC$4))+SUMIF(INDIRECT(AC$3),'Struktur Vorjahr'!$D344,INDIRECT(AC$5)))</f>
        <v>0</v>
      </c>
      <c r="AD344" s="593">
        <f ca="1">$E344*(-SUMIF(INDIRECT(AD$3),'Struktur Vorjahr'!$D344,INDIRECT(AD$4))+SUMIF(INDIRECT(AD$3),'Struktur Vorjahr'!$D344,INDIRECT(AD$5)))</f>
        <v>0</v>
      </c>
      <c r="AE344" s="593">
        <f t="shared" ca="1" si="157"/>
        <v>0</v>
      </c>
      <c r="AF344" s="593">
        <f t="shared" ca="1" si="158"/>
        <v>0</v>
      </c>
      <c r="AG344" s="593">
        <f t="shared" ca="1" si="158"/>
        <v>0</v>
      </c>
      <c r="AH344" s="593">
        <f t="shared" ca="1" si="158"/>
        <v>0</v>
      </c>
      <c r="AI344" s="593">
        <f t="shared" ca="1" si="158"/>
        <v>0</v>
      </c>
      <c r="AJ344" s="593">
        <f t="shared" ca="1" si="158"/>
        <v>0</v>
      </c>
      <c r="AK344" s="593">
        <f t="shared" ca="1" si="158"/>
        <v>0</v>
      </c>
      <c r="AL344" s="593">
        <f t="shared" ca="1" si="158"/>
        <v>0</v>
      </c>
      <c r="AM344" s="593">
        <f t="shared" ca="1" si="158"/>
        <v>0</v>
      </c>
      <c r="AN344" s="593">
        <f t="shared" ca="1" si="158"/>
        <v>0</v>
      </c>
      <c r="AO344" s="593">
        <f t="shared" ca="1" si="158"/>
        <v>0</v>
      </c>
      <c r="AP344" s="593">
        <f t="shared" ca="1" si="158"/>
        <v>0</v>
      </c>
    </row>
    <row r="345" spans="1:42" s="594" customFormat="1" ht="11.25" outlineLevel="1" x14ac:dyDescent="0.2">
      <c r="A345" s="590"/>
      <c r="B345" s="591" t="str">
        <f>IF(D345&lt;&gt;"",
IF(ISERROR(MATCH(D345,'Ist Vorjahr Monat 01'!A:A,0))=FALSE,INDEX('Ist Vorjahr Monat 01'!B:B,MATCH(D345,'Ist Vorjahr Monat 01'!A:A,0)),
IF(ISERROR(MATCH(D345,'Ist Vorjahr Monat 02'!A:A,0))=FALSE,INDEX('Ist Vorjahr Monat 02'!B:B,MATCH(D345,'Ist Vorjahr Monat 02'!A:A,0)),
IF(ISERROR(MATCH(D345,'Ist Vorjahr Monat 03'!A:A,0))=FALSE,INDEX('Ist Vorjahr Monat 03'!B:B,MATCH(D345,'Ist Vorjahr Monat 03'!A:A,0)),
IF(ISERROR(MATCH(D345,'Ist Vorjahr Monat 04'!A:A,0))=FALSE,INDEX('Ist Vorjahr Monat 04'!B:B,MATCH(D345,'Ist Vorjahr Monat 04'!A:A,0)),
IF(ISERROR(MATCH(D345,'Ist Vorjahr Monat 05'!A:A,0))=FALSE,INDEX('Ist Vorjahr Monat 05'!B:B,MATCH(D345,'Ist Vorjahr Monat 05'!A:A,0)),
IF(ISERROR(MATCH(D345,'Ist Vorjahr Monat 06'!A:A,0))=FALSE,INDEX('Ist Vorjahr Monat 06'!B:B,MATCH(D345,'Ist Vorjahr Monat 06'!A:A,0)),
IF(ISERROR(MATCH(D345,'Ist Vorjahr Monat 07'!A:A,0))=FALSE,INDEX('Ist Vorjahr Monat 07'!B:B,MATCH(D345,'Ist Vorjahr Monat 07'!A:A,0)),
IF(ISERROR(MATCH(D345,'Ist Vorjahr Monat 08'!A:A,0))=FALSE,INDEX('Ist Vorjahr Monat 08'!B:B,MATCH(D345,'Ist Vorjahr Monat 08'!A:A,0)),
IF(ISERROR(MATCH(D345,'Ist Vorjahr Monat 09'!A:A,0))=FALSE,INDEX('Ist Vorjahr Monat 09'!B:B,MATCH(D345,'Ist Vorjahr Monat 09'!A:A,0)),
IF(ISERROR(MATCH(D345,'Ist Vorjahr Monat 10'!A:A,0))=FALSE,INDEX('Ist Vorjahr Monat 10'!B:B,MATCH(D345,'Ist Vorjahr Monat 10'!A:A,0)),
IF(ISERROR(MATCH(D345,'Ist Vorjahr Monat 11'!A:A,0))=FALSE,INDEX('Ist Vorjahr Monat 11'!B:B,MATCH(D345,'Ist Vorjahr Monat 11'!A:A,0)),
IF(ISERROR(MATCH(D345,'Ist Vorjahr Monat 12'!A:A,0))=FALSE,INDEX('Ist Vorjahr Monat 12'!B:B,MATCH(D345,'Ist Vorjahr Monat 12'!A:A,0)),
"{Konto unbekannt}"
)))))))))))),"")</f>
        <v/>
      </c>
      <c r="C345" s="591"/>
      <c r="D345" s="590"/>
      <c r="E345" s="592">
        <f t="shared" si="159"/>
        <v>-1</v>
      </c>
      <c r="F345" s="590" t="s">
        <v>996</v>
      </c>
      <c r="G345" s="593">
        <f ca="1">$E345*(-SUMIF(INDIRECT(G$3),'Struktur Vorjahr'!$D345,INDIRECT(G$4))+SUMIF(INDIRECT(G$3),'Struktur Vorjahr'!$D345,INDIRECT(G$5)))</f>
        <v>0</v>
      </c>
      <c r="H345" s="593">
        <f ca="1">$E345*(-SUMIF(INDIRECT(H$3),'Struktur Vorjahr'!$D345,INDIRECT(H$4))+SUMIF(INDIRECT(H$3),'Struktur Vorjahr'!$D345,INDIRECT(H$5)))</f>
        <v>0</v>
      </c>
      <c r="I345" s="593">
        <f ca="1">$E345*(-SUMIF(INDIRECT(I$3),'Struktur Vorjahr'!$D345,INDIRECT(I$4))+SUMIF(INDIRECT(I$3),'Struktur Vorjahr'!$D345,INDIRECT(I$5)))</f>
        <v>0</v>
      </c>
      <c r="J345" s="593">
        <f ca="1">$E345*(-SUMIF(INDIRECT(J$3),'Struktur Vorjahr'!$D345,INDIRECT(J$4))+SUMIF(INDIRECT(J$3),'Struktur Vorjahr'!$D345,INDIRECT(J$5)))</f>
        <v>0</v>
      </c>
      <c r="K345" s="593">
        <f ca="1">$E345*(-SUMIF(INDIRECT(K$3),'Struktur Vorjahr'!$D345,INDIRECT(K$4))+SUMIF(INDIRECT(K$3),'Struktur Vorjahr'!$D345,INDIRECT(K$5)))</f>
        <v>0</v>
      </c>
      <c r="L345" s="593">
        <f ca="1">$E345*(-SUMIF(INDIRECT(L$3),'Struktur Vorjahr'!$D345,INDIRECT(L$4))+SUMIF(INDIRECT(L$3),'Struktur Vorjahr'!$D345,INDIRECT(L$5)))</f>
        <v>0</v>
      </c>
      <c r="M345" s="593">
        <f ca="1">$E345*(-SUMIF(INDIRECT(M$3),'Struktur Vorjahr'!$D345,INDIRECT(M$4))+SUMIF(INDIRECT(M$3),'Struktur Vorjahr'!$D345,INDIRECT(M$5)))</f>
        <v>0</v>
      </c>
      <c r="N345" s="593">
        <f ca="1">$E345*(-SUMIF(INDIRECT(N$3),'Struktur Vorjahr'!$D345,INDIRECT(N$4))+SUMIF(INDIRECT(N$3),'Struktur Vorjahr'!$D345,INDIRECT(N$5)))</f>
        <v>0</v>
      </c>
      <c r="O345" s="593">
        <f ca="1">$E345*(-SUMIF(INDIRECT(O$3),'Struktur Vorjahr'!$D345,INDIRECT(O$4))+SUMIF(INDIRECT(O$3),'Struktur Vorjahr'!$D345,INDIRECT(O$5)))</f>
        <v>0</v>
      </c>
      <c r="P345" s="593">
        <f ca="1">$E345*(-SUMIF(INDIRECT(P$3),'Struktur Vorjahr'!$D345,INDIRECT(P$4))+SUMIF(INDIRECT(P$3),'Struktur Vorjahr'!$D345,INDIRECT(P$5)))</f>
        <v>0</v>
      </c>
      <c r="Q345" s="593">
        <f ca="1">$E345*(-SUMIF(INDIRECT(Q$3),'Struktur Vorjahr'!$D345,INDIRECT(Q$4))+SUMIF(INDIRECT(Q$3),'Struktur Vorjahr'!$D345,INDIRECT(Q$5)))</f>
        <v>0</v>
      </c>
      <c r="R345" s="593">
        <f ca="1">$E345*(-SUMIF(INDIRECT(R$3),'Struktur Vorjahr'!$D345,INDIRECT(R$4))+SUMIF(INDIRECT(R$3),'Struktur Vorjahr'!$D345,INDIRECT(R$5)))</f>
        <v>0</v>
      </c>
      <c r="S345" s="593">
        <f ca="1">$E345*(-SUMIF(INDIRECT(S$3),'Struktur Vorjahr'!$D345,INDIRECT(S$4))+SUMIF(INDIRECT(S$3),'Struktur Vorjahr'!$D345,INDIRECT(S$5)))</f>
        <v>0</v>
      </c>
      <c r="T345" s="593">
        <f ca="1">$E345*(-SUMIF(INDIRECT(T$3),'Struktur Vorjahr'!$D345,INDIRECT(T$4))+SUMIF(INDIRECT(T$3),'Struktur Vorjahr'!$D345,INDIRECT(T$5)))</f>
        <v>0</v>
      </c>
      <c r="U345" s="593">
        <f ca="1">$E345*(-SUMIF(INDIRECT(U$3),'Struktur Vorjahr'!$D345,INDIRECT(U$4))+SUMIF(INDIRECT(U$3),'Struktur Vorjahr'!$D345,INDIRECT(U$5)))</f>
        <v>0</v>
      </c>
      <c r="V345" s="593">
        <f ca="1">$E345*(-SUMIF(INDIRECT(V$3),'Struktur Vorjahr'!$D345,INDIRECT(V$4))+SUMIF(INDIRECT(V$3),'Struktur Vorjahr'!$D345,INDIRECT(V$5)))</f>
        <v>0</v>
      </c>
      <c r="W345" s="593">
        <f ca="1">$E345*(-SUMIF(INDIRECT(W$3),'Struktur Vorjahr'!$D345,INDIRECT(W$4))+SUMIF(INDIRECT(W$3),'Struktur Vorjahr'!$D345,INDIRECT(W$5)))</f>
        <v>0</v>
      </c>
      <c r="X345" s="593">
        <f ca="1">$E345*(-SUMIF(INDIRECT(X$3),'Struktur Vorjahr'!$D345,INDIRECT(X$4))+SUMIF(INDIRECT(X$3),'Struktur Vorjahr'!$D345,INDIRECT(X$5)))</f>
        <v>0</v>
      </c>
      <c r="Y345" s="593">
        <f ca="1">$E345*(-SUMIF(INDIRECT(Y$3),'Struktur Vorjahr'!$D345,INDIRECT(Y$4))+SUMIF(INDIRECT(Y$3),'Struktur Vorjahr'!$D345,INDIRECT(Y$5)))</f>
        <v>0</v>
      </c>
      <c r="Z345" s="593">
        <f ca="1">$E345*(-SUMIF(INDIRECT(Z$3),'Struktur Vorjahr'!$D345,INDIRECT(Z$4))+SUMIF(INDIRECT(Z$3),'Struktur Vorjahr'!$D345,INDIRECT(Z$5)))</f>
        <v>0</v>
      </c>
      <c r="AA345" s="593">
        <f ca="1">$E345*(-SUMIF(INDIRECT(AA$3),'Struktur Vorjahr'!$D345,INDIRECT(AA$4))+SUMIF(INDIRECT(AA$3),'Struktur Vorjahr'!$D345,INDIRECT(AA$5)))</f>
        <v>0</v>
      </c>
      <c r="AB345" s="593">
        <f ca="1">$E345*(-SUMIF(INDIRECT(AB$3),'Struktur Vorjahr'!$D345,INDIRECT(AB$4))+SUMIF(INDIRECT(AB$3),'Struktur Vorjahr'!$D345,INDIRECT(AB$5)))</f>
        <v>0</v>
      </c>
      <c r="AC345" s="593">
        <f ca="1">$E345*(-SUMIF(INDIRECT(AC$3),'Struktur Vorjahr'!$D345,INDIRECT(AC$4))+SUMIF(INDIRECT(AC$3),'Struktur Vorjahr'!$D345,INDIRECT(AC$5)))</f>
        <v>0</v>
      </c>
      <c r="AD345" s="593">
        <f ca="1">$E345*(-SUMIF(INDIRECT(AD$3),'Struktur Vorjahr'!$D345,INDIRECT(AD$4))+SUMIF(INDIRECT(AD$3),'Struktur Vorjahr'!$D345,INDIRECT(AD$5)))</f>
        <v>0</v>
      </c>
      <c r="AE345" s="593">
        <f t="shared" ca="1" si="157"/>
        <v>0</v>
      </c>
      <c r="AF345" s="593">
        <f t="shared" ca="1" si="158"/>
        <v>0</v>
      </c>
      <c r="AG345" s="593">
        <f t="shared" ca="1" si="158"/>
        <v>0</v>
      </c>
      <c r="AH345" s="593">
        <f t="shared" ca="1" si="158"/>
        <v>0</v>
      </c>
      <c r="AI345" s="593">
        <f t="shared" ca="1" si="158"/>
        <v>0</v>
      </c>
      <c r="AJ345" s="593">
        <f t="shared" ca="1" si="158"/>
        <v>0</v>
      </c>
      <c r="AK345" s="593">
        <f t="shared" ca="1" si="158"/>
        <v>0</v>
      </c>
      <c r="AL345" s="593">
        <f t="shared" ca="1" si="158"/>
        <v>0</v>
      </c>
      <c r="AM345" s="593">
        <f t="shared" ca="1" si="158"/>
        <v>0</v>
      </c>
      <c r="AN345" s="593">
        <f t="shared" ca="1" si="158"/>
        <v>0</v>
      </c>
      <c r="AO345" s="593">
        <f t="shared" ca="1" si="158"/>
        <v>0</v>
      </c>
      <c r="AP345" s="593">
        <f t="shared" ca="1" si="158"/>
        <v>0</v>
      </c>
    </row>
    <row r="346" spans="1:42" s="594" customFormat="1" ht="11.25" outlineLevel="1" x14ac:dyDescent="0.2">
      <c r="A346" s="590"/>
      <c r="B346" s="591" t="str">
        <f>IF(D346&lt;&gt;"",
IF(ISERROR(MATCH(D346,'Ist Vorjahr Monat 01'!A:A,0))=FALSE,INDEX('Ist Vorjahr Monat 01'!B:B,MATCH(D346,'Ist Vorjahr Monat 01'!A:A,0)),
IF(ISERROR(MATCH(D346,'Ist Vorjahr Monat 02'!A:A,0))=FALSE,INDEX('Ist Vorjahr Monat 02'!B:B,MATCH(D346,'Ist Vorjahr Monat 02'!A:A,0)),
IF(ISERROR(MATCH(D346,'Ist Vorjahr Monat 03'!A:A,0))=FALSE,INDEX('Ist Vorjahr Monat 03'!B:B,MATCH(D346,'Ist Vorjahr Monat 03'!A:A,0)),
IF(ISERROR(MATCH(D346,'Ist Vorjahr Monat 04'!A:A,0))=FALSE,INDEX('Ist Vorjahr Monat 04'!B:B,MATCH(D346,'Ist Vorjahr Monat 04'!A:A,0)),
IF(ISERROR(MATCH(D346,'Ist Vorjahr Monat 05'!A:A,0))=FALSE,INDEX('Ist Vorjahr Monat 05'!B:B,MATCH(D346,'Ist Vorjahr Monat 05'!A:A,0)),
IF(ISERROR(MATCH(D346,'Ist Vorjahr Monat 06'!A:A,0))=FALSE,INDEX('Ist Vorjahr Monat 06'!B:B,MATCH(D346,'Ist Vorjahr Monat 06'!A:A,0)),
IF(ISERROR(MATCH(D346,'Ist Vorjahr Monat 07'!A:A,0))=FALSE,INDEX('Ist Vorjahr Monat 07'!B:B,MATCH(D346,'Ist Vorjahr Monat 07'!A:A,0)),
IF(ISERROR(MATCH(D346,'Ist Vorjahr Monat 08'!A:A,0))=FALSE,INDEX('Ist Vorjahr Monat 08'!B:B,MATCH(D346,'Ist Vorjahr Monat 08'!A:A,0)),
IF(ISERROR(MATCH(D346,'Ist Vorjahr Monat 09'!A:A,0))=FALSE,INDEX('Ist Vorjahr Monat 09'!B:B,MATCH(D346,'Ist Vorjahr Monat 09'!A:A,0)),
IF(ISERROR(MATCH(D346,'Ist Vorjahr Monat 10'!A:A,0))=FALSE,INDEX('Ist Vorjahr Monat 10'!B:B,MATCH(D346,'Ist Vorjahr Monat 10'!A:A,0)),
IF(ISERROR(MATCH(D346,'Ist Vorjahr Monat 11'!A:A,0))=FALSE,INDEX('Ist Vorjahr Monat 11'!B:B,MATCH(D346,'Ist Vorjahr Monat 11'!A:A,0)),
IF(ISERROR(MATCH(D346,'Ist Vorjahr Monat 12'!A:A,0))=FALSE,INDEX('Ist Vorjahr Monat 12'!B:B,MATCH(D346,'Ist Vorjahr Monat 12'!A:A,0)),
"{Konto unbekannt}"
)))))))))))),"")</f>
        <v/>
      </c>
      <c r="C346" s="591"/>
      <c r="D346" s="590"/>
      <c r="E346" s="592">
        <f t="shared" si="159"/>
        <v>-1</v>
      </c>
      <c r="F346" s="590" t="s">
        <v>996</v>
      </c>
      <c r="G346" s="593">
        <f ca="1">$E346*(-SUMIF(INDIRECT(G$3),'Struktur Vorjahr'!$D346,INDIRECT(G$4))+SUMIF(INDIRECT(G$3),'Struktur Vorjahr'!$D346,INDIRECT(G$5)))</f>
        <v>0</v>
      </c>
      <c r="H346" s="593">
        <f ca="1">$E346*(-SUMIF(INDIRECT(H$3),'Struktur Vorjahr'!$D346,INDIRECT(H$4))+SUMIF(INDIRECT(H$3),'Struktur Vorjahr'!$D346,INDIRECT(H$5)))</f>
        <v>0</v>
      </c>
      <c r="I346" s="593">
        <f ca="1">$E346*(-SUMIF(INDIRECT(I$3),'Struktur Vorjahr'!$D346,INDIRECT(I$4))+SUMIF(INDIRECT(I$3),'Struktur Vorjahr'!$D346,INDIRECT(I$5)))</f>
        <v>0</v>
      </c>
      <c r="J346" s="593">
        <f ca="1">$E346*(-SUMIF(INDIRECT(J$3),'Struktur Vorjahr'!$D346,INDIRECT(J$4))+SUMIF(INDIRECT(J$3),'Struktur Vorjahr'!$D346,INDIRECT(J$5)))</f>
        <v>0</v>
      </c>
      <c r="K346" s="593">
        <f ca="1">$E346*(-SUMIF(INDIRECT(K$3),'Struktur Vorjahr'!$D346,INDIRECT(K$4))+SUMIF(INDIRECT(K$3),'Struktur Vorjahr'!$D346,INDIRECT(K$5)))</f>
        <v>0</v>
      </c>
      <c r="L346" s="593">
        <f ca="1">$E346*(-SUMIF(INDIRECT(L$3),'Struktur Vorjahr'!$D346,INDIRECT(L$4))+SUMIF(INDIRECT(L$3),'Struktur Vorjahr'!$D346,INDIRECT(L$5)))</f>
        <v>0</v>
      </c>
      <c r="M346" s="593">
        <f ca="1">$E346*(-SUMIF(INDIRECT(M$3),'Struktur Vorjahr'!$D346,INDIRECT(M$4))+SUMIF(INDIRECT(M$3),'Struktur Vorjahr'!$D346,INDIRECT(M$5)))</f>
        <v>0</v>
      </c>
      <c r="N346" s="593">
        <f ca="1">$E346*(-SUMIF(INDIRECT(N$3),'Struktur Vorjahr'!$D346,INDIRECT(N$4))+SUMIF(INDIRECT(N$3),'Struktur Vorjahr'!$D346,INDIRECT(N$5)))</f>
        <v>0</v>
      </c>
      <c r="O346" s="593">
        <f ca="1">$E346*(-SUMIF(INDIRECT(O$3),'Struktur Vorjahr'!$D346,INDIRECT(O$4))+SUMIF(INDIRECT(O$3),'Struktur Vorjahr'!$D346,INDIRECT(O$5)))</f>
        <v>0</v>
      </c>
      <c r="P346" s="593">
        <f ca="1">$E346*(-SUMIF(INDIRECT(P$3),'Struktur Vorjahr'!$D346,INDIRECT(P$4))+SUMIF(INDIRECT(P$3),'Struktur Vorjahr'!$D346,INDIRECT(P$5)))</f>
        <v>0</v>
      </c>
      <c r="Q346" s="593">
        <f ca="1">$E346*(-SUMIF(INDIRECT(Q$3),'Struktur Vorjahr'!$D346,INDIRECT(Q$4))+SUMIF(INDIRECT(Q$3),'Struktur Vorjahr'!$D346,INDIRECT(Q$5)))</f>
        <v>0</v>
      </c>
      <c r="R346" s="593">
        <f ca="1">$E346*(-SUMIF(INDIRECT(R$3),'Struktur Vorjahr'!$D346,INDIRECT(R$4))+SUMIF(INDIRECT(R$3),'Struktur Vorjahr'!$D346,INDIRECT(R$5)))</f>
        <v>0</v>
      </c>
      <c r="S346" s="593">
        <f ca="1">$E346*(-SUMIF(INDIRECT(S$3),'Struktur Vorjahr'!$D346,INDIRECT(S$4))+SUMIF(INDIRECT(S$3),'Struktur Vorjahr'!$D346,INDIRECT(S$5)))</f>
        <v>0</v>
      </c>
      <c r="T346" s="593">
        <f ca="1">$E346*(-SUMIF(INDIRECT(T$3),'Struktur Vorjahr'!$D346,INDIRECT(T$4))+SUMIF(INDIRECT(T$3),'Struktur Vorjahr'!$D346,INDIRECT(T$5)))</f>
        <v>0</v>
      </c>
      <c r="U346" s="593">
        <f ca="1">$E346*(-SUMIF(INDIRECT(U$3),'Struktur Vorjahr'!$D346,INDIRECT(U$4))+SUMIF(INDIRECT(U$3),'Struktur Vorjahr'!$D346,INDIRECT(U$5)))</f>
        <v>0</v>
      </c>
      <c r="V346" s="593">
        <f ca="1">$E346*(-SUMIF(INDIRECT(V$3),'Struktur Vorjahr'!$D346,INDIRECT(V$4))+SUMIF(INDIRECT(V$3),'Struktur Vorjahr'!$D346,INDIRECT(V$5)))</f>
        <v>0</v>
      </c>
      <c r="W346" s="593">
        <f ca="1">$E346*(-SUMIF(INDIRECT(W$3),'Struktur Vorjahr'!$D346,INDIRECT(W$4))+SUMIF(INDIRECT(W$3),'Struktur Vorjahr'!$D346,INDIRECT(W$5)))</f>
        <v>0</v>
      </c>
      <c r="X346" s="593">
        <f ca="1">$E346*(-SUMIF(INDIRECT(X$3),'Struktur Vorjahr'!$D346,INDIRECT(X$4))+SUMIF(INDIRECT(X$3),'Struktur Vorjahr'!$D346,INDIRECT(X$5)))</f>
        <v>0</v>
      </c>
      <c r="Y346" s="593">
        <f ca="1">$E346*(-SUMIF(INDIRECT(Y$3),'Struktur Vorjahr'!$D346,INDIRECT(Y$4))+SUMIF(INDIRECT(Y$3),'Struktur Vorjahr'!$D346,INDIRECT(Y$5)))</f>
        <v>0</v>
      </c>
      <c r="Z346" s="593">
        <f ca="1">$E346*(-SUMIF(INDIRECT(Z$3),'Struktur Vorjahr'!$D346,INDIRECT(Z$4))+SUMIF(INDIRECT(Z$3),'Struktur Vorjahr'!$D346,INDIRECT(Z$5)))</f>
        <v>0</v>
      </c>
      <c r="AA346" s="593">
        <f ca="1">$E346*(-SUMIF(INDIRECT(AA$3),'Struktur Vorjahr'!$D346,INDIRECT(AA$4))+SUMIF(INDIRECT(AA$3),'Struktur Vorjahr'!$D346,INDIRECT(AA$5)))</f>
        <v>0</v>
      </c>
      <c r="AB346" s="593">
        <f ca="1">$E346*(-SUMIF(INDIRECT(AB$3),'Struktur Vorjahr'!$D346,INDIRECT(AB$4))+SUMIF(INDIRECT(AB$3),'Struktur Vorjahr'!$D346,INDIRECT(AB$5)))</f>
        <v>0</v>
      </c>
      <c r="AC346" s="593">
        <f ca="1">$E346*(-SUMIF(INDIRECT(AC$3),'Struktur Vorjahr'!$D346,INDIRECT(AC$4))+SUMIF(INDIRECT(AC$3),'Struktur Vorjahr'!$D346,INDIRECT(AC$5)))</f>
        <v>0</v>
      </c>
      <c r="AD346" s="593">
        <f ca="1">$E346*(-SUMIF(INDIRECT(AD$3),'Struktur Vorjahr'!$D346,INDIRECT(AD$4))+SUMIF(INDIRECT(AD$3),'Struktur Vorjahr'!$D346,INDIRECT(AD$5)))</f>
        <v>0</v>
      </c>
      <c r="AE346" s="593">
        <f t="shared" ca="1" si="157"/>
        <v>0</v>
      </c>
      <c r="AF346" s="593">
        <f t="shared" ca="1" si="158"/>
        <v>0</v>
      </c>
      <c r="AG346" s="593">
        <f t="shared" ca="1" si="158"/>
        <v>0</v>
      </c>
      <c r="AH346" s="593">
        <f t="shared" ca="1" si="158"/>
        <v>0</v>
      </c>
      <c r="AI346" s="593">
        <f t="shared" ca="1" si="158"/>
        <v>0</v>
      </c>
      <c r="AJ346" s="593">
        <f t="shared" ca="1" si="158"/>
        <v>0</v>
      </c>
      <c r="AK346" s="593">
        <f t="shared" ca="1" si="158"/>
        <v>0</v>
      </c>
      <c r="AL346" s="593">
        <f t="shared" ca="1" si="158"/>
        <v>0</v>
      </c>
      <c r="AM346" s="593">
        <f t="shared" ca="1" si="158"/>
        <v>0</v>
      </c>
      <c r="AN346" s="593">
        <f t="shared" ca="1" si="158"/>
        <v>0</v>
      </c>
      <c r="AO346" s="593">
        <f t="shared" ca="1" si="158"/>
        <v>0</v>
      </c>
      <c r="AP346" s="593">
        <f t="shared" ca="1" si="158"/>
        <v>0</v>
      </c>
    </row>
    <row r="347" spans="1:42" s="589" customFormat="1" x14ac:dyDescent="0.2">
      <c r="A347" s="585">
        <v>34</v>
      </c>
      <c r="B347" s="586" t="s">
        <v>1020</v>
      </c>
      <c r="C347" s="587">
        <f ca="1">SUM(G347:R347)</f>
        <v>0</v>
      </c>
      <c r="D347" s="587"/>
      <c r="E347" s="588">
        <f t="shared" si="159"/>
        <v>1</v>
      </c>
      <c r="F347" s="585"/>
      <c r="G347" s="587">
        <f t="shared" ref="G347:AP347" ca="1" si="160">SUM(G348:G353)</f>
        <v>0</v>
      </c>
      <c r="H347" s="587">
        <f t="shared" ca="1" si="160"/>
        <v>0</v>
      </c>
      <c r="I347" s="587">
        <f t="shared" ca="1" si="160"/>
        <v>0</v>
      </c>
      <c r="J347" s="587">
        <f t="shared" ca="1" si="160"/>
        <v>0</v>
      </c>
      <c r="K347" s="587">
        <f t="shared" ca="1" si="160"/>
        <v>0</v>
      </c>
      <c r="L347" s="587">
        <f t="shared" ca="1" si="160"/>
        <v>0</v>
      </c>
      <c r="M347" s="587">
        <f t="shared" ca="1" si="160"/>
        <v>0</v>
      </c>
      <c r="N347" s="587">
        <f t="shared" ca="1" si="160"/>
        <v>0</v>
      </c>
      <c r="O347" s="587">
        <f t="shared" ca="1" si="160"/>
        <v>0</v>
      </c>
      <c r="P347" s="587">
        <f t="shared" ca="1" si="160"/>
        <v>0</v>
      </c>
      <c r="Q347" s="587">
        <f t="shared" ca="1" si="160"/>
        <v>0</v>
      </c>
      <c r="R347" s="587">
        <f t="shared" ca="1" si="160"/>
        <v>0</v>
      </c>
      <c r="S347" s="587">
        <f t="shared" ca="1" si="160"/>
        <v>0</v>
      </c>
      <c r="T347" s="587">
        <f t="shared" ca="1" si="160"/>
        <v>0</v>
      </c>
      <c r="U347" s="587">
        <f t="shared" ca="1" si="160"/>
        <v>0</v>
      </c>
      <c r="V347" s="587">
        <f t="shared" ca="1" si="160"/>
        <v>0</v>
      </c>
      <c r="W347" s="587">
        <f t="shared" ca="1" si="160"/>
        <v>0</v>
      </c>
      <c r="X347" s="587">
        <f t="shared" ca="1" si="160"/>
        <v>0</v>
      </c>
      <c r="Y347" s="587">
        <f t="shared" ca="1" si="160"/>
        <v>0</v>
      </c>
      <c r="Z347" s="587">
        <f t="shared" ca="1" si="160"/>
        <v>0</v>
      </c>
      <c r="AA347" s="587">
        <f t="shared" ca="1" si="160"/>
        <v>0</v>
      </c>
      <c r="AB347" s="587">
        <f t="shared" ca="1" si="160"/>
        <v>0</v>
      </c>
      <c r="AC347" s="587">
        <f t="shared" ca="1" si="160"/>
        <v>0</v>
      </c>
      <c r="AD347" s="587">
        <f t="shared" ca="1" si="160"/>
        <v>0</v>
      </c>
      <c r="AE347" s="587">
        <f t="shared" ca="1" si="160"/>
        <v>0</v>
      </c>
      <c r="AF347" s="587">
        <f t="shared" ca="1" si="160"/>
        <v>0</v>
      </c>
      <c r="AG347" s="587">
        <f t="shared" ca="1" si="160"/>
        <v>0</v>
      </c>
      <c r="AH347" s="587">
        <f t="shared" ca="1" si="160"/>
        <v>0</v>
      </c>
      <c r="AI347" s="587">
        <f t="shared" ca="1" si="160"/>
        <v>0</v>
      </c>
      <c r="AJ347" s="587">
        <f t="shared" ca="1" si="160"/>
        <v>0</v>
      </c>
      <c r="AK347" s="587">
        <f t="shared" ca="1" si="160"/>
        <v>0</v>
      </c>
      <c r="AL347" s="587">
        <f t="shared" ca="1" si="160"/>
        <v>0</v>
      </c>
      <c r="AM347" s="587">
        <f t="shared" ca="1" si="160"/>
        <v>0</v>
      </c>
      <c r="AN347" s="587">
        <f t="shared" ca="1" si="160"/>
        <v>0</v>
      </c>
      <c r="AO347" s="587">
        <f t="shared" ca="1" si="160"/>
        <v>0</v>
      </c>
      <c r="AP347" s="587">
        <f t="shared" ca="1" si="160"/>
        <v>0</v>
      </c>
    </row>
    <row r="348" spans="1:42" s="594" customFormat="1" ht="11.25" outlineLevel="1" x14ac:dyDescent="0.2">
      <c r="A348" s="590"/>
      <c r="B348" s="591" t="str">
        <f>IF(D348&lt;&gt;"",
IF(ISERROR(MATCH(D348,'Ist Vorjahr Monat 01'!A:A,0))=FALSE,INDEX('Ist Vorjahr Monat 01'!B:B,MATCH(D348,'Ist Vorjahr Monat 01'!A:A,0)),
IF(ISERROR(MATCH(D348,'Ist Vorjahr Monat 02'!A:A,0))=FALSE,INDEX('Ist Vorjahr Monat 02'!B:B,MATCH(D348,'Ist Vorjahr Monat 02'!A:A,0)),
IF(ISERROR(MATCH(D348,'Ist Vorjahr Monat 03'!A:A,0))=FALSE,INDEX('Ist Vorjahr Monat 03'!B:B,MATCH(D348,'Ist Vorjahr Monat 03'!A:A,0)),
IF(ISERROR(MATCH(D348,'Ist Vorjahr Monat 04'!A:A,0))=FALSE,INDEX('Ist Vorjahr Monat 04'!B:B,MATCH(D348,'Ist Vorjahr Monat 04'!A:A,0)),
IF(ISERROR(MATCH(D348,'Ist Vorjahr Monat 05'!A:A,0))=FALSE,INDEX('Ist Vorjahr Monat 05'!B:B,MATCH(D348,'Ist Vorjahr Monat 05'!A:A,0)),
IF(ISERROR(MATCH(D348,'Ist Vorjahr Monat 06'!A:A,0))=FALSE,INDEX('Ist Vorjahr Monat 06'!B:B,MATCH(D348,'Ist Vorjahr Monat 06'!A:A,0)),
IF(ISERROR(MATCH(D348,'Ist Vorjahr Monat 07'!A:A,0))=FALSE,INDEX('Ist Vorjahr Monat 07'!B:B,MATCH(D348,'Ist Vorjahr Monat 07'!A:A,0)),
IF(ISERROR(MATCH(D348,'Ist Vorjahr Monat 08'!A:A,0))=FALSE,INDEX('Ist Vorjahr Monat 08'!B:B,MATCH(D348,'Ist Vorjahr Monat 08'!A:A,0)),
IF(ISERROR(MATCH(D348,'Ist Vorjahr Monat 09'!A:A,0))=FALSE,INDEX('Ist Vorjahr Monat 09'!B:B,MATCH(D348,'Ist Vorjahr Monat 09'!A:A,0)),
IF(ISERROR(MATCH(D348,'Ist Vorjahr Monat 10'!A:A,0))=FALSE,INDEX('Ist Vorjahr Monat 10'!B:B,MATCH(D348,'Ist Vorjahr Monat 10'!A:A,0)),
IF(ISERROR(MATCH(D348,'Ist Vorjahr Monat 11'!A:A,0))=FALSE,INDEX('Ist Vorjahr Monat 11'!B:B,MATCH(D348,'Ist Vorjahr Monat 11'!A:A,0)),
IF(ISERROR(MATCH(D348,'Ist Vorjahr Monat 12'!A:A,0))=FALSE,INDEX('Ist Vorjahr Monat 12'!B:B,MATCH(D348,'Ist Vorjahr Monat 12'!A:A,0)),
"{Konto unbekannt}"
)))))))))))),"")</f>
        <v>{Konto unbekannt}</v>
      </c>
      <c r="C348" s="591"/>
      <c r="D348" s="590">
        <v>8590</v>
      </c>
      <c r="E348" s="592">
        <f t="shared" si="159"/>
        <v>-1</v>
      </c>
      <c r="F348" s="590" t="s">
        <v>996</v>
      </c>
      <c r="G348" s="593">
        <f ca="1">$E348*(-SUMIF(INDIRECT(G$3),'Struktur Vorjahr'!$D348,INDIRECT(G$4))+SUMIF(INDIRECT(G$3),'Struktur Vorjahr'!$D348,INDIRECT(G$5)))</f>
        <v>0</v>
      </c>
      <c r="H348" s="593">
        <f ca="1">$E348*(-SUMIF(INDIRECT(H$3),'Struktur Vorjahr'!$D348,INDIRECT(H$4))+SUMIF(INDIRECT(H$3),'Struktur Vorjahr'!$D348,INDIRECT(H$5)))</f>
        <v>0</v>
      </c>
      <c r="I348" s="593">
        <f ca="1">$E348*(-SUMIF(INDIRECT(I$3),'Struktur Vorjahr'!$D348,INDIRECT(I$4))+SUMIF(INDIRECT(I$3),'Struktur Vorjahr'!$D348,INDIRECT(I$5)))</f>
        <v>0</v>
      </c>
      <c r="J348" s="593">
        <f ca="1">$E348*(-SUMIF(INDIRECT(J$3),'Struktur Vorjahr'!$D348,INDIRECT(J$4))+SUMIF(INDIRECT(J$3),'Struktur Vorjahr'!$D348,INDIRECT(J$5)))</f>
        <v>0</v>
      </c>
      <c r="K348" s="593">
        <f ca="1">$E348*(-SUMIF(INDIRECT(K$3),'Struktur Vorjahr'!$D348,INDIRECT(K$4))+SUMIF(INDIRECT(K$3),'Struktur Vorjahr'!$D348,INDIRECT(K$5)))</f>
        <v>0</v>
      </c>
      <c r="L348" s="593">
        <f ca="1">$E348*(-SUMIF(INDIRECT(L$3),'Struktur Vorjahr'!$D348,INDIRECT(L$4))+SUMIF(INDIRECT(L$3),'Struktur Vorjahr'!$D348,INDIRECT(L$5)))</f>
        <v>0</v>
      </c>
      <c r="M348" s="593">
        <f ca="1">$E348*(-SUMIF(INDIRECT(M$3),'Struktur Vorjahr'!$D348,INDIRECT(M$4))+SUMIF(INDIRECT(M$3),'Struktur Vorjahr'!$D348,INDIRECT(M$5)))</f>
        <v>0</v>
      </c>
      <c r="N348" s="593">
        <f ca="1">$E348*(-SUMIF(INDIRECT(N$3),'Struktur Vorjahr'!$D348,INDIRECT(N$4))+SUMIF(INDIRECT(N$3),'Struktur Vorjahr'!$D348,INDIRECT(N$5)))</f>
        <v>0</v>
      </c>
      <c r="O348" s="593">
        <f ca="1">$E348*(-SUMIF(INDIRECT(O$3),'Struktur Vorjahr'!$D348,INDIRECT(O$4))+SUMIF(INDIRECT(O$3),'Struktur Vorjahr'!$D348,INDIRECT(O$5)))</f>
        <v>0</v>
      </c>
      <c r="P348" s="593">
        <f ca="1">$E348*(-SUMIF(INDIRECT(P$3),'Struktur Vorjahr'!$D348,INDIRECT(P$4))+SUMIF(INDIRECT(P$3),'Struktur Vorjahr'!$D348,INDIRECT(P$5)))</f>
        <v>0</v>
      </c>
      <c r="Q348" s="593">
        <f ca="1">$E348*(-SUMIF(INDIRECT(Q$3),'Struktur Vorjahr'!$D348,INDIRECT(Q$4))+SUMIF(INDIRECT(Q$3),'Struktur Vorjahr'!$D348,INDIRECT(Q$5)))</f>
        <v>0</v>
      </c>
      <c r="R348" s="593">
        <f ca="1">$E348*(-SUMIF(INDIRECT(R$3),'Struktur Vorjahr'!$D348,INDIRECT(R$4))+SUMIF(INDIRECT(R$3),'Struktur Vorjahr'!$D348,INDIRECT(R$5)))</f>
        <v>0</v>
      </c>
      <c r="S348" s="593">
        <f ca="1">$E348*(-SUMIF(INDIRECT(S$3),'Struktur Vorjahr'!$D348,INDIRECT(S$4))+SUMIF(INDIRECT(S$3),'Struktur Vorjahr'!$D348,INDIRECT(S$5)))</f>
        <v>0</v>
      </c>
      <c r="T348" s="593">
        <f ca="1">$E348*(-SUMIF(INDIRECT(T$3),'Struktur Vorjahr'!$D348,INDIRECT(T$4))+SUMIF(INDIRECT(T$3),'Struktur Vorjahr'!$D348,INDIRECT(T$5)))</f>
        <v>0</v>
      </c>
      <c r="U348" s="593">
        <f ca="1">$E348*(-SUMIF(INDIRECT(U$3),'Struktur Vorjahr'!$D348,INDIRECT(U$4))+SUMIF(INDIRECT(U$3),'Struktur Vorjahr'!$D348,INDIRECT(U$5)))</f>
        <v>0</v>
      </c>
      <c r="V348" s="593">
        <f ca="1">$E348*(-SUMIF(INDIRECT(V$3),'Struktur Vorjahr'!$D348,INDIRECT(V$4))+SUMIF(INDIRECT(V$3),'Struktur Vorjahr'!$D348,INDIRECT(V$5)))</f>
        <v>0</v>
      </c>
      <c r="W348" s="593">
        <f ca="1">$E348*(-SUMIF(INDIRECT(W$3),'Struktur Vorjahr'!$D348,INDIRECT(W$4))+SUMIF(INDIRECT(W$3),'Struktur Vorjahr'!$D348,INDIRECT(W$5)))</f>
        <v>0</v>
      </c>
      <c r="X348" s="593">
        <f ca="1">$E348*(-SUMIF(INDIRECT(X$3),'Struktur Vorjahr'!$D348,INDIRECT(X$4))+SUMIF(INDIRECT(X$3),'Struktur Vorjahr'!$D348,INDIRECT(X$5)))</f>
        <v>0</v>
      </c>
      <c r="Y348" s="593">
        <f ca="1">$E348*(-SUMIF(INDIRECT(Y$3),'Struktur Vorjahr'!$D348,INDIRECT(Y$4))+SUMIF(INDIRECT(Y$3),'Struktur Vorjahr'!$D348,INDIRECT(Y$5)))</f>
        <v>0</v>
      </c>
      <c r="Z348" s="593">
        <f ca="1">$E348*(-SUMIF(INDIRECT(Z$3),'Struktur Vorjahr'!$D348,INDIRECT(Z$4))+SUMIF(INDIRECT(Z$3),'Struktur Vorjahr'!$D348,INDIRECT(Z$5)))</f>
        <v>0</v>
      </c>
      <c r="AA348" s="593">
        <f ca="1">$E348*(-SUMIF(INDIRECT(AA$3),'Struktur Vorjahr'!$D348,INDIRECT(AA$4))+SUMIF(INDIRECT(AA$3),'Struktur Vorjahr'!$D348,INDIRECT(AA$5)))</f>
        <v>0</v>
      </c>
      <c r="AB348" s="593">
        <f ca="1">$E348*(-SUMIF(INDIRECT(AB$3),'Struktur Vorjahr'!$D348,INDIRECT(AB$4))+SUMIF(INDIRECT(AB$3),'Struktur Vorjahr'!$D348,INDIRECT(AB$5)))</f>
        <v>0</v>
      </c>
      <c r="AC348" s="593">
        <f ca="1">$E348*(-SUMIF(INDIRECT(AC$3),'Struktur Vorjahr'!$D348,INDIRECT(AC$4))+SUMIF(INDIRECT(AC$3),'Struktur Vorjahr'!$D348,INDIRECT(AC$5)))</f>
        <v>0</v>
      </c>
      <c r="AD348" s="593">
        <f ca="1">$E348*(-SUMIF(INDIRECT(AD$3),'Struktur Vorjahr'!$D348,INDIRECT(AD$4))+SUMIF(INDIRECT(AD$3),'Struktur Vorjahr'!$D348,INDIRECT(AD$5)))</f>
        <v>0</v>
      </c>
      <c r="AE348" s="593">
        <f t="shared" ref="AE348:AE353" ca="1" si="161">G348</f>
        <v>0</v>
      </c>
      <c r="AF348" s="593">
        <f t="shared" ref="AF348:AP353" ca="1" si="162">H348+AE348</f>
        <v>0</v>
      </c>
      <c r="AG348" s="593">
        <f t="shared" ca="1" si="162"/>
        <v>0</v>
      </c>
      <c r="AH348" s="593">
        <f t="shared" ca="1" si="162"/>
        <v>0</v>
      </c>
      <c r="AI348" s="593">
        <f t="shared" ca="1" si="162"/>
        <v>0</v>
      </c>
      <c r="AJ348" s="593">
        <f t="shared" ca="1" si="162"/>
        <v>0</v>
      </c>
      <c r="AK348" s="593">
        <f t="shared" ca="1" si="162"/>
        <v>0</v>
      </c>
      <c r="AL348" s="593">
        <f t="shared" ca="1" si="162"/>
        <v>0</v>
      </c>
      <c r="AM348" s="593">
        <f t="shared" ca="1" si="162"/>
        <v>0</v>
      </c>
      <c r="AN348" s="593">
        <f t="shared" ca="1" si="162"/>
        <v>0</v>
      </c>
      <c r="AO348" s="593">
        <f t="shared" ca="1" si="162"/>
        <v>0</v>
      </c>
      <c r="AP348" s="593">
        <f t="shared" ca="1" si="162"/>
        <v>0</v>
      </c>
    </row>
    <row r="349" spans="1:42" s="594" customFormat="1" ht="11.25" outlineLevel="1" x14ac:dyDescent="0.2">
      <c r="A349" s="590"/>
      <c r="B349" s="591" t="str">
        <f>IF(D349&lt;&gt;"",
IF(ISERROR(MATCH(D349,'Ist Vorjahr Monat 01'!A:A,0))=FALSE,INDEX('Ist Vorjahr Monat 01'!B:B,MATCH(D349,'Ist Vorjahr Monat 01'!A:A,0)),
IF(ISERROR(MATCH(D349,'Ist Vorjahr Monat 02'!A:A,0))=FALSE,INDEX('Ist Vorjahr Monat 02'!B:B,MATCH(D349,'Ist Vorjahr Monat 02'!A:A,0)),
IF(ISERROR(MATCH(D349,'Ist Vorjahr Monat 03'!A:A,0))=FALSE,INDEX('Ist Vorjahr Monat 03'!B:B,MATCH(D349,'Ist Vorjahr Monat 03'!A:A,0)),
IF(ISERROR(MATCH(D349,'Ist Vorjahr Monat 04'!A:A,0))=FALSE,INDEX('Ist Vorjahr Monat 04'!B:B,MATCH(D349,'Ist Vorjahr Monat 04'!A:A,0)),
IF(ISERROR(MATCH(D349,'Ist Vorjahr Monat 05'!A:A,0))=FALSE,INDEX('Ist Vorjahr Monat 05'!B:B,MATCH(D349,'Ist Vorjahr Monat 05'!A:A,0)),
IF(ISERROR(MATCH(D349,'Ist Vorjahr Monat 06'!A:A,0))=FALSE,INDEX('Ist Vorjahr Monat 06'!B:B,MATCH(D349,'Ist Vorjahr Monat 06'!A:A,0)),
IF(ISERROR(MATCH(D349,'Ist Vorjahr Monat 07'!A:A,0))=FALSE,INDEX('Ist Vorjahr Monat 07'!B:B,MATCH(D349,'Ist Vorjahr Monat 07'!A:A,0)),
IF(ISERROR(MATCH(D349,'Ist Vorjahr Monat 08'!A:A,0))=FALSE,INDEX('Ist Vorjahr Monat 08'!B:B,MATCH(D349,'Ist Vorjahr Monat 08'!A:A,0)),
IF(ISERROR(MATCH(D349,'Ist Vorjahr Monat 09'!A:A,0))=FALSE,INDEX('Ist Vorjahr Monat 09'!B:B,MATCH(D349,'Ist Vorjahr Monat 09'!A:A,0)),
IF(ISERROR(MATCH(D349,'Ist Vorjahr Monat 10'!A:A,0))=FALSE,INDEX('Ist Vorjahr Monat 10'!B:B,MATCH(D349,'Ist Vorjahr Monat 10'!A:A,0)),
IF(ISERROR(MATCH(D349,'Ist Vorjahr Monat 11'!A:A,0))=FALSE,INDEX('Ist Vorjahr Monat 11'!B:B,MATCH(D349,'Ist Vorjahr Monat 11'!A:A,0)),
IF(ISERROR(MATCH(D349,'Ist Vorjahr Monat 12'!A:A,0))=FALSE,INDEX('Ist Vorjahr Monat 12'!B:B,MATCH(D349,'Ist Vorjahr Monat 12'!A:A,0)),
"{Konto unbekannt}"
)))))))))))),"")</f>
        <v/>
      </c>
      <c r="C349" s="591"/>
      <c r="D349" s="590"/>
      <c r="E349" s="592">
        <f>IF(F349="-",-1,1)</f>
        <v>-1</v>
      </c>
      <c r="F349" s="590" t="s">
        <v>996</v>
      </c>
      <c r="G349" s="593">
        <f ca="1">$E349*(-SUMIF(INDIRECT(G$3),'Struktur Vorjahr'!$D349,INDIRECT(G$4))+SUMIF(INDIRECT(G$3),'Struktur Vorjahr'!$D349,INDIRECT(G$5)))</f>
        <v>0</v>
      </c>
      <c r="H349" s="593">
        <f ca="1">$E349*(-SUMIF(INDIRECT(H$3),'Struktur Vorjahr'!$D349,INDIRECT(H$4))+SUMIF(INDIRECT(H$3),'Struktur Vorjahr'!$D349,INDIRECT(H$5)))</f>
        <v>0</v>
      </c>
      <c r="I349" s="593">
        <f ca="1">$E349*(-SUMIF(INDIRECT(I$3),'Struktur Vorjahr'!$D349,INDIRECT(I$4))+SUMIF(INDIRECT(I$3),'Struktur Vorjahr'!$D349,INDIRECT(I$5)))</f>
        <v>0</v>
      </c>
      <c r="J349" s="593">
        <f ca="1">$E349*(-SUMIF(INDIRECT(J$3),'Struktur Vorjahr'!$D349,INDIRECT(J$4))+SUMIF(INDIRECT(J$3),'Struktur Vorjahr'!$D349,INDIRECT(J$5)))</f>
        <v>0</v>
      </c>
      <c r="K349" s="593">
        <f ca="1">$E349*(-SUMIF(INDIRECT(K$3),'Struktur Vorjahr'!$D349,INDIRECT(K$4))+SUMIF(INDIRECT(K$3),'Struktur Vorjahr'!$D349,INDIRECT(K$5)))</f>
        <v>0</v>
      </c>
      <c r="L349" s="593">
        <f ca="1">$E349*(-SUMIF(INDIRECT(L$3),'Struktur Vorjahr'!$D349,INDIRECT(L$4))+SUMIF(INDIRECT(L$3),'Struktur Vorjahr'!$D349,INDIRECT(L$5)))</f>
        <v>0</v>
      </c>
      <c r="M349" s="593">
        <f ca="1">$E349*(-SUMIF(INDIRECT(M$3),'Struktur Vorjahr'!$D349,INDIRECT(M$4))+SUMIF(INDIRECT(M$3),'Struktur Vorjahr'!$D349,INDIRECT(M$5)))</f>
        <v>0</v>
      </c>
      <c r="N349" s="593">
        <f ca="1">$E349*(-SUMIF(INDIRECT(N$3),'Struktur Vorjahr'!$D349,INDIRECT(N$4))+SUMIF(INDIRECT(N$3),'Struktur Vorjahr'!$D349,INDIRECT(N$5)))</f>
        <v>0</v>
      </c>
      <c r="O349" s="593">
        <f ca="1">$E349*(-SUMIF(INDIRECT(O$3),'Struktur Vorjahr'!$D349,INDIRECT(O$4))+SUMIF(INDIRECT(O$3),'Struktur Vorjahr'!$D349,INDIRECT(O$5)))</f>
        <v>0</v>
      </c>
      <c r="P349" s="593">
        <f ca="1">$E349*(-SUMIF(INDIRECT(P$3),'Struktur Vorjahr'!$D349,INDIRECT(P$4))+SUMIF(INDIRECT(P$3),'Struktur Vorjahr'!$D349,INDIRECT(P$5)))</f>
        <v>0</v>
      </c>
      <c r="Q349" s="593">
        <f ca="1">$E349*(-SUMIF(INDIRECT(Q$3),'Struktur Vorjahr'!$D349,INDIRECT(Q$4))+SUMIF(INDIRECT(Q$3),'Struktur Vorjahr'!$D349,INDIRECT(Q$5)))</f>
        <v>0</v>
      </c>
      <c r="R349" s="593">
        <f ca="1">$E349*(-SUMIF(INDIRECT(R$3),'Struktur Vorjahr'!$D349,INDIRECT(R$4))+SUMIF(INDIRECT(R$3),'Struktur Vorjahr'!$D349,INDIRECT(R$5)))</f>
        <v>0</v>
      </c>
      <c r="S349" s="593">
        <f ca="1">$E349*(-SUMIF(INDIRECT(S$3),'Struktur Vorjahr'!$D349,INDIRECT(S$4))+SUMIF(INDIRECT(S$3),'Struktur Vorjahr'!$D349,INDIRECT(S$5)))</f>
        <v>0</v>
      </c>
      <c r="T349" s="593">
        <f ca="1">$E349*(-SUMIF(INDIRECT(T$3),'Struktur Vorjahr'!$D349,INDIRECT(T$4))+SUMIF(INDIRECT(T$3),'Struktur Vorjahr'!$D349,INDIRECT(T$5)))</f>
        <v>0</v>
      </c>
      <c r="U349" s="593">
        <f ca="1">$E349*(-SUMIF(INDIRECT(U$3),'Struktur Vorjahr'!$D349,INDIRECT(U$4))+SUMIF(INDIRECT(U$3),'Struktur Vorjahr'!$D349,INDIRECT(U$5)))</f>
        <v>0</v>
      </c>
      <c r="V349" s="593">
        <f ca="1">$E349*(-SUMIF(INDIRECT(V$3),'Struktur Vorjahr'!$D349,INDIRECT(V$4))+SUMIF(INDIRECT(V$3),'Struktur Vorjahr'!$D349,INDIRECT(V$5)))</f>
        <v>0</v>
      </c>
      <c r="W349" s="593">
        <f ca="1">$E349*(-SUMIF(INDIRECT(W$3),'Struktur Vorjahr'!$D349,INDIRECT(W$4))+SUMIF(INDIRECT(W$3),'Struktur Vorjahr'!$D349,INDIRECT(W$5)))</f>
        <v>0</v>
      </c>
      <c r="X349" s="593">
        <f ca="1">$E349*(-SUMIF(INDIRECT(X$3),'Struktur Vorjahr'!$D349,INDIRECT(X$4))+SUMIF(INDIRECT(X$3),'Struktur Vorjahr'!$D349,INDIRECT(X$5)))</f>
        <v>0</v>
      </c>
      <c r="Y349" s="593">
        <f ca="1">$E349*(-SUMIF(INDIRECT(Y$3),'Struktur Vorjahr'!$D349,INDIRECT(Y$4))+SUMIF(INDIRECT(Y$3),'Struktur Vorjahr'!$D349,INDIRECT(Y$5)))</f>
        <v>0</v>
      </c>
      <c r="Z349" s="593">
        <f ca="1">$E349*(-SUMIF(INDIRECT(Z$3),'Struktur Vorjahr'!$D349,INDIRECT(Z$4))+SUMIF(INDIRECT(Z$3),'Struktur Vorjahr'!$D349,INDIRECT(Z$5)))</f>
        <v>0</v>
      </c>
      <c r="AA349" s="593">
        <f ca="1">$E349*(-SUMIF(INDIRECT(AA$3),'Struktur Vorjahr'!$D349,INDIRECT(AA$4))+SUMIF(INDIRECT(AA$3),'Struktur Vorjahr'!$D349,INDIRECT(AA$5)))</f>
        <v>0</v>
      </c>
      <c r="AB349" s="593">
        <f ca="1">$E349*(-SUMIF(INDIRECT(AB$3),'Struktur Vorjahr'!$D349,INDIRECT(AB$4))+SUMIF(INDIRECT(AB$3),'Struktur Vorjahr'!$D349,INDIRECT(AB$5)))</f>
        <v>0</v>
      </c>
      <c r="AC349" s="593">
        <f ca="1">$E349*(-SUMIF(INDIRECT(AC$3),'Struktur Vorjahr'!$D349,INDIRECT(AC$4))+SUMIF(INDIRECT(AC$3),'Struktur Vorjahr'!$D349,INDIRECT(AC$5)))</f>
        <v>0</v>
      </c>
      <c r="AD349" s="593">
        <f ca="1">$E349*(-SUMIF(INDIRECT(AD$3),'Struktur Vorjahr'!$D349,INDIRECT(AD$4))+SUMIF(INDIRECT(AD$3),'Struktur Vorjahr'!$D349,INDIRECT(AD$5)))</f>
        <v>0</v>
      </c>
      <c r="AE349" s="593">
        <f t="shared" ca="1" si="161"/>
        <v>0</v>
      </c>
      <c r="AF349" s="593">
        <f t="shared" ca="1" si="162"/>
        <v>0</v>
      </c>
      <c r="AG349" s="593">
        <f t="shared" ca="1" si="162"/>
        <v>0</v>
      </c>
      <c r="AH349" s="593">
        <f t="shared" ca="1" si="162"/>
        <v>0</v>
      </c>
      <c r="AI349" s="593">
        <f t="shared" ca="1" si="162"/>
        <v>0</v>
      </c>
      <c r="AJ349" s="593">
        <f t="shared" ca="1" si="162"/>
        <v>0</v>
      </c>
      <c r="AK349" s="593">
        <f t="shared" ca="1" si="162"/>
        <v>0</v>
      </c>
      <c r="AL349" s="593">
        <f t="shared" ca="1" si="162"/>
        <v>0</v>
      </c>
      <c r="AM349" s="593">
        <f t="shared" ca="1" si="162"/>
        <v>0</v>
      </c>
      <c r="AN349" s="593">
        <f t="shared" ca="1" si="162"/>
        <v>0</v>
      </c>
      <c r="AO349" s="593">
        <f t="shared" ca="1" si="162"/>
        <v>0</v>
      </c>
      <c r="AP349" s="593">
        <f t="shared" ca="1" si="162"/>
        <v>0</v>
      </c>
    </row>
    <row r="350" spans="1:42" s="594" customFormat="1" ht="11.25" outlineLevel="1" x14ac:dyDescent="0.2">
      <c r="A350" s="590"/>
      <c r="B350" s="591" t="str">
        <f>IF(D350&lt;&gt;"",
IF(ISERROR(MATCH(D350,'Ist Vorjahr Monat 01'!A:A,0))=FALSE,INDEX('Ist Vorjahr Monat 01'!B:B,MATCH(D350,'Ist Vorjahr Monat 01'!A:A,0)),
IF(ISERROR(MATCH(D350,'Ist Vorjahr Monat 02'!A:A,0))=FALSE,INDEX('Ist Vorjahr Monat 02'!B:B,MATCH(D350,'Ist Vorjahr Monat 02'!A:A,0)),
IF(ISERROR(MATCH(D350,'Ist Vorjahr Monat 03'!A:A,0))=FALSE,INDEX('Ist Vorjahr Monat 03'!B:B,MATCH(D350,'Ist Vorjahr Monat 03'!A:A,0)),
IF(ISERROR(MATCH(D350,'Ist Vorjahr Monat 04'!A:A,0))=FALSE,INDEX('Ist Vorjahr Monat 04'!B:B,MATCH(D350,'Ist Vorjahr Monat 04'!A:A,0)),
IF(ISERROR(MATCH(D350,'Ist Vorjahr Monat 05'!A:A,0))=FALSE,INDEX('Ist Vorjahr Monat 05'!B:B,MATCH(D350,'Ist Vorjahr Monat 05'!A:A,0)),
IF(ISERROR(MATCH(D350,'Ist Vorjahr Monat 06'!A:A,0))=FALSE,INDEX('Ist Vorjahr Monat 06'!B:B,MATCH(D350,'Ist Vorjahr Monat 06'!A:A,0)),
IF(ISERROR(MATCH(D350,'Ist Vorjahr Monat 07'!A:A,0))=FALSE,INDEX('Ist Vorjahr Monat 07'!B:B,MATCH(D350,'Ist Vorjahr Monat 07'!A:A,0)),
IF(ISERROR(MATCH(D350,'Ist Vorjahr Monat 08'!A:A,0))=FALSE,INDEX('Ist Vorjahr Monat 08'!B:B,MATCH(D350,'Ist Vorjahr Monat 08'!A:A,0)),
IF(ISERROR(MATCH(D350,'Ist Vorjahr Monat 09'!A:A,0))=FALSE,INDEX('Ist Vorjahr Monat 09'!B:B,MATCH(D350,'Ist Vorjahr Monat 09'!A:A,0)),
IF(ISERROR(MATCH(D350,'Ist Vorjahr Monat 10'!A:A,0))=FALSE,INDEX('Ist Vorjahr Monat 10'!B:B,MATCH(D350,'Ist Vorjahr Monat 10'!A:A,0)),
IF(ISERROR(MATCH(D350,'Ist Vorjahr Monat 11'!A:A,0))=FALSE,INDEX('Ist Vorjahr Monat 11'!B:B,MATCH(D350,'Ist Vorjahr Monat 11'!A:A,0)),
IF(ISERROR(MATCH(D350,'Ist Vorjahr Monat 12'!A:A,0))=FALSE,INDEX('Ist Vorjahr Monat 12'!B:B,MATCH(D350,'Ist Vorjahr Monat 12'!A:A,0)),
"{Konto unbekannt}"
)))))))))))),"")</f>
        <v/>
      </c>
      <c r="C350" s="591"/>
      <c r="D350" s="590"/>
      <c r="E350" s="592">
        <f>IF(F350="-",-1,1)</f>
        <v>-1</v>
      </c>
      <c r="F350" s="590" t="s">
        <v>996</v>
      </c>
      <c r="G350" s="593">
        <f ca="1">$E350*(-SUMIF(INDIRECT(G$3),'Struktur Vorjahr'!$D350,INDIRECT(G$4))+SUMIF(INDIRECT(G$3),'Struktur Vorjahr'!$D350,INDIRECT(G$5)))</f>
        <v>0</v>
      </c>
      <c r="H350" s="593">
        <f ca="1">$E350*(-SUMIF(INDIRECT(H$3),'Struktur Vorjahr'!$D350,INDIRECT(H$4))+SUMIF(INDIRECT(H$3),'Struktur Vorjahr'!$D350,INDIRECT(H$5)))</f>
        <v>0</v>
      </c>
      <c r="I350" s="593">
        <f ca="1">$E350*(-SUMIF(INDIRECT(I$3),'Struktur Vorjahr'!$D350,INDIRECT(I$4))+SUMIF(INDIRECT(I$3),'Struktur Vorjahr'!$D350,INDIRECT(I$5)))</f>
        <v>0</v>
      </c>
      <c r="J350" s="593">
        <f ca="1">$E350*(-SUMIF(INDIRECT(J$3),'Struktur Vorjahr'!$D350,INDIRECT(J$4))+SUMIF(INDIRECT(J$3),'Struktur Vorjahr'!$D350,INDIRECT(J$5)))</f>
        <v>0</v>
      </c>
      <c r="K350" s="593">
        <f ca="1">$E350*(-SUMIF(INDIRECT(K$3),'Struktur Vorjahr'!$D350,INDIRECT(K$4))+SUMIF(INDIRECT(K$3),'Struktur Vorjahr'!$D350,INDIRECT(K$5)))</f>
        <v>0</v>
      </c>
      <c r="L350" s="593">
        <f ca="1">$E350*(-SUMIF(INDIRECT(L$3),'Struktur Vorjahr'!$D350,INDIRECT(L$4))+SUMIF(INDIRECT(L$3),'Struktur Vorjahr'!$D350,INDIRECT(L$5)))</f>
        <v>0</v>
      </c>
      <c r="M350" s="593">
        <f ca="1">$E350*(-SUMIF(INDIRECT(M$3),'Struktur Vorjahr'!$D350,INDIRECT(M$4))+SUMIF(INDIRECT(M$3),'Struktur Vorjahr'!$D350,INDIRECT(M$5)))</f>
        <v>0</v>
      </c>
      <c r="N350" s="593">
        <f ca="1">$E350*(-SUMIF(INDIRECT(N$3),'Struktur Vorjahr'!$D350,INDIRECT(N$4))+SUMIF(INDIRECT(N$3),'Struktur Vorjahr'!$D350,INDIRECT(N$5)))</f>
        <v>0</v>
      </c>
      <c r="O350" s="593">
        <f ca="1">$E350*(-SUMIF(INDIRECT(O$3),'Struktur Vorjahr'!$D350,INDIRECT(O$4))+SUMIF(INDIRECT(O$3),'Struktur Vorjahr'!$D350,INDIRECT(O$5)))</f>
        <v>0</v>
      </c>
      <c r="P350" s="593">
        <f ca="1">$E350*(-SUMIF(INDIRECT(P$3),'Struktur Vorjahr'!$D350,INDIRECT(P$4))+SUMIF(INDIRECT(P$3),'Struktur Vorjahr'!$D350,INDIRECT(P$5)))</f>
        <v>0</v>
      </c>
      <c r="Q350" s="593">
        <f ca="1">$E350*(-SUMIF(INDIRECT(Q$3),'Struktur Vorjahr'!$D350,INDIRECT(Q$4))+SUMIF(INDIRECT(Q$3),'Struktur Vorjahr'!$D350,INDIRECT(Q$5)))</f>
        <v>0</v>
      </c>
      <c r="R350" s="593">
        <f ca="1">$E350*(-SUMIF(INDIRECT(R$3),'Struktur Vorjahr'!$D350,INDIRECT(R$4))+SUMIF(INDIRECT(R$3),'Struktur Vorjahr'!$D350,INDIRECT(R$5)))</f>
        <v>0</v>
      </c>
      <c r="S350" s="593">
        <f ca="1">$E350*(-SUMIF(INDIRECT(S$3),'Struktur Vorjahr'!$D350,INDIRECT(S$4))+SUMIF(INDIRECT(S$3),'Struktur Vorjahr'!$D350,INDIRECT(S$5)))</f>
        <v>0</v>
      </c>
      <c r="T350" s="593">
        <f ca="1">$E350*(-SUMIF(INDIRECT(T$3),'Struktur Vorjahr'!$D350,INDIRECT(T$4))+SUMIF(INDIRECT(T$3),'Struktur Vorjahr'!$D350,INDIRECT(T$5)))</f>
        <v>0</v>
      </c>
      <c r="U350" s="593">
        <f ca="1">$E350*(-SUMIF(INDIRECT(U$3),'Struktur Vorjahr'!$D350,INDIRECT(U$4))+SUMIF(INDIRECT(U$3),'Struktur Vorjahr'!$D350,INDIRECT(U$5)))</f>
        <v>0</v>
      </c>
      <c r="V350" s="593">
        <f ca="1">$E350*(-SUMIF(INDIRECT(V$3),'Struktur Vorjahr'!$D350,INDIRECT(V$4))+SUMIF(INDIRECT(V$3),'Struktur Vorjahr'!$D350,INDIRECT(V$5)))</f>
        <v>0</v>
      </c>
      <c r="W350" s="593">
        <f ca="1">$E350*(-SUMIF(INDIRECT(W$3),'Struktur Vorjahr'!$D350,INDIRECT(W$4))+SUMIF(INDIRECT(W$3),'Struktur Vorjahr'!$D350,INDIRECT(W$5)))</f>
        <v>0</v>
      </c>
      <c r="X350" s="593">
        <f ca="1">$E350*(-SUMIF(INDIRECT(X$3),'Struktur Vorjahr'!$D350,INDIRECT(X$4))+SUMIF(INDIRECT(X$3),'Struktur Vorjahr'!$D350,INDIRECT(X$5)))</f>
        <v>0</v>
      </c>
      <c r="Y350" s="593">
        <f ca="1">$E350*(-SUMIF(INDIRECT(Y$3),'Struktur Vorjahr'!$D350,INDIRECT(Y$4))+SUMIF(INDIRECT(Y$3),'Struktur Vorjahr'!$D350,INDIRECT(Y$5)))</f>
        <v>0</v>
      </c>
      <c r="Z350" s="593">
        <f ca="1">$E350*(-SUMIF(INDIRECT(Z$3),'Struktur Vorjahr'!$D350,INDIRECT(Z$4))+SUMIF(INDIRECT(Z$3),'Struktur Vorjahr'!$D350,INDIRECT(Z$5)))</f>
        <v>0</v>
      </c>
      <c r="AA350" s="593">
        <f ca="1">$E350*(-SUMIF(INDIRECT(AA$3),'Struktur Vorjahr'!$D350,INDIRECT(AA$4))+SUMIF(INDIRECT(AA$3),'Struktur Vorjahr'!$D350,INDIRECT(AA$5)))</f>
        <v>0</v>
      </c>
      <c r="AB350" s="593">
        <f ca="1">$E350*(-SUMIF(INDIRECT(AB$3),'Struktur Vorjahr'!$D350,INDIRECT(AB$4))+SUMIF(INDIRECT(AB$3),'Struktur Vorjahr'!$D350,INDIRECT(AB$5)))</f>
        <v>0</v>
      </c>
      <c r="AC350" s="593">
        <f ca="1">$E350*(-SUMIF(INDIRECT(AC$3),'Struktur Vorjahr'!$D350,INDIRECT(AC$4))+SUMIF(INDIRECT(AC$3),'Struktur Vorjahr'!$D350,INDIRECT(AC$5)))</f>
        <v>0</v>
      </c>
      <c r="AD350" s="593">
        <f ca="1">$E350*(-SUMIF(INDIRECT(AD$3),'Struktur Vorjahr'!$D350,INDIRECT(AD$4))+SUMIF(INDIRECT(AD$3),'Struktur Vorjahr'!$D350,INDIRECT(AD$5)))</f>
        <v>0</v>
      </c>
      <c r="AE350" s="593">
        <f t="shared" ca="1" si="161"/>
        <v>0</v>
      </c>
      <c r="AF350" s="593">
        <f t="shared" ca="1" si="162"/>
        <v>0</v>
      </c>
      <c r="AG350" s="593">
        <f t="shared" ca="1" si="162"/>
        <v>0</v>
      </c>
      <c r="AH350" s="593">
        <f t="shared" ca="1" si="162"/>
        <v>0</v>
      </c>
      <c r="AI350" s="593">
        <f t="shared" ca="1" si="162"/>
        <v>0</v>
      </c>
      <c r="AJ350" s="593">
        <f t="shared" ca="1" si="162"/>
        <v>0</v>
      </c>
      <c r="AK350" s="593">
        <f t="shared" ca="1" si="162"/>
        <v>0</v>
      </c>
      <c r="AL350" s="593">
        <f t="shared" ca="1" si="162"/>
        <v>0</v>
      </c>
      <c r="AM350" s="593">
        <f t="shared" ca="1" si="162"/>
        <v>0</v>
      </c>
      <c r="AN350" s="593">
        <f t="shared" ca="1" si="162"/>
        <v>0</v>
      </c>
      <c r="AO350" s="593">
        <f t="shared" ca="1" si="162"/>
        <v>0</v>
      </c>
      <c r="AP350" s="593">
        <f t="shared" ca="1" si="162"/>
        <v>0</v>
      </c>
    </row>
    <row r="351" spans="1:42" s="594" customFormat="1" ht="11.25" outlineLevel="1" x14ac:dyDescent="0.2">
      <c r="A351" s="590"/>
      <c r="B351" s="591" t="str">
        <f>IF(D351&lt;&gt;"",
IF(ISERROR(MATCH(D351,'Ist Vorjahr Monat 01'!A:A,0))=FALSE,INDEX('Ist Vorjahr Monat 01'!B:B,MATCH(D351,'Ist Vorjahr Monat 01'!A:A,0)),
IF(ISERROR(MATCH(D351,'Ist Vorjahr Monat 02'!A:A,0))=FALSE,INDEX('Ist Vorjahr Monat 02'!B:B,MATCH(D351,'Ist Vorjahr Monat 02'!A:A,0)),
IF(ISERROR(MATCH(D351,'Ist Vorjahr Monat 03'!A:A,0))=FALSE,INDEX('Ist Vorjahr Monat 03'!B:B,MATCH(D351,'Ist Vorjahr Monat 03'!A:A,0)),
IF(ISERROR(MATCH(D351,'Ist Vorjahr Monat 04'!A:A,0))=FALSE,INDEX('Ist Vorjahr Monat 04'!B:B,MATCH(D351,'Ist Vorjahr Monat 04'!A:A,0)),
IF(ISERROR(MATCH(D351,'Ist Vorjahr Monat 05'!A:A,0))=FALSE,INDEX('Ist Vorjahr Monat 05'!B:B,MATCH(D351,'Ist Vorjahr Monat 05'!A:A,0)),
IF(ISERROR(MATCH(D351,'Ist Vorjahr Monat 06'!A:A,0))=FALSE,INDEX('Ist Vorjahr Monat 06'!B:B,MATCH(D351,'Ist Vorjahr Monat 06'!A:A,0)),
IF(ISERROR(MATCH(D351,'Ist Vorjahr Monat 07'!A:A,0))=FALSE,INDEX('Ist Vorjahr Monat 07'!B:B,MATCH(D351,'Ist Vorjahr Monat 07'!A:A,0)),
IF(ISERROR(MATCH(D351,'Ist Vorjahr Monat 08'!A:A,0))=FALSE,INDEX('Ist Vorjahr Monat 08'!B:B,MATCH(D351,'Ist Vorjahr Monat 08'!A:A,0)),
IF(ISERROR(MATCH(D351,'Ist Vorjahr Monat 09'!A:A,0))=FALSE,INDEX('Ist Vorjahr Monat 09'!B:B,MATCH(D351,'Ist Vorjahr Monat 09'!A:A,0)),
IF(ISERROR(MATCH(D351,'Ist Vorjahr Monat 10'!A:A,0))=FALSE,INDEX('Ist Vorjahr Monat 10'!B:B,MATCH(D351,'Ist Vorjahr Monat 10'!A:A,0)),
IF(ISERROR(MATCH(D351,'Ist Vorjahr Monat 11'!A:A,0))=FALSE,INDEX('Ist Vorjahr Monat 11'!B:B,MATCH(D351,'Ist Vorjahr Monat 11'!A:A,0)),
IF(ISERROR(MATCH(D351,'Ist Vorjahr Monat 12'!A:A,0))=FALSE,INDEX('Ist Vorjahr Monat 12'!B:B,MATCH(D351,'Ist Vorjahr Monat 12'!A:A,0)),
"{Konto unbekannt}"
)))))))))))),"")</f>
        <v/>
      </c>
      <c r="C351" s="591"/>
      <c r="D351" s="590"/>
      <c r="E351" s="592">
        <f t="shared" ref="E351:E353" si="163">IF(F351="-",-1,1)</f>
        <v>-1</v>
      </c>
      <c r="F351" s="590" t="s">
        <v>996</v>
      </c>
      <c r="G351" s="593">
        <f ca="1">$E351*(-SUMIF(INDIRECT(G$3),'Struktur Vorjahr'!$D351,INDIRECT(G$4))+SUMIF(INDIRECT(G$3),'Struktur Vorjahr'!$D351,INDIRECT(G$5)))</f>
        <v>0</v>
      </c>
      <c r="H351" s="593">
        <f ca="1">$E351*(-SUMIF(INDIRECT(H$3),'Struktur Vorjahr'!$D351,INDIRECT(H$4))+SUMIF(INDIRECT(H$3),'Struktur Vorjahr'!$D351,INDIRECT(H$5)))</f>
        <v>0</v>
      </c>
      <c r="I351" s="593">
        <f ca="1">$E351*(-SUMIF(INDIRECT(I$3),'Struktur Vorjahr'!$D351,INDIRECT(I$4))+SUMIF(INDIRECT(I$3),'Struktur Vorjahr'!$D351,INDIRECT(I$5)))</f>
        <v>0</v>
      </c>
      <c r="J351" s="593">
        <f ca="1">$E351*(-SUMIF(INDIRECT(J$3),'Struktur Vorjahr'!$D351,INDIRECT(J$4))+SUMIF(INDIRECT(J$3),'Struktur Vorjahr'!$D351,INDIRECT(J$5)))</f>
        <v>0</v>
      </c>
      <c r="K351" s="593">
        <f ca="1">$E351*(-SUMIF(INDIRECT(K$3),'Struktur Vorjahr'!$D351,INDIRECT(K$4))+SUMIF(INDIRECT(K$3),'Struktur Vorjahr'!$D351,INDIRECT(K$5)))</f>
        <v>0</v>
      </c>
      <c r="L351" s="593">
        <f ca="1">$E351*(-SUMIF(INDIRECT(L$3),'Struktur Vorjahr'!$D351,INDIRECT(L$4))+SUMIF(INDIRECT(L$3),'Struktur Vorjahr'!$D351,INDIRECT(L$5)))</f>
        <v>0</v>
      </c>
      <c r="M351" s="593">
        <f ca="1">$E351*(-SUMIF(INDIRECT(M$3),'Struktur Vorjahr'!$D351,INDIRECT(M$4))+SUMIF(INDIRECT(M$3),'Struktur Vorjahr'!$D351,INDIRECT(M$5)))</f>
        <v>0</v>
      </c>
      <c r="N351" s="593">
        <f ca="1">$E351*(-SUMIF(INDIRECT(N$3),'Struktur Vorjahr'!$D351,INDIRECT(N$4))+SUMIF(INDIRECT(N$3),'Struktur Vorjahr'!$D351,INDIRECT(N$5)))</f>
        <v>0</v>
      </c>
      <c r="O351" s="593">
        <f ca="1">$E351*(-SUMIF(INDIRECT(O$3),'Struktur Vorjahr'!$D351,INDIRECT(O$4))+SUMIF(INDIRECT(O$3),'Struktur Vorjahr'!$D351,INDIRECT(O$5)))</f>
        <v>0</v>
      </c>
      <c r="P351" s="593">
        <f ca="1">$E351*(-SUMIF(INDIRECT(P$3),'Struktur Vorjahr'!$D351,INDIRECT(P$4))+SUMIF(INDIRECT(P$3),'Struktur Vorjahr'!$D351,INDIRECT(P$5)))</f>
        <v>0</v>
      </c>
      <c r="Q351" s="593">
        <f ca="1">$E351*(-SUMIF(INDIRECT(Q$3),'Struktur Vorjahr'!$D351,INDIRECT(Q$4))+SUMIF(INDIRECT(Q$3),'Struktur Vorjahr'!$D351,INDIRECT(Q$5)))</f>
        <v>0</v>
      </c>
      <c r="R351" s="593">
        <f ca="1">$E351*(-SUMIF(INDIRECT(R$3),'Struktur Vorjahr'!$D351,INDIRECT(R$4))+SUMIF(INDIRECT(R$3),'Struktur Vorjahr'!$D351,INDIRECT(R$5)))</f>
        <v>0</v>
      </c>
      <c r="S351" s="593">
        <f ca="1">$E351*(-SUMIF(INDIRECT(S$3),'Struktur Vorjahr'!$D351,INDIRECT(S$4))+SUMIF(INDIRECT(S$3),'Struktur Vorjahr'!$D351,INDIRECT(S$5)))</f>
        <v>0</v>
      </c>
      <c r="T351" s="593">
        <f ca="1">$E351*(-SUMIF(INDIRECT(T$3),'Struktur Vorjahr'!$D351,INDIRECT(T$4))+SUMIF(INDIRECT(T$3),'Struktur Vorjahr'!$D351,INDIRECT(T$5)))</f>
        <v>0</v>
      </c>
      <c r="U351" s="593">
        <f ca="1">$E351*(-SUMIF(INDIRECT(U$3),'Struktur Vorjahr'!$D351,INDIRECT(U$4))+SUMIF(INDIRECT(U$3),'Struktur Vorjahr'!$D351,INDIRECT(U$5)))</f>
        <v>0</v>
      </c>
      <c r="V351" s="593">
        <f ca="1">$E351*(-SUMIF(INDIRECT(V$3),'Struktur Vorjahr'!$D351,INDIRECT(V$4))+SUMIF(INDIRECT(V$3),'Struktur Vorjahr'!$D351,INDIRECT(V$5)))</f>
        <v>0</v>
      </c>
      <c r="W351" s="593">
        <f ca="1">$E351*(-SUMIF(INDIRECT(W$3),'Struktur Vorjahr'!$D351,INDIRECT(W$4))+SUMIF(INDIRECT(W$3),'Struktur Vorjahr'!$D351,INDIRECT(W$5)))</f>
        <v>0</v>
      </c>
      <c r="X351" s="593">
        <f ca="1">$E351*(-SUMIF(INDIRECT(X$3),'Struktur Vorjahr'!$D351,INDIRECT(X$4))+SUMIF(INDIRECT(X$3),'Struktur Vorjahr'!$D351,INDIRECT(X$5)))</f>
        <v>0</v>
      </c>
      <c r="Y351" s="593">
        <f ca="1">$E351*(-SUMIF(INDIRECT(Y$3),'Struktur Vorjahr'!$D351,INDIRECT(Y$4))+SUMIF(INDIRECT(Y$3),'Struktur Vorjahr'!$D351,INDIRECT(Y$5)))</f>
        <v>0</v>
      </c>
      <c r="Z351" s="593">
        <f ca="1">$E351*(-SUMIF(INDIRECT(Z$3),'Struktur Vorjahr'!$D351,INDIRECT(Z$4))+SUMIF(INDIRECT(Z$3),'Struktur Vorjahr'!$D351,INDIRECT(Z$5)))</f>
        <v>0</v>
      </c>
      <c r="AA351" s="593">
        <f ca="1">$E351*(-SUMIF(INDIRECT(AA$3),'Struktur Vorjahr'!$D351,INDIRECT(AA$4))+SUMIF(INDIRECT(AA$3),'Struktur Vorjahr'!$D351,INDIRECT(AA$5)))</f>
        <v>0</v>
      </c>
      <c r="AB351" s="593">
        <f ca="1">$E351*(-SUMIF(INDIRECT(AB$3),'Struktur Vorjahr'!$D351,INDIRECT(AB$4))+SUMIF(INDIRECT(AB$3),'Struktur Vorjahr'!$D351,INDIRECT(AB$5)))</f>
        <v>0</v>
      </c>
      <c r="AC351" s="593">
        <f ca="1">$E351*(-SUMIF(INDIRECT(AC$3),'Struktur Vorjahr'!$D351,INDIRECT(AC$4))+SUMIF(INDIRECT(AC$3),'Struktur Vorjahr'!$D351,INDIRECT(AC$5)))</f>
        <v>0</v>
      </c>
      <c r="AD351" s="593">
        <f ca="1">$E351*(-SUMIF(INDIRECT(AD$3),'Struktur Vorjahr'!$D351,INDIRECT(AD$4))+SUMIF(INDIRECT(AD$3),'Struktur Vorjahr'!$D351,INDIRECT(AD$5)))</f>
        <v>0</v>
      </c>
      <c r="AE351" s="593">
        <f t="shared" ca="1" si="161"/>
        <v>0</v>
      </c>
      <c r="AF351" s="593">
        <f t="shared" ca="1" si="162"/>
        <v>0</v>
      </c>
      <c r="AG351" s="593">
        <f t="shared" ca="1" si="162"/>
        <v>0</v>
      </c>
      <c r="AH351" s="593">
        <f t="shared" ca="1" si="162"/>
        <v>0</v>
      </c>
      <c r="AI351" s="593">
        <f t="shared" ca="1" si="162"/>
        <v>0</v>
      </c>
      <c r="AJ351" s="593">
        <f t="shared" ca="1" si="162"/>
        <v>0</v>
      </c>
      <c r="AK351" s="593">
        <f t="shared" ca="1" si="162"/>
        <v>0</v>
      </c>
      <c r="AL351" s="593">
        <f t="shared" ca="1" si="162"/>
        <v>0</v>
      </c>
      <c r="AM351" s="593">
        <f t="shared" ca="1" si="162"/>
        <v>0</v>
      </c>
      <c r="AN351" s="593">
        <f t="shared" ca="1" si="162"/>
        <v>0</v>
      </c>
      <c r="AO351" s="593">
        <f t="shared" ca="1" si="162"/>
        <v>0</v>
      </c>
      <c r="AP351" s="593">
        <f t="shared" ca="1" si="162"/>
        <v>0</v>
      </c>
    </row>
    <row r="352" spans="1:42" s="594" customFormat="1" ht="11.25" outlineLevel="1" x14ac:dyDescent="0.2">
      <c r="A352" s="590"/>
      <c r="B352" s="591" t="str">
        <f>IF(D352&lt;&gt;"",
IF(ISERROR(MATCH(D352,'Ist Vorjahr Monat 01'!A:A,0))=FALSE,INDEX('Ist Vorjahr Monat 01'!B:B,MATCH(D352,'Ist Vorjahr Monat 01'!A:A,0)),
IF(ISERROR(MATCH(D352,'Ist Vorjahr Monat 02'!A:A,0))=FALSE,INDEX('Ist Vorjahr Monat 02'!B:B,MATCH(D352,'Ist Vorjahr Monat 02'!A:A,0)),
IF(ISERROR(MATCH(D352,'Ist Vorjahr Monat 03'!A:A,0))=FALSE,INDEX('Ist Vorjahr Monat 03'!B:B,MATCH(D352,'Ist Vorjahr Monat 03'!A:A,0)),
IF(ISERROR(MATCH(D352,'Ist Vorjahr Monat 04'!A:A,0))=FALSE,INDEX('Ist Vorjahr Monat 04'!B:B,MATCH(D352,'Ist Vorjahr Monat 04'!A:A,0)),
IF(ISERROR(MATCH(D352,'Ist Vorjahr Monat 05'!A:A,0))=FALSE,INDEX('Ist Vorjahr Monat 05'!B:B,MATCH(D352,'Ist Vorjahr Monat 05'!A:A,0)),
IF(ISERROR(MATCH(D352,'Ist Vorjahr Monat 06'!A:A,0))=FALSE,INDEX('Ist Vorjahr Monat 06'!B:B,MATCH(D352,'Ist Vorjahr Monat 06'!A:A,0)),
IF(ISERROR(MATCH(D352,'Ist Vorjahr Monat 07'!A:A,0))=FALSE,INDEX('Ist Vorjahr Monat 07'!B:B,MATCH(D352,'Ist Vorjahr Monat 07'!A:A,0)),
IF(ISERROR(MATCH(D352,'Ist Vorjahr Monat 08'!A:A,0))=FALSE,INDEX('Ist Vorjahr Monat 08'!B:B,MATCH(D352,'Ist Vorjahr Monat 08'!A:A,0)),
IF(ISERROR(MATCH(D352,'Ist Vorjahr Monat 09'!A:A,0))=FALSE,INDEX('Ist Vorjahr Monat 09'!B:B,MATCH(D352,'Ist Vorjahr Monat 09'!A:A,0)),
IF(ISERROR(MATCH(D352,'Ist Vorjahr Monat 10'!A:A,0))=FALSE,INDEX('Ist Vorjahr Monat 10'!B:B,MATCH(D352,'Ist Vorjahr Monat 10'!A:A,0)),
IF(ISERROR(MATCH(D352,'Ist Vorjahr Monat 11'!A:A,0))=FALSE,INDEX('Ist Vorjahr Monat 11'!B:B,MATCH(D352,'Ist Vorjahr Monat 11'!A:A,0)),
IF(ISERROR(MATCH(D352,'Ist Vorjahr Monat 12'!A:A,0))=FALSE,INDEX('Ist Vorjahr Monat 12'!B:B,MATCH(D352,'Ist Vorjahr Monat 12'!A:A,0)),
"{Konto unbekannt}"
)))))))))))),"")</f>
        <v/>
      </c>
      <c r="C352" s="591"/>
      <c r="D352" s="590"/>
      <c r="E352" s="592">
        <f t="shared" si="163"/>
        <v>-1</v>
      </c>
      <c r="F352" s="590" t="s">
        <v>996</v>
      </c>
      <c r="G352" s="593">
        <f ca="1">$E352*(-SUMIF(INDIRECT(G$3),'Struktur Vorjahr'!$D352,INDIRECT(G$4))+SUMIF(INDIRECT(G$3),'Struktur Vorjahr'!$D352,INDIRECT(G$5)))</f>
        <v>0</v>
      </c>
      <c r="H352" s="593">
        <f ca="1">$E352*(-SUMIF(INDIRECT(H$3),'Struktur Vorjahr'!$D352,INDIRECT(H$4))+SUMIF(INDIRECT(H$3),'Struktur Vorjahr'!$D352,INDIRECT(H$5)))</f>
        <v>0</v>
      </c>
      <c r="I352" s="593">
        <f ca="1">$E352*(-SUMIF(INDIRECT(I$3),'Struktur Vorjahr'!$D352,INDIRECT(I$4))+SUMIF(INDIRECT(I$3),'Struktur Vorjahr'!$D352,INDIRECT(I$5)))</f>
        <v>0</v>
      </c>
      <c r="J352" s="593">
        <f ca="1">$E352*(-SUMIF(INDIRECT(J$3),'Struktur Vorjahr'!$D352,INDIRECT(J$4))+SUMIF(INDIRECT(J$3),'Struktur Vorjahr'!$D352,INDIRECT(J$5)))</f>
        <v>0</v>
      </c>
      <c r="K352" s="593">
        <f ca="1">$E352*(-SUMIF(INDIRECT(K$3),'Struktur Vorjahr'!$D352,INDIRECT(K$4))+SUMIF(INDIRECT(K$3),'Struktur Vorjahr'!$D352,INDIRECT(K$5)))</f>
        <v>0</v>
      </c>
      <c r="L352" s="593">
        <f ca="1">$E352*(-SUMIF(INDIRECT(L$3),'Struktur Vorjahr'!$D352,INDIRECT(L$4))+SUMIF(INDIRECT(L$3),'Struktur Vorjahr'!$D352,INDIRECT(L$5)))</f>
        <v>0</v>
      </c>
      <c r="M352" s="593">
        <f ca="1">$E352*(-SUMIF(INDIRECT(M$3),'Struktur Vorjahr'!$D352,INDIRECT(M$4))+SUMIF(INDIRECT(M$3),'Struktur Vorjahr'!$D352,INDIRECT(M$5)))</f>
        <v>0</v>
      </c>
      <c r="N352" s="593">
        <f ca="1">$E352*(-SUMIF(INDIRECT(N$3),'Struktur Vorjahr'!$D352,INDIRECT(N$4))+SUMIF(INDIRECT(N$3),'Struktur Vorjahr'!$D352,INDIRECT(N$5)))</f>
        <v>0</v>
      </c>
      <c r="O352" s="593">
        <f ca="1">$E352*(-SUMIF(INDIRECT(O$3),'Struktur Vorjahr'!$D352,INDIRECT(O$4))+SUMIF(INDIRECT(O$3),'Struktur Vorjahr'!$D352,INDIRECT(O$5)))</f>
        <v>0</v>
      </c>
      <c r="P352" s="593">
        <f ca="1">$E352*(-SUMIF(INDIRECT(P$3),'Struktur Vorjahr'!$D352,INDIRECT(P$4))+SUMIF(INDIRECT(P$3),'Struktur Vorjahr'!$D352,INDIRECT(P$5)))</f>
        <v>0</v>
      </c>
      <c r="Q352" s="593">
        <f ca="1">$E352*(-SUMIF(INDIRECT(Q$3),'Struktur Vorjahr'!$D352,INDIRECT(Q$4))+SUMIF(INDIRECT(Q$3),'Struktur Vorjahr'!$D352,INDIRECT(Q$5)))</f>
        <v>0</v>
      </c>
      <c r="R352" s="593">
        <f ca="1">$E352*(-SUMIF(INDIRECT(R$3),'Struktur Vorjahr'!$D352,INDIRECT(R$4))+SUMIF(INDIRECT(R$3),'Struktur Vorjahr'!$D352,INDIRECT(R$5)))</f>
        <v>0</v>
      </c>
      <c r="S352" s="593">
        <f ca="1">$E352*(-SUMIF(INDIRECT(S$3),'Struktur Vorjahr'!$D352,INDIRECT(S$4))+SUMIF(INDIRECT(S$3),'Struktur Vorjahr'!$D352,INDIRECT(S$5)))</f>
        <v>0</v>
      </c>
      <c r="T352" s="593">
        <f ca="1">$E352*(-SUMIF(INDIRECT(T$3),'Struktur Vorjahr'!$D352,INDIRECT(T$4))+SUMIF(INDIRECT(T$3),'Struktur Vorjahr'!$D352,INDIRECT(T$5)))</f>
        <v>0</v>
      </c>
      <c r="U352" s="593">
        <f ca="1">$E352*(-SUMIF(INDIRECT(U$3),'Struktur Vorjahr'!$D352,INDIRECT(U$4))+SUMIF(INDIRECT(U$3),'Struktur Vorjahr'!$D352,INDIRECT(U$5)))</f>
        <v>0</v>
      </c>
      <c r="V352" s="593">
        <f ca="1">$E352*(-SUMIF(INDIRECT(V$3),'Struktur Vorjahr'!$D352,INDIRECT(V$4))+SUMIF(INDIRECT(V$3),'Struktur Vorjahr'!$D352,INDIRECT(V$5)))</f>
        <v>0</v>
      </c>
      <c r="W352" s="593">
        <f ca="1">$E352*(-SUMIF(INDIRECT(W$3),'Struktur Vorjahr'!$D352,INDIRECT(W$4))+SUMIF(INDIRECT(W$3),'Struktur Vorjahr'!$D352,INDIRECT(W$5)))</f>
        <v>0</v>
      </c>
      <c r="X352" s="593">
        <f ca="1">$E352*(-SUMIF(INDIRECT(X$3),'Struktur Vorjahr'!$D352,INDIRECT(X$4))+SUMIF(INDIRECT(X$3),'Struktur Vorjahr'!$D352,INDIRECT(X$5)))</f>
        <v>0</v>
      </c>
      <c r="Y352" s="593">
        <f ca="1">$E352*(-SUMIF(INDIRECT(Y$3),'Struktur Vorjahr'!$D352,INDIRECT(Y$4))+SUMIF(INDIRECT(Y$3),'Struktur Vorjahr'!$D352,INDIRECT(Y$5)))</f>
        <v>0</v>
      </c>
      <c r="Z352" s="593">
        <f ca="1">$E352*(-SUMIF(INDIRECT(Z$3),'Struktur Vorjahr'!$D352,INDIRECT(Z$4))+SUMIF(INDIRECT(Z$3),'Struktur Vorjahr'!$D352,INDIRECT(Z$5)))</f>
        <v>0</v>
      </c>
      <c r="AA352" s="593">
        <f ca="1">$E352*(-SUMIF(INDIRECT(AA$3),'Struktur Vorjahr'!$D352,INDIRECT(AA$4))+SUMIF(INDIRECT(AA$3),'Struktur Vorjahr'!$D352,INDIRECT(AA$5)))</f>
        <v>0</v>
      </c>
      <c r="AB352" s="593">
        <f ca="1">$E352*(-SUMIF(INDIRECT(AB$3),'Struktur Vorjahr'!$D352,INDIRECT(AB$4))+SUMIF(INDIRECT(AB$3),'Struktur Vorjahr'!$D352,INDIRECT(AB$5)))</f>
        <v>0</v>
      </c>
      <c r="AC352" s="593">
        <f ca="1">$E352*(-SUMIF(INDIRECT(AC$3),'Struktur Vorjahr'!$D352,INDIRECT(AC$4))+SUMIF(INDIRECT(AC$3),'Struktur Vorjahr'!$D352,INDIRECT(AC$5)))</f>
        <v>0</v>
      </c>
      <c r="AD352" s="593">
        <f ca="1">$E352*(-SUMIF(INDIRECT(AD$3),'Struktur Vorjahr'!$D352,INDIRECT(AD$4))+SUMIF(INDIRECT(AD$3),'Struktur Vorjahr'!$D352,INDIRECT(AD$5)))</f>
        <v>0</v>
      </c>
      <c r="AE352" s="593">
        <f t="shared" ca="1" si="161"/>
        <v>0</v>
      </c>
      <c r="AF352" s="593">
        <f t="shared" ca="1" si="162"/>
        <v>0</v>
      </c>
      <c r="AG352" s="593">
        <f t="shared" ca="1" si="162"/>
        <v>0</v>
      </c>
      <c r="AH352" s="593">
        <f t="shared" ca="1" si="162"/>
        <v>0</v>
      </c>
      <c r="AI352" s="593">
        <f t="shared" ca="1" si="162"/>
        <v>0</v>
      </c>
      <c r="AJ352" s="593">
        <f t="shared" ca="1" si="162"/>
        <v>0</v>
      </c>
      <c r="AK352" s="593">
        <f t="shared" ca="1" si="162"/>
        <v>0</v>
      </c>
      <c r="AL352" s="593">
        <f t="shared" ca="1" si="162"/>
        <v>0</v>
      </c>
      <c r="AM352" s="593">
        <f t="shared" ca="1" si="162"/>
        <v>0</v>
      </c>
      <c r="AN352" s="593">
        <f t="shared" ca="1" si="162"/>
        <v>0</v>
      </c>
      <c r="AO352" s="593">
        <f t="shared" ca="1" si="162"/>
        <v>0</v>
      </c>
      <c r="AP352" s="593">
        <f t="shared" ca="1" si="162"/>
        <v>0</v>
      </c>
    </row>
    <row r="353" spans="1:42" s="594" customFormat="1" ht="11.25" outlineLevel="1" x14ac:dyDescent="0.2">
      <c r="A353" s="590"/>
      <c r="B353" s="591" t="str">
        <f>IF(D353&lt;&gt;"",
IF(ISERROR(MATCH(D353,'Ist Vorjahr Monat 01'!A:A,0))=FALSE,INDEX('Ist Vorjahr Monat 01'!B:B,MATCH(D353,'Ist Vorjahr Monat 01'!A:A,0)),
IF(ISERROR(MATCH(D353,'Ist Vorjahr Monat 02'!A:A,0))=FALSE,INDEX('Ist Vorjahr Monat 02'!B:B,MATCH(D353,'Ist Vorjahr Monat 02'!A:A,0)),
IF(ISERROR(MATCH(D353,'Ist Vorjahr Monat 03'!A:A,0))=FALSE,INDEX('Ist Vorjahr Monat 03'!B:B,MATCH(D353,'Ist Vorjahr Monat 03'!A:A,0)),
IF(ISERROR(MATCH(D353,'Ist Vorjahr Monat 04'!A:A,0))=FALSE,INDEX('Ist Vorjahr Monat 04'!B:B,MATCH(D353,'Ist Vorjahr Monat 04'!A:A,0)),
IF(ISERROR(MATCH(D353,'Ist Vorjahr Monat 05'!A:A,0))=FALSE,INDEX('Ist Vorjahr Monat 05'!B:B,MATCH(D353,'Ist Vorjahr Monat 05'!A:A,0)),
IF(ISERROR(MATCH(D353,'Ist Vorjahr Monat 06'!A:A,0))=FALSE,INDEX('Ist Vorjahr Monat 06'!B:B,MATCH(D353,'Ist Vorjahr Monat 06'!A:A,0)),
IF(ISERROR(MATCH(D353,'Ist Vorjahr Monat 07'!A:A,0))=FALSE,INDEX('Ist Vorjahr Monat 07'!B:B,MATCH(D353,'Ist Vorjahr Monat 07'!A:A,0)),
IF(ISERROR(MATCH(D353,'Ist Vorjahr Monat 08'!A:A,0))=FALSE,INDEX('Ist Vorjahr Monat 08'!B:B,MATCH(D353,'Ist Vorjahr Monat 08'!A:A,0)),
IF(ISERROR(MATCH(D353,'Ist Vorjahr Monat 09'!A:A,0))=FALSE,INDEX('Ist Vorjahr Monat 09'!B:B,MATCH(D353,'Ist Vorjahr Monat 09'!A:A,0)),
IF(ISERROR(MATCH(D353,'Ist Vorjahr Monat 10'!A:A,0))=FALSE,INDEX('Ist Vorjahr Monat 10'!B:B,MATCH(D353,'Ist Vorjahr Monat 10'!A:A,0)),
IF(ISERROR(MATCH(D353,'Ist Vorjahr Monat 11'!A:A,0))=FALSE,INDEX('Ist Vorjahr Monat 11'!B:B,MATCH(D353,'Ist Vorjahr Monat 11'!A:A,0)),
IF(ISERROR(MATCH(D353,'Ist Vorjahr Monat 12'!A:A,0))=FALSE,INDEX('Ist Vorjahr Monat 12'!B:B,MATCH(D353,'Ist Vorjahr Monat 12'!A:A,0)),
"{Konto unbekannt}"
)))))))))))),"")</f>
        <v/>
      </c>
      <c r="C353" s="591"/>
      <c r="D353" s="590"/>
      <c r="E353" s="592">
        <f t="shared" si="163"/>
        <v>-1</v>
      </c>
      <c r="F353" s="590" t="s">
        <v>996</v>
      </c>
      <c r="G353" s="593">
        <f ca="1">$E353*(-SUMIF(INDIRECT(G$3),'Struktur Vorjahr'!$D353,INDIRECT(G$4))+SUMIF(INDIRECT(G$3),'Struktur Vorjahr'!$D353,INDIRECT(G$5)))</f>
        <v>0</v>
      </c>
      <c r="H353" s="593">
        <f ca="1">$E353*(-SUMIF(INDIRECT(H$3),'Struktur Vorjahr'!$D353,INDIRECT(H$4))+SUMIF(INDIRECT(H$3),'Struktur Vorjahr'!$D353,INDIRECT(H$5)))</f>
        <v>0</v>
      </c>
      <c r="I353" s="593">
        <f ca="1">$E353*(-SUMIF(INDIRECT(I$3),'Struktur Vorjahr'!$D353,INDIRECT(I$4))+SUMIF(INDIRECT(I$3),'Struktur Vorjahr'!$D353,INDIRECT(I$5)))</f>
        <v>0</v>
      </c>
      <c r="J353" s="593">
        <f ca="1">$E353*(-SUMIF(INDIRECT(J$3),'Struktur Vorjahr'!$D353,INDIRECT(J$4))+SUMIF(INDIRECT(J$3),'Struktur Vorjahr'!$D353,INDIRECT(J$5)))</f>
        <v>0</v>
      </c>
      <c r="K353" s="593">
        <f ca="1">$E353*(-SUMIF(INDIRECT(K$3),'Struktur Vorjahr'!$D353,INDIRECT(K$4))+SUMIF(INDIRECT(K$3),'Struktur Vorjahr'!$D353,INDIRECT(K$5)))</f>
        <v>0</v>
      </c>
      <c r="L353" s="593">
        <f ca="1">$E353*(-SUMIF(INDIRECT(L$3),'Struktur Vorjahr'!$D353,INDIRECT(L$4))+SUMIF(INDIRECT(L$3),'Struktur Vorjahr'!$D353,INDIRECT(L$5)))</f>
        <v>0</v>
      </c>
      <c r="M353" s="593">
        <f ca="1">$E353*(-SUMIF(INDIRECT(M$3),'Struktur Vorjahr'!$D353,INDIRECT(M$4))+SUMIF(INDIRECT(M$3),'Struktur Vorjahr'!$D353,INDIRECT(M$5)))</f>
        <v>0</v>
      </c>
      <c r="N353" s="593">
        <f ca="1">$E353*(-SUMIF(INDIRECT(N$3),'Struktur Vorjahr'!$D353,INDIRECT(N$4))+SUMIF(INDIRECT(N$3),'Struktur Vorjahr'!$D353,INDIRECT(N$5)))</f>
        <v>0</v>
      </c>
      <c r="O353" s="593">
        <f ca="1">$E353*(-SUMIF(INDIRECT(O$3),'Struktur Vorjahr'!$D353,INDIRECT(O$4))+SUMIF(INDIRECT(O$3),'Struktur Vorjahr'!$D353,INDIRECT(O$5)))</f>
        <v>0</v>
      </c>
      <c r="P353" s="593">
        <f ca="1">$E353*(-SUMIF(INDIRECT(P$3),'Struktur Vorjahr'!$D353,INDIRECT(P$4))+SUMIF(INDIRECT(P$3),'Struktur Vorjahr'!$D353,INDIRECT(P$5)))</f>
        <v>0</v>
      </c>
      <c r="Q353" s="593">
        <f ca="1">$E353*(-SUMIF(INDIRECT(Q$3),'Struktur Vorjahr'!$D353,INDIRECT(Q$4))+SUMIF(INDIRECT(Q$3),'Struktur Vorjahr'!$D353,INDIRECT(Q$5)))</f>
        <v>0</v>
      </c>
      <c r="R353" s="593">
        <f ca="1">$E353*(-SUMIF(INDIRECT(R$3),'Struktur Vorjahr'!$D353,INDIRECT(R$4))+SUMIF(INDIRECT(R$3),'Struktur Vorjahr'!$D353,INDIRECT(R$5)))</f>
        <v>0</v>
      </c>
      <c r="S353" s="593">
        <f ca="1">$E353*(-SUMIF(INDIRECT(S$3),'Struktur Vorjahr'!$D353,INDIRECT(S$4))+SUMIF(INDIRECT(S$3),'Struktur Vorjahr'!$D353,INDIRECT(S$5)))</f>
        <v>0</v>
      </c>
      <c r="T353" s="593">
        <f ca="1">$E353*(-SUMIF(INDIRECT(T$3),'Struktur Vorjahr'!$D353,INDIRECT(T$4))+SUMIF(INDIRECT(T$3),'Struktur Vorjahr'!$D353,INDIRECT(T$5)))</f>
        <v>0</v>
      </c>
      <c r="U353" s="593">
        <f ca="1">$E353*(-SUMIF(INDIRECT(U$3),'Struktur Vorjahr'!$D353,INDIRECT(U$4))+SUMIF(INDIRECT(U$3),'Struktur Vorjahr'!$D353,INDIRECT(U$5)))</f>
        <v>0</v>
      </c>
      <c r="V353" s="593">
        <f ca="1">$E353*(-SUMIF(INDIRECT(V$3),'Struktur Vorjahr'!$D353,INDIRECT(V$4))+SUMIF(INDIRECT(V$3),'Struktur Vorjahr'!$D353,INDIRECT(V$5)))</f>
        <v>0</v>
      </c>
      <c r="W353" s="593">
        <f ca="1">$E353*(-SUMIF(INDIRECT(W$3),'Struktur Vorjahr'!$D353,INDIRECT(W$4))+SUMIF(INDIRECT(W$3),'Struktur Vorjahr'!$D353,INDIRECT(W$5)))</f>
        <v>0</v>
      </c>
      <c r="X353" s="593">
        <f ca="1">$E353*(-SUMIF(INDIRECT(X$3),'Struktur Vorjahr'!$D353,INDIRECT(X$4))+SUMIF(INDIRECT(X$3),'Struktur Vorjahr'!$D353,INDIRECT(X$5)))</f>
        <v>0</v>
      </c>
      <c r="Y353" s="593">
        <f ca="1">$E353*(-SUMIF(INDIRECT(Y$3),'Struktur Vorjahr'!$D353,INDIRECT(Y$4))+SUMIF(INDIRECT(Y$3),'Struktur Vorjahr'!$D353,INDIRECT(Y$5)))</f>
        <v>0</v>
      </c>
      <c r="Z353" s="593">
        <f ca="1">$E353*(-SUMIF(INDIRECT(Z$3),'Struktur Vorjahr'!$D353,INDIRECT(Z$4))+SUMIF(INDIRECT(Z$3),'Struktur Vorjahr'!$D353,INDIRECT(Z$5)))</f>
        <v>0</v>
      </c>
      <c r="AA353" s="593">
        <f ca="1">$E353*(-SUMIF(INDIRECT(AA$3),'Struktur Vorjahr'!$D353,INDIRECT(AA$4))+SUMIF(INDIRECT(AA$3),'Struktur Vorjahr'!$D353,INDIRECT(AA$5)))</f>
        <v>0</v>
      </c>
      <c r="AB353" s="593">
        <f ca="1">$E353*(-SUMIF(INDIRECT(AB$3),'Struktur Vorjahr'!$D353,INDIRECT(AB$4))+SUMIF(INDIRECT(AB$3),'Struktur Vorjahr'!$D353,INDIRECT(AB$5)))</f>
        <v>0</v>
      </c>
      <c r="AC353" s="593">
        <f ca="1">$E353*(-SUMIF(INDIRECT(AC$3),'Struktur Vorjahr'!$D353,INDIRECT(AC$4))+SUMIF(INDIRECT(AC$3),'Struktur Vorjahr'!$D353,INDIRECT(AC$5)))</f>
        <v>0</v>
      </c>
      <c r="AD353" s="593">
        <f ca="1">$E353*(-SUMIF(INDIRECT(AD$3),'Struktur Vorjahr'!$D353,INDIRECT(AD$4))+SUMIF(INDIRECT(AD$3),'Struktur Vorjahr'!$D353,INDIRECT(AD$5)))</f>
        <v>0</v>
      </c>
      <c r="AE353" s="593">
        <f t="shared" ca="1" si="161"/>
        <v>0</v>
      </c>
      <c r="AF353" s="593">
        <f t="shared" ca="1" si="162"/>
        <v>0</v>
      </c>
      <c r="AG353" s="593">
        <f t="shared" ca="1" si="162"/>
        <v>0</v>
      </c>
      <c r="AH353" s="593">
        <f t="shared" ca="1" si="162"/>
        <v>0</v>
      </c>
      <c r="AI353" s="593">
        <f t="shared" ca="1" si="162"/>
        <v>0</v>
      </c>
      <c r="AJ353" s="593">
        <f t="shared" ca="1" si="162"/>
        <v>0</v>
      </c>
      <c r="AK353" s="593">
        <f t="shared" ca="1" si="162"/>
        <v>0</v>
      </c>
      <c r="AL353" s="593">
        <f t="shared" ca="1" si="162"/>
        <v>0</v>
      </c>
      <c r="AM353" s="593">
        <f t="shared" ca="1" si="162"/>
        <v>0</v>
      </c>
      <c r="AN353" s="593">
        <f t="shared" ca="1" si="162"/>
        <v>0</v>
      </c>
      <c r="AO353" s="593">
        <f t="shared" ca="1" si="162"/>
        <v>0</v>
      </c>
      <c r="AP353" s="593">
        <f t="shared" ca="1" si="162"/>
        <v>0</v>
      </c>
    </row>
    <row r="354" spans="1:42" s="589" customFormat="1" x14ac:dyDescent="0.2">
      <c r="A354" s="595"/>
      <c r="B354" s="596" t="s">
        <v>1021</v>
      </c>
      <c r="C354" s="597">
        <f ca="1">SUM(G354:R354)</f>
        <v>-2906.05</v>
      </c>
      <c r="D354" s="597"/>
      <c r="E354" s="598">
        <f t="shared" si="121"/>
        <v>1</v>
      </c>
      <c r="F354" s="595"/>
      <c r="G354" s="597">
        <f ca="1">-G315-G321-G328+G333+G340+G347</f>
        <v>2.4599999999999795</v>
      </c>
      <c r="H354" s="597">
        <f t="shared" ref="H354:R354" ca="1" si="164">-H315-H321-H328+H333+H340+H347</f>
        <v>-232.51999999999998</v>
      </c>
      <c r="I354" s="597">
        <f t="shared" ca="1" si="164"/>
        <v>-400.51</v>
      </c>
      <c r="J354" s="597">
        <f t="shared" ca="1" si="164"/>
        <v>-346.14</v>
      </c>
      <c r="K354" s="597">
        <f t="shared" ca="1" si="164"/>
        <v>-740.75</v>
      </c>
      <c r="L354" s="597">
        <f t="shared" ca="1" si="164"/>
        <v>-416.7600000000001</v>
      </c>
      <c r="M354" s="597">
        <f t="shared" ca="1" si="164"/>
        <v>-169.61999999999989</v>
      </c>
      <c r="N354" s="597">
        <f t="shared" ca="1" si="164"/>
        <v>-148.03999999999996</v>
      </c>
      <c r="O354" s="597">
        <f t="shared" ca="1" si="164"/>
        <v>-181.51000000000002</v>
      </c>
      <c r="P354" s="597">
        <f t="shared" ca="1" si="164"/>
        <v>-272.66000000000003</v>
      </c>
      <c r="Q354" s="597">
        <f t="shared" ca="1" si="164"/>
        <v>0</v>
      </c>
      <c r="R354" s="597">
        <f t="shared" ca="1" si="164"/>
        <v>0</v>
      </c>
      <c r="S354" s="597">
        <f ca="1">-S315-S321-S328+S333+S340+S347</f>
        <v>2.4599999999999795</v>
      </c>
      <c r="T354" s="597">
        <f t="shared" ref="T354:AD354" ca="1" si="165">-T315-T321-T328+T333+T340+T347</f>
        <v>-230.06000000000003</v>
      </c>
      <c r="U354" s="597">
        <f t="shared" ca="1" si="165"/>
        <v>-630.57000000000005</v>
      </c>
      <c r="V354" s="597">
        <f t="shared" ca="1" si="165"/>
        <v>-976.70999999999992</v>
      </c>
      <c r="W354" s="597">
        <f t="shared" ca="1" si="165"/>
        <v>-1717.46</v>
      </c>
      <c r="X354" s="597">
        <f t="shared" ca="1" si="165"/>
        <v>-2134.2199999999998</v>
      </c>
      <c r="Y354" s="597">
        <f t="shared" ca="1" si="165"/>
        <v>-2303.84</v>
      </c>
      <c r="Z354" s="597">
        <f t="shared" ca="1" si="165"/>
        <v>-2451.88</v>
      </c>
      <c r="AA354" s="597">
        <f t="shared" ca="1" si="165"/>
        <v>-2633.3900000000003</v>
      </c>
      <c r="AB354" s="597">
        <f t="shared" ca="1" si="165"/>
        <v>-2906.0499999999993</v>
      </c>
      <c r="AC354" s="597">
        <f t="shared" ca="1" si="165"/>
        <v>0</v>
      </c>
      <c r="AD354" s="597">
        <f t="shared" ca="1" si="165"/>
        <v>0</v>
      </c>
      <c r="AE354" s="597">
        <f ca="1">-AE315-AE321-AE328+AE333+AE340+AE347</f>
        <v>2.4599999999999795</v>
      </c>
      <c r="AF354" s="597">
        <f t="shared" ref="AF354:AP354" ca="1" si="166">-AF315-AF321-AF328+AF333+AF340+AF347</f>
        <v>-230.05999999999997</v>
      </c>
      <c r="AG354" s="597">
        <f t="shared" ca="1" si="166"/>
        <v>-630.57000000000005</v>
      </c>
      <c r="AH354" s="597">
        <f t="shared" ca="1" si="166"/>
        <v>-976.70999999999992</v>
      </c>
      <c r="AI354" s="597">
        <f t="shared" ca="1" si="166"/>
        <v>-1717.46</v>
      </c>
      <c r="AJ354" s="597">
        <f t="shared" ca="1" si="166"/>
        <v>-2134.2199999999998</v>
      </c>
      <c r="AK354" s="597">
        <f t="shared" ca="1" si="166"/>
        <v>-2303.84</v>
      </c>
      <c r="AL354" s="597">
        <f t="shared" ca="1" si="166"/>
        <v>-2451.8799999999997</v>
      </c>
      <c r="AM354" s="597">
        <f t="shared" ca="1" si="166"/>
        <v>-2633.39</v>
      </c>
      <c r="AN354" s="597">
        <f t="shared" ca="1" si="166"/>
        <v>-2906.0499999999993</v>
      </c>
      <c r="AO354" s="597">
        <f t="shared" ca="1" si="166"/>
        <v>-2906.0499999999993</v>
      </c>
      <c r="AP354" s="597">
        <f t="shared" ca="1" si="166"/>
        <v>-2906.0499999999993</v>
      </c>
    </row>
    <row r="355" spans="1:42" x14ac:dyDescent="0.2">
      <c r="A355" s="595"/>
      <c r="B355" s="596" t="s">
        <v>380</v>
      </c>
      <c r="C355" s="597">
        <f ca="1">SUM(G355:R355)</f>
        <v>-35375.869999999988</v>
      </c>
      <c r="D355" s="597"/>
      <c r="E355" s="598">
        <f t="shared" si="121"/>
        <v>1</v>
      </c>
      <c r="F355" s="595"/>
      <c r="G355" s="597">
        <f ca="1">G314+G354</f>
        <v>-9326.6600000000017</v>
      </c>
      <c r="H355" s="597">
        <f t="shared" ref="H355:R355" ca="1" si="167">H314+H354</f>
        <v>-8749.98</v>
      </c>
      <c r="I355" s="597">
        <f t="shared" ca="1" si="167"/>
        <v>-17690.62</v>
      </c>
      <c r="J355" s="597">
        <f t="shared" ca="1" si="167"/>
        <v>-9703.7800000000025</v>
      </c>
      <c r="K355" s="597">
        <f t="shared" ca="1" si="167"/>
        <v>-15818.519999999997</v>
      </c>
      <c r="L355" s="597">
        <f t="shared" ca="1" si="167"/>
        <v>-9485.4499999999989</v>
      </c>
      <c r="M355" s="597">
        <f t="shared" ca="1" si="167"/>
        <v>27968.330000000005</v>
      </c>
      <c r="N355" s="597">
        <f t="shared" ca="1" si="167"/>
        <v>1091.8100000000011</v>
      </c>
      <c r="O355" s="597">
        <f t="shared" ca="1" si="167"/>
        <v>-7377.869999999999</v>
      </c>
      <c r="P355" s="597">
        <f t="shared" ca="1" si="167"/>
        <v>13716.87</v>
      </c>
      <c r="Q355" s="597">
        <f t="shared" ca="1" si="167"/>
        <v>0</v>
      </c>
      <c r="R355" s="597">
        <f t="shared" ca="1" si="167"/>
        <v>0</v>
      </c>
      <c r="S355" s="597">
        <f ca="1">S314+S354</f>
        <v>-9326.6600000000017</v>
      </c>
      <c r="T355" s="597">
        <f t="shared" ref="T355:AD355" ca="1" si="168">T314+T354</f>
        <v>-18076.640000000007</v>
      </c>
      <c r="U355" s="597">
        <f t="shared" ca="1" si="168"/>
        <v>-35767.260000000009</v>
      </c>
      <c r="V355" s="597">
        <f t="shared" ca="1" si="168"/>
        <v>-45471.040000000001</v>
      </c>
      <c r="W355" s="597">
        <f t="shared" ca="1" si="168"/>
        <v>-61289.56</v>
      </c>
      <c r="X355" s="597">
        <f t="shared" ca="1" si="168"/>
        <v>-70775.009999999995</v>
      </c>
      <c r="Y355" s="597">
        <f t="shared" ca="1" si="168"/>
        <v>-42806.679999999993</v>
      </c>
      <c r="Z355" s="597">
        <f t="shared" ca="1" si="168"/>
        <v>-41714.869999999988</v>
      </c>
      <c r="AA355" s="597">
        <f t="shared" ca="1" si="168"/>
        <v>-49092.740000000013</v>
      </c>
      <c r="AB355" s="597">
        <f t="shared" ca="1" si="168"/>
        <v>-35375.87000000001</v>
      </c>
      <c r="AC355" s="597">
        <f t="shared" ca="1" si="168"/>
        <v>0</v>
      </c>
      <c r="AD355" s="597">
        <f t="shared" ca="1" si="168"/>
        <v>0</v>
      </c>
      <c r="AE355" s="597">
        <f ca="1">AE314+AE354</f>
        <v>-9326.6600000000017</v>
      </c>
      <c r="AF355" s="597">
        <f t="shared" ref="AF355:AP355" ca="1" si="169">AF314+AF354</f>
        <v>-18076.640000000007</v>
      </c>
      <c r="AG355" s="597">
        <f t="shared" ca="1" si="169"/>
        <v>-35767.260000000009</v>
      </c>
      <c r="AH355" s="597">
        <f t="shared" ca="1" si="169"/>
        <v>-45471.040000000001</v>
      </c>
      <c r="AI355" s="597">
        <f t="shared" ca="1" si="169"/>
        <v>-61289.560000000005</v>
      </c>
      <c r="AJ355" s="597">
        <f t="shared" ca="1" si="169"/>
        <v>-70775.009999999995</v>
      </c>
      <c r="AK355" s="597">
        <f t="shared" ca="1" si="169"/>
        <v>-42806.679999999993</v>
      </c>
      <c r="AL355" s="597">
        <f t="shared" ca="1" si="169"/>
        <v>-41714.869999999988</v>
      </c>
      <c r="AM355" s="597">
        <f t="shared" ca="1" si="169"/>
        <v>-49092.740000000013</v>
      </c>
      <c r="AN355" s="597">
        <f t="shared" ca="1" si="169"/>
        <v>-35375.869999999952</v>
      </c>
      <c r="AO355" s="597">
        <f t="shared" ca="1" si="169"/>
        <v>-35375.869999999952</v>
      </c>
      <c r="AP355" s="597">
        <f t="shared" ca="1" si="169"/>
        <v>-35375.869999999952</v>
      </c>
    </row>
    <row r="356" spans="1:42" s="589" customFormat="1" x14ac:dyDescent="0.2">
      <c r="A356" s="585">
        <v>35</v>
      </c>
      <c r="B356" s="586" t="s">
        <v>381</v>
      </c>
      <c r="C356" s="587">
        <f ca="1">SUM(G356:R356)</f>
        <v>197.27999999999975</v>
      </c>
      <c r="D356" s="587"/>
      <c r="E356" s="588">
        <f t="shared" si="121"/>
        <v>1</v>
      </c>
      <c r="F356" s="585"/>
      <c r="G356" s="587">
        <f t="shared" ref="G356:AP356" ca="1" si="170">SUM(G357:G365)</f>
        <v>0</v>
      </c>
      <c r="H356" s="587">
        <f t="shared" ca="1" si="170"/>
        <v>93</v>
      </c>
      <c r="I356" s="587">
        <f t="shared" ca="1" si="170"/>
        <v>197.28</v>
      </c>
      <c r="J356" s="587">
        <f t="shared" ca="1" si="170"/>
        <v>0</v>
      </c>
      <c r="K356" s="587">
        <f t="shared" ca="1" si="170"/>
        <v>5416.5</v>
      </c>
      <c r="L356" s="587">
        <f t="shared" ca="1" si="170"/>
        <v>0</v>
      </c>
      <c r="M356" s="587">
        <f t="shared" ca="1" si="170"/>
        <v>0</v>
      </c>
      <c r="N356" s="587">
        <f t="shared" ca="1" si="170"/>
        <v>0</v>
      </c>
      <c r="O356" s="587">
        <f t="shared" ca="1" si="170"/>
        <v>0</v>
      </c>
      <c r="P356" s="587">
        <f t="shared" ca="1" si="170"/>
        <v>-5509.5</v>
      </c>
      <c r="Q356" s="587">
        <f t="shared" ca="1" si="170"/>
        <v>0</v>
      </c>
      <c r="R356" s="587">
        <f t="shared" ca="1" si="170"/>
        <v>0</v>
      </c>
      <c r="S356" s="587">
        <f t="shared" ca="1" si="170"/>
        <v>0</v>
      </c>
      <c r="T356" s="587">
        <f t="shared" ca="1" si="170"/>
        <v>93</v>
      </c>
      <c r="U356" s="587">
        <f t="shared" ca="1" si="170"/>
        <v>290.27999999999997</v>
      </c>
      <c r="V356" s="587">
        <f t="shared" ca="1" si="170"/>
        <v>290.27999999999997</v>
      </c>
      <c r="W356" s="587">
        <f t="shared" ca="1" si="170"/>
        <v>5706.78</v>
      </c>
      <c r="X356" s="587">
        <f t="shared" ca="1" si="170"/>
        <v>5706.78</v>
      </c>
      <c r="Y356" s="587">
        <f t="shared" ca="1" si="170"/>
        <v>5706.78</v>
      </c>
      <c r="Z356" s="587">
        <f t="shared" ca="1" si="170"/>
        <v>5706.78</v>
      </c>
      <c r="AA356" s="587">
        <f t="shared" ca="1" si="170"/>
        <v>5706.78</v>
      </c>
      <c r="AB356" s="587">
        <f t="shared" ca="1" si="170"/>
        <v>197.28</v>
      </c>
      <c r="AC356" s="587">
        <f t="shared" ca="1" si="170"/>
        <v>0</v>
      </c>
      <c r="AD356" s="587">
        <f t="shared" ca="1" si="170"/>
        <v>0</v>
      </c>
      <c r="AE356" s="587">
        <f t="shared" ca="1" si="170"/>
        <v>0</v>
      </c>
      <c r="AF356" s="587">
        <f t="shared" ca="1" si="170"/>
        <v>93</v>
      </c>
      <c r="AG356" s="587">
        <f t="shared" ca="1" si="170"/>
        <v>290.27999999999997</v>
      </c>
      <c r="AH356" s="587">
        <f t="shared" ca="1" si="170"/>
        <v>290.27999999999997</v>
      </c>
      <c r="AI356" s="587">
        <f t="shared" ca="1" si="170"/>
        <v>5706.78</v>
      </c>
      <c r="AJ356" s="587">
        <f t="shared" ca="1" si="170"/>
        <v>5706.78</v>
      </c>
      <c r="AK356" s="587">
        <f t="shared" ca="1" si="170"/>
        <v>5706.78</v>
      </c>
      <c r="AL356" s="587">
        <f t="shared" ca="1" si="170"/>
        <v>5706.78</v>
      </c>
      <c r="AM356" s="587">
        <f t="shared" ca="1" si="170"/>
        <v>5706.78</v>
      </c>
      <c r="AN356" s="587">
        <f t="shared" ca="1" si="170"/>
        <v>197.28</v>
      </c>
      <c r="AO356" s="587">
        <f t="shared" ca="1" si="170"/>
        <v>197.28</v>
      </c>
      <c r="AP356" s="587">
        <f t="shared" ca="1" si="170"/>
        <v>197.28</v>
      </c>
    </row>
    <row r="357" spans="1:42" s="594" customFormat="1" ht="11.25" outlineLevel="1" x14ac:dyDescent="0.2">
      <c r="A357" s="590"/>
      <c r="B357" s="591" t="str">
        <f>IF(D357&lt;&gt;"",
IF(ISERROR(MATCH(D357,'Ist Vorjahr Monat 01'!A:A,0))=FALSE,INDEX('Ist Vorjahr Monat 01'!B:B,MATCH(D357,'Ist Vorjahr Monat 01'!A:A,0)),
IF(ISERROR(MATCH(D357,'Ist Vorjahr Monat 02'!A:A,0))=FALSE,INDEX('Ist Vorjahr Monat 02'!B:B,MATCH(D357,'Ist Vorjahr Monat 02'!A:A,0)),
IF(ISERROR(MATCH(D357,'Ist Vorjahr Monat 03'!A:A,0))=FALSE,INDEX('Ist Vorjahr Monat 03'!B:B,MATCH(D357,'Ist Vorjahr Monat 03'!A:A,0)),
IF(ISERROR(MATCH(D357,'Ist Vorjahr Monat 04'!A:A,0))=FALSE,INDEX('Ist Vorjahr Monat 04'!B:B,MATCH(D357,'Ist Vorjahr Monat 04'!A:A,0)),
IF(ISERROR(MATCH(D357,'Ist Vorjahr Monat 05'!A:A,0))=FALSE,INDEX('Ist Vorjahr Monat 05'!B:B,MATCH(D357,'Ist Vorjahr Monat 05'!A:A,0)),
IF(ISERROR(MATCH(D357,'Ist Vorjahr Monat 06'!A:A,0))=FALSE,INDEX('Ist Vorjahr Monat 06'!B:B,MATCH(D357,'Ist Vorjahr Monat 06'!A:A,0)),
IF(ISERROR(MATCH(D357,'Ist Vorjahr Monat 07'!A:A,0))=FALSE,INDEX('Ist Vorjahr Monat 07'!B:B,MATCH(D357,'Ist Vorjahr Monat 07'!A:A,0)),
IF(ISERROR(MATCH(D357,'Ist Vorjahr Monat 08'!A:A,0))=FALSE,INDEX('Ist Vorjahr Monat 08'!B:B,MATCH(D357,'Ist Vorjahr Monat 08'!A:A,0)),
IF(ISERROR(MATCH(D357,'Ist Vorjahr Monat 09'!A:A,0))=FALSE,INDEX('Ist Vorjahr Monat 09'!B:B,MATCH(D357,'Ist Vorjahr Monat 09'!A:A,0)),
IF(ISERROR(MATCH(D357,'Ist Vorjahr Monat 10'!A:A,0))=FALSE,INDEX('Ist Vorjahr Monat 10'!B:B,MATCH(D357,'Ist Vorjahr Monat 10'!A:A,0)),
IF(ISERROR(MATCH(D357,'Ist Vorjahr Monat 11'!A:A,0))=FALSE,INDEX('Ist Vorjahr Monat 11'!B:B,MATCH(D357,'Ist Vorjahr Monat 11'!A:A,0)),
IF(ISERROR(MATCH(D357,'Ist Vorjahr Monat 12'!A:A,0))=FALSE,INDEX('Ist Vorjahr Monat 12'!B:B,MATCH(D357,'Ist Vorjahr Monat 12'!A:A,0)),
"{Konto unbekannt}"
)))))))))))),"")</f>
        <v>Körperschaftsteuer</v>
      </c>
      <c r="C357" s="591"/>
      <c r="D357" s="590">
        <v>2200</v>
      </c>
      <c r="E357" s="592">
        <f t="shared" si="121"/>
        <v>1</v>
      </c>
      <c r="F357" s="590"/>
      <c r="G357" s="593">
        <f ca="1">$E357*(-SUMIF(INDIRECT(G$3),'Struktur Vorjahr'!$D357,INDIRECT(G$4))+SUMIF(INDIRECT(G$3),'Struktur Vorjahr'!$D357,INDIRECT(G$5)))</f>
        <v>0</v>
      </c>
      <c r="H357" s="593">
        <f ca="1">$E357*(-SUMIF(INDIRECT(H$3),'Struktur Vorjahr'!$D357,INDIRECT(H$4))+SUMIF(INDIRECT(H$3),'Struktur Vorjahr'!$D357,INDIRECT(H$5)))</f>
        <v>0</v>
      </c>
      <c r="I357" s="593">
        <f ca="1">$E357*(-SUMIF(INDIRECT(I$3),'Struktur Vorjahr'!$D357,INDIRECT(I$4))+SUMIF(INDIRECT(I$3),'Struktur Vorjahr'!$D357,INDIRECT(I$5)))</f>
        <v>197.28</v>
      </c>
      <c r="J357" s="593">
        <f ca="1">$E357*(-SUMIF(INDIRECT(J$3),'Struktur Vorjahr'!$D357,INDIRECT(J$4))+SUMIF(INDIRECT(J$3),'Struktur Vorjahr'!$D357,INDIRECT(J$5)))</f>
        <v>0</v>
      </c>
      <c r="K357" s="593">
        <f ca="1">$E357*(-SUMIF(INDIRECT(K$3),'Struktur Vorjahr'!$D357,INDIRECT(K$4))+SUMIF(INDIRECT(K$3),'Struktur Vorjahr'!$D357,INDIRECT(K$5)))</f>
        <v>0</v>
      </c>
      <c r="L357" s="593">
        <f ca="1">$E357*(-SUMIF(INDIRECT(L$3),'Struktur Vorjahr'!$D357,INDIRECT(L$4))+SUMIF(INDIRECT(L$3),'Struktur Vorjahr'!$D357,INDIRECT(L$5)))</f>
        <v>0</v>
      </c>
      <c r="M357" s="593">
        <f ca="1">$E357*(-SUMIF(INDIRECT(M$3),'Struktur Vorjahr'!$D357,INDIRECT(M$4))+SUMIF(INDIRECT(M$3),'Struktur Vorjahr'!$D357,INDIRECT(M$5)))</f>
        <v>0</v>
      </c>
      <c r="N357" s="593">
        <f ca="1">$E357*(-SUMIF(INDIRECT(N$3),'Struktur Vorjahr'!$D357,INDIRECT(N$4))+SUMIF(INDIRECT(N$3),'Struktur Vorjahr'!$D357,INDIRECT(N$5)))</f>
        <v>0</v>
      </c>
      <c r="O357" s="593">
        <f ca="1">$E357*(-SUMIF(INDIRECT(O$3),'Struktur Vorjahr'!$D357,INDIRECT(O$4))+SUMIF(INDIRECT(O$3),'Struktur Vorjahr'!$D357,INDIRECT(O$5)))</f>
        <v>0</v>
      </c>
      <c r="P357" s="593">
        <f ca="1">$E357*(-SUMIF(INDIRECT(P$3),'Struktur Vorjahr'!$D357,INDIRECT(P$4))+SUMIF(INDIRECT(P$3),'Struktur Vorjahr'!$D357,INDIRECT(P$5)))</f>
        <v>0</v>
      </c>
      <c r="Q357" s="593">
        <f ca="1">$E357*(-SUMIF(INDIRECT(Q$3),'Struktur Vorjahr'!$D357,INDIRECT(Q$4))+SUMIF(INDIRECT(Q$3),'Struktur Vorjahr'!$D357,INDIRECT(Q$5)))</f>
        <v>0</v>
      </c>
      <c r="R357" s="593">
        <f ca="1">$E357*(-SUMIF(INDIRECT(R$3),'Struktur Vorjahr'!$D357,INDIRECT(R$4))+SUMIF(INDIRECT(R$3),'Struktur Vorjahr'!$D357,INDIRECT(R$5)))</f>
        <v>0</v>
      </c>
      <c r="S357" s="593">
        <f ca="1">$E357*(-SUMIF(INDIRECT(S$3),'Struktur Vorjahr'!$D357,INDIRECT(S$4))+SUMIF(INDIRECT(S$3),'Struktur Vorjahr'!$D357,INDIRECT(S$5)))</f>
        <v>0</v>
      </c>
      <c r="T357" s="593">
        <f ca="1">$E357*(-SUMIF(INDIRECT(T$3),'Struktur Vorjahr'!$D357,INDIRECT(T$4))+SUMIF(INDIRECT(T$3),'Struktur Vorjahr'!$D357,INDIRECT(T$5)))</f>
        <v>0</v>
      </c>
      <c r="U357" s="593">
        <f ca="1">$E357*(-SUMIF(INDIRECT(U$3),'Struktur Vorjahr'!$D357,INDIRECT(U$4))+SUMIF(INDIRECT(U$3),'Struktur Vorjahr'!$D357,INDIRECT(U$5)))</f>
        <v>197.28</v>
      </c>
      <c r="V357" s="593">
        <f ca="1">$E357*(-SUMIF(INDIRECT(V$3),'Struktur Vorjahr'!$D357,INDIRECT(V$4))+SUMIF(INDIRECT(V$3),'Struktur Vorjahr'!$D357,INDIRECT(V$5)))</f>
        <v>197.28</v>
      </c>
      <c r="W357" s="593">
        <f ca="1">$E357*(-SUMIF(INDIRECT(W$3),'Struktur Vorjahr'!$D357,INDIRECT(W$4))+SUMIF(INDIRECT(W$3),'Struktur Vorjahr'!$D357,INDIRECT(W$5)))</f>
        <v>197.28</v>
      </c>
      <c r="X357" s="593">
        <f ca="1">$E357*(-SUMIF(INDIRECT(X$3),'Struktur Vorjahr'!$D357,INDIRECT(X$4))+SUMIF(INDIRECT(X$3),'Struktur Vorjahr'!$D357,INDIRECT(X$5)))</f>
        <v>197.28</v>
      </c>
      <c r="Y357" s="593">
        <f ca="1">$E357*(-SUMIF(INDIRECT(Y$3),'Struktur Vorjahr'!$D357,INDIRECT(Y$4))+SUMIF(INDIRECT(Y$3),'Struktur Vorjahr'!$D357,INDIRECT(Y$5)))</f>
        <v>197.28</v>
      </c>
      <c r="Z357" s="593">
        <f ca="1">$E357*(-SUMIF(INDIRECT(Z$3),'Struktur Vorjahr'!$D357,INDIRECT(Z$4))+SUMIF(INDIRECT(Z$3),'Struktur Vorjahr'!$D357,INDIRECT(Z$5)))</f>
        <v>197.28</v>
      </c>
      <c r="AA357" s="593">
        <f ca="1">$E357*(-SUMIF(INDIRECT(AA$3),'Struktur Vorjahr'!$D357,INDIRECT(AA$4))+SUMIF(INDIRECT(AA$3),'Struktur Vorjahr'!$D357,INDIRECT(AA$5)))</f>
        <v>197.28</v>
      </c>
      <c r="AB357" s="593">
        <f ca="1">$E357*(-SUMIF(INDIRECT(AB$3),'Struktur Vorjahr'!$D357,INDIRECT(AB$4))+SUMIF(INDIRECT(AB$3),'Struktur Vorjahr'!$D357,INDIRECT(AB$5)))</f>
        <v>197.28</v>
      </c>
      <c r="AC357" s="593">
        <f ca="1">$E357*(-SUMIF(INDIRECT(AC$3),'Struktur Vorjahr'!$D357,INDIRECT(AC$4))+SUMIF(INDIRECT(AC$3),'Struktur Vorjahr'!$D357,INDIRECT(AC$5)))</f>
        <v>0</v>
      </c>
      <c r="AD357" s="593">
        <f ca="1">$E357*(-SUMIF(INDIRECT(AD$3),'Struktur Vorjahr'!$D357,INDIRECT(AD$4))+SUMIF(INDIRECT(AD$3),'Struktur Vorjahr'!$D357,INDIRECT(AD$5)))</f>
        <v>0</v>
      </c>
      <c r="AE357" s="593">
        <f t="shared" ref="AE357:AE365" ca="1" si="171">G357</f>
        <v>0</v>
      </c>
      <c r="AF357" s="593">
        <f t="shared" ref="AF357:AP365" ca="1" si="172">H357+AE357</f>
        <v>0</v>
      </c>
      <c r="AG357" s="593">
        <f t="shared" ca="1" si="172"/>
        <v>197.28</v>
      </c>
      <c r="AH357" s="593">
        <f t="shared" ca="1" si="172"/>
        <v>197.28</v>
      </c>
      <c r="AI357" s="593">
        <f t="shared" ca="1" si="172"/>
        <v>197.28</v>
      </c>
      <c r="AJ357" s="593">
        <f t="shared" ca="1" si="172"/>
        <v>197.28</v>
      </c>
      <c r="AK357" s="593">
        <f t="shared" ca="1" si="172"/>
        <v>197.28</v>
      </c>
      <c r="AL357" s="593">
        <f t="shared" ca="1" si="172"/>
        <v>197.28</v>
      </c>
      <c r="AM357" s="593">
        <f t="shared" ca="1" si="172"/>
        <v>197.28</v>
      </c>
      <c r="AN357" s="593">
        <f t="shared" ca="1" si="172"/>
        <v>197.28</v>
      </c>
      <c r="AO357" s="593">
        <f t="shared" ca="1" si="172"/>
        <v>197.28</v>
      </c>
      <c r="AP357" s="593">
        <f t="shared" ca="1" si="172"/>
        <v>197.28</v>
      </c>
    </row>
    <row r="358" spans="1:42" s="594" customFormat="1" ht="11.25" outlineLevel="1" x14ac:dyDescent="0.2">
      <c r="A358" s="590"/>
      <c r="B358" s="591" t="str">
        <f>IF(D358&lt;&gt;"",
IF(ISERROR(MATCH(D358,'Ist Vorjahr Monat 01'!A:A,0))=FALSE,INDEX('Ist Vorjahr Monat 01'!B:B,MATCH(D358,'Ist Vorjahr Monat 01'!A:A,0)),
IF(ISERROR(MATCH(D358,'Ist Vorjahr Monat 02'!A:A,0))=FALSE,INDEX('Ist Vorjahr Monat 02'!B:B,MATCH(D358,'Ist Vorjahr Monat 02'!A:A,0)),
IF(ISERROR(MATCH(D358,'Ist Vorjahr Monat 03'!A:A,0))=FALSE,INDEX('Ist Vorjahr Monat 03'!B:B,MATCH(D358,'Ist Vorjahr Monat 03'!A:A,0)),
IF(ISERROR(MATCH(D358,'Ist Vorjahr Monat 04'!A:A,0))=FALSE,INDEX('Ist Vorjahr Monat 04'!B:B,MATCH(D358,'Ist Vorjahr Monat 04'!A:A,0)),
IF(ISERROR(MATCH(D358,'Ist Vorjahr Monat 05'!A:A,0))=FALSE,INDEX('Ist Vorjahr Monat 05'!B:B,MATCH(D358,'Ist Vorjahr Monat 05'!A:A,0)),
IF(ISERROR(MATCH(D358,'Ist Vorjahr Monat 06'!A:A,0))=FALSE,INDEX('Ist Vorjahr Monat 06'!B:B,MATCH(D358,'Ist Vorjahr Monat 06'!A:A,0)),
IF(ISERROR(MATCH(D358,'Ist Vorjahr Monat 07'!A:A,0))=FALSE,INDEX('Ist Vorjahr Monat 07'!B:B,MATCH(D358,'Ist Vorjahr Monat 07'!A:A,0)),
IF(ISERROR(MATCH(D358,'Ist Vorjahr Monat 08'!A:A,0))=FALSE,INDEX('Ist Vorjahr Monat 08'!B:B,MATCH(D358,'Ist Vorjahr Monat 08'!A:A,0)),
IF(ISERROR(MATCH(D358,'Ist Vorjahr Monat 09'!A:A,0))=FALSE,INDEX('Ist Vorjahr Monat 09'!B:B,MATCH(D358,'Ist Vorjahr Monat 09'!A:A,0)),
IF(ISERROR(MATCH(D358,'Ist Vorjahr Monat 10'!A:A,0))=FALSE,INDEX('Ist Vorjahr Monat 10'!B:B,MATCH(D358,'Ist Vorjahr Monat 10'!A:A,0)),
IF(ISERROR(MATCH(D358,'Ist Vorjahr Monat 11'!A:A,0))=FALSE,INDEX('Ist Vorjahr Monat 11'!B:B,MATCH(D358,'Ist Vorjahr Monat 11'!A:A,0)),
IF(ISERROR(MATCH(D358,'Ist Vorjahr Monat 12'!A:A,0))=FALSE,INDEX('Ist Vorjahr Monat 12'!B:B,MATCH(D358,'Ist Vorjahr Monat 12'!A:A,0)),
"{Konto unbekannt}"
)))))))))))),"")</f>
        <v>Gewerbesteuer</v>
      </c>
      <c r="C358" s="591"/>
      <c r="D358" s="590">
        <v>4320</v>
      </c>
      <c r="E358" s="592">
        <f t="shared" si="121"/>
        <v>1</v>
      </c>
      <c r="F358" s="590"/>
      <c r="G358" s="593">
        <f ca="1">$E358*(-SUMIF(INDIRECT(G$3),'Struktur Vorjahr'!$D358,INDIRECT(G$4))+SUMIF(INDIRECT(G$3),'Struktur Vorjahr'!$D358,INDIRECT(G$5)))</f>
        <v>0</v>
      </c>
      <c r="H358" s="593">
        <f ca="1">$E358*(-SUMIF(INDIRECT(H$3),'Struktur Vorjahr'!$D358,INDIRECT(H$4))+SUMIF(INDIRECT(H$3),'Struktur Vorjahr'!$D358,INDIRECT(H$5)))</f>
        <v>93</v>
      </c>
      <c r="I358" s="593">
        <f ca="1">$E358*(-SUMIF(INDIRECT(I$3),'Struktur Vorjahr'!$D358,INDIRECT(I$4))+SUMIF(INDIRECT(I$3),'Struktur Vorjahr'!$D358,INDIRECT(I$5)))</f>
        <v>0</v>
      </c>
      <c r="J358" s="593">
        <f ca="1">$E358*(-SUMIF(INDIRECT(J$3),'Struktur Vorjahr'!$D358,INDIRECT(J$4))+SUMIF(INDIRECT(J$3),'Struktur Vorjahr'!$D358,INDIRECT(J$5)))</f>
        <v>0</v>
      </c>
      <c r="K358" s="593">
        <f ca="1">$E358*(-SUMIF(INDIRECT(K$3),'Struktur Vorjahr'!$D358,INDIRECT(K$4))+SUMIF(INDIRECT(K$3),'Struktur Vorjahr'!$D358,INDIRECT(K$5)))</f>
        <v>5416.5</v>
      </c>
      <c r="L358" s="593">
        <f ca="1">$E358*(-SUMIF(INDIRECT(L$3),'Struktur Vorjahr'!$D358,INDIRECT(L$4))+SUMIF(INDIRECT(L$3),'Struktur Vorjahr'!$D358,INDIRECT(L$5)))</f>
        <v>0</v>
      </c>
      <c r="M358" s="593">
        <f ca="1">$E358*(-SUMIF(INDIRECT(M$3),'Struktur Vorjahr'!$D358,INDIRECT(M$4))+SUMIF(INDIRECT(M$3),'Struktur Vorjahr'!$D358,INDIRECT(M$5)))</f>
        <v>0</v>
      </c>
      <c r="N358" s="593">
        <f ca="1">$E358*(-SUMIF(INDIRECT(N$3),'Struktur Vorjahr'!$D358,INDIRECT(N$4))+SUMIF(INDIRECT(N$3),'Struktur Vorjahr'!$D358,INDIRECT(N$5)))</f>
        <v>0</v>
      </c>
      <c r="O358" s="593">
        <f ca="1">$E358*(-SUMIF(INDIRECT(O$3),'Struktur Vorjahr'!$D358,INDIRECT(O$4))+SUMIF(INDIRECT(O$3),'Struktur Vorjahr'!$D358,INDIRECT(O$5)))</f>
        <v>0</v>
      </c>
      <c r="P358" s="593">
        <f ca="1">$E358*(-SUMIF(INDIRECT(P$3),'Struktur Vorjahr'!$D358,INDIRECT(P$4))+SUMIF(INDIRECT(P$3),'Struktur Vorjahr'!$D358,INDIRECT(P$5)))</f>
        <v>-5509.5</v>
      </c>
      <c r="Q358" s="593">
        <f ca="1">$E358*(-SUMIF(INDIRECT(Q$3),'Struktur Vorjahr'!$D358,INDIRECT(Q$4))+SUMIF(INDIRECT(Q$3),'Struktur Vorjahr'!$D358,INDIRECT(Q$5)))</f>
        <v>0</v>
      </c>
      <c r="R358" s="593">
        <f ca="1">$E358*(-SUMIF(INDIRECT(R$3),'Struktur Vorjahr'!$D358,INDIRECT(R$4))+SUMIF(INDIRECT(R$3),'Struktur Vorjahr'!$D358,INDIRECT(R$5)))</f>
        <v>0</v>
      </c>
      <c r="S358" s="593">
        <f ca="1">$E358*(-SUMIF(INDIRECT(S$3),'Struktur Vorjahr'!$D358,INDIRECT(S$4))+SUMIF(INDIRECT(S$3),'Struktur Vorjahr'!$D358,INDIRECT(S$5)))</f>
        <v>0</v>
      </c>
      <c r="T358" s="593">
        <f ca="1">$E358*(-SUMIF(INDIRECT(T$3),'Struktur Vorjahr'!$D358,INDIRECT(T$4))+SUMIF(INDIRECT(T$3),'Struktur Vorjahr'!$D358,INDIRECT(T$5)))</f>
        <v>93</v>
      </c>
      <c r="U358" s="593">
        <f ca="1">$E358*(-SUMIF(INDIRECT(U$3),'Struktur Vorjahr'!$D358,INDIRECT(U$4))+SUMIF(INDIRECT(U$3),'Struktur Vorjahr'!$D358,INDIRECT(U$5)))</f>
        <v>93</v>
      </c>
      <c r="V358" s="593">
        <f ca="1">$E358*(-SUMIF(INDIRECT(V$3),'Struktur Vorjahr'!$D358,INDIRECT(V$4))+SUMIF(INDIRECT(V$3),'Struktur Vorjahr'!$D358,INDIRECT(V$5)))</f>
        <v>93</v>
      </c>
      <c r="W358" s="593">
        <f ca="1">$E358*(-SUMIF(INDIRECT(W$3),'Struktur Vorjahr'!$D358,INDIRECT(W$4))+SUMIF(INDIRECT(W$3),'Struktur Vorjahr'!$D358,INDIRECT(W$5)))</f>
        <v>5509.5</v>
      </c>
      <c r="X358" s="593">
        <f ca="1">$E358*(-SUMIF(INDIRECT(X$3),'Struktur Vorjahr'!$D358,INDIRECT(X$4))+SUMIF(INDIRECT(X$3),'Struktur Vorjahr'!$D358,INDIRECT(X$5)))</f>
        <v>5509.5</v>
      </c>
      <c r="Y358" s="593">
        <f ca="1">$E358*(-SUMIF(INDIRECT(Y$3),'Struktur Vorjahr'!$D358,INDIRECT(Y$4))+SUMIF(INDIRECT(Y$3),'Struktur Vorjahr'!$D358,INDIRECT(Y$5)))</f>
        <v>5509.5</v>
      </c>
      <c r="Z358" s="593">
        <f ca="1">$E358*(-SUMIF(INDIRECT(Z$3),'Struktur Vorjahr'!$D358,INDIRECT(Z$4))+SUMIF(INDIRECT(Z$3),'Struktur Vorjahr'!$D358,INDIRECT(Z$5)))</f>
        <v>5509.5</v>
      </c>
      <c r="AA358" s="593">
        <f ca="1">$E358*(-SUMIF(INDIRECT(AA$3),'Struktur Vorjahr'!$D358,INDIRECT(AA$4))+SUMIF(INDIRECT(AA$3),'Struktur Vorjahr'!$D358,INDIRECT(AA$5)))</f>
        <v>5509.5</v>
      </c>
      <c r="AB358" s="593">
        <f ca="1">$E358*(-SUMIF(INDIRECT(AB$3),'Struktur Vorjahr'!$D358,INDIRECT(AB$4))+SUMIF(INDIRECT(AB$3),'Struktur Vorjahr'!$D358,INDIRECT(AB$5)))</f>
        <v>0</v>
      </c>
      <c r="AC358" s="593">
        <f ca="1">$E358*(-SUMIF(INDIRECT(AC$3),'Struktur Vorjahr'!$D358,INDIRECT(AC$4))+SUMIF(INDIRECT(AC$3),'Struktur Vorjahr'!$D358,INDIRECT(AC$5)))</f>
        <v>0</v>
      </c>
      <c r="AD358" s="593">
        <f ca="1">$E358*(-SUMIF(INDIRECT(AD$3),'Struktur Vorjahr'!$D358,INDIRECT(AD$4))+SUMIF(INDIRECT(AD$3),'Struktur Vorjahr'!$D358,INDIRECT(AD$5)))</f>
        <v>0</v>
      </c>
      <c r="AE358" s="593">
        <f t="shared" ca="1" si="171"/>
        <v>0</v>
      </c>
      <c r="AF358" s="593">
        <f t="shared" ca="1" si="172"/>
        <v>93</v>
      </c>
      <c r="AG358" s="593">
        <f t="shared" ca="1" si="172"/>
        <v>93</v>
      </c>
      <c r="AH358" s="593">
        <f t="shared" ca="1" si="172"/>
        <v>93</v>
      </c>
      <c r="AI358" s="593">
        <f t="shared" ca="1" si="172"/>
        <v>5509.5</v>
      </c>
      <c r="AJ358" s="593">
        <f t="shared" ca="1" si="172"/>
        <v>5509.5</v>
      </c>
      <c r="AK358" s="593">
        <f t="shared" ca="1" si="172"/>
        <v>5509.5</v>
      </c>
      <c r="AL358" s="593">
        <f t="shared" ca="1" si="172"/>
        <v>5509.5</v>
      </c>
      <c r="AM358" s="593">
        <f t="shared" ca="1" si="172"/>
        <v>5509.5</v>
      </c>
      <c r="AN358" s="593">
        <f t="shared" ca="1" si="172"/>
        <v>0</v>
      </c>
      <c r="AO358" s="593">
        <f t="shared" ca="1" si="172"/>
        <v>0</v>
      </c>
      <c r="AP358" s="593">
        <f t="shared" ca="1" si="172"/>
        <v>0</v>
      </c>
    </row>
    <row r="359" spans="1:42" s="594" customFormat="1" ht="11.25" outlineLevel="1" x14ac:dyDescent="0.2">
      <c r="A359" s="590"/>
      <c r="B359" s="591" t="str">
        <f>IF(D359&lt;&gt;"",
IF(ISERROR(MATCH(D359,'Ist Vorjahr Monat 01'!A:A,0))=FALSE,INDEX('Ist Vorjahr Monat 01'!B:B,MATCH(D359,'Ist Vorjahr Monat 01'!A:A,0)),
IF(ISERROR(MATCH(D359,'Ist Vorjahr Monat 02'!A:A,0))=FALSE,INDEX('Ist Vorjahr Monat 02'!B:B,MATCH(D359,'Ist Vorjahr Monat 02'!A:A,0)),
IF(ISERROR(MATCH(D359,'Ist Vorjahr Monat 03'!A:A,0))=FALSE,INDEX('Ist Vorjahr Monat 03'!B:B,MATCH(D359,'Ist Vorjahr Monat 03'!A:A,0)),
IF(ISERROR(MATCH(D359,'Ist Vorjahr Monat 04'!A:A,0))=FALSE,INDEX('Ist Vorjahr Monat 04'!B:B,MATCH(D359,'Ist Vorjahr Monat 04'!A:A,0)),
IF(ISERROR(MATCH(D359,'Ist Vorjahr Monat 05'!A:A,0))=FALSE,INDEX('Ist Vorjahr Monat 05'!B:B,MATCH(D359,'Ist Vorjahr Monat 05'!A:A,0)),
IF(ISERROR(MATCH(D359,'Ist Vorjahr Monat 06'!A:A,0))=FALSE,INDEX('Ist Vorjahr Monat 06'!B:B,MATCH(D359,'Ist Vorjahr Monat 06'!A:A,0)),
IF(ISERROR(MATCH(D359,'Ist Vorjahr Monat 07'!A:A,0))=FALSE,INDEX('Ist Vorjahr Monat 07'!B:B,MATCH(D359,'Ist Vorjahr Monat 07'!A:A,0)),
IF(ISERROR(MATCH(D359,'Ist Vorjahr Monat 08'!A:A,0))=FALSE,INDEX('Ist Vorjahr Monat 08'!B:B,MATCH(D359,'Ist Vorjahr Monat 08'!A:A,0)),
IF(ISERROR(MATCH(D359,'Ist Vorjahr Monat 09'!A:A,0))=FALSE,INDEX('Ist Vorjahr Monat 09'!B:B,MATCH(D359,'Ist Vorjahr Monat 09'!A:A,0)),
IF(ISERROR(MATCH(D359,'Ist Vorjahr Monat 10'!A:A,0))=FALSE,INDEX('Ist Vorjahr Monat 10'!B:B,MATCH(D359,'Ist Vorjahr Monat 10'!A:A,0)),
IF(ISERROR(MATCH(D359,'Ist Vorjahr Monat 11'!A:A,0))=FALSE,INDEX('Ist Vorjahr Monat 11'!B:B,MATCH(D359,'Ist Vorjahr Monat 11'!A:A,0)),
IF(ISERROR(MATCH(D359,'Ist Vorjahr Monat 12'!A:A,0))=FALSE,INDEX('Ist Vorjahr Monat 12'!B:B,MATCH(D359,'Ist Vorjahr Monat 12'!A:A,0)),
"{Konto unbekannt}"
)))))))))))),"")</f>
        <v/>
      </c>
      <c r="C359" s="591"/>
      <c r="D359" s="590"/>
      <c r="E359" s="592">
        <f t="shared" si="121"/>
        <v>1</v>
      </c>
      <c r="F359" s="590"/>
      <c r="G359" s="593">
        <f ca="1">$E359*(-SUMIF(INDIRECT(G$3),'Struktur Vorjahr'!$D359,INDIRECT(G$4))+SUMIF(INDIRECT(G$3),'Struktur Vorjahr'!$D359,INDIRECT(G$5)))</f>
        <v>0</v>
      </c>
      <c r="H359" s="593">
        <f ca="1">$E359*(-SUMIF(INDIRECT(H$3),'Struktur Vorjahr'!$D359,INDIRECT(H$4))+SUMIF(INDIRECT(H$3),'Struktur Vorjahr'!$D359,INDIRECT(H$5)))</f>
        <v>0</v>
      </c>
      <c r="I359" s="593">
        <f ca="1">$E359*(-SUMIF(INDIRECT(I$3),'Struktur Vorjahr'!$D359,INDIRECT(I$4))+SUMIF(INDIRECT(I$3),'Struktur Vorjahr'!$D359,INDIRECT(I$5)))</f>
        <v>0</v>
      </c>
      <c r="J359" s="593">
        <f ca="1">$E359*(-SUMIF(INDIRECT(J$3),'Struktur Vorjahr'!$D359,INDIRECT(J$4))+SUMIF(INDIRECT(J$3),'Struktur Vorjahr'!$D359,INDIRECT(J$5)))</f>
        <v>0</v>
      </c>
      <c r="K359" s="593">
        <f ca="1">$E359*(-SUMIF(INDIRECT(K$3),'Struktur Vorjahr'!$D359,INDIRECT(K$4))+SUMIF(INDIRECT(K$3),'Struktur Vorjahr'!$D359,INDIRECT(K$5)))</f>
        <v>0</v>
      </c>
      <c r="L359" s="593">
        <f ca="1">$E359*(-SUMIF(INDIRECT(L$3),'Struktur Vorjahr'!$D359,INDIRECT(L$4))+SUMIF(INDIRECT(L$3),'Struktur Vorjahr'!$D359,INDIRECT(L$5)))</f>
        <v>0</v>
      </c>
      <c r="M359" s="593">
        <f ca="1">$E359*(-SUMIF(INDIRECT(M$3),'Struktur Vorjahr'!$D359,INDIRECT(M$4))+SUMIF(INDIRECT(M$3),'Struktur Vorjahr'!$D359,INDIRECT(M$5)))</f>
        <v>0</v>
      </c>
      <c r="N359" s="593">
        <f ca="1">$E359*(-SUMIF(INDIRECT(N$3),'Struktur Vorjahr'!$D359,INDIRECT(N$4))+SUMIF(INDIRECT(N$3),'Struktur Vorjahr'!$D359,INDIRECT(N$5)))</f>
        <v>0</v>
      </c>
      <c r="O359" s="593">
        <f ca="1">$E359*(-SUMIF(INDIRECT(O$3),'Struktur Vorjahr'!$D359,INDIRECT(O$4))+SUMIF(INDIRECT(O$3),'Struktur Vorjahr'!$D359,INDIRECT(O$5)))</f>
        <v>0</v>
      </c>
      <c r="P359" s="593">
        <f ca="1">$E359*(-SUMIF(INDIRECT(P$3),'Struktur Vorjahr'!$D359,INDIRECT(P$4))+SUMIF(INDIRECT(P$3),'Struktur Vorjahr'!$D359,INDIRECT(P$5)))</f>
        <v>0</v>
      </c>
      <c r="Q359" s="593">
        <f ca="1">$E359*(-SUMIF(INDIRECT(Q$3),'Struktur Vorjahr'!$D359,INDIRECT(Q$4))+SUMIF(INDIRECT(Q$3),'Struktur Vorjahr'!$D359,INDIRECT(Q$5)))</f>
        <v>0</v>
      </c>
      <c r="R359" s="593">
        <f ca="1">$E359*(-SUMIF(INDIRECT(R$3),'Struktur Vorjahr'!$D359,INDIRECT(R$4))+SUMIF(INDIRECT(R$3),'Struktur Vorjahr'!$D359,INDIRECT(R$5)))</f>
        <v>0</v>
      </c>
      <c r="S359" s="593">
        <f ca="1">$E359*(-SUMIF(INDIRECT(S$3),'Struktur Vorjahr'!$D359,INDIRECT(S$4))+SUMIF(INDIRECT(S$3),'Struktur Vorjahr'!$D359,INDIRECT(S$5)))</f>
        <v>0</v>
      </c>
      <c r="T359" s="593">
        <f ca="1">$E359*(-SUMIF(INDIRECT(T$3),'Struktur Vorjahr'!$D359,INDIRECT(T$4))+SUMIF(INDIRECT(T$3),'Struktur Vorjahr'!$D359,INDIRECT(T$5)))</f>
        <v>0</v>
      </c>
      <c r="U359" s="593">
        <f ca="1">$E359*(-SUMIF(INDIRECT(U$3),'Struktur Vorjahr'!$D359,INDIRECT(U$4))+SUMIF(INDIRECT(U$3),'Struktur Vorjahr'!$D359,INDIRECT(U$5)))</f>
        <v>0</v>
      </c>
      <c r="V359" s="593">
        <f ca="1">$E359*(-SUMIF(INDIRECT(V$3),'Struktur Vorjahr'!$D359,INDIRECT(V$4))+SUMIF(INDIRECT(V$3),'Struktur Vorjahr'!$D359,INDIRECT(V$5)))</f>
        <v>0</v>
      </c>
      <c r="W359" s="593">
        <f ca="1">$E359*(-SUMIF(INDIRECT(W$3),'Struktur Vorjahr'!$D359,INDIRECT(W$4))+SUMIF(INDIRECT(W$3),'Struktur Vorjahr'!$D359,INDIRECT(W$5)))</f>
        <v>0</v>
      </c>
      <c r="X359" s="593">
        <f ca="1">$E359*(-SUMIF(INDIRECT(X$3),'Struktur Vorjahr'!$D359,INDIRECT(X$4))+SUMIF(INDIRECT(X$3),'Struktur Vorjahr'!$D359,INDIRECT(X$5)))</f>
        <v>0</v>
      </c>
      <c r="Y359" s="593">
        <f ca="1">$E359*(-SUMIF(INDIRECT(Y$3),'Struktur Vorjahr'!$D359,INDIRECT(Y$4))+SUMIF(INDIRECT(Y$3),'Struktur Vorjahr'!$D359,INDIRECT(Y$5)))</f>
        <v>0</v>
      </c>
      <c r="Z359" s="593">
        <f ca="1">$E359*(-SUMIF(INDIRECT(Z$3),'Struktur Vorjahr'!$D359,INDIRECT(Z$4))+SUMIF(INDIRECT(Z$3),'Struktur Vorjahr'!$D359,INDIRECT(Z$5)))</f>
        <v>0</v>
      </c>
      <c r="AA359" s="593">
        <f ca="1">$E359*(-SUMIF(INDIRECT(AA$3),'Struktur Vorjahr'!$D359,INDIRECT(AA$4))+SUMIF(INDIRECT(AA$3),'Struktur Vorjahr'!$D359,INDIRECT(AA$5)))</f>
        <v>0</v>
      </c>
      <c r="AB359" s="593">
        <f ca="1">$E359*(-SUMIF(INDIRECT(AB$3),'Struktur Vorjahr'!$D359,INDIRECT(AB$4))+SUMIF(INDIRECT(AB$3),'Struktur Vorjahr'!$D359,INDIRECT(AB$5)))</f>
        <v>0</v>
      </c>
      <c r="AC359" s="593">
        <f ca="1">$E359*(-SUMIF(INDIRECT(AC$3),'Struktur Vorjahr'!$D359,INDIRECT(AC$4))+SUMIF(INDIRECT(AC$3),'Struktur Vorjahr'!$D359,INDIRECT(AC$5)))</f>
        <v>0</v>
      </c>
      <c r="AD359" s="593">
        <f ca="1">$E359*(-SUMIF(INDIRECT(AD$3),'Struktur Vorjahr'!$D359,INDIRECT(AD$4))+SUMIF(INDIRECT(AD$3),'Struktur Vorjahr'!$D359,INDIRECT(AD$5)))</f>
        <v>0</v>
      </c>
      <c r="AE359" s="593">
        <f t="shared" ca="1" si="171"/>
        <v>0</v>
      </c>
      <c r="AF359" s="593">
        <f t="shared" ca="1" si="172"/>
        <v>0</v>
      </c>
      <c r="AG359" s="593">
        <f t="shared" ca="1" si="172"/>
        <v>0</v>
      </c>
      <c r="AH359" s="593">
        <f t="shared" ca="1" si="172"/>
        <v>0</v>
      </c>
      <c r="AI359" s="593">
        <f t="shared" ca="1" si="172"/>
        <v>0</v>
      </c>
      <c r="AJ359" s="593">
        <f t="shared" ca="1" si="172"/>
        <v>0</v>
      </c>
      <c r="AK359" s="593">
        <f t="shared" ca="1" si="172"/>
        <v>0</v>
      </c>
      <c r="AL359" s="593">
        <f t="shared" ca="1" si="172"/>
        <v>0</v>
      </c>
      <c r="AM359" s="593">
        <f t="shared" ca="1" si="172"/>
        <v>0</v>
      </c>
      <c r="AN359" s="593">
        <f t="shared" ca="1" si="172"/>
        <v>0</v>
      </c>
      <c r="AO359" s="593">
        <f t="shared" ca="1" si="172"/>
        <v>0</v>
      </c>
      <c r="AP359" s="593">
        <f t="shared" ca="1" si="172"/>
        <v>0</v>
      </c>
    </row>
    <row r="360" spans="1:42" s="594" customFormat="1" ht="11.25" outlineLevel="1" x14ac:dyDescent="0.2">
      <c r="A360" s="590"/>
      <c r="B360" s="591" t="str">
        <f>IF(D360&lt;&gt;"",
IF(ISERROR(MATCH(D360,'Ist Vorjahr Monat 01'!A:A,0))=FALSE,INDEX('Ist Vorjahr Monat 01'!B:B,MATCH(D360,'Ist Vorjahr Monat 01'!A:A,0)),
IF(ISERROR(MATCH(D360,'Ist Vorjahr Monat 02'!A:A,0))=FALSE,INDEX('Ist Vorjahr Monat 02'!B:B,MATCH(D360,'Ist Vorjahr Monat 02'!A:A,0)),
IF(ISERROR(MATCH(D360,'Ist Vorjahr Monat 03'!A:A,0))=FALSE,INDEX('Ist Vorjahr Monat 03'!B:B,MATCH(D360,'Ist Vorjahr Monat 03'!A:A,0)),
IF(ISERROR(MATCH(D360,'Ist Vorjahr Monat 04'!A:A,0))=FALSE,INDEX('Ist Vorjahr Monat 04'!B:B,MATCH(D360,'Ist Vorjahr Monat 04'!A:A,0)),
IF(ISERROR(MATCH(D360,'Ist Vorjahr Monat 05'!A:A,0))=FALSE,INDEX('Ist Vorjahr Monat 05'!B:B,MATCH(D360,'Ist Vorjahr Monat 05'!A:A,0)),
IF(ISERROR(MATCH(D360,'Ist Vorjahr Monat 06'!A:A,0))=FALSE,INDEX('Ist Vorjahr Monat 06'!B:B,MATCH(D360,'Ist Vorjahr Monat 06'!A:A,0)),
IF(ISERROR(MATCH(D360,'Ist Vorjahr Monat 07'!A:A,0))=FALSE,INDEX('Ist Vorjahr Monat 07'!B:B,MATCH(D360,'Ist Vorjahr Monat 07'!A:A,0)),
IF(ISERROR(MATCH(D360,'Ist Vorjahr Monat 08'!A:A,0))=FALSE,INDEX('Ist Vorjahr Monat 08'!B:B,MATCH(D360,'Ist Vorjahr Monat 08'!A:A,0)),
IF(ISERROR(MATCH(D360,'Ist Vorjahr Monat 09'!A:A,0))=FALSE,INDEX('Ist Vorjahr Monat 09'!B:B,MATCH(D360,'Ist Vorjahr Monat 09'!A:A,0)),
IF(ISERROR(MATCH(D360,'Ist Vorjahr Monat 10'!A:A,0))=FALSE,INDEX('Ist Vorjahr Monat 10'!B:B,MATCH(D360,'Ist Vorjahr Monat 10'!A:A,0)),
IF(ISERROR(MATCH(D360,'Ist Vorjahr Monat 11'!A:A,0))=FALSE,INDEX('Ist Vorjahr Monat 11'!B:B,MATCH(D360,'Ist Vorjahr Monat 11'!A:A,0)),
IF(ISERROR(MATCH(D360,'Ist Vorjahr Monat 12'!A:A,0))=FALSE,INDEX('Ist Vorjahr Monat 12'!B:B,MATCH(D360,'Ist Vorjahr Monat 12'!A:A,0)),
"{Konto unbekannt}"
)))))))))))),"")</f>
        <v/>
      </c>
      <c r="C360" s="591"/>
      <c r="D360" s="590"/>
      <c r="E360" s="592">
        <f>IF(F360="-",-1,1)</f>
        <v>1</v>
      </c>
      <c r="F360" s="590"/>
      <c r="G360" s="593">
        <f ca="1">$E360*(-SUMIF(INDIRECT(G$3),'Struktur Vorjahr'!$D360,INDIRECT(G$4))+SUMIF(INDIRECT(G$3),'Struktur Vorjahr'!$D360,INDIRECT(G$5)))</f>
        <v>0</v>
      </c>
      <c r="H360" s="593">
        <f ca="1">$E360*(-SUMIF(INDIRECT(H$3),'Struktur Vorjahr'!$D360,INDIRECT(H$4))+SUMIF(INDIRECT(H$3),'Struktur Vorjahr'!$D360,INDIRECT(H$5)))</f>
        <v>0</v>
      </c>
      <c r="I360" s="593">
        <f ca="1">$E360*(-SUMIF(INDIRECT(I$3),'Struktur Vorjahr'!$D360,INDIRECT(I$4))+SUMIF(INDIRECT(I$3),'Struktur Vorjahr'!$D360,INDIRECT(I$5)))</f>
        <v>0</v>
      </c>
      <c r="J360" s="593">
        <f ca="1">$E360*(-SUMIF(INDIRECT(J$3),'Struktur Vorjahr'!$D360,INDIRECT(J$4))+SUMIF(INDIRECT(J$3),'Struktur Vorjahr'!$D360,INDIRECT(J$5)))</f>
        <v>0</v>
      </c>
      <c r="K360" s="593">
        <f ca="1">$E360*(-SUMIF(INDIRECT(K$3),'Struktur Vorjahr'!$D360,INDIRECT(K$4))+SUMIF(INDIRECT(K$3),'Struktur Vorjahr'!$D360,INDIRECT(K$5)))</f>
        <v>0</v>
      </c>
      <c r="L360" s="593">
        <f ca="1">$E360*(-SUMIF(INDIRECT(L$3),'Struktur Vorjahr'!$D360,INDIRECT(L$4))+SUMIF(INDIRECT(L$3),'Struktur Vorjahr'!$D360,INDIRECT(L$5)))</f>
        <v>0</v>
      </c>
      <c r="M360" s="593">
        <f ca="1">$E360*(-SUMIF(INDIRECT(M$3),'Struktur Vorjahr'!$D360,INDIRECT(M$4))+SUMIF(INDIRECT(M$3),'Struktur Vorjahr'!$D360,INDIRECT(M$5)))</f>
        <v>0</v>
      </c>
      <c r="N360" s="593">
        <f ca="1">$E360*(-SUMIF(INDIRECT(N$3),'Struktur Vorjahr'!$D360,INDIRECT(N$4))+SUMIF(INDIRECT(N$3),'Struktur Vorjahr'!$D360,INDIRECT(N$5)))</f>
        <v>0</v>
      </c>
      <c r="O360" s="593">
        <f ca="1">$E360*(-SUMIF(INDIRECT(O$3),'Struktur Vorjahr'!$D360,INDIRECT(O$4))+SUMIF(INDIRECT(O$3),'Struktur Vorjahr'!$D360,INDIRECT(O$5)))</f>
        <v>0</v>
      </c>
      <c r="P360" s="593">
        <f ca="1">$E360*(-SUMIF(INDIRECT(P$3),'Struktur Vorjahr'!$D360,INDIRECT(P$4))+SUMIF(INDIRECT(P$3),'Struktur Vorjahr'!$D360,INDIRECT(P$5)))</f>
        <v>0</v>
      </c>
      <c r="Q360" s="593">
        <f ca="1">$E360*(-SUMIF(INDIRECT(Q$3),'Struktur Vorjahr'!$D360,INDIRECT(Q$4))+SUMIF(INDIRECT(Q$3),'Struktur Vorjahr'!$D360,INDIRECT(Q$5)))</f>
        <v>0</v>
      </c>
      <c r="R360" s="593">
        <f ca="1">$E360*(-SUMIF(INDIRECT(R$3),'Struktur Vorjahr'!$D360,INDIRECT(R$4))+SUMIF(INDIRECT(R$3),'Struktur Vorjahr'!$D360,INDIRECT(R$5)))</f>
        <v>0</v>
      </c>
      <c r="S360" s="593">
        <f ca="1">$E360*(-SUMIF(INDIRECT(S$3),'Struktur Vorjahr'!$D360,INDIRECT(S$4))+SUMIF(INDIRECT(S$3),'Struktur Vorjahr'!$D360,INDIRECT(S$5)))</f>
        <v>0</v>
      </c>
      <c r="T360" s="593">
        <f ca="1">$E360*(-SUMIF(INDIRECT(T$3),'Struktur Vorjahr'!$D360,INDIRECT(T$4))+SUMIF(INDIRECT(T$3),'Struktur Vorjahr'!$D360,INDIRECT(T$5)))</f>
        <v>0</v>
      </c>
      <c r="U360" s="593">
        <f ca="1">$E360*(-SUMIF(INDIRECT(U$3),'Struktur Vorjahr'!$D360,INDIRECT(U$4))+SUMIF(INDIRECT(U$3),'Struktur Vorjahr'!$D360,INDIRECT(U$5)))</f>
        <v>0</v>
      </c>
      <c r="V360" s="593">
        <f ca="1">$E360*(-SUMIF(INDIRECT(V$3),'Struktur Vorjahr'!$D360,INDIRECT(V$4))+SUMIF(INDIRECT(V$3),'Struktur Vorjahr'!$D360,INDIRECT(V$5)))</f>
        <v>0</v>
      </c>
      <c r="W360" s="593">
        <f ca="1">$E360*(-SUMIF(INDIRECT(W$3),'Struktur Vorjahr'!$D360,INDIRECT(W$4))+SUMIF(INDIRECT(W$3),'Struktur Vorjahr'!$D360,INDIRECT(W$5)))</f>
        <v>0</v>
      </c>
      <c r="X360" s="593">
        <f ca="1">$E360*(-SUMIF(INDIRECT(X$3),'Struktur Vorjahr'!$D360,INDIRECT(X$4))+SUMIF(INDIRECT(X$3),'Struktur Vorjahr'!$D360,INDIRECT(X$5)))</f>
        <v>0</v>
      </c>
      <c r="Y360" s="593">
        <f ca="1">$E360*(-SUMIF(INDIRECT(Y$3),'Struktur Vorjahr'!$D360,INDIRECT(Y$4))+SUMIF(INDIRECT(Y$3),'Struktur Vorjahr'!$D360,INDIRECT(Y$5)))</f>
        <v>0</v>
      </c>
      <c r="Z360" s="593">
        <f ca="1">$E360*(-SUMIF(INDIRECT(Z$3),'Struktur Vorjahr'!$D360,INDIRECT(Z$4))+SUMIF(INDIRECT(Z$3),'Struktur Vorjahr'!$D360,INDIRECT(Z$5)))</f>
        <v>0</v>
      </c>
      <c r="AA360" s="593">
        <f ca="1">$E360*(-SUMIF(INDIRECT(AA$3),'Struktur Vorjahr'!$D360,INDIRECT(AA$4))+SUMIF(INDIRECT(AA$3),'Struktur Vorjahr'!$D360,INDIRECT(AA$5)))</f>
        <v>0</v>
      </c>
      <c r="AB360" s="593">
        <f ca="1">$E360*(-SUMIF(INDIRECT(AB$3),'Struktur Vorjahr'!$D360,INDIRECT(AB$4))+SUMIF(INDIRECT(AB$3),'Struktur Vorjahr'!$D360,INDIRECT(AB$5)))</f>
        <v>0</v>
      </c>
      <c r="AC360" s="593">
        <f ca="1">$E360*(-SUMIF(INDIRECT(AC$3),'Struktur Vorjahr'!$D360,INDIRECT(AC$4))+SUMIF(INDIRECT(AC$3),'Struktur Vorjahr'!$D360,INDIRECT(AC$5)))</f>
        <v>0</v>
      </c>
      <c r="AD360" s="593">
        <f ca="1">$E360*(-SUMIF(INDIRECT(AD$3),'Struktur Vorjahr'!$D360,INDIRECT(AD$4))+SUMIF(INDIRECT(AD$3),'Struktur Vorjahr'!$D360,INDIRECT(AD$5)))</f>
        <v>0</v>
      </c>
      <c r="AE360" s="593">
        <f t="shared" ca="1" si="171"/>
        <v>0</v>
      </c>
      <c r="AF360" s="593">
        <f t="shared" ca="1" si="172"/>
        <v>0</v>
      </c>
      <c r="AG360" s="593">
        <f t="shared" ca="1" si="172"/>
        <v>0</v>
      </c>
      <c r="AH360" s="593">
        <f t="shared" ca="1" si="172"/>
        <v>0</v>
      </c>
      <c r="AI360" s="593">
        <f t="shared" ca="1" si="172"/>
        <v>0</v>
      </c>
      <c r="AJ360" s="593">
        <f t="shared" ca="1" si="172"/>
        <v>0</v>
      </c>
      <c r="AK360" s="593">
        <f t="shared" ca="1" si="172"/>
        <v>0</v>
      </c>
      <c r="AL360" s="593">
        <f t="shared" ca="1" si="172"/>
        <v>0</v>
      </c>
      <c r="AM360" s="593">
        <f t="shared" ca="1" si="172"/>
        <v>0</v>
      </c>
      <c r="AN360" s="593">
        <f t="shared" ca="1" si="172"/>
        <v>0</v>
      </c>
      <c r="AO360" s="593">
        <f t="shared" ca="1" si="172"/>
        <v>0</v>
      </c>
      <c r="AP360" s="593">
        <f t="shared" ca="1" si="172"/>
        <v>0</v>
      </c>
    </row>
    <row r="361" spans="1:42" s="594" customFormat="1" ht="11.25" outlineLevel="1" x14ac:dyDescent="0.2">
      <c r="A361" s="590"/>
      <c r="B361" s="591" t="str">
        <f>IF(D361&lt;&gt;"",
IF(ISERROR(MATCH(D361,'Ist Vorjahr Monat 01'!A:A,0))=FALSE,INDEX('Ist Vorjahr Monat 01'!B:B,MATCH(D361,'Ist Vorjahr Monat 01'!A:A,0)),
IF(ISERROR(MATCH(D361,'Ist Vorjahr Monat 02'!A:A,0))=FALSE,INDEX('Ist Vorjahr Monat 02'!B:B,MATCH(D361,'Ist Vorjahr Monat 02'!A:A,0)),
IF(ISERROR(MATCH(D361,'Ist Vorjahr Monat 03'!A:A,0))=FALSE,INDEX('Ist Vorjahr Monat 03'!B:B,MATCH(D361,'Ist Vorjahr Monat 03'!A:A,0)),
IF(ISERROR(MATCH(D361,'Ist Vorjahr Monat 04'!A:A,0))=FALSE,INDEX('Ist Vorjahr Monat 04'!B:B,MATCH(D361,'Ist Vorjahr Monat 04'!A:A,0)),
IF(ISERROR(MATCH(D361,'Ist Vorjahr Monat 05'!A:A,0))=FALSE,INDEX('Ist Vorjahr Monat 05'!B:B,MATCH(D361,'Ist Vorjahr Monat 05'!A:A,0)),
IF(ISERROR(MATCH(D361,'Ist Vorjahr Monat 06'!A:A,0))=FALSE,INDEX('Ist Vorjahr Monat 06'!B:B,MATCH(D361,'Ist Vorjahr Monat 06'!A:A,0)),
IF(ISERROR(MATCH(D361,'Ist Vorjahr Monat 07'!A:A,0))=FALSE,INDEX('Ist Vorjahr Monat 07'!B:B,MATCH(D361,'Ist Vorjahr Monat 07'!A:A,0)),
IF(ISERROR(MATCH(D361,'Ist Vorjahr Monat 08'!A:A,0))=FALSE,INDEX('Ist Vorjahr Monat 08'!B:B,MATCH(D361,'Ist Vorjahr Monat 08'!A:A,0)),
IF(ISERROR(MATCH(D361,'Ist Vorjahr Monat 09'!A:A,0))=FALSE,INDEX('Ist Vorjahr Monat 09'!B:B,MATCH(D361,'Ist Vorjahr Monat 09'!A:A,0)),
IF(ISERROR(MATCH(D361,'Ist Vorjahr Monat 10'!A:A,0))=FALSE,INDEX('Ist Vorjahr Monat 10'!B:B,MATCH(D361,'Ist Vorjahr Monat 10'!A:A,0)),
IF(ISERROR(MATCH(D361,'Ist Vorjahr Monat 11'!A:A,0))=FALSE,INDEX('Ist Vorjahr Monat 11'!B:B,MATCH(D361,'Ist Vorjahr Monat 11'!A:A,0)),
IF(ISERROR(MATCH(D361,'Ist Vorjahr Monat 12'!A:A,0))=FALSE,INDEX('Ist Vorjahr Monat 12'!B:B,MATCH(D361,'Ist Vorjahr Monat 12'!A:A,0)),
"{Konto unbekannt}"
)))))))))))),"")</f>
        <v/>
      </c>
      <c r="C361" s="591"/>
      <c r="D361" s="590"/>
      <c r="E361" s="592">
        <f>IF(F361="-",-1,1)</f>
        <v>1</v>
      </c>
      <c r="F361" s="590"/>
      <c r="G361" s="593">
        <f ca="1">$E361*(-SUMIF(INDIRECT(G$3),'Struktur Vorjahr'!$D361,INDIRECT(G$4))+SUMIF(INDIRECT(G$3),'Struktur Vorjahr'!$D361,INDIRECT(G$5)))</f>
        <v>0</v>
      </c>
      <c r="H361" s="593">
        <f ca="1">$E361*(-SUMIF(INDIRECT(H$3),'Struktur Vorjahr'!$D361,INDIRECT(H$4))+SUMIF(INDIRECT(H$3),'Struktur Vorjahr'!$D361,INDIRECT(H$5)))</f>
        <v>0</v>
      </c>
      <c r="I361" s="593">
        <f ca="1">$E361*(-SUMIF(INDIRECT(I$3),'Struktur Vorjahr'!$D361,INDIRECT(I$4))+SUMIF(INDIRECT(I$3),'Struktur Vorjahr'!$D361,INDIRECT(I$5)))</f>
        <v>0</v>
      </c>
      <c r="J361" s="593">
        <f ca="1">$E361*(-SUMIF(INDIRECT(J$3),'Struktur Vorjahr'!$D361,INDIRECT(J$4))+SUMIF(INDIRECT(J$3),'Struktur Vorjahr'!$D361,INDIRECT(J$5)))</f>
        <v>0</v>
      </c>
      <c r="K361" s="593">
        <f ca="1">$E361*(-SUMIF(INDIRECT(K$3),'Struktur Vorjahr'!$D361,INDIRECT(K$4))+SUMIF(INDIRECT(K$3),'Struktur Vorjahr'!$D361,INDIRECT(K$5)))</f>
        <v>0</v>
      </c>
      <c r="L361" s="593">
        <f ca="1">$E361*(-SUMIF(INDIRECT(L$3),'Struktur Vorjahr'!$D361,INDIRECT(L$4))+SUMIF(INDIRECT(L$3),'Struktur Vorjahr'!$D361,INDIRECT(L$5)))</f>
        <v>0</v>
      </c>
      <c r="M361" s="593">
        <f ca="1">$E361*(-SUMIF(INDIRECT(M$3),'Struktur Vorjahr'!$D361,INDIRECT(M$4))+SUMIF(INDIRECT(M$3),'Struktur Vorjahr'!$D361,INDIRECT(M$5)))</f>
        <v>0</v>
      </c>
      <c r="N361" s="593">
        <f ca="1">$E361*(-SUMIF(INDIRECT(N$3),'Struktur Vorjahr'!$D361,INDIRECT(N$4))+SUMIF(INDIRECT(N$3),'Struktur Vorjahr'!$D361,INDIRECT(N$5)))</f>
        <v>0</v>
      </c>
      <c r="O361" s="593">
        <f ca="1">$E361*(-SUMIF(INDIRECT(O$3),'Struktur Vorjahr'!$D361,INDIRECT(O$4))+SUMIF(INDIRECT(O$3),'Struktur Vorjahr'!$D361,INDIRECT(O$5)))</f>
        <v>0</v>
      </c>
      <c r="P361" s="593">
        <f ca="1">$E361*(-SUMIF(INDIRECT(P$3),'Struktur Vorjahr'!$D361,INDIRECT(P$4))+SUMIF(INDIRECT(P$3),'Struktur Vorjahr'!$D361,INDIRECT(P$5)))</f>
        <v>0</v>
      </c>
      <c r="Q361" s="593">
        <f ca="1">$E361*(-SUMIF(INDIRECT(Q$3),'Struktur Vorjahr'!$D361,INDIRECT(Q$4))+SUMIF(INDIRECT(Q$3),'Struktur Vorjahr'!$D361,INDIRECT(Q$5)))</f>
        <v>0</v>
      </c>
      <c r="R361" s="593">
        <f ca="1">$E361*(-SUMIF(INDIRECT(R$3),'Struktur Vorjahr'!$D361,INDIRECT(R$4))+SUMIF(INDIRECT(R$3),'Struktur Vorjahr'!$D361,INDIRECT(R$5)))</f>
        <v>0</v>
      </c>
      <c r="S361" s="593">
        <f ca="1">$E361*(-SUMIF(INDIRECT(S$3),'Struktur Vorjahr'!$D361,INDIRECT(S$4))+SUMIF(INDIRECT(S$3),'Struktur Vorjahr'!$D361,INDIRECT(S$5)))</f>
        <v>0</v>
      </c>
      <c r="T361" s="593">
        <f ca="1">$E361*(-SUMIF(INDIRECT(T$3),'Struktur Vorjahr'!$D361,INDIRECT(T$4))+SUMIF(INDIRECT(T$3),'Struktur Vorjahr'!$D361,INDIRECT(T$5)))</f>
        <v>0</v>
      </c>
      <c r="U361" s="593">
        <f ca="1">$E361*(-SUMIF(INDIRECT(U$3),'Struktur Vorjahr'!$D361,INDIRECT(U$4))+SUMIF(INDIRECT(U$3),'Struktur Vorjahr'!$D361,INDIRECT(U$5)))</f>
        <v>0</v>
      </c>
      <c r="V361" s="593">
        <f ca="1">$E361*(-SUMIF(INDIRECT(V$3),'Struktur Vorjahr'!$D361,INDIRECT(V$4))+SUMIF(INDIRECT(V$3),'Struktur Vorjahr'!$D361,INDIRECT(V$5)))</f>
        <v>0</v>
      </c>
      <c r="W361" s="593">
        <f ca="1">$E361*(-SUMIF(INDIRECT(W$3),'Struktur Vorjahr'!$D361,INDIRECT(W$4))+SUMIF(INDIRECT(W$3),'Struktur Vorjahr'!$D361,INDIRECT(W$5)))</f>
        <v>0</v>
      </c>
      <c r="X361" s="593">
        <f ca="1">$E361*(-SUMIF(INDIRECT(X$3),'Struktur Vorjahr'!$D361,INDIRECT(X$4))+SUMIF(INDIRECT(X$3),'Struktur Vorjahr'!$D361,INDIRECT(X$5)))</f>
        <v>0</v>
      </c>
      <c r="Y361" s="593">
        <f ca="1">$E361*(-SUMIF(INDIRECT(Y$3),'Struktur Vorjahr'!$D361,INDIRECT(Y$4))+SUMIF(INDIRECT(Y$3),'Struktur Vorjahr'!$D361,INDIRECT(Y$5)))</f>
        <v>0</v>
      </c>
      <c r="Z361" s="593">
        <f ca="1">$E361*(-SUMIF(INDIRECT(Z$3),'Struktur Vorjahr'!$D361,INDIRECT(Z$4))+SUMIF(INDIRECT(Z$3),'Struktur Vorjahr'!$D361,INDIRECT(Z$5)))</f>
        <v>0</v>
      </c>
      <c r="AA361" s="593">
        <f ca="1">$E361*(-SUMIF(INDIRECT(AA$3),'Struktur Vorjahr'!$D361,INDIRECT(AA$4))+SUMIF(INDIRECT(AA$3),'Struktur Vorjahr'!$D361,INDIRECT(AA$5)))</f>
        <v>0</v>
      </c>
      <c r="AB361" s="593">
        <f ca="1">$E361*(-SUMIF(INDIRECT(AB$3),'Struktur Vorjahr'!$D361,INDIRECT(AB$4))+SUMIF(INDIRECT(AB$3),'Struktur Vorjahr'!$D361,INDIRECT(AB$5)))</f>
        <v>0</v>
      </c>
      <c r="AC361" s="593">
        <f ca="1">$E361*(-SUMIF(INDIRECT(AC$3),'Struktur Vorjahr'!$D361,INDIRECT(AC$4))+SUMIF(INDIRECT(AC$3),'Struktur Vorjahr'!$D361,INDIRECT(AC$5)))</f>
        <v>0</v>
      </c>
      <c r="AD361" s="593">
        <f ca="1">$E361*(-SUMIF(INDIRECT(AD$3),'Struktur Vorjahr'!$D361,INDIRECT(AD$4))+SUMIF(INDIRECT(AD$3),'Struktur Vorjahr'!$D361,INDIRECT(AD$5)))</f>
        <v>0</v>
      </c>
      <c r="AE361" s="593">
        <f t="shared" ca="1" si="171"/>
        <v>0</v>
      </c>
      <c r="AF361" s="593">
        <f t="shared" ca="1" si="172"/>
        <v>0</v>
      </c>
      <c r="AG361" s="593">
        <f t="shared" ca="1" si="172"/>
        <v>0</v>
      </c>
      <c r="AH361" s="593">
        <f t="shared" ca="1" si="172"/>
        <v>0</v>
      </c>
      <c r="AI361" s="593">
        <f t="shared" ca="1" si="172"/>
        <v>0</v>
      </c>
      <c r="AJ361" s="593">
        <f t="shared" ca="1" si="172"/>
        <v>0</v>
      </c>
      <c r="AK361" s="593">
        <f t="shared" ca="1" si="172"/>
        <v>0</v>
      </c>
      <c r="AL361" s="593">
        <f t="shared" ca="1" si="172"/>
        <v>0</v>
      </c>
      <c r="AM361" s="593">
        <f t="shared" ca="1" si="172"/>
        <v>0</v>
      </c>
      <c r="AN361" s="593">
        <f t="shared" ca="1" si="172"/>
        <v>0</v>
      </c>
      <c r="AO361" s="593">
        <f t="shared" ca="1" si="172"/>
        <v>0</v>
      </c>
      <c r="AP361" s="593">
        <f t="shared" ca="1" si="172"/>
        <v>0</v>
      </c>
    </row>
    <row r="362" spans="1:42" s="594" customFormat="1" ht="11.25" outlineLevel="1" x14ac:dyDescent="0.2">
      <c r="A362" s="590"/>
      <c r="B362" s="591" t="str">
        <f>IF(D362&lt;&gt;"",
IF(ISERROR(MATCH(D362,'Ist Vorjahr Monat 01'!A:A,0))=FALSE,INDEX('Ist Vorjahr Monat 01'!B:B,MATCH(D362,'Ist Vorjahr Monat 01'!A:A,0)),
IF(ISERROR(MATCH(D362,'Ist Vorjahr Monat 02'!A:A,0))=FALSE,INDEX('Ist Vorjahr Monat 02'!B:B,MATCH(D362,'Ist Vorjahr Monat 02'!A:A,0)),
IF(ISERROR(MATCH(D362,'Ist Vorjahr Monat 03'!A:A,0))=FALSE,INDEX('Ist Vorjahr Monat 03'!B:B,MATCH(D362,'Ist Vorjahr Monat 03'!A:A,0)),
IF(ISERROR(MATCH(D362,'Ist Vorjahr Monat 04'!A:A,0))=FALSE,INDEX('Ist Vorjahr Monat 04'!B:B,MATCH(D362,'Ist Vorjahr Monat 04'!A:A,0)),
IF(ISERROR(MATCH(D362,'Ist Vorjahr Monat 05'!A:A,0))=FALSE,INDEX('Ist Vorjahr Monat 05'!B:B,MATCH(D362,'Ist Vorjahr Monat 05'!A:A,0)),
IF(ISERROR(MATCH(D362,'Ist Vorjahr Monat 06'!A:A,0))=FALSE,INDEX('Ist Vorjahr Monat 06'!B:B,MATCH(D362,'Ist Vorjahr Monat 06'!A:A,0)),
IF(ISERROR(MATCH(D362,'Ist Vorjahr Monat 07'!A:A,0))=FALSE,INDEX('Ist Vorjahr Monat 07'!B:B,MATCH(D362,'Ist Vorjahr Monat 07'!A:A,0)),
IF(ISERROR(MATCH(D362,'Ist Vorjahr Monat 08'!A:A,0))=FALSE,INDEX('Ist Vorjahr Monat 08'!B:B,MATCH(D362,'Ist Vorjahr Monat 08'!A:A,0)),
IF(ISERROR(MATCH(D362,'Ist Vorjahr Monat 09'!A:A,0))=FALSE,INDEX('Ist Vorjahr Monat 09'!B:B,MATCH(D362,'Ist Vorjahr Monat 09'!A:A,0)),
IF(ISERROR(MATCH(D362,'Ist Vorjahr Monat 10'!A:A,0))=FALSE,INDEX('Ist Vorjahr Monat 10'!B:B,MATCH(D362,'Ist Vorjahr Monat 10'!A:A,0)),
IF(ISERROR(MATCH(D362,'Ist Vorjahr Monat 11'!A:A,0))=FALSE,INDEX('Ist Vorjahr Monat 11'!B:B,MATCH(D362,'Ist Vorjahr Monat 11'!A:A,0)),
IF(ISERROR(MATCH(D362,'Ist Vorjahr Monat 12'!A:A,0))=FALSE,INDEX('Ist Vorjahr Monat 12'!B:B,MATCH(D362,'Ist Vorjahr Monat 12'!A:A,0)),
"{Konto unbekannt}"
)))))))))))),"")</f>
        <v/>
      </c>
      <c r="C362" s="591"/>
      <c r="D362" s="590"/>
      <c r="E362" s="592">
        <f>IF(F362="-",-1,1)</f>
        <v>1</v>
      </c>
      <c r="F362" s="590"/>
      <c r="G362" s="593">
        <f ca="1">$E362*(-SUMIF(INDIRECT(G$3),'Struktur Vorjahr'!$D362,INDIRECT(G$4))+SUMIF(INDIRECT(G$3),'Struktur Vorjahr'!$D362,INDIRECT(G$5)))</f>
        <v>0</v>
      </c>
      <c r="H362" s="593">
        <f ca="1">$E362*(-SUMIF(INDIRECT(H$3),'Struktur Vorjahr'!$D362,INDIRECT(H$4))+SUMIF(INDIRECT(H$3),'Struktur Vorjahr'!$D362,INDIRECT(H$5)))</f>
        <v>0</v>
      </c>
      <c r="I362" s="593">
        <f ca="1">$E362*(-SUMIF(INDIRECT(I$3),'Struktur Vorjahr'!$D362,INDIRECT(I$4))+SUMIF(INDIRECT(I$3),'Struktur Vorjahr'!$D362,INDIRECT(I$5)))</f>
        <v>0</v>
      </c>
      <c r="J362" s="593">
        <f ca="1">$E362*(-SUMIF(INDIRECT(J$3),'Struktur Vorjahr'!$D362,INDIRECT(J$4))+SUMIF(INDIRECT(J$3),'Struktur Vorjahr'!$D362,INDIRECT(J$5)))</f>
        <v>0</v>
      </c>
      <c r="K362" s="593">
        <f ca="1">$E362*(-SUMIF(INDIRECT(K$3),'Struktur Vorjahr'!$D362,INDIRECT(K$4))+SUMIF(INDIRECT(K$3),'Struktur Vorjahr'!$D362,INDIRECT(K$5)))</f>
        <v>0</v>
      </c>
      <c r="L362" s="593">
        <f ca="1">$E362*(-SUMIF(INDIRECT(L$3),'Struktur Vorjahr'!$D362,INDIRECT(L$4))+SUMIF(INDIRECT(L$3),'Struktur Vorjahr'!$D362,INDIRECT(L$5)))</f>
        <v>0</v>
      </c>
      <c r="M362" s="593">
        <f ca="1">$E362*(-SUMIF(INDIRECT(M$3),'Struktur Vorjahr'!$D362,INDIRECT(M$4))+SUMIF(INDIRECT(M$3),'Struktur Vorjahr'!$D362,INDIRECT(M$5)))</f>
        <v>0</v>
      </c>
      <c r="N362" s="593">
        <f ca="1">$E362*(-SUMIF(INDIRECT(N$3),'Struktur Vorjahr'!$D362,INDIRECT(N$4))+SUMIF(INDIRECT(N$3),'Struktur Vorjahr'!$D362,INDIRECT(N$5)))</f>
        <v>0</v>
      </c>
      <c r="O362" s="593">
        <f ca="1">$E362*(-SUMIF(INDIRECT(O$3),'Struktur Vorjahr'!$D362,INDIRECT(O$4))+SUMIF(INDIRECT(O$3),'Struktur Vorjahr'!$D362,INDIRECT(O$5)))</f>
        <v>0</v>
      </c>
      <c r="P362" s="593">
        <f ca="1">$E362*(-SUMIF(INDIRECT(P$3),'Struktur Vorjahr'!$D362,INDIRECT(P$4))+SUMIF(INDIRECT(P$3),'Struktur Vorjahr'!$D362,INDIRECT(P$5)))</f>
        <v>0</v>
      </c>
      <c r="Q362" s="593">
        <f ca="1">$E362*(-SUMIF(INDIRECT(Q$3),'Struktur Vorjahr'!$D362,INDIRECT(Q$4))+SUMIF(INDIRECT(Q$3),'Struktur Vorjahr'!$D362,INDIRECT(Q$5)))</f>
        <v>0</v>
      </c>
      <c r="R362" s="593">
        <f ca="1">$E362*(-SUMIF(INDIRECT(R$3),'Struktur Vorjahr'!$D362,INDIRECT(R$4))+SUMIF(INDIRECT(R$3),'Struktur Vorjahr'!$D362,INDIRECT(R$5)))</f>
        <v>0</v>
      </c>
      <c r="S362" s="593">
        <f ca="1">$E362*(-SUMIF(INDIRECT(S$3),'Struktur Vorjahr'!$D362,INDIRECT(S$4))+SUMIF(INDIRECT(S$3),'Struktur Vorjahr'!$D362,INDIRECT(S$5)))</f>
        <v>0</v>
      </c>
      <c r="T362" s="593">
        <f ca="1">$E362*(-SUMIF(INDIRECT(T$3),'Struktur Vorjahr'!$D362,INDIRECT(T$4))+SUMIF(INDIRECT(T$3),'Struktur Vorjahr'!$D362,INDIRECT(T$5)))</f>
        <v>0</v>
      </c>
      <c r="U362" s="593">
        <f ca="1">$E362*(-SUMIF(INDIRECT(U$3),'Struktur Vorjahr'!$D362,INDIRECT(U$4))+SUMIF(INDIRECT(U$3),'Struktur Vorjahr'!$D362,INDIRECT(U$5)))</f>
        <v>0</v>
      </c>
      <c r="V362" s="593">
        <f ca="1">$E362*(-SUMIF(INDIRECT(V$3),'Struktur Vorjahr'!$D362,INDIRECT(V$4))+SUMIF(INDIRECT(V$3),'Struktur Vorjahr'!$D362,INDIRECT(V$5)))</f>
        <v>0</v>
      </c>
      <c r="W362" s="593">
        <f ca="1">$E362*(-SUMIF(INDIRECT(W$3),'Struktur Vorjahr'!$D362,INDIRECT(W$4))+SUMIF(INDIRECT(W$3),'Struktur Vorjahr'!$D362,INDIRECT(W$5)))</f>
        <v>0</v>
      </c>
      <c r="X362" s="593">
        <f ca="1">$E362*(-SUMIF(INDIRECT(X$3),'Struktur Vorjahr'!$D362,INDIRECT(X$4))+SUMIF(INDIRECT(X$3),'Struktur Vorjahr'!$D362,INDIRECT(X$5)))</f>
        <v>0</v>
      </c>
      <c r="Y362" s="593">
        <f ca="1">$E362*(-SUMIF(INDIRECT(Y$3),'Struktur Vorjahr'!$D362,INDIRECT(Y$4))+SUMIF(INDIRECT(Y$3),'Struktur Vorjahr'!$D362,INDIRECT(Y$5)))</f>
        <v>0</v>
      </c>
      <c r="Z362" s="593">
        <f ca="1">$E362*(-SUMIF(INDIRECT(Z$3),'Struktur Vorjahr'!$D362,INDIRECT(Z$4))+SUMIF(INDIRECT(Z$3),'Struktur Vorjahr'!$D362,INDIRECT(Z$5)))</f>
        <v>0</v>
      </c>
      <c r="AA362" s="593">
        <f ca="1">$E362*(-SUMIF(INDIRECT(AA$3),'Struktur Vorjahr'!$D362,INDIRECT(AA$4))+SUMIF(INDIRECT(AA$3),'Struktur Vorjahr'!$D362,INDIRECT(AA$5)))</f>
        <v>0</v>
      </c>
      <c r="AB362" s="593">
        <f ca="1">$E362*(-SUMIF(INDIRECT(AB$3),'Struktur Vorjahr'!$D362,INDIRECT(AB$4))+SUMIF(INDIRECT(AB$3),'Struktur Vorjahr'!$D362,INDIRECT(AB$5)))</f>
        <v>0</v>
      </c>
      <c r="AC362" s="593">
        <f ca="1">$E362*(-SUMIF(INDIRECT(AC$3),'Struktur Vorjahr'!$D362,INDIRECT(AC$4))+SUMIF(INDIRECT(AC$3),'Struktur Vorjahr'!$D362,INDIRECT(AC$5)))</f>
        <v>0</v>
      </c>
      <c r="AD362" s="593">
        <f ca="1">$E362*(-SUMIF(INDIRECT(AD$3),'Struktur Vorjahr'!$D362,INDIRECT(AD$4))+SUMIF(INDIRECT(AD$3),'Struktur Vorjahr'!$D362,INDIRECT(AD$5)))</f>
        <v>0</v>
      </c>
      <c r="AE362" s="593">
        <f t="shared" ca="1" si="171"/>
        <v>0</v>
      </c>
      <c r="AF362" s="593">
        <f t="shared" ca="1" si="172"/>
        <v>0</v>
      </c>
      <c r="AG362" s="593">
        <f t="shared" ca="1" si="172"/>
        <v>0</v>
      </c>
      <c r="AH362" s="593">
        <f t="shared" ca="1" si="172"/>
        <v>0</v>
      </c>
      <c r="AI362" s="593">
        <f t="shared" ca="1" si="172"/>
        <v>0</v>
      </c>
      <c r="AJ362" s="593">
        <f t="shared" ca="1" si="172"/>
        <v>0</v>
      </c>
      <c r="AK362" s="593">
        <f t="shared" ca="1" si="172"/>
        <v>0</v>
      </c>
      <c r="AL362" s="593">
        <f t="shared" ca="1" si="172"/>
        <v>0</v>
      </c>
      <c r="AM362" s="593">
        <f t="shared" ca="1" si="172"/>
        <v>0</v>
      </c>
      <c r="AN362" s="593">
        <f t="shared" ca="1" si="172"/>
        <v>0</v>
      </c>
      <c r="AO362" s="593">
        <f t="shared" ca="1" si="172"/>
        <v>0</v>
      </c>
      <c r="AP362" s="593">
        <f t="shared" ca="1" si="172"/>
        <v>0</v>
      </c>
    </row>
    <row r="363" spans="1:42" s="594" customFormat="1" ht="11.25" outlineLevel="1" x14ac:dyDescent="0.2">
      <c r="A363" s="590"/>
      <c r="B363" s="591" t="str">
        <f>IF(D363&lt;&gt;"",
IF(ISERROR(MATCH(D363,'Ist Vorjahr Monat 01'!A:A,0))=FALSE,INDEX('Ist Vorjahr Monat 01'!B:B,MATCH(D363,'Ist Vorjahr Monat 01'!A:A,0)),
IF(ISERROR(MATCH(D363,'Ist Vorjahr Monat 02'!A:A,0))=FALSE,INDEX('Ist Vorjahr Monat 02'!B:B,MATCH(D363,'Ist Vorjahr Monat 02'!A:A,0)),
IF(ISERROR(MATCH(D363,'Ist Vorjahr Monat 03'!A:A,0))=FALSE,INDEX('Ist Vorjahr Monat 03'!B:B,MATCH(D363,'Ist Vorjahr Monat 03'!A:A,0)),
IF(ISERROR(MATCH(D363,'Ist Vorjahr Monat 04'!A:A,0))=FALSE,INDEX('Ist Vorjahr Monat 04'!B:B,MATCH(D363,'Ist Vorjahr Monat 04'!A:A,0)),
IF(ISERROR(MATCH(D363,'Ist Vorjahr Monat 05'!A:A,0))=FALSE,INDEX('Ist Vorjahr Monat 05'!B:B,MATCH(D363,'Ist Vorjahr Monat 05'!A:A,0)),
IF(ISERROR(MATCH(D363,'Ist Vorjahr Monat 06'!A:A,0))=FALSE,INDEX('Ist Vorjahr Monat 06'!B:B,MATCH(D363,'Ist Vorjahr Monat 06'!A:A,0)),
IF(ISERROR(MATCH(D363,'Ist Vorjahr Monat 07'!A:A,0))=FALSE,INDEX('Ist Vorjahr Monat 07'!B:B,MATCH(D363,'Ist Vorjahr Monat 07'!A:A,0)),
IF(ISERROR(MATCH(D363,'Ist Vorjahr Monat 08'!A:A,0))=FALSE,INDEX('Ist Vorjahr Monat 08'!B:B,MATCH(D363,'Ist Vorjahr Monat 08'!A:A,0)),
IF(ISERROR(MATCH(D363,'Ist Vorjahr Monat 09'!A:A,0))=FALSE,INDEX('Ist Vorjahr Monat 09'!B:B,MATCH(D363,'Ist Vorjahr Monat 09'!A:A,0)),
IF(ISERROR(MATCH(D363,'Ist Vorjahr Monat 10'!A:A,0))=FALSE,INDEX('Ist Vorjahr Monat 10'!B:B,MATCH(D363,'Ist Vorjahr Monat 10'!A:A,0)),
IF(ISERROR(MATCH(D363,'Ist Vorjahr Monat 11'!A:A,0))=FALSE,INDEX('Ist Vorjahr Monat 11'!B:B,MATCH(D363,'Ist Vorjahr Monat 11'!A:A,0)),
IF(ISERROR(MATCH(D363,'Ist Vorjahr Monat 12'!A:A,0))=FALSE,INDEX('Ist Vorjahr Monat 12'!B:B,MATCH(D363,'Ist Vorjahr Monat 12'!A:A,0)),
"{Konto unbekannt}"
)))))))))))),"")</f>
        <v/>
      </c>
      <c r="C363" s="591"/>
      <c r="D363" s="590"/>
      <c r="E363" s="592">
        <f t="shared" si="121"/>
        <v>1</v>
      </c>
      <c r="F363" s="590"/>
      <c r="G363" s="593">
        <f ca="1">$E363*(-SUMIF(INDIRECT(G$3),'Struktur Vorjahr'!$D363,INDIRECT(G$4))+SUMIF(INDIRECT(G$3),'Struktur Vorjahr'!$D363,INDIRECT(G$5)))</f>
        <v>0</v>
      </c>
      <c r="H363" s="593">
        <f ca="1">$E363*(-SUMIF(INDIRECT(H$3),'Struktur Vorjahr'!$D363,INDIRECT(H$4))+SUMIF(INDIRECT(H$3),'Struktur Vorjahr'!$D363,INDIRECT(H$5)))</f>
        <v>0</v>
      </c>
      <c r="I363" s="593">
        <f ca="1">$E363*(-SUMIF(INDIRECT(I$3),'Struktur Vorjahr'!$D363,INDIRECT(I$4))+SUMIF(INDIRECT(I$3),'Struktur Vorjahr'!$D363,INDIRECT(I$5)))</f>
        <v>0</v>
      </c>
      <c r="J363" s="593">
        <f ca="1">$E363*(-SUMIF(INDIRECT(J$3),'Struktur Vorjahr'!$D363,INDIRECT(J$4))+SUMIF(INDIRECT(J$3),'Struktur Vorjahr'!$D363,INDIRECT(J$5)))</f>
        <v>0</v>
      </c>
      <c r="K363" s="593">
        <f ca="1">$E363*(-SUMIF(INDIRECT(K$3),'Struktur Vorjahr'!$D363,INDIRECT(K$4))+SUMIF(INDIRECT(K$3),'Struktur Vorjahr'!$D363,INDIRECT(K$5)))</f>
        <v>0</v>
      </c>
      <c r="L363" s="593">
        <f ca="1">$E363*(-SUMIF(INDIRECT(L$3),'Struktur Vorjahr'!$D363,INDIRECT(L$4))+SUMIF(INDIRECT(L$3),'Struktur Vorjahr'!$D363,INDIRECT(L$5)))</f>
        <v>0</v>
      </c>
      <c r="M363" s="593">
        <f ca="1">$E363*(-SUMIF(INDIRECT(M$3),'Struktur Vorjahr'!$D363,INDIRECT(M$4))+SUMIF(INDIRECT(M$3),'Struktur Vorjahr'!$D363,INDIRECT(M$5)))</f>
        <v>0</v>
      </c>
      <c r="N363" s="593">
        <f ca="1">$E363*(-SUMIF(INDIRECT(N$3),'Struktur Vorjahr'!$D363,INDIRECT(N$4))+SUMIF(INDIRECT(N$3),'Struktur Vorjahr'!$D363,INDIRECT(N$5)))</f>
        <v>0</v>
      </c>
      <c r="O363" s="593">
        <f ca="1">$E363*(-SUMIF(INDIRECT(O$3),'Struktur Vorjahr'!$D363,INDIRECT(O$4))+SUMIF(INDIRECT(O$3),'Struktur Vorjahr'!$D363,INDIRECT(O$5)))</f>
        <v>0</v>
      </c>
      <c r="P363" s="593">
        <f ca="1">$E363*(-SUMIF(INDIRECT(P$3),'Struktur Vorjahr'!$D363,INDIRECT(P$4))+SUMIF(INDIRECT(P$3),'Struktur Vorjahr'!$D363,INDIRECT(P$5)))</f>
        <v>0</v>
      </c>
      <c r="Q363" s="593">
        <f ca="1">$E363*(-SUMIF(INDIRECT(Q$3),'Struktur Vorjahr'!$D363,INDIRECT(Q$4))+SUMIF(INDIRECT(Q$3),'Struktur Vorjahr'!$D363,INDIRECT(Q$5)))</f>
        <v>0</v>
      </c>
      <c r="R363" s="593">
        <f ca="1">$E363*(-SUMIF(INDIRECT(R$3),'Struktur Vorjahr'!$D363,INDIRECT(R$4))+SUMIF(INDIRECT(R$3),'Struktur Vorjahr'!$D363,INDIRECT(R$5)))</f>
        <v>0</v>
      </c>
      <c r="S363" s="593">
        <f ca="1">$E363*(-SUMIF(INDIRECT(S$3),'Struktur Vorjahr'!$D363,INDIRECT(S$4))+SUMIF(INDIRECT(S$3),'Struktur Vorjahr'!$D363,INDIRECT(S$5)))</f>
        <v>0</v>
      </c>
      <c r="T363" s="593">
        <f ca="1">$E363*(-SUMIF(INDIRECT(T$3),'Struktur Vorjahr'!$D363,INDIRECT(T$4))+SUMIF(INDIRECT(T$3),'Struktur Vorjahr'!$D363,INDIRECT(T$5)))</f>
        <v>0</v>
      </c>
      <c r="U363" s="593">
        <f ca="1">$E363*(-SUMIF(INDIRECT(U$3),'Struktur Vorjahr'!$D363,INDIRECT(U$4))+SUMIF(INDIRECT(U$3),'Struktur Vorjahr'!$D363,INDIRECT(U$5)))</f>
        <v>0</v>
      </c>
      <c r="V363" s="593">
        <f ca="1">$E363*(-SUMIF(INDIRECT(V$3),'Struktur Vorjahr'!$D363,INDIRECT(V$4))+SUMIF(INDIRECT(V$3),'Struktur Vorjahr'!$D363,INDIRECT(V$5)))</f>
        <v>0</v>
      </c>
      <c r="W363" s="593">
        <f ca="1">$E363*(-SUMIF(INDIRECT(W$3),'Struktur Vorjahr'!$D363,INDIRECT(W$4))+SUMIF(INDIRECT(W$3),'Struktur Vorjahr'!$D363,INDIRECT(W$5)))</f>
        <v>0</v>
      </c>
      <c r="X363" s="593">
        <f ca="1">$E363*(-SUMIF(INDIRECT(X$3),'Struktur Vorjahr'!$D363,INDIRECT(X$4))+SUMIF(INDIRECT(X$3),'Struktur Vorjahr'!$D363,INDIRECT(X$5)))</f>
        <v>0</v>
      </c>
      <c r="Y363" s="593">
        <f ca="1">$E363*(-SUMIF(INDIRECT(Y$3),'Struktur Vorjahr'!$D363,INDIRECT(Y$4))+SUMIF(INDIRECT(Y$3),'Struktur Vorjahr'!$D363,INDIRECT(Y$5)))</f>
        <v>0</v>
      </c>
      <c r="Z363" s="593">
        <f ca="1">$E363*(-SUMIF(INDIRECT(Z$3),'Struktur Vorjahr'!$D363,INDIRECT(Z$4))+SUMIF(INDIRECT(Z$3),'Struktur Vorjahr'!$D363,INDIRECT(Z$5)))</f>
        <v>0</v>
      </c>
      <c r="AA363" s="593">
        <f ca="1">$E363*(-SUMIF(INDIRECT(AA$3),'Struktur Vorjahr'!$D363,INDIRECT(AA$4))+SUMIF(INDIRECT(AA$3),'Struktur Vorjahr'!$D363,INDIRECT(AA$5)))</f>
        <v>0</v>
      </c>
      <c r="AB363" s="593">
        <f ca="1">$E363*(-SUMIF(INDIRECT(AB$3),'Struktur Vorjahr'!$D363,INDIRECT(AB$4))+SUMIF(INDIRECT(AB$3),'Struktur Vorjahr'!$D363,INDIRECT(AB$5)))</f>
        <v>0</v>
      </c>
      <c r="AC363" s="593">
        <f ca="1">$E363*(-SUMIF(INDIRECT(AC$3),'Struktur Vorjahr'!$D363,INDIRECT(AC$4))+SUMIF(INDIRECT(AC$3),'Struktur Vorjahr'!$D363,INDIRECT(AC$5)))</f>
        <v>0</v>
      </c>
      <c r="AD363" s="593">
        <f ca="1">$E363*(-SUMIF(INDIRECT(AD$3),'Struktur Vorjahr'!$D363,INDIRECT(AD$4))+SUMIF(INDIRECT(AD$3),'Struktur Vorjahr'!$D363,INDIRECT(AD$5)))</f>
        <v>0</v>
      </c>
      <c r="AE363" s="593">
        <f t="shared" ca="1" si="171"/>
        <v>0</v>
      </c>
      <c r="AF363" s="593">
        <f t="shared" ca="1" si="172"/>
        <v>0</v>
      </c>
      <c r="AG363" s="593">
        <f t="shared" ca="1" si="172"/>
        <v>0</v>
      </c>
      <c r="AH363" s="593">
        <f t="shared" ca="1" si="172"/>
        <v>0</v>
      </c>
      <c r="AI363" s="593">
        <f t="shared" ca="1" si="172"/>
        <v>0</v>
      </c>
      <c r="AJ363" s="593">
        <f t="shared" ca="1" si="172"/>
        <v>0</v>
      </c>
      <c r="AK363" s="593">
        <f t="shared" ca="1" si="172"/>
        <v>0</v>
      </c>
      <c r="AL363" s="593">
        <f t="shared" ca="1" si="172"/>
        <v>0</v>
      </c>
      <c r="AM363" s="593">
        <f t="shared" ca="1" si="172"/>
        <v>0</v>
      </c>
      <c r="AN363" s="593">
        <f t="shared" ca="1" si="172"/>
        <v>0</v>
      </c>
      <c r="AO363" s="593">
        <f t="shared" ca="1" si="172"/>
        <v>0</v>
      </c>
      <c r="AP363" s="593">
        <f t="shared" ca="1" si="172"/>
        <v>0</v>
      </c>
    </row>
    <row r="364" spans="1:42" s="594" customFormat="1" ht="11.25" outlineLevel="1" x14ac:dyDescent="0.2">
      <c r="A364" s="590"/>
      <c r="B364" s="591" t="str">
        <f>IF(D364&lt;&gt;"",
IF(ISERROR(MATCH(D364,'Ist Vorjahr Monat 01'!A:A,0))=FALSE,INDEX('Ist Vorjahr Monat 01'!B:B,MATCH(D364,'Ist Vorjahr Monat 01'!A:A,0)),
IF(ISERROR(MATCH(D364,'Ist Vorjahr Monat 02'!A:A,0))=FALSE,INDEX('Ist Vorjahr Monat 02'!B:B,MATCH(D364,'Ist Vorjahr Monat 02'!A:A,0)),
IF(ISERROR(MATCH(D364,'Ist Vorjahr Monat 03'!A:A,0))=FALSE,INDEX('Ist Vorjahr Monat 03'!B:B,MATCH(D364,'Ist Vorjahr Monat 03'!A:A,0)),
IF(ISERROR(MATCH(D364,'Ist Vorjahr Monat 04'!A:A,0))=FALSE,INDEX('Ist Vorjahr Monat 04'!B:B,MATCH(D364,'Ist Vorjahr Monat 04'!A:A,0)),
IF(ISERROR(MATCH(D364,'Ist Vorjahr Monat 05'!A:A,0))=FALSE,INDEX('Ist Vorjahr Monat 05'!B:B,MATCH(D364,'Ist Vorjahr Monat 05'!A:A,0)),
IF(ISERROR(MATCH(D364,'Ist Vorjahr Monat 06'!A:A,0))=FALSE,INDEX('Ist Vorjahr Monat 06'!B:B,MATCH(D364,'Ist Vorjahr Monat 06'!A:A,0)),
IF(ISERROR(MATCH(D364,'Ist Vorjahr Monat 07'!A:A,0))=FALSE,INDEX('Ist Vorjahr Monat 07'!B:B,MATCH(D364,'Ist Vorjahr Monat 07'!A:A,0)),
IF(ISERROR(MATCH(D364,'Ist Vorjahr Monat 08'!A:A,0))=FALSE,INDEX('Ist Vorjahr Monat 08'!B:B,MATCH(D364,'Ist Vorjahr Monat 08'!A:A,0)),
IF(ISERROR(MATCH(D364,'Ist Vorjahr Monat 09'!A:A,0))=FALSE,INDEX('Ist Vorjahr Monat 09'!B:B,MATCH(D364,'Ist Vorjahr Monat 09'!A:A,0)),
IF(ISERROR(MATCH(D364,'Ist Vorjahr Monat 10'!A:A,0))=FALSE,INDEX('Ist Vorjahr Monat 10'!B:B,MATCH(D364,'Ist Vorjahr Monat 10'!A:A,0)),
IF(ISERROR(MATCH(D364,'Ist Vorjahr Monat 11'!A:A,0))=FALSE,INDEX('Ist Vorjahr Monat 11'!B:B,MATCH(D364,'Ist Vorjahr Monat 11'!A:A,0)),
IF(ISERROR(MATCH(D364,'Ist Vorjahr Monat 12'!A:A,0))=FALSE,INDEX('Ist Vorjahr Monat 12'!B:B,MATCH(D364,'Ist Vorjahr Monat 12'!A:A,0)),
"{Konto unbekannt}"
)))))))))))),"")</f>
        <v/>
      </c>
      <c r="C364" s="591"/>
      <c r="D364" s="590"/>
      <c r="E364" s="592">
        <f>IF(F364="-",-1,1)</f>
        <v>1</v>
      </c>
      <c r="F364" s="590"/>
      <c r="G364" s="593">
        <f ca="1">$E364*(-SUMIF(INDIRECT(G$3),'Struktur Vorjahr'!$D364,INDIRECT(G$4))+SUMIF(INDIRECT(G$3),'Struktur Vorjahr'!$D364,INDIRECT(G$5)))</f>
        <v>0</v>
      </c>
      <c r="H364" s="593">
        <f ca="1">$E364*(-SUMIF(INDIRECT(H$3),'Struktur Vorjahr'!$D364,INDIRECT(H$4))+SUMIF(INDIRECT(H$3),'Struktur Vorjahr'!$D364,INDIRECT(H$5)))</f>
        <v>0</v>
      </c>
      <c r="I364" s="593">
        <f ca="1">$E364*(-SUMIF(INDIRECT(I$3),'Struktur Vorjahr'!$D364,INDIRECT(I$4))+SUMIF(INDIRECT(I$3),'Struktur Vorjahr'!$D364,INDIRECT(I$5)))</f>
        <v>0</v>
      </c>
      <c r="J364" s="593">
        <f ca="1">$E364*(-SUMIF(INDIRECT(J$3),'Struktur Vorjahr'!$D364,INDIRECT(J$4))+SUMIF(INDIRECT(J$3),'Struktur Vorjahr'!$D364,INDIRECT(J$5)))</f>
        <v>0</v>
      </c>
      <c r="K364" s="593">
        <f ca="1">$E364*(-SUMIF(INDIRECT(K$3),'Struktur Vorjahr'!$D364,INDIRECT(K$4))+SUMIF(INDIRECT(K$3),'Struktur Vorjahr'!$D364,INDIRECT(K$5)))</f>
        <v>0</v>
      </c>
      <c r="L364" s="593">
        <f ca="1">$E364*(-SUMIF(INDIRECT(L$3),'Struktur Vorjahr'!$D364,INDIRECT(L$4))+SUMIF(INDIRECT(L$3),'Struktur Vorjahr'!$D364,INDIRECT(L$5)))</f>
        <v>0</v>
      </c>
      <c r="M364" s="593">
        <f ca="1">$E364*(-SUMIF(INDIRECT(M$3),'Struktur Vorjahr'!$D364,INDIRECT(M$4))+SUMIF(INDIRECT(M$3),'Struktur Vorjahr'!$D364,INDIRECT(M$5)))</f>
        <v>0</v>
      </c>
      <c r="N364" s="593">
        <f ca="1">$E364*(-SUMIF(INDIRECT(N$3),'Struktur Vorjahr'!$D364,INDIRECT(N$4))+SUMIF(INDIRECT(N$3),'Struktur Vorjahr'!$D364,INDIRECT(N$5)))</f>
        <v>0</v>
      </c>
      <c r="O364" s="593">
        <f ca="1">$E364*(-SUMIF(INDIRECT(O$3),'Struktur Vorjahr'!$D364,INDIRECT(O$4))+SUMIF(INDIRECT(O$3),'Struktur Vorjahr'!$D364,INDIRECT(O$5)))</f>
        <v>0</v>
      </c>
      <c r="P364" s="593">
        <f ca="1">$E364*(-SUMIF(INDIRECT(P$3),'Struktur Vorjahr'!$D364,INDIRECT(P$4))+SUMIF(INDIRECT(P$3),'Struktur Vorjahr'!$D364,INDIRECT(P$5)))</f>
        <v>0</v>
      </c>
      <c r="Q364" s="593">
        <f ca="1">$E364*(-SUMIF(INDIRECT(Q$3),'Struktur Vorjahr'!$D364,INDIRECT(Q$4))+SUMIF(INDIRECT(Q$3),'Struktur Vorjahr'!$D364,INDIRECT(Q$5)))</f>
        <v>0</v>
      </c>
      <c r="R364" s="593">
        <f ca="1">$E364*(-SUMIF(INDIRECT(R$3),'Struktur Vorjahr'!$D364,INDIRECT(R$4))+SUMIF(INDIRECT(R$3),'Struktur Vorjahr'!$D364,INDIRECT(R$5)))</f>
        <v>0</v>
      </c>
      <c r="S364" s="593">
        <f ca="1">$E364*(-SUMIF(INDIRECT(S$3),'Struktur Vorjahr'!$D364,INDIRECT(S$4))+SUMIF(INDIRECT(S$3),'Struktur Vorjahr'!$D364,INDIRECT(S$5)))</f>
        <v>0</v>
      </c>
      <c r="T364" s="593">
        <f ca="1">$E364*(-SUMIF(INDIRECT(T$3),'Struktur Vorjahr'!$D364,INDIRECT(T$4))+SUMIF(INDIRECT(T$3),'Struktur Vorjahr'!$D364,INDIRECT(T$5)))</f>
        <v>0</v>
      </c>
      <c r="U364" s="593">
        <f ca="1">$E364*(-SUMIF(INDIRECT(U$3),'Struktur Vorjahr'!$D364,INDIRECT(U$4))+SUMIF(INDIRECT(U$3),'Struktur Vorjahr'!$D364,INDIRECT(U$5)))</f>
        <v>0</v>
      </c>
      <c r="V364" s="593">
        <f ca="1">$E364*(-SUMIF(INDIRECT(V$3),'Struktur Vorjahr'!$D364,INDIRECT(V$4))+SUMIF(INDIRECT(V$3),'Struktur Vorjahr'!$D364,INDIRECT(V$5)))</f>
        <v>0</v>
      </c>
      <c r="W364" s="593">
        <f ca="1">$E364*(-SUMIF(INDIRECT(W$3),'Struktur Vorjahr'!$D364,INDIRECT(W$4))+SUMIF(INDIRECT(W$3),'Struktur Vorjahr'!$D364,INDIRECT(W$5)))</f>
        <v>0</v>
      </c>
      <c r="X364" s="593">
        <f ca="1">$E364*(-SUMIF(INDIRECT(X$3),'Struktur Vorjahr'!$D364,INDIRECT(X$4))+SUMIF(INDIRECT(X$3),'Struktur Vorjahr'!$D364,INDIRECT(X$5)))</f>
        <v>0</v>
      </c>
      <c r="Y364" s="593">
        <f ca="1">$E364*(-SUMIF(INDIRECT(Y$3),'Struktur Vorjahr'!$D364,INDIRECT(Y$4))+SUMIF(INDIRECT(Y$3),'Struktur Vorjahr'!$D364,INDIRECT(Y$5)))</f>
        <v>0</v>
      </c>
      <c r="Z364" s="593">
        <f ca="1">$E364*(-SUMIF(INDIRECT(Z$3),'Struktur Vorjahr'!$D364,INDIRECT(Z$4))+SUMIF(INDIRECT(Z$3),'Struktur Vorjahr'!$D364,INDIRECT(Z$5)))</f>
        <v>0</v>
      </c>
      <c r="AA364" s="593">
        <f ca="1">$E364*(-SUMIF(INDIRECT(AA$3),'Struktur Vorjahr'!$D364,INDIRECT(AA$4))+SUMIF(INDIRECT(AA$3),'Struktur Vorjahr'!$D364,INDIRECT(AA$5)))</f>
        <v>0</v>
      </c>
      <c r="AB364" s="593">
        <f ca="1">$E364*(-SUMIF(INDIRECT(AB$3),'Struktur Vorjahr'!$D364,INDIRECT(AB$4))+SUMIF(INDIRECT(AB$3),'Struktur Vorjahr'!$D364,INDIRECT(AB$5)))</f>
        <v>0</v>
      </c>
      <c r="AC364" s="593">
        <f ca="1">$E364*(-SUMIF(INDIRECT(AC$3),'Struktur Vorjahr'!$D364,INDIRECT(AC$4))+SUMIF(INDIRECT(AC$3),'Struktur Vorjahr'!$D364,INDIRECT(AC$5)))</f>
        <v>0</v>
      </c>
      <c r="AD364" s="593">
        <f ca="1">$E364*(-SUMIF(INDIRECT(AD$3),'Struktur Vorjahr'!$D364,INDIRECT(AD$4))+SUMIF(INDIRECT(AD$3),'Struktur Vorjahr'!$D364,INDIRECT(AD$5)))</f>
        <v>0</v>
      </c>
      <c r="AE364" s="593">
        <f t="shared" ca="1" si="171"/>
        <v>0</v>
      </c>
      <c r="AF364" s="593">
        <f t="shared" ca="1" si="172"/>
        <v>0</v>
      </c>
      <c r="AG364" s="593">
        <f t="shared" ca="1" si="172"/>
        <v>0</v>
      </c>
      <c r="AH364" s="593">
        <f t="shared" ca="1" si="172"/>
        <v>0</v>
      </c>
      <c r="AI364" s="593">
        <f t="shared" ca="1" si="172"/>
        <v>0</v>
      </c>
      <c r="AJ364" s="593">
        <f t="shared" ca="1" si="172"/>
        <v>0</v>
      </c>
      <c r="AK364" s="593">
        <f t="shared" ca="1" si="172"/>
        <v>0</v>
      </c>
      <c r="AL364" s="593">
        <f t="shared" ca="1" si="172"/>
        <v>0</v>
      </c>
      <c r="AM364" s="593">
        <f t="shared" ca="1" si="172"/>
        <v>0</v>
      </c>
      <c r="AN364" s="593">
        <f t="shared" ca="1" si="172"/>
        <v>0</v>
      </c>
      <c r="AO364" s="593">
        <f t="shared" ca="1" si="172"/>
        <v>0</v>
      </c>
      <c r="AP364" s="593">
        <f t="shared" ca="1" si="172"/>
        <v>0</v>
      </c>
    </row>
    <row r="365" spans="1:42" s="594" customFormat="1" ht="11.25" outlineLevel="1" x14ac:dyDescent="0.2">
      <c r="A365" s="590"/>
      <c r="B365" s="591" t="str">
        <f>IF(D365&lt;&gt;"",
IF(ISERROR(MATCH(D365,'Ist Vorjahr Monat 01'!A:A,0))=FALSE,INDEX('Ist Vorjahr Monat 01'!B:B,MATCH(D365,'Ist Vorjahr Monat 01'!A:A,0)),
IF(ISERROR(MATCH(D365,'Ist Vorjahr Monat 02'!A:A,0))=FALSE,INDEX('Ist Vorjahr Monat 02'!B:B,MATCH(D365,'Ist Vorjahr Monat 02'!A:A,0)),
IF(ISERROR(MATCH(D365,'Ist Vorjahr Monat 03'!A:A,0))=FALSE,INDEX('Ist Vorjahr Monat 03'!B:B,MATCH(D365,'Ist Vorjahr Monat 03'!A:A,0)),
IF(ISERROR(MATCH(D365,'Ist Vorjahr Monat 04'!A:A,0))=FALSE,INDEX('Ist Vorjahr Monat 04'!B:B,MATCH(D365,'Ist Vorjahr Monat 04'!A:A,0)),
IF(ISERROR(MATCH(D365,'Ist Vorjahr Monat 05'!A:A,0))=FALSE,INDEX('Ist Vorjahr Monat 05'!B:B,MATCH(D365,'Ist Vorjahr Monat 05'!A:A,0)),
IF(ISERROR(MATCH(D365,'Ist Vorjahr Monat 06'!A:A,0))=FALSE,INDEX('Ist Vorjahr Monat 06'!B:B,MATCH(D365,'Ist Vorjahr Monat 06'!A:A,0)),
IF(ISERROR(MATCH(D365,'Ist Vorjahr Monat 07'!A:A,0))=FALSE,INDEX('Ist Vorjahr Monat 07'!B:B,MATCH(D365,'Ist Vorjahr Monat 07'!A:A,0)),
IF(ISERROR(MATCH(D365,'Ist Vorjahr Monat 08'!A:A,0))=FALSE,INDEX('Ist Vorjahr Monat 08'!B:B,MATCH(D365,'Ist Vorjahr Monat 08'!A:A,0)),
IF(ISERROR(MATCH(D365,'Ist Vorjahr Monat 09'!A:A,0))=FALSE,INDEX('Ist Vorjahr Monat 09'!B:B,MATCH(D365,'Ist Vorjahr Monat 09'!A:A,0)),
IF(ISERROR(MATCH(D365,'Ist Vorjahr Monat 10'!A:A,0))=FALSE,INDEX('Ist Vorjahr Monat 10'!B:B,MATCH(D365,'Ist Vorjahr Monat 10'!A:A,0)),
IF(ISERROR(MATCH(D365,'Ist Vorjahr Monat 11'!A:A,0))=FALSE,INDEX('Ist Vorjahr Monat 11'!B:B,MATCH(D365,'Ist Vorjahr Monat 11'!A:A,0)),
IF(ISERROR(MATCH(D365,'Ist Vorjahr Monat 12'!A:A,0))=FALSE,INDEX('Ist Vorjahr Monat 12'!B:B,MATCH(D365,'Ist Vorjahr Monat 12'!A:A,0)),
"{Konto unbekannt}"
)))))))))))),"")</f>
        <v/>
      </c>
      <c r="C365" s="591"/>
      <c r="D365" s="590"/>
      <c r="E365" s="592">
        <f t="shared" si="121"/>
        <v>1</v>
      </c>
      <c r="F365" s="590"/>
      <c r="G365" s="593">
        <f ca="1">$E365*(-SUMIF(INDIRECT(G$3),'Struktur Vorjahr'!$D365,INDIRECT(G$4))+SUMIF(INDIRECT(G$3),'Struktur Vorjahr'!$D365,INDIRECT(G$5)))</f>
        <v>0</v>
      </c>
      <c r="H365" s="593">
        <f ca="1">$E365*(-SUMIF(INDIRECT(H$3),'Struktur Vorjahr'!$D365,INDIRECT(H$4))+SUMIF(INDIRECT(H$3),'Struktur Vorjahr'!$D365,INDIRECT(H$5)))</f>
        <v>0</v>
      </c>
      <c r="I365" s="593">
        <f ca="1">$E365*(-SUMIF(INDIRECT(I$3),'Struktur Vorjahr'!$D365,INDIRECT(I$4))+SUMIF(INDIRECT(I$3),'Struktur Vorjahr'!$D365,INDIRECT(I$5)))</f>
        <v>0</v>
      </c>
      <c r="J365" s="593">
        <f ca="1">$E365*(-SUMIF(INDIRECT(J$3),'Struktur Vorjahr'!$D365,INDIRECT(J$4))+SUMIF(INDIRECT(J$3),'Struktur Vorjahr'!$D365,INDIRECT(J$5)))</f>
        <v>0</v>
      </c>
      <c r="K365" s="593">
        <f ca="1">$E365*(-SUMIF(INDIRECT(K$3),'Struktur Vorjahr'!$D365,INDIRECT(K$4))+SUMIF(INDIRECT(K$3),'Struktur Vorjahr'!$D365,INDIRECT(K$5)))</f>
        <v>0</v>
      </c>
      <c r="L365" s="593">
        <f ca="1">$E365*(-SUMIF(INDIRECT(L$3),'Struktur Vorjahr'!$D365,INDIRECT(L$4))+SUMIF(INDIRECT(L$3),'Struktur Vorjahr'!$D365,INDIRECT(L$5)))</f>
        <v>0</v>
      </c>
      <c r="M365" s="593">
        <f ca="1">$E365*(-SUMIF(INDIRECT(M$3),'Struktur Vorjahr'!$D365,INDIRECT(M$4))+SUMIF(INDIRECT(M$3),'Struktur Vorjahr'!$D365,INDIRECT(M$5)))</f>
        <v>0</v>
      </c>
      <c r="N365" s="593">
        <f ca="1">$E365*(-SUMIF(INDIRECT(N$3),'Struktur Vorjahr'!$D365,INDIRECT(N$4))+SUMIF(INDIRECT(N$3),'Struktur Vorjahr'!$D365,INDIRECT(N$5)))</f>
        <v>0</v>
      </c>
      <c r="O365" s="593">
        <f ca="1">$E365*(-SUMIF(INDIRECT(O$3),'Struktur Vorjahr'!$D365,INDIRECT(O$4))+SUMIF(INDIRECT(O$3),'Struktur Vorjahr'!$D365,INDIRECT(O$5)))</f>
        <v>0</v>
      </c>
      <c r="P365" s="593">
        <f ca="1">$E365*(-SUMIF(INDIRECT(P$3),'Struktur Vorjahr'!$D365,INDIRECT(P$4))+SUMIF(INDIRECT(P$3),'Struktur Vorjahr'!$D365,INDIRECT(P$5)))</f>
        <v>0</v>
      </c>
      <c r="Q365" s="593">
        <f ca="1">$E365*(-SUMIF(INDIRECT(Q$3),'Struktur Vorjahr'!$D365,INDIRECT(Q$4))+SUMIF(INDIRECT(Q$3),'Struktur Vorjahr'!$D365,INDIRECT(Q$5)))</f>
        <v>0</v>
      </c>
      <c r="R365" s="593">
        <f ca="1">$E365*(-SUMIF(INDIRECT(R$3),'Struktur Vorjahr'!$D365,INDIRECT(R$4))+SUMIF(INDIRECT(R$3),'Struktur Vorjahr'!$D365,INDIRECT(R$5)))</f>
        <v>0</v>
      </c>
      <c r="S365" s="593">
        <f ca="1">$E365*(-SUMIF(INDIRECT(S$3),'Struktur Vorjahr'!$D365,INDIRECT(S$4))+SUMIF(INDIRECT(S$3),'Struktur Vorjahr'!$D365,INDIRECT(S$5)))</f>
        <v>0</v>
      </c>
      <c r="T365" s="593">
        <f ca="1">$E365*(-SUMIF(INDIRECT(T$3),'Struktur Vorjahr'!$D365,INDIRECT(T$4))+SUMIF(INDIRECT(T$3),'Struktur Vorjahr'!$D365,INDIRECT(T$5)))</f>
        <v>0</v>
      </c>
      <c r="U365" s="593">
        <f ca="1">$E365*(-SUMIF(INDIRECT(U$3),'Struktur Vorjahr'!$D365,INDIRECT(U$4))+SUMIF(INDIRECT(U$3),'Struktur Vorjahr'!$D365,INDIRECT(U$5)))</f>
        <v>0</v>
      </c>
      <c r="V365" s="593">
        <f ca="1">$E365*(-SUMIF(INDIRECT(V$3),'Struktur Vorjahr'!$D365,INDIRECT(V$4))+SUMIF(INDIRECT(V$3),'Struktur Vorjahr'!$D365,INDIRECT(V$5)))</f>
        <v>0</v>
      </c>
      <c r="W365" s="593">
        <f ca="1">$E365*(-SUMIF(INDIRECT(W$3),'Struktur Vorjahr'!$D365,INDIRECT(W$4))+SUMIF(INDIRECT(W$3),'Struktur Vorjahr'!$D365,INDIRECT(W$5)))</f>
        <v>0</v>
      </c>
      <c r="X365" s="593">
        <f ca="1">$E365*(-SUMIF(INDIRECT(X$3),'Struktur Vorjahr'!$D365,INDIRECT(X$4))+SUMIF(INDIRECT(X$3),'Struktur Vorjahr'!$D365,INDIRECT(X$5)))</f>
        <v>0</v>
      </c>
      <c r="Y365" s="593">
        <f ca="1">$E365*(-SUMIF(INDIRECT(Y$3),'Struktur Vorjahr'!$D365,INDIRECT(Y$4))+SUMIF(INDIRECT(Y$3),'Struktur Vorjahr'!$D365,INDIRECT(Y$5)))</f>
        <v>0</v>
      </c>
      <c r="Z365" s="593">
        <f ca="1">$E365*(-SUMIF(INDIRECT(Z$3),'Struktur Vorjahr'!$D365,INDIRECT(Z$4))+SUMIF(INDIRECT(Z$3),'Struktur Vorjahr'!$D365,INDIRECT(Z$5)))</f>
        <v>0</v>
      </c>
      <c r="AA365" s="593">
        <f ca="1">$E365*(-SUMIF(INDIRECT(AA$3),'Struktur Vorjahr'!$D365,INDIRECT(AA$4))+SUMIF(INDIRECT(AA$3),'Struktur Vorjahr'!$D365,INDIRECT(AA$5)))</f>
        <v>0</v>
      </c>
      <c r="AB365" s="593">
        <f ca="1">$E365*(-SUMIF(INDIRECT(AB$3),'Struktur Vorjahr'!$D365,INDIRECT(AB$4))+SUMIF(INDIRECT(AB$3),'Struktur Vorjahr'!$D365,INDIRECT(AB$5)))</f>
        <v>0</v>
      </c>
      <c r="AC365" s="593">
        <f ca="1">$E365*(-SUMIF(INDIRECT(AC$3),'Struktur Vorjahr'!$D365,INDIRECT(AC$4))+SUMIF(INDIRECT(AC$3),'Struktur Vorjahr'!$D365,INDIRECT(AC$5)))</f>
        <v>0</v>
      </c>
      <c r="AD365" s="593">
        <f ca="1">$E365*(-SUMIF(INDIRECT(AD$3),'Struktur Vorjahr'!$D365,INDIRECT(AD$4))+SUMIF(INDIRECT(AD$3),'Struktur Vorjahr'!$D365,INDIRECT(AD$5)))</f>
        <v>0</v>
      </c>
      <c r="AE365" s="593">
        <f t="shared" ca="1" si="171"/>
        <v>0</v>
      </c>
      <c r="AF365" s="593">
        <f t="shared" ca="1" si="172"/>
        <v>0</v>
      </c>
      <c r="AG365" s="593">
        <f t="shared" ca="1" si="172"/>
        <v>0</v>
      </c>
      <c r="AH365" s="593">
        <f t="shared" ca="1" si="172"/>
        <v>0</v>
      </c>
      <c r="AI365" s="593">
        <f t="shared" ca="1" si="172"/>
        <v>0</v>
      </c>
      <c r="AJ365" s="593">
        <f t="shared" ca="1" si="172"/>
        <v>0</v>
      </c>
      <c r="AK365" s="593">
        <f t="shared" ca="1" si="172"/>
        <v>0</v>
      </c>
      <c r="AL365" s="593">
        <f t="shared" ca="1" si="172"/>
        <v>0</v>
      </c>
      <c r="AM365" s="593">
        <f t="shared" ca="1" si="172"/>
        <v>0</v>
      </c>
      <c r="AN365" s="593">
        <f t="shared" ca="1" si="172"/>
        <v>0</v>
      </c>
      <c r="AO365" s="593">
        <f t="shared" ca="1" si="172"/>
        <v>0</v>
      </c>
      <c r="AP365" s="593">
        <f t="shared" ca="1" si="172"/>
        <v>0</v>
      </c>
    </row>
    <row r="366" spans="1:42" s="589" customFormat="1" x14ac:dyDescent="0.2">
      <c r="A366" s="825">
        <v>35.1</v>
      </c>
      <c r="B366" s="826" t="s">
        <v>1022</v>
      </c>
      <c r="C366" s="587">
        <f ca="1">SUM(G366:R366)</f>
        <v>197.27999999999975</v>
      </c>
      <c r="D366" s="587"/>
      <c r="E366" s="588">
        <f t="shared" si="121"/>
        <v>1</v>
      </c>
      <c r="F366" s="585"/>
      <c r="G366" s="587">
        <f t="shared" ref="G366:AP366" ca="1" si="173">SUM(G367:G375)</f>
        <v>0</v>
      </c>
      <c r="H366" s="587">
        <f t="shared" ca="1" si="173"/>
        <v>93</v>
      </c>
      <c r="I366" s="587">
        <f t="shared" ca="1" si="173"/>
        <v>197.28</v>
      </c>
      <c r="J366" s="587">
        <f t="shared" ca="1" si="173"/>
        <v>0</v>
      </c>
      <c r="K366" s="587">
        <f t="shared" ca="1" si="173"/>
        <v>5416.5</v>
      </c>
      <c r="L366" s="587">
        <f t="shared" ca="1" si="173"/>
        <v>0</v>
      </c>
      <c r="M366" s="587">
        <f t="shared" ca="1" si="173"/>
        <v>0</v>
      </c>
      <c r="N366" s="587">
        <f t="shared" ca="1" si="173"/>
        <v>0</v>
      </c>
      <c r="O366" s="587">
        <f t="shared" ca="1" si="173"/>
        <v>0</v>
      </c>
      <c r="P366" s="587">
        <f t="shared" ca="1" si="173"/>
        <v>-5509.5</v>
      </c>
      <c r="Q366" s="587">
        <f t="shared" ca="1" si="173"/>
        <v>0</v>
      </c>
      <c r="R366" s="587">
        <f t="shared" ca="1" si="173"/>
        <v>0</v>
      </c>
      <c r="S366" s="587">
        <f t="shared" ca="1" si="173"/>
        <v>0</v>
      </c>
      <c r="T366" s="587">
        <f t="shared" ca="1" si="173"/>
        <v>93</v>
      </c>
      <c r="U366" s="587">
        <f t="shared" ca="1" si="173"/>
        <v>290.27999999999997</v>
      </c>
      <c r="V366" s="587">
        <f t="shared" ca="1" si="173"/>
        <v>290.27999999999997</v>
      </c>
      <c r="W366" s="587">
        <f t="shared" ca="1" si="173"/>
        <v>5706.78</v>
      </c>
      <c r="X366" s="587">
        <f t="shared" ca="1" si="173"/>
        <v>5706.78</v>
      </c>
      <c r="Y366" s="587">
        <f t="shared" ca="1" si="173"/>
        <v>5706.78</v>
      </c>
      <c r="Z366" s="587">
        <f t="shared" ca="1" si="173"/>
        <v>5706.78</v>
      </c>
      <c r="AA366" s="587">
        <f t="shared" ca="1" si="173"/>
        <v>5706.78</v>
      </c>
      <c r="AB366" s="587">
        <f t="shared" ca="1" si="173"/>
        <v>197.28</v>
      </c>
      <c r="AC366" s="587">
        <f t="shared" ca="1" si="173"/>
        <v>0</v>
      </c>
      <c r="AD366" s="587">
        <f t="shared" ca="1" si="173"/>
        <v>0</v>
      </c>
      <c r="AE366" s="587">
        <f t="shared" ca="1" si="173"/>
        <v>0</v>
      </c>
      <c r="AF366" s="587">
        <f t="shared" ca="1" si="173"/>
        <v>93</v>
      </c>
      <c r="AG366" s="587">
        <f t="shared" ca="1" si="173"/>
        <v>290.27999999999997</v>
      </c>
      <c r="AH366" s="587">
        <f t="shared" ca="1" si="173"/>
        <v>290.27999999999997</v>
      </c>
      <c r="AI366" s="587">
        <f t="shared" ca="1" si="173"/>
        <v>5706.78</v>
      </c>
      <c r="AJ366" s="587">
        <f t="shared" ca="1" si="173"/>
        <v>5706.78</v>
      </c>
      <c r="AK366" s="587">
        <f t="shared" ca="1" si="173"/>
        <v>5706.78</v>
      </c>
      <c r="AL366" s="587">
        <f t="shared" ca="1" si="173"/>
        <v>5706.78</v>
      </c>
      <c r="AM366" s="587">
        <f t="shared" ca="1" si="173"/>
        <v>5706.78</v>
      </c>
      <c r="AN366" s="587">
        <f t="shared" ca="1" si="173"/>
        <v>197.28</v>
      </c>
      <c r="AO366" s="587">
        <f t="shared" ca="1" si="173"/>
        <v>197.28</v>
      </c>
      <c r="AP366" s="587">
        <f t="shared" ca="1" si="173"/>
        <v>197.28</v>
      </c>
    </row>
    <row r="367" spans="1:42" s="594" customFormat="1" ht="11.25" x14ac:dyDescent="0.2">
      <c r="A367" s="590"/>
      <c r="B367" s="591" t="str">
        <f>IF(D367&lt;&gt;"",
IF(ISERROR(MATCH(D367,'Ist Vorjahr Monat 01'!A:A,0))=FALSE,INDEX('Ist Vorjahr Monat 01'!B:B,MATCH(D367,'Ist Vorjahr Monat 01'!A:A,0)),
IF(ISERROR(MATCH(D367,'Ist Vorjahr Monat 02'!A:A,0))=FALSE,INDEX('Ist Vorjahr Monat 02'!B:B,MATCH(D367,'Ist Vorjahr Monat 02'!A:A,0)),
IF(ISERROR(MATCH(D367,'Ist Vorjahr Monat 03'!A:A,0))=FALSE,INDEX('Ist Vorjahr Monat 03'!B:B,MATCH(D367,'Ist Vorjahr Monat 03'!A:A,0)),
IF(ISERROR(MATCH(D367,'Ist Vorjahr Monat 04'!A:A,0))=FALSE,INDEX('Ist Vorjahr Monat 04'!B:B,MATCH(D367,'Ist Vorjahr Monat 04'!A:A,0)),
IF(ISERROR(MATCH(D367,'Ist Vorjahr Monat 05'!A:A,0))=FALSE,INDEX('Ist Vorjahr Monat 05'!B:B,MATCH(D367,'Ist Vorjahr Monat 05'!A:A,0)),
IF(ISERROR(MATCH(D367,'Ist Vorjahr Monat 06'!A:A,0))=FALSE,INDEX('Ist Vorjahr Monat 06'!B:B,MATCH(D367,'Ist Vorjahr Monat 06'!A:A,0)),
IF(ISERROR(MATCH(D367,'Ist Vorjahr Monat 07'!A:A,0))=FALSE,INDEX('Ist Vorjahr Monat 07'!B:B,MATCH(D367,'Ist Vorjahr Monat 07'!A:A,0)),
IF(ISERROR(MATCH(D367,'Ist Vorjahr Monat 08'!A:A,0))=FALSE,INDEX('Ist Vorjahr Monat 08'!B:B,MATCH(D367,'Ist Vorjahr Monat 08'!A:A,0)),
IF(ISERROR(MATCH(D367,'Ist Vorjahr Monat 09'!A:A,0))=FALSE,INDEX('Ist Vorjahr Monat 09'!B:B,MATCH(D367,'Ist Vorjahr Monat 09'!A:A,0)),
IF(ISERROR(MATCH(D367,'Ist Vorjahr Monat 10'!A:A,0))=FALSE,INDEX('Ist Vorjahr Monat 10'!B:B,MATCH(D367,'Ist Vorjahr Monat 10'!A:A,0)),
IF(ISERROR(MATCH(D367,'Ist Vorjahr Monat 11'!A:A,0))=FALSE,INDEX('Ist Vorjahr Monat 11'!B:B,MATCH(D367,'Ist Vorjahr Monat 11'!A:A,0)),
IF(ISERROR(MATCH(D367,'Ist Vorjahr Monat 12'!A:A,0))=FALSE,INDEX('Ist Vorjahr Monat 12'!B:B,MATCH(D367,'Ist Vorjahr Monat 12'!A:A,0)),
"{Konto unbekannt}"
)))))))))))),"")</f>
        <v>Körperschaftsteuer</v>
      </c>
      <c r="C367" s="591"/>
      <c r="D367" s="590">
        <v>2200</v>
      </c>
      <c r="E367" s="592">
        <f t="shared" si="121"/>
        <v>1</v>
      </c>
      <c r="F367" s="590"/>
      <c r="G367" s="593">
        <f ca="1">$E367*(-SUMIF(INDIRECT(G$3),'Struktur Vorjahr'!$D367,INDIRECT(G$4))+SUMIF(INDIRECT(G$3),'Struktur Vorjahr'!$D367,INDIRECT(G$5)))</f>
        <v>0</v>
      </c>
      <c r="H367" s="593">
        <f ca="1">$E367*(-SUMIF(INDIRECT(H$3),'Struktur Vorjahr'!$D367,INDIRECT(H$4))+SUMIF(INDIRECT(H$3),'Struktur Vorjahr'!$D367,INDIRECT(H$5)))</f>
        <v>0</v>
      </c>
      <c r="I367" s="593">
        <f ca="1">$E367*(-SUMIF(INDIRECT(I$3),'Struktur Vorjahr'!$D367,INDIRECT(I$4))+SUMIF(INDIRECT(I$3),'Struktur Vorjahr'!$D367,INDIRECT(I$5)))</f>
        <v>197.28</v>
      </c>
      <c r="J367" s="593">
        <f ca="1">$E367*(-SUMIF(INDIRECT(J$3),'Struktur Vorjahr'!$D367,INDIRECT(J$4))+SUMIF(INDIRECT(J$3),'Struktur Vorjahr'!$D367,INDIRECT(J$5)))</f>
        <v>0</v>
      </c>
      <c r="K367" s="593">
        <f ca="1">$E367*(-SUMIF(INDIRECT(K$3),'Struktur Vorjahr'!$D367,INDIRECT(K$4))+SUMIF(INDIRECT(K$3),'Struktur Vorjahr'!$D367,INDIRECT(K$5)))</f>
        <v>0</v>
      </c>
      <c r="L367" s="593">
        <f ca="1">$E367*(-SUMIF(INDIRECT(L$3),'Struktur Vorjahr'!$D367,INDIRECT(L$4))+SUMIF(INDIRECT(L$3),'Struktur Vorjahr'!$D367,INDIRECT(L$5)))</f>
        <v>0</v>
      </c>
      <c r="M367" s="593">
        <f ca="1">$E367*(-SUMIF(INDIRECT(M$3),'Struktur Vorjahr'!$D367,INDIRECT(M$4))+SUMIF(INDIRECT(M$3),'Struktur Vorjahr'!$D367,INDIRECT(M$5)))</f>
        <v>0</v>
      </c>
      <c r="N367" s="593">
        <f ca="1">$E367*(-SUMIF(INDIRECT(N$3),'Struktur Vorjahr'!$D367,INDIRECT(N$4))+SUMIF(INDIRECT(N$3),'Struktur Vorjahr'!$D367,INDIRECT(N$5)))</f>
        <v>0</v>
      </c>
      <c r="O367" s="593">
        <f ca="1">$E367*(-SUMIF(INDIRECT(O$3),'Struktur Vorjahr'!$D367,INDIRECT(O$4))+SUMIF(INDIRECT(O$3),'Struktur Vorjahr'!$D367,INDIRECT(O$5)))</f>
        <v>0</v>
      </c>
      <c r="P367" s="593">
        <f ca="1">$E367*(-SUMIF(INDIRECT(P$3),'Struktur Vorjahr'!$D367,INDIRECT(P$4))+SUMIF(INDIRECT(P$3),'Struktur Vorjahr'!$D367,INDIRECT(P$5)))</f>
        <v>0</v>
      </c>
      <c r="Q367" s="593">
        <f ca="1">$E367*(-SUMIF(INDIRECT(Q$3),'Struktur Vorjahr'!$D367,INDIRECT(Q$4))+SUMIF(INDIRECT(Q$3),'Struktur Vorjahr'!$D367,INDIRECT(Q$5)))</f>
        <v>0</v>
      </c>
      <c r="R367" s="593">
        <f ca="1">$E367*(-SUMIF(INDIRECT(R$3),'Struktur Vorjahr'!$D367,INDIRECT(R$4))+SUMIF(INDIRECT(R$3),'Struktur Vorjahr'!$D367,INDIRECT(R$5)))</f>
        <v>0</v>
      </c>
      <c r="S367" s="593">
        <f ca="1">$E367*(-SUMIF(INDIRECT(S$3),'Struktur Vorjahr'!$D367,INDIRECT(S$4))+SUMIF(INDIRECT(S$3),'Struktur Vorjahr'!$D367,INDIRECT(S$5)))</f>
        <v>0</v>
      </c>
      <c r="T367" s="593">
        <f ca="1">$E367*(-SUMIF(INDIRECT(T$3),'Struktur Vorjahr'!$D367,INDIRECT(T$4))+SUMIF(INDIRECT(T$3),'Struktur Vorjahr'!$D367,INDIRECT(T$5)))</f>
        <v>0</v>
      </c>
      <c r="U367" s="593">
        <f ca="1">$E367*(-SUMIF(INDIRECT(U$3),'Struktur Vorjahr'!$D367,INDIRECT(U$4))+SUMIF(INDIRECT(U$3),'Struktur Vorjahr'!$D367,INDIRECT(U$5)))</f>
        <v>197.28</v>
      </c>
      <c r="V367" s="593">
        <f ca="1">$E367*(-SUMIF(INDIRECT(V$3),'Struktur Vorjahr'!$D367,INDIRECT(V$4))+SUMIF(INDIRECT(V$3),'Struktur Vorjahr'!$D367,INDIRECT(V$5)))</f>
        <v>197.28</v>
      </c>
      <c r="W367" s="593">
        <f ca="1">$E367*(-SUMIF(INDIRECT(W$3),'Struktur Vorjahr'!$D367,INDIRECT(W$4))+SUMIF(INDIRECT(W$3),'Struktur Vorjahr'!$D367,INDIRECT(W$5)))</f>
        <v>197.28</v>
      </c>
      <c r="X367" s="593">
        <f ca="1">$E367*(-SUMIF(INDIRECT(X$3),'Struktur Vorjahr'!$D367,INDIRECT(X$4))+SUMIF(INDIRECT(X$3),'Struktur Vorjahr'!$D367,INDIRECT(X$5)))</f>
        <v>197.28</v>
      </c>
      <c r="Y367" s="593">
        <f ca="1">$E367*(-SUMIF(INDIRECT(Y$3),'Struktur Vorjahr'!$D367,INDIRECT(Y$4))+SUMIF(INDIRECT(Y$3),'Struktur Vorjahr'!$D367,INDIRECT(Y$5)))</f>
        <v>197.28</v>
      </c>
      <c r="Z367" s="593">
        <f ca="1">$E367*(-SUMIF(INDIRECT(Z$3),'Struktur Vorjahr'!$D367,INDIRECT(Z$4))+SUMIF(INDIRECT(Z$3),'Struktur Vorjahr'!$D367,INDIRECT(Z$5)))</f>
        <v>197.28</v>
      </c>
      <c r="AA367" s="593">
        <f ca="1">$E367*(-SUMIF(INDIRECT(AA$3),'Struktur Vorjahr'!$D367,INDIRECT(AA$4))+SUMIF(INDIRECT(AA$3),'Struktur Vorjahr'!$D367,INDIRECT(AA$5)))</f>
        <v>197.28</v>
      </c>
      <c r="AB367" s="593">
        <f ca="1">$E367*(-SUMIF(INDIRECT(AB$3),'Struktur Vorjahr'!$D367,INDIRECT(AB$4))+SUMIF(INDIRECT(AB$3),'Struktur Vorjahr'!$D367,INDIRECT(AB$5)))</f>
        <v>197.28</v>
      </c>
      <c r="AC367" s="593">
        <f ca="1">$E367*(-SUMIF(INDIRECT(AC$3),'Struktur Vorjahr'!$D367,INDIRECT(AC$4))+SUMIF(INDIRECT(AC$3),'Struktur Vorjahr'!$D367,INDIRECT(AC$5)))</f>
        <v>0</v>
      </c>
      <c r="AD367" s="593">
        <f ca="1">$E367*(-SUMIF(INDIRECT(AD$3),'Struktur Vorjahr'!$D367,INDIRECT(AD$4))+SUMIF(INDIRECT(AD$3),'Struktur Vorjahr'!$D367,INDIRECT(AD$5)))</f>
        <v>0</v>
      </c>
      <c r="AE367" s="593">
        <f t="shared" ref="AE367:AE375" ca="1" si="174">G367</f>
        <v>0</v>
      </c>
      <c r="AF367" s="593">
        <f t="shared" ref="AF367:AP375" ca="1" si="175">H367+AE367</f>
        <v>0</v>
      </c>
      <c r="AG367" s="593">
        <f t="shared" ca="1" si="175"/>
        <v>197.28</v>
      </c>
      <c r="AH367" s="593">
        <f t="shared" ca="1" si="175"/>
        <v>197.28</v>
      </c>
      <c r="AI367" s="593">
        <f t="shared" ca="1" si="175"/>
        <v>197.28</v>
      </c>
      <c r="AJ367" s="593">
        <f t="shared" ca="1" si="175"/>
        <v>197.28</v>
      </c>
      <c r="AK367" s="593">
        <f t="shared" ca="1" si="175"/>
        <v>197.28</v>
      </c>
      <c r="AL367" s="593">
        <f t="shared" ca="1" si="175"/>
        <v>197.28</v>
      </c>
      <c r="AM367" s="593">
        <f t="shared" ca="1" si="175"/>
        <v>197.28</v>
      </c>
      <c r="AN367" s="593">
        <f t="shared" ca="1" si="175"/>
        <v>197.28</v>
      </c>
      <c r="AO367" s="593">
        <f t="shared" ca="1" si="175"/>
        <v>197.28</v>
      </c>
      <c r="AP367" s="593">
        <f t="shared" ca="1" si="175"/>
        <v>197.28</v>
      </c>
    </row>
    <row r="368" spans="1:42" s="594" customFormat="1" ht="11.25" outlineLevel="1" x14ac:dyDescent="0.2">
      <c r="A368" s="590"/>
      <c r="B368" s="591" t="str">
        <f>IF(D368&lt;&gt;"",
IF(ISERROR(MATCH(D368,'Ist Vorjahr Monat 01'!A:A,0))=FALSE,INDEX('Ist Vorjahr Monat 01'!B:B,MATCH(D368,'Ist Vorjahr Monat 01'!A:A,0)),
IF(ISERROR(MATCH(D368,'Ist Vorjahr Monat 02'!A:A,0))=FALSE,INDEX('Ist Vorjahr Monat 02'!B:B,MATCH(D368,'Ist Vorjahr Monat 02'!A:A,0)),
IF(ISERROR(MATCH(D368,'Ist Vorjahr Monat 03'!A:A,0))=FALSE,INDEX('Ist Vorjahr Monat 03'!B:B,MATCH(D368,'Ist Vorjahr Monat 03'!A:A,0)),
IF(ISERROR(MATCH(D368,'Ist Vorjahr Monat 04'!A:A,0))=FALSE,INDEX('Ist Vorjahr Monat 04'!B:B,MATCH(D368,'Ist Vorjahr Monat 04'!A:A,0)),
IF(ISERROR(MATCH(D368,'Ist Vorjahr Monat 05'!A:A,0))=FALSE,INDEX('Ist Vorjahr Monat 05'!B:B,MATCH(D368,'Ist Vorjahr Monat 05'!A:A,0)),
IF(ISERROR(MATCH(D368,'Ist Vorjahr Monat 06'!A:A,0))=FALSE,INDEX('Ist Vorjahr Monat 06'!B:B,MATCH(D368,'Ist Vorjahr Monat 06'!A:A,0)),
IF(ISERROR(MATCH(D368,'Ist Vorjahr Monat 07'!A:A,0))=FALSE,INDEX('Ist Vorjahr Monat 07'!B:B,MATCH(D368,'Ist Vorjahr Monat 07'!A:A,0)),
IF(ISERROR(MATCH(D368,'Ist Vorjahr Monat 08'!A:A,0))=FALSE,INDEX('Ist Vorjahr Monat 08'!B:B,MATCH(D368,'Ist Vorjahr Monat 08'!A:A,0)),
IF(ISERROR(MATCH(D368,'Ist Vorjahr Monat 09'!A:A,0))=FALSE,INDEX('Ist Vorjahr Monat 09'!B:B,MATCH(D368,'Ist Vorjahr Monat 09'!A:A,0)),
IF(ISERROR(MATCH(D368,'Ist Vorjahr Monat 10'!A:A,0))=FALSE,INDEX('Ist Vorjahr Monat 10'!B:B,MATCH(D368,'Ist Vorjahr Monat 10'!A:A,0)),
IF(ISERROR(MATCH(D368,'Ist Vorjahr Monat 11'!A:A,0))=FALSE,INDEX('Ist Vorjahr Monat 11'!B:B,MATCH(D368,'Ist Vorjahr Monat 11'!A:A,0)),
IF(ISERROR(MATCH(D368,'Ist Vorjahr Monat 12'!A:A,0))=FALSE,INDEX('Ist Vorjahr Monat 12'!B:B,MATCH(D368,'Ist Vorjahr Monat 12'!A:A,0)),
"{Konto unbekannt}"
)))))))))))),"")</f>
        <v>Gewerbesteuer</v>
      </c>
      <c r="C368" s="591"/>
      <c r="D368" s="590">
        <v>4320</v>
      </c>
      <c r="E368" s="592">
        <f t="shared" si="121"/>
        <v>1</v>
      </c>
      <c r="F368" s="590"/>
      <c r="G368" s="593">
        <f ca="1">$E368*(-SUMIF(INDIRECT(G$3),'Struktur Vorjahr'!$D368,INDIRECT(G$4))+SUMIF(INDIRECT(G$3),'Struktur Vorjahr'!$D368,INDIRECT(G$5)))</f>
        <v>0</v>
      </c>
      <c r="H368" s="593">
        <f ca="1">$E368*(-SUMIF(INDIRECT(H$3),'Struktur Vorjahr'!$D368,INDIRECT(H$4))+SUMIF(INDIRECT(H$3),'Struktur Vorjahr'!$D368,INDIRECT(H$5)))</f>
        <v>93</v>
      </c>
      <c r="I368" s="593">
        <f ca="1">$E368*(-SUMIF(INDIRECT(I$3),'Struktur Vorjahr'!$D368,INDIRECT(I$4))+SUMIF(INDIRECT(I$3),'Struktur Vorjahr'!$D368,INDIRECT(I$5)))</f>
        <v>0</v>
      </c>
      <c r="J368" s="593">
        <f ca="1">$E368*(-SUMIF(INDIRECT(J$3),'Struktur Vorjahr'!$D368,INDIRECT(J$4))+SUMIF(INDIRECT(J$3),'Struktur Vorjahr'!$D368,INDIRECT(J$5)))</f>
        <v>0</v>
      </c>
      <c r="K368" s="593">
        <f ca="1">$E368*(-SUMIF(INDIRECT(K$3),'Struktur Vorjahr'!$D368,INDIRECT(K$4))+SUMIF(INDIRECT(K$3),'Struktur Vorjahr'!$D368,INDIRECT(K$5)))</f>
        <v>5416.5</v>
      </c>
      <c r="L368" s="593">
        <f ca="1">$E368*(-SUMIF(INDIRECT(L$3),'Struktur Vorjahr'!$D368,INDIRECT(L$4))+SUMIF(INDIRECT(L$3),'Struktur Vorjahr'!$D368,INDIRECT(L$5)))</f>
        <v>0</v>
      </c>
      <c r="M368" s="593">
        <f ca="1">$E368*(-SUMIF(INDIRECT(M$3),'Struktur Vorjahr'!$D368,INDIRECT(M$4))+SUMIF(INDIRECT(M$3),'Struktur Vorjahr'!$D368,INDIRECT(M$5)))</f>
        <v>0</v>
      </c>
      <c r="N368" s="593">
        <f ca="1">$E368*(-SUMIF(INDIRECT(N$3),'Struktur Vorjahr'!$D368,INDIRECT(N$4))+SUMIF(INDIRECT(N$3),'Struktur Vorjahr'!$D368,INDIRECT(N$5)))</f>
        <v>0</v>
      </c>
      <c r="O368" s="593">
        <f ca="1">$E368*(-SUMIF(INDIRECT(O$3),'Struktur Vorjahr'!$D368,INDIRECT(O$4))+SUMIF(INDIRECT(O$3),'Struktur Vorjahr'!$D368,INDIRECT(O$5)))</f>
        <v>0</v>
      </c>
      <c r="P368" s="593">
        <f ca="1">$E368*(-SUMIF(INDIRECT(P$3),'Struktur Vorjahr'!$D368,INDIRECT(P$4))+SUMIF(INDIRECT(P$3),'Struktur Vorjahr'!$D368,INDIRECT(P$5)))</f>
        <v>-5509.5</v>
      </c>
      <c r="Q368" s="593">
        <f ca="1">$E368*(-SUMIF(INDIRECT(Q$3),'Struktur Vorjahr'!$D368,INDIRECT(Q$4))+SUMIF(INDIRECT(Q$3),'Struktur Vorjahr'!$D368,INDIRECT(Q$5)))</f>
        <v>0</v>
      </c>
      <c r="R368" s="593">
        <f ca="1">$E368*(-SUMIF(INDIRECT(R$3),'Struktur Vorjahr'!$D368,INDIRECT(R$4))+SUMIF(INDIRECT(R$3),'Struktur Vorjahr'!$D368,INDIRECT(R$5)))</f>
        <v>0</v>
      </c>
      <c r="S368" s="593">
        <f ca="1">$E368*(-SUMIF(INDIRECT(S$3),'Struktur Vorjahr'!$D368,INDIRECT(S$4))+SUMIF(INDIRECT(S$3),'Struktur Vorjahr'!$D368,INDIRECT(S$5)))</f>
        <v>0</v>
      </c>
      <c r="T368" s="593">
        <f ca="1">$E368*(-SUMIF(INDIRECT(T$3),'Struktur Vorjahr'!$D368,INDIRECT(T$4))+SUMIF(INDIRECT(T$3),'Struktur Vorjahr'!$D368,INDIRECT(T$5)))</f>
        <v>93</v>
      </c>
      <c r="U368" s="593">
        <f ca="1">$E368*(-SUMIF(INDIRECT(U$3),'Struktur Vorjahr'!$D368,INDIRECT(U$4))+SUMIF(INDIRECT(U$3),'Struktur Vorjahr'!$D368,INDIRECT(U$5)))</f>
        <v>93</v>
      </c>
      <c r="V368" s="593">
        <f ca="1">$E368*(-SUMIF(INDIRECT(V$3),'Struktur Vorjahr'!$D368,INDIRECT(V$4))+SUMIF(INDIRECT(V$3),'Struktur Vorjahr'!$D368,INDIRECT(V$5)))</f>
        <v>93</v>
      </c>
      <c r="W368" s="593">
        <f ca="1">$E368*(-SUMIF(INDIRECT(W$3),'Struktur Vorjahr'!$D368,INDIRECT(W$4))+SUMIF(INDIRECT(W$3),'Struktur Vorjahr'!$D368,INDIRECT(W$5)))</f>
        <v>5509.5</v>
      </c>
      <c r="X368" s="593">
        <f ca="1">$E368*(-SUMIF(INDIRECT(X$3),'Struktur Vorjahr'!$D368,INDIRECT(X$4))+SUMIF(INDIRECT(X$3),'Struktur Vorjahr'!$D368,INDIRECT(X$5)))</f>
        <v>5509.5</v>
      </c>
      <c r="Y368" s="593">
        <f ca="1">$E368*(-SUMIF(INDIRECT(Y$3),'Struktur Vorjahr'!$D368,INDIRECT(Y$4))+SUMIF(INDIRECT(Y$3),'Struktur Vorjahr'!$D368,INDIRECT(Y$5)))</f>
        <v>5509.5</v>
      </c>
      <c r="Z368" s="593">
        <f ca="1">$E368*(-SUMIF(INDIRECT(Z$3),'Struktur Vorjahr'!$D368,INDIRECT(Z$4))+SUMIF(INDIRECT(Z$3),'Struktur Vorjahr'!$D368,INDIRECT(Z$5)))</f>
        <v>5509.5</v>
      </c>
      <c r="AA368" s="593">
        <f ca="1">$E368*(-SUMIF(INDIRECT(AA$3),'Struktur Vorjahr'!$D368,INDIRECT(AA$4))+SUMIF(INDIRECT(AA$3),'Struktur Vorjahr'!$D368,INDIRECT(AA$5)))</f>
        <v>5509.5</v>
      </c>
      <c r="AB368" s="593">
        <f ca="1">$E368*(-SUMIF(INDIRECT(AB$3),'Struktur Vorjahr'!$D368,INDIRECT(AB$4))+SUMIF(INDIRECT(AB$3),'Struktur Vorjahr'!$D368,INDIRECT(AB$5)))</f>
        <v>0</v>
      </c>
      <c r="AC368" s="593">
        <f ca="1">$E368*(-SUMIF(INDIRECT(AC$3),'Struktur Vorjahr'!$D368,INDIRECT(AC$4))+SUMIF(INDIRECT(AC$3),'Struktur Vorjahr'!$D368,INDIRECT(AC$5)))</f>
        <v>0</v>
      </c>
      <c r="AD368" s="593">
        <f ca="1">$E368*(-SUMIF(INDIRECT(AD$3),'Struktur Vorjahr'!$D368,INDIRECT(AD$4))+SUMIF(INDIRECT(AD$3),'Struktur Vorjahr'!$D368,INDIRECT(AD$5)))</f>
        <v>0</v>
      </c>
      <c r="AE368" s="593">
        <f t="shared" ca="1" si="174"/>
        <v>0</v>
      </c>
      <c r="AF368" s="593">
        <f t="shared" ca="1" si="175"/>
        <v>93</v>
      </c>
      <c r="AG368" s="593">
        <f t="shared" ca="1" si="175"/>
        <v>93</v>
      </c>
      <c r="AH368" s="593">
        <f t="shared" ca="1" si="175"/>
        <v>93</v>
      </c>
      <c r="AI368" s="593">
        <f t="shared" ca="1" si="175"/>
        <v>5509.5</v>
      </c>
      <c r="AJ368" s="593">
        <f t="shared" ca="1" si="175"/>
        <v>5509.5</v>
      </c>
      <c r="AK368" s="593">
        <f t="shared" ca="1" si="175"/>
        <v>5509.5</v>
      </c>
      <c r="AL368" s="593">
        <f t="shared" ca="1" si="175"/>
        <v>5509.5</v>
      </c>
      <c r="AM368" s="593">
        <f t="shared" ca="1" si="175"/>
        <v>5509.5</v>
      </c>
      <c r="AN368" s="593">
        <f t="shared" ca="1" si="175"/>
        <v>0</v>
      </c>
      <c r="AO368" s="593">
        <f t="shared" ca="1" si="175"/>
        <v>0</v>
      </c>
      <c r="AP368" s="593">
        <f t="shared" ca="1" si="175"/>
        <v>0</v>
      </c>
    </row>
    <row r="369" spans="1:42" s="594" customFormat="1" ht="11.25" outlineLevel="1" x14ac:dyDescent="0.2">
      <c r="A369" s="590"/>
      <c r="B369" s="591" t="str">
        <f>IF(D369&lt;&gt;"",
IF(ISERROR(MATCH(D369,'Ist Vorjahr Monat 01'!A:A,0))=FALSE,INDEX('Ist Vorjahr Monat 01'!B:B,MATCH(D369,'Ist Vorjahr Monat 01'!A:A,0)),
IF(ISERROR(MATCH(D369,'Ist Vorjahr Monat 02'!A:A,0))=FALSE,INDEX('Ist Vorjahr Monat 02'!B:B,MATCH(D369,'Ist Vorjahr Monat 02'!A:A,0)),
IF(ISERROR(MATCH(D369,'Ist Vorjahr Monat 03'!A:A,0))=FALSE,INDEX('Ist Vorjahr Monat 03'!B:B,MATCH(D369,'Ist Vorjahr Monat 03'!A:A,0)),
IF(ISERROR(MATCH(D369,'Ist Vorjahr Monat 04'!A:A,0))=FALSE,INDEX('Ist Vorjahr Monat 04'!B:B,MATCH(D369,'Ist Vorjahr Monat 04'!A:A,0)),
IF(ISERROR(MATCH(D369,'Ist Vorjahr Monat 05'!A:A,0))=FALSE,INDEX('Ist Vorjahr Monat 05'!B:B,MATCH(D369,'Ist Vorjahr Monat 05'!A:A,0)),
IF(ISERROR(MATCH(D369,'Ist Vorjahr Monat 06'!A:A,0))=FALSE,INDEX('Ist Vorjahr Monat 06'!B:B,MATCH(D369,'Ist Vorjahr Monat 06'!A:A,0)),
IF(ISERROR(MATCH(D369,'Ist Vorjahr Monat 07'!A:A,0))=FALSE,INDEX('Ist Vorjahr Monat 07'!B:B,MATCH(D369,'Ist Vorjahr Monat 07'!A:A,0)),
IF(ISERROR(MATCH(D369,'Ist Vorjahr Monat 08'!A:A,0))=FALSE,INDEX('Ist Vorjahr Monat 08'!B:B,MATCH(D369,'Ist Vorjahr Monat 08'!A:A,0)),
IF(ISERROR(MATCH(D369,'Ist Vorjahr Monat 09'!A:A,0))=FALSE,INDEX('Ist Vorjahr Monat 09'!B:B,MATCH(D369,'Ist Vorjahr Monat 09'!A:A,0)),
IF(ISERROR(MATCH(D369,'Ist Vorjahr Monat 10'!A:A,0))=FALSE,INDEX('Ist Vorjahr Monat 10'!B:B,MATCH(D369,'Ist Vorjahr Monat 10'!A:A,0)),
IF(ISERROR(MATCH(D369,'Ist Vorjahr Monat 11'!A:A,0))=FALSE,INDEX('Ist Vorjahr Monat 11'!B:B,MATCH(D369,'Ist Vorjahr Monat 11'!A:A,0)),
IF(ISERROR(MATCH(D369,'Ist Vorjahr Monat 12'!A:A,0))=FALSE,INDEX('Ist Vorjahr Monat 12'!B:B,MATCH(D369,'Ist Vorjahr Monat 12'!A:A,0)),
"{Konto unbekannt}"
)))))))))))),"")</f>
        <v/>
      </c>
      <c r="C369" s="591"/>
      <c r="D369" s="590"/>
      <c r="E369" s="592">
        <f t="shared" si="121"/>
        <v>1</v>
      </c>
      <c r="F369" s="590"/>
      <c r="G369" s="593">
        <f ca="1">$E369*(-SUMIF(INDIRECT(G$3),'Struktur Vorjahr'!$D369,INDIRECT(G$4))+SUMIF(INDIRECT(G$3),'Struktur Vorjahr'!$D369,INDIRECT(G$5)))</f>
        <v>0</v>
      </c>
      <c r="H369" s="593">
        <f ca="1">$E369*(-SUMIF(INDIRECT(H$3),'Struktur Vorjahr'!$D369,INDIRECT(H$4))+SUMIF(INDIRECT(H$3),'Struktur Vorjahr'!$D369,INDIRECT(H$5)))</f>
        <v>0</v>
      </c>
      <c r="I369" s="593">
        <f ca="1">$E369*(-SUMIF(INDIRECT(I$3),'Struktur Vorjahr'!$D369,INDIRECT(I$4))+SUMIF(INDIRECT(I$3),'Struktur Vorjahr'!$D369,INDIRECT(I$5)))</f>
        <v>0</v>
      </c>
      <c r="J369" s="593">
        <f ca="1">$E369*(-SUMIF(INDIRECT(J$3),'Struktur Vorjahr'!$D369,INDIRECT(J$4))+SUMIF(INDIRECT(J$3),'Struktur Vorjahr'!$D369,INDIRECT(J$5)))</f>
        <v>0</v>
      </c>
      <c r="K369" s="593">
        <f ca="1">$E369*(-SUMIF(INDIRECT(K$3),'Struktur Vorjahr'!$D369,INDIRECT(K$4))+SUMIF(INDIRECT(K$3),'Struktur Vorjahr'!$D369,INDIRECT(K$5)))</f>
        <v>0</v>
      </c>
      <c r="L369" s="593">
        <f ca="1">$E369*(-SUMIF(INDIRECT(L$3),'Struktur Vorjahr'!$D369,INDIRECT(L$4))+SUMIF(INDIRECT(L$3),'Struktur Vorjahr'!$D369,INDIRECT(L$5)))</f>
        <v>0</v>
      </c>
      <c r="M369" s="593">
        <f ca="1">$E369*(-SUMIF(INDIRECT(M$3),'Struktur Vorjahr'!$D369,INDIRECT(M$4))+SUMIF(INDIRECT(M$3),'Struktur Vorjahr'!$D369,INDIRECT(M$5)))</f>
        <v>0</v>
      </c>
      <c r="N369" s="593">
        <f ca="1">$E369*(-SUMIF(INDIRECT(N$3),'Struktur Vorjahr'!$D369,INDIRECT(N$4))+SUMIF(INDIRECT(N$3),'Struktur Vorjahr'!$D369,INDIRECT(N$5)))</f>
        <v>0</v>
      </c>
      <c r="O369" s="593">
        <f ca="1">$E369*(-SUMIF(INDIRECT(O$3),'Struktur Vorjahr'!$D369,INDIRECT(O$4))+SUMIF(INDIRECT(O$3),'Struktur Vorjahr'!$D369,INDIRECT(O$5)))</f>
        <v>0</v>
      </c>
      <c r="P369" s="593">
        <f ca="1">$E369*(-SUMIF(INDIRECT(P$3),'Struktur Vorjahr'!$D369,INDIRECT(P$4))+SUMIF(INDIRECT(P$3),'Struktur Vorjahr'!$D369,INDIRECT(P$5)))</f>
        <v>0</v>
      </c>
      <c r="Q369" s="593">
        <f ca="1">$E369*(-SUMIF(INDIRECT(Q$3),'Struktur Vorjahr'!$D369,INDIRECT(Q$4))+SUMIF(INDIRECT(Q$3),'Struktur Vorjahr'!$D369,INDIRECT(Q$5)))</f>
        <v>0</v>
      </c>
      <c r="R369" s="593">
        <f ca="1">$E369*(-SUMIF(INDIRECT(R$3),'Struktur Vorjahr'!$D369,INDIRECT(R$4))+SUMIF(INDIRECT(R$3),'Struktur Vorjahr'!$D369,INDIRECT(R$5)))</f>
        <v>0</v>
      </c>
      <c r="S369" s="593">
        <f ca="1">$E369*(-SUMIF(INDIRECT(S$3),'Struktur Vorjahr'!$D369,INDIRECT(S$4))+SUMIF(INDIRECT(S$3),'Struktur Vorjahr'!$D369,INDIRECT(S$5)))</f>
        <v>0</v>
      </c>
      <c r="T369" s="593">
        <f ca="1">$E369*(-SUMIF(INDIRECT(T$3),'Struktur Vorjahr'!$D369,INDIRECT(T$4))+SUMIF(INDIRECT(T$3),'Struktur Vorjahr'!$D369,INDIRECT(T$5)))</f>
        <v>0</v>
      </c>
      <c r="U369" s="593">
        <f ca="1">$E369*(-SUMIF(INDIRECT(U$3),'Struktur Vorjahr'!$D369,INDIRECT(U$4))+SUMIF(INDIRECT(U$3),'Struktur Vorjahr'!$D369,INDIRECT(U$5)))</f>
        <v>0</v>
      </c>
      <c r="V369" s="593">
        <f ca="1">$E369*(-SUMIF(INDIRECT(V$3),'Struktur Vorjahr'!$D369,INDIRECT(V$4))+SUMIF(INDIRECT(V$3),'Struktur Vorjahr'!$D369,INDIRECT(V$5)))</f>
        <v>0</v>
      </c>
      <c r="W369" s="593">
        <f ca="1">$E369*(-SUMIF(INDIRECT(W$3),'Struktur Vorjahr'!$D369,INDIRECT(W$4))+SUMIF(INDIRECT(W$3),'Struktur Vorjahr'!$D369,INDIRECT(W$5)))</f>
        <v>0</v>
      </c>
      <c r="X369" s="593">
        <f ca="1">$E369*(-SUMIF(INDIRECT(X$3),'Struktur Vorjahr'!$D369,INDIRECT(X$4))+SUMIF(INDIRECT(X$3),'Struktur Vorjahr'!$D369,INDIRECT(X$5)))</f>
        <v>0</v>
      </c>
      <c r="Y369" s="593">
        <f ca="1">$E369*(-SUMIF(INDIRECT(Y$3),'Struktur Vorjahr'!$D369,INDIRECT(Y$4))+SUMIF(INDIRECT(Y$3),'Struktur Vorjahr'!$D369,INDIRECT(Y$5)))</f>
        <v>0</v>
      </c>
      <c r="Z369" s="593">
        <f ca="1">$E369*(-SUMIF(INDIRECT(Z$3),'Struktur Vorjahr'!$D369,INDIRECT(Z$4))+SUMIF(INDIRECT(Z$3),'Struktur Vorjahr'!$D369,INDIRECT(Z$5)))</f>
        <v>0</v>
      </c>
      <c r="AA369" s="593">
        <f ca="1">$E369*(-SUMIF(INDIRECT(AA$3),'Struktur Vorjahr'!$D369,INDIRECT(AA$4))+SUMIF(INDIRECT(AA$3),'Struktur Vorjahr'!$D369,INDIRECT(AA$5)))</f>
        <v>0</v>
      </c>
      <c r="AB369" s="593">
        <f ca="1">$E369*(-SUMIF(INDIRECT(AB$3),'Struktur Vorjahr'!$D369,INDIRECT(AB$4))+SUMIF(INDIRECT(AB$3),'Struktur Vorjahr'!$D369,INDIRECT(AB$5)))</f>
        <v>0</v>
      </c>
      <c r="AC369" s="593">
        <f ca="1">$E369*(-SUMIF(INDIRECT(AC$3),'Struktur Vorjahr'!$D369,INDIRECT(AC$4))+SUMIF(INDIRECT(AC$3),'Struktur Vorjahr'!$D369,INDIRECT(AC$5)))</f>
        <v>0</v>
      </c>
      <c r="AD369" s="593">
        <f ca="1">$E369*(-SUMIF(INDIRECT(AD$3),'Struktur Vorjahr'!$D369,INDIRECT(AD$4))+SUMIF(INDIRECT(AD$3),'Struktur Vorjahr'!$D369,INDIRECT(AD$5)))</f>
        <v>0</v>
      </c>
      <c r="AE369" s="593">
        <f t="shared" ca="1" si="174"/>
        <v>0</v>
      </c>
      <c r="AF369" s="593">
        <f t="shared" ca="1" si="175"/>
        <v>0</v>
      </c>
      <c r="AG369" s="593">
        <f t="shared" ca="1" si="175"/>
        <v>0</v>
      </c>
      <c r="AH369" s="593">
        <f t="shared" ca="1" si="175"/>
        <v>0</v>
      </c>
      <c r="AI369" s="593">
        <f t="shared" ca="1" si="175"/>
        <v>0</v>
      </c>
      <c r="AJ369" s="593">
        <f t="shared" ca="1" si="175"/>
        <v>0</v>
      </c>
      <c r="AK369" s="593">
        <f t="shared" ca="1" si="175"/>
        <v>0</v>
      </c>
      <c r="AL369" s="593">
        <f t="shared" ca="1" si="175"/>
        <v>0</v>
      </c>
      <c r="AM369" s="593">
        <f t="shared" ca="1" si="175"/>
        <v>0</v>
      </c>
      <c r="AN369" s="593">
        <f t="shared" ca="1" si="175"/>
        <v>0</v>
      </c>
      <c r="AO369" s="593">
        <f t="shared" ca="1" si="175"/>
        <v>0</v>
      </c>
      <c r="AP369" s="593">
        <f t="shared" ca="1" si="175"/>
        <v>0</v>
      </c>
    </row>
    <row r="370" spans="1:42" s="594" customFormat="1" ht="11.25" outlineLevel="1" x14ac:dyDescent="0.2">
      <c r="A370" s="590"/>
      <c r="B370" s="591" t="str">
        <f>IF(D370&lt;&gt;"",
IF(ISERROR(MATCH(D370,'Ist Vorjahr Monat 01'!A:A,0))=FALSE,INDEX('Ist Vorjahr Monat 01'!B:B,MATCH(D370,'Ist Vorjahr Monat 01'!A:A,0)),
IF(ISERROR(MATCH(D370,'Ist Vorjahr Monat 02'!A:A,0))=FALSE,INDEX('Ist Vorjahr Monat 02'!B:B,MATCH(D370,'Ist Vorjahr Monat 02'!A:A,0)),
IF(ISERROR(MATCH(D370,'Ist Vorjahr Monat 03'!A:A,0))=FALSE,INDEX('Ist Vorjahr Monat 03'!B:B,MATCH(D370,'Ist Vorjahr Monat 03'!A:A,0)),
IF(ISERROR(MATCH(D370,'Ist Vorjahr Monat 04'!A:A,0))=FALSE,INDEX('Ist Vorjahr Monat 04'!B:B,MATCH(D370,'Ist Vorjahr Monat 04'!A:A,0)),
IF(ISERROR(MATCH(D370,'Ist Vorjahr Monat 05'!A:A,0))=FALSE,INDEX('Ist Vorjahr Monat 05'!B:B,MATCH(D370,'Ist Vorjahr Monat 05'!A:A,0)),
IF(ISERROR(MATCH(D370,'Ist Vorjahr Monat 06'!A:A,0))=FALSE,INDEX('Ist Vorjahr Monat 06'!B:B,MATCH(D370,'Ist Vorjahr Monat 06'!A:A,0)),
IF(ISERROR(MATCH(D370,'Ist Vorjahr Monat 07'!A:A,0))=FALSE,INDEX('Ist Vorjahr Monat 07'!B:B,MATCH(D370,'Ist Vorjahr Monat 07'!A:A,0)),
IF(ISERROR(MATCH(D370,'Ist Vorjahr Monat 08'!A:A,0))=FALSE,INDEX('Ist Vorjahr Monat 08'!B:B,MATCH(D370,'Ist Vorjahr Monat 08'!A:A,0)),
IF(ISERROR(MATCH(D370,'Ist Vorjahr Monat 09'!A:A,0))=FALSE,INDEX('Ist Vorjahr Monat 09'!B:B,MATCH(D370,'Ist Vorjahr Monat 09'!A:A,0)),
IF(ISERROR(MATCH(D370,'Ist Vorjahr Monat 10'!A:A,0))=FALSE,INDEX('Ist Vorjahr Monat 10'!B:B,MATCH(D370,'Ist Vorjahr Monat 10'!A:A,0)),
IF(ISERROR(MATCH(D370,'Ist Vorjahr Monat 11'!A:A,0))=FALSE,INDEX('Ist Vorjahr Monat 11'!B:B,MATCH(D370,'Ist Vorjahr Monat 11'!A:A,0)),
IF(ISERROR(MATCH(D370,'Ist Vorjahr Monat 12'!A:A,0))=FALSE,INDEX('Ist Vorjahr Monat 12'!B:B,MATCH(D370,'Ist Vorjahr Monat 12'!A:A,0)),
"{Konto unbekannt}"
)))))))))))),"")</f>
        <v/>
      </c>
      <c r="C370" s="591"/>
      <c r="D370" s="590"/>
      <c r="E370" s="592">
        <f t="shared" ref="E370:E375" si="176">IF(F370="-",-1,1)</f>
        <v>1</v>
      </c>
      <c r="F370" s="590"/>
      <c r="G370" s="593">
        <f ca="1">$E370*(-SUMIF(INDIRECT(G$3),'Struktur Vorjahr'!$D370,INDIRECT(G$4))+SUMIF(INDIRECT(G$3),'Struktur Vorjahr'!$D370,INDIRECT(G$5)))</f>
        <v>0</v>
      </c>
      <c r="H370" s="593">
        <f ca="1">$E370*(-SUMIF(INDIRECT(H$3),'Struktur Vorjahr'!$D370,INDIRECT(H$4))+SUMIF(INDIRECT(H$3),'Struktur Vorjahr'!$D370,INDIRECT(H$5)))</f>
        <v>0</v>
      </c>
      <c r="I370" s="593">
        <f ca="1">$E370*(-SUMIF(INDIRECT(I$3),'Struktur Vorjahr'!$D370,INDIRECT(I$4))+SUMIF(INDIRECT(I$3),'Struktur Vorjahr'!$D370,INDIRECT(I$5)))</f>
        <v>0</v>
      </c>
      <c r="J370" s="593">
        <f ca="1">$E370*(-SUMIF(INDIRECT(J$3),'Struktur Vorjahr'!$D370,INDIRECT(J$4))+SUMIF(INDIRECT(J$3),'Struktur Vorjahr'!$D370,INDIRECT(J$5)))</f>
        <v>0</v>
      </c>
      <c r="K370" s="593">
        <f ca="1">$E370*(-SUMIF(INDIRECT(K$3),'Struktur Vorjahr'!$D370,INDIRECT(K$4))+SUMIF(INDIRECT(K$3),'Struktur Vorjahr'!$D370,INDIRECT(K$5)))</f>
        <v>0</v>
      </c>
      <c r="L370" s="593">
        <f ca="1">$E370*(-SUMIF(INDIRECT(L$3),'Struktur Vorjahr'!$D370,INDIRECT(L$4))+SUMIF(INDIRECT(L$3),'Struktur Vorjahr'!$D370,INDIRECT(L$5)))</f>
        <v>0</v>
      </c>
      <c r="M370" s="593">
        <f ca="1">$E370*(-SUMIF(INDIRECT(M$3),'Struktur Vorjahr'!$D370,INDIRECT(M$4))+SUMIF(INDIRECT(M$3),'Struktur Vorjahr'!$D370,INDIRECT(M$5)))</f>
        <v>0</v>
      </c>
      <c r="N370" s="593">
        <f ca="1">$E370*(-SUMIF(INDIRECT(N$3),'Struktur Vorjahr'!$D370,INDIRECT(N$4))+SUMIF(INDIRECT(N$3),'Struktur Vorjahr'!$D370,INDIRECT(N$5)))</f>
        <v>0</v>
      </c>
      <c r="O370" s="593">
        <f ca="1">$E370*(-SUMIF(INDIRECT(O$3),'Struktur Vorjahr'!$D370,INDIRECT(O$4))+SUMIF(INDIRECT(O$3),'Struktur Vorjahr'!$D370,INDIRECT(O$5)))</f>
        <v>0</v>
      </c>
      <c r="P370" s="593">
        <f ca="1">$E370*(-SUMIF(INDIRECT(P$3),'Struktur Vorjahr'!$D370,INDIRECT(P$4))+SUMIF(INDIRECT(P$3),'Struktur Vorjahr'!$D370,INDIRECT(P$5)))</f>
        <v>0</v>
      </c>
      <c r="Q370" s="593">
        <f ca="1">$E370*(-SUMIF(INDIRECT(Q$3),'Struktur Vorjahr'!$D370,INDIRECT(Q$4))+SUMIF(INDIRECT(Q$3),'Struktur Vorjahr'!$D370,INDIRECT(Q$5)))</f>
        <v>0</v>
      </c>
      <c r="R370" s="593">
        <f ca="1">$E370*(-SUMIF(INDIRECT(R$3),'Struktur Vorjahr'!$D370,INDIRECT(R$4))+SUMIF(INDIRECT(R$3),'Struktur Vorjahr'!$D370,INDIRECT(R$5)))</f>
        <v>0</v>
      </c>
      <c r="S370" s="593">
        <f ca="1">$E370*(-SUMIF(INDIRECT(S$3),'Struktur Vorjahr'!$D370,INDIRECT(S$4))+SUMIF(INDIRECT(S$3),'Struktur Vorjahr'!$D370,INDIRECT(S$5)))</f>
        <v>0</v>
      </c>
      <c r="T370" s="593">
        <f ca="1">$E370*(-SUMIF(INDIRECT(T$3),'Struktur Vorjahr'!$D370,INDIRECT(T$4))+SUMIF(INDIRECT(T$3),'Struktur Vorjahr'!$D370,INDIRECT(T$5)))</f>
        <v>0</v>
      </c>
      <c r="U370" s="593">
        <f ca="1">$E370*(-SUMIF(INDIRECT(U$3),'Struktur Vorjahr'!$D370,INDIRECT(U$4))+SUMIF(INDIRECT(U$3),'Struktur Vorjahr'!$D370,INDIRECT(U$5)))</f>
        <v>0</v>
      </c>
      <c r="V370" s="593">
        <f ca="1">$E370*(-SUMIF(INDIRECT(V$3),'Struktur Vorjahr'!$D370,INDIRECT(V$4))+SUMIF(INDIRECT(V$3),'Struktur Vorjahr'!$D370,INDIRECT(V$5)))</f>
        <v>0</v>
      </c>
      <c r="W370" s="593">
        <f ca="1">$E370*(-SUMIF(INDIRECT(W$3),'Struktur Vorjahr'!$D370,INDIRECT(W$4))+SUMIF(INDIRECT(W$3),'Struktur Vorjahr'!$D370,INDIRECT(W$5)))</f>
        <v>0</v>
      </c>
      <c r="X370" s="593">
        <f ca="1">$E370*(-SUMIF(INDIRECT(X$3),'Struktur Vorjahr'!$D370,INDIRECT(X$4))+SUMIF(INDIRECT(X$3),'Struktur Vorjahr'!$D370,INDIRECT(X$5)))</f>
        <v>0</v>
      </c>
      <c r="Y370" s="593">
        <f ca="1">$E370*(-SUMIF(INDIRECT(Y$3),'Struktur Vorjahr'!$D370,INDIRECT(Y$4))+SUMIF(INDIRECT(Y$3),'Struktur Vorjahr'!$D370,INDIRECT(Y$5)))</f>
        <v>0</v>
      </c>
      <c r="Z370" s="593">
        <f ca="1">$E370*(-SUMIF(INDIRECT(Z$3),'Struktur Vorjahr'!$D370,INDIRECT(Z$4))+SUMIF(INDIRECT(Z$3),'Struktur Vorjahr'!$D370,INDIRECT(Z$5)))</f>
        <v>0</v>
      </c>
      <c r="AA370" s="593">
        <f ca="1">$E370*(-SUMIF(INDIRECT(AA$3),'Struktur Vorjahr'!$D370,INDIRECT(AA$4))+SUMIF(INDIRECT(AA$3),'Struktur Vorjahr'!$D370,INDIRECT(AA$5)))</f>
        <v>0</v>
      </c>
      <c r="AB370" s="593">
        <f ca="1">$E370*(-SUMIF(INDIRECT(AB$3),'Struktur Vorjahr'!$D370,INDIRECT(AB$4))+SUMIF(INDIRECT(AB$3),'Struktur Vorjahr'!$D370,INDIRECT(AB$5)))</f>
        <v>0</v>
      </c>
      <c r="AC370" s="593">
        <f ca="1">$E370*(-SUMIF(INDIRECT(AC$3),'Struktur Vorjahr'!$D370,INDIRECT(AC$4))+SUMIF(INDIRECT(AC$3),'Struktur Vorjahr'!$D370,INDIRECT(AC$5)))</f>
        <v>0</v>
      </c>
      <c r="AD370" s="593">
        <f ca="1">$E370*(-SUMIF(INDIRECT(AD$3),'Struktur Vorjahr'!$D370,INDIRECT(AD$4))+SUMIF(INDIRECT(AD$3),'Struktur Vorjahr'!$D370,INDIRECT(AD$5)))</f>
        <v>0</v>
      </c>
      <c r="AE370" s="593">
        <f t="shared" ca="1" si="174"/>
        <v>0</v>
      </c>
      <c r="AF370" s="593">
        <f t="shared" ca="1" si="175"/>
        <v>0</v>
      </c>
      <c r="AG370" s="593">
        <f t="shared" ca="1" si="175"/>
        <v>0</v>
      </c>
      <c r="AH370" s="593">
        <f t="shared" ca="1" si="175"/>
        <v>0</v>
      </c>
      <c r="AI370" s="593">
        <f t="shared" ca="1" si="175"/>
        <v>0</v>
      </c>
      <c r="AJ370" s="593">
        <f t="shared" ca="1" si="175"/>
        <v>0</v>
      </c>
      <c r="AK370" s="593">
        <f t="shared" ca="1" si="175"/>
        <v>0</v>
      </c>
      <c r="AL370" s="593">
        <f t="shared" ca="1" si="175"/>
        <v>0</v>
      </c>
      <c r="AM370" s="593">
        <f t="shared" ca="1" si="175"/>
        <v>0</v>
      </c>
      <c r="AN370" s="593">
        <f t="shared" ca="1" si="175"/>
        <v>0</v>
      </c>
      <c r="AO370" s="593">
        <f t="shared" ca="1" si="175"/>
        <v>0</v>
      </c>
      <c r="AP370" s="593">
        <f t="shared" ca="1" si="175"/>
        <v>0</v>
      </c>
    </row>
    <row r="371" spans="1:42" s="594" customFormat="1" ht="11.25" outlineLevel="1" x14ac:dyDescent="0.2">
      <c r="A371" s="590"/>
      <c r="B371" s="591" t="str">
        <f>IF(D371&lt;&gt;"",
IF(ISERROR(MATCH(D371,'Ist Vorjahr Monat 01'!A:A,0))=FALSE,INDEX('Ist Vorjahr Monat 01'!B:B,MATCH(D371,'Ist Vorjahr Monat 01'!A:A,0)),
IF(ISERROR(MATCH(D371,'Ist Vorjahr Monat 02'!A:A,0))=FALSE,INDEX('Ist Vorjahr Monat 02'!B:B,MATCH(D371,'Ist Vorjahr Monat 02'!A:A,0)),
IF(ISERROR(MATCH(D371,'Ist Vorjahr Monat 03'!A:A,0))=FALSE,INDEX('Ist Vorjahr Monat 03'!B:B,MATCH(D371,'Ist Vorjahr Monat 03'!A:A,0)),
IF(ISERROR(MATCH(D371,'Ist Vorjahr Monat 04'!A:A,0))=FALSE,INDEX('Ist Vorjahr Monat 04'!B:B,MATCH(D371,'Ist Vorjahr Monat 04'!A:A,0)),
IF(ISERROR(MATCH(D371,'Ist Vorjahr Monat 05'!A:A,0))=FALSE,INDEX('Ist Vorjahr Monat 05'!B:B,MATCH(D371,'Ist Vorjahr Monat 05'!A:A,0)),
IF(ISERROR(MATCH(D371,'Ist Vorjahr Monat 06'!A:A,0))=FALSE,INDEX('Ist Vorjahr Monat 06'!B:B,MATCH(D371,'Ist Vorjahr Monat 06'!A:A,0)),
IF(ISERROR(MATCH(D371,'Ist Vorjahr Monat 07'!A:A,0))=FALSE,INDEX('Ist Vorjahr Monat 07'!B:B,MATCH(D371,'Ist Vorjahr Monat 07'!A:A,0)),
IF(ISERROR(MATCH(D371,'Ist Vorjahr Monat 08'!A:A,0))=FALSE,INDEX('Ist Vorjahr Monat 08'!B:B,MATCH(D371,'Ist Vorjahr Monat 08'!A:A,0)),
IF(ISERROR(MATCH(D371,'Ist Vorjahr Monat 09'!A:A,0))=FALSE,INDEX('Ist Vorjahr Monat 09'!B:B,MATCH(D371,'Ist Vorjahr Monat 09'!A:A,0)),
IF(ISERROR(MATCH(D371,'Ist Vorjahr Monat 10'!A:A,0))=FALSE,INDEX('Ist Vorjahr Monat 10'!B:B,MATCH(D371,'Ist Vorjahr Monat 10'!A:A,0)),
IF(ISERROR(MATCH(D371,'Ist Vorjahr Monat 11'!A:A,0))=FALSE,INDEX('Ist Vorjahr Monat 11'!B:B,MATCH(D371,'Ist Vorjahr Monat 11'!A:A,0)),
IF(ISERROR(MATCH(D371,'Ist Vorjahr Monat 12'!A:A,0))=FALSE,INDEX('Ist Vorjahr Monat 12'!B:B,MATCH(D371,'Ist Vorjahr Monat 12'!A:A,0)),
"{Konto unbekannt}"
)))))))))))),"")</f>
        <v/>
      </c>
      <c r="C371" s="591"/>
      <c r="D371" s="590"/>
      <c r="E371" s="592">
        <f t="shared" si="176"/>
        <v>1</v>
      </c>
      <c r="F371" s="590"/>
      <c r="G371" s="593">
        <f ca="1">$E371*(-SUMIF(INDIRECT(G$3),'Struktur Vorjahr'!$D371,INDIRECT(G$4))+SUMIF(INDIRECT(G$3),'Struktur Vorjahr'!$D371,INDIRECT(G$5)))</f>
        <v>0</v>
      </c>
      <c r="H371" s="593">
        <f ca="1">$E371*(-SUMIF(INDIRECT(H$3),'Struktur Vorjahr'!$D371,INDIRECT(H$4))+SUMIF(INDIRECT(H$3),'Struktur Vorjahr'!$D371,INDIRECT(H$5)))</f>
        <v>0</v>
      </c>
      <c r="I371" s="593">
        <f ca="1">$E371*(-SUMIF(INDIRECT(I$3),'Struktur Vorjahr'!$D371,INDIRECT(I$4))+SUMIF(INDIRECT(I$3),'Struktur Vorjahr'!$D371,INDIRECT(I$5)))</f>
        <v>0</v>
      </c>
      <c r="J371" s="593">
        <f ca="1">$E371*(-SUMIF(INDIRECT(J$3),'Struktur Vorjahr'!$D371,INDIRECT(J$4))+SUMIF(INDIRECT(J$3),'Struktur Vorjahr'!$D371,INDIRECT(J$5)))</f>
        <v>0</v>
      </c>
      <c r="K371" s="593">
        <f ca="1">$E371*(-SUMIF(INDIRECT(K$3),'Struktur Vorjahr'!$D371,INDIRECT(K$4))+SUMIF(INDIRECT(K$3),'Struktur Vorjahr'!$D371,INDIRECT(K$5)))</f>
        <v>0</v>
      </c>
      <c r="L371" s="593">
        <f ca="1">$E371*(-SUMIF(INDIRECT(L$3),'Struktur Vorjahr'!$D371,INDIRECT(L$4))+SUMIF(INDIRECT(L$3),'Struktur Vorjahr'!$D371,INDIRECT(L$5)))</f>
        <v>0</v>
      </c>
      <c r="M371" s="593">
        <f ca="1">$E371*(-SUMIF(INDIRECT(M$3),'Struktur Vorjahr'!$D371,INDIRECT(M$4))+SUMIF(INDIRECT(M$3),'Struktur Vorjahr'!$D371,INDIRECT(M$5)))</f>
        <v>0</v>
      </c>
      <c r="N371" s="593">
        <f ca="1">$E371*(-SUMIF(INDIRECT(N$3),'Struktur Vorjahr'!$D371,INDIRECT(N$4))+SUMIF(INDIRECT(N$3),'Struktur Vorjahr'!$D371,INDIRECT(N$5)))</f>
        <v>0</v>
      </c>
      <c r="O371" s="593">
        <f ca="1">$E371*(-SUMIF(INDIRECT(O$3),'Struktur Vorjahr'!$D371,INDIRECT(O$4))+SUMIF(INDIRECT(O$3),'Struktur Vorjahr'!$D371,INDIRECT(O$5)))</f>
        <v>0</v>
      </c>
      <c r="P371" s="593">
        <f ca="1">$E371*(-SUMIF(INDIRECT(P$3),'Struktur Vorjahr'!$D371,INDIRECT(P$4))+SUMIF(INDIRECT(P$3),'Struktur Vorjahr'!$D371,INDIRECT(P$5)))</f>
        <v>0</v>
      </c>
      <c r="Q371" s="593">
        <f ca="1">$E371*(-SUMIF(INDIRECT(Q$3),'Struktur Vorjahr'!$D371,INDIRECT(Q$4))+SUMIF(INDIRECT(Q$3),'Struktur Vorjahr'!$D371,INDIRECT(Q$5)))</f>
        <v>0</v>
      </c>
      <c r="R371" s="593">
        <f ca="1">$E371*(-SUMIF(INDIRECT(R$3),'Struktur Vorjahr'!$D371,INDIRECT(R$4))+SUMIF(INDIRECT(R$3),'Struktur Vorjahr'!$D371,INDIRECT(R$5)))</f>
        <v>0</v>
      </c>
      <c r="S371" s="593">
        <f ca="1">$E371*(-SUMIF(INDIRECT(S$3),'Struktur Vorjahr'!$D371,INDIRECT(S$4))+SUMIF(INDIRECT(S$3),'Struktur Vorjahr'!$D371,INDIRECT(S$5)))</f>
        <v>0</v>
      </c>
      <c r="T371" s="593">
        <f ca="1">$E371*(-SUMIF(INDIRECT(T$3),'Struktur Vorjahr'!$D371,INDIRECT(T$4))+SUMIF(INDIRECT(T$3),'Struktur Vorjahr'!$D371,INDIRECT(T$5)))</f>
        <v>0</v>
      </c>
      <c r="U371" s="593">
        <f ca="1">$E371*(-SUMIF(INDIRECT(U$3),'Struktur Vorjahr'!$D371,INDIRECT(U$4))+SUMIF(INDIRECT(U$3),'Struktur Vorjahr'!$D371,INDIRECT(U$5)))</f>
        <v>0</v>
      </c>
      <c r="V371" s="593">
        <f ca="1">$E371*(-SUMIF(INDIRECT(V$3),'Struktur Vorjahr'!$D371,INDIRECT(V$4))+SUMIF(INDIRECT(V$3),'Struktur Vorjahr'!$D371,INDIRECT(V$5)))</f>
        <v>0</v>
      </c>
      <c r="W371" s="593">
        <f ca="1">$E371*(-SUMIF(INDIRECT(W$3),'Struktur Vorjahr'!$D371,INDIRECT(W$4))+SUMIF(INDIRECT(W$3),'Struktur Vorjahr'!$D371,INDIRECT(W$5)))</f>
        <v>0</v>
      </c>
      <c r="X371" s="593">
        <f ca="1">$E371*(-SUMIF(INDIRECT(X$3),'Struktur Vorjahr'!$D371,INDIRECT(X$4))+SUMIF(INDIRECT(X$3),'Struktur Vorjahr'!$D371,INDIRECT(X$5)))</f>
        <v>0</v>
      </c>
      <c r="Y371" s="593">
        <f ca="1">$E371*(-SUMIF(INDIRECT(Y$3),'Struktur Vorjahr'!$D371,INDIRECT(Y$4))+SUMIF(INDIRECT(Y$3),'Struktur Vorjahr'!$D371,INDIRECT(Y$5)))</f>
        <v>0</v>
      </c>
      <c r="Z371" s="593">
        <f ca="1">$E371*(-SUMIF(INDIRECT(Z$3),'Struktur Vorjahr'!$D371,INDIRECT(Z$4))+SUMIF(INDIRECT(Z$3),'Struktur Vorjahr'!$D371,INDIRECT(Z$5)))</f>
        <v>0</v>
      </c>
      <c r="AA371" s="593">
        <f ca="1">$E371*(-SUMIF(INDIRECT(AA$3),'Struktur Vorjahr'!$D371,INDIRECT(AA$4))+SUMIF(INDIRECT(AA$3),'Struktur Vorjahr'!$D371,INDIRECT(AA$5)))</f>
        <v>0</v>
      </c>
      <c r="AB371" s="593">
        <f ca="1">$E371*(-SUMIF(INDIRECT(AB$3),'Struktur Vorjahr'!$D371,INDIRECT(AB$4))+SUMIF(INDIRECT(AB$3),'Struktur Vorjahr'!$D371,INDIRECT(AB$5)))</f>
        <v>0</v>
      </c>
      <c r="AC371" s="593">
        <f ca="1">$E371*(-SUMIF(INDIRECT(AC$3),'Struktur Vorjahr'!$D371,INDIRECT(AC$4))+SUMIF(INDIRECT(AC$3),'Struktur Vorjahr'!$D371,INDIRECT(AC$5)))</f>
        <v>0</v>
      </c>
      <c r="AD371" s="593">
        <f ca="1">$E371*(-SUMIF(INDIRECT(AD$3),'Struktur Vorjahr'!$D371,INDIRECT(AD$4))+SUMIF(INDIRECT(AD$3),'Struktur Vorjahr'!$D371,INDIRECT(AD$5)))</f>
        <v>0</v>
      </c>
      <c r="AE371" s="593">
        <f t="shared" ca="1" si="174"/>
        <v>0</v>
      </c>
      <c r="AF371" s="593">
        <f t="shared" ca="1" si="175"/>
        <v>0</v>
      </c>
      <c r="AG371" s="593">
        <f t="shared" ca="1" si="175"/>
        <v>0</v>
      </c>
      <c r="AH371" s="593">
        <f t="shared" ca="1" si="175"/>
        <v>0</v>
      </c>
      <c r="AI371" s="593">
        <f t="shared" ca="1" si="175"/>
        <v>0</v>
      </c>
      <c r="AJ371" s="593">
        <f t="shared" ca="1" si="175"/>
        <v>0</v>
      </c>
      <c r="AK371" s="593">
        <f t="shared" ca="1" si="175"/>
        <v>0</v>
      </c>
      <c r="AL371" s="593">
        <f t="shared" ca="1" si="175"/>
        <v>0</v>
      </c>
      <c r="AM371" s="593">
        <f t="shared" ca="1" si="175"/>
        <v>0</v>
      </c>
      <c r="AN371" s="593">
        <f t="shared" ca="1" si="175"/>
        <v>0</v>
      </c>
      <c r="AO371" s="593">
        <f t="shared" ca="1" si="175"/>
        <v>0</v>
      </c>
      <c r="AP371" s="593">
        <f t="shared" ca="1" si="175"/>
        <v>0</v>
      </c>
    </row>
    <row r="372" spans="1:42" s="594" customFormat="1" ht="11.25" x14ac:dyDescent="0.2">
      <c r="A372" s="590"/>
      <c r="B372" s="591" t="str">
        <f>IF(D372&lt;&gt;"",
IF(ISERROR(MATCH(D372,'Ist Vorjahr Monat 01'!A:A,0))=FALSE,INDEX('Ist Vorjahr Monat 01'!B:B,MATCH(D372,'Ist Vorjahr Monat 01'!A:A,0)),
IF(ISERROR(MATCH(D372,'Ist Vorjahr Monat 02'!A:A,0))=FALSE,INDEX('Ist Vorjahr Monat 02'!B:B,MATCH(D372,'Ist Vorjahr Monat 02'!A:A,0)),
IF(ISERROR(MATCH(D372,'Ist Vorjahr Monat 03'!A:A,0))=FALSE,INDEX('Ist Vorjahr Monat 03'!B:B,MATCH(D372,'Ist Vorjahr Monat 03'!A:A,0)),
IF(ISERROR(MATCH(D372,'Ist Vorjahr Monat 04'!A:A,0))=FALSE,INDEX('Ist Vorjahr Monat 04'!B:B,MATCH(D372,'Ist Vorjahr Monat 04'!A:A,0)),
IF(ISERROR(MATCH(D372,'Ist Vorjahr Monat 05'!A:A,0))=FALSE,INDEX('Ist Vorjahr Monat 05'!B:B,MATCH(D372,'Ist Vorjahr Monat 05'!A:A,0)),
IF(ISERROR(MATCH(D372,'Ist Vorjahr Monat 06'!A:A,0))=FALSE,INDEX('Ist Vorjahr Monat 06'!B:B,MATCH(D372,'Ist Vorjahr Monat 06'!A:A,0)),
IF(ISERROR(MATCH(D372,'Ist Vorjahr Monat 07'!A:A,0))=FALSE,INDEX('Ist Vorjahr Monat 07'!B:B,MATCH(D372,'Ist Vorjahr Monat 07'!A:A,0)),
IF(ISERROR(MATCH(D372,'Ist Vorjahr Monat 08'!A:A,0))=FALSE,INDEX('Ist Vorjahr Monat 08'!B:B,MATCH(D372,'Ist Vorjahr Monat 08'!A:A,0)),
IF(ISERROR(MATCH(D372,'Ist Vorjahr Monat 09'!A:A,0))=FALSE,INDEX('Ist Vorjahr Monat 09'!B:B,MATCH(D372,'Ist Vorjahr Monat 09'!A:A,0)),
IF(ISERROR(MATCH(D372,'Ist Vorjahr Monat 10'!A:A,0))=FALSE,INDEX('Ist Vorjahr Monat 10'!B:B,MATCH(D372,'Ist Vorjahr Monat 10'!A:A,0)),
IF(ISERROR(MATCH(D372,'Ist Vorjahr Monat 11'!A:A,0))=FALSE,INDEX('Ist Vorjahr Monat 11'!B:B,MATCH(D372,'Ist Vorjahr Monat 11'!A:A,0)),
IF(ISERROR(MATCH(D372,'Ist Vorjahr Monat 12'!A:A,0))=FALSE,INDEX('Ist Vorjahr Monat 12'!B:B,MATCH(D372,'Ist Vorjahr Monat 12'!A:A,0)),
"{Konto unbekannt}"
)))))))))))),"")</f>
        <v/>
      </c>
      <c r="C372" s="591"/>
      <c r="D372" s="590"/>
      <c r="E372" s="592">
        <f t="shared" si="176"/>
        <v>1</v>
      </c>
      <c r="F372" s="590"/>
      <c r="G372" s="593">
        <f ca="1">$E372*(-SUMIF(INDIRECT(G$3),'Struktur Vorjahr'!$D372,INDIRECT(G$4))+SUMIF(INDIRECT(G$3),'Struktur Vorjahr'!$D372,INDIRECT(G$5)))</f>
        <v>0</v>
      </c>
      <c r="H372" s="593">
        <f ca="1">$E372*(-SUMIF(INDIRECT(H$3),'Struktur Vorjahr'!$D372,INDIRECT(H$4))+SUMIF(INDIRECT(H$3),'Struktur Vorjahr'!$D372,INDIRECT(H$5)))</f>
        <v>0</v>
      </c>
      <c r="I372" s="593">
        <f ca="1">$E372*(-SUMIF(INDIRECT(I$3),'Struktur Vorjahr'!$D372,INDIRECT(I$4))+SUMIF(INDIRECT(I$3),'Struktur Vorjahr'!$D372,INDIRECT(I$5)))</f>
        <v>0</v>
      </c>
      <c r="J372" s="593">
        <f ca="1">$E372*(-SUMIF(INDIRECT(J$3),'Struktur Vorjahr'!$D372,INDIRECT(J$4))+SUMIF(INDIRECT(J$3),'Struktur Vorjahr'!$D372,INDIRECT(J$5)))</f>
        <v>0</v>
      </c>
      <c r="K372" s="593">
        <f ca="1">$E372*(-SUMIF(INDIRECT(K$3),'Struktur Vorjahr'!$D372,INDIRECT(K$4))+SUMIF(INDIRECT(K$3),'Struktur Vorjahr'!$D372,INDIRECT(K$5)))</f>
        <v>0</v>
      </c>
      <c r="L372" s="593">
        <f ca="1">$E372*(-SUMIF(INDIRECT(L$3),'Struktur Vorjahr'!$D372,INDIRECT(L$4))+SUMIF(INDIRECT(L$3),'Struktur Vorjahr'!$D372,INDIRECT(L$5)))</f>
        <v>0</v>
      </c>
      <c r="M372" s="593">
        <f ca="1">$E372*(-SUMIF(INDIRECT(M$3),'Struktur Vorjahr'!$D372,INDIRECT(M$4))+SUMIF(INDIRECT(M$3),'Struktur Vorjahr'!$D372,INDIRECT(M$5)))</f>
        <v>0</v>
      </c>
      <c r="N372" s="593">
        <f ca="1">$E372*(-SUMIF(INDIRECT(N$3),'Struktur Vorjahr'!$D372,INDIRECT(N$4))+SUMIF(INDIRECT(N$3),'Struktur Vorjahr'!$D372,INDIRECT(N$5)))</f>
        <v>0</v>
      </c>
      <c r="O372" s="593">
        <f ca="1">$E372*(-SUMIF(INDIRECT(O$3),'Struktur Vorjahr'!$D372,INDIRECT(O$4))+SUMIF(INDIRECT(O$3),'Struktur Vorjahr'!$D372,INDIRECT(O$5)))</f>
        <v>0</v>
      </c>
      <c r="P372" s="593">
        <f ca="1">$E372*(-SUMIF(INDIRECT(P$3),'Struktur Vorjahr'!$D372,INDIRECT(P$4))+SUMIF(INDIRECT(P$3),'Struktur Vorjahr'!$D372,INDIRECT(P$5)))</f>
        <v>0</v>
      </c>
      <c r="Q372" s="593">
        <f ca="1">$E372*(-SUMIF(INDIRECT(Q$3),'Struktur Vorjahr'!$D372,INDIRECT(Q$4))+SUMIF(INDIRECT(Q$3),'Struktur Vorjahr'!$D372,INDIRECT(Q$5)))</f>
        <v>0</v>
      </c>
      <c r="R372" s="593">
        <f ca="1">$E372*(-SUMIF(INDIRECT(R$3),'Struktur Vorjahr'!$D372,INDIRECT(R$4))+SUMIF(INDIRECT(R$3),'Struktur Vorjahr'!$D372,INDIRECT(R$5)))</f>
        <v>0</v>
      </c>
      <c r="S372" s="593">
        <f ca="1">$E372*(-SUMIF(INDIRECT(S$3),'Struktur Vorjahr'!$D372,INDIRECT(S$4))+SUMIF(INDIRECT(S$3),'Struktur Vorjahr'!$D372,INDIRECT(S$5)))</f>
        <v>0</v>
      </c>
      <c r="T372" s="593">
        <f ca="1">$E372*(-SUMIF(INDIRECT(T$3),'Struktur Vorjahr'!$D372,INDIRECT(T$4))+SUMIF(INDIRECT(T$3),'Struktur Vorjahr'!$D372,INDIRECT(T$5)))</f>
        <v>0</v>
      </c>
      <c r="U372" s="593">
        <f ca="1">$E372*(-SUMIF(INDIRECT(U$3),'Struktur Vorjahr'!$D372,INDIRECT(U$4))+SUMIF(INDIRECT(U$3),'Struktur Vorjahr'!$D372,INDIRECT(U$5)))</f>
        <v>0</v>
      </c>
      <c r="V372" s="593">
        <f ca="1">$E372*(-SUMIF(INDIRECT(V$3),'Struktur Vorjahr'!$D372,INDIRECT(V$4))+SUMIF(INDIRECT(V$3),'Struktur Vorjahr'!$D372,INDIRECT(V$5)))</f>
        <v>0</v>
      </c>
      <c r="W372" s="593">
        <f ca="1">$E372*(-SUMIF(INDIRECT(W$3),'Struktur Vorjahr'!$D372,INDIRECT(W$4))+SUMIF(INDIRECT(W$3),'Struktur Vorjahr'!$D372,INDIRECT(W$5)))</f>
        <v>0</v>
      </c>
      <c r="X372" s="593">
        <f ca="1">$E372*(-SUMIF(INDIRECT(X$3),'Struktur Vorjahr'!$D372,INDIRECT(X$4))+SUMIF(INDIRECT(X$3),'Struktur Vorjahr'!$D372,INDIRECT(X$5)))</f>
        <v>0</v>
      </c>
      <c r="Y372" s="593">
        <f ca="1">$E372*(-SUMIF(INDIRECT(Y$3),'Struktur Vorjahr'!$D372,INDIRECT(Y$4))+SUMIF(INDIRECT(Y$3),'Struktur Vorjahr'!$D372,INDIRECT(Y$5)))</f>
        <v>0</v>
      </c>
      <c r="Z372" s="593">
        <f ca="1">$E372*(-SUMIF(INDIRECT(Z$3),'Struktur Vorjahr'!$D372,INDIRECT(Z$4))+SUMIF(INDIRECT(Z$3),'Struktur Vorjahr'!$D372,INDIRECT(Z$5)))</f>
        <v>0</v>
      </c>
      <c r="AA372" s="593">
        <f ca="1">$E372*(-SUMIF(INDIRECT(AA$3),'Struktur Vorjahr'!$D372,INDIRECT(AA$4))+SUMIF(INDIRECT(AA$3),'Struktur Vorjahr'!$D372,INDIRECT(AA$5)))</f>
        <v>0</v>
      </c>
      <c r="AB372" s="593">
        <f ca="1">$E372*(-SUMIF(INDIRECT(AB$3),'Struktur Vorjahr'!$D372,INDIRECT(AB$4))+SUMIF(INDIRECT(AB$3),'Struktur Vorjahr'!$D372,INDIRECT(AB$5)))</f>
        <v>0</v>
      </c>
      <c r="AC372" s="593">
        <f ca="1">$E372*(-SUMIF(INDIRECT(AC$3),'Struktur Vorjahr'!$D372,INDIRECT(AC$4))+SUMIF(INDIRECT(AC$3),'Struktur Vorjahr'!$D372,INDIRECT(AC$5)))</f>
        <v>0</v>
      </c>
      <c r="AD372" s="593">
        <f ca="1">$E372*(-SUMIF(INDIRECT(AD$3),'Struktur Vorjahr'!$D372,INDIRECT(AD$4))+SUMIF(INDIRECT(AD$3),'Struktur Vorjahr'!$D372,INDIRECT(AD$5)))</f>
        <v>0</v>
      </c>
      <c r="AE372" s="593">
        <f t="shared" ca="1" si="174"/>
        <v>0</v>
      </c>
      <c r="AF372" s="593">
        <f t="shared" ca="1" si="175"/>
        <v>0</v>
      </c>
      <c r="AG372" s="593">
        <f t="shared" ca="1" si="175"/>
        <v>0</v>
      </c>
      <c r="AH372" s="593">
        <f t="shared" ca="1" si="175"/>
        <v>0</v>
      </c>
      <c r="AI372" s="593">
        <f t="shared" ca="1" si="175"/>
        <v>0</v>
      </c>
      <c r="AJ372" s="593">
        <f t="shared" ca="1" si="175"/>
        <v>0</v>
      </c>
      <c r="AK372" s="593">
        <f t="shared" ca="1" si="175"/>
        <v>0</v>
      </c>
      <c r="AL372" s="593">
        <f t="shared" ca="1" si="175"/>
        <v>0</v>
      </c>
      <c r="AM372" s="593">
        <f t="shared" ca="1" si="175"/>
        <v>0</v>
      </c>
      <c r="AN372" s="593">
        <f t="shared" ca="1" si="175"/>
        <v>0</v>
      </c>
      <c r="AO372" s="593">
        <f t="shared" ca="1" si="175"/>
        <v>0</v>
      </c>
      <c r="AP372" s="593">
        <f t="shared" ca="1" si="175"/>
        <v>0</v>
      </c>
    </row>
    <row r="373" spans="1:42" s="594" customFormat="1" ht="11.25" outlineLevel="1" x14ac:dyDescent="0.2">
      <c r="A373" s="590"/>
      <c r="B373" s="591" t="str">
        <f>IF(D373&lt;&gt;"",
IF(ISERROR(MATCH(D373,'Ist Vorjahr Monat 01'!A:A,0))=FALSE,INDEX('Ist Vorjahr Monat 01'!B:B,MATCH(D373,'Ist Vorjahr Monat 01'!A:A,0)),
IF(ISERROR(MATCH(D373,'Ist Vorjahr Monat 02'!A:A,0))=FALSE,INDEX('Ist Vorjahr Monat 02'!B:B,MATCH(D373,'Ist Vorjahr Monat 02'!A:A,0)),
IF(ISERROR(MATCH(D373,'Ist Vorjahr Monat 03'!A:A,0))=FALSE,INDEX('Ist Vorjahr Monat 03'!B:B,MATCH(D373,'Ist Vorjahr Monat 03'!A:A,0)),
IF(ISERROR(MATCH(D373,'Ist Vorjahr Monat 04'!A:A,0))=FALSE,INDEX('Ist Vorjahr Monat 04'!B:B,MATCH(D373,'Ist Vorjahr Monat 04'!A:A,0)),
IF(ISERROR(MATCH(D373,'Ist Vorjahr Monat 05'!A:A,0))=FALSE,INDEX('Ist Vorjahr Monat 05'!B:B,MATCH(D373,'Ist Vorjahr Monat 05'!A:A,0)),
IF(ISERROR(MATCH(D373,'Ist Vorjahr Monat 06'!A:A,0))=FALSE,INDEX('Ist Vorjahr Monat 06'!B:B,MATCH(D373,'Ist Vorjahr Monat 06'!A:A,0)),
IF(ISERROR(MATCH(D373,'Ist Vorjahr Monat 07'!A:A,0))=FALSE,INDEX('Ist Vorjahr Monat 07'!B:B,MATCH(D373,'Ist Vorjahr Monat 07'!A:A,0)),
IF(ISERROR(MATCH(D373,'Ist Vorjahr Monat 08'!A:A,0))=FALSE,INDEX('Ist Vorjahr Monat 08'!B:B,MATCH(D373,'Ist Vorjahr Monat 08'!A:A,0)),
IF(ISERROR(MATCH(D373,'Ist Vorjahr Monat 09'!A:A,0))=FALSE,INDEX('Ist Vorjahr Monat 09'!B:B,MATCH(D373,'Ist Vorjahr Monat 09'!A:A,0)),
IF(ISERROR(MATCH(D373,'Ist Vorjahr Monat 10'!A:A,0))=FALSE,INDEX('Ist Vorjahr Monat 10'!B:B,MATCH(D373,'Ist Vorjahr Monat 10'!A:A,0)),
IF(ISERROR(MATCH(D373,'Ist Vorjahr Monat 11'!A:A,0))=FALSE,INDEX('Ist Vorjahr Monat 11'!B:B,MATCH(D373,'Ist Vorjahr Monat 11'!A:A,0)),
IF(ISERROR(MATCH(D373,'Ist Vorjahr Monat 12'!A:A,0))=FALSE,INDEX('Ist Vorjahr Monat 12'!B:B,MATCH(D373,'Ist Vorjahr Monat 12'!A:A,0)),
"{Konto unbekannt}"
)))))))))))),"")</f>
        <v/>
      </c>
      <c r="C373" s="591"/>
      <c r="D373" s="590"/>
      <c r="E373" s="592">
        <f t="shared" si="176"/>
        <v>1</v>
      </c>
      <c r="F373" s="590"/>
      <c r="G373" s="593">
        <f ca="1">$E373*(-SUMIF(INDIRECT(G$3),'Struktur Vorjahr'!$D373,INDIRECT(G$4))+SUMIF(INDIRECT(G$3),'Struktur Vorjahr'!$D373,INDIRECT(G$5)))</f>
        <v>0</v>
      </c>
      <c r="H373" s="593">
        <f ca="1">$E373*(-SUMIF(INDIRECT(H$3),'Struktur Vorjahr'!$D373,INDIRECT(H$4))+SUMIF(INDIRECT(H$3),'Struktur Vorjahr'!$D373,INDIRECT(H$5)))</f>
        <v>0</v>
      </c>
      <c r="I373" s="593">
        <f ca="1">$E373*(-SUMIF(INDIRECT(I$3),'Struktur Vorjahr'!$D373,INDIRECT(I$4))+SUMIF(INDIRECT(I$3),'Struktur Vorjahr'!$D373,INDIRECT(I$5)))</f>
        <v>0</v>
      </c>
      <c r="J373" s="593">
        <f ca="1">$E373*(-SUMIF(INDIRECT(J$3),'Struktur Vorjahr'!$D373,INDIRECT(J$4))+SUMIF(INDIRECT(J$3),'Struktur Vorjahr'!$D373,INDIRECT(J$5)))</f>
        <v>0</v>
      </c>
      <c r="K373" s="593">
        <f ca="1">$E373*(-SUMIF(INDIRECT(K$3),'Struktur Vorjahr'!$D373,INDIRECT(K$4))+SUMIF(INDIRECT(K$3),'Struktur Vorjahr'!$D373,INDIRECT(K$5)))</f>
        <v>0</v>
      </c>
      <c r="L373" s="593">
        <f ca="1">$E373*(-SUMIF(INDIRECT(L$3),'Struktur Vorjahr'!$D373,INDIRECT(L$4))+SUMIF(INDIRECT(L$3),'Struktur Vorjahr'!$D373,INDIRECT(L$5)))</f>
        <v>0</v>
      </c>
      <c r="M373" s="593">
        <f ca="1">$E373*(-SUMIF(INDIRECT(M$3),'Struktur Vorjahr'!$D373,INDIRECT(M$4))+SUMIF(INDIRECT(M$3),'Struktur Vorjahr'!$D373,INDIRECT(M$5)))</f>
        <v>0</v>
      </c>
      <c r="N373" s="593">
        <f ca="1">$E373*(-SUMIF(INDIRECT(N$3),'Struktur Vorjahr'!$D373,INDIRECT(N$4))+SUMIF(INDIRECT(N$3),'Struktur Vorjahr'!$D373,INDIRECT(N$5)))</f>
        <v>0</v>
      </c>
      <c r="O373" s="593">
        <f ca="1">$E373*(-SUMIF(INDIRECT(O$3),'Struktur Vorjahr'!$D373,INDIRECT(O$4))+SUMIF(INDIRECT(O$3),'Struktur Vorjahr'!$D373,INDIRECT(O$5)))</f>
        <v>0</v>
      </c>
      <c r="P373" s="593">
        <f ca="1">$E373*(-SUMIF(INDIRECT(P$3),'Struktur Vorjahr'!$D373,INDIRECT(P$4))+SUMIF(INDIRECT(P$3),'Struktur Vorjahr'!$D373,INDIRECT(P$5)))</f>
        <v>0</v>
      </c>
      <c r="Q373" s="593">
        <f ca="1">$E373*(-SUMIF(INDIRECT(Q$3),'Struktur Vorjahr'!$D373,INDIRECT(Q$4))+SUMIF(INDIRECT(Q$3),'Struktur Vorjahr'!$D373,INDIRECT(Q$5)))</f>
        <v>0</v>
      </c>
      <c r="R373" s="593">
        <f ca="1">$E373*(-SUMIF(INDIRECT(R$3),'Struktur Vorjahr'!$D373,INDIRECT(R$4))+SUMIF(INDIRECT(R$3),'Struktur Vorjahr'!$D373,INDIRECT(R$5)))</f>
        <v>0</v>
      </c>
      <c r="S373" s="593">
        <f ca="1">$E373*(-SUMIF(INDIRECT(S$3),'Struktur Vorjahr'!$D373,INDIRECT(S$4))+SUMIF(INDIRECT(S$3),'Struktur Vorjahr'!$D373,INDIRECT(S$5)))</f>
        <v>0</v>
      </c>
      <c r="T373" s="593">
        <f ca="1">$E373*(-SUMIF(INDIRECT(T$3),'Struktur Vorjahr'!$D373,INDIRECT(T$4))+SUMIF(INDIRECT(T$3),'Struktur Vorjahr'!$D373,INDIRECT(T$5)))</f>
        <v>0</v>
      </c>
      <c r="U373" s="593">
        <f ca="1">$E373*(-SUMIF(INDIRECT(U$3),'Struktur Vorjahr'!$D373,INDIRECT(U$4))+SUMIF(INDIRECT(U$3),'Struktur Vorjahr'!$D373,INDIRECT(U$5)))</f>
        <v>0</v>
      </c>
      <c r="V373" s="593">
        <f ca="1">$E373*(-SUMIF(INDIRECT(V$3),'Struktur Vorjahr'!$D373,INDIRECT(V$4))+SUMIF(INDIRECT(V$3),'Struktur Vorjahr'!$D373,INDIRECT(V$5)))</f>
        <v>0</v>
      </c>
      <c r="W373" s="593">
        <f ca="1">$E373*(-SUMIF(INDIRECT(W$3),'Struktur Vorjahr'!$D373,INDIRECT(W$4))+SUMIF(INDIRECT(W$3),'Struktur Vorjahr'!$D373,INDIRECT(W$5)))</f>
        <v>0</v>
      </c>
      <c r="X373" s="593">
        <f ca="1">$E373*(-SUMIF(INDIRECT(X$3),'Struktur Vorjahr'!$D373,INDIRECT(X$4))+SUMIF(INDIRECT(X$3),'Struktur Vorjahr'!$D373,INDIRECT(X$5)))</f>
        <v>0</v>
      </c>
      <c r="Y373" s="593">
        <f ca="1">$E373*(-SUMIF(INDIRECT(Y$3),'Struktur Vorjahr'!$D373,INDIRECT(Y$4))+SUMIF(INDIRECT(Y$3),'Struktur Vorjahr'!$D373,INDIRECT(Y$5)))</f>
        <v>0</v>
      </c>
      <c r="Z373" s="593">
        <f ca="1">$E373*(-SUMIF(INDIRECT(Z$3),'Struktur Vorjahr'!$D373,INDIRECT(Z$4))+SUMIF(INDIRECT(Z$3),'Struktur Vorjahr'!$D373,INDIRECT(Z$5)))</f>
        <v>0</v>
      </c>
      <c r="AA373" s="593">
        <f ca="1">$E373*(-SUMIF(INDIRECT(AA$3),'Struktur Vorjahr'!$D373,INDIRECT(AA$4))+SUMIF(INDIRECT(AA$3),'Struktur Vorjahr'!$D373,INDIRECT(AA$5)))</f>
        <v>0</v>
      </c>
      <c r="AB373" s="593">
        <f ca="1">$E373*(-SUMIF(INDIRECT(AB$3),'Struktur Vorjahr'!$D373,INDIRECT(AB$4))+SUMIF(INDIRECT(AB$3),'Struktur Vorjahr'!$D373,INDIRECT(AB$5)))</f>
        <v>0</v>
      </c>
      <c r="AC373" s="593">
        <f ca="1">$E373*(-SUMIF(INDIRECT(AC$3),'Struktur Vorjahr'!$D373,INDIRECT(AC$4))+SUMIF(INDIRECT(AC$3),'Struktur Vorjahr'!$D373,INDIRECT(AC$5)))</f>
        <v>0</v>
      </c>
      <c r="AD373" s="593">
        <f ca="1">$E373*(-SUMIF(INDIRECT(AD$3),'Struktur Vorjahr'!$D373,INDIRECT(AD$4))+SUMIF(INDIRECT(AD$3),'Struktur Vorjahr'!$D373,INDIRECT(AD$5)))</f>
        <v>0</v>
      </c>
      <c r="AE373" s="593">
        <f t="shared" ca="1" si="174"/>
        <v>0</v>
      </c>
      <c r="AF373" s="593">
        <f t="shared" ca="1" si="175"/>
        <v>0</v>
      </c>
      <c r="AG373" s="593">
        <f t="shared" ca="1" si="175"/>
        <v>0</v>
      </c>
      <c r="AH373" s="593">
        <f t="shared" ca="1" si="175"/>
        <v>0</v>
      </c>
      <c r="AI373" s="593">
        <f t="shared" ca="1" si="175"/>
        <v>0</v>
      </c>
      <c r="AJ373" s="593">
        <f t="shared" ca="1" si="175"/>
        <v>0</v>
      </c>
      <c r="AK373" s="593">
        <f t="shared" ca="1" si="175"/>
        <v>0</v>
      </c>
      <c r="AL373" s="593">
        <f t="shared" ca="1" si="175"/>
        <v>0</v>
      </c>
      <c r="AM373" s="593">
        <f t="shared" ca="1" si="175"/>
        <v>0</v>
      </c>
      <c r="AN373" s="593">
        <f t="shared" ca="1" si="175"/>
        <v>0</v>
      </c>
      <c r="AO373" s="593">
        <f t="shared" ca="1" si="175"/>
        <v>0</v>
      </c>
      <c r="AP373" s="593">
        <f t="shared" ca="1" si="175"/>
        <v>0</v>
      </c>
    </row>
    <row r="374" spans="1:42" s="594" customFormat="1" ht="11.25" outlineLevel="1" x14ac:dyDescent="0.2">
      <c r="A374" s="590"/>
      <c r="B374" s="591" t="str">
        <f>IF(D374&lt;&gt;"",
IF(ISERROR(MATCH(D374,'Ist Vorjahr Monat 01'!A:A,0))=FALSE,INDEX('Ist Vorjahr Monat 01'!B:B,MATCH(D374,'Ist Vorjahr Monat 01'!A:A,0)),
IF(ISERROR(MATCH(D374,'Ist Vorjahr Monat 02'!A:A,0))=FALSE,INDEX('Ist Vorjahr Monat 02'!B:B,MATCH(D374,'Ist Vorjahr Monat 02'!A:A,0)),
IF(ISERROR(MATCH(D374,'Ist Vorjahr Monat 03'!A:A,0))=FALSE,INDEX('Ist Vorjahr Monat 03'!B:B,MATCH(D374,'Ist Vorjahr Monat 03'!A:A,0)),
IF(ISERROR(MATCH(D374,'Ist Vorjahr Monat 04'!A:A,0))=FALSE,INDEX('Ist Vorjahr Monat 04'!B:B,MATCH(D374,'Ist Vorjahr Monat 04'!A:A,0)),
IF(ISERROR(MATCH(D374,'Ist Vorjahr Monat 05'!A:A,0))=FALSE,INDEX('Ist Vorjahr Monat 05'!B:B,MATCH(D374,'Ist Vorjahr Monat 05'!A:A,0)),
IF(ISERROR(MATCH(D374,'Ist Vorjahr Monat 06'!A:A,0))=FALSE,INDEX('Ist Vorjahr Monat 06'!B:B,MATCH(D374,'Ist Vorjahr Monat 06'!A:A,0)),
IF(ISERROR(MATCH(D374,'Ist Vorjahr Monat 07'!A:A,0))=FALSE,INDEX('Ist Vorjahr Monat 07'!B:B,MATCH(D374,'Ist Vorjahr Monat 07'!A:A,0)),
IF(ISERROR(MATCH(D374,'Ist Vorjahr Monat 08'!A:A,0))=FALSE,INDEX('Ist Vorjahr Monat 08'!B:B,MATCH(D374,'Ist Vorjahr Monat 08'!A:A,0)),
IF(ISERROR(MATCH(D374,'Ist Vorjahr Monat 09'!A:A,0))=FALSE,INDEX('Ist Vorjahr Monat 09'!B:B,MATCH(D374,'Ist Vorjahr Monat 09'!A:A,0)),
IF(ISERROR(MATCH(D374,'Ist Vorjahr Monat 10'!A:A,0))=FALSE,INDEX('Ist Vorjahr Monat 10'!B:B,MATCH(D374,'Ist Vorjahr Monat 10'!A:A,0)),
IF(ISERROR(MATCH(D374,'Ist Vorjahr Monat 11'!A:A,0))=FALSE,INDEX('Ist Vorjahr Monat 11'!B:B,MATCH(D374,'Ist Vorjahr Monat 11'!A:A,0)),
IF(ISERROR(MATCH(D374,'Ist Vorjahr Monat 12'!A:A,0))=FALSE,INDEX('Ist Vorjahr Monat 12'!B:B,MATCH(D374,'Ist Vorjahr Monat 12'!A:A,0)),
"{Konto unbekannt}"
)))))))))))),"")</f>
        <v/>
      </c>
      <c r="C374" s="591"/>
      <c r="D374" s="590"/>
      <c r="E374" s="592">
        <f t="shared" si="176"/>
        <v>1</v>
      </c>
      <c r="F374" s="590"/>
      <c r="G374" s="593">
        <f ca="1">$E374*(-SUMIF(INDIRECT(G$3),'Struktur Vorjahr'!$D374,INDIRECT(G$4))+SUMIF(INDIRECT(G$3),'Struktur Vorjahr'!$D374,INDIRECT(G$5)))</f>
        <v>0</v>
      </c>
      <c r="H374" s="593">
        <f ca="1">$E374*(-SUMIF(INDIRECT(H$3),'Struktur Vorjahr'!$D374,INDIRECT(H$4))+SUMIF(INDIRECT(H$3),'Struktur Vorjahr'!$D374,INDIRECT(H$5)))</f>
        <v>0</v>
      </c>
      <c r="I374" s="593">
        <f ca="1">$E374*(-SUMIF(INDIRECT(I$3),'Struktur Vorjahr'!$D374,INDIRECT(I$4))+SUMIF(INDIRECT(I$3),'Struktur Vorjahr'!$D374,INDIRECT(I$5)))</f>
        <v>0</v>
      </c>
      <c r="J374" s="593">
        <f ca="1">$E374*(-SUMIF(INDIRECT(J$3),'Struktur Vorjahr'!$D374,INDIRECT(J$4))+SUMIF(INDIRECT(J$3),'Struktur Vorjahr'!$D374,INDIRECT(J$5)))</f>
        <v>0</v>
      </c>
      <c r="K374" s="593">
        <f ca="1">$E374*(-SUMIF(INDIRECT(K$3),'Struktur Vorjahr'!$D374,INDIRECT(K$4))+SUMIF(INDIRECT(K$3),'Struktur Vorjahr'!$D374,INDIRECT(K$5)))</f>
        <v>0</v>
      </c>
      <c r="L374" s="593">
        <f ca="1">$E374*(-SUMIF(INDIRECT(L$3),'Struktur Vorjahr'!$D374,INDIRECT(L$4))+SUMIF(INDIRECT(L$3),'Struktur Vorjahr'!$D374,INDIRECT(L$5)))</f>
        <v>0</v>
      </c>
      <c r="M374" s="593">
        <f ca="1">$E374*(-SUMIF(INDIRECT(M$3),'Struktur Vorjahr'!$D374,INDIRECT(M$4))+SUMIF(INDIRECT(M$3),'Struktur Vorjahr'!$D374,INDIRECT(M$5)))</f>
        <v>0</v>
      </c>
      <c r="N374" s="593">
        <f ca="1">$E374*(-SUMIF(INDIRECT(N$3),'Struktur Vorjahr'!$D374,INDIRECT(N$4))+SUMIF(INDIRECT(N$3),'Struktur Vorjahr'!$D374,INDIRECT(N$5)))</f>
        <v>0</v>
      </c>
      <c r="O374" s="593">
        <f ca="1">$E374*(-SUMIF(INDIRECT(O$3),'Struktur Vorjahr'!$D374,INDIRECT(O$4))+SUMIF(INDIRECT(O$3),'Struktur Vorjahr'!$D374,INDIRECT(O$5)))</f>
        <v>0</v>
      </c>
      <c r="P374" s="593">
        <f ca="1">$E374*(-SUMIF(INDIRECT(P$3),'Struktur Vorjahr'!$D374,INDIRECT(P$4))+SUMIF(INDIRECT(P$3),'Struktur Vorjahr'!$D374,INDIRECT(P$5)))</f>
        <v>0</v>
      </c>
      <c r="Q374" s="593">
        <f ca="1">$E374*(-SUMIF(INDIRECT(Q$3),'Struktur Vorjahr'!$D374,INDIRECT(Q$4))+SUMIF(INDIRECT(Q$3),'Struktur Vorjahr'!$D374,INDIRECT(Q$5)))</f>
        <v>0</v>
      </c>
      <c r="R374" s="593">
        <f ca="1">$E374*(-SUMIF(INDIRECT(R$3),'Struktur Vorjahr'!$D374,INDIRECT(R$4))+SUMIF(INDIRECT(R$3),'Struktur Vorjahr'!$D374,INDIRECT(R$5)))</f>
        <v>0</v>
      </c>
      <c r="S374" s="593">
        <f ca="1">$E374*(-SUMIF(INDIRECT(S$3),'Struktur Vorjahr'!$D374,INDIRECT(S$4))+SUMIF(INDIRECT(S$3),'Struktur Vorjahr'!$D374,INDIRECT(S$5)))</f>
        <v>0</v>
      </c>
      <c r="T374" s="593">
        <f ca="1">$E374*(-SUMIF(INDIRECT(T$3),'Struktur Vorjahr'!$D374,INDIRECT(T$4))+SUMIF(INDIRECT(T$3),'Struktur Vorjahr'!$D374,INDIRECT(T$5)))</f>
        <v>0</v>
      </c>
      <c r="U374" s="593">
        <f ca="1">$E374*(-SUMIF(INDIRECT(U$3),'Struktur Vorjahr'!$D374,INDIRECT(U$4))+SUMIF(INDIRECT(U$3),'Struktur Vorjahr'!$D374,INDIRECT(U$5)))</f>
        <v>0</v>
      </c>
      <c r="V374" s="593">
        <f ca="1">$E374*(-SUMIF(INDIRECT(V$3),'Struktur Vorjahr'!$D374,INDIRECT(V$4))+SUMIF(INDIRECT(V$3),'Struktur Vorjahr'!$D374,INDIRECT(V$5)))</f>
        <v>0</v>
      </c>
      <c r="W374" s="593">
        <f ca="1">$E374*(-SUMIF(INDIRECT(W$3),'Struktur Vorjahr'!$D374,INDIRECT(W$4))+SUMIF(INDIRECT(W$3),'Struktur Vorjahr'!$D374,INDIRECT(W$5)))</f>
        <v>0</v>
      </c>
      <c r="X374" s="593">
        <f ca="1">$E374*(-SUMIF(INDIRECT(X$3),'Struktur Vorjahr'!$D374,INDIRECT(X$4))+SUMIF(INDIRECT(X$3),'Struktur Vorjahr'!$D374,INDIRECT(X$5)))</f>
        <v>0</v>
      </c>
      <c r="Y374" s="593">
        <f ca="1">$E374*(-SUMIF(INDIRECT(Y$3),'Struktur Vorjahr'!$D374,INDIRECT(Y$4))+SUMIF(INDIRECT(Y$3),'Struktur Vorjahr'!$D374,INDIRECT(Y$5)))</f>
        <v>0</v>
      </c>
      <c r="Z374" s="593">
        <f ca="1">$E374*(-SUMIF(INDIRECT(Z$3),'Struktur Vorjahr'!$D374,INDIRECT(Z$4))+SUMIF(INDIRECT(Z$3),'Struktur Vorjahr'!$D374,INDIRECT(Z$5)))</f>
        <v>0</v>
      </c>
      <c r="AA374" s="593">
        <f ca="1">$E374*(-SUMIF(INDIRECT(AA$3),'Struktur Vorjahr'!$D374,INDIRECT(AA$4))+SUMIF(INDIRECT(AA$3),'Struktur Vorjahr'!$D374,INDIRECT(AA$5)))</f>
        <v>0</v>
      </c>
      <c r="AB374" s="593">
        <f ca="1">$E374*(-SUMIF(INDIRECT(AB$3),'Struktur Vorjahr'!$D374,INDIRECT(AB$4))+SUMIF(INDIRECT(AB$3),'Struktur Vorjahr'!$D374,INDIRECT(AB$5)))</f>
        <v>0</v>
      </c>
      <c r="AC374" s="593">
        <f ca="1">$E374*(-SUMIF(INDIRECT(AC$3),'Struktur Vorjahr'!$D374,INDIRECT(AC$4))+SUMIF(INDIRECT(AC$3),'Struktur Vorjahr'!$D374,INDIRECT(AC$5)))</f>
        <v>0</v>
      </c>
      <c r="AD374" s="593">
        <f ca="1">$E374*(-SUMIF(INDIRECT(AD$3),'Struktur Vorjahr'!$D374,INDIRECT(AD$4))+SUMIF(INDIRECT(AD$3),'Struktur Vorjahr'!$D374,INDIRECT(AD$5)))</f>
        <v>0</v>
      </c>
      <c r="AE374" s="593">
        <f t="shared" ca="1" si="174"/>
        <v>0</v>
      </c>
      <c r="AF374" s="593">
        <f t="shared" ca="1" si="175"/>
        <v>0</v>
      </c>
      <c r="AG374" s="593">
        <f t="shared" ca="1" si="175"/>
        <v>0</v>
      </c>
      <c r="AH374" s="593">
        <f t="shared" ca="1" si="175"/>
        <v>0</v>
      </c>
      <c r="AI374" s="593">
        <f t="shared" ca="1" si="175"/>
        <v>0</v>
      </c>
      <c r="AJ374" s="593">
        <f t="shared" ca="1" si="175"/>
        <v>0</v>
      </c>
      <c r="AK374" s="593">
        <f t="shared" ca="1" si="175"/>
        <v>0</v>
      </c>
      <c r="AL374" s="593">
        <f t="shared" ca="1" si="175"/>
        <v>0</v>
      </c>
      <c r="AM374" s="593">
        <f t="shared" ca="1" si="175"/>
        <v>0</v>
      </c>
      <c r="AN374" s="593">
        <f t="shared" ca="1" si="175"/>
        <v>0</v>
      </c>
      <c r="AO374" s="593">
        <f t="shared" ca="1" si="175"/>
        <v>0</v>
      </c>
      <c r="AP374" s="593">
        <f t="shared" ca="1" si="175"/>
        <v>0</v>
      </c>
    </row>
    <row r="375" spans="1:42" s="594" customFormat="1" ht="11.25" outlineLevel="1" x14ac:dyDescent="0.2">
      <c r="A375" s="590"/>
      <c r="B375" s="591" t="str">
        <f>IF(D375&lt;&gt;"",
IF(ISERROR(MATCH(D375,'Ist Vorjahr Monat 01'!A:A,0))=FALSE,INDEX('Ist Vorjahr Monat 01'!B:B,MATCH(D375,'Ist Vorjahr Monat 01'!A:A,0)),
IF(ISERROR(MATCH(D375,'Ist Vorjahr Monat 02'!A:A,0))=FALSE,INDEX('Ist Vorjahr Monat 02'!B:B,MATCH(D375,'Ist Vorjahr Monat 02'!A:A,0)),
IF(ISERROR(MATCH(D375,'Ist Vorjahr Monat 03'!A:A,0))=FALSE,INDEX('Ist Vorjahr Monat 03'!B:B,MATCH(D375,'Ist Vorjahr Monat 03'!A:A,0)),
IF(ISERROR(MATCH(D375,'Ist Vorjahr Monat 04'!A:A,0))=FALSE,INDEX('Ist Vorjahr Monat 04'!B:B,MATCH(D375,'Ist Vorjahr Monat 04'!A:A,0)),
IF(ISERROR(MATCH(D375,'Ist Vorjahr Monat 05'!A:A,0))=FALSE,INDEX('Ist Vorjahr Monat 05'!B:B,MATCH(D375,'Ist Vorjahr Monat 05'!A:A,0)),
IF(ISERROR(MATCH(D375,'Ist Vorjahr Monat 06'!A:A,0))=FALSE,INDEX('Ist Vorjahr Monat 06'!B:B,MATCH(D375,'Ist Vorjahr Monat 06'!A:A,0)),
IF(ISERROR(MATCH(D375,'Ist Vorjahr Monat 07'!A:A,0))=FALSE,INDEX('Ist Vorjahr Monat 07'!B:B,MATCH(D375,'Ist Vorjahr Monat 07'!A:A,0)),
IF(ISERROR(MATCH(D375,'Ist Vorjahr Monat 08'!A:A,0))=FALSE,INDEX('Ist Vorjahr Monat 08'!B:B,MATCH(D375,'Ist Vorjahr Monat 08'!A:A,0)),
IF(ISERROR(MATCH(D375,'Ist Vorjahr Monat 09'!A:A,0))=FALSE,INDEX('Ist Vorjahr Monat 09'!B:B,MATCH(D375,'Ist Vorjahr Monat 09'!A:A,0)),
IF(ISERROR(MATCH(D375,'Ist Vorjahr Monat 10'!A:A,0))=FALSE,INDEX('Ist Vorjahr Monat 10'!B:B,MATCH(D375,'Ist Vorjahr Monat 10'!A:A,0)),
IF(ISERROR(MATCH(D375,'Ist Vorjahr Monat 11'!A:A,0))=FALSE,INDEX('Ist Vorjahr Monat 11'!B:B,MATCH(D375,'Ist Vorjahr Monat 11'!A:A,0)),
IF(ISERROR(MATCH(D375,'Ist Vorjahr Monat 12'!A:A,0))=FALSE,INDEX('Ist Vorjahr Monat 12'!B:B,MATCH(D375,'Ist Vorjahr Monat 12'!A:A,0)),
"{Konto unbekannt}"
)))))))))))),"")</f>
        <v/>
      </c>
      <c r="C375" s="591"/>
      <c r="D375" s="590"/>
      <c r="E375" s="592">
        <f t="shared" si="176"/>
        <v>1</v>
      </c>
      <c r="F375" s="590"/>
      <c r="G375" s="593">
        <f ca="1">$E375*(-SUMIF(INDIRECT(G$3),'Struktur Vorjahr'!$D375,INDIRECT(G$4))+SUMIF(INDIRECT(G$3),'Struktur Vorjahr'!$D375,INDIRECT(G$5)))</f>
        <v>0</v>
      </c>
      <c r="H375" s="593">
        <f ca="1">$E375*(-SUMIF(INDIRECT(H$3),'Struktur Vorjahr'!$D375,INDIRECT(H$4))+SUMIF(INDIRECT(H$3),'Struktur Vorjahr'!$D375,INDIRECT(H$5)))</f>
        <v>0</v>
      </c>
      <c r="I375" s="593">
        <f ca="1">$E375*(-SUMIF(INDIRECT(I$3),'Struktur Vorjahr'!$D375,INDIRECT(I$4))+SUMIF(INDIRECT(I$3),'Struktur Vorjahr'!$D375,INDIRECT(I$5)))</f>
        <v>0</v>
      </c>
      <c r="J375" s="593">
        <f ca="1">$E375*(-SUMIF(INDIRECT(J$3),'Struktur Vorjahr'!$D375,INDIRECT(J$4))+SUMIF(INDIRECT(J$3),'Struktur Vorjahr'!$D375,INDIRECT(J$5)))</f>
        <v>0</v>
      </c>
      <c r="K375" s="593">
        <f ca="1">$E375*(-SUMIF(INDIRECT(K$3),'Struktur Vorjahr'!$D375,INDIRECT(K$4))+SUMIF(INDIRECT(K$3),'Struktur Vorjahr'!$D375,INDIRECT(K$5)))</f>
        <v>0</v>
      </c>
      <c r="L375" s="593">
        <f ca="1">$E375*(-SUMIF(INDIRECT(L$3),'Struktur Vorjahr'!$D375,INDIRECT(L$4))+SUMIF(INDIRECT(L$3),'Struktur Vorjahr'!$D375,INDIRECT(L$5)))</f>
        <v>0</v>
      </c>
      <c r="M375" s="593">
        <f ca="1">$E375*(-SUMIF(INDIRECT(M$3),'Struktur Vorjahr'!$D375,INDIRECT(M$4))+SUMIF(INDIRECT(M$3),'Struktur Vorjahr'!$D375,INDIRECT(M$5)))</f>
        <v>0</v>
      </c>
      <c r="N375" s="593">
        <f ca="1">$E375*(-SUMIF(INDIRECT(N$3),'Struktur Vorjahr'!$D375,INDIRECT(N$4))+SUMIF(INDIRECT(N$3),'Struktur Vorjahr'!$D375,INDIRECT(N$5)))</f>
        <v>0</v>
      </c>
      <c r="O375" s="593">
        <f ca="1">$E375*(-SUMIF(INDIRECT(O$3),'Struktur Vorjahr'!$D375,INDIRECT(O$4))+SUMIF(INDIRECT(O$3),'Struktur Vorjahr'!$D375,INDIRECT(O$5)))</f>
        <v>0</v>
      </c>
      <c r="P375" s="593">
        <f ca="1">$E375*(-SUMIF(INDIRECT(P$3),'Struktur Vorjahr'!$D375,INDIRECT(P$4))+SUMIF(INDIRECT(P$3),'Struktur Vorjahr'!$D375,INDIRECT(P$5)))</f>
        <v>0</v>
      </c>
      <c r="Q375" s="593">
        <f ca="1">$E375*(-SUMIF(INDIRECT(Q$3),'Struktur Vorjahr'!$D375,INDIRECT(Q$4))+SUMIF(INDIRECT(Q$3),'Struktur Vorjahr'!$D375,INDIRECT(Q$5)))</f>
        <v>0</v>
      </c>
      <c r="R375" s="593">
        <f ca="1">$E375*(-SUMIF(INDIRECT(R$3),'Struktur Vorjahr'!$D375,INDIRECT(R$4))+SUMIF(INDIRECT(R$3),'Struktur Vorjahr'!$D375,INDIRECT(R$5)))</f>
        <v>0</v>
      </c>
      <c r="S375" s="593">
        <f ca="1">$E375*(-SUMIF(INDIRECT(S$3),'Struktur Vorjahr'!$D375,INDIRECT(S$4))+SUMIF(INDIRECT(S$3),'Struktur Vorjahr'!$D375,INDIRECT(S$5)))</f>
        <v>0</v>
      </c>
      <c r="T375" s="593">
        <f ca="1">$E375*(-SUMIF(INDIRECT(T$3),'Struktur Vorjahr'!$D375,INDIRECT(T$4))+SUMIF(INDIRECT(T$3),'Struktur Vorjahr'!$D375,INDIRECT(T$5)))</f>
        <v>0</v>
      </c>
      <c r="U375" s="593">
        <f ca="1">$E375*(-SUMIF(INDIRECT(U$3),'Struktur Vorjahr'!$D375,INDIRECT(U$4))+SUMIF(INDIRECT(U$3),'Struktur Vorjahr'!$D375,INDIRECT(U$5)))</f>
        <v>0</v>
      </c>
      <c r="V375" s="593">
        <f ca="1">$E375*(-SUMIF(INDIRECT(V$3),'Struktur Vorjahr'!$D375,INDIRECT(V$4))+SUMIF(INDIRECT(V$3),'Struktur Vorjahr'!$D375,INDIRECT(V$5)))</f>
        <v>0</v>
      </c>
      <c r="W375" s="593">
        <f ca="1">$E375*(-SUMIF(INDIRECT(W$3),'Struktur Vorjahr'!$D375,INDIRECT(W$4))+SUMIF(INDIRECT(W$3),'Struktur Vorjahr'!$D375,INDIRECT(W$5)))</f>
        <v>0</v>
      </c>
      <c r="X375" s="593">
        <f ca="1">$E375*(-SUMIF(INDIRECT(X$3),'Struktur Vorjahr'!$D375,INDIRECT(X$4))+SUMIF(INDIRECT(X$3),'Struktur Vorjahr'!$D375,INDIRECT(X$5)))</f>
        <v>0</v>
      </c>
      <c r="Y375" s="593">
        <f ca="1">$E375*(-SUMIF(INDIRECT(Y$3),'Struktur Vorjahr'!$D375,INDIRECT(Y$4))+SUMIF(INDIRECT(Y$3),'Struktur Vorjahr'!$D375,INDIRECT(Y$5)))</f>
        <v>0</v>
      </c>
      <c r="Z375" s="593">
        <f ca="1">$E375*(-SUMIF(INDIRECT(Z$3),'Struktur Vorjahr'!$D375,INDIRECT(Z$4))+SUMIF(INDIRECT(Z$3),'Struktur Vorjahr'!$D375,INDIRECT(Z$5)))</f>
        <v>0</v>
      </c>
      <c r="AA375" s="593">
        <f ca="1">$E375*(-SUMIF(INDIRECT(AA$3),'Struktur Vorjahr'!$D375,INDIRECT(AA$4))+SUMIF(INDIRECT(AA$3),'Struktur Vorjahr'!$D375,INDIRECT(AA$5)))</f>
        <v>0</v>
      </c>
      <c r="AB375" s="593">
        <f ca="1">$E375*(-SUMIF(INDIRECT(AB$3),'Struktur Vorjahr'!$D375,INDIRECT(AB$4))+SUMIF(INDIRECT(AB$3),'Struktur Vorjahr'!$D375,INDIRECT(AB$5)))</f>
        <v>0</v>
      </c>
      <c r="AC375" s="593">
        <f ca="1">$E375*(-SUMIF(INDIRECT(AC$3),'Struktur Vorjahr'!$D375,INDIRECT(AC$4))+SUMIF(INDIRECT(AC$3),'Struktur Vorjahr'!$D375,INDIRECT(AC$5)))</f>
        <v>0</v>
      </c>
      <c r="AD375" s="593">
        <f ca="1">$E375*(-SUMIF(INDIRECT(AD$3),'Struktur Vorjahr'!$D375,INDIRECT(AD$4))+SUMIF(INDIRECT(AD$3),'Struktur Vorjahr'!$D375,INDIRECT(AD$5)))</f>
        <v>0</v>
      </c>
      <c r="AE375" s="593">
        <f t="shared" ca="1" si="174"/>
        <v>0</v>
      </c>
      <c r="AF375" s="593">
        <f t="shared" ca="1" si="175"/>
        <v>0</v>
      </c>
      <c r="AG375" s="593">
        <f t="shared" ca="1" si="175"/>
        <v>0</v>
      </c>
      <c r="AH375" s="593">
        <f t="shared" ca="1" si="175"/>
        <v>0</v>
      </c>
      <c r="AI375" s="593">
        <f t="shared" ca="1" si="175"/>
        <v>0</v>
      </c>
      <c r="AJ375" s="593">
        <f t="shared" ca="1" si="175"/>
        <v>0</v>
      </c>
      <c r="AK375" s="593">
        <f t="shared" ca="1" si="175"/>
        <v>0</v>
      </c>
      <c r="AL375" s="593">
        <f t="shared" ca="1" si="175"/>
        <v>0</v>
      </c>
      <c r="AM375" s="593">
        <f t="shared" ca="1" si="175"/>
        <v>0</v>
      </c>
      <c r="AN375" s="593">
        <f t="shared" ca="1" si="175"/>
        <v>0</v>
      </c>
      <c r="AO375" s="593">
        <f t="shared" ca="1" si="175"/>
        <v>0</v>
      </c>
      <c r="AP375" s="593">
        <f t="shared" ca="1" si="175"/>
        <v>0</v>
      </c>
    </row>
    <row r="376" spans="1:42" outlineLevel="1" x14ac:dyDescent="0.2">
      <c r="A376" s="603"/>
      <c r="B376" s="604" t="s">
        <v>1023</v>
      </c>
      <c r="C376" s="597">
        <f ca="1">SUM(G376:R376)</f>
        <v>-35573.149999999987</v>
      </c>
      <c r="D376" s="597"/>
      <c r="E376" s="605">
        <f t="shared" si="121"/>
        <v>1</v>
      </c>
      <c r="F376" s="603"/>
      <c r="G376" s="606">
        <f ca="1">G355-G356</f>
        <v>-9326.6600000000017</v>
      </c>
      <c r="H376" s="606">
        <f t="shared" ref="H376:R376" ca="1" si="177">H355-H356</f>
        <v>-8842.98</v>
      </c>
      <c r="I376" s="606">
        <f t="shared" ca="1" si="177"/>
        <v>-17887.899999999998</v>
      </c>
      <c r="J376" s="606">
        <f t="shared" ca="1" si="177"/>
        <v>-9703.7800000000025</v>
      </c>
      <c r="K376" s="606">
        <f t="shared" ca="1" si="177"/>
        <v>-21235.019999999997</v>
      </c>
      <c r="L376" s="606">
        <f t="shared" ca="1" si="177"/>
        <v>-9485.4499999999989</v>
      </c>
      <c r="M376" s="606">
        <f t="shared" ca="1" si="177"/>
        <v>27968.330000000005</v>
      </c>
      <c r="N376" s="606">
        <f t="shared" ca="1" si="177"/>
        <v>1091.8100000000011</v>
      </c>
      <c r="O376" s="606">
        <f t="shared" ca="1" si="177"/>
        <v>-7377.869999999999</v>
      </c>
      <c r="P376" s="606">
        <f t="shared" ca="1" si="177"/>
        <v>19226.370000000003</v>
      </c>
      <c r="Q376" s="606">
        <f t="shared" ca="1" si="177"/>
        <v>0</v>
      </c>
      <c r="R376" s="606">
        <f t="shared" ca="1" si="177"/>
        <v>0</v>
      </c>
      <c r="S376" s="606">
        <f ca="1">S355-S356</f>
        <v>-9326.6600000000017</v>
      </c>
      <c r="T376" s="606">
        <f t="shared" ref="T376:AD376" ca="1" si="178">T355-T356</f>
        <v>-18169.640000000007</v>
      </c>
      <c r="U376" s="606">
        <f t="shared" ca="1" si="178"/>
        <v>-36057.540000000008</v>
      </c>
      <c r="V376" s="606">
        <f t="shared" ca="1" si="178"/>
        <v>-45761.32</v>
      </c>
      <c r="W376" s="606">
        <f t="shared" ca="1" si="178"/>
        <v>-66996.34</v>
      </c>
      <c r="X376" s="606">
        <f t="shared" ca="1" si="178"/>
        <v>-76481.789999999994</v>
      </c>
      <c r="Y376" s="606">
        <f t="shared" ca="1" si="178"/>
        <v>-48513.459999999992</v>
      </c>
      <c r="Z376" s="606">
        <f t="shared" ca="1" si="178"/>
        <v>-47421.649999999987</v>
      </c>
      <c r="AA376" s="606">
        <f t="shared" ca="1" si="178"/>
        <v>-54799.520000000011</v>
      </c>
      <c r="AB376" s="606">
        <f t="shared" ca="1" si="178"/>
        <v>-35573.150000000009</v>
      </c>
      <c r="AC376" s="606">
        <f t="shared" ca="1" si="178"/>
        <v>0</v>
      </c>
      <c r="AD376" s="606">
        <f t="shared" ca="1" si="178"/>
        <v>0</v>
      </c>
      <c r="AE376" s="606">
        <f ca="1">AE355-AE356</f>
        <v>-9326.6600000000017</v>
      </c>
      <c r="AF376" s="606">
        <f t="shared" ref="AF376:AP376" ca="1" si="179">AF355-AF356</f>
        <v>-18169.640000000007</v>
      </c>
      <c r="AG376" s="606">
        <f t="shared" ca="1" si="179"/>
        <v>-36057.540000000008</v>
      </c>
      <c r="AH376" s="606">
        <f t="shared" ca="1" si="179"/>
        <v>-45761.32</v>
      </c>
      <c r="AI376" s="606">
        <f t="shared" ca="1" si="179"/>
        <v>-66996.340000000011</v>
      </c>
      <c r="AJ376" s="606">
        <f t="shared" ca="1" si="179"/>
        <v>-76481.789999999994</v>
      </c>
      <c r="AK376" s="606">
        <f t="shared" ca="1" si="179"/>
        <v>-48513.459999999992</v>
      </c>
      <c r="AL376" s="606">
        <f t="shared" ca="1" si="179"/>
        <v>-47421.649999999987</v>
      </c>
      <c r="AM376" s="606">
        <f t="shared" ca="1" si="179"/>
        <v>-54799.520000000011</v>
      </c>
      <c r="AN376" s="606">
        <f t="shared" ca="1" si="179"/>
        <v>-35573.149999999951</v>
      </c>
      <c r="AO376" s="606">
        <f t="shared" ca="1" si="179"/>
        <v>-35573.149999999951</v>
      </c>
      <c r="AP376" s="606">
        <f t="shared" ca="1" si="179"/>
        <v>-35573.149999999951</v>
      </c>
    </row>
    <row r="377" spans="1:42" s="589" customFormat="1" x14ac:dyDescent="0.2">
      <c r="A377" s="585">
        <v>36</v>
      </c>
      <c r="B377" s="586" t="s">
        <v>1024</v>
      </c>
      <c r="C377" s="587">
        <f ca="1">SUM(G377:R377)</f>
        <v>0</v>
      </c>
      <c r="D377" s="587"/>
      <c r="E377" s="588">
        <f t="shared" si="121"/>
        <v>1</v>
      </c>
      <c r="F377" s="585"/>
      <c r="G377" s="587">
        <f t="shared" ref="G377:AP377" ca="1" si="180">SUM(G378:G381)</f>
        <v>0</v>
      </c>
      <c r="H377" s="587">
        <f t="shared" ca="1" si="180"/>
        <v>0</v>
      </c>
      <c r="I377" s="587">
        <f t="shared" ca="1" si="180"/>
        <v>0</v>
      </c>
      <c r="J377" s="587">
        <f t="shared" ca="1" si="180"/>
        <v>0</v>
      </c>
      <c r="K377" s="587">
        <f t="shared" ca="1" si="180"/>
        <v>0</v>
      </c>
      <c r="L377" s="587">
        <f t="shared" ca="1" si="180"/>
        <v>0</v>
      </c>
      <c r="M377" s="587">
        <f t="shared" ca="1" si="180"/>
        <v>0</v>
      </c>
      <c r="N377" s="587">
        <f t="shared" ca="1" si="180"/>
        <v>0</v>
      </c>
      <c r="O377" s="587">
        <f t="shared" ca="1" si="180"/>
        <v>0</v>
      </c>
      <c r="P377" s="587">
        <f t="shared" ca="1" si="180"/>
        <v>0</v>
      </c>
      <c r="Q377" s="587">
        <f t="shared" ca="1" si="180"/>
        <v>0</v>
      </c>
      <c r="R377" s="587">
        <f t="shared" ca="1" si="180"/>
        <v>0</v>
      </c>
      <c r="S377" s="587">
        <f t="shared" ca="1" si="180"/>
        <v>0</v>
      </c>
      <c r="T377" s="587">
        <f t="shared" ca="1" si="180"/>
        <v>0</v>
      </c>
      <c r="U377" s="587">
        <f t="shared" ca="1" si="180"/>
        <v>0</v>
      </c>
      <c r="V377" s="587">
        <f t="shared" ca="1" si="180"/>
        <v>0</v>
      </c>
      <c r="W377" s="587">
        <f t="shared" ca="1" si="180"/>
        <v>0</v>
      </c>
      <c r="X377" s="587">
        <f t="shared" ca="1" si="180"/>
        <v>0</v>
      </c>
      <c r="Y377" s="587">
        <f t="shared" ca="1" si="180"/>
        <v>0</v>
      </c>
      <c r="Z377" s="587">
        <f t="shared" ca="1" si="180"/>
        <v>0</v>
      </c>
      <c r="AA377" s="587">
        <f t="shared" ca="1" si="180"/>
        <v>0</v>
      </c>
      <c r="AB377" s="587">
        <f t="shared" ca="1" si="180"/>
        <v>0</v>
      </c>
      <c r="AC377" s="587">
        <f t="shared" ca="1" si="180"/>
        <v>0</v>
      </c>
      <c r="AD377" s="587">
        <f t="shared" ca="1" si="180"/>
        <v>0</v>
      </c>
      <c r="AE377" s="587">
        <f t="shared" ca="1" si="180"/>
        <v>0</v>
      </c>
      <c r="AF377" s="587">
        <f t="shared" ca="1" si="180"/>
        <v>0</v>
      </c>
      <c r="AG377" s="587">
        <f t="shared" ca="1" si="180"/>
        <v>0</v>
      </c>
      <c r="AH377" s="587">
        <f t="shared" ca="1" si="180"/>
        <v>0</v>
      </c>
      <c r="AI377" s="587">
        <f t="shared" ca="1" si="180"/>
        <v>0</v>
      </c>
      <c r="AJ377" s="587">
        <f t="shared" ca="1" si="180"/>
        <v>0</v>
      </c>
      <c r="AK377" s="587">
        <f t="shared" ca="1" si="180"/>
        <v>0</v>
      </c>
      <c r="AL377" s="587">
        <f t="shared" ca="1" si="180"/>
        <v>0</v>
      </c>
      <c r="AM377" s="587">
        <f t="shared" ca="1" si="180"/>
        <v>0</v>
      </c>
      <c r="AN377" s="587">
        <f t="shared" ca="1" si="180"/>
        <v>0</v>
      </c>
      <c r="AO377" s="587">
        <f t="shared" ca="1" si="180"/>
        <v>0</v>
      </c>
      <c r="AP377" s="587">
        <f t="shared" ca="1" si="180"/>
        <v>0</v>
      </c>
    </row>
    <row r="378" spans="1:42" s="594" customFormat="1" ht="11.25" x14ac:dyDescent="0.2">
      <c r="A378" s="607"/>
      <c r="B378" s="591" t="str">
        <f>IF(D378&lt;&gt;"",
IF(ISERROR(MATCH(D378,'Ist Vorjahr Monat 01'!A:A,0))=FALSE,INDEX('Ist Vorjahr Monat 01'!B:B,MATCH(D378,'Ist Vorjahr Monat 01'!A:A,0)),
IF(ISERROR(MATCH(D378,'Ist Vorjahr Monat 02'!A:A,0))=FALSE,INDEX('Ist Vorjahr Monat 02'!B:B,MATCH(D378,'Ist Vorjahr Monat 02'!A:A,0)),
IF(ISERROR(MATCH(D378,'Ist Vorjahr Monat 03'!A:A,0))=FALSE,INDEX('Ist Vorjahr Monat 03'!B:B,MATCH(D378,'Ist Vorjahr Monat 03'!A:A,0)),
IF(ISERROR(MATCH(D378,'Ist Vorjahr Monat 04'!A:A,0))=FALSE,INDEX('Ist Vorjahr Monat 04'!B:B,MATCH(D378,'Ist Vorjahr Monat 04'!A:A,0)),
IF(ISERROR(MATCH(D378,'Ist Vorjahr Monat 05'!A:A,0))=FALSE,INDEX('Ist Vorjahr Monat 05'!B:B,MATCH(D378,'Ist Vorjahr Monat 05'!A:A,0)),
IF(ISERROR(MATCH(D378,'Ist Vorjahr Monat 06'!A:A,0))=FALSE,INDEX('Ist Vorjahr Monat 06'!B:B,MATCH(D378,'Ist Vorjahr Monat 06'!A:A,0)),
IF(ISERROR(MATCH(D378,'Ist Vorjahr Monat 07'!A:A,0))=FALSE,INDEX('Ist Vorjahr Monat 07'!B:B,MATCH(D378,'Ist Vorjahr Monat 07'!A:A,0)),
IF(ISERROR(MATCH(D378,'Ist Vorjahr Monat 08'!A:A,0))=FALSE,INDEX('Ist Vorjahr Monat 08'!B:B,MATCH(D378,'Ist Vorjahr Monat 08'!A:A,0)),
IF(ISERROR(MATCH(D378,'Ist Vorjahr Monat 09'!A:A,0))=FALSE,INDEX('Ist Vorjahr Monat 09'!B:B,MATCH(D378,'Ist Vorjahr Monat 09'!A:A,0)),
IF(ISERROR(MATCH(D378,'Ist Vorjahr Monat 10'!A:A,0))=FALSE,INDEX('Ist Vorjahr Monat 10'!B:B,MATCH(D378,'Ist Vorjahr Monat 10'!A:A,0)),
IF(ISERROR(MATCH(D378,'Ist Vorjahr Monat 11'!A:A,0))=FALSE,INDEX('Ist Vorjahr Monat 11'!B:B,MATCH(D378,'Ist Vorjahr Monat 11'!A:A,0)),
IF(ISERROR(MATCH(D378,'Ist Vorjahr Monat 12'!A:A,0))=FALSE,INDEX('Ist Vorjahr Monat 12'!B:B,MATCH(D378,'Ist Vorjahr Monat 12'!A:A,0)),
"{Konto unbekannt}"
)))))))))))),"")</f>
        <v/>
      </c>
      <c r="C378" s="591"/>
      <c r="D378" s="590"/>
      <c r="E378" s="592">
        <f t="shared" si="121"/>
        <v>1</v>
      </c>
      <c r="F378" s="590"/>
      <c r="G378" s="593">
        <f ca="1">$E378*(-SUMIF(INDIRECT(G$3),'Struktur Vorjahr'!$D378,INDIRECT(G$4))+SUMIF(INDIRECT(G$3),'Struktur Vorjahr'!$D378,INDIRECT(G$5)))</f>
        <v>0</v>
      </c>
      <c r="H378" s="593">
        <f ca="1">$E378*(-SUMIF(INDIRECT(H$3),'Struktur Vorjahr'!$D378,INDIRECT(H$4))+SUMIF(INDIRECT(H$3),'Struktur Vorjahr'!$D378,INDIRECT(H$5)))</f>
        <v>0</v>
      </c>
      <c r="I378" s="593">
        <f ca="1">$E378*(-SUMIF(INDIRECT(I$3),'Struktur Vorjahr'!$D378,INDIRECT(I$4))+SUMIF(INDIRECT(I$3),'Struktur Vorjahr'!$D378,INDIRECT(I$5)))</f>
        <v>0</v>
      </c>
      <c r="J378" s="593">
        <f ca="1">$E378*(-SUMIF(INDIRECT(J$3),'Struktur Vorjahr'!$D378,INDIRECT(J$4))+SUMIF(INDIRECT(J$3),'Struktur Vorjahr'!$D378,INDIRECT(J$5)))</f>
        <v>0</v>
      </c>
      <c r="K378" s="593">
        <f ca="1">$E378*(-SUMIF(INDIRECT(K$3),'Struktur Vorjahr'!$D378,INDIRECT(K$4))+SUMIF(INDIRECT(K$3),'Struktur Vorjahr'!$D378,INDIRECT(K$5)))</f>
        <v>0</v>
      </c>
      <c r="L378" s="593">
        <f ca="1">$E378*(-SUMIF(INDIRECT(L$3),'Struktur Vorjahr'!$D378,INDIRECT(L$4))+SUMIF(INDIRECT(L$3),'Struktur Vorjahr'!$D378,INDIRECT(L$5)))</f>
        <v>0</v>
      </c>
      <c r="M378" s="593">
        <f ca="1">$E378*(-SUMIF(INDIRECT(M$3),'Struktur Vorjahr'!$D378,INDIRECT(M$4))+SUMIF(INDIRECT(M$3),'Struktur Vorjahr'!$D378,INDIRECT(M$5)))</f>
        <v>0</v>
      </c>
      <c r="N378" s="593">
        <f ca="1">$E378*(-SUMIF(INDIRECT(N$3),'Struktur Vorjahr'!$D378,INDIRECT(N$4))+SUMIF(INDIRECT(N$3),'Struktur Vorjahr'!$D378,INDIRECT(N$5)))</f>
        <v>0</v>
      </c>
      <c r="O378" s="593">
        <f ca="1">$E378*(-SUMIF(INDIRECT(O$3),'Struktur Vorjahr'!$D378,INDIRECT(O$4))+SUMIF(INDIRECT(O$3),'Struktur Vorjahr'!$D378,INDIRECT(O$5)))</f>
        <v>0</v>
      </c>
      <c r="P378" s="593">
        <f ca="1">$E378*(-SUMIF(INDIRECT(P$3),'Struktur Vorjahr'!$D378,INDIRECT(P$4))+SUMIF(INDIRECT(P$3),'Struktur Vorjahr'!$D378,INDIRECT(P$5)))</f>
        <v>0</v>
      </c>
      <c r="Q378" s="593">
        <f ca="1">$E378*(-SUMIF(INDIRECT(Q$3),'Struktur Vorjahr'!$D378,INDIRECT(Q$4))+SUMIF(INDIRECT(Q$3),'Struktur Vorjahr'!$D378,INDIRECT(Q$5)))</f>
        <v>0</v>
      </c>
      <c r="R378" s="593">
        <f ca="1">$E378*(-SUMIF(INDIRECT(R$3),'Struktur Vorjahr'!$D378,INDIRECT(R$4))+SUMIF(INDIRECT(R$3),'Struktur Vorjahr'!$D378,INDIRECT(R$5)))</f>
        <v>0</v>
      </c>
      <c r="S378" s="593">
        <f ca="1">$E378*(-SUMIF(INDIRECT(S$3),'Struktur Vorjahr'!$D378,INDIRECT(S$4))+SUMIF(INDIRECT(S$3),'Struktur Vorjahr'!$D378,INDIRECT(S$5)))</f>
        <v>0</v>
      </c>
      <c r="T378" s="593">
        <f ca="1">$E378*(-SUMIF(INDIRECT(T$3),'Struktur Vorjahr'!$D378,INDIRECT(T$4))+SUMIF(INDIRECT(T$3),'Struktur Vorjahr'!$D378,INDIRECT(T$5)))</f>
        <v>0</v>
      </c>
      <c r="U378" s="593">
        <f ca="1">$E378*(-SUMIF(INDIRECT(U$3),'Struktur Vorjahr'!$D378,INDIRECT(U$4))+SUMIF(INDIRECT(U$3),'Struktur Vorjahr'!$D378,INDIRECT(U$5)))</f>
        <v>0</v>
      </c>
      <c r="V378" s="593">
        <f ca="1">$E378*(-SUMIF(INDIRECT(V$3),'Struktur Vorjahr'!$D378,INDIRECT(V$4))+SUMIF(INDIRECT(V$3),'Struktur Vorjahr'!$D378,INDIRECT(V$5)))</f>
        <v>0</v>
      </c>
      <c r="W378" s="593">
        <f ca="1">$E378*(-SUMIF(INDIRECT(W$3),'Struktur Vorjahr'!$D378,INDIRECT(W$4))+SUMIF(INDIRECT(W$3),'Struktur Vorjahr'!$D378,INDIRECT(W$5)))</f>
        <v>0</v>
      </c>
      <c r="X378" s="593">
        <f ca="1">$E378*(-SUMIF(INDIRECT(X$3),'Struktur Vorjahr'!$D378,INDIRECT(X$4))+SUMIF(INDIRECT(X$3),'Struktur Vorjahr'!$D378,INDIRECT(X$5)))</f>
        <v>0</v>
      </c>
      <c r="Y378" s="593">
        <f ca="1">$E378*(-SUMIF(INDIRECT(Y$3),'Struktur Vorjahr'!$D378,INDIRECT(Y$4))+SUMIF(INDIRECT(Y$3),'Struktur Vorjahr'!$D378,INDIRECT(Y$5)))</f>
        <v>0</v>
      </c>
      <c r="Z378" s="593">
        <f ca="1">$E378*(-SUMIF(INDIRECT(Z$3),'Struktur Vorjahr'!$D378,INDIRECT(Z$4))+SUMIF(INDIRECT(Z$3),'Struktur Vorjahr'!$D378,INDIRECT(Z$5)))</f>
        <v>0</v>
      </c>
      <c r="AA378" s="593">
        <f ca="1">$E378*(-SUMIF(INDIRECT(AA$3),'Struktur Vorjahr'!$D378,INDIRECT(AA$4))+SUMIF(INDIRECT(AA$3),'Struktur Vorjahr'!$D378,INDIRECT(AA$5)))</f>
        <v>0</v>
      </c>
      <c r="AB378" s="593">
        <f ca="1">$E378*(-SUMIF(INDIRECT(AB$3),'Struktur Vorjahr'!$D378,INDIRECT(AB$4))+SUMIF(INDIRECT(AB$3),'Struktur Vorjahr'!$D378,INDIRECT(AB$5)))</f>
        <v>0</v>
      </c>
      <c r="AC378" s="593">
        <f ca="1">$E378*(-SUMIF(INDIRECT(AC$3),'Struktur Vorjahr'!$D378,INDIRECT(AC$4))+SUMIF(INDIRECT(AC$3),'Struktur Vorjahr'!$D378,INDIRECT(AC$5)))</f>
        <v>0</v>
      </c>
      <c r="AD378" s="593">
        <f ca="1">$E378*(-SUMIF(INDIRECT(AD$3),'Struktur Vorjahr'!$D378,INDIRECT(AD$4))+SUMIF(INDIRECT(AD$3),'Struktur Vorjahr'!$D378,INDIRECT(AD$5)))</f>
        <v>0</v>
      </c>
      <c r="AE378" s="593">
        <f t="shared" ref="AE378:AE381" ca="1" si="181">G378</f>
        <v>0</v>
      </c>
      <c r="AF378" s="593">
        <f t="shared" ref="AF378:AP381" ca="1" si="182">H378+AE378</f>
        <v>0</v>
      </c>
      <c r="AG378" s="593">
        <f t="shared" ca="1" si="182"/>
        <v>0</v>
      </c>
      <c r="AH378" s="593">
        <f t="shared" ca="1" si="182"/>
        <v>0</v>
      </c>
      <c r="AI378" s="593">
        <f t="shared" ca="1" si="182"/>
        <v>0</v>
      </c>
      <c r="AJ378" s="593">
        <f t="shared" ca="1" si="182"/>
        <v>0</v>
      </c>
      <c r="AK378" s="593">
        <f t="shared" ca="1" si="182"/>
        <v>0</v>
      </c>
      <c r="AL378" s="593">
        <f t="shared" ca="1" si="182"/>
        <v>0</v>
      </c>
      <c r="AM378" s="593">
        <f t="shared" ca="1" si="182"/>
        <v>0</v>
      </c>
      <c r="AN378" s="593">
        <f t="shared" ca="1" si="182"/>
        <v>0</v>
      </c>
      <c r="AO378" s="593">
        <f t="shared" ca="1" si="182"/>
        <v>0</v>
      </c>
      <c r="AP378" s="593">
        <f t="shared" ca="1" si="182"/>
        <v>0</v>
      </c>
    </row>
    <row r="379" spans="1:42" s="594" customFormat="1" ht="11.25" x14ac:dyDescent="0.2">
      <c r="A379" s="607"/>
      <c r="B379" s="591" t="str">
        <f>IF(D379&lt;&gt;"",
IF(ISERROR(MATCH(D379,'Ist Vorjahr Monat 01'!A:A,0))=FALSE,INDEX('Ist Vorjahr Monat 01'!B:B,MATCH(D379,'Ist Vorjahr Monat 01'!A:A,0)),
IF(ISERROR(MATCH(D379,'Ist Vorjahr Monat 02'!A:A,0))=FALSE,INDEX('Ist Vorjahr Monat 02'!B:B,MATCH(D379,'Ist Vorjahr Monat 02'!A:A,0)),
IF(ISERROR(MATCH(D379,'Ist Vorjahr Monat 03'!A:A,0))=FALSE,INDEX('Ist Vorjahr Monat 03'!B:B,MATCH(D379,'Ist Vorjahr Monat 03'!A:A,0)),
IF(ISERROR(MATCH(D379,'Ist Vorjahr Monat 04'!A:A,0))=FALSE,INDEX('Ist Vorjahr Monat 04'!B:B,MATCH(D379,'Ist Vorjahr Monat 04'!A:A,0)),
IF(ISERROR(MATCH(D379,'Ist Vorjahr Monat 05'!A:A,0))=FALSE,INDEX('Ist Vorjahr Monat 05'!B:B,MATCH(D379,'Ist Vorjahr Monat 05'!A:A,0)),
IF(ISERROR(MATCH(D379,'Ist Vorjahr Monat 06'!A:A,0))=FALSE,INDEX('Ist Vorjahr Monat 06'!B:B,MATCH(D379,'Ist Vorjahr Monat 06'!A:A,0)),
IF(ISERROR(MATCH(D379,'Ist Vorjahr Monat 07'!A:A,0))=FALSE,INDEX('Ist Vorjahr Monat 07'!B:B,MATCH(D379,'Ist Vorjahr Monat 07'!A:A,0)),
IF(ISERROR(MATCH(D379,'Ist Vorjahr Monat 08'!A:A,0))=FALSE,INDEX('Ist Vorjahr Monat 08'!B:B,MATCH(D379,'Ist Vorjahr Monat 08'!A:A,0)),
IF(ISERROR(MATCH(D379,'Ist Vorjahr Monat 09'!A:A,0))=FALSE,INDEX('Ist Vorjahr Monat 09'!B:B,MATCH(D379,'Ist Vorjahr Monat 09'!A:A,0)),
IF(ISERROR(MATCH(D379,'Ist Vorjahr Monat 10'!A:A,0))=FALSE,INDEX('Ist Vorjahr Monat 10'!B:B,MATCH(D379,'Ist Vorjahr Monat 10'!A:A,0)),
IF(ISERROR(MATCH(D379,'Ist Vorjahr Monat 11'!A:A,0))=FALSE,INDEX('Ist Vorjahr Monat 11'!B:B,MATCH(D379,'Ist Vorjahr Monat 11'!A:A,0)),
IF(ISERROR(MATCH(D379,'Ist Vorjahr Monat 12'!A:A,0))=FALSE,INDEX('Ist Vorjahr Monat 12'!B:B,MATCH(D379,'Ist Vorjahr Monat 12'!A:A,0)),
"{Konto unbekannt}"
)))))))))))),"")</f>
        <v/>
      </c>
      <c r="C379" s="591"/>
      <c r="D379" s="590"/>
      <c r="E379" s="592">
        <f t="shared" si="121"/>
        <v>1</v>
      </c>
      <c r="F379" s="590"/>
      <c r="G379" s="593">
        <f ca="1">$E379*(-SUMIF(INDIRECT(G$3),'Struktur Vorjahr'!$D379,INDIRECT(G$4))+SUMIF(INDIRECT(G$3),'Struktur Vorjahr'!$D379,INDIRECT(G$5)))</f>
        <v>0</v>
      </c>
      <c r="H379" s="593">
        <f ca="1">$E379*(-SUMIF(INDIRECT(H$3),'Struktur Vorjahr'!$D379,INDIRECT(H$4))+SUMIF(INDIRECT(H$3),'Struktur Vorjahr'!$D379,INDIRECT(H$5)))</f>
        <v>0</v>
      </c>
      <c r="I379" s="593">
        <f ca="1">$E379*(-SUMIF(INDIRECT(I$3),'Struktur Vorjahr'!$D379,INDIRECT(I$4))+SUMIF(INDIRECT(I$3),'Struktur Vorjahr'!$D379,INDIRECT(I$5)))</f>
        <v>0</v>
      </c>
      <c r="J379" s="593">
        <f ca="1">$E379*(-SUMIF(INDIRECT(J$3),'Struktur Vorjahr'!$D379,INDIRECT(J$4))+SUMIF(INDIRECT(J$3),'Struktur Vorjahr'!$D379,INDIRECT(J$5)))</f>
        <v>0</v>
      </c>
      <c r="K379" s="593">
        <f ca="1">$E379*(-SUMIF(INDIRECT(K$3),'Struktur Vorjahr'!$D379,INDIRECT(K$4))+SUMIF(INDIRECT(K$3),'Struktur Vorjahr'!$D379,INDIRECT(K$5)))</f>
        <v>0</v>
      </c>
      <c r="L379" s="593">
        <f ca="1">$E379*(-SUMIF(INDIRECT(L$3),'Struktur Vorjahr'!$D379,INDIRECT(L$4))+SUMIF(INDIRECT(L$3),'Struktur Vorjahr'!$D379,INDIRECT(L$5)))</f>
        <v>0</v>
      </c>
      <c r="M379" s="593">
        <f ca="1">$E379*(-SUMIF(INDIRECT(M$3),'Struktur Vorjahr'!$D379,INDIRECT(M$4))+SUMIF(INDIRECT(M$3),'Struktur Vorjahr'!$D379,INDIRECT(M$5)))</f>
        <v>0</v>
      </c>
      <c r="N379" s="593">
        <f ca="1">$E379*(-SUMIF(INDIRECT(N$3),'Struktur Vorjahr'!$D379,INDIRECT(N$4))+SUMIF(INDIRECT(N$3),'Struktur Vorjahr'!$D379,INDIRECT(N$5)))</f>
        <v>0</v>
      </c>
      <c r="O379" s="593">
        <f ca="1">$E379*(-SUMIF(INDIRECT(O$3),'Struktur Vorjahr'!$D379,INDIRECT(O$4))+SUMIF(INDIRECT(O$3),'Struktur Vorjahr'!$D379,INDIRECT(O$5)))</f>
        <v>0</v>
      </c>
      <c r="P379" s="593">
        <f ca="1">$E379*(-SUMIF(INDIRECT(P$3),'Struktur Vorjahr'!$D379,INDIRECT(P$4))+SUMIF(INDIRECT(P$3),'Struktur Vorjahr'!$D379,INDIRECT(P$5)))</f>
        <v>0</v>
      </c>
      <c r="Q379" s="593">
        <f ca="1">$E379*(-SUMIF(INDIRECT(Q$3),'Struktur Vorjahr'!$D379,INDIRECT(Q$4))+SUMIF(INDIRECT(Q$3),'Struktur Vorjahr'!$D379,INDIRECT(Q$5)))</f>
        <v>0</v>
      </c>
      <c r="R379" s="593">
        <f ca="1">$E379*(-SUMIF(INDIRECT(R$3),'Struktur Vorjahr'!$D379,INDIRECT(R$4))+SUMIF(INDIRECT(R$3),'Struktur Vorjahr'!$D379,INDIRECT(R$5)))</f>
        <v>0</v>
      </c>
      <c r="S379" s="593">
        <f ca="1">$E379*(-SUMIF(INDIRECT(S$3),'Struktur Vorjahr'!$D379,INDIRECT(S$4))+SUMIF(INDIRECT(S$3),'Struktur Vorjahr'!$D379,INDIRECT(S$5)))</f>
        <v>0</v>
      </c>
      <c r="T379" s="593">
        <f ca="1">$E379*(-SUMIF(INDIRECT(T$3),'Struktur Vorjahr'!$D379,INDIRECT(T$4))+SUMIF(INDIRECT(T$3),'Struktur Vorjahr'!$D379,INDIRECT(T$5)))</f>
        <v>0</v>
      </c>
      <c r="U379" s="593">
        <f ca="1">$E379*(-SUMIF(INDIRECT(U$3),'Struktur Vorjahr'!$D379,INDIRECT(U$4))+SUMIF(INDIRECT(U$3),'Struktur Vorjahr'!$D379,INDIRECT(U$5)))</f>
        <v>0</v>
      </c>
      <c r="V379" s="593">
        <f ca="1">$E379*(-SUMIF(INDIRECT(V$3),'Struktur Vorjahr'!$D379,INDIRECT(V$4))+SUMIF(INDIRECT(V$3),'Struktur Vorjahr'!$D379,INDIRECT(V$5)))</f>
        <v>0</v>
      </c>
      <c r="W379" s="593">
        <f ca="1">$E379*(-SUMIF(INDIRECT(W$3),'Struktur Vorjahr'!$D379,INDIRECT(W$4))+SUMIF(INDIRECT(W$3),'Struktur Vorjahr'!$D379,INDIRECT(W$5)))</f>
        <v>0</v>
      </c>
      <c r="X379" s="593">
        <f ca="1">$E379*(-SUMIF(INDIRECT(X$3),'Struktur Vorjahr'!$D379,INDIRECT(X$4))+SUMIF(INDIRECT(X$3),'Struktur Vorjahr'!$D379,INDIRECT(X$5)))</f>
        <v>0</v>
      </c>
      <c r="Y379" s="593">
        <f ca="1">$E379*(-SUMIF(INDIRECT(Y$3),'Struktur Vorjahr'!$D379,INDIRECT(Y$4))+SUMIF(INDIRECT(Y$3),'Struktur Vorjahr'!$D379,INDIRECT(Y$5)))</f>
        <v>0</v>
      </c>
      <c r="Z379" s="593">
        <f ca="1">$E379*(-SUMIF(INDIRECT(Z$3),'Struktur Vorjahr'!$D379,INDIRECT(Z$4))+SUMIF(INDIRECT(Z$3),'Struktur Vorjahr'!$D379,INDIRECT(Z$5)))</f>
        <v>0</v>
      </c>
      <c r="AA379" s="593">
        <f ca="1">$E379*(-SUMIF(INDIRECT(AA$3),'Struktur Vorjahr'!$D379,INDIRECT(AA$4))+SUMIF(INDIRECT(AA$3),'Struktur Vorjahr'!$D379,INDIRECT(AA$5)))</f>
        <v>0</v>
      </c>
      <c r="AB379" s="593">
        <f ca="1">$E379*(-SUMIF(INDIRECT(AB$3),'Struktur Vorjahr'!$D379,INDIRECT(AB$4))+SUMIF(INDIRECT(AB$3),'Struktur Vorjahr'!$D379,INDIRECT(AB$5)))</f>
        <v>0</v>
      </c>
      <c r="AC379" s="593">
        <f ca="1">$E379*(-SUMIF(INDIRECT(AC$3),'Struktur Vorjahr'!$D379,INDIRECT(AC$4))+SUMIF(INDIRECT(AC$3),'Struktur Vorjahr'!$D379,INDIRECT(AC$5)))</f>
        <v>0</v>
      </c>
      <c r="AD379" s="593">
        <f ca="1">$E379*(-SUMIF(INDIRECT(AD$3),'Struktur Vorjahr'!$D379,INDIRECT(AD$4))+SUMIF(INDIRECT(AD$3),'Struktur Vorjahr'!$D379,INDIRECT(AD$5)))</f>
        <v>0</v>
      </c>
      <c r="AE379" s="593">
        <f t="shared" ca="1" si="181"/>
        <v>0</v>
      </c>
      <c r="AF379" s="593">
        <f t="shared" ca="1" si="182"/>
        <v>0</v>
      </c>
      <c r="AG379" s="593">
        <f t="shared" ca="1" si="182"/>
        <v>0</v>
      </c>
      <c r="AH379" s="593">
        <f t="shared" ca="1" si="182"/>
        <v>0</v>
      </c>
      <c r="AI379" s="593">
        <f t="shared" ca="1" si="182"/>
        <v>0</v>
      </c>
      <c r="AJ379" s="593">
        <f t="shared" ca="1" si="182"/>
        <v>0</v>
      </c>
      <c r="AK379" s="593">
        <f t="shared" ca="1" si="182"/>
        <v>0</v>
      </c>
      <c r="AL379" s="593">
        <f t="shared" ca="1" si="182"/>
        <v>0</v>
      </c>
      <c r="AM379" s="593">
        <f t="shared" ca="1" si="182"/>
        <v>0</v>
      </c>
      <c r="AN379" s="593">
        <f t="shared" ca="1" si="182"/>
        <v>0</v>
      </c>
      <c r="AO379" s="593">
        <f t="shared" ca="1" si="182"/>
        <v>0</v>
      </c>
      <c r="AP379" s="593">
        <f t="shared" ca="1" si="182"/>
        <v>0</v>
      </c>
    </row>
    <row r="380" spans="1:42" s="594" customFormat="1" ht="11.25" x14ac:dyDescent="0.2">
      <c r="A380" s="607"/>
      <c r="B380" s="591" t="str">
        <f>IF(D380&lt;&gt;"",
IF(ISERROR(MATCH(D380,'Ist Vorjahr Monat 01'!A:A,0))=FALSE,INDEX('Ist Vorjahr Monat 01'!B:B,MATCH(D380,'Ist Vorjahr Monat 01'!A:A,0)),
IF(ISERROR(MATCH(D380,'Ist Vorjahr Monat 02'!A:A,0))=FALSE,INDEX('Ist Vorjahr Monat 02'!B:B,MATCH(D380,'Ist Vorjahr Monat 02'!A:A,0)),
IF(ISERROR(MATCH(D380,'Ist Vorjahr Monat 03'!A:A,0))=FALSE,INDEX('Ist Vorjahr Monat 03'!B:B,MATCH(D380,'Ist Vorjahr Monat 03'!A:A,0)),
IF(ISERROR(MATCH(D380,'Ist Vorjahr Monat 04'!A:A,0))=FALSE,INDEX('Ist Vorjahr Monat 04'!B:B,MATCH(D380,'Ist Vorjahr Monat 04'!A:A,0)),
IF(ISERROR(MATCH(D380,'Ist Vorjahr Monat 05'!A:A,0))=FALSE,INDEX('Ist Vorjahr Monat 05'!B:B,MATCH(D380,'Ist Vorjahr Monat 05'!A:A,0)),
IF(ISERROR(MATCH(D380,'Ist Vorjahr Monat 06'!A:A,0))=FALSE,INDEX('Ist Vorjahr Monat 06'!B:B,MATCH(D380,'Ist Vorjahr Monat 06'!A:A,0)),
IF(ISERROR(MATCH(D380,'Ist Vorjahr Monat 07'!A:A,0))=FALSE,INDEX('Ist Vorjahr Monat 07'!B:B,MATCH(D380,'Ist Vorjahr Monat 07'!A:A,0)),
IF(ISERROR(MATCH(D380,'Ist Vorjahr Monat 08'!A:A,0))=FALSE,INDEX('Ist Vorjahr Monat 08'!B:B,MATCH(D380,'Ist Vorjahr Monat 08'!A:A,0)),
IF(ISERROR(MATCH(D380,'Ist Vorjahr Monat 09'!A:A,0))=FALSE,INDEX('Ist Vorjahr Monat 09'!B:B,MATCH(D380,'Ist Vorjahr Monat 09'!A:A,0)),
IF(ISERROR(MATCH(D380,'Ist Vorjahr Monat 10'!A:A,0))=FALSE,INDEX('Ist Vorjahr Monat 10'!B:B,MATCH(D380,'Ist Vorjahr Monat 10'!A:A,0)),
IF(ISERROR(MATCH(D380,'Ist Vorjahr Monat 11'!A:A,0))=FALSE,INDEX('Ist Vorjahr Monat 11'!B:B,MATCH(D380,'Ist Vorjahr Monat 11'!A:A,0)),
IF(ISERROR(MATCH(D380,'Ist Vorjahr Monat 12'!A:A,0))=FALSE,INDEX('Ist Vorjahr Monat 12'!B:B,MATCH(D380,'Ist Vorjahr Monat 12'!A:A,0)),
"{Konto unbekannt}"
)))))))))))),"")</f>
        <v/>
      </c>
      <c r="C380" s="591"/>
      <c r="D380" s="590"/>
      <c r="E380" s="592">
        <f t="shared" si="121"/>
        <v>1</v>
      </c>
      <c r="F380" s="590"/>
      <c r="G380" s="593">
        <f ca="1">$E380*(-SUMIF(INDIRECT(G$3),'Struktur Vorjahr'!$D380,INDIRECT(G$4))+SUMIF(INDIRECT(G$3),'Struktur Vorjahr'!$D380,INDIRECT(G$5)))</f>
        <v>0</v>
      </c>
      <c r="H380" s="593">
        <f ca="1">$E380*(-SUMIF(INDIRECT(H$3),'Struktur Vorjahr'!$D380,INDIRECT(H$4))+SUMIF(INDIRECT(H$3),'Struktur Vorjahr'!$D380,INDIRECT(H$5)))</f>
        <v>0</v>
      </c>
      <c r="I380" s="593">
        <f ca="1">$E380*(-SUMIF(INDIRECT(I$3),'Struktur Vorjahr'!$D380,INDIRECT(I$4))+SUMIF(INDIRECT(I$3),'Struktur Vorjahr'!$D380,INDIRECT(I$5)))</f>
        <v>0</v>
      </c>
      <c r="J380" s="593">
        <f ca="1">$E380*(-SUMIF(INDIRECT(J$3),'Struktur Vorjahr'!$D380,INDIRECT(J$4))+SUMIF(INDIRECT(J$3),'Struktur Vorjahr'!$D380,INDIRECT(J$5)))</f>
        <v>0</v>
      </c>
      <c r="K380" s="593">
        <f ca="1">$E380*(-SUMIF(INDIRECT(K$3),'Struktur Vorjahr'!$D380,INDIRECT(K$4))+SUMIF(INDIRECT(K$3),'Struktur Vorjahr'!$D380,INDIRECT(K$5)))</f>
        <v>0</v>
      </c>
      <c r="L380" s="593">
        <f ca="1">$E380*(-SUMIF(INDIRECT(L$3),'Struktur Vorjahr'!$D380,INDIRECT(L$4))+SUMIF(INDIRECT(L$3),'Struktur Vorjahr'!$D380,INDIRECT(L$5)))</f>
        <v>0</v>
      </c>
      <c r="M380" s="593">
        <f ca="1">$E380*(-SUMIF(INDIRECT(M$3),'Struktur Vorjahr'!$D380,INDIRECT(M$4))+SUMIF(INDIRECT(M$3),'Struktur Vorjahr'!$D380,INDIRECT(M$5)))</f>
        <v>0</v>
      </c>
      <c r="N380" s="593">
        <f ca="1">$E380*(-SUMIF(INDIRECT(N$3),'Struktur Vorjahr'!$D380,INDIRECT(N$4))+SUMIF(INDIRECT(N$3),'Struktur Vorjahr'!$D380,INDIRECT(N$5)))</f>
        <v>0</v>
      </c>
      <c r="O380" s="593">
        <f ca="1">$E380*(-SUMIF(INDIRECT(O$3),'Struktur Vorjahr'!$D380,INDIRECT(O$4))+SUMIF(INDIRECT(O$3),'Struktur Vorjahr'!$D380,INDIRECT(O$5)))</f>
        <v>0</v>
      </c>
      <c r="P380" s="593">
        <f ca="1">$E380*(-SUMIF(INDIRECT(P$3),'Struktur Vorjahr'!$D380,INDIRECT(P$4))+SUMIF(INDIRECT(P$3),'Struktur Vorjahr'!$D380,INDIRECT(P$5)))</f>
        <v>0</v>
      </c>
      <c r="Q380" s="593">
        <f ca="1">$E380*(-SUMIF(INDIRECT(Q$3),'Struktur Vorjahr'!$D380,INDIRECT(Q$4))+SUMIF(INDIRECT(Q$3),'Struktur Vorjahr'!$D380,INDIRECT(Q$5)))</f>
        <v>0</v>
      </c>
      <c r="R380" s="593">
        <f ca="1">$E380*(-SUMIF(INDIRECT(R$3),'Struktur Vorjahr'!$D380,INDIRECT(R$4))+SUMIF(INDIRECT(R$3),'Struktur Vorjahr'!$D380,INDIRECT(R$5)))</f>
        <v>0</v>
      </c>
      <c r="S380" s="593">
        <f ca="1">$E380*(-SUMIF(INDIRECT(S$3),'Struktur Vorjahr'!$D380,INDIRECT(S$4))+SUMIF(INDIRECT(S$3),'Struktur Vorjahr'!$D380,INDIRECT(S$5)))</f>
        <v>0</v>
      </c>
      <c r="T380" s="593">
        <f ca="1">$E380*(-SUMIF(INDIRECT(T$3),'Struktur Vorjahr'!$D380,INDIRECT(T$4))+SUMIF(INDIRECT(T$3),'Struktur Vorjahr'!$D380,INDIRECT(T$5)))</f>
        <v>0</v>
      </c>
      <c r="U380" s="593">
        <f ca="1">$E380*(-SUMIF(INDIRECT(U$3),'Struktur Vorjahr'!$D380,INDIRECT(U$4))+SUMIF(INDIRECT(U$3),'Struktur Vorjahr'!$D380,INDIRECT(U$5)))</f>
        <v>0</v>
      </c>
      <c r="V380" s="593">
        <f ca="1">$E380*(-SUMIF(INDIRECT(V$3),'Struktur Vorjahr'!$D380,INDIRECT(V$4))+SUMIF(INDIRECT(V$3),'Struktur Vorjahr'!$D380,INDIRECT(V$5)))</f>
        <v>0</v>
      </c>
      <c r="W380" s="593">
        <f ca="1">$E380*(-SUMIF(INDIRECT(W$3),'Struktur Vorjahr'!$D380,INDIRECT(W$4))+SUMIF(INDIRECT(W$3),'Struktur Vorjahr'!$D380,INDIRECT(W$5)))</f>
        <v>0</v>
      </c>
      <c r="X380" s="593">
        <f ca="1">$E380*(-SUMIF(INDIRECT(X$3),'Struktur Vorjahr'!$D380,INDIRECT(X$4))+SUMIF(INDIRECT(X$3),'Struktur Vorjahr'!$D380,INDIRECT(X$5)))</f>
        <v>0</v>
      </c>
      <c r="Y380" s="593">
        <f ca="1">$E380*(-SUMIF(INDIRECT(Y$3),'Struktur Vorjahr'!$D380,INDIRECT(Y$4))+SUMIF(INDIRECT(Y$3),'Struktur Vorjahr'!$D380,INDIRECT(Y$5)))</f>
        <v>0</v>
      </c>
      <c r="Z380" s="593">
        <f ca="1">$E380*(-SUMIF(INDIRECT(Z$3),'Struktur Vorjahr'!$D380,INDIRECT(Z$4))+SUMIF(INDIRECT(Z$3),'Struktur Vorjahr'!$D380,INDIRECT(Z$5)))</f>
        <v>0</v>
      </c>
      <c r="AA380" s="593">
        <f ca="1">$E380*(-SUMIF(INDIRECT(AA$3),'Struktur Vorjahr'!$D380,INDIRECT(AA$4))+SUMIF(INDIRECT(AA$3),'Struktur Vorjahr'!$D380,INDIRECT(AA$5)))</f>
        <v>0</v>
      </c>
      <c r="AB380" s="593">
        <f ca="1">$E380*(-SUMIF(INDIRECT(AB$3),'Struktur Vorjahr'!$D380,INDIRECT(AB$4))+SUMIF(INDIRECT(AB$3),'Struktur Vorjahr'!$D380,INDIRECT(AB$5)))</f>
        <v>0</v>
      </c>
      <c r="AC380" s="593">
        <f ca="1">$E380*(-SUMIF(INDIRECT(AC$3),'Struktur Vorjahr'!$D380,INDIRECT(AC$4))+SUMIF(INDIRECT(AC$3),'Struktur Vorjahr'!$D380,INDIRECT(AC$5)))</f>
        <v>0</v>
      </c>
      <c r="AD380" s="593">
        <f ca="1">$E380*(-SUMIF(INDIRECT(AD$3),'Struktur Vorjahr'!$D380,INDIRECT(AD$4))+SUMIF(INDIRECT(AD$3),'Struktur Vorjahr'!$D380,INDIRECT(AD$5)))</f>
        <v>0</v>
      </c>
      <c r="AE380" s="593">
        <f t="shared" ca="1" si="181"/>
        <v>0</v>
      </c>
      <c r="AF380" s="593">
        <f t="shared" ca="1" si="182"/>
        <v>0</v>
      </c>
      <c r="AG380" s="593">
        <f t="shared" ca="1" si="182"/>
        <v>0</v>
      </c>
      <c r="AH380" s="593">
        <f t="shared" ca="1" si="182"/>
        <v>0</v>
      </c>
      <c r="AI380" s="593">
        <f t="shared" ca="1" si="182"/>
        <v>0</v>
      </c>
      <c r="AJ380" s="593">
        <f t="shared" ca="1" si="182"/>
        <v>0</v>
      </c>
      <c r="AK380" s="593">
        <f t="shared" ca="1" si="182"/>
        <v>0</v>
      </c>
      <c r="AL380" s="593">
        <f t="shared" ca="1" si="182"/>
        <v>0</v>
      </c>
      <c r="AM380" s="593">
        <f t="shared" ca="1" si="182"/>
        <v>0</v>
      </c>
      <c r="AN380" s="593">
        <f t="shared" ca="1" si="182"/>
        <v>0</v>
      </c>
      <c r="AO380" s="593">
        <f t="shared" ca="1" si="182"/>
        <v>0</v>
      </c>
      <c r="AP380" s="593">
        <f t="shared" ca="1" si="182"/>
        <v>0</v>
      </c>
    </row>
    <row r="381" spans="1:42" s="594" customFormat="1" ht="11.25" x14ac:dyDescent="0.2">
      <c r="A381" s="607"/>
      <c r="B381" s="591" t="str">
        <f>IF(D381&lt;&gt;"",
IF(ISERROR(MATCH(D381,'Ist Vorjahr Monat 01'!A:A,0))=FALSE,INDEX('Ist Vorjahr Monat 01'!B:B,MATCH(D381,'Ist Vorjahr Monat 01'!A:A,0)),
IF(ISERROR(MATCH(D381,'Ist Vorjahr Monat 02'!A:A,0))=FALSE,INDEX('Ist Vorjahr Monat 02'!B:B,MATCH(D381,'Ist Vorjahr Monat 02'!A:A,0)),
IF(ISERROR(MATCH(D381,'Ist Vorjahr Monat 03'!A:A,0))=FALSE,INDEX('Ist Vorjahr Monat 03'!B:B,MATCH(D381,'Ist Vorjahr Monat 03'!A:A,0)),
IF(ISERROR(MATCH(D381,'Ist Vorjahr Monat 04'!A:A,0))=FALSE,INDEX('Ist Vorjahr Monat 04'!B:B,MATCH(D381,'Ist Vorjahr Monat 04'!A:A,0)),
IF(ISERROR(MATCH(D381,'Ist Vorjahr Monat 05'!A:A,0))=FALSE,INDEX('Ist Vorjahr Monat 05'!B:B,MATCH(D381,'Ist Vorjahr Monat 05'!A:A,0)),
IF(ISERROR(MATCH(D381,'Ist Vorjahr Monat 06'!A:A,0))=FALSE,INDEX('Ist Vorjahr Monat 06'!B:B,MATCH(D381,'Ist Vorjahr Monat 06'!A:A,0)),
IF(ISERROR(MATCH(D381,'Ist Vorjahr Monat 07'!A:A,0))=FALSE,INDEX('Ist Vorjahr Monat 07'!B:B,MATCH(D381,'Ist Vorjahr Monat 07'!A:A,0)),
IF(ISERROR(MATCH(D381,'Ist Vorjahr Monat 08'!A:A,0))=FALSE,INDEX('Ist Vorjahr Monat 08'!B:B,MATCH(D381,'Ist Vorjahr Monat 08'!A:A,0)),
IF(ISERROR(MATCH(D381,'Ist Vorjahr Monat 09'!A:A,0))=FALSE,INDEX('Ist Vorjahr Monat 09'!B:B,MATCH(D381,'Ist Vorjahr Monat 09'!A:A,0)),
IF(ISERROR(MATCH(D381,'Ist Vorjahr Monat 10'!A:A,0))=FALSE,INDEX('Ist Vorjahr Monat 10'!B:B,MATCH(D381,'Ist Vorjahr Monat 10'!A:A,0)),
IF(ISERROR(MATCH(D381,'Ist Vorjahr Monat 11'!A:A,0))=FALSE,INDEX('Ist Vorjahr Monat 11'!B:B,MATCH(D381,'Ist Vorjahr Monat 11'!A:A,0)),
IF(ISERROR(MATCH(D381,'Ist Vorjahr Monat 12'!A:A,0))=FALSE,INDEX('Ist Vorjahr Monat 12'!B:B,MATCH(D381,'Ist Vorjahr Monat 12'!A:A,0)),
"{Konto unbekannt}"
)))))))))))),"")</f>
        <v/>
      </c>
      <c r="C381" s="591"/>
      <c r="D381" s="590"/>
      <c r="E381" s="592">
        <f t="shared" si="121"/>
        <v>1</v>
      </c>
      <c r="F381" s="590"/>
      <c r="G381" s="593">
        <f ca="1">$E381*(-SUMIF(INDIRECT(G$3),'Struktur Vorjahr'!$D381,INDIRECT(G$4))+SUMIF(INDIRECT(G$3),'Struktur Vorjahr'!$D381,INDIRECT(G$5)))</f>
        <v>0</v>
      </c>
      <c r="H381" s="593">
        <f ca="1">$E381*(-SUMIF(INDIRECT(H$3),'Struktur Vorjahr'!$D381,INDIRECT(H$4))+SUMIF(INDIRECT(H$3),'Struktur Vorjahr'!$D381,INDIRECT(H$5)))</f>
        <v>0</v>
      </c>
      <c r="I381" s="593">
        <f ca="1">$E381*(-SUMIF(INDIRECT(I$3),'Struktur Vorjahr'!$D381,INDIRECT(I$4))+SUMIF(INDIRECT(I$3),'Struktur Vorjahr'!$D381,INDIRECT(I$5)))</f>
        <v>0</v>
      </c>
      <c r="J381" s="593">
        <f ca="1">$E381*(-SUMIF(INDIRECT(J$3),'Struktur Vorjahr'!$D381,INDIRECT(J$4))+SUMIF(INDIRECT(J$3),'Struktur Vorjahr'!$D381,INDIRECT(J$5)))</f>
        <v>0</v>
      </c>
      <c r="K381" s="593">
        <f ca="1">$E381*(-SUMIF(INDIRECT(K$3),'Struktur Vorjahr'!$D381,INDIRECT(K$4))+SUMIF(INDIRECT(K$3),'Struktur Vorjahr'!$D381,INDIRECT(K$5)))</f>
        <v>0</v>
      </c>
      <c r="L381" s="593">
        <f ca="1">$E381*(-SUMIF(INDIRECT(L$3),'Struktur Vorjahr'!$D381,INDIRECT(L$4))+SUMIF(INDIRECT(L$3),'Struktur Vorjahr'!$D381,INDIRECT(L$5)))</f>
        <v>0</v>
      </c>
      <c r="M381" s="593">
        <f ca="1">$E381*(-SUMIF(INDIRECT(M$3),'Struktur Vorjahr'!$D381,INDIRECT(M$4))+SUMIF(INDIRECT(M$3),'Struktur Vorjahr'!$D381,INDIRECT(M$5)))</f>
        <v>0</v>
      </c>
      <c r="N381" s="593">
        <f ca="1">$E381*(-SUMIF(INDIRECT(N$3),'Struktur Vorjahr'!$D381,INDIRECT(N$4))+SUMIF(INDIRECT(N$3),'Struktur Vorjahr'!$D381,INDIRECT(N$5)))</f>
        <v>0</v>
      </c>
      <c r="O381" s="593">
        <f ca="1">$E381*(-SUMIF(INDIRECT(O$3),'Struktur Vorjahr'!$D381,INDIRECT(O$4))+SUMIF(INDIRECT(O$3),'Struktur Vorjahr'!$D381,INDIRECT(O$5)))</f>
        <v>0</v>
      </c>
      <c r="P381" s="593">
        <f ca="1">$E381*(-SUMIF(INDIRECT(P$3),'Struktur Vorjahr'!$D381,INDIRECT(P$4))+SUMIF(INDIRECT(P$3),'Struktur Vorjahr'!$D381,INDIRECT(P$5)))</f>
        <v>0</v>
      </c>
      <c r="Q381" s="593">
        <f ca="1">$E381*(-SUMIF(INDIRECT(Q$3),'Struktur Vorjahr'!$D381,INDIRECT(Q$4))+SUMIF(INDIRECT(Q$3),'Struktur Vorjahr'!$D381,INDIRECT(Q$5)))</f>
        <v>0</v>
      </c>
      <c r="R381" s="593">
        <f ca="1">$E381*(-SUMIF(INDIRECT(R$3),'Struktur Vorjahr'!$D381,INDIRECT(R$4))+SUMIF(INDIRECT(R$3),'Struktur Vorjahr'!$D381,INDIRECT(R$5)))</f>
        <v>0</v>
      </c>
      <c r="S381" s="593">
        <f ca="1">$E381*(-SUMIF(INDIRECT(S$3),'Struktur Vorjahr'!$D381,INDIRECT(S$4))+SUMIF(INDIRECT(S$3),'Struktur Vorjahr'!$D381,INDIRECT(S$5)))</f>
        <v>0</v>
      </c>
      <c r="T381" s="593">
        <f ca="1">$E381*(-SUMIF(INDIRECT(T$3),'Struktur Vorjahr'!$D381,INDIRECT(T$4))+SUMIF(INDIRECT(T$3),'Struktur Vorjahr'!$D381,INDIRECT(T$5)))</f>
        <v>0</v>
      </c>
      <c r="U381" s="593">
        <f ca="1">$E381*(-SUMIF(INDIRECT(U$3),'Struktur Vorjahr'!$D381,INDIRECT(U$4))+SUMIF(INDIRECT(U$3),'Struktur Vorjahr'!$D381,INDIRECT(U$5)))</f>
        <v>0</v>
      </c>
      <c r="V381" s="593">
        <f ca="1">$E381*(-SUMIF(INDIRECT(V$3),'Struktur Vorjahr'!$D381,INDIRECT(V$4))+SUMIF(INDIRECT(V$3),'Struktur Vorjahr'!$D381,INDIRECT(V$5)))</f>
        <v>0</v>
      </c>
      <c r="W381" s="593">
        <f ca="1">$E381*(-SUMIF(INDIRECT(W$3),'Struktur Vorjahr'!$D381,INDIRECT(W$4))+SUMIF(INDIRECT(W$3),'Struktur Vorjahr'!$D381,INDIRECT(W$5)))</f>
        <v>0</v>
      </c>
      <c r="X381" s="593">
        <f ca="1">$E381*(-SUMIF(INDIRECT(X$3),'Struktur Vorjahr'!$D381,INDIRECT(X$4))+SUMIF(INDIRECT(X$3),'Struktur Vorjahr'!$D381,INDIRECT(X$5)))</f>
        <v>0</v>
      </c>
      <c r="Y381" s="593">
        <f ca="1">$E381*(-SUMIF(INDIRECT(Y$3),'Struktur Vorjahr'!$D381,INDIRECT(Y$4))+SUMIF(INDIRECT(Y$3),'Struktur Vorjahr'!$D381,INDIRECT(Y$5)))</f>
        <v>0</v>
      </c>
      <c r="Z381" s="593">
        <f ca="1">$E381*(-SUMIF(INDIRECT(Z$3),'Struktur Vorjahr'!$D381,INDIRECT(Z$4))+SUMIF(INDIRECT(Z$3),'Struktur Vorjahr'!$D381,INDIRECT(Z$5)))</f>
        <v>0</v>
      </c>
      <c r="AA381" s="593">
        <f ca="1">$E381*(-SUMIF(INDIRECT(AA$3),'Struktur Vorjahr'!$D381,INDIRECT(AA$4))+SUMIF(INDIRECT(AA$3),'Struktur Vorjahr'!$D381,INDIRECT(AA$5)))</f>
        <v>0</v>
      </c>
      <c r="AB381" s="593">
        <f ca="1">$E381*(-SUMIF(INDIRECT(AB$3),'Struktur Vorjahr'!$D381,INDIRECT(AB$4))+SUMIF(INDIRECT(AB$3),'Struktur Vorjahr'!$D381,INDIRECT(AB$5)))</f>
        <v>0</v>
      </c>
      <c r="AC381" s="593">
        <f ca="1">$E381*(-SUMIF(INDIRECT(AC$3),'Struktur Vorjahr'!$D381,INDIRECT(AC$4))+SUMIF(INDIRECT(AC$3),'Struktur Vorjahr'!$D381,INDIRECT(AC$5)))</f>
        <v>0</v>
      </c>
      <c r="AD381" s="593">
        <f ca="1">$E381*(-SUMIF(INDIRECT(AD$3),'Struktur Vorjahr'!$D381,INDIRECT(AD$4))+SUMIF(INDIRECT(AD$3),'Struktur Vorjahr'!$D381,INDIRECT(AD$5)))</f>
        <v>0</v>
      </c>
      <c r="AE381" s="593">
        <f t="shared" ca="1" si="181"/>
        <v>0</v>
      </c>
      <c r="AF381" s="593">
        <f t="shared" ca="1" si="182"/>
        <v>0</v>
      </c>
      <c r="AG381" s="593">
        <f t="shared" ca="1" si="182"/>
        <v>0</v>
      </c>
      <c r="AH381" s="593">
        <f t="shared" ca="1" si="182"/>
        <v>0</v>
      </c>
      <c r="AI381" s="593">
        <f t="shared" ca="1" si="182"/>
        <v>0</v>
      </c>
      <c r="AJ381" s="593">
        <f t="shared" ca="1" si="182"/>
        <v>0</v>
      </c>
      <c r="AK381" s="593">
        <f t="shared" ca="1" si="182"/>
        <v>0</v>
      </c>
      <c r="AL381" s="593">
        <f t="shared" ca="1" si="182"/>
        <v>0</v>
      </c>
      <c r="AM381" s="593">
        <f t="shared" ca="1" si="182"/>
        <v>0</v>
      </c>
      <c r="AN381" s="593">
        <f t="shared" ca="1" si="182"/>
        <v>0</v>
      </c>
      <c r="AO381" s="593">
        <f t="shared" ca="1" si="182"/>
        <v>0</v>
      </c>
      <c r="AP381" s="593">
        <f t="shared" ca="1" si="182"/>
        <v>0</v>
      </c>
    </row>
    <row r="382" spans="1:42" s="589" customFormat="1" x14ac:dyDescent="0.2">
      <c r="A382" s="585">
        <v>37</v>
      </c>
      <c r="B382" s="586" t="s">
        <v>182</v>
      </c>
      <c r="C382" s="587">
        <f ca="1">SUM(G382:R382)</f>
        <v>0</v>
      </c>
      <c r="D382" s="587"/>
      <c r="E382" s="588">
        <f t="shared" si="121"/>
        <v>1</v>
      </c>
      <c r="F382" s="585"/>
      <c r="G382" s="587">
        <f t="shared" ref="G382:AP382" ca="1" si="183">SUM(G383:G386)</f>
        <v>0</v>
      </c>
      <c r="H382" s="587">
        <f t="shared" ca="1" si="183"/>
        <v>0</v>
      </c>
      <c r="I382" s="587">
        <f t="shared" ca="1" si="183"/>
        <v>0</v>
      </c>
      <c r="J382" s="587">
        <f t="shared" ca="1" si="183"/>
        <v>0</v>
      </c>
      <c r="K382" s="587">
        <f t="shared" ca="1" si="183"/>
        <v>0</v>
      </c>
      <c r="L382" s="587">
        <f t="shared" ca="1" si="183"/>
        <v>0</v>
      </c>
      <c r="M382" s="587">
        <f t="shared" ca="1" si="183"/>
        <v>0</v>
      </c>
      <c r="N382" s="587">
        <f t="shared" ca="1" si="183"/>
        <v>0</v>
      </c>
      <c r="O382" s="587">
        <f t="shared" ca="1" si="183"/>
        <v>0</v>
      </c>
      <c r="P382" s="587">
        <f t="shared" ca="1" si="183"/>
        <v>0</v>
      </c>
      <c r="Q382" s="587">
        <f t="shared" ca="1" si="183"/>
        <v>0</v>
      </c>
      <c r="R382" s="587">
        <f t="shared" ca="1" si="183"/>
        <v>0</v>
      </c>
      <c r="S382" s="587">
        <f t="shared" ca="1" si="183"/>
        <v>0</v>
      </c>
      <c r="T382" s="587">
        <f t="shared" ca="1" si="183"/>
        <v>0</v>
      </c>
      <c r="U382" s="587">
        <f t="shared" ca="1" si="183"/>
        <v>0</v>
      </c>
      <c r="V382" s="587">
        <f t="shared" ca="1" si="183"/>
        <v>0</v>
      </c>
      <c r="W382" s="587">
        <f t="shared" ca="1" si="183"/>
        <v>0</v>
      </c>
      <c r="X382" s="587">
        <f t="shared" ca="1" si="183"/>
        <v>0</v>
      </c>
      <c r="Y382" s="587">
        <f t="shared" ca="1" si="183"/>
        <v>0</v>
      </c>
      <c r="Z382" s="587">
        <f t="shared" ca="1" si="183"/>
        <v>0</v>
      </c>
      <c r="AA382" s="587">
        <f t="shared" ca="1" si="183"/>
        <v>0</v>
      </c>
      <c r="AB382" s="587">
        <f t="shared" ca="1" si="183"/>
        <v>0</v>
      </c>
      <c r="AC382" s="587">
        <f t="shared" ca="1" si="183"/>
        <v>0</v>
      </c>
      <c r="AD382" s="587">
        <f t="shared" ca="1" si="183"/>
        <v>0</v>
      </c>
      <c r="AE382" s="587">
        <f t="shared" ca="1" si="183"/>
        <v>0</v>
      </c>
      <c r="AF382" s="587">
        <f t="shared" ca="1" si="183"/>
        <v>0</v>
      </c>
      <c r="AG382" s="587">
        <f t="shared" ca="1" si="183"/>
        <v>0</v>
      </c>
      <c r="AH382" s="587">
        <f t="shared" ca="1" si="183"/>
        <v>0</v>
      </c>
      <c r="AI382" s="587">
        <f t="shared" ca="1" si="183"/>
        <v>0</v>
      </c>
      <c r="AJ382" s="587">
        <f t="shared" ca="1" si="183"/>
        <v>0</v>
      </c>
      <c r="AK382" s="587">
        <f t="shared" ca="1" si="183"/>
        <v>0</v>
      </c>
      <c r="AL382" s="587">
        <f t="shared" ca="1" si="183"/>
        <v>0</v>
      </c>
      <c r="AM382" s="587">
        <f t="shared" ca="1" si="183"/>
        <v>0</v>
      </c>
      <c r="AN382" s="587">
        <f t="shared" ca="1" si="183"/>
        <v>0</v>
      </c>
      <c r="AO382" s="587">
        <f t="shared" ca="1" si="183"/>
        <v>0</v>
      </c>
      <c r="AP382" s="587">
        <f t="shared" ca="1" si="183"/>
        <v>0</v>
      </c>
    </row>
    <row r="383" spans="1:42" s="594" customFormat="1" ht="11.25" x14ac:dyDescent="0.2">
      <c r="A383" s="607"/>
      <c r="B383" s="591" t="str">
        <f>IF(D383&lt;&gt;"",
IF(ISERROR(MATCH(D383,'Ist Vorjahr Monat 01'!A:A,0))=FALSE,INDEX('Ist Vorjahr Monat 01'!B:B,MATCH(D383,'Ist Vorjahr Monat 01'!A:A,0)),
IF(ISERROR(MATCH(D383,'Ist Vorjahr Monat 02'!A:A,0))=FALSE,INDEX('Ist Vorjahr Monat 02'!B:B,MATCH(D383,'Ist Vorjahr Monat 02'!A:A,0)),
IF(ISERROR(MATCH(D383,'Ist Vorjahr Monat 03'!A:A,0))=FALSE,INDEX('Ist Vorjahr Monat 03'!B:B,MATCH(D383,'Ist Vorjahr Monat 03'!A:A,0)),
IF(ISERROR(MATCH(D383,'Ist Vorjahr Monat 04'!A:A,0))=FALSE,INDEX('Ist Vorjahr Monat 04'!B:B,MATCH(D383,'Ist Vorjahr Monat 04'!A:A,0)),
IF(ISERROR(MATCH(D383,'Ist Vorjahr Monat 05'!A:A,0))=FALSE,INDEX('Ist Vorjahr Monat 05'!B:B,MATCH(D383,'Ist Vorjahr Monat 05'!A:A,0)),
IF(ISERROR(MATCH(D383,'Ist Vorjahr Monat 06'!A:A,0))=FALSE,INDEX('Ist Vorjahr Monat 06'!B:B,MATCH(D383,'Ist Vorjahr Monat 06'!A:A,0)),
IF(ISERROR(MATCH(D383,'Ist Vorjahr Monat 07'!A:A,0))=FALSE,INDEX('Ist Vorjahr Monat 07'!B:B,MATCH(D383,'Ist Vorjahr Monat 07'!A:A,0)),
IF(ISERROR(MATCH(D383,'Ist Vorjahr Monat 08'!A:A,0))=FALSE,INDEX('Ist Vorjahr Monat 08'!B:B,MATCH(D383,'Ist Vorjahr Monat 08'!A:A,0)),
IF(ISERROR(MATCH(D383,'Ist Vorjahr Monat 09'!A:A,0))=FALSE,INDEX('Ist Vorjahr Monat 09'!B:B,MATCH(D383,'Ist Vorjahr Monat 09'!A:A,0)),
IF(ISERROR(MATCH(D383,'Ist Vorjahr Monat 10'!A:A,0))=FALSE,INDEX('Ist Vorjahr Monat 10'!B:B,MATCH(D383,'Ist Vorjahr Monat 10'!A:A,0)),
IF(ISERROR(MATCH(D383,'Ist Vorjahr Monat 11'!A:A,0))=FALSE,INDEX('Ist Vorjahr Monat 11'!B:B,MATCH(D383,'Ist Vorjahr Monat 11'!A:A,0)),
IF(ISERROR(MATCH(D383,'Ist Vorjahr Monat 12'!A:A,0))=FALSE,INDEX('Ist Vorjahr Monat 12'!B:B,MATCH(D383,'Ist Vorjahr Monat 12'!A:A,0)),
"{Konto unbekannt}"
)))))))))))),"")</f>
        <v/>
      </c>
      <c r="C383" s="591"/>
      <c r="D383" s="590"/>
      <c r="E383" s="592">
        <f t="shared" si="121"/>
        <v>1</v>
      </c>
      <c r="F383" s="590"/>
      <c r="G383" s="593">
        <f ca="1">$E383*(-SUMIF(INDIRECT(G$3),'Struktur Vorjahr'!$D383,INDIRECT(G$4))+SUMIF(INDIRECT(G$3),'Struktur Vorjahr'!$D383,INDIRECT(G$5)))</f>
        <v>0</v>
      </c>
      <c r="H383" s="593">
        <f ca="1">$E383*(-SUMIF(INDIRECT(H$3),'Struktur Vorjahr'!$D383,INDIRECT(H$4))+SUMIF(INDIRECT(H$3),'Struktur Vorjahr'!$D383,INDIRECT(H$5)))</f>
        <v>0</v>
      </c>
      <c r="I383" s="593">
        <f ca="1">$E383*(-SUMIF(INDIRECT(I$3),'Struktur Vorjahr'!$D383,INDIRECT(I$4))+SUMIF(INDIRECT(I$3),'Struktur Vorjahr'!$D383,INDIRECT(I$5)))</f>
        <v>0</v>
      </c>
      <c r="J383" s="593">
        <f ca="1">$E383*(-SUMIF(INDIRECT(J$3),'Struktur Vorjahr'!$D383,INDIRECT(J$4))+SUMIF(INDIRECT(J$3),'Struktur Vorjahr'!$D383,INDIRECT(J$5)))</f>
        <v>0</v>
      </c>
      <c r="K383" s="593">
        <f ca="1">$E383*(-SUMIF(INDIRECT(K$3),'Struktur Vorjahr'!$D383,INDIRECT(K$4))+SUMIF(INDIRECT(K$3),'Struktur Vorjahr'!$D383,INDIRECT(K$5)))</f>
        <v>0</v>
      </c>
      <c r="L383" s="593">
        <f ca="1">$E383*(-SUMIF(INDIRECT(L$3),'Struktur Vorjahr'!$D383,INDIRECT(L$4))+SUMIF(INDIRECT(L$3),'Struktur Vorjahr'!$D383,INDIRECT(L$5)))</f>
        <v>0</v>
      </c>
      <c r="M383" s="593">
        <f ca="1">$E383*(-SUMIF(INDIRECT(M$3),'Struktur Vorjahr'!$D383,INDIRECT(M$4))+SUMIF(INDIRECT(M$3),'Struktur Vorjahr'!$D383,INDIRECT(M$5)))</f>
        <v>0</v>
      </c>
      <c r="N383" s="593">
        <f ca="1">$E383*(-SUMIF(INDIRECT(N$3),'Struktur Vorjahr'!$D383,INDIRECT(N$4))+SUMIF(INDIRECT(N$3),'Struktur Vorjahr'!$D383,INDIRECT(N$5)))</f>
        <v>0</v>
      </c>
      <c r="O383" s="593">
        <f ca="1">$E383*(-SUMIF(INDIRECT(O$3),'Struktur Vorjahr'!$D383,INDIRECT(O$4))+SUMIF(INDIRECT(O$3),'Struktur Vorjahr'!$D383,INDIRECT(O$5)))</f>
        <v>0</v>
      </c>
      <c r="P383" s="593">
        <f ca="1">$E383*(-SUMIF(INDIRECT(P$3),'Struktur Vorjahr'!$D383,INDIRECT(P$4))+SUMIF(INDIRECT(P$3),'Struktur Vorjahr'!$D383,INDIRECT(P$5)))</f>
        <v>0</v>
      </c>
      <c r="Q383" s="593">
        <f ca="1">$E383*(-SUMIF(INDIRECT(Q$3),'Struktur Vorjahr'!$D383,INDIRECT(Q$4))+SUMIF(INDIRECT(Q$3),'Struktur Vorjahr'!$D383,INDIRECT(Q$5)))</f>
        <v>0</v>
      </c>
      <c r="R383" s="593">
        <f ca="1">$E383*(-SUMIF(INDIRECT(R$3),'Struktur Vorjahr'!$D383,INDIRECT(R$4))+SUMIF(INDIRECT(R$3),'Struktur Vorjahr'!$D383,INDIRECT(R$5)))</f>
        <v>0</v>
      </c>
      <c r="S383" s="593">
        <f ca="1">$E383*(-SUMIF(INDIRECT(S$3),'Struktur Vorjahr'!$D383,INDIRECT(S$4))+SUMIF(INDIRECT(S$3),'Struktur Vorjahr'!$D383,INDIRECT(S$5)))</f>
        <v>0</v>
      </c>
      <c r="T383" s="593">
        <f ca="1">$E383*(-SUMIF(INDIRECT(T$3),'Struktur Vorjahr'!$D383,INDIRECT(T$4))+SUMIF(INDIRECT(T$3),'Struktur Vorjahr'!$D383,INDIRECT(T$5)))</f>
        <v>0</v>
      </c>
      <c r="U383" s="593">
        <f ca="1">$E383*(-SUMIF(INDIRECT(U$3),'Struktur Vorjahr'!$D383,INDIRECT(U$4))+SUMIF(INDIRECT(U$3),'Struktur Vorjahr'!$D383,INDIRECT(U$5)))</f>
        <v>0</v>
      </c>
      <c r="V383" s="593">
        <f ca="1">$E383*(-SUMIF(INDIRECT(V$3),'Struktur Vorjahr'!$D383,INDIRECT(V$4))+SUMIF(INDIRECT(V$3),'Struktur Vorjahr'!$D383,INDIRECT(V$5)))</f>
        <v>0</v>
      </c>
      <c r="W383" s="593">
        <f ca="1">$E383*(-SUMIF(INDIRECT(W$3),'Struktur Vorjahr'!$D383,INDIRECT(W$4))+SUMIF(INDIRECT(W$3),'Struktur Vorjahr'!$D383,INDIRECT(W$5)))</f>
        <v>0</v>
      </c>
      <c r="X383" s="593">
        <f ca="1">$E383*(-SUMIF(INDIRECT(X$3),'Struktur Vorjahr'!$D383,INDIRECT(X$4))+SUMIF(INDIRECT(X$3),'Struktur Vorjahr'!$D383,INDIRECT(X$5)))</f>
        <v>0</v>
      </c>
      <c r="Y383" s="593">
        <f ca="1">$E383*(-SUMIF(INDIRECT(Y$3),'Struktur Vorjahr'!$D383,INDIRECT(Y$4))+SUMIF(INDIRECT(Y$3),'Struktur Vorjahr'!$D383,INDIRECT(Y$5)))</f>
        <v>0</v>
      </c>
      <c r="Z383" s="593">
        <f ca="1">$E383*(-SUMIF(INDIRECT(Z$3),'Struktur Vorjahr'!$D383,INDIRECT(Z$4))+SUMIF(INDIRECT(Z$3),'Struktur Vorjahr'!$D383,INDIRECT(Z$5)))</f>
        <v>0</v>
      </c>
      <c r="AA383" s="593">
        <f ca="1">$E383*(-SUMIF(INDIRECT(AA$3),'Struktur Vorjahr'!$D383,INDIRECT(AA$4))+SUMIF(INDIRECT(AA$3),'Struktur Vorjahr'!$D383,INDIRECT(AA$5)))</f>
        <v>0</v>
      </c>
      <c r="AB383" s="593">
        <f ca="1">$E383*(-SUMIF(INDIRECT(AB$3),'Struktur Vorjahr'!$D383,INDIRECT(AB$4))+SUMIF(INDIRECT(AB$3),'Struktur Vorjahr'!$D383,INDIRECT(AB$5)))</f>
        <v>0</v>
      </c>
      <c r="AC383" s="593">
        <f ca="1">$E383*(-SUMIF(INDIRECT(AC$3),'Struktur Vorjahr'!$D383,INDIRECT(AC$4))+SUMIF(INDIRECT(AC$3),'Struktur Vorjahr'!$D383,INDIRECT(AC$5)))</f>
        <v>0</v>
      </c>
      <c r="AD383" s="593">
        <f ca="1">$E383*(-SUMIF(INDIRECT(AD$3),'Struktur Vorjahr'!$D383,INDIRECT(AD$4))+SUMIF(INDIRECT(AD$3),'Struktur Vorjahr'!$D383,INDIRECT(AD$5)))</f>
        <v>0</v>
      </c>
      <c r="AE383" s="593">
        <f t="shared" ref="AE383:AE386" ca="1" si="184">G383</f>
        <v>0</v>
      </c>
      <c r="AF383" s="593">
        <f t="shared" ref="AF383:AP386" ca="1" si="185">H383+AE383</f>
        <v>0</v>
      </c>
      <c r="AG383" s="593">
        <f t="shared" ca="1" si="185"/>
        <v>0</v>
      </c>
      <c r="AH383" s="593">
        <f t="shared" ca="1" si="185"/>
        <v>0</v>
      </c>
      <c r="AI383" s="593">
        <f t="shared" ca="1" si="185"/>
        <v>0</v>
      </c>
      <c r="AJ383" s="593">
        <f t="shared" ca="1" si="185"/>
        <v>0</v>
      </c>
      <c r="AK383" s="593">
        <f t="shared" ca="1" si="185"/>
        <v>0</v>
      </c>
      <c r="AL383" s="593">
        <f t="shared" ca="1" si="185"/>
        <v>0</v>
      </c>
      <c r="AM383" s="593">
        <f t="shared" ca="1" si="185"/>
        <v>0</v>
      </c>
      <c r="AN383" s="593">
        <f t="shared" ca="1" si="185"/>
        <v>0</v>
      </c>
      <c r="AO383" s="593">
        <f t="shared" ca="1" si="185"/>
        <v>0</v>
      </c>
      <c r="AP383" s="593">
        <f t="shared" ca="1" si="185"/>
        <v>0</v>
      </c>
    </row>
    <row r="384" spans="1:42" s="594" customFormat="1" ht="11.25" x14ac:dyDescent="0.2">
      <c r="A384" s="607"/>
      <c r="B384" s="591" t="str">
        <f>IF(D384&lt;&gt;"",
IF(ISERROR(MATCH(D384,'Ist Vorjahr Monat 01'!A:A,0))=FALSE,INDEX('Ist Vorjahr Monat 01'!B:B,MATCH(D384,'Ist Vorjahr Monat 01'!A:A,0)),
IF(ISERROR(MATCH(D384,'Ist Vorjahr Monat 02'!A:A,0))=FALSE,INDEX('Ist Vorjahr Monat 02'!B:B,MATCH(D384,'Ist Vorjahr Monat 02'!A:A,0)),
IF(ISERROR(MATCH(D384,'Ist Vorjahr Monat 03'!A:A,0))=FALSE,INDEX('Ist Vorjahr Monat 03'!B:B,MATCH(D384,'Ist Vorjahr Monat 03'!A:A,0)),
IF(ISERROR(MATCH(D384,'Ist Vorjahr Monat 04'!A:A,0))=FALSE,INDEX('Ist Vorjahr Monat 04'!B:B,MATCH(D384,'Ist Vorjahr Monat 04'!A:A,0)),
IF(ISERROR(MATCH(D384,'Ist Vorjahr Monat 05'!A:A,0))=FALSE,INDEX('Ist Vorjahr Monat 05'!B:B,MATCH(D384,'Ist Vorjahr Monat 05'!A:A,0)),
IF(ISERROR(MATCH(D384,'Ist Vorjahr Monat 06'!A:A,0))=FALSE,INDEX('Ist Vorjahr Monat 06'!B:B,MATCH(D384,'Ist Vorjahr Monat 06'!A:A,0)),
IF(ISERROR(MATCH(D384,'Ist Vorjahr Monat 07'!A:A,0))=FALSE,INDEX('Ist Vorjahr Monat 07'!B:B,MATCH(D384,'Ist Vorjahr Monat 07'!A:A,0)),
IF(ISERROR(MATCH(D384,'Ist Vorjahr Monat 08'!A:A,0))=FALSE,INDEX('Ist Vorjahr Monat 08'!B:B,MATCH(D384,'Ist Vorjahr Monat 08'!A:A,0)),
IF(ISERROR(MATCH(D384,'Ist Vorjahr Monat 09'!A:A,0))=FALSE,INDEX('Ist Vorjahr Monat 09'!B:B,MATCH(D384,'Ist Vorjahr Monat 09'!A:A,0)),
IF(ISERROR(MATCH(D384,'Ist Vorjahr Monat 10'!A:A,0))=FALSE,INDEX('Ist Vorjahr Monat 10'!B:B,MATCH(D384,'Ist Vorjahr Monat 10'!A:A,0)),
IF(ISERROR(MATCH(D384,'Ist Vorjahr Monat 11'!A:A,0))=FALSE,INDEX('Ist Vorjahr Monat 11'!B:B,MATCH(D384,'Ist Vorjahr Monat 11'!A:A,0)),
IF(ISERROR(MATCH(D384,'Ist Vorjahr Monat 12'!A:A,0))=FALSE,INDEX('Ist Vorjahr Monat 12'!B:B,MATCH(D384,'Ist Vorjahr Monat 12'!A:A,0)),
"{Konto unbekannt}"
)))))))))))),"")</f>
        <v/>
      </c>
      <c r="C384" s="591"/>
      <c r="D384" s="590"/>
      <c r="E384" s="592">
        <f t="shared" ref="E384:E469" si="186">IF(F384="-",-1,1)</f>
        <v>1</v>
      </c>
      <c r="F384" s="590"/>
      <c r="G384" s="593">
        <f ca="1">$E384*(-SUMIF(INDIRECT(G$3),'Struktur Vorjahr'!$D384,INDIRECT(G$4))+SUMIF(INDIRECT(G$3),'Struktur Vorjahr'!$D384,INDIRECT(G$5)))</f>
        <v>0</v>
      </c>
      <c r="H384" s="593">
        <f ca="1">$E384*(-SUMIF(INDIRECT(H$3),'Struktur Vorjahr'!$D384,INDIRECT(H$4))+SUMIF(INDIRECT(H$3),'Struktur Vorjahr'!$D384,INDIRECT(H$5)))</f>
        <v>0</v>
      </c>
      <c r="I384" s="593">
        <f ca="1">$E384*(-SUMIF(INDIRECT(I$3),'Struktur Vorjahr'!$D384,INDIRECT(I$4))+SUMIF(INDIRECT(I$3),'Struktur Vorjahr'!$D384,INDIRECT(I$5)))</f>
        <v>0</v>
      </c>
      <c r="J384" s="593">
        <f ca="1">$E384*(-SUMIF(INDIRECT(J$3),'Struktur Vorjahr'!$D384,INDIRECT(J$4))+SUMIF(INDIRECT(J$3),'Struktur Vorjahr'!$D384,INDIRECT(J$5)))</f>
        <v>0</v>
      </c>
      <c r="K384" s="593">
        <f ca="1">$E384*(-SUMIF(INDIRECT(K$3),'Struktur Vorjahr'!$D384,INDIRECT(K$4))+SUMIF(INDIRECT(K$3),'Struktur Vorjahr'!$D384,INDIRECT(K$5)))</f>
        <v>0</v>
      </c>
      <c r="L384" s="593">
        <f ca="1">$E384*(-SUMIF(INDIRECT(L$3),'Struktur Vorjahr'!$D384,INDIRECT(L$4))+SUMIF(INDIRECT(L$3),'Struktur Vorjahr'!$D384,INDIRECT(L$5)))</f>
        <v>0</v>
      </c>
      <c r="M384" s="593">
        <f ca="1">$E384*(-SUMIF(INDIRECT(M$3),'Struktur Vorjahr'!$D384,INDIRECT(M$4))+SUMIF(INDIRECT(M$3),'Struktur Vorjahr'!$D384,INDIRECT(M$5)))</f>
        <v>0</v>
      </c>
      <c r="N384" s="593">
        <f ca="1">$E384*(-SUMIF(INDIRECT(N$3),'Struktur Vorjahr'!$D384,INDIRECT(N$4))+SUMIF(INDIRECT(N$3),'Struktur Vorjahr'!$D384,INDIRECT(N$5)))</f>
        <v>0</v>
      </c>
      <c r="O384" s="593">
        <f ca="1">$E384*(-SUMIF(INDIRECT(O$3),'Struktur Vorjahr'!$D384,INDIRECT(O$4))+SUMIF(INDIRECT(O$3),'Struktur Vorjahr'!$D384,INDIRECT(O$5)))</f>
        <v>0</v>
      </c>
      <c r="P384" s="593">
        <f ca="1">$E384*(-SUMIF(INDIRECT(P$3),'Struktur Vorjahr'!$D384,INDIRECT(P$4))+SUMIF(INDIRECT(P$3),'Struktur Vorjahr'!$D384,INDIRECT(P$5)))</f>
        <v>0</v>
      </c>
      <c r="Q384" s="593">
        <f ca="1">$E384*(-SUMIF(INDIRECT(Q$3),'Struktur Vorjahr'!$D384,INDIRECT(Q$4))+SUMIF(INDIRECT(Q$3),'Struktur Vorjahr'!$D384,INDIRECT(Q$5)))</f>
        <v>0</v>
      </c>
      <c r="R384" s="593">
        <f ca="1">$E384*(-SUMIF(INDIRECT(R$3),'Struktur Vorjahr'!$D384,INDIRECT(R$4))+SUMIF(INDIRECT(R$3),'Struktur Vorjahr'!$D384,INDIRECT(R$5)))</f>
        <v>0</v>
      </c>
      <c r="S384" s="593">
        <f ca="1">$E384*(-SUMIF(INDIRECT(S$3),'Struktur Vorjahr'!$D384,INDIRECT(S$4))+SUMIF(INDIRECT(S$3),'Struktur Vorjahr'!$D384,INDIRECT(S$5)))</f>
        <v>0</v>
      </c>
      <c r="T384" s="593">
        <f ca="1">$E384*(-SUMIF(INDIRECT(T$3),'Struktur Vorjahr'!$D384,INDIRECT(T$4))+SUMIF(INDIRECT(T$3),'Struktur Vorjahr'!$D384,INDIRECT(T$5)))</f>
        <v>0</v>
      </c>
      <c r="U384" s="593">
        <f ca="1">$E384*(-SUMIF(INDIRECT(U$3),'Struktur Vorjahr'!$D384,INDIRECT(U$4))+SUMIF(INDIRECT(U$3),'Struktur Vorjahr'!$D384,INDIRECT(U$5)))</f>
        <v>0</v>
      </c>
      <c r="V384" s="593">
        <f ca="1">$E384*(-SUMIF(INDIRECT(V$3),'Struktur Vorjahr'!$D384,INDIRECT(V$4))+SUMIF(INDIRECT(V$3),'Struktur Vorjahr'!$D384,INDIRECT(V$5)))</f>
        <v>0</v>
      </c>
      <c r="W384" s="593">
        <f ca="1">$E384*(-SUMIF(INDIRECT(W$3),'Struktur Vorjahr'!$D384,INDIRECT(W$4))+SUMIF(INDIRECT(W$3),'Struktur Vorjahr'!$D384,INDIRECT(W$5)))</f>
        <v>0</v>
      </c>
      <c r="X384" s="593">
        <f ca="1">$E384*(-SUMIF(INDIRECT(X$3),'Struktur Vorjahr'!$D384,INDIRECT(X$4))+SUMIF(INDIRECT(X$3),'Struktur Vorjahr'!$D384,INDIRECT(X$5)))</f>
        <v>0</v>
      </c>
      <c r="Y384" s="593">
        <f ca="1">$E384*(-SUMIF(INDIRECT(Y$3),'Struktur Vorjahr'!$D384,INDIRECT(Y$4))+SUMIF(INDIRECT(Y$3),'Struktur Vorjahr'!$D384,INDIRECT(Y$5)))</f>
        <v>0</v>
      </c>
      <c r="Z384" s="593">
        <f ca="1">$E384*(-SUMIF(INDIRECT(Z$3),'Struktur Vorjahr'!$D384,INDIRECT(Z$4))+SUMIF(INDIRECT(Z$3),'Struktur Vorjahr'!$D384,INDIRECT(Z$5)))</f>
        <v>0</v>
      </c>
      <c r="AA384" s="593">
        <f ca="1">$E384*(-SUMIF(INDIRECT(AA$3),'Struktur Vorjahr'!$D384,INDIRECT(AA$4))+SUMIF(INDIRECT(AA$3),'Struktur Vorjahr'!$D384,INDIRECT(AA$5)))</f>
        <v>0</v>
      </c>
      <c r="AB384" s="593">
        <f ca="1">$E384*(-SUMIF(INDIRECT(AB$3),'Struktur Vorjahr'!$D384,INDIRECT(AB$4))+SUMIF(INDIRECT(AB$3),'Struktur Vorjahr'!$D384,INDIRECT(AB$5)))</f>
        <v>0</v>
      </c>
      <c r="AC384" s="593">
        <f ca="1">$E384*(-SUMIF(INDIRECT(AC$3),'Struktur Vorjahr'!$D384,INDIRECT(AC$4))+SUMIF(INDIRECT(AC$3),'Struktur Vorjahr'!$D384,INDIRECT(AC$5)))</f>
        <v>0</v>
      </c>
      <c r="AD384" s="593">
        <f ca="1">$E384*(-SUMIF(INDIRECT(AD$3),'Struktur Vorjahr'!$D384,INDIRECT(AD$4))+SUMIF(INDIRECT(AD$3),'Struktur Vorjahr'!$D384,INDIRECT(AD$5)))</f>
        <v>0</v>
      </c>
      <c r="AE384" s="593">
        <f t="shared" ca="1" si="184"/>
        <v>0</v>
      </c>
      <c r="AF384" s="593">
        <f t="shared" ca="1" si="185"/>
        <v>0</v>
      </c>
      <c r="AG384" s="593">
        <f t="shared" ca="1" si="185"/>
        <v>0</v>
      </c>
      <c r="AH384" s="593">
        <f t="shared" ca="1" si="185"/>
        <v>0</v>
      </c>
      <c r="AI384" s="593">
        <f t="shared" ca="1" si="185"/>
        <v>0</v>
      </c>
      <c r="AJ384" s="593">
        <f t="shared" ca="1" si="185"/>
        <v>0</v>
      </c>
      <c r="AK384" s="593">
        <f t="shared" ca="1" si="185"/>
        <v>0</v>
      </c>
      <c r="AL384" s="593">
        <f t="shared" ca="1" si="185"/>
        <v>0</v>
      </c>
      <c r="AM384" s="593">
        <f t="shared" ca="1" si="185"/>
        <v>0</v>
      </c>
      <c r="AN384" s="593">
        <f t="shared" ca="1" si="185"/>
        <v>0</v>
      </c>
      <c r="AO384" s="593">
        <f t="shared" ca="1" si="185"/>
        <v>0</v>
      </c>
      <c r="AP384" s="593">
        <f t="shared" ca="1" si="185"/>
        <v>0</v>
      </c>
    </row>
    <row r="385" spans="1:42" s="594" customFormat="1" ht="11.25" outlineLevel="1" x14ac:dyDescent="0.2">
      <c r="A385" s="607"/>
      <c r="B385" s="591" t="str">
        <f>IF(D385&lt;&gt;"",
IF(ISERROR(MATCH(D385,'Ist Vorjahr Monat 01'!A:A,0))=FALSE,INDEX('Ist Vorjahr Monat 01'!B:B,MATCH(D385,'Ist Vorjahr Monat 01'!A:A,0)),
IF(ISERROR(MATCH(D385,'Ist Vorjahr Monat 02'!A:A,0))=FALSE,INDEX('Ist Vorjahr Monat 02'!B:B,MATCH(D385,'Ist Vorjahr Monat 02'!A:A,0)),
IF(ISERROR(MATCH(D385,'Ist Vorjahr Monat 03'!A:A,0))=FALSE,INDEX('Ist Vorjahr Monat 03'!B:B,MATCH(D385,'Ist Vorjahr Monat 03'!A:A,0)),
IF(ISERROR(MATCH(D385,'Ist Vorjahr Monat 04'!A:A,0))=FALSE,INDEX('Ist Vorjahr Monat 04'!B:B,MATCH(D385,'Ist Vorjahr Monat 04'!A:A,0)),
IF(ISERROR(MATCH(D385,'Ist Vorjahr Monat 05'!A:A,0))=FALSE,INDEX('Ist Vorjahr Monat 05'!B:B,MATCH(D385,'Ist Vorjahr Monat 05'!A:A,0)),
IF(ISERROR(MATCH(D385,'Ist Vorjahr Monat 06'!A:A,0))=FALSE,INDEX('Ist Vorjahr Monat 06'!B:B,MATCH(D385,'Ist Vorjahr Monat 06'!A:A,0)),
IF(ISERROR(MATCH(D385,'Ist Vorjahr Monat 07'!A:A,0))=FALSE,INDEX('Ist Vorjahr Monat 07'!B:B,MATCH(D385,'Ist Vorjahr Monat 07'!A:A,0)),
IF(ISERROR(MATCH(D385,'Ist Vorjahr Monat 08'!A:A,0))=FALSE,INDEX('Ist Vorjahr Monat 08'!B:B,MATCH(D385,'Ist Vorjahr Monat 08'!A:A,0)),
IF(ISERROR(MATCH(D385,'Ist Vorjahr Monat 09'!A:A,0))=FALSE,INDEX('Ist Vorjahr Monat 09'!B:B,MATCH(D385,'Ist Vorjahr Monat 09'!A:A,0)),
IF(ISERROR(MATCH(D385,'Ist Vorjahr Monat 10'!A:A,0))=FALSE,INDEX('Ist Vorjahr Monat 10'!B:B,MATCH(D385,'Ist Vorjahr Monat 10'!A:A,0)),
IF(ISERROR(MATCH(D385,'Ist Vorjahr Monat 11'!A:A,0))=FALSE,INDEX('Ist Vorjahr Monat 11'!B:B,MATCH(D385,'Ist Vorjahr Monat 11'!A:A,0)),
IF(ISERROR(MATCH(D385,'Ist Vorjahr Monat 12'!A:A,0))=FALSE,INDEX('Ist Vorjahr Monat 12'!B:B,MATCH(D385,'Ist Vorjahr Monat 12'!A:A,0)),
"{Konto unbekannt}"
)))))))))))),"")</f>
        <v/>
      </c>
      <c r="C385" s="591"/>
      <c r="D385" s="590"/>
      <c r="E385" s="592">
        <f t="shared" si="186"/>
        <v>1</v>
      </c>
      <c r="F385" s="590"/>
      <c r="G385" s="593">
        <f ca="1">$E385*(-SUMIF(INDIRECT(G$3),'Struktur Vorjahr'!$D385,INDIRECT(G$4))+SUMIF(INDIRECT(G$3),'Struktur Vorjahr'!$D385,INDIRECT(G$5)))</f>
        <v>0</v>
      </c>
      <c r="H385" s="593">
        <f ca="1">$E385*(-SUMIF(INDIRECT(H$3),'Struktur Vorjahr'!$D385,INDIRECT(H$4))+SUMIF(INDIRECT(H$3),'Struktur Vorjahr'!$D385,INDIRECT(H$5)))</f>
        <v>0</v>
      </c>
      <c r="I385" s="593">
        <f ca="1">$E385*(-SUMIF(INDIRECT(I$3),'Struktur Vorjahr'!$D385,INDIRECT(I$4))+SUMIF(INDIRECT(I$3),'Struktur Vorjahr'!$D385,INDIRECT(I$5)))</f>
        <v>0</v>
      </c>
      <c r="J385" s="593">
        <f ca="1">$E385*(-SUMIF(INDIRECT(J$3),'Struktur Vorjahr'!$D385,INDIRECT(J$4))+SUMIF(INDIRECT(J$3),'Struktur Vorjahr'!$D385,INDIRECT(J$5)))</f>
        <v>0</v>
      </c>
      <c r="K385" s="593">
        <f ca="1">$E385*(-SUMIF(INDIRECT(K$3),'Struktur Vorjahr'!$D385,INDIRECT(K$4))+SUMIF(INDIRECT(K$3),'Struktur Vorjahr'!$D385,INDIRECT(K$5)))</f>
        <v>0</v>
      </c>
      <c r="L385" s="593">
        <f ca="1">$E385*(-SUMIF(INDIRECT(L$3),'Struktur Vorjahr'!$D385,INDIRECT(L$4))+SUMIF(INDIRECT(L$3),'Struktur Vorjahr'!$D385,INDIRECT(L$5)))</f>
        <v>0</v>
      </c>
      <c r="M385" s="593">
        <f ca="1">$E385*(-SUMIF(INDIRECT(M$3),'Struktur Vorjahr'!$D385,INDIRECT(M$4))+SUMIF(INDIRECT(M$3),'Struktur Vorjahr'!$D385,INDIRECT(M$5)))</f>
        <v>0</v>
      </c>
      <c r="N385" s="593">
        <f ca="1">$E385*(-SUMIF(INDIRECT(N$3),'Struktur Vorjahr'!$D385,INDIRECT(N$4))+SUMIF(INDIRECT(N$3),'Struktur Vorjahr'!$D385,INDIRECT(N$5)))</f>
        <v>0</v>
      </c>
      <c r="O385" s="593">
        <f ca="1">$E385*(-SUMIF(INDIRECT(O$3),'Struktur Vorjahr'!$D385,INDIRECT(O$4))+SUMIF(INDIRECT(O$3),'Struktur Vorjahr'!$D385,INDIRECT(O$5)))</f>
        <v>0</v>
      </c>
      <c r="P385" s="593">
        <f ca="1">$E385*(-SUMIF(INDIRECT(P$3),'Struktur Vorjahr'!$D385,INDIRECT(P$4))+SUMIF(INDIRECT(P$3),'Struktur Vorjahr'!$D385,INDIRECT(P$5)))</f>
        <v>0</v>
      </c>
      <c r="Q385" s="593">
        <f ca="1">$E385*(-SUMIF(INDIRECT(Q$3),'Struktur Vorjahr'!$D385,INDIRECT(Q$4))+SUMIF(INDIRECT(Q$3),'Struktur Vorjahr'!$D385,INDIRECT(Q$5)))</f>
        <v>0</v>
      </c>
      <c r="R385" s="593">
        <f ca="1">$E385*(-SUMIF(INDIRECT(R$3),'Struktur Vorjahr'!$D385,INDIRECT(R$4))+SUMIF(INDIRECT(R$3),'Struktur Vorjahr'!$D385,INDIRECT(R$5)))</f>
        <v>0</v>
      </c>
      <c r="S385" s="593">
        <f ca="1">$E385*(-SUMIF(INDIRECT(S$3),'Struktur Vorjahr'!$D385,INDIRECT(S$4))+SUMIF(INDIRECT(S$3),'Struktur Vorjahr'!$D385,INDIRECT(S$5)))</f>
        <v>0</v>
      </c>
      <c r="T385" s="593">
        <f ca="1">$E385*(-SUMIF(INDIRECT(T$3),'Struktur Vorjahr'!$D385,INDIRECT(T$4))+SUMIF(INDIRECT(T$3),'Struktur Vorjahr'!$D385,INDIRECT(T$5)))</f>
        <v>0</v>
      </c>
      <c r="U385" s="593">
        <f ca="1">$E385*(-SUMIF(INDIRECT(U$3),'Struktur Vorjahr'!$D385,INDIRECT(U$4))+SUMIF(INDIRECT(U$3),'Struktur Vorjahr'!$D385,INDIRECT(U$5)))</f>
        <v>0</v>
      </c>
      <c r="V385" s="593">
        <f ca="1">$E385*(-SUMIF(INDIRECT(V$3),'Struktur Vorjahr'!$D385,INDIRECT(V$4))+SUMIF(INDIRECT(V$3),'Struktur Vorjahr'!$D385,INDIRECT(V$5)))</f>
        <v>0</v>
      </c>
      <c r="W385" s="593">
        <f ca="1">$E385*(-SUMIF(INDIRECT(W$3),'Struktur Vorjahr'!$D385,INDIRECT(W$4))+SUMIF(INDIRECT(W$3),'Struktur Vorjahr'!$D385,INDIRECT(W$5)))</f>
        <v>0</v>
      </c>
      <c r="X385" s="593">
        <f ca="1">$E385*(-SUMIF(INDIRECT(X$3),'Struktur Vorjahr'!$D385,INDIRECT(X$4))+SUMIF(INDIRECT(X$3),'Struktur Vorjahr'!$D385,INDIRECT(X$5)))</f>
        <v>0</v>
      </c>
      <c r="Y385" s="593">
        <f ca="1">$E385*(-SUMIF(INDIRECT(Y$3),'Struktur Vorjahr'!$D385,INDIRECT(Y$4))+SUMIF(INDIRECT(Y$3),'Struktur Vorjahr'!$D385,INDIRECT(Y$5)))</f>
        <v>0</v>
      </c>
      <c r="Z385" s="593">
        <f ca="1">$E385*(-SUMIF(INDIRECT(Z$3),'Struktur Vorjahr'!$D385,INDIRECT(Z$4))+SUMIF(INDIRECT(Z$3),'Struktur Vorjahr'!$D385,INDIRECT(Z$5)))</f>
        <v>0</v>
      </c>
      <c r="AA385" s="593">
        <f ca="1">$E385*(-SUMIF(INDIRECT(AA$3),'Struktur Vorjahr'!$D385,INDIRECT(AA$4))+SUMIF(INDIRECT(AA$3),'Struktur Vorjahr'!$D385,INDIRECT(AA$5)))</f>
        <v>0</v>
      </c>
      <c r="AB385" s="593">
        <f ca="1">$E385*(-SUMIF(INDIRECT(AB$3),'Struktur Vorjahr'!$D385,INDIRECT(AB$4))+SUMIF(INDIRECT(AB$3),'Struktur Vorjahr'!$D385,INDIRECT(AB$5)))</f>
        <v>0</v>
      </c>
      <c r="AC385" s="593">
        <f ca="1">$E385*(-SUMIF(INDIRECT(AC$3),'Struktur Vorjahr'!$D385,INDIRECT(AC$4))+SUMIF(INDIRECT(AC$3),'Struktur Vorjahr'!$D385,INDIRECT(AC$5)))</f>
        <v>0</v>
      </c>
      <c r="AD385" s="593">
        <f ca="1">$E385*(-SUMIF(INDIRECT(AD$3),'Struktur Vorjahr'!$D385,INDIRECT(AD$4))+SUMIF(INDIRECT(AD$3),'Struktur Vorjahr'!$D385,INDIRECT(AD$5)))</f>
        <v>0</v>
      </c>
      <c r="AE385" s="593">
        <f t="shared" ca="1" si="184"/>
        <v>0</v>
      </c>
      <c r="AF385" s="593">
        <f t="shared" ca="1" si="185"/>
        <v>0</v>
      </c>
      <c r="AG385" s="593">
        <f t="shared" ca="1" si="185"/>
        <v>0</v>
      </c>
      <c r="AH385" s="593">
        <f t="shared" ca="1" si="185"/>
        <v>0</v>
      </c>
      <c r="AI385" s="593">
        <f t="shared" ca="1" si="185"/>
        <v>0</v>
      </c>
      <c r="AJ385" s="593">
        <f t="shared" ca="1" si="185"/>
        <v>0</v>
      </c>
      <c r="AK385" s="593">
        <f t="shared" ca="1" si="185"/>
        <v>0</v>
      </c>
      <c r="AL385" s="593">
        <f t="shared" ca="1" si="185"/>
        <v>0</v>
      </c>
      <c r="AM385" s="593">
        <f t="shared" ca="1" si="185"/>
        <v>0</v>
      </c>
      <c r="AN385" s="593">
        <f t="shared" ca="1" si="185"/>
        <v>0</v>
      </c>
      <c r="AO385" s="593">
        <f t="shared" ca="1" si="185"/>
        <v>0</v>
      </c>
      <c r="AP385" s="593">
        <f t="shared" ca="1" si="185"/>
        <v>0</v>
      </c>
    </row>
    <row r="386" spans="1:42" s="594" customFormat="1" ht="11.25" outlineLevel="1" x14ac:dyDescent="0.2">
      <c r="A386" s="607"/>
      <c r="B386" s="591" t="str">
        <f>IF(D386&lt;&gt;"",
IF(ISERROR(MATCH(D386,'Ist Vorjahr Monat 01'!A:A,0))=FALSE,INDEX('Ist Vorjahr Monat 01'!B:B,MATCH(D386,'Ist Vorjahr Monat 01'!A:A,0)),
IF(ISERROR(MATCH(D386,'Ist Vorjahr Monat 02'!A:A,0))=FALSE,INDEX('Ist Vorjahr Monat 02'!B:B,MATCH(D386,'Ist Vorjahr Monat 02'!A:A,0)),
IF(ISERROR(MATCH(D386,'Ist Vorjahr Monat 03'!A:A,0))=FALSE,INDEX('Ist Vorjahr Monat 03'!B:B,MATCH(D386,'Ist Vorjahr Monat 03'!A:A,0)),
IF(ISERROR(MATCH(D386,'Ist Vorjahr Monat 04'!A:A,0))=FALSE,INDEX('Ist Vorjahr Monat 04'!B:B,MATCH(D386,'Ist Vorjahr Monat 04'!A:A,0)),
IF(ISERROR(MATCH(D386,'Ist Vorjahr Monat 05'!A:A,0))=FALSE,INDEX('Ist Vorjahr Monat 05'!B:B,MATCH(D386,'Ist Vorjahr Monat 05'!A:A,0)),
IF(ISERROR(MATCH(D386,'Ist Vorjahr Monat 06'!A:A,0))=FALSE,INDEX('Ist Vorjahr Monat 06'!B:B,MATCH(D386,'Ist Vorjahr Monat 06'!A:A,0)),
IF(ISERROR(MATCH(D386,'Ist Vorjahr Monat 07'!A:A,0))=FALSE,INDEX('Ist Vorjahr Monat 07'!B:B,MATCH(D386,'Ist Vorjahr Monat 07'!A:A,0)),
IF(ISERROR(MATCH(D386,'Ist Vorjahr Monat 08'!A:A,0))=FALSE,INDEX('Ist Vorjahr Monat 08'!B:B,MATCH(D386,'Ist Vorjahr Monat 08'!A:A,0)),
IF(ISERROR(MATCH(D386,'Ist Vorjahr Monat 09'!A:A,0))=FALSE,INDEX('Ist Vorjahr Monat 09'!B:B,MATCH(D386,'Ist Vorjahr Monat 09'!A:A,0)),
IF(ISERROR(MATCH(D386,'Ist Vorjahr Monat 10'!A:A,0))=FALSE,INDEX('Ist Vorjahr Monat 10'!B:B,MATCH(D386,'Ist Vorjahr Monat 10'!A:A,0)),
IF(ISERROR(MATCH(D386,'Ist Vorjahr Monat 11'!A:A,0))=FALSE,INDEX('Ist Vorjahr Monat 11'!B:B,MATCH(D386,'Ist Vorjahr Monat 11'!A:A,0)),
IF(ISERROR(MATCH(D386,'Ist Vorjahr Monat 12'!A:A,0))=FALSE,INDEX('Ist Vorjahr Monat 12'!B:B,MATCH(D386,'Ist Vorjahr Monat 12'!A:A,0)),
"{Konto unbekannt}"
)))))))))))),"")</f>
        <v/>
      </c>
      <c r="C386" s="591"/>
      <c r="D386" s="590"/>
      <c r="E386" s="592">
        <f t="shared" si="186"/>
        <v>1</v>
      </c>
      <c r="F386" s="590"/>
      <c r="G386" s="593">
        <f ca="1">$E386*(-SUMIF(INDIRECT(G$3),'Struktur Vorjahr'!$D386,INDIRECT(G$4))+SUMIF(INDIRECT(G$3),'Struktur Vorjahr'!$D386,INDIRECT(G$5)))</f>
        <v>0</v>
      </c>
      <c r="H386" s="593">
        <f ca="1">$E386*(-SUMIF(INDIRECT(H$3),'Struktur Vorjahr'!$D386,INDIRECT(H$4))+SUMIF(INDIRECT(H$3),'Struktur Vorjahr'!$D386,INDIRECT(H$5)))</f>
        <v>0</v>
      </c>
      <c r="I386" s="593">
        <f ca="1">$E386*(-SUMIF(INDIRECT(I$3),'Struktur Vorjahr'!$D386,INDIRECT(I$4))+SUMIF(INDIRECT(I$3),'Struktur Vorjahr'!$D386,INDIRECT(I$5)))</f>
        <v>0</v>
      </c>
      <c r="J386" s="593">
        <f ca="1">$E386*(-SUMIF(INDIRECT(J$3),'Struktur Vorjahr'!$D386,INDIRECT(J$4))+SUMIF(INDIRECT(J$3),'Struktur Vorjahr'!$D386,INDIRECT(J$5)))</f>
        <v>0</v>
      </c>
      <c r="K386" s="593">
        <f ca="1">$E386*(-SUMIF(INDIRECT(K$3),'Struktur Vorjahr'!$D386,INDIRECT(K$4))+SUMIF(INDIRECT(K$3),'Struktur Vorjahr'!$D386,INDIRECT(K$5)))</f>
        <v>0</v>
      </c>
      <c r="L386" s="593">
        <f ca="1">$E386*(-SUMIF(INDIRECT(L$3),'Struktur Vorjahr'!$D386,INDIRECT(L$4))+SUMIF(INDIRECT(L$3),'Struktur Vorjahr'!$D386,INDIRECT(L$5)))</f>
        <v>0</v>
      </c>
      <c r="M386" s="593">
        <f ca="1">$E386*(-SUMIF(INDIRECT(M$3),'Struktur Vorjahr'!$D386,INDIRECT(M$4))+SUMIF(INDIRECT(M$3),'Struktur Vorjahr'!$D386,INDIRECT(M$5)))</f>
        <v>0</v>
      </c>
      <c r="N386" s="593">
        <f ca="1">$E386*(-SUMIF(INDIRECT(N$3),'Struktur Vorjahr'!$D386,INDIRECT(N$4))+SUMIF(INDIRECT(N$3),'Struktur Vorjahr'!$D386,INDIRECT(N$5)))</f>
        <v>0</v>
      </c>
      <c r="O386" s="593">
        <f ca="1">$E386*(-SUMIF(INDIRECT(O$3),'Struktur Vorjahr'!$D386,INDIRECT(O$4))+SUMIF(INDIRECT(O$3),'Struktur Vorjahr'!$D386,INDIRECT(O$5)))</f>
        <v>0</v>
      </c>
      <c r="P386" s="593">
        <f ca="1">$E386*(-SUMIF(INDIRECT(P$3),'Struktur Vorjahr'!$D386,INDIRECT(P$4))+SUMIF(INDIRECT(P$3),'Struktur Vorjahr'!$D386,INDIRECT(P$5)))</f>
        <v>0</v>
      </c>
      <c r="Q386" s="593">
        <f ca="1">$E386*(-SUMIF(INDIRECT(Q$3),'Struktur Vorjahr'!$D386,INDIRECT(Q$4))+SUMIF(INDIRECT(Q$3),'Struktur Vorjahr'!$D386,INDIRECT(Q$5)))</f>
        <v>0</v>
      </c>
      <c r="R386" s="593">
        <f ca="1">$E386*(-SUMIF(INDIRECT(R$3),'Struktur Vorjahr'!$D386,INDIRECT(R$4))+SUMIF(INDIRECT(R$3),'Struktur Vorjahr'!$D386,INDIRECT(R$5)))</f>
        <v>0</v>
      </c>
      <c r="S386" s="593">
        <f ca="1">$E386*(-SUMIF(INDIRECT(S$3),'Struktur Vorjahr'!$D386,INDIRECT(S$4))+SUMIF(INDIRECT(S$3),'Struktur Vorjahr'!$D386,INDIRECT(S$5)))</f>
        <v>0</v>
      </c>
      <c r="T386" s="593">
        <f ca="1">$E386*(-SUMIF(INDIRECT(T$3),'Struktur Vorjahr'!$D386,INDIRECT(T$4))+SUMIF(INDIRECT(T$3),'Struktur Vorjahr'!$D386,INDIRECT(T$5)))</f>
        <v>0</v>
      </c>
      <c r="U386" s="593">
        <f ca="1">$E386*(-SUMIF(INDIRECT(U$3),'Struktur Vorjahr'!$D386,INDIRECT(U$4))+SUMIF(INDIRECT(U$3),'Struktur Vorjahr'!$D386,INDIRECT(U$5)))</f>
        <v>0</v>
      </c>
      <c r="V386" s="593">
        <f ca="1">$E386*(-SUMIF(INDIRECT(V$3),'Struktur Vorjahr'!$D386,INDIRECT(V$4))+SUMIF(INDIRECT(V$3),'Struktur Vorjahr'!$D386,INDIRECT(V$5)))</f>
        <v>0</v>
      </c>
      <c r="W386" s="593">
        <f ca="1">$E386*(-SUMIF(INDIRECT(W$3),'Struktur Vorjahr'!$D386,INDIRECT(W$4))+SUMIF(INDIRECT(W$3),'Struktur Vorjahr'!$D386,INDIRECT(W$5)))</f>
        <v>0</v>
      </c>
      <c r="X386" s="593">
        <f ca="1">$E386*(-SUMIF(INDIRECT(X$3),'Struktur Vorjahr'!$D386,INDIRECT(X$4))+SUMIF(INDIRECT(X$3),'Struktur Vorjahr'!$D386,INDIRECT(X$5)))</f>
        <v>0</v>
      </c>
      <c r="Y386" s="593">
        <f ca="1">$E386*(-SUMIF(INDIRECT(Y$3),'Struktur Vorjahr'!$D386,INDIRECT(Y$4))+SUMIF(INDIRECT(Y$3),'Struktur Vorjahr'!$D386,INDIRECT(Y$5)))</f>
        <v>0</v>
      </c>
      <c r="Z386" s="593">
        <f ca="1">$E386*(-SUMIF(INDIRECT(Z$3),'Struktur Vorjahr'!$D386,INDIRECT(Z$4))+SUMIF(INDIRECT(Z$3),'Struktur Vorjahr'!$D386,INDIRECT(Z$5)))</f>
        <v>0</v>
      </c>
      <c r="AA386" s="593">
        <f ca="1">$E386*(-SUMIF(INDIRECT(AA$3),'Struktur Vorjahr'!$D386,INDIRECT(AA$4))+SUMIF(INDIRECT(AA$3),'Struktur Vorjahr'!$D386,INDIRECT(AA$5)))</f>
        <v>0</v>
      </c>
      <c r="AB386" s="593">
        <f ca="1">$E386*(-SUMIF(INDIRECT(AB$3),'Struktur Vorjahr'!$D386,INDIRECT(AB$4))+SUMIF(INDIRECT(AB$3),'Struktur Vorjahr'!$D386,INDIRECT(AB$5)))</f>
        <v>0</v>
      </c>
      <c r="AC386" s="593">
        <f ca="1">$E386*(-SUMIF(INDIRECT(AC$3),'Struktur Vorjahr'!$D386,INDIRECT(AC$4))+SUMIF(INDIRECT(AC$3),'Struktur Vorjahr'!$D386,INDIRECT(AC$5)))</f>
        <v>0</v>
      </c>
      <c r="AD386" s="593">
        <f ca="1">$E386*(-SUMIF(INDIRECT(AD$3),'Struktur Vorjahr'!$D386,INDIRECT(AD$4))+SUMIF(INDIRECT(AD$3),'Struktur Vorjahr'!$D386,INDIRECT(AD$5)))</f>
        <v>0</v>
      </c>
      <c r="AE386" s="593">
        <f t="shared" ca="1" si="184"/>
        <v>0</v>
      </c>
      <c r="AF386" s="593">
        <f t="shared" ca="1" si="185"/>
        <v>0</v>
      </c>
      <c r="AG386" s="593">
        <f t="shared" ca="1" si="185"/>
        <v>0</v>
      </c>
      <c r="AH386" s="593">
        <f t="shared" ca="1" si="185"/>
        <v>0</v>
      </c>
      <c r="AI386" s="593">
        <f t="shared" ca="1" si="185"/>
        <v>0</v>
      </c>
      <c r="AJ386" s="593">
        <f t="shared" ca="1" si="185"/>
        <v>0</v>
      </c>
      <c r="AK386" s="593">
        <f t="shared" ca="1" si="185"/>
        <v>0</v>
      </c>
      <c r="AL386" s="593">
        <f t="shared" ca="1" si="185"/>
        <v>0</v>
      </c>
      <c r="AM386" s="593">
        <f t="shared" ca="1" si="185"/>
        <v>0</v>
      </c>
      <c r="AN386" s="593">
        <f t="shared" ca="1" si="185"/>
        <v>0</v>
      </c>
      <c r="AO386" s="593">
        <f t="shared" ca="1" si="185"/>
        <v>0</v>
      </c>
      <c r="AP386" s="593">
        <f t="shared" ca="1" si="185"/>
        <v>0</v>
      </c>
    </row>
    <row r="387" spans="1:42" outlineLevel="1" x14ac:dyDescent="0.2">
      <c r="A387" s="608"/>
      <c r="B387" s="609" t="s">
        <v>274</v>
      </c>
      <c r="C387" s="597">
        <f ca="1">SUM(G387:R387)</f>
        <v>-35573.149999999987</v>
      </c>
      <c r="D387" s="597"/>
      <c r="E387" s="610">
        <f t="shared" si="186"/>
        <v>1</v>
      </c>
      <c r="F387" s="608"/>
      <c r="G387" s="597">
        <f ca="1">G376-G377-G382</f>
        <v>-9326.6600000000017</v>
      </c>
      <c r="H387" s="597">
        <f t="shared" ref="H387:R387" ca="1" si="187">H376-H377-H382</f>
        <v>-8842.98</v>
      </c>
      <c r="I387" s="597">
        <f t="shared" ca="1" si="187"/>
        <v>-17887.899999999998</v>
      </c>
      <c r="J387" s="597">
        <f t="shared" ca="1" si="187"/>
        <v>-9703.7800000000025</v>
      </c>
      <c r="K387" s="597">
        <f t="shared" ca="1" si="187"/>
        <v>-21235.019999999997</v>
      </c>
      <c r="L387" s="597">
        <f t="shared" ca="1" si="187"/>
        <v>-9485.4499999999989</v>
      </c>
      <c r="M387" s="597">
        <f t="shared" ca="1" si="187"/>
        <v>27968.330000000005</v>
      </c>
      <c r="N387" s="597">
        <f t="shared" ca="1" si="187"/>
        <v>1091.8100000000011</v>
      </c>
      <c r="O387" s="597">
        <f t="shared" ca="1" si="187"/>
        <v>-7377.869999999999</v>
      </c>
      <c r="P387" s="597">
        <f t="shared" ca="1" si="187"/>
        <v>19226.370000000003</v>
      </c>
      <c r="Q387" s="597">
        <f t="shared" ca="1" si="187"/>
        <v>0</v>
      </c>
      <c r="R387" s="597">
        <f t="shared" ca="1" si="187"/>
        <v>0</v>
      </c>
      <c r="S387" s="597">
        <f ca="1">S376-S377-S382</f>
        <v>-9326.6600000000017</v>
      </c>
      <c r="T387" s="597">
        <f t="shared" ref="T387:AD387" ca="1" si="188">T376-T377-T382</f>
        <v>-18169.640000000007</v>
      </c>
      <c r="U387" s="597">
        <f t="shared" ca="1" si="188"/>
        <v>-36057.540000000008</v>
      </c>
      <c r="V387" s="597">
        <f t="shared" ca="1" si="188"/>
        <v>-45761.32</v>
      </c>
      <c r="W387" s="597">
        <f t="shared" ca="1" si="188"/>
        <v>-66996.34</v>
      </c>
      <c r="X387" s="597">
        <f t="shared" ca="1" si="188"/>
        <v>-76481.789999999994</v>
      </c>
      <c r="Y387" s="597">
        <f t="shared" ca="1" si="188"/>
        <v>-48513.459999999992</v>
      </c>
      <c r="Z387" s="597">
        <f t="shared" ca="1" si="188"/>
        <v>-47421.649999999987</v>
      </c>
      <c r="AA387" s="597">
        <f t="shared" ca="1" si="188"/>
        <v>-54799.520000000011</v>
      </c>
      <c r="AB387" s="597">
        <f t="shared" ca="1" si="188"/>
        <v>-35573.150000000009</v>
      </c>
      <c r="AC387" s="597">
        <f t="shared" ca="1" si="188"/>
        <v>0</v>
      </c>
      <c r="AD387" s="597">
        <f t="shared" ca="1" si="188"/>
        <v>0</v>
      </c>
      <c r="AE387" s="597">
        <f ca="1">AE376-AE377-AE382</f>
        <v>-9326.6600000000017</v>
      </c>
      <c r="AF387" s="597">
        <f t="shared" ref="AF387:AP387" ca="1" si="189">AF376-AF377-AF382</f>
        <v>-18169.640000000007</v>
      </c>
      <c r="AG387" s="597">
        <f t="shared" ca="1" si="189"/>
        <v>-36057.540000000008</v>
      </c>
      <c r="AH387" s="597">
        <f t="shared" ca="1" si="189"/>
        <v>-45761.32</v>
      </c>
      <c r="AI387" s="597">
        <f t="shared" ca="1" si="189"/>
        <v>-66996.340000000011</v>
      </c>
      <c r="AJ387" s="597">
        <f t="shared" ca="1" si="189"/>
        <v>-76481.789999999994</v>
      </c>
      <c r="AK387" s="597">
        <f t="shared" ca="1" si="189"/>
        <v>-48513.459999999992</v>
      </c>
      <c r="AL387" s="597">
        <f t="shared" ca="1" si="189"/>
        <v>-47421.649999999987</v>
      </c>
      <c r="AM387" s="597">
        <f t="shared" ca="1" si="189"/>
        <v>-54799.520000000011</v>
      </c>
      <c r="AN387" s="597">
        <f t="shared" ca="1" si="189"/>
        <v>-35573.149999999951</v>
      </c>
      <c r="AO387" s="597">
        <f t="shared" ca="1" si="189"/>
        <v>-35573.149999999951</v>
      </c>
      <c r="AP387" s="597">
        <f t="shared" ca="1" si="189"/>
        <v>-35573.149999999951</v>
      </c>
    </row>
    <row r="388" spans="1:42" outlineLevel="1" x14ac:dyDescent="0.2">
      <c r="B388" s="612"/>
      <c r="C388" s="612"/>
      <c r="D388" s="614"/>
      <c r="E388" s="613"/>
      <c r="F388" s="614"/>
      <c r="G388" s="615"/>
      <c r="H388" s="615"/>
      <c r="I388" s="615"/>
      <c r="J388" s="615"/>
      <c r="K388" s="615"/>
      <c r="L388" s="615"/>
      <c r="M388" s="615"/>
      <c r="N388" s="615"/>
      <c r="O388" s="615"/>
      <c r="P388" s="615"/>
      <c r="Q388" s="615"/>
      <c r="R388" s="615"/>
      <c r="S388" s="615"/>
      <c r="T388" s="615"/>
      <c r="U388" s="615"/>
      <c r="V388" s="615"/>
      <c r="W388" s="615"/>
      <c r="X388" s="615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615"/>
      <c r="AL388" s="615"/>
      <c r="AM388" s="615"/>
      <c r="AN388" s="615"/>
      <c r="AO388" s="615"/>
      <c r="AP388" s="615"/>
    </row>
    <row r="389" spans="1:42" outlineLevel="1" x14ac:dyDescent="0.2">
      <c r="B389" s="616" t="s">
        <v>794</v>
      </c>
      <c r="C389" s="616"/>
      <c r="D389" s="618"/>
      <c r="E389" s="617"/>
      <c r="F389" s="618"/>
      <c r="G389" s="619"/>
      <c r="H389" s="619"/>
      <c r="I389" s="619"/>
      <c r="J389" s="619"/>
      <c r="K389" s="619"/>
      <c r="L389" s="619"/>
      <c r="M389" s="619"/>
      <c r="N389" s="619"/>
      <c r="O389" s="619"/>
      <c r="P389" s="619"/>
      <c r="Q389" s="619"/>
      <c r="R389" s="619"/>
      <c r="S389" s="619"/>
      <c r="T389" s="619"/>
      <c r="U389" s="619"/>
      <c r="V389" s="619"/>
      <c r="W389" s="619"/>
      <c r="X389" s="619"/>
      <c r="Y389" s="619"/>
      <c r="Z389" s="619"/>
      <c r="AA389" s="619"/>
      <c r="AB389" s="619"/>
      <c r="AC389" s="619"/>
      <c r="AD389" s="619"/>
      <c r="AE389" s="619"/>
      <c r="AF389" s="619"/>
      <c r="AG389" s="619"/>
      <c r="AH389" s="619"/>
      <c r="AI389" s="619"/>
      <c r="AJ389" s="619"/>
      <c r="AK389" s="619"/>
      <c r="AL389" s="619"/>
      <c r="AM389" s="619"/>
      <c r="AN389" s="619"/>
      <c r="AO389" s="619"/>
      <c r="AP389" s="619"/>
    </row>
    <row r="390" spans="1:42" outlineLevel="1" x14ac:dyDescent="0.2">
      <c r="B390" s="612"/>
      <c r="C390" s="612"/>
      <c r="D390" s="614"/>
      <c r="E390" s="613"/>
      <c r="F390" s="614"/>
      <c r="G390" s="615"/>
      <c r="H390" s="615"/>
      <c r="I390" s="615"/>
      <c r="J390" s="615"/>
      <c r="K390" s="615"/>
      <c r="L390" s="615"/>
      <c r="M390" s="615"/>
      <c r="N390" s="615"/>
      <c r="O390" s="615"/>
      <c r="P390" s="615"/>
      <c r="Q390" s="615"/>
      <c r="R390" s="615"/>
      <c r="S390" s="615"/>
      <c r="T390" s="615"/>
      <c r="U390" s="615"/>
      <c r="V390" s="615"/>
      <c r="W390" s="615"/>
      <c r="X390" s="615"/>
      <c r="Y390" s="615"/>
      <c r="Z390" s="615"/>
      <c r="AA390" s="615"/>
      <c r="AB390" s="615"/>
      <c r="AC390" s="615"/>
      <c r="AD390" s="615"/>
      <c r="AE390" s="615"/>
      <c r="AF390" s="615"/>
      <c r="AG390" s="615"/>
      <c r="AH390" s="615"/>
      <c r="AI390" s="615"/>
      <c r="AJ390" s="615"/>
      <c r="AK390" s="615"/>
      <c r="AL390" s="615"/>
      <c r="AM390" s="615"/>
      <c r="AN390" s="615"/>
      <c r="AO390" s="615"/>
      <c r="AP390" s="615"/>
    </row>
    <row r="391" spans="1:42" outlineLevel="1" x14ac:dyDescent="0.2">
      <c r="A391" s="827"/>
      <c r="B391" s="827" t="str">
        <f>B376</f>
        <v>Jahresüberschuss / -fehlbetrag</v>
      </c>
      <c r="C391" s="597">
        <f ca="1">SUM(G391:R391)</f>
        <v>-35573.149999999987</v>
      </c>
      <c r="D391" s="597"/>
      <c r="E391" s="620">
        <v>1</v>
      </c>
      <c r="F391" s="828"/>
      <c r="G391" s="597">
        <f ca="1">G376</f>
        <v>-9326.6600000000017</v>
      </c>
      <c r="H391" s="597">
        <f t="shared" ref="H391:R391" ca="1" si="190">H376</f>
        <v>-8842.98</v>
      </c>
      <c r="I391" s="597">
        <f t="shared" ca="1" si="190"/>
        <v>-17887.899999999998</v>
      </c>
      <c r="J391" s="597">
        <f t="shared" ca="1" si="190"/>
        <v>-9703.7800000000025</v>
      </c>
      <c r="K391" s="597">
        <f t="shared" ca="1" si="190"/>
        <v>-21235.019999999997</v>
      </c>
      <c r="L391" s="597">
        <f t="shared" ca="1" si="190"/>
        <v>-9485.4499999999989</v>
      </c>
      <c r="M391" s="597">
        <f t="shared" ca="1" si="190"/>
        <v>27968.330000000005</v>
      </c>
      <c r="N391" s="597">
        <f t="shared" ca="1" si="190"/>
        <v>1091.8100000000011</v>
      </c>
      <c r="O391" s="597">
        <f t="shared" ca="1" si="190"/>
        <v>-7377.869999999999</v>
      </c>
      <c r="P391" s="597">
        <f t="shared" ca="1" si="190"/>
        <v>19226.370000000003</v>
      </c>
      <c r="Q391" s="597">
        <f t="shared" ca="1" si="190"/>
        <v>0</v>
      </c>
      <c r="R391" s="597">
        <f t="shared" ca="1" si="190"/>
        <v>0</v>
      </c>
      <c r="S391" s="597">
        <f ca="1">S376</f>
        <v>-9326.6600000000017</v>
      </c>
      <c r="T391" s="597">
        <f t="shared" ref="T391:AD391" ca="1" si="191">T376</f>
        <v>-18169.640000000007</v>
      </c>
      <c r="U391" s="597">
        <f t="shared" ca="1" si="191"/>
        <v>-36057.540000000008</v>
      </c>
      <c r="V391" s="597">
        <f t="shared" ca="1" si="191"/>
        <v>-45761.32</v>
      </c>
      <c r="W391" s="597">
        <f t="shared" ca="1" si="191"/>
        <v>-66996.34</v>
      </c>
      <c r="X391" s="597">
        <f t="shared" ca="1" si="191"/>
        <v>-76481.789999999994</v>
      </c>
      <c r="Y391" s="597">
        <f t="shared" ca="1" si="191"/>
        <v>-48513.459999999992</v>
      </c>
      <c r="Z391" s="597">
        <f t="shared" ca="1" si="191"/>
        <v>-47421.649999999987</v>
      </c>
      <c r="AA391" s="597">
        <f t="shared" ca="1" si="191"/>
        <v>-54799.520000000011</v>
      </c>
      <c r="AB391" s="597">
        <f t="shared" ca="1" si="191"/>
        <v>-35573.150000000009</v>
      </c>
      <c r="AC391" s="597">
        <f t="shared" ca="1" si="191"/>
        <v>0</v>
      </c>
      <c r="AD391" s="597">
        <f t="shared" ca="1" si="191"/>
        <v>0</v>
      </c>
      <c r="AE391" s="597">
        <f ca="1">AE376</f>
        <v>-9326.6600000000017</v>
      </c>
      <c r="AF391" s="597">
        <f t="shared" ref="AF391:AP391" ca="1" si="192">AF376</f>
        <v>-18169.640000000007</v>
      </c>
      <c r="AG391" s="597">
        <f t="shared" ca="1" si="192"/>
        <v>-36057.540000000008</v>
      </c>
      <c r="AH391" s="597">
        <f t="shared" ca="1" si="192"/>
        <v>-45761.32</v>
      </c>
      <c r="AI391" s="597">
        <f t="shared" ca="1" si="192"/>
        <v>-66996.340000000011</v>
      </c>
      <c r="AJ391" s="597">
        <f t="shared" ca="1" si="192"/>
        <v>-76481.789999999994</v>
      </c>
      <c r="AK391" s="597">
        <f t="shared" ca="1" si="192"/>
        <v>-48513.459999999992</v>
      </c>
      <c r="AL391" s="597">
        <f t="shared" ca="1" si="192"/>
        <v>-47421.649999999987</v>
      </c>
      <c r="AM391" s="597">
        <f t="shared" ca="1" si="192"/>
        <v>-54799.520000000011</v>
      </c>
      <c r="AN391" s="597">
        <f t="shared" ca="1" si="192"/>
        <v>-35573.149999999951</v>
      </c>
      <c r="AO391" s="597">
        <f t="shared" ca="1" si="192"/>
        <v>-35573.149999999951</v>
      </c>
      <c r="AP391" s="597">
        <f t="shared" ca="1" si="192"/>
        <v>-35573.149999999951</v>
      </c>
    </row>
    <row r="392" spans="1:42" outlineLevel="1" x14ac:dyDescent="0.2">
      <c r="A392" s="829"/>
      <c r="B392" s="830" t="s">
        <v>272</v>
      </c>
      <c r="C392" s="831">
        <f ca="1">SUM(G392:R392)</f>
        <v>4161.8900000000003</v>
      </c>
      <c r="D392" s="831"/>
      <c r="E392" s="832">
        <f t="shared" si="186"/>
        <v>1</v>
      </c>
      <c r="F392" s="829"/>
      <c r="G392" s="831">
        <f ca="1">G315</f>
        <v>232.46</v>
      </c>
      <c r="H392" s="831">
        <f ca="1">H315</f>
        <v>232.51999999999998</v>
      </c>
      <c r="I392" s="831">
        <f t="shared" ref="I392:R392" ca="1" si="193">I315</f>
        <v>400.51</v>
      </c>
      <c r="J392" s="831">
        <f t="shared" ca="1" si="193"/>
        <v>346.14</v>
      </c>
      <c r="K392" s="831">
        <f t="shared" ca="1" si="193"/>
        <v>740.75</v>
      </c>
      <c r="L392" s="831">
        <f t="shared" ca="1" si="193"/>
        <v>651.68000000000006</v>
      </c>
      <c r="M392" s="831">
        <f t="shared" ca="1" si="193"/>
        <v>687.79</v>
      </c>
      <c r="N392" s="831">
        <f t="shared" ca="1" si="193"/>
        <v>324.77999999999997</v>
      </c>
      <c r="O392" s="831">
        <f t="shared" ca="1" si="193"/>
        <v>272.60000000000002</v>
      </c>
      <c r="P392" s="831">
        <f t="shared" ca="1" si="193"/>
        <v>272.66000000000003</v>
      </c>
      <c r="Q392" s="831">
        <f t="shared" ca="1" si="193"/>
        <v>0</v>
      </c>
      <c r="R392" s="831">
        <f t="shared" ca="1" si="193"/>
        <v>0</v>
      </c>
      <c r="S392" s="831">
        <f ca="1">S315</f>
        <v>232.46</v>
      </c>
      <c r="T392" s="831">
        <f ca="1">T315</f>
        <v>464.98</v>
      </c>
      <c r="U392" s="831">
        <f t="shared" ref="U392:AD392" ca="1" si="194">U315</f>
        <v>865.49</v>
      </c>
      <c r="V392" s="831">
        <f t="shared" ca="1" si="194"/>
        <v>1211.6299999999999</v>
      </c>
      <c r="W392" s="831">
        <f t="shared" ca="1" si="194"/>
        <v>1952.38</v>
      </c>
      <c r="X392" s="831">
        <f t="shared" ca="1" si="194"/>
        <v>2604.06</v>
      </c>
      <c r="Y392" s="831">
        <f t="shared" ca="1" si="194"/>
        <v>3291.85</v>
      </c>
      <c r="Z392" s="831">
        <f t="shared" ca="1" si="194"/>
        <v>3616.63</v>
      </c>
      <c r="AA392" s="831">
        <f t="shared" ca="1" si="194"/>
        <v>3889.23</v>
      </c>
      <c r="AB392" s="831">
        <f t="shared" ca="1" si="194"/>
        <v>4161.8899999999994</v>
      </c>
      <c r="AC392" s="831">
        <f t="shared" ca="1" si="194"/>
        <v>0</v>
      </c>
      <c r="AD392" s="831">
        <f t="shared" ca="1" si="194"/>
        <v>0</v>
      </c>
      <c r="AE392" s="831">
        <f ca="1">AE315</f>
        <v>232.46</v>
      </c>
      <c r="AF392" s="831">
        <f ca="1">AF315</f>
        <v>464.97999999999996</v>
      </c>
      <c r="AG392" s="831">
        <f t="shared" ref="AG392:AP392" ca="1" si="195">AG315</f>
        <v>865.49</v>
      </c>
      <c r="AH392" s="831">
        <f t="shared" ca="1" si="195"/>
        <v>1211.6299999999999</v>
      </c>
      <c r="AI392" s="831">
        <f t="shared" ca="1" si="195"/>
        <v>1952.38</v>
      </c>
      <c r="AJ392" s="831">
        <f t="shared" ca="1" si="195"/>
        <v>2604.06</v>
      </c>
      <c r="AK392" s="831">
        <f t="shared" ca="1" si="195"/>
        <v>3291.85</v>
      </c>
      <c r="AL392" s="831">
        <f t="shared" ca="1" si="195"/>
        <v>3616.6299999999997</v>
      </c>
      <c r="AM392" s="831">
        <f t="shared" ca="1" si="195"/>
        <v>3889.23</v>
      </c>
      <c r="AN392" s="831">
        <f t="shared" ca="1" si="195"/>
        <v>4161.8899999999994</v>
      </c>
      <c r="AO392" s="831">
        <f t="shared" ca="1" si="195"/>
        <v>4161.8899999999994</v>
      </c>
      <c r="AP392" s="831">
        <f t="shared" ca="1" si="195"/>
        <v>4161.8899999999994</v>
      </c>
    </row>
    <row r="393" spans="1:42" s="589" customFormat="1" x14ac:dyDescent="0.2">
      <c r="A393" s="585">
        <v>29.1</v>
      </c>
      <c r="B393" s="586" t="s">
        <v>1025</v>
      </c>
      <c r="C393" s="587">
        <f ca="1">SUM(G393:R393)</f>
        <v>4161.8900000000003</v>
      </c>
      <c r="D393" s="587"/>
      <c r="E393" s="588">
        <f t="shared" si="186"/>
        <v>1</v>
      </c>
      <c r="F393" s="585"/>
      <c r="G393" s="587">
        <f t="shared" ref="G393:AP393" ca="1" si="196">SUM(G394:G397)</f>
        <v>232.46</v>
      </c>
      <c r="H393" s="587">
        <f t="shared" ca="1" si="196"/>
        <v>232.51999999999998</v>
      </c>
      <c r="I393" s="587">
        <f t="shared" ca="1" si="196"/>
        <v>400.51</v>
      </c>
      <c r="J393" s="587">
        <f t="shared" ca="1" si="196"/>
        <v>346.14</v>
      </c>
      <c r="K393" s="587">
        <f t="shared" ca="1" si="196"/>
        <v>740.75</v>
      </c>
      <c r="L393" s="587">
        <f t="shared" ca="1" si="196"/>
        <v>651.68000000000006</v>
      </c>
      <c r="M393" s="587">
        <f t="shared" ca="1" si="196"/>
        <v>687.79</v>
      </c>
      <c r="N393" s="587">
        <f t="shared" ca="1" si="196"/>
        <v>324.77999999999997</v>
      </c>
      <c r="O393" s="587">
        <f t="shared" ca="1" si="196"/>
        <v>272.60000000000002</v>
      </c>
      <c r="P393" s="587">
        <f t="shared" ca="1" si="196"/>
        <v>272.66000000000003</v>
      </c>
      <c r="Q393" s="587">
        <f t="shared" ca="1" si="196"/>
        <v>0</v>
      </c>
      <c r="R393" s="587">
        <f t="shared" ca="1" si="196"/>
        <v>0</v>
      </c>
      <c r="S393" s="587">
        <f t="shared" ca="1" si="196"/>
        <v>232.46</v>
      </c>
      <c r="T393" s="587">
        <f t="shared" ca="1" si="196"/>
        <v>464.98</v>
      </c>
      <c r="U393" s="587">
        <f t="shared" ca="1" si="196"/>
        <v>865.49</v>
      </c>
      <c r="V393" s="587">
        <f t="shared" ca="1" si="196"/>
        <v>1211.6299999999999</v>
      </c>
      <c r="W393" s="587">
        <f t="shared" ca="1" si="196"/>
        <v>1952.38</v>
      </c>
      <c r="X393" s="587">
        <f t="shared" ca="1" si="196"/>
        <v>2604.06</v>
      </c>
      <c r="Y393" s="587">
        <f t="shared" ca="1" si="196"/>
        <v>3291.85</v>
      </c>
      <c r="Z393" s="587">
        <f t="shared" ca="1" si="196"/>
        <v>3616.63</v>
      </c>
      <c r="AA393" s="587">
        <f t="shared" ca="1" si="196"/>
        <v>3889.23</v>
      </c>
      <c r="AB393" s="587">
        <f t="shared" ca="1" si="196"/>
        <v>4161.8899999999994</v>
      </c>
      <c r="AC393" s="587">
        <f t="shared" ca="1" si="196"/>
        <v>0</v>
      </c>
      <c r="AD393" s="587">
        <f t="shared" ca="1" si="196"/>
        <v>0</v>
      </c>
      <c r="AE393" s="587">
        <f t="shared" ca="1" si="196"/>
        <v>232.46</v>
      </c>
      <c r="AF393" s="587">
        <f t="shared" ca="1" si="196"/>
        <v>464.97999999999996</v>
      </c>
      <c r="AG393" s="587">
        <f t="shared" ca="1" si="196"/>
        <v>865.49</v>
      </c>
      <c r="AH393" s="587">
        <f t="shared" ca="1" si="196"/>
        <v>1211.6299999999999</v>
      </c>
      <c r="AI393" s="587">
        <f t="shared" ca="1" si="196"/>
        <v>1952.38</v>
      </c>
      <c r="AJ393" s="587">
        <f t="shared" ca="1" si="196"/>
        <v>2604.06</v>
      </c>
      <c r="AK393" s="587">
        <f t="shared" ca="1" si="196"/>
        <v>3291.85</v>
      </c>
      <c r="AL393" s="587">
        <f t="shared" ca="1" si="196"/>
        <v>3616.6299999999997</v>
      </c>
      <c r="AM393" s="587">
        <f t="shared" ca="1" si="196"/>
        <v>3889.23</v>
      </c>
      <c r="AN393" s="587">
        <f t="shared" ca="1" si="196"/>
        <v>4161.8899999999994</v>
      </c>
      <c r="AO393" s="587">
        <f t="shared" ca="1" si="196"/>
        <v>4161.8899999999994</v>
      </c>
      <c r="AP393" s="587">
        <f t="shared" ca="1" si="196"/>
        <v>4161.8899999999994</v>
      </c>
    </row>
    <row r="394" spans="1:42" s="594" customFormat="1" ht="11.25" outlineLevel="1" x14ac:dyDescent="0.2">
      <c r="A394" s="607"/>
      <c r="B394" s="591" t="str">
        <f>IF(D394&lt;&gt;"",
IF(ISERROR(MATCH(D394,'Ist Vorjahr Monat 01'!A:A,0))=FALSE,INDEX('Ist Vorjahr Monat 01'!B:B,MATCH(D394,'Ist Vorjahr Monat 01'!A:A,0)),
IF(ISERROR(MATCH(D394,'Ist Vorjahr Monat 02'!A:A,0))=FALSE,INDEX('Ist Vorjahr Monat 02'!B:B,MATCH(D394,'Ist Vorjahr Monat 02'!A:A,0)),
IF(ISERROR(MATCH(D394,'Ist Vorjahr Monat 03'!A:A,0))=FALSE,INDEX('Ist Vorjahr Monat 03'!B:B,MATCH(D394,'Ist Vorjahr Monat 03'!A:A,0)),
IF(ISERROR(MATCH(D394,'Ist Vorjahr Monat 04'!A:A,0))=FALSE,INDEX('Ist Vorjahr Monat 04'!B:B,MATCH(D394,'Ist Vorjahr Monat 04'!A:A,0)),
IF(ISERROR(MATCH(D394,'Ist Vorjahr Monat 05'!A:A,0))=FALSE,INDEX('Ist Vorjahr Monat 05'!B:B,MATCH(D394,'Ist Vorjahr Monat 05'!A:A,0)),
IF(ISERROR(MATCH(D394,'Ist Vorjahr Monat 06'!A:A,0))=FALSE,INDEX('Ist Vorjahr Monat 06'!B:B,MATCH(D394,'Ist Vorjahr Monat 06'!A:A,0)),
IF(ISERROR(MATCH(D394,'Ist Vorjahr Monat 07'!A:A,0))=FALSE,INDEX('Ist Vorjahr Monat 07'!B:B,MATCH(D394,'Ist Vorjahr Monat 07'!A:A,0)),
IF(ISERROR(MATCH(D394,'Ist Vorjahr Monat 08'!A:A,0))=FALSE,INDEX('Ist Vorjahr Monat 08'!B:B,MATCH(D394,'Ist Vorjahr Monat 08'!A:A,0)),
IF(ISERROR(MATCH(D394,'Ist Vorjahr Monat 09'!A:A,0))=FALSE,INDEX('Ist Vorjahr Monat 09'!B:B,MATCH(D394,'Ist Vorjahr Monat 09'!A:A,0)),
IF(ISERROR(MATCH(D394,'Ist Vorjahr Monat 10'!A:A,0))=FALSE,INDEX('Ist Vorjahr Monat 10'!B:B,MATCH(D394,'Ist Vorjahr Monat 10'!A:A,0)),
IF(ISERROR(MATCH(D394,'Ist Vorjahr Monat 11'!A:A,0))=FALSE,INDEX('Ist Vorjahr Monat 11'!B:B,MATCH(D394,'Ist Vorjahr Monat 11'!A:A,0)),
IF(ISERROR(MATCH(D394,'Ist Vorjahr Monat 12'!A:A,0))=FALSE,INDEX('Ist Vorjahr Monat 12'!B:B,MATCH(D394,'Ist Vorjahr Monat 12'!A:A,0)),
"{Konto unbekannt}"
)))))))))))),"")</f>
        <v>Abschreibung immaterielle VermG</v>
      </c>
      <c r="C394" s="591"/>
      <c r="D394" s="590">
        <v>4822</v>
      </c>
      <c r="E394" s="592">
        <f t="shared" si="186"/>
        <v>1</v>
      </c>
      <c r="F394" s="590"/>
      <c r="G394" s="593">
        <f ca="1">$E394*(-SUMIF(INDIRECT(G$3),'Struktur Vorjahr'!$D394,INDIRECT(G$4))+SUMIF(INDIRECT(G$3),'Struktur Vorjahr'!$D394,INDIRECT(G$5)))</f>
        <v>104.28</v>
      </c>
      <c r="H394" s="593">
        <f ca="1">$E394*(-SUMIF(INDIRECT(H$3),'Struktur Vorjahr'!$D394,INDIRECT(H$4))+SUMIF(INDIRECT(H$3),'Struktur Vorjahr'!$D394,INDIRECT(H$5)))</f>
        <v>104.3</v>
      </c>
      <c r="I394" s="593">
        <f ca="1">$E394*(-SUMIF(INDIRECT(I$3),'Struktur Vorjahr'!$D394,INDIRECT(I$4))+SUMIF(INDIRECT(I$3),'Struktur Vorjahr'!$D394,INDIRECT(I$5)))</f>
        <v>104.28</v>
      </c>
      <c r="J394" s="593">
        <f ca="1">$E394*(-SUMIF(INDIRECT(J$3),'Struktur Vorjahr'!$D394,INDIRECT(J$4))+SUMIF(INDIRECT(J$3),'Struktur Vorjahr'!$D394,INDIRECT(J$5)))</f>
        <v>104.3</v>
      </c>
      <c r="K394" s="593">
        <f ca="1">$E394*(-SUMIF(INDIRECT(K$3),'Struktur Vorjahr'!$D394,INDIRECT(K$4))+SUMIF(INDIRECT(K$3),'Struktur Vorjahr'!$D394,INDIRECT(K$5)))</f>
        <v>104.29</v>
      </c>
      <c r="L394" s="593">
        <f ca="1">$E394*(-SUMIF(INDIRECT(L$3),'Struktur Vorjahr'!$D394,INDIRECT(L$4))+SUMIF(INDIRECT(L$3),'Struktur Vorjahr'!$D394,INDIRECT(L$5)))</f>
        <v>104.29</v>
      </c>
      <c r="M394" s="593">
        <f ca="1">$E394*(-SUMIF(INDIRECT(M$3),'Struktur Vorjahr'!$D394,INDIRECT(M$4))+SUMIF(INDIRECT(M$3),'Struktur Vorjahr'!$D394,INDIRECT(M$5)))</f>
        <v>104.29</v>
      </c>
      <c r="N394" s="593">
        <f ca="1">$E394*(-SUMIF(INDIRECT(N$3),'Struktur Vorjahr'!$D394,INDIRECT(N$4))+SUMIF(INDIRECT(N$3),'Struktur Vorjahr'!$D394,INDIRECT(N$5)))</f>
        <v>104.3</v>
      </c>
      <c r="O394" s="593">
        <f ca="1">$E394*(-SUMIF(INDIRECT(O$3),'Struktur Vorjahr'!$D394,INDIRECT(O$4))+SUMIF(INDIRECT(O$3),'Struktur Vorjahr'!$D394,INDIRECT(O$5)))</f>
        <v>52.16</v>
      </c>
      <c r="P394" s="593">
        <f ca="1">$E394*(-SUMIF(INDIRECT(P$3),'Struktur Vorjahr'!$D394,INDIRECT(P$4))+SUMIF(INDIRECT(P$3),'Struktur Vorjahr'!$D394,INDIRECT(P$5)))</f>
        <v>52.17</v>
      </c>
      <c r="Q394" s="593">
        <f ca="1">$E394*(-SUMIF(INDIRECT(Q$3),'Struktur Vorjahr'!$D394,INDIRECT(Q$4))+SUMIF(INDIRECT(Q$3),'Struktur Vorjahr'!$D394,INDIRECT(Q$5)))</f>
        <v>0</v>
      </c>
      <c r="R394" s="593">
        <f ca="1">$E394*(-SUMIF(INDIRECT(R$3),'Struktur Vorjahr'!$D394,INDIRECT(R$4))+SUMIF(INDIRECT(R$3),'Struktur Vorjahr'!$D394,INDIRECT(R$5)))</f>
        <v>0</v>
      </c>
      <c r="S394" s="593">
        <f ca="1">$E394*(-SUMIF(INDIRECT(S$3),'Struktur Vorjahr'!$D394,INDIRECT(S$4))+SUMIF(INDIRECT(S$3),'Struktur Vorjahr'!$D394,INDIRECT(S$5)))</f>
        <v>104.28</v>
      </c>
      <c r="T394" s="593">
        <f ca="1">$E394*(-SUMIF(INDIRECT(T$3),'Struktur Vorjahr'!$D394,INDIRECT(T$4))+SUMIF(INDIRECT(T$3),'Struktur Vorjahr'!$D394,INDIRECT(T$5)))</f>
        <v>208.58</v>
      </c>
      <c r="U394" s="593">
        <f ca="1">$E394*(-SUMIF(INDIRECT(U$3),'Struktur Vorjahr'!$D394,INDIRECT(U$4))+SUMIF(INDIRECT(U$3),'Struktur Vorjahr'!$D394,INDIRECT(U$5)))</f>
        <v>312.86</v>
      </c>
      <c r="V394" s="593">
        <f ca="1">$E394*(-SUMIF(INDIRECT(V$3),'Struktur Vorjahr'!$D394,INDIRECT(V$4))+SUMIF(INDIRECT(V$3),'Struktur Vorjahr'!$D394,INDIRECT(V$5)))</f>
        <v>417.16</v>
      </c>
      <c r="W394" s="593">
        <f ca="1">$E394*(-SUMIF(INDIRECT(W$3),'Struktur Vorjahr'!$D394,INDIRECT(W$4))+SUMIF(INDIRECT(W$3),'Struktur Vorjahr'!$D394,INDIRECT(W$5)))</f>
        <v>521.45000000000005</v>
      </c>
      <c r="X394" s="593">
        <f ca="1">$E394*(-SUMIF(INDIRECT(X$3),'Struktur Vorjahr'!$D394,INDIRECT(X$4))+SUMIF(INDIRECT(X$3),'Struktur Vorjahr'!$D394,INDIRECT(X$5)))</f>
        <v>625.74</v>
      </c>
      <c r="Y394" s="593">
        <f ca="1">$E394*(-SUMIF(INDIRECT(Y$3),'Struktur Vorjahr'!$D394,INDIRECT(Y$4))+SUMIF(INDIRECT(Y$3),'Struktur Vorjahr'!$D394,INDIRECT(Y$5)))</f>
        <v>730.03</v>
      </c>
      <c r="Z394" s="593">
        <f ca="1">$E394*(-SUMIF(INDIRECT(Z$3),'Struktur Vorjahr'!$D394,INDIRECT(Z$4))+SUMIF(INDIRECT(Z$3),'Struktur Vorjahr'!$D394,INDIRECT(Z$5)))</f>
        <v>834.33</v>
      </c>
      <c r="AA394" s="593">
        <f ca="1">$E394*(-SUMIF(INDIRECT(AA$3),'Struktur Vorjahr'!$D394,INDIRECT(AA$4))+SUMIF(INDIRECT(AA$3),'Struktur Vorjahr'!$D394,INDIRECT(AA$5)))</f>
        <v>886.49</v>
      </c>
      <c r="AB394" s="593">
        <f ca="1">$E394*(-SUMIF(INDIRECT(AB$3),'Struktur Vorjahr'!$D394,INDIRECT(AB$4))+SUMIF(INDIRECT(AB$3),'Struktur Vorjahr'!$D394,INDIRECT(AB$5)))</f>
        <v>938.66</v>
      </c>
      <c r="AC394" s="593">
        <f ca="1">$E394*(-SUMIF(INDIRECT(AC$3),'Struktur Vorjahr'!$D394,INDIRECT(AC$4))+SUMIF(INDIRECT(AC$3),'Struktur Vorjahr'!$D394,INDIRECT(AC$5)))</f>
        <v>0</v>
      </c>
      <c r="AD394" s="593">
        <f ca="1">$E394*(-SUMIF(INDIRECT(AD$3),'Struktur Vorjahr'!$D394,INDIRECT(AD$4))+SUMIF(INDIRECT(AD$3),'Struktur Vorjahr'!$D394,INDIRECT(AD$5)))</f>
        <v>0</v>
      </c>
      <c r="AE394" s="593">
        <f t="shared" ref="AE394:AE397" ca="1" si="197">G394</f>
        <v>104.28</v>
      </c>
      <c r="AF394" s="593">
        <f t="shared" ref="AF394:AP397" ca="1" si="198">H394+AE394</f>
        <v>208.57999999999998</v>
      </c>
      <c r="AG394" s="593">
        <f t="shared" ca="1" si="198"/>
        <v>312.86</v>
      </c>
      <c r="AH394" s="593">
        <f t="shared" ca="1" si="198"/>
        <v>417.16</v>
      </c>
      <c r="AI394" s="593">
        <f t="shared" ca="1" si="198"/>
        <v>521.45000000000005</v>
      </c>
      <c r="AJ394" s="593">
        <f t="shared" ca="1" si="198"/>
        <v>625.74</v>
      </c>
      <c r="AK394" s="593">
        <f t="shared" ca="1" si="198"/>
        <v>730.03</v>
      </c>
      <c r="AL394" s="593">
        <f t="shared" ca="1" si="198"/>
        <v>834.32999999999993</v>
      </c>
      <c r="AM394" s="593">
        <f t="shared" ca="1" si="198"/>
        <v>886.4899999999999</v>
      </c>
      <c r="AN394" s="593">
        <f t="shared" ca="1" si="198"/>
        <v>938.65999999999985</v>
      </c>
      <c r="AO394" s="593">
        <f t="shared" ca="1" si="198"/>
        <v>938.65999999999985</v>
      </c>
      <c r="AP394" s="593">
        <f t="shared" ca="1" si="198"/>
        <v>938.65999999999985</v>
      </c>
    </row>
    <row r="395" spans="1:42" s="594" customFormat="1" ht="11.25" outlineLevel="1" x14ac:dyDescent="0.2">
      <c r="A395" s="607"/>
      <c r="B395" s="591" t="str">
        <f>IF(D395&lt;&gt;"",
IF(ISERROR(MATCH(D395,'Ist Vorjahr Monat 01'!A:A,0))=FALSE,INDEX('Ist Vorjahr Monat 01'!B:B,MATCH(D395,'Ist Vorjahr Monat 01'!A:A,0)),
IF(ISERROR(MATCH(D395,'Ist Vorjahr Monat 02'!A:A,0))=FALSE,INDEX('Ist Vorjahr Monat 02'!B:B,MATCH(D395,'Ist Vorjahr Monat 02'!A:A,0)),
IF(ISERROR(MATCH(D395,'Ist Vorjahr Monat 03'!A:A,0))=FALSE,INDEX('Ist Vorjahr Monat 03'!B:B,MATCH(D395,'Ist Vorjahr Monat 03'!A:A,0)),
IF(ISERROR(MATCH(D395,'Ist Vorjahr Monat 04'!A:A,0))=FALSE,INDEX('Ist Vorjahr Monat 04'!B:B,MATCH(D395,'Ist Vorjahr Monat 04'!A:A,0)),
IF(ISERROR(MATCH(D395,'Ist Vorjahr Monat 05'!A:A,0))=FALSE,INDEX('Ist Vorjahr Monat 05'!B:B,MATCH(D395,'Ist Vorjahr Monat 05'!A:A,0)),
IF(ISERROR(MATCH(D395,'Ist Vorjahr Monat 06'!A:A,0))=FALSE,INDEX('Ist Vorjahr Monat 06'!B:B,MATCH(D395,'Ist Vorjahr Monat 06'!A:A,0)),
IF(ISERROR(MATCH(D395,'Ist Vorjahr Monat 07'!A:A,0))=FALSE,INDEX('Ist Vorjahr Monat 07'!B:B,MATCH(D395,'Ist Vorjahr Monat 07'!A:A,0)),
IF(ISERROR(MATCH(D395,'Ist Vorjahr Monat 08'!A:A,0))=FALSE,INDEX('Ist Vorjahr Monat 08'!B:B,MATCH(D395,'Ist Vorjahr Monat 08'!A:A,0)),
IF(ISERROR(MATCH(D395,'Ist Vorjahr Monat 09'!A:A,0))=FALSE,INDEX('Ist Vorjahr Monat 09'!B:B,MATCH(D395,'Ist Vorjahr Monat 09'!A:A,0)),
IF(ISERROR(MATCH(D395,'Ist Vorjahr Monat 10'!A:A,0))=FALSE,INDEX('Ist Vorjahr Monat 10'!B:B,MATCH(D395,'Ist Vorjahr Monat 10'!A:A,0)),
IF(ISERROR(MATCH(D395,'Ist Vorjahr Monat 11'!A:A,0))=FALSE,INDEX('Ist Vorjahr Monat 11'!B:B,MATCH(D395,'Ist Vorjahr Monat 11'!A:A,0)),
IF(ISERROR(MATCH(D395,'Ist Vorjahr Monat 12'!A:A,0))=FALSE,INDEX('Ist Vorjahr Monat 12'!B:B,MATCH(D395,'Ist Vorjahr Monat 12'!A:A,0)),
"{Konto unbekannt}"
)))))))))))),"")</f>
        <v>Abschreibungen auf Sachanlagen</v>
      </c>
      <c r="C395" s="591"/>
      <c r="D395" s="590">
        <v>4830</v>
      </c>
      <c r="E395" s="592">
        <f t="shared" si="186"/>
        <v>1</v>
      </c>
      <c r="F395" s="590"/>
      <c r="G395" s="593">
        <f ca="1">$E395*(-SUMIF(INDIRECT(G$3),'Struktur Vorjahr'!$D395,INDIRECT(G$4))+SUMIF(INDIRECT(G$3),'Struktur Vorjahr'!$D395,INDIRECT(G$5)))</f>
        <v>128.18</v>
      </c>
      <c r="H395" s="593">
        <f ca="1">$E395*(-SUMIF(INDIRECT(H$3),'Struktur Vorjahr'!$D395,INDIRECT(H$4))+SUMIF(INDIRECT(H$3),'Struktur Vorjahr'!$D395,INDIRECT(H$5)))</f>
        <v>128.22</v>
      </c>
      <c r="I395" s="593">
        <f ca="1">$E395*(-SUMIF(INDIRECT(I$3),'Struktur Vorjahr'!$D395,INDIRECT(I$4))+SUMIF(INDIRECT(I$3),'Struktur Vorjahr'!$D395,INDIRECT(I$5)))</f>
        <v>128.18</v>
      </c>
      <c r="J395" s="593">
        <f ca="1">$E395*(-SUMIF(INDIRECT(J$3),'Struktur Vorjahr'!$D395,INDIRECT(J$4))+SUMIF(INDIRECT(J$3),'Struktur Vorjahr'!$D395,INDIRECT(J$5)))</f>
        <v>241.84</v>
      </c>
      <c r="K395" s="593">
        <f ca="1">$E395*(-SUMIF(INDIRECT(K$3),'Struktur Vorjahr'!$D395,INDIRECT(K$4))+SUMIF(INDIRECT(K$3),'Struktur Vorjahr'!$D395,INDIRECT(K$5)))</f>
        <v>220.49</v>
      </c>
      <c r="L395" s="593">
        <f ca="1">$E395*(-SUMIF(INDIRECT(L$3),'Struktur Vorjahr'!$D395,INDIRECT(L$4))+SUMIF(INDIRECT(L$3),'Struktur Vorjahr'!$D395,INDIRECT(L$5)))</f>
        <v>220.43</v>
      </c>
      <c r="M395" s="593">
        <f ca="1">$E395*(-SUMIF(INDIRECT(M$3),'Struktur Vorjahr'!$D395,INDIRECT(M$4))+SUMIF(INDIRECT(M$3),'Struktur Vorjahr'!$D395,INDIRECT(M$5)))</f>
        <v>220.5</v>
      </c>
      <c r="N395" s="593">
        <f ca="1">$E395*(-SUMIF(INDIRECT(N$3),'Struktur Vorjahr'!$D395,INDIRECT(N$4))+SUMIF(INDIRECT(N$3),'Struktur Vorjahr'!$D395,INDIRECT(N$5)))</f>
        <v>220.48</v>
      </c>
      <c r="O395" s="593">
        <f ca="1">$E395*(-SUMIF(INDIRECT(O$3),'Struktur Vorjahr'!$D395,INDIRECT(O$4))+SUMIF(INDIRECT(O$3),'Struktur Vorjahr'!$D395,INDIRECT(O$5)))</f>
        <v>220.44</v>
      </c>
      <c r="P395" s="593">
        <f ca="1">$E395*(-SUMIF(INDIRECT(P$3),'Struktur Vorjahr'!$D395,INDIRECT(P$4))+SUMIF(INDIRECT(P$3),'Struktur Vorjahr'!$D395,INDIRECT(P$5)))</f>
        <v>220.49</v>
      </c>
      <c r="Q395" s="593">
        <f ca="1">$E395*(-SUMIF(INDIRECT(Q$3),'Struktur Vorjahr'!$D395,INDIRECT(Q$4))+SUMIF(INDIRECT(Q$3),'Struktur Vorjahr'!$D395,INDIRECT(Q$5)))</f>
        <v>0</v>
      </c>
      <c r="R395" s="593">
        <f ca="1">$E395*(-SUMIF(INDIRECT(R$3),'Struktur Vorjahr'!$D395,INDIRECT(R$4))+SUMIF(INDIRECT(R$3),'Struktur Vorjahr'!$D395,INDIRECT(R$5)))</f>
        <v>0</v>
      </c>
      <c r="S395" s="593">
        <f ca="1">$E395*(-SUMIF(INDIRECT(S$3),'Struktur Vorjahr'!$D395,INDIRECT(S$4))+SUMIF(INDIRECT(S$3),'Struktur Vorjahr'!$D395,INDIRECT(S$5)))</f>
        <v>128.18</v>
      </c>
      <c r="T395" s="593">
        <f ca="1">$E395*(-SUMIF(INDIRECT(T$3),'Struktur Vorjahr'!$D395,INDIRECT(T$4))+SUMIF(INDIRECT(T$3),'Struktur Vorjahr'!$D395,INDIRECT(T$5)))</f>
        <v>256.39999999999998</v>
      </c>
      <c r="U395" s="593">
        <f ca="1">$E395*(-SUMIF(INDIRECT(U$3),'Struktur Vorjahr'!$D395,INDIRECT(U$4))+SUMIF(INDIRECT(U$3),'Struktur Vorjahr'!$D395,INDIRECT(U$5)))</f>
        <v>384.58</v>
      </c>
      <c r="V395" s="593">
        <f ca="1">$E395*(-SUMIF(INDIRECT(V$3),'Struktur Vorjahr'!$D395,INDIRECT(V$4))+SUMIF(INDIRECT(V$3),'Struktur Vorjahr'!$D395,INDIRECT(V$5)))</f>
        <v>626.41999999999996</v>
      </c>
      <c r="W395" s="593">
        <f ca="1">$E395*(-SUMIF(INDIRECT(W$3),'Struktur Vorjahr'!$D395,INDIRECT(W$4))+SUMIF(INDIRECT(W$3),'Struktur Vorjahr'!$D395,INDIRECT(W$5)))</f>
        <v>846.91</v>
      </c>
      <c r="X395" s="593">
        <f ca="1">$E395*(-SUMIF(INDIRECT(X$3),'Struktur Vorjahr'!$D395,INDIRECT(X$4))+SUMIF(INDIRECT(X$3),'Struktur Vorjahr'!$D395,INDIRECT(X$5)))</f>
        <v>1067.3399999999999</v>
      </c>
      <c r="Y395" s="593">
        <f ca="1">$E395*(-SUMIF(INDIRECT(Y$3),'Struktur Vorjahr'!$D395,INDIRECT(Y$4))+SUMIF(INDIRECT(Y$3),'Struktur Vorjahr'!$D395,INDIRECT(Y$5)))</f>
        <v>1287.8399999999999</v>
      </c>
      <c r="Z395" s="593">
        <f ca="1">$E395*(-SUMIF(INDIRECT(Z$3),'Struktur Vorjahr'!$D395,INDIRECT(Z$4))+SUMIF(INDIRECT(Z$3),'Struktur Vorjahr'!$D395,INDIRECT(Z$5)))</f>
        <v>1508.32</v>
      </c>
      <c r="AA395" s="593">
        <f ca="1">$E395*(-SUMIF(INDIRECT(AA$3),'Struktur Vorjahr'!$D395,INDIRECT(AA$4))+SUMIF(INDIRECT(AA$3),'Struktur Vorjahr'!$D395,INDIRECT(AA$5)))</f>
        <v>1728.76</v>
      </c>
      <c r="AB395" s="593">
        <f ca="1">$E395*(-SUMIF(INDIRECT(AB$3),'Struktur Vorjahr'!$D395,INDIRECT(AB$4))+SUMIF(INDIRECT(AB$3),'Struktur Vorjahr'!$D395,INDIRECT(AB$5)))</f>
        <v>1949.25</v>
      </c>
      <c r="AC395" s="593">
        <f ca="1">$E395*(-SUMIF(INDIRECT(AC$3),'Struktur Vorjahr'!$D395,INDIRECT(AC$4))+SUMIF(INDIRECT(AC$3),'Struktur Vorjahr'!$D395,INDIRECT(AC$5)))</f>
        <v>0</v>
      </c>
      <c r="AD395" s="593">
        <f ca="1">$E395*(-SUMIF(INDIRECT(AD$3),'Struktur Vorjahr'!$D395,INDIRECT(AD$4))+SUMIF(INDIRECT(AD$3),'Struktur Vorjahr'!$D395,INDIRECT(AD$5)))</f>
        <v>0</v>
      </c>
      <c r="AE395" s="593">
        <f t="shared" ca="1" si="197"/>
        <v>128.18</v>
      </c>
      <c r="AF395" s="593">
        <f t="shared" ca="1" si="198"/>
        <v>256.39999999999998</v>
      </c>
      <c r="AG395" s="593">
        <f t="shared" ca="1" si="198"/>
        <v>384.58</v>
      </c>
      <c r="AH395" s="593">
        <f t="shared" ca="1" si="198"/>
        <v>626.41999999999996</v>
      </c>
      <c r="AI395" s="593">
        <f t="shared" ca="1" si="198"/>
        <v>846.91</v>
      </c>
      <c r="AJ395" s="593">
        <f t="shared" ca="1" si="198"/>
        <v>1067.3399999999999</v>
      </c>
      <c r="AK395" s="593">
        <f t="shared" ca="1" si="198"/>
        <v>1287.8399999999999</v>
      </c>
      <c r="AL395" s="593">
        <f t="shared" ca="1" si="198"/>
        <v>1508.32</v>
      </c>
      <c r="AM395" s="593">
        <f t="shared" ca="1" si="198"/>
        <v>1728.76</v>
      </c>
      <c r="AN395" s="593">
        <f t="shared" ca="1" si="198"/>
        <v>1949.25</v>
      </c>
      <c r="AO395" s="593">
        <f t="shared" ca="1" si="198"/>
        <v>1949.25</v>
      </c>
      <c r="AP395" s="593">
        <f t="shared" ca="1" si="198"/>
        <v>1949.25</v>
      </c>
    </row>
    <row r="396" spans="1:42" s="594" customFormat="1" ht="11.25" outlineLevel="1" x14ac:dyDescent="0.2">
      <c r="A396" s="607"/>
      <c r="B396" s="591" t="str">
        <f>IF(D396&lt;&gt;"",
IF(ISERROR(MATCH(D396,'Ist Vorjahr Monat 01'!A:A,0))=FALSE,INDEX('Ist Vorjahr Monat 01'!B:B,MATCH(D396,'Ist Vorjahr Monat 01'!A:A,0)),
IF(ISERROR(MATCH(D396,'Ist Vorjahr Monat 02'!A:A,0))=FALSE,INDEX('Ist Vorjahr Monat 02'!B:B,MATCH(D396,'Ist Vorjahr Monat 02'!A:A,0)),
IF(ISERROR(MATCH(D396,'Ist Vorjahr Monat 03'!A:A,0))=FALSE,INDEX('Ist Vorjahr Monat 03'!B:B,MATCH(D396,'Ist Vorjahr Monat 03'!A:A,0)),
IF(ISERROR(MATCH(D396,'Ist Vorjahr Monat 04'!A:A,0))=FALSE,INDEX('Ist Vorjahr Monat 04'!B:B,MATCH(D396,'Ist Vorjahr Monat 04'!A:A,0)),
IF(ISERROR(MATCH(D396,'Ist Vorjahr Monat 05'!A:A,0))=FALSE,INDEX('Ist Vorjahr Monat 05'!B:B,MATCH(D396,'Ist Vorjahr Monat 05'!A:A,0)),
IF(ISERROR(MATCH(D396,'Ist Vorjahr Monat 06'!A:A,0))=FALSE,INDEX('Ist Vorjahr Monat 06'!B:B,MATCH(D396,'Ist Vorjahr Monat 06'!A:A,0)),
IF(ISERROR(MATCH(D396,'Ist Vorjahr Monat 07'!A:A,0))=FALSE,INDEX('Ist Vorjahr Monat 07'!B:B,MATCH(D396,'Ist Vorjahr Monat 07'!A:A,0)),
IF(ISERROR(MATCH(D396,'Ist Vorjahr Monat 08'!A:A,0))=FALSE,INDEX('Ist Vorjahr Monat 08'!B:B,MATCH(D396,'Ist Vorjahr Monat 08'!A:A,0)),
IF(ISERROR(MATCH(D396,'Ist Vorjahr Monat 09'!A:A,0))=FALSE,INDEX('Ist Vorjahr Monat 09'!B:B,MATCH(D396,'Ist Vorjahr Monat 09'!A:A,0)),
IF(ISERROR(MATCH(D396,'Ist Vorjahr Monat 10'!A:A,0))=FALSE,INDEX('Ist Vorjahr Monat 10'!B:B,MATCH(D396,'Ist Vorjahr Monat 10'!A:A,0)),
IF(ISERROR(MATCH(D396,'Ist Vorjahr Monat 11'!A:A,0))=FALSE,INDEX('Ist Vorjahr Monat 11'!B:B,MATCH(D396,'Ist Vorjahr Monat 11'!A:A,0)),
IF(ISERROR(MATCH(D396,'Ist Vorjahr Monat 12'!A:A,0))=FALSE,INDEX('Ist Vorjahr Monat 12'!B:B,MATCH(D396,'Ist Vorjahr Monat 12'!A:A,0)),
"{Konto unbekannt}"
)))))))))))),"")</f>
        <v>Sofortabschreibung GWG</v>
      </c>
      <c r="C396" s="591"/>
      <c r="D396" s="590">
        <v>4855</v>
      </c>
      <c r="E396" s="592">
        <f t="shared" si="186"/>
        <v>1</v>
      </c>
      <c r="F396" s="590"/>
      <c r="G396" s="593">
        <f ca="1">$E396*(-SUMIF(INDIRECT(G$3),'Struktur Vorjahr'!$D396,INDIRECT(G$4))+SUMIF(INDIRECT(G$3),'Struktur Vorjahr'!$D396,INDIRECT(G$5)))</f>
        <v>0</v>
      </c>
      <c r="H396" s="593">
        <f ca="1">$E396*(-SUMIF(INDIRECT(H$3),'Struktur Vorjahr'!$D396,INDIRECT(H$4))+SUMIF(INDIRECT(H$3),'Struktur Vorjahr'!$D396,INDIRECT(H$5)))</f>
        <v>0</v>
      </c>
      <c r="I396" s="593">
        <f ca="1">$E396*(-SUMIF(INDIRECT(I$3),'Struktur Vorjahr'!$D396,INDIRECT(I$4))+SUMIF(INDIRECT(I$3),'Struktur Vorjahr'!$D396,INDIRECT(I$5)))</f>
        <v>168.05</v>
      </c>
      <c r="J396" s="593">
        <f ca="1">$E396*(-SUMIF(INDIRECT(J$3),'Struktur Vorjahr'!$D396,INDIRECT(J$4))+SUMIF(INDIRECT(J$3),'Struktur Vorjahr'!$D396,INDIRECT(J$5)))</f>
        <v>0</v>
      </c>
      <c r="K396" s="593">
        <f ca="1">$E396*(-SUMIF(INDIRECT(K$3),'Struktur Vorjahr'!$D396,INDIRECT(K$4))+SUMIF(INDIRECT(K$3),'Struktur Vorjahr'!$D396,INDIRECT(K$5)))</f>
        <v>415.97</v>
      </c>
      <c r="L396" s="593">
        <f ca="1">$E396*(-SUMIF(INDIRECT(L$3),'Struktur Vorjahr'!$D396,INDIRECT(L$4))+SUMIF(INDIRECT(L$3),'Struktur Vorjahr'!$D396,INDIRECT(L$5)))</f>
        <v>326.95999999999998</v>
      </c>
      <c r="M396" s="593">
        <f ca="1">$E396*(-SUMIF(INDIRECT(M$3),'Struktur Vorjahr'!$D396,INDIRECT(M$4))+SUMIF(INDIRECT(M$3),'Struktur Vorjahr'!$D396,INDIRECT(M$5)))</f>
        <v>363</v>
      </c>
      <c r="N396" s="593">
        <f ca="1">$E396*(-SUMIF(INDIRECT(N$3),'Struktur Vorjahr'!$D396,INDIRECT(N$4))+SUMIF(INDIRECT(N$3),'Struktur Vorjahr'!$D396,INDIRECT(N$5)))</f>
        <v>0</v>
      </c>
      <c r="O396" s="593">
        <f ca="1">$E396*(-SUMIF(INDIRECT(O$3),'Struktur Vorjahr'!$D396,INDIRECT(O$4))+SUMIF(INDIRECT(O$3),'Struktur Vorjahr'!$D396,INDIRECT(O$5)))</f>
        <v>0</v>
      </c>
      <c r="P396" s="593">
        <f ca="1">$E396*(-SUMIF(INDIRECT(P$3),'Struktur Vorjahr'!$D396,INDIRECT(P$4))+SUMIF(INDIRECT(P$3),'Struktur Vorjahr'!$D396,INDIRECT(P$5)))</f>
        <v>0</v>
      </c>
      <c r="Q396" s="593">
        <f ca="1">$E396*(-SUMIF(INDIRECT(Q$3),'Struktur Vorjahr'!$D396,INDIRECT(Q$4))+SUMIF(INDIRECT(Q$3),'Struktur Vorjahr'!$D396,INDIRECT(Q$5)))</f>
        <v>0</v>
      </c>
      <c r="R396" s="593">
        <f ca="1">$E396*(-SUMIF(INDIRECT(R$3),'Struktur Vorjahr'!$D396,INDIRECT(R$4))+SUMIF(INDIRECT(R$3),'Struktur Vorjahr'!$D396,INDIRECT(R$5)))</f>
        <v>0</v>
      </c>
      <c r="S396" s="593">
        <f ca="1">$E396*(-SUMIF(INDIRECT(S$3),'Struktur Vorjahr'!$D396,INDIRECT(S$4))+SUMIF(INDIRECT(S$3),'Struktur Vorjahr'!$D396,INDIRECT(S$5)))</f>
        <v>0</v>
      </c>
      <c r="T396" s="593">
        <f ca="1">$E396*(-SUMIF(INDIRECT(T$3),'Struktur Vorjahr'!$D396,INDIRECT(T$4))+SUMIF(INDIRECT(T$3),'Struktur Vorjahr'!$D396,INDIRECT(T$5)))</f>
        <v>0</v>
      </c>
      <c r="U396" s="593">
        <f ca="1">$E396*(-SUMIF(INDIRECT(U$3),'Struktur Vorjahr'!$D396,INDIRECT(U$4))+SUMIF(INDIRECT(U$3),'Struktur Vorjahr'!$D396,INDIRECT(U$5)))</f>
        <v>168.05</v>
      </c>
      <c r="V396" s="593">
        <f ca="1">$E396*(-SUMIF(INDIRECT(V$3),'Struktur Vorjahr'!$D396,INDIRECT(V$4))+SUMIF(INDIRECT(V$3),'Struktur Vorjahr'!$D396,INDIRECT(V$5)))</f>
        <v>168.05</v>
      </c>
      <c r="W396" s="593">
        <f ca="1">$E396*(-SUMIF(INDIRECT(W$3),'Struktur Vorjahr'!$D396,INDIRECT(W$4))+SUMIF(INDIRECT(W$3),'Struktur Vorjahr'!$D396,INDIRECT(W$5)))</f>
        <v>584.02</v>
      </c>
      <c r="X396" s="593">
        <f ca="1">$E396*(-SUMIF(INDIRECT(X$3),'Struktur Vorjahr'!$D396,INDIRECT(X$4))+SUMIF(INDIRECT(X$3),'Struktur Vorjahr'!$D396,INDIRECT(X$5)))</f>
        <v>910.98</v>
      </c>
      <c r="Y396" s="593">
        <f ca="1">$E396*(-SUMIF(INDIRECT(Y$3),'Struktur Vorjahr'!$D396,INDIRECT(Y$4))+SUMIF(INDIRECT(Y$3),'Struktur Vorjahr'!$D396,INDIRECT(Y$5)))</f>
        <v>1273.98</v>
      </c>
      <c r="Z396" s="593">
        <f ca="1">$E396*(-SUMIF(INDIRECT(Z$3),'Struktur Vorjahr'!$D396,INDIRECT(Z$4))+SUMIF(INDIRECT(Z$3),'Struktur Vorjahr'!$D396,INDIRECT(Z$5)))</f>
        <v>1273.98</v>
      </c>
      <c r="AA396" s="593">
        <f ca="1">$E396*(-SUMIF(INDIRECT(AA$3),'Struktur Vorjahr'!$D396,INDIRECT(AA$4))+SUMIF(INDIRECT(AA$3),'Struktur Vorjahr'!$D396,INDIRECT(AA$5)))</f>
        <v>1273.98</v>
      </c>
      <c r="AB396" s="593">
        <f ca="1">$E396*(-SUMIF(INDIRECT(AB$3),'Struktur Vorjahr'!$D396,INDIRECT(AB$4))+SUMIF(INDIRECT(AB$3),'Struktur Vorjahr'!$D396,INDIRECT(AB$5)))</f>
        <v>1273.98</v>
      </c>
      <c r="AC396" s="593">
        <f ca="1">$E396*(-SUMIF(INDIRECT(AC$3),'Struktur Vorjahr'!$D396,INDIRECT(AC$4))+SUMIF(INDIRECT(AC$3),'Struktur Vorjahr'!$D396,INDIRECT(AC$5)))</f>
        <v>0</v>
      </c>
      <c r="AD396" s="593">
        <f ca="1">$E396*(-SUMIF(INDIRECT(AD$3),'Struktur Vorjahr'!$D396,INDIRECT(AD$4))+SUMIF(INDIRECT(AD$3),'Struktur Vorjahr'!$D396,INDIRECT(AD$5)))</f>
        <v>0</v>
      </c>
      <c r="AE396" s="593">
        <f t="shared" ca="1" si="197"/>
        <v>0</v>
      </c>
      <c r="AF396" s="593">
        <f t="shared" ca="1" si="198"/>
        <v>0</v>
      </c>
      <c r="AG396" s="593">
        <f t="shared" ca="1" si="198"/>
        <v>168.05</v>
      </c>
      <c r="AH396" s="593">
        <f t="shared" ca="1" si="198"/>
        <v>168.05</v>
      </c>
      <c r="AI396" s="593">
        <f t="shared" ca="1" si="198"/>
        <v>584.02</v>
      </c>
      <c r="AJ396" s="593">
        <f t="shared" ca="1" si="198"/>
        <v>910.98</v>
      </c>
      <c r="AK396" s="593">
        <f t="shared" ca="1" si="198"/>
        <v>1273.98</v>
      </c>
      <c r="AL396" s="593">
        <f t="shared" ca="1" si="198"/>
        <v>1273.98</v>
      </c>
      <c r="AM396" s="593">
        <f t="shared" ca="1" si="198"/>
        <v>1273.98</v>
      </c>
      <c r="AN396" s="593">
        <f t="shared" ca="1" si="198"/>
        <v>1273.98</v>
      </c>
      <c r="AO396" s="593">
        <f t="shared" ca="1" si="198"/>
        <v>1273.98</v>
      </c>
      <c r="AP396" s="593">
        <f t="shared" ca="1" si="198"/>
        <v>1273.98</v>
      </c>
    </row>
    <row r="397" spans="1:42" s="594" customFormat="1" ht="11.25" outlineLevel="1" x14ac:dyDescent="0.2">
      <c r="A397" s="607"/>
      <c r="B397" s="591" t="str">
        <f>IF(D397&lt;&gt;"",
IF(ISERROR(MATCH(D397,'Ist Vorjahr Monat 01'!A:A,0))=FALSE,INDEX('Ist Vorjahr Monat 01'!B:B,MATCH(D397,'Ist Vorjahr Monat 01'!A:A,0)),
IF(ISERROR(MATCH(D397,'Ist Vorjahr Monat 02'!A:A,0))=FALSE,INDEX('Ist Vorjahr Monat 02'!B:B,MATCH(D397,'Ist Vorjahr Monat 02'!A:A,0)),
IF(ISERROR(MATCH(D397,'Ist Vorjahr Monat 03'!A:A,0))=FALSE,INDEX('Ist Vorjahr Monat 03'!B:B,MATCH(D397,'Ist Vorjahr Monat 03'!A:A,0)),
IF(ISERROR(MATCH(D397,'Ist Vorjahr Monat 04'!A:A,0))=FALSE,INDEX('Ist Vorjahr Monat 04'!B:B,MATCH(D397,'Ist Vorjahr Monat 04'!A:A,0)),
IF(ISERROR(MATCH(D397,'Ist Vorjahr Monat 05'!A:A,0))=FALSE,INDEX('Ist Vorjahr Monat 05'!B:B,MATCH(D397,'Ist Vorjahr Monat 05'!A:A,0)),
IF(ISERROR(MATCH(D397,'Ist Vorjahr Monat 06'!A:A,0))=FALSE,INDEX('Ist Vorjahr Monat 06'!B:B,MATCH(D397,'Ist Vorjahr Monat 06'!A:A,0)),
IF(ISERROR(MATCH(D397,'Ist Vorjahr Monat 07'!A:A,0))=FALSE,INDEX('Ist Vorjahr Monat 07'!B:B,MATCH(D397,'Ist Vorjahr Monat 07'!A:A,0)),
IF(ISERROR(MATCH(D397,'Ist Vorjahr Monat 08'!A:A,0))=FALSE,INDEX('Ist Vorjahr Monat 08'!B:B,MATCH(D397,'Ist Vorjahr Monat 08'!A:A,0)),
IF(ISERROR(MATCH(D397,'Ist Vorjahr Monat 09'!A:A,0))=FALSE,INDEX('Ist Vorjahr Monat 09'!B:B,MATCH(D397,'Ist Vorjahr Monat 09'!A:A,0)),
IF(ISERROR(MATCH(D397,'Ist Vorjahr Monat 10'!A:A,0))=FALSE,INDEX('Ist Vorjahr Monat 10'!B:B,MATCH(D397,'Ist Vorjahr Monat 10'!A:A,0)),
IF(ISERROR(MATCH(D397,'Ist Vorjahr Monat 11'!A:A,0))=FALSE,INDEX('Ist Vorjahr Monat 11'!B:B,MATCH(D397,'Ist Vorjahr Monat 11'!A:A,0)),
IF(ISERROR(MATCH(D397,'Ist Vorjahr Monat 12'!A:A,0))=FALSE,INDEX('Ist Vorjahr Monat 12'!B:B,MATCH(D397,'Ist Vorjahr Monat 12'!A:A,0)),
"{Konto unbekannt}"
)))))))))))),"")</f>
        <v/>
      </c>
      <c r="C397" s="591"/>
      <c r="D397" s="590"/>
      <c r="E397" s="592">
        <f t="shared" si="186"/>
        <v>1</v>
      </c>
      <c r="F397" s="590"/>
      <c r="G397" s="593">
        <f ca="1">$E397*(-SUMIF(INDIRECT(G$3),'Struktur Vorjahr'!$D397,INDIRECT(G$4))+SUMIF(INDIRECT(G$3),'Struktur Vorjahr'!$D397,INDIRECT(G$5)))</f>
        <v>0</v>
      </c>
      <c r="H397" s="593">
        <f ca="1">$E397*(-SUMIF(INDIRECT(H$3),'Struktur Vorjahr'!$D397,INDIRECT(H$4))+SUMIF(INDIRECT(H$3),'Struktur Vorjahr'!$D397,INDIRECT(H$5)))</f>
        <v>0</v>
      </c>
      <c r="I397" s="593">
        <f ca="1">$E397*(-SUMIF(INDIRECT(I$3),'Struktur Vorjahr'!$D397,INDIRECT(I$4))+SUMIF(INDIRECT(I$3),'Struktur Vorjahr'!$D397,INDIRECT(I$5)))</f>
        <v>0</v>
      </c>
      <c r="J397" s="593">
        <f ca="1">$E397*(-SUMIF(INDIRECT(J$3),'Struktur Vorjahr'!$D397,INDIRECT(J$4))+SUMIF(INDIRECT(J$3),'Struktur Vorjahr'!$D397,INDIRECT(J$5)))</f>
        <v>0</v>
      </c>
      <c r="K397" s="593">
        <f ca="1">$E397*(-SUMIF(INDIRECT(K$3),'Struktur Vorjahr'!$D397,INDIRECT(K$4))+SUMIF(INDIRECT(K$3),'Struktur Vorjahr'!$D397,INDIRECT(K$5)))</f>
        <v>0</v>
      </c>
      <c r="L397" s="593">
        <f ca="1">$E397*(-SUMIF(INDIRECT(L$3),'Struktur Vorjahr'!$D397,INDIRECT(L$4))+SUMIF(INDIRECT(L$3),'Struktur Vorjahr'!$D397,INDIRECT(L$5)))</f>
        <v>0</v>
      </c>
      <c r="M397" s="593">
        <f ca="1">$E397*(-SUMIF(INDIRECT(M$3),'Struktur Vorjahr'!$D397,INDIRECT(M$4))+SUMIF(INDIRECT(M$3),'Struktur Vorjahr'!$D397,INDIRECT(M$5)))</f>
        <v>0</v>
      </c>
      <c r="N397" s="593">
        <f ca="1">$E397*(-SUMIF(INDIRECT(N$3),'Struktur Vorjahr'!$D397,INDIRECT(N$4))+SUMIF(INDIRECT(N$3),'Struktur Vorjahr'!$D397,INDIRECT(N$5)))</f>
        <v>0</v>
      </c>
      <c r="O397" s="593">
        <f ca="1">$E397*(-SUMIF(INDIRECT(O$3),'Struktur Vorjahr'!$D397,INDIRECT(O$4))+SUMIF(INDIRECT(O$3),'Struktur Vorjahr'!$D397,INDIRECT(O$5)))</f>
        <v>0</v>
      </c>
      <c r="P397" s="593">
        <f ca="1">$E397*(-SUMIF(INDIRECT(P$3),'Struktur Vorjahr'!$D397,INDIRECT(P$4))+SUMIF(INDIRECT(P$3),'Struktur Vorjahr'!$D397,INDIRECT(P$5)))</f>
        <v>0</v>
      </c>
      <c r="Q397" s="593">
        <f ca="1">$E397*(-SUMIF(INDIRECT(Q$3),'Struktur Vorjahr'!$D397,INDIRECT(Q$4))+SUMIF(INDIRECT(Q$3),'Struktur Vorjahr'!$D397,INDIRECT(Q$5)))</f>
        <v>0</v>
      </c>
      <c r="R397" s="593">
        <f ca="1">$E397*(-SUMIF(INDIRECT(R$3),'Struktur Vorjahr'!$D397,INDIRECT(R$4))+SUMIF(INDIRECT(R$3),'Struktur Vorjahr'!$D397,INDIRECT(R$5)))</f>
        <v>0</v>
      </c>
      <c r="S397" s="593">
        <f ca="1">$E397*(-SUMIF(INDIRECT(S$3),'Struktur Vorjahr'!$D397,INDIRECT(S$4))+SUMIF(INDIRECT(S$3),'Struktur Vorjahr'!$D397,INDIRECT(S$5)))</f>
        <v>0</v>
      </c>
      <c r="T397" s="593">
        <f ca="1">$E397*(-SUMIF(INDIRECT(T$3),'Struktur Vorjahr'!$D397,INDIRECT(T$4))+SUMIF(INDIRECT(T$3),'Struktur Vorjahr'!$D397,INDIRECT(T$5)))</f>
        <v>0</v>
      </c>
      <c r="U397" s="593">
        <f ca="1">$E397*(-SUMIF(INDIRECT(U$3),'Struktur Vorjahr'!$D397,INDIRECT(U$4))+SUMIF(INDIRECT(U$3),'Struktur Vorjahr'!$D397,INDIRECT(U$5)))</f>
        <v>0</v>
      </c>
      <c r="V397" s="593">
        <f ca="1">$E397*(-SUMIF(INDIRECT(V$3),'Struktur Vorjahr'!$D397,INDIRECT(V$4))+SUMIF(INDIRECT(V$3),'Struktur Vorjahr'!$D397,INDIRECT(V$5)))</f>
        <v>0</v>
      </c>
      <c r="W397" s="593">
        <f ca="1">$E397*(-SUMIF(INDIRECT(W$3),'Struktur Vorjahr'!$D397,INDIRECT(W$4))+SUMIF(INDIRECT(W$3),'Struktur Vorjahr'!$D397,INDIRECT(W$5)))</f>
        <v>0</v>
      </c>
      <c r="X397" s="593">
        <f ca="1">$E397*(-SUMIF(INDIRECT(X$3),'Struktur Vorjahr'!$D397,INDIRECT(X$4))+SUMIF(INDIRECT(X$3),'Struktur Vorjahr'!$D397,INDIRECT(X$5)))</f>
        <v>0</v>
      </c>
      <c r="Y397" s="593">
        <f ca="1">$E397*(-SUMIF(INDIRECT(Y$3),'Struktur Vorjahr'!$D397,INDIRECT(Y$4))+SUMIF(INDIRECT(Y$3),'Struktur Vorjahr'!$D397,INDIRECT(Y$5)))</f>
        <v>0</v>
      </c>
      <c r="Z397" s="593">
        <f ca="1">$E397*(-SUMIF(INDIRECT(Z$3),'Struktur Vorjahr'!$D397,INDIRECT(Z$4))+SUMIF(INDIRECT(Z$3),'Struktur Vorjahr'!$D397,INDIRECT(Z$5)))</f>
        <v>0</v>
      </c>
      <c r="AA397" s="593">
        <f ca="1">$E397*(-SUMIF(INDIRECT(AA$3),'Struktur Vorjahr'!$D397,INDIRECT(AA$4))+SUMIF(INDIRECT(AA$3),'Struktur Vorjahr'!$D397,INDIRECT(AA$5)))</f>
        <v>0</v>
      </c>
      <c r="AB397" s="593">
        <f ca="1">$E397*(-SUMIF(INDIRECT(AB$3),'Struktur Vorjahr'!$D397,INDIRECT(AB$4))+SUMIF(INDIRECT(AB$3),'Struktur Vorjahr'!$D397,INDIRECT(AB$5)))</f>
        <v>0</v>
      </c>
      <c r="AC397" s="593">
        <f ca="1">$E397*(-SUMIF(INDIRECT(AC$3),'Struktur Vorjahr'!$D397,INDIRECT(AC$4))+SUMIF(INDIRECT(AC$3),'Struktur Vorjahr'!$D397,INDIRECT(AC$5)))</f>
        <v>0</v>
      </c>
      <c r="AD397" s="593">
        <f ca="1">$E397*(-SUMIF(INDIRECT(AD$3),'Struktur Vorjahr'!$D397,INDIRECT(AD$4))+SUMIF(INDIRECT(AD$3),'Struktur Vorjahr'!$D397,INDIRECT(AD$5)))</f>
        <v>0</v>
      </c>
      <c r="AE397" s="593">
        <f t="shared" ca="1" si="197"/>
        <v>0</v>
      </c>
      <c r="AF397" s="593">
        <f t="shared" ca="1" si="198"/>
        <v>0</v>
      </c>
      <c r="AG397" s="593">
        <f t="shared" ca="1" si="198"/>
        <v>0</v>
      </c>
      <c r="AH397" s="593">
        <f t="shared" ca="1" si="198"/>
        <v>0</v>
      </c>
      <c r="AI397" s="593">
        <f t="shared" ca="1" si="198"/>
        <v>0</v>
      </c>
      <c r="AJ397" s="593">
        <f t="shared" ca="1" si="198"/>
        <v>0</v>
      </c>
      <c r="AK397" s="593">
        <f t="shared" ca="1" si="198"/>
        <v>0</v>
      </c>
      <c r="AL397" s="593">
        <f t="shared" ca="1" si="198"/>
        <v>0</v>
      </c>
      <c r="AM397" s="593">
        <f t="shared" ca="1" si="198"/>
        <v>0</v>
      </c>
      <c r="AN397" s="593">
        <f t="shared" ca="1" si="198"/>
        <v>0</v>
      </c>
      <c r="AO397" s="593">
        <f t="shared" ca="1" si="198"/>
        <v>0</v>
      </c>
      <c r="AP397" s="593">
        <f t="shared" ca="1" si="198"/>
        <v>0</v>
      </c>
    </row>
    <row r="398" spans="1:42" outlineLevel="1" x14ac:dyDescent="0.2">
      <c r="A398" s="621"/>
      <c r="B398" s="621" t="s">
        <v>309</v>
      </c>
      <c r="C398" s="597">
        <f ca="1">SUM(G398:R398)</f>
        <v>-27249.369999999988</v>
      </c>
      <c r="D398" s="597"/>
      <c r="E398" s="620">
        <f t="shared" si="186"/>
        <v>1</v>
      </c>
      <c r="F398" s="622"/>
      <c r="G398" s="597">
        <f ca="1">G391+G392+G393</f>
        <v>-8861.7400000000034</v>
      </c>
      <c r="H398" s="597">
        <f t="shared" ref="H398:Q398" ca="1" si="199">H391+H392+H393</f>
        <v>-8377.9399999999987</v>
      </c>
      <c r="I398" s="597">
        <f t="shared" ca="1" si="199"/>
        <v>-17086.88</v>
      </c>
      <c r="J398" s="597">
        <f t="shared" ca="1" si="199"/>
        <v>-9011.5000000000036</v>
      </c>
      <c r="K398" s="597">
        <f t="shared" ca="1" si="199"/>
        <v>-19753.519999999997</v>
      </c>
      <c r="L398" s="597">
        <f t="shared" ca="1" si="199"/>
        <v>-8182.0899999999983</v>
      </c>
      <c r="M398" s="597">
        <f t="shared" ca="1" si="199"/>
        <v>29343.910000000007</v>
      </c>
      <c r="N398" s="597">
        <f t="shared" ca="1" si="199"/>
        <v>1741.370000000001</v>
      </c>
      <c r="O398" s="597">
        <f t="shared" ca="1" si="199"/>
        <v>-6832.6699999999983</v>
      </c>
      <c r="P398" s="597">
        <f t="shared" ca="1" si="199"/>
        <v>19771.690000000002</v>
      </c>
      <c r="Q398" s="597">
        <f t="shared" ca="1" si="199"/>
        <v>0</v>
      </c>
      <c r="R398" s="597">
        <f ca="1">R391+R392+R393</f>
        <v>0</v>
      </c>
      <c r="S398" s="597">
        <f ca="1">S391+S392+S393</f>
        <v>-8861.7400000000034</v>
      </c>
      <c r="T398" s="597">
        <f t="shared" ref="T398:AC398" ca="1" si="200">T391+T392+T393</f>
        <v>-17239.680000000008</v>
      </c>
      <c r="U398" s="597">
        <f t="shared" ca="1" si="200"/>
        <v>-34326.560000000012</v>
      </c>
      <c r="V398" s="597">
        <f t="shared" ca="1" si="200"/>
        <v>-43338.060000000005</v>
      </c>
      <c r="W398" s="597">
        <f t="shared" ca="1" si="200"/>
        <v>-63091.58</v>
      </c>
      <c r="X398" s="597">
        <f t="shared" ca="1" si="200"/>
        <v>-71273.67</v>
      </c>
      <c r="Y398" s="597">
        <f t="shared" ca="1" si="200"/>
        <v>-41929.759999999995</v>
      </c>
      <c r="Z398" s="597">
        <f t="shared" ca="1" si="200"/>
        <v>-40188.389999999992</v>
      </c>
      <c r="AA398" s="597">
        <f t="shared" ca="1" si="200"/>
        <v>-47021.060000000005</v>
      </c>
      <c r="AB398" s="597">
        <f t="shared" ca="1" si="200"/>
        <v>-27249.37000000001</v>
      </c>
      <c r="AC398" s="597">
        <f t="shared" ca="1" si="200"/>
        <v>0</v>
      </c>
      <c r="AD398" s="597">
        <f ca="1">AD391+AD392+AD393</f>
        <v>0</v>
      </c>
      <c r="AE398" s="597">
        <f ca="1">AE391+AE392+AE393</f>
        <v>-8861.7400000000034</v>
      </c>
      <c r="AF398" s="597">
        <f t="shared" ref="AF398:AO398" ca="1" si="201">AF391+AF392+AF393</f>
        <v>-17239.680000000008</v>
      </c>
      <c r="AG398" s="597">
        <f t="shared" ca="1" si="201"/>
        <v>-34326.560000000012</v>
      </c>
      <c r="AH398" s="597">
        <f t="shared" ca="1" si="201"/>
        <v>-43338.060000000005</v>
      </c>
      <c r="AI398" s="597">
        <f t="shared" ca="1" si="201"/>
        <v>-63091.580000000016</v>
      </c>
      <c r="AJ398" s="597">
        <f t="shared" ca="1" si="201"/>
        <v>-71273.67</v>
      </c>
      <c r="AK398" s="597">
        <f t="shared" ca="1" si="201"/>
        <v>-41929.759999999995</v>
      </c>
      <c r="AL398" s="597">
        <f t="shared" ca="1" si="201"/>
        <v>-40188.389999999992</v>
      </c>
      <c r="AM398" s="597">
        <f t="shared" ca="1" si="201"/>
        <v>-47021.060000000005</v>
      </c>
      <c r="AN398" s="597">
        <f t="shared" ca="1" si="201"/>
        <v>-27249.369999999952</v>
      </c>
      <c r="AO398" s="597">
        <f t="shared" ca="1" si="201"/>
        <v>-27249.369999999952</v>
      </c>
      <c r="AP398" s="597">
        <f ca="1">AP391+AP392+AP393</f>
        <v>-27249.369999999952</v>
      </c>
    </row>
    <row r="399" spans="1:42" s="589" customFormat="1" outlineLevel="1" x14ac:dyDescent="0.2">
      <c r="A399" s="629">
        <v>38</v>
      </c>
      <c r="B399" s="623" t="s">
        <v>275</v>
      </c>
      <c r="C399" s="587">
        <f ca="1">SUM(G399:R399)</f>
        <v>6595.7200000000012</v>
      </c>
      <c r="D399" s="587"/>
      <c r="E399" s="624">
        <f t="shared" si="186"/>
        <v>1</v>
      </c>
      <c r="F399" s="585"/>
      <c r="G399" s="587">
        <f ca="1">SUM(G400:G415)+G392</f>
        <v>0</v>
      </c>
      <c r="H399" s="587">
        <f t="shared" ref="H399:R399" ca="1" si="202">SUM(H400:H415)+H392</f>
        <v>168.04999999999998</v>
      </c>
      <c r="I399" s="587">
        <f t="shared" ca="1" si="202"/>
        <v>0</v>
      </c>
      <c r="J399" s="587">
        <f t="shared" ca="1" si="202"/>
        <v>5321.7400000000007</v>
      </c>
      <c r="K399" s="587">
        <f t="shared" ca="1" si="202"/>
        <v>415.96999999999997</v>
      </c>
      <c r="L399" s="587">
        <f t="shared" ca="1" si="202"/>
        <v>326.96000000000009</v>
      </c>
      <c r="M399" s="587">
        <f t="shared" ca="1" si="202"/>
        <v>362.99999999999994</v>
      </c>
      <c r="N399" s="587">
        <f t="shared" ca="1" si="202"/>
        <v>0</v>
      </c>
      <c r="O399" s="587">
        <f t="shared" ca="1" si="202"/>
        <v>0</v>
      </c>
      <c r="P399" s="587">
        <f t="shared" ca="1" si="202"/>
        <v>0</v>
      </c>
      <c r="Q399" s="587">
        <f t="shared" ca="1" si="202"/>
        <v>0</v>
      </c>
      <c r="R399" s="587">
        <f t="shared" ca="1" si="202"/>
        <v>0</v>
      </c>
      <c r="S399" s="587">
        <f ca="1">SUM(S400:S415)+S392</f>
        <v>4647.5</v>
      </c>
      <c r="T399" s="587">
        <f t="shared" ref="T399:AD399" ca="1" si="203">SUM(T400:T415)+T392</f>
        <v>4815.5499999999993</v>
      </c>
      <c r="U399" s="587">
        <f t="shared" ca="1" si="203"/>
        <v>4815.55</v>
      </c>
      <c r="V399" s="587">
        <f t="shared" ca="1" si="203"/>
        <v>10137.289999999999</v>
      </c>
      <c r="W399" s="587">
        <f t="shared" ca="1" si="203"/>
        <v>10553.260000000002</v>
      </c>
      <c r="X399" s="587">
        <f t="shared" ca="1" si="203"/>
        <v>10880.22</v>
      </c>
      <c r="Y399" s="587">
        <f t="shared" ca="1" si="203"/>
        <v>11243.22</v>
      </c>
      <c r="Z399" s="587">
        <f t="shared" ca="1" si="203"/>
        <v>11243.220000000001</v>
      </c>
      <c r="AA399" s="587">
        <f t="shared" ca="1" si="203"/>
        <v>11243.22</v>
      </c>
      <c r="AB399" s="587">
        <f t="shared" ca="1" si="203"/>
        <v>11243.22</v>
      </c>
      <c r="AC399" s="587">
        <f t="shared" ca="1" si="203"/>
        <v>0</v>
      </c>
      <c r="AD399" s="587">
        <f t="shared" ca="1" si="203"/>
        <v>0</v>
      </c>
      <c r="AE399" s="587">
        <f ca="1">SUM(AE400:AE415)+AE392</f>
        <v>0</v>
      </c>
      <c r="AF399" s="587">
        <f t="shared" ref="AF399:AP399" ca="1" si="204">SUM(AF400:AF415)+AF392</f>
        <v>168.05</v>
      </c>
      <c r="AG399" s="587">
        <f t="shared" ca="1" si="204"/>
        <v>168.04999999999995</v>
      </c>
      <c r="AH399" s="587">
        <f t="shared" ca="1" si="204"/>
        <v>5489.79</v>
      </c>
      <c r="AI399" s="587">
        <f t="shared" ca="1" si="204"/>
        <v>5905.76</v>
      </c>
      <c r="AJ399" s="587">
        <f t="shared" ca="1" si="204"/>
        <v>6232.7200000000012</v>
      </c>
      <c r="AK399" s="587">
        <f t="shared" ca="1" si="204"/>
        <v>6595.7200000000012</v>
      </c>
      <c r="AL399" s="587">
        <f t="shared" ca="1" si="204"/>
        <v>6595.72</v>
      </c>
      <c r="AM399" s="587">
        <f t="shared" ca="1" si="204"/>
        <v>6595.7200000000012</v>
      </c>
      <c r="AN399" s="587">
        <f t="shared" ca="1" si="204"/>
        <v>6595.7199999999993</v>
      </c>
      <c r="AO399" s="587">
        <f t="shared" ca="1" si="204"/>
        <v>6595.7199999999993</v>
      </c>
      <c r="AP399" s="587">
        <f t="shared" ca="1" si="204"/>
        <v>6595.7199999999993</v>
      </c>
    </row>
    <row r="400" spans="1:42" s="594" customFormat="1" ht="11.25" outlineLevel="1" x14ac:dyDescent="0.2">
      <c r="A400" s="644"/>
      <c r="B400" s="591" t="str">
        <f>IF(D400&lt;&gt;"",
IF(ISERROR(MATCH(D400,'Ist Vorjahr Monat 01'!A:A,0))=FALSE,INDEX('Ist Vorjahr Monat 01'!B:B,MATCH(D400,'Ist Vorjahr Monat 01'!A:A,0)),
IF(ISERROR(MATCH(D400,'Ist Vorjahr Monat 02'!A:A,0))=FALSE,INDEX('Ist Vorjahr Monat 02'!B:B,MATCH(D400,'Ist Vorjahr Monat 02'!A:A,0)),
IF(ISERROR(MATCH(D400,'Ist Vorjahr Monat 03'!A:A,0))=FALSE,INDEX('Ist Vorjahr Monat 03'!B:B,MATCH(D400,'Ist Vorjahr Monat 03'!A:A,0)),
IF(ISERROR(MATCH(D400,'Ist Vorjahr Monat 04'!A:A,0))=FALSE,INDEX('Ist Vorjahr Monat 04'!B:B,MATCH(D400,'Ist Vorjahr Monat 04'!A:A,0)),
IF(ISERROR(MATCH(D400,'Ist Vorjahr Monat 05'!A:A,0))=FALSE,INDEX('Ist Vorjahr Monat 05'!B:B,MATCH(D400,'Ist Vorjahr Monat 05'!A:A,0)),
IF(ISERROR(MATCH(D400,'Ist Vorjahr Monat 06'!A:A,0))=FALSE,INDEX('Ist Vorjahr Monat 06'!B:B,MATCH(D400,'Ist Vorjahr Monat 06'!A:A,0)),
IF(ISERROR(MATCH(D400,'Ist Vorjahr Monat 07'!A:A,0))=FALSE,INDEX('Ist Vorjahr Monat 07'!B:B,MATCH(D400,'Ist Vorjahr Monat 07'!A:A,0)),
IF(ISERROR(MATCH(D400,'Ist Vorjahr Monat 08'!A:A,0))=FALSE,INDEX('Ist Vorjahr Monat 08'!B:B,MATCH(D400,'Ist Vorjahr Monat 08'!A:A,0)),
IF(ISERROR(MATCH(D400,'Ist Vorjahr Monat 09'!A:A,0))=FALSE,INDEX('Ist Vorjahr Monat 09'!B:B,MATCH(D400,'Ist Vorjahr Monat 09'!A:A,0)),
IF(ISERROR(MATCH(D400,'Ist Vorjahr Monat 10'!A:A,0))=FALSE,INDEX('Ist Vorjahr Monat 10'!B:B,MATCH(D400,'Ist Vorjahr Monat 10'!A:A,0)),
IF(ISERROR(MATCH(D400,'Ist Vorjahr Monat 11'!A:A,0))=FALSE,INDEX('Ist Vorjahr Monat 11'!B:B,MATCH(D400,'Ist Vorjahr Monat 11'!A:A,0)),
IF(ISERROR(MATCH(D400,'Ist Vorjahr Monat 12'!A:A,0))=FALSE,INDEX('Ist Vorjahr Monat 12'!B:B,MATCH(D400,'Ist Vorjahr Monat 12'!A:A,0)),
"{Konto unbekannt}"
)))))))))))),"")</f>
        <v>EDV-Software Lizenzen</v>
      </c>
      <c r="C400" s="1062"/>
      <c r="D400" s="1067">
        <v>27</v>
      </c>
      <c r="E400" s="625">
        <f t="shared" si="186"/>
        <v>1</v>
      </c>
      <c r="F400" s="626"/>
      <c r="G400" s="593">
        <f ca="1">$E400*(-SUMIF(INDIRECT(G$3),'Struktur Vorjahr'!$D400,INDIRECT(G$4))+SUMIF(INDIRECT(G$3),'Struktur Vorjahr'!$D400,INDIRECT(G$5)))</f>
        <v>-104.28</v>
      </c>
      <c r="H400" s="593">
        <f ca="1">$E400*(-SUMIF(INDIRECT(H$3),'Struktur Vorjahr'!$D400,INDIRECT(H$4))+SUMIF(INDIRECT(H$3),'Struktur Vorjahr'!$D400,INDIRECT(H$5)))</f>
        <v>-104.3</v>
      </c>
      <c r="I400" s="593">
        <f ca="1">$E400*(-SUMIF(INDIRECT(I$3),'Struktur Vorjahr'!$D400,INDIRECT(I$4))+SUMIF(INDIRECT(I$3),'Struktur Vorjahr'!$D400,INDIRECT(I$5)))</f>
        <v>-104.28</v>
      </c>
      <c r="J400" s="593">
        <f ca="1">$E400*(-SUMIF(INDIRECT(J$3),'Struktur Vorjahr'!$D400,INDIRECT(J$4))+SUMIF(INDIRECT(J$3),'Struktur Vorjahr'!$D400,INDIRECT(J$5)))</f>
        <v>-104.3</v>
      </c>
      <c r="K400" s="593">
        <f ca="1">$E400*(-SUMIF(INDIRECT(K$3),'Struktur Vorjahr'!$D400,INDIRECT(K$4))+SUMIF(INDIRECT(K$3),'Struktur Vorjahr'!$D400,INDIRECT(K$5)))</f>
        <v>-104.29</v>
      </c>
      <c r="L400" s="593">
        <f ca="1">$E400*(-SUMIF(INDIRECT(L$3),'Struktur Vorjahr'!$D400,INDIRECT(L$4))+SUMIF(INDIRECT(L$3),'Struktur Vorjahr'!$D400,INDIRECT(L$5)))</f>
        <v>-104.29</v>
      </c>
      <c r="M400" s="593">
        <f ca="1">$E400*(-SUMIF(INDIRECT(M$3),'Struktur Vorjahr'!$D400,INDIRECT(M$4))+SUMIF(INDIRECT(M$3),'Struktur Vorjahr'!$D400,INDIRECT(M$5)))</f>
        <v>-104.29</v>
      </c>
      <c r="N400" s="593">
        <f ca="1">$E400*(-SUMIF(INDIRECT(N$3),'Struktur Vorjahr'!$D400,INDIRECT(N$4))+SUMIF(INDIRECT(N$3),'Struktur Vorjahr'!$D400,INDIRECT(N$5)))</f>
        <v>-104.3</v>
      </c>
      <c r="O400" s="593">
        <f ca="1">$E400*(-SUMIF(INDIRECT(O$3),'Struktur Vorjahr'!$D400,INDIRECT(O$4))+SUMIF(INDIRECT(O$3),'Struktur Vorjahr'!$D400,INDIRECT(O$5)))</f>
        <v>-52.16</v>
      </c>
      <c r="P400" s="593">
        <f ca="1">$E400*(-SUMIF(INDIRECT(P$3),'Struktur Vorjahr'!$D400,INDIRECT(P$4))+SUMIF(INDIRECT(P$3),'Struktur Vorjahr'!$D400,INDIRECT(P$5)))</f>
        <v>-52.17</v>
      </c>
      <c r="Q400" s="593">
        <f ca="1">$E400*(-SUMIF(INDIRECT(Q$3),'Struktur Vorjahr'!$D400,INDIRECT(Q$4))+SUMIF(INDIRECT(Q$3),'Struktur Vorjahr'!$D400,INDIRECT(Q$5)))</f>
        <v>0</v>
      </c>
      <c r="R400" s="593">
        <f ca="1">$E400*(-SUMIF(INDIRECT(R$3),'Struktur Vorjahr'!$D400,INDIRECT(R$4))+SUMIF(INDIRECT(R$3),'Struktur Vorjahr'!$D400,INDIRECT(R$5)))</f>
        <v>0</v>
      </c>
      <c r="S400" s="593">
        <f ca="1">$E400*(-SUMIF(INDIRECT(S$3),'Struktur Vorjahr'!$D400,INDIRECT(S$4))+SUMIF(INDIRECT(S$3),'Struktur Vorjahr'!$D400,INDIRECT(S$5)))</f>
        <v>1407.22</v>
      </c>
      <c r="T400" s="593">
        <f ca="1">$E400*(-SUMIF(INDIRECT(T$3),'Struktur Vorjahr'!$D400,INDIRECT(T$4))+SUMIF(INDIRECT(T$3),'Struktur Vorjahr'!$D400,INDIRECT(T$5)))</f>
        <v>1302.92</v>
      </c>
      <c r="U400" s="593">
        <f ca="1">$E400*(-SUMIF(INDIRECT(U$3),'Struktur Vorjahr'!$D400,INDIRECT(U$4))+SUMIF(INDIRECT(U$3),'Struktur Vorjahr'!$D400,INDIRECT(U$5)))</f>
        <v>1198.6400000000001</v>
      </c>
      <c r="V400" s="593">
        <f ca="1">$E400*(-SUMIF(INDIRECT(V$3),'Struktur Vorjahr'!$D400,INDIRECT(V$4))+SUMIF(INDIRECT(V$3),'Struktur Vorjahr'!$D400,INDIRECT(V$5)))</f>
        <v>1094.3399999999999</v>
      </c>
      <c r="W400" s="593">
        <f ca="1">$E400*(-SUMIF(INDIRECT(W$3),'Struktur Vorjahr'!$D400,INDIRECT(W$4))+SUMIF(INDIRECT(W$3),'Struktur Vorjahr'!$D400,INDIRECT(W$5)))</f>
        <v>990.05</v>
      </c>
      <c r="X400" s="593">
        <f ca="1">$E400*(-SUMIF(INDIRECT(X$3),'Struktur Vorjahr'!$D400,INDIRECT(X$4))+SUMIF(INDIRECT(X$3),'Struktur Vorjahr'!$D400,INDIRECT(X$5)))</f>
        <v>885.76</v>
      </c>
      <c r="Y400" s="593">
        <f ca="1">$E400*(-SUMIF(INDIRECT(Y$3),'Struktur Vorjahr'!$D400,INDIRECT(Y$4))+SUMIF(INDIRECT(Y$3),'Struktur Vorjahr'!$D400,INDIRECT(Y$5)))</f>
        <v>781.47</v>
      </c>
      <c r="Z400" s="593">
        <f ca="1">$E400*(-SUMIF(INDIRECT(Z$3),'Struktur Vorjahr'!$D400,INDIRECT(Z$4))+SUMIF(INDIRECT(Z$3),'Struktur Vorjahr'!$D400,INDIRECT(Z$5)))</f>
        <v>677.17</v>
      </c>
      <c r="AA400" s="593">
        <f ca="1">$E400*(-SUMIF(INDIRECT(AA$3),'Struktur Vorjahr'!$D400,INDIRECT(AA$4))+SUMIF(INDIRECT(AA$3),'Struktur Vorjahr'!$D400,INDIRECT(AA$5)))</f>
        <v>625.01</v>
      </c>
      <c r="AB400" s="593">
        <f ca="1">$E400*(-SUMIF(INDIRECT(AB$3),'Struktur Vorjahr'!$D400,INDIRECT(AB$4))+SUMIF(INDIRECT(AB$3),'Struktur Vorjahr'!$D400,INDIRECT(AB$5)))</f>
        <v>572.84</v>
      </c>
      <c r="AC400" s="593">
        <f ca="1">$E400*(-SUMIF(INDIRECT(AC$3),'Struktur Vorjahr'!$D400,INDIRECT(AC$4))+SUMIF(INDIRECT(AC$3),'Struktur Vorjahr'!$D400,INDIRECT(AC$5)))</f>
        <v>0</v>
      </c>
      <c r="AD400" s="593">
        <f ca="1">$E400*(-SUMIF(INDIRECT(AD$3),'Struktur Vorjahr'!$D400,INDIRECT(AD$4))+SUMIF(INDIRECT(AD$3),'Struktur Vorjahr'!$D400,INDIRECT(AD$5)))</f>
        <v>0</v>
      </c>
      <c r="AE400" s="593">
        <f t="shared" ref="AE400:AE415" ca="1" si="205">G400</f>
        <v>-104.28</v>
      </c>
      <c r="AF400" s="593">
        <f t="shared" ref="AF400:AP415" ca="1" si="206">H400+AE400</f>
        <v>-208.57999999999998</v>
      </c>
      <c r="AG400" s="593">
        <f t="shared" ca="1" si="206"/>
        <v>-312.86</v>
      </c>
      <c r="AH400" s="593">
        <f t="shared" ca="1" si="206"/>
        <v>-417.16</v>
      </c>
      <c r="AI400" s="593">
        <f t="shared" ca="1" si="206"/>
        <v>-521.45000000000005</v>
      </c>
      <c r="AJ400" s="593">
        <f t="shared" ca="1" si="206"/>
        <v>-625.74</v>
      </c>
      <c r="AK400" s="593">
        <f t="shared" ca="1" si="206"/>
        <v>-730.03</v>
      </c>
      <c r="AL400" s="593">
        <f t="shared" ca="1" si="206"/>
        <v>-834.32999999999993</v>
      </c>
      <c r="AM400" s="593">
        <f t="shared" ca="1" si="206"/>
        <v>-886.4899999999999</v>
      </c>
      <c r="AN400" s="593">
        <f t="shared" ca="1" si="206"/>
        <v>-938.65999999999985</v>
      </c>
      <c r="AO400" s="593">
        <f t="shared" ca="1" si="206"/>
        <v>-938.65999999999985</v>
      </c>
      <c r="AP400" s="593">
        <f t="shared" ca="1" si="206"/>
        <v>-938.65999999999985</v>
      </c>
    </row>
    <row r="401" spans="1:42" s="594" customFormat="1" ht="11.25" outlineLevel="1" x14ac:dyDescent="0.2">
      <c r="A401" s="644"/>
      <c r="B401" s="591" t="str">
        <f>IF(D401&lt;&gt;"",
IF(ISERROR(MATCH(D401,'Ist Vorjahr Monat 01'!A:A,0))=FALSE,INDEX('Ist Vorjahr Monat 01'!B:B,MATCH(D401,'Ist Vorjahr Monat 01'!A:A,0)),
IF(ISERROR(MATCH(D401,'Ist Vorjahr Monat 02'!A:A,0))=FALSE,INDEX('Ist Vorjahr Monat 02'!B:B,MATCH(D401,'Ist Vorjahr Monat 02'!A:A,0)),
IF(ISERROR(MATCH(D401,'Ist Vorjahr Monat 03'!A:A,0))=FALSE,INDEX('Ist Vorjahr Monat 03'!B:B,MATCH(D401,'Ist Vorjahr Monat 03'!A:A,0)),
IF(ISERROR(MATCH(D401,'Ist Vorjahr Monat 04'!A:A,0))=FALSE,INDEX('Ist Vorjahr Monat 04'!B:B,MATCH(D401,'Ist Vorjahr Monat 04'!A:A,0)),
IF(ISERROR(MATCH(D401,'Ist Vorjahr Monat 05'!A:A,0))=FALSE,INDEX('Ist Vorjahr Monat 05'!B:B,MATCH(D401,'Ist Vorjahr Monat 05'!A:A,0)),
IF(ISERROR(MATCH(D401,'Ist Vorjahr Monat 06'!A:A,0))=FALSE,INDEX('Ist Vorjahr Monat 06'!B:B,MATCH(D401,'Ist Vorjahr Monat 06'!A:A,0)),
IF(ISERROR(MATCH(D401,'Ist Vorjahr Monat 07'!A:A,0))=FALSE,INDEX('Ist Vorjahr Monat 07'!B:B,MATCH(D401,'Ist Vorjahr Monat 07'!A:A,0)),
IF(ISERROR(MATCH(D401,'Ist Vorjahr Monat 08'!A:A,0))=FALSE,INDEX('Ist Vorjahr Monat 08'!B:B,MATCH(D401,'Ist Vorjahr Monat 08'!A:A,0)),
IF(ISERROR(MATCH(D401,'Ist Vorjahr Monat 09'!A:A,0))=FALSE,INDEX('Ist Vorjahr Monat 09'!B:B,MATCH(D401,'Ist Vorjahr Monat 09'!A:A,0)),
IF(ISERROR(MATCH(D401,'Ist Vorjahr Monat 10'!A:A,0))=FALSE,INDEX('Ist Vorjahr Monat 10'!B:B,MATCH(D401,'Ist Vorjahr Monat 10'!A:A,0)),
IF(ISERROR(MATCH(D401,'Ist Vorjahr Monat 11'!A:A,0))=FALSE,INDEX('Ist Vorjahr Monat 11'!B:B,MATCH(D401,'Ist Vorjahr Monat 11'!A:A,0)),
IF(ISERROR(MATCH(D401,'Ist Vorjahr Monat 12'!A:A,0))=FALSE,INDEX('Ist Vorjahr Monat 12'!B:B,MATCH(D401,'Ist Vorjahr Monat 12'!A:A,0)),
"{Konto unbekannt}"
)))))))))))),"")</f>
        <v>Geschäftsausstattung</v>
      </c>
      <c r="C401" s="1062"/>
      <c r="D401" s="1067">
        <v>410</v>
      </c>
      <c r="E401" s="625">
        <f t="shared" si="186"/>
        <v>1</v>
      </c>
      <c r="F401" s="626"/>
      <c r="G401" s="593">
        <f ca="1">$E401*(-SUMIF(INDIRECT(G$3),'Struktur Vorjahr'!$D401,INDIRECT(G$4))+SUMIF(INDIRECT(G$3),'Struktur Vorjahr'!$D401,INDIRECT(G$5)))</f>
        <v>0</v>
      </c>
      <c r="H401" s="593">
        <f ca="1">$E401*(-SUMIF(INDIRECT(H$3),'Struktur Vorjahr'!$D401,INDIRECT(H$4))+SUMIF(INDIRECT(H$3),'Struktur Vorjahr'!$D401,INDIRECT(H$5)))</f>
        <v>0</v>
      </c>
      <c r="I401" s="593">
        <f ca="1">$E401*(-SUMIF(INDIRECT(I$3),'Struktur Vorjahr'!$D401,INDIRECT(I$4))+SUMIF(INDIRECT(I$3),'Struktur Vorjahr'!$D401,INDIRECT(I$5)))</f>
        <v>0</v>
      </c>
      <c r="J401" s="593">
        <f ca="1">$E401*(-SUMIF(INDIRECT(J$3),'Struktur Vorjahr'!$D401,INDIRECT(J$4))+SUMIF(INDIRECT(J$3),'Struktur Vorjahr'!$D401,INDIRECT(J$5)))</f>
        <v>0</v>
      </c>
      <c r="K401" s="593">
        <f ca="1">$E401*(-SUMIF(INDIRECT(K$3),'Struktur Vorjahr'!$D401,INDIRECT(K$4))+SUMIF(INDIRECT(K$3),'Struktur Vorjahr'!$D401,INDIRECT(K$5)))</f>
        <v>0</v>
      </c>
      <c r="L401" s="593">
        <f ca="1">$E401*(-SUMIF(INDIRECT(L$3),'Struktur Vorjahr'!$D401,INDIRECT(L$4))+SUMIF(INDIRECT(L$3),'Struktur Vorjahr'!$D401,INDIRECT(L$5)))</f>
        <v>0</v>
      </c>
      <c r="M401" s="593">
        <f ca="1">$E401*(-SUMIF(INDIRECT(M$3),'Struktur Vorjahr'!$D401,INDIRECT(M$4))+SUMIF(INDIRECT(M$3),'Struktur Vorjahr'!$D401,INDIRECT(M$5)))</f>
        <v>0</v>
      </c>
      <c r="N401" s="593">
        <f ca="1">$E401*(-SUMIF(INDIRECT(N$3),'Struktur Vorjahr'!$D401,INDIRECT(N$4))+SUMIF(INDIRECT(N$3),'Struktur Vorjahr'!$D401,INDIRECT(N$5)))</f>
        <v>0</v>
      </c>
      <c r="O401" s="593">
        <f ca="1">$E401*(-SUMIF(INDIRECT(O$3),'Struktur Vorjahr'!$D401,INDIRECT(O$4))+SUMIF(INDIRECT(O$3),'Struktur Vorjahr'!$D401,INDIRECT(O$5)))</f>
        <v>0</v>
      </c>
      <c r="P401" s="593">
        <f ca="1">$E401*(-SUMIF(INDIRECT(P$3),'Struktur Vorjahr'!$D401,INDIRECT(P$4))+SUMIF(INDIRECT(P$3),'Struktur Vorjahr'!$D401,INDIRECT(P$5)))</f>
        <v>0</v>
      </c>
      <c r="Q401" s="593">
        <f ca="1">$E401*(-SUMIF(INDIRECT(Q$3),'Struktur Vorjahr'!$D401,INDIRECT(Q$4))+SUMIF(INDIRECT(Q$3),'Struktur Vorjahr'!$D401,INDIRECT(Q$5)))</f>
        <v>0</v>
      </c>
      <c r="R401" s="593">
        <f ca="1">$E401*(-SUMIF(INDIRECT(R$3),'Struktur Vorjahr'!$D401,INDIRECT(R$4))+SUMIF(INDIRECT(R$3),'Struktur Vorjahr'!$D401,INDIRECT(R$5)))</f>
        <v>0</v>
      </c>
      <c r="S401" s="593">
        <f ca="1">$E401*(-SUMIF(INDIRECT(S$3),'Struktur Vorjahr'!$D401,INDIRECT(S$4))+SUMIF(INDIRECT(S$3),'Struktur Vorjahr'!$D401,INDIRECT(S$5)))</f>
        <v>1</v>
      </c>
      <c r="T401" s="593">
        <f ca="1">$E401*(-SUMIF(INDIRECT(T$3),'Struktur Vorjahr'!$D401,INDIRECT(T$4))+SUMIF(INDIRECT(T$3),'Struktur Vorjahr'!$D401,INDIRECT(T$5)))</f>
        <v>1</v>
      </c>
      <c r="U401" s="593">
        <f ca="1">$E401*(-SUMIF(INDIRECT(U$3),'Struktur Vorjahr'!$D401,INDIRECT(U$4))+SUMIF(INDIRECT(U$3),'Struktur Vorjahr'!$D401,INDIRECT(U$5)))</f>
        <v>1</v>
      </c>
      <c r="V401" s="593">
        <f ca="1">$E401*(-SUMIF(INDIRECT(V$3),'Struktur Vorjahr'!$D401,INDIRECT(V$4))+SUMIF(INDIRECT(V$3),'Struktur Vorjahr'!$D401,INDIRECT(V$5)))</f>
        <v>1</v>
      </c>
      <c r="W401" s="593">
        <f ca="1">$E401*(-SUMIF(INDIRECT(W$3),'Struktur Vorjahr'!$D401,INDIRECT(W$4))+SUMIF(INDIRECT(W$3),'Struktur Vorjahr'!$D401,INDIRECT(W$5)))</f>
        <v>1</v>
      </c>
      <c r="X401" s="593">
        <f ca="1">$E401*(-SUMIF(INDIRECT(X$3),'Struktur Vorjahr'!$D401,INDIRECT(X$4))+SUMIF(INDIRECT(X$3),'Struktur Vorjahr'!$D401,INDIRECT(X$5)))</f>
        <v>1</v>
      </c>
      <c r="Y401" s="593">
        <f ca="1">$E401*(-SUMIF(INDIRECT(Y$3),'Struktur Vorjahr'!$D401,INDIRECT(Y$4))+SUMIF(INDIRECT(Y$3),'Struktur Vorjahr'!$D401,INDIRECT(Y$5)))</f>
        <v>1</v>
      </c>
      <c r="Z401" s="593">
        <f ca="1">$E401*(-SUMIF(INDIRECT(Z$3),'Struktur Vorjahr'!$D401,INDIRECT(Z$4))+SUMIF(INDIRECT(Z$3),'Struktur Vorjahr'!$D401,INDIRECT(Z$5)))</f>
        <v>1</v>
      </c>
      <c r="AA401" s="593">
        <f ca="1">$E401*(-SUMIF(INDIRECT(AA$3),'Struktur Vorjahr'!$D401,INDIRECT(AA$4))+SUMIF(INDIRECT(AA$3),'Struktur Vorjahr'!$D401,INDIRECT(AA$5)))</f>
        <v>1</v>
      </c>
      <c r="AB401" s="593">
        <f ca="1">$E401*(-SUMIF(INDIRECT(AB$3),'Struktur Vorjahr'!$D401,INDIRECT(AB$4))+SUMIF(INDIRECT(AB$3),'Struktur Vorjahr'!$D401,INDIRECT(AB$5)))</f>
        <v>1</v>
      </c>
      <c r="AC401" s="593">
        <f ca="1">$E401*(-SUMIF(INDIRECT(AC$3),'Struktur Vorjahr'!$D401,INDIRECT(AC$4))+SUMIF(INDIRECT(AC$3),'Struktur Vorjahr'!$D401,INDIRECT(AC$5)))</f>
        <v>0</v>
      </c>
      <c r="AD401" s="593">
        <f ca="1">$E401*(-SUMIF(INDIRECT(AD$3),'Struktur Vorjahr'!$D401,INDIRECT(AD$4))+SUMIF(INDIRECT(AD$3),'Struktur Vorjahr'!$D401,INDIRECT(AD$5)))</f>
        <v>0</v>
      </c>
      <c r="AE401" s="593">
        <f t="shared" ca="1" si="205"/>
        <v>0</v>
      </c>
      <c r="AF401" s="593">
        <f t="shared" ca="1" si="206"/>
        <v>0</v>
      </c>
      <c r="AG401" s="593">
        <f t="shared" ca="1" si="206"/>
        <v>0</v>
      </c>
      <c r="AH401" s="593">
        <f t="shared" ca="1" si="206"/>
        <v>0</v>
      </c>
      <c r="AI401" s="593">
        <f t="shared" ca="1" si="206"/>
        <v>0</v>
      </c>
      <c r="AJ401" s="593">
        <f t="shared" ca="1" si="206"/>
        <v>0</v>
      </c>
      <c r="AK401" s="593">
        <f t="shared" ca="1" si="206"/>
        <v>0</v>
      </c>
      <c r="AL401" s="593">
        <f t="shared" ca="1" si="206"/>
        <v>0</v>
      </c>
      <c r="AM401" s="593">
        <f t="shared" ca="1" si="206"/>
        <v>0</v>
      </c>
      <c r="AN401" s="593">
        <f t="shared" ca="1" si="206"/>
        <v>0</v>
      </c>
      <c r="AO401" s="593">
        <f t="shared" ca="1" si="206"/>
        <v>0</v>
      </c>
      <c r="AP401" s="593">
        <f t="shared" ca="1" si="206"/>
        <v>0</v>
      </c>
    </row>
    <row r="402" spans="1:42" s="594" customFormat="1" ht="11.25" outlineLevel="1" x14ac:dyDescent="0.2">
      <c r="A402" s="644"/>
      <c r="B402" s="591" t="str">
        <f>IF(D402&lt;&gt;"",
IF(ISERROR(MATCH(D402,'Ist Vorjahr Monat 01'!A:A,0))=FALSE,INDEX('Ist Vorjahr Monat 01'!B:B,MATCH(D402,'Ist Vorjahr Monat 01'!A:A,0)),
IF(ISERROR(MATCH(D402,'Ist Vorjahr Monat 02'!A:A,0))=FALSE,INDEX('Ist Vorjahr Monat 02'!B:B,MATCH(D402,'Ist Vorjahr Monat 02'!A:A,0)),
IF(ISERROR(MATCH(D402,'Ist Vorjahr Monat 03'!A:A,0))=FALSE,INDEX('Ist Vorjahr Monat 03'!B:B,MATCH(D402,'Ist Vorjahr Monat 03'!A:A,0)),
IF(ISERROR(MATCH(D402,'Ist Vorjahr Monat 04'!A:A,0))=FALSE,INDEX('Ist Vorjahr Monat 04'!B:B,MATCH(D402,'Ist Vorjahr Monat 04'!A:A,0)),
IF(ISERROR(MATCH(D402,'Ist Vorjahr Monat 05'!A:A,0))=FALSE,INDEX('Ist Vorjahr Monat 05'!B:B,MATCH(D402,'Ist Vorjahr Monat 05'!A:A,0)),
IF(ISERROR(MATCH(D402,'Ist Vorjahr Monat 06'!A:A,0))=FALSE,INDEX('Ist Vorjahr Monat 06'!B:B,MATCH(D402,'Ist Vorjahr Monat 06'!A:A,0)),
IF(ISERROR(MATCH(D402,'Ist Vorjahr Monat 07'!A:A,0))=FALSE,INDEX('Ist Vorjahr Monat 07'!B:B,MATCH(D402,'Ist Vorjahr Monat 07'!A:A,0)),
IF(ISERROR(MATCH(D402,'Ist Vorjahr Monat 08'!A:A,0))=FALSE,INDEX('Ist Vorjahr Monat 08'!B:B,MATCH(D402,'Ist Vorjahr Monat 08'!A:A,0)),
IF(ISERROR(MATCH(D402,'Ist Vorjahr Monat 09'!A:A,0))=FALSE,INDEX('Ist Vorjahr Monat 09'!B:B,MATCH(D402,'Ist Vorjahr Monat 09'!A:A,0)),
IF(ISERROR(MATCH(D402,'Ist Vorjahr Monat 10'!A:A,0))=FALSE,INDEX('Ist Vorjahr Monat 10'!B:B,MATCH(D402,'Ist Vorjahr Monat 10'!A:A,0)),
IF(ISERROR(MATCH(D402,'Ist Vorjahr Monat 11'!A:A,0))=FALSE,INDEX('Ist Vorjahr Monat 11'!B:B,MATCH(D402,'Ist Vorjahr Monat 11'!A:A,0)),
IF(ISERROR(MATCH(D402,'Ist Vorjahr Monat 12'!A:A,0))=FALSE,INDEX('Ist Vorjahr Monat 12'!B:B,MATCH(D402,'Ist Vorjahr Monat 12'!A:A,0)),
"{Konto unbekannt}"
)))))))))))),"")</f>
        <v>Büroeinrichtung</v>
      </c>
      <c r="C402" s="1062"/>
      <c r="D402" s="1067">
        <v>420</v>
      </c>
      <c r="E402" s="625">
        <f t="shared" si="186"/>
        <v>1</v>
      </c>
      <c r="F402" s="626"/>
      <c r="G402" s="593">
        <f ca="1">$E402*(-SUMIF(INDIRECT(G$3),'Struktur Vorjahr'!$D402,INDIRECT(G$4))+SUMIF(INDIRECT(G$3),'Struktur Vorjahr'!$D402,INDIRECT(G$5)))</f>
        <v>0</v>
      </c>
      <c r="H402" s="593">
        <f ca="1">$E402*(-SUMIF(INDIRECT(H$3),'Struktur Vorjahr'!$D402,INDIRECT(H$4))+SUMIF(INDIRECT(H$3),'Struktur Vorjahr'!$D402,INDIRECT(H$5)))</f>
        <v>0</v>
      </c>
      <c r="I402" s="593">
        <f ca="1">$E402*(-SUMIF(INDIRECT(I$3),'Struktur Vorjahr'!$D402,INDIRECT(I$4))+SUMIF(INDIRECT(I$3),'Struktur Vorjahr'!$D402,INDIRECT(I$5)))</f>
        <v>0</v>
      </c>
      <c r="J402" s="593">
        <f ca="1">$E402*(-SUMIF(INDIRECT(J$3),'Struktur Vorjahr'!$D402,INDIRECT(J$4))+SUMIF(INDIRECT(J$3),'Struktur Vorjahr'!$D402,INDIRECT(J$5)))</f>
        <v>0</v>
      </c>
      <c r="K402" s="593">
        <f ca="1">$E402*(-SUMIF(INDIRECT(K$3),'Struktur Vorjahr'!$D402,INDIRECT(K$4))+SUMIF(INDIRECT(K$3),'Struktur Vorjahr'!$D402,INDIRECT(K$5)))</f>
        <v>0</v>
      </c>
      <c r="L402" s="593">
        <f ca="1">$E402*(-SUMIF(INDIRECT(L$3),'Struktur Vorjahr'!$D402,INDIRECT(L$4))+SUMIF(INDIRECT(L$3),'Struktur Vorjahr'!$D402,INDIRECT(L$5)))</f>
        <v>0</v>
      </c>
      <c r="M402" s="593">
        <f ca="1">$E402*(-SUMIF(INDIRECT(M$3),'Struktur Vorjahr'!$D402,INDIRECT(M$4))+SUMIF(INDIRECT(M$3),'Struktur Vorjahr'!$D402,INDIRECT(M$5)))</f>
        <v>0</v>
      </c>
      <c r="N402" s="593">
        <f ca="1">$E402*(-SUMIF(INDIRECT(N$3),'Struktur Vorjahr'!$D402,INDIRECT(N$4))+SUMIF(INDIRECT(N$3),'Struktur Vorjahr'!$D402,INDIRECT(N$5)))</f>
        <v>0</v>
      </c>
      <c r="O402" s="593">
        <f ca="1">$E402*(-SUMIF(INDIRECT(O$3),'Struktur Vorjahr'!$D402,INDIRECT(O$4))+SUMIF(INDIRECT(O$3),'Struktur Vorjahr'!$D402,INDIRECT(O$5)))</f>
        <v>0</v>
      </c>
      <c r="P402" s="593">
        <f ca="1">$E402*(-SUMIF(INDIRECT(P$3),'Struktur Vorjahr'!$D402,INDIRECT(P$4))+SUMIF(INDIRECT(P$3),'Struktur Vorjahr'!$D402,INDIRECT(P$5)))</f>
        <v>0</v>
      </c>
      <c r="Q402" s="593">
        <f ca="1">$E402*(-SUMIF(INDIRECT(Q$3),'Struktur Vorjahr'!$D402,INDIRECT(Q$4))+SUMIF(INDIRECT(Q$3),'Struktur Vorjahr'!$D402,INDIRECT(Q$5)))</f>
        <v>0</v>
      </c>
      <c r="R402" s="593">
        <f ca="1">$E402*(-SUMIF(INDIRECT(R$3),'Struktur Vorjahr'!$D402,INDIRECT(R$4))+SUMIF(INDIRECT(R$3),'Struktur Vorjahr'!$D402,INDIRECT(R$5)))</f>
        <v>0</v>
      </c>
      <c r="S402" s="593">
        <f ca="1">$E402*(-SUMIF(INDIRECT(S$3),'Struktur Vorjahr'!$D402,INDIRECT(S$4))+SUMIF(INDIRECT(S$3),'Struktur Vorjahr'!$D402,INDIRECT(S$5)))</f>
        <v>3.5</v>
      </c>
      <c r="T402" s="593">
        <f ca="1">$E402*(-SUMIF(INDIRECT(T$3),'Struktur Vorjahr'!$D402,INDIRECT(T$4))+SUMIF(INDIRECT(T$3),'Struktur Vorjahr'!$D402,INDIRECT(T$5)))</f>
        <v>3.5</v>
      </c>
      <c r="U402" s="593">
        <f ca="1">$E402*(-SUMIF(INDIRECT(U$3),'Struktur Vorjahr'!$D402,INDIRECT(U$4))+SUMIF(INDIRECT(U$3),'Struktur Vorjahr'!$D402,INDIRECT(U$5)))</f>
        <v>3.5</v>
      </c>
      <c r="V402" s="593">
        <f ca="1">$E402*(-SUMIF(INDIRECT(V$3),'Struktur Vorjahr'!$D402,INDIRECT(V$4))+SUMIF(INDIRECT(V$3),'Struktur Vorjahr'!$D402,INDIRECT(V$5)))</f>
        <v>3.5</v>
      </c>
      <c r="W402" s="593">
        <f ca="1">$E402*(-SUMIF(INDIRECT(W$3),'Struktur Vorjahr'!$D402,INDIRECT(W$4))+SUMIF(INDIRECT(W$3),'Struktur Vorjahr'!$D402,INDIRECT(W$5)))</f>
        <v>3.5</v>
      </c>
      <c r="X402" s="593">
        <f ca="1">$E402*(-SUMIF(INDIRECT(X$3),'Struktur Vorjahr'!$D402,INDIRECT(X$4))+SUMIF(INDIRECT(X$3),'Struktur Vorjahr'!$D402,INDIRECT(X$5)))</f>
        <v>3.5</v>
      </c>
      <c r="Y402" s="593">
        <f ca="1">$E402*(-SUMIF(INDIRECT(Y$3),'Struktur Vorjahr'!$D402,INDIRECT(Y$4))+SUMIF(INDIRECT(Y$3),'Struktur Vorjahr'!$D402,INDIRECT(Y$5)))</f>
        <v>3.5</v>
      </c>
      <c r="Z402" s="593">
        <f ca="1">$E402*(-SUMIF(INDIRECT(Z$3),'Struktur Vorjahr'!$D402,INDIRECT(Z$4))+SUMIF(INDIRECT(Z$3),'Struktur Vorjahr'!$D402,INDIRECT(Z$5)))</f>
        <v>3.5</v>
      </c>
      <c r="AA402" s="593">
        <f ca="1">$E402*(-SUMIF(INDIRECT(AA$3),'Struktur Vorjahr'!$D402,INDIRECT(AA$4))+SUMIF(INDIRECT(AA$3),'Struktur Vorjahr'!$D402,INDIRECT(AA$5)))</f>
        <v>3.5</v>
      </c>
      <c r="AB402" s="593">
        <f ca="1">$E402*(-SUMIF(INDIRECT(AB$3),'Struktur Vorjahr'!$D402,INDIRECT(AB$4))+SUMIF(INDIRECT(AB$3),'Struktur Vorjahr'!$D402,INDIRECT(AB$5)))</f>
        <v>3.5</v>
      </c>
      <c r="AC402" s="593">
        <f ca="1">$E402*(-SUMIF(INDIRECT(AC$3),'Struktur Vorjahr'!$D402,INDIRECT(AC$4))+SUMIF(INDIRECT(AC$3),'Struktur Vorjahr'!$D402,INDIRECT(AC$5)))</f>
        <v>0</v>
      </c>
      <c r="AD402" s="593">
        <f ca="1">$E402*(-SUMIF(INDIRECT(AD$3),'Struktur Vorjahr'!$D402,INDIRECT(AD$4))+SUMIF(INDIRECT(AD$3),'Struktur Vorjahr'!$D402,INDIRECT(AD$5)))</f>
        <v>0</v>
      </c>
      <c r="AE402" s="593">
        <f t="shared" ca="1" si="205"/>
        <v>0</v>
      </c>
      <c r="AF402" s="593">
        <f t="shared" ca="1" si="206"/>
        <v>0</v>
      </c>
      <c r="AG402" s="593">
        <f t="shared" ca="1" si="206"/>
        <v>0</v>
      </c>
      <c r="AH402" s="593">
        <f t="shared" ca="1" si="206"/>
        <v>0</v>
      </c>
      <c r="AI402" s="593">
        <f t="shared" ca="1" si="206"/>
        <v>0</v>
      </c>
      <c r="AJ402" s="593">
        <f t="shared" ca="1" si="206"/>
        <v>0</v>
      </c>
      <c r="AK402" s="593">
        <f t="shared" ca="1" si="206"/>
        <v>0</v>
      </c>
      <c r="AL402" s="593">
        <f t="shared" ca="1" si="206"/>
        <v>0</v>
      </c>
      <c r="AM402" s="593">
        <f t="shared" ca="1" si="206"/>
        <v>0</v>
      </c>
      <c r="AN402" s="593">
        <f t="shared" ca="1" si="206"/>
        <v>0</v>
      </c>
      <c r="AO402" s="593">
        <f t="shared" ca="1" si="206"/>
        <v>0</v>
      </c>
      <c r="AP402" s="593">
        <f t="shared" ca="1" si="206"/>
        <v>0</v>
      </c>
    </row>
    <row r="403" spans="1:42" s="594" customFormat="1" ht="11.25" outlineLevel="1" x14ac:dyDescent="0.2">
      <c r="A403" s="644"/>
      <c r="B403" s="591" t="str">
        <f>IF(D403&lt;&gt;"",
IF(ISERROR(MATCH(D403,'Ist Vorjahr Monat 01'!A:A,0))=FALSE,INDEX('Ist Vorjahr Monat 01'!B:B,MATCH(D403,'Ist Vorjahr Monat 01'!A:A,0)),
IF(ISERROR(MATCH(D403,'Ist Vorjahr Monat 02'!A:A,0))=FALSE,INDEX('Ist Vorjahr Monat 02'!B:B,MATCH(D403,'Ist Vorjahr Monat 02'!A:A,0)),
IF(ISERROR(MATCH(D403,'Ist Vorjahr Monat 03'!A:A,0))=FALSE,INDEX('Ist Vorjahr Monat 03'!B:B,MATCH(D403,'Ist Vorjahr Monat 03'!A:A,0)),
IF(ISERROR(MATCH(D403,'Ist Vorjahr Monat 04'!A:A,0))=FALSE,INDEX('Ist Vorjahr Monat 04'!B:B,MATCH(D403,'Ist Vorjahr Monat 04'!A:A,0)),
IF(ISERROR(MATCH(D403,'Ist Vorjahr Monat 05'!A:A,0))=FALSE,INDEX('Ist Vorjahr Monat 05'!B:B,MATCH(D403,'Ist Vorjahr Monat 05'!A:A,0)),
IF(ISERROR(MATCH(D403,'Ist Vorjahr Monat 06'!A:A,0))=FALSE,INDEX('Ist Vorjahr Monat 06'!B:B,MATCH(D403,'Ist Vorjahr Monat 06'!A:A,0)),
IF(ISERROR(MATCH(D403,'Ist Vorjahr Monat 07'!A:A,0))=FALSE,INDEX('Ist Vorjahr Monat 07'!B:B,MATCH(D403,'Ist Vorjahr Monat 07'!A:A,0)),
IF(ISERROR(MATCH(D403,'Ist Vorjahr Monat 08'!A:A,0))=FALSE,INDEX('Ist Vorjahr Monat 08'!B:B,MATCH(D403,'Ist Vorjahr Monat 08'!A:A,0)),
IF(ISERROR(MATCH(D403,'Ist Vorjahr Monat 09'!A:A,0))=FALSE,INDEX('Ist Vorjahr Monat 09'!B:B,MATCH(D403,'Ist Vorjahr Monat 09'!A:A,0)),
IF(ISERROR(MATCH(D403,'Ist Vorjahr Monat 10'!A:A,0))=FALSE,INDEX('Ist Vorjahr Monat 10'!B:B,MATCH(D403,'Ist Vorjahr Monat 10'!A:A,0)),
IF(ISERROR(MATCH(D403,'Ist Vorjahr Monat 11'!A:A,0))=FALSE,INDEX('Ist Vorjahr Monat 11'!B:B,MATCH(D403,'Ist Vorjahr Monat 11'!A:A,0)),
IF(ISERROR(MATCH(D403,'Ist Vorjahr Monat 12'!A:A,0))=FALSE,INDEX('Ist Vorjahr Monat 12'!B:B,MATCH(D403,'Ist Vorjahr Monat 12'!A:A,0)),
"{Konto unbekannt}"
)))))))))))),"")</f>
        <v>Hard- u. Software</v>
      </c>
      <c r="C403" s="1062"/>
      <c r="D403" s="1067">
        <v>425</v>
      </c>
      <c r="E403" s="625">
        <f t="shared" si="186"/>
        <v>1</v>
      </c>
      <c r="F403" s="626"/>
      <c r="G403" s="593">
        <f ca="1">$E403*(-SUMIF(INDIRECT(G$3),'Struktur Vorjahr'!$D403,INDIRECT(G$4))+SUMIF(INDIRECT(G$3),'Struktur Vorjahr'!$D403,INDIRECT(G$5)))</f>
        <v>-53.12</v>
      </c>
      <c r="H403" s="593">
        <f ca="1">$E403*(-SUMIF(INDIRECT(H$3),'Struktur Vorjahr'!$D403,INDIRECT(H$4))+SUMIF(INDIRECT(H$3),'Struktur Vorjahr'!$D403,INDIRECT(H$5)))</f>
        <v>-53.13</v>
      </c>
      <c r="I403" s="593">
        <f ca="1">$E403*(-SUMIF(INDIRECT(I$3),'Struktur Vorjahr'!$D403,INDIRECT(I$4))+SUMIF(INDIRECT(I$3),'Struktur Vorjahr'!$D403,INDIRECT(I$5)))</f>
        <v>-53.12</v>
      </c>
      <c r="J403" s="593">
        <f ca="1">$E403*(-SUMIF(INDIRECT(J$3),'Struktur Vorjahr'!$D403,INDIRECT(J$4))+SUMIF(INDIRECT(J$3),'Struktur Vorjahr'!$D403,INDIRECT(J$5)))</f>
        <v>3609.78</v>
      </c>
      <c r="K403" s="593">
        <f ca="1">$E403*(-SUMIF(INDIRECT(K$3),'Struktur Vorjahr'!$D403,INDIRECT(K$4))+SUMIF(INDIRECT(K$3),'Struktur Vorjahr'!$D403,INDIRECT(K$5)))</f>
        <v>-136.62</v>
      </c>
      <c r="L403" s="593">
        <f ca="1">$E403*(-SUMIF(INDIRECT(L$3),'Struktur Vorjahr'!$D403,INDIRECT(L$4))+SUMIF(INDIRECT(L$3),'Struktur Vorjahr'!$D403,INDIRECT(L$5)))</f>
        <v>-136.6</v>
      </c>
      <c r="M403" s="593">
        <f ca="1">$E403*(-SUMIF(INDIRECT(M$3),'Struktur Vorjahr'!$D403,INDIRECT(M$4))+SUMIF(INDIRECT(M$3),'Struktur Vorjahr'!$D403,INDIRECT(M$5)))</f>
        <v>-136.62</v>
      </c>
      <c r="N403" s="593">
        <f ca="1">$E403*(-SUMIF(INDIRECT(N$3),'Struktur Vorjahr'!$D403,INDIRECT(N$4))+SUMIF(INDIRECT(N$3),'Struktur Vorjahr'!$D403,INDIRECT(N$5)))</f>
        <v>-136.61000000000001</v>
      </c>
      <c r="O403" s="593">
        <f ca="1">$E403*(-SUMIF(INDIRECT(O$3),'Struktur Vorjahr'!$D403,INDIRECT(O$4))+SUMIF(INDIRECT(O$3),'Struktur Vorjahr'!$D403,INDIRECT(O$5)))</f>
        <v>-136.61000000000001</v>
      </c>
      <c r="P403" s="593">
        <f ca="1">$E403*(-SUMIF(INDIRECT(P$3),'Struktur Vorjahr'!$D403,INDIRECT(P$4))+SUMIF(INDIRECT(P$3),'Struktur Vorjahr'!$D403,INDIRECT(P$5)))</f>
        <v>-136.61000000000001</v>
      </c>
      <c r="Q403" s="593">
        <f ca="1">$E403*(-SUMIF(INDIRECT(Q$3),'Struktur Vorjahr'!$D403,INDIRECT(Q$4))+SUMIF(INDIRECT(Q$3),'Struktur Vorjahr'!$D403,INDIRECT(Q$5)))</f>
        <v>0</v>
      </c>
      <c r="R403" s="593">
        <f ca="1">$E403*(-SUMIF(INDIRECT(R$3),'Struktur Vorjahr'!$D403,INDIRECT(R$4))+SUMIF(INDIRECT(R$3),'Struktur Vorjahr'!$D403,INDIRECT(R$5)))</f>
        <v>0</v>
      </c>
      <c r="S403" s="593">
        <f ca="1">$E403*(-SUMIF(INDIRECT(S$3),'Struktur Vorjahr'!$D403,INDIRECT(S$4))+SUMIF(INDIRECT(S$3),'Struktur Vorjahr'!$D403,INDIRECT(S$5)))</f>
        <v>990.38</v>
      </c>
      <c r="T403" s="593">
        <f ca="1">$E403*(-SUMIF(INDIRECT(T$3),'Struktur Vorjahr'!$D403,INDIRECT(T$4))+SUMIF(INDIRECT(T$3),'Struktur Vorjahr'!$D403,INDIRECT(T$5)))</f>
        <v>937.25</v>
      </c>
      <c r="U403" s="593">
        <f ca="1">$E403*(-SUMIF(INDIRECT(U$3),'Struktur Vorjahr'!$D403,INDIRECT(U$4))+SUMIF(INDIRECT(U$3),'Struktur Vorjahr'!$D403,INDIRECT(U$5)))</f>
        <v>884.13</v>
      </c>
      <c r="V403" s="593">
        <f ca="1">$E403*(-SUMIF(INDIRECT(V$3),'Struktur Vorjahr'!$D403,INDIRECT(V$4))+SUMIF(INDIRECT(V$3),'Struktur Vorjahr'!$D403,INDIRECT(V$5)))</f>
        <v>4493.91</v>
      </c>
      <c r="W403" s="593">
        <f ca="1">$E403*(-SUMIF(INDIRECT(W$3),'Struktur Vorjahr'!$D403,INDIRECT(W$4))+SUMIF(INDIRECT(W$3),'Struktur Vorjahr'!$D403,INDIRECT(W$5)))</f>
        <v>4357.29</v>
      </c>
      <c r="X403" s="593">
        <f ca="1">$E403*(-SUMIF(INDIRECT(X$3),'Struktur Vorjahr'!$D403,INDIRECT(X$4))+SUMIF(INDIRECT(X$3),'Struktur Vorjahr'!$D403,INDIRECT(X$5)))</f>
        <v>4220.6899999999996</v>
      </c>
      <c r="Y403" s="593">
        <f ca="1">$E403*(-SUMIF(INDIRECT(Y$3),'Struktur Vorjahr'!$D403,INDIRECT(Y$4))+SUMIF(INDIRECT(Y$3),'Struktur Vorjahr'!$D403,INDIRECT(Y$5)))</f>
        <v>4084.07</v>
      </c>
      <c r="Z403" s="593">
        <f ca="1">$E403*(-SUMIF(INDIRECT(Z$3),'Struktur Vorjahr'!$D403,INDIRECT(Z$4))+SUMIF(INDIRECT(Z$3),'Struktur Vorjahr'!$D403,INDIRECT(Z$5)))</f>
        <v>3947.46</v>
      </c>
      <c r="AA403" s="593">
        <f ca="1">$E403*(-SUMIF(INDIRECT(AA$3),'Struktur Vorjahr'!$D403,INDIRECT(AA$4))+SUMIF(INDIRECT(AA$3),'Struktur Vorjahr'!$D403,INDIRECT(AA$5)))</f>
        <v>3810.85</v>
      </c>
      <c r="AB403" s="593">
        <f ca="1">$E403*(-SUMIF(INDIRECT(AB$3),'Struktur Vorjahr'!$D403,INDIRECT(AB$4))+SUMIF(INDIRECT(AB$3),'Struktur Vorjahr'!$D403,INDIRECT(AB$5)))</f>
        <v>3674.24</v>
      </c>
      <c r="AC403" s="593">
        <f ca="1">$E403*(-SUMIF(INDIRECT(AC$3),'Struktur Vorjahr'!$D403,INDIRECT(AC$4))+SUMIF(INDIRECT(AC$3),'Struktur Vorjahr'!$D403,INDIRECT(AC$5)))</f>
        <v>0</v>
      </c>
      <c r="AD403" s="593">
        <f ca="1">$E403*(-SUMIF(INDIRECT(AD$3),'Struktur Vorjahr'!$D403,INDIRECT(AD$4))+SUMIF(INDIRECT(AD$3),'Struktur Vorjahr'!$D403,INDIRECT(AD$5)))</f>
        <v>0</v>
      </c>
      <c r="AE403" s="593">
        <f t="shared" ca="1" si="205"/>
        <v>-53.12</v>
      </c>
      <c r="AF403" s="593">
        <f t="shared" ca="1" si="206"/>
        <v>-106.25</v>
      </c>
      <c r="AG403" s="593">
        <f t="shared" ca="1" si="206"/>
        <v>-159.37</v>
      </c>
      <c r="AH403" s="593">
        <f t="shared" ca="1" si="206"/>
        <v>3450.4100000000003</v>
      </c>
      <c r="AI403" s="593">
        <f t="shared" ca="1" si="206"/>
        <v>3313.7900000000004</v>
      </c>
      <c r="AJ403" s="593">
        <f t="shared" ca="1" si="206"/>
        <v>3177.1900000000005</v>
      </c>
      <c r="AK403" s="593">
        <f t="shared" ca="1" si="206"/>
        <v>3040.5700000000006</v>
      </c>
      <c r="AL403" s="593">
        <f t="shared" ca="1" si="206"/>
        <v>2903.9600000000005</v>
      </c>
      <c r="AM403" s="593">
        <f t="shared" ca="1" si="206"/>
        <v>2767.3500000000004</v>
      </c>
      <c r="AN403" s="593">
        <f t="shared" ca="1" si="206"/>
        <v>2630.7400000000002</v>
      </c>
      <c r="AO403" s="593">
        <f t="shared" ca="1" si="206"/>
        <v>2630.7400000000002</v>
      </c>
      <c r="AP403" s="593">
        <f t="shared" ca="1" si="206"/>
        <v>2630.7400000000002</v>
      </c>
    </row>
    <row r="404" spans="1:42" s="594" customFormat="1" ht="11.25" outlineLevel="1" x14ac:dyDescent="0.2">
      <c r="A404" s="644"/>
      <c r="B404" s="591" t="str">
        <f>IF(D404&lt;&gt;"",
IF(ISERROR(MATCH(D404,'Ist Vorjahr Monat 01'!A:A,0))=FALSE,INDEX('Ist Vorjahr Monat 01'!B:B,MATCH(D404,'Ist Vorjahr Monat 01'!A:A,0)),
IF(ISERROR(MATCH(D404,'Ist Vorjahr Monat 02'!A:A,0))=FALSE,INDEX('Ist Vorjahr Monat 02'!B:B,MATCH(D404,'Ist Vorjahr Monat 02'!A:A,0)),
IF(ISERROR(MATCH(D404,'Ist Vorjahr Monat 03'!A:A,0))=FALSE,INDEX('Ist Vorjahr Monat 03'!B:B,MATCH(D404,'Ist Vorjahr Monat 03'!A:A,0)),
IF(ISERROR(MATCH(D404,'Ist Vorjahr Monat 04'!A:A,0))=FALSE,INDEX('Ist Vorjahr Monat 04'!B:B,MATCH(D404,'Ist Vorjahr Monat 04'!A:A,0)),
IF(ISERROR(MATCH(D404,'Ist Vorjahr Monat 05'!A:A,0))=FALSE,INDEX('Ist Vorjahr Monat 05'!B:B,MATCH(D404,'Ist Vorjahr Monat 05'!A:A,0)),
IF(ISERROR(MATCH(D404,'Ist Vorjahr Monat 06'!A:A,0))=FALSE,INDEX('Ist Vorjahr Monat 06'!B:B,MATCH(D404,'Ist Vorjahr Monat 06'!A:A,0)),
IF(ISERROR(MATCH(D404,'Ist Vorjahr Monat 07'!A:A,0))=FALSE,INDEX('Ist Vorjahr Monat 07'!B:B,MATCH(D404,'Ist Vorjahr Monat 07'!A:A,0)),
IF(ISERROR(MATCH(D404,'Ist Vorjahr Monat 08'!A:A,0))=FALSE,INDEX('Ist Vorjahr Monat 08'!B:B,MATCH(D404,'Ist Vorjahr Monat 08'!A:A,0)),
IF(ISERROR(MATCH(D404,'Ist Vorjahr Monat 09'!A:A,0))=FALSE,INDEX('Ist Vorjahr Monat 09'!B:B,MATCH(D404,'Ist Vorjahr Monat 09'!A:A,0)),
IF(ISERROR(MATCH(D404,'Ist Vorjahr Monat 10'!A:A,0))=FALSE,INDEX('Ist Vorjahr Monat 10'!B:B,MATCH(D404,'Ist Vorjahr Monat 10'!A:A,0)),
IF(ISERROR(MATCH(D404,'Ist Vorjahr Monat 11'!A:A,0))=FALSE,INDEX('Ist Vorjahr Monat 11'!B:B,MATCH(D404,'Ist Vorjahr Monat 11'!A:A,0)),
IF(ISERROR(MATCH(D404,'Ist Vorjahr Monat 12'!A:A,0))=FALSE,INDEX('Ist Vorjahr Monat 12'!B:B,MATCH(D404,'Ist Vorjahr Monat 12'!A:A,0)),
"{Konto unbekannt}"
)))))))))))),"")</f>
        <v>Geringwertige Wirtschaftsgüter</v>
      </c>
      <c r="C404" s="1062"/>
      <c r="D404" s="1067">
        <v>480</v>
      </c>
      <c r="E404" s="625">
        <f t="shared" si="186"/>
        <v>1</v>
      </c>
      <c r="F404" s="626"/>
      <c r="G404" s="593">
        <f ca="1">$E404*(-SUMIF(INDIRECT(G$3),'Struktur Vorjahr'!$D404,INDIRECT(G$4))+SUMIF(INDIRECT(G$3),'Struktur Vorjahr'!$D404,INDIRECT(G$5)))</f>
        <v>0</v>
      </c>
      <c r="H404" s="593">
        <f ca="1">$E404*(-SUMIF(INDIRECT(H$3),'Struktur Vorjahr'!$D404,INDIRECT(H$4))+SUMIF(INDIRECT(H$3),'Struktur Vorjahr'!$D404,INDIRECT(H$5)))</f>
        <v>168.05</v>
      </c>
      <c r="I404" s="593">
        <f ca="1">$E404*(-SUMIF(INDIRECT(I$3),'Struktur Vorjahr'!$D404,INDIRECT(I$4))+SUMIF(INDIRECT(I$3),'Struktur Vorjahr'!$D404,INDIRECT(I$5)))</f>
        <v>-168.05</v>
      </c>
      <c r="J404" s="593">
        <f ca="1">$E404*(-SUMIF(INDIRECT(J$3),'Struktur Vorjahr'!$D404,INDIRECT(J$4))+SUMIF(INDIRECT(J$3),'Struktur Vorjahr'!$D404,INDIRECT(J$5)))</f>
        <v>0</v>
      </c>
      <c r="K404" s="593">
        <f ca="1">$E404*(-SUMIF(INDIRECT(K$3),'Struktur Vorjahr'!$D404,INDIRECT(K$4))+SUMIF(INDIRECT(K$3),'Struktur Vorjahr'!$D404,INDIRECT(K$5)))</f>
        <v>0</v>
      </c>
      <c r="L404" s="593">
        <f ca="1">$E404*(-SUMIF(INDIRECT(L$3),'Struktur Vorjahr'!$D404,INDIRECT(L$4))+SUMIF(INDIRECT(L$3),'Struktur Vorjahr'!$D404,INDIRECT(L$5)))</f>
        <v>0</v>
      </c>
      <c r="M404" s="593">
        <f ca="1">$E404*(-SUMIF(INDIRECT(M$3),'Struktur Vorjahr'!$D404,INDIRECT(M$4))+SUMIF(INDIRECT(M$3),'Struktur Vorjahr'!$D404,INDIRECT(M$5)))</f>
        <v>0</v>
      </c>
      <c r="N404" s="593">
        <f ca="1">$E404*(-SUMIF(INDIRECT(N$3),'Struktur Vorjahr'!$D404,INDIRECT(N$4))+SUMIF(INDIRECT(N$3),'Struktur Vorjahr'!$D404,INDIRECT(N$5)))</f>
        <v>0</v>
      </c>
      <c r="O404" s="593">
        <f ca="1">$E404*(-SUMIF(INDIRECT(O$3),'Struktur Vorjahr'!$D404,INDIRECT(O$4))+SUMIF(INDIRECT(O$3),'Struktur Vorjahr'!$D404,INDIRECT(O$5)))</f>
        <v>0</v>
      </c>
      <c r="P404" s="593">
        <f ca="1">$E404*(-SUMIF(INDIRECT(P$3),'Struktur Vorjahr'!$D404,INDIRECT(P$4))+SUMIF(INDIRECT(P$3),'Struktur Vorjahr'!$D404,INDIRECT(P$5)))</f>
        <v>0</v>
      </c>
      <c r="Q404" s="593">
        <f ca="1">$E404*(-SUMIF(INDIRECT(Q$3),'Struktur Vorjahr'!$D404,INDIRECT(Q$4))+SUMIF(INDIRECT(Q$3),'Struktur Vorjahr'!$D404,INDIRECT(Q$5)))</f>
        <v>0</v>
      </c>
      <c r="R404" s="593">
        <f ca="1">$E404*(-SUMIF(INDIRECT(R$3),'Struktur Vorjahr'!$D404,INDIRECT(R$4))+SUMIF(INDIRECT(R$3),'Struktur Vorjahr'!$D404,INDIRECT(R$5)))</f>
        <v>0</v>
      </c>
      <c r="S404" s="593">
        <f ca="1">$E404*(-SUMIF(INDIRECT(S$3),'Struktur Vorjahr'!$D404,INDIRECT(S$4))+SUMIF(INDIRECT(S$3),'Struktur Vorjahr'!$D404,INDIRECT(S$5)))</f>
        <v>0</v>
      </c>
      <c r="T404" s="593">
        <f ca="1">$E404*(-SUMIF(INDIRECT(T$3),'Struktur Vorjahr'!$D404,INDIRECT(T$4))+SUMIF(INDIRECT(T$3),'Struktur Vorjahr'!$D404,INDIRECT(T$5)))</f>
        <v>168.05</v>
      </c>
      <c r="U404" s="593">
        <f ca="1">$E404*(-SUMIF(INDIRECT(U$3),'Struktur Vorjahr'!$D404,INDIRECT(U$4))+SUMIF(INDIRECT(U$3),'Struktur Vorjahr'!$D404,INDIRECT(U$5)))</f>
        <v>0</v>
      </c>
      <c r="V404" s="593">
        <f ca="1">$E404*(-SUMIF(INDIRECT(V$3),'Struktur Vorjahr'!$D404,INDIRECT(V$4))+SUMIF(INDIRECT(V$3),'Struktur Vorjahr'!$D404,INDIRECT(V$5)))</f>
        <v>0</v>
      </c>
      <c r="W404" s="593">
        <f ca="1">$E404*(-SUMIF(INDIRECT(W$3),'Struktur Vorjahr'!$D404,INDIRECT(W$4))+SUMIF(INDIRECT(W$3),'Struktur Vorjahr'!$D404,INDIRECT(W$5)))</f>
        <v>0</v>
      </c>
      <c r="X404" s="593">
        <f ca="1">$E404*(-SUMIF(INDIRECT(X$3),'Struktur Vorjahr'!$D404,INDIRECT(X$4))+SUMIF(INDIRECT(X$3),'Struktur Vorjahr'!$D404,INDIRECT(X$5)))</f>
        <v>0</v>
      </c>
      <c r="Y404" s="593">
        <f ca="1">$E404*(-SUMIF(INDIRECT(Y$3),'Struktur Vorjahr'!$D404,INDIRECT(Y$4))+SUMIF(INDIRECT(Y$3),'Struktur Vorjahr'!$D404,INDIRECT(Y$5)))</f>
        <v>0</v>
      </c>
      <c r="Z404" s="593">
        <f ca="1">$E404*(-SUMIF(INDIRECT(Z$3),'Struktur Vorjahr'!$D404,INDIRECT(Z$4))+SUMIF(INDIRECT(Z$3),'Struktur Vorjahr'!$D404,INDIRECT(Z$5)))</f>
        <v>0</v>
      </c>
      <c r="AA404" s="593">
        <f ca="1">$E404*(-SUMIF(INDIRECT(AA$3),'Struktur Vorjahr'!$D404,INDIRECT(AA$4))+SUMIF(INDIRECT(AA$3),'Struktur Vorjahr'!$D404,INDIRECT(AA$5)))</f>
        <v>0</v>
      </c>
      <c r="AB404" s="593">
        <f ca="1">$E404*(-SUMIF(INDIRECT(AB$3),'Struktur Vorjahr'!$D404,INDIRECT(AB$4))+SUMIF(INDIRECT(AB$3),'Struktur Vorjahr'!$D404,INDIRECT(AB$5)))</f>
        <v>0</v>
      </c>
      <c r="AC404" s="593">
        <f ca="1">$E404*(-SUMIF(INDIRECT(AC$3),'Struktur Vorjahr'!$D404,INDIRECT(AC$4))+SUMIF(INDIRECT(AC$3),'Struktur Vorjahr'!$D404,INDIRECT(AC$5)))</f>
        <v>0</v>
      </c>
      <c r="AD404" s="593">
        <f ca="1">$E404*(-SUMIF(INDIRECT(AD$3),'Struktur Vorjahr'!$D404,INDIRECT(AD$4))+SUMIF(INDIRECT(AD$3),'Struktur Vorjahr'!$D404,INDIRECT(AD$5)))</f>
        <v>0</v>
      </c>
      <c r="AE404" s="593">
        <f t="shared" ca="1" si="205"/>
        <v>0</v>
      </c>
      <c r="AF404" s="593">
        <f t="shared" ca="1" si="206"/>
        <v>168.05</v>
      </c>
      <c r="AG404" s="593">
        <f t="shared" ca="1" si="206"/>
        <v>0</v>
      </c>
      <c r="AH404" s="593">
        <f t="shared" ca="1" si="206"/>
        <v>0</v>
      </c>
      <c r="AI404" s="593">
        <f t="shared" ca="1" si="206"/>
        <v>0</v>
      </c>
      <c r="AJ404" s="593">
        <f t="shared" ca="1" si="206"/>
        <v>0</v>
      </c>
      <c r="AK404" s="593">
        <f t="shared" ca="1" si="206"/>
        <v>0</v>
      </c>
      <c r="AL404" s="593">
        <f t="shared" ca="1" si="206"/>
        <v>0</v>
      </c>
      <c r="AM404" s="593">
        <f t="shared" ca="1" si="206"/>
        <v>0</v>
      </c>
      <c r="AN404" s="593">
        <f t="shared" ca="1" si="206"/>
        <v>0</v>
      </c>
      <c r="AO404" s="593">
        <f t="shared" ca="1" si="206"/>
        <v>0</v>
      </c>
      <c r="AP404" s="593">
        <f t="shared" ca="1" si="206"/>
        <v>0</v>
      </c>
    </row>
    <row r="405" spans="1:42" s="594" customFormat="1" ht="11.25" x14ac:dyDescent="0.2">
      <c r="A405" s="644"/>
      <c r="B405" s="591" t="str">
        <f>IF(D405&lt;&gt;"",
IF(ISERROR(MATCH(D405,'Ist Vorjahr Monat 01'!A:A,0))=FALSE,INDEX('Ist Vorjahr Monat 01'!B:B,MATCH(D405,'Ist Vorjahr Monat 01'!A:A,0)),
IF(ISERROR(MATCH(D405,'Ist Vorjahr Monat 02'!A:A,0))=FALSE,INDEX('Ist Vorjahr Monat 02'!B:B,MATCH(D405,'Ist Vorjahr Monat 02'!A:A,0)),
IF(ISERROR(MATCH(D405,'Ist Vorjahr Monat 03'!A:A,0))=FALSE,INDEX('Ist Vorjahr Monat 03'!B:B,MATCH(D405,'Ist Vorjahr Monat 03'!A:A,0)),
IF(ISERROR(MATCH(D405,'Ist Vorjahr Monat 04'!A:A,0))=FALSE,INDEX('Ist Vorjahr Monat 04'!B:B,MATCH(D405,'Ist Vorjahr Monat 04'!A:A,0)),
IF(ISERROR(MATCH(D405,'Ist Vorjahr Monat 05'!A:A,0))=FALSE,INDEX('Ist Vorjahr Monat 05'!B:B,MATCH(D405,'Ist Vorjahr Monat 05'!A:A,0)),
IF(ISERROR(MATCH(D405,'Ist Vorjahr Monat 06'!A:A,0))=FALSE,INDEX('Ist Vorjahr Monat 06'!B:B,MATCH(D405,'Ist Vorjahr Monat 06'!A:A,0)),
IF(ISERROR(MATCH(D405,'Ist Vorjahr Monat 07'!A:A,0))=FALSE,INDEX('Ist Vorjahr Monat 07'!B:B,MATCH(D405,'Ist Vorjahr Monat 07'!A:A,0)),
IF(ISERROR(MATCH(D405,'Ist Vorjahr Monat 08'!A:A,0))=FALSE,INDEX('Ist Vorjahr Monat 08'!B:B,MATCH(D405,'Ist Vorjahr Monat 08'!A:A,0)),
IF(ISERROR(MATCH(D405,'Ist Vorjahr Monat 09'!A:A,0))=FALSE,INDEX('Ist Vorjahr Monat 09'!B:B,MATCH(D405,'Ist Vorjahr Monat 09'!A:A,0)),
IF(ISERROR(MATCH(D405,'Ist Vorjahr Monat 10'!A:A,0))=FALSE,INDEX('Ist Vorjahr Monat 10'!B:B,MATCH(D405,'Ist Vorjahr Monat 10'!A:A,0)),
IF(ISERROR(MATCH(D405,'Ist Vorjahr Monat 11'!A:A,0))=FALSE,INDEX('Ist Vorjahr Monat 11'!B:B,MATCH(D405,'Ist Vorjahr Monat 11'!A:A,0)),
IF(ISERROR(MATCH(D405,'Ist Vorjahr Monat 12'!A:A,0))=FALSE,INDEX('Ist Vorjahr Monat 12'!B:B,MATCH(D405,'Ist Vorjahr Monat 12'!A:A,0)),
"{Konto unbekannt}"
)))))))))))),"")</f>
        <v>Sonstige Betriebs-u.Gesch.ausstattung</v>
      </c>
      <c r="C405" s="1062"/>
      <c r="D405" s="1067">
        <v>490</v>
      </c>
      <c r="E405" s="625">
        <f t="shared" si="186"/>
        <v>1</v>
      </c>
      <c r="F405" s="626"/>
      <c r="G405" s="593">
        <f ca="1">$E405*(-SUMIF(INDIRECT(G$3),'Struktur Vorjahr'!$D405,INDIRECT(G$4))+SUMIF(INDIRECT(G$3),'Struktur Vorjahr'!$D405,INDIRECT(G$5)))</f>
        <v>-75.06</v>
      </c>
      <c r="H405" s="593">
        <f ca="1">$E405*(-SUMIF(INDIRECT(H$3),'Struktur Vorjahr'!$D405,INDIRECT(H$4))+SUMIF(INDIRECT(H$3),'Struktur Vorjahr'!$D405,INDIRECT(H$5)))</f>
        <v>-75.09</v>
      </c>
      <c r="I405" s="593">
        <f ca="1">$E405*(-SUMIF(INDIRECT(I$3),'Struktur Vorjahr'!$D405,INDIRECT(I$4))+SUMIF(INDIRECT(I$3),'Struktur Vorjahr'!$D405,INDIRECT(I$5)))</f>
        <v>-75.06</v>
      </c>
      <c r="J405" s="593">
        <f ca="1">$E405*(-SUMIF(INDIRECT(J$3),'Struktur Vorjahr'!$D405,INDIRECT(J$4))+SUMIF(INDIRECT(J$3),'Struktur Vorjahr'!$D405,INDIRECT(J$5)))</f>
        <v>1470.12</v>
      </c>
      <c r="K405" s="593">
        <f ca="1">$E405*(-SUMIF(INDIRECT(K$3),'Struktur Vorjahr'!$D405,INDIRECT(K$4))+SUMIF(INDIRECT(K$3),'Struktur Vorjahr'!$D405,INDIRECT(K$5)))</f>
        <v>-83.87</v>
      </c>
      <c r="L405" s="593">
        <f ca="1">$E405*(-SUMIF(INDIRECT(L$3),'Struktur Vorjahr'!$D405,INDIRECT(L$4))+SUMIF(INDIRECT(L$3),'Struktur Vorjahr'!$D405,INDIRECT(L$5)))</f>
        <v>-83.83</v>
      </c>
      <c r="M405" s="593">
        <f ca="1">$E405*(-SUMIF(INDIRECT(M$3),'Struktur Vorjahr'!$D405,INDIRECT(M$4))+SUMIF(INDIRECT(M$3),'Struktur Vorjahr'!$D405,INDIRECT(M$5)))</f>
        <v>-83.88</v>
      </c>
      <c r="N405" s="593">
        <f ca="1">$E405*(-SUMIF(INDIRECT(N$3),'Struktur Vorjahr'!$D405,INDIRECT(N$4))+SUMIF(INDIRECT(N$3),'Struktur Vorjahr'!$D405,INDIRECT(N$5)))</f>
        <v>-83.87</v>
      </c>
      <c r="O405" s="593">
        <f ca="1">$E405*(-SUMIF(INDIRECT(O$3),'Struktur Vorjahr'!$D405,INDIRECT(O$4))+SUMIF(INDIRECT(O$3),'Struktur Vorjahr'!$D405,INDIRECT(O$5)))</f>
        <v>-83.83</v>
      </c>
      <c r="P405" s="593">
        <f ca="1">$E405*(-SUMIF(INDIRECT(P$3),'Struktur Vorjahr'!$D405,INDIRECT(P$4))+SUMIF(INDIRECT(P$3),'Struktur Vorjahr'!$D405,INDIRECT(P$5)))</f>
        <v>-83.88</v>
      </c>
      <c r="Q405" s="593">
        <f ca="1">$E405*(-SUMIF(INDIRECT(Q$3),'Struktur Vorjahr'!$D405,INDIRECT(Q$4))+SUMIF(INDIRECT(Q$3),'Struktur Vorjahr'!$D405,INDIRECT(Q$5)))</f>
        <v>0</v>
      </c>
      <c r="R405" s="593">
        <f ca="1">$E405*(-SUMIF(INDIRECT(R$3),'Struktur Vorjahr'!$D405,INDIRECT(R$4))+SUMIF(INDIRECT(R$3),'Struktur Vorjahr'!$D405,INDIRECT(R$5)))</f>
        <v>0</v>
      </c>
      <c r="S405" s="593">
        <f ca="1">$E405*(-SUMIF(INDIRECT(S$3),'Struktur Vorjahr'!$D405,INDIRECT(S$4))+SUMIF(INDIRECT(S$3),'Struktur Vorjahr'!$D405,INDIRECT(S$5)))</f>
        <v>2012.94</v>
      </c>
      <c r="T405" s="593">
        <f ca="1">$E405*(-SUMIF(INDIRECT(T$3),'Struktur Vorjahr'!$D405,INDIRECT(T$4))+SUMIF(INDIRECT(T$3),'Struktur Vorjahr'!$D405,INDIRECT(T$5)))</f>
        <v>1937.85</v>
      </c>
      <c r="U405" s="593">
        <f ca="1">$E405*(-SUMIF(INDIRECT(U$3),'Struktur Vorjahr'!$D405,INDIRECT(U$4))+SUMIF(INDIRECT(U$3),'Struktur Vorjahr'!$D405,INDIRECT(U$5)))</f>
        <v>1862.79</v>
      </c>
      <c r="V405" s="593">
        <f ca="1">$E405*(-SUMIF(INDIRECT(V$3),'Struktur Vorjahr'!$D405,INDIRECT(V$4))+SUMIF(INDIRECT(V$3),'Struktur Vorjahr'!$D405,INDIRECT(V$5)))</f>
        <v>3332.91</v>
      </c>
      <c r="W405" s="593">
        <f ca="1">$E405*(-SUMIF(INDIRECT(W$3),'Struktur Vorjahr'!$D405,INDIRECT(W$4))+SUMIF(INDIRECT(W$3),'Struktur Vorjahr'!$D405,INDIRECT(W$5)))</f>
        <v>3249.04</v>
      </c>
      <c r="X405" s="593">
        <f ca="1">$E405*(-SUMIF(INDIRECT(X$3),'Struktur Vorjahr'!$D405,INDIRECT(X$4))+SUMIF(INDIRECT(X$3),'Struktur Vorjahr'!$D405,INDIRECT(X$5)))</f>
        <v>3165.21</v>
      </c>
      <c r="Y405" s="593">
        <f ca="1">$E405*(-SUMIF(INDIRECT(Y$3),'Struktur Vorjahr'!$D405,INDIRECT(Y$4))+SUMIF(INDIRECT(Y$3),'Struktur Vorjahr'!$D405,INDIRECT(Y$5)))</f>
        <v>3081.33</v>
      </c>
      <c r="Z405" s="593">
        <f ca="1">$E405*(-SUMIF(INDIRECT(Z$3),'Struktur Vorjahr'!$D405,INDIRECT(Z$4))+SUMIF(INDIRECT(Z$3),'Struktur Vorjahr'!$D405,INDIRECT(Z$5)))</f>
        <v>2997.46</v>
      </c>
      <c r="AA405" s="593">
        <f ca="1">$E405*(-SUMIF(INDIRECT(AA$3),'Struktur Vorjahr'!$D405,INDIRECT(AA$4))+SUMIF(INDIRECT(AA$3),'Struktur Vorjahr'!$D405,INDIRECT(AA$5)))</f>
        <v>2913.63</v>
      </c>
      <c r="AB405" s="593">
        <f ca="1">$E405*(-SUMIF(INDIRECT(AB$3),'Struktur Vorjahr'!$D405,INDIRECT(AB$4))+SUMIF(INDIRECT(AB$3),'Struktur Vorjahr'!$D405,INDIRECT(AB$5)))</f>
        <v>2829.75</v>
      </c>
      <c r="AC405" s="593">
        <f ca="1">$E405*(-SUMIF(INDIRECT(AC$3),'Struktur Vorjahr'!$D405,INDIRECT(AC$4))+SUMIF(INDIRECT(AC$3),'Struktur Vorjahr'!$D405,INDIRECT(AC$5)))</f>
        <v>0</v>
      </c>
      <c r="AD405" s="593">
        <f ca="1">$E405*(-SUMIF(INDIRECT(AD$3),'Struktur Vorjahr'!$D405,INDIRECT(AD$4))+SUMIF(INDIRECT(AD$3),'Struktur Vorjahr'!$D405,INDIRECT(AD$5)))</f>
        <v>0</v>
      </c>
      <c r="AE405" s="593">
        <f t="shared" ca="1" si="205"/>
        <v>-75.06</v>
      </c>
      <c r="AF405" s="593">
        <f t="shared" ca="1" si="206"/>
        <v>-150.15</v>
      </c>
      <c r="AG405" s="593">
        <f t="shared" ca="1" si="206"/>
        <v>-225.21</v>
      </c>
      <c r="AH405" s="593">
        <f t="shared" ca="1" si="206"/>
        <v>1244.9099999999999</v>
      </c>
      <c r="AI405" s="593">
        <f t="shared" ca="1" si="206"/>
        <v>1161.04</v>
      </c>
      <c r="AJ405" s="593">
        <f t="shared" ca="1" si="206"/>
        <v>1077.21</v>
      </c>
      <c r="AK405" s="593">
        <f t="shared" ca="1" si="206"/>
        <v>993.33</v>
      </c>
      <c r="AL405" s="593">
        <f t="shared" ca="1" si="206"/>
        <v>909.46</v>
      </c>
      <c r="AM405" s="593">
        <f t="shared" ca="1" si="206"/>
        <v>825.63</v>
      </c>
      <c r="AN405" s="593">
        <f t="shared" ca="1" si="206"/>
        <v>741.75</v>
      </c>
      <c r="AO405" s="593">
        <f t="shared" ca="1" si="206"/>
        <v>741.75</v>
      </c>
      <c r="AP405" s="593">
        <f t="shared" ca="1" si="206"/>
        <v>741.75</v>
      </c>
    </row>
    <row r="406" spans="1:42" s="594" customFormat="1" ht="11.25" outlineLevel="1" x14ac:dyDescent="0.2">
      <c r="A406" s="644"/>
      <c r="B406" s="591" t="str">
        <f>IF(D406&lt;&gt;"",
IF(ISERROR(MATCH(D406,'Ist Vorjahr Monat 01'!A:A,0))=FALSE,INDEX('Ist Vorjahr Monat 01'!B:B,MATCH(D406,'Ist Vorjahr Monat 01'!A:A,0)),
IF(ISERROR(MATCH(D406,'Ist Vorjahr Monat 02'!A:A,0))=FALSE,INDEX('Ist Vorjahr Monat 02'!B:B,MATCH(D406,'Ist Vorjahr Monat 02'!A:A,0)),
IF(ISERROR(MATCH(D406,'Ist Vorjahr Monat 03'!A:A,0))=FALSE,INDEX('Ist Vorjahr Monat 03'!B:B,MATCH(D406,'Ist Vorjahr Monat 03'!A:A,0)),
IF(ISERROR(MATCH(D406,'Ist Vorjahr Monat 04'!A:A,0))=FALSE,INDEX('Ist Vorjahr Monat 04'!B:B,MATCH(D406,'Ist Vorjahr Monat 04'!A:A,0)),
IF(ISERROR(MATCH(D406,'Ist Vorjahr Monat 05'!A:A,0))=FALSE,INDEX('Ist Vorjahr Monat 05'!B:B,MATCH(D406,'Ist Vorjahr Monat 05'!A:A,0)),
IF(ISERROR(MATCH(D406,'Ist Vorjahr Monat 06'!A:A,0))=FALSE,INDEX('Ist Vorjahr Monat 06'!B:B,MATCH(D406,'Ist Vorjahr Monat 06'!A:A,0)),
IF(ISERROR(MATCH(D406,'Ist Vorjahr Monat 07'!A:A,0))=FALSE,INDEX('Ist Vorjahr Monat 07'!B:B,MATCH(D406,'Ist Vorjahr Monat 07'!A:A,0)),
IF(ISERROR(MATCH(D406,'Ist Vorjahr Monat 08'!A:A,0))=FALSE,INDEX('Ist Vorjahr Monat 08'!B:B,MATCH(D406,'Ist Vorjahr Monat 08'!A:A,0)),
IF(ISERROR(MATCH(D406,'Ist Vorjahr Monat 09'!A:A,0))=FALSE,INDEX('Ist Vorjahr Monat 09'!B:B,MATCH(D406,'Ist Vorjahr Monat 09'!A:A,0)),
IF(ISERROR(MATCH(D406,'Ist Vorjahr Monat 10'!A:A,0))=FALSE,INDEX('Ist Vorjahr Monat 10'!B:B,MATCH(D406,'Ist Vorjahr Monat 10'!A:A,0)),
IF(ISERROR(MATCH(D406,'Ist Vorjahr Monat 11'!A:A,0))=FALSE,INDEX('Ist Vorjahr Monat 11'!B:B,MATCH(D406,'Ist Vorjahr Monat 11'!A:A,0)),
IF(ISERROR(MATCH(D406,'Ist Vorjahr Monat 12'!A:A,0))=FALSE,INDEX('Ist Vorjahr Monat 12'!B:B,MATCH(D406,'Ist Vorjahr Monat 12'!A:A,0)),
"{Konto unbekannt}"
)))))))))))),"")</f>
        <v/>
      </c>
      <c r="C406" s="1062"/>
      <c r="D406" s="1067"/>
      <c r="E406" s="625">
        <f t="shared" si="186"/>
        <v>1</v>
      </c>
      <c r="F406" s="626"/>
      <c r="G406" s="593">
        <f ca="1">$E406*(-SUMIF(INDIRECT(G$3),'Struktur Vorjahr'!$D406,INDIRECT(G$4))+SUMIF(INDIRECT(G$3),'Struktur Vorjahr'!$D406,INDIRECT(G$5)))</f>
        <v>0</v>
      </c>
      <c r="H406" s="593">
        <f ca="1">$E406*(-SUMIF(INDIRECT(H$3),'Struktur Vorjahr'!$D406,INDIRECT(H$4))+SUMIF(INDIRECT(H$3),'Struktur Vorjahr'!$D406,INDIRECT(H$5)))</f>
        <v>0</v>
      </c>
      <c r="I406" s="593">
        <f ca="1">$E406*(-SUMIF(INDIRECT(I$3),'Struktur Vorjahr'!$D406,INDIRECT(I$4))+SUMIF(INDIRECT(I$3),'Struktur Vorjahr'!$D406,INDIRECT(I$5)))</f>
        <v>0</v>
      </c>
      <c r="J406" s="593">
        <f ca="1">$E406*(-SUMIF(INDIRECT(J$3),'Struktur Vorjahr'!$D406,INDIRECT(J$4))+SUMIF(INDIRECT(J$3),'Struktur Vorjahr'!$D406,INDIRECT(J$5)))</f>
        <v>0</v>
      </c>
      <c r="K406" s="593">
        <f ca="1">$E406*(-SUMIF(INDIRECT(K$3),'Struktur Vorjahr'!$D406,INDIRECT(K$4))+SUMIF(INDIRECT(K$3),'Struktur Vorjahr'!$D406,INDIRECT(K$5)))</f>
        <v>0</v>
      </c>
      <c r="L406" s="593">
        <f ca="1">$E406*(-SUMIF(INDIRECT(L$3),'Struktur Vorjahr'!$D406,INDIRECT(L$4))+SUMIF(INDIRECT(L$3),'Struktur Vorjahr'!$D406,INDIRECT(L$5)))</f>
        <v>0</v>
      </c>
      <c r="M406" s="593">
        <f ca="1">$E406*(-SUMIF(INDIRECT(M$3),'Struktur Vorjahr'!$D406,INDIRECT(M$4))+SUMIF(INDIRECT(M$3),'Struktur Vorjahr'!$D406,INDIRECT(M$5)))</f>
        <v>0</v>
      </c>
      <c r="N406" s="593">
        <f ca="1">$E406*(-SUMIF(INDIRECT(N$3),'Struktur Vorjahr'!$D406,INDIRECT(N$4))+SUMIF(INDIRECT(N$3),'Struktur Vorjahr'!$D406,INDIRECT(N$5)))</f>
        <v>0</v>
      </c>
      <c r="O406" s="593">
        <f ca="1">$E406*(-SUMIF(INDIRECT(O$3),'Struktur Vorjahr'!$D406,INDIRECT(O$4))+SUMIF(INDIRECT(O$3),'Struktur Vorjahr'!$D406,INDIRECT(O$5)))</f>
        <v>0</v>
      </c>
      <c r="P406" s="593">
        <f ca="1">$E406*(-SUMIF(INDIRECT(P$3),'Struktur Vorjahr'!$D406,INDIRECT(P$4))+SUMIF(INDIRECT(P$3),'Struktur Vorjahr'!$D406,INDIRECT(P$5)))</f>
        <v>0</v>
      </c>
      <c r="Q406" s="593">
        <f ca="1">$E406*(-SUMIF(INDIRECT(Q$3),'Struktur Vorjahr'!$D406,INDIRECT(Q$4))+SUMIF(INDIRECT(Q$3),'Struktur Vorjahr'!$D406,INDIRECT(Q$5)))</f>
        <v>0</v>
      </c>
      <c r="R406" s="593">
        <f ca="1">$E406*(-SUMIF(INDIRECT(R$3),'Struktur Vorjahr'!$D406,INDIRECT(R$4))+SUMIF(INDIRECT(R$3),'Struktur Vorjahr'!$D406,INDIRECT(R$5)))</f>
        <v>0</v>
      </c>
      <c r="S406" s="593">
        <f ca="1">$E406*(-SUMIF(INDIRECT(S$3),'Struktur Vorjahr'!$D406,INDIRECT(S$4))+SUMIF(INDIRECT(S$3),'Struktur Vorjahr'!$D406,INDIRECT(S$5)))</f>
        <v>0</v>
      </c>
      <c r="T406" s="593">
        <f ca="1">$E406*(-SUMIF(INDIRECT(T$3),'Struktur Vorjahr'!$D406,INDIRECT(T$4))+SUMIF(INDIRECT(T$3),'Struktur Vorjahr'!$D406,INDIRECT(T$5)))</f>
        <v>0</v>
      </c>
      <c r="U406" s="593">
        <f ca="1">$E406*(-SUMIF(INDIRECT(U$3),'Struktur Vorjahr'!$D406,INDIRECT(U$4))+SUMIF(INDIRECT(U$3),'Struktur Vorjahr'!$D406,INDIRECT(U$5)))</f>
        <v>0</v>
      </c>
      <c r="V406" s="593">
        <f ca="1">$E406*(-SUMIF(INDIRECT(V$3),'Struktur Vorjahr'!$D406,INDIRECT(V$4))+SUMIF(INDIRECT(V$3),'Struktur Vorjahr'!$D406,INDIRECT(V$5)))</f>
        <v>0</v>
      </c>
      <c r="W406" s="593">
        <f ca="1">$E406*(-SUMIF(INDIRECT(W$3),'Struktur Vorjahr'!$D406,INDIRECT(W$4))+SUMIF(INDIRECT(W$3),'Struktur Vorjahr'!$D406,INDIRECT(W$5)))</f>
        <v>0</v>
      </c>
      <c r="X406" s="593">
        <f ca="1">$E406*(-SUMIF(INDIRECT(X$3),'Struktur Vorjahr'!$D406,INDIRECT(X$4))+SUMIF(INDIRECT(X$3),'Struktur Vorjahr'!$D406,INDIRECT(X$5)))</f>
        <v>0</v>
      </c>
      <c r="Y406" s="593">
        <f ca="1">$E406*(-SUMIF(INDIRECT(Y$3),'Struktur Vorjahr'!$D406,INDIRECT(Y$4))+SUMIF(INDIRECT(Y$3),'Struktur Vorjahr'!$D406,INDIRECT(Y$5)))</f>
        <v>0</v>
      </c>
      <c r="Z406" s="593">
        <f ca="1">$E406*(-SUMIF(INDIRECT(Z$3),'Struktur Vorjahr'!$D406,INDIRECT(Z$4))+SUMIF(INDIRECT(Z$3),'Struktur Vorjahr'!$D406,INDIRECT(Z$5)))</f>
        <v>0</v>
      </c>
      <c r="AA406" s="593">
        <f ca="1">$E406*(-SUMIF(INDIRECT(AA$3),'Struktur Vorjahr'!$D406,INDIRECT(AA$4))+SUMIF(INDIRECT(AA$3),'Struktur Vorjahr'!$D406,INDIRECT(AA$5)))</f>
        <v>0</v>
      </c>
      <c r="AB406" s="593">
        <f ca="1">$E406*(-SUMIF(INDIRECT(AB$3),'Struktur Vorjahr'!$D406,INDIRECT(AB$4))+SUMIF(INDIRECT(AB$3),'Struktur Vorjahr'!$D406,INDIRECT(AB$5)))</f>
        <v>0</v>
      </c>
      <c r="AC406" s="593">
        <f ca="1">$E406*(-SUMIF(INDIRECT(AC$3),'Struktur Vorjahr'!$D406,INDIRECT(AC$4))+SUMIF(INDIRECT(AC$3),'Struktur Vorjahr'!$D406,INDIRECT(AC$5)))</f>
        <v>0</v>
      </c>
      <c r="AD406" s="593">
        <f ca="1">$E406*(-SUMIF(INDIRECT(AD$3),'Struktur Vorjahr'!$D406,INDIRECT(AD$4))+SUMIF(INDIRECT(AD$3),'Struktur Vorjahr'!$D406,INDIRECT(AD$5)))</f>
        <v>0</v>
      </c>
      <c r="AE406" s="593">
        <f t="shared" ca="1" si="205"/>
        <v>0</v>
      </c>
      <c r="AF406" s="593">
        <f t="shared" ca="1" si="206"/>
        <v>0</v>
      </c>
      <c r="AG406" s="593">
        <f t="shared" ca="1" si="206"/>
        <v>0</v>
      </c>
      <c r="AH406" s="593">
        <f t="shared" ca="1" si="206"/>
        <v>0</v>
      </c>
      <c r="AI406" s="593">
        <f t="shared" ca="1" si="206"/>
        <v>0</v>
      </c>
      <c r="AJ406" s="593">
        <f t="shared" ca="1" si="206"/>
        <v>0</v>
      </c>
      <c r="AK406" s="593">
        <f t="shared" ca="1" si="206"/>
        <v>0</v>
      </c>
      <c r="AL406" s="593">
        <f t="shared" ca="1" si="206"/>
        <v>0</v>
      </c>
      <c r="AM406" s="593">
        <f t="shared" ca="1" si="206"/>
        <v>0</v>
      </c>
      <c r="AN406" s="593">
        <f t="shared" ca="1" si="206"/>
        <v>0</v>
      </c>
      <c r="AO406" s="593">
        <f t="shared" ca="1" si="206"/>
        <v>0</v>
      </c>
      <c r="AP406" s="593">
        <f t="shared" ca="1" si="206"/>
        <v>0</v>
      </c>
    </row>
    <row r="407" spans="1:42" s="594" customFormat="1" ht="11.25" outlineLevel="1" x14ac:dyDescent="0.2">
      <c r="A407" s="644"/>
      <c r="B407" s="591" t="str">
        <f>IF(D407&lt;&gt;"",
IF(ISERROR(MATCH(D407,'Ist Vorjahr Monat 01'!A:A,0))=FALSE,INDEX('Ist Vorjahr Monat 01'!B:B,MATCH(D407,'Ist Vorjahr Monat 01'!A:A,0)),
IF(ISERROR(MATCH(D407,'Ist Vorjahr Monat 02'!A:A,0))=FALSE,INDEX('Ist Vorjahr Monat 02'!B:B,MATCH(D407,'Ist Vorjahr Monat 02'!A:A,0)),
IF(ISERROR(MATCH(D407,'Ist Vorjahr Monat 03'!A:A,0))=FALSE,INDEX('Ist Vorjahr Monat 03'!B:B,MATCH(D407,'Ist Vorjahr Monat 03'!A:A,0)),
IF(ISERROR(MATCH(D407,'Ist Vorjahr Monat 04'!A:A,0))=FALSE,INDEX('Ist Vorjahr Monat 04'!B:B,MATCH(D407,'Ist Vorjahr Monat 04'!A:A,0)),
IF(ISERROR(MATCH(D407,'Ist Vorjahr Monat 05'!A:A,0))=FALSE,INDEX('Ist Vorjahr Monat 05'!B:B,MATCH(D407,'Ist Vorjahr Monat 05'!A:A,0)),
IF(ISERROR(MATCH(D407,'Ist Vorjahr Monat 06'!A:A,0))=FALSE,INDEX('Ist Vorjahr Monat 06'!B:B,MATCH(D407,'Ist Vorjahr Monat 06'!A:A,0)),
IF(ISERROR(MATCH(D407,'Ist Vorjahr Monat 07'!A:A,0))=FALSE,INDEX('Ist Vorjahr Monat 07'!B:B,MATCH(D407,'Ist Vorjahr Monat 07'!A:A,0)),
IF(ISERROR(MATCH(D407,'Ist Vorjahr Monat 08'!A:A,0))=FALSE,INDEX('Ist Vorjahr Monat 08'!B:B,MATCH(D407,'Ist Vorjahr Monat 08'!A:A,0)),
IF(ISERROR(MATCH(D407,'Ist Vorjahr Monat 09'!A:A,0))=FALSE,INDEX('Ist Vorjahr Monat 09'!B:B,MATCH(D407,'Ist Vorjahr Monat 09'!A:A,0)),
IF(ISERROR(MATCH(D407,'Ist Vorjahr Monat 10'!A:A,0))=FALSE,INDEX('Ist Vorjahr Monat 10'!B:B,MATCH(D407,'Ist Vorjahr Monat 10'!A:A,0)),
IF(ISERROR(MATCH(D407,'Ist Vorjahr Monat 11'!A:A,0))=FALSE,INDEX('Ist Vorjahr Monat 11'!B:B,MATCH(D407,'Ist Vorjahr Monat 11'!A:A,0)),
IF(ISERROR(MATCH(D407,'Ist Vorjahr Monat 12'!A:A,0))=FALSE,INDEX('Ist Vorjahr Monat 12'!B:B,MATCH(D407,'Ist Vorjahr Monat 12'!A:A,0)),
"{Konto unbekannt}"
)))))))))))),"")</f>
        <v/>
      </c>
      <c r="C407" s="1062"/>
      <c r="D407" s="1067"/>
      <c r="E407" s="625">
        <f t="shared" si="186"/>
        <v>1</v>
      </c>
      <c r="F407" s="626"/>
      <c r="G407" s="593">
        <f ca="1">$E407*(-SUMIF(INDIRECT(G$3),'Struktur Vorjahr'!$D407,INDIRECT(G$4))+SUMIF(INDIRECT(G$3),'Struktur Vorjahr'!$D407,INDIRECT(G$5)))</f>
        <v>0</v>
      </c>
      <c r="H407" s="593">
        <f ca="1">$E407*(-SUMIF(INDIRECT(H$3),'Struktur Vorjahr'!$D407,INDIRECT(H$4))+SUMIF(INDIRECT(H$3),'Struktur Vorjahr'!$D407,INDIRECT(H$5)))</f>
        <v>0</v>
      </c>
      <c r="I407" s="593">
        <f ca="1">$E407*(-SUMIF(INDIRECT(I$3),'Struktur Vorjahr'!$D407,INDIRECT(I$4))+SUMIF(INDIRECT(I$3),'Struktur Vorjahr'!$D407,INDIRECT(I$5)))</f>
        <v>0</v>
      </c>
      <c r="J407" s="593">
        <f ca="1">$E407*(-SUMIF(INDIRECT(J$3),'Struktur Vorjahr'!$D407,INDIRECT(J$4))+SUMIF(INDIRECT(J$3),'Struktur Vorjahr'!$D407,INDIRECT(J$5)))</f>
        <v>0</v>
      </c>
      <c r="K407" s="593">
        <f ca="1">$E407*(-SUMIF(INDIRECT(K$3),'Struktur Vorjahr'!$D407,INDIRECT(K$4))+SUMIF(INDIRECT(K$3),'Struktur Vorjahr'!$D407,INDIRECT(K$5)))</f>
        <v>0</v>
      </c>
      <c r="L407" s="593">
        <f ca="1">$E407*(-SUMIF(INDIRECT(L$3),'Struktur Vorjahr'!$D407,INDIRECT(L$4))+SUMIF(INDIRECT(L$3),'Struktur Vorjahr'!$D407,INDIRECT(L$5)))</f>
        <v>0</v>
      </c>
      <c r="M407" s="593">
        <f ca="1">$E407*(-SUMIF(INDIRECT(M$3),'Struktur Vorjahr'!$D407,INDIRECT(M$4))+SUMIF(INDIRECT(M$3),'Struktur Vorjahr'!$D407,INDIRECT(M$5)))</f>
        <v>0</v>
      </c>
      <c r="N407" s="593">
        <f ca="1">$E407*(-SUMIF(INDIRECT(N$3),'Struktur Vorjahr'!$D407,INDIRECT(N$4))+SUMIF(INDIRECT(N$3),'Struktur Vorjahr'!$D407,INDIRECT(N$5)))</f>
        <v>0</v>
      </c>
      <c r="O407" s="593">
        <f ca="1">$E407*(-SUMIF(INDIRECT(O$3),'Struktur Vorjahr'!$D407,INDIRECT(O$4))+SUMIF(INDIRECT(O$3),'Struktur Vorjahr'!$D407,INDIRECT(O$5)))</f>
        <v>0</v>
      </c>
      <c r="P407" s="593">
        <f ca="1">$E407*(-SUMIF(INDIRECT(P$3),'Struktur Vorjahr'!$D407,INDIRECT(P$4))+SUMIF(INDIRECT(P$3),'Struktur Vorjahr'!$D407,INDIRECT(P$5)))</f>
        <v>0</v>
      </c>
      <c r="Q407" s="593">
        <f ca="1">$E407*(-SUMIF(INDIRECT(Q$3),'Struktur Vorjahr'!$D407,INDIRECT(Q$4))+SUMIF(INDIRECT(Q$3),'Struktur Vorjahr'!$D407,INDIRECT(Q$5)))</f>
        <v>0</v>
      </c>
      <c r="R407" s="593">
        <f ca="1">$E407*(-SUMIF(INDIRECT(R$3),'Struktur Vorjahr'!$D407,INDIRECT(R$4))+SUMIF(INDIRECT(R$3),'Struktur Vorjahr'!$D407,INDIRECT(R$5)))</f>
        <v>0</v>
      </c>
      <c r="S407" s="593">
        <f ca="1">$E407*(-SUMIF(INDIRECT(S$3),'Struktur Vorjahr'!$D407,INDIRECT(S$4))+SUMIF(INDIRECT(S$3),'Struktur Vorjahr'!$D407,INDIRECT(S$5)))</f>
        <v>0</v>
      </c>
      <c r="T407" s="593">
        <f ca="1">$E407*(-SUMIF(INDIRECT(T$3),'Struktur Vorjahr'!$D407,INDIRECT(T$4))+SUMIF(INDIRECT(T$3),'Struktur Vorjahr'!$D407,INDIRECT(T$5)))</f>
        <v>0</v>
      </c>
      <c r="U407" s="593">
        <f ca="1">$E407*(-SUMIF(INDIRECT(U$3),'Struktur Vorjahr'!$D407,INDIRECT(U$4))+SUMIF(INDIRECT(U$3),'Struktur Vorjahr'!$D407,INDIRECT(U$5)))</f>
        <v>0</v>
      </c>
      <c r="V407" s="593">
        <f ca="1">$E407*(-SUMIF(INDIRECT(V$3),'Struktur Vorjahr'!$D407,INDIRECT(V$4))+SUMIF(INDIRECT(V$3),'Struktur Vorjahr'!$D407,INDIRECT(V$5)))</f>
        <v>0</v>
      </c>
      <c r="W407" s="593">
        <f ca="1">$E407*(-SUMIF(INDIRECT(W$3),'Struktur Vorjahr'!$D407,INDIRECT(W$4))+SUMIF(INDIRECT(W$3),'Struktur Vorjahr'!$D407,INDIRECT(W$5)))</f>
        <v>0</v>
      </c>
      <c r="X407" s="593">
        <f ca="1">$E407*(-SUMIF(INDIRECT(X$3),'Struktur Vorjahr'!$D407,INDIRECT(X$4))+SUMIF(INDIRECT(X$3),'Struktur Vorjahr'!$D407,INDIRECT(X$5)))</f>
        <v>0</v>
      </c>
      <c r="Y407" s="593">
        <f ca="1">$E407*(-SUMIF(INDIRECT(Y$3),'Struktur Vorjahr'!$D407,INDIRECT(Y$4))+SUMIF(INDIRECT(Y$3),'Struktur Vorjahr'!$D407,INDIRECT(Y$5)))</f>
        <v>0</v>
      </c>
      <c r="Z407" s="593">
        <f ca="1">$E407*(-SUMIF(INDIRECT(Z$3),'Struktur Vorjahr'!$D407,INDIRECT(Z$4))+SUMIF(INDIRECT(Z$3),'Struktur Vorjahr'!$D407,INDIRECT(Z$5)))</f>
        <v>0</v>
      </c>
      <c r="AA407" s="593">
        <f ca="1">$E407*(-SUMIF(INDIRECT(AA$3),'Struktur Vorjahr'!$D407,INDIRECT(AA$4))+SUMIF(INDIRECT(AA$3),'Struktur Vorjahr'!$D407,INDIRECT(AA$5)))</f>
        <v>0</v>
      </c>
      <c r="AB407" s="593">
        <f ca="1">$E407*(-SUMIF(INDIRECT(AB$3),'Struktur Vorjahr'!$D407,INDIRECT(AB$4))+SUMIF(INDIRECT(AB$3),'Struktur Vorjahr'!$D407,INDIRECT(AB$5)))</f>
        <v>0</v>
      </c>
      <c r="AC407" s="593">
        <f ca="1">$E407*(-SUMIF(INDIRECT(AC$3),'Struktur Vorjahr'!$D407,INDIRECT(AC$4))+SUMIF(INDIRECT(AC$3),'Struktur Vorjahr'!$D407,INDIRECT(AC$5)))</f>
        <v>0</v>
      </c>
      <c r="AD407" s="593">
        <f ca="1">$E407*(-SUMIF(INDIRECT(AD$3),'Struktur Vorjahr'!$D407,INDIRECT(AD$4))+SUMIF(INDIRECT(AD$3),'Struktur Vorjahr'!$D407,INDIRECT(AD$5)))</f>
        <v>0</v>
      </c>
      <c r="AE407" s="593">
        <f t="shared" ca="1" si="205"/>
        <v>0</v>
      </c>
      <c r="AF407" s="593">
        <f t="shared" ca="1" si="206"/>
        <v>0</v>
      </c>
      <c r="AG407" s="593">
        <f t="shared" ca="1" si="206"/>
        <v>0</v>
      </c>
      <c r="AH407" s="593">
        <f t="shared" ca="1" si="206"/>
        <v>0</v>
      </c>
      <c r="AI407" s="593">
        <f t="shared" ca="1" si="206"/>
        <v>0</v>
      </c>
      <c r="AJ407" s="593">
        <f t="shared" ca="1" si="206"/>
        <v>0</v>
      </c>
      <c r="AK407" s="593">
        <f t="shared" ca="1" si="206"/>
        <v>0</v>
      </c>
      <c r="AL407" s="593">
        <f t="shared" ca="1" si="206"/>
        <v>0</v>
      </c>
      <c r="AM407" s="593">
        <f t="shared" ca="1" si="206"/>
        <v>0</v>
      </c>
      <c r="AN407" s="593">
        <f t="shared" ca="1" si="206"/>
        <v>0</v>
      </c>
      <c r="AO407" s="593">
        <f t="shared" ca="1" si="206"/>
        <v>0</v>
      </c>
      <c r="AP407" s="593">
        <f t="shared" ca="1" si="206"/>
        <v>0</v>
      </c>
    </row>
    <row r="408" spans="1:42" s="594" customFormat="1" ht="11.25" outlineLevel="1" x14ac:dyDescent="0.2">
      <c r="A408" s="644"/>
      <c r="B408" s="591" t="str">
        <f>IF(D408&lt;&gt;"",
IF(ISERROR(MATCH(D408,'Ist Vorjahr Monat 01'!A:A,0))=FALSE,INDEX('Ist Vorjahr Monat 01'!B:B,MATCH(D408,'Ist Vorjahr Monat 01'!A:A,0)),
IF(ISERROR(MATCH(D408,'Ist Vorjahr Monat 02'!A:A,0))=FALSE,INDEX('Ist Vorjahr Monat 02'!B:B,MATCH(D408,'Ist Vorjahr Monat 02'!A:A,0)),
IF(ISERROR(MATCH(D408,'Ist Vorjahr Monat 03'!A:A,0))=FALSE,INDEX('Ist Vorjahr Monat 03'!B:B,MATCH(D408,'Ist Vorjahr Monat 03'!A:A,0)),
IF(ISERROR(MATCH(D408,'Ist Vorjahr Monat 04'!A:A,0))=FALSE,INDEX('Ist Vorjahr Monat 04'!B:B,MATCH(D408,'Ist Vorjahr Monat 04'!A:A,0)),
IF(ISERROR(MATCH(D408,'Ist Vorjahr Monat 05'!A:A,0))=FALSE,INDEX('Ist Vorjahr Monat 05'!B:B,MATCH(D408,'Ist Vorjahr Monat 05'!A:A,0)),
IF(ISERROR(MATCH(D408,'Ist Vorjahr Monat 06'!A:A,0))=FALSE,INDEX('Ist Vorjahr Monat 06'!B:B,MATCH(D408,'Ist Vorjahr Monat 06'!A:A,0)),
IF(ISERROR(MATCH(D408,'Ist Vorjahr Monat 07'!A:A,0))=FALSE,INDEX('Ist Vorjahr Monat 07'!B:B,MATCH(D408,'Ist Vorjahr Monat 07'!A:A,0)),
IF(ISERROR(MATCH(D408,'Ist Vorjahr Monat 08'!A:A,0))=FALSE,INDEX('Ist Vorjahr Monat 08'!B:B,MATCH(D408,'Ist Vorjahr Monat 08'!A:A,0)),
IF(ISERROR(MATCH(D408,'Ist Vorjahr Monat 09'!A:A,0))=FALSE,INDEX('Ist Vorjahr Monat 09'!B:B,MATCH(D408,'Ist Vorjahr Monat 09'!A:A,0)),
IF(ISERROR(MATCH(D408,'Ist Vorjahr Monat 10'!A:A,0))=FALSE,INDEX('Ist Vorjahr Monat 10'!B:B,MATCH(D408,'Ist Vorjahr Monat 10'!A:A,0)),
IF(ISERROR(MATCH(D408,'Ist Vorjahr Monat 11'!A:A,0))=FALSE,INDEX('Ist Vorjahr Monat 11'!B:B,MATCH(D408,'Ist Vorjahr Monat 11'!A:A,0)),
IF(ISERROR(MATCH(D408,'Ist Vorjahr Monat 12'!A:A,0))=FALSE,INDEX('Ist Vorjahr Monat 12'!B:B,MATCH(D408,'Ist Vorjahr Monat 12'!A:A,0)),
"{Konto unbekannt}"
)))))))))))),"")</f>
        <v/>
      </c>
      <c r="C408" s="1062"/>
      <c r="D408" s="1067"/>
      <c r="E408" s="625">
        <f t="shared" si="186"/>
        <v>1</v>
      </c>
      <c r="F408" s="626"/>
      <c r="G408" s="593">
        <f ca="1">$E408*(-SUMIF(INDIRECT(G$3),'Struktur Vorjahr'!$D408,INDIRECT(G$4))+SUMIF(INDIRECT(G$3),'Struktur Vorjahr'!$D408,INDIRECT(G$5)))</f>
        <v>0</v>
      </c>
      <c r="H408" s="593">
        <f ca="1">$E408*(-SUMIF(INDIRECT(H$3),'Struktur Vorjahr'!$D408,INDIRECT(H$4))+SUMIF(INDIRECT(H$3),'Struktur Vorjahr'!$D408,INDIRECT(H$5)))</f>
        <v>0</v>
      </c>
      <c r="I408" s="593">
        <f ca="1">$E408*(-SUMIF(INDIRECT(I$3),'Struktur Vorjahr'!$D408,INDIRECT(I$4))+SUMIF(INDIRECT(I$3),'Struktur Vorjahr'!$D408,INDIRECT(I$5)))</f>
        <v>0</v>
      </c>
      <c r="J408" s="593">
        <f ca="1">$E408*(-SUMIF(INDIRECT(J$3),'Struktur Vorjahr'!$D408,INDIRECT(J$4))+SUMIF(INDIRECT(J$3),'Struktur Vorjahr'!$D408,INDIRECT(J$5)))</f>
        <v>0</v>
      </c>
      <c r="K408" s="593">
        <f ca="1">$E408*(-SUMIF(INDIRECT(K$3),'Struktur Vorjahr'!$D408,INDIRECT(K$4))+SUMIF(INDIRECT(K$3),'Struktur Vorjahr'!$D408,INDIRECT(K$5)))</f>
        <v>0</v>
      </c>
      <c r="L408" s="593">
        <f ca="1">$E408*(-SUMIF(INDIRECT(L$3),'Struktur Vorjahr'!$D408,INDIRECT(L$4))+SUMIF(INDIRECT(L$3),'Struktur Vorjahr'!$D408,INDIRECT(L$5)))</f>
        <v>0</v>
      </c>
      <c r="M408" s="593">
        <f ca="1">$E408*(-SUMIF(INDIRECT(M$3),'Struktur Vorjahr'!$D408,INDIRECT(M$4))+SUMIF(INDIRECT(M$3),'Struktur Vorjahr'!$D408,INDIRECT(M$5)))</f>
        <v>0</v>
      </c>
      <c r="N408" s="593">
        <f ca="1">$E408*(-SUMIF(INDIRECT(N$3),'Struktur Vorjahr'!$D408,INDIRECT(N$4))+SUMIF(INDIRECT(N$3),'Struktur Vorjahr'!$D408,INDIRECT(N$5)))</f>
        <v>0</v>
      </c>
      <c r="O408" s="593">
        <f ca="1">$E408*(-SUMIF(INDIRECT(O$3),'Struktur Vorjahr'!$D408,INDIRECT(O$4))+SUMIF(INDIRECT(O$3),'Struktur Vorjahr'!$D408,INDIRECT(O$5)))</f>
        <v>0</v>
      </c>
      <c r="P408" s="593">
        <f ca="1">$E408*(-SUMIF(INDIRECT(P$3),'Struktur Vorjahr'!$D408,INDIRECT(P$4))+SUMIF(INDIRECT(P$3),'Struktur Vorjahr'!$D408,INDIRECT(P$5)))</f>
        <v>0</v>
      </c>
      <c r="Q408" s="593">
        <f ca="1">$E408*(-SUMIF(INDIRECT(Q$3),'Struktur Vorjahr'!$D408,INDIRECT(Q$4))+SUMIF(INDIRECT(Q$3),'Struktur Vorjahr'!$D408,INDIRECT(Q$5)))</f>
        <v>0</v>
      </c>
      <c r="R408" s="593">
        <f ca="1">$E408*(-SUMIF(INDIRECT(R$3),'Struktur Vorjahr'!$D408,INDIRECT(R$4))+SUMIF(INDIRECT(R$3),'Struktur Vorjahr'!$D408,INDIRECT(R$5)))</f>
        <v>0</v>
      </c>
      <c r="S408" s="593">
        <f ca="1">$E408*(-SUMIF(INDIRECT(S$3),'Struktur Vorjahr'!$D408,INDIRECT(S$4))+SUMIF(INDIRECT(S$3),'Struktur Vorjahr'!$D408,INDIRECT(S$5)))</f>
        <v>0</v>
      </c>
      <c r="T408" s="593">
        <f ca="1">$E408*(-SUMIF(INDIRECT(T$3),'Struktur Vorjahr'!$D408,INDIRECT(T$4))+SUMIF(INDIRECT(T$3),'Struktur Vorjahr'!$D408,INDIRECT(T$5)))</f>
        <v>0</v>
      </c>
      <c r="U408" s="593">
        <f ca="1">$E408*(-SUMIF(INDIRECT(U$3),'Struktur Vorjahr'!$D408,INDIRECT(U$4))+SUMIF(INDIRECT(U$3),'Struktur Vorjahr'!$D408,INDIRECT(U$5)))</f>
        <v>0</v>
      </c>
      <c r="V408" s="593">
        <f ca="1">$E408*(-SUMIF(INDIRECT(V$3),'Struktur Vorjahr'!$D408,INDIRECT(V$4))+SUMIF(INDIRECT(V$3),'Struktur Vorjahr'!$D408,INDIRECT(V$5)))</f>
        <v>0</v>
      </c>
      <c r="W408" s="593">
        <f ca="1">$E408*(-SUMIF(INDIRECT(W$3),'Struktur Vorjahr'!$D408,INDIRECT(W$4))+SUMIF(INDIRECT(W$3),'Struktur Vorjahr'!$D408,INDIRECT(W$5)))</f>
        <v>0</v>
      </c>
      <c r="X408" s="593">
        <f ca="1">$E408*(-SUMIF(INDIRECT(X$3),'Struktur Vorjahr'!$D408,INDIRECT(X$4))+SUMIF(INDIRECT(X$3),'Struktur Vorjahr'!$D408,INDIRECT(X$5)))</f>
        <v>0</v>
      </c>
      <c r="Y408" s="593">
        <f ca="1">$E408*(-SUMIF(INDIRECT(Y$3),'Struktur Vorjahr'!$D408,INDIRECT(Y$4))+SUMIF(INDIRECT(Y$3),'Struktur Vorjahr'!$D408,INDIRECT(Y$5)))</f>
        <v>0</v>
      </c>
      <c r="Z408" s="593">
        <f ca="1">$E408*(-SUMIF(INDIRECT(Z$3),'Struktur Vorjahr'!$D408,INDIRECT(Z$4))+SUMIF(INDIRECT(Z$3),'Struktur Vorjahr'!$D408,INDIRECT(Z$5)))</f>
        <v>0</v>
      </c>
      <c r="AA408" s="593">
        <f ca="1">$E408*(-SUMIF(INDIRECT(AA$3),'Struktur Vorjahr'!$D408,INDIRECT(AA$4))+SUMIF(INDIRECT(AA$3),'Struktur Vorjahr'!$D408,INDIRECT(AA$5)))</f>
        <v>0</v>
      </c>
      <c r="AB408" s="593">
        <f ca="1">$E408*(-SUMIF(INDIRECT(AB$3),'Struktur Vorjahr'!$D408,INDIRECT(AB$4))+SUMIF(INDIRECT(AB$3),'Struktur Vorjahr'!$D408,INDIRECT(AB$5)))</f>
        <v>0</v>
      </c>
      <c r="AC408" s="593">
        <f ca="1">$E408*(-SUMIF(INDIRECT(AC$3),'Struktur Vorjahr'!$D408,INDIRECT(AC$4))+SUMIF(INDIRECT(AC$3),'Struktur Vorjahr'!$D408,INDIRECT(AC$5)))</f>
        <v>0</v>
      </c>
      <c r="AD408" s="593">
        <f ca="1">$E408*(-SUMIF(INDIRECT(AD$3),'Struktur Vorjahr'!$D408,INDIRECT(AD$4))+SUMIF(INDIRECT(AD$3),'Struktur Vorjahr'!$D408,INDIRECT(AD$5)))</f>
        <v>0</v>
      </c>
      <c r="AE408" s="593">
        <f t="shared" ca="1" si="205"/>
        <v>0</v>
      </c>
      <c r="AF408" s="593">
        <f t="shared" ca="1" si="206"/>
        <v>0</v>
      </c>
      <c r="AG408" s="593">
        <f t="shared" ca="1" si="206"/>
        <v>0</v>
      </c>
      <c r="AH408" s="593">
        <f t="shared" ca="1" si="206"/>
        <v>0</v>
      </c>
      <c r="AI408" s="593">
        <f t="shared" ca="1" si="206"/>
        <v>0</v>
      </c>
      <c r="AJ408" s="593">
        <f t="shared" ca="1" si="206"/>
        <v>0</v>
      </c>
      <c r="AK408" s="593">
        <f t="shared" ca="1" si="206"/>
        <v>0</v>
      </c>
      <c r="AL408" s="593">
        <f t="shared" ca="1" si="206"/>
        <v>0</v>
      </c>
      <c r="AM408" s="593">
        <f t="shared" ca="1" si="206"/>
        <v>0</v>
      </c>
      <c r="AN408" s="593">
        <f t="shared" ca="1" si="206"/>
        <v>0</v>
      </c>
      <c r="AO408" s="593">
        <f t="shared" ca="1" si="206"/>
        <v>0</v>
      </c>
      <c r="AP408" s="593">
        <f t="shared" ca="1" si="206"/>
        <v>0</v>
      </c>
    </row>
    <row r="409" spans="1:42" s="594" customFormat="1" ht="11.25" outlineLevel="1" x14ac:dyDescent="0.2">
      <c r="A409" s="644"/>
      <c r="B409" s="591" t="str">
        <f>IF(D409&lt;&gt;"",
IF(ISERROR(MATCH(D409,'Ist Vorjahr Monat 01'!A:A,0))=FALSE,INDEX('Ist Vorjahr Monat 01'!B:B,MATCH(D409,'Ist Vorjahr Monat 01'!A:A,0)),
IF(ISERROR(MATCH(D409,'Ist Vorjahr Monat 02'!A:A,0))=FALSE,INDEX('Ist Vorjahr Monat 02'!B:B,MATCH(D409,'Ist Vorjahr Monat 02'!A:A,0)),
IF(ISERROR(MATCH(D409,'Ist Vorjahr Monat 03'!A:A,0))=FALSE,INDEX('Ist Vorjahr Monat 03'!B:B,MATCH(D409,'Ist Vorjahr Monat 03'!A:A,0)),
IF(ISERROR(MATCH(D409,'Ist Vorjahr Monat 04'!A:A,0))=FALSE,INDEX('Ist Vorjahr Monat 04'!B:B,MATCH(D409,'Ist Vorjahr Monat 04'!A:A,0)),
IF(ISERROR(MATCH(D409,'Ist Vorjahr Monat 05'!A:A,0))=FALSE,INDEX('Ist Vorjahr Monat 05'!B:B,MATCH(D409,'Ist Vorjahr Monat 05'!A:A,0)),
IF(ISERROR(MATCH(D409,'Ist Vorjahr Monat 06'!A:A,0))=FALSE,INDEX('Ist Vorjahr Monat 06'!B:B,MATCH(D409,'Ist Vorjahr Monat 06'!A:A,0)),
IF(ISERROR(MATCH(D409,'Ist Vorjahr Monat 07'!A:A,0))=FALSE,INDEX('Ist Vorjahr Monat 07'!B:B,MATCH(D409,'Ist Vorjahr Monat 07'!A:A,0)),
IF(ISERROR(MATCH(D409,'Ist Vorjahr Monat 08'!A:A,0))=FALSE,INDEX('Ist Vorjahr Monat 08'!B:B,MATCH(D409,'Ist Vorjahr Monat 08'!A:A,0)),
IF(ISERROR(MATCH(D409,'Ist Vorjahr Monat 09'!A:A,0))=FALSE,INDEX('Ist Vorjahr Monat 09'!B:B,MATCH(D409,'Ist Vorjahr Monat 09'!A:A,0)),
IF(ISERROR(MATCH(D409,'Ist Vorjahr Monat 10'!A:A,0))=FALSE,INDEX('Ist Vorjahr Monat 10'!B:B,MATCH(D409,'Ist Vorjahr Monat 10'!A:A,0)),
IF(ISERROR(MATCH(D409,'Ist Vorjahr Monat 11'!A:A,0))=FALSE,INDEX('Ist Vorjahr Monat 11'!B:B,MATCH(D409,'Ist Vorjahr Monat 11'!A:A,0)),
IF(ISERROR(MATCH(D409,'Ist Vorjahr Monat 12'!A:A,0))=FALSE,INDEX('Ist Vorjahr Monat 12'!B:B,MATCH(D409,'Ist Vorjahr Monat 12'!A:A,0)),
"{Konto unbekannt}"
)))))))))))),"")</f>
        <v/>
      </c>
      <c r="C409" s="1062"/>
      <c r="D409" s="1067"/>
      <c r="E409" s="625">
        <f t="shared" si="186"/>
        <v>1</v>
      </c>
      <c r="F409" s="626"/>
      <c r="G409" s="593">
        <f ca="1">$E409*(-SUMIF(INDIRECT(G$3),'Struktur Vorjahr'!$D409,INDIRECT(G$4))+SUMIF(INDIRECT(G$3),'Struktur Vorjahr'!$D409,INDIRECT(G$5)))</f>
        <v>0</v>
      </c>
      <c r="H409" s="593">
        <f ca="1">$E409*(-SUMIF(INDIRECT(H$3),'Struktur Vorjahr'!$D409,INDIRECT(H$4))+SUMIF(INDIRECT(H$3),'Struktur Vorjahr'!$D409,INDIRECT(H$5)))</f>
        <v>0</v>
      </c>
      <c r="I409" s="593">
        <f ca="1">$E409*(-SUMIF(INDIRECT(I$3),'Struktur Vorjahr'!$D409,INDIRECT(I$4))+SUMIF(INDIRECT(I$3),'Struktur Vorjahr'!$D409,INDIRECT(I$5)))</f>
        <v>0</v>
      </c>
      <c r="J409" s="593">
        <f ca="1">$E409*(-SUMIF(INDIRECT(J$3),'Struktur Vorjahr'!$D409,INDIRECT(J$4))+SUMIF(INDIRECT(J$3),'Struktur Vorjahr'!$D409,INDIRECT(J$5)))</f>
        <v>0</v>
      </c>
      <c r="K409" s="593">
        <f ca="1">$E409*(-SUMIF(INDIRECT(K$3),'Struktur Vorjahr'!$D409,INDIRECT(K$4))+SUMIF(INDIRECT(K$3),'Struktur Vorjahr'!$D409,INDIRECT(K$5)))</f>
        <v>0</v>
      </c>
      <c r="L409" s="593">
        <f ca="1">$E409*(-SUMIF(INDIRECT(L$3),'Struktur Vorjahr'!$D409,INDIRECT(L$4))+SUMIF(INDIRECT(L$3),'Struktur Vorjahr'!$D409,INDIRECT(L$5)))</f>
        <v>0</v>
      </c>
      <c r="M409" s="593">
        <f ca="1">$E409*(-SUMIF(INDIRECT(M$3),'Struktur Vorjahr'!$D409,INDIRECT(M$4))+SUMIF(INDIRECT(M$3),'Struktur Vorjahr'!$D409,INDIRECT(M$5)))</f>
        <v>0</v>
      </c>
      <c r="N409" s="593">
        <f ca="1">$E409*(-SUMIF(INDIRECT(N$3),'Struktur Vorjahr'!$D409,INDIRECT(N$4))+SUMIF(INDIRECT(N$3),'Struktur Vorjahr'!$D409,INDIRECT(N$5)))</f>
        <v>0</v>
      </c>
      <c r="O409" s="593">
        <f ca="1">$E409*(-SUMIF(INDIRECT(O$3),'Struktur Vorjahr'!$D409,INDIRECT(O$4))+SUMIF(INDIRECT(O$3),'Struktur Vorjahr'!$D409,INDIRECT(O$5)))</f>
        <v>0</v>
      </c>
      <c r="P409" s="593">
        <f ca="1">$E409*(-SUMIF(INDIRECT(P$3),'Struktur Vorjahr'!$D409,INDIRECT(P$4))+SUMIF(INDIRECT(P$3),'Struktur Vorjahr'!$D409,INDIRECT(P$5)))</f>
        <v>0</v>
      </c>
      <c r="Q409" s="593">
        <f ca="1">$E409*(-SUMIF(INDIRECT(Q$3),'Struktur Vorjahr'!$D409,INDIRECT(Q$4))+SUMIF(INDIRECT(Q$3),'Struktur Vorjahr'!$D409,INDIRECT(Q$5)))</f>
        <v>0</v>
      </c>
      <c r="R409" s="593">
        <f ca="1">$E409*(-SUMIF(INDIRECT(R$3),'Struktur Vorjahr'!$D409,INDIRECT(R$4))+SUMIF(INDIRECT(R$3),'Struktur Vorjahr'!$D409,INDIRECT(R$5)))</f>
        <v>0</v>
      </c>
      <c r="S409" s="593">
        <f ca="1">$E409*(-SUMIF(INDIRECT(S$3),'Struktur Vorjahr'!$D409,INDIRECT(S$4))+SUMIF(INDIRECT(S$3),'Struktur Vorjahr'!$D409,INDIRECT(S$5)))</f>
        <v>0</v>
      </c>
      <c r="T409" s="593">
        <f ca="1">$E409*(-SUMIF(INDIRECT(T$3),'Struktur Vorjahr'!$D409,INDIRECT(T$4))+SUMIF(INDIRECT(T$3),'Struktur Vorjahr'!$D409,INDIRECT(T$5)))</f>
        <v>0</v>
      </c>
      <c r="U409" s="593">
        <f ca="1">$E409*(-SUMIF(INDIRECT(U$3),'Struktur Vorjahr'!$D409,INDIRECT(U$4))+SUMIF(INDIRECT(U$3),'Struktur Vorjahr'!$D409,INDIRECT(U$5)))</f>
        <v>0</v>
      </c>
      <c r="V409" s="593">
        <f ca="1">$E409*(-SUMIF(INDIRECT(V$3),'Struktur Vorjahr'!$D409,INDIRECT(V$4))+SUMIF(INDIRECT(V$3),'Struktur Vorjahr'!$D409,INDIRECT(V$5)))</f>
        <v>0</v>
      </c>
      <c r="W409" s="593">
        <f ca="1">$E409*(-SUMIF(INDIRECT(W$3),'Struktur Vorjahr'!$D409,INDIRECT(W$4))+SUMIF(INDIRECT(W$3),'Struktur Vorjahr'!$D409,INDIRECT(W$5)))</f>
        <v>0</v>
      </c>
      <c r="X409" s="593">
        <f ca="1">$E409*(-SUMIF(INDIRECT(X$3),'Struktur Vorjahr'!$D409,INDIRECT(X$4))+SUMIF(INDIRECT(X$3),'Struktur Vorjahr'!$D409,INDIRECT(X$5)))</f>
        <v>0</v>
      </c>
      <c r="Y409" s="593">
        <f ca="1">$E409*(-SUMIF(INDIRECT(Y$3),'Struktur Vorjahr'!$D409,INDIRECT(Y$4))+SUMIF(INDIRECT(Y$3),'Struktur Vorjahr'!$D409,INDIRECT(Y$5)))</f>
        <v>0</v>
      </c>
      <c r="Z409" s="593">
        <f ca="1">$E409*(-SUMIF(INDIRECT(Z$3),'Struktur Vorjahr'!$D409,INDIRECT(Z$4))+SUMIF(INDIRECT(Z$3),'Struktur Vorjahr'!$D409,INDIRECT(Z$5)))</f>
        <v>0</v>
      </c>
      <c r="AA409" s="593">
        <f ca="1">$E409*(-SUMIF(INDIRECT(AA$3),'Struktur Vorjahr'!$D409,INDIRECT(AA$4))+SUMIF(INDIRECT(AA$3),'Struktur Vorjahr'!$D409,INDIRECT(AA$5)))</f>
        <v>0</v>
      </c>
      <c r="AB409" s="593">
        <f ca="1">$E409*(-SUMIF(INDIRECT(AB$3),'Struktur Vorjahr'!$D409,INDIRECT(AB$4))+SUMIF(INDIRECT(AB$3),'Struktur Vorjahr'!$D409,INDIRECT(AB$5)))</f>
        <v>0</v>
      </c>
      <c r="AC409" s="593">
        <f ca="1">$E409*(-SUMIF(INDIRECT(AC$3),'Struktur Vorjahr'!$D409,INDIRECT(AC$4))+SUMIF(INDIRECT(AC$3),'Struktur Vorjahr'!$D409,INDIRECT(AC$5)))</f>
        <v>0</v>
      </c>
      <c r="AD409" s="593">
        <f ca="1">$E409*(-SUMIF(INDIRECT(AD$3),'Struktur Vorjahr'!$D409,INDIRECT(AD$4))+SUMIF(INDIRECT(AD$3),'Struktur Vorjahr'!$D409,INDIRECT(AD$5)))</f>
        <v>0</v>
      </c>
      <c r="AE409" s="593">
        <f t="shared" ca="1" si="205"/>
        <v>0</v>
      </c>
      <c r="AF409" s="593">
        <f t="shared" ca="1" si="206"/>
        <v>0</v>
      </c>
      <c r="AG409" s="593">
        <f t="shared" ca="1" si="206"/>
        <v>0</v>
      </c>
      <c r="AH409" s="593">
        <f t="shared" ca="1" si="206"/>
        <v>0</v>
      </c>
      <c r="AI409" s="593">
        <f t="shared" ca="1" si="206"/>
        <v>0</v>
      </c>
      <c r="AJ409" s="593">
        <f t="shared" ca="1" si="206"/>
        <v>0</v>
      </c>
      <c r="AK409" s="593">
        <f t="shared" ca="1" si="206"/>
        <v>0</v>
      </c>
      <c r="AL409" s="593">
        <f t="shared" ca="1" si="206"/>
        <v>0</v>
      </c>
      <c r="AM409" s="593">
        <f t="shared" ca="1" si="206"/>
        <v>0</v>
      </c>
      <c r="AN409" s="593">
        <f t="shared" ca="1" si="206"/>
        <v>0</v>
      </c>
      <c r="AO409" s="593">
        <f t="shared" ca="1" si="206"/>
        <v>0</v>
      </c>
      <c r="AP409" s="593">
        <f t="shared" ca="1" si="206"/>
        <v>0</v>
      </c>
    </row>
    <row r="410" spans="1:42" s="594" customFormat="1" ht="11.25" outlineLevel="1" x14ac:dyDescent="0.2">
      <c r="A410" s="644"/>
      <c r="B410" s="591" t="str">
        <f>IF(D410&lt;&gt;"",
IF(ISERROR(MATCH(D410,'Ist Vorjahr Monat 01'!A:A,0))=FALSE,INDEX('Ist Vorjahr Monat 01'!B:B,MATCH(D410,'Ist Vorjahr Monat 01'!A:A,0)),
IF(ISERROR(MATCH(D410,'Ist Vorjahr Monat 02'!A:A,0))=FALSE,INDEX('Ist Vorjahr Monat 02'!B:B,MATCH(D410,'Ist Vorjahr Monat 02'!A:A,0)),
IF(ISERROR(MATCH(D410,'Ist Vorjahr Monat 03'!A:A,0))=FALSE,INDEX('Ist Vorjahr Monat 03'!B:B,MATCH(D410,'Ist Vorjahr Monat 03'!A:A,0)),
IF(ISERROR(MATCH(D410,'Ist Vorjahr Monat 04'!A:A,0))=FALSE,INDEX('Ist Vorjahr Monat 04'!B:B,MATCH(D410,'Ist Vorjahr Monat 04'!A:A,0)),
IF(ISERROR(MATCH(D410,'Ist Vorjahr Monat 05'!A:A,0))=FALSE,INDEX('Ist Vorjahr Monat 05'!B:B,MATCH(D410,'Ist Vorjahr Monat 05'!A:A,0)),
IF(ISERROR(MATCH(D410,'Ist Vorjahr Monat 06'!A:A,0))=FALSE,INDEX('Ist Vorjahr Monat 06'!B:B,MATCH(D410,'Ist Vorjahr Monat 06'!A:A,0)),
IF(ISERROR(MATCH(D410,'Ist Vorjahr Monat 07'!A:A,0))=FALSE,INDEX('Ist Vorjahr Monat 07'!B:B,MATCH(D410,'Ist Vorjahr Monat 07'!A:A,0)),
IF(ISERROR(MATCH(D410,'Ist Vorjahr Monat 08'!A:A,0))=FALSE,INDEX('Ist Vorjahr Monat 08'!B:B,MATCH(D410,'Ist Vorjahr Monat 08'!A:A,0)),
IF(ISERROR(MATCH(D410,'Ist Vorjahr Monat 09'!A:A,0))=FALSE,INDEX('Ist Vorjahr Monat 09'!B:B,MATCH(D410,'Ist Vorjahr Monat 09'!A:A,0)),
IF(ISERROR(MATCH(D410,'Ist Vorjahr Monat 10'!A:A,0))=FALSE,INDEX('Ist Vorjahr Monat 10'!B:B,MATCH(D410,'Ist Vorjahr Monat 10'!A:A,0)),
IF(ISERROR(MATCH(D410,'Ist Vorjahr Monat 11'!A:A,0))=FALSE,INDEX('Ist Vorjahr Monat 11'!B:B,MATCH(D410,'Ist Vorjahr Monat 11'!A:A,0)),
IF(ISERROR(MATCH(D410,'Ist Vorjahr Monat 12'!A:A,0))=FALSE,INDEX('Ist Vorjahr Monat 12'!B:B,MATCH(D410,'Ist Vorjahr Monat 12'!A:A,0)),
"{Konto unbekannt}"
)))))))))))),"")</f>
        <v/>
      </c>
      <c r="C410" s="1062"/>
      <c r="D410" s="1067"/>
      <c r="E410" s="625">
        <f t="shared" si="186"/>
        <v>1</v>
      </c>
      <c r="F410" s="626"/>
      <c r="G410" s="593">
        <f ca="1">$E410*(-SUMIF(INDIRECT(G$3),'Struktur Vorjahr'!$D410,INDIRECT(G$4))+SUMIF(INDIRECT(G$3),'Struktur Vorjahr'!$D410,INDIRECT(G$5)))</f>
        <v>0</v>
      </c>
      <c r="H410" s="593">
        <f ca="1">$E410*(-SUMIF(INDIRECT(H$3),'Struktur Vorjahr'!$D410,INDIRECT(H$4))+SUMIF(INDIRECT(H$3),'Struktur Vorjahr'!$D410,INDIRECT(H$5)))</f>
        <v>0</v>
      </c>
      <c r="I410" s="593">
        <f ca="1">$E410*(-SUMIF(INDIRECT(I$3),'Struktur Vorjahr'!$D410,INDIRECT(I$4))+SUMIF(INDIRECT(I$3),'Struktur Vorjahr'!$D410,INDIRECT(I$5)))</f>
        <v>0</v>
      </c>
      <c r="J410" s="593">
        <f ca="1">$E410*(-SUMIF(INDIRECT(J$3),'Struktur Vorjahr'!$D410,INDIRECT(J$4))+SUMIF(INDIRECT(J$3),'Struktur Vorjahr'!$D410,INDIRECT(J$5)))</f>
        <v>0</v>
      </c>
      <c r="K410" s="593">
        <f ca="1">$E410*(-SUMIF(INDIRECT(K$3),'Struktur Vorjahr'!$D410,INDIRECT(K$4))+SUMIF(INDIRECT(K$3),'Struktur Vorjahr'!$D410,INDIRECT(K$5)))</f>
        <v>0</v>
      </c>
      <c r="L410" s="593">
        <f ca="1">$E410*(-SUMIF(INDIRECT(L$3),'Struktur Vorjahr'!$D410,INDIRECT(L$4))+SUMIF(INDIRECT(L$3),'Struktur Vorjahr'!$D410,INDIRECT(L$5)))</f>
        <v>0</v>
      </c>
      <c r="M410" s="593">
        <f ca="1">$E410*(-SUMIF(INDIRECT(M$3),'Struktur Vorjahr'!$D410,INDIRECT(M$4))+SUMIF(INDIRECT(M$3),'Struktur Vorjahr'!$D410,INDIRECT(M$5)))</f>
        <v>0</v>
      </c>
      <c r="N410" s="593">
        <f ca="1">$E410*(-SUMIF(INDIRECT(N$3),'Struktur Vorjahr'!$D410,INDIRECT(N$4))+SUMIF(INDIRECT(N$3),'Struktur Vorjahr'!$D410,INDIRECT(N$5)))</f>
        <v>0</v>
      </c>
      <c r="O410" s="593">
        <f ca="1">$E410*(-SUMIF(INDIRECT(O$3),'Struktur Vorjahr'!$D410,INDIRECT(O$4))+SUMIF(INDIRECT(O$3),'Struktur Vorjahr'!$D410,INDIRECT(O$5)))</f>
        <v>0</v>
      </c>
      <c r="P410" s="593">
        <f ca="1">$E410*(-SUMIF(INDIRECT(P$3),'Struktur Vorjahr'!$D410,INDIRECT(P$4))+SUMIF(INDIRECT(P$3),'Struktur Vorjahr'!$D410,INDIRECT(P$5)))</f>
        <v>0</v>
      </c>
      <c r="Q410" s="593">
        <f ca="1">$E410*(-SUMIF(INDIRECT(Q$3),'Struktur Vorjahr'!$D410,INDIRECT(Q$4))+SUMIF(INDIRECT(Q$3),'Struktur Vorjahr'!$D410,INDIRECT(Q$5)))</f>
        <v>0</v>
      </c>
      <c r="R410" s="593">
        <f ca="1">$E410*(-SUMIF(INDIRECT(R$3),'Struktur Vorjahr'!$D410,INDIRECT(R$4))+SUMIF(INDIRECT(R$3),'Struktur Vorjahr'!$D410,INDIRECT(R$5)))</f>
        <v>0</v>
      </c>
      <c r="S410" s="593">
        <f ca="1">$E410*(-SUMIF(INDIRECT(S$3),'Struktur Vorjahr'!$D410,INDIRECT(S$4))+SUMIF(INDIRECT(S$3),'Struktur Vorjahr'!$D410,INDIRECT(S$5)))</f>
        <v>0</v>
      </c>
      <c r="T410" s="593">
        <f ca="1">$E410*(-SUMIF(INDIRECT(T$3),'Struktur Vorjahr'!$D410,INDIRECT(T$4))+SUMIF(INDIRECT(T$3),'Struktur Vorjahr'!$D410,INDIRECT(T$5)))</f>
        <v>0</v>
      </c>
      <c r="U410" s="593">
        <f ca="1">$E410*(-SUMIF(INDIRECT(U$3),'Struktur Vorjahr'!$D410,INDIRECT(U$4))+SUMIF(INDIRECT(U$3),'Struktur Vorjahr'!$D410,INDIRECT(U$5)))</f>
        <v>0</v>
      </c>
      <c r="V410" s="593">
        <f ca="1">$E410*(-SUMIF(INDIRECT(V$3),'Struktur Vorjahr'!$D410,INDIRECT(V$4))+SUMIF(INDIRECT(V$3),'Struktur Vorjahr'!$D410,INDIRECT(V$5)))</f>
        <v>0</v>
      </c>
      <c r="W410" s="593">
        <f ca="1">$E410*(-SUMIF(INDIRECT(W$3),'Struktur Vorjahr'!$D410,INDIRECT(W$4))+SUMIF(INDIRECT(W$3),'Struktur Vorjahr'!$D410,INDIRECT(W$5)))</f>
        <v>0</v>
      </c>
      <c r="X410" s="593">
        <f ca="1">$E410*(-SUMIF(INDIRECT(X$3),'Struktur Vorjahr'!$D410,INDIRECT(X$4))+SUMIF(INDIRECT(X$3),'Struktur Vorjahr'!$D410,INDIRECT(X$5)))</f>
        <v>0</v>
      </c>
      <c r="Y410" s="593">
        <f ca="1">$E410*(-SUMIF(INDIRECT(Y$3),'Struktur Vorjahr'!$D410,INDIRECT(Y$4))+SUMIF(INDIRECT(Y$3),'Struktur Vorjahr'!$D410,INDIRECT(Y$5)))</f>
        <v>0</v>
      </c>
      <c r="Z410" s="593">
        <f ca="1">$E410*(-SUMIF(INDIRECT(Z$3),'Struktur Vorjahr'!$D410,INDIRECT(Z$4))+SUMIF(INDIRECT(Z$3),'Struktur Vorjahr'!$D410,INDIRECT(Z$5)))</f>
        <v>0</v>
      </c>
      <c r="AA410" s="593">
        <f ca="1">$E410*(-SUMIF(INDIRECT(AA$3),'Struktur Vorjahr'!$D410,INDIRECT(AA$4))+SUMIF(INDIRECT(AA$3),'Struktur Vorjahr'!$D410,INDIRECT(AA$5)))</f>
        <v>0</v>
      </c>
      <c r="AB410" s="593">
        <f ca="1">$E410*(-SUMIF(INDIRECT(AB$3),'Struktur Vorjahr'!$D410,INDIRECT(AB$4))+SUMIF(INDIRECT(AB$3),'Struktur Vorjahr'!$D410,INDIRECT(AB$5)))</f>
        <v>0</v>
      </c>
      <c r="AC410" s="593">
        <f ca="1">$E410*(-SUMIF(INDIRECT(AC$3),'Struktur Vorjahr'!$D410,INDIRECT(AC$4))+SUMIF(INDIRECT(AC$3),'Struktur Vorjahr'!$D410,INDIRECT(AC$5)))</f>
        <v>0</v>
      </c>
      <c r="AD410" s="593">
        <f ca="1">$E410*(-SUMIF(INDIRECT(AD$3),'Struktur Vorjahr'!$D410,INDIRECT(AD$4))+SUMIF(INDIRECT(AD$3),'Struktur Vorjahr'!$D410,INDIRECT(AD$5)))</f>
        <v>0</v>
      </c>
      <c r="AE410" s="593">
        <f t="shared" ca="1" si="205"/>
        <v>0</v>
      </c>
      <c r="AF410" s="593">
        <f t="shared" ca="1" si="206"/>
        <v>0</v>
      </c>
      <c r="AG410" s="593">
        <f t="shared" ca="1" si="206"/>
        <v>0</v>
      </c>
      <c r="AH410" s="593">
        <f t="shared" ca="1" si="206"/>
        <v>0</v>
      </c>
      <c r="AI410" s="593">
        <f t="shared" ca="1" si="206"/>
        <v>0</v>
      </c>
      <c r="AJ410" s="593">
        <f t="shared" ca="1" si="206"/>
        <v>0</v>
      </c>
      <c r="AK410" s="593">
        <f t="shared" ca="1" si="206"/>
        <v>0</v>
      </c>
      <c r="AL410" s="593">
        <f t="shared" ca="1" si="206"/>
        <v>0</v>
      </c>
      <c r="AM410" s="593">
        <f t="shared" ca="1" si="206"/>
        <v>0</v>
      </c>
      <c r="AN410" s="593">
        <f t="shared" ca="1" si="206"/>
        <v>0</v>
      </c>
      <c r="AO410" s="593">
        <f t="shared" ca="1" si="206"/>
        <v>0</v>
      </c>
      <c r="AP410" s="593">
        <f t="shared" ca="1" si="206"/>
        <v>0</v>
      </c>
    </row>
    <row r="411" spans="1:42" s="594" customFormat="1" ht="11.25" outlineLevel="1" x14ac:dyDescent="0.2">
      <c r="A411" s="644"/>
      <c r="B411" s="591" t="str">
        <f>IF(D411&lt;&gt;"",
IF(ISERROR(MATCH(D411,'Ist Vorjahr Monat 01'!A:A,0))=FALSE,INDEX('Ist Vorjahr Monat 01'!B:B,MATCH(D411,'Ist Vorjahr Monat 01'!A:A,0)),
IF(ISERROR(MATCH(D411,'Ist Vorjahr Monat 02'!A:A,0))=FALSE,INDEX('Ist Vorjahr Monat 02'!B:B,MATCH(D411,'Ist Vorjahr Monat 02'!A:A,0)),
IF(ISERROR(MATCH(D411,'Ist Vorjahr Monat 03'!A:A,0))=FALSE,INDEX('Ist Vorjahr Monat 03'!B:B,MATCH(D411,'Ist Vorjahr Monat 03'!A:A,0)),
IF(ISERROR(MATCH(D411,'Ist Vorjahr Monat 04'!A:A,0))=FALSE,INDEX('Ist Vorjahr Monat 04'!B:B,MATCH(D411,'Ist Vorjahr Monat 04'!A:A,0)),
IF(ISERROR(MATCH(D411,'Ist Vorjahr Monat 05'!A:A,0))=FALSE,INDEX('Ist Vorjahr Monat 05'!B:B,MATCH(D411,'Ist Vorjahr Monat 05'!A:A,0)),
IF(ISERROR(MATCH(D411,'Ist Vorjahr Monat 06'!A:A,0))=FALSE,INDEX('Ist Vorjahr Monat 06'!B:B,MATCH(D411,'Ist Vorjahr Monat 06'!A:A,0)),
IF(ISERROR(MATCH(D411,'Ist Vorjahr Monat 07'!A:A,0))=FALSE,INDEX('Ist Vorjahr Monat 07'!B:B,MATCH(D411,'Ist Vorjahr Monat 07'!A:A,0)),
IF(ISERROR(MATCH(D411,'Ist Vorjahr Monat 08'!A:A,0))=FALSE,INDEX('Ist Vorjahr Monat 08'!B:B,MATCH(D411,'Ist Vorjahr Monat 08'!A:A,0)),
IF(ISERROR(MATCH(D411,'Ist Vorjahr Monat 09'!A:A,0))=FALSE,INDEX('Ist Vorjahr Monat 09'!B:B,MATCH(D411,'Ist Vorjahr Monat 09'!A:A,0)),
IF(ISERROR(MATCH(D411,'Ist Vorjahr Monat 10'!A:A,0))=FALSE,INDEX('Ist Vorjahr Monat 10'!B:B,MATCH(D411,'Ist Vorjahr Monat 10'!A:A,0)),
IF(ISERROR(MATCH(D411,'Ist Vorjahr Monat 11'!A:A,0))=FALSE,INDEX('Ist Vorjahr Monat 11'!B:B,MATCH(D411,'Ist Vorjahr Monat 11'!A:A,0)),
IF(ISERROR(MATCH(D411,'Ist Vorjahr Monat 12'!A:A,0))=FALSE,INDEX('Ist Vorjahr Monat 12'!B:B,MATCH(D411,'Ist Vorjahr Monat 12'!A:A,0)),
"{Konto unbekannt}"
)))))))))))),"")</f>
        <v/>
      </c>
      <c r="C411" s="1062"/>
      <c r="D411" s="1067"/>
      <c r="E411" s="625">
        <f t="shared" si="186"/>
        <v>1</v>
      </c>
      <c r="F411" s="626"/>
      <c r="G411" s="593">
        <f ca="1">$E411*(-SUMIF(INDIRECT(G$3),'Struktur Vorjahr'!$D411,INDIRECT(G$4))+SUMIF(INDIRECT(G$3),'Struktur Vorjahr'!$D411,INDIRECT(G$5)))</f>
        <v>0</v>
      </c>
      <c r="H411" s="593">
        <f ca="1">$E411*(-SUMIF(INDIRECT(H$3),'Struktur Vorjahr'!$D411,INDIRECT(H$4))+SUMIF(INDIRECT(H$3),'Struktur Vorjahr'!$D411,INDIRECT(H$5)))</f>
        <v>0</v>
      </c>
      <c r="I411" s="593">
        <f ca="1">$E411*(-SUMIF(INDIRECT(I$3),'Struktur Vorjahr'!$D411,INDIRECT(I$4))+SUMIF(INDIRECT(I$3),'Struktur Vorjahr'!$D411,INDIRECT(I$5)))</f>
        <v>0</v>
      </c>
      <c r="J411" s="593">
        <f ca="1">$E411*(-SUMIF(INDIRECT(J$3),'Struktur Vorjahr'!$D411,INDIRECT(J$4))+SUMIF(INDIRECT(J$3),'Struktur Vorjahr'!$D411,INDIRECT(J$5)))</f>
        <v>0</v>
      </c>
      <c r="K411" s="593">
        <f ca="1">$E411*(-SUMIF(INDIRECT(K$3),'Struktur Vorjahr'!$D411,INDIRECT(K$4))+SUMIF(INDIRECT(K$3),'Struktur Vorjahr'!$D411,INDIRECT(K$5)))</f>
        <v>0</v>
      </c>
      <c r="L411" s="593">
        <f ca="1">$E411*(-SUMIF(INDIRECT(L$3),'Struktur Vorjahr'!$D411,INDIRECT(L$4))+SUMIF(INDIRECT(L$3),'Struktur Vorjahr'!$D411,INDIRECT(L$5)))</f>
        <v>0</v>
      </c>
      <c r="M411" s="593">
        <f ca="1">$E411*(-SUMIF(INDIRECT(M$3),'Struktur Vorjahr'!$D411,INDIRECT(M$4))+SUMIF(INDIRECT(M$3),'Struktur Vorjahr'!$D411,INDIRECT(M$5)))</f>
        <v>0</v>
      </c>
      <c r="N411" s="593">
        <f ca="1">$E411*(-SUMIF(INDIRECT(N$3),'Struktur Vorjahr'!$D411,INDIRECT(N$4))+SUMIF(INDIRECT(N$3),'Struktur Vorjahr'!$D411,INDIRECT(N$5)))</f>
        <v>0</v>
      </c>
      <c r="O411" s="593">
        <f ca="1">$E411*(-SUMIF(INDIRECT(O$3),'Struktur Vorjahr'!$D411,INDIRECT(O$4))+SUMIF(INDIRECT(O$3),'Struktur Vorjahr'!$D411,INDIRECT(O$5)))</f>
        <v>0</v>
      </c>
      <c r="P411" s="593">
        <f ca="1">$E411*(-SUMIF(INDIRECT(P$3),'Struktur Vorjahr'!$D411,INDIRECT(P$4))+SUMIF(INDIRECT(P$3),'Struktur Vorjahr'!$D411,INDIRECT(P$5)))</f>
        <v>0</v>
      </c>
      <c r="Q411" s="593">
        <f ca="1">$E411*(-SUMIF(INDIRECT(Q$3),'Struktur Vorjahr'!$D411,INDIRECT(Q$4))+SUMIF(INDIRECT(Q$3),'Struktur Vorjahr'!$D411,INDIRECT(Q$5)))</f>
        <v>0</v>
      </c>
      <c r="R411" s="593">
        <f ca="1">$E411*(-SUMIF(INDIRECT(R$3),'Struktur Vorjahr'!$D411,INDIRECT(R$4))+SUMIF(INDIRECT(R$3),'Struktur Vorjahr'!$D411,INDIRECT(R$5)))</f>
        <v>0</v>
      </c>
      <c r="S411" s="593">
        <f ca="1">$E411*(-SUMIF(INDIRECT(S$3),'Struktur Vorjahr'!$D411,INDIRECT(S$4))+SUMIF(INDIRECT(S$3),'Struktur Vorjahr'!$D411,INDIRECT(S$5)))</f>
        <v>0</v>
      </c>
      <c r="T411" s="593">
        <f ca="1">$E411*(-SUMIF(INDIRECT(T$3),'Struktur Vorjahr'!$D411,INDIRECT(T$4))+SUMIF(INDIRECT(T$3),'Struktur Vorjahr'!$D411,INDIRECT(T$5)))</f>
        <v>0</v>
      </c>
      <c r="U411" s="593">
        <f ca="1">$E411*(-SUMIF(INDIRECT(U$3),'Struktur Vorjahr'!$D411,INDIRECT(U$4))+SUMIF(INDIRECT(U$3),'Struktur Vorjahr'!$D411,INDIRECT(U$5)))</f>
        <v>0</v>
      </c>
      <c r="V411" s="593">
        <f ca="1">$E411*(-SUMIF(INDIRECT(V$3),'Struktur Vorjahr'!$D411,INDIRECT(V$4))+SUMIF(INDIRECT(V$3),'Struktur Vorjahr'!$D411,INDIRECT(V$5)))</f>
        <v>0</v>
      </c>
      <c r="W411" s="593">
        <f ca="1">$E411*(-SUMIF(INDIRECT(W$3),'Struktur Vorjahr'!$D411,INDIRECT(W$4))+SUMIF(INDIRECT(W$3),'Struktur Vorjahr'!$D411,INDIRECT(W$5)))</f>
        <v>0</v>
      </c>
      <c r="X411" s="593">
        <f ca="1">$E411*(-SUMIF(INDIRECT(X$3),'Struktur Vorjahr'!$D411,INDIRECT(X$4))+SUMIF(INDIRECT(X$3),'Struktur Vorjahr'!$D411,INDIRECT(X$5)))</f>
        <v>0</v>
      </c>
      <c r="Y411" s="593">
        <f ca="1">$E411*(-SUMIF(INDIRECT(Y$3),'Struktur Vorjahr'!$D411,INDIRECT(Y$4))+SUMIF(INDIRECT(Y$3),'Struktur Vorjahr'!$D411,INDIRECT(Y$5)))</f>
        <v>0</v>
      </c>
      <c r="Z411" s="593">
        <f ca="1">$E411*(-SUMIF(INDIRECT(Z$3),'Struktur Vorjahr'!$D411,INDIRECT(Z$4))+SUMIF(INDIRECT(Z$3),'Struktur Vorjahr'!$D411,INDIRECT(Z$5)))</f>
        <v>0</v>
      </c>
      <c r="AA411" s="593">
        <f ca="1">$E411*(-SUMIF(INDIRECT(AA$3),'Struktur Vorjahr'!$D411,INDIRECT(AA$4))+SUMIF(INDIRECT(AA$3),'Struktur Vorjahr'!$D411,INDIRECT(AA$5)))</f>
        <v>0</v>
      </c>
      <c r="AB411" s="593">
        <f ca="1">$E411*(-SUMIF(INDIRECT(AB$3),'Struktur Vorjahr'!$D411,INDIRECT(AB$4))+SUMIF(INDIRECT(AB$3),'Struktur Vorjahr'!$D411,INDIRECT(AB$5)))</f>
        <v>0</v>
      </c>
      <c r="AC411" s="593">
        <f ca="1">$E411*(-SUMIF(INDIRECT(AC$3),'Struktur Vorjahr'!$D411,INDIRECT(AC$4))+SUMIF(INDIRECT(AC$3),'Struktur Vorjahr'!$D411,INDIRECT(AC$5)))</f>
        <v>0</v>
      </c>
      <c r="AD411" s="593">
        <f ca="1">$E411*(-SUMIF(INDIRECT(AD$3),'Struktur Vorjahr'!$D411,INDIRECT(AD$4))+SUMIF(INDIRECT(AD$3),'Struktur Vorjahr'!$D411,INDIRECT(AD$5)))</f>
        <v>0</v>
      </c>
      <c r="AE411" s="593">
        <f t="shared" ca="1" si="205"/>
        <v>0</v>
      </c>
      <c r="AF411" s="593">
        <f t="shared" ca="1" si="206"/>
        <v>0</v>
      </c>
      <c r="AG411" s="593">
        <f t="shared" ca="1" si="206"/>
        <v>0</v>
      </c>
      <c r="AH411" s="593">
        <f t="shared" ca="1" si="206"/>
        <v>0</v>
      </c>
      <c r="AI411" s="593">
        <f t="shared" ca="1" si="206"/>
        <v>0</v>
      </c>
      <c r="AJ411" s="593">
        <f t="shared" ca="1" si="206"/>
        <v>0</v>
      </c>
      <c r="AK411" s="593">
        <f t="shared" ca="1" si="206"/>
        <v>0</v>
      </c>
      <c r="AL411" s="593">
        <f t="shared" ca="1" si="206"/>
        <v>0</v>
      </c>
      <c r="AM411" s="593">
        <f t="shared" ca="1" si="206"/>
        <v>0</v>
      </c>
      <c r="AN411" s="593">
        <f t="shared" ca="1" si="206"/>
        <v>0</v>
      </c>
      <c r="AO411" s="593">
        <f t="shared" ca="1" si="206"/>
        <v>0</v>
      </c>
      <c r="AP411" s="593">
        <f t="shared" ca="1" si="206"/>
        <v>0</v>
      </c>
    </row>
    <row r="412" spans="1:42" s="594" customFormat="1" ht="11.25" outlineLevel="1" x14ac:dyDescent="0.2">
      <c r="A412" s="644"/>
      <c r="B412" s="591" t="str">
        <f>IF(D412&lt;&gt;"",
IF(ISERROR(MATCH(D412,'Ist Vorjahr Monat 01'!A:A,0))=FALSE,INDEX('Ist Vorjahr Monat 01'!B:B,MATCH(D412,'Ist Vorjahr Monat 01'!A:A,0)),
IF(ISERROR(MATCH(D412,'Ist Vorjahr Monat 02'!A:A,0))=FALSE,INDEX('Ist Vorjahr Monat 02'!B:B,MATCH(D412,'Ist Vorjahr Monat 02'!A:A,0)),
IF(ISERROR(MATCH(D412,'Ist Vorjahr Monat 03'!A:A,0))=FALSE,INDEX('Ist Vorjahr Monat 03'!B:B,MATCH(D412,'Ist Vorjahr Monat 03'!A:A,0)),
IF(ISERROR(MATCH(D412,'Ist Vorjahr Monat 04'!A:A,0))=FALSE,INDEX('Ist Vorjahr Monat 04'!B:B,MATCH(D412,'Ist Vorjahr Monat 04'!A:A,0)),
IF(ISERROR(MATCH(D412,'Ist Vorjahr Monat 05'!A:A,0))=FALSE,INDEX('Ist Vorjahr Monat 05'!B:B,MATCH(D412,'Ist Vorjahr Monat 05'!A:A,0)),
IF(ISERROR(MATCH(D412,'Ist Vorjahr Monat 06'!A:A,0))=FALSE,INDEX('Ist Vorjahr Monat 06'!B:B,MATCH(D412,'Ist Vorjahr Monat 06'!A:A,0)),
IF(ISERROR(MATCH(D412,'Ist Vorjahr Monat 07'!A:A,0))=FALSE,INDEX('Ist Vorjahr Monat 07'!B:B,MATCH(D412,'Ist Vorjahr Monat 07'!A:A,0)),
IF(ISERROR(MATCH(D412,'Ist Vorjahr Monat 08'!A:A,0))=FALSE,INDEX('Ist Vorjahr Monat 08'!B:B,MATCH(D412,'Ist Vorjahr Monat 08'!A:A,0)),
IF(ISERROR(MATCH(D412,'Ist Vorjahr Monat 09'!A:A,0))=FALSE,INDEX('Ist Vorjahr Monat 09'!B:B,MATCH(D412,'Ist Vorjahr Monat 09'!A:A,0)),
IF(ISERROR(MATCH(D412,'Ist Vorjahr Monat 10'!A:A,0))=FALSE,INDEX('Ist Vorjahr Monat 10'!B:B,MATCH(D412,'Ist Vorjahr Monat 10'!A:A,0)),
IF(ISERROR(MATCH(D412,'Ist Vorjahr Monat 11'!A:A,0))=FALSE,INDEX('Ist Vorjahr Monat 11'!B:B,MATCH(D412,'Ist Vorjahr Monat 11'!A:A,0)),
IF(ISERROR(MATCH(D412,'Ist Vorjahr Monat 12'!A:A,0))=FALSE,INDEX('Ist Vorjahr Monat 12'!B:B,MATCH(D412,'Ist Vorjahr Monat 12'!A:A,0)),
"{Konto unbekannt}"
)))))))))))),"")</f>
        <v/>
      </c>
      <c r="C412" s="1062"/>
      <c r="D412" s="1067"/>
      <c r="E412" s="625">
        <f t="shared" si="186"/>
        <v>1</v>
      </c>
      <c r="F412" s="626"/>
      <c r="G412" s="593">
        <f ca="1">$E412*(-SUMIF(INDIRECT(G$3),'Struktur Vorjahr'!$D412,INDIRECT(G$4))+SUMIF(INDIRECT(G$3),'Struktur Vorjahr'!$D412,INDIRECT(G$5)))</f>
        <v>0</v>
      </c>
      <c r="H412" s="593">
        <f ca="1">$E412*(-SUMIF(INDIRECT(H$3),'Struktur Vorjahr'!$D412,INDIRECT(H$4))+SUMIF(INDIRECT(H$3),'Struktur Vorjahr'!$D412,INDIRECT(H$5)))</f>
        <v>0</v>
      </c>
      <c r="I412" s="593">
        <f ca="1">$E412*(-SUMIF(INDIRECT(I$3),'Struktur Vorjahr'!$D412,INDIRECT(I$4))+SUMIF(INDIRECT(I$3),'Struktur Vorjahr'!$D412,INDIRECT(I$5)))</f>
        <v>0</v>
      </c>
      <c r="J412" s="593">
        <f ca="1">$E412*(-SUMIF(INDIRECT(J$3),'Struktur Vorjahr'!$D412,INDIRECT(J$4))+SUMIF(INDIRECT(J$3),'Struktur Vorjahr'!$D412,INDIRECT(J$5)))</f>
        <v>0</v>
      </c>
      <c r="K412" s="593">
        <f ca="1">$E412*(-SUMIF(INDIRECT(K$3),'Struktur Vorjahr'!$D412,INDIRECT(K$4))+SUMIF(INDIRECT(K$3),'Struktur Vorjahr'!$D412,INDIRECT(K$5)))</f>
        <v>0</v>
      </c>
      <c r="L412" s="593">
        <f ca="1">$E412*(-SUMIF(INDIRECT(L$3),'Struktur Vorjahr'!$D412,INDIRECT(L$4))+SUMIF(INDIRECT(L$3),'Struktur Vorjahr'!$D412,INDIRECT(L$5)))</f>
        <v>0</v>
      </c>
      <c r="M412" s="593">
        <f ca="1">$E412*(-SUMIF(INDIRECT(M$3),'Struktur Vorjahr'!$D412,INDIRECT(M$4))+SUMIF(INDIRECT(M$3),'Struktur Vorjahr'!$D412,INDIRECT(M$5)))</f>
        <v>0</v>
      </c>
      <c r="N412" s="593">
        <f ca="1">$E412*(-SUMIF(INDIRECT(N$3),'Struktur Vorjahr'!$D412,INDIRECT(N$4))+SUMIF(INDIRECT(N$3),'Struktur Vorjahr'!$D412,INDIRECT(N$5)))</f>
        <v>0</v>
      </c>
      <c r="O412" s="593">
        <f ca="1">$E412*(-SUMIF(INDIRECT(O$3),'Struktur Vorjahr'!$D412,INDIRECT(O$4))+SUMIF(INDIRECT(O$3),'Struktur Vorjahr'!$D412,INDIRECT(O$5)))</f>
        <v>0</v>
      </c>
      <c r="P412" s="593">
        <f ca="1">$E412*(-SUMIF(INDIRECT(P$3),'Struktur Vorjahr'!$D412,INDIRECT(P$4))+SUMIF(INDIRECT(P$3),'Struktur Vorjahr'!$D412,INDIRECT(P$5)))</f>
        <v>0</v>
      </c>
      <c r="Q412" s="593">
        <f ca="1">$E412*(-SUMIF(INDIRECT(Q$3),'Struktur Vorjahr'!$D412,INDIRECT(Q$4))+SUMIF(INDIRECT(Q$3),'Struktur Vorjahr'!$D412,INDIRECT(Q$5)))</f>
        <v>0</v>
      </c>
      <c r="R412" s="593">
        <f ca="1">$E412*(-SUMIF(INDIRECT(R$3),'Struktur Vorjahr'!$D412,INDIRECT(R$4))+SUMIF(INDIRECT(R$3),'Struktur Vorjahr'!$D412,INDIRECT(R$5)))</f>
        <v>0</v>
      </c>
      <c r="S412" s="593">
        <f ca="1">$E412*(-SUMIF(INDIRECT(S$3),'Struktur Vorjahr'!$D412,INDIRECT(S$4))+SUMIF(INDIRECT(S$3),'Struktur Vorjahr'!$D412,INDIRECT(S$5)))</f>
        <v>0</v>
      </c>
      <c r="T412" s="593">
        <f ca="1">$E412*(-SUMIF(INDIRECT(T$3),'Struktur Vorjahr'!$D412,INDIRECT(T$4))+SUMIF(INDIRECT(T$3),'Struktur Vorjahr'!$D412,INDIRECT(T$5)))</f>
        <v>0</v>
      </c>
      <c r="U412" s="593">
        <f ca="1">$E412*(-SUMIF(INDIRECT(U$3),'Struktur Vorjahr'!$D412,INDIRECT(U$4))+SUMIF(INDIRECT(U$3),'Struktur Vorjahr'!$D412,INDIRECT(U$5)))</f>
        <v>0</v>
      </c>
      <c r="V412" s="593">
        <f ca="1">$E412*(-SUMIF(INDIRECT(V$3),'Struktur Vorjahr'!$D412,INDIRECT(V$4))+SUMIF(INDIRECT(V$3),'Struktur Vorjahr'!$D412,INDIRECT(V$5)))</f>
        <v>0</v>
      </c>
      <c r="W412" s="593">
        <f ca="1">$E412*(-SUMIF(INDIRECT(W$3),'Struktur Vorjahr'!$D412,INDIRECT(W$4))+SUMIF(INDIRECT(W$3),'Struktur Vorjahr'!$D412,INDIRECT(W$5)))</f>
        <v>0</v>
      </c>
      <c r="X412" s="593">
        <f ca="1">$E412*(-SUMIF(INDIRECT(X$3),'Struktur Vorjahr'!$D412,INDIRECT(X$4))+SUMIF(INDIRECT(X$3),'Struktur Vorjahr'!$D412,INDIRECT(X$5)))</f>
        <v>0</v>
      </c>
      <c r="Y412" s="593">
        <f ca="1">$E412*(-SUMIF(INDIRECT(Y$3),'Struktur Vorjahr'!$D412,INDIRECT(Y$4))+SUMIF(INDIRECT(Y$3),'Struktur Vorjahr'!$D412,INDIRECT(Y$5)))</f>
        <v>0</v>
      </c>
      <c r="Z412" s="593">
        <f ca="1">$E412*(-SUMIF(INDIRECT(Z$3),'Struktur Vorjahr'!$D412,INDIRECT(Z$4))+SUMIF(INDIRECT(Z$3),'Struktur Vorjahr'!$D412,INDIRECT(Z$5)))</f>
        <v>0</v>
      </c>
      <c r="AA412" s="593">
        <f ca="1">$E412*(-SUMIF(INDIRECT(AA$3),'Struktur Vorjahr'!$D412,INDIRECT(AA$4))+SUMIF(INDIRECT(AA$3),'Struktur Vorjahr'!$D412,INDIRECT(AA$5)))</f>
        <v>0</v>
      </c>
      <c r="AB412" s="593">
        <f ca="1">$E412*(-SUMIF(INDIRECT(AB$3),'Struktur Vorjahr'!$D412,INDIRECT(AB$4))+SUMIF(INDIRECT(AB$3),'Struktur Vorjahr'!$D412,INDIRECT(AB$5)))</f>
        <v>0</v>
      </c>
      <c r="AC412" s="593">
        <f ca="1">$E412*(-SUMIF(INDIRECT(AC$3),'Struktur Vorjahr'!$D412,INDIRECT(AC$4))+SUMIF(INDIRECT(AC$3),'Struktur Vorjahr'!$D412,INDIRECT(AC$5)))</f>
        <v>0</v>
      </c>
      <c r="AD412" s="593">
        <f ca="1">$E412*(-SUMIF(INDIRECT(AD$3),'Struktur Vorjahr'!$D412,INDIRECT(AD$4))+SUMIF(INDIRECT(AD$3),'Struktur Vorjahr'!$D412,INDIRECT(AD$5)))</f>
        <v>0</v>
      </c>
      <c r="AE412" s="593">
        <f t="shared" ca="1" si="205"/>
        <v>0</v>
      </c>
      <c r="AF412" s="593">
        <f t="shared" ca="1" si="206"/>
        <v>0</v>
      </c>
      <c r="AG412" s="593">
        <f t="shared" ca="1" si="206"/>
        <v>0</v>
      </c>
      <c r="AH412" s="593">
        <f t="shared" ca="1" si="206"/>
        <v>0</v>
      </c>
      <c r="AI412" s="593">
        <f t="shared" ca="1" si="206"/>
        <v>0</v>
      </c>
      <c r="AJ412" s="593">
        <f t="shared" ca="1" si="206"/>
        <v>0</v>
      </c>
      <c r="AK412" s="593">
        <f t="shared" ca="1" si="206"/>
        <v>0</v>
      </c>
      <c r="AL412" s="593">
        <f t="shared" ca="1" si="206"/>
        <v>0</v>
      </c>
      <c r="AM412" s="593">
        <f t="shared" ca="1" si="206"/>
        <v>0</v>
      </c>
      <c r="AN412" s="593">
        <f t="shared" ca="1" si="206"/>
        <v>0</v>
      </c>
      <c r="AO412" s="593">
        <f t="shared" ca="1" si="206"/>
        <v>0</v>
      </c>
      <c r="AP412" s="593">
        <f t="shared" ca="1" si="206"/>
        <v>0</v>
      </c>
    </row>
    <row r="413" spans="1:42" s="594" customFormat="1" ht="11.25" outlineLevel="1" x14ac:dyDescent="0.2">
      <c r="A413" s="644"/>
      <c r="B413" s="591" t="str">
        <f>IF(D413&lt;&gt;"",
IF(ISERROR(MATCH(D413,'Ist Vorjahr Monat 01'!A:A,0))=FALSE,INDEX('Ist Vorjahr Monat 01'!B:B,MATCH(D413,'Ist Vorjahr Monat 01'!A:A,0)),
IF(ISERROR(MATCH(D413,'Ist Vorjahr Monat 02'!A:A,0))=FALSE,INDEX('Ist Vorjahr Monat 02'!B:B,MATCH(D413,'Ist Vorjahr Monat 02'!A:A,0)),
IF(ISERROR(MATCH(D413,'Ist Vorjahr Monat 03'!A:A,0))=FALSE,INDEX('Ist Vorjahr Monat 03'!B:B,MATCH(D413,'Ist Vorjahr Monat 03'!A:A,0)),
IF(ISERROR(MATCH(D413,'Ist Vorjahr Monat 04'!A:A,0))=FALSE,INDEX('Ist Vorjahr Monat 04'!B:B,MATCH(D413,'Ist Vorjahr Monat 04'!A:A,0)),
IF(ISERROR(MATCH(D413,'Ist Vorjahr Monat 05'!A:A,0))=FALSE,INDEX('Ist Vorjahr Monat 05'!B:B,MATCH(D413,'Ist Vorjahr Monat 05'!A:A,0)),
IF(ISERROR(MATCH(D413,'Ist Vorjahr Monat 06'!A:A,0))=FALSE,INDEX('Ist Vorjahr Monat 06'!B:B,MATCH(D413,'Ist Vorjahr Monat 06'!A:A,0)),
IF(ISERROR(MATCH(D413,'Ist Vorjahr Monat 07'!A:A,0))=FALSE,INDEX('Ist Vorjahr Monat 07'!B:B,MATCH(D413,'Ist Vorjahr Monat 07'!A:A,0)),
IF(ISERROR(MATCH(D413,'Ist Vorjahr Monat 08'!A:A,0))=FALSE,INDEX('Ist Vorjahr Monat 08'!B:B,MATCH(D413,'Ist Vorjahr Monat 08'!A:A,0)),
IF(ISERROR(MATCH(D413,'Ist Vorjahr Monat 09'!A:A,0))=FALSE,INDEX('Ist Vorjahr Monat 09'!B:B,MATCH(D413,'Ist Vorjahr Monat 09'!A:A,0)),
IF(ISERROR(MATCH(D413,'Ist Vorjahr Monat 10'!A:A,0))=FALSE,INDEX('Ist Vorjahr Monat 10'!B:B,MATCH(D413,'Ist Vorjahr Monat 10'!A:A,0)),
IF(ISERROR(MATCH(D413,'Ist Vorjahr Monat 11'!A:A,0))=FALSE,INDEX('Ist Vorjahr Monat 11'!B:B,MATCH(D413,'Ist Vorjahr Monat 11'!A:A,0)),
IF(ISERROR(MATCH(D413,'Ist Vorjahr Monat 12'!A:A,0))=FALSE,INDEX('Ist Vorjahr Monat 12'!B:B,MATCH(D413,'Ist Vorjahr Monat 12'!A:A,0)),
"{Konto unbekannt}"
)))))))))))),"")</f>
        <v/>
      </c>
      <c r="C413" s="1062"/>
      <c r="D413" s="1067"/>
      <c r="E413" s="625">
        <f t="shared" si="186"/>
        <v>1</v>
      </c>
      <c r="F413" s="626"/>
      <c r="G413" s="593">
        <f ca="1">$E413*(-SUMIF(INDIRECT(G$3),'Struktur Vorjahr'!$D413,INDIRECT(G$4))+SUMIF(INDIRECT(G$3),'Struktur Vorjahr'!$D413,INDIRECT(G$5)))</f>
        <v>0</v>
      </c>
      <c r="H413" s="593">
        <f ca="1">$E413*(-SUMIF(INDIRECT(H$3),'Struktur Vorjahr'!$D413,INDIRECT(H$4))+SUMIF(INDIRECT(H$3),'Struktur Vorjahr'!$D413,INDIRECT(H$5)))</f>
        <v>0</v>
      </c>
      <c r="I413" s="593">
        <f ca="1">$E413*(-SUMIF(INDIRECT(I$3),'Struktur Vorjahr'!$D413,INDIRECT(I$4))+SUMIF(INDIRECT(I$3),'Struktur Vorjahr'!$D413,INDIRECT(I$5)))</f>
        <v>0</v>
      </c>
      <c r="J413" s="593">
        <f ca="1">$E413*(-SUMIF(INDIRECT(J$3),'Struktur Vorjahr'!$D413,INDIRECT(J$4))+SUMIF(INDIRECT(J$3),'Struktur Vorjahr'!$D413,INDIRECT(J$5)))</f>
        <v>0</v>
      </c>
      <c r="K413" s="593">
        <f ca="1">$E413*(-SUMIF(INDIRECT(K$3),'Struktur Vorjahr'!$D413,INDIRECT(K$4))+SUMIF(INDIRECT(K$3),'Struktur Vorjahr'!$D413,INDIRECT(K$5)))</f>
        <v>0</v>
      </c>
      <c r="L413" s="593">
        <f ca="1">$E413*(-SUMIF(INDIRECT(L$3),'Struktur Vorjahr'!$D413,INDIRECT(L$4))+SUMIF(INDIRECT(L$3),'Struktur Vorjahr'!$D413,INDIRECT(L$5)))</f>
        <v>0</v>
      </c>
      <c r="M413" s="593">
        <f ca="1">$E413*(-SUMIF(INDIRECT(M$3),'Struktur Vorjahr'!$D413,INDIRECT(M$4))+SUMIF(INDIRECT(M$3),'Struktur Vorjahr'!$D413,INDIRECT(M$5)))</f>
        <v>0</v>
      </c>
      <c r="N413" s="593">
        <f ca="1">$E413*(-SUMIF(INDIRECT(N$3),'Struktur Vorjahr'!$D413,INDIRECT(N$4))+SUMIF(INDIRECT(N$3),'Struktur Vorjahr'!$D413,INDIRECT(N$5)))</f>
        <v>0</v>
      </c>
      <c r="O413" s="593">
        <f ca="1">$E413*(-SUMIF(INDIRECT(O$3),'Struktur Vorjahr'!$D413,INDIRECT(O$4))+SUMIF(INDIRECT(O$3),'Struktur Vorjahr'!$D413,INDIRECT(O$5)))</f>
        <v>0</v>
      </c>
      <c r="P413" s="593">
        <f ca="1">$E413*(-SUMIF(INDIRECT(P$3),'Struktur Vorjahr'!$D413,INDIRECT(P$4))+SUMIF(INDIRECT(P$3),'Struktur Vorjahr'!$D413,INDIRECT(P$5)))</f>
        <v>0</v>
      </c>
      <c r="Q413" s="593">
        <f ca="1">$E413*(-SUMIF(INDIRECT(Q$3),'Struktur Vorjahr'!$D413,INDIRECT(Q$4))+SUMIF(INDIRECT(Q$3),'Struktur Vorjahr'!$D413,INDIRECT(Q$5)))</f>
        <v>0</v>
      </c>
      <c r="R413" s="593">
        <f ca="1">$E413*(-SUMIF(INDIRECT(R$3),'Struktur Vorjahr'!$D413,INDIRECT(R$4))+SUMIF(INDIRECT(R$3),'Struktur Vorjahr'!$D413,INDIRECT(R$5)))</f>
        <v>0</v>
      </c>
      <c r="S413" s="593">
        <f ca="1">$E413*(-SUMIF(INDIRECT(S$3),'Struktur Vorjahr'!$D413,INDIRECT(S$4))+SUMIF(INDIRECT(S$3),'Struktur Vorjahr'!$D413,INDIRECT(S$5)))</f>
        <v>0</v>
      </c>
      <c r="T413" s="593">
        <f ca="1">$E413*(-SUMIF(INDIRECT(T$3),'Struktur Vorjahr'!$D413,INDIRECT(T$4))+SUMIF(INDIRECT(T$3),'Struktur Vorjahr'!$D413,INDIRECT(T$5)))</f>
        <v>0</v>
      </c>
      <c r="U413" s="593">
        <f ca="1">$E413*(-SUMIF(INDIRECT(U$3),'Struktur Vorjahr'!$D413,INDIRECT(U$4))+SUMIF(INDIRECT(U$3),'Struktur Vorjahr'!$D413,INDIRECT(U$5)))</f>
        <v>0</v>
      </c>
      <c r="V413" s="593">
        <f ca="1">$E413*(-SUMIF(INDIRECT(V$3),'Struktur Vorjahr'!$D413,INDIRECT(V$4))+SUMIF(INDIRECT(V$3),'Struktur Vorjahr'!$D413,INDIRECT(V$5)))</f>
        <v>0</v>
      </c>
      <c r="W413" s="593">
        <f ca="1">$E413*(-SUMIF(INDIRECT(W$3),'Struktur Vorjahr'!$D413,INDIRECT(W$4))+SUMIF(INDIRECT(W$3),'Struktur Vorjahr'!$D413,INDIRECT(W$5)))</f>
        <v>0</v>
      </c>
      <c r="X413" s="593">
        <f ca="1">$E413*(-SUMIF(INDIRECT(X$3),'Struktur Vorjahr'!$D413,INDIRECT(X$4))+SUMIF(INDIRECT(X$3),'Struktur Vorjahr'!$D413,INDIRECT(X$5)))</f>
        <v>0</v>
      </c>
      <c r="Y413" s="593">
        <f ca="1">$E413*(-SUMIF(INDIRECT(Y$3),'Struktur Vorjahr'!$D413,INDIRECT(Y$4))+SUMIF(INDIRECT(Y$3),'Struktur Vorjahr'!$D413,INDIRECT(Y$5)))</f>
        <v>0</v>
      </c>
      <c r="Z413" s="593">
        <f ca="1">$E413*(-SUMIF(INDIRECT(Z$3),'Struktur Vorjahr'!$D413,INDIRECT(Z$4))+SUMIF(INDIRECT(Z$3),'Struktur Vorjahr'!$D413,INDIRECT(Z$5)))</f>
        <v>0</v>
      </c>
      <c r="AA413" s="593">
        <f ca="1">$E413*(-SUMIF(INDIRECT(AA$3),'Struktur Vorjahr'!$D413,INDIRECT(AA$4))+SUMIF(INDIRECT(AA$3),'Struktur Vorjahr'!$D413,INDIRECT(AA$5)))</f>
        <v>0</v>
      </c>
      <c r="AB413" s="593">
        <f ca="1">$E413*(-SUMIF(INDIRECT(AB$3),'Struktur Vorjahr'!$D413,INDIRECT(AB$4))+SUMIF(INDIRECT(AB$3),'Struktur Vorjahr'!$D413,INDIRECT(AB$5)))</f>
        <v>0</v>
      </c>
      <c r="AC413" s="593">
        <f ca="1">$E413*(-SUMIF(INDIRECT(AC$3),'Struktur Vorjahr'!$D413,INDIRECT(AC$4))+SUMIF(INDIRECT(AC$3),'Struktur Vorjahr'!$D413,INDIRECT(AC$5)))</f>
        <v>0</v>
      </c>
      <c r="AD413" s="593">
        <f ca="1">$E413*(-SUMIF(INDIRECT(AD$3),'Struktur Vorjahr'!$D413,INDIRECT(AD$4))+SUMIF(INDIRECT(AD$3),'Struktur Vorjahr'!$D413,INDIRECT(AD$5)))</f>
        <v>0</v>
      </c>
      <c r="AE413" s="593">
        <f t="shared" ca="1" si="205"/>
        <v>0</v>
      </c>
      <c r="AF413" s="593">
        <f t="shared" ca="1" si="206"/>
        <v>0</v>
      </c>
      <c r="AG413" s="593">
        <f t="shared" ca="1" si="206"/>
        <v>0</v>
      </c>
      <c r="AH413" s="593">
        <f t="shared" ca="1" si="206"/>
        <v>0</v>
      </c>
      <c r="AI413" s="593">
        <f t="shared" ca="1" si="206"/>
        <v>0</v>
      </c>
      <c r="AJ413" s="593">
        <f t="shared" ca="1" si="206"/>
        <v>0</v>
      </c>
      <c r="AK413" s="593">
        <f t="shared" ca="1" si="206"/>
        <v>0</v>
      </c>
      <c r="AL413" s="593">
        <f t="shared" ca="1" si="206"/>
        <v>0</v>
      </c>
      <c r="AM413" s="593">
        <f t="shared" ca="1" si="206"/>
        <v>0</v>
      </c>
      <c r="AN413" s="593">
        <f t="shared" ca="1" si="206"/>
        <v>0</v>
      </c>
      <c r="AO413" s="593">
        <f t="shared" ca="1" si="206"/>
        <v>0</v>
      </c>
      <c r="AP413" s="593">
        <f t="shared" ca="1" si="206"/>
        <v>0</v>
      </c>
    </row>
    <row r="414" spans="1:42" s="594" customFormat="1" ht="11.25" outlineLevel="1" x14ac:dyDescent="0.2">
      <c r="A414" s="644"/>
      <c r="B414" s="591" t="str">
        <f>IF(D414&lt;&gt;"",
IF(ISERROR(MATCH(D414,'Ist Vorjahr Monat 01'!A:A,0))=FALSE,INDEX('Ist Vorjahr Monat 01'!B:B,MATCH(D414,'Ist Vorjahr Monat 01'!A:A,0)),
IF(ISERROR(MATCH(D414,'Ist Vorjahr Monat 02'!A:A,0))=FALSE,INDEX('Ist Vorjahr Monat 02'!B:B,MATCH(D414,'Ist Vorjahr Monat 02'!A:A,0)),
IF(ISERROR(MATCH(D414,'Ist Vorjahr Monat 03'!A:A,0))=FALSE,INDEX('Ist Vorjahr Monat 03'!B:B,MATCH(D414,'Ist Vorjahr Monat 03'!A:A,0)),
IF(ISERROR(MATCH(D414,'Ist Vorjahr Monat 04'!A:A,0))=FALSE,INDEX('Ist Vorjahr Monat 04'!B:B,MATCH(D414,'Ist Vorjahr Monat 04'!A:A,0)),
IF(ISERROR(MATCH(D414,'Ist Vorjahr Monat 05'!A:A,0))=FALSE,INDEX('Ist Vorjahr Monat 05'!B:B,MATCH(D414,'Ist Vorjahr Monat 05'!A:A,0)),
IF(ISERROR(MATCH(D414,'Ist Vorjahr Monat 06'!A:A,0))=FALSE,INDEX('Ist Vorjahr Monat 06'!B:B,MATCH(D414,'Ist Vorjahr Monat 06'!A:A,0)),
IF(ISERROR(MATCH(D414,'Ist Vorjahr Monat 07'!A:A,0))=FALSE,INDEX('Ist Vorjahr Monat 07'!B:B,MATCH(D414,'Ist Vorjahr Monat 07'!A:A,0)),
IF(ISERROR(MATCH(D414,'Ist Vorjahr Monat 08'!A:A,0))=FALSE,INDEX('Ist Vorjahr Monat 08'!B:B,MATCH(D414,'Ist Vorjahr Monat 08'!A:A,0)),
IF(ISERROR(MATCH(D414,'Ist Vorjahr Monat 09'!A:A,0))=FALSE,INDEX('Ist Vorjahr Monat 09'!B:B,MATCH(D414,'Ist Vorjahr Monat 09'!A:A,0)),
IF(ISERROR(MATCH(D414,'Ist Vorjahr Monat 10'!A:A,0))=FALSE,INDEX('Ist Vorjahr Monat 10'!B:B,MATCH(D414,'Ist Vorjahr Monat 10'!A:A,0)),
IF(ISERROR(MATCH(D414,'Ist Vorjahr Monat 11'!A:A,0))=FALSE,INDEX('Ist Vorjahr Monat 11'!B:B,MATCH(D414,'Ist Vorjahr Monat 11'!A:A,0)),
IF(ISERROR(MATCH(D414,'Ist Vorjahr Monat 12'!A:A,0))=FALSE,INDEX('Ist Vorjahr Monat 12'!B:B,MATCH(D414,'Ist Vorjahr Monat 12'!A:A,0)),
"{Konto unbekannt}"
)))))))))))),"")</f>
        <v/>
      </c>
      <c r="C414" s="1062"/>
      <c r="D414" s="1067"/>
      <c r="E414" s="625">
        <f t="shared" si="186"/>
        <v>1</v>
      </c>
      <c r="F414" s="626"/>
      <c r="G414" s="593">
        <f ca="1">$E414*(-SUMIF(INDIRECT(G$3),'Struktur Vorjahr'!$D414,INDIRECT(G$4))+SUMIF(INDIRECT(G$3),'Struktur Vorjahr'!$D414,INDIRECT(G$5)))</f>
        <v>0</v>
      </c>
      <c r="H414" s="593">
        <f ca="1">$E414*(-SUMIF(INDIRECT(H$3),'Struktur Vorjahr'!$D414,INDIRECT(H$4))+SUMIF(INDIRECT(H$3),'Struktur Vorjahr'!$D414,INDIRECT(H$5)))</f>
        <v>0</v>
      </c>
      <c r="I414" s="593">
        <f ca="1">$E414*(-SUMIF(INDIRECT(I$3),'Struktur Vorjahr'!$D414,INDIRECT(I$4))+SUMIF(INDIRECT(I$3),'Struktur Vorjahr'!$D414,INDIRECT(I$5)))</f>
        <v>0</v>
      </c>
      <c r="J414" s="593">
        <f ca="1">$E414*(-SUMIF(INDIRECT(J$3),'Struktur Vorjahr'!$D414,INDIRECT(J$4))+SUMIF(INDIRECT(J$3),'Struktur Vorjahr'!$D414,INDIRECT(J$5)))</f>
        <v>0</v>
      </c>
      <c r="K414" s="593">
        <f ca="1">$E414*(-SUMIF(INDIRECT(K$3),'Struktur Vorjahr'!$D414,INDIRECT(K$4))+SUMIF(INDIRECT(K$3),'Struktur Vorjahr'!$D414,INDIRECT(K$5)))</f>
        <v>0</v>
      </c>
      <c r="L414" s="593">
        <f ca="1">$E414*(-SUMIF(INDIRECT(L$3),'Struktur Vorjahr'!$D414,INDIRECT(L$4))+SUMIF(INDIRECT(L$3),'Struktur Vorjahr'!$D414,INDIRECT(L$5)))</f>
        <v>0</v>
      </c>
      <c r="M414" s="593">
        <f ca="1">$E414*(-SUMIF(INDIRECT(M$3),'Struktur Vorjahr'!$D414,INDIRECT(M$4))+SUMIF(INDIRECT(M$3),'Struktur Vorjahr'!$D414,INDIRECT(M$5)))</f>
        <v>0</v>
      </c>
      <c r="N414" s="593">
        <f ca="1">$E414*(-SUMIF(INDIRECT(N$3),'Struktur Vorjahr'!$D414,INDIRECT(N$4))+SUMIF(INDIRECT(N$3),'Struktur Vorjahr'!$D414,INDIRECT(N$5)))</f>
        <v>0</v>
      </c>
      <c r="O414" s="593">
        <f ca="1">$E414*(-SUMIF(INDIRECT(O$3),'Struktur Vorjahr'!$D414,INDIRECT(O$4))+SUMIF(INDIRECT(O$3),'Struktur Vorjahr'!$D414,INDIRECT(O$5)))</f>
        <v>0</v>
      </c>
      <c r="P414" s="593">
        <f ca="1">$E414*(-SUMIF(INDIRECT(P$3),'Struktur Vorjahr'!$D414,INDIRECT(P$4))+SUMIF(INDIRECT(P$3),'Struktur Vorjahr'!$D414,INDIRECT(P$5)))</f>
        <v>0</v>
      </c>
      <c r="Q414" s="593">
        <f ca="1">$E414*(-SUMIF(INDIRECT(Q$3),'Struktur Vorjahr'!$D414,INDIRECT(Q$4))+SUMIF(INDIRECT(Q$3),'Struktur Vorjahr'!$D414,INDIRECT(Q$5)))</f>
        <v>0</v>
      </c>
      <c r="R414" s="593">
        <f ca="1">$E414*(-SUMIF(INDIRECT(R$3),'Struktur Vorjahr'!$D414,INDIRECT(R$4))+SUMIF(INDIRECT(R$3),'Struktur Vorjahr'!$D414,INDIRECT(R$5)))</f>
        <v>0</v>
      </c>
      <c r="S414" s="593">
        <f ca="1">$E414*(-SUMIF(INDIRECT(S$3),'Struktur Vorjahr'!$D414,INDIRECT(S$4))+SUMIF(INDIRECT(S$3),'Struktur Vorjahr'!$D414,INDIRECT(S$5)))</f>
        <v>0</v>
      </c>
      <c r="T414" s="593">
        <f ca="1">$E414*(-SUMIF(INDIRECT(T$3),'Struktur Vorjahr'!$D414,INDIRECT(T$4))+SUMIF(INDIRECT(T$3),'Struktur Vorjahr'!$D414,INDIRECT(T$5)))</f>
        <v>0</v>
      </c>
      <c r="U414" s="593">
        <f ca="1">$E414*(-SUMIF(INDIRECT(U$3),'Struktur Vorjahr'!$D414,INDIRECT(U$4))+SUMIF(INDIRECT(U$3),'Struktur Vorjahr'!$D414,INDIRECT(U$5)))</f>
        <v>0</v>
      </c>
      <c r="V414" s="593">
        <f ca="1">$E414*(-SUMIF(INDIRECT(V$3),'Struktur Vorjahr'!$D414,INDIRECT(V$4))+SUMIF(INDIRECT(V$3),'Struktur Vorjahr'!$D414,INDIRECT(V$5)))</f>
        <v>0</v>
      </c>
      <c r="W414" s="593">
        <f ca="1">$E414*(-SUMIF(INDIRECT(W$3),'Struktur Vorjahr'!$D414,INDIRECT(W$4))+SUMIF(INDIRECT(W$3),'Struktur Vorjahr'!$D414,INDIRECT(W$5)))</f>
        <v>0</v>
      </c>
      <c r="X414" s="593">
        <f ca="1">$E414*(-SUMIF(INDIRECT(X$3),'Struktur Vorjahr'!$D414,INDIRECT(X$4))+SUMIF(INDIRECT(X$3),'Struktur Vorjahr'!$D414,INDIRECT(X$5)))</f>
        <v>0</v>
      </c>
      <c r="Y414" s="593">
        <f ca="1">$E414*(-SUMIF(INDIRECT(Y$3),'Struktur Vorjahr'!$D414,INDIRECT(Y$4))+SUMIF(INDIRECT(Y$3),'Struktur Vorjahr'!$D414,INDIRECT(Y$5)))</f>
        <v>0</v>
      </c>
      <c r="Z414" s="593">
        <f ca="1">$E414*(-SUMIF(INDIRECT(Z$3),'Struktur Vorjahr'!$D414,INDIRECT(Z$4))+SUMIF(INDIRECT(Z$3),'Struktur Vorjahr'!$D414,INDIRECT(Z$5)))</f>
        <v>0</v>
      </c>
      <c r="AA414" s="593">
        <f ca="1">$E414*(-SUMIF(INDIRECT(AA$3),'Struktur Vorjahr'!$D414,INDIRECT(AA$4))+SUMIF(INDIRECT(AA$3),'Struktur Vorjahr'!$D414,INDIRECT(AA$5)))</f>
        <v>0</v>
      </c>
      <c r="AB414" s="593">
        <f ca="1">$E414*(-SUMIF(INDIRECT(AB$3),'Struktur Vorjahr'!$D414,INDIRECT(AB$4))+SUMIF(INDIRECT(AB$3),'Struktur Vorjahr'!$D414,INDIRECT(AB$5)))</f>
        <v>0</v>
      </c>
      <c r="AC414" s="593">
        <f ca="1">$E414*(-SUMIF(INDIRECT(AC$3),'Struktur Vorjahr'!$D414,INDIRECT(AC$4))+SUMIF(INDIRECT(AC$3),'Struktur Vorjahr'!$D414,INDIRECT(AC$5)))</f>
        <v>0</v>
      </c>
      <c r="AD414" s="593">
        <f ca="1">$E414*(-SUMIF(INDIRECT(AD$3),'Struktur Vorjahr'!$D414,INDIRECT(AD$4))+SUMIF(INDIRECT(AD$3),'Struktur Vorjahr'!$D414,INDIRECT(AD$5)))</f>
        <v>0</v>
      </c>
      <c r="AE414" s="593">
        <f t="shared" ca="1" si="205"/>
        <v>0</v>
      </c>
      <c r="AF414" s="593">
        <f t="shared" ca="1" si="206"/>
        <v>0</v>
      </c>
      <c r="AG414" s="593">
        <f t="shared" ca="1" si="206"/>
        <v>0</v>
      </c>
      <c r="AH414" s="593">
        <f t="shared" ca="1" si="206"/>
        <v>0</v>
      </c>
      <c r="AI414" s="593">
        <f t="shared" ca="1" si="206"/>
        <v>0</v>
      </c>
      <c r="AJ414" s="593">
        <f t="shared" ca="1" si="206"/>
        <v>0</v>
      </c>
      <c r="AK414" s="593">
        <f t="shared" ca="1" si="206"/>
        <v>0</v>
      </c>
      <c r="AL414" s="593">
        <f t="shared" ca="1" si="206"/>
        <v>0</v>
      </c>
      <c r="AM414" s="593">
        <f t="shared" ca="1" si="206"/>
        <v>0</v>
      </c>
      <c r="AN414" s="593">
        <f t="shared" ca="1" si="206"/>
        <v>0</v>
      </c>
      <c r="AO414" s="593">
        <f t="shared" ca="1" si="206"/>
        <v>0</v>
      </c>
      <c r="AP414" s="593">
        <f t="shared" ca="1" si="206"/>
        <v>0</v>
      </c>
    </row>
    <row r="415" spans="1:42" s="594" customFormat="1" ht="11.25" outlineLevel="1" x14ac:dyDescent="0.2">
      <c r="A415" s="644"/>
      <c r="B415" s="591" t="str">
        <f>IF(D415&lt;&gt;"",
IF(ISERROR(MATCH(D415,'Ist Vorjahr Monat 01'!A:A,0))=FALSE,INDEX('Ist Vorjahr Monat 01'!B:B,MATCH(D415,'Ist Vorjahr Monat 01'!A:A,0)),
IF(ISERROR(MATCH(D415,'Ist Vorjahr Monat 02'!A:A,0))=FALSE,INDEX('Ist Vorjahr Monat 02'!B:B,MATCH(D415,'Ist Vorjahr Monat 02'!A:A,0)),
IF(ISERROR(MATCH(D415,'Ist Vorjahr Monat 03'!A:A,0))=FALSE,INDEX('Ist Vorjahr Monat 03'!B:B,MATCH(D415,'Ist Vorjahr Monat 03'!A:A,0)),
IF(ISERROR(MATCH(D415,'Ist Vorjahr Monat 04'!A:A,0))=FALSE,INDEX('Ist Vorjahr Monat 04'!B:B,MATCH(D415,'Ist Vorjahr Monat 04'!A:A,0)),
IF(ISERROR(MATCH(D415,'Ist Vorjahr Monat 05'!A:A,0))=FALSE,INDEX('Ist Vorjahr Monat 05'!B:B,MATCH(D415,'Ist Vorjahr Monat 05'!A:A,0)),
IF(ISERROR(MATCH(D415,'Ist Vorjahr Monat 06'!A:A,0))=FALSE,INDEX('Ist Vorjahr Monat 06'!B:B,MATCH(D415,'Ist Vorjahr Monat 06'!A:A,0)),
IF(ISERROR(MATCH(D415,'Ist Vorjahr Monat 07'!A:A,0))=FALSE,INDEX('Ist Vorjahr Monat 07'!B:B,MATCH(D415,'Ist Vorjahr Monat 07'!A:A,0)),
IF(ISERROR(MATCH(D415,'Ist Vorjahr Monat 08'!A:A,0))=FALSE,INDEX('Ist Vorjahr Monat 08'!B:B,MATCH(D415,'Ist Vorjahr Monat 08'!A:A,0)),
IF(ISERROR(MATCH(D415,'Ist Vorjahr Monat 09'!A:A,0))=FALSE,INDEX('Ist Vorjahr Monat 09'!B:B,MATCH(D415,'Ist Vorjahr Monat 09'!A:A,0)),
IF(ISERROR(MATCH(D415,'Ist Vorjahr Monat 10'!A:A,0))=FALSE,INDEX('Ist Vorjahr Monat 10'!B:B,MATCH(D415,'Ist Vorjahr Monat 10'!A:A,0)),
IF(ISERROR(MATCH(D415,'Ist Vorjahr Monat 11'!A:A,0))=FALSE,INDEX('Ist Vorjahr Monat 11'!B:B,MATCH(D415,'Ist Vorjahr Monat 11'!A:A,0)),
IF(ISERROR(MATCH(D415,'Ist Vorjahr Monat 12'!A:A,0))=FALSE,INDEX('Ist Vorjahr Monat 12'!B:B,MATCH(D415,'Ist Vorjahr Monat 12'!A:A,0)),
"{Konto unbekannt}"
)))))))))))),"")</f>
        <v/>
      </c>
      <c r="C415" s="1062"/>
      <c r="D415" s="1067"/>
      <c r="E415" s="625">
        <f t="shared" si="186"/>
        <v>1</v>
      </c>
      <c r="F415" s="626"/>
      <c r="G415" s="593">
        <f ca="1">$E415*(-SUMIF(INDIRECT(G$3),'Struktur Vorjahr'!$D415,INDIRECT(G$4))+SUMIF(INDIRECT(G$3),'Struktur Vorjahr'!$D415,INDIRECT(G$5)))</f>
        <v>0</v>
      </c>
      <c r="H415" s="593">
        <f ca="1">$E415*(-SUMIF(INDIRECT(H$3),'Struktur Vorjahr'!$D415,INDIRECT(H$4))+SUMIF(INDIRECT(H$3),'Struktur Vorjahr'!$D415,INDIRECT(H$5)))</f>
        <v>0</v>
      </c>
      <c r="I415" s="593">
        <f ca="1">$E415*(-SUMIF(INDIRECT(I$3),'Struktur Vorjahr'!$D415,INDIRECT(I$4))+SUMIF(INDIRECT(I$3),'Struktur Vorjahr'!$D415,INDIRECT(I$5)))</f>
        <v>0</v>
      </c>
      <c r="J415" s="593">
        <f ca="1">$E415*(-SUMIF(INDIRECT(J$3),'Struktur Vorjahr'!$D415,INDIRECT(J$4))+SUMIF(INDIRECT(J$3),'Struktur Vorjahr'!$D415,INDIRECT(J$5)))</f>
        <v>0</v>
      </c>
      <c r="K415" s="593">
        <f ca="1">$E415*(-SUMIF(INDIRECT(K$3),'Struktur Vorjahr'!$D415,INDIRECT(K$4))+SUMIF(INDIRECT(K$3),'Struktur Vorjahr'!$D415,INDIRECT(K$5)))</f>
        <v>0</v>
      </c>
      <c r="L415" s="593">
        <f ca="1">$E415*(-SUMIF(INDIRECT(L$3),'Struktur Vorjahr'!$D415,INDIRECT(L$4))+SUMIF(INDIRECT(L$3),'Struktur Vorjahr'!$D415,INDIRECT(L$5)))</f>
        <v>0</v>
      </c>
      <c r="M415" s="593">
        <f ca="1">$E415*(-SUMIF(INDIRECT(M$3),'Struktur Vorjahr'!$D415,INDIRECT(M$4))+SUMIF(INDIRECT(M$3),'Struktur Vorjahr'!$D415,INDIRECT(M$5)))</f>
        <v>0</v>
      </c>
      <c r="N415" s="593">
        <f ca="1">$E415*(-SUMIF(INDIRECT(N$3),'Struktur Vorjahr'!$D415,INDIRECT(N$4))+SUMIF(INDIRECT(N$3),'Struktur Vorjahr'!$D415,INDIRECT(N$5)))</f>
        <v>0</v>
      </c>
      <c r="O415" s="593">
        <f ca="1">$E415*(-SUMIF(INDIRECT(O$3),'Struktur Vorjahr'!$D415,INDIRECT(O$4))+SUMIF(INDIRECT(O$3),'Struktur Vorjahr'!$D415,INDIRECT(O$5)))</f>
        <v>0</v>
      </c>
      <c r="P415" s="593">
        <f ca="1">$E415*(-SUMIF(INDIRECT(P$3),'Struktur Vorjahr'!$D415,INDIRECT(P$4))+SUMIF(INDIRECT(P$3),'Struktur Vorjahr'!$D415,INDIRECT(P$5)))</f>
        <v>0</v>
      </c>
      <c r="Q415" s="593">
        <f ca="1">$E415*(-SUMIF(INDIRECT(Q$3),'Struktur Vorjahr'!$D415,INDIRECT(Q$4))+SUMIF(INDIRECT(Q$3),'Struktur Vorjahr'!$D415,INDIRECT(Q$5)))</f>
        <v>0</v>
      </c>
      <c r="R415" s="593">
        <f ca="1">$E415*(-SUMIF(INDIRECT(R$3),'Struktur Vorjahr'!$D415,INDIRECT(R$4))+SUMIF(INDIRECT(R$3),'Struktur Vorjahr'!$D415,INDIRECT(R$5)))</f>
        <v>0</v>
      </c>
      <c r="S415" s="593">
        <f ca="1">$E415*(-SUMIF(INDIRECT(S$3),'Struktur Vorjahr'!$D415,INDIRECT(S$4))+SUMIF(INDIRECT(S$3),'Struktur Vorjahr'!$D415,INDIRECT(S$5)))</f>
        <v>0</v>
      </c>
      <c r="T415" s="593">
        <f ca="1">$E415*(-SUMIF(INDIRECT(T$3),'Struktur Vorjahr'!$D415,INDIRECT(T$4))+SUMIF(INDIRECT(T$3),'Struktur Vorjahr'!$D415,INDIRECT(T$5)))</f>
        <v>0</v>
      </c>
      <c r="U415" s="593">
        <f ca="1">$E415*(-SUMIF(INDIRECT(U$3),'Struktur Vorjahr'!$D415,INDIRECT(U$4))+SUMIF(INDIRECT(U$3),'Struktur Vorjahr'!$D415,INDIRECT(U$5)))</f>
        <v>0</v>
      </c>
      <c r="V415" s="593">
        <f ca="1">$E415*(-SUMIF(INDIRECT(V$3),'Struktur Vorjahr'!$D415,INDIRECT(V$4))+SUMIF(INDIRECT(V$3),'Struktur Vorjahr'!$D415,INDIRECT(V$5)))</f>
        <v>0</v>
      </c>
      <c r="W415" s="593">
        <f ca="1">$E415*(-SUMIF(INDIRECT(W$3),'Struktur Vorjahr'!$D415,INDIRECT(W$4))+SUMIF(INDIRECT(W$3),'Struktur Vorjahr'!$D415,INDIRECT(W$5)))</f>
        <v>0</v>
      </c>
      <c r="X415" s="593">
        <f ca="1">$E415*(-SUMIF(INDIRECT(X$3),'Struktur Vorjahr'!$D415,INDIRECT(X$4))+SUMIF(INDIRECT(X$3),'Struktur Vorjahr'!$D415,INDIRECT(X$5)))</f>
        <v>0</v>
      </c>
      <c r="Y415" s="593">
        <f ca="1">$E415*(-SUMIF(INDIRECT(Y$3),'Struktur Vorjahr'!$D415,INDIRECT(Y$4))+SUMIF(INDIRECT(Y$3),'Struktur Vorjahr'!$D415,INDIRECT(Y$5)))</f>
        <v>0</v>
      </c>
      <c r="Z415" s="593">
        <f ca="1">$E415*(-SUMIF(INDIRECT(Z$3),'Struktur Vorjahr'!$D415,INDIRECT(Z$4))+SUMIF(INDIRECT(Z$3),'Struktur Vorjahr'!$D415,INDIRECT(Z$5)))</f>
        <v>0</v>
      </c>
      <c r="AA415" s="593">
        <f ca="1">$E415*(-SUMIF(INDIRECT(AA$3),'Struktur Vorjahr'!$D415,INDIRECT(AA$4))+SUMIF(INDIRECT(AA$3),'Struktur Vorjahr'!$D415,INDIRECT(AA$5)))</f>
        <v>0</v>
      </c>
      <c r="AB415" s="593">
        <f ca="1">$E415*(-SUMIF(INDIRECT(AB$3),'Struktur Vorjahr'!$D415,INDIRECT(AB$4))+SUMIF(INDIRECT(AB$3),'Struktur Vorjahr'!$D415,INDIRECT(AB$5)))</f>
        <v>0</v>
      </c>
      <c r="AC415" s="593">
        <f ca="1">$E415*(-SUMIF(INDIRECT(AC$3),'Struktur Vorjahr'!$D415,INDIRECT(AC$4))+SUMIF(INDIRECT(AC$3),'Struktur Vorjahr'!$D415,INDIRECT(AC$5)))</f>
        <v>0</v>
      </c>
      <c r="AD415" s="593">
        <f ca="1">$E415*(-SUMIF(INDIRECT(AD$3),'Struktur Vorjahr'!$D415,INDIRECT(AD$4))+SUMIF(INDIRECT(AD$3),'Struktur Vorjahr'!$D415,INDIRECT(AD$5)))</f>
        <v>0</v>
      </c>
      <c r="AE415" s="593">
        <f t="shared" ca="1" si="205"/>
        <v>0</v>
      </c>
      <c r="AF415" s="593">
        <f t="shared" ca="1" si="206"/>
        <v>0</v>
      </c>
      <c r="AG415" s="593">
        <f t="shared" ca="1" si="206"/>
        <v>0</v>
      </c>
      <c r="AH415" s="593">
        <f t="shared" ca="1" si="206"/>
        <v>0</v>
      </c>
      <c r="AI415" s="593">
        <f t="shared" ca="1" si="206"/>
        <v>0</v>
      </c>
      <c r="AJ415" s="593">
        <f t="shared" ca="1" si="206"/>
        <v>0</v>
      </c>
      <c r="AK415" s="593">
        <f t="shared" ca="1" si="206"/>
        <v>0</v>
      </c>
      <c r="AL415" s="593">
        <f t="shared" ca="1" si="206"/>
        <v>0</v>
      </c>
      <c r="AM415" s="593">
        <f t="shared" ca="1" si="206"/>
        <v>0</v>
      </c>
      <c r="AN415" s="593">
        <f t="shared" ca="1" si="206"/>
        <v>0</v>
      </c>
      <c r="AO415" s="593">
        <f t="shared" ca="1" si="206"/>
        <v>0</v>
      </c>
      <c r="AP415" s="593">
        <f t="shared" ca="1" si="206"/>
        <v>0</v>
      </c>
    </row>
    <row r="416" spans="1:42" s="589" customFormat="1" outlineLevel="1" x14ac:dyDescent="0.2">
      <c r="A416" s="629">
        <v>39</v>
      </c>
      <c r="B416" s="623" t="s">
        <v>1026</v>
      </c>
      <c r="C416" s="627">
        <f ca="1">SUM(G416:R416)</f>
        <v>0</v>
      </c>
      <c r="D416" s="627"/>
      <c r="E416" s="628">
        <f t="shared" si="186"/>
        <v>1</v>
      </c>
      <c r="F416" s="629"/>
      <c r="G416" s="627">
        <f ca="1">SUM(G417:G428)-G421-G422</f>
        <v>0</v>
      </c>
      <c r="H416" s="627">
        <f t="shared" ref="H416:K416" ca="1" si="207">SUM(H417:H428)-H421-H422</f>
        <v>0</v>
      </c>
      <c r="I416" s="627">
        <f t="shared" ca="1" si="207"/>
        <v>0</v>
      </c>
      <c r="J416" s="627">
        <f t="shared" ca="1" si="207"/>
        <v>0</v>
      </c>
      <c r="K416" s="627">
        <f t="shared" ca="1" si="207"/>
        <v>0</v>
      </c>
      <c r="L416" s="627">
        <f ca="1">SUM(L417:L428)-L421-L422</f>
        <v>0</v>
      </c>
      <c r="M416" s="627">
        <f t="shared" ref="M416:R416" ca="1" si="208">SUM(M417:M428)-M421-M422</f>
        <v>0</v>
      </c>
      <c r="N416" s="627">
        <f t="shared" ca="1" si="208"/>
        <v>0</v>
      </c>
      <c r="O416" s="627">
        <f t="shared" ca="1" si="208"/>
        <v>0</v>
      </c>
      <c r="P416" s="627">
        <f t="shared" ca="1" si="208"/>
        <v>0</v>
      </c>
      <c r="Q416" s="627">
        <f t="shared" ca="1" si="208"/>
        <v>0</v>
      </c>
      <c r="R416" s="627">
        <f t="shared" ca="1" si="208"/>
        <v>0</v>
      </c>
      <c r="S416" s="627">
        <f ca="1">SUM(S417:S428)-S421-S422</f>
        <v>0</v>
      </c>
      <c r="T416" s="627">
        <f t="shared" ref="T416:W416" ca="1" si="209">SUM(T417:T428)-T421-T422</f>
        <v>0</v>
      </c>
      <c r="U416" s="627">
        <f t="shared" ca="1" si="209"/>
        <v>0</v>
      </c>
      <c r="V416" s="627">
        <f t="shared" ca="1" si="209"/>
        <v>0</v>
      </c>
      <c r="W416" s="627">
        <f t="shared" ca="1" si="209"/>
        <v>0</v>
      </c>
      <c r="X416" s="627">
        <f ca="1">SUM(X417:X428)-X421-X422</f>
        <v>0</v>
      </c>
      <c r="Y416" s="627">
        <f t="shared" ref="Y416:AD416" ca="1" si="210">SUM(Y417:Y428)-Y421-Y422</f>
        <v>0</v>
      </c>
      <c r="Z416" s="627">
        <f t="shared" ca="1" si="210"/>
        <v>0</v>
      </c>
      <c r="AA416" s="627">
        <f t="shared" ca="1" si="210"/>
        <v>0</v>
      </c>
      <c r="AB416" s="627">
        <f t="shared" ca="1" si="210"/>
        <v>0</v>
      </c>
      <c r="AC416" s="627">
        <f t="shared" ca="1" si="210"/>
        <v>0</v>
      </c>
      <c r="AD416" s="627">
        <f t="shared" ca="1" si="210"/>
        <v>0</v>
      </c>
      <c r="AE416" s="627">
        <f ca="1">SUM(AE417:AE428)-AE421-AE422</f>
        <v>0</v>
      </c>
      <c r="AF416" s="627">
        <f t="shared" ref="AF416:AI416" ca="1" si="211">SUM(AF417:AF428)-AF421-AF422</f>
        <v>0</v>
      </c>
      <c r="AG416" s="627">
        <f t="shared" ca="1" si="211"/>
        <v>0</v>
      </c>
      <c r="AH416" s="627">
        <f t="shared" ca="1" si="211"/>
        <v>0</v>
      </c>
      <c r="AI416" s="627">
        <f t="shared" ca="1" si="211"/>
        <v>0</v>
      </c>
      <c r="AJ416" s="627">
        <f ca="1">SUM(AJ417:AJ428)-AJ421-AJ422</f>
        <v>0</v>
      </c>
      <c r="AK416" s="627">
        <f t="shared" ref="AK416:AP416" ca="1" si="212">SUM(AK417:AK428)-AK421-AK422</f>
        <v>0</v>
      </c>
      <c r="AL416" s="627">
        <f t="shared" ca="1" si="212"/>
        <v>0</v>
      </c>
      <c r="AM416" s="627">
        <f t="shared" ca="1" si="212"/>
        <v>0</v>
      </c>
      <c r="AN416" s="627">
        <f t="shared" ca="1" si="212"/>
        <v>0</v>
      </c>
      <c r="AO416" s="627">
        <f t="shared" ca="1" si="212"/>
        <v>0</v>
      </c>
      <c r="AP416" s="627">
        <f t="shared" ca="1" si="212"/>
        <v>0</v>
      </c>
    </row>
    <row r="417" spans="1:42" s="594" customFormat="1" ht="11.25" outlineLevel="1" x14ac:dyDescent="0.2">
      <c r="A417" s="644"/>
      <c r="B417" s="591" t="str">
        <f>IF(D417&lt;&gt;"",
IF(ISERROR(MATCH(D417,'Ist Vorjahr Monat 01'!A:A,0))=FALSE,INDEX('Ist Vorjahr Monat 01'!B:B,MATCH(D417,'Ist Vorjahr Monat 01'!A:A,0)),
IF(ISERROR(MATCH(D417,'Ist Vorjahr Monat 02'!A:A,0))=FALSE,INDEX('Ist Vorjahr Monat 02'!B:B,MATCH(D417,'Ist Vorjahr Monat 02'!A:A,0)),
IF(ISERROR(MATCH(D417,'Ist Vorjahr Monat 03'!A:A,0))=FALSE,INDEX('Ist Vorjahr Monat 03'!B:B,MATCH(D417,'Ist Vorjahr Monat 03'!A:A,0)),
IF(ISERROR(MATCH(D417,'Ist Vorjahr Monat 04'!A:A,0))=FALSE,INDEX('Ist Vorjahr Monat 04'!B:B,MATCH(D417,'Ist Vorjahr Monat 04'!A:A,0)),
IF(ISERROR(MATCH(D417,'Ist Vorjahr Monat 05'!A:A,0))=FALSE,INDEX('Ist Vorjahr Monat 05'!B:B,MATCH(D417,'Ist Vorjahr Monat 05'!A:A,0)),
IF(ISERROR(MATCH(D417,'Ist Vorjahr Monat 06'!A:A,0))=FALSE,INDEX('Ist Vorjahr Monat 06'!B:B,MATCH(D417,'Ist Vorjahr Monat 06'!A:A,0)),
IF(ISERROR(MATCH(D417,'Ist Vorjahr Monat 07'!A:A,0))=FALSE,INDEX('Ist Vorjahr Monat 07'!B:B,MATCH(D417,'Ist Vorjahr Monat 07'!A:A,0)),
IF(ISERROR(MATCH(D417,'Ist Vorjahr Monat 08'!A:A,0))=FALSE,INDEX('Ist Vorjahr Monat 08'!B:B,MATCH(D417,'Ist Vorjahr Monat 08'!A:A,0)),
IF(ISERROR(MATCH(D417,'Ist Vorjahr Monat 09'!A:A,0))=FALSE,INDEX('Ist Vorjahr Monat 09'!B:B,MATCH(D417,'Ist Vorjahr Monat 09'!A:A,0)),
IF(ISERROR(MATCH(D417,'Ist Vorjahr Monat 10'!A:A,0))=FALSE,INDEX('Ist Vorjahr Monat 10'!B:B,MATCH(D417,'Ist Vorjahr Monat 10'!A:A,0)),
IF(ISERROR(MATCH(D417,'Ist Vorjahr Monat 11'!A:A,0))=FALSE,INDEX('Ist Vorjahr Monat 11'!B:B,MATCH(D417,'Ist Vorjahr Monat 11'!A:A,0)),
IF(ISERROR(MATCH(D417,'Ist Vorjahr Monat 12'!A:A,0))=FALSE,INDEX('Ist Vorjahr Monat 12'!B:B,MATCH(D417,'Ist Vorjahr Monat 12'!A:A,0)),
"{Konto unbekannt}"
)))))))))))),"")</f>
        <v/>
      </c>
      <c r="C417" s="1062"/>
      <c r="D417" s="1067"/>
      <c r="E417" s="625">
        <f t="shared" si="186"/>
        <v>1</v>
      </c>
      <c r="F417" s="626"/>
      <c r="G417" s="593">
        <f ca="1">$E417*(SUMIF(INDIRECT(G$3),'Struktur Vorjahr'!$D417,INDIRECT(G$4)))</f>
        <v>0</v>
      </c>
      <c r="H417" s="593">
        <f ca="1">$E417*(SUMIF(INDIRECT(H$3),'Struktur Vorjahr'!$D417,INDIRECT(H$4)))</f>
        <v>0</v>
      </c>
      <c r="I417" s="593">
        <f ca="1">$E417*(SUMIF(INDIRECT(I$3),'Struktur Vorjahr'!$D417,INDIRECT(I$4)))</f>
        <v>0</v>
      </c>
      <c r="J417" s="593">
        <f ca="1">$E417*(SUMIF(INDIRECT(J$3),'Struktur Vorjahr'!$D417,INDIRECT(J$4)))</f>
        <v>0</v>
      </c>
      <c r="K417" s="593">
        <f ca="1">$E417*(SUMIF(INDIRECT(K$3),'Struktur Vorjahr'!$D417,INDIRECT(K$4)))</f>
        <v>0</v>
      </c>
      <c r="L417" s="593">
        <f ca="1">$E417*(SUMIF(INDIRECT(L$3),'Struktur Vorjahr'!$D417,INDIRECT(L$4)))</f>
        <v>0</v>
      </c>
      <c r="M417" s="593">
        <f ca="1">$E417*(SUMIF(INDIRECT(M$3),'Struktur Vorjahr'!$D417,INDIRECT(M$4)))</f>
        <v>0</v>
      </c>
      <c r="N417" s="593">
        <f ca="1">$E417*(SUMIF(INDIRECT(N$3),'Struktur Vorjahr'!$D417,INDIRECT(N$4)))</f>
        <v>0</v>
      </c>
      <c r="O417" s="593">
        <f ca="1">$E417*(SUMIF(INDIRECT(O$3),'Struktur Vorjahr'!$D417,INDIRECT(O$4)))</f>
        <v>0</v>
      </c>
      <c r="P417" s="593">
        <f ca="1">$E417*(SUMIF(INDIRECT(P$3),'Struktur Vorjahr'!$D417,INDIRECT(P$4)))</f>
        <v>0</v>
      </c>
      <c r="Q417" s="593">
        <f ca="1">$E417*(SUMIF(INDIRECT(Q$3),'Struktur Vorjahr'!$D417,INDIRECT(Q$4)))</f>
        <v>0</v>
      </c>
      <c r="R417" s="593">
        <f ca="1">$E417*(SUMIF(INDIRECT(R$3),'Struktur Vorjahr'!$D417,INDIRECT(R$4)))</f>
        <v>0</v>
      </c>
      <c r="S417" s="593">
        <f ca="1">$E417*(SUMIF(INDIRECT(S$3),'Struktur Vorjahr'!$D417,INDIRECT(S$4)))</f>
        <v>0</v>
      </c>
      <c r="T417" s="593">
        <f ca="1">$E417*(SUMIF(INDIRECT(T$3),'Struktur Vorjahr'!$D417,INDIRECT(T$4)))</f>
        <v>0</v>
      </c>
      <c r="U417" s="593">
        <f ca="1">$E417*(SUMIF(INDIRECT(U$3),'Struktur Vorjahr'!$D417,INDIRECT(U$4)))</f>
        <v>0</v>
      </c>
      <c r="V417" s="593">
        <f ca="1">$E417*(SUMIF(INDIRECT(V$3),'Struktur Vorjahr'!$D417,INDIRECT(V$4)))</f>
        <v>0</v>
      </c>
      <c r="W417" s="593">
        <f ca="1">$E417*(SUMIF(INDIRECT(W$3),'Struktur Vorjahr'!$D417,INDIRECT(W$4)))</f>
        <v>0</v>
      </c>
      <c r="X417" s="593">
        <f ca="1">$E417*(SUMIF(INDIRECT(X$3),'Struktur Vorjahr'!$D417,INDIRECT(X$4)))</f>
        <v>0</v>
      </c>
      <c r="Y417" s="593">
        <f ca="1">$E417*(SUMIF(INDIRECT(Y$3),'Struktur Vorjahr'!$D417,INDIRECT(Y$4)))</f>
        <v>0</v>
      </c>
      <c r="Z417" s="593">
        <f ca="1">$E417*(SUMIF(INDIRECT(Z$3),'Struktur Vorjahr'!$D417,INDIRECT(Z$4)))</f>
        <v>0</v>
      </c>
      <c r="AA417" s="593">
        <f ca="1">$E417*(SUMIF(INDIRECT(AA$3),'Struktur Vorjahr'!$D417,INDIRECT(AA$4)))</f>
        <v>0</v>
      </c>
      <c r="AB417" s="593">
        <f ca="1">$E417*(SUMIF(INDIRECT(AB$3),'Struktur Vorjahr'!$D417,INDIRECT(AB$4)))</f>
        <v>0</v>
      </c>
      <c r="AC417" s="593">
        <f ca="1">$E417*(SUMIF(INDIRECT(AC$3),'Struktur Vorjahr'!$D417,INDIRECT(AC$4)))</f>
        <v>0</v>
      </c>
      <c r="AD417" s="593">
        <f ca="1">$E417*(SUMIF(INDIRECT(AD$3),'Struktur Vorjahr'!$D417,INDIRECT(AD$4)))</f>
        <v>0</v>
      </c>
      <c r="AE417" s="593">
        <f t="shared" ref="AE417:AE428" ca="1" si="213">G417</f>
        <v>0</v>
      </c>
      <c r="AF417" s="593">
        <f t="shared" ref="AF417:AP428" ca="1" si="214">H417+AE417</f>
        <v>0</v>
      </c>
      <c r="AG417" s="593">
        <f t="shared" ca="1" si="214"/>
        <v>0</v>
      </c>
      <c r="AH417" s="593">
        <f t="shared" ca="1" si="214"/>
        <v>0</v>
      </c>
      <c r="AI417" s="593">
        <f t="shared" ca="1" si="214"/>
        <v>0</v>
      </c>
      <c r="AJ417" s="593">
        <f t="shared" ca="1" si="214"/>
        <v>0</v>
      </c>
      <c r="AK417" s="593">
        <f t="shared" ca="1" si="214"/>
        <v>0</v>
      </c>
      <c r="AL417" s="593">
        <f t="shared" ca="1" si="214"/>
        <v>0</v>
      </c>
      <c r="AM417" s="593">
        <f t="shared" ca="1" si="214"/>
        <v>0</v>
      </c>
      <c r="AN417" s="593">
        <f t="shared" ca="1" si="214"/>
        <v>0</v>
      </c>
      <c r="AO417" s="593">
        <f t="shared" ca="1" si="214"/>
        <v>0</v>
      </c>
      <c r="AP417" s="593">
        <f t="shared" ca="1" si="214"/>
        <v>0</v>
      </c>
    </row>
    <row r="418" spans="1:42" s="594" customFormat="1" ht="11.25" outlineLevel="1" x14ac:dyDescent="0.2">
      <c r="A418" s="644"/>
      <c r="B418" s="591" t="str">
        <f>IF(D418&lt;&gt;"",
IF(ISERROR(MATCH(D418,'Ist Vorjahr Monat 01'!A:A,0))=FALSE,INDEX('Ist Vorjahr Monat 01'!B:B,MATCH(D418,'Ist Vorjahr Monat 01'!A:A,0)),
IF(ISERROR(MATCH(D418,'Ist Vorjahr Monat 02'!A:A,0))=FALSE,INDEX('Ist Vorjahr Monat 02'!B:B,MATCH(D418,'Ist Vorjahr Monat 02'!A:A,0)),
IF(ISERROR(MATCH(D418,'Ist Vorjahr Monat 03'!A:A,0))=FALSE,INDEX('Ist Vorjahr Monat 03'!B:B,MATCH(D418,'Ist Vorjahr Monat 03'!A:A,0)),
IF(ISERROR(MATCH(D418,'Ist Vorjahr Monat 04'!A:A,0))=FALSE,INDEX('Ist Vorjahr Monat 04'!B:B,MATCH(D418,'Ist Vorjahr Monat 04'!A:A,0)),
IF(ISERROR(MATCH(D418,'Ist Vorjahr Monat 05'!A:A,0))=FALSE,INDEX('Ist Vorjahr Monat 05'!B:B,MATCH(D418,'Ist Vorjahr Monat 05'!A:A,0)),
IF(ISERROR(MATCH(D418,'Ist Vorjahr Monat 06'!A:A,0))=FALSE,INDEX('Ist Vorjahr Monat 06'!B:B,MATCH(D418,'Ist Vorjahr Monat 06'!A:A,0)),
IF(ISERROR(MATCH(D418,'Ist Vorjahr Monat 07'!A:A,0))=FALSE,INDEX('Ist Vorjahr Monat 07'!B:B,MATCH(D418,'Ist Vorjahr Monat 07'!A:A,0)),
IF(ISERROR(MATCH(D418,'Ist Vorjahr Monat 08'!A:A,0))=FALSE,INDEX('Ist Vorjahr Monat 08'!B:B,MATCH(D418,'Ist Vorjahr Monat 08'!A:A,0)),
IF(ISERROR(MATCH(D418,'Ist Vorjahr Monat 09'!A:A,0))=FALSE,INDEX('Ist Vorjahr Monat 09'!B:B,MATCH(D418,'Ist Vorjahr Monat 09'!A:A,0)),
IF(ISERROR(MATCH(D418,'Ist Vorjahr Monat 10'!A:A,0))=FALSE,INDEX('Ist Vorjahr Monat 10'!B:B,MATCH(D418,'Ist Vorjahr Monat 10'!A:A,0)),
IF(ISERROR(MATCH(D418,'Ist Vorjahr Monat 11'!A:A,0))=FALSE,INDEX('Ist Vorjahr Monat 11'!B:B,MATCH(D418,'Ist Vorjahr Monat 11'!A:A,0)),
IF(ISERROR(MATCH(D418,'Ist Vorjahr Monat 12'!A:A,0))=FALSE,INDEX('Ist Vorjahr Monat 12'!B:B,MATCH(D418,'Ist Vorjahr Monat 12'!A:A,0)),
"{Konto unbekannt}"
)))))))))))),"")</f>
        <v/>
      </c>
      <c r="C418" s="1062"/>
      <c r="D418" s="1067"/>
      <c r="E418" s="625">
        <f t="shared" si="186"/>
        <v>1</v>
      </c>
      <c r="F418" s="626"/>
      <c r="G418" s="593">
        <f ca="1">$E418*(SUMIF(INDIRECT(G$3),'Struktur Vorjahr'!$D418,INDIRECT(G$4)))</f>
        <v>0</v>
      </c>
      <c r="H418" s="593">
        <f ca="1">$E418*(SUMIF(INDIRECT(H$3),'Struktur Vorjahr'!$D418,INDIRECT(H$4)))</f>
        <v>0</v>
      </c>
      <c r="I418" s="593">
        <f ca="1">$E418*(SUMIF(INDIRECT(I$3),'Struktur Vorjahr'!$D418,INDIRECT(I$4)))</f>
        <v>0</v>
      </c>
      <c r="J418" s="593">
        <f ca="1">$E418*(SUMIF(INDIRECT(J$3),'Struktur Vorjahr'!$D418,INDIRECT(J$4)))</f>
        <v>0</v>
      </c>
      <c r="K418" s="593">
        <f ca="1">$E418*(SUMIF(INDIRECT(K$3),'Struktur Vorjahr'!$D418,INDIRECT(K$4)))</f>
        <v>0</v>
      </c>
      <c r="L418" s="593">
        <f ca="1">$E418*(SUMIF(INDIRECT(L$3),'Struktur Vorjahr'!$D418,INDIRECT(L$4)))</f>
        <v>0</v>
      </c>
      <c r="M418" s="593">
        <f ca="1">$E418*(SUMIF(INDIRECT(M$3),'Struktur Vorjahr'!$D418,INDIRECT(M$4)))</f>
        <v>0</v>
      </c>
      <c r="N418" s="593">
        <f ca="1">$E418*(SUMIF(INDIRECT(N$3),'Struktur Vorjahr'!$D418,INDIRECT(N$4)))</f>
        <v>0</v>
      </c>
      <c r="O418" s="593">
        <f ca="1">$E418*(SUMIF(INDIRECT(O$3),'Struktur Vorjahr'!$D418,INDIRECT(O$4)))</f>
        <v>0</v>
      </c>
      <c r="P418" s="593">
        <f ca="1">$E418*(SUMIF(INDIRECT(P$3),'Struktur Vorjahr'!$D418,INDIRECT(P$4)))</f>
        <v>0</v>
      </c>
      <c r="Q418" s="593">
        <f ca="1">$E418*(SUMIF(INDIRECT(Q$3),'Struktur Vorjahr'!$D418,INDIRECT(Q$4)))</f>
        <v>0</v>
      </c>
      <c r="R418" s="593">
        <f ca="1">$E418*(SUMIF(INDIRECT(R$3),'Struktur Vorjahr'!$D418,INDIRECT(R$4)))</f>
        <v>0</v>
      </c>
      <c r="S418" s="593">
        <f ca="1">$E418*(SUMIF(INDIRECT(S$3),'Struktur Vorjahr'!$D418,INDIRECT(S$4)))</f>
        <v>0</v>
      </c>
      <c r="T418" s="593">
        <f ca="1">$E418*(SUMIF(INDIRECT(T$3),'Struktur Vorjahr'!$D418,INDIRECT(T$4)))</f>
        <v>0</v>
      </c>
      <c r="U418" s="593">
        <f ca="1">$E418*(SUMIF(INDIRECT(U$3),'Struktur Vorjahr'!$D418,INDIRECT(U$4)))</f>
        <v>0</v>
      </c>
      <c r="V418" s="593">
        <f ca="1">$E418*(SUMIF(INDIRECT(V$3),'Struktur Vorjahr'!$D418,INDIRECT(V$4)))</f>
        <v>0</v>
      </c>
      <c r="W418" s="593">
        <f ca="1">$E418*(SUMIF(INDIRECT(W$3),'Struktur Vorjahr'!$D418,INDIRECT(W$4)))</f>
        <v>0</v>
      </c>
      <c r="X418" s="593">
        <f ca="1">$E418*(SUMIF(INDIRECT(X$3),'Struktur Vorjahr'!$D418,INDIRECT(X$4)))</f>
        <v>0</v>
      </c>
      <c r="Y418" s="593">
        <f ca="1">$E418*(SUMIF(INDIRECT(Y$3),'Struktur Vorjahr'!$D418,INDIRECT(Y$4)))</f>
        <v>0</v>
      </c>
      <c r="Z418" s="593">
        <f ca="1">$E418*(SUMIF(INDIRECT(Z$3),'Struktur Vorjahr'!$D418,INDIRECT(Z$4)))</f>
        <v>0</v>
      </c>
      <c r="AA418" s="593">
        <f ca="1">$E418*(SUMIF(INDIRECT(AA$3),'Struktur Vorjahr'!$D418,INDIRECT(AA$4)))</f>
        <v>0</v>
      </c>
      <c r="AB418" s="593">
        <f ca="1">$E418*(SUMIF(INDIRECT(AB$3),'Struktur Vorjahr'!$D418,INDIRECT(AB$4)))</f>
        <v>0</v>
      </c>
      <c r="AC418" s="593">
        <f ca="1">$E418*(SUMIF(INDIRECT(AC$3),'Struktur Vorjahr'!$D418,INDIRECT(AC$4)))</f>
        <v>0</v>
      </c>
      <c r="AD418" s="593">
        <f ca="1">$E418*(SUMIF(INDIRECT(AD$3),'Struktur Vorjahr'!$D418,INDIRECT(AD$4)))</f>
        <v>0</v>
      </c>
      <c r="AE418" s="593">
        <f t="shared" ca="1" si="213"/>
        <v>0</v>
      </c>
      <c r="AF418" s="593">
        <f t="shared" ca="1" si="214"/>
        <v>0</v>
      </c>
      <c r="AG418" s="593">
        <f t="shared" ca="1" si="214"/>
        <v>0</v>
      </c>
      <c r="AH418" s="593">
        <f t="shared" ca="1" si="214"/>
        <v>0</v>
      </c>
      <c r="AI418" s="593">
        <f t="shared" ca="1" si="214"/>
        <v>0</v>
      </c>
      <c r="AJ418" s="593">
        <f t="shared" ca="1" si="214"/>
        <v>0</v>
      </c>
      <c r="AK418" s="593">
        <f t="shared" ca="1" si="214"/>
        <v>0</v>
      </c>
      <c r="AL418" s="593">
        <f t="shared" ca="1" si="214"/>
        <v>0</v>
      </c>
      <c r="AM418" s="593">
        <f t="shared" ca="1" si="214"/>
        <v>0</v>
      </c>
      <c r="AN418" s="593">
        <f t="shared" ca="1" si="214"/>
        <v>0</v>
      </c>
      <c r="AO418" s="593">
        <f t="shared" ca="1" si="214"/>
        <v>0</v>
      </c>
      <c r="AP418" s="593">
        <f t="shared" ca="1" si="214"/>
        <v>0</v>
      </c>
    </row>
    <row r="419" spans="1:42" s="594" customFormat="1" ht="11.25" outlineLevel="1" x14ac:dyDescent="0.2">
      <c r="A419" s="644"/>
      <c r="B419" s="591" t="str">
        <f>IF(D419&lt;&gt;"",
IF(ISERROR(MATCH(D419,'Ist Vorjahr Monat 01'!A:A,0))=FALSE,INDEX('Ist Vorjahr Monat 01'!B:B,MATCH(D419,'Ist Vorjahr Monat 01'!A:A,0)),
IF(ISERROR(MATCH(D419,'Ist Vorjahr Monat 02'!A:A,0))=FALSE,INDEX('Ist Vorjahr Monat 02'!B:B,MATCH(D419,'Ist Vorjahr Monat 02'!A:A,0)),
IF(ISERROR(MATCH(D419,'Ist Vorjahr Monat 03'!A:A,0))=FALSE,INDEX('Ist Vorjahr Monat 03'!B:B,MATCH(D419,'Ist Vorjahr Monat 03'!A:A,0)),
IF(ISERROR(MATCH(D419,'Ist Vorjahr Monat 04'!A:A,0))=FALSE,INDEX('Ist Vorjahr Monat 04'!B:B,MATCH(D419,'Ist Vorjahr Monat 04'!A:A,0)),
IF(ISERROR(MATCH(D419,'Ist Vorjahr Monat 05'!A:A,0))=FALSE,INDEX('Ist Vorjahr Monat 05'!B:B,MATCH(D419,'Ist Vorjahr Monat 05'!A:A,0)),
IF(ISERROR(MATCH(D419,'Ist Vorjahr Monat 06'!A:A,0))=FALSE,INDEX('Ist Vorjahr Monat 06'!B:B,MATCH(D419,'Ist Vorjahr Monat 06'!A:A,0)),
IF(ISERROR(MATCH(D419,'Ist Vorjahr Monat 07'!A:A,0))=FALSE,INDEX('Ist Vorjahr Monat 07'!B:B,MATCH(D419,'Ist Vorjahr Monat 07'!A:A,0)),
IF(ISERROR(MATCH(D419,'Ist Vorjahr Monat 08'!A:A,0))=FALSE,INDEX('Ist Vorjahr Monat 08'!B:B,MATCH(D419,'Ist Vorjahr Monat 08'!A:A,0)),
IF(ISERROR(MATCH(D419,'Ist Vorjahr Monat 09'!A:A,0))=FALSE,INDEX('Ist Vorjahr Monat 09'!B:B,MATCH(D419,'Ist Vorjahr Monat 09'!A:A,0)),
IF(ISERROR(MATCH(D419,'Ist Vorjahr Monat 10'!A:A,0))=FALSE,INDEX('Ist Vorjahr Monat 10'!B:B,MATCH(D419,'Ist Vorjahr Monat 10'!A:A,0)),
IF(ISERROR(MATCH(D419,'Ist Vorjahr Monat 11'!A:A,0))=FALSE,INDEX('Ist Vorjahr Monat 11'!B:B,MATCH(D419,'Ist Vorjahr Monat 11'!A:A,0)),
IF(ISERROR(MATCH(D419,'Ist Vorjahr Monat 12'!A:A,0))=FALSE,INDEX('Ist Vorjahr Monat 12'!B:B,MATCH(D419,'Ist Vorjahr Monat 12'!A:A,0)),
"{Konto unbekannt}"
)))))))))))),"")</f>
        <v/>
      </c>
      <c r="C419" s="1062"/>
      <c r="D419" s="1067"/>
      <c r="E419" s="625">
        <f t="shared" si="186"/>
        <v>1</v>
      </c>
      <c r="F419" s="626"/>
      <c r="G419" s="593">
        <f ca="1">$E419*(SUMIF(INDIRECT(G$3),'Struktur Vorjahr'!$D419,INDIRECT(G$4)))</f>
        <v>0</v>
      </c>
      <c r="H419" s="593">
        <f ca="1">$E419*(SUMIF(INDIRECT(H$3),'Struktur Vorjahr'!$D419,INDIRECT(H$4)))</f>
        <v>0</v>
      </c>
      <c r="I419" s="593">
        <f ca="1">$E419*(SUMIF(INDIRECT(I$3),'Struktur Vorjahr'!$D419,INDIRECT(I$4)))</f>
        <v>0</v>
      </c>
      <c r="J419" s="593">
        <f ca="1">$E419*(SUMIF(INDIRECT(J$3),'Struktur Vorjahr'!$D419,INDIRECT(J$4)))</f>
        <v>0</v>
      </c>
      <c r="K419" s="593">
        <f ca="1">$E419*(SUMIF(INDIRECT(K$3),'Struktur Vorjahr'!$D419,INDIRECT(K$4)))</f>
        <v>0</v>
      </c>
      <c r="L419" s="593">
        <f ca="1">$E419*(SUMIF(INDIRECT(L$3),'Struktur Vorjahr'!$D419,INDIRECT(L$4)))</f>
        <v>0</v>
      </c>
      <c r="M419" s="593">
        <f ca="1">$E419*(SUMIF(INDIRECT(M$3),'Struktur Vorjahr'!$D419,INDIRECT(M$4)))</f>
        <v>0</v>
      </c>
      <c r="N419" s="593">
        <f ca="1">$E419*(SUMIF(INDIRECT(N$3),'Struktur Vorjahr'!$D419,INDIRECT(N$4)))</f>
        <v>0</v>
      </c>
      <c r="O419" s="593">
        <f ca="1">$E419*(SUMIF(INDIRECT(O$3),'Struktur Vorjahr'!$D419,INDIRECT(O$4)))</f>
        <v>0</v>
      </c>
      <c r="P419" s="593">
        <f ca="1">$E419*(SUMIF(INDIRECT(P$3),'Struktur Vorjahr'!$D419,INDIRECT(P$4)))</f>
        <v>0</v>
      </c>
      <c r="Q419" s="593">
        <f ca="1">$E419*(SUMIF(INDIRECT(Q$3),'Struktur Vorjahr'!$D419,INDIRECT(Q$4)))</f>
        <v>0</v>
      </c>
      <c r="R419" s="593">
        <f ca="1">$E419*(SUMIF(INDIRECT(R$3),'Struktur Vorjahr'!$D419,INDIRECT(R$4)))</f>
        <v>0</v>
      </c>
      <c r="S419" s="593">
        <f ca="1">$E419*(SUMIF(INDIRECT(S$3),'Struktur Vorjahr'!$D419,INDIRECT(S$4)))</f>
        <v>0</v>
      </c>
      <c r="T419" s="593">
        <f ca="1">$E419*(SUMIF(INDIRECT(T$3),'Struktur Vorjahr'!$D419,INDIRECT(T$4)))</f>
        <v>0</v>
      </c>
      <c r="U419" s="593">
        <f ca="1">$E419*(SUMIF(INDIRECT(U$3),'Struktur Vorjahr'!$D419,INDIRECT(U$4)))</f>
        <v>0</v>
      </c>
      <c r="V419" s="593">
        <f ca="1">$E419*(SUMIF(INDIRECT(V$3),'Struktur Vorjahr'!$D419,INDIRECT(V$4)))</f>
        <v>0</v>
      </c>
      <c r="W419" s="593">
        <f ca="1">$E419*(SUMIF(INDIRECT(W$3),'Struktur Vorjahr'!$D419,INDIRECT(W$4)))</f>
        <v>0</v>
      </c>
      <c r="X419" s="593">
        <f ca="1">$E419*(SUMIF(INDIRECT(X$3),'Struktur Vorjahr'!$D419,INDIRECT(X$4)))</f>
        <v>0</v>
      </c>
      <c r="Y419" s="593">
        <f ca="1">$E419*(SUMIF(INDIRECT(Y$3),'Struktur Vorjahr'!$D419,INDIRECT(Y$4)))</f>
        <v>0</v>
      </c>
      <c r="Z419" s="593">
        <f ca="1">$E419*(SUMIF(INDIRECT(Z$3),'Struktur Vorjahr'!$D419,INDIRECT(Z$4)))</f>
        <v>0</v>
      </c>
      <c r="AA419" s="593">
        <f ca="1">$E419*(SUMIF(INDIRECT(AA$3),'Struktur Vorjahr'!$D419,INDIRECT(AA$4)))</f>
        <v>0</v>
      </c>
      <c r="AB419" s="593">
        <f ca="1">$E419*(SUMIF(INDIRECT(AB$3),'Struktur Vorjahr'!$D419,INDIRECT(AB$4)))</f>
        <v>0</v>
      </c>
      <c r="AC419" s="593">
        <f ca="1">$E419*(SUMIF(INDIRECT(AC$3),'Struktur Vorjahr'!$D419,INDIRECT(AC$4)))</f>
        <v>0</v>
      </c>
      <c r="AD419" s="593">
        <f ca="1">$E419*(SUMIF(INDIRECT(AD$3),'Struktur Vorjahr'!$D419,INDIRECT(AD$4)))</f>
        <v>0</v>
      </c>
      <c r="AE419" s="593">
        <f t="shared" ca="1" si="213"/>
        <v>0</v>
      </c>
      <c r="AF419" s="593">
        <f t="shared" ca="1" si="214"/>
        <v>0</v>
      </c>
      <c r="AG419" s="593">
        <f t="shared" ca="1" si="214"/>
        <v>0</v>
      </c>
      <c r="AH419" s="593">
        <f t="shared" ca="1" si="214"/>
        <v>0</v>
      </c>
      <c r="AI419" s="593">
        <f t="shared" ca="1" si="214"/>
        <v>0</v>
      </c>
      <c r="AJ419" s="593">
        <f t="shared" ca="1" si="214"/>
        <v>0</v>
      </c>
      <c r="AK419" s="593">
        <f t="shared" ca="1" si="214"/>
        <v>0</v>
      </c>
      <c r="AL419" s="593">
        <f t="shared" ca="1" si="214"/>
        <v>0</v>
      </c>
      <c r="AM419" s="593">
        <f t="shared" ca="1" si="214"/>
        <v>0</v>
      </c>
      <c r="AN419" s="593">
        <f t="shared" ca="1" si="214"/>
        <v>0</v>
      </c>
      <c r="AO419" s="593">
        <f t="shared" ca="1" si="214"/>
        <v>0</v>
      </c>
      <c r="AP419" s="593">
        <f t="shared" ca="1" si="214"/>
        <v>0</v>
      </c>
    </row>
    <row r="420" spans="1:42" s="594" customFormat="1" ht="11.25" outlineLevel="1" x14ac:dyDescent="0.2">
      <c r="A420" s="644"/>
      <c r="B420" s="591" t="str">
        <f>IF(D420&lt;&gt;"",
IF(ISERROR(MATCH(D420,'Ist Vorjahr Monat 01'!A:A,0))=FALSE,INDEX('Ist Vorjahr Monat 01'!B:B,MATCH(D420,'Ist Vorjahr Monat 01'!A:A,0)),
IF(ISERROR(MATCH(D420,'Ist Vorjahr Monat 02'!A:A,0))=FALSE,INDEX('Ist Vorjahr Monat 02'!B:B,MATCH(D420,'Ist Vorjahr Monat 02'!A:A,0)),
IF(ISERROR(MATCH(D420,'Ist Vorjahr Monat 03'!A:A,0))=FALSE,INDEX('Ist Vorjahr Monat 03'!B:B,MATCH(D420,'Ist Vorjahr Monat 03'!A:A,0)),
IF(ISERROR(MATCH(D420,'Ist Vorjahr Monat 04'!A:A,0))=FALSE,INDEX('Ist Vorjahr Monat 04'!B:B,MATCH(D420,'Ist Vorjahr Monat 04'!A:A,0)),
IF(ISERROR(MATCH(D420,'Ist Vorjahr Monat 05'!A:A,0))=FALSE,INDEX('Ist Vorjahr Monat 05'!B:B,MATCH(D420,'Ist Vorjahr Monat 05'!A:A,0)),
IF(ISERROR(MATCH(D420,'Ist Vorjahr Monat 06'!A:A,0))=FALSE,INDEX('Ist Vorjahr Monat 06'!B:B,MATCH(D420,'Ist Vorjahr Monat 06'!A:A,0)),
IF(ISERROR(MATCH(D420,'Ist Vorjahr Monat 07'!A:A,0))=FALSE,INDEX('Ist Vorjahr Monat 07'!B:B,MATCH(D420,'Ist Vorjahr Monat 07'!A:A,0)),
IF(ISERROR(MATCH(D420,'Ist Vorjahr Monat 08'!A:A,0))=FALSE,INDEX('Ist Vorjahr Monat 08'!B:B,MATCH(D420,'Ist Vorjahr Monat 08'!A:A,0)),
IF(ISERROR(MATCH(D420,'Ist Vorjahr Monat 09'!A:A,0))=FALSE,INDEX('Ist Vorjahr Monat 09'!B:B,MATCH(D420,'Ist Vorjahr Monat 09'!A:A,0)),
IF(ISERROR(MATCH(D420,'Ist Vorjahr Monat 10'!A:A,0))=FALSE,INDEX('Ist Vorjahr Monat 10'!B:B,MATCH(D420,'Ist Vorjahr Monat 10'!A:A,0)),
IF(ISERROR(MATCH(D420,'Ist Vorjahr Monat 11'!A:A,0))=FALSE,INDEX('Ist Vorjahr Monat 11'!B:B,MATCH(D420,'Ist Vorjahr Monat 11'!A:A,0)),
IF(ISERROR(MATCH(D420,'Ist Vorjahr Monat 12'!A:A,0))=FALSE,INDEX('Ist Vorjahr Monat 12'!B:B,MATCH(D420,'Ist Vorjahr Monat 12'!A:A,0)),
"{Konto unbekannt}"
)))))))))))),"")</f>
        <v/>
      </c>
      <c r="C420" s="1062"/>
      <c r="D420" s="1067"/>
      <c r="E420" s="625">
        <f>IF(F420="-",-1,1)</f>
        <v>1</v>
      </c>
      <c r="F420" s="626"/>
      <c r="G420" s="593">
        <f ca="1">$E420*(SUMIF(INDIRECT(G$3),'Struktur Vorjahr'!$D420,INDIRECT(G$4)))</f>
        <v>0</v>
      </c>
      <c r="H420" s="593">
        <f ca="1">$E420*(SUMIF(INDIRECT(H$3),'Struktur Vorjahr'!$D420,INDIRECT(H$4)))</f>
        <v>0</v>
      </c>
      <c r="I420" s="593">
        <f ca="1">$E420*(SUMIF(INDIRECT(I$3),'Struktur Vorjahr'!$D420,INDIRECT(I$4)))</f>
        <v>0</v>
      </c>
      <c r="J420" s="593">
        <f ca="1">$E420*(SUMIF(INDIRECT(J$3),'Struktur Vorjahr'!$D420,INDIRECT(J$4)))</f>
        <v>0</v>
      </c>
      <c r="K420" s="593">
        <f ca="1">$E420*(SUMIF(INDIRECT(K$3),'Struktur Vorjahr'!$D420,INDIRECT(K$4)))</f>
        <v>0</v>
      </c>
      <c r="L420" s="593">
        <f ca="1">$E420*(SUMIF(INDIRECT(L$3),'Struktur Vorjahr'!$D420,INDIRECT(L$4)))</f>
        <v>0</v>
      </c>
      <c r="M420" s="593">
        <f ca="1">$E420*(SUMIF(INDIRECT(M$3),'Struktur Vorjahr'!$D420,INDIRECT(M$4)))</f>
        <v>0</v>
      </c>
      <c r="N420" s="593">
        <f ca="1">$E420*(SUMIF(INDIRECT(N$3),'Struktur Vorjahr'!$D420,INDIRECT(N$4)))</f>
        <v>0</v>
      </c>
      <c r="O420" s="593">
        <f ca="1">$E420*(SUMIF(INDIRECT(O$3),'Struktur Vorjahr'!$D420,INDIRECT(O$4)))</f>
        <v>0</v>
      </c>
      <c r="P420" s="593">
        <f ca="1">$E420*(SUMIF(INDIRECT(P$3),'Struktur Vorjahr'!$D420,INDIRECT(P$4)))</f>
        <v>0</v>
      </c>
      <c r="Q420" s="593">
        <f ca="1">$E420*(SUMIF(INDIRECT(Q$3),'Struktur Vorjahr'!$D420,INDIRECT(Q$4)))</f>
        <v>0</v>
      </c>
      <c r="R420" s="593">
        <f ca="1">$E420*(SUMIF(INDIRECT(R$3),'Struktur Vorjahr'!$D420,INDIRECT(R$4)))</f>
        <v>0</v>
      </c>
      <c r="S420" s="593">
        <f ca="1">$E420*(SUMIF(INDIRECT(S$3),'Struktur Vorjahr'!$D420,INDIRECT(S$4)))</f>
        <v>0</v>
      </c>
      <c r="T420" s="593">
        <f ca="1">$E420*(SUMIF(INDIRECT(T$3),'Struktur Vorjahr'!$D420,INDIRECT(T$4)))</f>
        <v>0</v>
      </c>
      <c r="U420" s="593">
        <f ca="1">$E420*(SUMIF(INDIRECT(U$3),'Struktur Vorjahr'!$D420,INDIRECT(U$4)))</f>
        <v>0</v>
      </c>
      <c r="V420" s="593">
        <f ca="1">$E420*(SUMIF(INDIRECT(V$3),'Struktur Vorjahr'!$D420,INDIRECT(V$4)))</f>
        <v>0</v>
      </c>
      <c r="W420" s="593">
        <f ca="1">$E420*(SUMIF(INDIRECT(W$3),'Struktur Vorjahr'!$D420,INDIRECT(W$4)))</f>
        <v>0</v>
      </c>
      <c r="X420" s="593">
        <f ca="1">$E420*(SUMIF(INDIRECT(X$3),'Struktur Vorjahr'!$D420,INDIRECT(X$4)))</f>
        <v>0</v>
      </c>
      <c r="Y420" s="593">
        <f ca="1">$E420*(SUMIF(INDIRECT(Y$3),'Struktur Vorjahr'!$D420,INDIRECT(Y$4)))</f>
        <v>0</v>
      </c>
      <c r="Z420" s="593">
        <f ca="1">$E420*(SUMIF(INDIRECT(Z$3),'Struktur Vorjahr'!$D420,INDIRECT(Z$4)))</f>
        <v>0</v>
      </c>
      <c r="AA420" s="593">
        <f ca="1">$E420*(SUMIF(INDIRECT(AA$3),'Struktur Vorjahr'!$D420,INDIRECT(AA$4)))</f>
        <v>0</v>
      </c>
      <c r="AB420" s="593">
        <f ca="1">$E420*(SUMIF(INDIRECT(AB$3),'Struktur Vorjahr'!$D420,INDIRECT(AB$4)))</f>
        <v>0</v>
      </c>
      <c r="AC420" s="593">
        <f ca="1">$E420*(SUMIF(INDIRECT(AC$3),'Struktur Vorjahr'!$D420,INDIRECT(AC$4)))</f>
        <v>0</v>
      </c>
      <c r="AD420" s="593">
        <f ca="1">$E420*(SUMIF(INDIRECT(AD$3),'Struktur Vorjahr'!$D420,INDIRECT(AD$4)))</f>
        <v>0</v>
      </c>
      <c r="AE420" s="593">
        <f t="shared" ca="1" si="213"/>
        <v>0</v>
      </c>
      <c r="AF420" s="593">
        <f t="shared" ca="1" si="214"/>
        <v>0</v>
      </c>
      <c r="AG420" s="593">
        <f t="shared" ca="1" si="214"/>
        <v>0</v>
      </c>
      <c r="AH420" s="593">
        <f t="shared" ca="1" si="214"/>
        <v>0</v>
      </c>
      <c r="AI420" s="593">
        <f t="shared" ca="1" si="214"/>
        <v>0</v>
      </c>
      <c r="AJ420" s="593">
        <f t="shared" ca="1" si="214"/>
        <v>0</v>
      </c>
      <c r="AK420" s="593">
        <f t="shared" ca="1" si="214"/>
        <v>0</v>
      </c>
      <c r="AL420" s="593">
        <f t="shared" ca="1" si="214"/>
        <v>0</v>
      </c>
      <c r="AM420" s="593">
        <f t="shared" ca="1" si="214"/>
        <v>0</v>
      </c>
      <c r="AN420" s="593">
        <f t="shared" ca="1" si="214"/>
        <v>0</v>
      </c>
      <c r="AO420" s="593">
        <f t="shared" ca="1" si="214"/>
        <v>0</v>
      </c>
      <c r="AP420" s="593">
        <f t="shared" ca="1" si="214"/>
        <v>0</v>
      </c>
    </row>
    <row r="421" spans="1:42" s="594" customFormat="1" ht="11.25" outlineLevel="1" x14ac:dyDescent="0.2">
      <c r="A421" s="644"/>
      <c r="B421" s="591" t="str">
        <f>IF(D421&lt;&gt;"",
IF(ISERROR(MATCH(D421,'Ist Vorjahr Monat 01'!A:A,0))=FALSE,INDEX('Ist Vorjahr Monat 01'!B:B,MATCH(D421,'Ist Vorjahr Monat 01'!A:A,0)),
IF(ISERROR(MATCH(D421,'Ist Vorjahr Monat 02'!A:A,0))=FALSE,INDEX('Ist Vorjahr Monat 02'!B:B,MATCH(D421,'Ist Vorjahr Monat 02'!A:A,0)),
IF(ISERROR(MATCH(D421,'Ist Vorjahr Monat 03'!A:A,0))=FALSE,INDEX('Ist Vorjahr Monat 03'!B:B,MATCH(D421,'Ist Vorjahr Monat 03'!A:A,0)),
IF(ISERROR(MATCH(D421,'Ist Vorjahr Monat 04'!A:A,0))=FALSE,INDEX('Ist Vorjahr Monat 04'!B:B,MATCH(D421,'Ist Vorjahr Monat 04'!A:A,0)),
IF(ISERROR(MATCH(D421,'Ist Vorjahr Monat 05'!A:A,0))=FALSE,INDEX('Ist Vorjahr Monat 05'!B:B,MATCH(D421,'Ist Vorjahr Monat 05'!A:A,0)),
IF(ISERROR(MATCH(D421,'Ist Vorjahr Monat 06'!A:A,0))=FALSE,INDEX('Ist Vorjahr Monat 06'!B:B,MATCH(D421,'Ist Vorjahr Monat 06'!A:A,0)),
IF(ISERROR(MATCH(D421,'Ist Vorjahr Monat 07'!A:A,0))=FALSE,INDEX('Ist Vorjahr Monat 07'!B:B,MATCH(D421,'Ist Vorjahr Monat 07'!A:A,0)),
IF(ISERROR(MATCH(D421,'Ist Vorjahr Monat 08'!A:A,0))=FALSE,INDEX('Ist Vorjahr Monat 08'!B:B,MATCH(D421,'Ist Vorjahr Monat 08'!A:A,0)),
IF(ISERROR(MATCH(D421,'Ist Vorjahr Monat 09'!A:A,0))=FALSE,INDEX('Ist Vorjahr Monat 09'!B:B,MATCH(D421,'Ist Vorjahr Monat 09'!A:A,0)),
IF(ISERROR(MATCH(D421,'Ist Vorjahr Monat 10'!A:A,0))=FALSE,INDEX('Ist Vorjahr Monat 10'!B:B,MATCH(D421,'Ist Vorjahr Monat 10'!A:A,0)),
IF(ISERROR(MATCH(D421,'Ist Vorjahr Monat 11'!A:A,0))=FALSE,INDEX('Ist Vorjahr Monat 11'!B:B,MATCH(D421,'Ist Vorjahr Monat 11'!A:A,0)),
IF(ISERROR(MATCH(D421,'Ist Vorjahr Monat 12'!A:A,0))=FALSE,INDEX('Ist Vorjahr Monat 12'!B:B,MATCH(D421,'Ist Vorjahr Monat 12'!A:A,0)),
"{Konto unbekannt}"
)))))))))))),"")</f>
        <v/>
      </c>
      <c r="C421" s="1062"/>
      <c r="D421" s="1067"/>
      <c r="E421" s="625">
        <f t="shared" ref="E421:E427" si="215">IF(F421="-",-1,1)</f>
        <v>1</v>
      </c>
      <c r="F421" s="626"/>
      <c r="G421" s="838">
        <f ca="1">$E421*(SUMIF(INDIRECT(G$3),'Struktur Vorjahr'!$D421,INDIRECT(G$4)))</f>
        <v>0</v>
      </c>
      <c r="H421" s="838">
        <f ca="1">$E421*(SUMIF(INDIRECT(H$3),'Struktur Vorjahr'!$D421,INDIRECT(H$4)))</f>
        <v>0</v>
      </c>
      <c r="I421" s="838">
        <f ca="1">$E421*(SUMIF(INDIRECT(I$3),'Struktur Vorjahr'!$D421,INDIRECT(I$4)))</f>
        <v>0</v>
      </c>
      <c r="J421" s="838">
        <f ca="1">$E421*(SUMIF(INDIRECT(J$3),'Struktur Vorjahr'!$D421,INDIRECT(J$4)))</f>
        <v>0</v>
      </c>
      <c r="K421" s="838">
        <f ca="1">$E421*(SUMIF(INDIRECT(K$3),'Struktur Vorjahr'!$D421,INDIRECT(K$4)))</f>
        <v>0</v>
      </c>
      <c r="L421" s="838">
        <f ca="1">$E421*(SUMIF(INDIRECT(L$3),'Struktur Vorjahr'!$D421,INDIRECT(L$4)))</f>
        <v>0</v>
      </c>
      <c r="M421" s="838">
        <f ca="1">$E421*(SUMIF(INDIRECT(M$3),'Struktur Vorjahr'!$D421,INDIRECT(M$4)))</f>
        <v>0</v>
      </c>
      <c r="N421" s="838">
        <f ca="1">$E421*(SUMIF(INDIRECT(N$3),'Struktur Vorjahr'!$D421,INDIRECT(N$4)))</f>
        <v>0</v>
      </c>
      <c r="O421" s="838">
        <f ca="1">$E421*(SUMIF(INDIRECT(O$3),'Struktur Vorjahr'!$D421,INDIRECT(O$4)))</f>
        <v>0</v>
      </c>
      <c r="P421" s="838">
        <f ca="1">$E421*(SUMIF(INDIRECT(P$3),'Struktur Vorjahr'!$D421,INDIRECT(P$4)))</f>
        <v>0</v>
      </c>
      <c r="Q421" s="838">
        <f ca="1">$E421*(SUMIF(INDIRECT(Q$3),'Struktur Vorjahr'!$D421,INDIRECT(Q$4)))</f>
        <v>0</v>
      </c>
      <c r="R421" s="838">
        <f ca="1">$E421*(SUMIF(INDIRECT(R$3),'Struktur Vorjahr'!$D421,INDIRECT(R$4)))</f>
        <v>0</v>
      </c>
      <c r="S421" s="838">
        <f ca="1">$E421*(SUMIF(INDIRECT(S$3),'Struktur Vorjahr'!$D421,INDIRECT(S$4)))</f>
        <v>0</v>
      </c>
      <c r="T421" s="838">
        <f ca="1">$E421*(SUMIF(INDIRECT(T$3),'Struktur Vorjahr'!$D421,INDIRECT(T$4)))</f>
        <v>0</v>
      </c>
      <c r="U421" s="838">
        <f ca="1">$E421*(SUMIF(INDIRECT(U$3),'Struktur Vorjahr'!$D421,INDIRECT(U$4)))</f>
        <v>0</v>
      </c>
      <c r="V421" s="838">
        <f ca="1">$E421*(SUMIF(INDIRECT(V$3),'Struktur Vorjahr'!$D421,INDIRECT(V$4)))</f>
        <v>0</v>
      </c>
      <c r="W421" s="838">
        <f ca="1">$E421*(SUMIF(INDIRECT(W$3),'Struktur Vorjahr'!$D421,INDIRECT(W$4)))</f>
        <v>0</v>
      </c>
      <c r="X421" s="838">
        <f ca="1">$E421*(SUMIF(INDIRECT(X$3),'Struktur Vorjahr'!$D421,INDIRECT(X$4)))</f>
        <v>0</v>
      </c>
      <c r="Y421" s="838">
        <f ca="1">$E421*(SUMIF(INDIRECT(Y$3),'Struktur Vorjahr'!$D421,INDIRECT(Y$4)))</f>
        <v>0</v>
      </c>
      <c r="Z421" s="838">
        <f ca="1">$E421*(SUMIF(INDIRECT(Z$3),'Struktur Vorjahr'!$D421,INDIRECT(Z$4)))</f>
        <v>0</v>
      </c>
      <c r="AA421" s="838">
        <f ca="1">$E421*(SUMIF(INDIRECT(AA$3),'Struktur Vorjahr'!$D421,INDIRECT(AA$4)))</f>
        <v>0</v>
      </c>
      <c r="AB421" s="838">
        <f ca="1">$E421*(SUMIF(INDIRECT(AB$3),'Struktur Vorjahr'!$D421,INDIRECT(AB$4)))</f>
        <v>0</v>
      </c>
      <c r="AC421" s="838">
        <f ca="1">$E421*(SUMIF(INDIRECT(AC$3),'Struktur Vorjahr'!$D421,INDIRECT(AC$4)))</f>
        <v>0</v>
      </c>
      <c r="AD421" s="838">
        <f ca="1">$E421*(SUMIF(INDIRECT(AD$3),'Struktur Vorjahr'!$D421,INDIRECT(AD$4)))</f>
        <v>0</v>
      </c>
      <c r="AE421" s="593">
        <f t="shared" ca="1" si="213"/>
        <v>0</v>
      </c>
      <c r="AF421" s="593">
        <f t="shared" ca="1" si="214"/>
        <v>0</v>
      </c>
      <c r="AG421" s="593">
        <f t="shared" ca="1" si="214"/>
        <v>0</v>
      </c>
      <c r="AH421" s="593">
        <f t="shared" ca="1" si="214"/>
        <v>0</v>
      </c>
      <c r="AI421" s="593">
        <f t="shared" ca="1" si="214"/>
        <v>0</v>
      </c>
      <c r="AJ421" s="593">
        <f t="shared" ca="1" si="214"/>
        <v>0</v>
      </c>
      <c r="AK421" s="593">
        <f t="shared" ca="1" si="214"/>
        <v>0</v>
      </c>
      <c r="AL421" s="593">
        <f t="shared" ca="1" si="214"/>
        <v>0</v>
      </c>
      <c r="AM421" s="593">
        <f t="shared" ca="1" si="214"/>
        <v>0</v>
      </c>
      <c r="AN421" s="593">
        <f t="shared" ca="1" si="214"/>
        <v>0</v>
      </c>
      <c r="AO421" s="593">
        <f t="shared" ca="1" si="214"/>
        <v>0</v>
      </c>
      <c r="AP421" s="593">
        <f t="shared" ca="1" si="214"/>
        <v>0</v>
      </c>
    </row>
    <row r="422" spans="1:42" s="594" customFormat="1" ht="11.25" outlineLevel="1" x14ac:dyDescent="0.2">
      <c r="A422" s="644"/>
      <c r="B422" s="591" t="str">
        <f>IF(D422&lt;&gt;"",
IF(ISERROR(MATCH(D422,'Ist Vorjahr Monat 01'!A:A,0))=FALSE,INDEX('Ist Vorjahr Monat 01'!B:B,MATCH(D422,'Ist Vorjahr Monat 01'!A:A,0)),
IF(ISERROR(MATCH(D422,'Ist Vorjahr Monat 02'!A:A,0))=FALSE,INDEX('Ist Vorjahr Monat 02'!B:B,MATCH(D422,'Ist Vorjahr Monat 02'!A:A,0)),
IF(ISERROR(MATCH(D422,'Ist Vorjahr Monat 03'!A:A,0))=FALSE,INDEX('Ist Vorjahr Monat 03'!B:B,MATCH(D422,'Ist Vorjahr Monat 03'!A:A,0)),
IF(ISERROR(MATCH(D422,'Ist Vorjahr Monat 04'!A:A,0))=FALSE,INDEX('Ist Vorjahr Monat 04'!B:B,MATCH(D422,'Ist Vorjahr Monat 04'!A:A,0)),
IF(ISERROR(MATCH(D422,'Ist Vorjahr Monat 05'!A:A,0))=FALSE,INDEX('Ist Vorjahr Monat 05'!B:B,MATCH(D422,'Ist Vorjahr Monat 05'!A:A,0)),
IF(ISERROR(MATCH(D422,'Ist Vorjahr Monat 06'!A:A,0))=FALSE,INDEX('Ist Vorjahr Monat 06'!B:B,MATCH(D422,'Ist Vorjahr Monat 06'!A:A,0)),
IF(ISERROR(MATCH(D422,'Ist Vorjahr Monat 07'!A:A,0))=FALSE,INDEX('Ist Vorjahr Monat 07'!B:B,MATCH(D422,'Ist Vorjahr Monat 07'!A:A,0)),
IF(ISERROR(MATCH(D422,'Ist Vorjahr Monat 08'!A:A,0))=FALSE,INDEX('Ist Vorjahr Monat 08'!B:B,MATCH(D422,'Ist Vorjahr Monat 08'!A:A,0)),
IF(ISERROR(MATCH(D422,'Ist Vorjahr Monat 09'!A:A,0))=FALSE,INDEX('Ist Vorjahr Monat 09'!B:B,MATCH(D422,'Ist Vorjahr Monat 09'!A:A,0)),
IF(ISERROR(MATCH(D422,'Ist Vorjahr Monat 10'!A:A,0))=FALSE,INDEX('Ist Vorjahr Monat 10'!B:B,MATCH(D422,'Ist Vorjahr Monat 10'!A:A,0)),
IF(ISERROR(MATCH(D422,'Ist Vorjahr Monat 11'!A:A,0))=FALSE,INDEX('Ist Vorjahr Monat 11'!B:B,MATCH(D422,'Ist Vorjahr Monat 11'!A:A,0)),
IF(ISERROR(MATCH(D422,'Ist Vorjahr Monat 12'!A:A,0))=FALSE,INDEX('Ist Vorjahr Monat 12'!B:B,MATCH(D422,'Ist Vorjahr Monat 12'!A:A,0)),
"{Konto unbekannt}"
)))))))))))),"")</f>
        <v/>
      </c>
      <c r="C422" s="1062"/>
      <c r="D422" s="1067"/>
      <c r="E422" s="625">
        <f t="shared" si="215"/>
        <v>1</v>
      </c>
      <c r="F422" s="626"/>
      <c r="G422" s="838">
        <f ca="1">$E422*(SUMIF(INDIRECT(G$3),'Struktur Vorjahr'!$D422,INDIRECT(G$4)))</f>
        <v>0</v>
      </c>
      <c r="H422" s="838">
        <f ca="1">$E422*(SUMIF(INDIRECT(H$3),'Struktur Vorjahr'!$D422,INDIRECT(H$4)))</f>
        <v>0</v>
      </c>
      <c r="I422" s="838">
        <f ca="1">$E422*(SUMIF(INDIRECT(I$3),'Struktur Vorjahr'!$D422,INDIRECT(I$4)))</f>
        <v>0</v>
      </c>
      <c r="J422" s="838">
        <f ca="1">$E422*(SUMIF(INDIRECT(J$3),'Struktur Vorjahr'!$D422,INDIRECT(J$4)))</f>
        <v>0</v>
      </c>
      <c r="K422" s="838">
        <f ca="1">$E422*(SUMIF(INDIRECT(K$3),'Struktur Vorjahr'!$D422,INDIRECT(K$4)))</f>
        <v>0</v>
      </c>
      <c r="L422" s="838">
        <f ca="1">$E422*(SUMIF(INDIRECT(L$3),'Struktur Vorjahr'!$D422,INDIRECT(L$4)))</f>
        <v>0</v>
      </c>
      <c r="M422" s="838">
        <f ca="1">$E422*(SUMIF(INDIRECT(M$3),'Struktur Vorjahr'!$D422,INDIRECT(M$4)))</f>
        <v>0</v>
      </c>
      <c r="N422" s="838">
        <f ca="1">$E422*(SUMIF(INDIRECT(N$3),'Struktur Vorjahr'!$D422,INDIRECT(N$4)))</f>
        <v>0</v>
      </c>
      <c r="O422" s="838">
        <f ca="1">$E422*(SUMIF(INDIRECT(O$3),'Struktur Vorjahr'!$D422,INDIRECT(O$4)))</f>
        <v>0</v>
      </c>
      <c r="P422" s="838">
        <f ca="1">$E422*(SUMIF(INDIRECT(P$3),'Struktur Vorjahr'!$D422,INDIRECT(P$4)))</f>
        <v>0</v>
      </c>
      <c r="Q422" s="838">
        <f ca="1">$E422*(SUMIF(INDIRECT(Q$3),'Struktur Vorjahr'!$D422,INDIRECT(Q$4)))</f>
        <v>0</v>
      </c>
      <c r="R422" s="838">
        <f ca="1">$E422*(SUMIF(INDIRECT(R$3),'Struktur Vorjahr'!$D422,INDIRECT(R$4)))</f>
        <v>0</v>
      </c>
      <c r="S422" s="838">
        <f ca="1">$E422*(SUMIF(INDIRECT(S$3),'Struktur Vorjahr'!$D422,INDIRECT(S$4)))</f>
        <v>0</v>
      </c>
      <c r="T422" s="838">
        <f ca="1">$E422*(SUMIF(INDIRECT(T$3),'Struktur Vorjahr'!$D422,INDIRECT(T$4)))</f>
        <v>0</v>
      </c>
      <c r="U422" s="838">
        <f ca="1">$E422*(SUMIF(INDIRECT(U$3),'Struktur Vorjahr'!$D422,INDIRECT(U$4)))</f>
        <v>0</v>
      </c>
      <c r="V422" s="838">
        <f ca="1">$E422*(SUMIF(INDIRECT(V$3),'Struktur Vorjahr'!$D422,INDIRECT(V$4)))</f>
        <v>0</v>
      </c>
      <c r="W422" s="838">
        <f ca="1">$E422*(SUMIF(INDIRECT(W$3),'Struktur Vorjahr'!$D422,INDIRECT(W$4)))</f>
        <v>0</v>
      </c>
      <c r="X422" s="838">
        <f ca="1">$E422*(SUMIF(INDIRECT(X$3),'Struktur Vorjahr'!$D422,INDIRECT(X$4)))</f>
        <v>0</v>
      </c>
      <c r="Y422" s="838">
        <f ca="1">$E422*(SUMIF(INDIRECT(Y$3),'Struktur Vorjahr'!$D422,INDIRECT(Y$4)))</f>
        <v>0</v>
      </c>
      <c r="Z422" s="838">
        <f ca="1">$E422*(SUMIF(INDIRECT(Z$3),'Struktur Vorjahr'!$D422,INDIRECT(Z$4)))</f>
        <v>0</v>
      </c>
      <c r="AA422" s="838">
        <f ca="1">$E422*(SUMIF(INDIRECT(AA$3),'Struktur Vorjahr'!$D422,INDIRECT(AA$4)))</f>
        <v>0</v>
      </c>
      <c r="AB422" s="838">
        <f ca="1">$E422*(SUMIF(INDIRECT(AB$3),'Struktur Vorjahr'!$D422,INDIRECT(AB$4)))</f>
        <v>0</v>
      </c>
      <c r="AC422" s="838">
        <f ca="1">$E422*(SUMIF(INDIRECT(AC$3),'Struktur Vorjahr'!$D422,INDIRECT(AC$4)))</f>
        <v>0</v>
      </c>
      <c r="AD422" s="838">
        <f ca="1">$E422*(SUMIF(INDIRECT(AD$3),'Struktur Vorjahr'!$D422,INDIRECT(AD$4)))</f>
        <v>0</v>
      </c>
      <c r="AE422" s="593">
        <f t="shared" ca="1" si="213"/>
        <v>0</v>
      </c>
      <c r="AF422" s="593">
        <f t="shared" ca="1" si="214"/>
        <v>0</v>
      </c>
      <c r="AG422" s="593">
        <f t="shared" ca="1" si="214"/>
        <v>0</v>
      </c>
      <c r="AH422" s="593">
        <f t="shared" ca="1" si="214"/>
        <v>0</v>
      </c>
      <c r="AI422" s="593">
        <f t="shared" ca="1" si="214"/>
        <v>0</v>
      </c>
      <c r="AJ422" s="593">
        <f t="shared" ca="1" si="214"/>
        <v>0</v>
      </c>
      <c r="AK422" s="593">
        <f t="shared" ca="1" si="214"/>
        <v>0</v>
      </c>
      <c r="AL422" s="593">
        <f t="shared" ca="1" si="214"/>
        <v>0</v>
      </c>
      <c r="AM422" s="593">
        <f t="shared" ca="1" si="214"/>
        <v>0</v>
      </c>
      <c r="AN422" s="593">
        <f t="shared" ca="1" si="214"/>
        <v>0</v>
      </c>
      <c r="AO422" s="593">
        <f t="shared" ca="1" si="214"/>
        <v>0</v>
      </c>
      <c r="AP422" s="593">
        <f t="shared" ca="1" si="214"/>
        <v>0</v>
      </c>
    </row>
    <row r="423" spans="1:42" s="594" customFormat="1" ht="11.25" outlineLevel="1" x14ac:dyDescent="0.2">
      <c r="A423" s="644"/>
      <c r="B423" s="591" t="str">
        <f>IF(D423&lt;&gt;"",
IF(ISERROR(MATCH(D423,'Ist Vorjahr Monat 01'!A:A,0))=FALSE,INDEX('Ist Vorjahr Monat 01'!B:B,MATCH(D423,'Ist Vorjahr Monat 01'!A:A,0)),
IF(ISERROR(MATCH(D423,'Ist Vorjahr Monat 02'!A:A,0))=FALSE,INDEX('Ist Vorjahr Monat 02'!B:B,MATCH(D423,'Ist Vorjahr Monat 02'!A:A,0)),
IF(ISERROR(MATCH(D423,'Ist Vorjahr Monat 03'!A:A,0))=FALSE,INDEX('Ist Vorjahr Monat 03'!B:B,MATCH(D423,'Ist Vorjahr Monat 03'!A:A,0)),
IF(ISERROR(MATCH(D423,'Ist Vorjahr Monat 04'!A:A,0))=FALSE,INDEX('Ist Vorjahr Monat 04'!B:B,MATCH(D423,'Ist Vorjahr Monat 04'!A:A,0)),
IF(ISERROR(MATCH(D423,'Ist Vorjahr Monat 05'!A:A,0))=FALSE,INDEX('Ist Vorjahr Monat 05'!B:B,MATCH(D423,'Ist Vorjahr Monat 05'!A:A,0)),
IF(ISERROR(MATCH(D423,'Ist Vorjahr Monat 06'!A:A,0))=FALSE,INDEX('Ist Vorjahr Monat 06'!B:B,MATCH(D423,'Ist Vorjahr Monat 06'!A:A,0)),
IF(ISERROR(MATCH(D423,'Ist Vorjahr Monat 07'!A:A,0))=FALSE,INDEX('Ist Vorjahr Monat 07'!B:B,MATCH(D423,'Ist Vorjahr Monat 07'!A:A,0)),
IF(ISERROR(MATCH(D423,'Ist Vorjahr Monat 08'!A:A,0))=FALSE,INDEX('Ist Vorjahr Monat 08'!B:B,MATCH(D423,'Ist Vorjahr Monat 08'!A:A,0)),
IF(ISERROR(MATCH(D423,'Ist Vorjahr Monat 09'!A:A,0))=FALSE,INDEX('Ist Vorjahr Monat 09'!B:B,MATCH(D423,'Ist Vorjahr Monat 09'!A:A,0)),
IF(ISERROR(MATCH(D423,'Ist Vorjahr Monat 10'!A:A,0))=FALSE,INDEX('Ist Vorjahr Monat 10'!B:B,MATCH(D423,'Ist Vorjahr Monat 10'!A:A,0)),
IF(ISERROR(MATCH(D423,'Ist Vorjahr Monat 11'!A:A,0))=FALSE,INDEX('Ist Vorjahr Monat 11'!B:B,MATCH(D423,'Ist Vorjahr Monat 11'!A:A,0)),
IF(ISERROR(MATCH(D423,'Ist Vorjahr Monat 12'!A:A,0))=FALSE,INDEX('Ist Vorjahr Monat 12'!B:B,MATCH(D423,'Ist Vorjahr Monat 12'!A:A,0)),
"{Konto unbekannt}"
)))))))))))),"")</f>
        <v/>
      </c>
      <c r="C423" s="1062"/>
      <c r="D423" s="1067"/>
      <c r="E423" s="625">
        <f t="shared" si="215"/>
        <v>1</v>
      </c>
      <c r="F423" s="626"/>
      <c r="G423" s="593">
        <f ca="1">$E423*(SUMIF(INDIRECT(G$3),'Struktur Vorjahr'!$D423,INDIRECT(G$4)))</f>
        <v>0</v>
      </c>
      <c r="H423" s="593">
        <f ca="1">$E423*(SUMIF(INDIRECT(H$3),'Struktur Vorjahr'!$D423,INDIRECT(H$4)))</f>
        <v>0</v>
      </c>
      <c r="I423" s="593">
        <f ca="1">$E423*(SUMIF(INDIRECT(I$3),'Struktur Vorjahr'!$D423,INDIRECT(I$4)))</f>
        <v>0</v>
      </c>
      <c r="J423" s="593">
        <f ca="1">$E423*(SUMIF(INDIRECT(J$3),'Struktur Vorjahr'!$D423,INDIRECT(J$4)))</f>
        <v>0</v>
      </c>
      <c r="K423" s="593">
        <f ca="1">$E423*(SUMIF(INDIRECT(K$3),'Struktur Vorjahr'!$D423,INDIRECT(K$4)))</f>
        <v>0</v>
      </c>
      <c r="L423" s="593">
        <f ca="1">$E423*(SUMIF(INDIRECT(L$3),'Struktur Vorjahr'!$D423,INDIRECT(L$4)))</f>
        <v>0</v>
      </c>
      <c r="M423" s="593">
        <f ca="1">$E423*(SUMIF(INDIRECT(M$3),'Struktur Vorjahr'!$D423,INDIRECT(M$4)))</f>
        <v>0</v>
      </c>
      <c r="N423" s="593">
        <f ca="1">$E423*(SUMIF(INDIRECT(N$3),'Struktur Vorjahr'!$D423,INDIRECT(N$4)))</f>
        <v>0</v>
      </c>
      <c r="O423" s="593">
        <f ca="1">$E423*(SUMIF(INDIRECT(O$3),'Struktur Vorjahr'!$D423,INDIRECT(O$4)))</f>
        <v>0</v>
      </c>
      <c r="P423" s="593">
        <f ca="1">$E423*(SUMIF(INDIRECT(P$3),'Struktur Vorjahr'!$D423,INDIRECT(P$4)))</f>
        <v>0</v>
      </c>
      <c r="Q423" s="593">
        <f ca="1">$E423*(SUMIF(INDIRECT(Q$3),'Struktur Vorjahr'!$D423,INDIRECT(Q$4)))</f>
        <v>0</v>
      </c>
      <c r="R423" s="593">
        <f ca="1">$E423*(SUMIF(INDIRECT(R$3),'Struktur Vorjahr'!$D423,INDIRECT(R$4)))</f>
        <v>0</v>
      </c>
      <c r="S423" s="593">
        <f ca="1">$E423*(SUMIF(INDIRECT(S$3),'Struktur Vorjahr'!$D423,INDIRECT(S$4)))</f>
        <v>0</v>
      </c>
      <c r="T423" s="593">
        <f ca="1">$E423*(SUMIF(INDIRECT(T$3),'Struktur Vorjahr'!$D423,INDIRECT(T$4)))</f>
        <v>0</v>
      </c>
      <c r="U423" s="593">
        <f ca="1">$E423*(SUMIF(INDIRECT(U$3),'Struktur Vorjahr'!$D423,INDIRECT(U$4)))</f>
        <v>0</v>
      </c>
      <c r="V423" s="593">
        <f ca="1">$E423*(SUMIF(INDIRECT(V$3),'Struktur Vorjahr'!$D423,INDIRECT(V$4)))</f>
        <v>0</v>
      </c>
      <c r="W423" s="593">
        <f ca="1">$E423*(SUMIF(INDIRECT(W$3),'Struktur Vorjahr'!$D423,INDIRECT(W$4)))</f>
        <v>0</v>
      </c>
      <c r="X423" s="593">
        <f ca="1">$E423*(SUMIF(INDIRECT(X$3),'Struktur Vorjahr'!$D423,INDIRECT(X$4)))</f>
        <v>0</v>
      </c>
      <c r="Y423" s="593">
        <f ca="1">$E423*(SUMIF(INDIRECT(Y$3),'Struktur Vorjahr'!$D423,INDIRECT(Y$4)))</f>
        <v>0</v>
      </c>
      <c r="Z423" s="593">
        <f ca="1">$E423*(SUMIF(INDIRECT(Z$3),'Struktur Vorjahr'!$D423,INDIRECT(Z$4)))</f>
        <v>0</v>
      </c>
      <c r="AA423" s="593">
        <f ca="1">$E423*(SUMIF(INDIRECT(AA$3),'Struktur Vorjahr'!$D423,INDIRECT(AA$4)))</f>
        <v>0</v>
      </c>
      <c r="AB423" s="593">
        <f ca="1">$E423*(SUMIF(INDIRECT(AB$3),'Struktur Vorjahr'!$D423,INDIRECT(AB$4)))</f>
        <v>0</v>
      </c>
      <c r="AC423" s="593">
        <f ca="1">$E423*(SUMIF(INDIRECT(AC$3),'Struktur Vorjahr'!$D423,INDIRECT(AC$4)))</f>
        <v>0</v>
      </c>
      <c r="AD423" s="593">
        <f ca="1">$E423*(SUMIF(INDIRECT(AD$3),'Struktur Vorjahr'!$D423,INDIRECT(AD$4)))</f>
        <v>0</v>
      </c>
      <c r="AE423" s="593">
        <f t="shared" ca="1" si="213"/>
        <v>0</v>
      </c>
      <c r="AF423" s="593">
        <f t="shared" ca="1" si="214"/>
        <v>0</v>
      </c>
      <c r="AG423" s="593">
        <f t="shared" ca="1" si="214"/>
        <v>0</v>
      </c>
      <c r="AH423" s="593">
        <f t="shared" ca="1" si="214"/>
        <v>0</v>
      </c>
      <c r="AI423" s="593">
        <f t="shared" ca="1" si="214"/>
        <v>0</v>
      </c>
      <c r="AJ423" s="593">
        <f t="shared" ca="1" si="214"/>
        <v>0</v>
      </c>
      <c r="AK423" s="593">
        <f t="shared" ca="1" si="214"/>
        <v>0</v>
      </c>
      <c r="AL423" s="593">
        <f t="shared" ca="1" si="214"/>
        <v>0</v>
      </c>
      <c r="AM423" s="593">
        <f t="shared" ca="1" si="214"/>
        <v>0</v>
      </c>
      <c r="AN423" s="593">
        <f t="shared" ca="1" si="214"/>
        <v>0</v>
      </c>
      <c r="AO423" s="593">
        <f t="shared" ca="1" si="214"/>
        <v>0</v>
      </c>
      <c r="AP423" s="593">
        <f t="shared" ca="1" si="214"/>
        <v>0</v>
      </c>
    </row>
    <row r="424" spans="1:42" s="594" customFormat="1" ht="11.25" outlineLevel="1" x14ac:dyDescent="0.2">
      <c r="A424" s="644"/>
      <c r="B424" s="591" t="str">
        <f>IF(D424&lt;&gt;"",
IF(ISERROR(MATCH(D424,'Ist Vorjahr Monat 01'!A:A,0))=FALSE,INDEX('Ist Vorjahr Monat 01'!B:B,MATCH(D424,'Ist Vorjahr Monat 01'!A:A,0)),
IF(ISERROR(MATCH(D424,'Ist Vorjahr Monat 02'!A:A,0))=FALSE,INDEX('Ist Vorjahr Monat 02'!B:B,MATCH(D424,'Ist Vorjahr Monat 02'!A:A,0)),
IF(ISERROR(MATCH(D424,'Ist Vorjahr Monat 03'!A:A,0))=FALSE,INDEX('Ist Vorjahr Monat 03'!B:B,MATCH(D424,'Ist Vorjahr Monat 03'!A:A,0)),
IF(ISERROR(MATCH(D424,'Ist Vorjahr Monat 04'!A:A,0))=FALSE,INDEX('Ist Vorjahr Monat 04'!B:B,MATCH(D424,'Ist Vorjahr Monat 04'!A:A,0)),
IF(ISERROR(MATCH(D424,'Ist Vorjahr Monat 05'!A:A,0))=FALSE,INDEX('Ist Vorjahr Monat 05'!B:B,MATCH(D424,'Ist Vorjahr Monat 05'!A:A,0)),
IF(ISERROR(MATCH(D424,'Ist Vorjahr Monat 06'!A:A,0))=FALSE,INDEX('Ist Vorjahr Monat 06'!B:B,MATCH(D424,'Ist Vorjahr Monat 06'!A:A,0)),
IF(ISERROR(MATCH(D424,'Ist Vorjahr Monat 07'!A:A,0))=FALSE,INDEX('Ist Vorjahr Monat 07'!B:B,MATCH(D424,'Ist Vorjahr Monat 07'!A:A,0)),
IF(ISERROR(MATCH(D424,'Ist Vorjahr Monat 08'!A:A,0))=FALSE,INDEX('Ist Vorjahr Monat 08'!B:B,MATCH(D424,'Ist Vorjahr Monat 08'!A:A,0)),
IF(ISERROR(MATCH(D424,'Ist Vorjahr Monat 09'!A:A,0))=FALSE,INDEX('Ist Vorjahr Monat 09'!B:B,MATCH(D424,'Ist Vorjahr Monat 09'!A:A,0)),
IF(ISERROR(MATCH(D424,'Ist Vorjahr Monat 10'!A:A,0))=FALSE,INDEX('Ist Vorjahr Monat 10'!B:B,MATCH(D424,'Ist Vorjahr Monat 10'!A:A,0)),
IF(ISERROR(MATCH(D424,'Ist Vorjahr Monat 11'!A:A,0))=FALSE,INDEX('Ist Vorjahr Monat 11'!B:B,MATCH(D424,'Ist Vorjahr Monat 11'!A:A,0)),
IF(ISERROR(MATCH(D424,'Ist Vorjahr Monat 12'!A:A,0))=FALSE,INDEX('Ist Vorjahr Monat 12'!B:B,MATCH(D424,'Ist Vorjahr Monat 12'!A:A,0)),
"{Konto unbekannt}"
)))))))))))),"")</f>
        <v/>
      </c>
      <c r="C424" s="1062"/>
      <c r="D424" s="1067"/>
      <c r="E424" s="625">
        <f t="shared" si="215"/>
        <v>1</v>
      </c>
      <c r="F424" s="626"/>
      <c r="G424" s="593">
        <f ca="1">$E424*(SUMIF(INDIRECT(G$3),'Struktur Vorjahr'!$D424,INDIRECT(G$4)))</f>
        <v>0</v>
      </c>
      <c r="H424" s="593">
        <f ca="1">$E424*(SUMIF(INDIRECT(H$3),'Struktur Vorjahr'!$D424,INDIRECT(H$4)))</f>
        <v>0</v>
      </c>
      <c r="I424" s="593">
        <f ca="1">$E424*(SUMIF(INDIRECT(I$3),'Struktur Vorjahr'!$D424,INDIRECT(I$4)))</f>
        <v>0</v>
      </c>
      <c r="J424" s="593">
        <f ca="1">$E424*(SUMIF(INDIRECT(J$3),'Struktur Vorjahr'!$D424,INDIRECT(J$4)))</f>
        <v>0</v>
      </c>
      <c r="K424" s="593">
        <f ca="1">$E424*(SUMIF(INDIRECT(K$3),'Struktur Vorjahr'!$D424,INDIRECT(K$4)))</f>
        <v>0</v>
      </c>
      <c r="L424" s="593">
        <f ca="1">$E424*(SUMIF(INDIRECT(L$3),'Struktur Vorjahr'!$D424,INDIRECT(L$4)))</f>
        <v>0</v>
      </c>
      <c r="M424" s="593">
        <f ca="1">$E424*(SUMIF(INDIRECT(M$3),'Struktur Vorjahr'!$D424,INDIRECT(M$4)))</f>
        <v>0</v>
      </c>
      <c r="N424" s="593">
        <f ca="1">$E424*(SUMIF(INDIRECT(N$3),'Struktur Vorjahr'!$D424,INDIRECT(N$4)))</f>
        <v>0</v>
      </c>
      <c r="O424" s="593">
        <f ca="1">$E424*(SUMIF(INDIRECT(O$3),'Struktur Vorjahr'!$D424,INDIRECT(O$4)))</f>
        <v>0</v>
      </c>
      <c r="P424" s="593">
        <f ca="1">$E424*(SUMIF(INDIRECT(P$3),'Struktur Vorjahr'!$D424,INDIRECT(P$4)))</f>
        <v>0</v>
      </c>
      <c r="Q424" s="593">
        <f ca="1">$E424*(SUMIF(INDIRECT(Q$3),'Struktur Vorjahr'!$D424,INDIRECT(Q$4)))</f>
        <v>0</v>
      </c>
      <c r="R424" s="593">
        <f ca="1">$E424*(SUMIF(INDIRECT(R$3),'Struktur Vorjahr'!$D424,INDIRECT(R$4)))</f>
        <v>0</v>
      </c>
      <c r="S424" s="593">
        <f ca="1">$E424*(SUMIF(INDIRECT(S$3),'Struktur Vorjahr'!$D424,INDIRECT(S$4)))</f>
        <v>0</v>
      </c>
      <c r="T424" s="593">
        <f ca="1">$E424*(SUMIF(INDIRECT(T$3),'Struktur Vorjahr'!$D424,INDIRECT(T$4)))</f>
        <v>0</v>
      </c>
      <c r="U424" s="593">
        <f ca="1">$E424*(SUMIF(INDIRECT(U$3),'Struktur Vorjahr'!$D424,INDIRECT(U$4)))</f>
        <v>0</v>
      </c>
      <c r="V424" s="593">
        <f ca="1">$E424*(SUMIF(INDIRECT(V$3),'Struktur Vorjahr'!$D424,INDIRECT(V$4)))</f>
        <v>0</v>
      </c>
      <c r="W424" s="593">
        <f ca="1">$E424*(SUMIF(INDIRECT(W$3),'Struktur Vorjahr'!$D424,INDIRECT(W$4)))</f>
        <v>0</v>
      </c>
      <c r="X424" s="593">
        <f ca="1">$E424*(SUMIF(INDIRECT(X$3),'Struktur Vorjahr'!$D424,INDIRECT(X$4)))</f>
        <v>0</v>
      </c>
      <c r="Y424" s="593">
        <f ca="1">$E424*(SUMIF(INDIRECT(Y$3),'Struktur Vorjahr'!$D424,INDIRECT(Y$4)))</f>
        <v>0</v>
      </c>
      <c r="Z424" s="593">
        <f ca="1">$E424*(SUMIF(INDIRECT(Z$3),'Struktur Vorjahr'!$D424,INDIRECT(Z$4)))</f>
        <v>0</v>
      </c>
      <c r="AA424" s="593">
        <f ca="1">$E424*(SUMIF(INDIRECT(AA$3),'Struktur Vorjahr'!$D424,INDIRECT(AA$4)))</f>
        <v>0</v>
      </c>
      <c r="AB424" s="593">
        <f ca="1">$E424*(SUMIF(INDIRECT(AB$3),'Struktur Vorjahr'!$D424,INDIRECT(AB$4)))</f>
        <v>0</v>
      </c>
      <c r="AC424" s="593">
        <f ca="1">$E424*(SUMIF(INDIRECT(AC$3),'Struktur Vorjahr'!$D424,INDIRECT(AC$4)))</f>
        <v>0</v>
      </c>
      <c r="AD424" s="593">
        <f ca="1">$E424*(SUMIF(INDIRECT(AD$3),'Struktur Vorjahr'!$D424,INDIRECT(AD$4)))</f>
        <v>0</v>
      </c>
      <c r="AE424" s="593">
        <f t="shared" ca="1" si="213"/>
        <v>0</v>
      </c>
      <c r="AF424" s="593">
        <f t="shared" ca="1" si="214"/>
        <v>0</v>
      </c>
      <c r="AG424" s="593">
        <f t="shared" ca="1" si="214"/>
        <v>0</v>
      </c>
      <c r="AH424" s="593">
        <f t="shared" ca="1" si="214"/>
        <v>0</v>
      </c>
      <c r="AI424" s="593">
        <f t="shared" ca="1" si="214"/>
        <v>0</v>
      </c>
      <c r="AJ424" s="593">
        <f t="shared" ca="1" si="214"/>
        <v>0</v>
      </c>
      <c r="AK424" s="593">
        <f t="shared" ca="1" si="214"/>
        <v>0</v>
      </c>
      <c r="AL424" s="593">
        <f t="shared" ca="1" si="214"/>
        <v>0</v>
      </c>
      <c r="AM424" s="593">
        <f t="shared" ca="1" si="214"/>
        <v>0</v>
      </c>
      <c r="AN424" s="593">
        <f t="shared" ca="1" si="214"/>
        <v>0</v>
      </c>
      <c r="AO424" s="593">
        <f t="shared" ca="1" si="214"/>
        <v>0</v>
      </c>
      <c r="AP424" s="593">
        <f t="shared" ca="1" si="214"/>
        <v>0</v>
      </c>
    </row>
    <row r="425" spans="1:42" s="594" customFormat="1" ht="11.25" x14ac:dyDescent="0.2">
      <c r="A425" s="644"/>
      <c r="B425" s="591" t="str">
        <f>IF(D425&lt;&gt;"",
IF(ISERROR(MATCH(D425,'Ist Vorjahr Monat 01'!A:A,0))=FALSE,INDEX('Ist Vorjahr Monat 01'!B:B,MATCH(D425,'Ist Vorjahr Monat 01'!A:A,0)),
IF(ISERROR(MATCH(D425,'Ist Vorjahr Monat 02'!A:A,0))=FALSE,INDEX('Ist Vorjahr Monat 02'!B:B,MATCH(D425,'Ist Vorjahr Monat 02'!A:A,0)),
IF(ISERROR(MATCH(D425,'Ist Vorjahr Monat 03'!A:A,0))=FALSE,INDEX('Ist Vorjahr Monat 03'!B:B,MATCH(D425,'Ist Vorjahr Monat 03'!A:A,0)),
IF(ISERROR(MATCH(D425,'Ist Vorjahr Monat 04'!A:A,0))=FALSE,INDEX('Ist Vorjahr Monat 04'!B:B,MATCH(D425,'Ist Vorjahr Monat 04'!A:A,0)),
IF(ISERROR(MATCH(D425,'Ist Vorjahr Monat 05'!A:A,0))=FALSE,INDEX('Ist Vorjahr Monat 05'!B:B,MATCH(D425,'Ist Vorjahr Monat 05'!A:A,0)),
IF(ISERROR(MATCH(D425,'Ist Vorjahr Monat 06'!A:A,0))=FALSE,INDEX('Ist Vorjahr Monat 06'!B:B,MATCH(D425,'Ist Vorjahr Monat 06'!A:A,0)),
IF(ISERROR(MATCH(D425,'Ist Vorjahr Monat 07'!A:A,0))=FALSE,INDEX('Ist Vorjahr Monat 07'!B:B,MATCH(D425,'Ist Vorjahr Monat 07'!A:A,0)),
IF(ISERROR(MATCH(D425,'Ist Vorjahr Monat 08'!A:A,0))=FALSE,INDEX('Ist Vorjahr Monat 08'!B:B,MATCH(D425,'Ist Vorjahr Monat 08'!A:A,0)),
IF(ISERROR(MATCH(D425,'Ist Vorjahr Monat 09'!A:A,0))=FALSE,INDEX('Ist Vorjahr Monat 09'!B:B,MATCH(D425,'Ist Vorjahr Monat 09'!A:A,0)),
IF(ISERROR(MATCH(D425,'Ist Vorjahr Monat 10'!A:A,0))=FALSE,INDEX('Ist Vorjahr Monat 10'!B:B,MATCH(D425,'Ist Vorjahr Monat 10'!A:A,0)),
IF(ISERROR(MATCH(D425,'Ist Vorjahr Monat 11'!A:A,0))=FALSE,INDEX('Ist Vorjahr Monat 11'!B:B,MATCH(D425,'Ist Vorjahr Monat 11'!A:A,0)),
IF(ISERROR(MATCH(D425,'Ist Vorjahr Monat 12'!A:A,0))=FALSE,INDEX('Ist Vorjahr Monat 12'!B:B,MATCH(D425,'Ist Vorjahr Monat 12'!A:A,0)),
"{Konto unbekannt}"
)))))))))))),"")</f>
        <v/>
      </c>
      <c r="C425" s="1062"/>
      <c r="D425" s="1067"/>
      <c r="E425" s="625">
        <f t="shared" si="215"/>
        <v>1</v>
      </c>
      <c r="F425" s="626"/>
      <c r="G425" s="593">
        <f ca="1">$E425*(SUMIF(INDIRECT(G$3),'Struktur Vorjahr'!$D425,INDIRECT(G$4)))</f>
        <v>0</v>
      </c>
      <c r="H425" s="593">
        <f ca="1">$E425*(SUMIF(INDIRECT(H$3),'Struktur Vorjahr'!$D425,INDIRECT(H$4)))</f>
        <v>0</v>
      </c>
      <c r="I425" s="593">
        <f ca="1">$E425*(SUMIF(INDIRECT(I$3),'Struktur Vorjahr'!$D425,INDIRECT(I$4)))</f>
        <v>0</v>
      </c>
      <c r="J425" s="593">
        <f ca="1">$E425*(SUMIF(INDIRECT(J$3),'Struktur Vorjahr'!$D425,INDIRECT(J$4)))</f>
        <v>0</v>
      </c>
      <c r="K425" s="593">
        <f ca="1">$E425*(SUMIF(INDIRECT(K$3),'Struktur Vorjahr'!$D425,INDIRECT(K$4)))</f>
        <v>0</v>
      </c>
      <c r="L425" s="593">
        <f ca="1">$E425*(SUMIF(INDIRECT(L$3),'Struktur Vorjahr'!$D425,INDIRECT(L$4)))</f>
        <v>0</v>
      </c>
      <c r="M425" s="593">
        <f ca="1">$E425*(SUMIF(INDIRECT(M$3),'Struktur Vorjahr'!$D425,INDIRECT(M$4)))</f>
        <v>0</v>
      </c>
      <c r="N425" s="593">
        <f ca="1">$E425*(SUMIF(INDIRECT(N$3),'Struktur Vorjahr'!$D425,INDIRECT(N$4)))</f>
        <v>0</v>
      </c>
      <c r="O425" s="593">
        <f ca="1">$E425*(SUMIF(INDIRECT(O$3),'Struktur Vorjahr'!$D425,INDIRECT(O$4)))</f>
        <v>0</v>
      </c>
      <c r="P425" s="593">
        <f ca="1">$E425*(SUMIF(INDIRECT(P$3),'Struktur Vorjahr'!$D425,INDIRECT(P$4)))</f>
        <v>0</v>
      </c>
      <c r="Q425" s="593">
        <f ca="1">$E425*(SUMIF(INDIRECT(Q$3),'Struktur Vorjahr'!$D425,INDIRECT(Q$4)))</f>
        <v>0</v>
      </c>
      <c r="R425" s="593">
        <f ca="1">$E425*(SUMIF(INDIRECT(R$3),'Struktur Vorjahr'!$D425,INDIRECT(R$4)))</f>
        <v>0</v>
      </c>
      <c r="S425" s="593">
        <f ca="1">$E425*(SUMIF(INDIRECT(S$3),'Struktur Vorjahr'!$D425,INDIRECT(S$4)))</f>
        <v>0</v>
      </c>
      <c r="T425" s="593">
        <f ca="1">$E425*(SUMIF(INDIRECT(T$3),'Struktur Vorjahr'!$D425,INDIRECT(T$4)))</f>
        <v>0</v>
      </c>
      <c r="U425" s="593">
        <f ca="1">$E425*(SUMIF(INDIRECT(U$3),'Struktur Vorjahr'!$D425,INDIRECT(U$4)))</f>
        <v>0</v>
      </c>
      <c r="V425" s="593">
        <f ca="1">$E425*(SUMIF(INDIRECT(V$3),'Struktur Vorjahr'!$D425,INDIRECT(V$4)))</f>
        <v>0</v>
      </c>
      <c r="W425" s="593">
        <f ca="1">$E425*(SUMIF(INDIRECT(W$3),'Struktur Vorjahr'!$D425,INDIRECT(W$4)))</f>
        <v>0</v>
      </c>
      <c r="X425" s="593">
        <f ca="1">$E425*(SUMIF(INDIRECT(X$3),'Struktur Vorjahr'!$D425,INDIRECT(X$4)))</f>
        <v>0</v>
      </c>
      <c r="Y425" s="593">
        <f ca="1">$E425*(SUMIF(INDIRECT(Y$3),'Struktur Vorjahr'!$D425,INDIRECT(Y$4)))</f>
        <v>0</v>
      </c>
      <c r="Z425" s="593">
        <f ca="1">$E425*(SUMIF(INDIRECT(Z$3),'Struktur Vorjahr'!$D425,INDIRECT(Z$4)))</f>
        <v>0</v>
      </c>
      <c r="AA425" s="593">
        <f ca="1">$E425*(SUMIF(INDIRECT(AA$3),'Struktur Vorjahr'!$D425,INDIRECT(AA$4)))</f>
        <v>0</v>
      </c>
      <c r="AB425" s="593">
        <f ca="1">$E425*(SUMIF(INDIRECT(AB$3),'Struktur Vorjahr'!$D425,INDIRECT(AB$4)))</f>
        <v>0</v>
      </c>
      <c r="AC425" s="593">
        <f ca="1">$E425*(SUMIF(INDIRECT(AC$3),'Struktur Vorjahr'!$D425,INDIRECT(AC$4)))</f>
        <v>0</v>
      </c>
      <c r="AD425" s="593">
        <f ca="1">$E425*(SUMIF(INDIRECT(AD$3),'Struktur Vorjahr'!$D425,INDIRECT(AD$4)))</f>
        <v>0</v>
      </c>
      <c r="AE425" s="593">
        <f t="shared" ca="1" si="213"/>
        <v>0</v>
      </c>
      <c r="AF425" s="593">
        <f t="shared" ca="1" si="214"/>
        <v>0</v>
      </c>
      <c r="AG425" s="593">
        <f t="shared" ca="1" si="214"/>
        <v>0</v>
      </c>
      <c r="AH425" s="593">
        <f t="shared" ca="1" si="214"/>
        <v>0</v>
      </c>
      <c r="AI425" s="593">
        <f t="shared" ca="1" si="214"/>
        <v>0</v>
      </c>
      <c r="AJ425" s="593">
        <f t="shared" ca="1" si="214"/>
        <v>0</v>
      </c>
      <c r="AK425" s="593">
        <f t="shared" ca="1" si="214"/>
        <v>0</v>
      </c>
      <c r="AL425" s="593">
        <f t="shared" ca="1" si="214"/>
        <v>0</v>
      </c>
      <c r="AM425" s="593">
        <f t="shared" ca="1" si="214"/>
        <v>0</v>
      </c>
      <c r="AN425" s="593">
        <f t="shared" ca="1" si="214"/>
        <v>0</v>
      </c>
      <c r="AO425" s="593">
        <f t="shared" ca="1" si="214"/>
        <v>0</v>
      </c>
      <c r="AP425" s="593">
        <f t="shared" ca="1" si="214"/>
        <v>0</v>
      </c>
    </row>
    <row r="426" spans="1:42" s="594" customFormat="1" ht="11.25" outlineLevel="1" x14ac:dyDescent="0.2">
      <c r="A426" s="644"/>
      <c r="B426" s="591" t="str">
        <f>IF(D426&lt;&gt;"",
IF(ISERROR(MATCH(D426,'Ist Vorjahr Monat 01'!A:A,0))=FALSE,INDEX('Ist Vorjahr Monat 01'!B:B,MATCH(D426,'Ist Vorjahr Monat 01'!A:A,0)),
IF(ISERROR(MATCH(D426,'Ist Vorjahr Monat 02'!A:A,0))=FALSE,INDEX('Ist Vorjahr Monat 02'!B:B,MATCH(D426,'Ist Vorjahr Monat 02'!A:A,0)),
IF(ISERROR(MATCH(D426,'Ist Vorjahr Monat 03'!A:A,0))=FALSE,INDEX('Ist Vorjahr Monat 03'!B:B,MATCH(D426,'Ist Vorjahr Monat 03'!A:A,0)),
IF(ISERROR(MATCH(D426,'Ist Vorjahr Monat 04'!A:A,0))=FALSE,INDEX('Ist Vorjahr Monat 04'!B:B,MATCH(D426,'Ist Vorjahr Monat 04'!A:A,0)),
IF(ISERROR(MATCH(D426,'Ist Vorjahr Monat 05'!A:A,0))=FALSE,INDEX('Ist Vorjahr Monat 05'!B:B,MATCH(D426,'Ist Vorjahr Monat 05'!A:A,0)),
IF(ISERROR(MATCH(D426,'Ist Vorjahr Monat 06'!A:A,0))=FALSE,INDEX('Ist Vorjahr Monat 06'!B:B,MATCH(D426,'Ist Vorjahr Monat 06'!A:A,0)),
IF(ISERROR(MATCH(D426,'Ist Vorjahr Monat 07'!A:A,0))=FALSE,INDEX('Ist Vorjahr Monat 07'!B:B,MATCH(D426,'Ist Vorjahr Monat 07'!A:A,0)),
IF(ISERROR(MATCH(D426,'Ist Vorjahr Monat 08'!A:A,0))=FALSE,INDEX('Ist Vorjahr Monat 08'!B:B,MATCH(D426,'Ist Vorjahr Monat 08'!A:A,0)),
IF(ISERROR(MATCH(D426,'Ist Vorjahr Monat 09'!A:A,0))=FALSE,INDEX('Ist Vorjahr Monat 09'!B:B,MATCH(D426,'Ist Vorjahr Monat 09'!A:A,0)),
IF(ISERROR(MATCH(D426,'Ist Vorjahr Monat 10'!A:A,0))=FALSE,INDEX('Ist Vorjahr Monat 10'!B:B,MATCH(D426,'Ist Vorjahr Monat 10'!A:A,0)),
IF(ISERROR(MATCH(D426,'Ist Vorjahr Monat 11'!A:A,0))=FALSE,INDEX('Ist Vorjahr Monat 11'!B:B,MATCH(D426,'Ist Vorjahr Monat 11'!A:A,0)),
IF(ISERROR(MATCH(D426,'Ist Vorjahr Monat 12'!A:A,0))=FALSE,INDEX('Ist Vorjahr Monat 12'!B:B,MATCH(D426,'Ist Vorjahr Monat 12'!A:A,0)),
"{Konto unbekannt}"
)))))))))))),"")</f>
        <v/>
      </c>
      <c r="C426" s="1062"/>
      <c r="D426" s="1067"/>
      <c r="E426" s="625">
        <f t="shared" si="215"/>
        <v>1</v>
      </c>
      <c r="F426" s="626"/>
      <c r="G426" s="593">
        <f ca="1">$E426*(SUMIF(INDIRECT(G$3),'Struktur Vorjahr'!$D426,INDIRECT(G$4)))</f>
        <v>0</v>
      </c>
      <c r="H426" s="593">
        <f ca="1">$E426*(SUMIF(INDIRECT(H$3),'Struktur Vorjahr'!$D426,INDIRECT(H$4)))</f>
        <v>0</v>
      </c>
      <c r="I426" s="593">
        <f ca="1">$E426*(SUMIF(INDIRECT(I$3),'Struktur Vorjahr'!$D426,INDIRECT(I$4)))</f>
        <v>0</v>
      </c>
      <c r="J426" s="593">
        <f ca="1">$E426*(SUMIF(INDIRECT(J$3),'Struktur Vorjahr'!$D426,INDIRECT(J$4)))</f>
        <v>0</v>
      </c>
      <c r="K426" s="593">
        <f ca="1">$E426*(SUMIF(INDIRECT(K$3),'Struktur Vorjahr'!$D426,INDIRECT(K$4)))</f>
        <v>0</v>
      </c>
      <c r="L426" s="593">
        <f ca="1">$E426*(SUMIF(INDIRECT(L$3),'Struktur Vorjahr'!$D426,INDIRECT(L$4)))</f>
        <v>0</v>
      </c>
      <c r="M426" s="593">
        <f ca="1">$E426*(SUMIF(INDIRECT(M$3),'Struktur Vorjahr'!$D426,INDIRECT(M$4)))</f>
        <v>0</v>
      </c>
      <c r="N426" s="593">
        <f ca="1">$E426*(SUMIF(INDIRECT(N$3),'Struktur Vorjahr'!$D426,INDIRECT(N$4)))</f>
        <v>0</v>
      </c>
      <c r="O426" s="838">
        <f ca="1">$E426*(SUMIF(INDIRECT(O$3),'Struktur Vorjahr'!$D426,INDIRECT(O$4)))</f>
        <v>0</v>
      </c>
      <c r="P426" s="593">
        <f ca="1">$E426*(SUMIF(INDIRECT(P$3),'Struktur Vorjahr'!$D426,INDIRECT(P$4)))</f>
        <v>0</v>
      </c>
      <c r="Q426" s="593">
        <f ca="1">$E426*(SUMIF(INDIRECT(Q$3),'Struktur Vorjahr'!$D426,INDIRECT(Q$4)))</f>
        <v>0</v>
      </c>
      <c r="R426" s="593">
        <f ca="1">$E426*(SUMIF(INDIRECT(R$3),'Struktur Vorjahr'!$D426,INDIRECT(R$4)))</f>
        <v>0</v>
      </c>
      <c r="S426" s="593">
        <f ca="1">$E426*(SUMIF(INDIRECT(S$3),'Struktur Vorjahr'!$D426,INDIRECT(S$4)))</f>
        <v>0</v>
      </c>
      <c r="T426" s="593">
        <f ca="1">$E426*(SUMIF(INDIRECT(T$3),'Struktur Vorjahr'!$D426,INDIRECT(T$4)))</f>
        <v>0</v>
      </c>
      <c r="U426" s="593">
        <f ca="1">$E426*(SUMIF(INDIRECT(U$3),'Struktur Vorjahr'!$D426,INDIRECT(U$4)))</f>
        <v>0</v>
      </c>
      <c r="V426" s="593">
        <f ca="1">$E426*(SUMIF(INDIRECT(V$3),'Struktur Vorjahr'!$D426,INDIRECT(V$4)))</f>
        <v>0</v>
      </c>
      <c r="W426" s="593">
        <f ca="1">$E426*(SUMIF(INDIRECT(W$3),'Struktur Vorjahr'!$D426,INDIRECT(W$4)))</f>
        <v>0</v>
      </c>
      <c r="X426" s="593">
        <f ca="1">$E426*(SUMIF(INDIRECT(X$3),'Struktur Vorjahr'!$D426,INDIRECT(X$4)))</f>
        <v>0</v>
      </c>
      <c r="Y426" s="593">
        <f ca="1">$E426*(SUMIF(INDIRECT(Y$3),'Struktur Vorjahr'!$D426,INDIRECT(Y$4)))</f>
        <v>0</v>
      </c>
      <c r="Z426" s="593">
        <f ca="1">$E426*(SUMIF(INDIRECT(Z$3),'Struktur Vorjahr'!$D426,INDIRECT(Z$4)))</f>
        <v>0</v>
      </c>
      <c r="AA426" s="838">
        <f ca="1">$E426*(SUMIF(INDIRECT(AA$3),'Struktur Vorjahr'!$D426,INDIRECT(AA$4)))</f>
        <v>0</v>
      </c>
      <c r="AB426" s="593">
        <f ca="1">$E426*(SUMIF(INDIRECT(AB$3),'Struktur Vorjahr'!$D426,INDIRECT(AB$4)))</f>
        <v>0</v>
      </c>
      <c r="AC426" s="593">
        <f ca="1">$E426*(SUMIF(INDIRECT(AC$3),'Struktur Vorjahr'!$D426,INDIRECT(AC$4)))</f>
        <v>0</v>
      </c>
      <c r="AD426" s="593">
        <f ca="1">$E426*(SUMIF(INDIRECT(AD$3),'Struktur Vorjahr'!$D426,INDIRECT(AD$4)))</f>
        <v>0</v>
      </c>
      <c r="AE426" s="593">
        <f t="shared" ca="1" si="213"/>
        <v>0</v>
      </c>
      <c r="AF426" s="593">
        <f t="shared" ca="1" si="214"/>
        <v>0</v>
      </c>
      <c r="AG426" s="593">
        <f t="shared" ca="1" si="214"/>
        <v>0</v>
      </c>
      <c r="AH426" s="593">
        <f t="shared" ca="1" si="214"/>
        <v>0</v>
      </c>
      <c r="AI426" s="593">
        <f t="shared" ca="1" si="214"/>
        <v>0</v>
      </c>
      <c r="AJ426" s="593">
        <f t="shared" ca="1" si="214"/>
        <v>0</v>
      </c>
      <c r="AK426" s="593">
        <f t="shared" ca="1" si="214"/>
        <v>0</v>
      </c>
      <c r="AL426" s="593">
        <f t="shared" ca="1" si="214"/>
        <v>0</v>
      </c>
      <c r="AM426" s="593">
        <f t="shared" ca="1" si="214"/>
        <v>0</v>
      </c>
      <c r="AN426" s="593">
        <f t="shared" ca="1" si="214"/>
        <v>0</v>
      </c>
      <c r="AO426" s="593">
        <f t="shared" ca="1" si="214"/>
        <v>0</v>
      </c>
      <c r="AP426" s="593">
        <f t="shared" ca="1" si="214"/>
        <v>0</v>
      </c>
    </row>
    <row r="427" spans="1:42" s="594" customFormat="1" ht="11.25" outlineLevel="1" x14ac:dyDescent="0.2">
      <c r="A427" s="644"/>
      <c r="B427" s="591" t="str">
        <f>IF(D427&lt;&gt;"",
IF(ISERROR(MATCH(D427,'Ist Vorjahr Monat 01'!A:A,0))=FALSE,INDEX('Ist Vorjahr Monat 01'!B:B,MATCH(D427,'Ist Vorjahr Monat 01'!A:A,0)),
IF(ISERROR(MATCH(D427,'Ist Vorjahr Monat 02'!A:A,0))=FALSE,INDEX('Ist Vorjahr Monat 02'!B:B,MATCH(D427,'Ist Vorjahr Monat 02'!A:A,0)),
IF(ISERROR(MATCH(D427,'Ist Vorjahr Monat 03'!A:A,0))=FALSE,INDEX('Ist Vorjahr Monat 03'!B:B,MATCH(D427,'Ist Vorjahr Monat 03'!A:A,0)),
IF(ISERROR(MATCH(D427,'Ist Vorjahr Monat 04'!A:A,0))=FALSE,INDEX('Ist Vorjahr Monat 04'!B:B,MATCH(D427,'Ist Vorjahr Monat 04'!A:A,0)),
IF(ISERROR(MATCH(D427,'Ist Vorjahr Monat 05'!A:A,0))=FALSE,INDEX('Ist Vorjahr Monat 05'!B:B,MATCH(D427,'Ist Vorjahr Monat 05'!A:A,0)),
IF(ISERROR(MATCH(D427,'Ist Vorjahr Monat 06'!A:A,0))=FALSE,INDEX('Ist Vorjahr Monat 06'!B:B,MATCH(D427,'Ist Vorjahr Monat 06'!A:A,0)),
IF(ISERROR(MATCH(D427,'Ist Vorjahr Monat 07'!A:A,0))=FALSE,INDEX('Ist Vorjahr Monat 07'!B:B,MATCH(D427,'Ist Vorjahr Monat 07'!A:A,0)),
IF(ISERROR(MATCH(D427,'Ist Vorjahr Monat 08'!A:A,0))=FALSE,INDEX('Ist Vorjahr Monat 08'!B:B,MATCH(D427,'Ist Vorjahr Monat 08'!A:A,0)),
IF(ISERROR(MATCH(D427,'Ist Vorjahr Monat 09'!A:A,0))=FALSE,INDEX('Ist Vorjahr Monat 09'!B:B,MATCH(D427,'Ist Vorjahr Monat 09'!A:A,0)),
IF(ISERROR(MATCH(D427,'Ist Vorjahr Monat 10'!A:A,0))=FALSE,INDEX('Ist Vorjahr Monat 10'!B:B,MATCH(D427,'Ist Vorjahr Monat 10'!A:A,0)),
IF(ISERROR(MATCH(D427,'Ist Vorjahr Monat 11'!A:A,0))=FALSE,INDEX('Ist Vorjahr Monat 11'!B:B,MATCH(D427,'Ist Vorjahr Monat 11'!A:A,0)),
IF(ISERROR(MATCH(D427,'Ist Vorjahr Monat 12'!A:A,0))=FALSE,INDEX('Ist Vorjahr Monat 12'!B:B,MATCH(D427,'Ist Vorjahr Monat 12'!A:A,0)),
"{Konto unbekannt}"
)))))))))))),"")</f>
        <v/>
      </c>
      <c r="C427" s="1062"/>
      <c r="D427" s="1067"/>
      <c r="E427" s="625">
        <f t="shared" si="215"/>
        <v>1</v>
      </c>
      <c r="F427" s="626"/>
      <c r="G427" s="593">
        <f ca="1">$E427*(SUMIF(INDIRECT(G$3),'Struktur Vorjahr'!$D427,INDIRECT(G$4)))</f>
        <v>0</v>
      </c>
      <c r="H427" s="593">
        <f ca="1">$E427*(SUMIF(INDIRECT(H$3),'Struktur Vorjahr'!$D427,INDIRECT(H$4)))</f>
        <v>0</v>
      </c>
      <c r="I427" s="593">
        <f ca="1">$E427*(SUMIF(INDIRECT(I$3),'Struktur Vorjahr'!$D427,INDIRECT(I$4)))</f>
        <v>0</v>
      </c>
      <c r="J427" s="593">
        <f ca="1">$E427*(SUMIF(INDIRECT(J$3),'Struktur Vorjahr'!$D427,INDIRECT(J$4)))</f>
        <v>0</v>
      </c>
      <c r="K427" s="593">
        <f ca="1">$E427*(SUMIF(INDIRECT(K$3),'Struktur Vorjahr'!$D427,INDIRECT(K$4)))</f>
        <v>0</v>
      </c>
      <c r="L427" s="593">
        <f ca="1">$E427*(SUMIF(INDIRECT(L$3),'Struktur Vorjahr'!$D427,INDIRECT(L$4)))</f>
        <v>0</v>
      </c>
      <c r="M427" s="593">
        <f ca="1">$E427*(SUMIF(INDIRECT(M$3),'Struktur Vorjahr'!$D427,INDIRECT(M$4)))</f>
        <v>0</v>
      </c>
      <c r="N427" s="593">
        <f ca="1">$E427*(SUMIF(INDIRECT(N$3),'Struktur Vorjahr'!$D427,INDIRECT(N$4)))</f>
        <v>0</v>
      </c>
      <c r="O427" s="838">
        <f ca="1">$E427*(SUMIF(INDIRECT(O$3),'Struktur Vorjahr'!$D427,INDIRECT(O$4)))</f>
        <v>0</v>
      </c>
      <c r="P427" s="593">
        <f ca="1">$E427*(SUMIF(INDIRECT(P$3),'Struktur Vorjahr'!$D427,INDIRECT(P$4)))</f>
        <v>0</v>
      </c>
      <c r="Q427" s="593">
        <f ca="1">$E427*(SUMIF(INDIRECT(Q$3),'Struktur Vorjahr'!$D427,INDIRECT(Q$4)))</f>
        <v>0</v>
      </c>
      <c r="R427" s="593">
        <f ca="1">$E427*(SUMIF(INDIRECT(R$3),'Struktur Vorjahr'!$D427,INDIRECT(R$4)))</f>
        <v>0</v>
      </c>
      <c r="S427" s="593">
        <f ca="1">$E427*(SUMIF(INDIRECT(S$3),'Struktur Vorjahr'!$D427,INDIRECT(S$4)))</f>
        <v>0</v>
      </c>
      <c r="T427" s="593">
        <f ca="1">$E427*(SUMIF(INDIRECT(T$3),'Struktur Vorjahr'!$D427,INDIRECT(T$4)))</f>
        <v>0</v>
      </c>
      <c r="U427" s="593">
        <f ca="1">$E427*(SUMIF(INDIRECT(U$3),'Struktur Vorjahr'!$D427,INDIRECT(U$4)))</f>
        <v>0</v>
      </c>
      <c r="V427" s="593">
        <f ca="1">$E427*(SUMIF(INDIRECT(V$3),'Struktur Vorjahr'!$D427,INDIRECT(V$4)))</f>
        <v>0</v>
      </c>
      <c r="W427" s="593">
        <f ca="1">$E427*(SUMIF(INDIRECT(W$3),'Struktur Vorjahr'!$D427,INDIRECT(W$4)))</f>
        <v>0</v>
      </c>
      <c r="X427" s="593">
        <f ca="1">$E427*(SUMIF(INDIRECT(X$3),'Struktur Vorjahr'!$D427,INDIRECT(X$4)))</f>
        <v>0</v>
      </c>
      <c r="Y427" s="593">
        <f ca="1">$E427*(SUMIF(INDIRECT(Y$3),'Struktur Vorjahr'!$D427,INDIRECT(Y$4)))</f>
        <v>0</v>
      </c>
      <c r="Z427" s="593">
        <f ca="1">$E427*(SUMIF(INDIRECT(Z$3),'Struktur Vorjahr'!$D427,INDIRECT(Z$4)))</f>
        <v>0</v>
      </c>
      <c r="AA427" s="838">
        <f ca="1">$E427*(SUMIF(INDIRECT(AA$3),'Struktur Vorjahr'!$D427,INDIRECT(AA$4)))</f>
        <v>0</v>
      </c>
      <c r="AB427" s="593">
        <f ca="1">$E427*(SUMIF(INDIRECT(AB$3),'Struktur Vorjahr'!$D427,INDIRECT(AB$4)))</f>
        <v>0</v>
      </c>
      <c r="AC427" s="593">
        <f ca="1">$E427*(SUMIF(INDIRECT(AC$3),'Struktur Vorjahr'!$D427,INDIRECT(AC$4)))</f>
        <v>0</v>
      </c>
      <c r="AD427" s="593">
        <f ca="1">$E427*(SUMIF(INDIRECT(AD$3),'Struktur Vorjahr'!$D427,INDIRECT(AD$4)))</f>
        <v>0</v>
      </c>
      <c r="AE427" s="593">
        <f t="shared" ca="1" si="213"/>
        <v>0</v>
      </c>
      <c r="AF427" s="593">
        <f t="shared" ca="1" si="214"/>
        <v>0</v>
      </c>
      <c r="AG427" s="593">
        <f t="shared" ca="1" si="214"/>
        <v>0</v>
      </c>
      <c r="AH427" s="593">
        <f t="shared" ca="1" si="214"/>
        <v>0</v>
      </c>
      <c r="AI427" s="593">
        <f t="shared" ca="1" si="214"/>
        <v>0</v>
      </c>
      <c r="AJ427" s="593">
        <f t="shared" ca="1" si="214"/>
        <v>0</v>
      </c>
      <c r="AK427" s="593">
        <f t="shared" ca="1" si="214"/>
        <v>0</v>
      </c>
      <c r="AL427" s="593">
        <f t="shared" ca="1" si="214"/>
        <v>0</v>
      </c>
      <c r="AM427" s="593">
        <f t="shared" ca="1" si="214"/>
        <v>0</v>
      </c>
      <c r="AN427" s="593">
        <f t="shared" ca="1" si="214"/>
        <v>0</v>
      </c>
      <c r="AO427" s="593">
        <f t="shared" ca="1" si="214"/>
        <v>0</v>
      </c>
      <c r="AP427" s="593">
        <f t="shared" ca="1" si="214"/>
        <v>0</v>
      </c>
    </row>
    <row r="428" spans="1:42" s="594" customFormat="1" ht="11.25" outlineLevel="1" x14ac:dyDescent="0.2">
      <c r="A428" s="644"/>
      <c r="B428" s="591" t="str">
        <f>IF(D428&lt;&gt;"",
IF(ISERROR(MATCH(D428,'Ist Vorjahr Monat 01'!A:A,0))=FALSE,INDEX('Ist Vorjahr Monat 01'!B:B,MATCH(D428,'Ist Vorjahr Monat 01'!A:A,0)),
IF(ISERROR(MATCH(D428,'Ist Vorjahr Monat 02'!A:A,0))=FALSE,INDEX('Ist Vorjahr Monat 02'!B:B,MATCH(D428,'Ist Vorjahr Monat 02'!A:A,0)),
IF(ISERROR(MATCH(D428,'Ist Vorjahr Monat 03'!A:A,0))=FALSE,INDEX('Ist Vorjahr Monat 03'!B:B,MATCH(D428,'Ist Vorjahr Monat 03'!A:A,0)),
IF(ISERROR(MATCH(D428,'Ist Vorjahr Monat 04'!A:A,0))=FALSE,INDEX('Ist Vorjahr Monat 04'!B:B,MATCH(D428,'Ist Vorjahr Monat 04'!A:A,0)),
IF(ISERROR(MATCH(D428,'Ist Vorjahr Monat 05'!A:A,0))=FALSE,INDEX('Ist Vorjahr Monat 05'!B:B,MATCH(D428,'Ist Vorjahr Monat 05'!A:A,0)),
IF(ISERROR(MATCH(D428,'Ist Vorjahr Monat 06'!A:A,0))=FALSE,INDEX('Ist Vorjahr Monat 06'!B:B,MATCH(D428,'Ist Vorjahr Monat 06'!A:A,0)),
IF(ISERROR(MATCH(D428,'Ist Vorjahr Monat 07'!A:A,0))=FALSE,INDEX('Ist Vorjahr Monat 07'!B:B,MATCH(D428,'Ist Vorjahr Monat 07'!A:A,0)),
IF(ISERROR(MATCH(D428,'Ist Vorjahr Monat 08'!A:A,0))=FALSE,INDEX('Ist Vorjahr Monat 08'!B:B,MATCH(D428,'Ist Vorjahr Monat 08'!A:A,0)),
IF(ISERROR(MATCH(D428,'Ist Vorjahr Monat 09'!A:A,0))=FALSE,INDEX('Ist Vorjahr Monat 09'!B:B,MATCH(D428,'Ist Vorjahr Monat 09'!A:A,0)),
IF(ISERROR(MATCH(D428,'Ist Vorjahr Monat 10'!A:A,0))=FALSE,INDEX('Ist Vorjahr Monat 10'!B:B,MATCH(D428,'Ist Vorjahr Monat 10'!A:A,0)),
IF(ISERROR(MATCH(D428,'Ist Vorjahr Monat 11'!A:A,0))=FALSE,INDEX('Ist Vorjahr Monat 11'!B:B,MATCH(D428,'Ist Vorjahr Monat 11'!A:A,0)),
IF(ISERROR(MATCH(D428,'Ist Vorjahr Monat 12'!A:A,0))=FALSE,INDEX('Ist Vorjahr Monat 12'!B:B,MATCH(D428,'Ist Vorjahr Monat 12'!A:A,0)),
"{Konto unbekannt}"
)))))))))))),"")</f>
        <v/>
      </c>
      <c r="C428" s="1062"/>
      <c r="D428" s="1067"/>
      <c r="E428" s="625">
        <f t="shared" si="186"/>
        <v>1</v>
      </c>
      <c r="F428" s="626"/>
      <c r="G428" s="593">
        <f ca="1">$E428*(SUMIF(INDIRECT(G$3),'Struktur Vorjahr'!$D428,INDIRECT(G$4)))</f>
        <v>0</v>
      </c>
      <c r="H428" s="593">
        <f ca="1">$E428*(SUMIF(INDIRECT(H$3),'Struktur Vorjahr'!$D428,INDIRECT(H$4)))</f>
        <v>0</v>
      </c>
      <c r="I428" s="593">
        <f ca="1">$E428*(SUMIF(INDIRECT(I$3),'Struktur Vorjahr'!$D428,INDIRECT(I$4)))</f>
        <v>0</v>
      </c>
      <c r="J428" s="593">
        <f ca="1">$E428*(SUMIF(INDIRECT(J$3),'Struktur Vorjahr'!$D428,INDIRECT(J$4)))</f>
        <v>0</v>
      </c>
      <c r="K428" s="593">
        <f ca="1">$E428*(SUMIF(INDIRECT(K$3),'Struktur Vorjahr'!$D428,INDIRECT(K$4)))</f>
        <v>0</v>
      </c>
      <c r="L428" s="593">
        <f ca="1">$E428*(SUMIF(INDIRECT(L$3),'Struktur Vorjahr'!$D428,INDIRECT(L$4)))</f>
        <v>0</v>
      </c>
      <c r="M428" s="593">
        <f ca="1">$E428*(SUMIF(INDIRECT(M$3),'Struktur Vorjahr'!$D428,INDIRECT(M$4)))</f>
        <v>0</v>
      </c>
      <c r="N428" s="593">
        <f ca="1">$E428*(SUMIF(INDIRECT(N$3),'Struktur Vorjahr'!$D428,INDIRECT(N$4)))</f>
        <v>0</v>
      </c>
      <c r="O428" s="593">
        <f ca="1">$E428*(SUMIF(INDIRECT(O$3),'Struktur Vorjahr'!$D428,INDIRECT(O$4)))</f>
        <v>0</v>
      </c>
      <c r="P428" s="593">
        <f ca="1">$E428*(SUMIF(INDIRECT(P$3),'Struktur Vorjahr'!$D428,INDIRECT(P$4)))</f>
        <v>0</v>
      </c>
      <c r="Q428" s="593">
        <f ca="1">$E428*(SUMIF(INDIRECT(Q$3),'Struktur Vorjahr'!$D428,INDIRECT(Q$4)))</f>
        <v>0</v>
      </c>
      <c r="R428" s="593">
        <f ca="1">$E428*(SUMIF(INDIRECT(R$3),'Struktur Vorjahr'!$D428,INDIRECT(R$4)))</f>
        <v>0</v>
      </c>
      <c r="S428" s="593">
        <f ca="1">$E428*(SUMIF(INDIRECT(S$3),'Struktur Vorjahr'!$D428,INDIRECT(S$4)))</f>
        <v>0</v>
      </c>
      <c r="T428" s="593">
        <f ca="1">$E428*(SUMIF(INDIRECT(T$3),'Struktur Vorjahr'!$D428,INDIRECT(T$4)))</f>
        <v>0</v>
      </c>
      <c r="U428" s="593">
        <f ca="1">$E428*(SUMIF(INDIRECT(U$3),'Struktur Vorjahr'!$D428,INDIRECT(U$4)))</f>
        <v>0</v>
      </c>
      <c r="V428" s="593">
        <f ca="1">$E428*(SUMIF(INDIRECT(V$3),'Struktur Vorjahr'!$D428,INDIRECT(V$4)))</f>
        <v>0</v>
      </c>
      <c r="W428" s="593">
        <f ca="1">$E428*(SUMIF(INDIRECT(W$3),'Struktur Vorjahr'!$D428,INDIRECT(W$4)))</f>
        <v>0</v>
      </c>
      <c r="X428" s="593">
        <f ca="1">$E428*(SUMIF(INDIRECT(X$3),'Struktur Vorjahr'!$D428,INDIRECT(X$4)))</f>
        <v>0</v>
      </c>
      <c r="Y428" s="593">
        <f ca="1">$E428*(SUMIF(INDIRECT(Y$3),'Struktur Vorjahr'!$D428,INDIRECT(Y$4)))</f>
        <v>0</v>
      </c>
      <c r="Z428" s="593">
        <f ca="1">$E428*(SUMIF(INDIRECT(Z$3),'Struktur Vorjahr'!$D428,INDIRECT(Z$4)))</f>
        <v>0</v>
      </c>
      <c r="AA428" s="593">
        <f ca="1">$E428*(SUMIF(INDIRECT(AA$3),'Struktur Vorjahr'!$D428,INDIRECT(AA$4)))</f>
        <v>0</v>
      </c>
      <c r="AB428" s="593">
        <f ca="1">$E428*(SUMIF(INDIRECT(AB$3),'Struktur Vorjahr'!$D428,INDIRECT(AB$4)))</f>
        <v>0</v>
      </c>
      <c r="AC428" s="593">
        <f ca="1">$E428*(SUMIF(INDIRECT(AC$3),'Struktur Vorjahr'!$D428,INDIRECT(AC$4)))</f>
        <v>0</v>
      </c>
      <c r="AD428" s="593">
        <f ca="1">$E428*(SUMIF(INDIRECT(AD$3),'Struktur Vorjahr'!$D428,INDIRECT(AD$4)))</f>
        <v>0</v>
      </c>
      <c r="AE428" s="593">
        <f t="shared" ca="1" si="213"/>
        <v>0</v>
      </c>
      <c r="AF428" s="593">
        <f t="shared" ca="1" si="214"/>
        <v>0</v>
      </c>
      <c r="AG428" s="593">
        <f t="shared" ca="1" si="214"/>
        <v>0</v>
      </c>
      <c r="AH428" s="593">
        <f t="shared" ca="1" si="214"/>
        <v>0</v>
      </c>
      <c r="AI428" s="593">
        <f t="shared" ca="1" si="214"/>
        <v>0</v>
      </c>
      <c r="AJ428" s="593">
        <f t="shared" ca="1" si="214"/>
        <v>0</v>
      </c>
      <c r="AK428" s="593">
        <f t="shared" ca="1" si="214"/>
        <v>0</v>
      </c>
      <c r="AL428" s="593">
        <f t="shared" ca="1" si="214"/>
        <v>0</v>
      </c>
      <c r="AM428" s="593">
        <f t="shared" ca="1" si="214"/>
        <v>0</v>
      </c>
      <c r="AN428" s="593">
        <f t="shared" ca="1" si="214"/>
        <v>0</v>
      </c>
      <c r="AO428" s="593">
        <f t="shared" ca="1" si="214"/>
        <v>0</v>
      </c>
      <c r="AP428" s="593">
        <f t="shared" ca="1" si="214"/>
        <v>0</v>
      </c>
    </row>
    <row r="429" spans="1:42" s="589" customFormat="1" outlineLevel="1" x14ac:dyDescent="0.2">
      <c r="A429" s="629">
        <v>40</v>
      </c>
      <c r="B429" s="623" t="s">
        <v>859</v>
      </c>
      <c r="C429" s="627">
        <f ca="1">SUM(G429:R429)</f>
        <v>0</v>
      </c>
      <c r="D429" s="627"/>
      <c r="E429" s="628">
        <f t="shared" si="186"/>
        <v>1</v>
      </c>
      <c r="F429" s="629"/>
      <c r="G429" s="627">
        <f ca="1">SUM(G430:G441)</f>
        <v>0</v>
      </c>
      <c r="H429" s="627">
        <f ca="1">SUM(H430:H441)</f>
        <v>0</v>
      </c>
      <c r="I429" s="627">
        <f t="shared" ref="I429:R429" ca="1" si="216">SUM(I430:I441)</f>
        <v>0</v>
      </c>
      <c r="J429" s="627">
        <f t="shared" ca="1" si="216"/>
        <v>0</v>
      </c>
      <c r="K429" s="627">
        <f t="shared" ca="1" si="216"/>
        <v>0</v>
      </c>
      <c r="L429" s="627">
        <f t="shared" ca="1" si="216"/>
        <v>0</v>
      </c>
      <c r="M429" s="627">
        <f t="shared" ca="1" si="216"/>
        <v>0</v>
      </c>
      <c r="N429" s="627">
        <f t="shared" ca="1" si="216"/>
        <v>0</v>
      </c>
      <c r="O429" s="627">
        <f t="shared" ca="1" si="216"/>
        <v>0</v>
      </c>
      <c r="P429" s="627">
        <f t="shared" ca="1" si="216"/>
        <v>0</v>
      </c>
      <c r="Q429" s="627">
        <f t="shared" ca="1" si="216"/>
        <v>0</v>
      </c>
      <c r="R429" s="627">
        <f t="shared" ca="1" si="216"/>
        <v>0</v>
      </c>
      <c r="S429" s="627">
        <f ca="1">SUM(S430:S441)</f>
        <v>0</v>
      </c>
      <c r="T429" s="627">
        <f ca="1">SUM(T430:T441)</f>
        <v>0</v>
      </c>
      <c r="U429" s="627">
        <f t="shared" ref="U429:AD429" ca="1" si="217">SUM(U430:U441)</f>
        <v>0</v>
      </c>
      <c r="V429" s="627">
        <f t="shared" ca="1" si="217"/>
        <v>0</v>
      </c>
      <c r="W429" s="627">
        <f t="shared" ca="1" si="217"/>
        <v>0</v>
      </c>
      <c r="X429" s="627">
        <f t="shared" ca="1" si="217"/>
        <v>0</v>
      </c>
      <c r="Y429" s="627">
        <f t="shared" ca="1" si="217"/>
        <v>0</v>
      </c>
      <c r="Z429" s="627">
        <f t="shared" ca="1" si="217"/>
        <v>0</v>
      </c>
      <c r="AA429" s="627">
        <f t="shared" ca="1" si="217"/>
        <v>0</v>
      </c>
      <c r="AB429" s="627">
        <f t="shared" ca="1" si="217"/>
        <v>0</v>
      </c>
      <c r="AC429" s="627">
        <f t="shared" ca="1" si="217"/>
        <v>0</v>
      </c>
      <c r="AD429" s="627">
        <f t="shared" ca="1" si="217"/>
        <v>0</v>
      </c>
      <c r="AE429" s="627">
        <f ca="1">SUM(AE430:AE441)</f>
        <v>0</v>
      </c>
      <c r="AF429" s="627">
        <f ca="1">SUM(AF430:AF441)</f>
        <v>0</v>
      </c>
      <c r="AG429" s="627">
        <f t="shared" ref="AG429:AP429" ca="1" si="218">SUM(AG430:AG441)</f>
        <v>0</v>
      </c>
      <c r="AH429" s="627">
        <f t="shared" ca="1" si="218"/>
        <v>0</v>
      </c>
      <c r="AI429" s="627">
        <f t="shared" ca="1" si="218"/>
        <v>0</v>
      </c>
      <c r="AJ429" s="627">
        <f t="shared" ca="1" si="218"/>
        <v>0</v>
      </c>
      <c r="AK429" s="627">
        <f t="shared" ca="1" si="218"/>
        <v>0</v>
      </c>
      <c r="AL429" s="627">
        <f t="shared" ca="1" si="218"/>
        <v>0</v>
      </c>
      <c r="AM429" s="627">
        <f t="shared" ca="1" si="218"/>
        <v>0</v>
      </c>
      <c r="AN429" s="627">
        <f t="shared" ca="1" si="218"/>
        <v>0</v>
      </c>
      <c r="AO429" s="627">
        <f t="shared" ca="1" si="218"/>
        <v>0</v>
      </c>
      <c r="AP429" s="627">
        <f t="shared" ca="1" si="218"/>
        <v>0</v>
      </c>
    </row>
    <row r="430" spans="1:42" s="594" customFormat="1" ht="11.25" outlineLevel="1" x14ac:dyDescent="0.2">
      <c r="A430" s="644"/>
      <c r="B430" s="591" t="str">
        <f>IF(D430&lt;&gt;"",
IF(ISERROR(MATCH(D430,'Ist Vorjahr Monat 01'!A:A,0))=FALSE,INDEX('Ist Vorjahr Monat 01'!B:B,MATCH(D430,'Ist Vorjahr Monat 01'!A:A,0)),
IF(ISERROR(MATCH(D430,'Ist Vorjahr Monat 02'!A:A,0))=FALSE,INDEX('Ist Vorjahr Monat 02'!B:B,MATCH(D430,'Ist Vorjahr Monat 02'!A:A,0)),
IF(ISERROR(MATCH(D430,'Ist Vorjahr Monat 03'!A:A,0))=FALSE,INDEX('Ist Vorjahr Monat 03'!B:B,MATCH(D430,'Ist Vorjahr Monat 03'!A:A,0)),
IF(ISERROR(MATCH(D430,'Ist Vorjahr Monat 04'!A:A,0))=FALSE,INDEX('Ist Vorjahr Monat 04'!B:B,MATCH(D430,'Ist Vorjahr Monat 04'!A:A,0)),
IF(ISERROR(MATCH(D430,'Ist Vorjahr Monat 05'!A:A,0))=FALSE,INDEX('Ist Vorjahr Monat 05'!B:B,MATCH(D430,'Ist Vorjahr Monat 05'!A:A,0)),
IF(ISERROR(MATCH(D430,'Ist Vorjahr Monat 06'!A:A,0))=FALSE,INDEX('Ist Vorjahr Monat 06'!B:B,MATCH(D430,'Ist Vorjahr Monat 06'!A:A,0)),
IF(ISERROR(MATCH(D430,'Ist Vorjahr Monat 07'!A:A,0))=FALSE,INDEX('Ist Vorjahr Monat 07'!B:B,MATCH(D430,'Ist Vorjahr Monat 07'!A:A,0)),
IF(ISERROR(MATCH(D430,'Ist Vorjahr Monat 08'!A:A,0))=FALSE,INDEX('Ist Vorjahr Monat 08'!B:B,MATCH(D430,'Ist Vorjahr Monat 08'!A:A,0)),
IF(ISERROR(MATCH(D430,'Ist Vorjahr Monat 09'!A:A,0))=FALSE,INDEX('Ist Vorjahr Monat 09'!B:B,MATCH(D430,'Ist Vorjahr Monat 09'!A:A,0)),
IF(ISERROR(MATCH(D430,'Ist Vorjahr Monat 10'!A:A,0))=FALSE,INDEX('Ist Vorjahr Monat 10'!B:B,MATCH(D430,'Ist Vorjahr Monat 10'!A:A,0)),
IF(ISERROR(MATCH(D430,'Ist Vorjahr Monat 11'!A:A,0))=FALSE,INDEX('Ist Vorjahr Monat 11'!B:B,MATCH(D430,'Ist Vorjahr Monat 11'!A:A,0)),
IF(ISERROR(MATCH(D430,'Ist Vorjahr Monat 12'!A:A,0))=FALSE,INDEX('Ist Vorjahr Monat 12'!B:B,MATCH(D430,'Ist Vorjahr Monat 12'!A:A,0)),
"{Konto unbekannt}"
)))))))))))),"")</f>
        <v/>
      </c>
      <c r="C430" s="1062"/>
      <c r="D430" s="1067"/>
      <c r="E430" s="625">
        <f t="shared" si="186"/>
        <v>1</v>
      </c>
      <c r="F430" s="626"/>
      <c r="G430" s="593">
        <f ca="1">$E430*(SUMIF(INDIRECT(G$3),'Struktur Vorjahr'!$D430,INDIRECT(G$5)))</f>
        <v>0</v>
      </c>
      <c r="H430" s="593">
        <f ca="1">$E430*(SUMIF(INDIRECT(H$3),'Struktur Vorjahr'!$D430,INDIRECT(H$5)))</f>
        <v>0</v>
      </c>
      <c r="I430" s="593">
        <f ca="1">$E430*(SUMIF(INDIRECT(I$3),'Struktur Vorjahr'!$D430,INDIRECT(I$5)))</f>
        <v>0</v>
      </c>
      <c r="J430" s="593">
        <f ca="1">$E430*(SUMIF(INDIRECT(J$3),'Struktur Vorjahr'!$D430,INDIRECT(J$5)))</f>
        <v>0</v>
      </c>
      <c r="K430" s="593">
        <f ca="1">$E430*(SUMIF(INDIRECT(K$3),'Struktur Vorjahr'!$D430,INDIRECT(K$5)))</f>
        <v>0</v>
      </c>
      <c r="L430" s="593">
        <f ca="1">$E430*(SUMIF(INDIRECT(L$3),'Struktur Vorjahr'!$D430,INDIRECT(L$5)))</f>
        <v>0</v>
      </c>
      <c r="M430" s="593">
        <f ca="1">$E430*(SUMIF(INDIRECT(M$3),'Struktur Vorjahr'!$D430,INDIRECT(M$5)))</f>
        <v>0</v>
      </c>
      <c r="N430" s="593">
        <f ca="1">$E430*(SUMIF(INDIRECT(N$3),'Struktur Vorjahr'!$D430,INDIRECT(N$5)))</f>
        <v>0</v>
      </c>
      <c r="O430" s="593">
        <f ca="1">$E430*(SUMIF(INDIRECT(O$3),'Struktur Vorjahr'!$D430,INDIRECT(O$5)))</f>
        <v>0</v>
      </c>
      <c r="P430" s="593">
        <f ca="1">$E430*(SUMIF(INDIRECT(P$3),'Struktur Vorjahr'!$D430,INDIRECT(P$5)))</f>
        <v>0</v>
      </c>
      <c r="Q430" s="593">
        <f ca="1">$E430*(SUMIF(INDIRECT(Q$3),'Struktur Vorjahr'!$D430,INDIRECT(Q$5)))</f>
        <v>0</v>
      </c>
      <c r="R430" s="593">
        <f ca="1">$E430*(SUMIF(INDIRECT(R$3),'Struktur Vorjahr'!$D430,INDIRECT(R$5)))</f>
        <v>0</v>
      </c>
      <c r="S430" s="593">
        <f ca="1">$E430*(SUMIF(INDIRECT(S$3),'Struktur Vorjahr'!$D430,INDIRECT(S$5)))</f>
        <v>0</v>
      </c>
      <c r="T430" s="593">
        <f ca="1">$E430*(SUMIF(INDIRECT(T$3),'Struktur Vorjahr'!$D430,INDIRECT(T$5)))</f>
        <v>0</v>
      </c>
      <c r="U430" s="593">
        <f ca="1">$E430*(SUMIF(INDIRECT(U$3),'Struktur Vorjahr'!$D430,INDIRECT(U$5)))</f>
        <v>0</v>
      </c>
      <c r="V430" s="593">
        <f ca="1">$E430*(SUMIF(INDIRECT(V$3),'Struktur Vorjahr'!$D430,INDIRECT(V$5)))</f>
        <v>0</v>
      </c>
      <c r="W430" s="593">
        <f ca="1">$E430*(SUMIF(INDIRECT(W$3),'Struktur Vorjahr'!$D430,INDIRECT(W$5)))</f>
        <v>0</v>
      </c>
      <c r="X430" s="593">
        <f ca="1">$E430*(SUMIF(INDIRECT(X$3),'Struktur Vorjahr'!$D430,INDIRECT(X$5)))</f>
        <v>0</v>
      </c>
      <c r="Y430" s="593">
        <f ca="1">$E430*(SUMIF(INDIRECT(Y$3),'Struktur Vorjahr'!$D430,INDIRECT(Y$5)))</f>
        <v>0</v>
      </c>
      <c r="Z430" s="593">
        <f ca="1">$E430*(SUMIF(INDIRECT(Z$3),'Struktur Vorjahr'!$D430,INDIRECT(Z$5)))</f>
        <v>0</v>
      </c>
      <c r="AA430" s="593">
        <f ca="1">$E430*(SUMIF(INDIRECT(AA$3),'Struktur Vorjahr'!$D430,INDIRECT(AA$5)))</f>
        <v>0</v>
      </c>
      <c r="AB430" s="593">
        <f ca="1">$E430*(SUMIF(INDIRECT(AB$3),'Struktur Vorjahr'!$D430,INDIRECT(AB$5)))</f>
        <v>0</v>
      </c>
      <c r="AC430" s="593">
        <f ca="1">$E430*(SUMIF(INDIRECT(AC$3),'Struktur Vorjahr'!$D430,INDIRECT(AC$5)))</f>
        <v>0</v>
      </c>
      <c r="AD430" s="593">
        <f ca="1">$E430*(SUMIF(INDIRECT(AD$3),'Struktur Vorjahr'!$D430,INDIRECT(AD$5)))</f>
        <v>0</v>
      </c>
      <c r="AE430" s="593">
        <f t="shared" ref="AE430:AE441" ca="1" si="219">G430</f>
        <v>0</v>
      </c>
      <c r="AF430" s="593">
        <f t="shared" ref="AF430:AP441" ca="1" si="220">H430+AE430</f>
        <v>0</v>
      </c>
      <c r="AG430" s="593">
        <f t="shared" ca="1" si="220"/>
        <v>0</v>
      </c>
      <c r="AH430" s="593">
        <f t="shared" ca="1" si="220"/>
        <v>0</v>
      </c>
      <c r="AI430" s="593">
        <f t="shared" ca="1" si="220"/>
        <v>0</v>
      </c>
      <c r="AJ430" s="593">
        <f t="shared" ca="1" si="220"/>
        <v>0</v>
      </c>
      <c r="AK430" s="593">
        <f t="shared" ca="1" si="220"/>
        <v>0</v>
      </c>
      <c r="AL430" s="593">
        <f t="shared" ca="1" si="220"/>
        <v>0</v>
      </c>
      <c r="AM430" s="593">
        <f t="shared" ca="1" si="220"/>
        <v>0</v>
      </c>
      <c r="AN430" s="593">
        <f t="shared" ca="1" si="220"/>
        <v>0</v>
      </c>
      <c r="AO430" s="593">
        <f t="shared" ca="1" si="220"/>
        <v>0</v>
      </c>
      <c r="AP430" s="593">
        <f t="shared" ca="1" si="220"/>
        <v>0</v>
      </c>
    </row>
    <row r="431" spans="1:42" s="594" customFormat="1" ht="11.25" outlineLevel="1" x14ac:dyDescent="0.2">
      <c r="A431" s="644"/>
      <c r="B431" s="591" t="str">
        <f>IF(D431&lt;&gt;"",
IF(ISERROR(MATCH(D431,'Ist Vorjahr Monat 01'!A:A,0))=FALSE,INDEX('Ist Vorjahr Monat 01'!B:B,MATCH(D431,'Ist Vorjahr Monat 01'!A:A,0)),
IF(ISERROR(MATCH(D431,'Ist Vorjahr Monat 02'!A:A,0))=FALSE,INDEX('Ist Vorjahr Monat 02'!B:B,MATCH(D431,'Ist Vorjahr Monat 02'!A:A,0)),
IF(ISERROR(MATCH(D431,'Ist Vorjahr Monat 03'!A:A,0))=FALSE,INDEX('Ist Vorjahr Monat 03'!B:B,MATCH(D431,'Ist Vorjahr Monat 03'!A:A,0)),
IF(ISERROR(MATCH(D431,'Ist Vorjahr Monat 04'!A:A,0))=FALSE,INDEX('Ist Vorjahr Monat 04'!B:B,MATCH(D431,'Ist Vorjahr Monat 04'!A:A,0)),
IF(ISERROR(MATCH(D431,'Ist Vorjahr Monat 05'!A:A,0))=FALSE,INDEX('Ist Vorjahr Monat 05'!B:B,MATCH(D431,'Ist Vorjahr Monat 05'!A:A,0)),
IF(ISERROR(MATCH(D431,'Ist Vorjahr Monat 06'!A:A,0))=FALSE,INDEX('Ist Vorjahr Monat 06'!B:B,MATCH(D431,'Ist Vorjahr Monat 06'!A:A,0)),
IF(ISERROR(MATCH(D431,'Ist Vorjahr Monat 07'!A:A,0))=FALSE,INDEX('Ist Vorjahr Monat 07'!B:B,MATCH(D431,'Ist Vorjahr Monat 07'!A:A,0)),
IF(ISERROR(MATCH(D431,'Ist Vorjahr Monat 08'!A:A,0))=FALSE,INDEX('Ist Vorjahr Monat 08'!B:B,MATCH(D431,'Ist Vorjahr Monat 08'!A:A,0)),
IF(ISERROR(MATCH(D431,'Ist Vorjahr Monat 09'!A:A,0))=FALSE,INDEX('Ist Vorjahr Monat 09'!B:B,MATCH(D431,'Ist Vorjahr Monat 09'!A:A,0)),
IF(ISERROR(MATCH(D431,'Ist Vorjahr Monat 10'!A:A,0))=FALSE,INDEX('Ist Vorjahr Monat 10'!B:B,MATCH(D431,'Ist Vorjahr Monat 10'!A:A,0)),
IF(ISERROR(MATCH(D431,'Ist Vorjahr Monat 11'!A:A,0))=FALSE,INDEX('Ist Vorjahr Monat 11'!B:B,MATCH(D431,'Ist Vorjahr Monat 11'!A:A,0)),
IF(ISERROR(MATCH(D431,'Ist Vorjahr Monat 12'!A:A,0))=FALSE,INDEX('Ist Vorjahr Monat 12'!B:B,MATCH(D431,'Ist Vorjahr Monat 12'!A:A,0)),
"{Konto unbekannt}"
)))))))))))),"")</f>
        <v/>
      </c>
      <c r="C431" s="1062"/>
      <c r="D431" s="1067"/>
      <c r="E431" s="625">
        <f t="shared" si="186"/>
        <v>1</v>
      </c>
      <c r="F431" s="626"/>
      <c r="G431" s="593">
        <f ca="1">$E431*(SUMIF(INDIRECT(G$3),'Struktur Vorjahr'!$D431,INDIRECT(G$5)))</f>
        <v>0</v>
      </c>
      <c r="H431" s="593">
        <f ca="1">$E431*(SUMIF(INDIRECT(H$3),'Struktur Vorjahr'!$D431,INDIRECT(H$5)))</f>
        <v>0</v>
      </c>
      <c r="I431" s="593">
        <f ca="1">$E431*(SUMIF(INDIRECT(I$3),'Struktur Vorjahr'!$D431,INDIRECT(I$5)))</f>
        <v>0</v>
      </c>
      <c r="J431" s="593">
        <f ca="1">$E431*(SUMIF(INDIRECT(J$3),'Struktur Vorjahr'!$D431,INDIRECT(J$5)))</f>
        <v>0</v>
      </c>
      <c r="K431" s="593">
        <f ca="1">$E431*(SUMIF(INDIRECT(K$3),'Struktur Vorjahr'!$D431,INDIRECT(K$5)))</f>
        <v>0</v>
      </c>
      <c r="L431" s="593">
        <f ca="1">$E431*(SUMIF(INDIRECT(L$3),'Struktur Vorjahr'!$D431,INDIRECT(L$5)))</f>
        <v>0</v>
      </c>
      <c r="M431" s="593">
        <f ca="1">$E431*(SUMIF(INDIRECT(M$3),'Struktur Vorjahr'!$D431,INDIRECT(M$5)))</f>
        <v>0</v>
      </c>
      <c r="N431" s="593">
        <f ca="1">$E431*(SUMIF(INDIRECT(N$3),'Struktur Vorjahr'!$D431,INDIRECT(N$5)))</f>
        <v>0</v>
      </c>
      <c r="O431" s="593">
        <f ca="1">$E431*(SUMIF(INDIRECT(O$3),'Struktur Vorjahr'!$D431,INDIRECT(O$5)))</f>
        <v>0</v>
      </c>
      <c r="P431" s="593">
        <f ca="1">$E431*(SUMIF(INDIRECT(P$3),'Struktur Vorjahr'!$D431,INDIRECT(P$5)))</f>
        <v>0</v>
      </c>
      <c r="Q431" s="593">
        <f ca="1">$E431*(SUMIF(INDIRECT(Q$3),'Struktur Vorjahr'!$D431,INDIRECT(Q$5)))</f>
        <v>0</v>
      </c>
      <c r="R431" s="593">
        <f ca="1">$E431*(SUMIF(INDIRECT(R$3),'Struktur Vorjahr'!$D431,INDIRECT(R$5)))</f>
        <v>0</v>
      </c>
      <c r="S431" s="593">
        <f ca="1">$E431*(SUMIF(INDIRECT(S$3),'Struktur Vorjahr'!$D431,INDIRECT(S$5)))</f>
        <v>0</v>
      </c>
      <c r="T431" s="593">
        <f ca="1">$E431*(SUMIF(INDIRECT(T$3),'Struktur Vorjahr'!$D431,INDIRECT(T$5)))</f>
        <v>0</v>
      </c>
      <c r="U431" s="593">
        <f ca="1">$E431*(SUMIF(INDIRECT(U$3),'Struktur Vorjahr'!$D431,INDIRECT(U$5)))</f>
        <v>0</v>
      </c>
      <c r="V431" s="593">
        <f ca="1">$E431*(SUMIF(INDIRECT(V$3),'Struktur Vorjahr'!$D431,INDIRECT(V$5)))</f>
        <v>0</v>
      </c>
      <c r="W431" s="593">
        <f ca="1">$E431*(SUMIF(INDIRECT(W$3),'Struktur Vorjahr'!$D431,INDIRECT(W$5)))</f>
        <v>0</v>
      </c>
      <c r="X431" s="593">
        <f ca="1">$E431*(SUMIF(INDIRECT(X$3),'Struktur Vorjahr'!$D431,INDIRECT(X$5)))</f>
        <v>0</v>
      </c>
      <c r="Y431" s="593">
        <f ca="1">$E431*(SUMIF(INDIRECT(Y$3),'Struktur Vorjahr'!$D431,INDIRECT(Y$5)))</f>
        <v>0</v>
      </c>
      <c r="Z431" s="593">
        <f ca="1">$E431*(SUMIF(INDIRECT(Z$3),'Struktur Vorjahr'!$D431,INDIRECT(Z$5)))</f>
        <v>0</v>
      </c>
      <c r="AA431" s="593">
        <f ca="1">$E431*(SUMIF(INDIRECT(AA$3),'Struktur Vorjahr'!$D431,INDIRECT(AA$5)))</f>
        <v>0</v>
      </c>
      <c r="AB431" s="593">
        <f ca="1">$E431*(SUMIF(INDIRECT(AB$3),'Struktur Vorjahr'!$D431,INDIRECT(AB$5)))</f>
        <v>0</v>
      </c>
      <c r="AC431" s="593">
        <f ca="1">$E431*(SUMIF(INDIRECT(AC$3),'Struktur Vorjahr'!$D431,INDIRECT(AC$5)))</f>
        <v>0</v>
      </c>
      <c r="AD431" s="593">
        <f ca="1">$E431*(SUMIF(INDIRECT(AD$3),'Struktur Vorjahr'!$D431,INDIRECT(AD$5)))</f>
        <v>0</v>
      </c>
      <c r="AE431" s="593">
        <f t="shared" ca="1" si="219"/>
        <v>0</v>
      </c>
      <c r="AF431" s="593">
        <f t="shared" ca="1" si="220"/>
        <v>0</v>
      </c>
      <c r="AG431" s="593">
        <f t="shared" ca="1" si="220"/>
        <v>0</v>
      </c>
      <c r="AH431" s="593">
        <f t="shared" ca="1" si="220"/>
        <v>0</v>
      </c>
      <c r="AI431" s="593">
        <f t="shared" ca="1" si="220"/>
        <v>0</v>
      </c>
      <c r="AJ431" s="593">
        <f t="shared" ca="1" si="220"/>
        <v>0</v>
      </c>
      <c r="AK431" s="593">
        <f t="shared" ca="1" si="220"/>
        <v>0</v>
      </c>
      <c r="AL431" s="593">
        <f t="shared" ca="1" si="220"/>
        <v>0</v>
      </c>
      <c r="AM431" s="593">
        <f t="shared" ca="1" si="220"/>
        <v>0</v>
      </c>
      <c r="AN431" s="593">
        <f t="shared" ca="1" si="220"/>
        <v>0</v>
      </c>
      <c r="AO431" s="593">
        <f t="shared" ca="1" si="220"/>
        <v>0</v>
      </c>
      <c r="AP431" s="593">
        <f t="shared" ca="1" si="220"/>
        <v>0</v>
      </c>
    </row>
    <row r="432" spans="1:42" s="594" customFormat="1" ht="11.25" outlineLevel="1" x14ac:dyDescent="0.2">
      <c r="A432" s="644"/>
      <c r="B432" s="591" t="str">
        <f>IF(D432&lt;&gt;"",
IF(ISERROR(MATCH(D432,'Ist Vorjahr Monat 01'!A:A,0))=FALSE,INDEX('Ist Vorjahr Monat 01'!B:B,MATCH(D432,'Ist Vorjahr Monat 01'!A:A,0)),
IF(ISERROR(MATCH(D432,'Ist Vorjahr Monat 02'!A:A,0))=FALSE,INDEX('Ist Vorjahr Monat 02'!B:B,MATCH(D432,'Ist Vorjahr Monat 02'!A:A,0)),
IF(ISERROR(MATCH(D432,'Ist Vorjahr Monat 03'!A:A,0))=FALSE,INDEX('Ist Vorjahr Monat 03'!B:B,MATCH(D432,'Ist Vorjahr Monat 03'!A:A,0)),
IF(ISERROR(MATCH(D432,'Ist Vorjahr Monat 04'!A:A,0))=FALSE,INDEX('Ist Vorjahr Monat 04'!B:B,MATCH(D432,'Ist Vorjahr Monat 04'!A:A,0)),
IF(ISERROR(MATCH(D432,'Ist Vorjahr Monat 05'!A:A,0))=FALSE,INDEX('Ist Vorjahr Monat 05'!B:B,MATCH(D432,'Ist Vorjahr Monat 05'!A:A,0)),
IF(ISERROR(MATCH(D432,'Ist Vorjahr Monat 06'!A:A,0))=FALSE,INDEX('Ist Vorjahr Monat 06'!B:B,MATCH(D432,'Ist Vorjahr Monat 06'!A:A,0)),
IF(ISERROR(MATCH(D432,'Ist Vorjahr Monat 07'!A:A,0))=FALSE,INDEX('Ist Vorjahr Monat 07'!B:B,MATCH(D432,'Ist Vorjahr Monat 07'!A:A,0)),
IF(ISERROR(MATCH(D432,'Ist Vorjahr Monat 08'!A:A,0))=FALSE,INDEX('Ist Vorjahr Monat 08'!B:B,MATCH(D432,'Ist Vorjahr Monat 08'!A:A,0)),
IF(ISERROR(MATCH(D432,'Ist Vorjahr Monat 09'!A:A,0))=FALSE,INDEX('Ist Vorjahr Monat 09'!B:B,MATCH(D432,'Ist Vorjahr Monat 09'!A:A,0)),
IF(ISERROR(MATCH(D432,'Ist Vorjahr Monat 10'!A:A,0))=FALSE,INDEX('Ist Vorjahr Monat 10'!B:B,MATCH(D432,'Ist Vorjahr Monat 10'!A:A,0)),
IF(ISERROR(MATCH(D432,'Ist Vorjahr Monat 11'!A:A,0))=FALSE,INDEX('Ist Vorjahr Monat 11'!B:B,MATCH(D432,'Ist Vorjahr Monat 11'!A:A,0)),
IF(ISERROR(MATCH(D432,'Ist Vorjahr Monat 12'!A:A,0))=FALSE,INDEX('Ist Vorjahr Monat 12'!B:B,MATCH(D432,'Ist Vorjahr Monat 12'!A:A,0)),
"{Konto unbekannt}"
)))))))))))),"")</f>
        <v/>
      </c>
      <c r="C432" s="1062"/>
      <c r="D432" s="1067"/>
      <c r="E432" s="625">
        <f t="shared" si="186"/>
        <v>1</v>
      </c>
      <c r="F432" s="626"/>
      <c r="G432" s="593">
        <f ca="1">$E432*(SUMIF(INDIRECT(G$3),'Struktur Vorjahr'!$D432,INDIRECT(G$5)))</f>
        <v>0</v>
      </c>
      <c r="H432" s="593">
        <f ca="1">$E432*(SUMIF(INDIRECT(H$3),'Struktur Vorjahr'!$D432,INDIRECT(H$5)))</f>
        <v>0</v>
      </c>
      <c r="I432" s="593">
        <f ca="1">$E432*(SUMIF(INDIRECT(I$3),'Struktur Vorjahr'!$D432,INDIRECT(I$5)))</f>
        <v>0</v>
      </c>
      <c r="J432" s="593">
        <f ca="1">$E432*(SUMIF(INDIRECT(J$3),'Struktur Vorjahr'!$D432,INDIRECT(J$5)))</f>
        <v>0</v>
      </c>
      <c r="K432" s="593">
        <f ca="1">$E432*(SUMIF(INDIRECT(K$3),'Struktur Vorjahr'!$D432,INDIRECT(K$5)))</f>
        <v>0</v>
      </c>
      <c r="L432" s="593">
        <f ca="1">$E432*(SUMIF(INDIRECT(L$3),'Struktur Vorjahr'!$D432,INDIRECT(L$5)))</f>
        <v>0</v>
      </c>
      <c r="M432" s="593">
        <f ca="1">$E432*(SUMIF(INDIRECT(M$3),'Struktur Vorjahr'!$D432,INDIRECT(M$5)))</f>
        <v>0</v>
      </c>
      <c r="N432" s="593">
        <f ca="1">$E432*(SUMIF(INDIRECT(N$3),'Struktur Vorjahr'!$D432,INDIRECT(N$5)))</f>
        <v>0</v>
      </c>
      <c r="O432" s="593">
        <f ca="1">$E432*(SUMIF(INDIRECT(O$3),'Struktur Vorjahr'!$D432,INDIRECT(O$5)))</f>
        <v>0</v>
      </c>
      <c r="P432" s="593">
        <f ca="1">$E432*(SUMIF(INDIRECT(P$3),'Struktur Vorjahr'!$D432,INDIRECT(P$5)))</f>
        <v>0</v>
      </c>
      <c r="Q432" s="593">
        <f ca="1">$E432*(SUMIF(INDIRECT(Q$3),'Struktur Vorjahr'!$D432,INDIRECT(Q$5)))</f>
        <v>0</v>
      </c>
      <c r="R432" s="593">
        <f ca="1">$E432*(SUMIF(INDIRECT(R$3),'Struktur Vorjahr'!$D432,INDIRECT(R$5)))</f>
        <v>0</v>
      </c>
      <c r="S432" s="593">
        <f ca="1">$E432*(SUMIF(INDIRECT(S$3),'Struktur Vorjahr'!$D432,INDIRECT(S$5)))</f>
        <v>0</v>
      </c>
      <c r="T432" s="593">
        <f ca="1">$E432*(SUMIF(INDIRECT(T$3),'Struktur Vorjahr'!$D432,INDIRECT(T$5)))</f>
        <v>0</v>
      </c>
      <c r="U432" s="593">
        <f ca="1">$E432*(SUMIF(INDIRECT(U$3),'Struktur Vorjahr'!$D432,INDIRECT(U$5)))</f>
        <v>0</v>
      </c>
      <c r="V432" s="593">
        <f ca="1">$E432*(SUMIF(INDIRECT(V$3),'Struktur Vorjahr'!$D432,INDIRECT(V$5)))</f>
        <v>0</v>
      </c>
      <c r="W432" s="593">
        <f ca="1">$E432*(SUMIF(INDIRECT(W$3),'Struktur Vorjahr'!$D432,INDIRECT(W$5)))</f>
        <v>0</v>
      </c>
      <c r="X432" s="593">
        <f ca="1">$E432*(SUMIF(INDIRECT(X$3),'Struktur Vorjahr'!$D432,INDIRECT(X$5)))</f>
        <v>0</v>
      </c>
      <c r="Y432" s="593">
        <f ca="1">$E432*(SUMIF(INDIRECT(Y$3),'Struktur Vorjahr'!$D432,INDIRECT(Y$5)))</f>
        <v>0</v>
      </c>
      <c r="Z432" s="593">
        <f ca="1">$E432*(SUMIF(INDIRECT(Z$3),'Struktur Vorjahr'!$D432,INDIRECT(Z$5)))</f>
        <v>0</v>
      </c>
      <c r="AA432" s="593">
        <f ca="1">$E432*(SUMIF(INDIRECT(AA$3),'Struktur Vorjahr'!$D432,INDIRECT(AA$5)))</f>
        <v>0</v>
      </c>
      <c r="AB432" s="593">
        <f ca="1">$E432*(SUMIF(INDIRECT(AB$3),'Struktur Vorjahr'!$D432,INDIRECT(AB$5)))</f>
        <v>0</v>
      </c>
      <c r="AC432" s="593">
        <f ca="1">$E432*(SUMIF(INDIRECT(AC$3),'Struktur Vorjahr'!$D432,INDIRECT(AC$5)))</f>
        <v>0</v>
      </c>
      <c r="AD432" s="593">
        <f ca="1">$E432*(SUMIF(INDIRECT(AD$3),'Struktur Vorjahr'!$D432,INDIRECT(AD$5)))</f>
        <v>0</v>
      </c>
      <c r="AE432" s="593">
        <f t="shared" ca="1" si="219"/>
        <v>0</v>
      </c>
      <c r="AF432" s="593">
        <f t="shared" ca="1" si="220"/>
        <v>0</v>
      </c>
      <c r="AG432" s="593">
        <f t="shared" ca="1" si="220"/>
        <v>0</v>
      </c>
      <c r="AH432" s="593">
        <f t="shared" ca="1" si="220"/>
        <v>0</v>
      </c>
      <c r="AI432" s="593">
        <f t="shared" ca="1" si="220"/>
        <v>0</v>
      </c>
      <c r="AJ432" s="593">
        <f t="shared" ca="1" si="220"/>
        <v>0</v>
      </c>
      <c r="AK432" s="593">
        <f t="shared" ca="1" si="220"/>
        <v>0</v>
      </c>
      <c r="AL432" s="593">
        <f t="shared" ca="1" si="220"/>
        <v>0</v>
      </c>
      <c r="AM432" s="593">
        <f t="shared" ca="1" si="220"/>
        <v>0</v>
      </c>
      <c r="AN432" s="593">
        <f t="shared" ca="1" si="220"/>
        <v>0</v>
      </c>
      <c r="AO432" s="593">
        <f t="shared" ca="1" si="220"/>
        <v>0</v>
      </c>
      <c r="AP432" s="593">
        <f t="shared" ca="1" si="220"/>
        <v>0</v>
      </c>
    </row>
    <row r="433" spans="1:42" s="594" customFormat="1" ht="11.25" outlineLevel="1" x14ac:dyDescent="0.2">
      <c r="A433" s="644"/>
      <c r="B433" s="591" t="str">
        <f>IF(D433&lt;&gt;"",
IF(ISERROR(MATCH(D433,'Ist Vorjahr Monat 01'!A:A,0))=FALSE,INDEX('Ist Vorjahr Monat 01'!B:B,MATCH(D433,'Ist Vorjahr Monat 01'!A:A,0)),
IF(ISERROR(MATCH(D433,'Ist Vorjahr Monat 02'!A:A,0))=FALSE,INDEX('Ist Vorjahr Monat 02'!B:B,MATCH(D433,'Ist Vorjahr Monat 02'!A:A,0)),
IF(ISERROR(MATCH(D433,'Ist Vorjahr Monat 03'!A:A,0))=FALSE,INDEX('Ist Vorjahr Monat 03'!B:B,MATCH(D433,'Ist Vorjahr Monat 03'!A:A,0)),
IF(ISERROR(MATCH(D433,'Ist Vorjahr Monat 04'!A:A,0))=FALSE,INDEX('Ist Vorjahr Monat 04'!B:B,MATCH(D433,'Ist Vorjahr Monat 04'!A:A,0)),
IF(ISERROR(MATCH(D433,'Ist Vorjahr Monat 05'!A:A,0))=FALSE,INDEX('Ist Vorjahr Monat 05'!B:B,MATCH(D433,'Ist Vorjahr Monat 05'!A:A,0)),
IF(ISERROR(MATCH(D433,'Ist Vorjahr Monat 06'!A:A,0))=FALSE,INDEX('Ist Vorjahr Monat 06'!B:B,MATCH(D433,'Ist Vorjahr Monat 06'!A:A,0)),
IF(ISERROR(MATCH(D433,'Ist Vorjahr Monat 07'!A:A,0))=FALSE,INDEX('Ist Vorjahr Monat 07'!B:B,MATCH(D433,'Ist Vorjahr Monat 07'!A:A,0)),
IF(ISERROR(MATCH(D433,'Ist Vorjahr Monat 08'!A:A,0))=FALSE,INDEX('Ist Vorjahr Monat 08'!B:B,MATCH(D433,'Ist Vorjahr Monat 08'!A:A,0)),
IF(ISERROR(MATCH(D433,'Ist Vorjahr Monat 09'!A:A,0))=FALSE,INDEX('Ist Vorjahr Monat 09'!B:B,MATCH(D433,'Ist Vorjahr Monat 09'!A:A,0)),
IF(ISERROR(MATCH(D433,'Ist Vorjahr Monat 10'!A:A,0))=FALSE,INDEX('Ist Vorjahr Monat 10'!B:B,MATCH(D433,'Ist Vorjahr Monat 10'!A:A,0)),
IF(ISERROR(MATCH(D433,'Ist Vorjahr Monat 11'!A:A,0))=FALSE,INDEX('Ist Vorjahr Monat 11'!B:B,MATCH(D433,'Ist Vorjahr Monat 11'!A:A,0)),
IF(ISERROR(MATCH(D433,'Ist Vorjahr Monat 12'!A:A,0))=FALSE,INDEX('Ist Vorjahr Monat 12'!B:B,MATCH(D433,'Ist Vorjahr Monat 12'!A:A,0)),
"{Konto unbekannt}"
)))))))))))),"")</f>
        <v/>
      </c>
      <c r="C433" s="1062"/>
      <c r="D433" s="1067"/>
      <c r="E433" s="625">
        <f>IF(F433="-",-1,1)</f>
        <v>1</v>
      </c>
      <c r="F433" s="626"/>
      <c r="G433" s="593">
        <f ca="1">$E433*(SUMIF(INDIRECT(G$3),'Struktur Vorjahr'!$D433,INDIRECT(G$5)))</f>
        <v>0</v>
      </c>
      <c r="H433" s="593">
        <f ca="1">$E433*(SUMIF(INDIRECT(H$3),'Struktur Vorjahr'!$D433,INDIRECT(H$5)))</f>
        <v>0</v>
      </c>
      <c r="I433" s="593">
        <f ca="1">$E433*(SUMIF(INDIRECT(I$3),'Struktur Vorjahr'!$D433,INDIRECT(I$5)))</f>
        <v>0</v>
      </c>
      <c r="J433" s="593">
        <f ca="1">$E433*(SUMIF(INDIRECT(J$3),'Struktur Vorjahr'!$D433,INDIRECT(J$5)))</f>
        <v>0</v>
      </c>
      <c r="K433" s="593">
        <f ca="1">$E433*(SUMIF(INDIRECT(K$3),'Struktur Vorjahr'!$D433,INDIRECT(K$5)))</f>
        <v>0</v>
      </c>
      <c r="L433" s="593">
        <f ca="1">$E433*(SUMIF(INDIRECT(L$3),'Struktur Vorjahr'!$D433,INDIRECT(L$5)))</f>
        <v>0</v>
      </c>
      <c r="M433" s="593">
        <f ca="1">$E433*(SUMIF(INDIRECT(M$3),'Struktur Vorjahr'!$D433,INDIRECT(M$5)))</f>
        <v>0</v>
      </c>
      <c r="N433" s="593">
        <f ca="1">$E433*(SUMIF(INDIRECT(N$3),'Struktur Vorjahr'!$D433,INDIRECT(N$5)))</f>
        <v>0</v>
      </c>
      <c r="O433" s="593">
        <f ca="1">$E433*(SUMIF(INDIRECT(O$3),'Struktur Vorjahr'!$D433,INDIRECT(O$5)))</f>
        <v>0</v>
      </c>
      <c r="P433" s="593">
        <f ca="1">$E433*(SUMIF(INDIRECT(P$3),'Struktur Vorjahr'!$D433,INDIRECT(P$5)))</f>
        <v>0</v>
      </c>
      <c r="Q433" s="593">
        <f ca="1">$E433*(SUMIF(INDIRECT(Q$3),'Struktur Vorjahr'!$D433,INDIRECT(Q$5)))</f>
        <v>0</v>
      </c>
      <c r="R433" s="593">
        <f ca="1">$E433*(SUMIF(INDIRECT(R$3),'Struktur Vorjahr'!$D433,INDIRECT(R$5)))</f>
        <v>0</v>
      </c>
      <c r="S433" s="593">
        <f ca="1">$E433*(SUMIF(INDIRECT(S$3),'Struktur Vorjahr'!$D433,INDIRECT(S$5)))</f>
        <v>0</v>
      </c>
      <c r="T433" s="593">
        <f ca="1">$E433*(SUMIF(INDIRECT(T$3),'Struktur Vorjahr'!$D433,INDIRECT(T$5)))</f>
        <v>0</v>
      </c>
      <c r="U433" s="593">
        <f ca="1">$E433*(SUMIF(INDIRECT(U$3),'Struktur Vorjahr'!$D433,INDIRECT(U$5)))</f>
        <v>0</v>
      </c>
      <c r="V433" s="593">
        <f ca="1">$E433*(SUMIF(INDIRECT(V$3),'Struktur Vorjahr'!$D433,INDIRECT(V$5)))</f>
        <v>0</v>
      </c>
      <c r="W433" s="593">
        <f ca="1">$E433*(SUMIF(INDIRECT(W$3),'Struktur Vorjahr'!$D433,INDIRECT(W$5)))</f>
        <v>0</v>
      </c>
      <c r="X433" s="593">
        <f ca="1">$E433*(SUMIF(INDIRECT(X$3),'Struktur Vorjahr'!$D433,INDIRECT(X$5)))</f>
        <v>0</v>
      </c>
      <c r="Y433" s="593">
        <f ca="1">$E433*(SUMIF(INDIRECT(Y$3),'Struktur Vorjahr'!$D433,INDIRECT(Y$5)))</f>
        <v>0</v>
      </c>
      <c r="Z433" s="593">
        <f ca="1">$E433*(SUMIF(INDIRECT(Z$3),'Struktur Vorjahr'!$D433,INDIRECT(Z$5)))</f>
        <v>0</v>
      </c>
      <c r="AA433" s="593">
        <f ca="1">$E433*(SUMIF(INDIRECT(AA$3),'Struktur Vorjahr'!$D433,INDIRECT(AA$5)))</f>
        <v>0</v>
      </c>
      <c r="AB433" s="593">
        <f ca="1">$E433*(SUMIF(INDIRECT(AB$3),'Struktur Vorjahr'!$D433,INDIRECT(AB$5)))</f>
        <v>0</v>
      </c>
      <c r="AC433" s="593">
        <f ca="1">$E433*(SUMIF(INDIRECT(AC$3),'Struktur Vorjahr'!$D433,INDIRECT(AC$5)))</f>
        <v>0</v>
      </c>
      <c r="AD433" s="593">
        <f ca="1">$E433*(SUMIF(INDIRECT(AD$3),'Struktur Vorjahr'!$D433,INDIRECT(AD$5)))</f>
        <v>0</v>
      </c>
      <c r="AE433" s="593">
        <f t="shared" ca="1" si="219"/>
        <v>0</v>
      </c>
      <c r="AF433" s="593">
        <f t="shared" ca="1" si="220"/>
        <v>0</v>
      </c>
      <c r="AG433" s="593">
        <f t="shared" ca="1" si="220"/>
        <v>0</v>
      </c>
      <c r="AH433" s="593">
        <f t="shared" ca="1" si="220"/>
        <v>0</v>
      </c>
      <c r="AI433" s="593">
        <f t="shared" ca="1" si="220"/>
        <v>0</v>
      </c>
      <c r="AJ433" s="593">
        <f t="shared" ca="1" si="220"/>
        <v>0</v>
      </c>
      <c r="AK433" s="593">
        <f t="shared" ca="1" si="220"/>
        <v>0</v>
      </c>
      <c r="AL433" s="593">
        <f t="shared" ca="1" si="220"/>
        <v>0</v>
      </c>
      <c r="AM433" s="593">
        <f t="shared" ca="1" si="220"/>
        <v>0</v>
      </c>
      <c r="AN433" s="593">
        <f t="shared" ca="1" si="220"/>
        <v>0</v>
      </c>
      <c r="AO433" s="593">
        <f t="shared" ca="1" si="220"/>
        <v>0</v>
      </c>
      <c r="AP433" s="593">
        <f t="shared" ca="1" si="220"/>
        <v>0</v>
      </c>
    </row>
    <row r="434" spans="1:42" s="594" customFormat="1" ht="11.25" outlineLevel="1" x14ac:dyDescent="0.2">
      <c r="A434" s="644"/>
      <c r="B434" s="591" t="str">
        <f>IF(D434&lt;&gt;"",
IF(ISERROR(MATCH(D434,'Ist Vorjahr Monat 01'!A:A,0))=FALSE,INDEX('Ist Vorjahr Monat 01'!B:B,MATCH(D434,'Ist Vorjahr Monat 01'!A:A,0)),
IF(ISERROR(MATCH(D434,'Ist Vorjahr Monat 02'!A:A,0))=FALSE,INDEX('Ist Vorjahr Monat 02'!B:B,MATCH(D434,'Ist Vorjahr Monat 02'!A:A,0)),
IF(ISERROR(MATCH(D434,'Ist Vorjahr Monat 03'!A:A,0))=FALSE,INDEX('Ist Vorjahr Monat 03'!B:B,MATCH(D434,'Ist Vorjahr Monat 03'!A:A,0)),
IF(ISERROR(MATCH(D434,'Ist Vorjahr Monat 04'!A:A,0))=FALSE,INDEX('Ist Vorjahr Monat 04'!B:B,MATCH(D434,'Ist Vorjahr Monat 04'!A:A,0)),
IF(ISERROR(MATCH(D434,'Ist Vorjahr Monat 05'!A:A,0))=FALSE,INDEX('Ist Vorjahr Monat 05'!B:B,MATCH(D434,'Ist Vorjahr Monat 05'!A:A,0)),
IF(ISERROR(MATCH(D434,'Ist Vorjahr Monat 06'!A:A,0))=FALSE,INDEX('Ist Vorjahr Monat 06'!B:B,MATCH(D434,'Ist Vorjahr Monat 06'!A:A,0)),
IF(ISERROR(MATCH(D434,'Ist Vorjahr Monat 07'!A:A,0))=FALSE,INDEX('Ist Vorjahr Monat 07'!B:B,MATCH(D434,'Ist Vorjahr Monat 07'!A:A,0)),
IF(ISERROR(MATCH(D434,'Ist Vorjahr Monat 08'!A:A,0))=FALSE,INDEX('Ist Vorjahr Monat 08'!B:B,MATCH(D434,'Ist Vorjahr Monat 08'!A:A,0)),
IF(ISERROR(MATCH(D434,'Ist Vorjahr Monat 09'!A:A,0))=FALSE,INDEX('Ist Vorjahr Monat 09'!B:B,MATCH(D434,'Ist Vorjahr Monat 09'!A:A,0)),
IF(ISERROR(MATCH(D434,'Ist Vorjahr Monat 10'!A:A,0))=FALSE,INDEX('Ist Vorjahr Monat 10'!B:B,MATCH(D434,'Ist Vorjahr Monat 10'!A:A,0)),
IF(ISERROR(MATCH(D434,'Ist Vorjahr Monat 11'!A:A,0))=FALSE,INDEX('Ist Vorjahr Monat 11'!B:B,MATCH(D434,'Ist Vorjahr Monat 11'!A:A,0)),
IF(ISERROR(MATCH(D434,'Ist Vorjahr Monat 12'!A:A,0))=FALSE,INDEX('Ist Vorjahr Monat 12'!B:B,MATCH(D434,'Ist Vorjahr Monat 12'!A:A,0)),
"{Konto unbekannt}"
)))))))))))),"")</f>
        <v/>
      </c>
      <c r="C434" s="1062"/>
      <c r="D434" s="1067"/>
      <c r="E434" s="625">
        <f t="shared" ref="E434:E441" si="221">IF(F434="-",-1,1)</f>
        <v>1</v>
      </c>
      <c r="F434" s="626"/>
      <c r="G434" s="593">
        <f ca="1">$E434*(SUMIF(INDIRECT(G$3),'Struktur Vorjahr'!$D434,INDIRECT(G$5)))</f>
        <v>0</v>
      </c>
      <c r="H434" s="593">
        <f ca="1">$E434*(SUMIF(INDIRECT(H$3),'Struktur Vorjahr'!$D434,INDIRECT(H$5)))</f>
        <v>0</v>
      </c>
      <c r="I434" s="593">
        <f ca="1">$E434*(SUMIF(INDIRECT(I$3),'Struktur Vorjahr'!$D434,INDIRECT(I$5)))</f>
        <v>0</v>
      </c>
      <c r="J434" s="593">
        <f ca="1">$E434*(SUMIF(INDIRECT(J$3),'Struktur Vorjahr'!$D434,INDIRECT(J$5)))</f>
        <v>0</v>
      </c>
      <c r="K434" s="593">
        <f ca="1">$E434*(SUMIF(INDIRECT(K$3),'Struktur Vorjahr'!$D434,INDIRECT(K$5)))</f>
        <v>0</v>
      </c>
      <c r="L434" s="593">
        <f ca="1">$E434*(SUMIF(INDIRECT(L$3),'Struktur Vorjahr'!$D434,INDIRECT(L$5)))</f>
        <v>0</v>
      </c>
      <c r="M434" s="593">
        <f ca="1">$E434*(SUMIF(INDIRECT(M$3),'Struktur Vorjahr'!$D434,INDIRECT(M$5)))</f>
        <v>0</v>
      </c>
      <c r="N434" s="593">
        <f ca="1">$E434*(SUMIF(INDIRECT(N$3),'Struktur Vorjahr'!$D434,INDIRECT(N$5)))</f>
        <v>0</v>
      </c>
      <c r="O434" s="593">
        <f ca="1">$E434*(SUMIF(INDIRECT(O$3),'Struktur Vorjahr'!$D434,INDIRECT(O$5)))</f>
        <v>0</v>
      </c>
      <c r="P434" s="593">
        <f ca="1">$E434*(SUMIF(INDIRECT(P$3),'Struktur Vorjahr'!$D434,INDIRECT(P$5)))</f>
        <v>0</v>
      </c>
      <c r="Q434" s="593">
        <f ca="1">$E434*(SUMIF(INDIRECT(Q$3),'Struktur Vorjahr'!$D434,INDIRECT(Q$5)))</f>
        <v>0</v>
      </c>
      <c r="R434" s="593">
        <f ca="1">$E434*(SUMIF(INDIRECT(R$3),'Struktur Vorjahr'!$D434,INDIRECT(R$5)))</f>
        <v>0</v>
      </c>
      <c r="S434" s="593">
        <f ca="1">$E434*(SUMIF(INDIRECT(S$3),'Struktur Vorjahr'!$D434,INDIRECT(S$5)))</f>
        <v>0</v>
      </c>
      <c r="T434" s="593">
        <f ca="1">$E434*(SUMIF(INDIRECT(T$3),'Struktur Vorjahr'!$D434,INDIRECT(T$5)))</f>
        <v>0</v>
      </c>
      <c r="U434" s="593">
        <f ca="1">$E434*(SUMIF(INDIRECT(U$3),'Struktur Vorjahr'!$D434,INDIRECT(U$5)))</f>
        <v>0</v>
      </c>
      <c r="V434" s="593">
        <f ca="1">$E434*(SUMIF(INDIRECT(V$3),'Struktur Vorjahr'!$D434,INDIRECT(V$5)))</f>
        <v>0</v>
      </c>
      <c r="W434" s="593">
        <f ca="1">$E434*(SUMIF(INDIRECT(W$3),'Struktur Vorjahr'!$D434,INDIRECT(W$5)))</f>
        <v>0</v>
      </c>
      <c r="X434" s="593">
        <f ca="1">$E434*(SUMIF(INDIRECT(X$3),'Struktur Vorjahr'!$D434,INDIRECT(X$5)))</f>
        <v>0</v>
      </c>
      <c r="Y434" s="593">
        <f ca="1">$E434*(SUMIF(INDIRECT(Y$3),'Struktur Vorjahr'!$D434,INDIRECT(Y$5)))</f>
        <v>0</v>
      </c>
      <c r="Z434" s="593">
        <f ca="1">$E434*(SUMIF(INDIRECT(Z$3),'Struktur Vorjahr'!$D434,INDIRECT(Z$5)))</f>
        <v>0</v>
      </c>
      <c r="AA434" s="593">
        <f ca="1">$E434*(SUMIF(INDIRECT(AA$3),'Struktur Vorjahr'!$D434,INDIRECT(AA$5)))</f>
        <v>0</v>
      </c>
      <c r="AB434" s="593">
        <f ca="1">$E434*(SUMIF(INDIRECT(AB$3),'Struktur Vorjahr'!$D434,INDIRECT(AB$5)))</f>
        <v>0</v>
      </c>
      <c r="AC434" s="593">
        <f ca="1">$E434*(SUMIF(INDIRECT(AC$3),'Struktur Vorjahr'!$D434,INDIRECT(AC$5)))</f>
        <v>0</v>
      </c>
      <c r="AD434" s="593">
        <f ca="1">$E434*(SUMIF(INDIRECT(AD$3),'Struktur Vorjahr'!$D434,INDIRECT(AD$5)))</f>
        <v>0</v>
      </c>
      <c r="AE434" s="593">
        <f t="shared" ca="1" si="219"/>
        <v>0</v>
      </c>
      <c r="AF434" s="593">
        <f t="shared" ca="1" si="220"/>
        <v>0</v>
      </c>
      <c r="AG434" s="593">
        <f t="shared" ca="1" si="220"/>
        <v>0</v>
      </c>
      <c r="AH434" s="593">
        <f t="shared" ca="1" si="220"/>
        <v>0</v>
      </c>
      <c r="AI434" s="593">
        <f t="shared" ca="1" si="220"/>
        <v>0</v>
      </c>
      <c r="AJ434" s="593">
        <f t="shared" ca="1" si="220"/>
        <v>0</v>
      </c>
      <c r="AK434" s="593">
        <f t="shared" ca="1" si="220"/>
        <v>0</v>
      </c>
      <c r="AL434" s="593">
        <f t="shared" ca="1" si="220"/>
        <v>0</v>
      </c>
      <c r="AM434" s="593">
        <f t="shared" ca="1" si="220"/>
        <v>0</v>
      </c>
      <c r="AN434" s="593">
        <f t="shared" ca="1" si="220"/>
        <v>0</v>
      </c>
      <c r="AO434" s="593">
        <f t="shared" ca="1" si="220"/>
        <v>0</v>
      </c>
      <c r="AP434" s="593">
        <f t="shared" ca="1" si="220"/>
        <v>0</v>
      </c>
    </row>
    <row r="435" spans="1:42" s="594" customFormat="1" ht="11.25" outlineLevel="1" x14ac:dyDescent="0.2">
      <c r="A435" s="644"/>
      <c r="B435" s="591" t="str">
        <f>IF(D435&lt;&gt;"",
IF(ISERROR(MATCH(D435,'Ist Vorjahr Monat 01'!A:A,0))=FALSE,INDEX('Ist Vorjahr Monat 01'!B:B,MATCH(D435,'Ist Vorjahr Monat 01'!A:A,0)),
IF(ISERROR(MATCH(D435,'Ist Vorjahr Monat 02'!A:A,0))=FALSE,INDEX('Ist Vorjahr Monat 02'!B:B,MATCH(D435,'Ist Vorjahr Monat 02'!A:A,0)),
IF(ISERROR(MATCH(D435,'Ist Vorjahr Monat 03'!A:A,0))=FALSE,INDEX('Ist Vorjahr Monat 03'!B:B,MATCH(D435,'Ist Vorjahr Monat 03'!A:A,0)),
IF(ISERROR(MATCH(D435,'Ist Vorjahr Monat 04'!A:A,0))=FALSE,INDEX('Ist Vorjahr Monat 04'!B:B,MATCH(D435,'Ist Vorjahr Monat 04'!A:A,0)),
IF(ISERROR(MATCH(D435,'Ist Vorjahr Monat 05'!A:A,0))=FALSE,INDEX('Ist Vorjahr Monat 05'!B:B,MATCH(D435,'Ist Vorjahr Monat 05'!A:A,0)),
IF(ISERROR(MATCH(D435,'Ist Vorjahr Monat 06'!A:A,0))=FALSE,INDEX('Ist Vorjahr Monat 06'!B:B,MATCH(D435,'Ist Vorjahr Monat 06'!A:A,0)),
IF(ISERROR(MATCH(D435,'Ist Vorjahr Monat 07'!A:A,0))=FALSE,INDEX('Ist Vorjahr Monat 07'!B:B,MATCH(D435,'Ist Vorjahr Monat 07'!A:A,0)),
IF(ISERROR(MATCH(D435,'Ist Vorjahr Monat 08'!A:A,0))=FALSE,INDEX('Ist Vorjahr Monat 08'!B:B,MATCH(D435,'Ist Vorjahr Monat 08'!A:A,0)),
IF(ISERROR(MATCH(D435,'Ist Vorjahr Monat 09'!A:A,0))=FALSE,INDEX('Ist Vorjahr Monat 09'!B:B,MATCH(D435,'Ist Vorjahr Monat 09'!A:A,0)),
IF(ISERROR(MATCH(D435,'Ist Vorjahr Monat 10'!A:A,0))=FALSE,INDEX('Ist Vorjahr Monat 10'!B:B,MATCH(D435,'Ist Vorjahr Monat 10'!A:A,0)),
IF(ISERROR(MATCH(D435,'Ist Vorjahr Monat 11'!A:A,0))=FALSE,INDEX('Ist Vorjahr Monat 11'!B:B,MATCH(D435,'Ist Vorjahr Monat 11'!A:A,0)),
IF(ISERROR(MATCH(D435,'Ist Vorjahr Monat 12'!A:A,0))=FALSE,INDEX('Ist Vorjahr Monat 12'!B:B,MATCH(D435,'Ist Vorjahr Monat 12'!A:A,0)),
"{Konto unbekannt}"
)))))))))))),"")</f>
        <v/>
      </c>
      <c r="C435" s="1062"/>
      <c r="D435" s="1067"/>
      <c r="E435" s="625">
        <f t="shared" si="221"/>
        <v>1</v>
      </c>
      <c r="F435" s="626"/>
      <c r="G435" s="838">
        <f ca="1">$E435*(SUMIF(INDIRECT(G$3),'Struktur Vorjahr'!$D435,INDIRECT(G$5)))-G421</f>
        <v>0</v>
      </c>
      <c r="H435" s="838">
        <f ca="1">$E435*(SUMIF(INDIRECT(H$3),'Struktur Vorjahr'!$D435,INDIRECT(H$5)))-H421</f>
        <v>0</v>
      </c>
      <c r="I435" s="838">
        <f ca="1">$E435*(SUMIF(INDIRECT(I$3),'Struktur Vorjahr'!$D435,INDIRECT(I$5)))-I421</f>
        <v>0</v>
      </c>
      <c r="J435" s="838">
        <f ca="1">$E435*(SUMIF(INDIRECT(J$3),'Struktur Vorjahr'!$D435,INDIRECT(J$5)))-J421</f>
        <v>0</v>
      </c>
      <c r="K435" s="838">
        <f ca="1">$E435*(SUMIF(INDIRECT(K$3),'Struktur Vorjahr'!$D435,INDIRECT(K$5)))-K421</f>
        <v>0</v>
      </c>
      <c r="L435" s="838">
        <f ca="1">$E435*(SUMIF(INDIRECT(L$3),'Struktur Vorjahr'!$D435,INDIRECT(L$5)))-L421</f>
        <v>0</v>
      </c>
      <c r="M435" s="838">
        <f ca="1">$E435*(SUMIF(INDIRECT(M$3),'Struktur Vorjahr'!$D435,INDIRECT(M$5)))-M421</f>
        <v>0</v>
      </c>
      <c r="N435" s="838">
        <f ca="1">$E435*(SUMIF(INDIRECT(N$3),'Struktur Vorjahr'!$D435,INDIRECT(N$5)))-N421</f>
        <v>0</v>
      </c>
      <c r="O435" s="838">
        <f ca="1">$E435*(SUMIF(INDIRECT(O$3),'Struktur Vorjahr'!$D435,INDIRECT(O$5)))-O421</f>
        <v>0</v>
      </c>
      <c r="P435" s="838">
        <f ca="1">$E435*(SUMIF(INDIRECT(P$3),'Struktur Vorjahr'!$D435,INDIRECT(P$5)))-P421</f>
        <v>0</v>
      </c>
      <c r="Q435" s="593">
        <f ca="1">$E435*(SUMIF(INDIRECT(Q$3),'Struktur Vorjahr'!$D435,INDIRECT(Q$5)))-Q421</f>
        <v>0</v>
      </c>
      <c r="R435" s="593">
        <f ca="1">$E435*(SUMIF(INDIRECT(R$3),'Struktur Vorjahr'!$D435,INDIRECT(R$5)))-R421</f>
        <v>0</v>
      </c>
      <c r="S435" s="838">
        <f ca="1">$E435*(SUMIF(INDIRECT(S$3),'Struktur Vorjahr'!$D435,INDIRECT(S$5)))-S421</f>
        <v>0</v>
      </c>
      <c r="T435" s="838">
        <f ca="1">$E435*(SUMIF(INDIRECT(T$3),'Struktur Vorjahr'!$D435,INDIRECT(T$5)))-T421</f>
        <v>0</v>
      </c>
      <c r="U435" s="838">
        <f ca="1">$E435*(SUMIF(INDIRECT(U$3),'Struktur Vorjahr'!$D435,INDIRECT(U$5)))-U421</f>
        <v>0</v>
      </c>
      <c r="V435" s="838">
        <f ca="1">$E435*(SUMIF(INDIRECT(V$3),'Struktur Vorjahr'!$D435,INDIRECT(V$5)))-V421</f>
        <v>0</v>
      </c>
      <c r="W435" s="838">
        <f ca="1">$E435*(SUMIF(INDIRECT(W$3),'Struktur Vorjahr'!$D435,INDIRECT(W$5)))-W421</f>
        <v>0</v>
      </c>
      <c r="X435" s="838">
        <f ca="1">$E435*(SUMIF(INDIRECT(X$3),'Struktur Vorjahr'!$D435,INDIRECT(X$5)))-X421</f>
        <v>0</v>
      </c>
      <c r="Y435" s="838">
        <f ca="1">$E435*(SUMIF(INDIRECT(Y$3),'Struktur Vorjahr'!$D435,INDIRECT(Y$5)))-Y421</f>
        <v>0</v>
      </c>
      <c r="Z435" s="838">
        <f ca="1">$E435*(SUMIF(INDIRECT(Z$3),'Struktur Vorjahr'!$D435,INDIRECT(Z$5)))-Z421</f>
        <v>0</v>
      </c>
      <c r="AA435" s="838">
        <f ca="1">$E435*(SUMIF(INDIRECT(AA$3),'Struktur Vorjahr'!$D435,INDIRECT(AA$5)))-AA421</f>
        <v>0</v>
      </c>
      <c r="AB435" s="838">
        <f ca="1">$E435*(SUMIF(INDIRECT(AB$3),'Struktur Vorjahr'!$D435,INDIRECT(AB$5)))-AB421</f>
        <v>0</v>
      </c>
      <c r="AC435" s="593">
        <f ca="1">$E435*(SUMIF(INDIRECT(AC$3),'Struktur Vorjahr'!$D435,INDIRECT(AC$5)))-AC421</f>
        <v>0</v>
      </c>
      <c r="AD435" s="593">
        <f ca="1">$E435*(SUMIF(INDIRECT(AD$3),'Struktur Vorjahr'!$D435,INDIRECT(AD$5)))-AD421</f>
        <v>0</v>
      </c>
      <c r="AE435" s="593">
        <f t="shared" ca="1" si="219"/>
        <v>0</v>
      </c>
      <c r="AF435" s="593">
        <f t="shared" ca="1" si="220"/>
        <v>0</v>
      </c>
      <c r="AG435" s="593">
        <f t="shared" ca="1" si="220"/>
        <v>0</v>
      </c>
      <c r="AH435" s="593">
        <f t="shared" ca="1" si="220"/>
        <v>0</v>
      </c>
      <c r="AI435" s="593">
        <f t="shared" ca="1" si="220"/>
        <v>0</v>
      </c>
      <c r="AJ435" s="593">
        <f t="shared" ca="1" si="220"/>
        <v>0</v>
      </c>
      <c r="AK435" s="593">
        <f t="shared" ca="1" si="220"/>
        <v>0</v>
      </c>
      <c r="AL435" s="593">
        <f t="shared" ca="1" si="220"/>
        <v>0</v>
      </c>
      <c r="AM435" s="593">
        <f t="shared" ca="1" si="220"/>
        <v>0</v>
      </c>
      <c r="AN435" s="593">
        <f t="shared" ca="1" si="220"/>
        <v>0</v>
      </c>
      <c r="AO435" s="593">
        <f t="shared" ca="1" si="220"/>
        <v>0</v>
      </c>
      <c r="AP435" s="593">
        <f t="shared" ca="1" si="220"/>
        <v>0</v>
      </c>
    </row>
    <row r="436" spans="1:42" s="594" customFormat="1" ht="11.25" outlineLevel="1" x14ac:dyDescent="0.2">
      <c r="A436" s="644"/>
      <c r="B436" s="591" t="str">
        <f>IF(D436&lt;&gt;"",
IF(ISERROR(MATCH(D436,'Ist Vorjahr Monat 01'!A:A,0))=FALSE,INDEX('Ist Vorjahr Monat 01'!B:B,MATCH(D436,'Ist Vorjahr Monat 01'!A:A,0)),
IF(ISERROR(MATCH(D436,'Ist Vorjahr Monat 02'!A:A,0))=FALSE,INDEX('Ist Vorjahr Monat 02'!B:B,MATCH(D436,'Ist Vorjahr Monat 02'!A:A,0)),
IF(ISERROR(MATCH(D436,'Ist Vorjahr Monat 03'!A:A,0))=FALSE,INDEX('Ist Vorjahr Monat 03'!B:B,MATCH(D436,'Ist Vorjahr Monat 03'!A:A,0)),
IF(ISERROR(MATCH(D436,'Ist Vorjahr Monat 04'!A:A,0))=FALSE,INDEX('Ist Vorjahr Monat 04'!B:B,MATCH(D436,'Ist Vorjahr Monat 04'!A:A,0)),
IF(ISERROR(MATCH(D436,'Ist Vorjahr Monat 05'!A:A,0))=FALSE,INDEX('Ist Vorjahr Monat 05'!B:B,MATCH(D436,'Ist Vorjahr Monat 05'!A:A,0)),
IF(ISERROR(MATCH(D436,'Ist Vorjahr Monat 06'!A:A,0))=FALSE,INDEX('Ist Vorjahr Monat 06'!B:B,MATCH(D436,'Ist Vorjahr Monat 06'!A:A,0)),
IF(ISERROR(MATCH(D436,'Ist Vorjahr Monat 07'!A:A,0))=FALSE,INDEX('Ist Vorjahr Monat 07'!B:B,MATCH(D436,'Ist Vorjahr Monat 07'!A:A,0)),
IF(ISERROR(MATCH(D436,'Ist Vorjahr Monat 08'!A:A,0))=FALSE,INDEX('Ist Vorjahr Monat 08'!B:B,MATCH(D436,'Ist Vorjahr Monat 08'!A:A,0)),
IF(ISERROR(MATCH(D436,'Ist Vorjahr Monat 09'!A:A,0))=FALSE,INDEX('Ist Vorjahr Monat 09'!B:B,MATCH(D436,'Ist Vorjahr Monat 09'!A:A,0)),
IF(ISERROR(MATCH(D436,'Ist Vorjahr Monat 10'!A:A,0))=FALSE,INDEX('Ist Vorjahr Monat 10'!B:B,MATCH(D436,'Ist Vorjahr Monat 10'!A:A,0)),
IF(ISERROR(MATCH(D436,'Ist Vorjahr Monat 11'!A:A,0))=FALSE,INDEX('Ist Vorjahr Monat 11'!B:B,MATCH(D436,'Ist Vorjahr Monat 11'!A:A,0)),
IF(ISERROR(MATCH(D436,'Ist Vorjahr Monat 12'!A:A,0))=FALSE,INDEX('Ist Vorjahr Monat 12'!B:B,MATCH(D436,'Ist Vorjahr Monat 12'!A:A,0)),
"{Konto unbekannt}"
)))))))))))),"")</f>
        <v/>
      </c>
      <c r="C436" s="1062"/>
      <c r="D436" s="1067"/>
      <c r="E436" s="625">
        <f t="shared" si="221"/>
        <v>1</v>
      </c>
      <c r="F436" s="626"/>
      <c r="G436" s="838">
        <f ca="1">$E436*(SUMIF(INDIRECT(G$3),'Struktur Vorjahr'!$D436,INDIRECT(G$5)))-G422</f>
        <v>0</v>
      </c>
      <c r="H436" s="838">
        <f ca="1">$E436*(SUMIF(INDIRECT(H$3),'Struktur Vorjahr'!$D436,INDIRECT(H$5)))-H422</f>
        <v>0</v>
      </c>
      <c r="I436" s="838">
        <f ca="1">$E436*(SUMIF(INDIRECT(I$3),'Struktur Vorjahr'!$D436,INDIRECT(I$5)))-I422</f>
        <v>0</v>
      </c>
      <c r="J436" s="838">
        <f ca="1">$E436*(SUMIF(INDIRECT(J$3),'Struktur Vorjahr'!$D436,INDIRECT(J$5)))-J422</f>
        <v>0</v>
      </c>
      <c r="K436" s="838">
        <f ca="1">$E436*(SUMIF(INDIRECT(K$3),'Struktur Vorjahr'!$D436,INDIRECT(K$5)))-K422</f>
        <v>0</v>
      </c>
      <c r="L436" s="838">
        <f ca="1">$E436*(SUMIF(INDIRECT(L$3),'Struktur Vorjahr'!$D436,INDIRECT(L$5)))-L422</f>
        <v>0</v>
      </c>
      <c r="M436" s="838">
        <f ca="1">$E436*(SUMIF(INDIRECT(M$3),'Struktur Vorjahr'!$D436,INDIRECT(M$5)))-M422</f>
        <v>0</v>
      </c>
      <c r="N436" s="838">
        <f ca="1">$E436*(SUMIF(INDIRECT(N$3),'Struktur Vorjahr'!$D436,INDIRECT(N$5)))-N422</f>
        <v>0</v>
      </c>
      <c r="O436" s="838">
        <f ca="1">$E436*(SUMIF(INDIRECT(O$3),'Struktur Vorjahr'!$D436,INDIRECT(O$5)))-O422</f>
        <v>0</v>
      </c>
      <c r="P436" s="838">
        <f ca="1">$E436*(SUMIF(INDIRECT(P$3),'Struktur Vorjahr'!$D436,INDIRECT(P$5)))-P422</f>
        <v>0</v>
      </c>
      <c r="Q436" s="593">
        <f ca="1">$E436*(SUMIF(INDIRECT(Q$3),'Struktur Vorjahr'!$D436,INDIRECT(Q$5)))-Q422</f>
        <v>0</v>
      </c>
      <c r="R436" s="593">
        <f ca="1">$E436*(SUMIF(INDIRECT(R$3),'Struktur Vorjahr'!$D436,INDIRECT(R$5)))-R422</f>
        <v>0</v>
      </c>
      <c r="S436" s="838">
        <f ca="1">$E436*(SUMIF(INDIRECT(S$3),'Struktur Vorjahr'!$D436,INDIRECT(S$5)))-S422</f>
        <v>0</v>
      </c>
      <c r="T436" s="838">
        <f ca="1">$E436*(SUMIF(INDIRECT(T$3),'Struktur Vorjahr'!$D436,INDIRECT(T$5)))-T422</f>
        <v>0</v>
      </c>
      <c r="U436" s="838">
        <f ca="1">$E436*(SUMIF(INDIRECT(U$3),'Struktur Vorjahr'!$D436,INDIRECT(U$5)))-U422</f>
        <v>0</v>
      </c>
      <c r="V436" s="838">
        <f ca="1">$E436*(SUMIF(INDIRECT(V$3),'Struktur Vorjahr'!$D436,INDIRECT(V$5)))-V422</f>
        <v>0</v>
      </c>
      <c r="W436" s="838">
        <f ca="1">$E436*(SUMIF(INDIRECT(W$3),'Struktur Vorjahr'!$D436,INDIRECT(W$5)))-W422</f>
        <v>0</v>
      </c>
      <c r="X436" s="838">
        <f ca="1">$E436*(SUMIF(INDIRECT(X$3),'Struktur Vorjahr'!$D436,INDIRECT(X$5)))-X422</f>
        <v>0</v>
      </c>
      <c r="Y436" s="838">
        <f ca="1">$E436*(SUMIF(INDIRECT(Y$3),'Struktur Vorjahr'!$D436,INDIRECT(Y$5)))-Y422</f>
        <v>0</v>
      </c>
      <c r="Z436" s="838">
        <f ca="1">$E436*(SUMIF(INDIRECT(Z$3),'Struktur Vorjahr'!$D436,INDIRECT(Z$5)))-Z422</f>
        <v>0</v>
      </c>
      <c r="AA436" s="838">
        <f ca="1">$E436*(SUMIF(INDIRECT(AA$3),'Struktur Vorjahr'!$D436,INDIRECT(AA$5)))-AA422</f>
        <v>0</v>
      </c>
      <c r="AB436" s="838">
        <f ca="1">$E436*(SUMIF(INDIRECT(AB$3),'Struktur Vorjahr'!$D436,INDIRECT(AB$5)))-AB422</f>
        <v>0</v>
      </c>
      <c r="AC436" s="593">
        <f ca="1">$E436*(SUMIF(INDIRECT(AC$3),'Struktur Vorjahr'!$D436,INDIRECT(AC$5)))-AC422</f>
        <v>0</v>
      </c>
      <c r="AD436" s="593">
        <f ca="1">$E436*(SUMIF(INDIRECT(AD$3),'Struktur Vorjahr'!$D436,INDIRECT(AD$5)))-AD422</f>
        <v>0</v>
      </c>
      <c r="AE436" s="593">
        <f t="shared" ca="1" si="219"/>
        <v>0</v>
      </c>
      <c r="AF436" s="593">
        <f t="shared" ca="1" si="220"/>
        <v>0</v>
      </c>
      <c r="AG436" s="593">
        <f t="shared" ca="1" si="220"/>
        <v>0</v>
      </c>
      <c r="AH436" s="593">
        <f t="shared" ca="1" si="220"/>
        <v>0</v>
      </c>
      <c r="AI436" s="593">
        <f t="shared" ca="1" si="220"/>
        <v>0</v>
      </c>
      <c r="AJ436" s="593">
        <f t="shared" ca="1" si="220"/>
        <v>0</v>
      </c>
      <c r="AK436" s="593">
        <f t="shared" ca="1" si="220"/>
        <v>0</v>
      </c>
      <c r="AL436" s="593">
        <f t="shared" ca="1" si="220"/>
        <v>0</v>
      </c>
      <c r="AM436" s="593">
        <f t="shared" ca="1" si="220"/>
        <v>0</v>
      </c>
      <c r="AN436" s="593">
        <f t="shared" ca="1" si="220"/>
        <v>0</v>
      </c>
      <c r="AO436" s="593">
        <f t="shared" ca="1" si="220"/>
        <v>0</v>
      </c>
      <c r="AP436" s="593">
        <f t="shared" ca="1" si="220"/>
        <v>0</v>
      </c>
    </row>
    <row r="437" spans="1:42" s="594" customFormat="1" ht="11.25" outlineLevel="1" x14ac:dyDescent="0.2">
      <c r="A437" s="644"/>
      <c r="B437" s="591" t="str">
        <f>IF(D437&lt;&gt;"",
IF(ISERROR(MATCH(D437,'Ist Vorjahr Monat 01'!A:A,0))=FALSE,INDEX('Ist Vorjahr Monat 01'!B:B,MATCH(D437,'Ist Vorjahr Monat 01'!A:A,0)),
IF(ISERROR(MATCH(D437,'Ist Vorjahr Monat 02'!A:A,0))=FALSE,INDEX('Ist Vorjahr Monat 02'!B:B,MATCH(D437,'Ist Vorjahr Monat 02'!A:A,0)),
IF(ISERROR(MATCH(D437,'Ist Vorjahr Monat 03'!A:A,0))=FALSE,INDEX('Ist Vorjahr Monat 03'!B:B,MATCH(D437,'Ist Vorjahr Monat 03'!A:A,0)),
IF(ISERROR(MATCH(D437,'Ist Vorjahr Monat 04'!A:A,0))=FALSE,INDEX('Ist Vorjahr Monat 04'!B:B,MATCH(D437,'Ist Vorjahr Monat 04'!A:A,0)),
IF(ISERROR(MATCH(D437,'Ist Vorjahr Monat 05'!A:A,0))=FALSE,INDEX('Ist Vorjahr Monat 05'!B:B,MATCH(D437,'Ist Vorjahr Monat 05'!A:A,0)),
IF(ISERROR(MATCH(D437,'Ist Vorjahr Monat 06'!A:A,0))=FALSE,INDEX('Ist Vorjahr Monat 06'!B:B,MATCH(D437,'Ist Vorjahr Monat 06'!A:A,0)),
IF(ISERROR(MATCH(D437,'Ist Vorjahr Monat 07'!A:A,0))=FALSE,INDEX('Ist Vorjahr Monat 07'!B:B,MATCH(D437,'Ist Vorjahr Monat 07'!A:A,0)),
IF(ISERROR(MATCH(D437,'Ist Vorjahr Monat 08'!A:A,0))=FALSE,INDEX('Ist Vorjahr Monat 08'!B:B,MATCH(D437,'Ist Vorjahr Monat 08'!A:A,0)),
IF(ISERROR(MATCH(D437,'Ist Vorjahr Monat 09'!A:A,0))=FALSE,INDEX('Ist Vorjahr Monat 09'!B:B,MATCH(D437,'Ist Vorjahr Monat 09'!A:A,0)),
IF(ISERROR(MATCH(D437,'Ist Vorjahr Monat 10'!A:A,0))=FALSE,INDEX('Ist Vorjahr Monat 10'!B:B,MATCH(D437,'Ist Vorjahr Monat 10'!A:A,0)),
IF(ISERROR(MATCH(D437,'Ist Vorjahr Monat 11'!A:A,0))=FALSE,INDEX('Ist Vorjahr Monat 11'!B:B,MATCH(D437,'Ist Vorjahr Monat 11'!A:A,0)),
IF(ISERROR(MATCH(D437,'Ist Vorjahr Monat 12'!A:A,0))=FALSE,INDEX('Ist Vorjahr Monat 12'!B:B,MATCH(D437,'Ist Vorjahr Monat 12'!A:A,0)),
"{Konto unbekannt}"
)))))))))))),"")</f>
        <v/>
      </c>
      <c r="C437" s="1062"/>
      <c r="D437" s="1067"/>
      <c r="E437" s="625">
        <f t="shared" si="221"/>
        <v>1</v>
      </c>
      <c r="F437" s="626"/>
      <c r="G437" s="593">
        <f ca="1">$E437*(SUMIF(INDIRECT(G$3),'Struktur Vorjahr'!$D437,INDIRECT(G$5)))</f>
        <v>0</v>
      </c>
      <c r="H437" s="593">
        <f ca="1">$E437*(SUMIF(INDIRECT(H$3),'Struktur Vorjahr'!$D437,INDIRECT(H$5)))</f>
        <v>0</v>
      </c>
      <c r="I437" s="593">
        <f ca="1">$E437*(SUMIF(INDIRECT(I$3),'Struktur Vorjahr'!$D437,INDIRECT(I$5)))</f>
        <v>0</v>
      </c>
      <c r="J437" s="593">
        <f ca="1">$E437*(SUMIF(INDIRECT(J$3),'Struktur Vorjahr'!$D437,INDIRECT(J$5)))</f>
        <v>0</v>
      </c>
      <c r="K437" s="593">
        <f ca="1">$E437*(SUMIF(INDIRECT(K$3),'Struktur Vorjahr'!$D437,INDIRECT(K$5)))</f>
        <v>0</v>
      </c>
      <c r="L437" s="593">
        <f ca="1">$E437*(SUMIF(INDIRECT(L$3),'Struktur Vorjahr'!$D437,INDIRECT(L$5)))</f>
        <v>0</v>
      </c>
      <c r="M437" s="593">
        <f ca="1">$E437*(SUMIF(INDIRECT(M$3),'Struktur Vorjahr'!$D437,INDIRECT(M$5)))</f>
        <v>0</v>
      </c>
      <c r="N437" s="838">
        <f ca="1">$E437*(SUMIF(INDIRECT(N$3),'Struktur Vorjahr'!$D437,INDIRECT(N$5)))</f>
        <v>0</v>
      </c>
      <c r="O437" s="593">
        <f ca="1">$E437*(SUMIF(INDIRECT(O$3),'Struktur Vorjahr'!$D437,INDIRECT(O$5)))</f>
        <v>0</v>
      </c>
      <c r="P437" s="593">
        <f ca="1">$E437*(SUMIF(INDIRECT(P$3),'Struktur Vorjahr'!$D437,INDIRECT(P$5)))</f>
        <v>0</v>
      </c>
      <c r="Q437" s="593">
        <f ca="1">$E437*(SUMIF(INDIRECT(Q$3),'Struktur Vorjahr'!$D437,INDIRECT(Q$5)))</f>
        <v>0</v>
      </c>
      <c r="R437" s="593">
        <f ca="1">$E437*(SUMIF(INDIRECT(R$3),'Struktur Vorjahr'!$D437,INDIRECT(R$5)))</f>
        <v>0</v>
      </c>
      <c r="S437" s="593">
        <f ca="1">$E437*(SUMIF(INDIRECT(S$3),'Struktur Vorjahr'!$D437,INDIRECT(S$5)))</f>
        <v>0</v>
      </c>
      <c r="T437" s="593">
        <f ca="1">$E437*(SUMIF(INDIRECT(T$3),'Struktur Vorjahr'!$D437,INDIRECT(T$5)))</f>
        <v>0</v>
      </c>
      <c r="U437" s="593">
        <f ca="1">$E437*(SUMIF(INDIRECT(U$3),'Struktur Vorjahr'!$D437,INDIRECT(U$5)))</f>
        <v>0</v>
      </c>
      <c r="V437" s="593">
        <f ca="1">$E437*(SUMIF(INDIRECT(V$3),'Struktur Vorjahr'!$D437,INDIRECT(V$5)))</f>
        <v>0</v>
      </c>
      <c r="W437" s="593">
        <f ca="1">$E437*(SUMIF(INDIRECT(W$3),'Struktur Vorjahr'!$D437,INDIRECT(W$5)))</f>
        <v>0</v>
      </c>
      <c r="X437" s="593">
        <f ca="1">$E437*(SUMIF(INDIRECT(X$3),'Struktur Vorjahr'!$D437,INDIRECT(X$5)))</f>
        <v>0</v>
      </c>
      <c r="Y437" s="593">
        <f ca="1">$E437*(SUMIF(INDIRECT(Y$3),'Struktur Vorjahr'!$D437,INDIRECT(Y$5)))</f>
        <v>0</v>
      </c>
      <c r="Z437" s="838">
        <f ca="1">$E437*(SUMIF(INDIRECT(Z$3),'Struktur Vorjahr'!$D437,INDIRECT(Z$5)))</f>
        <v>0</v>
      </c>
      <c r="AA437" s="593">
        <f ca="1">$E437*(SUMIF(INDIRECT(AA$3),'Struktur Vorjahr'!$D437,INDIRECT(AA$5)))</f>
        <v>0</v>
      </c>
      <c r="AB437" s="593">
        <f ca="1">$E437*(SUMIF(INDIRECT(AB$3),'Struktur Vorjahr'!$D437,INDIRECT(AB$5)))</f>
        <v>0</v>
      </c>
      <c r="AC437" s="593">
        <f ca="1">$E437*(SUMIF(INDIRECT(AC$3),'Struktur Vorjahr'!$D437,INDIRECT(AC$5)))</f>
        <v>0</v>
      </c>
      <c r="AD437" s="593">
        <f ca="1">$E437*(SUMIF(INDIRECT(AD$3),'Struktur Vorjahr'!$D437,INDIRECT(AD$5)))</f>
        <v>0</v>
      </c>
      <c r="AE437" s="593">
        <f t="shared" ca="1" si="219"/>
        <v>0</v>
      </c>
      <c r="AF437" s="593">
        <f t="shared" ca="1" si="220"/>
        <v>0</v>
      </c>
      <c r="AG437" s="593">
        <f t="shared" ca="1" si="220"/>
        <v>0</v>
      </c>
      <c r="AH437" s="593">
        <f t="shared" ca="1" si="220"/>
        <v>0</v>
      </c>
      <c r="AI437" s="593">
        <f t="shared" ca="1" si="220"/>
        <v>0</v>
      </c>
      <c r="AJ437" s="593">
        <f t="shared" ca="1" si="220"/>
        <v>0</v>
      </c>
      <c r="AK437" s="593">
        <f t="shared" ca="1" si="220"/>
        <v>0</v>
      </c>
      <c r="AL437" s="593">
        <f t="shared" ca="1" si="220"/>
        <v>0</v>
      </c>
      <c r="AM437" s="593">
        <f t="shared" ca="1" si="220"/>
        <v>0</v>
      </c>
      <c r="AN437" s="593">
        <f t="shared" ca="1" si="220"/>
        <v>0</v>
      </c>
      <c r="AO437" s="593">
        <f t="shared" ca="1" si="220"/>
        <v>0</v>
      </c>
      <c r="AP437" s="593">
        <f t="shared" ca="1" si="220"/>
        <v>0</v>
      </c>
    </row>
    <row r="438" spans="1:42" s="594" customFormat="1" ht="11.25" outlineLevel="1" x14ac:dyDescent="0.2">
      <c r="A438" s="644"/>
      <c r="B438" s="591" t="str">
        <f>IF(D438&lt;&gt;"",
IF(ISERROR(MATCH(D438,'Ist Vorjahr Monat 01'!A:A,0))=FALSE,INDEX('Ist Vorjahr Monat 01'!B:B,MATCH(D438,'Ist Vorjahr Monat 01'!A:A,0)),
IF(ISERROR(MATCH(D438,'Ist Vorjahr Monat 02'!A:A,0))=FALSE,INDEX('Ist Vorjahr Monat 02'!B:B,MATCH(D438,'Ist Vorjahr Monat 02'!A:A,0)),
IF(ISERROR(MATCH(D438,'Ist Vorjahr Monat 03'!A:A,0))=FALSE,INDEX('Ist Vorjahr Monat 03'!B:B,MATCH(D438,'Ist Vorjahr Monat 03'!A:A,0)),
IF(ISERROR(MATCH(D438,'Ist Vorjahr Monat 04'!A:A,0))=FALSE,INDEX('Ist Vorjahr Monat 04'!B:B,MATCH(D438,'Ist Vorjahr Monat 04'!A:A,0)),
IF(ISERROR(MATCH(D438,'Ist Vorjahr Monat 05'!A:A,0))=FALSE,INDEX('Ist Vorjahr Monat 05'!B:B,MATCH(D438,'Ist Vorjahr Monat 05'!A:A,0)),
IF(ISERROR(MATCH(D438,'Ist Vorjahr Monat 06'!A:A,0))=FALSE,INDEX('Ist Vorjahr Monat 06'!B:B,MATCH(D438,'Ist Vorjahr Monat 06'!A:A,0)),
IF(ISERROR(MATCH(D438,'Ist Vorjahr Monat 07'!A:A,0))=FALSE,INDEX('Ist Vorjahr Monat 07'!B:B,MATCH(D438,'Ist Vorjahr Monat 07'!A:A,0)),
IF(ISERROR(MATCH(D438,'Ist Vorjahr Monat 08'!A:A,0))=FALSE,INDEX('Ist Vorjahr Monat 08'!B:B,MATCH(D438,'Ist Vorjahr Monat 08'!A:A,0)),
IF(ISERROR(MATCH(D438,'Ist Vorjahr Monat 09'!A:A,0))=FALSE,INDEX('Ist Vorjahr Monat 09'!B:B,MATCH(D438,'Ist Vorjahr Monat 09'!A:A,0)),
IF(ISERROR(MATCH(D438,'Ist Vorjahr Monat 10'!A:A,0))=FALSE,INDEX('Ist Vorjahr Monat 10'!B:B,MATCH(D438,'Ist Vorjahr Monat 10'!A:A,0)),
IF(ISERROR(MATCH(D438,'Ist Vorjahr Monat 11'!A:A,0))=FALSE,INDEX('Ist Vorjahr Monat 11'!B:B,MATCH(D438,'Ist Vorjahr Monat 11'!A:A,0)),
IF(ISERROR(MATCH(D438,'Ist Vorjahr Monat 12'!A:A,0))=FALSE,INDEX('Ist Vorjahr Monat 12'!B:B,MATCH(D438,'Ist Vorjahr Monat 12'!A:A,0)),
"{Konto unbekannt}"
)))))))))))),"")</f>
        <v/>
      </c>
      <c r="C438" s="1062"/>
      <c r="D438" s="1067"/>
      <c r="E438" s="625">
        <f t="shared" si="221"/>
        <v>1</v>
      </c>
      <c r="F438" s="626"/>
      <c r="G438" s="593">
        <f ca="1">$E438*(SUMIF(INDIRECT(G$3),'Struktur Vorjahr'!$D438,INDIRECT(G$5)))</f>
        <v>0</v>
      </c>
      <c r="H438" s="593">
        <f ca="1">$E438*(SUMIF(INDIRECT(H$3),'Struktur Vorjahr'!$D438,INDIRECT(H$5)))</f>
        <v>0</v>
      </c>
      <c r="I438" s="593">
        <f ca="1">$E438*(SUMIF(INDIRECT(I$3),'Struktur Vorjahr'!$D438,INDIRECT(I$5)))</f>
        <v>0</v>
      </c>
      <c r="J438" s="593">
        <f ca="1">$E438*(SUMIF(INDIRECT(J$3),'Struktur Vorjahr'!$D438,INDIRECT(J$5)))</f>
        <v>0</v>
      </c>
      <c r="K438" s="593">
        <f ca="1">$E438*(SUMIF(INDIRECT(K$3),'Struktur Vorjahr'!$D438,INDIRECT(K$5)))</f>
        <v>0</v>
      </c>
      <c r="L438" s="593">
        <f ca="1">$E438*(SUMIF(INDIRECT(L$3),'Struktur Vorjahr'!$D438,INDIRECT(L$5)))</f>
        <v>0</v>
      </c>
      <c r="M438" s="593">
        <f ca="1">$E438*(SUMIF(INDIRECT(M$3),'Struktur Vorjahr'!$D438,INDIRECT(M$5)))</f>
        <v>0</v>
      </c>
      <c r="N438" s="838">
        <f ca="1">$E438*(SUMIF(INDIRECT(N$3),'Struktur Vorjahr'!$D438,INDIRECT(N$5)))</f>
        <v>0</v>
      </c>
      <c r="O438" s="593">
        <f ca="1">$E438*(SUMIF(INDIRECT(O$3),'Struktur Vorjahr'!$D438,INDIRECT(O$5)))</f>
        <v>0</v>
      </c>
      <c r="P438" s="593">
        <f ca="1">$E438*(SUMIF(INDIRECT(P$3),'Struktur Vorjahr'!$D438,INDIRECT(P$5)))</f>
        <v>0</v>
      </c>
      <c r="Q438" s="593">
        <f ca="1">$E438*(SUMIF(INDIRECT(Q$3),'Struktur Vorjahr'!$D438,INDIRECT(Q$5)))</f>
        <v>0</v>
      </c>
      <c r="R438" s="593">
        <f ca="1">$E438*(SUMIF(INDIRECT(R$3),'Struktur Vorjahr'!$D438,INDIRECT(R$5)))</f>
        <v>0</v>
      </c>
      <c r="S438" s="593">
        <f ca="1">$E438*(SUMIF(INDIRECT(S$3),'Struktur Vorjahr'!$D438,INDIRECT(S$5)))</f>
        <v>0</v>
      </c>
      <c r="T438" s="593">
        <f ca="1">$E438*(SUMIF(INDIRECT(T$3),'Struktur Vorjahr'!$D438,INDIRECT(T$5)))</f>
        <v>0</v>
      </c>
      <c r="U438" s="593">
        <f ca="1">$E438*(SUMIF(INDIRECT(U$3),'Struktur Vorjahr'!$D438,INDIRECT(U$5)))</f>
        <v>0</v>
      </c>
      <c r="V438" s="593">
        <f ca="1">$E438*(SUMIF(INDIRECT(V$3),'Struktur Vorjahr'!$D438,INDIRECT(V$5)))</f>
        <v>0</v>
      </c>
      <c r="W438" s="593">
        <f ca="1">$E438*(SUMIF(INDIRECT(W$3),'Struktur Vorjahr'!$D438,INDIRECT(W$5)))</f>
        <v>0</v>
      </c>
      <c r="X438" s="593">
        <f ca="1">$E438*(SUMIF(INDIRECT(X$3),'Struktur Vorjahr'!$D438,INDIRECT(X$5)))</f>
        <v>0</v>
      </c>
      <c r="Y438" s="593">
        <f ca="1">$E438*(SUMIF(INDIRECT(Y$3),'Struktur Vorjahr'!$D438,INDIRECT(Y$5)))</f>
        <v>0</v>
      </c>
      <c r="Z438" s="838">
        <f ca="1">$E438*(SUMIF(INDIRECT(Z$3),'Struktur Vorjahr'!$D438,INDIRECT(Z$5)))</f>
        <v>0</v>
      </c>
      <c r="AA438" s="593">
        <f ca="1">$E438*(SUMIF(INDIRECT(AA$3),'Struktur Vorjahr'!$D438,INDIRECT(AA$5)))</f>
        <v>0</v>
      </c>
      <c r="AB438" s="593">
        <f ca="1">$E438*(SUMIF(INDIRECT(AB$3),'Struktur Vorjahr'!$D438,INDIRECT(AB$5)))</f>
        <v>0</v>
      </c>
      <c r="AC438" s="593">
        <f ca="1">$E438*(SUMIF(INDIRECT(AC$3),'Struktur Vorjahr'!$D438,INDIRECT(AC$5)))</f>
        <v>0</v>
      </c>
      <c r="AD438" s="593">
        <f ca="1">$E438*(SUMIF(INDIRECT(AD$3),'Struktur Vorjahr'!$D438,INDIRECT(AD$5)))</f>
        <v>0</v>
      </c>
      <c r="AE438" s="593">
        <f t="shared" ca="1" si="219"/>
        <v>0</v>
      </c>
      <c r="AF438" s="593">
        <f t="shared" ca="1" si="220"/>
        <v>0</v>
      </c>
      <c r="AG438" s="593">
        <f t="shared" ca="1" si="220"/>
        <v>0</v>
      </c>
      <c r="AH438" s="593">
        <f t="shared" ca="1" si="220"/>
        <v>0</v>
      </c>
      <c r="AI438" s="593">
        <f t="shared" ca="1" si="220"/>
        <v>0</v>
      </c>
      <c r="AJ438" s="593">
        <f t="shared" ca="1" si="220"/>
        <v>0</v>
      </c>
      <c r="AK438" s="593">
        <f t="shared" ca="1" si="220"/>
        <v>0</v>
      </c>
      <c r="AL438" s="593">
        <f t="shared" ca="1" si="220"/>
        <v>0</v>
      </c>
      <c r="AM438" s="593">
        <f t="shared" ca="1" si="220"/>
        <v>0</v>
      </c>
      <c r="AN438" s="593">
        <f t="shared" ca="1" si="220"/>
        <v>0</v>
      </c>
      <c r="AO438" s="593">
        <f t="shared" ca="1" si="220"/>
        <v>0</v>
      </c>
      <c r="AP438" s="593">
        <f t="shared" ca="1" si="220"/>
        <v>0</v>
      </c>
    </row>
    <row r="439" spans="1:42" s="594" customFormat="1" ht="11.25" outlineLevel="1" x14ac:dyDescent="0.2">
      <c r="A439" s="644"/>
      <c r="B439" s="591" t="str">
        <f>IF(D439&lt;&gt;"",
IF(ISERROR(MATCH(D439,'Ist Vorjahr Monat 01'!A:A,0))=FALSE,INDEX('Ist Vorjahr Monat 01'!B:B,MATCH(D439,'Ist Vorjahr Monat 01'!A:A,0)),
IF(ISERROR(MATCH(D439,'Ist Vorjahr Monat 02'!A:A,0))=FALSE,INDEX('Ist Vorjahr Monat 02'!B:B,MATCH(D439,'Ist Vorjahr Monat 02'!A:A,0)),
IF(ISERROR(MATCH(D439,'Ist Vorjahr Monat 03'!A:A,0))=FALSE,INDEX('Ist Vorjahr Monat 03'!B:B,MATCH(D439,'Ist Vorjahr Monat 03'!A:A,0)),
IF(ISERROR(MATCH(D439,'Ist Vorjahr Monat 04'!A:A,0))=FALSE,INDEX('Ist Vorjahr Monat 04'!B:B,MATCH(D439,'Ist Vorjahr Monat 04'!A:A,0)),
IF(ISERROR(MATCH(D439,'Ist Vorjahr Monat 05'!A:A,0))=FALSE,INDEX('Ist Vorjahr Monat 05'!B:B,MATCH(D439,'Ist Vorjahr Monat 05'!A:A,0)),
IF(ISERROR(MATCH(D439,'Ist Vorjahr Monat 06'!A:A,0))=FALSE,INDEX('Ist Vorjahr Monat 06'!B:B,MATCH(D439,'Ist Vorjahr Monat 06'!A:A,0)),
IF(ISERROR(MATCH(D439,'Ist Vorjahr Monat 07'!A:A,0))=FALSE,INDEX('Ist Vorjahr Monat 07'!B:B,MATCH(D439,'Ist Vorjahr Monat 07'!A:A,0)),
IF(ISERROR(MATCH(D439,'Ist Vorjahr Monat 08'!A:A,0))=FALSE,INDEX('Ist Vorjahr Monat 08'!B:B,MATCH(D439,'Ist Vorjahr Monat 08'!A:A,0)),
IF(ISERROR(MATCH(D439,'Ist Vorjahr Monat 09'!A:A,0))=FALSE,INDEX('Ist Vorjahr Monat 09'!B:B,MATCH(D439,'Ist Vorjahr Monat 09'!A:A,0)),
IF(ISERROR(MATCH(D439,'Ist Vorjahr Monat 10'!A:A,0))=FALSE,INDEX('Ist Vorjahr Monat 10'!B:B,MATCH(D439,'Ist Vorjahr Monat 10'!A:A,0)),
IF(ISERROR(MATCH(D439,'Ist Vorjahr Monat 11'!A:A,0))=FALSE,INDEX('Ist Vorjahr Monat 11'!B:B,MATCH(D439,'Ist Vorjahr Monat 11'!A:A,0)),
IF(ISERROR(MATCH(D439,'Ist Vorjahr Monat 12'!A:A,0))=FALSE,INDEX('Ist Vorjahr Monat 12'!B:B,MATCH(D439,'Ist Vorjahr Monat 12'!A:A,0)),
"{Konto unbekannt}"
)))))))))))),"")</f>
        <v/>
      </c>
      <c r="C439" s="1062"/>
      <c r="D439" s="1067"/>
      <c r="E439" s="625">
        <f t="shared" si="221"/>
        <v>1</v>
      </c>
      <c r="F439" s="626"/>
      <c r="G439" s="593">
        <f ca="1">$E439*(SUMIF(INDIRECT(G$3),'Struktur Vorjahr'!$D439,INDIRECT(G$5)))</f>
        <v>0</v>
      </c>
      <c r="H439" s="593">
        <f ca="1">$E439*(SUMIF(INDIRECT(H$3),'Struktur Vorjahr'!$D439,INDIRECT(H$5)))</f>
        <v>0</v>
      </c>
      <c r="I439" s="593">
        <f ca="1">$E439*(SUMIF(INDIRECT(I$3),'Struktur Vorjahr'!$D439,INDIRECT(I$5)))</f>
        <v>0</v>
      </c>
      <c r="J439" s="593">
        <f ca="1">$E439*(SUMIF(INDIRECT(J$3),'Struktur Vorjahr'!$D439,INDIRECT(J$5)))</f>
        <v>0</v>
      </c>
      <c r="K439" s="593">
        <f ca="1">$E439*(SUMIF(INDIRECT(K$3),'Struktur Vorjahr'!$D439,INDIRECT(K$5)))</f>
        <v>0</v>
      </c>
      <c r="L439" s="593">
        <f ca="1">$E439*(SUMIF(INDIRECT(L$3),'Struktur Vorjahr'!$D439,INDIRECT(L$5)))</f>
        <v>0</v>
      </c>
      <c r="M439" s="593">
        <f ca="1">$E439*(SUMIF(INDIRECT(M$3),'Struktur Vorjahr'!$D439,INDIRECT(M$5)))</f>
        <v>0</v>
      </c>
      <c r="N439" s="593">
        <f ca="1">$E439*(SUMIF(INDIRECT(N$3),'Struktur Vorjahr'!$D439,INDIRECT(N$5)))</f>
        <v>0</v>
      </c>
      <c r="O439" s="593">
        <f ca="1">$E439*(SUMIF(INDIRECT(O$3),'Struktur Vorjahr'!$D439,INDIRECT(O$5)))</f>
        <v>0</v>
      </c>
      <c r="P439" s="593">
        <f ca="1">$E439*(SUMIF(INDIRECT(P$3),'Struktur Vorjahr'!$D439,INDIRECT(P$5)))</f>
        <v>0</v>
      </c>
      <c r="Q439" s="593">
        <f ca="1">$E439*(SUMIF(INDIRECT(Q$3),'Struktur Vorjahr'!$D439,INDIRECT(Q$5)))</f>
        <v>0</v>
      </c>
      <c r="R439" s="593">
        <f ca="1">$E439*(SUMIF(INDIRECT(R$3),'Struktur Vorjahr'!$D439,INDIRECT(R$5)))</f>
        <v>0</v>
      </c>
      <c r="S439" s="593">
        <f ca="1">$E439*(SUMIF(INDIRECT(S$3),'Struktur Vorjahr'!$D439,INDIRECT(S$5)))</f>
        <v>0</v>
      </c>
      <c r="T439" s="593">
        <f ca="1">$E439*(SUMIF(INDIRECT(T$3),'Struktur Vorjahr'!$D439,INDIRECT(T$5)))</f>
        <v>0</v>
      </c>
      <c r="U439" s="593">
        <f ca="1">$E439*(SUMIF(INDIRECT(U$3),'Struktur Vorjahr'!$D439,INDIRECT(U$5)))</f>
        <v>0</v>
      </c>
      <c r="V439" s="593">
        <f ca="1">$E439*(SUMIF(INDIRECT(V$3),'Struktur Vorjahr'!$D439,INDIRECT(V$5)))</f>
        <v>0</v>
      </c>
      <c r="W439" s="593">
        <f ca="1">$E439*(SUMIF(INDIRECT(W$3),'Struktur Vorjahr'!$D439,INDIRECT(W$5)))</f>
        <v>0</v>
      </c>
      <c r="X439" s="593">
        <f ca="1">$E439*(SUMIF(INDIRECT(X$3),'Struktur Vorjahr'!$D439,INDIRECT(X$5)))</f>
        <v>0</v>
      </c>
      <c r="Y439" s="593">
        <f ca="1">$E439*(SUMIF(INDIRECT(Y$3),'Struktur Vorjahr'!$D439,INDIRECT(Y$5)))</f>
        <v>0</v>
      </c>
      <c r="Z439" s="593">
        <f ca="1">$E439*(SUMIF(INDIRECT(Z$3),'Struktur Vorjahr'!$D439,INDIRECT(Z$5)))</f>
        <v>0</v>
      </c>
      <c r="AA439" s="593">
        <f ca="1">$E439*(SUMIF(INDIRECT(AA$3),'Struktur Vorjahr'!$D439,INDIRECT(AA$5)))</f>
        <v>0</v>
      </c>
      <c r="AB439" s="593">
        <f ca="1">$E439*(SUMIF(INDIRECT(AB$3),'Struktur Vorjahr'!$D439,INDIRECT(AB$5)))</f>
        <v>0</v>
      </c>
      <c r="AC439" s="593">
        <f ca="1">$E439*(SUMIF(INDIRECT(AC$3),'Struktur Vorjahr'!$D439,INDIRECT(AC$5)))</f>
        <v>0</v>
      </c>
      <c r="AD439" s="593">
        <f ca="1">$E439*(SUMIF(INDIRECT(AD$3),'Struktur Vorjahr'!$D439,INDIRECT(AD$5)))</f>
        <v>0</v>
      </c>
      <c r="AE439" s="593">
        <f t="shared" ca="1" si="219"/>
        <v>0</v>
      </c>
      <c r="AF439" s="593">
        <f t="shared" ca="1" si="220"/>
        <v>0</v>
      </c>
      <c r="AG439" s="593">
        <f t="shared" ca="1" si="220"/>
        <v>0</v>
      </c>
      <c r="AH439" s="593">
        <f t="shared" ca="1" si="220"/>
        <v>0</v>
      </c>
      <c r="AI439" s="593">
        <f t="shared" ca="1" si="220"/>
        <v>0</v>
      </c>
      <c r="AJ439" s="593">
        <f t="shared" ca="1" si="220"/>
        <v>0</v>
      </c>
      <c r="AK439" s="593">
        <f t="shared" ca="1" si="220"/>
        <v>0</v>
      </c>
      <c r="AL439" s="593">
        <f t="shared" ca="1" si="220"/>
        <v>0</v>
      </c>
      <c r="AM439" s="593">
        <f t="shared" ca="1" si="220"/>
        <v>0</v>
      </c>
      <c r="AN439" s="593">
        <f t="shared" ca="1" si="220"/>
        <v>0</v>
      </c>
      <c r="AO439" s="593">
        <f t="shared" ca="1" si="220"/>
        <v>0</v>
      </c>
      <c r="AP439" s="593">
        <f t="shared" ca="1" si="220"/>
        <v>0</v>
      </c>
    </row>
    <row r="440" spans="1:42" s="594" customFormat="1" ht="11.25" outlineLevel="1" x14ac:dyDescent="0.2">
      <c r="A440" s="644"/>
      <c r="B440" s="591" t="str">
        <f>IF(D440&lt;&gt;"",
IF(ISERROR(MATCH(D440,'Ist Vorjahr Monat 01'!A:A,0))=FALSE,INDEX('Ist Vorjahr Monat 01'!B:B,MATCH(D440,'Ist Vorjahr Monat 01'!A:A,0)),
IF(ISERROR(MATCH(D440,'Ist Vorjahr Monat 02'!A:A,0))=FALSE,INDEX('Ist Vorjahr Monat 02'!B:B,MATCH(D440,'Ist Vorjahr Monat 02'!A:A,0)),
IF(ISERROR(MATCH(D440,'Ist Vorjahr Monat 03'!A:A,0))=FALSE,INDEX('Ist Vorjahr Monat 03'!B:B,MATCH(D440,'Ist Vorjahr Monat 03'!A:A,0)),
IF(ISERROR(MATCH(D440,'Ist Vorjahr Monat 04'!A:A,0))=FALSE,INDEX('Ist Vorjahr Monat 04'!B:B,MATCH(D440,'Ist Vorjahr Monat 04'!A:A,0)),
IF(ISERROR(MATCH(D440,'Ist Vorjahr Monat 05'!A:A,0))=FALSE,INDEX('Ist Vorjahr Monat 05'!B:B,MATCH(D440,'Ist Vorjahr Monat 05'!A:A,0)),
IF(ISERROR(MATCH(D440,'Ist Vorjahr Monat 06'!A:A,0))=FALSE,INDEX('Ist Vorjahr Monat 06'!B:B,MATCH(D440,'Ist Vorjahr Monat 06'!A:A,0)),
IF(ISERROR(MATCH(D440,'Ist Vorjahr Monat 07'!A:A,0))=FALSE,INDEX('Ist Vorjahr Monat 07'!B:B,MATCH(D440,'Ist Vorjahr Monat 07'!A:A,0)),
IF(ISERROR(MATCH(D440,'Ist Vorjahr Monat 08'!A:A,0))=FALSE,INDEX('Ist Vorjahr Monat 08'!B:B,MATCH(D440,'Ist Vorjahr Monat 08'!A:A,0)),
IF(ISERROR(MATCH(D440,'Ist Vorjahr Monat 09'!A:A,0))=FALSE,INDEX('Ist Vorjahr Monat 09'!B:B,MATCH(D440,'Ist Vorjahr Monat 09'!A:A,0)),
IF(ISERROR(MATCH(D440,'Ist Vorjahr Monat 10'!A:A,0))=FALSE,INDEX('Ist Vorjahr Monat 10'!B:B,MATCH(D440,'Ist Vorjahr Monat 10'!A:A,0)),
IF(ISERROR(MATCH(D440,'Ist Vorjahr Monat 11'!A:A,0))=FALSE,INDEX('Ist Vorjahr Monat 11'!B:B,MATCH(D440,'Ist Vorjahr Monat 11'!A:A,0)),
IF(ISERROR(MATCH(D440,'Ist Vorjahr Monat 12'!A:A,0))=FALSE,INDEX('Ist Vorjahr Monat 12'!B:B,MATCH(D440,'Ist Vorjahr Monat 12'!A:A,0)),
"{Konto unbekannt}"
)))))))))))),"")</f>
        <v/>
      </c>
      <c r="C440" s="1062"/>
      <c r="D440" s="1067"/>
      <c r="E440" s="625">
        <f t="shared" si="221"/>
        <v>1</v>
      </c>
      <c r="F440" s="626"/>
      <c r="G440" s="593">
        <f ca="1">$E440*(SUMIF(INDIRECT(G$3),'Struktur Vorjahr'!$D440,INDIRECT(G$5)))</f>
        <v>0</v>
      </c>
      <c r="H440" s="593">
        <f ca="1">$E440*(SUMIF(INDIRECT(H$3),'Struktur Vorjahr'!$D440,INDIRECT(H$5)))</f>
        <v>0</v>
      </c>
      <c r="I440" s="593">
        <f ca="1">$E440*(SUMIF(INDIRECT(I$3),'Struktur Vorjahr'!$D440,INDIRECT(I$5)))</f>
        <v>0</v>
      </c>
      <c r="J440" s="593">
        <f ca="1">$E440*(SUMIF(INDIRECT(J$3),'Struktur Vorjahr'!$D440,INDIRECT(J$5)))</f>
        <v>0</v>
      </c>
      <c r="K440" s="593">
        <f ca="1">$E440*(SUMIF(INDIRECT(K$3),'Struktur Vorjahr'!$D440,INDIRECT(K$5)))</f>
        <v>0</v>
      </c>
      <c r="L440" s="593">
        <f ca="1">$E440*(SUMIF(INDIRECT(L$3),'Struktur Vorjahr'!$D440,INDIRECT(L$5)))</f>
        <v>0</v>
      </c>
      <c r="M440" s="593">
        <f ca="1">$E440*(SUMIF(INDIRECT(M$3),'Struktur Vorjahr'!$D440,INDIRECT(M$5)))</f>
        <v>0</v>
      </c>
      <c r="N440" s="593">
        <f ca="1">$E440*(SUMIF(INDIRECT(N$3),'Struktur Vorjahr'!$D440,INDIRECT(N$5)))</f>
        <v>0</v>
      </c>
      <c r="O440" s="593">
        <f ca="1">$E440*(SUMIF(INDIRECT(O$3),'Struktur Vorjahr'!$D440,INDIRECT(O$5)))</f>
        <v>0</v>
      </c>
      <c r="P440" s="593">
        <f ca="1">$E440*(SUMIF(INDIRECT(P$3),'Struktur Vorjahr'!$D440,INDIRECT(P$5)))</f>
        <v>0</v>
      </c>
      <c r="Q440" s="593">
        <f ca="1">$E440*(SUMIF(INDIRECT(Q$3),'Struktur Vorjahr'!$D440,INDIRECT(Q$5)))</f>
        <v>0</v>
      </c>
      <c r="R440" s="593">
        <f ca="1">$E440*(SUMIF(INDIRECT(R$3),'Struktur Vorjahr'!$D440,INDIRECT(R$5)))</f>
        <v>0</v>
      </c>
      <c r="S440" s="593">
        <f ca="1">$E440*(SUMIF(INDIRECT(S$3),'Struktur Vorjahr'!$D440,INDIRECT(S$5)))</f>
        <v>0</v>
      </c>
      <c r="T440" s="593">
        <f ca="1">$E440*(SUMIF(INDIRECT(T$3),'Struktur Vorjahr'!$D440,INDIRECT(T$5)))</f>
        <v>0</v>
      </c>
      <c r="U440" s="593">
        <f ca="1">$E440*(SUMIF(INDIRECT(U$3),'Struktur Vorjahr'!$D440,INDIRECT(U$5)))</f>
        <v>0</v>
      </c>
      <c r="V440" s="593">
        <f ca="1">$E440*(SUMIF(INDIRECT(V$3),'Struktur Vorjahr'!$D440,INDIRECT(V$5)))</f>
        <v>0</v>
      </c>
      <c r="W440" s="593">
        <f ca="1">$E440*(SUMIF(INDIRECT(W$3),'Struktur Vorjahr'!$D440,INDIRECT(W$5)))</f>
        <v>0</v>
      </c>
      <c r="X440" s="593">
        <f ca="1">$E440*(SUMIF(INDIRECT(X$3),'Struktur Vorjahr'!$D440,INDIRECT(X$5)))</f>
        <v>0</v>
      </c>
      <c r="Y440" s="593">
        <f ca="1">$E440*(SUMIF(INDIRECT(Y$3),'Struktur Vorjahr'!$D440,INDIRECT(Y$5)))</f>
        <v>0</v>
      </c>
      <c r="Z440" s="593">
        <f ca="1">$E440*(SUMIF(INDIRECT(Z$3),'Struktur Vorjahr'!$D440,INDIRECT(Z$5)))</f>
        <v>0</v>
      </c>
      <c r="AA440" s="593">
        <f ca="1">$E440*(SUMIF(INDIRECT(AA$3),'Struktur Vorjahr'!$D440,INDIRECT(AA$5)))</f>
        <v>0</v>
      </c>
      <c r="AB440" s="593">
        <f ca="1">$E440*(SUMIF(INDIRECT(AB$3),'Struktur Vorjahr'!$D440,INDIRECT(AB$5)))</f>
        <v>0</v>
      </c>
      <c r="AC440" s="593">
        <f ca="1">$E440*(SUMIF(INDIRECT(AC$3),'Struktur Vorjahr'!$D440,INDIRECT(AC$5)))</f>
        <v>0</v>
      </c>
      <c r="AD440" s="593">
        <f ca="1">$E440*(SUMIF(INDIRECT(AD$3),'Struktur Vorjahr'!$D440,INDIRECT(AD$5)))</f>
        <v>0</v>
      </c>
      <c r="AE440" s="593">
        <f t="shared" ca="1" si="219"/>
        <v>0</v>
      </c>
      <c r="AF440" s="593">
        <f t="shared" ca="1" si="220"/>
        <v>0</v>
      </c>
      <c r="AG440" s="593">
        <f t="shared" ca="1" si="220"/>
        <v>0</v>
      </c>
      <c r="AH440" s="593">
        <f t="shared" ca="1" si="220"/>
        <v>0</v>
      </c>
      <c r="AI440" s="593">
        <f t="shared" ca="1" si="220"/>
        <v>0</v>
      </c>
      <c r="AJ440" s="593">
        <f t="shared" ca="1" si="220"/>
        <v>0</v>
      </c>
      <c r="AK440" s="593">
        <f t="shared" ca="1" si="220"/>
        <v>0</v>
      </c>
      <c r="AL440" s="593">
        <f t="shared" ca="1" si="220"/>
        <v>0</v>
      </c>
      <c r="AM440" s="593">
        <f t="shared" ca="1" si="220"/>
        <v>0</v>
      </c>
      <c r="AN440" s="593">
        <f t="shared" ca="1" si="220"/>
        <v>0</v>
      </c>
      <c r="AO440" s="593">
        <f t="shared" ca="1" si="220"/>
        <v>0</v>
      </c>
      <c r="AP440" s="593">
        <f t="shared" ca="1" si="220"/>
        <v>0</v>
      </c>
    </row>
    <row r="441" spans="1:42" s="594" customFormat="1" ht="11.25" outlineLevel="1" x14ac:dyDescent="0.2">
      <c r="A441" s="644"/>
      <c r="B441" s="591" t="str">
        <f>IF(D441&lt;&gt;"",
IF(ISERROR(MATCH(D441,'Ist Vorjahr Monat 01'!A:A,0))=FALSE,INDEX('Ist Vorjahr Monat 01'!B:B,MATCH(D441,'Ist Vorjahr Monat 01'!A:A,0)),
IF(ISERROR(MATCH(D441,'Ist Vorjahr Monat 02'!A:A,0))=FALSE,INDEX('Ist Vorjahr Monat 02'!B:B,MATCH(D441,'Ist Vorjahr Monat 02'!A:A,0)),
IF(ISERROR(MATCH(D441,'Ist Vorjahr Monat 03'!A:A,0))=FALSE,INDEX('Ist Vorjahr Monat 03'!B:B,MATCH(D441,'Ist Vorjahr Monat 03'!A:A,0)),
IF(ISERROR(MATCH(D441,'Ist Vorjahr Monat 04'!A:A,0))=FALSE,INDEX('Ist Vorjahr Monat 04'!B:B,MATCH(D441,'Ist Vorjahr Monat 04'!A:A,0)),
IF(ISERROR(MATCH(D441,'Ist Vorjahr Monat 05'!A:A,0))=FALSE,INDEX('Ist Vorjahr Monat 05'!B:B,MATCH(D441,'Ist Vorjahr Monat 05'!A:A,0)),
IF(ISERROR(MATCH(D441,'Ist Vorjahr Monat 06'!A:A,0))=FALSE,INDEX('Ist Vorjahr Monat 06'!B:B,MATCH(D441,'Ist Vorjahr Monat 06'!A:A,0)),
IF(ISERROR(MATCH(D441,'Ist Vorjahr Monat 07'!A:A,0))=FALSE,INDEX('Ist Vorjahr Monat 07'!B:B,MATCH(D441,'Ist Vorjahr Monat 07'!A:A,0)),
IF(ISERROR(MATCH(D441,'Ist Vorjahr Monat 08'!A:A,0))=FALSE,INDEX('Ist Vorjahr Monat 08'!B:B,MATCH(D441,'Ist Vorjahr Monat 08'!A:A,0)),
IF(ISERROR(MATCH(D441,'Ist Vorjahr Monat 09'!A:A,0))=FALSE,INDEX('Ist Vorjahr Monat 09'!B:B,MATCH(D441,'Ist Vorjahr Monat 09'!A:A,0)),
IF(ISERROR(MATCH(D441,'Ist Vorjahr Monat 10'!A:A,0))=FALSE,INDEX('Ist Vorjahr Monat 10'!B:B,MATCH(D441,'Ist Vorjahr Monat 10'!A:A,0)),
IF(ISERROR(MATCH(D441,'Ist Vorjahr Monat 11'!A:A,0))=FALSE,INDEX('Ist Vorjahr Monat 11'!B:B,MATCH(D441,'Ist Vorjahr Monat 11'!A:A,0)),
IF(ISERROR(MATCH(D441,'Ist Vorjahr Monat 12'!A:A,0))=FALSE,INDEX('Ist Vorjahr Monat 12'!B:B,MATCH(D441,'Ist Vorjahr Monat 12'!A:A,0)),
"{Konto unbekannt}"
)))))))))))),"")</f>
        <v/>
      </c>
      <c r="C441" s="1062"/>
      <c r="D441" s="1067"/>
      <c r="E441" s="625">
        <f t="shared" si="221"/>
        <v>1</v>
      </c>
      <c r="F441" s="626"/>
      <c r="G441" s="593">
        <f ca="1">$E441*(SUMIF(INDIRECT(G$3),'Struktur Vorjahr'!$D441,INDIRECT(G$5)))</f>
        <v>0</v>
      </c>
      <c r="H441" s="593">
        <f ca="1">$E441*(SUMIF(INDIRECT(H$3),'Struktur Vorjahr'!$D441,INDIRECT(H$5)))</f>
        <v>0</v>
      </c>
      <c r="I441" s="593">
        <f ca="1">$E441*(SUMIF(INDIRECT(I$3),'Struktur Vorjahr'!$D441,INDIRECT(I$5)))</f>
        <v>0</v>
      </c>
      <c r="J441" s="593">
        <f ca="1">$E441*(SUMIF(INDIRECT(J$3),'Struktur Vorjahr'!$D441,INDIRECT(J$5)))</f>
        <v>0</v>
      </c>
      <c r="K441" s="593">
        <f ca="1">$E441*(SUMIF(INDIRECT(K$3),'Struktur Vorjahr'!$D441,INDIRECT(K$5)))</f>
        <v>0</v>
      </c>
      <c r="L441" s="593">
        <f ca="1">$E441*(SUMIF(INDIRECT(L$3),'Struktur Vorjahr'!$D441,INDIRECT(L$5)))</f>
        <v>0</v>
      </c>
      <c r="M441" s="593">
        <f ca="1">$E441*(SUMIF(INDIRECT(M$3),'Struktur Vorjahr'!$D441,INDIRECT(M$5)))</f>
        <v>0</v>
      </c>
      <c r="N441" s="593">
        <f ca="1">$E441*(SUMIF(INDIRECT(N$3),'Struktur Vorjahr'!$D441,INDIRECT(N$5)))</f>
        <v>0</v>
      </c>
      <c r="O441" s="593">
        <f ca="1">$E441*(SUMIF(INDIRECT(O$3),'Struktur Vorjahr'!$D441,INDIRECT(O$5)))</f>
        <v>0</v>
      </c>
      <c r="P441" s="593">
        <f ca="1">$E441*(SUMIF(INDIRECT(P$3),'Struktur Vorjahr'!$D441,INDIRECT(P$5)))</f>
        <v>0</v>
      </c>
      <c r="Q441" s="593">
        <f ca="1">$E441*(SUMIF(INDIRECT(Q$3),'Struktur Vorjahr'!$D441,INDIRECT(Q$5)))</f>
        <v>0</v>
      </c>
      <c r="R441" s="593">
        <f ca="1">$E441*(SUMIF(INDIRECT(R$3),'Struktur Vorjahr'!$D441,INDIRECT(R$5)))</f>
        <v>0</v>
      </c>
      <c r="S441" s="593">
        <f ca="1">$E441*(SUMIF(INDIRECT(S$3),'Struktur Vorjahr'!$D441,INDIRECT(S$5)))</f>
        <v>0</v>
      </c>
      <c r="T441" s="593">
        <f ca="1">$E441*(SUMIF(INDIRECT(T$3),'Struktur Vorjahr'!$D441,INDIRECT(T$5)))</f>
        <v>0</v>
      </c>
      <c r="U441" s="593">
        <f ca="1">$E441*(SUMIF(INDIRECT(U$3),'Struktur Vorjahr'!$D441,INDIRECT(U$5)))</f>
        <v>0</v>
      </c>
      <c r="V441" s="593">
        <f ca="1">$E441*(SUMIF(INDIRECT(V$3),'Struktur Vorjahr'!$D441,INDIRECT(V$5)))</f>
        <v>0</v>
      </c>
      <c r="W441" s="593">
        <f ca="1">$E441*(SUMIF(INDIRECT(W$3),'Struktur Vorjahr'!$D441,INDIRECT(W$5)))</f>
        <v>0</v>
      </c>
      <c r="X441" s="593">
        <f ca="1">$E441*(SUMIF(INDIRECT(X$3),'Struktur Vorjahr'!$D441,INDIRECT(X$5)))</f>
        <v>0</v>
      </c>
      <c r="Y441" s="593">
        <f ca="1">$E441*(SUMIF(INDIRECT(Y$3),'Struktur Vorjahr'!$D441,INDIRECT(Y$5)))</f>
        <v>0</v>
      </c>
      <c r="Z441" s="593">
        <f ca="1">$E441*(SUMIF(INDIRECT(Z$3),'Struktur Vorjahr'!$D441,INDIRECT(Z$5)))</f>
        <v>0</v>
      </c>
      <c r="AA441" s="593">
        <f ca="1">$E441*(SUMIF(INDIRECT(AA$3),'Struktur Vorjahr'!$D441,INDIRECT(AA$5)))</f>
        <v>0</v>
      </c>
      <c r="AB441" s="593">
        <f ca="1">$E441*(SUMIF(INDIRECT(AB$3),'Struktur Vorjahr'!$D441,INDIRECT(AB$5)))</f>
        <v>0</v>
      </c>
      <c r="AC441" s="593">
        <f ca="1">$E441*(SUMIF(INDIRECT(AC$3),'Struktur Vorjahr'!$D441,INDIRECT(AC$5)))</f>
        <v>0</v>
      </c>
      <c r="AD441" s="593">
        <f ca="1">$E441*(SUMIF(INDIRECT(AD$3),'Struktur Vorjahr'!$D441,INDIRECT(AD$5)))</f>
        <v>0</v>
      </c>
      <c r="AE441" s="593">
        <f t="shared" ca="1" si="219"/>
        <v>0</v>
      </c>
      <c r="AF441" s="593">
        <f t="shared" ca="1" si="220"/>
        <v>0</v>
      </c>
      <c r="AG441" s="593">
        <f t="shared" ca="1" si="220"/>
        <v>0</v>
      </c>
      <c r="AH441" s="593">
        <f t="shared" ca="1" si="220"/>
        <v>0</v>
      </c>
      <c r="AI441" s="593">
        <f t="shared" ca="1" si="220"/>
        <v>0</v>
      </c>
      <c r="AJ441" s="593">
        <f t="shared" ca="1" si="220"/>
        <v>0</v>
      </c>
      <c r="AK441" s="593">
        <f t="shared" ca="1" si="220"/>
        <v>0</v>
      </c>
      <c r="AL441" s="593">
        <f t="shared" ca="1" si="220"/>
        <v>0</v>
      </c>
      <c r="AM441" s="593">
        <f t="shared" ca="1" si="220"/>
        <v>0</v>
      </c>
      <c r="AN441" s="593">
        <f t="shared" ca="1" si="220"/>
        <v>0</v>
      </c>
      <c r="AO441" s="593">
        <f t="shared" ca="1" si="220"/>
        <v>0</v>
      </c>
      <c r="AP441" s="593">
        <f t="shared" ca="1" si="220"/>
        <v>0</v>
      </c>
    </row>
    <row r="442" spans="1:42" s="589" customFormat="1" outlineLevel="1" x14ac:dyDescent="0.2">
      <c r="A442" s="629">
        <v>41</v>
      </c>
      <c r="B442" s="623" t="s">
        <v>85</v>
      </c>
      <c r="C442" s="627">
        <f ca="1">SUM(G442:R442)</f>
        <v>0</v>
      </c>
      <c r="D442" s="627"/>
      <c r="E442" s="628">
        <f t="shared" si="186"/>
        <v>1</v>
      </c>
      <c r="F442" s="629"/>
      <c r="G442" s="627">
        <f ca="1">SUM(G443:G458)</f>
        <v>0</v>
      </c>
      <c r="H442" s="627">
        <f t="shared" ref="H442:R442" ca="1" si="222">SUM(H443:H458)</f>
        <v>0</v>
      </c>
      <c r="I442" s="627">
        <f t="shared" ca="1" si="222"/>
        <v>0</v>
      </c>
      <c r="J442" s="627">
        <f t="shared" ca="1" si="222"/>
        <v>0</v>
      </c>
      <c r="K442" s="627">
        <f t="shared" ca="1" si="222"/>
        <v>0</v>
      </c>
      <c r="L442" s="627">
        <f t="shared" ca="1" si="222"/>
        <v>0</v>
      </c>
      <c r="M442" s="627">
        <f t="shared" ca="1" si="222"/>
        <v>0</v>
      </c>
      <c r="N442" s="627">
        <f t="shared" ca="1" si="222"/>
        <v>0</v>
      </c>
      <c r="O442" s="627">
        <f t="shared" ca="1" si="222"/>
        <v>0</v>
      </c>
      <c r="P442" s="627">
        <f t="shared" ca="1" si="222"/>
        <v>0</v>
      </c>
      <c r="Q442" s="627">
        <f t="shared" ca="1" si="222"/>
        <v>0</v>
      </c>
      <c r="R442" s="627">
        <f t="shared" ca="1" si="222"/>
        <v>0</v>
      </c>
      <c r="S442" s="627">
        <f ca="1">SUM(S443:S458)</f>
        <v>0</v>
      </c>
      <c r="T442" s="627">
        <f t="shared" ref="T442:AD442" ca="1" si="223">SUM(T443:T458)</f>
        <v>0</v>
      </c>
      <c r="U442" s="627">
        <f t="shared" ca="1" si="223"/>
        <v>0</v>
      </c>
      <c r="V442" s="627">
        <f t="shared" ca="1" si="223"/>
        <v>0</v>
      </c>
      <c r="W442" s="627">
        <f t="shared" ca="1" si="223"/>
        <v>0</v>
      </c>
      <c r="X442" s="627">
        <f t="shared" ca="1" si="223"/>
        <v>0</v>
      </c>
      <c r="Y442" s="627">
        <f t="shared" ca="1" si="223"/>
        <v>0</v>
      </c>
      <c r="Z442" s="627">
        <f t="shared" ca="1" si="223"/>
        <v>0</v>
      </c>
      <c r="AA442" s="627">
        <f t="shared" ca="1" si="223"/>
        <v>0</v>
      </c>
      <c r="AB442" s="627">
        <f t="shared" ca="1" si="223"/>
        <v>0</v>
      </c>
      <c r="AC442" s="627">
        <f t="shared" ca="1" si="223"/>
        <v>0</v>
      </c>
      <c r="AD442" s="627">
        <f t="shared" ca="1" si="223"/>
        <v>0</v>
      </c>
      <c r="AE442" s="627">
        <f ca="1">SUM(AE443:AE458)</f>
        <v>0</v>
      </c>
      <c r="AF442" s="627">
        <f t="shared" ref="AF442:AP442" ca="1" si="224">SUM(AF443:AF458)</f>
        <v>0</v>
      </c>
      <c r="AG442" s="627">
        <f t="shared" ca="1" si="224"/>
        <v>0</v>
      </c>
      <c r="AH442" s="627">
        <f t="shared" ca="1" si="224"/>
        <v>0</v>
      </c>
      <c r="AI442" s="627">
        <f t="shared" ca="1" si="224"/>
        <v>0</v>
      </c>
      <c r="AJ442" s="627">
        <f t="shared" ca="1" si="224"/>
        <v>0</v>
      </c>
      <c r="AK442" s="627">
        <f t="shared" ca="1" si="224"/>
        <v>0</v>
      </c>
      <c r="AL442" s="627">
        <f t="shared" ca="1" si="224"/>
        <v>0</v>
      </c>
      <c r="AM442" s="627">
        <f t="shared" ca="1" si="224"/>
        <v>0</v>
      </c>
      <c r="AN442" s="627">
        <f t="shared" ca="1" si="224"/>
        <v>0</v>
      </c>
      <c r="AO442" s="627">
        <f t="shared" ca="1" si="224"/>
        <v>0</v>
      </c>
      <c r="AP442" s="627">
        <f t="shared" ca="1" si="224"/>
        <v>0</v>
      </c>
    </row>
    <row r="443" spans="1:42" s="594" customFormat="1" ht="11.25" outlineLevel="1" x14ac:dyDescent="0.2">
      <c r="A443" s="644"/>
      <c r="B443" s="591" t="str">
        <f>IF(D443&lt;&gt;"",
IF(ISERROR(MATCH(D443,'Ist Vorjahr Monat 01'!A:A,0))=FALSE,INDEX('Ist Vorjahr Monat 01'!B:B,MATCH(D443,'Ist Vorjahr Monat 01'!A:A,0)),
IF(ISERROR(MATCH(D443,'Ist Vorjahr Monat 02'!A:A,0))=FALSE,INDEX('Ist Vorjahr Monat 02'!B:B,MATCH(D443,'Ist Vorjahr Monat 02'!A:A,0)),
IF(ISERROR(MATCH(D443,'Ist Vorjahr Monat 03'!A:A,0))=FALSE,INDEX('Ist Vorjahr Monat 03'!B:B,MATCH(D443,'Ist Vorjahr Monat 03'!A:A,0)),
IF(ISERROR(MATCH(D443,'Ist Vorjahr Monat 04'!A:A,0))=FALSE,INDEX('Ist Vorjahr Monat 04'!B:B,MATCH(D443,'Ist Vorjahr Monat 04'!A:A,0)),
IF(ISERROR(MATCH(D443,'Ist Vorjahr Monat 05'!A:A,0))=FALSE,INDEX('Ist Vorjahr Monat 05'!B:B,MATCH(D443,'Ist Vorjahr Monat 05'!A:A,0)),
IF(ISERROR(MATCH(D443,'Ist Vorjahr Monat 06'!A:A,0))=FALSE,INDEX('Ist Vorjahr Monat 06'!B:B,MATCH(D443,'Ist Vorjahr Monat 06'!A:A,0)),
IF(ISERROR(MATCH(D443,'Ist Vorjahr Monat 07'!A:A,0))=FALSE,INDEX('Ist Vorjahr Monat 07'!B:B,MATCH(D443,'Ist Vorjahr Monat 07'!A:A,0)),
IF(ISERROR(MATCH(D443,'Ist Vorjahr Monat 08'!A:A,0))=FALSE,INDEX('Ist Vorjahr Monat 08'!B:B,MATCH(D443,'Ist Vorjahr Monat 08'!A:A,0)),
IF(ISERROR(MATCH(D443,'Ist Vorjahr Monat 09'!A:A,0))=FALSE,INDEX('Ist Vorjahr Monat 09'!B:B,MATCH(D443,'Ist Vorjahr Monat 09'!A:A,0)),
IF(ISERROR(MATCH(D443,'Ist Vorjahr Monat 10'!A:A,0))=FALSE,INDEX('Ist Vorjahr Monat 10'!B:B,MATCH(D443,'Ist Vorjahr Monat 10'!A:A,0)),
IF(ISERROR(MATCH(D443,'Ist Vorjahr Monat 11'!A:A,0))=FALSE,INDEX('Ist Vorjahr Monat 11'!B:B,MATCH(D443,'Ist Vorjahr Monat 11'!A:A,0)),
IF(ISERROR(MATCH(D443,'Ist Vorjahr Monat 12'!A:A,0))=FALSE,INDEX('Ist Vorjahr Monat 12'!B:B,MATCH(D443,'Ist Vorjahr Monat 12'!A:A,0)),
"{Konto unbekannt}"
)))))))))))),"")</f>
        <v/>
      </c>
      <c r="C443" s="1062"/>
      <c r="D443" s="1067"/>
      <c r="E443" s="625">
        <f t="shared" si="186"/>
        <v>1</v>
      </c>
      <c r="F443" s="626"/>
      <c r="G443" s="593">
        <f ca="1">$E443*(-SUMIF(INDIRECT(G$3),'Struktur Vorjahr'!$D443,INDIRECT(G$4))+SUMIF(INDIRECT(G$3),'Struktur Vorjahr'!$D443,INDIRECT(G$5)))</f>
        <v>0</v>
      </c>
      <c r="H443" s="593">
        <f ca="1">$E443*(-SUMIF(INDIRECT(H$3),'Struktur Vorjahr'!$D443,INDIRECT(H$4))+SUMIF(INDIRECT(H$3),'Struktur Vorjahr'!$D443,INDIRECT(H$5)))</f>
        <v>0</v>
      </c>
      <c r="I443" s="593">
        <f ca="1">$E443*(-SUMIF(INDIRECT(I$3),'Struktur Vorjahr'!$D443,INDIRECT(I$4))+SUMIF(INDIRECT(I$3),'Struktur Vorjahr'!$D443,INDIRECT(I$5)))</f>
        <v>0</v>
      </c>
      <c r="J443" s="593">
        <f ca="1">$E443*(-SUMIF(INDIRECT(J$3),'Struktur Vorjahr'!$D443,INDIRECT(J$4))+SUMIF(INDIRECT(J$3),'Struktur Vorjahr'!$D443,INDIRECT(J$5)))</f>
        <v>0</v>
      </c>
      <c r="K443" s="593">
        <f ca="1">$E443*(-SUMIF(INDIRECT(K$3),'Struktur Vorjahr'!$D443,INDIRECT(K$4))+SUMIF(INDIRECT(K$3),'Struktur Vorjahr'!$D443,INDIRECT(K$5)))</f>
        <v>0</v>
      </c>
      <c r="L443" s="593">
        <f ca="1">$E443*(-SUMIF(INDIRECT(L$3),'Struktur Vorjahr'!$D443,INDIRECT(L$4))+SUMIF(INDIRECT(L$3),'Struktur Vorjahr'!$D443,INDIRECT(L$5)))</f>
        <v>0</v>
      </c>
      <c r="M443" s="593">
        <f ca="1">$E443*(-SUMIF(INDIRECT(M$3),'Struktur Vorjahr'!$D443,INDIRECT(M$4))+SUMIF(INDIRECT(M$3),'Struktur Vorjahr'!$D443,INDIRECT(M$5)))</f>
        <v>0</v>
      </c>
      <c r="N443" s="593">
        <f ca="1">$E443*(-SUMIF(INDIRECT(N$3),'Struktur Vorjahr'!$D443,INDIRECT(N$4))+SUMIF(INDIRECT(N$3),'Struktur Vorjahr'!$D443,INDIRECT(N$5)))</f>
        <v>0</v>
      </c>
      <c r="O443" s="593">
        <f ca="1">$E443*(-SUMIF(INDIRECT(O$3),'Struktur Vorjahr'!$D443,INDIRECT(O$4))+SUMIF(INDIRECT(O$3),'Struktur Vorjahr'!$D443,INDIRECT(O$5)))</f>
        <v>0</v>
      </c>
      <c r="P443" s="593">
        <f ca="1">$E443*(-SUMIF(INDIRECT(P$3),'Struktur Vorjahr'!$D443,INDIRECT(P$4))+SUMIF(INDIRECT(P$3),'Struktur Vorjahr'!$D443,INDIRECT(P$5)))</f>
        <v>0</v>
      </c>
      <c r="Q443" s="593">
        <f ca="1">$E443*(-SUMIF(INDIRECT(Q$3),'Struktur Vorjahr'!$D443,INDIRECT(Q$4))+SUMIF(INDIRECT(Q$3),'Struktur Vorjahr'!$D443,INDIRECT(Q$5)))</f>
        <v>0</v>
      </c>
      <c r="R443" s="593">
        <f ca="1">$E443*(-SUMIF(INDIRECT(R$3),'Struktur Vorjahr'!$D443,INDIRECT(R$4))+SUMIF(INDIRECT(R$3),'Struktur Vorjahr'!$D443,INDIRECT(R$5)))</f>
        <v>0</v>
      </c>
      <c r="S443" s="593">
        <f ca="1">$E443*(-SUMIF(INDIRECT(S$3),'Struktur Vorjahr'!$D443,INDIRECT(S$4))+SUMIF(INDIRECT(S$3),'Struktur Vorjahr'!$D443,INDIRECT(S$5)))</f>
        <v>0</v>
      </c>
      <c r="T443" s="593">
        <f ca="1">$E443*(-SUMIF(INDIRECT(T$3),'Struktur Vorjahr'!$D443,INDIRECT(T$4))+SUMIF(INDIRECT(T$3),'Struktur Vorjahr'!$D443,INDIRECT(T$5)))</f>
        <v>0</v>
      </c>
      <c r="U443" s="593">
        <f ca="1">$E443*(-SUMIF(INDIRECT(U$3),'Struktur Vorjahr'!$D443,INDIRECT(U$4))+SUMIF(INDIRECT(U$3),'Struktur Vorjahr'!$D443,INDIRECT(U$5)))</f>
        <v>0</v>
      </c>
      <c r="V443" s="593">
        <f ca="1">$E443*(-SUMIF(INDIRECT(V$3),'Struktur Vorjahr'!$D443,INDIRECT(V$4))+SUMIF(INDIRECT(V$3),'Struktur Vorjahr'!$D443,INDIRECT(V$5)))</f>
        <v>0</v>
      </c>
      <c r="W443" s="593">
        <f ca="1">$E443*(-SUMIF(INDIRECT(W$3),'Struktur Vorjahr'!$D443,INDIRECT(W$4))+SUMIF(INDIRECT(W$3),'Struktur Vorjahr'!$D443,INDIRECT(W$5)))</f>
        <v>0</v>
      </c>
      <c r="X443" s="593">
        <f ca="1">$E443*(-SUMIF(INDIRECT(X$3),'Struktur Vorjahr'!$D443,INDIRECT(X$4))+SUMIF(INDIRECT(X$3),'Struktur Vorjahr'!$D443,INDIRECT(X$5)))</f>
        <v>0</v>
      </c>
      <c r="Y443" s="593">
        <f ca="1">$E443*(-SUMIF(INDIRECT(Y$3),'Struktur Vorjahr'!$D443,INDIRECT(Y$4))+SUMIF(INDIRECT(Y$3),'Struktur Vorjahr'!$D443,INDIRECT(Y$5)))</f>
        <v>0</v>
      </c>
      <c r="Z443" s="593">
        <f ca="1">$E443*(-SUMIF(INDIRECT(Z$3),'Struktur Vorjahr'!$D443,INDIRECT(Z$4))+SUMIF(INDIRECT(Z$3),'Struktur Vorjahr'!$D443,INDIRECT(Z$5)))</f>
        <v>0</v>
      </c>
      <c r="AA443" s="593">
        <f ca="1">$E443*(-SUMIF(INDIRECT(AA$3),'Struktur Vorjahr'!$D443,INDIRECT(AA$4))+SUMIF(INDIRECT(AA$3),'Struktur Vorjahr'!$D443,INDIRECT(AA$5)))</f>
        <v>0</v>
      </c>
      <c r="AB443" s="593">
        <f ca="1">$E443*(-SUMIF(INDIRECT(AB$3),'Struktur Vorjahr'!$D443,INDIRECT(AB$4))+SUMIF(INDIRECT(AB$3),'Struktur Vorjahr'!$D443,INDIRECT(AB$5)))</f>
        <v>0</v>
      </c>
      <c r="AC443" s="593">
        <f ca="1">$E443*(-SUMIF(INDIRECT(AC$3),'Struktur Vorjahr'!$D443,INDIRECT(AC$4))+SUMIF(INDIRECT(AC$3),'Struktur Vorjahr'!$D443,INDIRECT(AC$5)))</f>
        <v>0</v>
      </c>
      <c r="AD443" s="593">
        <f ca="1">$E443*(-SUMIF(INDIRECT(AD$3),'Struktur Vorjahr'!$D443,INDIRECT(AD$4))+SUMIF(INDIRECT(AD$3),'Struktur Vorjahr'!$D443,INDIRECT(AD$5)))</f>
        <v>0</v>
      </c>
      <c r="AE443" s="593">
        <f t="shared" ref="AE443:AE458" ca="1" si="225">G443</f>
        <v>0</v>
      </c>
      <c r="AF443" s="593">
        <f t="shared" ref="AF443:AP458" ca="1" si="226">H443+AE443</f>
        <v>0</v>
      </c>
      <c r="AG443" s="593">
        <f t="shared" ca="1" si="226"/>
        <v>0</v>
      </c>
      <c r="AH443" s="593">
        <f t="shared" ca="1" si="226"/>
        <v>0</v>
      </c>
      <c r="AI443" s="593">
        <f t="shared" ca="1" si="226"/>
        <v>0</v>
      </c>
      <c r="AJ443" s="593">
        <f t="shared" ca="1" si="226"/>
        <v>0</v>
      </c>
      <c r="AK443" s="593">
        <f t="shared" ca="1" si="226"/>
        <v>0</v>
      </c>
      <c r="AL443" s="593">
        <f t="shared" ca="1" si="226"/>
        <v>0</v>
      </c>
      <c r="AM443" s="593">
        <f t="shared" ca="1" si="226"/>
        <v>0</v>
      </c>
      <c r="AN443" s="593">
        <f t="shared" ca="1" si="226"/>
        <v>0</v>
      </c>
      <c r="AO443" s="593">
        <f t="shared" ca="1" si="226"/>
        <v>0</v>
      </c>
      <c r="AP443" s="593">
        <f t="shared" ca="1" si="226"/>
        <v>0</v>
      </c>
    </row>
    <row r="444" spans="1:42" s="594" customFormat="1" ht="11.25" x14ac:dyDescent="0.2">
      <c r="A444" s="644"/>
      <c r="B444" s="591" t="str">
        <f>IF(D444&lt;&gt;"",
IF(ISERROR(MATCH(D444,'Ist Vorjahr Monat 01'!A:A,0))=FALSE,INDEX('Ist Vorjahr Monat 01'!B:B,MATCH(D444,'Ist Vorjahr Monat 01'!A:A,0)),
IF(ISERROR(MATCH(D444,'Ist Vorjahr Monat 02'!A:A,0))=FALSE,INDEX('Ist Vorjahr Monat 02'!B:B,MATCH(D444,'Ist Vorjahr Monat 02'!A:A,0)),
IF(ISERROR(MATCH(D444,'Ist Vorjahr Monat 03'!A:A,0))=FALSE,INDEX('Ist Vorjahr Monat 03'!B:B,MATCH(D444,'Ist Vorjahr Monat 03'!A:A,0)),
IF(ISERROR(MATCH(D444,'Ist Vorjahr Monat 04'!A:A,0))=FALSE,INDEX('Ist Vorjahr Monat 04'!B:B,MATCH(D444,'Ist Vorjahr Monat 04'!A:A,0)),
IF(ISERROR(MATCH(D444,'Ist Vorjahr Monat 05'!A:A,0))=FALSE,INDEX('Ist Vorjahr Monat 05'!B:B,MATCH(D444,'Ist Vorjahr Monat 05'!A:A,0)),
IF(ISERROR(MATCH(D444,'Ist Vorjahr Monat 06'!A:A,0))=FALSE,INDEX('Ist Vorjahr Monat 06'!B:B,MATCH(D444,'Ist Vorjahr Monat 06'!A:A,0)),
IF(ISERROR(MATCH(D444,'Ist Vorjahr Monat 07'!A:A,0))=FALSE,INDEX('Ist Vorjahr Monat 07'!B:B,MATCH(D444,'Ist Vorjahr Monat 07'!A:A,0)),
IF(ISERROR(MATCH(D444,'Ist Vorjahr Monat 08'!A:A,0))=FALSE,INDEX('Ist Vorjahr Monat 08'!B:B,MATCH(D444,'Ist Vorjahr Monat 08'!A:A,0)),
IF(ISERROR(MATCH(D444,'Ist Vorjahr Monat 09'!A:A,0))=FALSE,INDEX('Ist Vorjahr Monat 09'!B:B,MATCH(D444,'Ist Vorjahr Monat 09'!A:A,0)),
IF(ISERROR(MATCH(D444,'Ist Vorjahr Monat 10'!A:A,0))=FALSE,INDEX('Ist Vorjahr Monat 10'!B:B,MATCH(D444,'Ist Vorjahr Monat 10'!A:A,0)),
IF(ISERROR(MATCH(D444,'Ist Vorjahr Monat 11'!A:A,0))=FALSE,INDEX('Ist Vorjahr Monat 11'!B:B,MATCH(D444,'Ist Vorjahr Monat 11'!A:A,0)),
IF(ISERROR(MATCH(D444,'Ist Vorjahr Monat 12'!A:A,0))=FALSE,INDEX('Ist Vorjahr Monat 12'!B:B,MATCH(D444,'Ist Vorjahr Monat 12'!A:A,0)),
"{Konto unbekannt}"
)))))))))))),"")</f>
        <v/>
      </c>
      <c r="C444" s="1062"/>
      <c r="D444" s="1067"/>
      <c r="E444" s="625">
        <f t="shared" si="186"/>
        <v>1</v>
      </c>
      <c r="F444" s="626"/>
      <c r="G444" s="593">
        <f ca="1">$E444*(-SUMIF(INDIRECT(G$3),'Struktur Vorjahr'!$D444,INDIRECT(G$4))+SUMIF(INDIRECT(G$3),'Struktur Vorjahr'!$D444,INDIRECT(G$5)))</f>
        <v>0</v>
      </c>
      <c r="H444" s="593">
        <f ca="1">$E444*(-SUMIF(INDIRECT(H$3),'Struktur Vorjahr'!$D444,INDIRECT(H$4))+SUMIF(INDIRECT(H$3),'Struktur Vorjahr'!$D444,INDIRECT(H$5)))</f>
        <v>0</v>
      </c>
      <c r="I444" s="593">
        <f ca="1">$E444*(-SUMIF(INDIRECT(I$3),'Struktur Vorjahr'!$D444,INDIRECT(I$4))+SUMIF(INDIRECT(I$3),'Struktur Vorjahr'!$D444,INDIRECT(I$5)))</f>
        <v>0</v>
      </c>
      <c r="J444" s="593">
        <f ca="1">$E444*(-SUMIF(INDIRECT(J$3),'Struktur Vorjahr'!$D444,INDIRECT(J$4))+SUMIF(INDIRECT(J$3),'Struktur Vorjahr'!$D444,INDIRECT(J$5)))</f>
        <v>0</v>
      </c>
      <c r="K444" s="593">
        <f ca="1">$E444*(-SUMIF(INDIRECT(K$3),'Struktur Vorjahr'!$D444,INDIRECT(K$4))+SUMIF(INDIRECT(K$3),'Struktur Vorjahr'!$D444,INDIRECT(K$5)))</f>
        <v>0</v>
      </c>
      <c r="L444" s="593">
        <f ca="1">$E444*(-SUMIF(INDIRECT(L$3),'Struktur Vorjahr'!$D444,INDIRECT(L$4))+SUMIF(INDIRECT(L$3),'Struktur Vorjahr'!$D444,INDIRECT(L$5)))</f>
        <v>0</v>
      </c>
      <c r="M444" s="593">
        <f ca="1">$E444*(-SUMIF(INDIRECT(M$3),'Struktur Vorjahr'!$D444,INDIRECT(M$4))+SUMIF(INDIRECT(M$3),'Struktur Vorjahr'!$D444,INDIRECT(M$5)))</f>
        <v>0</v>
      </c>
      <c r="N444" s="593">
        <f ca="1">$E444*(-SUMIF(INDIRECT(N$3),'Struktur Vorjahr'!$D444,INDIRECT(N$4))+SUMIF(INDIRECT(N$3),'Struktur Vorjahr'!$D444,INDIRECT(N$5)))</f>
        <v>0</v>
      </c>
      <c r="O444" s="593">
        <f ca="1">$E444*(-SUMIF(INDIRECT(O$3),'Struktur Vorjahr'!$D444,INDIRECT(O$4))+SUMIF(INDIRECT(O$3),'Struktur Vorjahr'!$D444,INDIRECT(O$5)))</f>
        <v>0</v>
      </c>
      <c r="P444" s="593">
        <f ca="1">$E444*(-SUMIF(INDIRECT(P$3),'Struktur Vorjahr'!$D444,INDIRECT(P$4))+SUMIF(INDIRECT(P$3),'Struktur Vorjahr'!$D444,INDIRECT(P$5)))</f>
        <v>0</v>
      </c>
      <c r="Q444" s="593">
        <f ca="1">$E444*(-SUMIF(INDIRECT(Q$3),'Struktur Vorjahr'!$D444,INDIRECT(Q$4))+SUMIF(INDIRECT(Q$3),'Struktur Vorjahr'!$D444,INDIRECT(Q$5)))</f>
        <v>0</v>
      </c>
      <c r="R444" s="593">
        <f ca="1">$E444*(-SUMIF(INDIRECT(R$3),'Struktur Vorjahr'!$D444,INDIRECT(R$4))+SUMIF(INDIRECT(R$3),'Struktur Vorjahr'!$D444,INDIRECT(R$5)))</f>
        <v>0</v>
      </c>
      <c r="S444" s="593">
        <f ca="1">$E444*(-SUMIF(INDIRECT(S$3),'Struktur Vorjahr'!$D444,INDIRECT(S$4))+SUMIF(INDIRECT(S$3),'Struktur Vorjahr'!$D444,INDIRECT(S$5)))</f>
        <v>0</v>
      </c>
      <c r="T444" s="593">
        <f ca="1">$E444*(-SUMIF(INDIRECT(T$3),'Struktur Vorjahr'!$D444,INDIRECT(T$4))+SUMIF(INDIRECT(T$3),'Struktur Vorjahr'!$D444,INDIRECT(T$5)))</f>
        <v>0</v>
      </c>
      <c r="U444" s="593">
        <f ca="1">$E444*(-SUMIF(INDIRECT(U$3),'Struktur Vorjahr'!$D444,INDIRECT(U$4))+SUMIF(INDIRECT(U$3),'Struktur Vorjahr'!$D444,INDIRECT(U$5)))</f>
        <v>0</v>
      </c>
      <c r="V444" s="593">
        <f ca="1">$E444*(-SUMIF(INDIRECT(V$3),'Struktur Vorjahr'!$D444,INDIRECT(V$4))+SUMIF(INDIRECT(V$3),'Struktur Vorjahr'!$D444,INDIRECT(V$5)))</f>
        <v>0</v>
      </c>
      <c r="W444" s="593">
        <f ca="1">$E444*(-SUMIF(INDIRECT(W$3),'Struktur Vorjahr'!$D444,INDIRECT(W$4))+SUMIF(INDIRECT(W$3),'Struktur Vorjahr'!$D444,INDIRECT(W$5)))</f>
        <v>0</v>
      </c>
      <c r="X444" s="593">
        <f ca="1">$E444*(-SUMIF(INDIRECT(X$3),'Struktur Vorjahr'!$D444,INDIRECT(X$4))+SUMIF(INDIRECT(X$3),'Struktur Vorjahr'!$D444,INDIRECT(X$5)))</f>
        <v>0</v>
      </c>
      <c r="Y444" s="593">
        <f ca="1">$E444*(-SUMIF(INDIRECT(Y$3),'Struktur Vorjahr'!$D444,INDIRECT(Y$4))+SUMIF(INDIRECT(Y$3),'Struktur Vorjahr'!$D444,INDIRECT(Y$5)))</f>
        <v>0</v>
      </c>
      <c r="Z444" s="593">
        <f ca="1">$E444*(-SUMIF(INDIRECT(Z$3),'Struktur Vorjahr'!$D444,INDIRECT(Z$4))+SUMIF(INDIRECT(Z$3),'Struktur Vorjahr'!$D444,INDIRECT(Z$5)))</f>
        <v>0</v>
      </c>
      <c r="AA444" s="593">
        <f ca="1">$E444*(-SUMIF(INDIRECT(AA$3),'Struktur Vorjahr'!$D444,INDIRECT(AA$4))+SUMIF(INDIRECT(AA$3),'Struktur Vorjahr'!$D444,INDIRECT(AA$5)))</f>
        <v>0</v>
      </c>
      <c r="AB444" s="593">
        <f ca="1">$E444*(-SUMIF(INDIRECT(AB$3),'Struktur Vorjahr'!$D444,INDIRECT(AB$4))+SUMIF(INDIRECT(AB$3),'Struktur Vorjahr'!$D444,INDIRECT(AB$5)))</f>
        <v>0</v>
      </c>
      <c r="AC444" s="593">
        <f ca="1">$E444*(-SUMIF(INDIRECT(AC$3),'Struktur Vorjahr'!$D444,INDIRECT(AC$4))+SUMIF(INDIRECT(AC$3),'Struktur Vorjahr'!$D444,INDIRECT(AC$5)))</f>
        <v>0</v>
      </c>
      <c r="AD444" s="593">
        <f ca="1">$E444*(-SUMIF(INDIRECT(AD$3),'Struktur Vorjahr'!$D444,INDIRECT(AD$4))+SUMIF(INDIRECT(AD$3),'Struktur Vorjahr'!$D444,INDIRECT(AD$5)))</f>
        <v>0</v>
      </c>
      <c r="AE444" s="593">
        <f t="shared" ca="1" si="225"/>
        <v>0</v>
      </c>
      <c r="AF444" s="593">
        <f t="shared" ca="1" si="226"/>
        <v>0</v>
      </c>
      <c r="AG444" s="593">
        <f t="shared" ca="1" si="226"/>
        <v>0</v>
      </c>
      <c r="AH444" s="593">
        <f t="shared" ca="1" si="226"/>
        <v>0</v>
      </c>
      <c r="AI444" s="593">
        <f t="shared" ca="1" si="226"/>
        <v>0</v>
      </c>
      <c r="AJ444" s="593">
        <f t="shared" ca="1" si="226"/>
        <v>0</v>
      </c>
      <c r="AK444" s="593">
        <f t="shared" ca="1" si="226"/>
        <v>0</v>
      </c>
      <c r="AL444" s="593">
        <f t="shared" ca="1" si="226"/>
        <v>0</v>
      </c>
      <c r="AM444" s="593">
        <f t="shared" ca="1" si="226"/>
        <v>0</v>
      </c>
      <c r="AN444" s="593">
        <f t="shared" ca="1" si="226"/>
        <v>0</v>
      </c>
      <c r="AO444" s="593">
        <f t="shared" ca="1" si="226"/>
        <v>0</v>
      </c>
      <c r="AP444" s="593">
        <f t="shared" ca="1" si="226"/>
        <v>0</v>
      </c>
    </row>
    <row r="445" spans="1:42" s="594" customFormat="1" ht="11.25" outlineLevel="1" x14ac:dyDescent="0.2">
      <c r="A445" s="644"/>
      <c r="B445" s="591" t="str">
        <f>IF(D445&lt;&gt;"",
IF(ISERROR(MATCH(D445,'Ist Vorjahr Monat 01'!A:A,0))=FALSE,INDEX('Ist Vorjahr Monat 01'!B:B,MATCH(D445,'Ist Vorjahr Monat 01'!A:A,0)),
IF(ISERROR(MATCH(D445,'Ist Vorjahr Monat 02'!A:A,0))=FALSE,INDEX('Ist Vorjahr Monat 02'!B:B,MATCH(D445,'Ist Vorjahr Monat 02'!A:A,0)),
IF(ISERROR(MATCH(D445,'Ist Vorjahr Monat 03'!A:A,0))=FALSE,INDEX('Ist Vorjahr Monat 03'!B:B,MATCH(D445,'Ist Vorjahr Monat 03'!A:A,0)),
IF(ISERROR(MATCH(D445,'Ist Vorjahr Monat 04'!A:A,0))=FALSE,INDEX('Ist Vorjahr Monat 04'!B:B,MATCH(D445,'Ist Vorjahr Monat 04'!A:A,0)),
IF(ISERROR(MATCH(D445,'Ist Vorjahr Monat 05'!A:A,0))=FALSE,INDEX('Ist Vorjahr Monat 05'!B:B,MATCH(D445,'Ist Vorjahr Monat 05'!A:A,0)),
IF(ISERROR(MATCH(D445,'Ist Vorjahr Monat 06'!A:A,0))=FALSE,INDEX('Ist Vorjahr Monat 06'!B:B,MATCH(D445,'Ist Vorjahr Monat 06'!A:A,0)),
IF(ISERROR(MATCH(D445,'Ist Vorjahr Monat 07'!A:A,0))=FALSE,INDEX('Ist Vorjahr Monat 07'!B:B,MATCH(D445,'Ist Vorjahr Monat 07'!A:A,0)),
IF(ISERROR(MATCH(D445,'Ist Vorjahr Monat 08'!A:A,0))=FALSE,INDEX('Ist Vorjahr Monat 08'!B:B,MATCH(D445,'Ist Vorjahr Monat 08'!A:A,0)),
IF(ISERROR(MATCH(D445,'Ist Vorjahr Monat 09'!A:A,0))=FALSE,INDEX('Ist Vorjahr Monat 09'!B:B,MATCH(D445,'Ist Vorjahr Monat 09'!A:A,0)),
IF(ISERROR(MATCH(D445,'Ist Vorjahr Monat 10'!A:A,0))=FALSE,INDEX('Ist Vorjahr Monat 10'!B:B,MATCH(D445,'Ist Vorjahr Monat 10'!A:A,0)),
IF(ISERROR(MATCH(D445,'Ist Vorjahr Monat 11'!A:A,0))=FALSE,INDEX('Ist Vorjahr Monat 11'!B:B,MATCH(D445,'Ist Vorjahr Monat 11'!A:A,0)),
IF(ISERROR(MATCH(D445,'Ist Vorjahr Monat 12'!A:A,0))=FALSE,INDEX('Ist Vorjahr Monat 12'!B:B,MATCH(D445,'Ist Vorjahr Monat 12'!A:A,0)),
"{Konto unbekannt}"
)))))))))))),"")</f>
        <v/>
      </c>
      <c r="C445" s="1062"/>
      <c r="D445" s="1067"/>
      <c r="E445" s="625">
        <f t="shared" si="186"/>
        <v>1</v>
      </c>
      <c r="F445" s="626"/>
      <c r="G445" s="593">
        <f ca="1">$E445*(-SUMIF(INDIRECT(G$3),'Struktur Vorjahr'!$D445,INDIRECT(G$4))+SUMIF(INDIRECT(G$3),'Struktur Vorjahr'!$D445,INDIRECT(G$5)))</f>
        <v>0</v>
      </c>
      <c r="H445" s="593">
        <f ca="1">$E445*(-SUMIF(INDIRECT(H$3),'Struktur Vorjahr'!$D445,INDIRECT(H$4))+SUMIF(INDIRECT(H$3),'Struktur Vorjahr'!$D445,INDIRECT(H$5)))</f>
        <v>0</v>
      </c>
      <c r="I445" s="593">
        <f ca="1">$E445*(-SUMIF(INDIRECT(I$3),'Struktur Vorjahr'!$D445,INDIRECT(I$4))+SUMIF(INDIRECT(I$3),'Struktur Vorjahr'!$D445,INDIRECT(I$5)))</f>
        <v>0</v>
      </c>
      <c r="J445" s="593">
        <f ca="1">$E445*(-SUMIF(INDIRECT(J$3),'Struktur Vorjahr'!$D445,INDIRECT(J$4))+SUMIF(INDIRECT(J$3),'Struktur Vorjahr'!$D445,INDIRECT(J$5)))</f>
        <v>0</v>
      </c>
      <c r="K445" s="593">
        <f ca="1">$E445*(-SUMIF(INDIRECT(K$3),'Struktur Vorjahr'!$D445,INDIRECT(K$4))+SUMIF(INDIRECT(K$3),'Struktur Vorjahr'!$D445,INDIRECT(K$5)))</f>
        <v>0</v>
      </c>
      <c r="L445" s="593">
        <f ca="1">$E445*(-SUMIF(INDIRECT(L$3),'Struktur Vorjahr'!$D445,INDIRECT(L$4))+SUMIF(INDIRECT(L$3),'Struktur Vorjahr'!$D445,INDIRECT(L$5)))</f>
        <v>0</v>
      </c>
      <c r="M445" s="593">
        <f ca="1">$E445*(-SUMIF(INDIRECT(M$3),'Struktur Vorjahr'!$D445,INDIRECT(M$4))+SUMIF(INDIRECT(M$3),'Struktur Vorjahr'!$D445,INDIRECT(M$5)))</f>
        <v>0</v>
      </c>
      <c r="N445" s="593">
        <f ca="1">$E445*(-SUMIF(INDIRECT(N$3),'Struktur Vorjahr'!$D445,INDIRECT(N$4))+SUMIF(INDIRECT(N$3),'Struktur Vorjahr'!$D445,INDIRECT(N$5)))</f>
        <v>0</v>
      </c>
      <c r="O445" s="593">
        <f ca="1">$E445*(-SUMIF(INDIRECT(O$3),'Struktur Vorjahr'!$D445,INDIRECT(O$4))+SUMIF(INDIRECT(O$3),'Struktur Vorjahr'!$D445,INDIRECT(O$5)))</f>
        <v>0</v>
      </c>
      <c r="P445" s="593">
        <f ca="1">$E445*(-SUMIF(INDIRECT(P$3),'Struktur Vorjahr'!$D445,INDIRECT(P$4))+SUMIF(INDIRECT(P$3),'Struktur Vorjahr'!$D445,INDIRECT(P$5)))</f>
        <v>0</v>
      </c>
      <c r="Q445" s="593">
        <f ca="1">$E445*(-SUMIF(INDIRECT(Q$3),'Struktur Vorjahr'!$D445,INDIRECT(Q$4))+SUMIF(INDIRECT(Q$3),'Struktur Vorjahr'!$D445,INDIRECT(Q$5)))</f>
        <v>0</v>
      </c>
      <c r="R445" s="593">
        <f ca="1">$E445*(-SUMIF(INDIRECT(R$3),'Struktur Vorjahr'!$D445,INDIRECT(R$4))+SUMIF(INDIRECT(R$3),'Struktur Vorjahr'!$D445,INDIRECT(R$5)))</f>
        <v>0</v>
      </c>
      <c r="S445" s="593">
        <f ca="1">$E445*(-SUMIF(INDIRECT(S$3),'Struktur Vorjahr'!$D445,INDIRECT(S$4))+SUMIF(INDIRECT(S$3),'Struktur Vorjahr'!$D445,INDIRECT(S$5)))</f>
        <v>0</v>
      </c>
      <c r="T445" s="593">
        <f ca="1">$E445*(-SUMIF(INDIRECT(T$3),'Struktur Vorjahr'!$D445,INDIRECT(T$4))+SUMIF(INDIRECT(T$3),'Struktur Vorjahr'!$D445,INDIRECT(T$5)))</f>
        <v>0</v>
      </c>
      <c r="U445" s="593">
        <f ca="1">$E445*(-SUMIF(INDIRECT(U$3),'Struktur Vorjahr'!$D445,INDIRECT(U$4))+SUMIF(INDIRECT(U$3),'Struktur Vorjahr'!$D445,INDIRECT(U$5)))</f>
        <v>0</v>
      </c>
      <c r="V445" s="593">
        <f ca="1">$E445*(-SUMIF(INDIRECT(V$3),'Struktur Vorjahr'!$D445,INDIRECT(V$4))+SUMIF(INDIRECT(V$3),'Struktur Vorjahr'!$D445,INDIRECT(V$5)))</f>
        <v>0</v>
      </c>
      <c r="W445" s="593">
        <f ca="1">$E445*(-SUMIF(INDIRECT(W$3),'Struktur Vorjahr'!$D445,INDIRECT(W$4))+SUMIF(INDIRECT(W$3),'Struktur Vorjahr'!$D445,INDIRECT(W$5)))</f>
        <v>0</v>
      </c>
      <c r="X445" s="593">
        <f ca="1">$E445*(-SUMIF(INDIRECT(X$3),'Struktur Vorjahr'!$D445,INDIRECT(X$4))+SUMIF(INDIRECT(X$3),'Struktur Vorjahr'!$D445,INDIRECT(X$5)))</f>
        <v>0</v>
      </c>
      <c r="Y445" s="593">
        <f ca="1">$E445*(-SUMIF(INDIRECT(Y$3),'Struktur Vorjahr'!$D445,INDIRECT(Y$4))+SUMIF(INDIRECT(Y$3),'Struktur Vorjahr'!$D445,INDIRECT(Y$5)))</f>
        <v>0</v>
      </c>
      <c r="Z445" s="593">
        <f ca="1">$E445*(-SUMIF(INDIRECT(Z$3),'Struktur Vorjahr'!$D445,INDIRECT(Z$4))+SUMIF(INDIRECT(Z$3),'Struktur Vorjahr'!$D445,INDIRECT(Z$5)))</f>
        <v>0</v>
      </c>
      <c r="AA445" s="593">
        <f ca="1">$E445*(-SUMIF(INDIRECT(AA$3),'Struktur Vorjahr'!$D445,INDIRECT(AA$4))+SUMIF(INDIRECT(AA$3),'Struktur Vorjahr'!$D445,INDIRECT(AA$5)))</f>
        <v>0</v>
      </c>
      <c r="AB445" s="593">
        <f ca="1">$E445*(-SUMIF(INDIRECT(AB$3),'Struktur Vorjahr'!$D445,INDIRECT(AB$4))+SUMIF(INDIRECT(AB$3),'Struktur Vorjahr'!$D445,INDIRECT(AB$5)))</f>
        <v>0</v>
      </c>
      <c r="AC445" s="593">
        <f ca="1">$E445*(-SUMIF(INDIRECT(AC$3),'Struktur Vorjahr'!$D445,INDIRECT(AC$4))+SUMIF(INDIRECT(AC$3),'Struktur Vorjahr'!$D445,INDIRECT(AC$5)))</f>
        <v>0</v>
      </c>
      <c r="AD445" s="593">
        <f ca="1">$E445*(-SUMIF(INDIRECT(AD$3),'Struktur Vorjahr'!$D445,INDIRECT(AD$4))+SUMIF(INDIRECT(AD$3),'Struktur Vorjahr'!$D445,INDIRECT(AD$5)))</f>
        <v>0</v>
      </c>
      <c r="AE445" s="593">
        <f t="shared" ca="1" si="225"/>
        <v>0</v>
      </c>
      <c r="AF445" s="593">
        <f t="shared" ca="1" si="226"/>
        <v>0</v>
      </c>
      <c r="AG445" s="593">
        <f t="shared" ca="1" si="226"/>
        <v>0</v>
      </c>
      <c r="AH445" s="593">
        <f t="shared" ca="1" si="226"/>
        <v>0</v>
      </c>
      <c r="AI445" s="593">
        <f t="shared" ca="1" si="226"/>
        <v>0</v>
      </c>
      <c r="AJ445" s="593">
        <f t="shared" ca="1" si="226"/>
        <v>0</v>
      </c>
      <c r="AK445" s="593">
        <f t="shared" ca="1" si="226"/>
        <v>0</v>
      </c>
      <c r="AL445" s="593">
        <f t="shared" ca="1" si="226"/>
        <v>0</v>
      </c>
      <c r="AM445" s="593">
        <f t="shared" ca="1" si="226"/>
        <v>0</v>
      </c>
      <c r="AN445" s="593">
        <f t="shared" ca="1" si="226"/>
        <v>0</v>
      </c>
      <c r="AO445" s="593">
        <f t="shared" ca="1" si="226"/>
        <v>0</v>
      </c>
      <c r="AP445" s="593">
        <f t="shared" ca="1" si="226"/>
        <v>0</v>
      </c>
    </row>
    <row r="446" spans="1:42" s="594" customFormat="1" ht="11.25" outlineLevel="1" x14ac:dyDescent="0.2">
      <c r="A446" s="644"/>
      <c r="B446" s="591" t="str">
        <f>IF(D446&lt;&gt;"",
IF(ISERROR(MATCH(D446,'Ist Vorjahr Monat 01'!A:A,0))=FALSE,INDEX('Ist Vorjahr Monat 01'!B:B,MATCH(D446,'Ist Vorjahr Monat 01'!A:A,0)),
IF(ISERROR(MATCH(D446,'Ist Vorjahr Monat 02'!A:A,0))=FALSE,INDEX('Ist Vorjahr Monat 02'!B:B,MATCH(D446,'Ist Vorjahr Monat 02'!A:A,0)),
IF(ISERROR(MATCH(D446,'Ist Vorjahr Monat 03'!A:A,0))=FALSE,INDEX('Ist Vorjahr Monat 03'!B:B,MATCH(D446,'Ist Vorjahr Monat 03'!A:A,0)),
IF(ISERROR(MATCH(D446,'Ist Vorjahr Monat 04'!A:A,0))=FALSE,INDEX('Ist Vorjahr Monat 04'!B:B,MATCH(D446,'Ist Vorjahr Monat 04'!A:A,0)),
IF(ISERROR(MATCH(D446,'Ist Vorjahr Monat 05'!A:A,0))=FALSE,INDEX('Ist Vorjahr Monat 05'!B:B,MATCH(D446,'Ist Vorjahr Monat 05'!A:A,0)),
IF(ISERROR(MATCH(D446,'Ist Vorjahr Monat 06'!A:A,0))=FALSE,INDEX('Ist Vorjahr Monat 06'!B:B,MATCH(D446,'Ist Vorjahr Monat 06'!A:A,0)),
IF(ISERROR(MATCH(D446,'Ist Vorjahr Monat 07'!A:A,0))=FALSE,INDEX('Ist Vorjahr Monat 07'!B:B,MATCH(D446,'Ist Vorjahr Monat 07'!A:A,0)),
IF(ISERROR(MATCH(D446,'Ist Vorjahr Monat 08'!A:A,0))=FALSE,INDEX('Ist Vorjahr Monat 08'!B:B,MATCH(D446,'Ist Vorjahr Monat 08'!A:A,0)),
IF(ISERROR(MATCH(D446,'Ist Vorjahr Monat 09'!A:A,0))=FALSE,INDEX('Ist Vorjahr Monat 09'!B:B,MATCH(D446,'Ist Vorjahr Monat 09'!A:A,0)),
IF(ISERROR(MATCH(D446,'Ist Vorjahr Monat 10'!A:A,0))=FALSE,INDEX('Ist Vorjahr Monat 10'!B:B,MATCH(D446,'Ist Vorjahr Monat 10'!A:A,0)),
IF(ISERROR(MATCH(D446,'Ist Vorjahr Monat 11'!A:A,0))=FALSE,INDEX('Ist Vorjahr Monat 11'!B:B,MATCH(D446,'Ist Vorjahr Monat 11'!A:A,0)),
IF(ISERROR(MATCH(D446,'Ist Vorjahr Monat 12'!A:A,0))=FALSE,INDEX('Ist Vorjahr Monat 12'!B:B,MATCH(D446,'Ist Vorjahr Monat 12'!A:A,0)),
"{Konto unbekannt}"
)))))))))))),"")</f>
        <v/>
      </c>
      <c r="C446" s="1062"/>
      <c r="D446" s="1067"/>
      <c r="E446" s="625">
        <f t="shared" si="186"/>
        <v>1</v>
      </c>
      <c r="F446" s="626"/>
      <c r="G446" s="593">
        <f ca="1">$E446*(-SUMIF(INDIRECT(G$3),'Struktur Vorjahr'!$D446,INDIRECT(G$4))+SUMIF(INDIRECT(G$3),'Struktur Vorjahr'!$D446,INDIRECT(G$5)))</f>
        <v>0</v>
      </c>
      <c r="H446" s="593">
        <f ca="1">$E446*(-SUMIF(INDIRECT(H$3),'Struktur Vorjahr'!$D446,INDIRECT(H$4))+SUMIF(INDIRECT(H$3),'Struktur Vorjahr'!$D446,INDIRECT(H$5)))</f>
        <v>0</v>
      </c>
      <c r="I446" s="593">
        <f ca="1">$E446*(-SUMIF(INDIRECT(I$3),'Struktur Vorjahr'!$D446,INDIRECT(I$4))+SUMIF(INDIRECT(I$3),'Struktur Vorjahr'!$D446,INDIRECT(I$5)))</f>
        <v>0</v>
      </c>
      <c r="J446" s="593">
        <f ca="1">$E446*(-SUMIF(INDIRECT(J$3),'Struktur Vorjahr'!$D446,INDIRECT(J$4))+SUMIF(INDIRECT(J$3),'Struktur Vorjahr'!$D446,INDIRECT(J$5)))</f>
        <v>0</v>
      </c>
      <c r="K446" s="593">
        <f ca="1">$E446*(-SUMIF(INDIRECT(K$3),'Struktur Vorjahr'!$D446,INDIRECT(K$4))+SUMIF(INDIRECT(K$3),'Struktur Vorjahr'!$D446,INDIRECT(K$5)))</f>
        <v>0</v>
      </c>
      <c r="L446" s="593">
        <f ca="1">$E446*(-SUMIF(INDIRECT(L$3),'Struktur Vorjahr'!$D446,INDIRECT(L$4))+SUMIF(INDIRECT(L$3),'Struktur Vorjahr'!$D446,INDIRECT(L$5)))</f>
        <v>0</v>
      </c>
      <c r="M446" s="593">
        <f ca="1">$E446*(-SUMIF(INDIRECT(M$3),'Struktur Vorjahr'!$D446,INDIRECT(M$4))+SUMIF(INDIRECT(M$3),'Struktur Vorjahr'!$D446,INDIRECT(M$5)))</f>
        <v>0</v>
      </c>
      <c r="N446" s="593">
        <f ca="1">$E446*(-SUMIF(INDIRECT(N$3),'Struktur Vorjahr'!$D446,INDIRECT(N$4))+SUMIF(INDIRECT(N$3),'Struktur Vorjahr'!$D446,INDIRECT(N$5)))</f>
        <v>0</v>
      </c>
      <c r="O446" s="593">
        <f ca="1">$E446*(-SUMIF(INDIRECT(O$3),'Struktur Vorjahr'!$D446,INDIRECT(O$4))+SUMIF(INDIRECT(O$3),'Struktur Vorjahr'!$D446,INDIRECT(O$5)))</f>
        <v>0</v>
      </c>
      <c r="P446" s="593">
        <f ca="1">$E446*(-SUMIF(INDIRECT(P$3),'Struktur Vorjahr'!$D446,INDIRECT(P$4))+SUMIF(INDIRECT(P$3),'Struktur Vorjahr'!$D446,INDIRECT(P$5)))</f>
        <v>0</v>
      </c>
      <c r="Q446" s="593">
        <f ca="1">$E446*(-SUMIF(INDIRECT(Q$3),'Struktur Vorjahr'!$D446,INDIRECT(Q$4))+SUMIF(INDIRECT(Q$3),'Struktur Vorjahr'!$D446,INDIRECT(Q$5)))</f>
        <v>0</v>
      </c>
      <c r="R446" s="593">
        <f ca="1">$E446*(-SUMIF(INDIRECT(R$3),'Struktur Vorjahr'!$D446,INDIRECT(R$4))+SUMIF(INDIRECT(R$3),'Struktur Vorjahr'!$D446,INDIRECT(R$5)))</f>
        <v>0</v>
      </c>
      <c r="S446" s="593">
        <f ca="1">$E446*(-SUMIF(INDIRECT(S$3),'Struktur Vorjahr'!$D446,INDIRECT(S$4))+SUMIF(INDIRECT(S$3),'Struktur Vorjahr'!$D446,INDIRECT(S$5)))</f>
        <v>0</v>
      </c>
      <c r="T446" s="593">
        <f ca="1">$E446*(-SUMIF(INDIRECT(T$3),'Struktur Vorjahr'!$D446,INDIRECT(T$4))+SUMIF(INDIRECT(T$3),'Struktur Vorjahr'!$D446,INDIRECT(T$5)))</f>
        <v>0</v>
      </c>
      <c r="U446" s="593">
        <f ca="1">$E446*(-SUMIF(INDIRECT(U$3),'Struktur Vorjahr'!$D446,INDIRECT(U$4))+SUMIF(INDIRECT(U$3),'Struktur Vorjahr'!$D446,INDIRECT(U$5)))</f>
        <v>0</v>
      </c>
      <c r="V446" s="593">
        <f ca="1">$E446*(-SUMIF(INDIRECT(V$3),'Struktur Vorjahr'!$D446,INDIRECT(V$4))+SUMIF(INDIRECT(V$3),'Struktur Vorjahr'!$D446,INDIRECT(V$5)))</f>
        <v>0</v>
      </c>
      <c r="W446" s="593">
        <f ca="1">$E446*(-SUMIF(INDIRECT(W$3),'Struktur Vorjahr'!$D446,INDIRECT(W$4))+SUMIF(INDIRECT(W$3),'Struktur Vorjahr'!$D446,INDIRECT(W$5)))</f>
        <v>0</v>
      </c>
      <c r="X446" s="593">
        <f ca="1">$E446*(-SUMIF(INDIRECT(X$3),'Struktur Vorjahr'!$D446,INDIRECT(X$4))+SUMIF(INDIRECT(X$3),'Struktur Vorjahr'!$D446,INDIRECT(X$5)))</f>
        <v>0</v>
      </c>
      <c r="Y446" s="593">
        <f ca="1">$E446*(-SUMIF(INDIRECT(Y$3),'Struktur Vorjahr'!$D446,INDIRECT(Y$4))+SUMIF(INDIRECT(Y$3),'Struktur Vorjahr'!$D446,INDIRECT(Y$5)))</f>
        <v>0</v>
      </c>
      <c r="Z446" s="593">
        <f ca="1">$E446*(-SUMIF(INDIRECT(Z$3),'Struktur Vorjahr'!$D446,INDIRECT(Z$4))+SUMIF(INDIRECT(Z$3),'Struktur Vorjahr'!$D446,INDIRECT(Z$5)))</f>
        <v>0</v>
      </c>
      <c r="AA446" s="593">
        <f ca="1">$E446*(-SUMIF(INDIRECT(AA$3),'Struktur Vorjahr'!$D446,INDIRECT(AA$4))+SUMIF(INDIRECT(AA$3),'Struktur Vorjahr'!$D446,INDIRECT(AA$5)))</f>
        <v>0</v>
      </c>
      <c r="AB446" s="593">
        <f ca="1">$E446*(-SUMIF(INDIRECT(AB$3),'Struktur Vorjahr'!$D446,INDIRECT(AB$4))+SUMIF(INDIRECT(AB$3),'Struktur Vorjahr'!$D446,INDIRECT(AB$5)))</f>
        <v>0</v>
      </c>
      <c r="AC446" s="593">
        <f ca="1">$E446*(-SUMIF(INDIRECT(AC$3),'Struktur Vorjahr'!$D446,INDIRECT(AC$4))+SUMIF(INDIRECT(AC$3),'Struktur Vorjahr'!$D446,INDIRECT(AC$5)))</f>
        <v>0</v>
      </c>
      <c r="AD446" s="593">
        <f ca="1">$E446*(-SUMIF(INDIRECT(AD$3),'Struktur Vorjahr'!$D446,INDIRECT(AD$4))+SUMIF(INDIRECT(AD$3),'Struktur Vorjahr'!$D446,INDIRECT(AD$5)))</f>
        <v>0</v>
      </c>
      <c r="AE446" s="593">
        <f t="shared" ca="1" si="225"/>
        <v>0</v>
      </c>
      <c r="AF446" s="593">
        <f t="shared" ca="1" si="226"/>
        <v>0</v>
      </c>
      <c r="AG446" s="593">
        <f t="shared" ca="1" si="226"/>
        <v>0</v>
      </c>
      <c r="AH446" s="593">
        <f t="shared" ca="1" si="226"/>
        <v>0</v>
      </c>
      <c r="AI446" s="593">
        <f t="shared" ca="1" si="226"/>
        <v>0</v>
      </c>
      <c r="AJ446" s="593">
        <f t="shared" ca="1" si="226"/>
        <v>0</v>
      </c>
      <c r="AK446" s="593">
        <f t="shared" ca="1" si="226"/>
        <v>0</v>
      </c>
      <c r="AL446" s="593">
        <f t="shared" ca="1" si="226"/>
        <v>0</v>
      </c>
      <c r="AM446" s="593">
        <f t="shared" ca="1" si="226"/>
        <v>0</v>
      </c>
      <c r="AN446" s="593">
        <f t="shared" ca="1" si="226"/>
        <v>0</v>
      </c>
      <c r="AO446" s="593">
        <f t="shared" ca="1" si="226"/>
        <v>0</v>
      </c>
      <c r="AP446" s="593">
        <f t="shared" ca="1" si="226"/>
        <v>0</v>
      </c>
    </row>
    <row r="447" spans="1:42" s="594" customFormat="1" ht="11.25" outlineLevel="1" x14ac:dyDescent="0.2">
      <c r="A447" s="644"/>
      <c r="B447" s="591" t="str">
        <f>IF(D447&lt;&gt;"",
IF(ISERROR(MATCH(D447,'Ist Vorjahr Monat 01'!A:A,0))=FALSE,INDEX('Ist Vorjahr Monat 01'!B:B,MATCH(D447,'Ist Vorjahr Monat 01'!A:A,0)),
IF(ISERROR(MATCH(D447,'Ist Vorjahr Monat 02'!A:A,0))=FALSE,INDEX('Ist Vorjahr Monat 02'!B:B,MATCH(D447,'Ist Vorjahr Monat 02'!A:A,0)),
IF(ISERROR(MATCH(D447,'Ist Vorjahr Monat 03'!A:A,0))=FALSE,INDEX('Ist Vorjahr Monat 03'!B:B,MATCH(D447,'Ist Vorjahr Monat 03'!A:A,0)),
IF(ISERROR(MATCH(D447,'Ist Vorjahr Monat 04'!A:A,0))=FALSE,INDEX('Ist Vorjahr Monat 04'!B:B,MATCH(D447,'Ist Vorjahr Monat 04'!A:A,0)),
IF(ISERROR(MATCH(D447,'Ist Vorjahr Monat 05'!A:A,0))=FALSE,INDEX('Ist Vorjahr Monat 05'!B:B,MATCH(D447,'Ist Vorjahr Monat 05'!A:A,0)),
IF(ISERROR(MATCH(D447,'Ist Vorjahr Monat 06'!A:A,0))=FALSE,INDEX('Ist Vorjahr Monat 06'!B:B,MATCH(D447,'Ist Vorjahr Monat 06'!A:A,0)),
IF(ISERROR(MATCH(D447,'Ist Vorjahr Monat 07'!A:A,0))=FALSE,INDEX('Ist Vorjahr Monat 07'!B:B,MATCH(D447,'Ist Vorjahr Monat 07'!A:A,0)),
IF(ISERROR(MATCH(D447,'Ist Vorjahr Monat 08'!A:A,0))=FALSE,INDEX('Ist Vorjahr Monat 08'!B:B,MATCH(D447,'Ist Vorjahr Monat 08'!A:A,0)),
IF(ISERROR(MATCH(D447,'Ist Vorjahr Monat 09'!A:A,0))=FALSE,INDEX('Ist Vorjahr Monat 09'!B:B,MATCH(D447,'Ist Vorjahr Monat 09'!A:A,0)),
IF(ISERROR(MATCH(D447,'Ist Vorjahr Monat 10'!A:A,0))=FALSE,INDEX('Ist Vorjahr Monat 10'!B:B,MATCH(D447,'Ist Vorjahr Monat 10'!A:A,0)),
IF(ISERROR(MATCH(D447,'Ist Vorjahr Monat 11'!A:A,0))=FALSE,INDEX('Ist Vorjahr Monat 11'!B:B,MATCH(D447,'Ist Vorjahr Monat 11'!A:A,0)),
IF(ISERROR(MATCH(D447,'Ist Vorjahr Monat 12'!A:A,0))=FALSE,INDEX('Ist Vorjahr Monat 12'!B:B,MATCH(D447,'Ist Vorjahr Monat 12'!A:A,0)),
"{Konto unbekannt}"
)))))))))))),"")</f>
        <v/>
      </c>
      <c r="C447" s="1062"/>
      <c r="D447" s="1067"/>
      <c r="E447" s="625">
        <f t="shared" si="186"/>
        <v>1</v>
      </c>
      <c r="F447" s="626"/>
      <c r="G447" s="593">
        <f ca="1">$E447*(-SUMIF(INDIRECT(G$3),'Struktur Vorjahr'!$D447,INDIRECT(G$4))+SUMIF(INDIRECT(G$3),'Struktur Vorjahr'!$D447,INDIRECT(G$5)))</f>
        <v>0</v>
      </c>
      <c r="H447" s="593">
        <f ca="1">$E447*(-SUMIF(INDIRECT(H$3),'Struktur Vorjahr'!$D447,INDIRECT(H$4))+SUMIF(INDIRECT(H$3),'Struktur Vorjahr'!$D447,INDIRECT(H$5)))</f>
        <v>0</v>
      </c>
      <c r="I447" s="593">
        <f ca="1">$E447*(-SUMIF(INDIRECT(I$3),'Struktur Vorjahr'!$D447,INDIRECT(I$4))+SUMIF(INDIRECT(I$3),'Struktur Vorjahr'!$D447,INDIRECT(I$5)))</f>
        <v>0</v>
      </c>
      <c r="J447" s="593">
        <f ca="1">$E447*(-SUMIF(INDIRECT(J$3),'Struktur Vorjahr'!$D447,INDIRECT(J$4))+SUMIF(INDIRECT(J$3),'Struktur Vorjahr'!$D447,INDIRECT(J$5)))</f>
        <v>0</v>
      </c>
      <c r="K447" s="593">
        <f ca="1">$E447*(-SUMIF(INDIRECT(K$3),'Struktur Vorjahr'!$D447,INDIRECT(K$4))+SUMIF(INDIRECT(K$3),'Struktur Vorjahr'!$D447,INDIRECT(K$5)))</f>
        <v>0</v>
      </c>
      <c r="L447" s="593">
        <f ca="1">$E447*(-SUMIF(INDIRECT(L$3),'Struktur Vorjahr'!$D447,INDIRECT(L$4))+SUMIF(INDIRECT(L$3),'Struktur Vorjahr'!$D447,INDIRECT(L$5)))</f>
        <v>0</v>
      </c>
      <c r="M447" s="593">
        <f ca="1">$E447*(-SUMIF(INDIRECT(M$3),'Struktur Vorjahr'!$D447,INDIRECT(M$4))+SUMIF(INDIRECT(M$3),'Struktur Vorjahr'!$D447,INDIRECT(M$5)))</f>
        <v>0</v>
      </c>
      <c r="N447" s="593">
        <f ca="1">$E447*(-SUMIF(INDIRECT(N$3),'Struktur Vorjahr'!$D447,INDIRECT(N$4))+SUMIF(INDIRECT(N$3),'Struktur Vorjahr'!$D447,INDIRECT(N$5)))</f>
        <v>0</v>
      </c>
      <c r="O447" s="593">
        <f ca="1">$E447*(-SUMIF(INDIRECT(O$3),'Struktur Vorjahr'!$D447,INDIRECT(O$4))+SUMIF(INDIRECT(O$3),'Struktur Vorjahr'!$D447,INDIRECT(O$5)))</f>
        <v>0</v>
      </c>
      <c r="P447" s="593">
        <f ca="1">$E447*(-SUMIF(INDIRECT(P$3),'Struktur Vorjahr'!$D447,INDIRECT(P$4))+SUMIF(INDIRECT(P$3),'Struktur Vorjahr'!$D447,INDIRECT(P$5)))</f>
        <v>0</v>
      </c>
      <c r="Q447" s="593">
        <f ca="1">$E447*(-SUMIF(INDIRECT(Q$3),'Struktur Vorjahr'!$D447,INDIRECT(Q$4))+SUMIF(INDIRECT(Q$3),'Struktur Vorjahr'!$D447,INDIRECT(Q$5)))</f>
        <v>0</v>
      </c>
      <c r="R447" s="593">
        <f ca="1">$E447*(-SUMIF(INDIRECT(R$3),'Struktur Vorjahr'!$D447,INDIRECT(R$4))+SUMIF(INDIRECT(R$3),'Struktur Vorjahr'!$D447,INDIRECT(R$5)))</f>
        <v>0</v>
      </c>
      <c r="S447" s="593">
        <f ca="1">$E447*(-SUMIF(INDIRECT(S$3),'Struktur Vorjahr'!$D447,INDIRECT(S$4))+SUMIF(INDIRECT(S$3),'Struktur Vorjahr'!$D447,INDIRECT(S$5)))</f>
        <v>0</v>
      </c>
      <c r="T447" s="593">
        <f ca="1">$E447*(-SUMIF(INDIRECT(T$3),'Struktur Vorjahr'!$D447,INDIRECT(T$4))+SUMIF(INDIRECT(T$3),'Struktur Vorjahr'!$D447,INDIRECT(T$5)))</f>
        <v>0</v>
      </c>
      <c r="U447" s="593">
        <f ca="1">$E447*(-SUMIF(INDIRECT(U$3),'Struktur Vorjahr'!$D447,INDIRECT(U$4))+SUMIF(INDIRECT(U$3),'Struktur Vorjahr'!$D447,INDIRECT(U$5)))</f>
        <v>0</v>
      </c>
      <c r="V447" s="593">
        <f ca="1">$E447*(-SUMIF(INDIRECT(V$3),'Struktur Vorjahr'!$D447,INDIRECT(V$4))+SUMIF(INDIRECT(V$3),'Struktur Vorjahr'!$D447,INDIRECT(V$5)))</f>
        <v>0</v>
      </c>
      <c r="W447" s="593">
        <f ca="1">$E447*(-SUMIF(INDIRECT(W$3),'Struktur Vorjahr'!$D447,INDIRECT(W$4))+SUMIF(INDIRECT(W$3),'Struktur Vorjahr'!$D447,INDIRECT(W$5)))</f>
        <v>0</v>
      </c>
      <c r="X447" s="593">
        <f ca="1">$E447*(-SUMIF(INDIRECT(X$3),'Struktur Vorjahr'!$D447,INDIRECT(X$4))+SUMIF(INDIRECT(X$3),'Struktur Vorjahr'!$D447,INDIRECT(X$5)))</f>
        <v>0</v>
      </c>
      <c r="Y447" s="593">
        <f ca="1">$E447*(-SUMIF(INDIRECT(Y$3),'Struktur Vorjahr'!$D447,INDIRECT(Y$4))+SUMIF(INDIRECT(Y$3),'Struktur Vorjahr'!$D447,INDIRECT(Y$5)))</f>
        <v>0</v>
      </c>
      <c r="Z447" s="593">
        <f ca="1">$E447*(-SUMIF(INDIRECT(Z$3),'Struktur Vorjahr'!$D447,INDIRECT(Z$4))+SUMIF(INDIRECT(Z$3),'Struktur Vorjahr'!$D447,INDIRECT(Z$5)))</f>
        <v>0</v>
      </c>
      <c r="AA447" s="593">
        <f ca="1">$E447*(-SUMIF(INDIRECT(AA$3),'Struktur Vorjahr'!$D447,INDIRECT(AA$4))+SUMIF(INDIRECT(AA$3),'Struktur Vorjahr'!$D447,INDIRECT(AA$5)))</f>
        <v>0</v>
      </c>
      <c r="AB447" s="593">
        <f ca="1">$E447*(-SUMIF(INDIRECT(AB$3),'Struktur Vorjahr'!$D447,INDIRECT(AB$4))+SUMIF(INDIRECT(AB$3),'Struktur Vorjahr'!$D447,INDIRECT(AB$5)))</f>
        <v>0</v>
      </c>
      <c r="AC447" s="593">
        <f ca="1">$E447*(-SUMIF(INDIRECT(AC$3),'Struktur Vorjahr'!$D447,INDIRECT(AC$4))+SUMIF(INDIRECT(AC$3),'Struktur Vorjahr'!$D447,INDIRECT(AC$5)))</f>
        <v>0</v>
      </c>
      <c r="AD447" s="593">
        <f ca="1">$E447*(-SUMIF(INDIRECT(AD$3),'Struktur Vorjahr'!$D447,INDIRECT(AD$4))+SUMIF(INDIRECT(AD$3),'Struktur Vorjahr'!$D447,INDIRECT(AD$5)))</f>
        <v>0</v>
      </c>
      <c r="AE447" s="593">
        <f t="shared" ca="1" si="225"/>
        <v>0</v>
      </c>
      <c r="AF447" s="593">
        <f t="shared" ca="1" si="226"/>
        <v>0</v>
      </c>
      <c r="AG447" s="593">
        <f t="shared" ca="1" si="226"/>
        <v>0</v>
      </c>
      <c r="AH447" s="593">
        <f t="shared" ca="1" si="226"/>
        <v>0</v>
      </c>
      <c r="AI447" s="593">
        <f t="shared" ca="1" si="226"/>
        <v>0</v>
      </c>
      <c r="AJ447" s="593">
        <f t="shared" ca="1" si="226"/>
        <v>0</v>
      </c>
      <c r="AK447" s="593">
        <f t="shared" ca="1" si="226"/>
        <v>0</v>
      </c>
      <c r="AL447" s="593">
        <f t="shared" ca="1" si="226"/>
        <v>0</v>
      </c>
      <c r="AM447" s="593">
        <f t="shared" ca="1" si="226"/>
        <v>0</v>
      </c>
      <c r="AN447" s="593">
        <f t="shared" ca="1" si="226"/>
        <v>0</v>
      </c>
      <c r="AO447" s="593">
        <f t="shared" ca="1" si="226"/>
        <v>0</v>
      </c>
      <c r="AP447" s="593">
        <f t="shared" ca="1" si="226"/>
        <v>0</v>
      </c>
    </row>
    <row r="448" spans="1:42" s="594" customFormat="1" ht="11.25" outlineLevel="1" x14ac:dyDescent="0.2">
      <c r="A448" s="644"/>
      <c r="B448" s="591" t="str">
        <f>IF(D448&lt;&gt;"",
IF(ISERROR(MATCH(D448,'Ist Vorjahr Monat 01'!A:A,0))=FALSE,INDEX('Ist Vorjahr Monat 01'!B:B,MATCH(D448,'Ist Vorjahr Monat 01'!A:A,0)),
IF(ISERROR(MATCH(D448,'Ist Vorjahr Monat 02'!A:A,0))=FALSE,INDEX('Ist Vorjahr Monat 02'!B:B,MATCH(D448,'Ist Vorjahr Monat 02'!A:A,0)),
IF(ISERROR(MATCH(D448,'Ist Vorjahr Monat 03'!A:A,0))=FALSE,INDEX('Ist Vorjahr Monat 03'!B:B,MATCH(D448,'Ist Vorjahr Monat 03'!A:A,0)),
IF(ISERROR(MATCH(D448,'Ist Vorjahr Monat 04'!A:A,0))=FALSE,INDEX('Ist Vorjahr Monat 04'!B:B,MATCH(D448,'Ist Vorjahr Monat 04'!A:A,0)),
IF(ISERROR(MATCH(D448,'Ist Vorjahr Monat 05'!A:A,0))=FALSE,INDEX('Ist Vorjahr Monat 05'!B:B,MATCH(D448,'Ist Vorjahr Monat 05'!A:A,0)),
IF(ISERROR(MATCH(D448,'Ist Vorjahr Monat 06'!A:A,0))=FALSE,INDEX('Ist Vorjahr Monat 06'!B:B,MATCH(D448,'Ist Vorjahr Monat 06'!A:A,0)),
IF(ISERROR(MATCH(D448,'Ist Vorjahr Monat 07'!A:A,0))=FALSE,INDEX('Ist Vorjahr Monat 07'!B:B,MATCH(D448,'Ist Vorjahr Monat 07'!A:A,0)),
IF(ISERROR(MATCH(D448,'Ist Vorjahr Monat 08'!A:A,0))=FALSE,INDEX('Ist Vorjahr Monat 08'!B:B,MATCH(D448,'Ist Vorjahr Monat 08'!A:A,0)),
IF(ISERROR(MATCH(D448,'Ist Vorjahr Monat 09'!A:A,0))=FALSE,INDEX('Ist Vorjahr Monat 09'!B:B,MATCH(D448,'Ist Vorjahr Monat 09'!A:A,0)),
IF(ISERROR(MATCH(D448,'Ist Vorjahr Monat 10'!A:A,0))=FALSE,INDEX('Ist Vorjahr Monat 10'!B:B,MATCH(D448,'Ist Vorjahr Monat 10'!A:A,0)),
IF(ISERROR(MATCH(D448,'Ist Vorjahr Monat 11'!A:A,0))=FALSE,INDEX('Ist Vorjahr Monat 11'!B:B,MATCH(D448,'Ist Vorjahr Monat 11'!A:A,0)),
IF(ISERROR(MATCH(D448,'Ist Vorjahr Monat 12'!A:A,0))=FALSE,INDEX('Ist Vorjahr Monat 12'!B:B,MATCH(D448,'Ist Vorjahr Monat 12'!A:A,0)),
"{Konto unbekannt}"
)))))))))))),"")</f>
        <v/>
      </c>
      <c r="C448" s="1062"/>
      <c r="D448" s="1067"/>
      <c r="E448" s="625">
        <f t="shared" si="186"/>
        <v>1</v>
      </c>
      <c r="F448" s="626"/>
      <c r="G448" s="593">
        <f ca="1">$E448*(-SUMIF(INDIRECT(G$3),'Struktur Vorjahr'!$D448,INDIRECT(G$4))+SUMIF(INDIRECT(G$3),'Struktur Vorjahr'!$D448,INDIRECT(G$5)))</f>
        <v>0</v>
      </c>
      <c r="H448" s="593">
        <f ca="1">$E448*(-SUMIF(INDIRECT(H$3),'Struktur Vorjahr'!$D448,INDIRECT(H$4))+SUMIF(INDIRECT(H$3),'Struktur Vorjahr'!$D448,INDIRECT(H$5)))</f>
        <v>0</v>
      </c>
      <c r="I448" s="593">
        <f ca="1">$E448*(-SUMIF(INDIRECT(I$3),'Struktur Vorjahr'!$D448,INDIRECT(I$4))+SUMIF(INDIRECT(I$3),'Struktur Vorjahr'!$D448,INDIRECT(I$5)))</f>
        <v>0</v>
      </c>
      <c r="J448" s="593">
        <f ca="1">$E448*(-SUMIF(INDIRECT(J$3),'Struktur Vorjahr'!$D448,INDIRECT(J$4))+SUMIF(INDIRECT(J$3),'Struktur Vorjahr'!$D448,INDIRECT(J$5)))</f>
        <v>0</v>
      </c>
      <c r="K448" s="593">
        <f ca="1">$E448*(-SUMIF(INDIRECT(K$3),'Struktur Vorjahr'!$D448,INDIRECT(K$4))+SUMIF(INDIRECT(K$3),'Struktur Vorjahr'!$D448,INDIRECT(K$5)))</f>
        <v>0</v>
      </c>
      <c r="L448" s="593">
        <f ca="1">$E448*(-SUMIF(INDIRECT(L$3),'Struktur Vorjahr'!$D448,INDIRECT(L$4))+SUMIF(INDIRECT(L$3),'Struktur Vorjahr'!$D448,INDIRECT(L$5)))</f>
        <v>0</v>
      </c>
      <c r="M448" s="593">
        <f ca="1">$E448*(-SUMIF(INDIRECT(M$3),'Struktur Vorjahr'!$D448,INDIRECT(M$4))+SUMIF(INDIRECT(M$3),'Struktur Vorjahr'!$D448,INDIRECT(M$5)))</f>
        <v>0</v>
      </c>
      <c r="N448" s="593">
        <f ca="1">$E448*(-SUMIF(INDIRECT(N$3),'Struktur Vorjahr'!$D448,INDIRECT(N$4))+SUMIF(INDIRECT(N$3),'Struktur Vorjahr'!$D448,INDIRECT(N$5)))</f>
        <v>0</v>
      </c>
      <c r="O448" s="593">
        <f ca="1">$E448*(-SUMIF(INDIRECT(O$3),'Struktur Vorjahr'!$D448,INDIRECT(O$4))+SUMIF(INDIRECT(O$3),'Struktur Vorjahr'!$D448,INDIRECT(O$5)))</f>
        <v>0</v>
      </c>
      <c r="P448" s="593">
        <f ca="1">$E448*(-SUMIF(INDIRECT(P$3),'Struktur Vorjahr'!$D448,INDIRECT(P$4))+SUMIF(INDIRECT(P$3),'Struktur Vorjahr'!$D448,INDIRECT(P$5)))</f>
        <v>0</v>
      </c>
      <c r="Q448" s="593">
        <f ca="1">$E448*(-SUMIF(INDIRECT(Q$3),'Struktur Vorjahr'!$D448,INDIRECT(Q$4))+SUMIF(INDIRECT(Q$3),'Struktur Vorjahr'!$D448,INDIRECT(Q$5)))</f>
        <v>0</v>
      </c>
      <c r="R448" s="593">
        <f ca="1">$E448*(-SUMIF(INDIRECT(R$3),'Struktur Vorjahr'!$D448,INDIRECT(R$4))+SUMIF(INDIRECT(R$3),'Struktur Vorjahr'!$D448,INDIRECT(R$5)))</f>
        <v>0</v>
      </c>
      <c r="S448" s="593">
        <f ca="1">$E448*(-SUMIF(INDIRECT(S$3),'Struktur Vorjahr'!$D448,INDIRECT(S$4))+SUMIF(INDIRECT(S$3),'Struktur Vorjahr'!$D448,INDIRECT(S$5)))</f>
        <v>0</v>
      </c>
      <c r="T448" s="593">
        <f ca="1">$E448*(-SUMIF(INDIRECT(T$3),'Struktur Vorjahr'!$D448,INDIRECT(T$4))+SUMIF(INDIRECT(T$3),'Struktur Vorjahr'!$D448,INDIRECT(T$5)))</f>
        <v>0</v>
      </c>
      <c r="U448" s="593">
        <f ca="1">$E448*(-SUMIF(INDIRECT(U$3),'Struktur Vorjahr'!$D448,INDIRECT(U$4))+SUMIF(INDIRECT(U$3),'Struktur Vorjahr'!$D448,INDIRECT(U$5)))</f>
        <v>0</v>
      </c>
      <c r="V448" s="593">
        <f ca="1">$E448*(-SUMIF(INDIRECT(V$3),'Struktur Vorjahr'!$D448,INDIRECT(V$4))+SUMIF(INDIRECT(V$3),'Struktur Vorjahr'!$D448,INDIRECT(V$5)))</f>
        <v>0</v>
      </c>
      <c r="W448" s="593">
        <f ca="1">$E448*(-SUMIF(INDIRECT(W$3),'Struktur Vorjahr'!$D448,INDIRECT(W$4))+SUMIF(INDIRECT(W$3),'Struktur Vorjahr'!$D448,INDIRECT(W$5)))</f>
        <v>0</v>
      </c>
      <c r="X448" s="593">
        <f ca="1">$E448*(-SUMIF(INDIRECT(X$3),'Struktur Vorjahr'!$D448,INDIRECT(X$4))+SUMIF(INDIRECT(X$3),'Struktur Vorjahr'!$D448,INDIRECT(X$5)))</f>
        <v>0</v>
      </c>
      <c r="Y448" s="593">
        <f ca="1">$E448*(-SUMIF(INDIRECT(Y$3),'Struktur Vorjahr'!$D448,INDIRECT(Y$4))+SUMIF(INDIRECT(Y$3),'Struktur Vorjahr'!$D448,INDIRECT(Y$5)))</f>
        <v>0</v>
      </c>
      <c r="Z448" s="593">
        <f ca="1">$E448*(-SUMIF(INDIRECT(Z$3),'Struktur Vorjahr'!$D448,INDIRECT(Z$4))+SUMIF(INDIRECT(Z$3),'Struktur Vorjahr'!$D448,INDIRECT(Z$5)))</f>
        <v>0</v>
      </c>
      <c r="AA448" s="593">
        <f ca="1">$E448*(-SUMIF(INDIRECT(AA$3),'Struktur Vorjahr'!$D448,INDIRECT(AA$4))+SUMIF(INDIRECT(AA$3),'Struktur Vorjahr'!$D448,INDIRECT(AA$5)))</f>
        <v>0</v>
      </c>
      <c r="AB448" s="593">
        <f ca="1">$E448*(-SUMIF(INDIRECT(AB$3),'Struktur Vorjahr'!$D448,INDIRECT(AB$4))+SUMIF(INDIRECT(AB$3),'Struktur Vorjahr'!$D448,INDIRECT(AB$5)))</f>
        <v>0</v>
      </c>
      <c r="AC448" s="593">
        <f ca="1">$E448*(-SUMIF(INDIRECT(AC$3),'Struktur Vorjahr'!$D448,INDIRECT(AC$4))+SUMIF(INDIRECT(AC$3),'Struktur Vorjahr'!$D448,INDIRECT(AC$5)))</f>
        <v>0</v>
      </c>
      <c r="AD448" s="593">
        <f ca="1">$E448*(-SUMIF(INDIRECT(AD$3),'Struktur Vorjahr'!$D448,INDIRECT(AD$4))+SUMIF(INDIRECT(AD$3),'Struktur Vorjahr'!$D448,INDIRECT(AD$5)))</f>
        <v>0</v>
      </c>
      <c r="AE448" s="593">
        <f t="shared" ca="1" si="225"/>
        <v>0</v>
      </c>
      <c r="AF448" s="593">
        <f t="shared" ca="1" si="226"/>
        <v>0</v>
      </c>
      <c r="AG448" s="593">
        <f t="shared" ca="1" si="226"/>
        <v>0</v>
      </c>
      <c r="AH448" s="593">
        <f t="shared" ca="1" si="226"/>
        <v>0</v>
      </c>
      <c r="AI448" s="593">
        <f t="shared" ca="1" si="226"/>
        <v>0</v>
      </c>
      <c r="AJ448" s="593">
        <f t="shared" ca="1" si="226"/>
        <v>0</v>
      </c>
      <c r="AK448" s="593">
        <f t="shared" ca="1" si="226"/>
        <v>0</v>
      </c>
      <c r="AL448" s="593">
        <f t="shared" ca="1" si="226"/>
        <v>0</v>
      </c>
      <c r="AM448" s="593">
        <f t="shared" ca="1" si="226"/>
        <v>0</v>
      </c>
      <c r="AN448" s="593">
        <f t="shared" ca="1" si="226"/>
        <v>0</v>
      </c>
      <c r="AO448" s="593">
        <f t="shared" ca="1" si="226"/>
        <v>0</v>
      </c>
      <c r="AP448" s="593">
        <f t="shared" ca="1" si="226"/>
        <v>0</v>
      </c>
    </row>
    <row r="449" spans="1:42" s="594" customFormat="1" ht="11.25" outlineLevel="1" x14ac:dyDescent="0.2">
      <c r="A449" s="644"/>
      <c r="B449" s="591" t="str">
        <f>IF(D449&lt;&gt;"",
IF(ISERROR(MATCH(D449,'Ist Vorjahr Monat 01'!A:A,0))=FALSE,INDEX('Ist Vorjahr Monat 01'!B:B,MATCH(D449,'Ist Vorjahr Monat 01'!A:A,0)),
IF(ISERROR(MATCH(D449,'Ist Vorjahr Monat 02'!A:A,0))=FALSE,INDEX('Ist Vorjahr Monat 02'!B:B,MATCH(D449,'Ist Vorjahr Monat 02'!A:A,0)),
IF(ISERROR(MATCH(D449,'Ist Vorjahr Monat 03'!A:A,0))=FALSE,INDEX('Ist Vorjahr Monat 03'!B:B,MATCH(D449,'Ist Vorjahr Monat 03'!A:A,0)),
IF(ISERROR(MATCH(D449,'Ist Vorjahr Monat 04'!A:A,0))=FALSE,INDEX('Ist Vorjahr Monat 04'!B:B,MATCH(D449,'Ist Vorjahr Monat 04'!A:A,0)),
IF(ISERROR(MATCH(D449,'Ist Vorjahr Monat 05'!A:A,0))=FALSE,INDEX('Ist Vorjahr Monat 05'!B:B,MATCH(D449,'Ist Vorjahr Monat 05'!A:A,0)),
IF(ISERROR(MATCH(D449,'Ist Vorjahr Monat 06'!A:A,0))=FALSE,INDEX('Ist Vorjahr Monat 06'!B:B,MATCH(D449,'Ist Vorjahr Monat 06'!A:A,0)),
IF(ISERROR(MATCH(D449,'Ist Vorjahr Monat 07'!A:A,0))=FALSE,INDEX('Ist Vorjahr Monat 07'!B:B,MATCH(D449,'Ist Vorjahr Monat 07'!A:A,0)),
IF(ISERROR(MATCH(D449,'Ist Vorjahr Monat 08'!A:A,0))=FALSE,INDEX('Ist Vorjahr Monat 08'!B:B,MATCH(D449,'Ist Vorjahr Monat 08'!A:A,0)),
IF(ISERROR(MATCH(D449,'Ist Vorjahr Monat 09'!A:A,0))=FALSE,INDEX('Ist Vorjahr Monat 09'!B:B,MATCH(D449,'Ist Vorjahr Monat 09'!A:A,0)),
IF(ISERROR(MATCH(D449,'Ist Vorjahr Monat 10'!A:A,0))=FALSE,INDEX('Ist Vorjahr Monat 10'!B:B,MATCH(D449,'Ist Vorjahr Monat 10'!A:A,0)),
IF(ISERROR(MATCH(D449,'Ist Vorjahr Monat 11'!A:A,0))=FALSE,INDEX('Ist Vorjahr Monat 11'!B:B,MATCH(D449,'Ist Vorjahr Monat 11'!A:A,0)),
IF(ISERROR(MATCH(D449,'Ist Vorjahr Monat 12'!A:A,0))=FALSE,INDEX('Ist Vorjahr Monat 12'!B:B,MATCH(D449,'Ist Vorjahr Monat 12'!A:A,0)),
"{Konto unbekannt}"
)))))))))))),"")</f>
        <v/>
      </c>
      <c r="C449" s="1062"/>
      <c r="D449" s="1067"/>
      <c r="E449" s="625">
        <f t="shared" si="186"/>
        <v>1</v>
      </c>
      <c r="F449" s="626"/>
      <c r="G449" s="593">
        <f ca="1">$E449*(-SUMIF(INDIRECT(G$3),'Struktur Vorjahr'!$D449,INDIRECT(G$4))+SUMIF(INDIRECT(G$3),'Struktur Vorjahr'!$D449,INDIRECT(G$5)))</f>
        <v>0</v>
      </c>
      <c r="H449" s="593">
        <f ca="1">$E449*(-SUMIF(INDIRECT(H$3),'Struktur Vorjahr'!$D449,INDIRECT(H$4))+SUMIF(INDIRECT(H$3),'Struktur Vorjahr'!$D449,INDIRECT(H$5)))</f>
        <v>0</v>
      </c>
      <c r="I449" s="593">
        <f ca="1">$E449*(-SUMIF(INDIRECT(I$3),'Struktur Vorjahr'!$D449,INDIRECT(I$4))+SUMIF(INDIRECT(I$3),'Struktur Vorjahr'!$D449,INDIRECT(I$5)))</f>
        <v>0</v>
      </c>
      <c r="J449" s="593">
        <f ca="1">$E449*(-SUMIF(INDIRECT(J$3),'Struktur Vorjahr'!$D449,INDIRECT(J$4))+SUMIF(INDIRECT(J$3),'Struktur Vorjahr'!$D449,INDIRECT(J$5)))</f>
        <v>0</v>
      </c>
      <c r="K449" s="593">
        <f ca="1">$E449*(-SUMIF(INDIRECT(K$3),'Struktur Vorjahr'!$D449,INDIRECT(K$4))+SUMIF(INDIRECT(K$3),'Struktur Vorjahr'!$D449,INDIRECT(K$5)))</f>
        <v>0</v>
      </c>
      <c r="L449" s="593">
        <f ca="1">$E449*(-SUMIF(INDIRECT(L$3),'Struktur Vorjahr'!$D449,INDIRECT(L$4))+SUMIF(INDIRECT(L$3),'Struktur Vorjahr'!$D449,INDIRECT(L$5)))</f>
        <v>0</v>
      </c>
      <c r="M449" s="593">
        <f ca="1">$E449*(-SUMIF(INDIRECT(M$3),'Struktur Vorjahr'!$D449,INDIRECT(M$4))+SUMIF(INDIRECT(M$3),'Struktur Vorjahr'!$D449,INDIRECT(M$5)))</f>
        <v>0</v>
      </c>
      <c r="N449" s="593">
        <f ca="1">$E449*(-SUMIF(INDIRECT(N$3),'Struktur Vorjahr'!$D449,INDIRECT(N$4))+SUMIF(INDIRECT(N$3),'Struktur Vorjahr'!$D449,INDIRECT(N$5)))</f>
        <v>0</v>
      </c>
      <c r="O449" s="593">
        <f ca="1">$E449*(-SUMIF(INDIRECT(O$3),'Struktur Vorjahr'!$D449,INDIRECT(O$4))+SUMIF(INDIRECT(O$3),'Struktur Vorjahr'!$D449,INDIRECT(O$5)))</f>
        <v>0</v>
      </c>
      <c r="P449" s="593">
        <f ca="1">$E449*(-SUMIF(INDIRECT(P$3),'Struktur Vorjahr'!$D449,INDIRECT(P$4))+SUMIF(INDIRECT(P$3),'Struktur Vorjahr'!$D449,INDIRECT(P$5)))</f>
        <v>0</v>
      </c>
      <c r="Q449" s="593">
        <f ca="1">$E449*(-SUMIF(INDIRECT(Q$3),'Struktur Vorjahr'!$D449,INDIRECT(Q$4))+SUMIF(INDIRECT(Q$3),'Struktur Vorjahr'!$D449,INDIRECT(Q$5)))</f>
        <v>0</v>
      </c>
      <c r="R449" s="593">
        <f ca="1">$E449*(-SUMIF(INDIRECT(R$3),'Struktur Vorjahr'!$D449,INDIRECT(R$4))+SUMIF(INDIRECT(R$3),'Struktur Vorjahr'!$D449,INDIRECT(R$5)))</f>
        <v>0</v>
      </c>
      <c r="S449" s="593">
        <f ca="1">$E449*(-SUMIF(INDIRECT(S$3),'Struktur Vorjahr'!$D449,INDIRECT(S$4))+SUMIF(INDIRECT(S$3),'Struktur Vorjahr'!$D449,INDIRECT(S$5)))</f>
        <v>0</v>
      </c>
      <c r="T449" s="593">
        <f ca="1">$E449*(-SUMIF(INDIRECT(T$3),'Struktur Vorjahr'!$D449,INDIRECT(T$4))+SUMIF(INDIRECT(T$3),'Struktur Vorjahr'!$D449,INDIRECT(T$5)))</f>
        <v>0</v>
      </c>
      <c r="U449" s="593">
        <f ca="1">$E449*(-SUMIF(INDIRECT(U$3),'Struktur Vorjahr'!$D449,INDIRECT(U$4))+SUMIF(INDIRECT(U$3),'Struktur Vorjahr'!$D449,INDIRECT(U$5)))</f>
        <v>0</v>
      </c>
      <c r="V449" s="593">
        <f ca="1">$E449*(-SUMIF(INDIRECT(V$3),'Struktur Vorjahr'!$D449,INDIRECT(V$4))+SUMIF(INDIRECT(V$3),'Struktur Vorjahr'!$D449,INDIRECT(V$5)))</f>
        <v>0</v>
      </c>
      <c r="W449" s="593">
        <f ca="1">$E449*(-SUMIF(INDIRECT(W$3),'Struktur Vorjahr'!$D449,INDIRECT(W$4))+SUMIF(INDIRECT(W$3),'Struktur Vorjahr'!$D449,INDIRECT(W$5)))</f>
        <v>0</v>
      </c>
      <c r="X449" s="593">
        <f ca="1">$E449*(-SUMIF(INDIRECT(X$3),'Struktur Vorjahr'!$D449,INDIRECT(X$4))+SUMIF(INDIRECT(X$3),'Struktur Vorjahr'!$D449,INDIRECT(X$5)))</f>
        <v>0</v>
      </c>
      <c r="Y449" s="593">
        <f ca="1">$E449*(-SUMIF(INDIRECT(Y$3),'Struktur Vorjahr'!$D449,INDIRECT(Y$4))+SUMIF(INDIRECT(Y$3),'Struktur Vorjahr'!$D449,INDIRECT(Y$5)))</f>
        <v>0</v>
      </c>
      <c r="Z449" s="593">
        <f ca="1">$E449*(-SUMIF(INDIRECT(Z$3),'Struktur Vorjahr'!$D449,INDIRECT(Z$4))+SUMIF(INDIRECT(Z$3),'Struktur Vorjahr'!$D449,INDIRECT(Z$5)))</f>
        <v>0</v>
      </c>
      <c r="AA449" s="593">
        <f ca="1">$E449*(-SUMIF(INDIRECT(AA$3),'Struktur Vorjahr'!$D449,INDIRECT(AA$4))+SUMIF(INDIRECT(AA$3),'Struktur Vorjahr'!$D449,INDIRECT(AA$5)))</f>
        <v>0</v>
      </c>
      <c r="AB449" s="593">
        <f ca="1">$E449*(-SUMIF(INDIRECT(AB$3),'Struktur Vorjahr'!$D449,INDIRECT(AB$4))+SUMIF(INDIRECT(AB$3),'Struktur Vorjahr'!$D449,INDIRECT(AB$5)))</f>
        <v>0</v>
      </c>
      <c r="AC449" s="593">
        <f ca="1">$E449*(-SUMIF(INDIRECT(AC$3),'Struktur Vorjahr'!$D449,INDIRECT(AC$4))+SUMIF(INDIRECT(AC$3),'Struktur Vorjahr'!$D449,INDIRECT(AC$5)))</f>
        <v>0</v>
      </c>
      <c r="AD449" s="593">
        <f ca="1">$E449*(-SUMIF(INDIRECT(AD$3),'Struktur Vorjahr'!$D449,INDIRECT(AD$4))+SUMIF(INDIRECT(AD$3),'Struktur Vorjahr'!$D449,INDIRECT(AD$5)))</f>
        <v>0</v>
      </c>
      <c r="AE449" s="593">
        <f t="shared" ca="1" si="225"/>
        <v>0</v>
      </c>
      <c r="AF449" s="593">
        <f t="shared" ca="1" si="226"/>
        <v>0</v>
      </c>
      <c r="AG449" s="593">
        <f t="shared" ca="1" si="226"/>
        <v>0</v>
      </c>
      <c r="AH449" s="593">
        <f t="shared" ca="1" si="226"/>
        <v>0</v>
      </c>
      <c r="AI449" s="593">
        <f t="shared" ca="1" si="226"/>
        <v>0</v>
      </c>
      <c r="AJ449" s="593">
        <f t="shared" ca="1" si="226"/>
        <v>0</v>
      </c>
      <c r="AK449" s="593">
        <f t="shared" ca="1" si="226"/>
        <v>0</v>
      </c>
      <c r="AL449" s="593">
        <f t="shared" ca="1" si="226"/>
        <v>0</v>
      </c>
      <c r="AM449" s="593">
        <f t="shared" ca="1" si="226"/>
        <v>0</v>
      </c>
      <c r="AN449" s="593">
        <f t="shared" ca="1" si="226"/>
        <v>0</v>
      </c>
      <c r="AO449" s="593">
        <f t="shared" ca="1" si="226"/>
        <v>0</v>
      </c>
      <c r="AP449" s="593">
        <f t="shared" ca="1" si="226"/>
        <v>0</v>
      </c>
    </row>
    <row r="450" spans="1:42" s="594" customFormat="1" ht="11.25" outlineLevel="1" x14ac:dyDescent="0.2">
      <c r="A450" s="644"/>
      <c r="B450" s="591" t="str">
        <f>IF(D450&lt;&gt;"",
IF(ISERROR(MATCH(D450,'Ist Vorjahr Monat 01'!A:A,0))=FALSE,INDEX('Ist Vorjahr Monat 01'!B:B,MATCH(D450,'Ist Vorjahr Monat 01'!A:A,0)),
IF(ISERROR(MATCH(D450,'Ist Vorjahr Monat 02'!A:A,0))=FALSE,INDEX('Ist Vorjahr Monat 02'!B:B,MATCH(D450,'Ist Vorjahr Monat 02'!A:A,0)),
IF(ISERROR(MATCH(D450,'Ist Vorjahr Monat 03'!A:A,0))=FALSE,INDEX('Ist Vorjahr Monat 03'!B:B,MATCH(D450,'Ist Vorjahr Monat 03'!A:A,0)),
IF(ISERROR(MATCH(D450,'Ist Vorjahr Monat 04'!A:A,0))=FALSE,INDEX('Ist Vorjahr Monat 04'!B:B,MATCH(D450,'Ist Vorjahr Monat 04'!A:A,0)),
IF(ISERROR(MATCH(D450,'Ist Vorjahr Monat 05'!A:A,0))=FALSE,INDEX('Ist Vorjahr Monat 05'!B:B,MATCH(D450,'Ist Vorjahr Monat 05'!A:A,0)),
IF(ISERROR(MATCH(D450,'Ist Vorjahr Monat 06'!A:A,0))=FALSE,INDEX('Ist Vorjahr Monat 06'!B:B,MATCH(D450,'Ist Vorjahr Monat 06'!A:A,0)),
IF(ISERROR(MATCH(D450,'Ist Vorjahr Monat 07'!A:A,0))=FALSE,INDEX('Ist Vorjahr Monat 07'!B:B,MATCH(D450,'Ist Vorjahr Monat 07'!A:A,0)),
IF(ISERROR(MATCH(D450,'Ist Vorjahr Monat 08'!A:A,0))=FALSE,INDEX('Ist Vorjahr Monat 08'!B:B,MATCH(D450,'Ist Vorjahr Monat 08'!A:A,0)),
IF(ISERROR(MATCH(D450,'Ist Vorjahr Monat 09'!A:A,0))=FALSE,INDEX('Ist Vorjahr Monat 09'!B:B,MATCH(D450,'Ist Vorjahr Monat 09'!A:A,0)),
IF(ISERROR(MATCH(D450,'Ist Vorjahr Monat 10'!A:A,0))=FALSE,INDEX('Ist Vorjahr Monat 10'!B:B,MATCH(D450,'Ist Vorjahr Monat 10'!A:A,0)),
IF(ISERROR(MATCH(D450,'Ist Vorjahr Monat 11'!A:A,0))=FALSE,INDEX('Ist Vorjahr Monat 11'!B:B,MATCH(D450,'Ist Vorjahr Monat 11'!A:A,0)),
IF(ISERROR(MATCH(D450,'Ist Vorjahr Monat 12'!A:A,0))=FALSE,INDEX('Ist Vorjahr Monat 12'!B:B,MATCH(D450,'Ist Vorjahr Monat 12'!A:A,0)),
"{Konto unbekannt}"
)))))))))))),"")</f>
        <v/>
      </c>
      <c r="C450" s="1062"/>
      <c r="D450" s="1067"/>
      <c r="E450" s="625">
        <f t="shared" si="186"/>
        <v>1</v>
      </c>
      <c r="F450" s="626"/>
      <c r="G450" s="593">
        <f ca="1">$E450*(-SUMIF(INDIRECT(G$3),'Struktur Vorjahr'!$D450,INDIRECT(G$4))+SUMIF(INDIRECT(G$3),'Struktur Vorjahr'!$D450,INDIRECT(G$5)))</f>
        <v>0</v>
      </c>
      <c r="H450" s="593">
        <f ca="1">$E450*(-SUMIF(INDIRECT(H$3),'Struktur Vorjahr'!$D450,INDIRECT(H$4))+SUMIF(INDIRECT(H$3),'Struktur Vorjahr'!$D450,INDIRECT(H$5)))</f>
        <v>0</v>
      </c>
      <c r="I450" s="593">
        <f ca="1">$E450*(-SUMIF(INDIRECT(I$3),'Struktur Vorjahr'!$D450,INDIRECT(I$4))+SUMIF(INDIRECT(I$3),'Struktur Vorjahr'!$D450,INDIRECT(I$5)))</f>
        <v>0</v>
      </c>
      <c r="J450" s="593">
        <f ca="1">$E450*(-SUMIF(INDIRECT(J$3),'Struktur Vorjahr'!$D450,INDIRECT(J$4))+SUMIF(INDIRECT(J$3),'Struktur Vorjahr'!$D450,INDIRECT(J$5)))</f>
        <v>0</v>
      </c>
      <c r="K450" s="593">
        <f ca="1">$E450*(-SUMIF(INDIRECT(K$3),'Struktur Vorjahr'!$D450,INDIRECT(K$4))+SUMIF(INDIRECT(K$3),'Struktur Vorjahr'!$D450,INDIRECT(K$5)))</f>
        <v>0</v>
      </c>
      <c r="L450" s="593">
        <f ca="1">$E450*(-SUMIF(INDIRECT(L$3),'Struktur Vorjahr'!$D450,INDIRECT(L$4))+SUMIF(INDIRECT(L$3),'Struktur Vorjahr'!$D450,INDIRECT(L$5)))</f>
        <v>0</v>
      </c>
      <c r="M450" s="593">
        <f ca="1">$E450*(-SUMIF(INDIRECT(M$3),'Struktur Vorjahr'!$D450,INDIRECT(M$4))+SUMIF(INDIRECT(M$3),'Struktur Vorjahr'!$D450,INDIRECT(M$5)))</f>
        <v>0</v>
      </c>
      <c r="N450" s="593">
        <f ca="1">$E450*(-SUMIF(INDIRECT(N$3),'Struktur Vorjahr'!$D450,INDIRECT(N$4))+SUMIF(INDIRECT(N$3),'Struktur Vorjahr'!$D450,INDIRECT(N$5)))</f>
        <v>0</v>
      </c>
      <c r="O450" s="593">
        <f ca="1">$E450*(-SUMIF(INDIRECT(O$3),'Struktur Vorjahr'!$D450,INDIRECT(O$4))+SUMIF(INDIRECT(O$3),'Struktur Vorjahr'!$D450,INDIRECT(O$5)))</f>
        <v>0</v>
      </c>
      <c r="P450" s="593">
        <f ca="1">$E450*(-SUMIF(INDIRECT(P$3),'Struktur Vorjahr'!$D450,INDIRECT(P$4))+SUMIF(INDIRECT(P$3),'Struktur Vorjahr'!$D450,INDIRECT(P$5)))</f>
        <v>0</v>
      </c>
      <c r="Q450" s="593">
        <f ca="1">$E450*(-SUMIF(INDIRECT(Q$3),'Struktur Vorjahr'!$D450,INDIRECT(Q$4))+SUMIF(INDIRECT(Q$3),'Struktur Vorjahr'!$D450,INDIRECT(Q$5)))</f>
        <v>0</v>
      </c>
      <c r="R450" s="593">
        <f ca="1">$E450*(-SUMIF(INDIRECT(R$3),'Struktur Vorjahr'!$D450,INDIRECT(R$4))+SUMIF(INDIRECT(R$3),'Struktur Vorjahr'!$D450,INDIRECT(R$5)))</f>
        <v>0</v>
      </c>
      <c r="S450" s="593">
        <f ca="1">$E450*(-SUMIF(INDIRECT(S$3),'Struktur Vorjahr'!$D450,INDIRECT(S$4))+SUMIF(INDIRECT(S$3),'Struktur Vorjahr'!$D450,INDIRECT(S$5)))</f>
        <v>0</v>
      </c>
      <c r="T450" s="593">
        <f ca="1">$E450*(-SUMIF(INDIRECT(T$3),'Struktur Vorjahr'!$D450,INDIRECT(T$4))+SUMIF(INDIRECT(T$3),'Struktur Vorjahr'!$D450,INDIRECT(T$5)))</f>
        <v>0</v>
      </c>
      <c r="U450" s="593">
        <f ca="1">$E450*(-SUMIF(INDIRECT(U$3),'Struktur Vorjahr'!$D450,INDIRECT(U$4))+SUMIF(INDIRECT(U$3),'Struktur Vorjahr'!$D450,INDIRECT(U$5)))</f>
        <v>0</v>
      </c>
      <c r="V450" s="593">
        <f ca="1">$E450*(-SUMIF(INDIRECT(V$3),'Struktur Vorjahr'!$D450,INDIRECT(V$4))+SUMIF(INDIRECT(V$3),'Struktur Vorjahr'!$D450,INDIRECT(V$5)))</f>
        <v>0</v>
      </c>
      <c r="W450" s="593">
        <f ca="1">$E450*(-SUMIF(INDIRECT(W$3),'Struktur Vorjahr'!$D450,INDIRECT(W$4))+SUMIF(INDIRECT(W$3),'Struktur Vorjahr'!$D450,INDIRECT(W$5)))</f>
        <v>0</v>
      </c>
      <c r="X450" s="593">
        <f ca="1">$E450*(-SUMIF(INDIRECT(X$3),'Struktur Vorjahr'!$D450,INDIRECT(X$4))+SUMIF(INDIRECT(X$3),'Struktur Vorjahr'!$D450,INDIRECT(X$5)))</f>
        <v>0</v>
      </c>
      <c r="Y450" s="593">
        <f ca="1">$E450*(-SUMIF(INDIRECT(Y$3),'Struktur Vorjahr'!$D450,INDIRECT(Y$4))+SUMIF(INDIRECT(Y$3),'Struktur Vorjahr'!$D450,INDIRECT(Y$5)))</f>
        <v>0</v>
      </c>
      <c r="Z450" s="593">
        <f ca="1">$E450*(-SUMIF(INDIRECT(Z$3),'Struktur Vorjahr'!$D450,INDIRECT(Z$4))+SUMIF(INDIRECT(Z$3),'Struktur Vorjahr'!$D450,INDIRECT(Z$5)))</f>
        <v>0</v>
      </c>
      <c r="AA450" s="593">
        <f ca="1">$E450*(-SUMIF(INDIRECT(AA$3),'Struktur Vorjahr'!$D450,INDIRECT(AA$4))+SUMIF(INDIRECT(AA$3),'Struktur Vorjahr'!$D450,INDIRECT(AA$5)))</f>
        <v>0</v>
      </c>
      <c r="AB450" s="593">
        <f ca="1">$E450*(-SUMIF(INDIRECT(AB$3),'Struktur Vorjahr'!$D450,INDIRECT(AB$4))+SUMIF(INDIRECT(AB$3),'Struktur Vorjahr'!$D450,INDIRECT(AB$5)))</f>
        <v>0</v>
      </c>
      <c r="AC450" s="593">
        <f ca="1">$E450*(-SUMIF(INDIRECT(AC$3),'Struktur Vorjahr'!$D450,INDIRECT(AC$4))+SUMIF(INDIRECT(AC$3),'Struktur Vorjahr'!$D450,INDIRECT(AC$5)))</f>
        <v>0</v>
      </c>
      <c r="AD450" s="593">
        <f ca="1">$E450*(-SUMIF(INDIRECT(AD$3),'Struktur Vorjahr'!$D450,INDIRECT(AD$4))+SUMIF(INDIRECT(AD$3),'Struktur Vorjahr'!$D450,INDIRECT(AD$5)))</f>
        <v>0</v>
      </c>
      <c r="AE450" s="593">
        <f t="shared" ca="1" si="225"/>
        <v>0</v>
      </c>
      <c r="AF450" s="593">
        <f t="shared" ca="1" si="226"/>
        <v>0</v>
      </c>
      <c r="AG450" s="593">
        <f t="shared" ca="1" si="226"/>
        <v>0</v>
      </c>
      <c r="AH450" s="593">
        <f t="shared" ca="1" si="226"/>
        <v>0</v>
      </c>
      <c r="AI450" s="593">
        <f t="shared" ca="1" si="226"/>
        <v>0</v>
      </c>
      <c r="AJ450" s="593">
        <f t="shared" ca="1" si="226"/>
        <v>0</v>
      </c>
      <c r="AK450" s="593">
        <f t="shared" ca="1" si="226"/>
        <v>0</v>
      </c>
      <c r="AL450" s="593">
        <f t="shared" ca="1" si="226"/>
        <v>0</v>
      </c>
      <c r="AM450" s="593">
        <f t="shared" ca="1" si="226"/>
        <v>0</v>
      </c>
      <c r="AN450" s="593">
        <f t="shared" ca="1" si="226"/>
        <v>0</v>
      </c>
      <c r="AO450" s="593">
        <f t="shared" ca="1" si="226"/>
        <v>0</v>
      </c>
      <c r="AP450" s="593">
        <f t="shared" ca="1" si="226"/>
        <v>0</v>
      </c>
    </row>
    <row r="451" spans="1:42" s="594" customFormat="1" ht="11.25" x14ac:dyDescent="0.2">
      <c r="A451" s="644"/>
      <c r="B451" s="591" t="str">
        <f>IF(D451&lt;&gt;"",
IF(ISERROR(MATCH(D451,'Ist Vorjahr Monat 01'!A:A,0))=FALSE,INDEX('Ist Vorjahr Monat 01'!B:B,MATCH(D451,'Ist Vorjahr Monat 01'!A:A,0)),
IF(ISERROR(MATCH(D451,'Ist Vorjahr Monat 02'!A:A,0))=FALSE,INDEX('Ist Vorjahr Monat 02'!B:B,MATCH(D451,'Ist Vorjahr Monat 02'!A:A,0)),
IF(ISERROR(MATCH(D451,'Ist Vorjahr Monat 03'!A:A,0))=FALSE,INDEX('Ist Vorjahr Monat 03'!B:B,MATCH(D451,'Ist Vorjahr Monat 03'!A:A,0)),
IF(ISERROR(MATCH(D451,'Ist Vorjahr Monat 04'!A:A,0))=FALSE,INDEX('Ist Vorjahr Monat 04'!B:B,MATCH(D451,'Ist Vorjahr Monat 04'!A:A,0)),
IF(ISERROR(MATCH(D451,'Ist Vorjahr Monat 05'!A:A,0))=FALSE,INDEX('Ist Vorjahr Monat 05'!B:B,MATCH(D451,'Ist Vorjahr Monat 05'!A:A,0)),
IF(ISERROR(MATCH(D451,'Ist Vorjahr Monat 06'!A:A,0))=FALSE,INDEX('Ist Vorjahr Monat 06'!B:B,MATCH(D451,'Ist Vorjahr Monat 06'!A:A,0)),
IF(ISERROR(MATCH(D451,'Ist Vorjahr Monat 07'!A:A,0))=FALSE,INDEX('Ist Vorjahr Monat 07'!B:B,MATCH(D451,'Ist Vorjahr Monat 07'!A:A,0)),
IF(ISERROR(MATCH(D451,'Ist Vorjahr Monat 08'!A:A,0))=FALSE,INDEX('Ist Vorjahr Monat 08'!B:B,MATCH(D451,'Ist Vorjahr Monat 08'!A:A,0)),
IF(ISERROR(MATCH(D451,'Ist Vorjahr Monat 09'!A:A,0))=FALSE,INDEX('Ist Vorjahr Monat 09'!B:B,MATCH(D451,'Ist Vorjahr Monat 09'!A:A,0)),
IF(ISERROR(MATCH(D451,'Ist Vorjahr Monat 10'!A:A,0))=FALSE,INDEX('Ist Vorjahr Monat 10'!B:B,MATCH(D451,'Ist Vorjahr Monat 10'!A:A,0)),
IF(ISERROR(MATCH(D451,'Ist Vorjahr Monat 11'!A:A,0))=FALSE,INDEX('Ist Vorjahr Monat 11'!B:B,MATCH(D451,'Ist Vorjahr Monat 11'!A:A,0)),
IF(ISERROR(MATCH(D451,'Ist Vorjahr Monat 12'!A:A,0))=FALSE,INDEX('Ist Vorjahr Monat 12'!B:B,MATCH(D451,'Ist Vorjahr Monat 12'!A:A,0)),
"{Konto unbekannt}"
)))))))))))),"")</f>
        <v/>
      </c>
      <c r="C451" s="1062"/>
      <c r="D451" s="1067"/>
      <c r="E451" s="625">
        <f t="shared" si="186"/>
        <v>1</v>
      </c>
      <c r="F451" s="626"/>
      <c r="G451" s="593">
        <f ca="1">$E451*(-SUMIF(INDIRECT(G$3),'Struktur Vorjahr'!$D451,INDIRECT(G$4))+SUMIF(INDIRECT(G$3),'Struktur Vorjahr'!$D451,INDIRECT(G$5)))</f>
        <v>0</v>
      </c>
      <c r="H451" s="593">
        <f ca="1">$E451*(-SUMIF(INDIRECT(H$3),'Struktur Vorjahr'!$D451,INDIRECT(H$4))+SUMIF(INDIRECT(H$3),'Struktur Vorjahr'!$D451,INDIRECT(H$5)))</f>
        <v>0</v>
      </c>
      <c r="I451" s="593">
        <f ca="1">$E451*(-SUMIF(INDIRECT(I$3),'Struktur Vorjahr'!$D451,INDIRECT(I$4))+SUMIF(INDIRECT(I$3),'Struktur Vorjahr'!$D451,INDIRECT(I$5)))</f>
        <v>0</v>
      </c>
      <c r="J451" s="593">
        <f ca="1">$E451*(-SUMIF(INDIRECT(J$3),'Struktur Vorjahr'!$D451,INDIRECT(J$4))+SUMIF(INDIRECT(J$3),'Struktur Vorjahr'!$D451,INDIRECT(J$5)))</f>
        <v>0</v>
      </c>
      <c r="K451" s="593">
        <f ca="1">$E451*(-SUMIF(INDIRECT(K$3),'Struktur Vorjahr'!$D451,INDIRECT(K$4))+SUMIF(INDIRECT(K$3),'Struktur Vorjahr'!$D451,INDIRECT(K$5)))</f>
        <v>0</v>
      </c>
      <c r="L451" s="593">
        <f ca="1">$E451*(-SUMIF(INDIRECT(L$3),'Struktur Vorjahr'!$D451,INDIRECT(L$4))+SUMIF(INDIRECT(L$3),'Struktur Vorjahr'!$D451,INDIRECT(L$5)))</f>
        <v>0</v>
      </c>
      <c r="M451" s="593">
        <f ca="1">$E451*(-SUMIF(INDIRECT(M$3),'Struktur Vorjahr'!$D451,INDIRECT(M$4))+SUMIF(INDIRECT(M$3),'Struktur Vorjahr'!$D451,INDIRECT(M$5)))</f>
        <v>0</v>
      </c>
      <c r="N451" s="593">
        <f ca="1">$E451*(-SUMIF(INDIRECT(N$3),'Struktur Vorjahr'!$D451,INDIRECT(N$4))+SUMIF(INDIRECT(N$3),'Struktur Vorjahr'!$D451,INDIRECT(N$5)))</f>
        <v>0</v>
      </c>
      <c r="O451" s="593">
        <f ca="1">$E451*(-SUMIF(INDIRECT(O$3),'Struktur Vorjahr'!$D451,INDIRECT(O$4))+SUMIF(INDIRECT(O$3),'Struktur Vorjahr'!$D451,INDIRECT(O$5)))</f>
        <v>0</v>
      </c>
      <c r="P451" s="593">
        <f ca="1">$E451*(-SUMIF(INDIRECT(P$3),'Struktur Vorjahr'!$D451,INDIRECT(P$4))+SUMIF(INDIRECT(P$3),'Struktur Vorjahr'!$D451,INDIRECT(P$5)))</f>
        <v>0</v>
      </c>
      <c r="Q451" s="593">
        <f ca="1">$E451*(-SUMIF(INDIRECT(Q$3),'Struktur Vorjahr'!$D451,INDIRECT(Q$4))+SUMIF(INDIRECT(Q$3),'Struktur Vorjahr'!$D451,INDIRECT(Q$5)))</f>
        <v>0</v>
      </c>
      <c r="R451" s="593">
        <f ca="1">$E451*(-SUMIF(INDIRECT(R$3),'Struktur Vorjahr'!$D451,INDIRECT(R$4))+SUMIF(INDIRECT(R$3),'Struktur Vorjahr'!$D451,INDIRECT(R$5)))</f>
        <v>0</v>
      </c>
      <c r="S451" s="593">
        <f ca="1">$E451*(-SUMIF(INDIRECT(S$3),'Struktur Vorjahr'!$D451,INDIRECT(S$4))+SUMIF(INDIRECT(S$3),'Struktur Vorjahr'!$D451,INDIRECT(S$5)))</f>
        <v>0</v>
      </c>
      <c r="T451" s="593">
        <f ca="1">$E451*(-SUMIF(INDIRECT(T$3),'Struktur Vorjahr'!$D451,INDIRECT(T$4))+SUMIF(INDIRECT(T$3),'Struktur Vorjahr'!$D451,INDIRECT(T$5)))</f>
        <v>0</v>
      </c>
      <c r="U451" s="593">
        <f ca="1">$E451*(-SUMIF(INDIRECT(U$3),'Struktur Vorjahr'!$D451,INDIRECT(U$4))+SUMIF(INDIRECT(U$3),'Struktur Vorjahr'!$D451,INDIRECT(U$5)))</f>
        <v>0</v>
      </c>
      <c r="V451" s="593">
        <f ca="1">$E451*(-SUMIF(INDIRECT(V$3),'Struktur Vorjahr'!$D451,INDIRECT(V$4))+SUMIF(INDIRECT(V$3),'Struktur Vorjahr'!$D451,INDIRECT(V$5)))</f>
        <v>0</v>
      </c>
      <c r="W451" s="593">
        <f ca="1">$E451*(-SUMIF(INDIRECT(W$3),'Struktur Vorjahr'!$D451,INDIRECT(W$4))+SUMIF(INDIRECT(W$3),'Struktur Vorjahr'!$D451,INDIRECT(W$5)))</f>
        <v>0</v>
      </c>
      <c r="X451" s="593">
        <f ca="1">$E451*(-SUMIF(INDIRECT(X$3),'Struktur Vorjahr'!$D451,INDIRECT(X$4))+SUMIF(INDIRECT(X$3),'Struktur Vorjahr'!$D451,INDIRECT(X$5)))</f>
        <v>0</v>
      </c>
      <c r="Y451" s="593">
        <f ca="1">$E451*(-SUMIF(INDIRECT(Y$3),'Struktur Vorjahr'!$D451,INDIRECT(Y$4))+SUMIF(INDIRECT(Y$3),'Struktur Vorjahr'!$D451,INDIRECT(Y$5)))</f>
        <v>0</v>
      </c>
      <c r="Z451" s="593">
        <f ca="1">$E451*(-SUMIF(INDIRECT(Z$3),'Struktur Vorjahr'!$D451,INDIRECT(Z$4))+SUMIF(INDIRECT(Z$3),'Struktur Vorjahr'!$D451,INDIRECT(Z$5)))</f>
        <v>0</v>
      </c>
      <c r="AA451" s="593">
        <f ca="1">$E451*(-SUMIF(INDIRECT(AA$3),'Struktur Vorjahr'!$D451,INDIRECT(AA$4))+SUMIF(INDIRECT(AA$3),'Struktur Vorjahr'!$D451,INDIRECT(AA$5)))</f>
        <v>0</v>
      </c>
      <c r="AB451" s="593">
        <f ca="1">$E451*(-SUMIF(INDIRECT(AB$3),'Struktur Vorjahr'!$D451,INDIRECT(AB$4))+SUMIF(INDIRECT(AB$3),'Struktur Vorjahr'!$D451,INDIRECT(AB$5)))</f>
        <v>0</v>
      </c>
      <c r="AC451" s="593">
        <f ca="1">$E451*(-SUMIF(INDIRECT(AC$3),'Struktur Vorjahr'!$D451,INDIRECT(AC$4))+SUMIF(INDIRECT(AC$3),'Struktur Vorjahr'!$D451,INDIRECT(AC$5)))</f>
        <v>0</v>
      </c>
      <c r="AD451" s="593">
        <f ca="1">$E451*(-SUMIF(INDIRECT(AD$3),'Struktur Vorjahr'!$D451,INDIRECT(AD$4))+SUMIF(INDIRECT(AD$3),'Struktur Vorjahr'!$D451,INDIRECT(AD$5)))</f>
        <v>0</v>
      </c>
      <c r="AE451" s="593">
        <f t="shared" ca="1" si="225"/>
        <v>0</v>
      </c>
      <c r="AF451" s="593">
        <f t="shared" ca="1" si="226"/>
        <v>0</v>
      </c>
      <c r="AG451" s="593">
        <f t="shared" ca="1" si="226"/>
        <v>0</v>
      </c>
      <c r="AH451" s="593">
        <f t="shared" ca="1" si="226"/>
        <v>0</v>
      </c>
      <c r="AI451" s="593">
        <f t="shared" ca="1" si="226"/>
        <v>0</v>
      </c>
      <c r="AJ451" s="593">
        <f t="shared" ca="1" si="226"/>
        <v>0</v>
      </c>
      <c r="AK451" s="593">
        <f t="shared" ca="1" si="226"/>
        <v>0</v>
      </c>
      <c r="AL451" s="593">
        <f t="shared" ca="1" si="226"/>
        <v>0</v>
      </c>
      <c r="AM451" s="593">
        <f t="shared" ca="1" si="226"/>
        <v>0</v>
      </c>
      <c r="AN451" s="593">
        <f t="shared" ca="1" si="226"/>
        <v>0</v>
      </c>
      <c r="AO451" s="593">
        <f t="shared" ca="1" si="226"/>
        <v>0</v>
      </c>
      <c r="AP451" s="593">
        <f t="shared" ca="1" si="226"/>
        <v>0</v>
      </c>
    </row>
    <row r="452" spans="1:42" s="594" customFormat="1" ht="11.25" outlineLevel="1" x14ac:dyDescent="0.2">
      <c r="A452" s="644"/>
      <c r="B452" s="591" t="str">
        <f>IF(D452&lt;&gt;"",
IF(ISERROR(MATCH(D452,'Ist Vorjahr Monat 01'!A:A,0))=FALSE,INDEX('Ist Vorjahr Monat 01'!B:B,MATCH(D452,'Ist Vorjahr Monat 01'!A:A,0)),
IF(ISERROR(MATCH(D452,'Ist Vorjahr Monat 02'!A:A,0))=FALSE,INDEX('Ist Vorjahr Monat 02'!B:B,MATCH(D452,'Ist Vorjahr Monat 02'!A:A,0)),
IF(ISERROR(MATCH(D452,'Ist Vorjahr Monat 03'!A:A,0))=FALSE,INDEX('Ist Vorjahr Monat 03'!B:B,MATCH(D452,'Ist Vorjahr Monat 03'!A:A,0)),
IF(ISERROR(MATCH(D452,'Ist Vorjahr Monat 04'!A:A,0))=FALSE,INDEX('Ist Vorjahr Monat 04'!B:B,MATCH(D452,'Ist Vorjahr Monat 04'!A:A,0)),
IF(ISERROR(MATCH(D452,'Ist Vorjahr Monat 05'!A:A,0))=FALSE,INDEX('Ist Vorjahr Monat 05'!B:B,MATCH(D452,'Ist Vorjahr Monat 05'!A:A,0)),
IF(ISERROR(MATCH(D452,'Ist Vorjahr Monat 06'!A:A,0))=FALSE,INDEX('Ist Vorjahr Monat 06'!B:B,MATCH(D452,'Ist Vorjahr Monat 06'!A:A,0)),
IF(ISERROR(MATCH(D452,'Ist Vorjahr Monat 07'!A:A,0))=FALSE,INDEX('Ist Vorjahr Monat 07'!B:B,MATCH(D452,'Ist Vorjahr Monat 07'!A:A,0)),
IF(ISERROR(MATCH(D452,'Ist Vorjahr Monat 08'!A:A,0))=FALSE,INDEX('Ist Vorjahr Monat 08'!B:B,MATCH(D452,'Ist Vorjahr Monat 08'!A:A,0)),
IF(ISERROR(MATCH(D452,'Ist Vorjahr Monat 09'!A:A,0))=FALSE,INDEX('Ist Vorjahr Monat 09'!B:B,MATCH(D452,'Ist Vorjahr Monat 09'!A:A,0)),
IF(ISERROR(MATCH(D452,'Ist Vorjahr Monat 10'!A:A,0))=FALSE,INDEX('Ist Vorjahr Monat 10'!B:B,MATCH(D452,'Ist Vorjahr Monat 10'!A:A,0)),
IF(ISERROR(MATCH(D452,'Ist Vorjahr Monat 11'!A:A,0))=FALSE,INDEX('Ist Vorjahr Monat 11'!B:B,MATCH(D452,'Ist Vorjahr Monat 11'!A:A,0)),
IF(ISERROR(MATCH(D452,'Ist Vorjahr Monat 12'!A:A,0))=FALSE,INDEX('Ist Vorjahr Monat 12'!B:B,MATCH(D452,'Ist Vorjahr Monat 12'!A:A,0)),
"{Konto unbekannt}"
)))))))))))),"")</f>
        <v/>
      </c>
      <c r="C452" s="1062"/>
      <c r="D452" s="1067"/>
      <c r="E452" s="625">
        <f t="shared" si="186"/>
        <v>1</v>
      </c>
      <c r="F452" s="626"/>
      <c r="G452" s="593">
        <f ca="1">$E452*(-SUMIF(INDIRECT(G$3),'Struktur Vorjahr'!$D452,INDIRECT(G$4))+SUMIF(INDIRECT(G$3),'Struktur Vorjahr'!$D452,INDIRECT(G$5)))</f>
        <v>0</v>
      </c>
      <c r="H452" s="593">
        <f ca="1">$E452*(-SUMIF(INDIRECT(H$3),'Struktur Vorjahr'!$D452,INDIRECT(H$4))+SUMIF(INDIRECT(H$3),'Struktur Vorjahr'!$D452,INDIRECT(H$5)))</f>
        <v>0</v>
      </c>
      <c r="I452" s="593">
        <f ca="1">$E452*(-SUMIF(INDIRECT(I$3),'Struktur Vorjahr'!$D452,INDIRECT(I$4))+SUMIF(INDIRECT(I$3),'Struktur Vorjahr'!$D452,INDIRECT(I$5)))</f>
        <v>0</v>
      </c>
      <c r="J452" s="593">
        <f ca="1">$E452*(-SUMIF(INDIRECT(J$3),'Struktur Vorjahr'!$D452,INDIRECT(J$4))+SUMIF(INDIRECT(J$3),'Struktur Vorjahr'!$D452,INDIRECT(J$5)))</f>
        <v>0</v>
      </c>
      <c r="K452" s="593">
        <f ca="1">$E452*(-SUMIF(INDIRECT(K$3),'Struktur Vorjahr'!$D452,INDIRECT(K$4))+SUMIF(INDIRECT(K$3),'Struktur Vorjahr'!$D452,INDIRECT(K$5)))</f>
        <v>0</v>
      </c>
      <c r="L452" s="593">
        <f ca="1">$E452*(-SUMIF(INDIRECT(L$3),'Struktur Vorjahr'!$D452,INDIRECT(L$4))+SUMIF(INDIRECT(L$3),'Struktur Vorjahr'!$D452,INDIRECT(L$5)))</f>
        <v>0</v>
      </c>
      <c r="M452" s="593">
        <f ca="1">$E452*(-SUMIF(INDIRECT(M$3),'Struktur Vorjahr'!$D452,INDIRECT(M$4))+SUMIF(INDIRECT(M$3),'Struktur Vorjahr'!$D452,INDIRECT(M$5)))</f>
        <v>0</v>
      </c>
      <c r="N452" s="593">
        <f ca="1">$E452*(-SUMIF(INDIRECT(N$3),'Struktur Vorjahr'!$D452,INDIRECT(N$4))+SUMIF(INDIRECT(N$3),'Struktur Vorjahr'!$D452,INDIRECT(N$5)))</f>
        <v>0</v>
      </c>
      <c r="O452" s="593">
        <f ca="1">$E452*(-SUMIF(INDIRECT(O$3),'Struktur Vorjahr'!$D452,INDIRECT(O$4))+SUMIF(INDIRECT(O$3),'Struktur Vorjahr'!$D452,INDIRECT(O$5)))</f>
        <v>0</v>
      </c>
      <c r="P452" s="593">
        <f ca="1">$E452*(-SUMIF(INDIRECT(P$3),'Struktur Vorjahr'!$D452,INDIRECT(P$4))+SUMIF(INDIRECT(P$3),'Struktur Vorjahr'!$D452,INDIRECT(P$5)))</f>
        <v>0</v>
      </c>
      <c r="Q452" s="593">
        <f ca="1">$E452*(-SUMIF(INDIRECT(Q$3),'Struktur Vorjahr'!$D452,INDIRECT(Q$4))+SUMIF(INDIRECT(Q$3),'Struktur Vorjahr'!$D452,INDIRECT(Q$5)))</f>
        <v>0</v>
      </c>
      <c r="R452" s="593">
        <f ca="1">$E452*(-SUMIF(INDIRECT(R$3),'Struktur Vorjahr'!$D452,INDIRECT(R$4))+SUMIF(INDIRECT(R$3),'Struktur Vorjahr'!$D452,INDIRECT(R$5)))</f>
        <v>0</v>
      </c>
      <c r="S452" s="593">
        <f ca="1">$E452*(-SUMIF(INDIRECT(S$3),'Struktur Vorjahr'!$D452,INDIRECT(S$4))+SUMIF(INDIRECT(S$3),'Struktur Vorjahr'!$D452,INDIRECT(S$5)))</f>
        <v>0</v>
      </c>
      <c r="T452" s="593">
        <f ca="1">$E452*(-SUMIF(INDIRECT(T$3),'Struktur Vorjahr'!$D452,INDIRECT(T$4))+SUMIF(INDIRECT(T$3),'Struktur Vorjahr'!$D452,INDIRECT(T$5)))</f>
        <v>0</v>
      </c>
      <c r="U452" s="593">
        <f ca="1">$E452*(-SUMIF(INDIRECT(U$3),'Struktur Vorjahr'!$D452,INDIRECT(U$4))+SUMIF(INDIRECT(U$3),'Struktur Vorjahr'!$D452,INDIRECT(U$5)))</f>
        <v>0</v>
      </c>
      <c r="V452" s="593">
        <f ca="1">$E452*(-SUMIF(INDIRECT(V$3),'Struktur Vorjahr'!$D452,INDIRECT(V$4))+SUMIF(INDIRECT(V$3),'Struktur Vorjahr'!$D452,INDIRECT(V$5)))</f>
        <v>0</v>
      </c>
      <c r="W452" s="593">
        <f ca="1">$E452*(-SUMIF(INDIRECT(W$3),'Struktur Vorjahr'!$D452,INDIRECT(W$4))+SUMIF(INDIRECT(W$3),'Struktur Vorjahr'!$D452,INDIRECT(W$5)))</f>
        <v>0</v>
      </c>
      <c r="X452" s="593">
        <f ca="1">$E452*(-SUMIF(INDIRECT(X$3),'Struktur Vorjahr'!$D452,INDIRECT(X$4))+SUMIF(INDIRECT(X$3),'Struktur Vorjahr'!$D452,INDIRECT(X$5)))</f>
        <v>0</v>
      </c>
      <c r="Y452" s="593">
        <f ca="1">$E452*(-SUMIF(INDIRECT(Y$3),'Struktur Vorjahr'!$D452,INDIRECT(Y$4))+SUMIF(INDIRECT(Y$3),'Struktur Vorjahr'!$D452,INDIRECT(Y$5)))</f>
        <v>0</v>
      </c>
      <c r="Z452" s="593">
        <f ca="1">$E452*(-SUMIF(INDIRECT(Z$3),'Struktur Vorjahr'!$D452,INDIRECT(Z$4))+SUMIF(INDIRECT(Z$3),'Struktur Vorjahr'!$D452,INDIRECT(Z$5)))</f>
        <v>0</v>
      </c>
      <c r="AA452" s="593">
        <f ca="1">$E452*(-SUMIF(INDIRECT(AA$3),'Struktur Vorjahr'!$D452,INDIRECT(AA$4))+SUMIF(INDIRECT(AA$3),'Struktur Vorjahr'!$D452,INDIRECT(AA$5)))</f>
        <v>0</v>
      </c>
      <c r="AB452" s="593">
        <f ca="1">$E452*(-SUMIF(INDIRECT(AB$3),'Struktur Vorjahr'!$D452,INDIRECT(AB$4))+SUMIF(INDIRECT(AB$3),'Struktur Vorjahr'!$D452,INDIRECT(AB$5)))</f>
        <v>0</v>
      </c>
      <c r="AC452" s="593">
        <f ca="1">$E452*(-SUMIF(INDIRECT(AC$3),'Struktur Vorjahr'!$D452,INDIRECT(AC$4))+SUMIF(INDIRECT(AC$3),'Struktur Vorjahr'!$D452,INDIRECT(AC$5)))</f>
        <v>0</v>
      </c>
      <c r="AD452" s="593">
        <f ca="1">$E452*(-SUMIF(INDIRECT(AD$3),'Struktur Vorjahr'!$D452,INDIRECT(AD$4))+SUMIF(INDIRECT(AD$3),'Struktur Vorjahr'!$D452,INDIRECT(AD$5)))</f>
        <v>0</v>
      </c>
      <c r="AE452" s="593">
        <f t="shared" ca="1" si="225"/>
        <v>0</v>
      </c>
      <c r="AF452" s="593">
        <f t="shared" ca="1" si="226"/>
        <v>0</v>
      </c>
      <c r="AG452" s="593">
        <f t="shared" ca="1" si="226"/>
        <v>0</v>
      </c>
      <c r="AH452" s="593">
        <f t="shared" ca="1" si="226"/>
        <v>0</v>
      </c>
      <c r="AI452" s="593">
        <f t="shared" ca="1" si="226"/>
        <v>0</v>
      </c>
      <c r="AJ452" s="593">
        <f t="shared" ca="1" si="226"/>
        <v>0</v>
      </c>
      <c r="AK452" s="593">
        <f t="shared" ca="1" si="226"/>
        <v>0</v>
      </c>
      <c r="AL452" s="593">
        <f t="shared" ca="1" si="226"/>
        <v>0</v>
      </c>
      <c r="AM452" s="593">
        <f t="shared" ca="1" si="226"/>
        <v>0</v>
      </c>
      <c r="AN452" s="593">
        <f t="shared" ca="1" si="226"/>
        <v>0</v>
      </c>
      <c r="AO452" s="593">
        <f t="shared" ca="1" si="226"/>
        <v>0</v>
      </c>
      <c r="AP452" s="593">
        <f t="shared" ca="1" si="226"/>
        <v>0</v>
      </c>
    </row>
    <row r="453" spans="1:42" s="594" customFormat="1" ht="11.25" outlineLevel="1" x14ac:dyDescent="0.2">
      <c r="A453" s="644"/>
      <c r="B453" s="591" t="str">
        <f>IF(D453&lt;&gt;"",
IF(ISERROR(MATCH(D453,'Ist Vorjahr Monat 01'!A:A,0))=FALSE,INDEX('Ist Vorjahr Monat 01'!B:B,MATCH(D453,'Ist Vorjahr Monat 01'!A:A,0)),
IF(ISERROR(MATCH(D453,'Ist Vorjahr Monat 02'!A:A,0))=FALSE,INDEX('Ist Vorjahr Monat 02'!B:B,MATCH(D453,'Ist Vorjahr Monat 02'!A:A,0)),
IF(ISERROR(MATCH(D453,'Ist Vorjahr Monat 03'!A:A,0))=FALSE,INDEX('Ist Vorjahr Monat 03'!B:B,MATCH(D453,'Ist Vorjahr Monat 03'!A:A,0)),
IF(ISERROR(MATCH(D453,'Ist Vorjahr Monat 04'!A:A,0))=FALSE,INDEX('Ist Vorjahr Monat 04'!B:B,MATCH(D453,'Ist Vorjahr Monat 04'!A:A,0)),
IF(ISERROR(MATCH(D453,'Ist Vorjahr Monat 05'!A:A,0))=FALSE,INDEX('Ist Vorjahr Monat 05'!B:B,MATCH(D453,'Ist Vorjahr Monat 05'!A:A,0)),
IF(ISERROR(MATCH(D453,'Ist Vorjahr Monat 06'!A:A,0))=FALSE,INDEX('Ist Vorjahr Monat 06'!B:B,MATCH(D453,'Ist Vorjahr Monat 06'!A:A,0)),
IF(ISERROR(MATCH(D453,'Ist Vorjahr Monat 07'!A:A,0))=FALSE,INDEX('Ist Vorjahr Monat 07'!B:B,MATCH(D453,'Ist Vorjahr Monat 07'!A:A,0)),
IF(ISERROR(MATCH(D453,'Ist Vorjahr Monat 08'!A:A,0))=FALSE,INDEX('Ist Vorjahr Monat 08'!B:B,MATCH(D453,'Ist Vorjahr Monat 08'!A:A,0)),
IF(ISERROR(MATCH(D453,'Ist Vorjahr Monat 09'!A:A,0))=FALSE,INDEX('Ist Vorjahr Monat 09'!B:B,MATCH(D453,'Ist Vorjahr Monat 09'!A:A,0)),
IF(ISERROR(MATCH(D453,'Ist Vorjahr Monat 10'!A:A,0))=FALSE,INDEX('Ist Vorjahr Monat 10'!B:B,MATCH(D453,'Ist Vorjahr Monat 10'!A:A,0)),
IF(ISERROR(MATCH(D453,'Ist Vorjahr Monat 11'!A:A,0))=FALSE,INDEX('Ist Vorjahr Monat 11'!B:B,MATCH(D453,'Ist Vorjahr Monat 11'!A:A,0)),
IF(ISERROR(MATCH(D453,'Ist Vorjahr Monat 12'!A:A,0))=FALSE,INDEX('Ist Vorjahr Monat 12'!B:B,MATCH(D453,'Ist Vorjahr Monat 12'!A:A,0)),
"{Konto unbekannt}"
)))))))))))),"")</f>
        <v/>
      </c>
      <c r="C453" s="1062"/>
      <c r="D453" s="1067"/>
      <c r="E453" s="625">
        <f t="shared" si="186"/>
        <v>1</v>
      </c>
      <c r="F453" s="626"/>
      <c r="G453" s="593">
        <f ca="1">$E453*(-SUMIF(INDIRECT(G$3),'Struktur Vorjahr'!$D453,INDIRECT(G$4))+SUMIF(INDIRECT(G$3),'Struktur Vorjahr'!$D453,INDIRECT(G$5)))</f>
        <v>0</v>
      </c>
      <c r="H453" s="593">
        <f ca="1">$E453*(-SUMIF(INDIRECT(H$3),'Struktur Vorjahr'!$D453,INDIRECT(H$4))+SUMIF(INDIRECT(H$3),'Struktur Vorjahr'!$D453,INDIRECT(H$5)))</f>
        <v>0</v>
      </c>
      <c r="I453" s="593">
        <f ca="1">$E453*(-SUMIF(INDIRECT(I$3),'Struktur Vorjahr'!$D453,INDIRECT(I$4))+SUMIF(INDIRECT(I$3),'Struktur Vorjahr'!$D453,INDIRECT(I$5)))</f>
        <v>0</v>
      </c>
      <c r="J453" s="593">
        <f ca="1">$E453*(-SUMIF(INDIRECT(J$3),'Struktur Vorjahr'!$D453,INDIRECT(J$4))+SUMIF(INDIRECT(J$3),'Struktur Vorjahr'!$D453,INDIRECT(J$5)))</f>
        <v>0</v>
      </c>
      <c r="K453" s="593">
        <f ca="1">$E453*(-SUMIF(INDIRECT(K$3),'Struktur Vorjahr'!$D453,INDIRECT(K$4))+SUMIF(INDIRECT(K$3),'Struktur Vorjahr'!$D453,INDIRECT(K$5)))</f>
        <v>0</v>
      </c>
      <c r="L453" s="593">
        <f ca="1">$E453*(-SUMIF(INDIRECT(L$3),'Struktur Vorjahr'!$D453,INDIRECT(L$4))+SUMIF(INDIRECT(L$3),'Struktur Vorjahr'!$D453,INDIRECT(L$5)))</f>
        <v>0</v>
      </c>
      <c r="M453" s="593">
        <f ca="1">$E453*(-SUMIF(INDIRECT(M$3),'Struktur Vorjahr'!$D453,INDIRECT(M$4))+SUMIF(INDIRECT(M$3),'Struktur Vorjahr'!$D453,INDIRECT(M$5)))</f>
        <v>0</v>
      </c>
      <c r="N453" s="593">
        <f ca="1">$E453*(-SUMIF(INDIRECT(N$3),'Struktur Vorjahr'!$D453,INDIRECT(N$4))+SUMIF(INDIRECT(N$3),'Struktur Vorjahr'!$D453,INDIRECT(N$5)))</f>
        <v>0</v>
      </c>
      <c r="O453" s="593">
        <f ca="1">$E453*(-SUMIF(INDIRECT(O$3),'Struktur Vorjahr'!$D453,INDIRECT(O$4))+SUMIF(INDIRECT(O$3),'Struktur Vorjahr'!$D453,INDIRECT(O$5)))</f>
        <v>0</v>
      </c>
      <c r="P453" s="593">
        <f ca="1">$E453*(-SUMIF(INDIRECT(P$3),'Struktur Vorjahr'!$D453,INDIRECT(P$4))+SUMIF(INDIRECT(P$3),'Struktur Vorjahr'!$D453,INDIRECT(P$5)))</f>
        <v>0</v>
      </c>
      <c r="Q453" s="593">
        <f ca="1">$E453*(-SUMIF(INDIRECT(Q$3),'Struktur Vorjahr'!$D453,INDIRECT(Q$4))+SUMIF(INDIRECT(Q$3),'Struktur Vorjahr'!$D453,INDIRECT(Q$5)))</f>
        <v>0</v>
      </c>
      <c r="R453" s="593">
        <f ca="1">$E453*(-SUMIF(INDIRECT(R$3),'Struktur Vorjahr'!$D453,INDIRECT(R$4))+SUMIF(INDIRECT(R$3),'Struktur Vorjahr'!$D453,INDIRECT(R$5)))</f>
        <v>0</v>
      </c>
      <c r="S453" s="593">
        <f ca="1">$E453*(-SUMIF(INDIRECT(S$3),'Struktur Vorjahr'!$D453,INDIRECT(S$4))+SUMIF(INDIRECT(S$3),'Struktur Vorjahr'!$D453,INDIRECT(S$5)))</f>
        <v>0</v>
      </c>
      <c r="T453" s="593">
        <f ca="1">$E453*(-SUMIF(INDIRECT(T$3),'Struktur Vorjahr'!$D453,INDIRECT(T$4))+SUMIF(INDIRECT(T$3),'Struktur Vorjahr'!$D453,INDIRECT(T$5)))</f>
        <v>0</v>
      </c>
      <c r="U453" s="593">
        <f ca="1">$E453*(-SUMIF(INDIRECT(U$3),'Struktur Vorjahr'!$D453,INDIRECT(U$4))+SUMIF(INDIRECT(U$3),'Struktur Vorjahr'!$D453,INDIRECT(U$5)))</f>
        <v>0</v>
      </c>
      <c r="V453" s="593">
        <f ca="1">$E453*(-SUMIF(INDIRECT(V$3),'Struktur Vorjahr'!$D453,INDIRECT(V$4))+SUMIF(INDIRECT(V$3),'Struktur Vorjahr'!$D453,INDIRECT(V$5)))</f>
        <v>0</v>
      </c>
      <c r="W453" s="593">
        <f ca="1">$E453*(-SUMIF(INDIRECT(W$3),'Struktur Vorjahr'!$D453,INDIRECT(W$4))+SUMIF(INDIRECT(W$3),'Struktur Vorjahr'!$D453,INDIRECT(W$5)))</f>
        <v>0</v>
      </c>
      <c r="X453" s="593">
        <f ca="1">$E453*(-SUMIF(INDIRECT(X$3),'Struktur Vorjahr'!$D453,INDIRECT(X$4))+SUMIF(INDIRECT(X$3),'Struktur Vorjahr'!$D453,INDIRECT(X$5)))</f>
        <v>0</v>
      </c>
      <c r="Y453" s="593">
        <f ca="1">$E453*(-SUMIF(INDIRECT(Y$3),'Struktur Vorjahr'!$D453,INDIRECT(Y$4))+SUMIF(INDIRECT(Y$3),'Struktur Vorjahr'!$D453,INDIRECT(Y$5)))</f>
        <v>0</v>
      </c>
      <c r="Z453" s="593">
        <f ca="1">$E453*(-SUMIF(INDIRECT(Z$3),'Struktur Vorjahr'!$D453,INDIRECT(Z$4))+SUMIF(INDIRECT(Z$3),'Struktur Vorjahr'!$D453,INDIRECT(Z$5)))</f>
        <v>0</v>
      </c>
      <c r="AA453" s="593">
        <f ca="1">$E453*(-SUMIF(INDIRECT(AA$3),'Struktur Vorjahr'!$D453,INDIRECT(AA$4))+SUMIF(INDIRECT(AA$3),'Struktur Vorjahr'!$D453,INDIRECT(AA$5)))</f>
        <v>0</v>
      </c>
      <c r="AB453" s="593">
        <f ca="1">$E453*(-SUMIF(INDIRECT(AB$3),'Struktur Vorjahr'!$D453,INDIRECT(AB$4))+SUMIF(INDIRECT(AB$3),'Struktur Vorjahr'!$D453,INDIRECT(AB$5)))</f>
        <v>0</v>
      </c>
      <c r="AC453" s="593">
        <f ca="1">$E453*(-SUMIF(INDIRECT(AC$3),'Struktur Vorjahr'!$D453,INDIRECT(AC$4))+SUMIF(INDIRECT(AC$3),'Struktur Vorjahr'!$D453,INDIRECT(AC$5)))</f>
        <v>0</v>
      </c>
      <c r="AD453" s="593">
        <f ca="1">$E453*(-SUMIF(INDIRECT(AD$3),'Struktur Vorjahr'!$D453,INDIRECT(AD$4))+SUMIF(INDIRECT(AD$3),'Struktur Vorjahr'!$D453,INDIRECT(AD$5)))</f>
        <v>0</v>
      </c>
      <c r="AE453" s="593">
        <f t="shared" ca="1" si="225"/>
        <v>0</v>
      </c>
      <c r="AF453" s="593">
        <f t="shared" ca="1" si="226"/>
        <v>0</v>
      </c>
      <c r="AG453" s="593">
        <f t="shared" ca="1" si="226"/>
        <v>0</v>
      </c>
      <c r="AH453" s="593">
        <f t="shared" ca="1" si="226"/>
        <v>0</v>
      </c>
      <c r="AI453" s="593">
        <f t="shared" ca="1" si="226"/>
        <v>0</v>
      </c>
      <c r="AJ453" s="593">
        <f t="shared" ca="1" si="226"/>
        <v>0</v>
      </c>
      <c r="AK453" s="593">
        <f t="shared" ca="1" si="226"/>
        <v>0</v>
      </c>
      <c r="AL453" s="593">
        <f t="shared" ca="1" si="226"/>
        <v>0</v>
      </c>
      <c r="AM453" s="593">
        <f t="shared" ca="1" si="226"/>
        <v>0</v>
      </c>
      <c r="AN453" s="593">
        <f t="shared" ca="1" si="226"/>
        <v>0</v>
      </c>
      <c r="AO453" s="593">
        <f t="shared" ca="1" si="226"/>
        <v>0</v>
      </c>
      <c r="AP453" s="593">
        <f t="shared" ca="1" si="226"/>
        <v>0</v>
      </c>
    </row>
    <row r="454" spans="1:42" s="594" customFormat="1" ht="11.25" outlineLevel="1" x14ac:dyDescent="0.2">
      <c r="A454" s="644"/>
      <c r="B454" s="591" t="str">
        <f>IF(D454&lt;&gt;"",
IF(ISERROR(MATCH(D454,'Ist Vorjahr Monat 01'!A:A,0))=FALSE,INDEX('Ist Vorjahr Monat 01'!B:B,MATCH(D454,'Ist Vorjahr Monat 01'!A:A,0)),
IF(ISERROR(MATCH(D454,'Ist Vorjahr Monat 02'!A:A,0))=FALSE,INDEX('Ist Vorjahr Monat 02'!B:B,MATCH(D454,'Ist Vorjahr Monat 02'!A:A,0)),
IF(ISERROR(MATCH(D454,'Ist Vorjahr Monat 03'!A:A,0))=FALSE,INDEX('Ist Vorjahr Monat 03'!B:B,MATCH(D454,'Ist Vorjahr Monat 03'!A:A,0)),
IF(ISERROR(MATCH(D454,'Ist Vorjahr Monat 04'!A:A,0))=FALSE,INDEX('Ist Vorjahr Monat 04'!B:B,MATCH(D454,'Ist Vorjahr Monat 04'!A:A,0)),
IF(ISERROR(MATCH(D454,'Ist Vorjahr Monat 05'!A:A,0))=FALSE,INDEX('Ist Vorjahr Monat 05'!B:B,MATCH(D454,'Ist Vorjahr Monat 05'!A:A,0)),
IF(ISERROR(MATCH(D454,'Ist Vorjahr Monat 06'!A:A,0))=FALSE,INDEX('Ist Vorjahr Monat 06'!B:B,MATCH(D454,'Ist Vorjahr Monat 06'!A:A,0)),
IF(ISERROR(MATCH(D454,'Ist Vorjahr Monat 07'!A:A,0))=FALSE,INDEX('Ist Vorjahr Monat 07'!B:B,MATCH(D454,'Ist Vorjahr Monat 07'!A:A,0)),
IF(ISERROR(MATCH(D454,'Ist Vorjahr Monat 08'!A:A,0))=FALSE,INDEX('Ist Vorjahr Monat 08'!B:B,MATCH(D454,'Ist Vorjahr Monat 08'!A:A,0)),
IF(ISERROR(MATCH(D454,'Ist Vorjahr Monat 09'!A:A,0))=FALSE,INDEX('Ist Vorjahr Monat 09'!B:B,MATCH(D454,'Ist Vorjahr Monat 09'!A:A,0)),
IF(ISERROR(MATCH(D454,'Ist Vorjahr Monat 10'!A:A,0))=FALSE,INDEX('Ist Vorjahr Monat 10'!B:B,MATCH(D454,'Ist Vorjahr Monat 10'!A:A,0)),
IF(ISERROR(MATCH(D454,'Ist Vorjahr Monat 11'!A:A,0))=FALSE,INDEX('Ist Vorjahr Monat 11'!B:B,MATCH(D454,'Ist Vorjahr Monat 11'!A:A,0)),
IF(ISERROR(MATCH(D454,'Ist Vorjahr Monat 12'!A:A,0))=FALSE,INDEX('Ist Vorjahr Monat 12'!B:B,MATCH(D454,'Ist Vorjahr Monat 12'!A:A,0)),
"{Konto unbekannt}"
)))))))))))),"")</f>
        <v/>
      </c>
      <c r="C454" s="1062"/>
      <c r="D454" s="1067"/>
      <c r="E454" s="625">
        <f t="shared" si="186"/>
        <v>1</v>
      </c>
      <c r="F454" s="626"/>
      <c r="G454" s="593">
        <f ca="1">$E454*(-SUMIF(INDIRECT(G$3),'Struktur Vorjahr'!$D454,INDIRECT(G$4))+SUMIF(INDIRECT(G$3),'Struktur Vorjahr'!$D454,INDIRECT(G$5)))</f>
        <v>0</v>
      </c>
      <c r="H454" s="593">
        <f ca="1">$E454*(-SUMIF(INDIRECT(H$3),'Struktur Vorjahr'!$D454,INDIRECT(H$4))+SUMIF(INDIRECT(H$3),'Struktur Vorjahr'!$D454,INDIRECT(H$5)))</f>
        <v>0</v>
      </c>
      <c r="I454" s="593">
        <f ca="1">$E454*(-SUMIF(INDIRECT(I$3),'Struktur Vorjahr'!$D454,INDIRECT(I$4))+SUMIF(INDIRECT(I$3),'Struktur Vorjahr'!$D454,INDIRECT(I$5)))</f>
        <v>0</v>
      </c>
      <c r="J454" s="593">
        <f ca="1">$E454*(-SUMIF(INDIRECT(J$3),'Struktur Vorjahr'!$D454,INDIRECT(J$4))+SUMIF(INDIRECT(J$3),'Struktur Vorjahr'!$D454,INDIRECT(J$5)))</f>
        <v>0</v>
      </c>
      <c r="K454" s="593">
        <f ca="1">$E454*(-SUMIF(INDIRECT(K$3),'Struktur Vorjahr'!$D454,INDIRECT(K$4))+SUMIF(INDIRECT(K$3),'Struktur Vorjahr'!$D454,INDIRECT(K$5)))</f>
        <v>0</v>
      </c>
      <c r="L454" s="593">
        <f ca="1">$E454*(-SUMIF(INDIRECT(L$3),'Struktur Vorjahr'!$D454,INDIRECT(L$4))+SUMIF(INDIRECT(L$3),'Struktur Vorjahr'!$D454,INDIRECT(L$5)))</f>
        <v>0</v>
      </c>
      <c r="M454" s="593">
        <f ca="1">$E454*(-SUMIF(INDIRECT(M$3),'Struktur Vorjahr'!$D454,INDIRECT(M$4))+SUMIF(INDIRECT(M$3),'Struktur Vorjahr'!$D454,INDIRECT(M$5)))</f>
        <v>0</v>
      </c>
      <c r="N454" s="593">
        <f ca="1">$E454*(-SUMIF(INDIRECT(N$3),'Struktur Vorjahr'!$D454,INDIRECT(N$4))+SUMIF(INDIRECT(N$3),'Struktur Vorjahr'!$D454,INDIRECT(N$5)))</f>
        <v>0</v>
      </c>
      <c r="O454" s="593">
        <f ca="1">$E454*(-SUMIF(INDIRECT(O$3),'Struktur Vorjahr'!$D454,INDIRECT(O$4))+SUMIF(INDIRECT(O$3),'Struktur Vorjahr'!$D454,INDIRECT(O$5)))</f>
        <v>0</v>
      </c>
      <c r="P454" s="593">
        <f ca="1">$E454*(-SUMIF(INDIRECT(P$3),'Struktur Vorjahr'!$D454,INDIRECT(P$4))+SUMIF(INDIRECT(P$3),'Struktur Vorjahr'!$D454,INDIRECT(P$5)))</f>
        <v>0</v>
      </c>
      <c r="Q454" s="593">
        <f ca="1">$E454*(-SUMIF(INDIRECT(Q$3),'Struktur Vorjahr'!$D454,INDIRECT(Q$4))+SUMIF(INDIRECT(Q$3),'Struktur Vorjahr'!$D454,INDIRECT(Q$5)))</f>
        <v>0</v>
      </c>
      <c r="R454" s="593">
        <f ca="1">$E454*(-SUMIF(INDIRECT(R$3),'Struktur Vorjahr'!$D454,INDIRECT(R$4))+SUMIF(INDIRECT(R$3),'Struktur Vorjahr'!$D454,INDIRECT(R$5)))</f>
        <v>0</v>
      </c>
      <c r="S454" s="593">
        <f ca="1">$E454*(-SUMIF(INDIRECT(S$3),'Struktur Vorjahr'!$D454,INDIRECT(S$4))+SUMIF(INDIRECT(S$3),'Struktur Vorjahr'!$D454,INDIRECT(S$5)))</f>
        <v>0</v>
      </c>
      <c r="T454" s="593">
        <f ca="1">$E454*(-SUMIF(INDIRECT(T$3),'Struktur Vorjahr'!$D454,INDIRECT(T$4))+SUMIF(INDIRECT(T$3),'Struktur Vorjahr'!$D454,INDIRECT(T$5)))</f>
        <v>0</v>
      </c>
      <c r="U454" s="593">
        <f ca="1">$E454*(-SUMIF(INDIRECT(U$3),'Struktur Vorjahr'!$D454,INDIRECT(U$4))+SUMIF(INDIRECT(U$3),'Struktur Vorjahr'!$D454,INDIRECT(U$5)))</f>
        <v>0</v>
      </c>
      <c r="V454" s="593">
        <f ca="1">$E454*(-SUMIF(INDIRECT(V$3),'Struktur Vorjahr'!$D454,INDIRECT(V$4))+SUMIF(INDIRECT(V$3),'Struktur Vorjahr'!$D454,INDIRECT(V$5)))</f>
        <v>0</v>
      </c>
      <c r="W454" s="593">
        <f ca="1">$E454*(-SUMIF(INDIRECT(W$3),'Struktur Vorjahr'!$D454,INDIRECT(W$4))+SUMIF(INDIRECT(W$3),'Struktur Vorjahr'!$D454,INDIRECT(W$5)))</f>
        <v>0</v>
      </c>
      <c r="X454" s="593">
        <f ca="1">$E454*(-SUMIF(INDIRECT(X$3),'Struktur Vorjahr'!$D454,INDIRECT(X$4))+SUMIF(INDIRECT(X$3),'Struktur Vorjahr'!$D454,INDIRECT(X$5)))</f>
        <v>0</v>
      </c>
      <c r="Y454" s="593">
        <f ca="1">$E454*(-SUMIF(INDIRECT(Y$3),'Struktur Vorjahr'!$D454,INDIRECT(Y$4))+SUMIF(INDIRECT(Y$3),'Struktur Vorjahr'!$D454,INDIRECT(Y$5)))</f>
        <v>0</v>
      </c>
      <c r="Z454" s="593">
        <f ca="1">$E454*(-SUMIF(INDIRECT(Z$3),'Struktur Vorjahr'!$D454,INDIRECT(Z$4))+SUMIF(INDIRECT(Z$3),'Struktur Vorjahr'!$D454,INDIRECT(Z$5)))</f>
        <v>0</v>
      </c>
      <c r="AA454" s="593">
        <f ca="1">$E454*(-SUMIF(INDIRECT(AA$3),'Struktur Vorjahr'!$D454,INDIRECT(AA$4))+SUMIF(INDIRECT(AA$3),'Struktur Vorjahr'!$D454,INDIRECT(AA$5)))</f>
        <v>0</v>
      </c>
      <c r="AB454" s="593">
        <f ca="1">$E454*(-SUMIF(INDIRECT(AB$3),'Struktur Vorjahr'!$D454,INDIRECT(AB$4))+SUMIF(INDIRECT(AB$3),'Struktur Vorjahr'!$D454,INDIRECT(AB$5)))</f>
        <v>0</v>
      </c>
      <c r="AC454" s="593">
        <f ca="1">$E454*(-SUMIF(INDIRECT(AC$3),'Struktur Vorjahr'!$D454,INDIRECT(AC$4))+SUMIF(INDIRECT(AC$3),'Struktur Vorjahr'!$D454,INDIRECT(AC$5)))</f>
        <v>0</v>
      </c>
      <c r="AD454" s="593">
        <f ca="1">$E454*(-SUMIF(INDIRECT(AD$3),'Struktur Vorjahr'!$D454,INDIRECT(AD$4))+SUMIF(INDIRECT(AD$3),'Struktur Vorjahr'!$D454,INDIRECT(AD$5)))</f>
        <v>0</v>
      </c>
      <c r="AE454" s="593">
        <f t="shared" ca="1" si="225"/>
        <v>0</v>
      </c>
      <c r="AF454" s="593">
        <f t="shared" ca="1" si="226"/>
        <v>0</v>
      </c>
      <c r="AG454" s="593">
        <f t="shared" ca="1" si="226"/>
        <v>0</v>
      </c>
      <c r="AH454" s="593">
        <f t="shared" ca="1" si="226"/>
        <v>0</v>
      </c>
      <c r="AI454" s="593">
        <f t="shared" ca="1" si="226"/>
        <v>0</v>
      </c>
      <c r="AJ454" s="593">
        <f t="shared" ca="1" si="226"/>
        <v>0</v>
      </c>
      <c r="AK454" s="593">
        <f t="shared" ca="1" si="226"/>
        <v>0</v>
      </c>
      <c r="AL454" s="593">
        <f t="shared" ca="1" si="226"/>
        <v>0</v>
      </c>
      <c r="AM454" s="593">
        <f t="shared" ca="1" si="226"/>
        <v>0</v>
      </c>
      <c r="AN454" s="593">
        <f t="shared" ca="1" si="226"/>
        <v>0</v>
      </c>
      <c r="AO454" s="593">
        <f t="shared" ca="1" si="226"/>
        <v>0</v>
      </c>
      <c r="AP454" s="593">
        <f t="shared" ca="1" si="226"/>
        <v>0</v>
      </c>
    </row>
    <row r="455" spans="1:42" s="594" customFormat="1" ht="11.25" outlineLevel="1" x14ac:dyDescent="0.2">
      <c r="A455" s="644"/>
      <c r="B455" s="591" t="str">
        <f>IF(D455&lt;&gt;"",
IF(ISERROR(MATCH(D455,'Ist Vorjahr Monat 01'!A:A,0))=FALSE,INDEX('Ist Vorjahr Monat 01'!B:B,MATCH(D455,'Ist Vorjahr Monat 01'!A:A,0)),
IF(ISERROR(MATCH(D455,'Ist Vorjahr Monat 02'!A:A,0))=FALSE,INDEX('Ist Vorjahr Monat 02'!B:B,MATCH(D455,'Ist Vorjahr Monat 02'!A:A,0)),
IF(ISERROR(MATCH(D455,'Ist Vorjahr Monat 03'!A:A,0))=FALSE,INDEX('Ist Vorjahr Monat 03'!B:B,MATCH(D455,'Ist Vorjahr Monat 03'!A:A,0)),
IF(ISERROR(MATCH(D455,'Ist Vorjahr Monat 04'!A:A,0))=FALSE,INDEX('Ist Vorjahr Monat 04'!B:B,MATCH(D455,'Ist Vorjahr Monat 04'!A:A,0)),
IF(ISERROR(MATCH(D455,'Ist Vorjahr Monat 05'!A:A,0))=FALSE,INDEX('Ist Vorjahr Monat 05'!B:B,MATCH(D455,'Ist Vorjahr Monat 05'!A:A,0)),
IF(ISERROR(MATCH(D455,'Ist Vorjahr Monat 06'!A:A,0))=FALSE,INDEX('Ist Vorjahr Monat 06'!B:B,MATCH(D455,'Ist Vorjahr Monat 06'!A:A,0)),
IF(ISERROR(MATCH(D455,'Ist Vorjahr Monat 07'!A:A,0))=FALSE,INDEX('Ist Vorjahr Monat 07'!B:B,MATCH(D455,'Ist Vorjahr Monat 07'!A:A,0)),
IF(ISERROR(MATCH(D455,'Ist Vorjahr Monat 08'!A:A,0))=FALSE,INDEX('Ist Vorjahr Monat 08'!B:B,MATCH(D455,'Ist Vorjahr Monat 08'!A:A,0)),
IF(ISERROR(MATCH(D455,'Ist Vorjahr Monat 09'!A:A,0))=FALSE,INDEX('Ist Vorjahr Monat 09'!B:B,MATCH(D455,'Ist Vorjahr Monat 09'!A:A,0)),
IF(ISERROR(MATCH(D455,'Ist Vorjahr Monat 10'!A:A,0))=FALSE,INDEX('Ist Vorjahr Monat 10'!B:B,MATCH(D455,'Ist Vorjahr Monat 10'!A:A,0)),
IF(ISERROR(MATCH(D455,'Ist Vorjahr Monat 11'!A:A,0))=FALSE,INDEX('Ist Vorjahr Monat 11'!B:B,MATCH(D455,'Ist Vorjahr Monat 11'!A:A,0)),
IF(ISERROR(MATCH(D455,'Ist Vorjahr Monat 12'!A:A,0))=FALSE,INDEX('Ist Vorjahr Monat 12'!B:B,MATCH(D455,'Ist Vorjahr Monat 12'!A:A,0)),
"{Konto unbekannt}"
)))))))))))),"")</f>
        <v/>
      </c>
      <c r="C455" s="1062"/>
      <c r="D455" s="1067"/>
      <c r="E455" s="625">
        <f t="shared" si="186"/>
        <v>1</v>
      </c>
      <c r="F455" s="626"/>
      <c r="G455" s="593">
        <f ca="1">$E455*(-SUMIF(INDIRECT(G$3),'Struktur Vorjahr'!$D455,INDIRECT(G$4))+SUMIF(INDIRECT(G$3),'Struktur Vorjahr'!$D455,INDIRECT(G$5)))</f>
        <v>0</v>
      </c>
      <c r="H455" s="593">
        <f ca="1">$E455*(-SUMIF(INDIRECT(H$3),'Struktur Vorjahr'!$D455,INDIRECT(H$4))+SUMIF(INDIRECT(H$3),'Struktur Vorjahr'!$D455,INDIRECT(H$5)))</f>
        <v>0</v>
      </c>
      <c r="I455" s="593">
        <f ca="1">$E455*(-SUMIF(INDIRECT(I$3),'Struktur Vorjahr'!$D455,INDIRECT(I$4))+SUMIF(INDIRECT(I$3),'Struktur Vorjahr'!$D455,INDIRECT(I$5)))</f>
        <v>0</v>
      </c>
      <c r="J455" s="593">
        <f ca="1">$E455*(-SUMIF(INDIRECT(J$3),'Struktur Vorjahr'!$D455,INDIRECT(J$4))+SUMIF(INDIRECT(J$3),'Struktur Vorjahr'!$D455,INDIRECT(J$5)))</f>
        <v>0</v>
      </c>
      <c r="K455" s="593">
        <f ca="1">$E455*(-SUMIF(INDIRECT(K$3),'Struktur Vorjahr'!$D455,INDIRECT(K$4))+SUMIF(INDIRECT(K$3),'Struktur Vorjahr'!$D455,INDIRECT(K$5)))</f>
        <v>0</v>
      </c>
      <c r="L455" s="593">
        <f ca="1">$E455*(-SUMIF(INDIRECT(L$3),'Struktur Vorjahr'!$D455,INDIRECT(L$4))+SUMIF(INDIRECT(L$3),'Struktur Vorjahr'!$D455,INDIRECT(L$5)))</f>
        <v>0</v>
      </c>
      <c r="M455" s="593">
        <f ca="1">$E455*(-SUMIF(INDIRECT(M$3),'Struktur Vorjahr'!$D455,INDIRECT(M$4))+SUMIF(INDIRECT(M$3),'Struktur Vorjahr'!$D455,INDIRECT(M$5)))</f>
        <v>0</v>
      </c>
      <c r="N455" s="593">
        <f ca="1">$E455*(-SUMIF(INDIRECT(N$3),'Struktur Vorjahr'!$D455,INDIRECT(N$4))+SUMIF(INDIRECT(N$3),'Struktur Vorjahr'!$D455,INDIRECT(N$5)))</f>
        <v>0</v>
      </c>
      <c r="O455" s="593">
        <f ca="1">$E455*(-SUMIF(INDIRECT(O$3),'Struktur Vorjahr'!$D455,INDIRECT(O$4))+SUMIF(INDIRECT(O$3),'Struktur Vorjahr'!$D455,INDIRECT(O$5)))</f>
        <v>0</v>
      </c>
      <c r="P455" s="593">
        <f ca="1">$E455*(-SUMIF(INDIRECT(P$3),'Struktur Vorjahr'!$D455,INDIRECT(P$4))+SUMIF(INDIRECT(P$3),'Struktur Vorjahr'!$D455,INDIRECT(P$5)))</f>
        <v>0</v>
      </c>
      <c r="Q455" s="593">
        <f ca="1">$E455*(-SUMIF(INDIRECT(Q$3),'Struktur Vorjahr'!$D455,INDIRECT(Q$4))+SUMIF(INDIRECT(Q$3),'Struktur Vorjahr'!$D455,INDIRECT(Q$5)))</f>
        <v>0</v>
      </c>
      <c r="R455" s="593">
        <f ca="1">$E455*(-SUMIF(INDIRECT(R$3),'Struktur Vorjahr'!$D455,INDIRECT(R$4))+SUMIF(INDIRECT(R$3),'Struktur Vorjahr'!$D455,INDIRECT(R$5)))</f>
        <v>0</v>
      </c>
      <c r="S455" s="593">
        <f ca="1">$E455*(-SUMIF(INDIRECT(S$3),'Struktur Vorjahr'!$D455,INDIRECT(S$4))+SUMIF(INDIRECT(S$3),'Struktur Vorjahr'!$D455,INDIRECT(S$5)))</f>
        <v>0</v>
      </c>
      <c r="T455" s="593">
        <f ca="1">$E455*(-SUMIF(INDIRECT(T$3),'Struktur Vorjahr'!$D455,INDIRECT(T$4))+SUMIF(INDIRECT(T$3),'Struktur Vorjahr'!$D455,INDIRECT(T$5)))</f>
        <v>0</v>
      </c>
      <c r="U455" s="593">
        <f ca="1">$E455*(-SUMIF(INDIRECT(U$3),'Struktur Vorjahr'!$D455,INDIRECT(U$4))+SUMIF(INDIRECT(U$3),'Struktur Vorjahr'!$D455,INDIRECT(U$5)))</f>
        <v>0</v>
      </c>
      <c r="V455" s="593">
        <f ca="1">$E455*(-SUMIF(INDIRECT(V$3),'Struktur Vorjahr'!$D455,INDIRECT(V$4))+SUMIF(INDIRECT(V$3),'Struktur Vorjahr'!$D455,INDIRECT(V$5)))</f>
        <v>0</v>
      </c>
      <c r="W455" s="593">
        <f ca="1">$E455*(-SUMIF(INDIRECT(W$3),'Struktur Vorjahr'!$D455,INDIRECT(W$4))+SUMIF(INDIRECT(W$3),'Struktur Vorjahr'!$D455,INDIRECT(W$5)))</f>
        <v>0</v>
      </c>
      <c r="X455" s="593">
        <f ca="1">$E455*(-SUMIF(INDIRECT(X$3),'Struktur Vorjahr'!$D455,INDIRECT(X$4))+SUMIF(INDIRECT(X$3),'Struktur Vorjahr'!$D455,INDIRECT(X$5)))</f>
        <v>0</v>
      </c>
      <c r="Y455" s="593">
        <f ca="1">$E455*(-SUMIF(INDIRECT(Y$3),'Struktur Vorjahr'!$D455,INDIRECT(Y$4))+SUMIF(INDIRECT(Y$3),'Struktur Vorjahr'!$D455,INDIRECT(Y$5)))</f>
        <v>0</v>
      </c>
      <c r="Z455" s="593">
        <f ca="1">$E455*(-SUMIF(INDIRECT(Z$3),'Struktur Vorjahr'!$D455,INDIRECT(Z$4))+SUMIF(INDIRECT(Z$3),'Struktur Vorjahr'!$D455,INDIRECT(Z$5)))</f>
        <v>0</v>
      </c>
      <c r="AA455" s="593">
        <f ca="1">$E455*(-SUMIF(INDIRECT(AA$3),'Struktur Vorjahr'!$D455,INDIRECT(AA$4))+SUMIF(INDIRECT(AA$3),'Struktur Vorjahr'!$D455,INDIRECT(AA$5)))</f>
        <v>0</v>
      </c>
      <c r="AB455" s="593">
        <f ca="1">$E455*(-SUMIF(INDIRECT(AB$3),'Struktur Vorjahr'!$D455,INDIRECT(AB$4))+SUMIF(INDIRECT(AB$3),'Struktur Vorjahr'!$D455,INDIRECT(AB$5)))</f>
        <v>0</v>
      </c>
      <c r="AC455" s="593">
        <f ca="1">$E455*(-SUMIF(INDIRECT(AC$3),'Struktur Vorjahr'!$D455,INDIRECT(AC$4))+SUMIF(INDIRECT(AC$3),'Struktur Vorjahr'!$D455,INDIRECT(AC$5)))</f>
        <v>0</v>
      </c>
      <c r="AD455" s="593">
        <f ca="1">$E455*(-SUMIF(INDIRECT(AD$3),'Struktur Vorjahr'!$D455,INDIRECT(AD$4))+SUMIF(INDIRECT(AD$3),'Struktur Vorjahr'!$D455,INDIRECT(AD$5)))</f>
        <v>0</v>
      </c>
      <c r="AE455" s="593">
        <f t="shared" ca="1" si="225"/>
        <v>0</v>
      </c>
      <c r="AF455" s="593">
        <f t="shared" ca="1" si="226"/>
        <v>0</v>
      </c>
      <c r="AG455" s="593">
        <f t="shared" ca="1" si="226"/>
        <v>0</v>
      </c>
      <c r="AH455" s="593">
        <f t="shared" ca="1" si="226"/>
        <v>0</v>
      </c>
      <c r="AI455" s="593">
        <f t="shared" ca="1" si="226"/>
        <v>0</v>
      </c>
      <c r="AJ455" s="593">
        <f t="shared" ca="1" si="226"/>
        <v>0</v>
      </c>
      <c r="AK455" s="593">
        <f t="shared" ca="1" si="226"/>
        <v>0</v>
      </c>
      <c r="AL455" s="593">
        <f t="shared" ca="1" si="226"/>
        <v>0</v>
      </c>
      <c r="AM455" s="593">
        <f t="shared" ca="1" si="226"/>
        <v>0</v>
      </c>
      <c r="AN455" s="593">
        <f t="shared" ca="1" si="226"/>
        <v>0</v>
      </c>
      <c r="AO455" s="593">
        <f t="shared" ca="1" si="226"/>
        <v>0</v>
      </c>
      <c r="AP455" s="593">
        <f t="shared" ca="1" si="226"/>
        <v>0</v>
      </c>
    </row>
    <row r="456" spans="1:42" s="594" customFormat="1" ht="11.25" x14ac:dyDescent="0.2">
      <c r="A456" s="644"/>
      <c r="B456" s="591" t="str">
        <f>IF(D456&lt;&gt;"",
IF(ISERROR(MATCH(D456,'Ist Vorjahr Monat 01'!A:A,0))=FALSE,INDEX('Ist Vorjahr Monat 01'!B:B,MATCH(D456,'Ist Vorjahr Monat 01'!A:A,0)),
IF(ISERROR(MATCH(D456,'Ist Vorjahr Monat 02'!A:A,0))=FALSE,INDEX('Ist Vorjahr Monat 02'!B:B,MATCH(D456,'Ist Vorjahr Monat 02'!A:A,0)),
IF(ISERROR(MATCH(D456,'Ist Vorjahr Monat 03'!A:A,0))=FALSE,INDEX('Ist Vorjahr Monat 03'!B:B,MATCH(D456,'Ist Vorjahr Monat 03'!A:A,0)),
IF(ISERROR(MATCH(D456,'Ist Vorjahr Monat 04'!A:A,0))=FALSE,INDEX('Ist Vorjahr Monat 04'!B:B,MATCH(D456,'Ist Vorjahr Monat 04'!A:A,0)),
IF(ISERROR(MATCH(D456,'Ist Vorjahr Monat 05'!A:A,0))=FALSE,INDEX('Ist Vorjahr Monat 05'!B:B,MATCH(D456,'Ist Vorjahr Monat 05'!A:A,0)),
IF(ISERROR(MATCH(D456,'Ist Vorjahr Monat 06'!A:A,0))=FALSE,INDEX('Ist Vorjahr Monat 06'!B:B,MATCH(D456,'Ist Vorjahr Monat 06'!A:A,0)),
IF(ISERROR(MATCH(D456,'Ist Vorjahr Monat 07'!A:A,0))=FALSE,INDEX('Ist Vorjahr Monat 07'!B:B,MATCH(D456,'Ist Vorjahr Monat 07'!A:A,0)),
IF(ISERROR(MATCH(D456,'Ist Vorjahr Monat 08'!A:A,0))=FALSE,INDEX('Ist Vorjahr Monat 08'!B:B,MATCH(D456,'Ist Vorjahr Monat 08'!A:A,0)),
IF(ISERROR(MATCH(D456,'Ist Vorjahr Monat 09'!A:A,0))=FALSE,INDEX('Ist Vorjahr Monat 09'!B:B,MATCH(D456,'Ist Vorjahr Monat 09'!A:A,0)),
IF(ISERROR(MATCH(D456,'Ist Vorjahr Monat 10'!A:A,0))=FALSE,INDEX('Ist Vorjahr Monat 10'!B:B,MATCH(D456,'Ist Vorjahr Monat 10'!A:A,0)),
IF(ISERROR(MATCH(D456,'Ist Vorjahr Monat 11'!A:A,0))=FALSE,INDEX('Ist Vorjahr Monat 11'!B:B,MATCH(D456,'Ist Vorjahr Monat 11'!A:A,0)),
IF(ISERROR(MATCH(D456,'Ist Vorjahr Monat 12'!A:A,0))=FALSE,INDEX('Ist Vorjahr Monat 12'!B:B,MATCH(D456,'Ist Vorjahr Monat 12'!A:A,0)),
"{Konto unbekannt}"
)))))))))))),"")</f>
        <v/>
      </c>
      <c r="C456" s="1062"/>
      <c r="D456" s="1067"/>
      <c r="E456" s="625">
        <f t="shared" si="186"/>
        <v>1</v>
      </c>
      <c r="F456" s="626"/>
      <c r="G456" s="593">
        <f ca="1">$E456*(-SUMIF(INDIRECT(G$3),'Struktur Vorjahr'!$D456,INDIRECT(G$4))+SUMIF(INDIRECT(G$3),'Struktur Vorjahr'!$D456,INDIRECT(G$5)))</f>
        <v>0</v>
      </c>
      <c r="H456" s="593">
        <f ca="1">$E456*(-SUMIF(INDIRECT(H$3),'Struktur Vorjahr'!$D456,INDIRECT(H$4))+SUMIF(INDIRECT(H$3),'Struktur Vorjahr'!$D456,INDIRECT(H$5)))</f>
        <v>0</v>
      </c>
      <c r="I456" s="593">
        <f ca="1">$E456*(-SUMIF(INDIRECT(I$3),'Struktur Vorjahr'!$D456,INDIRECT(I$4))+SUMIF(INDIRECT(I$3),'Struktur Vorjahr'!$D456,INDIRECT(I$5)))</f>
        <v>0</v>
      </c>
      <c r="J456" s="593">
        <f ca="1">$E456*(-SUMIF(INDIRECT(J$3),'Struktur Vorjahr'!$D456,INDIRECT(J$4))+SUMIF(INDIRECT(J$3),'Struktur Vorjahr'!$D456,INDIRECT(J$5)))</f>
        <v>0</v>
      </c>
      <c r="K456" s="593">
        <f ca="1">$E456*(-SUMIF(INDIRECT(K$3),'Struktur Vorjahr'!$D456,INDIRECT(K$4))+SUMIF(INDIRECT(K$3),'Struktur Vorjahr'!$D456,INDIRECT(K$5)))</f>
        <v>0</v>
      </c>
      <c r="L456" s="593">
        <f ca="1">$E456*(-SUMIF(INDIRECT(L$3),'Struktur Vorjahr'!$D456,INDIRECT(L$4))+SUMIF(INDIRECT(L$3),'Struktur Vorjahr'!$D456,INDIRECT(L$5)))</f>
        <v>0</v>
      </c>
      <c r="M456" s="593">
        <f ca="1">$E456*(-SUMIF(INDIRECT(M$3),'Struktur Vorjahr'!$D456,INDIRECT(M$4))+SUMIF(INDIRECT(M$3),'Struktur Vorjahr'!$D456,INDIRECT(M$5)))</f>
        <v>0</v>
      </c>
      <c r="N456" s="593">
        <f ca="1">$E456*(-SUMIF(INDIRECT(N$3),'Struktur Vorjahr'!$D456,INDIRECT(N$4))+SUMIF(INDIRECT(N$3),'Struktur Vorjahr'!$D456,INDIRECT(N$5)))</f>
        <v>0</v>
      </c>
      <c r="O456" s="593">
        <f ca="1">$E456*(-SUMIF(INDIRECT(O$3),'Struktur Vorjahr'!$D456,INDIRECT(O$4))+SUMIF(INDIRECT(O$3),'Struktur Vorjahr'!$D456,INDIRECT(O$5)))</f>
        <v>0</v>
      </c>
      <c r="P456" s="593">
        <f ca="1">$E456*(-SUMIF(INDIRECT(P$3),'Struktur Vorjahr'!$D456,INDIRECT(P$4))+SUMIF(INDIRECT(P$3),'Struktur Vorjahr'!$D456,INDIRECT(P$5)))</f>
        <v>0</v>
      </c>
      <c r="Q456" s="593">
        <f ca="1">$E456*(-SUMIF(INDIRECT(Q$3),'Struktur Vorjahr'!$D456,INDIRECT(Q$4))+SUMIF(INDIRECT(Q$3),'Struktur Vorjahr'!$D456,INDIRECT(Q$5)))</f>
        <v>0</v>
      </c>
      <c r="R456" s="593">
        <f ca="1">$E456*(-SUMIF(INDIRECT(R$3),'Struktur Vorjahr'!$D456,INDIRECT(R$4))+SUMIF(INDIRECT(R$3),'Struktur Vorjahr'!$D456,INDIRECT(R$5)))</f>
        <v>0</v>
      </c>
      <c r="S456" s="593">
        <f ca="1">$E456*(-SUMIF(INDIRECT(S$3),'Struktur Vorjahr'!$D456,INDIRECT(S$4))+SUMIF(INDIRECT(S$3),'Struktur Vorjahr'!$D456,INDIRECT(S$5)))</f>
        <v>0</v>
      </c>
      <c r="T456" s="593">
        <f ca="1">$E456*(-SUMIF(INDIRECT(T$3),'Struktur Vorjahr'!$D456,INDIRECT(T$4))+SUMIF(INDIRECT(T$3),'Struktur Vorjahr'!$D456,INDIRECT(T$5)))</f>
        <v>0</v>
      </c>
      <c r="U456" s="593">
        <f ca="1">$E456*(-SUMIF(INDIRECT(U$3),'Struktur Vorjahr'!$D456,INDIRECT(U$4))+SUMIF(INDIRECT(U$3),'Struktur Vorjahr'!$D456,INDIRECT(U$5)))</f>
        <v>0</v>
      </c>
      <c r="V456" s="593">
        <f ca="1">$E456*(-SUMIF(INDIRECT(V$3),'Struktur Vorjahr'!$D456,INDIRECT(V$4))+SUMIF(INDIRECT(V$3),'Struktur Vorjahr'!$D456,INDIRECT(V$5)))</f>
        <v>0</v>
      </c>
      <c r="W456" s="593">
        <f ca="1">$E456*(-SUMIF(INDIRECT(W$3),'Struktur Vorjahr'!$D456,INDIRECT(W$4))+SUMIF(INDIRECT(W$3),'Struktur Vorjahr'!$D456,INDIRECT(W$5)))</f>
        <v>0</v>
      </c>
      <c r="X456" s="593">
        <f ca="1">$E456*(-SUMIF(INDIRECT(X$3),'Struktur Vorjahr'!$D456,INDIRECT(X$4))+SUMIF(INDIRECT(X$3),'Struktur Vorjahr'!$D456,INDIRECT(X$5)))</f>
        <v>0</v>
      </c>
      <c r="Y456" s="593">
        <f ca="1">$E456*(-SUMIF(INDIRECT(Y$3),'Struktur Vorjahr'!$D456,INDIRECT(Y$4))+SUMIF(INDIRECT(Y$3),'Struktur Vorjahr'!$D456,INDIRECT(Y$5)))</f>
        <v>0</v>
      </c>
      <c r="Z456" s="593">
        <f ca="1">$E456*(-SUMIF(INDIRECT(Z$3),'Struktur Vorjahr'!$D456,INDIRECT(Z$4))+SUMIF(INDIRECT(Z$3),'Struktur Vorjahr'!$D456,INDIRECT(Z$5)))</f>
        <v>0</v>
      </c>
      <c r="AA456" s="593">
        <f ca="1">$E456*(-SUMIF(INDIRECT(AA$3),'Struktur Vorjahr'!$D456,INDIRECT(AA$4))+SUMIF(INDIRECT(AA$3),'Struktur Vorjahr'!$D456,INDIRECT(AA$5)))</f>
        <v>0</v>
      </c>
      <c r="AB456" s="593">
        <f ca="1">$E456*(-SUMIF(INDIRECT(AB$3),'Struktur Vorjahr'!$D456,INDIRECT(AB$4))+SUMIF(INDIRECT(AB$3),'Struktur Vorjahr'!$D456,INDIRECT(AB$5)))</f>
        <v>0</v>
      </c>
      <c r="AC456" s="593">
        <f ca="1">$E456*(-SUMIF(INDIRECT(AC$3),'Struktur Vorjahr'!$D456,INDIRECT(AC$4))+SUMIF(INDIRECT(AC$3),'Struktur Vorjahr'!$D456,INDIRECT(AC$5)))</f>
        <v>0</v>
      </c>
      <c r="AD456" s="593">
        <f ca="1">$E456*(-SUMIF(INDIRECT(AD$3),'Struktur Vorjahr'!$D456,INDIRECT(AD$4))+SUMIF(INDIRECT(AD$3),'Struktur Vorjahr'!$D456,INDIRECT(AD$5)))</f>
        <v>0</v>
      </c>
      <c r="AE456" s="593">
        <f t="shared" ca="1" si="225"/>
        <v>0</v>
      </c>
      <c r="AF456" s="593">
        <f t="shared" ca="1" si="226"/>
        <v>0</v>
      </c>
      <c r="AG456" s="593">
        <f t="shared" ca="1" si="226"/>
        <v>0</v>
      </c>
      <c r="AH456" s="593">
        <f t="shared" ca="1" si="226"/>
        <v>0</v>
      </c>
      <c r="AI456" s="593">
        <f t="shared" ca="1" si="226"/>
        <v>0</v>
      </c>
      <c r="AJ456" s="593">
        <f t="shared" ca="1" si="226"/>
        <v>0</v>
      </c>
      <c r="AK456" s="593">
        <f t="shared" ca="1" si="226"/>
        <v>0</v>
      </c>
      <c r="AL456" s="593">
        <f t="shared" ca="1" si="226"/>
        <v>0</v>
      </c>
      <c r="AM456" s="593">
        <f t="shared" ca="1" si="226"/>
        <v>0</v>
      </c>
      <c r="AN456" s="593">
        <f t="shared" ca="1" si="226"/>
        <v>0</v>
      </c>
      <c r="AO456" s="593">
        <f t="shared" ca="1" si="226"/>
        <v>0</v>
      </c>
      <c r="AP456" s="593">
        <f t="shared" ca="1" si="226"/>
        <v>0</v>
      </c>
    </row>
    <row r="457" spans="1:42" s="594" customFormat="1" ht="11.25" x14ac:dyDescent="0.2">
      <c r="A457" s="644"/>
      <c r="B457" s="591" t="str">
        <f>IF(D457&lt;&gt;"",
IF(ISERROR(MATCH(D457,'Ist Vorjahr Monat 01'!A:A,0))=FALSE,INDEX('Ist Vorjahr Monat 01'!B:B,MATCH(D457,'Ist Vorjahr Monat 01'!A:A,0)),
IF(ISERROR(MATCH(D457,'Ist Vorjahr Monat 02'!A:A,0))=FALSE,INDEX('Ist Vorjahr Monat 02'!B:B,MATCH(D457,'Ist Vorjahr Monat 02'!A:A,0)),
IF(ISERROR(MATCH(D457,'Ist Vorjahr Monat 03'!A:A,0))=FALSE,INDEX('Ist Vorjahr Monat 03'!B:B,MATCH(D457,'Ist Vorjahr Monat 03'!A:A,0)),
IF(ISERROR(MATCH(D457,'Ist Vorjahr Monat 04'!A:A,0))=FALSE,INDEX('Ist Vorjahr Monat 04'!B:B,MATCH(D457,'Ist Vorjahr Monat 04'!A:A,0)),
IF(ISERROR(MATCH(D457,'Ist Vorjahr Monat 05'!A:A,0))=FALSE,INDEX('Ist Vorjahr Monat 05'!B:B,MATCH(D457,'Ist Vorjahr Monat 05'!A:A,0)),
IF(ISERROR(MATCH(D457,'Ist Vorjahr Monat 06'!A:A,0))=FALSE,INDEX('Ist Vorjahr Monat 06'!B:B,MATCH(D457,'Ist Vorjahr Monat 06'!A:A,0)),
IF(ISERROR(MATCH(D457,'Ist Vorjahr Monat 07'!A:A,0))=FALSE,INDEX('Ist Vorjahr Monat 07'!B:B,MATCH(D457,'Ist Vorjahr Monat 07'!A:A,0)),
IF(ISERROR(MATCH(D457,'Ist Vorjahr Monat 08'!A:A,0))=FALSE,INDEX('Ist Vorjahr Monat 08'!B:B,MATCH(D457,'Ist Vorjahr Monat 08'!A:A,0)),
IF(ISERROR(MATCH(D457,'Ist Vorjahr Monat 09'!A:A,0))=FALSE,INDEX('Ist Vorjahr Monat 09'!B:B,MATCH(D457,'Ist Vorjahr Monat 09'!A:A,0)),
IF(ISERROR(MATCH(D457,'Ist Vorjahr Monat 10'!A:A,0))=FALSE,INDEX('Ist Vorjahr Monat 10'!B:B,MATCH(D457,'Ist Vorjahr Monat 10'!A:A,0)),
IF(ISERROR(MATCH(D457,'Ist Vorjahr Monat 11'!A:A,0))=FALSE,INDEX('Ist Vorjahr Monat 11'!B:B,MATCH(D457,'Ist Vorjahr Monat 11'!A:A,0)),
IF(ISERROR(MATCH(D457,'Ist Vorjahr Monat 12'!A:A,0))=FALSE,INDEX('Ist Vorjahr Monat 12'!B:B,MATCH(D457,'Ist Vorjahr Monat 12'!A:A,0)),
"{Konto unbekannt}"
)))))))))))),"")</f>
        <v/>
      </c>
      <c r="C457" s="1062"/>
      <c r="D457" s="1067"/>
      <c r="E457" s="625">
        <f t="shared" si="186"/>
        <v>1</v>
      </c>
      <c r="F457" s="626"/>
      <c r="G457" s="593">
        <f ca="1">$E457*(-SUMIF(INDIRECT(G$3),'Struktur Vorjahr'!$D457,INDIRECT(G$4))+SUMIF(INDIRECT(G$3),'Struktur Vorjahr'!$D457,INDIRECT(G$5)))</f>
        <v>0</v>
      </c>
      <c r="H457" s="593">
        <f ca="1">$E457*(-SUMIF(INDIRECT(H$3),'Struktur Vorjahr'!$D457,INDIRECT(H$4))+SUMIF(INDIRECT(H$3),'Struktur Vorjahr'!$D457,INDIRECT(H$5)))</f>
        <v>0</v>
      </c>
      <c r="I457" s="593">
        <f ca="1">$E457*(-SUMIF(INDIRECT(I$3),'Struktur Vorjahr'!$D457,INDIRECT(I$4))+SUMIF(INDIRECT(I$3),'Struktur Vorjahr'!$D457,INDIRECT(I$5)))</f>
        <v>0</v>
      </c>
      <c r="J457" s="593">
        <f ca="1">$E457*(-SUMIF(INDIRECT(J$3),'Struktur Vorjahr'!$D457,INDIRECT(J$4))+SUMIF(INDIRECT(J$3),'Struktur Vorjahr'!$D457,INDIRECT(J$5)))</f>
        <v>0</v>
      </c>
      <c r="K457" s="593">
        <f ca="1">$E457*(-SUMIF(INDIRECT(K$3),'Struktur Vorjahr'!$D457,INDIRECT(K$4))+SUMIF(INDIRECT(K$3),'Struktur Vorjahr'!$D457,INDIRECT(K$5)))</f>
        <v>0</v>
      </c>
      <c r="L457" s="593">
        <f ca="1">$E457*(-SUMIF(INDIRECT(L$3),'Struktur Vorjahr'!$D457,INDIRECT(L$4))+SUMIF(INDIRECT(L$3),'Struktur Vorjahr'!$D457,INDIRECT(L$5)))</f>
        <v>0</v>
      </c>
      <c r="M457" s="593">
        <f ca="1">$E457*(-SUMIF(INDIRECT(M$3),'Struktur Vorjahr'!$D457,INDIRECT(M$4))+SUMIF(INDIRECT(M$3),'Struktur Vorjahr'!$D457,INDIRECT(M$5)))</f>
        <v>0</v>
      </c>
      <c r="N457" s="593">
        <f ca="1">$E457*(-SUMIF(INDIRECT(N$3),'Struktur Vorjahr'!$D457,INDIRECT(N$4))+SUMIF(INDIRECT(N$3),'Struktur Vorjahr'!$D457,INDIRECT(N$5)))</f>
        <v>0</v>
      </c>
      <c r="O457" s="593">
        <f ca="1">$E457*(-SUMIF(INDIRECT(O$3),'Struktur Vorjahr'!$D457,INDIRECT(O$4))+SUMIF(INDIRECT(O$3),'Struktur Vorjahr'!$D457,INDIRECT(O$5)))</f>
        <v>0</v>
      </c>
      <c r="P457" s="593">
        <f ca="1">$E457*(-SUMIF(INDIRECT(P$3),'Struktur Vorjahr'!$D457,INDIRECT(P$4))+SUMIF(INDIRECT(P$3),'Struktur Vorjahr'!$D457,INDIRECT(P$5)))</f>
        <v>0</v>
      </c>
      <c r="Q457" s="593">
        <f ca="1">$E457*(-SUMIF(INDIRECT(Q$3),'Struktur Vorjahr'!$D457,INDIRECT(Q$4))+SUMIF(INDIRECT(Q$3),'Struktur Vorjahr'!$D457,INDIRECT(Q$5)))</f>
        <v>0</v>
      </c>
      <c r="R457" s="593">
        <f ca="1">$E457*(-SUMIF(INDIRECT(R$3),'Struktur Vorjahr'!$D457,INDIRECT(R$4))+SUMIF(INDIRECT(R$3),'Struktur Vorjahr'!$D457,INDIRECT(R$5)))</f>
        <v>0</v>
      </c>
      <c r="S457" s="593">
        <f ca="1">$E457*(-SUMIF(INDIRECT(S$3),'Struktur Vorjahr'!$D457,INDIRECT(S$4))+SUMIF(INDIRECT(S$3),'Struktur Vorjahr'!$D457,INDIRECT(S$5)))</f>
        <v>0</v>
      </c>
      <c r="T457" s="593">
        <f ca="1">$E457*(-SUMIF(INDIRECT(T$3),'Struktur Vorjahr'!$D457,INDIRECT(T$4))+SUMIF(INDIRECT(T$3),'Struktur Vorjahr'!$D457,INDIRECT(T$5)))</f>
        <v>0</v>
      </c>
      <c r="U457" s="593">
        <f ca="1">$E457*(-SUMIF(INDIRECT(U$3),'Struktur Vorjahr'!$D457,INDIRECT(U$4))+SUMIF(INDIRECT(U$3),'Struktur Vorjahr'!$D457,INDIRECT(U$5)))</f>
        <v>0</v>
      </c>
      <c r="V457" s="593">
        <f ca="1">$E457*(-SUMIF(INDIRECT(V$3),'Struktur Vorjahr'!$D457,INDIRECT(V$4))+SUMIF(INDIRECT(V$3),'Struktur Vorjahr'!$D457,INDIRECT(V$5)))</f>
        <v>0</v>
      </c>
      <c r="W457" s="593">
        <f ca="1">$E457*(-SUMIF(INDIRECT(W$3),'Struktur Vorjahr'!$D457,INDIRECT(W$4))+SUMIF(INDIRECT(W$3),'Struktur Vorjahr'!$D457,INDIRECT(W$5)))</f>
        <v>0</v>
      </c>
      <c r="X457" s="593">
        <f ca="1">$E457*(-SUMIF(INDIRECT(X$3),'Struktur Vorjahr'!$D457,INDIRECT(X$4))+SUMIF(INDIRECT(X$3),'Struktur Vorjahr'!$D457,INDIRECT(X$5)))</f>
        <v>0</v>
      </c>
      <c r="Y457" s="593">
        <f ca="1">$E457*(-SUMIF(INDIRECT(Y$3),'Struktur Vorjahr'!$D457,INDIRECT(Y$4))+SUMIF(INDIRECT(Y$3),'Struktur Vorjahr'!$D457,INDIRECT(Y$5)))</f>
        <v>0</v>
      </c>
      <c r="Z457" s="593">
        <f ca="1">$E457*(-SUMIF(INDIRECT(Z$3),'Struktur Vorjahr'!$D457,INDIRECT(Z$4))+SUMIF(INDIRECT(Z$3),'Struktur Vorjahr'!$D457,INDIRECT(Z$5)))</f>
        <v>0</v>
      </c>
      <c r="AA457" s="593">
        <f ca="1">$E457*(-SUMIF(INDIRECT(AA$3),'Struktur Vorjahr'!$D457,INDIRECT(AA$4))+SUMIF(INDIRECT(AA$3),'Struktur Vorjahr'!$D457,INDIRECT(AA$5)))</f>
        <v>0</v>
      </c>
      <c r="AB457" s="593">
        <f ca="1">$E457*(-SUMIF(INDIRECT(AB$3),'Struktur Vorjahr'!$D457,INDIRECT(AB$4))+SUMIF(INDIRECT(AB$3),'Struktur Vorjahr'!$D457,INDIRECT(AB$5)))</f>
        <v>0</v>
      </c>
      <c r="AC457" s="593">
        <f ca="1">$E457*(-SUMIF(INDIRECT(AC$3),'Struktur Vorjahr'!$D457,INDIRECT(AC$4))+SUMIF(INDIRECT(AC$3),'Struktur Vorjahr'!$D457,INDIRECT(AC$5)))</f>
        <v>0</v>
      </c>
      <c r="AD457" s="593">
        <f ca="1">$E457*(-SUMIF(INDIRECT(AD$3),'Struktur Vorjahr'!$D457,INDIRECT(AD$4))+SUMIF(INDIRECT(AD$3),'Struktur Vorjahr'!$D457,INDIRECT(AD$5)))</f>
        <v>0</v>
      </c>
      <c r="AE457" s="593">
        <f t="shared" ca="1" si="225"/>
        <v>0</v>
      </c>
      <c r="AF457" s="593">
        <f t="shared" ca="1" si="226"/>
        <v>0</v>
      </c>
      <c r="AG457" s="593">
        <f t="shared" ca="1" si="226"/>
        <v>0</v>
      </c>
      <c r="AH457" s="593">
        <f t="shared" ca="1" si="226"/>
        <v>0</v>
      </c>
      <c r="AI457" s="593">
        <f t="shared" ca="1" si="226"/>
        <v>0</v>
      </c>
      <c r="AJ457" s="593">
        <f t="shared" ca="1" si="226"/>
        <v>0</v>
      </c>
      <c r="AK457" s="593">
        <f t="shared" ca="1" si="226"/>
        <v>0</v>
      </c>
      <c r="AL457" s="593">
        <f t="shared" ca="1" si="226"/>
        <v>0</v>
      </c>
      <c r="AM457" s="593">
        <f t="shared" ca="1" si="226"/>
        <v>0</v>
      </c>
      <c r="AN457" s="593">
        <f t="shared" ca="1" si="226"/>
        <v>0</v>
      </c>
      <c r="AO457" s="593">
        <f t="shared" ca="1" si="226"/>
        <v>0</v>
      </c>
      <c r="AP457" s="593">
        <f t="shared" ca="1" si="226"/>
        <v>0</v>
      </c>
    </row>
    <row r="458" spans="1:42" s="594" customFormat="1" ht="11.25" outlineLevel="1" x14ac:dyDescent="0.2">
      <c r="A458" s="644"/>
      <c r="B458" s="591" t="str">
        <f>IF(D458&lt;&gt;"",
IF(ISERROR(MATCH(D458,'Ist Vorjahr Monat 01'!A:A,0))=FALSE,INDEX('Ist Vorjahr Monat 01'!B:B,MATCH(D458,'Ist Vorjahr Monat 01'!A:A,0)),
IF(ISERROR(MATCH(D458,'Ist Vorjahr Monat 02'!A:A,0))=FALSE,INDEX('Ist Vorjahr Monat 02'!B:B,MATCH(D458,'Ist Vorjahr Monat 02'!A:A,0)),
IF(ISERROR(MATCH(D458,'Ist Vorjahr Monat 03'!A:A,0))=FALSE,INDEX('Ist Vorjahr Monat 03'!B:B,MATCH(D458,'Ist Vorjahr Monat 03'!A:A,0)),
IF(ISERROR(MATCH(D458,'Ist Vorjahr Monat 04'!A:A,0))=FALSE,INDEX('Ist Vorjahr Monat 04'!B:B,MATCH(D458,'Ist Vorjahr Monat 04'!A:A,0)),
IF(ISERROR(MATCH(D458,'Ist Vorjahr Monat 05'!A:A,0))=FALSE,INDEX('Ist Vorjahr Monat 05'!B:B,MATCH(D458,'Ist Vorjahr Monat 05'!A:A,0)),
IF(ISERROR(MATCH(D458,'Ist Vorjahr Monat 06'!A:A,0))=FALSE,INDEX('Ist Vorjahr Monat 06'!B:B,MATCH(D458,'Ist Vorjahr Monat 06'!A:A,0)),
IF(ISERROR(MATCH(D458,'Ist Vorjahr Monat 07'!A:A,0))=FALSE,INDEX('Ist Vorjahr Monat 07'!B:B,MATCH(D458,'Ist Vorjahr Monat 07'!A:A,0)),
IF(ISERROR(MATCH(D458,'Ist Vorjahr Monat 08'!A:A,0))=FALSE,INDEX('Ist Vorjahr Monat 08'!B:B,MATCH(D458,'Ist Vorjahr Monat 08'!A:A,0)),
IF(ISERROR(MATCH(D458,'Ist Vorjahr Monat 09'!A:A,0))=FALSE,INDEX('Ist Vorjahr Monat 09'!B:B,MATCH(D458,'Ist Vorjahr Monat 09'!A:A,0)),
IF(ISERROR(MATCH(D458,'Ist Vorjahr Monat 10'!A:A,0))=FALSE,INDEX('Ist Vorjahr Monat 10'!B:B,MATCH(D458,'Ist Vorjahr Monat 10'!A:A,0)),
IF(ISERROR(MATCH(D458,'Ist Vorjahr Monat 11'!A:A,0))=FALSE,INDEX('Ist Vorjahr Monat 11'!B:B,MATCH(D458,'Ist Vorjahr Monat 11'!A:A,0)),
IF(ISERROR(MATCH(D458,'Ist Vorjahr Monat 12'!A:A,0))=FALSE,INDEX('Ist Vorjahr Monat 12'!B:B,MATCH(D458,'Ist Vorjahr Monat 12'!A:A,0)),
"{Konto unbekannt}"
)))))))))))),"")</f>
        <v/>
      </c>
      <c r="C458" s="1062"/>
      <c r="D458" s="1067"/>
      <c r="E458" s="625">
        <f t="shared" si="186"/>
        <v>1</v>
      </c>
      <c r="F458" s="626"/>
      <c r="G458" s="593">
        <f ca="1">$E458*(-SUMIF(INDIRECT(G$3),'Struktur Vorjahr'!$D458,INDIRECT(G$4))+SUMIF(INDIRECT(G$3),'Struktur Vorjahr'!$D458,INDIRECT(G$5)))</f>
        <v>0</v>
      </c>
      <c r="H458" s="593">
        <f ca="1">$E458*(-SUMIF(INDIRECT(H$3),'Struktur Vorjahr'!$D458,INDIRECT(H$4))+SUMIF(INDIRECT(H$3),'Struktur Vorjahr'!$D458,INDIRECT(H$5)))</f>
        <v>0</v>
      </c>
      <c r="I458" s="593">
        <f ca="1">$E458*(-SUMIF(INDIRECT(I$3),'Struktur Vorjahr'!$D458,INDIRECT(I$4))+SUMIF(INDIRECT(I$3),'Struktur Vorjahr'!$D458,INDIRECT(I$5)))</f>
        <v>0</v>
      </c>
      <c r="J458" s="593">
        <f ca="1">$E458*(-SUMIF(INDIRECT(J$3),'Struktur Vorjahr'!$D458,INDIRECT(J$4))+SUMIF(INDIRECT(J$3),'Struktur Vorjahr'!$D458,INDIRECT(J$5)))</f>
        <v>0</v>
      </c>
      <c r="K458" s="593">
        <f ca="1">$E458*(-SUMIF(INDIRECT(K$3),'Struktur Vorjahr'!$D458,INDIRECT(K$4))+SUMIF(INDIRECT(K$3),'Struktur Vorjahr'!$D458,INDIRECT(K$5)))</f>
        <v>0</v>
      </c>
      <c r="L458" s="593">
        <f ca="1">$E458*(-SUMIF(INDIRECT(L$3),'Struktur Vorjahr'!$D458,INDIRECT(L$4))+SUMIF(INDIRECT(L$3),'Struktur Vorjahr'!$D458,INDIRECT(L$5)))</f>
        <v>0</v>
      </c>
      <c r="M458" s="593">
        <f ca="1">$E458*(-SUMIF(INDIRECT(M$3),'Struktur Vorjahr'!$D458,INDIRECT(M$4))+SUMIF(INDIRECT(M$3),'Struktur Vorjahr'!$D458,INDIRECT(M$5)))</f>
        <v>0</v>
      </c>
      <c r="N458" s="593">
        <f ca="1">$E458*(-SUMIF(INDIRECT(N$3),'Struktur Vorjahr'!$D458,INDIRECT(N$4))+SUMIF(INDIRECT(N$3),'Struktur Vorjahr'!$D458,INDIRECT(N$5)))</f>
        <v>0</v>
      </c>
      <c r="O458" s="593">
        <f ca="1">$E458*(-SUMIF(INDIRECT(O$3),'Struktur Vorjahr'!$D458,INDIRECT(O$4))+SUMIF(INDIRECT(O$3),'Struktur Vorjahr'!$D458,INDIRECT(O$5)))</f>
        <v>0</v>
      </c>
      <c r="P458" s="593">
        <f ca="1">$E458*(-SUMIF(INDIRECT(P$3),'Struktur Vorjahr'!$D458,INDIRECT(P$4))+SUMIF(INDIRECT(P$3),'Struktur Vorjahr'!$D458,INDIRECT(P$5)))</f>
        <v>0</v>
      </c>
      <c r="Q458" s="593">
        <f ca="1">$E458*(-SUMIF(INDIRECT(Q$3),'Struktur Vorjahr'!$D458,INDIRECT(Q$4))+SUMIF(INDIRECT(Q$3),'Struktur Vorjahr'!$D458,INDIRECT(Q$5)))</f>
        <v>0</v>
      </c>
      <c r="R458" s="593">
        <f ca="1">$E458*(-SUMIF(INDIRECT(R$3),'Struktur Vorjahr'!$D458,INDIRECT(R$4))+SUMIF(INDIRECT(R$3),'Struktur Vorjahr'!$D458,INDIRECT(R$5)))</f>
        <v>0</v>
      </c>
      <c r="S458" s="593">
        <f ca="1">$E458*(-SUMIF(INDIRECT(S$3),'Struktur Vorjahr'!$D458,INDIRECT(S$4))+SUMIF(INDIRECT(S$3),'Struktur Vorjahr'!$D458,INDIRECT(S$5)))</f>
        <v>0</v>
      </c>
      <c r="T458" s="593">
        <f ca="1">$E458*(-SUMIF(INDIRECT(T$3),'Struktur Vorjahr'!$D458,INDIRECT(T$4))+SUMIF(INDIRECT(T$3),'Struktur Vorjahr'!$D458,INDIRECT(T$5)))</f>
        <v>0</v>
      </c>
      <c r="U458" s="593">
        <f ca="1">$E458*(-SUMIF(INDIRECT(U$3),'Struktur Vorjahr'!$D458,INDIRECT(U$4))+SUMIF(INDIRECT(U$3),'Struktur Vorjahr'!$D458,INDIRECT(U$5)))</f>
        <v>0</v>
      </c>
      <c r="V458" s="593">
        <f ca="1">$E458*(-SUMIF(INDIRECT(V$3),'Struktur Vorjahr'!$D458,INDIRECT(V$4))+SUMIF(INDIRECT(V$3),'Struktur Vorjahr'!$D458,INDIRECT(V$5)))</f>
        <v>0</v>
      </c>
      <c r="W458" s="593">
        <f ca="1">$E458*(-SUMIF(INDIRECT(W$3),'Struktur Vorjahr'!$D458,INDIRECT(W$4))+SUMIF(INDIRECT(W$3),'Struktur Vorjahr'!$D458,INDIRECT(W$5)))</f>
        <v>0</v>
      </c>
      <c r="X458" s="593">
        <f ca="1">$E458*(-SUMIF(INDIRECT(X$3),'Struktur Vorjahr'!$D458,INDIRECT(X$4))+SUMIF(INDIRECT(X$3),'Struktur Vorjahr'!$D458,INDIRECT(X$5)))</f>
        <v>0</v>
      </c>
      <c r="Y458" s="593">
        <f ca="1">$E458*(-SUMIF(INDIRECT(Y$3),'Struktur Vorjahr'!$D458,INDIRECT(Y$4))+SUMIF(INDIRECT(Y$3),'Struktur Vorjahr'!$D458,INDIRECT(Y$5)))</f>
        <v>0</v>
      </c>
      <c r="Z458" s="593">
        <f ca="1">$E458*(-SUMIF(INDIRECT(Z$3),'Struktur Vorjahr'!$D458,INDIRECT(Z$4))+SUMIF(INDIRECT(Z$3),'Struktur Vorjahr'!$D458,INDIRECT(Z$5)))</f>
        <v>0</v>
      </c>
      <c r="AA458" s="593">
        <f ca="1">$E458*(-SUMIF(INDIRECT(AA$3),'Struktur Vorjahr'!$D458,INDIRECT(AA$4))+SUMIF(INDIRECT(AA$3),'Struktur Vorjahr'!$D458,INDIRECT(AA$5)))</f>
        <v>0</v>
      </c>
      <c r="AB458" s="593">
        <f ca="1">$E458*(-SUMIF(INDIRECT(AB$3),'Struktur Vorjahr'!$D458,INDIRECT(AB$4))+SUMIF(INDIRECT(AB$3),'Struktur Vorjahr'!$D458,INDIRECT(AB$5)))</f>
        <v>0</v>
      </c>
      <c r="AC458" s="593">
        <f ca="1">$E458*(-SUMIF(INDIRECT(AC$3),'Struktur Vorjahr'!$D458,INDIRECT(AC$4))+SUMIF(INDIRECT(AC$3),'Struktur Vorjahr'!$D458,INDIRECT(AC$5)))</f>
        <v>0</v>
      </c>
      <c r="AD458" s="593">
        <f ca="1">$E458*(-SUMIF(INDIRECT(AD$3),'Struktur Vorjahr'!$D458,INDIRECT(AD$4))+SUMIF(INDIRECT(AD$3),'Struktur Vorjahr'!$D458,INDIRECT(AD$5)))</f>
        <v>0</v>
      </c>
      <c r="AE458" s="593">
        <f t="shared" ca="1" si="225"/>
        <v>0</v>
      </c>
      <c r="AF458" s="593">
        <f t="shared" ca="1" si="226"/>
        <v>0</v>
      </c>
      <c r="AG458" s="593">
        <f t="shared" ca="1" si="226"/>
        <v>0</v>
      </c>
      <c r="AH458" s="593">
        <f t="shared" ca="1" si="226"/>
        <v>0</v>
      </c>
      <c r="AI458" s="593">
        <f t="shared" ca="1" si="226"/>
        <v>0</v>
      </c>
      <c r="AJ458" s="593">
        <f t="shared" ca="1" si="226"/>
        <v>0</v>
      </c>
      <c r="AK458" s="593">
        <f t="shared" ca="1" si="226"/>
        <v>0</v>
      </c>
      <c r="AL458" s="593">
        <f t="shared" ca="1" si="226"/>
        <v>0</v>
      </c>
      <c r="AM458" s="593">
        <f t="shared" ca="1" si="226"/>
        <v>0</v>
      </c>
      <c r="AN458" s="593">
        <f t="shared" ca="1" si="226"/>
        <v>0</v>
      </c>
      <c r="AO458" s="593">
        <f t="shared" ca="1" si="226"/>
        <v>0</v>
      </c>
      <c r="AP458" s="593">
        <f t="shared" ca="1" si="226"/>
        <v>0</v>
      </c>
    </row>
    <row r="459" spans="1:42" s="589" customFormat="1" outlineLevel="1" x14ac:dyDescent="0.2">
      <c r="A459" s="833">
        <v>41.1</v>
      </c>
      <c r="B459" s="834" t="s">
        <v>1027</v>
      </c>
      <c r="C459" s="627">
        <f ca="1">SUM(G459:R459)</f>
        <v>0</v>
      </c>
      <c r="D459" s="627"/>
      <c r="E459" s="628">
        <f t="shared" si="186"/>
        <v>1</v>
      </c>
      <c r="F459" s="629"/>
      <c r="G459" s="627">
        <f ca="1">SUM(G460:G468)</f>
        <v>0</v>
      </c>
      <c r="H459" s="627">
        <f t="shared" ref="H459:R459" ca="1" si="227">SUM(H460:H468)</f>
        <v>0</v>
      </c>
      <c r="I459" s="627">
        <f t="shared" ca="1" si="227"/>
        <v>0</v>
      </c>
      <c r="J459" s="627">
        <f t="shared" ca="1" si="227"/>
        <v>0</v>
      </c>
      <c r="K459" s="627">
        <f t="shared" ca="1" si="227"/>
        <v>0</v>
      </c>
      <c r="L459" s="627">
        <f t="shared" ca="1" si="227"/>
        <v>0</v>
      </c>
      <c r="M459" s="627">
        <f t="shared" ca="1" si="227"/>
        <v>0</v>
      </c>
      <c r="N459" s="627">
        <f t="shared" ca="1" si="227"/>
        <v>0</v>
      </c>
      <c r="O459" s="627">
        <f t="shared" ca="1" si="227"/>
        <v>0</v>
      </c>
      <c r="P459" s="627">
        <f t="shared" ca="1" si="227"/>
        <v>0</v>
      </c>
      <c r="Q459" s="627">
        <f t="shared" ca="1" si="227"/>
        <v>0</v>
      </c>
      <c r="R459" s="627">
        <f t="shared" ca="1" si="227"/>
        <v>0</v>
      </c>
      <c r="S459" s="627">
        <f ca="1">SUM(S460:S468)</f>
        <v>0</v>
      </c>
      <c r="T459" s="627">
        <f t="shared" ref="T459:AD459" ca="1" si="228">SUM(T460:T468)</f>
        <v>0</v>
      </c>
      <c r="U459" s="627">
        <f t="shared" ca="1" si="228"/>
        <v>0</v>
      </c>
      <c r="V459" s="627">
        <f t="shared" ca="1" si="228"/>
        <v>0</v>
      </c>
      <c r="W459" s="627">
        <f t="shared" ca="1" si="228"/>
        <v>0</v>
      </c>
      <c r="X459" s="627">
        <f t="shared" ca="1" si="228"/>
        <v>0</v>
      </c>
      <c r="Y459" s="627">
        <f t="shared" ca="1" si="228"/>
        <v>0</v>
      </c>
      <c r="Z459" s="627">
        <f t="shared" ca="1" si="228"/>
        <v>0</v>
      </c>
      <c r="AA459" s="627">
        <f t="shared" ca="1" si="228"/>
        <v>0</v>
      </c>
      <c r="AB459" s="627">
        <f t="shared" ca="1" si="228"/>
        <v>0</v>
      </c>
      <c r="AC459" s="627">
        <f t="shared" ca="1" si="228"/>
        <v>0</v>
      </c>
      <c r="AD459" s="627">
        <f t="shared" ca="1" si="228"/>
        <v>0</v>
      </c>
      <c r="AE459" s="627">
        <f ca="1">SUM(AE460:AE468)</f>
        <v>0</v>
      </c>
      <c r="AF459" s="627">
        <f t="shared" ref="AF459:AP459" ca="1" si="229">SUM(AF460:AF468)</f>
        <v>0</v>
      </c>
      <c r="AG459" s="627">
        <f t="shared" ca="1" si="229"/>
        <v>0</v>
      </c>
      <c r="AH459" s="627">
        <f t="shared" ca="1" si="229"/>
        <v>0</v>
      </c>
      <c r="AI459" s="627">
        <f t="shared" ca="1" si="229"/>
        <v>0</v>
      </c>
      <c r="AJ459" s="627">
        <f t="shared" ca="1" si="229"/>
        <v>0</v>
      </c>
      <c r="AK459" s="627">
        <f t="shared" ca="1" si="229"/>
        <v>0</v>
      </c>
      <c r="AL459" s="627">
        <f t="shared" ca="1" si="229"/>
        <v>0</v>
      </c>
      <c r="AM459" s="627">
        <f t="shared" ca="1" si="229"/>
        <v>0</v>
      </c>
      <c r="AN459" s="627">
        <f t="shared" ca="1" si="229"/>
        <v>0</v>
      </c>
      <c r="AO459" s="627">
        <f t="shared" ca="1" si="229"/>
        <v>0</v>
      </c>
      <c r="AP459" s="627">
        <f t="shared" ca="1" si="229"/>
        <v>0</v>
      </c>
    </row>
    <row r="460" spans="1:42" s="594" customFormat="1" ht="11.25" outlineLevel="1" x14ac:dyDescent="0.2">
      <c r="A460" s="644"/>
      <c r="B460" s="591" t="str">
        <f>IF(D460&lt;&gt;"",
IF(ISERROR(MATCH(D460,'Ist Vorjahr Monat 01'!A:A,0))=FALSE,INDEX('Ist Vorjahr Monat 01'!B:B,MATCH(D460,'Ist Vorjahr Monat 01'!A:A,0)),
IF(ISERROR(MATCH(D460,'Ist Vorjahr Monat 02'!A:A,0))=FALSE,INDEX('Ist Vorjahr Monat 02'!B:B,MATCH(D460,'Ist Vorjahr Monat 02'!A:A,0)),
IF(ISERROR(MATCH(D460,'Ist Vorjahr Monat 03'!A:A,0))=FALSE,INDEX('Ist Vorjahr Monat 03'!B:B,MATCH(D460,'Ist Vorjahr Monat 03'!A:A,0)),
IF(ISERROR(MATCH(D460,'Ist Vorjahr Monat 04'!A:A,0))=FALSE,INDEX('Ist Vorjahr Monat 04'!B:B,MATCH(D460,'Ist Vorjahr Monat 04'!A:A,0)),
IF(ISERROR(MATCH(D460,'Ist Vorjahr Monat 05'!A:A,0))=FALSE,INDEX('Ist Vorjahr Monat 05'!B:B,MATCH(D460,'Ist Vorjahr Monat 05'!A:A,0)),
IF(ISERROR(MATCH(D460,'Ist Vorjahr Monat 06'!A:A,0))=FALSE,INDEX('Ist Vorjahr Monat 06'!B:B,MATCH(D460,'Ist Vorjahr Monat 06'!A:A,0)),
IF(ISERROR(MATCH(D460,'Ist Vorjahr Monat 07'!A:A,0))=FALSE,INDEX('Ist Vorjahr Monat 07'!B:B,MATCH(D460,'Ist Vorjahr Monat 07'!A:A,0)),
IF(ISERROR(MATCH(D460,'Ist Vorjahr Monat 08'!A:A,0))=FALSE,INDEX('Ist Vorjahr Monat 08'!B:B,MATCH(D460,'Ist Vorjahr Monat 08'!A:A,0)),
IF(ISERROR(MATCH(D460,'Ist Vorjahr Monat 09'!A:A,0))=FALSE,INDEX('Ist Vorjahr Monat 09'!B:B,MATCH(D460,'Ist Vorjahr Monat 09'!A:A,0)),
IF(ISERROR(MATCH(D460,'Ist Vorjahr Monat 10'!A:A,0))=FALSE,INDEX('Ist Vorjahr Monat 10'!B:B,MATCH(D460,'Ist Vorjahr Monat 10'!A:A,0)),
IF(ISERROR(MATCH(D460,'Ist Vorjahr Monat 11'!A:A,0))=FALSE,INDEX('Ist Vorjahr Monat 11'!B:B,MATCH(D460,'Ist Vorjahr Monat 11'!A:A,0)),
IF(ISERROR(MATCH(D460,'Ist Vorjahr Monat 12'!A:A,0))=FALSE,INDEX('Ist Vorjahr Monat 12'!B:B,MATCH(D460,'Ist Vorjahr Monat 12'!A:A,0)),
"{Konto unbekannt}"
)))))))))))),"")</f>
        <v/>
      </c>
      <c r="C460" s="1062"/>
      <c r="D460" s="1067"/>
      <c r="E460" s="625">
        <f t="shared" si="186"/>
        <v>1</v>
      </c>
      <c r="F460" s="626"/>
      <c r="G460" s="593">
        <f ca="1">$E460*(-SUMIF(INDIRECT(G$3),'Struktur Vorjahr'!$D460,INDIRECT(G$4))+SUMIF(INDIRECT(G$3),'Struktur Vorjahr'!$D460,INDIRECT(G$5)))</f>
        <v>0</v>
      </c>
      <c r="H460" s="593">
        <f ca="1">$E460*(-SUMIF(INDIRECT(H$3),'Struktur Vorjahr'!$D460,INDIRECT(H$4))+SUMIF(INDIRECT(H$3),'Struktur Vorjahr'!$D460,INDIRECT(H$5)))</f>
        <v>0</v>
      </c>
      <c r="I460" s="593">
        <f ca="1">$E460*(-SUMIF(INDIRECT(I$3),'Struktur Vorjahr'!$D460,INDIRECT(I$4))+SUMIF(INDIRECT(I$3),'Struktur Vorjahr'!$D460,INDIRECT(I$5)))</f>
        <v>0</v>
      </c>
      <c r="J460" s="593">
        <f ca="1">$E460*(-SUMIF(INDIRECT(J$3),'Struktur Vorjahr'!$D460,INDIRECT(J$4))+SUMIF(INDIRECT(J$3),'Struktur Vorjahr'!$D460,INDIRECT(J$5)))</f>
        <v>0</v>
      </c>
      <c r="K460" s="593">
        <f ca="1">$E460*(-SUMIF(INDIRECT(K$3),'Struktur Vorjahr'!$D460,INDIRECT(K$4))+SUMIF(INDIRECT(K$3),'Struktur Vorjahr'!$D460,INDIRECT(K$5)))</f>
        <v>0</v>
      </c>
      <c r="L460" s="593">
        <f ca="1">$E460*(-SUMIF(INDIRECT(L$3),'Struktur Vorjahr'!$D460,INDIRECT(L$4))+SUMIF(INDIRECT(L$3),'Struktur Vorjahr'!$D460,INDIRECT(L$5)))</f>
        <v>0</v>
      </c>
      <c r="M460" s="593">
        <f ca="1">$E460*(-SUMIF(INDIRECT(M$3),'Struktur Vorjahr'!$D460,INDIRECT(M$4))+SUMIF(INDIRECT(M$3),'Struktur Vorjahr'!$D460,INDIRECT(M$5)))</f>
        <v>0</v>
      </c>
      <c r="N460" s="593">
        <f ca="1">$E460*(-SUMIF(INDIRECT(N$3),'Struktur Vorjahr'!$D460,INDIRECT(N$4))+SUMIF(INDIRECT(N$3),'Struktur Vorjahr'!$D460,INDIRECT(N$5)))</f>
        <v>0</v>
      </c>
      <c r="O460" s="593">
        <f ca="1">$E460*(-SUMIF(INDIRECT(O$3),'Struktur Vorjahr'!$D460,INDIRECT(O$4))+SUMIF(INDIRECT(O$3),'Struktur Vorjahr'!$D460,INDIRECT(O$5)))</f>
        <v>0</v>
      </c>
      <c r="P460" s="593">
        <f ca="1">$E460*(-SUMIF(INDIRECT(P$3),'Struktur Vorjahr'!$D460,INDIRECT(P$4))+SUMIF(INDIRECT(P$3),'Struktur Vorjahr'!$D460,INDIRECT(P$5)))</f>
        <v>0</v>
      </c>
      <c r="Q460" s="593">
        <f ca="1">$E460*(-SUMIF(INDIRECT(Q$3),'Struktur Vorjahr'!$D460,INDIRECT(Q$4))+SUMIF(INDIRECT(Q$3),'Struktur Vorjahr'!$D460,INDIRECT(Q$5)))</f>
        <v>0</v>
      </c>
      <c r="R460" s="593">
        <f ca="1">$E460*(-SUMIF(INDIRECT(R$3),'Struktur Vorjahr'!$D460,INDIRECT(R$4))+SUMIF(INDIRECT(R$3),'Struktur Vorjahr'!$D460,INDIRECT(R$5)))</f>
        <v>0</v>
      </c>
      <c r="S460" s="593">
        <f ca="1">$E460*(-SUMIF(INDIRECT(S$3),'Struktur Vorjahr'!$D460,INDIRECT(S$4))+SUMIF(INDIRECT(S$3),'Struktur Vorjahr'!$D460,INDIRECT(S$5)))</f>
        <v>0</v>
      </c>
      <c r="T460" s="593">
        <f ca="1">$E460*(-SUMIF(INDIRECT(T$3),'Struktur Vorjahr'!$D460,INDIRECT(T$4))+SUMIF(INDIRECT(T$3),'Struktur Vorjahr'!$D460,INDIRECT(T$5)))</f>
        <v>0</v>
      </c>
      <c r="U460" s="593">
        <f ca="1">$E460*(-SUMIF(INDIRECT(U$3),'Struktur Vorjahr'!$D460,INDIRECT(U$4))+SUMIF(INDIRECT(U$3),'Struktur Vorjahr'!$D460,INDIRECT(U$5)))</f>
        <v>0</v>
      </c>
      <c r="V460" s="593">
        <f ca="1">$E460*(-SUMIF(INDIRECT(V$3),'Struktur Vorjahr'!$D460,INDIRECT(V$4))+SUMIF(INDIRECT(V$3),'Struktur Vorjahr'!$D460,INDIRECT(V$5)))</f>
        <v>0</v>
      </c>
      <c r="W460" s="593">
        <f ca="1">$E460*(-SUMIF(INDIRECT(W$3),'Struktur Vorjahr'!$D460,INDIRECT(W$4))+SUMIF(INDIRECT(W$3),'Struktur Vorjahr'!$D460,INDIRECT(W$5)))</f>
        <v>0</v>
      </c>
      <c r="X460" s="593">
        <f ca="1">$E460*(-SUMIF(INDIRECT(X$3),'Struktur Vorjahr'!$D460,INDIRECT(X$4))+SUMIF(INDIRECT(X$3),'Struktur Vorjahr'!$D460,INDIRECT(X$5)))</f>
        <v>0</v>
      </c>
      <c r="Y460" s="593">
        <f ca="1">$E460*(-SUMIF(INDIRECT(Y$3),'Struktur Vorjahr'!$D460,INDIRECT(Y$4))+SUMIF(INDIRECT(Y$3),'Struktur Vorjahr'!$D460,INDIRECT(Y$5)))</f>
        <v>0</v>
      </c>
      <c r="Z460" s="593">
        <f ca="1">$E460*(-SUMIF(INDIRECT(Z$3),'Struktur Vorjahr'!$D460,INDIRECT(Z$4))+SUMIF(INDIRECT(Z$3),'Struktur Vorjahr'!$D460,INDIRECT(Z$5)))</f>
        <v>0</v>
      </c>
      <c r="AA460" s="593">
        <f ca="1">$E460*(-SUMIF(INDIRECT(AA$3),'Struktur Vorjahr'!$D460,INDIRECT(AA$4))+SUMIF(INDIRECT(AA$3),'Struktur Vorjahr'!$D460,INDIRECT(AA$5)))</f>
        <v>0</v>
      </c>
      <c r="AB460" s="593">
        <f ca="1">$E460*(-SUMIF(INDIRECT(AB$3),'Struktur Vorjahr'!$D460,INDIRECT(AB$4))+SUMIF(INDIRECT(AB$3),'Struktur Vorjahr'!$D460,INDIRECT(AB$5)))</f>
        <v>0</v>
      </c>
      <c r="AC460" s="593">
        <f ca="1">$E460*(-SUMIF(INDIRECT(AC$3),'Struktur Vorjahr'!$D460,INDIRECT(AC$4))+SUMIF(INDIRECT(AC$3),'Struktur Vorjahr'!$D460,INDIRECT(AC$5)))</f>
        <v>0</v>
      </c>
      <c r="AD460" s="593">
        <f ca="1">$E460*(-SUMIF(INDIRECT(AD$3),'Struktur Vorjahr'!$D460,INDIRECT(AD$4))+SUMIF(INDIRECT(AD$3),'Struktur Vorjahr'!$D460,INDIRECT(AD$5)))</f>
        <v>0</v>
      </c>
      <c r="AE460" s="593">
        <f t="shared" ref="AE460:AE468" ca="1" si="230">G460</f>
        <v>0</v>
      </c>
      <c r="AF460" s="593">
        <f t="shared" ref="AF460:AP468" ca="1" si="231">H460+AE460</f>
        <v>0</v>
      </c>
      <c r="AG460" s="593">
        <f t="shared" ca="1" si="231"/>
        <v>0</v>
      </c>
      <c r="AH460" s="593">
        <f t="shared" ca="1" si="231"/>
        <v>0</v>
      </c>
      <c r="AI460" s="593">
        <f t="shared" ca="1" si="231"/>
        <v>0</v>
      </c>
      <c r="AJ460" s="593">
        <f t="shared" ca="1" si="231"/>
        <v>0</v>
      </c>
      <c r="AK460" s="593">
        <f t="shared" ca="1" si="231"/>
        <v>0</v>
      </c>
      <c r="AL460" s="593">
        <f t="shared" ca="1" si="231"/>
        <v>0</v>
      </c>
      <c r="AM460" s="593">
        <f t="shared" ca="1" si="231"/>
        <v>0</v>
      </c>
      <c r="AN460" s="593">
        <f t="shared" ca="1" si="231"/>
        <v>0</v>
      </c>
      <c r="AO460" s="593">
        <f t="shared" ca="1" si="231"/>
        <v>0</v>
      </c>
      <c r="AP460" s="593">
        <f t="shared" ca="1" si="231"/>
        <v>0</v>
      </c>
    </row>
    <row r="461" spans="1:42" s="594" customFormat="1" ht="11.25" outlineLevel="1" x14ac:dyDescent="0.2">
      <c r="A461" s="644"/>
      <c r="B461" s="591" t="str">
        <f>IF(D461&lt;&gt;"",
IF(ISERROR(MATCH(D461,'Ist Vorjahr Monat 01'!A:A,0))=FALSE,INDEX('Ist Vorjahr Monat 01'!B:B,MATCH(D461,'Ist Vorjahr Monat 01'!A:A,0)),
IF(ISERROR(MATCH(D461,'Ist Vorjahr Monat 02'!A:A,0))=FALSE,INDEX('Ist Vorjahr Monat 02'!B:B,MATCH(D461,'Ist Vorjahr Monat 02'!A:A,0)),
IF(ISERROR(MATCH(D461,'Ist Vorjahr Monat 03'!A:A,0))=FALSE,INDEX('Ist Vorjahr Monat 03'!B:B,MATCH(D461,'Ist Vorjahr Monat 03'!A:A,0)),
IF(ISERROR(MATCH(D461,'Ist Vorjahr Monat 04'!A:A,0))=FALSE,INDEX('Ist Vorjahr Monat 04'!B:B,MATCH(D461,'Ist Vorjahr Monat 04'!A:A,0)),
IF(ISERROR(MATCH(D461,'Ist Vorjahr Monat 05'!A:A,0))=FALSE,INDEX('Ist Vorjahr Monat 05'!B:B,MATCH(D461,'Ist Vorjahr Monat 05'!A:A,0)),
IF(ISERROR(MATCH(D461,'Ist Vorjahr Monat 06'!A:A,0))=FALSE,INDEX('Ist Vorjahr Monat 06'!B:B,MATCH(D461,'Ist Vorjahr Monat 06'!A:A,0)),
IF(ISERROR(MATCH(D461,'Ist Vorjahr Monat 07'!A:A,0))=FALSE,INDEX('Ist Vorjahr Monat 07'!B:B,MATCH(D461,'Ist Vorjahr Monat 07'!A:A,0)),
IF(ISERROR(MATCH(D461,'Ist Vorjahr Monat 08'!A:A,0))=FALSE,INDEX('Ist Vorjahr Monat 08'!B:B,MATCH(D461,'Ist Vorjahr Monat 08'!A:A,0)),
IF(ISERROR(MATCH(D461,'Ist Vorjahr Monat 09'!A:A,0))=FALSE,INDEX('Ist Vorjahr Monat 09'!B:B,MATCH(D461,'Ist Vorjahr Monat 09'!A:A,0)),
IF(ISERROR(MATCH(D461,'Ist Vorjahr Monat 10'!A:A,0))=FALSE,INDEX('Ist Vorjahr Monat 10'!B:B,MATCH(D461,'Ist Vorjahr Monat 10'!A:A,0)),
IF(ISERROR(MATCH(D461,'Ist Vorjahr Monat 11'!A:A,0))=FALSE,INDEX('Ist Vorjahr Monat 11'!B:B,MATCH(D461,'Ist Vorjahr Monat 11'!A:A,0)),
IF(ISERROR(MATCH(D461,'Ist Vorjahr Monat 12'!A:A,0))=FALSE,INDEX('Ist Vorjahr Monat 12'!B:B,MATCH(D461,'Ist Vorjahr Monat 12'!A:A,0)),
"{Konto unbekannt}"
)))))))))))),"")</f>
        <v/>
      </c>
      <c r="C461" s="1062"/>
      <c r="D461" s="1067"/>
      <c r="E461" s="625">
        <f t="shared" si="186"/>
        <v>1</v>
      </c>
      <c r="F461" s="626"/>
      <c r="G461" s="593">
        <f ca="1">$E461*(-SUMIF(INDIRECT(G$3),'Struktur Vorjahr'!$D461,INDIRECT(G$4))+SUMIF(INDIRECT(G$3),'Struktur Vorjahr'!$D461,INDIRECT(G$5)))</f>
        <v>0</v>
      </c>
      <c r="H461" s="593">
        <f ca="1">$E461*(-SUMIF(INDIRECT(H$3),'Struktur Vorjahr'!$D461,INDIRECT(H$4))+SUMIF(INDIRECT(H$3),'Struktur Vorjahr'!$D461,INDIRECT(H$5)))</f>
        <v>0</v>
      </c>
      <c r="I461" s="593">
        <f ca="1">$E461*(-SUMIF(INDIRECT(I$3),'Struktur Vorjahr'!$D461,INDIRECT(I$4))+SUMIF(INDIRECT(I$3),'Struktur Vorjahr'!$D461,INDIRECT(I$5)))</f>
        <v>0</v>
      </c>
      <c r="J461" s="593">
        <f ca="1">$E461*(-SUMIF(INDIRECT(J$3),'Struktur Vorjahr'!$D461,INDIRECT(J$4))+SUMIF(INDIRECT(J$3),'Struktur Vorjahr'!$D461,INDIRECT(J$5)))</f>
        <v>0</v>
      </c>
      <c r="K461" s="593">
        <f ca="1">$E461*(-SUMIF(INDIRECT(K$3),'Struktur Vorjahr'!$D461,INDIRECT(K$4))+SUMIF(INDIRECT(K$3),'Struktur Vorjahr'!$D461,INDIRECT(K$5)))</f>
        <v>0</v>
      </c>
      <c r="L461" s="593">
        <f ca="1">$E461*(-SUMIF(INDIRECT(L$3),'Struktur Vorjahr'!$D461,INDIRECT(L$4))+SUMIF(INDIRECT(L$3),'Struktur Vorjahr'!$D461,INDIRECT(L$5)))</f>
        <v>0</v>
      </c>
      <c r="M461" s="593">
        <f ca="1">$E461*(-SUMIF(INDIRECT(M$3),'Struktur Vorjahr'!$D461,INDIRECT(M$4))+SUMIF(INDIRECT(M$3),'Struktur Vorjahr'!$D461,INDIRECT(M$5)))</f>
        <v>0</v>
      </c>
      <c r="N461" s="593">
        <f ca="1">$E461*(-SUMIF(INDIRECT(N$3),'Struktur Vorjahr'!$D461,INDIRECT(N$4))+SUMIF(INDIRECT(N$3),'Struktur Vorjahr'!$D461,INDIRECT(N$5)))</f>
        <v>0</v>
      </c>
      <c r="O461" s="593">
        <f ca="1">$E461*(-SUMIF(INDIRECT(O$3),'Struktur Vorjahr'!$D461,INDIRECT(O$4))+SUMIF(INDIRECT(O$3),'Struktur Vorjahr'!$D461,INDIRECT(O$5)))</f>
        <v>0</v>
      </c>
      <c r="P461" s="593">
        <f ca="1">$E461*(-SUMIF(INDIRECT(P$3),'Struktur Vorjahr'!$D461,INDIRECT(P$4))+SUMIF(INDIRECT(P$3),'Struktur Vorjahr'!$D461,INDIRECT(P$5)))</f>
        <v>0</v>
      </c>
      <c r="Q461" s="593">
        <f ca="1">$E461*(-SUMIF(INDIRECT(Q$3),'Struktur Vorjahr'!$D461,INDIRECT(Q$4))+SUMIF(INDIRECT(Q$3),'Struktur Vorjahr'!$D461,INDIRECT(Q$5)))</f>
        <v>0</v>
      </c>
      <c r="R461" s="593">
        <f ca="1">$E461*(-SUMIF(INDIRECT(R$3),'Struktur Vorjahr'!$D461,INDIRECT(R$4))+SUMIF(INDIRECT(R$3),'Struktur Vorjahr'!$D461,INDIRECT(R$5)))</f>
        <v>0</v>
      </c>
      <c r="S461" s="593">
        <f ca="1">$E461*(-SUMIF(INDIRECT(S$3),'Struktur Vorjahr'!$D461,INDIRECT(S$4))+SUMIF(INDIRECT(S$3),'Struktur Vorjahr'!$D461,INDIRECT(S$5)))</f>
        <v>0</v>
      </c>
      <c r="T461" s="593">
        <f ca="1">$E461*(-SUMIF(INDIRECT(T$3),'Struktur Vorjahr'!$D461,INDIRECT(T$4))+SUMIF(INDIRECT(T$3),'Struktur Vorjahr'!$D461,INDIRECT(T$5)))</f>
        <v>0</v>
      </c>
      <c r="U461" s="593">
        <f ca="1">$E461*(-SUMIF(INDIRECT(U$3),'Struktur Vorjahr'!$D461,INDIRECT(U$4))+SUMIF(INDIRECT(U$3),'Struktur Vorjahr'!$D461,INDIRECT(U$5)))</f>
        <v>0</v>
      </c>
      <c r="V461" s="593">
        <f ca="1">$E461*(-SUMIF(INDIRECT(V$3),'Struktur Vorjahr'!$D461,INDIRECT(V$4))+SUMIF(INDIRECT(V$3),'Struktur Vorjahr'!$D461,INDIRECT(V$5)))</f>
        <v>0</v>
      </c>
      <c r="W461" s="593">
        <f ca="1">$E461*(-SUMIF(INDIRECT(W$3),'Struktur Vorjahr'!$D461,INDIRECT(W$4))+SUMIF(INDIRECT(W$3),'Struktur Vorjahr'!$D461,INDIRECT(W$5)))</f>
        <v>0</v>
      </c>
      <c r="X461" s="593">
        <f ca="1">$E461*(-SUMIF(INDIRECT(X$3),'Struktur Vorjahr'!$D461,INDIRECT(X$4))+SUMIF(INDIRECT(X$3),'Struktur Vorjahr'!$D461,INDIRECT(X$5)))</f>
        <v>0</v>
      </c>
      <c r="Y461" s="593">
        <f ca="1">$E461*(-SUMIF(INDIRECT(Y$3),'Struktur Vorjahr'!$D461,INDIRECT(Y$4))+SUMIF(INDIRECT(Y$3),'Struktur Vorjahr'!$D461,INDIRECT(Y$5)))</f>
        <v>0</v>
      </c>
      <c r="Z461" s="593">
        <f ca="1">$E461*(-SUMIF(INDIRECT(Z$3),'Struktur Vorjahr'!$D461,INDIRECT(Z$4))+SUMIF(INDIRECT(Z$3),'Struktur Vorjahr'!$D461,INDIRECT(Z$5)))</f>
        <v>0</v>
      </c>
      <c r="AA461" s="593">
        <f ca="1">$E461*(-SUMIF(INDIRECT(AA$3),'Struktur Vorjahr'!$D461,INDIRECT(AA$4))+SUMIF(INDIRECT(AA$3),'Struktur Vorjahr'!$D461,INDIRECT(AA$5)))</f>
        <v>0</v>
      </c>
      <c r="AB461" s="593">
        <f ca="1">$E461*(-SUMIF(INDIRECT(AB$3),'Struktur Vorjahr'!$D461,INDIRECT(AB$4))+SUMIF(INDIRECT(AB$3),'Struktur Vorjahr'!$D461,INDIRECT(AB$5)))</f>
        <v>0</v>
      </c>
      <c r="AC461" s="593">
        <f ca="1">$E461*(-SUMIF(INDIRECT(AC$3),'Struktur Vorjahr'!$D461,INDIRECT(AC$4))+SUMIF(INDIRECT(AC$3),'Struktur Vorjahr'!$D461,INDIRECT(AC$5)))</f>
        <v>0</v>
      </c>
      <c r="AD461" s="593">
        <f ca="1">$E461*(-SUMIF(INDIRECT(AD$3),'Struktur Vorjahr'!$D461,INDIRECT(AD$4))+SUMIF(INDIRECT(AD$3),'Struktur Vorjahr'!$D461,INDIRECT(AD$5)))</f>
        <v>0</v>
      </c>
      <c r="AE461" s="593">
        <f t="shared" ca="1" si="230"/>
        <v>0</v>
      </c>
      <c r="AF461" s="593">
        <f t="shared" ca="1" si="231"/>
        <v>0</v>
      </c>
      <c r="AG461" s="593">
        <f t="shared" ca="1" si="231"/>
        <v>0</v>
      </c>
      <c r="AH461" s="593">
        <f t="shared" ca="1" si="231"/>
        <v>0</v>
      </c>
      <c r="AI461" s="593">
        <f t="shared" ca="1" si="231"/>
        <v>0</v>
      </c>
      <c r="AJ461" s="593">
        <f t="shared" ca="1" si="231"/>
        <v>0</v>
      </c>
      <c r="AK461" s="593">
        <f t="shared" ca="1" si="231"/>
        <v>0</v>
      </c>
      <c r="AL461" s="593">
        <f t="shared" ca="1" si="231"/>
        <v>0</v>
      </c>
      <c r="AM461" s="593">
        <f t="shared" ca="1" si="231"/>
        <v>0</v>
      </c>
      <c r="AN461" s="593">
        <f t="shared" ca="1" si="231"/>
        <v>0</v>
      </c>
      <c r="AO461" s="593">
        <f t="shared" ca="1" si="231"/>
        <v>0</v>
      </c>
      <c r="AP461" s="593">
        <f t="shared" ca="1" si="231"/>
        <v>0</v>
      </c>
    </row>
    <row r="462" spans="1:42" s="594" customFormat="1" ht="11.25" x14ac:dyDescent="0.2">
      <c r="A462" s="644"/>
      <c r="B462" s="591" t="str">
        <f>IF(D462&lt;&gt;"",
IF(ISERROR(MATCH(D462,'Ist Vorjahr Monat 01'!A:A,0))=FALSE,INDEX('Ist Vorjahr Monat 01'!B:B,MATCH(D462,'Ist Vorjahr Monat 01'!A:A,0)),
IF(ISERROR(MATCH(D462,'Ist Vorjahr Monat 02'!A:A,0))=FALSE,INDEX('Ist Vorjahr Monat 02'!B:B,MATCH(D462,'Ist Vorjahr Monat 02'!A:A,0)),
IF(ISERROR(MATCH(D462,'Ist Vorjahr Monat 03'!A:A,0))=FALSE,INDEX('Ist Vorjahr Monat 03'!B:B,MATCH(D462,'Ist Vorjahr Monat 03'!A:A,0)),
IF(ISERROR(MATCH(D462,'Ist Vorjahr Monat 04'!A:A,0))=FALSE,INDEX('Ist Vorjahr Monat 04'!B:B,MATCH(D462,'Ist Vorjahr Monat 04'!A:A,0)),
IF(ISERROR(MATCH(D462,'Ist Vorjahr Monat 05'!A:A,0))=FALSE,INDEX('Ist Vorjahr Monat 05'!B:B,MATCH(D462,'Ist Vorjahr Monat 05'!A:A,0)),
IF(ISERROR(MATCH(D462,'Ist Vorjahr Monat 06'!A:A,0))=FALSE,INDEX('Ist Vorjahr Monat 06'!B:B,MATCH(D462,'Ist Vorjahr Monat 06'!A:A,0)),
IF(ISERROR(MATCH(D462,'Ist Vorjahr Monat 07'!A:A,0))=FALSE,INDEX('Ist Vorjahr Monat 07'!B:B,MATCH(D462,'Ist Vorjahr Monat 07'!A:A,0)),
IF(ISERROR(MATCH(D462,'Ist Vorjahr Monat 08'!A:A,0))=FALSE,INDEX('Ist Vorjahr Monat 08'!B:B,MATCH(D462,'Ist Vorjahr Monat 08'!A:A,0)),
IF(ISERROR(MATCH(D462,'Ist Vorjahr Monat 09'!A:A,0))=FALSE,INDEX('Ist Vorjahr Monat 09'!B:B,MATCH(D462,'Ist Vorjahr Monat 09'!A:A,0)),
IF(ISERROR(MATCH(D462,'Ist Vorjahr Monat 10'!A:A,0))=FALSE,INDEX('Ist Vorjahr Monat 10'!B:B,MATCH(D462,'Ist Vorjahr Monat 10'!A:A,0)),
IF(ISERROR(MATCH(D462,'Ist Vorjahr Monat 11'!A:A,0))=FALSE,INDEX('Ist Vorjahr Monat 11'!B:B,MATCH(D462,'Ist Vorjahr Monat 11'!A:A,0)),
IF(ISERROR(MATCH(D462,'Ist Vorjahr Monat 12'!A:A,0))=FALSE,INDEX('Ist Vorjahr Monat 12'!B:B,MATCH(D462,'Ist Vorjahr Monat 12'!A:A,0)),
"{Konto unbekannt}"
)))))))))))),"")</f>
        <v/>
      </c>
      <c r="C462" s="1062"/>
      <c r="D462" s="1067"/>
      <c r="E462" s="625">
        <f t="shared" si="186"/>
        <v>1</v>
      </c>
      <c r="F462" s="626"/>
      <c r="G462" s="593">
        <f ca="1">$E462*(-SUMIF(INDIRECT(G$3),'Struktur Vorjahr'!$D462,INDIRECT(G$4))+SUMIF(INDIRECT(G$3),'Struktur Vorjahr'!$D462,INDIRECT(G$5)))</f>
        <v>0</v>
      </c>
      <c r="H462" s="593">
        <f ca="1">$E462*(-SUMIF(INDIRECT(H$3),'Struktur Vorjahr'!$D462,INDIRECT(H$4))+SUMIF(INDIRECT(H$3),'Struktur Vorjahr'!$D462,INDIRECT(H$5)))</f>
        <v>0</v>
      </c>
      <c r="I462" s="593">
        <f ca="1">$E462*(-SUMIF(INDIRECT(I$3),'Struktur Vorjahr'!$D462,INDIRECT(I$4))+SUMIF(INDIRECT(I$3),'Struktur Vorjahr'!$D462,INDIRECT(I$5)))</f>
        <v>0</v>
      </c>
      <c r="J462" s="593">
        <f ca="1">$E462*(-SUMIF(INDIRECT(J$3),'Struktur Vorjahr'!$D462,INDIRECT(J$4))+SUMIF(INDIRECT(J$3),'Struktur Vorjahr'!$D462,INDIRECT(J$5)))</f>
        <v>0</v>
      </c>
      <c r="K462" s="593">
        <f ca="1">$E462*(-SUMIF(INDIRECT(K$3),'Struktur Vorjahr'!$D462,INDIRECT(K$4))+SUMIF(INDIRECT(K$3),'Struktur Vorjahr'!$D462,INDIRECT(K$5)))</f>
        <v>0</v>
      </c>
      <c r="L462" s="593">
        <f ca="1">$E462*(-SUMIF(INDIRECT(L$3),'Struktur Vorjahr'!$D462,INDIRECT(L$4))+SUMIF(INDIRECT(L$3),'Struktur Vorjahr'!$D462,INDIRECT(L$5)))</f>
        <v>0</v>
      </c>
      <c r="M462" s="593">
        <f ca="1">$E462*(-SUMIF(INDIRECT(M$3),'Struktur Vorjahr'!$D462,INDIRECT(M$4))+SUMIF(INDIRECT(M$3),'Struktur Vorjahr'!$D462,INDIRECT(M$5)))</f>
        <v>0</v>
      </c>
      <c r="N462" s="593">
        <f ca="1">$E462*(-SUMIF(INDIRECT(N$3),'Struktur Vorjahr'!$D462,INDIRECT(N$4))+SUMIF(INDIRECT(N$3),'Struktur Vorjahr'!$D462,INDIRECT(N$5)))</f>
        <v>0</v>
      </c>
      <c r="O462" s="593">
        <f ca="1">$E462*(-SUMIF(INDIRECT(O$3),'Struktur Vorjahr'!$D462,INDIRECT(O$4))+SUMIF(INDIRECT(O$3),'Struktur Vorjahr'!$D462,INDIRECT(O$5)))</f>
        <v>0</v>
      </c>
      <c r="P462" s="593">
        <f ca="1">$E462*(-SUMIF(INDIRECT(P$3),'Struktur Vorjahr'!$D462,INDIRECT(P$4))+SUMIF(INDIRECT(P$3),'Struktur Vorjahr'!$D462,INDIRECT(P$5)))</f>
        <v>0</v>
      </c>
      <c r="Q462" s="593">
        <f ca="1">$E462*(-SUMIF(INDIRECT(Q$3),'Struktur Vorjahr'!$D462,INDIRECT(Q$4))+SUMIF(INDIRECT(Q$3),'Struktur Vorjahr'!$D462,INDIRECT(Q$5)))</f>
        <v>0</v>
      </c>
      <c r="R462" s="593">
        <f ca="1">$E462*(-SUMIF(INDIRECT(R$3),'Struktur Vorjahr'!$D462,INDIRECT(R$4))+SUMIF(INDIRECT(R$3),'Struktur Vorjahr'!$D462,INDIRECT(R$5)))</f>
        <v>0</v>
      </c>
      <c r="S462" s="593">
        <f ca="1">$E462*(-SUMIF(INDIRECT(S$3),'Struktur Vorjahr'!$D462,INDIRECT(S$4))+SUMIF(INDIRECT(S$3),'Struktur Vorjahr'!$D462,INDIRECT(S$5)))</f>
        <v>0</v>
      </c>
      <c r="T462" s="593">
        <f ca="1">$E462*(-SUMIF(INDIRECT(T$3),'Struktur Vorjahr'!$D462,INDIRECT(T$4))+SUMIF(INDIRECT(T$3),'Struktur Vorjahr'!$D462,INDIRECT(T$5)))</f>
        <v>0</v>
      </c>
      <c r="U462" s="593">
        <f ca="1">$E462*(-SUMIF(INDIRECT(U$3),'Struktur Vorjahr'!$D462,INDIRECT(U$4))+SUMIF(INDIRECT(U$3),'Struktur Vorjahr'!$D462,INDIRECT(U$5)))</f>
        <v>0</v>
      </c>
      <c r="V462" s="593">
        <f ca="1">$E462*(-SUMIF(INDIRECT(V$3),'Struktur Vorjahr'!$D462,INDIRECT(V$4))+SUMIF(INDIRECT(V$3),'Struktur Vorjahr'!$D462,INDIRECT(V$5)))</f>
        <v>0</v>
      </c>
      <c r="W462" s="593">
        <f ca="1">$E462*(-SUMIF(INDIRECT(W$3),'Struktur Vorjahr'!$D462,INDIRECT(W$4))+SUMIF(INDIRECT(W$3),'Struktur Vorjahr'!$D462,INDIRECT(W$5)))</f>
        <v>0</v>
      </c>
      <c r="X462" s="593">
        <f ca="1">$E462*(-SUMIF(INDIRECT(X$3),'Struktur Vorjahr'!$D462,INDIRECT(X$4))+SUMIF(INDIRECT(X$3),'Struktur Vorjahr'!$D462,INDIRECT(X$5)))</f>
        <v>0</v>
      </c>
      <c r="Y462" s="593">
        <f ca="1">$E462*(-SUMIF(INDIRECT(Y$3),'Struktur Vorjahr'!$D462,INDIRECT(Y$4))+SUMIF(INDIRECT(Y$3),'Struktur Vorjahr'!$D462,INDIRECT(Y$5)))</f>
        <v>0</v>
      </c>
      <c r="Z462" s="593">
        <f ca="1">$E462*(-SUMIF(INDIRECT(Z$3),'Struktur Vorjahr'!$D462,INDIRECT(Z$4))+SUMIF(INDIRECT(Z$3),'Struktur Vorjahr'!$D462,INDIRECT(Z$5)))</f>
        <v>0</v>
      </c>
      <c r="AA462" s="593">
        <f ca="1">$E462*(-SUMIF(INDIRECT(AA$3),'Struktur Vorjahr'!$D462,INDIRECT(AA$4))+SUMIF(INDIRECT(AA$3),'Struktur Vorjahr'!$D462,INDIRECT(AA$5)))</f>
        <v>0</v>
      </c>
      <c r="AB462" s="593">
        <f ca="1">$E462*(-SUMIF(INDIRECT(AB$3),'Struktur Vorjahr'!$D462,INDIRECT(AB$4))+SUMIF(INDIRECT(AB$3),'Struktur Vorjahr'!$D462,INDIRECT(AB$5)))</f>
        <v>0</v>
      </c>
      <c r="AC462" s="593">
        <f ca="1">$E462*(-SUMIF(INDIRECT(AC$3),'Struktur Vorjahr'!$D462,INDIRECT(AC$4))+SUMIF(INDIRECT(AC$3),'Struktur Vorjahr'!$D462,INDIRECT(AC$5)))</f>
        <v>0</v>
      </c>
      <c r="AD462" s="593">
        <f ca="1">$E462*(-SUMIF(INDIRECT(AD$3),'Struktur Vorjahr'!$D462,INDIRECT(AD$4))+SUMIF(INDIRECT(AD$3),'Struktur Vorjahr'!$D462,INDIRECT(AD$5)))</f>
        <v>0</v>
      </c>
      <c r="AE462" s="593">
        <f t="shared" ca="1" si="230"/>
        <v>0</v>
      </c>
      <c r="AF462" s="593">
        <f t="shared" ca="1" si="231"/>
        <v>0</v>
      </c>
      <c r="AG462" s="593">
        <f t="shared" ca="1" si="231"/>
        <v>0</v>
      </c>
      <c r="AH462" s="593">
        <f t="shared" ca="1" si="231"/>
        <v>0</v>
      </c>
      <c r="AI462" s="593">
        <f t="shared" ca="1" si="231"/>
        <v>0</v>
      </c>
      <c r="AJ462" s="593">
        <f t="shared" ca="1" si="231"/>
        <v>0</v>
      </c>
      <c r="AK462" s="593">
        <f t="shared" ca="1" si="231"/>
        <v>0</v>
      </c>
      <c r="AL462" s="593">
        <f t="shared" ca="1" si="231"/>
        <v>0</v>
      </c>
      <c r="AM462" s="593">
        <f t="shared" ca="1" si="231"/>
        <v>0</v>
      </c>
      <c r="AN462" s="593">
        <f t="shared" ca="1" si="231"/>
        <v>0</v>
      </c>
      <c r="AO462" s="593">
        <f t="shared" ca="1" si="231"/>
        <v>0</v>
      </c>
      <c r="AP462" s="593">
        <f t="shared" ca="1" si="231"/>
        <v>0</v>
      </c>
    </row>
    <row r="463" spans="1:42" s="594" customFormat="1" ht="11.25" outlineLevel="1" x14ac:dyDescent="0.2">
      <c r="A463" s="644"/>
      <c r="B463" s="591" t="str">
        <f>IF(D463&lt;&gt;"",
IF(ISERROR(MATCH(D463,'Ist Vorjahr Monat 01'!A:A,0))=FALSE,INDEX('Ist Vorjahr Monat 01'!B:B,MATCH(D463,'Ist Vorjahr Monat 01'!A:A,0)),
IF(ISERROR(MATCH(D463,'Ist Vorjahr Monat 02'!A:A,0))=FALSE,INDEX('Ist Vorjahr Monat 02'!B:B,MATCH(D463,'Ist Vorjahr Monat 02'!A:A,0)),
IF(ISERROR(MATCH(D463,'Ist Vorjahr Monat 03'!A:A,0))=FALSE,INDEX('Ist Vorjahr Monat 03'!B:B,MATCH(D463,'Ist Vorjahr Monat 03'!A:A,0)),
IF(ISERROR(MATCH(D463,'Ist Vorjahr Monat 04'!A:A,0))=FALSE,INDEX('Ist Vorjahr Monat 04'!B:B,MATCH(D463,'Ist Vorjahr Monat 04'!A:A,0)),
IF(ISERROR(MATCH(D463,'Ist Vorjahr Monat 05'!A:A,0))=FALSE,INDEX('Ist Vorjahr Monat 05'!B:B,MATCH(D463,'Ist Vorjahr Monat 05'!A:A,0)),
IF(ISERROR(MATCH(D463,'Ist Vorjahr Monat 06'!A:A,0))=FALSE,INDEX('Ist Vorjahr Monat 06'!B:B,MATCH(D463,'Ist Vorjahr Monat 06'!A:A,0)),
IF(ISERROR(MATCH(D463,'Ist Vorjahr Monat 07'!A:A,0))=FALSE,INDEX('Ist Vorjahr Monat 07'!B:B,MATCH(D463,'Ist Vorjahr Monat 07'!A:A,0)),
IF(ISERROR(MATCH(D463,'Ist Vorjahr Monat 08'!A:A,0))=FALSE,INDEX('Ist Vorjahr Monat 08'!B:B,MATCH(D463,'Ist Vorjahr Monat 08'!A:A,0)),
IF(ISERROR(MATCH(D463,'Ist Vorjahr Monat 09'!A:A,0))=FALSE,INDEX('Ist Vorjahr Monat 09'!B:B,MATCH(D463,'Ist Vorjahr Monat 09'!A:A,0)),
IF(ISERROR(MATCH(D463,'Ist Vorjahr Monat 10'!A:A,0))=FALSE,INDEX('Ist Vorjahr Monat 10'!B:B,MATCH(D463,'Ist Vorjahr Monat 10'!A:A,0)),
IF(ISERROR(MATCH(D463,'Ist Vorjahr Monat 11'!A:A,0))=FALSE,INDEX('Ist Vorjahr Monat 11'!B:B,MATCH(D463,'Ist Vorjahr Monat 11'!A:A,0)),
IF(ISERROR(MATCH(D463,'Ist Vorjahr Monat 12'!A:A,0))=FALSE,INDEX('Ist Vorjahr Monat 12'!B:B,MATCH(D463,'Ist Vorjahr Monat 12'!A:A,0)),
"{Konto unbekannt}"
)))))))))))),"")</f>
        <v/>
      </c>
      <c r="C463" s="1062"/>
      <c r="D463" s="1067"/>
      <c r="E463" s="625">
        <f t="shared" si="186"/>
        <v>1</v>
      </c>
      <c r="F463" s="626"/>
      <c r="G463" s="593">
        <f ca="1">$E463*(-SUMIF(INDIRECT(G$3),'Struktur Vorjahr'!$D463,INDIRECT(G$4))+SUMIF(INDIRECT(G$3),'Struktur Vorjahr'!$D463,INDIRECT(G$5)))</f>
        <v>0</v>
      </c>
      <c r="H463" s="593">
        <f ca="1">$E463*(-SUMIF(INDIRECT(H$3),'Struktur Vorjahr'!$D463,INDIRECT(H$4))+SUMIF(INDIRECT(H$3),'Struktur Vorjahr'!$D463,INDIRECT(H$5)))</f>
        <v>0</v>
      </c>
      <c r="I463" s="593">
        <f ca="1">$E463*(-SUMIF(INDIRECT(I$3),'Struktur Vorjahr'!$D463,INDIRECT(I$4))+SUMIF(INDIRECT(I$3),'Struktur Vorjahr'!$D463,INDIRECT(I$5)))</f>
        <v>0</v>
      </c>
      <c r="J463" s="593">
        <f ca="1">$E463*(-SUMIF(INDIRECT(J$3),'Struktur Vorjahr'!$D463,INDIRECT(J$4))+SUMIF(INDIRECT(J$3),'Struktur Vorjahr'!$D463,INDIRECT(J$5)))</f>
        <v>0</v>
      </c>
      <c r="K463" s="593">
        <f ca="1">$E463*(-SUMIF(INDIRECT(K$3),'Struktur Vorjahr'!$D463,INDIRECT(K$4))+SUMIF(INDIRECT(K$3),'Struktur Vorjahr'!$D463,INDIRECT(K$5)))</f>
        <v>0</v>
      </c>
      <c r="L463" s="593">
        <f ca="1">$E463*(-SUMIF(INDIRECT(L$3),'Struktur Vorjahr'!$D463,INDIRECT(L$4))+SUMIF(INDIRECT(L$3),'Struktur Vorjahr'!$D463,INDIRECT(L$5)))</f>
        <v>0</v>
      </c>
      <c r="M463" s="593">
        <f ca="1">$E463*(-SUMIF(INDIRECT(M$3),'Struktur Vorjahr'!$D463,INDIRECT(M$4))+SUMIF(INDIRECT(M$3),'Struktur Vorjahr'!$D463,INDIRECT(M$5)))</f>
        <v>0</v>
      </c>
      <c r="N463" s="593">
        <f ca="1">$E463*(-SUMIF(INDIRECT(N$3),'Struktur Vorjahr'!$D463,INDIRECT(N$4))+SUMIF(INDIRECT(N$3),'Struktur Vorjahr'!$D463,INDIRECT(N$5)))</f>
        <v>0</v>
      </c>
      <c r="O463" s="593">
        <f ca="1">$E463*(-SUMIF(INDIRECT(O$3),'Struktur Vorjahr'!$D463,INDIRECT(O$4))+SUMIF(INDIRECT(O$3),'Struktur Vorjahr'!$D463,INDIRECT(O$5)))</f>
        <v>0</v>
      </c>
      <c r="P463" s="593">
        <f ca="1">$E463*(-SUMIF(INDIRECT(P$3),'Struktur Vorjahr'!$D463,INDIRECT(P$4))+SUMIF(INDIRECT(P$3),'Struktur Vorjahr'!$D463,INDIRECT(P$5)))</f>
        <v>0</v>
      </c>
      <c r="Q463" s="593">
        <f ca="1">$E463*(-SUMIF(INDIRECT(Q$3),'Struktur Vorjahr'!$D463,INDIRECT(Q$4))+SUMIF(INDIRECT(Q$3),'Struktur Vorjahr'!$D463,INDIRECT(Q$5)))</f>
        <v>0</v>
      </c>
      <c r="R463" s="593">
        <f ca="1">$E463*(-SUMIF(INDIRECT(R$3),'Struktur Vorjahr'!$D463,INDIRECT(R$4))+SUMIF(INDIRECT(R$3),'Struktur Vorjahr'!$D463,INDIRECT(R$5)))</f>
        <v>0</v>
      </c>
      <c r="S463" s="593">
        <f ca="1">$E463*(-SUMIF(INDIRECT(S$3),'Struktur Vorjahr'!$D463,INDIRECT(S$4))+SUMIF(INDIRECT(S$3),'Struktur Vorjahr'!$D463,INDIRECT(S$5)))</f>
        <v>0</v>
      </c>
      <c r="T463" s="593">
        <f ca="1">$E463*(-SUMIF(INDIRECT(T$3),'Struktur Vorjahr'!$D463,INDIRECT(T$4))+SUMIF(INDIRECT(T$3),'Struktur Vorjahr'!$D463,INDIRECT(T$5)))</f>
        <v>0</v>
      </c>
      <c r="U463" s="593">
        <f ca="1">$E463*(-SUMIF(INDIRECT(U$3),'Struktur Vorjahr'!$D463,INDIRECT(U$4))+SUMIF(INDIRECT(U$3),'Struktur Vorjahr'!$D463,INDIRECT(U$5)))</f>
        <v>0</v>
      </c>
      <c r="V463" s="593">
        <f ca="1">$E463*(-SUMIF(INDIRECT(V$3),'Struktur Vorjahr'!$D463,INDIRECT(V$4))+SUMIF(INDIRECT(V$3),'Struktur Vorjahr'!$D463,INDIRECT(V$5)))</f>
        <v>0</v>
      </c>
      <c r="W463" s="593">
        <f ca="1">$E463*(-SUMIF(INDIRECT(W$3),'Struktur Vorjahr'!$D463,INDIRECT(W$4))+SUMIF(INDIRECT(W$3),'Struktur Vorjahr'!$D463,INDIRECT(W$5)))</f>
        <v>0</v>
      </c>
      <c r="X463" s="593">
        <f ca="1">$E463*(-SUMIF(INDIRECT(X$3),'Struktur Vorjahr'!$D463,INDIRECT(X$4))+SUMIF(INDIRECT(X$3),'Struktur Vorjahr'!$D463,INDIRECT(X$5)))</f>
        <v>0</v>
      </c>
      <c r="Y463" s="593">
        <f ca="1">$E463*(-SUMIF(INDIRECT(Y$3),'Struktur Vorjahr'!$D463,INDIRECT(Y$4))+SUMIF(INDIRECT(Y$3),'Struktur Vorjahr'!$D463,INDIRECT(Y$5)))</f>
        <v>0</v>
      </c>
      <c r="Z463" s="593">
        <f ca="1">$E463*(-SUMIF(INDIRECT(Z$3),'Struktur Vorjahr'!$D463,INDIRECT(Z$4))+SUMIF(INDIRECT(Z$3),'Struktur Vorjahr'!$D463,INDIRECT(Z$5)))</f>
        <v>0</v>
      </c>
      <c r="AA463" s="593">
        <f ca="1">$E463*(-SUMIF(INDIRECT(AA$3),'Struktur Vorjahr'!$D463,INDIRECT(AA$4))+SUMIF(INDIRECT(AA$3),'Struktur Vorjahr'!$D463,INDIRECT(AA$5)))</f>
        <v>0</v>
      </c>
      <c r="AB463" s="593">
        <f ca="1">$E463*(-SUMIF(INDIRECT(AB$3),'Struktur Vorjahr'!$D463,INDIRECT(AB$4))+SUMIF(INDIRECT(AB$3),'Struktur Vorjahr'!$D463,INDIRECT(AB$5)))</f>
        <v>0</v>
      </c>
      <c r="AC463" s="593">
        <f ca="1">$E463*(-SUMIF(INDIRECT(AC$3),'Struktur Vorjahr'!$D463,INDIRECT(AC$4))+SUMIF(INDIRECT(AC$3),'Struktur Vorjahr'!$D463,INDIRECT(AC$5)))</f>
        <v>0</v>
      </c>
      <c r="AD463" s="593">
        <f ca="1">$E463*(-SUMIF(INDIRECT(AD$3),'Struktur Vorjahr'!$D463,INDIRECT(AD$4))+SUMIF(INDIRECT(AD$3),'Struktur Vorjahr'!$D463,INDIRECT(AD$5)))</f>
        <v>0</v>
      </c>
      <c r="AE463" s="593">
        <f t="shared" ca="1" si="230"/>
        <v>0</v>
      </c>
      <c r="AF463" s="593">
        <f t="shared" ca="1" si="231"/>
        <v>0</v>
      </c>
      <c r="AG463" s="593">
        <f t="shared" ca="1" si="231"/>
        <v>0</v>
      </c>
      <c r="AH463" s="593">
        <f t="shared" ca="1" si="231"/>
        <v>0</v>
      </c>
      <c r="AI463" s="593">
        <f t="shared" ca="1" si="231"/>
        <v>0</v>
      </c>
      <c r="AJ463" s="593">
        <f t="shared" ca="1" si="231"/>
        <v>0</v>
      </c>
      <c r="AK463" s="593">
        <f t="shared" ca="1" si="231"/>
        <v>0</v>
      </c>
      <c r="AL463" s="593">
        <f t="shared" ca="1" si="231"/>
        <v>0</v>
      </c>
      <c r="AM463" s="593">
        <f t="shared" ca="1" si="231"/>
        <v>0</v>
      </c>
      <c r="AN463" s="593">
        <f t="shared" ca="1" si="231"/>
        <v>0</v>
      </c>
      <c r="AO463" s="593">
        <f t="shared" ca="1" si="231"/>
        <v>0</v>
      </c>
      <c r="AP463" s="593">
        <f t="shared" ca="1" si="231"/>
        <v>0</v>
      </c>
    </row>
    <row r="464" spans="1:42" s="594" customFormat="1" ht="11.25" outlineLevel="1" x14ac:dyDescent="0.2">
      <c r="A464" s="644"/>
      <c r="B464" s="591" t="str">
        <f>IF(D464&lt;&gt;"",
IF(ISERROR(MATCH(D464,'Ist Vorjahr Monat 01'!A:A,0))=FALSE,INDEX('Ist Vorjahr Monat 01'!B:B,MATCH(D464,'Ist Vorjahr Monat 01'!A:A,0)),
IF(ISERROR(MATCH(D464,'Ist Vorjahr Monat 02'!A:A,0))=FALSE,INDEX('Ist Vorjahr Monat 02'!B:B,MATCH(D464,'Ist Vorjahr Monat 02'!A:A,0)),
IF(ISERROR(MATCH(D464,'Ist Vorjahr Monat 03'!A:A,0))=FALSE,INDEX('Ist Vorjahr Monat 03'!B:B,MATCH(D464,'Ist Vorjahr Monat 03'!A:A,0)),
IF(ISERROR(MATCH(D464,'Ist Vorjahr Monat 04'!A:A,0))=FALSE,INDEX('Ist Vorjahr Monat 04'!B:B,MATCH(D464,'Ist Vorjahr Monat 04'!A:A,0)),
IF(ISERROR(MATCH(D464,'Ist Vorjahr Monat 05'!A:A,0))=FALSE,INDEX('Ist Vorjahr Monat 05'!B:B,MATCH(D464,'Ist Vorjahr Monat 05'!A:A,0)),
IF(ISERROR(MATCH(D464,'Ist Vorjahr Monat 06'!A:A,0))=FALSE,INDEX('Ist Vorjahr Monat 06'!B:B,MATCH(D464,'Ist Vorjahr Monat 06'!A:A,0)),
IF(ISERROR(MATCH(D464,'Ist Vorjahr Monat 07'!A:A,0))=FALSE,INDEX('Ist Vorjahr Monat 07'!B:B,MATCH(D464,'Ist Vorjahr Monat 07'!A:A,0)),
IF(ISERROR(MATCH(D464,'Ist Vorjahr Monat 08'!A:A,0))=FALSE,INDEX('Ist Vorjahr Monat 08'!B:B,MATCH(D464,'Ist Vorjahr Monat 08'!A:A,0)),
IF(ISERROR(MATCH(D464,'Ist Vorjahr Monat 09'!A:A,0))=FALSE,INDEX('Ist Vorjahr Monat 09'!B:B,MATCH(D464,'Ist Vorjahr Monat 09'!A:A,0)),
IF(ISERROR(MATCH(D464,'Ist Vorjahr Monat 10'!A:A,0))=FALSE,INDEX('Ist Vorjahr Monat 10'!B:B,MATCH(D464,'Ist Vorjahr Monat 10'!A:A,0)),
IF(ISERROR(MATCH(D464,'Ist Vorjahr Monat 11'!A:A,0))=FALSE,INDEX('Ist Vorjahr Monat 11'!B:B,MATCH(D464,'Ist Vorjahr Monat 11'!A:A,0)),
IF(ISERROR(MATCH(D464,'Ist Vorjahr Monat 12'!A:A,0))=FALSE,INDEX('Ist Vorjahr Monat 12'!B:B,MATCH(D464,'Ist Vorjahr Monat 12'!A:A,0)),
"{Konto unbekannt}"
)))))))))))),"")</f>
        <v/>
      </c>
      <c r="C464" s="1062"/>
      <c r="D464" s="1067"/>
      <c r="E464" s="625">
        <f t="shared" si="186"/>
        <v>1</v>
      </c>
      <c r="F464" s="626"/>
      <c r="G464" s="593">
        <f ca="1">$E464*(-SUMIF(INDIRECT(G$3),'Struktur Vorjahr'!$D464,INDIRECT(G$4))+SUMIF(INDIRECT(G$3),'Struktur Vorjahr'!$D464,INDIRECT(G$5)))</f>
        <v>0</v>
      </c>
      <c r="H464" s="593">
        <f ca="1">$E464*(-SUMIF(INDIRECT(H$3),'Struktur Vorjahr'!$D464,INDIRECT(H$4))+SUMIF(INDIRECT(H$3),'Struktur Vorjahr'!$D464,INDIRECT(H$5)))</f>
        <v>0</v>
      </c>
      <c r="I464" s="593">
        <f ca="1">$E464*(-SUMIF(INDIRECT(I$3),'Struktur Vorjahr'!$D464,INDIRECT(I$4))+SUMIF(INDIRECT(I$3),'Struktur Vorjahr'!$D464,INDIRECT(I$5)))</f>
        <v>0</v>
      </c>
      <c r="J464" s="593">
        <f ca="1">$E464*(-SUMIF(INDIRECT(J$3),'Struktur Vorjahr'!$D464,INDIRECT(J$4))+SUMIF(INDIRECT(J$3),'Struktur Vorjahr'!$D464,INDIRECT(J$5)))</f>
        <v>0</v>
      </c>
      <c r="K464" s="593">
        <f ca="1">$E464*(-SUMIF(INDIRECT(K$3),'Struktur Vorjahr'!$D464,INDIRECT(K$4))+SUMIF(INDIRECT(K$3),'Struktur Vorjahr'!$D464,INDIRECT(K$5)))</f>
        <v>0</v>
      </c>
      <c r="L464" s="593">
        <f ca="1">$E464*(-SUMIF(INDIRECT(L$3),'Struktur Vorjahr'!$D464,INDIRECT(L$4))+SUMIF(INDIRECT(L$3),'Struktur Vorjahr'!$D464,INDIRECT(L$5)))</f>
        <v>0</v>
      </c>
      <c r="M464" s="593">
        <f ca="1">$E464*(-SUMIF(INDIRECT(M$3),'Struktur Vorjahr'!$D464,INDIRECT(M$4))+SUMIF(INDIRECT(M$3),'Struktur Vorjahr'!$D464,INDIRECT(M$5)))</f>
        <v>0</v>
      </c>
      <c r="N464" s="593">
        <f ca="1">$E464*(-SUMIF(INDIRECT(N$3),'Struktur Vorjahr'!$D464,INDIRECT(N$4))+SUMIF(INDIRECT(N$3),'Struktur Vorjahr'!$D464,INDIRECT(N$5)))</f>
        <v>0</v>
      </c>
      <c r="O464" s="593">
        <f ca="1">$E464*(-SUMIF(INDIRECT(O$3),'Struktur Vorjahr'!$D464,INDIRECT(O$4))+SUMIF(INDIRECT(O$3),'Struktur Vorjahr'!$D464,INDIRECT(O$5)))</f>
        <v>0</v>
      </c>
      <c r="P464" s="593">
        <f ca="1">$E464*(-SUMIF(INDIRECT(P$3),'Struktur Vorjahr'!$D464,INDIRECT(P$4))+SUMIF(INDIRECT(P$3),'Struktur Vorjahr'!$D464,INDIRECT(P$5)))</f>
        <v>0</v>
      </c>
      <c r="Q464" s="593">
        <f ca="1">$E464*(-SUMIF(INDIRECT(Q$3),'Struktur Vorjahr'!$D464,INDIRECT(Q$4))+SUMIF(INDIRECT(Q$3),'Struktur Vorjahr'!$D464,INDIRECT(Q$5)))</f>
        <v>0</v>
      </c>
      <c r="R464" s="593">
        <f ca="1">$E464*(-SUMIF(INDIRECT(R$3),'Struktur Vorjahr'!$D464,INDIRECT(R$4))+SUMIF(INDIRECT(R$3),'Struktur Vorjahr'!$D464,INDIRECT(R$5)))</f>
        <v>0</v>
      </c>
      <c r="S464" s="593">
        <f ca="1">$E464*(-SUMIF(INDIRECT(S$3),'Struktur Vorjahr'!$D464,INDIRECT(S$4))+SUMIF(INDIRECT(S$3),'Struktur Vorjahr'!$D464,INDIRECT(S$5)))</f>
        <v>0</v>
      </c>
      <c r="T464" s="593">
        <f ca="1">$E464*(-SUMIF(INDIRECT(T$3),'Struktur Vorjahr'!$D464,INDIRECT(T$4))+SUMIF(INDIRECT(T$3),'Struktur Vorjahr'!$D464,INDIRECT(T$5)))</f>
        <v>0</v>
      </c>
      <c r="U464" s="593">
        <f ca="1">$E464*(-SUMIF(INDIRECT(U$3),'Struktur Vorjahr'!$D464,INDIRECT(U$4))+SUMIF(INDIRECT(U$3),'Struktur Vorjahr'!$D464,INDIRECT(U$5)))</f>
        <v>0</v>
      </c>
      <c r="V464" s="593">
        <f ca="1">$E464*(-SUMIF(INDIRECT(V$3),'Struktur Vorjahr'!$D464,INDIRECT(V$4))+SUMIF(INDIRECT(V$3),'Struktur Vorjahr'!$D464,INDIRECT(V$5)))</f>
        <v>0</v>
      </c>
      <c r="W464" s="593">
        <f ca="1">$E464*(-SUMIF(INDIRECT(W$3),'Struktur Vorjahr'!$D464,INDIRECT(W$4))+SUMIF(INDIRECT(W$3),'Struktur Vorjahr'!$D464,INDIRECT(W$5)))</f>
        <v>0</v>
      </c>
      <c r="X464" s="593">
        <f ca="1">$E464*(-SUMIF(INDIRECT(X$3),'Struktur Vorjahr'!$D464,INDIRECT(X$4))+SUMIF(INDIRECT(X$3),'Struktur Vorjahr'!$D464,INDIRECT(X$5)))</f>
        <v>0</v>
      </c>
      <c r="Y464" s="593">
        <f ca="1">$E464*(-SUMIF(INDIRECT(Y$3),'Struktur Vorjahr'!$D464,INDIRECT(Y$4))+SUMIF(INDIRECT(Y$3),'Struktur Vorjahr'!$D464,INDIRECT(Y$5)))</f>
        <v>0</v>
      </c>
      <c r="Z464" s="593">
        <f ca="1">$E464*(-SUMIF(INDIRECT(Z$3),'Struktur Vorjahr'!$D464,INDIRECT(Z$4))+SUMIF(INDIRECT(Z$3),'Struktur Vorjahr'!$D464,INDIRECT(Z$5)))</f>
        <v>0</v>
      </c>
      <c r="AA464" s="593">
        <f ca="1">$E464*(-SUMIF(INDIRECT(AA$3),'Struktur Vorjahr'!$D464,INDIRECT(AA$4))+SUMIF(INDIRECT(AA$3),'Struktur Vorjahr'!$D464,INDIRECT(AA$5)))</f>
        <v>0</v>
      </c>
      <c r="AB464" s="593">
        <f ca="1">$E464*(-SUMIF(INDIRECT(AB$3),'Struktur Vorjahr'!$D464,INDIRECT(AB$4))+SUMIF(INDIRECT(AB$3),'Struktur Vorjahr'!$D464,INDIRECT(AB$5)))</f>
        <v>0</v>
      </c>
      <c r="AC464" s="593">
        <f ca="1">$E464*(-SUMIF(INDIRECT(AC$3),'Struktur Vorjahr'!$D464,INDIRECT(AC$4))+SUMIF(INDIRECT(AC$3),'Struktur Vorjahr'!$D464,INDIRECT(AC$5)))</f>
        <v>0</v>
      </c>
      <c r="AD464" s="593">
        <f ca="1">$E464*(-SUMIF(INDIRECT(AD$3),'Struktur Vorjahr'!$D464,INDIRECT(AD$4))+SUMIF(INDIRECT(AD$3),'Struktur Vorjahr'!$D464,INDIRECT(AD$5)))</f>
        <v>0</v>
      </c>
      <c r="AE464" s="593">
        <f t="shared" ca="1" si="230"/>
        <v>0</v>
      </c>
      <c r="AF464" s="593">
        <f t="shared" ca="1" si="231"/>
        <v>0</v>
      </c>
      <c r="AG464" s="593">
        <f t="shared" ca="1" si="231"/>
        <v>0</v>
      </c>
      <c r="AH464" s="593">
        <f t="shared" ca="1" si="231"/>
        <v>0</v>
      </c>
      <c r="AI464" s="593">
        <f t="shared" ca="1" si="231"/>
        <v>0</v>
      </c>
      <c r="AJ464" s="593">
        <f t="shared" ca="1" si="231"/>
        <v>0</v>
      </c>
      <c r="AK464" s="593">
        <f t="shared" ca="1" si="231"/>
        <v>0</v>
      </c>
      <c r="AL464" s="593">
        <f t="shared" ca="1" si="231"/>
        <v>0</v>
      </c>
      <c r="AM464" s="593">
        <f t="shared" ca="1" si="231"/>
        <v>0</v>
      </c>
      <c r="AN464" s="593">
        <f t="shared" ca="1" si="231"/>
        <v>0</v>
      </c>
      <c r="AO464" s="593">
        <f t="shared" ca="1" si="231"/>
        <v>0</v>
      </c>
      <c r="AP464" s="593">
        <f t="shared" ca="1" si="231"/>
        <v>0</v>
      </c>
    </row>
    <row r="465" spans="1:42" s="594" customFormat="1" ht="11.25" outlineLevel="1" x14ac:dyDescent="0.2">
      <c r="A465" s="644"/>
      <c r="B465" s="591" t="str">
        <f>IF(D465&lt;&gt;"",
IF(ISERROR(MATCH(D465,'Ist Vorjahr Monat 01'!A:A,0))=FALSE,INDEX('Ist Vorjahr Monat 01'!B:B,MATCH(D465,'Ist Vorjahr Monat 01'!A:A,0)),
IF(ISERROR(MATCH(D465,'Ist Vorjahr Monat 02'!A:A,0))=FALSE,INDEX('Ist Vorjahr Monat 02'!B:B,MATCH(D465,'Ist Vorjahr Monat 02'!A:A,0)),
IF(ISERROR(MATCH(D465,'Ist Vorjahr Monat 03'!A:A,0))=FALSE,INDEX('Ist Vorjahr Monat 03'!B:B,MATCH(D465,'Ist Vorjahr Monat 03'!A:A,0)),
IF(ISERROR(MATCH(D465,'Ist Vorjahr Monat 04'!A:A,0))=FALSE,INDEX('Ist Vorjahr Monat 04'!B:B,MATCH(D465,'Ist Vorjahr Monat 04'!A:A,0)),
IF(ISERROR(MATCH(D465,'Ist Vorjahr Monat 05'!A:A,0))=FALSE,INDEX('Ist Vorjahr Monat 05'!B:B,MATCH(D465,'Ist Vorjahr Monat 05'!A:A,0)),
IF(ISERROR(MATCH(D465,'Ist Vorjahr Monat 06'!A:A,0))=FALSE,INDEX('Ist Vorjahr Monat 06'!B:B,MATCH(D465,'Ist Vorjahr Monat 06'!A:A,0)),
IF(ISERROR(MATCH(D465,'Ist Vorjahr Monat 07'!A:A,0))=FALSE,INDEX('Ist Vorjahr Monat 07'!B:B,MATCH(D465,'Ist Vorjahr Monat 07'!A:A,0)),
IF(ISERROR(MATCH(D465,'Ist Vorjahr Monat 08'!A:A,0))=FALSE,INDEX('Ist Vorjahr Monat 08'!B:B,MATCH(D465,'Ist Vorjahr Monat 08'!A:A,0)),
IF(ISERROR(MATCH(D465,'Ist Vorjahr Monat 09'!A:A,0))=FALSE,INDEX('Ist Vorjahr Monat 09'!B:B,MATCH(D465,'Ist Vorjahr Monat 09'!A:A,0)),
IF(ISERROR(MATCH(D465,'Ist Vorjahr Monat 10'!A:A,0))=FALSE,INDEX('Ist Vorjahr Monat 10'!B:B,MATCH(D465,'Ist Vorjahr Monat 10'!A:A,0)),
IF(ISERROR(MATCH(D465,'Ist Vorjahr Monat 11'!A:A,0))=FALSE,INDEX('Ist Vorjahr Monat 11'!B:B,MATCH(D465,'Ist Vorjahr Monat 11'!A:A,0)),
IF(ISERROR(MATCH(D465,'Ist Vorjahr Monat 12'!A:A,0))=FALSE,INDEX('Ist Vorjahr Monat 12'!B:B,MATCH(D465,'Ist Vorjahr Monat 12'!A:A,0)),
"{Konto unbekannt}"
)))))))))))),"")</f>
        <v/>
      </c>
      <c r="C465" s="1062"/>
      <c r="D465" s="1067"/>
      <c r="E465" s="625">
        <f t="shared" si="186"/>
        <v>1</v>
      </c>
      <c r="F465" s="626"/>
      <c r="G465" s="593">
        <f ca="1">$E465*(-SUMIF(INDIRECT(G$3),'Struktur Vorjahr'!$D465,INDIRECT(G$4))+SUMIF(INDIRECT(G$3),'Struktur Vorjahr'!$D465,INDIRECT(G$5)))</f>
        <v>0</v>
      </c>
      <c r="H465" s="593">
        <f ca="1">$E465*(-SUMIF(INDIRECT(H$3),'Struktur Vorjahr'!$D465,INDIRECT(H$4))+SUMIF(INDIRECT(H$3),'Struktur Vorjahr'!$D465,INDIRECT(H$5)))</f>
        <v>0</v>
      </c>
      <c r="I465" s="593">
        <f ca="1">$E465*(-SUMIF(INDIRECT(I$3),'Struktur Vorjahr'!$D465,INDIRECT(I$4))+SUMIF(INDIRECT(I$3),'Struktur Vorjahr'!$D465,INDIRECT(I$5)))</f>
        <v>0</v>
      </c>
      <c r="J465" s="593">
        <f ca="1">$E465*(-SUMIF(INDIRECT(J$3),'Struktur Vorjahr'!$D465,INDIRECT(J$4))+SUMIF(INDIRECT(J$3),'Struktur Vorjahr'!$D465,INDIRECT(J$5)))</f>
        <v>0</v>
      </c>
      <c r="K465" s="593">
        <f ca="1">$E465*(-SUMIF(INDIRECT(K$3),'Struktur Vorjahr'!$D465,INDIRECT(K$4))+SUMIF(INDIRECT(K$3),'Struktur Vorjahr'!$D465,INDIRECT(K$5)))</f>
        <v>0</v>
      </c>
      <c r="L465" s="593">
        <f ca="1">$E465*(-SUMIF(INDIRECT(L$3),'Struktur Vorjahr'!$D465,INDIRECT(L$4))+SUMIF(INDIRECT(L$3),'Struktur Vorjahr'!$D465,INDIRECT(L$5)))</f>
        <v>0</v>
      </c>
      <c r="M465" s="593">
        <f ca="1">$E465*(-SUMIF(INDIRECT(M$3),'Struktur Vorjahr'!$D465,INDIRECT(M$4))+SUMIF(INDIRECT(M$3),'Struktur Vorjahr'!$D465,INDIRECT(M$5)))</f>
        <v>0</v>
      </c>
      <c r="N465" s="593">
        <f ca="1">$E465*(-SUMIF(INDIRECT(N$3),'Struktur Vorjahr'!$D465,INDIRECT(N$4))+SUMIF(INDIRECT(N$3),'Struktur Vorjahr'!$D465,INDIRECT(N$5)))</f>
        <v>0</v>
      </c>
      <c r="O465" s="593">
        <f ca="1">$E465*(-SUMIF(INDIRECT(O$3),'Struktur Vorjahr'!$D465,INDIRECT(O$4))+SUMIF(INDIRECT(O$3),'Struktur Vorjahr'!$D465,INDIRECT(O$5)))</f>
        <v>0</v>
      </c>
      <c r="P465" s="593">
        <f ca="1">$E465*(-SUMIF(INDIRECT(P$3),'Struktur Vorjahr'!$D465,INDIRECT(P$4))+SUMIF(INDIRECT(P$3),'Struktur Vorjahr'!$D465,INDIRECT(P$5)))</f>
        <v>0</v>
      </c>
      <c r="Q465" s="593">
        <f ca="1">$E465*(-SUMIF(INDIRECT(Q$3),'Struktur Vorjahr'!$D465,INDIRECT(Q$4))+SUMIF(INDIRECT(Q$3),'Struktur Vorjahr'!$D465,INDIRECT(Q$5)))</f>
        <v>0</v>
      </c>
      <c r="R465" s="593">
        <f ca="1">$E465*(-SUMIF(INDIRECT(R$3),'Struktur Vorjahr'!$D465,INDIRECT(R$4))+SUMIF(INDIRECT(R$3),'Struktur Vorjahr'!$D465,INDIRECT(R$5)))</f>
        <v>0</v>
      </c>
      <c r="S465" s="593">
        <f ca="1">$E465*(-SUMIF(INDIRECT(S$3),'Struktur Vorjahr'!$D465,INDIRECT(S$4))+SUMIF(INDIRECT(S$3),'Struktur Vorjahr'!$D465,INDIRECT(S$5)))</f>
        <v>0</v>
      </c>
      <c r="T465" s="593">
        <f ca="1">$E465*(-SUMIF(INDIRECT(T$3),'Struktur Vorjahr'!$D465,INDIRECT(T$4))+SUMIF(INDIRECT(T$3),'Struktur Vorjahr'!$D465,INDIRECT(T$5)))</f>
        <v>0</v>
      </c>
      <c r="U465" s="593">
        <f ca="1">$E465*(-SUMIF(INDIRECT(U$3),'Struktur Vorjahr'!$D465,INDIRECT(U$4))+SUMIF(INDIRECT(U$3),'Struktur Vorjahr'!$D465,INDIRECT(U$5)))</f>
        <v>0</v>
      </c>
      <c r="V465" s="593">
        <f ca="1">$E465*(-SUMIF(INDIRECT(V$3),'Struktur Vorjahr'!$D465,INDIRECT(V$4))+SUMIF(INDIRECT(V$3),'Struktur Vorjahr'!$D465,INDIRECT(V$5)))</f>
        <v>0</v>
      </c>
      <c r="W465" s="593">
        <f ca="1">$E465*(-SUMIF(INDIRECT(W$3),'Struktur Vorjahr'!$D465,INDIRECT(W$4))+SUMIF(INDIRECT(W$3),'Struktur Vorjahr'!$D465,INDIRECT(W$5)))</f>
        <v>0</v>
      </c>
      <c r="X465" s="593">
        <f ca="1">$E465*(-SUMIF(INDIRECT(X$3),'Struktur Vorjahr'!$D465,INDIRECT(X$4))+SUMIF(INDIRECT(X$3),'Struktur Vorjahr'!$D465,INDIRECT(X$5)))</f>
        <v>0</v>
      </c>
      <c r="Y465" s="593">
        <f ca="1">$E465*(-SUMIF(INDIRECT(Y$3),'Struktur Vorjahr'!$D465,INDIRECT(Y$4))+SUMIF(INDIRECT(Y$3),'Struktur Vorjahr'!$D465,INDIRECT(Y$5)))</f>
        <v>0</v>
      </c>
      <c r="Z465" s="593">
        <f ca="1">$E465*(-SUMIF(INDIRECT(Z$3),'Struktur Vorjahr'!$D465,INDIRECT(Z$4))+SUMIF(INDIRECT(Z$3),'Struktur Vorjahr'!$D465,INDIRECT(Z$5)))</f>
        <v>0</v>
      </c>
      <c r="AA465" s="593">
        <f ca="1">$E465*(-SUMIF(INDIRECT(AA$3),'Struktur Vorjahr'!$D465,INDIRECT(AA$4))+SUMIF(INDIRECT(AA$3),'Struktur Vorjahr'!$D465,INDIRECT(AA$5)))</f>
        <v>0</v>
      </c>
      <c r="AB465" s="593">
        <f ca="1">$E465*(-SUMIF(INDIRECT(AB$3),'Struktur Vorjahr'!$D465,INDIRECT(AB$4))+SUMIF(INDIRECT(AB$3),'Struktur Vorjahr'!$D465,INDIRECT(AB$5)))</f>
        <v>0</v>
      </c>
      <c r="AC465" s="593">
        <f ca="1">$E465*(-SUMIF(INDIRECT(AC$3),'Struktur Vorjahr'!$D465,INDIRECT(AC$4))+SUMIF(INDIRECT(AC$3),'Struktur Vorjahr'!$D465,INDIRECT(AC$5)))</f>
        <v>0</v>
      </c>
      <c r="AD465" s="593">
        <f ca="1">$E465*(-SUMIF(INDIRECT(AD$3),'Struktur Vorjahr'!$D465,INDIRECT(AD$4))+SUMIF(INDIRECT(AD$3),'Struktur Vorjahr'!$D465,INDIRECT(AD$5)))</f>
        <v>0</v>
      </c>
      <c r="AE465" s="593">
        <f t="shared" ca="1" si="230"/>
        <v>0</v>
      </c>
      <c r="AF465" s="593">
        <f t="shared" ca="1" si="231"/>
        <v>0</v>
      </c>
      <c r="AG465" s="593">
        <f t="shared" ca="1" si="231"/>
        <v>0</v>
      </c>
      <c r="AH465" s="593">
        <f t="shared" ca="1" si="231"/>
        <v>0</v>
      </c>
      <c r="AI465" s="593">
        <f t="shared" ca="1" si="231"/>
        <v>0</v>
      </c>
      <c r="AJ465" s="593">
        <f t="shared" ca="1" si="231"/>
        <v>0</v>
      </c>
      <c r="AK465" s="593">
        <f t="shared" ca="1" si="231"/>
        <v>0</v>
      </c>
      <c r="AL465" s="593">
        <f t="shared" ca="1" si="231"/>
        <v>0</v>
      </c>
      <c r="AM465" s="593">
        <f t="shared" ca="1" si="231"/>
        <v>0</v>
      </c>
      <c r="AN465" s="593">
        <f t="shared" ca="1" si="231"/>
        <v>0</v>
      </c>
      <c r="AO465" s="593">
        <f t="shared" ca="1" si="231"/>
        <v>0</v>
      </c>
      <c r="AP465" s="593">
        <f t="shared" ca="1" si="231"/>
        <v>0</v>
      </c>
    </row>
    <row r="466" spans="1:42" s="594" customFormat="1" ht="11.25" outlineLevel="1" x14ac:dyDescent="0.2">
      <c r="A466" s="644"/>
      <c r="B466" s="591" t="str">
        <f>IF(D466&lt;&gt;"",
IF(ISERROR(MATCH(D466,'Ist Vorjahr Monat 01'!A:A,0))=FALSE,INDEX('Ist Vorjahr Monat 01'!B:B,MATCH(D466,'Ist Vorjahr Monat 01'!A:A,0)),
IF(ISERROR(MATCH(D466,'Ist Vorjahr Monat 02'!A:A,0))=FALSE,INDEX('Ist Vorjahr Monat 02'!B:B,MATCH(D466,'Ist Vorjahr Monat 02'!A:A,0)),
IF(ISERROR(MATCH(D466,'Ist Vorjahr Monat 03'!A:A,0))=FALSE,INDEX('Ist Vorjahr Monat 03'!B:B,MATCH(D466,'Ist Vorjahr Monat 03'!A:A,0)),
IF(ISERROR(MATCH(D466,'Ist Vorjahr Monat 04'!A:A,0))=FALSE,INDEX('Ist Vorjahr Monat 04'!B:B,MATCH(D466,'Ist Vorjahr Monat 04'!A:A,0)),
IF(ISERROR(MATCH(D466,'Ist Vorjahr Monat 05'!A:A,0))=FALSE,INDEX('Ist Vorjahr Monat 05'!B:B,MATCH(D466,'Ist Vorjahr Monat 05'!A:A,0)),
IF(ISERROR(MATCH(D466,'Ist Vorjahr Monat 06'!A:A,0))=FALSE,INDEX('Ist Vorjahr Monat 06'!B:B,MATCH(D466,'Ist Vorjahr Monat 06'!A:A,0)),
IF(ISERROR(MATCH(D466,'Ist Vorjahr Monat 07'!A:A,0))=FALSE,INDEX('Ist Vorjahr Monat 07'!B:B,MATCH(D466,'Ist Vorjahr Monat 07'!A:A,0)),
IF(ISERROR(MATCH(D466,'Ist Vorjahr Monat 08'!A:A,0))=FALSE,INDEX('Ist Vorjahr Monat 08'!B:B,MATCH(D466,'Ist Vorjahr Monat 08'!A:A,0)),
IF(ISERROR(MATCH(D466,'Ist Vorjahr Monat 09'!A:A,0))=FALSE,INDEX('Ist Vorjahr Monat 09'!B:B,MATCH(D466,'Ist Vorjahr Monat 09'!A:A,0)),
IF(ISERROR(MATCH(D466,'Ist Vorjahr Monat 10'!A:A,0))=FALSE,INDEX('Ist Vorjahr Monat 10'!B:B,MATCH(D466,'Ist Vorjahr Monat 10'!A:A,0)),
IF(ISERROR(MATCH(D466,'Ist Vorjahr Monat 11'!A:A,0))=FALSE,INDEX('Ist Vorjahr Monat 11'!B:B,MATCH(D466,'Ist Vorjahr Monat 11'!A:A,0)),
IF(ISERROR(MATCH(D466,'Ist Vorjahr Monat 12'!A:A,0))=FALSE,INDEX('Ist Vorjahr Monat 12'!B:B,MATCH(D466,'Ist Vorjahr Monat 12'!A:A,0)),
"{Konto unbekannt}"
)))))))))))),"")</f>
        <v/>
      </c>
      <c r="C466" s="1062"/>
      <c r="D466" s="1067"/>
      <c r="E466" s="625">
        <f t="shared" si="186"/>
        <v>1</v>
      </c>
      <c r="F466" s="626"/>
      <c r="G466" s="593">
        <f ca="1">$E466*(-SUMIF(INDIRECT(G$3),'Struktur Vorjahr'!$D466,INDIRECT(G$4))+SUMIF(INDIRECT(G$3),'Struktur Vorjahr'!$D466,INDIRECT(G$5)))</f>
        <v>0</v>
      </c>
      <c r="H466" s="593">
        <f ca="1">$E466*(-SUMIF(INDIRECT(H$3),'Struktur Vorjahr'!$D466,INDIRECT(H$4))+SUMIF(INDIRECT(H$3),'Struktur Vorjahr'!$D466,INDIRECT(H$5)))</f>
        <v>0</v>
      </c>
      <c r="I466" s="593">
        <f ca="1">$E466*(-SUMIF(INDIRECT(I$3),'Struktur Vorjahr'!$D466,INDIRECT(I$4))+SUMIF(INDIRECT(I$3),'Struktur Vorjahr'!$D466,INDIRECT(I$5)))</f>
        <v>0</v>
      </c>
      <c r="J466" s="593">
        <f ca="1">$E466*(-SUMIF(INDIRECT(J$3),'Struktur Vorjahr'!$D466,INDIRECT(J$4))+SUMIF(INDIRECT(J$3),'Struktur Vorjahr'!$D466,INDIRECT(J$5)))</f>
        <v>0</v>
      </c>
      <c r="K466" s="593">
        <f ca="1">$E466*(-SUMIF(INDIRECT(K$3),'Struktur Vorjahr'!$D466,INDIRECT(K$4))+SUMIF(INDIRECT(K$3),'Struktur Vorjahr'!$D466,INDIRECT(K$5)))</f>
        <v>0</v>
      </c>
      <c r="L466" s="593">
        <f ca="1">$E466*(-SUMIF(INDIRECT(L$3),'Struktur Vorjahr'!$D466,INDIRECT(L$4))+SUMIF(INDIRECT(L$3),'Struktur Vorjahr'!$D466,INDIRECT(L$5)))</f>
        <v>0</v>
      </c>
      <c r="M466" s="593">
        <f ca="1">$E466*(-SUMIF(INDIRECT(M$3),'Struktur Vorjahr'!$D466,INDIRECT(M$4))+SUMIF(INDIRECT(M$3),'Struktur Vorjahr'!$D466,INDIRECT(M$5)))</f>
        <v>0</v>
      </c>
      <c r="N466" s="593">
        <f ca="1">$E466*(-SUMIF(INDIRECT(N$3),'Struktur Vorjahr'!$D466,INDIRECT(N$4))+SUMIF(INDIRECT(N$3),'Struktur Vorjahr'!$D466,INDIRECT(N$5)))</f>
        <v>0</v>
      </c>
      <c r="O466" s="593">
        <f ca="1">$E466*(-SUMIF(INDIRECT(O$3),'Struktur Vorjahr'!$D466,INDIRECT(O$4))+SUMIF(INDIRECT(O$3),'Struktur Vorjahr'!$D466,INDIRECT(O$5)))</f>
        <v>0</v>
      </c>
      <c r="P466" s="593">
        <f ca="1">$E466*(-SUMIF(INDIRECT(P$3),'Struktur Vorjahr'!$D466,INDIRECT(P$4))+SUMIF(INDIRECT(P$3),'Struktur Vorjahr'!$D466,INDIRECT(P$5)))</f>
        <v>0</v>
      </c>
      <c r="Q466" s="593">
        <f ca="1">$E466*(-SUMIF(INDIRECT(Q$3),'Struktur Vorjahr'!$D466,INDIRECT(Q$4))+SUMIF(INDIRECT(Q$3),'Struktur Vorjahr'!$D466,INDIRECT(Q$5)))</f>
        <v>0</v>
      </c>
      <c r="R466" s="593">
        <f ca="1">$E466*(-SUMIF(INDIRECT(R$3),'Struktur Vorjahr'!$D466,INDIRECT(R$4))+SUMIF(INDIRECT(R$3),'Struktur Vorjahr'!$D466,INDIRECT(R$5)))</f>
        <v>0</v>
      </c>
      <c r="S466" s="593">
        <f ca="1">$E466*(-SUMIF(INDIRECT(S$3),'Struktur Vorjahr'!$D466,INDIRECT(S$4))+SUMIF(INDIRECT(S$3),'Struktur Vorjahr'!$D466,INDIRECT(S$5)))</f>
        <v>0</v>
      </c>
      <c r="T466" s="593">
        <f ca="1">$E466*(-SUMIF(INDIRECT(T$3),'Struktur Vorjahr'!$D466,INDIRECT(T$4))+SUMIF(INDIRECT(T$3),'Struktur Vorjahr'!$D466,INDIRECT(T$5)))</f>
        <v>0</v>
      </c>
      <c r="U466" s="593">
        <f ca="1">$E466*(-SUMIF(INDIRECT(U$3),'Struktur Vorjahr'!$D466,INDIRECT(U$4))+SUMIF(INDIRECT(U$3),'Struktur Vorjahr'!$D466,INDIRECT(U$5)))</f>
        <v>0</v>
      </c>
      <c r="V466" s="593">
        <f ca="1">$E466*(-SUMIF(INDIRECT(V$3),'Struktur Vorjahr'!$D466,INDIRECT(V$4))+SUMIF(INDIRECT(V$3),'Struktur Vorjahr'!$D466,INDIRECT(V$5)))</f>
        <v>0</v>
      </c>
      <c r="W466" s="593">
        <f ca="1">$E466*(-SUMIF(INDIRECT(W$3),'Struktur Vorjahr'!$D466,INDIRECT(W$4))+SUMIF(INDIRECT(W$3),'Struktur Vorjahr'!$D466,INDIRECT(W$5)))</f>
        <v>0</v>
      </c>
      <c r="X466" s="593">
        <f ca="1">$E466*(-SUMIF(INDIRECT(X$3),'Struktur Vorjahr'!$D466,INDIRECT(X$4))+SUMIF(INDIRECT(X$3),'Struktur Vorjahr'!$D466,INDIRECT(X$5)))</f>
        <v>0</v>
      </c>
      <c r="Y466" s="593">
        <f ca="1">$E466*(-SUMIF(INDIRECT(Y$3),'Struktur Vorjahr'!$D466,INDIRECT(Y$4))+SUMIF(INDIRECT(Y$3),'Struktur Vorjahr'!$D466,INDIRECT(Y$5)))</f>
        <v>0</v>
      </c>
      <c r="Z466" s="593">
        <f ca="1">$E466*(-SUMIF(INDIRECT(Z$3),'Struktur Vorjahr'!$D466,INDIRECT(Z$4))+SUMIF(INDIRECT(Z$3),'Struktur Vorjahr'!$D466,INDIRECT(Z$5)))</f>
        <v>0</v>
      </c>
      <c r="AA466" s="593">
        <f ca="1">$E466*(-SUMIF(INDIRECT(AA$3),'Struktur Vorjahr'!$D466,INDIRECT(AA$4))+SUMIF(INDIRECT(AA$3),'Struktur Vorjahr'!$D466,INDIRECT(AA$5)))</f>
        <v>0</v>
      </c>
      <c r="AB466" s="593">
        <f ca="1">$E466*(-SUMIF(INDIRECT(AB$3),'Struktur Vorjahr'!$D466,INDIRECT(AB$4))+SUMIF(INDIRECT(AB$3),'Struktur Vorjahr'!$D466,INDIRECT(AB$5)))</f>
        <v>0</v>
      </c>
      <c r="AC466" s="593">
        <f ca="1">$E466*(-SUMIF(INDIRECT(AC$3),'Struktur Vorjahr'!$D466,INDIRECT(AC$4))+SUMIF(INDIRECT(AC$3),'Struktur Vorjahr'!$D466,INDIRECT(AC$5)))</f>
        <v>0</v>
      </c>
      <c r="AD466" s="593">
        <f ca="1">$E466*(-SUMIF(INDIRECT(AD$3),'Struktur Vorjahr'!$D466,INDIRECT(AD$4))+SUMIF(INDIRECT(AD$3),'Struktur Vorjahr'!$D466,INDIRECT(AD$5)))</f>
        <v>0</v>
      </c>
      <c r="AE466" s="593">
        <f t="shared" ca="1" si="230"/>
        <v>0</v>
      </c>
      <c r="AF466" s="593">
        <f t="shared" ca="1" si="231"/>
        <v>0</v>
      </c>
      <c r="AG466" s="593">
        <f t="shared" ca="1" si="231"/>
        <v>0</v>
      </c>
      <c r="AH466" s="593">
        <f t="shared" ca="1" si="231"/>
        <v>0</v>
      </c>
      <c r="AI466" s="593">
        <f t="shared" ca="1" si="231"/>
        <v>0</v>
      </c>
      <c r="AJ466" s="593">
        <f t="shared" ca="1" si="231"/>
        <v>0</v>
      </c>
      <c r="AK466" s="593">
        <f t="shared" ca="1" si="231"/>
        <v>0</v>
      </c>
      <c r="AL466" s="593">
        <f t="shared" ca="1" si="231"/>
        <v>0</v>
      </c>
      <c r="AM466" s="593">
        <f t="shared" ca="1" si="231"/>
        <v>0</v>
      </c>
      <c r="AN466" s="593">
        <f t="shared" ca="1" si="231"/>
        <v>0</v>
      </c>
      <c r="AO466" s="593">
        <f t="shared" ca="1" si="231"/>
        <v>0</v>
      </c>
      <c r="AP466" s="593">
        <f t="shared" ca="1" si="231"/>
        <v>0</v>
      </c>
    </row>
    <row r="467" spans="1:42" s="594" customFormat="1" ht="11.25" outlineLevel="1" x14ac:dyDescent="0.2">
      <c r="A467" s="644"/>
      <c r="B467" s="591" t="str">
        <f>IF(D467&lt;&gt;"",
IF(ISERROR(MATCH(D467,'Ist Vorjahr Monat 01'!A:A,0))=FALSE,INDEX('Ist Vorjahr Monat 01'!B:B,MATCH(D467,'Ist Vorjahr Monat 01'!A:A,0)),
IF(ISERROR(MATCH(D467,'Ist Vorjahr Monat 02'!A:A,0))=FALSE,INDEX('Ist Vorjahr Monat 02'!B:B,MATCH(D467,'Ist Vorjahr Monat 02'!A:A,0)),
IF(ISERROR(MATCH(D467,'Ist Vorjahr Monat 03'!A:A,0))=FALSE,INDEX('Ist Vorjahr Monat 03'!B:B,MATCH(D467,'Ist Vorjahr Monat 03'!A:A,0)),
IF(ISERROR(MATCH(D467,'Ist Vorjahr Monat 04'!A:A,0))=FALSE,INDEX('Ist Vorjahr Monat 04'!B:B,MATCH(D467,'Ist Vorjahr Monat 04'!A:A,0)),
IF(ISERROR(MATCH(D467,'Ist Vorjahr Monat 05'!A:A,0))=FALSE,INDEX('Ist Vorjahr Monat 05'!B:B,MATCH(D467,'Ist Vorjahr Monat 05'!A:A,0)),
IF(ISERROR(MATCH(D467,'Ist Vorjahr Monat 06'!A:A,0))=FALSE,INDEX('Ist Vorjahr Monat 06'!B:B,MATCH(D467,'Ist Vorjahr Monat 06'!A:A,0)),
IF(ISERROR(MATCH(D467,'Ist Vorjahr Monat 07'!A:A,0))=FALSE,INDEX('Ist Vorjahr Monat 07'!B:B,MATCH(D467,'Ist Vorjahr Monat 07'!A:A,0)),
IF(ISERROR(MATCH(D467,'Ist Vorjahr Monat 08'!A:A,0))=FALSE,INDEX('Ist Vorjahr Monat 08'!B:B,MATCH(D467,'Ist Vorjahr Monat 08'!A:A,0)),
IF(ISERROR(MATCH(D467,'Ist Vorjahr Monat 09'!A:A,0))=FALSE,INDEX('Ist Vorjahr Monat 09'!B:B,MATCH(D467,'Ist Vorjahr Monat 09'!A:A,0)),
IF(ISERROR(MATCH(D467,'Ist Vorjahr Monat 10'!A:A,0))=FALSE,INDEX('Ist Vorjahr Monat 10'!B:B,MATCH(D467,'Ist Vorjahr Monat 10'!A:A,0)),
IF(ISERROR(MATCH(D467,'Ist Vorjahr Monat 11'!A:A,0))=FALSE,INDEX('Ist Vorjahr Monat 11'!B:B,MATCH(D467,'Ist Vorjahr Monat 11'!A:A,0)),
IF(ISERROR(MATCH(D467,'Ist Vorjahr Monat 12'!A:A,0))=FALSE,INDEX('Ist Vorjahr Monat 12'!B:B,MATCH(D467,'Ist Vorjahr Monat 12'!A:A,0)),
"{Konto unbekannt}"
)))))))))))),"")</f>
        <v/>
      </c>
      <c r="C467" s="1062"/>
      <c r="D467" s="1067"/>
      <c r="E467" s="625">
        <f t="shared" si="186"/>
        <v>1</v>
      </c>
      <c r="F467" s="626"/>
      <c r="G467" s="593">
        <f ca="1">$E467*(-SUMIF(INDIRECT(G$3),'Struktur Vorjahr'!$D467,INDIRECT(G$4))+SUMIF(INDIRECT(G$3),'Struktur Vorjahr'!$D467,INDIRECT(G$5)))</f>
        <v>0</v>
      </c>
      <c r="H467" s="593">
        <f ca="1">$E467*(-SUMIF(INDIRECT(H$3),'Struktur Vorjahr'!$D467,INDIRECT(H$4))+SUMIF(INDIRECT(H$3),'Struktur Vorjahr'!$D467,INDIRECT(H$5)))</f>
        <v>0</v>
      </c>
      <c r="I467" s="593">
        <f ca="1">$E467*(-SUMIF(INDIRECT(I$3),'Struktur Vorjahr'!$D467,INDIRECT(I$4))+SUMIF(INDIRECT(I$3),'Struktur Vorjahr'!$D467,INDIRECT(I$5)))</f>
        <v>0</v>
      </c>
      <c r="J467" s="593">
        <f ca="1">$E467*(-SUMIF(INDIRECT(J$3),'Struktur Vorjahr'!$D467,INDIRECT(J$4))+SUMIF(INDIRECT(J$3),'Struktur Vorjahr'!$D467,INDIRECT(J$5)))</f>
        <v>0</v>
      </c>
      <c r="K467" s="593">
        <f ca="1">$E467*(-SUMIF(INDIRECT(K$3),'Struktur Vorjahr'!$D467,INDIRECT(K$4))+SUMIF(INDIRECT(K$3),'Struktur Vorjahr'!$D467,INDIRECT(K$5)))</f>
        <v>0</v>
      </c>
      <c r="L467" s="593">
        <f ca="1">$E467*(-SUMIF(INDIRECT(L$3),'Struktur Vorjahr'!$D467,INDIRECT(L$4))+SUMIF(INDIRECT(L$3),'Struktur Vorjahr'!$D467,INDIRECT(L$5)))</f>
        <v>0</v>
      </c>
      <c r="M467" s="593">
        <f ca="1">$E467*(-SUMIF(INDIRECT(M$3),'Struktur Vorjahr'!$D467,INDIRECT(M$4))+SUMIF(INDIRECT(M$3),'Struktur Vorjahr'!$D467,INDIRECT(M$5)))</f>
        <v>0</v>
      </c>
      <c r="N467" s="593">
        <f ca="1">$E467*(-SUMIF(INDIRECT(N$3),'Struktur Vorjahr'!$D467,INDIRECT(N$4))+SUMIF(INDIRECT(N$3),'Struktur Vorjahr'!$D467,INDIRECT(N$5)))</f>
        <v>0</v>
      </c>
      <c r="O467" s="593">
        <f ca="1">$E467*(-SUMIF(INDIRECT(O$3),'Struktur Vorjahr'!$D467,INDIRECT(O$4))+SUMIF(INDIRECT(O$3),'Struktur Vorjahr'!$D467,INDIRECT(O$5)))</f>
        <v>0</v>
      </c>
      <c r="P467" s="593">
        <f ca="1">$E467*(-SUMIF(INDIRECT(P$3),'Struktur Vorjahr'!$D467,INDIRECT(P$4))+SUMIF(INDIRECT(P$3),'Struktur Vorjahr'!$D467,INDIRECT(P$5)))</f>
        <v>0</v>
      </c>
      <c r="Q467" s="593">
        <f ca="1">$E467*(-SUMIF(INDIRECT(Q$3),'Struktur Vorjahr'!$D467,INDIRECT(Q$4))+SUMIF(INDIRECT(Q$3),'Struktur Vorjahr'!$D467,INDIRECT(Q$5)))</f>
        <v>0</v>
      </c>
      <c r="R467" s="593">
        <f ca="1">$E467*(-SUMIF(INDIRECT(R$3),'Struktur Vorjahr'!$D467,INDIRECT(R$4))+SUMIF(INDIRECT(R$3),'Struktur Vorjahr'!$D467,INDIRECT(R$5)))</f>
        <v>0</v>
      </c>
      <c r="S467" s="593">
        <f ca="1">$E467*(-SUMIF(INDIRECT(S$3),'Struktur Vorjahr'!$D467,INDIRECT(S$4))+SUMIF(INDIRECT(S$3),'Struktur Vorjahr'!$D467,INDIRECT(S$5)))</f>
        <v>0</v>
      </c>
      <c r="T467" s="593">
        <f ca="1">$E467*(-SUMIF(INDIRECT(T$3),'Struktur Vorjahr'!$D467,INDIRECT(T$4))+SUMIF(INDIRECT(T$3),'Struktur Vorjahr'!$D467,INDIRECT(T$5)))</f>
        <v>0</v>
      </c>
      <c r="U467" s="593">
        <f ca="1">$E467*(-SUMIF(INDIRECT(U$3),'Struktur Vorjahr'!$D467,INDIRECT(U$4))+SUMIF(INDIRECT(U$3),'Struktur Vorjahr'!$D467,INDIRECT(U$5)))</f>
        <v>0</v>
      </c>
      <c r="V467" s="593">
        <f ca="1">$E467*(-SUMIF(INDIRECT(V$3),'Struktur Vorjahr'!$D467,INDIRECT(V$4))+SUMIF(INDIRECT(V$3),'Struktur Vorjahr'!$D467,INDIRECT(V$5)))</f>
        <v>0</v>
      </c>
      <c r="W467" s="593">
        <f ca="1">$E467*(-SUMIF(INDIRECT(W$3),'Struktur Vorjahr'!$D467,INDIRECT(W$4))+SUMIF(INDIRECT(W$3),'Struktur Vorjahr'!$D467,INDIRECT(W$5)))</f>
        <v>0</v>
      </c>
      <c r="X467" s="593">
        <f ca="1">$E467*(-SUMIF(INDIRECT(X$3),'Struktur Vorjahr'!$D467,INDIRECT(X$4))+SUMIF(INDIRECT(X$3),'Struktur Vorjahr'!$D467,INDIRECT(X$5)))</f>
        <v>0</v>
      </c>
      <c r="Y467" s="593">
        <f ca="1">$E467*(-SUMIF(INDIRECT(Y$3),'Struktur Vorjahr'!$D467,INDIRECT(Y$4))+SUMIF(INDIRECT(Y$3),'Struktur Vorjahr'!$D467,INDIRECT(Y$5)))</f>
        <v>0</v>
      </c>
      <c r="Z467" s="593">
        <f ca="1">$E467*(-SUMIF(INDIRECT(Z$3),'Struktur Vorjahr'!$D467,INDIRECT(Z$4))+SUMIF(INDIRECT(Z$3),'Struktur Vorjahr'!$D467,INDIRECT(Z$5)))</f>
        <v>0</v>
      </c>
      <c r="AA467" s="593">
        <f ca="1">$E467*(-SUMIF(INDIRECT(AA$3),'Struktur Vorjahr'!$D467,INDIRECT(AA$4))+SUMIF(INDIRECT(AA$3),'Struktur Vorjahr'!$D467,INDIRECT(AA$5)))</f>
        <v>0</v>
      </c>
      <c r="AB467" s="593">
        <f ca="1">$E467*(-SUMIF(INDIRECT(AB$3),'Struktur Vorjahr'!$D467,INDIRECT(AB$4))+SUMIF(INDIRECT(AB$3),'Struktur Vorjahr'!$D467,INDIRECT(AB$5)))</f>
        <v>0</v>
      </c>
      <c r="AC467" s="593">
        <f ca="1">$E467*(-SUMIF(INDIRECT(AC$3),'Struktur Vorjahr'!$D467,INDIRECT(AC$4))+SUMIF(INDIRECT(AC$3),'Struktur Vorjahr'!$D467,INDIRECT(AC$5)))</f>
        <v>0</v>
      </c>
      <c r="AD467" s="593">
        <f ca="1">$E467*(-SUMIF(INDIRECT(AD$3),'Struktur Vorjahr'!$D467,INDIRECT(AD$4))+SUMIF(INDIRECT(AD$3),'Struktur Vorjahr'!$D467,INDIRECT(AD$5)))</f>
        <v>0</v>
      </c>
      <c r="AE467" s="593">
        <f t="shared" ca="1" si="230"/>
        <v>0</v>
      </c>
      <c r="AF467" s="593">
        <f t="shared" ca="1" si="231"/>
        <v>0</v>
      </c>
      <c r="AG467" s="593">
        <f t="shared" ca="1" si="231"/>
        <v>0</v>
      </c>
      <c r="AH467" s="593">
        <f t="shared" ca="1" si="231"/>
        <v>0</v>
      </c>
      <c r="AI467" s="593">
        <f t="shared" ca="1" si="231"/>
        <v>0</v>
      </c>
      <c r="AJ467" s="593">
        <f t="shared" ca="1" si="231"/>
        <v>0</v>
      </c>
      <c r="AK467" s="593">
        <f t="shared" ca="1" si="231"/>
        <v>0</v>
      </c>
      <c r="AL467" s="593">
        <f t="shared" ca="1" si="231"/>
        <v>0</v>
      </c>
      <c r="AM467" s="593">
        <f t="shared" ca="1" si="231"/>
        <v>0</v>
      </c>
      <c r="AN467" s="593">
        <f t="shared" ca="1" si="231"/>
        <v>0</v>
      </c>
      <c r="AO467" s="593">
        <f t="shared" ca="1" si="231"/>
        <v>0</v>
      </c>
      <c r="AP467" s="593">
        <f t="shared" ca="1" si="231"/>
        <v>0</v>
      </c>
    </row>
    <row r="468" spans="1:42" s="594" customFormat="1" ht="11.25" outlineLevel="1" x14ac:dyDescent="0.2">
      <c r="A468" s="644"/>
      <c r="B468" s="591" t="str">
        <f>IF(D468&lt;&gt;"",
IF(ISERROR(MATCH(D468,'Ist Vorjahr Monat 01'!A:A,0))=FALSE,INDEX('Ist Vorjahr Monat 01'!B:B,MATCH(D468,'Ist Vorjahr Monat 01'!A:A,0)),
IF(ISERROR(MATCH(D468,'Ist Vorjahr Monat 02'!A:A,0))=FALSE,INDEX('Ist Vorjahr Monat 02'!B:B,MATCH(D468,'Ist Vorjahr Monat 02'!A:A,0)),
IF(ISERROR(MATCH(D468,'Ist Vorjahr Monat 03'!A:A,0))=FALSE,INDEX('Ist Vorjahr Monat 03'!B:B,MATCH(D468,'Ist Vorjahr Monat 03'!A:A,0)),
IF(ISERROR(MATCH(D468,'Ist Vorjahr Monat 04'!A:A,0))=FALSE,INDEX('Ist Vorjahr Monat 04'!B:B,MATCH(D468,'Ist Vorjahr Monat 04'!A:A,0)),
IF(ISERROR(MATCH(D468,'Ist Vorjahr Monat 05'!A:A,0))=FALSE,INDEX('Ist Vorjahr Monat 05'!B:B,MATCH(D468,'Ist Vorjahr Monat 05'!A:A,0)),
IF(ISERROR(MATCH(D468,'Ist Vorjahr Monat 06'!A:A,0))=FALSE,INDEX('Ist Vorjahr Monat 06'!B:B,MATCH(D468,'Ist Vorjahr Monat 06'!A:A,0)),
IF(ISERROR(MATCH(D468,'Ist Vorjahr Monat 07'!A:A,0))=FALSE,INDEX('Ist Vorjahr Monat 07'!B:B,MATCH(D468,'Ist Vorjahr Monat 07'!A:A,0)),
IF(ISERROR(MATCH(D468,'Ist Vorjahr Monat 08'!A:A,0))=FALSE,INDEX('Ist Vorjahr Monat 08'!B:B,MATCH(D468,'Ist Vorjahr Monat 08'!A:A,0)),
IF(ISERROR(MATCH(D468,'Ist Vorjahr Monat 09'!A:A,0))=FALSE,INDEX('Ist Vorjahr Monat 09'!B:B,MATCH(D468,'Ist Vorjahr Monat 09'!A:A,0)),
IF(ISERROR(MATCH(D468,'Ist Vorjahr Monat 10'!A:A,0))=FALSE,INDEX('Ist Vorjahr Monat 10'!B:B,MATCH(D468,'Ist Vorjahr Monat 10'!A:A,0)),
IF(ISERROR(MATCH(D468,'Ist Vorjahr Monat 11'!A:A,0))=FALSE,INDEX('Ist Vorjahr Monat 11'!B:B,MATCH(D468,'Ist Vorjahr Monat 11'!A:A,0)),
IF(ISERROR(MATCH(D468,'Ist Vorjahr Monat 12'!A:A,0))=FALSE,INDEX('Ist Vorjahr Monat 12'!B:B,MATCH(D468,'Ist Vorjahr Monat 12'!A:A,0)),
"{Konto unbekannt}"
)))))))))))),"")</f>
        <v/>
      </c>
      <c r="C468" s="1062"/>
      <c r="D468" s="1067"/>
      <c r="E468" s="625">
        <f t="shared" si="186"/>
        <v>1</v>
      </c>
      <c r="F468" s="626"/>
      <c r="G468" s="593">
        <f ca="1">$E468*(-SUMIF(INDIRECT(G$3),'Struktur Vorjahr'!$D468,INDIRECT(G$4))+SUMIF(INDIRECT(G$3),'Struktur Vorjahr'!$D468,INDIRECT(G$5)))</f>
        <v>0</v>
      </c>
      <c r="H468" s="593">
        <f ca="1">$E468*(-SUMIF(INDIRECT(H$3),'Struktur Vorjahr'!$D468,INDIRECT(H$4))+SUMIF(INDIRECT(H$3),'Struktur Vorjahr'!$D468,INDIRECT(H$5)))</f>
        <v>0</v>
      </c>
      <c r="I468" s="593">
        <f ca="1">$E468*(-SUMIF(INDIRECT(I$3),'Struktur Vorjahr'!$D468,INDIRECT(I$4))+SUMIF(INDIRECT(I$3),'Struktur Vorjahr'!$D468,INDIRECT(I$5)))</f>
        <v>0</v>
      </c>
      <c r="J468" s="593">
        <f ca="1">$E468*(-SUMIF(INDIRECT(J$3),'Struktur Vorjahr'!$D468,INDIRECT(J$4))+SUMIF(INDIRECT(J$3),'Struktur Vorjahr'!$D468,INDIRECT(J$5)))</f>
        <v>0</v>
      </c>
      <c r="K468" s="593">
        <f ca="1">$E468*(-SUMIF(INDIRECT(K$3),'Struktur Vorjahr'!$D468,INDIRECT(K$4))+SUMIF(INDIRECT(K$3),'Struktur Vorjahr'!$D468,INDIRECT(K$5)))</f>
        <v>0</v>
      </c>
      <c r="L468" s="593">
        <f ca="1">$E468*(-SUMIF(INDIRECT(L$3),'Struktur Vorjahr'!$D468,INDIRECT(L$4))+SUMIF(INDIRECT(L$3),'Struktur Vorjahr'!$D468,INDIRECT(L$5)))</f>
        <v>0</v>
      </c>
      <c r="M468" s="593">
        <f ca="1">$E468*(-SUMIF(INDIRECT(M$3),'Struktur Vorjahr'!$D468,INDIRECT(M$4))+SUMIF(INDIRECT(M$3),'Struktur Vorjahr'!$D468,INDIRECT(M$5)))</f>
        <v>0</v>
      </c>
      <c r="N468" s="593">
        <f ca="1">$E468*(-SUMIF(INDIRECT(N$3),'Struktur Vorjahr'!$D468,INDIRECT(N$4))+SUMIF(INDIRECT(N$3),'Struktur Vorjahr'!$D468,INDIRECT(N$5)))</f>
        <v>0</v>
      </c>
      <c r="O468" s="593">
        <f ca="1">$E468*(-SUMIF(INDIRECT(O$3),'Struktur Vorjahr'!$D468,INDIRECT(O$4))+SUMIF(INDIRECT(O$3),'Struktur Vorjahr'!$D468,INDIRECT(O$5)))</f>
        <v>0</v>
      </c>
      <c r="P468" s="593">
        <f ca="1">$E468*(-SUMIF(INDIRECT(P$3),'Struktur Vorjahr'!$D468,INDIRECT(P$4))+SUMIF(INDIRECT(P$3),'Struktur Vorjahr'!$D468,INDIRECT(P$5)))</f>
        <v>0</v>
      </c>
      <c r="Q468" s="593">
        <f ca="1">$E468*(-SUMIF(INDIRECT(Q$3),'Struktur Vorjahr'!$D468,INDIRECT(Q$4))+SUMIF(INDIRECT(Q$3),'Struktur Vorjahr'!$D468,INDIRECT(Q$5)))</f>
        <v>0</v>
      </c>
      <c r="R468" s="593">
        <f ca="1">$E468*(-SUMIF(INDIRECT(R$3),'Struktur Vorjahr'!$D468,INDIRECT(R$4))+SUMIF(INDIRECT(R$3),'Struktur Vorjahr'!$D468,INDIRECT(R$5)))</f>
        <v>0</v>
      </c>
      <c r="S468" s="593">
        <f ca="1">$E468*(-SUMIF(INDIRECT(S$3),'Struktur Vorjahr'!$D468,INDIRECT(S$4))+SUMIF(INDIRECT(S$3),'Struktur Vorjahr'!$D468,INDIRECT(S$5)))</f>
        <v>0</v>
      </c>
      <c r="T468" s="593">
        <f ca="1">$E468*(-SUMIF(INDIRECT(T$3),'Struktur Vorjahr'!$D468,INDIRECT(T$4))+SUMIF(INDIRECT(T$3),'Struktur Vorjahr'!$D468,INDIRECT(T$5)))</f>
        <v>0</v>
      </c>
      <c r="U468" s="593">
        <f ca="1">$E468*(-SUMIF(INDIRECT(U$3),'Struktur Vorjahr'!$D468,INDIRECT(U$4))+SUMIF(INDIRECT(U$3),'Struktur Vorjahr'!$D468,INDIRECT(U$5)))</f>
        <v>0</v>
      </c>
      <c r="V468" s="593">
        <f ca="1">$E468*(-SUMIF(INDIRECT(V$3),'Struktur Vorjahr'!$D468,INDIRECT(V$4))+SUMIF(INDIRECT(V$3),'Struktur Vorjahr'!$D468,INDIRECT(V$5)))</f>
        <v>0</v>
      </c>
      <c r="W468" s="593">
        <f ca="1">$E468*(-SUMIF(INDIRECT(W$3),'Struktur Vorjahr'!$D468,INDIRECT(W$4))+SUMIF(INDIRECT(W$3),'Struktur Vorjahr'!$D468,INDIRECT(W$5)))</f>
        <v>0</v>
      </c>
      <c r="X468" s="593">
        <f ca="1">$E468*(-SUMIF(INDIRECT(X$3),'Struktur Vorjahr'!$D468,INDIRECT(X$4))+SUMIF(INDIRECT(X$3),'Struktur Vorjahr'!$D468,INDIRECT(X$5)))</f>
        <v>0</v>
      </c>
      <c r="Y468" s="593">
        <f ca="1">$E468*(-SUMIF(INDIRECT(Y$3),'Struktur Vorjahr'!$D468,INDIRECT(Y$4))+SUMIF(INDIRECT(Y$3),'Struktur Vorjahr'!$D468,INDIRECT(Y$5)))</f>
        <v>0</v>
      </c>
      <c r="Z468" s="593">
        <f ca="1">$E468*(-SUMIF(INDIRECT(Z$3),'Struktur Vorjahr'!$D468,INDIRECT(Z$4))+SUMIF(INDIRECT(Z$3),'Struktur Vorjahr'!$D468,INDIRECT(Z$5)))</f>
        <v>0</v>
      </c>
      <c r="AA468" s="593">
        <f ca="1">$E468*(-SUMIF(INDIRECT(AA$3),'Struktur Vorjahr'!$D468,INDIRECT(AA$4))+SUMIF(INDIRECT(AA$3),'Struktur Vorjahr'!$D468,INDIRECT(AA$5)))</f>
        <v>0</v>
      </c>
      <c r="AB468" s="593">
        <f ca="1">$E468*(-SUMIF(INDIRECT(AB$3),'Struktur Vorjahr'!$D468,INDIRECT(AB$4))+SUMIF(INDIRECT(AB$3),'Struktur Vorjahr'!$D468,INDIRECT(AB$5)))</f>
        <v>0</v>
      </c>
      <c r="AC468" s="593">
        <f ca="1">$E468*(-SUMIF(INDIRECT(AC$3),'Struktur Vorjahr'!$D468,INDIRECT(AC$4))+SUMIF(INDIRECT(AC$3),'Struktur Vorjahr'!$D468,INDIRECT(AC$5)))</f>
        <v>0</v>
      </c>
      <c r="AD468" s="593">
        <f ca="1">$E468*(-SUMIF(INDIRECT(AD$3),'Struktur Vorjahr'!$D468,INDIRECT(AD$4))+SUMIF(INDIRECT(AD$3),'Struktur Vorjahr'!$D468,INDIRECT(AD$5)))</f>
        <v>0</v>
      </c>
      <c r="AE468" s="593">
        <f t="shared" ca="1" si="230"/>
        <v>0</v>
      </c>
      <c r="AF468" s="593">
        <f t="shared" ca="1" si="231"/>
        <v>0</v>
      </c>
      <c r="AG468" s="593">
        <f t="shared" ca="1" si="231"/>
        <v>0</v>
      </c>
      <c r="AH468" s="593">
        <f t="shared" ca="1" si="231"/>
        <v>0</v>
      </c>
      <c r="AI468" s="593">
        <f t="shared" ca="1" si="231"/>
        <v>0</v>
      </c>
      <c r="AJ468" s="593">
        <f t="shared" ca="1" si="231"/>
        <v>0</v>
      </c>
      <c r="AK468" s="593">
        <f t="shared" ca="1" si="231"/>
        <v>0</v>
      </c>
      <c r="AL468" s="593">
        <f t="shared" ca="1" si="231"/>
        <v>0</v>
      </c>
      <c r="AM468" s="593">
        <f t="shared" ca="1" si="231"/>
        <v>0</v>
      </c>
      <c r="AN468" s="593">
        <f t="shared" ca="1" si="231"/>
        <v>0</v>
      </c>
      <c r="AO468" s="593">
        <f t="shared" ca="1" si="231"/>
        <v>0</v>
      </c>
      <c r="AP468" s="593">
        <f t="shared" ca="1" si="231"/>
        <v>0</v>
      </c>
    </row>
    <row r="469" spans="1:42" s="589" customFormat="1" outlineLevel="1" x14ac:dyDescent="0.2">
      <c r="A469" s="629">
        <v>42</v>
      </c>
      <c r="B469" s="623" t="s">
        <v>278</v>
      </c>
      <c r="C469" s="627"/>
      <c r="D469" s="627"/>
      <c r="E469" s="628">
        <f t="shared" si="186"/>
        <v>1</v>
      </c>
      <c r="F469" s="629"/>
      <c r="G469" s="627">
        <f ca="1">SUM(G470:G475)</f>
        <v>0</v>
      </c>
      <c r="H469" s="627">
        <f t="shared" ref="H469:R469" ca="1" si="232">SUM(H470:H475)</f>
        <v>0</v>
      </c>
      <c r="I469" s="627">
        <f t="shared" ca="1" si="232"/>
        <v>0</v>
      </c>
      <c r="J469" s="627">
        <f t="shared" ca="1" si="232"/>
        <v>0</v>
      </c>
      <c r="K469" s="627">
        <f t="shared" ca="1" si="232"/>
        <v>0</v>
      </c>
      <c r="L469" s="627">
        <f t="shared" ca="1" si="232"/>
        <v>0</v>
      </c>
      <c r="M469" s="627">
        <f t="shared" ca="1" si="232"/>
        <v>0</v>
      </c>
      <c r="N469" s="627">
        <f t="shared" ca="1" si="232"/>
        <v>0</v>
      </c>
      <c r="O469" s="627">
        <f t="shared" ca="1" si="232"/>
        <v>0</v>
      </c>
      <c r="P469" s="627">
        <f t="shared" ca="1" si="232"/>
        <v>0</v>
      </c>
      <c r="Q469" s="627">
        <f t="shared" ca="1" si="232"/>
        <v>0</v>
      </c>
      <c r="R469" s="627">
        <f t="shared" ca="1" si="232"/>
        <v>0</v>
      </c>
      <c r="S469" s="627">
        <f ca="1">SUM(S470:S475)</f>
        <v>0</v>
      </c>
      <c r="T469" s="627">
        <f t="shared" ref="T469:AD469" ca="1" si="233">SUM(T470:T475)</f>
        <v>0</v>
      </c>
      <c r="U469" s="627">
        <f t="shared" ca="1" si="233"/>
        <v>0</v>
      </c>
      <c r="V469" s="627">
        <f t="shared" ca="1" si="233"/>
        <v>0</v>
      </c>
      <c r="W469" s="627">
        <f t="shared" ca="1" si="233"/>
        <v>0</v>
      </c>
      <c r="X469" s="627">
        <f t="shared" ca="1" si="233"/>
        <v>0</v>
      </c>
      <c r="Y469" s="627">
        <f t="shared" ca="1" si="233"/>
        <v>0</v>
      </c>
      <c r="Z469" s="627">
        <f t="shared" ca="1" si="233"/>
        <v>0</v>
      </c>
      <c r="AA469" s="627">
        <f t="shared" ca="1" si="233"/>
        <v>0</v>
      </c>
      <c r="AB469" s="627">
        <f t="shared" ca="1" si="233"/>
        <v>0</v>
      </c>
      <c r="AC469" s="627">
        <f t="shared" ca="1" si="233"/>
        <v>0</v>
      </c>
      <c r="AD469" s="627">
        <f t="shared" ca="1" si="233"/>
        <v>0</v>
      </c>
      <c r="AE469" s="627">
        <f ca="1">SUM(AE470:AE475)</f>
        <v>0</v>
      </c>
      <c r="AF469" s="627">
        <f t="shared" ref="AF469:AP469" ca="1" si="234">SUM(AF470:AF475)</f>
        <v>0</v>
      </c>
      <c r="AG469" s="627">
        <f t="shared" ca="1" si="234"/>
        <v>0</v>
      </c>
      <c r="AH469" s="627">
        <f t="shared" ca="1" si="234"/>
        <v>0</v>
      </c>
      <c r="AI469" s="627">
        <f t="shared" ca="1" si="234"/>
        <v>0</v>
      </c>
      <c r="AJ469" s="627">
        <f t="shared" ca="1" si="234"/>
        <v>0</v>
      </c>
      <c r="AK469" s="627">
        <f t="shared" ca="1" si="234"/>
        <v>0</v>
      </c>
      <c r="AL469" s="627">
        <f t="shared" ca="1" si="234"/>
        <v>0</v>
      </c>
      <c r="AM469" s="627">
        <f t="shared" ca="1" si="234"/>
        <v>0</v>
      </c>
      <c r="AN469" s="627">
        <f t="shared" ca="1" si="234"/>
        <v>0</v>
      </c>
      <c r="AO469" s="627">
        <f t="shared" ca="1" si="234"/>
        <v>0</v>
      </c>
      <c r="AP469" s="627">
        <f t="shared" ca="1" si="234"/>
        <v>0</v>
      </c>
    </row>
    <row r="470" spans="1:42" s="594" customFormat="1" ht="11.25" outlineLevel="1" x14ac:dyDescent="0.2">
      <c r="A470" s="644"/>
      <c r="B470" s="591" t="str">
        <f>IF(D470&lt;&gt;"",
IF(ISERROR(MATCH(D470,'Ist Vorjahr Monat 01'!A:A,0))=FALSE,INDEX('Ist Vorjahr Monat 01'!B:B,MATCH(D470,'Ist Vorjahr Monat 01'!A:A,0)),
IF(ISERROR(MATCH(D470,'Ist Vorjahr Monat 02'!A:A,0))=FALSE,INDEX('Ist Vorjahr Monat 02'!B:B,MATCH(D470,'Ist Vorjahr Monat 02'!A:A,0)),
IF(ISERROR(MATCH(D470,'Ist Vorjahr Monat 03'!A:A,0))=FALSE,INDEX('Ist Vorjahr Monat 03'!B:B,MATCH(D470,'Ist Vorjahr Monat 03'!A:A,0)),
IF(ISERROR(MATCH(D470,'Ist Vorjahr Monat 04'!A:A,0))=FALSE,INDEX('Ist Vorjahr Monat 04'!B:B,MATCH(D470,'Ist Vorjahr Monat 04'!A:A,0)),
IF(ISERROR(MATCH(D470,'Ist Vorjahr Monat 05'!A:A,0))=FALSE,INDEX('Ist Vorjahr Monat 05'!B:B,MATCH(D470,'Ist Vorjahr Monat 05'!A:A,0)),
IF(ISERROR(MATCH(D470,'Ist Vorjahr Monat 06'!A:A,0))=FALSE,INDEX('Ist Vorjahr Monat 06'!B:B,MATCH(D470,'Ist Vorjahr Monat 06'!A:A,0)),
IF(ISERROR(MATCH(D470,'Ist Vorjahr Monat 07'!A:A,0))=FALSE,INDEX('Ist Vorjahr Monat 07'!B:B,MATCH(D470,'Ist Vorjahr Monat 07'!A:A,0)),
IF(ISERROR(MATCH(D470,'Ist Vorjahr Monat 08'!A:A,0))=FALSE,INDEX('Ist Vorjahr Monat 08'!B:B,MATCH(D470,'Ist Vorjahr Monat 08'!A:A,0)),
IF(ISERROR(MATCH(D470,'Ist Vorjahr Monat 09'!A:A,0))=FALSE,INDEX('Ist Vorjahr Monat 09'!B:B,MATCH(D470,'Ist Vorjahr Monat 09'!A:A,0)),
IF(ISERROR(MATCH(D470,'Ist Vorjahr Monat 10'!A:A,0))=FALSE,INDEX('Ist Vorjahr Monat 10'!B:B,MATCH(D470,'Ist Vorjahr Monat 10'!A:A,0)),
IF(ISERROR(MATCH(D470,'Ist Vorjahr Monat 11'!A:A,0))=FALSE,INDEX('Ist Vorjahr Monat 11'!B:B,MATCH(D470,'Ist Vorjahr Monat 11'!A:A,0)),
IF(ISERROR(MATCH(D470,'Ist Vorjahr Monat 12'!A:A,0))=FALSE,INDEX('Ist Vorjahr Monat 12'!B:B,MATCH(D470,'Ist Vorjahr Monat 12'!A:A,0)),
"{Konto unbekannt}"
)))))))))))),"")</f>
        <v/>
      </c>
      <c r="C470" s="1062"/>
      <c r="D470" s="1067"/>
      <c r="E470" s="625">
        <f>IF(F470="-",-1,1)</f>
        <v>-1</v>
      </c>
      <c r="F470" s="626" t="s">
        <v>996</v>
      </c>
      <c r="G470" s="593">
        <f ca="1">$E470*(-SUMIF(INDIRECT(G$3),'Struktur Vorjahr'!$D470,INDIRECT(G$4))+SUMIF(INDIRECT(G$3),'Struktur Vorjahr'!$D470,INDIRECT(G$5)))</f>
        <v>0</v>
      </c>
      <c r="H470" s="593">
        <f ca="1">$E470*(-SUMIF(INDIRECT(H$3),'Struktur Vorjahr'!$D470,INDIRECT(H$4))+SUMIF(INDIRECT(H$3),'Struktur Vorjahr'!$D470,INDIRECT(H$5)))</f>
        <v>0</v>
      </c>
      <c r="I470" s="593">
        <f ca="1">$E470*(-SUMIF(INDIRECT(I$3),'Struktur Vorjahr'!$D470,INDIRECT(I$4))+SUMIF(INDIRECT(I$3),'Struktur Vorjahr'!$D470,INDIRECT(I$5)))</f>
        <v>0</v>
      </c>
      <c r="J470" s="593">
        <f ca="1">$E470*(-SUMIF(INDIRECT(J$3),'Struktur Vorjahr'!$D470,INDIRECT(J$4))+SUMIF(INDIRECT(J$3),'Struktur Vorjahr'!$D470,INDIRECT(J$5)))</f>
        <v>0</v>
      </c>
      <c r="K470" s="593">
        <f ca="1">$E470*(-SUMIF(INDIRECT(K$3),'Struktur Vorjahr'!$D470,INDIRECT(K$4))+SUMIF(INDIRECT(K$3),'Struktur Vorjahr'!$D470,INDIRECT(K$5)))</f>
        <v>0</v>
      </c>
      <c r="L470" s="593">
        <f ca="1">$E470*(-SUMIF(INDIRECT(L$3),'Struktur Vorjahr'!$D470,INDIRECT(L$4))+SUMIF(INDIRECT(L$3),'Struktur Vorjahr'!$D470,INDIRECT(L$5)))</f>
        <v>0</v>
      </c>
      <c r="M470" s="593">
        <f ca="1">$E470*(-SUMIF(INDIRECT(M$3),'Struktur Vorjahr'!$D470,INDIRECT(M$4))+SUMIF(INDIRECT(M$3),'Struktur Vorjahr'!$D470,INDIRECT(M$5)))</f>
        <v>0</v>
      </c>
      <c r="N470" s="593">
        <f ca="1">$E470*(-SUMIF(INDIRECT(N$3),'Struktur Vorjahr'!$D470,INDIRECT(N$4))+SUMIF(INDIRECT(N$3),'Struktur Vorjahr'!$D470,INDIRECT(N$5)))</f>
        <v>0</v>
      </c>
      <c r="O470" s="593">
        <f ca="1">$E470*(-SUMIF(INDIRECT(O$3),'Struktur Vorjahr'!$D470,INDIRECT(O$4))+SUMIF(INDIRECT(O$3),'Struktur Vorjahr'!$D470,INDIRECT(O$5)))</f>
        <v>0</v>
      </c>
      <c r="P470" s="593">
        <f ca="1">$E470*(-SUMIF(INDIRECT(P$3),'Struktur Vorjahr'!$D470,INDIRECT(P$4))+SUMIF(INDIRECT(P$3),'Struktur Vorjahr'!$D470,INDIRECT(P$5)))</f>
        <v>0</v>
      </c>
      <c r="Q470" s="593">
        <f ca="1">$E470*(-SUMIF(INDIRECT(Q$3),'Struktur Vorjahr'!$D470,INDIRECT(Q$4))+SUMIF(INDIRECT(Q$3),'Struktur Vorjahr'!$D470,INDIRECT(Q$5)))</f>
        <v>0</v>
      </c>
      <c r="R470" s="593">
        <f ca="1">$E470*(-SUMIF(INDIRECT(R$3),'Struktur Vorjahr'!$D470,INDIRECT(R$4))+SUMIF(INDIRECT(R$3),'Struktur Vorjahr'!$D470,INDIRECT(R$5)))</f>
        <v>0</v>
      </c>
      <c r="S470" s="593">
        <f ca="1">$E470*(-SUMIF(INDIRECT(S$3),'Struktur Vorjahr'!$D470,INDIRECT(S$4))+SUMIF(INDIRECT(S$3),'Struktur Vorjahr'!$D470,INDIRECT(S$5)))</f>
        <v>0</v>
      </c>
      <c r="T470" s="593">
        <f ca="1">$E470*(-SUMIF(INDIRECT(T$3),'Struktur Vorjahr'!$D470,INDIRECT(T$4))+SUMIF(INDIRECT(T$3),'Struktur Vorjahr'!$D470,INDIRECT(T$5)))</f>
        <v>0</v>
      </c>
      <c r="U470" s="593">
        <f ca="1">$E470*(-SUMIF(INDIRECT(U$3),'Struktur Vorjahr'!$D470,INDIRECT(U$4))+SUMIF(INDIRECT(U$3),'Struktur Vorjahr'!$D470,INDIRECT(U$5)))</f>
        <v>0</v>
      </c>
      <c r="V470" s="593">
        <f ca="1">$E470*(-SUMIF(INDIRECT(V$3),'Struktur Vorjahr'!$D470,INDIRECT(V$4))+SUMIF(INDIRECT(V$3),'Struktur Vorjahr'!$D470,INDIRECT(V$5)))</f>
        <v>0</v>
      </c>
      <c r="W470" s="593">
        <f ca="1">$E470*(-SUMIF(INDIRECT(W$3),'Struktur Vorjahr'!$D470,INDIRECT(W$4))+SUMIF(INDIRECT(W$3),'Struktur Vorjahr'!$D470,INDIRECT(W$5)))</f>
        <v>0</v>
      </c>
      <c r="X470" s="593">
        <f ca="1">$E470*(-SUMIF(INDIRECT(X$3),'Struktur Vorjahr'!$D470,INDIRECT(X$4))+SUMIF(INDIRECT(X$3),'Struktur Vorjahr'!$D470,INDIRECT(X$5)))</f>
        <v>0</v>
      </c>
      <c r="Y470" s="593">
        <f ca="1">$E470*(-SUMIF(INDIRECT(Y$3),'Struktur Vorjahr'!$D470,INDIRECT(Y$4))+SUMIF(INDIRECT(Y$3),'Struktur Vorjahr'!$D470,INDIRECT(Y$5)))</f>
        <v>0</v>
      </c>
      <c r="Z470" s="593">
        <f ca="1">$E470*(-SUMIF(INDIRECT(Z$3),'Struktur Vorjahr'!$D470,INDIRECT(Z$4))+SUMIF(INDIRECT(Z$3),'Struktur Vorjahr'!$D470,INDIRECT(Z$5)))</f>
        <v>0</v>
      </c>
      <c r="AA470" s="593">
        <f ca="1">$E470*(-SUMIF(INDIRECT(AA$3),'Struktur Vorjahr'!$D470,INDIRECT(AA$4))+SUMIF(INDIRECT(AA$3),'Struktur Vorjahr'!$D470,INDIRECT(AA$5)))</f>
        <v>0</v>
      </c>
      <c r="AB470" s="593">
        <f ca="1">$E470*(-SUMIF(INDIRECT(AB$3),'Struktur Vorjahr'!$D470,INDIRECT(AB$4))+SUMIF(INDIRECT(AB$3),'Struktur Vorjahr'!$D470,INDIRECT(AB$5)))</f>
        <v>0</v>
      </c>
      <c r="AC470" s="593">
        <f ca="1">$E470*(-SUMIF(INDIRECT(AC$3),'Struktur Vorjahr'!$D470,INDIRECT(AC$4))+SUMIF(INDIRECT(AC$3),'Struktur Vorjahr'!$D470,INDIRECT(AC$5)))</f>
        <v>0</v>
      </c>
      <c r="AD470" s="593">
        <f ca="1">$E470*(-SUMIF(INDIRECT(AD$3),'Struktur Vorjahr'!$D470,INDIRECT(AD$4))+SUMIF(INDIRECT(AD$3),'Struktur Vorjahr'!$D470,INDIRECT(AD$5)))</f>
        <v>0</v>
      </c>
      <c r="AE470" s="593">
        <f t="shared" ref="AE470:AE475" ca="1" si="235">G470</f>
        <v>0</v>
      </c>
      <c r="AF470" s="593">
        <f t="shared" ref="AF470:AP475" ca="1" si="236">H470+AE470</f>
        <v>0</v>
      </c>
      <c r="AG470" s="593">
        <f t="shared" ca="1" si="236"/>
        <v>0</v>
      </c>
      <c r="AH470" s="593">
        <f t="shared" ca="1" si="236"/>
        <v>0</v>
      </c>
      <c r="AI470" s="593">
        <f t="shared" ca="1" si="236"/>
        <v>0</v>
      </c>
      <c r="AJ470" s="593">
        <f t="shared" ca="1" si="236"/>
        <v>0</v>
      </c>
      <c r="AK470" s="593">
        <f t="shared" ca="1" si="236"/>
        <v>0</v>
      </c>
      <c r="AL470" s="593">
        <f t="shared" ca="1" si="236"/>
        <v>0</v>
      </c>
      <c r="AM470" s="593">
        <f t="shared" ca="1" si="236"/>
        <v>0</v>
      </c>
      <c r="AN470" s="593">
        <f t="shared" ca="1" si="236"/>
        <v>0</v>
      </c>
      <c r="AO470" s="593">
        <f t="shared" ca="1" si="236"/>
        <v>0</v>
      </c>
      <c r="AP470" s="593">
        <f t="shared" ca="1" si="236"/>
        <v>0</v>
      </c>
    </row>
    <row r="471" spans="1:42" s="594" customFormat="1" ht="11.25" outlineLevel="1" x14ac:dyDescent="0.2">
      <c r="A471" s="644"/>
      <c r="B471" s="591" t="str">
        <f>IF(D471&lt;&gt;"",
IF(ISERROR(MATCH(D471,'Ist Vorjahr Monat 01'!A:A,0))=FALSE,INDEX('Ist Vorjahr Monat 01'!B:B,MATCH(D471,'Ist Vorjahr Monat 01'!A:A,0)),
IF(ISERROR(MATCH(D471,'Ist Vorjahr Monat 02'!A:A,0))=FALSE,INDEX('Ist Vorjahr Monat 02'!B:B,MATCH(D471,'Ist Vorjahr Monat 02'!A:A,0)),
IF(ISERROR(MATCH(D471,'Ist Vorjahr Monat 03'!A:A,0))=FALSE,INDEX('Ist Vorjahr Monat 03'!B:B,MATCH(D471,'Ist Vorjahr Monat 03'!A:A,0)),
IF(ISERROR(MATCH(D471,'Ist Vorjahr Monat 04'!A:A,0))=FALSE,INDEX('Ist Vorjahr Monat 04'!B:B,MATCH(D471,'Ist Vorjahr Monat 04'!A:A,0)),
IF(ISERROR(MATCH(D471,'Ist Vorjahr Monat 05'!A:A,0))=FALSE,INDEX('Ist Vorjahr Monat 05'!B:B,MATCH(D471,'Ist Vorjahr Monat 05'!A:A,0)),
IF(ISERROR(MATCH(D471,'Ist Vorjahr Monat 06'!A:A,0))=FALSE,INDEX('Ist Vorjahr Monat 06'!B:B,MATCH(D471,'Ist Vorjahr Monat 06'!A:A,0)),
IF(ISERROR(MATCH(D471,'Ist Vorjahr Monat 07'!A:A,0))=FALSE,INDEX('Ist Vorjahr Monat 07'!B:B,MATCH(D471,'Ist Vorjahr Monat 07'!A:A,0)),
IF(ISERROR(MATCH(D471,'Ist Vorjahr Monat 08'!A:A,0))=FALSE,INDEX('Ist Vorjahr Monat 08'!B:B,MATCH(D471,'Ist Vorjahr Monat 08'!A:A,0)),
IF(ISERROR(MATCH(D471,'Ist Vorjahr Monat 09'!A:A,0))=FALSE,INDEX('Ist Vorjahr Monat 09'!B:B,MATCH(D471,'Ist Vorjahr Monat 09'!A:A,0)),
IF(ISERROR(MATCH(D471,'Ist Vorjahr Monat 10'!A:A,0))=FALSE,INDEX('Ist Vorjahr Monat 10'!B:B,MATCH(D471,'Ist Vorjahr Monat 10'!A:A,0)),
IF(ISERROR(MATCH(D471,'Ist Vorjahr Monat 11'!A:A,0))=FALSE,INDEX('Ist Vorjahr Monat 11'!B:B,MATCH(D471,'Ist Vorjahr Monat 11'!A:A,0)),
IF(ISERROR(MATCH(D471,'Ist Vorjahr Monat 12'!A:A,0))=FALSE,INDEX('Ist Vorjahr Monat 12'!B:B,MATCH(D471,'Ist Vorjahr Monat 12'!A:A,0)),
"{Konto unbekannt}"
)))))))))))),"")</f>
        <v/>
      </c>
      <c r="C471" s="1062"/>
      <c r="D471" s="1067"/>
      <c r="E471" s="625">
        <f t="shared" ref="E471:E608" si="237">IF(F471="-",-1,1)</f>
        <v>-1</v>
      </c>
      <c r="F471" s="626" t="s">
        <v>996</v>
      </c>
      <c r="G471" s="593">
        <f ca="1">$E471*(-SUMIF(INDIRECT(G$3),'Struktur Vorjahr'!$D471,INDIRECT(G$4))+SUMIF(INDIRECT(G$3),'Struktur Vorjahr'!$D471,INDIRECT(G$5)))</f>
        <v>0</v>
      </c>
      <c r="H471" s="593">
        <f ca="1">$E471*(-SUMIF(INDIRECT(H$3),'Struktur Vorjahr'!$D471,INDIRECT(H$4))+SUMIF(INDIRECT(H$3),'Struktur Vorjahr'!$D471,INDIRECT(H$5)))</f>
        <v>0</v>
      </c>
      <c r="I471" s="593">
        <f ca="1">$E471*(-SUMIF(INDIRECT(I$3),'Struktur Vorjahr'!$D471,INDIRECT(I$4))+SUMIF(INDIRECT(I$3),'Struktur Vorjahr'!$D471,INDIRECT(I$5)))</f>
        <v>0</v>
      </c>
      <c r="J471" s="593">
        <f ca="1">$E471*(-SUMIF(INDIRECT(J$3),'Struktur Vorjahr'!$D471,INDIRECT(J$4))+SUMIF(INDIRECT(J$3),'Struktur Vorjahr'!$D471,INDIRECT(J$5)))</f>
        <v>0</v>
      </c>
      <c r="K471" s="593">
        <f ca="1">$E471*(-SUMIF(INDIRECT(K$3),'Struktur Vorjahr'!$D471,INDIRECT(K$4))+SUMIF(INDIRECT(K$3),'Struktur Vorjahr'!$D471,INDIRECT(K$5)))</f>
        <v>0</v>
      </c>
      <c r="L471" s="593">
        <f ca="1">$E471*(-SUMIF(INDIRECT(L$3),'Struktur Vorjahr'!$D471,INDIRECT(L$4))+SUMIF(INDIRECT(L$3),'Struktur Vorjahr'!$D471,INDIRECT(L$5)))</f>
        <v>0</v>
      </c>
      <c r="M471" s="593">
        <f ca="1">$E471*(-SUMIF(INDIRECT(M$3),'Struktur Vorjahr'!$D471,INDIRECT(M$4))+SUMIF(INDIRECT(M$3),'Struktur Vorjahr'!$D471,INDIRECT(M$5)))</f>
        <v>0</v>
      </c>
      <c r="N471" s="593">
        <f ca="1">$E471*(-SUMIF(INDIRECT(N$3),'Struktur Vorjahr'!$D471,INDIRECT(N$4))+SUMIF(INDIRECT(N$3),'Struktur Vorjahr'!$D471,INDIRECT(N$5)))</f>
        <v>0</v>
      </c>
      <c r="O471" s="593">
        <f ca="1">$E471*(-SUMIF(INDIRECT(O$3),'Struktur Vorjahr'!$D471,INDIRECT(O$4))+SUMIF(INDIRECT(O$3),'Struktur Vorjahr'!$D471,INDIRECT(O$5)))</f>
        <v>0</v>
      </c>
      <c r="P471" s="593">
        <f ca="1">$E471*(-SUMIF(INDIRECT(P$3),'Struktur Vorjahr'!$D471,INDIRECT(P$4))+SUMIF(INDIRECT(P$3),'Struktur Vorjahr'!$D471,INDIRECT(P$5)))</f>
        <v>0</v>
      </c>
      <c r="Q471" s="593">
        <f ca="1">$E471*(-SUMIF(INDIRECT(Q$3),'Struktur Vorjahr'!$D471,INDIRECT(Q$4))+SUMIF(INDIRECT(Q$3),'Struktur Vorjahr'!$D471,INDIRECT(Q$5)))</f>
        <v>0</v>
      </c>
      <c r="R471" s="593">
        <f ca="1">$E471*(-SUMIF(INDIRECT(R$3),'Struktur Vorjahr'!$D471,INDIRECT(R$4))+SUMIF(INDIRECT(R$3),'Struktur Vorjahr'!$D471,INDIRECT(R$5)))</f>
        <v>0</v>
      </c>
      <c r="S471" s="593">
        <f ca="1">$E471*(-SUMIF(INDIRECT(S$3),'Struktur Vorjahr'!$D471,INDIRECT(S$4))+SUMIF(INDIRECT(S$3),'Struktur Vorjahr'!$D471,INDIRECT(S$5)))</f>
        <v>0</v>
      </c>
      <c r="T471" s="593">
        <f ca="1">$E471*(-SUMIF(INDIRECT(T$3),'Struktur Vorjahr'!$D471,INDIRECT(T$4))+SUMIF(INDIRECT(T$3),'Struktur Vorjahr'!$D471,INDIRECT(T$5)))</f>
        <v>0</v>
      </c>
      <c r="U471" s="593">
        <f ca="1">$E471*(-SUMIF(INDIRECT(U$3),'Struktur Vorjahr'!$D471,INDIRECT(U$4))+SUMIF(INDIRECT(U$3),'Struktur Vorjahr'!$D471,INDIRECT(U$5)))</f>
        <v>0</v>
      </c>
      <c r="V471" s="593">
        <f ca="1">$E471*(-SUMIF(INDIRECT(V$3),'Struktur Vorjahr'!$D471,INDIRECT(V$4))+SUMIF(INDIRECT(V$3),'Struktur Vorjahr'!$D471,INDIRECT(V$5)))</f>
        <v>0</v>
      </c>
      <c r="W471" s="593">
        <f ca="1">$E471*(-SUMIF(INDIRECT(W$3),'Struktur Vorjahr'!$D471,INDIRECT(W$4))+SUMIF(INDIRECT(W$3),'Struktur Vorjahr'!$D471,INDIRECT(W$5)))</f>
        <v>0</v>
      </c>
      <c r="X471" s="593">
        <f ca="1">$E471*(-SUMIF(INDIRECT(X$3),'Struktur Vorjahr'!$D471,INDIRECT(X$4))+SUMIF(INDIRECT(X$3),'Struktur Vorjahr'!$D471,INDIRECT(X$5)))</f>
        <v>0</v>
      </c>
      <c r="Y471" s="593">
        <f ca="1">$E471*(-SUMIF(INDIRECT(Y$3),'Struktur Vorjahr'!$D471,INDIRECT(Y$4))+SUMIF(INDIRECT(Y$3),'Struktur Vorjahr'!$D471,INDIRECT(Y$5)))</f>
        <v>0</v>
      </c>
      <c r="Z471" s="593">
        <f ca="1">$E471*(-SUMIF(INDIRECT(Z$3),'Struktur Vorjahr'!$D471,INDIRECT(Z$4))+SUMIF(INDIRECT(Z$3),'Struktur Vorjahr'!$D471,INDIRECT(Z$5)))</f>
        <v>0</v>
      </c>
      <c r="AA471" s="593">
        <f ca="1">$E471*(-SUMIF(INDIRECT(AA$3),'Struktur Vorjahr'!$D471,INDIRECT(AA$4))+SUMIF(INDIRECT(AA$3),'Struktur Vorjahr'!$D471,INDIRECT(AA$5)))</f>
        <v>0</v>
      </c>
      <c r="AB471" s="593">
        <f ca="1">$E471*(-SUMIF(INDIRECT(AB$3),'Struktur Vorjahr'!$D471,INDIRECT(AB$4))+SUMIF(INDIRECT(AB$3),'Struktur Vorjahr'!$D471,INDIRECT(AB$5)))</f>
        <v>0</v>
      </c>
      <c r="AC471" s="593">
        <f ca="1">$E471*(-SUMIF(INDIRECT(AC$3),'Struktur Vorjahr'!$D471,INDIRECT(AC$4))+SUMIF(INDIRECT(AC$3),'Struktur Vorjahr'!$D471,INDIRECT(AC$5)))</f>
        <v>0</v>
      </c>
      <c r="AD471" s="593">
        <f ca="1">$E471*(-SUMIF(INDIRECT(AD$3),'Struktur Vorjahr'!$D471,INDIRECT(AD$4))+SUMIF(INDIRECT(AD$3),'Struktur Vorjahr'!$D471,INDIRECT(AD$5)))</f>
        <v>0</v>
      </c>
      <c r="AE471" s="593">
        <f t="shared" ca="1" si="235"/>
        <v>0</v>
      </c>
      <c r="AF471" s="593">
        <f t="shared" ca="1" si="236"/>
        <v>0</v>
      </c>
      <c r="AG471" s="593">
        <f t="shared" ca="1" si="236"/>
        <v>0</v>
      </c>
      <c r="AH471" s="593">
        <f t="shared" ca="1" si="236"/>
        <v>0</v>
      </c>
      <c r="AI471" s="593">
        <f t="shared" ca="1" si="236"/>
        <v>0</v>
      </c>
      <c r="AJ471" s="593">
        <f t="shared" ca="1" si="236"/>
        <v>0</v>
      </c>
      <c r="AK471" s="593">
        <f t="shared" ca="1" si="236"/>
        <v>0</v>
      </c>
      <c r="AL471" s="593">
        <f t="shared" ca="1" si="236"/>
        <v>0</v>
      </c>
      <c r="AM471" s="593">
        <f t="shared" ca="1" si="236"/>
        <v>0</v>
      </c>
      <c r="AN471" s="593">
        <f t="shared" ca="1" si="236"/>
        <v>0</v>
      </c>
      <c r="AO471" s="593">
        <f t="shared" ca="1" si="236"/>
        <v>0</v>
      </c>
      <c r="AP471" s="593">
        <f t="shared" ca="1" si="236"/>
        <v>0</v>
      </c>
    </row>
    <row r="472" spans="1:42" s="594" customFormat="1" ht="11.25" outlineLevel="1" x14ac:dyDescent="0.2">
      <c r="A472" s="644"/>
      <c r="B472" s="591" t="str">
        <f>IF(D472&lt;&gt;"",
IF(ISERROR(MATCH(D472,'Ist Vorjahr Monat 01'!A:A,0))=FALSE,INDEX('Ist Vorjahr Monat 01'!B:B,MATCH(D472,'Ist Vorjahr Monat 01'!A:A,0)),
IF(ISERROR(MATCH(D472,'Ist Vorjahr Monat 02'!A:A,0))=FALSE,INDEX('Ist Vorjahr Monat 02'!B:B,MATCH(D472,'Ist Vorjahr Monat 02'!A:A,0)),
IF(ISERROR(MATCH(D472,'Ist Vorjahr Monat 03'!A:A,0))=FALSE,INDEX('Ist Vorjahr Monat 03'!B:B,MATCH(D472,'Ist Vorjahr Monat 03'!A:A,0)),
IF(ISERROR(MATCH(D472,'Ist Vorjahr Monat 04'!A:A,0))=FALSE,INDEX('Ist Vorjahr Monat 04'!B:B,MATCH(D472,'Ist Vorjahr Monat 04'!A:A,0)),
IF(ISERROR(MATCH(D472,'Ist Vorjahr Monat 05'!A:A,0))=FALSE,INDEX('Ist Vorjahr Monat 05'!B:B,MATCH(D472,'Ist Vorjahr Monat 05'!A:A,0)),
IF(ISERROR(MATCH(D472,'Ist Vorjahr Monat 06'!A:A,0))=FALSE,INDEX('Ist Vorjahr Monat 06'!B:B,MATCH(D472,'Ist Vorjahr Monat 06'!A:A,0)),
IF(ISERROR(MATCH(D472,'Ist Vorjahr Monat 07'!A:A,0))=FALSE,INDEX('Ist Vorjahr Monat 07'!B:B,MATCH(D472,'Ist Vorjahr Monat 07'!A:A,0)),
IF(ISERROR(MATCH(D472,'Ist Vorjahr Monat 08'!A:A,0))=FALSE,INDEX('Ist Vorjahr Monat 08'!B:B,MATCH(D472,'Ist Vorjahr Monat 08'!A:A,0)),
IF(ISERROR(MATCH(D472,'Ist Vorjahr Monat 09'!A:A,0))=FALSE,INDEX('Ist Vorjahr Monat 09'!B:B,MATCH(D472,'Ist Vorjahr Monat 09'!A:A,0)),
IF(ISERROR(MATCH(D472,'Ist Vorjahr Monat 10'!A:A,0))=FALSE,INDEX('Ist Vorjahr Monat 10'!B:B,MATCH(D472,'Ist Vorjahr Monat 10'!A:A,0)),
IF(ISERROR(MATCH(D472,'Ist Vorjahr Monat 11'!A:A,0))=FALSE,INDEX('Ist Vorjahr Monat 11'!B:B,MATCH(D472,'Ist Vorjahr Monat 11'!A:A,0)),
IF(ISERROR(MATCH(D472,'Ist Vorjahr Monat 12'!A:A,0))=FALSE,INDEX('Ist Vorjahr Monat 12'!B:B,MATCH(D472,'Ist Vorjahr Monat 12'!A:A,0)),
"{Konto unbekannt}"
)))))))))))),"")</f>
        <v/>
      </c>
      <c r="C472" s="1062"/>
      <c r="D472" s="1067"/>
      <c r="E472" s="625">
        <f t="shared" si="237"/>
        <v>-1</v>
      </c>
      <c r="F472" s="626" t="s">
        <v>996</v>
      </c>
      <c r="G472" s="593">
        <f ca="1">$E472*(-SUMIF(INDIRECT(G$3),'Struktur Vorjahr'!$D472,INDIRECT(G$4))+SUMIF(INDIRECT(G$3),'Struktur Vorjahr'!$D472,INDIRECT(G$5)))</f>
        <v>0</v>
      </c>
      <c r="H472" s="593">
        <f ca="1">$E472*(-SUMIF(INDIRECT(H$3),'Struktur Vorjahr'!$D472,INDIRECT(H$4))+SUMIF(INDIRECT(H$3),'Struktur Vorjahr'!$D472,INDIRECT(H$5)))</f>
        <v>0</v>
      </c>
      <c r="I472" s="593">
        <f ca="1">$E472*(-SUMIF(INDIRECT(I$3),'Struktur Vorjahr'!$D472,INDIRECT(I$4))+SUMIF(INDIRECT(I$3),'Struktur Vorjahr'!$D472,INDIRECT(I$5)))</f>
        <v>0</v>
      </c>
      <c r="J472" s="593">
        <f ca="1">$E472*(-SUMIF(INDIRECT(J$3),'Struktur Vorjahr'!$D472,INDIRECT(J$4))+SUMIF(INDIRECT(J$3),'Struktur Vorjahr'!$D472,INDIRECT(J$5)))</f>
        <v>0</v>
      </c>
      <c r="K472" s="593">
        <f ca="1">$E472*(-SUMIF(INDIRECT(K$3),'Struktur Vorjahr'!$D472,INDIRECT(K$4))+SUMIF(INDIRECT(K$3),'Struktur Vorjahr'!$D472,INDIRECT(K$5)))</f>
        <v>0</v>
      </c>
      <c r="L472" s="593">
        <f ca="1">$E472*(-SUMIF(INDIRECT(L$3),'Struktur Vorjahr'!$D472,INDIRECT(L$4))+SUMIF(INDIRECT(L$3),'Struktur Vorjahr'!$D472,INDIRECT(L$5)))</f>
        <v>0</v>
      </c>
      <c r="M472" s="593">
        <f ca="1">$E472*(-SUMIF(INDIRECT(M$3),'Struktur Vorjahr'!$D472,INDIRECT(M$4))+SUMIF(INDIRECT(M$3),'Struktur Vorjahr'!$D472,INDIRECT(M$5)))</f>
        <v>0</v>
      </c>
      <c r="N472" s="593">
        <f ca="1">$E472*(-SUMIF(INDIRECT(N$3),'Struktur Vorjahr'!$D472,INDIRECT(N$4))+SUMIF(INDIRECT(N$3),'Struktur Vorjahr'!$D472,INDIRECT(N$5)))</f>
        <v>0</v>
      </c>
      <c r="O472" s="593">
        <f ca="1">$E472*(-SUMIF(INDIRECT(O$3),'Struktur Vorjahr'!$D472,INDIRECT(O$4))+SUMIF(INDIRECT(O$3),'Struktur Vorjahr'!$D472,INDIRECT(O$5)))</f>
        <v>0</v>
      </c>
      <c r="P472" s="593">
        <f ca="1">$E472*(-SUMIF(INDIRECT(P$3),'Struktur Vorjahr'!$D472,INDIRECT(P$4))+SUMIF(INDIRECT(P$3),'Struktur Vorjahr'!$D472,INDIRECT(P$5)))</f>
        <v>0</v>
      </c>
      <c r="Q472" s="593">
        <f ca="1">$E472*(-SUMIF(INDIRECT(Q$3),'Struktur Vorjahr'!$D472,INDIRECT(Q$4))+SUMIF(INDIRECT(Q$3),'Struktur Vorjahr'!$D472,INDIRECT(Q$5)))</f>
        <v>0</v>
      </c>
      <c r="R472" s="593">
        <f ca="1">$E472*(-SUMIF(INDIRECT(R$3),'Struktur Vorjahr'!$D472,INDIRECT(R$4))+SUMIF(INDIRECT(R$3),'Struktur Vorjahr'!$D472,INDIRECT(R$5)))</f>
        <v>0</v>
      </c>
      <c r="S472" s="593">
        <f ca="1">$E472*(-SUMIF(INDIRECT(S$3),'Struktur Vorjahr'!$D472,INDIRECT(S$4))+SUMIF(INDIRECT(S$3),'Struktur Vorjahr'!$D472,INDIRECT(S$5)))</f>
        <v>0</v>
      </c>
      <c r="T472" s="593">
        <f ca="1">$E472*(-SUMIF(INDIRECT(T$3),'Struktur Vorjahr'!$D472,INDIRECT(T$4))+SUMIF(INDIRECT(T$3),'Struktur Vorjahr'!$D472,INDIRECT(T$5)))</f>
        <v>0</v>
      </c>
      <c r="U472" s="593">
        <f ca="1">$E472*(-SUMIF(INDIRECT(U$3),'Struktur Vorjahr'!$D472,INDIRECT(U$4))+SUMIF(INDIRECT(U$3),'Struktur Vorjahr'!$D472,INDIRECT(U$5)))</f>
        <v>0</v>
      </c>
      <c r="V472" s="593">
        <f ca="1">$E472*(-SUMIF(INDIRECT(V$3),'Struktur Vorjahr'!$D472,INDIRECT(V$4))+SUMIF(INDIRECT(V$3),'Struktur Vorjahr'!$D472,INDIRECT(V$5)))</f>
        <v>0</v>
      </c>
      <c r="W472" s="593">
        <f ca="1">$E472*(-SUMIF(INDIRECT(W$3),'Struktur Vorjahr'!$D472,INDIRECT(W$4))+SUMIF(INDIRECT(W$3),'Struktur Vorjahr'!$D472,INDIRECT(W$5)))</f>
        <v>0</v>
      </c>
      <c r="X472" s="593">
        <f ca="1">$E472*(-SUMIF(INDIRECT(X$3),'Struktur Vorjahr'!$D472,INDIRECT(X$4))+SUMIF(INDIRECT(X$3),'Struktur Vorjahr'!$D472,INDIRECT(X$5)))</f>
        <v>0</v>
      </c>
      <c r="Y472" s="593">
        <f ca="1">$E472*(-SUMIF(INDIRECT(Y$3),'Struktur Vorjahr'!$D472,INDIRECT(Y$4))+SUMIF(INDIRECT(Y$3),'Struktur Vorjahr'!$D472,INDIRECT(Y$5)))</f>
        <v>0</v>
      </c>
      <c r="Z472" s="593">
        <f ca="1">$E472*(-SUMIF(INDIRECT(Z$3),'Struktur Vorjahr'!$D472,INDIRECT(Z$4))+SUMIF(INDIRECT(Z$3),'Struktur Vorjahr'!$D472,INDIRECT(Z$5)))</f>
        <v>0</v>
      </c>
      <c r="AA472" s="593">
        <f ca="1">$E472*(-SUMIF(INDIRECT(AA$3),'Struktur Vorjahr'!$D472,INDIRECT(AA$4))+SUMIF(INDIRECT(AA$3),'Struktur Vorjahr'!$D472,INDIRECT(AA$5)))</f>
        <v>0</v>
      </c>
      <c r="AB472" s="593">
        <f ca="1">$E472*(-SUMIF(INDIRECT(AB$3),'Struktur Vorjahr'!$D472,INDIRECT(AB$4))+SUMIF(INDIRECT(AB$3),'Struktur Vorjahr'!$D472,INDIRECT(AB$5)))</f>
        <v>0</v>
      </c>
      <c r="AC472" s="593">
        <f ca="1">$E472*(-SUMIF(INDIRECT(AC$3),'Struktur Vorjahr'!$D472,INDIRECT(AC$4))+SUMIF(INDIRECT(AC$3),'Struktur Vorjahr'!$D472,INDIRECT(AC$5)))</f>
        <v>0</v>
      </c>
      <c r="AD472" s="593">
        <f ca="1">$E472*(-SUMIF(INDIRECT(AD$3),'Struktur Vorjahr'!$D472,INDIRECT(AD$4))+SUMIF(INDIRECT(AD$3),'Struktur Vorjahr'!$D472,INDIRECT(AD$5)))</f>
        <v>0</v>
      </c>
      <c r="AE472" s="593">
        <f t="shared" ca="1" si="235"/>
        <v>0</v>
      </c>
      <c r="AF472" s="593">
        <f t="shared" ca="1" si="236"/>
        <v>0</v>
      </c>
      <c r="AG472" s="593">
        <f t="shared" ca="1" si="236"/>
        <v>0</v>
      </c>
      <c r="AH472" s="593">
        <f t="shared" ca="1" si="236"/>
        <v>0</v>
      </c>
      <c r="AI472" s="593">
        <f t="shared" ca="1" si="236"/>
        <v>0</v>
      </c>
      <c r="AJ472" s="593">
        <f t="shared" ca="1" si="236"/>
        <v>0</v>
      </c>
      <c r="AK472" s="593">
        <f t="shared" ca="1" si="236"/>
        <v>0</v>
      </c>
      <c r="AL472" s="593">
        <f t="shared" ca="1" si="236"/>
        <v>0</v>
      </c>
      <c r="AM472" s="593">
        <f t="shared" ca="1" si="236"/>
        <v>0</v>
      </c>
      <c r="AN472" s="593">
        <f t="shared" ca="1" si="236"/>
        <v>0</v>
      </c>
      <c r="AO472" s="593">
        <f t="shared" ca="1" si="236"/>
        <v>0</v>
      </c>
      <c r="AP472" s="593">
        <f t="shared" ca="1" si="236"/>
        <v>0</v>
      </c>
    </row>
    <row r="473" spans="1:42" s="594" customFormat="1" ht="11.25" outlineLevel="1" x14ac:dyDescent="0.2">
      <c r="A473" s="644"/>
      <c r="B473" s="591" t="str">
        <f>IF(D473&lt;&gt;"",
IF(ISERROR(MATCH(D473,'Ist Vorjahr Monat 01'!A:A,0))=FALSE,INDEX('Ist Vorjahr Monat 01'!B:B,MATCH(D473,'Ist Vorjahr Monat 01'!A:A,0)),
IF(ISERROR(MATCH(D473,'Ist Vorjahr Monat 02'!A:A,0))=FALSE,INDEX('Ist Vorjahr Monat 02'!B:B,MATCH(D473,'Ist Vorjahr Monat 02'!A:A,0)),
IF(ISERROR(MATCH(D473,'Ist Vorjahr Monat 03'!A:A,0))=FALSE,INDEX('Ist Vorjahr Monat 03'!B:B,MATCH(D473,'Ist Vorjahr Monat 03'!A:A,0)),
IF(ISERROR(MATCH(D473,'Ist Vorjahr Monat 04'!A:A,0))=FALSE,INDEX('Ist Vorjahr Monat 04'!B:B,MATCH(D473,'Ist Vorjahr Monat 04'!A:A,0)),
IF(ISERROR(MATCH(D473,'Ist Vorjahr Monat 05'!A:A,0))=FALSE,INDEX('Ist Vorjahr Monat 05'!B:B,MATCH(D473,'Ist Vorjahr Monat 05'!A:A,0)),
IF(ISERROR(MATCH(D473,'Ist Vorjahr Monat 06'!A:A,0))=FALSE,INDEX('Ist Vorjahr Monat 06'!B:B,MATCH(D473,'Ist Vorjahr Monat 06'!A:A,0)),
IF(ISERROR(MATCH(D473,'Ist Vorjahr Monat 07'!A:A,0))=FALSE,INDEX('Ist Vorjahr Monat 07'!B:B,MATCH(D473,'Ist Vorjahr Monat 07'!A:A,0)),
IF(ISERROR(MATCH(D473,'Ist Vorjahr Monat 08'!A:A,0))=FALSE,INDEX('Ist Vorjahr Monat 08'!B:B,MATCH(D473,'Ist Vorjahr Monat 08'!A:A,0)),
IF(ISERROR(MATCH(D473,'Ist Vorjahr Monat 09'!A:A,0))=FALSE,INDEX('Ist Vorjahr Monat 09'!B:B,MATCH(D473,'Ist Vorjahr Monat 09'!A:A,0)),
IF(ISERROR(MATCH(D473,'Ist Vorjahr Monat 10'!A:A,0))=FALSE,INDEX('Ist Vorjahr Monat 10'!B:B,MATCH(D473,'Ist Vorjahr Monat 10'!A:A,0)),
IF(ISERROR(MATCH(D473,'Ist Vorjahr Monat 11'!A:A,0))=FALSE,INDEX('Ist Vorjahr Monat 11'!B:B,MATCH(D473,'Ist Vorjahr Monat 11'!A:A,0)),
IF(ISERROR(MATCH(D473,'Ist Vorjahr Monat 12'!A:A,0))=FALSE,INDEX('Ist Vorjahr Monat 12'!B:B,MATCH(D473,'Ist Vorjahr Monat 12'!A:A,0)),
"{Konto unbekannt}"
)))))))))))),"")</f>
        <v/>
      </c>
      <c r="C473" s="1062"/>
      <c r="D473" s="1067"/>
      <c r="E473" s="625">
        <f t="shared" si="237"/>
        <v>-1</v>
      </c>
      <c r="F473" s="626" t="s">
        <v>996</v>
      </c>
      <c r="G473" s="593">
        <f ca="1">$E473*(-SUMIF(INDIRECT(G$3),'Struktur Vorjahr'!$D473,INDIRECT(G$4))+SUMIF(INDIRECT(G$3),'Struktur Vorjahr'!$D473,INDIRECT(G$5)))</f>
        <v>0</v>
      </c>
      <c r="H473" s="593">
        <f ca="1">$E473*(-SUMIF(INDIRECT(H$3),'Struktur Vorjahr'!$D473,INDIRECT(H$4))+SUMIF(INDIRECT(H$3),'Struktur Vorjahr'!$D473,INDIRECT(H$5)))</f>
        <v>0</v>
      </c>
      <c r="I473" s="593">
        <f ca="1">$E473*(-SUMIF(INDIRECT(I$3),'Struktur Vorjahr'!$D473,INDIRECT(I$4))+SUMIF(INDIRECT(I$3),'Struktur Vorjahr'!$D473,INDIRECT(I$5)))</f>
        <v>0</v>
      </c>
      <c r="J473" s="593">
        <f ca="1">$E473*(-SUMIF(INDIRECT(J$3),'Struktur Vorjahr'!$D473,INDIRECT(J$4))+SUMIF(INDIRECT(J$3),'Struktur Vorjahr'!$D473,INDIRECT(J$5)))</f>
        <v>0</v>
      </c>
      <c r="K473" s="593">
        <f ca="1">$E473*(-SUMIF(INDIRECT(K$3),'Struktur Vorjahr'!$D473,INDIRECT(K$4))+SUMIF(INDIRECT(K$3),'Struktur Vorjahr'!$D473,INDIRECT(K$5)))</f>
        <v>0</v>
      </c>
      <c r="L473" s="593">
        <f ca="1">$E473*(-SUMIF(INDIRECT(L$3),'Struktur Vorjahr'!$D473,INDIRECT(L$4))+SUMIF(INDIRECT(L$3),'Struktur Vorjahr'!$D473,INDIRECT(L$5)))</f>
        <v>0</v>
      </c>
      <c r="M473" s="593">
        <f ca="1">$E473*(-SUMIF(INDIRECT(M$3),'Struktur Vorjahr'!$D473,INDIRECT(M$4))+SUMIF(INDIRECT(M$3),'Struktur Vorjahr'!$D473,INDIRECT(M$5)))</f>
        <v>0</v>
      </c>
      <c r="N473" s="593">
        <f ca="1">$E473*(-SUMIF(INDIRECT(N$3),'Struktur Vorjahr'!$D473,INDIRECT(N$4))+SUMIF(INDIRECT(N$3),'Struktur Vorjahr'!$D473,INDIRECT(N$5)))</f>
        <v>0</v>
      </c>
      <c r="O473" s="593">
        <f ca="1">$E473*(-SUMIF(INDIRECT(O$3),'Struktur Vorjahr'!$D473,INDIRECT(O$4))+SUMIF(INDIRECT(O$3),'Struktur Vorjahr'!$D473,INDIRECT(O$5)))</f>
        <v>0</v>
      </c>
      <c r="P473" s="593">
        <f ca="1">$E473*(-SUMIF(INDIRECT(P$3),'Struktur Vorjahr'!$D473,INDIRECT(P$4))+SUMIF(INDIRECT(P$3),'Struktur Vorjahr'!$D473,INDIRECT(P$5)))</f>
        <v>0</v>
      </c>
      <c r="Q473" s="593">
        <f ca="1">$E473*(-SUMIF(INDIRECT(Q$3),'Struktur Vorjahr'!$D473,INDIRECT(Q$4))+SUMIF(INDIRECT(Q$3),'Struktur Vorjahr'!$D473,INDIRECT(Q$5)))</f>
        <v>0</v>
      </c>
      <c r="R473" s="593">
        <f ca="1">$E473*(-SUMIF(INDIRECT(R$3),'Struktur Vorjahr'!$D473,INDIRECT(R$4))+SUMIF(INDIRECT(R$3),'Struktur Vorjahr'!$D473,INDIRECT(R$5)))</f>
        <v>0</v>
      </c>
      <c r="S473" s="593">
        <f ca="1">$E473*(-SUMIF(INDIRECT(S$3),'Struktur Vorjahr'!$D473,INDIRECT(S$4))+SUMIF(INDIRECT(S$3),'Struktur Vorjahr'!$D473,INDIRECT(S$5)))</f>
        <v>0</v>
      </c>
      <c r="T473" s="593">
        <f ca="1">$E473*(-SUMIF(INDIRECT(T$3),'Struktur Vorjahr'!$D473,INDIRECT(T$4))+SUMIF(INDIRECT(T$3),'Struktur Vorjahr'!$D473,INDIRECT(T$5)))</f>
        <v>0</v>
      </c>
      <c r="U473" s="593">
        <f ca="1">$E473*(-SUMIF(INDIRECT(U$3),'Struktur Vorjahr'!$D473,INDIRECT(U$4))+SUMIF(INDIRECT(U$3),'Struktur Vorjahr'!$D473,INDIRECT(U$5)))</f>
        <v>0</v>
      </c>
      <c r="V473" s="593">
        <f ca="1">$E473*(-SUMIF(INDIRECT(V$3),'Struktur Vorjahr'!$D473,INDIRECT(V$4))+SUMIF(INDIRECT(V$3),'Struktur Vorjahr'!$D473,INDIRECT(V$5)))</f>
        <v>0</v>
      </c>
      <c r="W473" s="593">
        <f ca="1">$E473*(-SUMIF(INDIRECT(W$3),'Struktur Vorjahr'!$D473,INDIRECT(W$4))+SUMIF(INDIRECT(W$3),'Struktur Vorjahr'!$D473,INDIRECT(W$5)))</f>
        <v>0</v>
      </c>
      <c r="X473" s="593">
        <f ca="1">$E473*(-SUMIF(INDIRECT(X$3),'Struktur Vorjahr'!$D473,INDIRECT(X$4))+SUMIF(INDIRECT(X$3),'Struktur Vorjahr'!$D473,INDIRECT(X$5)))</f>
        <v>0</v>
      </c>
      <c r="Y473" s="593">
        <f ca="1">$E473*(-SUMIF(INDIRECT(Y$3),'Struktur Vorjahr'!$D473,INDIRECT(Y$4))+SUMIF(INDIRECT(Y$3),'Struktur Vorjahr'!$D473,INDIRECT(Y$5)))</f>
        <v>0</v>
      </c>
      <c r="Z473" s="593">
        <f ca="1">$E473*(-SUMIF(INDIRECT(Z$3),'Struktur Vorjahr'!$D473,INDIRECT(Z$4))+SUMIF(INDIRECT(Z$3),'Struktur Vorjahr'!$D473,INDIRECT(Z$5)))</f>
        <v>0</v>
      </c>
      <c r="AA473" s="593">
        <f ca="1">$E473*(-SUMIF(INDIRECT(AA$3),'Struktur Vorjahr'!$D473,INDIRECT(AA$4))+SUMIF(INDIRECT(AA$3),'Struktur Vorjahr'!$D473,INDIRECT(AA$5)))</f>
        <v>0</v>
      </c>
      <c r="AB473" s="593">
        <f ca="1">$E473*(-SUMIF(INDIRECT(AB$3),'Struktur Vorjahr'!$D473,INDIRECT(AB$4))+SUMIF(INDIRECT(AB$3),'Struktur Vorjahr'!$D473,INDIRECT(AB$5)))</f>
        <v>0</v>
      </c>
      <c r="AC473" s="593">
        <f ca="1">$E473*(-SUMIF(INDIRECT(AC$3),'Struktur Vorjahr'!$D473,INDIRECT(AC$4))+SUMIF(INDIRECT(AC$3),'Struktur Vorjahr'!$D473,INDIRECT(AC$5)))</f>
        <v>0</v>
      </c>
      <c r="AD473" s="593">
        <f ca="1">$E473*(-SUMIF(INDIRECT(AD$3),'Struktur Vorjahr'!$D473,INDIRECT(AD$4))+SUMIF(INDIRECT(AD$3),'Struktur Vorjahr'!$D473,INDIRECT(AD$5)))</f>
        <v>0</v>
      </c>
      <c r="AE473" s="593">
        <f t="shared" ca="1" si="235"/>
        <v>0</v>
      </c>
      <c r="AF473" s="593">
        <f t="shared" ca="1" si="236"/>
        <v>0</v>
      </c>
      <c r="AG473" s="593">
        <f t="shared" ca="1" si="236"/>
        <v>0</v>
      </c>
      <c r="AH473" s="593">
        <f t="shared" ca="1" si="236"/>
        <v>0</v>
      </c>
      <c r="AI473" s="593">
        <f t="shared" ca="1" si="236"/>
        <v>0</v>
      </c>
      <c r="AJ473" s="593">
        <f t="shared" ca="1" si="236"/>
        <v>0</v>
      </c>
      <c r="AK473" s="593">
        <f t="shared" ca="1" si="236"/>
        <v>0</v>
      </c>
      <c r="AL473" s="593">
        <f t="shared" ca="1" si="236"/>
        <v>0</v>
      </c>
      <c r="AM473" s="593">
        <f t="shared" ca="1" si="236"/>
        <v>0</v>
      </c>
      <c r="AN473" s="593">
        <f t="shared" ca="1" si="236"/>
        <v>0</v>
      </c>
      <c r="AO473" s="593">
        <f t="shared" ca="1" si="236"/>
        <v>0</v>
      </c>
      <c r="AP473" s="593">
        <f t="shared" ca="1" si="236"/>
        <v>0</v>
      </c>
    </row>
    <row r="474" spans="1:42" s="594" customFormat="1" ht="11.25" outlineLevel="1" x14ac:dyDescent="0.2">
      <c r="A474" s="644"/>
      <c r="B474" s="591" t="str">
        <f>IF(D474&lt;&gt;"",
IF(ISERROR(MATCH(D474,'Ist Vorjahr Monat 01'!A:A,0))=FALSE,INDEX('Ist Vorjahr Monat 01'!B:B,MATCH(D474,'Ist Vorjahr Monat 01'!A:A,0)),
IF(ISERROR(MATCH(D474,'Ist Vorjahr Monat 02'!A:A,0))=FALSE,INDEX('Ist Vorjahr Monat 02'!B:B,MATCH(D474,'Ist Vorjahr Monat 02'!A:A,0)),
IF(ISERROR(MATCH(D474,'Ist Vorjahr Monat 03'!A:A,0))=FALSE,INDEX('Ist Vorjahr Monat 03'!B:B,MATCH(D474,'Ist Vorjahr Monat 03'!A:A,0)),
IF(ISERROR(MATCH(D474,'Ist Vorjahr Monat 04'!A:A,0))=FALSE,INDEX('Ist Vorjahr Monat 04'!B:B,MATCH(D474,'Ist Vorjahr Monat 04'!A:A,0)),
IF(ISERROR(MATCH(D474,'Ist Vorjahr Monat 05'!A:A,0))=FALSE,INDEX('Ist Vorjahr Monat 05'!B:B,MATCH(D474,'Ist Vorjahr Monat 05'!A:A,0)),
IF(ISERROR(MATCH(D474,'Ist Vorjahr Monat 06'!A:A,0))=FALSE,INDEX('Ist Vorjahr Monat 06'!B:B,MATCH(D474,'Ist Vorjahr Monat 06'!A:A,0)),
IF(ISERROR(MATCH(D474,'Ist Vorjahr Monat 07'!A:A,0))=FALSE,INDEX('Ist Vorjahr Monat 07'!B:B,MATCH(D474,'Ist Vorjahr Monat 07'!A:A,0)),
IF(ISERROR(MATCH(D474,'Ist Vorjahr Monat 08'!A:A,0))=FALSE,INDEX('Ist Vorjahr Monat 08'!B:B,MATCH(D474,'Ist Vorjahr Monat 08'!A:A,0)),
IF(ISERROR(MATCH(D474,'Ist Vorjahr Monat 09'!A:A,0))=FALSE,INDEX('Ist Vorjahr Monat 09'!B:B,MATCH(D474,'Ist Vorjahr Monat 09'!A:A,0)),
IF(ISERROR(MATCH(D474,'Ist Vorjahr Monat 10'!A:A,0))=FALSE,INDEX('Ist Vorjahr Monat 10'!B:B,MATCH(D474,'Ist Vorjahr Monat 10'!A:A,0)),
IF(ISERROR(MATCH(D474,'Ist Vorjahr Monat 11'!A:A,0))=FALSE,INDEX('Ist Vorjahr Monat 11'!B:B,MATCH(D474,'Ist Vorjahr Monat 11'!A:A,0)),
IF(ISERROR(MATCH(D474,'Ist Vorjahr Monat 12'!A:A,0))=FALSE,INDEX('Ist Vorjahr Monat 12'!B:B,MATCH(D474,'Ist Vorjahr Monat 12'!A:A,0)),
"{Konto unbekannt}"
)))))))))))),"")</f>
        <v/>
      </c>
      <c r="C474" s="1062"/>
      <c r="D474" s="1067"/>
      <c r="E474" s="625">
        <f t="shared" si="237"/>
        <v>-1</v>
      </c>
      <c r="F474" s="626" t="s">
        <v>996</v>
      </c>
      <c r="G474" s="593">
        <f ca="1">$E474*(-SUMIF(INDIRECT(G$3),'Struktur Vorjahr'!$D474,INDIRECT(G$4))+SUMIF(INDIRECT(G$3),'Struktur Vorjahr'!$D474,INDIRECT(G$5)))</f>
        <v>0</v>
      </c>
      <c r="H474" s="593">
        <f ca="1">$E474*(-SUMIF(INDIRECT(H$3),'Struktur Vorjahr'!$D474,INDIRECT(H$4))+SUMIF(INDIRECT(H$3),'Struktur Vorjahr'!$D474,INDIRECT(H$5)))</f>
        <v>0</v>
      </c>
      <c r="I474" s="593">
        <f ca="1">$E474*(-SUMIF(INDIRECT(I$3),'Struktur Vorjahr'!$D474,INDIRECT(I$4))+SUMIF(INDIRECT(I$3),'Struktur Vorjahr'!$D474,INDIRECT(I$5)))</f>
        <v>0</v>
      </c>
      <c r="J474" s="593">
        <f ca="1">$E474*(-SUMIF(INDIRECT(J$3),'Struktur Vorjahr'!$D474,INDIRECT(J$4))+SUMIF(INDIRECT(J$3),'Struktur Vorjahr'!$D474,INDIRECT(J$5)))</f>
        <v>0</v>
      </c>
      <c r="K474" s="593">
        <f ca="1">$E474*(-SUMIF(INDIRECT(K$3),'Struktur Vorjahr'!$D474,INDIRECT(K$4))+SUMIF(INDIRECT(K$3),'Struktur Vorjahr'!$D474,INDIRECT(K$5)))</f>
        <v>0</v>
      </c>
      <c r="L474" s="593">
        <f ca="1">$E474*(-SUMIF(INDIRECT(L$3),'Struktur Vorjahr'!$D474,INDIRECT(L$4))+SUMIF(INDIRECT(L$3),'Struktur Vorjahr'!$D474,INDIRECT(L$5)))</f>
        <v>0</v>
      </c>
      <c r="M474" s="593">
        <f ca="1">$E474*(-SUMIF(INDIRECT(M$3),'Struktur Vorjahr'!$D474,INDIRECT(M$4))+SUMIF(INDIRECT(M$3),'Struktur Vorjahr'!$D474,INDIRECT(M$5)))</f>
        <v>0</v>
      </c>
      <c r="N474" s="593">
        <f ca="1">$E474*(-SUMIF(INDIRECT(N$3),'Struktur Vorjahr'!$D474,INDIRECT(N$4))+SUMIF(INDIRECT(N$3),'Struktur Vorjahr'!$D474,INDIRECT(N$5)))</f>
        <v>0</v>
      </c>
      <c r="O474" s="593">
        <f ca="1">$E474*(-SUMIF(INDIRECT(O$3),'Struktur Vorjahr'!$D474,INDIRECT(O$4))+SUMIF(INDIRECT(O$3),'Struktur Vorjahr'!$D474,INDIRECT(O$5)))</f>
        <v>0</v>
      </c>
      <c r="P474" s="593">
        <f ca="1">$E474*(-SUMIF(INDIRECT(P$3),'Struktur Vorjahr'!$D474,INDIRECT(P$4))+SUMIF(INDIRECT(P$3),'Struktur Vorjahr'!$D474,INDIRECT(P$5)))</f>
        <v>0</v>
      </c>
      <c r="Q474" s="593">
        <f ca="1">$E474*(-SUMIF(INDIRECT(Q$3),'Struktur Vorjahr'!$D474,INDIRECT(Q$4))+SUMIF(INDIRECT(Q$3),'Struktur Vorjahr'!$D474,INDIRECT(Q$5)))</f>
        <v>0</v>
      </c>
      <c r="R474" s="593">
        <f ca="1">$E474*(-SUMIF(INDIRECT(R$3),'Struktur Vorjahr'!$D474,INDIRECT(R$4))+SUMIF(INDIRECT(R$3),'Struktur Vorjahr'!$D474,INDIRECT(R$5)))</f>
        <v>0</v>
      </c>
      <c r="S474" s="593">
        <f ca="1">$E474*(-SUMIF(INDIRECT(S$3),'Struktur Vorjahr'!$D474,INDIRECT(S$4))+SUMIF(INDIRECT(S$3),'Struktur Vorjahr'!$D474,INDIRECT(S$5)))</f>
        <v>0</v>
      </c>
      <c r="T474" s="593">
        <f ca="1">$E474*(-SUMIF(INDIRECT(T$3),'Struktur Vorjahr'!$D474,INDIRECT(T$4))+SUMIF(INDIRECT(T$3),'Struktur Vorjahr'!$D474,INDIRECT(T$5)))</f>
        <v>0</v>
      </c>
      <c r="U474" s="593">
        <f ca="1">$E474*(-SUMIF(INDIRECT(U$3),'Struktur Vorjahr'!$D474,INDIRECT(U$4))+SUMIF(INDIRECT(U$3),'Struktur Vorjahr'!$D474,INDIRECT(U$5)))</f>
        <v>0</v>
      </c>
      <c r="V474" s="593">
        <f ca="1">$E474*(-SUMIF(INDIRECT(V$3),'Struktur Vorjahr'!$D474,INDIRECT(V$4))+SUMIF(INDIRECT(V$3),'Struktur Vorjahr'!$D474,INDIRECT(V$5)))</f>
        <v>0</v>
      </c>
      <c r="W474" s="593">
        <f ca="1">$E474*(-SUMIF(INDIRECT(W$3),'Struktur Vorjahr'!$D474,INDIRECT(W$4))+SUMIF(INDIRECT(W$3),'Struktur Vorjahr'!$D474,INDIRECT(W$5)))</f>
        <v>0</v>
      </c>
      <c r="X474" s="593">
        <f ca="1">$E474*(-SUMIF(INDIRECT(X$3),'Struktur Vorjahr'!$D474,INDIRECT(X$4))+SUMIF(INDIRECT(X$3),'Struktur Vorjahr'!$D474,INDIRECT(X$5)))</f>
        <v>0</v>
      </c>
      <c r="Y474" s="593">
        <f ca="1">$E474*(-SUMIF(INDIRECT(Y$3),'Struktur Vorjahr'!$D474,INDIRECT(Y$4))+SUMIF(INDIRECT(Y$3),'Struktur Vorjahr'!$D474,INDIRECT(Y$5)))</f>
        <v>0</v>
      </c>
      <c r="Z474" s="593">
        <f ca="1">$E474*(-SUMIF(INDIRECT(Z$3),'Struktur Vorjahr'!$D474,INDIRECT(Z$4))+SUMIF(INDIRECT(Z$3),'Struktur Vorjahr'!$D474,INDIRECT(Z$5)))</f>
        <v>0</v>
      </c>
      <c r="AA474" s="593">
        <f ca="1">$E474*(-SUMIF(INDIRECT(AA$3),'Struktur Vorjahr'!$D474,INDIRECT(AA$4))+SUMIF(INDIRECT(AA$3),'Struktur Vorjahr'!$D474,INDIRECT(AA$5)))</f>
        <v>0</v>
      </c>
      <c r="AB474" s="593">
        <f ca="1">$E474*(-SUMIF(INDIRECT(AB$3),'Struktur Vorjahr'!$D474,INDIRECT(AB$4))+SUMIF(INDIRECT(AB$3),'Struktur Vorjahr'!$D474,INDIRECT(AB$5)))</f>
        <v>0</v>
      </c>
      <c r="AC474" s="593">
        <f ca="1">$E474*(-SUMIF(INDIRECT(AC$3),'Struktur Vorjahr'!$D474,INDIRECT(AC$4))+SUMIF(INDIRECT(AC$3),'Struktur Vorjahr'!$D474,INDIRECT(AC$5)))</f>
        <v>0</v>
      </c>
      <c r="AD474" s="593">
        <f ca="1">$E474*(-SUMIF(INDIRECT(AD$3),'Struktur Vorjahr'!$D474,INDIRECT(AD$4))+SUMIF(INDIRECT(AD$3),'Struktur Vorjahr'!$D474,INDIRECT(AD$5)))</f>
        <v>0</v>
      </c>
      <c r="AE474" s="593">
        <f t="shared" ca="1" si="235"/>
        <v>0</v>
      </c>
      <c r="AF474" s="593">
        <f t="shared" ca="1" si="236"/>
        <v>0</v>
      </c>
      <c r="AG474" s="593">
        <f t="shared" ca="1" si="236"/>
        <v>0</v>
      </c>
      <c r="AH474" s="593">
        <f t="shared" ca="1" si="236"/>
        <v>0</v>
      </c>
      <c r="AI474" s="593">
        <f t="shared" ca="1" si="236"/>
        <v>0</v>
      </c>
      <c r="AJ474" s="593">
        <f t="shared" ca="1" si="236"/>
        <v>0</v>
      </c>
      <c r="AK474" s="593">
        <f t="shared" ca="1" si="236"/>
        <v>0</v>
      </c>
      <c r="AL474" s="593">
        <f t="shared" ca="1" si="236"/>
        <v>0</v>
      </c>
      <c r="AM474" s="593">
        <f t="shared" ca="1" si="236"/>
        <v>0</v>
      </c>
      <c r="AN474" s="593">
        <f t="shared" ca="1" si="236"/>
        <v>0</v>
      </c>
      <c r="AO474" s="593">
        <f t="shared" ca="1" si="236"/>
        <v>0</v>
      </c>
      <c r="AP474" s="593">
        <f t="shared" ca="1" si="236"/>
        <v>0</v>
      </c>
    </row>
    <row r="475" spans="1:42" s="594" customFormat="1" ht="11.25" outlineLevel="1" x14ac:dyDescent="0.2">
      <c r="A475" s="644"/>
      <c r="B475" s="591" t="str">
        <f>IF(D475&lt;&gt;"",
IF(ISERROR(MATCH(D475,'Ist Vorjahr Monat 01'!A:A,0))=FALSE,INDEX('Ist Vorjahr Monat 01'!B:B,MATCH(D475,'Ist Vorjahr Monat 01'!A:A,0)),
IF(ISERROR(MATCH(D475,'Ist Vorjahr Monat 02'!A:A,0))=FALSE,INDEX('Ist Vorjahr Monat 02'!B:B,MATCH(D475,'Ist Vorjahr Monat 02'!A:A,0)),
IF(ISERROR(MATCH(D475,'Ist Vorjahr Monat 03'!A:A,0))=FALSE,INDEX('Ist Vorjahr Monat 03'!B:B,MATCH(D475,'Ist Vorjahr Monat 03'!A:A,0)),
IF(ISERROR(MATCH(D475,'Ist Vorjahr Monat 04'!A:A,0))=FALSE,INDEX('Ist Vorjahr Monat 04'!B:B,MATCH(D475,'Ist Vorjahr Monat 04'!A:A,0)),
IF(ISERROR(MATCH(D475,'Ist Vorjahr Monat 05'!A:A,0))=FALSE,INDEX('Ist Vorjahr Monat 05'!B:B,MATCH(D475,'Ist Vorjahr Monat 05'!A:A,0)),
IF(ISERROR(MATCH(D475,'Ist Vorjahr Monat 06'!A:A,0))=FALSE,INDEX('Ist Vorjahr Monat 06'!B:B,MATCH(D475,'Ist Vorjahr Monat 06'!A:A,0)),
IF(ISERROR(MATCH(D475,'Ist Vorjahr Monat 07'!A:A,0))=FALSE,INDEX('Ist Vorjahr Monat 07'!B:B,MATCH(D475,'Ist Vorjahr Monat 07'!A:A,0)),
IF(ISERROR(MATCH(D475,'Ist Vorjahr Monat 08'!A:A,0))=FALSE,INDEX('Ist Vorjahr Monat 08'!B:B,MATCH(D475,'Ist Vorjahr Monat 08'!A:A,0)),
IF(ISERROR(MATCH(D475,'Ist Vorjahr Monat 09'!A:A,0))=FALSE,INDEX('Ist Vorjahr Monat 09'!B:B,MATCH(D475,'Ist Vorjahr Monat 09'!A:A,0)),
IF(ISERROR(MATCH(D475,'Ist Vorjahr Monat 10'!A:A,0))=FALSE,INDEX('Ist Vorjahr Monat 10'!B:B,MATCH(D475,'Ist Vorjahr Monat 10'!A:A,0)),
IF(ISERROR(MATCH(D475,'Ist Vorjahr Monat 11'!A:A,0))=FALSE,INDEX('Ist Vorjahr Monat 11'!B:B,MATCH(D475,'Ist Vorjahr Monat 11'!A:A,0)),
IF(ISERROR(MATCH(D475,'Ist Vorjahr Monat 12'!A:A,0))=FALSE,INDEX('Ist Vorjahr Monat 12'!B:B,MATCH(D475,'Ist Vorjahr Monat 12'!A:A,0)),
"{Konto unbekannt}"
)))))))))))),"")</f>
        <v/>
      </c>
      <c r="C475" s="1062"/>
      <c r="D475" s="1067"/>
      <c r="E475" s="625">
        <f t="shared" si="237"/>
        <v>-1</v>
      </c>
      <c r="F475" s="626" t="s">
        <v>996</v>
      </c>
      <c r="G475" s="593">
        <f ca="1">$E475*(-SUMIF(INDIRECT(G$3),'Struktur Vorjahr'!$D475,INDIRECT(G$4))+SUMIF(INDIRECT(G$3),'Struktur Vorjahr'!$D475,INDIRECT(G$5)))</f>
        <v>0</v>
      </c>
      <c r="H475" s="593">
        <f ca="1">$E475*(-SUMIF(INDIRECT(H$3),'Struktur Vorjahr'!$D475,INDIRECT(H$4))+SUMIF(INDIRECT(H$3),'Struktur Vorjahr'!$D475,INDIRECT(H$5)))</f>
        <v>0</v>
      </c>
      <c r="I475" s="593">
        <f ca="1">$E475*(-SUMIF(INDIRECT(I$3),'Struktur Vorjahr'!$D475,INDIRECT(I$4))+SUMIF(INDIRECT(I$3),'Struktur Vorjahr'!$D475,INDIRECT(I$5)))</f>
        <v>0</v>
      </c>
      <c r="J475" s="593">
        <f ca="1">$E475*(-SUMIF(INDIRECT(J$3),'Struktur Vorjahr'!$D475,INDIRECT(J$4))+SUMIF(INDIRECT(J$3),'Struktur Vorjahr'!$D475,INDIRECT(J$5)))</f>
        <v>0</v>
      </c>
      <c r="K475" s="593">
        <f ca="1">$E475*(-SUMIF(INDIRECT(K$3),'Struktur Vorjahr'!$D475,INDIRECT(K$4))+SUMIF(INDIRECT(K$3),'Struktur Vorjahr'!$D475,INDIRECT(K$5)))</f>
        <v>0</v>
      </c>
      <c r="L475" s="593">
        <f ca="1">$E475*(-SUMIF(INDIRECT(L$3),'Struktur Vorjahr'!$D475,INDIRECT(L$4))+SUMIF(INDIRECT(L$3),'Struktur Vorjahr'!$D475,INDIRECT(L$5)))</f>
        <v>0</v>
      </c>
      <c r="M475" s="593">
        <f ca="1">$E475*(-SUMIF(INDIRECT(M$3),'Struktur Vorjahr'!$D475,INDIRECT(M$4))+SUMIF(INDIRECT(M$3),'Struktur Vorjahr'!$D475,INDIRECT(M$5)))</f>
        <v>0</v>
      </c>
      <c r="N475" s="593">
        <f ca="1">$E475*(-SUMIF(INDIRECT(N$3),'Struktur Vorjahr'!$D475,INDIRECT(N$4))+SUMIF(INDIRECT(N$3),'Struktur Vorjahr'!$D475,INDIRECT(N$5)))</f>
        <v>0</v>
      </c>
      <c r="O475" s="593">
        <f ca="1">$E475*(-SUMIF(INDIRECT(O$3),'Struktur Vorjahr'!$D475,INDIRECT(O$4))+SUMIF(INDIRECT(O$3),'Struktur Vorjahr'!$D475,INDIRECT(O$5)))</f>
        <v>0</v>
      </c>
      <c r="P475" s="593">
        <f ca="1">$E475*(-SUMIF(INDIRECT(P$3),'Struktur Vorjahr'!$D475,INDIRECT(P$4))+SUMIF(INDIRECT(P$3),'Struktur Vorjahr'!$D475,INDIRECT(P$5)))</f>
        <v>0</v>
      </c>
      <c r="Q475" s="593">
        <f ca="1">$E475*(-SUMIF(INDIRECT(Q$3),'Struktur Vorjahr'!$D475,INDIRECT(Q$4))+SUMIF(INDIRECT(Q$3),'Struktur Vorjahr'!$D475,INDIRECT(Q$5)))</f>
        <v>0</v>
      </c>
      <c r="R475" s="593">
        <f ca="1">$E475*(-SUMIF(INDIRECT(R$3),'Struktur Vorjahr'!$D475,INDIRECT(R$4))+SUMIF(INDIRECT(R$3),'Struktur Vorjahr'!$D475,INDIRECT(R$5)))</f>
        <v>0</v>
      </c>
      <c r="S475" s="593">
        <f ca="1">$E475*(-SUMIF(INDIRECT(S$3),'Struktur Vorjahr'!$D475,INDIRECT(S$4))+SUMIF(INDIRECT(S$3),'Struktur Vorjahr'!$D475,INDIRECT(S$5)))</f>
        <v>0</v>
      </c>
      <c r="T475" s="593">
        <f ca="1">$E475*(-SUMIF(INDIRECT(T$3),'Struktur Vorjahr'!$D475,INDIRECT(T$4))+SUMIF(INDIRECT(T$3),'Struktur Vorjahr'!$D475,INDIRECT(T$5)))</f>
        <v>0</v>
      </c>
      <c r="U475" s="593">
        <f ca="1">$E475*(-SUMIF(INDIRECT(U$3),'Struktur Vorjahr'!$D475,INDIRECT(U$4))+SUMIF(INDIRECT(U$3),'Struktur Vorjahr'!$D475,INDIRECT(U$5)))</f>
        <v>0</v>
      </c>
      <c r="V475" s="593">
        <f ca="1">$E475*(-SUMIF(INDIRECT(V$3),'Struktur Vorjahr'!$D475,INDIRECT(V$4))+SUMIF(INDIRECT(V$3),'Struktur Vorjahr'!$D475,INDIRECT(V$5)))</f>
        <v>0</v>
      </c>
      <c r="W475" s="593">
        <f ca="1">$E475*(-SUMIF(INDIRECT(W$3),'Struktur Vorjahr'!$D475,INDIRECT(W$4))+SUMIF(INDIRECT(W$3),'Struktur Vorjahr'!$D475,INDIRECT(W$5)))</f>
        <v>0</v>
      </c>
      <c r="X475" s="593">
        <f ca="1">$E475*(-SUMIF(INDIRECT(X$3),'Struktur Vorjahr'!$D475,INDIRECT(X$4))+SUMIF(INDIRECT(X$3),'Struktur Vorjahr'!$D475,INDIRECT(X$5)))</f>
        <v>0</v>
      </c>
      <c r="Y475" s="593">
        <f ca="1">$E475*(-SUMIF(INDIRECT(Y$3),'Struktur Vorjahr'!$D475,INDIRECT(Y$4))+SUMIF(INDIRECT(Y$3),'Struktur Vorjahr'!$D475,INDIRECT(Y$5)))</f>
        <v>0</v>
      </c>
      <c r="Z475" s="593">
        <f ca="1">$E475*(-SUMIF(INDIRECT(Z$3),'Struktur Vorjahr'!$D475,INDIRECT(Z$4))+SUMIF(INDIRECT(Z$3),'Struktur Vorjahr'!$D475,INDIRECT(Z$5)))</f>
        <v>0</v>
      </c>
      <c r="AA475" s="593">
        <f ca="1">$E475*(-SUMIF(INDIRECT(AA$3),'Struktur Vorjahr'!$D475,INDIRECT(AA$4))+SUMIF(INDIRECT(AA$3),'Struktur Vorjahr'!$D475,INDIRECT(AA$5)))</f>
        <v>0</v>
      </c>
      <c r="AB475" s="593">
        <f ca="1">$E475*(-SUMIF(INDIRECT(AB$3),'Struktur Vorjahr'!$D475,INDIRECT(AB$4))+SUMIF(INDIRECT(AB$3),'Struktur Vorjahr'!$D475,INDIRECT(AB$5)))</f>
        <v>0</v>
      </c>
      <c r="AC475" s="593">
        <f ca="1">$E475*(-SUMIF(INDIRECT(AC$3),'Struktur Vorjahr'!$D475,INDIRECT(AC$4))+SUMIF(INDIRECT(AC$3),'Struktur Vorjahr'!$D475,INDIRECT(AC$5)))</f>
        <v>0</v>
      </c>
      <c r="AD475" s="593">
        <f ca="1">$E475*(-SUMIF(INDIRECT(AD$3),'Struktur Vorjahr'!$D475,INDIRECT(AD$4))+SUMIF(INDIRECT(AD$3),'Struktur Vorjahr'!$D475,INDIRECT(AD$5)))</f>
        <v>0</v>
      </c>
      <c r="AE475" s="593">
        <f t="shared" ca="1" si="235"/>
        <v>0</v>
      </c>
      <c r="AF475" s="593">
        <f t="shared" ca="1" si="236"/>
        <v>0</v>
      </c>
      <c r="AG475" s="593">
        <f t="shared" ca="1" si="236"/>
        <v>0</v>
      </c>
      <c r="AH475" s="593">
        <f t="shared" ca="1" si="236"/>
        <v>0</v>
      </c>
      <c r="AI475" s="593">
        <f t="shared" ca="1" si="236"/>
        <v>0</v>
      </c>
      <c r="AJ475" s="593">
        <f t="shared" ca="1" si="236"/>
        <v>0</v>
      </c>
      <c r="AK475" s="593">
        <f t="shared" ca="1" si="236"/>
        <v>0</v>
      </c>
      <c r="AL475" s="593">
        <f t="shared" ca="1" si="236"/>
        <v>0</v>
      </c>
      <c r="AM475" s="593">
        <f t="shared" ca="1" si="236"/>
        <v>0</v>
      </c>
      <c r="AN475" s="593">
        <f t="shared" ca="1" si="236"/>
        <v>0</v>
      </c>
      <c r="AO475" s="593">
        <f t="shared" ca="1" si="236"/>
        <v>0</v>
      </c>
      <c r="AP475" s="593">
        <f t="shared" ca="1" si="236"/>
        <v>0</v>
      </c>
    </row>
    <row r="476" spans="1:42" s="589" customFormat="1" outlineLevel="1" x14ac:dyDescent="0.2">
      <c r="A476" s="629">
        <v>43</v>
      </c>
      <c r="B476" s="623" t="s">
        <v>279</v>
      </c>
      <c r="C476" s="627">
        <f ca="1">SUM(G476:R476)</f>
        <v>0</v>
      </c>
      <c r="D476" s="627"/>
      <c r="E476" s="628">
        <f t="shared" si="237"/>
        <v>1</v>
      </c>
      <c r="F476" s="628"/>
      <c r="G476" s="627">
        <f ca="1">SUM(G477:G480)</f>
        <v>0</v>
      </c>
      <c r="H476" s="627">
        <f ca="1">SUM(H477:H480)</f>
        <v>0</v>
      </c>
      <c r="I476" s="627">
        <f t="shared" ref="I476:R476" ca="1" si="238">SUM(I477:I480)</f>
        <v>0</v>
      </c>
      <c r="J476" s="627">
        <f t="shared" ca="1" si="238"/>
        <v>0</v>
      </c>
      <c r="K476" s="627">
        <f t="shared" ca="1" si="238"/>
        <v>0</v>
      </c>
      <c r="L476" s="627">
        <f t="shared" ca="1" si="238"/>
        <v>0</v>
      </c>
      <c r="M476" s="627">
        <f t="shared" ca="1" si="238"/>
        <v>0</v>
      </c>
      <c r="N476" s="627">
        <f t="shared" ca="1" si="238"/>
        <v>0</v>
      </c>
      <c r="O476" s="627">
        <f t="shared" ca="1" si="238"/>
        <v>0</v>
      </c>
      <c r="P476" s="627">
        <f t="shared" ca="1" si="238"/>
        <v>0</v>
      </c>
      <c r="Q476" s="627">
        <f t="shared" ca="1" si="238"/>
        <v>0</v>
      </c>
      <c r="R476" s="627">
        <f t="shared" ca="1" si="238"/>
        <v>0</v>
      </c>
      <c r="S476" s="627">
        <f ca="1">SUM(S477:S480)</f>
        <v>0</v>
      </c>
      <c r="T476" s="627">
        <f ca="1">SUM(T477:T480)</f>
        <v>0</v>
      </c>
      <c r="U476" s="627">
        <f t="shared" ref="U476:AD476" ca="1" si="239">SUM(U477:U480)</f>
        <v>0</v>
      </c>
      <c r="V476" s="627">
        <f t="shared" ca="1" si="239"/>
        <v>0</v>
      </c>
      <c r="W476" s="627">
        <f t="shared" ca="1" si="239"/>
        <v>0</v>
      </c>
      <c r="X476" s="627">
        <f t="shared" ca="1" si="239"/>
        <v>0</v>
      </c>
      <c r="Y476" s="627">
        <f t="shared" ca="1" si="239"/>
        <v>0</v>
      </c>
      <c r="Z476" s="627">
        <f t="shared" ca="1" si="239"/>
        <v>0</v>
      </c>
      <c r="AA476" s="627">
        <f t="shared" ca="1" si="239"/>
        <v>0</v>
      </c>
      <c r="AB476" s="627">
        <f t="shared" ca="1" si="239"/>
        <v>0</v>
      </c>
      <c r="AC476" s="627">
        <f t="shared" ca="1" si="239"/>
        <v>0</v>
      </c>
      <c r="AD476" s="627">
        <f t="shared" ca="1" si="239"/>
        <v>0</v>
      </c>
      <c r="AE476" s="627">
        <f ca="1">SUM(AE477:AE480)</f>
        <v>0</v>
      </c>
      <c r="AF476" s="627">
        <f ca="1">SUM(AF477:AF480)</f>
        <v>0</v>
      </c>
      <c r="AG476" s="627">
        <f t="shared" ref="AG476:AP476" ca="1" si="240">SUM(AG477:AG480)</f>
        <v>0</v>
      </c>
      <c r="AH476" s="627">
        <f t="shared" ca="1" si="240"/>
        <v>0</v>
      </c>
      <c r="AI476" s="627">
        <f t="shared" ca="1" si="240"/>
        <v>0</v>
      </c>
      <c r="AJ476" s="627">
        <f t="shared" ca="1" si="240"/>
        <v>0</v>
      </c>
      <c r="AK476" s="627">
        <f t="shared" ca="1" si="240"/>
        <v>0</v>
      </c>
      <c r="AL476" s="627">
        <f t="shared" ca="1" si="240"/>
        <v>0</v>
      </c>
      <c r="AM476" s="627">
        <f t="shared" ca="1" si="240"/>
        <v>0</v>
      </c>
      <c r="AN476" s="627">
        <f t="shared" ca="1" si="240"/>
        <v>0</v>
      </c>
      <c r="AO476" s="627">
        <f t="shared" ca="1" si="240"/>
        <v>0</v>
      </c>
      <c r="AP476" s="627">
        <f t="shared" ca="1" si="240"/>
        <v>0</v>
      </c>
    </row>
    <row r="477" spans="1:42" s="594" customFormat="1" ht="11.25" outlineLevel="1" x14ac:dyDescent="0.2">
      <c r="A477" s="644"/>
      <c r="B477" s="591" t="str">
        <f>IF(D477&lt;&gt;"",
IF(ISERROR(MATCH(D477,'Ist Vorjahr Monat 01'!A:A,0))=FALSE,INDEX('Ist Vorjahr Monat 01'!B:B,MATCH(D477,'Ist Vorjahr Monat 01'!A:A,0)),
IF(ISERROR(MATCH(D477,'Ist Vorjahr Monat 02'!A:A,0))=FALSE,INDEX('Ist Vorjahr Monat 02'!B:B,MATCH(D477,'Ist Vorjahr Monat 02'!A:A,0)),
IF(ISERROR(MATCH(D477,'Ist Vorjahr Monat 03'!A:A,0))=FALSE,INDEX('Ist Vorjahr Monat 03'!B:B,MATCH(D477,'Ist Vorjahr Monat 03'!A:A,0)),
IF(ISERROR(MATCH(D477,'Ist Vorjahr Monat 04'!A:A,0))=FALSE,INDEX('Ist Vorjahr Monat 04'!B:B,MATCH(D477,'Ist Vorjahr Monat 04'!A:A,0)),
IF(ISERROR(MATCH(D477,'Ist Vorjahr Monat 05'!A:A,0))=FALSE,INDEX('Ist Vorjahr Monat 05'!B:B,MATCH(D477,'Ist Vorjahr Monat 05'!A:A,0)),
IF(ISERROR(MATCH(D477,'Ist Vorjahr Monat 06'!A:A,0))=FALSE,INDEX('Ist Vorjahr Monat 06'!B:B,MATCH(D477,'Ist Vorjahr Monat 06'!A:A,0)),
IF(ISERROR(MATCH(D477,'Ist Vorjahr Monat 07'!A:A,0))=FALSE,INDEX('Ist Vorjahr Monat 07'!B:B,MATCH(D477,'Ist Vorjahr Monat 07'!A:A,0)),
IF(ISERROR(MATCH(D477,'Ist Vorjahr Monat 08'!A:A,0))=FALSE,INDEX('Ist Vorjahr Monat 08'!B:B,MATCH(D477,'Ist Vorjahr Monat 08'!A:A,0)),
IF(ISERROR(MATCH(D477,'Ist Vorjahr Monat 09'!A:A,0))=FALSE,INDEX('Ist Vorjahr Monat 09'!B:B,MATCH(D477,'Ist Vorjahr Monat 09'!A:A,0)),
IF(ISERROR(MATCH(D477,'Ist Vorjahr Monat 10'!A:A,0))=FALSE,INDEX('Ist Vorjahr Monat 10'!B:B,MATCH(D477,'Ist Vorjahr Monat 10'!A:A,0)),
IF(ISERROR(MATCH(D477,'Ist Vorjahr Monat 11'!A:A,0))=FALSE,INDEX('Ist Vorjahr Monat 11'!B:B,MATCH(D477,'Ist Vorjahr Monat 11'!A:A,0)),
IF(ISERROR(MATCH(D477,'Ist Vorjahr Monat 12'!A:A,0))=FALSE,INDEX('Ist Vorjahr Monat 12'!B:B,MATCH(D477,'Ist Vorjahr Monat 12'!A:A,0)),
"{Konto unbekannt}"
)))))))))))),"")</f>
        <v/>
      </c>
      <c r="C477" s="1062"/>
      <c r="D477" s="1067"/>
      <c r="E477" s="625">
        <f t="shared" si="237"/>
        <v>1</v>
      </c>
      <c r="F477" s="626"/>
      <c r="G477" s="593">
        <f ca="1">$E477*(-SUMIF(INDIRECT(G$3),'Struktur Vorjahr'!$D477,INDIRECT(G$4))+SUMIF(INDIRECT(G$3),'Struktur Vorjahr'!$D477,INDIRECT(G$5)))</f>
        <v>0</v>
      </c>
      <c r="H477" s="593">
        <f ca="1">$E477*(-SUMIF(INDIRECT(H$3),'Struktur Vorjahr'!$D477,INDIRECT(H$4))+SUMIF(INDIRECT(H$3),'Struktur Vorjahr'!$D477,INDIRECT(H$5)))</f>
        <v>0</v>
      </c>
      <c r="I477" s="593">
        <f ca="1">$E477*(-SUMIF(INDIRECT(I$3),'Struktur Vorjahr'!$D477,INDIRECT(I$4))+SUMIF(INDIRECT(I$3),'Struktur Vorjahr'!$D477,INDIRECT(I$5)))</f>
        <v>0</v>
      </c>
      <c r="J477" s="593">
        <f ca="1">$E477*(-SUMIF(INDIRECT(J$3),'Struktur Vorjahr'!$D477,INDIRECT(J$4))+SUMIF(INDIRECT(J$3),'Struktur Vorjahr'!$D477,INDIRECT(J$5)))</f>
        <v>0</v>
      </c>
      <c r="K477" s="593">
        <f ca="1">$E477*(-SUMIF(INDIRECT(K$3),'Struktur Vorjahr'!$D477,INDIRECT(K$4))+SUMIF(INDIRECT(K$3),'Struktur Vorjahr'!$D477,INDIRECT(K$5)))</f>
        <v>0</v>
      </c>
      <c r="L477" s="593">
        <f ca="1">$E477*(-SUMIF(INDIRECT(L$3),'Struktur Vorjahr'!$D477,INDIRECT(L$4))+SUMIF(INDIRECT(L$3),'Struktur Vorjahr'!$D477,INDIRECT(L$5)))</f>
        <v>0</v>
      </c>
      <c r="M477" s="593">
        <f ca="1">$E477*(-SUMIF(INDIRECT(M$3),'Struktur Vorjahr'!$D477,INDIRECT(M$4))+SUMIF(INDIRECT(M$3),'Struktur Vorjahr'!$D477,INDIRECT(M$5)))</f>
        <v>0</v>
      </c>
      <c r="N477" s="593">
        <f ca="1">$E477*(-SUMIF(INDIRECT(N$3),'Struktur Vorjahr'!$D477,INDIRECT(N$4))+SUMIF(INDIRECT(N$3),'Struktur Vorjahr'!$D477,INDIRECT(N$5)))</f>
        <v>0</v>
      </c>
      <c r="O477" s="593">
        <f ca="1">$E477*(-SUMIF(INDIRECT(O$3),'Struktur Vorjahr'!$D477,INDIRECT(O$4))+SUMIF(INDIRECT(O$3),'Struktur Vorjahr'!$D477,INDIRECT(O$5)))</f>
        <v>0</v>
      </c>
      <c r="P477" s="593">
        <f ca="1">$E477*(-SUMIF(INDIRECT(P$3),'Struktur Vorjahr'!$D477,INDIRECT(P$4))+SUMIF(INDIRECT(P$3),'Struktur Vorjahr'!$D477,INDIRECT(P$5)))</f>
        <v>0</v>
      </c>
      <c r="Q477" s="593">
        <f ca="1">$E477*(-SUMIF(INDIRECT(Q$3),'Struktur Vorjahr'!$D477,INDIRECT(Q$4))+SUMIF(INDIRECT(Q$3),'Struktur Vorjahr'!$D477,INDIRECT(Q$5)))</f>
        <v>0</v>
      </c>
      <c r="R477" s="593">
        <f ca="1">$E477*(-SUMIF(INDIRECT(R$3),'Struktur Vorjahr'!$D477,INDIRECT(R$4))+SUMIF(INDIRECT(R$3),'Struktur Vorjahr'!$D477,INDIRECT(R$5)))</f>
        <v>0</v>
      </c>
      <c r="S477" s="593">
        <f ca="1">$E477*(-SUMIF(INDIRECT(S$3),'Struktur Vorjahr'!$D477,INDIRECT(S$4))+SUMIF(INDIRECT(S$3),'Struktur Vorjahr'!$D477,INDIRECT(S$5)))</f>
        <v>0</v>
      </c>
      <c r="T477" s="593">
        <f ca="1">$E477*(-SUMIF(INDIRECT(T$3),'Struktur Vorjahr'!$D477,INDIRECT(T$4))+SUMIF(INDIRECT(T$3),'Struktur Vorjahr'!$D477,INDIRECT(T$5)))</f>
        <v>0</v>
      </c>
      <c r="U477" s="593">
        <f ca="1">$E477*(-SUMIF(INDIRECT(U$3),'Struktur Vorjahr'!$D477,INDIRECT(U$4))+SUMIF(INDIRECT(U$3),'Struktur Vorjahr'!$D477,INDIRECT(U$5)))</f>
        <v>0</v>
      </c>
      <c r="V477" s="593">
        <f ca="1">$E477*(-SUMIF(INDIRECT(V$3),'Struktur Vorjahr'!$D477,INDIRECT(V$4))+SUMIF(INDIRECT(V$3),'Struktur Vorjahr'!$D477,INDIRECT(V$5)))</f>
        <v>0</v>
      </c>
      <c r="W477" s="593">
        <f ca="1">$E477*(-SUMIF(INDIRECT(W$3),'Struktur Vorjahr'!$D477,INDIRECT(W$4))+SUMIF(INDIRECT(W$3),'Struktur Vorjahr'!$D477,INDIRECT(W$5)))</f>
        <v>0</v>
      </c>
      <c r="X477" s="593">
        <f ca="1">$E477*(-SUMIF(INDIRECT(X$3),'Struktur Vorjahr'!$D477,INDIRECT(X$4))+SUMIF(INDIRECT(X$3),'Struktur Vorjahr'!$D477,INDIRECT(X$5)))</f>
        <v>0</v>
      </c>
      <c r="Y477" s="593">
        <f ca="1">$E477*(-SUMIF(INDIRECT(Y$3),'Struktur Vorjahr'!$D477,INDIRECT(Y$4))+SUMIF(INDIRECT(Y$3),'Struktur Vorjahr'!$D477,INDIRECT(Y$5)))</f>
        <v>0</v>
      </c>
      <c r="Z477" s="593">
        <f ca="1">$E477*(-SUMIF(INDIRECT(Z$3),'Struktur Vorjahr'!$D477,INDIRECT(Z$4))+SUMIF(INDIRECT(Z$3),'Struktur Vorjahr'!$D477,INDIRECT(Z$5)))</f>
        <v>0</v>
      </c>
      <c r="AA477" s="593">
        <f ca="1">$E477*(-SUMIF(INDIRECT(AA$3),'Struktur Vorjahr'!$D477,INDIRECT(AA$4))+SUMIF(INDIRECT(AA$3),'Struktur Vorjahr'!$D477,INDIRECT(AA$5)))</f>
        <v>0</v>
      </c>
      <c r="AB477" s="593">
        <f ca="1">$E477*(-SUMIF(INDIRECT(AB$3),'Struktur Vorjahr'!$D477,INDIRECT(AB$4))+SUMIF(INDIRECT(AB$3),'Struktur Vorjahr'!$D477,INDIRECT(AB$5)))</f>
        <v>0</v>
      </c>
      <c r="AC477" s="593">
        <f ca="1">$E477*(-SUMIF(INDIRECT(AC$3),'Struktur Vorjahr'!$D477,INDIRECT(AC$4))+SUMIF(INDIRECT(AC$3),'Struktur Vorjahr'!$D477,INDIRECT(AC$5)))</f>
        <v>0</v>
      </c>
      <c r="AD477" s="593">
        <f ca="1">$E477*(-SUMIF(INDIRECT(AD$3),'Struktur Vorjahr'!$D477,INDIRECT(AD$4))+SUMIF(INDIRECT(AD$3),'Struktur Vorjahr'!$D477,INDIRECT(AD$5)))</f>
        <v>0</v>
      </c>
      <c r="AE477" s="593">
        <f t="shared" ref="AE477:AE480" ca="1" si="241">G477</f>
        <v>0</v>
      </c>
      <c r="AF477" s="593">
        <f t="shared" ref="AF477:AP480" ca="1" si="242">H477+AE477</f>
        <v>0</v>
      </c>
      <c r="AG477" s="593">
        <f t="shared" ca="1" si="242"/>
        <v>0</v>
      </c>
      <c r="AH477" s="593">
        <f t="shared" ca="1" si="242"/>
        <v>0</v>
      </c>
      <c r="AI477" s="593">
        <f t="shared" ca="1" si="242"/>
        <v>0</v>
      </c>
      <c r="AJ477" s="593">
        <f t="shared" ca="1" si="242"/>
        <v>0</v>
      </c>
      <c r="AK477" s="593">
        <f t="shared" ca="1" si="242"/>
        <v>0</v>
      </c>
      <c r="AL477" s="593">
        <f t="shared" ca="1" si="242"/>
        <v>0</v>
      </c>
      <c r="AM477" s="593">
        <f t="shared" ca="1" si="242"/>
        <v>0</v>
      </c>
      <c r="AN477" s="593">
        <f t="shared" ca="1" si="242"/>
        <v>0</v>
      </c>
      <c r="AO477" s="593">
        <f t="shared" ca="1" si="242"/>
        <v>0</v>
      </c>
      <c r="AP477" s="593">
        <f t="shared" ca="1" si="242"/>
        <v>0</v>
      </c>
    </row>
    <row r="478" spans="1:42" s="594" customFormat="1" ht="11.25" x14ac:dyDescent="0.2">
      <c r="A478" s="644"/>
      <c r="B478" s="591" t="str">
        <f>IF(D478&lt;&gt;"",
IF(ISERROR(MATCH(D478,'Ist Vorjahr Monat 01'!A:A,0))=FALSE,INDEX('Ist Vorjahr Monat 01'!B:B,MATCH(D478,'Ist Vorjahr Monat 01'!A:A,0)),
IF(ISERROR(MATCH(D478,'Ist Vorjahr Monat 02'!A:A,0))=FALSE,INDEX('Ist Vorjahr Monat 02'!B:B,MATCH(D478,'Ist Vorjahr Monat 02'!A:A,0)),
IF(ISERROR(MATCH(D478,'Ist Vorjahr Monat 03'!A:A,0))=FALSE,INDEX('Ist Vorjahr Monat 03'!B:B,MATCH(D478,'Ist Vorjahr Monat 03'!A:A,0)),
IF(ISERROR(MATCH(D478,'Ist Vorjahr Monat 04'!A:A,0))=FALSE,INDEX('Ist Vorjahr Monat 04'!B:B,MATCH(D478,'Ist Vorjahr Monat 04'!A:A,0)),
IF(ISERROR(MATCH(D478,'Ist Vorjahr Monat 05'!A:A,0))=FALSE,INDEX('Ist Vorjahr Monat 05'!B:B,MATCH(D478,'Ist Vorjahr Monat 05'!A:A,0)),
IF(ISERROR(MATCH(D478,'Ist Vorjahr Monat 06'!A:A,0))=FALSE,INDEX('Ist Vorjahr Monat 06'!B:B,MATCH(D478,'Ist Vorjahr Monat 06'!A:A,0)),
IF(ISERROR(MATCH(D478,'Ist Vorjahr Monat 07'!A:A,0))=FALSE,INDEX('Ist Vorjahr Monat 07'!B:B,MATCH(D478,'Ist Vorjahr Monat 07'!A:A,0)),
IF(ISERROR(MATCH(D478,'Ist Vorjahr Monat 08'!A:A,0))=FALSE,INDEX('Ist Vorjahr Monat 08'!B:B,MATCH(D478,'Ist Vorjahr Monat 08'!A:A,0)),
IF(ISERROR(MATCH(D478,'Ist Vorjahr Monat 09'!A:A,0))=FALSE,INDEX('Ist Vorjahr Monat 09'!B:B,MATCH(D478,'Ist Vorjahr Monat 09'!A:A,0)),
IF(ISERROR(MATCH(D478,'Ist Vorjahr Monat 10'!A:A,0))=FALSE,INDEX('Ist Vorjahr Monat 10'!B:B,MATCH(D478,'Ist Vorjahr Monat 10'!A:A,0)),
IF(ISERROR(MATCH(D478,'Ist Vorjahr Monat 11'!A:A,0))=FALSE,INDEX('Ist Vorjahr Monat 11'!B:B,MATCH(D478,'Ist Vorjahr Monat 11'!A:A,0)),
IF(ISERROR(MATCH(D478,'Ist Vorjahr Monat 12'!A:A,0))=FALSE,INDEX('Ist Vorjahr Monat 12'!B:B,MATCH(D478,'Ist Vorjahr Monat 12'!A:A,0)),
"{Konto unbekannt}"
)))))))))))),"")</f>
        <v/>
      </c>
      <c r="C478" s="1062"/>
      <c r="D478" s="1067"/>
      <c r="E478" s="625">
        <f t="shared" si="237"/>
        <v>1</v>
      </c>
      <c r="F478" s="626"/>
      <c r="G478" s="593">
        <f ca="1">$E478*(-SUMIF(INDIRECT(G$3),'Struktur Vorjahr'!$D478,INDIRECT(G$4))+SUMIF(INDIRECT(G$3),'Struktur Vorjahr'!$D478,INDIRECT(G$5)))</f>
        <v>0</v>
      </c>
      <c r="H478" s="593">
        <f ca="1">$E478*(-SUMIF(INDIRECT(H$3),'Struktur Vorjahr'!$D478,INDIRECT(H$4))+SUMIF(INDIRECT(H$3),'Struktur Vorjahr'!$D478,INDIRECT(H$5)))</f>
        <v>0</v>
      </c>
      <c r="I478" s="593">
        <f ca="1">$E478*(-SUMIF(INDIRECT(I$3),'Struktur Vorjahr'!$D478,INDIRECT(I$4))+SUMIF(INDIRECT(I$3),'Struktur Vorjahr'!$D478,INDIRECT(I$5)))</f>
        <v>0</v>
      </c>
      <c r="J478" s="593">
        <f ca="1">$E478*(-SUMIF(INDIRECT(J$3),'Struktur Vorjahr'!$D478,INDIRECT(J$4))+SUMIF(INDIRECT(J$3),'Struktur Vorjahr'!$D478,INDIRECT(J$5)))</f>
        <v>0</v>
      </c>
      <c r="K478" s="593">
        <f ca="1">$E478*(-SUMIF(INDIRECT(K$3),'Struktur Vorjahr'!$D478,INDIRECT(K$4))+SUMIF(INDIRECT(K$3),'Struktur Vorjahr'!$D478,INDIRECT(K$5)))</f>
        <v>0</v>
      </c>
      <c r="L478" s="593">
        <f ca="1">$E478*(-SUMIF(INDIRECT(L$3),'Struktur Vorjahr'!$D478,INDIRECT(L$4))+SUMIF(INDIRECT(L$3),'Struktur Vorjahr'!$D478,INDIRECT(L$5)))</f>
        <v>0</v>
      </c>
      <c r="M478" s="593">
        <f ca="1">$E478*(-SUMIF(INDIRECT(M$3),'Struktur Vorjahr'!$D478,INDIRECT(M$4))+SUMIF(INDIRECT(M$3),'Struktur Vorjahr'!$D478,INDIRECT(M$5)))</f>
        <v>0</v>
      </c>
      <c r="N478" s="593">
        <f ca="1">$E478*(-SUMIF(INDIRECT(N$3),'Struktur Vorjahr'!$D478,INDIRECT(N$4))+SUMIF(INDIRECT(N$3),'Struktur Vorjahr'!$D478,INDIRECT(N$5)))</f>
        <v>0</v>
      </c>
      <c r="O478" s="593">
        <f ca="1">$E478*(-SUMIF(INDIRECT(O$3),'Struktur Vorjahr'!$D478,INDIRECT(O$4))+SUMIF(INDIRECT(O$3),'Struktur Vorjahr'!$D478,INDIRECT(O$5)))</f>
        <v>0</v>
      </c>
      <c r="P478" s="593">
        <f ca="1">$E478*(-SUMIF(INDIRECT(P$3),'Struktur Vorjahr'!$D478,INDIRECT(P$4))+SUMIF(INDIRECT(P$3),'Struktur Vorjahr'!$D478,INDIRECT(P$5)))</f>
        <v>0</v>
      </c>
      <c r="Q478" s="593">
        <f ca="1">$E478*(-SUMIF(INDIRECT(Q$3),'Struktur Vorjahr'!$D478,INDIRECT(Q$4))+SUMIF(INDIRECT(Q$3),'Struktur Vorjahr'!$D478,INDIRECT(Q$5)))</f>
        <v>0</v>
      </c>
      <c r="R478" s="593">
        <f ca="1">$E478*(-SUMIF(INDIRECT(R$3),'Struktur Vorjahr'!$D478,INDIRECT(R$4))+SUMIF(INDIRECT(R$3),'Struktur Vorjahr'!$D478,INDIRECT(R$5)))</f>
        <v>0</v>
      </c>
      <c r="S478" s="593">
        <f ca="1">$E478*(-SUMIF(INDIRECT(S$3),'Struktur Vorjahr'!$D478,INDIRECT(S$4))+SUMIF(INDIRECT(S$3),'Struktur Vorjahr'!$D478,INDIRECT(S$5)))</f>
        <v>0</v>
      </c>
      <c r="T478" s="593">
        <f ca="1">$E478*(-SUMIF(INDIRECT(T$3),'Struktur Vorjahr'!$D478,INDIRECT(T$4))+SUMIF(INDIRECT(T$3),'Struktur Vorjahr'!$D478,INDIRECT(T$5)))</f>
        <v>0</v>
      </c>
      <c r="U478" s="593">
        <f ca="1">$E478*(-SUMIF(INDIRECT(U$3),'Struktur Vorjahr'!$D478,INDIRECT(U$4))+SUMIF(INDIRECT(U$3),'Struktur Vorjahr'!$D478,INDIRECT(U$5)))</f>
        <v>0</v>
      </c>
      <c r="V478" s="593">
        <f ca="1">$E478*(-SUMIF(INDIRECT(V$3),'Struktur Vorjahr'!$D478,INDIRECT(V$4))+SUMIF(INDIRECT(V$3),'Struktur Vorjahr'!$D478,INDIRECT(V$5)))</f>
        <v>0</v>
      </c>
      <c r="W478" s="593">
        <f ca="1">$E478*(-SUMIF(INDIRECT(W$3),'Struktur Vorjahr'!$D478,INDIRECT(W$4))+SUMIF(INDIRECT(W$3),'Struktur Vorjahr'!$D478,INDIRECT(W$5)))</f>
        <v>0</v>
      </c>
      <c r="X478" s="593">
        <f ca="1">$E478*(-SUMIF(INDIRECT(X$3),'Struktur Vorjahr'!$D478,INDIRECT(X$4))+SUMIF(INDIRECT(X$3),'Struktur Vorjahr'!$D478,INDIRECT(X$5)))</f>
        <v>0</v>
      </c>
      <c r="Y478" s="593">
        <f ca="1">$E478*(-SUMIF(INDIRECT(Y$3),'Struktur Vorjahr'!$D478,INDIRECT(Y$4))+SUMIF(INDIRECT(Y$3),'Struktur Vorjahr'!$D478,INDIRECT(Y$5)))</f>
        <v>0</v>
      </c>
      <c r="Z478" s="593">
        <f ca="1">$E478*(-SUMIF(INDIRECT(Z$3),'Struktur Vorjahr'!$D478,INDIRECT(Z$4))+SUMIF(INDIRECT(Z$3),'Struktur Vorjahr'!$D478,INDIRECT(Z$5)))</f>
        <v>0</v>
      </c>
      <c r="AA478" s="593">
        <f ca="1">$E478*(-SUMIF(INDIRECT(AA$3),'Struktur Vorjahr'!$D478,INDIRECT(AA$4))+SUMIF(INDIRECT(AA$3),'Struktur Vorjahr'!$D478,INDIRECT(AA$5)))</f>
        <v>0</v>
      </c>
      <c r="AB478" s="593">
        <f ca="1">$E478*(-SUMIF(INDIRECT(AB$3),'Struktur Vorjahr'!$D478,INDIRECT(AB$4))+SUMIF(INDIRECT(AB$3),'Struktur Vorjahr'!$D478,INDIRECT(AB$5)))</f>
        <v>0</v>
      </c>
      <c r="AC478" s="593">
        <f ca="1">$E478*(-SUMIF(INDIRECT(AC$3),'Struktur Vorjahr'!$D478,INDIRECT(AC$4))+SUMIF(INDIRECT(AC$3),'Struktur Vorjahr'!$D478,INDIRECT(AC$5)))</f>
        <v>0</v>
      </c>
      <c r="AD478" s="593">
        <f ca="1">$E478*(-SUMIF(INDIRECT(AD$3),'Struktur Vorjahr'!$D478,INDIRECT(AD$4))+SUMIF(INDIRECT(AD$3),'Struktur Vorjahr'!$D478,INDIRECT(AD$5)))</f>
        <v>0</v>
      </c>
      <c r="AE478" s="593">
        <f t="shared" ca="1" si="241"/>
        <v>0</v>
      </c>
      <c r="AF478" s="593">
        <f t="shared" ca="1" si="242"/>
        <v>0</v>
      </c>
      <c r="AG478" s="593">
        <f t="shared" ca="1" si="242"/>
        <v>0</v>
      </c>
      <c r="AH478" s="593">
        <f t="shared" ca="1" si="242"/>
        <v>0</v>
      </c>
      <c r="AI478" s="593">
        <f t="shared" ca="1" si="242"/>
        <v>0</v>
      </c>
      <c r="AJ478" s="593">
        <f t="shared" ca="1" si="242"/>
        <v>0</v>
      </c>
      <c r="AK478" s="593">
        <f t="shared" ca="1" si="242"/>
        <v>0</v>
      </c>
      <c r="AL478" s="593">
        <f t="shared" ca="1" si="242"/>
        <v>0</v>
      </c>
      <c r="AM478" s="593">
        <f t="shared" ca="1" si="242"/>
        <v>0</v>
      </c>
      <c r="AN478" s="593">
        <f t="shared" ca="1" si="242"/>
        <v>0</v>
      </c>
      <c r="AO478" s="593">
        <f t="shared" ca="1" si="242"/>
        <v>0</v>
      </c>
      <c r="AP478" s="593">
        <f t="shared" ca="1" si="242"/>
        <v>0</v>
      </c>
    </row>
    <row r="479" spans="1:42" s="594" customFormat="1" ht="11.25" outlineLevel="1" x14ac:dyDescent="0.2">
      <c r="A479" s="644"/>
      <c r="B479" s="591" t="str">
        <f>IF(D479&lt;&gt;"",
IF(ISERROR(MATCH(D479,'Ist Vorjahr Monat 01'!A:A,0))=FALSE,INDEX('Ist Vorjahr Monat 01'!B:B,MATCH(D479,'Ist Vorjahr Monat 01'!A:A,0)),
IF(ISERROR(MATCH(D479,'Ist Vorjahr Monat 02'!A:A,0))=FALSE,INDEX('Ist Vorjahr Monat 02'!B:B,MATCH(D479,'Ist Vorjahr Monat 02'!A:A,0)),
IF(ISERROR(MATCH(D479,'Ist Vorjahr Monat 03'!A:A,0))=FALSE,INDEX('Ist Vorjahr Monat 03'!B:B,MATCH(D479,'Ist Vorjahr Monat 03'!A:A,0)),
IF(ISERROR(MATCH(D479,'Ist Vorjahr Monat 04'!A:A,0))=FALSE,INDEX('Ist Vorjahr Monat 04'!B:B,MATCH(D479,'Ist Vorjahr Monat 04'!A:A,0)),
IF(ISERROR(MATCH(D479,'Ist Vorjahr Monat 05'!A:A,0))=FALSE,INDEX('Ist Vorjahr Monat 05'!B:B,MATCH(D479,'Ist Vorjahr Monat 05'!A:A,0)),
IF(ISERROR(MATCH(D479,'Ist Vorjahr Monat 06'!A:A,0))=FALSE,INDEX('Ist Vorjahr Monat 06'!B:B,MATCH(D479,'Ist Vorjahr Monat 06'!A:A,0)),
IF(ISERROR(MATCH(D479,'Ist Vorjahr Monat 07'!A:A,0))=FALSE,INDEX('Ist Vorjahr Monat 07'!B:B,MATCH(D479,'Ist Vorjahr Monat 07'!A:A,0)),
IF(ISERROR(MATCH(D479,'Ist Vorjahr Monat 08'!A:A,0))=FALSE,INDEX('Ist Vorjahr Monat 08'!B:B,MATCH(D479,'Ist Vorjahr Monat 08'!A:A,0)),
IF(ISERROR(MATCH(D479,'Ist Vorjahr Monat 09'!A:A,0))=FALSE,INDEX('Ist Vorjahr Monat 09'!B:B,MATCH(D479,'Ist Vorjahr Monat 09'!A:A,0)),
IF(ISERROR(MATCH(D479,'Ist Vorjahr Monat 10'!A:A,0))=FALSE,INDEX('Ist Vorjahr Monat 10'!B:B,MATCH(D479,'Ist Vorjahr Monat 10'!A:A,0)),
IF(ISERROR(MATCH(D479,'Ist Vorjahr Monat 11'!A:A,0))=FALSE,INDEX('Ist Vorjahr Monat 11'!B:B,MATCH(D479,'Ist Vorjahr Monat 11'!A:A,0)),
IF(ISERROR(MATCH(D479,'Ist Vorjahr Monat 12'!A:A,0))=FALSE,INDEX('Ist Vorjahr Monat 12'!B:B,MATCH(D479,'Ist Vorjahr Monat 12'!A:A,0)),
"{Konto unbekannt}"
)))))))))))),"")</f>
        <v/>
      </c>
      <c r="C479" s="1062"/>
      <c r="D479" s="1067"/>
      <c r="E479" s="625">
        <f t="shared" si="237"/>
        <v>1</v>
      </c>
      <c r="F479" s="626"/>
      <c r="G479" s="593">
        <f ca="1">$E479*(-SUMIF(INDIRECT(G$3),'Struktur Vorjahr'!$D479,INDIRECT(G$4))+SUMIF(INDIRECT(G$3),'Struktur Vorjahr'!$D479,INDIRECT(G$5)))</f>
        <v>0</v>
      </c>
      <c r="H479" s="593">
        <f ca="1">$E479*(-SUMIF(INDIRECT(H$3),'Struktur Vorjahr'!$D479,INDIRECT(H$4))+SUMIF(INDIRECT(H$3),'Struktur Vorjahr'!$D479,INDIRECT(H$5)))</f>
        <v>0</v>
      </c>
      <c r="I479" s="593">
        <f ca="1">$E479*(-SUMIF(INDIRECT(I$3),'Struktur Vorjahr'!$D479,INDIRECT(I$4))+SUMIF(INDIRECT(I$3),'Struktur Vorjahr'!$D479,INDIRECT(I$5)))</f>
        <v>0</v>
      </c>
      <c r="J479" s="593">
        <f ca="1">$E479*(-SUMIF(INDIRECT(J$3),'Struktur Vorjahr'!$D479,INDIRECT(J$4))+SUMIF(INDIRECT(J$3),'Struktur Vorjahr'!$D479,INDIRECT(J$5)))</f>
        <v>0</v>
      </c>
      <c r="K479" s="593">
        <f ca="1">$E479*(-SUMIF(INDIRECT(K$3),'Struktur Vorjahr'!$D479,INDIRECT(K$4))+SUMIF(INDIRECT(K$3),'Struktur Vorjahr'!$D479,INDIRECT(K$5)))</f>
        <v>0</v>
      </c>
      <c r="L479" s="593">
        <f ca="1">$E479*(-SUMIF(INDIRECT(L$3),'Struktur Vorjahr'!$D479,INDIRECT(L$4))+SUMIF(INDIRECT(L$3),'Struktur Vorjahr'!$D479,INDIRECT(L$5)))</f>
        <v>0</v>
      </c>
      <c r="M479" s="593">
        <f ca="1">$E479*(-SUMIF(INDIRECT(M$3),'Struktur Vorjahr'!$D479,INDIRECT(M$4))+SUMIF(INDIRECT(M$3),'Struktur Vorjahr'!$D479,INDIRECT(M$5)))</f>
        <v>0</v>
      </c>
      <c r="N479" s="593">
        <f ca="1">$E479*(-SUMIF(INDIRECT(N$3),'Struktur Vorjahr'!$D479,INDIRECT(N$4))+SUMIF(INDIRECT(N$3),'Struktur Vorjahr'!$D479,INDIRECT(N$5)))</f>
        <v>0</v>
      </c>
      <c r="O479" s="593">
        <f ca="1">$E479*(-SUMIF(INDIRECT(O$3),'Struktur Vorjahr'!$D479,INDIRECT(O$4))+SUMIF(INDIRECT(O$3),'Struktur Vorjahr'!$D479,INDIRECT(O$5)))</f>
        <v>0</v>
      </c>
      <c r="P479" s="593">
        <f ca="1">$E479*(-SUMIF(INDIRECT(P$3),'Struktur Vorjahr'!$D479,INDIRECT(P$4))+SUMIF(INDIRECT(P$3),'Struktur Vorjahr'!$D479,INDIRECT(P$5)))</f>
        <v>0</v>
      </c>
      <c r="Q479" s="593">
        <f ca="1">$E479*(-SUMIF(INDIRECT(Q$3),'Struktur Vorjahr'!$D479,INDIRECT(Q$4))+SUMIF(INDIRECT(Q$3),'Struktur Vorjahr'!$D479,INDIRECT(Q$5)))</f>
        <v>0</v>
      </c>
      <c r="R479" s="593">
        <f ca="1">$E479*(-SUMIF(INDIRECT(R$3),'Struktur Vorjahr'!$D479,INDIRECT(R$4))+SUMIF(INDIRECT(R$3),'Struktur Vorjahr'!$D479,INDIRECT(R$5)))</f>
        <v>0</v>
      </c>
      <c r="S479" s="593">
        <f ca="1">$E479*(-SUMIF(INDIRECT(S$3),'Struktur Vorjahr'!$D479,INDIRECT(S$4))+SUMIF(INDIRECT(S$3),'Struktur Vorjahr'!$D479,INDIRECT(S$5)))</f>
        <v>0</v>
      </c>
      <c r="T479" s="593">
        <f ca="1">$E479*(-SUMIF(INDIRECT(T$3),'Struktur Vorjahr'!$D479,INDIRECT(T$4))+SUMIF(INDIRECT(T$3),'Struktur Vorjahr'!$D479,INDIRECT(T$5)))</f>
        <v>0</v>
      </c>
      <c r="U479" s="593">
        <f ca="1">$E479*(-SUMIF(INDIRECT(U$3),'Struktur Vorjahr'!$D479,INDIRECT(U$4))+SUMIF(INDIRECT(U$3),'Struktur Vorjahr'!$D479,INDIRECT(U$5)))</f>
        <v>0</v>
      </c>
      <c r="V479" s="593">
        <f ca="1">$E479*(-SUMIF(INDIRECT(V$3),'Struktur Vorjahr'!$D479,INDIRECT(V$4))+SUMIF(INDIRECT(V$3),'Struktur Vorjahr'!$D479,INDIRECT(V$5)))</f>
        <v>0</v>
      </c>
      <c r="W479" s="593">
        <f ca="1">$E479*(-SUMIF(INDIRECT(W$3),'Struktur Vorjahr'!$D479,INDIRECT(W$4))+SUMIF(INDIRECT(W$3),'Struktur Vorjahr'!$D479,INDIRECT(W$5)))</f>
        <v>0</v>
      </c>
      <c r="X479" s="593">
        <f ca="1">$E479*(-SUMIF(INDIRECT(X$3),'Struktur Vorjahr'!$D479,INDIRECT(X$4))+SUMIF(INDIRECT(X$3),'Struktur Vorjahr'!$D479,INDIRECT(X$5)))</f>
        <v>0</v>
      </c>
      <c r="Y479" s="593">
        <f ca="1">$E479*(-SUMIF(INDIRECT(Y$3),'Struktur Vorjahr'!$D479,INDIRECT(Y$4))+SUMIF(INDIRECT(Y$3),'Struktur Vorjahr'!$D479,INDIRECT(Y$5)))</f>
        <v>0</v>
      </c>
      <c r="Z479" s="593">
        <f ca="1">$E479*(-SUMIF(INDIRECT(Z$3),'Struktur Vorjahr'!$D479,INDIRECT(Z$4))+SUMIF(INDIRECT(Z$3),'Struktur Vorjahr'!$D479,INDIRECT(Z$5)))</f>
        <v>0</v>
      </c>
      <c r="AA479" s="593">
        <f ca="1">$E479*(-SUMIF(INDIRECT(AA$3),'Struktur Vorjahr'!$D479,INDIRECT(AA$4))+SUMIF(INDIRECT(AA$3),'Struktur Vorjahr'!$D479,INDIRECT(AA$5)))</f>
        <v>0</v>
      </c>
      <c r="AB479" s="593">
        <f ca="1">$E479*(-SUMIF(INDIRECT(AB$3),'Struktur Vorjahr'!$D479,INDIRECT(AB$4))+SUMIF(INDIRECT(AB$3),'Struktur Vorjahr'!$D479,INDIRECT(AB$5)))</f>
        <v>0</v>
      </c>
      <c r="AC479" s="593">
        <f ca="1">$E479*(-SUMIF(INDIRECT(AC$3),'Struktur Vorjahr'!$D479,INDIRECT(AC$4))+SUMIF(INDIRECT(AC$3),'Struktur Vorjahr'!$D479,INDIRECT(AC$5)))</f>
        <v>0</v>
      </c>
      <c r="AD479" s="593">
        <f ca="1">$E479*(-SUMIF(INDIRECT(AD$3),'Struktur Vorjahr'!$D479,INDIRECT(AD$4))+SUMIF(INDIRECT(AD$3),'Struktur Vorjahr'!$D479,INDIRECT(AD$5)))</f>
        <v>0</v>
      </c>
      <c r="AE479" s="593">
        <f t="shared" ca="1" si="241"/>
        <v>0</v>
      </c>
      <c r="AF479" s="593">
        <f t="shared" ca="1" si="242"/>
        <v>0</v>
      </c>
      <c r="AG479" s="593">
        <f t="shared" ca="1" si="242"/>
        <v>0</v>
      </c>
      <c r="AH479" s="593">
        <f t="shared" ca="1" si="242"/>
        <v>0</v>
      </c>
      <c r="AI479" s="593">
        <f t="shared" ca="1" si="242"/>
        <v>0</v>
      </c>
      <c r="AJ479" s="593">
        <f t="shared" ca="1" si="242"/>
        <v>0</v>
      </c>
      <c r="AK479" s="593">
        <f t="shared" ca="1" si="242"/>
        <v>0</v>
      </c>
      <c r="AL479" s="593">
        <f t="shared" ca="1" si="242"/>
        <v>0</v>
      </c>
      <c r="AM479" s="593">
        <f t="shared" ca="1" si="242"/>
        <v>0</v>
      </c>
      <c r="AN479" s="593">
        <f t="shared" ca="1" si="242"/>
        <v>0</v>
      </c>
      <c r="AO479" s="593">
        <f t="shared" ca="1" si="242"/>
        <v>0</v>
      </c>
      <c r="AP479" s="593">
        <f t="shared" ca="1" si="242"/>
        <v>0</v>
      </c>
    </row>
    <row r="480" spans="1:42" s="594" customFormat="1" ht="11.25" outlineLevel="1" x14ac:dyDescent="0.2">
      <c r="A480" s="645"/>
      <c r="B480" s="591" t="str">
        <f>IF(D480&lt;&gt;"",
IF(ISERROR(MATCH(D480,'Ist Vorjahr Monat 01'!A:A,0))=FALSE,INDEX('Ist Vorjahr Monat 01'!B:B,MATCH(D480,'Ist Vorjahr Monat 01'!A:A,0)),
IF(ISERROR(MATCH(D480,'Ist Vorjahr Monat 02'!A:A,0))=FALSE,INDEX('Ist Vorjahr Monat 02'!B:B,MATCH(D480,'Ist Vorjahr Monat 02'!A:A,0)),
IF(ISERROR(MATCH(D480,'Ist Vorjahr Monat 03'!A:A,0))=FALSE,INDEX('Ist Vorjahr Monat 03'!B:B,MATCH(D480,'Ist Vorjahr Monat 03'!A:A,0)),
IF(ISERROR(MATCH(D480,'Ist Vorjahr Monat 04'!A:A,0))=FALSE,INDEX('Ist Vorjahr Monat 04'!B:B,MATCH(D480,'Ist Vorjahr Monat 04'!A:A,0)),
IF(ISERROR(MATCH(D480,'Ist Vorjahr Monat 05'!A:A,0))=FALSE,INDEX('Ist Vorjahr Monat 05'!B:B,MATCH(D480,'Ist Vorjahr Monat 05'!A:A,0)),
IF(ISERROR(MATCH(D480,'Ist Vorjahr Monat 06'!A:A,0))=FALSE,INDEX('Ist Vorjahr Monat 06'!B:B,MATCH(D480,'Ist Vorjahr Monat 06'!A:A,0)),
IF(ISERROR(MATCH(D480,'Ist Vorjahr Monat 07'!A:A,0))=FALSE,INDEX('Ist Vorjahr Monat 07'!B:B,MATCH(D480,'Ist Vorjahr Monat 07'!A:A,0)),
IF(ISERROR(MATCH(D480,'Ist Vorjahr Monat 08'!A:A,0))=FALSE,INDEX('Ist Vorjahr Monat 08'!B:B,MATCH(D480,'Ist Vorjahr Monat 08'!A:A,0)),
IF(ISERROR(MATCH(D480,'Ist Vorjahr Monat 09'!A:A,0))=FALSE,INDEX('Ist Vorjahr Monat 09'!B:B,MATCH(D480,'Ist Vorjahr Monat 09'!A:A,0)),
IF(ISERROR(MATCH(D480,'Ist Vorjahr Monat 10'!A:A,0))=FALSE,INDEX('Ist Vorjahr Monat 10'!B:B,MATCH(D480,'Ist Vorjahr Monat 10'!A:A,0)),
IF(ISERROR(MATCH(D480,'Ist Vorjahr Monat 11'!A:A,0))=FALSE,INDEX('Ist Vorjahr Monat 11'!B:B,MATCH(D480,'Ist Vorjahr Monat 11'!A:A,0)),
IF(ISERROR(MATCH(D480,'Ist Vorjahr Monat 12'!A:A,0))=FALSE,INDEX('Ist Vorjahr Monat 12'!B:B,MATCH(D480,'Ist Vorjahr Monat 12'!A:A,0)),
"{Konto unbekannt}"
)))))))))))),"")</f>
        <v/>
      </c>
      <c r="C480" s="1062"/>
      <c r="D480" s="1067"/>
      <c r="E480" s="630">
        <f t="shared" si="237"/>
        <v>1</v>
      </c>
      <c r="F480" s="631"/>
      <c r="G480" s="593">
        <f ca="1">$E480*(-SUMIF(INDIRECT(G$3),'Struktur Vorjahr'!$D480,INDIRECT(G$4))+SUMIF(INDIRECT(G$3),'Struktur Vorjahr'!$D480,INDIRECT(G$5)))</f>
        <v>0</v>
      </c>
      <c r="H480" s="593">
        <f ca="1">$E480*(-SUMIF(INDIRECT(H$3),'Struktur Vorjahr'!$D480,INDIRECT(H$4))+SUMIF(INDIRECT(H$3),'Struktur Vorjahr'!$D480,INDIRECT(H$5)))</f>
        <v>0</v>
      </c>
      <c r="I480" s="593">
        <f ca="1">$E480*(-SUMIF(INDIRECT(I$3),'Struktur Vorjahr'!$D480,INDIRECT(I$4))+SUMIF(INDIRECT(I$3),'Struktur Vorjahr'!$D480,INDIRECT(I$5)))</f>
        <v>0</v>
      </c>
      <c r="J480" s="593">
        <f ca="1">$E480*(-SUMIF(INDIRECT(J$3),'Struktur Vorjahr'!$D480,INDIRECT(J$4))+SUMIF(INDIRECT(J$3),'Struktur Vorjahr'!$D480,INDIRECT(J$5)))</f>
        <v>0</v>
      </c>
      <c r="K480" s="593">
        <f ca="1">$E480*(-SUMIF(INDIRECT(K$3),'Struktur Vorjahr'!$D480,INDIRECT(K$4))+SUMIF(INDIRECT(K$3),'Struktur Vorjahr'!$D480,INDIRECT(K$5)))</f>
        <v>0</v>
      </c>
      <c r="L480" s="593">
        <f ca="1">$E480*(-SUMIF(INDIRECT(L$3),'Struktur Vorjahr'!$D480,INDIRECT(L$4))+SUMIF(INDIRECT(L$3),'Struktur Vorjahr'!$D480,INDIRECT(L$5)))</f>
        <v>0</v>
      </c>
      <c r="M480" s="593">
        <f ca="1">$E480*(-SUMIF(INDIRECT(M$3),'Struktur Vorjahr'!$D480,INDIRECT(M$4))+SUMIF(INDIRECT(M$3),'Struktur Vorjahr'!$D480,INDIRECT(M$5)))</f>
        <v>0</v>
      </c>
      <c r="N480" s="593">
        <f ca="1">$E480*(-SUMIF(INDIRECT(N$3),'Struktur Vorjahr'!$D480,INDIRECT(N$4))+SUMIF(INDIRECT(N$3),'Struktur Vorjahr'!$D480,INDIRECT(N$5)))</f>
        <v>0</v>
      </c>
      <c r="O480" s="593">
        <f ca="1">$E480*(-SUMIF(INDIRECT(O$3),'Struktur Vorjahr'!$D480,INDIRECT(O$4))+SUMIF(INDIRECT(O$3),'Struktur Vorjahr'!$D480,INDIRECT(O$5)))</f>
        <v>0</v>
      </c>
      <c r="P480" s="593">
        <f ca="1">$E480*(-SUMIF(INDIRECT(P$3),'Struktur Vorjahr'!$D480,INDIRECT(P$4))+SUMIF(INDIRECT(P$3),'Struktur Vorjahr'!$D480,INDIRECT(P$5)))</f>
        <v>0</v>
      </c>
      <c r="Q480" s="593">
        <f ca="1">$E480*(-SUMIF(INDIRECT(Q$3),'Struktur Vorjahr'!$D480,INDIRECT(Q$4))+SUMIF(INDIRECT(Q$3),'Struktur Vorjahr'!$D480,INDIRECT(Q$5)))</f>
        <v>0</v>
      </c>
      <c r="R480" s="593">
        <f ca="1">$E480*(-SUMIF(INDIRECT(R$3),'Struktur Vorjahr'!$D480,INDIRECT(R$4))+SUMIF(INDIRECT(R$3),'Struktur Vorjahr'!$D480,INDIRECT(R$5)))</f>
        <v>0</v>
      </c>
      <c r="S480" s="593">
        <f ca="1">$E480*(-SUMIF(INDIRECT(S$3),'Struktur Vorjahr'!$D480,INDIRECT(S$4))+SUMIF(INDIRECT(S$3),'Struktur Vorjahr'!$D480,INDIRECT(S$5)))</f>
        <v>0</v>
      </c>
      <c r="T480" s="593">
        <f ca="1">$E480*(-SUMIF(INDIRECT(T$3),'Struktur Vorjahr'!$D480,INDIRECT(T$4))+SUMIF(INDIRECT(T$3),'Struktur Vorjahr'!$D480,INDIRECT(T$5)))</f>
        <v>0</v>
      </c>
      <c r="U480" s="593">
        <f ca="1">$E480*(-SUMIF(INDIRECT(U$3),'Struktur Vorjahr'!$D480,INDIRECT(U$4))+SUMIF(INDIRECT(U$3),'Struktur Vorjahr'!$D480,INDIRECT(U$5)))</f>
        <v>0</v>
      </c>
      <c r="V480" s="593">
        <f ca="1">$E480*(-SUMIF(INDIRECT(V$3),'Struktur Vorjahr'!$D480,INDIRECT(V$4))+SUMIF(INDIRECT(V$3),'Struktur Vorjahr'!$D480,INDIRECT(V$5)))</f>
        <v>0</v>
      </c>
      <c r="W480" s="593">
        <f ca="1">$E480*(-SUMIF(INDIRECT(W$3),'Struktur Vorjahr'!$D480,INDIRECT(W$4))+SUMIF(INDIRECT(W$3),'Struktur Vorjahr'!$D480,INDIRECT(W$5)))</f>
        <v>0</v>
      </c>
      <c r="X480" s="593">
        <f ca="1">$E480*(-SUMIF(INDIRECT(X$3),'Struktur Vorjahr'!$D480,INDIRECT(X$4))+SUMIF(INDIRECT(X$3),'Struktur Vorjahr'!$D480,INDIRECT(X$5)))</f>
        <v>0</v>
      </c>
      <c r="Y480" s="593">
        <f ca="1">$E480*(-SUMIF(INDIRECT(Y$3),'Struktur Vorjahr'!$D480,INDIRECT(Y$4))+SUMIF(INDIRECT(Y$3),'Struktur Vorjahr'!$D480,INDIRECT(Y$5)))</f>
        <v>0</v>
      </c>
      <c r="Z480" s="593">
        <f ca="1">$E480*(-SUMIF(INDIRECT(Z$3),'Struktur Vorjahr'!$D480,INDIRECT(Z$4))+SUMIF(INDIRECT(Z$3),'Struktur Vorjahr'!$D480,INDIRECT(Z$5)))</f>
        <v>0</v>
      </c>
      <c r="AA480" s="593">
        <f ca="1">$E480*(-SUMIF(INDIRECT(AA$3),'Struktur Vorjahr'!$D480,INDIRECT(AA$4))+SUMIF(INDIRECT(AA$3),'Struktur Vorjahr'!$D480,INDIRECT(AA$5)))</f>
        <v>0</v>
      </c>
      <c r="AB480" s="593">
        <f ca="1">$E480*(-SUMIF(INDIRECT(AB$3),'Struktur Vorjahr'!$D480,INDIRECT(AB$4))+SUMIF(INDIRECT(AB$3),'Struktur Vorjahr'!$D480,INDIRECT(AB$5)))</f>
        <v>0</v>
      </c>
      <c r="AC480" s="593">
        <f ca="1">$E480*(-SUMIF(INDIRECT(AC$3),'Struktur Vorjahr'!$D480,INDIRECT(AC$4))+SUMIF(INDIRECT(AC$3),'Struktur Vorjahr'!$D480,INDIRECT(AC$5)))</f>
        <v>0</v>
      </c>
      <c r="AD480" s="593">
        <f ca="1">$E480*(-SUMIF(INDIRECT(AD$3),'Struktur Vorjahr'!$D480,INDIRECT(AD$4))+SUMIF(INDIRECT(AD$3),'Struktur Vorjahr'!$D480,INDIRECT(AD$5)))</f>
        <v>0</v>
      </c>
      <c r="AE480" s="593">
        <f t="shared" ca="1" si="241"/>
        <v>0</v>
      </c>
      <c r="AF480" s="593">
        <f t="shared" ca="1" si="242"/>
        <v>0</v>
      </c>
      <c r="AG480" s="593">
        <f t="shared" ca="1" si="242"/>
        <v>0</v>
      </c>
      <c r="AH480" s="593">
        <f t="shared" ca="1" si="242"/>
        <v>0</v>
      </c>
      <c r="AI480" s="593">
        <f t="shared" ca="1" si="242"/>
        <v>0</v>
      </c>
      <c r="AJ480" s="593">
        <f t="shared" ca="1" si="242"/>
        <v>0</v>
      </c>
      <c r="AK480" s="593">
        <f t="shared" ca="1" si="242"/>
        <v>0</v>
      </c>
      <c r="AL480" s="593">
        <f t="shared" ca="1" si="242"/>
        <v>0</v>
      </c>
      <c r="AM480" s="593">
        <f t="shared" ca="1" si="242"/>
        <v>0</v>
      </c>
      <c r="AN480" s="593">
        <f t="shared" ca="1" si="242"/>
        <v>0</v>
      </c>
      <c r="AO480" s="593">
        <f t="shared" ca="1" si="242"/>
        <v>0</v>
      </c>
      <c r="AP480" s="593">
        <f t="shared" ca="1" si="242"/>
        <v>0</v>
      </c>
    </row>
    <row r="481" spans="1:42" outlineLevel="1" x14ac:dyDescent="0.2">
      <c r="A481" s="595"/>
      <c r="B481" s="596" t="s">
        <v>281</v>
      </c>
      <c r="C481" s="597">
        <f ca="1">SUM(G481:R481)</f>
        <v>-33845.089999999989</v>
      </c>
      <c r="D481" s="597"/>
      <c r="E481" s="598">
        <f t="shared" si="237"/>
        <v>1</v>
      </c>
      <c r="F481" s="598"/>
      <c r="G481" s="597">
        <f t="shared" ref="G481:AP481" ca="1" si="243">G398-G399+G416-G429-G442+G469-G476</f>
        <v>-8861.7400000000034</v>
      </c>
      <c r="H481" s="597">
        <f t="shared" ca="1" si="243"/>
        <v>-8545.989999999998</v>
      </c>
      <c r="I481" s="597">
        <f t="shared" ca="1" si="243"/>
        <v>-17086.88</v>
      </c>
      <c r="J481" s="597">
        <f t="shared" ca="1" si="243"/>
        <v>-14333.240000000005</v>
      </c>
      <c r="K481" s="597">
        <f t="shared" ca="1" si="243"/>
        <v>-20169.489999999998</v>
      </c>
      <c r="L481" s="597">
        <f t="shared" ca="1" si="243"/>
        <v>-8509.0499999999993</v>
      </c>
      <c r="M481" s="597">
        <f t="shared" ca="1" si="243"/>
        <v>28980.910000000007</v>
      </c>
      <c r="N481" s="597">
        <f t="shared" ca="1" si="243"/>
        <v>1741.370000000001</v>
      </c>
      <c r="O481" s="597">
        <f t="shared" ca="1" si="243"/>
        <v>-6832.6699999999983</v>
      </c>
      <c r="P481" s="597">
        <f t="shared" ca="1" si="243"/>
        <v>19771.690000000002</v>
      </c>
      <c r="Q481" s="597">
        <f t="shared" ca="1" si="243"/>
        <v>0</v>
      </c>
      <c r="R481" s="597">
        <f t="shared" ca="1" si="243"/>
        <v>0</v>
      </c>
      <c r="S481" s="597">
        <f t="shared" ca="1" si="243"/>
        <v>-13509.240000000003</v>
      </c>
      <c r="T481" s="597">
        <f t="shared" ca="1" si="243"/>
        <v>-22055.230000000007</v>
      </c>
      <c r="U481" s="597">
        <f t="shared" ca="1" si="243"/>
        <v>-39142.110000000015</v>
      </c>
      <c r="V481" s="597">
        <f t="shared" ca="1" si="243"/>
        <v>-53475.350000000006</v>
      </c>
      <c r="W481" s="597">
        <f t="shared" ca="1" si="243"/>
        <v>-73644.84</v>
      </c>
      <c r="X481" s="597">
        <f t="shared" ca="1" si="243"/>
        <v>-82153.89</v>
      </c>
      <c r="Y481" s="597">
        <f t="shared" ca="1" si="243"/>
        <v>-53172.979999999996</v>
      </c>
      <c r="Z481" s="597">
        <f t="shared" ca="1" si="243"/>
        <v>-51431.609999999993</v>
      </c>
      <c r="AA481" s="597">
        <f t="shared" ca="1" si="243"/>
        <v>-58264.280000000006</v>
      </c>
      <c r="AB481" s="597">
        <f t="shared" ca="1" si="243"/>
        <v>-38492.590000000011</v>
      </c>
      <c r="AC481" s="597">
        <f t="shared" ca="1" si="243"/>
        <v>0</v>
      </c>
      <c r="AD481" s="597">
        <f t="shared" ca="1" si="243"/>
        <v>0</v>
      </c>
      <c r="AE481" s="597">
        <f t="shared" ca="1" si="243"/>
        <v>-8861.7400000000034</v>
      </c>
      <c r="AF481" s="597">
        <f t="shared" ca="1" si="243"/>
        <v>-17407.730000000007</v>
      </c>
      <c r="AG481" s="597">
        <f t="shared" ca="1" si="243"/>
        <v>-34494.610000000015</v>
      </c>
      <c r="AH481" s="597">
        <f t="shared" ca="1" si="243"/>
        <v>-48827.850000000006</v>
      </c>
      <c r="AI481" s="597">
        <f t="shared" ca="1" si="243"/>
        <v>-68997.340000000011</v>
      </c>
      <c r="AJ481" s="597">
        <f t="shared" ca="1" si="243"/>
        <v>-77506.39</v>
      </c>
      <c r="AK481" s="597">
        <f t="shared" ca="1" si="243"/>
        <v>-48525.479999999996</v>
      </c>
      <c r="AL481" s="597">
        <f t="shared" ca="1" si="243"/>
        <v>-46784.109999999993</v>
      </c>
      <c r="AM481" s="597">
        <f t="shared" ca="1" si="243"/>
        <v>-53616.780000000006</v>
      </c>
      <c r="AN481" s="597">
        <f t="shared" ca="1" si="243"/>
        <v>-33845.089999999953</v>
      </c>
      <c r="AO481" s="597">
        <f t="shared" ca="1" si="243"/>
        <v>-33845.089999999953</v>
      </c>
      <c r="AP481" s="597">
        <f t="shared" ca="1" si="243"/>
        <v>-33845.089999999953</v>
      </c>
    </row>
    <row r="482" spans="1:42" s="589" customFormat="1" outlineLevel="1" x14ac:dyDescent="0.2">
      <c r="A482" s="629">
        <v>44</v>
      </c>
      <c r="B482" s="623" t="s">
        <v>1028</v>
      </c>
      <c r="C482" s="627">
        <f ca="1">SUM(G482:R482)</f>
        <v>0</v>
      </c>
      <c r="D482" s="627"/>
      <c r="E482" s="628">
        <f t="shared" si="237"/>
        <v>1</v>
      </c>
      <c r="F482" s="628"/>
      <c r="G482" s="627">
        <f ca="1">SUM(G483:G486)</f>
        <v>0</v>
      </c>
      <c r="H482" s="627">
        <f t="shared" ref="H482:R482" ca="1" si="244">SUM(H483:H486)</f>
        <v>0</v>
      </c>
      <c r="I482" s="627">
        <f t="shared" ca="1" si="244"/>
        <v>0</v>
      </c>
      <c r="J482" s="627">
        <f t="shared" ca="1" si="244"/>
        <v>0</v>
      </c>
      <c r="K482" s="627">
        <f t="shared" ca="1" si="244"/>
        <v>0</v>
      </c>
      <c r="L482" s="627">
        <f t="shared" ca="1" si="244"/>
        <v>0</v>
      </c>
      <c r="M482" s="627">
        <f t="shared" ca="1" si="244"/>
        <v>0</v>
      </c>
      <c r="N482" s="627">
        <f t="shared" ca="1" si="244"/>
        <v>0</v>
      </c>
      <c r="O482" s="627">
        <f t="shared" ca="1" si="244"/>
        <v>0</v>
      </c>
      <c r="P482" s="627">
        <f t="shared" ca="1" si="244"/>
        <v>0</v>
      </c>
      <c r="Q482" s="627">
        <f t="shared" ca="1" si="244"/>
        <v>0</v>
      </c>
      <c r="R482" s="627">
        <f t="shared" ca="1" si="244"/>
        <v>0</v>
      </c>
      <c r="S482" s="627">
        <f ca="1">SUM(S483:S486)</f>
        <v>0</v>
      </c>
      <c r="T482" s="627">
        <f t="shared" ref="T482:AD482" ca="1" si="245">SUM(T483:T486)</f>
        <v>0</v>
      </c>
      <c r="U482" s="627">
        <f t="shared" ca="1" si="245"/>
        <v>0</v>
      </c>
      <c r="V482" s="627">
        <f t="shared" ca="1" si="245"/>
        <v>0</v>
      </c>
      <c r="W482" s="627">
        <f t="shared" ca="1" si="245"/>
        <v>0</v>
      </c>
      <c r="X482" s="627">
        <f t="shared" ca="1" si="245"/>
        <v>0</v>
      </c>
      <c r="Y482" s="627">
        <f t="shared" ca="1" si="245"/>
        <v>0</v>
      </c>
      <c r="Z482" s="627">
        <f t="shared" ca="1" si="245"/>
        <v>0</v>
      </c>
      <c r="AA482" s="627">
        <f t="shared" ca="1" si="245"/>
        <v>0</v>
      </c>
      <c r="AB482" s="627">
        <f t="shared" ca="1" si="245"/>
        <v>0</v>
      </c>
      <c r="AC482" s="627">
        <f t="shared" ca="1" si="245"/>
        <v>0</v>
      </c>
      <c r="AD482" s="627">
        <f t="shared" ca="1" si="245"/>
        <v>0</v>
      </c>
      <c r="AE482" s="627">
        <f ca="1">SUM(AE483:AE486)</f>
        <v>0</v>
      </c>
      <c r="AF482" s="627">
        <f t="shared" ref="AF482:AP482" ca="1" si="246">SUM(AF483:AF486)</f>
        <v>0</v>
      </c>
      <c r="AG482" s="627">
        <f t="shared" ca="1" si="246"/>
        <v>0</v>
      </c>
      <c r="AH482" s="627">
        <f t="shared" ca="1" si="246"/>
        <v>0</v>
      </c>
      <c r="AI482" s="627">
        <f t="shared" ca="1" si="246"/>
        <v>0</v>
      </c>
      <c r="AJ482" s="627">
        <f t="shared" ca="1" si="246"/>
        <v>0</v>
      </c>
      <c r="AK482" s="627">
        <f t="shared" ca="1" si="246"/>
        <v>0</v>
      </c>
      <c r="AL482" s="627">
        <f t="shared" ca="1" si="246"/>
        <v>0</v>
      </c>
      <c r="AM482" s="627">
        <f t="shared" ca="1" si="246"/>
        <v>0</v>
      </c>
      <c r="AN482" s="627">
        <f t="shared" ca="1" si="246"/>
        <v>0</v>
      </c>
      <c r="AO482" s="627">
        <f t="shared" ca="1" si="246"/>
        <v>0</v>
      </c>
      <c r="AP482" s="627">
        <f t="shared" ca="1" si="246"/>
        <v>0</v>
      </c>
    </row>
    <row r="483" spans="1:42" s="594" customFormat="1" ht="11.25" outlineLevel="1" x14ac:dyDescent="0.2">
      <c r="A483" s="644"/>
      <c r="B483" s="591" t="str">
        <f>IF(D483&lt;&gt;"",
IF(ISERROR(MATCH(D483,'Ist Vorjahr Monat 01'!A:A,0))=FALSE,INDEX('Ist Vorjahr Monat 01'!B:B,MATCH(D483,'Ist Vorjahr Monat 01'!A:A,0)),
IF(ISERROR(MATCH(D483,'Ist Vorjahr Monat 02'!A:A,0))=FALSE,INDEX('Ist Vorjahr Monat 02'!B:B,MATCH(D483,'Ist Vorjahr Monat 02'!A:A,0)),
IF(ISERROR(MATCH(D483,'Ist Vorjahr Monat 03'!A:A,0))=FALSE,INDEX('Ist Vorjahr Monat 03'!B:B,MATCH(D483,'Ist Vorjahr Monat 03'!A:A,0)),
IF(ISERROR(MATCH(D483,'Ist Vorjahr Monat 04'!A:A,0))=FALSE,INDEX('Ist Vorjahr Monat 04'!B:B,MATCH(D483,'Ist Vorjahr Monat 04'!A:A,0)),
IF(ISERROR(MATCH(D483,'Ist Vorjahr Monat 05'!A:A,0))=FALSE,INDEX('Ist Vorjahr Monat 05'!B:B,MATCH(D483,'Ist Vorjahr Monat 05'!A:A,0)),
IF(ISERROR(MATCH(D483,'Ist Vorjahr Monat 06'!A:A,0))=FALSE,INDEX('Ist Vorjahr Monat 06'!B:B,MATCH(D483,'Ist Vorjahr Monat 06'!A:A,0)),
IF(ISERROR(MATCH(D483,'Ist Vorjahr Monat 07'!A:A,0))=FALSE,INDEX('Ist Vorjahr Monat 07'!B:B,MATCH(D483,'Ist Vorjahr Monat 07'!A:A,0)),
IF(ISERROR(MATCH(D483,'Ist Vorjahr Monat 08'!A:A,0))=FALSE,INDEX('Ist Vorjahr Monat 08'!B:B,MATCH(D483,'Ist Vorjahr Monat 08'!A:A,0)),
IF(ISERROR(MATCH(D483,'Ist Vorjahr Monat 09'!A:A,0))=FALSE,INDEX('Ist Vorjahr Monat 09'!B:B,MATCH(D483,'Ist Vorjahr Monat 09'!A:A,0)),
IF(ISERROR(MATCH(D483,'Ist Vorjahr Monat 10'!A:A,0))=FALSE,INDEX('Ist Vorjahr Monat 10'!B:B,MATCH(D483,'Ist Vorjahr Monat 10'!A:A,0)),
IF(ISERROR(MATCH(D483,'Ist Vorjahr Monat 11'!A:A,0))=FALSE,INDEX('Ist Vorjahr Monat 11'!B:B,MATCH(D483,'Ist Vorjahr Monat 11'!A:A,0)),
IF(ISERROR(MATCH(D483,'Ist Vorjahr Monat 12'!A:A,0))=FALSE,INDEX('Ist Vorjahr Monat 12'!B:B,MATCH(D483,'Ist Vorjahr Monat 12'!A:A,0)),
"{Konto unbekannt}"
)))))))))))),"")</f>
        <v/>
      </c>
      <c r="C483" s="1062"/>
      <c r="D483" s="1067"/>
      <c r="E483" s="625">
        <f t="shared" si="237"/>
        <v>1</v>
      </c>
      <c r="F483" s="626"/>
      <c r="G483" s="593">
        <f ca="1">$E483*(SUMIF(INDIRECT(G$3),'Struktur Vorjahr'!$D483,INDIRECT(G$4))-SUMIF(INDIRECT(G$3),'Struktur Vorjahr'!$D483,INDIRECT(G$5)))</f>
        <v>0</v>
      </c>
      <c r="H483" s="593">
        <f ca="1">$E483*(SUMIF(INDIRECT(H$3),'Struktur Vorjahr'!$D483,INDIRECT(H$4))-SUMIF(INDIRECT(H$3),'Struktur Vorjahr'!$D483,INDIRECT(H$5)))</f>
        <v>0</v>
      </c>
      <c r="I483" s="593">
        <f ca="1">$E483*(SUMIF(INDIRECT(I$3),'Struktur Vorjahr'!$D483,INDIRECT(I$4))-SUMIF(INDIRECT(I$3),'Struktur Vorjahr'!$D483,INDIRECT(I$5)))</f>
        <v>0</v>
      </c>
      <c r="J483" s="593">
        <f ca="1">$E483*(SUMIF(INDIRECT(J$3),'Struktur Vorjahr'!$D483,INDIRECT(J$4))-SUMIF(INDIRECT(J$3),'Struktur Vorjahr'!$D483,INDIRECT(J$5)))</f>
        <v>0</v>
      </c>
      <c r="K483" s="593">
        <f ca="1">$E483*(SUMIF(INDIRECT(K$3),'Struktur Vorjahr'!$D483,INDIRECT(K$4))-SUMIF(INDIRECT(K$3),'Struktur Vorjahr'!$D483,INDIRECT(K$5)))</f>
        <v>0</v>
      </c>
      <c r="L483" s="593">
        <f ca="1">$E483*(SUMIF(INDIRECT(L$3),'Struktur Vorjahr'!$D483,INDIRECT(L$4))-SUMIF(INDIRECT(L$3),'Struktur Vorjahr'!$D483,INDIRECT(L$5)))</f>
        <v>0</v>
      </c>
      <c r="M483" s="593">
        <f ca="1">$E483*(SUMIF(INDIRECT(M$3),'Struktur Vorjahr'!$D483,INDIRECT(M$4))-SUMIF(INDIRECT(M$3),'Struktur Vorjahr'!$D483,INDIRECT(M$5)))</f>
        <v>0</v>
      </c>
      <c r="N483" s="593">
        <f ca="1">$E483*(SUMIF(INDIRECT(N$3),'Struktur Vorjahr'!$D483,INDIRECT(N$4))-SUMIF(INDIRECT(N$3),'Struktur Vorjahr'!$D483,INDIRECT(N$5)))</f>
        <v>0</v>
      </c>
      <c r="O483" s="593">
        <f ca="1">$E483*(SUMIF(INDIRECT(O$3),'Struktur Vorjahr'!$D483,INDIRECT(O$4))-SUMIF(INDIRECT(O$3),'Struktur Vorjahr'!$D483,INDIRECT(O$5)))</f>
        <v>0</v>
      </c>
      <c r="P483" s="593">
        <f ca="1">$E483*(SUMIF(INDIRECT(P$3),'Struktur Vorjahr'!$D483,INDIRECT(P$4))-SUMIF(INDIRECT(P$3),'Struktur Vorjahr'!$D483,INDIRECT(P$5)))</f>
        <v>0</v>
      </c>
      <c r="Q483" s="593">
        <f ca="1">$E483*(SUMIF(INDIRECT(Q$3),'Struktur Vorjahr'!$D483,INDIRECT(Q$4))-SUMIF(INDIRECT(Q$3),'Struktur Vorjahr'!$D483,INDIRECT(Q$5)))</f>
        <v>0</v>
      </c>
      <c r="R483" s="593">
        <f ca="1">$E483*(SUMIF(INDIRECT(R$3),'Struktur Vorjahr'!$D483,INDIRECT(R$4))-SUMIF(INDIRECT(R$3),'Struktur Vorjahr'!$D483,INDIRECT(R$5)))</f>
        <v>0</v>
      </c>
      <c r="S483" s="593">
        <f ca="1">$E483*(SUMIF(INDIRECT(S$3),'Struktur Vorjahr'!$D483,INDIRECT(S$4))-SUMIF(INDIRECT(S$3),'Struktur Vorjahr'!$D483,INDIRECT(S$5)))</f>
        <v>0</v>
      </c>
      <c r="T483" s="593">
        <f ca="1">$E483*(SUMIF(INDIRECT(T$3),'Struktur Vorjahr'!$D483,INDIRECT(T$4))-SUMIF(INDIRECT(T$3),'Struktur Vorjahr'!$D483,INDIRECT(T$5)))</f>
        <v>0</v>
      </c>
      <c r="U483" s="593">
        <f ca="1">$E483*(SUMIF(INDIRECT(U$3),'Struktur Vorjahr'!$D483,INDIRECT(U$4))-SUMIF(INDIRECT(U$3),'Struktur Vorjahr'!$D483,INDIRECT(U$5)))</f>
        <v>0</v>
      </c>
      <c r="V483" s="593">
        <f ca="1">$E483*(SUMIF(INDIRECT(V$3),'Struktur Vorjahr'!$D483,INDIRECT(V$4))-SUMIF(INDIRECT(V$3),'Struktur Vorjahr'!$D483,INDIRECT(V$5)))</f>
        <v>0</v>
      </c>
      <c r="W483" s="593">
        <f ca="1">$E483*(SUMIF(INDIRECT(W$3),'Struktur Vorjahr'!$D483,INDIRECT(W$4))-SUMIF(INDIRECT(W$3),'Struktur Vorjahr'!$D483,INDIRECT(W$5)))</f>
        <v>0</v>
      </c>
      <c r="X483" s="593">
        <f ca="1">$E483*(SUMIF(INDIRECT(X$3),'Struktur Vorjahr'!$D483,INDIRECT(X$4))-SUMIF(INDIRECT(X$3),'Struktur Vorjahr'!$D483,INDIRECT(X$5)))</f>
        <v>0</v>
      </c>
      <c r="Y483" s="593">
        <f ca="1">$E483*(SUMIF(INDIRECT(Y$3),'Struktur Vorjahr'!$D483,INDIRECT(Y$4))-SUMIF(INDIRECT(Y$3),'Struktur Vorjahr'!$D483,INDIRECT(Y$5)))</f>
        <v>0</v>
      </c>
      <c r="Z483" s="593">
        <f ca="1">$E483*(SUMIF(INDIRECT(Z$3),'Struktur Vorjahr'!$D483,INDIRECT(Z$4))-SUMIF(INDIRECT(Z$3),'Struktur Vorjahr'!$D483,INDIRECT(Z$5)))</f>
        <v>0</v>
      </c>
      <c r="AA483" s="593">
        <f ca="1">$E483*(SUMIF(INDIRECT(AA$3),'Struktur Vorjahr'!$D483,INDIRECT(AA$4))-SUMIF(INDIRECT(AA$3),'Struktur Vorjahr'!$D483,INDIRECT(AA$5)))</f>
        <v>0</v>
      </c>
      <c r="AB483" s="593">
        <f ca="1">$E483*(SUMIF(INDIRECT(AB$3),'Struktur Vorjahr'!$D483,INDIRECT(AB$4))-SUMIF(INDIRECT(AB$3),'Struktur Vorjahr'!$D483,INDIRECT(AB$5)))</f>
        <v>0</v>
      </c>
      <c r="AC483" s="593">
        <f ca="1">$E483*(SUMIF(INDIRECT(AC$3),'Struktur Vorjahr'!$D483,INDIRECT(AC$4))-SUMIF(INDIRECT(AC$3),'Struktur Vorjahr'!$D483,INDIRECT(AC$5)))</f>
        <v>0</v>
      </c>
      <c r="AD483" s="593">
        <f ca="1">$E483*(SUMIF(INDIRECT(AD$3),'Struktur Vorjahr'!$D483,INDIRECT(AD$4))-SUMIF(INDIRECT(AD$3),'Struktur Vorjahr'!$D483,INDIRECT(AD$5)))</f>
        <v>0</v>
      </c>
      <c r="AE483" s="593">
        <f t="shared" ref="AE483:AE486" ca="1" si="247">G483</f>
        <v>0</v>
      </c>
      <c r="AF483" s="593">
        <f t="shared" ref="AF483:AP486" ca="1" si="248">H483+AE483</f>
        <v>0</v>
      </c>
      <c r="AG483" s="593">
        <f t="shared" ca="1" si="248"/>
        <v>0</v>
      </c>
      <c r="AH483" s="593">
        <f t="shared" ca="1" si="248"/>
        <v>0</v>
      </c>
      <c r="AI483" s="593">
        <f t="shared" ca="1" si="248"/>
        <v>0</v>
      </c>
      <c r="AJ483" s="593">
        <f t="shared" ca="1" si="248"/>
        <v>0</v>
      </c>
      <c r="AK483" s="593">
        <f t="shared" ca="1" si="248"/>
        <v>0</v>
      </c>
      <c r="AL483" s="593">
        <f t="shared" ca="1" si="248"/>
        <v>0</v>
      </c>
      <c r="AM483" s="593">
        <f t="shared" ca="1" si="248"/>
        <v>0</v>
      </c>
      <c r="AN483" s="593">
        <f t="shared" ca="1" si="248"/>
        <v>0</v>
      </c>
      <c r="AO483" s="593">
        <f t="shared" ca="1" si="248"/>
        <v>0</v>
      </c>
      <c r="AP483" s="593">
        <f t="shared" ca="1" si="248"/>
        <v>0</v>
      </c>
    </row>
    <row r="484" spans="1:42" s="594" customFormat="1" ht="11.25" outlineLevel="1" x14ac:dyDescent="0.2">
      <c r="A484" s="644"/>
      <c r="B484" s="591" t="str">
        <f>IF(D484&lt;&gt;"",
IF(ISERROR(MATCH(D484,'Ist Vorjahr Monat 01'!A:A,0))=FALSE,INDEX('Ist Vorjahr Monat 01'!B:B,MATCH(D484,'Ist Vorjahr Monat 01'!A:A,0)),
IF(ISERROR(MATCH(D484,'Ist Vorjahr Monat 02'!A:A,0))=FALSE,INDEX('Ist Vorjahr Monat 02'!B:B,MATCH(D484,'Ist Vorjahr Monat 02'!A:A,0)),
IF(ISERROR(MATCH(D484,'Ist Vorjahr Monat 03'!A:A,0))=FALSE,INDEX('Ist Vorjahr Monat 03'!B:B,MATCH(D484,'Ist Vorjahr Monat 03'!A:A,0)),
IF(ISERROR(MATCH(D484,'Ist Vorjahr Monat 04'!A:A,0))=FALSE,INDEX('Ist Vorjahr Monat 04'!B:B,MATCH(D484,'Ist Vorjahr Monat 04'!A:A,0)),
IF(ISERROR(MATCH(D484,'Ist Vorjahr Monat 05'!A:A,0))=FALSE,INDEX('Ist Vorjahr Monat 05'!B:B,MATCH(D484,'Ist Vorjahr Monat 05'!A:A,0)),
IF(ISERROR(MATCH(D484,'Ist Vorjahr Monat 06'!A:A,0))=FALSE,INDEX('Ist Vorjahr Monat 06'!B:B,MATCH(D484,'Ist Vorjahr Monat 06'!A:A,0)),
IF(ISERROR(MATCH(D484,'Ist Vorjahr Monat 07'!A:A,0))=FALSE,INDEX('Ist Vorjahr Monat 07'!B:B,MATCH(D484,'Ist Vorjahr Monat 07'!A:A,0)),
IF(ISERROR(MATCH(D484,'Ist Vorjahr Monat 08'!A:A,0))=FALSE,INDEX('Ist Vorjahr Monat 08'!B:B,MATCH(D484,'Ist Vorjahr Monat 08'!A:A,0)),
IF(ISERROR(MATCH(D484,'Ist Vorjahr Monat 09'!A:A,0))=FALSE,INDEX('Ist Vorjahr Monat 09'!B:B,MATCH(D484,'Ist Vorjahr Monat 09'!A:A,0)),
IF(ISERROR(MATCH(D484,'Ist Vorjahr Monat 10'!A:A,0))=FALSE,INDEX('Ist Vorjahr Monat 10'!B:B,MATCH(D484,'Ist Vorjahr Monat 10'!A:A,0)),
IF(ISERROR(MATCH(D484,'Ist Vorjahr Monat 11'!A:A,0))=FALSE,INDEX('Ist Vorjahr Monat 11'!B:B,MATCH(D484,'Ist Vorjahr Monat 11'!A:A,0)),
IF(ISERROR(MATCH(D484,'Ist Vorjahr Monat 12'!A:A,0))=FALSE,INDEX('Ist Vorjahr Monat 12'!B:B,MATCH(D484,'Ist Vorjahr Monat 12'!A:A,0)),
"{Konto unbekannt}"
)))))))))))),"")</f>
        <v/>
      </c>
      <c r="C484" s="1062"/>
      <c r="D484" s="1067"/>
      <c r="E484" s="625">
        <f t="shared" si="237"/>
        <v>1</v>
      </c>
      <c r="F484" s="626"/>
      <c r="G484" s="593">
        <f ca="1">$E484*(SUMIF(INDIRECT(G$3),'Struktur Vorjahr'!$D484,INDIRECT(G$4))-SUMIF(INDIRECT(G$3),'Struktur Vorjahr'!$D484,INDIRECT(G$5)))</f>
        <v>0</v>
      </c>
      <c r="H484" s="593">
        <f ca="1">$E484*(SUMIF(INDIRECT(H$3),'Struktur Vorjahr'!$D484,INDIRECT(H$4))-SUMIF(INDIRECT(H$3),'Struktur Vorjahr'!$D484,INDIRECT(H$5)))</f>
        <v>0</v>
      </c>
      <c r="I484" s="593">
        <f ca="1">$E484*(SUMIF(INDIRECT(I$3),'Struktur Vorjahr'!$D484,INDIRECT(I$4))-SUMIF(INDIRECT(I$3),'Struktur Vorjahr'!$D484,INDIRECT(I$5)))</f>
        <v>0</v>
      </c>
      <c r="J484" s="593">
        <f ca="1">$E484*(SUMIF(INDIRECT(J$3),'Struktur Vorjahr'!$D484,INDIRECT(J$4))-SUMIF(INDIRECT(J$3),'Struktur Vorjahr'!$D484,INDIRECT(J$5)))</f>
        <v>0</v>
      </c>
      <c r="K484" s="593">
        <f ca="1">$E484*(SUMIF(INDIRECT(K$3),'Struktur Vorjahr'!$D484,INDIRECT(K$4))-SUMIF(INDIRECT(K$3),'Struktur Vorjahr'!$D484,INDIRECT(K$5)))</f>
        <v>0</v>
      </c>
      <c r="L484" s="593">
        <f ca="1">$E484*(SUMIF(INDIRECT(L$3),'Struktur Vorjahr'!$D484,INDIRECT(L$4))-SUMIF(INDIRECT(L$3),'Struktur Vorjahr'!$D484,INDIRECT(L$5)))</f>
        <v>0</v>
      </c>
      <c r="M484" s="593">
        <f ca="1">$E484*(SUMIF(INDIRECT(M$3),'Struktur Vorjahr'!$D484,INDIRECT(M$4))-SUMIF(INDIRECT(M$3),'Struktur Vorjahr'!$D484,INDIRECT(M$5)))</f>
        <v>0</v>
      </c>
      <c r="N484" s="593">
        <f ca="1">$E484*(SUMIF(INDIRECT(N$3),'Struktur Vorjahr'!$D484,INDIRECT(N$4))-SUMIF(INDIRECT(N$3),'Struktur Vorjahr'!$D484,INDIRECT(N$5)))</f>
        <v>0</v>
      </c>
      <c r="O484" s="593">
        <f ca="1">$E484*(SUMIF(INDIRECT(O$3),'Struktur Vorjahr'!$D484,INDIRECT(O$4))-SUMIF(INDIRECT(O$3),'Struktur Vorjahr'!$D484,INDIRECT(O$5)))</f>
        <v>0</v>
      </c>
      <c r="P484" s="593">
        <f ca="1">$E484*(SUMIF(INDIRECT(P$3),'Struktur Vorjahr'!$D484,INDIRECT(P$4))-SUMIF(INDIRECT(P$3),'Struktur Vorjahr'!$D484,INDIRECT(P$5)))</f>
        <v>0</v>
      </c>
      <c r="Q484" s="593">
        <f ca="1">$E484*(SUMIF(INDIRECT(Q$3),'Struktur Vorjahr'!$D484,INDIRECT(Q$4))-SUMIF(INDIRECT(Q$3),'Struktur Vorjahr'!$D484,INDIRECT(Q$5)))</f>
        <v>0</v>
      </c>
      <c r="R484" s="593">
        <f ca="1">$E484*(SUMIF(INDIRECT(R$3),'Struktur Vorjahr'!$D484,INDIRECT(R$4))-SUMIF(INDIRECT(R$3),'Struktur Vorjahr'!$D484,INDIRECT(R$5)))</f>
        <v>0</v>
      </c>
      <c r="S484" s="593">
        <f ca="1">$E484*(SUMIF(INDIRECT(S$3),'Struktur Vorjahr'!$D484,INDIRECT(S$4))-SUMIF(INDIRECT(S$3),'Struktur Vorjahr'!$D484,INDIRECT(S$5)))</f>
        <v>0</v>
      </c>
      <c r="T484" s="593">
        <f ca="1">$E484*(SUMIF(INDIRECT(T$3),'Struktur Vorjahr'!$D484,INDIRECT(T$4))-SUMIF(INDIRECT(T$3),'Struktur Vorjahr'!$D484,INDIRECT(T$5)))</f>
        <v>0</v>
      </c>
      <c r="U484" s="593">
        <f ca="1">$E484*(SUMIF(INDIRECT(U$3),'Struktur Vorjahr'!$D484,INDIRECT(U$4))-SUMIF(INDIRECT(U$3),'Struktur Vorjahr'!$D484,INDIRECT(U$5)))</f>
        <v>0</v>
      </c>
      <c r="V484" s="593">
        <f ca="1">$E484*(SUMIF(INDIRECT(V$3),'Struktur Vorjahr'!$D484,INDIRECT(V$4))-SUMIF(INDIRECT(V$3),'Struktur Vorjahr'!$D484,INDIRECT(V$5)))</f>
        <v>0</v>
      </c>
      <c r="W484" s="593">
        <f ca="1">$E484*(SUMIF(INDIRECT(W$3),'Struktur Vorjahr'!$D484,INDIRECT(W$4))-SUMIF(INDIRECT(W$3),'Struktur Vorjahr'!$D484,INDIRECT(W$5)))</f>
        <v>0</v>
      </c>
      <c r="X484" s="593">
        <f ca="1">$E484*(SUMIF(INDIRECT(X$3),'Struktur Vorjahr'!$D484,INDIRECT(X$4))-SUMIF(INDIRECT(X$3),'Struktur Vorjahr'!$D484,INDIRECT(X$5)))</f>
        <v>0</v>
      </c>
      <c r="Y484" s="593">
        <f ca="1">$E484*(SUMIF(INDIRECT(Y$3),'Struktur Vorjahr'!$D484,INDIRECT(Y$4))-SUMIF(INDIRECT(Y$3),'Struktur Vorjahr'!$D484,INDIRECT(Y$5)))</f>
        <v>0</v>
      </c>
      <c r="Z484" s="593">
        <f ca="1">$E484*(SUMIF(INDIRECT(Z$3),'Struktur Vorjahr'!$D484,INDIRECT(Z$4))-SUMIF(INDIRECT(Z$3),'Struktur Vorjahr'!$D484,INDIRECT(Z$5)))</f>
        <v>0</v>
      </c>
      <c r="AA484" s="593">
        <f ca="1">$E484*(SUMIF(INDIRECT(AA$3),'Struktur Vorjahr'!$D484,INDIRECT(AA$4))-SUMIF(INDIRECT(AA$3),'Struktur Vorjahr'!$D484,INDIRECT(AA$5)))</f>
        <v>0</v>
      </c>
      <c r="AB484" s="593">
        <f ca="1">$E484*(SUMIF(INDIRECT(AB$3),'Struktur Vorjahr'!$D484,INDIRECT(AB$4))-SUMIF(INDIRECT(AB$3),'Struktur Vorjahr'!$D484,INDIRECT(AB$5)))</f>
        <v>0</v>
      </c>
      <c r="AC484" s="593">
        <f ca="1">$E484*(SUMIF(INDIRECT(AC$3),'Struktur Vorjahr'!$D484,INDIRECT(AC$4))-SUMIF(INDIRECT(AC$3),'Struktur Vorjahr'!$D484,INDIRECT(AC$5)))</f>
        <v>0</v>
      </c>
      <c r="AD484" s="593">
        <f ca="1">$E484*(SUMIF(INDIRECT(AD$3),'Struktur Vorjahr'!$D484,INDIRECT(AD$4))-SUMIF(INDIRECT(AD$3),'Struktur Vorjahr'!$D484,INDIRECT(AD$5)))</f>
        <v>0</v>
      </c>
      <c r="AE484" s="593">
        <f t="shared" ca="1" si="247"/>
        <v>0</v>
      </c>
      <c r="AF484" s="593">
        <f t="shared" ca="1" si="248"/>
        <v>0</v>
      </c>
      <c r="AG484" s="593">
        <f t="shared" ca="1" si="248"/>
        <v>0</v>
      </c>
      <c r="AH484" s="593">
        <f t="shared" ca="1" si="248"/>
        <v>0</v>
      </c>
      <c r="AI484" s="593">
        <f t="shared" ca="1" si="248"/>
        <v>0</v>
      </c>
      <c r="AJ484" s="593">
        <f t="shared" ca="1" si="248"/>
        <v>0</v>
      </c>
      <c r="AK484" s="593">
        <f t="shared" ca="1" si="248"/>
        <v>0</v>
      </c>
      <c r="AL484" s="593">
        <f t="shared" ca="1" si="248"/>
        <v>0</v>
      </c>
      <c r="AM484" s="593">
        <f t="shared" ca="1" si="248"/>
        <v>0</v>
      </c>
      <c r="AN484" s="593">
        <f t="shared" ca="1" si="248"/>
        <v>0</v>
      </c>
      <c r="AO484" s="593">
        <f t="shared" ca="1" si="248"/>
        <v>0</v>
      </c>
      <c r="AP484" s="593">
        <f t="shared" ca="1" si="248"/>
        <v>0</v>
      </c>
    </row>
    <row r="485" spans="1:42" s="594" customFormat="1" ht="11.25" outlineLevel="1" x14ac:dyDescent="0.2">
      <c r="A485" s="644"/>
      <c r="B485" s="591" t="str">
        <f>IF(D485&lt;&gt;"",
IF(ISERROR(MATCH(D485,'Ist Vorjahr Monat 01'!A:A,0))=FALSE,INDEX('Ist Vorjahr Monat 01'!B:B,MATCH(D485,'Ist Vorjahr Monat 01'!A:A,0)),
IF(ISERROR(MATCH(D485,'Ist Vorjahr Monat 02'!A:A,0))=FALSE,INDEX('Ist Vorjahr Monat 02'!B:B,MATCH(D485,'Ist Vorjahr Monat 02'!A:A,0)),
IF(ISERROR(MATCH(D485,'Ist Vorjahr Monat 03'!A:A,0))=FALSE,INDEX('Ist Vorjahr Monat 03'!B:B,MATCH(D485,'Ist Vorjahr Monat 03'!A:A,0)),
IF(ISERROR(MATCH(D485,'Ist Vorjahr Monat 04'!A:A,0))=FALSE,INDEX('Ist Vorjahr Monat 04'!B:B,MATCH(D485,'Ist Vorjahr Monat 04'!A:A,0)),
IF(ISERROR(MATCH(D485,'Ist Vorjahr Monat 05'!A:A,0))=FALSE,INDEX('Ist Vorjahr Monat 05'!B:B,MATCH(D485,'Ist Vorjahr Monat 05'!A:A,0)),
IF(ISERROR(MATCH(D485,'Ist Vorjahr Monat 06'!A:A,0))=FALSE,INDEX('Ist Vorjahr Monat 06'!B:B,MATCH(D485,'Ist Vorjahr Monat 06'!A:A,0)),
IF(ISERROR(MATCH(D485,'Ist Vorjahr Monat 07'!A:A,0))=FALSE,INDEX('Ist Vorjahr Monat 07'!B:B,MATCH(D485,'Ist Vorjahr Monat 07'!A:A,0)),
IF(ISERROR(MATCH(D485,'Ist Vorjahr Monat 08'!A:A,0))=FALSE,INDEX('Ist Vorjahr Monat 08'!B:B,MATCH(D485,'Ist Vorjahr Monat 08'!A:A,0)),
IF(ISERROR(MATCH(D485,'Ist Vorjahr Monat 09'!A:A,0))=FALSE,INDEX('Ist Vorjahr Monat 09'!B:B,MATCH(D485,'Ist Vorjahr Monat 09'!A:A,0)),
IF(ISERROR(MATCH(D485,'Ist Vorjahr Monat 10'!A:A,0))=FALSE,INDEX('Ist Vorjahr Monat 10'!B:B,MATCH(D485,'Ist Vorjahr Monat 10'!A:A,0)),
IF(ISERROR(MATCH(D485,'Ist Vorjahr Monat 11'!A:A,0))=FALSE,INDEX('Ist Vorjahr Monat 11'!B:B,MATCH(D485,'Ist Vorjahr Monat 11'!A:A,0)),
IF(ISERROR(MATCH(D485,'Ist Vorjahr Monat 12'!A:A,0))=FALSE,INDEX('Ist Vorjahr Monat 12'!B:B,MATCH(D485,'Ist Vorjahr Monat 12'!A:A,0)),
"{Konto unbekannt}"
)))))))))))),"")</f>
        <v/>
      </c>
      <c r="C485" s="1062"/>
      <c r="D485" s="1067"/>
      <c r="E485" s="625">
        <f t="shared" si="237"/>
        <v>1</v>
      </c>
      <c r="F485" s="626"/>
      <c r="G485" s="593">
        <f ca="1">$E485*(SUMIF(INDIRECT(G$3),'Struktur Vorjahr'!$D485,INDIRECT(G$4))-SUMIF(INDIRECT(G$3),'Struktur Vorjahr'!$D485,INDIRECT(G$5)))</f>
        <v>0</v>
      </c>
      <c r="H485" s="593">
        <f ca="1">$E485*(SUMIF(INDIRECT(H$3),'Struktur Vorjahr'!$D485,INDIRECT(H$4))-SUMIF(INDIRECT(H$3),'Struktur Vorjahr'!$D485,INDIRECT(H$5)))</f>
        <v>0</v>
      </c>
      <c r="I485" s="593">
        <f ca="1">$E485*(SUMIF(INDIRECT(I$3),'Struktur Vorjahr'!$D485,INDIRECT(I$4))-SUMIF(INDIRECT(I$3),'Struktur Vorjahr'!$D485,INDIRECT(I$5)))</f>
        <v>0</v>
      </c>
      <c r="J485" s="593">
        <f ca="1">$E485*(SUMIF(INDIRECT(J$3),'Struktur Vorjahr'!$D485,INDIRECT(J$4))-SUMIF(INDIRECT(J$3),'Struktur Vorjahr'!$D485,INDIRECT(J$5)))</f>
        <v>0</v>
      </c>
      <c r="K485" s="593">
        <f ca="1">$E485*(SUMIF(INDIRECT(K$3),'Struktur Vorjahr'!$D485,INDIRECT(K$4))-SUMIF(INDIRECT(K$3),'Struktur Vorjahr'!$D485,INDIRECT(K$5)))</f>
        <v>0</v>
      </c>
      <c r="L485" s="593">
        <f ca="1">$E485*(SUMIF(INDIRECT(L$3),'Struktur Vorjahr'!$D485,INDIRECT(L$4))-SUMIF(INDIRECT(L$3),'Struktur Vorjahr'!$D485,INDIRECT(L$5)))</f>
        <v>0</v>
      </c>
      <c r="M485" s="593">
        <f ca="1">$E485*(SUMIF(INDIRECT(M$3),'Struktur Vorjahr'!$D485,INDIRECT(M$4))-SUMIF(INDIRECT(M$3),'Struktur Vorjahr'!$D485,INDIRECT(M$5)))</f>
        <v>0</v>
      </c>
      <c r="N485" s="593">
        <f ca="1">$E485*(SUMIF(INDIRECT(N$3),'Struktur Vorjahr'!$D485,INDIRECT(N$4))-SUMIF(INDIRECT(N$3),'Struktur Vorjahr'!$D485,INDIRECT(N$5)))</f>
        <v>0</v>
      </c>
      <c r="O485" s="593">
        <f ca="1">$E485*(SUMIF(INDIRECT(O$3),'Struktur Vorjahr'!$D485,INDIRECT(O$4))-SUMIF(INDIRECT(O$3),'Struktur Vorjahr'!$D485,INDIRECT(O$5)))</f>
        <v>0</v>
      </c>
      <c r="P485" s="593">
        <f ca="1">$E485*(SUMIF(INDIRECT(P$3),'Struktur Vorjahr'!$D485,INDIRECT(P$4))-SUMIF(INDIRECT(P$3),'Struktur Vorjahr'!$D485,INDIRECT(P$5)))</f>
        <v>0</v>
      </c>
      <c r="Q485" s="593">
        <f ca="1">$E485*(SUMIF(INDIRECT(Q$3),'Struktur Vorjahr'!$D485,INDIRECT(Q$4))-SUMIF(INDIRECT(Q$3),'Struktur Vorjahr'!$D485,INDIRECT(Q$5)))</f>
        <v>0</v>
      </c>
      <c r="R485" s="593">
        <f ca="1">$E485*(SUMIF(INDIRECT(R$3),'Struktur Vorjahr'!$D485,INDIRECT(R$4))-SUMIF(INDIRECT(R$3),'Struktur Vorjahr'!$D485,INDIRECT(R$5)))</f>
        <v>0</v>
      </c>
      <c r="S485" s="593">
        <f ca="1">$E485*(SUMIF(INDIRECT(S$3),'Struktur Vorjahr'!$D485,INDIRECT(S$4))-SUMIF(INDIRECT(S$3),'Struktur Vorjahr'!$D485,INDIRECT(S$5)))</f>
        <v>0</v>
      </c>
      <c r="T485" s="593">
        <f ca="1">$E485*(SUMIF(INDIRECT(T$3),'Struktur Vorjahr'!$D485,INDIRECT(T$4))-SUMIF(INDIRECT(T$3),'Struktur Vorjahr'!$D485,INDIRECT(T$5)))</f>
        <v>0</v>
      </c>
      <c r="U485" s="593">
        <f ca="1">$E485*(SUMIF(INDIRECT(U$3),'Struktur Vorjahr'!$D485,INDIRECT(U$4))-SUMIF(INDIRECT(U$3),'Struktur Vorjahr'!$D485,INDIRECT(U$5)))</f>
        <v>0</v>
      </c>
      <c r="V485" s="593">
        <f ca="1">$E485*(SUMIF(INDIRECT(V$3),'Struktur Vorjahr'!$D485,INDIRECT(V$4))-SUMIF(INDIRECT(V$3),'Struktur Vorjahr'!$D485,INDIRECT(V$5)))</f>
        <v>0</v>
      </c>
      <c r="W485" s="593">
        <f ca="1">$E485*(SUMIF(INDIRECT(W$3),'Struktur Vorjahr'!$D485,INDIRECT(W$4))-SUMIF(INDIRECT(W$3),'Struktur Vorjahr'!$D485,INDIRECT(W$5)))</f>
        <v>0</v>
      </c>
      <c r="X485" s="593">
        <f ca="1">$E485*(SUMIF(INDIRECT(X$3),'Struktur Vorjahr'!$D485,INDIRECT(X$4))-SUMIF(INDIRECT(X$3),'Struktur Vorjahr'!$D485,INDIRECT(X$5)))</f>
        <v>0</v>
      </c>
      <c r="Y485" s="593">
        <f ca="1">$E485*(SUMIF(INDIRECT(Y$3),'Struktur Vorjahr'!$D485,INDIRECT(Y$4))-SUMIF(INDIRECT(Y$3),'Struktur Vorjahr'!$D485,INDIRECT(Y$5)))</f>
        <v>0</v>
      </c>
      <c r="Z485" s="593">
        <f ca="1">$E485*(SUMIF(INDIRECT(Z$3),'Struktur Vorjahr'!$D485,INDIRECT(Z$4))-SUMIF(INDIRECT(Z$3),'Struktur Vorjahr'!$D485,INDIRECT(Z$5)))</f>
        <v>0</v>
      </c>
      <c r="AA485" s="593">
        <f ca="1">$E485*(SUMIF(INDIRECT(AA$3),'Struktur Vorjahr'!$D485,INDIRECT(AA$4))-SUMIF(INDIRECT(AA$3),'Struktur Vorjahr'!$D485,INDIRECT(AA$5)))</f>
        <v>0</v>
      </c>
      <c r="AB485" s="593">
        <f ca="1">$E485*(SUMIF(INDIRECT(AB$3),'Struktur Vorjahr'!$D485,INDIRECT(AB$4))-SUMIF(INDIRECT(AB$3),'Struktur Vorjahr'!$D485,INDIRECT(AB$5)))</f>
        <v>0</v>
      </c>
      <c r="AC485" s="593">
        <f ca="1">$E485*(SUMIF(INDIRECT(AC$3),'Struktur Vorjahr'!$D485,INDIRECT(AC$4))-SUMIF(INDIRECT(AC$3),'Struktur Vorjahr'!$D485,INDIRECT(AC$5)))</f>
        <v>0</v>
      </c>
      <c r="AD485" s="593">
        <f ca="1">$E485*(SUMIF(INDIRECT(AD$3),'Struktur Vorjahr'!$D485,INDIRECT(AD$4))-SUMIF(INDIRECT(AD$3),'Struktur Vorjahr'!$D485,INDIRECT(AD$5)))</f>
        <v>0</v>
      </c>
      <c r="AE485" s="593">
        <f t="shared" ca="1" si="247"/>
        <v>0</v>
      </c>
      <c r="AF485" s="593">
        <f t="shared" ca="1" si="248"/>
        <v>0</v>
      </c>
      <c r="AG485" s="593">
        <f t="shared" ca="1" si="248"/>
        <v>0</v>
      </c>
      <c r="AH485" s="593">
        <f t="shared" ca="1" si="248"/>
        <v>0</v>
      </c>
      <c r="AI485" s="593">
        <f t="shared" ca="1" si="248"/>
        <v>0</v>
      </c>
      <c r="AJ485" s="593">
        <f t="shared" ca="1" si="248"/>
        <v>0</v>
      </c>
      <c r="AK485" s="593">
        <f t="shared" ca="1" si="248"/>
        <v>0</v>
      </c>
      <c r="AL485" s="593">
        <f t="shared" ca="1" si="248"/>
        <v>0</v>
      </c>
      <c r="AM485" s="593">
        <f t="shared" ca="1" si="248"/>
        <v>0</v>
      </c>
      <c r="AN485" s="593">
        <f t="shared" ca="1" si="248"/>
        <v>0</v>
      </c>
      <c r="AO485" s="593">
        <f t="shared" ca="1" si="248"/>
        <v>0</v>
      </c>
      <c r="AP485" s="593">
        <f t="shared" ca="1" si="248"/>
        <v>0</v>
      </c>
    </row>
    <row r="486" spans="1:42" s="594" customFormat="1" ht="11.25" outlineLevel="1" x14ac:dyDescent="0.2">
      <c r="A486" s="645"/>
      <c r="B486" s="591" t="str">
        <f>IF(D486&lt;&gt;"",
IF(ISERROR(MATCH(D486,'Ist Vorjahr Monat 01'!A:A,0))=FALSE,INDEX('Ist Vorjahr Monat 01'!B:B,MATCH(D486,'Ist Vorjahr Monat 01'!A:A,0)),
IF(ISERROR(MATCH(D486,'Ist Vorjahr Monat 02'!A:A,0))=FALSE,INDEX('Ist Vorjahr Monat 02'!B:B,MATCH(D486,'Ist Vorjahr Monat 02'!A:A,0)),
IF(ISERROR(MATCH(D486,'Ist Vorjahr Monat 03'!A:A,0))=FALSE,INDEX('Ist Vorjahr Monat 03'!B:B,MATCH(D486,'Ist Vorjahr Monat 03'!A:A,0)),
IF(ISERROR(MATCH(D486,'Ist Vorjahr Monat 04'!A:A,0))=FALSE,INDEX('Ist Vorjahr Monat 04'!B:B,MATCH(D486,'Ist Vorjahr Monat 04'!A:A,0)),
IF(ISERROR(MATCH(D486,'Ist Vorjahr Monat 05'!A:A,0))=FALSE,INDEX('Ist Vorjahr Monat 05'!B:B,MATCH(D486,'Ist Vorjahr Monat 05'!A:A,0)),
IF(ISERROR(MATCH(D486,'Ist Vorjahr Monat 06'!A:A,0))=FALSE,INDEX('Ist Vorjahr Monat 06'!B:B,MATCH(D486,'Ist Vorjahr Monat 06'!A:A,0)),
IF(ISERROR(MATCH(D486,'Ist Vorjahr Monat 07'!A:A,0))=FALSE,INDEX('Ist Vorjahr Monat 07'!B:B,MATCH(D486,'Ist Vorjahr Monat 07'!A:A,0)),
IF(ISERROR(MATCH(D486,'Ist Vorjahr Monat 08'!A:A,0))=FALSE,INDEX('Ist Vorjahr Monat 08'!B:B,MATCH(D486,'Ist Vorjahr Monat 08'!A:A,0)),
IF(ISERROR(MATCH(D486,'Ist Vorjahr Monat 09'!A:A,0))=FALSE,INDEX('Ist Vorjahr Monat 09'!B:B,MATCH(D486,'Ist Vorjahr Monat 09'!A:A,0)),
IF(ISERROR(MATCH(D486,'Ist Vorjahr Monat 10'!A:A,0))=FALSE,INDEX('Ist Vorjahr Monat 10'!B:B,MATCH(D486,'Ist Vorjahr Monat 10'!A:A,0)),
IF(ISERROR(MATCH(D486,'Ist Vorjahr Monat 11'!A:A,0))=FALSE,INDEX('Ist Vorjahr Monat 11'!B:B,MATCH(D486,'Ist Vorjahr Monat 11'!A:A,0)),
IF(ISERROR(MATCH(D486,'Ist Vorjahr Monat 12'!A:A,0))=FALSE,INDEX('Ist Vorjahr Monat 12'!B:B,MATCH(D486,'Ist Vorjahr Monat 12'!A:A,0)),
"{Konto unbekannt}"
)))))))))))),"")</f>
        <v/>
      </c>
      <c r="C486" s="1062"/>
      <c r="D486" s="1067"/>
      <c r="E486" s="630">
        <f t="shared" si="237"/>
        <v>1</v>
      </c>
      <c r="F486" s="631"/>
      <c r="G486" s="632">
        <f ca="1">$E486*(SUMIF(INDIRECT(G$3),'Struktur Vorjahr'!$D486,INDIRECT(G$4))-SUMIF(INDIRECT(G$3),'Struktur Vorjahr'!$D486,INDIRECT(G$5)))</f>
        <v>0</v>
      </c>
      <c r="H486" s="632">
        <f ca="1">$E486*(SUMIF(INDIRECT(H$3),'Struktur Vorjahr'!$D486,INDIRECT(H$4))-SUMIF(INDIRECT(H$3),'Struktur Vorjahr'!$D486,INDIRECT(H$5)))</f>
        <v>0</v>
      </c>
      <c r="I486" s="632">
        <f ca="1">$E486*(SUMIF(INDIRECT(I$3),'Struktur Vorjahr'!$D486,INDIRECT(I$4))-SUMIF(INDIRECT(I$3),'Struktur Vorjahr'!$D486,INDIRECT(I$5)))</f>
        <v>0</v>
      </c>
      <c r="J486" s="632">
        <f ca="1">$E486*(SUMIF(INDIRECT(J$3),'Struktur Vorjahr'!$D486,INDIRECT(J$4))-SUMIF(INDIRECT(J$3),'Struktur Vorjahr'!$D486,INDIRECT(J$5)))</f>
        <v>0</v>
      </c>
      <c r="K486" s="632">
        <f ca="1">$E486*(SUMIF(INDIRECT(K$3),'Struktur Vorjahr'!$D486,INDIRECT(K$4))-SUMIF(INDIRECT(K$3),'Struktur Vorjahr'!$D486,INDIRECT(K$5)))</f>
        <v>0</v>
      </c>
      <c r="L486" s="632">
        <f ca="1">$E486*(SUMIF(INDIRECT(L$3),'Struktur Vorjahr'!$D486,INDIRECT(L$4))-SUMIF(INDIRECT(L$3),'Struktur Vorjahr'!$D486,INDIRECT(L$5)))</f>
        <v>0</v>
      </c>
      <c r="M486" s="632">
        <f ca="1">$E486*(SUMIF(INDIRECT(M$3),'Struktur Vorjahr'!$D486,INDIRECT(M$4))-SUMIF(INDIRECT(M$3),'Struktur Vorjahr'!$D486,INDIRECT(M$5)))</f>
        <v>0</v>
      </c>
      <c r="N486" s="632">
        <f ca="1">$E486*(SUMIF(INDIRECT(N$3),'Struktur Vorjahr'!$D486,INDIRECT(N$4))-SUMIF(INDIRECT(N$3),'Struktur Vorjahr'!$D486,INDIRECT(N$5)))</f>
        <v>0</v>
      </c>
      <c r="O486" s="632">
        <f ca="1">$E486*(SUMIF(INDIRECT(O$3),'Struktur Vorjahr'!$D486,INDIRECT(O$4))-SUMIF(INDIRECT(O$3),'Struktur Vorjahr'!$D486,INDIRECT(O$5)))</f>
        <v>0</v>
      </c>
      <c r="P486" s="632">
        <f ca="1">$E486*(SUMIF(INDIRECT(P$3),'Struktur Vorjahr'!$D486,INDIRECT(P$4))-SUMIF(INDIRECT(P$3),'Struktur Vorjahr'!$D486,INDIRECT(P$5)))</f>
        <v>0</v>
      </c>
      <c r="Q486" s="632">
        <f ca="1">$E486*(SUMIF(INDIRECT(Q$3),'Struktur Vorjahr'!$D486,INDIRECT(Q$4))-SUMIF(INDIRECT(Q$3),'Struktur Vorjahr'!$D486,INDIRECT(Q$5)))</f>
        <v>0</v>
      </c>
      <c r="R486" s="632">
        <f ca="1">$E486*(SUMIF(INDIRECT(R$3),'Struktur Vorjahr'!$D486,INDIRECT(R$4))-SUMIF(INDIRECT(R$3),'Struktur Vorjahr'!$D486,INDIRECT(R$5)))</f>
        <v>0</v>
      </c>
      <c r="S486" s="632">
        <f ca="1">$E486*(SUMIF(INDIRECT(S$3),'Struktur Vorjahr'!$D486,INDIRECT(S$4))-SUMIF(INDIRECT(S$3),'Struktur Vorjahr'!$D486,INDIRECT(S$5)))</f>
        <v>0</v>
      </c>
      <c r="T486" s="632">
        <f ca="1">$E486*(SUMIF(INDIRECT(T$3),'Struktur Vorjahr'!$D486,INDIRECT(T$4))-SUMIF(INDIRECT(T$3),'Struktur Vorjahr'!$D486,INDIRECT(T$5)))</f>
        <v>0</v>
      </c>
      <c r="U486" s="632">
        <f ca="1">$E486*(SUMIF(INDIRECT(U$3),'Struktur Vorjahr'!$D486,INDIRECT(U$4))-SUMIF(INDIRECT(U$3),'Struktur Vorjahr'!$D486,INDIRECT(U$5)))</f>
        <v>0</v>
      </c>
      <c r="V486" s="632">
        <f ca="1">$E486*(SUMIF(INDIRECT(V$3),'Struktur Vorjahr'!$D486,INDIRECT(V$4))-SUMIF(INDIRECT(V$3),'Struktur Vorjahr'!$D486,INDIRECT(V$5)))</f>
        <v>0</v>
      </c>
      <c r="W486" s="632">
        <f ca="1">$E486*(SUMIF(INDIRECT(W$3),'Struktur Vorjahr'!$D486,INDIRECT(W$4))-SUMIF(INDIRECT(W$3),'Struktur Vorjahr'!$D486,INDIRECT(W$5)))</f>
        <v>0</v>
      </c>
      <c r="X486" s="632">
        <f ca="1">$E486*(SUMIF(INDIRECT(X$3),'Struktur Vorjahr'!$D486,INDIRECT(X$4))-SUMIF(INDIRECT(X$3),'Struktur Vorjahr'!$D486,INDIRECT(X$5)))</f>
        <v>0</v>
      </c>
      <c r="Y486" s="632">
        <f ca="1">$E486*(SUMIF(INDIRECT(Y$3),'Struktur Vorjahr'!$D486,INDIRECT(Y$4))-SUMIF(INDIRECT(Y$3),'Struktur Vorjahr'!$D486,INDIRECT(Y$5)))</f>
        <v>0</v>
      </c>
      <c r="Z486" s="632">
        <f ca="1">$E486*(SUMIF(INDIRECT(Z$3),'Struktur Vorjahr'!$D486,INDIRECT(Z$4))-SUMIF(INDIRECT(Z$3),'Struktur Vorjahr'!$D486,INDIRECT(Z$5)))</f>
        <v>0</v>
      </c>
      <c r="AA486" s="632">
        <f ca="1">$E486*(SUMIF(INDIRECT(AA$3),'Struktur Vorjahr'!$D486,INDIRECT(AA$4))-SUMIF(INDIRECT(AA$3),'Struktur Vorjahr'!$D486,INDIRECT(AA$5)))</f>
        <v>0</v>
      </c>
      <c r="AB486" s="632">
        <f ca="1">$E486*(SUMIF(INDIRECT(AB$3),'Struktur Vorjahr'!$D486,INDIRECT(AB$4))-SUMIF(INDIRECT(AB$3),'Struktur Vorjahr'!$D486,INDIRECT(AB$5)))</f>
        <v>0</v>
      </c>
      <c r="AC486" s="632">
        <f ca="1">$E486*(SUMIF(INDIRECT(AC$3),'Struktur Vorjahr'!$D486,INDIRECT(AC$4))-SUMIF(INDIRECT(AC$3),'Struktur Vorjahr'!$D486,INDIRECT(AC$5)))</f>
        <v>0</v>
      </c>
      <c r="AD486" s="632">
        <f ca="1">$E486*(SUMIF(INDIRECT(AD$3),'Struktur Vorjahr'!$D486,INDIRECT(AD$4))-SUMIF(INDIRECT(AD$3),'Struktur Vorjahr'!$D486,INDIRECT(AD$5)))</f>
        <v>0</v>
      </c>
      <c r="AE486" s="593">
        <f t="shared" ca="1" si="247"/>
        <v>0</v>
      </c>
      <c r="AF486" s="593">
        <f t="shared" ca="1" si="248"/>
        <v>0</v>
      </c>
      <c r="AG486" s="593">
        <f t="shared" ca="1" si="248"/>
        <v>0</v>
      </c>
      <c r="AH486" s="593">
        <f t="shared" ca="1" si="248"/>
        <v>0</v>
      </c>
      <c r="AI486" s="593">
        <f t="shared" ca="1" si="248"/>
        <v>0</v>
      </c>
      <c r="AJ486" s="593">
        <f t="shared" ca="1" si="248"/>
        <v>0</v>
      </c>
      <c r="AK486" s="593">
        <f t="shared" ca="1" si="248"/>
        <v>0</v>
      </c>
      <c r="AL486" s="593">
        <f t="shared" ca="1" si="248"/>
        <v>0</v>
      </c>
      <c r="AM486" s="593">
        <f t="shared" ca="1" si="248"/>
        <v>0</v>
      </c>
      <c r="AN486" s="593">
        <f t="shared" ca="1" si="248"/>
        <v>0</v>
      </c>
      <c r="AO486" s="593">
        <f t="shared" ca="1" si="248"/>
        <v>0</v>
      </c>
      <c r="AP486" s="593">
        <f t="shared" ca="1" si="248"/>
        <v>0</v>
      </c>
    </row>
    <row r="487" spans="1:42" s="589" customFormat="1" outlineLevel="1" x14ac:dyDescent="0.2">
      <c r="A487" s="629">
        <v>45</v>
      </c>
      <c r="B487" s="623" t="s">
        <v>284</v>
      </c>
      <c r="C487" s="627">
        <f ca="1">SUM(G487:R487)</f>
        <v>-23295.550000000003</v>
      </c>
      <c r="D487" s="627"/>
      <c r="E487" s="628">
        <f t="shared" si="237"/>
        <v>-1</v>
      </c>
      <c r="F487" s="628" t="s">
        <v>996</v>
      </c>
      <c r="G487" s="627">
        <f ca="1">SUM(G488:G505)</f>
        <v>-52668.81</v>
      </c>
      <c r="H487" s="627">
        <f t="shared" ref="H487:R487" ca="1" si="249">SUM(H488:H505)</f>
        <v>-488.82999999999981</v>
      </c>
      <c r="I487" s="627">
        <f t="shared" ca="1" si="249"/>
        <v>-7316.6000000000013</v>
      </c>
      <c r="J487" s="627">
        <f t="shared" ca="1" si="249"/>
        <v>6624.63</v>
      </c>
      <c r="K487" s="627">
        <f t="shared" ca="1" si="249"/>
        <v>-6529.54</v>
      </c>
      <c r="L487" s="627">
        <f t="shared" ca="1" si="249"/>
        <v>3897.7000000000003</v>
      </c>
      <c r="M487" s="627">
        <f ca="1">SUM(M488:M505)</f>
        <v>44866.16</v>
      </c>
      <c r="N487" s="627">
        <f t="shared" ca="1" si="249"/>
        <v>-35874.280000000006</v>
      </c>
      <c r="O487" s="627">
        <f t="shared" ca="1" si="249"/>
        <v>-2328.09</v>
      </c>
      <c r="P487" s="627">
        <f t="shared" ca="1" si="249"/>
        <v>26522.11</v>
      </c>
      <c r="Q487" s="627">
        <f t="shared" ca="1" si="249"/>
        <v>0</v>
      </c>
      <c r="R487" s="627">
        <f t="shared" ca="1" si="249"/>
        <v>0</v>
      </c>
      <c r="S487" s="627">
        <f ca="1">SUM(S488:S505)</f>
        <v>29027.690000000002</v>
      </c>
      <c r="T487" s="627">
        <f t="shared" ref="T487:X487" ca="1" si="250">SUM(T488:T505)</f>
        <v>28538.859999999997</v>
      </c>
      <c r="U487" s="627">
        <f t="shared" ca="1" si="250"/>
        <v>21222.26</v>
      </c>
      <c r="V487" s="627">
        <f t="shared" ca="1" si="250"/>
        <v>27846.890000000003</v>
      </c>
      <c r="W487" s="627">
        <f t="shared" ca="1" si="250"/>
        <v>21317.35</v>
      </c>
      <c r="X487" s="627">
        <f t="shared" ca="1" si="250"/>
        <v>25215.050000000003</v>
      </c>
      <c r="Y487" s="627">
        <f ca="1">SUM(Y488:Y505)</f>
        <v>70081.209999999992</v>
      </c>
      <c r="Z487" s="627">
        <f t="shared" ref="Z487:AD487" ca="1" si="251">SUM(Z488:Z505)</f>
        <v>34206.93</v>
      </c>
      <c r="AA487" s="627">
        <f t="shared" ca="1" si="251"/>
        <v>31878.84</v>
      </c>
      <c r="AB487" s="627">
        <f t="shared" ca="1" si="251"/>
        <v>58400.94999999999</v>
      </c>
      <c r="AC487" s="627">
        <f t="shared" ca="1" si="251"/>
        <v>0</v>
      </c>
      <c r="AD487" s="627">
        <f t="shared" ca="1" si="251"/>
        <v>0</v>
      </c>
      <c r="AE487" s="627">
        <f ca="1">SUM(AE488:AE505)</f>
        <v>-52668.81</v>
      </c>
      <c r="AF487" s="627">
        <f t="shared" ref="AF487:AJ487" ca="1" si="252">SUM(AF488:AF505)</f>
        <v>-53157.639999999992</v>
      </c>
      <c r="AG487" s="627">
        <f t="shared" ca="1" si="252"/>
        <v>-60474.239999999998</v>
      </c>
      <c r="AH487" s="627">
        <f t="shared" ca="1" si="252"/>
        <v>-53849.61</v>
      </c>
      <c r="AI487" s="627">
        <f t="shared" ca="1" si="252"/>
        <v>-60379.149999999994</v>
      </c>
      <c r="AJ487" s="627">
        <f t="shared" ca="1" si="252"/>
        <v>-56481.450000000004</v>
      </c>
      <c r="AK487" s="627">
        <f ca="1">SUM(AK488:AK505)</f>
        <v>-11615.29</v>
      </c>
      <c r="AL487" s="627">
        <f t="shared" ref="AL487:AP487" ca="1" si="253">SUM(AL488:AL505)</f>
        <v>-47489.57</v>
      </c>
      <c r="AM487" s="627">
        <f t="shared" ca="1" si="253"/>
        <v>-49817.66</v>
      </c>
      <c r="AN487" s="627">
        <f t="shared" ca="1" si="253"/>
        <v>-23295.550000000003</v>
      </c>
      <c r="AO487" s="627">
        <f t="shared" ca="1" si="253"/>
        <v>-23295.550000000003</v>
      </c>
      <c r="AP487" s="627">
        <f t="shared" ca="1" si="253"/>
        <v>-23295.550000000003</v>
      </c>
    </row>
    <row r="488" spans="1:42" s="594" customFormat="1" ht="11.25" outlineLevel="1" x14ac:dyDescent="0.2">
      <c r="A488" s="644"/>
      <c r="B488" s="591" t="str">
        <f>IF(D488&lt;&gt;"",
IF(ISERROR(MATCH(D488,'Ist Vorjahr Monat 01'!A:A,0))=FALSE,INDEX('Ist Vorjahr Monat 01'!B:B,MATCH(D488,'Ist Vorjahr Monat 01'!A:A,0)),
IF(ISERROR(MATCH(D488,'Ist Vorjahr Monat 02'!A:A,0))=FALSE,INDEX('Ist Vorjahr Monat 02'!B:B,MATCH(D488,'Ist Vorjahr Monat 02'!A:A,0)),
IF(ISERROR(MATCH(D488,'Ist Vorjahr Monat 03'!A:A,0))=FALSE,INDEX('Ist Vorjahr Monat 03'!B:B,MATCH(D488,'Ist Vorjahr Monat 03'!A:A,0)),
IF(ISERROR(MATCH(D488,'Ist Vorjahr Monat 04'!A:A,0))=FALSE,INDEX('Ist Vorjahr Monat 04'!B:B,MATCH(D488,'Ist Vorjahr Monat 04'!A:A,0)),
IF(ISERROR(MATCH(D488,'Ist Vorjahr Monat 05'!A:A,0))=FALSE,INDEX('Ist Vorjahr Monat 05'!B:B,MATCH(D488,'Ist Vorjahr Monat 05'!A:A,0)),
IF(ISERROR(MATCH(D488,'Ist Vorjahr Monat 06'!A:A,0))=FALSE,INDEX('Ist Vorjahr Monat 06'!B:B,MATCH(D488,'Ist Vorjahr Monat 06'!A:A,0)),
IF(ISERROR(MATCH(D488,'Ist Vorjahr Monat 07'!A:A,0))=FALSE,INDEX('Ist Vorjahr Monat 07'!B:B,MATCH(D488,'Ist Vorjahr Monat 07'!A:A,0)),
IF(ISERROR(MATCH(D488,'Ist Vorjahr Monat 08'!A:A,0))=FALSE,INDEX('Ist Vorjahr Monat 08'!B:B,MATCH(D488,'Ist Vorjahr Monat 08'!A:A,0)),
IF(ISERROR(MATCH(D488,'Ist Vorjahr Monat 09'!A:A,0))=FALSE,INDEX('Ist Vorjahr Monat 09'!B:B,MATCH(D488,'Ist Vorjahr Monat 09'!A:A,0)),
IF(ISERROR(MATCH(D488,'Ist Vorjahr Monat 10'!A:A,0))=FALSE,INDEX('Ist Vorjahr Monat 10'!B:B,MATCH(D488,'Ist Vorjahr Monat 10'!A:A,0)),
IF(ISERROR(MATCH(D488,'Ist Vorjahr Monat 11'!A:A,0))=FALSE,INDEX('Ist Vorjahr Monat 11'!B:B,MATCH(D488,'Ist Vorjahr Monat 11'!A:A,0)),
IF(ISERROR(MATCH(D488,'Ist Vorjahr Monat 12'!A:A,0))=FALSE,INDEX('Ist Vorjahr Monat 12'!B:B,MATCH(D488,'Ist Vorjahr Monat 12'!A:A,0)),
"{Konto unbekannt}"
)))))))))))),"")</f>
        <v>Forderungen aus Lieferungen u.Leistung</v>
      </c>
      <c r="C488" s="1062"/>
      <c r="D488" s="1067">
        <v>1400</v>
      </c>
      <c r="E488" s="625">
        <f t="shared" si="237"/>
        <v>-1</v>
      </c>
      <c r="F488" s="626" t="s">
        <v>996</v>
      </c>
      <c r="G488" s="593">
        <f ca="1">$E488*(SUMIF(INDIRECT(G$3),'Struktur Vorjahr'!$D488,INDIRECT(G$4))-SUMIF(INDIRECT(G$3),'Struktur Vorjahr'!$D488,INDIRECT(G$5)))</f>
        <v>-53195.15</v>
      </c>
      <c r="H488" s="593">
        <f ca="1">$E488*(SUMIF(INDIRECT(H$3),'Struktur Vorjahr'!$D488,INDIRECT(H$4))-SUMIF(INDIRECT(H$3),'Struktur Vorjahr'!$D488,INDIRECT(H$5)))</f>
        <v>-585.03</v>
      </c>
      <c r="I488" s="593">
        <f ca="1">$E488*(SUMIF(INDIRECT(I$3),'Struktur Vorjahr'!$D488,INDIRECT(I$4))-SUMIF(INDIRECT(I$3),'Struktur Vorjahr'!$D488,INDIRECT(I$5)))</f>
        <v>-9961.1</v>
      </c>
      <c r="J488" s="593">
        <f ca="1">$E488*(SUMIF(INDIRECT(J$3),'Struktur Vorjahr'!$D488,INDIRECT(J$4))-SUMIF(INDIRECT(J$3),'Struktur Vorjahr'!$D488,INDIRECT(J$5)))</f>
        <v>6948.46</v>
      </c>
      <c r="K488" s="593">
        <f ca="1">$E488*(SUMIF(INDIRECT(K$3),'Struktur Vorjahr'!$D488,INDIRECT(K$4))-SUMIF(INDIRECT(K$3),'Struktur Vorjahr'!$D488,INDIRECT(K$5)))</f>
        <v>-7973.54</v>
      </c>
      <c r="L488" s="593">
        <f ca="1">$E488*(SUMIF(INDIRECT(L$3),'Struktur Vorjahr'!$D488,INDIRECT(L$4))-SUMIF(INDIRECT(L$3),'Struktur Vorjahr'!$D488,INDIRECT(L$5)))</f>
        <v>3431.71</v>
      </c>
      <c r="M488" s="593">
        <f ca="1">$E488*(SUMIF(INDIRECT(M$3),'Struktur Vorjahr'!$D488,INDIRECT(M$4))-SUMIF(INDIRECT(M$3),'Struktur Vorjahr'!$D488,INDIRECT(M$5)))</f>
        <v>43316.54</v>
      </c>
      <c r="N488" s="593">
        <f ca="1">$E488*(SUMIF(INDIRECT(N$3),'Struktur Vorjahr'!$D488,INDIRECT(N$4))-SUMIF(INDIRECT(N$3),'Struktur Vorjahr'!$D488,INDIRECT(N$5)))</f>
        <v>-36936.300000000003</v>
      </c>
      <c r="O488" s="593">
        <f ca="1">$E488*(SUMIF(INDIRECT(O$3),'Struktur Vorjahr'!$D488,INDIRECT(O$4))-SUMIF(INDIRECT(O$3),'Struktur Vorjahr'!$D488,INDIRECT(O$5)))</f>
        <v>-2541.62</v>
      </c>
      <c r="P488" s="593">
        <f ca="1">$E488*(SUMIF(INDIRECT(P$3),'Struktur Vorjahr'!$D488,INDIRECT(P$4))-SUMIF(INDIRECT(P$3),'Struktur Vorjahr'!$D488,INDIRECT(P$5)))</f>
        <v>26214.43</v>
      </c>
      <c r="Q488" s="593">
        <f ca="1">$E488*(SUMIF(INDIRECT(Q$3),'Struktur Vorjahr'!$D488,INDIRECT(Q$4))-SUMIF(INDIRECT(Q$3),'Struktur Vorjahr'!$D488,INDIRECT(Q$5)))</f>
        <v>0</v>
      </c>
      <c r="R488" s="593">
        <f ca="1">$E488*(SUMIF(INDIRECT(R$3),'Struktur Vorjahr'!$D488,INDIRECT(R$4))-SUMIF(INDIRECT(R$3),'Struktur Vorjahr'!$D488,INDIRECT(R$5)))</f>
        <v>0</v>
      </c>
      <c r="S488" s="593">
        <f ca="1">$E488*(SUMIF(INDIRECT(S$3),'Struktur Vorjahr'!$D488,INDIRECT(S$4))-SUMIF(INDIRECT(S$3),'Struktur Vorjahr'!$D488,INDIRECT(S$5)))</f>
        <v>24554.15</v>
      </c>
      <c r="T488" s="593">
        <f ca="1">$E488*(SUMIF(INDIRECT(T$3),'Struktur Vorjahr'!$D488,INDIRECT(T$4))-SUMIF(INDIRECT(T$3),'Struktur Vorjahr'!$D488,INDIRECT(T$5)))</f>
        <v>23969.119999999999</v>
      </c>
      <c r="U488" s="593">
        <f ca="1">$E488*(SUMIF(INDIRECT(U$3),'Struktur Vorjahr'!$D488,INDIRECT(U$4))-SUMIF(INDIRECT(U$3),'Struktur Vorjahr'!$D488,INDIRECT(U$5)))</f>
        <v>14008.02</v>
      </c>
      <c r="V488" s="593">
        <f ca="1">$E488*(SUMIF(INDIRECT(V$3),'Struktur Vorjahr'!$D488,INDIRECT(V$4))-SUMIF(INDIRECT(V$3),'Struktur Vorjahr'!$D488,INDIRECT(V$5)))</f>
        <v>20956.48</v>
      </c>
      <c r="W488" s="593">
        <f ca="1">$E488*(SUMIF(INDIRECT(W$3),'Struktur Vorjahr'!$D488,INDIRECT(W$4))-SUMIF(INDIRECT(W$3),'Struktur Vorjahr'!$D488,INDIRECT(W$5)))</f>
        <v>12982.94</v>
      </c>
      <c r="X488" s="593">
        <f ca="1">$E488*(SUMIF(INDIRECT(X$3),'Struktur Vorjahr'!$D488,INDIRECT(X$4))-SUMIF(INDIRECT(X$3),'Struktur Vorjahr'!$D488,INDIRECT(X$5)))</f>
        <v>16414.650000000001</v>
      </c>
      <c r="Y488" s="593">
        <f ca="1">$E488*(SUMIF(INDIRECT(Y$3),'Struktur Vorjahr'!$D488,INDIRECT(Y$4))-SUMIF(INDIRECT(Y$3),'Struktur Vorjahr'!$D488,INDIRECT(Y$5)))</f>
        <v>59731.19</v>
      </c>
      <c r="Z488" s="593">
        <f ca="1">$E488*(SUMIF(INDIRECT(Z$3),'Struktur Vorjahr'!$D488,INDIRECT(Z$4))-SUMIF(INDIRECT(Z$3),'Struktur Vorjahr'!$D488,INDIRECT(Z$5)))</f>
        <v>22794.89</v>
      </c>
      <c r="AA488" s="593">
        <f ca="1">$E488*(SUMIF(INDIRECT(AA$3),'Struktur Vorjahr'!$D488,INDIRECT(AA$4))-SUMIF(INDIRECT(AA$3),'Struktur Vorjahr'!$D488,INDIRECT(AA$5)))</f>
        <v>20253.27</v>
      </c>
      <c r="AB488" s="593">
        <f ca="1">$E488*(SUMIF(INDIRECT(AB$3),'Struktur Vorjahr'!$D488,INDIRECT(AB$4))-SUMIF(INDIRECT(AB$3),'Struktur Vorjahr'!$D488,INDIRECT(AB$5)))</f>
        <v>46467.7</v>
      </c>
      <c r="AC488" s="593">
        <f ca="1">$E488*(SUMIF(INDIRECT(AC$3),'Struktur Vorjahr'!$D488,INDIRECT(AC$4))-SUMIF(INDIRECT(AC$3),'Struktur Vorjahr'!$D488,INDIRECT(AC$5)))</f>
        <v>0</v>
      </c>
      <c r="AD488" s="593">
        <f ca="1">$E488*(SUMIF(INDIRECT(AD$3),'Struktur Vorjahr'!$D488,INDIRECT(AD$4))-SUMIF(INDIRECT(AD$3),'Struktur Vorjahr'!$D488,INDIRECT(AD$5)))</f>
        <v>0</v>
      </c>
      <c r="AE488" s="593">
        <f t="shared" ref="AE488:AE505" ca="1" si="254">G488</f>
        <v>-53195.15</v>
      </c>
      <c r="AF488" s="593">
        <f t="shared" ref="AF488:AP505" ca="1" si="255">H488+AE488</f>
        <v>-53780.18</v>
      </c>
      <c r="AG488" s="593">
        <f t="shared" ca="1" si="255"/>
        <v>-63741.279999999999</v>
      </c>
      <c r="AH488" s="593">
        <f t="shared" ca="1" si="255"/>
        <v>-56792.82</v>
      </c>
      <c r="AI488" s="593">
        <f t="shared" ca="1" si="255"/>
        <v>-64766.36</v>
      </c>
      <c r="AJ488" s="593">
        <f t="shared" ca="1" si="255"/>
        <v>-61334.65</v>
      </c>
      <c r="AK488" s="593">
        <f t="shared" ca="1" si="255"/>
        <v>-18018.11</v>
      </c>
      <c r="AL488" s="593">
        <f t="shared" ca="1" si="255"/>
        <v>-54954.41</v>
      </c>
      <c r="AM488" s="593">
        <f t="shared" ca="1" si="255"/>
        <v>-57496.030000000006</v>
      </c>
      <c r="AN488" s="593">
        <f t="shared" ca="1" si="255"/>
        <v>-31281.600000000006</v>
      </c>
      <c r="AO488" s="593">
        <f t="shared" ca="1" si="255"/>
        <v>-31281.600000000006</v>
      </c>
      <c r="AP488" s="593">
        <f t="shared" ca="1" si="255"/>
        <v>-31281.600000000006</v>
      </c>
    </row>
    <row r="489" spans="1:42" s="594" customFormat="1" ht="11.25" outlineLevel="1" x14ac:dyDescent="0.2">
      <c r="A489" s="644"/>
      <c r="B489" s="591" t="str">
        <f>IF(D489&lt;&gt;"",
IF(ISERROR(MATCH(D489,'Ist Vorjahr Monat 01'!A:A,0))=FALSE,INDEX('Ist Vorjahr Monat 01'!B:B,MATCH(D489,'Ist Vorjahr Monat 01'!A:A,0)),
IF(ISERROR(MATCH(D489,'Ist Vorjahr Monat 02'!A:A,0))=FALSE,INDEX('Ist Vorjahr Monat 02'!B:B,MATCH(D489,'Ist Vorjahr Monat 02'!A:A,0)),
IF(ISERROR(MATCH(D489,'Ist Vorjahr Monat 03'!A:A,0))=FALSE,INDEX('Ist Vorjahr Monat 03'!B:B,MATCH(D489,'Ist Vorjahr Monat 03'!A:A,0)),
IF(ISERROR(MATCH(D489,'Ist Vorjahr Monat 04'!A:A,0))=FALSE,INDEX('Ist Vorjahr Monat 04'!B:B,MATCH(D489,'Ist Vorjahr Monat 04'!A:A,0)),
IF(ISERROR(MATCH(D489,'Ist Vorjahr Monat 05'!A:A,0))=FALSE,INDEX('Ist Vorjahr Monat 05'!B:B,MATCH(D489,'Ist Vorjahr Monat 05'!A:A,0)),
IF(ISERROR(MATCH(D489,'Ist Vorjahr Monat 06'!A:A,0))=FALSE,INDEX('Ist Vorjahr Monat 06'!B:B,MATCH(D489,'Ist Vorjahr Monat 06'!A:A,0)),
IF(ISERROR(MATCH(D489,'Ist Vorjahr Monat 07'!A:A,0))=FALSE,INDEX('Ist Vorjahr Monat 07'!B:B,MATCH(D489,'Ist Vorjahr Monat 07'!A:A,0)),
IF(ISERROR(MATCH(D489,'Ist Vorjahr Monat 08'!A:A,0))=FALSE,INDEX('Ist Vorjahr Monat 08'!B:B,MATCH(D489,'Ist Vorjahr Monat 08'!A:A,0)),
IF(ISERROR(MATCH(D489,'Ist Vorjahr Monat 09'!A:A,0))=FALSE,INDEX('Ist Vorjahr Monat 09'!B:B,MATCH(D489,'Ist Vorjahr Monat 09'!A:A,0)),
IF(ISERROR(MATCH(D489,'Ist Vorjahr Monat 10'!A:A,0))=FALSE,INDEX('Ist Vorjahr Monat 10'!B:B,MATCH(D489,'Ist Vorjahr Monat 10'!A:A,0)),
IF(ISERROR(MATCH(D489,'Ist Vorjahr Monat 11'!A:A,0))=FALSE,INDEX('Ist Vorjahr Monat 11'!B:B,MATCH(D489,'Ist Vorjahr Monat 11'!A:A,0)),
IF(ISERROR(MATCH(D489,'Ist Vorjahr Monat 12'!A:A,0))=FALSE,INDEX('Ist Vorjahr Monat 12'!B:B,MATCH(D489,'Ist Vorjahr Monat 12'!A:A,0)),
"{Konto unbekannt}"
)))))))))))),"")</f>
        <v>Durchlaufende Posten</v>
      </c>
      <c r="C489" s="1062"/>
      <c r="D489" s="1067">
        <v>1590</v>
      </c>
      <c r="E489" s="625">
        <f t="shared" si="237"/>
        <v>-1</v>
      </c>
      <c r="F489" s="626" t="s">
        <v>996</v>
      </c>
      <c r="G489" s="593">
        <f ca="1">$E489*(SUMIF(INDIRECT(G$3),'Struktur Vorjahr'!$D489,INDIRECT(G$4))-SUMIF(INDIRECT(G$3),'Struktur Vorjahr'!$D489,INDIRECT(G$5)))</f>
        <v>9.4</v>
      </c>
      <c r="H489" s="593">
        <f ca="1">$E489*(SUMIF(INDIRECT(H$3),'Struktur Vorjahr'!$D489,INDIRECT(H$4))-SUMIF(INDIRECT(H$3),'Struktur Vorjahr'!$D489,INDIRECT(H$5)))</f>
        <v>-526.79</v>
      </c>
      <c r="I489" s="593">
        <f ca="1">$E489*(SUMIF(INDIRECT(I$3),'Struktur Vorjahr'!$D489,INDIRECT(I$4))-SUMIF(INDIRECT(I$3),'Struktur Vorjahr'!$D489,INDIRECT(I$5)))</f>
        <v>1638.87</v>
      </c>
      <c r="J489" s="593">
        <f ca="1">$E489*(SUMIF(INDIRECT(J$3),'Struktur Vorjahr'!$D489,INDIRECT(J$4))-SUMIF(INDIRECT(J$3),'Struktur Vorjahr'!$D489,INDIRECT(J$5)))</f>
        <v>-1554.36</v>
      </c>
      <c r="K489" s="593">
        <f ca="1">$E489*(SUMIF(INDIRECT(K$3),'Struktur Vorjahr'!$D489,INDIRECT(K$4))-SUMIF(INDIRECT(K$3),'Struktur Vorjahr'!$D489,INDIRECT(K$5)))</f>
        <v>268.52</v>
      </c>
      <c r="L489" s="593">
        <f ca="1">$E489*(SUMIF(INDIRECT(L$3),'Struktur Vorjahr'!$D489,INDIRECT(L$4))-SUMIF(INDIRECT(L$3),'Struktur Vorjahr'!$D489,INDIRECT(L$5)))</f>
        <v>-211.92</v>
      </c>
      <c r="M489" s="593">
        <f ca="1">$E489*(SUMIF(INDIRECT(M$3),'Struktur Vorjahr'!$D489,INDIRECT(M$4))-SUMIF(INDIRECT(M$3),'Struktur Vorjahr'!$D489,INDIRECT(M$5)))</f>
        <v>121.89</v>
      </c>
      <c r="N489" s="593">
        <f ca="1">$E489*(SUMIF(INDIRECT(N$3),'Struktur Vorjahr'!$D489,INDIRECT(N$4))-SUMIF(INDIRECT(N$3),'Struktur Vorjahr'!$D489,INDIRECT(N$5)))</f>
        <v>122.55</v>
      </c>
      <c r="O489" s="593">
        <f ca="1">$E489*(SUMIF(INDIRECT(O$3),'Struktur Vorjahr'!$D489,INDIRECT(O$4))-SUMIF(INDIRECT(O$3),'Struktur Vorjahr'!$D489,INDIRECT(O$5)))</f>
        <v>0</v>
      </c>
      <c r="P489" s="593">
        <f ca="1">$E489*(SUMIF(INDIRECT(P$3),'Struktur Vorjahr'!$D489,INDIRECT(P$4))-SUMIF(INDIRECT(P$3),'Struktur Vorjahr'!$D489,INDIRECT(P$5)))</f>
        <v>-127.42</v>
      </c>
      <c r="Q489" s="593">
        <f ca="1">$E489*(SUMIF(INDIRECT(Q$3),'Struktur Vorjahr'!$D489,INDIRECT(Q$4))-SUMIF(INDIRECT(Q$3),'Struktur Vorjahr'!$D489,INDIRECT(Q$5)))</f>
        <v>0</v>
      </c>
      <c r="R489" s="593">
        <f ca="1">$E489*(SUMIF(INDIRECT(R$3),'Struktur Vorjahr'!$D489,INDIRECT(R$4))-SUMIF(INDIRECT(R$3),'Struktur Vorjahr'!$D489,INDIRECT(R$5)))</f>
        <v>0</v>
      </c>
      <c r="S489" s="593">
        <f ca="1">$E489*(SUMIF(INDIRECT(S$3),'Struktur Vorjahr'!$D489,INDIRECT(S$4))-SUMIF(INDIRECT(S$3),'Struktur Vorjahr'!$D489,INDIRECT(S$5)))</f>
        <v>9.4</v>
      </c>
      <c r="T489" s="593">
        <f ca="1">$E489*(SUMIF(INDIRECT(T$3),'Struktur Vorjahr'!$D489,INDIRECT(T$4))-SUMIF(INDIRECT(T$3),'Struktur Vorjahr'!$D489,INDIRECT(T$5)))</f>
        <v>-517.39</v>
      </c>
      <c r="U489" s="593">
        <f ca="1">$E489*(SUMIF(INDIRECT(U$3),'Struktur Vorjahr'!$D489,INDIRECT(U$4))-SUMIF(INDIRECT(U$3),'Struktur Vorjahr'!$D489,INDIRECT(U$5)))</f>
        <v>1121.48</v>
      </c>
      <c r="V489" s="593">
        <f ca="1">$E489*(SUMIF(INDIRECT(V$3),'Struktur Vorjahr'!$D489,INDIRECT(V$4))-SUMIF(INDIRECT(V$3),'Struktur Vorjahr'!$D489,INDIRECT(V$5)))</f>
        <v>-432.88</v>
      </c>
      <c r="W489" s="593">
        <f ca="1">$E489*(SUMIF(INDIRECT(W$3),'Struktur Vorjahr'!$D489,INDIRECT(W$4))-SUMIF(INDIRECT(W$3),'Struktur Vorjahr'!$D489,INDIRECT(W$5)))</f>
        <v>-164.36</v>
      </c>
      <c r="X489" s="593">
        <f ca="1">$E489*(SUMIF(INDIRECT(X$3),'Struktur Vorjahr'!$D489,INDIRECT(X$4))-SUMIF(INDIRECT(X$3),'Struktur Vorjahr'!$D489,INDIRECT(X$5)))</f>
        <v>-376.28</v>
      </c>
      <c r="Y489" s="593">
        <f ca="1">$E489*(SUMIF(INDIRECT(Y$3),'Struktur Vorjahr'!$D489,INDIRECT(Y$4))-SUMIF(INDIRECT(Y$3),'Struktur Vorjahr'!$D489,INDIRECT(Y$5)))</f>
        <v>-254.39</v>
      </c>
      <c r="Z489" s="593">
        <f ca="1">$E489*(SUMIF(INDIRECT(Z$3),'Struktur Vorjahr'!$D489,INDIRECT(Z$4))-SUMIF(INDIRECT(Z$3),'Struktur Vorjahr'!$D489,INDIRECT(Z$5)))</f>
        <v>-131.84</v>
      </c>
      <c r="AA489" s="593">
        <f ca="1">$E489*(SUMIF(INDIRECT(AA$3),'Struktur Vorjahr'!$D489,INDIRECT(AA$4))-SUMIF(INDIRECT(AA$3),'Struktur Vorjahr'!$D489,INDIRECT(AA$5)))</f>
        <v>-131.84</v>
      </c>
      <c r="AB489" s="593">
        <f ca="1">$E489*(SUMIF(INDIRECT(AB$3),'Struktur Vorjahr'!$D489,INDIRECT(AB$4))-SUMIF(INDIRECT(AB$3),'Struktur Vorjahr'!$D489,INDIRECT(AB$5)))</f>
        <v>-259.26</v>
      </c>
      <c r="AC489" s="593">
        <f ca="1">$E489*(SUMIF(INDIRECT(AC$3),'Struktur Vorjahr'!$D489,INDIRECT(AC$4))-SUMIF(INDIRECT(AC$3),'Struktur Vorjahr'!$D489,INDIRECT(AC$5)))</f>
        <v>0</v>
      </c>
      <c r="AD489" s="593">
        <f ca="1">$E489*(SUMIF(INDIRECT(AD$3),'Struktur Vorjahr'!$D489,INDIRECT(AD$4))-SUMIF(INDIRECT(AD$3),'Struktur Vorjahr'!$D489,INDIRECT(AD$5)))</f>
        <v>0</v>
      </c>
      <c r="AE489" s="593">
        <f t="shared" ca="1" si="254"/>
        <v>9.4</v>
      </c>
      <c r="AF489" s="593">
        <f t="shared" ca="1" si="255"/>
        <v>-517.39</v>
      </c>
      <c r="AG489" s="593">
        <f t="shared" ca="1" si="255"/>
        <v>1121.48</v>
      </c>
      <c r="AH489" s="593">
        <f t="shared" ca="1" si="255"/>
        <v>-432.87999999999988</v>
      </c>
      <c r="AI489" s="593">
        <f t="shared" ca="1" si="255"/>
        <v>-164.3599999999999</v>
      </c>
      <c r="AJ489" s="593">
        <f t="shared" ca="1" si="255"/>
        <v>-376.27999999999986</v>
      </c>
      <c r="AK489" s="593">
        <f t="shared" ca="1" si="255"/>
        <v>-254.38999999999987</v>
      </c>
      <c r="AL489" s="593">
        <f t="shared" ca="1" si="255"/>
        <v>-131.83999999999986</v>
      </c>
      <c r="AM489" s="593">
        <f t="shared" ca="1" si="255"/>
        <v>-131.83999999999986</v>
      </c>
      <c r="AN489" s="593">
        <f t="shared" ca="1" si="255"/>
        <v>-259.25999999999988</v>
      </c>
      <c r="AO489" s="593">
        <f t="shared" ca="1" si="255"/>
        <v>-259.25999999999988</v>
      </c>
      <c r="AP489" s="593">
        <f t="shared" ca="1" si="255"/>
        <v>-259.25999999999988</v>
      </c>
    </row>
    <row r="490" spans="1:42" s="594" customFormat="1" ht="11.25" outlineLevel="1" x14ac:dyDescent="0.2">
      <c r="A490" s="644"/>
      <c r="B490" s="591" t="str">
        <f>IF(D490&lt;&gt;"",
IF(ISERROR(MATCH(D490,'Ist Vorjahr Monat 01'!A:A,0))=FALSE,INDEX('Ist Vorjahr Monat 01'!B:B,MATCH(D490,'Ist Vorjahr Monat 01'!A:A,0)),
IF(ISERROR(MATCH(D490,'Ist Vorjahr Monat 02'!A:A,0))=FALSE,INDEX('Ist Vorjahr Monat 02'!B:B,MATCH(D490,'Ist Vorjahr Monat 02'!A:A,0)),
IF(ISERROR(MATCH(D490,'Ist Vorjahr Monat 03'!A:A,0))=FALSE,INDEX('Ist Vorjahr Monat 03'!B:B,MATCH(D490,'Ist Vorjahr Monat 03'!A:A,0)),
IF(ISERROR(MATCH(D490,'Ist Vorjahr Monat 04'!A:A,0))=FALSE,INDEX('Ist Vorjahr Monat 04'!B:B,MATCH(D490,'Ist Vorjahr Monat 04'!A:A,0)),
IF(ISERROR(MATCH(D490,'Ist Vorjahr Monat 05'!A:A,0))=FALSE,INDEX('Ist Vorjahr Monat 05'!B:B,MATCH(D490,'Ist Vorjahr Monat 05'!A:A,0)),
IF(ISERROR(MATCH(D490,'Ist Vorjahr Monat 06'!A:A,0))=FALSE,INDEX('Ist Vorjahr Monat 06'!B:B,MATCH(D490,'Ist Vorjahr Monat 06'!A:A,0)),
IF(ISERROR(MATCH(D490,'Ist Vorjahr Monat 07'!A:A,0))=FALSE,INDEX('Ist Vorjahr Monat 07'!B:B,MATCH(D490,'Ist Vorjahr Monat 07'!A:A,0)),
IF(ISERROR(MATCH(D490,'Ist Vorjahr Monat 08'!A:A,0))=FALSE,INDEX('Ist Vorjahr Monat 08'!B:B,MATCH(D490,'Ist Vorjahr Monat 08'!A:A,0)),
IF(ISERROR(MATCH(D490,'Ist Vorjahr Monat 09'!A:A,0))=FALSE,INDEX('Ist Vorjahr Monat 09'!B:B,MATCH(D490,'Ist Vorjahr Monat 09'!A:A,0)),
IF(ISERROR(MATCH(D490,'Ist Vorjahr Monat 10'!A:A,0))=FALSE,INDEX('Ist Vorjahr Monat 10'!B:B,MATCH(D490,'Ist Vorjahr Monat 10'!A:A,0)),
IF(ISERROR(MATCH(D490,'Ist Vorjahr Monat 11'!A:A,0))=FALSE,INDEX('Ist Vorjahr Monat 11'!B:B,MATCH(D490,'Ist Vorjahr Monat 11'!A:A,0)),
IF(ISERROR(MATCH(D490,'Ist Vorjahr Monat 12'!A:A,0))=FALSE,INDEX('Ist Vorjahr Monat 12'!B:B,MATCH(D490,'Ist Vorjahr Monat 12'!A:A,0)),
"{Konto unbekannt}"
)))))))))))),"")</f>
        <v>Abziehbare Vorsteuer 7%</v>
      </c>
      <c r="C490" s="1062"/>
      <c r="D490" s="1067">
        <v>1571</v>
      </c>
      <c r="E490" s="625">
        <f t="shared" si="237"/>
        <v>-1</v>
      </c>
      <c r="F490" s="642" t="s">
        <v>996</v>
      </c>
      <c r="G490" s="593">
        <f ca="1">$E490*(SUMIF(INDIRECT(G$3),'Struktur Vorjahr'!$D490,INDIRECT(G$4))-SUMIF(INDIRECT(G$3),'Struktur Vorjahr'!$D490,INDIRECT(G$5)))</f>
        <v>7.69</v>
      </c>
      <c r="H490" s="593">
        <f ca="1">$E490*(SUMIF(INDIRECT(H$3),'Struktur Vorjahr'!$D490,INDIRECT(H$4))-SUMIF(INDIRECT(H$3),'Struktur Vorjahr'!$D490,INDIRECT(H$5)))</f>
        <v>1.47</v>
      </c>
      <c r="I490" s="593">
        <f ca="1">$E490*(SUMIF(INDIRECT(I$3),'Struktur Vorjahr'!$D490,INDIRECT(I$4))-SUMIF(INDIRECT(I$3),'Struktur Vorjahr'!$D490,INDIRECT(I$5)))</f>
        <v>16.55</v>
      </c>
      <c r="J490" s="593">
        <f ca="1">$E490*(SUMIF(INDIRECT(J$3),'Struktur Vorjahr'!$D490,INDIRECT(J$4))-SUMIF(INDIRECT(J$3),'Struktur Vorjahr'!$D490,INDIRECT(J$5)))</f>
        <v>11.69</v>
      </c>
      <c r="K490" s="593">
        <f ca="1">$E490*(SUMIF(INDIRECT(K$3),'Struktur Vorjahr'!$D490,INDIRECT(K$4))-SUMIF(INDIRECT(K$3),'Struktur Vorjahr'!$D490,INDIRECT(K$5)))</f>
        <v>4.63</v>
      </c>
      <c r="L490" s="593">
        <f ca="1">$E490*(SUMIF(INDIRECT(L$3),'Struktur Vorjahr'!$D490,INDIRECT(L$4))-SUMIF(INDIRECT(L$3),'Struktur Vorjahr'!$D490,INDIRECT(L$5)))</f>
        <v>7.59</v>
      </c>
      <c r="M490" s="593">
        <f ca="1">$E490*(SUMIF(INDIRECT(M$3),'Struktur Vorjahr'!$D490,INDIRECT(M$4))-SUMIF(INDIRECT(M$3),'Struktur Vorjahr'!$D490,INDIRECT(M$5)))</f>
        <v>2.4500000000000002</v>
      </c>
      <c r="N490" s="593">
        <f ca="1">$E490*(SUMIF(INDIRECT(N$3),'Struktur Vorjahr'!$D490,INDIRECT(N$4))-SUMIF(INDIRECT(N$3),'Struktur Vorjahr'!$D490,INDIRECT(N$5)))</f>
        <v>2.2200000000000002</v>
      </c>
      <c r="O490" s="593">
        <f ca="1">$E490*(SUMIF(INDIRECT(O$3),'Struktur Vorjahr'!$D490,INDIRECT(O$4))-SUMIF(INDIRECT(O$3),'Struktur Vorjahr'!$D490,INDIRECT(O$5)))</f>
        <v>2.4500000000000002</v>
      </c>
      <c r="P490" s="593">
        <f ca="1">$E490*(SUMIF(INDIRECT(P$3),'Struktur Vorjahr'!$D490,INDIRECT(P$4))-SUMIF(INDIRECT(P$3),'Struktur Vorjahr'!$D490,INDIRECT(P$5)))</f>
        <v>11.52</v>
      </c>
      <c r="Q490" s="593">
        <f ca="1">$E490*(SUMIF(INDIRECT(Q$3),'Struktur Vorjahr'!$D490,INDIRECT(Q$4))-SUMIF(INDIRECT(Q$3),'Struktur Vorjahr'!$D490,INDIRECT(Q$5)))</f>
        <v>0</v>
      </c>
      <c r="R490" s="593">
        <f ca="1">$E490*(SUMIF(INDIRECT(R$3),'Struktur Vorjahr'!$D490,INDIRECT(R$4))-SUMIF(INDIRECT(R$3),'Struktur Vorjahr'!$D490,INDIRECT(R$5)))</f>
        <v>0</v>
      </c>
      <c r="S490" s="593">
        <f ca="1">$E490*(SUMIF(INDIRECT(S$3),'Struktur Vorjahr'!$D490,INDIRECT(S$4))-SUMIF(INDIRECT(S$3),'Struktur Vorjahr'!$D490,INDIRECT(S$5)))</f>
        <v>7.69</v>
      </c>
      <c r="T490" s="593">
        <f ca="1">$E490*(SUMIF(INDIRECT(T$3),'Struktur Vorjahr'!$D490,INDIRECT(T$4))-SUMIF(INDIRECT(T$3),'Struktur Vorjahr'!$D490,INDIRECT(T$5)))</f>
        <v>9.16</v>
      </c>
      <c r="U490" s="593">
        <f ca="1">$E490*(SUMIF(INDIRECT(U$3),'Struktur Vorjahr'!$D490,INDIRECT(U$4))-SUMIF(INDIRECT(U$3),'Struktur Vorjahr'!$D490,INDIRECT(U$5)))</f>
        <v>25.71</v>
      </c>
      <c r="V490" s="593">
        <f ca="1">$E490*(SUMIF(INDIRECT(V$3),'Struktur Vorjahr'!$D490,INDIRECT(V$4))-SUMIF(INDIRECT(V$3),'Struktur Vorjahr'!$D490,INDIRECT(V$5)))</f>
        <v>37.4</v>
      </c>
      <c r="W490" s="593">
        <f ca="1">$E490*(SUMIF(INDIRECT(W$3),'Struktur Vorjahr'!$D490,INDIRECT(W$4))-SUMIF(INDIRECT(W$3),'Struktur Vorjahr'!$D490,INDIRECT(W$5)))</f>
        <v>42.03</v>
      </c>
      <c r="X490" s="593">
        <f ca="1">$E490*(SUMIF(INDIRECT(X$3),'Struktur Vorjahr'!$D490,INDIRECT(X$4))-SUMIF(INDIRECT(X$3),'Struktur Vorjahr'!$D490,INDIRECT(X$5)))</f>
        <v>49.62</v>
      </c>
      <c r="Y490" s="593">
        <f ca="1">$E490*(SUMIF(INDIRECT(Y$3),'Struktur Vorjahr'!$D490,INDIRECT(Y$4))-SUMIF(INDIRECT(Y$3),'Struktur Vorjahr'!$D490,INDIRECT(Y$5)))</f>
        <v>52.07</v>
      </c>
      <c r="Z490" s="593">
        <f ca="1">$E490*(SUMIF(INDIRECT(Z$3),'Struktur Vorjahr'!$D490,INDIRECT(Z$4))-SUMIF(INDIRECT(Z$3),'Struktur Vorjahr'!$D490,INDIRECT(Z$5)))</f>
        <v>54.29</v>
      </c>
      <c r="AA490" s="593">
        <f ca="1">$E490*(SUMIF(INDIRECT(AA$3),'Struktur Vorjahr'!$D490,INDIRECT(AA$4))-SUMIF(INDIRECT(AA$3),'Struktur Vorjahr'!$D490,INDIRECT(AA$5)))</f>
        <v>56.74</v>
      </c>
      <c r="AB490" s="593">
        <f ca="1">$E490*(SUMIF(INDIRECT(AB$3),'Struktur Vorjahr'!$D490,INDIRECT(AB$4))-SUMIF(INDIRECT(AB$3),'Struktur Vorjahr'!$D490,INDIRECT(AB$5)))</f>
        <v>68.260000000000005</v>
      </c>
      <c r="AC490" s="593">
        <f ca="1">$E490*(SUMIF(INDIRECT(AC$3),'Struktur Vorjahr'!$D490,INDIRECT(AC$4))-SUMIF(INDIRECT(AC$3),'Struktur Vorjahr'!$D490,INDIRECT(AC$5)))</f>
        <v>0</v>
      </c>
      <c r="AD490" s="593">
        <f ca="1">$E490*(SUMIF(INDIRECT(AD$3),'Struktur Vorjahr'!$D490,INDIRECT(AD$4))-SUMIF(INDIRECT(AD$3),'Struktur Vorjahr'!$D490,INDIRECT(AD$5)))</f>
        <v>0</v>
      </c>
      <c r="AE490" s="593">
        <f t="shared" ca="1" si="254"/>
        <v>7.69</v>
      </c>
      <c r="AF490" s="593">
        <f t="shared" ca="1" si="255"/>
        <v>9.16</v>
      </c>
      <c r="AG490" s="593">
        <f t="shared" ca="1" si="255"/>
        <v>25.71</v>
      </c>
      <c r="AH490" s="593">
        <f t="shared" ca="1" si="255"/>
        <v>37.4</v>
      </c>
      <c r="AI490" s="593">
        <f t="shared" ca="1" si="255"/>
        <v>42.03</v>
      </c>
      <c r="AJ490" s="593">
        <f t="shared" ca="1" si="255"/>
        <v>49.620000000000005</v>
      </c>
      <c r="AK490" s="593">
        <f t="shared" ca="1" si="255"/>
        <v>52.070000000000007</v>
      </c>
      <c r="AL490" s="593">
        <f t="shared" ca="1" si="255"/>
        <v>54.290000000000006</v>
      </c>
      <c r="AM490" s="593">
        <f t="shared" ca="1" si="255"/>
        <v>56.740000000000009</v>
      </c>
      <c r="AN490" s="593">
        <f t="shared" ca="1" si="255"/>
        <v>68.260000000000005</v>
      </c>
      <c r="AO490" s="593">
        <f t="shared" ca="1" si="255"/>
        <v>68.260000000000005</v>
      </c>
      <c r="AP490" s="593">
        <f t="shared" ca="1" si="255"/>
        <v>68.260000000000005</v>
      </c>
    </row>
    <row r="491" spans="1:42" s="594" customFormat="1" ht="11.25" outlineLevel="1" x14ac:dyDescent="0.2">
      <c r="A491" s="644"/>
      <c r="B491" s="591" t="str">
        <f>IF(D491&lt;&gt;"",
IF(ISERROR(MATCH(D491,'Ist Vorjahr Monat 01'!A:A,0))=FALSE,INDEX('Ist Vorjahr Monat 01'!B:B,MATCH(D491,'Ist Vorjahr Monat 01'!A:A,0)),
IF(ISERROR(MATCH(D491,'Ist Vorjahr Monat 02'!A:A,0))=FALSE,INDEX('Ist Vorjahr Monat 02'!B:B,MATCH(D491,'Ist Vorjahr Monat 02'!A:A,0)),
IF(ISERROR(MATCH(D491,'Ist Vorjahr Monat 03'!A:A,0))=FALSE,INDEX('Ist Vorjahr Monat 03'!B:B,MATCH(D491,'Ist Vorjahr Monat 03'!A:A,0)),
IF(ISERROR(MATCH(D491,'Ist Vorjahr Monat 04'!A:A,0))=FALSE,INDEX('Ist Vorjahr Monat 04'!B:B,MATCH(D491,'Ist Vorjahr Monat 04'!A:A,0)),
IF(ISERROR(MATCH(D491,'Ist Vorjahr Monat 05'!A:A,0))=FALSE,INDEX('Ist Vorjahr Monat 05'!B:B,MATCH(D491,'Ist Vorjahr Monat 05'!A:A,0)),
IF(ISERROR(MATCH(D491,'Ist Vorjahr Monat 06'!A:A,0))=FALSE,INDEX('Ist Vorjahr Monat 06'!B:B,MATCH(D491,'Ist Vorjahr Monat 06'!A:A,0)),
IF(ISERROR(MATCH(D491,'Ist Vorjahr Monat 07'!A:A,0))=FALSE,INDEX('Ist Vorjahr Monat 07'!B:B,MATCH(D491,'Ist Vorjahr Monat 07'!A:A,0)),
IF(ISERROR(MATCH(D491,'Ist Vorjahr Monat 08'!A:A,0))=FALSE,INDEX('Ist Vorjahr Monat 08'!B:B,MATCH(D491,'Ist Vorjahr Monat 08'!A:A,0)),
IF(ISERROR(MATCH(D491,'Ist Vorjahr Monat 09'!A:A,0))=FALSE,INDEX('Ist Vorjahr Monat 09'!B:B,MATCH(D491,'Ist Vorjahr Monat 09'!A:A,0)),
IF(ISERROR(MATCH(D491,'Ist Vorjahr Monat 10'!A:A,0))=FALSE,INDEX('Ist Vorjahr Monat 10'!B:B,MATCH(D491,'Ist Vorjahr Monat 10'!A:A,0)),
IF(ISERROR(MATCH(D491,'Ist Vorjahr Monat 11'!A:A,0))=FALSE,INDEX('Ist Vorjahr Monat 11'!B:B,MATCH(D491,'Ist Vorjahr Monat 11'!A:A,0)),
IF(ISERROR(MATCH(D491,'Ist Vorjahr Monat 12'!A:A,0))=FALSE,INDEX('Ist Vorjahr Monat 12'!B:B,MATCH(D491,'Ist Vorjahr Monat 12'!A:A,0)),
"{Konto unbekannt}"
)))))))))))),"")</f>
        <v>Abziehbare Vorsteuer aus EU-Erwerb 19%</v>
      </c>
      <c r="C491" s="1062"/>
      <c r="D491" s="1067">
        <v>1574</v>
      </c>
      <c r="E491" s="625">
        <f t="shared" si="237"/>
        <v>-1</v>
      </c>
      <c r="F491" s="626" t="s">
        <v>996</v>
      </c>
      <c r="G491" s="593">
        <f ca="1">$E491*(SUMIF(INDIRECT(G$3),'Struktur Vorjahr'!$D491,INDIRECT(G$4))-SUMIF(INDIRECT(G$3),'Struktur Vorjahr'!$D491,INDIRECT(G$5)))</f>
        <v>10.47</v>
      </c>
      <c r="H491" s="593">
        <f ca="1">$E491*(SUMIF(INDIRECT(H$3),'Struktur Vorjahr'!$D491,INDIRECT(H$4))-SUMIF(INDIRECT(H$3),'Struktur Vorjahr'!$D491,INDIRECT(H$5)))</f>
        <v>10.47</v>
      </c>
      <c r="I491" s="593">
        <f ca="1">$E491*(SUMIF(INDIRECT(I$3),'Struktur Vorjahr'!$D491,INDIRECT(I$4))-SUMIF(INDIRECT(I$3),'Struktur Vorjahr'!$D491,INDIRECT(I$5)))</f>
        <v>18.809999999999999</v>
      </c>
      <c r="J491" s="593">
        <f ca="1">$E491*(SUMIF(INDIRECT(J$3),'Struktur Vorjahr'!$D491,INDIRECT(J$4))-SUMIF(INDIRECT(J$3),'Struktur Vorjahr'!$D491,INDIRECT(J$5)))</f>
        <v>19.02</v>
      </c>
      <c r="K491" s="593">
        <f ca="1">$E491*(SUMIF(INDIRECT(K$3),'Struktur Vorjahr'!$D491,INDIRECT(K$4))-SUMIF(INDIRECT(K$3),'Struktur Vorjahr'!$D491,INDIRECT(K$5)))</f>
        <v>8.5299999999999994</v>
      </c>
      <c r="L491" s="593">
        <f ca="1">$E491*(SUMIF(INDIRECT(L$3),'Struktur Vorjahr'!$D491,INDIRECT(L$4))-SUMIF(INDIRECT(L$3),'Struktur Vorjahr'!$D491,INDIRECT(L$5)))</f>
        <v>39.9</v>
      </c>
      <c r="M491" s="593">
        <f ca="1">$E491*(SUMIF(INDIRECT(M$3),'Struktur Vorjahr'!$D491,INDIRECT(M$4))-SUMIF(INDIRECT(M$3),'Struktur Vorjahr'!$D491,INDIRECT(M$5)))</f>
        <v>25.64</v>
      </c>
      <c r="N491" s="593">
        <f ca="1">$E491*(SUMIF(INDIRECT(N$3),'Struktur Vorjahr'!$D491,INDIRECT(N$4))-SUMIF(INDIRECT(N$3),'Struktur Vorjahr'!$D491,INDIRECT(N$5)))</f>
        <v>9.5</v>
      </c>
      <c r="O491" s="593">
        <f ca="1">$E491*(SUMIF(INDIRECT(O$3),'Struktur Vorjahr'!$D491,INDIRECT(O$4))-SUMIF(INDIRECT(O$3),'Struktur Vorjahr'!$D491,INDIRECT(O$5)))</f>
        <v>0</v>
      </c>
      <c r="P491" s="593">
        <f ca="1">$E491*(SUMIF(INDIRECT(P$3),'Struktur Vorjahr'!$D491,INDIRECT(P$4))-SUMIF(INDIRECT(P$3),'Struktur Vorjahr'!$D491,INDIRECT(P$5)))</f>
        <v>19</v>
      </c>
      <c r="Q491" s="593">
        <f ca="1">$E491*(SUMIF(INDIRECT(Q$3),'Struktur Vorjahr'!$D491,INDIRECT(Q$4))-SUMIF(INDIRECT(Q$3),'Struktur Vorjahr'!$D491,INDIRECT(Q$5)))</f>
        <v>0</v>
      </c>
      <c r="R491" s="593">
        <f ca="1">$E491*(SUMIF(INDIRECT(R$3),'Struktur Vorjahr'!$D491,INDIRECT(R$4))-SUMIF(INDIRECT(R$3),'Struktur Vorjahr'!$D491,INDIRECT(R$5)))</f>
        <v>0</v>
      </c>
      <c r="S491" s="593">
        <f ca="1">$E491*(SUMIF(INDIRECT(S$3),'Struktur Vorjahr'!$D491,INDIRECT(S$4))-SUMIF(INDIRECT(S$3),'Struktur Vorjahr'!$D491,INDIRECT(S$5)))</f>
        <v>10.47</v>
      </c>
      <c r="T491" s="593">
        <f ca="1">$E491*(SUMIF(INDIRECT(T$3),'Struktur Vorjahr'!$D491,INDIRECT(T$4))-SUMIF(INDIRECT(T$3),'Struktur Vorjahr'!$D491,INDIRECT(T$5)))</f>
        <v>20.94</v>
      </c>
      <c r="U491" s="593">
        <f ca="1">$E491*(SUMIF(INDIRECT(U$3),'Struktur Vorjahr'!$D491,INDIRECT(U$4))-SUMIF(INDIRECT(U$3),'Struktur Vorjahr'!$D491,INDIRECT(U$5)))</f>
        <v>39.75</v>
      </c>
      <c r="V491" s="593">
        <f ca="1">$E491*(SUMIF(INDIRECT(V$3),'Struktur Vorjahr'!$D491,INDIRECT(V$4))-SUMIF(INDIRECT(V$3),'Struktur Vorjahr'!$D491,INDIRECT(V$5)))</f>
        <v>58.77</v>
      </c>
      <c r="W491" s="593">
        <f ca="1">$E491*(SUMIF(INDIRECT(W$3),'Struktur Vorjahr'!$D491,INDIRECT(W$4))-SUMIF(INDIRECT(W$3),'Struktur Vorjahr'!$D491,INDIRECT(W$5)))</f>
        <v>67.3</v>
      </c>
      <c r="X491" s="593">
        <f ca="1">$E491*(SUMIF(INDIRECT(X$3),'Struktur Vorjahr'!$D491,INDIRECT(X$4))-SUMIF(INDIRECT(X$3),'Struktur Vorjahr'!$D491,INDIRECT(X$5)))</f>
        <v>107.2</v>
      </c>
      <c r="Y491" s="593">
        <f ca="1">$E491*(SUMIF(INDIRECT(Y$3),'Struktur Vorjahr'!$D491,INDIRECT(Y$4))-SUMIF(INDIRECT(Y$3),'Struktur Vorjahr'!$D491,INDIRECT(Y$5)))</f>
        <v>132.84</v>
      </c>
      <c r="Z491" s="593">
        <f ca="1">$E491*(SUMIF(INDIRECT(Z$3),'Struktur Vorjahr'!$D491,INDIRECT(Z$4))-SUMIF(INDIRECT(Z$3),'Struktur Vorjahr'!$D491,INDIRECT(Z$5)))</f>
        <v>142.34</v>
      </c>
      <c r="AA491" s="593">
        <f ca="1">$E491*(SUMIF(INDIRECT(AA$3),'Struktur Vorjahr'!$D491,INDIRECT(AA$4))-SUMIF(INDIRECT(AA$3),'Struktur Vorjahr'!$D491,INDIRECT(AA$5)))</f>
        <v>142.34</v>
      </c>
      <c r="AB491" s="593">
        <f ca="1">$E491*(SUMIF(INDIRECT(AB$3),'Struktur Vorjahr'!$D491,INDIRECT(AB$4))-SUMIF(INDIRECT(AB$3),'Struktur Vorjahr'!$D491,INDIRECT(AB$5)))</f>
        <v>161.34</v>
      </c>
      <c r="AC491" s="593">
        <f ca="1">$E491*(SUMIF(INDIRECT(AC$3),'Struktur Vorjahr'!$D491,INDIRECT(AC$4))-SUMIF(INDIRECT(AC$3),'Struktur Vorjahr'!$D491,INDIRECT(AC$5)))</f>
        <v>0</v>
      </c>
      <c r="AD491" s="593">
        <f ca="1">$E491*(SUMIF(INDIRECT(AD$3),'Struktur Vorjahr'!$D491,INDIRECT(AD$4))-SUMIF(INDIRECT(AD$3),'Struktur Vorjahr'!$D491,INDIRECT(AD$5)))</f>
        <v>0</v>
      </c>
      <c r="AE491" s="593">
        <f t="shared" ca="1" si="254"/>
        <v>10.47</v>
      </c>
      <c r="AF491" s="593">
        <f t="shared" ca="1" si="255"/>
        <v>20.94</v>
      </c>
      <c r="AG491" s="593">
        <f t="shared" ca="1" si="255"/>
        <v>39.75</v>
      </c>
      <c r="AH491" s="593">
        <f t="shared" ca="1" si="255"/>
        <v>58.769999999999996</v>
      </c>
      <c r="AI491" s="593">
        <f t="shared" ca="1" si="255"/>
        <v>67.3</v>
      </c>
      <c r="AJ491" s="593">
        <f t="shared" ca="1" si="255"/>
        <v>107.19999999999999</v>
      </c>
      <c r="AK491" s="593">
        <f t="shared" ca="1" si="255"/>
        <v>132.83999999999997</v>
      </c>
      <c r="AL491" s="593">
        <f t="shared" ca="1" si="255"/>
        <v>142.33999999999997</v>
      </c>
      <c r="AM491" s="593">
        <f t="shared" ca="1" si="255"/>
        <v>142.33999999999997</v>
      </c>
      <c r="AN491" s="593">
        <f t="shared" ca="1" si="255"/>
        <v>161.33999999999997</v>
      </c>
      <c r="AO491" s="593">
        <f t="shared" ca="1" si="255"/>
        <v>161.33999999999997</v>
      </c>
      <c r="AP491" s="593">
        <f t="shared" ca="1" si="255"/>
        <v>161.33999999999997</v>
      </c>
    </row>
    <row r="492" spans="1:42" s="594" customFormat="1" ht="11.25" outlineLevel="1" x14ac:dyDescent="0.2">
      <c r="A492" s="644"/>
      <c r="B492" s="591" t="str">
        <f>IF(D492&lt;&gt;"",
IF(ISERROR(MATCH(D492,'Ist Vorjahr Monat 01'!A:A,0))=FALSE,INDEX('Ist Vorjahr Monat 01'!B:B,MATCH(D492,'Ist Vorjahr Monat 01'!A:A,0)),
IF(ISERROR(MATCH(D492,'Ist Vorjahr Monat 02'!A:A,0))=FALSE,INDEX('Ist Vorjahr Monat 02'!B:B,MATCH(D492,'Ist Vorjahr Monat 02'!A:A,0)),
IF(ISERROR(MATCH(D492,'Ist Vorjahr Monat 03'!A:A,0))=FALSE,INDEX('Ist Vorjahr Monat 03'!B:B,MATCH(D492,'Ist Vorjahr Monat 03'!A:A,0)),
IF(ISERROR(MATCH(D492,'Ist Vorjahr Monat 04'!A:A,0))=FALSE,INDEX('Ist Vorjahr Monat 04'!B:B,MATCH(D492,'Ist Vorjahr Monat 04'!A:A,0)),
IF(ISERROR(MATCH(D492,'Ist Vorjahr Monat 05'!A:A,0))=FALSE,INDEX('Ist Vorjahr Monat 05'!B:B,MATCH(D492,'Ist Vorjahr Monat 05'!A:A,0)),
IF(ISERROR(MATCH(D492,'Ist Vorjahr Monat 06'!A:A,0))=FALSE,INDEX('Ist Vorjahr Monat 06'!B:B,MATCH(D492,'Ist Vorjahr Monat 06'!A:A,0)),
IF(ISERROR(MATCH(D492,'Ist Vorjahr Monat 07'!A:A,0))=FALSE,INDEX('Ist Vorjahr Monat 07'!B:B,MATCH(D492,'Ist Vorjahr Monat 07'!A:A,0)),
IF(ISERROR(MATCH(D492,'Ist Vorjahr Monat 08'!A:A,0))=FALSE,INDEX('Ist Vorjahr Monat 08'!B:B,MATCH(D492,'Ist Vorjahr Monat 08'!A:A,0)),
IF(ISERROR(MATCH(D492,'Ist Vorjahr Monat 09'!A:A,0))=FALSE,INDEX('Ist Vorjahr Monat 09'!B:B,MATCH(D492,'Ist Vorjahr Monat 09'!A:A,0)),
IF(ISERROR(MATCH(D492,'Ist Vorjahr Monat 10'!A:A,0))=FALSE,INDEX('Ist Vorjahr Monat 10'!B:B,MATCH(D492,'Ist Vorjahr Monat 10'!A:A,0)),
IF(ISERROR(MATCH(D492,'Ist Vorjahr Monat 11'!A:A,0))=FALSE,INDEX('Ist Vorjahr Monat 11'!B:B,MATCH(D492,'Ist Vorjahr Monat 11'!A:A,0)),
IF(ISERROR(MATCH(D492,'Ist Vorjahr Monat 12'!A:A,0))=FALSE,INDEX('Ist Vorjahr Monat 12'!B:B,MATCH(D492,'Ist Vorjahr Monat 12'!A:A,0)),
"{Konto unbekannt}"
)))))))))))),"")</f>
        <v>Abziehbare Vorsteuer 19%</v>
      </c>
      <c r="C492" s="1062"/>
      <c r="D492" s="1067">
        <v>1576</v>
      </c>
      <c r="E492" s="625">
        <f t="shared" si="237"/>
        <v>-1</v>
      </c>
      <c r="F492" s="626" t="s">
        <v>996</v>
      </c>
      <c r="G492" s="593">
        <f ca="1">$E492*(SUMIF(INDIRECT(G$3),'Struktur Vorjahr'!$D492,INDIRECT(G$4))-SUMIF(INDIRECT(G$3),'Struktur Vorjahr'!$D492,INDIRECT(G$5)))</f>
        <v>651.92999999999995</v>
      </c>
      <c r="H492" s="593">
        <f ca="1">$E492*(SUMIF(INDIRECT(H$3),'Struktur Vorjahr'!$D492,INDIRECT(H$4))-SUMIF(INDIRECT(H$3),'Struktur Vorjahr'!$D492,INDIRECT(H$5)))</f>
        <v>615.83000000000004</v>
      </c>
      <c r="I492" s="593">
        <f ca="1">$E492*(SUMIF(INDIRECT(I$3),'Struktur Vorjahr'!$D492,INDIRECT(I$4))-SUMIF(INDIRECT(I$3),'Struktur Vorjahr'!$D492,INDIRECT(I$5)))</f>
        <v>965.49</v>
      </c>
      <c r="J492" s="593">
        <f ca="1">$E492*(SUMIF(INDIRECT(J$3),'Struktur Vorjahr'!$D492,INDIRECT(J$4))-SUMIF(INDIRECT(J$3),'Struktur Vorjahr'!$D492,INDIRECT(J$5)))</f>
        <v>1200.04</v>
      </c>
      <c r="K492" s="593">
        <f ca="1">$E492*(SUMIF(INDIRECT(K$3),'Struktur Vorjahr'!$D492,INDIRECT(K$4))-SUMIF(INDIRECT(K$3),'Struktur Vorjahr'!$D492,INDIRECT(K$5)))</f>
        <v>1057.72</v>
      </c>
      <c r="L492" s="593">
        <f ca="1">$E492*(SUMIF(INDIRECT(L$3),'Struktur Vorjahr'!$D492,INDIRECT(L$4))-SUMIF(INDIRECT(L$3),'Struktur Vorjahr'!$D492,INDIRECT(L$5)))</f>
        <v>740.94</v>
      </c>
      <c r="M492" s="593">
        <f ca="1">$E492*(SUMIF(INDIRECT(M$3),'Struktur Vorjahr'!$D492,INDIRECT(M$4))-SUMIF(INDIRECT(M$3),'Struktur Vorjahr'!$D492,INDIRECT(M$5)))</f>
        <v>861.53</v>
      </c>
      <c r="N492" s="593">
        <f ca="1">$E492*(SUMIF(INDIRECT(N$3),'Struktur Vorjahr'!$D492,INDIRECT(N$4))-SUMIF(INDIRECT(N$3),'Struktur Vorjahr'!$D492,INDIRECT(N$5)))</f>
        <v>770.95</v>
      </c>
      <c r="O492" s="593">
        <f ca="1">$E492*(SUMIF(INDIRECT(O$3),'Struktur Vorjahr'!$D492,INDIRECT(O$4))-SUMIF(INDIRECT(O$3),'Struktur Vorjahr'!$D492,INDIRECT(O$5)))</f>
        <v>403.1</v>
      </c>
      <c r="P492" s="593">
        <f ca="1">$E492*(SUMIF(INDIRECT(P$3),'Struktur Vorjahr'!$D492,INDIRECT(P$4))-SUMIF(INDIRECT(P$3),'Struktur Vorjahr'!$D492,INDIRECT(P$5)))</f>
        <v>435.53</v>
      </c>
      <c r="Q492" s="593">
        <f ca="1">$E492*(SUMIF(INDIRECT(Q$3),'Struktur Vorjahr'!$D492,INDIRECT(Q$4))-SUMIF(INDIRECT(Q$3),'Struktur Vorjahr'!$D492,INDIRECT(Q$5)))</f>
        <v>0</v>
      </c>
      <c r="R492" s="593">
        <f ca="1">$E492*(SUMIF(INDIRECT(R$3),'Struktur Vorjahr'!$D492,INDIRECT(R$4))-SUMIF(INDIRECT(R$3),'Struktur Vorjahr'!$D492,INDIRECT(R$5)))</f>
        <v>0</v>
      </c>
      <c r="S492" s="593">
        <f ca="1">$E492*(SUMIF(INDIRECT(S$3),'Struktur Vorjahr'!$D492,INDIRECT(S$4))-SUMIF(INDIRECT(S$3),'Struktur Vorjahr'!$D492,INDIRECT(S$5)))</f>
        <v>651.92999999999995</v>
      </c>
      <c r="T492" s="593">
        <f ca="1">$E492*(SUMIF(INDIRECT(T$3),'Struktur Vorjahr'!$D492,INDIRECT(T$4))-SUMIF(INDIRECT(T$3),'Struktur Vorjahr'!$D492,INDIRECT(T$5)))</f>
        <v>1267.76</v>
      </c>
      <c r="U492" s="593">
        <f ca="1">$E492*(SUMIF(INDIRECT(U$3),'Struktur Vorjahr'!$D492,INDIRECT(U$4))-SUMIF(INDIRECT(U$3),'Struktur Vorjahr'!$D492,INDIRECT(U$5)))</f>
        <v>2233.25</v>
      </c>
      <c r="V492" s="593">
        <f ca="1">$E492*(SUMIF(INDIRECT(V$3),'Struktur Vorjahr'!$D492,INDIRECT(V$4))-SUMIF(INDIRECT(V$3),'Struktur Vorjahr'!$D492,INDIRECT(V$5)))</f>
        <v>3433.29</v>
      </c>
      <c r="W492" s="593">
        <f ca="1">$E492*(SUMIF(INDIRECT(W$3),'Struktur Vorjahr'!$D492,INDIRECT(W$4))-SUMIF(INDIRECT(W$3),'Struktur Vorjahr'!$D492,INDIRECT(W$5)))</f>
        <v>4491.01</v>
      </c>
      <c r="X492" s="593">
        <f ca="1">$E492*(SUMIF(INDIRECT(X$3),'Struktur Vorjahr'!$D492,INDIRECT(X$4))-SUMIF(INDIRECT(X$3),'Struktur Vorjahr'!$D492,INDIRECT(X$5)))</f>
        <v>5231.95</v>
      </c>
      <c r="Y492" s="593">
        <f ca="1">$E492*(SUMIF(INDIRECT(Y$3),'Struktur Vorjahr'!$D492,INDIRECT(Y$4))-SUMIF(INDIRECT(Y$3),'Struktur Vorjahr'!$D492,INDIRECT(Y$5)))</f>
        <v>6093.48</v>
      </c>
      <c r="Z492" s="593">
        <f ca="1">$E492*(SUMIF(INDIRECT(Z$3),'Struktur Vorjahr'!$D492,INDIRECT(Z$4))-SUMIF(INDIRECT(Z$3),'Struktur Vorjahr'!$D492,INDIRECT(Z$5)))</f>
        <v>6864.43</v>
      </c>
      <c r="AA492" s="593">
        <f ca="1">$E492*(SUMIF(INDIRECT(AA$3),'Struktur Vorjahr'!$D492,INDIRECT(AA$4))-SUMIF(INDIRECT(AA$3),'Struktur Vorjahr'!$D492,INDIRECT(AA$5)))</f>
        <v>7267.53</v>
      </c>
      <c r="AB492" s="593">
        <f ca="1">$E492*(SUMIF(INDIRECT(AB$3),'Struktur Vorjahr'!$D492,INDIRECT(AB$4))-SUMIF(INDIRECT(AB$3),'Struktur Vorjahr'!$D492,INDIRECT(AB$5)))</f>
        <v>7703.06</v>
      </c>
      <c r="AC492" s="593">
        <f ca="1">$E492*(SUMIF(INDIRECT(AC$3),'Struktur Vorjahr'!$D492,INDIRECT(AC$4))-SUMIF(INDIRECT(AC$3),'Struktur Vorjahr'!$D492,INDIRECT(AC$5)))</f>
        <v>0</v>
      </c>
      <c r="AD492" s="593">
        <f ca="1">$E492*(SUMIF(INDIRECT(AD$3),'Struktur Vorjahr'!$D492,INDIRECT(AD$4))-SUMIF(INDIRECT(AD$3),'Struktur Vorjahr'!$D492,INDIRECT(AD$5)))</f>
        <v>0</v>
      </c>
      <c r="AE492" s="593">
        <f t="shared" ca="1" si="254"/>
        <v>651.92999999999995</v>
      </c>
      <c r="AF492" s="593">
        <f t="shared" ca="1" si="255"/>
        <v>1267.76</v>
      </c>
      <c r="AG492" s="593">
        <f t="shared" ca="1" si="255"/>
        <v>2233.25</v>
      </c>
      <c r="AH492" s="593">
        <f t="shared" ca="1" si="255"/>
        <v>3433.29</v>
      </c>
      <c r="AI492" s="593">
        <f t="shared" ca="1" si="255"/>
        <v>4491.01</v>
      </c>
      <c r="AJ492" s="593">
        <f t="shared" ca="1" si="255"/>
        <v>5231.9500000000007</v>
      </c>
      <c r="AK492" s="593">
        <f t="shared" ca="1" si="255"/>
        <v>6093.4800000000005</v>
      </c>
      <c r="AL492" s="593">
        <f t="shared" ca="1" si="255"/>
        <v>6864.43</v>
      </c>
      <c r="AM492" s="593">
        <f t="shared" ca="1" si="255"/>
        <v>7267.5300000000007</v>
      </c>
      <c r="AN492" s="593">
        <f t="shared" ca="1" si="255"/>
        <v>7703.06</v>
      </c>
      <c r="AO492" s="593">
        <f t="shared" ca="1" si="255"/>
        <v>7703.06</v>
      </c>
      <c r="AP492" s="593">
        <f t="shared" ca="1" si="255"/>
        <v>7703.06</v>
      </c>
    </row>
    <row r="493" spans="1:42" s="594" customFormat="1" ht="11.25" outlineLevel="1" x14ac:dyDescent="0.2">
      <c r="A493" s="644"/>
      <c r="B493" s="591" t="str">
        <f>IF(D493&lt;&gt;"",
IF(ISERROR(MATCH(D493,'Ist Vorjahr Monat 01'!A:A,0))=FALSE,INDEX('Ist Vorjahr Monat 01'!B:B,MATCH(D493,'Ist Vorjahr Monat 01'!A:A,0)),
IF(ISERROR(MATCH(D493,'Ist Vorjahr Monat 02'!A:A,0))=FALSE,INDEX('Ist Vorjahr Monat 02'!B:B,MATCH(D493,'Ist Vorjahr Monat 02'!A:A,0)),
IF(ISERROR(MATCH(D493,'Ist Vorjahr Monat 03'!A:A,0))=FALSE,INDEX('Ist Vorjahr Monat 03'!B:B,MATCH(D493,'Ist Vorjahr Monat 03'!A:A,0)),
IF(ISERROR(MATCH(D493,'Ist Vorjahr Monat 04'!A:A,0))=FALSE,INDEX('Ist Vorjahr Monat 04'!B:B,MATCH(D493,'Ist Vorjahr Monat 04'!A:A,0)),
IF(ISERROR(MATCH(D493,'Ist Vorjahr Monat 05'!A:A,0))=FALSE,INDEX('Ist Vorjahr Monat 05'!B:B,MATCH(D493,'Ist Vorjahr Monat 05'!A:A,0)),
IF(ISERROR(MATCH(D493,'Ist Vorjahr Monat 06'!A:A,0))=FALSE,INDEX('Ist Vorjahr Monat 06'!B:B,MATCH(D493,'Ist Vorjahr Monat 06'!A:A,0)),
IF(ISERROR(MATCH(D493,'Ist Vorjahr Monat 07'!A:A,0))=FALSE,INDEX('Ist Vorjahr Monat 07'!B:B,MATCH(D493,'Ist Vorjahr Monat 07'!A:A,0)),
IF(ISERROR(MATCH(D493,'Ist Vorjahr Monat 08'!A:A,0))=FALSE,INDEX('Ist Vorjahr Monat 08'!B:B,MATCH(D493,'Ist Vorjahr Monat 08'!A:A,0)),
IF(ISERROR(MATCH(D493,'Ist Vorjahr Monat 09'!A:A,0))=FALSE,INDEX('Ist Vorjahr Monat 09'!B:B,MATCH(D493,'Ist Vorjahr Monat 09'!A:A,0)),
IF(ISERROR(MATCH(D493,'Ist Vorjahr Monat 10'!A:A,0))=FALSE,INDEX('Ist Vorjahr Monat 10'!B:B,MATCH(D493,'Ist Vorjahr Monat 10'!A:A,0)),
IF(ISERROR(MATCH(D493,'Ist Vorjahr Monat 11'!A:A,0))=FALSE,INDEX('Ist Vorjahr Monat 11'!B:B,MATCH(D493,'Ist Vorjahr Monat 11'!A:A,0)),
IF(ISERROR(MATCH(D493,'Ist Vorjahr Monat 12'!A:A,0))=FALSE,INDEX('Ist Vorjahr Monat 12'!B:B,MATCH(D493,'Ist Vorjahr Monat 12'!A:A,0)),
"{Konto unbekannt}"
)))))))))))),"")</f>
        <v>Vorst. in Folgeperiode /-jahr abziehbar</v>
      </c>
      <c r="C493" s="1062"/>
      <c r="D493" s="1067">
        <v>1548</v>
      </c>
      <c r="E493" s="625">
        <f t="shared" si="237"/>
        <v>-1</v>
      </c>
      <c r="F493" s="626" t="s">
        <v>996</v>
      </c>
      <c r="G493" s="593">
        <f ca="1">$E493*(SUMIF(INDIRECT(G$3),'Struktur Vorjahr'!$D493,INDIRECT(G$4))-SUMIF(INDIRECT(G$3),'Struktur Vorjahr'!$D493,INDIRECT(G$5)))</f>
        <v>-153.15</v>
      </c>
      <c r="H493" s="593">
        <f ca="1">$E493*(SUMIF(INDIRECT(H$3),'Struktur Vorjahr'!$D493,INDIRECT(H$4))-SUMIF(INDIRECT(H$3),'Struktur Vorjahr'!$D493,INDIRECT(H$5)))</f>
        <v>-4.78</v>
      </c>
      <c r="I493" s="593">
        <f ca="1">$E493*(SUMIF(INDIRECT(I$3),'Struktur Vorjahr'!$D493,INDIRECT(I$4))-SUMIF(INDIRECT(I$3),'Struktur Vorjahr'!$D493,INDIRECT(I$5)))</f>
        <v>4.78</v>
      </c>
      <c r="J493" s="593">
        <f ca="1">$E493*(SUMIF(INDIRECT(J$3),'Struktur Vorjahr'!$D493,INDIRECT(J$4))-SUMIF(INDIRECT(J$3),'Struktur Vorjahr'!$D493,INDIRECT(J$5)))</f>
        <v>-0.22</v>
      </c>
      <c r="K493" s="593">
        <f ca="1">$E493*(SUMIF(INDIRECT(K$3),'Struktur Vorjahr'!$D493,INDIRECT(K$4))-SUMIF(INDIRECT(K$3),'Struktur Vorjahr'!$D493,INDIRECT(K$5)))</f>
        <v>104.6</v>
      </c>
      <c r="L493" s="593">
        <f ca="1">$E493*(SUMIF(INDIRECT(L$3),'Struktur Vorjahr'!$D493,INDIRECT(L$4))-SUMIF(INDIRECT(L$3),'Struktur Vorjahr'!$D493,INDIRECT(L$5)))</f>
        <v>-110.52</v>
      </c>
      <c r="M493" s="593">
        <f ca="1">$E493*(SUMIF(INDIRECT(M$3),'Struktur Vorjahr'!$D493,INDIRECT(M$4))-SUMIF(INDIRECT(M$3),'Struktur Vorjahr'!$D493,INDIRECT(M$5)))</f>
        <v>19.940000000000001</v>
      </c>
      <c r="N493" s="593">
        <f ca="1">$E493*(SUMIF(INDIRECT(N$3),'Struktur Vorjahr'!$D493,INDIRECT(N$4))-SUMIF(INDIRECT(N$3),'Struktur Vorjahr'!$D493,INDIRECT(N$5)))</f>
        <v>-19.940000000000001</v>
      </c>
      <c r="O493" s="593">
        <f ca="1">$E493*(SUMIF(INDIRECT(O$3),'Struktur Vorjahr'!$D493,INDIRECT(O$4))-SUMIF(INDIRECT(O$3),'Struktur Vorjahr'!$D493,INDIRECT(O$5)))</f>
        <v>35.729999999999997</v>
      </c>
      <c r="P493" s="593">
        <f ca="1">$E493*(SUMIF(INDIRECT(P$3),'Struktur Vorjahr'!$D493,INDIRECT(P$4))-SUMIF(INDIRECT(P$3),'Struktur Vorjahr'!$D493,INDIRECT(P$5)))</f>
        <v>-30.95</v>
      </c>
      <c r="Q493" s="593">
        <f ca="1">$E493*(SUMIF(INDIRECT(Q$3),'Struktur Vorjahr'!$D493,INDIRECT(Q$4))-SUMIF(INDIRECT(Q$3),'Struktur Vorjahr'!$D493,INDIRECT(Q$5)))</f>
        <v>0</v>
      </c>
      <c r="R493" s="593">
        <f ca="1">$E493*(SUMIF(INDIRECT(R$3),'Struktur Vorjahr'!$D493,INDIRECT(R$4))-SUMIF(INDIRECT(R$3),'Struktur Vorjahr'!$D493,INDIRECT(R$5)))</f>
        <v>0</v>
      </c>
      <c r="S493" s="593">
        <f ca="1">$E493*(SUMIF(INDIRECT(S$3),'Struktur Vorjahr'!$D493,INDIRECT(S$4))-SUMIF(INDIRECT(S$3),'Struktur Vorjahr'!$D493,INDIRECT(S$5)))</f>
        <v>-153.15</v>
      </c>
      <c r="T493" s="593">
        <f ca="1">$E493*(SUMIF(INDIRECT(T$3),'Struktur Vorjahr'!$D493,INDIRECT(T$4))-SUMIF(INDIRECT(T$3),'Struktur Vorjahr'!$D493,INDIRECT(T$5)))</f>
        <v>-157.93</v>
      </c>
      <c r="U493" s="593">
        <f ca="1">$E493*(SUMIF(INDIRECT(U$3),'Struktur Vorjahr'!$D493,INDIRECT(U$4))-SUMIF(INDIRECT(U$3),'Struktur Vorjahr'!$D493,INDIRECT(U$5)))</f>
        <v>-153.15</v>
      </c>
      <c r="V493" s="593">
        <f ca="1">$E493*(SUMIF(INDIRECT(V$3),'Struktur Vorjahr'!$D493,INDIRECT(V$4))-SUMIF(INDIRECT(V$3),'Struktur Vorjahr'!$D493,INDIRECT(V$5)))</f>
        <v>-153.37</v>
      </c>
      <c r="W493" s="593">
        <f ca="1">$E493*(SUMIF(INDIRECT(W$3),'Struktur Vorjahr'!$D493,INDIRECT(W$4))-SUMIF(INDIRECT(W$3),'Struktur Vorjahr'!$D493,INDIRECT(W$5)))</f>
        <v>-48.77</v>
      </c>
      <c r="X493" s="593">
        <f ca="1">$E493*(SUMIF(INDIRECT(X$3),'Struktur Vorjahr'!$D493,INDIRECT(X$4))-SUMIF(INDIRECT(X$3),'Struktur Vorjahr'!$D493,INDIRECT(X$5)))</f>
        <v>-159.29</v>
      </c>
      <c r="Y493" s="593">
        <f ca="1">$E493*(SUMIF(INDIRECT(Y$3),'Struktur Vorjahr'!$D493,INDIRECT(Y$4))-SUMIF(INDIRECT(Y$3),'Struktur Vorjahr'!$D493,INDIRECT(Y$5)))</f>
        <v>-139.35</v>
      </c>
      <c r="Z493" s="593">
        <f ca="1">$E493*(SUMIF(INDIRECT(Z$3),'Struktur Vorjahr'!$D493,INDIRECT(Z$4))-SUMIF(INDIRECT(Z$3),'Struktur Vorjahr'!$D493,INDIRECT(Z$5)))</f>
        <v>-159.29</v>
      </c>
      <c r="AA493" s="593">
        <f ca="1">$E493*(SUMIF(INDIRECT(AA$3),'Struktur Vorjahr'!$D493,INDIRECT(AA$4))-SUMIF(INDIRECT(AA$3),'Struktur Vorjahr'!$D493,INDIRECT(AA$5)))</f>
        <v>-123.56</v>
      </c>
      <c r="AB493" s="593">
        <f ca="1">$E493*(SUMIF(INDIRECT(AB$3),'Struktur Vorjahr'!$D493,INDIRECT(AB$4))-SUMIF(INDIRECT(AB$3),'Struktur Vorjahr'!$D493,INDIRECT(AB$5)))</f>
        <v>-154.51</v>
      </c>
      <c r="AC493" s="593">
        <f ca="1">$E493*(SUMIF(INDIRECT(AC$3),'Struktur Vorjahr'!$D493,INDIRECT(AC$4))-SUMIF(INDIRECT(AC$3),'Struktur Vorjahr'!$D493,INDIRECT(AC$5)))</f>
        <v>0</v>
      </c>
      <c r="AD493" s="593">
        <f ca="1">$E493*(SUMIF(INDIRECT(AD$3),'Struktur Vorjahr'!$D493,INDIRECT(AD$4))-SUMIF(INDIRECT(AD$3),'Struktur Vorjahr'!$D493,INDIRECT(AD$5)))</f>
        <v>0</v>
      </c>
      <c r="AE493" s="593">
        <f t="shared" ca="1" si="254"/>
        <v>-153.15</v>
      </c>
      <c r="AF493" s="593">
        <f t="shared" ca="1" si="255"/>
        <v>-157.93</v>
      </c>
      <c r="AG493" s="593">
        <f t="shared" ca="1" si="255"/>
        <v>-153.15</v>
      </c>
      <c r="AH493" s="593">
        <f t="shared" ca="1" si="255"/>
        <v>-153.37</v>
      </c>
      <c r="AI493" s="593">
        <f t="shared" ca="1" si="255"/>
        <v>-48.77000000000001</v>
      </c>
      <c r="AJ493" s="593">
        <f t="shared" ca="1" si="255"/>
        <v>-159.29000000000002</v>
      </c>
      <c r="AK493" s="593">
        <f t="shared" ca="1" si="255"/>
        <v>-139.35000000000002</v>
      </c>
      <c r="AL493" s="593">
        <f t="shared" ca="1" si="255"/>
        <v>-159.29000000000002</v>
      </c>
      <c r="AM493" s="593">
        <f t="shared" ca="1" si="255"/>
        <v>-123.56000000000003</v>
      </c>
      <c r="AN493" s="593">
        <f t="shared" ca="1" si="255"/>
        <v>-154.51000000000002</v>
      </c>
      <c r="AO493" s="593">
        <f t="shared" ca="1" si="255"/>
        <v>-154.51000000000002</v>
      </c>
      <c r="AP493" s="593">
        <f t="shared" ca="1" si="255"/>
        <v>-154.51000000000002</v>
      </c>
    </row>
    <row r="494" spans="1:42" s="594" customFormat="1" ht="11.25" x14ac:dyDescent="0.2">
      <c r="A494" s="644"/>
      <c r="B494" s="591" t="str">
        <f>IF(D494&lt;&gt;"",
IF(ISERROR(MATCH(D494,'Ist Vorjahr Monat 01'!A:A,0))=FALSE,INDEX('Ist Vorjahr Monat 01'!B:B,MATCH(D494,'Ist Vorjahr Monat 01'!A:A,0)),
IF(ISERROR(MATCH(D494,'Ist Vorjahr Monat 02'!A:A,0))=FALSE,INDEX('Ist Vorjahr Monat 02'!B:B,MATCH(D494,'Ist Vorjahr Monat 02'!A:A,0)),
IF(ISERROR(MATCH(D494,'Ist Vorjahr Monat 03'!A:A,0))=FALSE,INDEX('Ist Vorjahr Monat 03'!B:B,MATCH(D494,'Ist Vorjahr Monat 03'!A:A,0)),
IF(ISERROR(MATCH(D494,'Ist Vorjahr Monat 04'!A:A,0))=FALSE,INDEX('Ist Vorjahr Monat 04'!B:B,MATCH(D494,'Ist Vorjahr Monat 04'!A:A,0)),
IF(ISERROR(MATCH(D494,'Ist Vorjahr Monat 05'!A:A,0))=FALSE,INDEX('Ist Vorjahr Monat 05'!B:B,MATCH(D494,'Ist Vorjahr Monat 05'!A:A,0)),
IF(ISERROR(MATCH(D494,'Ist Vorjahr Monat 06'!A:A,0))=FALSE,INDEX('Ist Vorjahr Monat 06'!B:B,MATCH(D494,'Ist Vorjahr Monat 06'!A:A,0)),
IF(ISERROR(MATCH(D494,'Ist Vorjahr Monat 07'!A:A,0))=FALSE,INDEX('Ist Vorjahr Monat 07'!B:B,MATCH(D494,'Ist Vorjahr Monat 07'!A:A,0)),
IF(ISERROR(MATCH(D494,'Ist Vorjahr Monat 08'!A:A,0))=FALSE,INDEX('Ist Vorjahr Monat 08'!B:B,MATCH(D494,'Ist Vorjahr Monat 08'!A:A,0)),
IF(ISERROR(MATCH(D494,'Ist Vorjahr Monat 09'!A:A,0))=FALSE,INDEX('Ist Vorjahr Monat 09'!B:B,MATCH(D494,'Ist Vorjahr Monat 09'!A:A,0)),
IF(ISERROR(MATCH(D494,'Ist Vorjahr Monat 10'!A:A,0))=FALSE,INDEX('Ist Vorjahr Monat 10'!B:B,MATCH(D494,'Ist Vorjahr Monat 10'!A:A,0)),
IF(ISERROR(MATCH(D494,'Ist Vorjahr Monat 11'!A:A,0))=FALSE,INDEX('Ist Vorjahr Monat 11'!B:B,MATCH(D494,'Ist Vorjahr Monat 11'!A:A,0)),
IF(ISERROR(MATCH(D494,'Ist Vorjahr Monat 12'!A:A,0))=FALSE,INDEX('Ist Vorjahr Monat 12'!B:B,MATCH(D494,'Ist Vorjahr Monat 12'!A:A,0)),
"{Konto unbekannt}"
)))))))))))),"")</f>
        <v>Geldtransit</v>
      </c>
      <c r="C494" s="1062"/>
      <c r="D494" s="1067">
        <v>1360</v>
      </c>
      <c r="E494" s="625">
        <f t="shared" si="237"/>
        <v>-1</v>
      </c>
      <c r="F494" s="626" t="s">
        <v>996</v>
      </c>
      <c r="G494" s="593">
        <f ca="1">$E494*(SUMIF(INDIRECT(G$3),'Struktur Vorjahr'!$D494,INDIRECT(G$4))-SUMIF(INDIRECT(G$3),'Struktur Vorjahr'!$D494,INDIRECT(G$5)))</f>
        <v>0</v>
      </c>
      <c r="H494" s="593">
        <f ca="1">$E494*(SUMIF(INDIRECT(H$3),'Struktur Vorjahr'!$D494,INDIRECT(H$4))-SUMIF(INDIRECT(H$3),'Struktur Vorjahr'!$D494,INDIRECT(H$5)))</f>
        <v>0</v>
      </c>
      <c r="I494" s="593">
        <f ca="1">$E494*(SUMIF(INDIRECT(I$3),'Struktur Vorjahr'!$D494,INDIRECT(I$4))-SUMIF(INDIRECT(I$3),'Struktur Vorjahr'!$D494,INDIRECT(I$5)))</f>
        <v>0</v>
      </c>
      <c r="J494" s="593">
        <f ca="1">$E494*(SUMIF(INDIRECT(J$3),'Struktur Vorjahr'!$D494,INDIRECT(J$4))-SUMIF(INDIRECT(J$3),'Struktur Vorjahr'!$D494,INDIRECT(J$5)))</f>
        <v>0</v>
      </c>
      <c r="K494" s="593">
        <f ca="1">$E494*(SUMIF(INDIRECT(K$3),'Struktur Vorjahr'!$D494,INDIRECT(K$4))-SUMIF(INDIRECT(K$3),'Struktur Vorjahr'!$D494,INDIRECT(K$5)))</f>
        <v>0</v>
      </c>
      <c r="L494" s="593">
        <f ca="1">$E494*(SUMIF(INDIRECT(L$3),'Struktur Vorjahr'!$D494,INDIRECT(L$4))-SUMIF(INDIRECT(L$3),'Struktur Vorjahr'!$D494,INDIRECT(L$5)))</f>
        <v>0</v>
      </c>
      <c r="M494" s="593">
        <f ca="1">$E494*(SUMIF(INDIRECT(M$3),'Struktur Vorjahr'!$D494,INDIRECT(M$4))-SUMIF(INDIRECT(M$3),'Struktur Vorjahr'!$D494,INDIRECT(M$5)))</f>
        <v>0</v>
      </c>
      <c r="N494" s="593">
        <f ca="1">$E494*(SUMIF(INDIRECT(N$3),'Struktur Vorjahr'!$D494,INDIRECT(N$4))-SUMIF(INDIRECT(N$3),'Struktur Vorjahr'!$D494,INDIRECT(N$5)))</f>
        <v>0</v>
      </c>
      <c r="O494" s="593">
        <f ca="1">$E494*(SUMIF(INDIRECT(O$3),'Struktur Vorjahr'!$D494,INDIRECT(O$4))-SUMIF(INDIRECT(O$3),'Struktur Vorjahr'!$D494,INDIRECT(O$5)))</f>
        <v>0</v>
      </c>
      <c r="P494" s="593">
        <f ca="1">$E494*(SUMIF(INDIRECT(P$3),'Struktur Vorjahr'!$D494,INDIRECT(P$4))-SUMIF(INDIRECT(P$3),'Struktur Vorjahr'!$D494,INDIRECT(P$5)))</f>
        <v>0</v>
      </c>
      <c r="Q494" s="593">
        <f ca="1">$E494*(SUMIF(INDIRECT(Q$3),'Struktur Vorjahr'!$D494,INDIRECT(Q$4))-SUMIF(INDIRECT(Q$3),'Struktur Vorjahr'!$D494,INDIRECT(Q$5)))</f>
        <v>0</v>
      </c>
      <c r="R494" s="593">
        <f ca="1">$E494*(SUMIF(INDIRECT(R$3),'Struktur Vorjahr'!$D494,INDIRECT(R$4))-SUMIF(INDIRECT(R$3),'Struktur Vorjahr'!$D494,INDIRECT(R$5)))</f>
        <v>0</v>
      </c>
      <c r="S494" s="593">
        <f ca="1">$E494*(SUMIF(INDIRECT(S$3),'Struktur Vorjahr'!$D494,INDIRECT(S$4))-SUMIF(INDIRECT(S$3),'Struktur Vorjahr'!$D494,INDIRECT(S$5)))</f>
        <v>0</v>
      </c>
      <c r="T494" s="593">
        <f ca="1">$E494*(SUMIF(INDIRECT(T$3),'Struktur Vorjahr'!$D494,INDIRECT(T$4))-SUMIF(INDIRECT(T$3),'Struktur Vorjahr'!$D494,INDIRECT(T$5)))</f>
        <v>0</v>
      </c>
      <c r="U494" s="593">
        <f ca="1">$E494*(SUMIF(INDIRECT(U$3),'Struktur Vorjahr'!$D494,INDIRECT(U$4))-SUMIF(INDIRECT(U$3),'Struktur Vorjahr'!$D494,INDIRECT(U$5)))</f>
        <v>0</v>
      </c>
      <c r="V494" s="593">
        <f ca="1">$E494*(SUMIF(INDIRECT(V$3),'Struktur Vorjahr'!$D494,INDIRECT(V$4))-SUMIF(INDIRECT(V$3),'Struktur Vorjahr'!$D494,INDIRECT(V$5)))</f>
        <v>0</v>
      </c>
      <c r="W494" s="593">
        <f ca="1">$E494*(SUMIF(INDIRECT(W$3),'Struktur Vorjahr'!$D494,INDIRECT(W$4))-SUMIF(INDIRECT(W$3),'Struktur Vorjahr'!$D494,INDIRECT(W$5)))</f>
        <v>0</v>
      </c>
      <c r="X494" s="593">
        <f ca="1">$E494*(SUMIF(INDIRECT(X$3),'Struktur Vorjahr'!$D494,INDIRECT(X$4))-SUMIF(INDIRECT(X$3),'Struktur Vorjahr'!$D494,INDIRECT(X$5)))</f>
        <v>0</v>
      </c>
      <c r="Y494" s="593">
        <f ca="1">$E494*(SUMIF(INDIRECT(Y$3),'Struktur Vorjahr'!$D494,INDIRECT(Y$4))-SUMIF(INDIRECT(Y$3),'Struktur Vorjahr'!$D494,INDIRECT(Y$5)))</f>
        <v>0</v>
      </c>
      <c r="Z494" s="593">
        <f ca="1">$E494*(SUMIF(INDIRECT(Z$3),'Struktur Vorjahr'!$D494,INDIRECT(Z$4))-SUMIF(INDIRECT(Z$3),'Struktur Vorjahr'!$D494,INDIRECT(Z$5)))</f>
        <v>0</v>
      </c>
      <c r="AA494" s="593">
        <f ca="1">$E494*(SUMIF(INDIRECT(AA$3),'Struktur Vorjahr'!$D494,INDIRECT(AA$4))-SUMIF(INDIRECT(AA$3),'Struktur Vorjahr'!$D494,INDIRECT(AA$5)))</f>
        <v>0</v>
      </c>
      <c r="AB494" s="593">
        <f ca="1">$E494*(SUMIF(INDIRECT(AB$3),'Struktur Vorjahr'!$D494,INDIRECT(AB$4))-SUMIF(INDIRECT(AB$3),'Struktur Vorjahr'!$D494,INDIRECT(AB$5)))</f>
        <v>0</v>
      </c>
      <c r="AC494" s="593">
        <f ca="1">$E494*(SUMIF(INDIRECT(AC$3),'Struktur Vorjahr'!$D494,INDIRECT(AC$4))-SUMIF(INDIRECT(AC$3),'Struktur Vorjahr'!$D494,INDIRECT(AC$5)))</f>
        <v>0</v>
      </c>
      <c r="AD494" s="593">
        <f ca="1">$E494*(SUMIF(INDIRECT(AD$3),'Struktur Vorjahr'!$D494,INDIRECT(AD$4))-SUMIF(INDIRECT(AD$3),'Struktur Vorjahr'!$D494,INDIRECT(AD$5)))</f>
        <v>0</v>
      </c>
      <c r="AE494" s="593">
        <f t="shared" ca="1" si="254"/>
        <v>0</v>
      </c>
      <c r="AF494" s="593">
        <f t="shared" ca="1" si="255"/>
        <v>0</v>
      </c>
      <c r="AG494" s="593">
        <f t="shared" ca="1" si="255"/>
        <v>0</v>
      </c>
      <c r="AH494" s="593">
        <f t="shared" ca="1" si="255"/>
        <v>0</v>
      </c>
      <c r="AI494" s="593">
        <f t="shared" ca="1" si="255"/>
        <v>0</v>
      </c>
      <c r="AJ494" s="593">
        <f t="shared" ca="1" si="255"/>
        <v>0</v>
      </c>
      <c r="AK494" s="593">
        <f t="shared" ca="1" si="255"/>
        <v>0</v>
      </c>
      <c r="AL494" s="593">
        <f t="shared" ca="1" si="255"/>
        <v>0</v>
      </c>
      <c r="AM494" s="593">
        <f t="shared" ca="1" si="255"/>
        <v>0</v>
      </c>
      <c r="AN494" s="593">
        <f t="shared" ca="1" si="255"/>
        <v>0</v>
      </c>
      <c r="AO494" s="593">
        <f t="shared" ca="1" si="255"/>
        <v>0</v>
      </c>
      <c r="AP494" s="593">
        <f t="shared" ca="1" si="255"/>
        <v>0</v>
      </c>
    </row>
    <row r="495" spans="1:42" s="594" customFormat="1" ht="11.25" x14ac:dyDescent="0.2">
      <c r="A495" s="644"/>
      <c r="B495" s="591" t="str">
        <f>IF(D495&lt;&gt;"",
IF(ISERROR(MATCH(D495,'Ist Vorjahr Monat 01'!A:A,0))=FALSE,INDEX('Ist Vorjahr Monat 01'!B:B,MATCH(D495,'Ist Vorjahr Monat 01'!A:A,0)),
IF(ISERROR(MATCH(D495,'Ist Vorjahr Monat 02'!A:A,0))=FALSE,INDEX('Ist Vorjahr Monat 02'!B:B,MATCH(D495,'Ist Vorjahr Monat 02'!A:A,0)),
IF(ISERROR(MATCH(D495,'Ist Vorjahr Monat 03'!A:A,0))=FALSE,INDEX('Ist Vorjahr Monat 03'!B:B,MATCH(D495,'Ist Vorjahr Monat 03'!A:A,0)),
IF(ISERROR(MATCH(D495,'Ist Vorjahr Monat 04'!A:A,0))=FALSE,INDEX('Ist Vorjahr Monat 04'!B:B,MATCH(D495,'Ist Vorjahr Monat 04'!A:A,0)),
IF(ISERROR(MATCH(D495,'Ist Vorjahr Monat 05'!A:A,0))=FALSE,INDEX('Ist Vorjahr Monat 05'!B:B,MATCH(D495,'Ist Vorjahr Monat 05'!A:A,0)),
IF(ISERROR(MATCH(D495,'Ist Vorjahr Monat 06'!A:A,0))=FALSE,INDEX('Ist Vorjahr Monat 06'!B:B,MATCH(D495,'Ist Vorjahr Monat 06'!A:A,0)),
IF(ISERROR(MATCH(D495,'Ist Vorjahr Monat 07'!A:A,0))=FALSE,INDEX('Ist Vorjahr Monat 07'!B:B,MATCH(D495,'Ist Vorjahr Monat 07'!A:A,0)),
IF(ISERROR(MATCH(D495,'Ist Vorjahr Monat 08'!A:A,0))=FALSE,INDEX('Ist Vorjahr Monat 08'!B:B,MATCH(D495,'Ist Vorjahr Monat 08'!A:A,0)),
IF(ISERROR(MATCH(D495,'Ist Vorjahr Monat 09'!A:A,0))=FALSE,INDEX('Ist Vorjahr Monat 09'!B:B,MATCH(D495,'Ist Vorjahr Monat 09'!A:A,0)),
IF(ISERROR(MATCH(D495,'Ist Vorjahr Monat 10'!A:A,0))=FALSE,INDEX('Ist Vorjahr Monat 10'!B:B,MATCH(D495,'Ist Vorjahr Monat 10'!A:A,0)),
IF(ISERROR(MATCH(D495,'Ist Vorjahr Monat 11'!A:A,0))=FALSE,INDEX('Ist Vorjahr Monat 11'!B:B,MATCH(D495,'Ist Vorjahr Monat 11'!A:A,0)),
IF(ISERROR(MATCH(D495,'Ist Vorjahr Monat 12'!A:A,0))=FALSE,INDEX('Ist Vorjahr Monat 12'!B:B,MATCH(D495,'Ist Vorjahr Monat 12'!A:A,0)),
"{Konto unbekannt}"
)))))))))))),"")</f>
        <v>Schecks</v>
      </c>
      <c r="C495" s="1062"/>
      <c r="D495" s="1067">
        <v>1330</v>
      </c>
      <c r="E495" s="625">
        <f t="shared" si="237"/>
        <v>-1</v>
      </c>
      <c r="F495" s="626" t="s">
        <v>996</v>
      </c>
      <c r="G495" s="593">
        <f ca="1">$E495*(SUMIF(INDIRECT(G$3),'Struktur Vorjahr'!$D495,INDIRECT(G$4))-SUMIF(INDIRECT(G$3),'Struktur Vorjahr'!$D495,INDIRECT(G$5)))</f>
        <v>0</v>
      </c>
      <c r="H495" s="593">
        <f ca="1">$E495*(SUMIF(INDIRECT(H$3),'Struktur Vorjahr'!$D495,INDIRECT(H$4))-SUMIF(INDIRECT(H$3),'Struktur Vorjahr'!$D495,INDIRECT(H$5)))</f>
        <v>0</v>
      </c>
      <c r="I495" s="593">
        <f ca="1">$E495*(SUMIF(INDIRECT(I$3),'Struktur Vorjahr'!$D495,INDIRECT(I$4))-SUMIF(INDIRECT(I$3),'Struktur Vorjahr'!$D495,INDIRECT(I$5)))</f>
        <v>0</v>
      </c>
      <c r="J495" s="593">
        <f ca="1">$E495*(SUMIF(INDIRECT(J$3),'Struktur Vorjahr'!$D495,INDIRECT(J$4))-SUMIF(INDIRECT(J$3),'Struktur Vorjahr'!$D495,INDIRECT(J$5)))</f>
        <v>0</v>
      </c>
      <c r="K495" s="593">
        <f ca="1">$E495*(SUMIF(INDIRECT(K$3),'Struktur Vorjahr'!$D495,INDIRECT(K$4))-SUMIF(INDIRECT(K$3),'Struktur Vorjahr'!$D495,INDIRECT(K$5)))</f>
        <v>0</v>
      </c>
      <c r="L495" s="593">
        <f ca="1">$E495*(SUMIF(INDIRECT(L$3),'Struktur Vorjahr'!$D495,INDIRECT(L$4))-SUMIF(INDIRECT(L$3),'Struktur Vorjahr'!$D495,INDIRECT(L$5)))</f>
        <v>0</v>
      </c>
      <c r="M495" s="593">
        <f ca="1">$E495*(SUMIF(INDIRECT(M$3),'Struktur Vorjahr'!$D495,INDIRECT(M$4))-SUMIF(INDIRECT(M$3),'Struktur Vorjahr'!$D495,INDIRECT(M$5)))</f>
        <v>0</v>
      </c>
      <c r="N495" s="593">
        <f ca="1">$E495*(SUMIF(INDIRECT(N$3),'Struktur Vorjahr'!$D495,INDIRECT(N$4))-SUMIF(INDIRECT(N$3),'Struktur Vorjahr'!$D495,INDIRECT(N$5)))</f>
        <v>0</v>
      </c>
      <c r="O495" s="593">
        <f ca="1">$E495*(SUMIF(INDIRECT(O$3),'Struktur Vorjahr'!$D495,INDIRECT(O$4))-SUMIF(INDIRECT(O$3),'Struktur Vorjahr'!$D495,INDIRECT(O$5)))</f>
        <v>0</v>
      </c>
      <c r="P495" s="593">
        <f ca="1">$E495*(SUMIF(INDIRECT(P$3),'Struktur Vorjahr'!$D495,INDIRECT(P$4))-SUMIF(INDIRECT(P$3),'Struktur Vorjahr'!$D495,INDIRECT(P$5)))</f>
        <v>0</v>
      </c>
      <c r="Q495" s="593">
        <f ca="1">$E495*(SUMIF(INDIRECT(Q$3),'Struktur Vorjahr'!$D495,INDIRECT(Q$4))-SUMIF(INDIRECT(Q$3),'Struktur Vorjahr'!$D495,INDIRECT(Q$5)))</f>
        <v>0</v>
      </c>
      <c r="R495" s="593">
        <f ca="1">$E495*(SUMIF(INDIRECT(R$3),'Struktur Vorjahr'!$D495,INDIRECT(R$4))-SUMIF(INDIRECT(R$3),'Struktur Vorjahr'!$D495,INDIRECT(R$5)))</f>
        <v>0</v>
      </c>
      <c r="S495" s="593">
        <f ca="1">$E495*(SUMIF(INDIRECT(S$3),'Struktur Vorjahr'!$D495,INDIRECT(S$4))-SUMIF(INDIRECT(S$3),'Struktur Vorjahr'!$D495,INDIRECT(S$5)))</f>
        <v>0</v>
      </c>
      <c r="T495" s="593">
        <f ca="1">$E495*(SUMIF(INDIRECT(T$3),'Struktur Vorjahr'!$D495,INDIRECT(T$4))-SUMIF(INDIRECT(T$3),'Struktur Vorjahr'!$D495,INDIRECT(T$5)))</f>
        <v>0</v>
      </c>
      <c r="U495" s="593">
        <f ca="1">$E495*(SUMIF(INDIRECT(U$3),'Struktur Vorjahr'!$D495,INDIRECT(U$4))-SUMIF(INDIRECT(U$3),'Struktur Vorjahr'!$D495,INDIRECT(U$5)))</f>
        <v>0</v>
      </c>
      <c r="V495" s="593">
        <f ca="1">$E495*(SUMIF(INDIRECT(V$3),'Struktur Vorjahr'!$D495,INDIRECT(V$4))-SUMIF(INDIRECT(V$3),'Struktur Vorjahr'!$D495,INDIRECT(V$5)))</f>
        <v>0</v>
      </c>
      <c r="W495" s="593">
        <f ca="1">$E495*(SUMIF(INDIRECT(W$3),'Struktur Vorjahr'!$D495,INDIRECT(W$4))-SUMIF(INDIRECT(W$3),'Struktur Vorjahr'!$D495,INDIRECT(W$5)))</f>
        <v>0</v>
      </c>
      <c r="X495" s="593">
        <f ca="1">$E495*(SUMIF(INDIRECT(X$3),'Struktur Vorjahr'!$D495,INDIRECT(X$4))-SUMIF(INDIRECT(X$3),'Struktur Vorjahr'!$D495,INDIRECT(X$5)))</f>
        <v>0</v>
      </c>
      <c r="Y495" s="593">
        <f ca="1">$E495*(SUMIF(INDIRECT(Y$3),'Struktur Vorjahr'!$D495,INDIRECT(Y$4))-SUMIF(INDIRECT(Y$3),'Struktur Vorjahr'!$D495,INDIRECT(Y$5)))</f>
        <v>0</v>
      </c>
      <c r="Z495" s="593">
        <f ca="1">$E495*(SUMIF(INDIRECT(Z$3),'Struktur Vorjahr'!$D495,INDIRECT(Z$4))-SUMIF(INDIRECT(Z$3),'Struktur Vorjahr'!$D495,INDIRECT(Z$5)))</f>
        <v>0</v>
      </c>
      <c r="AA495" s="593">
        <f ca="1">$E495*(SUMIF(INDIRECT(AA$3),'Struktur Vorjahr'!$D495,INDIRECT(AA$4))-SUMIF(INDIRECT(AA$3),'Struktur Vorjahr'!$D495,INDIRECT(AA$5)))</f>
        <v>0</v>
      </c>
      <c r="AB495" s="593">
        <f ca="1">$E495*(SUMIF(INDIRECT(AB$3),'Struktur Vorjahr'!$D495,INDIRECT(AB$4))-SUMIF(INDIRECT(AB$3),'Struktur Vorjahr'!$D495,INDIRECT(AB$5)))</f>
        <v>0</v>
      </c>
      <c r="AC495" s="593">
        <f ca="1">$E495*(SUMIF(INDIRECT(AC$3),'Struktur Vorjahr'!$D495,INDIRECT(AC$4))-SUMIF(INDIRECT(AC$3),'Struktur Vorjahr'!$D495,INDIRECT(AC$5)))</f>
        <v>0</v>
      </c>
      <c r="AD495" s="593">
        <f ca="1">$E495*(SUMIF(INDIRECT(AD$3),'Struktur Vorjahr'!$D495,INDIRECT(AD$4))-SUMIF(INDIRECT(AD$3),'Struktur Vorjahr'!$D495,INDIRECT(AD$5)))</f>
        <v>0</v>
      </c>
      <c r="AE495" s="593">
        <f t="shared" ca="1" si="254"/>
        <v>0</v>
      </c>
      <c r="AF495" s="593">
        <f t="shared" ca="1" si="255"/>
        <v>0</v>
      </c>
      <c r="AG495" s="593">
        <f t="shared" ca="1" si="255"/>
        <v>0</v>
      </c>
      <c r="AH495" s="593">
        <f t="shared" ca="1" si="255"/>
        <v>0</v>
      </c>
      <c r="AI495" s="593">
        <f t="shared" ca="1" si="255"/>
        <v>0</v>
      </c>
      <c r="AJ495" s="593">
        <f t="shared" ca="1" si="255"/>
        <v>0</v>
      </c>
      <c r="AK495" s="593">
        <f t="shared" ca="1" si="255"/>
        <v>0</v>
      </c>
      <c r="AL495" s="593">
        <f t="shared" ca="1" si="255"/>
        <v>0</v>
      </c>
      <c r="AM495" s="593">
        <f t="shared" ca="1" si="255"/>
        <v>0</v>
      </c>
      <c r="AN495" s="593">
        <f t="shared" ca="1" si="255"/>
        <v>0</v>
      </c>
      <c r="AO495" s="593">
        <f t="shared" ca="1" si="255"/>
        <v>0</v>
      </c>
      <c r="AP495" s="593">
        <f t="shared" ca="1" si="255"/>
        <v>0</v>
      </c>
    </row>
    <row r="496" spans="1:42" s="594" customFormat="1" ht="11.25" x14ac:dyDescent="0.2">
      <c r="A496" s="644"/>
      <c r="B496" s="591" t="str">
        <f>IF(D496&lt;&gt;"",
IF(ISERROR(MATCH(D496,'Ist Vorjahr Monat 01'!A:A,0))=FALSE,INDEX('Ist Vorjahr Monat 01'!B:B,MATCH(D496,'Ist Vorjahr Monat 01'!A:A,0)),
IF(ISERROR(MATCH(D496,'Ist Vorjahr Monat 02'!A:A,0))=FALSE,INDEX('Ist Vorjahr Monat 02'!B:B,MATCH(D496,'Ist Vorjahr Monat 02'!A:A,0)),
IF(ISERROR(MATCH(D496,'Ist Vorjahr Monat 03'!A:A,0))=FALSE,INDEX('Ist Vorjahr Monat 03'!B:B,MATCH(D496,'Ist Vorjahr Monat 03'!A:A,0)),
IF(ISERROR(MATCH(D496,'Ist Vorjahr Monat 04'!A:A,0))=FALSE,INDEX('Ist Vorjahr Monat 04'!B:B,MATCH(D496,'Ist Vorjahr Monat 04'!A:A,0)),
IF(ISERROR(MATCH(D496,'Ist Vorjahr Monat 05'!A:A,0))=FALSE,INDEX('Ist Vorjahr Monat 05'!B:B,MATCH(D496,'Ist Vorjahr Monat 05'!A:A,0)),
IF(ISERROR(MATCH(D496,'Ist Vorjahr Monat 06'!A:A,0))=FALSE,INDEX('Ist Vorjahr Monat 06'!B:B,MATCH(D496,'Ist Vorjahr Monat 06'!A:A,0)),
IF(ISERROR(MATCH(D496,'Ist Vorjahr Monat 07'!A:A,0))=FALSE,INDEX('Ist Vorjahr Monat 07'!B:B,MATCH(D496,'Ist Vorjahr Monat 07'!A:A,0)),
IF(ISERROR(MATCH(D496,'Ist Vorjahr Monat 08'!A:A,0))=FALSE,INDEX('Ist Vorjahr Monat 08'!B:B,MATCH(D496,'Ist Vorjahr Monat 08'!A:A,0)),
IF(ISERROR(MATCH(D496,'Ist Vorjahr Monat 09'!A:A,0))=FALSE,INDEX('Ist Vorjahr Monat 09'!B:B,MATCH(D496,'Ist Vorjahr Monat 09'!A:A,0)),
IF(ISERROR(MATCH(D496,'Ist Vorjahr Monat 10'!A:A,0))=FALSE,INDEX('Ist Vorjahr Monat 10'!B:B,MATCH(D496,'Ist Vorjahr Monat 10'!A:A,0)),
IF(ISERROR(MATCH(D496,'Ist Vorjahr Monat 11'!A:A,0))=FALSE,INDEX('Ist Vorjahr Monat 11'!B:B,MATCH(D496,'Ist Vorjahr Monat 11'!A:A,0)),
IF(ISERROR(MATCH(D496,'Ist Vorjahr Monat 12'!A:A,0))=FALSE,INDEX('Ist Vorjahr Monat 12'!B:B,MATCH(D496,'Ist Vorjahr Monat 12'!A:A,0)),
"{Konto unbekannt}"
)))))))))))),"")</f>
        <v>Sonstige Vermögensgegenstände</v>
      </c>
      <c r="C496" s="1062"/>
      <c r="D496" s="1067">
        <v>1500</v>
      </c>
      <c r="E496" s="625">
        <f t="shared" si="237"/>
        <v>-1</v>
      </c>
      <c r="F496" s="626" t="s">
        <v>996</v>
      </c>
      <c r="G496" s="593">
        <f ca="1">$E496*(SUMIF(INDIRECT(G$3),'Struktur Vorjahr'!$D496,INDIRECT(G$4))-SUMIF(INDIRECT(G$3),'Struktur Vorjahr'!$D496,INDIRECT(G$5)))</f>
        <v>0</v>
      </c>
      <c r="H496" s="593">
        <f ca="1">$E496*(SUMIF(INDIRECT(H$3),'Struktur Vorjahr'!$D496,INDIRECT(H$4))-SUMIF(INDIRECT(H$3),'Struktur Vorjahr'!$D496,INDIRECT(H$5)))</f>
        <v>0</v>
      </c>
      <c r="I496" s="593">
        <f ca="1">$E496*(SUMIF(INDIRECT(I$3),'Struktur Vorjahr'!$D496,INDIRECT(I$4))-SUMIF(INDIRECT(I$3),'Struktur Vorjahr'!$D496,INDIRECT(I$5)))</f>
        <v>0</v>
      </c>
      <c r="J496" s="593">
        <f ca="1">$E496*(SUMIF(INDIRECT(J$3),'Struktur Vorjahr'!$D496,INDIRECT(J$4))-SUMIF(INDIRECT(J$3),'Struktur Vorjahr'!$D496,INDIRECT(J$5)))</f>
        <v>0</v>
      </c>
      <c r="K496" s="593">
        <f ca="1">$E496*(SUMIF(INDIRECT(K$3),'Struktur Vorjahr'!$D496,INDIRECT(K$4))-SUMIF(INDIRECT(K$3),'Struktur Vorjahr'!$D496,INDIRECT(K$5)))</f>
        <v>0</v>
      </c>
      <c r="L496" s="593">
        <f ca="1">$E496*(SUMIF(INDIRECT(L$3),'Struktur Vorjahr'!$D496,INDIRECT(L$4))-SUMIF(INDIRECT(L$3),'Struktur Vorjahr'!$D496,INDIRECT(L$5)))</f>
        <v>0</v>
      </c>
      <c r="M496" s="593">
        <f ca="1">$E496*(SUMIF(INDIRECT(M$3),'Struktur Vorjahr'!$D496,INDIRECT(M$4))-SUMIF(INDIRECT(M$3),'Struktur Vorjahr'!$D496,INDIRECT(M$5)))</f>
        <v>467.16</v>
      </c>
      <c r="N496" s="593">
        <f ca="1">$E496*(SUMIF(INDIRECT(N$3),'Struktur Vorjahr'!$D496,INDIRECT(N$4))-SUMIF(INDIRECT(N$3),'Struktur Vorjahr'!$D496,INDIRECT(N$5)))</f>
        <v>0</v>
      </c>
      <c r="O496" s="593">
        <f ca="1">$E496*(SUMIF(INDIRECT(O$3),'Struktur Vorjahr'!$D496,INDIRECT(O$4))-SUMIF(INDIRECT(O$3),'Struktur Vorjahr'!$D496,INDIRECT(O$5)))</f>
        <v>0</v>
      </c>
      <c r="P496" s="593">
        <f ca="1">$E496*(SUMIF(INDIRECT(P$3),'Struktur Vorjahr'!$D496,INDIRECT(P$4))-SUMIF(INDIRECT(P$3),'Struktur Vorjahr'!$D496,INDIRECT(P$5)))</f>
        <v>0</v>
      </c>
      <c r="Q496" s="593">
        <f ca="1">$E496*(SUMIF(INDIRECT(Q$3),'Struktur Vorjahr'!$D496,INDIRECT(Q$4))-SUMIF(INDIRECT(Q$3),'Struktur Vorjahr'!$D496,INDIRECT(Q$5)))</f>
        <v>0</v>
      </c>
      <c r="R496" s="593">
        <f ca="1">$E496*(SUMIF(INDIRECT(R$3),'Struktur Vorjahr'!$D496,INDIRECT(R$4))-SUMIF(INDIRECT(R$3),'Struktur Vorjahr'!$D496,INDIRECT(R$5)))</f>
        <v>0</v>
      </c>
      <c r="S496" s="593">
        <f ca="1">$E496*(SUMIF(INDIRECT(S$3),'Struktur Vorjahr'!$D496,INDIRECT(S$4))-SUMIF(INDIRECT(S$3),'Struktur Vorjahr'!$D496,INDIRECT(S$5)))</f>
        <v>0</v>
      </c>
      <c r="T496" s="593">
        <f ca="1">$E496*(SUMIF(INDIRECT(T$3),'Struktur Vorjahr'!$D496,INDIRECT(T$4))-SUMIF(INDIRECT(T$3),'Struktur Vorjahr'!$D496,INDIRECT(T$5)))</f>
        <v>0</v>
      </c>
      <c r="U496" s="593">
        <f ca="1">$E496*(SUMIF(INDIRECT(U$3),'Struktur Vorjahr'!$D496,INDIRECT(U$4))-SUMIF(INDIRECT(U$3),'Struktur Vorjahr'!$D496,INDIRECT(U$5)))</f>
        <v>0</v>
      </c>
      <c r="V496" s="593">
        <f ca="1">$E496*(SUMIF(INDIRECT(V$3),'Struktur Vorjahr'!$D496,INDIRECT(V$4))-SUMIF(INDIRECT(V$3),'Struktur Vorjahr'!$D496,INDIRECT(V$5)))</f>
        <v>0</v>
      </c>
      <c r="W496" s="593">
        <f ca="1">$E496*(SUMIF(INDIRECT(W$3),'Struktur Vorjahr'!$D496,INDIRECT(W$4))-SUMIF(INDIRECT(W$3),'Struktur Vorjahr'!$D496,INDIRECT(W$5)))</f>
        <v>0</v>
      </c>
      <c r="X496" s="593">
        <f ca="1">$E496*(SUMIF(INDIRECT(X$3),'Struktur Vorjahr'!$D496,INDIRECT(X$4))-SUMIF(INDIRECT(X$3),'Struktur Vorjahr'!$D496,INDIRECT(X$5)))</f>
        <v>0</v>
      </c>
      <c r="Y496" s="593">
        <f ca="1">$E496*(SUMIF(INDIRECT(Y$3),'Struktur Vorjahr'!$D496,INDIRECT(Y$4))-SUMIF(INDIRECT(Y$3),'Struktur Vorjahr'!$D496,INDIRECT(Y$5)))</f>
        <v>467.16</v>
      </c>
      <c r="Z496" s="593">
        <f ca="1">$E496*(SUMIF(INDIRECT(Z$3),'Struktur Vorjahr'!$D496,INDIRECT(Z$4))-SUMIF(INDIRECT(Z$3),'Struktur Vorjahr'!$D496,INDIRECT(Z$5)))</f>
        <v>467.16</v>
      </c>
      <c r="AA496" s="593">
        <f ca="1">$E496*(SUMIF(INDIRECT(AA$3),'Struktur Vorjahr'!$D496,INDIRECT(AA$4))-SUMIF(INDIRECT(AA$3),'Struktur Vorjahr'!$D496,INDIRECT(AA$5)))</f>
        <v>467.16</v>
      </c>
      <c r="AB496" s="593">
        <f ca="1">$E496*(SUMIF(INDIRECT(AB$3),'Struktur Vorjahr'!$D496,INDIRECT(AB$4))-SUMIF(INDIRECT(AB$3),'Struktur Vorjahr'!$D496,INDIRECT(AB$5)))</f>
        <v>467.16</v>
      </c>
      <c r="AC496" s="593">
        <f ca="1">$E496*(SUMIF(INDIRECT(AC$3),'Struktur Vorjahr'!$D496,INDIRECT(AC$4))-SUMIF(INDIRECT(AC$3),'Struktur Vorjahr'!$D496,INDIRECT(AC$5)))</f>
        <v>0</v>
      </c>
      <c r="AD496" s="593">
        <f ca="1">$E496*(SUMIF(INDIRECT(AD$3),'Struktur Vorjahr'!$D496,INDIRECT(AD$4))-SUMIF(INDIRECT(AD$3),'Struktur Vorjahr'!$D496,INDIRECT(AD$5)))</f>
        <v>0</v>
      </c>
      <c r="AE496" s="593">
        <f t="shared" ca="1" si="254"/>
        <v>0</v>
      </c>
      <c r="AF496" s="593">
        <f t="shared" ca="1" si="255"/>
        <v>0</v>
      </c>
      <c r="AG496" s="593">
        <f t="shared" ca="1" si="255"/>
        <v>0</v>
      </c>
      <c r="AH496" s="593">
        <f t="shared" ca="1" si="255"/>
        <v>0</v>
      </c>
      <c r="AI496" s="593">
        <f t="shared" ca="1" si="255"/>
        <v>0</v>
      </c>
      <c r="AJ496" s="593">
        <f t="shared" ca="1" si="255"/>
        <v>0</v>
      </c>
      <c r="AK496" s="593">
        <f t="shared" ca="1" si="255"/>
        <v>467.16</v>
      </c>
      <c r="AL496" s="593">
        <f t="shared" ca="1" si="255"/>
        <v>467.16</v>
      </c>
      <c r="AM496" s="593">
        <f t="shared" ca="1" si="255"/>
        <v>467.16</v>
      </c>
      <c r="AN496" s="593">
        <f t="shared" ca="1" si="255"/>
        <v>467.16</v>
      </c>
      <c r="AO496" s="593">
        <f t="shared" ca="1" si="255"/>
        <v>467.16</v>
      </c>
      <c r="AP496" s="593">
        <f t="shared" ca="1" si="255"/>
        <v>467.16</v>
      </c>
    </row>
    <row r="497" spans="1:42" s="594" customFormat="1" ht="11.25" x14ac:dyDescent="0.2">
      <c r="A497" s="644"/>
      <c r="B497" s="591" t="str">
        <f>IF(D497&lt;&gt;"",
IF(ISERROR(MATCH(D497,'Ist Vorjahr Monat 01'!A:A,0))=FALSE,INDEX('Ist Vorjahr Monat 01'!B:B,MATCH(D497,'Ist Vorjahr Monat 01'!A:A,0)),
IF(ISERROR(MATCH(D497,'Ist Vorjahr Monat 02'!A:A,0))=FALSE,INDEX('Ist Vorjahr Monat 02'!B:B,MATCH(D497,'Ist Vorjahr Monat 02'!A:A,0)),
IF(ISERROR(MATCH(D497,'Ist Vorjahr Monat 03'!A:A,0))=FALSE,INDEX('Ist Vorjahr Monat 03'!B:B,MATCH(D497,'Ist Vorjahr Monat 03'!A:A,0)),
IF(ISERROR(MATCH(D497,'Ist Vorjahr Monat 04'!A:A,0))=FALSE,INDEX('Ist Vorjahr Monat 04'!B:B,MATCH(D497,'Ist Vorjahr Monat 04'!A:A,0)),
IF(ISERROR(MATCH(D497,'Ist Vorjahr Monat 05'!A:A,0))=FALSE,INDEX('Ist Vorjahr Monat 05'!B:B,MATCH(D497,'Ist Vorjahr Monat 05'!A:A,0)),
IF(ISERROR(MATCH(D497,'Ist Vorjahr Monat 06'!A:A,0))=FALSE,INDEX('Ist Vorjahr Monat 06'!B:B,MATCH(D497,'Ist Vorjahr Monat 06'!A:A,0)),
IF(ISERROR(MATCH(D497,'Ist Vorjahr Monat 07'!A:A,0))=FALSE,INDEX('Ist Vorjahr Monat 07'!B:B,MATCH(D497,'Ist Vorjahr Monat 07'!A:A,0)),
IF(ISERROR(MATCH(D497,'Ist Vorjahr Monat 08'!A:A,0))=FALSE,INDEX('Ist Vorjahr Monat 08'!B:B,MATCH(D497,'Ist Vorjahr Monat 08'!A:A,0)),
IF(ISERROR(MATCH(D497,'Ist Vorjahr Monat 09'!A:A,0))=FALSE,INDEX('Ist Vorjahr Monat 09'!B:B,MATCH(D497,'Ist Vorjahr Monat 09'!A:A,0)),
IF(ISERROR(MATCH(D497,'Ist Vorjahr Monat 10'!A:A,0))=FALSE,INDEX('Ist Vorjahr Monat 10'!B:B,MATCH(D497,'Ist Vorjahr Monat 10'!A:A,0)),
IF(ISERROR(MATCH(D497,'Ist Vorjahr Monat 11'!A:A,0))=FALSE,INDEX('Ist Vorjahr Monat 11'!B:B,MATCH(D497,'Ist Vorjahr Monat 11'!A:A,0)),
IF(ISERROR(MATCH(D497,'Ist Vorjahr Monat 12'!A:A,0))=FALSE,INDEX('Ist Vorjahr Monat 12'!B:B,MATCH(D497,'Ist Vorjahr Monat 12'!A:A,0)),
"{Konto unbekannt}"
)))))))))))),"")</f>
        <v>Forderungen ggb. Krankenkasse aus AAG</v>
      </c>
      <c r="C497" s="1062"/>
      <c r="D497" s="1067">
        <v>1520</v>
      </c>
      <c r="E497" s="625">
        <f t="shared" si="237"/>
        <v>-1</v>
      </c>
      <c r="F497" s="626" t="s">
        <v>996</v>
      </c>
      <c r="G497" s="593">
        <f ca="1">$E497*(SUMIF(INDIRECT(G$3),'Struktur Vorjahr'!$D497,INDIRECT(G$4))-SUMIF(INDIRECT(G$3),'Struktur Vorjahr'!$D497,INDIRECT(G$5)))</f>
        <v>0</v>
      </c>
      <c r="H497" s="593">
        <f ca="1">$E497*(SUMIF(INDIRECT(H$3),'Struktur Vorjahr'!$D497,INDIRECT(H$4))-SUMIF(INDIRECT(H$3),'Struktur Vorjahr'!$D497,INDIRECT(H$5)))</f>
        <v>0</v>
      </c>
      <c r="I497" s="593">
        <f ca="1">$E497*(SUMIF(INDIRECT(I$3),'Struktur Vorjahr'!$D497,INDIRECT(I$4))-SUMIF(INDIRECT(I$3),'Struktur Vorjahr'!$D497,INDIRECT(I$5)))</f>
        <v>0</v>
      </c>
      <c r="J497" s="593">
        <f ca="1">$E497*(SUMIF(INDIRECT(J$3),'Struktur Vorjahr'!$D497,INDIRECT(J$4))-SUMIF(INDIRECT(J$3),'Struktur Vorjahr'!$D497,INDIRECT(J$5)))</f>
        <v>0</v>
      </c>
      <c r="K497" s="593">
        <f ca="1">$E497*(SUMIF(INDIRECT(K$3),'Struktur Vorjahr'!$D497,INDIRECT(K$4))-SUMIF(INDIRECT(K$3),'Struktur Vorjahr'!$D497,INDIRECT(K$5)))</f>
        <v>0</v>
      </c>
      <c r="L497" s="593">
        <f ca="1">$E497*(SUMIF(INDIRECT(L$3),'Struktur Vorjahr'!$D497,INDIRECT(L$4))-SUMIF(INDIRECT(L$3),'Struktur Vorjahr'!$D497,INDIRECT(L$5)))</f>
        <v>0</v>
      </c>
      <c r="M497" s="593">
        <f ca="1">$E497*(SUMIF(INDIRECT(M$3),'Struktur Vorjahr'!$D497,INDIRECT(M$4))-SUMIF(INDIRECT(M$3),'Struktur Vorjahr'!$D497,INDIRECT(M$5)))</f>
        <v>51.01</v>
      </c>
      <c r="N497" s="593">
        <f ca="1">$E497*(SUMIF(INDIRECT(N$3),'Struktur Vorjahr'!$D497,INDIRECT(N$4))-SUMIF(INDIRECT(N$3),'Struktur Vorjahr'!$D497,INDIRECT(N$5)))</f>
        <v>176.74</v>
      </c>
      <c r="O497" s="593">
        <f ca="1">$E497*(SUMIF(INDIRECT(O$3),'Struktur Vorjahr'!$D497,INDIRECT(O$4))-SUMIF(INDIRECT(O$3),'Struktur Vorjahr'!$D497,INDIRECT(O$5)))</f>
        <v>-227.75</v>
      </c>
      <c r="P497" s="593">
        <f ca="1">$E497*(SUMIF(INDIRECT(P$3),'Struktur Vorjahr'!$D497,INDIRECT(P$4))-SUMIF(INDIRECT(P$3),'Struktur Vorjahr'!$D497,INDIRECT(P$5)))</f>
        <v>0</v>
      </c>
      <c r="Q497" s="593">
        <f ca="1">$E497*(SUMIF(INDIRECT(Q$3),'Struktur Vorjahr'!$D497,INDIRECT(Q$4))-SUMIF(INDIRECT(Q$3),'Struktur Vorjahr'!$D497,INDIRECT(Q$5)))</f>
        <v>0</v>
      </c>
      <c r="R497" s="593">
        <f ca="1">$E497*(SUMIF(INDIRECT(R$3),'Struktur Vorjahr'!$D497,INDIRECT(R$4))-SUMIF(INDIRECT(R$3),'Struktur Vorjahr'!$D497,INDIRECT(R$5)))</f>
        <v>0</v>
      </c>
      <c r="S497" s="593">
        <f ca="1">$E497*(SUMIF(INDIRECT(S$3),'Struktur Vorjahr'!$D497,INDIRECT(S$4))-SUMIF(INDIRECT(S$3),'Struktur Vorjahr'!$D497,INDIRECT(S$5)))</f>
        <v>0</v>
      </c>
      <c r="T497" s="593">
        <f ca="1">$E497*(SUMIF(INDIRECT(T$3),'Struktur Vorjahr'!$D497,INDIRECT(T$4))-SUMIF(INDIRECT(T$3),'Struktur Vorjahr'!$D497,INDIRECT(T$5)))</f>
        <v>0</v>
      </c>
      <c r="U497" s="593">
        <f ca="1">$E497*(SUMIF(INDIRECT(U$3),'Struktur Vorjahr'!$D497,INDIRECT(U$4))-SUMIF(INDIRECT(U$3),'Struktur Vorjahr'!$D497,INDIRECT(U$5)))</f>
        <v>0</v>
      </c>
      <c r="V497" s="593">
        <f ca="1">$E497*(SUMIF(INDIRECT(V$3),'Struktur Vorjahr'!$D497,INDIRECT(V$4))-SUMIF(INDIRECT(V$3),'Struktur Vorjahr'!$D497,INDIRECT(V$5)))</f>
        <v>0</v>
      </c>
      <c r="W497" s="593">
        <f ca="1">$E497*(SUMIF(INDIRECT(W$3),'Struktur Vorjahr'!$D497,INDIRECT(W$4))-SUMIF(INDIRECT(W$3),'Struktur Vorjahr'!$D497,INDIRECT(W$5)))</f>
        <v>0</v>
      </c>
      <c r="X497" s="593">
        <f ca="1">$E497*(SUMIF(INDIRECT(X$3),'Struktur Vorjahr'!$D497,INDIRECT(X$4))-SUMIF(INDIRECT(X$3),'Struktur Vorjahr'!$D497,INDIRECT(X$5)))</f>
        <v>0</v>
      </c>
      <c r="Y497" s="593">
        <f ca="1">$E497*(SUMIF(INDIRECT(Y$3),'Struktur Vorjahr'!$D497,INDIRECT(Y$4))-SUMIF(INDIRECT(Y$3),'Struktur Vorjahr'!$D497,INDIRECT(Y$5)))</f>
        <v>51.01</v>
      </c>
      <c r="Z497" s="593">
        <f ca="1">$E497*(SUMIF(INDIRECT(Z$3),'Struktur Vorjahr'!$D497,INDIRECT(Z$4))-SUMIF(INDIRECT(Z$3),'Struktur Vorjahr'!$D497,INDIRECT(Z$5)))</f>
        <v>227.75</v>
      </c>
      <c r="AA497" s="593">
        <f ca="1">$E497*(SUMIF(INDIRECT(AA$3),'Struktur Vorjahr'!$D497,INDIRECT(AA$4))-SUMIF(INDIRECT(AA$3),'Struktur Vorjahr'!$D497,INDIRECT(AA$5)))</f>
        <v>0</v>
      </c>
      <c r="AB497" s="593">
        <f ca="1">$E497*(SUMIF(INDIRECT(AB$3),'Struktur Vorjahr'!$D497,INDIRECT(AB$4))-SUMIF(INDIRECT(AB$3),'Struktur Vorjahr'!$D497,INDIRECT(AB$5)))</f>
        <v>0</v>
      </c>
      <c r="AC497" s="593">
        <f ca="1">$E497*(SUMIF(INDIRECT(AC$3),'Struktur Vorjahr'!$D497,INDIRECT(AC$4))-SUMIF(INDIRECT(AC$3),'Struktur Vorjahr'!$D497,INDIRECT(AC$5)))</f>
        <v>0</v>
      </c>
      <c r="AD497" s="593">
        <f ca="1">$E497*(SUMIF(INDIRECT(AD$3),'Struktur Vorjahr'!$D497,INDIRECT(AD$4))-SUMIF(INDIRECT(AD$3),'Struktur Vorjahr'!$D497,INDIRECT(AD$5)))</f>
        <v>0</v>
      </c>
      <c r="AE497" s="593">
        <f t="shared" ca="1" si="254"/>
        <v>0</v>
      </c>
      <c r="AF497" s="593">
        <f t="shared" ca="1" si="255"/>
        <v>0</v>
      </c>
      <c r="AG497" s="593">
        <f t="shared" ca="1" si="255"/>
        <v>0</v>
      </c>
      <c r="AH497" s="593">
        <f t="shared" ca="1" si="255"/>
        <v>0</v>
      </c>
      <c r="AI497" s="593">
        <f t="shared" ca="1" si="255"/>
        <v>0</v>
      </c>
      <c r="AJ497" s="593">
        <f t="shared" ca="1" si="255"/>
        <v>0</v>
      </c>
      <c r="AK497" s="593">
        <f t="shared" ca="1" si="255"/>
        <v>51.01</v>
      </c>
      <c r="AL497" s="593">
        <f t="shared" ca="1" si="255"/>
        <v>227.75</v>
      </c>
      <c r="AM497" s="593">
        <f t="shared" ca="1" si="255"/>
        <v>0</v>
      </c>
      <c r="AN497" s="593">
        <f t="shared" ca="1" si="255"/>
        <v>0</v>
      </c>
      <c r="AO497" s="593">
        <f t="shared" ca="1" si="255"/>
        <v>0</v>
      </c>
      <c r="AP497" s="593">
        <f t="shared" ca="1" si="255"/>
        <v>0</v>
      </c>
    </row>
    <row r="498" spans="1:42" s="594" customFormat="1" ht="11.25" x14ac:dyDescent="0.2">
      <c r="A498" s="644"/>
      <c r="B498" s="591" t="str">
        <f>IF(D498&lt;&gt;"",
IF(ISERROR(MATCH(D498,'Ist Vorjahr Monat 01'!A:A,0))=FALSE,INDEX('Ist Vorjahr Monat 01'!B:B,MATCH(D498,'Ist Vorjahr Monat 01'!A:A,0)),
IF(ISERROR(MATCH(D498,'Ist Vorjahr Monat 02'!A:A,0))=FALSE,INDEX('Ist Vorjahr Monat 02'!B:B,MATCH(D498,'Ist Vorjahr Monat 02'!A:A,0)),
IF(ISERROR(MATCH(D498,'Ist Vorjahr Monat 03'!A:A,0))=FALSE,INDEX('Ist Vorjahr Monat 03'!B:B,MATCH(D498,'Ist Vorjahr Monat 03'!A:A,0)),
IF(ISERROR(MATCH(D498,'Ist Vorjahr Monat 04'!A:A,0))=FALSE,INDEX('Ist Vorjahr Monat 04'!B:B,MATCH(D498,'Ist Vorjahr Monat 04'!A:A,0)),
IF(ISERROR(MATCH(D498,'Ist Vorjahr Monat 05'!A:A,0))=FALSE,INDEX('Ist Vorjahr Monat 05'!B:B,MATCH(D498,'Ist Vorjahr Monat 05'!A:A,0)),
IF(ISERROR(MATCH(D498,'Ist Vorjahr Monat 06'!A:A,0))=FALSE,INDEX('Ist Vorjahr Monat 06'!B:B,MATCH(D498,'Ist Vorjahr Monat 06'!A:A,0)),
IF(ISERROR(MATCH(D498,'Ist Vorjahr Monat 07'!A:A,0))=FALSE,INDEX('Ist Vorjahr Monat 07'!B:B,MATCH(D498,'Ist Vorjahr Monat 07'!A:A,0)),
IF(ISERROR(MATCH(D498,'Ist Vorjahr Monat 08'!A:A,0))=FALSE,INDEX('Ist Vorjahr Monat 08'!B:B,MATCH(D498,'Ist Vorjahr Monat 08'!A:A,0)),
IF(ISERROR(MATCH(D498,'Ist Vorjahr Monat 09'!A:A,0))=FALSE,INDEX('Ist Vorjahr Monat 09'!B:B,MATCH(D498,'Ist Vorjahr Monat 09'!A:A,0)),
IF(ISERROR(MATCH(D498,'Ist Vorjahr Monat 10'!A:A,0))=FALSE,INDEX('Ist Vorjahr Monat 10'!B:B,MATCH(D498,'Ist Vorjahr Monat 10'!A:A,0)),
IF(ISERROR(MATCH(D498,'Ist Vorjahr Monat 11'!A:A,0))=FALSE,INDEX('Ist Vorjahr Monat 11'!B:B,MATCH(D498,'Ist Vorjahr Monat 11'!A:A,0)),
IF(ISERROR(MATCH(D498,'Ist Vorjahr Monat 12'!A:A,0))=FALSE,INDEX('Ist Vorjahr Monat 12'!B:B,MATCH(D498,'Ist Vorjahr Monat 12'!A:A,0)),
"{Konto unbekannt}"
)))))))))))),"")</f>
        <v>Kautionen</v>
      </c>
      <c r="C498" s="1062"/>
      <c r="D498" s="1067">
        <v>1525</v>
      </c>
      <c r="E498" s="625">
        <f t="shared" si="237"/>
        <v>-1</v>
      </c>
      <c r="F498" s="626" t="s">
        <v>996</v>
      </c>
      <c r="G498" s="593">
        <f ca="1">$E498*(SUMIF(INDIRECT(G$3),'Struktur Vorjahr'!$D498,INDIRECT(G$4))-SUMIF(INDIRECT(G$3),'Struktur Vorjahr'!$D498,INDIRECT(G$5)))</f>
        <v>0</v>
      </c>
      <c r="H498" s="593">
        <f ca="1">$E498*(SUMIF(INDIRECT(H$3),'Struktur Vorjahr'!$D498,INDIRECT(H$4))-SUMIF(INDIRECT(H$3),'Struktur Vorjahr'!$D498,INDIRECT(H$5)))</f>
        <v>0</v>
      </c>
      <c r="I498" s="593">
        <f ca="1">$E498*(SUMIF(INDIRECT(I$3),'Struktur Vorjahr'!$D498,INDIRECT(I$4))-SUMIF(INDIRECT(I$3),'Struktur Vorjahr'!$D498,INDIRECT(I$5)))</f>
        <v>0</v>
      </c>
      <c r="J498" s="593">
        <f ca="1">$E498*(SUMIF(INDIRECT(J$3),'Struktur Vorjahr'!$D498,INDIRECT(J$4))-SUMIF(INDIRECT(J$3),'Struktur Vorjahr'!$D498,INDIRECT(J$5)))</f>
        <v>0</v>
      </c>
      <c r="K498" s="593">
        <f ca="1">$E498*(SUMIF(INDIRECT(K$3),'Struktur Vorjahr'!$D498,INDIRECT(K$4))-SUMIF(INDIRECT(K$3),'Struktur Vorjahr'!$D498,INDIRECT(K$5)))</f>
        <v>0</v>
      </c>
      <c r="L498" s="593">
        <f ca="1">$E498*(SUMIF(INDIRECT(L$3),'Struktur Vorjahr'!$D498,INDIRECT(L$4))-SUMIF(INDIRECT(L$3),'Struktur Vorjahr'!$D498,INDIRECT(L$5)))</f>
        <v>0</v>
      </c>
      <c r="M498" s="593">
        <f ca="1">$E498*(SUMIF(INDIRECT(M$3),'Struktur Vorjahr'!$D498,INDIRECT(M$4))-SUMIF(INDIRECT(M$3),'Struktur Vorjahr'!$D498,INDIRECT(M$5)))</f>
        <v>0</v>
      </c>
      <c r="N498" s="593">
        <f ca="1">$E498*(SUMIF(INDIRECT(N$3),'Struktur Vorjahr'!$D498,INDIRECT(N$4))-SUMIF(INDIRECT(N$3),'Struktur Vorjahr'!$D498,INDIRECT(N$5)))</f>
        <v>0</v>
      </c>
      <c r="O498" s="593">
        <f ca="1">$E498*(SUMIF(INDIRECT(O$3),'Struktur Vorjahr'!$D498,INDIRECT(O$4))-SUMIF(INDIRECT(O$3),'Struktur Vorjahr'!$D498,INDIRECT(O$5)))</f>
        <v>0</v>
      </c>
      <c r="P498" s="593">
        <f ca="1">$E498*(SUMIF(INDIRECT(P$3),'Struktur Vorjahr'!$D498,INDIRECT(P$4))-SUMIF(INDIRECT(P$3),'Struktur Vorjahr'!$D498,INDIRECT(P$5)))</f>
        <v>0</v>
      </c>
      <c r="Q498" s="593">
        <f ca="1">$E498*(SUMIF(INDIRECT(Q$3),'Struktur Vorjahr'!$D498,INDIRECT(Q$4))-SUMIF(INDIRECT(Q$3),'Struktur Vorjahr'!$D498,INDIRECT(Q$5)))</f>
        <v>0</v>
      </c>
      <c r="R498" s="593">
        <f ca="1">$E498*(SUMIF(INDIRECT(R$3),'Struktur Vorjahr'!$D498,INDIRECT(R$4))-SUMIF(INDIRECT(R$3),'Struktur Vorjahr'!$D498,INDIRECT(R$5)))</f>
        <v>0</v>
      </c>
      <c r="S498" s="593">
        <f ca="1">$E498*(SUMIF(INDIRECT(S$3),'Struktur Vorjahr'!$D498,INDIRECT(S$4))-SUMIF(INDIRECT(S$3),'Struktur Vorjahr'!$D498,INDIRECT(S$5)))</f>
        <v>3947.2</v>
      </c>
      <c r="T498" s="593">
        <f ca="1">$E498*(SUMIF(INDIRECT(T$3),'Struktur Vorjahr'!$D498,INDIRECT(T$4))-SUMIF(INDIRECT(T$3),'Struktur Vorjahr'!$D498,INDIRECT(T$5)))</f>
        <v>3947.2</v>
      </c>
      <c r="U498" s="593">
        <f ca="1">$E498*(SUMIF(INDIRECT(U$3),'Struktur Vorjahr'!$D498,INDIRECT(U$4))-SUMIF(INDIRECT(U$3),'Struktur Vorjahr'!$D498,INDIRECT(U$5)))</f>
        <v>3947.2</v>
      </c>
      <c r="V498" s="593">
        <f ca="1">$E498*(SUMIF(INDIRECT(V$3),'Struktur Vorjahr'!$D498,INDIRECT(V$4))-SUMIF(INDIRECT(V$3),'Struktur Vorjahr'!$D498,INDIRECT(V$5)))</f>
        <v>3947.2</v>
      </c>
      <c r="W498" s="593">
        <f ca="1">$E498*(SUMIF(INDIRECT(W$3),'Struktur Vorjahr'!$D498,INDIRECT(W$4))-SUMIF(INDIRECT(W$3),'Struktur Vorjahr'!$D498,INDIRECT(W$5)))</f>
        <v>3947.2</v>
      </c>
      <c r="X498" s="593">
        <f ca="1">$E498*(SUMIF(INDIRECT(X$3),'Struktur Vorjahr'!$D498,INDIRECT(X$4))-SUMIF(INDIRECT(X$3),'Struktur Vorjahr'!$D498,INDIRECT(X$5)))</f>
        <v>3947.2</v>
      </c>
      <c r="Y498" s="593">
        <f ca="1">$E498*(SUMIF(INDIRECT(Y$3),'Struktur Vorjahr'!$D498,INDIRECT(Y$4))-SUMIF(INDIRECT(Y$3),'Struktur Vorjahr'!$D498,INDIRECT(Y$5)))</f>
        <v>3947.2</v>
      </c>
      <c r="Z498" s="593">
        <f ca="1">$E498*(SUMIF(INDIRECT(Z$3),'Struktur Vorjahr'!$D498,INDIRECT(Z$4))-SUMIF(INDIRECT(Z$3),'Struktur Vorjahr'!$D498,INDIRECT(Z$5)))</f>
        <v>3947.2</v>
      </c>
      <c r="AA498" s="593">
        <f ca="1">$E498*(SUMIF(INDIRECT(AA$3),'Struktur Vorjahr'!$D498,INDIRECT(AA$4))-SUMIF(INDIRECT(AA$3),'Struktur Vorjahr'!$D498,INDIRECT(AA$5)))</f>
        <v>3947.2</v>
      </c>
      <c r="AB498" s="593">
        <f ca="1">$E498*(SUMIF(INDIRECT(AB$3),'Struktur Vorjahr'!$D498,INDIRECT(AB$4))-SUMIF(INDIRECT(AB$3),'Struktur Vorjahr'!$D498,INDIRECT(AB$5)))</f>
        <v>3947.2</v>
      </c>
      <c r="AC498" s="593">
        <f ca="1">$E498*(SUMIF(INDIRECT(AC$3),'Struktur Vorjahr'!$D498,INDIRECT(AC$4))-SUMIF(INDIRECT(AC$3),'Struktur Vorjahr'!$D498,INDIRECT(AC$5)))</f>
        <v>0</v>
      </c>
      <c r="AD498" s="593">
        <f ca="1">$E498*(SUMIF(INDIRECT(AD$3),'Struktur Vorjahr'!$D498,INDIRECT(AD$4))-SUMIF(INDIRECT(AD$3),'Struktur Vorjahr'!$D498,INDIRECT(AD$5)))</f>
        <v>0</v>
      </c>
      <c r="AE498" s="593">
        <f t="shared" ca="1" si="254"/>
        <v>0</v>
      </c>
      <c r="AF498" s="593">
        <f t="shared" ca="1" si="255"/>
        <v>0</v>
      </c>
      <c r="AG498" s="593">
        <f t="shared" ca="1" si="255"/>
        <v>0</v>
      </c>
      <c r="AH498" s="593">
        <f t="shared" ca="1" si="255"/>
        <v>0</v>
      </c>
      <c r="AI498" s="593">
        <f t="shared" ca="1" si="255"/>
        <v>0</v>
      </c>
      <c r="AJ498" s="593">
        <f t="shared" ca="1" si="255"/>
        <v>0</v>
      </c>
      <c r="AK498" s="593">
        <f t="shared" ca="1" si="255"/>
        <v>0</v>
      </c>
      <c r="AL498" s="593">
        <f t="shared" ca="1" si="255"/>
        <v>0</v>
      </c>
      <c r="AM498" s="593">
        <f t="shared" ca="1" si="255"/>
        <v>0</v>
      </c>
      <c r="AN498" s="593">
        <f t="shared" ca="1" si="255"/>
        <v>0</v>
      </c>
      <c r="AO498" s="593">
        <f t="shared" ca="1" si="255"/>
        <v>0</v>
      </c>
      <c r="AP498" s="593">
        <f t="shared" ca="1" si="255"/>
        <v>0</v>
      </c>
    </row>
    <row r="499" spans="1:42" s="594" customFormat="1" ht="11.25" outlineLevel="1" x14ac:dyDescent="0.2">
      <c r="A499" s="644"/>
      <c r="B499" s="591" t="str">
        <f>IF(D499&lt;&gt;"",
IF(ISERROR(MATCH(D499,'Ist Vorjahr Monat 01'!A:A,0))=FALSE,INDEX('Ist Vorjahr Monat 01'!B:B,MATCH(D499,'Ist Vorjahr Monat 01'!A:A,0)),
IF(ISERROR(MATCH(D499,'Ist Vorjahr Monat 02'!A:A,0))=FALSE,INDEX('Ist Vorjahr Monat 02'!B:B,MATCH(D499,'Ist Vorjahr Monat 02'!A:A,0)),
IF(ISERROR(MATCH(D499,'Ist Vorjahr Monat 03'!A:A,0))=FALSE,INDEX('Ist Vorjahr Monat 03'!B:B,MATCH(D499,'Ist Vorjahr Monat 03'!A:A,0)),
IF(ISERROR(MATCH(D499,'Ist Vorjahr Monat 04'!A:A,0))=FALSE,INDEX('Ist Vorjahr Monat 04'!B:B,MATCH(D499,'Ist Vorjahr Monat 04'!A:A,0)),
IF(ISERROR(MATCH(D499,'Ist Vorjahr Monat 05'!A:A,0))=FALSE,INDEX('Ist Vorjahr Monat 05'!B:B,MATCH(D499,'Ist Vorjahr Monat 05'!A:A,0)),
IF(ISERROR(MATCH(D499,'Ist Vorjahr Monat 06'!A:A,0))=FALSE,INDEX('Ist Vorjahr Monat 06'!B:B,MATCH(D499,'Ist Vorjahr Monat 06'!A:A,0)),
IF(ISERROR(MATCH(D499,'Ist Vorjahr Monat 07'!A:A,0))=FALSE,INDEX('Ist Vorjahr Monat 07'!B:B,MATCH(D499,'Ist Vorjahr Monat 07'!A:A,0)),
IF(ISERROR(MATCH(D499,'Ist Vorjahr Monat 08'!A:A,0))=FALSE,INDEX('Ist Vorjahr Monat 08'!B:B,MATCH(D499,'Ist Vorjahr Monat 08'!A:A,0)),
IF(ISERROR(MATCH(D499,'Ist Vorjahr Monat 09'!A:A,0))=FALSE,INDEX('Ist Vorjahr Monat 09'!B:B,MATCH(D499,'Ist Vorjahr Monat 09'!A:A,0)),
IF(ISERROR(MATCH(D499,'Ist Vorjahr Monat 10'!A:A,0))=FALSE,INDEX('Ist Vorjahr Monat 10'!B:B,MATCH(D499,'Ist Vorjahr Monat 10'!A:A,0)),
IF(ISERROR(MATCH(D499,'Ist Vorjahr Monat 11'!A:A,0))=FALSE,INDEX('Ist Vorjahr Monat 11'!B:B,MATCH(D499,'Ist Vorjahr Monat 11'!A:A,0)),
IF(ISERROR(MATCH(D499,'Ist Vorjahr Monat 12'!A:A,0))=FALSE,INDEX('Ist Vorjahr Monat 12'!B:B,MATCH(D499,'Ist Vorjahr Monat 12'!A:A,0)),
"{Konto unbekannt}"
)))))))))))),"")</f>
        <v/>
      </c>
      <c r="C499" s="1062"/>
      <c r="D499" s="1067"/>
      <c r="E499" s="625">
        <f t="shared" si="237"/>
        <v>-1</v>
      </c>
      <c r="F499" s="626" t="s">
        <v>996</v>
      </c>
      <c r="G499" s="593">
        <f ca="1">$E499*(SUMIF(INDIRECT(G$3),'Struktur Vorjahr'!$D499,INDIRECT(G$4))-SUMIF(INDIRECT(G$3),'Struktur Vorjahr'!$D499,INDIRECT(G$5)))</f>
        <v>0</v>
      </c>
      <c r="H499" s="593">
        <f ca="1">$E499*(SUMIF(INDIRECT(H$3),'Struktur Vorjahr'!$D499,INDIRECT(H$4))-SUMIF(INDIRECT(H$3),'Struktur Vorjahr'!$D499,INDIRECT(H$5)))</f>
        <v>0</v>
      </c>
      <c r="I499" s="593">
        <f ca="1">$E499*(SUMIF(INDIRECT(I$3),'Struktur Vorjahr'!$D499,INDIRECT(I$4))-SUMIF(INDIRECT(I$3),'Struktur Vorjahr'!$D499,INDIRECT(I$5)))</f>
        <v>0</v>
      </c>
      <c r="J499" s="593">
        <f ca="1">$E499*(SUMIF(INDIRECT(J$3),'Struktur Vorjahr'!$D499,INDIRECT(J$4))-SUMIF(INDIRECT(J$3),'Struktur Vorjahr'!$D499,INDIRECT(J$5)))</f>
        <v>0</v>
      </c>
      <c r="K499" s="593">
        <f ca="1">$E499*(SUMIF(INDIRECT(K$3),'Struktur Vorjahr'!$D499,INDIRECT(K$4))-SUMIF(INDIRECT(K$3),'Struktur Vorjahr'!$D499,INDIRECT(K$5)))</f>
        <v>0</v>
      </c>
      <c r="L499" s="593">
        <f ca="1">$E499*(SUMIF(INDIRECT(L$3),'Struktur Vorjahr'!$D499,INDIRECT(L$4))-SUMIF(INDIRECT(L$3),'Struktur Vorjahr'!$D499,INDIRECT(L$5)))</f>
        <v>0</v>
      </c>
      <c r="M499" s="593">
        <f ca="1">$E499*(SUMIF(INDIRECT(M$3),'Struktur Vorjahr'!$D499,INDIRECT(M$4))-SUMIF(INDIRECT(M$3),'Struktur Vorjahr'!$D499,INDIRECT(M$5)))</f>
        <v>0</v>
      </c>
      <c r="N499" s="593">
        <f ca="1">$E499*(SUMIF(INDIRECT(N$3),'Struktur Vorjahr'!$D499,INDIRECT(N$4))-SUMIF(INDIRECT(N$3),'Struktur Vorjahr'!$D499,INDIRECT(N$5)))</f>
        <v>0</v>
      </c>
      <c r="O499" s="593">
        <f ca="1">$E499*(SUMIF(INDIRECT(O$3),'Struktur Vorjahr'!$D499,INDIRECT(O$4))-SUMIF(INDIRECT(O$3),'Struktur Vorjahr'!$D499,INDIRECT(O$5)))</f>
        <v>0</v>
      </c>
      <c r="P499" s="593">
        <f ca="1">$E499*(SUMIF(INDIRECT(P$3),'Struktur Vorjahr'!$D499,INDIRECT(P$4))-SUMIF(INDIRECT(P$3),'Struktur Vorjahr'!$D499,INDIRECT(P$5)))</f>
        <v>0</v>
      </c>
      <c r="Q499" s="593">
        <f ca="1">$E499*(SUMIF(INDIRECT(Q$3),'Struktur Vorjahr'!$D499,INDIRECT(Q$4))-SUMIF(INDIRECT(Q$3),'Struktur Vorjahr'!$D499,INDIRECT(Q$5)))</f>
        <v>0</v>
      </c>
      <c r="R499" s="593">
        <f ca="1">$E499*(SUMIF(INDIRECT(R$3),'Struktur Vorjahr'!$D499,INDIRECT(R$4))-SUMIF(INDIRECT(R$3),'Struktur Vorjahr'!$D499,INDIRECT(R$5)))</f>
        <v>0</v>
      </c>
      <c r="S499" s="593">
        <f ca="1">$E499*(SUMIF(INDIRECT(S$3),'Struktur Vorjahr'!$D499,INDIRECT(S$4))-SUMIF(INDIRECT(S$3),'Struktur Vorjahr'!$D499,INDIRECT(S$5)))</f>
        <v>0</v>
      </c>
      <c r="T499" s="593">
        <f ca="1">$E499*(SUMIF(INDIRECT(T$3),'Struktur Vorjahr'!$D499,INDIRECT(T$4))-SUMIF(INDIRECT(T$3),'Struktur Vorjahr'!$D499,INDIRECT(T$5)))</f>
        <v>0</v>
      </c>
      <c r="U499" s="593">
        <f ca="1">$E499*(SUMIF(INDIRECT(U$3),'Struktur Vorjahr'!$D499,INDIRECT(U$4))-SUMIF(INDIRECT(U$3),'Struktur Vorjahr'!$D499,INDIRECT(U$5)))</f>
        <v>0</v>
      </c>
      <c r="V499" s="593">
        <f ca="1">$E499*(SUMIF(INDIRECT(V$3),'Struktur Vorjahr'!$D499,INDIRECT(V$4))-SUMIF(INDIRECT(V$3),'Struktur Vorjahr'!$D499,INDIRECT(V$5)))</f>
        <v>0</v>
      </c>
      <c r="W499" s="593">
        <f ca="1">$E499*(SUMIF(INDIRECT(W$3),'Struktur Vorjahr'!$D499,INDIRECT(W$4))-SUMIF(INDIRECT(W$3),'Struktur Vorjahr'!$D499,INDIRECT(W$5)))</f>
        <v>0</v>
      </c>
      <c r="X499" s="593">
        <f ca="1">$E499*(SUMIF(INDIRECT(X$3),'Struktur Vorjahr'!$D499,INDIRECT(X$4))-SUMIF(INDIRECT(X$3),'Struktur Vorjahr'!$D499,INDIRECT(X$5)))</f>
        <v>0</v>
      </c>
      <c r="Y499" s="593">
        <f ca="1">$E499*(SUMIF(INDIRECT(Y$3),'Struktur Vorjahr'!$D499,INDIRECT(Y$4))-SUMIF(INDIRECT(Y$3),'Struktur Vorjahr'!$D499,INDIRECT(Y$5)))</f>
        <v>0</v>
      </c>
      <c r="Z499" s="593">
        <f ca="1">$E499*(SUMIF(INDIRECT(Z$3),'Struktur Vorjahr'!$D499,INDIRECT(Z$4))-SUMIF(INDIRECT(Z$3),'Struktur Vorjahr'!$D499,INDIRECT(Z$5)))</f>
        <v>0</v>
      </c>
      <c r="AA499" s="593">
        <f ca="1">$E499*(SUMIF(INDIRECT(AA$3),'Struktur Vorjahr'!$D499,INDIRECT(AA$4))-SUMIF(INDIRECT(AA$3),'Struktur Vorjahr'!$D499,INDIRECT(AA$5)))</f>
        <v>0</v>
      </c>
      <c r="AB499" s="593">
        <f ca="1">$E499*(SUMIF(INDIRECT(AB$3),'Struktur Vorjahr'!$D499,INDIRECT(AB$4))-SUMIF(INDIRECT(AB$3),'Struktur Vorjahr'!$D499,INDIRECT(AB$5)))</f>
        <v>0</v>
      </c>
      <c r="AC499" s="593">
        <f ca="1">$E499*(SUMIF(INDIRECT(AC$3),'Struktur Vorjahr'!$D499,INDIRECT(AC$4))-SUMIF(INDIRECT(AC$3),'Struktur Vorjahr'!$D499,INDIRECT(AC$5)))</f>
        <v>0</v>
      </c>
      <c r="AD499" s="593">
        <f ca="1">$E499*(SUMIF(INDIRECT(AD$3),'Struktur Vorjahr'!$D499,INDIRECT(AD$4))-SUMIF(INDIRECT(AD$3),'Struktur Vorjahr'!$D499,INDIRECT(AD$5)))</f>
        <v>0</v>
      </c>
      <c r="AE499" s="593">
        <f t="shared" ca="1" si="254"/>
        <v>0</v>
      </c>
      <c r="AF499" s="593">
        <f t="shared" ca="1" si="255"/>
        <v>0</v>
      </c>
      <c r="AG499" s="593">
        <f t="shared" ca="1" si="255"/>
        <v>0</v>
      </c>
      <c r="AH499" s="593">
        <f t="shared" ca="1" si="255"/>
        <v>0</v>
      </c>
      <c r="AI499" s="593">
        <f t="shared" ca="1" si="255"/>
        <v>0</v>
      </c>
      <c r="AJ499" s="593">
        <f t="shared" ca="1" si="255"/>
        <v>0</v>
      </c>
      <c r="AK499" s="593">
        <f t="shared" ca="1" si="255"/>
        <v>0</v>
      </c>
      <c r="AL499" s="593">
        <f t="shared" ca="1" si="255"/>
        <v>0</v>
      </c>
      <c r="AM499" s="593">
        <f t="shared" ca="1" si="255"/>
        <v>0</v>
      </c>
      <c r="AN499" s="593">
        <f t="shared" ca="1" si="255"/>
        <v>0</v>
      </c>
      <c r="AO499" s="593">
        <f t="shared" ca="1" si="255"/>
        <v>0</v>
      </c>
      <c r="AP499" s="593">
        <f t="shared" ca="1" si="255"/>
        <v>0</v>
      </c>
    </row>
    <row r="500" spans="1:42" s="594" customFormat="1" ht="11.25" outlineLevel="1" x14ac:dyDescent="0.2">
      <c r="A500" s="644"/>
      <c r="B500" s="591" t="str">
        <f>IF(D500&lt;&gt;"",
IF(ISERROR(MATCH(D500,'Ist Vorjahr Monat 01'!A:A,0))=FALSE,INDEX('Ist Vorjahr Monat 01'!B:B,MATCH(D500,'Ist Vorjahr Monat 01'!A:A,0)),
IF(ISERROR(MATCH(D500,'Ist Vorjahr Monat 02'!A:A,0))=FALSE,INDEX('Ist Vorjahr Monat 02'!B:B,MATCH(D500,'Ist Vorjahr Monat 02'!A:A,0)),
IF(ISERROR(MATCH(D500,'Ist Vorjahr Monat 03'!A:A,0))=FALSE,INDEX('Ist Vorjahr Monat 03'!B:B,MATCH(D500,'Ist Vorjahr Monat 03'!A:A,0)),
IF(ISERROR(MATCH(D500,'Ist Vorjahr Monat 04'!A:A,0))=FALSE,INDEX('Ist Vorjahr Monat 04'!B:B,MATCH(D500,'Ist Vorjahr Monat 04'!A:A,0)),
IF(ISERROR(MATCH(D500,'Ist Vorjahr Monat 05'!A:A,0))=FALSE,INDEX('Ist Vorjahr Monat 05'!B:B,MATCH(D500,'Ist Vorjahr Monat 05'!A:A,0)),
IF(ISERROR(MATCH(D500,'Ist Vorjahr Monat 06'!A:A,0))=FALSE,INDEX('Ist Vorjahr Monat 06'!B:B,MATCH(D500,'Ist Vorjahr Monat 06'!A:A,0)),
IF(ISERROR(MATCH(D500,'Ist Vorjahr Monat 07'!A:A,0))=FALSE,INDEX('Ist Vorjahr Monat 07'!B:B,MATCH(D500,'Ist Vorjahr Monat 07'!A:A,0)),
IF(ISERROR(MATCH(D500,'Ist Vorjahr Monat 08'!A:A,0))=FALSE,INDEX('Ist Vorjahr Monat 08'!B:B,MATCH(D500,'Ist Vorjahr Monat 08'!A:A,0)),
IF(ISERROR(MATCH(D500,'Ist Vorjahr Monat 09'!A:A,0))=FALSE,INDEX('Ist Vorjahr Monat 09'!B:B,MATCH(D500,'Ist Vorjahr Monat 09'!A:A,0)),
IF(ISERROR(MATCH(D500,'Ist Vorjahr Monat 10'!A:A,0))=FALSE,INDEX('Ist Vorjahr Monat 10'!B:B,MATCH(D500,'Ist Vorjahr Monat 10'!A:A,0)),
IF(ISERROR(MATCH(D500,'Ist Vorjahr Monat 11'!A:A,0))=FALSE,INDEX('Ist Vorjahr Monat 11'!B:B,MATCH(D500,'Ist Vorjahr Monat 11'!A:A,0)),
IF(ISERROR(MATCH(D500,'Ist Vorjahr Monat 12'!A:A,0))=FALSE,INDEX('Ist Vorjahr Monat 12'!B:B,MATCH(D500,'Ist Vorjahr Monat 12'!A:A,0)),
"{Konto unbekannt}"
)))))))))))),"")</f>
        <v/>
      </c>
      <c r="C500" s="1062"/>
      <c r="D500" s="1067"/>
      <c r="E500" s="625">
        <f t="shared" si="237"/>
        <v>-1</v>
      </c>
      <c r="F500" s="626" t="s">
        <v>996</v>
      </c>
      <c r="G500" s="593">
        <f ca="1">$E500*(SUMIF(INDIRECT(G$3),'Struktur Vorjahr'!$D500,INDIRECT(G$4))-SUMIF(INDIRECT(G$3),'Struktur Vorjahr'!$D500,INDIRECT(G$5)))</f>
        <v>0</v>
      </c>
      <c r="H500" s="593">
        <f ca="1">$E500*(SUMIF(INDIRECT(H$3),'Struktur Vorjahr'!$D500,INDIRECT(H$4))-SUMIF(INDIRECT(H$3),'Struktur Vorjahr'!$D500,INDIRECT(H$5)))</f>
        <v>0</v>
      </c>
      <c r="I500" s="593">
        <f ca="1">$E500*(SUMIF(INDIRECT(I$3),'Struktur Vorjahr'!$D500,INDIRECT(I$4))-SUMIF(INDIRECT(I$3),'Struktur Vorjahr'!$D500,INDIRECT(I$5)))</f>
        <v>0</v>
      </c>
      <c r="J500" s="593">
        <f ca="1">$E500*(SUMIF(INDIRECT(J$3),'Struktur Vorjahr'!$D500,INDIRECT(J$4))-SUMIF(INDIRECT(J$3),'Struktur Vorjahr'!$D500,INDIRECT(J$5)))</f>
        <v>0</v>
      </c>
      <c r="K500" s="593">
        <f ca="1">$E500*(SUMIF(INDIRECT(K$3),'Struktur Vorjahr'!$D500,INDIRECT(K$4))-SUMIF(INDIRECT(K$3),'Struktur Vorjahr'!$D500,INDIRECT(K$5)))</f>
        <v>0</v>
      </c>
      <c r="L500" s="593">
        <f ca="1">$E500*(SUMIF(INDIRECT(L$3),'Struktur Vorjahr'!$D500,INDIRECT(L$4))-SUMIF(INDIRECT(L$3),'Struktur Vorjahr'!$D500,INDIRECT(L$5)))</f>
        <v>0</v>
      </c>
      <c r="M500" s="593">
        <f ca="1">$E500*(SUMIF(INDIRECT(M$3),'Struktur Vorjahr'!$D500,INDIRECT(M$4))-SUMIF(INDIRECT(M$3),'Struktur Vorjahr'!$D500,INDIRECT(M$5)))</f>
        <v>0</v>
      </c>
      <c r="N500" s="593">
        <f ca="1">$E500*(SUMIF(INDIRECT(N$3),'Struktur Vorjahr'!$D500,INDIRECT(N$4))-SUMIF(INDIRECT(N$3),'Struktur Vorjahr'!$D500,INDIRECT(N$5)))</f>
        <v>0</v>
      </c>
      <c r="O500" s="593">
        <f ca="1">$E500*(SUMIF(INDIRECT(O$3),'Struktur Vorjahr'!$D500,INDIRECT(O$4))-SUMIF(INDIRECT(O$3),'Struktur Vorjahr'!$D500,INDIRECT(O$5)))</f>
        <v>0</v>
      </c>
      <c r="P500" s="593">
        <f ca="1">$E500*(SUMIF(INDIRECT(P$3),'Struktur Vorjahr'!$D500,INDIRECT(P$4))-SUMIF(INDIRECT(P$3),'Struktur Vorjahr'!$D500,INDIRECT(P$5)))</f>
        <v>0</v>
      </c>
      <c r="Q500" s="593">
        <f ca="1">$E500*(SUMIF(INDIRECT(Q$3),'Struktur Vorjahr'!$D500,INDIRECT(Q$4))-SUMIF(INDIRECT(Q$3),'Struktur Vorjahr'!$D500,INDIRECT(Q$5)))</f>
        <v>0</v>
      </c>
      <c r="R500" s="593">
        <f ca="1">$E500*(SUMIF(INDIRECT(R$3),'Struktur Vorjahr'!$D500,INDIRECT(R$4))-SUMIF(INDIRECT(R$3),'Struktur Vorjahr'!$D500,INDIRECT(R$5)))</f>
        <v>0</v>
      </c>
      <c r="S500" s="593">
        <f ca="1">$E500*(SUMIF(INDIRECT(S$3),'Struktur Vorjahr'!$D500,INDIRECT(S$4))-SUMIF(INDIRECT(S$3),'Struktur Vorjahr'!$D500,INDIRECT(S$5)))</f>
        <v>0</v>
      </c>
      <c r="T500" s="593">
        <f ca="1">$E500*(SUMIF(INDIRECT(T$3),'Struktur Vorjahr'!$D500,INDIRECT(T$4))-SUMIF(INDIRECT(T$3),'Struktur Vorjahr'!$D500,INDIRECT(T$5)))</f>
        <v>0</v>
      </c>
      <c r="U500" s="593">
        <f ca="1">$E500*(SUMIF(INDIRECT(U$3),'Struktur Vorjahr'!$D500,INDIRECT(U$4))-SUMIF(INDIRECT(U$3),'Struktur Vorjahr'!$D500,INDIRECT(U$5)))</f>
        <v>0</v>
      </c>
      <c r="V500" s="593">
        <f ca="1">$E500*(SUMIF(INDIRECT(V$3),'Struktur Vorjahr'!$D500,INDIRECT(V$4))-SUMIF(INDIRECT(V$3),'Struktur Vorjahr'!$D500,INDIRECT(V$5)))</f>
        <v>0</v>
      </c>
      <c r="W500" s="593">
        <f ca="1">$E500*(SUMIF(INDIRECT(W$3),'Struktur Vorjahr'!$D500,INDIRECT(W$4))-SUMIF(INDIRECT(W$3),'Struktur Vorjahr'!$D500,INDIRECT(W$5)))</f>
        <v>0</v>
      </c>
      <c r="X500" s="593">
        <f ca="1">$E500*(SUMIF(INDIRECT(X$3),'Struktur Vorjahr'!$D500,INDIRECT(X$4))-SUMIF(INDIRECT(X$3),'Struktur Vorjahr'!$D500,INDIRECT(X$5)))</f>
        <v>0</v>
      </c>
      <c r="Y500" s="593">
        <f ca="1">$E500*(SUMIF(INDIRECT(Y$3),'Struktur Vorjahr'!$D500,INDIRECT(Y$4))-SUMIF(INDIRECT(Y$3),'Struktur Vorjahr'!$D500,INDIRECT(Y$5)))</f>
        <v>0</v>
      </c>
      <c r="Z500" s="593">
        <f ca="1">$E500*(SUMIF(INDIRECT(Z$3),'Struktur Vorjahr'!$D500,INDIRECT(Z$4))-SUMIF(INDIRECT(Z$3),'Struktur Vorjahr'!$D500,INDIRECT(Z$5)))</f>
        <v>0</v>
      </c>
      <c r="AA500" s="593">
        <f ca="1">$E500*(SUMIF(INDIRECT(AA$3),'Struktur Vorjahr'!$D500,INDIRECT(AA$4))-SUMIF(INDIRECT(AA$3),'Struktur Vorjahr'!$D500,INDIRECT(AA$5)))</f>
        <v>0</v>
      </c>
      <c r="AB500" s="593">
        <f ca="1">$E500*(SUMIF(INDIRECT(AB$3),'Struktur Vorjahr'!$D500,INDIRECT(AB$4))-SUMIF(INDIRECT(AB$3),'Struktur Vorjahr'!$D500,INDIRECT(AB$5)))</f>
        <v>0</v>
      </c>
      <c r="AC500" s="593">
        <f ca="1">$E500*(SUMIF(INDIRECT(AC$3),'Struktur Vorjahr'!$D500,INDIRECT(AC$4))-SUMIF(INDIRECT(AC$3),'Struktur Vorjahr'!$D500,INDIRECT(AC$5)))</f>
        <v>0</v>
      </c>
      <c r="AD500" s="593">
        <f ca="1">$E500*(SUMIF(INDIRECT(AD$3),'Struktur Vorjahr'!$D500,INDIRECT(AD$4))-SUMIF(INDIRECT(AD$3),'Struktur Vorjahr'!$D500,INDIRECT(AD$5)))</f>
        <v>0</v>
      </c>
      <c r="AE500" s="593">
        <f t="shared" ca="1" si="254"/>
        <v>0</v>
      </c>
      <c r="AF500" s="593">
        <f t="shared" ca="1" si="255"/>
        <v>0</v>
      </c>
      <c r="AG500" s="593">
        <f t="shared" ca="1" si="255"/>
        <v>0</v>
      </c>
      <c r="AH500" s="593">
        <f t="shared" ca="1" si="255"/>
        <v>0</v>
      </c>
      <c r="AI500" s="593">
        <f t="shared" ca="1" si="255"/>
        <v>0</v>
      </c>
      <c r="AJ500" s="593">
        <f t="shared" ca="1" si="255"/>
        <v>0</v>
      </c>
      <c r="AK500" s="593">
        <f t="shared" ca="1" si="255"/>
        <v>0</v>
      </c>
      <c r="AL500" s="593">
        <f t="shared" ca="1" si="255"/>
        <v>0</v>
      </c>
      <c r="AM500" s="593">
        <f t="shared" ca="1" si="255"/>
        <v>0</v>
      </c>
      <c r="AN500" s="593">
        <f t="shared" ca="1" si="255"/>
        <v>0</v>
      </c>
      <c r="AO500" s="593">
        <f t="shared" ca="1" si="255"/>
        <v>0</v>
      </c>
      <c r="AP500" s="593">
        <f t="shared" ca="1" si="255"/>
        <v>0</v>
      </c>
    </row>
    <row r="501" spans="1:42" s="594" customFormat="1" ht="11.25" outlineLevel="1" x14ac:dyDescent="0.2">
      <c r="A501" s="644"/>
      <c r="B501" s="591" t="str">
        <f>IF(D501&lt;&gt;"",
IF(ISERROR(MATCH(D501,'Ist Vorjahr Monat 01'!A:A,0))=FALSE,INDEX('Ist Vorjahr Monat 01'!B:B,MATCH(D501,'Ist Vorjahr Monat 01'!A:A,0)),
IF(ISERROR(MATCH(D501,'Ist Vorjahr Monat 02'!A:A,0))=FALSE,INDEX('Ist Vorjahr Monat 02'!B:B,MATCH(D501,'Ist Vorjahr Monat 02'!A:A,0)),
IF(ISERROR(MATCH(D501,'Ist Vorjahr Monat 03'!A:A,0))=FALSE,INDEX('Ist Vorjahr Monat 03'!B:B,MATCH(D501,'Ist Vorjahr Monat 03'!A:A,0)),
IF(ISERROR(MATCH(D501,'Ist Vorjahr Monat 04'!A:A,0))=FALSE,INDEX('Ist Vorjahr Monat 04'!B:B,MATCH(D501,'Ist Vorjahr Monat 04'!A:A,0)),
IF(ISERROR(MATCH(D501,'Ist Vorjahr Monat 05'!A:A,0))=FALSE,INDEX('Ist Vorjahr Monat 05'!B:B,MATCH(D501,'Ist Vorjahr Monat 05'!A:A,0)),
IF(ISERROR(MATCH(D501,'Ist Vorjahr Monat 06'!A:A,0))=FALSE,INDEX('Ist Vorjahr Monat 06'!B:B,MATCH(D501,'Ist Vorjahr Monat 06'!A:A,0)),
IF(ISERROR(MATCH(D501,'Ist Vorjahr Monat 07'!A:A,0))=FALSE,INDEX('Ist Vorjahr Monat 07'!B:B,MATCH(D501,'Ist Vorjahr Monat 07'!A:A,0)),
IF(ISERROR(MATCH(D501,'Ist Vorjahr Monat 08'!A:A,0))=FALSE,INDEX('Ist Vorjahr Monat 08'!B:B,MATCH(D501,'Ist Vorjahr Monat 08'!A:A,0)),
IF(ISERROR(MATCH(D501,'Ist Vorjahr Monat 09'!A:A,0))=FALSE,INDEX('Ist Vorjahr Monat 09'!B:B,MATCH(D501,'Ist Vorjahr Monat 09'!A:A,0)),
IF(ISERROR(MATCH(D501,'Ist Vorjahr Monat 10'!A:A,0))=FALSE,INDEX('Ist Vorjahr Monat 10'!B:B,MATCH(D501,'Ist Vorjahr Monat 10'!A:A,0)),
IF(ISERROR(MATCH(D501,'Ist Vorjahr Monat 11'!A:A,0))=FALSE,INDEX('Ist Vorjahr Monat 11'!B:B,MATCH(D501,'Ist Vorjahr Monat 11'!A:A,0)),
IF(ISERROR(MATCH(D501,'Ist Vorjahr Monat 12'!A:A,0))=FALSE,INDEX('Ist Vorjahr Monat 12'!B:B,MATCH(D501,'Ist Vorjahr Monat 12'!A:A,0)),
"{Konto unbekannt}"
)))))))))))),"")</f>
        <v/>
      </c>
      <c r="C501" s="1062"/>
      <c r="D501" s="1067"/>
      <c r="E501" s="625">
        <f t="shared" si="237"/>
        <v>-1</v>
      </c>
      <c r="F501" s="626" t="s">
        <v>996</v>
      </c>
      <c r="G501" s="593">
        <f ca="1">$E501*(SUMIF(INDIRECT(G$3),'Struktur Vorjahr'!$D501,INDIRECT(G$4))-SUMIF(INDIRECT(G$3),'Struktur Vorjahr'!$D501,INDIRECT(G$5)))</f>
        <v>0</v>
      </c>
      <c r="H501" s="593">
        <f ca="1">$E501*(SUMIF(INDIRECT(H$3),'Struktur Vorjahr'!$D501,INDIRECT(H$4))-SUMIF(INDIRECT(H$3),'Struktur Vorjahr'!$D501,INDIRECT(H$5)))</f>
        <v>0</v>
      </c>
      <c r="I501" s="593">
        <f ca="1">$E501*(SUMIF(INDIRECT(I$3),'Struktur Vorjahr'!$D501,INDIRECT(I$4))-SUMIF(INDIRECT(I$3),'Struktur Vorjahr'!$D501,INDIRECT(I$5)))</f>
        <v>0</v>
      </c>
      <c r="J501" s="593">
        <f ca="1">$E501*(SUMIF(INDIRECT(J$3),'Struktur Vorjahr'!$D501,INDIRECT(J$4))-SUMIF(INDIRECT(J$3),'Struktur Vorjahr'!$D501,INDIRECT(J$5)))</f>
        <v>0</v>
      </c>
      <c r="K501" s="593">
        <f ca="1">$E501*(SUMIF(INDIRECT(K$3),'Struktur Vorjahr'!$D501,INDIRECT(K$4))-SUMIF(INDIRECT(K$3),'Struktur Vorjahr'!$D501,INDIRECT(K$5)))</f>
        <v>0</v>
      </c>
      <c r="L501" s="593">
        <f ca="1">$E501*(SUMIF(INDIRECT(L$3),'Struktur Vorjahr'!$D501,INDIRECT(L$4))-SUMIF(INDIRECT(L$3),'Struktur Vorjahr'!$D501,INDIRECT(L$5)))</f>
        <v>0</v>
      </c>
      <c r="M501" s="593">
        <f ca="1">$E501*(SUMIF(INDIRECT(M$3),'Struktur Vorjahr'!$D501,INDIRECT(M$4))-SUMIF(INDIRECT(M$3),'Struktur Vorjahr'!$D501,INDIRECT(M$5)))</f>
        <v>0</v>
      </c>
      <c r="N501" s="593">
        <f ca="1">$E501*(SUMIF(INDIRECT(N$3),'Struktur Vorjahr'!$D501,INDIRECT(N$4))-SUMIF(INDIRECT(N$3),'Struktur Vorjahr'!$D501,INDIRECT(N$5)))</f>
        <v>0</v>
      </c>
      <c r="O501" s="593">
        <f ca="1">$E501*(SUMIF(INDIRECT(O$3),'Struktur Vorjahr'!$D501,INDIRECT(O$4))-SUMIF(INDIRECT(O$3),'Struktur Vorjahr'!$D501,INDIRECT(O$5)))</f>
        <v>0</v>
      </c>
      <c r="P501" s="593">
        <f ca="1">$E501*(SUMIF(INDIRECT(P$3),'Struktur Vorjahr'!$D501,INDIRECT(P$4))-SUMIF(INDIRECT(P$3),'Struktur Vorjahr'!$D501,INDIRECT(P$5)))</f>
        <v>0</v>
      </c>
      <c r="Q501" s="593">
        <f ca="1">$E501*(SUMIF(INDIRECT(Q$3),'Struktur Vorjahr'!$D501,INDIRECT(Q$4))-SUMIF(INDIRECT(Q$3),'Struktur Vorjahr'!$D501,INDIRECT(Q$5)))</f>
        <v>0</v>
      </c>
      <c r="R501" s="593">
        <f ca="1">$E501*(SUMIF(INDIRECT(R$3),'Struktur Vorjahr'!$D501,INDIRECT(R$4))-SUMIF(INDIRECT(R$3),'Struktur Vorjahr'!$D501,INDIRECT(R$5)))</f>
        <v>0</v>
      </c>
      <c r="S501" s="593">
        <f ca="1">$E501*(SUMIF(INDIRECT(S$3),'Struktur Vorjahr'!$D501,INDIRECT(S$4))-SUMIF(INDIRECT(S$3),'Struktur Vorjahr'!$D501,INDIRECT(S$5)))</f>
        <v>0</v>
      </c>
      <c r="T501" s="593">
        <f ca="1">$E501*(SUMIF(INDIRECT(T$3),'Struktur Vorjahr'!$D501,INDIRECT(T$4))-SUMIF(INDIRECT(T$3),'Struktur Vorjahr'!$D501,INDIRECT(T$5)))</f>
        <v>0</v>
      </c>
      <c r="U501" s="593">
        <f ca="1">$E501*(SUMIF(INDIRECT(U$3),'Struktur Vorjahr'!$D501,INDIRECT(U$4))-SUMIF(INDIRECT(U$3),'Struktur Vorjahr'!$D501,INDIRECT(U$5)))</f>
        <v>0</v>
      </c>
      <c r="V501" s="593">
        <f ca="1">$E501*(SUMIF(INDIRECT(V$3),'Struktur Vorjahr'!$D501,INDIRECT(V$4))-SUMIF(INDIRECT(V$3),'Struktur Vorjahr'!$D501,INDIRECT(V$5)))</f>
        <v>0</v>
      </c>
      <c r="W501" s="593">
        <f ca="1">$E501*(SUMIF(INDIRECT(W$3),'Struktur Vorjahr'!$D501,INDIRECT(W$4))-SUMIF(INDIRECT(W$3),'Struktur Vorjahr'!$D501,INDIRECT(W$5)))</f>
        <v>0</v>
      </c>
      <c r="X501" s="593">
        <f ca="1">$E501*(SUMIF(INDIRECT(X$3),'Struktur Vorjahr'!$D501,INDIRECT(X$4))-SUMIF(INDIRECT(X$3),'Struktur Vorjahr'!$D501,INDIRECT(X$5)))</f>
        <v>0</v>
      </c>
      <c r="Y501" s="593">
        <f ca="1">$E501*(SUMIF(INDIRECT(Y$3),'Struktur Vorjahr'!$D501,INDIRECT(Y$4))-SUMIF(INDIRECT(Y$3),'Struktur Vorjahr'!$D501,INDIRECT(Y$5)))</f>
        <v>0</v>
      </c>
      <c r="Z501" s="593">
        <f ca="1">$E501*(SUMIF(INDIRECT(Z$3),'Struktur Vorjahr'!$D501,INDIRECT(Z$4))-SUMIF(INDIRECT(Z$3),'Struktur Vorjahr'!$D501,INDIRECT(Z$5)))</f>
        <v>0</v>
      </c>
      <c r="AA501" s="593">
        <f ca="1">$E501*(SUMIF(INDIRECT(AA$3),'Struktur Vorjahr'!$D501,INDIRECT(AA$4))-SUMIF(INDIRECT(AA$3),'Struktur Vorjahr'!$D501,INDIRECT(AA$5)))</f>
        <v>0</v>
      </c>
      <c r="AB501" s="593">
        <f ca="1">$E501*(SUMIF(INDIRECT(AB$3),'Struktur Vorjahr'!$D501,INDIRECT(AB$4))-SUMIF(INDIRECT(AB$3),'Struktur Vorjahr'!$D501,INDIRECT(AB$5)))</f>
        <v>0</v>
      </c>
      <c r="AC501" s="593">
        <f ca="1">$E501*(SUMIF(INDIRECT(AC$3),'Struktur Vorjahr'!$D501,INDIRECT(AC$4))-SUMIF(INDIRECT(AC$3),'Struktur Vorjahr'!$D501,INDIRECT(AC$5)))</f>
        <v>0</v>
      </c>
      <c r="AD501" s="593">
        <f ca="1">$E501*(SUMIF(INDIRECT(AD$3),'Struktur Vorjahr'!$D501,INDIRECT(AD$4))-SUMIF(INDIRECT(AD$3),'Struktur Vorjahr'!$D501,INDIRECT(AD$5)))</f>
        <v>0</v>
      </c>
      <c r="AE501" s="593">
        <f t="shared" ca="1" si="254"/>
        <v>0</v>
      </c>
      <c r="AF501" s="593">
        <f t="shared" ca="1" si="255"/>
        <v>0</v>
      </c>
      <c r="AG501" s="593">
        <f t="shared" ca="1" si="255"/>
        <v>0</v>
      </c>
      <c r="AH501" s="593">
        <f t="shared" ca="1" si="255"/>
        <v>0</v>
      </c>
      <c r="AI501" s="593">
        <f t="shared" ca="1" si="255"/>
        <v>0</v>
      </c>
      <c r="AJ501" s="593">
        <f t="shared" ca="1" si="255"/>
        <v>0</v>
      </c>
      <c r="AK501" s="593">
        <f t="shared" ca="1" si="255"/>
        <v>0</v>
      </c>
      <c r="AL501" s="593">
        <f t="shared" ca="1" si="255"/>
        <v>0</v>
      </c>
      <c r="AM501" s="593">
        <f t="shared" ca="1" si="255"/>
        <v>0</v>
      </c>
      <c r="AN501" s="593">
        <f t="shared" ca="1" si="255"/>
        <v>0</v>
      </c>
      <c r="AO501" s="593">
        <f t="shared" ca="1" si="255"/>
        <v>0</v>
      </c>
      <c r="AP501" s="593">
        <f t="shared" ca="1" si="255"/>
        <v>0</v>
      </c>
    </row>
    <row r="502" spans="1:42" s="594" customFormat="1" ht="11.25" outlineLevel="1" x14ac:dyDescent="0.2">
      <c r="A502" s="644"/>
      <c r="B502" s="591" t="str">
        <f>IF(D502&lt;&gt;"",
IF(ISERROR(MATCH(D502,'Ist Vorjahr Monat 01'!A:A,0))=FALSE,INDEX('Ist Vorjahr Monat 01'!B:B,MATCH(D502,'Ist Vorjahr Monat 01'!A:A,0)),
IF(ISERROR(MATCH(D502,'Ist Vorjahr Monat 02'!A:A,0))=FALSE,INDEX('Ist Vorjahr Monat 02'!B:B,MATCH(D502,'Ist Vorjahr Monat 02'!A:A,0)),
IF(ISERROR(MATCH(D502,'Ist Vorjahr Monat 03'!A:A,0))=FALSE,INDEX('Ist Vorjahr Monat 03'!B:B,MATCH(D502,'Ist Vorjahr Monat 03'!A:A,0)),
IF(ISERROR(MATCH(D502,'Ist Vorjahr Monat 04'!A:A,0))=FALSE,INDEX('Ist Vorjahr Monat 04'!B:B,MATCH(D502,'Ist Vorjahr Monat 04'!A:A,0)),
IF(ISERROR(MATCH(D502,'Ist Vorjahr Monat 05'!A:A,0))=FALSE,INDEX('Ist Vorjahr Monat 05'!B:B,MATCH(D502,'Ist Vorjahr Monat 05'!A:A,0)),
IF(ISERROR(MATCH(D502,'Ist Vorjahr Monat 06'!A:A,0))=FALSE,INDEX('Ist Vorjahr Monat 06'!B:B,MATCH(D502,'Ist Vorjahr Monat 06'!A:A,0)),
IF(ISERROR(MATCH(D502,'Ist Vorjahr Monat 07'!A:A,0))=FALSE,INDEX('Ist Vorjahr Monat 07'!B:B,MATCH(D502,'Ist Vorjahr Monat 07'!A:A,0)),
IF(ISERROR(MATCH(D502,'Ist Vorjahr Monat 08'!A:A,0))=FALSE,INDEX('Ist Vorjahr Monat 08'!B:B,MATCH(D502,'Ist Vorjahr Monat 08'!A:A,0)),
IF(ISERROR(MATCH(D502,'Ist Vorjahr Monat 09'!A:A,0))=FALSE,INDEX('Ist Vorjahr Monat 09'!B:B,MATCH(D502,'Ist Vorjahr Monat 09'!A:A,0)),
IF(ISERROR(MATCH(D502,'Ist Vorjahr Monat 10'!A:A,0))=FALSE,INDEX('Ist Vorjahr Monat 10'!B:B,MATCH(D502,'Ist Vorjahr Monat 10'!A:A,0)),
IF(ISERROR(MATCH(D502,'Ist Vorjahr Monat 11'!A:A,0))=FALSE,INDEX('Ist Vorjahr Monat 11'!B:B,MATCH(D502,'Ist Vorjahr Monat 11'!A:A,0)),
IF(ISERROR(MATCH(D502,'Ist Vorjahr Monat 12'!A:A,0))=FALSE,INDEX('Ist Vorjahr Monat 12'!B:B,MATCH(D502,'Ist Vorjahr Monat 12'!A:A,0)),
"{Konto unbekannt}"
)))))))))))),"")</f>
        <v/>
      </c>
      <c r="C502" s="1062"/>
      <c r="D502" s="1067"/>
      <c r="E502" s="625">
        <f t="shared" si="237"/>
        <v>-1</v>
      </c>
      <c r="F502" s="626" t="s">
        <v>996</v>
      </c>
      <c r="G502" s="593">
        <f ca="1">$E502*(SUMIF(INDIRECT(G$3),'Struktur Vorjahr'!$D502,INDIRECT(G$4))-SUMIF(INDIRECT(G$3),'Struktur Vorjahr'!$D502,INDIRECT(G$5)))</f>
        <v>0</v>
      </c>
      <c r="H502" s="593">
        <f ca="1">$E502*(SUMIF(INDIRECT(H$3),'Struktur Vorjahr'!$D502,INDIRECT(H$4))-SUMIF(INDIRECT(H$3),'Struktur Vorjahr'!$D502,INDIRECT(H$5)))</f>
        <v>0</v>
      </c>
      <c r="I502" s="593">
        <f ca="1">$E502*(SUMIF(INDIRECT(I$3),'Struktur Vorjahr'!$D502,INDIRECT(I$4))-SUMIF(INDIRECT(I$3),'Struktur Vorjahr'!$D502,INDIRECT(I$5)))</f>
        <v>0</v>
      </c>
      <c r="J502" s="593">
        <f ca="1">$E502*(SUMIF(INDIRECT(J$3),'Struktur Vorjahr'!$D502,INDIRECT(J$4))-SUMIF(INDIRECT(J$3),'Struktur Vorjahr'!$D502,INDIRECT(J$5)))</f>
        <v>0</v>
      </c>
      <c r="K502" s="593">
        <f ca="1">$E502*(SUMIF(INDIRECT(K$3),'Struktur Vorjahr'!$D502,INDIRECT(K$4))-SUMIF(INDIRECT(K$3),'Struktur Vorjahr'!$D502,INDIRECT(K$5)))</f>
        <v>0</v>
      </c>
      <c r="L502" s="593">
        <f ca="1">$E502*(SUMIF(INDIRECT(L$3),'Struktur Vorjahr'!$D502,INDIRECT(L$4))-SUMIF(INDIRECT(L$3),'Struktur Vorjahr'!$D502,INDIRECT(L$5)))</f>
        <v>0</v>
      </c>
      <c r="M502" s="593">
        <f ca="1">$E502*(SUMIF(INDIRECT(M$3),'Struktur Vorjahr'!$D502,INDIRECT(M$4))-SUMIF(INDIRECT(M$3),'Struktur Vorjahr'!$D502,INDIRECT(M$5)))</f>
        <v>0</v>
      </c>
      <c r="N502" s="593">
        <f ca="1">$E502*(SUMIF(INDIRECT(N$3),'Struktur Vorjahr'!$D502,INDIRECT(N$4))-SUMIF(INDIRECT(N$3),'Struktur Vorjahr'!$D502,INDIRECT(N$5)))</f>
        <v>0</v>
      </c>
      <c r="O502" s="593">
        <f ca="1">$E502*(SUMIF(INDIRECT(O$3),'Struktur Vorjahr'!$D502,INDIRECT(O$4))-SUMIF(INDIRECT(O$3),'Struktur Vorjahr'!$D502,INDIRECT(O$5)))</f>
        <v>0</v>
      </c>
      <c r="P502" s="593">
        <f ca="1">$E502*(SUMIF(INDIRECT(P$3),'Struktur Vorjahr'!$D502,INDIRECT(P$4))-SUMIF(INDIRECT(P$3),'Struktur Vorjahr'!$D502,INDIRECT(P$5)))</f>
        <v>0</v>
      </c>
      <c r="Q502" s="593">
        <f ca="1">$E502*(SUMIF(INDIRECT(Q$3),'Struktur Vorjahr'!$D502,INDIRECT(Q$4))-SUMIF(INDIRECT(Q$3),'Struktur Vorjahr'!$D502,INDIRECT(Q$5)))</f>
        <v>0</v>
      </c>
      <c r="R502" s="593">
        <f ca="1">$E502*(SUMIF(INDIRECT(R$3),'Struktur Vorjahr'!$D502,INDIRECT(R$4))-SUMIF(INDIRECT(R$3),'Struktur Vorjahr'!$D502,INDIRECT(R$5)))</f>
        <v>0</v>
      </c>
      <c r="S502" s="593">
        <f ca="1">$E502*(SUMIF(INDIRECT(S$3),'Struktur Vorjahr'!$D502,INDIRECT(S$4))-SUMIF(INDIRECT(S$3),'Struktur Vorjahr'!$D502,INDIRECT(S$5)))</f>
        <v>0</v>
      </c>
      <c r="T502" s="593">
        <f ca="1">$E502*(SUMIF(INDIRECT(T$3),'Struktur Vorjahr'!$D502,INDIRECT(T$4))-SUMIF(INDIRECT(T$3),'Struktur Vorjahr'!$D502,INDIRECT(T$5)))</f>
        <v>0</v>
      </c>
      <c r="U502" s="593">
        <f ca="1">$E502*(SUMIF(INDIRECT(U$3),'Struktur Vorjahr'!$D502,INDIRECT(U$4))-SUMIF(INDIRECT(U$3),'Struktur Vorjahr'!$D502,INDIRECT(U$5)))</f>
        <v>0</v>
      </c>
      <c r="V502" s="593">
        <f ca="1">$E502*(SUMIF(INDIRECT(V$3),'Struktur Vorjahr'!$D502,INDIRECT(V$4))-SUMIF(INDIRECT(V$3),'Struktur Vorjahr'!$D502,INDIRECT(V$5)))</f>
        <v>0</v>
      </c>
      <c r="W502" s="593">
        <f ca="1">$E502*(SUMIF(INDIRECT(W$3),'Struktur Vorjahr'!$D502,INDIRECT(W$4))-SUMIF(INDIRECT(W$3),'Struktur Vorjahr'!$D502,INDIRECT(W$5)))</f>
        <v>0</v>
      </c>
      <c r="X502" s="593">
        <f ca="1">$E502*(SUMIF(INDIRECT(X$3),'Struktur Vorjahr'!$D502,INDIRECT(X$4))-SUMIF(INDIRECT(X$3),'Struktur Vorjahr'!$D502,INDIRECT(X$5)))</f>
        <v>0</v>
      </c>
      <c r="Y502" s="593">
        <f ca="1">$E502*(SUMIF(INDIRECT(Y$3),'Struktur Vorjahr'!$D502,INDIRECT(Y$4))-SUMIF(INDIRECT(Y$3),'Struktur Vorjahr'!$D502,INDIRECT(Y$5)))</f>
        <v>0</v>
      </c>
      <c r="Z502" s="593">
        <f ca="1">$E502*(SUMIF(INDIRECT(Z$3),'Struktur Vorjahr'!$D502,INDIRECT(Z$4))-SUMIF(INDIRECT(Z$3),'Struktur Vorjahr'!$D502,INDIRECT(Z$5)))</f>
        <v>0</v>
      </c>
      <c r="AA502" s="593">
        <f ca="1">$E502*(SUMIF(INDIRECT(AA$3),'Struktur Vorjahr'!$D502,INDIRECT(AA$4))-SUMIF(INDIRECT(AA$3),'Struktur Vorjahr'!$D502,INDIRECT(AA$5)))</f>
        <v>0</v>
      </c>
      <c r="AB502" s="593">
        <f ca="1">$E502*(SUMIF(INDIRECT(AB$3),'Struktur Vorjahr'!$D502,INDIRECT(AB$4))-SUMIF(INDIRECT(AB$3),'Struktur Vorjahr'!$D502,INDIRECT(AB$5)))</f>
        <v>0</v>
      </c>
      <c r="AC502" s="593">
        <f ca="1">$E502*(SUMIF(INDIRECT(AC$3),'Struktur Vorjahr'!$D502,INDIRECT(AC$4))-SUMIF(INDIRECT(AC$3),'Struktur Vorjahr'!$D502,INDIRECT(AC$5)))</f>
        <v>0</v>
      </c>
      <c r="AD502" s="593">
        <f ca="1">$E502*(SUMIF(INDIRECT(AD$3),'Struktur Vorjahr'!$D502,INDIRECT(AD$4))-SUMIF(INDIRECT(AD$3),'Struktur Vorjahr'!$D502,INDIRECT(AD$5)))</f>
        <v>0</v>
      </c>
      <c r="AE502" s="593">
        <f t="shared" ca="1" si="254"/>
        <v>0</v>
      </c>
      <c r="AF502" s="593">
        <f t="shared" ca="1" si="255"/>
        <v>0</v>
      </c>
      <c r="AG502" s="593">
        <f t="shared" ca="1" si="255"/>
        <v>0</v>
      </c>
      <c r="AH502" s="593">
        <f t="shared" ca="1" si="255"/>
        <v>0</v>
      </c>
      <c r="AI502" s="593">
        <f t="shared" ca="1" si="255"/>
        <v>0</v>
      </c>
      <c r="AJ502" s="593">
        <f t="shared" ca="1" si="255"/>
        <v>0</v>
      </c>
      <c r="AK502" s="593">
        <f t="shared" ca="1" si="255"/>
        <v>0</v>
      </c>
      <c r="AL502" s="593">
        <f t="shared" ca="1" si="255"/>
        <v>0</v>
      </c>
      <c r="AM502" s="593">
        <f t="shared" ca="1" si="255"/>
        <v>0</v>
      </c>
      <c r="AN502" s="593">
        <f t="shared" ca="1" si="255"/>
        <v>0</v>
      </c>
      <c r="AO502" s="593">
        <f t="shared" ca="1" si="255"/>
        <v>0</v>
      </c>
      <c r="AP502" s="593">
        <f t="shared" ca="1" si="255"/>
        <v>0</v>
      </c>
    </row>
    <row r="503" spans="1:42" s="594" customFormat="1" ht="11.25" outlineLevel="1" x14ac:dyDescent="0.2">
      <c r="A503" s="644"/>
      <c r="B503" s="591" t="str">
        <f>IF(D503&lt;&gt;"",
IF(ISERROR(MATCH(D503,'Ist Vorjahr Monat 01'!A:A,0))=FALSE,INDEX('Ist Vorjahr Monat 01'!B:B,MATCH(D503,'Ist Vorjahr Monat 01'!A:A,0)),
IF(ISERROR(MATCH(D503,'Ist Vorjahr Monat 02'!A:A,0))=FALSE,INDEX('Ist Vorjahr Monat 02'!B:B,MATCH(D503,'Ist Vorjahr Monat 02'!A:A,0)),
IF(ISERROR(MATCH(D503,'Ist Vorjahr Monat 03'!A:A,0))=FALSE,INDEX('Ist Vorjahr Monat 03'!B:B,MATCH(D503,'Ist Vorjahr Monat 03'!A:A,0)),
IF(ISERROR(MATCH(D503,'Ist Vorjahr Monat 04'!A:A,0))=FALSE,INDEX('Ist Vorjahr Monat 04'!B:B,MATCH(D503,'Ist Vorjahr Monat 04'!A:A,0)),
IF(ISERROR(MATCH(D503,'Ist Vorjahr Monat 05'!A:A,0))=FALSE,INDEX('Ist Vorjahr Monat 05'!B:B,MATCH(D503,'Ist Vorjahr Monat 05'!A:A,0)),
IF(ISERROR(MATCH(D503,'Ist Vorjahr Monat 06'!A:A,0))=FALSE,INDEX('Ist Vorjahr Monat 06'!B:B,MATCH(D503,'Ist Vorjahr Monat 06'!A:A,0)),
IF(ISERROR(MATCH(D503,'Ist Vorjahr Monat 07'!A:A,0))=FALSE,INDEX('Ist Vorjahr Monat 07'!B:B,MATCH(D503,'Ist Vorjahr Monat 07'!A:A,0)),
IF(ISERROR(MATCH(D503,'Ist Vorjahr Monat 08'!A:A,0))=FALSE,INDEX('Ist Vorjahr Monat 08'!B:B,MATCH(D503,'Ist Vorjahr Monat 08'!A:A,0)),
IF(ISERROR(MATCH(D503,'Ist Vorjahr Monat 09'!A:A,0))=FALSE,INDEX('Ist Vorjahr Monat 09'!B:B,MATCH(D503,'Ist Vorjahr Monat 09'!A:A,0)),
IF(ISERROR(MATCH(D503,'Ist Vorjahr Monat 10'!A:A,0))=FALSE,INDEX('Ist Vorjahr Monat 10'!B:B,MATCH(D503,'Ist Vorjahr Monat 10'!A:A,0)),
IF(ISERROR(MATCH(D503,'Ist Vorjahr Monat 11'!A:A,0))=FALSE,INDEX('Ist Vorjahr Monat 11'!B:B,MATCH(D503,'Ist Vorjahr Monat 11'!A:A,0)),
IF(ISERROR(MATCH(D503,'Ist Vorjahr Monat 12'!A:A,0))=FALSE,INDEX('Ist Vorjahr Monat 12'!B:B,MATCH(D503,'Ist Vorjahr Monat 12'!A:A,0)),
"{Konto unbekannt}"
)))))))))))),"")</f>
        <v/>
      </c>
      <c r="C503" s="1062"/>
      <c r="D503" s="1067"/>
      <c r="E503" s="625">
        <f t="shared" si="237"/>
        <v>-1</v>
      </c>
      <c r="F503" s="626" t="s">
        <v>996</v>
      </c>
      <c r="G503" s="593">
        <f ca="1">$E503*(SUMIF(INDIRECT(G$3),'Struktur Vorjahr'!$D503,INDIRECT(G$4))-SUMIF(INDIRECT(G$3),'Struktur Vorjahr'!$D503,INDIRECT(G$5)))</f>
        <v>0</v>
      </c>
      <c r="H503" s="593">
        <f ca="1">$E503*(SUMIF(INDIRECT(H$3),'Struktur Vorjahr'!$D503,INDIRECT(H$4))-SUMIF(INDIRECT(H$3),'Struktur Vorjahr'!$D503,INDIRECT(H$5)))</f>
        <v>0</v>
      </c>
      <c r="I503" s="593">
        <f ca="1">$E503*(SUMIF(INDIRECT(I$3),'Struktur Vorjahr'!$D503,INDIRECT(I$4))-SUMIF(INDIRECT(I$3),'Struktur Vorjahr'!$D503,INDIRECT(I$5)))</f>
        <v>0</v>
      </c>
      <c r="J503" s="593">
        <f ca="1">$E503*(SUMIF(INDIRECT(J$3),'Struktur Vorjahr'!$D503,INDIRECT(J$4))-SUMIF(INDIRECT(J$3),'Struktur Vorjahr'!$D503,INDIRECT(J$5)))</f>
        <v>0</v>
      </c>
      <c r="K503" s="593">
        <f ca="1">$E503*(SUMIF(INDIRECT(K$3),'Struktur Vorjahr'!$D503,INDIRECT(K$4))-SUMIF(INDIRECT(K$3),'Struktur Vorjahr'!$D503,INDIRECT(K$5)))</f>
        <v>0</v>
      </c>
      <c r="L503" s="593">
        <f ca="1">$E503*(SUMIF(INDIRECT(L$3),'Struktur Vorjahr'!$D503,INDIRECT(L$4))-SUMIF(INDIRECT(L$3),'Struktur Vorjahr'!$D503,INDIRECT(L$5)))</f>
        <v>0</v>
      </c>
      <c r="M503" s="593">
        <f ca="1">$E503*(SUMIF(INDIRECT(M$3),'Struktur Vorjahr'!$D503,INDIRECT(M$4))-SUMIF(INDIRECT(M$3),'Struktur Vorjahr'!$D503,INDIRECT(M$5)))</f>
        <v>0</v>
      </c>
      <c r="N503" s="593">
        <f ca="1">$E503*(SUMIF(INDIRECT(N$3),'Struktur Vorjahr'!$D503,INDIRECT(N$4))-SUMIF(INDIRECT(N$3),'Struktur Vorjahr'!$D503,INDIRECT(N$5)))</f>
        <v>0</v>
      </c>
      <c r="O503" s="593">
        <f ca="1">$E503*(SUMIF(INDIRECT(O$3),'Struktur Vorjahr'!$D503,INDIRECT(O$4))-SUMIF(INDIRECT(O$3),'Struktur Vorjahr'!$D503,INDIRECT(O$5)))</f>
        <v>0</v>
      </c>
      <c r="P503" s="593">
        <f ca="1">$E503*(SUMIF(INDIRECT(P$3),'Struktur Vorjahr'!$D503,INDIRECT(P$4))-SUMIF(INDIRECT(P$3),'Struktur Vorjahr'!$D503,INDIRECT(P$5)))</f>
        <v>0</v>
      </c>
      <c r="Q503" s="593">
        <f ca="1">$E503*(SUMIF(INDIRECT(Q$3),'Struktur Vorjahr'!$D503,INDIRECT(Q$4))-SUMIF(INDIRECT(Q$3),'Struktur Vorjahr'!$D503,INDIRECT(Q$5)))</f>
        <v>0</v>
      </c>
      <c r="R503" s="593">
        <f ca="1">$E503*(SUMIF(INDIRECT(R$3),'Struktur Vorjahr'!$D503,INDIRECT(R$4))-SUMIF(INDIRECT(R$3),'Struktur Vorjahr'!$D503,INDIRECT(R$5)))</f>
        <v>0</v>
      </c>
      <c r="S503" s="593">
        <f ca="1">$E503*(SUMIF(INDIRECT(S$3),'Struktur Vorjahr'!$D503,INDIRECT(S$4))-SUMIF(INDIRECT(S$3),'Struktur Vorjahr'!$D503,INDIRECT(S$5)))</f>
        <v>0</v>
      </c>
      <c r="T503" s="593">
        <f ca="1">$E503*(SUMIF(INDIRECT(T$3),'Struktur Vorjahr'!$D503,INDIRECT(T$4))-SUMIF(INDIRECT(T$3),'Struktur Vorjahr'!$D503,INDIRECT(T$5)))</f>
        <v>0</v>
      </c>
      <c r="U503" s="593">
        <f ca="1">$E503*(SUMIF(INDIRECT(U$3),'Struktur Vorjahr'!$D503,INDIRECT(U$4))-SUMIF(INDIRECT(U$3),'Struktur Vorjahr'!$D503,INDIRECT(U$5)))</f>
        <v>0</v>
      </c>
      <c r="V503" s="593">
        <f ca="1">$E503*(SUMIF(INDIRECT(V$3),'Struktur Vorjahr'!$D503,INDIRECT(V$4))-SUMIF(INDIRECT(V$3),'Struktur Vorjahr'!$D503,INDIRECT(V$5)))</f>
        <v>0</v>
      </c>
      <c r="W503" s="593">
        <f ca="1">$E503*(SUMIF(INDIRECT(W$3),'Struktur Vorjahr'!$D503,INDIRECT(W$4))-SUMIF(INDIRECT(W$3),'Struktur Vorjahr'!$D503,INDIRECT(W$5)))</f>
        <v>0</v>
      </c>
      <c r="X503" s="593">
        <f ca="1">$E503*(SUMIF(INDIRECT(X$3),'Struktur Vorjahr'!$D503,INDIRECT(X$4))-SUMIF(INDIRECT(X$3),'Struktur Vorjahr'!$D503,INDIRECT(X$5)))</f>
        <v>0</v>
      </c>
      <c r="Y503" s="593">
        <f ca="1">$E503*(SUMIF(INDIRECT(Y$3),'Struktur Vorjahr'!$D503,INDIRECT(Y$4))-SUMIF(INDIRECT(Y$3),'Struktur Vorjahr'!$D503,INDIRECT(Y$5)))</f>
        <v>0</v>
      </c>
      <c r="Z503" s="593">
        <f ca="1">$E503*(SUMIF(INDIRECT(Z$3),'Struktur Vorjahr'!$D503,INDIRECT(Z$4))-SUMIF(INDIRECT(Z$3),'Struktur Vorjahr'!$D503,INDIRECT(Z$5)))</f>
        <v>0</v>
      </c>
      <c r="AA503" s="593">
        <f ca="1">$E503*(SUMIF(INDIRECT(AA$3),'Struktur Vorjahr'!$D503,INDIRECT(AA$4))-SUMIF(INDIRECT(AA$3),'Struktur Vorjahr'!$D503,INDIRECT(AA$5)))</f>
        <v>0</v>
      </c>
      <c r="AB503" s="593">
        <f ca="1">$E503*(SUMIF(INDIRECT(AB$3),'Struktur Vorjahr'!$D503,INDIRECT(AB$4))-SUMIF(INDIRECT(AB$3),'Struktur Vorjahr'!$D503,INDIRECT(AB$5)))</f>
        <v>0</v>
      </c>
      <c r="AC503" s="593">
        <f ca="1">$E503*(SUMIF(INDIRECT(AC$3),'Struktur Vorjahr'!$D503,INDIRECT(AC$4))-SUMIF(INDIRECT(AC$3),'Struktur Vorjahr'!$D503,INDIRECT(AC$5)))</f>
        <v>0</v>
      </c>
      <c r="AD503" s="593">
        <f ca="1">$E503*(SUMIF(INDIRECT(AD$3),'Struktur Vorjahr'!$D503,INDIRECT(AD$4))-SUMIF(INDIRECT(AD$3),'Struktur Vorjahr'!$D503,INDIRECT(AD$5)))</f>
        <v>0</v>
      </c>
      <c r="AE503" s="593">
        <f t="shared" ca="1" si="254"/>
        <v>0</v>
      </c>
      <c r="AF503" s="593">
        <f t="shared" ca="1" si="255"/>
        <v>0</v>
      </c>
      <c r="AG503" s="593">
        <f t="shared" ca="1" si="255"/>
        <v>0</v>
      </c>
      <c r="AH503" s="593">
        <f t="shared" ca="1" si="255"/>
        <v>0</v>
      </c>
      <c r="AI503" s="593">
        <f t="shared" ca="1" si="255"/>
        <v>0</v>
      </c>
      <c r="AJ503" s="593">
        <f t="shared" ca="1" si="255"/>
        <v>0</v>
      </c>
      <c r="AK503" s="593">
        <f t="shared" ca="1" si="255"/>
        <v>0</v>
      </c>
      <c r="AL503" s="593">
        <f t="shared" ca="1" si="255"/>
        <v>0</v>
      </c>
      <c r="AM503" s="593">
        <f t="shared" ca="1" si="255"/>
        <v>0</v>
      </c>
      <c r="AN503" s="593">
        <f t="shared" ca="1" si="255"/>
        <v>0</v>
      </c>
      <c r="AO503" s="593">
        <f t="shared" ca="1" si="255"/>
        <v>0</v>
      </c>
      <c r="AP503" s="593">
        <f t="shared" ca="1" si="255"/>
        <v>0</v>
      </c>
    </row>
    <row r="504" spans="1:42" s="594" customFormat="1" ht="11.25" outlineLevel="1" x14ac:dyDescent="0.2">
      <c r="A504" s="644"/>
      <c r="B504" s="591" t="str">
        <f>IF(D504&lt;&gt;"",
IF(ISERROR(MATCH(D504,'Ist Vorjahr Monat 01'!A:A,0))=FALSE,INDEX('Ist Vorjahr Monat 01'!B:B,MATCH(D504,'Ist Vorjahr Monat 01'!A:A,0)),
IF(ISERROR(MATCH(D504,'Ist Vorjahr Monat 02'!A:A,0))=FALSE,INDEX('Ist Vorjahr Monat 02'!B:B,MATCH(D504,'Ist Vorjahr Monat 02'!A:A,0)),
IF(ISERROR(MATCH(D504,'Ist Vorjahr Monat 03'!A:A,0))=FALSE,INDEX('Ist Vorjahr Monat 03'!B:B,MATCH(D504,'Ist Vorjahr Monat 03'!A:A,0)),
IF(ISERROR(MATCH(D504,'Ist Vorjahr Monat 04'!A:A,0))=FALSE,INDEX('Ist Vorjahr Monat 04'!B:B,MATCH(D504,'Ist Vorjahr Monat 04'!A:A,0)),
IF(ISERROR(MATCH(D504,'Ist Vorjahr Monat 05'!A:A,0))=FALSE,INDEX('Ist Vorjahr Monat 05'!B:B,MATCH(D504,'Ist Vorjahr Monat 05'!A:A,0)),
IF(ISERROR(MATCH(D504,'Ist Vorjahr Monat 06'!A:A,0))=FALSE,INDEX('Ist Vorjahr Monat 06'!B:B,MATCH(D504,'Ist Vorjahr Monat 06'!A:A,0)),
IF(ISERROR(MATCH(D504,'Ist Vorjahr Monat 07'!A:A,0))=FALSE,INDEX('Ist Vorjahr Monat 07'!B:B,MATCH(D504,'Ist Vorjahr Monat 07'!A:A,0)),
IF(ISERROR(MATCH(D504,'Ist Vorjahr Monat 08'!A:A,0))=FALSE,INDEX('Ist Vorjahr Monat 08'!B:B,MATCH(D504,'Ist Vorjahr Monat 08'!A:A,0)),
IF(ISERROR(MATCH(D504,'Ist Vorjahr Monat 09'!A:A,0))=FALSE,INDEX('Ist Vorjahr Monat 09'!B:B,MATCH(D504,'Ist Vorjahr Monat 09'!A:A,0)),
IF(ISERROR(MATCH(D504,'Ist Vorjahr Monat 10'!A:A,0))=FALSE,INDEX('Ist Vorjahr Monat 10'!B:B,MATCH(D504,'Ist Vorjahr Monat 10'!A:A,0)),
IF(ISERROR(MATCH(D504,'Ist Vorjahr Monat 11'!A:A,0))=FALSE,INDEX('Ist Vorjahr Monat 11'!B:B,MATCH(D504,'Ist Vorjahr Monat 11'!A:A,0)),
IF(ISERROR(MATCH(D504,'Ist Vorjahr Monat 12'!A:A,0))=FALSE,INDEX('Ist Vorjahr Monat 12'!B:B,MATCH(D504,'Ist Vorjahr Monat 12'!A:A,0)),
"{Konto unbekannt}"
)))))))))))),"")</f>
        <v/>
      </c>
      <c r="C504" s="1062"/>
      <c r="D504" s="1067"/>
      <c r="E504" s="625">
        <f t="shared" si="237"/>
        <v>-1</v>
      </c>
      <c r="F504" s="626" t="s">
        <v>996</v>
      </c>
      <c r="G504" s="593">
        <f ca="1">$E504*(SUMIF(INDIRECT(G$3),'Struktur Vorjahr'!$D504,INDIRECT(G$4))-SUMIF(INDIRECT(G$3),'Struktur Vorjahr'!$D504,INDIRECT(G$5)))</f>
        <v>0</v>
      </c>
      <c r="H504" s="593">
        <f ca="1">$E504*(SUMIF(INDIRECT(H$3),'Struktur Vorjahr'!$D504,INDIRECT(H$4))-SUMIF(INDIRECT(H$3),'Struktur Vorjahr'!$D504,INDIRECT(H$5)))</f>
        <v>0</v>
      </c>
      <c r="I504" s="593">
        <f ca="1">$E504*(SUMIF(INDIRECT(I$3),'Struktur Vorjahr'!$D504,INDIRECT(I$4))-SUMIF(INDIRECT(I$3),'Struktur Vorjahr'!$D504,INDIRECT(I$5)))</f>
        <v>0</v>
      </c>
      <c r="J504" s="593">
        <f ca="1">$E504*(SUMIF(INDIRECT(J$3),'Struktur Vorjahr'!$D504,INDIRECT(J$4))-SUMIF(INDIRECT(J$3),'Struktur Vorjahr'!$D504,INDIRECT(J$5)))</f>
        <v>0</v>
      </c>
      <c r="K504" s="593">
        <f ca="1">$E504*(SUMIF(INDIRECT(K$3),'Struktur Vorjahr'!$D504,INDIRECT(K$4))-SUMIF(INDIRECT(K$3),'Struktur Vorjahr'!$D504,INDIRECT(K$5)))</f>
        <v>0</v>
      </c>
      <c r="L504" s="593">
        <f ca="1">$E504*(SUMIF(INDIRECT(L$3),'Struktur Vorjahr'!$D504,INDIRECT(L$4))-SUMIF(INDIRECT(L$3),'Struktur Vorjahr'!$D504,INDIRECT(L$5)))</f>
        <v>0</v>
      </c>
      <c r="M504" s="593">
        <f ca="1">$E504*(SUMIF(INDIRECT(M$3),'Struktur Vorjahr'!$D504,INDIRECT(M$4))-SUMIF(INDIRECT(M$3),'Struktur Vorjahr'!$D504,INDIRECT(M$5)))</f>
        <v>0</v>
      </c>
      <c r="N504" s="593">
        <f ca="1">$E504*(SUMIF(INDIRECT(N$3),'Struktur Vorjahr'!$D504,INDIRECT(N$4))-SUMIF(INDIRECT(N$3),'Struktur Vorjahr'!$D504,INDIRECT(N$5)))</f>
        <v>0</v>
      </c>
      <c r="O504" s="593">
        <f ca="1">$E504*(SUMIF(INDIRECT(O$3),'Struktur Vorjahr'!$D504,INDIRECT(O$4))-SUMIF(INDIRECT(O$3),'Struktur Vorjahr'!$D504,INDIRECT(O$5)))</f>
        <v>0</v>
      </c>
      <c r="P504" s="593">
        <f ca="1">$E504*(SUMIF(INDIRECT(P$3),'Struktur Vorjahr'!$D504,INDIRECT(P$4))-SUMIF(INDIRECT(P$3),'Struktur Vorjahr'!$D504,INDIRECT(P$5)))</f>
        <v>0</v>
      </c>
      <c r="Q504" s="593">
        <f ca="1">$E504*(SUMIF(INDIRECT(Q$3),'Struktur Vorjahr'!$D504,INDIRECT(Q$4))-SUMIF(INDIRECT(Q$3),'Struktur Vorjahr'!$D504,INDIRECT(Q$5)))</f>
        <v>0</v>
      </c>
      <c r="R504" s="593">
        <f ca="1">$E504*(SUMIF(INDIRECT(R$3),'Struktur Vorjahr'!$D504,INDIRECT(R$4))-SUMIF(INDIRECT(R$3),'Struktur Vorjahr'!$D504,INDIRECT(R$5)))</f>
        <v>0</v>
      </c>
      <c r="S504" s="593">
        <f ca="1">$E504*(SUMIF(INDIRECT(S$3),'Struktur Vorjahr'!$D504,INDIRECT(S$4))-SUMIF(INDIRECT(S$3),'Struktur Vorjahr'!$D504,INDIRECT(S$5)))</f>
        <v>0</v>
      </c>
      <c r="T504" s="593">
        <f ca="1">$E504*(SUMIF(INDIRECT(T$3),'Struktur Vorjahr'!$D504,INDIRECT(T$4))-SUMIF(INDIRECT(T$3),'Struktur Vorjahr'!$D504,INDIRECT(T$5)))</f>
        <v>0</v>
      </c>
      <c r="U504" s="593">
        <f ca="1">$E504*(SUMIF(INDIRECT(U$3),'Struktur Vorjahr'!$D504,INDIRECT(U$4))-SUMIF(INDIRECT(U$3),'Struktur Vorjahr'!$D504,INDIRECT(U$5)))</f>
        <v>0</v>
      </c>
      <c r="V504" s="593">
        <f ca="1">$E504*(SUMIF(INDIRECT(V$3),'Struktur Vorjahr'!$D504,INDIRECT(V$4))-SUMIF(INDIRECT(V$3),'Struktur Vorjahr'!$D504,INDIRECT(V$5)))</f>
        <v>0</v>
      </c>
      <c r="W504" s="593">
        <f ca="1">$E504*(SUMIF(INDIRECT(W$3),'Struktur Vorjahr'!$D504,INDIRECT(W$4))-SUMIF(INDIRECT(W$3),'Struktur Vorjahr'!$D504,INDIRECT(W$5)))</f>
        <v>0</v>
      </c>
      <c r="X504" s="593">
        <f ca="1">$E504*(SUMIF(INDIRECT(X$3),'Struktur Vorjahr'!$D504,INDIRECT(X$4))-SUMIF(INDIRECT(X$3),'Struktur Vorjahr'!$D504,INDIRECT(X$5)))</f>
        <v>0</v>
      </c>
      <c r="Y504" s="593">
        <f ca="1">$E504*(SUMIF(INDIRECT(Y$3),'Struktur Vorjahr'!$D504,INDIRECT(Y$4))-SUMIF(INDIRECT(Y$3),'Struktur Vorjahr'!$D504,INDIRECT(Y$5)))</f>
        <v>0</v>
      </c>
      <c r="Z504" s="593">
        <f ca="1">$E504*(SUMIF(INDIRECT(Z$3),'Struktur Vorjahr'!$D504,INDIRECT(Z$4))-SUMIF(INDIRECT(Z$3),'Struktur Vorjahr'!$D504,INDIRECT(Z$5)))</f>
        <v>0</v>
      </c>
      <c r="AA504" s="593">
        <f ca="1">$E504*(SUMIF(INDIRECT(AA$3),'Struktur Vorjahr'!$D504,INDIRECT(AA$4))-SUMIF(INDIRECT(AA$3),'Struktur Vorjahr'!$D504,INDIRECT(AA$5)))</f>
        <v>0</v>
      </c>
      <c r="AB504" s="593">
        <f ca="1">$E504*(SUMIF(INDIRECT(AB$3),'Struktur Vorjahr'!$D504,INDIRECT(AB$4))-SUMIF(INDIRECT(AB$3),'Struktur Vorjahr'!$D504,INDIRECT(AB$5)))</f>
        <v>0</v>
      </c>
      <c r="AC504" s="593">
        <f ca="1">$E504*(SUMIF(INDIRECT(AC$3),'Struktur Vorjahr'!$D504,INDIRECT(AC$4))-SUMIF(INDIRECT(AC$3),'Struktur Vorjahr'!$D504,INDIRECT(AC$5)))</f>
        <v>0</v>
      </c>
      <c r="AD504" s="593">
        <f ca="1">$E504*(SUMIF(INDIRECT(AD$3),'Struktur Vorjahr'!$D504,INDIRECT(AD$4))-SUMIF(INDIRECT(AD$3),'Struktur Vorjahr'!$D504,INDIRECT(AD$5)))</f>
        <v>0</v>
      </c>
      <c r="AE504" s="593">
        <f t="shared" ca="1" si="254"/>
        <v>0</v>
      </c>
      <c r="AF504" s="593">
        <f t="shared" ca="1" si="255"/>
        <v>0</v>
      </c>
      <c r="AG504" s="593">
        <f t="shared" ca="1" si="255"/>
        <v>0</v>
      </c>
      <c r="AH504" s="593">
        <f t="shared" ca="1" si="255"/>
        <v>0</v>
      </c>
      <c r="AI504" s="593">
        <f t="shared" ca="1" si="255"/>
        <v>0</v>
      </c>
      <c r="AJ504" s="593">
        <f t="shared" ca="1" si="255"/>
        <v>0</v>
      </c>
      <c r="AK504" s="593">
        <f t="shared" ca="1" si="255"/>
        <v>0</v>
      </c>
      <c r="AL504" s="593">
        <f t="shared" ca="1" si="255"/>
        <v>0</v>
      </c>
      <c r="AM504" s="593">
        <f t="shared" ca="1" si="255"/>
        <v>0</v>
      </c>
      <c r="AN504" s="593">
        <f t="shared" ca="1" si="255"/>
        <v>0</v>
      </c>
      <c r="AO504" s="593">
        <f t="shared" ca="1" si="255"/>
        <v>0</v>
      </c>
      <c r="AP504" s="593">
        <f t="shared" ca="1" si="255"/>
        <v>0</v>
      </c>
    </row>
    <row r="505" spans="1:42" s="594" customFormat="1" ht="11.25" outlineLevel="1" x14ac:dyDescent="0.2">
      <c r="A505" s="645"/>
      <c r="B505" s="591" t="str">
        <f>IF(D505&lt;&gt;"",
IF(ISERROR(MATCH(D505,'Ist Vorjahr Monat 01'!A:A,0))=FALSE,INDEX('Ist Vorjahr Monat 01'!B:B,MATCH(D505,'Ist Vorjahr Monat 01'!A:A,0)),
IF(ISERROR(MATCH(D505,'Ist Vorjahr Monat 02'!A:A,0))=FALSE,INDEX('Ist Vorjahr Monat 02'!B:B,MATCH(D505,'Ist Vorjahr Monat 02'!A:A,0)),
IF(ISERROR(MATCH(D505,'Ist Vorjahr Monat 03'!A:A,0))=FALSE,INDEX('Ist Vorjahr Monat 03'!B:B,MATCH(D505,'Ist Vorjahr Monat 03'!A:A,0)),
IF(ISERROR(MATCH(D505,'Ist Vorjahr Monat 04'!A:A,0))=FALSE,INDEX('Ist Vorjahr Monat 04'!B:B,MATCH(D505,'Ist Vorjahr Monat 04'!A:A,0)),
IF(ISERROR(MATCH(D505,'Ist Vorjahr Monat 05'!A:A,0))=FALSE,INDEX('Ist Vorjahr Monat 05'!B:B,MATCH(D505,'Ist Vorjahr Monat 05'!A:A,0)),
IF(ISERROR(MATCH(D505,'Ist Vorjahr Monat 06'!A:A,0))=FALSE,INDEX('Ist Vorjahr Monat 06'!B:B,MATCH(D505,'Ist Vorjahr Monat 06'!A:A,0)),
IF(ISERROR(MATCH(D505,'Ist Vorjahr Monat 07'!A:A,0))=FALSE,INDEX('Ist Vorjahr Monat 07'!B:B,MATCH(D505,'Ist Vorjahr Monat 07'!A:A,0)),
IF(ISERROR(MATCH(D505,'Ist Vorjahr Monat 08'!A:A,0))=FALSE,INDEX('Ist Vorjahr Monat 08'!B:B,MATCH(D505,'Ist Vorjahr Monat 08'!A:A,0)),
IF(ISERROR(MATCH(D505,'Ist Vorjahr Monat 09'!A:A,0))=FALSE,INDEX('Ist Vorjahr Monat 09'!B:B,MATCH(D505,'Ist Vorjahr Monat 09'!A:A,0)),
IF(ISERROR(MATCH(D505,'Ist Vorjahr Monat 10'!A:A,0))=FALSE,INDEX('Ist Vorjahr Monat 10'!B:B,MATCH(D505,'Ist Vorjahr Monat 10'!A:A,0)),
IF(ISERROR(MATCH(D505,'Ist Vorjahr Monat 11'!A:A,0))=FALSE,INDEX('Ist Vorjahr Monat 11'!B:B,MATCH(D505,'Ist Vorjahr Monat 11'!A:A,0)),
IF(ISERROR(MATCH(D505,'Ist Vorjahr Monat 12'!A:A,0))=FALSE,INDEX('Ist Vorjahr Monat 12'!B:B,MATCH(D505,'Ist Vorjahr Monat 12'!A:A,0)),
"{Konto unbekannt}"
)))))))))))),"")</f>
        <v/>
      </c>
      <c r="C505" s="1062"/>
      <c r="D505" s="1067"/>
      <c r="E505" s="630">
        <f t="shared" si="237"/>
        <v>-1</v>
      </c>
      <c r="F505" s="631" t="s">
        <v>996</v>
      </c>
      <c r="G505" s="632">
        <f ca="1">$E505*(SUMIF(INDIRECT(G$3),'Struktur Vorjahr'!$D505,INDIRECT(G$4))-SUMIF(INDIRECT(G$3),'Struktur Vorjahr'!$D505,INDIRECT(G$5)))</f>
        <v>0</v>
      </c>
      <c r="H505" s="632">
        <f ca="1">$E505*(SUMIF(INDIRECT(H$3),'Struktur Vorjahr'!$D505,INDIRECT(H$4))-SUMIF(INDIRECT(H$3),'Struktur Vorjahr'!$D505,INDIRECT(H$5)))</f>
        <v>0</v>
      </c>
      <c r="I505" s="632">
        <f ca="1">$E505*(SUMIF(INDIRECT(I$3),'Struktur Vorjahr'!$D505,INDIRECT(I$4))-SUMIF(INDIRECT(I$3),'Struktur Vorjahr'!$D505,INDIRECT(I$5)))</f>
        <v>0</v>
      </c>
      <c r="J505" s="632">
        <f ca="1">$E505*(SUMIF(INDIRECT(J$3),'Struktur Vorjahr'!$D505,INDIRECT(J$4))-SUMIF(INDIRECT(J$3),'Struktur Vorjahr'!$D505,INDIRECT(J$5)))</f>
        <v>0</v>
      </c>
      <c r="K505" s="632">
        <f ca="1">$E505*(SUMIF(INDIRECT(K$3),'Struktur Vorjahr'!$D505,INDIRECT(K$4))-SUMIF(INDIRECT(K$3),'Struktur Vorjahr'!$D505,INDIRECT(K$5)))</f>
        <v>0</v>
      </c>
      <c r="L505" s="632">
        <f ca="1">$E505*(SUMIF(INDIRECT(L$3),'Struktur Vorjahr'!$D505,INDIRECT(L$4))-SUMIF(INDIRECT(L$3),'Struktur Vorjahr'!$D505,INDIRECT(L$5)))</f>
        <v>0</v>
      </c>
      <c r="M505" s="632">
        <f ca="1">$E505*(SUMIF(INDIRECT(M$3),'Struktur Vorjahr'!$D505,INDIRECT(M$4))-SUMIF(INDIRECT(M$3),'Struktur Vorjahr'!$D505,INDIRECT(M$5)))</f>
        <v>0</v>
      </c>
      <c r="N505" s="632">
        <f ca="1">$E505*(SUMIF(INDIRECT(N$3),'Struktur Vorjahr'!$D505,INDIRECT(N$4))-SUMIF(INDIRECT(N$3),'Struktur Vorjahr'!$D505,INDIRECT(N$5)))</f>
        <v>0</v>
      </c>
      <c r="O505" s="632">
        <f ca="1">$E505*(SUMIF(INDIRECT(O$3),'Struktur Vorjahr'!$D505,INDIRECT(O$4))-SUMIF(INDIRECT(O$3),'Struktur Vorjahr'!$D505,INDIRECT(O$5)))</f>
        <v>0</v>
      </c>
      <c r="P505" s="632">
        <f ca="1">$E505*(SUMIF(INDIRECT(P$3),'Struktur Vorjahr'!$D505,INDIRECT(P$4))-SUMIF(INDIRECT(P$3),'Struktur Vorjahr'!$D505,INDIRECT(P$5)))</f>
        <v>0</v>
      </c>
      <c r="Q505" s="632">
        <f ca="1">$E505*(SUMIF(INDIRECT(Q$3),'Struktur Vorjahr'!$D505,INDIRECT(Q$4))-SUMIF(INDIRECT(Q$3),'Struktur Vorjahr'!$D505,INDIRECT(Q$5)))</f>
        <v>0</v>
      </c>
      <c r="R505" s="632">
        <f ca="1">$E505*(SUMIF(INDIRECT(R$3),'Struktur Vorjahr'!$D505,INDIRECT(R$4))-SUMIF(INDIRECT(R$3),'Struktur Vorjahr'!$D505,INDIRECT(R$5)))</f>
        <v>0</v>
      </c>
      <c r="S505" s="632">
        <f ca="1">$E505*(SUMIF(INDIRECT(S$3),'Struktur Vorjahr'!$D505,INDIRECT(S$4))-SUMIF(INDIRECT(S$3),'Struktur Vorjahr'!$D505,INDIRECT(S$5)))</f>
        <v>0</v>
      </c>
      <c r="T505" s="632">
        <f ca="1">$E505*(SUMIF(INDIRECT(T$3),'Struktur Vorjahr'!$D505,INDIRECT(T$4))-SUMIF(INDIRECT(T$3),'Struktur Vorjahr'!$D505,INDIRECT(T$5)))</f>
        <v>0</v>
      </c>
      <c r="U505" s="632">
        <f ca="1">$E505*(SUMIF(INDIRECT(U$3),'Struktur Vorjahr'!$D505,INDIRECT(U$4))-SUMIF(INDIRECT(U$3),'Struktur Vorjahr'!$D505,INDIRECT(U$5)))</f>
        <v>0</v>
      </c>
      <c r="V505" s="632">
        <f ca="1">$E505*(SUMIF(INDIRECT(V$3),'Struktur Vorjahr'!$D505,INDIRECT(V$4))-SUMIF(INDIRECT(V$3),'Struktur Vorjahr'!$D505,INDIRECT(V$5)))</f>
        <v>0</v>
      </c>
      <c r="W505" s="632">
        <f ca="1">$E505*(SUMIF(INDIRECT(W$3),'Struktur Vorjahr'!$D505,INDIRECT(W$4))-SUMIF(INDIRECT(W$3),'Struktur Vorjahr'!$D505,INDIRECT(W$5)))</f>
        <v>0</v>
      </c>
      <c r="X505" s="632">
        <f ca="1">$E505*(SUMIF(INDIRECT(X$3),'Struktur Vorjahr'!$D505,INDIRECT(X$4))-SUMIF(INDIRECT(X$3),'Struktur Vorjahr'!$D505,INDIRECT(X$5)))</f>
        <v>0</v>
      </c>
      <c r="Y505" s="632">
        <f ca="1">$E505*(SUMIF(INDIRECT(Y$3),'Struktur Vorjahr'!$D505,INDIRECT(Y$4))-SUMIF(INDIRECT(Y$3),'Struktur Vorjahr'!$D505,INDIRECT(Y$5)))</f>
        <v>0</v>
      </c>
      <c r="Z505" s="632">
        <f ca="1">$E505*(SUMIF(INDIRECT(Z$3),'Struktur Vorjahr'!$D505,INDIRECT(Z$4))-SUMIF(INDIRECT(Z$3),'Struktur Vorjahr'!$D505,INDIRECT(Z$5)))</f>
        <v>0</v>
      </c>
      <c r="AA505" s="632">
        <f ca="1">$E505*(SUMIF(INDIRECT(AA$3),'Struktur Vorjahr'!$D505,INDIRECT(AA$4))-SUMIF(INDIRECT(AA$3),'Struktur Vorjahr'!$D505,INDIRECT(AA$5)))</f>
        <v>0</v>
      </c>
      <c r="AB505" s="632">
        <f ca="1">$E505*(SUMIF(INDIRECT(AB$3),'Struktur Vorjahr'!$D505,INDIRECT(AB$4))-SUMIF(INDIRECT(AB$3),'Struktur Vorjahr'!$D505,INDIRECT(AB$5)))</f>
        <v>0</v>
      </c>
      <c r="AC505" s="632">
        <f ca="1">$E505*(SUMIF(INDIRECT(AC$3),'Struktur Vorjahr'!$D505,INDIRECT(AC$4))-SUMIF(INDIRECT(AC$3),'Struktur Vorjahr'!$D505,INDIRECT(AC$5)))</f>
        <v>0</v>
      </c>
      <c r="AD505" s="632">
        <f ca="1">$E505*(SUMIF(INDIRECT(AD$3),'Struktur Vorjahr'!$D505,INDIRECT(AD$4))-SUMIF(INDIRECT(AD$3),'Struktur Vorjahr'!$D505,INDIRECT(AD$5)))</f>
        <v>0</v>
      </c>
      <c r="AE505" s="593">
        <f t="shared" ca="1" si="254"/>
        <v>0</v>
      </c>
      <c r="AF505" s="593">
        <f t="shared" ca="1" si="255"/>
        <v>0</v>
      </c>
      <c r="AG505" s="593">
        <f t="shared" ca="1" si="255"/>
        <v>0</v>
      </c>
      <c r="AH505" s="593">
        <f t="shared" ca="1" si="255"/>
        <v>0</v>
      </c>
      <c r="AI505" s="593">
        <f t="shared" ca="1" si="255"/>
        <v>0</v>
      </c>
      <c r="AJ505" s="593">
        <f t="shared" ca="1" si="255"/>
        <v>0</v>
      </c>
      <c r="AK505" s="593">
        <f t="shared" ca="1" si="255"/>
        <v>0</v>
      </c>
      <c r="AL505" s="593">
        <f t="shared" ca="1" si="255"/>
        <v>0</v>
      </c>
      <c r="AM505" s="593">
        <f t="shared" ca="1" si="255"/>
        <v>0</v>
      </c>
      <c r="AN505" s="593">
        <f t="shared" ca="1" si="255"/>
        <v>0</v>
      </c>
      <c r="AO505" s="593">
        <f t="shared" ca="1" si="255"/>
        <v>0</v>
      </c>
      <c r="AP505" s="593">
        <f t="shared" ca="1" si="255"/>
        <v>0</v>
      </c>
    </row>
    <row r="506" spans="1:42" s="589" customFormat="1" outlineLevel="1" x14ac:dyDescent="0.2">
      <c r="A506" s="585">
        <v>46</v>
      </c>
      <c r="B506" s="623" t="s">
        <v>285</v>
      </c>
      <c r="C506" s="627">
        <f ca="1">SUM(G506:R506)</f>
        <v>-34696.05999999999</v>
      </c>
      <c r="D506" s="627"/>
      <c r="E506" s="624">
        <f t="shared" si="237"/>
        <v>1</v>
      </c>
      <c r="F506" s="624"/>
      <c r="G506" s="627">
        <f ca="1">SUM(G507:G526)</f>
        <v>1878.94</v>
      </c>
      <c r="H506" s="627">
        <f t="shared" ref="H506:R506" ca="1" si="256">SUM(H507:H526)</f>
        <v>-5604.4</v>
      </c>
      <c r="I506" s="627">
        <f t="shared" ca="1" si="256"/>
        <v>1744.3499999999997</v>
      </c>
      <c r="J506" s="627">
        <f t="shared" ca="1" si="256"/>
        <v>1002.6899999999998</v>
      </c>
      <c r="K506" s="627">
        <f t="shared" ca="1" si="256"/>
        <v>-35963.18</v>
      </c>
      <c r="L506" s="627">
        <f t="shared" ca="1" si="256"/>
        <v>-562.33999999999992</v>
      </c>
      <c r="M506" s="627">
        <f ca="1">SUM(M507:M526)</f>
        <v>10350.39</v>
      </c>
      <c r="N506" s="627">
        <f t="shared" ca="1" si="256"/>
        <v>2335.58</v>
      </c>
      <c r="O506" s="627">
        <f t="shared" ca="1" si="256"/>
        <v>-7541.66</v>
      </c>
      <c r="P506" s="627">
        <f t="shared" ca="1" si="256"/>
        <v>-2336.4299999999998</v>
      </c>
      <c r="Q506" s="627">
        <f t="shared" ca="1" si="256"/>
        <v>0</v>
      </c>
      <c r="R506" s="627">
        <f t="shared" ca="1" si="256"/>
        <v>0</v>
      </c>
      <c r="S506" s="627">
        <f ca="1">SUM(S507:S526)</f>
        <v>4283.2899999999991</v>
      </c>
      <c r="T506" s="627">
        <f t="shared" ref="T506:X506" ca="1" si="257">SUM(T507:T526)</f>
        <v>-1321.1100000000006</v>
      </c>
      <c r="U506" s="627">
        <f t="shared" ca="1" si="257"/>
        <v>423.2400000000016</v>
      </c>
      <c r="V506" s="627">
        <f t="shared" ca="1" si="257"/>
        <v>1425.9299999999985</v>
      </c>
      <c r="W506" s="627">
        <f t="shared" ca="1" si="257"/>
        <v>-34537.25</v>
      </c>
      <c r="X506" s="627">
        <f t="shared" ca="1" si="257"/>
        <v>-35099.589999999997</v>
      </c>
      <c r="Y506" s="627">
        <f ca="1">SUM(Y507:Y526)</f>
        <v>-24749.199999999997</v>
      </c>
      <c r="Z506" s="627">
        <f t="shared" ref="Z506:AD506" ca="1" si="258">SUM(Z507:Z526)</f>
        <v>-22413.620000000003</v>
      </c>
      <c r="AA506" s="627">
        <f t="shared" ca="1" si="258"/>
        <v>-29955.279999999999</v>
      </c>
      <c r="AB506" s="627">
        <f t="shared" ca="1" si="258"/>
        <v>-32291.71</v>
      </c>
      <c r="AC506" s="627">
        <f t="shared" ca="1" si="258"/>
        <v>0</v>
      </c>
      <c r="AD506" s="627">
        <f t="shared" ca="1" si="258"/>
        <v>0</v>
      </c>
      <c r="AE506" s="627">
        <f ca="1">SUM(AE507:AE526)</f>
        <v>1878.94</v>
      </c>
      <c r="AF506" s="627">
        <f t="shared" ref="AF506:AJ506" ca="1" si="259">SUM(AF507:AF526)</f>
        <v>-3725.46</v>
      </c>
      <c r="AG506" s="627">
        <f t="shared" ca="1" si="259"/>
        <v>-1981.1100000000006</v>
      </c>
      <c r="AH506" s="627">
        <f t="shared" ca="1" si="259"/>
        <v>-978.42000000000007</v>
      </c>
      <c r="AI506" s="627">
        <f t="shared" ca="1" si="259"/>
        <v>-36941.599999999999</v>
      </c>
      <c r="AJ506" s="627">
        <f t="shared" ca="1" si="259"/>
        <v>-37503.94</v>
      </c>
      <c r="AK506" s="627">
        <f ca="1">SUM(AK507:AK526)</f>
        <v>-27153.550000000003</v>
      </c>
      <c r="AL506" s="627">
        <f t="shared" ref="AL506:AP506" ca="1" si="260">SUM(AL507:AL526)</f>
        <v>-24817.97</v>
      </c>
      <c r="AM506" s="627">
        <f t="shared" ca="1" si="260"/>
        <v>-32359.629999999997</v>
      </c>
      <c r="AN506" s="627">
        <f t="shared" ca="1" si="260"/>
        <v>-34696.06</v>
      </c>
      <c r="AO506" s="627">
        <f t="shared" ca="1" si="260"/>
        <v>-34696.06</v>
      </c>
      <c r="AP506" s="627">
        <f t="shared" ca="1" si="260"/>
        <v>-34696.06</v>
      </c>
    </row>
    <row r="507" spans="1:42" s="594" customFormat="1" ht="11.25" outlineLevel="1" x14ac:dyDescent="0.2">
      <c r="A507" s="644"/>
      <c r="B507" s="591" t="str">
        <f>IF(D507&lt;&gt;"",
IF(ISERROR(MATCH(D507,'Ist Vorjahr Monat 01'!A:A,0))=FALSE,INDEX('Ist Vorjahr Monat 01'!B:B,MATCH(D507,'Ist Vorjahr Monat 01'!A:A,0)),
IF(ISERROR(MATCH(D507,'Ist Vorjahr Monat 02'!A:A,0))=FALSE,INDEX('Ist Vorjahr Monat 02'!B:B,MATCH(D507,'Ist Vorjahr Monat 02'!A:A,0)),
IF(ISERROR(MATCH(D507,'Ist Vorjahr Monat 03'!A:A,0))=FALSE,INDEX('Ist Vorjahr Monat 03'!B:B,MATCH(D507,'Ist Vorjahr Monat 03'!A:A,0)),
IF(ISERROR(MATCH(D507,'Ist Vorjahr Monat 04'!A:A,0))=FALSE,INDEX('Ist Vorjahr Monat 04'!B:B,MATCH(D507,'Ist Vorjahr Monat 04'!A:A,0)),
IF(ISERROR(MATCH(D507,'Ist Vorjahr Monat 05'!A:A,0))=FALSE,INDEX('Ist Vorjahr Monat 05'!B:B,MATCH(D507,'Ist Vorjahr Monat 05'!A:A,0)),
IF(ISERROR(MATCH(D507,'Ist Vorjahr Monat 06'!A:A,0))=FALSE,INDEX('Ist Vorjahr Monat 06'!B:B,MATCH(D507,'Ist Vorjahr Monat 06'!A:A,0)),
IF(ISERROR(MATCH(D507,'Ist Vorjahr Monat 07'!A:A,0))=FALSE,INDEX('Ist Vorjahr Monat 07'!B:B,MATCH(D507,'Ist Vorjahr Monat 07'!A:A,0)),
IF(ISERROR(MATCH(D507,'Ist Vorjahr Monat 08'!A:A,0))=FALSE,INDEX('Ist Vorjahr Monat 08'!B:B,MATCH(D507,'Ist Vorjahr Monat 08'!A:A,0)),
IF(ISERROR(MATCH(D507,'Ist Vorjahr Monat 09'!A:A,0))=FALSE,INDEX('Ist Vorjahr Monat 09'!B:B,MATCH(D507,'Ist Vorjahr Monat 09'!A:A,0)),
IF(ISERROR(MATCH(D507,'Ist Vorjahr Monat 10'!A:A,0))=FALSE,INDEX('Ist Vorjahr Monat 10'!B:B,MATCH(D507,'Ist Vorjahr Monat 10'!A:A,0)),
IF(ISERROR(MATCH(D507,'Ist Vorjahr Monat 11'!A:A,0))=FALSE,INDEX('Ist Vorjahr Monat 11'!B:B,MATCH(D507,'Ist Vorjahr Monat 11'!A:A,0)),
IF(ISERROR(MATCH(D507,'Ist Vorjahr Monat 12'!A:A,0))=FALSE,INDEX('Ist Vorjahr Monat 12'!B:B,MATCH(D507,'Ist Vorjahr Monat 12'!A:A,0)),
"{Konto unbekannt}"
)))))))))))),"")</f>
        <v>Verbindl. aus Lieferungen u. Leistungen</v>
      </c>
      <c r="C507" s="1062"/>
      <c r="D507" s="1067">
        <v>1600</v>
      </c>
      <c r="E507" s="625">
        <f t="shared" si="237"/>
        <v>1</v>
      </c>
      <c r="F507" s="626"/>
      <c r="G507" s="593">
        <f ca="1">$E507*(SUMIF(INDIRECT(G$3),'Struktur Vorjahr'!$D507,INDIRECT(G$4))-SUMIF(INDIRECT(G$3),'Struktur Vorjahr'!$D507,INDIRECT(G$5)))</f>
        <v>-189.19</v>
      </c>
      <c r="H507" s="593">
        <f ca="1">$E507*(SUMIF(INDIRECT(H$3),'Struktur Vorjahr'!$D507,INDIRECT(H$4))-SUMIF(INDIRECT(H$3),'Struktur Vorjahr'!$D507,INDIRECT(H$5)))</f>
        <v>-215.36</v>
      </c>
      <c r="I507" s="593">
        <f ca="1">$E507*(SUMIF(INDIRECT(I$3),'Struktur Vorjahr'!$D507,INDIRECT(I$4))-SUMIF(INDIRECT(I$3),'Struktur Vorjahr'!$D507,INDIRECT(I$5)))</f>
        <v>1543.33</v>
      </c>
      <c r="J507" s="593">
        <f ca="1">$E507*(SUMIF(INDIRECT(J$3),'Struktur Vorjahr'!$D507,INDIRECT(J$4))-SUMIF(INDIRECT(J$3),'Struktur Vorjahr'!$D507,INDIRECT(J$5)))</f>
        <v>-165.24</v>
      </c>
      <c r="K507" s="593">
        <f ca="1">$E507*(SUMIF(INDIRECT(K$3),'Struktur Vorjahr'!$D507,INDIRECT(K$4))-SUMIF(INDIRECT(K$3),'Struktur Vorjahr'!$D507,INDIRECT(K$5)))</f>
        <v>-479.25</v>
      </c>
      <c r="L507" s="593">
        <f ca="1">$E507*(SUMIF(INDIRECT(L$3),'Struktur Vorjahr'!$D507,INDIRECT(L$4))-SUMIF(INDIRECT(L$3),'Struktur Vorjahr'!$D507,INDIRECT(L$5)))</f>
        <v>-1456.88</v>
      </c>
      <c r="M507" s="593">
        <f ca="1">$E507*(SUMIF(INDIRECT(M$3),'Struktur Vorjahr'!$D507,INDIRECT(M$4))-SUMIF(INDIRECT(M$3),'Struktur Vorjahr'!$D507,INDIRECT(M$5)))</f>
        <v>653.91</v>
      </c>
      <c r="N507" s="593">
        <f ca="1">$E507*(SUMIF(INDIRECT(N$3),'Struktur Vorjahr'!$D507,INDIRECT(N$4))-SUMIF(INDIRECT(N$3),'Struktur Vorjahr'!$D507,INDIRECT(N$5)))</f>
        <v>1022.49</v>
      </c>
      <c r="O507" s="593">
        <f ca="1">$E507*(SUMIF(INDIRECT(O$3),'Struktur Vorjahr'!$D507,INDIRECT(O$4))-SUMIF(INDIRECT(O$3),'Struktur Vorjahr'!$D507,INDIRECT(O$5)))</f>
        <v>-1110.6400000000001</v>
      </c>
      <c r="P507" s="593">
        <f ca="1">$E507*(SUMIF(INDIRECT(P$3),'Struktur Vorjahr'!$D507,INDIRECT(P$4))-SUMIF(INDIRECT(P$3),'Struktur Vorjahr'!$D507,INDIRECT(P$5)))</f>
        <v>-200.4</v>
      </c>
      <c r="Q507" s="593">
        <f ca="1">$E507*(SUMIF(INDIRECT(Q$3),'Struktur Vorjahr'!$D507,INDIRECT(Q$4))-SUMIF(INDIRECT(Q$3),'Struktur Vorjahr'!$D507,INDIRECT(Q$5)))</f>
        <v>0</v>
      </c>
      <c r="R507" s="593">
        <f ca="1">$E507*(SUMIF(INDIRECT(R$3),'Struktur Vorjahr'!$D507,INDIRECT(R$4))-SUMIF(INDIRECT(R$3),'Struktur Vorjahr'!$D507,INDIRECT(R$5)))</f>
        <v>0</v>
      </c>
      <c r="S507" s="593">
        <f ca="1">$E507*(SUMIF(INDIRECT(S$3),'Struktur Vorjahr'!$D507,INDIRECT(S$4))-SUMIF(INDIRECT(S$3),'Struktur Vorjahr'!$D507,INDIRECT(S$5)))</f>
        <v>1206.06</v>
      </c>
      <c r="T507" s="593">
        <f ca="1">$E507*(SUMIF(INDIRECT(T$3),'Struktur Vorjahr'!$D507,INDIRECT(T$4))-SUMIF(INDIRECT(T$3),'Struktur Vorjahr'!$D507,INDIRECT(T$5)))</f>
        <v>990.7</v>
      </c>
      <c r="U507" s="593">
        <f ca="1">$E507*(SUMIF(INDIRECT(U$3),'Struktur Vorjahr'!$D507,INDIRECT(U$4))-SUMIF(INDIRECT(U$3),'Struktur Vorjahr'!$D507,INDIRECT(U$5)))</f>
        <v>2534.0300000000002</v>
      </c>
      <c r="V507" s="593">
        <f ca="1">$E507*(SUMIF(INDIRECT(V$3),'Struktur Vorjahr'!$D507,INDIRECT(V$4))-SUMIF(INDIRECT(V$3),'Struktur Vorjahr'!$D507,INDIRECT(V$5)))</f>
        <v>2368.79</v>
      </c>
      <c r="W507" s="593">
        <f ca="1">$E507*(SUMIF(INDIRECT(W$3),'Struktur Vorjahr'!$D507,INDIRECT(W$4))-SUMIF(INDIRECT(W$3),'Struktur Vorjahr'!$D507,INDIRECT(W$5)))</f>
        <v>1889.54</v>
      </c>
      <c r="X507" s="593">
        <f ca="1">$E507*(SUMIF(INDIRECT(X$3),'Struktur Vorjahr'!$D507,INDIRECT(X$4))-SUMIF(INDIRECT(X$3),'Struktur Vorjahr'!$D507,INDIRECT(X$5)))</f>
        <v>432.66</v>
      </c>
      <c r="Y507" s="593">
        <f ca="1">$E507*(SUMIF(INDIRECT(Y$3),'Struktur Vorjahr'!$D507,INDIRECT(Y$4))-SUMIF(INDIRECT(Y$3),'Struktur Vorjahr'!$D507,INDIRECT(Y$5)))</f>
        <v>1086.57</v>
      </c>
      <c r="Z507" s="593">
        <f ca="1">$E507*(SUMIF(INDIRECT(Z$3),'Struktur Vorjahr'!$D507,INDIRECT(Z$4))-SUMIF(INDIRECT(Z$3),'Struktur Vorjahr'!$D507,INDIRECT(Z$5)))</f>
        <v>2109.06</v>
      </c>
      <c r="AA507" s="593">
        <f ca="1">$E507*(SUMIF(INDIRECT(AA$3),'Struktur Vorjahr'!$D507,INDIRECT(AA$4))-SUMIF(INDIRECT(AA$3),'Struktur Vorjahr'!$D507,INDIRECT(AA$5)))</f>
        <v>998.42</v>
      </c>
      <c r="AB507" s="593">
        <f ca="1">$E507*(SUMIF(INDIRECT(AB$3),'Struktur Vorjahr'!$D507,INDIRECT(AB$4))-SUMIF(INDIRECT(AB$3),'Struktur Vorjahr'!$D507,INDIRECT(AB$5)))</f>
        <v>798.02</v>
      </c>
      <c r="AC507" s="593">
        <f ca="1">$E507*(SUMIF(INDIRECT(AC$3),'Struktur Vorjahr'!$D507,INDIRECT(AC$4))-SUMIF(INDIRECT(AC$3),'Struktur Vorjahr'!$D507,INDIRECT(AC$5)))</f>
        <v>0</v>
      </c>
      <c r="AD507" s="593">
        <f ca="1">$E507*(SUMIF(INDIRECT(AD$3),'Struktur Vorjahr'!$D507,INDIRECT(AD$4))-SUMIF(INDIRECT(AD$3),'Struktur Vorjahr'!$D507,INDIRECT(AD$5)))</f>
        <v>0</v>
      </c>
      <c r="AE507" s="593">
        <f t="shared" ref="AE507:AE526" ca="1" si="261">G507</f>
        <v>-189.19</v>
      </c>
      <c r="AF507" s="593">
        <f t="shared" ref="AF507:AP526" ca="1" si="262">H507+AE507</f>
        <v>-404.55</v>
      </c>
      <c r="AG507" s="593">
        <f t="shared" ca="1" si="262"/>
        <v>1138.78</v>
      </c>
      <c r="AH507" s="593">
        <f t="shared" ca="1" si="262"/>
        <v>973.54</v>
      </c>
      <c r="AI507" s="593">
        <f t="shared" ca="1" si="262"/>
        <v>494.28999999999996</v>
      </c>
      <c r="AJ507" s="593">
        <f t="shared" ca="1" si="262"/>
        <v>-962.59000000000015</v>
      </c>
      <c r="AK507" s="593">
        <f t="shared" ca="1" si="262"/>
        <v>-308.68000000000018</v>
      </c>
      <c r="AL507" s="593">
        <f t="shared" ca="1" si="262"/>
        <v>713.80999999999983</v>
      </c>
      <c r="AM507" s="593">
        <f t="shared" ca="1" si="262"/>
        <v>-396.83000000000027</v>
      </c>
      <c r="AN507" s="593">
        <f t="shared" ca="1" si="262"/>
        <v>-597.23000000000025</v>
      </c>
      <c r="AO507" s="593">
        <f t="shared" ca="1" si="262"/>
        <v>-597.23000000000025</v>
      </c>
      <c r="AP507" s="593">
        <f t="shared" ca="1" si="262"/>
        <v>-597.23000000000025</v>
      </c>
    </row>
    <row r="508" spans="1:42" s="594" customFormat="1" ht="11.25" x14ac:dyDescent="0.2">
      <c r="A508" s="644"/>
      <c r="B508" s="591" t="str">
        <f>IF(D508&lt;&gt;"",
IF(ISERROR(MATCH(D508,'Ist Vorjahr Monat 01'!A:A,0))=FALSE,INDEX('Ist Vorjahr Monat 01'!B:B,MATCH(D508,'Ist Vorjahr Monat 01'!A:A,0)),
IF(ISERROR(MATCH(D508,'Ist Vorjahr Monat 02'!A:A,0))=FALSE,INDEX('Ist Vorjahr Monat 02'!B:B,MATCH(D508,'Ist Vorjahr Monat 02'!A:A,0)),
IF(ISERROR(MATCH(D508,'Ist Vorjahr Monat 03'!A:A,0))=FALSE,INDEX('Ist Vorjahr Monat 03'!B:B,MATCH(D508,'Ist Vorjahr Monat 03'!A:A,0)),
IF(ISERROR(MATCH(D508,'Ist Vorjahr Monat 04'!A:A,0))=FALSE,INDEX('Ist Vorjahr Monat 04'!B:B,MATCH(D508,'Ist Vorjahr Monat 04'!A:A,0)),
IF(ISERROR(MATCH(D508,'Ist Vorjahr Monat 05'!A:A,0))=FALSE,INDEX('Ist Vorjahr Monat 05'!B:B,MATCH(D508,'Ist Vorjahr Monat 05'!A:A,0)),
IF(ISERROR(MATCH(D508,'Ist Vorjahr Monat 06'!A:A,0))=FALSE,INDEX('Ist Vorjahr Monat 06'!B:B,MATCH(D508,'Ist Vorjahr Monat 06'!A:A,0)),
IF(ISERROR(MATCH(D508,'Ist Vorjahr Monat 07'!A:A,0))=FALSE,INDEX('Ist Vorjahr Monat 07'!B:B,MATCH(D508,'Ist Vorjahr Monat 07'!A:A,0)),
IF(ISERROR(MATCH(D508,'Ist Vorjahr Monat 08'!A:A,0))=FALSE,INDEX('Ist Vorjahr Monat 08'!B:B,MATCH(D508,'Ist Vorjahr Monat 08'!A:A,0)),
IF(ISERROR(MATCH(D508,'Ist Vorjahr Monat 09'!A:A,0))=FALSE,INDEX('Ist Vorjahr Monat 09'!B:B,MATCH(D508,'Ist Vorjahr Monat 09'!A:A,0)),
IF(ISERROR(MATCH(D508,'Ist Vorjahr Monat 10'!A:A,0))=FALSE,INDEX('Ist Vorjahr Monat 10'!B:B,MATCH(D508,'Ist Vorjahr Monat 10'!A:A,0)),
IF(ISERROR(MATCH(D508,'Ist Vorjahr Monat 11'!A:A,0))=FALSE,INDEX('Ist Vorjahr Monat 11'!B:B,MATCH(D508,'Ist Vorjahr Monat 11'!A:A,0)),
IF(ISERROR(MATCH(D508,'Ist Vorjahr Monat 12'!A:A,0))=FALSE,INDEX('Ist Vorjahr Monat 12'!B:B,MATCH(D508,'Ist Vorjahr Monat 12'!A:A,0)),
"{Konto unbekannt}"
)))))))))))),"")</f>
        <v>Verbindlichkeiten aus Lohn und Gehalt</v>
      </c>
      <c r="C508" s="1062"/>
      <c r="D508" s="1067">
        <v>1740</v>
      </c>
      <c r="E508" s="625">
        <f t="shared" si="237"/>
        <v>1</v>
      </c>
      <c r="F508" s="626"/>
      <c r="G508" s="593">
        <f ca="1">$E508*(SUMIF(INDIRECT(G$3),'Struktur Vorjahr'!$D508,INDIRECT(G$4))-SUMIF(INDIRECT(G$3),'Struktur Vorjahr'!$D508,INDIRECT(G$5)))</f>
        <v>18.899999999999999</v>
      </c>
      <c r="H508" s="593">
        <f ca="1">$E508*(SUMIF(INDIRECT(H$3),'Struktur Vorjahr'!$D508,INDIRECT(H$4))-SUMIF(INDIRECT(H$3),'Struktur Vorjahr'!$D508,INDIRECT(H$5)))</f>
        <v>0</v>
      </c>
      <c r="I508" s="593">
        <f ca="1">$E508*(SUMIF(INDIRECT(I$3),'Struktur Vorjahr'!$D508,INDIRECT(I$4))-SUMIF(INDIRECT(I$3),'Struktur Vorjahr'!$D508,INDIRECT(I$5)))</f>
        <v>27</v>
      </c>
      <c r="J508" s="593">
        <f ca="1">$E508*(SUMIF(INDIRECT(J$3),'Struktur Vorjahr'!$D508,INDIRECT(J$4))-SUMIF(INDIRECT(J$3),'Struktur Vorjahr'!$D508,INDIRECT(J$5)))</f>
        <v>44.4</v>
      </c>
      <c r="K508" s="593">
        <f ca="1">$E508*(SUMIF(INDIRECT(K$3),'Struktur Vorjahr'!$D508,INDIRECT(K$4))-SUMIF(INDIRECT(K$3),'Struktur Vorjahr'!$D508,INDIRECT(K$5)))</f>
        <v>45.3</v>
      </c>
      <c r="L508" s="593">
        <f ca="1">$E508*(SUMIF(INDIRECT(L$3),'Struktur Vorjahr'!$D508,INDIRECT(L$4))-SUMIF(INDIRECT(L$3),'Struktur Vorjahr'!$D508,INDIRECT(L$5)))</f>
        <v>115.2</v>
      </c>
      <c r="M508" s="593">
        <f ca="1">$E508*(SUMIF(INDIRECT(M$3),'Struktur Vorjahr'!$D508,INDIRECT(M$4))-SUMIF(INDIRECT(M$3),'Struktur Vorjahr'!$D508,INDIRECT(M$5)))</f>
        <v>41.7</v>
      </c>
      <c r="N508" s="593">
        <f ca="1">$E508*(SUMIF(INDIRECT(N$3),'Struktur Vorjahr'!$D508,INDIRECT(N$4))-SUMIF(INDIRECT(N$3),'Struktur Vorjahr'!$D508,INDIRECT(N$5)))</f>
        <v>0</v>
      </c>
      <c r="O508" s="593">
        <f ca="1">$E508*(SUMIF(INDIRECT(O$3),'Struktur Vorjahr'!$D508,INDIRECT(O$4))-SUMIF(INDIRECT(O$3),'Struktur Vorjahr'!$D508,INDIRECT(O$5)))</f>
        <v>8.4</v>
      </c>
      <c r="P508" s="593">
        <f ca="1">$E508*(SUMIF(INDIRECT(P$3),'Struktur Vorjahr'!$D508,INDIRECT(P$4))-SUMIF(INDIRECT(P$3),'Struktur Vorjahr'!$D508,INDIRECT(P$5)))</f>
        <v>208.8</v>
      </c>
      <c r="Q508" s="593">
        <f ca="1">$E508*(SUMIF(INDIRECT(Q$3),'Struktur Vorjahr'!$D508,INDIRECT(Q$4))-SUMIF(INDIRECT(Q$3),'Struktur Vorjahr'!$D508,INDIRECT(Q$5)))</f>
        <v>0</v>
      </c>
      <c r="R508" s="593">
        <f ca="1">$E508*(SUMIF(INDIRECT(R$3),'Struktur Vorjahr'!$D508,INDIRECT(R$4))-SUMIF(INDIRECT(R$3),'Struktur Vorjahr'!$D508,INDIRECT(R$5)))</f>
        <v>0</v>
      </c>
      <c r="S508" s="593">
        <f ca="1">$E508*(SUMIF(INDIRECT(S$3),'Struktur Vorjahr'!$D508,INDIRECT(S$4))-SUMIF(INDIRECT(S$3),'Struktur Vorjahr'!$D508,INDIRECT(S$5)))</f>
        <v>364.5</v>
      </c>
      <c r="T508" s="593">
        <f ca="1">$E508*(SUMIF(INDIRECT(T$3),'Struktur Vorjahr'!$D508,INDIRECT(T$4))-SUMIF(INDIRECT(T$3),'Struktur Vorjahr'!$D508,INDIRECT(T$5)))</f>
        <v>364.5</v>
      </c>
      <c r="U508" s="593">
        <f ca="1">$E508*(SUMIF(INDIRECT(U$3),'Struktur Vorjahr'!$D508,INDIRECT(U$4))-SUMIF(INDIRECT(U$3),'Struktur Vorjahr'!$D508,INDIRECT(U$5)))</f>
        <v>391.5</v>
      </c>
      <c r="V508" s="593">
        <f ca="1">$E508*(SUMIF(INDIRECT(V$3),'Struktur Vorjahr'!$D508,INDIRECT(V$4))-SUMIF(INDIRECT(V$3),'Struktur Vorjahr'!$D508,INDIRECT(V$5)))</f>
        <v>435.9</v>
      </c>
      <c r="W508" s="593">
        <f ca="1">$E508*(SUMIF(INDIRECT(W$3),'Struktur Vorjahr'!$D508,INDIRECT(W$4))-SUMIF(INDIRECT(W$3),'Struktur Vorjahr'!$D508,INDIRECT(W$5)))</f>
        <v>481.2</v>
      </c>
      <c r="X508" s="593">
        <f ca="1">$E508*(SUMIF(INDIRECT(X$3),'Struktur Vorjahr'!$D508,INDIRECT(X$4))-SUMIF(INDIRECT(X$3),'Struktur Vorjahr'!$D508,INDIRECT(X$5)))</f>
        <v>596.4</v>
      </c>
      <c r="Y508" s="593">
        <f ca="1">$E508*(SUMIF(INDIRECT(Y$3),'Struktur Vorjahr'!$D508,INDIRECT(Y$4))-SUMIF(INDIRECT(Y$3),'Struktur Vorjahr'!$D508,INDIRECT(Y$5)))</f>
        <v>638.1</v>
      </c>
      <c r="Z508" s="593">
        <f ca="1">$E508*(SUMIF(INDIRECT(Z$3),'Struktur Vorjahr'!$D508,INDIRECT(Z$4))-SUMIF(INDIRECT(Z$3),'Struktur Vorjahr'!$D508,INDIRECT(Z$5)))</f>
        <v>638.1</v>
      </c>
      <c r="AA508" s="593">
        <f ca="1">$E508*(SUMIF(INDIRECT(AA$3),'Struktur Vorjahr'!$D508,INDIRECT(AA$4))-SUMIF(INDIRECT(AA$3),'Struktur Vorjahr'!$D508,INDIRECT(AA$5)))</f>
        <v>646.5</v>
      </c>
      <c r="AB508" s="593">
        <f ca="1">$E508*(SUMIF(INDIRECT(AB$3),'Struktur Vorjahr'!$D508,INDIRECT(AB$4))-SUMIF(INDIRECT(AB$3),'Struktur Vorjahr'!$D508,INDIRECT(AB$5)))</f>
        <v>855.3</v>
      </c>
      <c r="AC508" s="593">
        <f ca="1">$E508*(SUMIF(INDIRECT(AC$3),'Struktur Vorjahr'!$D508,INDIRECT(AC$4))-SUMIF(INDIRECT(AC$3),'Struktur Vorjahr'!$D508,INDIRECT(AC$5)))</f>
        <v>0</v>
      </c>
      <c r="AD508" s="593">
        <f ca="1">$E508*(SUMIF(INDIRECT(AD$3),'Struktur Vorjahr'!$D508,INDIRECT(AD$4))-SUMIF(INDIRECT(AD$3),'Struktur Vorjahr'!$D508,INDIRECT(AD$5)))</f>
        <v>0</v>
      </c>
      <c r="AE508" s="593">
        <f t="shared" ca="1" si="261"/>
        <v>18.899999999999999</v>
      </c>
      <c r="AF508" s="593">
        <f t="shared" ca="1" si="262"/>
        <v>18.899999999999999</v>
      </c>
      <c r="AG508" s="593">
        <f t="shared" ca="1" si="262"/>
        <v>45.9</v>
      </c>
      <c r="AH508" s="593">
        <f t="shared" ca="1" si="262"/>
        <v>90.3</v>
      </c>
      <c r="AI508" s="593">
        <f t="shared" ca="1" si="262"/>
        <v>135.6</v>
      </c>
      <c r="AJ508" s="593">
        <f t="shared" ca="1" si="262"/>
        <v>250.8</v>
      </c>
      <c r="AK508" s="593">
        <f t="shared" ca="1" si="262"/>
        <v>292.5</v>
      </c>
      <c r="AL508" s="593">
        <f t="shared" ca="1" si="262"/>
        <v>292.5</v>
      </c>
      <c r="AM508" s="593">
        <f t="shared" ca="1" si="262"/>
        <v>300.89999999999998</v>
      </c>
      <c r="AN508" s="593">
        <f t="shared" ca="1" si="262"/>
        <v>509.7</v>
      </c>
      <c r="AO508" s="593">
        <f t="shared" ca="1" si="262"/>
        <v>509.7</v>
      </c>
      <c r="AP508" s="593">
        <f t="shared" ca="1" si="262"/>
        <v>509.7</v>
      </c>
    </row>
    <row r="509" spans="1:42" s="594" customFormat="1" ht="11.25" x14ac:dyDescent="0.2">
      <c r="A509" s="644"/>
      <c r="B509" s="591" t="str">
        <f>IF(D509&lt;&gt;"",
IF(ISERROR(MATCH(D509,'Ist Vorjahr Monat 01'!A:A,0))=FALSE,INDEX('Ist Vorjahr Monat 01'!B:B,MATCH(D509,'Ist Vorjahr Monat 01'!A:A,0)),
IF(ISERROR(MATCH(D509,'Ist Vorjahr Monat 02'!A:A,0))=FALSE,INDEX('Ist Vorjahr Monat 02'!B:B,MATCH(D509,'Ist Vorjahr Monat 02'!A:A,0)),
IF(ISERROR(MATCH(D509,'Ist Vorjahr Monat 03'!A:A,0))=FALSE,INDEX('Ist Vorjahr Monat 03'!B:B,MATCH(D509,'Ist Vorjahr Monat 03'!A:A,0)),
IF(ISERROR(MATCH(D509,'Ist Vorjahr Monat 04'!A:A,0))=FALSE,INDEX('Ist Vorjahr Monat 04'!B:B,MATCH(D509,'Ist Vorjahr Monat 04'!A:A,0)),
IF(ISERROR(MATCH(D509,'Ist Vorjahr Monat 05'!A:A,0))=FALSE,INDEX('Ist Vorjahr Monat 05'!B:B,MATCH(D509,'Ist Vorjahr Monat 05'!A:A,0)),
IF(ISERROR(MATCH(D509,'Ist Vorjahr Monat 06'!A:A,0))=FALSE,INDEX('Ist Vorjahr Monat 06'!B:B,MATCH(D509,'Ist Vorjahr Monat 06'!A:A,0)),
IF(ISERROR(MATCH(D509,'Ist Vorjahr Monat 07'!A:A,0))=FALSE,INDEX('Ist Vorjahr Monat 07'!B:B,MATCH(D509,'Ist Vorjahr Monat 07'!A:A,0)),
IF(ISERROR(MATCH(D509,'Ist Vorjahr Monat 08'!A:A,0))=FALSE,INDEX('Ist Vorjahr Monat 08'!B:B,MATCH(D509,'Ist Vorjahr Monat 08'!A:A,0)),
IF(ISERROR(MATCH(D509,'Ist Vorjahr Monat 09'!A:A,0))=FALSE,INDEX('Ist Vorjahr Monat 09'!B:B,MATCH(D509,'Ist Vorjahr Monat 09'!A:A,0)),
IF(ISERROR(MATCH(D509,'Ist Vorjahr Monat 10'!A:A,0))=FALSE,INDEX('Ist Vorjahr Monat 10'!B:B,MATCH(D509,'Ist Vorjahr Monat 10'!A:A,0)),
IF(ISERROR(MATCH(D509,'Ist Vorjahr Monat 11'!A:A,0))=FALSE,INDEX('Ist Vorjahr Monat 11'!B:B,MATCH(D509,'Ist Vorjahr Monat 11'!A:A,0)),
IF(ISERROR(MATCH(D509,'Ist Vorjahr Monat 12'!A:A,0))=FALSE,INDEX('Ist Vorjahr Monat 12'!B:B,MATCH(D509,'Ist Vorjahr Monat 12'!A:A,0)),
"{Konto unbekannt}"
)))))))))))),"")</f>
        <v>Verbindlichk. Lohn- und Kirchensteuer</v>
      </c>
      <c r="C509" s="1062"/>
      <c r="D509" s="1067">
        <v>1741</v>
      </c>
      <c r="E509" s="625">
        <f t="shared" si="237"/>
        <v>1</v>
      </c>
      <c r="F509" s="626"/>
      <c r="G509" s="593">
        <f ca="1">$E509*(SUMIF(INDIRECT(G$3),'Struktur Vorjahr'!$D509,INDIRECT(G$4))-SUMIF(INDIRECT(G$3),'Struktur Vorjahr'!$D509,INDIRECT(G$5)))</f>
        <v>731.59</v>
      </c>
      <c r="H509" s="593">
        <f ca="1">$E509*(SUMIF(INDIRECT(H$3),'Struktur Vorjahr'!$D509,INDIRECT(H$4))-SUMIF(INDIRECT(H$3),'Struktur Vorjahr'!$D509,INDIRECT(H$5)))</f>
        <v>-136.44999999999999</v>
      </c>
      <c r="I509" s="593">
        <f ca="1">$E509*(SUMIF(INDIRECT(I$3),'Struktur Vorjahr'!$D509,INDIRECT(I$4))-SUMIF(INDIRECT(I$3),'Struktur Vorjahr'!$D509,INDIRECT(I$5)))</f>
        <v>159.62</v>
      </c>
      <c r="J509" s="593">
        <f ca="1">$E509*(SUMIF(INDIRECT(J$3),'Struktur Vorjahr'!$D509,INDIRECT(J$4))-SUMIF(INDIRECT(J$3),'Struktur Vorjahr'!$D509,INDIRECT(J$5)))</f>
        <v>202.7</v>
      </c>
      <c r="K509" s="593">
        <f ca="1">$E509*(SUMIF(INDIRECT(K$3),'Struktur Vorjahr'!$D509,INDIRECT(K$4))-SUMIF(INDIRECT(K$3),'Struktur Vorjahr'!$D509,INDIRECT(K$5)))</f>
        <v>-282.27</v>
      </c>
      <c r="L509" s="593">
        <f ca="1">$E509*(SUMIF(INDIRECT(L$3),'Struktur Vorjahr'!$D509,INDIRECT(L$4))-SUMIF(INDIRECT(L$3),'Struktur Vorjahr'!$D509,INDIRECT(L$5)))</f>
        <v>-26.31</v>
      </c>
      <c r="M509" s="593">
        <f ca="1">$E509*(SUMIF(INDIRECT(M$3),'Struktur Vorjahr'!$D509,INDIRECT(M$4))-SUMIF(INDIRECT(M$3),'Struktur Vorjahr'!$D509,INDIRECT(M$5)))</f>
        <v>662.29</v>
      </c>
      <c r="N509" s="593">
        <f ca="1">$E509*(SUMIF(INDIRECT(N$3),'Struktur Vorjahr'!$D509,INDIRECT(N$4))-SUMIF(INDIRECT(N$3),'Struktur Vorjahr'!$D509,INDIRECT(N$5)))</f>
        <v>-879.1</v>
      </c>
      <c r="O509" s="593">
        <f ca="1">$E509*(SUMIF(INDIRECT(O$3),'Struktur Vorjahr'!$D509,INDIRECT(O$4))-SUMIF(INDIRECT(O$3),'Struktur Vorjahr'!$D509,INDIRECT(O$5)))</f>
        <v>0</v>
      </c>
      <c r="P509" s="593">
        <f ca="1">$E509*(SUMIF(INDIRECT(P$3),'Struktur Vorjahr'!$D509,INDIRECT(P$4))-SUMIF(INDIRECT(P$3),'Struktur Vorjahr'!$D509,INDIRECT(P$5)))</f>
        <v>-5.63</v>
      </c>
      <c r="Q509" s="593">
        <f ca="1">$E509*(SUMIF(INDIRECT(Q$3),'Struktur Vorjahr'!$D509,INDIRECT(Q$4))-SUMIF(INDIRECT(Q$3),'Struktur Vorjahr'!$D509,INDIRECT(Q$5)))</f>
        <v>0</v>
      </c>
      <c r="R509" s="593">
        <f ca="1">$E509*(SUMIF(INDIRECT(R$3),'Struktur Vorjahr'!$D509,INDIRECT(R$4))-SUMIF(INDIRECT(R$3),'Struktur Vorjahr'!$D509,INDIRECT(R$5)))</f>
        <v>0</v>
      </c>
      <c r="S509" s="593">
        <f ca="1">$E509*(SUMIF(INDIRECT(S$3),'Struktur Vorjahr'!$D509,INDIRECT(S$4))-SUMIF(INDIRECT(S$3),'Struktur Vorjahr'!$D509,INDIRECT(S$5)))</f>
        <v>1295.0899999999999</v>
      </c>
      <c r="T509" s="593">
        <f ca="1">$E509*(SUMIF(INDIRECT(T$3),'Struktur Vorjahr'!$D509,INDIRECT(T$4))-SUMIF(INDIRECT(T$3),'Struktur Vorjahr'!$D509,INDIRECT(T$5)))</f>
        <v>1158.6400000000001</v>
      </c>
      <c r="U509" s="593">
        <f ca="1">$E509*(SUMIF(INDIRECT(U$3),'Struktur Vorjahr'!$D509,INDIRECT(U$4))-SUMIF(INDIRECT(U$3),'Struktur Vorjahr'!$D509,INDIRECT(U$5)))</f>
        <v>1318.26</v>
      </c>
      <c r="V509" s="593">
        <f ca="1">$E509*(SUMIF(INDIRECT(V$3),'Struktur Vorjahr'!$D509,INDIRECT(V$4))-SUMIF(INDIRECT(V$3),'Struktur Vorjahr'!$D509,INDIRECT(V$5)))</f>
        <v>1520.96</v>
      </c>
      <c r="W509" s="593">
        <f ca="1">$E509*(SUMIF(INDIRECT(W$3),'Struktur Vorjahr'!$D509,INDIRECT(W$4))-SUMIF(INDIRECT(W$3),'Struktur Vorjahr'!$D509,INDIRECT(W$5)))</f>
        <v>1238.69</v>
      </c>
      <c r="X509" s="593">
        <f ca="1">$E509*(SUMIF(INDIRECT(X$3),'Struktur Vorjahr'!$D509,INDIRECT(X$4))-SUMIF(INDIRECT(X$3),'Struktur Vorjahr'!$D509,INDIRECT(X$5)))</f>
        <v>1212.3800000000001</v>
      </c>
      <c r="Y509" s="593">
        <f ca="1">$E509*(SUMIF(INDIRECT(Y$3),'Struktur Vorjahr'!$D509,INDIRECT(Y$4))-SUMIF(INDIRECT(Y$3),'Struktur Vorjahr'!$D509,INDIRECT(Y$5)))</f>
        <v>1874.67</v>
      </c>
      <c r="Z509" s="593">
        <f ca="1">$E509*(SUMIF(INDIRECT(Z$3),'Struktur Vorjahr'!$D509,INDIRECT(Z$4))-SUMIF(INDIRECT(Z$3),'Struktur Vorjahr'!$D509,INDIRECT(Z$5)))</f>
        <v>995.57</v>
      </c>
      <c r="AA509" s="593">
        <f ca="1">$E509*(SUMIF(INDIRECT(AA$3),'Struktur Vorjahr'!$D509,INDIRECT(AA$4))-SUMIF(INDIRECT(AA$3),'Struktur Vorjahr'!$D509,INDIRECT(AA$5)))</f>
        <v>995.57</v>
      </c>
      <c r="AB509" s="593">
        <f ca="1">$E509*(SUMIF(INDIRECT(AB$3),'Struktur Vorjahr'!$D509,INDIRECT(AB$4))-SUMIF(INDIRECT(AB$3),'Struktur Vorjahr'!$D509,INDIRECT(AB$5)))</f>
        <v>989.94</v>
      </c>
      <c r="AC509" s="593">
        <f ca="1">$E509*(SUMIF(INDIRECT(AC$3),'Struktur Vorjahr'!$D509,INDIRECT(AC$4))-SUMIF(INDIRECT(AC$3),'Struktur Vorjahr'!$D509,INDIRECT(AC$5)))</f>
        <v>0</v>
      </c>
      <c r="AD509" s="593">
        <f ca="1">$E509*(SUMIF(INDIRECT(AD$3),'Struktur Vorjahr'!$D509,INDIRECT(AD$4))-SUMIF(INDIRECT(AD$3),'Struktur Vorjahr'!$D509,INDIRECT(AD$5)))</f>
        <v>0</v>
      </c>
      <c r="AE509" s="593">
        <f t="shared" ca="1" si="261"/>
        <v>731.59</v>
      </c>
      <c r="AF509" s="593">
        <f t="shared" ca="1" si="262"/>
        <v>595.1400000000001</v>
      </c>
      <c r="AG509" s="593">
        <f t="shared" ca="1" si="262"/>
        <v>754.7600000000001</v>
      </c>
      <c r="AH509" s="593">
        <f t="shared" ca="1" si="262"/>
        <v>957.46</v>
      </c>
      <c r="AI509" s="593">
        <f t="shared" ca="1" si="262"/>
        <v>675.19</v>
      </c>
      <c r="AJ509" s="593">
        <f t="shared" ca="1" si="262"/>
        <v>648.88000000000011</v>
      </c>
      <c r="AK509" s="593">
        <f t="shared" ca="1" si="262"/>
        <v>1311.17</v>
      </c>
      <c r="AL509" s="593">
        <f t="shared" ca="1" si="262"/>
        <v>432.07000000000005</v>
      </c>
      <c r="AM509" s="593">
        <f t="shared" ca="1" si="262"/>
        <v>432.07000000000005</v>
      </c>
      <c r="AN509" s="593">
        <f t="shared" ca="1" si="262"/>
        <v>426.44000000000005</v>
      </c>
      <c r="AO509" s="593">
        <f t="shared" ca="1" si="262"/>
        <v>426.44000000000005</v>
      </c>
      <c r="AP509" s="593">
        <f t="shared" ca="1" si="262"/>
        <v>426.44000000000005</v>
      </c>
    </row>
    <row r="510" spans="1:42" s="594" customFormat="1" ht="11.25" x14ac:dyDescent="0.2">
      <c r="A510" s="644"/>
      <c r="B510" s="591" t="str">
        <f>IF(D510&lt;&gt;"",
IF(ISERROR(MATCH(D510,'Ist Vorjahr Monat 01'!A:A,0))=FALSE,INDEX('Ist Vorjahr Monat 01'!B:B,MATCH(D510,'Ist Vorjahr Monat 01'!A:A,0)),
IF(ISERROR(MATCH(D510,'Ist Vorjahr Monat 02'!A:A,0))=FALSE,INDEX('Ist Vorjahr Monat 02'!B:B,MATCH(D510,'Ist Vorjahr Monat 02'!A:A,0)),
IF(ISERROR(MATCH(D510,'Ist Vorjahr Monat 03'!A:A,0))=FALSE,INDEX('Ist Vorjahr Monat 03'!B:B,MATCH(D510,'Ist Vorjahr Monat 03'!A:A,0)),
IF(ISERROR(MATCH(D510,'Ist Vorjahr Monat 04'!A:A,0))=FALSE,INDEX('Ist Vorjahr Monat 04'!B:B,MATCH(D510,'Ist Vorjahr Monat 04'!A:A,0)),
IF(ISERROR(MATCH(D510,'Ist Vorjahr Monat 05'!A:A,0))=FALSE,INDEX('Ist Vorjahr Monat 05'!B:B,MATCH(D510,'Ist Vorjahr Monat 05'!A:A,0)),
IF(ISERROR(MATCH(D510,'Ist Vorjahr Monat 06'!A:A,0))=FALSE,INDEX('Ist Vorjahr Monat 06'!B:B,MATCH(D510,'Ist Vorjahr Monat 06'!A:A,0)),
IF(ISERROR(MATCH(D510,'Ist Vorjahr Monat 07'!A:A,0))=FALSE,INDEX('Ist Vorjahr Monat 07'!B:B,MATCH(D510,'Ist Vorjahr Monat 07'!A:A,0)),
IF(ISERROR(MATCH(D510,'Ist Vorjahr Monat 08'!A:A,0))=FALSE,INDEX('Ist Vorjahr Monat 08'!B:B,MATCH(D510,'Ist Vorjahr Monat 08'!A:A,0)),
IF(ISERROR(MATCH(D510,'Ist Vorjahr Monat 09'!A:A,0))=FALSE,INDEX('Ist Vorjahr Monat 09'!B:B,MATCH(D510,'Ist Vorjahr Monat 09'!A:A,0)),
IF(ISERROR(MATCH(D510,'Ist Vorjahr Monat 10'!A:A,0))=FALSE,INDEX('Ist Vorjahr Monat 10'!B:B,MATCH(D510,'Ist Vorjahr Monat 10'!A:A,0)),
IF(ISERROR(MATCH(D510,'Ist Vorjahr Monat 11'!A:A,0))=FALSE,INDEX('Ist Vorjahr Monat 11'!B:B,MATCH(D510,'Ist Vorjahr Monat 11'!A:A,0)),
IF(ISERROR(MATCH(D510,'Ist Vorjahr Monat 12'!A:A,0))=FALSE,INDEX('Ist Vorjahr Monat 12'!B:B,MATCH(D510,'Ist Vorjahr Monat 12'!A:A,0)),
"{Konto unbekannt}"
)))))))))))),"")</f>
        <v>Verbindlichkeiten soziale Sicherheit</v>
      </c>
      <c r="C510" s="1062"/>
      <c r="D510" s="1067">
        <v>1742</v>
      </c>
      <c r="E510" s="625">
        <f t="shared" si="237"/>
        <v>1</v>
      </c>
      <c r="F510" s="626"/>
      <c r="G510" s="593">
        <f ca="1">$E510*(SUMIF(INDIRECT(G$3),'Struktur Vorjahr'!$D510,INDIRECT(G$4))-SUMIF(INDIRECT(G$3),'Struktur Vorjahr'!$D510,INDIRECT(G$5)))</f>
        <v>0</v>
      </c>
      <c r="H510" s="593">
        <f ca="1">$E510*(SUMIF(INDIRECT(H$3),'Struktur Vorjahr'!$D510,INDIRECT(H$4))-SUMIF(INDIRECT(H$3),'Struktur Vorjahr'!$D510,INDIRECT(H$5)))</f>
        <v>88</v>
      </c>
      <c r="I510" s="593">
        <f ca="1">$E510*(SUMIF(INDIRECT(I$3),'Struktur Vorjahr'!$D510,INDIRECT(I$4))-SUMIF(INDIRECT(I$3),'Struktur Vorjahr'!$D510,INDIRECT(I$5)))</f>
        <v>52.32</v>
      </c>
      <c r="J510" s="593">
        <f ca="1">$E510*(SUMIF(INDIRECT(J$3),'Struktur Vorjahr'!$D510,INDIRECT(J$4))-SUMIF(INDIRECT(J$3),'Struktur Vorjahr'!$D510,INDIRECT(J$5)))</f>
        <v>46.32</v>
      </c>
      <c r="K510" s="593">
        <f ca="1">$E510*(SUMIF(INDIRECT(K$3),'Struktur Vorjahr'!$D510,INDIRECT(K$4))-SUMIF(INDIRECT(K$3),'Struktur Vorjahr'!$D510,INDIRECT(K$5)))</f>
        <v>-53.97</v>
      </c>
      <c r="L510" s="593">
        <f ca="1">$E510*(SUMIF(INDIRECT(L$3),'Struktur Vorjahr'!$D510,INDIRECT(L$4))-SUMIF(INDIRECT(L$3),'Struktur Vorjahr'!$D510,INDIRECT(L$5)))</f>
        <v>44.67</v>
      </c>
      <c r="M510" s="593">
        <f ca="1">$E510*(SUMIF(INDIRECT(M$3),'Struktur Vorjahr'!$D510,INDIRECT(M$4))-SUMIF(INDIRECT(M$3),'Struktur Vorjahr'!$D510,INDIRECT(M$5)))</f>
        <v>0</v>
      </c>
      <c r="N510" s="593">
        <f ca="1">$E510*(SUMIF(INDIRECT(N$3),'Struktur Vorjahr'!$D510,INDIRECT(N$4))-SUMIF(INDIRECT(N$3),'Struktur Vorjahr'!$D510,INDIRECT(N$5)))</f>
        <v>0</v>
      </c>
      <c r="O510" s="593">
        <f ca="1">$E510*(SUMIF(INDIRECT(O$3),'Struktur Vorjahr'!$D510,INDIRECT(O$4))-SUMIF(INDIRECT(O$3),'Struktur Vorjahr'!$D510,INDIRECT(O$5)))</f>
        <v>268</v>
      </c>
      <c r="P510" s="593">
        <f ca="1">$E510*(SUMIF(INDIRECT(P$3),'Struktur Vorjahr'!$D510,INDIRECT(P$4))-SUMIF(INDIRECT(P$3),'Struktur Vorjahr'!$D510,INDIRECT(P$5)))</f>
        <v>0</v>
      </c>
      <c r="Q510" s="593">
        <f ca="1">$E510*(SUMIF(INDIRECT(Q$3),'Struktur Vorjahr'!$D510,INDIRECT(Q$4))-SUMIF(INDIRECT(Q$3),'Struktur Vorjahr'!$D510,INDIRECT(Q$5)))</f>
        <v>0</v>
      </c>
      <c r="R510" s="593">
        <f ca="1">$E510*(SUMIF(INDIRECT(R$3),'Struktur Vorjahr'!$D510,INDIRECT(R$4))-SUMIF(INDIRECT(R$3),'Struktur Vorjahr'!$D510,INDIRECT(R$5)))</f>
        <v>0</v>
      </c>
      <c r="S510" s="593">
        <f ca="1">$E510*(SUMIF(INDIRECT(S$3),'Struktur Vorjahr'!$D510,INDIRECT(S$4))-SUMIF(INDIRECT(S$3),'Struktur Vorjahr'!$D510,INDIRECT(S$5)))</f>
        <v>0</v>
      </c>
      <c r="T510" s="593">
        <f ca="1">$E510*(SUMIF(INDIRECT(T$3),'Struktur Vorjahr'!$D510,INDIRECT(T$4))-SUMIF(INDIRECT(T$3),'Struktur Vorjahr'!$D510,INDIRECT(T$5)))</f>
        <v>88</v>
      </c>
      <c r="U510" s="593">
        <f ca="1">$E510*(SUMIF(INDIRECT(U$3),'Struktur Vorjahr'!$D510,INDIRECT(U$4))-SUMIF(INDIRECT(U$3),'Struktur Vorjahr'!$D510,INDIRECT(U$5)))</f>
        <v>140.32</v>
      </c>
      <c r="V510" s="593">
        <f ca="1">$E510*(SUMIF(INDIRECT(V$3),'Struktur Vorjahr'!$D510,INDIRECT(V$4))-SUMIF(INDIRECT(V$3),'Struktur Vorjahr'!$D510,INDIRECT(V$5)))</f>
        <v>186.64</v>
      </c>
      <c r="W510" s="593">
        <f ca="1">$E510*(SUMIF(INDIRECT(W$3),'Struktur Vorjahr'!$D510,INDIRECT(W$4))-SUMIF(INDIRECT(W$3),'Struktur Vorjahr'!$D510,INDIRECT(W$5)))</f>
        <v>132.66999999999999</v>
      </c>
      <c r="X510" s="593">
        <f ca="1">$E510*(SUMIF(INDIRECT(X$3),'Struktur Vorjahr'!$D510,INDIRECT(X$4))-SUMIF(INDIRECT(X$3),'Struktur Vorjahr'!$D510,INDIRECT(X$5)))</f>
        <v>177.34</v>
      </c>
      <c r="Y510" s="593">
        <f ca="1">$E510*(SUMIF(INDIRECT(Y$3),'Struktur Vorjahr'!$D510,INDIRECT(Y$4))-SUMIF(INDIRECT(Y$3),'Struktur Vorjahr'!$D510,INDIRECT(Y$5)))</f>
        <v>177.34</v>
      </c>
      <c r="Z510" s="593">
        <f ca="1">$E510*(SUMIF(INDIRECT(Z$3),'Struktur Vorjahr'!$D510,INDIRECT(Z$4))-SUMIF(INDIRECT(Z$3),'Struktur Vorjahr'!$D510,INDIRECT(Z$5)))</f>
        <v>177.34</v>
      </c>
      <c r="AA510" s="593">
        <f ca="1">$E510*(SUMIF(INDIRECT(AA$3),'Struktur Vorjahr'!$D510,INDIRECT(AA$4))-SUMIF(INDIRECT(AA$3),'Struktur Vorjahr'!$D510,INDIRECT(AA$5)))</f>
        <v>445.34</v>
      </c>
      <c r="AB510" s="593">
        <f ca="1">$E510*(SUMIF(INDIRECT(AB$3),'Struktur Vorjahr'!$D510,INDIRECT(AB$4))-SUMIF(INDIRECT(AB$3),'Struktur Vorjahr'!$D510,INDIRECT(AB$5)))</f>
        <v>445.34</v>
      </c>
      <c r="AC510" s="593">
        <f ca="1">$E510*(SUMIF(INDIRECT(AC$3),'Struktur Vorjahr'!$D510,INDIRECT(AC$4))-SUMIF(INDIRECT(AC$3),'Struktur Vorjahr'!$D510,INDIRECT(AC$5)))</f>
        <v>0</v>
      </c>
      <c r="AD510" s="593">
        <f ca="1">$E510*(SUMIF(INDIRECT(AD$3),'Struktur Vorjahr'!$D510,INDIRECT(AD$4))-SUMIF(INDIRECT(AD$3),'Struktur Vorjahr'!$D510,INDIRECT(AD$5)))</f>
        <v>0</v>
      </c>
      <c r="AE510" s="593">
        <f t="shared" ca="1" si="261"/>
        <v>0</v>
      </c>
      <c r="AF510" s="593">
        <f t="shared" ca="1" si="262"/>
        <v>88</v>
      </c>
      <c r="AG510" s="593">
        <f t="shared" ca="1" si="262"/>
        <v>140.32</v>
      </c>
      <c r="AH510" s="593">
        <f t="shared" ca="1" si="262"/>
        <v>186.64</v>
      </c>
      <c r="AI510" s="593">
        <f t="shared" ca="1" si="262"/>
        <v>132.66999999999999</v>
      </c>
      <c r="AJ510" s="593">
        <f t="shared" ca="1" si="262"/>
        <v>177.33999999999997</v>
      </c>
      <c r="AK510" s="593">
        <f t="shared" ca="1" si="262"/>
        <v>177.33999999999997</v>
      </c>
      <c r="AL510" s="593">
        <f t="shared" ca="1" si="262"/>
        <v>177.33999999999997</v>
      </c>
      <c r="AM510" s="593">
        <f t="shared" ca="1" si="262"/>
        <v>445.34</v>
      </c>
      <c r="AN510" s="593">
        <f t="shared" ca="1" si="262"/>
        <v>445.34</v>
      </c>
      <c r="AO510" s="593">
        <f t="shared" ca="1" si="262"/>
        <v>445.34</v>
      </c>
      <c r="AP510" s="593">
        <f t="shared" ca="1" si="262"/>
        <v>445.34</v>
      </c>
    </row>
    <row r="511" spans="1:42" s="594" customFormat="1" ht="11.25" x14ac:dyDescent="0.2">
      <c r="A511" s="644"/>
      <c r="B511" s="591" t="str">
        <f>IF(D511&lt;&gt;"",
IF(ISERROR(MATCH(D511,'Ist Vorjahr Monat 01'!A:A,0))=FALSE,INDEX('Ist Vorjahr Monat 01'!B:B,MATCH(D511,'Ist Vorjahr Monat 01'!A:A,0)),
IF(ISERROR(MATCH(D511,'Ist Vorjahr Monat 02'!A:A,0))=FALSE,INDEX('Ist Vorjahr Monat 02'!B:B,MATCH(D511,'Ist Vorjahr Monat 02'!A:A,0)),
IF(ISERROR(MATCH(D511,'Ist Vorjahr Monat 03'!A:A,0))=FALSE,INDEX('Ist Vorjahr Monat 03'!B:B,MATCH(D511,'Ist Vorjahr Monat 03'!A:A,0)),
IF(ISERROR(MATCH(D511,'Ist Vorjahr Monat 04'!A:A,0))=FALSE,INDEX('Ist Vorjahr Monat 04'!B:B,MATCH(D511,'Ist Vorjahr Monat 04'!A:A,0)),
IF(ISERROR(MATCH(D511,'Ist Vorjahr Monat 05'!A:A,0))=FALSE,INDEX('Ist Vorjahr Monat 05'!B:B,MATCH(D511,'Ist Vorjahr Monat 05'!A:A,0)),
IF(ISERROR(MATCH(D511,'Ist Vorjahr Monat 06'!A:A,0))=FALSE,INDEX('Ist Vorjahr Monat 06'!B:B,MATCH(D511,'Ist Vorjahr Monat 06'!A:A,0)),
IF(ISERROR(MATCH(D511,'Ist Vorjahr Monat 07'!A:A,0))=FALSE,INDEX('Ist Vorjahr Monat 07'!B:B,MATCH(D511,'Ist Vorjahr Monat 07'!A:A,0)),
IF(ISERROR(MATCH(D511,'Ist Vorjahr Monat 08'!A:A,0))=FALSE,INDEX('Ist Vorjahr Monat 08'!B:B,MATCH(D511,'Ist Vorjahr Monat 08'!A:A,0)),
IF(ISERROR(MATCH(D511,'Ist Vorjahr Monat 09'!A:A,0))=FALSE,INDEX('Ist Vorjahr Monat 09'!B:B,MATCH(D511,'Ist Vorjahr Monat 09'!A:A,0)),
IF(ISERROR(MATCH(D511,'Ist Vorjahr Monat 10'!A:A,0))=FALSE,INDEX('Ist Vorjahr Monat 10'!B:B,MATCH(D511,'Ist Vorjahr Monat 10'!A:A,0)),
IF(ISERROR(MATCH(D511,'Ist Vorjahr Monat 11'!A:A,0))=FALSE,INDEX('Ist Vorjahr Monat 11'!B:B,MATCH(D511,'Ist Vorjahr Monat 11'!A:A,0)),
IF(ISERROR(MATCH(D511,'Ist Vorjahr Monat 12'!A:A,0))=FALSE,INDEX('Ist Vorjahr Monat 12'!B:B,MATCH(D511,'Ist Vorjahr Monat 12'!A:A,0)),
"{Konto unbekannt}"
)))))))))))),"")</f>
        <v>Verbindlichk. Einbehaltung Arbeitnehmer</v>
      </c>
      <c r="C511" s="1062"/>
      <c r="D511" s="1067">
        <v>1748</v>
      </c>
      <c r="E511" s="625">
        <f t="shared" si="237"/>
        <v>1</v>
      </c>
      <c r="F511" s="626"/>
      <c r="G511" s="593">
        <f ca="1">$E511*(SUMIF(INDIRECT(G$3),'Struktur Vorjahr'!$D511,INDIRECT(G$4))-SUMIF(INDIRECT(G$3),'Struktur Vorjahr'!$D511,INDIRECT(G$5)))</f>
        <v>-260</v>
      </c>
      <c r="H511" s="593">
        <f ca="1">$E511*(SUMIF(INDIRECT(H$3),'Struktur Vorjahr'!$D511,INDIRECT(H$4))-SUMIF(INDIRECT(H$3),'Struktur Vorjahr'!$D511,INDIRECT(H$5)))</f>
        <v>172</v>
      </c>
      <c r="I511" s="593">
        <f ca="1">$E511*(SUMIF(INDIRECT(I$3),'Struktur Vorjahr'!$D511,INDIRECT(I$4))-SUMIF(INDIRECT(I$3),'Struktur Vorjahr'!$D511,INDIRECT(I$5)))</f>
        <v>0</v>
      </c>
      <c r="J511" s="593">
        <f ca="1">$E511*(SUMIF(INDIRECT(J$3),'Struktur Vorjahr'!$D511,INDIRECT(J$4))-SUMIF(INDIRECT(J$3),'Struktur Vorjahr'!$D511,INDIRECT(J$5)))</f>
        <v>0</v>
      </c>
      <c r="K511" s="593">
        <f ca="1">$E511*(SUMIF(INDIRECT(K$3),'Struktur Vorjahr'!$D511,INDIRECT(K$4))-SUMIF(INDIRECT(K$3),'Struktur Vorjahr'!$D511,INDIRECT(K$5)))</f>
        <v>-44.67</v>
      </c>
      <c r="L511" s="593">
        <f ca="1">$E511*(SUMIF(INDIRECT(L$3),'Struktur Vorjahr'!$D511,INDIRECT(L$4))-SUMIF(INDIRECT(L$3),'Struktur Vorjahr'!$D511,INDIRECT(L$5)))</f>
        <v>-44.67</v>
      </c>
      <c r="M511" s="593">
        <f ca="1">$E511*(SUMIF(INDIRECT(M$3),'Struktur Vorjahr'!$D511,INDIRECT(M$4))-SUMIF(INDIRECT(M$3),'Struktur Vorjahr'!$D511,INDIRECT(M$5)))</f>
        <v>-268</v>
      </c>
      <c r="N511" s="593">
        <f ca="1">$E511*(SUMIF(INDIRECT(N$3),'Struktur Vorjahr'!$D511,INDIRECT(N$4))-SUMIF(INDIRECT(N$3),'Struktur Vorjahr'!$D511,INDIRECT(N$5)))</f>
        <v>-268</v>
      </c>
      <c r="O511" s="593">
        <f ca="1">$E511*(SUMIF(INDIRECT(O$3),'Struktur Vorjahr'!$D511,INDIRECT(O$4))-SUMIF(INDIRECT(O$3),'Struktur Vorjahr'!$D511,INDIRECT(O$5)))</f>
        <v>0</v>
      </c>
      <c r="P511" s="593">
        <f ca="1">$E511*(SUMIF(INDIRECT(P$3),'Struktur Vorjahr'!$D511,INDIRECT(P$4))-SUMIF(INDIRECT(P$3),'Struktur Vorjahr'!$D511,INDIRECT(P$5)))</f>
        <v>0</v>
      </c>
      <c r="Q511" s="593">
        <f ca="1">$E511*(SUMIF(INDIRECT(Q$3),'Struktur Vorjahr'!$D511,INDIRECT(Q$4))-SUMIF(INDIRECT(Q$3),'Struktur Vorjahr'!$D511,INDIRECT(Q$5)))</f>
        <v>0</v>
      </c>
      <c r="R511" s="593">
        <f ca="1">$E511*(SUMIF(INDIRECT(R$3),'Struktur Vorjahr'!$D511,INDIRECT(R$4))-SUMIF(INDIRECT(R$3),'Struktur Vorjahr'!$D511,INDIRECT(R$5)))</f>
        <v>0</v>
      </c>
      <c r="S511" s="593">
        <f ca="1">$E511*(SUMIF(INDIRECT(S$3),'Struktur Vorjahr'!$D511,INDIRECT(S$4))-SUMIF(INDIRECT(S$3),'Struktur Vorjahr'!$D511,INDIRECT(S$5)))</f>
        <v>-160</v>
      </c>
      <c r="T511" s="593">
        <f ca="1">$E511*(SUMIF(INDIRECT(T$3),'Struktur Vorjahr'!$D511,INDIRECT(T$4))-SUMIF(INDIRECT(T$3),'Struktur Vorjahr'!$D511,INDIRECT(T$5)))</f>
        <v>12</v>
      </c>
      <c r="U511" s="593">
        <f ca="1">$E511*(SUMIF(INDIRECT(U$3),'Struktur Vorjahr'!$D511,INDIRECT(U$4))-SUMIF(INDIRECT(U$3),'Struktur Vorjahr'!$D511,INDIRECT(U$5)))</f>
        <v>12</v>
      </c>
      <c r="V511" s="593">
        <f ca="1">$E511*(SUMIF(INDIRECT(V$3),'Struktur Vorjahr'!$D511,INDIRECT(V$4))-SUMIF(INDIRECT(V$3),'Struktur Vorjahr'!$D511,INDIRECT(V$5)))</f>
        <v>12</v>
      </c>
      <c r="W511" s="593">
        <f ca="1">$E511*(SUMIF(INDIRECT(W$3),'Struktur Vorjahr'!$D511,INDIRECT(W$4))-SUMIF(INDIRECT(W$3),'Struktur Vorjahr'!$D511,INDIRECT(W$5)))</f>
        <v>-32.67</v>
      </c>
      <c r="X511" s="593">
        <f ca="1">$E511*(SUMIF(INDIRECT(X$3),'Struktur Vorjahr'!$D511,INDIRECT(X$4))-SUMIF(INDIRECT(X$3),'Struktur Vorjahr'!$D511,INDIRECT(X$5)))</f>
        <v>-77.34</v>
      </c>
      <c r="Y511" s="593">
        <f ca="1">$E511*(SUMIF(INDIRECT(Y$3),'Struktur Vorjahr'!$D511,INDIRECT(Y$4))-SUMIF(INDIRECT(Y$3),'Struktur Vorjahr'!$D511,INDIRECT(Y$5)))</f>
        <v>-345.34</v>
      </c>
      <c r="Z511" s="593">
        <f ca="1">$E511*(SUMIF(INDIRECT(Z$3),'Struktur Vorjahr'!$D511,INDIRECT(Z$4))-SUMIF(INDIRECT(Z$3),'Struktur Vorjahr'!$D511,INDIRECT(Z$5)))</f>
        <v>-613.34</v>
      </c>
      <c r="AA511" s="593">
        <f ca="1">$E511*(SUMIF(INDIRECT(AA$3),'Struktur Vorjahr'!$D511,INDIRECT(AA$4))-SUMIF(INDIRECT(AA$3),'Struktur Vorjahr'!$D511,INDIRECT(AA$5)))</f>
        <v>-613.34</v>
      </c>
      <c r="AB511" s="593">
        <f ca="1">$E511*(SUMIF(INDIRECT(AB$3),'Struktur Vorjahr'!$D511,INDIRECT(AB$4))-SUMIF(INDIRECT(AB$3),'Struktur Vorjahr'!$D511,INDIRECT(AB$5)))</f>
        <v>-613.34</v>
      </c>
      <c r="AC511" s="593">
        <f ca="1">$E511*(SUMIF(INDIRECT(AC$3),'Struktur Vorjahr'!$D511,INDIRECT(AC$4))-SUMIF(INDIRECT(AC$3),'Struktur Vorjahr'!$D511,INDIRECT(AC$5)))</f>
        <v>0</v>
      </c>
      <c r="AD511" s="593">
        <f ca="1">$E511*(SUMIF(INDIRECT(AD$3),'Struktur Vorjahr'!$D511,INDIRECT(AD$4))-SUMIF(INDIRECT(AD$3),'Struktur Vorjahr'!$D511,INDIRECT(AD$5)))</f>
        <v>0</v>
      </c>
      <c r="AE511" s="593">
        <f t="shared" ca="1" si="261"/>
        <v>-260</v>
      </c>
      <c r="AF511" s="593">
        <f t="shared" ca="1" si="262"/>
        <v>-88</v>
      </c>
      <c r="AG511" s="593">
        <f t="shared" ca="1" si="262"/>
        <v>-88</v>
      </c>
      <c r="AH511" s="593">
        <f t="shared" ca="1" si="262"/>
        <v>-88</v>
      </c>
      <c r="AI511" s="593">
        <f t="shared" ca="1" si="262"/>
        <v>-132.67000000000002</v>
      </c>
      <c r="AJ511" s="593">
        <f t="shared" ca="1" si="262"/>
        <v>-177.34000000000003</v>
      </c>
      <c r="AK511" s="593">
        <f t="shared" ca="1" si="262"/>
        <v>-445.34000000000003</v>
      </c>
      <c r="AL511" s="593">
        <f t="shared" ca="1" si="262"/>
        <v>-713.34</v>
      </c>
      <c r="AM511" s="593">
        <f t="shared" ca="1" si="262"/>
        <v>-713.34</v>
      </c>
      <c r="AN511" s="593">
        <f t="shared" ca="1" si="262"/>
        <v>-713.34</v>
      </c>
      <c r="AO511" s="593">
        <f t="shared" ca="1" si="262"/>
        <v>-713.34</v>
      </c>
      <c r="AP511" s="593">
        <f t="shared" ca="1" si="262"/>
        <v>-713.34</v>
      </c>
    </row>
    <row r="512" spans="1:42" s="594" customFormat="1" ht="11.25" x14ac:dyDescent="0.2">
      <c r="A512" s="644"/>
      <c r="B512" s="591" t="str">
        <f>IF(D512&lt;&gt;"",
IF(ISERROR(MATCH(D512,'Ist Vorjahr Monat 01'!A:A,0))=FALSE,INDEX('Ist Vorjahr Monat 01'!B:B,MATCH(D512,'Ist Vorjahr Monat 01'!A:A,0)),
IF(ISERROR(MATCH(D512,'Ist Vorjahr Monat 02'!A:A,0))=FALSE,INDEX('Ist Vorjahr Monat 02'!B:B,MATCH(D512,'Ist Vorjahr Monat 02'!A:A,0)),
IF(ISERROR(MATCH(D512,'Ist Vorjahr Monat 03'!A:A,0))=FALSE,INDEX('Ist Vorjahr Monat 03'!B:B,MATCH(D512,'Ist Vorjahr Monat 03'!A:A,0)),
IF(ISERROR(MATCH(D512,'Ist Vorjahr Monat 04'!A:A,0))=FALSE,INDEX('Ist Vorjahr Monat 04'!B:B,MATCH(D512,'Ist Vorjahr Monat 04'!A:A,0)),
IF(ISERROR(MATCH(D512,'Ist Vorjahr Monat 05'!A:A,0))=FALSE,INDEX('Ist Vorjahr Monat 05'!B:B,MATCH(D512,'Ist Vorjahr Monat 05'!A:A,0)),
IF(ISERROR(MATCH(D512,'Ist Vorjahr Monat 06'!A:A,0))=FALSE,INDEX('Ist Vorjahr Monat 06'!B:B,MATCH(D512,'Ist Vorjahr Monat 06'!A:A,0)),
IF(ISERROR(MATCH(D512,'Ist Vorjahr Monat 07'!A:A,0))=FALSE,INDEX('Ist Vorjahr Monat 07'!B:B,MATCH(D512,'Ist Vorjahr Monat 07'!A:A,0)),
IF(ISERROR(MATCH(D512,'Ist Vorjahr Monat 08'!A:A,0))=FALSE,INDEX('Ist Vorjahr Monat 08'!B:B,MATCH(D512,'Ist Vorjahr Monat 08'!A:A,0)),
IF(ISERROR(MATCH(D512,'Ist Vorjahr Monat 09'!A:A,0))=FALSE,INDEX('Ist Vorjahr Monat 09'!B:B,MATCH(D512,'Ist Vorjahr Monat 09'!A:A,0)),
IF(ISERROR(MATCH(D512,'Ist Vorjahr Monat 10'!A:A,0))=FALSE,INDEX('Ist Vorjahr Monat 10'!B:B,MATCH(D512,'Ist Vorjahr Monat 10'!A:A,0)),
IF(ISERROR(MATCH(D512,'Ist Vorjahr Monat 11'!A:A,0))=FALSE,INDEX('Ist Vorjahr Monat 11'!B:B,MATCH(D512,'Ist Vorjahr Monat 11'!A:A,0)),
IF(ISERROR(MATCH(D512,'Ist Vorjahr Monat 12'!A:A,0))=FALSE,INDEX('Ist Vorjahr Monat 12'!B:B,MATCH(D512,'Ist Vorjahr Monat 12'!A:A,0)),
"{Konto unbekannt}"
)))))))))))),"")</f>
        <v>Lohn- und Gehaltsverrechnungen</v>
      </c>
      <c r="C512" s="1062"/>
      <c r="D512" s="1067">
        <v>1755</v>
      </c>
      <c r="E512" s="625">
        <f t="shared" si="237"/>
        <v>1</v>
      </c>
      <c r="F512" s="626"/>
      <c r="G512" s="593">
        <f ca="1">$E512*(SUMIF(INDIRECT(G$3),'Struktur Vorjahr'!$D512,INDIRECT(G$4))-SUMIF(INDIRECT(G$3),'Struktur Vorjahr'!$D512,INDIRECT(G$5)))</f>
        <v>0</v>
      </c>
      <c r="H512" s="593">
        <f ca="1">$E512*(SUMIF(INDIRECT(H$3),'Struktur Vorjahr'!$D512,INDIRECT(H$4))-SUMIF(INDIRECT(H$3),'Struktur Vorjahr'!$D512,INDIRECT(H$5)))</f>
        <v>0</v>
      </c>
      <c r="I512" s="593">
        <f ca="1">$E512*(SUMIF(INDIRECT(I$3),'Struktur Vorjahr'!$D512,INDIRECT(I$4))-SUMIF(INDIRECT(I$3),'Struktur Vorjahr'!$D512,INDIRECT(I$5)))</f>
        <v>0</v>
      </c>
      <c r="J512" s="593">
        <f ca="1">$E512*(SUMIF(INDIRECT(J$3),'Struktur Vorjahr'!$D512,INDIRECT(J$4))-SUMIF(INDIRECT(J$3),'Struktur Vorjahr'!$D512,INDIRECT(J$5)))</f>
        <v>0</v>
      </c>
      <c r="K512" s="593">
        <f ca="1">$E512*(SUMIF(INDIRECT(K$3),'Struktur Vorjahr'!$D512,INDIRECT(K$4))-SUMIF(INDIRECT(K$3),'Struktur Vorjahr'!$D512,INDIRECT(K$5)))</f>
        <v>0</v>
      </c>
      <c r="L512" s="593">
        <f ca="1">$E512*(SUMIF(INDIRECT(L$3),'Struktur Vorjahr'!$D512,INDIRECT(L$4))-SUMIF(INDIRECT(L$3),'Struktur Vorjahr'!$D512,INDIRECT(L$5)))</f>
        <v>0</v>
      </c>
      <c r="M512" s="593">
        <f ca="1">$E512*(SUMIF(INDIRECT(M$3),'Struktur Vorjahr'!$D512,INDIRECT(M$4))-SUMIF(INDIRECT(M$3),'Struktur Vorjahr'!$D512,INDIRECT(M$5)))</f>
        <v>0</v>
      </c>
      <c r="N512" s="593">
        <f ca="1">$E512*(SUMIF(INDIRECT(N$3),'Struktur Vorjahr'!$D512,INDIRECT(N$4))-SUMIF(INDIRECT(N$3),'Struktur Vorjahr'!$D512,INDIRECT(N$5)))</f>
        <v>0</v>
      </c>
      <c r="O512" s="593">
        <f ca="1">$E512*(SUMIF(INDIRECT(O$3),'Struktur Vorjahr'!$D512,INDIRECT(O$4))-SUMIF(INDIRECT(O$3),'Struktur Vorjahr'!$D512,INDIRECT(O$5)))</f>
        <v>0</v>
      </c>
      <c r="P512" s="593">
        <f ca="1">$E512*(SUMIF(INDIRECT(P$3),'Struktur Vorjahr'!$D512,INDIRECT(P$4))-SUMIF(INDIRECT(P$3),'Struktur Vorjahr'!$D512,INDIRECT(P$5)))</f>
        <v>0</v>
      </c>
      <c r="Q512" s="593">
        <f ca="1">$E512*(SUMIF(INDIRECT(Q$3),'Struktur Vorjahr'!$D512,INDIRECT(Q$4))-SUMIF(INDIRECT(Q$3),'Struktur Vorjahr'!$D512,INDIRECT(Q$5)))</f>
        <v>0</v>
      </c>
      <c r="R512" s="593">
        <f ca="1">$E512*(SUMIF(INDIRECT(R$3),'Struktur Vorjahr'!$D512,INDIRECT(R$4))-SUMIF(INDIRECT(R$3),'Struktur Vorjahr'!$D512,INDIRECT(R$5)))</f>
        <v>0</v>
      </c>
      <c r="S512" s="593">
        <f ca="1">$E512*(SUMIF(INDIRECT(S$3),'Struktur Vorjahr'!$D512,INDIRECT(S$4))-SUMIF(INDIRECT(S$3),'Struktur Vorjahr'!$D512,INDIRECT(S$5)))</f>
        <v>0</v>
      </c>
      <c r="T512" s="593">
        <f ca="1">$E512*(SUMIF(INDIRECT(T$3),'Struktur Vorjahr'!$D512,INDIRECT(T$4))-SUMIF(INDIRECT(T$3),'Struktur Vorjahr'!$D512,INDIRECT(T$5)))</f>
        <v>0</v>
      </c>
      <c r="U512" s="593">
        <f ca="1">$E512*(SUMIF(INDIRECT(U$3),'Struktur Vorjahr'!$D512,INDIRECT(U$4))-SUMIF(INDIRECT(U$3),'Struktur Vorjahr'!$D512,INDIRECT(U$5)))</f>
        <v>0</v>
      </c>
      <c r="V512" s="593">
        <f ca="1">$E512*(SUMIF(INDIRECT(V$3),'Struktur Vorjahr'!$D512,INDIRECT(V$4))-SUMIF(INDIRECT(V$3),'Struktur Vorjahr'!$D512,INDIRECT(V$5)))</f>
        <v>0</v>
      </c>
      <c r="W512" s="593">
        <f ca="1">$E512*(SUMIF(INDIRECT(W$3),'Struktur Vorjahr'!$D512,INDIRECT(W$4))-SUMIF(INDIRECT(W$3),'Struktur Vorjahr'!$D512,INDIRECT(W$5)))</f>
        <v>0</v>
      </c>
      <c r="X512" s="593">
        <f ca="1">$E512*(SUMIF(INDIRECT(X$3),'Struktur Vorjahr'!$D512,INDIRECT(X$4))-SUMIF(INDIRECT(X$3),'Struktur Vorjahr'!$D512,INDIRECT(X$5)))</f>
        <v>0</v>
      </c>
      <c r="Y512" s="593">
        <f ca="1">$E512*(SUMIF(INDIRECT(Y$3),'Struktur Vorjahr'!$D512,INDIRECT(Y$4))-SUMIF(INDIRECT(Y$3),'Struktur Vorjahr'!$D512,INDIRECT(Y$5)))</f>
        <v>0</v>
      </c>
      <c r="Z512" s="593">
        <f ca="1">$E512*(SUMIF(INDIRECT(Z$3),'Struktur Vorjahr'!$D512,INDIRECT(Z$4))-SUMIF(INDIRECT(Z$3),'Struktur Vorjahr'!$D512,INDIRECT(Z$5)))</f>
        <v>0</v>
      </c>
      <c r="AA512" s="593">
        <f ca="1">$E512*(SUMIF(INDIRECT(AA$3),'Struktur Vorjahr'!$D512,INDIRECT(AA$4))-SUMIF(INDIRECT(AA$3),'Struktur Vorjahr'!$D512,INDIRECT(AA$5)))</f>
        <v>0</v>
      </c>
      <c r="AB512" s="593">
        <f ca="1">$E512*(SUMIF(INDIRECT(AB$3),'Struktur Vorjahr'!$D512,INDIRECT(AB$4))-SUMIF(INDIRECT(AB$3),'Struktur Vorjahr'!$D512,INDIRECT(AB$5)))</f>
        <v>0</v>
      </c>
      <c r="AC512" s="593">
        <f ca="1">$E512*(SUMIF(INDIRECT(AC$3),'Struktur Vorjahr'!$D512,INDIRECT(AC$4))-SUMIF(INDIRECT(AC$3),'Struktur Vorjahr'!$D512,INDIRECT(AC$5)))</f>
        <v>0</v>
      </c>
      <c r="AD512" s="593">
        <f ca="1">$E512*(SUMIF(INDIRECT(AD$3),'Struktur Vorjahr'!$D512,INDIRECT(AD$4))-SUMIF(INDIRECT(AD$3),'Struktur Vorjahr'!$D512,INDIRECT(AD$5)))</f>
        <v>0</v>
      </c>
      <c r="AE512" s="593">
        <f t="shared" ca="1" si="261"/>
        <v>0</v>
      </c>
      <c r="AF512" s="593">
        <f t="shared" ca="1" si="262"/>
        <v>0</v>
      </c>
      <c r="AG512" s="593">
        <f t="shared" ca="1" si="262"/>
        <v>0</v>
      </c>
      <c r="AH512" s="593">
        <f t="shared" ca="1" si="262"/>
        <v>0</v>
      </c>
      <c r="AI512" s="593">
        <f t="shared" ca="1" si="262"/>
        <v>0</v>
      </c>
      <c r="AJ512" s="593">
        <f t="shared" ca="1" si="262"/>
        <v>0</v>
      </c>
      <c r="AK512" s="593">
        <f t="shared" ca="1" si="262"/>
        <v>0</v>
      </c>
      <c r="AL512" s="593">
        <f t="shared" ca="1" si="262"/>
        <v>0</v>
      </c>
      <c r="AM512" s="593">
        <f t="shared" ca="1" si="262"/>
        <v>0</v>
      </c>
      <c r="AN512" s="593">
        <f t="shared" ca="1" si="262"/>
        <v>0</v>
      </c>
      <c r="AO512" s="593">
        <f t="shared" ca="1" si="262"/>
        <v>0</v>
      </c>
      <c r="AP512" s="593">
        <f t="shared" ca="1" si="262"/>
        <v>0</v>
      </c>
    </row>
    <row r="513" spans="1:42" s="594" customFormat="1" ht="11.25" outlineLevel="1" x14ac:dyDescent="0.2">
      <c r="A513" s="644"/>
      <c r="B513" s="591" t="str">
        <f>IF(D513&lt;&gt;"",
IF(ISERROR(MATCH(D513,'Ist Vorjahr Monat 01'!A:A,0))=FALSE,INDEX('Ist Vorjahr Monat 01'!B:B,MATCH(D513,'Ist Vorjahr Monat 01'!A:A,0)),
IF(ISERROR(MATCH(D513,'Ist Vorjahr Monat 02'!A:A,0))=FALSE,INDEX('Ist Vorjahr Monat 02'!B:B,MATCH(D513,'Ist Vorjahr Monat 02'!A:A,0)),
IF(ISERROR(MATCH(D513,'Ist Vorjahr Monat 03'!A:A,0))=FALSE,INDEX('Ist Vorjahr Monat 03'!B:B,MATCH(D513,'Ist Vorjahr Monat 03'!A:A,0)),
IF(ISERROR(MATCH(D513,'Ist Vorjahr Monat 04'!A:A,0))=FALSE,INDEX('Ist Vorjahr Monat 04'!B:B,MATCH(D513,'Ist Vorjahr Monat 04'!A:A,0)),
IF(ISERROR(MATCH(D513,'Ist Vorjahr Monat 05'!A:A,0))=FALSE,INDEX('Ist Vorjahr Monat 05'!B:B,MATCH(D513,'Ist Vorjahr Monat 05'!A:A,0)),
IF(ISERROR(MATCH(D513,'Ist Vorjahr Monat 06'!A:A,0))=FALSE,INDEX('Ist Vorjahr Monat 06'!B:B,MATCH(D513,'Ist Vorjahr Monat 06'!A:A,0)),
IF(ISERROR(MATCH(D513,'Ist Vorjahr Monat 07'!A:A,0))=FALSE,INDEX('Ist Vorjahr Monat 07'!B:B,MATCH(D513,'Ist Vorjahr Monat 07'!A:A,0)),
IF(ISERROR(MATCH(D513,'Ist Vorjahr Monat 08'!A:A,0))=FALSE,INDEX('Ist Vorjahr Monat 08'!B:B,MATCH(D513,'Ist Vorjahr Monat 08'!A:A,0)),
IF(ISERROR(MATCH(D513,'Ist Vorjahr Monat 09'!A:A,0))=FALSE,INDEX('Ist Vorjahr Monat 09'!B:B,MATCH(D513,'Ist Vorjahr Monat 09'!A:A,0)),
IF(ISERROR(MATCH(D513,'Ist Vorjahr Monat 10'!A:A,0))=FALSE,INDEX('Ist Vorjahr Monat 10'!B:B,MATCH(D513,'Ist Vorjahr Monat 10'!A:A,0)),
IF(ISERROR(MATCH(D513,'Ist Vorjahr Monat 11'!A:A,0))=FALSE,INDEX('Ist Vorjahr Monat 11'!B:B,MATCH(D513,'Ist Vorjahr Monat 11'!A:A,0)),
IF(ISERROR(MATCH(D513,'Ist Vorjahr Monat 12'!A:A,0))=FALSE,INDEX('Ist Vorjahr Monat 12'!B:B,MATCH(D513,'Ist Vorjahr Monat 12'!A:A,0)),
"{Konto unbekannt}"
)))))))))))),"")</f>
        <v>Umsatzsteuer aus EU-Erwerb 19%</v>
      </c>
      <c r="C513" s="1062"/>
      <c r="D513" s="1067">
        <v>1774</v>
      </c>
      <c r="E513" s="625">
        <f t="shared" si="237"/>
        <v>1</v>
      </c>
      <c r="F513" s="626"/>
      <c r="G513" s="593">
        <f ca="1">$E513*(SUMIF(INDIRECT(G$3),'Struktur Vorjahr'!$D513,INDIRECT(G$4))-SUMIF(INDIRECT(G$3),'Struktur Vorjahr'!$D513,INDIRECT(G$5)))</f>
        <v>10.47</v>
      </c>
      <c r="H513" s="593">
        <f ca="1">$E513*(SUMIF(INDIRECT(H$3),'Struktur Vorjahr'!$D513,INDIRECT(H$4))-SUMIF(INDIRECT(H$3),'Struktur Vorjahr'!$D513,INDIRECT(H$5)))</f>
        <v>10.47</v>
      </c>
      <c r="I513" s="593">
        <f ca="1">$E513*(SUMIF(INDIRECT(I$3),'Struktur Vorjahr'!$D513,INDIRECT(I$4))-SUMIF(INDIRECT(I$3),'Struktur Vorjahr'!$D513,INDIRECT(I$5)))</f>
        <v>18.809999999999999</v>
      </c>
      <c r="J513" s="593">
        <f ca="1">$E513*(SUMIF(INDIRECT(J$3),'Struktur Vorjahr'!$D513,INDIRECT(J$4))-SUMIF(INDIRECT(J$3),'Struktur Vorjahr'!$D513,INDIRECT(J$5)))</f>
        <v>19.02</v>
      </c>
      <c r="K513" s="593">
        <f ca="1">$E513*(SUMIF(INDIRECT(K$3),'Struktur Vorjahr'!$D513,INDIRECT(K$4))-SUMIF(INDIRECT(K$3),'Struktur Vorjahr'!$D513,INDIRECT(K$5)))</f>
        <v>8.5299999999999994</v>
      </c>
      <c r="L513" s="593">
        <f ca="1">$E513*(SUMIF(INDIRECT(L$3),'Struktur Vorjahr'!$D513,INDIRECT(L$4))-SUMIF(INDIRECT(L$3),'Struktur Vorjahr'!$D513,INDIRECT(L$5)))</f>
        <v>39.9</v>
      </c>
      <c r="M513" s="593">
        <f ca="1">$E513*(SUMIF(INDIRECT(M$3),'Struktur Vorjahr'!$D513,INDIRECT(M$4))-SUMIF(INDIRECT(M$3),'Struktur Vorjahr'!$D513,INDIRECT(M$5)))</f>
        <v>25.64</v>
      </c>
      <c r="N513" s="593">
        <f ca="1">$E513*(SUMIF(INDIRECT(N$3),'Struktur Vorjahr'!$D513,INDIRECT(N$4))-SUMIF(INDIRECT(N$3),'Struktur Vorjahr'!$D513,INDIRECT(N$5)))</f>
        <v>9.5</v>
      </c>
      <c r="O513" s="593">
        <f ca="1">$E513*(SUMIF(INDIRECT(O$3),'Struktur Vorjahr'!$D513,INDIRECT(O$4))-SUMIF(INDIRECT(O$3),'Struktur Vorjahr'!$D513,INDIRECT(O$5)))</f>
        <v>0</v>
      </c>
      <c r="P513" s="593">
        <f ca="1">$E513*(SUMIF(INDIRECT(P$3),'Struktur Vorjahr'!$D513,INDIRECT(P$4))-SUMIF(INDIRECT(P$3),'Struktur Vorjahr'!$D513,INDIRECT(P$5)))</f>
        <v>19</v>
      </c>
      <c r="Q513" s="593">
        <f ca="1">$E513*(SUMIF(INDIRECT(Q$3),'Struktur Vorjahr'!$D513,INDIRECT(Q$4))-SUMIF(INDIRECT(Q$3),'Struktur Vorjahr'!$D513,INDIRECT(Q$5)))</f>
        <v>0</v>
      </c>
      <c r="R513" s="593">
        <f ca="1">$E513*(SUMIF(INDIRECT(R$3),'Struktur Vorjahr'!$D513,INDIRECT(R$4))-SUMIF(INDIRECT(R$3),'Struktur Vorjahr'!$D513,INDIRECT(R$5)))</f>
        <v>0</v>
      </c>
      <c r="S513" s="593">
        <f ca="1">$E513*(SUMIF(INDIRECT(S$3),'Struktur Vorjahr'!$D513,INDIRECT(S$4))-SUMIF(INDIRECT(S$3),'Struktur Vorjahr'!$D513,INDIRECT(S$5)))</f>
        <v>10.47</v>
      </c>
      <c r="T513" s="593">
        <f ca="1">$E513*(SUMIF(INDIRECT(T$3),'Struktur Vorjahr'!$D513,INDIRECT(T$4))-SUMIF(INDIRECT(T$3),'Struktur Vorjahr'!$D513,INDIRECT(T$5)))</f>
        <v>20.94</v>
      </c>
      <c r="U513" s="593">
        <f ca="1">$E513*(SUMIF(INDIRECT(U$3),'Struktur Vorjahr'!$D513,INDIRECT(U$4))-SUMIF(INDIRECT(U$3),'Struktur Vorjahr'!$D513,INDIRECT(U$5)))</f>
        <v>39.75</v>
      </c>
      <c r="V513" s="593">
        <f ca="1">$E513*(SUMIF(INDIRECT(V$3),'Struktur Vorjahr'!$D513,INDIRECT(V$4))-SUMIF(INDIRECT(V$3),'Struktur Vorjahr'!$D513,INDIRECT(V$5)))</f>
        <v>58.77</v>
      </c>
      <c r="W513" s="593">
        <f ca="1">$E513*(SUMIF(INDIRECT(W$3),'Struktur Vorjahr'!$D513,INDIRECT(W$4))-SUMIF(INDIRECT(W$3),'Struktur Vorjahr'!$D513,INDIRECT(W$5)))</f>
        <v>67.3</v>
      </c>
      <c r="X513" s="593">
        <f ca="1">$E513*(SUMIF(INDIRECT(X$3),'Struktur Vorjahr'!$D513,INDIRECT(X$4))-SUMIF(INDIRECT(X$3),'Struktur Vorjahr'!$D513,INDIRECT(X$5)))</f>
        <v>107.2</v>
      </c>
      <c r="Y513" s="593">
        <f ca="1">$E513*(SUMIF(INDIRECT(Y$3),'Struktur Vorjahr'!$D513,INDIRECT(Y$4))-SUMIF(INDIRECT(Y$3),'Struktur Vorjahr'!$D513,INDIRECT(Y$5)))</f>
        <v>132.84</v>
      </c>
      <c r="Z513" s="593">
        <f ca="1">$E513*(SUMIF(INDIRECT(Z$3),'Struktur Vorjahr'!$D513,INDIRECT(Z$4))-SUMIF(INDIRECT(Z$3),'Struktur Vorjahr'!$D513,INDIRECT(Z$5)))</f>
        <v>142.34</v>
      </c>
      <c r="AA513" s="593">
        <f ca="1">$E513*(SUMIF(INDIRECT(AA$3),'Struktur Vorjahr'!$D513,INDIRECT(AA$4))-SUMIF(INDIRECT(AA$3),'Struktur Vorjahr'!$D513,INDIRECT(AA$5)))</f>
        <v>142.34</v>
      </c>
      <c r="AB513" s="593">
        <f ca="1">$E513*(SUMIF(INDIRECT(AB$3),'Struktur Vorjahr'!$D513,INDIRECT(AB$4))-SUMIF(INDIRECT(AB$3),'Struktur Vorjahr'!$D513,INDIRECT(AB$5)))</f>
        <v>161.34</v>
      </c>
      <c r="AC513" s="593">
        <f ca="1">$E513*(SUMIF(INDIRECT(AC$3),'Struktur Vorjahr'!$D513,INDIRECT(AC$4))-SUMIF(INDIRECT(AC$3),'Struktur Vorjahr'!$D513,INDIRECT(AC$5)))</f>
        <v>0</v>
      </c>
      <c r="AD513" s="593">
        <f ca="1">$E513*(SUMIF(INDIRECT(AD$3),'Struktur Vorjahr'!$D513,INDIRECT(AD$4))-SUMIF(INDIRECT(AD$3),'Struktur Vorjahr'!$D513,INDIRECT(AD$5)))</f>
        <v>0</v>
      </c>
      <c r="AE513" s="593">
        <f t="shared" ca="1" si="261"/>
        <v>10.47</v>
      </c>
      <c r="AF513" s="593">
        <f t="shared" ca="1" si="262"/>
        <v>20.94</v>
      </c>
      <c r="AG513" s="593">
        <f t="shared" ca="1" si="262"/>
        <v>39.75</v>
      </c>
      <c r="AH513" s="593">
        <f t="shared" ca="1" si="262"/>
        <v>58.769999999999996</v>
      </c>
      <c r="AI513" s="593">
        <f t="shared" ca="1" si="262"/>
        <v>67.3</v>
      </c>
      <c r="AJ513" s="593">
        <f t="shared" ca="1" si="262"/>
        <v>107.19999999999999</v>
      </c>
      <c r="AK513" s="593">
        <f t="shared" ca="1" si="262"/>
        <v>132.83999999999997</v>
      </c>
      <c r="AL513" s="593">
        <f t="shared" ca="1" si="262"/>
        <v>142.33999999999997</v>
      </c>
      <c r="AM513" s="593">
        <f t="shared" ca="1" si="262"/>
        <v>142.33999999999997</v>
      </c>
      <c r="AN513" s="593">
        <f t="shared" ca="1" si="262"/>
        <v>161.33999999999997</v>
      </c>
      <c r="AO513" s="593">
        <f t="shared" ca="1" si="262"/>
        <v>161.33999999999997</v>
      </c>
      <c r="AP513" s="593">
        <f t="shared" ca="1" si="262"/>
        <v>161.33999999999997</v>
      </c>
    </row>
    <row r="514" spans="1:42" s="594" customFormat="1" ht="11.25" outlineLevel="1" x14ac:dyDescent="0.2">
      <c r="A514" s="644"/>
      <c r="B514" s="591" t="str">
        <f>IF(D514&lt;&gt;"",
IF(ISERROR(MATCH(D514,'Ist Vorjahr Monat 01'!A:A,0))=FALSE,INDEX('Ist Vorjahr Monat 01'!B:B,MATCH(D514,'Ist Vorjahr Monat 01'!A:A,0)),
IF(ISERROR(MATCH(D514,'Ist Vorjahr Monat 02'!A:A,0))=FALSE,INDEX('Ist Vorjahr Monat 02'!B:B,MATCH(D514,'Ist Vorjahr Monat 02'!A:A,0)),
IF(ISERROR(MATCH(D514,'Ist Vorjahr Monat 03'!A:A,0))=FALSE,INDEX('Ist Vorjahr Monat 03'!B:B,MATCH(D514,'Ist Vorjahr Monat 03'!A:A,0)),
IF(ISERROR(MATCH(D514,'Ist Vorjahr Monat 04'!A:A,0))=FALSE,INDEX('Ist Vorjahr Monat 04'!B:B,MATCH(D514,'Ist Vorjahr Monat 04'!A:A,0)),
IF(ISERROR(MATCH(D514,'Ist Vorjahr Monat 05'!A:A,0))=FALSE,INDEX('Ist Vorjahr Monat 05'!B:B,MATCH(D514,'Ist Vorjahr Monat 05'!A:A,0)),
IF(ISERROR(MATCH(D514,'Ist Vorjahr Monat 06'!A:A,0))=FALSE,INDEX('Ist Vorjahr Monat 06'!B:B,MATCH(D514,'Ist Vorjahr Monat 06'!A:A,0)),
IF(ISERROR(MATCH(D514,'Ist Vorjahr Monat 07'!A:A,0))=FALSE,INDEX('Ist Vorjahr Monat 07'!B:B,MATCH(D514,'Ist Vorjahr Monat 07'!A:A,0)),
IF(ISERROR(MATCH(D514,'Ist Vorjahr Monat 08'!A:A,0))=FALSE,INDEX('Ist Vorjahr Monat 08'!B:B,MATCH(D514,'Ist Vorjahr Monat 08'!A:A,0)),
IF(ISERROR(MATCH(D514,'Ist Vorjahr Monat 09'!A:A,0))=FALSE,INDEX('Ist Vorjahr Monat 09'!B:B,MATCH(D514,'Ist Vorjahr Monat 09'!A:A,0)),
IF(ISERROR(MATCH(D514,'Ist Vorjahr Monat 10'!A:A,0))=FALSE,INDEX('Ist Vorjahr Monat 10'!B:B,MATCH(D514,'Ist Vorjahr Monat 10'!A:A,0)),
IF(ISERROR(MATCH(D514,'Ist Vorjahr Monat 11'!A:A,0))=FALSE,INDEX('Ist Vorjahr Monat 11'!B:B,MATCH(D514,'Ist Vorjahr Monat 11'!A:A,0)),
IF(ISERROR(MATCH(D514,'Ist Vorjahr Monat 12'!A:A,0))=FALSE,INDEX('Ist Vorjahr Monat 12'!B:B,MATCH(D514,'Ist Vorjahr Monat 12'!A:A,0)),
"{Konto unbekannt}"
)))))))))))),"")</f>
        <v>Umsatzsteuer 19%</v>
      </c>
      <c r="C514" s="1062"/>
      <c r="D514" s="1067">
        <v>1776</v>
      </c>
      <c r="E514" s="625">
        <f t="shared" si="237"/>
        <v>1</v>
      </c>
      <c r="F514" s="626"/>
      <c r="G514" s="593">
        <f ca="1">$E514*(SUMIF(INDIRECT(G$3),'Struktur Vorjahr'!$D514,INDIRECT(G$4))-SUMIF(INDIRECT(G$3),'Struktur Vorjahr'!$D514,INDIRECT(G$5)))</f>
        <v>2042.84</v>
      </c>
      <c r="H514" s="593">
        <f ca="1">$E514*(SUMIF(INDIRECT(H$3),'Struktur Vorjahr'!$D514,INDIRECT(H$4))-SUMIF(INDIRECT(H$3),'Struktur Vorjahr'!$D514,INDIRECT(H$5)))</f>
        <v>2313.94</v>
      </c>
      <c r="I514" s="593">
        <f ca="1">$E514*(SUMIF(INDIRECT(I$3),'Struktur Vorjahr'!$D514,INDIRECT(I$4))-SUMIF(INDIRECT(I$3),'Struktur Vorjahr'!$D514,INDIRECT(I$5)))</f>
        <v>1326.49</v>
      </c>
      <c r="J514" s="593">
        <f ca="1">$E514*(SUMIF(INDIRECT(J$3),'Struktur Vorjahr'!$D514,INDIRECT(J$4))-SUMIF(INDIRECT(J$3),'Struktur Vorjahr'!$D514,INDIRECT(J$5)))</f>
        <v>2552.13</v>
      </c>
      <c r="K514" s="593">
        <f ca="1">$E514*(SUMIF(INDIRECT(K$3),'Struktur Vorjahr'!$D514,INDIRECT(K$4))-SUMIF(INDIRECT(K$3),'Struktur Vorjahr'!$D514,INDIRECT(K$5)))</f>
        <v>1475.38</v>
      </c>
      <c r="L514" s="593">
        <f ca="1">$E514*(SUMIF(INDIRECT(L$3),'Struktur Vorjahr'!$D514,INDIRECT(L$4))-SUMIF(INDIRECT(L$3),'Struktur Vorjahr'!$D514,INDIRECT(L$5)))</f>
        <v>2106.15</v>
      </c>
      <c r="M514" s="593">
        <f ca="1">$E514*(SUMIF(INDIRECT(M$3),'Struktur Vorjahr'!$D514,INDIRECT(M$4))-SUMIF(INDIRECT(M$3),'Struktur Vorjahr'!$D514,INDIRECT(M$5)))</f>
        <v>9647.8799999999992</v>
      </c>
      <c r="N514" s="593">
        <f ca="1">$E514*(SUMIF(INDIRECT(N$3),'Struktur Vorjahr'!$D514,INDIRECT(N$4))-SUMIF(INDIRECT(N$3),'Struktur Vorjahr'!$D514,INDIRECT(N$5)))</f>
        <v>3808.31</v>
      </c>
      <c r="O514" s="593">
        <f ca="1">$E514*(SUMIF(INDIRECT(O$3),'Struktur Vorjahr'!$D514,INDIRECT(O$4))-SUMIF(INDIRECT(O$3),'Struktur Vorjahr'!$D514,INDIRECT(O$5)))</f>
        <v>2076.48</v>
      </c>
      <c r="P514" s="593">
        <f ca="1">$E514*(SUMIF(INDIRECT(P$3),'Struktur Vorjahr'!$D514,INDIRECT(P$4))-SUMIF(INDIRECT(P$3),'Struktur Vorjahr'!$D514,INDIRECT(P$5)))</f>
        <v>6186.44</v>
      </c>
      <c r="Q514" s="593">
        <f ca="1">$E514*(SUMIF(INDIRECT(Q$3),'Struktur Vorjahr'!$D514,INDIRECT(Q$4))-SUMIF(INDIRECT(Q$3),'Struktur Vorjahr'!$D514,INDIRECT(Q$5)))</f>
        <v>0</v>
      </c>
      <c r="R514" s="593">
        <f ca="1">$E514*(SUMIF(INDIRECT(R$3),'Struktur Vorjahr'!$D514,INDIRECT(R$4))-SUMIF(INDIRECT(R$3),'Struktur Vorjahr'!$D514,INDIRECT(R$5)))</f>
        <v>0</v>
      </c>
      <c r="S514" s="593">
        <f ca="1">$E514*(SUMIF(INDIRECT(S$3),'Struktur Vorjahr'!$D514,INDIRECT(S$4))-SUMIF(INDIRECT(S$3),'Struktur Vorjahr'!$D514,INDIRECT(S$5)))</f>
        <v>2042.84</v>
      </c>
      <c r="T514" s="593">
        <f ca="1">$E514*(SUMIF(INDIRECT(T$3),'Struktur Vorjahr'!$D514,INDIRECT(T$4))-SUMIF(INDIRECT(T$3),'Struktur Vorjahr'!$D514,INDIRECT(T$5)))</f>
        <v>4356.78</v>
      </c>
      <c r="U514" s="593">
        <f ca="1">$E514*(SUMIF(INDIRECT(U$3),'Struktur Vorjahr'!$D514,INDIRECT(U$4))-SUMIF(INDIRECT(U$3),'Struktur Vorjahr'!$D514,INDIRECT(U$5)))</f>
        <v>5683.27</v>
      </c>
      <c r="V514" s="593">
        <f ca="1">$E514*(SUMIF(INDIRECT(V$3),'Struktur Vorjahr'!$D514,INDIRECT(V$4))-SUMIF(INDIRECT(V$3),'Struktur Vorjahr'!$D514,INDIRECT(V$5)))</f>
        <v>8235.4</v>
      </c>
      <c r="W514" s="593">
        <f ca="1">$E514*(SUMIF(INDIRECT(W$3),'Struktur Vorjahr'!$D514,INDIRECT(W$4))-SUMIF(INDIRECT(W$3),'Struktur Vorjahr'!$D514,INDIRECT(W$5)))</f>
        <v>9710.7800000000007</v>
      </c>
      <c r="X514" s="593">
        <f ca="1">$E514*(SUMIF(INDIRECT(X$3),'Struktur Vorjahr'!$D514,INDIRECT(X$4))-SUMIF(INDIRECT(X$3),'Struktur Vorjahr'!$D514,INDIRECT(X$5)))</f>
        <v>11816.93</v>
      </c>
      <c r="Y514" s="593">
        <f ca="1">$E514*(SUMIF(INDIRECT(Y$3),'Struktur Vorjahr'!$D514,INDIRECT(Y$4))-SUMIF(INDIRECT(Y$3),'Struktur Vorjahr'!$D514,INDIRECT(Y$5)))</f>
        <v>21464.81</v>
      </c>
      <c r="Z514" s="593">
        <f ca="1">$E514*(SUMIF(INDIRECT(Z$3),'Struktur Vorjahr'!$D514,INDIRECT(Z$4))-SUMIF(INDIRECT(Z$3),'Struktur Vorjahr'!$D514,INDIRECT(Z$5)))</f>
        <v>25273.119999999999</v>
      </c>
      <c r="AA514" s="593">
        <f ca="1">$E514*(SUMIF(INDIRECT(AA$3),'Struktur Vorjahr'!$D514,INDIRECT(AA$4))-SUMIF(INDIRECT(AA$3),'Struktur Vorjahr'!$D514,INDIRECT(AA$5)))</f>
        <v>27349.599999999999</v>
      </c>
      <c r="AB514" s="593">
        <f ca="1">$E514*(SUMIF(INDIRECT(AB$3),'Struktur Vorjahr'!$D514,INDIRECT(AB$4))-SUMIF(INDIRECT(AB$3),'Struktur Vorjahr'!$D514,INDIRECT(AB$5)))</f>
        <v>33536.04</v>
      </c>
      <c r="AC514" s="593">
        <f ca="1">$E514*(SUMIF(INDIRECT(AC$3),'Struktur Vorjahr'!$D514,INDIRECT(AC$4))-SUMIF(INDIRECT(AC$3),'Struktur Vorjahr'!$D514,INDIRECT(AC$5)))</f>
        <v>0</v>
      </c>
      <c r="AD514" s="593">
        <f ca="1">$E514*(SUMIF(INDIRECT(AD$3),'Struktur Vorjahr'!$D514,INDIRECT(AD$4))-SUMIF(INDIRECT(AD$3),'Struktur Vorjahr'!$D514,INDIRECT(AD$5)))</f>
        <v>0</v>
      </c>
      <c r="AE514" s="593">
        <f t="shared" ca="1" si="261"/>
        <v>2042.84</v>
      </c>
      <c r="AF514" s="593">
        <f t="shared" ca="1" si="262"/>
        <v>4356.78</v>
      </c>
      <c r="AG514" s="593">
        <f t="shared" ca="1" si="262"/>
        <v>5683.2699999999995</v>
      </c>
      <c r="AH514" s="593">
        <f t="shared" ca="1" si="262"/>
        <v>8235.4</v>
      </c>
      <c r="AI514" s="593">
        <f t="shared" ca="1" si="262"/>
        <v>9710.7799999999988</v>
      </c>
      <c r="AJ514" s="593">
        <f t="shared" ca="1" si="262"/>
        <v>11816.929999999998</v>
      </c>
      <c r="AK514" s="593">
        <f t="shared" ca="1" si="262"/>
        <v>21464.809999999998</v>
      </c>
      <c r="AL514" s="593">
        <f t="shared" ca="1" si="262"/>
        <v>25273.119999999999</v>
      </c>
      <c r="AM514" s="593">
        <f t="shared" ca="1" si="262"/>
        <v>27349.599999999999</v>
      </c>
      <c r="AN514" s="593">
        <f t="shared" ca="1" si="262"/>
        <v>33536.04</v>
      </c>
      <c r="AO514" s="593">
        <f t="shared" ca="1" si="262"/>
        <v>33536.04</v>
      </c>
      <c r="AP514" s="593">
        <f t="shared" ca="1" si="262"/>
        <v>33536.04</v>
      </c>
    </row>
    <row r="515" spans="1:42" s="594" customFormat="1" ht="11.25" outlineLevel="1" x14ac:dyDescent="0.2">
      <c r="A515" s="644"/>
      <c r="B515" s="591" t="str">
        <f>IF(D515&lt;&gt;"",
IF(ISERROR(MATCH(D515,'Ist Vorjahr Monat 01'!A:A,0))=FALSE,INDEX('Ist Vorjahr Monat 01'!B:B,MATCH(D515,'Ist Vorjahr Monat 01'!A:A,0)),
IF(ISERROR(MATCH(D515,'Ist Vorjahr Monat 02'!A:A,0))=FALSE,INDEX('Ist Vorjahr Monat 02'!B:B,MATCH(D515,'Ist Vorjahr Monat 02'!A:A,0)),
IF(ISERROR(MATCH(D515,'Ist Vorjahr Monat 03'!A:A,0))=FALSE,INDEX('Ist Vorjahr Monat 03'!B:B,MATCH(D515,'Ist Vorjahr Monat 03'!A:A,0)),
IF(ISERROR(MATCH(D515,'Ist Vorjahr Monat 04'!A:A,0))=FALSE,INDEX('Ist Vorjahr Monat 04'!B:B,MATCH(D515,'Ist Vorjahr Monat 04'!A:A,0)),
IF(ISERROR(MATCH(D515,'Ist Vorjahr Monat 05'!A:A,0))=FALSE,INDEX('Ist Vorjahr Monat 05'!B:B,MATCH(D515,'Ist Vorjahr Monat 05'!A:A,0)),
IF(ISERROR(MATCH(D515,'Ist Vorjahr Monat 06'!A:A,0))=FALSE,INDEX('Ist Vorjahr Monat 06'!B:B,MATCH(D515,'Ist Vorjahr Monat 06'!A:A,0)),
IF(ISERROR(MATCH(D515,'Ist Vorjahr Monat 07'!A:A,0))=FALSE,INDEX('Ist Vorjahr Monat 07'!B:B,MATCH(D515,'Ist Vorjahr Monat 07'!A:A,0)),
IF(ISERROR(MATCH(D515,'Ist Vorjahr Monat 08'!A:A,0))=FALSE,INDEX('Ist Vorjahr Monat 08'!B:B,MATCH(D515,'Ist Vorjahr Monat 08'!A:A,0)),
IF(ISERROR(MATCH(D515,'Ist Vorjahr Monat 09'!A:A,0))=FALSE,INDEX('Ist Vorjahr Monat 09'!B:B,MATCH(D515,'Ist Vorjahr Monat 09'!A:A,0)),
IF(ISERROR(MATCH(D515,'Ist Vorjahr Monat 10'!A:A,0))=FALSE,INDEX('Ist Vorjahr Monat 10'!B:B,MATCH(D515,'Ist Vorjahr Monat 10'!A:A,0)),
IF(ISERROR(MATCH(D515,'Ist Vorjahr Monat 11'!A:A,0))=FALSE,INDEX('Ist Vorjahr Monat 11'!B:B,MATCH(D515,'Ist Vorjahr Monat 11'!A:A,0)),
IF(ISERROR(MATCH(D515,'Ist Vorjahr Monat 12'!A:A,0))=FALSE,INDEX('Ist Vorjahr Monat 12'!B:B,MATCH(D515,'Ist Vorjahr Monat 12'!A:A,0)),
"{Konto unbekannt}"
)))))))))))),"")</f>
        <v>Umsatzsteuer-Vorauszahlungen</v>
      </c>
      <c r="C515" s="1062"/>
      <c r="D515" s="1067">
        <v>1780</v>
      </c>
      <c r="E515" s="625">
        <f t="shared" si="237"/>
        <v>1</v>
      </c>
      <c r="F515" s="626"/>
      <c r="G515" s="593">
        <f ca="1">$E515*(SUMIF(INDIRECT(G$3),'Struktur Vorjahr'!$D515,INDIRECT(G$4))-SUMIF(INDIRECT(G$3),'Struktur Vorjahr'!$D515,INDIRECT(G$5)))</f>
        <v>0</v>
      </c>
      <c r="H515" s="593">
        <f ca="1">$E515*(SUMIF(INDIRECT(H$3),'Struktur Vorjahr'!$D515,INDIRECT(H$4))-SUMIF(INDIRECT(H$3),'Struktur Vorjahr'!$D515,INDIRECT(H$5)))</f>
        <v>0</v>
      </c>
      <c r="I515" s="593">
        <f ca="1">$E515*(SUMIF(INDIRECT(I$3),'Struktur Vorjahr'!$D515,INDIRECT(I$4))-SUMIF(INDIRECT(I$3),'Struktur Vorjahr'!$D515,INDIRECT(I$5)))</f>
        <v>-1383.22</v>
      </c>
      <c r="J515" s="593">
        <f ca="1">$E515*(SUMIF(INDIRECT(J$3),'Struktur Vorjahr'!$D515,INDIRECT(J$4))-SUMIF(INDIRECT(J$3),'Struktur Vorjahr'!$D515,INDIRECT(J$5)))</f>
        <v>-1696.64</v>
      </c>
      <c r="K515" s="593">
        <f ca="1">$E515*(SUMIF(INDIRECT(K$3),'Struktur Vorjahr'!$D515,INDIRECT(K$4))-SUMIF(INDIRECT(K$3),'Struktur Vorjahr'!$D515,INDIRECT(K$5)))</f>
        <v>-344.45</v>
      </c>
      <c r="L515" s="593">
        <f ca="1">$E515*(SUMIF(INDIRECT(L$3),'Struktur Vorjahr'!$D515,INDIRECT(L$4))-SUMIF(INDIRECT(L$3),'Struktur Vorjahr'!$D515,INDIRECT(L$5)))</f>
        <v>-1340.4</v>
      </c>
      <c r="M515" s="593">
        <f ca="1">$E515*(SUMIF(INDIRECT(M$3),'Struktur Vorjahr'!$D515,INDIRECT(M$4))-SUMIF(INDIRECT(M$3),'Struktur Vorjahr'!$D515,INDIRECT(M$5)))</f>
        <v>-413.03</v>
      </c>
      <c r="N515" s="593">
        <f ca="1">$E515*(SUMIF(INDIRECT(N$3),'Struktur Vorjahr'!$D515,INDIRECT(N$4))-SUMIF(INDIRECT(N$3),'Struktur Vorjahr'!$D515,INDIRECT(N$5)))</f>
        <v>-1357.62</v>
      </c>
      <c r="O515" s="593">
        <f ca="1">$E515*(SUMIF(INDIRECT(O$3),'Struktur Vorjahr'!$D515,INDIRECT(O$4))-SUMIF(INDIRECT(O$3),'Struktur Vorjahr'!$D515,INDIRECT(O$5)))</f>
        <v>-8783.9</v>
      </c>
      <c r="P515" s="593">
        <f ca="1">$E515*(SUMIF(INDIRECT(P$3),'Struktur Vorjahr'!$D515,INDIRECT(P$4))-SUMIF(INDIRECT(P$3),'Struktur Vorjahr'!$D515,INDIRECT(P$5)))</f>
        <v>-3035.14</v>
      </c>
      <c r="Q515" s="593">
        <f ca="1">$E515*(SUMIF(INDIRECT(Q$3),'Struktur Vorjahr'!$D515,INDIRECT(Q$4))-SUMIF(INDIRECT(Q$3),'Struktur Vorjahr'!$D515,INDIRECT(Q$5)))</f>
        <v>0</v>
      </c>
      <c r="R515" s="593">
        <f ca="1">$E515*(SUMIF(INDIRECT(R$3),'Struktur Vorjahr'!$D515,INDIRECT(R$4))-SUMIF(INDIRECT(R$3),'Struktur Vorjahr'!$D515,INDIRECT(R$5)))</f>
        <v>0</v>
      </c>
      <c r="S515" s="593">
        <f ca="1">$E515*(SUMIF(INDIRECT(S$3),'Struktur Vorjahr'!$D515,INDIRECT(S$4))-SUMIF(INDIRECT(S$3),'Struktur Vorjahr'!$D515,INDIRECT(S$5)))</f>
        <v>0</v>
      </c>
      <c r="T515" s="593">
        <f ca="1">$E515*(SUMIF(INDIRECT(T$3),'Struktur Vorjahr'!$D515,INDIRECT(T$4))-SUMIF(INDIRECT(T$3),'Struktur Vorjahr'!$D515,INDIRECT(T$5)))</f>
        <v>0</v>
      </c>
      <c r="U515" s="593">
        <f ca="1">$E515*(SUMIF(INDIRECT(U$3),'Struktur Vorjahr'!$D515,INDIRECT(U$4))-SUMIF(INDIRECT(U$3),'Struktur Vorjahr'!$D515,INDIRECT(U$5)))</f>
        <v>-1383.22</v>
      </c>
      <c r="V515" s="593">
        <f ca="1">$E515*(SUMIF(INDIRECT(V$3),'Struktur Vorjahr'!$D515,INDIRECT(V$4))-SUMIF(INDIRECT(V$3),'Struktur Vorjahr'!$D515,INDIRECT(V$5)))</f>
        <v>-3079.86</v>
      </c>
      <c r="W515" s="593">
        <f ca="1">$E515*(SUMIF(INDIRECT(W$3),'Struktur Vorjahr'!$D515,INDIRECT(W$4))-SUMIF(INDIRECT(W$3),'Struktur Vorjahr'!$D515,INDIRECT(W$5)))</f>
        <v>-3424.31</v>
      </c>
      <c r="X515" s="593">
        <f ca="1">$E515*(SUMIF(INDIRECT(X$3),'Struktur Vorjahr'!$D515,INDIRECT(X$4))-SUMIF(INDIRECT(X$3),'Struktur Vorjahr'!$D515,INDIRECT(X$5)))</f>
        <v>-4764.71</v>
      </c>
      <c r="Y515" s="593">
        <f ca="1">$E515*(SUMIF(INDIRECT(Y$3),'Struktur Vorjahr'!$D515,INDIRECT(Y$4))-SUMIF(INDIRECT(Y$3),'Struktur Vorjahr'!$D515,INDIRECT(Y$5)))</f>
        <v>-5177.74</v>
      </c>
      <c r="Z515" s="593">
        <f ca="1">$E515*(SUMIF(INDIRECT(Z$3),'Struktur Vorjahr'!$D515,INDIRECT(Z$4))-SUMIF(INDIRECT(Z$3),'Struktur Vorjahr'!$D515,INDIRECT(Z$5)))</f>
        <v>-6535.36</v>
      </c>
      <c r="AA515" s="593">
        <f ca="1">$E515*(SUMIF(INDIRECT(AA$3),'Struktur Vorjahr'!$D515,INDIRECT(AA$4))-SUMIF(INDIRECT(AA$3),'Struktur Vorjahr'!$D515,INDIRECT(AA$5)))</f>
        <v>-15319.26</v>
      </c>
      <c r="AB515" s="593">
        <f ca="1">$E515*(SUMIF(INDIRECT(AB$3),'Struktur Vorjahr'!$D515,INDIRECT(AB$4))-SUMIF(INDIRECT(AB$3),'Struktur Vorjahr'!$D515,INDIRECT(AB$5)))</f>
        <v>-18354.400000000001</v>
      </c>
      <c r="AC515" s="593">
        <f ca="1">$E515*(SUMIF(INDIRECT(AC$3),'Struktur Vorjahr'!$D515,INDIRECT(AC$4))-SUMIF(INDIRECT(AC$3),'Struktur Vorjahr'!$D515,INDIRECT(AC$5)))</f>
        <v>0</v>
      </c>
      <c r="AD515" s="593">
        <f ca="1">$E515*(SUMIF(INDIRECT(AD$3),'Struktur Vorjahr'!$D515,INDIRECT(AD$4))-SUMIF(INDIRECT(AD$3),'Struktur Vorjahr'!$D515,INDIRECT(AD$5)))</f>
        <v>0</v>
      </c>
      <c r="AE515" s="593">
        <f t="shared" ca="1" si="261"/>
        <v>0</v>
      </c>
      <c r="AF515" s="593">
        <f t="shared" ca="1" si="262"/>
        <v>0</v>
      </c>
      <c r="AG515" s="593">
        <f t="shared" ca="1" si="262"/>
        <v>-1383.22</v>
      </c>
      <c r="AH515" s="593">
        <f t="shared" ca="1" si="262"/>
        <v>-3079.86</v>
      </c>
      <c r="AI515" s="593">
        <f t="shared" ca="1" si="262"/>
        <v>-3424.31</v>
      </c>
      <c r="AJ515" s="593">
        <f t="shared" ca="1" si="262"/>
        <v>-4764.71</v>
      </c>
      <c r="AK515" s="593">
        <f t="shared" ca="1" si="262"/>
        <v>-5177.74</v>
      </c>
      <c r="AL515" s="593">
        <f t="shared" ca="1" si="262"/>
        <v>-6535.36</v>
      </c>
      <c r="AM515" s="593">
        <f t="shared" ca="1" si="262"/>
        <v>-15319.259999999998</v>
      </c>
      <c r="AN515" s="593">
        <f t="shared" ca="1" si="262"/>
        <v>-18354.399999999998</v>
      </c>
      <c r="AO515" s="593">
        <f t="shared" ca="1" si="262"/>
        <v>-18354.399999999998</v>
      </c>
      <c r="AP515" s="593">
        <f t="shared" ca="1" si="262"/>
        <v>-18354.399999999998</v>
      </c>
    </row>
    <row r="516" spans="1:42" s="594" customFormat="1" ht="11.25" outlineLevel="1" x14ac:dyDescent="0.2">
      <c r="A516" s="644"/>
      <c r="B516" s="591" t="str">
        <f>IF(D516&lt;&gt;"",
IF(ISERROR(MATCH(D516,'Ist Vorjahr Monat 01'!A:A,0))=FALSE,INDEX('Ist Vorjahr Monat 01'!B:B,MATCH(D516,'Ist Vorjahr Monat 01'!A:A,0)),
IF(ISERROR(MATCH(D516,'Ist Vorjahr Monat 02'!A:A,0))=FALSE,INDEX('Ist Vorjahr Monat 02'!B:B,MATCH(D516,'Ist Vorjahr Monat 02'!A:A,0)),
IF(ISERROR(MATCH(D516,'Ist Vorjahr Monat 03'!A:A,0))=FALSE,INDEX('Ist Vorjahr Monat 03'!B:B,MATCH(D516,'Ist Vorjahr Monat 03'!A:A,0)),
IF(ISERROR(MATCH(D516,'Ist Vorjahr Monat 04'!A:A,0))=FALSE,INDEX('Ist Vorjahr Monat 04'!B:B,MATCH(D516,'Ist Vorjahr Monat 04'!A:A,0)),
IF(ISERROR(MATCH(D516,'Ist Vorjahr Monat 05'!A:A,0))=FALSE,INDEX('Ist Vorjahr Monat 05'!B:B,MATCH(D516,'Ist Vorjahr Monat 05'!A:A,0)),
IF(ISERROR(MATCH(D516,'Ist Vorjahr Monat 06'!A:A,0))=FALSE,INDEX('Ist Vorjahr Monat 06'!B:B,MATCH(D516,'Ist Vorjahr Monat 06'!A:A,0)),
IF(ISERROR(MATCH(D516,'Ist Vorjahr Monat 07'!A:A,0))=FALSE,INDEX('Ist Vorjahr Monat 07'!B:B,MATCH(D516,'Ist Vorjahr Monat 07'!A:A,0)),
IF(ISERROR(MATCH(D516,'Ist Vorjahr Monat 08'!A:A,0))=FALSE,INDEX('Ist Vorjahr Monat 08'!B:B,MATCH(D516,'Ist Vorjahr Monat 08'!A:A,0)),
IF(ISERROR(MATCH(D516,'Ist Vorjahr Monat 09'!A:A,0))=FALSE,INDEX('Ist Vorjahr Monat 09'!B:B,MATCH(D516,'Ist Vorjahr Monat 09'!A:A,0)),
IF(ISERROR(MATCH(D516,'Ist Vorjahr Monat 10'!A:A,0))=FALSE,INDEX('Ist Vorjahr Monat 10'!B:B,MATCH(D516,'Ist Vorjahr Monat 10'!A:A,0)),
IF(ISERROR(MATCH(D516,'Ist Vorjahr Monat 11'!A:A,0))=FALSE,INDEX('Ist Vorjahr Monat 11'!B:B,MATCH(D516,'Ist Vorjahr Monat 11'!A:A,0)),
IF(ISERROR(MATCH(D516,'Ist Vorjahr Monat 12'!A:A,0))=FALSE,INDEX('Ist Vorjahr Monat 12'!B:B,MATCH(D516,'Ist Vorjahr Monat 12'!A:A,0)),
"{Konto unbekannt}"
)))))))))))),"")</f>
        <v>Umsatzsteuer Vorjahr</v>
      </c>
      <c r="C516" s="1062"/>
      <c r="D516" s="1067">
        <v>1790</v>
      </c>
      <c r="E516" s="625">
        <f t="shared" si="237"/>
        <v>1</v>
      </c>
      <c r="F516" s="626"/>
      <c r="G516" s="593">
        <f ca="1">$E516*(SUMIF(INDIRECT(G$3),'Struktur Vorjahr'!$D516,INDIRECT(G$4))-SUMIF(INDIRECT(G$3),'Struktur Vorjahr'!$D516,INDIRECT(G$5)))</f>
        <v>-475.67</v>
      </c>
      <c r="H516" s="593">
        <f ca="1">$E516*(SUMIF(INDIRECT(H$3),'Struktur Vorjahr'!$D516,INDIRECT(H$4))-SUMIF(INDIRECT(H$3),'Struktur Vorjahr'!$D516,INDIRECT(H$5)))</f>
        <v>-7837</v>
      </c>
      <c r="I516" s="593">
        <f ca="1">$E516*(SUMIF(INDIRECT(I$3),'Struktur Vorjahr'!$D516,INDIRECT(I$4))-SUMIF(INDIRECT(I$3),'Struktur Vorjahr'!$D516,INDIRECT(I$5)))</f>
        <v>0</v>
      </c>
      <c r="J516" s="593">
        <f ca="1">$E516*(SUMIF(INDIRECT(J$3),'Struktur Vorjahr'!$D516,INDIRECT(J$4))-SUMIF(INDIRECT(J$3),'Struktur Vorjahr'!$D516,INDIRECT(J$5)))</f>
        <v>0</v>
      </c>
      <c r="K516" s="593">
        <f ca="1">$E516*(SUMIF(INDIRECT(K$3),'Struktur Vorjahr'!$D516,INDIRECT(K$4))-SUMIF(INDIRECT(K$3),'Struktur Vorjahr'!$D516,INDIRECT(K$5)))</f>
        <v>0</v>
      </c>
      <c r="L516" s="593">
        <f ca="1">$E516*(SUMIF(INDIRECT(L$3),'Struktur Vorjahr'!$D516,INDIRECT(L$4))-SUMIF(INDIRECT(L$3),'Struktur Vorjahr'!$D516,INDIRECT(L$5)))</f>
        <v>0</v>
      </c>
      <c r="M516" s="593">
        <f ca="1">$E516*(SUMIF(INDIRECT(M$3),'Struktur Vorjahr'!$D516,INDIRECT(M$4))-SUMIF(INDIRECT(M$3),'Struktur Vorjahr'!$D516,INDIRECT(M$5)))</f>
        <v>0</v>
      </c>
      <c r="N516" s="593">
        <f ca="1">$E516*(SUMIF(INDIRECT(N$3),'Struktur Vorjahr'!$D516,INDIRECT(N$4))-SUMIF(INDIRECT(N$3),'Struktur Vorjahr'!$D516,INDIRECT(N$5)))</f>
        <v>0</v>
      </c>
      <c r="O516" s="593">
        <f ca="1">$E516*(SUMIF(INDIRECT(O$3),'Struktur Vorjahr'!$D516,INDIRECT(O$4))-SUMIF(INDIRECT(O$3),'Struktur Vorjahr'!$D516,INDIRECT(O$5)))</f>
        <v>0</v>
      </c>
      <c r="P516" s="593">
        <f ca="1">$E516*(SUMIF(INDIRECT(P$3),'Struktur Vorjahr'!$D516,INDIRECT(P$4))-SUMIF(INDIRECT(P$3),'Struktur Vorjahr'!$D516,INDIRECT(P$5)))</f>
        <v>0</v>
      </c>
      <c r="Q516" s="593">
        <f ca="1">$E516*(SUMIF(INDIRECT(Q$3),'Struktur Vorjahr'!$D516,INDIRECT(Q$4))-SUMIF(INDIRECT(Q$3),'Struktur Vorjahr'!$D516,INDIRECT(Q$5)))</f>
        <v>0</v>
      </c>
      <c r="R516" s="593">
        <f ca="1">$E516*(SUMIF(INDIRECT(R$3),'Struktur Vorjahr'!$D516,INDIRECT(R$4))-SUMIF(INDIRECT(R$3),'Struktur Vorjahr'!$D516,INDIRECT(R$5)))</f>
        <v>0</v>
      </c>
      <c r="S516" s="593">
        <f ca="1">$E516*(SUMIF(INDIRECT(S$3),'Struktur Vorjahr'!$D516,INDIRECT(S$4))-SUMIF(INDIRECT(S$3),'Struktur Vorjahr'!$D516,INDIRECT(S$5)))</f>
        <v>-475.67</v>
      </c>
      <c r="T516" s="593">
        <f ca="1">$E516*(SUMIF(INDIRECT(T$3),'Struktur Vorjahr'!$D516,INDIRECT(T$4))-SUMIF(INDIRECT(T$3),'Struktur Vorjahr'!$D516,INDIRECT(T$5)))</f>
        <v>-8312.67</v>
      </c>
      <c r="U516" s="593">
        <f ca="1">$E516*(SUMIF(INDIRECT(U$3),'Struktur Vorjahr'!$D516,INDIRECT(U$4))-SUMIF(INDIRECT(U$3),'Struktur Vorjahr'!$D516,INDIRECT(U$5)))</f>
        <v>-8312.67</v>
      </c>
      <c r="V516" s="593">
        <f ca="1">$E516*(SUMIF(INDIRECT(V$3),'Struktur Vorjahr'!$D516,INDIRECT(V$4))-SUMIF(INDIRECT(V$3),'Struktur Vorjahr'!$D516,INDIRECT(V$5)))</f>
        <v>-8312.67</v>
      </c>
      <c r="W516" s="593">
        <f ca="1">$E516*(SUMIF(INDIRECT(W$3),'Struktur Vorjahr'!$D516,INDIRECT(W$4))-SUMIF(INDIRECT(W$3),'Struktur Vorjahr'!$D516,INDIRECT(W$5)))</f>
        <v>-8312.67</v>
      </c>
      <c r="X516" s="593">
        <f ca="1">$E516*(SUMIF(INDIRECT(X$3),'Struktur Vorjahr'!$D516,INDIRECT(X$4))-SUMIF(INDIRECT(X$3),'Struktur Vorjahr'!$D516,INDIRECT(X$5)))</f>
        <v>-8312.67</v>
      </c>
      <c r="Y516" s="593">
        <f ca="1">$E516*(SUMIF(INDIRECT(Y$3),'Struktur Vorjahr'!$D516,INDIRECT(Y$4))-SUMIF(INDIRECT(Y$3),'Struktur Vorjahr'!$D516,INDIRECT(Y$5)))</f>
        <v>-8312.67</v>
      </c>
      <c r="Z516" s="593">
        <f ca="1">$E516*(SUMIF(INDIRECT(Z$3),'Struktur Vorjahr'!$D516,INDIRECT(Z$4))-SUMIF(INDIRECT(Z$3),'Struktur Vorjahr'!$D516,INDIRECT(Z$5)))</f>
        <v>-8312.67</v>
      </c>
      <c r="AA516" s="593">
        <f ca="1">$E516*(SUMIF(INDIRECT(AA$3),'Struktur Vorjahr'!$D516,INDIRECT(AA$4))-SUMIF(INDIRECT(AA$3),'Struktur Vorjahr'!$D516,INDIRECT(AA$5)))</f>
        <v>-8312.67</v>
      </c>
      <c r="AB516" s="593">
        <f ca="1">$E516*(SUMIF(INDIRECT(AB$3),'Struktur Vorjahr'!$D516,INDIRECT(AB$4))-SUMIF(INDIRECT(AB$3),'Struktur Vorjahr'!$D516,INDIRECT(AB$5)))</f>
        <v>-8312.67</v>
      </c>
      <c r="AC516" s="593">
        <f ca="1">$E516*(SUMIF(INDIRECT(AC$3),'Struktur Vorjahr'!$D516,INDIRECT(AC$4))-SUMIF(INDIRECT(AC$3),'Struktur Vorjahr'!$D516,INDIRECT(AC$5)))</f>
        <v>0</v>
      </c>
      <c r="AD516" s="593">
        <f ca="1">$E516*(SUMIF(INDIRECT(AD$3),'Struktur Vorjahr'!$D516,INDIRECT(AD$4))-SUMIF(INDIRECT(AD$3),'Struktur Vorjahr'!$D516,INDIRECT(AD$5)))</f>
        <v>0</v>
      </c>
      <c r="AE516" s="593">
        <f t="shared" ca="1" si="261"/>
        <v>-475.67</v>
      </c>
      <c r="AF516" s="593">
        <f t="shared" ca="1" si="262"/>
        <v>-8312.67</v>
      </c>
      <c r="AG516" s="593">
        <f t="shared" ca="1" si="262"/>
        <v>-8312.67</v>
      </c>
      <c r="AH516" s="593">
        <f t="shared" ca="1" si="262"/>
        <v>-8312.67</v>
      </c>
      <c r="AI516" s="593">
        <f t="shared" ca="1" si="262"/>
        <v>-8312.67</v>
      </c>
      <c r="AJ516" s="593">
        <f t="shared" ca="1" si="262"/>
        <v>-8312.67</v>
      </c>
      <c r="AK516" s="593">
        <f t="shared" ca="1" si="262"/>
        <v>-8312.67</v>
      </c>
      <c r="AL516" s="593">
        <f t="shared" ca="1" si="262"/>
        <v>-8312.67</v>
      </c>
      <c r="AM516" s="593">
        <f t="shared" ca="1" si="262"/>
        <v>-8312.67</v>
      </c>
      <c r="AN516" s="593">
        <f t="shared" ca="1" si="262"/>
        <v>-8312.67</v>
      </c>
      <c r="AO516" s="593">
        <f t="shared" ca="1" si="262"/>
        <v>-8312.67</v>
      </c>
      <c r="AP516" s="593">
        <f t="shared" ca="1" si="262"/>
        <v>-8312.67</v>
      </c>
    </row>
    <row r="517" spans="1:42" s="594" customFormat="1" ht="11.25" outlineLevel="1" x14ac:dyDescent="0.2">
      <c r="A517" s="644"/>
      <c r="B517" s="591" t="str">
        <f>IF(D517&lt;&gt;"",
IF(ISERROR(MATCH(D517,'Ist Vorjahr Monat 01'!A:A,0))=FALSE,INDEX('Ist Vorjahr Monat 01'!B:B,MATCH(D517,'Ist Vorjahr Monat 01'!A:A,0)),
IF(ISERROR(MATCH(D517,'Ist Vorjahr Monat 02'!A:A,0))=FALSE,INDEX('Ist Vorjahr Monat 02'!B:B,MATCH(D517,'Ist Vorjahr Monat 02'!A:A,0)),
IF(ISERROR(MATCH(D517,'Ist Vorjahr Monat 03'!A:A,0))=FALSE,INDEX('Ist Vorjahr Monat 03'!B:B,MATCH(D517,'Ist Vorjahr Monat 03'!A:A,0)),
IF(ISERROR(MATCH(D517,'Ist Vorjahr Monat 04'!A:A,0))=FALSE,INDEX('Ist Vorjahr Monat 04'!B:B,MATCH(D517,'Ist Vorjahr Monat 04'!A:A,0)),
IF(ISERROR(MATCH(D517,'Ist Vorjahr Monat 05'!A:A,0))=FALSE,INDEX('Ist Vorjahr Monat 05'!B:B,MATCH(D517,'Ist Vorjahr Monat 05'!A:A,0)),
IF(ISERROR(MATCH(D517,'Ist Vorjahr Monat 06'!A:A,0))=FALSE,INDEX('Ist Vorjahr Monat 06'!B:B,MATCH(D517,'Ist Vorjahr Monat 06'!A:A,0)),
IF(ISERROR(MATCH(D517,'Ist Vorjahr Monat 07'!A:A,0))=FALSE,INDEX('Ist Vorjahr Monat 07'!B:B,MATCH(D517,'Ist Vorjahr Monat 07'!A:A,0)),
IF(ISERROR(MATCH(D517,'Ist Vorjahr Monat 08'!A:A,0))=FALSE,INDEX('Ist Vorjahr Monat 08'!B:B,MATCH(D517,'Ist Vorjahr Monat 08'!A:A,0)),
IF(ISERROR(MATCH(D517,'Ist Vorjahr Monat 09'!A:A,0))=FALSE,INDEX('Ist Vorjahr Monat 09'!B:B,MATCH(D517,'Ist Vorjahr Monat 09'!A:A,0)),
IF(ISERROR(MATCH(D517,'Ist Vorjahr Monat 10'!A:A,0))=FALSE,INDEX('Ist Vorjahr Monat 10'!B:B,MATCH(D517,'Ist Vorjahr Monat 10'!A:A,0)),
IF(ISERROR(MATCH(D517,'Ist Vorjahr Monat 11'!A:A,0))=FALSE,INDEX('Ist Vorjahr Monat 11'!B:B,MATCH(D517,'Ist Vorjahr Monat 11'!A:A,0)),
IF(ISERROR(MATCH(D517,'Ist Vorjahr Monat 12'!A:A,0))=FALSE,INDEX('Ist Vorjahr Monat 12'!B:B,MATCH(D517,'Ist Vorjahr Monat 12'!A:A,0)),
"{Konto unbekannt}"
)))))))))))),"")</f>
        <v>Gewerbesteuerrückstellung § 4 Abs. 5b</v>
      </c>
      <c r="C517" s="1062"/>
      <c r="D517" s="1067">
        <v>956</v>
      </c>
      <c r="E517" s="625">
        <f t="shared" si="237"/>
        <v>1</v>
      </c>
      <c r="F517" s="626"/>
      <c r="G517" s="593">
        <f ca="1">$E517*(SUMIF(INDIRECT(G$3),'Struktur Vorjahr'!$D517,INDIRECT(G$4))-SUMIF(INDIRECT(G$3),'Struktur Vorjahr'!$D517,INDIRECT(G$5)))</f>
        <v>0</v>
      </c>
      <c r="H517" s="593">
        <f ca="1">$E517*(SUMIF(INDIRECT(H$3),'Struktur Vorjahr'!$D517,INDIRECT(H$4))-SUMIF(INDIRECT(H$3),'Struktur Vorjahr'!$D517,INDIRECT(H$5)))</f>
        <v>0</v>
      </c>
      <c r="I517" s="593">
        <f ca="1">$E517*(SUMIF(INDIRECT(I$3),'Struktur Vorjahr'!$D517,INDIRECT(I$4))-SUMIF(INDIRECT(I$3),'Struktur Vorjahr'!$D517,INDIRECT(I$5)))</f>
        <v>0</v>
      </c>
      <c r="J517" s="593">
        <f ca="1">$E517*(SUMIF(INDIRECT(J$3),'Struktur Vorjahr'!$D517,INDIRECT(J$4))-SUMIF(INDIRECT(J$3),'Struktur Vorjahr'!$D517,INDIRECT(J$5)))</f>
        <v>0</v>
      </c>
      <c r="K517" s="593">
        <f ca="1">$E517*(SUMIF(INDIRECT(K$3),'Struktur Vorjahr'!$D517,INDIRECT(K$4))-SUMIF(INDIRECT(K$3),'Struktur Vorjahr'!$D517,INDIRECT(K$5)))</f>
        <v>-36287.78</v>
      </c>
      <c r="L517" s="593">
        <f ca="1">$E517*(SUMIF(INDIRECT(L$3),'Struktur Vorjahr'!$D517,INDIRECT(L$4))-SUMIF(INDIRECT(L$3),'Struktur Vorjahr'!$D517,INDIRECT(L$5)))</f>
        <v>0</v>
      </c>
      <c r="M517" s="593">
        <f ca="1">$E517*(SUMIF(INDIRECT(M$3),'Struktur Vorjahr'!$D517,INDIRECT(M$4))-SUMIF(INDIRECT(M$3),'Struktur Vorjahr'!$D517,INDIRECT(M$5)))</f>
        <v>0</v>
      </c>
      <c r="N517" s="593">
        <f ca="1">$E517*(SUMIF(INDIRECT(N$3),'Struktur Vorjahr'!$D517,INDIRECT(N$4))-SUMIF(INDIRECT(N$3),'Struktur Vorjahr'!$D517,INDIRECT(N$5)))</f>
        <v>0</v>
      </c>
      <c r="O517" s="593">
        <f ca="1">$E517*(SUMIF(INDIRECT(O$3),'Struktur Vorjahr'!$D517,INDIRECT(O$4))-SUMIF(INDIRECT(O$3),'Struktur Vorjahr'!$D517,INDIRECT(O$5)))</f>
        <v>0</v>
      </c>
      <c r="P517" s="593">
        <f ca="1">$E517*(SUMIF(INDIRECT(P$3),'Struktur Vorjahr'!$D517,INDIRECT(P$4))-SUMIF(INDIRECT(P$3),'Struktur Vorjahr'!$D517,INDIRECT(P$5)))</f>
        <v>-5509.5</v>
      </c>
      <c r="Q517" s="593">
        <f ca="1">$E517*(SUMIF(INDIRECT(Q$3),'Struktur Vorjahr'!$D517,INDIRECT(Q$4))-SUMIF(INDIRECT(Q$3),'Struktur Vorjahr'!$D517,INDIRECT(Q$5)))</f>
        <v>0</v>
      </c>
      <c r="R517" s="593">
        <f ca="1">$E517*(SUMIF(INDIRECT(R$3),'Struktur Vorjahr'!$D517,INDIRECT(R$4))-SUMIF(INDIRECT(R$3),'Struktur Vorjahr'!$D517,INDIRECT(R$5)))</f>
        <v>0</v>
      </c>
      <c r="S517" s="593">
        <f ca="1">$E517*(SUMIF(INDIRECT(S$3),'Struktur Vorjahr'!$D517,INDIRECT(S$4))-SUMIF(INDIRECT(S$3),'Struktur Vorjahr'!$D517,INDIRECT(S$5)))</f>
        <v>0</v>
      </c>
      <c r="T517" s="593">
        <f ca="1">$E517*(SUMIF(INDIRECT(T$3),'Struktur Vorjahr'!$D517,INDIRECT(T$4))-SUMIF(INDIRECT(T$3),'Struktur Vorjahr'!$D517,INDIRECT(T$5)))</f>
        <v>0</v>
      </c>
      <c r="U517" s="593">
        <f ca="1">$E517*(SUMIF(INDIRECT(U$3),'Struktur Vorjahr'!$D517,INDIRECT(U$4))-SUMIF(INDIRECT(U$3),'Struktur Vorjahr'!$D517,INDIRECT(U$5)))</f>
        <v>0</v>
      </c>
      <c r="V517" s="593">
        <f ca="1">$E517*(SUMIF(INDIRECT(V$3),'Struktur Vorjahr'!$D517,INDIRECT(V$4))-SUMIF(INDIRECT(V$3),'Struktur Vorjahr'!$D517,INDIRECT(V$5)))</f>
        <v>0</v>
      </c>
      <c r="W517" s="593">
        <f ca="1">$E517*(SUMIF(INDIRECT(W$3),'Struktur Vorjahr'!$D517,INDIRECT(W$4))-SUMIF(INDIRECT(W$3),'Struktur Vorjahr'!$D517,INDIRECT(W$5)))</f>
        <v>-36287.78</v>
      </c>
      <c r="X517" s="593">
        <f ca="1">$E517*(SUMIF(INDIRECT(X$3),'Struktur Vorjahr'!$D517,INDIRECT(X$4))-SUMIF(INDIRECT(X$3),'Struktur Vorjahr'!$D517,INDIRECT(X$5)))</f>
        <v>-36287.78</v>
      </c>
      <c r="Y517" s="593">
        <f ca="1">$E517*(SUMIF(INDIRECT(Y$3),'Struktur Vorjahr'!$D517,INDIRECT(Y$4))-SUMIF(INDIRECT(Y$3),'Struktur Vorjahr'!$D517,INDIRECT(Y$5)))</f>
        <v>-36287.78</v>
      </c>
      <c r="Z517" s="593">
        <f ca="1">$E517*(SUMIF(INDIRECT(Z$3),'Struktur Vorjahr'!$D517,INDIRECT(Z$4))-SUMIF(INDIRECT(Z$3),'Struktur Vorjahr'!$D517,INDIRECT(Z$5)))</f>
        <v>-36287.78</v>
      </c>
      <c r="AA517" s="593">
        <f ca="1">$E517*(SUMIF(INDIRECT(AA$3),'Struktur Vorjahr'!$D517,INDIRECT(AA$4))-SUMIF(INDIRECT(AA$3),'Struktur Vorjahr'!$D517,INDIRECT(AA$5)))</f>
        <v>-36287.78</v>
      </c>
      <c r="AB517" s="593">
        <f ca="1">$E517*(SUMIF(INDIRECT(AB$3),'Struktur Vorjahr'!$D517,INDIRECT(AB$4))-SUMIF(INDIRECT(AB$3),'Struktur Vorjahr'!$D517,INDIRECT(AB$5)))</f>
        <v>-41797.279999999999</v>
      </c>
      <c r="AC517" s="593">
        <f ca="1">$E517*(SUMIF(INDIRECT(AC$3),'Struktur Vorjahr'!$D517,INDIRECT(AC$4))-SUMIF(INDIRECT(AC$3),'Struktur Vorjahr'!$D517,INDIRECT(AC$5)))</f>
        <v>0</v>
      </c>
      <c r="AD517" s="593">
        <f ca="1">$E517*(SUMIF(INDIRECT(AD$3),'Struktur Vorjahr'!$D517,INDIRECT(AD$4))-SUMIF(INDIRECT(AD$3),'Struktur Vorjahr'!$D517,INDIRECT(AD$5)))</f>
        <v>0</v>
      </c>
      <c r="AE517" s="593">
        <f t="shared" ca="1" si="261"/>
        <v>0</v>
      </c>
      <c r="AF517" s="593">
        <f t="shared" ca="1" si="262"/>
        <v>0</v>
      </c>
      <c r="AG517" s="593">
        <f t="shared" ca="1" si="262"/>
        <v>0</v>
      </c>
      <c r="AH517" s="593">
        <f t="shared" ca="1" si="262"/>
        <v>0</v>
      </c>
      <c r="AI517" s="593">
        <f t="shared" ca="1" si="262"/>
        <v>-36287.78</v>
      </c>
      <c r="AJ517" s="593">
        <f t="shared" ca="1" si="262"/>
        <v>-36287.78</v>
      </c>
      <c r="AK517" s="593">
        <f t="shared" ca="1" si="262"/>
        <v>-36287.78</v>
      </c>
      <c r="AL517" s="593">
        <f t="shared" ca="1" si="262"/>
        <v>-36287.78</v>
      </c>
      <c r="AM517" s="593">
        <f t="shared" ca="1" si="262"/>
        <v>-36287.78</v>
      </c>
      <c r="AN517" s="593">
        <f t="shared" ca="1" si="262"/>
        <v>-41797.279999999999</v>
      </c>
      <c r="AO517" s="593">
        <f t="shared" ca="1" si="262"/>
        <v>-41797.279999999999</v>
      </c>
      <c r="AP517" s="593">
        <f t="shared" ca="1" si="262"/>
        <v>-41797.279999999999</v>
      </c>
    </row>
    <row r="518" spans="1:42" s="594" customFormat="1" ht="11.25" outlineLevel="1" x14ac:dyDescent="0.2">
      <c r="A518" s="644"/>
      <c r="B518" s="591" t="str">
        <f>IF(D518&lt;&gt;"",
IF(ISERROR(MATCH(D518,'Ist Vorjahr Monat 01'!A:A,0))=FALSE,INDEX('Ist Vorjahr Monat 01'!B:B,MATCH(D518,'Ist Vorjahr Monat 01'!A:A,0)),
IF(ISERROR(MATCH(D518,'Ist Vorjahr Monat 02'!A:A,0))=FALSE,INDEX('Ist Vorjahr Monat 02'!B:B,MATCH(D518,'Ist Vorjahr Monat 02'!A:A,0)),
IF(ISERROR(MATCH(D518,'Ist Vorjahr Monat 03'!A:A,0))=FALSE,INDEX('Ist Vorjahr Monat 03'!B:B,MATCH(D518,'Ist Vorjahr Monat 03'!A:A,0)),
IF(ISERROR(MATCH(D518,'Ist Vorjahr Monat 04'!A:A,0))=FALSE,INDEX('Ist Vorjahr Monat 04'!B:B,MATCH(D518,'Ist Vorjahr Monat 04'!A:A,0)),
IF(ISERROR(MATCH(D518,'Ist Vorjahr Monat 05'!A:A,0))=FALSE,INDEX('Ist Vorjahr Monat 05'!B:B,MATCH(D518,'Ist Vorjahr Monat 05'!A:A,0)),
IF(ISERROR(MATCH(D518,'Ist Vorjahr Monat 06'!A:A,0))=FALSE,INDEX('Ist Vorjahr Monat 06'!B:B,MATCH(D518,'Ist Vorjahr Monat 06'!A:A,0)),
IF(ISERROR(MATCH(D518,'Ist Vorjahr Monat 07'!A:A,0))=FALSE,INDEX('Ist Vorjahr Monat 07'!B:B,MATCH(D518,'Ist Vorjahr Monat 07'!A:A,0)),
IF(ISERROR(MATCH(D518,'Ist Vorjahr Monat 08'!A:A,0))=FALSE,INDEX('Ist Vorjahr Monat 08'!B:B,MATCH(D518,'Ist Vorjahr Monat 08'!A:A,0)),
IF(ISERROR(MATCH(D518,'Ist Vorjahr Monat 09'!A:A,0))=FALSE,INDEX('Ist Vorjahr Monat 09'!B:B,MATCH(D518,'Ist Vorjahr Monat 09'!A:A,0)),
IF(ISERROR(MATCH(D518,'Ist Vorjahr Monat 10'!A:A,0))=FALSE,INDEX('Ist Vorjahr Monat 10'!B:B,MATCH(D518,'Ist Vorjahr Monat 10'!A:A,0)),
IF(ISERROR(MATCH(D518,'Ist Vorjahr Monat 11'!A:A,0))=FALSE,INDEX('Ist Vorjahr Monat 11'!B:B,MATCH(D518,'Ist Vorjahr Monat 11'!A:A,0)),
IF(ISERROR(MATCH(D518,'Ist Vorjahr Monat 12'!A:A,0))=FALSE,INDEX('Ist Vorjahr Monat 12'!B:B,MATCH(D518,'Ist Vorjahr Monat 12'!A:A,0)),
"{Konto unbekannt}"
)))))))))))),"")</f>
        <v/>
      </c>
      <c r="C518" s="1062"/>
      <c r="D518" s="1067"/>
      <c r="E518" s="625">
        <f t="shared" si="237"/>
        <v>1</v>
      </c>
      <c r="F518" s="626"/>
      <c r="G518" s="593">
        <f ca="1">$E518*(SUMIF(INDIRECT(G$3),'Struktur Vorjahr'!$D518,INDIRECT(G$4))-SUMIF(INDIRECT(G$3),'Struktur Vorjahr'!$D518,INDIRECT(G$5)))</f>
        <v>0</v>
      </c>
      <c r="H518" s="593">
        <f ca="1">$E518*(SUMIF(INDIRECT(H$3),'Struktur Vorjahr'!$D518,INDIRECT(H$4))-SUMIF(INDIRECT(H$3),'Struktur Vorjahr'!$D518,INDIRECT(H$5)))</f>
        <v>0</v>
      </c>
      <c r="I518" s="593">
        <f ca="1">$E518*(SUMIF(INDIRECT(I$3),'Struktur Vorjahr'!$D518,INDIRECT(I$4))-SUMIF(INDIRECT(I$3),'Struktur Vorjahr'!$D518,INDIRECT(I$5)))</f>
        <v>0</v>
      </c>
      <c r="J518" s="593">
        <f ca="1">$E518*(SUMIF(INDIRECT(J$3),'Struktur Vorjahr'!$D518,INDIRECT(J$4))-SUMIF(INDIRECT(J$3),'Struktur Vorjahr'!$D518,INDIRECT(J$5)))</f>
        <v>0</v>
      </c>
      <c r="K518" s="593">
        <f ca="1">$E518*(SUMIF(INDIRECT(K$3),'Struktur Vorjahr'!$D518,INDIRECT(K$4))-SUMIF(INDIRECT(K$3),'Struktur Vorjahr'!$D518,INDIRECT(K$5)))</f>
        <v>0</v>
      </c>
      <c r="L518" s="593">
        <f ca="1">$E518*(SUMIF(INDIRECT(L$3),'Struktur Vorjahr'!$D518,INDIRECT(L$4))-SUMIF(INDIRECT(L$3),'Struktur Vorjahr'!$D518,INDIRECT(L$5)))</f>
        <v>0</v>
      </c>
      <c r="M518" s="593">
        <f ca="1">$E518*(SUMIF(INDIRECT(M$3),'Struktur Vorjahr'!$D518,INDIRECT(M$4))-SUMIF(INDIRECT(M$3),'Struktur Vorjahr'!$D518,INDIRECT(M$5)))</f>
        <v>0</v>
      </c>
      <c r="N518" s="593">
        <f ca="1">$E518*(SUMIF(INDIRECT(N$3),'Struktur Vorjahr'!$D518,INDIRECT(N$4))-SUMIF(INDIRECT(N$3),'Struktur Vorjahr'!$D518,INDIRECT(N$5)))</f>
        <v>0</v>
      </c>
      <c r="O518" s="593">
        <f ca="1">$E518*(SUMIF(INDIRECT(O$3),'Struktur Vorjahr'!$D518,INDIRECT(O$4))-SUMIF(INDIRECT(O$3),'Struktur Vorjahr'!$D518,INDIRECT(O$5)))</f>
        <v>0</v>
      </c>
      <c r="P518" s="593">
        <f ca="1">$E518*(SUMIF(INDIRECT(P$3),'Struktur Vorjahr'!$D518,INDIRECT(P$4))-SUMIF(INDIRECT(P$3),'Struktur Vorjahr'!$D518,INDIRECT(P$5)))</f>
        <v>0</v>
      </c>
      <c r="Q518" s="593">
        <f ca="1">$E518*(SUMIF(INDIRECT(Q$3),'Struktur Vorjahr'!$D518,INDIRECT(Q$4))-SUMIF(INDIRECT(Q$3),'Struktur Vorjahr'!$D518,INDIRECT(Q$5)))</f>
        <v>0</v>
      </c>
      <c r="R518" s="593">
        <f ca="1">$E518*(SUMIF(INDIRECT(R$3),'Struktur Vorjahr'!$D518,INDIRECT(R$4))-SUMIF(INDIRECT(R$3),'Struktur Vorjahr'!$D518,INDIRECT(R$5)))</f>
        <v>0</v>
      </c>
      <c r="S518" s="593">
        <f ca="1">$E518*(SUMIF(INDIRECT(S$3),'Struktur Vorjahr'!$D518,INDIRECT(S$4))-SUMIF(INDIRECT(S$3),'Struktur Vorjahr'!$D518,INDIRECT(S$5)))</f>
        <v>0</v>
      </c>
      <c r="T518" s="593">
        <f ca="1">$E518*(SUMIF(INDIRECT(T$3),'Struktur Vorjahr'!$D518,INDIRECT(T$4))-SUMIF(INDIRECT(T$3),'Struktur Vorjahr'!$D518,INDIRECT(T$5)))</f>
        <v>0</v>
      </c>
      <c r="U518" s="593">
        <f ca="1">$E518*(SUMIF(INDIRECT(U$3),'Struktur Vorjahr'!$D518,INDIRECT(U$4))-SUMIF(INDIRECT(U$3),'Struktur Vorjahr'!$D518,INDIRECT(U$5)))</f>
        <v>0</v>
      </c>
      <c r="V518" s="593">
        <f ca="1">$E518*(SUMIF(INDIRECT(V$3),'Struktur Vorjahr'!$D518,INDIRECT(V$4))-SUMIF(INDIRECT(V$3),'Struktur Vorjahr'!$D518,INDIRECT(V$5)))</f>
        <v>0</v>
      </c>
      <c r="W518" s="593">
        <f ca="1">$E518*(SUMIF(INDIRECT(W$3),'Struktur Vorjahr'!$D518,INDIRECT(W$4))-SUMIF(INDIRECT(W$3),'Struktur Vorjahr'!$D518,INDIRECT(W$5)))</f>
        <v>0</v>
      </c>
      <c r="X518" s="593">
        <f ca="1">$E518*(SUMIF(INDIRECT(X$3),'Struktur Vorjahr'!$D518,INDIRECT(X$4))-SUMIF(INDIRECT(X$3),'Struktur Vorjahr'!$D518,INDIRECT(X$5)))</f>
        <v>0</v>
      </c>
      <c r="Y518" s="593">
        <f ca="1">$E518*(SUMIF(INDIRECT(Y$3),'Struktur Vorjahr'!$D518,INDIRECT(Y$4))-SUMIF(INDIRECT(Y$3),'Struktur Vorjahr'!$D518,INDIRECT(Y$5)))</f>
        <v>0</v>
      </c>
      <c r="Z518" s="593">
        <f ca="1">$E518*(SUMIF(INDIRECT(Z$3),'Struktur Vorjahr'!$D518,INDIRECT(Z$4))-SUMIF(INDIRECT(Z$3),'Struktur Vorjahr'!$D518,INDIRECT(Z$5)))</f>
        <v>0</v>
      </c>
      <c r="AA518" s="593">
        <f ca="1">$E518*(SUMIF(INDIRECT(AA$3),'Struktur Vorjahr'!$D518,INDIRECT(AA$4))-SUMIF(INDIRECT(AA$3),'Struktur Vorjahr'!$D518,INDIRECT(AA$5)))</f>
        <v>0</v>
      </c>
      <c r="AB518" s="593">
        <f ca="1">$E518*(SUMIF(INDIRECT(AB$3),'Struktur Vorjahr'!$D518,INDIRECT(AB$4))-SUMIF(INDIRECT(AB$3),'Struktur Vorjahr'!$D518,INDIRECT(AB$5)))</f>
        <v>0</v>
      </c>
      <c r="AC518" s="593">
        <f ca="1">$E518*(SUMIF(INDIRECT(AC$3),'Struktur Vorjahr'!$D518,INDIRECT(AC$4))-SUMIF(INDIRECT(AC$3),'Struktur Vorjahr'!$D518,INDIRECT(AC$5)))</f>
        <v>0</v>
      </c>
      <c r="AD518" s="593">
        <f ca="1">$E518*(SUMIF(INDIRECT(AD$3),'Struktur Vorjahr'!$D518,INDIRECT(AD$4))-SUMIF(INDIRECT(AD$3),'Struktur Vorjahr'!$D518,INDIRECT(AD$5)))</f>
        <v>0</v>
      </c>
      <c r="AE518" s="593">
        <f t="shared" ca="1" si="261"/>
        <v>0</v>
      </c>
      <c r="AF518" s="593">
        <f t="shared" ca="1" si="262"/>
        <v>0</v>
      </c>
      <c r="AG518" s="593">
        <f t="shared" ca="1" si="262"/>
        <v>0</v>
      </c>
      <c r="AH518" s="593">
        <f t="shared" ca="1" si="262"/>
        <v>0</v>
      </c>
      <c r="AI518" s="593">
        <f t="shared" ca="1" si="262"/>
        <v>0</v>
      </c>
      <c r="AJ518" s="593">
        <f t="shared" ca="1" si="262"/>
        <v>0</v>
      </c>
      <c r="AK518" s="593">
        <f t="shared" ca="1" si="262"/>
        <v>0</v>
      </c>
      <c r="AL518" s="593">
        <f t="shared" ca="1" si="262"/>
        <v>0</v>
      </c>
      <c r="AM518" s="593">
        <f t="shared" ca="1" si="262"/>
        <v>0</v>
      </c>
      <c r="AN518" s="593">
        <f t="shared" ca="1" si="262"/>
        <v>0</v>
      </c>
      <c r="AO518" s="593">
        <f t="shared" ca="1" si="262"/>
        <v>0</v>
      </c>
      <c r="AP518" s="593">
        <f t="shared" ca="1" si="262"/>
        <v>0</v>
      </c>
    </row>
    <row r="519" spans="1:42" s="594" customFormat="1" ht="11.25" outlineLevel="1" x14ac:dyDescent="0.2">
      <c r="A519" s="644"/>
      <c r="B519" s="591" t="str">
        <f>IF(D519&lt;&gt;"",
IF(ISERROR(MATCH(D519,'Ist Vorjahr Monat 01'!A:A,0))=FALSE,INDEX('Ist Vorjahr Monat 01'!B:B,MATCH(D519,'Ist Vorjahr Monat 01'!A:A,0)),
IF(ISERROR(MATCH(D519,'Ist Vorjahr Monat 02'!A:A,0))=FALSE,INDEX('Ist Vorjahr Monat 02'!B:B,MATCH(D519,'Ist Vorjahr Monat 02'!A:A,0)),
IF(ISERROR(MATCH(D519,'Ist Vorjahr Monat 03'!A:A,0))=FALSE,INDEX('Ist Vorjahr Monat 03'!B:B,MATCH(D519,'Ist Vorjahr Monat 03'!A:A,0)),
IF(ISERROR(MATCH(D519,'Ist Vorjahr Monat 04'!A:A,0))=FALSE,INDEX('Ist Vorjahr Monat 04'!B:B,MATCH(D519,'Ist Vorjahr Monat 04'!A:A,0)),
IF(ISERROR(MATCH(D519,'Ist Vorjahr Monat 05'!A:A,0))=FALSE,INDEX('Ist Vorjahr Monat 05'!B:B,MATCH(D519,'Ist Vorjahr Monat 05'!A:A,0)),
IF(ISERROR(MATCH(D519,'Ist Vorjahr Monat 06'!A:A,0))=FALSE,INDEX('Ist Vorjahr Monat 06'!B:B,MATCH(D519,'Ist Vorjahr Monat 06'!A:A,0)),
IF(ISERROR(MATCH(D519,'Ist Vorjahr Monat 07'!A:A,0))=FALSE,INDEX('Ist Vorjahr Monat 07'!B:B,MATCH(D519,'Ist Vorjahr Monat 07'!A:A,0)),
IF(ISERROR(MATCH(D519,'Ist Vorjahr Monat 08'!A:A,0))=FALSE,INDEX('Ist Vorjahr Monat 08'!B:B,MATCH(D519,'Ist Vorjahr Monat 08'!A:A,0)),
IF(ISERROR(MATCH(D519,'Ist Vorjahr Monat 09'!A:A,0))=FALSE,INDEX('Ist Vorjahr Monat 09'!B:B,MATCH(D519,'Ist Vorjahr Monat 09'!A:A,0)),
IF(ISERROR(MATCH(D519,'Ist Vorjahr Monat 10'!A:A,0))=FALSE,INDEX('Ist Vorjahr Monat 10'!B:B,MATCH(D519,'Ist Vorjahr Monat 10'!A:A,0)),
IF(ISERROR(MATCH(D519,'Ist Vorjahr Monat 11'!A:A,0))=FALSE,INDEX('Ist Vorjahr Monat 11'!B:B,MATCH(D519,'Ist Vorjahr Monat 11'!A:A,0)),
IF(ISERROR(MATCH(D519,'Ist Vorjahr Monat 12'!A:A,0))=FALSE,INDEX('Ist Vorjahr Monat 12'!B:B,MATCH(D519,'Ist Vorjahr Monat 12'!A:A,0)),
"{Konto unbekannt}"
)))))))))))),"")</f>
        <v/>
      </c>
      <c r="C519" s="1062"/>
      <c r="D519" s="1067"/>
      <c r="E519" s="625">
        <f t="shared" si="237"/>
        <v>1</v>
      </c>
      <c r="F519" s="626"/>
      <c r="G519" s="593">
        <f ca="1">$E519*(SUMIF(INDIRECT(G$3),'Struktur Vorjahr'!$D519,INDIRECT(G$4))-SUMIF(INDIRECT(G$3),'Struktur Vorjahr'!$D519,INDIRECT(G$5)))</f>
        <v>0</v>
      </c>
      <c r="H519" s="593">
        <f ca="1">$E519*(SUMIF(INDIRECT(H$3),'Struktur Vorjahr'!$D519,INDIRECT(H$4))-SUMIF(INDIRECT(H$3),'Struktur Vorjahr'!$D519,INDIRECT(H$5)))</f>
        <v>0</v>
      </c>
      <c r="I519" s="593">
        <f ca="1">$E519*(SUMIF(INDIRECT(I$3),'Struktur Vorjahr'!$D519,INDIRECT(I$4))-SUMIF(INDIRECT(I$3),'Struktur Vorjahr'!$D519,INDIRECT(I$5)))</f>
        <v>0</v>
      </c>
      <c r="J519" s="593">
        <f ca="1">$E519*(SUMIF(INDIRECT(J$3),'Struktur Vorjahr'!$D519,INDIRECT(J$4))-SUMIF(INDIRECT(J$3),'Struktur Vorjahr'!$D519,INDIRECT(J$5)))</f>
        <v>0</v>
      </c>
      <c r="K519" s="593">
        <f ca="1">$E519*(SUMIF(INDIRECT(K$3),'Struktur Vorjahr'!$D519,INDIRECT(K$4))-SUMIF(INDIRECT(K$3),'Struktur Vorjahr'!$D519,INDIRECT(K$5)))</f>
        <v>0</v>
      </c>
      <c r="L519" s="593">
        <f ca="1">$E519*(SUMIF(INDIRECT(L$3),'Struktur Vorjahr'!$D519,INDIRECT(L$4))-SUMIF(INDIRECT(L$3),'Struktur Vorjahr'!$D519,INDIRECT(L$5)))</f>
        <v>0</v>
      </c>
      <c r="M519" s="593">
        <f ca="1">$E519*(SUMIF(INDIRECT(M$3),'Struktur Vorjahr'!$D519,INDIRECT(M$4))-SUMIF(INDIRECT(M$3),'Struktur Vorjahr'!$D519,INDIRECT(M$5)))</f>
        <v>0</v>
      </c>
      <c r="N519" s="593">
        <f ca="1">$E519*(SUMIF(INDIRECT(N$3),'Struktur Vorjahr'!$D519,INDIRECT(N$4))-SUMIF(INDIRECT(N$3),'Struktur Vorjahr'!$D519,INDIRECT(N$5)))</f>
        <v>0</v>
      </c>
      <c r="O519" s="593">
        <f ca="1">$E519*(SUMIF(INDIRECT(O$3),'Struktur Vorjahr'!$D519,INDIRECT(O$4))-SUMIF(INDIRECT(O$3),'Struktur Vorjahr'!$D519,INDIRECT(O$5)))</f>
        <v>0</v>
      </c>
      <c r="P519" s="593">
        <f ca="1">$E519*(SUMIF(INDIRECT(P$3),'Struktur Vorjahr'!$D519,INDIRECT(P$4))-SUMIF(INDIRECT(P$3),'Struktur Vorjahr'!$D519,INDIRECT(P$5)))</f>
        <v>0</v>
      </c>
      <c r="Q519" s="593">
        <f ca="1">$E519*(SUMIF(INDIRECT(Q$3),'Struktur Vorjahr'!$D519,INDIRECT(Q$4))-SUMIF(INDIRECT(Q$3),'Struktur Vorjahr'!$D519,INDIRECT(Q$5)))</f>
        <v>0</v>
      </c>
      <c r="R519" s="593">
        <f ca="1">$E519*(SUMIF(INDIRECT(R$3),'Struktur Vorjahr'!$D519,INDIRECT(R$4))-SUMIF(INDIRECT(R$3),'Struktur Vorjahr'!$D519,INDIRECT(R$5)))</f>
        <v>0</v>
      </c>
      <c r="S519" s="593">
        <f ca="1">$E519*(SUMIF(INDIRECT(S$3),'Struktur Vorjahr'!$D519,INDIRECT(S$4))-SUMIF(INDIRECT(S$3),'Struktur Vorjahr'!$D519,INDIRECT(S$5)))</f>
        <v>0</v>
      </c>
      <c r="T519" s="593">
        <f ca="1">$E519*(SUMIF(INDIRECT(T$3),'Struktur Vorjahr'!$D519,INDIRECT(T$4))-SUMIF(INDIRECT(T$3),'Struktur Vorjahr'!$D519,INDIRECT(T$5)))</f>
        <v>0</v>
      </c>
      <c r="U519" s="593">
        <f ca="1">$E519*(SUMIF(INDIRECT(U$3),'Struktur Vorjahr'!$D519,INDIRECT(U$4))-SUMIF(INDIRECT(U$3),'Struktur Vorjahr'!$D519,INDIRECT(U$5)))</f>
        <v>0</v>
      </c>
      <c r="V519" s="593">
        <f ca="1">$E519*(SUMIF(INDIRECT(V$3),'Struktur Vorjahr'!$D519,INDIRECT(V$4))-SUMIF(INDIRECT(V$3),'Struktur Vorjahr'!$D519,INDIRECT(V$5)))</f>
        <v>0</v>
      </c>
      <c r="W519" s="593">
        <f ca="1">$E519*(SUMIF(INDIRECT(W$3),'Struktur Vorjahr'!$D519,INDIRECT(W$4))-SUMIF(INDIRECT(W$3),'Struktur Vorjahr'!$D519,INDIRECT(W$5)))</f>
        <v>0</v>
      </c>
      <c r="X519" s="593">
        <f ca="1">$E519*(SUMIF(INDIRECT(X$3),'Struktur Vorjahr'!$D519,INDIRECT(X$4))-SUMIF(INDIRECT(X$3),'Struktur Vorjahr'!$D519,INDIRECT(X$5)))</f>
        <v>0</v>
      </c>
      <c r="Y519" s="593">
        <f ca="1">$E519*(SUMIF(INDIRECT(Y$3),'Struktur Vorjahr'!$D519,INDIRECT(Y$4))-SUMIF(INDIRECT(Y$3),'Struktur Vorjahr'!$D519,INDIRECT(Y$5)))</f>
        <v>0</v>
      </c>
      <c r="Z519" s="593">
        <f ca="1">$E519*(SUMIF(INDIRECT(Z$3),'Struktur Vorjahr'!$D519,INDIRECT(Z$4))-SUMIF(INDIRECT(Z$3),'Struktur Vorjahr'!$D519,INDIRECT(Z$5)))</f>
        <v>0</v>
      </c>
      <c r="AA519" s="593">
        <f ca="1">$E519*(SUMIF(INDIRECT(AA$3),'Struktur Vorjahr'!$D519,INDIRECT(AA$4))-SUMIF(INDIRECT(AA$3),'Struktur Vorjahr'!$D519,INDIRECT(AA$5)))</f>
        <v>0</v>
      </c>
      <c r="AB519" s="593">
        <f ca="1">$E519*(SUMIF(INDIRECT(AB$3),'Struktur Vorjahr'!$D519,INDIRECT(AB$4))-SUMIF(INDIRECT(AB$3),'Struktur Vorjahr'!$D519,INDIRECT(AB$5)))</f>
        <v>0</v>
      </c>
      <c r="AC519" s="593">
        <f ca="1">$E519*(SUMIF(INDIRECT(AC$3),'Struktur Vorjahr'!$D519,INDIRECT(AC$4))-SUMIF(INDIRECT(AC$3),'Struktur Vorjahr'!$D519,INDIRECT(AC$5)))</f>
        <v>0</v>
      </c>
      <c r="AD519" s="593">
        <f ca="1">$E519*(SUMIF(INDIRECT(AD$3),'Struktur Vorjahr'!$D519,INDIRECT(AD$4))-SUMIF(INDIRECT(AD$3),'Struktur Vorjahr'!$D519,INDIRECT(AD$5)))</f>
        <v>0</v>
      </c>
      <c r="AE519" s="593">
        <f t="shared" ca="1" si="261"/>
        <v>0</v>
      </c>
      <c r="AF519" s="593">
        <f t="shared" ca="1" si="262"/>
        <v>0</v>
      </c>
      <c r="AG519" s="593">
        <f t="shared" ca="1" si="262"/>
        <v>0</v>
      </c>
      <c r="AH519" s="593">
        <f t="shared" ca="1" si="262"/>
        <v>0</v>
      </c>
      <c r="AI519" s="593">
        <f t="shared" ca="1" si="262"/>
        <v>0</v>
      </c>
      <c r="AJ519" s="593">
        <f t="shared" ca="1" si="262"/>
        <v>0</v>
      </c>
      <c r="AK519" s="593">
        <f t="shared" ca="1" si="262"/>
        <v>0</v>
      </c>
      <c r="AL519" s="593">
        <f t="shared" ca="1" si="262"/>
        <v>0</v>
      </c>
      <c r="AM519" s="593">
        <f t="shared" ca="1" si="262"/>
        <v>0</v>
      </c>
      <c r="AN519" s="593">
        <f t="shared" ca="1" si="262"/>
        <v>0</v>
      </c>
      <c r="AO519" s="593">
        <f t="shared" ca="1" si="262"/>
        <v>0</v>
      </c>
      <c r="AP519" s="593">
        <f t="shared" ca="1" si="262"/>
        <v>0</v>
      </c>
    </row>
    <row r="520" spans="1:42" s="594" customFormat="1" ht="11.25" outlineLevel="1" x14ac:dyDescent="0.2">
      <c r="A520" s="644"/>
      <c r="B520" s="591" t="str">
        <f>IF(D520&lt;&gt;"",
IF(ISERROR(MATCH(D520,'Ist Vorjahr Monat 01'!A:A,0))=FALSE,INDEX('Ist Vorjahr Monat 01'!B:B,MATCH(D520,'Ist Vorjahr Monat 01'!A:A,0)),
IF(ISERROR(MATCH(D520,'Ist Vorjahr Monat 02'!A:A,0))=FALSE,INDEX('Ist Vorjahr Monat 02'!B:B,MATCH(D520,'Ist Vorjahr Monat 02'!A:A,0)),
IF(ISERROR(MATCH(D520,'Ist Vorjahr Monat 03'!A:A,0))=FALSE,INDEX('Ist Vorjahr Monat 03'!B:B,MATCH(D520,'Ist Vorjahr Monat 03'!A:A,0)),
IF(ISERROR(MATCH(D520,'Ist Vorjahr Monat 04'!A:A,0))=FALSE,INDEX('Ist Vorjahr Monat 04'!B:B,MATCH(D520,'Ist Vorjahr Monat 04'!A:A,0)),
IF(ISERROR(MATCH(D520,'Ist Vorjahr Monat 05'!A:A,0))=FALSE,INDEX('Ist Vorjahr Monat 05'!B:B,MATCH(D520,'Ist Vorjahr Monat 05'!A:A,0)),
IF(ISERROR(MATCH(D520,'Ist Vorjahr Monat 06'!A:A,0))=FALSE,INDEX('Ist Vorjahr Monat 06'!B:B,MATCH(D520,'Ist Vorjahr Monat 06'!A:A,0)),
IF(ISERROR(MATCH(D520,'Ist Vorjahr Monat 07'!A:A,0))=FALSE,INDEX('Ist Vorjahr Monat 07'!B:B,MATCH(D520,'Ist Vorjahr Monat 07'!A:A,0)),
IF(ISERROR(MATCH(D520,'Ist Vorjahr Monat 08'!A:A,0))=FALSE,INDEX('Ist Vorjahr Monat 08'!B:B,MATCH(D520,'Ist Vorjahr Monat 08'!A:A,0)),
IF(ISERROR(MATCH(D520,'Ist Vorjahr Monat 09'!A:A,0))=FALSE,INDEX('Ist Vorjahr Monat 09'!B:B,MATCH(D520,'Ist Vorjahr Monat 09'!A:A,0)),
IF(ISERROR(MATCH(D520,'Ist Vorjahr Monat 10'!A:A,0))=FALSE,INDEX('Ist Vorjahr Monat 10'!B:B,MATCH(D520,'Ist Vorjahr Monat 10'!A:A,0)),
IF(ISERROR(MATCH(D520,'Ist Vorjahr Monat 11'!A:A,0))=FALSE,INDEX('Ist Vorjahr Monat 11'!B:B,MATCH(D520,'Ist Vorjahr Monat 11'!A:A,0)),
IF(ISERROR(MATCH(D520,'Ist Vorjahr Monat 12'!A:A,0))=FALSE,INDEX('Ist Vorjahr Monat 12'!B:B,MATCH(D520,'Ist Vorjahr Monat 12'!A:A,0)),
"{Konto unbekannt}"
)))))))))))),"")</f>
        <v/>
      </c>
      <c r="C520" s="1062"/>
      <c r="D520" s="1067"/>
      <c r="E520" s="625">
        <f t="shared" si="237"/>
        <v>1</v>
      </c>
      <c r="F520" s="626"/>
      <c r="G520" s="593">
        <f ca="1">$E520*(SUMIF(INDIRECT(G$3),'Struktur Vorjahr'!$D520,INDIRECT(G$4))-SUMIF(INDIRECT(G$3),'Struktur Vorjahr'!$D520,INDIRECT(G$5)))</f>
        <v>0</v>
      </c>
      <c r="H520" s="593">
        <f ca="1">$E520*(SUMIF(INDIRECT(H$3),'Struktur Vorjahr'!$D520,INDIRECT(H$4))-SUMIF(INDIRECT(H$3),'Struktur Vorjahr'!$D520,INDIRECT(H$5)))</f>
        <v>0</v>
      </c>
      <c r="I520" s="593">
        <f ca="1">$E520*(SUMIF(INDIRECT(I$3),'Struktur Vorjahr'!$D520,INDIRECT(I$4))-SUMIF(INDIRECT(I$3),'Struktur Vorjahr'!$D520,INDIRECT(I$5)))</f>
        <v>0</v>
      </c>
      <c r="J520" s="593">
        <f ca="1">$E520*(SUMIF(INDIRECT(J$3),'Struktur Vorjahr'!$D520,INDIRECT(J$4))-SUMIF(INDIRECT(J$3),'Struktur Vorjahr'!$D520,INDIRECT(J$5)))</f>
        <v>0</v>
      </c>
      <c r="K520" s="593">
        <f ca="1">$E520*(SUMIF(INDIRECT(K$3),'Struktur Vorjahr'!$D520,INDIRECT(K$4))-SUMIF(INDIRECT(K$3),'Struktur Vorjahr'!$D520,INDIRECT(K$5)))</f>
        <v>0</v>
      </c>
      <c r="L520" s="593">
        <f ca="1">$E520*(SUMIF(INDIRECT(L$3),'Struktur Vorjahr'!$D520,INDIRECT(L$4))-SUMIF(INDIRECT(L$3),'Struktur Vorjahr'!$D520,INDIRECT(L$5)))</f>
        <v>0</v>
      </c>
      <c r="M520" s="593">
        <f ca="1">$E520*(SUMIF(INDIRECT(M$3),'Struktur Vorjahr'!$D520,INDIRECT(M$4))-SUMIF(INDIRECT(M$3),'Struktur Vorjahr'!$D520,INDIRECT(M$5)))</f>
        <v>0</v>
      </c>
      <c r="N520" s="593">
        <f ca="1">$E520*(SUMIF(INDIRECT(N$3),'Struktur Vorjahr'!$D520,INDIRECT(N$4))-SUMIF(INDIRECT(N$3),'Struktur Vorjahr'!$D520,INDIRECT(N$5)))</f>
        <v>0</v>
      </c>
      <c r="O520" s="593">
        <f ca="1">$E520*(SUMIF(INDIRECT(O$3),'Struktur Vorjahr'!$D520,INDIRECT(O$4))-SUMIF(INDIRECT(O$3),'Struktur Vorjahr'!$D520,INDIRECT(O$5)))</f>
        <v>0</v>
      </c>
      <c r="P520" s="593">
        <f ca="1">$E520*(SUMIF(INDIRECT(P$3),'Struktur Vorjahr'!$D520,INDIRECT(P$4))-SUMIF(INDIRECT(P$3),'Struktur Vorjahr'!$D520,INDIRECT(P$5)))</f>
        <v>0</v>
      </c>
      <c r="Q520" s="593">
        <f ca="1">$E520*(SUMIF(INDIRECT(Q$3),'Struktur Vorjahr'!$D520,INDIRECT(Q$4))-SUMIF(INDIRECT(Q$3),'Struktur Vorjahr'!$D520,INDIRECT(Q$5)))</f>
        <v>0</v>
      </c>
      <c r="R520" s="593">
        <f ca="1">$E520*(SUMIF(INDIRECT(R$3),'Struktur Vorjahr'!$D520,INDIRECT(R$4))-SUMIF(INDIRECT(R$3),'Struktur Vorjahr'!$D520,INDIRECT(R$5)))</f>
        <v>0</v>
      </c>
      <c r="S520" s="593">
        <f ca="1">$E520*(SUMIF(INDIRECT(S$3),'Struktur Vorjahr'!$D520,INDIRECT(S$4))-SUMIF(INDIRECT(S$3),'Struktur Vorjahr'!$D520,INDIRECT(S$5)))</f>
        <v>0</v>
      </c>
      <c r="T520" s="593">
        <f ca="1">$E520*(SUMIF(INDIRECT(T$3),'Struktur Vorjahr'!$D520,INDIRECT(T$4))-SUMIF(INDIRECT(T$3),'Struktur Vorjahr'!$D520,INDIRECT(T$5)))</f>
        <v>0</v>
      </c>
      <c r="U520" s="593">
        <f ca="1">$E520*(SUMIF(INDIRECT(U$3),'Struktur Vorjahr'!$D520,INDIRECT(U$4))-SUMIF(INDIRECT(U$3),'Struktur Vorjahr'!$D520,INDIRECT(U$5)))</f>
        <v>0</v>
      </c>
      <c r="V520" s="593">
        <f ca="1">$E520*(SUMIF(INDIRECT(V$3),'Struktur Vorjahr'!$D520,INDIRECT(V$4))-SUMIF(INDIRECT(V$3),'Struktur Vorjahr'!$D520,INDIRECT(V$5)))</f>
        <v>0</v>
      </c>
      <c r="W520" s="593">
        <f ca="1">$E520*(SUMIF(INDIRECT(W$3),'Struktur Vorjahr'!$D520,INDIRECT(W$4))-SUMIF(INDIRECT(W$3),'Struktur Vorjahr'!$D520,INDIRECT(W$5)))</f>
        <v>0</v>
      </c>
      <c r="X520" s="593">
        <f ca="1">$E520*(SUMIF(INDIRECT(X$3),'Struktur Vorjahr'!$D520,INDIRECT(X$4))-SUMIF(INDIRECT(X$3),'Struktur Vorjahr'!$D520,INDIRECT(X$5)))</f>
        <v>0</v>
      </c>
      <c r="Y520" s="593">
        <f ca="1">$E520*(SUMIF(INDIRECT(Y$3),'Struktur Vorjahr'!$D520,INDIRECT(Y$4))-SUMIF(INDIRECT(Y$3),'Struktur Vorjahr'!$D520,INDIRECT(Y$5)))</f>
        <v>0</v>
      </c>
      <c r="Z520" s="593">
        <f ca="1">$E520*(SUMIF(INDIRECT(Z$3),'Struktur Vorjahr'!$D520,INDIRECT(Z$4))-SUMIF(INDIRECT(Z$3),'Struktur Vorjahr'!$D520,INDIRECT(Z$5)))</f>
        <v>0</v>
      </c>
      <c r="AA520" s="593">
        <f ca="1">$E520*(SUMIF(INDIRECT(AA$3),'Struktur Vorjahr'!$D520,INDIRECT(AA$4))-SUMIF(INDIRECT(AA$3),'Struktur Vorjahr'!$D520,INDIRECT(AA$5)))</f>
        <v>0</v>
      </c>
      <c r="AB520" s="593">
        <f ca="1">$E520*(SUMIF(INDIRECT(AB$3),'Struktur Vorjahr'!$D520,INDIRECT(AB$4))-SUMIF(INDIRECT(AB$3),'Struktur Vorjahr'!$D520,INDIRECT(AB$5)))</f>
        <v>0</v>
      </c>
      <c r="AC520" s="593">
        <f ca="1">$E520*(SUMIF(INDIRECT(AC$3),'Struktur Vorjahr'!$D520,INDIRECT(AC$4))-SUMIF(INDIRECT(AC$3),'Struktur Vorjahr'!$D520,INDIRECT(AC$5)))</f>
        <v>0</v>
      </c>
      <c r="AD520" s="593">
        <f ca="1">$E520*(SUMIF(INDIRECT(AD$3),'Struktur Vorjahr'!$D520,INDIRECT(AD$4))-SUMIF(INDIRECT(AD$3),'Struktur Vorjahr'!$D520,INDIRECT(AD$5)))</f>
        <v>0</v>
      </c>
      <c r="AE520" s="593">
        <f t="shared" ca="1" si="261"/>
        <v>0</v>
      </c>
      <c r="AF520" s="593">
        <f t="shared" ca="1" si="262"/>
        <v>0</v>
      </c>
      <c r="AG520" s="593">
        <f t="shared" ca="1" si="262"/>
        <v>0</v>
      </c>
      <c r="AH520" s="593">
        <f t="shared" ca="1" si="262"/>
        <v>0</v>
      </c>
      <c r="AI520" s="593">
        <f t="shared" ca="1" si="262"/>
        <v>0</v>
      </c>
      <c r="AJ520" s="593">
        <f t="shared" ca="1" si="262"/>
        <v>0</v>
      </c>
      <c r="AK520" s="593">
        <f t="shared" ca="1" si="262"/>
        <v>0</v>
      </c>
      <c r="AL520" s="593">
        <f t="shared" ca="1" si="262"/>
        <v>0</v>
      </c>
      <c r="AM520" s="593">
        <f t="shared" ca="1" si="262"/>
        <v>0</v>
      </c>
      <c r="AN520" s="593">
        <f t="shared" ca="1" si="262"/>
        <v>0</v>
      </c>
      <c r="AO520" s="593">
        <f t="shared" ca="1" si="262"/>
        <v>0</v>
      </c>
      <c r="AP520" s="593">
        <f t="shared" ca="1" si="262"/>
        <v>0</v>
      </c>
    </row>
    <row r="521" spans="1:42" s="594" customFormat="1" ht="11.25" outlineLevel="1" x14ac:dyDescent="0.2">
      <c r="A521" s="644"/>
      <c r="B521" s="591" t="str">
        <f>IF(D521&lt;&gt;"",
IF(ISERROR(MATCH(D521,'Ist Vorjahr Monat 01'!A:A,0))=FALSE,INDEX('Ist Vorjahr Monat 01'!B:B,MATCH(D521,'Ist Vorjahr Monat 01'!A:A,0)),
IF(ISERROR(MATCH(D521,'Ist Vorjahr Monat 02'!A:A,0))=FALSE,INDEX('Ist Vorjahr Monat 02'!B:B,MATCH(D521,'Ist Vorjahr Monat 02'!A:A,0)),
IF(ISERROR(MATCH(D521,'Ist Vorjahr Monat 03'!A:A,0))=FALSE,INDEX('Ist Vorjahr Monat 03'!B:B,MATCH(D521,'Ist Vorjahr Monat 03'!A:A,0)),
IF(ISERROR(MATCH(D521,'Ist Vorjahr Monat 04'!A:A,0))=FALSE,INDEX('Ist Vorjahr Monat 04'!B:B,MATCH(D521,'Ist Vorjahr Monat 04'!A:A,0)),
IF(ISERROR(MATCH(D521,'Ist Vorjahr Monat 05'!A:A,0))=FALSE,INDEX('Ist Vorjahr Monat 05'!B:B,MATCH(D521,'Ist Vorjahr Monat 05'!A:A,0)),
IF(ISERROR(MATCH(D521,'Ist Vorjahr Monat 06'!A:A,0))=FALSE,INDEX('Ist Vorjahr Monat 06'!B:B,MATCH(D521,'Ist Vorjahr Monat 06'!A:A,0)),
IF(ISERROR(MATCH(D521,'Ist Vorjahr Monat 07'!A:A,0))=FALSE,INDEX('Ist Vorjahr Monat 07'!B:B,MATCH(D521,'Ist Vorjahr Monat 07'!A:A,0)),
IF(ISERROR(MATCH(D521,'Ist Vorjahr Monat 08'!A:A,0))=FALSE,INDEX('Ist Vorjahr Monat 08'!B:B,MATCH(D521,'Ist Vorjahr Monat 08'!A:A,0)),
IF(ISERROR(MATCH(D521,'Ist Vorjahr Monat 09'!A:A,0))=FALSE,INDEX('Ist Vorjahr Monat 09'!B:B,MATCH(D521,'Ist Vorjahr Monat 09'!A:A,0)),
IF(ISERROR(MATCH(D521,'Ist Vorjahr Monat 10'!A:A,0))=FALSE,INDEX('Ist Vorjahr Monat 10'!B:B,MATCH(D521,'Ist Vorjahr Monat 10'!A:A,0)),
IF(ISERROR(MATCH(D521,'Ist Vorjahr Monat 11'!A:A,0))=FALSE,INDEX('Ist Vorjahr Monat 11'!B:B,MATCH(D521,'Ist Vorjahr Monat 11'!A:A,0)),
IF(ISERROR(MATCH(D521,'Ist Vorjahr Monat 12'!A:A,0))=FALSE,INDEX('Ist Vorjahr Monat 12'!B:B,MATCH(D521,'Ist Vorjahr Monat 12'!A:A,0)),
"{Konto unbekannt}"
)))))))))))),"")</f>
        <v/>
      </c>
      <c r="C521" s="1062"/>
      <c r="D521" s="1067"/>
      <c r="E521" s="625">
        <f t="shared" si="237"/>
        <v>1</v>
      </c>
      <c r="F521" s="626"/>
      <c r="G521" s="593">
        <f ca="1">$E521*(SUMIF(INDIRECT(G$3),'Struktur Vorjahr'!$D521,INDIRECT(G$4))-SUMIF(INDIRECT(G$3),'Struktur Vorjahr'!$D521,INDIRECT(G$5)))</f>
        <v>0</v>
      </c>
      <c r="H521" s="593">
        <f ca="1">$E521*(SUMIF(INDIRECT(H$3),'Struktur Vorjahr'!$D521,INDIRECT(H$4))-SUMIF(INDIRECT(H$3),'Struktur Vorjahr'!$D521,INDIRECT(H$5)))</f>
        <v>0</v>
      </c>
      <c r="I521" s="593">
        <f ca="1">$E521*(SUMIF(INDIRECT(I$3),'Struktur Vorjahr'!$D521,INDIRECT(I$4))-SUMIF(INDIRECT(I$3),'Struktur Vorjahr'!$D521,INDIRECT(I$5)))</f>
        <v>0</v>
      </c>
      <c r="J521" s="593">
        <f ca="1">$E521*(SUMIF(INDIRECT(J$3),'Struktur Vorjahr'!$D521,INDIRECT(J$4))-SUMIF(INDIRECT(J$3),'Struktur Vorjahr'!$D521,INDIRECT(J$5)))</f>
        <v>0</v>
      </c>
      <c r="K521" s="593">
        <f ca="1">$E521*(SUMIF(INDIRECT(K$3),'Struktur Vorjahr'!$D521,INDIRECT(K$4))-SUMIF(INDIRECT(K$3),'Struktur Vorjahr'!$D521,INDIRECT(K$5)))</f>
        <v>0</v>
      </c>
      <c r="L521" s="593">
        <f ca="1">$E521*(SUMIF(INDIRECT(L$3),'Struktur Vorjahr'!$D521,INDIRECT(L$4))-SUMIF(INDIRECT(L$3),'Struktur Vorjahr'!$D521,INDIRECT(L$5)))</f>
        <v>0</v>
      </c>
      <c r="M521" s="593">
        <f ca="1">$E521*(SUMIF(INDIRECT(M$3),'Struktur Vorjahr'!$D521,INDIRECT(M$4))-SUMIF(INDIRECT(M$3),'Struktur Vorjahr'!$D521,INDIRECT(M$5)))</f>
        <v>0</v>
      </c>
      <c r="N521" s="593">
        <f ca="1">$E521*(SUMIF(INDIRECT(N$3),'Struktur Vorjahr'!$D521,INDIRECT(N$4))-SUMIF(INDIRECT(N$3),'Struktur Vorjahr'!$D521,INDIRECT(N$5)))</f>
        <v>0</v>
      </c>
      <c r="O521" s="593">
        <f ca="1">$E521*(SUMIF(INDIRECT(O$3),'Struktur Vorjahr'!$D521,INDIRECT(O$4))-SUMIF(INDIRECT(O$3),'Struktur Vorjahr'!$D521,INDIRECT(O$5)))</f>
        <v>0</v>
      </c>
      <c r="P521" s="593">
        <f ca="1">$E521*(SUMIF(INDIRECT(P$3),'Struktur Vorjahr'!$D521,INDIRECT(P$4))-SUMIF(INDIRECT(P$3),'Struktur Vorjahr'!$D521,INDIRECT(P$5)))</f>
        <v>0</v>
      </c>
      <c r="Q521" s="593">
        <f ca="1">$E521*(SUMIF(INDIRECT(Q$3),'Struktur Vorjahr'!$D521,INDIRECT(Q$4))-SUMIF(INDIRECT(Q$3),'Struktur Vorjahr'!$D521,INDIRECT(Q$5)))</f>
        <v>0</v>
      </c>
      <c r="R521" s="593">
        <f ca="1">$E521*(SUMIF(INDIRECT(R$3),'Struktur Vorjahr'!$D521,INDIRECT(R$4))-SUMIF(INDIRECT(R$3),'Struktur Vorjahr'!$D521,INDIRECT(R$5)))</f>
        <v>0</v>
      </c>
      <c r="S521" s="593">
        <f ca="1">$E521*(SUMIF(INDIRECT(S$3),'Struktur Vorjahr'!$D521,INDIRECT(S$4))-SUMIF(INDIRECT(S$3),'Struktur Vorjahr'!$D521,INDIRECT(S$5)))</f>
        <v>0</v>
      </c>
      <c r="T521" s="593">
        <f ca="1">$E521*(SUMIF(INDIRECT(T$3),'Struktur Vorjahr'!$D521,INDIRECT(T$4))-SUMIF(INDIRECT(T$3),'Struktur Vorjahr'!$D521,INDIRECT(T$5)))</f>
        <v>0</v>
      </c>
      <c r="U521" s="593">
        <f ca="1">$E521*(SUMIF(INDIRECT(U$3),'Struktur Vorjahr'!$D521,INDIRECT(U$4))-SUMIF(INDIRECT(U$3),'Struktur Vorjahr'!$D521,INDIRECT(U$5)))</f>
        <v>0</v>
      </c>
      <c r="V521" s="593">
        <f ca="1">$E521*(SUMIF(INDIRECT(V$3),'Struktur Vorjahr'!$D521,INDIRECT(V$4))-SUMIF(INDIRECT(V$3),'Struktur Vorjahr'!$D521,INDIRECT(V$5)))</f>
        <v>0</v>
      </c>
      <c r="W521" s="593">
        <f ca="1">$E521*(SUMIF(INDIRECT(W$3),'Struktur Vorjahr'!$D521,INDIRECT(W$4))-SUMIF(INDIRECT(W$3),'Struktur Vorjahr'!$D521,INDIRECT(W$5)))</f>
        <v>0</v>
      </c>
      <c r="X521" s="593">
        <f ca="1">$E521*(SUMIF(INDIRECT(X$3),'Struktur Vorjahr'!$D521,INDIRECT(X$4))-SUMIF(INDIRECT(X$3),'Struktur Vorjahr'!$D521,INDIRECT(X$5)))</f>
        <v>0</v>
      </c>
      <c r="Y521" s="593">
        <f ca="1">$E521*(SUMIF(INDIRECT(Y$3),'Struktur Vorjahr'!$D521,INDIRECT(Y$4))-SUMIF(INDIRECT(Y$3),'Struktur Vorjahr'!$D521,INDIRECT(Y$5)))</f>
        <v>0</v>
      </c>
      <c r="Z521" s="593">
        <f ca="1">$E521*(SUMIF(INDIRECT(Z$3),'Struktur Vorjahr'!$D521,INDIRECT(Z$4))-SUMIF(INDIRECT(Z$3),'Struktur Vorjahr'!$D521,INDIRECT(Z$5)))</f>
        <v>0</v>
      </c>
      <c r="AA521" s="593">
        <f ca="1">$E521*(SUMIF(INDIRECT(AA$3),'Struktur Vorjahr'!$D521,INDIRECT(AA$4))-SUMIF(INDIRECT(AA$3),'Struktur Vorjahr'!$D521,INDIRECT(AA$5)))</f>
        <v>0</v>
      </c>
      <c r="AB521" s="593">
        <f ca="1">$E521*(SUMIF(INDIRECT(AB$3),'Struktur Vorjahr'!$D521,INDIRECT(AB$4))-SUMIF(INDIRECT(AB$3),'Struktur Vorjahr'!$D521,INDIRECT(AB$5)))</f>
        <v>0</v>
      </c>
      <c r="AC521" s="593">
        <f ca="1">$E521*(SUMIF(INDIRECT(AC$3),'Struktur Vorjahr'!$D521,INDIRECT(AC$4))-SUMIF(INDIRECT(AC$3),'Struktur Vorjahr'!$D521,INDIRECT(AC$5)))</f>
        <v>0</v>
      </c>
      <c r="AD521" s="593">
        <f ca="1">$E521*(SUMIF(INDIRECT(AD$3),'Struktur Vorjahr'!$D521,INDIRECT(AD$4))-SUMIF(INDIRECT(AD$3),'Struktur Vorjahr'!$D521,INDIRECT(AD$5)))</f>
        <v>0</v>
      </c>
      <c r="AE521" s="593">
        <f t="shared" ca="1" si="261"/>
        <v>0</v>
      </c>
      <c r="AF521" s="593">
        <f t="shared" ca="1" si="262"/>
        <v>0</v>
      </c>
      <c r="AG521" s="593">
        <f t="shared" ca="1" si="262"/>
        <v>0</v>
      </c>
      <c r="AH521" s="593">
        <f t="shared" ca="1" si="262"/>
        <v>0</v>
      </c>
      <c r="AI521" s="593">
        <f t="shared" ca="1" si="262"/>
        <v>0</v>
      </c>
      <c r="AJ521" s="593">
        <f t="shared" ca="1" si="262"/>
        <v>0</v>
      </c>
      <c r="AK521" s="593">
        <f t="shared" ca="1" si="262"/>
        <v>0</v>
      </c>
      <c r="AL521" s="593">
        <f t="shared" ca="1" si="262"/>
        <v>0</v>
      </c>
      <c r="AM521" s="593">
        <f t="shared" ca="1" si="262"/>
        <v>0</v>
      </c>
      <c r="AN521" s="593">
        <f t="shared" ca="1" si="262"/>
        <v>0</v>
      </c>
      <c r="AO521" s="593">
        <f t="shared" ca="1" si="262"/>
        <v>0</v>
      </c>
      <c r="AP521" s="593">
        <f t="shared" ca="1" si="262"/>
        <v>0</v>
      </c>
    </row>
    <row r="522" spans="1:42" s="594" customFormat="1" ht="11.25" outlineLevel="1" x14ac:dyDescent="0.2">
      <c r="A522" s="644"/>
      <c r="B522" s="591" t="str">
        <f>IF(D522&lt;&gt;"",
IF(ISERROR(MATCH(D522,'Ist Vorjahr Monat 01'!A:A,0))=FALSE,INDEX('Ist Vorjahr Monat 01'!B:B,MATCH(D522,'Ist Vorjahr Monat 01'!A:A,0)),
IF(ISERROR(MATCH(D522,'Ist Vorjahr Monat 02'!A:A,0))=FALSE,INDEX('Ist Vorjahr Monat 02'!B:B,MATCH(D522,'Ist Vorjahr Monat 02'!A:A,0)),
IF(ISERROR(MATCH(D522,'Ist Vorjahr Monat 03'!A:A,0))=FALSE,INDEX('Ist Vorjahr Monat 03'!B:B,MATCH(D522,'Ist Vorjahr Monat 03'!A:A,0)),
IF(ISERROR(MATCH(D522,'Ist Vorjahr Monat 04'!A:A,0))=FALSE,INDEX('Ist Vorjahr Monat 04'!B:B,MATCH(D522,'Ist Vorjahr Monat 04'!A:A,0)),
IF(ISERROR(MATCH(D522,'Ist Vorjahr Monat 05'!A:A,0))=FALSE,INDEX('Ist Vorjahr Monat 05'!B:B,MATCH(D522,'Ist Vorjahr Monat 05'!A:A,0)),
IF(ISERROR(MATCH(D522,'Ist Vorjahr Monat 06'!A:A,0))=FALSE,INDEX('Ist Vorjahr Monat 06'!B:B,MATCH(D522,'Ist Vorjahr Monat 06'!A:A,0)),
IF(ISERROR(MATCH(D522,'Ist Vorjahr Monat 07'!A:A,0))=FALSE,INDEX('Ist Vorjahr Monat 07'!B:B,MATCH(D522,'Ist Vorjahr Monat 07'!A:A,0)),
IF(ISERROR(MATCH(D522,'Ist Vorjahr Monat 08'!A:A,0))=FALSE,INDEX('Ist Vorjahr Monat 08'!B:B,MATCH(D522,'Ist Vorjahr Monat 08'!A:A,0)),
IF(ISERROR(MATCH(D522,'Ist Vorjahr Monat 09'!A:A,0))=FALSE,INDEX('Ist Vorjahr Monat 09'!B:B,MATCH(D522,'Ist Vorjahr Monat 09'!A:A,0)),
IF(ISERROR(MATCH(D522,'Ist Vorjahr Monat 10'!A:A,0))=FALSE,INDEX('Ist Vorjahr Monat 10'!B:B,MATCH(D522,'Ist Vorjahr Monat 10'!A:A,0)),
IF(ISERROR(MATCH(D522,'Ist Vorjahr Monat 11'!A:A,0))=FALSE,INDEX('Ist Vorjahr Monat 11'!B:B,MATCH(D522,'Ist Vorjahr Monat 11'!A:A,0)),
IF(ISERROR(MATCH(D522,'Ist Vorjahr Monat 12'!A:A,0))=FALSE,INDEX('Ist Vorjahr Monat 12'!B:B,MATCH(D522,'Ist Vorjahr Monat 12'!A:A,0)),
"{Konto unbekannt}"
)))))))))))),"")</f>
        <v/>
      </c>
      <c r="C522" s="1062"/>
      <c r="D522" s="1067"/>
      <c r="E522" s="625">
        <f t="shared" si="237"/>
        <v>1</v>
      </c>
      <c r="F522" s="626"/>
      <c r="G522" s="593">
        <f ca="1">$E522*(SUMIF(INDIRECT(G$3),'Struktur Vorjahr'!$D522,INDIRECT(G$4))-SUMIF(INDIRECT(G$3),'Struktur Vorjahr'!$D522,INDIRECT(G$5)))</f>
        <v>0</v>
      </c>
      <c r="H522" s="593">
        <f ca="1">$E522*(SUMIF(INDIRECT(H$3),'Struktur Vorjahr'!$D522,INDIRECT(H$4))-SUMIF(INDIRECT(H$3),'Struktur Vorjahr'!$D522,INDIRECT(H$5)))</f>
        <v>0</v>
      </c>
      <c r="I522" s="593">
        <f ca="1">$E522*(SUMIF(INDIRECT(I$3),'Struktur Vorjahr'!$D522,INDIRECT(I$4))-SUMIF(INDIRECT(I$3),'Struktur Vorjahr'!$D522,INDIRECT(I$5)))</f>
        <v>0</v>
      </c>
      <c r="J522" s="593">
        <f ca="1">$E522*(SUMIF(INDIRECT(J$3),'Struktur Vorjahr'!$D522,INDIRECT(J$4))-SUMIF(INDIRECT(J$3),'Struktur Vorjahr'!$D522,INDIRECT(J$5)))</f>
        <v>0</v>
      </c>
      <c r="K522" s="593">
        <f ca="1">$E522*(SUMIF(INDIRECT(K$3),'Struktur Vorjahr'!$D522,INDIRECT(K$4))-SUMIF(INDIRECT(K$3),'Struktur Vorjahr'!$D522,INDIRECT(K$5)))</f>
        <v>0</v>
      </c>
      <c r="L522" s="593">
        <f ca="1">$E522*(SUMIF(INDIRECT(L$3),'Struktur Vorjahr'!$D522,INDIRECT(L$4))-SUMIF(INDIRECT(L$3),'Struktur Vorjahr'!$D522,INDIRECT(L$5)))</f>
        <v>0</v>
      </c>
      <c r="M522" s="593">
        <f ca="1">$E522*(SUMIF(INDIRECT(M$3),'Struktur Vorjahr'!$D522,INDIRECT(M$4))-SUMIF(INDIRECT(M$3),'Struktur Vorjahr'!$D522,INDIRECT(M$5)))</f>
        <v>0</v>
      </c>
      <c r="N522" s="593">
        <f ca="1">$E522*(SUMIF(INDIRECT(N$3),'Struktur Vorjahr'!$D522,INDIRECT(N$4))-SUMIF(INDIRECT(N$3),'Struktur Vorjahr'!$D522,INDIRECT(N$5)))</f>
        <v>0</v>
      </c>
      <c r="O522" s="593">
        <f ca="1">$E522*(SUMIF(INDIRECT(O$3),'Struktur Vorjahr'!$D522,INDIRECT(O$4))-SUMIF(INDIRECT(O$3),'Struktur Vorjahr'!$D522,INDIRECT(O$5)))</f>
        <v>0</v>
      </c>
      <c r="P522" s="593">
        <f ca="1">$E522*(SUMIF(INDIRECT(P$3),'Struktur Vorjahr'!$D522,INDIRECT(P$4))-SUMIF(INDIRECT(P$3),'Struktur Vorjahr'!$D522,INDIRECT(P$5)))</f>
        <v>0</v>
      </c>
      <c r="Q522" s="593">
        <f ca="1">$E522*(SUMIF(INDIRECT(Q$3),'Struktur Vorjahr'!$D522,INDIRECT(Q$4))-SUMIF(INDIRECT(Q$3),'Struktur Vorjahr'!$D522,INDIRECT(Q$5)))</f>
        <v>0</v>
      </c>
      <c r="R522" s="593">
        <f ca="1">$E522*(SUMIF(INDIRECT(R$3),'Struktur Vorjahr'!$D522,INDIRECT(R$4))-SUMIF(INDIRECT(R$3),'Struktur Vorjahr'!$D522,INDIRECT(R$5)))</f>
        <v>0</v>
      </c>
      <c r="S522" s="593">
        <f ca="1">$E522*(SUMIF(INDIRECT(S$3),'Struktur Vorjahr'!$D522,INDIRECT(S$4))-SUMIF(INDIRECT(S$3),'Struktur Vorjahr'!$D522,INDIRECT(S$5)))</f>
        <v>0</v>
      </c>
      <c r="T522" s="593">
        <f ca="1">$E522*(SUMIF(INDIRECT(T$3),'Struktur Vorjahr'!$D522,INDIRECT(T$4))-SUMIF(INDIRECT(T$3),'Struktur Vorjahr'!$D522,INDIRECT(T$5)))</f>
        <v>0</v>
      </c>
      <c r="U522" s="593">
        <f ca="1">$E522*(SUMIF(INDIRECT(U$3),'Struktur Vorjahr'!$D522,INDIRECT(U$4))-SUMIF(INDIRECT(U$3),'Struktur Vorjahr'!$D522,INDIRECT(U$5)))</f>
        <v>0</v>
      </c>
      <c r="V522" s="593">
        <f ca="1">$E522*(SUMIF(INDIRECT(V$3),'Struktur Vorjahr'!$D522,INDIRECT(V$4))-SUMIF(INDIRECT(V$3),'Struktur Vorjahr'!$D522,INDIRECT(V$5)))</f>
        <v>0</v>
      </c>
      <c r="W522" s="593">
        <f ca="1">$E522*(SUMIF(INDIRECT(W$3),'Struktur Vorjahr'!$D522,INDIRECT(W$4))-SUMIF(INDIRECT(W$3),'Struktur Vorjahr'!$D522,INDIRECT(W$5)))</f>
        <v>0</v>
      </c>
      <c r="X522" s="593">
        <f ca="1">$E522*(SUMIF(INDIRECT(X$3),'Struktur Vorjahr'!$D522,INDIRECT(X$4))-SUMIF(INDIRECT(X$3),'Struktur Vorjahr'!$D522,INDIRECT(X$5)))</f>
        <v>0</v>
      </c>
      <c r="Y522" s="593">
        <f ca="1">$E522*(SUMIF(INDIRECT(Y$3),'Struktur Vorjahr'!$D522,INDIRECT(Y$4))-SUMIF(INDIRECT(Y$3),'Struktur Vorjahr'!$D522,INDIRECT(Y$5)))</f>
        <v>0</v>
      </c>
      <c r="Z522" s="593">
        <f ca="1">$E522*(SUMIF(INDIRECT(Z$3),'Struktur Vorjahr'!$D522,INDIRECT(Z$4))-SUMIF(INDIRECT(Z$3),'Struktur Vorjahr'!$D522,INDIRECT(Z$5)))</f>
        <v>0</v>
      </c>
      <c r="AA522" s="593">
        <f ca="1">$E522*(SUMIF(INDIRECT(AA$3),'Struktur Vorjahr'!$D522,INDIRECT(AA$4))-SUMIF(INDIRECT(AA$3),'Struktur Vorjahr'!$D522,INDIRECT(AA$5)))</f>
        <v>0</v>
      </c>
      <c r="AB522" s="593">
        <f ca="1">$E522*(SUMIF(INDIRECT(AB$3),'Struktur Vorjahr'!$D522,INDIRECT(AB$4))-SUMIF(INDIRECT(AB$3),'Struktur Vorjahr'!$D522,INDIRECT(AB$5)))</f>
        <v>0</v>
      </c>
      <c r="AC522" s="593">
        <f ca="1">$E522*(SUMIF(INDIRECT(AC$3),'Struktur Vorjahr'!$D522,INDIRECT(AC$4))-SUMIF(INDIRECT(AC$3),'Struktur Vorjahr'!$D522,INDIRECT(AC$5)))</f>
        <v>0</v>
      </c>
      <c r="AD522" s="593">
        <f ca="1">$E522*(SUMIF(INDIRECT(AD$3),'Struktur Vorjahr'!$D522,INDIRECT(AD$4))-SUMIF(INDIRECT(AD$3),'Struktur Vorjahr'!$D522,INDIRECT(AD$5)))</f>
        <v>0</v>
      </c>
      <c r="AE522" s="593">
        <f t="shared" ca="1" si="261"/>
        <v>0</v>
      </c>
      <c r="AF522" s="593">
        <f t="shared" ca="1" si="262"/>
        <v>0</v>
      </c>
      <c r="AG522" s="593">
        <f t="shared" ca="1" si="262"/>
        <v>0</v>
      </c>
      <c r="AH522" s="593">
        <f t="shared" ca="1" si="262"/>
        <v>0</v>
      </c>
      <c r="AI522" s="593">
        <f t="shared" ca="1" si="262"/>
        <v>0</v>
      </c>
      <c r="AJ522" s="593">
        <f t="shared" ca="1" si="262"/>
        <v>0</v>
      </c>
      <c r="AK522" s="593">
        <f t="shared" ca="1" si="262"/>
        <v>0</v>
      </c>
      <c r="AL522" s="593">
        <f t="shared" ca="1" si="262"/>
        <v>0</v>
      </c>
      <c r="AM522" s="593">
        <f t="shared" ca="1" si="262"/>
        <v>0</v>
      </c>
      <c r="AN522" s="593">
        <f t="shared" ca="1" si="262"/>
        <v>0</v>
      </c>
      <c r="AO522" s="593">
        <f t="shared" ca="1" si="262"/>
        <v>0</v>
      </c>
      <c r="AP522" s="593">
        <f t="shared" ca="1" si="262"/>
        <v>0</v>
      </c>
    </row>
    <row r="523" spans="1:42" s="594" customFormat="1" ht="11.25" outlineLevel="1" x14ac:dyDescent="0.2">
      <c r="A523" s="644"/>
      <c r="B523" s="591" t="str">
        <f>IF(D523&lt;&gt;"",
IF(ISERROR(MATCH(D523,'Ist Vorjahr Monat 01'!A:A,0))=FALSE,INDEX('Ist Vorjahr Monat 01'!B:B,MATCH(D523,'Ist Vorjahr Monat 01'!A:A,0)),
IF(ISERROR(MATCH(D523,'Ist Vorjahr Monat 02'!A:A,0))=FALSE,INDEX('Ist Vorjahr Monat 02'!B:B,MATCH(D523,'Ist Vorjahr Monat 02'!A:A,0)),
IF(ISERROR(MATCH(D523,'Ist Vorjahr Monat 03'!A:A,0))=FALSE,INDEX('Ist Vorjahr Monat 03'!B:B,MATCH(D523,'Ist Vorjahr Monat 03'!A:A,0)),
IF(ISERROR(MATCH(D523,'Ist Vorjahr Monat 04'!A:A,0))=FALSE,INDEX('Ist Vorjahr Monat 04'!B:B,MATCH(D523,'Ist Vorjahr Monat 04'!A:A,0)),
IF(ISERROR(MATCH(D523,'Ist Vorjahr Monat 05'!A:A,0))=FALSE,INDEX('Ist Vorjahr Monat 05'!B:B,MATCH(D523,'Ist Vorjahr Monat 05'!A:A,0)),
IF(ISERROR(MATCH(D523,'Ist Vorjahr Monat 06'!A:A,0))=FALSE,INDEX('Ist Vorjahr Monat 06'!B:B,MATCH(D523,'Ist Vorjahr Monat 06'!A:A,0)),
IF(ISERROR(MATCH(D523,'Ist Vorjahr Monat 07'!A:A,0))=FALSE,INDEX('Ist Vorjahr Monat 07'!B:B,MATCH(D523,'Ist Vorjahr Monat 07'!A:A,0)),
IF(ISERROR(MATCH(D523,'Ist Vorjahr Monat 08'!A:A,0))=FALSE,INDEX('Ist Vorjahr Monat 08'!B:B,MATCH(D523,'Ist Vorjahr Monat 08'!A:A,0)),
IF(ISERROR(MATCH(D523,'Ist Vorjahr Monat 09'!A:A,0))=FALSE,INDEX('Ist Vorjahr Monat 09'!B:B,MATCH(D523,'Ist Vorjahr Monat 09'!A:A,0)),
IF(ISERROR(MATCH(D523,'Ist Vorjahr Monat 10'!A:A,0))=FALSE,INDEX('Ist Vorjahr Monat 10'!B:B,MATCH(D523,'Ist Vorjahr Monat 10'!A:A,0)),
IF(ISERROR(MATCH(D523,'Ist Vorjahr Monat 11'!A:A,0))=FALSE,INDEX('Ist Vorjahr Monat 11'!B:B,MATCH(D523,'Ist Vorjahr Monat 11'!A:A,0)),
IF(ISERROR(MATCH(D523,'Ist Vorjahr Monat 12'!A:A,0))=FALSE,INDEX('Ist Vorjahr Monat 12'!B:B,MATCH(D523,'Ist Vorjahr Monat 12'!A:A,0)),
"{Konto unbekannt}"
)))))))))))),"")</f>
        <v/>
      </c>
      <c r="C523" s="1062"/>
      <c r="D523" s="1067"/>
      <c r="E523" s="625">
        <f t="shared" si="237"/>
        <v>1</v>
      </c>
      <c r="F523" s="626"/>
      <c r="G523" s="593">
        <f ca="1">$E523*(SUMIF(INDIRECT(G$3),'Struktur Vorjahr'!$D523,INDIRECT(G$4))-SUMIF(INDIRECT(G$3),'Struktur Vorjahr'!$D523,INDIRECT(G$5)))</f>
        <v>0</v>
      </c>
      <c r="H523" s="593">
        <f ca="1">$E523*(SUMIF(INDIRECT(H$3),'Struktur Vorjahr'!$D523,INDIRECT(H$4))-SUMIF(INDIRECT(H$3),'Struktur Vorjahr'!$D523,INDIRECT(H$5)))</f>
        <v>0</v>
      </c>
      <c r="I523" s="593">
        <f ca="1">$E523*(SUMIF(INDIRECT(I$3),'Struktur Vorjahr'!$D523,INDIRECT(I$4))-SUMIF(INDIRECT(I$3),'Struktur Vorjahr'!$D523,INDIRECT(I$5)))</f>
        <v>0</v>
      </c>
      <c r="J523" s="593">
        <f ca="1">$E523*(SUMIF(INDIRECT(J$3),'Struktur Vorjahr'!$D523,INDIRECT(J$4))-SUMIF(INDIRECT(J$3),'Struktur Vorjahr'!$D523,INDIRECT(J$5)))</f>
        <v>0</v>
      </c>
      <c r="K523" s="593">
        <f ca="1">$E523*(SUMIF(INDIRECT(K$3),'Struktur Vorjahr'!$D523,INDIRECT(K$4))-SUMIF(INDIRECT(K$3),'Struktur Vorjahr'!$D523,INDIRECT(K$5)))</f>
        <v>0</v>
      </c>
      <c r="L523" s="593">
        <f ca="1">$E523*(SUMIF(INDIRECT(L$3),'Struktur Vorjahr'!$D523,INDIRECT(L$4))-SUMIF(INDIRECT(L$3),'Struktur Vorjahr'!$D523,INDIRECT(L$5)))</f>
        <v>0</v>
      </c>
      <c r="M523" s="593">
        <f ca="1">$E523*(SUMIF(INDIRECT(M$3),'Struktur Vorjahr'!$D523,INDIRECT(M$4))-SUMIF(INDIRECT(M$3),'Struktur Vorjahr'!$D523,INDIRECT(M$5)))</f>
        <v>0</v>
      </c>
      <c r="N523" s="593">
        <f ca="1">$E523*(SUMIF(INDIRECT(N$3),'Struktur Vorjahr'!$D523,INDIRECT(N$4))-SUMIF(INDIRECT(N$3),'Struktur Vorjahr'!$D523,INDIRECT(N$5)))</f>
        <v>0</v>
      </c>
      <c r="O523" s="593">
        <f ca="1">$E523*(SUMIF(INDIRECT(O$3),'Struktur Vorjahr'!$D523,INDIRECT(O$4))-SUMIF(INDIRECT(O$3),'Struktur Vorjahr'!$D523,INDIRECT(O$5)))</f>
        <v>0</v>
      </c>
      <c r="P523" s="593">
        <f ca="1">$E523*(SUMIF(INDIRECT(P$3),'Struktur Vorjahr'!$D523,INDIRECT(P$4))-SUMIF(INDIRECT(P$3),'Struktur Vorjahr'!$D523,INDIRECT(P$5)))</f>
        <v>0</v>
      </c>
      <c r="Q523" s="593">
        <f ca="1">$E523*(SUMIF(INDIRECT(Q$3),'Struktur Vorjahr'!$D523,INDIRECT(Q$4))-SUMIF(INDIRECT(Q$3),'Struktur Vorjahr'!$D523,INDIRECT(Q$5)))</f>
        <v>0</v>
      </c>
      <c r="R523" s="593">
        <f ca="1">$E523*(SUMIF(INDIRECT(R$3),'Struktur Vorjahr'!$D523,INDIRECT(R$4))-SUMIF(INDIRECT(R$3),'Struktur Vorjahr'!$D523,INDIRECT(R$5)))</f>
        <v>0</v>
      </c>
      <c r="S523" s="593">
        <f ca="1">$E523*(SUMIF(INDIRECT(S$3),'Struktur Vorjahr'!$D523,INDIRECT(S$4))-SUMIF(INDIRECT(S$3),'Struktur Vorjahr'!$D523,INDIRECT(S$5)))</f>
        <v>0</v>
      </c>
      <c r="T523" s="593">
        <f ca="1">$E523*(SUMIF(INDIRECT(T$3),'Struktur Vorjahr'!$D523,INDIRECT(T$4))-SUMIF(INDIRECT(T$3),'Struktur Vorjahr'!$D523,INDIRECT(T$5)))</f>
        <v>0</v>
      </c>
      <c r="U523" s="593">
        <f ca="1">$E523*(SUMIF(INDIRECT(U$3),'Struktur Vorjahr'!$D523,INDIRECT(U$4))-SUMIF(INDIRECT(U$3),'Struktur Vorjahr'!$D523,INDIRECT(U$5)))</f>
        <v>0</v>
      </c>
      <c r="V523" s="593">
        <f ca="1">$E523*(SUMIF(INDIRECT(V$3),'Struktur Vorjahr'!$D523,INDIRECT(V$4))-SUMIF(INDIRECT(V$3),'Struktur Vorjahr'!$D523,INDIRECT(V$5)))</f>
        <v>0</v>
      </c>
      <c r="W523" s="593">
        <f ca="1">$E523*(SUMIF(INDIRECT(W$3),'Struktur Vorjahr'!$D523,INDIRECT(W$4))-SUMIF(INDIRECT(W$3),'Struktur Vorjahr'!$D523,INDIRECT(W$5)))</f>
        <v>0</v>
      </c>
      <c r="X523" s="593">
        <f ca="1">$E523*(SUMIF(INDIRECT(X$3),'Struktur Vorjahr'!$D523,INDIRECT(X$4))-SUMIF(INDIRECT(X$3),'Struktur Vorjahr'!$D523,INDIRECT(X$5)))</f>
        <v>0</v>
      </c>
      <c r="Y523" s="593">
        <f ca="1">$E523*(SUMIF(INDIRECT(Y$3),'Struktur Vorjahr'!$D523,INDIRECT(Y$4))-SUMIF(INDIRECT(Y$3),'Struktur Vorjahr'!$D523,INDIRECT(Y$5)))</f>
        <v>0</v>
      </c>
      <c r="Z523" s="593">
        <f ca="1">$E523*(SUMIF(INDIRECT(Z$3),'Struktur Vorjahr'!$D523,INDIRECT(Z$4))-SUMIF(INDIRECT(Z$3),'Struktur Vorjahr'!$D523,INDIRECT(Z$5)))</f>
        <v>0</v>
      </c>
      <c r="AA523" s="593">
        <f ca="1">$E523*(SUMIF(INDIRECT(AA$3),'Struktur Vorjahr'!$D523,INDIRECT(AA$4))-SUMIF(INDIRECT(AA$3),'Struktur Vorjahr'!$D523,INDIRECT(AA$5)))</f>
        <v>0</v>
      </c>
      <c r="AB523" s="593">
        <f ca="1">$E523*(SUMIF(INDIRECT(AB$3),'Struktur Vorjahr'!$D523,INDIRECT(AB$4))-SUMIF(INDIRECT(AB$3),'Struktur Vorjahr'!$D523,INDIRECT(AB$5)))</f>
        <v>0</v>
      </c>
      <c r="AC523" s="593">
        <f ca="1">$E523*(SUMIF(INDIRECT(AC$3),'Struktur Vorjahr'!$D523,INDIRECT(AC$4))-SUMIF(INDIRECT(AC$3),'Struktur Vorjahr'!$D523,INDIRECT(AC$5)))</f>
        <v>0</v>
      </c>
      <c r="AD523" s="593">
        <f ca="1">$E523*(SUMIF(INDIRECT(AD$3),'Struktur Vorjahr'!$D523,INDIRECT(AD$4))-SUMIF(INDIRECT(AD$3),'Struktur Vorjahr'!$D523,INDIRECT(AD$5)))</f>
        <v>0</v>
      </c>
      <c r="AE523" s="593">
        <f t="shared" ca="1" si="261"/>
        <v>0</v>
      </c>
      <c r="AF523" s="593">
        <f t="shared" ca="1" si="262"/>
        <v>0</v>
      </c>
      <c r="AG523" s="593">
        <f t="shared" ca="1" si="262"/>
        <v>0</v>
      </c>
      <c r="AH523" s="593">
        <f t="shared" ca="1" si="262"/>
        <v>0</v>
      </c>
      <c r="AI523" s="593">
        <f t="shared" ca="1" si="262"/>
        <v>0</v>
      </c>
      <c r="AJ523" s="593">
        <f t="shared" ca="1" si="262"/>
        <v>0</v>
      </c>
      <c r="AK523" s="593">
        <f t="shared" ca="1" si="262"/>
        <v>0</v>
      </c>
      <c r="AL523" s="593">
        <f t="shared" ca="1" si="262"/>
        <v>0</v>
      </c>
      <c r="AM523" s="593">
        <f t="shared" ca="1" si="262"/>
        <v>0</v>
      </c>
      <c r="AN523" s="593">
        <f t="shared" ca="1" si="262"/>
        <v>0</v>
      </c>
      <c r="AO523" s="593">
        <f t="shared" ca="1" si="262"/>
        <v>0</v>
      </c>
      <c r="AP523" s="593">
        <f t="shared" ca="1" si="262"/>
        <v>0</v>
      </c>
    </row>
    <row r="524" spans="1:42" s="594" customFormat="1" ht="11.25" outlineLevel="1" x14ac:dyDescent="0.2">
      <c r="A524" s="644"/>
      <c r="B524" s="591" t="str">
        <f>IF(D524&lt;&gt;"",
IF(ISERROR(MATCH(D524,'Ist Vorjahr Monat 01'!A:A,0))=FALSE,INDEX('Ist Vorjahr Monat 01'!B:B,MATCH(D524,'Ist Vorjahr Monat 01'!A:A,0)),
IF(ISERROR(MATCH(D524,'Ist Vorjahr Monat 02'!A:A,0))=FALSE,INDEX('Ist Vorjahr Monat 02'!B:B,MATCH(D524,'Ist Vorjahr Monat 02'!A:A,0)),
IF(ISERROR(MATCH(D524,'Ist Vorjahr Monat 03'!A:A,0))=FALSE,INDEX('Ist Vorjahr Monat 03'!B:B,MATCH(D524,'Ist Vorjahr Monat 03'!A:A,0)),
IF(ISERROR(MATCH(D524,'Ist Vorjahr Monat 04'!A:A,0))=FALSE,INDEX('Ist Vorjahr Monat 04'!B:B,MATCH(D524,'Ist Vorjahr Monat 04'!A:A,0)),
IF(ISERROR(MATCH(D524,'Ist Vorjahr Monat 05'!A:A,0))=FALSE,INDEX('Ist Vorjahr Monat 05'!B:B,MATCH(D524,'Ist Vorjahr Monat 05'!A:A,0)),
IF(ISERROR(MATCH(D524,'Ist Vorjahr Monat 06'!A:A,0))=FALSE,INDEX('Ist Vorjahr Monat 06'!B:B,MATCH(D524,'Ist Vorjahr Monat 06'!A:A,0)),
IF(ISERROR(MATCH(D524,'Ist Vorjahr Monat 07'!A:A,0))=FALSE,INDEX('Ist Vorjahr Monat 07'!B:B,MATCH(D524,'Ist Vorjahr Monat 07'!A:A,0)),
IF(ISERROR(MATCH(D524,'Ist Vorjahr Monat 08'!A:A,0))=FALSE,INDEX('Ist Vorjahr Monat 08'!B:B,MATCH(D524,'Ist Vorjahr Monat 08'!A:A,0)),
IF(ISERROR(MATCH(D524,'Ist Vorjahr Monat 09'!A:A,0))=FALSE,INDEX('Ist Vorjahr Monat 09'!B:B,MATCH(D524,'Ist Vorjahr Monat 09'!A:A,0)),
IF(ISERROR(MATCH(D524,'Ist Vorjahr Monat 10'!A:A,0))=FALSE,INDEX('Ist Vorjahr Monat 10'!B:B,MATCH(D524,'Ist Vorjahr Monat 10'!A:A,0)),
IF(ISERROR(MATCH(D524,'Ist Vorjahr Monat 11'!A:A,0))=FALSE,INDEX('Ist Vorjahr Monat 11'!B:B,MATCH(D524,'Ist Vorjahr Monat 11'!A:A,0)),
IF(ISERROR(MATCH(D524,'Ist Vorjahr Monat 12'!A:A,0))=FALSE,INDEX('Ist Vorjahr Monat 12'!B:B,MATCH(D524,'Ist Vorjahr Monat 12'!A:A,0)),
"{Konto unbekannt}"
)))))))))))),"")</f>
        <v/>
      </c>
      <c r="C524" s="1062"/>
      <c r="D524" s="1067"/>
      <c r="E524" s="625">
        <f t="shared" si="237"/>
        <v>1</v>
      </c>
      <c r="F524" s="626"/>
      <c r="G524" s="593">
        <f ca="1">$E524*(SUMIF(INDIRECT(G$3),'Struktur Vorjahr'!$D524,INDIRECT(G$4))-SUMIF(INDIRECT(G$3),'Struktur Vorjahr'!$D524,INDIRECT(G$5)))</f>
        <v>0</v>
      </c>
      <c r="H524" s="593">
        <f ca="1">$E524*(SUMIF(INDIRECT(H$3),'Struktur Vorjahr'!$D524,INDIRECT(H$4))-SUMIF(INDIRECT(H$3),'Struktur Vorjahr'!$D524,INDIRECT(H$5)))</f>
        <v>0</v>
      </c>
      <c r="I524" s="593">
        <f ca="1">$E524*(SUMIF(INDIRECT(I$3),'Struktur Vorjahr'!$D524,INDIRECT(I$4))-SUMIF(INDIRECT(I$3),'Struktur Vorjahr'!$D524,INDIRECT(I$5)))</f>
        <v>0</v>
      </c>
      <c r="J524" s="593">
        <f ca="1">$E524*(SUMIF(INDIRECT(J$3),'Struktur Vorjahr'!$D524,INDIRECT(J$4))-SUMIF(INDIRECT(J$3),'Struktur Vorjahr'!$D524,INDIRECT(J$5)))</f>
        <v>0</v>
      </c>
      <c r="K524" s="593">
        <f ca="1">$E524*(SUMIF(INDIRECT(K$3),'Struktur Vorjahr'!$D524,INDIRECT(K$4))-SUMIF(INDIRECT(K$3),'Struktur Vorjahr'!$D524,INDIRECT(K$5)))</f>
        <v>0</v>
      </c>
      <c r="L524" s="593">
        <f ca="1">$E524*(SUMIF(INDIRECT(L$3),'Struktur Vorjahr'!$D524,INDIRECT(L$4))-SUMIF(INDIRECT(L$3),'Struktur Vorjahr'!$D524,INDIRECT(L$5)))</f>
        <v>0</v>
      </c>
      <c r="M524" s="593">
        <f ca="1">$E524*(SUMIF(INDIRECT(M$3),'Struktur Vorjahr'!$D524,INDIRECT(M$4))-SUMIF(INDIRECT(M$3),'Struktur Vorjahr'!$D524,INDIRECT(M$5)))</f>
        <v>0</v>
      </c>
      <c r="N524" s="593">
        <f ca="1">$E524*(SUMIF(INDIRECT(N$3),'Struktur Vorjahr'!$D524,INDIRECT(N$4))-SUMIF(INDIRECT(N$3),'Struktur Vorjahr'!$D524,INDIRECT(N$5)))</f>
        <v>0</v>
      </c>
      <c r="O524" s="593">
        <f ca="1">$E524*(SUMIF(INDIRECT(O$3),'Struktur Vorjahr'!$D524,INDIRECT(O$4))-SUMIF(INDIRECT(O$3),'Struktur Vorjahr'!$D524,INDIRECT(O$5)))</f>
        <v>0</v>
      </c>
      <c r="P524" s="593">
        <f ca="1">$E524*(SUMIF(INDIRECT(P$3),'Struktur Vorjahr'!$D524,INDIRECT(P$4))-SUMIF(INDIRECT(P$3),'Struktur Vorjahr'!$D524,INDIRECT(P$5)))</f>
        <v>0</v>
      </c>
      <c r="Q524" s="593">
        <f ca="1">$E524*(SUMIF(INDIRECT(Q$3),'Struktur Vorjahr'!$D524,INDIRECT(Q$4))-SUMIF(INDIRECT(Q$3),'Struktur Vorjahr'!$D524,INDIRECT(Q$5)))</f>
        <v>0</v>
      </c>
      <c r="R524" s="593">
        <f ca="1">$E524*(SUMIF(INDIRECT(R$3),'Struktur Vorjahr'!$D524,INDIRECT(R$4))-SUMIF(INDIRECT(R$3),'Struktur Vorjahr'!$D524,INDIRECT(R$5)))</f>
        <v>0</v>
      </c>
      <c r="S524" s="593">
        <f ca="1">$E524*(SUMIF(INDIRECT(S$3),'Struktur Vorjahr'!$D524,INDIRECT(S$4))-SUMIF(INDIRECT(S$3),'Struktur Vorjahr'!$D524,INDIRECT(S$5)))</f>
        <v>0</v>
      </c>
      <c r="T524" s="593">
        <f ca="1">$E524*(SUMIF(INDIRECT(T$3),'Struktur Vorjahr'!$D524,INDIRECT(T$4))-SUMIF(INDIRECT(T$3),'Struktur Vorjahr'!$D524,INDIRECT(T$5)))</f>
        <v>0</v>
      </c>
      <c r="U524" s="593">
        <f ca="1">$E524*(SUMIF(INDIRECT(U$3),'Struktur Vorjahr'!$D524,INDIRECT(U$4))-SUMIF(INDIRECT(U$3),'Struktur Vorjahr'!$D524,INDIRECT(U$5)))</f>
        <v>0</v>
      </c>
      <c r="V524" s="593">
        <f ca="1">$E524*(SUMIF(INDIRECT(V$3),'Struktur Vorjahr'!$D524,INDIRECT(V$4))-SUMIF(INDIRECT(V$3),'Struktur Vorjahr'!$D524,INDIRECT(V$5)))</f>
        <v>0</v>
      </c>
      <c r="W524" s="593">
        <f ca="1">$E524*(SUMIF(INDIRECT(W$3),'Struktur Vorjahr'!$D524,INDIRECT(W$4))-SUMIF(INDIRECT(W$3),'Struktur Vorjahr'!$D524,INDIRECT(W$5)))</f>
        <v>0</v>
      </c>
      <c r="X524" s="593">
        <f ca="1">$E524*(SUMIF(INDIRECT(X$3),'Struktur Vorjahr'!$D524,INDIRECT(X$4))-SUMIF(INDIRECT(X$3),'Struktur Vorjahr'!$D524,INDIRECT(X$5)))</f>
        <v>0</v>
      </c>
      <c r="Y524" s="593">
        <f ca="1">$E524*(SUMIF(INDIRECT(Y$3),'Struktur Vorjahr'!$D524,INDIRECT(Y$4))-SUMIF(INDIRECT(Y$3),'Struktur Vorjahr'!$D524,INDIRECT(Y$5)))</f>
        <v>0</v>
      </c>
      <c r="Z524" s="593">
        <f ca="1">$E524*(SUMIF(INDIRECT(Z$3),'Struktur Vorjahr'!$D524,INDIRECT(Z$4))-SUMIF(INDIRECT(Z$3),'Struktur Vorjahr'!$D524,INDIRECT(Z$5)))</f>
        <v>0</v>
      </c>
      <c r="AA524" s="593">
        <f ca="1">$E524*(SUMIF(INDIRECT(AA$3),'Struktur Vorjahr'!$D524,INDIRECT(AA$4))-SUMIF(INDIRECT(AA$3),'Struktur Vorjahr'!$D524,INDIRECT(AA$5)))</f>
        <v>0</v>
      </c>
      <c r="AB524" s="593">
        <f ca="1">$E524*(SUMIF(INDIRECT(AB$3),'Struktur Vorjahr'!$D524,INDIRECT(AB$4))-SUMIF(INDIRECT(AB$3),'Struktur Vorjahr'!$D524,INDIRECT(AB$5)))</f>
        <v>0</v>
      </c>
      <c r="AC524" s="593">
        <f ca="1">$E524*(SUMIF(INDIRECT(AC$3),'Struktur Vorjahr'!$D524,INDIRECT(AC$4))-SUMIF(INDIRECT(AC$3),'Struktur Vorjahr'!$D524,INDIRECT(AC$5)))</f>
        <v>0</v>
      </c>
      <c r="AD524" s="593">
        <f ca="1">$E524*(SUMIF(INDIRECT(AD$3),'Struktur Vorjahr'!$D524,INDIRECT(AD$4))-SUMIF(INDIRECT(AD$3),'Struktur Vorjahr'!$D524,INDIRECT(AD$5)))</f>
        <v>0</v>
      </c>
      <c r="AE524" s="593">
        <f t="shared" ca="1" si="261"/>
        <v>0</v>
      </c>
      <c r="AF524" s="593">
        <f t="shared" ca="1" si="262"/>
        <v>0</v>
      </c>
      <c r="AG524" s="593">
        <f t="shared" ca="1" si="262"/>
        <v>0</v>
      </c>
      <c r="AH524" s="593">
        <f t="shared" ca="1" si="262"/>
        <v>0</v>
      </c>
      <c r="AI524" s="593">
        <f t="shared" ca="1" si="262"/>
        <v>0</v>
      </c>
      <c r="AJ524" s="593">
        <f t="shared" ca="1" si="262"/>
        <v>0</v>
      </c>
      <c r="AK524" s="593">
        <f t="shared" ca="1" si="262"/>
        <v>0</v>
      </c>
      <c r="AL524" s="593">
        <f t="shared" ca="1" si="262"/>
        <v>0</v>
      </c>
      <c r="AM524" s="593">
        <f t="shared" ca="1" si="262"/>
        <v>0</v>
      </c>
      <c r="AN524" s="593">
        <f t="shared" ca="1" si="262"/>
        <v>0</v>
      </c>
      <c r="AO524" s="593">
        <f t="shared" ca="1" si="262"/>
        <v>0</v>
      </c>
      <c r="AP524" s="593">
        <f t="shared" ca="1" si="262"/>
        <v>0</v>
      </c>
    </row>
    <row r="525" spans="1:42" s="594" customFormat="1" ht="11.25" outlineLevel="1" x14ac:dyDescent="0.2">
      <c r="A525" s="644"/>
      <c r="B525" s="591" t="str">
        <f>IF(D525&lt;&gt;"",
IF(ISERROR(MATCH(D525,'Ist Vorjahr Monat 01'!A:A,0))=FALSE,INDEX('Ist Vorjahr Monat 01'!B:B,MATCH(D525,'Ist Vorjahr Monat 01'!A:A,0)),
IF(ISERROR(MATCH(D525,'Ist Vorjahr Monat 02'!A:A,0))=FALSE,INDEX('Ist Vorjahr Monat 02'!B:B,MATCH(D525,'Ist Vorjahr Monat 02'!A:A,0)),
IF(ISERROR(MATCH(D525,'Ist Vorjahr Monat 03'!A:A,0))=FALSE,INDEX('Ist Vorjahr Monat 03'!B:B,MATCH(D525,'Ist Vorjahr Monat 03'!A:A,0)),
IF(ISERROR(MATCH(D525,'Ist Vorjahr Monat 04'!A:A,0))=FALSE,INDEX('Ist Vorjahr Monat 04'!B:B,MATCH(D525,'Ist Vorjahr Monat 04'!A:A,0)),
IF(ISERROR(MATCH(D525,'Ist Vorjahr Monat 05'!A:A,0))=FALSE,INDEX('Ist Vorjahr Monat 05'!B:B,MATCH(D525,'Ist Vorjahr Monat 05'!A:A,0)),
IF(ISERROR(MATCH(D525,'Ist Vorjahr Monat 06'!A:A,0))=FALSE,INDEX('Ist Vorjahr Monat 06'!B:B,MATCH(D525,'Ist Vorjahr Monat 06'!A:A,0)),
IF(ISERROR(MATCH(D525,'Ist Vorjahr Monat 07'!A:A,0))=FALSE,INDEX('Ist Vorjahr Monat 07'!B:B,MATCH(D525,'Ist Vorjahr Monat 07'!A:A,0)),
IF(ISERROR(MATCH(D525,'Ist Vorjahr Monat 08'!A:A,0))=FALSE,INDEX('Ist Vorjahr Monat 08'!B:B,MATCH(D525,'Ist Vorjahr Monat 08'!A:A,0)),
IF(ISERROR(MATCH(D525,'Ist Vorjahr Monat 09'!A:A,0))=FALSE,INDEX('Ist Vorjahr Monat 09'!B:B,MATCH(D525,'Ist Vorjahr Monat 09'!A:A,0)),
IF(ISERROR(MATCH(D525,'Ist Vorjahr Monat 10'!A:A,0))=FALSE,INDEX('Ist Vorjahr Monat 10'!B:B,MATCH(D525,'Ist Vorjahr Monat 10'!A:A,0)),
IF(ISERROR(MATCH(D525,'Ist Vorjahr Monat 11'!A:A,0))=FALSE,INDEX('Ist Vorjahr Monat 11'!B:B,MATCH(D525,'Ist Vorjahr Monat 11'!A:A,0)),
IF(ISERROR(MATCH(D525,'Ist Vorjahr Monat 12'!A:A,0))=FALSE,INDEX('Ist Vorjahr Monat 12'!B:B,MATCH(D525,'Ist Vorjahr Monat 12'!A:A,0)),
"{Konto unbekannt}"
)))))))))))),"")</f>
        <v/>
      </c>
      <c r="C525" s="1062"/>
      <c r="D525" s="1067"/>
      <c r="E525" s="625">
        <f t="shared" si="237"/>
        <v>1</v>
      </c>
      <c r="F525" s="626"/>
      <c r="G525" s="593">
        <f ca="1">$E525*(SUMIF(INDIRECT(G$3),'Struktur Vorjahr'!$D525,INDIRECT(G$4))-SUMIF(INDIRECT(G$3),'Struktur Vorjahr'!$D525,INDIRECT(G$5)))</f>
        <v>0</v>
      </c>
      <c r="H525" s="593">
        <f ca="1">$E525*(SUMIF(INDIRECT(H$3),'Struktur Vorjahr'!$D525,INDIRECT(H$4))-SUMIF(INDIRECT(H$3),'Struktur Vorjahr'!$D525,INDIRECT(H$5)))</f>
        <v>0</v>
      </c>
      <c r="I525" s="593">
        <f ca="1">$E525*(SUMIF(INDIRECT(I$3),'Struktur Vorjahr'!$D525,INDIRECT(I$4))-SUMIF(INDIRECT(I$3),'Struktur Vorjahr'!$D525,INDIRECT(I$5)))</f>
        <v>0</v>
      </c>
      <c r="J525" s="593">
        <f ca="1">$E525*(SUMIF(INDIRECT(J$3),'Struktur Vorjahr'!$D525,INDIRECT(J$4))-SUMIF(INDIRECT(J$3),'Struktur Vorjahr'!$D525,INDIRECT(J$5)))</f>
        <v>0</v>
      </c>
      <c r="K525" s="593">
        <f ca="1">$E525*(SUMIF(INDIRECT(K$3),'Struktur Vorjahr'!$D525,INDIRECT(K$4))-SUMIF(INDIRECT(K$3),'Struktur Vorjahr'!$D525,INDIRECT(K$5)))</f>
        <v>0</v>
      </c>
      <c r="L525" s="593">
        <f ca="1">$E525*(SUMIF(INDIRECT(L$3),'Struktur Vorjahr'!$D525,INDIRECT(L$4))-SUMIF(INDIRECT(L$3),'Struktur Vorjahr'!$D525,INDIRECT(L$5)))</f>
        <v>0</v>
      </c>
      <c r="M525" s="593">
        <f ca="1">$E525*(SUMIF(INDIRECT(M$3),'Struktur Vorjahr'!$D525,INDIRECT(M$4))-SUMIF(INDIRECT(M$3),'Struktur Vorjahr'!$D525,INDIRECT(M$5)))</f>
        <v>0</v>
      </c>
      <c r="N525" s="593">
        <f ca="1">$E525*(SUMIF(INDIRECT(N$3),'Struktur Vorjahr'!$D525,INDIRECT(N$4))-SUMIF(INDIRECT(N$3),'Struktur Vorjahr'!$D525,INDIRECT(N$5)))</f>
        <v>0</v>
      </c>
      <c r="O525" s="593">
        <f ca="1">$E525*(SUMIF(INDIRECT(O$3),'Struktur Vorjahr'!$D525,INDIRECT(O$4))-SUMIF(INDIRECT(O$3),'Struktur Vorjahr'!$D525,INDIRECT(O$5)))</f>
        <v>0</v>
      </c>
      <c r="P525" s="593">
        <f ca="1">$E525*(SUMIF(INDIRECT(P$3),'Struktur Vorjahr'!$D525,INDIRECT(P$4))-SUMIF(INDIRECT(P$3),'Struktur Vorjahr'!$D525,INDIRECT(P$5)))</f>
        <v>0</v>
      </c>
      <c r="Q525" s="593">
        <f ca="1">$E525*(SUMIF(INDIRECT(Q$3),'Struktur Vorjahr'!$D525,INDIRECT(Q$4))-SUMIF(INDIRECT(Q$3),'Struktur Vorjahr'!$D525,INDIRECT(Q$5)))</f>
        <v>0</v>
      </c>
      <c r="R525" s="593">
        <f ca="1">$E525*(SUMIF(INDIRECT(R$3),'Struktur Vorjahr'!$D525,INDIRECT(R$4))-SUMIF(INDIRECT(R$3),'Struktur Vorjahr'!$D525,INDIRECT(R$5)))</f>
        <v>0</v>
      </c>
      <c r="S525" s="593">
        <f ca="1">$E525*(SUMIF(INDIRECT(S$3),'Struktur Vorjahr'!$D525,INDIRECT(S$4))-SUMIF(INDIRECT(S$3),'Struktur Vorjahr'!$D525,INDIRECT(S$5)))</f>
        <v>0</v>
      </c>
      <c r="T525" s="593">
        <f ca="1">$E525*(SUMIF(INDIRECT(T$3),'Struktur Vorjahr'!$D525,INDIRECT(T$4))-SUMIF(INDIRECT(T$3),'Struktur Vorjahr'!$D525,INDIRECT(T$5)))</f>
        <v>0</v>
      </c>
      <c r="U525" s="593">
        <f ca="1">$E525*(SUMIF(INDIRECT(U$3),'Struktur Vorjahr'!$D525,INDIRECT(U$4))-SUMIF(INDIRECT(U$3),'Struktur Vorjahr'!$D525,INDIRECT(U$5)))</f>
        <v>0</v>
      </c>
      <c r="V525" s="593">
        <f ca="1">$E525*(SUMIF(INDIRECT(V$3),'Struktur Vorjahr'!$D525,INDIRECT(V$4))-SUMIF(INDIRECT(V$3),'Struktur Vorjahr'!$D525,INDIRECT(V$5)))</f>
        <v>0</v>
      </c>
      <c r="W525" s="593">
        <f ca="1">$E525*(SUMIF(INDIRECT(W$3),'Struktur Vorjahr'!$D525,INDIRECT(W$4))-SUMIF(INDIRECT(W$3),'Struktur Vorjahr'!$D525,INDIRECT(W$5)))</f>
        <v>0</v>
      </c>
      <c r="X525" s="593">
        <f ca="1">$E525*(SUMIF(INDIRECT(X$3),'Struktur Vorjahr'!$D525,INDIRECT(X$4))-SUMIF(INDIRECT(X$3),'Struktur Vorjahr'!$D525,INDIRECT(X$5)))</f>
        <v>0</v>
      </c>
      <c r="Y525" s="593">
        <f ca="1">$E525*(SUMIF(INDIRECT(Y$3),'Struktur Vorjahr'!$D525,INDIRECT(Y$4))-SUMIF(INDIRECT(Y$3),'Struktur Vorjahr'!$D525,INDIRECT(Y$5)))</f>
        <v>0</v>
      </c>
      <c r="Z525" s="593">
        <f ca="1">$E525*(SUMIF(INDIRECT(Z$3),'Struktur Vorjahr'!$D525,INDIRECT(Z$4))-SUMIF(INDIRECT(Z$3),'Struktur Vorjahr'!$D525,INDIRECT(Z$5)))</f>
        <v>0</v>
      </c>
      <c r="AA525" s="593">
        <f ca="1">$E525*(SUMIF(INDIRECT(AA$3),'Struktur Vorjahr'!$D525,INDIRECT(AA$4))-SUMIF(INDIRECT(AA$3),'Struktur Vorjahr'!$D525,INDIRECT(AA$5)))</f>
        <v>0</v>
      </c>
      <c r="AB525" s="593">
        <f ca="1">$E525*(SUMIF(INDIRECT(AB$3),'Struktur Vorjahr'!$D525,INDIRECT(AB$4))-SUMIF(INDIRECT(AB$3),'Struktur Vorjahr'!$D525,INDIRECT(AB$5)))</f>
        <v>0</v>
      </c>
      <c r="AC525" s="593">
        <f ca="1">$E525*(SUMIF(INDIRECT(AC$3),'Struktur Vorjahr'!$D525,INDIRECT(AC$4))-SUMIF(INDIRECT(AC$3),'Struktur Vorjahr'!$D525,INDIRECT(AC$5)))</f>
        <v>0</v>
      </c>
      <c r="AD525" s="593">
        <f ca="1">$E525*(SUMIF(INDIRECT(AD$3),'Struktur Vorjahr'!$D525,INDIRECT(AD$4))-SUMIF(INDIRECT(AD$3),'Struktur Vorjahr'!$D525,INDIRECT(AD$5)))</f>
        <v>0</v>
      </c>
      <c r="AE525" s="593">
        <f t="shared" ca="1" si="261"/>
        <v>0</v>
      </c>
      <c r="AF525" s="593">
        <f t="shared" ca="1" si="262"/>
        <v>0</v>
      </c>
      <c r="AG525" s="593">
        <f t="shared" ca="1" si="262"/>
        <v>0</v>
      </c>
      <c r="AH525" s="593">
        <f t="shared" ca="1" si="262"/>
        <v>0</v>
      </c>
      <c r="AI525" s="593">
        <f t="shared" ca="1" si="262"/>
        <v>0</v>
      </c>
      <c r="AJ525" s="593">
        <f t="shared" ca="1" si="262"/>
        <v>0</v>
      </c>
      <c r="AK525" s="593">
        <f t="shared" ca="1" si="262"/>
        <v>0</v>
      </c>
      <c r="AL525" s="593">
        <f t="shared" ca="1" si="262"/>
        <v>0</v>
      </c>
      <c r="AM525" s="593">
        <f t="shared" ca="1" si="262"/>
        <v>0</v>
      </c>
      <c r="AN525" s="593">
        <f t="shared" ca="1" si="262"/>
        <v>0</v>
      </c>
      <c r="AO525" s="593">
        <f t="shared" ca="1" si="262"/>
        <v>0</v>
      </c>
      <c r="AP525" s="593">
        <f t="shared" ca="1" si="262"/>
        <v>0</v>
      </c>
    </row>
    <row r="526" spans="1:42" s="594" customFormat="1" ht="11.25" outlineLevel="1" x14ac:dyDescent="0.2">
      <c r="A526" s="645"/>
      <c r="B526" s="591" t="str">
        <f>IF(D526&lt;&gt;"",
IF(ISERROR(MATCH(D526,'Ist Vorjahr Monat 01'!A:A,0))=FALSE,INDEX('Ist Vorjahr Monat 01'!B:B,MATCH(D526,'Ist Vorjahr Monat 01'!A:A,0)),
IF(ISERROR(MATCH(D526,'Ist Vorjahr Monat 02'!A:A,0))=FALSE,INDEX('Ist Vorjahr Monat 02'!B:B,MATCH(D526,'Ist Vorjahr Monat 02'!A:A,0)),
IF(ISERROR(MATCH(D526,'Ist Vorjahr Monat 03'!A:A,0))=FALSE,INDEX('Ist Vorjahr Monat 03'!B:B,MATCH(D526,'Ist Vorjahr Monat 03'!A:A,0)),
IF(ISERROR(MATCH(D526,'Ist Vorjahr Monat 04'!A:A,0))=FALSE,INDEX('Ist Vorjahr Monat 04'!B:B,MATCH(D526,'Ist Vorjahr Monat 04'!A:A,0)),
IF(ISERROR(MATCH(D526,'Ist Vorjahr Monat 05'!A:A,0))=FALSE,INDEX('Ist Vorjahr Monat 05'!B:B,MATCH(D526,'Ist Vorjahr Monat 05'!A:A,0)),
IF(ISERROR(MATCH(D526,'Ist Vorjahr Monat 06'!A:A,0))=FALSE,INDEX('Ist Vorjahr Monat 06'!B:B,MATCH(D526,'Ist Vorjahr Monat 06'!A:A,0)),
IF(ISERROR(MATCH(D526,'Ist Vorjahr Monat 07'!A:A,0))=FALSE,INDEX('Ist Vorjahr Monat 07'!B:B,MATCH(D526,'Ist Vorjahr Monat 07'!A:A,0)),
IF(ISERROR(MATCH(D526,'Ist Vorjahr Monat 08'!A:A,0))=FALSE,INDEX('Ist Vorjahr Monat 08'!B:B,MATCH(D526,'Ist Vorjahr Monat 08'!A:A,0)),
IF(ISERROR(MATCH(D526,'Ist Vorjahr Monat 09'!A:A,0))=FALSE,INDEX('Ist Vorjahr Monat 09'!B:B,MATCH(D526,'Ist Vorjahr Monat 09'!A:A,0)),
IF(ISERROR(MATCH(D526,'Ist Vorjahr Monat 10'!A:A,0))=FALSE,INDEX('Ist Vorjahr Monat 10'!B:B,MATCH(D526,'Ist Vorjahr Monat 10'!A:A,0)),
IF(ISERROR(MATCH(D526,'Ist Vorjahr Monat 11'!A:A,0))=FALSE,INDEX('Ist Vorjahr Monat 11'!B:B,MATCH(D526,'Ist Vorjahr Monat 11'!A:A,0)),
IF(ISERROR(MATCH(D526,'Ist Vorjahr Monat 12'!A:A,0))=FALSE,INDEX('Ist Vorjahr Monat 12'!B:B,MATCH(D526,'Ist Vorjahr Monat 12'!A:A,0)),
"{Konto unbekannt}"
)))))))))))),"")</f>
        <v/>
      </c>
      <c r="C526" s="1062"/>
      <c r="D526" s="1067"/>
      <c r="E526" s="630">
        <f t="shared" si="237"/>
        <v>1</v>
      </c>
      <c r="F526" s="631"/>
      <c r="G526" s="632">
        <f ca="1">$E526*(SUMIF(INDIRECT(G$3),'Struktur Vorjahr'!$D526,INDIRECT(G$4))-SUMIF(INDIRECT(G$3),'Struktur Vorjahr'!$D526,INDIRECT(G$5)))</f>
        <v>0</v>
      </c>
      <c r="H526" s="632">
        <f ca="1">$E526*(SUMIF(INDIRECT(H$3),'Struktur Vorjahr'!$D526,INDIRECT(H$4))-SUMIF(INDIRECT(H$3),'Struktur Vorjahr'!$D526,INDIRECT(H$5)))</f>
        <v>0</v>
      </c>
      <c r="I526" s="632">
        <f ca="1">$E526*(SUMIF(INDIRECT(I$3),'Struktur Vorjahr'!$D526,INDIRECT(I$4))-SUMIF(INDIRECT(I$3),'Struktur Vorjahr'!$D526,INDIRECT(I$5)))</f>
        <v>0</v>
      </c>
      <c r="J526" s="632">
        <f ca="1">$E526*(SUMIF(INDIRECT(J$3),'Struktur Vorjahr'!$D526,INDIRECT(J$4))-SUMIF(INDIRECT(J$3),'Struktur Vorjahr'!$D526,INDIRECT(J$5)))</f>
        <v>0</v>
      </c>
      <c r="K526" s="632">
        <f ca="1">$E526*(SUMIF(INDIRECT(K$3),'Struktur Vorjahr'!$D526,INDIRECT(K$4))-SUMIF(INDIRECT(K$3),'Struktur Vorjahr'!$D526,INDIRECT(K$5)))</f>
        <v>0</v>
      </c>
      <c r="L526" s="632">
        <f ca="1">$E526*(SUMIF(INDIRECT(L$3),'Struktur Vorjahr'!$D526,INDIRECT(L$4))-SUMIF(INDIRECT(L$3),'Struktur Vorjahr'!$D526,INDIRECT(L$5)))</f>
        <v>0</v>
      </c>
      <c r="M526" s="632">
        <f ca="1">$E526*(SUMIF(INDIRECT(M$3),'Struktur Vorjahr'!$D526,INDIRECT(M$4))-SUMIF(INDIRECT(M$3),'Struktur Vorjahr'!$D526,INDIRECT(M$5)))</f>
        <v>0</v>
      </c>
      <c r="N526" s="632">
        <f ca="1">$E526*(SUMIF(INDIRECT(N$3),'Struktur Vorjahr'!$D526,INDIRECT(N$4))-SUMIF(INDIRECT(N$3),'Struktur Vorjahr'!$D526,INDIRECT(N$5)))</f>
        <v>0</v>
      </c>
      <c r="O526" s="632">
        <f ca="1">$E526*(SUMIF(INDIRECT(O$3),'Struktur Vorjahr'!$D526,INDIRECT(O$4))-SUMIF(INDIRECT(O$3),'Struktur Vorjahr'!$D526,INDIRECT(O$5)))</f>
        <v>0</v>
      </c>
      <c r="P526" s="632">
        <f ca="1">$E526*(SUMIF(INDIRECT(P$3),'Struktur Vorjahr'!$D526,INDIRECT(P$4))-SUMIF(INDIRECT(P$3),'Struktur Vorjahr'!$D526,INDIRECT(P$5)))</f>
        <v>0</v>
      </c>
      <c r="Q526" s="632">
        <f ca="1">$E526*(SUMIF(INDIRECT(Q$3),'Struktur Vorjahr'!$D526,INDIRECT(Q$4))-SUMIF(INDIRECT(Q$3),'Struktur Vorjahr'!$D526,INDIRECT(Q$5)))</f>
        <v>0</v>
      </c>
      <c r="R526" s="632">
        <f ca="1">$E526*(SUMIF(INDIRECT(R$3),'Struktur Vorjahr'!$D526,INDIRECT(R$4))-SUMIF(INDIRECT(R$3),'Struktur Vorjahr'!$D526,INDIRECT(R$5)))</f>
        <v>0</v>
      </c>
      <c r="S526" s="632">
        <f ca="1">$E526*(SUMIF(INDIRECT(S$3),'Struktur Vorjahr'!$D526,INDIRECT(S$4))-SUMIF(INDIRECT(S$3),'Struktur Vorjahr'!$D526,INDIRECT(S$5)))</f>
        <v>0</v>
      </c>
      <c r="T526" s="632">
        <f ca="1">$E526*(SUMIF(INDIRECT(T$3),'Struktur Vorjahr'!$D526,INDIRECT(T$4))-SUMIF(INDIRECT(T$3),'Struktur Vorjahr'!$D526,INDIRECT(T$5)))</f>
        <v>0</v>
      </c>
      <c r="U526" s="632">
        <f ca="1">$E526*(SUMIF(INDIRECT(U$3),'Struktur Vorjahr'!$D526,INDIRECT(U$4))-SUMIF(INDIRECT(U$3),'Struktur Vorjahr'!$D526,INDIRECT(U$5)))</f>
        <v>0</v>
      </c>
      <c r="V526" s="632">
        <f ca="1">$E526*(SUMIF(INDIRECT(V$3),'Struktur Vorjahr'!$D526,INDIRECT(V$4))-SUMIF(INDIRECT(V$3),'Struktur Vorjahr'!$D526,INDIRECT(V$5)))</f>
        <v>0</v>
      </c>
      <c r="W526" s="632">
        <f ca="1">$E526*(SUMIF(INDIRECT(W$3),'Struktur Vorjahr'!$D526,INDIRECT(W$4))-SUMIF(INDIRECT(W$3),'Struktur Vorjahr'!$D526,INDIRECT(W$5)))</f>
        <v>0</v>
      </c>
      <c r="X526" s="632">
        <f ca="1">$E526*(SUMIF(INDIRECT(X$3),'Struktur Vorjahr'!$D526,INDIRECT(X$4))-SUMIF(INDIRECT(X$3),'Struktur Vorjahr'!$D526,INDIRECT(X$5)))</f>
        <v>0</v>
      </c>
      <c r="Y526" s="632">
        <f ca="1">$E526*(SUMIF(INDIRECT(Y$3),'Struktur Vorjahr'!$D526,INDIRECT(Y$4))-SUMIF(INDIRECT(Y$3),'Struktur Vorjahr'!$D526,INDIRECT(Y$5)))</f>
        <v>0</v>
      </c>
      <c r="Z526" s="632">
        <f ca="1">$E526*(SUMIF(INDIRECT(Z$3),'Struktur Vorjahr'!$D526,INDIRECT(Z$4))-SUMIF(INDIRECT(Z$3),'Struktur Vorjahr'!$D526,INDIRECT(Z$5)))</f>
        <v>0</v>
      </c>
      <c r="AA526" s="632">
        <f ca="1">$E526*(SUMIF(INDIRECT(AA$3),'Struktur Vorjahr'!$D526,INDIRECT(AA$4))-SUMIF(INDIRECT(AA$3),'Struktur Vorjahr'!$D526,INDIRECT(AA$5)))</f>
        <v>0</v>
      </c>
      <c r="AB526" s="632">
        <f ca="1">$E526*(SUMIF(INDIRECT(AB$3),'Struktur Vorjahr'!$D526,INDIRECT(AB$4))-SUMIF(INDIRECT(AB$3),'Struktur Vorjahr'!$D526,INDIRECT(AB$5)))</f>
        <v>0</v>
      </c>
      <c r="AC526" s="632">
        <f ca="1">$E526*(SUMIF(INDIRECT(AC$3),'Struktur Vorjahr'!$D526,INDIRECT(AC$4))-SUMIF(INDIRECT(AC$3),'Struktur Vorjahr'!$D526,INDIRECT(AC$5)))</f>
        <v>0</v>
      </c>
      <c r="AD526" s="632">
        <f ca="1">$E526*(SUMIF(INDIRECT(AD$3),'Struktur Vorjahr'!$D526,INDIRECT(AD$4))-SUMIF(INDIRECT(AD$3),'Struktur Vorjahr'!$D526,INDIRECT(AD$5)))</f>
        <v>0</v>
      </c>
      <c r="AE526" s="593">
        <f t="shared" ca="1" si="261"/>
        <v>0</v>
      </c>
      <c r="AF526" s="593">
        <f t="shared" ca="1" si="262"/>
        <v>0</v>
      </c>
      <c r="AG526" s="593">
        <f t="shared" ca="1" si="262"/>
        <v>0</v>
      </c>
      <c r="AH526" s="593">
        <f t="shared" ca="1" si="262"/>
        <v>0</v>
      </c>
      <c r="AI526" s="593">
        <f t="shared" ca="1" si="262"/>
        <v>0</v>
      </c>
      <c r="AJ526" s="593">
        <f t="shared" ca="1" si="262"/>
        <v>0</v>
      </c>
      <c r="AK526" s="593">
        <f t="shared" ca="1" si="262"/>
        <v>0</v>
      </c>
      <c r="AL526" s="593">
        <f t="shared" ca="1" si="262"/>
        <v>0</v>
      </c>
      <c r="AM526" s="593">
        <f t="shared" ca="1" si="262"/>
        <v>0</v>
      </c>
      <c r="AN526" s="593">
        <f t="shared" ca="1" si="262"/>
        <v>0</v>
      </c>
      <c r="AO526" s="593">
        <f t="shared" ca="1" si="262"/>
        <v>0</v>
      </c>
      <c r="AP526" s="593">
        <f t="shared" ca="1" si="262"/>
        <v>0</v>
      </c>
    </row>
    <row r="527" spans="1:42" outlineLevel="1" x14ac:dyDescent="0.2">
      <c r="A527" s="634"/>
      <c r="B527" s="596" t="s">
        <v>1029</v>
      </c>
      <c r="C527" s="597">
        <f ca="1">SUM(G527:R527)</f>
        <v>-45245.599999999991</v>
      </c>
      <c r="D527" s="597"/>
      <c r="E527" s="633">
        <f t="shared" si="237"/>
        <v>1</v>
      </c>
      <c r="F527" s="634"/>
      <c r="G527" s="597">
        <f ca="1">G481+G482-G487+G506</f>
        <v>45686.009999999995</v>
      </c>
      <c r="H527" s="597">
        <f t="shared" ref="H527:R527" ca="1" si="263">H481+H482-H487+H506</f>
        <v>-13661.559999999998</v>
      </c>
      <c r="I527" s="597">
        <f t="shared" ca="1" si="263"/>
        <v>-8025.9299999999994</v>
      </c>
      <c r="J527" s="597">
        <f t="shared" ca="1" si="263"/>
        <v>-19955.180000000008</v>
      </c>
      <c r="K527" s="597">
        <f t="shared" ca="1" si="263"/>
        <v>-49603.13</v>
      </c>
      <c r="L527" s="597">
        <f t="shared" ca="1" si="263"/>
        <v>-12969.09</v>
      </c>
      <c r="M527" s="597">
        <f t="shared" ca="1" si="263"/>
        <v>-5534.8599999999969</v>
      </c>
      <c r="N527" s="597">
        <f t="shared" ca="1" si="263"/>
        <v>39951.23000000001</v>
      </c>
      <c r="O527" s="597">
        <f t="shared" ca="1" si="263"/>
        <v>-12046.239999999998</v>
      </c>
      <c r="P527" s="597">
        <f t="shared" ca="1" si="263"/>
        <v>-9086.8499999999985</v>
      </c>
      <c r="Q527" s="597">
        <f t="shared" ca="1" si="263"/>
        <v>0</v>
      </c>
      <c r="R527" s="597">
        <f t="shared" ca="1" si="263"/>
        <v>0</v>
      </c>
      <c r="S527" s="597">
        <f ca="1">S481+S482-S487+S506</f>
        <v>-38253.640000000007</v>
      </c>
      <c r="T527" s="597">
        <f t="shared" ref="T527:AD527" ca="1" si="264">T481+T482-T487+T506</f>
        <v>-51915.200000000004</v>
      </c>
      <c r="U527" s="597">
        <f t="shared" ca="1" si="264"/>
        <v>-59941.130000000005</v>
      </c>
      <c r="V527" s="597">
        <f t="shared" ca="1" si="264"/>
        <v>-79896.310000000012</v>
      </c>
      <c r="W527" s="597">
        <f t="shared" ca="1" si="264"/>
        <v>-129499.44</v>
      </c>
      <c r="X527" s="597">
        <f t="shared" ca="1" si="264"/>
        <v>-142468.53</v>
      </c>
      <c r="Y527" s="597">
        <f t="shared" ca="1" si="264"/>
        <v>-148003.38999999998</v>
      </c>
      <c r="Z527" s="597">
        <f t="shared" ca="1" si="264"/>
        <v>-108052.16</v>
      </c>
      <c r="AA527" s="597">
        <f t="shared" ca="1" si="264"/>
        <v>-120098.40000000001</v>
      </c>
      <c r="AB527" s="597">
        <f t="shared" ca="1" si="264"/>
        <v>-129185.25</v>
      </c>
      <c r="AC527" s="597">
        <f t="shared" ca="1" si="264"/>
        <v>0</v>
      </c>
      <c r="AD527" s="597">
        <f t="shared" ca="1" si="264"/>
        <v>0</v>
      </c>
      <c r="AE527" s="597">
        <f ca="1">AE481+AE482-AE487+AE506</f>
        <v>45686.009999999995</v>
      </c>
      <c r="AF527" s="597">
        <f t="shared" ref="AF527:AP527" ca="1" si="265">AF481+AF482-AF487+AF506</f>
        <v>32024.44999999999</v>
      </c>
      <c r="AG527" s="597">
        <f t="shared" ca="1" si="265"/>
        <v>23998.519999999982</v>
      </c>
      <c r="AH527" s="597">
        <f t="shared" ca="1" si="265"/>
        <v>4043.3399999999947</v>
      </c>
      <c r="AI527" s="597">
        <f t="shared" ca="1" si="265"/>
        <v>-45559.790000000015</v>
      </c>
      <c r="AJ527" s="597">
        <f t="shared" ca="1" si="265"/>
        <v>-58528.88</v>
      </c>
      <c r="AK527" s="597">
        <f t="shared" ca="1" si="265"/>
        <v>-64063.74</v>
      </c>
      <c r="AL527" s="597">
        <f t="shared" ca="1" si="265"/>
        <v>-24112.509999999995</v>
      </c>
      <c r="AM527" s="597">
        <f t="shared" ca="1" si="265"/>
        <v>-36158.75</v>
      </c>
      <c r="AN527" s="597">
        <f t="shared" ca="1" si="265"/>
        <v>-45245.599999999948</v>
      </c>
      <c r="AO527" s="597">
        <f t="shared" ca="1" si="265"/>
        <v>-45245.599999999948</v>
      </c>
      <c r="AP527" s="597">
        <f t="shared" ca="1" si="265"/>
        <v>-45245.599999999948</v>
      </c>
    </row>
    <row r="528" spans="1:42" x14ac:dyDescent="0.2">
      <c r="D528" s="611"/>
    </row>
    <row r="529" spans="1:42" outlineLevel="1" x14ac:dyDescent="0.2">
      <c r="B529" s="616" t="s">
        <v>1030</v>
      </c>
      <c r="C529" s="616"/>
      <c r="D529" s="618"/>
    </row>
    <row r="530" spans="1:42" outlineLevel="1" x14ac:dyDescent="0.2">
      <c r="D530" s="611"/>
    </row>
    <row r="531" spans="1:42" s="589" customFormat="1" outlineLevel="1" x14ac:dyDescent="0.2">
      <c r="A531" s="629">
        <v>47</v>
      </c>
      <c r="B531" s="623" t="s">
        <v>1031</v>
      </c>
      <c r="C531" s="627">
        <f ca="1">SUM(G531:R531)</f>
        <v>-49407.49</v>
      </c>
      <c r="D531" s="627"/>
      <c r="E531" s="628">
        <f t="shared" ref="E531:E537" si="266">IF(F531="-",-1,1)</f>
        <v>1</v>
      </c>
      <c r="F531" s="628"/>
      <c r="G531" s="627">
        <f t="shared" ref="G531:R531" ca="1" si="267">SUM(G532:G537)</f>
        <v>45453.55</v>
      </c>
      <c r="H531" s="627">
        <f t="shared" ca="1" si="267"/>
        <v>-13894.08</v>
      </c>
      <c r="I531" s="627">
        <f t="shared" ca="1" si="267"/>
        <v>-8426.44</v>
      </c>
      <c r="J531" s="627">
        <f t="shared" ca="1" si="267"/>
        <v>-20301.320000000003</v>
      </c>
      <c r="K531" s="627">
        <f t="shared" ca="1" si="267"/>
        <v>-50343.88</v>
      </c>
      <c r="L531" s="627">
        <f t="shared" ca="1" si="267"/>
        <v>-13620.77</v>
      </c>
      <c r="M531" s="627">
        <f t="shared" ca="1" si="267"/>
        <v>-6222.65</v>
      </c>
      <c r="N531" s="627">
        <f t="shared" ca="1" si="267"/>
        <v>39626.450000000004</v>
      </c>
      <c r="O531" s="627">
        <f t="shared" ca="1" si="267"/>
        <v>-12318.84</v>
      </c>
      <c r="P531" s="627">
        <f t="shared" ca="1" si="267"/>
        <v>-9359.51</v>
      </c>
      <c r="Q531" s="627">
        <f t="shared" ca="1" si="267"/>
        <v>0</v>
      </c>
      <c r="R531" s="627">
        <f t="shared" ca="1" si="267"/>
        <v>0</v>
      </c>
      <c r="S531" s="627">
        <f t="shared" ref="S531:AP531" ca="1" si="268">SUM(S532:S537)</f>
        <v>127080.49</v>
      </c>
      <c r="T531" s="627">
        <f t="shared" ca="1" si="268"/>
        <v>113186.41</v>
      </c>
      <c r="U531" s="627">
        <f t="shared" ca="1" si="268"/>
        <v>104759.97</v>
      </c>
      <c r="V531" s="627">
        <f t="shared" ca="1" si="268"/>
        <v>84458.65</v>
      </c>
      <c r="W531" s="627">
        <f t="shared" ca="1" si="268"/>
        <v>34114.770000000004</v>
      </c>
      <c r="X531" s="627">
        <f t="shared" ca="1" si="268"/>
        <v>20494</v>
      </c>
      <c r="Y531" s="627">
        <f t="shared" ca="1" si="268"/>
        <v>14271.35</v>
      </c>
      <c r="Z531" s="627">
        <f t="shared" ca="1" si="268"/>
        <v>53897.8</v>
      </c>
      <c r="AA531" s="627">
        <f t="shared" ca="1" si="268"/>
        <v>41578.959999999999</v>
      </c>
      <c r="AB531" s="627">
        <f t="shared" ca="1" si="268"/>
        <v>32219.45</v>
      </c>
      <c r="AC531" s="627">
        <f t="shared" ca="1" si="268"/>
        <v>0</v>
      </c>
      <c r="AD531" s="627">
        <f t="shared" ca="1" si="268"/>
        <v>0</v>
      </c>
      <c r="AE531" s="627">
        <f t="shared" ca="1" si="268"/>
        <v>45453.55</v>
      </c>
      <c r="AF531" s="627">
        <f t="shared" ca="1" si="268"/>
        <v>31559.47</v>
      </c>
      <c r="AG531" s="627">
        <f t="shared" ca="1" si="268"/>
        <v>23133.03</v>
      </c>
      <c r="AH531" s="627">
        <f t="shared" ca="1" si="268"/>
        <v>2831.7099999999955</v>
      </c>
      <c r="AI531" s="627">
        <f t="shared" ca="1" si="268"/>
        <v>-47512.17</v>
      </c>
      <c r="AJ531" s="627">
        <f t="shared" ca="1" si="268"/>
        <v>-61132.94</v>
      </c>
      <c r="AK531" s="627">
        <f t="shared" ca="1" si="268"/>
        <v>-67355.59</v>
      </c>
      <c r="AL531" s="627">
        <f t="shared" ca="1" si="268"/>
        <v>-27729.139999999992</v>
      </c>
      <c r="AM531" s="627">
        <f t="shared" ca="1" si="268"/>
        <v>-40047.979999999996</v>
      </c>
      <c r="AN531" s="627">
        <f t="shared" ca="1" si="268"/>
        <v>-49407.489999999991</v>
      </c>
      <c r="AO531" s="627">
        <f t="shared" ca="1" si="268"/>
        <v>-49407.489999999991</v>
      </c>
      <c r="AP531" s="627">
        <f t="shared" ca="1" si="268"/>
        <v>-49407.489999999991</v>
      </c>
    </row>
    <row r="532" spans="1:42" s="594" customFormat="1" ht="11.25" x14ac:dyDescent="0.2">
      <c r="A532" s="644"/>
      <c r="B532" s="591" t="str">
        <f>IF(D532&lt;&gt;"",
IF(ISERROR(MATCH(D532,'Ist Vorjahr Monat 01'!A:A,0))=FALSE,INDEX('Ist Vorjahr Monat 01'!B:B,MATCH(D532,'Ist Vorjahr Monat 01'!A:A,0)),
IF(ISERROR(MATCH(D532,'Ist Vorjahr Monat 02'!A:A,0))=FALSE,INDEX('Ist Vorjahr Monat 02'!B:B,MATCH(D532,'Ist Vorjahr Monat 02'!A:A,0)),
IF(ISERROR(MATCH(D532,'Ist Vorjahr Monat 03'!A:A,0))=FALSE,INDEX('Ist Vorjahr Monat 03'!B:B,MATCH(D532,'Ist Vorjahr Monat 03'!A:A,0)),
IF(ISERROR(MATCH(D532,'Ist Vorjahr Monat 04'!A:A,0))=FALSE,INDEX('Ist Vorjahr Monat 04'!B:B,MATCH(D532,'Ist Vorjahr Monat 04'!A:A,0)),
IF(ISERROR(MATCH(D532,'Ist Vorjahr Monat 05'!A:A,0))=FALSE,INDEX('Ist Vorjahr Monat 05'!B:B,MATCH(D532,'Ist Vorjahr Monat 05'!A:A,0)),
IF(ISERROR(MATCH(D532,'Ist Vorjahr Monat 06'!A:A,0))=FALSE,INDEX('Ist Vorjahr Monat 06'!B:B,MATCH(D532,'Ist Vorjahr Monat 06'!A:A,0)),
IF(ISERROR(MATCH(D532,'Ist Vorjahr Monat 07'!A:A,0))=FALSE,INDEX('Ist Vorjahr Monat 07'!B:B,MATCH(D532,'Ist Vorjahr Monat 07'!A:A,0)),
IF(ISERROR(MATCH(D532,'Ist Vorjahr Monat 08'!A:A,0))=FALSE,INDEX('Ist Vorjahr Monat 08'!B:B,MATCH(D532,'Ist Vorjahr Monat 08'!A:A,0)),
IF(ISERROR(MATCH(D532,'Ist Vorjahr Monat 09'!A:A,0))=FALSE,INDEX('Ist Vorjahr Monat 09'!B:B,MATCH(D532,'Ist Vorjahr Monat 09'!A:A,0)),
IF(ISERROR(MATCH(D532,'Ist Vorjahr Monat 10'!A:A,0))=FALSE,INDEX('Ist Vorjahr Monat 10'!B:B,MATCH(D532,'Ist Vorjahr Monat 10'!A:A,0)),
IF(ISERROR(MATCH(D532,'Ist Vorjahr Monat 11'!A:A,0))=FALSE,INDEX('Ist Vorjahr Monat 11'!B:B,MATCH(D532,'Ist Vorjahr Monat 11'!A:A,0)),
IF(ISERROR(MATCH(D532,'Ist Vorjahr Monat 12'!A:A,0))=FALSE,INDEX('Ist Vorjahr Monat 12'!B:B,MATCH(D532,'Ist Vorjahr Monat 12'!A:A,0)),
"{Konto unbekannt}"
)))))))))))),"")</f>
        <v>Kasse</v>
      </c>
      <c r="C532" s="1062"/>
      <c r="D532" s="1067">
        <v>1000</v>
      </c>
      <c r="E532" s="625">
        <f t="shared" si="266"/>
        <v>-1</v>
      </c>
      <c r="F532" s="626" t="s">
        <v>996</v>
      </c>
      <c r="G532" s="593">
        <f ca="1">$E532*(SUMIF(INDIRECT(G$3),'Struktur Vorjahr'!$D532,INDIRECT(G$4))-SUMIF(INDIRECT(G$3),'Struktur Vorjahr'!$D532,INDIRECT(G$5)))</f>
        <v>417.29</v>
      </c>
      <c r="H532" s="593">
        <f ca="1">$E532*(SUMIF(INDIRECT(H$3),'Struktur Vorjahr'!$D532,INDIRECT(H$4))-SUMIF(INDIRECT(H$3),'Struktur Vorjahr'!$D532,INDIRECT(H$5)))</f>
        <v>-91.96</v>
      </c>
      <c r="I532" s="593">
        <f ca="1">$E532*(SUMIF(INDIRECT(I$3),'Struktur Vorjahr'!$D532,INDIRECT(I$4))-SUMIF(INDIRECT(I$3),'Struktur Vorjahr'!$D532,INDIRECT(I$5)))</f>
        <v>-146.04</v>
      </c>
      <c r="J532" s="593">
        <f ca="1">$E532*(SUMIF(INDIRECT(J$3),'Struktur Vorjahr'!$D532,INDIRECT(J$4))-SUMIF(INDIRECT(J$3),'Struktur Vorjahr'!$D532,INDIRECT(J$5)))</f>
        <v>-26.08</v>
      </c>
      <c r="K532" s="593">
        <f ca="1">$E532*(SUMIF(INDIRECT(K$3),'Struktur Vorjahr'!$D532,INDIRECT(K$4))-SUMIF(INDIRECT(K$3),'Struktur Vorjahr'!$D532,INDIRECT(K$5)))</f>
        <v>-111.29</v>
      </c>
      <c r="L532" s="593">
        <f ca="1">$E532*(SUMIF(INDIRECT(L$3),'Struktur Vorjahr'!$D532,INDIRECT(L$4))-SUMIF(INDIRECT(L$3),'Struktur Vorjahr'!$D532,INDIRECT(L$5)))</f>
        <v>-62.1</v>
      </c>
      <c r="M532" s="593">
        <f ca="1">$E532*(SUMIF(INDIRECT(M$3),'Struktur Vorjahr'!$D532,INDIRECT(M$4))-SUMIF(INDIRECT(M$3),'Struktur Vorjahr'!$D532,INDIRECT(M$5)))</f>
        <v>38.61</v>
      </c>
      <c r="N532" s="593">
        <f ca="1">$E532*(SUMIF(INDIRECT(N$3),'Struktur Vorjahr'!$D532,INDIRECT(N$4))-SUMIF(INDIRECT(N$3),'Struktur Vorjahr'!$D532,INDIRECT(N$5)))</f>
        <v>-13.56</v>
      </c>
      <c r="O532" s="593">
        <f ca="1">$E532*(SUMIF(INDIRECT(O$3),'Struktur Vorjahr'!$D532,INDIRECT(O$4))-SUMIF(INDIRECT(O$3),'Struktur Vorjahr'!$D532,INDIRECT(O$5)))</f>
        <v>330.71</v>
      </c>
      <c r="P532" s="593">
        <f ca="1">$E532*(SUMIF(INDIRECT(P$3),'Struktur Vorjahr'!$D532,INDIRECT(P$4))-SUMIF(INDIRECT(P$3),'Struktur Vorjahr'!$D532,INDIRECT(P$5)))</f>
        <v>-23.25</v>
      </c>
      <c r="Q532" s="593">
        <f ca="1">$E532*(SUMIF(INDIRECT(Q$3),'Struktur Vorjahr'!$D532,INDIRECT(Q$4))-SUMIF(INDIRECT(Q$3),'Struktur Vorjahr'!$D532,INDIRECT(Q$5)))</f>
        <v>0</v>
      </c>
      <c r="R532" s="593">
        <f ca="1">$E532*(SUMIF(INDIRECT(R$3),'Struktur Vorjahr'!$D532,INDIRECT(R$4))-SUMIF(INDIRECT(R$3),'Struktur Vorjahr'!$D532,INDIRECT(R$5)))</f>
        <v>0</v>
      </c>
      <c r="S532" s="593">
        <f ca="1">$E532*(SUMIF(INDIRECT(S$3),'Struktur Vorjahr'!$D532,INDIRECT(S$4))-SUMIF(INDIRECT(S$3),'Struktur Vorjahr'!$D532,INDIRECT(S$5)))</f>
        <v>590.67999999999995</v>
      </c>
      <c r="T532" s="593">
        <f ca="1">$E532*(SUMIF(INDIRECT(T$3),'Struktur Vorjahr'!$D532,INDIRECT(T$4))-SUMIF(INDIRECT(T$3),'Struktur Vorjahr'!$D532,INDIRECT(T$5)))</f>
        <v>498.72</v>
      </c>
      <c r="U532" s="593">
        <f ca="1">$E532*(SUMIF(INDIRECT(U$3),'Struktur Vorjahr'!$D532,INDIRECT(U$4))-SUMIF(INDIRECT(U$3),'Struktur Vorjahr'!$D532,INDIRECT(U$5)))</f>
        <v>352.68</v>
      </c>
      <c r="V532" s="593">
        <f ca="1">$E532*(SUMIF(INDIRECT(V$3),'Struktur Vorjahr'!$D532,INDIRECT(V$4))-SUMIF(INDIRECT(V$3),'Struktur Vorjahr'!$D532,INDIRECT(V$5)))</f>
        <v>326.60000000000002</v>
      </c>
      <c r="W532" s="593">
        <f ca="1">$E532*(SUMIF(INDIRECT(W$3),'Struktur Vorjahr'!$D532,INDIRECT(W$4))-SUMIF(INDIRECT(W$3),'Struktur Vorjahr'!$D532,INDIRECT(W$5)))</f>
        <v>215.31</v>
      </c>
      <c r="X532" s="593">
        <f ca="1">$E532*(SUMIF(INDIRECT(X$3),'Struktur Vorjahr'!$D532,INDIRECT(X$4))-SUMIF(INDIRECT(X$3),'Struktur Vorjahr'!$D532,INDIRECT(X$5)))</f>
        <v>153.21</v>
      </c>
      <c r="Y532" s="593">
        <f ca="1">$E532*(SUMIF(INDIRECT(Y$3),'Struktur Vorjahr'!$D532,INDIRECT(Y$4))-SUMIF(INDIRECT(Y$3),'Struktur Vorjahr'!$D532,INDIRECT(Y$5)))</f>
        <v>191.82</v>
      </c>
      <c r="Z532" s="593">
        <f ca="1">$E532*(SUMIF(INDIRECT(Z$3),'Struktur Vorjahr'!$D532,INDIRECT(Z$4))-SUMIF(INDIRECT(Z$3),'Struktur Vorjahr'!$D532,INDIRECT(Z$5)))</f>
        <v>178.26</v>
      </c>
      <c r="AA532" s="593">
        <f ca="1">$E532*(SUMIF(INDIRECT(AA$3),'Struktur Vorjahr'!$D532,INDIRECT(AA$4))-SUMIF(INDIRECT(AA$3),'Struktur Vorjahr'!$D532,INDIRECT(AA$5)))</f>
        <v>508.97</v>
      </c>
      <c r="AB532" s="593">
        <f ca="1">$E532*(SUMIF(INDIRECT(AB$3),'Struktur Vorjahr'!$D532,INDIRECT(AB$4))-SUMIF(INDIRECT(AB$3),'Struktur Vorjahr'!$D532,INDIRECT(AB$5)))</f>
        <v>485.72</v>
      </c>
      <c r="AC532" s="593">
        <f ca="1">$E532*(SUMIF(INDIRECT(AC$3),'Struktur Vorjahr'!$D532,INDIRECT(AC$4))-SUMIF(INDIRECT(AC$3),'Struktur Vorjahr'!$D532,INDIRECT(AC$5)))</f>
        <v>0</v>
      </c>
      <c r="AD532" s="593">
        <f ca="1">$E532*(SUMIF(INDIRECT(AD$3),'Struktur Vorjahr'!$D532,INDIRECT(AD$4))-SUMIF(INDIRECT(AD$3),'Struktur Vorjahr'!$D532,INDIRECT(AD$5)))</f>
        <v>0</v>
      </c>
      <c r="AE532" s="593">
        <f t="shared" ref="AE532:AE537" ca="1" si="269">G532</f>
        <v>417.29</v>
      </c>
      <c r="AF532" s="593">
        <f t="shared" ref="AF532:AP537" ca="1" si="270">H532+AE532</f>
        <v>325.33000000000004</v>
      </c>
      <c r="AG532" s="593">
        <f t="shared" ca="1" si="270"/>
        <v>179.29000000000005</v>
      </c>
      <c r="AH532" s="593">
        <f t="shared" ca="1" si="270"/>
        <v>153.21000000000004</v>
      </c>
      <c r="AI532" s="593">
        <f t="shared" ca="1" si="270"/>
        <v>41.92000000000003</v>
      </c>
      <c r="AJ532" s="593">
        <f t="shared" ca="1" si="270"/>
        <v>-20.179999999999971</v>
      </c>
      <c r="AK532" s="593">
        <f t="shared" ca="1" si="270"/>
        <v>18.430000000000028</v>
      </c>
      <c r="AL532" s="593">
        <f t="shared" ca="1" si="270"/>
        <v>4.8700000000000276</v>
      </c>
      <c r="AM532" s="593">
        <f t="shared" ca="1" si="270"/>
        <v>335.58</v>
      </c>
      <c r="AN532" s="593">
        <f t="shared" ca="1" si="270"/>
        <v>312.33</v>
      </c>
      <c r="AO532" s="593">
        <f t="shared" ca="1" si="270"/>
        <v>312.33</v>
      </c>
      <c r="AP532" s="593">
        <f t="shared" ca="1" si="270"/>
        <v>312.33</v>
      </c>
    </row>
    <row r="533" spans="1:42" s="594" customFormat="1" ht="11.25" outlineLevel="1" x14ac:dyDescent="0.2">
      <c r="A533" s="644"/>
      <c r="B533" s="591" t="str">
        <f>IF(D533&lt;&gt;"",
IF(ISERROR(MATCH(D533,'Ist Vorjahr Monat 01'!A:A,0))=FALSE,INDEX('Ist Vorjahr Monat 01'!B:B,MATCH(D533,'Ist Vorjahr Monat 01'!A:A,0)),
IF(ISERROR(MATCH(D533,'Ist Vorjahr Monat 02'!A:A,0))=FALSE,INDEX('Ist Vorjahr Monat 02'!B:B,MATCH(D533,'Ist Vorjahr Monat 02'!A:A,0)),
IF(ISERROR(MATCH(D533,'Ist Vorjahr Monat 03'!A:A,0))=FALSE,INDEX('Ist Vorjahr Monat 03'!B:B,MATCH(D533,'Ist Vorjahr Monat 03'!A:A,0)),
IF(ISERROR(MATCH(D533,'Ist Vorjahr Monat 04'!A:A,0))=FALSE,INDEX('Ist Vorjahr Monat 04'!B:B,MATCH(D533,'Ist Vorjahr Monat 04'!A:A,0)),
IF(ISERROR(MATCH(D533,'Ist Vorjahr Monat 05'!A:A,0))=FALSE,INDEX('Ist Vorjahr Monat 05'!B:B,MATCH(D533,'Ist Vorjahr Monat 05'!A:A,0)),
IF(ISERROR(MATCH(D533,'Ist Vorjahr Monat 06'!A:A,0))=FALSE,INDEX('Ist Vorjahr Monat 06'!B:B,MATCH(D533,'Ist Vorjahr Monat 06'!A:A,0)),
IF(ISERROR(MATCH(D533,'Ist Vorjahr Monat 07'!A:A,0))=FALSE,INDEX('Ist Vorjahr Monat 07'!B:B,MATCH(D533,'Ist Vorjahr Monat 07'!A:A,0)),
IF(ISERROR(MATCH(D533,'Ist Vorjahr Monat 08'!A:A,0))=FALSE,INDEX('Ist Vorjahr Monat 08'!B:B,MATCH(D533,'Ist Vorjahr Monat 08'!A:A,0)),
IF(ISERROR(MATCH(D533,'Ist Vorjahr Monat 09'!A:A,0))=FALSE,INDEX('Ist Vorjahr Monat 09'!B:B,MATCH(D533,'Ist Vorjahr Monat 09'!A:A,0)),
IF(ISERROR(MATCH(D533,'Ist Vorjahr Monat 10'!A:A,0))=FALSE,INDEX('Ist Vorjahr Monat 10'!B:B,MATCH(D533,'Ist Vorjahr Monat 10'!A:A,0)),
IF(ISERROR(MATCH(D533,'Ist Vorjahr Monat 11'!A:A,0))=FALSE,INDEX('Ist Vorjahr Monat 11'!B:B,MATCH(D533,'Ist Vorjahr Monat 11'!A:A,0)),
IF(ISERROR(MATCH(D533,'Ist Vorjahr Monat 12'!A:A,0))=FALSE,INDEX('Ist Vorjahr Monat 12'!B:B,MATCH(D533,'Ist Vorjahr Monat 12'!A:A,0)),
"{Konto unbekannt}"
)))))))))))),"")</f>
        <v>Kreissparkasse 4405627</v>
      </c>
      <c r="C533" s="1062"/>
      <c r="D533" s="1067">
        <v>1200</v>
      </c>
      <c r="E533" s="625">
        <f t="shared" si="266"/>
        <v>-1</v>
      </c>
      <c r="F533" s="626" t="s">
        <v>996</v>
      </c>
      <c r="G533" s="593">
        <f ca="1">$E533*(SUMIF(INDIRECT(G$3),'Struktur Vorjahr'!$D533,INDIRECT(G$4))-SUMIF(INDIRECT(G$3),'Struktur Vorjahr'!$D533,INDIRECT(G$5)))</f>
        <v>10036.26</v>
      </c>
      <c r="H533" s="593">
        <f ca="1">$E533*(SUMIF(INDIRECT(H$3),'Struktur Vorjahr'!$D533,INDIRECT(H$4))-SUMIF(INDIRECT(H$3),'Struktur Vorjahr'!$D533,INDIRECT(H$5)))</f>
        <v>-13802.12</v>
      </c>
      <c r="I533" s="593">
        <f ca="1">$E533*(SUMIF(INDIRECT(I$3),'Struktur Vorjahr'!$D533,INDIRECT(I$4))-SUMIF(INDIRECT(I$3),'Struktur Vorjahr'!$D533,INDIRECT(I$5)))</f>
        <v>1719.6</v>
      </c>
      <c r="J533" s="593">
        <f ca="1">$E533*(SUMIF(INDIRECT(J$3),'Struktur Vorjahr'!$D533,INDIRECT(J$4))-SUMIF(INDIRECT(J$3),'Struktur Vorjahr'!$D533,INDIRECT(J$5)))</f>
        <v>29724.76</v>
      </c>
      <c r="K533" s="593">
        <f ca="1">$E533*(SUMIF(INDIRECT(K$3),'Struktur Vorjahr'!$D533,INDIRECT(K$4))-SUMIF(INDIRECT(K$3),'Struktur Vorjahr'!$D533,INDIRECT(K$5)))</f>
        <v>-40232.589999999997</v>
      </c>
      <c r="L533" s="593">
        <f ca="1">$E533*(SUMIF(INDIRECT(L$3),'Struktur Vorjahr'!$D533,INDIRECT(L$4))-SUMIF(INDIRECT(L$3),'Struktur Vorjahr'!$D533,INDIRECT(L$5)))</f>
        <v>1441.33</v>
      </c>
      <c r="M533" s="593">
        <f ca="1">$E533*(SUMIF(INDIRECT(M$3),'Struktur Vorjahr'!$D533,INDIRECT(M$4))-SUMIF(INDIRECT(M$3),'Struktur Vorjahr'!$D533,INDIRECT(M$5)))</f>
        <v>8738.74</v>
      </c>
      <c r="N533" s="593">
        <f ca="1">$E533*(SUMIF(INDIRECT(N$3),'Struktur Vorjahr'!$D533,INDIRECT(N$4))-SUMIF(INDIRECT(N$3),'Struktur Vorjahr'!$D533,INDIRECT(N$5)))</f>
        <v>39640.01</v>
      </c>
      <c r="O533" s="593">
        <f ca="1">$E533*(SUMIF(INDIRECT(O$3),'Struktur Vorjahr'!$D533,INDIRECT(O$4))-SUMIF(INDIRECT(O$3),'Struktur Vorjahr'!$D533,INDIRECT(O$5)))</f>
        <v>-12649.55</v>
      </c>
      <c r="P533" s="593">
        <f ca="1">$E533*(SUMIF(INDIRECT(P$3),'Struktur Vorjahr'!$D533,INDIRECT(P$4))-SUMIF(INDIRECT(P$3),'Struktur Vorjahr'!$D533,INDIRECT(P$5)))</f>
        <v>-9336.26</v>
      </c>
      <c r="Q533" s="593">
        <f ca="1">$E533*(SUMIF(INDIRECT(Q$3),'Struktur Vorjahr'!$D533,INDIRECT(Q$4))-SUMIF(INDIRECT(Q$3),'Struktur Vorjahr'!$D533,INDIRECT(Q$5)))</f>
        <v>0</v>
      </c>
      <c r="R533" s="593">
        <f ca="1">$E533*(SUMIF(INDIRECT(R$3),'Struktur Vorjahr'!$D533,INDIRECT(R$4))-SUMIF(INDIRECT(R$3),'Struktur Vorjahr'!$D533,INDIRECT(R$5)))</f>
        <v>0</v>
      </c>
      <c r="S533" s="593">
        <f ca="1">$E533*(SUMIF(INDIRECT(S$3),'Struktur Vorjahr'!$D533,INDIRECT(S$4))-SUMIF(INDIRECT(S$3),'Struktur Vorjahr'!$D533,INDIRECT(S$5)))</f>
        <v>26509.81</v>
      </c>
      <c r="T533" s="593">
        <f ca="1">$E533*(SUMIF(INDIRECT(T$3),'Struktur Vorjahr'!$D533,INDIRECT(T$4))-SUMIF(INDIRECT(T$3),'Struktur Vorjahr'!$D533,INDIRECT(T$5)))</f>
        <v>12707.69</v>
      </c>
      <c r="U533" s="593">
        <f ca="1">$E533*(SUMIF(INDIRECT(U$3),'Struktur Vorjahr'!$D533,INDIRECT(U$4))-SUMIF(INDIRECT(U$3),'Struktur Vorjahr'!$D533,INDIRECT(U$5)))</f>
        <v>14427.29</v>
      </c>
      <c r="V533" s="593">
        <f ca="1">$E533*(SUMIF(INDIRECT(V$3),'Struktur Vorjahr'!$D533,INDIRECT(V$4))-SUMIF(INDIRECT(V$3),'Struktur Vorjahr'!$D533,INDIRECT(V$5)))</f>
        <v>44152.05</v>
      </c>
      <c r="W533" s="593">
        <f ca="1">$E533*(SUMIF(INDIRECT(W$3),'Struktur Vorjahr'!$D533,INDIRECT(W$4))-SUMIF(INDIRECT(W$3),'Struktur Vorjahr'!$D533,INDIRECT(W$5)))</f>
        <v>3919.46</v>
      </c>
      <c r="X533" s="593">
        <f ca="1">$E533*(SUMIF(INDIRECT(X$3),'Struktur Vorjahr'!$D533,INDIRECT(X$4))-SUMIF(INDIRECT(X$3),'Struktur Vorjahr'!$D533,INDIRECT(X$5)))</f>
        <v>5360.79</v>
      </c>
      <c r="Y533" s="593">
        <f ca="1">$E533*(SUMIF(INDIRECT(Y$3),'Struktur Vorjahr'!$D533,INDIRECT(Y$4))-SUMIF(INDIRECT(Y$3),'Struktur Vorjahr'!$D533,INDIRECT(Y$5)))</f>
        <v>14099.53</v>
      </c>
      <c r="Z533" s="593">
        <f ca="1">$E533*(SUMIF(INDIRECT(Z$3),'Struktur Vorjahr'!$D533,INDIRECT(Z$4))-SUMIF(INDIRECT(Z$3),'Struktur Vorjahr'!$D533,INDIRECT(Z$5)))</f>
        <v>53739.54</v>
      </c>
      <c r="AA533" s="593">
        <f ca="1">$E533*(SUMIF(INDIRECT(AA$3),'Struktur Vorjahr'!$D533,INDIRECT(AA$4))-SUMIF(INDIRECT(AA$3),'Struktur Vorjahr'!$D533,INDIRECT(AA$5)))</f>
        <v>41089.99</v>
      </c>
      <c r="AB533" s="593">
        <f ca="1">$E533*(SUMIF(INDIRECT(AB$3),'Struktur Vorjahr'!$D533,INDIRECT(AB$4))-SUMIF(INDIRECT(AB$3),'Struktur Vorjahr'!$D533,INDIRECT(AB$5)))</f>
        <v>31753.73</v>
      </c>
      <c r="AC533" s="593">
        <f ca="1">$E533*(SUMIF(INDIRECT(AC$3),'Struktur Vorjahr'!$D533,INDIRECT(AC$4))-SUMIF(INDIRECT(AC$3),'Struktur Vorjahr'!$D533,INDIRECT(AC$5)))</f>
        <v>0</v>
      </c>
      <c r="AD533" s="593">
        <f ca="1">$E533*(SUMIF(INDIRECT(AD$3),'Struktur Vorjahr'!$D533,INDIRECT(AD$4))-SUMIF(INDIRECT(AD$3),'Struktur Vorjahr'!$D533,INDIRECT(AD$5)))</f>
        <v>0</v>
      </c>
      <c r="AE533" s="593">
        <f t="shared" ca="1" si="269"/>
        <v>10036.26</v>
      </c>
      <c r="AF533" s="593">
        <f t="shared" ca="1" si="270"/>
        <v>-3765.8600000000006</v>
      </c>
      <c r="AG533" s="593">
        <f t="shared" ca="1" si="270"/>
        <v>-2046.2600000000007</v>
      </c>
      <c r="AH533" s="593">
        <f t="shared" ca="1" si="270"/>
        <v>27678.499999999996</v>
      </c>
      <c r="AI533" s="593">
        <f t="shared" ca="1" si="270"/>
        <v>-12554.09</v>
      </c>
      <c r="AJ533" s="593">
        <f t="shared" ca="1" si="270"/>
        <v>-11112.76</v>
      </c>
      <c r="AK533" s="593">
        <f t="shared" ca="1" si="270"/>
        <v>-2374.0200000000004</v>
      </c>
      <c r="AL533" s="593">
        <f t="shared" ca="1" si="270"/>
        <v>37265.990000000005</v>
      </c>
      <c r="AM533" s="593">
        <f t="shared" ca="1" si="270"/>
        <v>24616.440000000006</v>
      </c>
      <c r="AN533" s="593">
        <f t="shared" ca="1" si="270"/>
        <v>15280.180000000006</v>
      </c>
      <c r="AO533" s="593">
        <f t="shared" ca="1" si="270"/>
        <v>15280.180000000006</v>
      </c>
      <c r="AP533" s="593">
        <f t="shared" ca="1" si="270"/>
        <v>15280.180000000006</v>
      </c>
    </row>
    <row r="534" spans="1:42" s="594" customFormat="1" ht="11.25" outlineLevel="1" x14ac:dyDescent="0.2">
      <c r="A534" s="644"/>
      <c r="B534" s="591" t="str">
        <f>IF(D534&lt;&gt;"",
IF(ISERROR(MATCH(D534,'Ist Vorjahr Monat 01'!A:A,0))=FALSE,INDEX('Ist Vorjahr Monat 01'!B:B,MATCH(D534,'Ist Vorjahr Monat 01'!A:A,0)),
IF(ISERROR(MATCH(D534,'Ist Vorjahr Monat 02'!A:A,0))=FALSE,INDEX('Ist Vorjahr Monat 02'!B:B,MATCH(D534,'Ist Vorjahr Monat 02'!A:A,0)),
IF(ISERROR(MATCH(D534,'Ist Vorjahr Monat 03'!A:A,0))=FALSE,INDEX('Ist Vorjahr Monat 03'!B:B,MATCH(D534,'Ist Vorjahr Monat 03'!A:A,0)),
IF(ISERROR(MATCH(D534,'Ist Vorjahr Monat 04'!A:A,0))=FALSE,INDEX('Ist Vorjahr Monat 04'!B:B,MATCH(D534,'Ist Vorjahr Monat 04'!A:A,0)),
IF(ISERROR(MATCH(D534,'Ist Vorjahr Monat 05'!A:A,0))=FALSE,INDEX('Ist Vorjahr Monat 05'!B:B,MATCH(D534,'Ist Vorjahr Monat 05'!A:A,0)),
IF(ISERROR(MATCH(D534,'Ist Vorjahr Monat 06'!A:A,0))=FALSE,INDEX('Ist Vorjahr Monat 06'!B:B,MATCH(D534,'Ist Vorjahr Monat 06'!A:A,0)),
IF(ISERROR(MATCH(D534,'Ist Vorjahr Monat 07'!A:A,0))=FALSE,INDEX('Ist Vorjahr Monat 07'!B:B,MATCH(D534,'Ist Vorjahr Monat 07'!A:A,0)),
IF(ISERROR(MATCH(D534,'Ist Vorjahr Monat 08'!A:A,0))=FALSE,INDEX('Ist Vorjahr Monat 08'!B:B,MATCH(D534,'Ist Vorjahr Monat 08'!A:A,0)),
IF(ISERROR(MATCH(D534,'Ist Vorjahr Monat 09'!A:A,0))=FALSE,INDEX('Ist Vorjahr Monat 09'!B:B,MATCH(D534,'Ist Vorjahr Monat 09'!A:A,0)),
IF(ISERROR(MATCH(D534,'Ist Vorjahr Monat 10'!A:A,0))=FALSE,INDEX('Ist Vorjahr Monat 10'!B:B,MATCH(D534,'Ist Vorjahr Monat 10'!A:A,0)),
IF(ISERROR(MATCH(D534,'Ist Vorjahr Monat 11'!A:A,0))=FALSE,INDEX('Ist Vorjahr Monat 11'!B:B,MATCH(D534,'Ist Vorjahr Monat 11'!A:A,0)),
IF(ISERROR(MATCH(D534,'Ist Vorjahr Monat 12'!A:A,0))=FALSE,INDEX('Ist Vorjahr Monat 12'!B:B,MATCH(D534,'Ist Vorjahr Monat 12'!A:A,0)),
"{Konto unbekannt}"
)))))))))))),"")</f>
        <v>Commerzbank # 2005783 75</v>
      </c>
      <c r="C534" s="1062"/>
      <c r="D534" s="1067">
        <v>1215</v>
      </c>
      <c r="E534" s="625">
        <f t="shared" si="266"/>
        <v>-1</v>
      </c>
      <c r="F534" s="626" t="s">
        <v>996</v>
      </c>
      <c r="G534" s="593">
        <f ca="1">$E534*(SUMIF(INDIRECT(G$3),'Struktur Vorjahr'!$D534,INDIRECT(G$4))-SUMIF(INDIRECT(G$3),'Struktur Vorjahr'!$D534,INDIRECT(G$5)))</f>
        <v>0</v>
      </c>
      <c r="H534" s="593">
        <f ca="1">$E534*(SUMIF(INDIRECT(H$3),'Struktur Vorjahr'!$D534,INDIRECT(H$4))-SUMIF(INDIRECT(H$3),'Struktur Vorjahr'!$D534,INDIRECT(H$5)))</f>
        <v>0</v>
      </c>
      <c r="I534" s="593">
        <f ca="1">$E534*(SUMIF(INDIRECT(I$3),'Struktur Vorjahr'!$D534,INDIRECT(I$4))-SUMIF(INDIRECT(I$3),'Struktur Vorjahr'!$D534,INDIRECT(I$5)))</f>
        <v>0</v>
      </c>
      <c r="J534" s="593">
        <f ca="1">$E534*(SUMIF(INDIRECT(J$3),'Struktur Vorjahr'!$D534,INDIRECT(J$4))-SUMIF(INDIRECT(J$3),'Struktur Vorjahr'!$D534,INDIRECT(J$5)))</f>
        <v>0</v>
      </c>
      <c r="K534" s="593">
        <f ca="1">$E534*(SUMIF(INDIRECT(K$3),'Struktur Vorjahr'!$D534,INDIRECT(K$4))-SUMIF(INDIRECT(K$3),'Struktur Vorjahr'!$D534,INDIRECT(K$5)))</f>
        <v>0</v>
      </c>
      <c r="L534" s="593">
        <f ca="1">$E534*(SUMIF(INDIRECT(L$3),'Struktur Vorjahr'!$D534,INDIRECT(L$4))-SUMIF(INDIRECT(L$3),'Struktur Vorjahr'!$D534,INDIRECT(L$5)))</f>
        <v>0</v>
      </c>
      <c r="M534" s="593">
        <f ca="1">$E534*(SUMIF(INDIRECT(M$3),'Struktur Vorjahr'!$D534,INDIRECT(M$4))-SUMIF(INDIRECT(M$3),'Struktur Vorjahr'!$D534,INDIRECT(M$5)))</f>
        <v>0</v>
      </c>
      <c r="N534" s="593">
        <f ca="1">$E534*(SUMIF(INDIRECT(N$3),'Struktur Vorjahr'!$D534,INDIRECT(N$4))-SUMIF(INDIRECT(N$3),'Struktur Vorjahr'!$D534,INDIRECT(N$5)))</f>
        <v>0</v>
      </c>
      <c r="O534" s="593">
        <f ca="1">$E534*(SUMIF(INDIRECT(O$3),'Struktur Vorjahr'!$D534,INDIRECT(O$4))-SUMIF(INDIRECT(O$3),'Struktur Vorjahr'!$D534,INDIRECT(O$5)))</f>
        <v>0</v>
      </c>
      <c r="P534" s="593">
        <f ca="1">$E534*(SUMIF(INDIRECT(P$3),'Struktur Vorjahr'!$D534,INDIRECT(P$4))-SUMIF(INDIRECT(P$3),'Struktur Vorjahr'!$D534,INDIRECT(P$5)))</f>
        <v>0</v>
      </c>
      <c r="Q534" s="593">
        <f ca="1">$E534*(SUMIF(INDIRECT(Q$3),'Struktur Vorjahr'!$D534,INDIRECT(Q$4))-SUMIF(INDIRECT(Q$3),'Struktur Vorjahr'!$D534,INDIRECT(Q$5)))</f>
        <v>0</v>
      </c>
      <c r="R534" s="593">
        <f ca="1">$E534*(SUMIF(INDIRECT(R$3),'Struktur Vorjahr'!$D534,INDIRECT(R$4))-SUMIF(INDIRECT(R$3),'Struktur Vorjahr'!$D534,INDIRECT(R$5)))</f>
        <v>0</v>
      </c>
      <c r="S534" s="593">
        <f ca="1">$E534*(SUMIF(INDIRECT(S$3),'Struktur Vorjahr'!$D534,INDIRECT(S$4))-SUMIF(INDIRECT(S$3),'Struktur Vorjahr'!$D534,INDIRECT(S$5)))</f>
        <v>-20</v>
      </c>
      <c r="T534" s="593">
        <f ca="1">$E534*(SUMIF(INDIRECT(T$3),'Struktur Vorjahr'!$D534,INDIRECT(T$4))-SUMIF(INDIRECT(T$3),'Struktur Vorjahr'!$D534,INDIRECT(T$5)))</f>
        <v>-20</v>
      </c>
      <c r="U534" s="593">
        <f ca="1">$E534*(SUMIF(INDIRECT(U$3),'Struktur Vorjahr'!$D534,INDIRECT(U$4))-SUMIF(INDIRECT(U$3),'Struktur Vorjahr'!$D534,INDIRECT(U$5)))</f>
        <v>-20</v>
      </c>
      <c r="V534" s="593">
        <f ca="1">$E534*(SUMIF(INDIRECT(V$3),'Struktur Vorjahr'!$D534,INDIRECT(V$4))-SUMIF(INDIRECT(V$3),'Struktur Vorjahr'!$D534,INDIRECT(V$5)))</f>
        <v>-20</v>
      </c>
      <c r="W534" s="593">
        <f ca="1">$E534*(SUMIF(INDIRECT(W$3),'Struktur Vorjahr'!$D534,INDIRECT(W$4))-SUMIF(INDIRECT(W$3),'Struktur Vorjahr'!$D534,INDIRECT(W$5)))</f>
        <v>-20</v>
      </c>
      <c r="X534" s="593">
        <f ca="1">$E534*(SUMIF(INDIRECT(X$3),'Struktur Vorjahr'!$D534,INDIRECT(X$4))-SUMIF(INDIRECT(X$3),'Struktur Vorjahr'!$D534,INDIRECT(X$5)))</f>
        <v>-20</v>
      </c>
      <c r="Y534" s="593">
        <f ca="1">$E534*(SUMIF(INDIRECT(Y$3),'Struktur Vorjahr'!$D534,INDIRECT(Y$4))-SUMIF(INDIRECT(Y$3),'Struktur Vorjahr'!$D534,INDIRECT(Y$5)))</f>
        <v>-20</v>
      </c>
      <c r="Z534" s="593">
        <f ca="1">$E534*(SUMIF(INDIRECT(Z$3),'Struktur Vorjahr'!$D534,INDIRECT(Z$4))-SUMIF(INDIRECT(Z$3),'Struktur Vorjahr'!$D534,INDIRECT(Z$5)))</f>
        <v>-20</v>
      </c>
      <c r="AA534" s="593">
        <f ca="1">$E534*(SUMIF(INDIRECT(AA$3),'Struktur Vorjahr'!$D534,INDIRECT(AA$4))-SUMIF(INDIRECT(AA$3),'Struktur Vorjahr'!$D534,INDIRECT(AA$5)))</f>
        <v>-20</v>
      </c>
      <c r="AB534" s="593">
        <f ca="1">$E534*(SUMIF(INDIRECT(AB$3),'Struktur Vorjahr'!$D534,INDIRECT(AB$4))-SUMIF(INDIRECT(AB$3),'Struktur Vorjahr'!$D534,INDIRECT(AB$5)))</f>
        <v>-20</v>
      </c>
      <c r="AC534" s="593">
        <f ca="1">$E534*(SUMIF(INDIRECT(AC$3),'Struktur Vorjahr'!$D534,INDIRECT(AC$4))-SUMIF(INDIRECT(AC$3),'Struktur Vorjahr'!$D534,INDIRECT(AC$5)))</f>
        <v>0</v>
      </c>
      <c r="AD534" s="593">
        <f ca="1">$E534*(SUMIF(INDIRECT(AD$3),'Struktur Vorjahr'!$D534,INDIRECT(AD$4))-SUMIF(INDIRECT(AD$3),'Struktur Vorjahr'!$D534,INDIRECT(AD$5)))</f>
        <v>0</v>
      </c>
      <c r="AE534" s="593">
        <f t="shared" ca="1" si="269"/>
        <v>0</v>
      </c>
      <c r="AF534" s="593">
        <f t="shared" ca="1" si="270"/>
        <v>0</v>
      </c>
      <c r="AG534" s="593">
        <f t="shared" ca="1" si="270"/>
        <v>0</v>
      </c>
      <c r="AH534" s="593">
        <f t="shared" ca="1" si="270"/>
        <v>0</v>
      </c>
      <c r="AI534" s="593">
        <f t="shared" ca="1" si="270"/>
        <v>0</v>
      </c>
      <c r="AJ534" s="593">
        <f t="shared" ca="1" si="270"/>
        <v>0</v>
      </c>
      <c r="AK534" s="593">
        <f t="shared" ca="1" si="270"/>
        <v>0</v>
      </c>
      <c r="AL534" s="593">
        <f t="shared" ca="1" si="270"/>
        <v>0</v>
      </c>
      <c r="AM534" s="593">
        <f t="shared" ca="1" si="270"/>
        <v>0</v>
      </c>
      <c r="AN534" s="593">
        <f t="shared" ca="1" si="270"/>
        <v>0</v>
      </c>
      <c r="AO534" s="593">
        <f t="shared" ca="1" si="270"/>
        <v>0</v>
      </c>
      <c r="AP534" s="593">
        <f t="shared" ca="1" si="270"/>
        <v>0</v>
      </c>
    </row>
    <row r="535" spans="1:42" s="594" customFormat="1" ht="11.25" outlineLevel="1" x14ac:dyDescent="0.2">
      <c r="A535" s="644"/>
      <c r="B535" s="591" t="str">
        <f>IF(D535&lt;&gt;"",
IF(ISERROR(MATCH(D535,'Ist Vorjahr Monat 01'!A:A,0))=FALSE,INDEX('Ist Vorjahr Monat 01'!B:B,MATCH(D535,'Ist Vorjahr Monat 01'!A:A,0)),
IF(ISERROR(MATCH(D535,'Ist Vorjahr Monat 02'!A:A,0))=FALSE,INDEX('Ist Vorjahr Monat 02'!B:B,MATCH(D535,'Ist Vorjahr Monat 02'!A:A,0)),
IF(ISERROR(MATCH(D535,'Ist Vorjahr Monat 03'!A:A,0))=FALSE,INDEX('Ist Vorjahr Monat 03'!B:B,MATCH(D535,'Ist Vorjahr Monat 03'!A:A,0)),
IF(ISERROR(MATCH(D535,'Ist Vorjahr Monat 04'!A:A,0))=FALSE,INDEX('Ist Vorjahr Monat 04'!B:B,MATCH(D535,'Ist Vorjahr Monat 04'!A:A,0)),
IF(ISERROR(MATCH(D535,'Ist Vorjahr Monat 05'!A:A,0))=FALSE,INDEX('Ist Vorjahr Monat 05'!B:B,MATCH(D535,'Ist Vorjahr Monat 05'!A:A,0)),
IF(ISERROR(MATCH(D535,'Ist Vorjahr Monat 06'!A:A,0))=FALSE,INDEX('Ist Vorjahr Monat 06'!B:B,MATCH(D535,'Ist Vorjahr Monat 06'!A:A,0)),
IF(ISERROR(MATCH(D535,'Ist Vorjahr Monat 07'!A:A,0))=FALSE,INDEX('Ist Vorjahr Monat 07'!B:B,MATCH(D535,'Ist Vorjahr Monat 07'!A:A,0)),
IF(ISERROR(MATCH(D535,'Ist Vorjahr Monat 08'!A:A,0))=FALSE,INDEX('Ist Vorjahr Monat 08'!B:B,MATCH(D535,'Ist Vorjahr Monat 08'!A:A,0)),
IF(ISERROR(MATCH(D535,'Ist Vorjahr Monat 09'!A:A,0))=FALSE,INDEX('Ist Vorjahr Monat 09'!B:B,MATCH(D535,'Ist Vorjahr Monat 09'!A:A,0)),
IF(ISERROR(MATCH(D535,'Ist Vorjahr Monat 10'!A:A,0))=FALSE,INDEX('Ist Vorjahr Monat 10'!B:B,MATCH(D535,'Ist Vorjahr Monat 10'!A:A,0)),
IF(ISERROR(MATCH(D535,'Ist Vorjahr Monat 11'!A:A,0))=FALSE,INDEX('Ist Vorjahr Monat 11'!B:B,MATCH(D535,'Ist Vorjahr Monat 11'!A:A,0)),
IF(ISERROR(MATCH(D535,'Ist Vorjahr Monat 12'!A:A,0))=FALSE,INDEX('Ist Vorjahr Monat 12'!B:B,MATCH(D535,'Ist Vorjahr Monat 12'!A:A,0)),
"{Konto unbekannt}"
)))))))))))),"")</f>
        <v>Geldmarktkonto # 154911440</v>
      </c>
      <c r="C535" s="1062"/>
      <c r="D535" s="1067">
        <v>1250</v>
      </c>
      <c r="E535" s="625">
        <f t="shared" si="266"/>
        <v>-1</v>
      </c>
      <c r="F535" s="626" t="s">
        <v>996</v>
      </c>
      <c r="G535" s="593">
        <f ca="1">$E535*(SUMIF(INDIRECT(G$3),'Struktur Vorjahr'!$D535,INDIRECT(G$4))-SUMIF(INDIRECT(G$3),'Struktur Vorjahr'!$D535,INDIRECT(G$5)))</f>
        <v>35000</v>
      </c>
      <c r="H535" s="593">
        <f ca="1">$E535*(SUMIF(INDIRECT(H$3),'Struktur Vorjahr'!$D535,INDIRECT(H$4))-SUMIF(INDIRECT(H$3),'Struktur Vorjahr'!$D535,INDIRECT(H$5)))</f>
        <v>0</v>
      </c>
      <c r="I535" s="593">
        <f ca="1">$E535*(SUMIF(INDIRECT(I$3),'Struktur Vorjahr'!$D535,INDIRECT(I$4))-SUMIF(INDIRECT(I$3),'Struktur Vorjahr'!$D535,INDIRECT(I$5)))</f>
        <v>-10000</v>
      </c>
      <c r="J535" s="593">
        <f ca="1">$E535*(SUMIF(INDIRECT(J$3),'Struktur Vorjahr'!$D535,INDIRECT(J$4))-SUMIF(INDIRECT(J$3),'Struktur Vorjahr'!$D535,INDIRECT(J$5)))</f>
        <v>-50000</v>
      </c>
      <c r="K535" s="593">
        <f ca="1">$E535*(SUMIF(INDIRECT(K$3),'Struktur Vorjahr'!$D535,INDIRECT(K$4))-SUMIF(INDIRECT(K$3),'Struktur Vorjahr'!$D535,INDIRECT(K$5)))</f>
        <v>-10000</v>
      </c>
      <c r="L535" s="593">
        <f ca="1">$E535*(SUMIF(INDIRECT(L$3),'Struktur Vorjahr'!$D535,INDIRECT(L$4))-SUMIF(INDIRECT(L$3),'Struktur Vorjahr'!$D535,INDIRECT(L$5)))</f>
        <v>-15000</v>
      </c>
      <c r="M535" s="593">
        <f ca="1">$E535*(SUMIF(INDIRECT(M$3),'Struktur Vorjahr'!$D535,INDIRECT(M$4))-SUMIF(INDIRECT(M$3),'Struktur Vorjahr'!$D535,INDIRECT(M$5)))</f>
        <v>-15000</v>
      </c>
      <c r="N535" s="593">
        <f ca="1">$E535*(SUMIF(INDIRECT(N$3),'Struktur Vorjahr'!$D535,INDIRECT(N$4))-SUMIF(INDIRECT(N$3),'Struktur Vorjahr'!$D535,INDIRECT(N$5)))</f>
        <v>0</v>
      </c>
      <c r="O535" s="593">
        <f ca="1">$E535*(SUMIF(INDIRECT(O$3),'Struktur Vorjahr'!$D535,INDIRECT(O$4))-SUMIF(INDIRECT(O$3),'Struktur Vorjahr'!$D535,INDIRECT(O$5)))</f>
        <v>0</v>
      </c>
      <c r="P535" s="593">
        <f ca="1">$E535*(SUMIF(INDIRECT(P$3),'Struktur Vorjahr'!$D535,INDIRECT(P$4))-SUMIF(INDIRECT(P$3),'Struktur Vorjahr'!$D535,INDIRECT(P$5)))</f>
        <v>0</v>
      </c>
      <c r="Q535" s="593">
        <f ca="1">$E535*(SUMIF(INDIRECT(Q$3),'Struktur Vorjahr'!$D535,INDIRECT(Q$4))-SUMIF(INDIRECT(Q$3),'Struktur Vorjahr'!$D535,INDIRECT(Q$5)))</f>
        <v>0</v>
      </c>
      <c r="R535" s="593">
        <f ca="1">$E535*(SUMIF(INDIRECT(R$3),'Struktur Vorjahr'!$D535,INDIRECT(R$4))-SUMIF(INDIRECT(R$3),'Struktur Vorjahr'!$D535,INDIRECT(R$5)))</f>
        <v>0</v>
      </c>
      <c r="S535" s="593">
        <f ca="1">$E535*(SUMIF(INDIRECT(S$3),'Struktur Vorjahr'!$D535,INDIRECT(S$4))-SUMIF(INDIRECT(S$3),'Struktur Vorjahr'!$D535,INDIRECT(S$5)))</f>
        <v>100000</v>
      </c>
      <c r="T535" s="593">
        <f ca="1">$E535*(SUMIF(INDIRECT(T$3),'Struktur Vorjahr'!$D535,INDIRECT(T$4))-SUMIF(INDIRECT(T$3),'Struktur Vorjahr'!$D535,INDIRECT(T$5)))</f>
        <v>100000</v>
      </c>
      <c r="U535" s="593">
        <f ca="1">$E535*(SUMIF(INDIRECT(U$3),'Struktur Vorjahr'!$D535,INDIRECT(U$4))-SUMIF(INDIRECT(U$3),'Struktur Vorjahr'!$D535,INDIRECT(U$5)))</f>
        <v>90000</v>
      </c>
      <c r="V535" s="593">
        <f ca="1">$E535*(SUMIF(INDIRECT(V$3),'Struktur Vorjahr'!$D535,INDIRECT(V$4))-SUMIF(INDIRECT(V$3),'Struktur Vorjahr'!$D535,INDIRECT(V$5)))</f>
        <v>40000</v>
      </c>
      <c r="W535" s="593">
        <f ca="1">$E535*(SUMIF(INDIRECT(W$3),'Struktur Vorjahr'!$D535,INDIRECT(W$4))-SUMIF(INDIRECT(W$3),'Struktur Vorjahr'!$D535,INDIRECT(W$5)))</f>
        <v>30000</v>
      </c>
      <c r="X535" s="593">
        <f ca="1">$E535*(SUMIF(INDIRECT(X$3),'Struktur Vorjahr'!$D535,INDIRECT(X$4))-SUMIF(INDIRECT(X$3),'Struktur Vorjahr'!$D535,INDIRECT(X$5)))</f>
        <v>15000</v>
      </c>
      <c r="Y535" s="593">
        <f ca="1">$E535*(SUMIF(INDIRECT(Y$3),'Struktur Vorjahr'!$D535,INDIRECT(Y$4))-SUMIF(INDIRECT(Y$3),'Struktur Vorjahr'!$D535,INDIRECT(Y$5)))</f>
        <v>0</v>
      </c>
      <c r="Z535" s="593">
        <f ca="1">$E535*(SUMIF(INDIRECT(Z$3),'Struktur Vorjahr'!$D535,INDIRECT(Z$4))-SUMIF(INDIRECT(Z$3),'Struktur Vorjahr'!$D535,INDIRECT(Z$5)))</f>
        <v>0</v>
      </c>
      <c r="AA535" s="593">
        <f ca="1">$E535*(SUMIF(INDIRECT(AA$3),'Struktur Vorjahr'!$D535,INDIRECT(AA$4))-SUMIF(INDIRECT(AA$3),'Struktur Vorjahr'!$D535,INDIRECT(AA$5)))</f>
        <v>0</v>
      </c>
      <c r="AB535" s="593">
        <f ca="1">$E535*(SUMIF(INDIRECT(AB$3),'Struktur Vorjahr'!$D535,INDIRECT(AB$4))-SUMIF(INDIRECT(AB$3),'Struktur Vorjahr'!$D535,INDIRECT(AB$5)))</f>
        <v>0</v>
      </c>
      <c r="AC535" s="593">
        <f ca="1">$E535*(SUMIF(INDIRECT(AC$3),'Struktur Vorjahr'!$D535,INDIRECT(AC$4))-SUMIF(INDIRECT(AC$3),'Struktur Vorjahr'!$D535,INDIRECT(AC$5)))</f>
        <v>0</v>
      </c>
      <c r="AD535" s="593">
        <f ca="1">$E535*(SUMIF(INDIRECT(AD$3),'Struktur Vorjahr'!$D535,INDIRECT(AD$4))-SUMIF(INDIRECT(AD$3),'Struktur Vorjahr'!$D535,INDIRECT(AD$5)))</f>
        <v>0</v>
      </c>
      <c r="AE535" s="593">
        <f t="shared" ca="1" si="269"/>
        <v>35000</v>
      </c>
      <c r="AF535" s="593">
        <f t="shared" ca="1" si="270"/>
        <v>35000</v>
      </c>
      <c r="AG535" s="593">
        <f t="shared" ca="1" si="270"/>
        <v>25000</v>
      </c>
      <c r="AH535" s="593">
        <f t="shared" ca="1" si="270"/>
        <v>-25000</v>
      </c>
      <c r="AI535" s="593">
        <f t="shared" ca="1" si="270"/>
        <v>-35000</v>
      </c>
      <c r="AJ535" s="593">
        <f t="shared" ca="1" si="270"/>
        <v>-50000</v>
      </c>
      <c r="AK535" s="593">
        <f t="shared" ca="1" si="270"/>
        <v>-65000</v>
      </c>
      <c r="AL535" s="593">
        <f t="shared" ca="1" si="270"/>
        <v>-65000</v>
      </c>
      <c r="AM535" s="593">
        <f t="shared" ca="1" si="270"/>
        <v>-65000</v>
      </c>
      <c r="AN535" s="593">
        <f t="shared" ca="1" si="270"/>
        <v>-65000</v>
      </c>
      <c r="AO535" s="593">
        <f t="shared" ca="1" si="270"/>
        <v>-65000</v>
      </c>
      <c r="AP535" s="593">
        <f t="shared" ca="1" si="270"/>
        <v>-65000</v>
      </c>
    </row>
    <row r="536" spans="1:42" s="594" customFormat="1" ht="11.25" x14ac:dyDescent="0.2">
      <c r="A536" s="644"/>
      <c r="B536" s="591" t="str">
        <f>IF(D536&lt;&gt;"",
IF(ISERROR(MATCH(D536,'Ist Vorjahr Monat 01'!A:A,0))=FALSE,INDEX('Ist Vorjahr Monat 01'!B:B,MATCH(D536,'Ist Vorjahr Monat 01'!A:A,0)),
IF(ISERROR(MATCH(D536,'Ist Vorjahr Monat 02'!A:A,0))=FALSE,INDEX('Ist Vorjahr Monat 02'!B:B,MATCH(D536,'Ist Vorjahr Monat 02'!A:A,0)),
IF(ISERROR(MATCH(D536,'Ist Vorjahr Monat 03'!A:A,0))=FALSE,INDEX('Ist Vorjahr Monat 03'!B:B,MATCH(D536,'Ist Vorjahr Monat 03'!A:A,0)),
IF(ISERROR(MATCH(D536,'Ist Vorjahr Monat 04'!A:A,0))=FALSE,INDEX('Ist Vorjahr Monat 04'!B:B,MATCH(D536,'Ist Vorjahr Monat 04'!A:A,0)),
IF(ISERROR(MATCH(D536,'Ist Vorjahr Monat 05'!A:A,0))=FALSE,INDEX('Ist Vorjahr Monat 05'!B:B,MATCH(D536,'Ist Vorjahr Monat 05'!A:A,0)),
IF(ISERROR(MATCH(D536,'Ist Vorjahr Monat 06'!A:A,0))=FALSE,INDEX('Ist Vorjahr Monat 06'!B:B,MATCH(D536,'Ist Vorjahr Monat 06'!A:A,0)),
IF(ISERROR(MATCH(D536,'Ist Vorjahr Monat 07'!A:A,0))=FALSE,INDEX('Ist Vorjahr Monat 07'!B:B,MATCH(D536,'Ist Vorjahr Monat 07'!A:A,0)),
IF(ISERROR(MATCH(D536,'Ist Vorjahr Monat 08'!A:A,0))=FALSE,INDEX('Ist Vorjahr Monat 08'!B:B,MATCH(D536,'Ist Vorjahr Monat 08'!A:A,0)),
IF(ISERROR(MATCH(D536,'Ist Vorjahr Monat 09'!A:A,0))=FALSE,INDEX('Ist Vorjahr Monat 09'!B:B,MATCH(D536,'Ist Vorjahr Monat 09'!A:A,0)),
IF(ISERROR(MATCH(D536,'Ist Vorjahr Monat 10'!A:A,0))=FALSE,INDEX('Ist Vorjahr Monat 10'!B:B,MATCH(D536,'Ist Vorjahr Monat 10'!A:A,0)),
IF(ISERROR(MATCH(D536,'Ist Vorjahr Monat 11'!A:A,0))=FALSE,INDEX('Ist Vorjahr Monat 11'!B:B,MATCH(D536,'Ist Vorjahr Monat 11'!A:A,0)),
IF(ISERROR(MATCH(D536,'Ist Vorjahr Monat 12'!A:A,0))=FALSE,INDEX('Ist Vorjahr Monat 12'!B:B,MATCH(D536,'Ist Vorjahr Monat 12'!A:A,0)),
"{Konto unbekannt}"
)))))))))))),"")</f>
        <v/>
      </c>
      <c r="C536" s="1062"/>
      <c r="D536" s="1067"/>
      <c r="E536" s="625">
        <f t="shared" si="266"/>
        <v>-1</v>
      </c>
      <c r="F536" s="626" t="s">
        <v>996</v>
      </c>
      <c r="G536" s="593">
        <f ca="1">$E536*(SUMIF(INDIRECT(G$3),'Struktur Vorjahr'!$D536,INDIRECT(G$4))-SUMIF(INDIRECT(G$3),'Struktur Vorjahr'!$D536,INDIRECT(G$5)))</f>
        <v>0</v>
      </c>
      <c r="H536" s="593">
        <f ca="1">$E536*(SUMIF(INDIRECT(H$3),'Struktur Vorjahr'!$D536,INDIRECT(H$4))-SUMIF(INDIRECT(H$3),'Struktur Vorjahr'!$D536,INDIRECT(H$5)))</f>
        <v>0</v>
      </c>
      <c r="I536" s="593">
        <f ca="1">$E536*(SUMIF(INDIRECT(I$3),'Struktur Vorjahr'!$D536,INDIRECT(I$4))-SUMIF(INDIRECT(I$3),'Struktur Vorjahr'!$D536,INDIRECT(I$5)))</f>
        <v>0</v>
      </c>
      <c r="J536" s="593">
        <f ca="1">$E536*(SUMIF(INDIRECT(J$3),'Struktur Vorjahr'!$D536,INDIRECT(J$4))-SUMIF(INDIRECT(J$3),'Struktur Vorjahr'!$D536,INDIRECT(J$5)))</f>
        <v>0</v>
      </c>
      <c r="K536" s="593">
        <f ca="1">$E536*(SUMIF(INDIRECT(K$3),'Struktur Vorjahr'!$D536,INDIRECT(K$4))-SUMIF(INDIRECT(K$3),'Struktur Vorjahr'!$D536,INDIRECT(K$5)))</f>
        <v>0</v>
      </c>
      <c r="L536" s="593">
        <f ca="1">$E536*(SUMIF(INDIRECT(L$3),'Struktur Vorjahr'!$D536,INDIRECT(L$4))-SUMIF(INDIRECT(L$3),'Struktur Vorjahr'!$D536,INDIRECT(L$5)))</f>
        <v>0</v>
      </c>
      <c r="M536" s="593">
        <f ca="1">$E536*(SUMIF(INDIRECT(M$3),'Struktur Vorjahr'!$D536,INDIRECT(M$4))-SUMIF(INDIRECT(M$3),'Struktur Vorjahr'!$D536,INDIRECT(M$5)))</f>
        <v>0</v>
      </c>
      <c r="N536" s="593">
        <f ca="1">$E536*(SUMIF(INDIRECT(N$3),'Struktur Vorjahr'!$D536,INDIRECT(N$4))-SUMIF(INDIRECT(N$3),'Struktur Vorjahr'!$D536,INDIRECT(N$5)))</f>
        <v>0</v>
      </c>
      <c r="O536" s="593">
        <f ca="1">$E536*(SUMIF(INDIRECT(O$3),'Struktur Vorjahr'!$D536,INDIRECT(O$4))-SUMIF(INDIRECT(O$3),'Struktur Vorjahr'!$D536,INDIRECT(O$5)))</f>
        <v>0</v>
      </c>
      <c r="P536" s="593">
        <f ca="1">$E536*(SUMIF(INDIRECT(P$3),'Struktur Vorjahr'!$D536,INDIRECT(P$4))-SUMIF(INDIRECT(P$3),'Struktur Vorjahr'!$D536,INDIRECT(P$5)))</f>
        <v>0</v>
      </c>
      <c r="Q536" s="593">
        <f ca="1">$E536*(SUMIF(INDIRECT(Q$3),'Struktur Vorjahr'!$D536,INDIRECT(Q$4))-SUMIF(INDIRECT(Q$3),'Struktur Vorjahr'!$D536,INDIRECT(Q$5)))</f>
        <v>0</v>
      </c>
      <c r="R536" s="593">
        <f ca="1">$E536*(SUMIF(INDIRECT(R$3),'Struktur Vorjahr'!$D536,INDIRECT(R$4))-SUMIF(INDIRECT(R$3),'Struktur Vorjahr'!$D536,INDIRECT(R$5)))</f>
        <v>0</v>
      </c>
      <c r="S536" s="593">
        <f ca="1">$E536*(SUMIF(INDIRECT(S$3),'Struktur Vorjahr'!$D536,INDIRECT(S$4))-SUMIF(INDIRECT(S$3),'Struktur Vorjahr'!$D536,INDIRECT(S$5)))</f>
        <v>0</v>
      </c>
      <c r="T536" s="593">
        <f ca="1">$E536*(SUMIF(INDIRECT(T$3),'Struktur Vorjahr'!$D536,INDIRECT(T$4))-SUMIF(INDIRECT(T$3),'Struktur Vorjahr'!$D536,INDIRECT(T$5)))</f>
        <v>0</v>
      </c>
      <c r="U536" s="593">
        <f ca="1">$E536*(SUMIF(INDIRECT(U$3),'Struktur Vorjahr'!$D536,INDIRECT(U$4))-SUMIF(INDIRECT(U$3),'Struktur Vorjahr'!$D536,INDIRECT(U$5)))</f>
        <v>0</v>
      </c>
      <c r="V536" s="593">
        <f ca="1">$E536*(SUMIF(INDIRECT(V$3),'Struktur Vorjahr'!$D536,INDIRECT(V$4))-SUMIF(INDIRECT(V$3),'Struktur Vorjahr'!$D536,INDIRECT(V$5)))</f>
        <v>0</v>
      </c>
      <c r="W536" s="593">
        <f ca="1">$E536*(SUMIF(INDIRECT(W$3),'Struktur Vorjahr'!$D536,INDIRECT(W$4))-SUMIF(INDIRECT(W$3),'Struktur Vorjahr'!$D536,INDIRECT(W$5)))</f>
        <v>0</v>
      </c>
      <c r="X536" s="593">
        <f ca="1">$E536*(SUMIF(INDIRECT(X$3),'Struktur Vorjahr'!$D536,INDIRECT(X$4))-SUMIF(INDIRECT(X$3),'Struktur Vorjahr'!$D536,INDIRECT(X$5)))</f>
        <v>0</v>
      </c>
      <c r="Y536" s="593">
        <f ca="1">$E536*(SUMIF(INDIRECT(Y$3),'Struktur Vorjahr'!$D536,INDIRECT(Y$4))-SUMIF(INDIRECT(Y$3),'Struktur Vorjahr'!$D536,INDIRECT(Y$5)))</f>
        <v>0</v>
      </c>
      <c r="Z536" s="593">
        <f ca="1">$E536*(SUMIF(INDIRECT(Z$3),'Struktur Vorjahr'!$D536,INDIRECT(Z$4))-SUMIF(INDIRECT(Z$3),'Struktur Vorjahr'!$D536,INDIRECT(Z$5)))</f>
        <v>0</v>
      </c>
      <c r="AA536" s="593">
        <f ca="1">$E536*(SUMIF(INDIRECT(AA$3),'Struktur Vorjahr'!$D536,INDIRECT(AA$4))-SUMIF(INDIRECT(AA$3),'Struktur Vorjahr'!$D536,INDIRECT(AA$5)))</f>
        <v>0</v>
      </c>
      <c r="AB536" s="593">
        <f ca="1">$E536*(SUMIF(INDIRECT(AB$3),'Struktur Vorjahr'!$D536,INDIRECT(AB$4))-SUMIF(INDIRECT(AB$3),'Struktur Vorjahr'!$D536,INDIRECT(AB$5)))</f>
        <v>0</v>
      </c>
      <c r="AC536" s="593">
        <f ca="1">$E536*(SUMIF(INDIRECT(AC$3),'Struktur Vorjahr'!$D536,INDIRECT(AC$4))-SUMIF(INDIRECT(AC$3),'Struktur Vorjahr'!$D536,INDIRECT(AC$5)))</f>
        <v>0</v>
      </c>
      <c r="AD536" s="593">
        <f ca="1">$E536*(SUMIF(INDIRECT(AD$3),'Struktur Vorjahr'!$D536,INDIRECT(AD$4))-SUMIF(INDIRECT(AD$3),'Struktur Vorjahr'!$D536,INDIRECT(AD$5)))</f>
        <v>0</v>
      </c>
      <c r="AE536" s="593">
        <f t="shared" ca="1" si="269"/>
        <v>0</v>
      </c>
      <c r="AF536" s="593">
        <f t="shared" ca="1" si="270"/>
        <v>0</v>
      </c>
      <c r="AG536" s="593">
        <f t="shared" ca="1" si="270"/>
        <v>0</v>
      </c>
      <c r="AH536" s="593">
        <f t="shared" ca="1" si="270"/>
        <v>0</v>
      </c>
      <c r="AI536" s="593">
        <f t="shared" ca="1" si="270"/>
        <v>0</v>
      </c>
      <c r="AJ536" s="593">
        <f t="shared" ca="1" si="270"/>
        <v>0</v>
      </c>
      <c r="AK536" s="593">
        <f t="shared" ca="1" si="270"/>
        <v>0</v>
      </c>
      <c r="AL536" s="593">
        <f t="shared" ca="1" si="270"/>
        <v>0</v>
      </c>
      <c r="AM536" s="593">
        <f t="shared" ca="1" si="270"/>
        <v>0</v>
      </c>
      <c r="AN536" s="593">
        <f t="shared" ca="1" si="270"/>
        <v>0</v>
      </c>
      <c r="AO536" s="593">
        <f t="shared" ca="1" si="270"/>
        <v>0</v>
      </c>
      <c r="AP536" s="593">
        <f t="shared" ca="1" si="270"/>
        <v>0</v>
      </c>
    </row>
    <row r="537" spans="1:42" s="594" customFormat="1" ht="11.25" outlineLevel="1" x14ac:dyDescent="0.2">
      <c r="A537" s="645"/>
      <c r="B537" s="591" t="str">
        <f>IF(D537&lt;&gt;"",
IF(ISERROR(MATCH(D537,'Ist Vorjahr Monat 01'!A:A,0))=FALSE,INDEX('Ist Vorjahr Monat 01'!B:B,MATCH(D537,'Ist Vorjahr Monat 01'!A:A,0)),
IF(ISERROR(MATCH(D537,'Ist Vorjahr Monat 02'!A:A,0))=FALSE,INDEX('Ist Vorjahr Monat 02'!B:B,MATCH(D537,'Ist Vorjahr Monat 02'!A:A,0)),
IF(ISERROR(MATCH(D537,'Ist Vorjahr Monat 03'!A:A,0))=FALSE,INDEX('Ist Vorjahr Monat 03'!B:B,MATCH(D537,'Ist Vorjahr Monat 03'!A:A,0)),
IF(ISERROR(MATCH(D537,'Ist Vorjahr Monat 04'!A:A,0))=FALSE,INDEX('Ist Vorjahr Monat 04'!B:B,MATCH(D537,'Ist Vorjahr Monat 04'!A:A,0)),
IF(ISERROR(MATCH(D537,'Ist Vorjahr Monat 05'!A:A,0))=FALSE,INDEX('Ist Vorjahr Monat 05'!B:B,MATCH(D537,'Ist Vorjahr Monat 05'!A:A,0)),
IF(ISERROR(MATCH(D537,'Ist Vorjahr Monat 06'!A:A,0))=FALSE,INDEX('Ist Vorjahr Monat 06'!B:B,MATCH(D537,'Ist Vorjahr Monat 06'!A:A,0)),
IF(ISERROR(MATCH(D537,'Ist Vorjahr Monat 07'!A:A,0))=FALSE,INDEX('Ist Vorjahr Monat 07'!B:B,MATCH(D537,'Ist Vorjahr Monat 07'!A:A,0)),
IF(ISERROR(MATCH(D537,'Ist Vorjahr Monat 08'!A:A,0))=FALSE,INDEX('Ist Vorjahr Monat 08'!B:B,MATCH(D537,'Ist Vorjahr Monat 08'!A:A,0)),
IF(ISERROR(MATCH(D537,'Ist Vorjahr Monat 09'!A:A,0))=FALSE,INDEX('Ist Vorjahr Monat 09'!B:B,MATCH(D537,'Ist Vorjahr Monat 09'!A:A,0)),
IF(ISERROR(MATCH(D537,'Ist Vorjahr Monat 10'!A:A,0))=FALSE,INDEX('Ist Vorjahr Monat 10'!B:B,MATCH(D537,'Ist Vorjahr Monat 10'!A:A,0)),
IF(ISERROR(MATCH(D537,'Ist Vorjahr Monat 11'!A:A,0))=FALSE,INDEX('Ist Vorjahr Monat 11'!B:B,MATCH(D537,'Ist Vorjahr Monat 11'!A:A,0)),
IF(ISERROR(MATCH(D537,'Ist Vorjahr Monat 12'!A:A,0))=FALSE,INDEX('Ist Vorjahr Monat 12'!B:B,MATCH(D537,'Ist Vorjahr Monat 12'!A:A,0)),
"{Konto unbekannt}"
)))))))))))),"")</f>
        <v/>
      </c>
      <c r="C537" s="1062"/>
      <c r="D537" s="1067"/>
      <c r="E537" s="630">
        <f t="shared" si="266"/>
        <v>-1</v>
      </c>
      <c r="F537" s="631" t="s">
        <v>996</v>
      </c>
      <c r="G537" s="632">
        <f ca="1">$E537*(SUMIF(INDIRECT(G$3),'Struktur Vorjahr'!$D537,INDIRECT(G$4))-SUMIF(INDIRECT(G$3),'Struktur Vorjahr'!$D537,INDIRECT(G$5)))</f>
        <v>0</v>
      </c>
      <c r="H537" s="632">
        <f ca="1">$E537*(SUMIF(INDIRECT(H$3),'Struktur Vorjahr'!$D537,INDIRECT(H$4))-SUMIF(INDIRECT(H$3),'Struktur Vorjahr'!$D537,INDIRECT(H$5)))</f>
        <v>0</v>
      </c>
      <c r="I537" s="632">
        <f ca="1">$E537*(SUMIF(INDIRECT(I$3),'Struktur Vorjahr'!$D537,INDIRECT(I$4))-SUMIF(INDIRECT(I$3),'Struktur Vorjahr'!$D537,INDIRECT(I$5)))</f>
        <v>0</v>
      </c>
      <c r="J537" s="632">
        <f ca="1">$E537*(SUMIF(INDIRECT(J$3),'Struktur Vorjahr'!$D537,INDIRECT(J$4))-SUMIF(INDIRECT(J$3),'Struktur Vorjahr'!$D537,INDIRECT(J$5)))</f>
        <v>0</v>
      </c>
      <c r="K537" s="632">
        <f ca="1">$E537*(SUMIF(INDIRECT(K$3),'Struktur Vorjahr'!$D537,INDIRECT(K$4))-SUMIF(INDIRECT(K$3),'Struktur Vorjahr'!$D537,INDIRECT(K$5)))</f>
        <v>0</v>
      </c>
      <c r="L537" s="632">
        <f ca="1">$E537*(SUMIF(INDIRECT(L$3),'Struktur Vorjahr'!$D537,INDIRECT(L$4))-SUMIF(INDIRECT(L$3),'Struktur Vorjahr'!$D537,INDIRECT(L$5)))</f>
        <v>0</v>
      </c>
      <c r="M537" s="632">
        <f ca="1">$E537*(SUMIF(INDIRECT(M$3),'Struktur Vorjahr'!$D537,INDIRECT(M$4))-SUMIF(INDIRECT(M$3),'Struktur Vorjahr'!$D537,INDIRECT(M$5)))</f>
        <v>0</v>
      </c>
      <c r="N537" s="632">
        <f ca="1">$E537*(SUMIF(INDIRECT(N$3),'Struktur Vorjahr'!$D537,INDIRECT(N$4))-SUMIF(INDIRECT(N$3),'Struktur Vorjahr'!$D537,INDIRECT(N$5)))</f>
        <v>0</v>
      </c>
      <c r="O537" s="632">
        <f ca="1">$E537*(SUMIF(INDIRECT(O$3),'Struktur Vorjahr'!$D537,INDIRECT(O$4))-SUMIF(INDIRECT(O$3),'Struktur Vorjahr'!$D537,INDIRECT(O$5)))</f>
        <v>0</v>
      </c>
      <c r="P537" s="632">
        <f ca="1">$E537*(SUMIF(INDIRECT(P$3),'Struktur Vorjahr'!$D537,INDIRECT(P$4))-SUMIF(INDIRECT(P$3),'Struktur Vorjahr'!$D537,INDIRECT(P$5)))</f>
        <v>0</v>
      </c>
      <c r="Q537" s="632">
        <f ca="1">$E537*(SUMIF(INDIRECT(Q$3),'Struktur Vorjahr'!$D537,INDIRECT(Q$4))-SUMIF(INDIRECT(Q$3),'Struktur Vorjahr'!$D537,INDIRECT(Q$5)))</f>
        <v>0</v>
      </c>
      <c r="R537" s="632">
        <f ca="1">$E537*(SUMIF(INDIRECT(R$3),'Struktur Vorjahr'!$D537,INDIRECT(R$4))-SUMIF(INDIRECT(R$3),'Struktur Vorjahr'!$D537,INDIRECT(R$5)))</f>
        <v>0</v>
      </c>
      <c r="S537" s="632">
        <f ca="1">$E537*(SUMIF(INDIRECT(S$3),'Struktur Vorjahr'!$D537,INDIRECT(S$4))-SUMIF(INDIRECT(S$3),'Struktur Vorjahr'!$D537,INDIRECT(S$5)))</f>
        <v>0</v>
      </c>
      <c r="T537" s="632">
        <f ca="1">$E537*(SUMIF(INDIRECT(T$3),'Struktur Vorjahr'!$D537,INDIRECT(T$4))-SUMIF(INDIRECT(T$3),'Struktur Vorjahr'!$D537,INDIRECT(T$5)))</f>
        <v>0</v>
      </c>
      <c r="U537" s="632">
        <f ca="1">$E537*(SUMIF(INDIRECT(U$3),'Struktur Vorjahr'!$D537,INDIRECT(U$4))-SUMIF(INDIRECT(U$3),'Struktur Vorjahr'!$D537,INDIRECT(U$5)))</f>
        <v>0</v>
      </c>
      <c r="V537" s="632">
        <f ca="1">$E537*(SUMIF(INDIRECT(V$3),'Struktur Vorjahr'!$D537,INDIRECT(V$4))-SUMIF(INDIRECT(V$3),'Struktur Vorjahr'!$D537,INDIRECT(V$5)))</f>
        <v>0</v>
      </c>
      <c r="W537" s="632">
        <f ca="1">$E537*(SUMIF(INDIRECT(W$3),'Struktur Vorjahr'!$D537,INDIRECT(W$4))-SUMIF(INDIRECT(W$3),'Struktur Vorjahr'!$D537,INDIRECT(W$5)))</f>
        <v>0</v>
      </c>
      <c r="X537" s="632">
        <f ca="1">$E537*(SUMIF(INDIRECT(X$3),'Struktur Vorjahr'!$D537,INDIRECT(X$4))-SUMIF(INDIRECT(X$3),'Struktur Vorjahr'!$D537,INDIRECT(X$5)))</f>
        <v>0</v>
      </c>
      <c r="Y537" s="632">
        <f ca="1">$E537*(SUMIF(INDIRECT(Y$3),'Struktur Vorjahr'!$D537,INDIRECT(Y$4))-SUMIF(INDIRECT(Y$3),'Struktur Vorjahr'!$D537,INDIRECT(Y$5)))</f>
        <v>0</v>
      </c>
      <c r="Z537" s="632">
        <f ca="1">$E537*(SUMIF(INDIRECT(Z$3),'Struktur Vorjahr'!$D537,INDIRECT(Z$4))-SUMIF(INDIRECT(Z$3),'Struktur Vorjahr'!$D537,INDIRECT(Z$5)))</f>
        <v>0</v>
      </c>
      <c r="AA537" s="632">
        <f ca="1">$E537*(SUMIF(INDIRECT(AA$3),'Struktur Vorjahr'!$D537,INDIRECT(AA$4))-SUMIF(INDIRECT(AA$3),'Struktur Vorjahr'!$D537,INDIRECT(AA$5)))</f>
        <v>0</v>
      </c>
      <c r="AB537" s="632">
        <f ca="1">$E537*(SUMIF(INDIRECT(AB$3),'Struktur Vorjahr'!$D537,INDIRECT(AB$4))-SUMIF(INDIRECT(AB$3),'Struktur Vorjahr'!$D537,INDIRECT(AB$5)))</f>
        <v>0</v>
      </c>
      <c r="AC537" s="632">
        <f ca="1">$E537*(SUMIF(INDIRECT(AC$3),'Struktur Vorjahr'!$D537,INDIRECT(AC$4))-SUMIF(INDIRECT(AC$3),'Struktur Vorjahr'!$D537,INDIRECT(AC$5)))</f>
        <v>0</v>
      </c>
      <c r="AD537" s="632">
        <f ca="1">$E537*(SUMIF(INDIRECT(AD$3),'Struktur Vorjahr'!$D537,INDIRECT(AD$4))-SUMIF(INDIRECT(AD$3),'Struktur Vorjahr'!$D537,INDIRECT(AD$5)))</f>
        <v>0</v>
      </c>
      <c r="AE537" s="593">
        <f t="shared" ca="1" si="269"/>
        <v>0</v>
      </c>
      <c r="AF537" s="593">
        <f t="shared" ca="1" si="270"/>
        <v>0</v>
      </c>
      <c r="AG537" s="593">
        <f t="shared" ca="1" si="270"/>
        <v>0</v>
      </c>
      <c r="AH537" s="593">
        <f t="shared" ca="1" si="270"/>
        <v>0</v>
      </c>
      <c r="AI537" s="593">
        <f t="shared" ca="1" si="270"/>
        <v>0</v>
      </c>
      <c r="AJ537" s="593">
        <f t="shared" ca="1" si="270"/>
        <v>0</v>
      </c>
      <c r="AK537" s="593">
        <f t="shared" ca="1" si="270"/>
        <v>0</v>
      </c>
      <c r="AL537" s="593">
        <f t="shared" ca="1" si="270"/>
        <v>0</v>
      </c>
      <c r="AM537" s="593">
        <f t="shared" ca="1" si="270"/>
        <v>0</v>
      </c>
      <c r="AN537" s="593">
        <f t="shared" ca="1" si="270"/>
        <v>0</v>
      </c>
      <c r="AO537" s="593">
        <f t="shared" ca="1" si="270"/>
        <v>0</v>
      </c>
      <c r="AP537" s="593">
        <f t="shared" ca="1" si="270"/>
        <v>0</v>
      </c>
    </row>
    <row r="538" spans="1:42" outlineLevel="1" x14ac:dyDescent="0.2">
      <c r="A538" s="641"/>
      <c r="B538" s="639" t="s">
        <v>1032</v>
      </c>
      <c r="C538" s="639"/>
      <c r="D538" s="641"/>
      <c r="E538" s="640"/>
      <c r="F538" s="641"/>
      <c r="G538" s="643">
        <f ca="1">G527-G531</f>
        <v>232.45999999999185</v>
      </c>
      <c r="H538" s="643">
        <f ca="1">H527-H531</f>
        <v>232.52000000000226</v>
      </c>
      <c r="I538" s="643">
        <f t="shared" ref="I538:R538" ca="1" si="271">I527-I531</f>
        <v>400.51000000000113</v>
      </c>
      <c r="J538" s="643">
        <f t="shared" ca="1" si="271"/>
        <v>346.13999999999578</v>
      </c>
      <c r="K538" s="643">
        <f ca="1">K527-K531</f>
        <v>740.75</v>
      </c>
      <c r="L538" s="643">
        <f t="shared" ca="1" si="271"/>
        <v>651.68000000000029</v>
      </c>
      <c r="M538" s="643">
        <f t="shared" ca="1" si="271"/>
        <v>687.79000000000269</v>
      </c>
      <c r="N538" s="643">
        <f t="shared" ca="1" si="271"/>
        <v>324.78000000000611</v>
      </c>
      <c r="O538" s="643">
        <f t="shared" ca="1" si="271"/>
        <v>272.60000000000218</v>
      </c>
      <c r="P538" s="643">
        <f t="shared" ca="1" si="271"/>
        <v>272.66000000000167</v>
      </c>
      <c r="Q538" s="643">
        <f t="shared" ca="1" si="271"/>
        <v>0</v>
      </c>
      <c r="R538" s="643">
        <f t="shared" ca="1" si="271"/>
        <v>0</v>
      </c>
      <c r="S538" s="643">
        <f ca="1">S527-S531</f>
        <v>-165334.13</v>
      </c>
      <c r="T538" s="643">
        <f ca="1">T527-T531</f>
        <v>-165101.61000000002</v>
      </c>
      <c r="U538" s="643">
        <f t="shared" ref="U538:V538" ca="1" si="272">U527-U531</f>
        <v>-164701.1</v>
      </c>
      <c r="V538" s="643">
        <f t="shared" ca="1" si="272"/>
        <v>-164354.96000000002</v>
      </c>
      <c r="W538" s="643">
        <f ca="1">W527-W531</f>
        <v>-163614.21000000002</v>
      </c>
      <c r="X538" s="643">
        <f t="shared" ref="X538:AD538" ca="1" si="273">X527-X531</f>
        <v>-162962.53</v>
      </c>
      <c r="Y538" s="643">
        <f t="shared" ca="1" si="273"/>
        <v>-162274.74</v>
      </c>
      <c r="Z538" s="643">
        <f t="shared" ca="1" si="273"/>
        <v>-161949.96000000002</v>
      </c>
      <c r="AA538" s="643">
        <f t="shared" ca="1" si="273"/>
        <v>-161677.36000000002</v>
      </c>
      <c r="AB538" s="643">
        <f t="shared" ca="1" si="273"/>
        <v>-161404.70000000001</v>
      </c>
      <c r="AC538" s="643">
        <f t="shared" ca="1" si="273"/>
        <v>0</v>
      </c>
      <c r="AD538" s="643">
        <f t="shared" ca="1" si="273"/>
        <v>0</v>
      </c>
      <c r="AE538" s="643">
        <f ca="1">AE527-AE531</f>
        <v>232.45999999999185</v>
      </c>
      <c r="AF538" s="643">
        <f ca="1">AF527-AF531</f>
        <v>464.97999999998865</v>
      </c>
      <c r="AG538" s="643">
        <f t="shared" ref="AG538:AH538" ca="1" si="274">AG527-AG531</f>
        <v>865.48999999998341</v>
      </c>
      <c r="AH538" s="643">
        <f t="shared" ca="1" si="274"/>
        <v>1211.6299999999992</v>
      </c>
      <c r="AI538" s="643">
        <f ca="1">AI527-AI531</f>
        <v>1952.3799999999828</v>
      </c>
      <c r="AJ538" s="643">
        <f t="shared" ref="AJ538:AP538" ca="1" si="275">AJ527-AJ531</f>
        <v>2604.0600000000049</v>
      </c>
      <c r="AK538" s="643">
        <f t="shared" ca="1" si="275"/>
        <v>3291.8499999999985</v>
      </c>
      <c r="AL538" s="643">
        <f t="shared" ca="1" si="275"/>
        <v>3616.6299999999974</v>
      </c>
      <c r="AM538" s="643">
        <f t="shared" ca="1" si="275"/>
        <v>3889.2299999999959</v>
      </c>
      <c r="AN538" s="643">
        <f t="shared" ca="1" si="275"/>
        <v>4161.8900000000431</v>
      </c>
      <c r="AO538" s="643">
        <f t="shared" ca="1" si="275"/>
        <v>4161.8900000000431</v>
      </c>
      <c r="AP538" s="643">
        <f t="shared" ca="1" si="275"/>
        <v>4161.8900000000431</v>
      </c>
    </row>
    <row r="539" spans="1:42" outlineLevel="1" x14ac:dyDescent="0.2">
      <c r="D539" s="611"/>
    </row>
    <row r="540" spans="1:42" x14ac:dyDescent="0.2">
      <c r="B540" s="616" t="s">
        <v>1033</v>
      </c>
      <c r="C540" s="616"/>
      <c r="D540" s="618"/>
    </row>
    <row r="541" spans="1:42" outlineLevel="1" x14ac:dyDescent="0.2">
      <c r="D541" s="611"/>
    </row>
    <row r="542" spans="1:42" s="589" customFormat="1" outlineLevel="1" x14ac:dyDescent="0.2">
      <c r="A542" s="629">
        <v>48</v>
      </c>
      <c r="B542" s="623" t="s">
        <v>322</v>
      </c>
      <c r="C542" s="627">
        <f ca="1">SUM(G542:R542)</f>
        <v>0</v>
      </c>
      <c r="D542" s="627"/>
      <c r="E542" s="628">
        <f t="shared" si="237"/>
        <v>1</v>
      </c>
      <c r="F542" s="628"/>
      <c r="G542" s="627">
        <f t="shared" ref="G542:AP542" ca="1" si="276">SUM(G543:G552)</f>
        <v>0</v>
      </c>
      <c r="H542" s="627">
        <f t="shared" ca="1" si="276"/>
        <v>0</v>
      </c>
      <c r="I542" s="627">
        <f t="shared" ca="1" si="276"/>
        <v>0</v>
      </c>
      <c r="J542" s="627">
        <f t="shared" ca="1" si="276"/>
        <v>0</v>
      </c>
      <c r="K542" s="627">
        <f t="shared" ca="1" si="276"/>
        <v>0</v>
      </c>
      <c r="L542" s="627">
        <f t="shared" ca="1" si="276"/>
        <v>0</v>
      </c>
      <c r="M542" s="627">
        <f t="shared" ca="1" si="276"/>
        <v>0</v>
      </c>
      <c r="N542" s="627">
        <f t="shared" ca="1" si="276"/>
        <v>0</v>
      </c>
      <c r="O542" s="627">
        <f t="shared" ca="1" si="276"/>
        <v>0</v>
      </c>
      <c r="P542" s="627">
        <f t="shared" ca="1" si="276"/>
        <v>0</v>
      </c>
      <c r="Q542" s="627">
        <f t="shared" ca="1" si="276"/>
        <v>0</v>
      </c>
      <c r="R542" s="627">
        <f t="shared" ca="1" si="276"/>
        <v>0</v>
      </c>
      <c r="S542" s="627" t="e">
        <f t="shared" ca="1" si="276"/>
        <v>#REF!</v>
      </c>
      <c r="T542" s="627" t="e">
        <f t="shared" ca="1" si="276"/>
        <v>#REF!</v>
      </c>
      <c r="U542" s="627" t="e">
        <f t="shared" ca="1" si="276"/>
        <v>#REF!</v>
      </c>
      <c r="V542" s="627" t="e">
        <f t="shared" ca="1" si="276"/>
        <v>#REF!</v>
      </c>
      <c r="W542" s="627" t="e">
        <f t="shared" ca="1" si="276"/>
        <v>#REF!</v>
      </c>
      <c r="X542" s="627" t="e">
        <f t="shared" ca="1" si="276"/>
        <v>#REF!</v>
      </c>
      <c r="Y542" s="627" t="e">
        <f t="shared" ca="1" si="276"/>
        <v>#REF!</v>
      </c>
      <c r="Z542" s="627" t="e">
        <f t="shared" ca="1" si="276"/>
        <v>#REF!</v>
      </c>
      <c r="AA542" s="627" t="e">
        <f t="shared" ca="1" si="276"/>
        <v>#REF!</v>
      </c>
      <c r="AB542" s="627" t="e">
        <f t="shared" ca="1" si="276"/>
        <v>#REF!</v>
      </c>
      <c r="AC542" s="627" t="e">
        <f t="shared" ca="1" si="276"/>
        <v>#REF!</v>
      </c>
      <c r="AD542" s="627" t="e">
        <f t="shared" ca="1" si="276"/>
        <v>#REF!</v>
      </c>
      <c r="AE542" s="627">
        <f t="shared" ca="1" si="276"/>
        <v>0</v>
      </c>
      <c r="AF542" s="627">
        <f t="shared" ca="1" si="276"/>
        <v>0</v>
      </c>
      <c r="AG542" s="627">
        <f t="shared" ca="1" si="276"/>
        <v>0</v>
      </c>
      <c r="AH542" s="627">
        <f t="shared" ca="1" si="276"/>
        <v>0</v>
      </c>
      <c r="AI542" s="627">
        <f t="shared" ca="1" si="276"/>
        <v>0</v>
      </c>
      <c r="AJ542" s="627">
        <f t="shared" ca="1" si="276"/>
        <v>0</v>
      </c>
      <c r="AK542" s="627">
        <f t="shared" ca="1" si="276"/>
        <v>0</v>
      </c>
      <c r="AL542" s="627">
        <f t="shared" ca="1" si="276"/>
        <v>0</v>
      </c>
      <c r="AM542" s="627">
        <f t="shared" ca="1" si="276"/>
        <v>0</v>
      </c>
      <c r="AN542" s="627">
        <f t="shared" ca="1" si="276"/>
        <v>0</v>
      </c>
      <c r="AO542" s="627">
        <f t="shared" ca="1" si="276"/>
        <v>0</v>
      </c>
      <c r="AP542" s="627">
        <f t="shared" ca="1" si="276"/>
        <v>0</v>
      </c>
    </row>
    <row r="543" spans="1:42" s="594" customFormat="1" ht="11.25" outlineLevel="1" x14ac:dyDescent="0.2">
      <c r="A543" s="644"/>
      <c r="B543" s="591" t="str">
        <f>IF(D543&lt;&gt;"",
IF(ISERROR(MATCH(D543,'Ist Vorjahr Monat 01'!A:A,0))=FALSE,INDEX('Ist Vorjahr Monat 01'!B:B,MATCH(D543,'Ist Vorjahr Monat 01'!A:A,0)),
IF(ISERROR(MATCH(D543,'Ist Vorjahr Monat 02'!A:A,0))=FALSE,INDEX('Ist Vorjahr Monat 02'!B:B,MATCH(D543,'Ist Vorjahr Monat 02'!A:A,0)),
IF(ISERROR(MATCH(D543,'Ist Vorjahr Monat 03'!A:A,0))=FALSE,INDEX('Ist Vorjahr Monat 03'!B:B,MATCH(D543,'Ist Vorjahr Monat 03'!A:A,0)),
IF(ISERROR(MATCH(D543,'Ist Vorjahr Monat 04'!A:A,0))=FALSE,INDEX('Ist Vorjahr Monat 04'!B:B,MATCH(D543,'Ist Vorjahr Monat 04'!A:A,0)),
IF(ISERROR(MATCH(D543,'Ist Vorjahr Monat 05'!A:A,0))=FALSE,INDEX('Ist Vorjahr Monat 05'!B:B,MATCH(D543,'Ist Vorjahr Monat 05'!A:A,0)),
IF(ISERROR(MATCH(D543,'Ist Vorjahr Monat 06'!A:A,0))=FALSE,INDEX('Ist Vorjahr Monat 06'!B:B,MATCH(D543,'Ist Vorjahr Monat 06'!A:A,0)),
IF(ISERROR(MATCH(D543,'Ist Vorjahr Monat 07'!A:A,0))=FALSE,INDEX('Ist Vorjahr Monat 07'!B:B,MATCH(D543,'Ist Vorjahr Monat 07'!A:A,0)),
IF(ISERROR(MATCH(D543,'Ist Vorjahr Monat 08'!A:A,0))=FALSE,INDEX('Ist Vorjahr Monat 08'!B:B,MATCH(D543,'Ist Vorjahr Monat 08'!A:A,0)),
IF(ISERROR(MATCH(D543,'Ist Vorjahr Monat 09'!A:A,0))=FALSE,INDEX('Ist Vorjahr Monat 09'!B:B,MATCH(D543,'Ist Vorjahr Monat 09'!A:A,0)),
IF(ISERROR(MATCH(D543,'Ist Vorjahr Monat 10'!A:A,0))=FALSE,INDEX('Ist Vorjahr Monat 10'!B:B,MATCH(D543,'Ist Vorjahr Monat 10'!A:A,0)),
IF(ISERROR(MATCH(D543,'Ist Vorjahr Monat 11'!A:A,0))=FALSE,INDEX('Ist Vorjahr Monat 11'!B:B,MATCH(D543,'Ist Vorjahr Monat 11'!A:A,0)),
IF(ISERROR(MATCH(D543,'Ist Vorjahr Monat 12'!A:A,0))=FALSE,INDEX('Ist Vorjahr Monat 12'!B:B,MATCH(D543,'Ist Vorjahr Monat 12'!A:A,0)),
"{Konto unbekannt}"
)))))))))))),"")</f>
        <v>Kasse</v>
      </c>
      <c r="C543" s="1062"/>
      <c r="D543" s="1067">
        <v>1000</v>
      </c>
      <c r="E543" s="625">
        <f t="shared" si="237"/>
        <v>1</v>
      </c>
      <c r="F543" s="626"/>
      <c r="G543" s="593">
        <f ca="1">$E543*SUMIF(INDIRECT(G$3),'Struktur Vorjahr'!$D543,INDIRECT(G$8))*IFERROR(IF(VLOOKUP('Struktur Vorjahr'!$D543,INDIRECT(G$6),8,)="H",-1,1),0)</f>
        <v>0</v>
      </c>
      <c r="H543" s="593">
        <f ca="1">$E543*SUMIF(INDIRECT(H$3),'Struktur Vorjahr'!$D543,INDIRECT(H$8))*IFERROR(IF(VLOOKUP('Struktur Vorjahr'!$D543,INDIRECT(H$6),8,)="H",-1,1),0)</f>
        <v>0</v>
      </c>
      <c r="I543" s="593">
        <f ca="1">$E543*SUMIF(INDIRECT(I$3),'Struktur Vorjahr'!$D543,INDIRECT(I$8))*IFERROR(IF(VLOOKUP('Struktur Vorjahr'!$D543,INDIRECT(I$6),8,)="H",-1,1),0)</f>
        <v>0</v>
      </c>
      <c r="J543" s="593">
        <f ca="1">$E543*SUMIF(INDIRECT(J$3),'Struktur Vorjahr'!$D543,INDIRECT(J$8))*IFERROR(IF(VLOOKUP('Struktur Vorjahr'!$D543,INDIRECT(J$6),8,)="H",-1,1),0)</f>
        <v>0</v>
      </c>
      <c r="K543" s="593">
        <f ca="1">$E543*SUMIF(INDIRECT(K$3),'Struktur Vorjahr'!$D543,INDIRECT(K$8))*IFERROR(IF(VLOOKUP('Struktur Vorjahr'!$D543,INDIRECT(K$6),8,)="H",-1,1),0)</f>
        <v>0</v>
      </c>
      <c r="L543" s="593">
        <f ca="1">$E543*SUMIF(INDIRECT(L$3),'Struktur Vorjahr'!$D543,INDIRECT(L$8))*IFERROR(IF(VLOOKUP('Struktur Vorjahr'!$D543,INDIRECT(L$6),8,)="H",-1,1),0)</f>
        <v>0</v>
      </c>
      <c r="M543" s="593">
        <f ca="1">$E543*SUMIF(INDIRECT(M$3),'Struktur Vorjahr'!$D543,INDIRECT(M$8))*IFERROR(IF(VLOOKUP('Struktur Vorjahr'!$D543,INDIRECT(M$6),8,)="H",-1,1),0)</f>
        <v>0</v>
      </c>
      <c r="N543" s="593">
        <f ca="1">$E543*SUMIF(INDIRECT(N$3),'Struktur Vorjahr'!$D543,INDIRECT(N$8))*IFERROR(IF(VLOOKUP('Struktur Vorjahr'!$D543,INDIRECT(N$6),8,)="H",-1,1),0)</f>
        <v>0</v>
      </c>
      <c r="O543" s="593">
        <f ca="1">$E543*SUMIF(INDIRECT(O$3),'Struktur Vorjahr'!$D543,INDIRECT(O$8))*IFERROR(IF(VLOOKUP('Struktur Vorjahr'!$D543,INDIRECT(O$6),8,)="H",-1,1),0)</f>
        <v>0</v>
      </c>
      <c r="P543" s="593">
        <f ca="1">$E543*SUMIF(INDIRECT(P$3),'Struktur Vorjahr'!$D543,INDIRECT(P$8))*IFERROR(IF(VLOOKUP('Struktur Vorjahr'!$D543,INDIRECT(P$6),8,)="H",-1,1),0)</f>
        <v>0</v>
      </c>
      <c r="Q543" s="593">
        <f ca="1">$E543*SUMIF(INDIRECT(Q$3),'Struktur Vorjahr'!$D543,INDIRECT(Q$8))*IFERROR(IF(VLOOKUP('Struktur Vorjahr'!$D543,INDIRECT(Q$6),8,)="H",-1,1),0)</f>
        <v>0</v>
      </c>
      <c r="R543" s="593">
        <f ca="1">$E543*SUMIF(INDIRECT(R$3),'Struktur Vorjahr'!$D543,INDIRECT(R$8))*IFERROR(IF(VLOOKUP('Struktur Vorjahr'!$D543,INDIRECT(R$6),8,)="H",-1,1),0)</f>
        <v>0</v>
      </c>
      <c r="S543" s="593" t="e">
        <f ca="1">$E543*SUMIF(INDIRECT(S$3),'Struktur Vorjahr'!$D543,INDIRECT(S$8))*IFERROR(IF(VLOOKUP('Struktur Vorjahr'!$D543,INDIRECT(S$6),8,)="H",-1,1),0)</f>
        <v>#REF!</v>
      </c>
      <c r="T543" s="593" t="e">
        <f ca="1">$E543*SUMIF(INDIRECT(T$3),'Struktur Vorjahr'!$D543,INDIRECT(T$8))*IFERROR(IF(VLOOKUP('Struktur Vorjahr'!$D543,INDIRECT(T$6),8,)="H",-1,1),0)</f>
        <v>#REF!</v>
      </c>
      <c r="U543" s="593" t="e">
        <f ca="1">$E543*SUMIF(INDIRECT(U$3),'Struktur Vorjahr'!$D543,INDIRECT(U$8))*IFERROR(IF(VLOOKUP('Struktur Vorjahr'!$D543,INDIRECT(U$6),8,)="H",-1,1),0)</f>
        <v>#REF!</v>
      </c>
      <c r="V543" s="593" t="e">
        <f ca="1">$E543*SUMIF(INDIRECT(V$3),'Struktur Vorjahr'!$D543,INDIRECT(V$8))*IFERROR(IF(VLOOKUP('Struktur Vorjahr'!$D543,INDIRECT(V$6),8,)="H",-1,1),0)</f>
        <v>#REF!</v>
      </c>
      <c r="W543" s="593" t="e">
        <f ca="1">$E543*SUMIF(INDIRECT(W$3),'Struktur Vorjahr'!$D543,INDIRECT(W$8))*IFERROR(IF(VLOOKUP('Struktur Vorjahr'!$D543,INDIRECT(W$6),8,)="H",-1,1),0)</f>
        <v>#REF!</v>
      </c>
      <c r="X543" s="593" t="e">
        <f ca="1">$E543*SUMIF(INDIRECT(X$3),'Struktur Vorjahr'!$D543,INDIRECT(X$8))*IFERROR(IF(VLOOKUP('Struktur Vorjahr'!$D543,INDIRECT(X$6),8,)="H",-1,1),0)</f>
        <v>#REF!</v>
      </c>
      <c r="Y543" s="593" t="e">
        <f ca="1">$E543*SUMIF(INDIRECT(Y$3),'Struktur Vorjahr'!$D543,INDIRECT(Y$8))*IFERROR(IF(VLOOKUP('Struktur Vorjahr'!$D543,INDIRECT(Y$6),8,)="H",-1,1),0)</f>
        <v>#REF!</v>
      </c>
      <c r="Z543" s="593" t="e">
        <f ca="1">$E543*SUMIF(INDIRECT(Z$3),'Struktur Vorjahr'!$D543,INDIRECT(Z$8))*IFERROR(IF(VLOOKUP('Struktur Vorjahr'!$D543,INDIRECT(Z$6),8,)="H",-1,1),0)</f>
        <v>#REF!</v>
      </c>
      <c r="AA543" s="593" t="e">
        <f ca="1">$E543*SUMIF(INDIRECT(AA$3),'Struktur Vorjahr'!$D543,INDIRECT(AA$8))*IFERROR(IF(VLOOKUP('Struktur Vorjahr'!$D543,INDIRECT(AA$6),8,)="H",-1,1),0)</f>
        <v>#REF!</v>
      </c>
      <c r="AB543" s="593" t="e">
        <f ca="1">$E543*SUMIF(INDIRECT(AB$3),'Struktur Vorjahr'!$D543,INDIRECT(AB$8))*IFERROR(IF(VLOOKUP('Struktur Vorjahr'!$D543,INDIRECT(AB$6),8,)="H",-1,1),0)</f>
        <v>#REF!</v>
      </c>
      <c r="AC543" s="593" t="e">
        <f ca="1">$E543*SUMIF(INDIRECT(AC$3),'Struktur Vorjahr'!$D543,INDIRECT(AC$8))*IFERROR(IF(VLOOKUP('Struktur Vorjahr'!$D543,INDIRECT(AC$6),8,)="H",-1,1),0)</f>
        <v>#REF!</v>
      </c>
      <c r="AD543" s="593" t="e">
        <f ca="1">$E543*SUMIF(INDIRECT(AD$3),'Struktur Vorjahr'!$D543,INDIRECT(AD$8))*IFERROR(IF(VLOOKUP('Struktur Vorjahr'!$D543,INDIRECT(AD$6),8,)="H",-1,1),0)</f>
        <v>#REF!</v>
      </c>
      <c r="AE543" s="593">
        <f t="shared" ref="AE543:AE552" ca="1" si="277">G543</f>
        <v>0</v>
      </c>
      <c r="AF543" s="593">
        <f t="shared" ref="AF543:AP552" ca="1" si="278">H543+AE543</f>
        <v>0</v>
      </c>
      <c r="AG543" s="593">
        <f t="shared" ca="1" si="278"/>
        <v>0</v>
      </c>
      <c r="AH543" s="593">
        <f t="shared" ca="1" si="278"/>
        <v>0</v>
      </c>
      <c r="AI543" s="593">
        <f t="shared" ca="1" si="278"/>
        <v>0</v>
      </c>
      <c r="AJ543" s="593">
        <f t="shared" ca="1" si="278"/>
        <v>0</v>
      </c>
      <c r="AK543" s="593">
        <f t="shared" ca="1" si="278"/>
        <v>0</v>
      </c>
      <c r="AL543" s="593">
        <f t="shared" ca="1" si="278"/>
        <v>0</v>
      </c>
      <c r="AM543" s="593">
        <f t="shared" ca="1" si="278"/>
        <v>0</v>
      </c>
      <c r="AN543" s="593">
        <f t="shared" ca="1" si="278"/>
        <v>0</v>
      </c>
      <c r="AO543" s="593">
        <f t="shared" ca="1" si="278"/>
        <v>0</v>
      </c>
      <c r="AP543" s="593">
        <f t="shared" ca="1" si="278"/>
        <v>0</v>
      </c>
    </row>
    <row r="544" spans="1:42" s="594" customFormat="1" ht="11.25" x14ac:dyDescent="0.2">
      <c r="A544" s="644"/>
      <c r="B544" s="591" t="str">
        <f>IF(D544&lt;&gt;"",
IF(ISERROR(MATCH(D544,'Ist Vorjahr Monat 01'!A:A,0))=FALSE,INDEX('Ist Vorjahr Monat 01'!B:B,MATCH(D544,'Ist Vorjahr Monat 01'!A:A,0)),
IF(ISERROR(MATCH(D544,'Ist Vorjahr Monat 02'!A:A,0))=FALSE,INDEX('Ist Vorjahr Monat 02'!B:B,MATCH(D544,'Ist Vorjahr Monat 02'!A:A,0)),
IF(ISERROR(MATCH(D544,'Ist Vorjahr Monat 03'!A:A,0))=FALSE,INDEX('Ist Vorjahr Monat 03'!B:B,MATCH(D544,'Ist Vorjahr Monat 03'!A:A,0)),
IF(ISERROR(MATCH(D544,'Ist Vorjahr Monat 04'!A:A,0))=FALSE,INDEX('Ist Vorjahr Monat 04'!B:B,MATCH(D544,'Ist Vorjahr Monat 04'!A:A,0)),
IF(ISERROR(MATCH(D544,'Ist Vorjahr Monat 05'!A:A,0))=FALSE,INDEX('Ist Vorjahr Monat 05'!B:B,MATCH(D544,'Ist Vorjahr Monat 05'!A:A,0)),
IF(ISERROR(MATCH(D544,'Ist Vorjahr Monat 06'!A:A,0))=FALSE,INDEX('Ist Vorjahr Monat 06'!B:B,MATCH(D544,'Ist Vorjahr Monat 06'!A:A,0)),
IF(ISERROR(MATCH(D544,'Ist Vorjahr Monat 07'!A:A,0))=FALSE,INDEX('Ist Vorjahr Monat 07'!B:B,MATCH(D544,'Ist Vorjahr Monat 07'!A:A,0)),
IF(ISERROR(MATCH(D544,'Ist Vorjahr Monat 08'!A:A,0))=FALSE,INDEX('Ist Vorjahr Monat 08'!B:B,MATCH(D544,'Ist Vorjahr Monat 08'!A:A,0)),
IF(ISERROR(MATCH(D544,'Ist Vorjahr Monat 09'!A:A,0))=FALSE,INDEX('Ist Vorjahr Monat 09'!B:B,MATCH(D544,'Ist Vorjahr Monat 09'!A:A,0)),
IF(ISERROR(MATCH(D544,'Ist Vorjahr Monat 10'!A:A,0))=FALSE,INDEX('Ist Vorjahr Monat 10'!B:B,MATCH(D544,'Ist Vorjahr Monat 10'!A:A,0)),
IF(ISERROR(MATCH(D544,'Ist Vorjahr Monat 11'!A:A,0))=FALSE,INDEX('Ist Vorjahr Monat 11'!B:B,MATCH(D544,'Ist Vorjahr Monat 11'!A:A,0)),
IF(ISERROR(MATCH(D544,'Ist Vorjahr Monat 12'!A:A,0))=FALSE,INDEX('Ist Vorjahr Monat 12'!B:B,MATCH(D544,'Ist Vorjahr Monat 12'!A:A,0)),
"{Konto unbekannt}"
)))))))))))),"")</f>
        <v>Kreissparkasse 4405627</v>
      </c>
      <c r="C544" s="1062"/>
      <c r="D544" s="1067">
        <v>1200</v>
      </c>
      <c r="E544" s="625">
        <f t="shared" si="237"/>
        <v>1</v>
      </c>
      <c r="F544" s="626"/>
      <c r="G544" s="593">
        <f ca="1">$E544*SUMIF(INDIRECT(G$3),'Struktur Vorjahr'!$D544,INDIRECT(G$8))*IFERROR(IF(VLOOKUP('Struktur Vorjahr'!$D544,INDIRECT(G$6),8,)="H",-1,1),0)</f>
        <v>0</v>
      </c>
      <c r="H544" s="593">
        <f ca="1">$E544*SUMIF(INDIRECT(H$3),'Struktur Vorjahr'!$D544,INDIRECT(H$8))*IFERROR(IF(VLOOKUP('Struktur Vorjahr'!$D544,INDIRECT(H$6),8,)="H",-1,1),0)</f>
        <v>0</v>
      </c>
      <c r="I544" s="593">
        <f ca="1">$E544*SUMIF(INDIRECT(I$3),'Struktur Vorjahr'!$D544,INDIRECT(I$8))*IFERROR(IF(VLOOKUP('Struktur Vorjahr'!$D544,INDIRECT(I$6),8,)="H",-1,1),0)</f>
        <v>0</v>
      </c>
      <c r="J544" s="593">
        <f ca="1">$E544*SUMIF(INDIRECT(J$3),'Struktur Vorjahr'!$D544,INDIRECT(J$8))*IFERROR(IF(VLOOKUP('Struktur Vorjahr'!$D544,INDIRECT(J$6),8,)="H",-1,1),0)</f>
        <v>0</v>
      </c>
      <c r="K544" s="593">
        <f ca="1">$E544*SUMIF(INDIRECT(K$3),'Struktur Vorjahr'!$D544,INDIRECT(K$8))*IFERROR(IF(VLOOKUP('Struktur Vorjahr'!$D544,INDIRECT(K$6),8,)="H",-1,1),0)</f>
        <v>0</v>
      </c>
      <c r="L544" s="593">
        <f ca="1">$E544*SUMIF(INDIRECT(L$3),'Struktur Vorjahr'!$D544,INDIRECT(L$8))*IFERROR(IF(VLOOKUP('Struktur Vorjahr'!$D544,INDIRECT(L$6),8,)="H",-1,1),0)</f>
        <v>0</v>
      </c>
      <c r="M544" s="593">
        <f ca="1">$E544*SUMIF(INDIRECT(M$3),'Struktur Vorjahr'!$D544,INDIRECT(M$8))*IFERROR(IF(VLOOKUP('Struktur Vorjahr'!$D544,INDIRECT(M$6),8,)="H",-1,1),0)</f>
        <v>0</v>
      </c>
      <c r="N544" s="593">
        <f ca="1">$E544*SUMIF(INDIRECT(N$3),'Struktur Vorjahr'!$D544,INDIRECT(N$8))*IFERROR(IF(VLOOKUP('Struktur Vorjahr'!$D544,INDIRECT(N$6),8,)="H",-1,1),0)</f>
        <v>0</v>
      </c>
      <c r="O544" s="593">
        <f ca="1">$E544*SUMIF(INDIRECT(O$3),'Struktur Vorjahr'!$D544,INDIRECT(O$8))*IFERROR(IF(VLOOKUP('Struktur Vorjahr'!$D544,INDIRECT(O$6),8,)="H",-1,1),0)</f>
        <v>0</v>
      </c>
      <c r="P544" s="593">
        <f ca="1">$E544*SUMIF(INDIRECT(P$3),'Struktur Vorjahr'!$D544,INDIRECT(P$8))*IFERROR(IF(VLOOKUP('Struktur Vorjahr'!$D544,INDIRECT(P$6),8,)="H",-1,1),0)</f>
        <v>0</v>
      </c>
      <c r="Q544" s="593">
        <f ca="1">$E544*SUMIF(INDIRECT(Q$3),'Struktur Vorjahr'!$D544,INDIRECT(Q$8))*IFERROR(IF(VLOOKUP('Struktur Vorjahr'!$D544,INDIRECT(Q$6),8,)="H",-1,1),0)</f>
        <v>0</v>
      </c>
      <c r="R544" s="593">
        <f ca="1">$E544*SUMIF(INDIRECT(R$3),'Struktur Vorjahr'!$D544,INDIRECT(R$8))*IFERROR(IF(VLOOKUP('Struktur Vorjahr'!$D544,INDIRECT(R$6),8,)="H",-1,1),0)</f>
        <v>0</v>
      </c>
      <c r="S544" s="593" t="e">
        <f ca="1">$E544*SUMIF(INDIRECT(S$3),'Struktur Vorjahr'!$D544,INDIRECT(S$8))*IFERROR(IF(VLOOKUP('Struktur Vorjahr'!$D544,INDIRECT(S$6),8,)="H",-1,1),0)</f>
        <v>#REF!</v>
      </c>
      <c r="T544" s="593" t="e">
        <f ca="1">$E544*SUMIF(INDIRECT(T$3),'Struktur Vorjahr'!$D544,INDIRECT(T$8))*IFERROR(IF(VLOOKUP('Struktur Vorjahr'!$D544,INDIRECT(T$6),8,)="H",-1,1),0)</f>
        <v>#REF!</v>
      </c>
      <c r="U544" s="593" t="e">
        <f ca="1">$E544*SUMIF(INDIRECT(U$3),'Struktur Vorjahr'!$D544,INDIRECT(U$8))*IFERROR(IF(VLOOKUP('Struktur Vorjahr'!$D544,INDIRECT(U$6),8,)="H",-1,1),0)</f>
        <v>#REF!</v>
      </c>
      <c r="V544" s="593" t="e">
        <f ca="1">$E544*SUMIF(INDIRECT(V$3),'Struktur Vorjahr'!$D544,INDIRECT(V$8))*IFERROR(IF(VLOOKUP('Struktur Vorjahr'!$D544,INDIRECT(V$6),8,)="H",-1,1),0)</f>
        <v>#REF!</v>
      </c>
      <c r="W544" s="593" t="e">
        <f ca="1">$E544*SUMIF(INDIRECT(W$3),'Struktur Vorjahr'!$D544,INDIRECT(W$8))*IFERROR(IF(VLOOKUP('Struktur Vorjahr'!$D544,INDIRECT(W$6),8,)="H",-1,1),0)</f>
        <v>#REF!</v>
      </c>
      <c r="X544" s="593" t="e">
        <f ca="1">$E544*SUMIF(INDIRECT(X$3),'Struktur Vorjahr'!$D544,INDIRECT(X$8))*IFERROR(IF(VLOOKUP('Struktur Vorjahr'!$D544,INDIRECT(X$6),8,)="H",-1,1),0)</f>
        <v>#REF!</v>
      </c>
      <c r="Y544" s="593" t="e">
        <f ca="1">$E544*SUMIF(INDIRECT(Y$3),'Struktur Vorjahr'!$D544,INDIRECT(Y$8))*IFERROR(IF(VLOOKUP('Struktur Vorjahr'!$D544,INDIRECT(Y$6),8,)="H",-1,1),0)</f>
        <v>#REF!</v>
      </c>
      <c r="Z544" s="593" t="e">
        <f ca="1">$E544*SUMIF(INDIRECT(Z$3),'Struktur Vorjahr'!$D544,INDIRECT(Z$8))*IFERROR(IF(VLOOKUP('Struktur Vorjahr'!$D544,INDIRECT(Z$6),8,)="H",-1,1),0)</f>
        <v>#REF!</v>
      </c>
      <c r="AA544" s="593" t="e">
        <f ca="1">$E544*SUMIF(INDIRECT(AA$3),'Struktur Vorjahr'!$D544,INDIRECT(AA$8))*IFERROR(IF(VLOOKUP('Struktur Vorjahr'!$D544,INDIRECT(AA$6),8,)="H",-1,1),0)</f>
        <v>#REF!</v>
      </c>
      <c r="AB544" s="593" t="e">
        <f ca="1">$E544*SUMIF(INDIRECT(AB$3),'Struktur Vorjahr'!$D544,INDIRECT(AB$8))*IFERROR(IF(VLOOKUP('Struktur Vorjahr'!$D544,INDIRECT(AB$6),8,)="H",-1,1),0)</f>
        <v>#REF!</v>
      </c>
      <c r="AC544" s="593" t="e">
        <f ca="1">$E544*SUMIF(INDIRECT(AC$3),'Struktur Vorjahr'!$D544,INDIRECT(AC$8))*IFERROR(IF(VLOOKUP('Struktur Vorjahr'!$D544,INDIRECT(AC$6),8,)="H",-1,1),0)</f>
        <v>#REF!</v>
      </c>
      <c r="AD544" s="593" t="e">
        <f ca="1">$E544*SUMIF(INDIRECT(AD$3),'Struktur Vorjahr'!$D544,INDIRECT(AD$8))*IFERROR(IF(VLOOKUP('Struktur Vorjahr'!$D544,INDIRECT(AD$6),8,)="H",-1,1),0)</f>
        <v>#REF!</v>
      </c>
      <c r="AE544" s="593">
        <f t="shared" ca="1" si="277"/>
        <v>0</v>
      </c>
      <c r="AF544" s="593">
        <f t="shared" ca="1" si="278"/>
        <v>0</v>
      </c>
      <c r="AG544" s="593">
        <f t="shared" ca="1" si="278"/>
        <v>0</v>
      </c>
      <c r="AH544" s="593">
        <f t="shared" ca="1" si="278"/>
        <v>0</v>
      </c>
      <c r="AI544" s="593">
        <f t="shared" ca="1" si="278"/>
        <v>0</v>
      </c>
      <c r="AJ544" s="593">
        <f t="shared" ca="1" si="278"/>
        <v>0</v>
      </c>
      <c r="AK544" s="593">
        <f t="shared" ca="1" si="278"/>
        <v>0</v>
      </c>
      <c r="AL544" s="593">
        <f t="shared" ca="1" si="278"/>
        <v>0</v>
      </c>
      <c r="AM544" s="593">
        <f t="shared" ca="1" si="278"/>
        <v>0</v>
      </c>
      <c r="AN544" s="593">
        <f t="shared" ca="1" si="278"/>
        <v>0</v>
      </c>
      <c r="AO544" s="593">
        <f t="shared" ca="1" si="278"/>
        <v>0</v>
      </c>
      <c r="AP544" s="593">
        <f t="shared" ca="1" si="278"/>
        <v>0</v>
      </c>
    </row>
    <row r="545" spans="1:42" s="594" customFormat="1" ht="11.25" outlineLevel="1" x14ac:dyDescent="0.2">
      <c r="A545" s="644"/>
      <c r="B545" s="591" t="str">
        <f>IF(D545&lt;&gt;"",
IF(ISERROR(MATCH(D545,'Ist Vorjahr Monat 01'!A:A,0))=FALSE,INDEX('Ist Vorjahr Monat 01'!B:B,MATCH(D545,'Ist Vorjahr Monat 01'!A:A,0)),
IF(ISERROR(MATCH(D545,'Ist Vorjahr Monat 02'!A:A,0))=FALSE,INDEX('Ist Vorjahr Monat 02'!B:B,MATCH(D545,'Ist Vorjahr Monat 02'!A:A,0)),
IF(ISERROR(MATCH(D545,'Ist Vorjahr Monat 03'!A:A,0))=FALSE,INDEX('Ist Vorjahr Monat 03'!B:B,MATCH(D545,'Ist Vorjahr Monat 03'!A:A,0)),
IF(ISERROR(MATCH(D545,'Ist Vorjahr Monat 04'!A:A,0))=FALSE,INDEX('Ist Vorjahr Monat 04'!B:B,MATCH(D545,'Ist Vorjahr Monat 04'!A:A,0)),
IF(ISERROR(MATCH(D545,'Ist Vorjahr Monat 05'!A:A,0))=FALSE,INDEX('Ist Vorjahr Monat 05'!B:B,MATCH(D545,'Ist Vorjahr Monat 05'!A:A,0)),
IF(ISERROR(MATCH(D545,'Ist Vorjahr Monat 06'!A:A,0))=FALSE,INDEX('Ist Vorjahr Monat 06'!B:B,MATCH(D545,'Ist Vorjahr Monat 06'!A:A,0)),
IF(ISERROR(MATCH(D545,'Ist Vorjahr Monat 07'!A:A,0))=FALSE,INDEX('Ist Vorjahr Monat 07'!B:B,MATCH(D545,'Ist Vorjahr Monat 07'!A:A,0)),
IF(ISERROR(MATCH(D545,'Ist Vorjahr Monat 08'!A:A,0))=FALSE,INDEX('Ist Vorjahr Monat 08'!B:B,MATCH(D545,'Ist Vorjahr Monat 08'!A:A,0)),
IF(ISERROR(MATCH(D545,'Ist Vorjahr Monat 09'!A:A,0))=FALSE,INDEX('Ist Vorjahr Monat 09'!B:B,MATCH(D545,'Ist Vorjahr Monat 09'!A:A,0)),
IF(ISERROR(MATCH(D545,'Ist Vorjahr Monat 10'!A:A,0))=FALSE,INDEX('Ist Vorjahr Monat 10'!B:B,MATCH(D545,'Ist Vorjahr Monat 10'!A:A,0)),
IF(ISERROR(MATCH(D545,'Ist Vorjahr Monat 11'!A:A,0))=FALSE,INDEX('Ist Vorjahr Monat 11'!B:B,MATCH(D545,'Ist Vorjahr Monat 11'!A:A,0)),
IF(ISERROR(MATCH(D545,'Ist Vorjahr Monat 12'!A:A,0))=FALSE,INDEX('Ist Vorjahr Monat 12'!B:B,MATCH(D545,'Ist Vorjahr Monat 12'!A:A,0)),
"{Konto unbekannt}"
)))))))))))),"")</f>
        <v>Commerzbank # 2005783 75</v>
      </c>
      <c r="C545" s="1062"/>
      <c r="D545" s="1067">
        <v>1215</v>
      </c>
      <c r="E545" s="625">
        <f t="shared" si="237"/>
        <v>1</v>
      </c>
      <c r="F545" s="626"/>
      <c r="G545" s="593">
        <f ca="1">$E545*SUMIF(INDIRECT(G$3),'Struktur Vorjahr'!$D545,INDIRECT(G$8))*IFERROR(IF(VLOOKUP('Struktur Vorjahr'!$D545,INDIRECT(G$6),8,)="H",-1,1),0)</f>
        <v>0</v>
      </c>
      <c r="H545" s="593">
        <f ca="1">$E545*SUMIF(INDIRECT(H$3),'Struktur Vorjahr'!$D545,INDIRECT(H$8))*IFERROR(IF(VLOOKUP('Struktur Vorjahr'!$D545,INDIRECT(H$6),8,)="H",-1,1),0)</f>
        <v>0</v>
      </c>
      <c r="I545" s="593">
        <f ca="1">$E545*SUMIF(INDIRECT(I$3),'Struktur Vorjahr'!$D545,INDIRECT(I$8))*IFERROR(IF(VLOOKUP('Struktur Vorjahr'!$D545,INDIRECT(I$6),8,)="H",-1,1),0)</f>
        <v>0</v>
      </c>
      <c r="J545" s="593">
        <f ca="1">$E545*SUMIF(INDIRECT(J$3),'Struktur Vorjahr'!$D545,INDIRECT(J$8))*IFERROR(IF(VLOOKUP('Struktur Vorjahr'!$D545,INDIRECT(J$6),8,)="H",-1,1),0)</f>
        <v>0</v>
      </c>
      <c r="K545" s="593">
        <f ca="1">$E545*SUMIF(INDIRECT(K$3),'Struktur Vorjahr'!$D545,INDIRECT(K$8))*IFERROR(IF(VLOOKUP('Struktur Vorjahr'!$D545,INDIRECT(K$6),8,)="H",-1,1),0)</f>
        <v>0</v>
      </c>
      <c r="L545" s="593">
        <f ca="1">$E545*SUMIF(INDIRECT(L$3),'Struktur Vorjahr'!$D545,INDIRECT(L$8))*IFERROR(IF(VLOOKUP('Struktur Vorjahr'!$D545,INDIRECT(L$6),8,)="H",-1,1),0)</f>
        <v>0</v>
      </c>
      <c r="M545" s="593">
        <f ca="1">$E545*SUMIF(INDIRECT(M$3),'Struktur Vorjahr'!$D545,INDIRECT(M$8))*IFERROR(IF(VLOOKUP('Struktur Vorjahr'!$D545,INDIRECT(M$6),8,)="H",-1,1),0)</f>
        <v>0</v>
      </c>
      <c r="N545" s="593">
        <f ca="1">$E545*SUMIF(INDIRECT(N$3),'Struktur Vorjahr'!$D545,INDIRECT(N$8))*IFERROR(IF(VLOOKUP('Struktur Vorjahr'!$D545,INDIRECT(N$6),8,)="H",-1,1),0)</f>
        <v>0</v>
      </c>
      <c r="O545" s="593">
        <f ca="1">$E545*SUMIF(INDIRECT(O$3),'Struktur Vorjahr'!$D545,INDIRECT(O$8))*IFERROR(IF(VLOOKUP('Struktur Vorjahr'!$D545,INDIRECT(O$6),8,)="H",-1,1),0)</f>
        <v>0</v>
      </c>
      <c r="P545" s="593">
        <f ca="1">$E545*SUMIF(INDIRECT(P$3),'Struktur Vorjahr'!$D545,INDIRECT(P$8))*IFERROR(IF(VLOOKUP('Struktur Vorjahr'!$D545,INDIRECT(P$6),8,)="H",-1,1),0)</f>
        <v>0</v>
      </c>
      <c r="Q545" s="593">
        <f ca="1">$E545*SUMIF(INDIRECT(Q$3),'Struktur Vorjahr'!$D545,INDIRECT(Q$8))*IFERROR(IF(VLOOKUP('Struktur Vorjahr'!$D545,INDIRECT(Q$6),8,)="H",-1,1),0)</f>
        <v>0</v>
      </c>
      <c r="R545" s="593">
        <f ca="1">$E545*SUMIF(INDIRECT(R$3),'Struktur Vorjahr'!$D545,INDIRECT(R$8))*IFERROR(IF(VLOOKUP('Struktur Vorjahr'!$D545,INDIRECT(R$6),8,)="H",-1,1),0)</f>
        <v>0</v>
      </c>
      <c r="S545" s="593" t="e">
        <f ca="1">$E545*SUMIF(INDIRECT(S$3),'Struktur Vorjahr'!$D545,INDIRECT(S$8))*IFERROR(IF(VLOOKUP('Struktur Vorjahr'!$D545,INDIRECT(S$6),8,)="H",-1,1),0)</f>
        <v>#REF!</v>
      </c>
      <c r="T545" s="593" t="e">
        <f ca="1">$E545*SUMIF(INDIRECT(T$3),'Struktur Vorjahr'!$D545,INDIRECT(T$8))*IFERROR(IF(VLOOKUP('Struktur Vorjahr'!$D545,INDIRECT(T$6),8,)="H",-1,1),0)</f>
        <v>#REF!</v>
      </c>
      <c r="U545" s="593" t="e">
        <f ca="1">$E545*SUMIF(INDIRECT(U$3),'Struktur Vorjahr'!$D545,INDIRECT(U$8))*IFERROR(IF(VLOOKUP('Struktur Vorjahr'!$D545,INDIRECT(U$6),8,)="H",-1,1),0)</f>
        <v>#REF!</v>
      </c>
      <c r="V545" s="593" t="e">
        <f ca="1">$E545*SUMIF(INDIRECT(V$3),'Struktur Vorjahr'!$D545,INDIRECT(V$8))*IFERROR(IF(VLOOKUP('Struktur Vorjahr'!$D545,INDIRECT(V$6),8,)="H",-1,1),0)</f>
        <v>#REF!</v>
      </c>
      <c r="W545" s="593" t="e">
        <f ca="1">$E545*SUMIF(INDIRECT(W$3),'Struktur Vorjahr'!$D545,INDIRECT(W$8))*IFERROR(IF(VLOOKUP('Struktur Vorjahr'!$D545,INDIRECT(W$6),8,)="H",-1,1),0)</f>
        <v>#REF!</v>
      </c>
      <c r="X545" s="593" t="e">
        <f ca="1">$E545*SUMIF(INDIRECT(X$3),'Struktur Vorjahr'!$D545,INDIRECT(X$8))*IFERROR(IF(VLOOKUP('Struktur Vorjahr'!$D545,INDIRECT(X$6),8,)="H",-1,1),0)</f>
        <v>#REF!</v>
      </c>
      <c r="Y545" s="593" t="e">
        <f ca="1">$E545*SUMIF(INDIRECT(Y$3),'Struktur Vorjahr'!$D545,INDIRECT(Y$8))*IFERROR(IF(VLOOKUP('Struktur Vorjahr'!$D545,INDIRECT(Y$6),8,)="H",-1,1),0)</f>
        <v>#REF!</v>
      </c>
      <c r="Z545" s="593" t="e">
        <f ca="1">$E545*SUMIF(INDIRECT(Z$3),'Struktur Vorjahr'!$D545,INDIRECT(Z$8))*IFERROR(IF(VLOOKUP('Struktur Vorjahr'!$D545,INDIRECT(Z$6),8,)="H",-1,1),0)</f>
        <v>#REF!</v>
      </c>
      <c r="AA545" s="593" t="e">
        <f ca="1">$E545*SUMIF(INDIRECT(AA$3),'Struktur Vorjahr'!$D545,INDIRECT(AA$8))*IFERROR(IF(VLOOKUP('Struktur Vorjahr'!$D545,INDIRECT(AA$6),8,)="H",-1,1),0)</f>
        <v>#REF!</v>
      </c>
      <c r="AB545" s="593" t="e">
        <f ca="1">$E545*SUMIF(INDIRECT(AB$3),'Struktur Vorjahr'!$D545,INDIRECT(AB$8))*IFERROR(IF(VLOOKUP('Struktur Vorjahr'!$D545,INDIRECT(AB$6),8,)="H",-1,1),0)</f>
        <v>#REF!</v>
      </c>
      <c r="AC545" s="593" t="e">
        <f ca="1">$E545*SUMIF(INDIRECT(AC$3),'Struktur Vorjahr'!$D545,INDIRECT(AC$8))*IFERROR(IF(VLOOKUP('Struktur Vorjahr'!$D545,INDIRECT(AC$6),8,)="H",-1,1),0)</f>
        <v>#REF!</v>
      </c>
      <c r="AD545" s="593" t="e">
        <f ca="1">$E545*SUMIF(INDIRECT(AD$3),'Struktur Vorjahr'!$D545,INDIRECT(AD$8))*IFERROR(IF(VLOOKUP('Struktur Vorjahr'!$D545,INDIRECT(AD$6),8,)="H",-1,1),0)</f>
        <v>#REF!</v>
      </c>
      <c r="AE545" s="593">
        <f t="shared" ca="1" si="277"/>
        <v>0</v>
      </c>
      <c r="AF545" s="593">
        <f t="shared" ca="1" si="278"/>
        <v>0</v>
      </c>
      <c r="AG545" s="593">
        <f t="shared" ca="1" si="278"/>
        <v>0</v>
      </c>
      <c r="AH545" s="593">
        <f t="shared" ca="1" si="278"/>
        <v>0</v>
      </c>
      <c r="AI545" s="593">
        <f t="shared" ca="1" si="278"/>
        <v>0</v>
      </c>
      <c r="AJ545" s="593">
        <f t="shared" ca="1" si="278"/>
        <v>0</v>
      </c>
      <c r="AK545" s="593">
        <f t="shared" ca="1" si="278"/>
        <v>0</v>
      </c>
      <c r="AL545" s="593">
        <f t="shared" ca="1" si="278"/>
        <v>0</v>
      </c>
      <c r="AM545" s="593">
        <f t="shared" ca="1" si="278"/>
        <v>0</v>
      </c>
      <c r="AN545" s="593">
        <f t="shared" ca="1" si="278"/>
        <v>0</v>
      </c>
      <c r="AO545" s="593">
        <f t="shared" ca="1" si="278"/>
        <v>0</v>
      </c>
      <c r="AP545" s="593">
        <f t="shared" ca="1" si="278"/>
        <v>0</v>
      </c>
    </row>
    <row r="546" spans="1:42" s="594" customFormat="1" ht="11.25" outlineLevel="1" x14ac:dyDescent="0.2">
      <c r="A546" s="644"/>
      <c r="B546" s="591" t="str">
        <f>IF(D546&lt;&gt;"",
IF(ISERROR(MATCH(D546,'Ist Vorjahr Monat 01'!A:A,0))=FALSE,INDEX('Ist Vorjahr Monat 01'!B:B,MATCH(D546,'Ist Vorjahr Monat 01'!A:A,0)),
IF(ISERROR(MATCH(D546,'Ist Vorjahr Monat 02'!A:A,0))=FALSE,INDEX('Ist Vorjahr Monat 02'!B:B,MATCH(D546,'Ist Vorjahr Monat 02'!A:A,0)),
IF(ISERROR(MATCH(D546,'Ist Vorjahr Monat 03'!A:A,0))=FALSE,INDEX('Ist Vorjahr Monat 03'!B:B,MATCH(D546,'Ist Vorjahr Monat 03'!A:A,0)),
IF(ISERROR(MATCH(D546,'Ist Vorjahr Monat 04'!A:A,0))=FALSE,INDEX('Ist Vorjahr Monat 04'!B:B,MATCH(D546,'Ist Vorjahr Monat 04'!A:A,0)),
IF(ISERROR(MATCH(D546,'Ist Vorjahr Monat 05'!A:A,0))=FALSE,INDEX('Ist Vorjahr Monat 05'!B:B,MATCH(D546,'Ist Vorjahr Monat 05'!A:A,0)),
IF(ISERROR(MATCH(D546,'Ist Vorjahr Monat 06'!A:A,0))=FALSE,INDEX('Ist Vorjahr Monat 06'!B:B,MATCH(D546,'Ist Vorjahr Monat 06'!A:A,0)),
IF(ISERROR(MATCH(D546,'Ist Vorjahr Monat 07'!A:A,0))=FALSE,INDEX('Ist Vorjahr Monat 07'!B:B,MATCH(D546,'Ist Vorjahr Monat 07'!A:A,0)),
IF(ISERROR(MATCH(D546,'Ist Vorjahr Monat 08'!A:A,0))=FALSE,INDEX('Ist Vorjahr Monat 08'!B:B,MATCH(D546,'Ist Vorjahr Monat 08'!A:A,0)),
IF(ISERROR(MATCH(D546,'Ist Vorjahr Monat 09'!A:A,0))=FALSE,INDEX('Ist Vorjahr Monat 09'!B:B,MATCH(D546,'Ist Vorjahr Monat 09'!A:A,0)),
IF(ISERROR(MATCH(D546,'Ist Vorjahr Monat 10'!A:A,0))=FALSE,INDEX('Ist Vorjahr Monat 10'!B:B,MATCH(D546,'Ist Vorjahr Monat 10'!A:A,0)),
IF(ISERROR(MATCH(D546,'Ist Vorjahr Monat 11'!A:A,0))=FALSE,INDEX('Ist Vorjahr Monat 11'!B:B,MATCH(D546,'Ist Vorjahr Monat 11'!A:A,0)),
IF(ISERROR(MATCH(D546,'Ist Vorjahr Monat 12'!A:A,0))=FALSE,INDEX('Ist Vorjahr Monat 12'!B:B,MATCH(D546,'Ist Vorjahr Monat 12'!A:A,0)),
"{Konto unbekannt}"
)))))))))))),"")</f>
        <v>Geldmarktkonto # 154911440</v>
      </c>
      <c r="C546" s="1062"/>
      <c r="D546" s="1067">
        <v>1250</v>
      </c>
      <c r="E546" s="625">
        <f t="shared" si="237"/>
        <v>1</v>
      </c>
      <c r="F546" s="626"/>
      <c r="G546" s="593">
        <f ca="1">$E546*SUMIF(INDIRECT(G$3),'Struktur Vorjahr'!$D546,INDIRECT(G$8))*IFERROR(IF(VLOOKUP('Struktur Vorjahr'!$D546,INDIRECT(G$6),8,)="H",-1,1),0)</f>
        <v>0</v>
      </c>
      <c r="H546" s="593">
        <f ca="1">$E546*SUMIF(INDIRECT(H$3),'Struktur Vorjahr'!$D546,INDIRECT(H$8))*IFERROR(IF(VLOOKUP('Struktur Vorjahr'!$D546,INDIRECT(H$6),8,)="H",-1,1),0)</f>
        <v>0</v>
      </c>
      <c r="I546" s="593">
        <f ca="1">$E546*SUMIF(INDIRECT(I$3),'Struktur Vorjahr'!$D546,INDIRECT(I$8))*IFERROR(IF(VLOOKUP('Struktur Vorjahr'!$D546,INDIRECT(I$6),8,)="H",-1,1),0)</f>
        <v>0</v>
      </c>
      <c r="J546" s="593">
        <f ca="1">$E546*SUMIF(INDIRECT(J$3),'Struktur Vorjahr'!$D546,INDIRECT(J$8))*IFERROR(IF(VLOOKUP('Struktur Vorjahr'!$D546,INDIRECT(J$6),8,)="H",-1,1),0)</f>
        <v>0</v>
      </c>
      <c r="K546" s="593">
        <f ca="1">$E546*SUMIF(INDIRECT(K$3),'Struktur Vorjahr'!$D546,INDIRECT(K$8))*IFERROR(IF(VLOOKUP('Struktur Vorjahr'!$D546,INDIRECT(K$6),8,)="H",-1,1),0)</f>
        <v>0</v>
      </c>
      <c r="L546" s="593">
        <f ca="1">$E546*SUMIF(INDIRECT(L$3),'Struktur Vorjahr'!$D546,INDIRECT(L$8))*IFERROR(IF(VLOOKUP('Struktur Vorjahr'!$D546,INDIRECT(L$6),8,)="H",-1,1),0)</f>
        <v>0</v>
      </c>
      <c r="M546" s="593">
        <f ca="1">$E546*SUMIF(INDIRECT(M$3),'Struktur Vorjahr'!$D546,INDIRECT(M$8))*IFERROR(IF(VLOOKUP('Struktur Vorjahr'!$D546,INDIRECT(M$6),8,)="H",-1,1),0)</f>
        <v>0</v>
      </c>
      <c r="N546" s="593">
        <f ca="1">$E546*SUMIF(INDIRECT(N$3),'Struktur Vorjahr'!$D546,INDIRECT(N$8))*IFERROR(IF(VLOOKUP('Struktur Vorjahr'!$D546,INDIRECT(N$6),8,)="H",-1,1),0)</f>
        <v>0</v>
      </c>
      <c r="O546" s="593">
        <f ca="1">$E546*SUMIF(INDIRECT(O$3),'Struktur Vorjahr'!$D546,INDIRECT(O$8))*IFERROR(IF(VLOOKUP('Struktur Vorjahr'!$D546,INDIRECT(O$6),8,)="H",-1,1),0)</f>
        <v>0</v>
      </c>
      <c r="P546" s="593">
        <f ca="1">$E546*SUMIF(INDIRECT(P$3),'Struktur Vorjahr'!$D546,INDIRECT(P$8))*IFERROR(IF(VLOOKUP('Struktur Vorjahr'!$D546,INDIRECT(P$6),8,)="H",-1,1),0)</f>
        <v>0</v>
      </c>
      <c r="Q546" s="593">
        <f ca="1">$E546*SUMIF(INDIRECT(Q$3),'Struktur Vorjahr'!$D546,INDIRECT(Q$8))*IFERROR(IF(VLOOKUP('Struktur Vorjahr'!$D546,INDIRECT(Q$6),8,)="H",-1,1),0)</f>
        <v>0</v>
      </c>
      <c r="R546" s="593">
        <f ca="1">$E546*SUMIF(INDIRECT(R$3),'Struktur Vorjahr'!$D546,INDIRECT(R$8))*IFERROR(IF(VLOOKUP('Struktur Vorjahr'!$D546,INDIRECT(R$6),8,)="H",-1,1),0)</f>
        <v>0</v>
      </c>
      <c r="S546" s="593" t="e">
        <f ca="1">$E546*SUMIF(INDIRECT(S$3),'Struktur Vorjahr'!$D546,INDIRECT(S$8))*IFERROR(IF(VLOOKUP('Struktur Vorjahr'!$D546,INDIRECT(S$6),8,)="H",-1,1),0)</f>
        <v>#REF!</v>
      </c>
      <c r="T546" s="593" t="e">
        <f ca="1">$E546*SUMIF(INDIRECT(T$3),'Struktur Vorjahr'!$D546,INDIRECT(T$8))*IFERROR(IF(VLOOKUP('Struktur Vorjahr'!$D546,INDIRECT(T$6),8,)="H",-1,1),0)</f>
        <v>#REF!</v>
      </c>
      <c r="U546" s="593" t="e">
        <f ca="1">$E546*SUMIF(INDIRECT(U$3),'Struktur Vorjahr'!$D546,INDIRECT(U$8))*IFERROR(IF(VLOOKUP('Struktur Vorjahr'!$D546,INDIRECT(U$6),8,)="H",-1,1),0)</f>
        <v>#REF!</v>
      </c>
      <c r="V546" s="593" t="e">
        <f ca="1">$E546*SUMIF(INDIRECT(V$3),'Struktur Vorjahr'!$D546,INDIRECT(V$8))*IFERROR(IF(VLOOKUP('Struktur Vorjahr'!$D546,INDIRECT(V$6),8,)="H",-1,1),0)</f>
        <v>#REF!</v>
      </c>
      <c r="W546" s="593" t="e">
        <f ca="1">$E546*SUMIF(INDIRECT(W$3),'Struktur Vorjahr'!$D546,INDIRECT(W$8))*IFERROR(IF(VLOOKUP('Struktur Vorjahr'!$D546,INDIRECT(W$6),8,)="H",-1,1),0)</f>
        <v>#REF!</v>
      </c>
      <c r="X546" s="593" t="e">
        <f ca="1">$E546*SUMIF(INDIRECT(X$3),'Struktur Vorjahr'!$D546,INDIRECT(X$8))*IFERROR(IF(VLOOKUP('Struktur Vorjahr'!$D546,INDIRECT(X$6),8,)="H",-1,1),0)</f>
        <v>#REF!</v>
      </c>
      <c r="Y546" s="593" t="e">
        <f ca="1">$E546*SUMIF(INDIRECT(Y$3),'Struktur Vorjahr'!$D546,INDIRECT(Y$8))*IFERROR(IF(VLOOKUP('Struktur Vorjahr'!$D546,INDIRECT(Y$6),8,)="H",-1,1),0)</f>
        <v>#REF!</v>
      </c>
      <c r="Z546" s="593" t="e">
        <f ca="1">$E546*SUMIF(INDIRECT(Z$3),'Struktur Vorjahr'!$D546,INDIRECT(Z$8))*IFERROR(IF(VLOOKUP('Struktur Vorjahr'!$D546,INDIRECT(Z$6),8,)="H",-1,1),0)</f>
        <v>#REF!</v>
      </c>
      <c r="AA546" s="593" t="e">
        <f ca="1">$E546*SUMIF(INDIRECT(AA$3),'Struktur Vorjahr'!$D546,INDIRECT(AA$8))*IFERROR(IF(VLOOKUP('Struktur Vorjahr'!$D546,INDIRECT(AA$6),8,)="H",-1,1),0)</f>
        <v>#REF!</v>
      </c>
      <c r="AB546" s="593" t="e">
        <f ca="1">$E546*SUMIF(INDIRECT(AB$3),'Struktur Vorjahr'!$D546,INDIRECT(AB$8))*IFERROR(IF(VLOOKUP('Struktur Vorjahr'!$D546,INDIRECT(AB$6),8,)="H",-1,1),0)</f>
        <v>#REF!</v>
      </c>
      <c r="AC546" s="593" t="e">
        <f ca="1">$E546*SUMIF(INDIRECT(AC$3),'Struktur Vorjahr'!$D546,INDIRECT(AC$8))*IFERROR(IF(VLOOKUP('Struktur Vorjahr'!$D546,INDIRECT(AC$6),8,)="H",-1,1),0)</f>
        <v>#REF!</v>
      </c>
      <c r="AD546" s="593" t="e">
        <f ca="1">$E546*SUMIF(INDIRECT(AD$3),'Struktur Vorjahr'!$D546,INDIRECT(AD$8))*IFERROR(IF(VLOOKUP('Struktur Vorjahr'!$D546,INDIRECT(AD$6),8,)="H",-1,1),0)</f>
        <v>#REF!</v>
      </c>
      <c r="AE546" s="593">
        <f t="shared" ca="1" si="277"/>
        <v>0</v>
      </c>
      <c r="AF546" s="593">
        <f t="shared" ca="1" si="278"/>
        <v>0</v>
      </c>
      <c r="AG546" s="593">
        <f t="shared" ca="1" si="278"/>
        <v>0</v>
      </c>
      <c r="AH546" s="593">
        <f t="shared" ca="1" si="278"/>
        <v>0</v>
      </c>
      <c r="AI546" s="593">
        <f t="shared" ca="1" si="278"/>
        <v>0</v>
      </c>
      <c r="AJ546" s="593">
        <f t="shared" ca="1" si="278"/>
        <v>0</v>
      </c>
      <c r="AK546" s="593">
        <f t="shared" ca="1" si="278"/>
        <v>0</v>
      </c>
      <c r="AL546" s="593">
        <f t="shared" ca="1" si="278"/>
        <v>0</v>
      </c>
      <c r="AM546" s="593">
        <f t="shared" ca="1" si="278"/>
        <v>0</v>
      </c>
      <c r="AN546" s="593">
        <f t="shared" ca="1" si="278"/>
        <v>0</v>
      </c>
      <c r="AO546" s="593">
        <f t="shared" ca="1" si="278"/>
        <v>0</v>
      </c>
      <c r="AP546" s="593">
        <f t="shared" ca="1" si="278"/>
        <v>0</v>
      </c>
    </row>
    <row r="547" spans="1:42" s="594" customFormat="1" ht="11.25" outlineLevel="1" x14ac:dyDescent="0.2">
      <c r="A547" s="644"/>
      <c r="B547" s="591" t="str">
        <f>IF(D547&lt;&gt;"",
IF(ISERROR(MATCH(D547,'Ist Vorjahr Monat 01'!A:A,0))=FALSE,INDEX('Ist Vorjahr Monat 01'!B:B,MATCH(D547,'Ist Vorjahr Monat 01'!A:A,0)),
IF(ISERROR(MATCH(D547,'Ist Vorjahr Monat 02'!A:A,0))=FALSE,INDEX('Ist Vorjahr Monat 02'!B:B,MATCH(D547,'Ist Vorjahr Monat 02'!A:A,0)),
IF(ISERROR(MATCH(D547,'Ist Vorjahr Monat 03'!A:A,0))=FALSE,INDEX('Ist Vorjahr Monat 03'!B:B,MATCH(D547,'Ist Vorjahr Monat 03'!A:A,0)),
IF(ISERROR(MATCH(D547,'Ist Vorjahr Monat 04'!A:A,0))=FALSE,INDEX('Ist Vorjahr Monat 04'!B:B,MATCH(D547,'Ist Vorjahr Monat 04'!A:A,0)),
IF(ISERROR(MATCH(D547,'Ist Vorjahr Monat 05'!A:A,0))=FALSE,INDEX('Ist Vorjahr Monat 05'!B:B,MATCH(D547,'Ist Vorjahr Monat 05'!A:A,0)),
IF(ISERROR(MATCH(D547,'Ist Vorjahr Monat 06'!A:A,0))=FALSE,INDEX('Ist Vorjahr Monat 06'!B:B,MATCH(D547,'Ist Vorjahr Monat 06'!A:A,0)),
IF(ISERROR(MATCH(D547,'Ist Vorjahr Monat 07'!A:A,0))=FALSE,INDEX('Ist Vorjahr Monat 07'!B:B,MATCH(D547,'Ist Vorjahr Monat 07'!A:A,0)),
IF(ISERROR(MATCH(D547,'Ist Vorjahr Monat 08'!A:A,0))=FALSE,INDEX('Ist Vorjahr Monat 08'!B:B,MATCH(D547,'Ist Vorjahr Monat 08'!A:A,0)),
IF(ISERROR(MATCH(D547,'Ist Vorjahr Monat 09'!A:A,0))=FALSE,INDEX('Ist Vorjahr Monat 09'!B:B,MATCH(D547,'Ist Vorjahr Monat 09'!A:A,0)),
IF(ISERROR(MATCH(D547,'Ist Vorjahr Monat 10'!A:A,0))=FALSE,INDEX('Ist Vorjahr Monat 10'!B:B,MATCH(D547,'Ist Vorjahr Monat 10'!A:A,0)),
IF(ISERROR(MATCH(D547,'Ist Vorjahr Monat 11'!A:A,0))=FALSE,INDEX('Ist Vorjahr Monat 11'!B:B,MATCH(D547,'Ist Vorjahr Monat 11'!A:A,0)),
IF(ISERROR(MATCH(D547,'Ist Vorjahr Monat 12'!A:A,0))=FALSE,INDEX('Ist Vorjahr Monat 12'!B:B,MATCH(D547,'Ist Vorjahr Monat 12'!A:A,0)),
"{Konto unbekannt}"
)))))))))))),"")</f>
        <v/>
      </c>
      <c r="C547" s="1062"/>
      <c r="D547" s="1067"/>
      <c r="E547" s="625">
        <f t="shared" si="237"/>
        <v>1</v>
      </c>
      <c r="F547" s="626"/>
      <c r="G547" s="593">
        <f ca="1">$E547*SUMIF(INDIRECT(G$3),'Struktur Vorjahr'!$D547,INDIRECT(G$8))*IFERROR(IF(VLOOKUP('Struktur Vorjahr'!$D547,INDIRECT(G$6),8,)="H",-1,1),0)</f>
        <v>0</v>
      </c>
      <c r="H547" s="593">
        <f ca="1">$E547*SUMIF(INDIRECT(H$3),'Struktur Vorjahr'!$D547,INDIRECT(H$8))*IFERROR(IF(VLOOKUP('Struktur Vorjahr'!$D547,INDIRECT(H$6),8,)="H",-1,1),0)</f>
        <v>0</v>
      </c>
      <c r="I547" s="593">
        <f ca="1">$E547*SUMIF(INDIRECT(I$3),'Struktur Vorjahr'!$D547,INDIRECT(I$8))*IFERROR(IF(VLOOKUP('Struktur Vorjahr'!$D547,INDIRECT(I$6),8,)="H",-1,1),0)</f>
        <v>0</v>
      </c>
      <c r="J547" s="593">
        <f ca="1">$E547*SUMIF(INDIRECT(J$3),'Struktur Vorjahr'!$D547,INDIRECT(J$8))*IFERROR(IF(VLOOKUP('Struktur Vorjahr'!$D547,INDIRECT(J$6),8,)="H",-1,1),0)</f>
        <v>0</v>
      </c>
      <c r="K547" s="593">
        <f ca="1">$E547*SUMIF(INDIRECT(K$3),'Struktur Vorjahr'!$D547,INDIRECT(K$8))*IFERROR(IF(VLOOKUP('Struktur Vorjahr'!$D547,INDIRECT(K$6),8,)="H",-1,1),0)</f>
        <v>0</v>
      </c>
      <c r="L547" s="593">
        <f ca="1">$E547*SUMIF(INDIRECT(L$3),'Struktur Vorjahr'!$D547,INDIRECT(L$8))*IFERROR(IF(VLOOKUP('Struktur Vorjahr'!$D547,INDIRECT(L$6),8,)="H",-1,1),0)</f>
        <v>0</v>
      </c>
      <c r="M547" s="593">
        <f ca="1">$E547*SUMIF(INDIRECT(M$3),'Struktur Vorjahr'!$D547,INDIRECT(M$8))*IFERROR(IF(VLOOKUP('Struktur Vorjahr'!$D547,INDIRECT(M$6),8,)="H",-1,1),0)</f>
        <v>0</v>
      </c>
      <c r="N547" s="593">
        <f ca="1">$E547*SUMIF(INDIRECT(N$3),'Struktur Vorjahr'!$D547,INDIRECT(N$8))*IFERROR(IF(VLOOKUP('Struktur Vorjahr'!$D547,INDIRECT(N$6),8,)="H",-1,1),0)</f>
        <v>0</v>
      </c>
      <c r="O547" s="593">
        <f ca="1">$E547*SUMIF(INDIRECT(O$3),'Struktur Vorjahr'!$D547,INDIRECT(O$8))*IFERROR(IF(VLOOKUP('Struktur Vorjahr'!$D547,INDIRECT(O$6),8,)="H",-1,1),0)</f>
        <v>0</v>
      </c>
      <c r="P547" s="593">
        <f ca="1">$E547*SUMIF(INDIRECT(P$3),'Struktur Vorjahr'!$D547,INDIRECT(P$8))*IFERROR(IF(VLOOKUP('Struktur Vorjahr'!$D547,INDIRECT(P$6),8,)="H",-1,1),0)</f>
        <v>0</v>
      </c>
      <c r="Q547" s="593">
        <f ca="1">$E547*SUMIF(INDIRECT(Q$3),'Struktur Vorjahr'!$D547,INDIRECT(Q$8))*IFERROR(IF(VLOOKUP('Struktur Vorjahr'!$D547,INDIRECT(Q$6),8,)="H",-1,1),0)</f>
        <v>0</v>
      </c>
      <c r="R547" s="593">
        <f ca="1">$E547*SUMIF(INDIRECT(R$3),'Struktur Vorjahr'!$D547,INDIRECT(R$8))*IFERROR(IF(VLOOKUP('Struktur Vorjahr'!$D547,INDIRECT(R$6),8,)="H",-1,1),0)</f>
        <v>0</v>
      </c>
      <c r="S547" s="593" t="e">
        <f ca="1">$E547*SUMIF(INDIRECT(S$3),'Struktur Vorjahr'!$D547,INDIRECT(S$8))*IFERROR(IF(VLOOKUP('Struktur Vorjahr'!$D547,INDIRECT(S$6),8,)="H",-1,1),0)</f>
        <v>#REF!</v>
      </c>
      <c r="T547" s="593" t="e">
        <f ca="1">$E547*SUMIF(INDIRECT(T$3),'Struktur Vorjahr'!$D547,INDIRECT(T$8))*IFERROR(IF(VLOOKUP('Struktur Vorjahr'!$D547,INDIRECT(T$6),8,)="H",-1,1),0)</f>
        <v>#REF!</v>
      </c>
      <c r="U547" s="593" t="e">
        <f ca="1">$E547*SUMIF(INDIRECT(U$3),'Struktur Vorjahr'!$D547,INDIRECT(U$8))*IFERROR(IF(VLOOKUP('Struktur Vorjahr'!$D547,INDIRECT(U$6),8,)="H",-1,1),0)</f>
        <v>#REF!</v>
      </c>
      <c r="V547" s="593" t="e">
        <f ca="1">$E547*SUMIF(INDIRECT(V$3),'Struktur Vorjahr'!$D547,INDIRECT(V$8))*IFERROR(IF(VLOOKUP('Struktur Vorjahr'!$D547,INDIRECT(V$6),8,)="H",-1,1),0)</f>
        <v>#REF!</v>
      </c>
      <c r="W547" s="593" t="e">
        <f ca="1">$E547*SUMIF(INDIRECT(W$3),'Struktur Vorjahr'!$D547,INDIRECT(W$8))*IFERROR(IF(VLOOKUP('Struktur Vorjahr'!$D547,INDIRECT(W$6),8,)="H",-1,1),0)</f>
        <v>#REF!</v>
      </c>
      <c r="X547" s="593" t="e">
        <f ca="1">$E547*SUMIF(INDIRECT(X$3),'Struktur Vorjahr'!$D547,INDIRECT(X$8))*IFERROR(IF(VLOOKUP('Struktur Vorjahr'!$D547,INDIRECT(X$6),8,)="H",-1,1),0)</f>
        <v>#REF!</v>
      </c>
      <c r="Y547" s="593" t="e">
        <f ca="1">$E547*SUMIF(INDIRECT(Y$3),'Struktur Vorjahr'!$D547,INDIRECT(Y$8))*IFERROR(IF(VLOOKUP('Struktur Vorjahr'!$D547,INDIRECT(Y$6),8,)="H",-1,1),0)</f>
        <v>#REF!</v>
      </c>
      <c r="Z547" s="593" t="e">
        <f ca="1">$E547*SUMIF(INDIRECT(Z$3),'Struktur Vorjahr'!$D547,INDIRECT(Z$8))*IFERROR(IF(VLOOKUP('Struktur Vorjahr'!$D547,INDIRECT(Z$6),8,)="H",-1,1),0)</f>
        <v>#REF!</v>
      </c>
      <c r="AA547" s="593" t="e">
        <f ca="1">$E547*SUMIF(INDIRECT(AA$3),'Struktur Vorjahr'!$D547,INDIRECT(AA$8))*IFERROR(IF(VLOOKUP('Struktur Vorjahr'!$D547,INDIRECT(AA$6),8,)="H",-1,1),0)</f>
        <v>#REF!</v>
      </c>
      <c r="AB547" s="593" t="e">
        <f ca="1">$E547*SUMIF(INDIRECT(AB$3),'Struktur Vorjahr'!$D547,INDIRECT(AB$8))*IFERROR(IF(VLOOKUP('Struktur Vorjahr'!$D547,INDIRECT(AB$6),8,)="H",-1,1),0)</f>
        <v>#REF!</v>
      </c>
      <c r="AC547" s="593" t="e">
        <f ca="1">$E547*SUMIF(INDIRECT(AC$3),'Struktur Vorjahr'!$D547,INDIRECT(AC$8))*IFERROR(IF(VLOOKUP('Struktur Vorjahr'!$D547,INDIRECT(AC$6),8,)="H",-1,1),0)</f>
        <v>#REF!</v>
      </c>
      <c r="AD547" s="593" t="e">
        <f ca="1">$E547*SUMIF(INDIRECT(AD$3),'Struktur Vorjahr'!$D547,INDIRECT(AD$8))*IFERROR(IF(VLOOKUP('Struktur Vorjahr'!$D547,INDIRECT(AD$6),8,)="H",-1,1),0)</f>
        <v>#REF!</v>
      </c>
      <c r="AE547" s="593">
        <f t="shared" ca="1" si="277"/>
        <v>0</v>
      </c>
      <c r="AF547" s="593">
        <f t="shared" ca="1" si="278"/>
        <v>0</v>
      </c>
      <c r="AG547" s="593">
        <f t="shared" ca="1" si="278"/>
        <v>0</v>
      </c>
      <c r="AH547" s="593">
        <f t="shared" ca="1" si="278"/>
        <v>0</v>
      </c>
      <c r="AI547" s="593">
        <f t="shared" ca="1" si="278"/>
        <v>0</v>
      </c>
      <c r="AJ547" s="593">
        <f t="shared" ca="1" si="278"/>
        <v>0</v>
      </c>
      <c r="AK547" s="593">
        <f t="shared" ca="1" si="278"/>
        <v>0</v>
      </c>
      <c r="AL547" s="593">
        <f t="shared" ca="1" si="278"/>
        <v>0</v>
      </c>
      <c r="AM547" s="593">
        <f t="shared" ca="1" si="278"/>
        <v>0</v>
      </c>
      <c r="AN547" s="593">
        <f t="shared" ca="1" si="278"/>
        <v>0</v>
      </c>
      <c r="AO547" s="593">
        <f t="shared" ca="1" si="278"/>
        <v>0</v>
      </c>
      <c r="AP547" s="593">
        <f t="shared" ca="1" si="278"/>
        <v>0</v>
      </c>
    </row>
    <row r="548" spans="1:42" s="594" customFormat="1" ht="11.25" outlineLevel="1" x14ac:dyDescent="0.2">
      <c r="A548" s="644"/>
      <c r="B548" s="591" t="str">
        <f>IF(D548&lt;&gt;"",
IF(ISERROR(MATCH(D548,'Ist Vorjahr Monat 01'!A:A,0))=FALSE,INDEX('Ist Vorjahr Monat 01'!B:B,MATCH(D548,'Ist Vorjahr Monat 01'!A:A,0)),
IF(ISERROR(MATCH(D548,'Ist Vorjahr Monat 02'!A:A,0))=FALSE,INDEX('Ist Vorjahr Monat 02'!B:B,MATCH(D548,'Ist Vorjahr Monat 02'!A:A,0)),
IF(ISERROR(MATCH(D548,'Ist Vorjahr Monat 03'!A:A,0))=FALSE,INDEX('Ist Vorjahr Monat 03'!B:B,MATCH(D548,'Ist Vorjahr Monat 03'!A:A,0)),
IF(ISERROR(MATCH(D548,'Ist Vorjahr Monat 04'!A:A,0))=FALSE,INDEX('Ist Vorjahr Monat 04'!B:B,MATCH(D548,'Ist Vorjahr Monat 04'!A:A,0)),
IF(ISERROR(MATCH(D548,'Ist Vorjahr Monat 05'!A:A,0))=FALSE,INDEX('Ist Vorjahr Monat 05'!B:B,MATCH(D548,'Ist Vorjahr Monat 05'!A:A,0)),
IF(ISERROR(MATCH(D548,'Ist Vorjahr Monat 06'!A:A,0))=FALSE,INDEX('Ist Vorjahr Monat 06'!B:B,MATCH(D548,'Ist Vorjahr Monat 06'!A:A,0)),
IF(ISERROR(MATCH(D548,'Ist Vorjahr Monat 07'!A:A,0))=FALSE,INDEX('Ist Vorjahr Monat 07'!B:B,MATCH(D548,'Ist Vorjahr Monat 07'!A:A,0)),
IF(ISERROR(MATCH(D548,'Ist Vorjahr Monat 08'!A:A,0))=FALSE,INDEX('Ist Vorjahr Monat 08'!B:B,MATCH(D548,'Ist Vorjahr Monat 08'!A:A,0)),
IF(ISERROR(MATCH(D548,'Ist Vorjahr Monat 09'!A:A,0))=FALSE,INDEX('Ist Vorjahr Monat 09'!B:B,MATCH(D548,'Ist Vorjahr Monat 09'!A:A,0)),
IF(ISERROR(MATCH(D548,'Ist Vorjahr Monat 10'!A:A,0))=FALSE,INDEX('Ist Vorjahr Monat 10'!B:B,MATCH(D548,'Ist Vorjahr Monat 10'!A:A,0)),
IF(ISERROR(MATCH(D548,'Ist Vorjahr Monat 11'!A:A,0))=FALSE,INDEX('Ist Vorjahr Monat 11'!B:B,MATCH(D548,'Ist Vorjahr Monat 11'!A:A,0)),
IF(ISERROR(MATCH(D548,'Ist Vorjahr Monat 12'!A:A,0))=FALSE,INDEX('Ist Vorjahr Monat 12'!B:B,MATCH(D548,'Ist Vorjahr Monat 12'!A:A,0)),
"{Konto unbekannt}"
)))))))))))),"")</f>
        <v/>
      </c>
      <c r="C548" s="1062"/>
      <c r="D548" s="1067"/>
      <c r="E548" s="625">
        <f t="shared" si="237"/>
        <v>1</v>
      </c>
      <c r="F548" s="626"/>
      <c r="G548" s="593">
        <f ca="1">$E548*SUMIF(INDIRECT(G$3),'Struktur Vorjahr'!$D548,INDIRECT(G$8))*IFERROR(IF(VLOOKUP('Struktur Vorjahr'!$D548,INDIRECT(G$6),8,)="H",-1,1),0)</f>
        <v>0</v>
      </c>
      <c r="H548" s="593">
        <f ca="1">$E548*SUMIF(INDIRECT(H$3),'Struktur Vorjahr'!$D548,INDIRECT(H$8))*IFERROR(IF(VLOOKUP('Struktur Vorjahr'!$D548,INDIRECT(H$6),8,)="H",-1,1),0)</f>
        <v>0</v>
      </c>
      <c r="I548" s="593">
        <f ca="1">$E548*SUMIF(INDIRECT(I$3),'Struktur Vorjahr'!$D548,INDIRECT(I$8))*IFERROR(IF(VLOOKUP('Struktur Vorjahr'!$D548,INDIRECT(I$6),8,)="H",-1,1),0)</f>
        <v>0</v>
      </c>
      <c r="J548" s="593">
        <f ca="1">$E548*SUMIF(INDIRECT(J$3),'Struktur Vorjahr'!$D548,INDIRECT(J$8))*IFERROR(IF(VLOOKUP('Struktur Vorjahr'!$D548,INDIRECT(J$6),8,)="H",-1,1),0)</f>
        <v>0</v>
      </c>
      <c r="K548" s="593">
        <f ca="1">$E548*SUMIF(INDIRECT(K$3),'Struktur Vorjahr'!$D548,INDIRECT(K$8))*IFERROR(IF(VLOOKUP('Struktur Vorjahr'!$D548,INDIRECT(K$6),8,)="H",-1,1),0)</f>
        <v>0</v>
      </c>
      <c r="L548" s="593">
        <f ca="1">$E548*SUMIF(INDIRECT(L$3),'Struktur Vorjahr'!$D548,INDIRECT(L$8))*IFERROR(IF(VLOOKUP('Struktur Vorjahr'!$D548,INDIRECT(L$6),8,)="H",-1,1),0)</f>
        <v>0</v>
      </c>
      <c r="M548" s="593">
        <f ca="1">$E548*SUMIF(INDIRECT(M$3),'Struktur Vorjahr'!$D548,INDIRECT(M$8))*IFERROR(IF(VLOOKUP('Struktur Vorjahr'!$D548,INDIRECT(M$6),8,)="H",-1,1),0)</f>
        <v>0</v>
      </c>
      <c r="N548" s="593">
        <f ca="1">$E548*SUMIF(INDIRECT(N$3),'Struktur Vorjahr'!$D548,INDIRECT(N$8))*IFERROR(IF(VLOOKUP('Struktur Vorjahr'!$D548,INDIRECT(N$6),8,)="H",-1,1),0)</f>
        <v>0</v>
      </c>
      <c r="O548" s="593">
        <f ca="1">$E548*SUMIF(INDIRECT(O$3),'Struktur Vorjahr'!$D548,INDIRECT(O$8))*IFERROR(IF(VLOOKUP('Struktur Vorjahr'!$D548,INDIRECT(O$6),8,)="H",-1,1),0)</f>
        <v>0</v>
      </c>
      <c r="P548" s="593">
        <f ca="1">$E548*SUMIF(INDIRECT(P$3),'Struktur Vorjahr'!$D548,INDIRECT(P$8))*IFERROR(IF(VLOOKUP('Struktur Vorjahr'!$D548,INDIRECT(P$6),8,)="H",-1,1),0)</f>
        <v>0</v>
      </c>
      <c r="Q548" s="593">
        <f ca="1">$E548*SUMIF(INDIRECT(Q$3),'Struktur Vorjahr'!$D548,INDIRECT(Q$8))*IFERROR(IF(VLOOKUP('Struktur Vorjahr'!$D548,INDIRECT(Q$6),8,)="H",-1,1),0)</f>
        <v>0</v>
      </c>
      <c r="R548" s="593">
        <f ca="1">$E548*SUMIF(INDIRECT(R$3),'Struktur Vorjahr'!$D548,INDIRECT(R$8))*IFERROR(IF(VLOOKUP('Struktur Vorjahr'!$D548,INDIRECT(R$6),8,)="H",-1,1),0)</f>
        <v>0</v>
      </c>
      <c r="S548" s="593" t="e">
        <f ca="1">$E548*SUMIF(INDIRECT(S$3),'Struktur Vorjahr'!$D548,INDIRECT(S$8))*IFERROR(IF(VLOOKUP('Struktur Vorjahr'!$D548,INDIRECT(S$6),8,)="H",-1,1),0)</f>
        <v>#REF!</v>
      </c>
      <c r="T548" s="593" t="e">
        <f ca="1">$E548*SUMIF(INDIRECT(T$3),'Struktur Vorjahr'!$D548,INDIRECT(T$8))*IFERROR(IF(VLOOKUP('Struktur Vorjahr'!$D548,INDIRECT(T$6),8,)="H",-1,1),0)</f>
        <v>#REF!</v>
      </c>
      <c r="U548" s="593" t="e">
        <f ca="1">$E548*SUMIF(INDIRECT(U$3),'Struktur Vorjahr'!$D548,INDIRECT(U$8))*IFERROR(IF(VLOOKUP('Struktur Vorjahr'!$D548,INDIRECT(U$6),8,)="H",-1,1),0)</f>
        <v>#REF!</v>
      </c>
      <c r="V548" s="593" t="e">
        <f ca="1">$E548*SUMIF(INDIRECT(V$3),'Struktur Vorjahr'!$D548,INDIRECT(V$8))*IFERROR(IF(VLOOKUP('Struktur Vorjahr'!$D548,INDIRECT(V$6),8,)="H",-1,1),0)</f>
        <v>#REF!</v>
      </c>
      <c r="W548" s="593" t="e">
        <f ca="1">$E548*SUMIF(INDIRECT(W$3),'Struktur Vorjahr'!$D548,INDIRECT(W$8))*IFERROR(IF(VLOOKUP('Struktur Vorjahr'!$D548,INDIRECT(W$6),8,)="H",-1,1),0)</f>
        <v>#REF!</v>
      </c>
      <c r="X548" s="593" t="e">
        <f ca="1">$E548*SUMIF(INDIRECT(X$3),'Struktur Vorjahr'!$D548,INDIRECT(X$8))*IFERROR(IF(VLOOKUP('Struktur Vorjahr'!$D548,INDIRECT(X$6),8,)="H",-1,1),0)</f>
        <v>#REF!</v>
      </c>
      <c r="Y548" s="593" t="e">
        <f ca="1">$E548*SUMIF(INDIRECT(Y$3),'Struktur Vorjahr'!$D548,INDIRECT(Y$8))*IFERROR(IF(VLOOKUP('Struktur Vorjahr'!$D548,INDIRECT(Y$6),8,)="H",-1,1),0)</f>
        <v>#REF!</v>
      </c>
      <c r="Z548" s="593" t="e">
        <f ca="1">$E548*SUMIF(INDIRECT(Z$3),'Struktur Vorjahr'!$D548,INDIRECT(Z$8))*IFERROR(IF(VLOOKUP('Struktur Vorjahr'!$D548,INDIRECT(Z$6),8,)="H",-1,1),0)</f>
        <v>#REF!</v>
      </c>
      <c r="AA548" s="593" t="e">
        <f ca="1">$E548*SUMIF(INDIRECT(AA$3),'Struktur Vorjahr'!$D548,INDIRECT(AA$8))*IFERROR(IF(VLOOKUP('Struktur Vorjahr'!$D548,INDIRECT(AA$6),8,)="H",-1,1),0)</f>
        <v>#REF!</v>
      </c>
      <c r="AB548" s="593" t="e">
        <f ca="1">$E548*SUMIF(INDIRECT(AB$3),'Struktur Vorjahr'!$D548,INDIRECT(AB$8))*IFERROR(IF(VLOOKUP('Struktur Vorjahr'!$D548,INDIRECT(AB$6),8,)="H",-1,1),0)</f>
        <v>#REF!</v>
      </c>
      <c r="AC548" s="593" t="e">
        <f ca="1">$E548*SUMIF(INDIRECT(AC$3),'Struktur Vorjahr'!$D548,INDIRECT(AC$8))*IFERROR(IF(VLOOKUP('Struktur Vorjahr'!$D548,INDIRECT(AC$6),8,)="H",-1,1),0)</f>
        <v>#REF!</v>
      </c>
      <c r="AD548" s="593" t="e">
        <f ca="1">$E548*SUMIF(INDIRECT(AD$3),'Struktur Vorjahr'!$D548,INDIRECT(AD$8))*IFERROR(IF(VLOOKUP('Struktur Vorjahr'!$D548,INDIRECT(AD$6),8,)="H",-1,1),0)</f>
        <v>#REF!</v>
      </c>
      <c r="AE548" s="593">
        <f t="shared" ca="1" si="277"/>
        <v>0</v>
      </c>
      <c r="AF548" s="593">
        <f t="shared" ca="1" si="278"/>
        <v>0</v>
      </c>
      <c r="AG548" s="593">
        <f t="shared" ca="1" si="278"/>
        <v>0</v>
      </c>
      <c r="AH548" s="593">
        <f t="shared" ca="1" si="278"/>
        <v>0</v>
      </c>
      <c r="AI548" s="593">
        <f t="shared" ca="1" si="278"/>
        <v>0</v>
      </c>
      <c r="AJ548" s="593">
        <f t="shared" ca="1" si="278"/>
        <v>0</v>
      </c>
      <c r="AK548" s="593">
        <f t="shared" ca="1" si="278"/>
        <v>0</v>
      </c>
      <c r="AL548" s="593">
        <f t="shared" ca="1" si="278"/>
        <v>0</v>
      </c>
      <c r="AM548" s="593">
        <f t="shared" ca="1" si="278"/>
        <v>0</v>
      </c>
      <c r="AN548" s="593">
        <f t="shared" ca="1" si="278"/>
        <v>0</v>
      </c>
      <c r="AO548" s="593">
        <f t="shared" ca="1" si="278"/>
        <v>0</v>
      </c>
      <c r="AP548" s="593">
        <f t="shared" ca="1" si="278"/>
        <v>0</v>
      </c>
    </row>
    <row r="549" spans="1:42" s="594" customFormat="1" ht="11.25" outlineLevel="1" x14ac:dyDescent="0.2">
      <c r="A549" s="644"/>
      <c r="B549" s="591" t="str">
        <f>IF(D549&lt;&gt;"",
IF(ISERROR(MATCH(D549,'Ist Vorjahr Monat 01'!A:A,0))=FALSE,INDEX('Ist Vorjahr Monat 01'!B:B,MATCH(D549,'Ist Vorjahr Monat 01'!A:A,0)),
IF(ISERROR(MATCH(D549,'Ist Vorjahr Monat 02'!A:A,0))=FALSE,INDEX('Ist Vorjahr Monat 02'!B:B,MATCH(D549,'Ist Vorjahr Monat 02'!A:A,0)),
IF(ISERROR(MATCH(D549,'Ist Vorjahr Monat 03'!A:A,0))=FALSE,INDEX('Ist Vorjahr Monat 03'!B:B,MATCH(D549,'Ist Vorjahr Monat 03'!A:A,0)),
IF(ISERROR(MATCH(D549,'Ist Vorjahr Monat 04'!A:A,0))=FALSE,INDEX('Ist Vorjahr Monat 04'!B:B,MATCH(D549,'Ist Vorjahr Monat 04'!A:A,0)),
IF(ISERROR(MATCH(D549,'Ist Vorjahr Monat 05'!A:A,0))=FALSE,INDEX('Ist Vorjahr Monat 05'!B:B,MATCH(D549,'Ist Vorjahr Monat 05'!A:A,0)),
IF(ISERROR(MATCH(D549,'Ist Vorjahr Monat 06'!A:A,0))=FALSE,INDEX('Ist Vorjahr Monat 06'!B:B,MATCH(D549,'Ist Vorjahr Monat 06'!A:A,0)),
IF(ISERROR(MATCH(D549,'Ist Vorjahr Monat 07'!A:A,0))=FALSE,INDEX('Ist Vorjahr Monat 07'!B:B,MATCH(D549,'Ist Vorjahr Monat 07'!A:A,0)),
IF(ISERROR(MATCH(D549,'Ist Vorjahr Monat 08'!A:A,0))=FALSE,INDEX('Ist Vorjahr Monat 08'!B:B,MATCH(D549,'Ist Vorjahr Monat 08'!A:A,0)),
IF(ISERROR(MATCH(D549,'Ist Vorjahr Monat 09'!A:A,0))=FALSE,INDEX('Ist Vorjahr Monat 09'!B:B,MATCH(D549,'Ist Vorjahr Monat 09'!A:A,0)),
IF(ISERROR(MATCH(D549,'Ist Vorjahr Monat 10'!A:A,0))=FALSE,INDEX('Ist Vorjahr Monat 10'!B:B,MATCH(D549,'Ist Vorjahr Monat 10'!A:A,0)),
IF(ISERROR(MATCH(D549,'Ist Vorjahr Monat 11'!A:A,0))=FALSE,INDEX('Ist Vorjahr Monat 11'!B:B,MATCH(D549,'Ist Vorjahr Monat 11'!A:A,0)),
IF(ISERROR(MATCH(D549,'Ist Vorjahr Monat 12'!A:A,0))=FALSE,INDEX('Ist Vorjahr Monat 12'!B:B,MATCH(D549,'Ist Vorjahr Monat 12'!A:A,0)),
"{Konto unbekannt}"
)))))))))))),"")</f>
        <v/>
      </c>
      <c r="C549" s="1062"/>
      <c r="D549" s="1067"/>
      <c r="E549" s="625">
        <f t="shared" si="237"/>
        <v>1</v>
      </c>
      <c r="F549" s="626"/>
      <c r="G549" s="593">
        <f ca="1">$E549*SUMIF(INDIRECT(G$3),'Struktur Vorjahr'!$D549,INDIRECT(G$8))*IFERROR(IF(VLOOKUP('Struktur Vorjahr'!$D549,INDIRECT(G$6),8,)="H",-1,1),0)</f>
        <v>0</v>
      </c>
      <c r="H549" s="593">
        <f ca="1">$E549*SUMIF(INDIRECT(H$3),'Struktur Vorjahr'!$D549,INDIRECT(H$8))*IFERROR(IF(VLOOKUP('Struktur Vorjahr'!$D549,INDIRECT(H$6),8,)="H",-1,1),0)</f>
        <v>0</v>
      </c>
      <c r="I549" s="593">
        <f ca="1">$E549*SUMIF(INDIRECT(I$3),'Struktur Vorjahr'!$D549,INDIRECT(I$8))*IFERROR(IF(VLOOKUP('Struktur Vorjahr'!$D549,INDIRECT(I$6),8,)="H",-1,1),0)</f>
        <v>0</v>
      </c>
      <c r="J549" s="593">
        <f ca="1">$E549*SUMIF(INDIRECT(J$3),'Struktur Vorjahr'!$D549,INDIRECT(J$8))*IFERROR(IF(VLOOKUP('Struktur Vorjahr'!$D549,INDIRECT(J$6),8,)="H",-1,1),0)</f>
        <v>0</v>
      </c>
      <c r="K549" s="593">
        <f ca="1">$E549*SUMIF(INDIRECT(K$3),'Struktur Vorjahr'!$D549,INDIRECT(K$8))*IFERROR(IF(VLOOKUP('Struktur Vorjahr'!$D549,INDIRECT(K$6),8,)="H",-1,1),0)</f>
        <v>0</v>
      </c>
      <c r="L549" s="593">
        <f ca="1">$E549*SUMIF(INDIRECT(L$3),'Struktur Vorjahr'!$D549,INDIRECT(L$8))*IFERROR(IF(VLOOKUP('Struktur Vorjahr'!$D549,INDIRECT(L$6),8,)="H",-1,1),0)</f>
        <v>0</v>
      </c>
      <c r="M549" s="593">
        <f ca="1">$E549*SUMIF(INDIRECT(M$3),'Struktur Vorjahr'!$D549,INDIRECT(M$8))*IFERROR(IF(VLOOKUP('Struktur Vorjahr'!$D549,INDIRECT(M$6),8,)="H",-1,1),0)</f>
        <v>0</v>
      </c>
      <c r="N549" s="593">
        <f ca="1">$E549*SUMIF(INDIRECT(N$3),'Struktur Vorjahr'!$D549,INDIRECT(N$8))*IFERROR(IF(VLOOKUP('Struktur Vorjahr'!$D549,INDIRECT(N$6),8,)="H",-1,1),0)</f>
        <v>0</v>
      </c>
      <c r="O549" s="593">
        <f ca="1">$E549*SUMIF(INDIRECT(O$3),'Struktur Vorjahr'!$D549,INDIRECT(O$8))*IFERROR(IF(VLOOKUP('Struktur Vorjahr'!$D549,INDIRECT(O$6),8,)="H",-1,1),0)</f>
        <v>0</v>
      </c>
      <c r="P549" s="593">
        <f ca="1">$E549*SUMIF(INDIRECT(P$3),'Struktur Vorjahr'!$D549,INDIRECT(P$8))*IFERROR(IF(VLOOKUP('Struktur Vorjahr'!$D549,INDIRECT(P$6),8,)="H",-1,1),0)</f>
        <v>0</v>
      </c>
      <c r="Q549" s="593">
        <f ca="1">$E549*SUMIF(INDIRECT(Q$3),'Struktur Vorjahr'!$D549,INDIRECT(Q$8))*IFERROR(IF(VLOOKUP('Struktur Vorjahr'!$D549,INDIRECT(Q$6),8,)="H",-1,1),0)</f>
        <v>0</v>
      </c>
      <c r="R549" s="593">
        <f ca="1">$E549*SUMIF(INDIRECT(R$3),'Struktur Vorjahr'!$D549,INDIRECT(R$8))*IFERROR(IF(VLOOKUP('Struktur Vorjahr'!$D549,INDIRECT(R$6),8,)="H",-1,1),0)</f>
        <v>0</v>
      </c>
      <c r="S549" s="593" t="e">
        <f ca="1">$E549*SUMIF(INDIRECT(S$3),'Struktur Vorjahr'!$D549,INDIRECT(S$8))*IFERROR(IF(VLOOKUP('Struktur Vorjahr'!$D549,INDIRECT(S$6),8,)="H",-1,1),0)</f>
        <v>#REF!</v>
      </c>
      <c r="T549" s="593" t="e">
        <f ca="1">$E549*SUMIF(INDIRECT(T$3),'Struktur Vorjahr'!$D549,INDIRECT(T$8))*IFERROR(IF(VLOOKUP('Struktur Vorjahr'!$D549,INDIRECT(T$6),8,)="H",-1,1),0)</f>
        <v>#REF!</v>
      </c>
      <c r="U549" s="593" t="e">
        <f ca="1">$E549*SUMIF(INDIRECT(U$3),'Struktur Vorjahr'!$D549,INDIRECT(U$8))*IFERROR(IF(VLOOKUP('Struktur Vorjahr'!$D549,INDIRECT(U$6),8,)="H",-1,1),0)</f>
        <v>#REF!</v>
      </c>
      <c r="V549" s="593" t="e">
        <f ca="1">$E549*SUMIF(INDIRECT(V$3),'Struktur Vorjahr'!$D549,INDIRECT(V$8))*IFERROR(IF(VLOOKUP('Struktur Vorjahr'!$D549,INDIRECT(V$6),8,)="H",-1,1),0)</f>
        <v>#REF!</v>
      </c>
      <c r="W549" s="593" t="e">
        <f ca="1">$E549*SUMIF(INDIRECT(W$3),'Struktur Vorjahr'!$D549,INDIRECT(W$8))*IFERROR(IF(VLOOKUP('Struktur Vorjahr'!$D549,INDIRECT(W$6),8,)="H",-1,1),0)</f>
        <v>#REF!</v>
      </c>
      <c r="X549" s="593" t="e">
        <f ca="1">$E549*SUMIF(INDIRECT(X$3),'Struktur Vorjahr'!$D549,INDIRECT(X$8))*IFERROR(IF(VLOOKUP('Struktur Vorjahr'!$D549,INDIRECT(X$6),8,)="H",-1,1),0)</f>
        <v>#REF!</v>
      </c>
      <c r="Y549" s="593" t="e">
        <f ca="1">$E549*SUMIF(INDIRECT(Y$3),'Struktur Vorjahr'!$D549,INDIRECT(Y$8))*IFERROR(IF(VLOOKUP('Struktur Vorjahr'!$D549,INDIRECT(Y$6),8,)="H",-1,1),0)</f>
        <v>#REF!</v>
      </c>
      <c r="Z549" s="593" t="e">
        <f ca="1">$E549*SUMIF(INDIRECT(Z$3),'Struktur Vorjahr'!$D549,INDIRECT(Z$8))*IFERROR(IF(VLOOKUP('Struktur Vorjahr'!$D549,INDIRECT(Z$6),8,)="H",-1,1),0)</f>
        <v>#REF!</v>
      </c>
      <c r="AA549" s="593" t="e">
        <f ca="1">$E549*SUMIF(INDIRECT(AA$3),'Struktur Vorjahr'!$D549,INDIRECT(AA$8))*IFERROR(IF(VLOOKUP('Struktur Vorjahr'!$D549,INDIRECT(AA$6),8,)="H",-1,1),0)</f>
        <v>#REF!</v>
      </c>
      <c r="AB549" s="593" t="e">
        <f ca="1">$E549*SUMIF(INDIRECT(AB$3),'Struktur Vorjahr'!$D549,INDIRECT(AB$8))*IFERROR(IF(VLOOKUP('Struktur Vorjahr'!$D549,INDIRECT(AB$6),8,)="H",-1,1),0)</f>
        <v>#REF!</v>
      </c>
      <c r="AC549" s="593" t="e">
        <f ca="1">$E549*SUMIF(INDIRECT(AC$3),'Struktur Vorjahr'!$D549,INDIRECT(AC$8))*IFERROR(IF(VLOOKUP('Struktur Vorjahr'!$D549,INDIRECT(AC$6),8,)="H",-1,1),0)</f>
        <v>#REF!</v>
      </c>
      <c r="AD549" s="593" t="e">
        <f ca="1">$E549*SUMIF(INDIRECT(AD$3),'Struktur Vorjahr'!$D549,INDIRECT(AD$8))*IFERROR(IF(VLOOKUP('Struktur Vorjahr'!$D549,INDIRECT(AD$6),8,)="H",-1,1),0)</f>
        <v>#REF!</v>
      </c>
      <c r="AE549" s="593">
        <f t="shared" ca="1" si="277"/>
        <v>0</v>
      </c>
      <c r="AF549" s="593">
        <f t="shared" ca="1" si="278"/>
        <v>0</v>
      </c>
      <c r="AG549" s="593">
        <f t="shared" ca="1" si="278"/>
        <v>0</v>
      </c>
      <c r="AH549" s="593">
        <f t="shared" ca="1" si="278"/>
        <v>0</v>
      </c>
      <c r="AI549" s="593">
        <f t="shared" ca="1" si="278"/>
        <v>0</v>
      </c>
      <c r="AJ549" s="593">
        <f t="shared" ca="1" si="278"/>
        <v>0</v>
      </c>
      <c r="AK549" s="593">
        <f t="shared" ca="1" si="278"/>
        <v>0</v>
      </c>
      <c r="AL549" s="593">
        <f t="shared" ca="1" si="278"/>
        <v>0</v>
      </c>
      <c r="AM549" s="593">
        <f t="shared" ca="1" si="278"/>
        <v>0</v>
      </c>
      <c r="AN549" s="593">
        <f t="shared" ca="1" si="278"/>
        <v>0</v>
      </c>
      <c r="AO549" s="593">
        <f t="shared" ca="1" si="278"/>
        <v>0</v>
      </c>
      <c r="AP549" s="593">
        <f t="shared" ca="1" si="278"/>
        <v>0</v>
      </c>
    </row>
    <row r="550" spans="1:42" s="594" customFormat="1" ht="11.25" outlineLevel="1" x14ac:dyDescent="0.2">
      <c r="A550" s="644"/>
      <c r="B550" s="591" t="str">
        <f>IF(D550&lt;&gt;"",
IF(ISERROR(MATCH(D550,'Ist Vorjahr Monat 01'!A:A,0))=FALSE,INDEX('Ist Vorjahr Monat 01'!B:B,MATCH(D550,'Ist Vorjahr Monat 01'!A:A,0)),
IF(ISERROR(MATCH(D550,'Ist Vorjahr Monat 02'!A:A,0))=FALSE,INDEX('Ist Vorjahr Monat 02'!B:B,MATCH(D550,'Ist Vorjahr Monat 02'!A:A,0)),
IF(ISERROR(MATCH(D550,'Ist Vorjahr Monat 03'!A:A,0))=FALSE,INDEX('Ist Vorjahr Monat 03'!B:B,MATCH(D550,'Ist Vorjahr Monat 03'!A:A,0)),
IF(ISERROR(MATCH(D550,'Ist Vorjahr Monat 04'!A:A,0))=FALSE,INDEX('Ist Vorjahr Monat 04'!B:B,MATCH(D550,'Ist Vorjahr Monat 04'!A:A,0)),
IF(ISERROR(MATCH(D550,'Ist Vorjahr Monat 05'!A:A,0))=FALSE,INDEX('Ist Vorjahr Monat 05'!B:B,MATCH(D550,'Ist Vorjahr Monat 05'!A:A,0)),
IF(ISERROR(MATCH(D550,'Ist Vorjahr Monat 06'!A:A,0))=FALSE,INDEX('Ist Vorjahr Monat 06'!B:B,MATCH(D550,'Ist Vorjahr Monat 06'!A:A,0)),
IF(ISERROR(MATCH(D550,'Ist Vorjahr Monat 07'!A:A,0))=FALSE,INDEX('Ist Vorjahr Monat 07'!B:B,MATCH(D550,'Ist Vorjahr Monat 07'!A:A,0)),
IF(ISERROR(MATCH(D550,'Ist Vorjahr Monat 08'!A:A,0))=FALSE,INDEX('Ist Vorjahr Monat 08'!B:B,MATCH(D550,'Ist Vorjahr Monat 08'!A:A,0)),
IF(ISERROR(MATCH(D550,'Ist Vorjahr Monat 09'!A:A,0))=FALSE,INDEX('Ist Vorjahr Monat 09'!B:B,MATCH(D550,'Ist Vorjahr Monat 09'!A:A,0)),
IF(ISERROR(MATCH(D550,'Ist Vorjahr Monat 10'!A:A,0))=FALSE,INDEX('Ist Vorjahr Monat 10'!B:B,MATCH(D550,'Ist Vorjahr Monat 10'!A:A,0)),
IF(ISERROR(MATCH(D550,'Ist Vorjahr Monat 11'!A:A,0))=FALSE,INDEX('Ist Vorjahr Monat 11'!B:B,MATCH(D550,'Ist Vorjahr Monat 11'!A:A,0)),
IF(ISERROR(MATCH(D550,'Ist Vorjahr Monat 12'!A:A,0))=FALSE,INDEX('Ist Vorjahr Monat 12'!B:B,MATCH(D550,'Ist Vorjahr Monat 12'!A:A,0)),
"{Konto unbekannt}"
)))))))))))),"")</f>
        <v/>
      </c>
      <c r="C550" s="1062"/>
      <c r="D550" s="1067"/>
      <c r="E550" s="625">
        <f t="shared" si="237"/>
        <v>1</v>
      </c>
      <c r="F550" s="626"/>
      <c r="G550" s="593">
        <f ca="1">$E550*SUMIF(INDIRECT(G$3),'Struktur Vorjahr'!$D550,INDIRECT(G$8))*IFERROR(IF(VLOOKUP('Struktur Vorjahr'!$D550,INDIRECT(G$6),8,)="H",-1,1),0)</f>
        <v>0</v>
      </c>
      <c r="H550" s="593">
        <f ca="1">$E550*SUMIF(INDIRECT(H$3),'Struktur Vorjahr'!$D550,INDIRECT(H$8))*IFERROR(IF(VLOOKUP('Struktur Vorjahr'!$D550,INDIRECT(H$6),8,)="H",-1,1),0)</f>
        <v>0</v>
      </c>
      <c r="I550" s="593">
        <f ca="1">$E550*SUMIF(INDIRECT(I$3),'Struktur Vorjahr'!$D550,INDIRECT(I$8))*IFERROR(IF(VLOOKUP('Struktur Vorjahr'!$D550,INDIRECT(I$6),8,)="H",-1,1),0)</f>
        <v>0</v>
      </c>
      <c r="J550" s="593">
        <f ca="1">$E550*SUMIF(INDIRECT(J$3),'Struktur Vorjahr'!$D550,INDIRECT(J$8))*IFERROR(IF(VLOOKUP('Struktur Vorjahr'!$D550,INDIRECT(J$6),8,)="H",-1,1),0)</f>
        <v>0</v>
      </c>
      <c r="K550" s="593">
        <f ca="1">$E550*SUMIF(INDIRECT(K$3),'Struktur Vorjahr'!$D550,INDIRECT(K$8))*IFERROR(IF(VLOOKUP('Struktur Vorjahr'!$D550,INDIRECT(K$6),8,)="H",-1,1),0)</f>
        <v>0</v>
      </c>
      <c r="L550" s="593">
        <f ca="1">$E550*SUMIF(INDIRECT(L$3),'Struktur Vorjahr'!$D550,INDIRECT(L$8))*IFERROR(IF(VLOOKUP('Struktur Vorjahr'!$D550,INDIRECT(L$6),8,)="H",-1,1),0)</f>
        <v>0</v>
      </c>
      <c r="M550" s="593">
        <f ca="1">$E550*SUMIF(INDIRECT(M$3),'Struktur Vorjahr'!$D550,INDIRECT(M$8))*IFERROR(IF(VLOOKUP('Struktur Vorjahr'!$D550,INDIRECT(M$6),8,)="H",-1,1),0)</f>
        <v>0</v>
      </c>
      <c r="N550" s="593">
        <f ca="1">$E550*SUMIF(INDIRECT(N$3),'Struktur Vorjahr'!$D550,INDIRECT(N$8))*IFERROR(IF(VLOOKUP('Struktur Vorjahr'!$D550,INDIRECT(N$6),8,)="H",-1,1),0)</f>
        <v>0</v>
      </c>
      <c r="O550" s="593">
        <f ca="1">$E550*SUMIF(INDIRECT(O$3),'Struktur Vorjahr'!$D550,INDIRECT(O$8))*IFERROR(IF(VLOOKUP('Struktur Vorjahr'!$D550,INDIRECT(O$6),8,)="H",-1,1),0)</f>
        <v>0</v>
      </c>
      <c r="P550" s="593">
        <f ca="1">$E550*SUMIF(INDIRECT(P$3),'Struktur Vorjahr'!$D550,INDIRECT(P$8))*IFERROR(IF(VLOOKUP('Struktur Vorjahr'!$D550,INDIRECT(P$6),8,)="H",-1,1),0)</f>
        <v>0</v>
      </c>
      <c r="Q550" s="593">
        <f ca="1">$E550*SUMIF(INDIRECT(Q$3),'Struktur Vorjahr'!$D550,INDIRECT(Q$8))*IFERROR(IF(VLOOKUP('Struktur Vorjahr'!$D550,INDIRECT(Q$6),8,)="H",-1,1),0)</f>
        <v>0</v>
      </c>
      <c r="R550" s="593">
        <f ca="1">$E550*SUMIF(INDIRECT(R$3),'Struktur Vorjahr'!$D550,INDIRECT(R$8))*IFERROR(IF(VLOOKUP('Struktur Vorjahr'!$D550,INDIRECT(R$6),8,)="H",-1,1),0)</f>
        <v>0</v>
      </c>
      <c r="S550" s="593" t="e">
        <f ca="1">$E550*SUMIF(INDIRECT(S$3),'Struktur Vorjahr'!$D550,INDIRECT(S$8))*IFERROR(IF(VLOOKUP('Struktur Vorjahr'!$D550,INDIRECT(S$6),8,)="H",-1,1),0)</f>
        <v>#REF!</v>
      </c>
      <c r="T550" s="593" t="e">
        <f ca="1">$E550*SUMIF(INDIRECT(T$3),'Struktur Vorjahr'!$D550,INDIRECT(T$8))*IFERROR(IF(VLOOKUP('Struktur Vorjahr'!$D550,INDIRECT(T$6),8,)="H",-1,1),0)</f>
        <v>#REF!</v>
      </c>
      <c r="U550" s="593" t="e">
        <f ca="1">$E550*SUMIF(INDIRECT(U$3),'Struktur Vorjahr'!$D550,INDIRECT(U$8))*IFERROR(IF(VLOOKUP('Struktur Vorjahr'!$D550,INDIRECT(U$6),8,)="H",-1,1),0)</f>
        <v>#REF!</v>
      </c>
      <c r="V550" s="593" t="e">
        <f ca="1">$E550*SUMIF(INDIRECT(V$3),'Struktur Vorjahr'!$D550,INDIRECT(V$8))*IFERROR(IF(VLOOKUP('Struktur Vorjahr'!$D550,INDIRECT(V$6),8,)="H",-1,1),0)</f>
        <v>#REF!</v>
      </c>
      <c r="W550" s="593" t="e">
        <f ca="1">$E550*SUMIF(INDIRECT(W$3),'Struktur Vorjahr'!$D550,INDIRECT(W$8))*IFERROR(IF(VLOOKUP('Struktur Vorjahr'!$D550,INDIRECT(W$6),8,)="H",-1,1),0)</f>
        <v>#REF!</v>
      </c>
      <c r="X550" s="593" t="e">
        <f ca="1">$E550*SUMIF(INDIRECT(X$3),'Struktur Vorjahr'!$D550,INDIRECT(X$8))*IFERROR(IF(VLOOKUP('Struktur Vorjahr'!$D550,INDIRECT(X$6),8,)="H",-1,1),0)</f>
        <v>#REF!</v>
      </c>
      <c r="Y550" s="593" t="e">
        <f ca="1">$E550*SUMIF(INDIRECT(Y$3),'Struktur Vorjahr'!$D550,INDIRECT(Y$8))*IFERROR(IF(VLOOKUP('Struktur Vorjahr'!$D550,INDIRECT(Y$6),8,)="H",-1,1),0)</f>
        <v>#REF!</v>
      </c>
      <c r="Z550" s="593" t="e">
        <f ca="1">$E550*SUMIF(INDIRECT(Z$3),'Struktur Vorjahr'!$D550,INDIRECT(Z$8))*IFERROR(IF(VLOOKUP('Struktur Vorjahr'!$D550,INDIRECT(Z$6),8,)="H",-1,1),0)</f>
        <v>#REF!</v>
      </c>
      <c r="AA550" s="593" t="e">
        <f ca="1">$E550*SUMIF(INDIRECT(AA$3),'Struktur Vorjahr'!$D550,INDIRECT(AA$8))*IFERROR(IF(VLOOKUP('Struktur Vorjahr'!$D550,INDIRECT(AA$6),8,)="H",-1,1),0)</f>
        <v>#REF!</v>
      </c>
      <c r="AB550" s="593" t="e">
        <f ca="1">$E550*SUMIF(INDIRECT(AB$3),'Struktur Vorjahr'!$D550,INDIRECT(AB$8))*IFERROR(IF(VLOOKUP('Struktur Vorjahr'!$D550,INDIRECT(AB$6),8,)="H",-1,1),0)</f>
        <v>#REF!</v>
      </c>
      <c r="AC550" s="593" t="e">
        <f ca="1">$E550*SUMIF(INDIRECT(AC$3),'Struktur Vorjahr'!$D550,INDIRECT(AC$8))*IFERROR(IF(VLOOKUP('Struktur Vorjahr'!$D550,INDIRECT(AC$6),8,)="H",-1,1),0)</f>
        <v>#REF!</v>
      </c>
      <c r="AD550" s="593" t="e">
        <f ca="1">$E550*SUMIF(INDIRECT(AD$3),'Struktur Vorjahr'!$D550,INDIRECT(AD$8))*IFERROR(IF(VLOOKUP('Struktur Vorjahr'!$D550,INDIRECT(AD$6),8,)="H",-1,1),0)</f>
        <v>#REF!</v>
      </c>
      <c r="AE550" s="593">
        <f t="shared" ca="1" si="277"/>
        <v>0</v>
      </c>
      <c r="AF550" s="593">
        <f t="shared" ca="1" si="278"/>
        <v>0</v>
      </c>
      <c r="AG550" s="593">
        <f t="shared" ca="1" si="278"/>
        <v>0</v>
      </c>
      <c r="AH550" s="593">
        <f t="shared" ca="1" si="278"/>
        <v>0</v>
      </c>
      <c r="AI550" s="593">
        <f t="shared" ca="1" si="278"/>
        <v>0</v>
      </c>
      <c r="AJ550" s="593">
        <f t="shared" ca="1" si="278"/>
        <v>0</v>
      </c>
      <c r="AK550" s="593">
        <f t="shared" ca="1" si="278"/>
        <v>0</v>
      </c>
      <c r="AL550" s="593">
        <f t="shared" ca="1" si="278"/>
        <v>0</v>
      </c>
      <c r="AM550" s="593">
        <f t="shared" ca="1" si="278"/>
        <v>0</v>
      </c>
      <c r="AN550" s="593">
        <f t="shared" ca="1" si="278"/>
        <v>0</v>
      </c>
      <c r="AO550" s="593">
        <f t="shared" ca="1" si="278"/>
        <v>0</v>
      </c>
      <c r="AP550" s="593">
        <f t="shared" ca="1" si="278"/>
        <v>0</v>
      </c>
    </row>
    <row r="551" spans="1:42" s="594" customFormat="1" ht="11.25" outlineLevel="1" x14ac:dyDescent="0.2">
      <c r="A551" s="644"/>
      <c r="B551" s="591" t="str">
        <f>IF(D551&lt;&gt;"",
IF(ISERROR(MATCH(D551,'Ist Vorjahr Monat 01'!A:A,0))=FALSE,INDEX('Ist Vorjahr Monat 01'!B:B,MATCH(D551,'Ist Vorjahr Monat 01'!A:A,0)),
IF(ISERROR(MATCH(D551,'Ist Vorjahr Monat 02'!A:A,0))=FALSE,INDEX('Ist Vorjahr Monat 02'!B:B,MATCH(D551,'Ist Vorjahr Monat 02'!A:A,0)),
IF(ISERROR(MATCH(D551,'Ist Vorjahr Monat 03'!A:A,0))=FALSE,INDEX('Ist Vorjahr Monat 03'!B:B,MATCH(D551,'Ist Vorjahr Monat 03'!A:A,0)),
IF(ISERROR(MATCH(D551,'Ist Vorjahr Monat 04'!A:A,0))=FALSE,INDEX('Ist Vorjahr Monat 04'!B:B,MATCH(D551,'Ist Vorjahr Monat 04'!A:A,0)),
IF(ISERROR(MATCH(D551,'Ist Vorjahr Monat 05'!A:A,0))=FALSE,INDEX('Ist Vorjahr Monat 05'!B:B,MATCH(D551,'Ist Vorjahr Monat 05'!A:A,0)),
IF(ISERROR(MATCH(D551,'Ist Vorjahr Monat 06'!A:A,0))=FALSE,INDEX('Ist Vorjahr Monat 06'!B:B,MATCH(D551,'Ist Vorjahr Monat 06'!A:A,0)),
IF(ISERROR(MATCH(D551,'Ist Vorjahr Monat 07'!A:A,0))=FALSE,INDEX('Ist Vorjahr Monat 07'!B:B,MATCH(D551,'Ist Vorjahr Monat 07'!A:A,0)),
IF(ISERROR(MATCH(D551,'Ist Vorjahr Monat 08'!A:A,0))=FALSE,INDEX('Ist Vorjahr Monat 08'!B:B,MATCH(D551,'Ist Vorjahr Monat 08'!A:A,0)),
IF(ISERROR(MATCH(D551,'Ist Vorjahr Monat 09'!A:A,0))=FALSE,INDEX('Ist Vorjahr Monat 09'!B:B,MATCH(D551,'Ist Vorjahr Monat 09'!A:A,0)),
IF(ISERROR(MATCH(D551,'Ist Vorjahr Monat 10'!A:A,0))=FALSE,INDEX('Ist Vorjahr Monat 10'!B:B,MATCH(D551,'Ist Vorjahr Monat 10'!A:A,0)),
IF(ISERROR(MATCH(D551,'Ist Vorjahr Monat 11'!A:A,0))=FALSE,INDEX('Ist Vorjahr Monat 11'!B:B,MATCH(D551,'Ist Vorjahr Monat 11'!A:A,0)),
IF(ISERROR(MATCH(D551,'Ist Vorjahr Monat 12'!A:A,0))=FALSE,INDEX('Ist Vorjahr Monat 12'!B:B,MATCH(D551,'Ist Vorjahr Monat 12'!A:A,0)),
"{Konto unbekannt}"
)))))))))))),"")</f>
        <v/>
      </c>
      <c r="C551" s="1062"/>
      <c r="D551" s="1067"/>
      <c r="E551" s="625">
        <f t="shared" si="237"/>
        <v>1</v>
      </c>
      <c r="F551" s="626"/>
      <c r="G551" s="593">
        <f ca="1">$E551*SUMIF(INDIRECT(G$3),'Struktur Vorjahr'!$D551,INDIRECT(G$8))*IFERROR(IF(VLOOKUP('Struktur Vorjahr'!$D551,INDIRECT(G$6),8,)="H",-1,1),0)</f>
        <v>0</v>
      </c>
      <c r="H551" s="593">
        <f ca="1">$E551*SUMIF(INDIRECT(H$3),'Struktur Vorjahr'!$D551,INDIRECT(H$8))*IFERROR(IF(VLOOKUP('Struktur Vorjahr'!$D551,INDIRECT(H$6),8,)="H",-1,1),0)</f>
        <v>0</v>
      </c>
      <c r="I551" s="593">
        <f ca="1">$E551*SUMIF(INDIRECT(I$3),'Struktur Vorjahr'!$D551,INDIRECT(I$8))*IFERROR(IF(VLOOKUP('Struktur Vorjahr'!$D551,INDIRECT(I$6),8,)="H",-1,1),0)</f>
        <v>0</v>
      </c>
      <c r="J551" s="593">
        <f ca="1">$E551*SUMIF(INDIRECT(J$3),'Struktur Vorjahr'!$D551,INDIRECT(J$8))*IFERROR(IF(VLOOKUP('Struktur Vorjahr'!$D551,INDIRECT(J$6),8,)="H",-1,1),0)</f>
        <v>0</v>
      </c>
      <c r="K551" s="593">
        <f ca="1">$E551*SUMIF(INDIRECT(K$3),'Struktur Vorjahr'!$D551,INDIRECT(K$8))*IFERROR(IF(VLOOKUP('Struktur Vorjahr'!$D551,INDIRECT(K$6),8,)="H",-1,1),0)</f>
        <v>0</v>
      </c>
      <c r="L551" s="593">
        <f ca="1">$E551*SUMIF(INDIRECT(L$3),'Struktur Vorjahr'!$D551,INDIRECT(L$8))*IFERROR(IF(VLOOKUP('Struktur Vorjahr'!$D551,INDIRECT(L$6),8,)="H",-1,1),0)</f>
        <v>0</v>
      </c>
      <c r="M551" s="593">
        <f ca="1">$E551*SUMIF(INDIRECT(M$3),'Struktur Vorjahr'!$D551,INDIRECT(M$8))*IFERROR(IF(VLOOKUP('Struktur Vorjahr'!$D551,INDIRECT(M$6),8,)="H",-1,1),0)</f>
        <v>0</v>
      </c>
      <c r="N551" s="593">
        <f ca="1">$E551*SUMIF(INDIRECT(N$3),'Struktur Vorjahr'!$D551,INDIRECT(N$8))*IFERROR(IF(VLOOKUP('Struktur Vorjahr'!$D551,INDIRECT(N$6),8,)="H",-1,1),0)</f>
        <v>0</v>
      </c>
      <c r="O551" s="593">
        <f ca="1">$E551*SUMIF(INDIRECT(O$3),'Struktur Vorjahr'!$D551,INDIRECT(O$8))*IFERROR(IF(VLOOKUP('Struktur Vorjahr'!$D551,INDIRECT(O$6),8,)="H",-1,1),0)</f>
        <v>0</v>
      </c>
      <c r="P551" s="593">
        <f ca="1">$E551*SUMIF(INDIRECT(P$3),'Struktur Vorjahr'!$D551,INDIRECT(P$8))*IFERROR(IF(VLOOKUP('Struktur Vorjahr'!$D551,INDIRECT(P$6),8,)="H",-1,1),0)</f>
        <v>0</v>
      </c>
      <c r="Q551" s="593">
        <f ca="1">$E551*SUMIF(INDIRECT(Q$3),'Struktur Vorjahr'!$D551,INDIRECT(Q$8))*IFERROR(IF(VLOOKUP('Struktur Vorjahr'!$D551,INDIRECT(Q$6),8,)="H",-1,1),0)</f>
        <v>0</v>
      </c>
      <c r="R551" s="593">
        <f ca="1">$E551*SUMIF(INDIRECT(R$3),'Struktur Vorjahr'!$D551,INDIRECT(R$8))*IFERROR(IF(VLOOKUP('Struktur Vorjahr'!$D551,INDIRECT(R$6),8,)="H",-1,1),0)</f>
        <v>0</v>
      </c>
      <c r="S551" s="593" t="e">
        <f ca="1">$E551*SUMIF(INDIRECT(S$3),'Struktur Vorjahr'!$D551,INDIRECT(S$8))*IFERROR(IF(VLOOKUP('Struktur Vorjahr'!$D551,INDIRECT(S$6),8,)="H",-1,1),0)</f>
        <v>#REF!</v>
      </c>
      <c r="T551" s="593" t="e">
        <f ca="1">$E551*SUMIF(INDIRECT(T$3),'Struktur Vorjahr'!$D551,INDIRECT(T$8))*IFERROR(IF(VLOOKUP('Struktur Vorjahr'!$D551,INDIRECT(T$6),8,)="H",-1,1),0)</f>
        <v>#REF!</v>
      </c>
      <c r="U551" s="593" t="e">
        <f ca="1">$E551*SUMIF(INDIRECT(U$3),'Struktur Vorjahr'!$D551,INDIRECT(U$8))*IFERROR(IF(VLOOKUP('Struktur Vorjahr'!$D551,INDIRECT(U$6),8,)="H",-1,1),0)</f>
        <v>#REF!</v>
      </c>
      <c r="V551" s="593" t="e">
        <f ca="1">$E551*SUMIF(INDIRECT(V$3),'Struktur Vorjahr'!$D551,INDIRECT(V$8))*IFERROR(IF(VLOOKUP('Struktur Vorjahr'!$D551,INDIRECT(V$6),8,)="H",-1,1),0)</f>
        <v>#REF!</v>
      </c>
      <c r="W551" s="593" t="e">
        <f ca="1">$E551*SUMIF(INDIRECT(W$3),'Struktur Vorjahr'!$D551,INDIRECT(W$8))*IFERROR(IF(VLOOKUP('Struktur Vorjahr'!$D551,INDIRECT(W$6),8,)="H",-1,1),0)</f>
        <v>#REF!</v>
      </c>
      <c r="X551" s="593" t="e">
        <f ca="1">$E551*SUMIF(INDIRECT(X$3),'Struktur Vorjahr'!$D551,INDIRECT(X$8))*IFERROR(IF(VLOOKUP('Struktur Vorjahr'!$D551,INDIRECT(X$6),8,)="H",-1,1),0)</f>
        <v>#REF!</v>
      </c>
      <c r="Y551" s="593" t="e">
        <f ca="1">$E551*SUMIF(INDIRECT(Y$3),'Struktur Vorjahr'!$D551,INDIRECT(Y$8))*IFERROR(IF(VLOOKUP('Struktur Vorjahr'!$D551,INDIRECT(Y$6),8,)="H",-1,1),0)</f>
        <v>#REF!</v>
      </c>
      <c r="Z551" s="593" t="e">
        <f ca="1">$E551*SUMIF(INDIRECT(Z$3),'Struktur Vorjahr'!$D551,INDIRECT(Z$8))*IFERROR(IF(VLOOKUP('Struktur Vorjahr'!$D551,INDIRECT(Z$6),8,)="H",-1,1),0)</f>
        <v>#REF!</v>
      </c>
      <c r="AA551" s="593" t="e">
        <f ca="1">$E551*SUMIF(INDIRECT(AA$3),'Struktur Vorjahr'!$D551,INDIRECT(AA$8))*IFERROR(IF(VLOOKUP('Struktur Vorjahr'!$D551,INDIRECT(AA$6),8,)="H",-1,1),0)</f>
        <v>#REF!</v>
      </c>
      <c r="AB551" s="593" t="e">
        <f ca="1">$E551*SUMIF(INDIRECT(AB$3),'Struktur Vorjahr'!$D551,INDIRECT(AB$8))*IFERROR(IF(VLOOKUP('Struktur Vorjahr'!$D551,INDIRECT(AB$6),8,)="H",-1,1),0)</f>
        <v>#REF!</v>
      </c>
      <c r="AC551" s="593" t="e">
        <f ca="1">$E551*SUMIF(INDIRECT(AC$3),'Struktur Vorjahr'!$D551,INDIRECT(AC$8))*IFERROR(IF(VLOOKUP('Struktur Vorjahr'!$D551,INDIRECT(AC$6),8,)="H",-1,1),0)</f>
        <v>#REF!</v>
      </c>
      <c r="AD551" s="593" t="e">
        <f ca="1">$E551*SUMIF(INDIRECT(AD$3),'Struktur Vorjahr'!$D551,INDIRECT(AD$8))*IFERROR(IF(VLOOKUP('Struktur Vorjahr'!$D551,INDIRECT(AD$6),8,)="H",-1,1),0)</f>
        <v>#REF!</v>
      </c>
      <c r="AE551" s="593">
        <f t="shared" ca="1" si="277"/>
        <v>0</v>
      </c>
      <c r="AF551" s="593">
        <f t="shared" ca="1" si="278"/>
        <v>0</v>
      </c>
      <c r="AG551" s="593">
        <f t="shared" ca="1" si="278"/>
        <v>0</v>
      </c>
      <c r="AH551" s="593">
        <f t="shared" ca="1" si="278"/>
        <v>0</v>
      </c>
      <c r="AI551" s="593">
        <f t="shared" ca="1" si="278"/>
        <v>0</v>
      </c>
      <c r="AJ551" s="593">
        <f t="shared" ca="1" si="278"/>
        <v>0</v>
      </c>
      <c r="AK551" s="593">
        <f t="shared" ca="1" si="278"/>
        <v>0</v>
      </c>
      <c r="AL551" s="593">
        <f t="shared" ca="1" si="278"/>
        <v>0</v>
      </c>
      <c r="AM551" s="593">
        <f t="shared" ca="1" si="278"/>
        <v>0</v>
      </c>
      <c r="AN551" s="593">
        <f t="shared" ca="1" si="278"/>
        <v>0</v>
      </c>
      <c r="AO551" s="593">
        <f t="shared" ca="1" si="278"/>
        <v>0</v>
      </c>
      <c r="AP551" s="593">
        <f t="shared" ca="1" si="278"/>
        <v>0</v>
      </c>
    </row>
    <row r="552" spans="1:42" s="594" customFormat="1" ht="11.25" outlineLevel="1" x14ac:dyDescent="0.2">
      <c r="A552" s="644"/>
      <c r="B552" s="591" t="str">
        <f>IF(D552&lt;&gt;"",
IF(ISERROR(MATCH(D552,'Ist Vorjahr Monat 01'!A:A,0))=FALSE,INDEX('Ist Vorjahr Monat 01'!B:B,MATCH(D552,'Ist Vorjahr Monat 01'!A:A,0)),
IF(ISERROR(MATCH(D552,'Ist Vorjahr Monat 02'!A:A,0))=FALSE,INDEX('Ist Vorjahr Monat 02'!B:B,MATCH(D552,'Ist Vorjahr Monat 02'!A:A,0)),
IF(ISERROR(MATCH(D552,'Ist Vorjahr Monat 03'!A:A,0))=FALSE,INDEX('Ist Vorjahr Monat 03'!B:B,MATCH(D552,'Ist Vorjahr Monat 03'!A:A,0)),
IF(ISERROR(MATCH(D552,'Ist Vorjahr Monat 04'!A:A,0))=FALSE,INDEX('Ist Vorjahr Monat 04'!B:B,MATCH(D552,'Ist Vorjahr Monat 04'!A:A,0)),
IF(ISERROR(MATCH(D552,'Ist Vorjahr Monat 05'!A:A,0))=FALSE,INDEX('Ist Vorjahr Monat 05'!B:B,MATCH(D552,'Ist Vorjahr Monat 05'!A:A,0)),
IF(ISERROR(MATCH(D552,'Ist Vorjahr Monat 06'!A:A,0))=FALSE,INDEX('Ist Vorjahr Monat 06'!B:B,MATCH(D552,'Ist Vorjahr Monat 06'!A:A,0)),
IF(ISERROR(MATCH(D552,'Ist Vorjahr Monat 07'!A:A,0))=FALSE,INDEX('Ist Vorjahr Monat 07'!B:B,MATCH(D552,'Ist Vorjahr Monat 07'!A:A,0)),
IF(ISERROR(MATCH(D552,'Ist Vorjahr Monat 08'!A:A,0))=FALSE,INDEX('Ist Vorjahr Monat 08'!B:B,MATCH(D552,'Ist Vorjahr Monat 08'!A:A,0)),
IF(ISERROR(MATCH(D552,'Ist Vorjahr Monat 09'!A:A,0))=FALSE,INDEX('Ist Vorjahr Monat 09'!B:B,MATCH(D552,'Ist Vorjahr Monat 09'!A:A,0)),
IF(ISERROR(MATCH(D552,'Ist Vorjahr Monat 10'!A:A,0))=FALSE,INDEX('Ist Vorjahr Monat 10'!B:B,MATCH(D552,'Ist Vorjahr Monat 10'!A:A,0)),
IF(ISERROR(MATCH(D552,'Ist Vorjahr Monat 11'!A:A,0))=FALSE,INDEX('Ist Vorjahr Monat 11'!B:B,MATCH(D552,'Ist Vorjahr Monat 11'!A:A,0)),
IF(ISERROR(MATCH(D552,'Ist Vorjahr Monat 12'!A:A,0))=FALSE,INDEX('Ist Vorjahr Monat 12'!B:B,MATCH(D552,'Ist Vorjahr Monat 12'!A:A,0)),
"{Konto unbekannt}"
)))))))))))),"")</f>
        <v/>
      </c>
      <c r="C552" s="1062"/>
      <c r="D552" s="1067"/>
      <c r="E552" s="625">
        <f t="shared" si="237"/>
        <v>1</v>
      </c>
      <c r="F552" s="626"/>
      <c r="G552" s="593">
        <f ca="1">$E552*SUMIF(INDIRECT(G$3),'Struktur Vorjahr'!$D552,INDIRECT(G$8))*IFERROR(IF(VLOOKUP('Struktur Vorjahr'!$D552,INDIRECT(G$6),8,)="H",-1,1),0)</f>
        <v>0</v>
      </c>
      <c r="H552" s="593">
        <f ca="1">$E552*SUMIF(INDIRECT(H$3),'Struktur Vorjahr'!$D552,INDIRECT(H$8))*IFERROR(IF(VLOOKUP('Struktur Vorjahr'!$D552,INDIRECT(H$6),8,)="H",-1,1),0)</f>
        <v>0</v>
      </c>
      <c r="I552" s="593">
        <f ca="1">$E552*SUMIF(INDIRECT(I$3),'Struktur Vorjahr'!$D552,INDIRECT(I$8))*IFERROR(IF(VLOOKUP('Struktur Vorjahr'!$D552,INDIRECT(I$6),8,)="H",-1,1),0)</f>
        <v>0</v>
      </c>
      <c r="J552" s="593">
        <f ca="1">$E552*SUMIF(INDIRECT(J$3),'Struktur Vorjahr'!$D552,INDIRECT(J$8))*IFERROR(IF(VLOOKUP('Struktur Vorjahr'!$D552,INDIRECT(J$6),8,)="H",-1,1),0)</f>
        <v>0</v>
      </c>
      <c r="K552" s="593">
        <f ca="1">$E552*SUMIF(INDIRECT(K$3),'Struktur Vorjahr'!$D552,INDIRECT(K$8))*IFERROR(IF(VLOOKUP('Struktur Vorjahr'!$D552,INDIRECT(K$6),8,)="H",-1,1),0)</f>
        <v>0</v>
      </c>
      <c r="L552" s="593">
        <f ca="1">$E552*SUMIF(INDIRECT(L$3),'Struktur Vorjahr'!$D552,INDIRECT(L$8))*IFERROR(IF(VLOOKUP('Struktur Vorjahr'!$D552,INDIRECT(L$6),8,)="H",-1,1),0)</f>
        <v>0</v>
      </c>
      <c r="M552" s="593">
        <f ca="1">$E552*SUMIF(INDIRECT(M$3),'Struktur Vorjahr'!$D552,INDIRECT(M$8))*IFERROR(IF(VLOOKUP('Struktur Vorjahr'!$D552,INDIRECT(M$6),8,)="H",-1,1),0)</f>
        <v>0</v>
      </c>
      <c r="N552" s="593">
        <f ca="1">$E552*SUMIF(INDIRECT(N$3),'Struktur Vorjahr'!$D552,INDIRECT(N$8))*IFERROR(IF(VLOOKUP('Struktur Vorjahr'!$D552,INDIRECT(N$6),8,)="H",-1,1),0)</f>
        <v>0</v>
      </c>
      <c r="O552" s="593">
        <f ca="1">$E552*SUMIF(INDIRECT(O$3),'Struktur Vorjahr'!$D552,INDIRECT(O$8))*IFERROR(IF(VLOOKUP('Struktur Vorjahr'!$D552,INDIRECT(O$6),8,)="H",-1,1),0)</f>
        <v>0</v>
      </c>
      <c r="P552" s="593">
        <f ca="1">$E552*SUMIF(INDIRECT(P$3),'Struktur Vorjahr'!$D552,INDIRECT(P$8))*IFERROR(IF(VLOOKUP('Struktur Vorjahr'!$D552,INDIRECT(P$6),8,)="H",-1,1),0)</f>
        <v>0</v>
      </c>
      <c r="Q552" s="593">
        <f ca="1">$E552*SUMIF(INDIRECT(Q$3),'Struktur Vorjahr'!$D552,INDIRECT(Q$8))*IFERROR(IF(VLOOKUP('Struktur Vorjahr'!$D552,INDIRECT(Q$6),8,)="H",-1,1),0)</f>
        <v>0</v>
      </c>
      <c r="R552" s="593">
        <f ca="1">$E552*SUMIF(INDIRECT(R$3),'Struktur Vorjahr'!$D552,INDIRECT(R$8))*IFERROR(IF(VLOOKUP('Struktur Vorjahr'!$D552,INDIRECT(R$6),8,)="H",-1,1),0)</f>
        <v>0</v>
      </c>
      <c r="S552" s="593" t="e">
        <f ca="1">$E552*SUMIF(INDIRECT(S$3),'Struktur Vorjahr'!$D552,INDIRECT(S$8))*IFERROR(IF(VLOOKUP('Struktur Vorjahr'!$D552,INDIRECT(S$6),8,)="H",-1,1),0)</f>
        <v>#REF!</v>
      </c>
      <c r="T552" s="593" t="e">
        <f ca="1">$E552*SUMIF(INDIRECT(T$3),'Struktur Vorjahr'!$D552,INDIRECT(T$8))*IFERROR(IF(VLOOKUP('Struktur Vorjahr'!$D552,INDIRECT(T$6),8,)="H",-1,1),0)</f>
        <v>#REF!</v>
      </c>
      <c r="U552" s="593" t="e">
        <f ca="1">$E552*SUMIF(INDIRECT(U$3),'Struktur Vorjahr'!$D552,INDIRECT(U$8))*IFERROR(IF(VLOOKUP('Struktur Vorjahr'!$D552,INDIRECT(U$6),8,)="H",-1,1),0)</f>
        <v>#REF!</v>
      </c>
      <c r="V552" s="593" t="e">
        <f ca="1">$E552*SUMIF(INDIRECT(V$3),'Struktur Vorjahr'!$D552,INDIRECT(V$8))*IFERROR(IF(VLOOKUP('Struktur Vorjahr'!$D552,INDIRECT(V$6),8,)="H",-1,1),0)</f>
        <v>#REF!</v>
      </c>
      <c r="W552" s="593" t="e">
        <f ca="1">$E552*SUMIF(INDIRECT(W$3),'Struktur Vorjahr'!$D552,INDIRECT(W$8))*IFERROR(IF(VLOOKUP('Struktur Vorjahr'!$D552,INDIRECT(W$6),8,)="H",-1,1),0)</f>
        <v>#REF!</v>
      </c>
      <c r="X552" s="593" t="e">
        <f ca="1">$E552*SUMIF(INDIRECT(X$3),'Struktur Vorjahr'!$D552,INDIRECT(X$8))*IFERROR(IF(VLOOKUP('Struktur Vorjahr'!$D552,INDIRECT(X$6),8,)="H",-1,1),0)</f>
        <v>#REF!</v>
      </c>
      <c r="Y552" s="593" t="e">
        <f ca="1">$E552*SUMIF(INDIRECT(Y$3),'Struktur Vorjahr'!$D552,INDIRECT(Y$8))*IFERROR(IF(VLOOKUP('Struktur Vorjahr'!$D552,INDIRECT(Y$6),8,)="H",-1,1),0)</f>
        <v>#REF!</v>
      </c>
      <c r="Z552" s="593" t="e">
        <f ca="1">$E552*SUMIF(INDIRECT(Z$3),'Struktur Vorjahr'!$D552,INDIRECT(Z$8))*IFERROR(IF(VLOOKUP('Struktur Vorjahr'!$D552,INDIRECT(Z$6),8,)="H",-1,1),0)</f>
        <v>#REF!</v>
      </c>
      <c r="AA552" s="593" t="e">
        <f ca="1">$E552*SUMIF(INDIRECT(AA$3),'Struktur Vorjahr'!$D552,INDIRECT(AA$8))*IFERROR(IF(VLOOKUP('Struktur Vorjahr'!$D552,INDIRECT(AA$6),8,)="H",-1,1),0)</f>
        <v>#REF!</v>
      </c>
      <c r="AB552" s="593" t="e">
        <f ca="1">$E552*SUMIF(INDIRECT(AB$3),'Struktur Vorjahr'!$D552,INDIRECT(AB$8))*IFERROR(IF(VLOOKUP('Struktur Vorjahr'!$D552,INDIRECT(AB$6),8,)="H",-1,1),0)</f>
        <v>#REF!</v>
      </c>
      <c r="AC552" s="593" t="e">
        <f ca="1">$E552*SUMIF(INDIRECT(AC$3),'Struktur Vorjahr'!$D552,INDIRECT(AC$8))*IFERROR(IF(VLOOKUP('Struktur Vorjahr'!$D552,INDIRECT(AC$6),8,)="H",-1,1),0)</f>
        <v>#REF!</v>
      </c>
      <c r="AD552" s="593" t="e">
        <f ca="1">$E552*SUMIF(INDIRECT(AD$3),'Struktur Vorjahr'!$D552,INDIRECT(AD$8))*IFERROR(IF(VLOOKUP('Struktur Vorjahr'!$D552,INDIRECT(AD$6),8,)="H",-1,1),0)</f>
        <v>#REF!</v>
      </c>
      <c r="AE552" s="593">
        <f t="shared" ca="1" si="277"/>
        <v>0</v>
      </c>
      <c r="AF552" s="593">
        <f t="shared" ca="1" si="278"/>
        <v>0</v>
      </c>
      <c r="AG552" s="593">
        <f t="shared" ca="1" si="278"/>
        <v>0</v>
      </c>
      <c r="AH552" s="593">
        <f t="shared" ca="1" si="278"/>
        <v>0</v>
      </c>
      <c r="AI552" s="593">
        <f t="shared" ca="1" si="278"/>
        <v>0</v>
      </c>
      <c r="AJ552" s="593">
        <f t="shared" ca="1" si="278"/>
        <v>0</v>
      </c>
      <c r="AK552" s="593">
        <f t="shared" ca="1" si="278"/>
        <v>0</v>
      </c>
      <c r="AL552" s="593">
        <f t="shared" ca="1" si="278"/>
        <v>0</v>
      </c>
      <c r="AM552" s="593">
        <f t="shared" ca="1" si="278"/>
        <v>0</v>
      </c>
      <c r="AN552" s="593">
        <f t="shared" ca="1" si="278"/>
        <v>0</v>
      </c>
      <c r="AO552" s="593">
        <f t="shared" ca="1" si="278"/>
        <v>0</v>
      </c>
      <c r="AP552" s="593">
        <f t="shared" ca="1" si="278"/>
        <v>0</v>
      </c>
    </row>
    <row r="553" spans="1:42" s="589" customFormat="1" outlineLevel="1" x14ac:dyDescent="0.2">
      <c r="A553" s="629">
        <v>49</v>
      </c>
      <c r="B553" s="623" t="s">
        <v>1034</v>
      </c>
      <c r="C553" s="627">
        <f ca="1">SUM(G553:R553)</f>
        <v>0</v>
      </c>
      <c r="D553" s="627"/>
      <c r="E553" s="628">
        <f t="shared" si="237"/>
        <v>1</v>
      </c>
      <c r="F553" s="628"/>
      <c r="G553" s="627">
        <f t="shared" ref="G553:AP553" ca="1" si="279">SUM(G554:G556)</f>
        <v>0</v>
      </c>
      <c r="H553" s="627">
        <f t="shared" ca="1" si="279"/>
        <v>0</v>
      </c>
      <c r="I553" s="627">
        <f t="shared" ca="1" si="279"/>
        <v>0</v>
      </c>
      <c r="J553" s="627">
        <f t="shared" ca="1" si="279"/>
        <v>0</v>
      </c>
      <c r="K553" s="627">
        <f t="shared" ca="1" si="279"/>
        <v>0</v>
      </c>
      <c r="L553" s="627">
        <f t="shared" ca="1" si="279"/>
        <v>0</v>
      </c>
      <c r="M553" s="627">
        <f t="shared" ca="1" si="279"/>
        <v>0</v>
      </c>
      <c r="N553" s="627">
        <f t="shared" ca="1" si="279"/>
        <v>0</v>
      </c>
      <c r="O553" s="627">
        <f t="shared" ca="1" si="279"/>
        <v>0</v>
      </c>
      <c r="P553" s="627">
        <f t="shared" ca="1" si="279"/>
        <v>0</v>
      </c>
      <c r="Q553" s="627">
        <f t="shared" ca="1" si="279"/>
        <v>0</v>
      </c>
      <c r="R553" s="627">
        <f t="shared" ca="1" si="279"/>
        <v>0</v>
      </c>
      <c r="S553" s="627" t="e">
        <f t="shared" ca="1" si="279"/>
        <v>#REF!</v>
      </c>
      <c r="T553" s="627" t="e">
        <f t="shared" ca="1" si="279"/>
        <v>#REF!</v>
      </c>
      <c r="U553" s="627" t="e">
        <f t="shared" ca="1" si="279"/>
        <v>#REF!</v>
      </c>
      <c r="V553" s="627" t="e">
        <f t="shared" ca="1" si="279"/>
        <v>#REF!</v>
      </c>
      <c r="W553" s="627" t="e">
        <f t="shared" ca="1" si="279"/>
        <v>#REF!</v>
      </c>
      <c r="X553" s="627" t="e">
        <f t="shared" ca="1" si="279"/>
        <v>#REF!</v>
      </c>
      <c r="Y553" s="627" t="e">
        <f t="shared" ca="1" si="279"/>
        <v>#REF!</v>
      </c>
      <c r="Z553" s="627" t="e">
        <f t="shared" ca="1" si="279"/>
        <v>#REF!</v>
      </c>
      <c r="AA553" s="627" t="e">
        <f t="shared" ca="1" si="279"/>
        <v>#REF!</v>
      </c>
      <c r="AB553" s="627" t="e">
        <f t="shared" ca="1" si="279"/>
        <v>#REF!</v>
      </c>
      <c r="AC553" s="627" t="e">
        <f t="shared" ca="1" si="279"/>
        <v>#REF!</v>
      </c>
      <c r="AD553" s="627" t="e">
        <f t="shared" ca="1" si="279"/>
        <v>#REF!</v>
      </c>
      <c r="AE553" s="627">
        <f t="shared" ca="1" si="279"/>
        <v>0</v>
      </c>
      <c r="AF553" s="627">
        <f t="shared" ca="1" si="279"/>
        <v>0</v>
      </c>
      <c r="AG553" s="627">
        <f t="shared" ca="1" si="279"/>
        <v>0</v>
      </c>
      <c r="AH553" s="627">
        <f t="shared" ca="1" si="279"/>
        <v>0</v>
      </c>
      <c r="AI553" s="627">
        <f t="shared" ca="1" si="279"/>
        <v>0</v>
      </c>
      <c r="AJ553" s="627">
        <f t="shared" ca="1" si="279"/>
        <v>0</v>
      </c>
      <c r="AK553" s="627">
        <f t="shared" ca="1" si="279"/>
        <v>0</v>
      </c>
      <c r="AL553" s="627">
        <f t="shared" ca="1" si="279"/>
        <v>0</v>
      </c>
      <c r="AM553" s="627">
        <f t="shared" ca="1" si="279"/>
        <v>0</v>
      </c>
      <c r="AN553" s="627">
        <f t="shared" ca="1" si="279"/>
        <v>0</v>
      </c>
      <c r="AO553" s="627">
        <f t="shared" ca="1" si="279"/>
        <v>0</v>
      </c>
      <c r="AP553" s="627">
        <f t="shared" ca="1" si="279"/>
        <v>0</v>
      </c>
    </row>
    <row r="554" spans="1:42" s="594" customFormat="1" ht="11.25" outlineLevel="1" x14ac:dyDescent="0.2">
      <c r="A554" s="644"/>
      <c r="B554" s="591" t="str">
        <f>IF(D554&lt;&gt;"",
IF(ISERROR(MATCH(D554,'Ist Vorjahr Monat 01'!A:A,0))=FALSE,INDEX('Ist Vorjahr Monat 01'!B:B,MATCH(D554,'Ist Vorjahr Monat 01'!A:A,0)),
IF(ISERROR(MATCH(D554,'Ist Vorjahr Monat 02'!A:A,0))=FALSE,INDEX('Ist Vorjahr Monat 02'!B:B,MATCH(D554,'Ist Vorjahr Monat 02'!A:A,0)),
IF(ISERROR(MATCH(D554,'Ist Vorjahr Monat 03'!A:A,0))=FALSE,INDEX('Ist Vorjahr Monat 03'!B:B,MATCH(D554,'Ist Vorjahr Monat 03'!A:A,0)),
IF(ISERROR(MATCH(D554,'Ist Vorjahr Monat 04'!A:A,0))=FALSE,INDEX('Ist Vorjahr Monat 04'!B:B,MATCH(D554,'Ist Vorjahr Monat 04'!A:A,0)),
IF(ISERROR(MATCH(D554,'Ist Vorjahr Monat 05'!A:A,0))=FALSE,INDEX('Ist Vorjahr Monat 05'!B:B,MATCH(D554,'Ist Vorjahr Monat 05'!A:A,0)),
IF(ISERROR(MATCH(D554,'Ist Vorjahr Monat 06'!A:A,0))=FALSE,INDEX('Ist Vorjahr Monat 06'!B:B,MATCH(D554,'Ist Vorjahr Monat 06'!A:A,0)),
IF(ISERROR(MATCH(D554,'Ist Vorjahr Monat 07'!A:A,0))=FALSE,INDEX('Ist Vorjahr Monat 07'!B:B,MATCH(D554,'Ist Vorjahr Monat 07'!A:A,0)),
IF(ISERROR(MATCH(D554,'Ist Vorjahr Monat 08'!A:A,0))=FALSE,INDEX('Ist Vorjahr Monat 08'!B:B,MATCH(D554,'Ist Vorjahr Monat 08'!A:A,0)),
IF(ISERROR(MATCH(D554,'Ist Vorjahr Monat 09'!A:A,0))=FALSE,INDEX('Ist Vorjahr Monat 09'!B:B,MATCH(D554,'Ist Vorjahr Monat 09'!A:A,0)),
IF(ISERROR(MATCH(D554,'Ist Vorjahr Monat 10'!A:A,0))=FALSE,INDEX('Ist Vorjahr Monat 10'!B:B,MATCH(D554,'Ist Vorjahr Monat 10'!A:A,0)),
IF(ISERROR(MATCH(D554,'Ist Vorjahr Monat 11'!A:A,0))=FALSE,INDEX('Ist Vorjahr Monat 11'!B:B,MATCH(D554,'Ist Vorjahr Monat 11'!A:A,0)),
IF(ISERROR(MATCH(D554,'Ist Vorjahr Monat 12'!A:A,0))=FALSE,INDEX('Ist Vorjahr Monat 12'!B:B,MATCH(D554,'Ist Vorjahr Monat 12'!A:A,0)),
"{Konto unbekannt}"
)))))))))))),"")</f>
        <v>Forderungen aus Lieferungen u.Leistung</v>
      </c>
      <c r="C554" s="1062"/>
      <c r="D554" s="1067">
        <v>1400</v>
      </c>
      <c r="E554" s="625">
        <f t="shared" si="237"/>
        <v>1</v>
      </c>
      <c r="F554" s="626"/>
      <c r="G554" s="593">
        <f ca="1">$E554*SUMIF(INDIRECT(G$3),'Struktur Vorjahr'!$D554,INDIRECT(G$8))*IFERROR(IF(VLOOKUP('Struktur Vorjahr'!$D554,INDIRECT(G$6),8,)="H",-1,1),0)</f>
        <v>0</v>
      </c>
      <c r="H554" s="593">
        <f ca="1">$E554*SUMIF(INDIRECT(H$3),'Struktur Vorjahr'!$D554,INDIRECT(H$8))*IFERROR(IF(VLOOKUP('Struktur Vorjahr'!$D554,INDIRECT(H$6),8,)="H",-1,1),0)</f>
        <v>0</v>
      </c>
      <c r="I554" s="593">
        <f ca="1">$E554*SUMIF(INDIRECT(I$3),'Struktur Vorjahr'!$D554,INDIRECT(I$8))*IFERROR(IF(VLOOKUP('Struktur Vorjahr'!$D554,INDIRECT(I$6),8,)="H",-1,1),0)</f>
        <v>0</v>
      </c>
      <c r="J554" s="593">
        <f ca="1">$E554*SUMIF(INDIRECT(J$3),'Struktur Vorjahr'!$D554,INDIRECT(J$8))*IFERROR(IF(VLOOKUP('Struktur Vorjahr'!$D554,INDIRECT(J$6),8,)="H",-1,1),0)</f>
        <v>0</v>
      </c>
      <c r="K554" s="593">
        <f ca="1">$E554*SUMIF(INDIRECT(K$3),'Struktur Vorjahr'!$D554,INDIRECT(K$8))*IFERROR(IF(VLOOKUP('Struktur Vorjahr'!$D554,INDIRECT(K$6),8,)="H",-1,1),0)</f>
        <v>0</v>
      </c>
      <c r="L554" s="593">
        <f ca="1">$E554*SUMIF(INDIRECT(L$3),'Struktur Vorjahr'!$D554,INDIRECT(L$8))*IFERROR(IF(VLOOKUP('Struktur Vorjahr'!$D554,INDIRECT(L$6),8,)="H",-1,1),0)</f>
        <v>0</v>
      </c>
      <c r="M554" s="593">
        <f ca="1">$E554*SUMIF(INDIRECT(M$3),'Struktur Vorjahr'!$D554,INDIRECT(M$8))*IFERROR(IF(VLOOKUP('Struktur Vorjahr'!$D554,INDIRECT(M$6),8,)="H",-1,1),0)</f>
        <v>0</v>
      </c>
      <c r="N554" s="593">
        <f ca="1">$E554*SUMIF(INDIRECT(N$3),'Struktur Vorjahr'!$D554,INDIRECT(N$8))*IFERROR(IF(VLOOKUP('Struktur Vorjahr'!$D554,INDIRECT(N$6),8,)="H",-1,1),0)</f>
        <v>0</v>
      </c>
      <c r="O554" s="593">
        <f ca="1">$E554*SUMIF(INDIRECT(O$3),'Struktur Vorjahr'!$D554,INDIRECT(O$8))*IFERROR(IF(VLOOKUP('Struktur Vorjahr'!$D554,INDIRECT(O$6),8,)="H",-1,1),0)</f>
        <v>0</v>
      </c>
      <c r="P554" s="593">
        <f ca="1">$E554*SUMIF(INDIRECT(P$3),'Struktur Vorjahr'!$D554,INDIRECT(P$8))*IFERROR(IF(VLOOKUP('Struktur Vorjahr'!$D554,INDIRECT(P$6),8,)="H",-1,1),0)</f>
        <v>0</v>
      </c>
      <c r="Q554" s="593">
        <f ca="1">$E554*SUMIF(INDIRECT(Q$3),'Struktur Vorjahr'!$D554,INDIRECT(Q$8))*IFERROR(IF(VLOOKUP('Struktur Vorjahr'!$D554,INDIRECT(Q$6),8,)="H",-1,1),0)</f>
        <v>0</v>
      </c>
      <c r="R554" s="593">
        <f ca="1">$E554*SUMIF(INDIRECT(R$3),'Struktur Vorjahr'!$D554,INDIRECT(R$8))*IFERROR(IF(VLOOKUP('Struktur Vorjahr'!$D554,INDIRECT(R$6),8,)="H",-1,1),0)</f>
        <v>0</v>
      </c>
      <c r="S554" s="593" t="e">
        <f ca="1">$E554*SUMIF(INDIRECT(S$3),'Struktur Vorjahr'!$D554,INDIRECT(S$8))*IFERROR(IF(VLOOKUP('Struktur Vorjahr'!$D554,INDIRECT(S$6),8,)="H",-1,1),0)</f>
        <v>#REF!</v>
      </c>
      <c r="T554" s="593" t="e">
        <f ca="1">$E554*SUMIF(INDIRECT(T$3),'Struktur Vorjahr'!$D554,INDIRECT(T$8))*IFERROR(IF(VLOOKUP('Struktur Vorjahr'!$D554,INDIRECT(T$6),8,)="H",-1,1),0)</f>
        <v>#REF!</v>
      </c>
      <c r="U554" s="593" t="e">
        <f ca="1">$E554*SUMIF(INDIRECT(U$3),'Struktur Vorjahr'!$D554,INDIRECT(U$8))*IFERROR(IF(VLOOKUP('Struktur Vorjahr'!$D554,INDIRECT(U$6),8,)="H",-1,1),0)</f>
        <v>#REF!</v>
      </c>
      <c r="V554" s="593" t="e">
        <f ca="1">$E554*SUMIF(INDIRECT(V$3),'Struktur Vorjahr'!$D554,INDIRECT(V$8))*IFERROR(IF(VLOOKUP('Struktur Vorjahr'!$D554,INDIRECT(V$6),8,)="H",-1,1),0)</f>
        <v>#REF!</v>
      </c>
      <c r="W554" s="593" t="e">
        <f ca="1">$E554*SUMIF(INDIRECT(W$3),'Struktur Vorjahr'!$D554,INDIRECT(W$8))*IFERROR(IF(VLOOKUP('Struktur Vorjahr'!$D554,INDIRECT(W$6),8,)="H",-1,1),0)</f>
        <v>#REF!</v>
      </c>
      <c r="X554" s="593" t="e">
        <f ca="1">$E554*SUMIF(INDIRECT(X$3),'Struktur Vorjahr'!$D554,INDIRECT(X$8))*IFERROR(IF(VLOOKUP('Struktur Vorjahr'!$D554,INDIRECT(X$6),8,)="H",-1,1),0)</f>
        <v>#REF!</v>
      </c>
      <c r="Y554" s="593" t="e">
        <f ca="1">$E554*SUMIF(INDIRECT(Y$3),'Struktur Vorjahr'!$D554,INDIRECT(Y$8))*IFERROR(IF(VLOOKUP('Struktur Vorjahr'!$D554,INDIRECT(Y$6),8,)="H",-1,1),0)</f>
        <v>#REF!</v>
      </c>
      <c r="Z554" s="593" t="e">
        <f ca="1">$E554*SUMIF(INDIRECT(Z$3),'Struktur Vorjahr'!$D554,INDIRECT(Z$8))*IFERROR(IF(VLOOKUP('Struktur Vorjahr'!$D554,INDIRECT(Z$6),8,)="H",-1,1),0)</f>
        <v>#REF!</v>
      </c>
      <c r="AA554" s="593" t="e">
        <f ca="1">$E554*SUMIF(INDIRECT(AA$3),'Struktur Vorjahr'!$D554,INDIRECT(AA$8))*IFERROR(IF(VLOOKUP('Struktur Vorjahr'!$D554,INDIRECT(AA$6),8,)="H",-1,1),0)</f>
        <v>#REF!</v>
      </c>
      <c r="AB554" s="593" t="e">
        <f ca="1">$E554*SUMIF(INDIRECT(AB$3),'Struktur Vorjahr'!$D554,INDIRECT(AB$8))*IFERROR(IF(VLOOKUP('Struktur Vorjahr'!$D554,INDIRECT(AB$6),8,)="H",-1,1),0)</f>
        <v>#REF!</v>
      </c>
      <c r="AC554" s="593" t="e">
        <f ca="1">$E554*SUMIF(INDIRECT(AC$3),'Struktur Vorjahr'!$D554,INDIRECT(AC$8))*IFERROR(IF(VLOOKUP('Struktur Vorjahr'!$D554,INDIRECT(AC$6),8,)="H",-1,1),0)</f>
        <v>#REF!</v>
      </c>
      <c r="AD554" s="593" t="e">
        <f ca="1">$E554*SUMIF(INDIRECT(AD$3),'Struktur Vorjahr'!$D554,INDIRECT(AD$8))*IFERROR(IF(VLOOKUP('Struktur Vorjahr'!$D554,INDIRECT(AD$6),8,)="H",-1,1),0)</f>
        <v>#REF!</v>
      </c>
      <c r="AE554" s="593">
        <f t="shared" ref="AE554:AE556" ca="1" si="280">G554</f>
        <v>0</v>
      </c>
      <c r="AF554" s="593">
        <f t="shared" ref="AF554:AP556" ca="1" si="281">H554+AE554</f>
        <v>0</v>
      </c>
      <c r="AG554" s="593">
        <f t="shared" ca="1" si="281"/>
        <v>0</v>
      </c>
      <c r="AH554" s="593">
        <f t="shared" ca="1" si="281"/>
        <v>0</v>
      </c>
      <c r="AI554" s="593">
        <f t="shared" ca="1" si="281"/>
        <v>0</v>
      </c>
      <c r="AJ554" s="593">
        <f t="shared" ca="1" si="281"/>
        <v>0</v>
      </c>
      <c r="AK554" s="593">
        <f t="shared" ca="1" si="281"/>
        <v>0</v>
      </c>
      <c r="AL554" s="593">
        <f t="shared" ca="1" si="281"/>
        <v>0</v>
      </c>
      <c r="AM554" s="593">
        <f t="shared" ca="1" si="281"/>
        <v>0</v>
      </c>
      <c r="AN554" s="593">
        <f t="shared" ca="1" si="281"/>
        <v>0</v>
      </c>
      <c r="AO554" s="593">
        <f t="shared" ca="1" si="281"/>
        <v>0</v>
      </c>
      <c r="AP554" s="593">
        <f t="shared" ca="1" si="281"/>
        <v>0</v>
      </c>
    </row>
    <row r="555" spans="1:42" s="594" customFormat="1" ht="11.25" x14ac:dyDescent="0.2">
      <c r="A555" s="644"/>
      <c r="B555" s="591" t="str">
        <f>IF(D555&lt;&gt;"",
IF(ISERROR(MATCH(D555,'Ist Vorjahr Monat 01'!A:A,0))=FALSE,INDEX('Ist Vorjahr Monat 01'!B:B,MATCH(D555,'Ist Vorjahr Monat 01'!A:A,0)),
IF(ISERROR(MATCH(D555,'Ist Vorjahr Monat 02'!A:A,0))=FALSE,INDEX('Ist Vorjahr Monat 02'!B:B,MATCH(D555,'Ist Vorjahr Monat 02'!A:A,0)),
IF(ISERROR(MATCH(D555,'Ist Vorjahr Monat 03'!A:A,0))=FALSE,INDEX('Ist Vorjahr Monat 03'!B:B,MATCH(D555,'Ist Vorjahr Monat 03'!A:A,0)),
IF(ISERROR(MATCH(D555,'Ist Vorjahr Monat 04'!A:A,0))=FALSE,INDEX('Ist Vorjahr Monat 04'!B:B,MATCH(D555,'Ist Vorjahr Monat 04'!A:A,0)),
IF(ISERROR(MATCH(D555,'Ist Vorjahr Monat 05'!A:A,0))=FALSE,INDEX('Ist Vorjahr Monat 05'!B:B,MATCH(D555,'Ist Vorjahr Monat 05'!A:A,0)),
IF(ISERROR(MATCH(D555,'Ist Vorjahr Monat 06'!A:A,0))=FALSE,INDEX('Ist Vorjahr Monat 06'!B:B,MATCH(D555,'Ist Vorjahr Monat 06'!A:A,0)),
IF(ISERROR(MATCH(D555,'Ist Vorjahr Monat 07'!A:A,0))=FALSE,INDEX('Ist Vorjahr Monat 07'!B:B,MATCH(D555,'Ist Vorjahr Monat 07'!A:A,0)),
IF(ISERROR(MATCH(D555,'Ist Vorjahr Monat 08'!A:A,0))=FALSE,INDEX('Ist Vorjahr Monat 08'!B:B,MATCH(D555,'Ist Vorjahr Monat 08'!A:A,0)),
IF(ISERROR(MATCH(D555,'Ist Vorjahr Monat 09'!A:A,0))=FALSE,INDEX('Ist Vorjahr Monat 09'!B:B,MATCH(D555,'Ist Vorjahr Monat 09'!A:A,0)),
IF(ISERROR(MATCH(D555,'Ist Vorjahr Monat 10'!A:A,0))=FALSE,INDEX('Ist Vorjahr Monat 10'!B:B,MATCH(D555,'Ist Vorjahr Monat 10'!A:A,0)),
IF(ISERROR(MATCH(D555,'Ist Vorjahr Monat 11'!A:A,0))=FALSE,INDEX('Ist Vorjahr Monat 11'!B:B,MATCH(D555,'Ist Vorjahr Monat 11'!A:A,0)),
IF(ISERROR(MATCH(D555,'Ist Vorjahr Monat 12'!A:A,0))=FALSE,INDEX('Ist Vorjahr Monat 12'!B:B,MATCH(D555,'Ist Vorjahr Monat 12'!A:A,0)),
"{Konto unbekannt}"
)))))))))))),"")</f>
        <v/>
      </c>
      <c r="C555" s="1062"/>
      <c r="D555" s="1067"/>
      <c r="E555" s="625">
        <f t="shared" si="237"/>
        <v>1</v>
      </c>
      <c r="F555" s="626"/>
      <c r="G555" s="593">
        <f ca="1">$E555*SUMIF(INDIRECT(G$3),'Struktur Vorjahr'!$D555,INDIRECT(G$8))*IFERROR(IF(VLOOKUP('Struktur Vorjahr'!$D555,INDIRECT(G$6),8,)="H",-1,1),0)</f>
        <v>0</v>
      </c>
      <c r="H555" s="593">
        <f ca="1">$E555*SUMIF(INDIRECT(H$3),'Struktur Vorjahr'!$D555,INDIRECT(H$8))*IFERROR(IF(VLOOKUP('Struktur Vorjahr'!$D555,INDIRECT(H$6),8,)="H",-1,1),0)</f>
        <v>0</v>
      </c>
      <c r="I555" s="593">
        <f ca="1">$E555*SUMIF(INDIRECT(I$3),'Struktur Vorjahr'!$D555,INDIRECT(I$8))*IFERROR(IF(VLOOKUP('Struktur Vorjahr'!$D555,INDIRECT(I$6),8,)="H",-1,1),0)</f>
        <v>0</v>
      </c>
      <c r="J555" s="593">
        <f ca="1">$E555*SUMIF(INDIRECT(J$3),'Struktur Vorjahr'!$D555,INDIRECT(J$8))*IFERROR(IF(VLOOKUP('Struktur Vorjahr'!$D555,INDIRECT(J$6),8,)="H",-1,1),0)</f>
        <v>0</v>
      </c>
      <c r="K555" s="593">
        <f ca="1">$E555*SUMIF(INDIRECT(K$3),'Struktur Vorjahr'!$D555,INDIRECT(K$8))*IFERROR(IF(VLOOKUP('Struktur Vorjahr'!$D555,INDIRECT(K$6),8,)="H",-1,1),0)</f>
        <v>0</v>
      </c>
      <c r="L555" s="593">
        <f ca="1">$E555*SUMIF(INDIRECT(L$3),'Struktur Vorjahr'!$D555,INDIRECT(L$8))*IFERROR(IF(VLOOKUP('Struktur Vorjahr'!$D555,INDIRECT(L$6),8,)="H",-1,1),0)</f>
        <v>0</v>
      </c>
      <c r="M555" s="593">
        <f ca="1">$E555*SUMIF(INDIRECT(M$3),'Struktur Vorjahr'!$D555,INDIRECT(M$8))*IFERROR(IF(VLOOKUP('Struktur Vorjahr'!$D555,INDIRECT(M$6),8,)="H",-1,1),0)</f>
        <v>0</v>
      </c>
      <c r="N555" s="593">
        <f ca="1">$E555*SUMIF(INDIRECT(N$3),'Struktur Vorjahr'!$D555,INDIRECT(N$8))*IFERROR(IF(VLOOKUP('Struktur Vorjahr'!$D555,INDIRECT(N$6),8,)="H",-1,1),0)</f>
        <v>0</v>
      </c>
      <c r="O555" s="593">
        <f ca="1">$E555*SUMIF(INDIRECT(O$3),'Struktur Vorjahr'!$D555,INDIRECT(O$8))*IFERROR(IF(VLOOKUP('Struktur Vorjahr'!$D555,INDIRECT(O$6),8,)="H",-1,1),0)</f>
        <v>0</v>
      </c>
      <c r="P555" s="593">
        <f ca="1">$E555*SUMIF(INDIRECT(P$3),'Struktur Vorjahr'!$D555,INDIRECT(P$8))*IFERROR(IF(VLOOKUP('Struktur Vorjahr'!$D555,INDIRECT(P$6),8,)="H",-1,1),0)</f>
        <v>0</v>
      </c>
      <c r="Q555" s="593">
        <f ca="1">$E555*SUMIF(INDIRECT(Q$3),'Struktur Vorjahr'!$D555,INDIRECT(Q$8))*IFERROR(IF(VLOOKUP('Struktur Vorjahr'!$D555,INDIRECT(Q$6),8,)="H",-1,1),0)</f>
        <v>0</v>
      </c>
      <c r="R555" s="593">
        <f ca="1">$E555*SUMIF(INDIRECT(R$3),'Struktur Vorjahr'!$D555,INDIRECT(R$8))*IFERROR(IF(VLOOKUP('Struktur Vorjahr'!$D555,INDIRECT(R$6),8,)="H",-1,1),0)</f>
        <v>0</v>
      </c>
      <c r="S555" s="593" t="e">
        <f ca="1">$E555*SUMIF(INDIRECT(S$3),'Struktur Vorjahr'!$D555,INDIRECT(S$8))*IFERROR(IF(VLOOKUP('Struktur Vorjahr'!$D555,INDIRECT(S$6),8,)="H",-1,1),0)</f>
        <v>#REF!</v>
      </c>
      <c r="T555" s="593" t="e">
        <f ca="1">$E555*SUMIF(INDIRECT(T$3),'Struktur Vorjahr'!$D555,INDIRECT(T$8))*IFERROR(IF(VLOOKUP('Struktur Vorjahr'!$D555,INDIRECT(T$6),8,)="H",-1,1),0)</f>
        <v>#REF!</v>
      </c>
      <c r="U555" s="593" t="e">
        <f ca="1">$E555*SUMIF(INDIRECT(U$3),'Struktur Vorjahr'!$D555,INDIRECT(U$8))*IFERROR(IF(VLOOKUP('Struktur Vorjahr'!$D555,INDIRECT(U$6),8,)="H",-1,1),0)</f>
        <v>#REF!</v>
      </c>
      <c r="V555" s="593" t="e">
        <f ca="1">$E555*SUMIF(INDIRECT(V$3),'Struktur Vorjahr'!$D555,INDIRECT(V$8))*IFERROR(IF(VLOOKUP('Struktur Vorjahr'!$D555,INDIRECT(V$6),8,)="H",-1,1),0)</f>
        <v>#REF!</v>
      </c>
      <c r="W555" s="593" t="e">
        <f ca="1">$E555*SUMIF(INDIRECT(W$3),'Struktur Vorjahr'!$D555,INDIRECT(W$8))*IFERROR(IF(VLOOKUP('Struktur Vorjahr'!$D555,INDIRECT(W$6),8,)="H",-1,1),0)</f>
        <v>#REF!</v>
      </c>
      <c r="X555" s="593" t="e">
        <f ca="1">$E555*SUMIF(INDIRECT(X$3),'Struktur Vorjahr'!$D555,INDIRECT(X$8))*IFERROR(IF(VLOOKUP('Struktur Vorjahr'!$D555,INDIRECT(X$6),8,)="H",-1,1),0)</f>
        <v>#REF!</v>
      </c>
      <c r="Y555" s="593" t="e">
        <f ca="1">$E555*SUMIF(INDIRECT(Y$3),'Struktur Vorjahr'!$D555,INDIRECT(Y$8))*IFERROR(IF(VLOOKUP('Struktur Vorjahr'!$D555,INDIRECT(Y$6),8,)="H",-1,1),0)</f>
        <v>#REF!</v>
      </c>
      <c r="Z555" s="593" t="e">
        <f ca="1">$E555*SUMIF(INDIRECT(Z$3),'Struktur Vorjahr'!$D555,INDIRECT(Z$8))*IFERROR(IF(VLOOKUP('Struktur Vorjahr'!$D555,INDIRECT(Z$6),8,)="H",-1,1),0)</f>
        <v>#REF!</v>
      </c>
      <c r="AA555" s="593" t="e">
        <f ca="1">$E555*SUMIF(INDIRECT(AA$3),'Struktur Vorjahr'!$D555,INDIRECT(AA$8))*IFERROR(IF(VLOOKUP('Struktur Vorjahr'!$D555,INDIRECT(AA$6),8,)="H",-1,1),0)</f>
        <v>#REF!</v>
      </c>
      <c r="AB555" s="593" t="e">
        <f ca="1">$E555*SUMIF(INDIRECT(AB$3),'Struktur Vorjahr'!$D555,INDIRECT(AB$8))*IFERROR(IF(VLOOKUP('Struktur Vorjahr'!$D555,INDIRECT(AB$6),8,)="H",-1,1),0)</f>
        <v>#REF!</v>
      </c>
      <c r="AC555" s="593" t="e">
        <f ca="1">$E555*SUMIF(INDIRECT(AC$3),'Struktur Vorjahr'!$D555,INDIRECT(AC$8))*IFERROR(IF(VLOOKUP('Struktur Vorjahr'!$D555,INDIRECT(AC$6),8,)="H",-1,1),0)</f>
        <v>#REF!</v>
      </c>
      <c r="AD555" s="593" t="e">
        <f ca="1">$E555*SUMIF(INDIRECT(AD$3),'Struktur Vorjahr'!$D555,INDIRECT(AD$8))*IFERROR(IF(VLOOKUP('Struktur Vorjahr'!$D555,INDIRECT(AD$6),8,)="H",-1,1),0)</f>
        <v>#REF!</v>
      </c>
      <c r="AE555" s="593">
        <f t="shared" ca="1" si="280"/>
        <v>0</v>
      </c>
      <c r="AF555" s="593">
        <f t="shared" ca="1" si="281"/>
        <v>0</v>
      </c>
      <c r="AG555" s="593">
        <f t="shared" ca="1" si="281"/>
        <v>0</v>
      </c>
      <c r="AH555" s="593">
        <f t="shared" ca="1" si="281"/>
        <v>0</v>
      </c>
      <c r="AI555" s="593">
        <f t="shared" ca="1" si="281"/>
        <v>0</v>
      </c>
      <c r="AJ555" s="593">
        <f t="shared" ca="1" si="281"/>
        <v>0</v>
      </c>
      <c r="AK555" s="593">
        <f t="shared" ca="1" si="281"/>
        <v>0</v>
      </c>
      <c r="AL555" s="593">
        <f t="shared" ca="1" si="281"/>
        <v>0</v>
      </c>
      <c r="AM555" s="593">
        <f t="shared" ca="1" si="281"/>
        <v>0</v>
      </c>
      <c r="AN555" s="593">
        <f t="shared" ca="1" si="281"/>
        <v>0</v>
      </c>
      <c r="AO555" s="593">
        <f t="shared" ca="1" si="281"/>
        <v>0</v>
      </c>
      <c r="AP555" s="593">
        <f t="shared" ca="1" si="281"/>
        <v>0</v>
      </c>
    </row>
    <row r="556" spans="1:42" s="594" customFormat="1" ht="11.25" outlineLevel="1" x14ac:dyDescent="0.2">
      <c r="A556" s="644"/>
      <c r="B556" s="591" t="str">
        <f>IF(D556&lt;&gt;"",
IF(ISERROR(MATCH(D556,'Ist Vorjahr Monat 01'!A:A,0))=FALSE,INDEX('Ist Vorjahr Monat 01'!B:B,MATCH(D556,'Ist Vorjahr Monat 01'!A:A,0)),
IF(ISERROR(MATCH(D556,'Ist Vorjahr Monat 02'!A:A,0))=FALSE,INDEX('Ist Vorjahr Monat 02'!B:B,MATCH(D556,'Ist Vorjahr Monat 02'!A:A,0)),
IF(ISERROR(MATCH(D556,'Ist Vorjahr Monat 03'!A:A,0))=FALSE,INDEX('Ist Vorjahr Monat 03'!B:B,MATCH(D556,'Ist Vorjahr Monat 03'!A:A,0)),
IF(ISERROR(MATCH(D556,'Ist Vorjahr Monat 04'!A:A,0))=FALSE,INDEX('Ist Vorjahr Monat 04'!B:B,MATCH(D556,'Ist Vorjahr Monat 04'!A:A,0)),
IF(ISERROR(MATCH(D556,'Ist Vorjahr Monat 05'!A:A,0))=FALSE,INDEX('Ist Vorjahr Monat 05'!B:B,MATCH(D556,'Ist Vorjahr Monat 05'!A:A,0)),
IF(ISERROR(MATCH(D556,'Ist Vorjahr Monat 06'!A:A,0))=FALSE,INDEX('Ist Vorjahr Monat 06'!B:B,MATCH(D556,'Ist Vorjahr Monat 06'!A:A,0)),
IF(ISERROR(MATCH(D556,'Ist Vorjahr Monat 07'!A:A,0))=FALSE,INDEX('Ist Vorjahr Monat 07'!B:B,MATCH(D556,'Ist Vorjahr Monat 07'!A:A,0)),
IF(ISERROR(MATCH(D556,'Ist Vorjahr Monat 08'!A:A,0))=FALSE,INDEX('Ist Vorjahr Monat 08'!B:B,MATCH(D556,'Ist Vorjahr Monat 08'!A:A,0)),
IF(ISERROR(MATCH(D556,'Ist Vorjahr Monat 09'!A:A,0))=FALSE,INDEX('Ist Vorjahr Monat 09'!B:B,MATCH(D556,'Ist Vorjahr Monat 09'!A:A,0)),
IF(ISERROR(MATCH(D556,'Ist Vorjahr Monat 10'!A:A,0))=FALSE,INDEX('Ist Vorjahr Monat 10'!B:B,MATCH(D556,'Ist Vorjahr Monat 10'!A:A,0)),
IF(ISERROR(MATCH(D556,'Ist Vorjahr Monat 11'!A:A,0))=FALSE,INDEX('Ist Vorjahr Monat 11'!B:B,MATCH(D556,'Ist Vorjahr Monat 11'!A:A,0)),
IF(ISERROR(MATCH(D556,'Ist Vorjahr Monat 12'!A:A,0))=FALSE,INDEX('Ist Vorjahr Monat 12'!B:B,MATCH(D556,'Ist Vorjahr Monat 12'!A:A,0)),
"{Konto unbekannt}"
)))))))))))),"")</f>
        <v/>
      </c>
      <c r="C556" s="1062"/>
      <c r="D556" s="1067"/>
      <c r="E556" s="625">
        <f t="shared" si="237"/>
        <v>1</v>
      </c>
      <c r="F556" s="626"/>
      <c r="G556" s="593">
        <f ca="1">$E556*SUMIF(INDIRECT(G$3),'Struktur Vorjahr'!$D556,INDIRECT(G$8))*IFERROR(IF(VLOOKUP('Struktur Vorjahr'!$D556,INDIRECT(G$6),8,)="H",-1,1),0)</f>
        <v>0</v>
      </c>
      <c r="H556" s="593">
        <f ca="1">$E556*SUMIF(INDIRECT(H$3),'Struktur Vorjahr'!$D556,INDIRECT(H$8))*IFERROR(IF(VLOOKUP('Struktur Vorjahr'!$D556,INDIRECT(H$6),8,)="H",-1,1),0)</f>
        <v>0</v>
      </c>
      <c r="I556" s="593">
        <f ca="1">$E556*SUMIF(INDIRECT(I$3),'Struktur Vorjahr'!$D556,INDIRECT(I$8))*IFERROR(IF(VLOOKUP('Struktur Vorjahr'!$D556,INDIRECT(I$6),8,)="H",-1,1),0)</f>
        <v>0</v>
      </c>
      <c r="J556" s="593">
        <f ca="1">$E556*SUMIF(INDIRECT(J$3),'Struktur Vorjahr'!$D556,INDIRECT(J$8))*IFERROR(IF(VLOOKUP('Struktur Vorjahr'!$D556,INDIRECT(J$6),8,)="H",-1,1),0)</f>
        <v>0</v>
      </c>
      <c r="K556" s="593">
        <f ca="1">$E556*SUMIF(INDIRECT(K$3),'Struktur Vorjahr'!$D556,INDIRECT(K$8))*IFERROR(IF(VLOOKUP('Struktur Vorjahr'!$D556,INDIRECT(K$6),8,)="H",-1,1),0)</f>
        <v>0</v>
      </c>
      <c r="L556" s="593">
        <f ca="1">$E556*SUMIF(INDIRECT(L$3),'Struktur Vorjahr'!$D556,INDIRECT(L$8))*IFERROR(IF(VLOOKUP('Struktur Vorjahr'!$D556,INDIRECT(L$6),8,)="H",-1,1),0)</f>
        <v>0</v>
      </c>
      <c r="M556" s="593">
        <f ca="1">$E556*SUMIF(INDIRECT(M$3),'Struktur Vorjahr'!$D556,INDIRECT(M$8))*IFERROR(IF(VLOOKUP('Struktur Vorjahr'!$D556,INDIRECT(M$6),8,)="H",-1,1),0)</f>
        <v>0</v>
      </c>
      <c r="N556" s="593">
        <f ca="1">$E556*SUMIF(INDIRECT(N$3),'Struktur Vorjahr'!$D556,INDIRECT(N$8))*IFERROR(IF(VLOOKUP('Struktur Vorjahr'!$D556,INDIRECT(N$6),8,)="H",-1,1),0)</f>
        <v>0</v>
      </c>
      <c r="O556" s="593">
        <f ca="1">$E556*SUMIF(INDIRECT(O$3),'Struktur Vorjahr'!$D556,INDIRECT(O$8))*IFERROR(IF(VLOOKUP('Struktur Vorjahr'!$D556,INDIRECT(O$6),8,)="H",-1,1),0)</f>
        <v>0</v>
      </c>
      <c r="P556" s="593">
        <f ca="1">$E556*SUMIF(INDIRECT(P$3),'Struktur Vorjahr'!$D556,INDIRECT(P$8))*IFERROR(IF(VLOOKUP('Struktur Vorjahr'!$D556,INDIRECT(P$6),8,)="H",-1,1),0)</f>
        <v>0</v>
      </c>
      <c r="Q556" s="593">
        <f ca="1">$E556*SUMIF(INDIRECT(Q$3),'Struktur Vorjahr'!$D556,INDIRECT(Q$8))*IFERROR(IF(VLOOKUP('Struktur Vorjahr'!$D556,INDIRECT(Q$6),8,)="H",-1,1),0)</f>
        <v>0</v>
      </c>
      <c r="R556" s="593">
        <f ca="1">$E556*SUMIF(INDIRECT(R$3),'Struktur Vorjahr'!$D556,INDIRECT(R$8))*IFERROR(IF(VLOOKUP('Struktur Vorjahr'!$D556,INDIRECT(R$6),8,)="H",-1,1),0)</f>
        <v>0</v>
      </c>
      <c r="S556" s="593" t="e">
        <f ca="1">$E556*SUMIF(INDIRECT(S$3),'Struktur Vorjahr'!$D556,INDIRECT(S$8))*IFERROR(IF(VLOOKUP('Struktur Vorjahr'!$D556,INDIRECT(S$6),8,)="H",-1,1),0)</f>
        <v>#REF!</v>
      </c>
      <c r="T556" s="593" t="e">
        <f ca="1">$E556*SUMIF(INDIRECT(T$3),'Struktur Vorjahr'!$D556,INDIRECT(T$8))*IFERROR(IF(VLOOKUP('Struktur Vorjahr'!$D556,INDIRECT(T$6),8,)="H",-1,1),0)</f>
        <v>#REF!</v>
      </c>
      <c r="U556" s="593" t="e">
        <f ca="1">$E556*SUMIF(INDIRECT(U$3),'Struktur Vorjahr'!$D556,INDIRECT(U$8))*IFERROR(IF(VLOOKUP('Struktur Vorjahr'!$D556,INDIRECT(U$6),8,)="H",-1,1),0)</f>
        <v>#REF!</v>
      </c>
      <c r="V556" s="593" t="e">
        <f ca="1">$E556*SUMIF(INDIRECT(V$3),'Struktur Vorjahr'!$D556,INDIRECT(V$8))*IFERROR(IF(VLOOKUP('Struktur Vorjahr'!$D556,INDIRECT(V$6),8,)="H",-1,1),0)</f>
        <v>#REF!</v>
      </c>
      <c r="W556" s="593" t="e">
        <f ca="1">$E556*SUMIF(INDIRECT(W$3),'Struktur Vorjahr'!$D556,INDIRECT(W$8))*IFERROR(IF(VLOOKUP('Struktur Vorjahr'!$D556,INDIRECT(W$6),8,)="H",-1,1),0)</f>
        <v>#REF!</v>
      </c>
      <c r="X556" s="593" t="e">
        <f ca="1">$E556*SUMIF(INDIRECT(X$3),'Struktur Vorjahr'!$D556,INDIRECT(X$8))*IFERROR(IF(VLOOKUP('Struktur Vorjahr'!$D556,INDIRECT(X$6),8,)="H",-1,1),0)</f>
        <v>#REF!</v>
      </c>
      <c r="Y556" s="593" t="e">
        <f ca="1">$E556*SUMIF(INDIRECT(Y$3),'Struktur Vorjahr'!$D556,INDIRECT(Y$8))*IFERROR(IF(VLOOKUP('Struktur Vorjahr'!$D556,INDIRECT(Y$6),8,)="H",-1,1),0)</f>
        <v>#REF!</v>
      </c>
      <c r="Z556" s="593" t="e">
        <f ca="1">$E556*SUMIF(INDIRECT(Z$3),'Struktur Vorjahr'!$D556,INDIRECT(Z$8))*IFERROR(IF(VLOOKUP('Struktur Vorjahr'!$D556,INDIRECT(Z$6),8,)="H",-1,1),0)</f>
        <v>#REF!</v>
      </c>
      <c r="AA556" s="593" t="e">
        <f ca="1">$E556*SUMIF(INDIRECT(AA$3),'Struktur Vorjahr'!$D556,INDIRECT(AA$8))*IFERROR(IF(VLOOKUP('Struktur Vorjahr'!$D556,INDIRECT(AA$6),8,)="H",-1,1),0)</f>
        <v>#REF!</v>
      </c>
      <c r="AB556" s="593" t="e">
        <f ca="1">$E556*SUMIF(INDIRECT(AB$3),'Struktur Vorjahr'!$D556,INDIRECT(AB$8))*IFERROR(IF(VLOOKUP('Struktur Vorjahr'!$D556,INDIRECT(AB$6),8,)="H",-1,1),0)</f>
        <v>#REF!</v>
      </c>
      <c r="AC556" s="593" t="e">
        <f ca="1">$E556*SUMIF(INDIRECT(AC$3),'Struktur Vorjahr'!$D556,INDIRECT(AC$8))*IFERROR(IF(VLOOKUP('Struktur Vorjahr'!$D556,INDIRECT(AC$6),8,)="H",-1,1),0)</f>
        <v>#REF!</v>
      </c>
      <c r="AD556" s="593" t="e">
        <f ca="1">$E556*SUMIF(INDIRECT(AD$3),'Struktur Vorjahr'!$D556,INDIRECT(AD$8))*IFERROR(IF(VLOOKUP('Struktur Vorjahr'!$D556,INDIRECT(AD$6),8,)="H",-1,1),0)</f>
        <v>#REF!</v>
      </c>
      <c r="AE556" s="593">
        <f t="shared" ca="1" si="280"/>
        <v>0</v>
      </c>
      <c r="AF556" s="593">
        <f t="shared" ca="1" si="281"/>
        <v>0</v>
      </c>
      <c r="AG556" s="593">
        <f t="shared" ca="1" si="281"/>
        <v>0</v>
      </c>
      <c r="AH556" s="593">
        <f t="shared" ca="1" si="281"/>
        <v>0</v>
      </c>
      <c r="AI556" s="593">
        <f t="shared" ca="1" si="281"/>
        <v>0</v>
      </c>
      <c r="AJ556" s="593">
        <f t="shared" ca="1" si="281"/>
        <v>0</v>
      </c>
      <c r="AK556" s="593">
        <f t="shared" ca="1" si="281"/>
        <v>0</v>
      </c>
      <c r="AL556" s="593">
        <f t="shared" ca="1" si="281"/>
        <v>0</v>
      </c>
      <c r="AM556" s="593">
        <f t="shared" ca="1" si="281"/>
        <v>0</v>
      </c>
      <c r="AN556" s="593">
        <f t="shared" ca="1" si="281"/>
        <v>0</v>
      </c>
      <c r="AO556" s="593">
        <f t="shared" ca="1" si="281"/>
        <v>0</v>
      </c>
      <c r="AP556" s="593">
        <f t="shared" ca="1" si="281"/>
        <v>0</v>
      </c>
    </row>
    <row r="557" spans="1:42" s="589" customFormat="1" outlineLevel="1" x14ac:dyDescent="0.2">
      <c r="A557" s="629">
        <v>50</v>
      </c>
      <c r="B557" s="623" t="s">
        <v>1035</v>
      </c>
      <c r="C557" s="627">
        <f ca="1">SUM(G557:R557)</f>
        <v>0</v>
      </c>
      <c r="D557" s="627"/>
      <c r="E557" s="628">
        <f t="shared" si="237"/>
        <v>1</v>
      </c>
      <c r="F557" s="628"/>
      <c r="G557" s="627">
        <f t="shared" ref="G557:AP557" ca="1" si="282">SUM(G558:G560)</f>
        <v>0</v>
      </c>
      <c r="H557" s="627">
        <f t="shared" ca="1" si="282"/>
        <v>0</v>
      </c>
      <c r="I557" s="627">
        <f t="shared" ca="1" si="282"/>
        <v>0</v>
      </c>
      <c r="J557" s="627">
        <f t="shared" ca="1" si="282"/>
        <v>0</v>
      </c>
      <c r="K557" s="627">
        <f t="shared" ca="1" si="282"/>
        <v>0</v>
      </c>
      <c r="L557" s="627">
        <f t="shared" ca="1" si="282"/>
        <v>0</v>
      </c>
      <c r="M557" s="627">
        <f t="shared" ca="1" si="282"/>
        <v>0</v>
      </c>
      <c r="N557" s="627">
        <f t="shared" ca="1" si="282"/>
        <v>0</v>
      </c>
      <c r="O557" s="627">
        <f t="shared" ca="1" si="282"/>
        <v>0</v>
      </c>
      <c r="P557" s="627">
        <f t="shared" ca="1" si="282"/>
        <v>0</v>
      </c>
      <c r="Q557" s="627">
        <f t="shared" ca="1" si="282"/>
        <v>0</v>
      </c>
      <c r="R557" s="627">
        <f t="shared" ca="1" si="282"/>
        <v>0</v>
      </c>
      <c r="S557" s="627" t="e">
        <f t="shared" ca="1" si="282"/>
        <v>#REF!</v>
      </c>
      <c r="T557" s="627" t="e">
        <f t="shared" ca="1" si="282"/>
        <v>#REF!</v>
      </c>
      <c r="U557" s="627" t="e">
        <f t="shared" ca="1" si="282"/>
        <v>#REF!</v>
      </c>
      <c r="V557" s="627" t="e">
        <f t="shared" ca="1" si="282"/>
        <v>#REF!</v>
      </c>
      <c r="W557" s="627" t="e">
        <f t="shared" ca="1" si="282"/>
        <v>#REF!</v>
      </c>
      <c r="X557" s="627" t="e">
        <f t="shared" ca="1" si="282"/>
        <v>#REF!</v>
      </c>
      <c r="Y557" s="627" t="e">
        <f t="shared" ca="1" si="282"/>
        <v>#REF!</v>
      </c>
      <c r="Z557" s="627" t="e">
        <f t="shared" ca="1" si="282"/>
        <v>#REF!</v>
      </c>
      <c r="AA557" s="627" t="e">
        <f t="shared" ca="1" si="282"/>
        <v>#REF!</v>
      </c>
      <c r="AB557" s="627" t="e">
        <f t="shared" ca="1" si="282"/>
        <v>#REF!</v>
      </c>
      <c r="AC557" s="627" t="e">
        <f t="shared" ca="1" si="282"/>
        <v>#REF!</v>
      </c>
      <c r="AD557" s="627" t="e">
        <f t="shared" ca="1" si="282"/>
        <v>#REF!</v>
      </c>
      <c r="AE557" s="627">
        <f t="shared" ca="1" si="282"/>
        <v>0</v>
      </c>
      <c r="AF557" s="627">
        <f t="shared" ca="1" si="282"/>
        <v>0</v>
      </c>
      <c r="AG557" s="627">
        <f t="shared" ca="1" si="282"/>
        <v>0</v>
      </c>
      <c r="AH557" s="627">
        <f t="shared" ca="1" si="282"/>
        <v>0</v>
      </c>
      <c r="AI557" s="627">
        <f t="shared" ca="1" si="282"/>
        <v>0</v>
      </c>
      <c r="AJ557" s="627">
        <f t="shared" ca="1" si="282"/>
        <v>0</v>
      </c>
      <c r="AK557" s="627">
        <f t="shared" ca="1" si="282"/>
        <v>0</v>
      </c>
      <c r="AL557" s="627">
        <f t="shared" ca="1" si="282"/>
        <v>0</v>
      </c>
      <c r="AM557" s="627">
        <f t="shared" ca="1" si="282"/>
        <v>0</v>
      </c>
      <c r="AN557" s="627">
        <f t="shared" ca="1" si="282"/>
        <v>0</v>
      </c>
      <c r="AO557" s="627">
        <f t="shared" ca="1" si="282"/>
        <v>0</v>
      </c>
      <c r="AP557" s="627">
        <f t="shared" ca="1" si="282"/>
        <v>0</v>
      </c>
    </row>
    <row r="558" spans="1:42" s="594" customFormat="1" ht="11.25" outlineLevel="1" x14ac:dyDescent="0.2">
      <c r="A558" s="644"/>
      <c r="B558" s="591" t="str">
        <f>IF(D558&lt;&gt;"",
IF(ISERROR(MATCH(D558,'Ist Vorjahr Monat 01'!A:A,0))=FALSE,INDEX('Ist Vorjahr Monat 01'!B:B,MATCH(D558,'Ist Vorjahr Monat 01'!A:A,0)),
IF(ISERROR(MATCH(D558,'Ist Vorjahr Monat 02'!A:A,0))=FALSE,INDEX('Ist Vorjahr Monat 02'!B:B,MATCH(D558,'Ist Vorjahr Monat 02'!A:A,0)),
IF(ISERROR(MATCH(D558,'Ist Vorjahr Monat 03'!A:A,0))=FALSE,INDEX('Ist Vorjahr Monat 03'!B:B,MATCH(D558,'Ist Vorjahr Monat 03'!A:A,0)),
IF(ISERROR(MATCH(D558,'Ist Vorjahr Monat 04'!A:A,0))=FALSE,INDEX('Ist Vorjahr Monat 04'!B:B,MATCH(D558,'Ist Vorjahr Monat 04'!A:A,0)),
IF(ISERROR(MATCH(D558,'Ist Vorjahr Monat 05'!A:A,0))=FALSE,INDEX('Ist Vorjahr Monat 05'!B:B,MATCH(D558,'Ist Vorjahr Monat 05'!A:A,0)),
IF(ISERROR(MATCH(D558,'Ist Vorjahr Monat 06'!A:A,0))=FALSE,INDEX('Ist Vorjahr Monat 06'!B:B,MATCH(D558,'Ist Vorjahr Monat 06'!A:A,0)),
IF(ISERROR(MATCH(D558,'Ist Vorjahr Monat 07'!A:A,0))=FALSE,INDEX('Ist Vorjahr Monat 07'!B:B,MATCH(D558,'Ist Vorjahr Monat 07'!A:A,0)),
IF(ISERROR(MATCH(D558,'Ist Vorjahr Monat 08'!A:A,0))=FALSE,INDEX('Ist Vorjahr Monat 08'!B:B,MATCH(D558,'Ist Vorjahr Monat 08'!A:A,0)),
IF(ISERROR(MATCH(D558,'Ist Vorjahr Monat 09'!A:A,0))=FALSE,INDEX('Ist Vorjahr Monat 09'!B:B,MATCH(D558,'Ist Vorjahr Monat 09'!A:A,0)),
IF(ISERROR(MATCH(D558,'Ist Vorjahr Monat 10'!A:A,0))=FALSE,INDEX('Ist Vorjahr Monat 10'!B:B,MATCH(D558,'Ist Vorjahr Monat 10'!A:A,0)),
IF(ISERROR(MATCH(D558,'Ist Vorjahr Monat 11'!A:A,0))=FALSE,INDEX('Ist Vorjahr Monat 11'!B:B,MATCH(D558,'Ist Vorjahr Monat 11'!A:A,0)),
IF(ISERROR(MATCH(D558,'Ist Vorjahr Monat 12'!A:A,0))=FALSE,INDEX('Ist Vorjahr Monat 12'!B:B,MATCH(D558,'Ist Vorjahr Monat 12'!A:A,0)),
"{Konto unbekannt}"
)))))))))))),"")</f>
        <v/>
      </c>
      <c r="C558" s="591"/>
      <c r="D558" s="590"/>
      <c r="E558" s="625">
        <f t="shared" si="237"/>
        <v>1</v>
      </c>
      <c r="F558" s="626"/>
      <c r="G558" s="593">
        <f ca="1">$E558*SUMIF(INDIRECT(G$3),'Struktur Vorjahr'!$D558,INDIRECT(G$8))</f>
        <v>0</v>
      </c>
      <c r="H558" s="593">
        <f ca="1">$E558*SUMIF(INDIRECT(H$3),'Struktur Vorjahr'!$D558,INDIRECT(H$8))</f>
        <v>0</v>
      </c>
      <c r="I558" s="593">
        <f ca="1">$E558*SUMIF(INDIRECT(I$3),'Struktur Vorjahr'!$D558,INDIRECT(I$8))</f>
        <v>0</v>
      </c>
      <c r="J558" s="593">
        <f ca="1">$E558*SUMIF(INDIRECT(J$3),'Struktur Vorjahr'!$D558,INDIRECT(J$8))</f>
        <v>0</v>
      </c>
      <c r="K558" s="593">
        <f ca="1">$E558*SUMIF(INDIRECT(K$3),'Struktur Vorjahr'!$D558,INDIRECT(K$8))</f>
        <v>0</v>
      </c>
      <c r="L558" s="593">
        <f ca="1">$E558*SUMIF(INDIRECT(L$3),'Struktur Vorjahr'!$D558,INDIRECT(L$8))</f>
        <v>0</v>
      </c>
      <c r="M558" s="593">
        <f ca="1">$E558*SUMIF(INDIRECT(M$3),'Struktur Vorjahr'!$D558,INDIRECT(M$8))</f>
        <v>0</v>
      </c>
      <c r="N558" s="593">
        <f ca="1">$E558*SUMIF(INDIRECT(N$3),'Struktur Vorjahr'!$D558,INDIRECT(N$8))</f>
        <v>0</v>
      </c>
      <c r="O558" s="593">
        <f ca="1">$E558*SUMIF(INDIRECT(O$3),'Struktur Vorjahr'!$D558,INDIRECT(O$8))</f>
        <v>0</v>
      </c>
      <c r="P558" s="593">
        <f ca="1">$E558*SUMIF(INDIRECT(P$3),'Struktur Vorjahr'!$D558,INDIRECT(P$8))</f>
        <v>0</v>
      </c>
      <c r="Q558" s="593">
        <f ca="1">$E558*SUMIF(INDIRECT(Q$3),'Struktur Vorjahr'!$D558,INDIRECT(Q$8))</f>
        <v>0</v>
      </c>
      <c r="R558" s="593">
        <f ca="1">$E558*SUMIF(INDIRECT(R$3),'Struktur Vorjahr'!$D558,INDIRECT(R$8))</f>
        <v>0</v>
      </c>
      <c r="S558" s="593" t="e">
        <f ca="1">$E558*SUMIF(INDIRECT(S$3),'Struktur Vorjahr'!$D558,INDIRECT(S$8))</f>
        <v>#REF!</v>
      </c>
      <c r="T558" s="593" t="e">
        <f ca="1">$E558*SUMIF(INDIRECT(T$3),'Struktur Vorjahr'!$D558,INDIRECT(T$8))</f>
        <v>#REF!</v>
      </c>
      <c r="U558" s="593" t="e">
        <f ca="1">$E558*SUMIF(INDIRECT(U$3),'Struktur Vorjahr'!$D558,INDIRECT(U$8))</f>
        <v>#REF!</v>
      </c>
      <c r="V558" s="593" t="e">
        <f ca="1">$E558*SUMIF(INDIRECT(V$3),'Struktur Vorjahr'!$D558,INDIRECT(V$8))</f>
        <v>#REF!</v>
      </c>
      <c r="W558" s="593" t="e">
        <f ca="1">$E558*SUMIF(INDIRECT(W$3),'Struktur Vorjahr'!$D558,INDIRECT(W$8))</f>
        <v>#REF!</v>
      </c>
      <c r="X558" s="593" t="e">
        <f ca="1">$E558*SUMIF(INDIRECT(X$3),'Struktur Vorjahr'!$D558,INDIRECT(X$8))</f>
        <v>#REF!</v>
      </c>
      <c r="Y558" s="593" t="e">
        <f ca="1">$E558*SUMIF(INDIRECT(Y$3),'Struktur Vorjahr'!$D558,INDIRECT(Y$8))</f>
        <v>#REF!</v>
      </c>
      <c r="Z558" s="593" t="e">
        <f ca="1">$E558*SUMIF(INDIRECT(Z$3),'Struktur Vorjahr'!$D558,INDIRECT(Z$8))</f>
        <v>#REF!</v>
      </c>
      <c r="AA558" s="593" t="e">
        <f ca="1">$E558*SUMIF(INDIRECT(AA$3),'Struktur Vorjahr'!$D558,INDIRECT(AA$8))</f>
        <v>#REF!</v>
      </c>
      <c r="AB558" s="593" t="e">
        <f ca="1">$E558*SUMIF(INDIRECT(AB$3),'Struktur Vorjahr'!$D558,INDIRECT(AB$8))</f>
        <v>#REF!</v>
      </c>
      <c r="AC558" s="593" t="e">
        <f ca="1">$E558*SUMIF(INDIRECT(AC$3),'Struktur Vorjahr'!$D558,INDIRECT(AC$8))</f>
        <v>#REF!</v>
      </c>
      <c r="AD558" s="593" t="e">
        <f ca="1">$E558*SUMIF(INDIRECT(AD$3),'Struktur Vorjahr'!$D558,INDIRECT(AD$8))</f>
        <v>#REF!</v>
      </c>
      <c r="AE558" s="593">
        <f t="shared" ref="AE558:AE560" ca="1" si="283">G558</f>
        <v>0</v>
      </c>
      <c r="AF558" s="593">
        <f t="shared" ref="AF558:AP560" ca="1" si="284">H558+AE558</f>
        <v>0</v>
      </c>
      <c r="AG558" s="593">
        <f t="shared" ca="1" si="284"/>
        <v>0</v>
      </c>
      <c r="AH558" s="593">
        <f t="shared" ca="1" si="284"/>
        <v>0</v>
      </c>
      <c r="AI558" s="593">
        <f t="shared" ca="1" si="284"/>
        <v>0</v>
      </c>
      <c r="AJ558" s="593">
        <f t="shared" ca="1" si="284"/>
        <v>0</v>
      </c>
      <c r="AK558" s="593">
        <f t="shared" ca="1" si="284"/>
        <v>0</v>
      </c>
      <c r="AL558" s="593">
        <f t="shared" ca="1" si="284"/>
        <v>0</v>
      </c>
      <c r="AM558" s="593">
        <f t="shared" ca="1" si="284"/>
        <v>0</v>
      </c>
      <c r="AN558" s="593">
        <f t="shared" ca="1" si="284"/>
        <v>0</v>
      </c>
      <c r="AO558" s="593">
        <f t="shared" ca="1" si="284"/>
        <v>0</v>
      </c>
      <c r="AP558" s="593">
        <f t="shared" ca="1" si="284"/>
        <v>0</v>
      </c>
    </row>
    <row r="559" spans="1:42" s="594" customFormat="1" ht="11.25" outlineLevel="1" x14ac:dyDescent="0.2">
      <c r="A559" s="644"/>
      <c r="B559" s="591" t="str">
        <f>IF(D559&lt;&gt;"",
IF(ISERROR(MATCH(D559,'Ist Vorjahr Monat 01'!A:A,0))=FALSE,INDEX('Ist Vorjahr Monat 01'!B:B,MATCH(D559,'Ist Vorjahr Monat 01'!A:A,0)),
IF(ISERROR(MATCH(D559,'Ist Vorjahr Monat 02'!A:A,0))=FALSE,INDEX('Ist Vorjahr Monat 02'!B:B,MATCH(D559,'Ist Vorjahr Monat 02'!A:A,0)),
IF(ISERROR(MATCH(D559,'Ist Vorjahr Monat 03'!A:A,0))=FALSE,INDEX('Ist Vorjahr Monat 03'!B:B,MATCH(D559,'Ist Vorjahr Monat 03'!A:A,0)),
IF(ISERROR(MATCH(D559,'Ist Vorjahr Monat 04'!A:A,0))=FALSE,INDEX('Ist Vorjahr Monat 04'!B:B,MATCH(D559,'Ist Vorjahr Monat 04'!A:A,0)),
IF(ISERROR(MATCH(D559,'Ist Vorjahr Monat 05'!A:A,0))=FALSE,INDEX('Ist Vorjahr Monat 05'!B:B,MATCH(D559,'Ist Vorjahr Monat 05'!A:A,0)),
IF(ISERROR(MATCH(D559,'Ist Vorjahr Monat 06'!A:A,0))=FALSE,INDEX('Ist Vorjahr Monat 06'!B:B,MATCH(D559,'Ist Vorjahr Monat 06'!A:A,0)),
IF(ISERROR(MATCH(D559,'Ist Vorjahr Monat 07'!A:A,0))=FALSE,INDEX('Ist Vorjahr Monat 07'!B:B,MATCH(D559,'Ist Vorjahr Monat 07'!A:A,0)),
IF(ISERROR(MATCH(D559,'Ist Vorjahr Monat 08'!A:A,0))=FALSE,INDEX('Ist Vorjahr Monat 08'!B:B,MATCH(D559,'Ist Vorjahr Monat 08'!A:A,0)),
IF(ISERROR(MATCH(D559,'Ist Vorjahr Monat 09'!A:A,0))=FALSE,INDEX('Ist Vorjahr Monat 09'!B:B,MATCH(D559,'Ist Vorjahr Monat 09'!A:A,0)),
IF(ISERROR(MATCH(D559,'Ist Vorjahr Monat 10'!A:A,0))=FALSE,INDEX('Ist Vorjahr Monat 10'!B:B,MATCH(D559,'Ist Vorjahr Monat 10'!A:A,0)),
IF(ISERROR(MATCH(D559,'Ist Vorjahr Monat 11'!A:A,0))=FALSE,INDEX('Ist Vorjahr Monat 11'!B:B,MATCH(D559,'Ist Vorjahr Monat 11'!A:A,0)),
IF(ISERROR(MATCH(D559,'Ist Vorjahr Monat 12'!A:A,0))=FALSE,INDEX('Ist Vorjahr Monat 12'!B:B,MATCH(D559,'Ist Vorjahr Monat 12'!A:A,0)),
"{Konto unbekannt}"
)))))))))))),"")</f>
        <v/>
      </c>
      <c r="C559" s="1062"/>
      <c r="D559" s="1067"/>
      <c r="E559" s="625">
        <f t="shared" si="237"/>
        <v>-1</v>
      </c>
      <c r="F559" s="626" t="s">
        <v>996</v>
      </c>
      <c r="G559" s="593">
        <f ca="1">$E559*SUMIF(INDIRECT(G$3),'Struktur Vorjahr'!$D559,INDIRECT(G$8))</f>
        <v>0</v>
      </c>
      <c r="H559" s="593">
        <f ca="1">$E559*SUMIF(INDIRECT(H$3),'Struktur Vorjahr'!$D559,INDIRECT(H$8))</f>
        <v>0</v>
      </c>
      <c r="I559" s="593">
        <f ca="1">$E559*SUMIF(INDIRECT(I$3),'Struktur Vorjahr'!$D559,INDIRECT(I$8))</f>
        <v>0</v>
      </c>
      <c r="J559" s="593">
        <f ca="1">$E559*SUMIF(INDIRECT(J$3),'Struktur Vorjahr'!$D559,INDIRECT(J$8))</f>
        <v>0</v>
      </c>
      <c r="K559" s="593">
        <f ca="1">$E559*SUMIF(INDIRECT(K$3),'Struktur Vorjahr'!$D559,INDIRECT(K$8))</f>
        <v>0</v>
      </c>
      <c r="L559" s="593">
        <f ca="1">$E559*SUMIF(INDIRECT(L$3),'Struktur Vorjahr'!$D559,INDIRECT(L$8))</f>
        <v>0</v>
      </c>
      <c r="M559" s="593">
        <f ca="1">$E559*SUMIF(INDIRECT(M$3),'Struktur Vorjahr'!$D559,INDIRECT(M$8))</f>
        <v>0</v>
      </c>
      <c r="N559" s="593">
        <f ca="1">$E559*SUMIF(INDIRECT(N$3),'Struktur Vorjahr'!$D559,INDIRECT(N$8))</f>
        <v>0</v>
      </c>
      <c r="O559" s="593">
        <f ca="1">$E559*SUMIF(INDIRECT(O$3),'Struktur Vorjahr'!$D559,INDIRECT(O$8))</f>
        <v>0</v>
      </c>
      <c r="P559" s="593">
        <f ca="1">$E559*SUMIF(INDIRECT(P$3),'Struktur Vorjahr'!$D559,INDIRECT(P$8))</f>
        <v>0</v>
      </c>
      <c r="Q559" s="593">
        <f ca="1">$E559*SUMIF(INDIRECT(Q$3),'Struktur Vorjahr'!$D559,INDIRECT(Q$8))</f>
        <v>0</v>
      </c>
      <c r="R559" s="593">
        <f ca="1">$E559*SUMIF(INDIRECT(R$3),'Struktur Vorjahr'!$D559,INDIRECT(R$8))</f>
        <v>0</v>
      </c>
      <c r="S559" s="593" t="e">
        <f ca="1">$E559*SUMIF(INDIRECT(S$3),'Struktur Vorjahr'!$D559,INDIRECT(S$8))</f>
        <v>#REF!</v>
      </c>
      <c r="T559" s="593" t="e">
        <f ca="1">$E559*SUMIF(INDIRECT(T$3),'Struktur Vorjahr'!$D559,INDIRECT(T$8))</f>
        <v>#REF!</v>
      </c>
      <c r="U559" s="593" t="e">
        <f ca="1">$E559*SUMIF(INDIRECT(U$3),'Struktur Vorjahr'!$D559,INDIRECT(U$8))</f>
        <v>#REF!</v>
      </c>
      <c r="V559" s="593" t="e">
        <f ca="1">$E559*SUMIF(INDIRECT(V$3),'Struktur Vorjahr'!$D559,INDIRECT(V$8))</f>
        <v>#REF!</v>
      </c>
      <c r="W559" s="593" t="e">
        <f ca="1">$E559*SUMIF(INDIRECT(W$3),'Struktur Vorjahr'!$D559,INDIRECT(W$8))</f>
        <v>#REF!</v>
      </c>
      <c r="X559" s="593" t="e">
        <f ca="1">$E559*SUMIF(INDIRECT(X$3),'Struktur Vorjahr'!$D559,INDIRECT(X$8))</f>
        <v>#REF!</v>
      </c>
      <c r="Y559" s="593" t="e">
        <f ca="1">$E559*SUMIF(INDIRECT(Y$3),'Struktur Vorjahr'!$D559,INDIRECT(Y$8))</f>
        <v>#REF!</v>
      </c>
      <c r="Z559" s="593" t="e">
        <f ca="1">$E559*SUMIF(INDIRECT(Z$3),'Struktur Vorjahr'!$D559,INDIRECT(Z$8))</f>
        <v>#REF!</v>
      </c>
      <c r="AA559" s="593" t="e">
        <f ca="1">$E559*SUMIF(INDIRECT(AA$3),'Struktur Vorjahr'!$D559,INDIRECT(AA$8))</f>
        <v>#REF!</v>
      </c>
      <c r="AB559" s="593" t="e">
        <f ca="1">$E559*SUMIF(INDIRECT(AB$3),'Struktur Vorjahr'!$D559,INDIRECT(AB$8))</f>
        <v>#REF!</v>
      </c>
      <c r="AC559" s="593" t="e">
        <f ca="1">$E559*SUMIF(INDIRECT(AC$3),'Struktur Vorjahr'!$D559,INDIRECT(AC$8))</f>
        <v>#REF!</v>
      </c>
      <c r="AD559" s="593" t="e">
        <f ca="1">$E559*SUMIF(INDIRECT(AD$3),'Struktur Vorjahr'!$D559,INDIRECT(AD$8))</f>
        <v>#REF!</v>
      </c>
      <c r="AE559" s="593">
        <f t="shared" ca="1" si="283"/>
        <v>0</v>
      </c>
      <c r="AF559" s="593">
        <f t="shared" ca="1" si="284"/>
        <v>0</v>
      </c>
      <c r="AG559" s="593">
        <f t="shared" ca="1" si="284"/>
        <v>0</v>
      </c>
      <c r="AH559" s="593">
        <f t="shared" ca="1" si="284"/>
        <v>0</v>
      </c>
      <c r="AI559" s="593">
        <f t="shared" ca="1" si="284"/>
        <v>0</v>
      </c>
      <c r="AJ559" s="593">
        <f t="shared" ca="1" si="284"/>
        <v>0</v>
      </c>
      <c r="AK559" s="593">
        <f t="shared" ca="1" si="284"/>
        <v>0</v>
      </c>
      <c r="AL559" s="593">
        <f t="shared" ca="1" si="284"/>
        <v>0</v>
      </c>
      <c r="AM559" s="593">
        <f t="shared" ca="1" si="284"/>
        <v>0</v>
      </c>
      <c r="AN559" s="593">
        <f t="shared" ca="1" si="284"/>
        <v>0</v>
      </c>
      <c r="AO559" s="593">
        <f t="shared" ca="1" si="284"/>
        <v>0</v>
      </c>
      <c r="AP559" s="593">
        <f t="shared" ca="1" si="284"/>
        <v>0</v>
      </c>
    </row>
    <row r="560" spans="1:42" s="594" customFormat="1" ht="11.25" outlineLevel="1" x14ac:dyDescent="0.2">
      <c r="A560" s="644"/>
      <c r="B560" s="591" t="str">
        <f>IF(D560&lt;&gt;"",
IF(ISERROR(MATCH(D560,'Ist Vorjahr Monat 01'!A:A,0))=FALSE,INDEX('Ist Vorjahr Monat 01'!B:B,MATCH(D560,'Ist Vorjahr Monat 01'!A:A,0)),
IF(ISERROR(MATCH(D560,'Ist Vorjahr Monat 02'!A:A,0))=FALSE,INDEX('Ist Vorjahr Monat 02'!B:B,MATCH(D560,'Ist Vorjahr Monat 02'!A:A,0)),
IF(ISERROR(MATCH(D560,'Ist Vorjahr Monat 03'!A:A,0))=FALSE,INDEX('Ist Vorjahr Monat 03'!B:B,MATCH(D560,'Ist Vorjahr Monat 03'!A:A,0)),
IF(ISERROR(MATCH(D560,'Ist Vorjahr Monat 04'!A:A,0))=FALSE,INDEX('Ist Vorjahr Monat 04'!B:B,MATCH(D560,'Ist Vorjahr Monat 04'!A:A,0)),
IF(ISERROR(MATCH(D560,'Ist Vorjahr Monat 05'!A:A,0))=FALSE,INDEX('Ist Vorjahr Monat 05'!B:B,MATCH(D560,'Ist Vorjahr Monat 05'!A:A,0)),
IF(ISERROR(MATCH(D560,'Ist Vorjahr Monat 06'!A:A,0))=FALSE,INDEX('Ist Vorjahr Monat 06'!B:B,MATCH(D560,'Ist Vorjahr Monat 06'!A:A,0)),
IF(ISERROR(MATCH(D560,'Ist Vorjahr Monat 07'!A:A,0))=FALSE,INDEX('Ist Vorjahr Monat 07'!B:B,MATCH(D560,'Ist Vorjahr Monat 07'!A:A,0)),
IF(ISERROR(MATCH(D560,'Ist Vorjahr Monat 08'!A:A,0))=FALSE,INDEX('Ist Vorjahr Monat 08'!B:B,MATCH(D560,'Ist Vorjahr Monat 08'!A:A,0)),
IF(ISERROR(MATCH(D560,'Ist Vorjahr Monat 09'!A:A,0))=FALSE,INDEX('Ist Vorjahr Monat 09'!B:B,MATCH(D560,'Ist Vorjahr Monat 09'!A:A,0)),
IF(ISERROR(MATCH(D560,'Ist Vorjahr Monat 10'!A:A,0))=FALSE,INDEX('Ist Vorjahr Monat 10'!B:B,MATCH(D560,'Ist Vorjahr Monat 10'!A:A,0)),
IF(ISERROR(MATCH(D560,'Ist Vorjahr Monat 11'!A:A,0))=FALSE,INDEX('Ist Vorjahr Monat 11'!B:B,MATCH(D560,'Ist Vorjahr Monat 11'!A:A,0)),
IF(ISERROR(MATCH(D560,'Ist Vorjahr Monat 12'!A:A,0))=FALSE,INDEX('Ist Vorjahr Monat 12'!B:B,MATCH(D560,'Ist Vorjahr Monat 12'!A:A,0)),
"{Konto unbekannt}"
)))))))))))),"")</f>
        <v/>
      </c>
      <c r="C560" s="1062"/>
      <c r="D560" s="1067"/>
      <c r="E560" s="625">
        <f t="shared" si="237"/>
        <v>1</v>
      </c>
      <c r="F560" s="626"/>
      <c r="G560" s="593">
        <f ca="1">$E560*SUMIF(INDIRECT(G$3),'Struktur Vorjahr'!$D560,INDIRECT(G$8))</f>
        <v>0</v>
      </c>
      <c r="H560" s="593">
        <f ca="1">$E560*SUMIF(INDIRECT(H$3),'Struktur Vorjahr'!$D560,INDIRECT(H$8))</f>
        <v>0</v>
      </c>
      <c r="I560" s="593">
        <f ca="1">$E560*SUMIF(INDIRECT(I$3),'Struktur Vorjahr'!$D560,INDIRECT(I$8))</f>
        <v>0</v>
      </c>
      <c r="J560" s="593">
        <f ca="1">$E560*SUMIF(INDIRECT(J$3),'Struktur Vorjahr'!$D560,INDIRECT(J$8))</f>
        <v>0</v>
      </c>
      <c r="K560" s="593">
        <f ca="1">$E560*SUMIF(INDIRECT(K$3),'Struktur Vorjahr'!$D560,INDIRECT(K$8))</f>
        <v>0</v>
      </c>
      <c r="L560" s="593">
        <f ca="1">$E560*SUMIF(INDIRECT(L$3),'Struktur Vorjahr'!$D560,INDIRECT(L$8))</f>
        <v>0</v>
      </c>
      <c r="M560" s="593">
        <f ca="1">$E560*SUMIF(INDIRECT(M$3),'Struktur Vorjahr'!$D560,INDIRECT(M$8))</f>
        <v>0</v>
      </c>
      <c r="N560" s="593">
        <f ca="1">$E560*SUMIF(INDIRECT(N$3),'Struktur Vorjahr'!$D560,INDIRECT(N$8))</f>
        <v>0</v>
      </c>
      <c r="O560" s="593">
        <f ca="1">$E560*SUMIF(INDIRECT(O$3),'Struktur Vorjahr'!$D560,INDIRECT(O$8))</f>
        <v>0</v>
      </c>
      <c r="P560" s="593">
        <f ca="1">$E560*SUMIF(INDIRECT(P$3),'Struktur Vorjahr'!$D560,INDIRECT(P$8))</f>
        <v>0</v>
      </c>
      <c r="Q560" s="593">
        <f ca="1">$E560*SUMIF(INDIRECT(Q$3),'Struktur Vorjahr'!$D560,INDIRECT(Q$8))</f>
        <v>0</v>
      </c>
      <c r="R560" s="593">
        <f ca="1">$E560*SUMIF(INDIRECT(R$3),'Struktur Vorjahr'!$D560,INDIRECT(R$8))</f>
        <v>0</v>
      </c>
      <c r="S560" s="593" t="e">
        <f ca="1">$E560*SUMIF(INDIRECT(S$3),'Struktur Vorjahr'!$D560,INDIRECT(S$8))</f>
        <v>#REF!</v>
      </c>
      <c r="T560" s="593" t="e">
        <f ca="1">$E560*SUMIF(INDIRECT(T$3),'Struktur Vorjahr'!$D560,INDIRECT(T$8))</f>
        <v>#REF!</v>
      </c>
      <c r="U560" s="593" t="e">
        <f ca="1">$E560*SUMIF(INDIRECT(U$3),'Struktur Vorjahr'!$D560,INDIRECT(U$8))</f>
        <v>#REF!</v>
      </c>
      <c r="V560" s="593" t="e">
        <f ca="1">$E560*SUMIF(INDIRECT(V$3),'Struktur Vorjahr'!$D560,INDIRECT(V$8))</f>
        <v>#REF!</v>
      </c>
      <c r="W560" s="593" t="e">
        <f ca="1">$E560*SUMIF(INDIRECT(W$3),'Struktur Vorjahr'!$D560,INDIRECT(W$8))</f>
        <v>#REF!</v>
      </c>
      <c r="X560" s="593" t="e">
        <f ca="1">$E560*SUMIF(INDIRECT(X$3),'Struktur Vorjahr'!$D560,INDIRECT(X$8))</f>
        <v>#REF!</v>
      </c>
      <c r="Y560" s="593" t="e">
        <f ca="1">$E560*SUMIF(INDIRECT(Y$3),'Struktur Vorjahr'!$D560,INDIRECT(Y$8))</f>
        <v>#REF!</v>
      </c>
      <c r="Z560" s="593" t="e">
        <f ca="1">$E560*SUMIF(INDIRECT(Z$3),'Struktur Vorjahr'!$D560,INDIRECT(Z$8))</f>
        <v>#REF!</v>
      </c>
      <c r="AA560" s="593" t="e">
        <f ca="1">$E560*SUMIF(INDIRECT(AA$3),'Struktur Vorjahr'!$D560,INDIRECT(AA$8))</f>
        <v>#REF!</v>
      </c>
      <c r="AB560" s="593" t="e">
        <f ca="1">$E560*SUMIF(INDIRECT(AB$3),'Struktur Vorjahr'!$D560,INDIRECT(AB$8))</f>
        <v>#REF!</v>
      </c>
      <c r="AC560" s="593" t="e">
        <f ca="1">$E560*SUMIF(INDIRECT(AC$3),'Struktur Vorjahr'!$D560,INDIRECT(AC$8))</f>
        <v>#REF!</v>
      </c>
      <c r="AD560" s="593" t="e">
        <f ca="1">$E560*SUMIF(INDIRECT(AD$3),'Struktur Vorjahr'!$D560,INDIRECT(AD$8))</f>
        <v>#REF!</v>
      </c>
      <c r="AE560" s="593">
        <f t="shared" ca="1" si="283"/>
        <v>0</v>
      </c>
      <c r="AF560" s="593">
        <f t="shared" ca="1" si="284"/>
        <v>0</v>
      </c>
      <c r="AG560" s="593">
        <f t="shared" ca="1" si="284"/>
        <v>0</v>
      </c>
      <c r="AH560" s="593">
        <f t="shared" ca="1" si="284"/>
        <v>0</v>
      </c>
      <c r="AI560" s="593">
        <f t="shared" ca="1" si="284"/>
        <v>0</v>
      </c>
      <c r="AJ560" s="593">
        <f t="shared" ca="1" si="284"/>
        <v>0</v>
      </c>
      <c r="AK560" s="593">
        <f t="shared" ca="1" si="284"/>
        <v>0</v>
      </c>
      <c r="AL560" s="593">
        <f t="shared" ca="1" si="284"/>
        <v>0</v>
      </c>
      <c r="AM560" s="593">
        <f t="shared" ca="1" si="284"/>
        <v>0</v>
      </c>
      <c r="AN560" s="593">
        <f t="shared" ca="1" si="284"/>
        <v>0</v>
      </c>
      <c r="AO560" s="593">
        <f t="shared" ca="1" si="284"/>
        <v>0</v>
      </c>
      <c r="AP560" s="593">
        <f t="shared" ca="1" si="284"/>
        <v>0</v>
      </c>
    </row>
    <row r="561" spans="1:42" s="589" customFormat="1" outlineLevel="1" x14ac:dyDescent="0.2">
      <c r="A561" s="629">
        <v>51</v>
      </c>
      <c r="B561" s="623" t="s">
        <v>401</v>
      </c>
      <c r="C561" s="627">
        <f ca="1">SUM(G561:R561)</f>
        <v>0</v>
      </c>
      <c r="D561" s="627"/>
      <c r="E561" s="628">
        <f t="shared" si="237"/>
        <v>1</v>
      </c>
      <c r="F561" s="628"/>
      <c r="G561" s="627">
        <f t="shared" ref="G561:AP561" ca="1" si="285">SUM(G562:G564)</f>
        <v>0</v>
      </c>
      <c r="H561" s="627">
        <f t="shared" ca="1" si="285"/>
        <v>0</v>
      </c>
      <c r="I561" s="627">
        <f t="shared" ca="1" si="285"/>
        <v>0</v>
      </c>
      <c r="J561" s="627">
        <f t="shared" ca="1" si="285"/>
        <v>0</v>
      </c>
      <c r="K561" s="627">
        <f t="shared" ca="1" si="285"/>
        <v>0</v>
      </c>
      <c r="L561" s="627">
        <f t="shared" ca="1" si="285"/>
        <v>0</v>
      </c>
      <c r="M561" s="627">
        <f t="shared" ca="1" si="285"/>
        <v>0</v>
      </c>
      <c r="N561" s="627">
        <f t="shared" ca="1" si="285"/>
        <v>0</v>
      </c>
      <c r="O561" s="627">
        <f t="shared" ca="1" si="285"/>
        <v>0</v>
      </c>
      <c r="P561" s="627">
        <f t="shared" ca="1" si="285"/>
        <v>0</v>
      </c>
      <c r="Q561" s="627">
        <f t="shared" ca="1" si="285"/>
        <v>0</v>
      </c>
      <c r="R561" s="627">
        <f t="shared" ca="1" si="285"/>
        <v>0</v>
      </c>
      <c r="S561" s="627" t="e">
        <f t="shared" ca="1" si="285"/>
        <v>#REF!</v>
      </c>
      <c r="T561" s="627" t="e">
        <f t="shared" ca="1" si="285"/>
        <v>#REF!</v>
      </c>
      <c r="U561" s="627" t="e">
        <f t="shared" ca="1" si="285"/>
        <v>#REF!</v>
      </c>
      <c r="V561" s="627" t="e">
        <f t="shared" ca="1" si="285"/>
        <v>#REF!</v>
      </c>
      <c r="W561" s="627" t="e">
        <f t="shared" ca="1" si="285"/>
        <v>#REF!</v>
      </c>
      <c r="X561" s="627" t="e">
        <f t="shared" ca="1" si="285"/>
        <v>#REF!</v>
      </c>
      <c r="Y561" s="627" t="e">
        <f t="shared" ca="1" si="285"/>
        <v>#REF!</v>
      </c>
      <c r="Z561" s="627" t="e">
        <f t="shared" ca="1" si="285"/>
        <v>#REF!</v>
      </c>
      <c r="AA561" s="627" t="e">
        <f t="shared" ca="1" si="285"/>
        <v>#REF!</v>
      </c>
      <c r="AB561" s="627" t="e">
        <f t="shared" ca="1" si="285"/>
        <v>#REF!</v>
      </c>
      <c r="AC561" s="627" t="e">
        <f t="shared" ca="1" si="285"/>
        <v>#REF!</v>
      </c>
      <c r="AD561" s="627" t="e">
        <f t="shared" ca="1" si="285"/>
        <v>#REF!</v>
      </c>
      <c r="AE561" s="627">
        <f t="shared" ca="1" si="285"/>
        <v>0</v>
      </c>
      <c r="AF561" s="627">
        <f t="shared" ca="1" si="285"/>
        <v>0</v>
      </c>
      <c r="AG561" s="627">
        <f t="shared" ca="1" si="285"/>
        <v>0</v>
      </c>
      <c r="AH561" s="627">
        <f t="shared" ca="1" si="285"/>
        <v>0</v>
      </c>
      <c r="AI561" s="627">
        <f t="shared" ca="1" si="285"/>
        <v>0</v>
      </c>
      <c r="AJ561" s="627">
        <f t="shared" ca="1" si="285"/>
        <v>0</v>
      </c>
      <c r="AK561" s="627">
        <f t="shared" ca="1" si="285"/>
        <v>0</v>
      </c>
      <c r="AL561" s="627">
        <f t="shared" ca="1" si="285"/>
        <v>0</v>
      </c>
      <c r="AM561" s="627">
        <f t="shared" ca="1" si="285"/>
        <v>0</v>
      </c>
      <c r="AN561" s="627">
        <f t="shared" ca="1" si="285"/>
        <v>0</v>
      </c>
      <c r="AO561" s="627">
        <f t="shared" ca="1" si="285"/>
        <v>0</v>
      </c>
      <c r="AP561" s="627">
        <f t="shared" ca="1" si="285"/>
        <v>0</v>
      </c>
    </row>
    <row r="562" spans="1:42" s="594" customFormat="1" ht="11.25" outlineLevel="1" x14ac:dyDescent="0.2">
      <c r="A562" s="644"/>
      <c r="B562" s="591" t="str">
        <f>IF(D562&lt;&gt;"",
IF(ISERROR(MATCH(D562,'Ist Vorjahr Monat 01'!A:A,0))=FALSE,INDEX('Ist Vorjahr Monat 01'!B:B,MATCH(D562,'Ist Vorjahr Monat 01'!A:A,0)),
IF(ISERROR(MATCH(D562,'Ist Vorjahr Monat 02'!A:A,0))=FALSE,INDEX('Ist Vorjahr Monat 02'!B:B,MATCH(D562,'Ist Vorjahr Monat 02'!A:A,0)),
IF(ISERROR(MATCH(D562,'Ist Vorjahr Monat 03'!A:A,0))=FALSE,INDEX('Ist Vorjahr Monat 03'!B:B,MATCH(D562,'Ist Vorjahr Monat 03'!A:A,0)),
IF(ISERROR(MATCH(D562,'Ist Vorjahr Monat 04'!A:A,0))=FALSE,INDEX('Ist Vorjahr Monat 04'!B:B,MATCH(D562,'Ist Vorjahr Monat 04'!A:A,0)),
IF(ISERROR(MATCH(D562,'Ist Vorjahr Monat 05'!A:A,0))=FALSE,INDEX('Ist Vorjahr Monat 05'!B:B,MATCH(D562,'Ist Vorjahr Monat 05'!A:A,0)),
IF(ISERROR(MATCH(D562,'Ist Vorjahr Monat 06'!A:A,0))=FALSE,INDEX('Ist Vorjahr Monat 06'!B:B,MATCH(D562,'Ist Vorjahr Monat 06'!A:A,0)),
IF(ISERROR(MATCH(D562,'Ist Vorjahr Monat 07'!A:A,0))=FALSE,INDEX('Ist Vorjahr Monat 07'!B:B,MATCH(D562,'Ist Vorjahr Monat 07'!A:A,0)),
IF(ISERROR(MATCH(D562,'Ist Vorjahr Monat 08'!A:A,0))=FALSE,INDEX('Ist Vorjahr Monat 08'!B:B,MATCH(D562,'Ist Vorjahr Monat 08'!A:A,0)),
IF(ISERROR(MATCH(D562,'Ist Vorjahr Monat 09'!A:A,0))=FALSE,INDEX('Ist Vorjahr Monat 09'!B:B,MATCH(D562,'Ist Vorjahr Monat 09'!A:A,0)),
IF(ISERROR(MATCH(D562,'Ist Vorjahr Monat 10'!A:A,0))=FALSE,INDEX('Ist Vorjahr Monat 10'!B:B,MATCH(D562,'Ist Vorjahr Monat 10'!A:A,0)),
IF(ISERROR(MATCH(D562,'Ist Vorjahr Monat 11'!A:A,0))=FALSE,INDEX('Ist Vorjahr Monat 11'!B:B,MATCH(D562,'Ist Vorjahr Monat 11'!A:A,0)),
IF(ISERROR(MATCH(D562,'Ist Vorjahr Monat 12'!A:A,0))=FALSE,INDEX('Ist Vorjahr Monat 12'!B:B,MATCH(D562,'Ist Vorjahr Monat 12'!A:A,0)),
"{Konto unbekannt}"
)))))))))))),"")</f>
        <v>Sonstige Vermögensgegenstände</v>
      </c>
      <c r="C562" s="1062"/>
      <c r="D562" s="1067">
        <v>1500</v>
      </c>
      <c r="E562" s="625">
        <f t="shared" si="237"/>
        <v>1</v>
      </c>
      <c r="F562" s="626"/>
      <c r="G562" s="593">
        <f ca="1">$E562*SUMIF(INDIRECT(G$3),'Struktur Vorjahr'!$D562,INDIRECT(G$8))*IFERROR(IF(VLOOKUP('Struktur Vorjahr'!$D562,INDIRECT(G$6),8,)="H",-1,1),0)</f>
        <v>0</v>
      </c>
      <c r="H562" s="593">
        <f ca="1">$E562*SUMIF(INDIRECT(H$3),'Struktur Vorjahr'!$D562,INDIRECT(H$8))*IFERROR(IF(VLOOKUP('Struktur Vorjahr'!$D562,INDIRECT(H$6),8,)="H",-1,1),0)</f>
        <v>0</v>
      </c>
      <c r="I562" s="593">
        <f ca="1">$E562*SUMIF(INDIRECT(I$3),'Struktur Vorjahr'!$D562,INDIRECT(I$8))*IFERROR(IF(VLOOKUP('Struktur Vorjahr'!$D562,INDIRECT(I$6),8,)="H",-1,1),0)</f>
        <v>0</v>
      </c>
      <c r="J562" s="593">
        <f ca="1">$E562*SUMIF(INDIRECT(J$3),'Struktur Vorjahr'!$D562,INDIRECT(J$8))*IFERROR(IF(VLOOKUP('Struktur Vorjahr'!$D562,INDIRECT(J$6),8,)="H",-1,1),0)</f>
        <v>0</v>
      </c>
      <c r="K562" s="593">
        <f ca="1">$E562*SUMIF(INDIRECT(K$3),'Struktur Vorjahr'!$D562,INDIRECT(K$8))*IFERROR(IF(VLOOKUP('Struktur Vorjahr'!$D562,INDIRECT(K$6),8,)="H",-1,1),0)</f>
        <v>0</v>
      </c>
      <c r="L562" s="593">
        <f ca="1">$E562*SUMIF(INDIRECT(L$3),'Struktur Vorjahr'!$D562,INDIRECT(L$8))*IFERROR(IF(VLOOKUP('Struktur Vorjahr'!$D562,INDIRECT(L$6),8,)="H",-1,1),0)</f>
        <v>0</v>
      </c>
      <c r="M562" s="593">
        <f ca="1">$E562*SUMIF(INDIRECT(M$3),'Struktur Vorjahr'!$D562,INDIRECT(M$8))*IFERROR(IF(VLOOKUP('Struktur Vorjahr'!$D562,INDIRECT(M$6),8,)="H",-1,1),0)</f>
        <v>0</v>
      </c>
      <c r="N562" s="593">
        <f ca="1">$E562*SUMIF(INDIRECT(N$3),'Struktur Vorjahr'!$D562,INDIRECT(N$8))*IFERROR(IF(VLOOKUP('Struktur Vorjahr'!$D562,INDIRECT(N$6),8,)="H",-1,1),0)</f>
        <v>0</v>
      </c>
      <c r="O562" s="593">
        <f ca="1">$E562*SUMIF(INDIRECT(O$3),'Struktur Vorjahr'!$D562,INDIRECT(O$8))*IFERROR(IF(VLOOKUP('Struktur Vorjahr'!$D562,INDIRECT(O$6),8,)="H",-1,1),0)</f>
        <v>0</v>
      </c>
      <c r="P562" s="593">
        <f ca="1">$E562*SUMIF(INDIRECT(P$3),'Struktur Vorjahr'!$D562,INDIRECT(P$8))*IFERROR(IF(VLOOKUP('Struktur Vorjahr'!$D562,INDIRECT(P$6),8,)="H",-1,1),0)</f>
        <v>0</v>
      </c>
      <c r="Q562" s="593">
        <f ca="1">$E562*SUMIF(INDIRECT(Q$3),'Struktur Vorjahr'!$D562,INDIRECT(Q$8))*IFERROR(IF(VLOOKUP('Struktur Vorjahr'!$D562,INDIRECT(Q$6),8,)="H",-1,1),0)</f>
        <v>0</v>
      </c>
      <c r="R562" s="593">
        <f ca="1">$E562*SUMIF(INDIRECT(R$3),'Struktur Vorjahr'!$D562,INDIRECT(R$8))*IFERROR(IF(VLOOKUP('Struktur Vorjahr'!$D562,INDIRECT(R$6),8,)="H",-1,1),0)</f>
        <v>0</v>
      </c>
      <c r="S562" s="593" t="e">
        <f ca="1">$E562*SUMIF(INDIRECT(S$3),'Struktur Vorjahr'!$D562,INDIRECT(S$8))*IFERROR(IF(VLOOKUP('Struktur Vorjahr'!$D562,INDIRECT(S$6),8,)="H",-1,1),0)</f>
        <v>#REF!</v>
      </c>
      <c r="T562" s="593" t="e">
        <f ca="1">$E562*SUMIF(INDIRECT(T$3),'Struktur Vorjahr'!$D562,INDIRECT(T$8))*IFERROR(IF(VLOOKUP('Struktur Vorjahr'!$D562,INDIRECT(T$6),8,)="H",-1,1),0)</f>
        <v>#REF!</v>
      </c>
      <c r="U562" s="593" t="e">
        <f ca="1">$E562*SUMIF(INDIRECT(U$3),'Struktur Vorjahr'!$D562,INDIRECT(U$8))*IFERROR(IF(VLOOKUP('Struktur Vorjahr'!$D562,INDIRECT(U$6),8,)="H",-1,1),0)</f>
        <v>#REF!</v>
      </c>
      <c r="V562" s="593" t="e">
        <f ca="1">$E562*SUMIF(INDIRECT(V$3),'Struktur Vorjahr'!$D562,INDIRECT(V$8))*IFERROR(IF(VLOOKUP('Struktur Vorjahr'!$D562,INDIRECT(V$6),8,)="H",-1,1),0)</f>
        <v>#REF!</v>
      </c>
      <c r="W562" s="593" t="e">
        <f ca="1">$E562*SUMIF(INDIRECT(W$3),'Struktur Vorjahr'!$D562,INDIRECT(W$8))*IFERROR(IF(VLOOKUP('Struktur Vorjahr'!$D562,INDIRECT(W$6),8,)="H",-1,1),0)</f>
        <v>#REF!</v>
      </c>
      <c r="X562" s="593" t="e">
        <f ca="1">$E562*SUMIF(INDIRECT(X$3),'Struktur Vorjahr'!$D562,INDIRECT(X$8))*IFERROR(IF(VLOOKUP('Struktur Vorjahr'!$D562,INDIRECT(X$6),8,)="H",-1,1),0)</f>
        <v>#REF!</v>
      </c>
      <c r="Y562" s="593" t="e">
        <f ca="1">$E562*SUMIF(INDIRECT(Y$3),'Struktur Vorjahr'!$D562,INDIRECT(Y$8))*IFERROR(IF(VLOOKUP('Struktur Vorjahr'!$D562,INDIRECT(Y$6),8,)="H",-1,1),0)</f>
        <v>#REF!</v>
      </c>
      <c r="Z562" s="593" t="e">
        <f ca="1">$E562*SUMIF(INDIRECT(Z$3),'Struktur Vorjahr'!$D562,INDIRECT(Z$8))*IFERROR(IF(VLOOKUP('Struktur Vorjahr'!$D562,INDIRECT(Z$6),8,)="H",-1,1),0)</f>
        <v>#REF!</v>
      </c>
      <c r="AA562" s="593" t="e">
        <f ca="1">$E562*SUMIF(INDIRECT(AA$3),'Struktur Vorjahr'!$D562,INDIRECT(AA$8))*IFERROR(IF(VLOOKUP('Struktur Vorjahr'!$D562,INDIRECT(AA$6),8,)="H",-1,1),0)</f>
        <v>#REF!</v>
      </c>
      <c r="AB562" s="593" t="e">
        <f ca="1">$E562*SUMIF(INDIRECT(AB$3),'Struktur Vorjahr'!$D562,INDIRECT(AB$8))*IFERROR(IF(VLOOKUP('Struktur Vorjahr'!$D562,INDIRECT(AB$6),8,)="H",-1,1),0)</f>
        <v>#REF!</v>
      </c>
      <c r="AC562" s="593" t="e">
        <f ca="1">$E562*SUMIF(INDIRECT(AC$3),'Struktur Vorjahr'!$D562,INDIRECT(AC$8))*IFERROR(IF(VLOOKUP('Struktur Vorjahr'!$D562,INDIRECT(AC$6),8,)="H",-1,1),0)</f>
        <v>#REF!</v>
      </c>
      <c r="AD562" s="593" t="e">
        <f ca="1">$E562*SUMIF(INDIRECT(AD$3),'Struktur Vorjahr'!$D562,INDIRECT(AD$8))*IFERROR(IF(VLOOKUP('Struktur Vorjahr'!$D562,INDIRECT(AD$6),8,)="H",-1,1),0)</f>
        <v>#REF!</v>
      </c>
      <c r="AE562" s="593">
        <f t="shared" ref="AE562:AE564" ca="1" si="286">G562</f>
        <v>0</v>
      </c>
      <c r="AF562" s="593">
        <f t="shared" ref="AF562:AP564" ca="1" si="287">H562+AE562</f>
        <v>0</v>
      </c>
      <c r="AG562" s="593">
        <f t="shared" ca="1" si="287"/>
        <v>0</v>
      </c>
      <c r="AH562" s="593">
        <f t="shared" ca="1" si="287"/>
        <v>0</v>
      </c>
      <c r="AI562" s="593">
        <f t="shared" ca="1" si="287"/>
        <v>0</v>
      </c>
      <c r="AJ562" s="593">
        <f t="shared" ca="1" si="287"/>
        <v>0</v>
      </c>
      <c r="AK562" s="593">
        <f t="shared" ca="1" si="287"/>
        <v>0</v>
      </c>
      <c r="AL562" s="593">
        <f t="shared" ca="1" si="287"/>
        <v>0</v>
      </c>
      <c r="AM562" s="593">
        <f t="shared" ca="1" si="287"/>
        <v>0</v>
      </c>
      <c r="AN562" s="593">
        <f t="shared" ca="1" si="287"/>
        <v>0</v>
      </c>
      <c r="AO562" s="593">
        <f t="shared" ca="1" si="287"/>
        <v>0</v>
      </c>
      <c r="AP562" s="593">
        <f t="shared" ca="1" si="287"/>
        <v>0</v>
      </c>
    </row>
    <row r="563" spans="1:42" s="594" customFormat="1" ht="11.25" outlineLevel="1" x14ac:dyDescent="0.2">
      <c r="A563" s="644"/>
      <c r="B563" s="591" t="str">
        <f>IF(D563&lt;&gt;"",
IF(ISERROR(MATCH(D563,'Ist Vorjahr Monat 01'!A:A,0))=FALSE,INDEX('Ist Vorjahr Monat 01'!B:B,MATCH(D563,'Ist Vorjahr Monat 01'!A:A,0)),
IF(ISERROR(MATCH(D563,'Ist Vorjahr Monat 02'!A:A,0))=FALSE,INDEX('Ist Vorjahr Monat 02'!B:B,MATCH(D563,'Ist Vorjahr Monat 02'!A:A,0)),
IF(ISERROR(MATCH(D563,'Ist Vorjahr Monat 03'!A:A,0))=FALSE,INDEX('Ist Vorjahr Monat 03'!B:B,MATCH(D563,'Ist Vorjahr Monat 03'!A:A,0)),
IF(ISERROR(MATCH(D563,'Ist Vorjahr Monat 04'!A:A,0))=FALSE,INDEX('Ist Vorjahr Monat 04'!B:B,MATCH(D563,'Ist Vorjahr Monat 04'!A:A,0)),
IF(ISERROR(MATCH(D563,'Ist Vorjahr Monat 05'!A:A,0))=FALSE,INDEX('Ist Vorjahr Monat 05'!B:B,MATCH(D563,'Ist Vorjahr Monat 05'!A:A,0)),
IF(ISERROR(MATCH(D563,'Ist Vorjahr Monat 06'!A:A,0))=FALSE,INDEX('Ist Vorjahr Monat 06'!B:B,MATCH(D563,'Ist Vorjahr Monat 06'!A:A,0)),
IF(ISERROR(MATCH(D563,'Ist Vorjahr Monat 07'!A:A,0))=FALSE,INDEX('Ist Vorjahr Monat 07'!B:B,MATCH(D563,'Ist Vorjahr Monat 07'!A:A,0)),
IF(ISERROR(MATCH(D563,'Ist Vorjahr Monat 08'!A:A,0))=FALSE,INDEX('Ist Vorjahr Monat 08'!B:B,MATCH(D563,'Ist Vorjahr Monat 08'!A:A,0)),
IF(ISERROR(MATCH(D563,'Ist Vorjahr Monat 09'!A:A,0))=FALSE,INDEX('Ist Vorjahr Monat 09'!B:B,MATCH(D563,'Ist Vorjahr Monat 09'!A:A,0)),
IF(ISERROR(MATCH(D563,'Ist Vorjahr Monat 10'!A:A,0))=FALSE,INDEX('Ist Vorjahr Monat 10'!B:B,MATCH(D563,'Ist Vorjahr Monat 10'!A:A,0)),
IF(ISERROR(MATCH(D563,'Ist Vorjahr Monat 11'!A:A,0))=FALSE,INDEX('Ist Vorjahr Monat 11'!B:B,MATCH(D563,'Ist Vorjahr Monat 11'!A:A,0)),
IF(ISERROR(MATCH(D563,'Ist Vorjahr Monat 12'!A:A,0))=FALSE,INDEX('Ist Vorjahr Monat 12'!B:B,MATCH(D563,'Ist Vorjahr Monat 12'!A:A,0)),
"{Konto unbekannt}"
)))))))))))),"")</f>
        <v/>
      </c>
      <c r="C563" s="1062"/>
      <c r="D563" s="1067"/>
      <c r="E563" s="625">
        <f t="shared" si="237"/>
        <v>1</v>
      </c>
      <c r="F563" s="626"/>
      <c r="G563" s="593">
        <f ca="1">$E563*SUMIF(INDIRECT(G$3),'Struktur Vorjahr'!$D563,INDIRECT(G$8))*IFERROR(IF(VLOOKUP('Struktur Vorjahr'!$D563,INDIRECT(G$6),8,)="H",-1,1),0)</f>
        <v>0</v>
      </c>
      <c r="H563" s="593">
        <f ca="1">$E563*SUMIF(INDIRECT(H$3),'Struktur Vorjahr'!$D563,INDIRECT(H$8))*IFERROR(IF(VLOOKUP('Struktur Vorjahr'!$D563,INDIRECT(H$6),8,)="H",-1,1),0)</f>
        <v>0</v>
      </c>
      <c r="I563" s="593">
        <f ca="1">$E563*SUMIF(INDIRECT(I$3),'Struktur Vorjahr'!$D563,INDIRECT(I$8))*IFERROR(IF(VLOOKUP('Struktur Vorjahr'!$D563,INDIRECT(I$6),8,)="H",-1,1),0)</f>
        <v>0</v>
      </c>
      <c r="J563" s="593">
        <f ca="1">$E563*SUMIF(INDIRECT(J$3),'Struktur Vorjahr'!$D563,INDIRECT(J$8))*IFERROR(IF(VLOOKUP('Struktur Vorjahr'!$D563,INDIRECT(J$6),8,)="H",-1,1),0)</f>
        <v>0</v>
      </c>
      <c r="K563" s="593">
        <f ca="1">$E563*SUMIF(INDIRECT(K$3),'Struktur Vorjahr'!$D563,INDIRECT(K$8))*IFERROR(IF(VLOOKUP('Struktur Vorjahr'!$D563,INDIRECT(K$6),8,)="H",-1,1),0)</f>
        <v>0</v>
      </c>
      <c r="L563" s="593">
        <f ca="1">$E563*SUMIF(INDIRECT(L$3),'Struktur Vorjahr'!$D563,INDIRECT(L$8))*IFERROR(IF(VLOOKUP('Struktur Vorjahr'!$D563,INDIRECT(L$6),8,)="H",-1,1),0)</f>
        <v>0</v>
      </c>
      <c r="M563" s="593">
        <f ca="1">$E563*SUMIF(INDIRECT(M$3),'Struktur Vorjahr'!$D563,INDIRECT(M$8))*IFERROR(IF(VLOOKUP('Struktur Vorjahr'!$D563,INDIRECT(M$6),8,)="H",-1,1),0)</f>
        <v>0</v>
      </c>
      <c r="N563" s="593">
        <f ca="1">$E563*SUMIF(INDIRECT(N$3),'Struktur Vorjahr'!$D563,INDIRECT(N$8))*IFERROR(IF(VLOOKUP('Struktur Vorjahr'!$D563,INDIRECT(N$6),8,)="H",-1,1),0)</f>
        <v>0</v>
      </c>
      <c r="O563" s="593">
        <f ca="1">$E563*SUMIF(INDIRECT(O$3),'Struktur Vorjahr'!$D563,INDIRECT(O$8))*IFERROR(IF(VLOOKUP('Struktur Vorjahr'!$D563,INDIRECT(O$6),8,)="H",-1,1),0)</f>
        <v>0</v>
      </c>
      <c r="P563" s="593">
        <f ca="1">$E563*SUMIF(INDIRECT(P$3),'Struktur Vorjahr'!$D563,INDIRECT(P$8))*IFERROR(IF(VLOOKUP('Struktur Vorjahr'!$D563,INDIRECT(P$6),8,)="H",-1,1),0)</f>
        <v>0</v>
      </c>
      <c r="Q563" s="593">
        <f ca="1">$E563*SUMIF(INDIRECT(Q$3),'Struktur Vorjahr'!$D563,INDIRECT(Q$8))*IFERROR(IF(VLOOKUP('Struktur Vorjahr'!$D563,INDIRECT(Q$6),8,)="H",-1,1),0)</f>
        <v>0</v>
      </c>
      <c r="R563" s="593">
        <f ca="1">$E563*SUMIF(INDIRECT(R$3),'Struktur Vorjahr'!$D563,INDIRECT(R$8))*IFERROR(IF(VLOOKUP('Struktur Vorjahr'!$D563,INDIRECT(R$6),8,)="H",-1,1),0)</f>
        <v>0</v>
      </c>
      <c r="S563" s="593" t="e">
        <f ca="1">$E563*SUMIF(INDIRECT(S$3),'Struktur Vorjahr'!$D563,INDIRECT(S$8))*IFERROR(IF(VLOOKUP('Struktur Vorjahr'!$D563,INDIRECT(S$6),8,)="H",-1,1),0)</f>
        <v>#REF!</v>
      </c>
      <c r="T563" s="593" t="e">
        <f ca="1">$E563*SUMIF(INDIRECT(T$3),'Struktur Vorjahr'!$D563,INDIRECT(T$8))*IFERROR(IF(VLOOKUP('Struktur Vorjahr'!$D563,INDIRECT(T$6),8,)="H",-1,1),0)</f>
        <v>#REF!</v>
      </c>
      <c r="U563" s="593" t="e">
        <f ca="1">$E563*SUMIF(INDIRECT(U$3),'Struktur Vorjahr'!$D563,INDIRECT(U$8))*IFERROR(IF(VLOOKUP('Struktur Vorjahr'!$D563,INDIRECT(U$6),8,)="H",-1,1),0)</f>
        <v>#REF!</v>
      </c>
      <c r="V563" s="593" t="e">
        <f ca="1">$E563*SUMIF(INDIRECT(V$3),'Struktur Vorjahr'!$D563,INDIRECT(V$8))*IFERROR(IF(VLOOKUP('Struktur Vorjahr'!$D563,INDIRECT(V$6),8,)="H",-1,1),0)</f>
        <v>#REF!</v>
      </c>
      <c r="W563" s="593" t="e">
        <f ca="1">$E563*SUMIF(INDIRECT(W$3),'Struktur Vorjahr'!$D563,INDIRECT(W$8))*IFERROR(IF(VLOOKUP('Struktur Vorjahr'!$D563,INDIRECT(W$6),8,)="H",-1,1),0)</f>
        <v>#REF!</v>
      </c>
      <c r="X563" s="593" t="e">
        <f ca="1">$E563*SUMIF(INDIRECT(X$3),'Struktur Vorjahr'!$D563,INDIRECT(X$8))*IFERROR(IF(VLOOKUP('Struktur Vorjahr'!$D563,INDIRECT(X$6),8,)="H",-1,1),0)</f>
        <v>#REF!</v>
      </c>
      <c r="Y563" s="593" t="e">
        <f ca="1">$E563*SUMIF(INDIRECT(Y$3),'Struktur Vorjahr'!$D563,INDIRECT(Y$8))*IFERROR(IF(VLOOKUP('Struktur Vorjahr'!$D563,INDIRECT(Y$6),8,)="H",-1,1),0)</f>
        <v>#REF!</v>
      </c>
      <c r="Z563" s="593" t="e">
        <f ca="1">$E563*SUMIF(INDIRECT(Z$3),'Struktur Vorjahr'!$D563,INDIRECT(Z$8))*IFERROR(IF(VLOOKUP('Struktur Vorjahr'!$D563,INDIRECT(Z$6),8,)="H",-1,1),0)</f>
        <v>#REF!</v>
      </c>
      <c r="AA563" s="593" t="e">
        <f ca="1">$E563*SUMIF(INDIRECT(AA$3),'Struktur Vorjahr'!$D563,INDIRECT(AA$8))*IFERROR(IF(VLOOKUP('Struktur Vorjahr'!$D563,INDIRECT(AA$6),8,)="H",-1,1),0)</f>
        <v>#REF!</v>
      </c>
      <c r="AB563" s="593" t="e">
        <f ca="1">$E563*SUMIF(INDIRECT(AB$3),'Struktur Vorjahr'!$D563,INDIRECT(AB$8))*IFERROR(IF(VLOOKUP('Struktur Vorjahr'!$D563,INDIRECT(AB$6),8,)="H",-1,1),0)</f>
        <v>#REF!</v>
      </c>
      <c r="AC563" s="593" t="e">
        <f ca="1">$E563*SUMIF(INDIRECT(AC$3),'Struktur Vorjahr'!$D563,INDIRECT(AC$8))*IFERROR(IF(VLOOKUP('Struktur Vorjahr'!$D563,INDIRECT(AC$6),8,)="H",-1,1),0)</f>
        <v>#REF!</v>
      </c>
      <c r="AD563" s="593" t="e">
        <f ca="1">$E563*SUMIF(INDIRECT(AD$3),'Struktur Vorjahr'!$D563,INDIRECT(AD$8))*IFERROR(IF(VLOOKUP('Struktur Vorjahr'!$D563,INDIRECT(AD$6),8,)="H",-1,1),0)</f>
        <v>#REF!</v>
      </c>
      <c r="AE563" s="593">
        <f t="shared" ca="1" si="286"/>
        <v>0</v>
      </c>
      <c r="AF563" s="593">
        <f t="shared" ca="1" si="287"/>
        <v>0</v>
      </c>
      <c r="AG563" s="593">
        <f t="shared" ca="1" si="287"/>
        <v>0</v>
      </c>
      <c r="AH563" s="593">
        <f t="shared" ca="1" si="287"/>
        <v>0</v>
      </c>
      <c r="AI563" s="593">
        <f t="shared" ca="1" si="287"/>
        <v>0</v>
      </c>
      <c r="AJ563" s="593">
        <f t="shared" ca="1" si="287"/>
        <v>0</v>
      </c>
      <c r="AK563" s="593">
        <f t="shared" ca="1" si="287"/>
        <v>0</v>
      </c>
      <c r="AL563" s="593">
        <f t="shared" ca="1" si="287"/>
        <v>0</v>
      </c>
      <c r="AM563" s="593">
        <f t="shared" ca="1" si="287"/>
        <v>0</v>
      </c>
      <c r="AN563" s="593">
        <f t="shared" ca="1" si="287"/>
        <v>0</v>
      </c>
      <c r="AO563" s="593">
        <f t="shared" ca="1" si="287"/>
        <v>0</v>
      </c>
      <c r="AP563" s="593">
        <f t="shared" ca="1" si="287"/>
        <v>0</v>
      </c>
    </row>
    <row r="564" spans="1:42" s="594" customFormat="1" ht="11.25" outlineLevel="1" x14ac:dyDescent="0.2">
      <c r="A564" s="644"/>
      <c r="B564" s="591" t="str">
        <f>IF(D564&lt;&gt;"",
IF(ISERROR(MATCH(D564,'Ist Vorjahr Monat 01'!A:A,0))=FALSE,INDEX('Ist Vorjahr Monat 01'!B:B,MATCH(D564,'Ist Vorjahr Monat 01'!A:A,0)),
IF(ISERROR(MATCH(D564,'Ist Vorjahr Monat 02'!A:A,0))=FALSE,INDEX('Ist Vorjahr Monat 02'!B:B,MATCH(D564,'Ist Vorjahr Monat 02'!A:A,0)),
IF(ISERROR(MATCH(D564,'Ist Vorjahr Monat 03'!A:A,0))=FALSE,INDEX('Ist Vorjahr Monat 03'!B:B,MATCH(D564,'Ist Vorjahr Monat 03'!A:A,0)),
IF(ISERROR(MATCH(D564,'Ist Vorjahr Monat 04'!A:A,0))=FALSE,INDEX('Ist Vorjahr Monat 04'!B:B,MATCH(D564,'Ist Vorjahr Monat 04'!A:A,0)),
IF(ISERROR(MATCH(D564,'Ist Vorjahr Monat 05'!A:A,0))=FALSE,INDEX('Ist Vorjahr Monat 05'!B:B,MATCH(D564,'Ist Vorjahr Monat 05'!A:A,0)),
IF(ISERROR(MATCH(D564,'Ist Vorjahr Monat 06'!A:A,0))=FALSE,INDEX('Ist Vorjahr Monat 06'!B:B,MATCH(D564,'Ist Vorjahr Monat 06'!A:A,0)),
IF(ISERROR(MATCH(D564,'Ist Vorjahr Monat 07'!A:A,0))=FALSE,INDEX('Ist Vorjahr Monat 07'!B:B,MATCH(D564,'Ist Vorjahr Monat 07'!A:A,0)),
IF(ISERROR(MATCH(D564,'Ist Vorjahr Monat 08'!A:A,0))=FALSE,INDEX('Ist Vorjahr Monat 08'!B:B,MATCH(D564,'Ist Vorjahr Monat 08'!A:A,0)),
IF(ISERROR(MATCH(D564,'Ist Vorjahr Monat 09'!A:A,0))=FALSE,INDEX('Ist Vorjahr Monat 09'!B:B,MATCH(D564,'Ist Vorjahr Monat 09'!A:A,0)),
IF(ISERROR(MATCH(D564,'Ist Vorjahr Monat 10'!A:A,0))=FALSE,INDEX('Ist Vorjahr Monat 10'!B:B,MATCH(D564,'Ist Vorjahr Monat 10'!A:A,0)),
IF(ISERROR(MATCH(D564,'Ist Vorjahr Monat 11'!A:A,0))=FALSE,INDEX('Ist Vorjahr Monat 11'!B:B,MATCH(D564,'Ist Vorjahr Monat 11'!A:A,0)),
IF(ISERROR(MATCH(D564,'Ist Vorjahr Monat 12'!A:A,0))=FALSE,INDEX('Ist Vorjahr Monat 12'!B:B,MATCH(D564,'Ist Vorjahr Monat 12'!A:A,0)),
"{Konto unbekannt}"
)))))))))))),"")</f>
        <v/>
      </c>
      <c r="C564" s="1062"/>
      <c r="D564" s="1067"/>
      <c r="E564" s="625">
        <f t="shared" si="237"/>
        <v>1</v>
      </c>
      <c r="F564" s="626"/>
      <c r="G564" s="593">
        <f ca="1">$E564*SUMIF(INDIRECT(G$3),'Struktur Vorjahr'!$D564,INDIRECT(G$8))*IFERROR(IF(VLOOKUP('Struktur Vorjahr'!$D564,INDIRECT(G$6),8,)="H",-1,1),0)</f>
        <v>0</v>
      </c>
      <c r="H564" s="593">
        <f ca="1">$E564*SUMIF(INDIRECT(H$3),'Struktur Vorjahr'!$D564,INDIRECT(H$8))*IFERROR(IF(VLOOKUP('Struktur Vorjahr'!$D564,INDIRECT(H$6),8,)="H",-1,1),0)</f>
        <v>0</v>
      </c>
      <c r="I564" s="593">
        <f ca="1">$E564*SUMIF(INDIRECT(I$3),'Struktur Vorjahr'!$D564,INDIRECT(I$8))*IFERROR(IF(VLOOKUP('Struktur Vorjahr'!$D564,INDIRECT(I$6),8,)="H",-1,1),0)</f>
        <v>0</v>
      </c>
      <c r="J564" s="593">
        <f ca="1">$E564*SUMIF(INDIRECT(J$3),'Struktur Vorjahr'!$D564,INDIRECT(J$8))*IFERROR(IF(VLOOKUP('Struktur Vorjahr'!$D564,INDIRECT(J$6),8,)="H",-1,1),0)</f>
        <v>0</v>
      </c>
      <c r="K564" s="593">
        <f ca="1">$E564*SUMIF(INDIRECT(K$3),'Struktur Vorjahr'!$D564,INDIRECT(K$8))*IFERROR(IF(VLOOKUP('Struktur Vorjahr'!$D564,INDIRECT(K$6),8,)="H",-1,1),0)</f>
        <v>0</v>
      </c>
      <c r="L564" s="593">
        <f ca="1">$E564*SUMIF(INDIRECT(L$3),'Struktur Vorjahr'!$D564,INDIRECT(L$8))*IFERROR(IF(VLOOKUP('Struktur Vorjahr'!$D564,INDIRECT(L$6),8,)="H",-1,1),0)</f>
        <v>0</v>
      </c>
      <c r="M564" s="593">
        <f ca="1">$E564*SUMIF(INDIRECT(M$3),'Struktur Vorjahr'!$D564,INDIRECT(M$8))*IFERROR(IF(VLOOKUP('Struktur Vorjahr'!$D564,INDIRECT(M$6),8,)="H",-1,1),0)</f>
        <v>0</v>
      </c>
      <c r="N564" s="593">
        <f ca="1">$E564*SUMIF(INDIRECT(N$3),'Struktur Vorjahr'!$D564,INDIRECT(N$8))*IFERROR(IF(VLOOKUP('Struktur Vorjahr'!$D564,INDIRECT(N$6),8,)="H",-1,1),0)</f>
        <v>0</v>
      </c>
      <c r="O564" s="593">
        <f ca="1">$E564*SUMIF(INDIRECT(O$3),'Struktur Vorjahr'!$D564,INDIRECT(O$8))*IFERROR(IF(VLOOKUP('Struktur Vorjahr'!$D564,INDIRECT(O$6),8,)="H",-1,1),0)</f>
        <v>0</v>
      </c>
      <c r="P564" s="593">
        <f ca="1">$E564*SUMIF(INDIRECT(P$3),'Struktur Vorjahr'!$D564,INDIRECT(P$8))*IFERROR(IF(VLOOKUP('Struktur Vorjahr'!$D564,INDIRECT(P$6),8,)="H",-1,1),0)</f>
        <v>0</v>
      </c>
      <c r="Q564" s="593">
        <f ca="1">$E564*SUMIF(INDIRECT(Q$3),'Struktur Vorjahr'!$D564,INDIRECT(Q$8))*IFERROR(IF(VLOOKUP('Struktur Vorjahr'!$D564,INDIRECT(Q$6),8,)="H",-1,1),0)</f>
        <v>0</v>
      </c>
      <c r="R564" s="593">
        <f ca="1">$E564*SUMIF(INDIRECT(R$3),'Struktur Vorjahr'!$D564,INDIRECT(R$8))*IFERROR(IF(VLOOKUP('Struktur Vorjahr'!$D564,INDIRECT(R$6),8,)="H",-1,1),0)</f>
        <v>0</v>
      </c>
      <c r="S564" s="593" t="e">
        <f ca="1">$E564*SUMIF(INDIRECT(S$3),'Struktur Vorjahr'!$D564,INDIRECT(S$8))*IFERROR(IF(VLOOKUP('Struktur Vorjahr'!$D564,INDIRECT(S$6),8,)="H",-1,1),0)</f>
        <v>#REF!</v>
      </c>
      <c r="T564" s="593" t="e">
        <f ca="1">$E564*SUMIF(INDIRECT(T$3),'Struktur Vorjahr'!$D564,INDIRECT(T$8))*IFERROR(IF(VLOOKUP('Struktur Vorjahr'!$D564,INDIRECT(T$6),8,)="H",-1,1),0)</f>
        <v>#REF!</v>
      </c>
      <c r="U564" s="593" t="e">
        <f ca="1">$E564*SUMIF(INDIRECT(U$3),'Struktur Vorjahr'!$D564,INDIRECT(U$8))*IFERROR(IF(VLOOKUP('Struktur Vorjahr'!$D564,INDIRECT(U$6),8,)="H",-1,1),0)</f>
        <v>#REF!</v>
      </c>
      <c r="V564" s="593" t="e">
        <f ca="1">$E564*SUMIF(INDIRECT(V$3),'Struktur Vorjahr'!$D564,INDIRECT(V$8))*IFERROR(IF(VLOOKUP('Struktur Vorjahr'!$D564,INDIRECT(V$6),8,)="H",-1,1),0)</f>
        <v>#REF!</v>
      </c>
      <c r="W564" s="593" t="e">
        <f ca="1">$E564*SUMIF(INDIRECT(W$3),'Struktur Vorjahr'!$D564,INDIRECT(W$8))*IFERROR(IF(VLOOKUP('Struktur Vorjahr'!$D564,INDIRECT(W$6),8,)="H",-1,1),0)</f>
        <v>#REF!</v>
      </c>
      <c r="X564" s="593" t="e">
        <f ca="1">$E564*SUMIF(INDIRECT(X$3),'Struktur Vorjahr'!$D564,INDIRECT(X$8))*IFERROR(IF(VLOOKUP('Struktur Vorjahr'!$D564,INDIRECT(X$6),8,)="H",-1,1),0)</f>
        <v>#REF!</v>
      </c>
      <c r="Y564" s="593" t="e">
        <f ca="1">$E564*SUMIF(INDIRECT(Y$3),'Struktur Vorjahr'!$D564,INDIRECT(Y$8))*IFERROR(IF(VLOOKUP('Struktur Vorjahr'!$D564,INDIRECT(Y$6),8,)="H",-1,1),0)</f>
        <v>#REF!</v>
      </c>
      <c r="Z564" s="593" t="e">
        <f ca="1">$E564*SUMIF(INDIRECT(Z$3),'Struktur Vorjahr'!$D564,INDIRECT(Z$8))*IFERROR(IF(VLOOKUP('Struktur Vorjahr'!$D564,INDIRECT(Z$6),8,)="H",-1,1),0)</f>
        <v>#REF!</v>
      </c>
      <c r="AA564" s="593" t="e">
        <f ca="1">$E564*SUMIF(INDIRECT(AA$3),'Struktur Vorjahr'!$D564,INDIRECT(AA$8))*IFERROR(IF(VLOOKUP('Struktur Vorjahr'!$D564,INDIRECT(AA$6),8,)="H",-1,1),0)</f>
        <v>#REF!</v>
      </c>
      <c r="AB564" s="593" t="e">
        <f ca="1">$E564*SUMIF(INDIRECT(AB$3),'Struktur Vorjahr'!$D564,INDIRECT(AB$8))*IFERROR(IF(VLOOKUP('Struktur Vorjahr'!$D564,INDIRECT(AB$6),8,)="H",-1,1),0)</f>
        <v>#REF!</v>
      </c>
      <c r="AC564" s="593" t="e">
        <f ca="1">$E564*SUMIF(INDIRECT(AC$3),'Struktur Vorjahr'!$D564,INDIRECT(AC$8))*IFERROR(IF(VLOOKUP('Struktur Vorjahr'!$D564,INDIRECT(AC$6),8,)="H",-1,1),0)</f>
        <v>#REF!</v>
      </c>
      <c r="AD564" s="593" t="e">
        <f ca="1">$E564*SUMIF(INDIRECT(AD$3),'Struktur Vorjahr'!$D564,INDIRECT(AD$8))*IFERROR(IF(VLOOKUP('Struktur Vorjahr'!$D564,INDIRECT(AD$6),8,)="H",-1,1),0)</f>
        <v>#REF!</v>
      </c>
      <c r="AE564" s="593">
        <f t="shared" ca="1" si="286"/>
        <v>0</v>
      </c>
      <c r="AF564" s="593">
        <f t="shared" ca="1" si="287"/>
        <v>0</v>
      </c>
      <c r="AG564" s="593">
        <f t="shared" ca="1" si="287"/>
        <v>0</v>
      </c>
      <c r="AH564" s="593">
        <f t="shared" ca="1" si="287"/>
        <v>0</v>
      </c>
      <c r="AI564" s="593">
        <f t="shared" ca="1" si="287"/>
        <v>0</v>
      </c>
      <c r="AJ564" s="593">
        <f t="shared" ca="1" si="287"/>
        <v>0</v>
      </c>
      <c r="AK564" s="593">
        <f t="shared" ca="1" si="287"/>
        <v>0</v>
      </c>
      <c r="AL564" s="593">
        <f t="shared" ca="1" si="287"/>
        <v>0</v>
      </c>
      <c r="AM564" s="593">
        <f t="shared" ca="1" si="287"/>
        <v>0</v>
      </c>
      <c r="AN564" s="593">
        <f t="shared" ca="1" si="287"/>
        <v>0</v>
      </c>
      <c r="AO564" s="593">
        <f t="shared" ca="1" si="287"/>
        <v>0</v>
      </c>
      <c r="AP564" s="593">
        <f t="shared" ca="1" si="287"/>
        <v>0</v>
      </c>
    </row>
    <row r="565" spans="1:42" s="589" customFormat="1" outlineLevel="1" x14ac:dyDescent="0.2">
      <c r="A565" s="629">
        <v>52</v>
      </c>
      <c r="B565" s="623" t="s">
        <v>1036</v>
      </c>
      <c r="C565" s="627">
        <f ca="1">SUM(G565:R565)</f>
        <v>0</v>
      </c>
      <c r="D565" s="627"/>
      <c r="E565" s="628">
        <f t="shared" si="237"/>
        <v>1</v>
      </c>
      <c r="F565" s="628"/>
      <c r="G565" s="627">
        <f t="shared" ref="G565:AP565" ca="1" si="288">SUM(G566:G568)</f>
        <v>0</v>
      </c>
      <c r="H565" s="627">
        <f t="shared" ca="1" si="288"/>
        <v>0</v>
      </c>
      <c r="I565" s="627">
        <f t="shared" ca="1" si="288"/>
        <v>0</v>
      </c>
      <c r="J565" s="627">
        <f t="shared" ca="1" si="288"/>
        <v>0</v>
      </c>
      <c r="K565" s="627">
        <f t="shared" ca="1" si="288"/>
        <v>0</v>
      </c>
      <c r="L565" s="627">
        <f t="shared" ca="1" si="288"/>
        <v>0</v>
      </c>
      <c r="M565" s="627">
        <f t="shared" ca="1" si="288"/>
        <v>0</v>
      </c>
      <c r="N565" s="627">
        <f t="shared" ca="1" si="288"/>
        <v>0</v>
      </c>
      <c r="O565" s="627">
        <f t="shared" ca="1" si="288"/>
        <v>0</v>
      </c>
      <c r="P565" s="627">
        <f t="shared" ca="1" si="288"/>
        <v>0</v>
      </c>
      <c r="Q565" s="627">
        <f t="shared" ca="1" si="288"/>
        <v>0</v>
      </c>
      <c r="R565" s="627">
        <f t="shared" ca="1" si="288"/>
        <v>0</v>
      </c>
      <c r="S565" s="627" t="e">
        <f t="shared" ca="1" si="288"/>
        <v>#REF!</v>
      </c>
      <c r="T565" s="627" t="e">
        <f t="shared" ca="1" si="288"/>
        <v>#REF!</v>
      </c>
      <c r="U565" s="627" t="e">
        <f t="shared" ca="1" si="288"/>
        <v>#REF!</v>
      </c>
      <c r="V565" s="627" t="e">
        <f t="shared" ca="1" si="288"/>
        <v>#REF!</v>
      </c>
      <c r="W565" s="627" t="e">
        <f t="shared" ca="1" si="288"/>
        <v>#REF!</v>
      </c>
      <c r="X565" s="627" t="e">
        <f t="shared" ca="1" si="288"/>
        <v>#REF!</v>
      </c>
      <c r="Y565" s="627" t="e">
        <f t="shared" ca="1" si="288"/>
        <v>#REF!</v>
      </c>
      <c r="Z565" s="627" t="e">
        <f t="shared" ca="1" si="288"/>
        <v>#REF!</v>
      </c>
      <c r="AA565" s="627" t="e">
        <f t="shared" ca="1" si="288"/>
        <v>#REF!</v>
      </c>
      <c r="AB565" s="627" t="e">
        <f t="shared" ca="1" si="288"/>
        <v>#REF!</v>
      </c>
      <c r="AC565" s="627" t="e">
        <f t="shared" ca="1" si="288"/>
        <v>#REF!</v>
      </c>
      <c r="AD565" s="627" t="e">
        <f t="shared" ca="1" si="288"/>
        <v>#REF!</v>
      </c>
      <c r="AE565" s="627">
        <f t="shared" ca="1" si="288"/>
        <v>0</v>
      </c>
      <c r="AF565" s="627">
        <f t="shared" ca="1" si="288"/>
        <v>0</v>
      </c>
      <c r="AG565" s="627">
        <f t="shared" ca="1" si="288"/>
        <v>0</v>
      </c>
      <c r="AH565" s="627">
        <f t="shared" ca="1" si="288"/>
        <v>0</v>
      </c>
      <c r="AI565" s="627">
        <f t="shared" ca="1" si="288"/>
        <v>0</v>
      </c>
      <c r="AJ565" s="627">
        <f t="shared" ca="1" si="288"/>
        <v>0</v>
      </c>
      <c r="AK565" s="627">
        <f t="shared" ca="1" si="288"/>
        <v>0</v>
      </c>
      <c r="AL565" s="627">
        <f t="shared" ca="1" si="288"/>
        <v>0</v>
      </c>
      <c r="AM565" s="627">
        <f t="shared" ca="1" si="288"/>
        <v>0</v>
      </c>
      <c r="AN565" s="627">
        <f t="shared" ca="1" si="288"/>
        <v>0</v>
      </c>
      <c r="AO565" s="627">
        <f t="shared" ca="1" si="288"/>
        <v>0</v>
      </c>
      <c r="AP565" s="627">
        <f t="shared" ca="1" si="288"/>
        <v>0</v>
      </c>
    </row>
    <row r="566" spans="1:42" s="594" customFormat="1" ht="11.25" x14ac:dyDescent="0.2">
      <c r="A566" s="644"/>
      <c r="B566" s="591" t="str">
        <f>IF(D566&lt;&gt;"",
IF(ISERROR(MATCH(D566,'Ist Vorjahr Monat 01'!A:A,0))=FALSE,INDEX('Ist Vorjahr Monat 01'!B:B,MATCH(D566,'Ist Vorjahr Monat 01'!A:A,0)),
IF(ISERROR(MATCH(D566,'Ist Vorjahr Monat 02'!A:A,0))=FALSE,INDEX('Ist Vorjahr Monat 02'!B:B,MATCH(D566,'Ist Vorjahr Monat 02'!A:A,0)),
IF(ISERROR(MATCH(D566,'Ist Vorjahr Monat 03'!A:A,0))=FALSE,INDEX('Ist Vorjahr Monat 03'!B:B,MATCH(D566,'Ist Vorjahr Monat 03'!A:A,0)),
IF(ISERROR(MATCH(D566,'Ist Vorjahr Monat 04'!A:A,0))=FALSE,INDEX('Ist Vorjahr Monat 04'!B:B,MATCH(D566,'Ist Vorjahr Monat 04'!A:A,0)),
IF(ISERROR(MATCH(D566,'Ist Vorjahr Monat 05'!A:A,0))=FALSE,INDEX('Ist Vorjahr Monat 05'!B:B,MATCH(D566,'Ist Vorjahr Monat 05'!A:A,0)),
IF(ISERROR(MATCH(D566,'Ist Vorjahr Monat 06'!A:A,0))=FALSE,INDEX('Ist Vorjahr Monat 06'!B:B,MATCH(D566,'Ist Vorjahr Monat 06'!A:A,0)),
IF(ISERROR(MATCH(D566,'Ist Vorjahr Monat 07'!A:A,0))=FALSE,INDEX('Ist Vorjahr Monat 07'!B:B,MATCH(D566,'Ist Vorjahr Monat 07'!A:A,0)),
IF(ISERROR(MATCH(D566,'Ist Vorjahr Monat 08'!A:A,0))=FALSE,INDEX('Ist Vorjahr Monat 08'!B:B,MATCH(D566,'Ist Vorjahr Monat 08'!A:A,0)),
IF(ISERROR(MATCH(D566,'Ist Vorjahr Monat 09'!A:A,0))=FALSE,INDEX('Ist Vorjahr Monat 09'!B:B,MATCH(D566,'Ist Vorjahr Monat 09'!A:A,0)),
IF(ISERROR(MATCH(D566,'Ist Vorjahr Monat 10'!A:A,0))=FALSE,INDEX('Ist Vorjahr Monat 10'!B:B,MATCH(D566,'Ist Vorjahr Monat 10'!A:A,0)),
IF(ISERROR(MATCH(D566,'Ist Vorjahr Monat 11'!A:A,0))=FALSE,INDEX('Ist Vorjahr Monat 11'!B:B,MATCH(D566,'Ist Vorjahr Monat 11'!A:A,0)),
IF(ISERROR(MATCH(D566,'Ist Vorjahr Monat 12'!A:A,0))=FALSE,INDEX('Ist Vorjahr Monat 12'!B:B,MATCH(D566,'Ist Vorjahr Monat 12'!A:A,0)),
"{Konto unbekannt}"
)))))))))))),"")</f>
        <v>Verbindl. aus Lieferungen u. Leistungen</v>
      </c>
      <c r="C566" s="1062"/>
      <c r="D566" s="1067">
        <v>1600</v>
      </c>
      <c r="E566" s="625">
        <f t="shared" si="237"/>
        <v>-1</v>
      </c>
      <c r="F566" s="626" t="s">
        <v>996</v>
      </c>
      <c r="G566" s="593">
        <f ca="1">$E566*SUMIF(INDIRECT(G$3),'Struktur Vorjahr'!$D566,INDIRECT(G$8))*IFERROR(IF(VLOOKUP('Struktur Vorjahr'!$D566,INDIRECT(G$6),8,)="H",-1,1),0)</f>
        <v>0</v>
      </c>
      <c r="H566" s="593">
        <f ca="1">$E566*SUMIF(INDIRECT(H$3),'Struktur Vorjahr'!$D566,INDIRECT(H$8))*IFERROR(IF(VLOOKUP('Struktur Vorjahr'!$D566,INDIRECT(H$6),8,)="H",-1,1),0)</f>
        <v>0</v>
      </c>
      <c r="I566" s="593">
        <f ca="1">$E566*SUMIF(INDIRECT(I$3),'Struktur Vorjahr'!$D566,INDIRECT(I$8))*IFERROR(IF(VLOOKUP('Struktur Vorjahr'!$D566,INDIRECT(I$6),8,)="H",-1,1),0)</f>
        <v>0</v>
      </c>
      <c r="J566" s="593">
        <f ca="1">$E566*SUMIF(INDIRECT(J$3),'Struktur Vorjahr'!$D566,INDIRECT(J$8))*IFERROR(IF(VLOOKUP('Struktur Vorjahr'!$D566,INDIRECT(J$6),8,)="H",-1,1),0)</f>
        <v>0</v>
      </c>
      <c r="K566" s="593">
        <f ca="1">$E566*SUMIF(INDIRECT(K$3),'Struktur Vorjahr'!$D566,INDIRECT(K$8))*IFERROR(IF(VLOOKUP('Struktur Vorjahr'!$D566,INDIRECT(K$6),8,)="H",-1,1),0)</f>
        <v>0</v>
      </c>
      <c r="L566" s="593">
        <f ca="1">$E566*SUMIF(INDIRECT(L$3),'Struktur Vorjahr'!$D566,INDIRECT(L$8))*IFERROR(IF(VLOOKUP('Struktur Vorjahr'!$D566,INDIRECT(L$6),8,)="H",-1,1),0)</f>
        <v>0</v>
      </c>
      <c r="M566" s="593">
        <f ca="1">$E566*SUMIF(INDIRECT(M$3),'Struktur Vorjahr'!$D566,INDIRECT(M$8))*IFERROR(IF(VLOOKUP('Struktur Vorjahr'!$D566,INDIRECT(M$6),8,)="H",-1,1),0)</f>
        <v>0</v>
      </c>
      <c r="N566" s="593">
        <f ca="1">$E566*SUMIF(INDIRECT(N$3),'Struktur Vorjahr'!$D566,INDIRECT(N$8))*IFERROR(IF(VLOOKUP('Struktur Vorjahr'!$D566,INDIRECT(N$6),8,)="H",-1,1),0)</f>
        <v>0</v>
      </c>
      <c r="O566" s="593">
        <f ca="1">$E566*SUMIF(INDIRECT(O$3),'Struktur Vorjahr'!$D566,INDIRECT(O$8))*IFERROR(IF(VLOOKUP('Struktur Vorjahr'!$D566,INDIRECT(O$6),8,)="H",-1,1),0)</f>
        <v>0</v>
      </c>
      <c r="P566" s="593">
        <f ca="1">$E566*SUMIF(INDIRECT(P$3),'Struktur Vorjahr'!$D566,INDIRECT(P$8))*IFERROR(IF(VLOOKUP('Struktur Vorjahr'!$D566,INDIRECT(P$6),8,)="H",-1,1),0)</f>
        <v>0</v>
      </c>
      <c r="Q566" s="593">
        <f ca="1">$E566*SUMIF(INDIRECT(Q$3),'Struktur Vorjahr'!$D566,INDIRECT(Q$8))*IFERROR(IF(VLOOKUP('Struktur Vorjahr'!$D566,INDIRECT(Q$6),8,)="H",-1,1),0)</f>
        <v>0</v>
      </c>
      <c r="R566" s="593">
        <f ca="1">$E566*SUMIF(INDIRECT(R$3),'Struktur Vorjahr'!$D566,INDIRECT(R$8))*IFERROR(IF(VLOOKUP('Struktur Vorjahr'!$D566,INDIRECT(R$6),8,)="H",-1,1),0)</f>
        <v>0</v>
      </c>
      <c r="S566" s="593" t="e">
        <f ca="1">$E566*SUMIF(INDIRECT(S$3),'Struktur Vorjahr'!$D566,INDIRECT(S$8))*IFERROR(IF(VLOOKUP('Struktur Vorjahr'!$D566,INDIRECT(S$6),8,)="H",-1,1),0)</f>
        <v>#REF!</v>
      </c>
      <c r="T566" s="593" t="e">
        <f ca="1">$E566*SUMIF(INDIRECT(T$3),'Struktur Vorjahr'!$D566,INDIRECT(T$8))*IFERROR(IF(VLOOKUP('Struktur Vorjahr'!$D566,INDIRECT(T$6),8,)="H",-1,1),0)</f>
        <v>#REF!</v>
      </c>
      <c r="U566" s="593" t="e">
        <f ca="1">$E566*SUMIF(INDIRECT(U$3),'Struktur Vorjahr'!$D566,INDIRECT(U$8))*IFERROR(IF(VLOOKUP('Struktur Vorjahr'!$D566,INDIRECT(U$6),8,)="H",-1,1),0)</f>
        <v>#REF!</v>
      </c>
      <c r="V566" s="593" t="e">
        <f ca="1">$E566*SUMIF(INDIRECT(V$3),'Struktur Vorjahr'!$D566,INDIRECT(V$8))*IFERROR(IF(VLOOKUP('Struktur Vorjahr'!$D566,INDIRECT(V$6),8,)="H",-1,1),0)</f>
        <v>#REF!</v>
      </c>
      <c r="W566" s="593" t="e">
        <f ca="1">$E566*SUMIF(INDIRECT(W$3),'Struktur Vorjahr'!$D566,INDIRECT(W$8))*IFERROR(IF(VLOOKUP('Struktur Vorjahr'!$D566,INDIRECT(W$6),8,)="H",-1,1),0)</f>
        <v>#REF!</v>
      </c>
      <c r="X566" s="593" t="e">
        <f ca="1">$E566*SUMIF(INDIRECT(X$3),'Struktur Vorjahr'!$D566,INDIRECT(X$8))*IFERROR(IF(VLOOKUP('Struktur Vorjahr'!$D566,INDIRECT(X$6),8,)="H",-1,1),0)</f>
        <v>#REF!</v>
      </c>
      <c r="Y566" s="593" t="e">
        <f ca="1">$E566*SUMIF(INDIRECT(Y$3),'Struktur Vorjahr'!$D566,INDIRECT(Y$8))*IFERROR(IF(VLOOKUP('Struktur Vorjahr'!$D566,INDIRECT(Y$6),8,)="H",-1,1),0)</f>
        <v>#REF!</v>
      </c>
      <c r="Z566" s="593" t="e">
        <f ca="1">$E566*SUMIF(INDIRECT(Z$3),'Struktur Vorjahr'!$D566,INDIRECT(Z$8))*IFERROR(IF(VLOOKUP('Struktur Vorjahr'!$D566,INDIRECT(Z$6),8,)="H",-1,1),0)</f>
        <v>#REF!</v>
      </c>
      <c r="AA566" s="593" t="e">
        <f ca="1">$E566*SUMIF(INDIRECT(AA$3),'Struktur Vorjahr'!$D566,INDIRECT(AA$8))*IFERROR(IF(VLOOKUP('Struktur Vorjahr'!$D566,INDIRECT(AA$6),8,)="H",-1,1),0)</f>
        <v>#REF!</v>
      </c>
      <c r="AB566" s="593" t="e">
        <f ca="1">$E566*SUMIF(INDIRECT(AB$3),'Struktur Vorjahr'!$D566,INDIRECT(AB$8))*IFERROR(IF(VLOOKUP('Struktur Vorjahr'!$D566,INDIRECT(AB$6),8,)="H",-1,1),0)</f>
        <v>#REF!</v>
      </c>
      <c r="AC566" s="593" t="e">
        <f ca="1">$E566*SUMIF(INDIRECT(AC$3),'Struktur Vorjahr'!$D566,INDIRECT(AC$8))*IFERROR(IF(VLOOKUP('Struktur Vorjahr'!$D566,INDIRECT(AC$6),8,)="H",-1,1),0)</f>
        <v>#REF!</v>
      </c>
      <c r="AD566" s="593" t="e">
        <f ca="1">$E566*SUMIF(INDIRECT(AD$3),'Struktur Vorjahr'!$D566,INDIRECT(AD$8))*IFERROR(IF(VLOOKUP('Struktur Vorjahr'!$D566,INDIRECT(AD$6),8,)="H",-1,1),0)</f>
        <v>#REF!</v>
      </c>
      <c r="AE566" s="593">
        <f t="shared" ref="AE566:AE568" ca="1" si="289">G566</f>
        <v>0</v>
      </c>
      <c r="AF566" s="593">
        <f t="shared" ref="AF566:AP568" ca="1" si="290">H566+AE566</f>
        <v>0</v>
      </c>
      <c r="AG566" s="593">
        <f t="shared" ca="1" si="290"/>
        <v>0</v>
      </c>
      <c r="AH566" s="593">
        <f t="shared" ca="1" si="290"/>
        <v>0</v>
      </c>
      <c r="AI566" s="593">
        <f t="shared" ca="1" si="290"/>
        <v>0</v>
      </c>
      <c r="AJ566" s="593">
        <f t="shared" ca="1" si="290"/>
        <v>0</v>
      </c>
      <c r="AK566" s="593">
        <f t="shared" ca="1" si="290"/>
        <v>0</v>
      </c>
      <c r="AL566" s="593">
        <f t="shared" ca="1" si="290"/>
        <v>0</v>
      </c>
      <c r="AM566" s="593">
        <f t="shared" ca="1" si="290"/>
        <v>0</v>
      </c>
      <c r="AN566" s="593">
        <f t="shared" ca="1" si="290"/>
        <v>0</v>
      </c>
      <c r="AO566" s="593">
        <f t="shared" ca="1" si="290"/>
        <v>0</v>
      </c>
      <c r="AP566" s="593">
        <f t="shared" ca="1" si="290"/>
        <v>0</v>
      </c>
    </row>
    <row r="567" spans="1:42" s="594" customFormat="1" ht="11.25" outlineLevel="1" x14ac:dyDescent="0.2">
      <c r="A567" s="644"/>
      <c r="B567" s="591" t="str">
        <f>IF(D567&lt;&gt;"",
IF(ISERROR(MATCH(D567,'Ist Vorjahr Monat 01'!A:A,0))=FALSE,INDEX('Ist Vorjahr Monat 01'!B:B,MATCH(D567,'Ist Vorjahr Monat 01'!A:A,0)),
IF(ISERROR(MATCH(D567,'Ist Vorjahr Monat 02'!A:A,0))=FALSE,INDEX('Ist Vorjahr Monat 02'!B:B,MATCH(D567,'Ist Vorjahr Monat 02'!A:A,0)),
IF(ISERROR(MATCH(D567,'Ist Vorjahr Monat 03'!A:A,0))=FALSE,INDEX('Ist Vorjahr Monat 03'!B:B,MATCH(D567,'Ist Vorjahr Monat 03'!A:A,0)),
IF(ISERROR(MATCH(D567,'Ist Vorjahr Monat 04'!A:A,0))=FALSE,INDEX('Ist Vorjahr Monat 04'!B:B,MATCH(D567,'Ist Vorjahr Monat 04'!A:A,0)),
IF(ISERROR(MATCH(D567,'Ist Vorjahr Monat 05'!A:A,0))=FALSE,INDEX('Ist Vorjahr Monat 05'!B:B,MATCH(D567,'Ist Vorjahr Monat 05'!A:A,0)),
IF(ISERROR(MATCH(D567,'Ist Vorjahr Monat 06'!A:A,0))=FALSE,INDEX('Ist Vorjahr Monat 06'!B:B,MATCH(D567,'Ist Vorjahr Monat 06'!A:A,0)),
IF(ISERROR(MATCH(D567,'Ist Vorjahr Monat 07'!A:A,0))=FALSE,INDEX('Ist Vorjahr Monat 07'!B:B,MATCH(D567,'Ist Vorjahr Monat 07'!A:A,0)),
IF(ISERROR(MATCH(D567,'Ist Vorjahr Monat 08'!A:A,0))=FALSE,INDEX('Ist Vorjahr Monat 08'!B:B,MATCH(D567,'Ist Vorjahr Monat 08'!A:A,0)),
IF(ISERROR(MATCH(D567,'Ist Vorjahr Monat 09'!A:A,0))=FALSE,INDEX('Ist Vorjahr Monat 09'!B:B,MATCH(D567,'Ist Vorjahr Monat 09'!A:A,0)),
IF(ISERROR(MATCH(D567,'Ist Vorjahr Monat 10'!A:A,0))=FALSE,INDEX('Ist Vorjahr Monat 10'!B:B,MATCH(D567,'Ist Vorjahr Monat 10'!A:A,0)),
IF(ISERROR(MATCH(D567,'Ist Vorjahr Monat 11'!A:A,0))=FALSE,INDEX('Ist Vorjahr Monat 11'!B:B,MATCH(D567,'Ist Vorjahr Monat 11'!A:A,0)),
IF(ISERROR(MATCH(D567,'Ist Vorjahr Monat 12'!A:A,0))=FALSE,INDEX('Ist Vorjahr Monat 12'!B:B,MATCH(D567,'Ist Vorjahr Monat 12'!A:A,0)),
"{Konto unbekannt}"
)))))))))))),"")</f>
        <v/>
      </c>
      <c r="C567" s="1062"/>
      <c r="D567" s="1067"/>
      <c r="E567" s="625">
        <f t="shared" si="237"/>
        <v>-1</v>
      </c>
      <c r="F567" s="626" t="s">
        <v>996</v>
      </c>
      <c r="G567" s="593">
        <f ca="1">$E567*SUMIF(INDIRECT(G$3),'Struktur Vorjahr'!$D567,INDIRECT(G$8))*IFERROR(IF(VLOOKUP('Struktur Vorjahr'!$D567,INDIRECT(G$6),8,)="H",-1,1),0)</f>
        <v>0</v>
      </c>
      <c r="H567" s="593">
        <f ca="1">$E567*SUMIF(INDIRECT(H$3),'Struktur Vorjahr'!$D567,INDIRECT(H$8))*IFERROR(IF(VLOOKUP('Struktur Vorjahr'!$D567,INDIRECT(H$6),8,)="H",-1,1),0)</f>
        <v>0</v>
      </c>
      <c r="I567" s="593">
        <f ca="1">$E567*SUMIF(INDIRECT(I$3),'Struktur Vorjahr'!$D567,INDIRECT(I$8))*IFERROR(IF(VLOOKUP('Struktur Vorjahr'!$D567,INDIRECT(I$6),8,)="H",-1,1),0)</f>
        <v>0</v>
      </c>
      <c r="J567" s="593">
        <f ca="1">$E567*SUMIF(INDIRECT(J$3),'Struktur Vorjahr'!$D567,INDIRECT(J$8))*IFERROR(IF(VLOOKUP('Struktur Vorjahr'!$D567,INDIRECT(J$6),8,)="H",-1,1),0)</f>
        <v>0</v>
      </c>
      <c r="K567" s="593">
        <f ca="1">$E567*SUMIF(INDIRECT(K$3),'Struktur Vorjahr'!$D567,INDIRECT(K$8))*IFERROR(IF(VLOOKUP('Struktur Vorjahr'!$D567,INDIRECT(K$6),8,)="H",-1,1),0)</f>
        <v>0</v>
      </c>
      <c r="L567" s="593">
        <f ca="1">$E567*SUMIF(INDIRECT(L$3),'Struktur Vorjahr'!$D567,INDIRECT(L$8))*IFERROR(IF(VLOOKUP('Struktur Vorjahr'!$D567,INDIRECT(L$6),8,)="H",-1,1),0)</f>
        <v>0</v>
      </c>
      <c r="M567" s="593">
        <f ca="1">$E567*SUMIF(INDIRECT(M$3),'Struktur Vorjahr'!$D567,INDIRECT(M$8))*IFERROR(IF(VLOOKUP('Struktur Vorjahr'!$D567,INDIRECT(M$6),8,)="H",-1,1),0)</f>
        <v>0</v>
      </c>
      <c r="N567" s="593">
        <f ca="1">$E567*SUMIF(INDIRECT(N$3),'Struktur Vorjahr'!$D567,INDIRECT(N$8))*IFERROR(IF(VLOOKUP('Struktur Vorjahr'!$D567,INDIRECT(N$6),8,)="H",-1,1),0)</f>
        <v>0</v>
      </c>
      <c r="O567" s="593">
        <f ca="1">$E567*SUMIF(INDIRECT(O$3),'Struktur Vorjahr'!$D567,INDIRECT(O$8))*IFERROR(IF(VLOOKUP('Struktur Vorjahr'!$D567,INDIRECT(O$6),8,)="H",-1,1),0)</f>
        <v>0</v>
      </c>
      <c r="P567" s="593">
        <f ca="1">$E567*SUMIF(INDIRECT(P$3),'Struktur Vorjahr'!$D567,INDIRECT(P$8))*IFERROR(IF(VLOOKUP('Struktur Vorjahr'!$D567,INDIRECT(P$6),8,)="H",-1,1),0)</f>
        <v>0</v>
      </c>
      <c r="Q567" s="593">
        <f ca="1">$E567*SUMIF(INDIRECT(Q$3),'Struktur Vorjahr'!$D567,INDIRECT(Q$8))*IFERROR(IF(VLOOKUP('Struktur Vorjahr'!$D567,INDIRECT(Q$6),8,)="H",-1,1),0)</f>
        <v>0</v>
      </c>
      <c r="R567" s="593">
        <f ca="1">$E567*SUMIF(INDIRECT(R$3),'Struktur Vorjahr'!$D567,INDIRECT(R$8))*IFERROR(IF(VLOOKUP('Struktur Vorjahr'!$D567,INDIRECT(R$6),8,)="H",-1,1),0)</f>
        <v>0</v>
      </c>
      <c r="S567" s="593" t="e">
        <f ca="1">$E567*SUMIF(INDIRECT(S$3),'Struktur Vorjahr'!$D567,INDIRECT(S$8))*IFERROR(IF(VLOOKUP('Struktur Vorjahr'!$D567,INDIRECT(S$6),8,)="H",-1,1),0)</f>
        <v>#REF!</v>
      </c>
      <c r="T567" s="593" t="e">
        <f ca="1">$E567*SUMIF(INDIRECT(T$3),'Struktur Vorjahr'!$D567,INDIRECT(T$8))*IFERROR(IF(VLOOKUP('Struktur Vorjahr'!$D567,INDIRECT(T$6),8,)="H",-1,1),0)</f>
        <v>#REF!</v>
      </c>
      <c r="U567" s="593" t="e">
        <f ca="1">$E567*SUMIF(INDIRECT(U$3),'Struktur Vorjahr'!$D567,INDIRECT(U$8))*IFERROR(IF(VLOOKUP('Struktur Vorjahr'!$D567,INDIRECT(U$6),8,)="H",-1,1),0)</f>
        <v>#REF!</v>
      </c>
      <c r="V567" s="593" t="e">
        <f ca="1">$E567*SUMIF(INDIRECT(V$3),'Struktur Vorjahr'!$D567,INDIRECT(V$8))*IFERROR(IF(VLOOKUP('Struktur Vorjahr'!$D567,INDIRECT(V$6),8,)="H",-1,1),0)</f>
        <v>#REF!</v>
      </c>
      <c r="W567" s="593" t="e">
        <f ca="1">$E567*SUMIF(INDIRECT(W$3),'Struktur Vorjahr'!$D567,INDIRECT(W$8))*IFERROR(IF(VLOOKUP('Struktur Vorjahr'!$D567,INDIRECT(W$6),8,)="H",-1,1),0)</f>
        <v>#REF!</v>
      </c>
      <c r="X567" s="593" t="e">
        <f ca="1">$E567*SUMIF(INDIRECT(X$3),'Struktur Vorjahr'!$D567,INDIRECT(X$8))*IFERROR(IF(VLOOKUP('Struktur Vorjahr'!$D567,INDIRECT(X$6),8,)="H",-1,1),0)</f>
        <v>#REF!</v>
      </c>
      <c r="Y567" s="593" t="e">
        <f ca="1">$E567*SUMIF(INDIRECT(Y$3),'Struktur Vorjahr'!$D567,INDIRECT(Y$8))*IFERROR(IF(VLOOKUP('Struktur Vorjahr'!$D567,INDIRECT(Y$6),8,)="H",-1,1),0)</f>
        <v>#REF!</v>
      </c>
      <c r="Z567" s="593" t="e">
        <f ca="1">$E567*SUMIF(INDIRECT(Z$3),'Struktur Vorjahr'!$D567,INDIRECT(Z$8))*IFERROR(IF(VLOOKUP('Struktur Vorjahr'!$D567,INDIRECT(Z$6),8,)="H",-1,1),0)</f>
        <v>#REF!</v>
      </c>
      <c r="AA567" s="593" t="e">
        <f ca="1">$E567*SUMIF(INDIRECT(AA$3),'Struktur Vorjahr'!$D567,INDIRECT(AA$8))*IFERROR(IF(VLOOKUP('Struktur Vorjahr'!$D567,INDIRECT(AA$6),8,)="H",-1,1),0)</f>
        <v>#REF!</v>
      </c>
      <c r="AB567" s="593" t="e">
        <f ca="1">$E567*SUMIF(INDIRECT(AB$3),'Struktur Vorjahr'!$D567,INDIRECT(AB$8))*IFERROR(IF(VLOOKUP('Struktur Vorjahr'!$D567,INDIRECT(AB$6),8,)="H",-1,1),0)</f>
        <v>#REF!</v>
      </c>
      <c r="AC567" s="593" t="e">
        <f ca="1">$E567*SUMIF(INDIRECT(AC$3),'Struktur Vorjahr'!$D567,INDIRECT(AC$8))*IFERROR(IF(VLOOKUP('Struktur Vorjahr'!$D567,INDIRECT(AC$6),8,)="H",-1,1),0)</f>
        <v>#REF!</v>
      </c>
      <c r="AD567" s="593" t="e">
        <f ca="1">$E567*SUMIF(INDIRECT(AD$3),'Struktur Vorjahr'!$D567,INDIRECT(AD$8))*IFERROR(IF(VLOOKUP('Struktur Vorjahr'!$D567,INDIRECT(AD$6),8,)="H",-1,1),0)</f>
        <v>#REF!</v>
      </c>
      <c r="AE567" s="593">
        <f t="shared" ca="1" si="289"/>
        <v>0</v>
      </c>
      <c r="AF567" s="593">
        <f t="shared" ca="1" si="290"/>
        <v>0</v>
      </c>
      <c r="AG567" s="593">
        <f t="shared" ca="1" si="290"/>
        <v>0</v>
      </c>
      <c r="AH567" s="593">
        <f t="shared" ca="1" si="290"/>
        <v>0</v>
      </c>
      <c r="AI567" s="593">
        <f t="shared" ca="1" si="290"/>
        <v>0</v>
      </c>
      <c r="AJ567" s="593">
        <f t="shared" ca="1" si="290"/>
        <v>0</v>
      </c>
      <c r="AK567" s="593">
        <f t="shared" ca="1" si="290"/>
        <v>0</v>
      </c>
      <c r="AL567" s="593">
        <f t="shared" ca="1" si="290"/>
        <v>0</v>
      </c>
      <c r="AM567" s="593">
        <f t="shared" ca="1" si="290"/>
        <v>0</v>
      </c>
      <c r="AN567" s="593">
        <f t="shared" ca="1" si="290"/>
        <v>0</v>
      </c>
      <c r="AO567" s="593">
        <f t="shared" ca="1" si="290"/>
        <v>0</v>
      </c>
      <c r="AP567" s="593">
        <f t="shared" ca="1" si="290"/>
        <v>0</v>
      </c>
    </row>
    <row r="568" spans="1:42" s="594" customFormat="1" ht="11.25" outlineLevel="1" x14ac:dyDescent="0.2">
      <c r="A568" s="644"/>
      <c r="B568" s="591" t="str">
        <f>IF(D568&lt;&gt;"",
IF(ISERROR(MATCH(D568,'Ist Vorjahr Monat 01'!A:A,0))=FALSE,INDEX('Ist Vorjahr Monat 01'!B:B,MATCH(D568,'Ist Vorjahr Monat 01'!A:A,0)),
IF(ISERROR(MATCH(D568,'Ist Vorjahr Monat 02'!A:A,0))=FALSE,INDEX('Ist Vorjahr Monat 02'!B:B,MATCH(D568,'Ist Vorjahr Monat 02'!A:A,0)),
IF(ISERROR(MATCH(D568,'Ist Vorjahr Monat 03'!A:A,0))=FALSE,INDEX('Ist Vorjahr Monat 03'!B:B,MATCH(D568,'Ist Vorjahr Monat 03'!A:A,0)),
IF(ISERROR(MATCH(D568,'Ist Vorjahr Monat 04'!A:A,0))=FALSE,INDEX('Ist Vorjahr Monat 04'!B:B,MATCH(D568,'Ist Vorjahr Monat 04'!A:A,0)),
IF(ISERROR(MATCH(D568,'Ist Vorjahr Monat 05'!A:A,0))=FALSE,INDEX('Ist Vorjahr Monat 05'!B:B,MATCH(D568,'Ist Vorjahr Monat 05'!A:A,0)),
IF(ISERROR(MATCH(D568,'Ist Vorjahr Monat 06'!A:A,0))=FALSE,INDEX('Ist Vorjahr Monat 06'!B:B,MATCH(D568,'Ist Vorjahr Monat 06'!A:A,0)),
IF(ISERROR(MATCH(D568,'Ist Vorjahr Monat 07'!A:A,0))=FALSE,INDEX('Ist Vorjahr Monat 07'!B:B,MATCH(D568,'Ist Vorjahr Monat 07'!A:A,0)),
IF(ISERROR(MATCH(D568,'Ist Vorjahr Monat 08'!A:A,0))=FALSE,INDEX('Ist Vorjahr Monat 08'!B:B,MATCH(D568,'Ist Vorjahr Monat 08'!A:A,0)),
IF(ISERROR(MATCH(D568,'Ist Vorjahr Monat 09'!A:A,0))=FALSE,INDEX('Ist Vorjahr Monat 09'!B:B,MATCH(D568,'Ist Vorjahr Monat 09'!A:A,0)),
IF(ISERROR(MATCH(D568,'Ist Vorjahr Monat 10'!A:A,0))=FALSE,INDEX('Ist Vorjahr Monat 10'!B:B,MATCH(D568,'Ist Vorjahr Monat 10'!A:A,0)),
IF(ISERROR(MATCH(D568,'Ist Vorjahr Monat 11'!A:A,0))=FALSE,INDEX('Ist Vorjahr Monat 11'!B:B,MATCH(D568,'Ist Vorjahr Monat 11'!A:A,0)),
IF(ISERROR(MATCH(D568,'Ist Vorjahr Monat 12'!A:A,0))=FALSE,INDEX('Ist Vorjahr Monat 12'!B:B,MATCH(D568,'Ist Vorjahr Monat 12'!A:A,0)),
"{Konto unbekannt}"
)))))))))))),"")</f>
        <v/>
      </c>
      <c r="C568" s="1062"/>
      <c r="D568" s="1067"/>
      <c r="E568" s="625">
        <f t="shared" si="237"/>
        <v>-1</v>
      </c>
      <c r="F568" s="626" t="s">
        <v>996</v>
      </c>
      <c r="G568" s="593">
        <f ca="1">$E568*SUMIF(INDIRECT(G$3),'Struktur Vorjahr'!$D568,INDIRECT(G$8))*IFERROR(IF(VLOOKUP('Struktur Vorjahr'!$D568,INDIRECT(G$6),8,)="H",-1,1),0)</f>
        <v>0</v>
      </c>
      <c r="H568" s="593">
        <f ca="1">$E568*SUMIF(INDIRECT(H$3),'Struktur Vorjahr'!$D568,INDIRECT(H$8))*IFERROR(IF(VLOOKUP('Struktur Vorjahr'!$D568,INDIRECT(H$6),8,)="H",-1,1),0)</f>
        <v>0</v>
      </c>
      <c r="I568" s="593">
        <f ca="1">$E568*SUMIF(INDIRECT(I$3),'Struktur Vorjahr'!$D568,INDIRECT(I$8))*IFERROR(IF(VLOOKUP('Struktur Vorjahr'!$D568,INDIRECT(I$6),8,)="H",-1,1),0)</f>
        <v>0</v>
      </c>
      <c r="J568" s="593">
        <f ca="1">$E568*SUMIF(INDIRECT(J$3),'Struktur Vorjahr'!$D568,INDIRECT(J$8))*IFERROR(IF(VLOOKUP('Struktur Vorjahr'!$D568,INDIRECT(J$6),8,)="H",-1,1),0)</f>
        <v>0</v>
      </c>
      <c r="K568" s="593">
        <f ca="1">$E568*SUMIF(INDIRECT(K$3),'Struktur Vorjahr'!$D568,INDIRECT(K$8))*IFERROR(IF(VLOOKUP('Struktur Vorjahr'!$D568,INDIRECT(K$6),8,)="H",-1,1),0)</f>
        <v>0</v>
      </c>
      <c r="L568" s="593">
        <f ca="1">$E568*SUMIF(INDIRECT(L$3),'Struktur Vorjahr'!$D568,INDIRECT(L$8))*IFERROR(IF(VLOOKUP('Struktur Vorjahr'!$D568,INDIRECT(L$6),8,)="H",-1,1),0)</f>
        <v>0</v>
      </c>
      <c r="M568" s="593">
        <f ca="1">$E568*SUMIF(INDIRECT(M$3),'Struktur Vorjahr'!$D568,INDIRECT(M$8))*IFERROR(IF(VLOOKUP('Struktur Vorjahr'!$D568,INDIRECT(M$6),8,)="H",-1,1),0)</f>
        <v>0</v>
      </c>
      <c r="N568" s="593">
        <f ca="1">$E568*SUMIF(INDIRECT(N$3),'Struktur Vorjahr'!$D568,INDIRECT(N$8))*IFERROR(IF(VLOOKUP('Struktur Vorjahr'!$D568,INDIRECT(N$6),8,)="H",-1,1),0)</f>
        <v>0</v>
      </c>
      <c r="O568" s="593">
        <f ca="1">$E568*SUMIF(INDIRECT(O$3),'Struktur Vorjahr'!$D568,INDIRECT(O$8))*IFERROR(IF(VLOOKUP('Struktur Vorjahr'!$D568,INDIRECT(O$6),8,)="H",-1,1),0)</f>
        <v>0</v>
      </c>
      <c r="P568" s="593">
        <f ca="1">$E568*SUMIF(INDIRECT(P$3),'Struktur Vorjahr'!$D568,INDIRECT(P$8))*IFERROR(IF(VLOOKUP('Struktur Vorjahr'!$D568,INDIRECT(P$6),8,)="H",-1,1),0)</f>
        <v>0</v>
      </c>
      <c r="Q568" s="593">
        <f ca="1">$E568*SUMIF(INDIRECT(Q$3),'Struktur Vorjahr'!$D568,INDIRECT(Q$8))*IFERROR(IF(VLOOKUP('Struktur Vorjahr'!$D568,INDIRECT(Q$6),8,)="H",-1,1),0)</f>
        <v>0</v>
      </c>
      <c r="R568" s="593">
        <f ca="1">$E568*SUMIF(INDIRECT(R$3),'Struktur Vorjahr'!$D568,INDIRECT(R$8))*IFERROR(IF(VLOOKUP('Struktur Vorjahr'!$D568,INDIRECT(R$6),8,)="H",-1,1),0)</f>
        <v>0</v>
      </c>
      <c r="S568" s="593" t="e">
        <f ca="1">$E568*SUMIF(INDIRECT(S$3),'Struktur Vorjahr'!$D568,INDIRECT(S$8))*IFERROR(IF(VLOOKUP('Struktur Vorjahr'!$D568,INDIRECT(S$6),8,)="H",-1,1),0)</f>
        <v>#REF!</v>
      </c>
      <c r="T568" s="593" t="e">
        <f ca="1">$E568*SUMIF(INDIRECT(T$3),'Struktur Vorjahr'!$D568,INDIRECT(T$8))*IFERROR(IF(VLOOKUP('Struktur Vorjahr'!$D568,INDIRECT(T$6),8,)="H",-1,1),0)</f>
        <v>#REF!</v>
      </c>
      <c r="U568" s="593" t="e">
        <f ca="1">$E568*SUMIF(INDIRECT(U$3),'Struktur Vorjahr'!$D568,INDIRECT(U$8))*IFERROR(IF(VLOOKUP('Struktur Vorjahr'!$D568,INDIRECT(U$6),8,)="H",-1,1),0)</f>
        <v>#REF!</v>
      </c>
      <c r="V568" s="593" t="e">
        <f ca="1">$E568*SUMIF(INDIRECT(V$3),'Struktur Vorjahr'!$D568,INDIRECT(V$8))*IFERROR(IF(VLOOKUP('Struktur Vorjahr'!$D568,INDIRECT(V$6),8,)="H",-1,1),0)</f>
        <v>#REF!</v>
      </c>
      <c r="W568" s="593" t="e">
        <f ca="1">$E568*SUMIF(INDIRECT(W$3),'Struktur Vorjahr'!$D568,INDIRECT(W$8))*IFERROR(IF(VLOOKUP('Struktur Vorjahr'!$D568,INDIRECT(W$6),8,)="H",-1,1),0)</f>
        <v>#REF!</v>
      </c>
      <c r="X568" s="593" t="e">
        <f ca="1">$E568*SUMIF(INDIRECT(X$3),'Struktur Vorjahr'!$D568,INDIRECT(X$8))*IFERROR(IF(VLOOKUP('Struktur Vorjahr'!$D568,INDIRECT(X$6),8,)="H",-1,1),0)</f>
        <v>#REF!</v>
      </c>
      <c r="Y568" s="593" t="e">
        <f ca="1">$E568*SUMIF(INDIRECT(Y$3),'Struktur Vorjahr'!$D568,INDIRECT(Y$8))*IFERROR(IF(VLOOKUP('Struktur Vorjahr'!$D568,INDIRECT(Y$6),8,)="H",-1,1),0)</f>
        <v>#REF!</v>
      </c>
      <c r="Z568" s="593" t="e">
        <f ca="1">$E568*SUMIF(INDIRECT(Z$3),'Struktur Vorjahr'!$D568,INDIRECT(Z$8))*IFERROR(IF(VLOOKUP('Struktur Vorjahr'!$D568,INDIRECT(Z$6),8,)="H",-1,1),0)</f>
        <v>#REF!</v>
      </c>
      <c r="AA568" s="593" t="e">
        <f ca="1">$E568*SUMIF(INDIRECT(AA$3),'Struktur Vorjahr'!$D568,INDIRECT(AA$8))*IFERROR(IF(VLOOKUP('Struktur Vorjahr'!$D568,INDIRECT(AA$6),8,)="H",-1,1),0)</f>
        <v>#REF!</v>
      </c>
      <c r="AB568" s="593" t="e">
        <f ca="1">$E568*SUMIF(INDIRECT(AB$3),'Struktur Vorjahr'!$D568,INDIRECT(AB$8))*IFERROR(IF(VLOOKUP('Struktur Vorjahr'!$D568,INDIRECT(AB$6),8,)="H",-1,1),0)</f>
        <v>#REF!</v>
      </c>
      <c r="AC568" s="593" t="e">
        <f ca="1">$E568*SUMIF(INDIRECT(AC$3),'Struktur Vorjahr'!$D568,INDIRECT(AC$8))*IFERROR(IF(VLOOKUP('Struktur Vorjahr'!$D568,INDIRECT(AC$6),8,)="H",-1,1),0)</f>
        <v>#REF!</v>
      </c>
      <c r="AD568" s="593" t="e">
        <f ca="1">$E568*SUMIF(INDIRECT(AD$3),'Struktur Vorjahr'!$D568,INDIRECT(AD$8))*IFERROR(IF(VLOOKUP('Struktur Vorjahr'!$D568,INDIRECT(AD$6),8,)="H",-1,1),0)</f>
        <v>#REF!</v>
      </c>
      <c r="AE568" s="593">
        <f t="shared" ca="1" si="289"/>
        <v>0</v>
      </c>
      <c r="AF568" s="593">
        <f t="shared" ca="1" si="290"/>
        <v>0</v>
      </c>
      <c r="AG568" s="593">
        <f t="shared" ca="1" si="290"/>
        <v>0</v>
      </c>
      <c r="AH568" s="593">
        <f t="shared" ca="1" si="290"/>
        <v>0</v>
      </c>
      <c r="AI568" s="593">
        <f t="shared" ca="1" si="290"/>
        <v>0</v>
      </c>
      <c r="AJ568" s="593">
        <f t="shared" ca="1" si="290"/>
        <v>0</v>
      </c>
      <c r="AK568" s="593">
        <f t="shared" ca="1" si="290"/>
        <v>0</v>
      </c>
      <c r="AL568" s="593">
        <f t="shared" ca="1" si="290"/>
        <v>0</v>
      </c>
      <c r="AM568" s="593">
        <f t="shared" ca="1" si="290"/>
        <v>0</v>
      </c>
      <c r="AN568" s="593">
        <f t="shared" ca="1" si="290"/>
        <v>0</v>
      </c>
      <c r="AO568" s="593">
        <f t="shared" ca="1" si="290"/>
        <v>0</v>
      </c>
      <c r="AP568" s="593">
        <f t="shared" ca="1" si="290"/>
        <v>0</v>
      </c>
    </row>
    <row r="569" spans="1:42" s="589" customFormat="1" outlineLevel="1" x14ac:dyDescent="0.2">
      <c r="A569" s="629">
        <v>53</v>
      </c>
      <c r="B569" s="623" t="s">
        <v>338</v>
      </c>
      <c r="C569" s="627">
        <f ca="1">SUM(G569:R569)</f>
        <v>0</v>
      </c>
      <c r="D569" s="627"/>
      <c r="E569" s="628">
        <f t="shared" si="237"/>
        <v>1</v>
      </c>
      <c r="F569" s="628"/>
      <c r="G569" s="627">
        <f t="shared" ref="G569:AP569" ca="1" si="291">SUM(G570:G583)</f>
        <v>0</v>
      </c>
      <c r="H569" s="627">
        <f t="shared" ca="1" si="291"/>
        <v>0</v>
      </c>
      <c r="I569" s="627">
        <f t="shared" ca="1" si="291"/>
        <v>0</v>
      </c>
      <c r="J569" s="627">
        <f t="shared" ca="1" si="291"/>
        <v>0</v>
      </c>
      <c r="K569" s="627">
        <f t="shared" ca="1" si="291"/>
        <v>0</v>
      </c>
      <c r="L569" s="627">
        <f t="shared" ca="1" si="291"/>
        <v>0</v>
      </c>
      <c r="M569" s="627">
        <f t="shared" ca="1" si="291"/>
        <v>0</v>
      </c>
      <c r="N569" s="627">
        <f t="shared" ca="1" si="291"/>
        <v>0</v>
      </c>
      <c r="O569" s="627">
        <f t="shared" ca="1" si="291"/>
        <v>0</v>
      </c>
      <c r="P569" s="627">
        <f t="shared" ca="1" si="291"/>
        <v>0</v>
      </c>
      <c r="Q569" s="627">
        <f t="shared" ca="1" si="291"/>
        <v>0</v>
      </c>
      <c r="R569" s="627">
        <f t="shared" ca="1" si="291"/>
        <v>0</v>
      </c>
      <c r="S569" s="627" t="e">
        <f t="shared" ca="1" si="291"/>
        <v>#REF!</v>
      </c>
      <c r="T569" s="627" t="e">
        <f t="shared" ca="1" si="291"/>
        <v>#REF!</v>
      </c>
      <c r="U569" s="627" t="e">
        <f t="shared" ca="1" si="291"/>
        <v>#REF!</v>
      </c>
      <c r="V569" s="627" t="e">
        <f t="shared" ca="1" si="291"/>
        <v>#REF!</v>
      </c>
      <c r="W569" s="627" t="e">
        <f t="shared" ca="1" si="291"/>
        <v>#REF!</v>
      </c>
      <c r="X569" s="627" t="e">
        <f t="shared" ca="1" si="291"/>
        <v>#REF!</v>
      </c>
      <c r="Y569" s="627" t="e">
        <f t="shared" ca="1" si="291"/>
        <v>#REF!</v>
      </c>
      <c r="Z569" s="627" t="e">
        <f t="shared" ca="1" si="291"/>
        <v>#REF!</v>
      </c>
      <c r="AA569" s="627" t="e">
        <f t="shared" ca="1" si="291"/>
        <v>#REF!</v>
      </c>
      <c r="AB569" s="627" t="e">
        <f t="shared" ca="1" si="291"/>
        <v>#REF!</v>
      </c>
      <c r="AC569" s="627" t="e">
        <f t="shared" ca="1" si="291"/>
        <v>#REF!</v>
      </c>
      <c r="AD569" s="627" t="e">
        <f t="shared" ca="1" si="291"/>
        <v>#REF!</v>
      </c>
      <c r="AE569" s="627">
        <f t="shared" ca="1" si="291"/>
        <v>0</v>
      </c>
      <c r="AF569" s="627">
        <f t="shared" ca="1" si="291"/>
        <v>0</v>
      </c>
      <c r="AG569" s="627">
        <f t="shared" ca="1" si="291"/>
        <v>0</v>
      </c>
      <c r="AH569" s="627">
        <f t="shared" ca="1" si="291"/>
        <v>0</v>
      </c>
      <c r="AI569" s="627">
        <f t="shared" ca="1" si="291"/>
        <v>0</v>
      </c>
      <c r="AJ569" s="627">
        <f t="shared" ca="1" si="291"/>
        <v>0</v>
      </c>
      <c r="AK569" s="627">
        <f t="shared" ca="1" si="291"/>
        <v>0</v>
      </c>
      <c r="AL569" s="627">
        <f t="shared" ca="1" si="291"/>
        <v>0</v>
      </c>
      <c r="AM569" s="627">
        <f t="shared" ca="1" si="291"/>
        <v>0</v>
      </c>
      <c r="AN569" s="627">
        <f t="shared" ca="1" si="291"/>
        <v>0</v>
      </c>
      <c r="AO569" s="627">
        <f t="shared" ca="1" si="291"/>
        <v>0</v>
      </c>
      <c r="AP569" s="627">
        <f t="shared" ca="1" si="291"/>
        <v>0</v>
      </c>
    </row>
    <row r="570" spans="1:42" s="594" customFormat="1" ht="11.25" x14ac:dyDescent="0.2">
      <c r="A570" s="644"/>
      <c r="B570" s="591" t="str">
        <f>IF(D570&lt;&gt;"",
IF(ISERROR(MATCH(D570,'Ist Vorjahr Monat 01'!A:A,0))=FALSE,INDEX('Ist Vorjahr Monat 01'!B:B,MATCH(D570,'Ist Vorjahr Monat 01'!A:A,0)),
IF(ISERROR(MATCH(D570,'Ist Vorjahr Monat 02'!A:A,0))=FALSE,INDEX('Ist Vorjahr Monat 02'!B:B,MATCH(D570,'Ist Vorjahr Monat 02'!A:A,0)),
IF(ISERROR(MATCH(D570,'Ist Vorjahr Monat 03'!A:A,0))=FALSE,INDEX('Ist Vorjahr Monat 03'!B:B,MATCH(D570,'Ist Vorjahr Monat 03'!A:A,0)),
IF(ISERROR(MATCH(D570,'Ist Vorjahr Monat 04'!A:A,0))=FALSE,INDEX('Ist Vorjahr Monat 04'!B:B,MATCH(D570,'Ist Vorjahr Monat 04'!A:A,0)),
IF(ISERROR(MATCH(D570,'Ist Vorjahr Monat 05'!A:A,0))=FALSE,INDEX('Ist Vorjahr Monat 05'!B:B,MATCH(D570,'Ist Vorjahr Monat 05'!A:A,0)),
IF(ISERROR(MATCH(D570,'Ist Vorjahr Monat 06'!A:A,0))=FALSE,INDEX('Ist Vorjahr Monat 06'!B:B,MATCH(D570,'Ist Vorjahr Monat 06'!A:A,0)),
IF(ISERROR(MATCH(D570,'Ist Vorjahr Monat 07'!A:A,0))=FALSE,INDEX('Ist Vorjahr Monat 07'!B:B,MATCH(D570,'Ist Vorjahr Monat 07'!A:A,0)),
IF(ISERROR(MATCH(D570,'Ist Vorjahr Monat 08'!A:A,0))=FALSE,INDEX('Ist Vorjahr Monat 08'!B:B,MATCH(D570,'Ist Vorjahr Monat 08'!A:A,0)),
IF(ISERROR(MATCH(D570,'Ist Vorjahr Monat 09'!A:A,0))=FALSE,INDEX('Ist Vorjahr Monat 09'!B:B,MATCH(D570,'Ist Vorjahr Monat 09'!A:A,0)),
IF(ISERROR(MATCH(D570,'Ist Vorjahr Monat 10'!A:A,0))=FALSE,INDEX('Ist Vorjahr Monat 10'!B:B,MATCH(D570,'Ist Vorjahr Monat 10'!A:A,0)),
IF(ISERROR(MATCH(D570,'Ist Vorjahr Monat 11'!A:A,0))=FALSE,INDEX('Ist Vorjahr Monat 11'!B:B,MATCH(D570,'Ist Vorjahr Monat 11'!A:A,0)),
IF(ISERROR(MATCH(D570,'Ist Vorjahr Monat 12'!A:A,0))=FALSE,INDEX('Ist Vorjahr Monat 12'!B:B,MATCH(D570,'Ist Vorjahr Monat 12'!A:A,0)),
"{Konto unbekannt}"
)))))))))))),"")</f>
        <v>Verbindlichkeiten aus Lohn und Gehalt</v>
      </c>
      <c r="C570" s="1062"/>
      <c r="D570" s="1067">
        <v>1740</v>
      </c>
      <c r="E570" s="625">
        <f t="shared" si="237"/>
        <v>-1</v>
      </c>
      <c r="F570" s="626" t="s">
        <v>996</v>
      </c>
      <c r="G570" s="593">
        <f ca="1">$E570*SUMIF(INDIRECT(G$3),'Struktur Vorjahr'!$D570,INDIRECT(G$8))*IFERROR(IF(VLOOKUP('Struktur Vorjahr'!$D570,INDIRECT(G$6),8,)="H",-1,1),0)</f>
        <v>0</v>
      </c>
      <c r="H570" s="593">
        <f ca="1">$E570*SUMIF(INDIRECT(H$3),'Struktur Vorjahr'!$D570,INDIRECT(H$8))*IFERROR(IF(VLOOKUP('Struktur Vorjahr'!$D570,INDIRECT(H$6),8,)="H",-1,1),0)</f>
        <v>0</v>
      </c>
      <c r="I570" s="593">
        <f ca="1">$E570*SUMIF(INDIRECT(I$3),'Struktur Vorjahr'!$D570,INDIRECT(I$8))*IFERROR(IF(VLOOKUP('Struktur Vorjahr'!$D570,INDIRECT(I$6),8,)="H",-1,1),0)</f>
        <v>0</v>
      </c>
      <c r="J570" s="593">
        <f ca="1">$E570*SUMIF(INDIRECT(J$3),'Struktur Vorjahr'!$D570,INDIRECT(J$8))*IFERROR(IF(VLOOKUP('Struktur Vorjahr'!$D570,INDIRECT(J$6),8,)="H",-1,1),0)</f>
        <v>0</v>
      </c>
      <c r="K570" s="593">
        <f ca="1">$E570*SUMIF(INDIRECT(K$3),'Struktur Vorjahr'!$D570,INDIRECT(K$8))*IFERROR(IF(VLOOKUP('Struktur Vorjahr'!$D570,INDIRECT(K$6),8,)="H",-1,1),0)</f>
        <v>0</v>
      </c>
      <c r="L570" s="593">
        <f ca="1">$E570*SUMIF(INDIRECT(L$3),'Struktur Vorjahr'!$D570,INDIRECT(L$8))*IFERROR(IF(VLOOKUP('Struktur Vorjahr'!$D570,INDIRECT(L$6),8,)="H",-1,1),0)</f>
        <v>0</v>
      </c>
      <c r="M570" s="593">
        <f ca="1">$E570*SUMIF(INDIRECT(M$3),'Struktur Vorjahr'!$D570,INDIRECT(M$8))*IFERROR(IF(VLOOKUP('Struktur Vorjahr'!$D570,INDIRECT(M$6),8,)="H",-1,1),0)</f>
        <v>0</v>
      </c>
      <c r="N570" s="593">
        <f ca="1">$E570*SUMIF(INDIRECT(N$3),'Struktur Vorjahr'!$D570,INDIRECT(N$8))*IFERROR(IF(VLOOKUP('Struktur Vorjahr'!$D570,INDIRECT(N$6),8,)="H",-1,1),0)</f>
        <v>0</v>
      </c>
      <c r="O570" s="593">
        <f ca="1">$E570*SUMIF(INDIRECT(O$3),'Struktur Vorjahr'!$D570,INDIRECT(O$8))*IFERROR(IF(VLOOKUP('Struktur Vorjahr'!$D570,INDIRECT(O$6),8,)="H",-1,1),0)</f>
        <v>0</v>
      </c>
      <c r="P570" s="593">
        <f ca="1">$E570*SUMIF(INDIRECT(P$3),'Struktur Vorjahr'!$D570,INDIRECT(P$8))*IFERROR(IF(VLOOKUP('Struktur Vorjahr'!$D570,INDIRECT(P$6),8,)="H",-1,1),0)</f>
        <v>0</v>
      </c>
      <c r="Q570" s="593">
        <f ca="1">$E570*SUMIF(INDIRECT(Q$3),'Struktur Vorjahr'!$D570,INDIRECT(Q$8))*IFERROR(IF(VLOOKUP('Struktur Vorjahr'!$D570,INDIRECT(Q$6),8,)="H",-1,1),0)</f>
        <v>0</v>
      </c>
      <c r="R570" s="593">
        <f ca="1">$E570*SUMIF(INDIRECT(R$3),'Struktur Vorjahr'!$D570,INDIRECT(R$8))*IFERROR(IF(VLOOKUP('Struktur Vorjahr'!$D570,INDIRECT(R$6),8,)="H",-1,1),0)</f>
        <v>0</v>
      </c>
      <c r="S570" s="593" t="e">
        <f ca="1">$E570*SUMIF(INDIRECT(S$3),'Struktur Vorjahr'!$D570,INDIRECT(S$8))*IFERROR(IF(VLOOKUP('Struktur Vorjahr'!$D570,INDIRECT(S$6),8,)="H",-1,1),0)</f>
        <v>#REF!</v>
      </c>
      <c r="T570" s="593" t="e">
        <f ca="1">$E570*SUMIF(INDIRECT(T$3),'Struktur Vorjahr'!$D570,INDIRECT(T$8))*IFERROR(IF(VLOOKUP('Struktur Vorjahr'!$D570,INDIRECT(T$6),8,)="H",-1,1),0)</f>
        <v>#REF!</v>
      </c>
      <c r="U570" s="593" t="e">
        <f ca="1">$E570*SUMIF(INDIRECT(U$3),'Struktur Vorjahr'!$D570,INDIRECT(U$8))*IFERROR(IF(VLOOKUP('Struktur Vorjahr'!$D570,INDIRECT(U$6),8,)="H",-1,1),0)</f>
        <v>#REF!</v>
      </c>
      <c r="V570" s="593" t="e">
        <f ca="1">$E570*SUMIF(INDIRECT(V$3),'Struktur Vorjahr'!$D570,INDIRECT(V$8))*IFERROR(IF(VLOOKUP('Struktur Vorjahr'!$D570,INDIRECT(V$6),8,)="H",-1,1),0)</f>
        <v>#REF!</v>
      </c>
      <c r="W570" s="593" t="e">
        <f ca="1">$E570*SUMIF(INDIRECT(W$3),'Struktur Vorjahr'!$D570,INDIRECT(W$8))*IFERROR(IF(VLOOKUP('Struktur Vorjahr'!$D570,INDIRECT(W$6),8,)="H",-1,1),0)</f>
        <v>#REF!</v>
      </c>
      <c r="X570" s="593" t="e">
        <f ca="1">$E570*SUMIF(INDIRECT(X$3),'Struktur Vorjahr'!$D570,INDIRECT(X$8))*IFERROR(IF(VLOOKUP('Struktur Vorjahr'!$D570,INDIRECT(X$6),8,)="H",-1,1),0)</f>
        <v>#REF!</v>
      </c>
      <c r="Y570" s="593" t="e">
        <f ca="1">$E570*SUMIF(INDIRECT(Y$3),'Struktur Vorjahr'!$D570,INDIRECT(Y$8))*IFERROR(IF(VLOOKUP('Struktur Vorjahr'!$D570,INDIRECT(Y$6),8,)="H",-1,1),0)</f>
        <v>#REF!</v>
      </c>
      <c r="Z570" s="593" t="e">
        <f ca="1">$E570*SUMIF(INDIRECT(Z$3),'Struktur Vorjahr'!$D570,INDIRECT(Z$8))*IFERROR(IF(VLOOKUP('Struktur Vorjahr'!$D570,INDIRECT(Z$6),8,)="H",-1,1),0)</f>
        <v>#REF!</v>
      </c>
      <c r="AA570" s="593" t="e">
        <f ca="1">$E570*SUMIF(INDIRECT(AA$3),'Struktur Vorjahr'!$D570,INDIRECT(AA$8))*IFERROR(IF(VLOOKUP('Struktur Vorjahr'!$D570,INDIRECT(AA$6),8,)="H",-1,1),0)</f>
        <v>#REF!</v>
      </c>
      <c r="AB570" s="593" t="e">
        <f ca="1">$E570*SUMIF(INDIRECT(AB$3),'Struktur Vorjahr'!$D570,INDIRECT(AB$8))*IFERROR(IF(VLOOKUP('Struktur Vorjahr'!$D570,INDIRECT(AB$6),8,)="H",-1,1),0)</f>
        <v>#REF!</v>
      </c>
      <c r="AC570" s="593" t="e">
        <f ca="1">$E570*SUMIF(INDIRECT(AC$3),'Struktur Vorjahr'!$D570,INDIRECT(AC$8))*IFERROR(IF(VLOOKUP('Struktur Vorjahr'!$D570,INDIRECT(AC$6),8,)="H",-1,1),0)</f>
        <v>#REF!</v>
      </c>
      <c r="AD570" s="593" t="e">
        <f ca="1">$E570*SUMIF(INDIRECT(AD$3),'Struktur Vorjahr'!$D570,INDIRECT(AD$8))*IFERROR(IF(VLOOKUP('Struktur Vorjahr'!$D570,INDIRECT(AD$6),8,)="H",-1,1),0)</f>
        <v>#REF!</v>
      </c>
      <c r="AE570" s="593">
        <f t="shared" ref="AE570:AE583" ca="1" si="292">G570</f>
        <v>0</v>
      </c>
      <c r="AF570" s="593">
        <f t="shared" ref="AF570:AP583" ca="1" si="293">H570+AE570</f>
        <v>0</v>
      </c>
      <c r="AG570" s="593">
        <f t="shared" ca="1" si="293"/>
        <v>0</v>
      </c>
      <c r="AH570" s="593">
        <f t="shared" ca="1" si="293"/>
        <v>0</v>
      </c>
      <c r="AI570" s="593">
        <f t="shared" ca="1" si="293"/>
        <v>0</v>
      </c>
      <c r="AJ570" s="593">
        <f t="shared" ca="1" si="293"/>
        <v>0</v>
      </c>
      <c r="AK570" s="593">
        <f t="shared" ca="1" si="293"/>
        <v>0</v>
      </c>
      <c r="AL570" s="593">
        <f t="shared" ca="1" si="293"/>
        <v>0</v>
      </c>
      <c r="AM570" s="593">
        <f t="shared" ca="1" si="293"/>
        <v>0</v>
      </c>
      <c r="AN570" s="593">
        <f t="shared" ca="1" si="293"/>
        <v>0</v>
      </c>
      <c r="AO570" s="593">
        <f t="shared" ca="1" si="293"/>
        <v>0</v>
      </c>
      <c r="AP570" s="593">
        <f t="shared" ca="1" si="293"/>
        <v>0</v>
      </c>
    </row>
    <row r="571" spans="1:42" s="594" customFormat="1" ht="11.25" outlineLevel="1" x14ac:dyDescent="0.2">
      <c r="A571" s="644"/>
      <c r="B571" s="591" t="str">
        <f>IF(D571&lt;&gt;"",
IF(ISERROR(MATCH(D571,'Ist Vorjahr Monat 01'!A:A,0))=FALSE,INDEX('Ist Vorjahr Monat 01'!B:B,MATCH(D571,'Ist Vorjahr Monat 01'!A:A,0)),
IF(ISERROR(MATCH(D571,'Ist Vorjahr Monat 02'!A:A,0))=FALSE,INDEX('Ist Vorjahr Monat 02'!B:B,MATCH(D571,'Ist Vorjahr Monat 02'!A:A,0)),
IF(ISERROR(MATCH(D571,'Ist Vorjahr Monat 03'!A:A,0))=FALSE,INDEX('Ist Vorjahr Monat 03'!B:B,MATCH(D571,'Ist Vorjahr Monat 03'!A:A,0)),
IF(ISERROR(MATCH(D571,'Ist Vorjahr Monat 04'!A:A,0))=FALSE,INDEX('Ist Vorjahr Monat 04'!B:B,MATCH(D571,'Ist Vorjahr Monat 04'!A:A,0)),
IF(ISERROR(MATCH(D571,'Ist Vorjahr Monat 05'!A:A,0))=FALSE,INDEX('Ist Vorjahr Monat 05'!B:B,MATCH(D571,'Ist Vorjahr Monat 05'!A:A,0)),
IF(ISERROR(MATCH(D571,'Ist Vorjahr Monat 06'!A:A,0))=FALSE,INDEX('Ist Vorjahr Monat 06'!B:B,MATCH(D571,'Ist Vorjahr Monat 06'!A:A,0)),
IF(ISERROR(MATCH(D571,'Ist Vorjahr Monat 07'!A:A,0))=FALSE,INDEX('Ist Vorjahr Monat 07'!B:B,MATCH(D571,'Ist Vorjahr Monat 07'!A:A,0)),
IF(ISERROR(MATCH(D571,'Ist Vorjahr Monat 08'!A:A,0))=FALSE,INDEX('Ist Vorjahr Monat 08'!B:B,MATCH(D571,'Ist Vorjahr Monat 08'!A:A,0)),
IF(ISERROR(MATCH(D571,'Ist Vorjahr Monat 09'!A:A,0))=FALSE,INDEX('Ist Vorjahr Monat 09'!B:B,MATCH(D571,'Ist Vorjahr Monat 09'!A:A,0)),
IF(ISERROR(MATCH(D571,'Ist Vorjahr Monat 10'!A:A,0))=FALSE,INDEX('Ist Vorjahr Monat 10'!B:B,MATCH(D571,'Ist Vorjahr Monat 10'!A:A,0)),
IF(ISERROR(MATCH(D571,'Ist Vorjahr Monat 11'!A:A,0))=FALSE,INDEX('Ist Vorjahr Monat 11'!B:B,MATCH(D571,'Ist Vorjahr Monat 11'!A:A,0)),
IF(ISERROR(MATCH(D571,'Ist Vorjahr Monat 12'!A:A,0))=FALSE,INDEX('Ist Vorjahr Monat 12'!B:B,MATCH(D571,'Ist Vorjahr Monat 12'!A:A,0)),
"{Konto unbekannt}"
)))))))))))),"")</f>
        <v>Verbindlichk. Lohn- und Kirchensteuer</v>
      </c>
      <c r="C571" s="1062"/>
      <c r="D571" s="1067">
        <v>1741</v>
      </c>
      <c r="E571" s="625">
        <f t="shared" si="237"/>
        <v>-1</v>
      </c>
      <c r="F571" s="626" t="s">
        <v>996</v>
      </c>
      <c r="G571" s="593">
        <f ca="1">$E571*SUMIF(INDIRECT(G$3),'Struktur Vorjahr'!$D571,INDIRECT(G$8))*IFERROR(IF(VLOOKUP('Struktur Vorjahr'!$D571,INDIRECT(G$6),8,)="H",-1,1),0)</f>
        <v>0</v>
      </c>
      <c r="H571" s="593">
        <f ca="1">$E571*SUMIF(INDIRECT(H$3),'Struktur Vorjahr'!$D571,INDIRECT(H$8))*IFERROR(IF(VLOOKUP('Struktur Vorjahr'!$D571,INDIRECT(H$6),8,)="H",-1,1),0)</f>
        <v>0</v>
      </c>
      <c r="I571" s="593">
        <f ca="1">$E571*SUMIF(INDIRECT(I$3),'Struktur Vorjahr'!$D571,INDIRECT(I$8))*IFERROR(IF(VLOOKUP('Struktur Vorjahr'!$D571,INDIRECT(I$6),8,)="H",-1,1),0)</f>
        <v>0</v>
      </c>
      <c r="J571" s="593">
        <f ca="1">$E571*SUMIF(INDIRECT(J$3),'Struktur Vorjahr'!$D571,INDIRECT(J$8))*IFERROR(IF(VLOOKUP('Struktur Vorjahr'!$D571,INDIRECT(J$6),8,)="H",-1,1),0)</f>
        <v>0</v>
      </c>
      <c r="K571" s="593">
        <f ca="1">$E571*SUMIF(INDIRECT(K$3),'Struktur Vorjahr'!$D571,INDIRECT(K$8))*IFERROR(IF(VLOOKUP('Struktur Vorjahr'!$D571,INDIRECT(K$6),8,)="H",-1,1),0)</f>
        <v>0</v>
      </c>
      <c r="L571" s="593">
        <f ca="1">$E571*SUMIF(INDIRECT(L$3),'Struktur Vorjahr'!$D571,INDIRECT(L$8))*IFERROR(IF(VLOOKUP('Struktur Vorjahr'!$D571,INDIRECT(L$6),8,)="H",-1,1),0)</f>
        <v>0</v>
      </c>
      <c r="M571" s="593">
        <f ca="1">$E571*SUMIF(INDIRECT(M$3),'Struktur Vorjahr'!$D571,INDIRECT(M$8))*IFERROR(IF(VLOOKUP('Struktur Vorjahr'!$D571,INDIRECT(M$6),8,)="H",-1,1),0)</f>
        <v>0</v>
      </c>
      <c r="N571" s="593">
        <f ca="1">$E571*SUMIF(INDIRECT(N$3),'Struktur Vorjahr'!$D571,INDIRECT(N$8))*IFERROR(IF(VLOOKUP('Struktur Vorjahr'!$D571,INDIRECT(N$6),8,)="H",-1,1),0)</f>
        <v>0</v>
      </c>
      <c r="O571" s="593">
        <f ca="1">$E571*SUMIF(INDIRECT(O$3),'Struktur Vorjahr'!$D571,INDIRECT(O$8))*IFERROR(IF(VLOOKUP('Struktur Vorjahr'!$D571,INDIRECT(O$6),8,)="H",-1,1),0)</f>
        <v>0</v>
      </c>
      <c r="P571" s="593">
        <f ca="1">$E571*SUMIF(INDIRECT(P$3),'Struktur Vorjahr'!$D571,INDIRECT(P$8))*IFERROR(IF(VLOOKUP('Struktur Vorjahr'!$D571,INDIRECT(P$6),8,)="H",-1,1),0)</f>
        <v>0</v>
      </c>
      <c r="Q571" s="593">
        <f ca="1">$E571*SUMIF(INDIRECT(Q$3),'Struktur Vorjahr'!$D571,INDIRECT(Q$8))*IFERROR(IF(VLOOKUP('Struktur Vorjahr'!$D571,INDIRECT(Q$6),8,)="H",-1,1),0)</f>
        <v>0</v>
      </c>
      <c r="R571" s="593">
        <f ca="1">$E571*SUMIF(INDIRECT(R$3),'Struktur Vorjahr'!$D571,INDIRECT(R$8))*IFERROR(IF(VLOOKUP('Struktur Vorjahr'!$D571,INDIRECT(R$6),8,)="H",-1,1),0)</f>
        <v>0</v>
      </c>
      <c r="S571" s="593" t="e">
        <f ca="1">$E571*SUMIF(INDIRECT(S$3),'Struktur Vorjahr'!$D571,INDIRECT(S$8))*IFERROR(IF(VLOOKUP('Struktur Vorjahr'!$D571,INDIRECT(S$6),8,)="H",-1,1),0)</f>
        <v>#REF!</v>
      </c>
      <c r="T571" s="593" t="e">
        <f ca="1">$E571*SUMIF(INDIRECT(T$3),'Struktur Vorjahr'!$D571,INDIRECT(T$8))*IFERROR(IF(VLOOKUP('Struktur Vorjahr'!$D571,INDIRECT(T$6),8,)="H",-1,1),0)</f>
        <v>#REF!</v>
      </c>
      <c r="U571" s="593" t="e">
        <f ca="1">$E571*SUMIF(INDIRECT(U$3),'Struktur Vorjahr'!$D571,INDIRECT(U$8))*IFERROR(IF(VLOOKUP('Struktur Vorjahr'!$D571,INDIRECT(U$6),8,)="H",-1,1),0)</f>
        <v>#REF!</v>
      </c>
      <c r="V571" s="593" t="e">
        <f ca="1">$E571*SUMIF(INDIRECT(V$3),'Struktur Vorjahr'!$D571,INDIRECT(V$8))*IFERROR(IF(VLOOKUP('Struktur Vorjahr'!$D571,INDIRECT(V$6),8,)="H",-1,1),0)</f>
        <v>#REF!</v>
      </c>
      <c r="W571" s="593" t="e">
        <f ca="1">$E571*SUMIF(INDIRECT(W$3),'Struktur Vorjahr'!$D571,INDIRECT(W$8))*IFERROR(IF(VLOOKUP('Struktur Vorjahr'!$D571,INDIRECT(W$6),8,)="H",-1,1),0)</f>
        <v>#REF!</v>
      </c>
      <c r="X571" s="593" t="e">
        <f ca="1">$E571*SUMIF(INDIRECT(X$3),'Struktur Vorjahr'!$D571,INDIRECT(X$8))*IFERROR(IF(VLOOKUP('Struktur Vorjahr'!$D571,INDIRECT(X$6),8,)="H",-1,1),0)</f>
        <v>#REF!</v>
      </c>
      <c r="Y571" s="593" t="e">
        <f ca="1">$E571*SUMIF(INDIRECT(Y$3),'Struktur Vorjahr'!$D571,INDIRECT(Y$8))*IFERROR(IF(VLOOKUP('Struktur Vorjahr'!$D571,INDIRECT(Y$6),8,)="H",-1,1),0)</f>
        <v>#REF!</v>
      </c>
      <c r="Z571" s="593" t="e">
        <f ca="1">$E571*SUMIF(INDIRECT(Z$3),'Struktur Vorjahr'!$D571,INDIRECT(Z$8))*IFERROR(IF(VLOOKUP('Struktur Vorjahr'!$D571,INDIRECT(Z$6),8,)="H",-1,1),0)</f>
        <v>#REF!</v>
      </c>
      <c r="AA571" s="593" t="e">
        <f ca="1">$E571*SUMIF(INDIRECT(AA$3),'Struktur Vorjahr'!$D571,INDIRECT(AA$8))*IFERROR(IF(VLOOKUP('Struktur Vorjahr'!$D571,INDIRECT(AA$6),8,)="H",-1,1),0)</f>
        <v>#REF!</v>
      </c>
      <c r="AB571" s="593" t="e">
        <f ca="1">$E571*SUMIF(INDIRECT(AB$3),'Struktur Vorjahr'!$D571,INDIRECT(AB$8))*IFERROR(IF(VLOOKUP('Struktur Vorjahr'!$D571,INDIRECT(AB$6),8,)="H",-1,1),0)</f>
        <v>#REF!</v>
      </c>
      <c r="AC571" s="593" t="e">
        <f ca="1">$E571*SUMIF(INDIRECT(AC$3),'Struktur Vorjahr'!$D571,INDIRECT(AC$8))*IFERROR(IF(VLOOKUP('Struktur Vorjahr'!$D571,INDIRECT(AC$6),8,)="H",-1,1),0)</f>
        <v>#REF!</v>
      </c>
      <c r="AD571" s="593" t="e">
        <f ca="1">$E571*SUMIF(INDIRECT(AD$3),'Struktur Vorjahr'!$D571,INDIRECT(AD$8))*IFERROR(IF(VLOOKUP('Struktur Vorjahr'!$D571,INDIRECT(AD$6),8,)="H",-1,1),0)</f>
        <v>#REF!</v>
      </c>
      <c r="AE571" s="593">
        <f t="shared" ca="1" si="292"/>
        <v>0</v>
      </c>
      <c r="AF571" s="593">
        <f t="shared" ca="1" si="293"/>
        <v>0</v>
      </c>
      <c r="AG571" s="593">
        <f t="shared" ca="1" si="293"/>
        <v>0</v>
      </c>
      <c r="AH571" s="593">
        <f t="shared" ca="1" si="293"/>
        <v>0</v>
      </c>
      <c r="AI571" s="593">
        <f t="shared" ca="1" si="293"/>
        <v>0</v>
      </c>
      <c r="AJ571" s="593">
        <f t="shared" ca="1" si="293"/>
        <v>0</v>
      </c>
      <c r="AK571" s="593">
        <f t="shared" ca="1" si="293"/>
        <v>0</v>
      </c>
      <c r="AL571" s="593">
        <f t="shared" ca="1" si="293"/>
        <v>0</v>
      </c>
      <c r="AM571" s="593">
        <f t="shared" ca="1" si="293"/>
        <v>0</v>
      </c>
      <c r="AN571" s="593">
        <f t="shared" ca="1" si="293"/>
        <v>0</v>
      </c>
      <c r="AO571" s="593">
        <f t="shared" ca="1" si="293"/>
        <v>0</v>
      </c>
      <c r="AP571" s="593">
        <f t="shared" ca="1" si="293"/>
        <v>0</v>
      </c>
    </row>
    <row r="572" spans="1:42" s="594" customFormat="1" ht="11.25" outlineLevel="1" x14ac:dyDescent="0.2">
      <c r="A572" s="644"/>
      <c r="B572" s="591" t="str">
        <f>IF(D572&lt;&gt;"",
IF(ISERROR(MATCH(D572,'Ist Vorjahr Monat 01'!A:A,0))=FALSE,INDEX('Ist Vorjahr Monat 01'!B:B,MATCH(D572,'Ist Vorjahr Monat 01'!A:A,0)),
IF(ISERROR(MATCH(D572,'Ist Vorjahr Monat 02'!A:A,0))=FALSE,INDEX('Ist Vorjahr Monat 02'!B:B,MATCH(D572,'Ist Vorjahr Monat 02'!A:A,0)),
IF(ISERROR(MATCH(D572,'Ist Vorjahr Monat 03'!A:A,0))=FALSE,INDEX('Ist Vorjahr Monat 03'!B:B,MATCH(D572,'Ist Vorjahr Monat 03'!A:A,0)),
IF(ISERROR(MATCH(D572,'Ist Vorjahr Monat 04'!A:A,0))=FALSE,INDEX('Ist Vorjahr Monat 04'!B:B,MATCH(D572,'Ist Vorjahr Monat 04'!A:A,0)),
IF(ISERROR(MATCH(D572,'Ist Vorjahr Monat 05'!A:A,0))=FALSE,INDEX('Ist Vorjahr Monat 05'!B:B,MATCH(D572,'Ist Vorjahr Monat 05'!A:A,0)),
IF(ISERROR(MATCH(D572,'Ist Vorjahr Monat 06'!A:A,0))=FALSE,INDEX('Ist Vorjahr Monat 06'!B:B,MATCH(D572,'Ist Vorjahr Monat 06'!A:A,0)),
IF(ISERROR(MATCH(D572,'Ist Vorjahr Monat 07'!A:A,0))=FALSE,INDEX('Ist Vorjahr Monat 07'!B:B,MATCH(D572,'Ist Vorjahr Monat 07'!A:A,0)),
IF(ISERROR(MATCH(D572,'Ist Vorjahr Monat 08'!A:A,0))=FALSE,INDEX('Ist Vorjahr Monat 08'!B:B,MATCH(D572,'Ist Vorjahr Monat 08'!A:A,0)),
IF(ISERROR(MATCH(D572,'Ist Vorjahr Monat 09'!A:A,0))=FALSE,INDEX('Ist Vorjahr Monat 09'!B:B,MATCH(D572,'Ist Vorjahr Monat 09'!A:A,0)),
IF(ISERROR(MATCH(D572,'Ist Vorjahr Monat 10'!A:A,0))=FALSE,INDEX('Ist Vorjahr Monat 10'!B:B,MATCH(D572,'Ist Vorjahr Monat 10'!A:A,0)),
IF(ISERROR(MATCH(D572,'Ist Vorjahr Monat 11'!A:A,0))=FALSE,INDEX('Ist Vorjahr Monat 11'!B:B,MATCH(D572,'Ist Vorjahr Monat 11'!A:A,0)),
IF(ISERROR(MATCH(D572,'Ist Vorjahr Monat 12'!A:A,0))=FALSE,INDEX('Ist Vorjahr Monat 12'!B:B,MATCH(D572,'Ist Vorjahr Monat 12'!A:A,0)),
"{Konto unbekannt}"
)))))))))))),"")</f>
        <v>Verbindlichkeiten soziale Sicherheit</v>
      </c>
      <c r="C572" s="1062"/>
      <c r="D572" s="1067">
        <v>1742</v>
      </c>
      <c r="E572" s="625">
        <f t="shared" si="237"/>
        <v>-1</v>
      </c>
      <c r="F572" s="626" t="s">
        <v>996</v>
      </c>
      <c r="G572" s="593">
        <f ca="1">$E572*SUMIF(INDIRECT(G$3),'Struktur Vorjahr'!$D572,INDIRECT(G$8))*IFERROR(IF(VLOOKUP('Struktur Vorjahr'!$D572,INDIRECT(G$6),8,)="H",-1,1),0)</f>
        <v>0</v>
      </c>
      <c r="H572" s="593">
        <f ca="1">$E572*SUMIF(INDIRECT(H$3),'Struktur Vorjahr'!$D572,INDIRECT(H$8))*IFERROR(IF(VLOOKUP('Struktur Vorjahr'!$D572,INDIRECT(H$6),8,)="H",-1,1),0)</f>
        <v>0</v>
      </c>
      <c r="I572" s="593">
        <f ca="1">$E572*SUMIF(INDIRECT(I$3),'Struktur Vorjahr'!$D572,INDIRECT(I$8))*IFERROR(IF(VLOOKUP('Struktur Vorjahr'!$D572,INDIRECT(I$6),8,)="H",-1,1),0)</f>
        <v>0</v>
      </c>
      <c r="J572" s="593">
        <f ca="1">$E572*SUMIF(INDIRECT(J$3),'Struktur Vorjahr'!$D572,INDIRECT(J$8))*IFERROR(IF(VLOOKUP('Struktur Vorjahr'!$D572,INDIRECT(J$6),8,)="H",-1,1),0)</f>
        <v>0</v>
      </c>
      <c r="K572" s="593">
        <f ca="1">$E572*SUMIF(INDIRECT(K$3),'Struktur Vorjahr'!$D572,INDIRECT(K$8))*IFERROR(IF(VLOOKUP('Struktur Vorjahr'!$D572,INDIRECT(K$6),8,)="H",-1,1),0)</f>
        <v>0</v>
      </c>
      <c r="L572" s="593">
        <f ca="1">$E572*SUMIF(INDIRECT(L$3),'Struktur Vorjahr'!$D572,INDIRECT(L$8))*IFERROR(IF(VLOOKUP('Struktur Vorjahr'!$D572,INDIRECT(L$6),8,)="H",-1,1),0)</f>
        <v>0</v>
      </c>
      <c r="M572" s="593">
        <f ca="1">$E572*SUMIF(INDIRECT(M$3),'Struktur Vorjahr'!$D572,INDIRECT(M$8))*IFERROR(IF(VLOOKUP('Struktur Vorjahr'!$D572,INDIRECT(M$6),8,)="H",-1,1),0)</f>
        <v>0</v>
      </c>
      <c r="N572" s="593">
        <f ca="1">$E572*SUMIF(INDIRECT(N$3),'Struktur Vorjahr'!$D572,INDIRECT(N$8))*IFERROR(IF(VLOOKUP('Struktur Vorjahr'!$D572,INDIRECT(N$6),8,)="H",-1,1),0)</f>
        <v>0</v>
      </c>
      <c r="O572" s="593">
        <f ca="1">$E572*SUMIF(INDIRECT(O$3),'Struktur Vorjahr'!$D572,INDIRECT(O$8))*IFERROR(IF(VLOOKUP('Struktur Vorjahr'!$D572,INDIRECT(O$6),8,)="H",-1,1),0)</f>
        <v>0</v>
      </c>
      <c r="P572" s="593">
        <f ca="1">$E572*SUMIF(INDIRECT(P$3),'Struktur Vorjahr'!$D572,INDIRECT(P$8))*IFERROR(IF(VLOOKUP('Struktur Vorjahr'!$D572,INDIRECT(P$6),8,)="H",-1,1),0)</f>
        <v>0</v>
      </c>
      <c r="Q572" s="593">
        <f ca="1">$E572*SUMIF(INDIRECT(Q$3),'Struktur Vorjahr'!$D572,INDIRECT(Q$8))*IFERROR(IF(VLOOKUP('Struktur Vorjahr'!$D572,INDIRECT(Q$6),8,)="H",-1,1),0)</f>
        <v>0</v>
      </c>
      <c r="R572" s="593">
        <f ca="1">$E572*SUMIF(INDIRECT(R$3),'Struktur Vorjahr'!$D572,INDIRECT(R$8))*IFERROR(IF(VLOOKUP('Struktur Vorjahr'!$D572,INDIRECT(R$6),8,)="H",-1,1),0)</f>
        <v>0</v>
      </c>
      <c r="S572" s="593" t="e">
        <f ca="1">$E572*SUMIF(INDIRECT(S$3),'Struktur Vorjahr'!$D572,INDIRECT(S$8))*IFERROR(IF(VLOOKUP('Struktur Vorjahr'!$D572,INDIRECT(S$6),8,)="H",-1,1),0)</f>
        <v>#REF!</v>
      </c>
      <c r="T572" s="593" t="e">
        <f ca="1">$E572*SUMIF(INDIRECT(T$3),'Struktur Vorjahr'!$D572,INDIRECT(T$8))*IFERROR(IF(VLOOKUP('Struktur Vorjahr'!$D572,INDIRECT(T$6),8,)="H",-1,1),0)</f>
        <v>#REF!</v>
      </c>
      <c r="U572" s="593" t="e">
        <f ca="1">$E572*SUMIF(INDIRECT(U$3),'Struktur Vorjahr'!$D572,INDIRECT(U$8))*IFERROR(IF(VLOOKUP('Struktur Vorjahr'!$D572,INDIRECT(U$6),8,)="H",-1,1),0)</f>
        <v>#REF!</v>
      </c>
      <c r="V572" s="593" t="e">
        <f ca="1">$E572*SUMIF(INDIRECT(V$3),'Struktur Vorjahr'!$D572,INDIRECT(V$8))*IFERROR(IF(VLOOKUP('Struktur Vorjahr'!$D572,INDIRECT(V$6),8,)="H",-1,1),0)</f>
        <v>#REF!</v>
      </c>
      <c r="W572" s="593" t="e">
        <f ca="1">$E572*SUMIF(INDIRECT(W$3),'Struktur Vorjahr'!$D572,INDIRECT(W$8))*IFERROR(IF(VLOOKUP('Struktur Vorjahr'!$D572,INDIRECT(W$6),8,)="H",-1,1),0)</f>
        <v>#REF!</v>
      </c>
      <c r="X572" s="593" t="e">
        <f ca="1">$E572*SUMIF(INDIRECT(X$3),'Struktur Vorjahr'!$D572,INDIRECT(X$8))*IFERROR(IF(VLOOKUP('Struktur Vorjahr'!$D572,INDIRECT(X$6),8,)="H",-1,1),0)</f>
        <v>#REF!</v>
      </c>
      <c r="Y572" s="593" t="e">
        <f ca="1">$E572*SUMIF(INDIRECT(Y$3),'Struktur Vorjahr'!$D572,INDIRECT(Y$8))*IFERROR(IF(VLOOKUP('Struktur Vorjahr'!$D572,INDIRECT(Y$6),8,)="H",-1,1),0)</f>
        <v>#REF!</v>
      </c>
      <c r="Z572" s="593" t="e">
        <f ca="1">$E572*SUMIF(INDIRECT(Z$3),'Struktur Vorjahr'!$D572,INDIRECT(Z$8))*IFERROR(IF(VLOOKUP('Struktur Vorjahr'!$D572,INDIRECT(Z$6),8,)="H",-1,1),0)</f>
        <v>#REF!</v>
      </c>
      <c r="AA572" s="593" t="e">
        <f ca="1">$E572*SUMIF(INDIRECT(AA$3),'Struktur Vorjahr'!$D572,INDIRECT(AA$8))*IFERROR(IF(VLOOKUP('Struktur Vorjahr'!$D572,INDIRECT(AA$6),8,)="H",-1,1),0)</f>
        <v>#REF!</v>
      </c>
      <c r="AB572" s="593" t="e">
        <f ca="1">$E572*SUMIF(INDIRECT(AB$3),'Struktur Vorjahr'!$D572,INDIRECT(AB$8))*IFERROR(IF(VLOOKUP('Struktur Vorjahr'!$D572,INDIRECT(AB$6),8,)="H",-1,1),0)</f>
        <v>#REF!</v>
      </c>
      <c r="AC572" s="593" t="e">
        <f ca="1">$E572*SUMIF(INDIRECT(AC$3),'Struktur Vorjahr'!$D572,INDIRECT(AC$8))*IFERROR(IF(VLOOKUP('Struktur Vorjahr'!$D572,INDIRECT(AC$6),8,)="H",-1,1),0)</f>
        <v>#REF!</v>
      </c>
      <c r="AD572" s="593" t="e">
        <f ca="1">$E572*SUMIF(INDIRECT(AD$3),'Struktur Vorjahr'!$D572,INDIRECT(AD$8))*IFERROR(IF(VLOOKUP('Struktur Vorjahr'!$D572,INDIRECT(AD$6),8,)="H",-1,1),0)</f>
        <v>#REF!</v>
      </c>
      <c r="AE572" s="593">
        <f t="shared" ca="1" si="292"/>
        <v>0</v>
      </c>
      <c r="AF572" s="593">
        <f t="shared" ca="1" si="293"/>
        <v>0</v>
      </c>
      <c r="AG572" s="593">
        <f t="shared" ca="1" si="293"/>
        <v>0</v>
      </c>
      <c r="AH572" s="593">
        <f t="shared" ca="1" si="293"/>
        <v>0</v>
      </c>
      <c r="AI572" s="593">
        <f t="shared" ca="1" si="293"/>
        <v>0</v>
      </c>
      <c r="AJ572" s="593">
        <f t="shared" ca="1" si="293"/>
        <v>0</v>
      </c>
      <c r="AK572" s="593">
        <f t="shared" ca="1" si="293"/>
        <v>0</v>
      </c>
      <c r="AL572" s="593">
        <f t="shared" ca="1" si="293"/>
        <v>0</v>
      </c>
      <c r="AM572" s="593">
        <f t="shared" ca="1" si="293"/>
        <v>0</v>
      </c>
      <c r="AN572" s="593">
        <f t="shared" ca="1" si="293"/>
        <v>0</v>
      </c>
      <c r="AO572" s="593">
        <f t="shared" ca="1" si="293"/>
        <v>0</v>
      </c>
      <c r="AP572" s="593">
        <f t="shared" ca="1" si="293"/>
        <v>0</v>
      </c>
    </row>
    <row r="573" spans="1:42" s="594" customFormat="1" ht="11.25" outlineLevel="1" x14ac:dyDescent="0.2">
      <c r="A573" s="644"/>
      <c r="B573" s="591" t="str">
        <f>IF(D573&lt;&gt;"",
IF(ISERROR(MATCH(D573,'Ist Vorjahr Monat 01'!A:A,0))=FALSE,INDEX('Ist Vorjahr Monat 01'!B:B,MATCH(D573,'Ist Vorjahr Monat 01'!A:A,0)),
IF(ISERROR(MATCH(D573,'Ist Vorjahr Monat 02'!A:A,0))=FALSE,INDEX('Ist Vorjahr Monat 02'!B:B,MATCH(D573,'Ist Vorjahr Monat 02'!A:A,0)),
IF(ISERROR(MATCH(D573,'Ist Vorjahr Monat 03'!A:A,0))=FALSE,INDEX('Ist Vorjahr Monat 03'!B:B,MATCH(D573,'Ist Vorjahr Monat 03'!A:A,0)),
IF(ISERROR(MATCH(D573,'Ist Vorjahr Monat 04'!A:A,0))=FALSE,INDEX('Ist Vorjahr Monat 04'!B:B,MATCH(D573,'Ist Vorjahr Monat 04'!A:A,0)),
IF(ISERROR(MATCH(D573,'Ist Vorjahr Monat 05'!A:A,0))=FALSE,INDEX('Ist Vorjahr Monat 05'!B:B,MATCH(D573,'Ist Vorjahr Monat 05'!A:A,0)),
IF(ISERROR(MATCH(D573,'Ist Vorjahr Monat 06'!A:A,0))=FALSE,INDEX('Ist Vorjahr Monat 06'!B:B,MATCH(D573,'Ist Vorjahr Monat 06'!A:A,0)),
IF(ISERROR(MATCH(D573,'Ist Vorjahr Monat 07'!A:A,0))=FALSE,INDEX('Ist Vorjahr Monat 07'!B:B,MATCH(D573,'Ist Vorjahr Monat 07'!A:A,0)),
IF(ISERROR(MATCH(D573,'Ist Vorjahr Monat 08'!A:A,0))=FALSE,INDEX('Ist Vorjahr Monat 08'!B:B,MATCH(D573,'Ist Vorjahr Monat 08'!A:A,0)),
IF(ISERROR(MATCH(D573,'Ist Vorjahr Monat 09'!A:A,0))=FALSE,INDEX('Ist Vorjahr Monat 09'!B:B,MATCH(D573,'Ist Vorjahr Monat 09'!A:A,0)),
IF(ISERROR(MATCH(D573,'Ist Vorjahr Monat 10'!A:A,0))=FALSE,INDEX('Ist Vorjahr Monat 10'!B:B,MATCH(D573,'Ist Vorjahr Monat 10'!A:A,0)),
IF(ISERROR(MATCH(D573,'Ist Vorjahr Monat 11'!A:A,0))=FALSE,INDEX('Ist Vorjahr Monat 11'!B:B,MATCH(D573,'Ist Vorjahr Monat 11'!A:A,0)),
IF(ISERROR(MATCH(D573,'Ist Vorjahr Monat 12'!A:A,0))=FALSE,INDEX('Ist Vorjahr Monat 12'!B:B,MATCH(D573,'Ist Vorjahr Monat 12'!A:A,0)),
"{Konto unbekannt}"
)))))))))))),"")</f>
        <v>{Konto unbekannt}</v>
      </c>
      <c r="C573" s="1062"/>
      <c r="D573" s="1067">
        <v>1756</v>
      </c>
      <c r="E573" s="625">
        <f t="shared" si="237"/>
        <v>-1</v>
      </c>
      <c r="F573" s="626" t="s">
        <v>996</v>
      </c>
      <c r="G573" s="593">
        <f ca="1">$E573*SUMIF(INDIRECT(G$3),'Struktur Vorjahr'!$D573,INDIRECT(G$8))*IFERROR(IF(VLOOKUP('Struktur Vorjahr'!$D573,INDIRECT(G$6),8,)="H",-1,1),0)</f>
        <v>0</v>
      </c>
      <c r="H573" s="593">
        <f ca="1">$E573*SUMIF(INDIRECT(H$3),'Struktur Vorjahr'!$D573,INDIRECT(H$8))*IFERROR(IF(VLOOKUP('Struktur Vorjahr'!$D573,INDIRECT(H$6),8,)="H",-1,1),0)</f>
        <v>0</v>
      </c>
      <c r="I573" s="593">
        <f ca="1">$E573*SUMIF(INDIRECT(I$3),'Struktur Vorjahr'!$D573,INDIRECT(I$8))*IFERROR(IF(VLOOKUP('Struktur Vorjahr'!$D573,INDIRECT(I$6),8,)="H",-1,1),0)</f>
        <v>0</v>
      </c>
      <c r="J573" s="593">
        <f ca="1">$E573*SUMIF(INDIRECT(J$3),'Struktur Vorjahr'!$D573,INDIRECT(J$8))*IFERROR(IF(VLOOKUP('Struktur Vorjahr'!$D573,INDIRECT(J$6),8,)="H",-1,1),0)</f>
        <v>0</v>
      </c>
      <c r="K573" s="593">
        <f ca="1">$E573*SUMIF(INDIRECT(K$3),'Struktur Vorjahr'!$D573,INDIRECT(K$8))*IFERROR(IF(VLOOKUP('Struktur Vorjahr'!$D573,INDIRECT(K$6),8,)="H",-1,1),0)</f>
        <v>0</v>
      </c>
      <c r="L573" s="593">
        <f ca="1">$E573*SUMIF(INDIRECT(L$3),'Struktur Vorjahr'!$D573,INDIRECT(L$8))*IFERROR(IF(VLOOKUP('Struktur Vorjahr'!$D573,INDIRECT(L$6),8,)="H",-1,1),0)</f>
        <v>0</v>
      </c>
      <c r="M573" s="593">
        <f ca="1">$E573*SUMIF(INDIRECT(M$3),'Struktur Vorjahr'!$D573,INDIRECT(M$8))*IFERROR(IF(VLOOKUP('Struktur Vorjahr'!$D573,INDIRECT(M$6),8,)="H",-1,1),0)</f>
        <v>0</v>
      </c>
      <c r="N573" s="593">
        <f ca="1">$E573*SUMIF(INDIRECT(N$3),'Struktur Vorjahr'!$D573,INDIRECT(N$8))*IFERROR(IF(VLOOKUP('Struktur Vorjahr'!$D573,INDIRECT(N$6),8,)="H",-1,1),0)</f>
        <v>0</v>
      </c>
      <c r="O573" s="593">
        <f ca="1">$E573*SUMIF(INDIRECT(O$3),'Struktur Vorjahr'!$D573,INDIRECT(O$8))*IFERROR(IF(VLOOKUP('Struktur Vorjahr'!$D573,INDIRECT(O$6),8,)="H",-1,1),0)</f>
        <v>0</v>
      </c>
      <c r="P573" s="593">
        <f ca="1">$E573*SUMIF(INDIRECT(P$3),'Struktur Vorjahr'!$D573,INDIRECT(P$8))*IFERROR(IF(VLOOKUP('Struktur Vorjahr'!$D573,INDIRECT(P$6),8,)="H",-1,1),0)</f>
        <v>0</v>
      </c>
      <c r="Q573" s="593">
        <f ca="1">$E573*SUMIF(INDIRECT(Q$3),'Struktur Vorjahr'!$D573,INDIRECT(Q$8))*IFERROR(IF(VLOOKUP('Struktur Vorjahr'!$D573,INDIRECT(Q$6),8,)="H",-1,1),0)</f>
        <v>0</v>
      </c>
      <c r="R573" s="593">
        <f ca="1">$E573*SUMIF(INDIRECT(R$3),'Struktur Vorjahr'!$D573,INDIRECT(R$8))*IFERROR(IF(VLOOKUP('Struktur Vorjahr'!$D573,INDIRECT(R$6),8,)="H",-1,1),0)</f>
        <v>0</v>
      </c>
      <c r="S573" s="593" t="e">
        <f ca="1">$E573*SUMIF(INDIRECT(S$3),'Struktur Vorjahr'!$D573,INDIRECT(S$8))*IFERROR(IF(VLOOKUP('Struktur Vorjahr'!$D573,INDIRECT(S$6),8,)="H",-1,1),0)</f>
        <v>#REF!</v>
      </c>
      <c r="T573" s="593" t="e">
        <f ca="1">$E573*SUMIF(INDIRECT(T$3),'Struktur Vorjahr'!$D573,INDIRECT(T$8))*IFERROR(IF(VLOOKUP('Struktur Vorjahr'!$D573,INDIRECT(T$6),8,)="H",-1,1),0)</f>
        <v>#REF!</v>
      </c>
      <c r="U573" s="593" t="e">
        <f ca="1">$E573*SUMIF(INDIRECT(U$3),'Struktur Vorjahr'!$D573,INDIRECT(U$8))*IFERROR(IF(VLOOKUP('Struktur Vorjahr'!$D573,INDIRECT(U$6),8,)="H",-1,1),0)</f>
        <v>#REF!</v>
      </c>
      <c r="V573" s="593" t="e">
        <f ca="1">$E573*SUMIF(INDIRECT(V$3),'Struktur Vorjahr'!$D573,INDIRECT(V$8))*IFERROR(IF(VLOOKUP('Struktur Vorjahr'!$D573,INDIRECT(V$6),8,)="H",-1,1),0)</f>
        <v>#REF!</v>
      </c>
      <c r="W573" s="593" t="e">
        <f ca="1">$E573*SUMIF(INDIRECT(W$3),'Struktur Vorjahr'!$D573,INDIRECT(W$8))*IFERROR(IF(VLOOKUP('Struktur Vorjahr'!$D573,INDIRECT(W$6),8,)="H",-1,1),0)</f>
        <v>#REF!</v>
      </c>
      <c r="X573" s="593" t="e">
        <f ca="1">$E573*SUMIF(INDIRECT(X$3),'Struktur Vorjahr'!$D573,INDIRECT(X$8))*IFERROR(IF(VLOOKUP('Struktur Vorjahr'!$D573,INDIRECT(X$6),8,)="H",-1,1),0)</f>
        <v>#REF!</v>
      </c>
      <c r="Y573" s="593" t="e">
        <f ca="1">$E573*SUMIF(INDIRECT(Y$3),'Struktur Vorjahr'!$D573,INDIRECT(Y$8))*IFERROR(IF(VLOOKUP('Struktur Vorjahr'!$D573,INDIRECT(Y$6),8,)="H",-1,1),0)</f>
        <v>#REF!</v>
      </c>
      <c r="Z573" s="593" t="e">
        <f ca="1">$E573*SUMIF(INDIRECT(Z$3),'Struktur Vorjahr'!$D573,INDIRECT(Z$8))*IFERROR(IF(VLOOKUP('Struktur Vorjahr'!$D573,INDIRECT(Z$6),8,)="H",-1,1),0)</f>
        <v>#REF!</v>
      </c>
      <c r="AA573" s="593" t="e">
        <f ca="1">$E573*SUMIF(INDIRECT(AA$3),'Struktur Vorjahr'!$D573,INDIRECT(AA$8))*IFERROR(IF(VLOOKUP('Struktur Vorjahr'!$D573,INDIRECT(AA$6),8,)="H",-1,1),0)</f>
        <v>#REF!</v>
      </c>
      <c r="AB573" s="593" t="e">
        <f ca="1">$E573*SUMIF(INDIRECT(AB$3),'Struktur Vorjahr'!$D573,INDIRECT(AB$8))*IFERROR(IF(VLOOKUP('Struktur Vorjahr'!$D573,INDIRECT(AB$6),8,)="H",-1,1),0)</f>
        <v>#REF!</v>
      </c>
      <c r="AC573" s="593" t="e">
        <f ca="1">$E573*SUMIF(INDIRECT(AC$3),'Struktur Vorjahr'!$D573,INDIRECT(AC$8))*IFERROR(IF(VLOOKUP('Struktur Vorjahr'!$D573,INDIRECT(AC$6),8,)="H",-1,1),0)</f>
        <v>#REF!</v>
      </c>
      <c r="AD573" s="593" t="e">
        <f ca="1">$E573*SUMIF(INDIRECT(AD$3),'Struktur Vorjahr'!$D573,INDIRECT(AD$8))*IFERROR(IF(VLOOKUP('Struktur Vorjahr'!$D573,INDIRECT(AD$6),8,)="H",-1,1),0)</f>
        <v>#REF!</v>
      </c>
      <c r="AE573" s="593">
        <f t="shared" ca="1" si="292"/>
        <v>0</v>
      </c>
      <c r="AF573" s="593">
        <f t="shared" ca="1" si="293"/>
        <v>0</v>
      </c>
      <c r="AG573" s="593">
        <f t="shared" ca="1" si="293"/>
        <v>0</v>
      </c>
      <c r="AH573" s="593">
        <f t="shared" ca="1" si="293"/>
        <v>0</v>
      </c>
      <c r="AI573" s="593">
        <f t="shared" ca="1" si="293"/>
        <v>0</v>
      </c>
      <c r="AJ573" s="593">
        <f t="shared" ca="1" si="293"/>
        <v>0</v>
      </c>
      <c r="AK573" s="593">
        <f t="shared" ca="1" si="293"/>
        <v>0</v>
      </c>
      <c r="AL573" s="593">
        <f t="shared" ca="1" si="293"/>
        <v>0</v>
      </c>
      <c r="AM573" s="593">
        <f t="shared" ca="1" si="293"/>
        <v>0</v>
      </c>
      <c r="AN573" s="593">
        <f t="shared" ca="1" si="293"/>
        <v>0</v>
      </c>
      <c r="AO573" s="593">
        <f t="shared" ca="1" si="293"/>
        <v>0</v>
      </c>
      <c r="AP573" s="593">
        <f t="shared" ca="1" si="293"/>
        <v>0</v>
      </c>
    </row>
    <row r="574" spans="1:42" s="594" customFormat="1" ht="11.25" outlineLevel="1" x14ac:dyDescent="0.2">
      <c r="A574" s="644"/>
      <c r="B574" s="591" t="str">
        <f>IF(D574&lt;&gt;"",
IF(ISERROR(MATCH(D574,'Ist Vorjahr Monat 01'!A:A,0))=FALSE,INDEX('Ist Vorjahr Monat 01'!B:B,MATCH(D574,'Ist Vorjahr Monat 01'!A:A,0)),
IF(ISERROR(MATCH(D574,'Ist Vorjahr Monat 02'!A:A,0))=FALSE,INDEX('Ist Vorjahr Monat 02'!B:B,MATCH(D574,'Ist Vorjahr Monat 02'!A:A,0)),
IF(ISERROR(MATCH(D574,'Ist Vorjahr Monat 03'!A:A,0))=FALSE,INDEX('Ist Vorjahr Monat 03'!B:B,MATCH(D574,'Ist Vorjahr Monat 03'!A:A,0)),
IF(ISERROR(MATCH(D574,'Ist Vorjahr Monat 04'!A:A,0))=FALSE,INDEX('Ist Vorjahr Monat 04'!B:B,MATCH(D574,'Ist Vorjahr Monat 04'!A:A,0)),
IF(ISERROR(MATCH(D574,'Ist Vorjahr Monat 05'!A:A,0))=FALSE,INDEX('Ist Vorjahr Monat 05'!B:B,MATCH(D574,'Ist Vorjahr Monat 05'!A:A,0)),
IF(ISERROR(MATCH(D574,'Ist Vorjahr Monat 06'!A:A,0))=FALSE,INDEX('Ist Vorjahr Monat 06'!B:B,MATCH(D574,'Ist Vorjahr Monat 06'!A:A,0)),
IF(ISERROR(MATCH(D574,'Ist Vorjahr Monat 07'!A:A,0))=FALSE,INDEX('Ist Vorjahr Monat 07'!B:B,MATCH(D574,'Ist Vorjahr Monat 07'!A:A,0)),
IF(ISERROR(MATCH(D574,'Ist Vorjahr Monat 08'!A:A,0))=FALSE,INDEX('Ist Vorjahr Monat 08'!B:B,MATCH(D574,'Ist Vorjahr Monat 08'!A:A,0)),
IF(ISERROR(MATCH(D574,'Ist Vorjahr Monat 09'!A:A,0))=FALSE,INDEX('Ist Vorjahr Monat 09'!B:B,MATCH(D574,'Ist Vorjahr Monat 09'!A:A,0)),
IF(ISERROR(MATCH(D574,'Ist Vorjahr Monat 10'!A:A,0))=FALSE,INDEX('Ist Vorjahr Monat 10'!B:B,MATCH(D574,'Ist Vorjahr Monat 10'!A:A,0)),
IF(ISERROR(MATCH(D574,'Ist Vorjahr Monat 11'!A:A,0))=FALSE,INDEX('Ist Vorjahr Monat 11'!B:B,MATCH(D574,'Ist Vorjahr Monat 11'!A:A,0)),
IF(ISERROR(MATCH(D574,'Ist Vorjahr Monat 12'!A:A,0))=FALSE,INDEX('Ist Vorjahr Monat 12'!B:B,MATCH(D574,'Ist Vorjahr Monat 12'!A:A,0)),
"{Konto unbekannt}"
)))))))))))),"")</f>
        <v>Verbindlichk. Einbehaltung Arbeitnehmer</v>
      </c>
      <c r="C574" s="1062"/>
      <c r="D574" s="1067">
        <v>1748</v>
      </c>
      <c r="E574" s="625">
        <f t="shared" si="237"/>
        <v>-1</v>
      </c>
      <c r="F574" s="626" t="s">
        <v>996</v>
      </c>
      <c r="G574" s="593">
        <f ca="1">$E574*SUMIF(INDIRECT(G$3),'Struktur Vorjahr'!$D574,INDIRECT(G$8))*IFERROR(IF(VLOOKUP('Struktur Vorjahr'!$D574,INDIRECT(G$6),8,)="H",-1,1),0)</f>
        <v>0</v>
      </c>
      <c r="H574" s="593">
        <f ca="1">$E574*SUMIF(INDIRECT(H$3),'Struktur Vorjahr'!$D574,INDIRECT(H$8))*IFERROR(IF(VLOOKUP('Struktur Vorjahr'!$D574,INDIRECT(H$6),8,)="H",-1,1),0)</f>
        <v>0</v>
      </c>
      <c r="I574" s="593">
        <f ca="1">$E574*SUMIF(INDIRECT(I$3),'Struktur Vorjahr'!$D574,INDIRECT(I$8))*IFERROR(IF(VLOOKUP('Struktur Vorjahr'!$D574,INDIRECT(I$6),8,)="H",-1,1),0)</f>
        <v>0</v>
      </c>
      <c r="J574" s="593">
        <f ca="1">$E574*SUMIF(INDIRECT(J$3),'Struktur Vorjahr'!$D574,INDIRECT(J$8))*IFERROR(IF(VLOOKUP('Struktur Vorjahr'!$D574,INDIRECT(J$6),8,)="H",-1,1),0)</f>
        <v>0</v>
      </c>
      <c r="K574" s="593">
        <f ca="1">$E574*SUMIF(INDIRECT(K$3),'Struktur Vorjahr'!$D574,INDIRECT(K$8))*IFERROR(IF(VLOOKUP('Struktur Vorjahr'!$D574,INDIRECT(K$6),8,)="H",-1,1),0)</f>
        <v>0</v>
      </c>
      <c r="L574" s="593">
        <f ca="1">$E574*SUMIF(INDIRECT(L$3),'Struktur Vorjahr'!$D574,INDIRECT(L$8))*IFERROR(IF(VLOOKUP('Struktur Vorjahr'!$D574,INDIRECT(L$6),8,)="H",-1,1),0)</f>
        <v>0</v>
      </c>
      <c r="M574" s="593">
        <f ca="1">$E574*SUMIF(INDIRECT(M$3),'Struktur Vorjahr'!$D574,INDIRECT(M$8))*IFERROR(IF(VLOOKUP('Struktur Vorjahr'!$D574,INDIRECT(M$6),8,)="H",-1,1),0)</f>
        <v>0</v>
      </c>
      <c r="N574" s="593">
        <f ca="1">$E574*SUMIF(INDIRECT(N$3),'Struktur Vorjahr'!$D574,INDIRECT(N$8))*IFERROR(IF(VLOOKUP('Struktur Vorjahr'!$D574,INDIRECT(N$6),8,)="H",-1,1),0)</f>
        <v>0</v>
      </c>
      <c r="O574" s="593">
        <f ca="1">$E574*SUMIF(INDIRECT(O$3),'Struktur Vorjahr'!$D574,INDIRECT(O$8))*IFERROR(IF(VLOOKUP('Struktur Vorjahr'!$D574,INDIRECT(O$6),8,)="H",-1,1),0)</f>
        <v>0</v>
      </c>
      <c r="P574" s="593">
        <f ca="1">$E574*SUMIF(INDIRECT(P$3),'Struktur Vorjahr'!$D574,INDIRECT(P$8))*IFERROR(IF(VLOOKUP('Struktur Vorjahr'!$D574,INDIRECT(P$6),8,)="H",-1,1),0)</f>
        <v>0</v>
      </c>
      <c r="Q574" s="593">
        <f ca="1">$E574*SUMIF(INDIRECT(Q$3),'Struktur Vorjahr'!$D574,INDIRECT(Q$8))*IFERROR(IF(VLOOKUP('Struktur Vorjahr'!$D574,INDIRECT(Q$6),8,)="H",-1,1),0)</f>
        <v>0</v>
      </c>
      <c r="R574" s="593">
        <f ca="1">$E574*SUMIF(INDIRECT(R$3),'Struktur Vorjahr'!$D574,INDIRECT(R$8))*IFERROR(IF(VLOOKUP('Struktur Vorjahr'!$D574,INDIRECT(R$6),8,)="H",-1,1),0)</f>
        <v>0</v>
      </c>
      <c r="S574" s="593" t="e">
        <f ca="1">$E574*SUMIF(INDIRECT(S$3),'Struktur Vorjahr'!$D574,INDIRECT(S$8))*IFERROR(IF(VLOOKUP('Struktur Vorjahr'!$D574,INDIRECT(S$6),8,)="H",-1,1),0)</f>
        <v>#REF!</v>
      </c>
      <c r="T574" s="593" t="e">
        <f ca="1">$E574*SUMIF(INDIRECT(T$3),'Struktur Vorjahr'!$D574,INDIRECT(T$8))*IFERROR(IF(VLOOKUP('Struktur Vorjahr'!$D574,INDIRECT(T$6),8,)="H",-1,1),0)</f>
        <v>#REF!</v>
      </c>
      <c r="U574" s="593" t="e">
        <f ca="1">$E574*SUMIF(INDIRECT(U$3),'Struktur Vorjahr'!$D574,INDIRECT(U$8))*IFERROR(IF(VLOOKUP('Struktur Vorjahr'!$D574,INDIRECT(U$6),8,)="H",-1,1),0)</f>
        <v>#REF!</v>
      </c>
      <c r="V574" s="593" t="e">
        <f ca="1">$E574*SUMIF(INDIRECT(V$3),'Struktur Vorjahr'!$D574,INDIRECT(V$8))*IFERROR(IF(VLOOKUP('Struktur Vorjahr'!$D574,INDIRECT(V$6),8,)="H",-1,1),0)</f>
        <v>#REF!</v>
      </c>
      <c r="W574" s="593" t="e">
        <f ca="1">$E574*SUMIF(INDIRECT(W$3),'Struktur Vorjahr'!$D574,INDIRECT(W$8))*IFERROR(IF(VLOOKUP('Struktur Vorjahr'!$D574,INDIRECT(W$6),8,)="H",-1,1),0)</f>
        <v>#REF!</v>
      </c>
      <c r="X574" s="593" t="e">
        <f ca="1">$E574*SUMIF(INDIRECT(X$3),'Struktur Vorjahr'!$D574,INDIRECT(X$8))*IFERROR(IF(VLOOKUP('Struktur Vorjahr'!$D574,INDIRECT(X$6),8,)="H",-1,1),0)</f>
        <v>#REF!</v>
      </c>
      <c r="Y574" s="593" t="e">
        <f ca="1">$E574*SUMIF(INDIRECT(Y$3),'Struktur Vorjahr'!$D574,INDIRECT(Y$8))*IFERROR(IF(VLOOKUP('Struktur Vorjahr'!$D574,INDIRECT(Y$6),8,)="H",-1,1),0)</f>
        <v>#REF!</v>
      </c>
      <c r="Z574" s="593" t="e">
        <f ca="1">$E574*SUMIF(INDIRECT(Z$3),'Struktur Vorjahr'!$D574,INDIRECT(Z$8))*IFERROR(IF(VLOOKUP('Struktur Vorjahr'!$D574,INDIRECT(Z$6),8,)="H",-1,1),0)</f>
        <v>#REF!</v>
      </c>
      <c r="AA574" s="593" t="e">
        <f ca="1">$E574*SUMIF(INDIRECT(AA$3),'Struktur Vorjahr'!$D574,INDIRECT(AA$8))*IFERROR(IF(VLOOKUP('Struktur Vorjahr'!$D574,INDIRECT(AA$6),8,)="H",-1,1),0)</f>
        <v>#REF!</v>
      </c>
      <c r="AB574" s="593" t="e">
        <f ca="1">$E574*SUMIF(INDIRECT(AB$3),'Struktur Vorjahr'!$D574,INDIRECT(AB$8))*IFERROR(IF(VLOOKUP('Struktur Vorjahr'!$D574,INDIRECT(AB$6),8,)="H",-1,1),0)</f>
        <v>#REF!</v>
      </c>
      <c r="AC574" s="593" t="e">
        <f ca="1">$E574*SUMIF(INDIRECT(AC$3),'Struktur Vorjahr'!$D574,INDIRECT(AC$8))*IFERROR(IF(VLOOKUP('Struktur Vorjahr'!$D574,INDIRECT(AC$6),8,)="H",-1,1),0)</f>
        <v>#REF!</v>
      </c>
      <c r="AD574" s="593" t="e">
        <f ca="1">$E574*SUMIF(INDIRECT(AD$3),'Struktur Vorjahr'!$D574,INDIRECT(AD$8))*IFERROR(IF(VLOOKUP('Struktur Vorjahr'!$D574,INDIRECT(AD$6),8,)="H",-1,1),0)</f>
        <v>#REF!</v>
      </c>
      <c r="AE574" s="593">
        <f t="shared" ca="1" si="292"/>
        <v>0</v>
      </c>
      <c r="AF574" s="593">
        <f t="shared" ca="1" si="293"/>
        <v>0</v>
      </c>
      <c r="AG574" s="593">
        <f t="shared" ca="1" si="293"/>
        <v>0</v>
      </c>
      <c r="AH574" s="593">
        <f t="shared" ca="1" si="293"/>
        <v>0</v>
      </c>
      <c r="AI574" s="593">
        <f t="shared" ca="1" si="293"/>
        <v>0</v>
      </c>
      <c r="AJ574" s="593">
        <f t="shared" ca="1" si="293"/>
        <v>0</v>
      </c>
      <c r="AK574" s="593">
        <f t="shared" ca="1" si="293"/>
        <v>0</v>
      </c>
      <c r="AL574" s="593">
        <f t="shared" ca="1" si="293"/>
        <v>0</v>
      </c>
      <c r="AM574" s="593">
        <f t="shared" ca="1" si="293"/>
        <v>0</v>
      </c>
      <c r="AN574" s="593">
        <f t="shared" ca="1" si="293"/>
        <v>0</v>
      </c>
      <c r="AO574" s="593">
        <f t="shared" ca="1" si="293"/>
        <v>0</v>
      </c>
      <c r="AP574" s="593">
        <f t="shared" ca="1" si="293"/>
        <v>0</v>
      </c>
    </row>
    <row r="575" spans="1:42" s="594" customFormat="1" ht="11.25" x14ac:dyDescent="0.2">
      <c r="A575" s="644"/>
      <c r="B575" s="591" t="str">
        <f>IF(D575&lt;&gt;"",
IF(ISERROR(MATCH(D575,'Ist Vorjahr Monat 01'!A:A,0))=FALSE,INDEX('Ist Vorjahr Monat 01'!B:B,MATCH(D575,'Ist Vorjahr Monat 01'!A:A,0)),
IF(ISERROR(MATCH(D575,'Ist Vorjahr Monat 02'!A:A,0))=FALSE,INDEX('Ist Vorjahr Monat 02'!B:B,MATCH(D575,'Ist Vorjahr Monat 02'!A:A,0)),
IF(ISERROR(MATCH(D575,'Ist Vorjahr Monat 03'!A:A,0))=FALSE,INDEX('Ist Vorjahr Monat 03'!B:B,MATCH(D575,'Ist Vorjahr Monat 03'!A:A,0)),
IF(ISERROR(MATCH(D575,'Ist Vorjahr Monat 04'!A:A,0))=FALSE,INDEX('Ist Vorjahr Monat 04'!B:B,MATCH(D575,'Ist Vorjahr Monat 04'!A:A,0)),
IF(ISERROR(MATCH(D575,'Ist Vorjahr Monat 05'!A:A,0))=FALSE,INDEX('Ist Vorjahr Monat 05'!B:B,MATCH(D575,'Ist Vorjahr Monat 05'!A:A,0)),
IF(ISERROR(MATCH(D575,'Ist Vorjahr Monat 06'!A:A,0))=FALSE,INDEX('Ist Vorjahr Monat 06'!B:B,MATCH(D575,'Ist Vorjahr Monat 06'!A:A,0)),
IF(ISERROR(MATCH(D575,'Ist Vorjahr Monat 07'!A:A,0))=FALSE,INDEX('Ist Vorjahr Monat 07'!B:B,MATCH(D575,'Ist Vorjahr Monat 07'!A:A,0)),
IF(ISERROR(MATCH(D575,'Ist Vorjahr Monat 08'!A:A,0))=FALSE,INDEX('Ist Vorjahr Monat 08'!B:B,MATCH(D575,'Ist Vorjahr Monat 08'!A:A,0)),
IF(ISERROR(MATCH(D575,'Ist Vorjahr Monat 09'!A:A,0))=FALSE,INDEX('Ist Vorjahr Monat 09'!B:B,MATCH(D575,'Ist Vorjahr Monat 09'!A:A,0)),
IF(ISERROR(MATCH(D575,'Ist Vorjahr Monat 10'!A:A,0))=FALSE,INDEX('Ist Vorjahr Monat 10'!B:B,MATCH(D575,'Ist Vorjahr Monat 10'!A:A,0)),
IF(ISERROR(MATCH(D575,'Ist Vorjahr Monat 11'!A:A,0))=FALSE,INDEX('Ist Vorjahr Monat 11'!B:B,MATCH(D575,'Ist Vorjahr Monat 11'!A:A,0)),
IF(ISERROR(MATCH(D575,'Ist Vorjahr Monat 12'!A:A,0))=FALSE,INDEX('Ist Vorjahr Monat 12'!B:B,MATCH(D575,'Ist Vorjahr Monat 12'!A:A,0)),
"{Konto unbekannt}"
)))))))))))),"")</f>
        <v>Forderungen ggb. Krankenkasse aus AAG</v>
      </c>
      <c r="C575" s="1062"/>
      <c r="D575" s="1067">
        <v>1520</v>
      </c>
      <c r="E575" s="625">
        <f t="shared" si="237"/>
        <v>-1</v>
      </c>
      <c r="F575" s="626" t="s">
        <v>996</v>
      </c>
      <c r="G575" s="593">
        <f ca="1">$E575*SUMIF(INDIRECT(G$3),'Struktur Vorjahr'!$D575,INDIRECT(G$8))*IFERROR(IF(VLOOKUP('Struktur Vorjahr'!$D575,INDIRECT(G$6),8,)="H",-1,1),0)</f>
        <v>0</v>
      </c>
      <c r="H575" s="593">
        <f ca="1">$E575*SUMIF(INDIRECT(H$3),'Struktur Vorjahr'!$D575,INDIRECT(H$8))*IFERROR(IF(VLOOKUP('Struktur Vorjahr'!$D575,INDIRECT(H$6),8,)="H",-1,1),0)</f>
        <v>0</v>
      </c>
      <c r="I575" s="593">
        <f ca="1">$E575*SUMIF(INDIRECT(I$3),'Struktur Vorjahr'!$D575,INDIRECT(I$8))*IFERROR(IF(VLOOKUP('Struktur Vorjahr'!$D575,INDIRECT(I$6),8,)="H",-1,1),0)</f>
        <v>0</v>
      </c>
      <c r="J575" s="593">
        <f ca="1">$E575*SUMIF(INDIRECT(J$3),'Struktur Vorjahr'!$D575,INDIRECT(J$8))*IFERROR(IF(VLOOKUP('Struktur Vorjahr'!$D575,INDIRECT(J$6),8,)="H",-1,1),0)</f>
        <v>0</v>
      </c>
      <c r="K575" s="593">
        <f ca="1">$E575*SUMIF(INDIRECT(K$3),'Struktur Vorjahr'!$D575,INDIRECT(K$8))*IFERROR(IF(VLOOKUP('Struktur Vorjahr'!$D575,INDIRECT(K$6),8,)="H",-1,1),0)</f>
        <v>0</v>
      </c>
      <c r="L575" s="593">
        <f ca="1">$E575*SUMIF(INDIRECT(L$3),'Struktur Vorjahr'!$D575,INDIRECT(L$8))*IFERROR(IF(VLOOKUP('Struktur Vorjahr'!$D575,INDIRECT(L$6),8,)="H",-1,1),0)</f>
        <v>0</v>
      </c>
      <c r="M575" s="593">
        <f ca="1">$E575*SUMIF(INDIRECT(M$3),'Struktur Vorjahr'!$D575,INDIRECT(M$8))*IFERROR(IF(VLOOKUP('Struktur Vorjahr'!$D575,INDIRECT(M$6),8,)="H",-1,1),0)</f>
        <v>0</v>
      </c>
      <c r="N575" s="593">
        <f ca="1">$E575*SUMIF(INDIRECT(N$3),'Struktur Vorjahr'!$D575,INDIRECT(N$8))*IFERROR(IF(VLOOKUP('Struktur Vorjahr'!$D575,INDIRECT(N$6),8,)="H",-1,1),0)</f>
        <v>0</v>
      </c>
      <c r="O575" s="593">
        <f ca="1">$E575*SUMIF(INDIRECT(O$3),'Struktur Vorjahr'!$D575,INDIRECT(O$8))*IFERROR(IF(VLOOKUP('Struktur Vorjahr'!$D575,INDIRECT(O$6),8,)="H",-1,1),0)</f>
        <v>0</v>
      </c>
      <c r="P575" s="593">
        <f ca="1">$E575*SUMIF(INDIRECT(P$3),'Struktur Vorjahr'!$D575,INDIRECT(P$8))*IFERROR(IF(VLOOKUP('Struktur Vorjahr'!$D575,INDIRECT(P$6),8,)="H",-1,1),0)</f>
        <v>0</v>
      </c>
      <c r="Q575" s="593">
        <f ca="1">$E575*SUMIF(INDIRECT(Q$3),'Struktur Vorjahr'!$D575,INDIRECT(Q$8))*IFERROR(IF(VLOOKUP('Struktur Vorjahr'!$D575,INDIRECT(Q$6),8,)="H",-1,1),0)</f>
        <v>0</v>
      </c>
      <c r="R575" s="593">
        <f ca="1">$E575*SUMIF(INDIRECT(R$3),'Struktur Vorjahr'!$D575,INDIRECT(R$8))*IFERROR(IF(VLOOKUP('Struktur Vorjahr'!$D575,INDIRECT(R$6),8,)="H",-1,1),0)</f>
        <v>0</v>
      </c>
      <c r="S575" s="593" t="e">
        <f ca="1">$E575*SUMIF(INDIRECT(S$3),'Struktur Vorjahr'!$D575,INDIRECT(S$8))*IFERROR(IF(VLOOKUP('Struktur Vorjahr'!$D575,INDIRECT(S$6),8,)="H",-1,1),0)</f>
        <v>#REF!</v>
      </c>
      <c r="T575" s="593" t="e">
        <f ca="1">$E575*SUMIF(INDIRECT(T$3),'Struktur Vorjahr'!$D575,INDIRECT(T$8))*IFERROR(IF(VLOOKUP('Struktur Vorjahr'!$D575,INDIRECT(T$6),8,)="H",-1,1),0)</f>
        <v>#REF!</v>
      </c>
      <c r="U575" s="593" t="e">
        <f ca="1">$E575*SUMIF(INDIRECT(U$3),'Struktur Vorjahr'!$D575,INDIRECT(U$8))*IFERROR(IF(VLOOKUP('Struktur Vorjahr'!$D575,INDIRECT(U$6),8,)="H",-1,1),0)</f>
        <v>#REF!</v>
      </c>
      <c r="V575" s="593" t="e">
        <f ca="1">$E575*SUMIF(INDIRECT(V$3),'Struktur Vorjahr'!$D575,INDIRECT(V$8))*IFERROR(IF(VLOOKUP('Struktur Vorjahr'!$D575,INDIRECT(V$6),8,)="H",-1,1),0)</f>
        <v>#REF!</v>
      </c>
      <c r="W575" s="593" t="e">
        <f ca="1">$E575*SUMIF(INDIRECT(W$3),'Struktur Vorjahr'!$D575,INDIRECT(W$8))*IFERROR(IF(VLOOKUP('Struktur Vorjahr'!$D575,INDIRECT(W$6),8,)="H",-1,1),0)</f>
        <v>#REF!</v>
      </c>
      <c r="X575" s="593" t="e">
        <f ca="1">$E575*SUMIF(INDIRECT(X$3),'Struktur Vorjahr'!$D575,INDIRECT(X$8))*IFERROR(IF(VLOOKUP('Struktur Vorjahr'!$D575,INDIRECT(X$6),8,)="H",-1,1),0)</f>
        <v>#REF!</v>
      </c>
      <c r="Y575" s="593" t="e">
        <f ca="1">$E575*SUMIF(INDIRECT(Y$3),'Struktur Vorjahr'!$D575,INDIRECT(Y$8))*IFERROR(IF(VLOOKUP('Struktur Vorjahr'!$D575,INDIRECT(Y$6),8,)="H",-1,1),0)</f>
        <v>#REF!</v>
      </c>
      <c r="Z575" s="593" t="e">
        <f ca="1">$E575*SUMIF(INDIRECT(Z$3),'Struktur Vorjahr'!$D575,INDIRECT(Z$8))*IFERROR(IF(VLOOKUP('Struktur Vorjahr'!$D575,INDIRECT(Z$6),8,)="H",-1,1),0)</f>
        <v>#REF!</v>
      </c>
      <c r="AA575" s="593" t="e">
        <f ca="1">$E575*SUMIF(INDIRECT(AA$3),'Struktur Vorjahr'!$D575,INDIRECT(AA$8))*IFERROR(IF(VLOOKUP('Struktur Vorjahr'!$D575,INDIRECT(AA$6),8,)="H",-1,1),0)</f>
        <v>#REF!</v>
      </c>
      <c r="AB575" s="593" t="e">
        <f ca="1">$E575*SUMIF(INDIRECT(AB$3),'Struktur Vorjahr'!$D575,INDIRECT(AB$8))*IFERROR(IF(VLOOKUP('Struktur Vorjahr'!$D575,INDIRECT(AB$6),8,)="H",-1,1),0)</f>
        <v>#REF!</v>
      </c>
      <c r="AC575" s="593" t="e">
        <f ca="1">$E575*SUMIF(INDIRECT(AC$3),'Struktur Vorjahr'!$D575,INDIRECT(AC$8))*IFERROR(IF(VLOOKUP('Struktur Vorjahr'!$D575,INDIRECT(AC$6),8,)="H",-1,1),0)</f>
        <v>#REF!</v>
      </c>
      <c r="AD575" s="593" t="e">
        <f ca="1">$E575*SUMIF(INDIRECT(AD$3),'Struktur Vorjahr'!$D575,INDIRECT(AD$8))*IFERROR(IF(VLOOKUP('Struktur Vorjahr'!$D575,INDIRECT(AD$6),8,)="H",-1,1),0)</f>
        <v>#REF!</v>
      </c>
      <c r="AE575" s="593">
        <f t="shared" ca="1" si="292"/>
        <v>0</v>
      </c>
      <c r="AF575" s="593">
        <f t="shared" ca="1" si="293"/>
        <v>0</v>
      </c>
      <c r="AG575" s="593">
        <f t="shared" ca="1" si="293"/>
        <v>0</v>
      </c>
      <c r="AH575" s="593">
        <f t="shared" ca="1" si="293"/>
        <v>0</v>
      </c>
      <c r="AI575" s="593">
        <f t="shared" ca="1" si="293"/>
        <v>0</v>
      </c>
      <c r="AJ575" s="593">
        <f t="shared" ca="1" si="293"/>
        <v>0</v>
      </c>
      <c r="AK575" s="593">
        <f t="shared" ca="1" si="293"/>
        <v>0</v>
      </c>
      <c r="AL575" s="593">
        <f t="shared" ca="1" si="293"/>
        <v>0</v>
      </c>
      <c r="AM575" s="593">
        <f t="shared" ca="1" si="293"/>
        <v>0</v>
      </c>
      <c r="AN575" s="593">
        <f t="shared" ca="1" si="293"/>
        <v>0</v>
      </c>
      <c r="AO575" s="593">
        <f t="shared" ca="1" si="293"/>
        <v>0</v>
      </c>
      <c r="AP575" s="593">
        <f t="shared" ca="1" si="293"/>
        <v>0</v>
      </c>
    </row>
    <row r="576" spans="1:42" s="594" customFormat="1" ht="11.25" x14ac:dyDescent="0.2">
      <c r="A576" s="644"/>
      <c r="B576" s="591" t="str">
        <f>IF(D576&lt;&gt;"",
IF(ISERROR(MATCH(D576,'Ist Vorjahr Monat 01'!A:A,0))=FALSE,INDEX('Ist Vorjahr Monat 01'!B:B,MATCH(D576,'Ist Vorjahr Monat 01'!A:A,0)),
IF(ISERROR(MATCH(D576,'Ist Vorjahr Monat 02'!A:A,0))=FALSE,INDEX('Ist Vorjahr Monat 02'!B:B,MATCH(D576,'Ist Vorjahr Monat 02'!A:A,0)),
IF(ISERROR(MATCH(D576,'Ist Vorjahr Monat 03'!A:A,0))=FALSE,INDEX('Ist Vorjahr Monat 03'!B:B,MATCH(D576,'Ist Vorjahr Monat 03'!A:A,0)),
IF(ISERROR(MATCH(D576,'Ist Vorjahr Monat 04'!A:A,0))=FALSE,INDEX('Ist Vorjahr Monat 04'!B:B,MATCH(D576,'Ist Vorjahr Monat 04'!A:A,0)),
IF(ISERROR(MATCH(D576,'Ist Vorjahr Monat 05'!A:A,0))=FALSE,INDEX('Ist Vorjahr Monat 05'!B:B,MATCH(D576,'Ist Vorjahr Monat 05'!A:A,0)),
IF(ISERROR(MATCH(D576,'Ist Vorjahr Monat 06'!A:A,0))=FALSE,INDEX('Ist Vorjahr Monat 06'!B:B,MATCH(D576,'Ist Vorjahr Monat 06'!A:A,0)),
IF(ISERROR(MATCH(D576,'Ist Vorjahr Monat 07'!A:A,0))=FALSE,INDEX('Ist Vorjahr Monat 07'!B:B,MATCH(D576,'Ist Vorjahr Monat 07'!A:A,0)),
IF(ISERROR(MATCH(D576,'Ist Vorjahr Monat 08'!A:A,0))=FALSE,INDEX('Ist Vorjahr Monat 08'!B:B,MATCH(D576,'Ist Vorjahr Monat 08'!A:A,0)),
IF(ISERROR(MATCH(D576,'Ist Vorjahr Monat 09'!A:A,0))=FALSE,INDEX('Ist Vorjahr Monat 09'!B:B,MATCH(D576,'Ist Vorjahr Monat 09'!A:A,0)),
IF(ISERROR(MATCH(D576,'Ist Vorjahr Monat 10'!A:A,0))=FALSE,INDEX('Ist Vorjahr Monat 10'!B:B,MATCH(D576,'Ist Vorjahr Monat 10'!A:A,0)),
IF(ISERROR(MATCH(D576,'Ist Vorjahr Monat 11'!A:A,0))=FALSE,INDEX('Ist Vorjahr Monat 11'!B:B,MATCH(D576,'Ist Vorjahr Monat 11'!A:A,0)),
IF(ISERROR(MATCH(D576,'Ist Vorjahr Monat 12'!A:A,0))=FALSE,INDEX('Ist Vorjahr Monat 12'!B:B,MATCH(D576,'Ist Vorjahr Monat 12'!A:A,0)),
"{Konto unbekannt}"
)))))))))))),"")</f>
        <v/>
      </c>
      <c r="C576" s="1062"/>
      <c r="D576" s="1067"/>
      <c r="E576" s="625">
        <f t="shared" si="237"/>
        <v>-1</v>
      </c>
      <c r="F576" s="626" t="s">
        <v>996</v>
      </c>
      <c r="G576" s="593">
        <f ca="1">$E576*SUMIF(INDIRECT(G$3),'Struktur Vorjahr'!$D576,INDIRECT(G$8))*IFERROR(IF(VLOOKUP('Struktur Vorjahr'!$D576,INDIRECT(G$6),8,)="H",-1,1),0)</f>
        <v>0</v>
      </c>
      <c r="H576" s="593">
        <f ca="1">$E576*SUMIF(INDIRECT(H$3),'Struktur Vorjahr'!$D576,INDIRECT(H$8))*IFERROR(IF(VLOOKUP('Struktur Vorjahr'!$D576,INDIRECT(H$6),8,)="H",-1,1),0)</f>
        <v>0</v>
      </c>
      <c r="I576" s="593">
        <f ca="1">$E576*SUMIF(INDIRECT(I$3),'Struktur Vorjahr'!$D576,INDIRECT(I$8))*IFERROR(IF(VLOOKUP('Struktur Vorjahr'!$D576,INDIRECT(I$6),8,)="H",-1,1),0)</f>
        <v>0</v>
      </c>
      <c r="J576" s="593">
        <f ca="1">$E576*SUMIF(INDIRECT(J$3),'Struktur Vorjahr'!$D576,INDIRECT(J$8))*IFERROR(IF(VLOOKUP('Struktur Vorjahr'!$D576,INDIRECT(J$6),8,)="H",-1,1),0)</f>
        <v>0</v>
      </c>
      <c r="K576" s="593">
        <f ca="1">$E576*SUMIF(INDIRECT(K$3),'Struktur Vorjahr'!$D576,INDIRECT(K$8))*IFERROR(IF(VLOOKUP('Struktur Vorjahr'!$D576,INDIRECT(K$6),8,)="H",-1,1),0)</f>
        <v>0</v>
      </c>
      <c r="L576" s="593">
        <f ca="1">$E576*SUMIF(INDIRECT(L$3),'Struktur Vorjahr'!$D576,INDIRECT(L$8))*IFERROR(IF(VLOOKUP('Struktur Vorjahr'!$D576,INDIRECT(L$6),8,)="H",-1,1),0)</f>
        <v>0</v>
      </c>
      <c r="M576" s="593">
        <f ca="1">$E576*SUMIF(INDIRECT(M$3),'Struktur Vorjahr'!$D576,INDIRECT(M$8))*IFERROR(IF(VLOOKUP('Struktur Vorjahr'!$D576,INDIRECT(M$6),8,)="H",-1,1),0)</f>
        <v>0</v>
      </c>
      <c r="N576" s="593">
        <f ca="1">$E576*SUMIF(INDIRECT(N$3),'Struktur Vorjahr'!$D576,INDIRECT(N$8))*IFERROR(IF(VLOOKUP('Struktur Vorjahr'!$D576,INDIRECT(N$6),8,)="H",-1,1),0)</f>
        <v>0</v>
      </c>
      <c r="O576" s="593">
        <f ca="1">$E576*SUMIF(INDIRECT(O$3),'Struktur Vorjahr'!$D576,INDIRECT(O$8))*IFERROR(IF(VLOOKUP('Struktur Vorjahr'!$D576,INDIRECT(O$6),8,)="H",-1,1),0)</f>
        <v>0</v>
      </c>
      <c r="P576" s="593">
        <f ca="1">$E576*SUMIF(INDIRECT(P$3),'Struktur Vorjahr'!$D576,INDIRECT(P$8))*IFERROR(IF(VLOOKUP('Struktur Vorjahr'!$D576,INDIRECT(P$6),8,)="H",-1,1),0)</f>
        <v>0</v>
      </c>
      <c r="Q576" s="593">
        <f ca="1">$E576*SUMIF(INDIRECT(Q$3),'Struktur Vorjahr'!$D576,INDIRECT(Q$8))*IFERROR(IF(VLOOKUP('Struktur Vorjahr'!$D576,INDIRECT(Q$6),8,)="H",-1,1),0)</f>
        <v>0</v>
      </c>
      <c r="R576" s="593">
        <f ca="1">$E576*SUMIF(INDIRECT(R$3),'Struktur Vorjahr'!$D576,INDIRECT(R$8))*IFERROR(IF(VLOOKUP('Struktur Vorjahr'!$D576,INDIRECT(R$6),8,)="H",-1,1),0)</f>
        <v>0</v>
      </c>
      <c r="S576" s="593" t="e">
        <f ca="1">$E576*SUMIF(INDIRECT(S$3),'Struktur Vorjahr'!$D576,INDIRECT(S$8))*IFERROR(IF(VLOOKUP('Struktur Vorjahr'!$D576,INDIRECT(S$6),8,)="H",-1,1),0)</f>
        <v>#REF!</v>
      </c>
      <c r="T576" s="593" t="e">
        <f ca="1">$E576*SUMIF(INDIRECT(T$3),'Struktur Vorjahr'!$D576,INDIRECT(T$8))*IFERROR(IF(VLOOKUP('Struktur Vorjahr'!$D576,INDIRECT(T$6),8,)="H",-1,1),0)</f>
        <v>#REF!</v>
      </c>
      <c r="U576" s="593" t="e">
        <f ca="1">$E576*SUMIF(INDIRECT(U$3),'Struktur Vorjahr'!$D576,INDIRECT(U$8))*IFERROR(IF(VLOOKUP('Struktur Vorjahr'!$D576,INDIRECT(U$6),8,)="H",-1,1),0)</f>
        <v>#REF!</v>
      </c>
      <c r="V576" s="593" t="e">
        <f ca="1">$E576*SUMIF(INDIRECT(V$3),'Struktur Vorjahr'!$D576,INDIRECT(V$8))*IFERROR(IF(VLOOKUP('Struktur Vorjahr'!$D576,INDIRECT(V$6),8,)="H",-1,1),0)</f>
        <v>#REF!</v>
      </c>
      <c r="W576" s="593" t="e">
        <f ca="1">$E576*SUMIF(INDIRECT(W$3),'Struktur Vorjahr'!$D576,INDIRECT(W$8))*IFERROR(IF(VLOOKUP('Struktur Vorjahr'!$D576,INDIRECT(W$6),8,)="H",-1,1),0)</f>
        <v>#REF!</v>
      </c>
      <c r="X576" s="593" t="e">
        <f ca="1">$E576*SUMIF(INDIRECT(X$3),'Struktur Vorjahr'!$D576,INDIRECT(X$8))*IFERROR(IF(VLOOKUP('Struktur Vorjahr'!$D576,INDIRECT(X$6),8,)="H",-1,1),0)</f>
        <v>#REF!</v>
      </c>
      <c r="Y576" s="593" t="e">
        <f ca="1">$E576*SUMIF(INDIRECT(Y$3),'Struktur Vorjahr'!$D576,INDIRECT(Y$8))*IFERROR(IF(VLOOKUP('Struktur Vorjahr'!$D576,INDIRECT(Y$6),8,)="H",-1,1),0)</f>
        <v>#REF!</v>
      </c>
      <c r="Z576" s="593" t="e">
        <f ca="1">$E576*SUMIF(INDIRECT(Z$3),'Struktur Vorjahr'!$D576,INDIRECT(Z$8))*IFERROR(IF(VLOOKUP('Struktur Vorjahr'!$D576,INDIRECT(Z$6),8,)="H",-1,1),0)</f>
        <v>#REF!</v>
      </c>
      <c r="AA576" s="593" t="e">
        <f ca="1">$E576*SUMIF(INDIRECT(AA$3),'Struktur Vorjahr'!$D576,INDIRECT(AA$8))*IFERROR(IF(VLOOKUP('Struktur Vorjahr'!$D576,INDIRECT(AA$6),8,)="H",-1,1),0)</f>
        <v>#REF!</v>
      </c>
      <c r="AB576" s="593" t="e">
        <f ca="1">$E576*SUMIF(INDIRECT(AB$3),'Struktur Vorjahr'!$D576,INDIRECT(AB$8))*IFERROR(IF(VLOOKUP('Struktur Vorjahr'!$D576,INDIRECT(AB$6),8,)="H",-1,1),0)</f>
        <v>#REF!</v>
      </c>
      <c r="AC576" s="593" t="e">
        <f ca="1">$E576*SUMIF(INDIRECT(AC$3),'Struktur Vorjahr'!$D576,INDIRECT(AC$8))*IFERROR(IF(VLOOKUP('Struktur Vorjahr'!$D576,INDIRECT(AC$6),8,)="H",-1,1),0)</f>
        <v>#REF!</v>
      </c>
      <c r="AD576" s="593" t="e">
        <f ca="1">$E576*SUMIF(INDIRECT(AD$3),'Struktur Vorjahr'!$D576,INDIRECT(AD$8))*IFERROR(IF(VLOOKUP('Struktur Vorjahr'!$D576,INDIRECT(AD$6),8,)="H",-1,1),0)</f>
        <v>#REF!</v>
      </c>
      <c r="AE576" s="593">
        <f t="shared" ca="1" si="292"/>
        <v>0</v>
      </c>
      <c r="AF576" s="593">
        <f t="shared" ca="1" si="293"/>
        <v>0</v>
      </c>
      <c r="AG576" s="593">
        <f t="shared" ca="1" si="293"/>
        <v>0</v>
      </c>
      <c r="AH576" s="593">
        <f t="shared" ca="1" si="293"/>
        <v>0</v>
      </c>
      <c r="AI576" s="593">
        <f t="shared" ca="1" si="293"/>
        <v>0</v>
      </c>
      <c r="AJ576" s="593">
        <f t="shared" ca="1" si="293"/>
        <v>0</v>
      </c>
      <c r="AK576" s="593">
        <f t="shared" ca="1" si="293"/>
        <v>0</v>
      </c>
      <c r="AL576" s="593">
        <f t="shared" ca="1" si="293"/>
        <v>0</v>
      </c>
      <c r="AM576" s="593">
        <f t="shared" ca="1" si="293"/>
        <v>0</v>
      </c>
      <c r="AN576" s="593">
        <f t="shared" ca="1" si="293"/>
        <v>0</v>
      </c>
      <c r="AO576" s="593">
        <f t="shared" ca="1" si="293"/>
        <v>0</v>
      </c>
      <c r="AP576" s="593">
        <f t="shared" ca="1" si="293"/>
        <v>0</v>
      </c>
    </row>
    <row r="577" spans="1:42" s="594" customFormat="1" ht="11.25" x14ac:dyDescent="0.2">
      <c r="A577" s="644"/>
      <c r="B577" s="591" t="str">
        <f>IF(D577&lt;&gt;"",
IF(ISERROR(MATCH(D577,'Ist Vorjahr Monat 01'!A:A,0))=FALSE,INDEX('Ist Vorjahr Monat 01'!B:B,MATCH(D577,'Ist Vorjahr Monat 01'!A:A,0)),
IF(ISERROR(MATCH(D577,'Ist Vorjahr Monat 02'!A:A,0))=FALSE,INDEX('Ist Vorjahr Monat 02'!B:B,MATCH(D577,'Ist Vorjahr Monat 02'!A:A,0)),
IF(ISERROR(MATCH(D577,'Ist Vorjahr Monat 03'!A:A,0))=FALSE,INDEX('Ist Vorjahr Monat 03'!B:B,MATCH(D577,'Ist Vorjahr Monat 03'!A:A,0)),
IF(ISERROR(MATCH(D577,'Ist Vorjahr Monat 04'!A:A,0))=FALSE,INDEX('Ist Vorjahr Monat 04'!B:B,MATCH(D577,'Ist Vorjahr Monat 04'!A:A,0)),
IF(ISERROR(MATCH(D577,'Ist Vorjahr Monat 05'!A:A,0))=FALSE,INDEX('Ist Vorjahr Monat 05'!B:B,MATCH(D577,'Ist Vorjahr Monat 05'!A:A,0)),
IF(ISERROR(MATCH(D577,'Ist Vorjahr Monat 06'!A:A,0))=FALSE,INDEX('Ist Vorjahr Monat 06'!B:B,MATCH(D577,'Ist Vorjahr Monat 06'!A:A,0)),
IF(ISERROR(MATCH(D577,'Ist Vorjahr Monat 07'!A:A,0))=FALSE,INDEX('Ist Vorjahr Monat 07'!B:B,MATCH(D577,'Ist Vorjahr Monat 07'!A:A,0)),
IF(ISERROR(MATCH(D577,'Ist Vorjahr Monat 08'!A:A,0))=FALSE,INDEX('Ist Vorjahr Monat 08'!B:B,MATCH(D577,'Ist Vorjahr Monat 08'!A:A,0)),
IF(ISERROR(MATCH(D577,'Ist Vorjahr Monat 09'!A:A,0))=FALSE,INDEX('Ist Vorjahr Monat 09'!B:B,MATCH(D577,'Ist Vorjahr Monat 09'!A:A,0)),
IF(ISERROR(MATCH(D577,'Ist Vorjahr Monat 10'!A:A,0))=FALSE,INDEX('Ist Vorjahr Monat 10'!B:B,MATCH(D577,'Ist Vorjahr Monat 10'!A:A,0)),
IF(ISERROR(MATCH(D577,'Ist Vorjahr Monat 11'!A:A,0))=FALSE,INDEX('Ist Vorjahr Monat 11'!B:B,MATCH(D577,'Ist Vorjahr Monat 11'!A:A,0)),
IF(ISERROR(MATCH(D577,'Ist Vorjahr Monat 12'!A:A,0))=FALSE,INDEX('Ist Vorjahr Monat 12'!B:B,MATCH(D577,'Ist Vorjahr Monat 12'!A:A,0)),
"{Konto unbekannt}"
)))))))))))),"")</f>
        <v/>
      </c>
      <c r="C577" s="1062"/>
      <c r="D577" s="1067"/>
      <c r="E577" s="625">
        <f t="shared" si="237"/>
        <v>-1</v>
      </c>
      <c r="F577" s="626" t="s">
        <v>996</v>
      </c>
      <c r="G577" s="593">
        <f ca="1">$E577*SUMIF(INDIRECT(G$3),'Struktur Vorjahr'!$D577,INDIRECT(G$8))*IFERROR(IF(VLOOKUP('Struktur Vorjahr'!$D577,INDIRECT(G$6),8,)="H",-1,1),0)</f>
        <v>0</v>
      </c>
      <c r="H577" s="593">
        <f ca="1">$E577*SUMIF(INDIRECT(H$3),'Struktur Vorjahr'!$D577,INDIRECT(H$8))*IFERROR(IF(VLOOKUP('Struktur Vorjahr'!$D577,INDIRECT(H$6),8,)="H",-1,1),0)</f>
        <v>0</v>
      </c>
      <c r="I577" s="593">
        <f ca="1">$E577*SUMIF(INDIRECT(I$3),'Struktur Vorjahr'!$D577,INDIRECT(I$8))*IFERROR(IF(VLOOKUP('Struktur Vorjahr'!$D577,INDIRECT(I$6),8,)="H",-1,1),0)</f>
        <v>0</v>
      </c>
      <c r="J577" s="593">
        <f ca="1">$E577*SUMIF(INDIRECT(J$3),'Struktur Vorjahr'!$D577,INDIRECT(J$8))*IFERROR(IF(VLOOKUP('Struktur Vorjahr'!$D577,INDIRECT(J$6),8,)="H",-1,1),0)</f>
        <v>0</v>
      </c>
      <c r="K577" s="593">
        <f ca="1">$E577*SUMIF(INDIRECT(K$3),'Struktur Vorjahr'!$D577,INDIRECT(K$8))*IFERROR(IF(VLOOKUP('Struktur Vorjahr'!$D577,INDIRECT(K$6),8,)="H",-1,1),0)</f>
        <v>0</v>
      </c>
      <c r="L577" s="593">
        <f ca="1">$E577*SUMIF(INDIRECT(L$3),'Struktur Vorjahr'!$D577,INDIRECT(L$8))*IFERROR(IF(VLOOKUP('Struktur Vorjahr'!$D577,INDIRECT(L$6),8,)="H",-1,1),0)</f>
        <v>0</v>
      </c>
      <c r="M577" s="593">
        <f ca="1">$E577*SUMIF(INDIRECT(M$3),'Struktur Vorjahr'!$D577,INDIRECT(M$8))*IFERROR(IF(VLOOKUP('Struktur Vorjahr'!$D577,INDIRECT(M$6),8,)="H",-1,1),0)</f>
        <v>0</v>
      </c>
      <c r="N577" s="593">
        <f ca="1">$E577*SUMIF(INDIRECT(N$3),'Struktur Vorjahr'!$D577,INDIRECT(N$8))*IFERROR(IF(VLOOKUP('Struktur Vorjahr'!$D577,INDIRECT(N$6),8,)="H",-1,1),0)</f>
        <v>0</v>
      </c>
      <c r="O577" s="593">
        <f ca="1">$E577*SUMIF(INDIRECT(O$3),'Struktur Vorjahr'!$D577,INDIRECT(O$8))*IFERROR(IF(VLOOKUP('Struktur Vorjahr'!$D577,INDIRECT(O$6),8,)="H",-1,1),0)</f>
        <v>0</v>
      </c>
      <c r="P577" s="593">
        <f ca="1">$E577*SUMIF(INDIRECT(P$3),'Struktur Vorjahr'!$D577,INDIRECT(P$8))*IFERROR(IF(VLOOKUP('Struktur Vorjahr'!$D577,INDIRECT(P$6),8,)="H",-1,1),0)</f>
        <v>0</v>
      </c>
      <c r="Q577" s="593">
        <f ca="1">$E577*SUMIF(INDIRECT(Q$3),'Struktur Vorjahr'!$D577,INDIRECT(Q$8))*IFERROR(IF(VLOOKUP('Struktur Vorjahr'!$D577,INDIRECT(Q$6),8,)="H",-1,1),0)</f>
        <v>0</v>
      </c>
      <c r="R577" s="593">
        <f ca="1">$E577*SUMIF(INDIRECT(R$3),'Struktur Vorjahr'!$D577,INDIRECT(R$8))*IFERROR(IF(VLOOKUP('Struktur Vorjahr'!$D577,INDIRECT(R$6),8,)="H",-1,1),0)</f>
        <v>0</v>
      </c>
      <c r="S577" s="593" t="e">
        <f ca="1">$E577*SUMIF(INDIRECT(S$3),'Struktur Vorjahr'!$D577,INDIRECT(S$8))*IFERROR(IF(VLOOKUP('Struktur Vorjahr'!$D577,INDIRECT(S$6),8,)="H",-1,1),0)</f>
        <v>#REF!</v>
      </c>
      <c r="T577" s="593" t="e">
        <f ca="1">$E577*SUMIF(INDIRECT(T$3),'Struktur Vorjahr'!$D577,INDIRECT(T$8))*IFERROR(IF(VLOOKUP('Struktur Vorjahr'!$D577,INDIRECT(T$6),8,)="H",-1,1),0)</f>
        <v>#REF!</v>
      </c>
      <c r="U577" s="593" t="e">
        <f ca="1">$E577*SUMIF(INDIRECT(U$3),'Struktur Vorjahr'!$D577,INDIRECT(U$8))*IFERROR(IF(VLOOKUP('Struktur Vorjahr'!$D577,INDIRECT(U$6),8,)="H",-1,1),0)</f>
        <v>#REF!</v>
      </c>
      <c r="V577" s="593" t="e">
        <f ca="1">$E577*SUMIF(INDIRECT(V$3),'Struktur Vorjahr'!$D577,INDIRECT(V$8))*IFERROR(IF(VLOOKUP('Struktur Vorjahr'!$D577,INDIRECT(V$6),8,)="H",-1,1),0)</f>
        <v>#REF!</v>
      </c>
      <c r="W577" s="593" t="e">
        <f ca="1">$E577*SUMIF(INDIRECT(W$3),'Struktur Vorjahr'!$D577,INDIRECT(W$8))*IFERROR(IF(VLOOKUP('Struktur Vorjahr'!$D577,INDIRECT(W$6),8,)="H",-1,1),0)</f>
        <v>#REF!</v>
      </c>
      <c r="X577" s="593" t="e">
        <f ca="1">$E577*SUMIF(INDIRECT(X$3),'Struktur Vorjahr'!$D577,INDIRECT(X$8))*IFERROR(IF(VLOOKUP('Struktur Vorjahr'!$D577,INDIRECT(X$6),8,)="H",-1,1),0)</f>
        <v>#REF!</v>
      </c>
      <c r="Y577" s="593" t="e">
        <f ca="1">$E577*SUMIF(INDIRECT(Y$3),'Struktur Vorjahr'!$D577,INDIRECT(Y$8))*IFERROR(IF(VLOOKUP('Struktur Vorjahr'!$D577,INDIRECT(Y$6),8,)="H",-1,1),0)</f>
        <v>#REF!</v>
      </c>
      <c r="Z577" s="593" t="e">
        <f ca="1">$E577*SUMIF(INDIRECT(Z$3),'Struktur Vorjahr'!$D577,INDIRECT(Z$8))*IFERROR(IF(VLOOKUP('Struktur Vorjahr'!$D577,INDIRECT(Z$6),8,)="H",-1,1),0)</f>
        <v>#REF!</v>
      </c>
      <c r="AA577" s="593" t="e">
        <f ca="1">$E577*SUMIF(INDIRECT(AA$3),'Struktur Vorjahr'!$D577,INDIRECT(AA$8))*IFERROR(IF(VLOOKUP('Struktur Vorjahr'!$D577,INDIRECT(AA$6),8,)="H",-1,1),0)</f>
        <v>#REF!</v>
      </c>
      <c r="AB577" s="593" t="e">
        <f ca="1">$E577*SUMIF(INDIRECT(AB$3),'Struktur Vorjahr'!$D577,INDIRECT(AB$8))*IFERROR(IF(VLOOKUP('Struktur Vorjahr'!$D577,INDIRECT(AB$6),8,)="H",-1,1),0)</f>
        <v>#REF!</v>
      </c>
      <c r="AC577" s="593" t="e">
        <f ca="1">$E577*SUMIF(INDIRECT(AC$3),'Struktur Vorjahr'!$D577,INDIRECT(AC$8))*IFERROR(IF(VLOOKUP('Struktur Vorjahr'!$D577,INDIRECT(AC$6),8,)="H",-1,1),0)</f>
        <v>#REF!</v>
      </c>
      <c r="AD577" s="593" t="e">
        <f ca="1">$E577*SUMIF(INDIRECT(AD$3),'Struktur Vorjahr'!$D577,INDIRECT(AD$8))*IFERROR(IF(VLOOKUP('Struktur Vorjahr'!$D577,INDIRECT(AD$6),8,)="H",-1,1),0)</f>
        <v>#REF!</v>
      </c>
      <c r="AE577" s="593">
        <f t="shared" ca="1" si="292"/>
        <v>0</v>
      </c>
      <c r="AF577" s="593">
        <f t="shared" ca="1" si="293"/>
        <v>0</v>
      </c>
      <c r="AG577" s="593">
        <f t="shared" ca="1" si="293"/>
        <v>0</v>
      </c>
      <c r="AH577" s="593">
        <f t="shared" ca="1" si="293"/>
        <v>0</v>
      </c>
      <c r="AI577" s="593">
        <f t="shared" ca="1" si="293"/>
        <v>0</v>
      </c>
      <c r="AJ577" s="593">
        <f t="shared" ca="1" si="293"/>
        <v>0</v>
      </c>
      <c r="AK577" s="593">
        <f t="shared" ca="1" si="293"/>
        <v>0</v>
      </c>
      <c r="AL577" s="593">
        <f t="shared" ca="1" si="293"/>
        <v>0</v>
      </c>
      <c r="AM577" s="593">
        <f t="shared" ca="1" si="293"/>
        <v>0</v>
      </c>
      <c r="AN577" s="593">
        <f t="shared" ca="1" si="293"/>
        <v>0</v>
      </c>
      <c r="AO577" s="593">
        <f t="shared" ca="1" si="293"/>
        <v>0</v>
      </c>
      <c r="AP577" s="593">
        <f t="shared" ca="1" si="293"/>
        <v>0</v>
      </c>
    </row>
    <row r="578" spans="1:42" s="594" customFormat="1" ht="11.25" x14ac:dyDescent="0.2">
      <c r="A578" s="644"/>
      <c r="B578" s="591" t="str">
        <f>IF(D578&lt;&gt;"",
IF(ISERROR(MATCH(D578,'Ist Vorjahr Monat 01'!A:A,0))=FALSE,INDEX('Ist Vorjahr Monat 01'!B:B,MATCH(D578,'Ist Vorjahr Monat 01'!A:A,0)),
IF(ISERROR(MATCH(D578,'Ist Vorjahr Monat 02'!A:A,0))=FALSE,INDEX('Ist Vorjahr Monat 02'!B:B,MATCH(D578,'Ist Vorjahr Monat 02'!A:A,0)),
IF(ISERROR(MATCH(D578,'Ist Vorjahr Monat 03'!A:A,0))=FALSE,INDEX('Ist Vorjahr Monat 03'!B:B,MATCH(D578,'Ist Vorjahr Monat 03'!A:A,0)),
IF(ISERROR(MATCH(D578,'Ist Vorjahr Monat 04'!A:A,0))=FALSE,INDEX('Ist Vorjahr Monat 04'!B:B,MATCH(D578,'Ist Vorjahr Monat 04'!A:A,0)),
IF(ISERROR(MATCH(D578,'Ist Vorjahr Monat 05'!A:A,0))=FALSE,INDEX('Ist Vorjahr Monat 05'!B:B,MATCH(D578,'Ist Vorjahr Monat 05'!A:A,0)),
IF(ISERROR(MATCH(D578,'Ist Vorjahr Monat 06'!A:A,0))=FALSE,INDEX('Ist Vorjahr Monat 06'!B:B,MATCH(D578,'Ist Vorjahr Monat 06'!A:A,0)),
IF(ISERROR(MATCH(D578,'Ist Vorjahr Monat 07'!A:A,0))=FALSE,INDEX('Ist Vorjahr Monat 07'!B:B,MATCH(D578,'Ist Vorjahr Monat 07'!A:A,0)),
IF(ISERROR(MATCH(D578,'Ist Vorjahr Monat 08'!A:A,0))=FALSE,INDEX('Ist Vorjahr Monat 08'!B:B,MATCH(D578,'Ist Vorjahr Monat 08'!A:A,0)),
IF(ISERROR(MATCH(D578,'Ist Vorjahr Monat 09'!A:A,0))=FALSE,INDEX('Ist Vorjahr Monat 09'!B:B,MATCH(D578,'Ist Vorjahr Monat 09'!A:A,0)),
IF(ISERROR(MATCH(D578,'Ist Vorjahr Monat 10'!A:A,0))=FALSE,INDEX('Ist Vorjahr Monat 10'!B:B,MATCH(D578,'Ist Vorjahr Monat 10'!A:A,0)),
IF(ISERROR(MATCH(D578,'Ist Vorjahr Monat 11'!A:A,0))=FALSE,INDEX('Ist Vorjahr Monat 11'!B:B,MATCH(D578,'Ist Vorjahr Monat 11'!A:A,0)),
IF(ISERROR(MATCH(D578,'Ist Vorjahr Monat 12'!A:A,0))=FALSE,INDEX('Ist Vorjahr Monat 12'!B:B,MATCH(D578,'Ist Vorjahr Monat 12'!A:A,0)),
"{Konto unbekannt}"
)))))))))))),"")</f>
        <v/>
      </c>
      <c r="C578" s="1062"/>
      <c r="D578" s="1067"/>
      <c r="E578" s="625">
        <f>IF(F578="-",-1,1)</f>
        <v>-1</v>
      </c>
      <c r="F578" s="626" t="s">
        <v>996</v>
      </c>
      <c r="G578" s="593">
        <f ca="1">$E578*SUMIF(INDIRECT(G$3),'Struktur Vorjahr'!$D578,INDIRECT(G$8))*IFERROR(IF(VLOOKUP('Struktur Vorjahr'!$D578,INDIRECT(G$6),8,)="H",-1,1),0)</f>
        <v>0</v>
      </c>
      <c r="H578" s="593">
        <f ca="1">$E578*SUMIF(INDIRECT(H$3),'Struktur Vorjahr'!$D578,INDIRECT(H$8))*IFERROR(IF(VLOOKUP('Struktur Vorjahr'!$D578,INDIRECT(H$6),8,)="H",-1,1),0)</f>
        <v>0</v>
      </c>
      <c r="I578" s="593">
        <f ca="1">$E578*SUMIF(INDIRECT(I$3),'Struktur Vorjahr'!$D578,INDIRECT(I$8))*IFERROR(IF(VLOOKUP('Struktur Vorjahr'!$D578,INDIRECT(I$6),8,)="H",-1,1),0)</f>
        <v>0</v>
      </c>
      <c r="J578" s="593">
        <f ca="1">$E578*SUMIF(INDIRECT(J$3),'Struktur Vorjahr'!$D578,INDIRECT(J$8))*IFERROR(IF(VLOOKUP('Struktur Vorjahr'!$D578,INDIRECT(J$6),8,)="H",-1,1),0)</f>
        <v>0</v>
      </c>
      <c r="K578" s="593">
        <f ca="1">$E578*SUMIF(INDIRECT(K$3),'Struktur Vorjahr'!$D578,INDIRECT(K$8))*IFERROR(IF(VLOOKUP('Struktur Vorjahr'!$D578,INDIRECT(K$6),8,)="H",-1,1),0)</f>
        <v>0</v>
      </c>
      <c r="L578" s="593">
        <f ca="1">$E578*SUMIF(INDIRECT(L$3),'Struktur Vorjahr'!$D578,INDIRECT(L$8))*IFERROR(IF(VLOOKUP('Struktur Vorjahr'!$D578,INDIRECT(L$6),8,)="H",-1,1),0)</f>
        <v>0</v>
      </c>
      <c r="M578" s="593">
        <f ca="1">$E578*SUMIF(INDIRECT(M$3),'Struktur Vorjahr'!$D578,INDIRECT(M$8))*IFERROR(IF(VLOOKUP('Struktur Vorjahr'!$D578,INDIRECT(M$6),8,)="H",-1,1),0)</f>
        <v>0</v>
      </c>
      <c r="N578" s="593">
        <f ca="1">$E578*SUMIF(INDIRECT(N$3),'Struktur Vorjahr'!$D578,INDIRECT(N$8))*IFERROR(IF(VLOOKUP('Struktur Vorjahr'!$D578,INDIRECT(N$6),8,)="H",-1,1),0)</f>
        <v>0</v>
      </c>
      <c r="O578" s="593">
        <f ca="1">$E578*SUMIF(INDIRECT(O$3),'Struktur Vorjahr'!$D578,INDIRECT(O$8))*IFERROR(IF(VLOOKUP('Struktur Vorjahr'!$D578,INDIRECT(O$6),8,)="H",-1,1),0)</f>
        <v>0</v>
      </c>
      <c r="P578" s="593">
        <f ca="1">$E578*SUMIF(INDIRECT(P$3),'Struktur Vorjahr'!$D578,INDIRECT(P$8))*IFERROR(IF(VLOOKUP('Struktur Vorjahr'!$D578,INDIRECT(P$6),8,)="H",-1,1),0)</f>
        <v>0</v>
      </c>
      <c r="Q578" s="593">
        <f ca="1">$E578*SUMIF(INDIRECT(Q$3),'Struktur Vorjahr'!$D578,INDIRECT(Q$8))*IFERROR(IF(VLOOKUP('Struktur Vorjahr'!$D578,INDIRECT(Q$6),8,)="H",-1,1),0)</f>
        <v>0</v>
      </c>
      <c r="R578" s="593">
        <f ca="1">$E578*SUMIF(INDIRECT(R$3),'Struktur Vorjahr'!$D578,INDIRECT(R$8))*IFERROR(IF(VLOOKUP('Struktur Vorjahr'!$D578,INDIRECT(R$6),8,)="H",-1,1),0)</f>
        <v>0</v>
      </c>
      <c r="S578" s="593" t="e">
        <f ca="1">$E578*SUMIF(INDIRECT(S$3),'Struktur Vorjahr'!$D578,INDIRECT(S$8))*IFERROR(IF(VLOOKUP('Struktur Vorjahr'!$D578,INDIRECT(S$6),8,)="H",-1,1),0)</f>
        <v>#REF!</v>
      </c>
      <c r="T578" s="593" t="e">
        <f ca="1">$E578*SUMIF(INDIRECT(T$3),'Struktur Vorjahr'!$D578,INDIRECT(T$8))*IFERROR(IF(VLOOKUP('Struktur Vorjahr'!$D578,INDIRECT(T$6),8,)="H",-1,1),0)</f>
        <v>#REF!</v>
      </c>
      <c r="U578" s="593" t="e">
        <f ca="1">$E578*SUMIF(INDIRECT(U$3),'Struktur Vorjahr'!$D578,INDIRECT(U$8))*IFERROR(IF(VLOOKUP('Struktur Vorjahr'!$D578,INDIRECT(U$6),8,)="H",-1,1),0)</f>
        <v>#REF!</v>
      </c>
      <c r="V578" s="593" t="e">
        <f ca="1">$E578*SUMIF(INDIRECT(V$3),'Struktur Vorjahr'!$D578,INDIRECT(V$8))*IFERROR(IF(VLOOKUP('Struktur Vorjahr'!$D578,INDIRECT(V$6),8,)="H",-1,1),0)</f>
        <v>#REF!</v>
      </c>
      <c r="W578" s="593" t="e">
        <f ca="1">$E578*SUMIF(INDIRECT(W$3),'Struktur Vorjahr'!$D578,INDIRECT(W$8))*IFERROR(IF(VLOOKUP('Struktur Vorjahr'!$D578,INDIRECT(W$6),8,)="H",-1,1),0)</f>
        <v>#REF!</v>
      </c>
      <c r="X578" s="593" t="e">
        <f ca="1">$E578*SUMIF(INDIRECT(X$3),'Struktur Vorjahr'!$D578,INDIRECT(X$8))*IFERROR(IF(VLOOKUP('Struktur Vorjahr'!$D578,INDIRECT(X$6),8,)="H",-1,1),0)</f>
        <v>#REF!</v>
      </c>
      <c r="Y578" s="593" t="e">
        <f ca="1">$E578*SUMIF(INDIRECT(Y$3),'Struktur Vorjahr'!$D578,INDIRECT(Y$8))*IFERROR(IF(VLOOKUP('Struktur Vorjahr'!$D578,INDIRECT(Y$6),8,)="H",-1,1),0)</f>
        <v>#REF!</v>
      </c>
      <c r="Z578" s="593" t="e">
        <f ca="1">$E578*SUMIF(INDIRECT(Z$3),'Struktur Vorjahr'!$D578,INDIRECT(Z$8))*IFERROR(IF(VLOOKUP('Struktur Vorjahr'!$D578,INDIRECT(Z$6),8,)="H",-1,1),0)</f>
        <v>#REF!</v>
      </c>
      <c r="AA578" s="593" t="e">
        <f ca="1">$E578*SUMIF(INDIRECT(AA$3),'Struktur Vorjahr'!$D578,INDIRECT(AA$8))*IFERROR(IF(VLOOKUP('Struktur Vorjahr'!$D578,INDIRECT(AA$6),8,)="H",-1,1),0)</f>
        <v>#REF!</v>
      </c>
      <c r="AB578" s="593" t="e">
        <f ca="1">$E578*SUMIF(INDIRECT(AB$3),'Struktur Vorjahr'!$D578,INDIRECT(AB$8))*IFERROR(IF(VLOOKUP('Struktur Vorjahr'!$D578,INDIRECT(AB$6),8,)="H",-1,1),0)</f>
        <v>#REF!</v>
      </c>
      <c r="AC578" s="593" t="e">
        <f ca="1">$E578*SUMIF(INDIRECT(AC$3),'Struktur Vorjahr'!$D578,INDIRECT(AC$8))*IFERROR(IF(VLOOKUP('Struktur Vorjahr'!$D578,INDIRECT(AC$6),8,)="H",-1,1),0)</f>
        <v>#REF!</v>
      </c>
      <c r="AD578" s="593" t="e">
        <f ca="1">$E578*SUMIF(INDIRECT(AD$3),'Struktur Vorjahr'!$D578,INDIRECT(AD$8))*IFERROR(IF(VLOOKUP('Struktur Vorjahr'!$D578,INDIRECT(AD$6),8,)="H",-1,1),0)</f>
        <v>#REF!</v>
      </c>
      <c r="AE578" s="593">
        <f t="shared" ca="1" si="292"/>
        <v>0</v>
      </c>
      <c r="AF578" s="593">
        <f t="shared" ca="1" si="293"/>
        <v>0</v>
      </c>
      <c r="AG578" s="593">
        <f t="shared" ca="1" si="293"/>
        <v>0</v>
      </c>
      <c r="AH578" s="593">
        <f t="shared" ca="1" si="293"/>
        <v>0</v>
      </c>
      <c r="AI578" s="593">
        <f t="shared" ca="1" si="293"/>
        <v>0</v>
      </c>
      <c r="AJ578" s="593">
        <f t="shared" ca="1" si="293"/>
        <v>0</v>
      </c>
      <c r="AK578" s="593">
        <f t="shared" ca="1" si="293"/>
        <v>0</v>
      </c>
      <c r="AL578" s="593">
        <f t="shared" ca="1" si="293"/>
        <v>0</v>
      </c>
      <c r="AM578" s="593">
        <f t="shared" ca="1" si="293"/>
        <v>0</v>
      </c>
      <c r="AN578" s="593">
        <f t="shared" ca="1" si="293"/>
        <v>0</v>
      </c>
      <c r="AO578" s="593">
        <f t="shared" ca="1" si="293"/>
        <v>0</v>
      </c>
      <c r="AP578" s="593">
        <f t="shared" ca="1" si="293"/>
        <v>0</v>
      </c>
    </row>
    <row r="579" spans="1:42" s="594" customFormat="1" ht="11.25" x14ac:dyDescent="0.2">
      <c r="A579" s="644"/>
      <c r="B579" s="591" t="str">
        <f>IF(D579&lt;&gt;"",
IF(ISERROR(MATCH(D579,'Ist Vorjahr Monat 01'!A:A,0))=FALSE,INDEX('Ist Vorjahr Monat 01'!B:B,MATCH(D579,'Ist Vorjahr Monat 01'!A:A,0)),
IF(ISERROR(MATCH(D579,'Ist Vorjahr Monat 02'!A:A,0))=FALSE,INDEX('Ist Vorjahr Monat 02'!B:B,MATCH(D579,'Ist Vorjahr Monat 02'!A:A,0)),
IF(ISERROR(MATCH(D579,'Ist Vorjahr Monat 03'!A:A,0))=FALSE,INDEX('Ist Vorjahr Monat 03'!B:B,MATCH(D579,'Ist Vorjahr Monat 03'!A:A,0)),
IF(ISERROR(MATCH(D579,'Ist Vorjahr Monat 04'!A:A,0))=FALSE,INDEX('Ist Vorjahr Monat 04'!B:B,MATCH(D579,'Ist Vorjahr Monat 04'!A:A,0)),
IF(ISERROR(MATCH(D579,'Ist Vorjahr Monat 05'!A:A,0))=FALSE,INDEX('Ist Vorjahr Monat 05'!B:B,MATCH(D579,'Ist Vorjahr Monat 05'!A:A,0)),
IF(ISERROR(MATCH(D579,'Ist Vorjahr Monat 06'!A:A,0))=FALSE,INDEX('Ist Vorjahr Monat 06'!B:B,MATCH(D579,'Ist Vorjahr Monat 06'!A:A,0)),
IF(ISERROR(MATCH(D579,'Ist Vorjahr Monat 07'!A:A,0))=FALSE,INDEX('Ist Vorjahr Monat 07'!B:B,MATCH(D579,'Ist Vorjahr Monat 07'!A:A,0)),
IF(ISERROR(MATCH(D579,'Ist Vorjahr Monat 08'!A:A,0))=FALSE,INDEX('Ist Vorjahr Monat 08'!B:B,MATCH(D579,'Ist Vorjahr Monat 08'!A:A,0)),
IF(ISERROR(MATCH(D579,'Ist Vorjahr Monat 09'!A:A,0))=FALSE,INDEX('Ist Vorjahr Monat 09'!B:B,MATCH(D579,'Ist Vorjahr Monat 09'!A:A,0)),
IF(ISERROR(MATCH(D579,'Ist Vorjahr Monat 10'!A:A,0))=FALSE,INDEX('Ist Vorjahr Monat 10'!B:B,MATCH(D579,'Ist Vorjahr Monat 10'!A:A,0)),
IF(ISERROR(MATCH(D579,'Ist Vorjahr Monat 11'!A:A,0))=FALSE,INDEX('Ist Vorjahr Monat 11'!B:B,MATCH(D579,'Ist Vorjahr Monat 11'!A:A,0)),
IF(ISERROR(MATCH(D579,'Ist Vorjahr Monat 12'!A:A,0))=FALSE,INDEX('Ist Vorjahr Monat 12'!B:B,MATCH(D579,'Ist Vorjahr Monat 12'!A:A,0)),
"{Konto unbekannt}"
)))))))))))),"")</f>
        <v/>
      </c>
      <c r="C579" s="1062"/>
      <c r="D579" s="1067"/>
      <c r="E579" s="625">
        <f>IF(F579="-",-1,1)</f>
        <v>-1</v>
      </c>
      <c r="F579" s="626" t="s">
        <v>996</v>
      </c>
      <c r="G579" s="593">
        <f ca="1">$E579*SUMIF(INDIRECT(G$3),'Struktur Vorjahr'!$D579,INDIRECT(G$8))*IFERROR(IF(VLOOKUP('Struktur Vorjahr'!$D579,INDIRECT(G$6),8,)="H",-1,1),0)</f>
        <v>0</v>
      </c>
      <c r="H579" s="593">
        <f ca="1">$E579*SUMIF(INDIRECT(H$3),'Struktur Vorjahr'!$D579,INDIRECT(H$8))*IFERROR(IF(VLOOKUP('Struktur Vorjahr'!$D579,INDIRECT(H$6),8,)="H",-1,1),0)</f>
        <v>0</v>
      </c>
      <c r="I579" s="593">
        <f ca="1">$E579*SUMIF(INDIRECT(I$3),'Struktur Vorjahr'!$D579,INDIRECT(I$8))*IFERROR(IF(VLOOKUP('Struktur Vorjahr'!$D579,INDIRECT(I$6),8,)="H",-1,1),0)</f>
        <v>0</v>
      </c>
      <c r="J579" s="593">
        <f ca="1">$E579*SUMIF(INDIRECT(J$3),'Struktur Vorjahr'!$D579,INDIRECT(J$8))*IFERROR(IF(VLOOKUP('Struktur Vorjahr'!$D579,INDIRECT(J$6),8,)="H",-1,1),0)</f>
        <v>0</v>
      </c>
      <c r="K579" s="593">
        <f ca="1">$E579*SUMIF(INDIRECT(K$3),'Struktur Vorjahr'!$D579,INDIRECT(K$8))*IFERROR(IF(VLOOKUP('Struktur Vorjahr'!$D579,INDIRECT(K$6),8,)="H",-1,1),0)</f>
        <v>0</v>
      </c>
      <c r="L579" s="593">
        <f ca="1">$E579*SUMIF(INDIRECT(L$3),'Struktur Vorjahr'!$D579,INDIRECT(L$8))*IFERROR(IF(VLOOKUP('Struktur Vorjahr'!$D579,INDIRECT(L$6),8,)="H",-1,1),0)</f>
        <v>0</v>
      </c>
      <c r="M579" s="593">
        <f ca="1">$E579*SUMIF(INDIRECT(M$3),'Struktur Vorjahr'!$D579,INDIRECT(M$8))*IFERROR(IF(VLOOKUP('Struktur Vorjahr'!$D579,INDIRECT(M$6),8,)="H",-1,1),0)</f>
        <v>0</v>
      </c>
      <c r="N579" s="593">
        <f ca="1">$E579*SUMIF(INDIRECT(N$3),'Struktur Vorjahr'!$D579,INDIRECT(N$8))*IFERROR(IF(VLOOKUP('Struktur Vorjahr'!$D579,INDIRECT(N$6),8,)="H",-1,1),0)</f>
        <v>0</v>
      </c>
      <c r="O579" s="593">
        <f ca="1">$E579*SUMIF(INDIRECT(O$3),'Struktur Vorjahr'!$D579,INDIRECT(O$8))*IFERROR(IF(VLOOKUP('Struktur Vorjahr'!$D579,INDIRECT(O$6),8,)="H",-1,1),0)</f>
        <v>0</v>
      </c>
      <c r="P579" s="593">
        <f ca="1">$E579*SUMIF(INDIRECT(P$3),'Struktur Vorjahr'!$D579,INDIRECT(P$8))*IFERROR(IF(VLOOKUP('Struktur Vorjahr'!$D579,INDIRECT(P$6),8,)="H",-1,1),0)</f>
        <v>0</v>
      </c>
      <c r="Q579" s="593">
        <f ca="1">$E579*SUMIF(INDIRECT(Q$3),'Struktur Vorjahr'!$D579,INDIRECT(Q$8))*IFERROR(IF(VLOOKUP('Struktur Vorjahr'!$D579,INDIRECT(Q$6),8,)="H",-1,1),0)</f>
        <v>0</v>
      </c>
      <c r="R579" s="593">
        <f ca="1">$E579*SUMIF(INDIRECT(R$3),'Struktur Vorjahr'!$D579,INDIRECT(R$8))*IFERROR(IF(VLOOKUP('Struktur Vorjahr'!$D579,INDIRECT(R$6),8,)="H",-1,1),0)</f>
        <v>0</v>
      </c>
      <c r="S579" s="593" t="e">
        <f ca="1">$E579*SUMIF(INDIRECT(S$3),'Struktur Vorjahr'!$D579,INDIRECT(S$8))*IFERROR(IF(VLOOKUP('Struktur Vorjahr'!$D579,INDIRECT(S$6),8,)="H",-1,1),0)</f>
        <v>#REF!</v>
      </c>
      <c r="T579" s="593" t="e">
        <f ca="1">$E579*SUMIF(INDIRECT(T$3),'Struktur Vorjahr'!$D579,INDIRECT(T$8))*IFERROR(IF(VLOOKUP('Struktur Vorjahr'!$D579,INDIRECT(T$6),8,)="H",-1,1),0)</f>
        <v>#REF!</v>
      </c>
      <c r="U579" s="593" t="e">
        <f ca="1">$E579*SUMIF(INDIRECT(U$3),'Struktur Vorjahr'!$D579,INDIRECT(U$8))*IFERROR(IF(VLOOKUP('Struktur Vorjahr'!$D579,INDIRECT(U$6),8,)="H",-1,1),0)</f>
        <v>#REF!</v>
      </c>
      <c r="V579" s="593" t="e">
        <f ca="1">$E579*SUMIF(INDIRECT(V$3),'Struktur Vorjahr'!$D579,INDIRECT(V$8))*IFERROR(IF(VLOOKUP('Struktur Vorjahr'!$D579,INDIRECT(V$6),8,)="H",-1,1),0)</f>
        <v>#REF!</v>
      </c>
      <c r="W579" s="593" t="e">
        <f ca="1">$E579*SUMIF(INDIRECT(W$3),'Struktur Vorjahr'!$D579,INDIRECT(W$8))*IFERROR(IF(VLOOKUP('Struktur Vorjahr'!$D579,INDIRECT(W$6),8,)="H",-1,1),0)</f>
        <v>#REF!</v>
      </c>
      <c r="X579" s="593" t="e">
        <f ca="1">$E579*SUMIF(INDIRECT(X$3),'Struktur Vorjahr'!$D579,INDIRECT(X$8))*IFERROR(IF(VLOOKUP('Struktur Vorjahr'!$D579,INDIRECT(X$6),8,)="H",-1,1),0)</f>
        <v>#REF!</v>
      </c>
      <c r="Y579" s="593" t="e">
        <f ca="1">$E579*SUMIF(INDIRECT(Y$3),'Struktur Vorjahr'!$D579,INDIRECT(Y$8))*IFERROR(IF(VLOOKUP('Struktur Vorjahr'!$D579,INDIRECT(Y$6),8,)="H",-1,1),0)</f>
        <v>#REF!</v>
      </c>
      <c r="Z579" s="593" t="e">
        <f ca="1">$E579*SUMIF(INDIRECT(Z$3),'Struktur Vorjahr'!$D579,INDIRECT(Z$8))*IFERROR(IF(VLOOKUP('Struktur Vorjahr'!$D579,INDIRECT(Z$6),8,)="H",-1,1),0)</f>
        <v>#REF!</v>
      </c>
      <c r="AA579" s="593" t="e">
        <f ca="1">$E579*SUMIF(INDIRECT(AA$3),'Struktur Vorjahr'!$D579,INDIRECT(AA$8))*IFERROR(IF(VLOOKUP('Struktur Vorjahr'!$D579,INDIRECT(AA$6),8,)="H",-1,1),0)</f>
        <v>#REF!</v>
      </c>
      <c r="AB579" s="593" t="e">
        <f ca="1">$E579*SUMIF(INDIRECT(AB$3),'Struktur Vorjahr'!$D579,INDIRECT(AB$8))*IFERROR(IF(VLOOKUP('Struktur Vorjahr'!$D579,INDIRECT(AB$6),8,)="H",-1,1),0)</f>
        <v>#REF!</v>
      </c>
      <c r="AC579" s="593" t="e">
        <f ca="1">$E579*SUMIF(INDIRECT(AC$3),'Struktur Vorjahr'!$D579,INDIRECT(AC$8))*IFERROR(IF(VLOOKUP('Struktur Vorjahr'!$D579,INDIRECT(AC$6),8,)="H",-1,1),0)</f>
        <v>#REF!</v>
      </c>
      <c r="AD579" s="593" t="e">
        <f ca="1">$E579*SUMIF(INDIRECT(AD$3),'Struktur Vorjahr'!$D579,INDIRECT(AD$8))*IFERROR(IF(VLOOKUP('Struktur Vorjahr'!$D579,INDIRECT(AD$6),8,)="H",-1,1),0)</f>
        <v>#REF!</v>
      </c>
      <c r="AE579" s="593">
        <f t="shared" ca="1" si="292"/>
        <v>0</v>
      </c>
      <c r="AF579" s="593">
        <f t="shared" ca="1" si="293"/>
        <v>0</v>
      </c>
      <c r="AG579" s="593">
        <f t="shared" ca="1" si="293"/>
        <v>0</v>
      </c>
      <c r="AH579" s="593">
        <f t="shared" ca="1" si="293"/>
        <v>0</v>
      </c>
      <c r="AI579" s="593">
        <f t="shared" ca="1" si="293"/>
        <v>0</v>
      </c>
      <c r="AJ579" s="593">
        <f t="shared" ca="1" si="293"/>
        <v>0</v>
      </c>
      <c r="AK579" s="593">
        <f t="shared" ca="1" si="293"/>
        <v>0</v>
      </c>
      <c r="AL579" s="593">
        <f t="shared" ca="1" si="293"/>
        <v>0</v>
      </c>
      <c r="AM579" s="593">
        <f t="shared" ca="1" si="293"/>
        <v>0</v>
      </c>
      <c r="AN579" s="593">
        <f t="shared" ca="1" si="293"/>
        <v>0</v>
      </c>
      <c r="AO579" s="593">
        <f t="shared" ca="1" si="293"/>
        <v>0</v>
      </c>
      <c r="AP579" s="593">
        <f t="shared" ca="1" si="293"/>
        <v>0</v>
      </c>
    </row>
    <row r="580" spans="1:42" s="594" customFormat="1" ht="11.25" x14ac:dyDescent="0.2">
      <c r="A580" s="644"/>
      <c r="B580" s="591" t="str">
        <f>IF(D580&lt;&gt;"",
IF(ISERROR(MATCH(D580,'Ist Vorjahr Monat 01'!A:A,0))=FALSE,INDEX('Ist Vorjahr Monat 01'!B:B,MATCH(D580,'Ist Vorjahr Monat 01'!A:A,0)),
IF(ISERROR(MATCH(D580,'Ist Vorjahr Monat 02'!A:A,0))=FALSE,INDEX('Ist Vorjahr Monat 02'!B:B,MATCH(D580,'Ist Vorjahr Monat 02'!A:A,0)),
IF(ISERROR(MATCH(D580,'Ist Vorjahr Monat 03'!A:A,0))=FALSE,INDEX('Ist Vorjahr Monat 03'!B:B,MATCH(D580,'Ist Vorjahr Monat 03'!A:A,0)),
IF(ISERROR(MATCH(D580,'Ist Vorjahr Monat 04'!A:A,0))=FALSE,INDEX('Ist Vorjahr Monat 04'!B:B,MATCH(D580,'Ist Vorjahr Monat 04'!A:A,0)),
IF(ISERROR(MATCH(D580,'Ist Vorjahr Monat 05'!A:A,0))=FALSE,INDEX('Ist Vorjahr Monat 05'!B:B,MATCH(D580,'Ist Vorjahr Monat 05'!A:A,0)),
IF(ISERROR(MATCH(D580,'Ist Vorjahr Monat 06'!A:A,0))=FALSE,INDEX('Ist Vorjahr Monat 06'!B:B,MATCH(D580,'Ist Vorjahr Monat 06'!A:A,0)),
IF(ISERROR(MATCH(D580,'Ist Vorjahr Monat 07'!A:A,0))=FALSE,INDEX('Ist Vorjahr Monat 07'!B:B,MATCH(D580,'Ist Vorjahr Monat 07'!A:A,0)),
IF(ISERROR(MATCH(D580,'Ist Vorjahr Monat 08'!A:A,0))=FALSE,INDEX('Ist Vorjahr Monat 08'!B:B,MATCH(D580,'Ist Vorjahr Monat 08'!A:A,0)),
IF(ISERROR(MATCH(D580,'Ist Vorjahr Monat 09'!A:A,0))=FALSE,INDEX('Ist Vorjahr Monat 09'!B:B,MATCH(D580,'Ist Vorjahr Monat 09'!A:A,0)),
IF(ISERROR(MATCH(D580,'Ist Vorjahr Monat 10'!A:A,0))=FALSE,INDEX('Ist Vorjahr Monat 10'!B:B,MATCH(D580,'Ist Vorjahr Monat 10'!A:A,0)),
IF(ISERROR(MATCH(D580,'Ist Vorjahr Monat 11'!A:A,0))=FALSE,INDEX('Ist Vorjahr Monat 11'!B:B,MATCH(D580,'Ist Vorjahr Monat 11'!A:A,0)),
IF(ISERROR(MATCH(D580,'Ist Vorjahr Monat 12'!A:A,0))=FALSE,INDEX('Ist Vorjahr Monat 12'!B:B,MATCH(D580,'Ist Vorjahr Monat 12'!A:A,0)),
"{Konto unbekannt}"
)))))))))))),"")</f>
        <v/>
      </c>
      <c r="C580" s="1062"/>
      <c r="D580" s="1067"/>
      <c r="E580" s="625">
        <f t="shared" ref="E580:E582" si="294">IF(F580="-",-1,1)</f>
        <v>-1</v>
      </c>
      <c r="F580" s="626" t="s">
        <v>996</v>
      </c>
      <c r="G580" s="593">
        <f ca="1">$E580*SUMIF(INDIRECT(G$3),'Struktur Vorjahr'!$D580,INDIRECT(G$8))*IFERROR(IF(VLOOKUP('Struktur Vorjahr'!$D580,INDIRECT(G$6),8,)="H",-1,1),0)</f>
        <v>0</v>
      </c>
      <c r="H580" s="593">
        <f ca="1">$E580*SUMIF(INDIRECT(H$3),'Struktur Vorjahr'!$D580,INDIRECT(H$8))*IFERROR(IF(VLOOKUP('Struktur Vorjahr'!$D580,INDIRECT(H$6),8,)="H",-1,1),0)</f>
        <v>0</v>
      </c>
      <c r="I580" s="593">
        <f ca="1">$E580*SUMIF(INDIRECT(I$3),'Struktur Vorjahr'!$D580,INDIRECT(I$8))*IFERROR(IF(VLOOKUP('Struktur Vorjahr'!$D580,INDIRECT(I$6),8,)="H",-1,1),0)</f>
        <v>0</v>
      </c>
      <c r="J580" s="593">
        <f ca="1">$E580*SUMIF(INDIRECT(J$3),'Struktur Vorjahr'!$D580,INDIRECT(J$8))*IFERROR(IF(VLOOKUP('Struktur Vorjahr'!$D580,INDIRECT(J$6),8,)="H",-1,1),0)</f>
        <v>0</v>
      </c>
      <c r="K580" s="593">
        <f ca="1">$E580*SUMIF(INDIRECT(K$3),'Struktur Vorjahr'!$D580,INDIRECT(K$8))*IFERROR(IF(VLOOKUP('Struktur Vorjahr'!$D580,INDIRECT(K$6),8,)="H",-1,1),0)</f>
        <v>0</v>
      </c>
      <c r="L580" s="593">
        <f ca="1">$E580*SUMIF(INDIRECT(L$3),'Struktur Vorjahr'!$D580,INDIRECT(L$8))*IFERROR(IF(VLOOKUP('Struktur Vorjahr'!$D580,INDIRECT(L$6),8,)="H",-1,1),0)</f>
        <v>0</v>
      </c>
      <c r="M580" s="593">
        <f ca="1">$E580*SUMIF(INDIRECT(M$3),'Struktur Vorjahr'!$D580,INDIRECT(M$8))*IFERROR(IF(VLOOKUP('Struktur Vorjahr'!$D580,INDIRECT(M$6),8,)="H",-1,1),0)</f>
        <v>0</v>
      </c>
      <c r="N580" s="593">
        <f ca="1">$E580*SUMIF(INDIRECT(N$3),'Struktur Vorjahr'!$D580,INDIRECT(N$8))*IFERROR(IF(VLOOKUP('Struktur Vorjahr'!$D580,INDIRECT(N$6),8,)="H",-1,1),0)</f>
        <v>0</v>
      </c>
      <c r="O580" s="593">
        <f ca="1">$E580*SUMIF(INDIRECT(O$3),'Struktur Vorjahr'!$D580,INDIRECT(O$8))*IFERROR(IF(VLOOKUP('Struktur Vorjahr'!$D580,INDIRECT(O$6),8,)="H",-1,1),0)</f>
        <v>0</v>
      </c>
      <c r="P580" s="593">
        <f ca="1">$E580*SUMIF(INDIRECT(P$3),'Struktur Vorjahr'!$D580,INDIRECT(P$8))*IFERROR(IF(VLOOKUP('Struktur Vorjahr'!$D580,INDIRECT(P$6),8,)="H",-1,1),0)</f>
        <v>0</v>
      </c>
      <c r="Q580" s="593">
        <f ca="1">$E580*SUMIF(INDIRECT(Q$3),'Struktur Vorjahr'!$D580,INDIRECT(Q$8))*IFERROR(IF(VLOOKUP('Struktur Vorjahr'!$D580,INDIRECT(Q$6),8,)="H",-1,1),0)</f>
        <v>0</v>
      </c>
      <c r="R580" s="593">
        <f ca="1">$E580*SUMIF(INDIRECT(R$3),'Struktur Vorjahr'!$D580,INDIRECT(R$8))*IFERROR(IF(VLOOKUP('Struktur Vorjahr'!$D580,INDIRECT(R$6),8,)="H",-1,1),0)</f>
        <v>0</v>
      </c>
      <c r="S580" s="593" t="e">
        <f ca="1">$E580*SUMIF(INDIRECT(S$3),'Struktur Vorjahr'!$D580,INDIRECT(S$8))*IFERROR(IF(VLOOKUP('Struktur Vorjahr'!$D580,INDIRECT(S$6),8,)="H",-1,1),0)</f>
        <v>#REF!</v>
      </c>
      <c r="T580" s="593" t="e">
        <f ca="1">$E580*SUMIF(INDIRECT(T$3),'Struktur Vorjahr'!$D580,INDIRECT(T$8))*IFERROR(IF(VLOOKUP('Struktur Vorjahr'!$D580,INDIRECT(T$6),8,)="H",-1,1),0)</f>
        <v>#REF!</v>
      </c>
      <c r="U580" s="593" t="e">
        <f ca="1">$E580*SUMIF(INDIRECT(U$3),'Struktur Vorjahr'!$D580,INDIRECT(U$8))*IFERROR(IF(VLOOKUP('Struktur Vorjahr'!$D580,INDIRECT(U$6),8,)="H",-1,1),0)</f>
        <v>#REF!</v>
      </c>
      <c r="V580" s="593" t="e">
        <f ca="1">$E580*SUMIF(INDIRECT(V$3),'Struktur Vorjahr'!$D580,INDIRECT(V$8))*IFERROR(IF(VLOOKUP('Struktur Vorjahr'!$D580,INDIRECT(V$6),8,)="H",-1,1),0)</f>
        <v>#REF!</v>
      </c>
      <c r="W580" s="593" t="e">
        <f ca="1">$E580*SUMIF(INDIRECT(W$3),'Struktur Vorjahr'!$D580,INDIRECT(W$8))*IFERROR(IF(VLOOKUP('Struktur Vorjahr'!$D580,INDIRECT(W$6),8,)="H",-1,1),0)</f>
        <v>#REF!</v>
      </c>
      <c r="X580" s="593" t="e">
        <f ca="1">$E580*SUMIF(INDIRECT(X$3),'Struktur Vorjahr'!$D580,INDIRECT(X$8))*IFERROR(IF(VLOOKUP('Struktur Vorjahr'!$D580,INDIRECT(X$6),8,)="H",-1,1),0)</f>
        <v>#REF!</v>
      </c>
      <c r="Y580" s="593" t="e">
        <f ca="1">$E580*SUMIF(INDIRECT(Y$3),'Struktur Vorjahr'!$D580,INDIRECT(Y$8))*IFERROR(IF(VLOOKUP('Struktur Vorjahr'!$D580,INDIRECT(Y$6),8,)="H",-1,1),0)</f>
        <v>#REF!</v>
      </c>
      <c r="Z580" s="593" t="e">
        <f ca="1">$E580*SUMIF(INDIRECT(Z$3),'Struktur Vorjahr'!$D580,INDIRECT(Z$8))*IFERROR(IF(VLOOKUP('Struktur Vorjahr'!$D580,INDIRECT(Z$6),8,)="H",-1,1),0)</f>
        <v>#REF!</v>
      </c>
      <c r="AA580" s="593" t="e">
        <f ca="1">$E580*SUMIF(INDIRECT(AA$3),'Struktur Vorjahr'!$D580,INDIRECT(AA$8))*IFERROR(IF(VLOOKUP('Struktur Vorjahr'!$D580,INDIRECT(AA$6),8,)="H",-1,1),0)</f>
        <v>#REF!</v>
      </c>
      <c r="AB580" s="593" t="e">
        <f ca="1">$E580*SUMIF(INDIRECT(AB$3),'Struktur Vorjahr'!$D580,INDIRECT(AB$8))*IFERROR(IF(VLOOKUP('Struktur Vorjahr'!$D580,INDIRECT(AB$6),8,)="H",-1,1),0)</f>
        <v>#REF!</v>
      </c>
      <c r="AC580" s="593" t="e">
        <f ca="1">$E580*SUMIF(INDIRECT(AC$3),'Struktur Vorjahr'!$D580,INDIRECT(AC$8))*IFERROR(IF(VLOOKUP('Struktur Vorjahr'!$D580,INDIRECT(AC$6),8,)="H",-1,1),0)</f>
        <v>#REF!</v>
      </c>
      <c r="AD580" s="593" t="e">
        <f ca="1">$E580*SUMIF(INDIRECT(AD$3),'Struktur Vorjahr'!$D580,INDIRECT(AD$8))*IFERROR(IF(VLOOKUP('Struktur Vorjahr'!$D580,INDIRECT(AD$6),8,)="H",-1,1),0)</f>
        <v>#REF!</v>
      </c>
      <c r="AE580" s="593">
        <f t="shared" ca="1" si="292"/>
        <v>0</v>
      </c>
      <c r="AF580" s="593">
        <f t="shared" ca="1" si="293"/>
        <v>0</v>
      </c>
      <c r="AG580" s="593">
        <f t="shared" ca="1" si="293"/>
        <v>0</v>
      </c>
      <c r="AH580" s="593">
        <f t="shared" ca="1" si="293"/>
        <v>0</v>
      </c>
      <c r="AI580" s="593">
        <f t="shared" ca="1" si="293"/>
        <v>0</v>
      </c>
      <c r="AJ580" s="593">
        <f t="shared" ca="1" si="293"/>
        <v>0</v>
      </c>
      <c r="AK580" s="593">
        <f t="shared" ca="1" si="293"/>
        <v>0</v>
      </c>
      <c r="AL580" s="593">
        <f t="shared" ca="1" si="293"/>
        <v>0</v>
      </c>
      <c r="AM580" s="593">
        <f t="shared" ca="1" si="293"/>
        <v>0</v>
      </c>
      <c r="AN580" s="593">
        <f t="shared" ca="1" si="293"/>
        <v>0</v>
      </c>
      <c r="AO580" s="593">
        <f t="shared" ca="1" si="293"/>
        <v>0</v>
      </c>
      <c r="AP580" s="593">
        <f t="shared" ca="1" si="293"/>
        <v>0</v>
      </c>
    </row>
    <row r="581" spans="1:42" s="594" customFormat="1" ht="11.25" x14ac:dyDescent="0.2">
      <c r="A581" s="644"/>
      <c r="B581" s="591" t="str">
        <f>IF(D581&lt;&gt;"",
IF(ISERROR(MATCH(D581,'Ist Vorjahr Monat 01'!A:A,0))=FALSE,INDEX('Ist Vorjahr Monat 01'!B:B,MATCH(D581,'Ist Vorjahr Monat 01'!A:A,0)),
IF(ISERROR(MATCH(D581,'Ist Vorjahr Monat 02'!A:A,0))=FALSE,INDEX('Ist Vorjahr Monat 02'!B:B,MATCH(D581,'Ist Vorjahr Monat 02'!A:A,0)),
IF(ISERROR(MATCH(D581,'Ist Vorjahr Monat 03'!A:A,0))=FALSE,INDEX('Ist Vorjahr Monat 03'!B:B,MATCH(D581,'Ist Vorjahr Monat 03'!A:A,0)),
IF(ISERROR(MATCH(D581,'Ist Vorjahr Monat 04'!A:A,0))=FALSE,INDEX('Ist Vorjahr Monat 04'!B:B,MATCH(D581,'Ist Vorjahr Monat 04'!A:A,0)),
IF(ISERROR(MATCH(D581,'Ist Vorjahr Monat 05'!A:A,0))=FALSE,INDEX('Ist Vorjahr Monat 05'!B:B,MATCH(D581,'Ist Vorjahr Monat 05'!A:A,0)),
IF(ISERROR(MATCH(D581,'Ist Vorjahr Monat 06'!A:A,0))=FALSE,INDEX('Ist Vorjahr Monat 06'!B:B,MATCH(D581,'Ist Vorjahr Monat 06'!A:A,0)),
IF(ISERROR(MATCH(D581,'Ist Vorjahr Monat 07'!A:A,0))=FALSE,INDEX('Ist Vorjahr Monat 07'!B:B,MATCH(D581,'Ist Vorjahr Monat 07'!A:A,0)),
IF(ISERROR(MATCH(D581,'Ist Vorjahr Monat 08'!A:A,0))=FALSE,INDEX('Ist Vorjahr Monat 08'!B:B,MATCH(D581,'Ist Vorjahr Monat 08'!A:A,0)),
IF(ISERROR(MATCH(D581,'Ist Vorjahr Monat 09'!A:A,0))=FALSE,INDEX('Ist Vorjahr Monat 09'!B:B,MATCH(D581,'Ist Vorjahr Monat 09'!A:A,0)),
IF(ISERROR(MATCH(D581,'Ist Vorjahr Monat 10'!A:A,0))=FALSE,INDEX('Ist Vorjahr Monat 10'!B:B,MATCH(D581,'Ist Vorjahr Monat 10'!A:A,0)),
IF(ISERROR(MATCH(D581,'Ist Vorjahr Monat 11'!A:A,0))=FALSE,INDEX('Ist Vorjahr Monat 11'!B:B,MATCH(D581,'Ist Vorjahr Monat 11'!A:A,0)),
IF(ISERROR(MATCH(D581,'Ist Vorjahr Monat 12'!A:A,0))=FALSE,INDEX('Ist Vorjahr Monat 12'!B:B,MATCH(D581,'Ist Vorjahr Monat 12'!A:A,0)),
"{Konto unbekannt}"
)))))))))))),"")</f>
        <v/>
      </c>
      <c r="C581" s="1062"/>
      <c r="D581" s="1067"/>
      <c r="E581" s="625">
        <f t="shared" si="294"/>
        <v>-1</v>
      </c>
      <c r="F581" s="626" t="s">
        <v>996</v>
      </c>
      <c r="G581" s="593">
        <f ca="1">$E581*SUMIF(INDIRECT(G$3),'Struktur Vorjahr'!$D581,INDIRECT(G$8))*IFERROR(IF(VLOOKUP('Struktur Vorjahr'!$D581,INDIRECT(G$6),8,)="H",-1,1),0)</f>
        <v>0</v>
      </c>
      <c r="H581" s="593">
        <f ca="1">$E581*SUMIF(INDIRECT(H$3),'Struktur Vorjahr'!$D581,INDIRECT(H$8))*IFERROR(IF(VLOOKUP('Struktur Vorjahr'!$D581,INDIRECT(H$6),8,)="H",-1,1),0)</f>
        <v>0</v>
      </c>
      <c r="I581" s="593">
        <f ca="1">$E581*SUMIF(INDIRECT(I$3),'Struktur Vorjahr'!$D581,INDIRECT(I$8))*IFERROR(IF(VLOOKUP('Struktur Vorjahr'!$D581,INDIRECT(I$6),8,)="H",-1,1),0)</f>
        <v>0</v>
      </c>
      <c r="J581" s="593">
        <f ca="1">$E581*SUMIF(INDIRECT(J$3),'Struktur Vorjahr'!$D581,INDIRECT(J$8))*IFERROR(IF(VLOOKUP('Struktur Vorjahr'!$D581,INDIRECT(J$6),8,)="H",-1,1),0)</f>
        <v>0</v>
      </c>
      <c r="K581" s="593">
        <f ca="1">$E581*SUMIF(INDIRECT(K$3),'Struktur Vorjahr'!$D581,INDIRECT(K$8))*IFERROR(IF(VLOOKUP('Struktur Vorjahr'!$D581,INDIRECT(K$6),8,)="H",-1,1),0)</f>
        <v>0</v>
      </c>
      <c r="L581" s="593">
        <f ca="1">$E581*SUMIF(INDIRECT(L$3),'Struktur Vorjahr'!$D581,INDIRECT(L$8))*IFERROR(IF(VLOOKUP('Struktur Vorjahr'!$D581,INDIRECT(L$6),8,)="H",-1,1),0)</f>
        <v>0</v>
      </c>
      <c r="M581" s="593">
        <f ca="1">$E581*SUMIF(INDIRECT(M$3),'Struktur Vorjahr'!$D581,INDIRECT(M$8))*IFERROR(IF(VLOOKUP('Struktur Vorjahr'!$D581,INDIRECT(M$6),8,)="H",-1,1),0)</f>
        <v>0</v>
      </c>
      <c r="N581" s="593">
        <f ca="1">$E581*SUMIF(INDIRECT(N$3),'Struktur Vorjahr'!$D581,INDIRECT(N$8))*IFERROR(IF(VLOOKUP('Struktur Vorjahr'!$D581,INDIRECT(N$6),8,)="H",-1,1),0)</f>
        <v>0</v>
      </c>
      <c r="O581" s="593">
        <f ca="1">$E581*SUMIF(INDIRECT(O$3),'Struktur Vorjahr'!$D581,INDIRECT(O$8))*IFERROR(IF(VLOOKUP('Struktur Vorjahr'!$D581,INDIRECT(O$6),8,)="H",-1,1),0)</f>
        <v>0</v>
      </c>
      <c r="P581" s="593">
        <f ca="1">$E581*SUMIF(INDIRECT(P$3),'Struktur Vorjahr'!$D581,INDIRECT(P$8))*IFERROR(IF(VLOOKUP('Struktur Vorjahr'!$D581,INDIRECT(P$6),8,)="H",-1,1),0)</f>
        <v>0</v>
      </c>
      <c r="Q581" s="593">
        <f ca="1">$E581*SUMIF(INDIRECT(Q$3),'Struktur Vorjahr'!$D581,INDIRECT(Q$8))*IFERROR(IF(VLOOKUP('Struktur Vorjahr'!$D581,INDIRECT(Q$6),8,)="H",-1,1),0)</f>
        <v>0</v>
      </c>
      <c r="R581" s="593">
        <f ca="1">$E581*SUMIF(INDIRECT(R$3),'Struktur Vorjahr'!$D581,INDIRECT(R$8))*IFERROR(IF(VLOOKUP('Struktur Vorjahr'!$D581,INDIRECT(R$6),8,)="H",-1,1),0)</f>
        <v>0</v>
      </c>
      <c r="S581" s="593" t="e">
        <f ca="1">$E581*SUMIF(INDIRECT(S$3),'Struktur Vorjahr'!$D581,INDIRECT(S$8))*IFERROR(IF(VLOOKUP('Struktur Vorjahr'!$D581,INDIRECT(S$6),8,)="H",-1,1),0)</f>
        <v>#REF!</v>
      </c>
      <c r="T581" s="593" t="e">
        <f ca="1">$E581*SUMIF(INDIRECT(T$3),'Struktur Vorjahr'!$D581,INDIRECT(T$8))*IFERROR(IF(VLOOKUP('Struktur Vorjahr'!$D581,INDIRECT(T$6),8,)="H",-1,1),0)</f>
        <v>#REF!</v>
      </c>
      <c r="U581" s="593" t="e">
        <f ca="1">$E581*SUMIF(INDIRECT(U$3),'Struktur Vorjahr'!$D581,INDIRECT(U$8))*IFERROR(IF(VLOOKUP('Struktur Vorjahr'!$D581,INDIRECT(U$6),8,)="H",-1,1),0)</f>
        <v>#REF!</v>
      </c>
      <c r="V581" s="593" t="e">
        <f ca="1">$E581*SUMIF(INDIRECT(V$3),'Struktur Vorjahr'!$D581,INDIRECT(V$8))*IFERROR(IF(VLOOKUP('Struktur Vorjahr'!$D581,INDIRECT(V$6),8,)="H",-1,1),0)</f>
        <v>#REF!</v>
      </c>
      <c r="W581" s="593" t="e">
        <f ca="1">$E581*SUMIF(INDIRECT(W$3),'Struktur Vorjahr'!$D581,INDIRECT(W$8))*IFERROR(IF(VLOOKUP('Struktur Vorjahr'!$D581,INDIRECT(W$6),8,)="H",-1,1),0)</f>
        <v>#REF!</v>
      </c>
      <c r="X581" s="593" t="e">
        <f ca="1">$E581*SUMIF(INDIRECT(X$3),'Struktur Vorjahr'!$D581,INDIRECT(X$8))*IFERROR(IF(VLOOKUP('Struktur Vorjahr'!$D581,INDIRECT(X$6),8,)="H",-1,1),0)</f>
        <v>#REF!</v>
      </c>
      <c r="Y581" s="593" t="e">
        <f ca="1">$E581*SUMIF(INDIRECT(Y$3),'Struktur Vorjahr'!$D581,INDIRECT(Y$8))*IFERROR(IF(VLOOKUP('Struktur Vorjahr'!$D581,INDIRECT(Y$6),8,)="H",-1,1),0)</f>
        <v>#REF!</v>
      </c>
      <c r="Z581" s="593" t="e">
        <f ca="1">$E581*SUMIF(INDIRECT(Z$3),'Struktur Vorjahr'!$D581,INDIRECT(Z$8))*IFERROR(IF(VLOOKUP('Struktur Vorjahr'!$D581,INDIRECT(Z$6),8,)="H",-1,1),0)</f>
        <v>#REF!</v>
      </c>
      <c r="AA581" s="593" t="e">
        <f ca="1">$E581*SUMIF(INDIRECT(AA$3),'Struktur Vorjahr'!$D581,INDIRECT(AA$8))*IFERROR(IF(VLOOKUP('Struktur Vorjahr'!$D581,INDIRECT(AA$6),8,)="H",-1,1),0)</f>
        <v>#REF!</v>
      </c>
      <c r="AB581" s="593" t="e">
        <f ca="1">$E581*SUMIF(INDIRECT(AB$3),'Struktur Vorjahr'!$D581,INDIRECT(AB$8))*IFERROR(IF(VLOOKUP('Struktur Vorjahr'!$D581,INDIRECT(AB$6),8,)="H",-1,1),0)</f>
        <v>#REF!</v>
      </c>
      <c r="AC581" s="593" t="e">
        <f ca="1">$E581*SUMIF(INDIRECT(AC$3),'Struktur Vorjahr'!$D581,INDIRECT(AC$8))*IFERROR(IF(VLOOKUP('Struktur Vorjahr'!$D581,INDIRECT(AC$6),8,)="H",-1,1),0)</f>
        <v>#REF!</v>
      </c>
      <c r="AD581" s="593" t="e">
        <f ca="1">$E581*SUMIF(INDIRECT(AD$3),'Struktur Vorjahr'!$D581,INDIRECT(AD$8))*IFERROR(IF(VLOOKUP('Struktur Vorjahr'!$D581,INDIRECT(AD$6),8,)="H",-1,1),0)</f>
        <v>#REF!</v>
      </c>
      <c r="AE581" s="593">
        <f t="shared" ca="1" si="292"/>
        <v>0</v>
      </c>
      <c r="AF581" s="593">
        <f t="shared" ca="1" si="293"/>
        <v>0</v>
      </c>
      <c r="AG581" s="593">
        <f t="shared" ca="1" si="293"/>
        <v>0</v>
      </c>
      <c r="AH581" s="593">
        <f t="shared" ca="1" si="293"/>
        <v>0</v>
      </c>
      <c r="AI581" s="593">
        <f t="shared" ca="1" si="293"/>
        <v>0</v>
      </c>
      <c r="AJ581" s="593">
        <f t="shared" ca="1" si="293"/>
        <v>0</v>
      </c>
      <c r="AK581" s="593">
        <f t="shared" ca="1" si="293"/>
        <v>0</v>
      </c>
      <c r="AL581" s="593">
        <f t="shared" ca="1" si="293"/>
        <v>0</v>
      </c>
      <c r="AM581" s="593">
        <f t="shared" ca="1" si="293"/>
        <v>0</v>
      </c>
      <c r="AN581" s="593">
        <f t="shared" ca="1" si="293"/>
        <v>0</v>
      </c>
      <c r="AO581" s="593">
        <f t="shared" ca="1" si="293"/>
        <v>0</v>
      </c>
      <c r="AP581" s="593">
        <f t="shared" ca="1" si="293"/>
        <v>0</v>
      </c>
    </row>
    <row r="582" spans="1:42" s="594" customFormat="1" ht="11.25" x14ac:dyDescent="0.2">
      <c r="A582" s="644"/>
      <c r="B582" s="591" t="str">
        <f>IF(D582&lt;&gt;"",
IF(ISERROR(MATCH(D582,'Ist Vorjahr Monat 01'!A:A,0))=FALSE,INDEX('Ist Vorjahr Monat 01'!B:B,MATCH(D582,'Ist Vorjahr Monat 01'!A:A,0)),
IF(ISERROR(MATCH(D582,'Ist Vorjahr Monat 02'!A:A,0))=FALSE,INDEX('Ist Vorjahr Monat 02'!B:B,MATCH(D582,'Ist Vorjahr Monat 02'!A:A,0)),
IF(ISERROR(MATCH(D582,'Ist Vorjahr Monat 03'!A:A,0))=FALSE,INDEX('Ist Vorjahr Monat 03'!B:B,MATCH(D582,'Ist Vorjahr Monat 03'!A:A,0)),
IF(ISERROR(MATCH(D582,'Ist Vorjahr Monat 04'!A:A,0))=FALSE,INDEX('Ist Vorjahr Monat 04'!B:B,MATCH(D582,'Ist Vorjahr Monat 04'!A:A,0)),
IF(ISERROR(MATCH(D582,'Ist Vorjahr Monat 05'!A:A,0))=FALSE,INDEX('Ist Vorjahr Monat 05'!B:B,MATCH(D582,'Ist Vorjahr Monat 05'!A:A,0)),
IF(ISERROR(MATCH(D582,'Ist Vorjahr Monat 06'!A:A,0))=FALSE,INDEX('Ist Vorjahr Monat 06'!B:B,MATCH(D582,'Ist Vorjahr Monat 06'!A:A,0)),
IF(ISERROR(MATCH(D582,'Ist Vorjahr Monat 07'!A:A,0))=FALSE,INDEX('Ist Vorjahr Monat 07'!B:B,MATCH(D582,'Ist Vorjahr Monat 07'!A:A,0)),
IF(ISERROR(MATCH(D582,'Ist Vorjahr Monat 08'!A:A,0))=FALSE,INDEX('Ist Vorjahr Monat 08'!B:B,MATCH(D582,'Ist Vorjahr Monat 08'!A:A,0)),
IF(ISERROR(MATCH(D582,'Ist Vorjahr Monat 09'!A:A,0))=FALSE,INDEX('Ist Vorjahr Monat 09'!B:B,MATCH(D582,'Ist Vorjahr Monat 09'!A:A,0)),
IF(ISERROR(MATCH(D582,'Ist Vorjahr Monat 10'!A:A,0))=FALSE,INDEX('Ist Vorjahr Monat 10'!B:B,MATCH(D582,'Ist Vorjahr Monat 10'!A:A,0)),
IF(ISERROR(MATCH(D582,'Ist Vorjahr Monat 11'!A:A,0))=FALSE,INDEX('Ist Vorjahr Monat 11'!B:B,MATCH(D582,'Ist Vorjahr Monat 11'!A:A,0)),
IF(ISERROR(MATCH(D582,'Ist Vorjahr Monat 12'!A:A,0))=FALSE,INDEX('Ist Vorjahr Monat 12'!B:B,MATCH(D582,'Ist Vorjahr Monat 12'!A:A,0)),
"{Konto unbekannt}"
)))))))))))),"")</f>
        <v/>
      </c>
      <c r="C582" s="1062"/>
      <c r="D582" s="1067"/>
      <c r="E582" s="625">
        <f t="shared" si="294"/>
        <v>-1</v>
      </c>
      <c r="F582" s="626" t="s">
        <v>996</v>
      </c>
      <c r="G582" s="593">
        <f ca="1">$E582*SUMIF(INDIRECT(G$3),'Struktur Vorjahr'!$D582,INDIRECT(G$8))*IFERROR(IF(VLOOKUP('Struktur Vorjahr'!$D582,INDIRECT(G$6),8,)="H",-1,1),0)</f>
        <v>0</v>
      </c>
      <c r="H582" s="593">
        <f ca="1">$E582*SUMIF(INDIRECT(H$3),'Struktur Vorjahr'!$D582,INDIRECT(H$8))*IFERROR(IF(VLOOKUP('Struktur Vorjahr'!$D582,INDIRECT(H$6),8,)="H",-1,1),0)</f>
        <v>0</v>
      </c>
      <c r="I582" s="593">
        <f ca="1">$E582*SUMIF(INDIRECT(I$3),'Struktur Vorjahr'!$D582,INDIRECT(I$8))*IFERROR(IF(VLOOKUP('Struktur Vorjahr'!$D582,INDIRECT(I$6),8,)="H",-1,1),0)</f>
        <v>0</v>
      </c>
      <c r="J582" s="593">
        <f ca="1">$E582*SUMIF(INDIRECT(J$3),'Struktur Vorjahr'!$D582,INDIRECT(J$8))*IFERROR(IF(VLOOKUP('Struktur Vorjahr'!$D582,INDIRECT(J$6),8,)="H",-1,1),0)</f>
        <v>0</v>
      </c>
      <c r="K582" s="593">
        <f ca="1">$E582*SUMIF(INDIRECT(K$3),'Struktur Vorjahr'!$D582,INDIRECT(K$8))*IFERROR(IF(VLOOKUP('Struktur Vorjahr'!$D582,INDIRECT(K$6),8,)="H",-1,1),0)</f>
        <v>0</v>
      </c>
      <c r="L582" s="593">
        <f ca="1">$E582*SUMIF(INDIRECT(L$3),'Struktur Vorjahr'!$D582,INDIRECT(L$8))*IFERROR(IF(VLOOKUP('Struktur Vorjahr'!$D582,INDIRECT(L$6),8,)="H",-1,1),0)</f>
        <v>0</v>
      </c>
      <c r="M582" s="593">
        <f ca="1">$E582*SUMIF(INDIRECT(M$3),'Struktur Vorjahr'!$D582,INDIRECT(M$8))*IFERROR(IF(VLOOKUP('Struktur Vorjahr'!$D582,INDIRECT(M$6),8,)="H",-1,1),0)</f>
        <v>0</v>
      </c>
      <c r="N582" s="593">
        <f ca="1">$E582*SUMIF(INDIRECT(N$3),'Struktur Vorjahr'!$D582,INDIRECT(N$8))*IFERROR(IF(VLOOKUP('Struktur Vorjahr'!$D582,INDIRECT(N$6),8,)="H",-1,1),0)</f>
        <v>0</v>
      </c>
      <c r="O582" s="593">
        <f ca="1">$E582*SUMIF(INDIRECT(O$3),'Struktur Vorjahr'!$D582,INDIRECT(O$8))*IFERROR(IF(VLOOKUP('Struktur Vorjahr'!$D582,INDIRECT(O$6),8,)="H",-1,1),0)</f>
        <v>0</v>
      </c>
      <c r="P582" s="593">
        <f ca="1">$E582*SUMIF(INDIRECT(P$3),'Struktur Vorjahr'!$D582,INDIRECT(P$8))*IFERROR(IF(VLOOKUP('Struktur Vorjahr'!$D582,INDIRECT(P$6),8,)="H",-1,1),0)</f>
        <v>0</v>
      </c>
      <c r="Q582" s="593">
        <f ca="1">$E582*SUMIF(INDIRECT(Q$3),'Struktur Vorjahr'!$D582,INDIRECT(Q$8))*IFERROR(IF(VLOOKUP('Struktur Vorjahr'!$D582,INDIRECT(Q$6),8,)="H",-1,1),0)</f>
        <v>0</v>
      </c>
      <c r="R582" s="593">
        <f ca="1">$E582*SUMIF(INDIRECT(R$3),'Struktur Vorjahr'!$D582,INDIRECT(R$8))*IFERROR(IF(VLOOKUP('Struktur Vorjahr'!$D582,INDIRECT(R$6),8,)="H",-1,1),0)</f>
        <v>0</v>
      </c>
      <c r="S582" s="593" t="e">
        <f ca="1">$E582*SUMIF(INDIRECT(S$3),'Struktur Vorjahr'!$D582,INDIRECT(S$8))*IFERROR(IF(VLOOKUP('Struktur Vorjahr'!$D582,INDIRECT(S$6),8,)="H",-1,1),0)</f>
        <v>#REF!</v>
      </c>
      <c r="T582" s="593" t="e">
        <f ca="1">$E582*SUMIF(INDIRECT(T$3),'Struktur Vorjahr'!$D582,INDIRECT(T$8))*IFERROR(IF(VLOOKUP('Struktur Vorjahr'!$D582,INDIRECT(T$6),8,)="H",-1,1),0)</f>
        <v>#REF!</v>
      </c>
      <c r="U582" s="593" t="e">
        <f ca="1">$E582*SUMIF(INDIRECT(U$3),'Struktur Vorjahr'!$D582,INDIRECT(U$8))*IFERROR(IF(VLOOKUP('Struktur Vorjahr'!$D582,INDIRECT(U$6),8,)="H",-1,1),0)</f>
        <v>#REF!</v>
      </c>
      <c r="V582" s="593" t="e">
        <f ca="1">$E582*SUMIF(INDIRECT(V$3),'Struktur Vorjahr'!$D582,INDIRECT(V$8))*IFERROR(IF(VLOOKUP('Struktur Vorjahr'!$D582,INDIRECT(V$6),8,)="H",-1,1),0)</f>
        <v>#REF!</v>
      </c>
      <c r="W582" s="593" t="e">
        <f ca="1">$E582*SUMIF(INDIRECT(W$3),'Struktur Vorjahr'!$D582,INDIRECT(W$8))*IFERROR(IF(VLOOKUP('Struktur Vorjahr'!$D582,INDIRECT(W$6),8,)="H",-1,1),0)</f>
        <v>#REF!</v>
      </c>
      <c r="X582" s="593" t="e">
        <f ca="1">$E582*SUMIF(INDIRECT(X$3),'Struktur Vorjahr'!$D582,INDIRECT(X$8))*IFERROR(IF(VLOOKUP('Struktur Vorjahr'!$D582,INDIRECT(X$6),8,)="H",-1,1),0)</f>
        <v>#REF!</v>
      </c>
      <c r="Y582" s="593" t="e">
        <f ca="1">$E582*SUMIF(INDIRECT(Y$3),'Struktur Vorjahr'!$D582,INDIRECT(Y$8))*IFERROR(IF(VLOOKUP('Struktur Vorjahr'!$D582,INDIRECT(Y$6),8,)="H",-1,1),0)</f>
        <v>#REF!</v>
      </c>
      <c r="Z582" s="593" t="e">
        <f ca="1">$E582*SUMIF(INDIRECT(Z$3),'Struktur Vorjahr'!$D582,INDIRECT(Z$8))*IFERROR(IF(VLOOKUP('Struktur Vorjahr'!$D582,INDIRECT(Z$6),8,)="H",-1,1),0)</f>
        <v>#REF!</v>
      </c>
      <c r="AA582" s="593" t="e">
        <f ca="1">$E582*SUMIF(INDIRECT(AA$3),'Struktur Vorjahr'!$D582,INDIRECT(AA$8))*IFERROR(IF(VLOOKUP('Struktur Vorjahr'!$D582,INDIRECT(AA$6),8,)="H",-1,1),0)</f>
        <v>#REF!</v>
      </c>
      <c r="AB582" s="593" t="e">
        <f ca="1">$E582*SUMIF(INDIRECT(AB$3),'Struktur Vorjahr'!$D582,INDIRECT(AB$8))*IFERROR(IF(VLOOKUP('Struktur Vorjahr'!$D582,INDIRECT(AB$6),8,)="H",-1,1),0)</f>
        <v>#REF!</v>
      </c>
      <c r="AC582" s="593" t="e">
        <f ca="1">$E582*SUMIF(INDIRECT(AC$3),'Struktur Vorjahr'!$D582,INDIRECT(AC$8))*IFERROR(IF(VLOOKUP('Struktur Vorjahr'!$D582,INDIRECT(AC$6),8,)="H",-1,1),0)</f>
        <v>#REF!</v>
      </c>
      <c r="AD582" s="593" t="e">
        <f ca="1">$E582*SUMIF(INDIRECT(AD$3),'Struktur Vorjahr'!$D582,INDIRECT(AD$8))*IFERROR(IF(VLOOKUP('Struktur Vorjahr'!$D582,INDIRECT(AD$6),8,)="H",-1,1),0)</f>
        <v>#REF!</v>
      </c>
      <c r="AE582" s="593">
        <f t="shared" ca="1" si="292"/>
        <v>0</v>
      </c>
      <c r="AF582" s="593">
        <f t="shared" ca="1" si="293"/>
        <v>0</v>
      </c>
      <c r="AG582" s="593">
        <f t="shared" ca="1" si="293"/>
        <v>0</v>
      </c>
      <c r="AH582" s="593">
        <f t="shared" ca="1" si="293"/>
        <v>0</v>
      </c>
      <c r="AI582" s="593">
        <f t="shared" ca="1" si="293"/>
        <v>0</v>
      </c>
      <c r="AJ582" s="593">
        <f t="shared" ca="1" si="293"/>
        <v>0</v>
      </c>
      <c r="AK582" s="593">
        <f t="shared" ca="1" si="293"/>
        <v>0</v>
      </c>
      <c r="AL582" s="593">
        <f t="shared" ca="1" si="293"/>
        <v>0</v>
      </c>
      <c r="AM582" s="593">
        <f t="shared" ca="1" si="293"/>
        <v>0</v>
      </c>
      <c r="AN582" s="593">
        <f t="shared" ca="1" si="293"/>
        <v>0</v>
      </c>
      <c r="AO582" s="593">
        <f t="shared" ca="1" si="293"/>
        <v>0</v>
      </c>
      <c r="AP582" s="593">
        <f t="shared" ca="1" si="293"/>
        <v>0</v>
      </c>
    </row>
    <row r="583" spans="1:42" s="594" customFormat="1" ht="11.25" x14ac:dyDescent="0.2">
      <c r="A583" s="644"/>
      <c r="B583" s="591" t="str">
        <f>IF(D583&lt;&gt;"",
IF(ISERROR(MATCH(D583,'Ist Vorjahr Monat 01'!A:A,0))=FALSE,INDEX('Ist Vorjahr Monat 01'!B:B,MATCH(D583,'Ist Vorjahr Monat 01'!A:A,0)),
IF(ISERROR(MATCH(D583,'Ist Vorjahr Monat 02'!A:A,0))=FALSE,INDEX('Ist Vorjahr Monat 02'!B:B,MATCH(D583,'Ist Vorjahr Monat 02'!A:A,0)),
IF(ISERROR(MATCH(D583,'Ist Vorjahr Monat 03'!A:A,0))=FALSE,INDEX('Ist Vorjahr Monat 03'!B:B,MATCH(D583,'Ist Vorjahr Monat 03'!A:A,0)),
IF(ISERROR(MATCH(D583,'Ist Vorjahr Monat 04'!A:A,0))=FALSE,INDEX('Ist Vorjahr Monat 04'!B:B,MATCH(D583,'Ist Vorjahr Monat 04'!A:A,0)),
IF(ISERROR(MATCH(D583,'Ist Vorjahr Monat 05'!A:A,0))=FALSE,INDEX('Ist Vorjahr Monat 05'!B:B,MATCH(D583,'Ist Vorjahr Monat 05'!A:A,0)),
IF(ISERROR(MATCH(D583,'Ist Vorjahr Monat 06'!A:A,0))=FALSE,INDEX('Ist Vorjahr Monat 06'!B:B,MATCH(D583,'Ist Vorjahr Monat 06'!A:A,0)),
IF(ISERROR(MATCH(D583,'Ist Vorjahr Monat 07'!A:A,0))=FALSE,INDEX('Ist Vorjahr Monat 07'!B:B,MATCH(D583,'Ist Vorjahr Monat 07'!A:A,0)),
IF(ISERROR(MATCH(D583,'Ist Vorjahr Monat 08'!A:A,0))=FALSE,INDEX('Ist Vorjahr Monat 08'!B:B,MATCH(D583,'Ist Vorjahr Monat 08'!A:A,0)),
IF(ISERROR(MATCH(D583,'Ist Vorjahr Monat 09'!A:A,0))=FALSE,INDEX('Ist Vorjahr Monat 09'!B:B,MATCH(D583,'Ist Vorjahr Monat 09'!A:A,0)),
IF(ISERROR(MATCH(D583,'Ist Vorjahr Monat 10'!A:A,0))=FALSE,INDEX('Ist Vorjahr Monat 10'!B:B,MATCH(D583,'Ist Vorjahr Monat 10'!A:A,0)),
IF(ISERROR(MATCH(D583,'Ist Vorjahr Monat 11'!A:A,0))=FALSE,INDEX('Ist Vorjahr Monat 11'!B:B,MATCH(D583,'Ist Vorjahr Monat 11'!A:A,0)),
IF(ISERROR(MATCH(D583,'Ist Vorjahr Monat 12'!A:A,0))=FALSE,INDEX('Ist Vorjahr Monat 12'!B:B,MATCH(D583,'Ist Vorjahr Monat 12'!A:A,0)),
"{Konto unbekannt}"
)))))))))))),"")</f>
        <v/>
      </c>
      <c r="C583" s="1062"/>
      <c r="D583" s="1067"/>
      <c r="E583" s="625">
        <f>IF(F583="-",-1,1)</f>
        <v>-1</v>
      </c>
      <c r="F583" s="626" t="s">
        <v>996</v>
      </c>
      <c r="G583" s="593">
        <f ca="1">$E583*SUMIF(INDIRECT(G$3),'Struktur Vorjahr'!$D583,INDIRECT(G$8))*IFERROR(IF(VLOOKUP('Struktur Vorjahr'!$D583,INDIRECT(G$6),8,)="H",-1,1),0)</f>
        <v>0</v>
      </c>
      <c r="H583" s="593">
        <f ca="1">$E583*SUMIF(INDIRECT(H$3),'Struktur Vorjahr'!$D583,INDIRECT(H$8))*IFERROR(IF(VLOOKUP('Struktur Vorjahr'!$D583,INDIRECT(H$6),8,)="H",-1,1),0)</f>
        <v>0</v>
      </c>
      <c r="I583" s="593">
        <f ca="1">$E583*SUMIF(INDIRECT(I$3),'Struktur Vorjahr'!$D583,INDIRECT(I$8))*IFERROR(IF(VLOOKUP('Struktur Vorjahr'!$D583,INDIRECT(I$6),8,)="H",-1,1),0)</f>
        <v>0</v>
      </c>
      <c r="J583" s="593">
        <f ca="1">$E583*SUMIF(INDIRECT(J$3),'Struktur Vorjahr'!$D583,INDIRECT(J$8))*IFERROR(IF(VLOOKUP('Struktur Vorjahr'!$D583,INDIRECT(J$6),8,)="H",-1,1),0)</f>
        <v>0</v>
      </c>
      <c r="K583" s="593">
        <f ca="1">$E583*SUMIF(INDIRECT(K$3),'Struktur Vorjahr'!$D583,INDIRECT(K$8))*IFERROR(IF(VLOOKUP('Struktur Vorjahr'!$D583,INDIRECT(K$6),8,)="H",-1,1),0)</f>
        <v>0</v>
      </c>
      <c r="L583" s="593">
        <f ca="1">$E583*SUMIF(INDIRECT(L$3),'Struktur Vorjahr'!$D583,INDIRECT(L$8))*IFERROR(IF(VLOOKUP('Struktur Vorjahr'!$D583,INDIRECT(L$6),8,)="H",-1,1),0)</f>
        <v>0</v>
      </c>
      <c r="M583" s="593">
        <f ca="1">$E583*SUMIF(INDIRECT(M$3),'Struktur Vorjahr'!$D583,INDIRECT(M$8))*IFERROR(IF(VLOOKUP('Struktur Vorjahr'!$D583,INDIRECT(M$6),8,)="H",-1,1),0)</f>
        <v>0</v>
      </c>
      <c r="N583" s="593">
        <f ca="1">$E583*SUMIF(INDIRECT(N$3),'Struktur Vorjahr'!$D583,INDIRECT(N$8))*IFERROR(IF(VLOOKUP('Struktur Vorjahr'!$D583,INDIRECT(N$6),8,)="H",-1,1),0)</f>
        <v>0</v>
      </c>
      <c r="O583" s="593">
        <f ca="1">$E583*SUMIF(INDIRECT(O$3),'Struktur Vorjahr'!$D583,INDIRECT(O$8))*IFERROR(IF(VLOOKUP('Struktur Vorjahr'!$D583,INDIRECT(O$6),8,)="H",-1,1),0)</f>
        <v>0</v>
      </c>
      <c r="P583" s="593">
        <f ca="1">$E583*SUMIF(INDIRECT(P$3),'Struktur Vorjahr'!$D583,INDIRECT(P$8))*IFERROR(IF(VLOOKUP('Struktur Vorjahr'!$D583,INDIRECT(P$6),8,)="H",-1,1),0)</f>
        <v>0</v>
      </c>
      <c r="Q583" s="593">
        <f ca="1">$E583*SUMIF(INDIRECT(Q$3),'Struktur Vorjahr'!$D583,INDIRECT(Q$8))*IFERROR(IF(VLOOKUP('Struktur Vorjahr'!$D583,INDIRECT(Q$6),8,)="H",-1,1),0)</f>
        <v>0</v>
      </c>
      <c r="R583" s="593">
        <f ca="1">$E583*SUMIF(INDIRECT(R$3),'Struktur Vorjahr'!$D583,INDIRECT(R$8))*IFERROR(IF(VLOOKUP('Struktur Vorjahr'!$D583,INDIRECT(R$6),8,)="H",-1,1),0)</f>
        <v>0</v>
      </c>
      <c r="S583" s="593" t="e">
        <f ca="1">$E583*SUMIF(INDIRECT(S$3),'Struktur Vorjahr'!$D583,INDIRECT(S$8))*IFERROR(IF(VLOOKUP('Struktur Vorjahr'!$D583,INDIRECT(S$6),8,)="H",-1,1),0)</f>
        <v>#REF!</v>
      </c>
      <c r="T583" s="593" t="e">
        <f ca="1">$E583*SUMIF(INDIRECT(T$3),'Struktur Vorjahr'!$D583,INDIRECT(T$8))*IFERROR(IF(VLOOKUP('Struktur Vorjahr'!$D583,INDIRECT(T$6),8,)="H",-1,1),0)</f>
        <v>#REF!</v>
      </c>
      <c r="U583" s="593" t="e">
        <f ca="1">$E583*SUMIF(INDIRECT(U$3),'Struktur Vorjahr'!$D583,INDIRECT(U$8))*IFERROR(IF(VLOOKUP('Struktur Vorjahr'!$D583,INDIRECT(U$6),8,)="H",-1,1),0)</f>
        <v>#REF!</v>
      </c>
      <c r="V583" s="593" t="e">
        <f ca="1">$E583*SUMIF(INDIRECT(V$3),'Struktur Vorjahr'!$D583,INDIRECT(V$8))*IFERROR(IF(VLOOKUP('Struktur Vorjahr'!$D583,INDIRECT(V$6),8,)="H",-1,1),0)</f>
        <v>#REF!</v>
      </c>
      <c r="W583" s="593" t="e">
        <f ca="1">$E583*SUMIF(INDIRECT(W$3),'Struktur Vorjahr'!$D583,INDIRECT(W$8))*IFERROR(IF(VLOOKUP('Struktur Vorjahr'!$D583,INDIRECT(W$6),8,)="H",-1,1),0)</f>
        <v>#REF!</v>
      </c>
      <c r="X583" s="593" t="e">
        <f ca="1">$E583*SUMIF(INDIRECT(X$3),'Struktur Vorjahr'!$D583,INDIRECT(X$8))*IFERROR(IF(VLOOKUP('Struktur Vorjahr'!$D583,INDIRECT(X$6),8,)="H",-1,1),0)</f>
        <v>#REF!</v>
      </c>
      <c r="Y583" s="593" t="e">
        <f ca="1">$E583*SUMIF(INDIRECT(Y$3),'Struktur Vorjahr'!$D583,INDIRECT(Y$8))*IFERROR(IF(VLOOKUP('Struktur Vorjahr'!$D583,INDIRECT(Y$6),8,)="H",-1,1),0)</f>
        <v>#REF!</v>
      </c>
      <c r="Z583" s="593" t="e">
        <f ca="1">$E583*SUMIF(INDIRECT(Z$3),'Struktur Vorjahr'!$D583,INDIRECT(Z$8))*IFERROR(IF(VLOOKUP('Struktur Vorjahr'!$D583,INDIRECT(Z$6),8,)="H",-1,1),0)</f>
        <v>#REF!</v>
      </c>
      <c r="AA583" s="593" t="e">
        <f ca="1">$E583*SUMIF(INDIRECT(AA$3),'Struktur Vorjahr'!$D583,INDIRECT(AA$8))*IFERROR(IF(VLOOKUP('Struktur Vorjahr'!$D583,INDIRECT(AA$6),8,)="H",-1,1),0)</f>
        <v>#REF!</v>
      </c>
      <c r="AB583" s="593" t="e">
        <f ca="1">$E583*SUMIF(INDIRECT(AB$3),'Struktur Vorjahr'!$D583,INDIRECT(AB$8))*IFERROR(IF(VLOOKUP('Struktur Vorjahr'!$D583,INDIRECT(AB$6),8,)="H",-1,1),0)</f>
        <v>#REF!</v>
      </c>
      <c r="AC583" s="593" t="e">
        <f ca="1">$E583*SUMIF(INDIRECT(AC$3),'Struktur Vorjahr'!$D583,INDIRECT(AC$8))*IFERROR(IF(VLOOKUP('Struktur Vorjahr'!$D583,INDIRECT(AC$6),8,)="H",-1,1),0)</f>
        <v>#REF!</v>
      </c>
      <c r="AD583" s="593" t="e">
        <f ca="1">$E583*SUMIF(INDIRECT(AD$3),'Struktur Vorjahr'!$D583,INDIRECT(AD$8))*IFERROR(IF(VLOOKUP('Struktur Vorjahr'!$D583,INDIRECT(AD$6),8,)="H",-1,1),0)</f>
        <v>#REF!</v>
      </c>
      <c r="AE583" s="593">
        <f t="shared" ca="1" si="292"/>
        <v>0</v>
      </c>
      <c r="AF583" s="593">
        <f t="shared" ca="1" si="293"/>
        <v>0</v>
      </c>
      <c r="AG583" s="593">
        <f t="shared" ca="1" si="293"/>
        <v>0</v>
      </c>
      <c r="AH583" s="593">
        <f t="shared" ca="1" si="293"/>
        <v>0</v>
      </c>
      <c r="AI583" s="593">
        <f t="shared" ca="1" si="293"/>
        <v>0</v>
      </c>
      <c r="AJ583" s="593">
        <f t="shared" ca="1" si="293"/>
        <v>0</v>
      </c>
      <c r="AK583" s="593">
        <f t="shared" ca="1" si="293"/>
        <v>0</v>
      </c>
      <c r="AL583" s="593">
        <f t="shared" ca="1" si="293"/>
        <v>0</v>
      </c>
      <c r="AM583" s="593">
        <f t="shared" ca="1" si="293"/>
        <v>0</v>
      </c>
      <c r="AN583" s="593">
        <f t="shared" ca="1" si="293"/>
        <v>0</v>
      </c>
      <c r="AO583" s="593">
        <f t="shared" ca="1" si="293"/>
        <v>0</v>
      </c>
      <c r="AP583" s="593">
        <f t="shared" ca="1" si="293"/>
        <v>0</v>
      </c>
    </row>
    <row r="584" spans="1:42" s="589" customFormat="1" x14ac:dyDescent="0.2">
      <c r="A584" s="629">
        <v>54</v>
      </c>
      <c r="B584" s="623" t="s">
        <v>339</v>
      </c>
      <c r="C584" s="627">
        <f ca="1">SUM(G584:R584)</f>
        <v>0</v>
      </c>
      <c r="D584" s="627"/>
      <c r="E584" s="628">
        <f t="shared" si="237"/>
        <v>1</v>
      </c>
      <c r="F584" s="628"/>
      <c r="G584" s="627">
        <f t="shared" ref="G584:AP584" ca="1" si="295">SUM(G585:G599)</f>
        <v>0</v>
      </c>
      <c r="H584" s="627">
        <f t="shared" ca="1" si="295"/>
        <v>0</v>
      </c>
      <c r="I584" s="627">
        <f t="shared" ca="1" si="295"/>
        <v>0</v>
      </c>
      <c r="J584" s="627">
        <f t="shared" ca="1" si="295"/>
        <v>0</v>
      </c>
      <c r="K584" s="627">
        <f t="shared" ca="1" si="295"/>
        <v>0</v>
      </c>
      <c r="L584" s="627">
        <f t="shared" ca="1" si="295"/>
        <v>0</v>
      </c>
      <c r="M584" s="627">
        <f t="shared" ca="1" si="295"/>
        <v>0</v>
      </c>
      <c r="N584" s="627">
        <f t="shared" ca="1" si="295"/>
        <v>0</v>
      </c>
      <c r="O584" s="627">
        <f t="shared" ca="1" si="295"/>
        <v>0</v>
      </c>
      <c r="P584" s="627">
        <f t="shared" ca="1" si="295"/>
        <v>0</v>
      </c>
      <c r="Q584" s="627">
        <f t="shared" ca="1" si="295"/>
        <v>0</v>
      </c>
      <c r="R584" s="627">
        <f t="shared" ca="1" si="295"/>
        <v>0</v>
      </c>
      <c r="S584" s="627" t="e">
        <f t="shared" ca="1" si="295"/>
        <v>#REF!</v>
      </c>
      <c r="T584" s="627" t="e">
        <f t="shared" ca="1" si="295"/>
        <v>#REF!</v>
      </c>
      <c r="U584" s="627" t="e">
        <f t="shared" ca="1" si="295"/>
        <v>#REF!</v>
      </c>
      <c r="V584" s="627" t="e">
        <f t="shared" ca="1" si="295"/>
        <v>#REF!</v>
      </c>
      <c r="W584" s="627" t="e">
        <f t="shared" ca="1" si="295"/>
        <v>#REF!</v>
      </c>
      <c r="X584" s="627" t="e">
        <f t="shared" ca="1" si="295"/>
        <v>#REF!</v>
      </c>
      <c r="Y584" s="627" t="e">
        <f t="shared" ca="1" si="295"/>
        <v>#REF!</v>
      </c>
      <c r="Z584" s="627" t="e">
        <f t="shared" ca="1" si="295"/>
        <v>#REF!</v>
      </c>
      <c r="AA584" s="627" t="e">
        <f t="shared" ca="1" si="295"/>
        <v>#REF!</v>
      </c>
      <c r="AB584" s="627" t="e">
        <f t="shared" ca="1" si="295"/>
        <v>#REF!</v>
      </c>
      <c r="AC584" s="627" t="e">
        <f t="shared" ca="1" si="295"/>
        <v>#REF!</v>
      </c>
      <c r="AD584" s="627" t="e">
        <f t="shared" ca="1" si="295"/>
        <v>#REF!</v>
      </c>
      <c r="AE584" s="627">
        <f t="shared" ca="1" si="295"/>
        <v>0</v>
      </c>
      <c r="AF584" s="627">
        <f t="shared" ca="1" si="295"/>
        <v>0</v>
      </c>
      <c r="AG584" s="627">
        <f t="shared" ca="1" si="295"/>
        <v>0</v>
      </c>
      <c r="AH584" s="627">
        <f t="shared" ca="1" si="295"/>
        <v>0</v>
      </c>
      <c r="AI584" s="627">
        <f t="shared" ca="1" si="295"/>
        <v>0</v>
      </c>
      <c r="AJ584" s="627">
        <f t="shared" ca="1" si="295"/>
        <v>0</v>
      </c>
      <c r="AK584" s="627">
        <f t="shared" ca="1" si="295"/>
        <v>0</v>
      </c>
      <c r="AL584" s="627">
        <f t="shared" ca="1" si="295"/>
        <v>0</v>
      </c>
      <c r="AM584" s="627">
        <f t="shared" ca="1" si="295"/>
        <v>0</v>
      </c>
      <c r="AN584" s="627">
        <f t="shared" ca="1" si="295"/>
        <v>0</v>
      </c>
      <c r="AO584" s="627">
        <f t="shared" ca="1" si="295"/>
        <v>0</v>
      </c>
      <c r="AP584" s="627">
        <f t="shared" ca="1" si="295"/>
        <v>0</v>
      </c>
    </row>
    <row r="585" spans="1:42" s="594" customFormat="1" ht="11.25" x14ac:dyDescent="0.2">
      <c r="A585" s="644"/>
      <c r="B585" s="591" t="str">
        <f>IF(D585&lt;&gt;"",
IF(ISERROR(MATCH(D585,'Ist Vorjahr Monat 01'!A:A,0))=FALSE,INDEX('Ist Vorjahr Monat 01'!B:B,MATCH(D585,'Ist Vorjahr Monat 01'!A:A,0)),
IF(ISERROR(MATCH(D585,'Ist Vorjahr Monat 02'!A:A,0))=FALSE,INDEX('Ist Vorjahr Monat 02'!B:B,MATCH(D585,'Ist Vorjahr Monat 02'!A:A,0)),
IF(ISERROR(MATCH(D585,'Ist Vorjahr Monat 03'!A:A,0))=FALSE,INDEX('Ist Vorjahr Monat 03'!B:B,MATCH(D585,'Ist Vorjahr Monat 03'!A:A,0)),
IF(ISERROR(MATCH(D585,'Ist Vorjahr Monat 04'!A:A,0))=FALSE,INDEX('Ist Vorjahr Monat 04'!B:B,MATCH(D585,'Ist Vorjahr Monat 04'!A:A,0)),
IF(ISERROR(MATCH(D585,'Ist Vorjahr Monat 05'!A:A,0))=FALSE,INDEX('Ist Vorjahr Monat 05'!B:B,MATCH(D585,'Ist Vorjahr Monat 05'!A:A,0)),
IF(ISERROR(MATCH(D585,'Ist Vorjahr Monat 06'!A:A,0))=FALSE,INDEX('Ist Vorjahr Monat 06'!B:B,MATCH(D585,'Ist Vorjahr Monat 06'!A:A,0)),
IF(ISERROR(MATCH(D585,'Ist Vorjahr Monat 07'!A:A,0))=FALSE,INDEX('Ist Vorjahr Monat 07'!B:B,MATCH(D585,'Ist Vorjahr Monat 07'!A:A,0)),
IF(ISERROR(MATCH(D585,'Ist Vorjahr Monat 08'!A:A,0))=FALSE,INDEX('Ist Vorjahr Monat 08'!B:B,MATCH(D585,'Ist Vorjahr Monat 08'!A:A,0)),
IF(ISERROR(MATCH(D585,'Ist Vorjahr Monat 09'!A:A,0))=FALSE,INDEX('Ist Vorjahr Monat 09'!B:B,MATCH(D585,'Ist Vorjahr Monat 09'!A:A,0)),
IF(ISERROR(MATCH(D585,'Ist Vorjahr Monat 10'!A:A,0))=FALSE,INDEX('Ist Vorjahr Monat 10'!B:B,MATCH(D585,'Ist Vorjahr Monat 10'!A:A,0)),
IF(ISERROR(MATCH(D585,'Ist Vorjahr Monat 11'!A:A,0))=FALSE,INDEX('Ist Vorjahr Monat 11'!B:B,MATCH(D585,'Ist Vorjahr Monat 11'!A:A,0)),
IF(ISERROR(MATCH(D585,'Ist Vorjahr Monat 12'!A:A,0))=FALSE,INDEX('Ist Vorjahr Monat 12'!B:B,MATCH(D585,'Ist Vorjahr Monat 12'!A:A,0)),
"{Konto unbekannt}"
)))))))))))),"")</f>
        <v>Abziehbare Vorsteuer 7%</v>
      </c>
      <c r="C585" s="1063"/>
      <c r="D585" s="1068">
        <v>1571</v>
      </c>
      <c r="E585" s="625">
        <f t="shared" si="237"/>
        <v>-1</v>
      </c>
      <c r="F585" s="626" t="s">
        <v>996</v>
      </c>
      <c r="G585" s="593">
        <f ca="1">$E585*SUMIF(INDIRECT(G$3),'Struktur Vorjahr'!$D585,INDIRECT(G$8))*IFERROR(IF(VLOOKUP('Struktur Vorjahr'!$D585,INDIRECT(G$6),8,)="H",-1,1),0)</f>
        <v>0</v>
      </c>
      <c r="H585" s="593">
        <f ca="1">$E585*SUMIF(INDIRECT(H$3),'Struktur Vorjahr'!$D585,INDIRECT(H$8))*IFERROR(IF(VLOOKUP('Struktur Vorjahr'!$D585,INDIRECT(H$6),8,)="H",-1,1),0)</f>
        <v>0</v>
      </c>
      <c r="I585" s="593">
        <f ca="1">$E585*SUMIF(INDIRECT(I$3),'Struktur Vorjahr'!$D585,INDIRECT(I$8))*IFERROR(IF(VLOOKUP('Struktur Vorjahr'!$D585,INDIRECT(I$6),8,)="H",-1,1),0)</f>
        <v>0</v>
      </c>
      <c r="J585" s="593">
        <f ca="1">$E585*SUMIF(INDIRECT(J$3),'Struktur Vorjahr'!$D585,INDIRECT(J$8))*IFERROR(IF(VLOOKUP('Struktur Vorjahr'!$D585,INDIRECT(J$6),8,)="H",-1,1),0)</f>
        <v>0</v>
      </c>
      <c r="K585" s="593">
        <f ca="1">$E585*SUMIF(INDIRECT(K$3),'Struktur Vorjahr'!$D585,INDIRECT(K$8))*IFERROR(IF(VLOOKUP('Struktur Vorjahr'!$D585,INDIRECT(K$6),8,)="H",-1,1),0)</f>
        <v>0</v>
      </c>
      <c r="L585" s="593">
        <f ca="1">$E585*SUMIF(INDIRECT(L$3),'Struktur Vorjahr'!$D585,INDIRECT(L$8))*IFERROR(IF(VLOOKUP('Struktur Vorjahr'!$D585,INDIRECT(L$6),8,)="H",-1,1),0)</f>
        <v>0</v>
      </c>
      <c r="M585" s="593">
        <f ca="1">$E585*SUMIF(INDIRECT(M$3),'Struktur Vorjahr'!$D585,INDIRECT(M$8))*IFERROR(IF(VLOOKUP('Struktur Vorjahr'!$D585,INDIRECT(M$6),8,)="H",-1,1),0)</f>
        <v>0</v>
      </c>
      <c r="N585" s="593">
        <f ca="1">$E585*SUMIF(INDIRECT(N$3),'Struktur Vorjahr'!$D585,INDIRECT(N$8))*IFERROR(IF(VLOOKUP('Struktur Vorjahr'!$D585,INDIRECT(N$6),8,)="H",-1,1),0)</f>
        <v>0</v>
      </c>
      <c r="O585" s="593">
        <f ca="1">$E585*SUMIF(INDIRECT(O$3),'Struktur Vorjahr'!$D585,INDIRECT(O$8))*IFERROR(IF(VLOOKUP('Struktur Vorjahr'!$D585,INDIRECT(O$6),8,)="H",-1,1),0)</f>
        <v>0</v>
      </c>
      <c r="P585" s="593">
        <f ca="1">$E585*SUMIF(INDIRECT(P$3),'Struktur Vorjahr'!$D585,INDIRECT(P$8))*IFERROR(IF(VLOOKUP('Struktur Vorjahr'!$D585,INDIRECT(P$6),8,)="H",-1,1),0)</f>
        <v>0</v>
      </c>
      <c r="Q585" s="593">
        <f ca="1">$E585*SUMIF(INDIRECT(Q$3),'Struktur Vorjahr'!$D585,INDIRECT(Q$8))*IFERROR(IF(VLOOKUP('Struktur Vorjahr'!$D585,INDIRECT(Q$6),8,)="H",-1,1),0)</f>
        <v>0</v>
      </c>
      <c r="R585" s="593">
        <f ca="1">$E585*SUMIF(INDIRECT(R$3),'Struktur Vorjahr'!$D585,INDIRECT(R$8))*IFERROR(IF(VLOOKUP('Struktur Vorjahr'!$D585,INDIRECT(R$6),8,)="H",-1,1),0)</f>
        <v>0</v>
      </c>
      <c r="S585" s="593" t="e">
        <f ca="1">$E585*SUMIF(INDIRECT(S$3),'Struktur Vorjahr'!$D585,INDIRECT(S$8))*IFERROR(IF(VLOOKUP('Struktur Vorjahr'!$D585,INDIRECT(S$6),8,)="H",-1,1),0)</f>
        <v>#REF!</v>
      </c>
      <c r="T585" s="593" t="e">
        <f ca="1">$E585*SUMIF(INDIRECT(T$3),'Struktur Vorjahr'!$D585,INDIRECT(T$8))*IFERROR(IF(VLOOKUP('Struktur Vorjahr'!$D585,INDIRECT(T$6),8,)="H",-1,1),0)</f>
        <v>#REF!</v>
      </c>
      <c r="U585" s="593" t="e">
        <f ca="1">$E585*SUMIF(INDIRECT(U$3),'Struktur Vorjahr'!$D585,INDIRECT(U$8))*IFERROR(IF(VLOOKUP('Struktur Vorjahr'!$D585,INDIRECT(U$6),8,)="H",-1,1),0)</f>
        <v>#REF!</v>
      </c>
      <c r="V585" s="593" t="e">
        <f ca="1">$E585*SUMIF(INDIRECT(V$3),'Struktur Vorjahr'!$D585,INDIRECT(V$8))*IFERROR(IF(VLOOKUP('Struktur Vorjahr'!$D585,INDIRECT(V$6),8,)="H",-1,1),0)</f>
        <v>#REF!</v>
      </c>
      <c r="W585" s="593" t="e">
        <f ca="1">$E585*SUMIF(INDIRECT(W$3),'Struktur Vorjahr'!$D585,INDIRECT(W$8))*IFERROR(IF(VLOOKUP('Struktur Vorjahr'!$D585,INDIRECT(W$6),8,)="H",-1,1),0)</f>
        <v>#REF!</v>
      </c>
      <c r="X585" s="593" t="e">
        <f ca="1">$E585*SUMIF(INDIRECT(X$3),'Struktur Vorjahr'!$D585,INDIRECT(X$8))*IFERROR(IF(VLOOKUP('Struktur Vorjahr'!$D585,INDIRECT(X$6),8,)="H",-1,1),0)</f>
        <v>#REF!</v>
      </c>
      <c r="Y585" s="593" t="e">
        <f ca="1">$E585*SUMIF(INDIRECT(Y$3),'Struktur Vorjahr'!$D585,INDIRECT(Y$8))*IFERROR(IF(VLOOKUP('Struktur Vorjahr'!$D585,INDIRECT(Y$6),8,)="H",-1,1),0)</f>
        <v>#REF!</v>
      </c>
      <c r="Z585" s="593" t="e">
        <f ca="1">$E585*SUMIF(INDIRECT(Z$3),'Struktur Vorjahr'!$D585,INDIRECT(Z$8))*IFERROR(IF(VLOOKUP('Struktur Vorjahr'!$D585,INDIRECT(Z$6),8,)="H",-1,1),0)</f>
        <v>#REF!</v>
      </c>
      <c r="AA585" s="593" t="e">
        <f ca="1">$E585*SUMIF(INDIRECT(AA$3),'Struktur Vorjahr'!$D585,INDIRECT(AA$8))*IFERROR(IF(VLOOKUP('Struktur Vorjahr'!$D585,INDIRECT(AA$6),8,)="H",-1,1),0)</f>
        <v>#REF!</v>
      </c>
      <c r="AB585" s="593" t="e">
        <f ca="1">$E585*SUMIF(INDIRECT(AB$3),'Struktur Vorjahr'!$D585,INDIRECT(AB$8))*IFERROR(IF(VLOOKUP('Struktur Vorjahr'!$D585,INDIRECT(AB$6),8,)="H",-1,1),0)</f>
        <v>#REF!</v>
      </c>
      <c r="AC585" s="593" t="e">
        <f ca="1">$E585*SUMIF(INDIRECT(AC$3),'Struktur Vorjahr'!$D585,INDIRECT(AC$8))*IFERROR(IF(VLOOKUP('Struktur Vorjahr'!$D585,INDIRECT(AC$6),8,)="H",-1,1),0)</f>
        <v>#REF!</v>
      </c>
      <c r="AD585" s="593" t="e">
        <f ca="1">$E585*SUMIF(INDIRECT(AD$3),'Struktur Vorjahr'!$D585,INDIRECT(AD$8))*IFERROR(IF(VLOOKUP('Struktur Vorjahr'!$D585,INDIRECT(AD$6),8,)="H",-1,1),0)</f>
        <v>#REF!</v>
      </c>
      <c r="AE585" s="593">
        <f t="shared" ref="AE585:AE599" ca="1" si="296">G585</f>
        <v>0</v>
      </c>
      <c r="AF585" s="593">
        <f t="shared" ref="AF585:AP599" ca="1" si="297">H585+AE585</f>
        <v>0</v>
      </c>
      <c r="AG585" s="593">
        <f t="shared" ca="1" si="297"/>
        <v>0</v>
      </c>
      <c r="AH585" s="593">
        <f t="shared" ca="1" si="297"/>
        <v>0</v>
      </c>
      <c r="AI585" s="593">
        <f t="shared" ca="1" si="297"/>
        <v>0</v>
      </c>
      <c r="AJ585" s="593">
        <f t="shared" ca="1" si="297"/>
        <v>0</v>
      </c>
      <c r="AK585" s="593">
        <f t="shared" ca="1" si="297"/>
        <v>0</v>
      </c>
      <c r="AL585" s="593">
        <f t="shared" ca="1" si="297"/>
        <v>0</v>
      </c>
      <c r="AM585" s="593">
        <f t="shared" ca="1" si="297"/>
        <v>0</v>
      </c>
      <c r="AN585" s="593">
        <f t="shared" ca="1" si="297"/>
        <v>0</v>
      </c>
      <c r="AO585" s="593">
        <f t="shared" ca="1" si="297"/>
        <v>0</v>
      </c>
      <c r="AP585" s="593">
        <f t="shared" ca="1" si="297"/>
        <v>0</v>
      </c>
    </row>
    <row r="586" spans="1:42" s="594" customFormat="1" ht="11.25" x14ac:dyDescent="0.2">
      <c r="A586" s="644"/>
      <c r="B586" s="591" t="str">
        <f>IF(D586&lt;&gt;"",
IF(ISERROR(MATCH(D586,'Ist Vorjahr Monat 01'!A:A,0))=FALSE,INDEX('Ist Vorjahr Monat 01'!B:B,MATCH(D586,'Ist Vorjahr Monat 01'!A:A,0)),
IF(ISERROR(MATCH(D586,'Ist Vorjahr Monat 02'!A:A,0))=FALSE,INDEX('Ist Vorjahr Monat 02'!B:B,MATCH(D586,'Ist Vorjahr Monat 02'!A:A,0)),
IF(ISERROR(MATCH(D586,'Ist Vorjahr Monat 03'!A:A,0))=FALSE,INDEX('Ist Vorjahr Monat 03'!B:B,MATCH(D586,'Ist Vorjahr Monat 03'!A:A,0)),
IF(ISERROR(MATCH(D586,'Ist Vorjahr Monat 04'!A:A,0))=FALSE,INDEX('Ist Vorjahr Monat 04'!B:B,MATCH(D586,'Ist Vorjahr Monat 04'!A:A,0)),
IF(ISERROR(MATCH(D586,'Ist Vorjahr Monat 05'!A:A,0))=FALSE,INDEX('Ist Vorjahr Monat 05'!B:B,MATCH(D586,'Ist Vorjahr Monat 05'!A:A,0)),
IF(ISERROR(MATCH(D586,'Ist Vorjahr Monat 06'!A:A,0))=FALSE,INDEX('Ist Vorjahr Monat 06'!B:B,MATCH(D586,'Ist Vorjahr Monat 06'!A:A,0)),
IF(ISERROR(MATCH(D586,'Ist Vorjahr Monat 07'!A:A,0))=FALSE,INDEX('Ist Vorjahr Monat 07'!B:B,MATCH(D586,'Ist Vorjahr Monat 07'!A:A,0)),
IF(ISERROR(MATCH(D586,'Ist Vorjahr Monat 08'!A:A,0))=FALSE,INDEX('Ist Vorjahr Monat 08'!B:B,MATCH(D586,'Ist Vorjahr Monat 08'!A:A,0)),
IF(ISERROR(MATCH(D586,'Ist Vorjahr Monat 09'!A:A,0))=FALSE,INDEX('Ist Vorjahr Monat 09'!B:B,MATCH(D586,'Ist Vorjahr Monat 09'!A:A,0)),
IF(ISERROR(MATCH(D586,'Ist Vorjahr Monat 10'!A:A,0))=FALSE,INDEX('Ist Vorjahr Monat 10'!B:B,MATCH(D586,'Ist Vorjahr Monat 10'!A:A,0)),
IF(ISERROR(MATCH(D586,'Ist Vorjahr Monat 11'!A:A,0))=FALSE,INDEX('Ist Vorjahr Monat 11'!B:B,MATCH(D586,'Ist Vorjahr Monat 11'!A:A,0)),
IF(ISERROR(MATCH(D586,'Ist Vorjahr Monat 12'!A:A,0))=FALSE,INDEX('Ist Vorjahr Monat 12'!B:B,MATCH(D586,'Ist Vorjahr Monat 12'!A:A,0)),
"{Konto unbekannt}"
)))))))))))),"")</f>
        <v>Abziehbare Vorsteuer aus EU-Erwerb 19%</v>
      </c>
      <c r="C586" s="1062"/>
      <c r="D586" s="1067">
        <v>1574</v>
      </c>
      <c r="E586" s="625">
        <f t="shared" si="237"/>
        <v>-1</v>
      </c>
      <c r="F586" s="626" t="s">
        <v>996</v>
      </c>
      <c r="G586" s="593">
        <f ca="1">$E586*SUMIF(INDIRECT(G$3),'Struktur Vorjahr'!$D586,INDIRECT(G$8))*IFERROR(IF(VLOOKUP('Struktur Vorjahr'!$D586,INDIRECT(G$6),8,)="H",-1,1),0)</f>
        <v>0</v>
      </c>
      <c r="H586" s="593">
        <f ca="1">$E586*SUMIF(INDIRECT(H$3),'Struktur Vorjahr'!$D586,INDIRECT(H$8))*IFERROR(IF(VLOOKUP('Struktur Vorjahr'!$D586,INDIRECT(H$6),8,)="H",-1,1),0)</f>
        <v>0</v>
      </c>
      <c r="I586" s="593">
        <f ca="1">$E586*SUMIF(INDIRECT(I$3),'Struktur Vorjahr'!$D586,INDIRECT(I$8))*IFERROR(IF(VLOOKUP('Struktur Vorjahr'!$D586,INDIRECT(I$6),8,)="H",-1,1),0)</f>
        <v>0</v>
      </c>
      <c r="J586" s="593">
        <f ca="1">$E586*SUMIF(INDIRECT(J$3),'Struktur Vorjahr'!$D586,INDIRECT(J$8))*IFERROR(IF(VLOOKUP('Struktur Vorjahr'!$D586,INDIRECT(J$6),8,)="H",-1,1),0)</f>
        <v>0</v>
      </c>
      <c r="K586" s="593">
        <f ca="1">$E586*SUMIF(INDIRECT(K$3),'Struktur Vorjahr'!$D586,INDIRECT(K$8))*IFERROR(IF(VLOOKUP('Struktur Vorjahr'!$D586,INDIRECT(K$6),8,)="H",-1,1),0)</f>
        <v>0</v>
      </c>
      <c r="L586" s="593">
        <f ca="1">$E586*SUMIF(INDIRECT(L$3),'Struktur Vorjahr'!$D586,INDIRECT(L$8))*IFERROR(IF(VLOOKUP('Struktur Vorjahr'!$D586,INDIRECT(L$6),8,)="H",-1,1),0)</f>
        <v>0</v>
      </c>
      <c r="M586" s="593">
        <f ca="1">$E586*SUMIF(INDIRECT(M$3),'Struktur Vorjahr'!$D586,INDIRECT(M$8))*IFERROR(IF(VLOOKUP('Struktur Vorjahr'!$D586,INDIRECT(M$6),8,)="H",-1,1),0)</f>
        <v>0</v>
      </c>
      <c r="N586" s="593">
        <f ca="1">$E586*SUMIF(INDIRECT(N$3),'Struktur Vorjahr'!$D586,INDIRECT(N$8))*IFERROR(IF(VLOOKUP('Struktur Vorjahr'!$D586,INDIRECT(N$6),8,)="H",-1,1),0)</f>
        <v>0</v>
      </c>
      <c r="O586" s="593">
        <f ca="1">$E586*SUMIF(INDIRECT(O$3),'Struktur Vorjahr'!$D586,INDIRECT(O$8))*IFERROR(IF(VLOOKUP('Struktur Vorjahr'!$D586,INDIRECT(O$6),8,)="H",-1,1),0)</f>
        <v>0</v>
      </c>
      <c r="P586" s="593">
        <f ca="1">$E586*SUMIF(INDIRECT(P$3),'Struktur Vorjahr'!$D586,INDIRECT(P$8))*IFERROR(IF(VLOOKUP('Struktur Vorjahr'!$D586,INDIRECT(P$6),8,)="H",-1,1),0)</f>
        <v>0</v>
      </c>
      <c r="Q586" s="593">
        <f ca="1">$E586*SUMIF(INDIRECT(Q$3),'Struktur Vorjahr'!$D586,INDIRECT(Q$8))*IFERROR(IF(VLOOKUP('Struktur Vorjahr'!$D586,INDIRECT(Q$6),8,)="H",-1,1),0)</f>
        <v>0</v>
      </c>
      <c r="R586" s="593">
        <f ca="1">$E586*SUMIF(INDIRECT(R$3),'Struktur Vorjahr'!$D586,INDIRECT(R$8))*IFERROR(IF(VLOOKUP('Struktur Vorjahr'!$D586,INDIRECT(R$6),8,)="H",-1,1),0)</f>
        <v>0</v>
      </c>
      <c r="S586" s="593" t="e">
        <f ca="1">$E586*SUMIF(INDIRECT(S$3),'Struktur Vorjahr'!$D586,INDIRECT(S$8))*IFERROR(IF(VLOOKUP('Struktur Vorjahr'!$D586,INDIRECT(S$6),8,)="H",-1,1),0)</f>
        <v>#REF!</v>
      </c>
      <c r="T586" s="593" t="e">
        <f ca="1">$E586*SUMIF(INDIRECT(T$3),'Struktur Vorjahr'!$D586,INDIRECT(T$8))*IFERROR(IF(VLOOKUP('Struktur Vorjahr'!$D586,INDIRECT(T$6),8,)="H",-1,1),0)</f>
        <v>#REF!</v>
      </c>
      <c r="U586" s="593" t="e">
        <f ca="1">$E586*SUMIF(INDIRECT(U$3),'Struktur Vorjahr'!$D586,INDIRECT(U$8))*IFERROR(IF(VLOOKUP('Struktur Vorjahr'!$D586,INDIRECT(U$6),8,)="H",-1,1),0)</f>
        <v>#REF!</v>
      </c>
      <c r="V586" s="593" t="e">
        <f ca="1">$E586*SUMIF(INDIRECT(V$3),'Struktur Vorjahr'!$D586,INDIRECT(V$8))*IFERROR(IF(VLOOKUP('Struktur Vorjahr'!$D586,INDIRECT(V$6),8,)="H",-1,1),0)</f>
        <v>#REF!</v>
      </c>
      <c r="W586" s="593" t="e">
        <f ca="1">$E586*SUMIF(INDIRECT(W$3),'Struktur Vorjahr'!$D586,INDIRECT(W$8))*IFERROR(IF(VLOOKUP('Struktur Vorjahr'!$D586,INDIRECT(W$6),8,)="H",-1,1),0)</f>
        <v>#REF!</v>
      </c>
      <c r="X586" s="593" t="e">
        <f ca="1">$E586*SUMIF(INDIRECT(X$3),'Struktur Vorjahr'!$D586,INDIRECT(X$8))*IFERROR(IF(VLOOKUP('Struktur Vorjahr'!$D586,INDIRECT(X$6),8,)="H",-1,1),0)</f>
        <v>#REF!</v>
      </c>
      <c r="Y586" s="593" t="e">
        <f ca="1">$E586*SUMIF(INDIRECT(Y$3),'Struktur Vorjahr'!$D586,INDIRECT(Y$8))*IFERROR(IF(VLOOKUP('Struktur Vorjahr'!$D586,INDIRECT(Y$6),8,)="H",-1,1),0)</f>
        <v>#REF!</v>
      </c>
      <c r="Z586" s="593" t="e">
        <f ca="1">$E586*SUMIF(INDIRECT(Z$3),'Struktur Vorjahr'!$D586,INDIRECT(Z$8))*IFERROR(IF(VLOOKUP('Struktur Vorjahr'!$D586,INDIRECT(Z$6),8,)="H",-1,1),0)</f>
        <v>#REF!</v>
      </c>
      <c r="AA586" s="593" t="e">
        <f ca="1">$E586*SUMIF(INDIRECT(AA$3),'Struktur Vorjahr'!$D586,INDIRECT(AA$8))*IFERROR(IF(VLOOKUP('Struktur Vorjahr'!$D586,INDIRECT(AA$6),8,)="H",-1,1),0)</f>
        <v>#REF!</v>
      </c>
      <c r="AB586" s="593" t="e">
        <f ca="1">$E586*SUMIF(INDIRECT(AB$3),'Struktur Vorjahr'!$D586,INDIRECT(AB$8))*IFERROR(IF(VLOOKUP('Struktur Vorjahr'!$D586,INDIRECT(AB$6),8,)="H",-1,1),0)</f>
        <v>#REF!</v>
      </c>
      <c r="AC586" s="593" t="e">
        <f ca="1">$E586*SUMIF(INDIRECT(AC$3),'Struktur Vorjahr'!$D586,INDIRECT(AC$8))*IFERROR(IF(VLOOKUP('Struktur Vorjahr'!$D586,INDIRECT(AC$6),8,)="H",-1,1),0)</f>
        <v>#REF!</v>
      </c>
      <c r="AD586" s="593" t="e">
        <f ca="1">$E586*SUMIF(INDIRECT(AD$3),'Struktur Vorjahr'!$D586,INDIRECT(AD$8))*IFERROR(IF(VLOOKUP('Struktur Vorjahr'!$D586,INDIRECT(AD$6),8,)="H",-1,1),0)</f>
        <v>#REF!</v>
      </c>
      <c r="AE586" s="593">
        <f t="shared" ca="1" si="296"/>
        <v>0</v>
      </c>
      <c r="AF586" s="593">
        <f t="shared" ca="1" si="297"/>
        <v>0</v>
      </c>
      <c r="AG586" s="593">
        <f t="shared" ca="1" si="297"/>
        <v>0</v>
      </c>
      <c r="AH586" s="593">
        <f t="shared" ca="1" si="297"/>
        <v>0</v>
      </c>
      <c r="AI586" s="593">
        <f t="shared" ca="1" si="297"/>
        <v>0</v>
      </c>
      <c r="AJ586" s="593">
        <f t="shared" ca="1" si="297"/>
        <v>0</v>
      </c>
      <c r="AK586" s="593">
        <f t="shared" ca="1" si="297"/>
        <v>0</v>
      </c>
      <c r="AL586" s="593">
        <f t="shared" ca="1" si="297"/>
        <v>0</v>
      </c>
      <c r="AM586" s="593">
        <f t="shared" ca="1" si="297"/>
        <v>0</v>
      </c>
      <c r="AN586" s="593">
        <f t="shared" ca="1" si="297"/>
        <v>0</v>
      </c>
      <c r="AO586" s="593">
        <f t="shared" ca="1" si="297"/>
        <v>0</v>
      </c>
      <c r="AP586" s="593">
        <f t="shared" ca="1" si="297"/>
        <v>0</v>
      </c>
    </row>
    <row r="587" spans="1:42" s="594" customFormat="1" ht="11.25" x14ac:dyDescent="0.2">
      <c r="A587" s="644"/>
      <c r="B587" s="591" t="str">
        <f>IF(D587&lt;&gt;"",
IF(ISERROR(MATCH(D587,'Ist Vorjahr Monat 01'!A:A,0))=FALSE,INDEX('Ist Vorjahr Monat 01'!B:B,MATCH(D587,'Ist Vorjahr Monat 01'!A:A,0)),
IF(ISERROR(MATCH(D587,'Ist Vorjahr Monat 02'!A:A,0))=FALSE,INDEX('Ist Vorjahr Monat 02'!B:B,MATCH(D587,'Ist Vorjahr Monat 02'!A:A,0)),
IF(ISERROR(MATCH(D587,'Ist Vorjahr Monat 03'!A:A,0))=FALSE,INDEX('Ist Vorjahr Monat 03'!B:B,MATCH(D587,'Ist Vorjahr Monat 03'!A:A,0)),
IF(ISERROR(MATCH(D587,'Ist Vorjahr Monat 04'!A:A,0))=FALSE,INDEX('Ist Vorjahr Monat 04'!B:B,MATCH(D587,'Ist Vorjahr Monat 04'!A:A,0)),
IF(ISERROR(MATCH(D587,'Ist Vorjahr Monat 05'!A:A,0))=FALSE,INDEX('Ist Vorjahr Monat 05'!B:B,MATCH(D587,'Ist Vorjahr Monat 05'!A:A,0)),
IF(ISERROR(MATCH(D587,'Ist Vorjahr Monat 06'!A:A,0))=FALSE,INDEX('Ist Vorjahr Monat 06'!B:B,MATCH(D587,'Ist Vorjahr Monat 06'!A:A,0)),
IF(ISERROR(MATCH(D587,'Ist Vorjahr Monat 07'!A:A,0))=FALSE,INDEX('Ist Vorjahr Monat 07'!B:B,MATCH(D587,'Ist Vorjahr Monat 07'!A:A,0)),
IF(ISERROR(MATCH(D587,'Ist Vorjahr Monat 08'!A:A,0))=FALSE,INDEX('Ist Vorjahr Monat 08'!B:B,MATCH(D587,'Ist Vorjahr Monat 08'!A:A,0)),
IF(ISERROR(MATCH(D587,'Ist Vorjahr Monat 09'!A:A,0))=FALSE,INDEX('Ist Vorjahr Monat 09'!B:B,MATCH(D587,'Ist Vorjahr Monat 09'!A:A,0)),
IF(ISERROR(MATCH(D587,'Ist Vorjahr Monat 10'!A:A,0))=FALSE,INDEX('Ist Vorjahr Monat 10'!B:B,MATCH(D587,'Ist Vorjahr Monat 10'!A:A,0)),
IF(ISERROR(MATCH(D587,'Ist Vorjahr Monat 11'!A:A,0))=FALSE,INDEX('Ist Vorjahr Monat 11'!B:B,MATCH(D587,'Ist Vorjahr Monat 11'!A:A,0)),
IF(ISERROR(MATCH(D587,'Ist Vorjahr Monat 12'!A:A,0))=FALSE,INDEX('Ist Vorjahr Monat 12'!B:B,MATCH(D587,'Ist Vorjahr Monat 12'!A:A,0)),
"{Konto unbekannt}"
)))))))))))),"")</f>
        <v>Abziehbare Vorsteuer 19%</v>
      </c>
      <c r="C587" s="1062"/>
      <c r="D587" s="1067">
        <v>1576</v>
      </c>
      <c r="E587" s="625">
        <f t="shared" si="237"/>
        <v>-1</v>
      </c>
      <c r="F587" s="626" t="s">
        <v>996</v>
      </c>
      <c r="G587" s="593">
        <f ca="1">$E587*SUMIF(INDIRECT(G$3),'Struktur Vorjahr'!$D587,INDIRECT(G$8))*IFERROR(IF(VLOOKUP('Struktur Vorjahr'!$D587,INDIRECT(G$6),8,)="H",-1,1),0)</f>
        <v>0</v>
      </c>
      <c r="H587" s="593">
        <f ca="1">$E587*SUMIF(INDIRECT(H$3),'Struktur Vorjahr'!$D587,INDIRECT(H$8))*IFERROR(IF(VLOOKUP('Struktur Vorjahr'!$D587,INDIRECT(H$6),8,)="H",-1,1),0)</f>
        <v>0</v>
      </c>
      <c r="I587" s="593">
        <f ca="1">$E587*SUMIF(INDIRECT(I$3),'Struktur Vorjahr'!$D587,INDIRECT(I$8))*IFERROR(IF(VLOOKUP('Struktur Vorjahr'!$D587,INDIRECT(I$6),8,)="H",-1,1),0)</f>
        <v>0</v>
      </c>
      <c r="J587" s="593">
        <f ca="1">$E587*SUMIF(INDIRECT(J$3),'Struktur Vorjahr'!$D587,INDIRECT(J$8))*IFERROR(IF(VLOOKUP('Struktur Vorjahr'!$D587,INDIRECT(J$6),8,)="H",-1,1),0)</f>
        <v>0</v>
      </c>
      <c r="K587" s="593">
        <f ca="1">$E587*SUMIF(INDIRECT(K$3),'Struktur Vorjahr'!$D587,INDIRECT(K$8))*IFERROR(IF(VLOOKUP('Struktur Vorjahr'!$D587,INDIRECT(K$6),8,)="H",-1,1),0)</f>
        <v>0</v>
      </c>
      <c r="L587" s="593">
        <f ca="1">$E587*SUMIF(INDIRECT(L$3),'Struktur Vorjahr'!$D587,INDIRECT(L$8))*IFERROR(IF(VLOOKUP('Struktur Vorjahr'!$D587,INDIRECT(L$6),8,)="H",-1,1),0)</f>
        <v>0</v>
      </c>
      <c r="M587" s="593">
        <f ca="1">$E587*SUMIF(INDIRECT(M$3),'Struktur Vorjahr'!$D587,INDIRECT(M$8))*IFERROR(IF(VLOOKUP('Struktur Vorjahr'!$D587,INDIRECT(M$6),8,)="H",-1,1),0)</f>
        <v>0</v>
      </c>
      <c r="N587" s="593">
        <f ca="1">$E587*SUMIF(INDIRECT(N$3),'Struktur Vorjahr'!$D587,INDIRECT(N$8))*IFERROR(IF(VLOOKUP('Struktur Vorjahr'!$D587,INDIRECT(N$6),8,)="H",-1,1),0)</f>
        <v>0</v>
      </c>
      <c r="O587" s="593">
        <f ca="1">$E587*SUMIF(INDIRECT(O$3),'Struktur Vorjahr'!$D587,INDIRECT(O$8))*IFERROR(IF(VLOOKUP('Struktur Vorjahr'!$D587,INDIRECT(O$6),8,)="H",-1,1),0)</f>
        <v>0</v>
      </c>
      <c r="P587" s="593">
        <f ca="1">$E587*SUMIF(INDIRECT(P$3),'Struktur Vorjahr'!$D587,INDIRECT(P$8))*IFERROR(IF(VLOOKUP('Struktur Vorjahr'!$D587,INDIRECT(P$6),8,)="H",-1,1),0)</f>
        <v>0</v>
      </c>
      <c r="Q587" s="593">
        <f ca="1">$E587*SUMIF(INDIRECT(Q$3),'Struktur Vorjahr'!$D587,INDIRECT(Q$8))*IFERROR(IF(VLOOKUP('Struktur Vorjahr'!$D587,INDIRECT(Q$6),8,)="H",-1,1),0)</f>
        <v>0</v>
      </c>
      <c r="R587" s="593">
        <f ca="1">$E587*SUMIF(INDIRECT(R$3),'Struktur Vorjahr'!$D587,INDIRECT(R$8))*IFERROR(IF(VLOOKUP('Struktur Vorjahr'!$D587,INDIRECT(R$6),8,)="H",-1,1),0)</f>
        <v>0</v>
      </c>
      <c r="S587" s="593" t="e">
        <f ca="1">$E587*SUMIF(INDIRECT(S$3),'Struktur Vorjahr'!$D587,INDIRECT(S$8))*IFERROR(IF(VLOOKUP('Struktur Vorjahr'!$D587,INDIRECT(S$6),8,)="H",-1,1),0)</f>
        <v>#REF!</v>
      </c>
      <c r="T587" s="593" t="e">
        <f ca="1">$E587*SUMIF(INDIRECT(T$3),'Struktur Vorjahr'!$D587,INDIRECT(T$8))*IFERROR(IF(VLOOKUP('Struktur Vorjahr'!$D587,INDIRECT(T$6),8,)="H",-1,1),0)</f>
        <v>#REF!</v>
      </c>
      <c r="U587" s="593" t="e">
        <f ca="1">$E587*SUMIF(INDIRECT(U$3),'Struktur Vorjahr'!$D587,INDIRECT(U$8))*IFERROR(IF(VLOOKUP('Struktur Vorjahr'!$D587,INDIRECT(U$6),8,)="H",-1,1),0)</f>
        <v>#REF!</v>
      </c>
      <c r="V587" s="593" t="e">
        <f ca="1">$E587*SUMIF(INDIRECT(V$3),'Struktur Vorjahr'!$D587,INDIRECT(V$8))*IFERROR(IF(VLOOKUP('Struktur Vorjahr'!$D587,INDIRECT(V$6),8,)="H",-1,1),0)</f>
        <v>#REF!</v>
      </c>
      <c r="W587" s="593" t="e">
        <f ca="1">$E587*SUMIF(INDIRECT(W$3),'Struktur Vorjahr'!$D587,INDIRECT(W$8))*IFERROR(IF(VLOOKUP('Struktur Vorjahr'!$D587,INDIRECT(W$6),8,)="H",-1,1),0)</f>
        <v>#REF!</v>
      </c>
      <c r="X587" s="593" t="e">
        <f ca="1">$E587*SUMIF(INDIRECT(X$3),'Struktur Vorjahr'!$D587,INDIRECT(X$8))*IFERROR(IF(VLOOKUP('Struktur Vorjahr'!$D587,INDIRECT(X$6),8,)="H",-1,1),0)</f>
        <v>#REF!</v>
      </c>
      <c r="Y587" s="593" t="e">
        <f ca="1">$E587*SUMIF(INDIRECT(Y$3),'Struktur Vorjahr'!$D587,INDIRECT(Y$8))*IFERROR(IF(VLOOKUP('Struktur Vorjahr'!$D587,INDIRECT(Y$6),8,)="H",-1,1),0)</f>
        <v>#REF!</v>
      </c>
      <c r="Z587" s="593" t="e">
        <f ca="1">$E587*SUMIF(INDIRECT(Z$3),'Struktur Vorjahr'!$D587,INDIRECT(Z$8))*IFERROR(IF(VLOOKUP('Struktur Vorjahr'!$D587,INDIRECT(Z$6),8,)="H",-1,1),0)</f>
        <v>#REF!</v>
      </c>
      <c r="AA587" s="593" t="e">
        <f ca="1">$E587*SUMIF(INDIRECT(AA$3),'Struktur Vorjahr'!$D587,INDIRECT(AA$8))*IFERROR(IF(VLOOKUP('Struktur Vorjahr'!$D587,INDIRECT(AA$6),8,)="H",-1,1),0)</f>
        <v>#REF!</v>
      </c>
      <c r="AB587" s="593" t="e">
        <f ca="1">$E587*SUMIF(INDIRECT(AB$3),'Struktur Vorjahr'!$D587,INDIRECT(AB$8))*IFERROR(IF(VLOOKUP('Struktur Vorjahr'!$D587,INDIRECT(AB$6),8,)="H",-1,1),0)</f>
        <v>#REF!</v>
      </c>
      <c r="AC587" s="593" t="e">
        <f ca="1">$E587*SUMIF(INDIRECT(AC$3),'Struktur Vorjahr'!$D587,INDIRECT(AC$8))*IFERROR(IF(VLOOKUP('Struktur Vorjahr'!$D587,INDIRECT(AC$6),8,)="H",-1,1),0)</f>
        <v>#REF!</v>
      </c>
      <c r="AD587" s="593" t="e">
        <f ca="1">$E587*SUMIF(INDIRECT(AD$3),'Struktur Vorjahr'!$D587,INDIRECT(AD$8))*IFERROR(IF(VLOOKUP('Struktur Vorjahr'!$D587,INDIRECT(AD$6),8,)="H",-1,1),0)</f>
        <v>#REF!</v>
      </c>
      <c r="AE587" s="593">
        <f t="shared" ca="1" si="296"/>
        <v>0</v>
      </c>
      <c r="AF587" s="593">
        <f t="shared" ca="1" si="297"/>
        <v>0</v>
      </c>
      <c r="AG587" s="593">
        <f t="shared" ca="1" si="297"/>
        <v>0</v>
      </c>
      <c r="AH587" s="593">
        <f t="shared" ca="1" si="297"/>
        <v>0</v>
      </c>
      <c r="AI587" s="593">
        <f t="shared" ca="1" si="297"/>
        <v>0</v>
      </c>
      <c r="AJ587" s="593">
        <f t="shared" ca="1" si="297"/>
        <v>0</v>
      </c>
      <c r="AK587" s="593">
        <f t="shared" ca="1" si="297"/>
        <v>0</v>
      </c>
      <c r="AL587" s="593">
        <f t="shared" ca="1" si="297"/>
        <v>0</v>
      </c>
      <c r="AM587" s="593">
        <f t="shared" ca="1" si="297"/>
        <v>0</v>
      </c>
      <c r="AN587" s="593">
        <f t="shared" ca="1" si="297"/>
        <v>0</v>
      </c>
      <c r="AO587" s="593">
        <f t="shared" ca="1" si="297"/>
        <v>0</v>
      </c>
      <c r="AP587" s="593">
        <f t="shared" ca="1" si="297"/>
        <v>0</v>
      </c>
    </row>
    <row r="588" spans="1:42" s="594" customFormat="1" ht="11.25" x14ac:dyDescent="0.2">
      <c r="A588" s="644"/>
      <c r="B588" s="591" t="str">
        <f>IF(D588&lt;&gt;"",
IF(ISERROR(MATCH(D588,'Ist Vorjahr Monat 01'!A:A,0))=FALSE,INDEX('Ist Vorjahr Monat 01'!B:B,MATCH(D588,'Ist Vorjahr Monat 01'!A:A,0)),
IF(ISERROR(MATCH(D588,'Ist Vorjahr Monat 02'!A:A,0))=FALSE,INDEX('Ist Vorjahr Monat 02'!B:B,MATCH(D588,'Ist Vorjahr Monat 02'!A:A,0)),
IF(ISERROR(MATCH(D588,'Ist Vorjahr Monat 03'!A:A,0))=FALSE,INDEX('Ist Vorjahr Monat 03'!B:B,MATCH(D588,'Ist Vorjahr Monat 03'!A:A,0)),
IF(ISERROR(MATCH(D588,'Ist Vorjahr Monat 04'!A:A,0))=FALSE,INDEX('Ist Vorjahr Monat 04'!B:B,MATCH(D588,'Ist Vorjahr Monat 04'!A:A,0)),
IF(ISERROR(MATCH(D588,'Ist Vorjahr Monat 05'!A:A,0))=FALSE,INDEX('Ist Vorjahr Monat 05'!B:B,MATCH(D588,'Ist Vorjahr Monat 05'!A:A,0)),
IF(ISERROR(MATCH(D588,'Ist Vorjahr Monat 06'!A:A,0))=FALSE,INDEX('Ist Vorjahr Monat 06'!B:B,MATCH(D588,'Ist Vorjahr Monat 06'!A:A,0)),
IF(ISERROR(MATCH(D588,'Ist Vorjahr Monat 07'!A:A,0))=FALSE,INDEX('Ist Vorjahr Monat 07'!B:B,MATCH(D588,'Ist Vorjahr Monat 07'!A:A,0)),
IF(ISERROR(MATCH(D588,'Ist Vorjahr Monat 08'!A:A,0))=FALSE,INDEX('Ist Vorjahr Monat 08'!B:B,MATCH(D588,'Ist Vorjahr Monat 08'!A:A,0)),
IF(ISERROR(MATCH(D588,'Ist Vorjahr Monat 09'!A:A,0))=FALSE,INDEX('Ist Vorjahr Monat 09'!B:B,MATCH(D588,'Ist Vorjahr Monat 09'!A:A,0)),
IF(ISERROR(MATCH(D588,'Ist Vorjahr Monat 10'!A:A,0))=FALSE,INDEX('Ist Vorjahr Monat 10'!B:B,MATCH(D588,'Ist Vorjahr Monat 10'!A:A,0)),
IF(ISERROR(MATCH(D588,'Ist Vorjahr Monat 11'!A:A,0))=FALSE,INDEX('Ist Vorjahr Monat 11'!B:B,MATCH(D588,'Ist Vorjahr Monat 11'!A:A,0)),
IF(ISERROR(MATCH(D588,'Ist Vorjahr Monat 12'!A:A,0))=FALSE,INDEX('Ist Vorjahr Monat 12'!B:B,MATCH(D588,'Ist Vorjahr Monat 12'!A:A,0)),
"{Konto unbekannt}"
)))))))))))),"")</f>
        <v>{Konto unbekannt}</v>
      </c>
      <c r="C588" s="1062"/>
      <c r="D588" s="1067">
        <v>1577</v>
      </c>
      <c r="E588" s="625">
        <f t="shared" si="237"/>
        <v>-1</v>
      </c>
      <c r="F588" s="626" t="s">
        <v>996</v>
      </c>
      <c r="G588" s="593">
        <f ca="1">$E588*SUMIF(INDIRECT(G$3),'Struktur Vorjahr'!$D588,INDIRECT(G$8))*IFERROR(IF(VLOOKUP('Struktur Vorjahr'!$D588,INDIRECT(G$6),8,)="H",-1,1),0)</f>
        <v>0</v>
      </c>
      <c r="H588" s="593">
        <f ca="1">$E588*SUMIF(INDIRECT(H$3),'Struktur Vorjahr'!$D588,INDIRECT(H$8))*IFERROR(IF(VLOOKUP('Struktur Vorjahr'!$D588,INDIRECT(H$6),8,)="H",-1,1),0)</f>
        <v>0</v>
      </c>
      <c r="I588" s="593">
        <f ca="1">$E588*SUMIF(INDIRECT(I$3),'Struktur Vorjahr'!$D588,INDIRECT(I$8))*IFERROR(IF(VLOOKUP('Struktur Vorjahr'!$D588,INDIRECT(I$6),8,)="H",-1,1),0)</f>
        <v>0</v>
      </c>
      <c r="J588" s="593">
        <f ca="1">$E588*SUMIF(INDIRECT(J$3),'Struktur Vorjahr'!$D588,INDIRECT(J$8))*IFERROR(IF(VLOOKUP('Struktur Vorjahr'!$D588,INDIRECT(J$6),8,)="H",-1,1),0)</f>
        <v>0</v>
      </c>
      <c r="K588" s="593">
        <f ca="1">$E588*SUMIF(INDIRECT(K$3),'Struktur Vorjahr'!$D588,INDIRECT(K$8))*IFERROR(IF(VLOOKUP('Struktur Vorjahr'!$D588,INDIRECT(K$6),8,)="H",-1,1),0)</f>
        <v>0</v>
      </c>
      <c r="L588" s="593">
        <f ca="1">$E588*SUMIF(INDIRECT(L$3),'Struktur Vorjahr'!$D588,INDIRECT(L$8))*IFERROR(IF(VLOOKUP('Struktur Vorjahr'!$D588,INDIRECT(L$6),8,)="H",-1,1),0)</f>
        <v>0</v>
      </c>
      <c r="M588" s="593">
        <f ca="1">$E588*SUMIF(INDIRECT(M$3),'Struktur Vorjahr'!$D588,INDIRECT(M$8))*IFERROR(IF(VLOOKUP('Struktur Vorjahr'!$D588,INDIRECT(M$6),8,)="H",-1,1),0)</f>
        <v>0</v>
      </c>
      <c r="N588" s="593">
        <f ca="1">$E588*SUMIF(INDIRECT(N$3),'Struktur Vorjahr'!$D588,INDIRECT(N$8))*IFERROR(IF(VLOOKUP('Struktur Vorjahr'!$D588,INDIRECT(N$6),8,)="H",-1,1),0)</f>
        <v>0</v>
      </c>
      <c r="O588" s="593">
        <f ca="1">$E588*SUMIF(INDIRECT(O$3),'Struktur Vorjahr'!$D588,INDIRECT(O$8))*IFERROR(IF(VLOOKUP('Struktur Vorjahr'!$D588,INDIRECT(O$6),8,)="H",-1,1),0)</f>
        <v>0</v>
      </c>
      <c r="P588" s="593">
        <f ca="1">$E588*SUMIF(INDIRECT(P$3),'Struktur Vorjahr'!$D588,INDIRECT(P$8))*IFERROR(IF(VLOOKUP('Struktur Vorjahr'!$D588,INDIRECT(P$6),8,)="H",-1,1),0)</f>
        <v>0</v>
      </c>
      <c r="Q588" s="593">
        <f ca="1">$E588*SUMIF(INDIRECT(Q$3),'Struktur Vorjahr'!$D588,INDIRECT(Q$8))*IFERROR(IF(VLOOKUP('Struktur Vorjahr'!$D588,INDIRECT(Q$6),8,)="H",-1,1),0)</f>
        <v>0</v>
      </c>
      <c r="R588" s="593">
        <f ca="1">$E588*SUMIF(INDIRECT(R$3),'Struktur Vorjahr'!$D588,INDIRECT(R$8))*IFERROR(IF(VLOOKUP('Struktur Vorjahr'!$D588,INDIRECT(R$6),8,)="H",-1,1),0)</f>
        <v>0</v>
      </c>
      <c r="S588" s="593" t="e">
        <f ca="1">$E588*SUMIF(INDIRECT(S$3),'Struktur Vorjahr'!$D588,INDIRECT(S$8))*IFERROR(IF(VLOOKUP('Struktur Vorjahr'!$D588,INDIRECT(S$6),8,)="H",-1,1),0)</f>
        <v>#REF!</v>
      </c>
      <c r="T588" s="593" t="e">
        <f ca="1">$E588*SUMIF(INDIRECT(T$3),'Struktur Vorjahr'!$D588,INDIRECT(T$8))*IFERROR(IF(VLOOKUP('Struktur Vorjahr'!$D588,INDIRECT(T$6),8,)="H",-1,1),0)</f>
        <v>#REF!</v>
      </c>
      <c r="U588" s="593" t="e">
        <f ca="1">$E588*SUMIF(INDIRECT(U$3),'Struktur Vorjahr'!$D588,INDIRECT(U$8))*IFERROR(IF(VLOOKUP('Struktur Vorjahr'!$D588,INDIRECT(U$6),8,)="H",-1,1),0)</f>
        <v>#REF!</v>
      </c>
      <c r="V588" s="593" t="e">
        <f ca="1">$E588*SUMIF(INDIRECT(V$3),'Struktur Vorjahr'!$D588,INDIRECT(V$8))*IFERROR(IF(VLOOKUP('Struktur Vorjahr'!$D588,INDIRECT(V$6),8,)="H",-1,1),0)</f>
        <v>#REF!</v>
      </c>
      <c r="W588" s="593" t="e">
        <f ca="1">$E588*SUMIF(INDIRECT(W$3),'Struktur Vorjahr'!$D588,INDIRECT(W$8))*IFERROR(IF(VLOOKUP('Struktur Vorjahr'!$D588,INDIRECT(W$6),8,)="H",-1,1),0)</f>
        <v>#REF!</v>
      </c>
      <c r="X588" s="593" t="e">
        <f ca="1">$E588*SUMIF(INDIRECT(X$3),'Struktur Vorjahr'!$D588,INDIRECT(X$8))*IFERROR(IF(VLOOKUP('Struktur Vorjahr'!$D588,INDIRECT(X$6),8,)="H",-1,1),0)</f>
        <v>#REF!</v>
      </c>
      <c r="Y588" s="593" t="e">
        <f ca="1">$E588*SUMIF(INDIRECT(Y$3),'Struktur Vorjahr'!$D588,INDIRECT(Y$8))*IFERROR(IF(VLOOKUP('Struktur Vorjahr'!$D588,INDIRECT(Y$6),8,)="H",-1,1),0)</f>
        <v>#REF!</v>
      </c>
      <c r="Z588" s="593" t="e">
        <f ca="1">$E588*SUMIF(INDIRECT(Z$3),'Struktur Vorjahr'!$D588,INDIRECT(Z$8))*IFERROR(IF(VLOOKUP('Struktur Vorjahr'!$D588,INDIRECT(Z$6),8,)="H",-1,1),0)</f>
        <v>#REF!</v>
      </c>
      <c r="AA588" s="593" t="e">
        <f ca="1">$E588*SUMIF(INDIRECT(AA$3),'Struktur Vorjahr'!$D588,INDIRECT(AA$8))*IFERROR(IF(VLOOKUP('Struktur Vorjahr'!$D588,INDIRECT(AA$6),8,)="H",-1,1),0)</f>
        <v>#REF!</v>
      </c>
      <c r="AB588" s="593" t="e">
        <f ca="1">$E588*SUMIF(INDIRECT(AB$3),'Struktur Vorjahr'!$D588,INDIRECT(AB$8))*IFERROR(IF(VLOOKUP('Struktur Vorjahr'!$D588,INDIRECT(AB$6),8,)="H",-1,1),0)</f>
        <v>#REF!</v>
      </c>
      <c r="AC588" s="593" t="e">
        <f ca="1">$E588*SUMIF(INDIRECT(AC$3),'Struktur Vorjahr'!$D588,INDIRECT(AC$8))*IFERROR(IF(VLOOKUP('Struktur Vorjahr'!$D588,INDIRECT(AC$6),8,)="H",-1,1),0)</f>
        <v>#REF!</v>
      </c>
      <c r="AD588" s="593" t="e">
        <f ca="1">$E588*SUMIF(INDIRECT(AD$3),'Struktur Vorjahr'!$D588,INDIRECT(AD$8))*IFERROR(IF(VLOOKUP('Struktur Vorjahr'!$D588,INDIRECT(AD$6),8,)="H",-1,1),0)</f>
        <v>#REF!</v>
      </c>
      <c r="AE588" s="593">
        <f t="shared" ca="1" si="296"/>
        <v>0</v>
      </c>
      <c r="AF588" s="593">
        <f t="shared" ca="1" si="297"/>
        <v>0</v>
      </c>
      <c r="AG588" s="593">
        <f t="shared" ca="1" si="297"/>
        <v>0</v>
      </c>
      <c r="AH588" s="593">
        <f t="shared" ca="1" si="297"/>
        <v>0</v>
      </c>
      <c r="AI588" s="593">
        <f t="shared" ca="1" si="297"/>
        <v>0</v>
      </c>
      <c r="AJ588" s="593">
        <f t="shared" ca="1" si="297"/>
        <v>0</v>
      </c>
      <c r="AK588" s="593">
        <f t="shared" ca="1" si="297"/>
        <v>0</v>
      </c>
      <c r="AL588" s="593">
        <f t="shared" ca="1" si="297"/>
        <v>0</v>
      </c>
      <c r="AM588" s="593">
        <f t="shared" ca="1" si="297"/>
        <v>0</v>
      </c>
      <c r="AN588" s="593">
        <f t="shared" ca="1" si="297"/>
        <v>0</v>
      </c>
      <c r="AO588" s="593">
        <f t="shared" ca="1" si="297"/>
        <v>0</v>
      </c>
      <c r="AP588" s="593">
        <f t="shared" ca="1" si="297"/>
        <v>0</v>
      </c>
    </row>
    <row r="589" spans="1:42" s="594" customFormat="1" ht="11.25" x14ac:dyDescent="0.2">
      <c r="A589" s="644"/>
      <c r="B589" s="591" t="str">
        <f>IF(D589&lt;&gt;"",
IF(ISERROR(MATCH(D589,'Ist Vorjahr Monat 01'!A:A,0))=FALSE,INDEX('Ist Vorjahr Monat 01'!B:B,MATCH(D589,'Ist Vorjahr Monat 01'!A:A,0)),
IF(ISERROR(MATCH(D589,'Ist Vorjahr Monat 02'!A:A,0))=FALSE,INDEX('Ist Vorjahr Monat 02'!B:B,MATCH(D589,'Ist Vorjahr Monat 02'!A:A,0)),
IF(ISERROR(MATCH(D589,'Ist Vorjahr Monat 03'!A:A,0))=FALSE,INDEX('Ist Vorjahr Monat 03'!B:B,MATCH(D589,'Ist Vorjahr Monat 03'!A:A,0)),
IF(ISERROR(MATCH(D589,'Ist Vorjahr Monat 04'!A:A,0))=FALSE,INDEX('Ist Vorjahr Monat 04'!B:B,MATCH(D589,'Ist Vorjahr Monat 04'!A:A,0)),
IF(ISERROR(MATCH(D589,'Ist Vorjahr Monat 05'!A:A,0))=FALSE,INDEX('Ist Vorjahr Monat 05'!B:B,MATCH(D589,'Ist Vorjahr Monat 05'!A:A,0)),
IF(ISERROR(MATCH(D589,'Ist Vorjahr Monat 06'!A:A,0))=FALSE,INDEX('Ist Vorjahr Monat 06'!B:B,MATCH(D589,'Ist Vorjahr Monat 06'!A:A,0)),
IF(ISERROR(MATCH(D589,'Ist Vorjahr Monat 07'!A:A,0))=FALSE,INDEX('Ist Vorjahr Monat 07'!B:B,MATCH(D589,'Ist Vorjahr Monat 07'!A:A,0)),
IF(ISERROR(MATCH(D589,'Ist Vorjahr Monat 08'!A:A,0))=FALSE,INDEX('Ist Vorjahr Monat 08'!B:B,MATCH(D589,'Ist Vorjahr Monat 08'!A:A,0)),
IF(ISERROR(MATCH(D589,'Ist Vorjahr Monat 09'!A:A,0))=FALSE,INDEX('Ist Vorjahr Monat 09'!B:B,MATCH(D589,'Ist Vorjahr Monat 09'!A:A,0)),
IF(ISERROR(MATCH(D589,'Ist Vorjahr Monat 10'!A:A,0))=FALSE,INDEX('Ist Vorjahr Monat 10'!B:B,MATCH(D589,'Ist Vorjahr Monat 10'!A:A,0)),
IF(ISERROR(MATCH(D589,'Ist Vorjahr Monat 11'!A:A,0))=FALSE,INDEX('Ist Vorjahr Monat 11'!B:B,MATCH(D589,'Ist Vorjahr Monat 11'!A:A,0)),
IF(ISERROR(MATCH(D589,'Ist Vorjahr Monat 12'!A:A,0))=FALSE,INDEX('Ist Vorjahr Monat 12'!B:B,MATCH(D589,'Ist Vorjahr Monat 12'!A:A,0)),
"{Konto unbekannt}"
)))))))))))),"")</f>
        <v>{Konto unbekannt}</v>
      </c>
      <c r="C589" s="1062"/>
      <c r="D589" s="1067">
        <v>1545</v>
      </c>
      <c r="E589" s="625">
        <f t="shared" si="237"/>
        <v>-1</v>
      </c>
      <c r="F589" s="626" t="s">
        <v>996</v>
      </c>
      <c r="G589" s="593">
        <f ca="1">$E589*SUMIF(INDIRECT(G$3),'Struktur Vorjahr'!$D589,INDIRECT(G$8))*IFERROR(IF(VLOOKUP('Struktur Vorjahr'!$D589,INDIRECT(G$6),8,)="H",-1,1),0)</f>
        <v>0</v>
      </c>
      <c r="H589" s="593">
        <f ca="1">$E589*SUMIF(INDIRECT(H$3),'Struktur Vorjahr'!$D589,INDIRECT(H$8))*IFERROR(IF(VLOOKUP('Struktur Vorjahr'!$D589,INDIRECT(H$6),8,)="H",-1,1),0)</f>
        <v>0</v>
      </c>
      <c r="I589" s="593">
        <f ca="1">$E589*SUMIF(INDIRECT(I$3),'Struktur Vorjahr'!$D589,INDIRECT(I$8))*IFERROR(IF(VLOOKUP('Struktur Vorjahr'!$D589,INDIRECT(I$6),8,)="H",-1,1),0)</f>
        <v>0</v>
      </c>
      <c r="J589" s="593">
        <f ca="1">$E589*SUMIF(INDIRECT(J$3),'Struktur Vorjahr'!$D589,INDIRECT(J$8))*IFERROR(IF(VLOOKUP('Struktur Vorjahr'!$D589,INDIRECT(J$6),8,)="H",-1,1),0)</f>
        <v>0</v>
      </c>
      <c r="K589" s="593">
        <f ca="1">$E589*SUMIF(INDIRECT(K$3),'Struktur Vorjahr'!$D589,INDIRECT(K$8))*IFERROR(IF(VLOOKUP('Struktur Vorjahr'!$D589,INDIRECT(K$6),8,)="H",-1,1),0)</f>
        <v>0</v>
      </c>
      <c r="L589" s="593">
        <f ca="1">$E589*SUMIF(INDIRECT(L$3),'Struktur Vorjahr'!$D589,INDIRECT(L$8))*IFERROR(IF(VLOOKUP('Struktur Vorjahr'!$D589,INDIRECT(L$6),8,)="H",-1,1),0)</f>
        <v>0</v>
      </c>
      <c r="M589" s="593">
        <f ca="1">$E589*SUMIF(INDIRECT(M$3),'Struktur Vorjahr'!$D589,INDIRECT(M$8))*IFERROR(IF(VLOOKUP('Struktur Vorjahr'!$D589,INDIRECT(M$6),8,)="H",-1,1),0)</f>
        <v>0</v>
      </c>
      <c r="N589" s="593">
        <f ca="1">$E589*SUMIF(INDIRECT(N$3),'Struktur Vorjahr'!$D589,INDIRECT(N$8))*IFERROR(IF(VLOOKUP('Struktur Vorjahr'!$D589,INDIRECT(N$6),8,)="H",-1,1),0)</f>
        <v>0</v>
      </c>
      <c r="O589" s="593">
        <f ca="1">$E589*SUMIF(INDIRECT(O$3),'Struktur Vorjahr'!$D589,INDIRECT(O$8))*IFERROR(IF(VLOOKUP('Struktur Vorjahr'!$D589,INDIRECT(O$6),8,)="H",-1,1),0)</f>
        <v>0</v>
      </c>
      <c r="P589" s="593">
        <f ca="1">$E589*SUMIF(INDIRECT(P$3),'Struktur Vorjahr'!$D589,INDIRECT(P$8))*IFERROR(IF(VLOOKUP('Struktur Vorjahr'!$D589,INDIRECT(P$6),8,)="H",-1,1),0)</f>
        <v>0</v>
      </c>
      <c r="Q589" s="593">
        <f ca="1">$E589*SUMIF(INDIRECT(Q$3),'Struktur Vorjahr'!$D589,INDIRECT(Q$8))*IFERROR(IF(VLOOKUP('Struktur Vorjahr'!$D589,INDIRECT(Q$6),8,)="H",-1,1),0)</f>
        <v>0</v>
      </c>
      <c r="R589" s="593">
        <f ca="1">$E589*SUMIF(INDIRECT(R$3),'Struktur Vorjahr'!$D589,INDIRECT(R$8))*IFERROR(IF(VLOOKUP('Struktur Vorjahr'!$D589,INDIRECT(R$6),8,)="H",-1,1),0)</f>
        <v>0</v>
      </c>
      <c r="S589" s="593" t="e">
        <f ca="1">$E589*SUMIF(INDIRECT(S$3),'Struktur Vorjahr'!$D589,INDIRECT(S$8))*IFERROR(IF(VLOOKUP('Struktur Vorjahr'!$D589,INDIRECT(S$6),8,)="H",-1,1),0)</f>
        <v>#REF!</v>
      </c>
      <c r="T589" s="593" t="e">
        <f ca="1">$E589*SUMIF(INDIRECT(T$3),'Struktur Vorjahr'!$D589,INDIRECT(T$8))*IFERROR(IF(VLOOKUP('Struktur Vorjahr'!$D589,INDIRECT(T$6),8,)="H",-1,1),0)</f>
        <v>#REF!</v>
      </c>
      <c r="U589" s="593" t="e">
        <f ca="1">$E589*SUMIF(INDIRECT(U$3),'Struktur Vorjahr'!$D589,INDIRECT(U$8))*IFERROR(IF(VLOOKUP('Struktur Vorjahr'!$D589,INDIRECT(U$6),8,)="H",-1,1),0)</f>
        <v>#REF!</v>
      </c>
      <c r="V589" s="593" t="e">
        <f ca="1">$E589*SUMIF(INDIRECT(V$3),'Struktur Vorjahr'!$D589,INDIRECT(V$8))*IFERROR(IF(VLOOKUP('Struktur Vorjahr'!$D589,INDIRECT(V$6),8,)="H",-1,1),0)</f>
        <v>#REF!</v>
      </c>
      <c r="W589" s="593" t="e">
        <f ca="1">$E589*SUMIF(INDIRECT(W$3),'Struktur Vorjahr'!$D589,INDIRECT(W$8))*IFERROR(IF(VLOOKUP('Struktur Vorjahr'!$D589,INDIRECT(W$6),8,)="H",-1,1),0)</f>
        <v>#REF!</v>
      </c>
      <c r="X589" s="593" t="e">
        <f ca="1">$E589*SUMIF(INDIRECT(X$3),'Struktur Vorjahr'!$D589,INDIRECT(X$8))*IFERROR(IF(VLOOKUP('Struktur Vorjahr'!$D589,INDIRECT(X$6),8,)="H",-1,1),0)</f>
        <v>#REF!</v>
      </c>
      <c r="Y589" s="593" t="e">
        <f ca="1">$E589*SUMIF(INDIRECT(Y$3),'Struktur Vorjahr'!$D589,INDIRECT(Y$8))*IFERROR(IF(VLOOKUP('Struktur Vorjahr'!$D589,INDIRECT(Y$6),8,)="H",-1,1),0)</f>
        <v>#REF!</v>
      </c>
      <c r="Z589" s="593" t="e">
        <f ca="1">$E589*SUMIF(INDIRECT(Z$3),'Struktur Vorjahr'!$D589,INDIRECT(Z$8))*IFERROR(IF(VLOOKUP('Struktur Vorjahr'!$D589,INDIRECT(Z$6),8,)="H",-1,1),0)</f>
        <v>#REF!</v>
      </c>
      <c r="AA589" s="593" t="e">
        <f ca="1">$E589*SUMIF(INDIRECT(AA$3),'Struktur Vorjahr'!$D589,INDIRECT(AA$8))*IFERROR(IF(VLOOKUP('Struktur Vorjahr'!$D589,INDIRECT(AA$6),8,)="H",-1,1),0)</f>
        <v>#REF!</v>
      </c>
      <c r="AB589" s="593" t="e">
        <f ca="1">$E589*SUMIF(INDIRECT(AB$3),'Struktur Vorjahr'!$D589,INDIRECT(AB$8))*IFERROR(IF(VLOOKUP('Struktur Vorjahr'!$D589,INDIRECT(AB$6),8,)="H",-1,1),0)</f>
        <v>#REF!</v>
      </c>
      <c r="AC589" s="593" t="e">
        <f ca="1">$E589*SUMIF(INDIRECT(AC$3),'Struktur Vorjahr'!$D589,INDIRECT(AC$8))*IFERROR(IF(VLOOKUP('Struktur Vorjahr'!$D589,INDIRECT(AC$6),8,)="H",-1,1),0)</f>
        <v>#REF!</v>
      </c>
      <c r="AD589" s="593" t="e">
        <f ca="1">$E589*SUMIF(INDIRECT(AD$3),'Struktur Vorjahr'!$D589,INDIRECT(AD$8))*IFERROR(IF(VLOOKUP('Struktur Vorjahr'!$D589,INDIRECT(AD$6),8,)="H",-1,1),0)</f>
        <v>#REF!</v>
      </c>
      <c r="AE589" s="593">
        <f t="shared" ca="1" si="296"/>
        <v>0</v>
      </c>
      <c r="AF589" s="593">
        <f t="shared" ca="1" si="297"/>
        <v>0</v>
      </c>
      <c r="AG589" s="593">
        <f t="shared" ca="1" si="297"/>
        <v>0</v>
      </c>
      <c r="AH589" s="593">
        <f t="shared" ca="1" si="297"/>
        <v>0</v>
      </c>
      <c r="AI589" s="593">
        <f t="shared" ca="1" si="297"/>
        <v>0</v>
      </c>
      <c r="AJ589" s="593">
        <f t="shared" ca="1" si="297"/>
        <v>0</v>
      </c>
      <c r="AK589" s="593">
        <f t="shared" ca="1" si="297"/>
        <v>0</v>
      </c>
      <c r="AL589" s="593">
        <f t="shared" ca="1" si="297"/>
        <v>0</v>
      </c>
      <c r="AM589" s="593">
        <f t="shared" ca="1" si="297"/>
        <v>0</v>
      </c>
      <c r="AN589" s="593">
        <f t="shared" ca="1" si="297"/>
        <v>0</v>
      </c>
      <c r="AO589" s="593">
        <f t="shared" ca="1" si="297"/>
        <v>0</v>
      </c>
      <c r="AP589" s="593">
        <f t="shared" ca="1" si="297"/>
        <v>0</v>
      </c>
    </row>
    <row r="590" spans="1:42" s="594" customFormat="1" ht="11.25" x14ac:dyDescent="0.2">
      <c r="A590" s="644"/>
      <c r="B590" s="591" t="str">
        <f>IF(D590&lt;&gt;"",
IF(ISERROR(MATCH(D590,'Ist Vorjahr Monat 01'!A:A,0))=FALSE,INDEX('Ist Vorjahr Monat 01'!B:B,MATCH(D590,'Ist Vorjahr Monat 01'!A:A,0)),
IF(ISERROR(MATCH(D590,'Ist Vorjahr Monat 02'!A:A,0))=FALSE,INDEX('Ist Vorjahr Monat 02'!B:B,MATCH(D590,'Ist Vorjahr Monat 02'!A:A,0)),
IF(ISERROR(MATCH(D590,'Ist Vorjahr Monat 03'!A:A,0))=FALSE,INDEX('Ist Vorjahr Monat 03'!B:B,MATCH(D590,'Ist Vorjahr Monat 03'!A:A,0)),
IF(ISERROR(MATCH(D590,'Ist Vorjahr Monat 04'!A:A,0))=FALSE,INDEX('Ist Vorjahr Monat 04'!B:B,MATCH(D590,'Ist Vorjahr Monat 04'!A:A,0)),
IF(ISERROR(MATCH(D590,'Ist Vorjahr Monat 05'!A:A,0))=FALSE,INDEX('Ist Vorjahr Monat 05'!B:B,MATCH(D590,'Ist Vorjahr Monat 05'!A:A,0)),
IF(ISERROR(MATCH(D590,'Ist Vorjahr Monat 06'!A:A,0))=FALSE,INDEX('Ist Vorjahr Monat 06'!B:B,MATCH(D590,'Ist Vorjahr Monat 06'!A:A,0)),
IF(ISERROR(MATCH(D590,'Ist Vorjahr Monat 07'!A:A,0))=FALSE,INDEX('Ist Vorjahr Monat 07'!B:B,MATCH(D590,'Ist Vorjahr Monat 07'!A:A,0)),
IF(ISERROR(MATCH(D590,'Ist Vorjahr Monat 08'!A:A,0))=FALSE,INDEX('Ist Vorjahr Monat 08'!B:B,MATCH(D590,'Ist Vorjahr Monat 08'!A:A,0)),
IF(ISERROR(MATCH(D590,'Ist Vorjahr Monat 09'!A:A,0))=FALSE,INDEX('Ist Vorjahr Monat 09'!B:B,MATCH(D590,'Ist Vorjahr Monat 09'!A:A,0)),
IF(ISERROR(MATCH(D590,'Ist Vorjahr Monat 10'!A:A,0))=FALSE,INDEX('Ist Vorjahr Monat 10'!B:B,MATCH(D590,'Ist Vorjahr Monat 10'!A:A,0)),
IF(ISERROR(MATCH(D590,'Ist Vorjahr Monat 11'!A:A,0))=FALSE,INDEX('Ist Vorjahr Monat 11'!B:B,MATCH(D590,'Ist Vorjahr Monat 11'!A:A,0)),
IF(ISERROR(MATCH(D590,'Ist Vorjahr Monat 12'!A:A,0))=FALSE,INDEX('Ist Vorjahr Monat 12'!B:B,MATCH(D590,'Ist Vorjahr Monat 12'!A:A,0)),
"{Konto unbekannt}"
)))))))))))),"")</f>
        <v>Umsatzsteuer aus EU-Erwerb 19%</v>
      </c>
      <c r="C590" s="1062"/>
      <c r="D590" s="1067">
        <v>1774</v>
      </c>
      <c r="E590" s="625">
        <f t="shared" si="237"/>
        <v>-1</v>
      </c>
      <c r="F590" s="626" t="s">
        <v>996</v>
      </c>
      <c r="G590" s="593">
        <f ca="1">$E590*SUMIF(INDIRECT(G$3),'Struktur Vorjahr'!$D590,INDIRECT(G$8))*IFERROR(IF(VLOOKUP('Struktur Vorjahr'!$D590,INDIRECT(G$6),8,)="H",-1,1),0)</f>
        <v>0</v>
      </c>
      <c r="H590" s="593">
        <f ca="1">$E590*SUMIF(INDIRECT(H$3),'Struktur Vorjahr'!$D590,INDIRECT(H$8))*IFERROR(IF(VLOOKUP('Struktur Vorjahr'!$D590,INDIRECT(H$6),8,)="H",-1,1),0)</f>
        <v>0</v>
      </c>
      <c r="I590" s="593">
        <f ca="1">$E590*SUMIF(INDIRECT(I$3),'Struktur Vorjahr'!$D590,INDIRECT(I$8))*IFERROR(IF(VLOOKUP('Struktur Vorjahr'!$D590,INDIRECT(I$6),8,)="H",-1,1),0)</f>
        <v>0</v>
      </c>
      <c r="J590" s="593">
        <f ca="1">$E590*SUMIF(INDIRECT(J$3),'Struktur Vorjahr'!$D590,INDIRECT(J$8))*IFERROR(IF(VLOOKUP('Struktur Vorjahr'!$D590,INDIRECT(J$6),8,)="H",-1,1),0)</f>
        <v>0</v>
      </c>
      <c r="K590" s="593">
        <f ca="1">$E590*SUMIF(INDIRECT(K$3),'Struktur Vorjahr'!$D590,INDIRECT(K$8))*IFERROR(IF(VLOOKUP('Struktur Vorjahr'!$D590,INDIRECT(K$6),8,)="H",-1,1),0)</f>
        <v>0</v>
      </c>
      <c r="L590" s="593">
        <f ca="1">$E590*SUMIF(INDIRECT(L$3),'Struktur Vorjahr'!$D590,INDIRECT(L$8))*IFERROR(IF(VLOOKUP('Struktur Vorjahr'!$D590,INDIRECT(L$6),8,)="H",-1,1),0)</f>
        <v>0</v>
      </c>
      <c r="M590" s="593">
        <f ca="1">$E590*SUMIF(INDIRECT(M$3),'Struktur Vorjahr'!$D590,INDIRECT(M$8))*IFERROR(IF(VLOOKUP('Struktur Vorjahr'!$D590,INDIRECT(M$6),8,)="H",-1,1),0)</f>
        <v>0</v>
      </c>
      <c r="N590" s="593">
        <f ca="1">$E590*SUMIF(INDIRECT(N$3),'Struktur Vorjahr'!$D590,INDIRECT(N$8))*IFERROR(IF(VLOOKUP('Struktur Vorjahr'!$D590,INDIRECT(N$6),8,)="H",-1,1),0)</f>
        <v>0</v>
      </c>
      <c r="O590" s="593">
        <f ca="1">$E590*SUMIF(INDIRECT(O$3),'Struktur Vorjahr'!$D590,INDIRECT(O$8))*IFERROR(IF(VLOOKUP('Struktur Vorjahr'!$D590,INDIRECT(O$6),8,)="H",-1,1),0)</f>
        <v>0</v>
      </c>
      <c r="P590" s="593">
        <f ca="1">$E590*SUMIF(INDIRECT(P$3),'Struktur Vorjahr'!$D590,INDIRECT(P$8))*IFERROR(IF(VLOOKUP('Struktur Vorjahr'!$D590,INDIRECT(P$6),8,)="H",-1,1),0)</f>
        <v>0</v>
      </c>
      <c r="Q590" s="593">
        <f ca="1">$E590*SUMIF(INDIRECT(Q$3),'Struktur Vorjahr'!$D590,INDIRECT(Q$8))*IFERROR(IF(VLOOKUP('Struktur Vorjahr'!$D590,INDIRECT(Q$6),8,)="H",-1,1),0)</f>
        <v>0</v>
      </c>
      <c r="R590" s="593">
        <f ca="1">$E590*SUMIF(INDIRECT(R$3),'Struktur Vorjahr'!$D590,INDIRECT(R$8))*IFERROR(IF(VLOOKUP('Struktur Vorjahr'!$D590,INDIRECT(R$6),8,)="H",-1,1),0)</f>
        <v>0</v>
      </c>
      <c r="S590" s="593" t="e">
        <f ca="1">$E590*SUMIF(INDIRECT(S$3),'Struktur Vorjahr'!$D590,INDIRECT(S$8))*IFERROR(IF(VLOOKUP('Struktur Vorjahr'!$D590,INDIRECT(S$6),8,)="H",-1,1),0)</f>
        <v>#REF!</v>
      </c>
      <c r="T590" s="593" t="e">
        <f ca="1">$E590*SUMIF(INDIRECT(T$3),'Struktur Vorjahr'!$D590,INDIRECT(T$8))*IFERROR(IF(VLOOKUP('Struktur Vorjahr'!$D590,INDIRECT(T$6),8,)="H",-1,1),0)</f>
        <v>#REF!</v>
      </c>
      <c r="U590" s="593" t="e">
        <f ca="1">$E590*SUMIF(INDIRECT(U$3),'Struktur Vorjahr'!$D590,INDIRECT(U$8))*IFERROR(IF(VLOOKUP('Struktur Vorjahr'!$D590,INDIRECT(U$6),8,)="H",-1,1),0)</f>
        <v>#REF!</v>
      </c>
      <c r="V590" s="593" t="e">
        <f ca="1">$E590*SUMIF(INDIRECT(V$3),'Struktur Vorjahr'!$D590,INDIRECT(V$8))*IFERROR(IF(VLOOKUP('Struktur Vorjahr'!$D590,INDIRECT(V$6),8,)="H",-1,1),0)</f>
        <v>#REF!</v>
      </c>
      <c r="W590" s="593" t="e">
        <f ca="1">$E590*SUMIF(INDIRECT(W$3),'Struktur Vorjahr'!$D590,INDIRECT(W$8))*IFERROR(IF(VLOOKUP('Struktur Vorjahr'!$D590,INDIRECT(W$6),8,)="H",-1,1),0)</f>
        <v>#REF!</v>
      </c>
      <c r="X590" s="593" t="e">
        <f ca="1">$E590*SUMIF(INDIRECT(X$3),'Struktur Vorjahr'!$D590,INDIRECT(X$8))*IFERROR(IF(VLOOKUP('Struktur Vorjahr'!$D590,INDIRECT(X$6),8,)="H",-1,1),0)</f>
        <v>#REF!</v>
      </c>
      <c r="Y590" s="593" t="e">
        <f ca="1">$E590*SUMIF(INDIRECT(Y$3),'Struktur Vorjahr'!$D590,INDIRECT(Y$8))*IFERROR(IF(VLOOKUP('Struktur Vorjahr'!$D590,INDIRECT(Y$6),8,)="H",-1,1),0)</f>
        <v>#REF!</v>
      </c>
      <c r="Z590" s="593" t="e">
        <f ca="1">$E590*SUMIF(INDIRECT(Z$3),'Struktur Vorjahr'!$D590,INDIRECT(Z$8))*IFERROR(IF(VLOOKUP('Struktur Vorjahr'!$D590,INDIRECT(Z$6),8,)="H",-1,1),0)</f>
        <v>#REF!</v>
      </c>
      <c r="AA590" s="593" t="e">
        <f ca="1">$E590*SUMIF(INDIRECT(AA$3),'Struktur Vorjahr'!$D590,INDIRECT(AA$8))*IFERROR(IF(VLOOKUP('Struktur Vorjahr'!$D590,INDIRECT(AA$6),8,)="H",-1,1),0)</f>
        <v>#REF!</v>
      </c>
      <c r="AB590" s="593" t="e">
        <f ca="1">$E590*SUMIF(INDIRECT(AB$3),'Struktur Vorjahr'!$D590,INDIRECT(AB$8))*IFERROR(IF(VLOOKUP('Struktur Vorjahr'!$D590,INDIRECT(AB$6),8,)="H",-1,1),0)</f>
        <v>#REF!</v>
      </c>
      <c r="AC590" s="593" t="e">
        <f ca="1">$E590*SUMIF(INDIRECT(AC$3),'Struktur Vorjahr'!$D590,INDIRECT(AC$8))*IFERROR(IF(VLOOKUP('Struktur Vorjahr'!$D590,INDIRECT(AC$6),8,)="H",-1,1),0)</f>
        <v>#REF!</v>
      </c>
      <c r="AD590" s="593" t="e">
        <f ca="1">$E590*SUMIF(INDIRECT(AD$3),'Struktur Vorjahr'!$D590,INDIRECT(AD$8))*IFERROR(IF(VLOOKUP('Struktur Vorjahr'!$D590,INDIRECT(AD$6),8,)="H",-1,1),0)</f>
        <v>#REF!</v>
      </c>
      <c r="AE590" s="593">
        <f t="shared" ca="1" si="296"/>
        <v>0</v>
      </c>
      <c r="AF590" s="593">
        <f t="shared" ca="1" si="297"/>
        <v>0</v>
      </c>
      <c r="AG590" s="593">
        <f t="shared" ca="1" si="297"/>
        <v>0</v>
      </c>
      <c r="AH590" s="593">
        <f t="shared" ca="1" si="297"/>
        <v>0</v>
      </c>
      <c r="AI590" s="593">
        <f t="shared" ca="1" si="297"/>
        <v>0</v>
      </c>
      <c r="AJ590" s="593">
        <f t="shared" ca="1" si="297"/>
        <v>0</v>
      </c>
      <c r="AK590" s="593">
        <f t="shared" ca="1" si="297"/>
        <v>0</v>
      </c>
      <c r="AL590" s="593">
        <f t="shared" ca="1" si="297"/>
        <v>0</v>
      </c>
      <c r="AM590" s="593">
        <f t="shared" ca="1" si="297"/>
        <v>0</v>
      </c>
      <c r="AN590" s="593">
        <f t="shared" ca="1" si="297"/>
        <v>0</v>
      </c>
      <c r="AO590" s="593">
        <f t="shared" ca="1" si="297"/>
        <v>0</v>
      </c>
      <c r="AP590" s="593">
        <f t="shared" ca="1" si="297"/>
        <v>0</v>
      </c>
    </row>
    <row r="591" spans="1:42" s="594" customFormat="1" ht="11.25" x14ac:dyDescent="0.2">
      <c r="A591" s="644"/>
      <c r="B591" s="591" t="str">
        <f>IF(D591&lt;&gt;"",
IF(ISERROR(MATCH(D591,'Ist Vorjahr Monat 01'!A:A,0))=FALSE,INDEX('Ist Vorjahr Monat 01'!B:B,MATCH(D591,'Ist Vorjahr Monat 01'!A:A,0)),
IF(ISERROR(MATCH(D591,'Ist Vorjahr Monat 02'!A:A,0))=FALSE,INDEX('Ist Vorjahr Monat 02'!B:B,MATCH(D591,'Ist Vorjahr Monat 02'!A:A,0)),
IF(ISERROR(MATCH(D591,'Ist Vorjahr Monat 03'!A:A,0))=FALSE,INDEX('Ist Vorjahr Monat 03'!B:B,MATCH(D591,'Ist Vorjahr Monat 03'!A:A,0)),
IF(ISERROR(MATCH(D591,'Ist Vorjahr Monat 04'!A:A,0))=FALSE,INDEX('Ist Vorjahr Monat 04'!B:B,MATCH(D591,'Ist Vorjahr Monat 04'!A:A,0)),
IF(ISERROR(MATCH(D591,'Ist Vorjahr Monat 05'!A:A,0))=FALSE,INDEX('Ist Vorjahr Monat 05'!B:B,MATCH(D591,'Ist Vorjahr Monat 05'!A:A,0)),
IF(ISERROR(MATCH(D591,'Ist Vorjahr Monat 06'!A:A,0))=FALSE,INDEX('Ist Vorjahr Monat 06'!B:B,MATCH(D591,'Ist Vorjahr Monat 06'!A:A,0)),
IF(ISERROR(MATCH(D591,'Ist Vorjahr Monat 07'!A:A,0))=FALSE,INDEX('Ist Vorjahr Monat 07'!B:B,MATCH(D591,'Ist Vorjahr Monat 07'!A:A,0)),
IF(ISERROR(MATCH(D591,'Ist Vorjahr Monat 08'!A:A,0))=FALSE,INDEX('Ist Vorjahr Monat 08'!B:B,MATCH(D591,'Ist Vorjahr Monat 08'!A:A,0)),
IF(ISERROR(MATCH(D591,'Ist Vorjahr Monat 09'!A:A,0))=FALSE,INDEX('Ist Vorjahr Monat 09'!B:B,MATCH(D591,'Ist Vorjahr Monat 09'!A:A,0)),
IF(ISERROR(MATCH(D591,'Ist Vorjahr Monat 10'!A:A,0))=FALSE,INDEX('Ist Vorjahr Monat 10'!B:B,MATCH(D591,'Ist Vorjahr Monat 10'!A:A,0)),
IF(ISERROR(MATCH(D591,'Ist Vorjahr Monat 11'!A:A,0))=FALSE,INDEX('Ist Vorjahr Monat 11'!B:B,MATCH(D591,'Ist Vorjahr Monat 11'!A:A,0)),
IF(ISERROR(MATCH(D591,'Ist Vorjahr Monat 12'!A:A,0))=FALSE,INDEX('Ist Vorjahr Monat 12'!B:B,MATCH(D591,'Ist Vorjahr Monat 12'!A:A,0)),
"{Konto unbekannt}"
)))))))))))),"")</f>
        <v>Umsatzsteuer 19%</v>
      </c>
      <c r="C591" s="1062"/>
      <c r="D591" s="1067">
        <v>1776</v>
      </c>
      <c r="E591" s="625">
        <f t="shared" si="237"/>
        <v>-1</v>
      </c>
      <c r="F591" s="626" t="s">
        <v>996</v>
      </c>
      <c r="G591" s="593">
        <f ca="1">$E591*SUMIF(INDIRECT(G$3),'Struktur Vorjahr'!$D591,INDIRECT(G$8))*IFERROR(IF(VLOOKUP('Struktur Vorjahr'!$D591,INDIRECT(G$6),8,)="H",-1,1),0)</f>
        <v>0</v>
      </c>
      <c r="H591" s="593">
        <f ca="1">$E591*SUMIF(INDIRECT(H$3),'Struktur Vorjahr'!$D591,INDIRECT(H$8))*IFERROR(IF(VLOOKUP('Struktur Vorjahr'!$D591,INDIRECT(H$6),8,)="H",-1,1),0)</f>
        <v>0</v>
      </c>
      <c r="I591" s="593">
        <f ca="1">$E591*SUMIF(INDIRECT(I$3),'Struktur Vorjahr'!$D591,INDIRECT(I$8))*IFERROR(IF(VLOOKUP('Struktur Vorjahr'!$D591,INDIRECT(I$6),8,)="H",-1,1),0)</f>
        <v>0</v>
      </c>
      <c r="J591" s="593">
        <f ca="1">$E591*SUMIF(INDIRECT(J$3),'Struktur Vorjahr'!$D591,INDIRECT(J$8))*IFERROR(IF(VLOOKUP('Struktur Vorjahr'!$D591,INDIRECT(J$6),8,)="H",-1,1),0)</f>
        <v>0</v>
      </c>
      <c r="K591" s="593">
        <f ca="1">$E591*SUMIF(INDIRECT(K$3),'Struktur Vorjahr'!$D591,INDIRECT(K$8))*IFERROR(IF(VLOOKUP('Struktur Vorjahr'!$D591,INDIRECT(K$6),8,)="H",-1,1),0)</f>
        <v>0</v>
      </c>
      <c r="L591" s="593">
        <f ca="1">$E591*SUMIF(INDIRECT(L$3),'Struktur Vorjahr'!$D591,INDIRECT(L$8))*IFERROR(IF(VLOOKUP('Struktur Vorjahr'!$D591,INDIRECT(L$6),8,)="H",-1,1),0)</f>
        <v>0</v>
      </c>
      <c r="M591" s="593">
        <f ca="1">$E591*SUMIF(INDIRECT(M$3),'Struktur Vorjahr'!$D591,INDIRECT(M$8))*IFERROR(IF(VLOOKUP('Struktur Vorjahr'!$D591,INDIRECT(M$6),8,)="H",-1,1),0)</f>
        <v>0</v>
      </c>
      <c r="N591" s="593">
        <f ca="1">$E591*SUMIF(INDIRECT(N$3),'Struktur Vorjahr'!$D591,INDIRECT(N$8))*IFERROR(IF(VLOOKUP('Struktur Vorjahr'!$D591,INDIRECT(N$6),8,)="H",-1,1),0)</f>
        <v>0</v>
      </c>
      <c r="O591" s="593">
        <f ca="1">$E591*SUMIF(INDIRECT(O$3),'Struktur Vorjahr'!$D591,INDIRECT(O$8))*IFERROR(IF(VLOOKUP('Struktur Vorjahr'!$D591,INDIRECT(O$6),8,)="H",-1,1),0)</f>
        <v>0</v>
      </c>
      <c r="P591" s="593">
        <f ca="1">$E591*SUMIF(INDIRECT(P$3),'Struktur Vorjahr'!$D591,INDIRECT(P$8))*IFERROR(IF(VLOOKUP('Struktur Vorjahr'!$D591,INDIRECT(P$6),8,)="H",-1,1),0)</f>
        <v>0</v>
      </c>
      <c r="Q591" s="593">
        <f ca="1">$E591*SUMIF(INDIRECT(Q$3),'Struktur Vorjahr'!$D591,INDIRECT(Q$8))*IFERROR(IF(VLOOKUP('Struktur Vorjahr'!$D591,INDIRECT(Q$6),8,)="H",-1,1),0)</f>
        <v>0</v>
      </c>
      <c r="R591" s="593">
        <f ca="1">$E591*SUMIF(INDIRECT(R$3),'Struktur Vorjahr'!$D591,INDIRECT(R$8))*IFERROR(IF(VLOOKUP('Struktur Vorjahr'!$D591,INDIRECT(R$6),8,)="H",-1,1),0)</f>
        <v>0</v>
      </c>
      <c r="S591" s="593" t="e">
        <f ca="1">$E591*SUMIF(INDIRECT(S$3),'Struktur Vorjahr'!$D591,INDIRECT(S$8))*IFERROR(IF(VLOOKUP('Struktur Vorjahr'!$D591,INDIRECT(S$6),8,)="H",-1,1),0)</f>
        <v>#REF!</v>
      </c>
      <c r="T591" s="593" t="e">
        <f ca="1">$E591*SUMIF(INDIRECT(T$3),'Struktur Vorjahr'!$D591,INDIRECT(T$8))*IFERROR(IF(VLOOKUP('Struktur Vorjahr'!$D591,INDIRECT(T$6),8,)="H",-1,1),0)</f>
        <v>#REF!</v>
      </c>
      <c r="U591" s="593" t="e">
        <f ca="1">$E591*SUMIF(INDIRECT(U$3),'Struktur Vorjahr'!$D591,INDIRECT(U$8))*IFERROR(IF(VLOOKUP('Struktur Vorjahr'!$D591,INDIRECT(U$6),8,)="H",-1,1),0)</f>
        <v>#REF!</v>
      </c>
      <c r="V591" s="593" t="e">
        <f ca="1">$E591*SUMIF(INDIRECT(V$3),'Struktur Vorjahr'!$D591,INDIRECT(V$8))*IFERROR(IF(VLOOKUP('Struktur Vorjahr'!$D591,INDIRECT(V$6),8,)="H",-1,1),0)</f>
        <v>#REF!</v>
      </c>
      <c r="W591" s="593" t="e">
        <f ca="1">$E591*SUMIF(INDIRECT(W$3),'Struktur Vorjahr'!$D591,INDIRECT(W$8))*IFERROR(IF(VLOOKUP('Struktur Vorjahr'!$D591,INDIRECT(W$6),8,)="H",-1,1),0)</f>
        <v>#REF!</v>
      </c>
      <c r="X591" s="593" t="e">
        <f ca="1">$E591*SUMIF(INDIRECT(X$3),'Struktur Vorjahr'!$D591,INDIRECT(X$8))*IFERROR(IF(VLOOKUP('Struktur Vorjahr'!$D591,INDIRECT(X$6),8,)="H",-1,1),0)</f>
        <v>#REF!</v>
      </c>
      <c r="Y591" s="593" t="e">
        <f ca="1">$E591*SUMIF(INDIRECT(Y$3),'Struktur Vorjahr'!$D591,INDIRECT(Y$8))*IFERROR(IF(VLOOKUP('Struktur Vorjahr'!$D591,INDIRECT(Y$6),8,)="H",-1,1),0)</f>
        <v>#REF!</v>
      </c>
      <c r="Z591" s="593" t="e">
        <f ca="1">$E591*SUMIF(INDIRECT(Z$3),'Struktur Vorjahr'!$D591,INDIRECT(Z$8))*IFERROR(IF(VLOOKUP('Struktur Vorjahr'!$D591,INDIRECT(Z$6),8,)="H",-1,1),0)</f>
        <v>#REF!</v>
      </c>
      <c r="AA591" s="593" t="e">
        <f ca="1">$E591*SUMIF(INDIRECT(AA$3),'Struktur Vorjahr'!$D591,INDIRECT(AA$8))*IFERROR(IF(VLOOKUP('Struktur Vorjahr'!$D591,INDIRECT(AA$6),8,)="H",-1,1),0)</f>
        <v>#REF!</v>
      </c>
      <c r="AB591" s="593" t="e">
        <f ca="1">$E591*SUMIF(INDIRECT(AB$3),'Struktur Vorjahr'!$D591,INDIRECT(AB$8))*IFERROR(IF(VLOOKUP('Struktur Vorjahr'!$D591,INDIRECT(AB$6),8,)="H",-1,1),0)</f>
        <v>#REF!</v>
      </c>
      <c r="AC591" s="593" t="e">
        <f ca="1">$E591*SUMIF(INDIRECT(AC$3),'Struktur Vorjahr'!$D591,INDIRECT(AC$8))*IFERROR(IF(VLOOKUP('Struktur Vorjahr'!$D591,INDIRECT(AC$6),8,)="H",-1,1),0)</f>
        <v>#REF!</v>
      </c>
      <c r="AD591" s="593" t="e">
        <f ca="1">$E591*SUMIF(INDIRECT(AD$3),'Struktur Vorjahr'!$D591,INDIRECT(AD$8))*IFERROR(IF(VLOOKUP('Struktur Vorjahr'!$D591,INDIRECT(AD$6),8,)="H",-1,1),0)</f>
        <v>#REF!</v>
      </c>
      <c r="AE591" s="593">
        <f t="shared" ca="1" si="296"/>
        <v>0</v>
      </c>
      <c r="AF591" s="593">
        <f t="shared" ca="1" si="297"/>
        <v>0</v>
      </c>
      <c r="AG591" s="593">
        <f t="shared" ca="1" si="297"/>
        <v>0</v>
      </c>
      <c r="AH591" s="593">
        <f t="shared" ca="1" si="297"/>
        <v>0</v>
      </c>
      <c r="AI591" s="593">
        <f t="shared" ca="1" si="297"/>
        <v>0</v>
      </c>
      <c r="AJ591" s="593">
        <f t="shared" ca="1" si="297"/>
        <v>0</v>
      </c>
      <c r="AK591" s="593">
        <f t="shared" ca="1" si="297"/>
        <v>0</v>
      </c>
      <c r="AL591" s="593">
        <f t="shared" ca="1" si="297"/>
        <v>0</v>
      </c>
      <c r="AM591" s="593">
        <f t="shared" ca="1" si="297"/>
        <v>0</v>
      </c>
      <c r="AN591" s="593">
        <f t="shared" ca="1" si="297"/>
        <v>0</v>
      </c>
      <c r="AO591" s="593">
        <f t="shared" ca="1" si="297"/>
        <v>0</v>
      </c>
      <c r="AP591" s="593">
        <f t="shared" ca="1" si="297"/>
        <v>0</v>
      </c>
    </row>
    <row r="592" spans="1:42" s="594" customFormat="1" ht="11.25" x14ac:dyDescent="0.2">
      <c r="A592" s="644"/>
      <c r="B592" s="591" t="str">
        <f>IF(D592&lt;&gt;"",
IF(ISERROR(MATCH(D592,'Ist Vorjahr Monat 01'!A:A,0))=FALSE,INDEX('Ist Vorjahr Monat 01'!B:B,MATCH(D592,'Ist Vorjahr Monat 01'!A:A,0)),
IF(ISERROR(MATCH(D592,'Ist Vorjahr Monat 02'!A:A,0))=FALSE,INDEX('Ist Vorjahr Monat 02'!B:B,MATCH(D592,'Ist Vorjahr Monat 02'!A:A,0)),
IF(ISERROR(MATCH(D592,'Ist Vorjahr Monat 03'!A:A,0))=FALSE,INDEX('Ist Vorjahr Monat 03'!B:B,MATCH(D592,'Ist Vorjahr Monat 03'!A:A,0)),
IF(ISERROR(MATCH(D592,'Ist Vorjahr Monat 04'!A:A,0))=FALSE,INDEX('Ist Vorjahr Monat 04'!B:B,MATCH(D592,'Ist Vorjahr Monat 04'!A:A,0)),
IF(ISERROR(MATCH(D592,'Ist Vorjahr Monat 05'!A:A,0))=FALSE,INDEX('Ist Vorjahr Monat 05'!B:B,MATCH(D592,'Ist Vorjahr Monat 05'!A:A,0)),
IF(ISERROR(MATCH(D592,'Ist Vorjahr Monat 06'!A:A,0))=FALSE,INDEX('Ist Vorjahr Monat 06'!B:B,MATCH(D592,'Ist Vorjahr Monat 06'!A:A,0)),
IF(ISERROR(MATCH(D592,'Ist Vorjahr Monat 07'!A:A,0))=FALSE,INDEX('Ist Vorjahr Monat 07'!B:B,MATCH(D592,'Ist Vorjahr Monat 07'!A:A,0)),
IF(ISERROR(MATCH(D592,'Ist Vorjahr Monat 08'!A:A,0))=FALSE,INDEX('Ist Vorjahr Monat 08'!B:B,MATCH(D592,'Ist Vorjahr Monat 08'!A:A,0)),
IF(ISERROR(MATCH(D592,'Ist Vorjahr Monat 09'!A:A,0))=FALSE,INDEX('Ist Vorjahr Monat 09'!B:B,MATCH(D592,'Ist Vorjahr Monat 09'!A:A,0)),
IF(ISERROR(MATCH(D592,'Ist Vorjahr Monat 10'!A:A,0))=FALSE,INDEX('Ist Vorjahr Monat 10'!B:B,MATCH(D592,'Ist Vorjahr Monat 10'!A:A,0)),
IF(ISERROR(MATCH(D592,'Ist Vorjahr Monat 11'!A:A,0))=FALSE,INDEX('Ist Vorjahr Monat 11'!B:B,MATCH(D592,'Ist Vorjahr Monat 11'!A:A,0)),
IF(ISERROR(MATCH(D592,'Ist Vorjahr Monat 12'!A:A,0))=FALSE,INDEX('Ist Vorjahr Monat 12'!B:B,MATCH(D592,'Ist Vorjahr Monat 12'!A:A,0)),
"{Konto unbekannt}"
)))))))))))),"")</f>
        <v>Umsatzsteuer-Vorauszahlungen</v>
      </c>
      <c r="C592" s="1062"/>
      <c r="D592" s="1067">
        <v>1780</v>
      </c>
      <c r="E592" s="625">
        <f t="shared" si="237"/>
        <v>-1</v>
      </c>
      <c r="F592" s="626" t="s">
        <v>996</v>
      </c>
      <c r="G592" s="593">
        <f ca="1">$E592*SUMIF(INDIRECT(G$3),'Struktur Vorjahr'!$D592,INDIRECT(G$8))*IFERROR(IF(VLOOKUP('Struktur Vorjahr'!$D592,INDIRECT(G$6),8,)="H",-1,1),0)</f>
        <v>0</v>
      </c>
      <c r="H592" s="593">
        <f ca="1">$E592*SUMIF(INDIRECT(H$3),'Struktur Vorjahr'!$D592,INDIRECT(H$8))*IFERROR(IF(VLOOKUP('Struktur Vorjahr'!$D592,INDIRECT(H$6),8,)="H",-1,1),0)</f>
        <v>0</v>
      </c>
      <c r="I592" s="593">
        <f ca="1">$E592*SUMIF(INDIRECT(I$3),'Struktur Vorjahr'!$D592,INDIRECT(I$8))*IFERROR(IF(VLOOKUP('Struktur Vorjahr'!$D592,INDIRECT(I$6),8,)="H",-1,1),0)</f>
        <v>0</v>
      </c>
      <c r="J592" s="593">
        <f ca="1">$E592*SUMIF(INDIRECT(J$3),'Struktur Vorjahr'!$D592,INDIRECT(J$8))*IFERROR(IF(VLOOKUP('Struktur Vorjahr'!$D592,INDIRECT(J$6),8,)="H",-1,1),0)</f>
        <v>0</v>
      </c>
      <c r="K592" s="593">
        <f ca="1">$E592*SUMIF(INDIRECT(K$3),'Struktur Vorjahr'!$D592,INDIRECT(K$8))*IFERROR(IF(VLOOKUP('Struktur Vorjahr'!$D592,INDIRECT(K$6),8,)="H",-1,1),0)</f>
        <v>0</v>
      </c>
      <c r="L592" s="593">
        <f ca="1">$E592*SUMIF(INDIRECT(L$3),'Struktur Vorjahr'!$D592,INDIRECT(L$8))*IFERROR(IF(VLOOKUP('Struktur Vorjahr'!$D592,INDIRECT(L$6),8,)="H",-1,1),0)</f>
        <v>0</v>
      </c>
      <c r="M592" s="593">
        <f ca="1">$E592*SUMIF(INDIRECT(M$3),'Struktur Vorjahr'!$D592,INDIRECT(M$8))*IFERROR(IF(VLOOKUP('Struktur Vorjahr'!$D592,INDIRECT(M$6),8,)="H",-1,1),0)</f>
        <v>0</v>
      </c>
      <c r="N592" s="593">
        <f ca="1">$E592*SUMIF(INDIRECT(N$3),'Struktur Vorjahr'!$D592,INDIRECT(N$8))*IFERROR(IF(VLOOKUP('Struktur Vorjahr'!$D592,INDIRECT(N$6),8,)="H",-1,1),0)</f>
        <v>0</v>
      </c>
      <c r="O592" s="593">
        <f ca="1">$E592*SUMIF(INDIRECT(O$3),'Struktur Vorjahr'!$D592,INDIRECT(O$8))*IFERROR(IF(VLOOKUP('Struktur Vorjahr'!$D592,INDIRECT(O$6),8,)="H",-1,1),0)</f>
        <v>0</v>
      </c>
      <c r="P592" s="593">
        <f ca="1">$E592*SUMIF(INDIRECT(P$3),'Struktur Vorjahr'!$D592,INDIRECT(P$8))*IFERROR(IF(VLOOKUP('Struktur Vorjahr'!$D592,INDIRECT(P$6),8,)="H",-1,1),0)</f>
        <v>0</v>
      </c>
      <c r="Q592" s="593">
        <f ca="1">$E592*SUMIF(INDIRECT(Q$3),'Struktur Vorjahr'!$D592,INDIRECT(Q$8))*IFERROR(IF(VLOOKUP('Struktur Vorjahr'!$D592,INDIRECT(Q$6),8,)="H",-1,1),0)</f>
        <v>0</v>
      </c>
      <c r="R592" s="593">
        <f ca="1">$E592*SUMIF(INDIRECT(R$3),'Struktur Vorjahr'!$D592,INDIRECT(R$8))*IFERROR(IF(VLOOKUP('Struktur Vorjahr'!$D592,INDIRECT(R$6),8,)="H",-1,1),0)</f>
        <v>0</v>
      </c>
      <c r="S592" s="593" t="e">
        <f ca="1">$E592*SUMIF(INDIRECT(S$3),'Struktur Vorjahr'!$D592,INDIRECT(S$8))*IFERROR(IF(VLOOKUP('Struktur Vorjahr'!$D592,INDIRECT(S$6),8,)="H",-1,1),0)</f>
        <v>#REF!</v>
      </c>
      <c r="T592" s="593" t="e">
        <f ca="1">$E592*SUMIF(INDIRECT(T$3),'Struktur Vorjahr'!$D592,INDIRECT(T$8))*IFERROR(IF(VLOOKUP('Struktur Vorjahr'!$D592,INDIRECT(T$6),8,)="H",-1,1),0)</f>
        <v>#REF!</v>
      </c>
      <c r="U592" s="593" t="e">
        <f ca="1">$E592*SUMIF(INDIRECT(U$3),'Struktur Vorjahr'!$D592,INDIRECT(U$8))*IFERROR(IF(VLOOKUP('Struktur Vorjahr'!$D592,INDIRECT(U$6),8,)="H",-1,1),0)</f>
        <v>#REF!</v>
      </c>
      <c r="V592" s="593" t="e">
        <f ca="1">$E592*SUMIF(INDIRECT(V$3),'Struktur Vorjahr'!$D592,INDIRECT(V$8))*IFERROR(IF(VLOOKUP('Struktur Vorjahr'!$D592,INDIRECT(V$6),8,)="H",-1,1),0)</f>
        <v>#REF!</v>
      </c>
      <c r="W592" s="593" t="e">
        <f ca="1">$E592*SUMIF(INDIRECT(W$3),'Struktur Vorjahr'!$D592,INDIRECT(W$8))*IFERROR(IF(VLOOKUP('Struktur Vorjahr'!$D592,INDIRECT(W$6),8,)="H",-1,1),0)</f>
        <v>#REF!</v>
      </c>
      <c r="X592" s="593" t="e">
        <f ca="1">$E592*SUMIF(INDIRECT(X$3),'Struktur Vorjahr'!$D592,INDIRECT(X$8))*IFERROR(IF(VLOOKUP('Struktur Vorjahr'!$D592,INDIRECT(X$6),8,)="H",-1,1),0)</f>
        <v>#REF!</v>
      </c>
      <c r="Y592" s="593" t="e">
        <f ca="1">$E592*SUMIF(INDIRECT(Y$3),'Struktur Vorjahr'!$D592,INDIRECT(Y$8))*IFERROR(IF(VLOOKUP('Struktur Vorjahr'!$D592,INDIRECT(Y$6),8,)="H",-1,1),0)</f>
        <v>#REF!</v>
      </c>
      <c r="Z592" s="593" t="e">
        <f ca="1">$E592*SUMIF(INDIRECT(Z$3),'Struktur Vorjahr'!$D592,INDIRECT(Z$8))*IFERROR(IF(VLOOKUP('Struktur Vorjahr'!$D592,INDIRECT(Z$6),8,)="H",-1,1),0)</f>
        <v>#REF!</v>
      </c>
      <c r="AA592" s="593" t="e">
        <f ca="1">$E592*SUMIF(INDIRECT(AA$3),'Struktur Vorjahr'!$D592,INDIRECT(AA$8))*IFERROR(IF(VLOOKUP('Struktur Vorjahr'!$D592,INDIRECT(AA$6),8,)="H",-1,1),0)</f>
        <v>#REF!</v>
      </c>
      <c r="AB592" s="593" t="e">
        <f ca="1">$E592*SUMIF(INDIRECT(AB$3),'Struktur Vorjahr'!$D592,INDIRECT(AB$8))*IFERROR(IF(VLOOKUP('Struktur Vorjahr'!$D592,INDIRECT(AB$6),8,)="H",-1,1),0)</f>
        <v>#REF!</v>
      </c>
      <c r="AC592" s="593" t="e">
        <f ca="1">$E592*SUMIF(INDIRECT(AC$3),'Struktur Vorjahr'!$D592,INDIRECT(AC$8))*IFERROR(IF(VLOOKUP('Struktur Vorjahr'!$D592,INDIRECT(AC$6),8,)="H",-1,1),0)</f>
        <v>#REF!</v>
      </c>
      <c r="AD592" s="593" t="e">
        <f ca="1">$E592*SUMIF(INDIRECT(AD$3),'Struktur Vorjahr'!$D592,INDIRECT(AD$8))*IFERROR(IF(VLOOKUP('Struktur Vorjahr'!$D592,INDIRECT(AD$6),8,)="H",-1,1),0)</f>
        <v>#REF!</v>
      </c>
      <c r="AE592" s="593">
        <f t="shared" ca="1" si="296"/>
        <v>0</v>
      </c>
      <c r="AF592" s="593">
        <f t="shared" ca="1" si="297"/>
        <v>0</v>
      </c>
      <c r="AG592" s="593">
        <f t="shared" ca="1" si="297"/>
        <v>0</v>
      </c>
      <c r="AH592" s="593">
        <f t="shared" ca="1" si="297"/>
        <v>0</v>
      </c>
      <c r="AI592" s="593">
        <f t="shared" ca="1" si="297"/>
        <v>0</v>
      </c>
      <c r="AJ592" s="593">
        <f t="shared" ca="1" si="297"/>
        <v>0</v>
      </c>
      <c r="AK592" s="593">
        <f t="shared" ca="1" si="297"/>
        <v>0</v>
      </c>
      <c r="AL592" s="593">
        <f t="shared" ca="1" si="297"/>
        <v>0</v>
      </c>
      <c r="AM592" s="593">
        <f t="shared" ca="1" si="297"/>
        <v>0</v>
      </c>
      <c r="AN592" s="593">
        <f t="shared" ca="1" si="297"/>
        <v>0</v>
      </c>
      <c r="AO592" s="593">
        <f t="shared" ca="1" si="297"/>
        <v>0</v>
      </c>
      <c r="AP592" s="593">
        <f t="shared" ca="1" si="297"/>
        <v>0</v>
      </c>
    </row>
    <row r="593" spans="1:42" s="594" customFormat="1" ht="11.25" x14ac:dyDescent="0.2">
      <c r="A593" s="644"/>
      <c r="B593" s="591" t="str">
        <f>IF(D593&lt;&gt;"",
IF(ISERROR(MATCH(D593,'Ist Vorjahr Monat 01'!A:A,0))=FALSE,INDEX('Ist Vorjahr Monat 01'!B:B,MATCH(D593,'Ist Vorjahr Monat 01'!A:A,0)),
IF(ISERROR(MATCH(D593,'Ist Vorjahr Monat 02'!A:A,0))=FALSE,INDEX('Ist Vorjahr Monat 02'!B:B,MATCH(D593,'Ist Vorjahr Monat 02'!A:A,0)),
IF(ISERROR(MATCH(D593,'Ist Vorjahr Monat 03'!A:A,0))=FALSE,INDEX('Ist Vorjahr Monat 03'!B:B,MATCH(D593,'Ist Vorjahr Monat 03'!A:A,0)),
IF(ISERROR(MATCH(D593,'Ist Vorjahr Monat 04'!A:A,0))=FALSE,INDEX('Ist Vorjahr Monat 04'!B:B,MATCH(D593,'Ist Vorjahr Monat 04'!A:A,0)),
IF(ISERROR(MATCH(D593,'Ist Vorjahr Monat 05'!A:A,0))=FALSE,INDEX('Ist Vorjahr Monat 05'!B:B,MATCH(D593,'Ist Vorjahr Monat 05'!A:A,0)),
IF(ISERROR(MATCH(D593,'Ist Vorjahr Monat 06'!A:A,0))=FALSE,INDEX('Ist Vorjahr Monat 06'!B:B,MATCH(D593,'Ist Vorjahr Monat 06'!A:A,0)),
IF(ISERROR(MATCH(D593,'Ist Vorjahr Monat 07'!A:A,0))=FALSE,INDEX('Ist Vorjahr Monat 07'!B:B,MATCH(D593,'Ist Vorjahr Monat 07'!A:A,0)),
IF(ISERROR(MATCH(D593,'Ist Vorjahr Monat 08'!A:A,0))=FALSE,INDEX('Ist Vorjahr Monat 08'!B:B,MATCH(D593,'Ist Vorjahr Monat 08'!A:A,0)),
IF(ISERROR(MATCH(D593,'Ist Vorjahr Monat 09'!A:A,0))=FALSE,INDEX('Ist Vorjahr Monat 09'!B:B,MATCH(D593,'Ist Vorjahr Monat 09'!A:A,0)),
IF(ISERROR(MATCH(D593,'Ist Vorjahr Monat 10'!A:A,0))=FALSE,INDEX('Ist Vorjahr Monat 10'!B:B,MATCH(D593,'Ist Vorjahr Monat 10'!A:A,0)),
IF(ISERROR(MATCH(D593,'Ist Vorjahr Monat 11'!A:A,0))=FALSE,INDEX('Ist Vorjahr Monat 11'!B:B,MATCH(D593,'Ist Vorjahr Monat 11'!A:A,0)),
IF(ISERROR(MATCH(D593,'Ist Vorjahr Monat 12'!A:A,0))=FALSE,INDEX('Ist Vorjahr Monat 12'!B:B,MATCH(D593,'Ist Vorjahr Monat 12'!A:A,0)),
"{Konto unbekannt}"
)))))))))))),"")</f>
        <v>{Konto unbekannt}</v>
      </c>
      <c r="C593" s="1062"/>
      <c r="D593" s="1067">
        <v>1781</v>
      </c>
      <c r="E593" s="625">
        <f t="shared" si="237"/>
        <v>-1</v>
      </c>
      <c r="F593" s="626" t="s">
        <v>996</v>
      </c>
      <c r="G593" s="593">
        <f ca="1">$E593*SUMIF(INDIRECT(G$3),'Struktur Vorjahr'!$D593,INDIRECT(G$8))*IFERROR(IF(VLOOKUP('Struktur Vorjahr'!$D593,INDIRECT(G$6),8,)="H",-1,1),0)</f>
        <v>0</v>
      </c>
      <c r="H593" s="593">
        <f ca="1">$E593*SUMIF(INDIRECT(H$3),'Struktur Vorjahr'!$D593,INDIRECT(H$8))*IFERROR(IF(VLOOKUP('Struktur Vorjahr'!$D593,INDIRECT(H$6),8,)="H",-1,1),0)</f>
        <v>0</v>
      </c>
      <c r="I593" s="593">
        <f ca="1">$E593*SUMIF(INDIRECT(I$3),'Struktur Vorjahr'!$D593,INDIRECT(I$8))*IFERROR(IF(VLOOKUP('Struktur Vorjahr'!$D593,INDIRECT(I$6),8,)="H",-1,1),0)</f>
        <v>0</v>
      </c>
      <c r="J593" s="593">
        <f ca="1">$E593*SUMIF(INDIRECT(J$3),'Struktur Vorjahr'!$D593,INDIRECT(J$8))*IFERROR(IF(VLOOKUP('Struktur Vorjahr'!$D593,INDIRECT(J$6),8,)="H",-1,1),0)</f>
        <v>0</v>
      </c>
      <c r="K593" s="593">
        <f ca="1">$E593*SUMIF(INDIRECT(K$3),'Struktur Vorjahr'!$D593,INDIRECT(K$8))*IFERROR(IF(VLOOKUP('Struktur Vorjahr'!$D593,INDIRECT(K$6),8,)="H",-1,1),0)</f>
        <v>0</v>
      </c>
      <c r="L593" s="593">
        <f ca="1">$E593*SUMIF(INDIRECT(L$3),'Struktur Vorjahr'!$D593,INDIRECT(L$8))*IFERROR(IF(VLOOKUP('Struktur Vorjahr'!$D593,INDIRECT(L$6),8,)="H",-1,1),0)</f>
        <v>0</v>
      </c>
      <c r="M593" s="593">
        <f ca="1">$E593*SUMIF(INDIRECT(M$3),'Struktur Vorjahr'!$D593,INDIRECT(M$8))*IFERROR(IF(VLOOKUP('Struktur Vorjahr'!$D593,INDIRECT(M$6),8,)="H",-1,1),0)</f>
        <v>0</v>
      </c>
      <c r="N593" s="593">
        <f ca="1">$E593*SUMIF(INDIRECT(N$3),'Struktur Vorjahr'!$D593,INDIRECT(N$8))*IFERROR(IF(VLOOKUP('Struktur Vorjahr'!$D593,INDIRECT(N$6),8,)="H",-1,1),0)</f>
        <v>0</v>
      </c>
      <c r="O593" s="593">
        <f ca="1">$E593*SUMIF(INDIRECT(O$3),'Struktur Vorjahr'!$D593,INDIRECT(O$8))*IFERROR(IF(VLOOKUP('Struktur Vorjahr'!$D593,INDIRECT(O$6),8,)="H",-1,1),0)</f>
        <v>0</v>
      </c>
      <c r="P593" s="593">
        <f ca="1">$E593*SUMIF(INDIRECT(P$3),'Struktur Vorjahr'!$D593,INDIRECT(P$8))*IFERROR(IF(VLOOKUP('Struktur Vorjahr'!$D593,INDIRECT(P$6),8,)="H",-1,1),0)</f>
        <v>0</v>
      </c>
      <c r="Q593" s="593">
        <f ca="1">$E593*SUMIF(INDIRECT(Q$3),'Struktur Vorjahr'!$D593,INDIRECT(Q$8))*IFERROR(IF(VLOOKUP('Struktur Vorjahr'!$D593,INDIRECT(Q$6),8,)="H",-1,1),0)</f>
        <v>0</v>
      </c>
      <c r="R593" s="593">
        <f ca="1">$E593*SUMIF(INDIRECT(R$3),'Struktur Vorjahr'!$D593,INDIRECT(R$8))*IFERROR(IF(VLOOKUP('Struktur Vorjahr'!$D593,INDIRECT(R$6),8,)="H",-1,1),0)</f>
        <v>0</v>
      </c>
      <c r="S593" s="593" t="e">
        <f ca="1">$E593*SUMIF(INDIRECT(S$3),'Struktur Vorjahr'!$D593,INDIRECT(S$8))*IFERROR(IF(VLOOKUP('Struktur Vorjahr'!$D593,INDIRECT(S$6),8,)="H",-1,1),0)</f>
        <v>#REF!</v>
      </c>
      <c r="T593" s="593" t="e">
        <f ca="1">$E593*SUMIF(INDIRECT(T$3),'Struktur Vorjahr'!$D593,INDIRECT(T$8))*IFERROR(IF(VLOOKUP('Struktur Vorjahr'!$D593,INDIRECT(T$6),8,)="H",-1,1),0)</f>
        <v>#REF!</v>
      </c>
      <c r="U593" s="593" t="e">
        <f ca="1">$E593*SUMIF(INDIRECT(U$3),'Struktur Vorjahr'!$D593,INDIRECT(U$8))*IFERROR(IF(VLOOKUP('Struktur Vorjahr'!$D593,INDIRECT(U$6),8,)="H",-1,1),0)</f>
        <v>#REF!</v>
      </c>
      <c r="V593" s="593" t="e">
        <f ca="1">$E593*SUMIF(INDIRECT(V$3),'Struktur Vorjahr'!$D593,INDIRECT(V$8))*IFERROR(IF(VLOOKUP('Struktur Vorjahr'!$D593,INDIRECT(V$6),8,)="H",-1,1),0)</f>
        <v>#REF!</v>
      </c>
      <c r="W593" s="593" t="e">
        <f ca="1">$E593*SUMIF(INDIRECT(W$3),'Struktur Vorjahr'!$D593,INDIRECT(W$8))*IFERROR(IF(VLOOKUP('Struktur Vorjahr'!$D593,INDIRECT(W$6),8,)="H",-1,1),0)</f>
        <v>#REF!</v>
      </c>
      <c r="X593" s="593" t="e">
        <f ca="1">$E593*SUMIF(INDIRECT(X$3),'Struktur Vorjahr'!$D593,INDIRECT(X$8))*IFERROR(IF(VLOOKUP('Struktur Vorjahr'!$D593,INDIRECT(X$6),8,)="H",-1,1),0)</f>
        <v>#REF!</v>
      </c>
      <c r="Y593" s="593" t="e">
        <f ca="1">$E593*SUMIF(INDIRECT(Y$3),'Struktur Vorjahr'!$D593,INDIRECT(Y$8))*IFERROR(IF(VLOOKUP('Struktur Vorjahr'!$D593,INDIRECT(Y$6),8,)="H",-1,1),0)</f>
        <v>#REF!</v>
      </c>
      <c r="Z593" s="593" t="e">
        <f ca="1">$E593*SUMIF(INDIRECT(Z$3),'Struktur Vorjahr'!$D593,INDIRECT(Z$8))*IFERROR(IF(VLOOKUP('Struktur Vorjahr'!$D593,INDIRECT(Z$6),8,)="H",-1,1),0)</f>
        <v>#REF!</v>
      </c>
      <c r="AA593" s="593" t="e">
        <f ca="1">$E593*SUMIF(INDIRECT(AA$3),'Struktur Vorjahr'!$D593,INDIRECT(AA$8))*IFERROR(IF(VLOOKUP('Struktur Vorjahr'!$D593,INDIRECT(AA$6),8,)="H",-1,1),0)</f>
        <v>#REF!</v>
      </c>
      <c r="AB593" s="593" t="e">
        <f ca="1">$E593*SUMIF(INDIRECT(AB$3),'Struktur Vorjahr'!$D593,INDIRECT(AB$8))*IFERROR(IF(VLOOKUP('Struktur Vorjahr'!$D593,INDIRECT(AB$6),8,)="H",-1,1),0)</f>
        <v>#REF!</v>
      </c>
      <c r="AC593" s="593" t="e">
        <f ca="1">$E593*SUMIF(INDIRECT(AC$3),'Struktur Vorjahr'!$D593,INDIRECT(AC$8))*IFERROR(IF(VLOOKUP('Struktur Vorjahr'!$D593,INDIRECT(AC$6),8,)="H",-1,1),0)</f>
        <v>#REF!</v>
      </c>
      <c r="AD593" s="593" t="e">
        <f ca="1">$E593*SUMIF(INDIRECT(AD$3),'Struktur Vorjahr'!$D593,INDIRECT(AD$8))*IFERROR(IF(VLOOKUP('Struktur Vorjahr'!$D593,INDIRECT(AD$6),8,)="H",-1,1),0)</f>
        <v>#REF!</v>
      </c>
      <c r="AE593" s="593">
        <f t="shared" ca="1" si="296"/>
        <v>0</v>
      </c>
      <c r="AF593" s="593">
        <f t="shared" ca="1" si="297"/>
        <v>0</v>
      </c>
      <c r="AG593" s="593">
        <f t="shared" ca="1" si="297"/>
        <v>0</v>
      </c>
      <c r="AH593" s="593">
        <f t="shared" ca="1" si="297"/>
        <v>0</v>
      </c>
      <c r="AI593" s="593">
        <f t="shared" ca="1" si="297"/>
        <v>0</v>
      </c>
      <c r="AJ593" s="593">
        <f t="shared" ca="1" si="297"/>
        <v>0</v>
      </c>
      <c r="AK593" s="593">
        <f t="shared" ca="1" si="297"/>
        <v>0</v>
      </c>
      <c r="AL593" s="593">
        <f t="shared" ca="1" si="297"/>
        <v>0</v>
      </c>
      <c r="AM593" s="593">
        <f t="shared" ca="1" si="297"/>
        <v>0</v>
      </c>
      <c r="AN593" s="593">
        <f t="shared" ca="1" si="297"/>
        <v>0</v>
      </c>
      <c r="AO593" s="593">
        <f t="shared" ca="1" si="297"/>
        <v>0</v>
      </c>
      <c r="AP593" s="593">
        <f t="shared" ca="1" si="297"/>
        <v>0</v>
      </c>
    </row>
    <row r="594" spans="1:42" s="594" customFormat="1" ht="11.25" x14ac:dyDescent="0.2">
      <c r="A594" s="644"/>
      <c r="B594" s="591" t="str">
        <f>IF(D594&lt;&gt;"",
IF(ISERROR(MATCH(D594,'Ist Vorjahr Monat 01'!A:A,0))=FALSE,INDEX('Ist Vorjahr Monat 01'!B:B,MATCH(D594,'Ist Vorjahr Monat 01'!A:A,0)),
IF(ISERROR(MATCH(D594,'Ist Vorjahr Monat 02'!A:A,0))=FALSE,INDEX('Ist Vorjahr Monat 02'!B:B,MATCH(D594,'Ist Vorjahr Monat 02'!A:A,0)),
IF(ISERROR(MATCH(D594,'Ist Vorjahr Monat 03'!A:A,0))=FALSE,INDEX('Ist Vorjahr Monat 03'!B:B,MATCH(D594,'Ist Vorjahr Monat 03'!A:A,0)),
IF(ISERROR(MATCH(D594,'Ist Vorjahr Monat 04'!A:A,0))=FALSE,INDEX('Ist Vorjahr Monat 04'!B:B,MATCH(D594,'Ist Vorjahr Monat 04'!A:A,0)),
IF(ISERROR(MATCH(D594,'Ist Vorjahr Monat 05'!A:A,0))=FALSE,INDEX('Ist Vorjahr Monat 05'!B:B,MATCH(D594,'Ist Vorjahr Monat 05'!A:A,0)),
IF(ISERROR(MATCH(D594,'Ist Vorjahr Monat 06'!A:A,0))=FALSE,INDEX('Ist Vorjahr Monat 06'!B:B,MATCH(D594,'Ist Vorjahr Monat 06'!A:A,0)),
IF(ISERROR(MATCH(D594,'Ist Vorjahr Monat 07'!A:A,0))=FALSE,INDEX('Ist Vorjahr Monat 07'!B:B,MATCH(D594,'Ist Vorjahr Monat 07'!A:A,0)),
IF(ISERROR(MATCH(D594,'Ist Vorjahr Monat 08'!A:A,0))=FALSE,INDEX('Ist Vorjahr Monat 08'!B:B,MATCH(D594,'Ist Vorjahr Monat 08'!A:A,0)),
IF(ISERROR(MATCH(D594,'Ist Vorjahr Monat 09'!A:A,0))=FALSE,INDEX('Ist Vorjahr Monat 09'!B:B,MATCH(D594,'Ist Vorjahr Monat 09'!A:A,0)),
IF(ISERROR(MATCH(D594,'Ist Vorjahr Monat 10'!A:A,0))=FALSE,INDEX('Ist Vorjahr Monat 10'!B:B,MATCH(D594,'Ist Vorjahr Monat 10'!A:A,0)),
IF(ISERROR(MATCH(D594,'Ist Vorjahr Monat 11'!A:A,0))=FALSE,INDEX('Ist Vorjahr Monat 11'!B:B,MATCH(D594,'Ist Vorjahr Monat 11'!A:A,0)),
IF(ISERROR(MATCH(D594,'Ist Vorjahr Monat 12'!A:A,0))=FALSE,INDEX('Ist Vorjahr Monat 12'!B:B,MATCH(D594,'Ist Vorjahr Monat 12'!A:A,0)),
"{Konto unbekannt}"
)))))))))))),"")</f>
        <v>{Konto unbekannt}</v>
      </c>
      <c r="C594" s="1062"/>
      <c r="D594" s="1067">
        <v>1787</v>
      </c>
      <c r="E594" s="625">
        <f t="shared" si="237"/>
        <v>-1</v>
      </c>
      <c r="F594" s="626" t="s">
        <v>996</v>
      </c>
      <c r="G594" s="593">
        <f ca="1">$E594*SUMIF(INDIRECT(G$3),'Struktur Vorjahr'!$D594,INDIRECT(G$8))*IFERROR(IF(VLOOKUP('Struktur Vorjahr'!$D594,INDIRECT(G$6),8,)="H",-1,1),0)</f>
        <v>0</v>
      </c>
      <c r="H594" s="593">
        <f ca="1">$E594*SUMIF(INDIRECT(H$3),'Struktur Vorjahr'!$D594,INDIRECT(H$8))*IFERROR(IF(VLOOKUP('Struktur Vorjahr'!$D594,INDIRECT(H$6),8,)="H",-1,1),0)</f>
        <v>0</v>
      </c>
      <c r="I594" s="593">
        <f ca="1">$E594*SUMIF(INDIRECT(I$3),'Struktur Vorjahr'!$D594,INDIRECT(I$8))*IFERROR(IF(VLOOKUP('Struktur Vorjahr'!$D594,INDIRECT(I$6),8,)="H",-1,1),0)</f>
        <v>0</v>
      </c>
      <c r="J594" s="593">
        <f ca="1">$E594*SUMIF(INDIRECT(J$3),'Struktur Vorjahr'!$D594,INDIRECT(J$8))*IFERROR(IF(VLOOKUP('Struktur Vorjahr'!$D594,INDIRECT(J$6),8,)="H",-1,1),0)</f>
        <v>0</v>
      </c>
      <c r="K594" s="593">
        <f ca="1">$E594*SUMIF(INDIRECT(K$3),'Struktur Vorjahr'!$D594,INDIRECT(K$8))*IFERROR(IF(VLOOKUP('Struktur Vorjahr'!$D594,INDIRECT(K$6),8,)="H",-1,1),0)</f>
        <v>0</v>
      </c>
      <c r="L594" s="593">
        <f ca="1">$E594*SUMIF(INDIRECT(L$3),'Struktur Vorjahr'!$D594,INDIRECT(L$8))*IFERROR(IF(VLOOKUP('Struktur Vorjahr'!$D594,INDIRECT(L$6),8,)="H",-1,1),0)</f>
        <v>0</v>
      </c>
      <c r="M594" s="593">
        <f ca="1">$E594*SUMIF(INDIRECT(M$3),'Struktur Vorjahr'!$D594,INDIRECT(M$8))*IFERROR(IF(VLOOKUP('Struktur Vorjahr'!$D594,INDIRECT(M$6),8,)="H",-1,1),0)</f>
        <v>0</v>
      </c>
      <c r="N594" s="593">
        <f ca="1">$E594*SUMIF(INDIRECT(N$3),'Struktur Vorjahr'!$D594,INDIRECT(N$8))*IFERROR(IF(VLOOKUP('Struktur Vorjahr'!$D594,INDIRECT(N$6),8,)="H",-1,1),0)</f>
        <v>0</v>
      </c>
      <c r="O594" s="593">
        <f ca="1">$E594*SUMIF(INDIRECT(O$3),'Struktur Vorjahr'!$D594,INDIRECT(O$8))*IFERROR(IF(VLOOKUP('Struktur Vorjahr'!$D594,INDIRECT(O$6),8,)="H",-1,1),0)</f>
        <v>0</v>
      </c>
      <c r="P594" s="593">
        <f ca="1">$E594*SUMIF(INDIRECT(P$3),'Struktur Vorjahr'!$D594,INDIRECT(P$8))*IFERROR(IF(VLOOKUP('Struktur Vorjahr'!$D594,INDIRECT(P$6),8,)="H",-1,1),0)</f>
        <v>0</v>
      </c>
      <c r="Q594" s="593">
        <f ca="1">$E594*SUMIF(INDIRECT(Q$3),'Struktur Vorjahr'!$D594,INDIRECT(Q$8))*IFERROR(IF(VLOOKUP('Struktur Vorjahr'!$D594,INDIRECT(Q$6),8,)="H",-1,1),0)</f>
        <v>0</v>
      </c>
      <c r="R594" s="593">
        <f ca="1">$E594*SUMIF(INDIRECT(R$3),'Struktur Vorjahr'!$D594,INDIRECT(R$8))*IFERROR(IF(VLOOKUP('Struktur Vorjahr'!$D594,INDIRECT(R$6),8,)="H",-1,1),0)</f>
        <v>0</v>
      </c>
      <c r="S594" s="593" t="e">
        <f ca="1">$E594*SUMIF(INDIRECT(S$3),'Struktur Vorjahr'!$D594,INDIRECT(S$8))*IFERROR(IF(VLOOKUP('Struktur Vorjahr'!$D594,INDIRECT(S$6),8,)="H",-1,1),0)</f>
        <v>#REF!</v>
      </c>
      <c r="T594" s="593" t="e">
        <f ca="1">$E594*SUMIF(INDIRECT(T$3),'Struktur Vorjahr'!$D594,INDIRECT(T$8))*IFERROR(IF(VLOOKUP('Struktur Vorjahr'!$D594,INDIRECT(T$6),8,)="H",-1,1),0)</f>
        <v>#REF!</v>
      </c>
      <c r="U594" s="593" t="e">
        <f ca="1">$E594*SUMIF(INDIRECT(U$3),'Struktur Vorjahr'!$D594,INDIRECT(U$8))*IFERROR(IF(VLOOKUP('Struktur Vorjahr'!$D594,INDIRECT(U$6),8,)="H",-1,1),0)</f>
        <v>#REF!</v>
      </c>
      <c r="V594" s="593" t="e">
        <f ca="1">$E594*SUMIF(INDIRECT(V$3),'Struktur Vorjahr'!$D594,INDIRECT(V$8))*IFERROR(IF(VLOOKUP('Struktur Vorjahr'!$D594,INDIRECT(V$6),8,)="H",-1,1),0)</f>
        <v>#REF!</v>
      </c>
      <c r="W594" s="593" t="e">
        <f ca="1">$E594*SUMIF(INDIRECT(W$3),'Struktur Vorjahr'!$D594,INDIRECT(W$8))*IFERROR(IF(VLOOKUP('Struktur Vorjahr'!$D594,INDIRECT(W$6),8,)="H",-1,1),0)</f>
        <v>#REF!</v>
      </c>
      <c r="X594" s="593" t="e">
        <f ca="1">$E594*SUMIF(INDIRECT(X$3),'Struktur Vorjahr'!$D594,INDIRECT(X$8))*IFERROR(IF(VLOOKUP('Struktur Vorjahr'!$D594,INDIRECT(X$6),8,)="H",-1,1),0)</f>
        <v>#REF!</v>
      </c>
      <c r="Y594" s="593" t="e">
        <f ca="1">$E594*SUMIF(INDIRECT(Y$3),'Struktur Vorjahr'!$D594,INDIRECT(Y$8))*IFERROR(IF(VLOOKUP('Struktur Vorjahr'!$D594,INDIRECT(Y$6),8,)="H",-1,1),0)</f>
        <v>#REF!</v>
      </c>
      <c r="Z594" s="593" t="e">
        <f ca="1">$E594*SUMIF(INDIRECT(Z$3),'Struktur Vorjahr'!$D594,INDIRECT(Z$8))*IFERROR(IF(VLOOKUP('Struktur Vorjahr'!$D594,INDIRECT(Z$6),8,)="H",-1,1),0)</f>
        <v>#REF!</v>
      </c>
      <c r="AA594" s="593" t="e">
        <f ca="1">$E594*SUMIF(INDIRECT(AA$3),'Struktur Vorjahr'!$D594,INDIRECT(AA$8))*IFERROR(IF(VLOOKUP('Struktur Vorjahr'!$D594,INDIRECT(AA$6),8,)="H",-1,1),0)</f>
        <v>#REF!</v>
      </c>
      <c r="AB594" s="593" t="e">
        <f ca="1">$E594*SUMIF(INDIRECT(AB$3),'Struktur Vorjahr'!$D594,INDIRECT(AB$8))*IFERROR(IF(VLOOKUP('Struktur Vorjahr'!$D594,INDIRECT(AB$6),8,)="H",-1,1),0)</f>
        <v>#REF!</v>
      </c>
      <c r="AC594" s="593" t="e">
        <f ca="1">$E594*SUMIF(INDIRECT(AC$3),'Struktur Vorjahr'!$D594,INDIRECT(AC$8))*IFERROR(IF(VLOOKUP('Struktur Vorjahr'!$D594,INDIRECT(AC$6),8,)="H",-1,1),0)</f>
        <v>#REF!</v>
      </c>
      <c r="AD594" s="593" t="e">
        <f ca="1">$E594*SUMIF(INDIRECT(AD$3),'Struktur Vorjahr'!$D594,INDIRECT(AD$8))*IFERROR(IF(VLOOKUP('Struktur Vorjahr'!$D594,INDIRECT(AD$6),8,)="H",-1,1),0)</f>
        <v>#REF!</v>
      </c>
      <c r="AE594" s="593">
        <f t="shared" ca="1" si="296"/>
        <v>0</v>
      </c>
      <c r="AF594" s="593">
        <f t="shared" ca="1" si="297"/>
        <v>0</v>
      </c>
      <c r="AG594" s="593">
        <f t="shared" ca="1" si="297"/>
        <v>0</v>
      </c>
      <c r="AH594" s="593">
        <f t="shared" ca="1" si="297"/>
        <v>0</v>
      </c>
      <c r="AI594" s="593">
        <f t="shared" ca="1" si="297"/>
        <v>0</v>
      </c>
      <c r="AJ594" s="593">
        <f t="shared" ca="1" si="297"/>
        <v>0</v>
      </c>
      <c r="AK594" s="593">
        <f t="shared" ca="1" si="297"/>
        <v>0</v>
      </c>
      <c r="AL594" s="593">
        <f t="shared" ca="1" si="297"/>
        <v>0</v>
      </c>
      <c r="AM594" s="593">
        <f t="shared" ca="1" si="297"/>
        <v>0</v>
      </c>
      <c r="AN594" s="593">
        <f t="shared" ca="1" si="297"/>
        <v>0</v>
      </c>
      <c r="AO594" s="593">
        <f t="shared" ca="1" si="297"/>
        <v>0</v>
      </c>
      <c r="AP594" s="593">
        <f t="shared" ca="1" si="297"/>
        <v>0</v>
      </c>
    </row>
    <row r="595" spans="1:42" s="594" customFormat="1" ht="11.25" x14ac:dyDescent="0.2">
      <c r="A595" s="644"/>
      <c r="B595" s="591" t="str">
        <f>IF(D595&lt;&gt;"",
IF(ISERROR(MATCH(D595,'Ist Vorjahr Monat 01'!A:A,0))=FALSE,INDEX('Ist Vorjahr Monat 01'!B:B,MATCH(D595,'Ist Vorjahr Monat 01'!A:A,0)),
IF(ISERROR(MATCH(D595,'Ist Vorjahr Monat 02'!A:A,0))=FALSE,INDEX('Ist Vorjahr Monat 02'!B:B,MATCH(D595,'Ist Vorjahr Monat 02'!A:A,0)),
IF(ISERROR(MATCH(D595,'Ist Vorjahr Monat 03'!A:A,0))=FALSE,INDEX('Ist Vorjahr Monat 03'!B:B,MATCH(D595,'Ist Vorjahr Monat 03'!A:A,0)),
IF(ISERROR(MATCH(D595,'Ist Vorjahr Monat 04'!A:A,0))=FALSE,INDEX('Ist Vorjahr Monat 04'!B:B,MATCH(D595,'Ist Vorjahr Monat 04'!A:A,0)),
IF(ISERROR(MATCH(D595,'Ist Vorjahr Monat 05'!A:A,0))=FALSE,INDEX('Ist Vorjahr Monat 05'!B:B,MATCH(D595,'Ist Vorjahr Monat 05'!A:A,0)),
IF(ISERROR(MATCH(D595,'Ist Vorjahr Monat 06'!A:A,0))=FALSE,INDEX('Ist Vorjahr Monat 06'!B:B,MATCH(D595,'Ist Vorjahr Monat 06'!A:A,0)),
IF(ISERROR(MATCH(D595,'Ist Vorjahr Monat 07'!A:A,0))=FALSE,INDEX('Ist Vorjahr Monat 07'!B:B,MATCH(D595,'Ist Vorjahr Monat 07'!A:A,0)),
IF(ISERROR(MATCH(D595,'Ist Vorjahr Monat 08'!A:A,0))=FALSE,INDEX('Ist Vorjahr Monat 08'!B:B,MATCH(D595,'Ist Vorjahr Monat 08'!A:A,0)),
IF(ISERROR(MATCH(D595,'Ist Vorjahr Monat 09'!A:A,0))=FALSE,INDEX('Ist Vorjahr Monat 09'!B:B,MATCH(D595,'Ist Vorjahr Monat 09'!A:A,0)),
IF(ISERROR(MATCH(D595,'Ist Vorjahr Monat 10'!A:A,0))=FALSE,INDEX('Ist Vorjahr Monat 10'!B:B,MATCH(D595,'Ist Vorjahr Monat 10'!A:A,0)),
IF(ISERROR(MATCH(D595,'Ist Vorjahr Monat 11'!A:A,0))=FALSE,INDEX('Ist Vorjahr Monat 11'!B:B,MATCH(D595,'Ist Vorjahr Monat 11'!A:A,0)),
IF(ISERROR(MATCH(D595,'Ist Vorjahr Monat 12'!A:A,0))=FALSE,INDEX('Ist Vorjahr Monat 12'!B:B,MATCH(D595,'Ist Vorjahr Monat 12'!A:A,0)),
"{Konto unbekannt}"
)))))))))))),"")</f>
        <v>{Konto unbekannt}</v>
      </c>
      <c r="C595" s="1062"/>
      <c r="D595" s="1067">
        <v>1736</v>
      </c>
      <c r="E595" s="625">
        <f t="shared" si="237"/>
        <v>-1</v>
      </c>
      <c r="F595" s="626" t="s">
        <v>996</v>
      </c>
      <c r="G595" s="593">
        <f ca="1">$E595*SUMIF(INDIRECT(G$3),'Struktur Vorjahr'!$D595,INDIRECT(G$8))*IFERROR(IF(VLOOKUP('Struktur Vorjahr'!$D595,INDIRECT(G$6),8,)="H",-1,1),0)</f>
        <v>0</v>
      </c>
      <c r="H595" s="593">
        <f ca="1">$E595*SUMIF(INDIRECT(H$3),'Struktur Vorjahr'!$D595,INDIRECT(H$8))*IFERROR(IF(VLOOKUP('Struktur Vorjahr'!$D595,INDIRECT(H$6),8,)="H",-1,1),0)</f>
        <v>0</v>
      </c>
      <c r="I595" s="593">
        <f ca="1">$E595*SUMIF(INDIRECT(I$3),'Struktur Vorjahr'!$D595,INDIRECT(I$8))*IFERROR(IF(VLOOKUP('Struktur Vorjahr'!$D595,INDIRECT(I$6),8,)="H",-1,1),0)</f>
        <v>0</v>
      </c>
      <c r="J595" s="593">
        <f ca="1">$E595*SUMIF(INDIRECT(J$3),'Struktur Vorjahr'!$D595,INDIRECT(J$8))*IFERROR(IF(VLOOKUP('Struktur Vorjahr'!$D595,INDIRECT(J$6),8,)="H",-1,1),0)</f>
        <v>0</v>
      </c>
      <c r="K595" s="593">
        <f ca="1">$E595*SUMIF(INDIRECT(K$3),'Struktur Vorjahr'!$D595,INDIRECT(K$8))*IFERROR(IF(VLOOKUP('Struktur Vorjahr'!$D595,INDIRECT(K$6),8,)="H",-1,1),0)</f>
        <v>0</v>
      </c>
      <c r="L595" s="593">
        <f ca="1">$E595*SUMIF(INDIRECT(L$3),'Struktur Vorjahr'!$D595,INDIRECT(L$8))*IFERROR(IF(VLOOKUP('Struktur Vorjahr'!$D595,INDIRECT(L$6),8,)="H",-1,1),0)</f>
        <v>0</v>
      </c>
      <c r="M595" s="593">
        <f ca="1">$E595*SUMIF(INDIRECT(M$3),'Struktur Vorjahr'!$D595,INDIRECT(M$8))*IFERROR(IF(VLOOKUP('Struktur Vorjahr'!$D595,INDIRECT(M$6),8,)="H",-1,1),0)</f>
        <v>0</v>
      </c>
      <c r="N595" s="593">
        <f ca="1">$E595*SUMIF(INDIRECT(N$3),'Struktur Vorjahr'!$D595,INDIRECT(N$8))*IFERROR(IF(VLOOKUP('Struktur Vorjahr'!$D595,INDIRECT(N$6),8,)="H",-1,1),0)</f>
        <v>0</v>
      </c>
      <c r="O595" s="593">
        <f ca="1">$E595*SUMIF(INDIRECT(O$3),'Struktur Vorjahr'!$D595,INDIRECT(O$8))*IFERROR(IF(VLOOKUP('Struktur Vorjahr'!$D595,INDIRECT(O$6),8,)="H",-1,1),0)</f>
        <v>0</v>
      </c>
      <c r="P595" s="593">
        <f ca="1">$E595*SUMIF(INDIRECT(P$3),'Struktur Vorjahr'!$D595,INDIRECT(P$8))*IFERROR(IF(VLOOKUP('Struktur Vorjahr'!$D595,INDIRECT(P$6),8,)="H",-1,1),0)</f>
        <v>0</v>
      </c>
      <c r="Q595" s="593">
        <f ca="1">$E595*SUMIF(INDIRECT(Q$3),'Struktur Vorjahr'!$D595,INDIRECT(Q$8))*IFERROR(IF(VLOOKUP('Struktur Vorjahr'!$D595,INDIRECT(Q$6),8,)="H",-1,1),0)</f>
        <v>0</v>
      </c>
      <c r="R595" s="593">
        <f ca="1">$E595*SUMIF(INDIRECT(R$3),'Struktur Vorjahr'!$D595,INDIRECT(R$8))*IFERROR(IF(VLOOKUP('Struktur Vorjahr'!$D595,INDIRECT(R$6),8,)="H",-1,1),0)</f>
        <v>0</v>
      </c>
      <c r="S595" s="593" t="e">
        <f ca="1">$E595*SUMIF(INDIRECT(S$3),'Struktur Vorjahr'!$D595,INDIRECT(S$8))*IFERROR(IF(VLOOKUP('Struktur Vorjahr'!$D595,INDIRECT(S$6),8,)="H",-1,1),0)</f>
        <v>#REF!</v>
      </c>
      <c r="T595" s="593" t="e">
        <f ca="1">$E595*SUMIF(INDIRECT(T$3),'Struktur Vorjahr'!$D595,INDIRECT(T$8))*IFERROR(IF(VLOOKUP('Struktur Vorjahr'!$D595,INDIRECT(T$6),8,)="H",-1,1),0)</f>
        <v>#REF!</v>
      </c>
      <c r="U595" s="593" t="e">
        <f ca="1">$E595*SUMIF(INDIRECT(U$3),'Struktur Vorjahr'!$D595,INDIRECT(U$8))*IFERROR(IF(VLOOKUP('Struktur Vorjahr'!$D595,INDIRECT(U$6),8,)="H",-1,1),0)</f>
        <v>#REF!</v>
      </c>
      <c r="V595" s="593" t="e">
        <f ca="1">$E595*SUMIF(INDIRECT(V$3),'Struktur Vorjahr'!$D595,INDIRECT(V$8))*IFERROR(IF(VLOOKUP('Struktur Vorjahr'!$D595,INDIRECT(V$6),8,)="H",-1,1),0)</f>
        <v>#REF!</v>
      </c>
      <c r="W595" s="593" t="e">
        <f ca="1">$E595*SUMIF(INDIRECT(W$3),'Struktur Vorjahr'!$D595,INDIRECT(W$8))*IFERROR(IF(VLOOKUP('Struktur Vorjahr'!$D595,INDIRECT(W$6),8,)="H",-1,1),0)</f>
        <v>#REF!</v>
      </c>
      <c r="X595" s="593" t="e">
        <f ca="1">$E595*SUMIF(INDIRECT(X$3),'Struktur Vorjahr'!$D595,INDIRECT(X$8))*IFERROR(IF(VLOOKUP('Struktur Vorjahr'!$D595,INDIRECT(X$6),8,)="H",-1,1),0)</f>
        <v>#REF!</v>
      </c>
      <c r="Y595" s="593" t="e">
        <f ca="1">$E595*SUMIF(INDIRECT(Y$3),'Struktur Vorjahr'!$D595,INDIRECT(Y$8))*IFERROR(IF(VLOOKUP('Struktur Vorjahr'!$D595,INDIRECT(Y$6),8,)="H",-1,1),0)</f>
        <v>#REF!</v>
      </c>
      <c r="Z595" s="593" t="e">
        <f ca="1">$E595*SUMIF(INDIRECT(Z$3),'Struktur Vorjahr'!$D595,INDIRECT(Z$8))*IFERROR(IF(VLOOKUP('Struktur Vorjahr'!$D595,INDIRECT(Z$6),8,)="H",-1,1),0)</f>
        <v>#REF!</v>
      </c>
      <c r="AA595" s="593" t="e">
        <f ca="1">$E595*SUMIF(INDIRECT(AA$3),'Struktur Vorjahr'!$D595,INDIRECT(AA$8))*IFERROR(IF(VLOOKUP('Struktur Vorjahr'!$D595,INDIRECT(AA$6),8,)="H",-1,1),0)</f>
        <v>#REF!</v>
      </c>
      <c r="AB595" s="593" t="e">
        <f ca="1">$E595*SUMIF(INDIRECT(AB$3),'Struktur Vorjahr'!$D595,INDIRECT(AB$8))*IFERROR(IF(VLOOKUP('Struktur Vorjahr'!$D595,INDIRECT(AB$6),8,)="H",-1,1),0)</f>
        <v>#REF!</v>
      </c>
      <c r="AC595" s="593" t="e">
        <f ca="1">$E595*SUMIF(INDIRECT(AC$3),'Struktur Vorjahr'!$D595,INDIRECT(AC$8))*IFERROR(IF(VLOOKUP('Struktur Vorjahr'!$D595,INDIRECT(AC$6),8,)="H",-1,1),0)</f>
        <v>#REF!</v>
      </c>
      <c r="AD595" s="593" t="e">
        <f ca="1">$E595*SUMIF(INDIRECT(AD$3),'Struktur Vorjahr'!$D595,INDIRECT(AD$8))*IFERROR(IF(VLOOKUP('Struktur Vorjahr'!$D595,INDIRECT(AD$6),8,)="H",-1,1),0)</f>
        <v>#REF!</v>
      </c>
      <c r="AE595" s="593">
        <f t="shared" ca="1" si="296"/>
        <v>0</v>
      </c>
      <c r="AF595" s="593">
        <f t="shared" ca="1" si="297"/>
        <v>0</v>
      </c>
      <c r="AG595" s="593">
        <f t="shared" ca="1" si="297"/>
        <v>0</v>
      </c>
      <c r="AH595" s="593">
        <f t="shared" ca="1" si="297"/>
        <v>0</v>
      </c>
      <c r="AI595" s="593">
        <f t="shared" ca="1" si="297"/>
        <v>0</v>
      </c>
      <c r="AJ595" s="593">
        <f t="shared" ca="1" si="297"/>
        <v>0</v>
      </c>
      <c r="AK595" s="593">
        <f t="shared" ca="1" si="297"/>
        <v>0</v>
      </c>
      <c r="AL595" s="593">
        <f t="shared" ca="1" si="297"/>
        <v>0</v>
      </c>
      <c r="AM595" s="593">
        <f t="shared" ca="1" si="297"/>
        <v>0</v>
      </c>
      <c r="AN595" s="593">
        <f t="shared" ca="1" si="297"/>
        <v>0</v>
      </c>
      <c r="AO595" s="593">
        <f t="shared" ca="1" si="297"/>
        <v>0</v>
      </c>
      <c r="AP595" s="593">
        <f t="shared" ca="1" si="297"/>
        <v>0</v>
      </c>
    </row>
    <row r="596" spans="1:42" s="594" customFormat="1" ht="11.25" x14ac:dyDescent="0.2">
      <c r="A596" s="644"/>
      <c r="B596" s="591" t="str">
        <f>IF(D596&lt;&gt;"",
IF(ISERROR(MATCH(D596,'Ist Vorjahr Monat 01'!A:A,0))=FALSE,INDEX('Ist Vorjahr Monat 01'!B:B,MATCH(D596,'Ist Vorjahr Monat 01'!A:A,0)),
IF(ISERROR(MATCH(D596,'Ist Vorjahr Monat 02'!A:A,0))=FALSE,INDEX('Ist Vorjahr Monat 02'!B:B,MATCH(D596,'Ist Vorjahr Monat 02'!A:A,0)),
IF(ISERROR(MATCH(D596,'Ist Vorjahr Monat 03'!A:A,0))=FALSE,INDEX('Ist Vorjahr Monat 03'!B:B,MATCH(D596,'Ist Vorjahr Monat 03'!A:A,0)),
IF(ISERROR(MATCH(D596,'Ist Vorjahr Monat 04'!A:A,0))=FALSE,INDEX('Ist Vorjahr Monat 04'!B:B,MATCH(D596,'Ist Vorjahr Monat 04'!A:A,0)),
IF(ISERROR(MATCH(D596,'Ist Vorjahr Monat 05'!A:A,0))=FALSE,INDEX('Ist Vorjahr Monat 05'!B:B,MATCH(D596,'Ist Vorjahr Monat 05'!A:A,0)),
IF(ISERROR(MATCH(D596,'Ist Vorjahr Monat 06'!A:A,0))=FALSE,INDEX('Ist Vorjahr Monat 06'!B:B,MATCH(D596,'Ist Vorjahr Monat 06'!A:A,0)),
IF(ISERROR(MATCH(D596,'Ist Vorjahr Monat 07'!A:A,0))=FALSE,INDEX('Ist Vorjahr Monat 07'!B:B,MATCH(D596,'Ist Vorjahr Monat 07'!A:A,0)),
IF(ISERROR(MATCH(D596,'Ist Vorjahr Monat 08'!A:A,0))=FALSE,INDEX('Ist Vorjahr Monat 08'!B:B,MATCH(D596,'Ist Vorjahr Monat 08'!A:A,0)),
IF(ISERROR(MATCH(D596,'Ist Vorjahr Monat 09'!A:A,0))=FALSE,INDEX('Ist Vorjahr Monat 09'!B:B,MATCH(D596,'Ist Vorjahr Monat 09'!A:A,0)),
IF(ISERROR(MATCH(D596,'Ist Vorjahr Monat 10'!A:A,0))=FALSE,INDEX('Ist Vorjahr Monat 10'!B:B,MATCH(D596,'Ist Vorjahr Monat 10'!A:A,0)),
IF(ISERROR(MATCH(D596,'Ist Vorjahr Monat 11'!A:A,0))=FALSE,INDEX('Ist Vorjahr Monat 11'!B:B,MATCH(D596,'Ist Vorjahr Monat 11'!A:A,0)),
IF(ISERROR(MATCH(D596,'Ist Vorjahr Monat 12'!A:A,0))=FALSE,INDEX('Ist Vorjahr Monat 12'!B:B,MATCH(D596,'Ist Vorjahr Monat 12'!A:A,0)),
"{Konto unbekannt}"
)))))))))))),"")</f>
        <v/>
      </c>
      <c r="C596" s="1062"/>
      <c r="D596" s="1067"/>
      <c r="E596" s="625">
        <f t="shared" si="237"/>
        <v>-1</v>
      </c>
      <c r="F596" s="626" t="s">
        <v>996</v>
      </c>
      <c r="G596" s="593">
        <f ca="1">$E596*SUMIF(INDIRECT(G$3),'Struktur Vorjahr'!$D596,INDIRECT(G$8))*IFERROR(IF(VLOOKUP('Struktur Vorjahr'!$D596,INDIRECT(G$6),8,)="H",-1,1),0)</f>
        <v>0</v>
      </c>
      <c r="H596" s="593">
        <f ca="1">$E596*SUMIF(INDIRECT(H$3),'Struktur Vorjahr'!$D596,INDIRECT(H$8))*IFERROR(IF(VLOOKUP('Struktur Vorjahr'!$D596,INDIRECT(H$6),8,)="H",-1,1),0)</f>
        <v>0</v>
      </c>
      <c r="I596" s="593">
        <f ca="1">$E596*SUMIF(INDIRECT(I$3),'Struktur Vorjahr'!$D596,INDIRECT(I$8))*IFERROR(IF(VLOOKUP('Struktur Vorjahr'!$D596,INDIRECT(I$6),8,)="H",-1,1),0)</f>
        <v>0</v>
      </c>
      <c r="J596" s="593">
        <f ca="1">$E596*SUMIF(INDIRECT(J$3),'Struktur Vorjahr'!$D596,INDIRECT(J$8))*IFERROR(IF(VLOOKUP('Struktur Vorjahr'!$D596,INDIRECT(J$6),8,)="H",-1,1),0)</f>
        <v>0</v>
      </c>
      <c r="K596" s="593">
        <f ca="1">$E596*SUMIF(INDIRECT(K$3),'Struktur Vorjahr'!$D596,INDIRECT(K$8))*IFERROR(IF(VLOOKUP('Struktur Vorjahr'!$D596,INDIRECT(K$6),8,)="H",-1,1),0)</f>
        <v>0</v>
      </c>
      <c r="L596" s="593">
        <f ca="1">$E596*SUMIF(INDIRECT(L$3),'Struktur Vorjahr'!$D596,INDIRECT(L$8))*IFERROR(IF(VLOOKUP('Struktur Vorjahr'!$D596,INDIRECT(L$6),8,)="H",-1,1),0)</f>
        <v>0</v>
      </c>
      <c r="M596" s="593">
        <f ca="1">$E596*SUMIF(INDIRECT(M$3),'Struktur Vorjahr'!$D596,INDIRECT(M$8))*IFERROR(IF(VLOOKUP('Struktur Vorjahr'!$D596,INDIRECT(M$6),8,)="H",-1,1),0)</f>
        <v>0</v>
      </c>
      <c r="N596" s="593">
        <f ca="1">$E596*SUMIF(INDIRECT(N$3),'Struktur Vorjahr'!$D596,INDIRECT(N$8))*IFERROR(IF(VLOOKUP('Struktur Vorjahr'!$D596,INDIRECT(N$6),8,)="H",-1,1),0)</f>
        <v>0</v>
      </c>
      <c r="O596" s="593">
        <f ca="1">$E596*SUMIF(INDIRECT(O$3),'Struktur Vorjahr'!$D596,INDIRECT(O$8))*IFERROR(IF(VLOOKUP('Struktur Vorjahr'!$D596,INDIRECT(O$6),8,)="H",-1,1),0)</f>
        <v>0</v>
      </c>
      <c r="P596" s="593">
        <f ca="1">$E596*SUMIF(INDIRECT(P$3),'Struktur Vorjahr'!$D596,INDIRECT(P$8))*IFERROR(IF(VLOOKUP('Struktur Vorjahr'!$D596,INDIRECT(P$6),8,)="H",-1,1),0)</f>
        <v>0</v>
      </c>
      <c r="Q596" s="593">
        <f ca="1">$E596*SUMIF(INDIRECT(Q$3),'Struktur Vorjahr'!$D596,INDIRECT(Q$8))*IFERROR(IF(VLOOKUP('Struktur Vorjahr'!$D596,INDIRECT(Q$6),8,)="H",-1,1),0)</f>
        <v>0</v>
      </c>
      <c r="R596" s="593">
        <f ca="1">$E596*SUMIF(INDIRECT(R$3),'Struktur Vorjahr'!$D596,INDIRECT(R$8))*IFERROR(IF(VLOOKUP('Struktur Vorjahr'!$D596,INDIRECT(R$6),8,)="H",-1,1),0)</f>
        <v>0</v>
      </c>
      <c r="S596" s="593" t="e">
        <f ca="1">$E596*SUMIF(INDIRECT(S$3),'Struktur Vorjahr'!$D596,INDIRECT(S$8))*IFERROR(IF(VLOOKUP('Struktur Vorjahr'!$D596,INDIRECT(S$6),8,)="H",-1,1),0)</f>
        <v>#REF!</v>
      </c>
      <c r="T596" s="593" t="e">
        <f ca="1">$E596*SUMIF(INDIRECT(T$3),'Struktur Vorjahr'!$D596,INDIRECT(T$8))*IFERROR(IF(VLOOKUP('Struktur Vorjahr'!$D596,INDIRECT(T$6),8,)="H",-1,1),0)</f>
        <v>#REF!</v>
      </c>
      <c r="U596" s="593" t="e">
        <f ca="1">$E596*SUMIF(INDIRECT(U$3),'Struktur Vorjahr'!$D596,INDIRECT(U$8))*IFERROR(IF(VLOOKUP('Struktur Vorjahr'!$D596,INDIRECT(U$6),8,)="H",-1,1),0)</f>
        <v>#REF!</v>
      </c>
      <c r="V596" s="593" t="e">
        <f ca="1">$E596*SUMIF(INDIRECT(V$3),'Struktur Vorjahr'!$D596,INDIRECT(V$8))*IFERROR(IF(VLOOKUP('Struktur Vorjahr'!$D596,INDIRECT(V$6),8,)="H",-1,1),0)</f>
        <v>#REF!</v>
      </c>
      <c r="W596" s="593" t="e">
        <f ca="1">$E596*SUMIF(INDIRECT(W$3),'Struktur Vorjahr'!$D596,INDIRECT(W$8))*IFERROR(IF(VLOOKUP('Struktur Vorjahr'!$D596,INDIRECT(W$6),8,)="H",-1,1),0)</f>
        <v>#REF!</v>
      </c>
      <c r="X596" s="593" t="e">
        <f ca="1">$E596*SUMIF(INDIRECT(X$3),'Struktur Vorjahr'!$D596,INDIRECT(X$8))*IFERROR(IF(VLOOKUP('Struktur Vorjahr'!$D596,INDIRECT(X$6),8,)="H",-1,1),0)</f>
        <v>#REF!</v>
      </c>
      <c r="Y596" s="593" t="e">
        <f ca="1">$E596*SUMIF(INDIRECT(Y$3),'Struktur Vorjahr'!$D596,INDIRECT(Y$8))*IFERROR(IF(VLOOKUP('Struktur Vorjahr'!$D596,INDIRECT(Y$6),8,)="H",-1,1),0)</f>
        <v>#REF!</v>
      </c>
      <c r="Z596" s="593" t="e">
        <f ca="1">$E596*SUMIF(INDIRECT(Z$3),'Struktur Vorjahr'!$D596,INDIRECT(Z$8))*IFERROR(IF(VLOOKUP('Struktur Vorjahr'!$D596,INDIRECT(Z$6),8,)="H",-1,1),0)</f>
        <v>#REF!</v>
      </c>
      <c r="AA596" s="593" t="e">
        <f ca="1">$E596*SUMIF(INDIRECT(AA$3),'Struktur Vorjahr'!$D596,INDIRECT(AA$8))*IFERROR(IF(VLOOKUP('Struktur Vorjahr'!$D596,INDIRECT(AA$6),8,)="H",-1,1),0)</f>
        <v>#REF!</v>
      </c>
      <c r="AB596" s="593" t="e">
        <f ca="1">$E596*SUMIF(INDIRECT(AB$3),'Struktur Vorjahr'!$D596,INDIRECT(AB$8))*IFERROR(IF(VLOOKUP('Struktur Vorjahr'!$D596,INDIRECT(AB$6),8,)="H",-1,1),0)</f>
        <v>#REF!</v>
      </c>
      <c r="AC596" s="593" t="e">
        <f ca="1">$E596*SUMIF(INDIRECT(AC$3),'Struktur Vorjahr'!$D596,INDIRECT(AC$8))*IFERROR(IF(VLOOKUP('Struktur Vorjahr'!$D596,INDIRECT(AC$6),8,)="H",-1,1),0)</f>
        <v>#REF!</v>
      </c>
      <c r="AD596" s="593" t="e">
        <f ca="1">$E596*SUMIF(INDIRECT(AD$3),'Struktur Vorjahr'!$D596,INDIRECT(AD$8))*IFERROR(IF(VLOOKUP('Struktur Vorjahr'!$D596,INDIRECT(AD$6),8,)="H",-1,1),0)</f>
        <v>#REF!</v>
      </c>
      <c r="AE596" s="593">
        <f t="shared" ca="1" si="296"/>
        <v>0</v>
      </c>
      <c r="AF596" s="593">
        <f t="shared" ca="1" si="297"/>
        <v>0</v>
      </c>
      <c r="AG596" s="593">
        <f t="shared" ca="1" si="297"/>
        <v>0</v>
      </c>
      <c r="AH596" s="593">
        <f t="shared" ca="1" si="297"/>
        <v>0</v>
      </c>
      <c r="AI596" s="593">
        <f t="shared" ca="1" si="297"/>
        <v>0</v>
      </c>
      <c r="AJ596" s="593">
        <f t="shared" ca="1" si="297"/>
        <v>0</v>
      </c>
      <c r="AK596" s="593">
        <f t="shared" ca="1" si="297"/>
        <v>0</v>
      </c>
      <c r="AL596" s="593">
        <f t="shared" ca="1" si="297"/>
        <v>0</v>
      </c>
      <c r="AM596" s="593">
        <f t="shared" ca="1" si="297"/>
        <v>0</v>
      </c>
      <c r="AN596" s="593">
        <f t="shared" ca="1" si="297"/>
        <v>0</v>
      </c>
      <c r="AO596" s="593">
        <f t="shared" ca="1" si="297"/>
        <v>0</v>
      </c>
      <c r="AP596" s="593">
        <f t="shared" ca="1" si="297"/>
        <v>0</v>
      </c>
    </row>
    <row r="597" spans="1:42" s="594" customFormat="1" ht="11.25" x14ac:dyDescent="0.2">
      <c r="A597" s="644"/>
      <c r="B597" s="591" t="str">
        <f>IF(D597&lt;&gt;"",
IF(ISERROR(MATCH(D597,'Ist Vorjahr Monat 01'!A:A,0))=FALSE,INDEX('Ist Vorjahr Monat 01'!B:B,MATCH(D597,'Ist Vorjahr Monat 01'!A:A,0)),
IF(ISERROR(MATCH(D597,'Ist Vorjahr Monat 02'!A:A,0))=FALSE,INDEX('Ist Vorjahr Monat 02'!B:B,MATCH(D597,'Ist Vorjahr Monat 02'!A:A,0)),
IF(ISERROR(MATCH(D597,'Ist Vorjahr Monat 03'!A:A,0))=FALSE,INDEX('Ist Vorjahr Monat 03'!B:B,MATCH(D597,'Ist Vorjahr Monat 03'!A:A,0)),
IF(ISERROR(MATCH(D597,'Ist Vorjahr Monat 04'!A:A,0))=FALSE,INDEX('Ist Vorjahr Monat 04'!B:B,MATCH(D597,'Ist Vorjahr Monat 04'!A:A,0)),
IF(ISERROR(MATCH(D597,'Ist Vorjahr Monat 05'!A:A,0))=FALSE,INDEX('Ist Vorjahr Monat 05'!B:B,MATCH(D597,'Ist Vorjahr Monat 05'!A:A,0)),
IF(ISERROR(MATCH(D597,'Ist Vorjahr Monat 06'!A:A,0))=FALSE,INDEX('Ist Vorjahr Monat 06'!B:B,MATCH(D597,'Ist Vorjahr Monat 06'!A:A,0)),
IF(ISERROR(MATCH(D597,'Ist Vorjahr Monat 07'!A:A,0))=FALSE,INDEX('Ist Vorjahr Monat 07'!B:B,MATCH(D597,'Ist Vorjahr Monat 07'!A:A,0)),
IF(ISERROR(MATCH(D597,'Ist Vorjahr Monat 08'!A:A,0))=FALSE,INDEX('Ist Vorjahr Monat 08'!B:B,MATCH(D597,'Ist Vorjahr Monat 08'!A:A,0)),
IF(ISERROR(MATCH(D597,'Ist Vorjahr Monat 09'!A:A,0))=FALSE,INDEX('Ist Vorjahr Monat 09'!B:B,MATCH(D597,'Ist Vorjahr Monat 09'!A:A,0)),
IF(ISERROR(MATCH(D597,'Ist Vorjahr Monat 10'!A:A,0))=FALSE,INDEX('Ist Vorjahr Monat 10'!B:B,MATCH(D597,'Ist Vorjahr Monat 10'!A:A,0)),
IF(ISERROR(MATCH(D597,'Ist Vorjahr Monat 11'!A:A,0))=FALSE,INDEX('Ist Vorjahr Monat 11'!B:B,MATCH(D597,'Ist Vorjahr Monat 11'!A:A,0)),
IF(ISERROR(MATCH(D597,'Ist Vorjahr Monat 12'!A:A,0))=FALSE,INDEX('Ist Vorjahr Monat 12'!B:B,MATCH(D597,'Ist Vorjahr Monat 12'!A:A,0)),
"{Konto unbekannt}"
)))))))))))),"")</f>
        <v/>
      </c>
      <c r="C597" s="1062"/>
      <c r="D597" s="1067"/>
      <c r="E597" s="625">
        <f t="shared" si="237"/>
        <v>-1</v>
      </c>
      <c r="F597" s="626" t="s">
        <v>996</v>
      </c>
      <c r="G597" s="593">
        <f ca="1">$E597*SUMIF(INDIRECT(G$3),'Struktur Vorjahr'!$D597,INDIRECT(G$8))*IFERROR(IF(VLOOKUP('Struktur Vorjahr'!$D597,INDIRECT(G$6),8,)="H",-1,1),0)</f>
        <v>0</v>
      </c>
      <c r="H597" s="593">
        <f ca="1">$E597*SUMIF(INDIRECT(H$3),'Struktur Vorjahr'!$D597,INDIRECT(H$8))*IFERROR(IF(VLOOKUP('Struktur Vorjahr'!$D597,INDIRECT(H$6),8,)="H",-1,1),0)</f>
        <v>0</v>
      </c>
      <c r="I597" s="593">
        <f ca="1">$E597*SUMIF(INDIRECT(I$3),'Struktur Vorjahr'!$D597,INDIRECT(I$8))*IFERROR(IF(VLOOKUP('Struktur Vorjahr'!$D597,INDIRECT(I$6),8,)="H",-1,1),0)</f>
        <v>0</v>
      </c>
      <c r="J597" s="593">
        <f ca="1">$E597*SUMIF(INDIRECT(J$3),'Struktur Vorjahr'!$D597,INDIRECT(J$8))*IFERROR(IF(VLOOKUP('Struktur Vorjahr'!$D597,INDIRECT(J$6),8,)="H",-1,1),0)</f>
        <v>0</v>
      </c>
      <c r="K597" s="593">
        <f ca="1">$E597*SUMIF(INDIRECT(K$3),'Struktur Vorjahr'!$D597,INDIRECT(K$8))*IFERROR(IF(VLOOKUP('Struktur Vorjahr'!$D597,INDIRECT(K$6),8,)="H",-1,1),0)</f>
        <v>0</v>
      </c>
      <c r="L597" s="593">
        <f ca="1">$E597*SUMIF(INDIRECT(L$3),'Struktur Vorjahr'!$D597,INDIRECT(L$8))*IFERROR(IF(VLOOKUP('Struktur Vorjahr'!$D597,INDIRECT(L$6),8,)="H",-1,1),0)</f>
        <v>0</v>
      </c>
      <c r="M597" s="593">
        <f ca="1">$E597*SUMIF(INDIRECT(M$3),'Struktur Vorjahr'!$D597,INDIRECT(M$8))*IFERROR(IF(VLOOKUP('Struktur Vorjahr'!$D597,INDIRECT(M$6),8,)="H",-1,1),0)</f>
        <v>0</v>
      </c>
      <c r="N597" s="593">
        <f ca="1">$E597*SUMIF(INDIRECT(N$3),'Struktur Vorjahr'!$D597,INDIRECT(N$8))*IFERROR(IF(VLOOKUP('Struktur Vorjahr'!$D597,INDIRECT(N$6),8,)="H",-1,1),0)</f>
        <v>0</v>
      </c>
      <c r="O597" s="593">
        <f ca="1">$E597*SUMIF(INDIRECT(O$3),'Struktur Vorjahr'!$D597,INDIRECT(O$8))*IFERROR(IF(VLOOKUP('Struktur Vorjahr'!$D597,INDIRECT(O$6),8,)="H",-1,1),0)</f>
        <v>0</v>
      </c>
      <c r="P597" s="593">
        <f ca="1">$E597*SUMIF(INDIRECT(P$3),'Struktur Vorjahr'!$D597,INDIRECT(P$8))*IFERROR(IF(VLOOKUP('Struktur Vorjahr'!$D597,INDIRECT(P$6),8,)="H",-1,1),0)</f>
        <v>0</v>
      </c>
      <c r="Q597" s="593">
        <f ca="1">$E597*SUMIF(INDIRECT(Q$3),'Struktur Vorjahr'!$D597,INDIRECT(Q$8))*IFERROR(IF(VLOOKUP('Struktur Vorjahr'!$D597,INDIRECT(Q$6),8,)="H",-1,1),0)</f>
        <v>0</v>
      </c>
      <c r="R597" s="593">
        <f ca="1">$E597*SUMIF(INDIRECT(R$3),'Struktur Vorjahr'!$D597,INDIRECT(R$8))*IFERROR(IF(VLOOKUP('Struktur Vorjahr'!$D597,INDIRECT(R$6),8,)="H",-1,1),0)</f>
        <v>0</v>
      </c>
      <c r="S597" s="593" t="e">
        <f ca="1">$E597*SUMIF(INDIRECT(S$3),'Struktur Vorjahr'!$D597,INDIRECT(S$8))*IFERROR(IF(VLOOKUP('Struktur Vorjahr'!$D597,INDIRECT(S$6),8,)="H",-1,1),0)</f>
        <v>#REF!</v>
      </c>
      <c r="T597" s="593" t="e">
        <f ca="1">$E597*SUMIF(INDIRECT(T$3),'Struktur Vorjahr'!$D597,INDIRECT(T$8))*IFERROR(IF(VLOOKUP('Struktur Vorjahr'!$D597,INDIRECT(T$6),8,)="H",-1,1),0)</f>
        <v>#REF!</v>
      </c>
      <c r="U597" s="593" t="e">
        <f ca="1">$E597*SUMIF(INDIRECT(U$3),'Struktur Vorjahr'!$D597,INDIRECT(U$8))*IFERROR(IF(VLOOKUP('Struktur Vorjahr'!$D597,INDIRECT(U$6),8,)="H",-1,1),0)</f>
        <v>#REF!</v>
      </c>
      <c r="V597" s="593" t="e">
        <f ca="1">$E597*SUMIF(INDIRECT(V$3),'Struktur Vorjahr'!$D597,INDIRECT(V$8))*IFERROR(IF(VLOOKUP('Struktur Vorjahr'!$D597,INDIRECT(V$6),8,)="H",-1,1),0)</f>
        <v>#REF!</v>
      </c>
      <c r="W597" s="593" t="e">
        <f ca="1">$E597*SUMIF(INDIRECT(W$3),'Struktur Vorjahr'!$D597,INDIRECT(W$8))*IFERROR(IF(VLOOKUP('Struktur Vorjahr'!$D597,INDIRECT(W$6),8,)="H",-1,1),0)</f>
        <v>#REF!</v>
      </c>
      <c r="X597" s="593" t="e">
        <f ca="1">$E597*SUMIF(INDIRECT(X$3),'Struktur Vorjahr'!$D597,INDIRECT(X$8))*IFERROR(IF(VLOOKUP('Struktur Vorjahr'!$D597,INDIRECT(X$6),8,)="H",-1,1),0)</f>
        <v>#REF!</v>
      </c>
      <c r="Y597" s="593" t="e">
        <f ca="1">$E597*SUMIF(INDIRECT(Y$3),'Struktur Vorjahr'!$D597,INDIRECT(Y$8))*IFERROR(IF(VLOOKUP('Struktur Vorjahr'!$D597,INDIRECT(Y$6),8,)="H",-1,1),0)</f>
        <v>#REF!</v>
      </c>
      <c r="Z597" s="593" t="e">
        <f ca="1">$E597*SUMIF(INDIRECT(Z$3),'Struktur Vorjahr'!$D597,INDIRECT(Z$8))*IFERROR(IF(VLOOKUP('Struktur Vorjahr'!$D597,INDIRECT(Z$6),8,)="H",-1,1),0)</f>
        <v>#REF!</v>
      </c>
      <c r="AA597" s="593" t="e">
        <f ca="1">$E597*SUMIF(INDIRECT(AA$3),'Struktur Vorjahr'!$D597,INDIRECT(AA$8))*IFERROR(IF(VLOOKUP('Struktur Vorjahr'!$D597,INDIRECT(AA$6),8,)="H",-1,1),0)</f>
        <v>#REF!</v>
      </c>
      <c r="AB597" s="593" t="e">
        <f ca="1">$E597*SUMIF(INDIRECT(AB$3),'Struktur Vorjahr'!$D597,INDIRECT(AB$8))*IFERROR(IF(VLOOKUP('Struktur Vorjahr'!$D597,INDIRECT(AB$6),8,)="H",-1,1),0)</f>
        <v>#REF!</v>
      </c>
      <c r="AC597" s="593" t="e">
        <f ca="1">$E597*SUMIF(INDIRECT(AC$3),'Struktur Vorjahr'!$D597,INDIRECT(AC$8))*IFERROR(IF(VLOOKUP('Struktur Vorjahr'!$D597,INDIRECT(AC$6),8,)="H",-1,1),0)</f>
        <v>#REF!</v>
      </c>
      <c r="AD597" s="593" t="e">
        <f ca="1">$E597*SUMIF(INDIRECT(AD$3),'Struktur Vorjahr'!$D597,INDIRECT(AD$8))*IFERROR(IF(VLOOKUP('Struktur Vorjahr'!$D597,INDIRECT(AD$6),8,)="H",-1,1),0)</f>
        <v>#REF!</v>
      </c>
      <c r="AE597" s="593">
        <f t="shared" ca="1" si="296"/>
        <v>0</v>
      </c>
      <c r="AF597" s="593">
        <f t="shared" ca="1" si="297"/>
        <v>0</v>
      </c>
      <c r="AG597" s="593">
        <f t="shared" ca="1" si="297"/>
        <v>0</v>
      </c>
      <c r="AH597" s="593">
        <f t="shared" ca="1" si="297"/>
        <v>0</v>
      </c>
      <c r="AI597" s="593">
        <f t="shared" ca="1" si="297"/>
        <v>0</v>
      </c>
      <c r="AJ597" s="593">
        <f t="shared" ca="1" si="297"/>
        <v>0</v>
      </c>
      <c r="AK597" s="593">
        <f t="shared" ca="1" si="297"/>
        <v>0</v>
      </c>
      <c r="AL597" s="593">
        <f t="shared" ca="1" si="297"/>
        <v>0</v>
      </c>
      <c r="AM597" s="593">
        <f t="shared" ca="1" si="297"/>
        <v>0</v>
      </c>
      <c r="AN597" s="593">
        <f t="shared" ca="1" si="297"/>
        <v>0</v>
      </c>
      <c r="AO597" s="593">
        <f t="shared" ca="1" si="297"/>
        <v>0</v>
      </c>
      <c r="AP597" s="593">
        <f t="shared" ca="1" si="297"/>
        <v>0</v>
      </c>
    </row>
    <row r="598" spans="1:42" s="594" customFormat="1" ht="11.25" x14ac:dyDescent="0.2">
      <c r="A598" s="644"/>
      <c r="B598" s="591" t="str">
        <f>IF(D598&lt;&gt;"",
IF(ISERROR(MATCH(D598,'Ist Vorjahr Monat 01'!A:A,0))=FALSE,INDEX('Ist Vorjahr Monat 01'!B:B,MATCH(D598,'Ist Vorjahr Monat 01'!A:A,0)),
IF(ISERROR(MATCH(D598,'Ist Vorjahr Monat 02'!A:A,0))=FALSE,INDEX('Ist Vorjahr Monat 02'!B:B,MATCH(D598,'Ist Vorjahr Monat 02'!A:A,0)),
IF(ISERROR(MATCH(D598,'Ist Vorjahr Monat 03'!A:A,0))=FALSE,INDEX('Ist Vorjahr Monat 03'!B:B,MATCH(D598,'Ist Vorjahr Monat 03'!A:A,0)),
IF(ISERROR(MATCH(D598,'Ist Vorjahr Monat 04'!A:A,0))=FALSE,INDEX('Ist Vorjahr Monat 04'!B:B,MATCH(D598,'Ist Vorjahr Monat 04'!A:A,0)),
IF(ISERROR(MATCH(D598,'Ist Vorjahr Monat 05'!A:A,0))=FALSE,INDEX('Ist Vorjahr Monat 05'!B:B,MATCH(D598,'Ist Vorjahr Monat 05'!A:A,0)),
IF(ISERROR(MATCH(D598,'Ist Vorjahr Monat 06'!A:A,0))=FALSE,INDEX('Ist Vorjahr Monat 06'!B:B,MATCH(D598,'Ist Vorjahr Monat 06'!A:A,0)),
IF(ISERROR(MATCH(D598,'Ist Vorjahr Monat 07'!A:A,0))=FALSE,INDEX('Ist Vorjahr Monat 07'!B:B,MATCH(D598,'Ist Vorjahr Monat 07'!A:A,0)),
IF(ISERROR(MATCH(D598,'Ist Vorjahr Monat 08'!A:A,0))=FALSE,INDEX('Ist Vorjahr Monat 08'!B:B,MATCH(D598,'Ist Vorjahr Monat 08'!A:A,0)),
IF(ISERROR(MATCH(D598,'Ist Vorjahr Monat 09'!A:A,0))=FALSE,INDEX('Ist Vorjahr Monat 09'!B:B,MATCH(D598,'Ist Vorjahr Monat 09'!A:A,0)),
IF(ISERROR(MATCH(D598,'Ist Vorjahr Monat 10'!A:A,0))=FALSE,INDEX('Ist Vorjahr Monat 10'!B:B,MATCH(D598,'Ist Vorjahr Monat 10'!A:A,0)),
IF(ISERROR(MATCH(D598,'Ist Vorjahr Monat 11'!A:A,0))=FALSE,INDEX('Ist Vorjahr Monat 11'!B:B,MATCH(D598,'Ist Vorjahr Monat 11'!A:A,0)),
IF(ISERROR(MATCH(D598,'Ist Vorjahr Monat 12'!A:A,0))=FALSE,INDEX('Ist Vorjahr Monat 12'!B:B,MATCH(D598,'Ist Vorjahr Monat 12'!A:A,0)),
"{Konto unbekannt}"
)))))))))))),"")</f>
        <v/>
      </c>
      <c r="C598" s="1062"/>
      <c r="D598" s="1067"/>
      <c r="E598" s="625">
        <f t="shared" si="237"/>
        <v>-1</v>
      </c>
      <c r="F598" s="626" t="s">
        <v>996</v>
      </c>
      <c r="G598" s="593">
        <f ca="1">$E598*SUMIF(INDIRECT(G$3),'Struktur Vorjahr'!$D598,INDIRECT(G$8))*IFERROR(IF(VLOOKUP('Struktur Vorjahr'!$D598,INDIRECT(G$6),8,)="H",-1,1),0)</f>
        <v>0</v>
      </c>
      <c r="H598" s="593">
        <f ca="1">$E598*SUMIF(INDIRECT(H$3),'Struktur Vorjahr'!$D598,INDIRECT(H$8))*IFERROR(IF(VLOOKUP('Struktur Vorjahr'!$D598,INDIRECT(H$6),8,)="H",-1,1),0)</f>
        <v>0</v>
      </c>
      <c r="I598" s="593">
        <f ca="1">$E598*SUMIF(INDIRECT(I$3),'Struktur Vorjahr'!$D598,INDIRECT(I$8))*IFERROR(IF(VLOOKUP('Struktur Vorjahr'!$D598,INDIRECT(I$6),8,)="H",-1,1),0)</f>
        <v>0</v>
      </c>
      <c r="J598" s="593">
        <f ca="1">$E598*SUMIF(INDIRECT(J$3),'Struktur Vorjahr'!$D598,INDIRECT(J$8))*IFERROR(IF(VLOOKUP('Struktur Vorjahr'!$D598,INDIRECT(J$6),8,)="H",-1,1),0)</f>
        <v>0</v>
      </c>
      <c r="K598" s="593">
        <f ca="1">$E598*SUMIF(INDIRECT(K$3),'Struktur Vorjahr'!$D598,INDIRECT(K$8))*IFERROR(IF(VLOOKUP('Struktur Vorjahr'!$D598,INDIRECT(K$6),8,)="H",-1,1),0)</f>
        <v>0</v>
      </c>
      <c r="L598" s="593">
        <f ca="1">$E598*SUMIF(INDIRECT(L$3),'Struktur Vorjahr'!$D598,INDIRECT(L$8))*IFERROR(IF(VLOOKUP('Struktur Vorjahr'!$D598,INDIRECT(L$6),8,)="H",-1,1),0)</f>
        <v>0</v>
      </c>
      <c r="M598" s="593">
        <f ca="1">$E598*SUMIF(INDIRECT(M$3),'Struktur Vorjahr'!$D598,INDIRECT(M$8))*IFERROR(IF(VLOOKUP('Struktur Vorjahr'!$D598,INDIRECT(M$6),8,)="H",-1,1),0)</f>
        <v>0</v>
      </c>
      <c r="N598" s="593">
        <f ca="1">$E598*SUMIF(INDIRECT(N$3),'Struktur Vorjahr'!$D598,INDIRECT(N$8))*IFERROR(IF(VLOOKUP('Struktur Vorjahr'!$D598,INDIRECT(N$6),8,)="H",-1,1),0)</f>
        <v>0</v>
      </c>
      <c r="O598" s="593">
        <f ca="1">$E598*SUMIF(INDIRECT(O$3),'Struktur Vorjahr'!$D598,INDIRECT(O$8))*IFERROR(IF(VLOOKUP('Struktur Vorjahr'!$D598,INDIRECT(O$6),8,)="H",-1,1),0)</f>
        <v>0</v>
      </c>
      <c r="P598" s="593">
        <f ca="1">$E598*SUMIF(INDIRECT(P$3),'Struktur Vorjahr'!$D598,INDIRECT(P$8))*IFERROR(IF(VLOOKUP('Struktur Vorjahr'!$D598,INDIRECT(P$6),8,)="H",-1,1),0)</f>
        <v>0</v>
      </c>
      <c r="Q598" s="593">
        <f ca="1">$E598*SUMIF(INDIRECT(Q$3),'Struktur Vorjahr'!$D598,INDIRECT(Q$8))*IFERROR(IF(VLOOKUP('Struktur Vorjahr'!$D598,INDIRECT(Q$6),8,)="H",-1,1),0)</f>
        <v>0</v>
      </c>
      <c r="R598" s="593">
        <f ca="1">$E598*SUMIF(INDIRECT(R$3),'Struktur Vorjahr'!$D598,INDIRECT(R$8))*IFERROR(IF(VLOOKUP('Struktur Vorjahr'!$D598,INDIRECT(R$6),8,)="H",-1,1),0)</f>
        <v>0</v>
      </c>
      <c r="S598" s="593" t="e">
        <f ca="1">$E598*SUMIF(INDIRECT(S$3),'Struktur Vorjahr'!$D598,INDIRECT(S$8))*IFERROR(IF(VLOOKUP('Struktur Vorjahr'!$D598,INDIRECT(S$6),8,)="H",-1,1),0)</f>
        <v>#REF!</v>
      </c>
      <c r="T598" s="593" t="e">
        <f ca="1">$E598*SUMIF(INDIRECT(T$3),'Struktur Vorjahr'!$D598,INDIRECT(T$8))*IFERROR(IF(VLOOKUP('Struktur Vorjahr'!$D598,INDIRECT(T$6),8,)="H",-1,1),0)</f>
        <v>#REF!</v>
      </c>
      <c r="U598" s="593" t="e">
        <f ca="1">$E598*SUMIF(INDIRECT(U$3),'Struktur Vorjahr'!$D598,INDIRECT(U$8))*IFERROR(IF(VLOOKUP('Struktur Vorjahr'!$D598,INDIRECT(U$6),8,)="H",-1,1),0)</f>
        <v>#REF!</v>
      </c>
      <c r="V598" s="593" t="e">
        <f ca="1">$E598*SUMIF(INDIRECT(V$3),'Struktur Vorjahr'!$D598,INDIRECT(V$8))*IFERROR(IF(VLOOKUP('Struktur Vorjahr'!$D598,INDIRECT(V$6),8,)="H",-1,1),0)</f>
        <v>#REF!</v>
      </c>
      <c r="W598" s="593" t="e">
        <f ca="1">$E598*SUMIF(INDIRECT(W$3),'Struktur Vorjahr'!$D598,INDIRECT(W$8))*IFERROR(IF(VLOOKUP('Struktur Vorjahr'!$D598,INDIRECT(W$6),8,)="H",-1,1),0)</f>
        <v>#REF!</v>
      </c>
      <c r="X598" s="593" t="e">
        <f ca="1">$E598*SUMIF(INDIRECT(X$3),'Struktur Vorjahr'!$D598,INDIRECT(X$8))*IFERROR(IF(VLOOKUP('Struktur Vorjahr'!$D598,INDIRECT(X$6),8,)="H",-1,1),0)</f>
        <v>#REF!</v>
      </c>
      <c r="Y598" s="593" t="e">
        <f ca="1">$E598*SUMIF(INDIRECT(Y$3),'Struktur Vorjahr'!$D598,INDIRECT(Y$8))*IFERROR(IF(VLOOKUP('Struktur Vorjahr'!$D598,INDIRECT(Y$6),8,)="H",-1,1),0)</f>
        <v>#REF!</v>
      </c>
      <c r="Z598" s="593" t="e">
        <f ca="1">$E598*SUMIF(INDIRECT(Z$3),'Struktur Vorjahr'!$D598,INDIRECT(Z$8))*IFERROR(IF(VLOOKUP('Struktur Vorjahr'!$D598,INDIRECT(Z$6),8,)="H",-1,1),0)</f>
        <v>#REF!</v>
      </c>
      <c r="AA598" s="593" t="e">
        <f ca="1">$E598*SUMIF(INDIRECT(AA$3),'Struktur Vorjahr'!$D598,INDIRECT(AA$8))*IFERROR(IF(VLOOKUP('Struktur Vorjahr'!$D598,INDIRECT(AA$6),8,)="H",-1,1),0)</f>
        <v>#REF!</v>
      </c>
      <c r="AB598" s="593" t="e">
        <f ca="1">$E598*SUMIF(INDIRECT(AB$3),'Struktur Vorjahr'!$D598,INDIRECT(AB$8))*IFERROR(IF(VLOOKUP('Struktur Vorjahr'!$D598,INDIRECT(AB$6),8,)="H",-1,1),0)</f>
        <v>#REF!</v>
      </c>
      <c r="AC598" s="593" t="e">
        <f ca="1">$E598*SUMIF(INDIRECT(AC$3),'Struktur Vorjahr'!$D598,INDIRECT(AC$8))*IFERROR(IF(VLOOKUP('Struktur Vorjahr'!$D598,INDIRECT(AC$6),8,)="H",-1,1),0)</f>
        <v>#REF!</v>
      </c>
      <c r="AD598" s="593" t="e">
        <f ca="1">$E598*SUMIF(INDIRECT(AD$3),'Struktur Vorjahr'!$D598,INDIRECT(AD$8))*IFERROR(IF(VLOOKUP('Struktur Vorjahr'!$D598,INDIRECT(AD$6),8,)="H",-1,1),0)</f>
        <v>#REF!</v>
      </c>
      <c r="AE598" s="593">
        <f t="shared" ca="1" si="296"/>
        <v>0</v>
      </c>
      <c r="AF598" s="593">
        <f t="shared" ca="1" si="297"/>
        <v>0</v>
      </c>
      <c r="AG598" s="593">
        <f t="shared" ca="1" si="297"/>
        <v>0</v>
      </c>
      <c r="AH598" s="593">
        <f t="shared" ca="1" si="297"/>
        <v>0</v>
      </c>
      <c r="AI598" s="593">
        <f t="shared" ca="1" si="297"/>
        <v>0</v>
      </c>
      <c r="AJ598" s="593">
        <f t="shared" ca="1" si="297"/>
        <v>0</v>
      </c>
      <c r="AK598" s="593">
        <f t="shared" ca="1" si="297"/>
        <v>0</v>
      </c>
      <c r="AL598" s="593">
        <f t="shared" ca="1" si="297"/>
        <v>0</v>
      </c>
      <c r="AM598" s="593">
        <f t="shared" ca="1" si="297"/>
        <v>0</v>
      </c>
      <c r="AN598" s="593">
        <f t="shared" ca="1" si="297"/>
        <v>0</v>
      </c>
      <c r="AO598" s="593">
        <f t="shared" ca="1" si="297"/>
        <v>0</v>
      </c>
      <c r="AP598" s="593">
        <f t="shared" ca="1" si="297"/>
        <v>0</v>
      </c>
    </row>
    <row r="599" spans="1:42" s="594" customFormat="1" ht="11.25" x14ac:dyDescent="0.2">
      <c r="A599" s="644"/>
      <c r="B599" s="591" t="str">
        <f>IF(D599&lt;&gt;"",
IF(ISERROR(MATCH(D599,'Ist Vorjahr Monat 01'!A:A,0))=FALSE,INDEX('Ist Vorjahr Monat 01'!B:B,MATCH(D599,'Ist Vorjahr Monat 01'!A:A,0)),
IF(ISERROR(MATCH(D599,'Ist Vorjahr Monat 02'!A:A,0))=FALSE,INDEX('Ist Vorjahr Monat 02'!B:B,MATCH(D599,'Ist Vorjahr Monat 02'!A:A,0)),
IF(ISERROR(MATCH(D599,'Ist Vorjahr Monat 03'!A:A,0))=FALSE,INDEX('Ist Vorjahr Monat 03'!B:B,MATCH(D599,'Ist Vorjahr Monat 03'!A:A,0)),
IF(ISERROR(MATCH(D599,'Ist Vorjahr Monat 04'!A:A,0))=FALSE,INDEX('Ist Vorjahr Monat 04'!B:B,MATCH(D599,'Ist Vorjahr Monat 04'!A:A,0)),
IF(ISERROR(MATCH(D599,'Ist Vorjahr Monat 05'!A:A,0))=FALSE,INDEX('Ist Vorjahr Monat 05'!B:B,MATCH(D599,'Ist Vorjahr Monat 05'!A:A,0)),
IF(ISERROR(MATCH(D599,'Ist Vorjahr Monat 06'!A:A,0))=FALSE,INDEX('Ist Vorjahr Monat 06'!B:B,MATCH(D599,'Ist Vorjahr Monat 06'!A:A,0)),
IF(ISERROR(MATCH(D599,'Ist Vorjahr Monat 07'!A:A,0))=FALSE,INDEX('Ist Vorjahr Monat 07'!B:B,MATCH(D599,'Ist Vorjahr Monat 07'!A:A,0)),
IF(ISERROR(MATCH(D599,'Ist Vorjahr Monat 08'!A:A,0))=FALSE,INDEX('Ist Vorjahr Monat 08'!B:B,MATCH(D599,'Ist Vorjahr Monat 08'!A:A,0)),
IF(ISERROR(MATCH(D599,'Ist Vorjahr Monat 09'!A:A,0))=FALSE,INDEX('Ist Vorjahr Monat 09'!B:B,MATCH(D599,'Ist Vorjahr Monat 09'!A:A,0)),
IF(ISERROR(MATCH(D599,'Ist Vorjahr Monat 10'!A:A,0))=FALSE,INDEX('Ist Vorjahr Monat 10'!B:B,MATCH(D599,'Ist Vorjahr Monat 10'!A:A,0)),
IF(ISERROR(MATCH(D599,'Ist Vorjahr Monat 11'!A:A,0))=FALSE,INDEX('Ist Vorjahr Monat 11'!B:B,MATCH(D599,'Ist Vorjahr Monat 11'!A:A,0)),
IF(ISERROR(MATCH(D599,'Ist Vorjahr Monat 12'!A:A,0))=FALSE,INDEX('Ist Vorjahr Monat 12'!B:B,MATCH(D599,'Ist Vorjahr Monat 12'!A:A,0)),
"{Konto unbekannt}"
)))))))))))),"")</f>
        <v/>
      </c>
      <c r="C599" s="1062"/>
      <c r="D599" s="1067"/>
      <c r="E599" s="625">
        <f t="shared" si="237"/>
        <v>-1</v>
      </c>
      <c r="F599" s="626" t="s">
        <v>996</v>
      </c>
      <c r="G599" s="593">
        <f ca="1">$E599*SUMIF(INDIRECT(G$3),'Struktur Vorjahr'!$D599,INDIRECT(G$8))*IFERROR(IF(VLOOKUP('Struktur Vorjahr'!$D599,INDIRECT(G$6),8,)="H",-1,1),0)</f>
        <v>0</v>
      </c>
      <c r="H599" s="593">
        <f ca="1">$E599*SUMIF(INDIRECT(H$3),'Struktur Vorjahr'!$D599,INDIRECT(H$8))*IFERROR(IF(VLOOKUP('Struktur Vorjahr'!$D599,INDIRECT(H$6),8,)="H",-1,1),0)</f>
        <v>0</v>
      </c>
      <c r="I599" s="593">
        <f ca="1">$E599*SUMIF(INDIRECT(I$3),'Struktur Vorjahr'!$D599,INDIRECT(I$8))*IFERROR(IF(VLOOKUP('Struktur Vorjahr'!$D599,INDIRECT(I$6),8,)="H",-1,1),0)</f>
        <v>0</v>
      </c>
      <c r="J599" s="593">
        <f ca="1">$E599*SUMIF(INDIRECT(J$3),'Struktur Vorjahr'!$D599,INDIRECT(J$8))*IFERROR(IF(VLOOKUP('Struktur Vorjahr'!$D599,INDIRECT(J$6),8,)="H",-1,1),0)</f>
        <v>0</v>
      </c>
      <c r="K599" s="593">
        <f ca="1">$E599*SUMIF(INDIRECT(K$3),'Struktur Vorjahr'!$D599,INDIRECT(K$8))*IFERROR(IF(VLOOKUP('Struktur Vorjahr'!$D599,INDIRECT(K$6),8,)="H",-1,1),0)</f>
        <v>0</v>
      </c>
      <c r="L599" s="593">
        <f ca="1">$E599*SUMIF(INDIRECT(L$3),'Struktur Vorjahr'!$D599,INDIRECT(L$8))*IFERROR(IF(VLOOKUP('Struktur Vorjahr'!$D599,INDIRECT(L$6),8,)="H",-1,1),0)</f>
        <v>0</v>
      </c>
      <c r="M599" s="593">
        <f ca="1">$E599*SUMIF(INDIRECT(M$3),'Struktur Vorjahr'!$D599,INDIRECT(M$8))*IFERROR(IF(VLOOKUP('Struktur Vorjahr'!$D599,INDIRECT(M$6),8,)="H",-1,1),0)</f>
        <v>0</v>
      </c>
      <c r="N599" s="593">
        <f ca="1">$E599*SUMIF(INDIRECT(N$3),'Struktur Vorjahr'!$D599,INDIRECT(N$8))*IFERROR(IF(VLOOKUP('Struktur Vorjahr'!$D599,INDIRECT(N$6),8,)="H",-1,1),0)</f>
        <v>0</v>
      </c>
      <c r="O599" s="593">
        <f ca="1">$E599*SUMIF(INDIRECT(O$3),'Struktur Vorjahr'!$D599,INDIRECT(O$8))*IFERROR(IF(VLOOKUP('Struktur Vorjahr'!$D599,INDIRECT(O$6),8,)="H",-1,1),0)</f>
        <v>0</v>
      </c>
      <c r="P599" s="593">
        <f ca="1">$E599*SUMIF(INDIRECT(P$3),'Struktur Vorjahr'!$D599,INDIRECT(P$8))*IFERROR(IF(VLOOKUP('Struktur Vorjahr'!$D599,INDIRECT(P$6),8,)="H",-1,1),0)</f>
        <v>0</v>
      </c>
      <c r="Q599" s="593">
        <f ca="1">$E599*SUMIF(INDIRECT(Q$3),'Struktur Vorjahr'!$D599,INDIRECT(Q$8))*IFERROR(IF(VLOOKUP('Struktur Vorjahr'!$D599,INDIRECT(Q$6),8,)="H",-1,1),0)</f>
        <v>0</v>
      </c>
      <c r="R599" s="593">
        <f ca="1">$E599*SUMIF(INDIRECT(R$3),'Struktur Vorjahr'!$D599,INDIRECT(R$8))*IFERROR(IF(VLOOKUP('Struktur Vorjahr'!$D599,INDIRECT(R$6),8,)="H",-1,1),0)</f>
        <v>0</v>
      </c>
      <c r="S599" s="593" t="e">
        <f ca="1">$E599*SUMIF(INDIRECT(S$3),'Struktur Vorjahr'!$D599,INDIRECT(S$8))*IFERROR(IF(VLOOKUP('Struktur Vorjahr'!$D599,INDIRECT(S$6),8,)="H",-1,1),0)</f>
        <v>#REF!</v>
      </c>
      <c r="T599" s="593" t="e">
        <f ca="1">$E599*SUMIF(INDIRECT(T$3),'Struktur Vorjahr'!$D599,INDIRECT(T$8))*IFERROR(IF(VLOOKUP('Struktur Vorjahr'!$D599,INDIRECT(T$6),8,)="H",-1,1),0)</f>
        <v>#REF!</v>
      </c>
      <c r="U599" s="593" t="e">
        <f ca="1">$E599*SUMIF(INDIRECT(U$3),'Struktur Vorjahr'!$D599,INDIRECT(U$8))*IFERROR(IF(VLOOKUP('Struktur Vorjahr'!$D599,INDIRECT(U$6),8,)="H",-1,1),0)</f>
        <v>#REF!</v>
      </c>
      <c r="V599" s="593" t="e">
        <f ca="1">$E599*SUMIF(INDIRECT(V$3),'Struktur Vorjahr'!$D599,INDIRECT(V$8))*IFERROR(IF(VLOOKUP('Struktur Vorjahr'!$D599,INDIRECT(V$6),8,)="H",-1,1),0)</f>
        <v>#REF!</v>
      </c>
      <c r="W599" s="593" t="e">
        <f ca="1">$E599*SUMIF(INDIRECT(W$3),'Struktur Vorjahr'!$D599,INDIRECT(W$8))*IFERROR(IF(VLOOKUP('Struktur Vorjahr'!$D599,INDIRECT(W$6),8,)="H",-1,1),0)</f>
        <v>#REF!</v>
      </c>
      <c r="X599" s="593" t="e">
        <f ca="1">$E599*SUMIF(INDIRECT(X$3),'Struktur Vorjahr'!$D599,INDIRECT(X$8))*IFERROR(IF(VLOOKUP('Struktur Vorjahr'!$D599,INDIRECT(X$6),8,)="H",-1,1),0)</f>
        <v>#REF!</v>
      </c>
      <c r="Y599" s="593" t="e">
        <f ca="1">$E599*SUMIF(INDIRECT(Y$3),'Struktur Vorjahr'!$D599,INDIRECT(Y$8))*IFERROR(IF(VLOOKUP('Struktur Vorjahr'!$D599,INDIRECT(Y$6),8,)="H",-1,1),0)</f>
        <v>#REF!</v>
      </c>
      <c r="Z599" s="593" t="e">
        <f ca="1">$E599*SUMIF(INDIRECT(Z$3),'Struktur Vorjahr'!$D599,INDIRECT(Z$8))*IFERROR(IF(VLOOKUP('Struktur Vorjahr'!$D599,INDIRECT(Z$6),8,)="H",-1,1),0)</f>
        <v>#REF!</v>
      </c>
      <c r="AA599" s="593" t="e">
        <f ca="1">$E599*SUMIF(INDIRECT(AA$3),'Struktur Vorjahr'!$D599,INDIRECT(AA$8))*IFERROR(IF(VLOOKUP('Struktur Vorjahr'!$D599,INDIRECT(AA$6),8,)="H",-1,1),0)</f>
        <v>#REF!</v>
      </c>
      <c r="AB599" s="593" t="e">
        <f ca="1">$E599*SUMIF(INDIRECT(AB$3),'Struktur Vorjahr'!$D599,INDIRECT(AB$8))*IFERROR(IF(VLOOKUP('Struktur Vorjahr'!$D599,INDIRECT(AB$6),8,)="H",-1,1),0)</f>
        <v>#REF!</v>
      </c>
      <c r="AC599" s="593" t="e">
        <f ca="1">$E599*SUMIF(INDIRECT(AC$3),'Struktur Vorjahr'!$D599,INDIRECT(AC$8))*IFERROR(IF(VLOOKUP('Struktur Vorjahr'!$D599,INDIRECT(AC$6),8,)="H",-1,1),0)</f>
        <v>#REF!</v>
      </c>
      <c r="AD599" s="593" t="e">
        <f ca="1">$E599*SUMIF(INDIRECT(AD$3),'Struktur Vorjahr'!$D599,INDIRECT(AD$8))*IFERROR(IF(VLOOKUP('Struktur Vorjahr'!$D599,INDIRECT(AD$6),8,)="H",-1,1),0)</f>
        <v>#REF!</v>
      </c>
      <c r="AE599" s="593">
        <f t="shared" ca="1" si="296"/>
        <v>0</v>
      </c>
      <c r="AF599" s="593">
        <f t="shared" ca="1" si="297"/>
        <v>0</v>
      </c>
      <c r="AG599" s="593">
        <f t="shared" ca="1" si="297"/>
        <v>0</v>
      </c>
      <c r="AH599" s="593">
        <f t="shared" ca="1" si="297"/>
        <v>0</v>
      </c>
      <c r="AI599" s="593">
        <f t="shared" ca="1" si="297"/>
        <v>0</v>
      </c>
      <c r="AJ599" s="593">
        <f t="shared" ca="1" si="297"/>
        <v>0</v>
      </c>
      <c r="AK599" s="593">
        <f t="shared" ca="1" si="297"/>
        <v>0</v>
      </c>
      <c r="AL599" s="593">
        <f t="shared" ca="1" si="297"/>
        <v>0</v>
      </c>
      <c r="AM599" s="593">
        <f t="shared" ca="1" si="297"/>
        <v>0</v>
      </c>
      <c r="AN599" s="593">
        <f t="shared" ca="1" si="297"/>
        <v>0</v>
      </c>
      <c r="AO599" s="593">
        <f t="shared" ca="1" si="297"/>
        <v>0</v>
      </c>
      <c r="AP599" s="593">
        <f t="shared" ca="1" si="297"/>
        <v>0</v>
      </c>
    </row>
    <row r="600" spans="1:42" s="589" customFormat="1" x14ac:dyDescent="0.2">
      <c r="A600" s="629">
        <v>55</v>
      </c>
      <c r="B600" s="623" t="s">
        <v>1037</v>
      </c>
      <c r="C600" s="627">
        <f ca="1">SUM(G600:R600)</f>
        <v>0</v>
      </c>
      <c r="D600" s="627"/>
      <c r="E600" s="628">
        <f t="shared" si="237"/>
        <v>1</v>
      </c>
      <c r="F600" s="628"/>
      <c r="G600" s="627">
        <f ca="1">SUM(G601:G603)</f>
        <v>0</v>
      </c>
      <c r="H600" s="627">
        <f t="shared" ref="H600:R600" ca="1" si="298">SUM(H601:H603)</f>
        <v>0</v>
      </c>
      <c r="I600" s="627">
        <f t="shared" ca="1" si="298"/>
        <v>0</v>
      </c>
      <c r="J600" s="627">
        <f t="shared" ca="1" si="298"/>
        <v>0</v>
      </c>
      <c r="K600" s="627">
        <f t="shared" ca="1" si="298"/>
        <v>0</v>
      </c>
      <c r="L600" s="627">
        <f t="shared" ca="1" si="298"/>
        <v>0</v>
      </c>
      <c r="M600" s="627">
        <f t="shared" ca="1" si="298"/>
        <v>0</v>
      </c>
      <c r="N600" s="627">
        <f t="shared" ca="1" si="298"/>
        <v>0</v>
      </c>
      <c r="O600" s="627">
        <f t="shared" ca="1" si="298"/>
        <v>0</v>
      </c>
      <c r="P600" s="627">
        <f t="shared" ca="1" si="298"/>
        <v>0</v>
      </c>
      <c r="Q600" s="627">
        <f t="shared" ca="1" si="298"/>
        <v>0</v>
      </c>
      <c r="R600" s="627">
        <f t="shared" ca="1" si="298"/>
        <v>0</v>
      </c>
      <c r="S600" s="627" t="e">
        <f ca="1">SUM(S601:S603)</f>
        <v>#REF!</v>
      </c>
      <c r="T600" s="627" t="e">
        <f t="shared" ref="T600:AD600" ca="1" si="299">SUM(T601:T603)</f>
        <v>#REF!</v>
      </c>
      <c r="U600" s="627" t="e">
        <f t="shared" ca="1" si="299"/>
        <v>#REF!</v>
      </c>
      <c r="V600" s="627" t="e">
        <f t="shared" ca="1" si="299"/>
        <v>#REF!</v>
      </c>
      <c r="W600" s="627" t="e">
        <f t="shared" ca="1" si="299"/>
        <v>#REF!</v>
      </c>
      <c r="X600" s="627" t="e">
        <f t="shared" ca="1" si="299"/>
        <v>#REF!</v>
      </c>
      <c r="Y600" s="627" t="e">
        <f t="shared" ca="1" si="299"/>
        <v>#REF!</v>
      </c>
      <c r="Z600" s="627" t="e">
        <f t="shared" ca="1" si="299"/>
        <v>#REF!</v>
      </c>
      <c r="AA600" s="627" t="e">
        <f t="shared" ca="1" si="299"/>
        <v>#REF!</v>
      </c>
      <c r="AB600" s="627" t="e">
        <f t="shared" ca="1" si="299"/>
        <v>#REF!</v>
      </c>
      <c r="AC600" s="627" t="e">
        <f t="shared" ca="1" si="299"/>
        <v>#REF!</v>
      </c>
      <c r="AD600" s="627" t="e">
        <f t="shared" ca="1" si="299"/>
        <v>#REF!</v>
      </c>
      <c r="AE600" s="627">
        <f ca="1">SUM(AE601:AE603)</f>
        <v>0</v>
      </c>
      <c r="AF600" s="627">
        <f t="shared" ref="AF600:AP600" ca="1" si="300">SUM(AF601:AF603)</f>
        <v>0</v>
      </c>
      <c r="AG600" s="627">
        <f t="shared" ca="1" si="300"/>
        <v>0</v>
      </c>
      <c r="AH600" s="627">
        <f t="shared" ca="1" si="300"/>
        <v>0</v>
      </c>
      <c r="AI600" s="627">
        <f t="shared" ca="1" si="300"/>
        <v>0</v>
      </c>
      <c r="AJ600" s="627">
        <f t="shared" ca="1" si="300"/>
        <v>0</v>
      </c>
      <c r="AK600" s="627">
        <f t="shared" ca="1" si="300"/>
        <v>0</v>
      </c>
      <c r="AL600" s="627">
        <f t="shared" ca="1" si="300"/>
        <v>0</v>
      </c>
      <c r="AM600" s="627">
        <f t="shared" ca="1" si="300"/>
        <v>0</v>
      </c>
      <c r="AN600" s="627">
        <f t="shared" ca="1" si="300"/>
        <v>0</v>
      </c>
      <c r="AO600" s="627">
        <f t="shared" ca="1" si="300"/>
        <v>0</v>
      </c>
      <c r="AP600" s="627">
        <f t="shared" ca="1" si="300"/>
        <v>0</v>
      </c>
    </row>
    <row r="601" spans="1:42" s="594" customFormat="1" ht="11.25" x14ac:dyDescent="0.2">
      <c r="A601" s="644"/>
      <c r="B601" s="591" t="str">
        <f>IF(D601&lt;&gt;"",
IF(ISERROR(MATCH(D601,'Ist Vorjahr Monat 01'!A:A,0))=FALSE,INDEX('Ist Vorjahr Monat 01'!B:B,MATCH(D601,'Ist Vorjahr Monat 01'!A:A,0)),
IF(ISERROR(MATCH(D601,'Ist Vorjahr Monat 02'!A:A,0))=FALSE,INDEX('Ist Vorjahr Monat 02'!B:B,MATCH(D601,'Ist Vorjahr Monat 02'!A:A,0)),
IF(ISERROR(MATCH(D601,'Ist Vorjahr Monat 03'!A:A,0))=FALSE,INDEX('Ist Vorjahr Monat 03'!B:B,MATCH(D601,'Ist Vorjahr Monat 03'!A:A,0)),
IF(ISERROR(MATCH(D601,'Ist Vorjahr Monat 04'!A:A,0))=FALSE,INDEX('Ist Vorjahr Monat 04'!B:B,MATCH(D601,'Ist Vorjahr Monat 04'!A:A,0)),
IF(ISERROR(MATCH(D601,'Ist Vorjahr Monat 05'!A:A,0))=FALSE,INDEX('Ist Vorjahr Monat 05'!B:B,MATCH(D601,'Ist Vorjahr Monat 05'!A:A,0)),
IF(ISERROR(MATCH(D601,'Ist Vorjahr Monat 06'!A:A,0))=FALSE,INDEX('Ist Vorjahr Monat 06'!B:B,MATCH(D601,'Ist Vorjahr Monat 06'!A:A,0)),
IF(ISERROR(MATCH(D601,'Ist Vorjahr Monat 07'!A:A,0))=FALSE,INDEX('Ist Vorjahr Monat 07'!B:B,MATCH(D601,'Ist Vorjahr Monat 07'!A:A,0)),
IF(ISERROR(MATCH(D601,'Ist Vorjahr Monat 08'!A:A,0))=FALSE,INDEX('Ist Vorjahr Monat 08'!B:B,MATCH(D601,'Ist Vorjahr Monat 08'!A:A,0)),
IF(ISERROR(MATCH(D601,'Ist Vorjahr Monat 09'!A:A,0))=FALSE,INDEX('Ist Vorjahr Monat 09'!B:B,MATCH(D601,'Ist Vorjahr Monat 09'!A:A,0)),
IF(ISERROR(MATCH(D601,'Ist Vorjahr Monat 10'!A:A,0))=FALSE,INDEX('Ist Vorjahr Monat 10'!B:B,MATCH(D601,'Ist Vorjahr Monat 10'!A:A,0)),
IF(ISERROR(MATCH(D601,'Ist Vorjahr Monat 11'!A:A,0))=FALSE,INDEX('Ist Vorjahr Monat 11'!B:B,MATCH(D601,'Ist Vorjahr Monat 11'!A:A,0)),
IF(ISERROR(MATCH(D601,'Ist Vorjahr Monat 12'!A:A,0))=FALSE,INDEX('Ist Vorjahr Monat 12'!B:B,MATCH(D601,'Ist Vorjahr Monat 12'!A:A,0)),
"{Konto unbekannt}"
)))))))))))),"")</f>
        <v>{Konto unbekannt}</v>
      </c>
      <c r="C601" s="1062"/>
      <c r="D601" s="1067">
        <v>1700</v>
      </c>
      <c r="E601" s="625">
        <f t="shared" si="237"/>
        <v>-1</v>
      </c>
      <c r="F601" s="626" t="s">
        <v>996</v>
      </c>
      <c r="G601" s="593">
        <f ca="1">$E601*SUMIF(INDIRECT(G$3),'Struktur Vorjahr'!$D601,INDIRECT(G$8))*IFERROR(IF(VLOOKUP('Struktur Vorjahr'!$D601,INDIRECT(G$6),8,)="H",-1,1),0)</f>
        <v>0</v>
      </c>
      <c r="H601" s="593">
        <f ca="1">$E601*SUMIF(INDIRECT(H$3),'Struktur Vorjahr'!$D601,INDIRECT(H$8))*IFERROR(IF(VLOOKUP('Struktur Vorjahr'!$D601,INDIRECT(H$6),8,)="H",-1,1),0)</f>
        <v>0</v>
      </c>
      <c r="I601" s="593">
        <f ca="1">$E601*SUMIF(INDIRECT(I$3),'Struktur Vorjahr'!$D601,INDIRECT(I$8))*IFERROR(IF(VLOOKUP('Struktur Vorjahr'!$D601,INDIRECT(I$6),8,)="H",-1,1),0)</f>
        <v>0</v>
      </c>
      <c r="J601" s="593">
        <f ca="1">$E601*SUMIF(INDIRECT(J$3),'Struktur Vorjahr'!$D601,INDIRECT(J$8))*IFERROR(IF(VLOOKUP('Struktur Vorjahr'!$D601,INDIRECT(J$6),8,)="H",-1,1),0)</f>
        <v>0</v>
      </c>
      <c r="K601" s="593">
        <f ca="1">$E601*SUMIF(INDIRECT(K$3),'Struktur Vorjahr'!$D601,INDIRECT(K$8))*IFERROR(IF(VLOOKUP('Struktur Vorjahr'!$D601,INDIRECT(K$6),8,)="H",-1,1),0)</f>
        <v>0</v>
      </c>
      <c r="L601" s="593">
        <f ca="1">$E601*SUMIF(INDIRECT(L$3),'Struktur Vorjahr'!$D601,INDIRECT(L$8))*IFERROR(IF(VLOOKUP('Struktur Vorjahr'!$D601,INDIRECT(L$6),8,)="H",-1,1),0)</f>
        <v>0</v>
      </c>
      <c r="M601" s="593">
        <f ca="1">$E601*SUMIF(INDIRECT(M$3),'Struktur Vorjahr'!$D601,INDIRECT(M$8))*IFERROR(IF(VLOOKUP('Struktur Vorjahr'!$D601,INDIRECT(M$6),8,)="H",-1,1),0)</f>
        <v>0</v>
      </c>
      <c r="N601" s="593">
        <f ca="1">$E601*SUMIF(INDIRECT(N$3),'Struktur Vorjahr'!$D601,INDIRECT(N$8))*IFERROR(IF(VLOOKUP('Struktur Vorjahr'!$D601,INDIRECT(N$6),8,)="H",-1,1),0)</f>
        <v>0</v>
      </c>
      <c r="O601" s="593">
        <f ca="1">$E601*SUMIF(INDIRECT(O$3),'Struktur Vorjahr'!$D601,INDIRECT(O$8))*IFERROR(IF(VLOOKUP('Struktur Vorjahr'!$D601,INDIRECT(O$6),8,)="H",-1,1),0)</f>
        <v>0</v>
      </c>
      <c r="P601" s="593">
        <f ca="1">$E601*SUMIF(INDIRECT(P$3),'Struktur Vorjahr'!$D601,INDIRECT(P$8))*IFERROR(IF(VLOOKUP('Struktur Vorjahr'!$D601,INDIRECT(P$6),8,)="H",-1,1),0)</f>
        <v>0</v>
      </c>
      <c r="Q601" s="593">
        <f ca="1">$E601*SUMIF(INDIRECT(Q$3),'Struktur Vorjahr'!$D601,INDIRECT(Q$8))*IFERROR(IF(VLOOKUP('Struktur Vorjahr'!$D601,INDIRECT(Q$6),8,)="H",-1,1),0)</f>
        <v>0</v>
      </c>
      <c r="R601" s="593">
        <f ca="1">$E601*SUMIF(INDIRECT(R$3),'Struktur Vorjahr'!$D601,INDIRECT(R$8))*IFERROR(IF(VLOOKUP('Struktur Vorjahr'!$D601,INDIRECT(R$6),8,)="H",-1,1),0)</f>
        <v>0</v>
      </c>
      <c r="S601" s="593" t="e">
        <f ca="1">$E601*SUMIF(INDIRECT(S$3),'Struktur Vorjahr'!$D601,INDIRECT(S$8))*IFERROR(IF(VLOOKUP('Struktur Vorjahr'!$D601,INDIRECT(S$6),8,)="H",-1,1),0)</f>
        <v>#REF!</v>
      </c>
      <c r="T601" s="593" t="e">
        <f ca="1">$E601*SUMIF(INDIRECT(T$3),'Struktur Vorjahr'!$D601,INDIRECT(T$8))*IFERROR(IF(VLOOKUP('Struktur Vorjahr'!$D601,INDIRECT(T$6),8,)="H",-1,1),0)</f>
        <v>#REF!</v>
      </c>
      <c r="U601" s="593" t="e">
        <f ca="1">$E601*SUMIF(INDIRECT(U$3),'Struktur Vorjahr'!$D601,INDIRECT(U$8))*IFERROR(IF(VLOOKUP('Struktur Vorjahr'!$D601,INDIRECT(U$6),8,)="H",-1,1),0)</f>
        <v>#REF!</v>
      </c>
      <c r="V601" s="593" t="e">
        <f ca="1">$E601*SUMIF(INDIRECT(V$3),'Struktur Vorjahr'!$D601,INDIRECT(V$8))*IFERROR(IF(VLOOKUP('Struktur Vorjahr'!$D601,INDIRECT(V$6),8,)="H",-1,1),0)</f>
        <v>#REF!</v>
      </c>
      <c r="W601" s="593" t="e">
        <f ca="1">$E601*SUMIF(INDIRECT(W$3),'Struktur Vorjahr'!$D601,INDIRECT(W$8))*IFERROR(IF(VLOOKUP('Struktur Vorjahr'!$D601,INDIRECT(W$6),8,)="H",-1,1),0)</f>
        <v>#REF!</v>
      </c>
      <c r="X601" s="593" t="e">
        <f ca="1">$E601*SUMIF(INDIRECT(X$3),'Struktur Vorjahr'!$D601,INDIRECT(X$8))*IFERROR(IF(VLOOKUP('Struktur Vorjahr'!$D601,INDIRECT(X$6),8,)="H",-1,1),0)</f>
        <v>#REF!</v>
      </c>
      <c r="Y601" s="593" t="e">
        <f ca="1">$E601*SUMIF(INDIRECT(Y$3),'Struktur Vorjahr'!$D601,INDIRECT(Y$8))*IFERROR(IF(VLOOKUP('Struktur Vorjahr'!$D601,INDIRECT(Y$6),8,)="H",-1,1),0)</f>
        <v>#REF!</v>
      </c>
      <c r="Z601" s="593" t="e">
        <f ca="1">$E601*SUMIF(INDIRECT(Z$3),'Struktur Vorjahr'!$D601,INDIRECT(Z$8))*IFERROR(IF(VLOOKUP('Struktur Vorjahr'!$D601,INDIRECT(Z$6),8,)="H",-1,1),0)</f>
        <v>#REF!</v>
      </c>
      <c r="AA601" s="593" t="e">
        <f ca="1">$E601*SUMIF(INDIRECT(AA$3),'Struktur Vorjahr'!$D601,INDIRECT(AA$8))*IFERROR(IF(VLOOKUP('Struktur Vorjahr'!$D601,INDIRECT(AA$6),8,)="H",-1,1),0)</f>
        <v>#REF!</v>
      </c>
      <c r="AB601" s="593" t="e">
        <f ca="1">$E601*SUMIF(INDIRECT(AB$3),'Struktur Vorjahr'!$D601,INDIRECT(AB$8))*IFERROR(IF(VLOOKUP('Struktur Vorjahr'!$D601,INDIRECT(AB$6),8,)="H",-1,1),0)</f>
        <v>#REF!</v>
      </c>
      <c r="AC601" s="593" t="e">
        <f ca="1">$E601*SUMIF(INDIRECT(AC$3),'Struktur Vorjahr'!$D601,INDIRECT(AC$8))*IFERROR(IF(VLOOKUP('Struktur Vorjahr'!$D601,INDIRECT(AC$6),8,)="H",-1,1),0)</f>
        <v>#REF!</v>
      </c>
      <c r="AD601" s="593" t="e">
        <f ca="1">$E601*SUMIF(INDIRECT(AD$3),'Struktur Vorjahr'!$D601,INDIRECT(AD$8))*IFERROR(IF(VLOOKUP('Struktur Vorjahr'!$D601,INDIRECT(AD$6),8,)="H",-1,1),0)</f>
        <v>#REF!</v>
      </c>
      <c r="AE601" s="593">
        <f t="shared" ref="AE601:AE603" ca="1" si="301">G601</f>
        <v>0</v>
      </c>
      <c r="AF601" s="593">
        <f t="shared" ref="AF601:AP603" ca="1" si="302">H601+AE601</f>
        <v>0</v>
      </c>
      <c r="AG601" s="593">
        <f t="shared" ca="1" si="302"/>
        <v>0</v>
      </c>
      <c r="AH601" s="593">
        <f t="shared" ca="1" si="302"/>
        <v>0</v>
      </c>
      <c r="AI601" s="593">
        <f t="shared" ca="1" si="302"/>
        <v>0</v>
      </c>
      <c r="AJ601" s="593">
        <f t="shared" ca="1" si="302"/>
        <v>0</v>
      </c>
      <c r="AK601" s="593">
        <f t="shared" ca="1" si="302"/>
        <v>0</v>
      </c>
      <c r="AL601" s="593">
        <f t="shared" ca="1" si="302"/>
        <v>0</v>
      </c>
      <c r="AM601" s="593">
        <f t="shared" ca="1" si="302"/>
        <v>0</v>
      </c>
      <c r="AN601" s="593">
        <f t="shared" ca="1" si="302"/>
        <v>0</v>
      </c>
      <c r="AO601" s="593">
        <f t="shared" ca="1" si="302"/>
        <v>0</v>
      </c>
      <c r="AP601" s="593">
        <f t="shared" ca="1" si="302"/>
        <v>0</v>
      </c>
    </row>
    <row r="602" spans="1:42" s="594" customFormat="1" ht="11.25" x14ac:dyDescent="0.2">
      <c r="A602" s="644"/>
      <c r="B602" s="591" t="str">
        <f>IF(D602&lt;&gt;"",
IF(ISERROR(MATCH(D602,'Ist Vorjahr Monat 01'!A:A,0))=FALSE,INDEX('Ist Vorjahr Monat 01'!B:B,MATCH(D602,'Ist Vorjahr Monat 01'!A:A,0)),
IF(ISERROR(MATCH(D602,'Ist Vorjahr Monat 02'!A:A,0))=FALSE,INDEX('Ist Vorjahr Monat 02'!B:B,MATCH(D602,'Ist Vorjahr Monat 02'!A:A,0)),
IF(ISERROR(MATCH(D602,'Ist Vorjahr Monat 03'!A:A,0))=FALSE,INDEX('Ist Vorjahr Monat 03'!B:B,MATCH(D602,'Ist Vorjahr Monat 03'!A:A,0)),
IF(ISERROR(MATCH(D602,'Ist Vorjahr Monat 04'!A:A,0))=FALSE,INDEX('Ist Vorjahr Monat 04'!B:B,MATCH(D602,'Ist Vorjahr Monat 04'!A:A,0)),
IF(ISERROR(MATCH(D602,'Ist Vorjahr Monat 05'!A:A,0))=FALSE,INDEX('Ist Vorjahr Monat 05'!B:B,MATCH(D602,'Ist Vorjahr Monat 05'!A:A,0)),
IF(ISERROR(MATCH(D602,'Ist Vorjahr Monat 06'!A:A,0))=FALSE,INDEX('Ist Vorjahr Monat 06'!B:B,MATCH(D602,'Ist Vorjahr Monat 06'!A:A,0)),
IF(ISERROR(MATCH(D602,'Ist Vorjahr Monat 07'!A:A,0))=FALSE,INDEX('Ist Vorjahr Monat 07'!B:B,MATCH(D602,'Ist Vorjahr Monat 07'!A:A,0)),
IF(ISERROR(MATCH(D602,'Ist Vorjahr Monat 08'!A:A,0))=FALSE,INDEX('Ist Vorjahr Monat 08'!B:B,MATCH(D602,'Ist Vorjahr Monat 08'!A:A,0)),
IF(ISERROR(MATCH(D602,'Ist Vorjahr Monat 09'!A:A,0))=FALSE,INDEX('Ist Vorjahr Monat 09'!B:B,MATCH(D602,'Ist Vorjahr Monat 09'!A:A,0)),
IF(ISERROR(MATCH(D602,'Ist Vorjahr Monat 10'!A:A,0))=FALSE,INDEX('Ist Vorjahr Monat 10'!B:B,MATCH(D602,'Ist Vorjahr Monat 10'!A:A,0)),
IF(ISERROR(MATCH(D602,'Ist Vorjahr Monat 11'!A:A,0))=FALSE,INDEX('Ist Vorjahr Monat 11'!B:B,MATCH(D602,'Ist Vorjahr Monat 11'!A:A,0)),
IF(ISERROR(MATCH(D602,'Ist Vorjahr Monat 12'!A:A,0))=FALSE,INDEX('Ist Vorjahr Monat 12'!B:B,MATCH(D602,'Ist Vorjahr Monat 12'!A:A,0)),
"{Konto unbekannt}"
)))))))))))),"")</f>
        <v/>
      </c>
      <c r="C602" s="1062"/>
      <c r="D602" s="1067"/>
      <c r="E602" s="625">
        <f t="shared" si="237"/>
        <v>-1</v>
      </c>
      <c r="F602" s="626" t="s">
        <v>996</v>
      </c>
      <c r="G602" s="593">
        <f ca="1">$E602*SUMIF(INDIRECT(G$3),'Struktur Vorjahr'!$D602,INDIRECT(G$8))*IFERROR(IF(VLOOKUP('Struktur Vorjahr'!$D602,INDIRECT(G$6),8,)="H",-1,1),0)</f>
        <v>0</v>
      </c>
      <c r="H602" s="593">
        <f ca="1">$E602*SUMIF(INDIRECT(H$3),'Struktur Vorjahr'!$D602,INDIRECT(H$8))*IFERROR(IF(VLOOKUP('Struktur Vorjahr'!$D602,INDIRECT(H$6),8,)="H",-1,1),0)</f>
        <v>0</v>
      </c>
      <c r="I602" s="593">
        <f ca="1">$E602*SUMIF(INDIRECT(I$3),'Struktur Vorjahr'!$D602,INDIRECT(I$8))*IFERROR(IF(VLOOKUP('Struktur Vorjahr'!$D602,INDIRECT(I$6),8,)="H",-1,1),0)</f>
        <v>0</v>
      </c>
      <c r="J602" s="593">
        <f ca="1">$E602*SUMIF(INDIRECT(J$3),'Struktur Vorjahr'!$D602,INDIRECT(J$8))*IFERROR(IF(VLOOKUP('Struktur Vorjahr'!$D602,INDIRECT(J$6),8,)="H",-1,1),0)</f>
        <v>0</v>
      </c>
      <c r="K602" s="593">
        <f ca="1">$E602*SUMIF(INDIRECT(K$3),'Struktur Vorjahr'!$D602,INDIRECT(K$8))*IFERROR(IF(VLOOKUP('Struktur Vorjahr'!$D602,INDIRECT(K$6),8,)="H",-1,1),0)</f>
        <v>0</v>
      </c>
      <c r="L602" s="593">
        <f ca="1">$E602*SUMIF(INDIRECT(L$3),'Struktur Vorjahr'!$D602,INDIRECT(L$8))*IFERROR(IF(VLOOKUP('Struktur Vorjahr'!$D602,INDIRECT(L$6),8,)="H",-1,1),0)</f>
        <v>0</v>
      </c>
      <c r="M602" s="593">
        <f ca="1">$E602*SUMIF(INDIRECT(M$3),'Struktur Vorjahr'!$D602,INDIRECT(M$8))*IFERROR(IF(VLOOKUP('Struktur Vorjahr'!$D602,INDIRECT(M$6),8,)="H",-1,1),0)</f>
        <v>0</v>
      </c>
      <c r="N602" s="593">
        <f ca="1">$E602*SUMIF(INDIRECT(N$3),'Struktur Vorjahr'!$D602,INDIRECT(N$8))*IFERROR(IF(VLOOKUP('Struktur Vorjahr'!$D602,INDIRECT(N$6),8,)="H",-1,1),0)</f>
        <v>0</v>
      </c>
      <c r="O602" s="593">
        <f ca="1">$E602*SUMIF(INDIRECT(O$3),'Struktur Vorjahr'!$D602,INDIRECT(O$8))*IFERROR(IF(VLOOKUP('Struktur Vorjahr'!$D602,INDIRECT(O$6),8,)="H",-1,1),0)</f>
        <v>0</v>
      </c>
      <c r="P602" s="593">
        <f ca="1">$E602*SUMIF(INDIRECT(P$3),'Struktur Vorjahr'!$D602,INDIRECT(P$8))*IFERROR(IF(VLOOKUP('Struktur Vorjahr'!$D602,INDIRECT(P$6),8,)="H",-1,1),0)</f>
        <v>0</v>
      </c>
      <c r="Q602" s="593">
        <f ca="1">$E602*SUMIF(INDIRECT(Q$3),'Struktur Vorjahr'!$D602,INDIRECT(Q$8))*IFERROR(IF(VLOOKUP('Struktur Vorjahr'!$D602,INDIRECT(Q$6),8,)="H",-1,1),0)</f>
        <v>0</v>
      </c>
      <c r="R602" s="593">
        <f ca="1">$E602*SUMIF(INDIRECT(R$3),'Struktur Vorjahr'!$D602,INDIRECT(R$8))*IFERROR(IF(VLOOKUP('Struktur Vorjahr'!$D602,INDIRECT(R$6),8,)="H",-1,1),0)</f>
        <v>0</v>
      </c>
      <c r="S602" s="593" t="e">
        <f ca="1">$E602*SUMIF(INDIRECT(S$3),'Struktur Vorjahr'!$D602,INDIRECT(S$8))*IFERROR(IF(VLOOKUP('Struktur Vorjahr'!$D602,INDIRECT(S$6),8,)="H",-1,1),0)</f>
        <v>#REF!</v>
      </c>
      <c r="T602" s="593" t="e">
        <f ca="1">$E602*SUMIF(INDIRECT(T$3),'Struktur Vorjahr'!$D602,INDIRECT(T$8))*IFERROR(IF(VLOOKUP('Struktur Vorjahr'!$D602,INDIRECT(T$6),8,)="H",-1,1),0)</f>
        <v>#REF!</v>
      </c>
      <c r="U602" s="593" t="e">
        <f ca="1">$E602*SUMIF(INDIRECT(U$3),'Struktur Vorjahr'!$D602,INDIRECT(U$8))*IFERROR(IF(VLOOKUP('Struktur Vorjahr'!$D602,INDIRECT(U$6),8,)="H",-1,1),0)</f>
        <v>#REF!</v>
      </c>
      <c r="V602" s="593" t="e">
        <f ca="1">$E602*SUMIF(INDIRECT(V$3),'Struktur Vorjahr'!$D602,INDIRECT(V$8))*IFERROR(IF(VLOOKUP('Struktur Vorjahr'!$D602,INDIRECT(V$6),8,)="H",-1,1),0)</f>
        <v>#REF!</v>
      </c>
      <c r="W602" s="593" t="e">
        <f ca="1">$E602*SUMIF(INDIRECT(W$3),'Struktur Vorjahr'!$D602,INDIRECT(W$8))*IFERROR(IF(VLOOKUP('Struktur Vorjahr'!$D602,INDIRECT(W$6),8,)="H",-1,1),0)</f>
        <v>#REF!</v>
      </c>
      <c r="X602" s="593" t="e">
        <f ca="1">$E602*SUMIF(INDIRECT(X$3),'Struktur Vorjahr'!$D602,INDIRECT(X$8))*IFERROR(IF(VLOOKUP('Struktur Vorjahr'!$D602,INDIRECT(X$6),8,)="H",-1,1),0)</f>
        <v>#REF!</v>
      </c>
      <c r="Y602" s="593" t="e">
        <f ca="1">$E602*SUMIF(INDIRECT(Y$3),'Struktur Vorjahr'!$D602,INDIRECT(Y$8))*IFERROR(IF(VLOOKUP('Struktur Vorjahr'!$D602,INDIRECT(Y$6),8,)="H",-1,1),0)</f>
        <v>#REF!</v>
      </c>
      <c r="Z602" s="593" t="e">
        <f ca="1">$E602*SUMIF(INDIRECT(Z$3),'Struktur Vorjahr'!$D602,INDIRECT(Z$8))*IFERROR(IF(VLOOKUP('Struktur Vorjahr'!$D602,INDIRECT(Z$6),8,)="H",-1,1),0)</f>
        <v>#REF!</v>
      </c>
      <c r="AA602" s="593" t="e">
        <f ca="1">$E602*SUMIF(INDIRECT(AA$3),'Struktur Vorjahr'!$D602,INDIRECT(AA$8))*IFERROR(IF(VLOOKUP('Struktur Vorjahr'!$D602,INDIRECT(AA$6),8,)="H",-1,1),0)</f>
        <v>#REF!</v>
      </c>
      <c r="AB602" s="593" t="e">
        <f ca="1">$E602*SUMIF(INDIRECT(AB$3),'Struktur Vorjahr'!$D602,INDIRECT(AB$8))*IFERROR(IF(VLOOKUP('Struktur Vorjahr'!$D602,INDIRECT(AB$6),8,)="H",-1,1),0)</f>
        <v>#REF!</v>
      </c>
      <c r="AC602" s="593" t="e">
        <f ca="1">$E602*SUMIF(INDIRECT(AC$3),'Struktur Vorjahr'!$D602,INDIRECT(AC$8))*IFERROR(IF(VLOOKUP('Struktur Vorjahr'!$D602,INDIRECT(AC$6),8,)="H",-1,1),0)</f>
        <v>#REF!</v>
      </c>
      <c r="AD602" s="593" t="e">
        <f ca="1">$E602*SUMIF(INDIRECT(AD$3),'Struktur Vorjahr'!$D602,INDIRECT(AD$8))*IFERROR(IF(VLOOKUP('Struktur Vorjahr'!$D602,INDIRECT(AD$6),8,)="H",-1,1),0)</f>
        <v>#REF!</v>
      </c>
      <c r="AE602" s="593">
        <f t="shared" ca="1" si="301"/>
        <v>0</v>
      </c>
      <c r="AF602" s="593">
        <f t="shared" ca="1" si="302"/>
        <v>0</v>
      </c>
      <c r="AG602" s="593">
        <f t="shared" ca="1" si="302"/>
        <v>0</v>
      </c>
      <c r="AH602" s="593">
        <f t="shared" ca="1" si="302"/>
        <v>0</v>
      </c>
      <c r="AI602" s="593">
        <f t="shared" ca="1" si="302"/>
        <v>0</v>
      </c>
      <c r="AJ602" s="593">
        <f t="shared" ca="1" si="302"/>
        <v>0</v>
      </c>
      <c r="AK602" s="593">
        <f t="shared" ca="1" si="302"/>
        <v>0</v>
      </c>
      <c r="AL602" s="593">
        <f t="shared" ca="1" si="302"/>
        <v>0</v>
      </c>
      <c r="AM602" s="593">
        <f t="shared" ca="1" si="302"/>
        <v>0</v>
      </c>
      <c r="AN602" s="593">
        <f t="shared" ca="1" si="302"/>
        <v>0</v>
      </c>
      <c r="AO602" s="593">
        <f t="shared" ca="1" si="302"/>
        <v>0</v>
      </c>
      <c r="AP602" s="593">
        <f t="shared" ca="1" si="302"/>
        <v>0</v>
      </c>
    </row>
    <row r="603" spans="1:42" s="594" customFormat="1" ht="11.25" x14ac:dyDescent="0.2">
      <c r="A603" s="644"/>
      <c r="B603" s="591" t="str">
        <f>IF(D603&lt;&gt;"",
IF(ISERROR(MATCH(D603,'Ist Vorjahr Monat 01'!A:A,0))=FALSE,INDEX('Ist Vorjahr Monat 01'!B:B,MATCH(D603,'Ist Vorjahr Monat 01'!A:A,0)),
IF(ISERROR(MATCH(D603,'Ist Vorjahr Monat 02'!A:A,0))=FALSE,INDEX('Ist Vorjahr Monat 02'!B:B,MATCH(D603,'Ist Vorjahr Monat 02'!A:A,0)),
IF(ISERROR(MATCH(D603,'Ist Vorjahr Monat 03'!A:A,0))=FALSE,INDEX('Ist Vorjahr Monat 03'!B:B,MATCH(D603,'Ist Vorjahr Monat 03'!A:A,0)),
IF(ISERROR(MATCH(D603,'Ist Vorjahr Monat 04'!A:A,0))=FALSE,INDEX('Ist Vorjahr Monat 04'!B:B,MATCH(D603,'Ist Vorjahr Monat 04'!A:A,0)),
IF(ISERROR(MATCH(D603,'Ist Vorjahr Monat 05'!A:A,0))=FALSE,INDEX('Ist Vorjahr Monat 05'!B:B,MATCH(D603,'Ist Vorjahr Monat 05'!A:A,0)),
IF(ISERROR(MATCH(D603,'Ist Vorjahr Monat 06'!A:A,0))=FALSE,INDEX('Ist Vorjahr Monat 06'!B:B,MATCH(D603,'Ist Vorjahr Monat 06'!A:A,0)),
IF(ISERROR(MATCH(D603,'Ist Vorjahr Monat 07'!A:A,0))=FALSE,INDEX('Ist Vorjahr Monat 07'!B:B,MATCH(D603,'Ist Vorjahr Monat 07'!A:A,0)),
IF(ISERROR(MATCH(D603,'Ist Vorjahr Monat 08'!A:A,0))=FALSE,INDEX('Ist Vorjahr Monat 08'!B:B,MATCH(D603,'Ist Vorjahr Monat 08'!A:A,0)),
IF(ISERROR(MATCH(D603,'Ist Vorjahr Monat 09'!A:A,0))=FALSE,INDEX('Ist Vorjahr Monat 09'!B:B,MATCH(D603,'Ist Vorjahr Monat 09'!A:A,0)),
IF(ISERROR(MATCH(D603,'Ist Vorjahr Monat 10'!A:A,0))=FALSE,INDEX('Ist Vorjahr Monat 10'!B:B,MATCH(D603,'Ist Vorjahr Monat 10'!A:A,0)),
IF(ISERROR(MATCH(D603,'Ist Vorjahr Monat 11'!A:A,0))=FALSE,INDEX('Ist Vorjahr Monat 11'!B:B,MATCH(D603,'Ist Vorjahr Monat 11'!A:A,0)),
IF(ISERROR(MATCH(D603,'Ist Vorjahr Monat 12'!A:A,0))=FALSE,INDEX('Ist Vorjahr Monat 12'!B:B,MATCH(D603,'Ist Vorjahr Monat 12'!A:A,0)),
"{Konto unbekannt}"
)))))))))))),"")</f>
        <v/>
      </c>
      <c r="C603" s="1062"/>
      <c r="D603" s="1067"/>
      <c r="E603" s="625">
        <f t="shared" si="237"/>
        <v>-1</v>
      </c>
      <c r="F603" s="626" t="s">
        <v>996</v>
      </c>
      <c r="G603" s="593">
        <f ca="1">$E603*SUMIF(INDIRECT(G$3),'Struktur Vorjahr'!$D603,INDIRECT(G$8))*IFERROR(IF(VLOOKUP('Struktur Vorjahr'!$D603,INDIRECT(G$6),8,)="H",-1,1),0)</f>
        <v>0</v>
      </c>
      <c r="H603" s="593">
        <f ca="1">$E603*SUMIF(INDIRECT(H$3),'Struktur Vorjahr'!$D603,INDIRECT(H$8))*IFERROR(IF(VLOOKUP('Struktur Vorjahr'!$D603,INDIRECT(H$6),8,)="H",-1,1),0)</f>
        <v>0</v>
      </c>
      <c r="I603" s="593">
        <f ca="1">$E603*SUMIF(INDIRECT(I$3),'Struktur Vorjahr'!$D603,INDIRECT(I$8))*IFERROR(IF(VLOOKUP('Struktur Vorjahr'!$D603,INDIRECT(I$6),8,)="H",-1,1),0)</f>
        <v>0</v>
      </c>
      <c r="J603" s="593">
        <f ca="1">$E603*SUMIF(INDIRECT(J$3),'Struktur Vorjahr'!$D603,INDIRECT(J$8))*IFERROR(IF(VLOOKUP('Struktur Vorjahr'!$D603,INDIRECT(J$6),8,)="H",-1,1),0)</f>
        <v>0</v>
      </c>
      <c r="K603" s="593">
        <f ca="1">$E603*SUMIF(INDIRECT(K$3),'Struktur Vorjahr'!$D603,INDIRECT(K$8))*IFERROR(IF(VLOOKUP('Struktur Vorjahr'!$D603,INDIRECT(K$6),8,)="H",-1,1),0)</f>
        <v>0</v>
      </c>
      <c r="L603" s="593">
        <f ca="1">$E603*SUMIF(INDIRECT(L$3),'Struktur Vorjahr'!$D603,INDIRECT(L$8))*IFERROR(IF(VLOOKUP('Struktur Vorjahr'!$D603,INDIRECT(L$6),8,)="H",-1,1),0)</f>
        <v>0</v>
      </c>
      <c r="M603" s="593">
        <f ca="1">$E603*SUMIF(INDIRECT(M$3),'Struktur Vorjahr'!$D603,INDIRECT(M$8))*IFERROR(IF(VLOOKUP('Struktur Vorjahr'!$D603,INDIRECT(M$6),8,)="H",-1,1),0)</f>
        <v>0</v>
      </c>
      <c r="N603" s="593">
        <f ca="1">$E603*SUMIF(INDIRECT(N$3),'Struktur Vorjahr'!$D603,INDIRECT(N$8))*IFERROR(IF(VLOOKUP('Struktur Vorjahr'!$D603,INDIRECT(N$6),8,)="H",-1,1),0)</f>
        <v>0</v>
      </c>
      <c r="O603" s="593">
        <f ca="1">$E603*SUMIF(INDIRECT(O$3),'Struktur Vorjahr'!$D603,INDIRECT(O$8))*IFERROR(IF(VLOOKUP('Struktur Vorjahr'!$D603,INDIRECT(O$6),8,)="H",-1,1),0)</f>
        <v>0</v>
      </c>
      <c r="P603" s="593">
        <f ca="1">$E603*SUMIF(INDIRECT(P$3),'Struktur Vorjahr'!$D603,INDIRECT(P$8))*IFERROR(IF(VLOOKUP('Struktur Vorjahr'!$D603,INDIRECT(P$6),8,)="H",-1,1),0)</f>
        <v>0</v>
      </c>
      <c r="Q603" s="593">
        <f ca="1">$E603*SUMIF(INDIRECT(Q$3),'Struktur Vorjahr'!$D603,INDIRECT(Q$8))*IFERROR(IF(VLOOKUP('Struktur Vorjahr'!$D603,INDIRECT(Q$6),8,)="H",-1,1),0)</f>
        <v>0</v>
      </c>
      <c r="R603" s="593">
        <f ca="1">$E603*SUMIF(INDIRECT(R$3),'Struktur Vorjahr'!$D603,INDIRECT(R$8))*IFERROR(IF(VLOOKUP('Struktur Vorjahr'!$D603,INDIRECT(R$6),8,)="H",-1,1),0)</f>
        <v>0</v>
      </c>
      <c r="S603" s="593" t="e">
        <f ca="1">$E603*SUMIF(INDIRECT(S$3),'Struktur Vorjahr'!$D603,INDIRECT(S$8))*IFERROR(IF(VLOOKUP('Struktur Vorjahr'!$D603,INDIRECT(S$6),8,)="H",-1,1),0)</f>
        <v>#REF!</v>
      </c>
      <c r="T603" s="593" t="e">
        <f ca="1">$E603*SUMIF(INDIRECT(T$3),'Struktur Vorjahr'!$D603,INDIRECT(T$8))*IFERROR(IF(VLOOKUP('Struktur Vorjahr'!$D603,INDIRECT(T$6),8,)="H",-1,1),0)</f>
        <v>#REF!</v>
      </c>
      <c r="U603" s="593" t="e">
        <f ca="1">$E603*SUMIF(INDIRECT(U$3),'Struktur Vorjahr'!$D603,INDIRECT(U$8))*IFERROR(IF(VLOOKUP('Struktur Vorjahr'!$D603,INDIRECT(U$6),8,)="H",-1,1),0)</f>
        <v>#REF!</v>
      </c>
      <c r="V603" s="593" t="e">
        <f ca="1">$E603*SUMIF(INDIRECT(V$3),'Struktur Vorjahr'!$D603,INDIRECT(V$8))*IFERROR(IF(VLOOKUP('Struktur Vorjahr'!$D603,INDIRECT(V$6),8,)="H",-1,1),0)</f>
        <v>#REF!</v>
      </c>
      <c r="W603" s="593" t="e">
        <f ca="1">$E603*SUMIF(INDIRECT(W$3),'Struktur Vorjahr'!$D603,INDIRECT(W$8))*IFERROR(IF(VLOOKUP('Struktur Vorjahr'!$D603,INDIRECT(W$6),8,)="H",-1,1),0)</f>
        <v>#REF!</v>
      </c>
      <c r="X603" s="593" t="e">
        <f ca="1">$E603*SUMIF(INDIRECT(X$3),'Struktur Vorjahr'!$D603,INDIRECT(X$8))*IFERROR(IF(VLOOKUP('Struktur Vorjahr'!$D603,INDIRECT(X$6),8,)="H",-1,1),0)</f>
        <v>#REF!</v>
      </c>
      <c r="Y603" s="593" t="e">
        <f ca="1">$E603*SUMIF(INDIRECT(Y$3),'Struktur Vorjahr'!$D603,INDIRECT(Y$8))*IFERROR(IF(VLOOKUP('Struktur Vorjahr'!$D603,INDIRECT(Y$6),8,)="H",-1,1),0)</f>
        <v>#REF!</v>
      </c>
      <c r="Z603" s="593" t="e">
        <f ca="1">$E603*SUMIF(INDIRECT(Z$3),'Struktur Vorjahr'!$D603,INDIRECT(Z$8))*IFERROR(IF(VLOOKUP('Struktur Vorjahr'!$D603,INDIRECT(Z$6),8,)="H",-1,1),0)</f>
        <v>#REF!</v>
      </c>
      <c r="AA603" s="593" t="e">
        <f ca="1">$E603*SUMIF(INDIRECT(AA$3),'Struktur Vorjahr'!$D603,INDIRECT(AA$8))*IFERROR(IF(VLOOKUP('Struktur Vorjahr'!$D603,INDIRECT(AA$6),8,)="H",-1,1),0)</f>
        <v>#REF!</v>
      </c>
      <c r="AB603" s="593" t="e">
        <f ca="1">$E603*SUMIF(INDIRECT(AB$3),'Struktur Vorjahr'!$D603,INDIRECT(AB$8))*IFERROR(IF(VLOOKUP('Struktur Vorjahr'!$D603,INDIRECT(AB$6),8,)="H",-1,1),0)</f>
        <v>#REF!</v>
      </c>
      <c r="AC603" s="593" t="e">
        <f ca="1">$E603*SUMIF(INDIRECT(AC$3),'Struktur Vorjahr'!$D603,INDIRECT(AC$8))*IFERROR(IF(VLOOKUP('Struktur Vorjahr'!$D603,INDIRECT(AC$6),8,)="H",-1,1),0)</f>
        <v>#REF!</v>
      </c>
      <c r="AD603" s="593" t="e">
        <f ca="1">$E603*SUMIF(INDIRECT(AD$3),'Struktur Vorjahr'!$D603,INDIRECT(AD$8))*IFERROR(IF(VLOOKUP('Struktur Vorjahr'!$D603,INDIRECT(AD$6),8,)="H",-1,1),0)</f>
        <v>#REF!</v>
      </c>
      <c r="AE603" s="593">
        <f t="shared" ca="1" si="301"/>
        <v>0</v>
      </c>
      <c r="AF603" s="593">
        <f t="shared" ca="1" si="302"/>
        <v>0</v>
      </c>
      <c r="AG603" s="593">
        <f t="shared" ca="1" si="302"/>
        <v>0</v>
      </c>
      <c r="AH603" s="593">
        <f t="shared" ca="1" si="302"/>
        <v>0</v>
      </c>
      <c r="AI603" s="593">
        <f t="shared" ca="1" si="302"/>
        <v>0</v>
      </c>
      <c r="AJ603" s="593">
        <f t="shared" ca="1" si="302"/>
        <v>0</v>
      </c>
      <c r="AK603" s="593">
        <f t="shared" ca="1" si="302"/>
        <v>0</v>
      </c>
      <c r="AL603" s="593">
        <f t="shared" ca="1" si="302"/>
        <v>0</v>
      </c>
      <c r="AM603" s="593">
        <f t="shared" ca="1" si="302"/>
        <v>0</v>
      </c>
      <c r="AN603" s="593">
        <f t="shared" ca="1" si="302"/>
        <v>0</v>
      </c>
      <c r="AO603" s="593">
        <f t="shared" ca="1" si="302"/>
        <v>0</v>
      </c>
      <c r="AP603" s="593">
        <f t="shared" ca="1" si="302"/>
        <v>0</v>
      </c>
    </row>
    <row r="604" spans="1:42" s="589" customFormat="1" x14ac:dyDescent="0.2">
      <c r="A604" s="629">
        <v>56</v>
      </c>
      <c r="B604" s="623" t="s">
        <v>348</v>
      </c>
      <c r="C604" s="627">
        <f ca="1">SUM(G604:R604)</f>
        <v>0</v>
      </c>
      <c r="D604" s="627"/>
      <c r="E604" s="628">
        <f t="shared" si="237"/>
        <v>1</v>
      </c>
      <c r="F604" s="628"/>
      <c r="G604" s="627">
        <f ca="1">SUM(G605:G608)</f>
        <v>0</v>
      </c>
      <c r="H604" s="627">
        <f t="shared" ref="H604:R604" ca="1" si="303">SUM(H605:H608)</f>
        <v>0</v>
      </c>
      <c r="I604" s="627">
        <f t="shared" ca="1" si="303"/>
        <v>0</v>
      </c>
      <c r="J604" s="627">
        <f t="shared" ca="1" si="303"/>
        <v>0</v>
      </c>
      <c r="K604" s="627">
        <f t="shared" ca="1" si="303"/>
        <v>0</v>
      </c>
      <c r="L604" s="627">
        <f t="shared" ca="1" si="303"/>
        <v>0</v>
      </c>
      <c r="M604" s="627">
        <f t="shared" ca="1" si="303"/>
        <v>0</v>
      </c>
      <c r="N604" s="627">
        <f t="shared" ca="1" si="303"/>
        <v>0</v>
      </c>
      <c r="O604" s="627">
        <f t="shared" ca="1" si="303"/>
        <v>0</v>
      </c>
      <c r="P604" s="627">
        <f t="shared" ca="1" si="303"/>
        <v>0</v>
      </c>
      <c r="Q604" s="627">
        <f t="shared" ca="1" si="303"/>
        <v>0</v>
      </c>
      <c r="R604" s="627">
        <f t="shared" ca="1" si="303"/>
        <v>0</v>
      </c>
      <c r="S604" s="627">
        <f ca="1">SUM(S605:S608)</f>
        <v>0</v>
      </c>
      <c r="T604" s="627">
        <f t="shared" ref="T604:AD604" ca="1" si="304">SUM(T605:T608)</f>
        <v>0</v>
      </c>
      <c r="U604" s="627">
        <f t="shared" ca="1" si="304"/>
        <v>0</v>
      </c>
      <c r="V604" s="627">
        <f t="shared" ca="1" si="304"/>
        <v>0</v>
      </c>
      <c r="W604" s="627">
        <f t="shared" ca="1" si="304"/>
        <v>0</v>
      </c>
      <c r="X604" s="627">
        <f t="shared" ca="1" si="304"/>
        <v>0</v>
      </c>
      <c r="Y604" s="627">
        <f t="shared" ca="1" si="304"/>
        <v>0</v>
      </c>
      <c r="Z604" s="627">
        <f t="shared" ca="1" si="304"/>
        <v>0</v>
      </c>
      <c r="AA604" s="627">
        <f t="shared" ca="1" si="304"/>
        <v>0</v>
      </c>
      <c r="AB604" s="627">
        <f t="shared" ca="1" si="304"/>
        <v>0</v>
      </c>
      <c r="AC604" s="627">
        <f t="shared" ca="1" si="304"/>
        <v>0</v>
      </c>
      <c r="AD604" s="627">
        <f t="shared" ca="1" si="304"/>
        <v>0</v>
      </c>
      <c r="AE604" s="627">
        <f ca="1">SUM(AE605:AE608)</f>
        <v>0</v>
      </c>
      <c r="AF604" s="627">
        <f t="shared" ref="AF604:AP604" ca="1" si="305">SUM(AF605:AF608)</f>
        <v>0</v>
      </c>
      <c r="AG604" s="627">
        <f t="shared" ca="1" si="305"/>
        <v>0</v>
      </c>
      <c r="AH604" s="627">
        <f t="shared" ca="1" si="305"/>
        <v>0</v>
      </c>
      <c r="AI604" s="627">
        <f t="shared" ca="1" si="305"/>
        <v>0</v>
      </c>
      <c r="AJ604" s="627">
        <f t="shared" ca="1" si="305"/>
        <v>0</v>
      </c>
      <c r="AK604" s="627">
        <f t="shared" ca="1" si="305"/>
        <v>0</v>
      </c>
      <c r="AL604" s="627">
        <f t="shared" ca="1" si="305"/>
        <v>0</v>
      </c>
      <c r="AM604" s="627">
        <f t="shared" ca="1" si="305"/>
        <v>0</v>
      </c>
      <c r="AN604" s="627">
        <f t="shared" ca="1" si="305"/>
        <v>0</v>
      </c>
      <c r="AO604" s="627">
        <f t="shared" ca="1" si="305"/>
        <v>0</v>
      </c>
      <c r="AP604" s="627">
        <f t="shared" ca="1" si="305"/>
        <v>0</v>
      </c>
    </row>
    <row r="605" spans="1:42" s="594" customFormat="1" ht="11.25" x14ac:dyDescent="0.2">
      <c r="A605" s="644"/>
      <c r="B605" s="591" t="str">
        <f>IF(D605&lt;&gt;"",
IF(ISERROR(MATCH(D605,'Ist Vorjahr Monat 01'!A:A,0))=FALSE,INDEX('Ist Vorjahr Monat 01'!B:B,MATCH(D605,'Ist Vorjahr Monat 01'!A:A,0)),
IF(ISERROR(MATCH(D605,'Ist Vorjahr Monat 02'!A:A,0))=FALSE,INDEX('Ist Vorjahr Monat 02'!B:B,MATCH(D605,'Ist Vorjahr Monat 02'!A:A,0)),
IF(ISERROR(MATCH(D605,'Ist Vorjahr Monat 03'!A:A,0))=FALSE,INDEX('Ist Vorjahr Monat 03'!B:B,MATCH(D605,'Ist Vorjahr Monat 03'!A:A,0)),
IF(ISERROR(MATCH(D605,'Ist Vorjahr Monat 04'!A:A,0))=FALSE,INDEX('Ist Vorjahr Monat 04'!B:B,MATCH(D605,'Ist Vorjahr Monat 04'!A:A,0)),
IF(ISERROR(MATCH(D605,'Ist Vorjahr Monat 05'!A:A,0))=FALSE,INDEX('Ist Vorjahr Monat 05'!B:B,MATCH(D605,'Ist Vorjahr Monat 05'!A:A,0)),
IF(ISERROR(MATCH(D605,'Ist Vorjahr Monat 06'!A:A,0))=FALSE,INDEX('Ist Vorjahr Monat 06'!B:B,MATCH(D605,'Ist Vorjahr Monat 06'!A:A,0)),
IF(ISERROR(MATCH(D605,'Ist Vorjahr Monat 07'!A:A,0))=FALSE,INDEX('Ist Vorjahr Monat 07'!B:B,MATCH(D605,'Ist Vorjahr Monat 07'!A:A,0)),
IF(ISERROR(MATCH(D605,'Ist Vorjahr Monat 08'!A:A,0))=FALSE,INDEX('Ist Vorjahr Monat 08'!B:B,MATCH(D605,'Ist Vorjahr Monat 08'!A:A,0)),
IF(ISERROR(MATCH(D605,'Ist Vorjahr Monat 09'!A:A,0))=FALSE,INDEX('Ist Vorjahr Monat 09'!B:B,MATCH(D605,'Ist Vorjahr Monat 09'!A:A,0)),
IF(ISERROR(MATCH(D605,'Ist Vorjahr Monat 10'!A:A,0))=FALSE,INDEX('Ist Vorjahr Monat 10'!B:B,MATCH(D605,'Ist Vorjahr Monat 10'!A:A,0)),
IF(ISERROR(MATCH(D605,'Ist Vorjahr Monat 11'!A:A,0))=FALSE,INDEX('Ist Vorjahr Monat 11'!B:B,MATCH(D605,'Ist Vorjahr Monat 11'!A:A,0)),
IF(ISERROR(MATCH(D605,'Ist Vorjahr Monat 12'!A:A,0))=FALSE,INDEX('Ist Vorjahr Monat 12'!B:B,MATCH(D605,'Ist Vorjahr Monat 12'!A:A,0)),
"{Konto unbekannt}"
)))))))))))),"")</f>
        <v/>
      </c>
      <c r="C605" s="1062"/>
      <c r="D605" s="1067"/>
      <c r="E605" s="625">
        <f t="shared" si="237"/>
        <v>1</v>
      </c>
      <c r="F605" s="626"/>
      <c r="G605" s="593">
        <f ca="1">$E605*(SUMIF(INDIRECT(G$3),'Struktur Vorjahr'!$D605,INDIRECT(G$7)))</f>
        <v>0</v>
      </c>
      <c r="H605" s="593">
        <f ca="1">$E605*(SUMIF(INDIRECT(H$3),'Struktur Vorjahr'!$D605,INDIRECT(H$7)))</f>
        <v>0</v>
      </c>
      <c r="I605" s="593">
        <f ca="1">$E605*(SUMIF(INDIRECT(I$3),'Struktur Vorjahr'!$D605,INDIRECT(I$7)))</f>
        <v>0</v>
      </c>
      <c r="J605" s="593">
        <f ca="1">$E605*(SUMIF(INDIRECT(J$3),'Struktur Vorjahr'!$D605,INDIRECT(J$7)))</f>
        <v>0</v>
      </c>
      <c r="K605" s="593">
        <f ca="1">$E605*(SUMIF(INDIRECT(K$3),'Struktur Vorjahr'!$D605,INDIRECT(K$7)))</f>
        <v>0</v>
      </c>
      <c r="L605" s="593">
        <f ca="1">$E605*(SUMIF(INDIRECT(L$3),'Struktur Vorjahr'!$D605,INDIRECT(L$7)))</f>
        <v>0</v>
      </c>
      <c r="M605" s="593">
        <f ca="1">$E605*(SUMIF(INDIRECT(M$3),'Struktur Vorjahr'!$D605,INDIRECT(M$7)))</f>
        <v>0</v>
      </c>
      <c r="N605" s="593">
        <f ca="1">$E605*(SUMIF(INDIRECT(N$3),'Struktur Vorjahr'!$D605,INDIRECT(N$7)))</f>
        <v>0</v>
      </c>
      <c r="O605" s="593">
        <f ca="1">$E605*(SUMIF(INDIRECT(O$3),'Struktur Vorjahr'!$D605,INDIRECT(O$7)))</f>
        <v>0</v>
      </c>
      <c r="P605" s="593">
        <f ca="1">$E605*(SUMIF(INDIRECT(P$3),'Struktur Vorjahr'!$D605,INDIRECT(P$7)))</f>
        <v>0</v>
      </c>
      <c r="Q605" s="593">
        <f ca="1">$E605*(SUMIF(INDIRECT(Q$3),'Struktur Vorjahr'!$D605,INDIRECT(Q$7)))</f>
        <v>0</v>
      </c>
      <c r="R605" s="593">
        <f ca="1">$E605*(SUMIF(INDIRECT(R$3),'Struktur Vorjahr'!$D605,INDIRECT(R$7)))</f>
        <v>0</v>
      </c>
      <c r="S605" s="593">
        <f ca="1">$E605*(SUMIF(INDIRECT(S$3),'Struktur Vorjahr'!$D605,INDIRECT(S$7)))</f>
        <v>0</v>
      </c>
      <c r="T605" s="593">
        <f ca="1">$E605*(SUMIF(INDIRECT(T$3),'Struktur Vorjahr'!$D605,INDIRECT(T$7)))</f>
        <v>0</v>
      </c>
      <c r="U605" s="593">
        <f ca="1">$E605*(SUMIF(INDIRECT(U$3),'Struktur Vorjahr'!$D605,INDIRECT(U$7)))</f>
        <v>0</v>
      </c>
      <c r="V605" s="593">
        <f ca="1">$E605*(SUMIF(INDIRECT(V$3),'Struktur Vorjahr'!$D605,INDIRECT(V$7)))</f>
        <v>0</v>
      </c>
      <c r="W605" s="593">
        <f ca="1">$E605*(SUMIF(INDIRECT(W$3),'Struktur Vorjahr'!$D605,INDIRECT(W$7)))</f>
        <v>0</v>
      </c>
      <c r="X605" s="593">
        <f ca="1">$E605*(SUMIF(INDIRECT(X$3),'Struktur Vorjahr'!$D605,INDIRECT(X$7)))</f>
        <v>0</v>
      </c>
      <c r="Y605" s="593">
        <f ca="1">$E605*(SUMIF(INDIRECT(Y$3),'Struktur Vorjahr'!$D605,INDIRECT(Y$7)))</f>
        <v>0</v>
      </c>
      <c r="Z605" s="593">
        <f ca="1">$E605*(SUMIF(INDIRECT(Z$3),'Struktur Vorjahr'!$D605,INDIRECT(Z$7)))</f>
        <v>0</v>
      </c>
      <c r="AA605" s="593">
        <f ca="1">$E605*(SUMIF(INDIRECT(AA$3),'Struktur Vorjahr'!$D605,INDIRECT(AA$7)))</f>
        <v>0</v>
      </c>
      <c r="AB605" s="593">
        <f ca="1">$E605*(SUMIF(INDIRECT(AB$3),'Struktur Vorjahr'!$D605,INDIRECT(AB$7)))</f>
        <v>0</v>
      </c>
      <c r="AC605" s="593">
        <f ca="1">$E605*(SUMIF(INDIRECT(AC$3),'Struktur Vorjahr'!$D605,INDIRECT(AC$7)))</f>
        <v>0</v>
      </c>
      <c r="AD605" s="593">
        <f ca="1">$E605*(SUMIF(INDIRECT(AD$3),'Struktur Vorjahr'!$D605,INDIRECT(AD$7)))</f>
        <v>0</v>
      </c>
      <c r="AE605" s="593">
        <f t="shared" ref="AE605:AE608" ca="1" si="306">G605</f>
        <v>0</v>
      </c>
      <c r="AF605" s="593">
        <f t="shared" ref="AF605:AP608" ca="1" si="307">H605+AE605</f>
        <v>0</v>
      </c>
      <c r="AG605" s="593">
        <f t="shared" ca="1" si="307"/>
        <v>0</v>
      </c>
      <c r="AH605" s="593">
        <f t="shared" ca="1" si="307"/>
        <v>0</v>
      </c>
      <c r="AI605" s="593">
        <f t="shared" ca="1" si="307"/>
        <v>0</v>
      </c>
      <c r="AJ605" s="593">
        <f t="shared" ca="1" si="307"/>
        <v>0</v>
      </c>
      <c r="AK605" s="593">
        <f t="shared" ca="1" si="307"/>
        <v>0</v>
      </c>
      <c r="AL605" s="593">
        <f t="shared" ca="1" si="307"/>
        <v>0</v>
      </c>
      <c r="AM605" s="593">
        <f t="shared" ca="1" si="307"/>
        <v>0</v>
      </c>
      <c r="AN605" s="593">
        <f t="shared" ca="1" si="307"/>
        <v>0</v>
      </c>
      <c r="AO605" s="593">
        <f t="shared" ca="1" si="307"/>
        <v>0</v>
      </c>
      <c r="AP605" s="593">
        <f t="shared" ca="1" si="307"/>
        <v>0</v>
      </c>
    </row>
    <row r="606" spans="1:42" s="594" customFormat="1" ht="11.25" x14ac:dyDescent="0.2">
      <c r="A606" s="644"/>
      <c r="B606" s="591" t="str">
        <f>IF(D606&lt;&gt;"",
IF(ISERROR(MATCH(D606,'Ist Vorjahr Monat 01'!A:A,0))=FALSE,INDEX('Ist Vorjahr Monat 01'!B:B,MATCH(D606,'Ist Vorjahr Monat 01'!A:A,0)),
IF(ISERROR(MATCH(D606,'Ist Vorjahr Monat 02'!A:A,0))=FALSE,INDEX('Ist Vorjahr Monat 02'!B:B,MATCH(D606,'Ist Vorjahr Monat 02'!A:A,0)),
IF(ISERROR(MATCH(D606,'Ist Vorjahr Monat 03'!A:A,0))=FALSE,INDEX('Ist Vorjahr Monat 03'!B:B,MATCH(D606,'Ist Vorjahr Monat 03'!A:A,0)),
IF(ISERROR(MATCH(D606,'Ist Vorjahr Monat 04'!A:A,0))=FALSE,INDEX('Ist Vorjahr Monat 04'!B:B,MATCH(D606,'Ist Vorjahr Monat 04'!A:A,0)),
IF(ISERROR(MATCH(D606,'Ist Vorjahr Monat 05'!A:A,0))=FALSE,INDEX('Ist Vorjahr Monat 05'!B:B,MATCH(D606,'Ist Vorjahr Monat 05'!A:A,0)),
IF(ISERROR(MATCH(D606,'Ist Vorjahr Monat 06'!A:A,0))=FALSE,INDEX('Ist Vorjahr Monat 06'!B:B,MATCH(D606,'Ist Vorjahr Monat 06'!A:A,0)),
IF(ISERROR(MATCH(D606,'Ist Vorjahr Monat 07'!A:A,0))=FALSE,INDEX('Ist Vorjahr Monat 07'!B:B,MATCH(D606,'Ist Vorjahr Monat 07'!A:A,0)),
IF(ISERROR(MATCH(D606,'Ist Vorjahr Monat 08'!A:A,0))=FALSE,INDEX('Ist Vorjahr Monat 08'!B:B,MATCH(D606,'Ist Vorjahr Monat 08'!A:A,0)),
IF(ISERROR(MATCH(D606,'Ist Vorjahr Monat 09'!A:A,0))=FALSE,INDEX('Ist Vorjahr Monat 09'!B:B,MATCH(D606,'Ist Vorjahr Monat 09'!A:A,0)),
IF(ISERROR(MATCH(D606,'Ist Vorjahr Monat 10'!A:A,0))=FALSE,INDEX('Ist Vorjahr Monat 10'!B:B,MATCH(D606,'Ist Vorjahr Monat 10'!A:A,0)),
IF(ISERROR(MATCH(D606,'Ist Vorjahr Monat 11'!A:A,0))=FALSE,INDEX('Ist Vorjahr Monat 11'!B:B,MATCH(D606,'Ist Vorjahr Monat 11'!A:A,0)),
IF(ISERROR(MATCH(D606,'Ist Vorjahr Monat 12'!A:A,0))=FALSE,INDEX('Ist Vorjahr Monat 12'!B:B,MATCH(D606,'Ist Vorjahr Monat 12'!A:A,0)),
"{Konto unbekannt}"
)))))))))))),"")</f>
        <v/>
      </c>
      <c r="C606" s="1062"/>
      <c r="D606" s="1067"/>
      <c r="E606" s="625">
        <f t="shared" si="237"/>
        <v>1</v>
      </c>
      <c r="F606" s="626"/>
      <c r="G606" s="593">
        <f ca="1">$E606*(SUMIF(INDIRECT(G$3),'Struktur Vorjahr'!$D606,INDIRECT(G$7)))</f>
        <v>0</v>
      </c>
      <c r="H606" s="593">
        <f ca="1">$E606*(SUMIF(INDIRECT(H$3),'Struktur Vorjahr'!$D606,INDIRECT(H$7)))</f>
        <v>0</v>
      </c>
      <c r="I606" s="593">
        <f ca="1">$E606*(SUMIF(INDIRECT(I$3),'Struktur Vorjahr'!$D606,INDIRECT(I$7)))</f>
        <v>0</v>
      </c>
      <c r="J606" s="593">
        <f ca="1">$E606*(SUMIF(INDIRECT(J$3),'Struktur Vorjahr'!$D606,INDIRECT(J$7)))</f>
        <v>0</v>
      </c>
      <c r="K606" s="593">
        <f ca="1">$E606*(SUMIF(INDIRECT(K$3),'Struktur Vorjahr'!$D606,INDIRECT(K$7)))</f>
        <v>0</v>
      </c>
      <c r="L606" s="593">
        <f ca="1">$E606*(SUMIF(INDIRECT(L$3),'Struktur Vorjahr'!$D606,INDIRECT(L$7)))</f>
        <v>0</v>
      </c>
      <c r="M606" s="593">
        <f ca="1">$E606*(SUMIF(INDIRECT(M$3),'Struktur Vorjahr'!$D606,INDIRECT(M$7)))</f>
        <v>0</v>
      </c>
      <c r="N606" s="593">
        <f ca="1">$E606*(SUMIF(INDIRECT(N$3),'Struktur Vorjahr'!$D606,INDIRECT(N$7)))</f>
        <v>0</v>
      </c>
      <c r="O606" s="593">
        <f ca="1">$E606*(SUMIF(INDIRECT(O$3),'Struktur Vorjahr'!$D606,INDIRECT(O$7)))</f>
        <v>0</v>
      </c>
      <c r="P606" s="593">
        <f ca="1">$E606*(SUMIF(INDIRECT(P$3),'Struktur Vorjahr'!$D606,INDIRECT(P$7)))</f>
        <v>0</v>
      </c>
      <c r="Q606" s="593">
        <f ca="1">$E606*(SUMIF(INDIRECT(Q$3),'Struktur Vorjahr'!$D606,INDIRECT(Q$7)))</f>
        <v>0</v>
      </c>
      <c r="R606" s="593">
        <f ca="1">$E606*(SUMIF(INDIRECT(R$3),'Struktur Vorjahr'!$D606,INDIRECT(R$7)))</f>
        <v>0</v>
      </c>
      <c r="S606" s="593">
        <f ca="1">$E606*(SUMIF(INDIRECT(S$3),'Struktur Vorjahr'!$D606,INDIRECT(S$7)))</f>
        <v>0</v>
      </c>
      <c r="T606" s="593">
        <f ca="1">$E606*(SUMIF(INDIRECT(T$3),'Struktur Vorjahr'!$D606,INDIRECT(T$7)))</f>
        <v>0</v>
      </c>
      <c r="U606" s="593">
        <f ca="1">$E606*(SUMIF(INDIRECT(U$3),'Struktur Vorjahr'!$D606,INDIRECT(U$7)))</f>
        <v>0</v>
      </c>
      <c r="V606" s="593">
        <f ca="1">$E606*(SUMIF(INDIRECT(V$3),'Struktur Vorjahr'!$D606,INDIRECT(V$7)))</f>
        <v>0</v>
      </c>
      <c r="W606" s="593">
        <f ca="1">$E606*(SUMIF(INDIRECT(W$3),'Struktur Vorjahr'!$D606,INDIRECT(W$7)))</f>
        <v>0</v>
      </c>
      <c r="X606" s="593">
        <f ca="1">$E606*(SUMIF(INDIRECT(X$3),'Struktur Vorjahr'!$D606,INDIRECT(X$7)))</f>
        <v>0</v>
      </c>
      <c r="Y606" s="593">
        <f ca="1">$E606*(SUMIF(INDIRECT(Y$3),'Struktur Vorjahr'!$D606,INDIRECT(Y$7)))</f>
        <v>0</v>
      </c>
      <c r="Z606" s="593">
        <f ca="1">$E606*(SUMIF(INDIRECT(Z$3),'Struktur Vorjahr'!$D606,INDIRECT(Z$7)))</f>
        <v>0</v>
      </c>
      <c r="AA606" s="593">
        <f ca="1">$E606*(SUMIF(INDIRECT(AA$3),'Struktur Vorjahr'!$D606,INDIRECT(AA$7)))</f>
        <v>0</v>
      </c>
      <c r="AB606" s="593">
        <f ca="1">$E606*(SUMIF(INDIRECT(AB$3),'Struktur Vorjahr'!$D606,INDIRECT(AB$7)))</f>
        <v>0</v>
      </c>
      <c r="AC606" s="593">
        <f ca="1">$E606*(SUMIF(INDIRECT(AC$3),'Struktur Vorjahr'!$D606,INDIRECT(AC$7)))</f>
        <v>0</v>
      </c>
      <c r="AD606" s="593">
        <f ca="1">$E606*(SUMIF(INDIRECT(AD$3),'Struktur Vorjahr'!$D606,INDIRECT(AD$7)))</f>
        <v>0</v>
      </c>
      <c r="AE606" s="593">
        <f t="shared" ca="1" si="306"/>
        <v>0</v>
      </c>
      <c r="AF606" s="593">
        <f t="shared" ca="1" si="307"/>
        <v>0</v>
      </c>
      <c r="AG606" s="593">
        <f t="shared" ca="1" si="307"/>
        <v>0</v>
      </c>
      <c r="AH606" s="593">
        <f t="shared" ca="1" si="307"/>
        <v>0</v>
      </c>
      <c r="AI606" s="593">
        <f t="shared" ca="1" si="307"/>
        <v>0</v>
      </c>
      <c r="AJ606" s="593">
        <f t="shared" ca="1" si="307"/>
        <v>0</v>
      </c>
      <c r="AK606" s="593">
        <f t="shared" ca="1" si="307"/>
        <v>0</v>
      </c>
      <c r="AL606" s="593">
        <f t="shared" ca="1" si="307"/>
        <v>0</v>
      </c>
      <c r="AM606" s="593">
        <f t="shared" ca="1" si="307"/>
        <v>0</v>
      </c>
      <c r="AN606" s="593">
        <f t="shared" ca="1" si="307"/>
        <v>0</v>
      </c>
      <c r="AO606" s="593">
        <f t="shared" ca="1" si="307"/>
        <v>0</v>
      </c>
      <c r="AP606" s="593">
        <f t="shared" ca="1" si="307"/>
        <v>0</v>
      </c>
    </row>
    <row r="607" spans="1:42" s="594" customFormat="1" ht="11.25" x14ac:dyDescent="0.2">
      <c r="A607" s="644"/>
      <c r="B607" s="591" t="str">
        <f>IF(D607&lt;&gt;"",
IF(ISERROR(MATCH(D607,'Ist Vorjahr Monat 01'!A:A,0))=FALSE,INDEX('Ist Vorjahr Monat 01'!B:B,MATCH(D607,'Ist Vorjahr Monat 01'!A:A,0)),
IF(ISERROR(MATCH(D607,'Ist Vorjahr Monat 02'!A:A,0))=FALSE,INDEX('Ist Vorjahr Monat 02'!B:B,MATCH(D607,'Ist Vorjahr Monat 02'!A:A,0)),
IF(ISERROR(MATCH(D607,'Ist Vorjahr Monat 03'!A:A,0))=FALSE,INDEX('Ist Vorjahr Monat 03'!B:B,MATCH(D607,'Ist Vorjahr Monat 03'!A:A,0)),
IF(ISERROR(MATCH(D607,'Ist Vorjahr Monat 04'!A:A,0))=FALSE,INDEX('Ist Vorjahr Monat 04'!B:B,MATCH(D607,'Ist Vorjahr Monat 04'!A:A,0)),
IF(ISERROR(MATCH(D607,'Ist Vorjahr Monat 05'!A:A,0))=FALSE,INDEX('Ist Vorjahr Monat 05'!B:B,MATCH(D607,'Ist Vorjahr Monat 05'!A:A,0)),
IF(ISERROR(MATCH(D607,'Ist Vorjahr Monat 06'!A:A,0))=FALSE,INDEX('Ist Vorjahr Monat 06'!B:B,MATCH(D607,'Ist Vorjahr Monat 06'!A:A,0)),
IF(ISERROR(MATCH(D607,'Ist Vorjahr Monat 07'!A:A,0))=FALSE,INDEX('Ist Vorjahr Monat 07'!B:B,MATCH(D607,'Ist Vorjahr Monat 07'!A:A,0)),
IF(ISERROR(MATCH(D607,'Ist Vorjahr Monat 08'!A:A,0))=FALSE,INDEX('Ist Vorjahr Monat 08'!B:B,MATCH(D607,'Ist Vorjahr Monat 08'!A:A,0)),
IF(ISERROR(MATCH(D607,'Ist Vorjahr Monat 09'!A:A,0))=FALSE,INDEX('Ist Vorjahr Monat 09'!B:B,MATCH(D607,'Ist Vorjahr Monat 09'!A:A,0)),
IF(ISERROR(MATCH(D607,'Ist Vorjahr Monat 10'!A:A,0))=FALSE,INDEX('Ist Vorjahr Monat 10'!B:B,MATCH(D607,'Ist Vorjahr Monat 10'!A:A,0)),
IF(ISERROR(MATCH(D607,'Ist Vorjahr Monat 11'!A:A,0))=FALSE,INDEX('Ist Vorjahr Monat 11'!B:B,MATCH(D607,'Ist Vorjahr Monat 11'!A:A,0)),
IF(ISERROR(MATCH(D607,'Ist Vorjahr Monat 12'!A:A,0))=FALSE,INDEX('Ist Vorjahr Monat 12'!B:B,MATCH(D607,'Ist Vorjahr Monat 12'!A:A,0)),
"{Konto unbekannt}"
)))))))))))),"")</f>
        <v/>
      </c>
      <c r="C607" s="1062"/>
      <c r="D607" s="1067"/>
      <c r="E607" s="625">
        <f t="shared" si="237"/>
        <v>1</v>
      </c>
      <c r="F607" s="626"/>
      <c r="G607" s="593">
        <f ca="1">$E607*(SUMIF(INDIRECT(G$3),'Struktur Vorjahr'!$D607,INDIRECT(G$7)))</f>
        <v>0</v>
      </c>
      <c r="H607" s="593">
        <f ca="1">$E607*(SUMIF(INDIRECT(H$3),'Struktur Vorjahr'!$D607,INDIRECT(H$7)))</f>
        <v>0</v>
      </c>
      <c r="I607" s="593">
        <f ca="1">$E607*(SUMIF(INDIRECT(I$3),'Struktur Vorjahr'!$D607,INDIRECT(I$7)))</f>
        <v>0</v>
      </c>
      <c r="J607" s="593">
        <f ca="1">$E607*(SUMIF(INDIRECT(J$3),'Struktur Vorjahr'!$D607,INDIRECT(J$7)))</f>
        <v>0</v>
      </c>
      <c r="K607" s="593">
        <f ca="1">$E607*(SUMIF(INDIRECT(K$3),'Struktur Vorjahr'!$D607,INDIRECT(K$7)))</f>
        <v>0</v>
      </c>
      <c r="L607" s="593">
        <f ca="1">$E607*(SUMIF(INDIRECT(L$3),'Struktur Vorjahr'!$D607,INDIRECT(L$7)))</f>
        <v>0</v>
      </c>
      <c r="M607" s="593">
        <f ca="1">$E607*(SUMIF(INDIRECT(M$3),'Struktur Vorjahr'!$D607,INDIRECT(M$7)))</f>
        <v>0</v>
      </c>
      <c r="N607" s="593">
        <f ca="1">$E607*(SUMIF(INDIRECT(N$3),'Struktur Vorjahr'!$D607,INDIRECT(N$7)))</f>
        <v>0</v>
      </c>
      <c r="O607" s="593">
        <f ca="1">$E607*(SUMIF(INDIRECT(O$3),'Struktur Vorjahr'!$D607,INDIRECT(O$7)))</f>
        <v>0</v>
      </c>
      <c r="P607" s="593">
        <f ca="1">$E607*(SUMIF(INDIRECT(P$3),'Struktur Vorjahr'!$D607,INDIRECT(P$7)))</f>
        <v>0</v>
      </c>
      <c r="Q607" s="593">
        <f ca="1">$E607*(SUMIF(INDIRECT(Q$3),'Struktur Vorjahr'!$D607,INDIRECT(Q$7)))</f>
        <v>0</v>
      </c>
      <c r="R607" s="593">
        <f ca="1">$E607*(SUMIF(INDIRECT(R$3),'Struktur Vorjahr'!$D607,INDIRECT(R$7)))</f>
        <v>0</v>
      </c>
      <c r="S607" s="593">
        <f ca="1">$E607*(SUMIF(INDIRECT(S$3),'Struktur Vorjahr'!$D607,INDIRECT(S$7)))</f>
        <v>0</v>
      </c>
      <c r="T607" s="593">
        <f ca="1">$E607*(SUMIF(INDIRECT(T$3),'Struktur Vorjahr'!$D607,INDIRECT(T$7)))</f>
        <v>0</v>
      </c>
      <c r="U607" s="593">
        <f ca="1">$E607*(SUMIF(INDIRECT(U$3),'Struktur Vorjahr'!$D607,INDIRECT(U$7)))</f>
        <v>0</v>
      </c>
      <c r="V607" s="593">
        <f ca="1">$E607*(SUMIF(INDIRECT(V$3),'Struktur Vorjahr'!$D607,INDIRECT(V$7)))</f>
        <v>0</v>
      </c>
      <c r="W607" s="593">
        <f ca="1">$E607*(SUMIF(INDIRECT(W$3),'Struktur Vorjahr'!$D607,INDIRECT(W$7)))</f>
        <v>0</v>
      </c>
      <c r="X607" s="593">
        <f ca="1">$E607*(SUMIF(INDIRECT(X$3),'Struktur Vorjahr'!$D607,INDIRECT(X$7)))</f>
        <v>0</v>
      </c>
      <c r="Y607" s="593">
        <f ca="1">$E607*(SUMIF(INDIRECT(Y$3),'Struktur Vorjahr'!$D607,INDIRECT(Y$7)))</f>
        <v>0</v>
      </c>
      <c r="Z607" s="593">
        <f ca="1">$E607*(SUMIF(INDIRECT(Z$3),'Struktur Vorjahr'!$D607,INDIRECT(Z$7)))</f>
        <v>0</v>
      </c>
      <c r="AA607" s="593">
        <f ca="1">$E607*(SUMIF(INDIRECT(AA$3),'Struktur Vorjahr'!$D607,INDIRECT(AA$7)))</f>
        <v>0</v>
      </c>
      <c r="AB607" s="593">
        <f ca="1">$E607*(SUMIF(INDIRECT(AB$3),'Struktur Vorjahr'!$D607,INDIRECT(AB$7)))</f>
        <v>0</v>
      </c>
      <c r="AC607" s="593">
        <f ca="1">$E607*(SUMIF(INDIRECT(AC$3),'Struktur Vorjahr'!$D607,INDIRECT(AC$7)))</f>
        <v>0</v>
      </c>
      <c r="AD607" s="593">
        <f ca="1">$E607*(SUMIF(INDIRECT(AD$3),'Struktur Vorjahr'!$D607,INDIRECT(AD$7)))</f>
        <v>0</v>
      </c>
      <c r="AE607" s="593">
        <f t="shared" ca="1" si="306"/>
        <v>0</v>
      </c>
      <c r="AF607" s="593">
        <f t="shared" ca="1" si="307"/>
        <v>0</v>
      </c>
      <c r="AG607" s="593">
        <f t="shared" ca="1" si="307"/>
        <v>0</v>
      </c>
      <c r="AH607" s="593">
        <f t="shared" ca="1" si="307"/>
        <v>0</v>
      </c>
      <c r="AI607" s="593">
        <f t="shared" ca="1" si="307"/>
        <v>0</v>
      </c>
      <c r="AJ607" s="593">
        <f t="shared" ca="1" si="307"/>
        <v>0</v>
      </c>
      <c r="AK607" s="593">
        <f t="shared" ca="1" si="307"/>
        <v>0</v>
      </c>
      <c r="AL607" s="593">
        <f t="shared" ca="1" si="307"/>
        <v>0</v>
      </c>
      <c r="AM607" s="593">
        <f t="shared" ca="1" si="307"/>
        <v>0</v>
      </c>
      <c r="AN607" s="593">
        <f t="shared" ca="1" si="307"/>
        <v>0</v>
      </c>
      <c r="AO607" s="593">
        <f t="shared" ca="1" si="307"/>
        <v>0</v>
      </c>
      <c r="AP607" s="593">
        <f t="shared" ca="1" si="307"/>
        <v>0</v>
      </c>
    </row>
    <row r="608" spans="1:42" s="594" customFormat="1" ht="11.25" x14ac:dyDescent="0.2">
      <c r="A608" s="644"/>
      <c r="B608" s="591" t="str">
        <f>IF(D608&lt;&gt;"",
IF(ISERROR(MATCH(D608,'Ist Vorjahr Monat 01'!A:A,0))=FALSE,INDEX('Ist Vorjahr Monat 01'!B:B,MATCH(D608,'Ist Vorjahr Monat 01'!A:A,0)),
IF(ISERROR(MATCH(D608,'Ist Vorjahr Monat 02'!A:A,0))=FALSE,INDEX('Ist Vorjahr Monat 02'!B:B,MATCH(D608,'Ist Vorjahr Monat 02'!A:A,0)),
IF(ISERROR(MATCH(D608,'Ist Vorjahr Monat 03'!A:A,0))=FALSE,INDEX('Ist Vorjahr Monat 03'!B:B,MATCH(D608,'Ist Vorjahr Monat 03'!A:A,0)),
IF(ISERROR(MATCH(D608,'Ist Vorjahr Monat 04'!A:A,0))=FALSE,INDEX('Ist Vorjahr Monat 04'!B:B,MATCH(D608,'Ist Vorjahr Monat 04'!A:A,0)),
IF(ISERROR(MATCH(D608,'Ist Vorjahr Monat 05'!A:A,0))=FALSE,INDEX('Ist Vorjahr Monat 05'!B:B,MATCH(D608,'Ist Vorjahr Monat 05'!A:A,0)),
IF(ISERROR(MATCH(D608,'Ist Vorjahr Monat 06'!A:A,0))=FALSE,INDEX('Ist Vorjahr Monat 06'!B:B,MATCH(D608,'Ist Vorjahr Monat 06'!A:A,0)),
IF(ISERROR(MATCH(D608,'Ist Vorjahr Monat 07'!A:A,0))=FALSE,INDEX('Ist Vorjahr Monat 07'!B:B,MATCH(D608,'Ist Vorjahr Monat 07'!A:A,0)),
IF(ISERROR(MATCH(D608,'Ist Vorjahr Monat 08'!A:A,0))=FALSE,INDEX('Ist Vorjahr Monat 08'!B:B,MATCH(D608,'Ist Vorjahr Monat 08'!A:A,0)),
IF(ISERROR(MATCH(D608,'Ist Vorjahr Monat 09'!A:A,0))=FALSE,INDEX('Ist Vorjahr Monat 09'!B:B,MATCH(D608,'Ist Vorjahr Monat 09'!A:A,0)),
IF(ISERROR(MATCH(D608,'Ist Vorjahr Monat 10'!A:A,0))=FALSE,INDEX('Ist Vorjahr Monat 10'!B:B,MATCH(D608,'Ist Vorjahr Monat 10'!A:A,0)),
IF(ISERROR(MATCH(D608,'Ist Vorjahr Monat 11'!A:A,0))=FALSE,INDEX('Ist Vorjahr Monat 11'!B:B,MATCH(D608,'Ist Vorjahr Monat 11'!A:A,0)),
IF(ISERROR(MATCH(D608,'Ist Vorjahr Monat 12'!A:A,0))=FALSE,INDEX('Ist Vorjahr Monat 12'!B:B,MATCH(D608,'Ist Vorjahr Monat 12'!A:A,0)),
"{Konto unbekannt}"
)))))))))))),"")</f>
        <v/>
      </c>
      <c r="C608" s="1062"/>
      <c r="D608" s="1067"/>
      <c r="E608" s="625">
        <f t="shared" si="237"/>
        <v>1</v>
      </c>
      <c r="F608" s="626"/>
      <c r="G608" s="593">
        <f ca="1">$E608*(SUMIF(INDIRECT(G$3),'Struktur Vorjahr'!$D608,INDIRECT(G$7)))</f>
        <v>0</v>
      </c>
      <c r="H608" s="593">
        <f ca="1">$E608*(SUMIF(INDIRECT(H$3),'Struktur Vorjahr'!$D608,INDIRECT(H$7)))</f>
        <v>0</v>
      </c>
      <c r="I608" s="593">
        <f ca="1">$E608*(SUMIF(INDIRECT(I$3),'Struktur Vorjahr'!$D608,INDIRECT(I$7)))</f>
        <v>0</v>
      </c>
      <c r="J608" s="593">
        <f ca="1">$E608*(SUMIF(INDIRECT(J$3),'Struktur Vorjahr'!$D608,INDIRECT(J$7)))</f>
        <v>0</v>
      </c>
      <c r="K608" s="593">
        <f ca="1">$E608*(SUMIF(INDIRECT(K$3),'Struktur Vorjahr'!$D608,INDIRECT(K$7)))</f>
        <v>0</v>
      </c>
      <c r="L608" s="593">
        <f ca="1">$E608*(SUMIF(INDIRECT(L$3),'Struktur Vorjahr'!$D608,INDIRECT(L$7)))</f>
        <v>0</v>
      </c>
      <c r="M608" s="593">
        <f ca="1">$E608*(SUMIF(INDIRECT(M$3),'Struktur Vorjahr'!$D608,INDIRECT(M$7)))</f>
        <v>0</v>
      </c>
      <c r="N608" s="593">
        <f ca="1">$E608*(SUMIF(INDIRECT(N$3),'Struktur Vorjahr'!$D608,INDIRECT(N$7)))</f>
        <v>0</v>
      </c>
      <c r="O608" s="593">
        <f ca="1">$E608*(SUMIF(INDIRECT(O$3),'Struktur Vorjahr'!$D608,INDIRECT(O$7)))</f>
        <v>0</v>
      </c>
      <c r="P608" s="593">
        <f ca="1">$E608*(SUMIF(INDIRECT(P$3),'Struktur Vorjahr'!$D608,INDIRECT(P$7)))</f>
        <v>0</v>
      </c>
      <c r="Q608" s="593">
        <f ca="1">$E608*(SUMIF(INDIRECT(Q$3),'Struktur Vorjahr'!$D608,INDIRECT(Q$7)))</f>
        <v>0</v>
      </c>
      <c r="R608" s="593">
        <f ca="1">$E608*(SUMIF(INDIRECT(R$3),'Struktur Vorjahr'!$D608,INDIRECT(R$7)))</f>
        <v>0</v>
      </c>
      <c r="S608" s="593">
        <f ca="1">$E608*(SUMIF(INDIRECT(S$3),'Struktur Vorjahr'!$D608,INDIRECT(S$7)))</f>
        <v>0</v>
      </c>
      <c r="T608" s="593">
        <f ca="1">$E608*(SUMIF(INDIRECT(T$3),'Struktur Vorjahr'!$D608,INDIRECT(T$7)))</f>
        <v>0</v>
      </c>
      <c r="U608" s="593">
        <f ca="1">$E608*(SUMIF(INDIRECT(U$3),'Struktur Vorjahr'!$D608,INDIRECT(U$7)))</f>
        <v>0</v>
      </c>
      <c r="V608" s="593">
        <f ca="1">$E608*(SUMIF(INDIRECT(V$3),'Struktur Vorjahr'!$D608,INDIRECT(V$7)))</f>
        <v>0</v>
      </c>
      <c r="W608" s="593">
        <f ca="1">$E608*(SUMIF(INDIRECT(W$3),'Struktur Vorjahr'!$D608,INDIRECT(W$7)))</f>
        <v>0</v>
      </c>
      <c r="X608" s="593">
        <f ca="1">$E608*(SUMIF(INDIRECT(X$3),'Struktur Vorjahr'!$D608,INDIRECT(X$7)))</f>
        <v>0</v>
      </c>
      <c r="Y608" s="593">
        <f ca="1">$E608*(SUMIF(INDIRECT(Y$3),'Struktur Vorjahr'!$D608,INDIRECT(Y$7)))</f>
        <v>0</v>
      </c>
      <c r="Z608" s="593">
        <f ca="1">$E608*(SUMIF(INDIRECT(Z$3),'Struktur Vorjahr'!$D608,INDIRECT(Z$7)))</f>
        <v>0</v>
      </c>
      <c r="AA608" s="593">
        <f ca="1">$E608*(SUMIF(INDIRECT(AA$3),'Struktur Vorjahr'!$D608,INDIRECT(AA$7)))</f>
        <v>0</v>
      </c>
      <c r="AB608" s="593">
        <f ca="1">$E608*(SUMIF(INDIRECT(AB$3),'Struktur Vorjahr'!$D608,INDIRECT(AB$7)))</f>
        <v>0</v>
      </c>
      <c r="AC608" s="593">
        <f ca="1">$E608*(SUMIF(INDIRECT(AC$3),'Struktur Vorjahr'!$D608,INDIRECT(AC$7)))</f>
        <v>0</v>
      </c>
      <c r="AD608" s="593">
        <f ca="1">$E608*(SUMIF(INDIRECT(AD$3),'Struktur Vorjahr'!$D608,INDIRECT(AD$7)))</f>
        <v>0</v>
      </c>
      <c r="AE608" s="593">
        <f t="shared" ca="1" si="306"/>
        <v>0</v>
      </c>
      <c r="AF608" s="593">
        <f t="shared" ca="1" si="307"/>
        <v>0</v>
      </c>
      <c r="AG608" s="593">
        <f t="shared" ca="1" si="307"/>
        <v>0</v>
      </c>
      <c r="AH608" s="593">
        <f t="shared" ca="1" si="307"/>
        <v>0</v>
      </c>
      <c r="AI608" s="593">
        <f t="shared" ca="1" si="307"/>
        <v>0</v>
      </c>
      <c r="AJ608" s="593">
        <f t="shared" ca="1" si="307"/>
        <v>0</v>
      </c>
      <c r="AK608" s="593">
        <f t="shared" ca="1" si="307"/>
        <v>0</v>
      </c>
      <c r="AL608" s="593">
        <f t="shared" ca="1" si="307"/>
        <v>0</v>
      </c>
      <c r="AM608" s="593">
        <f t="shared" ca="1" si="307"/>
        <v>0</v>
      </c>
      <c r="AN608" s="593">
        <f t="shared" ca="1" si="307"/>
        <v>0</v>
      </c>
      <c r="AO608" s="593">
        <f t="shared" ca="1" si="307"/>
        <v>0</v>
      </c>
      <c r="AP608" s="593">
        <f t="shared" ca="1" si="307"/>
        <v>0</v>
      </c>
    </row>
    <row r="609" spans="1:42" s="589" customFormat="1" x14ac:dyDescent="0.2">
      <c r="A609" s="629">
        <v>60</v>
      </c>
      <c r="B609" s="623" t="s">
        <v>53</v>
      </c>
      <c r="C609" s="627">
        <f ca="1">SUM(G609:R609)</f>
        <v>0</v>
      </c>
      <c r="D609" s="627"/>
      <c r="E609" s="628">
        <f t="shared" ref="E609:E618" si="308">IF(F609="-",-1,1)</f>
        <v>1</v>
      </c>
      <c r="F609" s="628"/>
      <c r="G609" s="627">
        <f ca="1">SUM(G610:G613)</f>
        <v>0</v>
      </c>
      <c r="H609" s="627">
        <f t="shared" ref="H609:R609" ca="1" si="309">SUM(H610:H613)</f>
        <v>0</v>
      </c>
      <c r="I609" s="627">
        <f t="shared" ca="1" si="309"/>
        <v>0</v>
      </c>
      <c r="J609" s="627">
        <f t="shared" ca="1" si="309"/>
        <v>0</v>
      </c>
      <c r="K609" s="627">
        <f t="shared" ca="1" si="309"/>
        <v>0</v>
      </c>
      <c r="L609" s="627">
        <f t="shared" ca="1" si="309"/>
        <v>0</v>
      </c>
      <c r="M609" s="627">
        <f t="shared" ca="1" si="309"/>
        <v>0</v>
      </c>
      <c r="N609" s="627">
        <f t="shared" ca="1" si="309"/>
        <v>0</v>
      </c>
      <c r="O609" s="627">
        <f t="shared" ca="1" si="309"/>
        <v>0</v>
      </c>
      <c r="P609" s="627">
        <f t="shared" ca="1" si="309"/>
        <v>0</v>
      </c>
      <c r="Q609" s="627">
        <f t="shared" ca="1" si="309"/>
        <v>0</v>
      </c>
      <c r="R609" s="627">
        <f t="shared" ca="1" si="309"/>
        <v>0</v>
      </c>
      <c r="S609" s="627">
        <f ca="1">SUM(S610:S613)</f>
        <v>0</v>
      </c>
      <c r="T609" s="627">
        <f t="shared" ref="T609:AD609" ca="1" si="310">SUM(T610:T613)</f>
        <v>0</v>
      </c>
      <c r="U609" s="627">
        <f t="shared" ca="1" si="310"/>
        <v>0</v>
      </c>
      <c r="V609" s="627">
        <f t="shared" ca="1" si="310"/>
        <v>0</v>
      </c>
      <c r="W609" s="627">
        <f t="shared" ca="1" si="310"/>
        <v>0</v>
      </c>
      <c r="X609" s="627">
        <f t="shared" ca="1" si="310"/>
        <v>0</v>
      </c>
      <c r="Y609" s="627">
        <f t="shared" ca="1" si="310"/>
        <v>0</v>
      </c>
      <c r="Z609" s="627">
        <f t="shared" ca="1" si="310"/>
        <v>0</v>
      </c>
      <c r="AA609" s="627">
        <f t="shared" ca="1" si="310"/>
        <v>0</v>
      </c>
      <c r="AB609" s="627">
        <f t="shared" ca="1" si="310"/>
        <v>0</v>
      </c>
      <c r="AC609" s="627">
        <f t="shared" ca="1" si="310"/>
        <v>0</v>
      </c>
      <c r="AD609" s="627">
        <f t="shared" ca="1" si="310"/>
        <v>0</v>
      </c>
      <c r="AE609" s="627">
        <f ca="1">SUM(AE610:AE613)</f>
        <v>0</v>
      </c>
      <c r="AF609" s="627">
        <f t="shared" ref="AF609:AP609" ca="1" si="311">SUM(AF610:AF613)</f>
        <v>0</v>
      </c>
      <c r="AG609" s="627">
        <f t="shared" ca="1" si="311"/>
        <v>0</v>
      </c>
      <c r="AH609" s="627">
        <f t="shared" ca="1" si="311"/>
        <v>0</v>
      </c>
      <c r="AI609" s="627">
        <f t="shared" ca="1" si="311"/>
        <v>0</v>
      </c>
      <c r="AJ609" s="627">
        <f t="shared" ca="1" si="311"/>
        <v>0</v>
      </c>
      <c r="AK609" s="627">
        <f t="shared" ca="1" si="311"/>
        <v>0</v>
      </c>
      <c r="AL609" s="627">
        <f t="shared" ca="1" si="311"/>
        <v>0</v>
      </c>
      <c r="AM609" s="627">
        <f t="shared" ca="1" si="311"/>
        <v>0</v>
      </c>
      <c r="AN609" s="627">
        <f t="shared" ca="1" si="311"/>
        <v>0</v>
      </c>
      <c r="AO609" s="627">
        <f t="shared" ca="1" si="311"/>
        <v>0</v>
      </c>
      <c r="AP609" s="627">
        <f t="shared" ca="1" si="311"/>
        <v>0</v>
      </c>
    </row>
    <row r="610" spans="1:42" s="594" customFormat="1" ht="11.25" x14ac:dyDescent="0.2">
      <c r="A610" s="644"/>
      <c r="B610" s="591" t="str">
        <f>IF(D610&lt;&gt;"",
IF(ISERROR(MATCH(D610,'Ist Vorjahr Monat 01'!A:A,0))=FALSE,INDEX('Ist Vorjahr Monat 01'!B:B,MATCH(D610,'Ist Vorjahr Monat 01'!A:A,0)),
IF(ISERROR(MATCH(D610,'Ist Vorjahr Monat 02'!A:A,0))=FALSE,INDEX('Ist Vorjahr Monat 02'!B:B,MATCH(D610,'Ist Vorjahr Monat 02'!A:A,0)),
IF(ISERROR(MATCH(D610,'Ist Vorjahr Monat 03'!A:A,0))=FALSE,INDEX('Ist Vorjahr Monat 03'!B:B,MATCH(D610,'Ist Vorjahr Monat 03'!A:A,0)),
IF(ISERROR(MATCH(D610,'Ist Vorjahr Monat 04'!A:A,0))=FALSE,INDEX('Ist Vorjahr Monat 04'!B:B,MATCH(D610,'Ist Vorjahr Monat 04'!A:A,0)),
IF(ISERROR(MATCH(D610,'Ist Vorjahr Monat 05'!A:A,0))=FALSE,INDEX('Ist Vorjahr Monat 05'!B:B,MATCH(D610,'Ist Vorjahr Monat 05'!A:A,0)),
IF(ISERROR(MATCH(D610,'Ist Vorjahr Monat 06'!A:A,0))=FALSE,INDEX('Ist Vorjahr Monat 06'!B:B,MATCH(D610,'Ist Vorjahr Monat 06'!A:A,0)),
IF(ISERROR(MATCH(D610,'Ist Vorjahr Monat 07'!A:A,0))=FALSE,INDEX('Ist Vorjahr Monat 07'!B:B,MATCH(D610,'Ist Vorjahr Monat 07'!A:A,0)),
IF(ISERROR(MATCH(D610,'Ist Vorjahr Monat 08'!A:A,0))=FALSE,INDEX('Ist Vorjahr Monat 08'!B:B,MATCH(D610,'Ist Vorjahr Monat 08'!A:A,0)),
IF(ISERROR(MATCH(D610,'Ist Vorjahr Monat 09'!A:A,0))=FALSE,INDEX('Ist Vorjahr Monat 09'!B:B,MATCH(D610,'Ist Vorjahr Monat 09'!A:A,0)),
IF(ISERROR(MATCH(D610,'Ist Vorjahr Monat 10'!A:A,0))=FALSE,INDEX('Ist Vorjahr Monat 10'!B:B,MATCH(D610,'Ist Vorjahr Monat 10'!A:A,0)),
IF(ISERROR(MATCH(D610,'Ist Vorjahr Monat 11'!A:A,0))=FALSE,INDEX('Ist Vorjahr Monat 11'!B:B,MATCH(D610,'Ist Vorjahr Monat 11'!A:A,0)),
IF(ISERROR(MATCH(D610,'Ist Vorjahr Monat 12'!A:A,0))=FALSE,INDEX('Ist Vorjahr Monat 12'!B:B,MATCH(D610,'Ist Vorjahr Monat 12'!A:A,0)),
"{Konto unbekannt}"
)))))))))))),"")</f>
        <v/>
      </c>
      <c r="C610" s="1062"/>
      <c r="D610" s="1067"/>
      <c r="E610" s="625">
        <f t="shared" si="308"/>
        <v>1</v>
      </c>
      <c r="F610" s="626"/>
      <c r="G610" s="593">
        <f ca="1">$E610*(SUMIF(INDIRECT(G$3),'Struktur Vorjahr'!$D610,INDIRECT(G$7)))</f>
        <v>0</v>
      </c>
      <c r="H610" s="593">
        <f ca="1">$E610*(SUMIF(INDIRECT(H$3),'Struktur Vorjahr'!$D610,INDIRECT(H$7)))</f>
        <v>0</v>
      </c>
      <c r="I610" s="593">
        <f ca="1">$E610*(SUMIF(INDIRECT(I$3),'Struktur Vorjahr'!$D610,INDIRECT(I$7)))</f>
        <v>0</v>
      </c>
      <c r="J610" s="593">
        <f ca="1">$E610*(SUMIF(INDIRECT(J$3),'Struktur Vorjahr'!$D610,INDIRECT(J$7)))</f>
        <v>0</v>
      </c>
      <c r="K610" s="593">
        <f ca="1">$E610*(SUMIF(INDIRECT(K$3),'Struktur Vorjahr'!$D610,INDIRECT(K$7)))</f>
        <v>0</v>
      </c>
      <c r="L610" s="593">
        <f ca="1">$E610*(SUMIF(INDIRECT(L$3),'Struktur Vorjahr'!$D610,INDIRECT(L$7)))</f>
        <v>0</v>
      </c>
      <c r="M610" s="593">
        <f ca="1">$E610*(SUMIF(INDIRECT(M$3),'Struktur Vorjahr'!$D610,INDIRECT(M$7)))</f>
        <v>0</v>
      </c>
      <c r="N610" s="593">
        <f ca="1">$E610*(SUMIF(INDIRECT(N$3),'Struktur Vorjahr'!$D610,INDIRECT(N$7)))</f>
        <v>0</v>
      </c>
      <c r="O610" s="593">
        <f ca="1">$E610*(SUMIF(INDIRECT(O$3),'Struktur Vorjahr'!$D610,INDIRECT(O$7)))</f>
        <v>0</v>
      </c>
      <c r="P610" s="593">
        <f ca="1">$E610*(SUMIF(INDIRECT(P$3),'Struktur Vorjahr'!$D610,INDIRECT(P$7)))</f>
        <v>0</v>
      </c>
      <c r="Q610" s="593">
        <f ca="1">$E610*(SUMIF(INDIRECT(Q$3),'Struktur Vorjahr'!$D610,INDIRECT(Q$7)))</f>
        <v>0</v>
      </c>
      <c r="R610" s="593">
        <f ca="1">$E610*(SUMIF(INDIRECT(R$3),'Struktur Vorjahr'!$D610,INDIRECT(R$7)))</f>
        <v>0</v>
      </c>
      <c r="S610" s="593">
        <f ca="1">$E610*(SUMIF(INDIRECT(S$3),'Struktur Vorjahr'!$D610,INDIRECT(S$7)))</f>
        <v>0</v>
      </c>
      <c r="T610" s="593">
        <f ca="1">$E610*(SUMIF(INDIRECT(T$3),'Struktur Vorjahr'!$D610,INDIRECT(T$7)))</f>
        <v>0</v>
      </c>
      <c r="U610" s="593">
        <f ca="1">$E610*(SUMIF(INDIRECT(U$3),'Struktur Vorjahr'!$D610,INDIRECT(U$7)))</f>
        <v>0</v>
      </c>
      <c r="V610" s="593">
        <f ca="1">$E610*(SUMIF(INDIRECT(V$3),'Struktur Vorjahr'!$D610,INDIRECT(V$7)))</f>
        <v>0</v>
      </c>
      <c r="W610" s="593">
        <f ca="1">$E610*(SUMIF(INDIRECT(W$3),'Struktur Vorjahr'!$D610,INDIRECT(W$7)))</f>
        <v>0</v>
      </c>
      <c r="X610" s="593">
        <f ca="1">$E610*(SUMIF(INDIRECT(X$3),'Struktur Vorjahr'!$D610,INDIRECT(X$7)))</f>
        <v>0</v>
      </c>
      <c r="Y610" s="593">
        <f ca="1">$E610*(SUMIF(INDIRECT(Y$3),'Struktur Vorjahr'!$D610,INDIRECT(Y$7)))</f>
        <v>0</v>
      </c>
      <c r="Z610" s="593">
        <f ca="1">$E610*(SUMIF(INDIRECT(Z$3),'Struktur Vorjahr'!$D610,INDIRECT(Z$7)))</f>
        <v>0</v>
      </c>
      <c r="AA610" s="593">
        <f ca="1">$E610*(SUMIF(INDIRECT(AA$3),'Struktur Vorjahr'!$D610,INDIRECT(AA$7)))</f>
        <v>0</v>
      </c>
      <c r="AB610" s="593">
        <f ca="1">$E610*(SUMIF(INDIRECT(AB$3),'Struktur Vorjahr'!$D610,INDIRECT(AB$7)))</f>
        <v>0</v>
      </c>
      <c r="AC610" s="593">
        <f ca="1">$E610*(SUMIF(INDIRECT(AC$3),'Struktur Vorjahr'!$D610,INDIRECT(AC$7)))</f>
        <v>0</v>
      </c>
      <c r="AD610" s="593">
        <f ca="1">$E610*(SUMIF(INDIRECT(AD$3),'Struktur Vorjahr'!$D610,INDIRECT(AD$7)))</f>
        <v>0</v>
      </c>
      <c r="AE610" s="593">
        <f t="shared" ref="AE610:AE613" ca="1" si="312">G610</f>
        <v>0</v>
      </c>
      <c r="AF610" s="593">
        <f t="shared" ref="AF610:AF613" ca="1" si="313">H610+AE610</f>
        <v>0</v>
      </c>
      <c r="AG610" s="593">
        <f t="shared" ref="AG610:AG613" ca="1" si="314">I610+AF610</f>
        <v>0</v>
      </c>
      <c r="AH610" s="593">
        <f t="shared" ref="AH610:AH613" ca="1" si="315">J610+AG610</f>
        <v>0</v>
      </c>
      <c r="AI610" s="593">
        <f t="shared" ref="AI610:AI613" ca="1" si="316">K610+AH610</f>
        <v>0</v>
      </c>
      <c r="AJ610" s="593">
        <f t="shared" ref="AJ610:AJ613" ca="1" si="317">L610+AI610</f>
        <v>0</v>
      </c>
      <c r="AK610" s="593">
        <f t="shared" ref="AK610:AK613" ca="1" si="318">M610+AJ610</f>
        <v>0</v>
      </c>
      <c r="AL610" s="593">
        <f t="shared" ref="AL610:AL613" ca="1" si="319">N610+AK610</f>
        <v>0</v>
      </c>
      <c r="AM610" s="593">
        <f t="shared" ref="AM610:AM613" ca="1" si="320">O610+AL610</f>
        <v>0</v>
      </c>
      <c r="AN610" s="593">
        <f t="shared" ref="AN610:AN613" ca="1" si="321">P610+AM610</f>
        <v>0</v>
      </c>
      <c r="AO610" s="593">
        <f t="shared" ref="AO610:AO613" ca="1" si="322">Q610+AN610</f>
        <v>0</v>
      </c>
      <c r="AP610" s="593">
        <f t="shared" ref="AP610:AP613" ca="1" si="323">R610+AO610</f>
        <v>0</v>
      </c>
    </row>
    <row r="611" spans="1:42" s="594" customFormat="1" ht="11.25" x14ac:dyDescent="0.2">
      <c r="A611" s="644"/>
      <c r="B611" s="591" t="str">
        <f>IF(D611&lt;&gt;"",
IF(ISERROR(MATCH(D611,'Ist Vorjahr Monat 01'!A:A,0))=FALSE,INDEX('Ist Vorjahr Monat 01'!B:B,MATCH(D611,'Ist Vorjahr Monat 01'!A:A,0)),
IF(ISERROR(MATCH(D611,'Ist Vorjahr Monat 02'!A:A,0))=FALSE,INDEX('Ist Vorjahr Monat 02'!B:B,MATCH(D611,'Ist Vorjahr Monat 02'!A:A,0)),
IF(ISERROR(MATCH(D611,'Ist Vorjahr Monat 03'!A:A,0))=FALSE,INDEX('Ist Vorjahr Monat 03'!B:B,MATCH(D611,'Ist Vorjahr Monat 03'!A:A,0)),
IF(ISERROR(MATCH(D611,'Ist Vorjahr Monat 04'!A:A,0))=FALSE,INDEX('Ist Vorjahr Monat 04'!B:B,MATCH(D611,'Ist Vorjahr Monat 04'!A:A,0)),
IF(ISERROR(MATCH(D611,'Ist Vorjahr Monat 05'!A:A,0))=FALSE,INDEX('Ist Vorjahr Monat 05'!B:B,MATCH(D611,'Ist Vorjahr Monat 05'!A:A,0)),
IF(ISERROR(MATCH(D611,'Ist Vorjahr Monat 06'!A:A,0))=FALSE,INDEX('Ist Vorjahr Monat 06'!B:B,MATCH(D611,'Ist Vorjahr Monat 06'!A:A,0)),
IF(ISERROR(MATCH(D611,'Ist Vorjahr Monat 07'!A:A,0))=FALSE,INDEX('Ist Vorjahr Monat 07'!B:B,MATCH(D611,'Ist Vorjahr Monat 07'!A:A,0)),
IF(ISERROR(MATCH(D611,'Ist Vorjahr Monat 08'!A:A,0))=FALSE,INDEX('Ist Vorjahr Monat 08'!B:B,MATCH(D611,'Ist Vorjahr Monat 08'!A:A,0)),
IF(ISERROR(MATCH(D611,'Ist Vorjahr Monat 09'!A:A,0))=FALSE,INDEX('Ist Vorjahr Monat 09'!B:B,MATCH(D611,'Ist Vorjahr Monat 09'!A:A,0)),
IF(ISERROR(MATCH(D611,'Ist Vorjahr Monat 10'!A:A,0))=FALSE,INDEX('Ist Vorjahr Monat 10'!B:B,MATCH(D611,'Ist Vorjahr Monat 10'!A:A,0)),
IF(ISERROR(MATCH(D611,'Ist Vorjahr Monat 11'!A:A,0))=FALSE,INDEX('Ist Vorjahr Monat 11'!B:B,MATCH(D611,'Ist Vorjahr Monat 11'!A:A,0)),
IF(ISERROR(MATCH(D611,'Ist Vorjahr Monat 12'!A:A,0))=FALSE,INDEX('Ist Vorjahr Monat 12'!B:B,MATCH(D611,'Ist Vorjahr Monat 12'!A:A,0)),
"{Konto unbekannt}"
)))))))))))),"")</f>
        <v/>
      </c>
      <c r="C611" s="1062"/>
      <c r="D611" s="1067"/>
      <c r="E611" s="625">
        <f t="shared" si="308"/>
        <v>1</v>
      </c>
      <c r="F611" s="626"/>
      <c r="G611" s="593">
        <f ca="1">$E611*(SUMIF(INDIRECT(G$3),'Struktur Vorjahr'!$D611,INDIRECT(G$7)))</f>
        <v>0</v>
      </c>
      <c r="H611" s="593">
        <f ca="1">$E611*(SUMIF(INDIRECT(H$3),'Struktur Vorjahr'!$D611,INDIRECT(H$7)))</f>
        <v>0</v>
      </c>
      <c r="I611" s="593">
        <f ca="1">$E611*(SUMIF(INDIRECT(I$3),'Struktur Vorjahr'!$D611,INDIRECT(I$7)))</f>
        <v>0</v>
      </c>
      <c r="J611" s="593">
        <f ca="1">$E611*(SUMIF(INDIRECT(J$3),'Struktur Vorjahr'!$D611,INDIRECT(J$7)))</f>
        <v>0</v>
      </c>
      <c r="K611" s="593">
        <f ca="1">$E611*(SUMIF(INDIRECT(K$3),'Struktur Vorjahr'!$D611,INDIRECT(K$7)))</f>
        <v>0</v>
      </c>
      <c r="L611" s="593">
        <f ca="1">$E611*(SUMIF(INDIRECT(L$3),'Struktur Vorjahr'!$D611,INDIRECT(L$7)))</f>
        <v>0</v>
      </c>
      <c r="M611" s="593">
        <f ca="1">$E611*(SUMIF(INDIRECT(M$3),'Struktur Vorjahr'!$D611,INDIRECT(M$7)))</f>
        <v>0</v>
      </c>
      <c r="N611" s="593">
        <f ca="1">$E611*(SUMIF(INDIRECT(N$3),'Struktur Vorjahr'!$D611,INDIRECT(N$7)))</f>
        <v>0</v>
      </c>
      <c r="O611" s="593">
        <f ca="1">$E611*(SUMIF(INDIRECT(O$3),'Struktur Vorjahr'!$D611,INDIRECT(O$7)))</f>
        <v>0</v>
      </c>
      <c r="P611" s="593">
        <f ca="1">$E611*(SUMIF(INDIRECT(P$3),'Struktur Vorjahr'!$D611,INDIRECT(P$7)))</f>
        <v>0</v>
      </c>
      <c r="Q611" s="593">
        <f ca="1">$E611*(SUMIF(INDIRECT(Q$3),'Struktur Vorjahr'!$D611,INDIRECT(Q$7)))</f>
        <v>0</v>
      </c>
      <c r="R611" s="593">
        <f ca="1">$E611*(SUMIF(INDIRECT(R$3),'Struktur Vorjahr'!$D611,INDIRECT(R$7)))</f>
        <v>0</v>
      </c>
      <c r="S611" s="593">
        <f ca="1">$E611*(SUMIF(INDIRECT(S$3),'Struktur Vorjahr'!$D611,INDIRECT(S$7)))</f>
        <v>0</v>
      </c>
      <c r="T611" s="593">
        <f ca="1">$E611*(SUMIF(INDIRECT(T$3),'Struktur Vorjahr'!$D611,INDIRECT(T$7)))</f>
        <v>0</v>
      </c>
      <c r="U611" s="593">
        <f ca="1">$E611*(SUMIF(INDIRECT(U$3),'Struktur Vorjahr'!$D611,INDIRECT(U$7)))</f>
        <v>0</v>
      </c>
      <c r="V611" s="593">
        <f ca="1">$E611*(SUMIF(INDIRECT(V$3),'Struktur Vorjahr'!$D611,INDIRECT(V$7)))</f>
        <v>0</v>
      </c>
      <c r="W611" s="593">
        <f ca="1">$E611*(SUMIF(INDIRECT(W$3),'Struktur Vorjahr'!$D611,INDIRECT(W$7)))</f>
        <v>0</v>
      </c>
      <c r="X611" s="593">
        <f ca="1">$E611*(SUMIF(INDIRECT(X$3),'Struktur Vorjahr'!$D611,INDIRECT(X$7)))</f>
        <v>0</v>
      </c>
      <c r="Y611" s="593">
        <f ca="1">$E611*(SUMIF(INDIRECT(Y$3),'Struktur Vorjahr'!$D611,INDIRECT(Y$7)))</f>
        <v>0</v>
      </c>
      <c r="Z611" s="593">
        <f ca="1">$E611*(SUMIF(INDIRECT(Z$3),'Struktur Vorjahr'!$D611,INDIRECT(Z$7)))</f>
        <v>0</v>
      </c>
      <c r="AA611" s="593">
        <f ca="1">$E611*(SUMIF(INDIRECT(AA$3),'Struktur Vorjahr'!$D611,INDIRECT(AA$7)))</f>
        <v>0</v>
      </c>
      <c r="AB611" s="593">
        <f ca="1">$E611*(SUMIF(INDIRECT(AB$3),'Struktur Vorjahr'!$D611,INDIRECT(AB$7)))</f>
        <v>0</v>
      </c>
      <c r="AC611" s="593">
        <f ca="1">$E611*(SUMIF(INDIRECT(AC$3),'Struktur Vorjahr'!$D611,INDIRECT(AC$7)))</f>
        <v>0</v>
      </c>
      <c r="AD611" s="593">
        <f ca="1">$E611*(SUMIF(INDIRECT(AD$3),'Struktur Vorjahr'!$D611,INDIRECT(AD$7)))</f>
        <v>0</v>
      </c>
      <c r="AE611" s="593">
        <f t="shared" ca="1" si="312"/>
        <v>0</v>
      </c>
      <c r="AF611" s="593">
        <f t="shared" ca="1" si="313"/>
        <v>0</v>
      </c>
      <c r="AG611" s="593">
        <f t="shared" ca="1" si="314"/>
        <v>0</v>
      </c>
      <c r="AH611" s="593">
        <f t="shared" ca="1" si="315"/>
        <v>0</v>
      </c>
      <c r="AI611" s="593">
        <f t="shared" ca="1" si="316"/>
        <v>0</v>
      </c>
      <c r="AJ611" s="593">
        <f t="shared" ca="1" si="317"/>
        <v>0</v>
      </c>
      <c r="AK611" s="593">
        <f t="shared" ca="1" si="318"/>
        <v>0</v>
      </c>
      <c r="AL611" s="593">
        <f t="shared" ca="1" si="319"/>
        <v>0</v>
      </c>
      <c r="AM611" s="593">
        <f t="shared" ca="1" si="320"/>
        <v>0</v>
      </c>
      <c r="AN611" s="593">
        <f t="shared" ca="1" si="321"/>
        <v>0</v>
      </c>
      <c r="AO611" s="593">
        <f t="shared" ca="1" si="322"/>
        <v>0</v>
      </c>
      <c r="AP611" s="593">
        <f t="shared" ca="1" si="323"/>
        <v>0</v>
      </c>
    </row>
    <row r="612" spans="1:42" s="594" customFormat="1" ht="11.25" x14ac:dyDescent="0.2">
      <c r="A612" s="644"/>
      <c r="B612" s="591" t="str">
        <f>IF(D612&lt;&gt;"",
IF(ISERROR(MATCH(D612,'Ist Vorjahr Monat 01'!A:A,0))=FALSE,INDEX('Ist Vorjahr Monat 01'!B:B,MATCH(D612,'Ist Vorjahr Monat 01'!A:A,0)),
IF(ISERROR(MATCH(D612,'Ist Vorjahr Monat 02'!A:A,0))=FALSE,INDEX('Ist Vorjahr Monat 02'!B:B,MATCH(D612,'Ist Vorjahr Monat 02'!A:A,0)),
IF(ISERROR(MATCH(D612,'Ist Vorjahr Monat 03'!A:A,0))=FALSE,INDEX('Ist Vorjahr Monat 03'!B:B,MATCH(D612,'Ist Vorjahr Monat 03'!A:A,0)),
IF(ISERROR(MATCH(D612,'Ist Vorjahr Monat 04'!A:A,0))=FALSE,INDEX('Ist Vorjahr Monat 04'!B:B,MATCH(D612,'Ist Vorjahr Monat 04'!A:A,0)),
IF(ISERROR(MATCH(D612,'Ist Vorjahr Monat 05'!A:A,0))=FALSE,INDEX('Ist Vorjahr Monat 05'!B:B,MATCH(D612,'Ist Vorjahr Monat 05'!A:A,0)),
IF(ISERROR(MATCH(D612,'Ist Vorjahr Monat 06'!A:A,0))=FALSE,INDEX('Ist Vorjahr Monat 06'!B:B,MATCH(D612,'Ist Vorjahr Monat 06'!A:A,0)),
IF(ISERROR(MATCH(D612,'Ist Vorjahr Monat 07'!A:A,0))=FALSE,INDEX('Ist Vorjahr Monat 07'!B:B,MATCH(D612,'Ist Vorjahr Monat 07'!A:A,0)),
IF(ISERROR(MATCH(D612,'Ist Vorjahr Monat 08'!A:A,0))=FALSE,INDEX('Ist Vorjahr Monat 08'!B:B,MATCH(D612,'Ist Vorjahr Monat 08'!A:A,0)),
IF(ISERROR(MATCH(D612,'Ist Vorjahr Monat 09'!A:A,0))=FALSE,INDEX('Ist Vorjahr Monat 09'!B:B,MATCH(D612,'Ist Vorjahr Monat 09'!A:A,0)),
IF(ISERROR(MATCH(D612,'Ist Vorjahr Monat 10'!A:A,0))=FALSE,INDEX('Ist Vorjahr Monat 10'!B:B,MATCH(D612,'Ist Vorjahr Monat 10'!A:A,0)),
IF(ISERROR(MATCH(D612,'Ist Vorjahr Monat 11'!A:A,0))=FALSE,INDEX('Ist Vorjahr Monat 11'!B:B,MATCH(D612,'Ist Vorjahr Monat 11'!A:A,0)),
IF(ISERROR(MATCH(D612,'Ist Vorjahr Monat 12'!A:A,0))=FALSE,INDEX('Ist Vorjahr Monat 12'!B:B,MATCH(D612,'Ist Vorjahr Monat 12'!A:A,0)),
"{Konto unbekannt}"
)))))))))))),"")</f>
        <v/>
      </c>
      <c r="C612" s="1062"/>
      <c r="D612" s="1067"/>
      <c r="E612" s="625">
        <f t="shared" si="308"/>
        <v>1</v>
      </c>
      <c r="F612" s="626"/>
      <c r="G612" s="593">
        <f ca="1">$E612*(SUMIF(INDIRECT(G$3),'Struktur Vorjahr'!$D612,INDIRECT(G$7)))</f>
        <v>0</v>
      </c>
      <c r="H612" s="593">
        <f ca="1">$E612*(SUMIF(INDIRECT(H$3),'Struktur Vorjahr'!$D612,INDIRECT(H$7)))</f>
        <v>0</v>
      </c>
      <c r="I612" s="593">
        <f ca="1">$E612*(SUMIF(INDIRECT(I$3),'Struktur Vorjahr'!$D612,INDIRECT(I$7)))</f>
        <v>0</v>
      </c>
      <c r="J612" s="593">
        <f ca="1">$E612*(SUMIF(INDIRECT(J$3),'Struktur Vorjahr'!$D612,INDIRECT(J$7)))</f>
        <v>0</v>
      </c>
      <c r="K612" s="593">
        <f ca="1">$E612*(SUMIF(INDIRECT(K$3),'Struktur Vorjahr'!$D612,INDIRECT(K$7)))</f>
        <v>0</v>
      </c>
      <c r="L612" s="593">
        <f ca="1">$E612*(SUMIF(INDIRECT(L$3),'Struktur Vorjahr'!$D612,INDIRECT(L$7)))</f>
        <v>0</v>
      </c>
      <c r="M612" s="593">
        <f ca="1">$E612*(SUMIF(INDIRECT(M$3),'Struktur Vorjahr'!$D612,INDIRECT(M$7)))</f>
        <v>0</v>
      </c>
      <c r="N612" s="593">
        <f ca="1">$E612*(SUMIF(INDIRECT(N$3),'Struktur Vorjahr'!$D612,INDIRECT(N$7)))</f>
        <v>0</v>
      </c>
      <c r="O612" s="593">
        <f ca="1">$E612*(SUMIF(INDIRECT(O$3),'Struktur Vorjahr'!$D612,INDIRECT(O$7)))</f>
        <v>0</v>
      </c>
      <c r="P612" s="593">
        <f ca="1">$E612*(SUMIF(INDIRECT(P$3),'Struktur Vorjahr'!$D612,INDIRECT(P$7)))</f>
        <v>0</v>
      </c>
      <c r="Q612" s="593">
        <f ca="1">$E612*(SUMIF(INDIRECT(Q$3),'Struktur Vorjahr'!$D612,INDIRECT(Q$7)))</f>
        <v>0</v>
      </c>
      <c r="R612" s="593">
        <f ca="1">$E612*(SUMIF(INDIRECT(R$3),'Struktur Vorjahr'!$D612,INDIRECT(R$7)))</f>
        <v>0</v>
      </c>
      <c r="S612" s="593">
        <f ca="1">$E612*(SUMIF(INDIRECT(S$3),'Struktur Vorjahr'!$D612,INDIRECT(S$7)))</f>
        <v>0</v>
      </c>
      <c r="T612" s="593">
        <f ca="1">$E612*(SUMIF(INDIRECT(T$3),'Struktur Vorjahr'!$D612,INDIRECT(T$7)))</f>
        <v>0</v>
      </c>
      <c r="U612" s="593">
        <f ca="1">$E612*(SUMIF(INDIRECT(U$3),'Struktur Vorjahr'!$D612,INDIRECT(U$7)))</f>
        <v>0</v>
      </c>
      <c r="V612" s="593">
        <f ca="1">$E612*(SUMIF(INDIRECT(V$3),'Struktur Vorjahr'!$D612,INDIRECT(V$7)))</f>
        <v>0</v>
      </c>
      <c r="W612" s="593">
        <f ca="1">$E612*(SUMIF(INDIRECT(W$3),'Struktur Vorjahr'!$D612,INDIRECT(W$7)))</f>
        <v>0</v>
      </c>
      <c r="X612" s="593">
        <f ca="1">$E612*(SUMIF(INDIRECT(X$3),'Struktur Vorjahr'!$D612,INDIRECT(X$7)))</f>
        <v>0</v>
      </c>
      <c r="Y612" s="593">
        <f ca="1">$E612*(SUMIF(INDIRECT(Y$3),'Struktur Vorjahr'!$D612,INDIRECT(Y$7)))</f>
        <v>0</v>
      </c>
      <c r="Z612" s="593">
        <f ca="1">$E612*(SUMIF(INDIRECT(Z$3),'Struktur Vorjahr'!$D612,INDIRECT(Z$7)))</f>
        <v>0</v>
      </c>
      <c r="AA612" s="593">
        <f ca="1">$E612*(SUMIF(INDIRECT(AA$3),'Struktur Vorjahr'!$D612,INDIRECT(AA$7)))</f>
        <v>0</v>
      </c>
      <c r="AB612" s="593">
        <f ca="1">$E612*(SUMIF(INDIRECT(AB$3),'Struktur Vorjahr'!$D612,INDIRECT(AB$7)))</f>
        <v>0</v>
      </c>
      <c r="AC612" s="593">
        <f ca="1">$E612*(SUMIF(INDIRECT(AC$3),'Struktur Vorjahr'!$D612,INDIRECT(AC$7)))</f>
        <v>0</v>
      </c>
      <c r="AD612" s="593">
        <f ca="1">$E612*(SUMIF(INDIRECT(AD$3),'Struktur Vorjahr'!$D612,INDIRECT(AD$7)))</f>
        <v>0</v>
      </c>
      <c r="AE612" s="593">
        <f t="shared" ca="1" si="312"/>
        <v>0</v>
      </c>
      <c r="AF612" s="593">
        <f t="shared" ca="1" si="313"/>
        <v>0</v>
      </c>
      <c r="AG612" s="593">
        <f t="shared" ca="1" si="314"/>
        <v>0</v>
      </c>
      <c r="AH612" s="593">
        <f t="shared" ca="1" si="315"/>
        <v>0</v>
      </c>
      <c r="AI612" s="593">
        <f t="shared" ca="1" si="316"/>
        <v>0</v>
      </c>
      <c r="AJ612" s="593">
        <f t="shared" ca="1" si="317"/>
        <v>0</v>
      </c>
      <c r="AK612" s="593">
        <f t="shared" ca="1" si="318"/>
        <v>0</v>
      </c>
      <c r="AL612" s="593">
        <f t="shared" ca="1" si="319"/>
        <v>0</v>
      </c>
      <c r="AM612" s="593">
        <f t="shared" ca="1" si="320"/>
        <v>0</v>
      </c>
      <c r="AN612" s="593">
        <f t="shared" ca="1" si="321"/>
        <v>0</v>
      </c>
      <c r="AO612" s="593">
        <f t="shared" ca="1" si="322"/>
        <v>0</v>
      </c>
      <c r="AP612" s="593">
        <f t="shared" ca="1" si="323"/>
        <v>0</v>
      </c>
    </row>
    <row r="613" spans="1:42" s="594" customFormat="1" ht="11.25" x14ac:dyDescent="0.2">
      <c r="A613" s="644"/>
      <c r="B613" s="591" t="str">
        <f>IF(D613&lt;&gt;"",
IF(ISERROR(MATCH(D613,'Ist Vorjahr Monat 01'!A:A,0))=FALSE,INDEX('Ist Vorjahr Monat 01'!B:B,MATCH(D613,'Ist Vorjahr Monat 01'!A:A,0)),
IF(ISERROR(MATCH(D613,'Ist Vorjahr Monat 02'!A:A,0))=FALSE,INDEX('Ist Vorjahr Monat 02'!B:B,MATCH(D613,'Ist Vorjahr Monat 02'!A:A,0)),
IF(ISERROR(MATCH(D613,'Ist Vorjahr Monat 03'!A:A,0))=FALSE,INDEX('Ist Vorjahr Monat 03'!B:B,MATCH(D613,'Ist Vorjahr Monat 03'!A:A,0)),
IF(ISERROR(MATCH(D613,'Ist Vorjahr Monat 04'!A:A,0))=FALSE,INDEX('Ist Vorjahr Monat 04'!B:B,MATCH(D613,'Ist Vorjahr Monat 04'!A:A,0)),
IF(ISERROR(MATCH(D613,'Ist Vorjahr Monat 05'!A:A,0))=FALSE,INDEX('Ist Vorjahr Monat 05'!B:B,MATCH(D613,'Ist Vorjahr Monat 05'!A:A,0)),
IF(ISERROR(MATCH(D613,'Ist Vorjahr Monat 06'!A:A,0))=FALSE,INDEX('Ist Vorjahr Monat 06'!B:B,MATCH(D613,'Ist Vorjahr Monat 06'!A:A,0)),
IF(ISERROR(MATCH(D613,'Ist Vorjahr Monat 07'!A:A,0))=FALSE,INDEX('Ist Vorjahr Monat 07'!B:B,MATCH(D613,'Ist Vorjahr Monat 07'!A:A,0)),
IF(ISERROR(MATCH(D613,'Ist Vorjahr Monat 08'!A:A,0))=FALSE,INDEX('Ist Vorjahr Monat 08'!B:B,MATCH(D613,'Ist Vorjahr Monat 08'!A:A,0)),
IF(ISERROR(MATCH(D613,'Ist Vorjahr Monat 09'!A:A,0))=FALSE,INDEX('Ist Vorjahr Monat 09'!B:B,MATCH(D613,'Ist Vorjahr Monat 09'!A:A,0)),
IF(ISERROR(MATCH(D613,'Ist Vorjahr Monat 10'!A:A,0))=FALSE,INDEX('Ist Vorjahr Monat 10'!B:B,MATCH(D613,'Ist Vorjahr Monat 10'!A:A,0)),
IF(ISERROR(MATCH(D613,'Ist Vorjahr Monat 11'!A:A,0))=FALSE,INDEX('Ist Vorjahr Monat 11'!B:B,MATCH(D613,'Ist Vorjahr Monat 11'!A:A,0)),
IF(ISERROR(MATCH(D613,'Ist Vorjahr Monat 12'!A:A,0))=FALSE,INDEX('Ist Vorjahr Monat 12'!B:B,MATCH(D613,'Ist Vorjahr Monat 12'!A:A,0)),
"{Konto unbekannt}"
)))))))))))),"")</f>
        <v/>
      </c>
      <c r="C613" s="1062"/>
      <c r="D613" s="1067"/>
      <c r="E613" s="625">
        <f t="shared" si="308"/>
        <v>1</v>
      </c>
      <c r="F613" s="626"/>
      <c r="G613" s="593">
        <f ca="1">$E613*(SUMIF(INDIRECT(G$3),'Struktur Vorjahr'!$D613,INDIRECT(G$7)))</f>
        <v>0</v>
      </c>
      <c r="H613" s="593">
        <f ca="1">$E613*(SUMIF(INDIRECT(H$3),'Struktur Vorjahr'!$D613,INDIRECT(H$7)))</f>
        <v>0</v>
      </c>
      <c r="I613" s="593">
        <f ca="1">$E613*(SUMIF(INDIRECT(I$3),'Struktur Vorjahr'!$D613,INDIRECT(I$7)))</f>
        <v>0</v>
      </c>
      <c r="J613" s="593">
        <f ca="1">$E613*(SUMIF(INDIRECT(J$3),'Struktur Vorjahr'!$D613,INDIRECT(J$7)))</f>
        <v>0</v>
      </c>
      <c r="K613" s="593">
        <f ca="1">$E613*(SUMIF(INDIRECT(K$3),'Struktur Vorjahr'!$D613,INDIRECT(K$7)))</f>
        <v>0</v>
      </c>
      <c r="L613" s="593">
        <f ca="1">$E613*(SUMIF(INDIRECT(L$3),'Struktur Vorjahr'!$D613,INDIRECT(L$7)))</f>
        <v>0</v>
      </c>
      <c r="M613" s="593">
        <f ca="1">$E613*(SUMIF(INDIRECT(M$3),'Struktur Vorjahr'!$D613,INDIRECT(M$7)))</f>
        <v>0</v>
      </c>
      <c r="N613" s="593">
        <f ca="1">$E613*(SUMIF(INDIRECT(N$3),'Struktur Vorjahr'!$D613,INDIRECT(N$7)))</f>
        <v>0</v>
      </c>
      <c r="O613" s="593">
        <f ca="1">$E613*(SUMIF(INDIRECT(O$3),'Struktur Vorjahr'!$D613,INDIRECT(O$7)))</f>
        <v>0</v>
      </c>
      <c r="P613" s="593">
        <f ca="1">$E613*(SUMIF(INDIRECT(P$3),'Struktur Vorjahr'!$D613,INDIRECT(P$7)))</f>
        <v>0</v>
      </c>
      <c r="Q613" s="593">
        <f ca="1">$E613*(SUMIF(INDIRECT(Q$3),'Struktur Vorjahr'!$D613,INDIRECT(Q$7)))</f>
        <v>0</v>
      </c>
      <c r="R613" s="593">
        <f ca="1">$E613*(SUMIF(INDIRECT(R$3),'Struktur Vorjahr'!$D613,INDIRECT(R$7)))</f>
        <v>0</v>
      </c>
      <c r="S613" s="593">
        <f ca="1">$E613*(SUMIF(INDIRECT(S$3),'Struktur Vorjahr'!$D613,INDIRECT(S$7)))</f>
        <v>0</v>
      </c>
      <c r="T613" s="593">
        <f ca="1">$E613*(SUMIF(INDIRECT(T$3),'Struktur Vorjahr'!$D613,INDIRECT(T$7)))</f>
        <v>0</v>
      </c>
      <c r="U613" s="593">
        <f ca="1">$E613*(SUMIF(INDIRECT(U$3),'Struktur Vorjahr'!$D613,INDIRECT(U$7)))</f>
        <v>0</v>
      </c>
      <c r="V613" s="593">
        <f ca="1">$E613*(SUMIF(INDIRECT(V$3),'Struktur Vorjahr'!$D613,INDIRECT(V$7)))</f>
        <v>0</v>
      </c>
      <c r="W613" s="593">
        <f ca="1">$E613*(SUMIF(INDIRECT(W$3),'Struktur Vorjahr'!$D613,INDIRECT(W$7)))</f>
        <v>0</v>
      </c>
      <c r="X613" s="593">
        <f ca="1">$E613*(SUMIF(INDIRECT(X$3),'Struktur Vorjahr'!$D613,INDIRECT(X$7)))</f>
        <v>0</v>
      </c>
      <c r="Y613" s="593">
        <f ca="1">$E613*(SUMIF(INDIRECT(Y$3),'Struktur Vorjahr'!$D613,INDIRECT(Y$7)))</f>
        <v>0</v>
      </c>
      <c r="Z613" s="593">
        <f ca="1">$E613*(SUMIF(INDIRECT(Z$3),'Struktur Vorjahr'!$D613,INDIRECT(Z$7)))</f>
        <v>0</v>
      </c>
      <c r="AA613" s="593">
        <f ca="1">$E613*(SUMIF(INDIRECT(AA$3),'Struktur Vorjahr'!$D613,INDIRECT(AA$7)))</f>
        <v>0</v>
      </c>
      <c r="AB613" s="593">
        <f ca="1">$E613*(SUMIF(INDIRECT(AB$3),'Struktur Vorjahr'!$D613,INDIRECT(AB$7)))</f>
        <v>0</v>
      </c>
      <c r="AC613" s="593">
        <f ca="1">$E613*(SUMIF(INDIRECT(AC$3),'Struktur Vorjahr'!$D613,INDIRECT(AC$7)))</f>
        <v>0</v>
      </c>
      <c r="AD613" s="593">
        <f ca="1">$E613*(SUMIF(INDIRECT(AD$3),'Struktur Vorjahr'!$D613,INDIRECT(AD$7)))</f>
        <v>0</v>
      </c>
      <c r="AE613" s="593">
        <f t="shared" ca="1" si="312"/>
        <v>0</v>
      </c>
      <c r="AF613" s="593">
        <f t="shared" ca="1" si="313"/>
        <v>0</v>
      </c>
      <c r="AG613" s="593">
        <f t="shared" ca="1" si="314"/>
        <v>0</v>
      </c>
      <c r="AH613" s="593">
        <f t="shared" ca="1" si="315"/>
        <v>0</v>
      </c>
      <c r="AI613" s="593">
        <f t="shared" ca="1" si="316"/>
        <v>0</v>
      </c>
      <c r="AJ613" s="593">
        <f t="shared" ca="1" si="317"/>
        <v>0</v>
      </c>
      <c r="AK613" s="593">
        <f t="shared" ca="1" si="318"/>
        <v>0</v>
      </c>
      <c r="AL613" s="593">
        <f t="shared" ca="1" si="319"/>
        <v>0</v>
      </c>
      <c r="AM613" s="593">
        <f t="shared" ca="1" si="320"/>
        <v>0</v>
      </c>
      <c r="AN613" s="593">
        <f t="shared" ca="1" si="321"/>
        <v>0</v>
      </c>
      <c r="AO613" s="593">
        <f t="shared" ca="1" si="322"/>
        <v>0</v>
      </c>
      <c r="AP613" s="593">
        <f t="shared" ca="1" si="323"/>
        <v>0</v>
      </c>
    </row>
    <row r="614" spans="1:42" s="589" customFormat="1" x14ac:dyDescent="0.2">
      <c r="A614" s="629">
        <v>61</v>
      </c>
      <c r="B614" s="623" t="s">
        <v>1038</v>
      </c>
      <c r="C614" s="627">
        <f ca="1">SUM(G614:R614)</f>
        <v>0</v>
      </c>
      <c r="D614" s="627"/>
      <c r="E614" s="628">
        <f t="shared" si="308"/>
        <v>1</v>
      </c>
      <c r="F614" s="628"/>
      <c r="G614" s="627">
        <f ca="1">SUM(G615:G618)</f>
        <v>0</v>
      </c>
      <c r="H614" s="627">
        <f t="shared" ref="H614:R614" ca="1" si="324">SUM(H615:H618)</f>
        <v>0</v>
      </c>
      <c r="I614" s="627">
        <f t="shared" ca="1" si="324"/>
        <v>0</v>
      </c>
      <c r="J614" s="627">
        <f t="shared" ca="1" si="324"/>
        <v>0</v>
      </c>
      <c r="K614" s="627">
        <f t="shared" ca="1" si="324"/>
        <v>0</v>
      </c>
      <c r="L614" s="627">
        <f t="shared" ca="1" si="324"/>
        <v>0</v>
      </c>
      <c r="M614" s="627">
        <f t="shared" ca="1" si="324"/>
        <v>0</v>
      </c>
      <c r="N614" s="627">
        <f t="shared" ca="1" si="324"/>
        <v>0</v>
      </c>
      <c r="O614" s="627">
        <f t="shared" ca="1" si="324"/>
        <v>0</v>
      </c>
      <c r="P614" s="627">
        <f t="shared" ca="1" si="324"/>
        <v>0</v>
      </c>
      <c r="Q614" s="627">
        <f t="shared" ca="1" si="324"/>
        <v>0</v>
      </c>
      <c r="R614" s="627">
        <f t="shared" ca="1" si="324"/>
        <v>0</v>
      </c>
      <c r="S614" s="627">
        <f ca="1">SUM(S615:S618)</f>
        <v>0</v>
      </c>
      <c r="T614" s="627">
        <f t="shared" ref="T614:AD614" ca="1" si="325">SUM(T615:T618)</f>
        <v>0</v>
      </c>
      <c r="U614" s="627">
        <f t="shared" ca="1" si="325"/>
        <v>0</v>
      </c>
      <c r="V614" s="627">
        <f t="shared" ca="1" si="325"/>
        <v>0</v>
      </c>
      <c r="W614" s="627">
        <f t="shared" ca="1" si="325"/>
        <v>0</v>
      </c>
      <c r="X614" s="627">
        <f t="shared" ca="1" si="325"/>
        <v>0</v>
      </c>
      <c r="Y614" s="627">
        <f t="shared" ca="1" si="325"/>
        <v>0</v>
      </c>
      <c r="Z614" s="627">
        <f t="shared" ca="1" si="325"/>
        <v>0</v>
      </c>
      <c r="AA614" s="627">
        <f t="shared" ca="1" si="325"/>
        <v>0</v>
      </c>
      <c r="AB614" s="627">
        <f t="shared" ca="1" si="325"/>
        <v>0</v>
      </c>
      <c r="AC614" s="627">
        <f t="shared" ca="1" si="325"/>
        <v>0</v>
      </c>
      <c r="AD614" s="627">
        <f t="shared" ca="1" si="325"/>
        <v>0</v>
      </c>
      <c r="AE614" s="627">
        <f ca="1">SUM(AE615:AE618)</f>
        <v>0</v>
      </c>
      <c r="AF614" s="627">
        <f t="shared" ref="AF614:AP614" ca="1" si="326">SUM(AF615:AF618)</f>
        <v>0</v>
      </c>
      <c r="AG614" s="627">
        <f t="shared" ca="1" si="326"/>
        <v>0</v>
      </c>
      <c r="AH614" s="627">
        <f t="shared" ca="1" si="326"/>
        <v>0</v>
      </c>
      <c r="AI614" s="627">
        <f t="shared" ca="1" si="326"/>
        <v>0</v>
      </c>
      <c r="AJ614" s="627">
        <f t="shared" ca="1" si="326"/>
        <v>0</v>
      </c>
      <c r="AK614" s="627">
        <f t="shared" ca="1" si="326"/>
        <v>0</v>
      </c>
      <c r="AL614" s="627">
        <f t="shared" ca="1" si="326"/>
        <v>0</v>
      </c>
      <c r="AM614" s="627">
        <f t="shared" ca="1" si="326"/>
        <v>0</v>
      </c>
      <c r="AN614" s="627">
        <f t="shared" ca="1" si="326"/>
        <v>0</v>
      </c>
      <c r="AO614" s="627">
        <f t="shared" ca="1" si="326"/>
        <v>0</v>
      </c>
      <c r="AP614" s="627">
        <f t="shared" ca="1" si="326"/>
        <v>0</v>
      </c>
    </row>
    <row r="615" spans="1:42" s="594" customFormat="1" ht="11.25" x14ac:dyDescent="0.2">
      <c r="A615" s="644"/>
      <c r="B615" s="591" t="str">
        <f>IF(D615&lt;&gt;"",
IF(ISERROR(MATCH(D615,'Ist Vorjahr Monat 01'!A:A,0))=FALSE,INDEX('Ist Vorjahr Monat 01'!B:B,MATCH(D615,'Ist Vorjahr Monat 01'!A:A,0)),
IF(ISERROR(MATCH(D615,'Ist Vorjahr Monat 02'!A:A,0))=FALSE,INDEX('Ist Vorjahr Monat 02'!B:B,MATCH(D615,'Ist Vorjahr Monat 02'!A:A,0)),
IF(ISERROR(MATCH(D615,'Ist Vorjahr Monat 03'!A:A,0))=FALSE,INDEX('Ist Vorjahr Monat 03'!B:B,MATCH(D615,'Ist Vorjahr Monat 03'!A:A,0)),
IF(ISERROR(MATCH(D615,'Ist Vorjahr Monat 04'!A:A,0))=FALSE,INDEX('Ist Vorjahr Monat 04'!B:B,MATCH(D615,'Ist Vorjahr Monat 04'!A:A,0)),
IF(ISERROR(MATCH(D615,'Ist Vorjahr Monat 05'!A:A,0))=FALSE,INDEX('Ist Vorjahr Monat 05'!B:B,MATCH(D615,'Ist Vorjahr Monat 05'!A:A,0)),
IF(ISERROR(MATCH(D615,'Ist Vorjahr Monat 06'!A:A,0))=FALSE,INDEX('Ist Vorjahr Monat 06'!B:B,MATCH(D615,'Ist Vorjahr Monat 06'!A:A,0)),
IF(ISERROR(MATCH(D615,'Ist Vorjahr Monat 07'!A:A,0))=FALSE,INDEX('Ist Vorjahr Monat 07'!B:B,MATCH(D615,'Ist Vorjahr Monat 07'!A:A,0)),
IF(ISERROR(MATCH(D615,'Ist Vorjahr Monat 08'!A:A,0))=FALSE,INDEX('Ist Vorjahr Monat 08'!B:B,MATCH(D615,'Ist Vorjahr Monat 08'!A:A,0)),
IF(ISERROR(MATCH(D615,'Ist Vorjahr Monat 09'!A:A,0))=FALSE,INDEX('Ist Vorjahr Monat 09'!B:B,MATCH(D615,'Ist Vorjahr Monat 09'!A:A,0)),
IF(ISERROR(MATCH(D615,'Ist Vorjahr Monat 10'!A:A,0))=FALSE,INDEX('Ist Vorjahr Monat 10'!B:B,MATCH(D615,'Ist Vorjahr Monat 10'!A:A,0)),
IF(ISERROR(MATCH(D615,'Ist Vorjahr Monat 11'!A:A,0))=FALSE,INDEX('Ist Vorjahr Monat 11'!B:B,MATCH(D615,'Ist Vorjahr Monat 11'!A:A,0)),
IF(ISERROR(MATCH(D615,'Ist Vorjahr Monat 12'!A:A,0))=FALSE,INDEX('Ist Vorjahr Monat 12'!B:B,MATCH(D615,'Ist Vorjahr Monat 12'!A:A,0)),
"{Konto unbekannt}"
)))))))))))),"")</f>
        <v/>
      </c>
      <c r="C615" s="1062"/>
      <c r="D615" s="1067"/>
      <c r="E615" s="625">
        <f t="shared" si="308"/>
        <v>1</v>
      </c>
      <c r="F615" s="626"/>
      <c r="G615" s="593">
        <f ca="1">$E615*(SUMIF(INDIRECT(G$3),'Struktur Vorjahr'!$D615,INDIRECT(G$7)))</f>
        <v>0</v>
      </c>
      <c r="H615" s="593">
        <f ca="1">$E615*(SUMIF(INDIRECT(H$3),'Struktur Vorjahr'!$D615,INDIRECT(H$7)))</f>
        <v>0</v>
      </c>
      <c r="I615" s="593">
        <f ca="1">$E615*(SUMIF(INDIRECT(I$3),'Struktur Vorjahr'!$D615,INDIRECT(I$7)))</f>
        <v>0</v>
      </c>
      <c r="J615" s="593">
        <f ca="1">$E615*(SUMIF(INDIRECT(J$3),'Struktur Vorjahr'!$D615,INDIRECT(J$7)))</f>
        <v>0</v>
      </c>
      <c r="K615" s="593">
        <f ca="1">$E615*(SUMIF(INDIRECT(K$3),'Struktur Vorjahr'!$D615,INDIRECT(K$7)))</f>
        <v>0</v>
      </c>
      <c r="L615" s="593">
        <f ca="1">$E615*(SUMIF(INDIRECT(L$3),'Struktur Vorjahr'!$D615,INDIRECT(L$7)))</f>
        <v>0</v>
      </c>
      <c r="M615" s="593">
        <f ca="1">$E615*(SUMIF(INDIRECT(M$3),'Struktur Vorjahr'!$D615,INDIRECT(M$7)))</f>
        <v>0</v>
      </c>
      <c r="N615" s="593">
        <f ca="1">$E615*(SUMIF(INDIRECT(N$3),'Struktur Vorjahr'!$D615,INDIRECT(N$7)))</f>
        <v>0</v>
      </c>
      <c r="O615" s="593">
        <f ca="1">$E615*(SUMIF(INDIRECT(O$3),'Struktur Vorjahr'!$D615,INDIRECT(O$7)))</f>
        <v>0</v>
      </c>
      <c r="P615" s="593">
        <f ca="1">$E615*(SUMIF(INDIRECT(P$3),'Struktur Vorjahr'!$D615,INDIRECT(P$7)))</f>
        <v>0</v>
      </c>
      <c r="Q615" s="593">
        <f ca="1">$E615*(SUMIF(INDIRECT(Q$3),'Struktur Vorjahr'!$D615,INDIRECT(Q$7)))</f>
        <v>0</v>
      </c>
      <c r="R615" s="593">
        <f ca="1">$E615*(SUMIF(INDIRECT(R$3),'Struktur Vorjahr'!$D615,INDIRECT(R$7)))</f>
        <v>0</v>
      </c>
      <c r="S615" s="593">
        <f ca="1">$E615*(SUMIF(INDIRECT(S$3),'Struktur Vorjahr'!$D615,INDIRECT(S$7)))</f>
        <v>0</v>
      </c>
      <c r="T615" s="593">
        <f ca="1">$E615*(SUMIF(INDIRECT(T$3),'Struktur Vorjahr'!$D615,INDIRECT(T$7)))</f>
        <v>0</v>
      </c>
      <c r="U615" s="593">
        <f ca="1">$E615*(SUMIF(INDIRECT(U$3),'Struktur Vorjahr'!$D615,INDIRECT(U$7)))</f>
        <v>0</v>
      </c>
      <c r="V615" s="593">
        <f ca="1">$E615*(SUMIF(INDIRECT(V$3),'Struktur Vorjahr'!$D615,INDIRECT(V$7)))</f>
        <v>0</v>
      </c>
      <c r="W615" s="593">
        <f ca="1">$E615*(SUMIF(INDIRECT(W$3),'Struktur Vorjahr'!$D615,INDIRECT(W$7)))</f>
        <v>0</v>
      </c>
      <c r="X615" s="593">
        <f ca="1">$E615*(SUMIF(INDIRECT(X$3),'Struktur Vorjahr'!$D615,INDIRECT(X$7)))</f>
        <v>0</v>
      </c>
      <c r="Y615" s="593">
        <f ca="1">$E615*(SUMIF(INDIRECT(Y$3),'Struktur Vorjahr'!$D615,INDIRECT(Y$7)))</f>
        <v>0</v>
      </c>
      <c r="Z615" s="593">
        <f ca="1">$E615*(SUMIF(INDIRECT(Z$3),'Struktur Vorjahr'!$D615,INDIRECT(Z$7)))</f>
        <v>0</v>
      </c>
      <c r="AA615" s="593">
        <f ca="1">$E615*(SUMIF(INDIRECT(AA$3),'Struktur Vorjahr'!$D615,INDIRECT(AA$7)))</f>
        <v>0</v>
      </c>
      <c r="AB615" s="593">
        <f ca="1">$E615*(SUMIF(INDIRECT(AB$3),'Struktur Vorjahr'!$D615,INDIRECT(AB$7)))</f>
        <v>0</v>
      </c>
      <c r="AC615" s="593">
        <f ca="1">$E615*(SUMIF(INDIRECT(AC$3),'Struktur Vorjahr'!$D615,INDIRECT(AC$7)))</f>
        <v>0</v>
      </c>
      <c r="AD615" s="593">
        <f ca="1">$E615*(SUMIF(INDIRECT(AD$3),'Struktur Vorjahr'!$D615,INDIRECT(AD$7)))</f>
        <v>0</v>
      </c>
      <c r="AE615" s="593">
        <f t="shared" ref="AE615:AE618" ca="1" si="327">G615</f>
        <v>0</v>
      </c>
      <c r="AF615" s="593">
        <f t="shared" ref="AF615:AF618" ca="1" si="328">H615+AE615</f>
        <v>0</v>
      </c>
      <c r="AG615" s="593">
        <f t="shared" ref="AG615:AG618" ca="1" si="329">I615+AF615</f>
        <v>0</v>
      </c>
      <c r="AH615" s="593">
        <f t="shared" ref="AH615:AH618" ca="1" si="330">J615+AG615</f>
        <v>0</v>
      </c>
      <c r="AI615" s="593">
        <f t="shared" ref="AI615:AI618" ca="1" si="331">K615+AH615</f>
        <v>0</v>
      </c>
      <c r="AJ615" s="593">
        <f t="shared" ref="AJ615:AJ618" ca="1" si="332">L615+AI615</f>
        <v>0</v>
      </c>
      <c r="AK615" s="593">
        <f t="shared" ref="AK615:AK618" ca="1" si="333">M615+AJ615</f>
        <v>0</v>
      </c>
      <c r="AL615" s="593">
        <f t="shared" ref="AL615:AL618" ca="1" si="334">N615+AK615</f>
        <v>0</v>
      </c>
      <c r="AM615" s="593">
        <f t="shared" ref="AM615:AM618" ca="1" si="335">O615+AL615</f>
        <v>0</v>
      </c>
      <c r="AN615" s="593">
        <f t="shared" ref="AN615:AN618" ca="1" si="336">P615+AM615</f>
        <v>0</v>
      </c>
      <c r="AO615" s="593">
        <f t="shared" ref="AO615:AO618" ca="1" si="337">Q615+AN615</f>
        <v>0</v>
      </c>
      <c r="AP615" s="593">
        <f t="shared" ref="AP615:AP618" ca="1" si="338">R615+AO615</f>
        <v>0</v>
      </c>
    </row>
    <row r="616" spans="1:42" s="594" customFormat="1" ht="11.25" x14ac:dyDescent="0.2">
      <c r="A616" s="644"/>
      <c r="B616" s="591" t="str">
        <f>IF(D616&lt;&gt;"",
IF(ISERROR(MATCH(D616,'Ist Vorjahr Monat 01'!A:A,0))=FALSE,INDEX('Ist Vorjahr Monat 01'!B:B,MATCH(D616,'Ist Vorjahr Monat 01'!A:A,0)),
IF(ISERROR(MATCH(D616,'Ist Vorjahr Monat 02'!A:A,0))=FALSE,INDEX('Ist Vorjahr Monat 02'!B:B,MATCH(D616,'Ist Vorjahr Monat 02'!A:A,0)),
IF(ISERROR(MATCH(D616,'Ist Vorjahr Monat 03'!A:A,0))=FALSE,INDEX('Ist Vorjahr Monat 03'!B:B,MATCH(D616,'Ist Vorjahr Monat 03'!A:A,0)),
IF(ISERROR(MATCH(D616,'Ist Vorjahr Monat 04'!A:A,0))=FALSE,INDEX('Ist Vorjahr Monat 04'!B:B,MATCH(D616,'Ist Vorjahr Monat 04'!A:A,0)),
IF(ISERROR(MATCH(D616,'Ist Vorjahr Monat 05'!A:A,0))=FALSE,INDEX('Ist Vorjahr Monat 05'!B:B,MATCH(D616,'Ist Vorjahr Monat 05'!A:A,0)),
IF(ISERROR(MATCH(D616,'Ist Vorjahr Monat 06'!A:A,0))=FALSE,INDEX('Ist Vorjahr Monat 06'!B:B,MATCH(D616,'Ist Vorjahr Monat 06'!A:A,0)),
IF(ISERROR(MATCH(D616,'Ist Vorjahr Monat 07'!A:A,0))=FALSE,INDEX('Ist Vorjahr Monat 07'!B:B,MATCH(D616,'Ist Vorjahr Monat 07'!A:A,0)),
IF(ISERROR(MATCH(D616,'Ist Vorjahr Monat 08'!A:A,0))=FALSE,INDEX('Ist Vorjahr Monat 08'!B:B,MATCH(D616,'Ist Vorjahr Monat 08'!A:A,0)),
IF(ISERROR(MATCH(D616,'Ist Vorjahr Monat 09'!A:A,0))=FALSE,INDEX('Ist Vorjahr Monat 09'!B:B,MATCH(D616,'Ist Vorjahr Monat 09'!A:A,0)),
IF(ISERROR(MATCH(D616,'Ist Vorjahr Monat 10'!A:A,0))=FALSE,INDEX('Ist Vorjahr Monat 10'!B:B,MATCH(D616,'Ist Vorjahr Monat 10'!A:A,0)),
IF(ISERROR(MATCH(D616,'Ist Vorjahr Monat 11'!A:A,0))=FALSE,INDEX('Ist Vorjahr Monat 11'!B:B,MATCH(D616,'Ist Vorjahr Monat 11'!A:A,0)),
IF(ISERROR(MATCH(D616,'Ist Vorjahr Monat 12'!A:A,0))=FALSE,INDEX('Ist Vorjahr Monat 12'!B:B,MATCH(D616,'Ist Vorjahr Monat 12'!A:A,0)),
"{Konto unbekannt}"
)))))))))))),"")</f>
        <v/>
      </c>
      <c r="C616" s="1062"/>
      <c r="D616" s="1067"/>
      <c r="E616" s="625">
        <f t="shared" si="308"/>
        <v>1</v>
      </c>
      <c r="F616" s="626"/>
      <c r="G616" s="593">
        <f ca="1">$E616*(SUMIF(INDIRECT(G$3),'Struktur Vorjahr'!$D616,INDIRECT(G$7)))</f>
        <v>0</v>
      </c>
      <c r="H616" s="593">
        <f ca="1">$E616*(SUMIF(INDIRECT(H$3),'Struktur Vorjahr'!$D616,INDIRECT(H$7)))</f>
        <v>0</v>
      </c>
      <c r="I616" s="593">
        <f ca="1">$E616*(SUMIF(INDIRECT(I$3),'Struktur Vorjahr'!$D616,INDIRECT(I$7)))</f>
        <v>0</v>
      </c>
      <c r="J616" s="593">
        <f ca="1">$E616*(SUMIF(INDIRECT(J$3),'Struktur Vorjahr'!$D616,INDIRECT(J$7)))</f>
        <v>0</v>
      </c>
      <c r="K616" s="593">
        <f ca="1">$E616*(SUMIF(INDIRECT(K$3),'Struktur Vorjahr'!$D616,INDIRECT(K$7)))</f>
        <v>0</v>
      </c>
      <c r="L616" s="593">
        <f ca="1">$E616*(SUMIF(INDIRECT(L$3),'Struktur Vorjahr'!$D616,INDIRECT(L$7)))</f>
        <v>0</v>
      </c>
      <c r="M616" s="593">
        <f ca="1">$E616*(SUMIF(INDIRECT(M$3),'Struktur Vorjahr'!$D616,INDIRECT(M$7)))</f>
        <v>0</v>
      </c>
      <c r="N616" s="593">
        <f ca="1">$E616*(SUMIF(INDIRECT(N$3),'Struktur Vorjahr'!$D616,INDIRECT(N$7)))</f>
        <v>0</v>
      </c>
      <c r="O616" s="593">
        <f ca="1">$E616*(SUMIF(INDIRECT(O$3),'Struktur Vorjahr'!$D616,INDIRECT(O$7)))</f>
        <v>0</v>
      </c>
      <c r="P616" s="593">
        <f ca="1">$E616*(SUMIF(INDIRECT(P$3),'Struktur Vorjahr'!$D616,INDIRECT(P$7)))</f>
        <v>0</v>
      </c>
      <c r="Q616" s="593">
        <f ca="1">$E616*(SUMIF(INDIRECT(Q$3),'Struktur Vorjahr'!$D616,INDIRECT(Q$7)))</f>
        <v>0</v>
      </c>
      <c r="R616" s="593">
        <f ca="1">$E616*(SUMIF(INDIRECT(R$3),'Struktur Vorjahr'!$D616,INDIRECT(R$7)))</f>
        <v>0</v>
      </c>
      <c r="S616" s="593">
        <f ca="1">$E616*(SUMIF(INDIRECT(S$3),'Struktur Vorjahr'!$D616,INDIRECT(S$7)))</f>
        <v>0</v>
      </c>
      <c r="T616" s="593">
        <f ca="1">$E616*(SUMIF(INDIRECT(T$3),'Struktur Vorjahr'!$D616,INDIRECT(T$7)))</f>
        <v>0</v>
      </c>
      <c r="U616" s="593">
        <f ca="1">$E616*(SUMIF(INDIRECT(U$3),'Struktur Vorjahr'!$D616,INDIRECT(U$7)))</f>
        <v>0</v>
      </c>
      <c r="V616" s="593">
        <f ca="1">$E616*(SUMIF(INDIRECT(V$3),'Struktur Vorjahr'!$D616,INDIRECT(V$7)))</f>
        <v>0</v>
      </c>
      <c r="W616" s="593">
        <f ca="1">$E616*(SUMIF(INDIRECT(W$3),'Struktur Vorjahr'!$D616,INDIRECT(W$7)))</f>
        <v>0</v>
      </c>
      <c r="X616" s="593">
        <f ca="1">$E616*(SUMIF(INDIRECT(X$3),'Struktur Vorjahr'!$D616,INDIRECT(X$7)))</f>
        <v>0</v>
      </c>
      <c r="Y616" s="593">
        <f ca="1">$E616*(SUMIF(INDIRECT(Y$3),'Struktur Vorjahr'!$D616,INDIRECT(Y$7)))</f>
        <v>0</v>
      </c>
      <c r="Z616" s="593">
        <f ca="1">$E616*(SUMIF(INDIRECT(Z$3),'Struktur Vorjahr'!$D616,INDIRECT(Z$7)))</f>
        <v>0</v>
      </c>
      <c r="AA616" s="593">
        <f ca="1">$E616*(SUMIF(INDIRECT(AA$3),'Struktur Vorjahr'!$D616,INDIRECT(AA$7)))</f>
        <v>0</v>
      </c>
      <c r="AB616" s="593">
        <f ca="1">$E616*(SUMIF(INDIRECT(AB$3),'Struktur Vorjahr'!$D616,INDIRECT(AB$7)))</f>
        <v>0</v>
      </c>
      <c r="AC616" s="593">
        <f ca="1">$E616*(SUMIF(INDIRECT(AC$3),'Struktur Vorjahr'!$D616,INDIRECT(AC$7)))</f>
        <v>0</v>
      </c>
      <c r="AD616" s="593">
        <f ca="1">$E616*(SUMIF(INDIRECT(AD$3),'Struktur Vorjahr'!$D616,INDIRECT(AD$7)))</f>
        <v>0</v>
      </c>
      <c r="AE616" s="593">
        <f t="shared" ca="1" si="327"/>
        <v>0</v>
      </c>
      <c r="AF616" s="593">
        <f t="shared" ca="1" si="328"/>
        <v>0</v>
      </c>
      <c r="AG616" s="593">
        <f t="shared" ca="1" si="329"/>
        <v>0</v>
      </c>
      <c r="AH616" s="593">
        <f t="shared" ca="1" si="330"/>
        <v>0</v>
      </c>
      <c r="AI616" s="593">
        <f t="shared" ca="1" si="331"/>
        <v>0</v>
      </c>
      <c r="AJ616" s="593">
        <f t="shared" ca="1" si="332"/>
        <v>0</v>
      </c>
      <c r="AK616" s="593">
        <f t="shared" ca="1" si="333"/>
        <v>0</v>
      </c>
      <c r="AL616" s="593">
        <f t="shared" ca="1" si="334"/>
        <v>0</v>
      </c>
      <c r="AM616" s="593">
        <f t="shared" ca="1" si="335"/>
        <v>0</v>
      </c>
      <c r="AN616" s="593">
        <f t="shared" ca="1" si="336"/>
        <v>0</v>
      </c>
      <c r="AO616" s="593">
        <f t="shared" ca="1" si="337"/>
        <v>0</v>
      </c>
      <c r="AP616" s="593">
        <f t="shared" ca="1" si="338"/>
        <v>0</v>
      </c>
    </row>
    <row r="617" spans="1:42" s="594" customFormat="1" ht="11.25" x14ac:dyDescent="0.2">
      <c r="A617" s="644"/>
      <c r="B617" s="591" t="str">
        <f>IF(D617&lt;&gt;"",
IF(ISERROR(MATCH(D617,'Ist Vorjahr Monat 01'!A:A,0))=FALSE,INDEX('Ist Vorjahr Monat 01'!B:B,MATCH(D617,'Ist Vorjahr Monat 01'!A:A,0)),
IF(ISERROR(MATCH(D617,'Ist Vorjahr Monat 02'!A:A,0))=FALSE,INDEX('Ist Vorjahr Monat 02'!B:B,MATCH(D617,'Ist Vorjahr Monat 02'!A:A,0)),
IF(ISERROR(MATCH(D617,'Ist Vorjahr Monat 03'!A:A,0))=FALSE,INDEX('Ist Vorjahr Monat 03'!B:B,MATCH(D617,'Ist Vorjahr Monat 03'!A:A,0)),
IF(ISERROR(MATCH(D617,'Ist Vorjahr Monat 04'!A:A,0))=FALSE,INDEX('Ist Vorjahr Monat 04'!B:B,MATCH(D617,'Ist Vorjahr Monat 04'!A:A,0)),
IF(ISERROR(MATCH(D617,'Ist Vorjahr Monat 05'!A:A,0))=FALSE,INDEX('Ist Vorjahr Monat 05'!B:B,MATCH(D617,'Ist Vorjahr Monat 05'!A:A,0)),
IF(ISERROR(MATCH(D617,'Ist Vorjahr Monat 06'!A:A,0))=FALSE,INDEX('Ist Vorjahr Monat 06'!B:B,MATCH(D617,'Ist Vorjahr Monat 06'!A:A,0)),
IF(ISERROR(MATCH(D617,'Ist Vorjahr Monat 07'!A:A,0))=FALSE,INDEX('Ist Vorjahr Monat 07'!B:B,MATCH(D617,'Ist Vorjahr Monat 07'!A:A,0)),
IF(ISERROR(MATCH(D617,'Ist Vorjahr Monat 08'!A:A,0))=FALSE,INDEX('Ist Vorjahr Monat 08'!B:B,MATCH(D617,'Ist Vorjahr Monat 08'!A:A,0)),
IF(ISERROR(MATCH(D617,'Ist Vorjahr Monat 09'!A:A,0))=FALSE,INDEX('Ist Vorjahr Monat 09'!B:B,MATCH(D617,'Ist Vorjahr Monat 09'!A:A,0)),
IF(ISERROR(MATCH(D617,'Ist Vorjahr Monat 10'!A:A,0))=FALSE,INDEX('Ist Vorjahr Monat 10'!B:B,MATCH(D617,'Ist Vorjahr Monat 10'!A:A,0)),
IF(ISERROR(MATCH(D617,'Ist Vorjahr Monat 11'!A:A,0))=FALSE,INDEX('Ist Vorjahr Monat 11'!B:B,MATCH(D617,'Ist Vorjahr Monat 11'!A:A,0)),
IF(ISERROR(MATCH(D617,'Ist Vorjahr Monat 12'!A:A,0))=FALSE,INDEX('Ist Vorjahr Monat 12'!B:B,MATCH(D617,'Ist Vorjahr Monat 12'!A:A,0)),
"{Konto unbekannt}"
)))))))))))),"")</f>
        <v/>
      </c>
      <c r="C617" s="1062"/>
      <c r="D617" s="1067"/>
      <c r="E617" s="625">
        <f t="shared" si="308"/>
        <v>1</v>
      </c>
      <c r="F617" s="626"/>
      <c r="G617" s="593">
        <f ca="1">$E617*(SUMIF(INDIRECT(G$3),'Struktur Vorjahr'!$D617,INDIRECT(G$7)))</f>
        <v>0</v>
      </c>
      <c r="H617" s="593">
        <f ca="1">$E617*(SUMIF(INDIRECT(H$3),'Struktur Vorjahr'!$D617,INDIRECT(H$7)))</f>
        <v>0</v>
      </c>
      <c r="I617" s="593">
        <f ca="1">$E617*(SUMIF(INDIRECT(I$3),'Struktur Vorjahr'!$D617,INDIRECT(I$7)))</f>
        <v>0</v>
      </c>
      <c r="J617" s="593">
        <f ca="1">$E617*(SUMIF(INDIRECT(J$3),'Struktur Vorjahr'!$D617,INDIRECT(J$7)))</f>
        <v>0</v>
      </c>
      <c r="K617" s="593">
        <f ca="1">$E617*(SUMIF(INDIRECT(K$3),'Struktur Vorjahr'!$D617,INDIRECT(K$7)))</f>
        <v>0</v>
      </c>
      <c r="L617" s="593">
        <f ca="1">$E617*(SUMIF(INDIRECT(L$3),'Struktur Vorjahr'!$D617,INDIRECT(L$7)))</f>
        <v>0</v>
      </c>
      <c r="M617" s="593">
        <f ca="1">$E617*(SUMIF(INDIRECT(M$3),'Struktur Vorjahr'!$D617,INDIRECT(M$7)))</f>
        <v>0</v>
      </c>
      <c r="N617" s="593">
        <f ca="1">$E617*(SUMIF(INDIRECT(N$3),'Struktur Vorjahr'!$D617,INDIRECT(N$7)))</f>
        <v>0</v>
      </c>
      <c r="O617" s="593">
        <f ca="1">$E617*(SUMIF(INDIRECT(O$3),'Struktur Vorjahr'!$D617,INDIRECT(O$7)))</f>
        <v>0</v>
      </c>
      <c r="P617" s="593">
        <f ca="1">$E617*(SUMIF(INDIRECT(P$3),'Struktur Vorjahr'!$D617,INDIRECT(P$7)))</f>
        <v>0</v>
      </c>
      <c r="Q617" s="593">
        <f ca="1">$E617*(SUMIF(INDIRECT(Q$3),'Struktur Vorjahr'!$D617,INDIRECT(Q$7)))</f>
        <v>0</v>
      </c>
      <c r="R617" s="593">
        <f ca="1">$E617*(SUMIF(INDIRECT(R$3),'Struktur Vorjahr'!$D617,INDIRECT(R$7)))</f>
        <v>0</v>
      </c>
      <c r="S617" s="593">
        <f ca="1">$E617*(SUMIF(INDIRECT(S$3),'Struktur Vorjahr'!$D617,INDIRECT(S$7)))</f>
        <v>0</v>
      </c>
      <c r="T617" s="593">
        <f ca="1">$E617*(SUMIF(INDIRECT(T$3),'Struktur Vorjahr'!$D617,INDIRECT(T$7)))</f>
        <v>0</v>
      </c>
      <c r="U617" s="593">
        <f ca="1">$E617*(SUMIF(INDIRECT(U$3),'Struktur Vorjahr'!$D617,INDIRECT(U$7)))</f>
        <v>0</v>
      </c>
      <c r="V617" s="593">
        <f ca="1">$E617*(SUMIF(INDIRECT(V$3),'Struktur Vorjahr'!$D617,INDIRECT(V$7)))</f>
        <v>0</v>
      </c>
      <c r="W617" s="593">
        <f ca="1">$E617*(SUMIF(INDIRECT(W$3),'Struktur Vorjahr'!$D617,INDIRECT(W$7)))</f>
        <v>0</v>
      </c>
      <c r="X617" s="593">
        <f ca="1">$E617*(SUMIF(INDIRECT(X$3),'Struktur Vorjahr'!$D617,INDIRECT(X$7)))</f>
        <v>0</v>
      </c>
      <c r="Y617" s="593">
        <f ca="1">$E617*(SUMIF(INDIRECT(Y$3),'Struktur Vorjahr'!$D617,INDIRECT(Y$7)))</f>
        <v>0</v>
      </c>
      <c r="Z617" s="593">
        <f ca="1">$E617*(SUMIF(INDIRECT(Z$3),'Struktur Vorjahr'!$D617,INDIRECT(Z$7)))</f>
        <v>0</v>
      </c>
      <c r="AA617" s="593">
        <f ca="1">$E617*(SUMIF(INDIRECT(AA$3),'Struktur Vorjahr'!$D617,INDIRECT(AA$7)))</f>
        <v>0</v>
      </c>
      <c r="AB617" s="593">
        <f ca="1">$E617*(SUMIF(INDIRECT(AB$3),'Struktur Vorjahr'!$D617,INDIRECT(AB$7)))</f>
        <v>0</v>
      </c>
      <c r="AC617" s="593">
        <f ca="1">$E617*(SUMIF(INDIRECT(AC$3),'Struktur Vorjahr'!$D617,INDIRECT(AC$7)))</f>
        <v>0</v>
      </c>
      <c r="AD617" s="593">
        <f ca="1">$E617*(SUMIF(INDIRECT(AD$3),'Struktur Vorjahr'!$D617,INDIRECT(AD$7)))</f>
        <v>0</v>
      </c>
      <c r="AE617" s="593">
        <f t="shared" ca="1" si="327"/>
        <v>0</v>
      </c>
      <c r="AF617" s="593">
        <f t="shared" ca="1" si="328"/>
        <v>0</v>
      </c>
      <c r="AG617" s="593">
        <f t="shared" ca="1" si="329"/>
        <v>0</v>
      </c>
      <c r="AH617" s="593">
        <f t="shared" ca="1" si="330"/>
        <v>0</v>
      </c>
      <c r="AI617" s="593">
        <f t="shared" ca="1" si="331"/>
        <v>0</v>
      </c>
      <c r="AJ617" s="593">
        <f t="shared" ca="1" si="332"/>
        <v>0</v>
      </c>
      <c r="AK617" s="593">
        <f t="shared" ca="1" si="333"/>
        <v>0</v>
      </c>
      <c r="AL617" s="593">
        <f t="shared" ca="1" si="334"/>
        <v>0</v>
      </c>
      <c r="AM617" s="593">
        <f t="shared" ca="1" si="335"/>
        <v>0</v>
      </c>
      <c r="AN617" s="593">
        <f t="shared" ca="1" si="336"/>
        <v>0</v>
      </c>
      <c r="AO617" s="593">
        <f t="shared" ca="1" si="337"/>
        <v>0</v>
      </c>
      <c r="AP617" s="593">
        <f t="shared" ca="1" si="338"/>
        <v>0</v>
      </c>
    </row>
    <row r="618" spans="1:42" s="594" customFormat="1" ht="11.25" x14ac:dyDescent="0.2">
      <c r="A618" s="645"/>
      <c r="B618" s="1334" t="str">
        <f>IF(D618&lt;&gt;"",
IF(ISERROR(MATCH(D618,'Ist Vorjahr Monat 01'!A:A,0))=FALSE,INDEX('Ist Vorjahr Monat 01'!B:B,MATCH(D618,'Ist Vorjahr Monat 01'!A:A,0)),
IF(ISERROR(MATCH(D618,'Ist Vorjahr Monat 02'!A:A,0))=FALSE,INDEX('Ist Vorjahr Monat 02'!B:B,MATCH(D618,'Ist Vorjahr Monat 02'!A:A,0)),
IF(ISERROR(MATCH(D618,'Ist Vorjahr Monat 03'!A:A,0))=FALSE,INDEX('Ist Vorjahr Monat 03'!B:B,MATCH(D618,'Ist Vorjahr Monat 03'!A:A,0)),
IF(ISERROR(MATCH(D618,'Ist Vorjahr Monat 04'!A:A,0))=FALSE,INDEX('Ist Vorjahr Monat 04'!B:B,MATCH(D618,'Ist Vorjahr Monat 04'!A:A,0)),
IF(ISERROR(MATCH(D618,'Ist Vorjahr Monat 05'!A:A,0))=FALSE,INDEX('Ist Vorjahr Monat 05'!B:B,MATCH(D618,'Ist Vorjahr Monat 05'!A:A,0)),
IF(ISERROR(MATCH(D618,'Ist Vorjahr Monat 06'!A:A,0))=FALSE,INDEX('Ist Vorjahr Monat 06'!B:B,MATCH(D618,'Ist Vorjahr Monat 06'!A:A,0)),
IF(ISERROR(MATCH(D618,'Ist Vorjahr Monat 07'!A:A,0))=FALSE,INDEX('Ist Vorjahr Monat 07'!B:B,MATCH(D618,'Ist Vorjahr Monat 07'!A:A,0)),
IF(ISERROR(MATCH(D618,'Ist Vorjahr Monat 08'!A:A,0))=FALSE,INDEX('Ist Vorjahr Monat 08'!B:B,MATCH(D618,'Ist Vorjahr Monat 08'!A:A,0)),
IF(ISERROR(MATCH(D618,'Ist Vorjahr Monat 09'!A:A,0))=FALSE,INDEX('Ist Vorjahr Monat 09'!B:B,MATCH(D618,'Ist Vorjahr Monat 09'!A:A,0)),
IF(ISERROR(MATCH(D618,'Ist Vorjahr Monat 10'!A:A,0))=FALSE,INDEX('Ist Vorjahr Monat 10'!B:B,MATCH(D618,'Ist Vorjahr Monat 10'!A:A,0)),
IF(ISERROR(MATCH(D618,'Ist Vorjahr Monat 11'!A:A,0))=FALSE,INDEX('Ist Vorjahr Monat 11'!B:B,MATCH(D618,'Ist Vorjahr Monat 11'!A:A,0)),
IF(ISERROR(MATCH(D618,'Ist Vorjahr Monat 12'!A:A,0))=FALSE,INDEX('Ist Vorjahr Monat 12'!B:B,MATCH(D618,'Ist Vorjahr Monat 12'!A:A,0)),
"{Konto unbekannt}"
)))))))))))),"")</f>
        <v/>
      </c>
      <c r="C618" s="1335"/>
      <c r="D618" s="1336"/>
      <c r="E618" s="630">
        <f t="shared" si="308"/>
        <v>1</v>
      </c>
      <c r="F618" s="631"/>
      <c r="G618" s="632">
        <f ca="1">$E618*(SUMIF(INDIRECT(G$3),'Struktur Vorjahr'!$D618,INDIRECT(G$7)))</f>
        <v>0</v>
      </c>
      <c r="H618" s="632">
        <f ca="1">$E618*(SUMIF(INDIRECT(H$3),'Struktur Vorjahr'!$D618,INDIRECT(H$7)))</f>
        <v>0</v>
      </c>
      <c r="I618" s="632">
        <f ca="1">$E618*(SUMIF(INDIRECT(I$3),'Struktur Vorjahr'!$D618,INDIRECT(I$7)))</f>
        <v>0</v>
      </c>
      <c r="J618" s="632">
        <f ca="1">$E618*(SUMIF(INDIRECT(J$3),'Struktur Vorjahr'!$D618,INDIRECT(J$7)))</f>
        <v>0</v>
      </c>
      <c r="K618" s="632">
        <f ca="1">$E618*(SUMIF(INDIRECT(K$3),'Struktur Vorjahr'!$D618,INDIRECT(K$7)))</f>
        <v>0</v>
      </c>
      <c r="L618" s="632">
        <f ca="1">$E618*(SUMIF(INDIRECT(L$3),'Struktur Vorjahr'!$D618,INDIRECT(L$7)))</f>
        <v>0</v>
      </c>
      <c r="M618" s="632">
        <f ca="1">$E618*(SUMIF(INDIRECT(M$3),'Struktur Vorjahr'!$D618,INDIRECT(M$7)))</f>
        <v>0</v>
      </c>
      <c r="N618" s="632">
        <f ca="1">$E618*(SUMIF(INDIRECT(N$3),'Struktur Vorjahr'!$D618,INDIRECT(N$7)))</f>
        <v>0</v>
      </c>
      <c r="O618" s="632">
        <f ca="1">$E618*(SUMIF(INDIRECT(O$3),'Struktur Vorjahr'!$D618,INDIRECT(O$7)))</f>
        <v>0</v>
      </c>
      <c r="P618" s="632">
        <f ca="1">$E618*(SUMIF(INDIRECT(P$3),'Struktur Vorjahr'!$D618,INDIRECT(P$7)))</f>
        <v>0</v>
      </c>
      <c r="Q618" s="632">
        <f ca="1">$E618*(SUMIF(INDIRECT(Q$3),'Struktur Vorjahr'!$D618,INDIRECT(Q$7)))</f>
        <v>0</v>
      </c>
      <c r="R618" s="632">
        <f ca="1">$E618*(SUMIF(INDIRECT(R$3),'Struktur Vorjahr'!$D618,INDIRECT(R$7)))</f>
        <v>0</v>
      </c>
      <c r="S618" s="632">
        <f ca="1">$E618*(SUMIF(INDIRECT(S$3),'Struktur Vorjahr'!$D618,INDIRECT(S$7)))</f>
        <v>0</v>
      </c>
      <c r="T618" s="632">
        <f ca="1">$E618*(SUMIF(INDIRECT(T$3),'Struktur Vorjahr'!$D618,INDIRECT(T$7)))</f>
        <v>0</v>
      </c>
      <c r="U618" s="632">
        <f ca="1">$E618*(SUMIF(INDIRECT(U$3),'Struktur Vorjahr'!$D618,INDIRECT(U$7)))</f>
        <v>0</v>
      </c>
      <c r="V618" s="632">
        <f ca="1">$E618*(SUMIF(INDIRECT(V$3),'Struktur Vorjahr'!$D618,INDIRECT(V$7)))</f>
        <v>0</v>
      </c>
      <c r="W618" s="632">
        <f ca="1">$E618*(SUMIF(INDIRECT(W$3),'Struktur Vorjahr'!$D618,INDIRECT(W$7)))</f>
        <v>0</v>
      </c>
      <c r="X618" s="632">
        <f ca="1">$E618*(SUMIF(INDIRECT(X$3),'Struktur Vorjahr'!$D618,INDIRECT(X$7)))</f>
        <v>0</v>
      </c>
      <c r="Y618" s="632">
        <f ca="1">$E618*(SUMIF(INDIRECT(Y$3),'Struktur Vorjahr'!$D618,INDIRECT(Y$7)))</f>
        <v>0</v>
      </c>
      <c r="Z618" s="632">
        <f ca="1">$E618*(SUMIF(INDIRECT(Z$3),'Struktur Vorjahr'!$D618,INDIRECT(Z$7)))</f>
        <v>0</v>
      </c>
      <c r="AA618" s="632">
        <f ca="1">$E618*(SUMIF(INDIRECT(AA$3),'Struktur Vorjahr'!$D618,INDIRECT(AA$7)))</f>
        <v>0</v>
      </c>
      <c r="AB618" s="632">
        <f ca="1">$E618*(SUMIF(INDIRECT(AB$3),'Struktur Vorjahr'!$D618,INDIRECT(AB$7)))</f>
        <v>0</v>
      </c>
      <c r="AC618" s="632">
        <f ca="1">$E618*(SUMIF(INDIRECT(AC$3),'Struktur Vorjahr'!$D618,INDIRECT(AC$7)))</f>
        <v>0</v>
      </c>
      <c r="AD618" s="632">
        <f ca="1">$E618*(SUMIF(INDIRECT(AD$3),'Struktur Vorjahr'!$D618,INDIRECT(AD$7)))</f>
        <v>0</v>
      </c>
      <c r="AE618" s="632">
        <f t="shared" ca="1" si="327"/>
        <v>0</v>
      </c>
      <c r="AF618" s="632">
        <f t="shared" ca="1" si="328"/>
        <v>0</v>
      </c>
      <c r="AG618" s="632">
        <f t="shared" ca="1" si="329"/>
        <v>0</v>
      </c>
      <c r="AH618" s="632">
        <f t="shared" ca="1" si="330"/>
        <v>0</v>
      </c>
      <c r="AI618" s="632">
        <f t="shared" ca="1" si="331"/>
        <v>0</v>
      </c>
      <c r="AJ618" s="632">
        <f t="shared" ca="1" si="332"/>
        <v>0</v>
      </c>
      <c r="AK618" s="632">
        <f t="shared" ca="1" si="333"/>
        <v>0</v>
      </c>
      <c r="AL618" s="632">
        <f t="shared" ca="1" si="334"/>
        <v>0</v>
      </c>
      <c r="AM618" s="632">
        <f t="shared" ca="1" si="335"/>
        <v>0</v>
      </c>
      <c r="AN618" s="632">
        <f t="shared" ca="1" si="336"/>
        <v>0</v>
      </c>
      <c r="AO618" s="632">
        <f t="shared" ca="1" si="337"/>
        <v>0</v>
      </c>
      <c r="AP618" s="632">
        <f t="shared" ca="1" si="338"/>
        <v>0</v>
      </c>
    </row>
  </sheetData>
  <mergeCells count="5">
    <mergeCell ref="G1:R1"/>
    <mergeCell ref="S1:AD1"/>
    <mergeCell ref="AE1:AP1"/>
    <mergeCell ref="E2:F2"/>
    <mergeCell ref="A1:F1"/>
  </mergeCell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>
    <tabColor rgb="FFFFC000"/>
  </sheetPr>
  <dimension ref="A1:N107"/>
  <sheetViews>
    <sheetView showGridLines="0" zoomScaleNormal="100" workbookViewId="0">
      <selection activeCell="A4" sqref="A4:M7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7" width="14" style="638" bestFit="1" customWidth="1"/>
    <col min="8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DATE(Grunddaten!B5,Grunddaten!B6-1+1,1)</f>
        <v>43466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104.28</v>
      </c>
      <c r="K4" s="638">
        <v>1407.22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53.12</v>
      </c>
      <c r="K7" s="638">
        <v>990.38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75.06</v>
      </c>
      <c r="K9" s="638">
        <v>2012.94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I12" s="638">
        <v>417.29</v>
      </c>
      <c r="K12" s="638">
        <v>590.67999999999995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10036.26</v>
      </c>
      <c r="K13" s="638">
        <v>26509.81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35000</v>
      </c>
      <c r="K15" s="638">
        <v>100000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53195.15</v>
      </c>
      <c r="K18" s="638">
        <v>24554.15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153.15</v>
      </c>
      <c r="L22" s="638">
        <v>153.15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7.69</v>
      </c>
      <c r="K23" s="638">
        <v>7.69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10.47</v>
      </c>
      <c r="K24" s="638">
        <v>10.47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651.92999999999995</v>
      </c>
      <c r="K25" s="638">
        <v>651.92999999999995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9.4</v>
      </c>
      <c r="K26" s="638">
        <v>9.4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189.19</v>
      </c>
      <c r="L27" s="638">
        <v>1206.06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18.899999999999999</v>
      </c>
      <c r="L28" s="638">
        <v>364.5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731.59</v>
      </c>
      <c r="L29" s="638">
        <v>1295.0899999999999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K30" s="638">
        <v>0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260</v>
      </c>
      <c r="K31" s="638">
        <v>160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10.47</v>
      </c>
      <c r="L33" s="638">
        <v>10.47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2042.84</v>
      </c>
      <c r="L34" s="638">
        <v>2042.84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0</v>
      </c>
      <c r="K35" s="638">
        <v>0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475.67</v>
      </c>
      <c r="K36" s="638">
        <v>475.67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0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234.92</v>
      </c>
      <c r="L39" s="638">
        <v>234.92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211.78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240.01</v>
      </c>
      <c r="K42" s="638">
        <v>240.01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K43" s="638">
        <v>0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1250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1120.3800000000001</v>
      </c>
      <c r="K45" s="638">
        <v>1120.3800000000001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1895.37</v>
      </c>
      <c r="K46" s="638">
        <v>1895.37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5185.72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775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3943.5</v>
      </c>
      <c r="K49" s="638">
        <v>3943.5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169.15</v>
      </c>
      <c r="K51" s="638">
        <v>169.15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561.15</v>
      </c>
      <c r="K52" s="638">
        <v>561.15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247.72</v>
      </c>
      <c r="K53" s="638">
        <v>247.72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416.85</v>
      </c>
      <c r="K54" s="638">
        <v>416.85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1142.8</v>
      </c>
      <c r="K55" s="638">
        <v>1142.8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0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0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0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18.899999999999999</v>
      </c>
      <c r="K60" s="638">
        <v>18.899999999999999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10.37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1250.5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288.24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223</v>
      </c>
      <c r="K64" s="638">
        <v>223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0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0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0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320.04000000000002</v>
      </c>
      <c r="K68" s="638">
        <v>320.04000000000002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0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11</v>
      </c>
      <c r="K72" s="638">
        <v>11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5.41</v>
      </c>
      <c r="K73" s="638">
        <v>5.41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13.61</v>
      </c>
      <c r="K75" s="638">
        <v>13.61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211.2</v>
      </c>
      <c r="K76" s="638">
        <v>211.2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0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55.09</v>
      </c>
      <c r="K78" s="638">
        <v>55.09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104.28</v>
      </c>
      <c r="K79" s="638">
        <v>104.28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128.18</v>
      </c>
      <c r="K80" s="638">
        <v>128.18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0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145.19999999999999</v>
      </c>
      <c r="K82" s="638">
        <v>145.19999999999999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0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308.99</v>
      </c>
      <c r="K84" s="638">
        <v>308.99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0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36.130000000000003</v>
      </c>
      <c r="K87" s="638">
        <v>36.130000000000003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13.78</v>
      </c>
      <c r="K88" s="638">
        <v>13.78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0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0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0</v>
      </c>
      <c r="K91" s="638">
        <v>0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0</v>
      </c>
      <c r="K92" s="638">
        <v>0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0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0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10</v>
      </c>
      <c r="K95" s="638">
        <v>10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0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K98" s="638">
        <v>0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3047.44</v>
      </c>
      <c r="L99" s="638">
        <v>3047.44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I100" s="638">
        <v>0</v>
      </c>
      <c r="K100" s="638">
        <v>0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950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6754.33</v>
      </c>
      <c r="L103" s="638">
        <v>6754.33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K104" s="638">
        <v>0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201" priority="2" stopIfTrue="1" operator="equal">
      <formula>"ok"</formula>
    </cfRule>
    <cfRule type="cellIs" dxfId="3200" priority="3" stopIfTrue="1" operator="equal">
      <formula>"Konto noch nicht zugeordnet"</formula>
    </cfRule>
  </conditionalFormatting>
  <pageMargins left="0.7" right="0.7" top="0.75" bottom="0.75" header="0.3" footer="0.3"/>
  <pageSetup paperSize="9" scale="52" orientation="portrait" horizontalDpi="4294967293" verticalDpi="429496729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F834D749-4E15-4676-B867-68D834C40300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DATE(Grunddaten!B5,Grunddaten!B6-1+2,1)</f>
        <v>43497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104.3</v>
      </c>
      <c r="K4" s="638">
        <v>1302.92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53.13</v>
      </c>
      <c r="K7" s="638">
        <v>937.25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168.05</v>
      </c>
      <c r="K8" s="638">
        <v>168.05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75.09</v>
      </c>
      <c r="K9" s="638">
        <v>1937.85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91.96</v>
      </c>
      <c r="K12" s="638">
        <v>498.72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13802.12</v>
      </c>
      <c r="K13" s="638">
        <v>12707.69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100000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585.03</v>
      </c>
      <c r="K18" s="638">
        <v>23969.119999999999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4.78</v>
      </c>
      <c r="L22" s="638">
        <v>157.93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1.47</v>
      </c>
      <c r="K23" s="638">
        <v>9.16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10.47</v>
      </c>
      <c r="K24" s="638">
        <v>20.94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615.83000000000004</v>
      </c>
      <c r="K25" s="638">
        <v>1267.76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526.79</v>
      </c>
      <c r="L26" s="638">
        <v>517.39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215.36</v>
      </c>
      <c r="L27" s="638">
        <v>990.7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I28" s="638">
        <v>0</v>
      </c>
      <c r="L28" s="638">
        <v>364.5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136.44999999999999</v>
      </c>
      <c r="L29" s="638">
        <v>1158.6400000000001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88</v>
      </c>
      <c r="L30" s="638">
        <v>88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J31" s="638">
        <v>172</v>
      </c>
      <c r="L31" s="638">
        <v>12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10.47</v>
      </c>
      <c r="L33" s="638">
        <v>20.94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2313.94</v>
      </c>
      <c r="L34" s="638">
        <v>4356.78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0</v>
      </c>
      <c r="K35" s="638">
        <v>0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7837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0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423.56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0.84</v>
      </c>
      <c r="K42" s="638">
        <v>240.85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K43" s="638">
        <v>0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2500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1120.3800000000001</v>
      </c>
      <c r="K45" s="638">
        <v>2240.7600000000002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1895.37</v>
      </c>
      <c r="K46" s="638">
        <v>3790.74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10371.44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1550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3943.5</v>
      </c>
      <c r="K49" s="638">
        <v>7887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507.44</v>
      </c>
      <c r="K51" s="638">
        <v>676.59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561.15</v>
      </c>
      <c r="K52" s="638">
        <v>1122.3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247.71</v>
      </c>
      <c r="K53" s="638">
        <v>495.43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416.86</v>
      </c>
      <c r="K54" s="638">
        <v>833.71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706.18</v>
      </c>
      <c r="K55" s="638">
        <v>1848.98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0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0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88</v>
      </c>
      <c r="K59" s="638">
        <v>88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0</v>
      </c>
      <c r="K60" s="638">
        <v>18.899999999999999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20.74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2501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576.48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4.71</v>
      </c>
      <c r="K64" s="638">
        <v>227.71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0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93</v>
      </c>
      <c r="K66" s="638">
        <v>93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209.08</v>
      </c>
      <c r="K67" s="638">
        <v>209.08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704.19</v>
      </c>
      <c r="K68" s="638">
        <v>1024.23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0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21.35</v>
      </c>
      <c r="K72" s="638">
        <v>32.35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10.5</v>
      </c>
      <c r="K73" s="638">
        <v>15.91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13.61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27</v>
      </c>
      <c r="K76" s="638">
        <v>238.2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16.78</v>
      </c>
      <c r="K77" s="638">
        <v>16.78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55.09</v>
      </c>
      <c r="K78" s="638">
        <v>110.18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104.3</v>
      </c>
      <c r="K79" s="638">
        <v>208.58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128.22</v>
      </c>
      <c r="K80" s="638">
        <v>256.39999999999998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0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166.49</v>
      </c>
      <c r="K82" s="638">
        <v>311.69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84</v>
      </c>
      <c r="K83" s="638">
        <v>84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264.36</v>
      </c>
      <c r="K84" s="638">
        <v>573.35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0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0</v>
      </c>
      <c r="K87" s="638">
        <v>36.130000000000003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112.09</v>
      </c>
      <c r="K88" s="638">
        <v>125.87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0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146.25</v>
      </c>
      <c r="K90" s="638">
        <v>146.25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237.36</v>
      </c>
      <c r="K91" s="638">
        <v>237.36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118.42</v>
      </c>
      <c r="K92" s="638">
        <v>118.42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28.5</v>
      </c>
      <c r="K93" s="638">
        <v>28.5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0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30.9</v>
      </c>
      <c r="K95" s="638">
        <v>40.9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0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J98" s="638">
        <v>3366.76</v>
      </c>
      <c r="L98" s="638">
        <v>3366.76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152.80000000000001</v>
      </c>
      <c r="L99" s="638">
        <v>3200.24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205.83</v>
      </c>
      <c r="L100" s="638">
        <v>205.83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1900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7503.26</v>
      </c>
      <c r="L103" s="638">
        <v>14257.59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K104" s="638">
        <v>0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98" priority="2" stopIfTrue="1" operator="equal">
      <formula>"ok"</formula>
    </cfRule>
    <cfRule type="cellIs" dxfId="3197" priority="3" stopIfTrue="1" operator="equal">
      <formula>"Konto noch nicht zugeordnet"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813E263E-8DEA-4116-A925-5DBEF8E1B77B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4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DATE(Grunddaten!B5,Grunddaten!B6-1+3,1)</f>
        <v>43525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104.28</v>
      </c>
      <c r="K4" s="638">
        <v>1198.6400000000001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53.12</v>
      </c>
      <c r="K7" s="638">
        <v>884.13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J8" s="638">
        <v>168.05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75.06</v>
      </c>
      <c r="K9" s="638">
        <v>1862.79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146.04</v>
      </c>
      <c r="K12" s="638">
        <v>352.68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1719.6</v>
      </c>
      <c r="K13" s="638">
        <v>14427.29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10000</v>
      </c>
      <c r="K15" s="638">
        <v>90000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9961.1</v>
      </c>
      <c r="K18" s="638">
        <v>14008.02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4.78</v>
      </c>
      <c r="L22" s="638">
        <v>153.15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16.55</v>
      </c>
      <c r="K23" s="638">
        <v>25.71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18.809999999999999</v>
      </c>
      <c r="K24" s="638">
        <v>39.75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965.49</v>
      </c>
      <c r="K25" s="638">
        <v>2233.25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1638.87</v>
      </c>
      <c r="K26" s="638">
        <v>1121.48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J27" s="638">
        <v>1543.33</v>
      </c>
      <c r="L27" s="638">
        <v>2534.0300000000002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27</v>
      </c>
      <c r="L28" s="638">
        <v>391.5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159.62</v>
      </c>
      <c r="L29" s="638">
        <v>1318.26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52.32</v>
      </c>
      <c r="L30" s="638">
        <v>140.32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L31" s="638">
        <v>12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18.809999999999999</v>
      </c>
      <c r="L33" s="638">
        <v>39.75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1326.49</v>
      </c>
      <c r="L34" s="638">
        <v>5683.27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1383.22</v>
      </c>
      <c r="K35" s="638">
        <v>1383.22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197.28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397.87</v>
      </c>
      <c r="K40" s="638">
        <v>821.43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240.85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J43" s="638">
        <v>0.01</v>
      </c>
      <c r="L43" s="638">
        <v>0.01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3750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1120.3800000000001</v>
      </c>
      <c r="K45" s="638">
        <v>3361.14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1895.37</v>
      </c>
      <c r="K46" s="638">
        <v>5686.11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15557.16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2325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5173.13</v>
      </c>
      <c r="K49" s="638">
        <v>13060.13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169.14</v>
      </c>
      <c r="K51" s="638">
        <v>845.73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642.16</v>
      </c>
      <c r="K52" s="638">
        <v>1764.46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247.72</v>
      </c>
      <c r="K53" s="638">
        <v>743.15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416.86</v>
      </c>
      <c r="K54" s="638">
        <v>1250.57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1092.8800000000001</v>
      </c>
      <c r="K55" s="638">
        <v>2941.86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0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342.65</v>
      </c>
      <c r="K57" s="638">
        <v>342.65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120</v>
      </c>
      <c r="K58" s="638">
        <v>120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132.66999999999999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27</v>
      </c>
      <c r="K60" s="638">
        <v>45.9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31.11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3751.5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864.72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223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47.03</v>
      </c>
      <c r="K65" s="638">
        <v>47.03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93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209.08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120</v>
      </c>
      <c r="K68" s="638">
        <v>1144.23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1260.5</v>
      </c>
      <c r="K71" s="638">
        <v>1260.5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32.35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15.91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3.36</v>
      </c>
      <c r="K75" s="638">
        <v>16.97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43.2</v>
      </c>
      <c r="K76" s="638">
        <v>281.39999999999998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76.7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55.09</v>
      </c>
      <c r="K78" s="638">
        <v>165.27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104.28</v>
      </c>
      <c r="K79" s="638">
        <v>312.86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128.18</v>
      </c>
      <c r="K80" s="638">
        <v>384.58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168.05</v>
      </c>
      <c r="K81" s="638">
        <v>168.05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281.72000000000003</v>
      </c>
      <c r="K82" s="638">
        <v>593.41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84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349.12</v>
      </c>
      <c r="K84" s="638">
        <v>922.47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9.39</v>
      </c>
      <c r="K86" s="638">
        <v>9.39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945.81</v>
      </c>
      <c r="K87" s="638">
        <v>981.94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17.13</v>
      </c>
      <c r="K88" s="638">
        <v>143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0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90</v>
      </c>
      <c r="K90" s="638">
        <v>236.25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0</v>
      </c>
      <c r="K91" s="638">
        <v>237.36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121.6</v>
      </c>
      <c r="K92" s="638">
        <v>240.02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27.18</v>
      </c>
      <c r="K94" s="638">
        <v>27.18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31.95</v>
      </c>
      <c r="K95" s="638">
        <v>72.849999999999994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119.21</v>
      </c>
      <c r="K96" s="638">
        <v>119.21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J98" s="638">
        <v>4582.1000000000004</v>
      </c>
      <c r="L98" s="638">
        <v>7948.86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999</v>
      </c>
      <c r="L99" s="638">
        <v>4199.24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205.83</v>
      </c>
      <c r="L100" s="638">
        <v>411.66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1145</v>
      </c>
      <c r="L102" s="638">
        <v>3045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I103" s="638">
        <v>0</v>
      </c>
      <c r="L103" s="638">
        <v>14257.59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J104" s="638">
        <v>49.6</v>
      </c>
      <c r="L104" s="638">
        <v>49.6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95" priority="2" stopIfTrue="1" operator="equal">
      <formula>"ok"</formula>
    </cfRule>
    <cfRule type="cellIs" dxfId="3194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FB3B8356-09BE-4E20-B6BB-F4372DFC101D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5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DATE(Grunddaten!B5,Grunddaten!B6-1+4,1)</f>
        <v>43556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104.3</v>
      </c>
      <c r="K4" s="638">
        <v>1094.3399999999999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I7" s="638">
        <v>3609.78</v>
      </c>
      <c r="K7" s="638">
        <v>4493.91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I9" s="638">
        <v>1470.12</v>
      </c>
      <c r="K9" s="638">
        <v>3332.91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26.08</v>
      </c>
      <c r="K12" s="638">
        <v>326.60000000000002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29724.76</v>
      </c>
      <c r="K13" s="638">
        <v>44152.05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50000</v>
      </c>
      <c r="K15" s="638">
        <v>40000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6948.46</v>
      </c>
      <c r="K18" s="638">
        <v>20956.48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0.22</v>
      </c>
      <c r="L22" s="638">
        <v>153.37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11.69</v>
      </c>
      <c r="K23" s="638">
        <v>37.4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19.02</v>
      </c>
      <c r="K24" s="638">
        <v>58.77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1200.04</v>
      </c>
      <c r="K25" s="638">
        <v>3433.29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1554.36</v>
      </c>
      <c r="L26" s="638">
        <v>432.88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165.24</v>
      </c>
      <c r="L27" s="638">
        <v>2368.79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44.4</v>
      </c>
      <c r="L28" s="638">
        <v>435.9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202.7</v>
      </c>
      <c r="L29" s="638">
        <v>1520.96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46.32</v>
      </c>
      <c r="L30" s="638">
        <v>186.64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L31" s="638">
        <v>12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19.02</v>
      </c>
      <c r="L33" s="638">
        <v>58.77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2552.13</v>
      </c>
      <c r="L34" s="638">
        <v>8235.4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1696.64</v>
      </c>
      <c r="K35" s="638">
        <v>3079.86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245.23</v>
      </c>
      <c r="K40" s="638">
        <v>1066.6600000000001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240.85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J43" s="638">
        <v>0.82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5000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1120.3699999999999</v>
      </c>
      <c r="K45" s="638">
        <v>4481.51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1895.38</v>
      </c>
      <c r="K46" s="638">
        <v>7581.49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20742.88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3100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4666.88</v>
      </c>
      <c r="K49" s="638">
        <v>17727.009999999998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169.14</v>
      </c>
      <c r="K51" s="638">
        <v>1014.87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582.82000000000005</v>
      </c>
      <c r="K52" s="638">
        <v>2347.2800000000002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247.72</v>
      </c>
      <c r="K53" s="638">
        <v>990.87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416.86</v>
      </c>
      <c r="K54" s="638">
        <v>1667.43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1092.8800000000001</v>
      </c>
      <c r="K55" s="638">
        <v>4034.74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262.45999999999998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14.88</v>
      </c>
      <c r="K57" s="638">
        <v>357.53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200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177.34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44.4</v>
      </c>
      <c r="K60" s="638">
        <v>90.3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41.48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5002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1152.96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42.75</v>
      </c>
      <c r="K65" s="638">
        <v>89.78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93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1862.2</v>
      </c>
      <c r="K67" s="638">
        <v>2071.2800000000002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J68" s="638">
        <v>105.36</v>
      </c>
      <c r="K68" s="638">
        <v>1038.8699999999999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45</v>
      </c>
      <c r="K71" s="638">
        <v>1305.5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104.41</v>
      </c>
      <c r="K72" s="638">
        <v>136.76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51.35</v>
      </c>
      <c r="K73" s="638">
        <v>67.260000000000005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16.97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1.2</v>
      </c>
      <c r="K76" s="638">
        <v>282.60000000000002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304.57</v>
      </c>
      <c r="K78" s="638">
        <v>469.84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104.3</v>
      </c>
      <c r="K79" s="638">
        <v>417.16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241.84</v>
      </c>
      <c r="K80" s="638">
        <v>626.41999999999996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168.05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62.58</v>
      </c>
      <c r="K82" s="638">
        <v>655.99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2.85</v>
      </c>
      <c r="K83" s="638">
        <v>86.85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291.2</v>
      </c>
      <c r="K84" s="638">
        <v>1213.67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9.39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49</v>
      </c>
      <c r="K87" s="638">
        <v>1030.94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43.15</v>
      </c>
      <c r="K88" s="638">
        <v>186.15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130.1</v>
      </c>
      <c r="K89" s="638">
        <v>130.1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223</v>
      </c>
      <c r="K90" s="638">
        <v>459.25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0</v>
      </c>
      <c r="K91" s="638">
        <v>237.36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0</v>
      </c>
      <c r="K92" s="638">
        <v>240.02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27.18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39.15</v>
      </c>
      <c r="K95" s="638">
        <v>112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119.21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422.5</v>
      </c>
      <c r="L99" s="638">
        <v>4621.74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235.83</v>
      </c>
      <c r="L100" s="638">
        <v>647.49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3995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11823.88</v>
      </c>
      <c r="L103" s="638">
        <v>26081.47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92" priority="2" stopIfTrue="1" operator="equal">
      <formula>"ok"</formula>
    </cfRule>
    <cfRule type="cellIs" dxfId="3191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2473F128-34B4-4BA6-A4A9-2705989F52D1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6">
    <tabColor rgb="FFFFC000"/>
  </sheetPr>
  <dimension ref="A1:N107"/>
  <sheetViews>
    <sheetView showGridLines="0" zoomScaleNormal="10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DATE(Grunddaten!B5,Grunddaten!B6-1+5,1)</f>
        <v>43586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104.29</v>
      </c>
      <c r="K4" s="638">
        <v>990.05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136.62</v>
      </c>
      <c r="K7" s="638">
        <v>4357.29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83.87</v>
      </c>
      <c r="K9" s="638">
        <v>3249.04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36287.78</v>
      </c>
      <c r="K11" s="638">
        <v>36287.78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111.29</v>
      </c>
      <c r="K12" s="638">
        <v>215.31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40232.589999999997</v>
      </c>
      <c r="K13" s="638">
        <v>3919.46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10000</v>
      </c>
      <c r="K15" s="638">
        <v>30000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7973.54</v>
      </c>
      <c r="K18" s="638">
        <v>12982.94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104.6</v>
      </c>
      <c r="L22" s="638">
        <v>48.77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4.63</v>
      </c>
      <c r="K23" s="638">
        <v>42.03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8.5299999999999994</v>
      </c>
      <c r="K24" s="638">
        <v>67.3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1057.72</v>
      </c>
      <c r="K25" s="638">
        <v>4491.01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268.52</v>
      </c>
      <c r="L26" s="638">
        <v>164.36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479.25</v>
      </c>
      <c r="L27" s="638">
        <v>1889.54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45.3</v>
      </c>
      <c r="L28" s="638">
        <v>481.2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282.27</v>
      </c>
      <c r="L29" s="638">
        <v>1238.69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53.97</v>
      </c>
      <c r="L30" s="638">
        <v>132.66999999999999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44.67</v>
      </c>
      <c r="K31" s="638">
        <v>32.67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8.5299999999999994</v>
      </c>
      <c r="L33" s="638">
        <v>67.3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1475.38</v>
      </c>
      <c r="L34" s="638">
        <v>9710.7800000000007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344.45</v>
      </c>
      <c r="K35" s="638">
        <v>3424.31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1278.44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177</v>
      </c>
      <c r="K41" s="638">
        <v>177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500</v>
      </c>
      <c r="K42" s="638">
        <v>740.85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6250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1120.3699999999999</v>
      </c>
      <c r="K45" s="638">
        <v>5601.88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1895.38</v>
      </c>
      <c r="K46" s="638">
        <v>9476.8700000000008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25928.6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3875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3661.55</v>
      </c>
      <c r="K49" s="638">
        <v>21388.560000000001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338.29</v>
      </c>
      <c r="K51" s="638">
        <v>1353.16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471.16</v>
      </c>
      <c r="K52" s="638">
        <v>2818.44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247.71</v>
      </c>
      <c r="K53" s="638">
        <v>1238.58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247.72</v>
      </c>
      <c r="K54" s="638">
        <v>1915.15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1092.8800000000001</v>
      </c>
      <c r="K55" s="638">
        <v>5127.62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357.53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200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222.01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45.3</v>
      </c>
      <c r="K60" s="638">
        <v>135.6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51.85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6252.5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1441.2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568.28</v>
      </c>
      <c r="K65" s="638">
        <v>658.06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5416.5</v>
      </c>
      <c r="K66" s="638">
        <v>5509.5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2071.2800000000002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0</v>
      </c>
      <c r="K68" s="638">
        <v>1038.8699999999999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16.489999999999998</v>
      </c>
      <c r="K71" s="638">
        <v>1321.99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136.76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67.260000000000005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16.97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215.1</v>
      </c>
      <c r="K76" s="638">
        <v>497.7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44.89</v>
      </c>
      <c r="K78" s="638">
        <v>514.73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104.29</v>
      </c>
      <c r="K79" s="638">
        <v>521.45000000000005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220.49</v>
      </c>
      <c r="K80" s="638">
        <v>846.91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415.97</v>
      </c>
      <c r="K81" s="638">
        <v>584.02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170.92</v>
      </c>
      <c r="K82" s="638">
        <v>826.91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7.49</v>
      </c>
      <c r="K83" s="638">
        <v>94.34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399.4</v>
      </c>
      <c r="K84" s="638">
        <v>1613.07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27</v>
      </c>
      <c r="K86" s="638">
        <v>36.39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0</v>
      </c>
      <c r="K87" s="638">
        <v>1030.94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20.07</v>
      </c>
      <c r="K88" s="638">
        <v>206.22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130.1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120</v>
      </c>
      <c r="K90" s="638">
        <v>579.25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332.36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126.34</v>
      </c>
      <c r="K92" s="638">
        <v>366.36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2150</v>
      </c>
      <c r="K93" s="638">
        <v>2178.5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27.18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34.65</v>
      </c>
      <c r="K95" s="638">
        <v>146.65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33.61</v>
      </c>
      <c r="K96" s="638">
        <v>152.82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260</v>
      </c>
      <c r="L99" s="638">
        <v>4881.74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325.83</v>
      </c>
      <c r="L100" s="638">
        <v>973.32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308.39999999999998</v>
      </c>
      <c r="L101" s="638">
        <v>308.39999999999998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4945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5920.88</v>
      </c>
      <c r="L103" s="638">
        <v>32002.35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89" priority="2" stopIfTrue="1" operator="equal">
      <formula>"ok"</formula>
    </cfRule>
    <cfRule type="cellIs" dxfId="3188" priority="3" stopIfTrue="1" operator="equal">
      <formula>"Konto noch nicht zugeordnet"</formula>
    </cfRule>
  </conditionalFormatting>
  <pageMargins left="0.7" right="0.7" top="0.75" bottom="0.75" header="0.3" footer="0.3"/>
  <pageSetup paperSize="9" scale="44" orientation="portrait" horizontalDpi="4294967293" verticalDpi="429496729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C1F85854-5311-40BA-9638-4DD6378D7D80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7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DATE(Grunddaten!B5,Grunddaten!B6-1+6,1)</f>
        <v>43617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104.29</v>
      </c>
      <c r="K4" s="638">
        <v>885.76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</v>
      </c>
      <c r="K7" s="638">
        <v>4220.6899999999996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83.83</v>
      </c>
      <c r="K9" s="638">
        <v>3165.21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62.1</v>
      </c>
      <c r="K12" s="638">
        <v>153.21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1441.33</v>
      </c>
      <c r="K13" s="638">
        <v>5360.79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15000</v>
      </c>
      <c r="K15" s="638">
        <v>15000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3431.71</v>
      </c>
      <c r="K18" s="638">
        <v>16414.650000000001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110.52</v>
      </c>
      <c r="L22" s="638">
        <v>159.29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7.59</v>
      </c>
      <c r="K23" s="638">
        <v>49.62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39.9</v>
      </c>
      <c r="K24" s="638">
        <v>107.2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740.94</v>
      </c>
      <c r="K25" s="638">
        <v>5231.95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211.92</v>
      </c>
      <c r="L26" s="638">
        <v>376.28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1456.88</v>
      </c>
      <c r="L27" s="638">
        <v>432.66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115.2</v>
      </c>
      <c r="L28" s="638">
        <v>596.4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26.31</v>
      </c>
      <c r="L29" s="638">
        <v>1212.3800000000001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44.67</v>
      </c>
      <c r="L30" s="638">
        <v>177.34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44.67</v>
      </c>
      <c r="K31" s="638">
        <v>77.34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39.9</v>
      </c>
      <c r="L33" s="638">
        <v>107.2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2106.15</v>
      </c>
      <c r="L34" s="638">
        <v>11816.93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1340.4</v>
      </c>
      <c r="K35" s="638">
        <v>4764.71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234.92</v>
      </c>
      <c r="L39" s="638">
        <v>469.84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1490.22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160</v>
      </c>
      <c r="K41" s="638">
        <v>337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0.84</v>
      </c>
      <c r="K42" s="638">
        <v>741.69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7500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1120.3699999999999</v>
      </c>
      <c r="K45" s="638">
        <v>6722.25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2070.38</v>
      </c>
      <c r="K46" s="638">
        <v>11547.25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4954.92</v>
      </c>
      <c r="K47" s="638">
        <v>30883.52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950</v>
      </c>
      <c r="K48" s="638">
        <v>4825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3673.13</v>
      </c>
      <c r="K49" s="638">
        <v>25061.69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207.33</v>
      </c>
      <c r="K51" s="638">
        <v>1560.49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473.71</v>
      </c>
      <c r="K52" s="638">
        <v>3292.15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247.71</v>
      </c>
      <c r="K53" s="638">
        <v>1486.29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455.06</v>
      </c>
      <c r="K54" s="638">
        <v>2370.21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1035.1400000000001</v>
      </c>
      <c r="K55" s="638">
        <v>6162.76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357.53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200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266.68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96</v>
      </c>
      <c r="K60" s="638">
        <v>231.6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62.22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0</v>
      </c>
      <c r="K62" s="638">
        <v>6252.5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585.28</v>
      </c>
      <c r="K63" s="638">
        <v>2026.48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658.06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2071.2800000000002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0</v>
      </c>
      <c r="K68" s="638">
        <v>1038.8699999999999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1321.99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136.76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67.260000000000005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15.7</v>
      </c>
      <c r="K74" s="638">
        <v>15.7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1.26</v>
      </c>
      <c r="K75" s="638">
        <v>18.23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84.9</v>
      </c>
      <c r="K76" s="638">
        <v>582.6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138.99</v>
      </c>
      <c r="K78" s="638">
        <v>653.72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104.29</v>
      </c>
      <c r="K79" s="638">
        <v>625.74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220.43</v>
      </c>
      <c r="K80" s="638">
        <v>1067.3399999999999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326.95999999999998</v>
      </c>
      <c r="K81" s="638">
        <v>910.98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93.07</v>
      </c>
      <c r="K82" s="638">
        <v>919.98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94.34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375.57</v>
      </c>
      <c r="K84" s="638">
        <v>1988.64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264.08999999999997</v>
      </c>
      <c r="K86" s="638">
        <v>300.48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643.73</v>
      </c>
      <c r="K87" s="638">
        <v>1674.67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75.75</v>
      </c>
      <c r="K88" s="638">
        <v>281.97000000000003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130.1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71.209999999999994</v>
      </c>
      <c r="K90" s="638">
        <v>650.46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285.08999999999997</v>
      </c>
      <c r="K91" s="638">
        <v>617.45000000000005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263.70999999999998</v>
      </c>
      <c r="K92" s="638">
        <v>630.07000000000005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231.08</v>
      </c>
      <c r="K94" s="638">
        <v>258.26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37.049999999999997</v>
      </c>
      <c r="K95" s="638">
        <v>183.7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25.81</v>
      </c>
      <c r="K96" s="638">
        <v>178.63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1724.35</v>
      </c>
      <c r="L99" s="638">
        <v>6606.09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I100" s="638">
        <v>0</v>
      </c>
      <c r="L100" s="638">
        <v>973.32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23.53</v>
      </c>
      <c r="L101" s="638">
        <v>331.93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4187.54</v>
      </c>
      <c r="L102" s="638">
        <v>9132.5400000000009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5149.59</v>
      </c>
      <c r="L103" s="638">
        <v>37151.94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86" priority="2" stopIfTrue="1" operator="equal">
      <formula>"ok"</formula>
    </cfRule>
    <cfRule type="cellIs" dxfId="3185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CEA40B31-1183-4A72-884F-3838492B7ACC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8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DATE(Grunddaten!B5,Grunddaten!B6-1+7,1)</f>
        <v>43647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104.29</v>
      </c>
      <c r="K4" s="638">
        <v>781.47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136.62</v>
      </c>
      <c r="K7" s="638">
        <v>4084.07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83.88</v>
      </c>
      <c r="K9" s="638">
        <v>3081.33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I12" s="638">
        <v>38.61</v>
      </c>
      <c r="K12" s="638">
        <v>191.82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8738.74</v>
      </c>
      <c r="K13" s="638">
        <v>14099.53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15000</v>
      </c>
      <c r="K15" s="638">
        <v>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43316.54</v>
      </c>
      <c r="K18" s="638">
        <v>59731.19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467.16</v>
      </c>
      <c r="K19" s="638">
        <v>467.16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51.01</v>
      </c>
      <c r="K20" s="638">
        <v>51.01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19.940000000000001</v>
      </c>
      <c r="L22" s="638">
        <v>139.35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2.4500000000000002</v>
      </c>
      <c r="K23" s="638">
        <v>52.07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25.64</v>
      </c>
      <c r="K24" s="638">
        <v>132.84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861.53</v>
      </c>
      <c r="K25" s="638">
        <v>6093.48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121.89</v>
      </c>
      <c r="L26" s="638">
        <v>254.39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J27" s="638">
        <v>653.91</v>
      </c>
      <c r="L27" s="638">
        <v>1086.57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41.7</v>
      </c>
      <c r="L28" s="638">
        <v>638.1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662.29</v>
      </c>
      <c r="L29" s="638">
        <v>1874.67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L30" s="638">
        <v>177.34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268</v>
      </c>
      <c r="K31" s="638">
        <v>345.34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25.64</v>
      </c>
      <c r="L33" s="638">
        <v>132.84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9647.8799999999992</v>
      </c>
      <c r="L34" s="638">
        <v>21464.81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413.03</v>
      </c>
      <c r="K35" s="638">
        <v>5177.74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J38" s="638">
        <v>467.16</v>
      </c>
      <c r="L38" s="638">
        <v>467.16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51.01</v>
      </c>
      <c r="L39" s="638">
        <v>520.85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212.62</v>
      </c>
      <c r="K40" s="638">
        <v>1702.84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90</v>
      </c>
      <c r="K41" s="638">
        <v>427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741.69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4339.88</v>
      </c>
      <c r="K47" s="638">
        <v>35223.4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8376.8799999999992</v>
      </c>
      <c r="K49" s="638">
        <v>33438.57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1230.06</v>
      </c>
      <c r="K52" s="638">
        <v>4522.21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J55" s="638">
        <v>523.41999999999996</v>
      </c>
      <c r="K55" s="638">
        <v>5639.34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42.02</v>
      </c>
      <c r="K57" s="638">
        <v>399.55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160</v>
      </c>
      <c r="K58" s="638">
        <v>360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4124.8500000000004</v>
      </c>
      <c r="K59" s="638">
        <v>4391.53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41.7</v>
      </c>
      <c r="K60" s="638">
        <v>273.3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405.39</v>
      </c>
      <c r="K61" s="638">
        <v>467.61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2200</v>
      </c>
      <c r="K62" s="638">
        <v>8452.5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J63" s="638">
        <v>121.86</v>
      </c>
      <c r="K63" s="638">
        <v>1904.62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569.89</v>
      </c>
      <c r="K65" s="638">
        <v>1227.95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J67" s="638">
        <v>467.16</v>
      </c>
      <c r="K67" s="638">
        <v>1604.12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43.89</v>
      </c>
      <c r="K68" s="638">
        <v>1082.76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80.5</v>
      </c>
      <c r="K71" s="638">
        <v>1402.49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133.94</v>
      </c>
      <c r="K72" s="638">
        <v>270.7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39.799999999999997</v>
      </c>
      <c r="K73" s="638">
        <v>107.06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15.7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32.520000000000003</v>
      </c>
      <c r="K75" s="638">
        <v>50.75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155.4</v>
      </c>
      <c r="K76" s="638">
        <v>738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97.84</v>
      </c>
      <c r="K78" s="638">
        <v>751.56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104.29</v>
      </c>
      <c r="K79" s="638">
        <v>730.03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220.5</v>
      </c>
      <c r="K80" s="638">
        <v>1287.8399999999999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363</v>
      </c>
      <c r="K81" s="638">
        <v>1273.98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93.97</v>
      </c>
      <c r="K82" s="638">
        <v>1013.95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14.79</v>
      </c>
      <c r="K83" s="638">
        <v>109.13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431.73</v>
      </c>
      <c r="K84" s="638">
        <v>2420.37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118.92</v>
      </c>
      <c r="K86" s="638">
        <v>419.4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246.6</v>
      </c>
      <c r="K87" s="638">
        <v>1921.27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20.059999999999999</v>
      </c>
      <c r="K88" s="638">
        <v>302.02999999999997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27.94</v>
      </c>
      <c r="K89" s="638">
        <v>158.04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650.46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712.45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223.08</v>
      </c>
      <c r="K92" s="638">
        <v>853.15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64.28</v>
      </c>
      <c r="K94" s="638">
        <v>322.54000000000002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32.1</v>
      </c>
      <c r="K95" s="638">
        <v>215.8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7.22</v>
      </c>
      <c r="K96" s="638">
        <v>185.85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30877.38</v>
      </c>
      <c r="L99" s="638">
        <v>37483.47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175.83</v>
      </c>
      <c r="L100" s="638">
        <v>1149.1500000000001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L101" s="638">
        <v>331.93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10602.16</v>
      </c>
      <c r="L102" s="638">
        <v>19734.7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9123.01</v>
      </c>
      <c r="L103" s="638">
        <v>46274.95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83" priority="2" stopIfTrue="1" operator="equal">
      <formula>"ok"</formula>
    </cfRule>
    <cfRule type="cellIs" dxfId="3182" priority="3" stopIfTrue="1" operator="equal">
      <formula>"Konto noch nicht zugeordnet"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7D7B082B-1A35-493F-9F7E-8F0E46CD9A2A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9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DATE(Grunddaten!B5,Grunddaten!B6-1+8,1)</f>
        <v>43678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104.3</v>
      </c>
      <c r="K4" s="638">
        <v>677.17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136.61000000000001</v>
      </c>
      <c r="K7" s="638">
        <v>3947.46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83.87</v>
      </c>
      <c r="K9" s="638">
        <v>2997.46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13.56</v>
      </c>
      <c r="K12" s="638">
        <v>178.26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39640.01</v>
      </c>
      <c r="K13" s="638">
        <v>53739.54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36936.300000000003</v>
      </c>
      <c r="K18" s="638">
        <v>22794.89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467.16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176.74</v>
      </c>
      <c r="K20" s="638">
        <v>227.75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19.940000000000001</v>
      </c>
      <c r="L22" s="638">
        <v>159.29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2.2200000000000002</v>
      </c>
      <c r="K23" s="638">
        <v>54.29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9.5</v>
      </c>
      <c r="K24" s="638">
        <v>142.34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770.95</v>
      </c>
      <c r="K25" s="638">
        <v>6864.43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122.55</v>
      </c>
      <c r="L26" s="638">
        <v>131.84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J27" s="638">
        <v>1022.49</v>
      </c>
      <c r="L27" s="638">
        <v>2109.06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I28" s="638">
        <v>0</v>
      </c>
      <c r="L28" s="638">
        <v>638.1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879.1</v>
      </c>
      <c r="L29" s="638">
        <v>995.57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L30" s="638">
        <v>177.34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268</v>
      </c>
      <c r="K31" s="638">
        <v>613.34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9.5</v>
      </c>
      <c r="L33" s="638">
        <v>142.34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3808.31</v>
      </c>
      <c r="L34" s="638">
        <v>25273.119999999999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1357.62</v>
      </c>
      <c r="K35" s="638">
        <v>6535.36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L38" s="638">
        <v>467.16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176.74</v>
      </c>
      <c r="L39" s="638">
        <v>697.59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251.07</v>
      </c>
      <c r="K40" s="638">
        <v>1953.91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427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551</v>
      </c>
      <c r="K42" s="638">
        <v>1292.69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0</v>
      </c>
      <c r="K47" s="638">
        <v>35223.4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8473.3799999999992</v>
      </c>
      <c r="K49" s="638">
        <v>41911.949999999997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3839.88</v>
      </c>
      <c r="K50" s="638">
        <v>3839.88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1250.8800000000001</v>
      </c>
      <c r="K52" s="638">
        <v>5773.09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829.35</v>
      </c>
      <c r="K55" s="638">
        <v>6468.69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399.55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440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4391.53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0</v>
      </c>
      <c r="K60" s="638">
        <v>273.3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11.2</v>
      </c>
      <c r="K61" s="638">
        <v>478.81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1100</v>
      </c>
      <c r="K62" s="638">
        <v>9552.5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428.58</v>
      </c>
      <c r="K63" s="638">
        <v>2333.1999999999998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530</v>
      </c>
      <c r="K65" s="638">
        <v>1757.95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1604.12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300</v>
      </c>
      <c r="K68" s="638">
        <v>1382.76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15.65</v>
      </c>
      <c r="K70" s="638">
        <v>15.65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1402.49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270.7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107.06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25.63</v>
      </c>
      <c r="K74" s="638">
        <v>41.33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6.3</v>
      </c>
      <c r="K75" s="638">
        <v>57.05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46.2</v>
      </c>
      <c r="K76" s="638">
        <v>784.2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57.89</v>
      </c>
      <c r="K78" s="638">
        <v>809.45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104.3</v>
      </c>
      <c r="K79" s="638">
        <v>834.33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220.48</v>
      </c>
      <c r="K80" s="638">
        <v>1508.32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1273.98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126.9</v>
      </c>
      <c r="K82" s="638">
        <v>1140.8499999999999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109.13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392.34</v>
      </c>
      <c r="K84" s="638">
        <v>2812.71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0.84</v>
      </c>
      <c r="K85" s="638">
        <v>0.84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226.2</v>
      </c>
      <c r="K86" s="638">
        <v>645.6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5.45</v>
      </c>
      <c r="K87" s="638">
        <v>1926.72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52.87</v>
      </c>
      <c r="K88" s="638">
        <v>354.9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158.04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650.46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807.45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63</v>
      </c>
      <c r="K92" s="638">
        <v>916.15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322.54000000000002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44.25</v>
      </c>
      <c r="K95" s="638">
        <v>260.05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185.85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J98" s="638">
        <v>960</v>
      </c>
      <c r="L98" s="638">
        <v>8908.86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7529.1</v>
      </c>
      <c r="L99" s="638">
        <v>45012.57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865.83</v>
      </c>
      <c r="L100" s="638">
        <v>2014.98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147.06</v>
      </c>
      <c r="L101" s="638">
        <v>478.99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6221.72</v>
      </c>
      <c r="L102" s="638">
        <v>25956.42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4320</v>
      </c>
      <c r="L103" s="638">
        <v>50594.95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80" priority="2" stopIfTrue="1" operator="equal">
      <formula>"ok"</formula>
    </cfRule>
    <cfRule type="cellIs" dxfId="3179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7CDE14FE-7257-40E3-ABED-23C971BC9586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0">
    <tabColor rgb="FFFFC000"/>
    <pageSetUpPr fitToPage="1"/>
  </sheetPr>
  <dimension ref="A1:N107"/>
  <sheetViews>
    <sheetView showGridLines="0" zoomScaleNormal="100" workbookViewId="0">
      <pane xSplit="2" ySplit="3" topLeftCell="C4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DATE(Grunddaten!B5,Grunddaten!B6-1+9,1)</f>
        <v>43709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52.16</v>
      </c>
      <c r="K4" s="638">
        <v>625.01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136.61000000000001</v>
      </c>
      <c r="K7" s="638">
        <v>3810.85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83.83</v>
      </c>
      <c r="K9" s="638">
        <v>2913.63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I12" s="638">
        <v>330.71</v>
      </c>
      <c r="K12" s="638">
        <v>508.97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12649.55</v>
      </c>
      <c r="K13" s="638">
        <v>41089.99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2541.62</v>
      </c>
      <c r="K18" s="638">
        <v>20253.27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467.16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J20" s="638">
        <v>227.75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35.729999999999997</v>
      </c>
      <c r="L22" s="638">
        <v>123.56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2.4500000000000002</v>
      </c>
      <c r="K23" s="638">
        <v>56.74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0</v>
      </c>
      <c r="K24" s="638">
        <v>142.34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403.1</v>
      </c>
      <c r="K25" s="638">
        <v>7267.53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0</v>
      </c>
      <c r="L26" s="638">
        <v>131.84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1110.6400000000001</v>
      </c>
      <c r="L27" s="638">
        <v>998.42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8.4</v>
      </c>
      <c r="L28" s="638">
        <v>646.5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0</v>
      </c>
      <c r="L29" s="638">
        <v>995.57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268</v>
      </c>
      <c r="L30" s="638">
        <v>445.34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K31" s="638">
        <v>613.34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I33" s="638">
        <v>0</v>
      </c>
      <c r="L33" s="638">
        <v>142.34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2076.48</v>
      </c>
      <c r="L34" s="638">
        <v>27349.599999999999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8783.9</v>
      </c>
      <c r="K35" s="638">
        <v>15319.26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L38" s="638">
        <v>467.16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91.09</v>
      </c>
      <c r="L39" s="638">
        <v>788.68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2165.69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427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1292.69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0</v>
      </c>
      <c r="K47" s="638">
        <v>35223.4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9373.3799999999992</v>
      </c>
      <c r="K49" s="638">
        <v>51285.33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3839.88</v>
      </c>
      <c r="K50" s="638">
        <v>7679.76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1584.83</v>
      </c>
      <c r="K52" s="638">
        <v>7357.92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829.35</v>
      </c>
      <c r="K55" s="638">
        <v>7298.04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399.55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520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4391.53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8.4</v>
      </c>
      <c r="K60" s="638">
        <v>281.7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11.2</v>
      </c>
      <c r="K61" s="638">
        <v>490.01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1100</v>
      </c>
      <c r="K62" s="638">
        <v>10652.5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214.29</v>
      </c>
      <c r="K63" s="638">
        <v>2547.4899999999998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1757.95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1604.12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0</v>
      </c>
      <c r="K68" s="638">
        <v>1382.76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15.65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1402.49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270.7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107.06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41.33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57.05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0</v>
      </c>
      <c r="K76" s="638">
        <v>784.2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7.9</v>
      </c>
      <c r="K78" s="638">
        <v>817.35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52.16</v>
      </c>
      <c r="K79" s="638">
        <v>886.49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220.44</v>
      </c>
      <c r="K80" s="638">
        <v>1728.76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1273.98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44.19</v>
      </c>
      <c r="K82" s="638">
        <v>1185.04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8.75</v>
      </c>
      <c r="K83" s="638">
        <v>117.88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252.72</v>
      </c>
      <c r="K84" s="638">
        <v>3065.43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0.84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645.6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50.34</v>
      </c>
      <c r="K87" s="638">
        <v>1977.06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37.24</v>
      </c>
      <c r="K88" s="638">
        <v>392.14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158.04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650.46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155</v>
      </c>
      <c r="K91" s="638">
        <v>962.45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278.35000000000002</v>
      </c>
      <c r="K92" s="638">
        <v>1194.5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322.54000000000002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37.65</v>
      </c>
      <c r="K95" s="638">
        <v>297.7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185.85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8908.86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334.97</v>
      </c>
      <c r="L99" s="638">
        <v>45347.54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655.83</v>
      </c>
      <c r="L100" s="638">
        <v>2670.81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233.08</v>
      </c>
      <c r="L101" s="638">
        <v>712.07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9362.93</v>
      </c>
      <c r="L102" s="638">
        <v>35319.35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292.48</v>
      </c>
      <c r="L103" s="638">
        <v>50887.43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J104" s="638">
        <v>49.6</v>
      </c>
      <c r="L104" s="638">
        <v>99.2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77" priority="8" stopIfTrue="1" operator="equal">
      <formula>"ok"</formula>
    </cfRule>
    <cfRule type="cellIs" dxfId="3176" priority="9" stopIfTrue="1" operator="equal">
      <formula>"Konto noch nicht zugeordnet"</formula>
    </cfRule>
  </conditionalFormatting>
  <pageMargins left="0.25" right="0.25" top="0.75" bottom="0.75" header="0.3" footer="0.3"/>
  <pageSetup paperSize="9" fitToHeight="0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7" stopIfTrue="1" operator="endsWith" id="{AC600EBB-D0E2-4745-AECB-674EB8BE5595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1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DATE(Grunddaten!B5,Grunddaten!B6-1+10,1)</f>
        <v>43739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52.17</v>
      </c>
      <c r="K4" s="638">
        <v>572.84</v>
      </c>
      <c r="N4" s="611" t="str">
        <f>IF(A4&lt;&gt;"",IF(COUNTIF('Struktur Aktuell'!D$2:D$65645,A4)=1,"ok",IF(COUNTIF('Struktur Aktuell'!D$2:D$65645,A4)&gt;1,"Konto " &amp; COUNTIF('Struktur Aktuell'!D$2:D$65645,A4)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Aktuell'!D$2:D$65645,A5)=1,"ok",IF(COUNTIF('Struktur Aktuell'!D$2:D$65645,A5)&gt;1,"Konto " &amp; COUNTIF('Struktur Aktuell'!D$2:D$65645,A5)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Aktuell'!D$2:D$65645,A6)=1,"ok",IF(COUNTIF('Struktur Aktuell'!D$2:D$65645,A6)&gt;1,"Konto " &amp; COUNTIF('Struktur Aktuell'!D$2:D$65645,A6)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136.61000000000001</v>
      </c>
      <c r="K7" s="638">
        <v>3674.24</v>
      </c>
      <c r="N7" s="611" t="str">
        <f>IF(A7&lt;&gt;"",IF(COUNTIF('Struktur Aktuell'!D$2:D$65645,A7)=1,"ok",IF(COUNTIF('Struktur Aktuell'!D$2:D$65645,A7)&gt;1,"Konto " &amp; COUNTIF('Struktur Aktuell'!D$2:D$65645,A7)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Aktuell'!D$2:D$65645,A8)=1,"ok",IF(COUNTIF('Struktur Aktuell'!D$2:D$65645,A8)&gt;1,"Konto " &amp; COUNTIF('Struktur Aktuell'!D$2:D$65645,A8)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83.88</v>
      </c>
      <c r="K9" s="638">
        <v>2829.75</v>
      </c>
      <c r="N9" s="611" t="str">
        <f>IF(A9&lt;&gt;"",IF(COUNTIF('Struktur Aktuell'!D$2:D$65645,A9)=1,"ok",IF(COUNTIF('Struktur Aktuell'!D$2:D$65645,A9)&gt;1,"Konto " &amp; COUNTIF('Struktur Aktuell'!D$2:D$65645,A9)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Aktuell'!D$2:D$65645,A10)=1,"ok",IF(COUNTIF('Struktur Aktuell'!D$2:D$65645,A10)&gt;1,"Konto " &amp; COUNTIF('Struktur Aktuell'!D$2:D$65645,A10)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5509.5</v>
      </c>
      <c r="K11" s="638">
        <v>41797.279999999999</v>
      </c>
      <c r="N11" s="611" t="str">
        <f>IF(A11&lt;&gt;"",IF(COUNTIF('Struktur Aktuell'!D$2:D$65645,A11)=1,"ok",IF(COUNTIF('Struktur Aktuell'!D$2:D$65645,A11)&gt;1,"Konto " &amp; COUNTIF('Struktur Aktuell'!D$2:D$65645,A11)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23.25</v>
      </c>
      <c r="K12" s="638">
        <v>485.72</v>
      </c>
      <c r="N12" s="611" t="str">
        <f>IF(A12&lt;&gt;"",IF(COUNTIF('Struktur Aktuell'!D$2:D$65645,A12)=1,"ok",IF(COUNTIF('Struktur Aktuell'!D$2:D$65645,A12)&gt;1,"Konto " &amp; COUNTIF('Struktur Aktuell'!D$2:D$65645,A12)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9336.26</v>
      </c>
      <c r="K13" s="638">
        <v>31753.73</v>
      </c>
      <c r="N13" s="611" t="str">
        <f>IF(A13&lt;&gt;"",IF(COUNTIF('Struktur Aktuell'!D$2:D$65645,A13)=1,"ok",IF(COUNTIF('Struktur Aktuell'!D$2:D$65645,A13)&gt;1,"Konto " &amp; COUNTIF('Struktur Aktuell'!D$2:D$65645,A13)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Aktuell'!D$2:D$65645,A14)=1,"ok",IF(COUNTIF('Struktur Aktuell'!D$2:D$65645,A14)&gt;1,"Konto " &amp; COUNTIF('Struktur Aktuell'!D$2:D$65645,A14)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0</v>
      </c>
      <c r="N15" s="611" t="str">
        <f>IF(A15&lt;&gt;"",IF(COUNTIF('Struktur Aktuell'!D$2:D$65645,A15)=1,"ok",IF(COUNTIF('Struktur Aktuell'!D$2:D$65645,A15)&gt;1,"Konto " &amp; COUNTIF('Struktur Aktuell'!D$2:D$65645,A15)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Aktuell'!D$2:D$65645,A16)=1,"ok",IF(COUNTIF('Struktur Aktuell'!D$2:D$65645,A16)&gt;1,"Konto " &amp; COUNTIF('Struktur Aktuell'!D$2:D$65645,A16)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Aktuell'!D$2:D$65645,A17)=1,"ok",IF(COUNTIF('Struktur Aktuell'!D$2:D$65645,A17)&gt;1,"Konto " &amp; COUNTIF('Struktur Aktuell'!D$2:D$65645,A17)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26214.43</v>
      </c>
      <c r="K18" s="638">
        <v>46467.7</v>
      </c>
      <c r="N18" s="611" t="str">
        <f>IF(A18&lt;&gt;"",IF(COUNTIF('Struktur Aktuell'!D$2:D$65645,A18)=1,"ok",IF(COUNTIF('Struktur Aktuell'!D$2:D$65645,A18)&gt;1,"Konto " &amp; COUNTIF('Struktur Aktuell'!D$2:D$65645,A18)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467.16</v>
      </c>
      <c r="N19" s="611" t="str">
        <f>IF(A19&lt;&gt;"",IF(COUNTIF('Struktur Aktuell'!D$2:D$65645,A19)=1,"ok",IF(COUNTIF('Struktur Aktuell'!D$2:D$65645,A19)&gt;1,"Konto " &amp; COUNTIF('Struktur Aktuell'!D$2:D$65645,A19)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Aktuell'!D$2:D$65645,A20)=1,"ok",IF(COUNTIF('Struktur Aktuell'!D$2:D$65645,A20)&gt;1,"Konto " &amp; COUNTIF('Struktur Aktuell'!D$2:D$65645,A20)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Aktuell'!D$2:D$65645,A21)=1,"ok",IF(COUNTIF('Struktur Aktuell'!D$2:D$65645,A21)&gt;1,"Konto " &amp; COUNTIF('Struktur Aktuell'!D$2:D$65645,A21)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30.95</v>
      </c>
      <c r="L22" s="638">
        <v>154.51</v>
      </c>
      <c r="N22" s="611" t="str">
        <f>IF(A22&lt;&gt;"",IF(COUNTIF('Struktur Aktuell'!D$2:D$65645,A22)=1,"ok",IF(COUNTIF('Struktur Aktuell'!D$2:D$65645,A22)&gt;1,"Konto " &amp; COUNTIF('Struktur Aktuell'!D$2:D$65645,A22)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11.52</v>
      </c>
      <c r="K23" s="638">
        <v>68.260000000000005</v>
      </c>
      <c r="N23" s="611" t="str">
        <f>IF(A23&lt;&gt;"",IF(COUNTIF('Struktur Aktuell'!D$2:D$65645,A23)=1,"ok",IF(COUNTIF('Struktur Aktuell'!D$2:D$65645,A23)&gt;1,"Konto " &amp; COUNTIF('Struktur Aktuell'!D$2:D$65645,A23)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19</v>
      </c>
      <c r="K24" s="638">
        <v>161.34</v>
      </c>
      <c r="N24" s="611" t="str">
        <f>IF(A24&lt;&gt;"",IF(COUNTIF('Struktur Aktuell'!D$2:D$65645,A24)=1,"ok",IF(COUNTIF('Struktur Aktuell'!D$2:D$65645,A24)&gt;1,"Konto " &amp; COUNTIF('Struktur Aktuell'!D$2:D$65645,A24)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435.53</v>
      </c>
      <c r="K25" s="638">
        <v>7703.06</v>
      </c>
      <c r="N25" s="611" t="str">
        <f>IF(A25&lt;&gt;"",IF(COUNTIF('Struktur Aktuell'!D$2:D$65645,A25)=1,"ok",IF(COUNTIF('Struktur Aktuell'!D$2:D$65645,A25)&gt;1,"Konto " &amp; COUNTIF('Struktur Aktuell'!D$2:D$65645,A25)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127.42</v>
      </c>
      <c r="L26" s="638">
        <v>259.26</v>
      </c>
      <c r="N26" s="611" t="str">
        <f>IF(A26&lt;&gt;"",IF(COUNTIF('Struktur Aktuell'!D$2:D$65645,A26)=1,"ok",IF(COUNTIF('Struktur Aktuell'!D$2:D$65645,A26)&gt;1,"Konto " &amp; COUNTIF('Struktur Aktuell'!D$2:D$65645,A26)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200.4</v>
      </c>
      <c r="L27" s="638">
        <v>798.02</v>
      </c>
      <c r="N27" s="611" t="str">
        <f>IF(A27&lt;&gt;"",IF(COUNTIF('Struktur Aktuell'!D$2:D$65645,A27)=1,"ok",IF(COUNTIF('Struktur Aktuell'!D$2:D$65645,A27)&gt;1,"Konto " &amp; COUNTIF('Struktur Aktuell'!D$2:D$65645,A27)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208.8</v>
      </c>
      <c r="L28" s="638">
        <v>855.3</v>
      </c>
      <c r="N28" s="611" t="str">
        <f>IF(A28&lt;&gt;"",IF(COUNTIF('Struktur Aktuell'!D$2:D$65645,A28)=1,"ok",IF(COUNTIF('Struktur Aktuell'!D$2:D$65645,A28)&gt;1,"Konto " &amp; COUNTIF('Struktur Aktuell'!D$2:D$65645,A28)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5.63</v>
      </c>
      <c r="L29" s="638">
        <v>989.94</v>
      </c>
      <c r="N29" s="611" t="str">
        <f>IF(A29&lt;&gt;"",IF(COUNTIF('Struktur Aktuell'!D$2:D$65645,A29)=1,"ok",IF(COUNTIF('Struktur Aktuell'!D$2:D$65645,A29)&gt;1,"Konto " &amp; COUNTIF('Struktur Aktuell'!D$2:D$65645,A29)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L30" s="638">
        <v>445.34</v>
      </c>
      <c r="N30" s="611" t="str">
        <f>IF(A30&lt;&gt;"",IF(COUNTIF('Struktur Aktuell'!D$2:D$65645,A30)=1,"ok",IF(COUNTIF('Struktur Aktuell'!D$2:D$65645,A30)&gt;1,"Konto " &amp; COUNTIF('Struktur Aktuell'!D$2:D$65645,A30)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K31" s="638">
        <v>613.34</v>
      </c>
      <c r="N31" s="611" t="str">
        <f>IF(A31&lt;&gt;"",IF(COUNTIF('Struktur Aktuell'!D$2:D$65645,A31)=1,"ok",IF(COUNTIF('Struktur Aktuell'!D$2:D$65645,A31)&gt;1,"Konto " &amp; COUNTIF('Struktur Aktuell'!D$2:D$65645,A31)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Aktuell'!D$2:D$65645,A32)=1,"ok",IF(COUNTIF('Struktur Aktuell'!D$2:D$65645,A32)&gt;1,"Konto " &amp; COUNTIF('Struktur Aktuell'!D$2:D$65645,A32)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19</v>
      </c>
      <c r="L33" s="638">
        <v>161.34</v>
      </c>
      <c r="N33" s="611" t="str">
        <f>IF(A33&lt;&gt;"",IF(COUNTIF('Struktur Aktuell'!D$2:D$65645,A33)=1,"ok",IF(COUNTIF('Struktur Aktuell'!D$2:D$65645,A33)&gt;1,"Konto " &amp; COUNTIF('Struktur Aktuell'!D$2:D$65645,A33)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6186.44</v>
      </c>
      <c r="L34" s="638">
        <v>33536.04</v>
      </c>
      <c r="N34" s="611" t="str">
        <f>IF(A34&lt;&gt;"",IF(COUNTIF('Struktur Aktuell'!D$2:D$65645,A34)=1,"ok",IF(COUNTIF('Struktur Aktuell'!D$2:D$65645,A34)&gt;1,"Konto " &amp; COUNTIF('Struktur Aktuell'!D$2:D$65645,A34)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3035.14</v>
      </c>
      <c r="K35" s="638">
        <v>18354.400000000001</v>
      </c>
      <c r="N35" s="611" t="str">
        <f>IF(A35&lt;&gt;"",IF(COUNTIF('Struktur Aktuell'!D$2:D$65645,A35)=1,"ok",IF(COUNTIF('Struktur Aktuell'!D$2:D$65645,A35)&gt;1,"Konto " &amp; COUNTIF('Struktur Aktuell'!D$2:D$65645,A35)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Aktuell'!D$2:D$65645,A36)=1,"ok",IF(COUNTIF('Struktur Aktuell'!D$2:D$65645,A36)&gt;1,"Konto " &amp; COUNTIF('Struktur Aktuell'!D$2:D$65645,A36)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Aktuell'!D$2:D$65645,A37)=1,"ok",IF(COUNTIF('Struktur Aktuell'!D$2:D$65645,A37)&gt;1,"Konto " &amp; COUNTIF('Struktur Aktuell'!D$2:D$65645,A37)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L38" s="638">
        <v>467.16</v>
      </c>
      <c r="N38" s="611" t="str">
        <f>IF(A38&lt;&gt;"",IF(COUNTIF('Struktur Aktuell'!D$2:D$65645,A38)=1,"ok",IF(COUNTIF('Struktur Aktuell'!D$2:D$65645,A38)&gt;1,"Konto " &amp; COUNTIF('Struktur Aktuell'!D$2:D$65645,A38)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788.68</v>
      </c>
      <c r="N39" s="611" t="str">
        <f>IF(A39&lt;&gt;"",IF(COUNTIF('Struktur Aktuell'!D$2:D$65645,A39)=1,"ok",IF(COUNTIF('Struktur Aktuell'!D$2:D$65645,A39)&gt;1,"Konto " &amp; COUNTIF('Struktur Aktuell'!D$2:D$65645,A39)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2377.4699999999998</v>
      </c>
      <c r="N40" s="611" t="str">
        <f>IF(A40&lt;&gt;"",IF(COUNTIF('Struktur Aktuell'!D$2:D$65645,A40)=1,"ok",IF(COUNTIF('Struktur Aktuell'!D$2:D$65645,A40)&gt;1,"Konto " &amp; COUNTIF('Struktur Aktuell'!D$2:D$65645,A40)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427</v>
      </c>
      <c r="N41" s="611" t="str">
        <f>IF(A41&lt;&gt;"",IF(COUNTIF('Struktur Aktuell'!D$2:D$65645,A41)=1,"ok",IF(COUNTIF('Struktur Aktuell'!D$2:D$65645,A41)&gt;1,"Konto " &amp; COUNTIF('Struktur Aktuell'!D$2:D$65645,A41)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1292.69</v>
      </c>
      <c r="N42" s="611" t="str">
        <f>IF(A42&lt;&gt;"",IF(COUNTIF('Struktur Aktuell'!D$2:D$65645,A42)=1,"ok",IF(COUNTIF('Struktur Aktuell'!D$2:D$65645,A42)&gt;1,"Konto " &amp; COUNTIF('Struktur Aktuell'!D$2:D$65645,A42)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Aktuell'!D$2:D$65645,A43)=1,"ok",IF(COUNTIF('Struktur Aktuell'!D$2:D$65645,A43)&gt;1,"Konto " &amp; COUNTIF('Struktur Aktuell'!D$2:D$65645,A43)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Aktuell'!D$2:D$65645,A44)=1,"ok",IF(COUNTIF('Struktur Aktuell'!D$2:D$65645,A44)&gt;1,"Konto " &amp; COUNTIF('Struktur Aktuell'!D$2:D$65645,A44)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Aktuell'!D$2:D$65645,A45)=1,"ok",IF(COUNTIF('Struktur Aktuell'!D$2:D$65645,A45)&gt;1,"Konto " &amp; COUNTIF('Struktur Aktuell'!D$2:D$65645,A45)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Aktuell'!D$2:D$65645,A46)=1,"ok",IF(COUNTIF('Struktur Aktuell'!D$2:D$65645,A46)&gt;1,"Konto " &amp; COUNTIF('Struktur Aktuell'!D$2:D$65645,A46)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0</v>
      </c>
      <c r="K47" s="638">
        <v>35223.4</v>
      </c>
      <c r="N47" s="611" t="str">
        <f>IF(A47&lt;&gt;"",IF(COUNTIF('Struktur Aktuell'!D$2:D$65645,A47)=1,"ok",IF(COUNTIF('Struktur Aktuell'!D$2:D$65645,A47)&gt;1,"Konto " &amp; COUNTIF('Struktur Aktuell'!D$2:D$65645,A47)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Aktuell'!D$2:D$65645,A48)=1,"ok",IF(COUNTIF('Struktur Aktuell'!D$2:D$65645,A48)&gt;1,"Konto " &amp; COUNTIF('Struktur Aktuell'!D$2:D$65645,A48)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9313.3799999999992</v>
      </c>
      <c r="K49" s="638">
        <v>60598.71</v>
      </c>
      <c r="N49" s="611" t="str">
        <f>IF(A49&lt;&gt;"",IF(COUNTIF('Struktur Aktuell'!D$2:D$65645,A49)=1,"ok",IF(COUNTIF('Struktur Aktuell'!D$2:D$65645,A49)&gt;1,"Konto " &amp; COUNTIF('Struktur Aktuell'!D$2:D$65645,A49)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3839.88</v>
      </c>
      <c r="K50" s="638">
        <v>11519.64</v>
      </c>
      <c r="N50" s="611" t="str">
        <f>IF(A50&lt;&gt;"",IF(COUNTIF('Struktur Aktuell'!D$2:D$65645,A50)=1,"ok",IF(COUNTIF('Struktur Aktuell'!D$2:D$65645,A50)&gt;1,"Konto " &amp; COUNTIF('Struktur Aktuell'!D$2:D$65645,A50)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Aktuell'!D$2:D$65645,A51)=1,"ok",IF(COUNTIF('Struktur Aktuell'!D$2:D$65645,A51)&gt;1,"Konto " &amp; COUNTIF('Struktur Aktuell'!D$2:D$65645,A51)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1459.24</v>
      </c>
      <c r="K52" s="638">
        <v>8817.16</v>
      </c>
      <c r="N52" s="611" t="str">
        <f>IF(A52&lt;&gt;"",IF(COUNTIF('Struktur Aktuell'!D$2:D$65645,A52)=1,"ok",IF(COUNTIF('Struktur Aktuell'!D$2:D$65645,A52)&gt;1,"Konto " &amp; COUNTIF('Struktur Aktuell'!D$2:D$65645,A52)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Aktuell'!D$2:D$65645,A53)=1,"ok",IF(COUNTIF('Struktur Aktuell'!D$2:D$65645,A53)&gt;1,"Konto " &amp; COUNTIF('Struktur Aktuell'!D$2:D$65645,A53)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Aktuell'!D$2:D$65645,A54)=1,"ok",IF(COUNTIF('Struktur Aktuell'!D$2:D$65645,A54)&gt;1,"Konto " &amp; COUNTIF('Struktur Aktuell'!D$2:D$65645,A54)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829.35</v>
      </c>
      <c r="K55" s="638">
        <v>8127.39</v>
      </c>
      <c r="N55" s="611" t="str">
        <f>IF(A55&lt;&gt;"",IF(COUNTIF('Struktur Aktuell'!D$2:D$65645,A55)=1,"ok",IF(COUNTIF('Struktur Aktuell'!D$2:D$65645,A55)&gt;1,"Konto " &amp; COUNTIF('Struktur Aktuell'!D$2:D$65645,A55)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Aktuell'!D$2:D$65645,A56)=1,"ok",IF(COUNTIF('Struktur Aktuell'!D$2:D$65645,A56)&gt;1,"Konto " &amp; COUNTIF('Struktur Aktuell'!D$2:D$65645,A56)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40.36</v>
      </c>
      <c r="K57" s="638">
        <v>439.91</v>
      </c>
      <c r="N57" s="611" t="str">
        <f>IF(A57&lt;&gt;"",IF(COUNTIF('Struktur Aktuell'!D$2:D$65645,A57)=1,"ok",IF(COUNTIF('Struktur Aktuell'!D$2:D$65645,A57)&gt;1,"Konto " &amp; COUNTIF('Struktur Aktuell'!D$2:D$65645,A57)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600</v>
      </c>
      <c r="N58" s="611" t="str">
        <f>IF(A58&lt;&gt;"",IF(COUNTIF('Struktur Aktuell'!D$2:D$65645,A58)=1,"ok",IF(COUNTIF('Struktur Aktuell'!D$2:D$65645,A58)&gt;1,"Konto " &amp; COUNTIF('Struktur Aktuell'!D$2:D$65645,A58)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4391.53</v>
      </c>
      <c r="N59" s="611" t="str">
        <f>IF(A59&lt;&gt;"",IF(COUNTIF('Struktur Aktuell'!D$2:D$65645,A59)=1,"ok",IF(COUNTIF('Struktur Aktuell'!D$2:D$65645,A59)&gt;1,"Konto " &amp; COUNTIF('Struktur Aktuell'!D$2:D$65645,A59)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208.8</v>
      </c>
      <c r="K60" s="638">
        <v>490.5</v>
      </c>
      <c r="N60" s="611" t="str">
        <f>IF(A60&lt;&gt;"",IF(COUNTIF('Struktur Aktuell'!D$2:D$65645,A60)=1,"ok",IF(COUNTIF('Struktur Aktuell'!D$2:D$65645,A60)&gt;1,"Konto " &amp; COUNTIF('Struktur Aktuell'!D$2:D$65645,A60)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11.2</v>
      </c>
      <c r="K61" s="638">
        <v>501.21</v>
      </c>
      <c r="N61" s="611" t="str">
        <f>IF(A61&lt;&gt;"",IF(COUNTIF('Struktur Aktuell'!D$2:D$65645,A61)=1,"ok",IF(COUNTIF('Struktur Aktuell'!D$2:D$65645,A61)&gt;1,"Konto " &amp; COUNTIF('Struktur Aktuell'!D$2:D$65645,A61)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1100</v>
      </c>
      <c r="K62" s="638">
        <v>11752.5</v>
      </c>
      <c r="N62" s="611" t="str">
        <f>IF(A62&lt;&gt;"",IF(COUNTIF('Struktur Aktuell'!D$2:D$65645,A62)=1,"ok",IF(COUNTIF('Struktur Aktuell'!D$2:D$65645,A62)&gt;1,"Konto " &amp; COUNTIF('Struktur Aktuell'!D$2:D$65645,A62)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214.29</v>
      </c>
      <c r="K63" s="638">
        <v>2761.78</v>
      </c>
      <c r="N63" s="611" t="str">
        <f>IF(A63&lt;&gt;"",IF(COUNTIF('Struktur Aktuell'!D$2:D$65645,A63)=1,"ok",IF(COUNTIF('Struktur Aktuell'!D$2:D$65645,A63)&gt;1,"Konto " &amp; COUNTIF('Struktur Aktuell'!D$2:D$65645,A63)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Aktuell'!D$2:D$65645,A64)=1,"ok",IF(COUNTIF('Struktur Aktuell'!D$2:D$65645,A64)&gt;1,"Konto " &amp; COUNTIF('Struktur Aktuell'!D$2:D$65645,A64)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1757.95</v>
      </c>
      <c r="N65" s="611" t="str">
        <f>IF(A65&lt;&gt;"",IF(COUNTIF('Struktur Aktuell'!D$2:D$65645,A65)=1,"ok",IF(COUNTIF('Struktur Aktuell'!D$2:D$65645,A65)&gt;1,"Konto " &amp; COUNTIF('Struktur Aktuell'!D$2:D$65645,A65)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J66" s="638">
        <v>5509.5</v>
      </c>
      <c r="K66" s="638">
        <v>0</v>
      </c>
      <c r="N66" s="611" t="str">
        <f>IF(A66&lt;&gt;"",IF(COUNTIF('Struktur Aktuell'!D$2:D$65645,A66)=1,"ok",IF(COUNTIF('Struktur Aktuell'!D$2:D$65645,A66)&gt;1,"Konto " &amp; COUNTIF('Struktur Aktuell'!D$2:D$65645,A66)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1604.12</v>
      </c>
      <c r="N67" s="611" t="str">
        <f>IF(A67&lt;&gt;"",IF(COUNTIF('Struktur Aktuell'!D$2:D$65645,A67)=1,"ok",IF(COUNTIF('Struktur Aktuell'!D$2:D$65645,A67)&gt;1,"Konto " &amp; COUNTIF('Struktur Aktuell'!D$2:D$65645,A67)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23.85</v>
      </c>
      <c r="K68" s="638">
        <v>1406.61</v>
      </c>
      <c r="N68" s="611" t="str">
        <f>IF(A68&lt;&gt;"",IF(COUNTIF('Struktur Aktuell'!D$2:D$65645,A68)=1,"ok",IF(COUNTIF('Struktur Aktuell'!D$2:D$65645,A68)&gt;1,"Konto " &amp; COUNTIF('Struktur Aktuell'!D$2:D$65645,A68)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29</v>
      </c>
      <c r="K69" s="638">
        <v>29</v>
      </c>
      <c r="N69" s="611" t="str">
        <f>IF(A69&lt;&gt;"",IF(COUNTIF('Struktur Aktuell'!D$2:D$65645,A69)=1,"ok",IF(COUNTIF('Struktur Aktuell'!D$2:D$65645,A69)&gt;1,"Konto " &amp; COUNTIF('Struktur Aktuell'!D$2:D$65645,A69)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15.65</v>
      </c>
      <c r="N70" s="611" t="str">
        <f>IF(A70&lt;&gt;"",IF(COUNTIF('Struktur Aktuell'!D$2:D$65645,A70)=1,"ok",IF(COUNTIF('Struktur Aktuell'!D$2:D$65645,A70)&gt;1,"Konto " &amp; COUNTIF('Struktur Aktuell'!D$2:D$65645,A70)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1402.49</v>
      </c>
      <c r="N71" s="611" t="str">
        <f>IF(A71&lt;&gt;"",IF(COUNTIF('Struktur Aktuell'!D$2:D$65645,A71)=1,"ok",IF(COUNTIF('Struktur Aktuell'!D$2:D$65645,A71)&gt;1,"Konto " &amp; COUNTIF('Struktur Aktuell'!D$2:D$65645,A71)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33.479999999999997</v>
      </c>
      <c r="K72" s="638">
        <v>304.18</v>
      </c>
      <c r="N72" s="611" t="str">
        <f>IF(A72&lt;&gt;"",IF(COUNTIF('Struktur Aktuell'!D$2:D$65645,A72)=1,"ok",IF(COUNTIF('Struktur Aktuell'!D$2:D$65645,A72)&gt;1,"Konto " &amp; COUNTIF('Struktur Aktuell'!D$2:D$65645,A72)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16.46</v>
      </c>
      <c r="K73" s="638">
        <v>123.52</v>
      </c>
      <c r="N73" s="611" t="str">
        <f>IF(A73&lt;&gt;"",IF(COUNTIF('Struktur Aktuell'!D$2:D$65645,A73)=1,"ok",IF(COUNTIF('Struktur Aktuell'!D$2:D$65645,A73)&gt;1,"Konto " &amp; COUNTIF('Struktur Aktuell'!D$2:D$65645,A73)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41.33</v>
      </c>
      <c r="N74" s="611" t="str">
        <f>IF(A74&lt;&gt;"",IF(COUNTIF('Struktur Aktuell'!D$2:D$65645,A74)=1,"ok",IF(COUNTIF('Struktur Aktuell'!D$2:D$65645,A74)&gt;1,"Konto " &amp; COUNTIF('Struktur Aktuell'!D$2:D$65645,A74)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57.05</v>
      </c>
      <c r="N75" s="611" t="str">
        <f>IF(A75&lt;&gt;"",IF(COUNTIF('Struktur Aktuell'!D$2:D$65645,A75)=1,"ok",IF(COUNTIF('Struktur Aktuell'!D$2:D$65645,A75)&gt;1,"Konto " &amp; COUNTIF('Struktur Aktuell'!D$2:D$65645,A75)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166.5</v>
      </c>
      <c r="K76" s="638">
        <v>950.7</v>
      </c>
      <c r="N76" s="611" t="str">
        <f>IF(A76&lt;&gt;"",IF(COUNTIF('Struktur Aktuell'!D$2:D$65645,A76)=1,"ok",IF(COUNTIF('Struktur Aktuell'!D$2:D$65645,A76)&gt;1,"Konto " &amp; COUNTIF('Struktur Aktuell'!D$2:D$65645,A76)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Aktuell'!D$2:D$65645,A77)=1,"ok",IF(COUNTIF('Struktur Aktuell'!D$2:D$65645,A77)&gt;1,"Konto " &amp; COUNTIF('Struktur Aktuell'!D$2:D$65645,A77)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110.87</v>
      </c>
      <c r="K78" s="638">
        <v>928.22</v>
      </c>
      <c r="N78" s="611" t="str">
        <f>IF(A78&lt;&gt;"",IF(COUNTIF('Struktur Aktuell'!D$2:D$65645,A78)=1,"ok",IF(COUNTIF('Struktur Aktuell'!D$2:D$65645,A78)&gt;1,"Konto " &amp; COUNTIF('Struktur Aktuell'!D$2:D$65645,A78)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52.17</v>
      </c>
      <c r="K79" s="638">
        <v>938.66</v>
      </c>
      <c r="N79" s="611" t="str">
        <f>IF(A79&lt;&gt;"",IF(COUNTIF('Struktur Aktuell'!D$2:D$65645,A79)=1,"ok",IF(COUNTIF('Struktur Aktuell'!D$2:D$65645,A79)&gt;1,"Konto " &amp; COUNTIF('Struktur Aktuell'!D$2:D$65645,A79)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220.49</v>
      </c>
      <c r="K80" s="638">
        <v>1949.25</v>
      </c>
      <c r="N80" s="611" t="str">
        <f>IF(A80&lt;&gt;"",IF(COUNTIF('Struktur Aktuell'!D$2:D$65645,A80)=1,"ok",IF(COUNTIF('Struktur Aktuell'!D$2:D$65645,A80)&gt;1,"Konto " &amp; COUNTIF('Struktur Aktuell'!D$2:D$65645,A80)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1273.98</v>
      </c>
      <c r="N81" s="611" t="str">
        <f>IF(A81&lt;&gt;"",IF(COUNTIF('Struktur Aktuell'!D$2:D$65645,A81)=1,"ok",IF(COUNTIF('Struktur Aktuell'!D$2:D$65645,A81)&gt;1,"Konto " &amp; COUNTIF('Struktur Aktuell'!D$2:D$65645,A81)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119.64</v>
      </c>
      <c r="K82" s="638">
        <v>1304.68</v>
      </c>
      <c r="N82" s="611" t="str">
        <f>IF(A82&lt;&gt;"",IF(COUNTIF('Struktur Aktuell'!D$2:D$65645,A82)=1,"ok",IF(COUNTIF('Struktur Aktuell'!D$2:D$65645,A82)&gt;1,"Konto " &amp; COUNTIF('Struktur Aktuell'!D$2:D$65645,A82)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8</v>
      </c>
      <c r="K83" s="638">
        <v>125.88</v>
      </c>
      <c r="N83" s="611" t="str">
        <f>IF(A83&lt;&gt;"",IF(COUNTIF('Struktur Aktuell'!D$2:D$65645,A83)=1,"ok",IF(COUNTIF('Struktur Aktuell'!D$2:D$65645,A83)&gt;1,"Konto " &amp; COUNTIF('Struktur Aktuell'!D$2:D$65645,A83)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458.66</v>
      </c>
      <c r="K84" s="638">
        <v>3524.09</v>
      </c>
      <c r="N84" s="611" t="str">
        <f>IF(A84&lt;&gt;"",IF(COUNTIF('Struktur Aktuell'!D$2:D$65645,A84)=1,"ok",IF(COUNTIF('Struktur Aktuell'!D$2:D$65645,A84)&gt;1,"Konto " &amp; COUNTIF('Struktur Aktuell'!D$2:D$65645,A84)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0.84</v>
      </c>
      <c r="N85" s="611" t="str">
        <f>IF(A85&lt;&gt;"",IF(COUNTIF('Struktur Aktuell'!D$2:D$65645,A85)=1,"ok",IF(COUNTIF('Struktur Aktuell'!D$2:D$65645,A85)&gt;1,"Konto " &amp; COUNTIF('Struktur Aktuell'!D$2:D$65645,A85)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33.57</v>
      </c>
      <c r="K86" s="638">
        <v>679.17</v>
      </c>
      <c r="N86" s="611" t="str">
        <f>IF(A86&lt;&gt;"",IF(COUNTIF('Struktur Aktuell'!D$2:D$65645,A86)=1,"ok",IF(COUNTIF('Struktur Aktuell'!D$2:D$65645,A86)&gt;1,"Konto " &amp; COUNTIF('Struktur Aktuell'!D$2:D$65645,A86)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0</v>
      </c>
      <c r="K87" s="638">
        <v>1977.06</v>
      </c>
      <c r="N87" s="611" t="str">
        <f>IF(A87&lt;&gt;"",IF(COUNTIF('Struktur Aktuell'!D$2:D$65645,A87)=1,"ok",IF(COUNTIF('Struktur Aktuell'!D$2:D$65645,A87)&gt;1,"Konto " &amp; COUNTIF('Struktur Aktuell'!D$2:D$65645,A87)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10.92</v>
      </c>
      <c r="K88" s="638">
        <v>403.06</v>
      </c>
      <c r="N88" s="611" t="str">
        <f>IF(A88&lt;&gt;"",IF(COUNTIF('Struktur Aktuell'!D$2:D$65645,A88)=1,"ok",IF(COUNTIF('Struktur Aktuell'!D$2:D$65645,A88)&gt;1,"Konto " &amp; COUNTIF('Struktur Aktuell'!D$2:D$65645,A88)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71.209999999999994</v>
      </c>
      <c r="K89" s="638">
        <v>229.25</v>
      </c>
      <c r="N89" s="611" t="str">
        <f>IF(A89&lt;&gt;"",IF(COUNTIF('Struktur Aktuell'!D$2:D$65645,A89)=1,"ok",IF(COUNTIF('Struktur Aktuell'!D$2:D$65645,A89)&gt;1,"Konto " &amp; COUNTIF('Struktur Aktuell'!D$2:D$65645,A89)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55</v>
      </c>
      <c r="K90" s="638">
        <v>705.46</v>
      </c>
      <c r="N90" s="611" t="str">
        <f>IF(A90&lt;&gt;"",IF(COUNTIF('Struktur Aktuell'!D$2:D$65645,A90)=1,"ok",IF(COUNTIF('Struktur Aktuell'!D$2:D$65645,A90)&gt;1,"Konto " &amp; COUNTIF('Struktur Aktuell'!D$2:D$65645,A90)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1057.45</v>
      </c>
      <c r="N91" s="611" t="str">
        <f>IF(A91&lt;&gt;"",IF(COUNTIF('Struktur Aktuell'!D$2:D$65645,A91)=1,"ok",IF(COUNTIF('Struktur Aktuell'!D$2:D$65645,A91)&gt;1,"Konto " &amp; COUNTIF('Struktur Aktuell'!D$2:D$65645,A91)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0</v>
      </c>
      <c r="K92" s="638">
        <v>1194.5</v>
      </c>
      <c r="N92" s="611" t="str">
        <f>IF(A92&lt;&gt;"",IF(COUNTIF('Struktur Aktuell'!D$2:D$65645,A92)=1,"ok",IF(COUNTIF('Struktur Aktuell'!D$2:D$65645,A92)&gt;1,"Konto " &amp; COUNTIF('Struktur Aktuell'!D$2:D$65645,A92)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Aktuell'!D$2:D$65645,A93)=1,"ok",IF(COUNTIF('Struktur Aktuell'!D$2:D$65645,A93)&gt;1,"Konto " &amp; COUNTIF('Struktur Aktuell'!D$2:D$65645,A93)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322.54000000000002</v>
      </c>
      <c r="N94" s="611" t="str">
        <f>IF(A94&lt;&gt;"",IF(COUNTIF('Struktur Aktuell'!D$2:D$65645,A94)=1,"ok",IF(COUNTIF('Struktur Aktuell'!D$2:D$65645,A94)&gt;1,"Konto " &amp; COUNTIF('Struktur Aktuell'!D$2:D$65645,A94)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30.15</v>
      </c>
      <c r="K95" s="638">
        <v>327.85</v>
      </c>
      <c r="N95" s="611" t="str">
        <f>IF(A95&lt;&gt;"",IF(COUNTIF('Struktur Aktuell'!D$2:D$65645,A95)=1,"ok",IF(COUNTIF('Struktur Aktuell'!D$2:D$65645,A95)&gt;1,"Konto " &amp; COUNTIF('Struktur Aktuell'!D$2:D$65645,A95)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185.85</v>
      </c>
      <c r="N96" s="611" t="str">
        <f>IF(A96&lt;&gt;"",IF(COUNTIF('Struktur Aktuell'!D$2:D$65645,A96)=1,"ok",IF(COUNTIF('Struktur Aktuell'!D$2:D$65645,A96)&gt;1,"Konto " &amp; COUNTIF('Struktur Aktuell'!D$2:D$65645,A96)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J97" s="638">
        <v>2250</v>
      </c>
      <c r="L97" s="638">
        <v>2250</v>
      </c>
      <c r="N97" s="611" t="str">
        <f>IF(A97&lt;&gt;"",IF(COUNTIF('Struktur Aktuell'!D$2:D$65645,A97)=1,"ok",IF(COUNTIF('Struktur Aktuell'!D$2:D$65645,A97)&gt;1,"Konto " &amp; COUNTIF('Struktur Aktuell'!D$2:D$65645,A97)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8908.86</v>
      </c>
      <c r="N98" s="611" t="str">
        <f>IF(A98&lt;&gt;"",IF(COUNTIF('Struktur Aktuell'!D$2:D$65645,A98)=1,"ok",IF(COUNTIF('Struktur Aktuell'!D$2:D$65645,A98)&gt;1,"Konto " &amp; COUNTIF('Struktur Aktuell'!D$2:D$65645,A98)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7899.69</v>
      </c>
      <c r="L99" s="638">
        <v>53247.23</v>
      </c>
      <c r="N99" s="611" t="str">
        <f>IF(A99&lt;&gt;"",IF(COUNTIF('Struktur Aktuell'!D$2:D$65645,A99)=1,"ok",IF(COUNTIF('Struktur Aktuell'!D$2:D$65645,A99)&gt;1,"Konto " &amp; COUNTIF('Struktur Aktuell'!D$2:D$65645,A99)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205.83</v>
      </c>
      <c r="L100" s="638">
        <v>2876.64</v>
      </c>
      <c r="N100" s="611" t="str">
        <f>IF(A100&lt;&gt;"",IF(COUNTIF('Struktur Aktuell'!D$2:D$65645,A100)=1,"ok",IF(COUNTIF('Struktur Aktuell'!D$2:D$65645,A100)&gt;1,"Konto " &amp; COUNTIF('Struktur Aktuell'!D$2:D$65645,A100)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L101" s="638">
        <v>712.07</v>
      </c>
      <c r="N101" s="611" t="str">
        <f>IF(A101&lt;&gt;"",IF(COUNTIF('Struktur Aktuell'!D$2:D$65645,A101)=1,"ok",IF(COUNTIF('Struktur Aktuell'!D$2:D$65645,A101)&gt;1,"Konto " &amp; COUNTIF('Struktur Aktuell'!D$2:D$65645,A101)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7523.1</v>
      </c>
      <c r="L102" s="638">
        <v>42842.45</v>
      </c>
      <c r="N102" s="611" t="str">
        <f>IF(A102&lt;&gt;"",IF(COUNTIF('Struktur Aktuell'!D$2:D$65645,A102)=1,"ok",IF(COUNTIF('Struktur Aktuell'!D$2:D$65645,A102)&gt;1,"Konto " &amp; COUNTIF('Struktur Aktuell'!D$2:D$65645,A102)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14681.5</v>
      </c>
      <c r="L103" s="638">
        <v>65568.929999999993</v>
      </c>
      <c r="N103" s="611" t="str">
        <f>IF(A103&lt;&gt;"",IF(COUNTIF('Struktur Aktuell'!D$2:D$65645,A103)=1,"ok",IF(COUNTIF('Struktur Aktuell'!D$2:D$65645,A103)&gt;1,"Konto " &amp; COUNTIF('Struktur Aktuell'!D$2:D$65645,A103)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99.2</v>
      </c>
      <c r="N104" s="611" t="str">
        <f>IF(A104&lt;&gt;"",IF(COUNTIF('Struktur Aktuell'!D$2:D$65645,A104)=1,"ok",IF(COUNTIF('Struktur Aktuell'!D$2:D$65645,A104)&gt;1,"Konto " &amp; COUNTIF('Struktur Aktuell'!D$2:D$65645,A104)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Aktuell'!D$2:D$65645,A105)=1,"ok",IF(COUNTIF('Struktur Aktuell'!D$2:D$65645,A105)&gt;1,"Konto " &amp; COUNTIF('Struktur Aktuell'!D$2:D$65645,A105)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Aktuell'!D$2:D$65645,A106)=1,"ok",IF(COUNTIF('Struktur Aktuell'!D$2:D$65645,A106)&gt;1,"Konto " &amp; COUNTIF('Struktur Aktuell'!D$2:D$65645,A106)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Aktuell'!D$2:D$65645,A107)=1,"ok",IF(COUNTIF('Struktur Aktuell'!D$2:D$65645,A107)&gt;1,"Konto " &amp; COUNTIF('Struktur Aktuell'!D$2:D$65645,A107)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74" priority="2" stopIfTrue="1" operator="equal">
      <formula>"ok"</formula>
    </cfRule>
    <cfRule type="cellIs" dxfId="3173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A0FDBC76-B65E-4AF0-A13D-21CDF6827F6E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2">
    <tabColor rgb="FFFFC000"/>
  </sheetPr>
  <dimension ref="A1:N3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DATE(Grunddaten!B5,Grunddaten!B6-1+11,1)</f>
        <v>43770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</sheetData>
  <mergeCells count="2">
    <mergeCell ref="D1:F1"/>
    <mergeCell ref="G1:J1"/>
  </mergeCells>
  <conditionalFormatting sqref="N2:N65234">
    <cfRule type="cellIs" dxfId="3171" priority="2" stopIfTrue="1" operator="equal">
      <formula>"ok"</formula>
    </cfRule>
    <cfRule type="cellIs" dxfId="3170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CB6BC75E-CA64-45E3-921B-B48EB5BA8FE7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3">
    <tabColor rgb="FFFFC000"/>
  </sheetPr>
  <dimension ref="A1:N3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Grunddaten!E5</f>
        <v>2019</v>
      </c>
      <c r="E1" s="1393"/>
      <c r="F1" s="1393"/>
      <c r="G1" s="1394">
        <f>DATE(Grunddaten!B5,Grunddaten!B6-1+12,1)</f>
        <v>43800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</sheetData>
  <mergeCells count="2">
    <mergeCell ref="D1:F1"/>
    <mergeCell ref="G1:J1"/>
  </mergeCells>
  <conditionalFormatting sqref="N2:N65234">
    <cfRule type="cellIs" dxfId="3168" priority="2" stopIfTrue="1" operator="equal">
      <formula>"ok"</formula>
    </cfRule>
    <cfRule type="cellIs" dxfId="3167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B13973DE-716D-4AE6-98DF-AFD9FB78F4FF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9">
    <tabColor rgb="FFFFC000"/>
  </sheetPr>
  <dimension ref="A1:N107"/>
  <sheetViews>
    <sheetView showGridLines="0" zoomScaleNormal="100" workbookViewId="0">
      <selection activeCell="A4" sqref="A4:M8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DATE(Grunddaten!B5,Grunddaten!B6-1+1,1)</f>
        <v>43466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104.28</v>
      </c>
      <c r="K4" s="638">
        <v>1407.22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53.12</v>
      </c>
      <c r="K7" s="638">
        <v>990.38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75.06</v>
      </c>
      <c r="K9" s="638">
        <v>2012.94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I12" s="638">
        <v>417.29</v>
      </c>
      <c r="K12" s="638">
        <v>590.67999999999995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10036.26</v>
      </c>
      <c r="K13" s="638">
        <v>26509.81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35000</v>
      </c>
      <c r="K15" s="638">
        <v>100000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53195.15</v>
      </c>
      <c r="K18" s="638">
        <v>24554.15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153.15</v>
      </c>
      <c r="L22" s="638">
        <v>153.15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7.69</v>
      </c>
      <c r="K23" s="638">
        <v>7.69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10.47</v>
      </c>
      <c r="K24" s="638">
        <v>10.47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651.92999999999995</v>
      </c>
      <c r="K25" s="638">
        <v>651.92999999999995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9.4</v>
      </c>
      <c r="K26" s="638">
        <v>9.4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189.19</v>
      </c>
      <c r="L27" s="638">
        <v>1206.06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18.899999999999999</v>
      </c>
      <c r="L28" s="638">
        <v>364.5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731.59</v>
      </c>
      <c r="L29" s="638">
        <v>1295.0899999999999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K30" s="638">
        <v>0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260</v>
      </c>
      <c r="K31" s="638">
        <v>160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10.47</v>
      </c>
      <c r="L33" s="638">
        <v>10.47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2042.84</v>
      </c>
      <c r="L34" s="638">
        <v>2042.84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0</v>
      </c>
      <c r="K35" s="638">
        <v>0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475.67</v>
      </c>
      <c r="K36" s="638">
        <v>475.67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0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234.92</v>
      </c>
      <c r="L39" s="638">
        <v>234.92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211.78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240.01</v>
      </c>
      <c r="K42" s="638">
        <v>240.01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K43" s="638">
        <v>0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1250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1120.3800000000001</v>
      </c>
      <c r="K45" s="638">
        <v>1120.3800000000001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1895.37</v>
      </c>
      <c r="K46" s="638">
        <v>1895.37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5185.72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775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3943.5</v>
      </c>
      <c r="K49" s="638">
        <v>3943.5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169.15</v>
      </c>
      <c r="K51" s="638">
        <v>169.15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561.15</v>
      </c>
      <c r="K52" s="638">
        <v>561.15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247.72</v>
      </c>
      <c r="K53" s="638">
        <v>247.72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416.85</v>
      </c>
      <c r="K54" s="638">
        <v>416.85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1142.8</v>
      </c>
      <c r="K55" s="638">
        <v>1142.8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0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0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0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18.899999999999999</v>
      </c>
      <c r="K60" s="638">
        <v>18.899999999999999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10.37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1250.5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288.24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223</v>
      </c>
      <c r="K64" s="638">
        <v>223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0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0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0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320.04000000000002</v>
      </c>
      <c r="K68" s="638">
        <v>320.04000000000002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0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11</v>
      </c>
      <c r="K72" s="638">
        <v>11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5.41</v>
      </c>
      <c r="K73" s="638">
        <v>5.41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13.61</v>
      </c>
      <c r="K75" s="638">
        <v>13.61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211.2</v>
      </c>
      <c r="K76" s="638">
        <v>211.2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0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55.09</v>
      </c>
      <c r="K78" s="638">
        <v>55.09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104.28</v>
      </c>
      <c r="K79" s="638">
        <v>104.28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128.18</v>
      </c>
      <c r="K80" s="638">
        <v>128.18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0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145.19999999999999</v>
      </c>
      <c r="K82" s="638">
        <v>145.19999999999999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0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308.99</v>
      </c>
      <c r="K84" s="638">
        <v>308.99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0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36.130000000000003</v>
      </c>
      <c r="K87" s="638">
        <v>36.130000000000003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13.78</v>
      </c>
      <c r="K88" s="638">
        <v>13.78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0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0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0</v>
      </c>
      <c r="K91" s="638">
        <v>0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0</v>
      </c>
      <c r="K92" s="638">
        <v>0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0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0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10</v>
      </c>
      <c r="K95" s="638">
        <v>10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0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K98" s="638">
        <v>0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3047.44</v>
      </c>
      <c r="L99" s="638">
        <v>3047.44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I100" s="638">
        <v>0</v>
      </c>
      <c r="K100" s="638">
        <v>0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950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6754.33</v>
      </c>
      <c r="L103" s="638">
        <v>6754.33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K104" s="638">
        <v>0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65" priority="2" stopIfTrue="1" operator="equal">
      <formula>"ok"</formula>
    </cfRule>
    <cfRule type="cellIs" dxfId="3164" priority="3" stopIfTrue="1" operator="equal">
      <formula>"Konto noch nicht zugeordnet"</formula>
    </cfRule>
  </conditionalFormatting>
  <pageMargins left="0.7" right="0.7" top="0.75" bottom="0.75" header="0.3" footer="0.3"/>
  <pageSetup paperSize="9" scale="52" orientation="portrait" horizontalDpi="4294967293" verticalDpi="429496729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76460E5F-31E4-45DB-81B4-8D7727792649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0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DATE(Grunddaten!B5,Grunddaten!B6-1+2,1)</f>
        <v>43497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104.3</v>
      </c>
      <c r="K4" s="638">
        <v>1302.92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53.13</v>
      </c>
      <c r="K7" s="638">
        <v>937.25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168.05</v>
      </c>
      <c r="K8" s="638">
        <v>168.05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75.09</v>
      </c>
      <c r="K9" s="638">
        <v>1937.85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91.96</v>
      </c>
      <c r="K12" s="638">
        <v>498.72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13802.12</v>
      </c>
      <c r="K13" s="638">
        <v>12707.69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100000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585.03</v>
      </c>
      <c r="K18" s="638">
        <v>23969.119999999999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4.78</v>
      </c>
      <c r="L22" s="638">
        <v>157.93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1.47</v>
      </c>
      <c r="K23" s="638">
        <v>9.16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10.47</v>
      </c>
      <c r="K24" s="638">
        <v>20.94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615.83000000000004</v>
      </c>
      <c r="K25" s="638">
        <v>1267.76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526.79</v>
      </c>
      <c r="L26" s="638">
        <v>517.39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215.36</v>
      </c>
      <c r="L27" s="638">
        <v>990.7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I28" s="638">
        <v>0</v>
      </c>
      <c r="L28" s="638">
        <v>364.5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136.44999999999999</v>
      </c>
      <c r="L29" s="638">
        <v>1158.6400000000001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88</v>
      </c>
      <c r="L30" s="638">
        <v>88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J31" s="638">
        <v>172</v>
      </c>
      <c r="L31" s="638">
        <v>12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10.47</v>
      </c>
      <c r="L33" s="638">
        <v>20.94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2313.94</v>
      </c>
      <c r="L34" s="638">
        <v>4356.78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0</v>
      </c>
      <c r="K35" s="638">
        <v>0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7837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0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423.56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0.84</v>
      </c>
      <c r="K42" s="638">
        <v>240.85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K43" s="638">
        <v>0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2500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1120.3800000000001</v>
      </c>
      <c r="K45" s="638">
        <v>2240.7600000000002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1895.37</v>
      </c>
      <c r="K46" s="638">
        <v>3790.74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10371.44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1550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3943.5</v>
      </c>
      <c r="K49" s="638">
        <v>7887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507.44</v>
      </c>
      <c r="K51" s="638">
        <v>676.59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561.15</v>
      </c>
      <c r="K52" s="638">
        <v>1122.3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247.71</v>
      </c>
      <c r="K53" s="638">
        <v>495.43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416.86</v>
      </c>
      <c r="K54" s="638">
        <v>833.71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706.18</v>
      </c>
      <c r="K55" s="638">
        <v>1848.98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0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0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88</v>
      </c>
      <c r="K59" s="638">
        <v>88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0</v>
      </c>
      <c r="K60" s="638">
        <v>18.899999999999999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20.74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2501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576.48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4.71</v>
      </c>
      <c r="K64" s="638">
        <v>227.71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0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93</v>
      </c>
      <c r="K66" s="638">
        <v>93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209.08</v>
      </c>
      <c r="K67" s="638">
        <v>209.08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704.19</v>
      </c>
      <c r="K68" s="638">
        <v>1024.23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0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21.35</v>
      </c>
      <c r="K72" s="638">
        <v>32.35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10.5</v>
      </c>
      <c r="K73" s="638">
        <v>15.91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13.61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27</v>
      </c>
      <c r="K76" s="638">
        <v>238.2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16.78</v>
      </c>
      <c r="K77" s="638">
        <v>16.78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55.09</v>
      </c>
      <c r="K78" s="638">
        <v>110.18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104.3</v>
      </c>
      <c r="K79" s="638">
        <v>208.58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128.22</v>
      </c>
      <c r="K80" s="638">
        <v>256.39999999999998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0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166.49</v>
      </c>
      <c r="K82" s="638">
        <v>311.69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84</v>
      </c>
      <c r="K83" s="638">
        <v>84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264.36</v>
      </c>
      <c r="K84" s="638">
        <v>573.35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0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0</v>
      </c>
      <c r="K87" s="638">
        <v>36.130000000000003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112.09</v>
      </c>
      <c r="K88" s="638">
        <v>125.87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0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146.25</v>
      </c>
      <c r="K90" s="638">
        <v>146.25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237.36</v>
      </c>
      <c r="K91" s="638">
        <v>237.36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118.42</v>
      </c>
      <c r="K92" s="638">
        <v>118.42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28.5</v>
      </c>
      <c r="K93" s="638">
        <v>28.5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0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30.9</v>
      </c>
      <c r="K95" s="638">
        <v>40.9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0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J98" s="638">
        <v>3366.76</v>
      </c>
      <c r="L98" s="638">
        <v>3366.76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152.80000000000001</v>
      </c>
      <c r="L99" s="638">
        <v>3200.24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205.83</v>
      </c>
      <c r="L100" s="638">
        <v>205.83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1900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7503.26</v>
      </c>
      <c r="L103" s="638">
        <v>14257.59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K104" s="638">
        <v>0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62" priority="2" stopIfTrue="1" operator="equal">
      <formula>"ok"</formula>
    </cfRule>
    <cfRule type="cellIs" dxfId="3161" priority="3" stopIfTrue="1" operator="equal">
      <formula>"Konto noch nicht zugeordnet"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6DB65EC8-7C92-4792-83F6-0F4DB08CD600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1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DATE(Grunddaten!B5,Grunddaten!B6-1+3,1)</f>
        <v>43525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104.28</v>
      </c>
      <c r="K4" s="638">
        <v>1198.6400000000001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53.12</v>
      </c>
      <c r="K7" s="638">
        <v>884.13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J8" s="638">
        <v>168.05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75.06</v>
      </c>
      <c r="K9" s="638">
        <v>1862.79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146.04</v>
      </c>
      <c r="K12" s="638">
        <v>352.68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1719.6</v>
      </c>
      <c r="K13" s="638">
        <v>14427.29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10000</v>
      </c>
      <c r="K15" s="638">
        <v>90000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9961.1</v>
      </c>
      <c r="K18" s="638">
        <v>14008.02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4.78</v>
      </c>
      <c r="L22" s="638">
        <v>153.15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16.55</v>
      </c>
      <c r="K23" s="638">
        <v>25.71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18.809999999999999</v>
      </c>
      <c r="K24" s="638">
        <v>39.75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965.49</v>
      </c>
      <c r="K25" s="638">
        <v>2233.25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1638.87</v>
      </c>
      <c r="K26" s="638">
        <v>1121.48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J27" s="638">
        <v>1543.33</v>
      </c>
      <c r="L27" s="638">
        <v>2534.0300000000002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27</v>
      </c>
      <c r="L28" s="638">
        <v>391.5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159.62</v>
      </c>
      <c r="L29" s="638">
        <v>1318.26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52.32</v>
      </c>
      <c r="L30" s="638">
        <v>140.32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L31" s="638">
        <v>12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18.809999999999999</v>
      </c>
      <c r="L33" s="638">
        <v>39.75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1326.49</v>
      </c>
      <c r="L34" s="638">
        <v>5683.27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1383.22</v>
      </c>
      <c r="K35" s="638">
        <v>1383.22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197.28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397.87</v>
      </c>
      <c r="K40" s="638">
        <v>821.43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240.85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J43" s="638">
        <v>0.01</v>
      </c>
      <c r="L43" s="638">
        <v>0.01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3750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1120.3800000000001</v>
      </c>
      <c r="K45" s="638">
        <v>3361.14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1895.37</v>
      </c>
      <c r="K46" s="638">
        <v>5686.11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15557.16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2325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5173.13</v>
      </c>
      <c r="K49" s="638">
        <v>13060.13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169.14</v>
      </c>
      <c r="K51" s="638">
        <v>845.73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642.16</v>
      </c>
      <c r="K52" s="638">
        <v>1764.46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247.72</v>
      </c>
      <c r="K53" s="638">
        <v>743.15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416.86</v>
      </c>
      <c r="K54" s="638">
        <v>1250.57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1092.8800000000001</v>
      </c>
      <c r="K55" s="638">
        <v>2941.86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0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342.65</v>
      </c>
      <c r="K57" s="638">
        <v>342.65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120</v>
      </c>
      <c r="K58" s="638">
        <v>120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132.66999999999999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27</v>
      </c>
      <c r="K60" s="638">
        <v>45.9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31.11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3751.5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864.72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223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47.03</v>
      </c>
      <c r="K65" s="638">
        <v>47.03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93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209.08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120</v>
      </c>
      <c r="K68" s="638">
        <v>1144.23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1260.5</v>
      </c>
      <c r="K71" s="638">
        <v>1260.5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32.35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15.91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3.36</v>
      </c>
      <c r="K75" s="638">
        <v>16.97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43.2</v>
      </c>
      <c r="K76" s="638">
        <v>281.39999999999998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76.7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55.09</v>
      </c>
      <c r="K78" s="638">
        <v>165.27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104.28</v>
      </c>
      <c r="K79" s="638">
        <v>312.86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128.18</v>
      </c>
      <c r="K80" s="638">
        <v>384.58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168.05</v>
      </c>
      <c r="K81" s="638">
        <v>168.05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281.72000000000003</v>
      </c>
      <c r="K82" s="638">
        <v>593.41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84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349.12</v>
      </c>
      <c r="K84" s="638">
        <v>922.47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9.39</v>
      </c>
      <c r="K86" s="638">
        <v>9.39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945.81</v>
      </c>
      <c r="K87" s="638">
        <v>981.94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17.13</v>
      </c>
      <c r="K88" s="638">
        <v>143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0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90</v>
      </c>
      <c r="K90" s="638">
        <v>236.25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0</v>
      </c>
      <c r="K91" s="638">
        <v>237.36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121.6</v>
      </c>
      <c r="K92" s="638">
        <v>240.02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27.18</v>
      </c>
      <c r="K94" s="638">
        <v>27.18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31.95</v>
      </c>
      <c r="K95" s="638">
        <v>72.849999999999994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119.21</v>
      </c>
      <c r="K96" s="638">
        <v>119.21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J98" s="638">
        <v>4582.1000000000004</v>
      </c>
      <c r="L98" s="638">
        <v>7948.86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999</v>
      </c>
      <c r="L99" s="638">
        <v>4199.24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205.83</v>
      </c>
      <c r="L100" s="638">
        <v>411.66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1145</v>
      </c>
      <c r="L102" s="638">
        <v>3045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I103" s="638">
        <v>0</v>
      </c>
      <c r="L103" s="638">
        <v>14257.59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J104" s="638">
        <v>49.6</v>
      </c>
      <c r="L104" s="638">
        <v>49.6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59" priority="2" stopIfTrue="1" operator="equal">
      <formula>"ok"</formula>
    </cfRule>
    <cfRule type="cellIs" dxfId="3158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BC617E90-AE15-45A3-BEF0-EC57189AA66D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2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DATE(Grunddaten!B5,Grunddaten!B6-1+4,1)</f>
        <v>43556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104.3</v>
      </c>
      <c r="K4" s="638">
        <v>1094.3399999999999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I7" s="638">
        <v>3609.78</v>
      </c>
      <c r="K7" s="638">
        <v>4493.91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I9" s="638">
        <v>1470.12</v>
      </c>
      <c r="K9" s="638">
        <v>3332.91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0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26.08</v>
      </c>
      <c r="K12" s="638">
        <v>326.60000000000002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29724.76</v>
      </c>
      <c r="K13" s="638">
        <v>44152.05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50000</v>
      </c>
      <c r="K15" s="638">
        <v>40000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6948.46</v>
      </c>
      <c r="K18" s="638">
        <v>20956.48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0.22</v>
      </c>
      <c r="L22" s="638">
        <v>153.37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11.69</v>
      </c>
      <c r="K23" s="638">
        <v>37.4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19.02</v>
      </c>
      <c r="K24" s="638">
        <v>58.77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1200.04</v>
      </c>
      <c r="K25" s="638">
        <v>3433.29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1554.36</v>
      </c>
      <c r="L26" s="638">
        <v>432.88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165.24</v>
      </c>
      <c r="L27" s="638">
        <v>2368.79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44.4</v>
      </c>
      <c r="L28" s="638">
        <v>435.9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202.7</v>
      </c>
      <c r="L29" s="638">
        <v>1520.96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46.32</v>
      </c>
      <c r="L30" s="638">
        <v>186.64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L31" s="638">
        <v>12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19.02</v>
      </c>
      <c r="L33" s="638">
        <v>58.77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2552.13</v>
      </c>
      <c r="L34" s="638">
        <v>8235.4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1696.64</v>
      </c>
      <c r="K35" s="638">
        <v>3079.86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245.23</v>
      </c>
      <c r="K40" s="638">
        <v>1066.6600000000001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0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240.85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J43" s="638">
        <v>0.82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5000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1120.3699999999999</v>
      </c>
      <c r="K45" s="638">
        <v>4481.51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1895.38</v>
      </c>
      <c r="K46" s="638">
        <v>7581.49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20742.88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3100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4666.88</v>
      </c>
      <c r="K49" s="638">
        <v>17727.009999999998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169.14</v>
      </c>
      <c r="K51" s="638">
        <v>1014.87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582.82000000000005</v>
      </c>
      <c r="K52" s="638">
        <v>2347.2800000000002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247.72</v>
      </c>
      <c r="K53" s="638">
        <v>990.87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416.86</v>
      </c>
      <c r="K54" s="638">
        <v>1667.43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1092.8800000000001</v>
      </c>
      <c r="K55" s="638">
        <v>4034.74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262.45999999999998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14.88</v>
      </c>
      <c r="K57" s="638">
        <v>357.53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200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177.34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44.4</v>
      </c>
      <c r="K60" s="638">
        <v>90.3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41.48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5002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1152.96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42.75</v>
      </c>
      <c r="K65" s="638">
        <v>89.78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93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1862.2</v>
      </c>
      <c r="K67" s="638">
        <v>2071.2800000000002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J68" s="638">
        <v>105.36</v>
      </c>
      <c r="K68" s="638">
        <v>1038.8699999999999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45</v>
      </c>
      <c r="K71" s="638">
        <v>1305.5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104.41</v>
      </c>
      <c r="K72" s="638">
        <v>136.76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51.35</v>
      </c>
      <c r="K73" s="638">
        <v>67.260000000000005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16.97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1.2</v>
      </c>
      <c r="K76" s="638">
        <v>282.60000000000002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304.57</v>
      </c>
      <c r="K78" s="638">
        <v>469.84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104.3</v>
      </c>
      <c r="K79" s="638">
        <v>417.16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241.84</v>
      </c>
      <c r="K80" s="638">
        <v>626.41999999999996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168.05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62.58</v>
      </c>
      <c r="K82" s="638">
        <v>655.99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2.85</v>
      </c>
      <c r="K83" s="638">
        <v>86.85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291.2</v>
      </c>
      <c r="K84" s="638">
        <v>1213.67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9.39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49</v>
      </c>
      <c r="K87" s="638">
        <v>1030.94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43.15</v>
      </c>
      <c r="K88" s="638">
        <v>186.15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130.1</v>
      </c>
      <c r="K89" s="638">
        <v>130.1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223</v>
      </c>
      <c r="K90" s="638">
        <v>459.25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0</v>
      </c>
      <c r="K91" s="638">
        <v>237.36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0</v>
      </c>
      <c r="K92" s="638">
        <v>240.02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27.18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39.15</v>
      </c>
      <c r="K95" s="638">
        <v>112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119.21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422.5</v>
      </c>
      <c r="L99" s="638">
        <v>4621.74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235.83</v>
      </c>
      <c r="L100" s="638">
        <v>647.49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K101" s="638">
        <v>0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3995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11823.88</v>
      </c>
      <c r="L103" s="638">
        <v>26081.47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56" priority="2" stopIfTrue="1" operator="equal">
      <formula>"ok"</formula>
    </cfRule>
    <cfRule type="cellIs" dxfId="3155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C071BB0F-298A-4ADC-8C73-567987D60EDF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3">
    <tabColor rgb="FFFFC000"/>
  </sheetPr>
  <dimension ref="A1:N107"/>
  <sheetViews>
    <sheetView showGridLines="0" zoomScaleNormal="10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DATE(Grunddaten!B5,Grunddaten!B6-1+5,1)</f>
        <v>43586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104.29</v>
      </c>
      <c r="K4" s="638">
        <v>990.05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136.62</v>
      </c>
      <c r="K7" s="638">
        <v>4357.29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83.87</v>
      </c>
      <c r="K9" s="638">
        <v>3249.04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36287.78</v>
      </c>
      <c r="K11" s="638">
        <v>36287.78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111.29</v>
      </c>
      <c r="K12" s="638">
        <v>215.31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40232.589999999997</v>
      </c>
      <c r="K13" s="638">
        <v>3919.46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10000</v>
      </c>
      <c r="K15" s="638">
        <v>30000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7973.54</v>
      </c>
      <c r="K18" s="638">
        <v>12982.94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104.6</v>
      </c>
      <c r="L22" s="638">
        <v>48.77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4.63</v>
      </c>
      <c r="K23" s="638">
        <v>42.03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8.5299999999999994</v>
      </c>
      <c r="K24" s="638">
        <v>67.3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1057.72</v>
      </c>
      <c r="K25" s="638">
        <v>4491.01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268.52</v>
      </c>
      <c r="L26" s="638">
        <v>164.36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479.25</v>
      </c>
      <c r="L27" s="638">
        <v>1889.54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45.3</v>
      </c>
      <c r="L28" s="638">
        <v>481.2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282.27</v>
      </c>
      <c r="L29" s="638">
        <v>1238.69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53.97</v>
      </c>
      <c r="L30" s="638">
        <v>132.66999999999999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44.67</v>
      </c>
      <c r="K31" s="638">
        <v>32.67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8.5299999999999994</v>
      </c>
      <c r="L33" s="638">
        <v>67.3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1475.38</v>
      </c>
      <c r="L34" s="638">
        <v>9710.7800000000007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344.45</v>
      </c>
      <c r="K35" s="638">
        <v>3424.31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234.92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1278.44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177</v>
      </c>
      <c r="K41" s="638">
        <v>177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500</v>
      </c>
      <c r="K42" s="638">
        <v>740.85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6250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1120.3699999999999</v>
      </c>
      <c r="K45" s="638">
        <v>5601.88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1895.38</v>
      </c>
      <c r="K46" s="638">
        <v>9476.8700000000008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5185.72</v>
      </c>
      <c r="K47" s="638">
        <v>25928.6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775</v>
      </c>
      <c r="K48" s="638">
        <v>3875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3661.55</v>
      </c>
      <c r="K49" s="638">
        <v>21388.560000000001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338.29</v>
      </c>
      <c r="K51" s="638">
        <v>1353.16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471.16</v>
      </c>
      <c r="K52" s="638">
        <v>2818.44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247.71</v>
      </c>
      <c r="K53" s="638">
        <v>1238.58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247.72</v>
      </c>
      <c r="K54" s="638">
        <v>1915.15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1092.8800000000001</v>
      </c>
      <c r="K55" s="638">
        <v>5127.62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357.53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200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222.01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45.3</v>
      </c>
      <c r="K60" s="638">
        <v>135.6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51.85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1250.5</v>
      </c>
      <c r="K62" s="638">
        <v>6252.5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288.24</v>
      </c>
      <c r="K63" s="638">
        <v>1441.2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568.28</v>
      </c>
      <c r="K65" s="638">
        <v>658.06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5416.5</v>
      </c>
      <c r="K66" s="638">
        <v>5509.5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2071.2800000000002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0</v>
      </c>
      <c r="K68" s="638">
        <v>1038.8699999999999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16.489999999999998</v>
      </c>
      <c r="K71" s="638">
        <v>1321.99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136.76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67.260000000000005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0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16.97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215.1</v>
      </c>
      <c r="K76" s="638">
        <v>497.7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44.89</v>
      </c>
      <c r="K78" s="638">
        <v>514.73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104.29</v>
      </c>
      <c r="K79" s="638">
        <v>521.45000000000005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220.49</v>
      </c>
      <c r="K80" s="638">
        <v>846.91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415.97</v>
      </c>
      <c r="K81" s="638">
        <v>584.02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170.92</v>
      </c>
      <c r="K82" s="638">
        <v>826.91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7.49</v>
      </c>
      <c r="K83" s="638">
        <v>94.34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399.4</v>
      </c>
      <c r="K84" s="638">
        <v>1613.07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27</v>
      </c>
      <c r="K86" s="638">
        <v>36.39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0</v>
      </c>
      <c r="K87" s="638">
        <v>1030.94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20.07</v>
      </c>
      <c r="K88" s="638">
        <v>206.22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130.1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120</v>
      </c>
      <c r="K90" s="638">
        <v>579.25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332.36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126.34</v>
      </c>
      <c r="K92" s="638">
        <v>366.36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2150</v>
      </c>
      <c r="K93" s="638">
        <v>2178.5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27.18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34.65</v>
      </c>
      <c r="K95" s="638">
        <v>146.65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33.61</v>
      </c>
      <c r="K96" s="638">
        <v>152.82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260</v>
      </c>
      <c r="L99" s="638">
        <v>4881.74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325.83</v>
      </c>
      <c r="L100" s="638">
        <v>973.32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308.39999999999998</v>
      </c>
      <c r="L101" s="638">
        <v>308.39999999999998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950</v>
      </c>
      <c r="L102" s="638">
        <v>4945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5920.88</v>
      </c>
      <c r="L103" s="638">
        <v>32002.35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53" priority="2" stopIfTrue="1" operator="equal">
      <formula>"ok"</formula>
    </cfRule>
    <cfRule type="cellIs" dxfId="3152" priority="3" stopIfTrue="1" operator="equal">
      <formula>"Konto noch nicht zugeordnet"</formula>
    </cfRule>
  </conditionalFormatting>
  <pageMargins left="0.7" right="0.7" top="0.75" bottom="0.75" header="0.3" footer="0.3"/>
  <pageSetup paperSize="9" scale="44" orientation="portrait" horizontalDpi="4294967293" verticalDpi="429496729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E9C4A4C7-7F13-4F25-9716-DB65BE980A87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4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7" width="13.28515625" style="638" customWidth="1"/>
    <col min="8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DATE(Grunddaten!B5,Grunddaten!B6-1+6,1)</f>
        <v>43617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104.29</v>
      </c>
      <c r="K4" s="638">
        <v>885.76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</v>
      </c>
      <c r="K7" s="638">
        <v>4220.6899999999996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83.83</v>
      </c>
      <c r="K9" s="638">
        <v>3165.21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62.1</v>
      </c>
      <c r="K12" s="638">
        <v>153.21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1441.33</v>
      </c>
      <c r="K13" s="638">
        <v>5360.79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15000</v>
      </c>
      <c r="K15" s="638">
        <v>15000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3431.71</v>
      </c>
      <c r="K18" s="638">
        <v>16414.650000000001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0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110.52</v>
      </c>
      <c r="L22" s="638">
        <v>159.29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7.59</v>
      </c>
      <c r="K23" s="638">
        <v>49.62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39.9</v>
      </c>
      <c r="K24" s="638">
        <v>107.2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740.94</v>
      </c>
      <c r="K25" s="638">
        <v>5231.95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211.92</v>
      </c>
      <c r="L26" s="638">
        <v>376.28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1456.88</v>
      </c>
      <c r="L27" s="638">
        <v>432.66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115.2</v>
      </c>
      <c r="L28" s="638">
        <v>596.4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26.31</v>
      </c>
      <c r="L29" s="638">
        <v>1212.3800000000001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44.67</v>
      </c>
      <c r="L30" s="638">
        <v>177.34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44.67</v>
      </c>
      <c r="K31" s="638">
        <v>77.34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39.9</v>
      </c>
      <c r="L33" s="638">
        <v>107.2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2106.15</v>
      </c>
      <c r="L34" s="638">
        <v>11816.93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1340.4</v>
      </c>
      <c r="K35" s="638">
        <v>4764.71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K38" s="638">
        <v>0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234.92</v>
      </c>
      <c r="L39" s="638">
        <v>469.84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1490.22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160</v>
      </c>
      <c r="K41" s="638">
        <v>337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0.84</v>
      </c>
      <c r="K42" s="638">
        <v>741.69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1250</v>
      </c>
      <c r="K44" s="638">
        <v>7500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1120.3699999999999</v>
      </c>
      <c r="K45" s="638">
        <v>6722.25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2070.38</v>
      </c>
      <c r="K46" s="638">
        <v>11547.25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4954.92</v>
      </c>
      <c r="K47" s="638">
        <v>30883.52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950</v>
      </c>
      <c r="K48" s="638">
        <v>4825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3673.13</v>
      </c>
      <c r="K49" s="638">
        <v>25061.69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207.33</v>
      </c>
      <c r="K51" s="638">
        <v>1560.49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473.71</v>
      </c>
      <c r="K52" s="638">
        <v>3292.15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247.71</v>
      </c>
      <c r="K53" s="638">
        <v>1486.29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455.06</v>
      </c>
      <c r="K54" s="638">
        <v>2370.21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1035.1400000000001</v>
      </c>
      <c r="K55" s="638">
        <v>6162.76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357.53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0</v>
      </c>
      <c r="K58" s="638">
        <v>200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44.67</v>
      </c>
      <c r="K59" s="638">
        <v>266.68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96</v>
      </c>
      <c r="K60" s="638">
        <v>231.6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10.37</v>
      </c>
      <c r="K61" s="638">
        <v>62.22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0</v>
      </c>
      <c r="K62" s="638">
        <v>6252.5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585.28</v>
      </c>
      <c r="K63" s="638">
        <v>2026.48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658.06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2071.2800000000002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0</v>
      </c>
      <c r="K68" s="638">
        <v>1038.8699999999999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1321.99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136.76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67.260000000000005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15.7</v>
      </c>
      <c r="K74" s="638">
        <v>15.7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1.26</v>
      </c>
      <c r="K75" s="638">
        <v>18.23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84.9</v>
      </c>
      <c r="K76" s="638">
        <v>582.6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138.99</v>
      </c>
      <c r="K78" s="638">
        <v>653.72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104.29</v>
      </c>
      <c r="K79" s="638">
        <v>625.74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220.43</v>
      </c>
      <c r="K80" s="638">
        <v>1067.3399999999999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326.95999999999998</v>
      </c>
      <c r="K81" s="638">
        <v>910.98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93.07</v>
      </c>
      <c r="K82" s="638">
        <v>919.98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94.34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375.57</v>
      </c>
      <c r="K84" s="638">
        <v>1988.64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264.08999999999997</v>
      </c>
      <c r="K86" s="638">
        <v>300.48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643.73</v>
      </c>
      <c r="K87" s="638">
        <v>1674.67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75.75</v>
      </c>
      <c r="K88" s="638">
        <v>281.97000000000003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130.1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71.209999999999994</v>
      </c>
      <c r="K90" s="638">
        <v>650.46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285.08999999999997</v>
      </c>
      <c r="K91" s="638">
        <v>617.45000000000005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263.70999999999998</v>
      </c>
      <c r="K92" s="638">
        <v>630.07000000000005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231.08</v>
      </c>
      <c r="K94" s="638">
        <v>258.26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37.049999999999997</v>
      </c>
      <c r="K95" s="638">
        <v>183.7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25.81</v>
      </c>
      <c r="K96" s="638">
        <v>178.63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1724.35</v>
      </c>
      <c r="L99" s="638">
        <v>6606.09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I100" s="638">
        <v>0</v>
      </c>
      <c r="L100" s="638">
        <v>973.32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23.53</v>
      </c>
      <c r="L101" s="638">
        <v>331.93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4187.54</v>
      </c>
      <c r="L102" s="638">
        <v>9132.5400000000009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5149.59</v>
      </c>
      <c r="L103" s="638">
        <v>37151.94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50" priority="2" stopIfTrue="1" operator="equal">
      <formula>"ok"</formula>
    </cfRule>
    <cfRule type="cellIs" dxfId="3149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BF8BC084-9D5E-4C9D-A50F-760FDF9E1018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5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DATE(Grunddaten!B5,Grunddaten!B6-1+7,1)</f>
        <v>43647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104.29</v>
      </c>
      <c r="K4" s="638">
        <v>781.47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136.62</v>
      </c>
      <c r="K7" s="638">
        <v>4084.07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83.88</v>
      </c>
      <c r="K9" s="638">
        <v>3081.33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I12" s="638">
        <v>38.61</v>
      </c>
      <c r="K12" s="638">
        <v>191.82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8738.74</v>
      </c>
      <c r="K13" s="638">
        <v>14099.53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J15" s="638">
        <v>15000</v>
      </c>
      <c r="K15" s="638">
        <v>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43316.54</v>
      </c>
      <c r="K18" s="638">
        <v>59731.19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467.16</v>
      </c>
      <c r="K19" s="638">
        <v>467.16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51.01</v>
      </c>
      <c r="K20" s="638">
        <v>51.01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19.940000000000001</v>
      </c>
      <c r="L22" s="638">
        <v>139.35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2.4500000000000002</v>
      </c>
      <c r="K23" s="638">
        <v>52.07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25.64</v>
      </c>
      <c r="K24" s="638">
        <v>132.84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861.53</v>
      </c>
      <c r="K25" s="638">
        <v>6093.48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121.89</v>
      </c>
      <c r="L26" s="638">
        <v>254.39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J27" s="638">
        <v>653.91</v>
      </c>
      <c r="L27" s="638">
        <v>1086.57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41.7</v>
      </c>
      <c r="L28" s="638">
        <v>638.1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J29" s="638">
        <v>662.29</v>
      </c>
      <c r="L29" s="638">
        <v>1874.67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L30" s="638">
        <v>177.34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268</v>
      </c>
      <c r="K31" s="638">
        <v>345.34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25.64</v>
      </c>
      <c r="L33" s="638">
        <v>132.84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9647.8799999999992</v>
      </c>
      <c r="L34" s="638">
        <v>21464.81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413.03</v>
      </c>
      <c r="K35" s="638">
        <v>5177.74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J38" s="638">
        <v>467.16</v>
      </c>
      <c r="L38" s="638">
        <v>467.16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51.01</v>
      </c>
      <c r="L39" s="638">
        <v>520.85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212.62</v>
      </c>
      <c r="K40" s="638">
        <v>1702.84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90</v>
      </c>
      <c r="K41" s="638">
        <v>427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741.69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4339.88</v>
      </c>
      <c r="K47" s="638">
        <v>35223.4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8376.8799999999992</v>
      </c>
      <c r="K49" s="638">
        <v>33438.57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0</v>
      </c>
      <c r="K50" s="638">
        <v>0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1230.06</v>
      </c>
      <c r="K52" s="638">
        <v>4522.21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J55" s="638">
        <v>523.41999999999996</v>
      </c>
      <c r="K55" s="638">
        <v>5639.34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42.02</v>
      </c>
      <c r="K57" s="638">
        <v>399.55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160</v>
      </c>
      <c r="K58" s="638">
        <v>360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4124.8500000000004</v>
      </c>
      <c r="K59" s="638">
        <v>4391.53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41.7</v>
      </c>
      <c r="K60" s="638">
        <v>273.3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405.39</v>
      </c>
      <c r="K61" s="638">
        <v>467.61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2200</v>
      </c>
      <c r="K62" s="638">
        <v>8452.5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J63" s="638">
        <v>121.86</v>
      </c>
      <c r="K63" s="638">
        <v>1904.62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569.89</v>
      </c>
      <c r="K65" s="638">
        <v>1227.95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J67" s="638">
        <v>467.16</v>
      </c>
      <c r="K67" s="638">
        <v>1604.12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43.89</v>
      </c>
      <c r="K68" s="638">
        <v>1082.76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0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80.5</v>
      </c>
      <c r="K71" s="638">
        <v>1402.49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133.94</v>
      </c>
      <c r="K72" s="638">
        <v>270.7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39.799999999999997</v>
      </c>
      <c r="K73" s="638">
        <v>107.06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15.7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32.520000000000003</v>
      </c>
      <c r="K75" s="638">
        <v>50.75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155.4</v>
      </c>
      <c r="K76" s="638">
        <v>738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97.84</v>
      </c>
      <c r="K78" s="638">
        <v>751.56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104.29</v>
      </c>
      <c r="K79" s="638">
        <v>730.03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220.5</v>
      </c>
      <c r="K80" s="638">
        <v>1287.8399999999999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363</v>
      </c>
      <c r="K81" s="638">
        <v>1273.98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93.97</v>
      </c>
      <c r="K82" s="638">
        <v>1013.95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14.79</v>
      </c>
      <c r="K83" s="638">
        <v>109.13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431.73</v>
      </c>
      <c r="K84" s="638">
        <v>2420.37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118.92</v>
      </c>
      <c r="K86" s="638">
        <v>419.4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246.6</v>
      </c>
      <c r="K87" s="638">
        <v>1921.27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20.059999999999999</v>
      </c>
      <c r="K88" s="638">
        <v>302.02999999999997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27.94</v>
      </c>
      <c r="K89" s="638">
        <v>158.04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650.46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712.45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223.08</v>
      </c>
      <c r="K92" s="638">
        <v>853.15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64.28</v>
      </c>
      <c r="K94" s="638">
        <v>322.54000000000002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32.1</v>
      </c>
      <c r="K95" s="638">
        <v>215.8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7.22</v>
      </c>
      <c r="K96" s="638">
        <v>185.85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7948.86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30877.38</v>
      </c>
      <c r="L99" s="638">
        <v>37483.47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175.83</v>
      </c>
      <c r="L100" s="638">
        <v>1149.1500000000001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L101" s="638">
        <v>331.93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10602.16</v>
      </c>
      <c r="L102" s="638">
        <v>19734.7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9123.01</v>
      </c>
      <c r="L103" s="638">
        <v>46274.95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47" priority="2" stopIfTrue="1" operator="equal">
      <formula>"ok"</formula>
    </cfRule>
    <cfRule type="cellIs" dxfId="3146" priority="3" stopIfTrue="1" operator="equal">
      <formula>"Konto noch nicht zugeordnet"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EA70002B-C531-44B9-A133-307A606474D3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6">
    <tabColor rgb="FFFFC000"/>
  </sheetPr>
  <dimension ref="A1:N107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DATE(Grunddaten!B5,Grunddaten!B6-1+8,1)</f>
        <v>43678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104.3</v>
      </c>
      <c r="K4" s="638">
        <v>677.17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136.61000000000001</v>
      </c>
      <c r="K7" s="638">
        <v>3947.46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83.87</v>
      </c>
      <c r="K9" s="638">
        <v>2997.46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13.56</v>
      </c>
      <c r="K12" s="638">
        <v>178.26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I13" s="638">
        <v>39640.01</v>
      </c>
      <c r="K13" s="638">
        <v>53739.54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36936.300000000003</v>
      </c>
      <c r="K18" s="638">
        <v>22794.89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467.16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176.74</v>
      </c>
      <c r="K20" s="638">
        <v>227.75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19.940000000000001</v>
      </c>
      <c r="L22" s="638">
        <v>159.29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2.2200000000000002</v>
      </c>
      <c r="K23" s="638">
        <v>54.29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9.5</v>
      </c>
      <c r="K24" s="638">
        <v>142.34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770.95</v>
      </c>
      <c r="K25" s="638">
        <v>6864.43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122.55</v>
      </c>
      <c r="L26" s="638">
        <v>131.84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J27" s="638">
        <v>1022.49</v>
      </c>
      <c r="L27" s="638">
        <v>2109.06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I28" s="638">
        <v>0</v>
      </c>
      <c r="L28" s="638">
        <v>638.1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879.1</v>
      </c>
      <c r="L29" s="638">
        <v>995.57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L30" s="638">
        <v>177.34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268</v>
      </c>
      <c r="K31" s="638">
        <v>613.34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9.5</v>
      </c>
      <c r="L33" s="638">
        <v>142.34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3808.31</v>
      </c>
      <c r="L34" s="638">
        <v>25273.119999999999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1357.62</v>
      </c>
      <c r="K35" s="638">
        <v>6535.36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L38" s="638">
        <v>467.16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176.74</v>
      </c>
      <c r="L39" s="638">
        <v>697.59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251.07</v>
      </c>
      <c r="K40" s="638">
        <v>1953.91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427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551</v>
      </c>
      <c r="K42" s="638">
        <v>1292.69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0</v>
      </c>
      <c r="K47" s="638">
        <v>35223.4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8473.3799999999992</v>
      </c>
      <c r="K49" s="638">
        <v>41911.949999999997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3839.88</v>
      </c>
      <c r="K50" s="638">
        <v>3839.88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1250.8800000000001</v>
      </c>
      <c r="K52" s="638">
        <v>5773.09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829.35</v>
      </c>
      <c r="K55" s="638">
        <v>6468.69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399.55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440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4391.53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0</v>
      </c>
      <c r="K60" s="638">
        <v>273.3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11.2</v>
      </c>
      <c r="K61" s="638">
        <v>478.81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1100</v>
      </c>
      <c r="K62" s="638">
        <v>9552.5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428.58</v>
      </c>
      <c r="K63" s="638">
        <v>2333.1999999999998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530</v>
      </c>
      <c r="K65" s="638">
        <v>1757.95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1604.12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300</v>
      </c>
      <c r="K68" s="638">
        <v>1382.76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15.65</v>
      </c>
      <c r="K70" s="638">
        <v>15.65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1402.49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270.7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107.06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25.63</v>
      </c>
      <c r="K74" s="638">
        <v>41.33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6.3</v>
      </c>
      <c r="K75" s="638">
        <v>57.05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46.2</v>
      </c>
      <c r="K76" s="638">
        <v>784.2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57.89</v>
      </c>
      <c r="K78" s="638">
        <v>809.45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104.3</v>
      </c>
      <c r="K79" s="638">
        <v>834.33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220.48</v>
      </c>
      <c r="K80" s="638">
        <v>1508.32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1273.98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126.9</v>
      </c>
      <c r="K82" s="638">
        <v>1140.8499999999999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0</v>
      </c>
      <c r="K83" s="638">
        <v>109.13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392.34</v>
      </c>
      <c r="K84" s="638">
        <v>2812.71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0.84</v>
      </c>
      <c r="K85" s="638">
        <v>0.84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226.2</v>
      </c>
      <c r="K86" s="638">
        <v>645.6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5.45</v>
      </c>
      <c r="K87" s="638">
        <v>1926.72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52.87</v>
      </c>
      <c r="K88" s="638">
        <v>354.9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158.04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650.46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807.45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63</v>
      </c>
      <c r="K92" s="638">
        <v>916.15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322.54000000000002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44.25</v>
      </c>
      <c r="K95" s="638">
        <v>260.05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185.85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J98" s="638">
        <v>960</v>
      </c>
      <c r="L98" s="638">
        <v>8908.86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7529.1</v>
      </c>
      <c r="L99" s="638">
        <v>45012.57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865.83</v>
      </c>
      <c r="L100" s="638">
        <v>2014.98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147.06</v>
      </c>
      <c r="L101" s="638">
        <v>478.99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6221.72</v>
      </c>
      <c r="L102" s="638">
        <v>25956.42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4320</v>
      </c>
      <c r="L103" s="638">
        <v>50594.95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49.6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44" priority="2" stopIfTrue="1" operator="equal">
      <formula>"ok"</formula>
    </cfRule>
    <cfRule type="cellIs" dxfId="3143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C26607AD-CACF-4974-A07C-24F9AB308861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7">
    <tabColor rgb="FFFFC000"/>
    <pageSetUpPr fitToPage="1"/>
  </sheetPr>
  <dimension ref="A1:N107"/>
  <sheetViews>
    <sheetView showGridLines="0" zoomScaleNormal="100" workbookViewId="0">
      <pane xSplit="2" ySplit="3" topLeftCell="C4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DATE(Grunddaten!B5,Grunddaten!B6-1+9,1)</f>
        <v>43709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52.16</v>
      </c>
      <c r="K4" s="638">
        <v>625.01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136.61000000000001</v>
      </c>
      <c r="K7" s="638">
        <v>3810.85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83.83</v>
      </c>
      <c r="K9" s="638">
        <v>2913.63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0</v>
      </c>
      <c r="K11" s="638">
        <v>36287.78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I12" s="638">
        <v>330.71</v>
      </c>
      <c r="K12" s="638">
        <v>508.97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12649.55</v>
      </c>
      <c r="K13" s="638">
        <v>41089.99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J18" s="638">
        <v>2541.62</v>
      </c>
      <c r="K18" s="638">
        <v>20253.27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467.16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J20" s="638">
        <v>227.75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I22" s="638">
        <v>35.729999999999997</v>
      </c>
      <c r="L22" s="638">
        <v>123.56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2.4500000000000002</v>
      </c>
      <c r="K23" s="638">
        <v>56.74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0</v>
      </c>
      <c r="K24" s="638">
        <v>142.34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403.1</v>
      </c>
      <c r="K25" s="638">
        <v>7267.53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I26" s="638">
        <v>0</v>
      </c>
      <c r="L26" s="638">
        <v>131.84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1110.6400000000001</v>
      </c>
      <c r="L27" s="638">
        <v>998.42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8.4</v>
      </c>
      <c r="L28" s="638">
        <v>646.5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0</v>
      </c>
      <c r="L29" s="638">
        <v>995.57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J30" s="638">
        <v>268</v>
      </c>
      <c r="L30" s="638">
        <v>445.34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K31" s="638">
        <v>613.34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I33" s="638">
        <v>0</v>
      </c>
      <c r="L33" s="638">
        <v>142.34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2076.48</v>
      </c>
      <c r="L34" s="638">
        <v>27349.599999999999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8783.9</v>
      </c>
      <c r="K35" s="638">
        <v>15319.26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L38" s="638">
        <v>467.16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J39" s="638">
        <v>91.09</v>
      </c>
      <c r="L39" s="638">
        <v>788.68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2165.69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427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1292.69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0</v>
      </c>
      <c r="K47" s="638">
        <v>35223.4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9373.3799999999992</v>
      </c>
      <c r="K49" s="638">
        <v>51285.33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3839.88</v>
      </c>
      <c r="K50" s="638">
        <v>7679.76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1584.83</v>
      </c>
      <c r="K52" s="638">
        <v>7357.92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829.35</v>
      </c>
      <c r="K55" s="638">
        <v>7298.04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0</v>
      </c>
      <c r="K57" s="638">
        <v>399.55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520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4391.53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8.4</v>
      </c>
      <c r="K60" s="638">
        <v>281.7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11.2</v>
      </c>
      <c r="K61" s="638">
        <v>490.01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1100</v>
      </c>
      <c r="K62" s="638">
        <v>10652.5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214.29</v>
      </c>
      <c r="K63" s="638">
        <v>2547.4899999999998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1757.95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I66" s="638">
        <v>0</v>
      </c>
      <c r="K66" s="638">
        <v>5509.5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1604.12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0</v>
      </c>
      <c r="K68" s="638">
        <v>1382.76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0</v>
      </c>
      <c r="K69" s="638">
        <v>0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15.65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1402.49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0</v>
      </c>
      <c r="K72" s="638">
        <v>270.7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0</v>
      </c>
      <c r="K73" s="638">
        <v>107.06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41.33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57.05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0</v>
      </c>
      <c r="K76" s="638">
        <v>784.2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7.9</v>
      </c>
      <c r="K78" s="638">
        <v>817.35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52.16</v>
      </c>
      <c r="K79" s="638">
        <v>886.49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220.44</v>
      </c>
      <c r="K80" s="638">
        <v>1728.76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1273.98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44.19</v>
      </c>
      <c r="K82" s="638">
        <v>1185.04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8.75</v>
      </c>
      <c r="K83" s="638">
        <v>117.88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252.72</v>
      </c>
      <c r="K84" s="638">
        <v>3065.43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0.84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0</v>
      </c>
      <c r="K86" s="638">
        <v>645.6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50.34</v>
      </c>
      <c r="K87" s="638">
        <v>1977.06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37.24</v>
      </c>
      <c r="K88" s="638">
        <v>392.14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0</v>
      </c>
      <c r="K89" s="638">
        <v>158.04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0</v>
      </c>
      <c r="K90" s="638">
        <v>650.46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155</v>
      </c>
      <c r="K91" s="638">
        <v>962.45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278.35000000000002</v>
      </c>
      <c r="K92" s="638">
        <v>1194.5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322.54000000000002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37.65</v>
      </c>
      <c r="K95" s="638">
        <v>297.7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185.85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I97" s="638">
        <v>0</v>
      </c>
      <c r="K97" s="638">
        <v>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8908.86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334.97</v>
      </c>
      <c r="L99" s="638">
        <v>45347.54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655.83</v>
      </c>
      <c r="L100" s="638">
        <v>2670.81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J101" s="638">
        <v>233.08</v>
      </c>
      <c r="L101" s="638">
        <v>712.07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9362.93</v>
      </c>
      <c r="L102" s="638">
        <v>35319.35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292.48</v>
      </c>
      <c r="L103" s="638">
        <v>50887.43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J104" s="638">
        <v>49.6</v>
      </c>
      <c r="L104" s="638">
        <v>99.2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41" priority="2" stopIfTrue="1" operator="equal">
      <formula>"ok"</formula>
    </cfRule>
    <cfRule type="cellIs" dxfId="3140" priority="3" stopIfTrue="1" operator="equal">
      <formula>"Konto noch nicht zugeordnet"</formula>
    </cfRule>
  </conditionalFormatting>
  <pageMargins left="0.25" right="0.25" top="0.75" bottom="0.75" header="0.3" footer="0.3"/>
  <pageSetup paperSize="9" fitToHeight="0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EB0D4F18-BD8B-494B-A5AE-755711EE79A9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8">
    <tabColor rgb="FFFFC000"/>
  </sheetPr>
  <dimension ref="A1:N107"/>
  <sheetViews>
    <sheetView showGridLines="0" workbookViewId="0">
      <selection activeCell="B14" sqref="B1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DATE(Grunddaten!B5,Grunddaten!B6-1+10,1)</f>
        <v>43739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  <row r="4" spans="1:14" x14ac:dyDescent="0.2">
      <c r="A4" s="1">
        <v>27</v>
      </c>
      <c r="B4" s="1" t="s">
        <v>386</v>
      </c>
      <c r="D4" s="638">
        <v>1511.5</v>
      </c>
      <c r="J4" s="638">
        <v>52.17</v>
      </c>
      <c r="K4" s="638">
        <v>572.84</v>
      </c>
      <c r="N4" s="611" t="str">
        <f>IF(A4&lt;&gt;"",IF(COUNTIF('Struktur Vorjahr'!D$2:D$65645,A4)=1,"ok",IF(COUNTIF('Struktur Vorjahr'!D$2:D$65645,A4)&gt;1,"Konto " &amp; COUNTIF('Struktur Vorjahr'!D$2:D$65645,A4) &amp; "x zugeordnet","Konto noch nicht zugeordnet")),"")</f>
        <v>ok</v>
      </c>
    </row>
    <row r="5" spans="1:14" x14ac:dyDescent="0.2">
      <c r="A5" s="1">
        <v>410</v>
      </c>
      <c r="B5" s="1" t="s">
        <v>387</v>
      </c>
      <c r="D5" s="638">
        <v>1</v>
      </c>
      <c r="I5" s="638">
        <v>0</v>
      </c>
      <c r="K5" s="638">
        <v>1</v>
      </c>
      <c r="N5" s="611" t="str">
        <f>IF(A5&lt;&gt;"",IF(COUNTIF('Struktur Vorjahr'!D$2:D$65645,A5)=1,"ok",IF(COUNTIF('Struktur Vorjahr'!D$2:D$65645,A5)&gt;1,"Konto " &amp; COUNTIF('Struktur Vorjahr'!D$2:D$65645,A5) &amp; "x zugeordnet","Konto noch nicht zugeordnet")),"")</f>
        <v>ok</v>
      </c>
    </row>
    <row r="6" spans="1:14" x14ac:dyDescent="0.2">
      <c r="A6" s="1">
        <v>420</v>
      </c>
      <c r="B6" s="1" t="s">
        <v>388</v>
      </c>
      <c r="D6" s="638">
        <v>3.5</v>
      </c>
      <c r="I6" s="638">
        <v>0</v>
      </c>
      <c r="K6" s="638">
        <v>3.5</v>
      </c>
      <c r="N6" s="611" t="str">
        <f>IF(A6&lt;&gt;"",IF(COUNTIF('Struktur Vorjahr'!D$2:D$65645,A6)=1,"ok",IF(COUNTIF('Struktur Vorjahr'!D$2:D$65645,A6)&gt;1,"Konto " &amp; COUNTIF('Struktur Vorjahr'!D$2:D$65645,A6) &amp; "x zugeordnet","Konto noch nicht zugeordnet")),"")</f>
        <v>ok</v>
      </c>
    </row>
    <row r="7" spans="1:14" x14ac:dyDescent="0.2">
      <c r="A7" s="1">
        <v>425</v>
      </c>
      <c r="B7" s="1" t="s">
        <v>389</v>
      </c>
      <c r="D7" s="638">
        <v>1043.5</v>
      </c>
      <c r="J7" s="638">
        <v>136.61000000000001</v>
      </c>
      <c r="K7" s="638">
        <v>3674.24</v>
      </c>
      <c r="N7" s="611" t="str">
        <f>IF(A7&lt;&gt;"",IF(COUNTIF('Struktur Vorjahr'!D$2:D$65645,A7)=1,"ok",IF(COUNTIF('Struktur Vorjahr'!D$2:D$65645,A7)&gt;1,"Konto " &amp; COUNTIF('Struktur Vorjahr'!D$2:D$65645,A7) &amp; "x zugeordnet","Konto noch nicht zugeordnet")),"")</f>
        <v>ok</v>
      </c>
    </row>
    <row r="8" spans="1:14" x14ac:dyDescent="0.2">
      <c r="A8" s="1">
        <v>480</v>
      </c>
      <c r="B8" s="1" t="s">
        <v>390</v>
      </c>
      <c r="D8" s="638">
        <v>0</v>
      </c>
      <c r="I8" s="638">
        <v>0</v>
      </c>
      <c r="K8" s="638">
        <v>0</v>
      </c>
      <c r="N8" s="611" t="str">
        <f>IF(A8&lt;&gt;"",IF(COUNTIF('Struktur Vorjahr'!D$2:D$65645,A8)=1,"ok",IF(COUNTIF('Struktur Vorjahr'!D$2:D$65645,A8)&gt;1,"Konto " &amp; COUNTIF('Struktur Vorjahr'!D$2:D$65645,A8) &amp; "x zugeordnet","Konto noch nicht zugeordnet")),"")</f>
        <v>ok</v>
      </c>
    </row>
    <row r="9" spans="1:14" x14ac:dyDescent="0.2">
      <c r="A9" s="1">
        <v>490</v>
      </c>
      <c r="B9" s="1" t="s">
        <v>391</v>
      </c>
      <c r="D9" s="638">
        <v>2088</v>
      </c>
      <c r="J9" s="638">
        <v>83.88</v>
      </c>
      <c r="K9" s="638">
        <v>2829.75</v>
      </c>
      <c r="N9" s="611" t="str">
        <f>IF(A9&lt;&gt;"",IF(COUNTIF('Struktur Vorjahr'!D$2:D$65645,A9)=1,"ok",IF(COUNTIF('Struktur Vorjahr'!D$2:D$65645,A9)&gt;1,"Konto " &amp; COUNTIF('Struktur Vorjahr'!D$2:D$65645,A9) &amp; "x zugeordnet","Konto noch nicht zugeordnet")),"")</f>
        <v>ok</v>
      </c>
    </row>
    <row r="10" spans="1:14" x14ac:dyDescent="0.2">
      <c r="A10" s="1">
        <v>800</v>
      </c>
      <c r="B10" s="1" t="s">
        <v>392</v>
      </c>
      <c r="E10" s="638">
        <v>25700.09</v>
      </c>
      <c r="I10" s="638">
        <v>0</v>
      </c>
      <c r="L10" s="638">
        <v>25700.09</v>
      </c>
      <c r="N10" s="611" t="str">
        <f>IF(A10&lt;&gt;"",IF(COUNTIF('Struktur Vorjahr'!D$2:D$65645,A10)=1,"ok",IF(COUNTIF('Struktur Vorjahr'!D$2:D$65645,A10)&gt;1,"Konto " &amp; COUNTIF('Struktur Vorjahr'!D$2:D$65645,A10) &amp; "x zugeordnet","Konto noch nicht zugeordnet")),"")</f>
        <v>Konto noch nicht zugeordnet</v>
      </c>
    </row>
    <row r="11" spans="1:14" x14ac:dyDescent="0.2">
      <c r="A11" s="1">
        <v>956</v>
      </c>
      <c r="B11" s="1" t="s">
        <v>393</v>
      </c>
      <c r="D11" s="638">
        <v>0</v>
      </c>
      <c r="I11" s="638">
        <v>5509.5</v>
      </c>
      <c r="K11" s="638">
        <v>41797.279999999999</v>
      </c>
      <c r="N11" s="611" t="str">
        <f>IF(A11&lt;&gt;"",IF(COUNTIF('Struktur Vorjahr'!D$2:D$65645,A11)=1,"ok",IF(COUNTIF('Struktur Vorjahr'!D$2:D$65645,A11)&gt;1,"Konto " &amp; COUNTIF('Struktur Vorjahr'!D$2:D$65645,A11) &amp; "x zugeordnet","Konto noch nicht zugeordnet")),"")</f>
        <v>ok</v>
      </c>
    </row>
    <row r="12" spans="1:14" x14ac:dyDescent="0.2">
      <c r="A12" s="1">
        <v>1000</v>
      </c>
      <c r="B12" s="1" t="s">
        <v>394</v>
      </c>
      <c r="D12" s="638">
        <v>173.39</v>
      </c>
      <c r="J12" s="638">
        <v>23.25</v>
      </c>
      <c r="K12" s="638">
        <v>485.72</v>
      </c>
      <c r="N12" s="611" t="str">
        <f>IF(A12&lt;&gt;"",IF(COUNTIF('Struktur Vorjahr'!D$2:D$65645,A12)=1,"ok",IF(COUNTIF('Struktur Vorjahr'!D$2:D$65645,A12)&gt;1,"Konto " &amp; COUNTIF('Struktur Vorjahr'!D$2:D$65645,A12) &amp; "x zugeordnet","Konto noch nicht zugeordnet")),"")</f>
        <v>Konto 2x zugeordnet</v>
      </c>
    </row>
    <row r="13" spans="1:14" x14ac:dyDescent="0.2">
      <c r="A13" s="1">
        <v>1200</v>
      </c>
      <c r="B13" s="1" t="s">
        <v>395</v>
      </c>
      <c r="D13" s="638">
        <v>16473.55</v>
      </c>
      <c r="J13" s="638">
        <v>9336.26</v>
      </c>
      <c r="K13" s="638">
        <v>31753.73</v>
      </c>
      <c r="N13" s="611" t="str">
        <f>IF(A13&lt;&gt;"",IF(COUNTIF('Struktur Vorjahr'!D$2:D$65645,A13)=1,"ok",IF(COUNTIF('Struktur Vorjahr'!D$2:D$65645,A13)&gt;1,"Konto " &amp; COUNTIF('Struktur Vorjahr'!D$2:D$65645,A13) &amp; "x zugeordnet","Konto noch nicht zugeordnet")),"")</f>
        <v>Konto 2x zugeordnet</v>
      </c>
    </row>
    <row r="14" spans="1:14" x14ac:dyDescent="0.2">
      <c r="A14" s="1">
        <v>1215</v>
      </c>
      <c r="B14" s="1" t="s">
        <v>396</v>
      </c>
      <c r="E14" s="638">
        <v>20</v>
      </c>
      <c r="I14" s="638">
        <v>0</v>
      </c>
      <c r="L14" s="638">
        <v>20</v>
      </c>
      <c r="N14" s="611" t="str">
        <f>IF(A14&lt;&gt;"",IF(COUNTIF('Struktur Vorjahr'!D$2:D$65645,A14)=1,"ok",IF(COUNTIF('Struktur Vorjahr'!D$2:D$65645,A14)&gt;1,"Konto " &amp; COUNTIF('Struktur Vorjahr'!D$2:D$65645,A14) &amp; "x zugeordnet","Konto noch nicht zugeordnet")),"")</f>
        <v>Konto 2x zugeordnet</v>
      </c>
    </row>
    <row r="15" spans="1:14" x14ac:dyDescent="0.2">
      <c r="A15" s="1">
        <v>1250</v>
      </c>
      <c r="B15" s="1" t="s">
        <v>397</v>
      </c>
      <c r="D15" s="638">
        <v>65000</v>
      </c>
      <c r="I15" s="638">
        <v>0</v>
      </c>
      <c r="K15" s="638">
        <v>0</v>
      </c>
      <c r="N15" s="611" t="str">
        <f>IF(A15&lt;&gt;"",IF(COUNTIF('Struktur Vorjahr'!D$2:D$65645,A15)=1,"ok",IF(COUNTIF('Struktur Vorjahr'!D$2:D$65645,A15)&gt;1,"Konto " &amp; COUNTIF('Struktur Vorjahr'!D$2:D$65645,A15) &amp; "x zugeordnet","Konto noch nicht zugeordnet")),"")</f>
        <v>Konto 2x zugeordnet</v>
      </c>
    </row>
    <row r="16" spans="1:14" x14ac:dyDescent="0.2">
      <c r="A16" s="1">
        <v>1330</v>
      </c>
      <c r="B16" s="1" t="s">
        <v>398</v>
      </c>
      <c r="D16" s="638">
        <v>0</v>
      </c>
      <c r="I16" s="638">
        <v>0</v>
      </c>
      <c r="K16" s="638">
        <v>0</v>
      </c>
      <c r="N16" s="611" t="str">
        <f>IF(A16&lt;&gt;"",IF(COUNTIF('Struktur Vorjahr'!D$2:D$65645,A16)=1,"ok",IF(COUNTIF('Struktur Vorjahr'!D$2:D$65645,A16)&gt;1,"Konto " &amp; COUNTIF('Struktur Vorjahr'!D$2:D$65645,A16) &amp; "x zugeordnet","Konto noch nicht zugeordnet")),"")</f>
        <v>ok</v>
      </c>
    </row>
    <row r="17" spans="1:14" x14ac:dyDescent="0.2">
      <c r="A17" s="1">
        <v>1360</v>
      </c>
      <c r="B17" s="1" t="s">
        <v>399</v>
      </c>
      <c r="D17" s="638">
        <v>0</v>
      </c>
      <c r="I17" s="638">
        <v>0</v>
      </c>
      <c r="K17" s="638">
        <v>0</v>
      </c>
      <c r="N17" s="611" t="str">
        <f>IF(A17&lt;&gt;"",IF(COUNTIF('Struktur Vorjahr'!D$2:D$65645,A17)=1,"ok",IF(COUNTIF('Struktur Vorjahr'!D$2:D$65645,A17)&gt;1,"Konto " &amp; COUNTIF('Struktur Vorjahr'!D$2:D$65645,A17) &amp; "x zugeordnet","Konto noch nicht zugeordnet")),"")</f>
        <v>ok</v>
      </c>
    </row>
    <row r="18" spans="1:14" x14ac:dyDescent="0.2">
      <c r="A18" s="1">
        <v>1400</v>
      </c>
      <c r="B18" s="1" t="s">
        <v>400</v>
      </c>
      <c r="D18" s="638">
        <v>77749.3</v>
      </c>
      <c r="I18" s="638">
        <v>26214.43</v>
      </c>
      <c r="K18" s="638">
        <v>46467.7</v>
      </c>
      <c r="N18" s="611" t="str">
        <f>IF(A18&lt;&gt;"",IF(COUNTIF('Struktur Vorjahr'!D$2:D$65645,A18)=1,"ok",IF(COUNTIF('Struktur Vorjahr'!D$2:D$65645,A18)&gt;1,"Konto " &amp; COUNTIF('Struktur Vorjahr'!D$2:D$65645,A18) &amp; "x zugeordnet","Konto noch nicht zugeordnet")),"")</f>
        <v>Konto 2x zugeordnet</v>
      </c>
    </row>
    <row r="19" spans="1:14" x14ac:dyDescent="0.2">
      <c r="A19" s="1">
        <v>1500</v>
      </c>
      <c r="B19" s="1" t="s">
        <v>401</v>
      </c>
      <c r="D19" s="638">
        <v>0</v>
      </c>
      <c r="I19" s="638">
        <v>0</v>
      </c>
      <c r="K19" s="638">
        <v>467.16</v>
      </c>
      <c r="N19" s="611" t="str">
        <f>IF(A19&lt;&gt;"",IF(COUNTIF('Struktur Vorjahr'!D$2:D$65645,A19)=1,"ok",IF(COUNTIF('Struktur Vorjahr'!D$2:D$65645,A19)&gt;1,"Konto " &amp; COUNTIF('Struktur Vorjahr'!D$2:D$65645,A19) &amp; "x zugeordnet","Konto noch nicht zugeordnet")),"")</f>
        <v>Konto 2x zugeordnet</v>
      </c>
    </row>
    <row r="20" spans="1:14" x14ac:dyDescent="0.2">
      <c r="A20" s="1">
        <v>1520</v>
      </c>
      <c r="B20" s="1" t="s">
        <v>402</v>
      </c>
      <c r="D20" s="638">
        <v>0</v>
      </c>
      <c r="I20" s="638">
        <v>0</v>
      </c>
      <c r="K20" s="638">
        <v>0</v>
      </c>
      <c r="N20" s="611" t="str">
        <f>IF(A20&lt;&gt;"",IF(COUNTIF('Struktur Vorjahr'!D$2:D$65645,A20)=1,"ok",IF(COUNTIF('Struktur Vorjahr'!D$2:D$65645,A20)&gt;1,"Konto " &amp; COUNTIF('Struktur Vorjahr'!D$2:D$65645,A20) &amp; "x zugeordnet","Konto noch nicht zugeordnet")),"")</f>
        <v>Konto 2x zugeordnet</v>
      </c>
    </row>
    <row r="21" spans="1:14" x14ac:dyDescent="0.2">
      <c r="A21" s="1">
        <v>1525</v>
      </c>
      <c r="B21" s="1" t="s">
        <v>403</v>
      </c>
      <c r="D21" s="638">
        <v>3947.2</v>
      </c>
      <c r="I21" s="638">
        <v>0</v>
      </c>
      <c r="K21" s="638">
        <v>3947.2</v>
      </c>
      <c r="N21" s="611" t="str">
        <f>IF(A21&lt;&gt;"",IF(COUNTIF('Struktur Vorjahr'!D$2:D$65645,A21)=1,"ok",IF(COUNTIF('Struktur Vorjahr'!D$2:D$65645,A21)&gt;1,"Konto " &amp; COUNTIF('Struktur Vorjahr'!D$2:D$65645,A21) &amp; "x zugeordnet","Konto noch nicht zugeordnet")),"")</f>
        <v>ok</v>
      </c>
    </row>
    <row r="22" spans="1:14" x14ac:dyDescent="0.2">
      <c r="A22" s="1">
        <v>1548</v>
      </c>
      <c r="B22" s="1" t="s">
        <v>404</v>
      </c>
      <c r="D22" s="638">
        <v>0</v>
      </c>
      <c r="J22" s="638">
        <v>30.95</v>
      </c>
      <c r="L22" s="638">
        <v>154.51</v>
      </c>
      <c r="N22" s="611" t="str">
        <f>IF(A22&lt;&gt;"",IF(COUNTIF('Struktur Vorjahr'!D$2:D$65645,A22)=1,"ok",IF(COUNTIF('Struktur Vorjahr'!D$2:D$65645,A22)&gt;1,"Konto " &amp; COUNTIF('Struktur Vorjahr'!D$2:D$65645,A22) &amp; "x zugeordnet","Konto noch nicht zugeordnet")),"")</f>
        <v>ok</v>
      </c>
    </row>
    <row r="23" spans="1:14" x14ac:dyDescent="0.2">
      <c r="A23" s="1">
        <v>1571</v>
      </c>
      <c r="B23" s="1" t="s">
        <v>405</v>
      </c>
      <c r="D23" s="638">
        <v>0</v>
      </c>
      <c r="I23" s="638">
        <v>11.52</v>
      </c>
      <c r="K23" s="638">
        <v>68.260000000000005</v>
      </c>
      <c r="N23" s="611" t="str">
        <f>IF(A23&lt;&gt;"",IF(COUNTIF('Struktur Vorjahr'!D$2:D$65645,A23)=1,"ok",IF(COUNTIF('Struktur Vorjahr'!D$2:D$65645,A23)&gt;1,"Konto " &amp; COUNTIF('Struktur Vorjahr'!D$2:D$65645,A23) &amp; "x zugeordnet","Konto noch nicht zugeordnet")),"")</f>
        <v>Konto 2x zugeordnet</v>
      </c>
    </row>
    <row r="24" spans="1:14" x14ac:dyDescent="0.2">
      <c r="A24" s="1">
        <v>1574</v>
      </c>
      <c r="B24" s="1" t="s">
        <v>406</v>
      </c>
      <c r="D24" s="638">
        <v>0</v>
      </c>
      <c r="I24" s="638">
        <v>19</v>
      </c>
      <c r="K24" s="638">
        <v>161.34</v>
      </c>
      <c r="N24" s="611" t="str">
        <f>IF(A24&lt;&gt;"",IF(COUNTIF('Struktur Vorjahr'!D$2:D$65645,A24)=1,"ok",IF(COUNTIF('Struktur Vorjahr'!D$2:D$65645,A24)&gt;1,"Konto " &amp; COUNTIF('Struktur Vorjahr'!D$2:D$65645,A24) &amp; "x zugeordnet","Konto noch nicht zugeordnet")),"")</f>
        <v>Konto 2x zugeordnet</v>
      </c>
    </row>
    <row r="25" spans="1:14" x14ac:dyDescent="0.2">
      <c r="A25" s="1">
        <v>1576</v>
      </c>
      <c r="B25" s="1" t="s">
        <v>407</v>
      </c>
      <c r="D25" s="638">
        <v>0</v>
      </c>
      <c r="I25" s="638">
        <v>435.53</v>
      </c>
      <c r="K25" s="638">
        <v>7703.06</v>
      </c>
      <c r="N25" s="611" t="str">
        <f>IF(A25&lt;&gt;"",IF(COUNTIF('Struktur Vorjahr'!D$2:D$65645,A25)=1,"ok",IF(COUNTIF('Struktur Vorjahr'!D$2:D$65645,A25)&gt;1,"Konto " &amp; COUNTIF('Struktur Vorjahr'!D$2:D$65645,A25) &amp; "x zugeordnet","Konto noch nicht zugeordnet")),"")</f>
        <v>Konto 2x zugeordnet</v>
      </c>
    </row>
    <row r="26" spans="1:14" x14ac:dyDescent="0.2">
      <c r="A26" s="1">
        <v>1590</v>
      </c>
      <c r="B26" s="1" t="s">
        <v>408</v>
      </c>
      <c r="D26" s="638">
        <v>0</v>
      </c>
      <c r="J26" s="638">
        <v>127.42</v>
      </c>
      <c r="L26" s="638">
        <v>259.26</v>
      </c>
      <c r="N26" s="611" t="str">
        <f>IF(A26&lt;&gt;"",IF(COUNTIF('Struktur Vorjahr'!D$2:D$65645,A26)=1,"ok",IF(COUNTIF('Struktur Vorjahr'!D$2:D$65645,A26)&gt;1,"Konto " &amp; COUNTIF('Struktur Vorjahr'!D$2:D$65645,A26) &amp; "x zugeordnet","Konto noch nicht zugeordnet")),"")</f>
        <v>ok</v>
      </c>
    </row>
    <row r="27" spans="1:14" x14ac:dyDescent="0.2">
      <c r="A27" s="1">
        <v>1600</v>
      </c>
      <c r="B27" s="1" t="s">
        <v>409</v>
      </c>
      <c r="E27" s="638">
        <v>1395.25</v>
      </c>
      <c r="I27" s="638">
        <v>200.4</v>
      </c>
      <c r="L27" s="638">
        <v>798.02</v>
      </c>
      <c r="N27" s="611" t="str">
        <f>IF(A27&lt;&gt;"",IF(COUNTIF('Struktur Vorjahr'!D$2:D$65645,A27)=1,"ok",IF(COUNTIF('Struktur Vorjahr'!D$2:D$65645,A27)&gt;1,"Konto " &amp; COUNTIF('Struktur Vorjahr'!D$2:D$65645,A27) &amp; "x zugeordnet","Konto noch nicht zugeordnet")),"")</f>
        <v>Konto 2x zugeordnet</v>
      </c>
    </row>
    <row r="28" spans="1:14" x14ac:dyDescent="0.2">
      <c r="A28" s="1">
        <v>1740</v>
      </c>
      <c r="B28" s="1" t="s">
        <v>410</v>
      </c>
      <c r="E28" s="638">
        <v>345.6</v>
      </c>
      <c r="J28" s="638">
        <v>208.8</v>
      </c>
      <c r="L28" s="638">
        <v>855.3</v>
      </c>
      <c r="N28" s="611" t="str">
        <f>IF(A28&lt;&gt;"",IF(COUNTIF('Struktur Vorjahr'!D$2:D$65645,A28)=1,"ok",IF(COUNTIF('Struktur Vorjahr'!D$2:D$65645,A28)&gt;1,"Konto " &amp; COUNTIF('Struktur Vorjahr'!D$2:D$65645,A28) &amp; "x zugeordnet","Konto noch nicht zugeordnet")),"")</f>
        <v>Konto 2x zugeordnet</v>
      </c>
    </row>
    <row r="29" spans="1:14" x14ac:dyDescent="0.2">
      <c r="A29" s="1">
        <v>1741</v>
      </c>
      <c r="B29" s="1" t="s">
        <v>411</v>
      </c>
      <c r="E29" s="638">
        <v>563.5</v>
      </c>
      <c r="I29" s="638">
        <v>5.63</v>
      </c>
      <c r="L29" s="638">
        <v>989.94</v>
      </c>
      <c r="N29" s="611" t="str">
        <f>IF(A29&lt;&gt;"",IF(COUNTIF('Struktur Vorjahr'!D$2:D$65645,A29)=1,"ok",IF(COUNTIF('Struktur Vorjahr'!D$2:D$65645,A29)&gt;1,"Konto " &amp; COUNTIF('Struktur Vorjahr'!D$2:D$65645,A29) &amp; "x zugeordnet","Konto noch nicht zugeordnet")),"")</f>
        <v>Konto 2x zugeordnet</v>
      </c>
    </row>
    <row r="30" spans="1:14" x14ac:dyDescent="0.2">
      <c r="A30" s="1">
        <v>1742</v>
      </c>
      <c r="B30" s="1" t="s">
        <v>412</v>
      </c>
      <c r="D30" s="638">
        <v>0</v>
      </c>
      <c r="I30" s="638">
        <v>0</v>
      </c>
      <c r="L30" s="638">
        <v>445.34</v>
      </c>
      <c r="N30" s="611" t="str">
        <f>IF(A30&lt;&gt;"",IF(COUNTIF('Struktur Vorjahr'!D$2:D$65645,A30)=1,"ok",IF(COUNTIF('Struktur Vorjahr'!D$2:D$65645,A30)&gt;1,"Konto " &amp; COUNTIF('Struktur Vorjahr'!D$2:D$65645,A30) &amp; "x zugeordnet","Konto noch nicht zugeordnet")),"")</f>
        <v>Konto 2x zugeordnet</v>
      </c>
    </row>
    <row r="31" spans="1:14" x14ac:dyDescent="0.2">
      <c r="A31" s="1">
        <v>1748</v>
      </c>
      <c r="B31" s="1" t="s">
        <v>413</v>
      </c>
      <c r="E31" s="638">
        <v>100</v>
      </c>
      <c r="I31" s="638">
        <v>0</v>
      </c>
      <c r="K31" s="638">
        <v>613.34</v>
      </c>
      <c r="N31" s="611" t="str">
        <f>IF(A31&lt;&gt;"",IF(COUNTIF('Struktur Vorjahr'!D$2:D$65645,A31)=1,"ok",IF(COUNTIF('Struktur Vorjahr'!D$2:D$65645,A31)&gt;1,"Konto " &amp; COUNTIF('Struktur Vorjahr'!D$2:D$65645,A31) &amp; "x zugeordnet","Konto noch nicht zugeordnet")),"")</f>
        <v>Konto 2x zugeordnet</v>
      </c>
    </row>
    <row r="32" spans="1:14" x14ac:dyDescent="0.2">
      <c r="A32" s="1">
        <v>1755</v>
      </c>
      <c r="B32" s="1" t="s">
        <v>414</v>
      </c>
      <c r="D32" s="638">
        <v>0</v>
      </c>
      <c r="I32" s="638">
        <v>0</v>
      </c>
      <c r="K32" s="638">
        <v>0</v>
      </c>
      <c r="N32" s="611" t="str">
        <f>IF(A32&lt;&gt;"",IF(COUNTIF('Struktur Vorjahr'!D$2:D$65645,A32)=1,"ok",IF(COUNTIF('Struktur Vorjahr'!D$2:D$65645,A32)&gt;1,"Konto " &amp; COUNTIF('Struktur Vorjahr'!D$2:D$65645,A32) &amp; "x zugeordnet","Konto noch nicht zugeordnet")),"")</f>
        <v>ok</v>
      </c>
    </row>
    <row r="33" spans="1:14" x14ac:dyDescent="0.2">
      <c r="A33" s="1">
        <v>1774</v>
      </c>
      <c r="B33" s="1" t="s">
        <v>415</v>
      </c>
      <c r="D33" s="638">
        <v>0</v>
      </c>
      <c r="J33" s="638">
        <v>19</v>
      </c>
      <c r="L33" s="638">
        <v>161.34</v>
      </c>
      <c r="N33" s="611" t="str">
        <f>IF(A33&lt;&gt;"",IF(COUNTIF('Struktur Vorjahr'!D$2:D$65645,A33)=1,"ok",IF(COUNTIF('Struktur Vorjahr'!D$2:D$65645,A33)&gt;1,"Konto " &amp; COUNTIF('Struktur Vorjahr'!D$2:D$65645,A33) &amp; "x zugeordnet","Konto noch nicht zugeordnet")),"")</f>
        <v>Konto 2x zugeordnet</v>
      </c>
    </row>
    <row r="34" spans="1:14" x14ac:dyDescent="0.2">
      <c r="A34" s="1">
        <v>1776</v>
      </c>
      <c r="B34" s="1" t="s">
        <v>416</v>
      </c>
      <c r="D34" s="638">
        <v>0</v>
      </c>
      <c r="J34" s="638">
        <v>6186.44</v>
      </c>
      <c r="L34" s="638">
        <v>33536.04</v>
      </c>
      <c r="N34" s="611" t="str">
        <f>IF(A34&lt;&gt;"",IF(COUNTIF('Struktur Vorjahr'!D$2:D$65645,A34)=1,"ok",IF(COUNTIF('Struktur Vorjahr'!D$2:D$65645,A34)&gt;1,"Konto " &amp; COUNTIF('Struktur Vorjahr'!D$2:D$65645,A34) &amp; "x zugeordnet","Konto noch nicht zugeordnet")),"")</f>
        <v>Konto 2x zugeordnet</v>
      </c>
    </row>
    <row r="35" spans="1:14" x14ac:dyDescent="0.2">
      <c r="A35" s="1">
        <v>1780</v>
      </c>
      <c r="B35" s="1" t="s">
        <v>417</v>
      </c>
      <c r="D35" s="638">
        <v>0</v>
      </c>
      <c r="I35" s="638">
        <v>3035.14</v>
      </c>
      <c r="K35" s="638">
        <v>18354.400000000001</v>
      </c>
      <c r="N35" s="611" t="str">
        <f>IF(A35&lt;&gt;"",IF(COUNTIF('Struktur Vorjahr'!D$2:D$65645,A35)=1,"ok",IF(COUNTIF('Struktur Vorjahr'!D$2:D$65645,A35)&gt;1,"Konto " &amp; COUNTIF('Struktur Vorjahr'!D$2:D$65645,A35) &amp; "x zugeordnet","Konto noch nicht zugeordnet")),"")</f>
        <v>Konto 2x zugeordnet</v>
      </c>
    </row>
    <row r="36" spans="1:14" x14ac:dyDescent="0.2">
      <c r="A36" s="1">
        <v>1790</v>
      </c>
      <c r="B36" s="1" t="s">
        <v>418</v>
      </c>
      <c r="D36" s="638">
        <v>0</v>
      </c>
      <c r="I36" s="638">
        <v>0</v>
      </c>
      <c r="K36" s="638">
        <v>8312.67</v>
      </c>
      <c r="N36" s="611" t="str">
        <f>IF(A36&lt;&gt;"",IF(COUNTIF('Struktur Vorjahr'!D$2:D$65645,A36)=1,"ok",IF(COUNTIF('Struktur Vorjahr'!D$2:D$65645,A36)&gt;1,"Konto " &amp; COUNTIF('Struktur Vorjahr'!D$2:D$65645,A36) &amp; "x zugeordnet","Konto noch nicht zugeordnet")),"")</f>
        <v>ok</v>
      </c>
    </row>
    <row r="37" spans="1:14" x14ac:dyDescent="0.2">
      <c r="A37" s="1">
        <v>2200</v>
      </c>
      <c r="B37" s="1" t="s">
        <v>419</v>
      </c>
      <c r="D37" s="638">
        <v>0</v>
      </c>
      <c r="I37" s="638">
        <v>0</v>
      </c>
      <c r="K37" s="638">
        <v>197.28</v>
      </c>
      <c r="N37" s="611" t="str">
        <f>IF(A37&lt;&gt;"",IF(COUNTIF('Struktur Vorjahr'!D$2:D$65645,A37)=1,"ok",IF(COUNTIF('Struktur Vorjahr'!D$2:D$65645,A37)&gt;1,"Konto " &amp; COUNTIF('Struktur Vorjahr'!D$2:D$65645,A37) &amp; "x zugeordnet","Konto noch nicht zugeordnet")),"")</f>
        <v>Konto 2x zugeordnet</v>
      </c>
    </row>
    <row r="38" spans="1:14" x14ac:dyDescent="0.2">
      <c r="A38" s="1">
        <v>2742</v>
      </c>
      <c r="B38" s="1" t="s">
        <v>420</v>
      </c>
      <c r="D38" s="638">
        <v>0</v>
      </c>
      <c r="I38" s="638">
        <v>0</v>
      </c>
      <c r="L38" s="638">
        <v>467.16</v>
      </c>
      <c r="N38" s="611" t="str">
        <f>IF(A38&lt;&gt;"",IF(COUNTIF('Struktur Vorjahr'!D$2:D$65645,A38)=1,"ok",IF(COUNTIF('Struktur Vorjahr'!D$2:D$65645,A38)&gt;1,"Konto " &amp; COUNTIF('Struktur Vorjahr'!D$2:D$65645,A38) &amp; "x zugeordnet","Konto noch nicht zugeordnet")),"")</f>
        <v>ok</v>
      </c>
    </row>
    <row r="39" spans="1:14" x14ac:dyDescent="0.2">
      <c r="A39" s="1">
        <v>2749</v>
      </c>
      <c r="B39" s="1" t="s">
        <v>421</v>
      </c>
      <c r="D39" s="638">
        <v>0</v>
      </c>
      <c r="I39" s="638">
        <v>0</v>
      </c>
      <c r="L39" s="638">
        <v>788.68</v>
      </c>
      <c r="N39" s="611" t="str">
        <f>IF(A39&lt;&gt;"",IF(COUNTIF('Struktur Vorjahr'!D$2:D$65645,A39)=1,"ok",IF(COUNTIF('Struktur Vorjahr'!D$2:D$65645,A39)&gt;1,"Konto " &amp; COUNTIF('Struktur Vorjahr'!D$2:D$65645,A39) &amp; "x zugeordnet","Konto noch nicht zugeordnet")),"")</f>
        <v>ok</v>
      </c>
    </row>
    <row r="40" spans="1:14" x14ac:dyDescent="0.2">
      <c r="A40" s="1">
        <v>3103</v>
      </c>
      <c r="B40" s="1" t="s">
        <v>422</v>
      </c>
      <c r="D40" s="638">
        <v>0</v>
      </c>
      <c r="I40" s="638">
        <v>211.78</v>
      </c>
      <c r="K40" s="638">
        <v>2377.4699999999998</v>
      </c>
      <c r="N40" s="611" t="str">
        <f>IF(A40&lt;&gt;"",IF(COUNTIF('Struktur Vorjahr'!D$2:D$65645,A40)=1,"ok",IF(COUNTIF('Struktur Vorjahr'!D$2:D$65645,A40)&gt;1,"Konto " &amp; COUNTIF('Struktur Vorjahr'!D$2:D$65645,A40) &amp; "x zugeordnet","Konto noch nicht zugeordnet")),"")</f>
        <v>ok</v>
      </c>
    </row>
    <row r="41" spans="1:14" x14ac:dyDescent="0.2">
      <c r="A41" s="1">
        <v>3105</v>
      </c>
      <c r="B41" s="1" t="s">
        <v>423</v>
      </c>
      <c r="D41" s="638">
        <v>0</v>
      </c>
      <c r="I41" s="638">
        <v>0</v>
      </c>
      <c r="K41" s="638">
        <v>427</v>
      </c>
      <c r="N41" s="611" t="str">
        <f>IF(A41&lt;&gt;"",IF(COUNTIF('Struktur Vorjahr'!D$2:D$65645,A41)=1,"ok",IF(COUNTIF('Struktur Vorjahr'!D$2:D$65645,A41)&gt;1,"Konto " &amp; COUNTIF('Struktur Vorjahr'!D$2:D$65645,A41) &amp; "x zugeordnet","Konto noch nicht zugeordnet")),"")</f>
        <v>ok</v>
      </c>
    </row>
    <row r="42" spans="1:14" x14ac:dyDescent="0.2">
      <c r="A42" s="1">
        <v>3106</v>
      </c>
      <c r="B42" s="1" t="s">
        <v>424</v>
      </c>
      <c r="D42" s="638">
        <v>0</v>
      </c>
      <c r="I42" s="638">
        <v>0</v>
      </c>
      <c r="K42" s="638">
        <v>1292.69</v>
      </c>
      <c r="N42" s="611" t="str">
        <f>IF(A42&lt;&gt;"",IF(COUNTIF('Struktur Vorjahr'!D$2:D$65645,A42)=1,"ok",IF(COUNTIF('Struktur Vorjahr'!D$2:D$65645,A42)&gt;1,"Konto " &amp; COUNTIF('Struktur Vorjahr'!D$2:D$65645,A42) &amp; "x zugeordnet","Konto noch nicht zugeordnet")),"")</f>
        <v>ok</v>
      </c>
    </row>
    <row r="43" spans="1:14" x14ac:dyDescent="0.2">
      <c r="A43" s="1">
        <v>3736</v>
      </c>
      <c r="B43" s="1" t="s">
        <v>425</v>
      </c>
      <c r="D43" s="638">
        <v>0</v>
      </c>
      <c r="I43" s="638">
        <v>0</v>
      </c>
      <c r="L43" s="638">
        <v>0.83</v>
      </c>
      <c r="N43" s="611" t="str">
        <f>IF(A43&lt;&gt;"",IF(COUNTIF('Struktur Vorjahr'!D$2:D$65645,A43)=1,"ok",IF(COUNTIF('Struktur Vorjahr'!D$2:D$65645,A43)&gt;1,"Konto " &amp; COUNTIF('Struktur Vorjahr'!D$2:D$65645,A43) &amp; "x zugeordnet","Konto noch nicht zugeordnet")),"")</f>
        <v>ok</v>
      </c>
    </row>
    <row r="44" spans="1:14" x14ac:dyDescent="0.2">
      <c r="A44" s="1">
        <v>4101</v>
      </c>
      <c r="B44" s="1" t="s">
        <v>426</v>
      </c>
      <c r="D44" s="638">
        <v>0</v>
      </c>
      <c r="I44" s="638">
        <v>0</v>
      </c>
      <c r="K44" s="638">
        <v>7500</v>
      </c>
      <c r="N44" s="611" t="str">
        <f>IF(A44&lt;&gt;"",IF(COUNTIF('Struktur Vorjahr'!D$2:D$65645,A44)=1,"ok",IF(COUNTIF('Struktur Vorjahr'!D$2:D$65645,A44)&gt;1,"Konto " &amp; COUNTIF('Struktur Vorjahr'!D$2:D$65645,A44) &amp; "x zugeordnet","Konto noch nicht zugeordnet")),"")</f>
        <v>ok</v>
      </c>
    </row>
    <row r="45" spans="1:14" x14ac:dyDescent="0.2">
      <c r="A45" s="1">
        <v>4102</v>
      </c>
      <c r="B45" s="1" t="s">
        <v>427</v>
      </c>
      <c r="D45" s="638">
        <v>0</v>
      </c>
      <c r="I45" s="638">
        <v>0</v>
      </c>
      <c r="K45" s="638">
        <v>6722.25</v>
      </c>
      <c r="N45" s="611" t="str">
        <f>IF(A45&lt;&gt;"",IF(COUNTIF('Struktur Vorjahr'!D$2:D$65645,A45)=1,"ok",IF(COUNTIF('Struktur Vorjahr'!D$2:D$65645,A45)&gt;1,"Konto " &amp; COUNTIF('Struktur Vorjahr'!D$2:D$65645,A45) &amp; "x zugeordnet","Konto noch nicht zugeordnet")),"")</f>
        <v>ok</v>
      </c>
    </row>
    <row r="46" spans="1:14" x14ac:dyDescent="0.2">
      <c r="A46" s="1">
        <v>4103</v>
      </c>
      <c r="B46" s="1" t="s">
        <v>428</v>
      </c>
      <c r="D46" s="638">
        <v>0</v>
      </c>
      <c r="I46" s="638">
        <v>0</v>
      </c>
      <c r="K46" s="638">
        <v>11547.25</v>
      </c>
      <c r="N46" s="611" t="str">
        <f>IF(A46&lt;&gt;"",IF(COUNTIF('Struktur Vorjahr'!D$2:D$65645,A46)=1,"ok",IF(COUNTIF('Struktur Vorjahr'!D$2:D$65645,A46)&gt;1,"Konto " &amp; COUNTIF('Struktur Vorjahr'!D$2:D$65645,A46) &amp; "x zugeordnet","Konto noch nicht zugeordnet")),"")</f>
        <v>ok</v>
      </c>
    </row>
    <row r="47" spans="1:14" x14ac:dyDescent="0.2">
      <c r="A47" s="1">
        <v>4110</v>
      </c>
      <c r="B47" s="1" t="s">
        <v>429</v>
      </c>
      <c r="D47" s="638">
        <v>0</v>
      </c>
      <c r="I47" s="638">
        <v>0</v>
      </c>
      <c r="K47" s="638">
        <v>35223.4</v>
      </c>
      <c r="N47" s="611" t="str">
        <f>IF(A47&lt;&gt;"",IF(COUNTIF('Struktur Vorjahr'!D$2:D$65645,A47)=1,"ok",IF(COUNTIF('Struktur Vorjahr'!D$2:D$65645,A47)&gt;1,"Konto " &amp; COUNTIF('Struktur Vorjahr'!D$2:D$65645,A47) &amp; "x zugeordnet","Konto noch nicht zugeordnet")),"")</f>
        <v>ok</v>
      </c>
    </row>
    <row r="48" spans="1:14" x14ac:dyDescent="0.2">
      <c r="A48" s="1">
        <v>4120</v>
      </c>
      <c r="B48" s="1" t="s">
        <v>430</v>
      </c>
      <c r="D48" s="638">
        <v>0</v>
      </c>
      <c r="I48" s="638">
        <v>0</v>
      </c>
      <c r="K48" s="638">
        <v>4825</v>
      </c>
      <c r="N48" s="611" t="str">
        <f>IF(A48&lt;&gt;"",IF(COUNTIF('Struktur Vorjahr'!D$2:D$65645,A48)=1,"ok",IF(COUNTIF('Struktur Vorjahr'!D$2:D$65645,A48)&gt;1,"Konto " &amp; COUNTIF('Struktur Vorjahr'!D$2:D$65645,A48) &amp; "x zugeordnet","Konto noch nicht zugeordnet")),"")</f>
        <v>ok</v>
      </c>
    </row>
    <row r="49" spans="1:14" x14ac:dyDescent="0.2">
      <c r="A49" s="1">
        <v>4121</v>
      </c>
      <c r="B49" s="1" t="s">
        <v>431</v>
      </c>
      <c r="D49" s="638">
        <v>0</v>
      </c>
      <c r="I49" s="638">
        <v>9313.3799999999992</v>
      </c>
      <c r="K49" s="638">
        <v>60598.71</v>
      </c>
      <c r="N49" s="611" t="str">
        <f>IF(A49&lt;&gt;"",IF(COUNTIF('Struktur Vorjahr'!D$2:D$65645,A49)=1,"ok",IF(COUNTIF('Struktur Vorjahr'!D$2:D$65645,A49)&gt;1,"Konto " &amp; COUNTIF('Struktur Vorjahr'!D$2:D$65645,A49) &amp; "x zugeordnet","Konto noch nicht zugeordnet")),"")</f>
        <v>ok</v>
      </c>
    </row>
    <row r="50" spans="1:14" x14ac:dyDescent="0.2">
      <c r="A50" s="1">
        <v>4125</v>
      </c>
      <c r="B50" s="1" t="s">
        <v>432</v>
      </c>
      <c r="D50" s="638">
        <v>0</v>
      </c>
      <c r="I50" s="638">
        <v>3839.88</v>
      </c>
      <c r="K50" s="638">
        <v>11519.64</v>
      </c>
      <c r="N50" s="611" t="str">
        <f>IF(A50&lt;&gt;"",IF(COUNTIF('Struktur Vorjahr'!D$2:D$65645,A50)=1,"ok",IF(COUNTIF('Struktur Vorjahr'!D$2:D$65645,A50)&gt;1,"Konto " &amp; COUNTIF('Struktur Vorjahr'!D$2:D$65645,A50) &amp; "x zugeordnet","Konto noch nicht zugeordnet")),"")</f>
        <v>ok</v>
      </c>
    </row>
    <row r="51" spans="1:14" x14ac:dyDescent="0.2">
      <c r="A51" s="1">
        <v>4130</v>
      </c>
      <c r="B51" s="1" t="s">
        <v>433</v>
      </c>
      <c r="D51" s="638">
        <v>0</v>
      </c>
      <c r="I51" s="638">
        <v>0</v>
      </c>
      <c r="K51" s="638">
        <v>1560.49</v>
      </c>
      <c r="N51" s="611" t="str">
        <f>IF(A51&lt;&gt;"",IF(COUNTIF('Struktur Vorjahr'!D$2:D$65645,A51)=1,"ok",IF(COUNTIF('Struktur Vorjahr'!D$2:D$65645,A51)&gt;1,"Konto " &amp; COUNTIF('Struktur Vorjahr'!D$2:D$65645,A51) &amp; "x zugeordnet","Konto noch nicht zugeordnet")),"")</f>
        <v>ok</v>
      </c>
    </row>
    <row r="52" spans="1:14" x14ac:dyDescent="0.2">
      <c r="A52" s="1">
        <v>4131</v>
      </c>
      <c r="B52" s="1" t="s">
        <v>434</v>
      </c>
      <c r="D52" s="638">
        <v>0</v>
      </c>
      <c r="I52" s="638">
        <v>1459.24</v>
      </c>
      <c r="K52" s="638">
        <v>8817.16</v>
      </c>
      <c r="N52" s="611" t="str">
        <f>IF(A52&lt;&gt;"",IF(COUNTIF('Struktur Vorjahr'!D$2:D$65645,A52)=1,"ok",IF(COUNTIF('Struktur Vorjahr'!D$2:D$65645,A52)&gt;1,"Konto " &amp; COUNTIF('Struktur Vorjahr'!D$2:D$65645,A52) &amp; "x zugeordnet","Konto noch nicht zugeordnet")),"")</f>
        <v>ok</v>
      </c>
    </row>
    <row r="53" spans="1:14" x14ac:dyDescent="0.2">
      <c r="A53" s="1">
        <v>4133</v>
      </c>
      <c r="B53" s="1" t="s">
        <v>435</v>
      </c>
      <c r="D53" s="638">
        <v>0</v>
      </c>
      <c r="I53" s="638">
        <v>0</v>
      </c>
      <c r="K53" s="638">
        <v>1486.29</v>
      </c>
      <c r="N53" s="611" t="str">
        <f>IF(A53&lt;&gt;"",IF(COUNTIF('Struktur Vorjahr'!D$2:D$65645,A53)=1,"ok",IF(COUNTIF('Struktur Vorjahr'!D$2:D$65645,A53)&gt;1,"Konto " &amp; COUNTIF('Struktur Vorjahr'!D$2:D$65645,A53) &amp; "x zugeordnet","Konto noch nicht zugeordnet")),"")</f>
        <v>ok</v>
      </c>
    </row>
    <row r="54" spans="1:14" x14ac:dyDescent="0.2">
      <c r="A54" s="1">
        <v>4134</v>
      </c>
      <c r="B54" s="1" t="s">
        <v>436</v>
      </c>
      <c r="D54" s="638">
        <v>0</v>
      </c>
      <c r="I54" s="638">
        <v>0</v>
      </c>
      <c r="K54" s="638">
        <v>2370.21</v>
      </c>
      <c r="N54" s="611" t="str">
        <f>IF(A54&lt;&gt;"",IF(COUNTIF('Struktur Vorjahr'!D$2:D$65645,A54)=1,"ok",IF(COUNTIF('Struktur Vorjahr'!D$2:D$65645,A54)&gt;1,"Konto " &amp; COUNTIF('Struktur Vorjahr'!D$2:D$65645,A54) &amp; "x zugeordnet","Konto noch nicht zugeordnet")),"")</f>
        <v>ok</v>
      </c>
    </row>
    <row r="55" spans="1:14" x14ac:dyDescent="0.2">
      <c r="A55" s="1">
        <v>4135</v>
      </c>
      <c r="B55" s="1" t="s">
        <v>437</v>
      </c>
      <c r="D55" s="638">
        <v>0</v>
      </c>
      <c r="I55" s="638">
        <v>829.35</v>
      </c>
      <c r="K55" s="638">
        <v>8127.39</v>
      </c>
      <c r="N55" s="611" t="str">
        <f>IF(A55&lt;&gt;"",IF(COUNTIF('Struktur Vorjahr'!D$2:D$65645,A55)=1,"ok",IF(COUNTIF('Struktur Vorjahr'!D$2:D$65645,A55)&gt;1,"Konto " &amp; COUNTIF('Struktur Vorjahr'!D$2:D$65645,A55) &amp; "x zugeordnet","Konto noch nicht zugeordnet")),"")</f>
        <v>ok</v>
      </c>
    </row>
    <row r="56" spans="1:14" x14ac:dyDescent="0.2">
      <c r="A56" s="1">
        <v>4138</v>
      </c>
      <c r="B56" s="1" t="s">
        <v>438</v>
      </c>
      <c r="D56" s="638">
        <v>0</v>
      </c>
      <c r="I56" s="638">
        <v>0</v>
      </c>
      <c r="K56" s="638">
        <v>262.45999999999998</v>
      </c>
      <c r="N56" s="611" t="str">
        <f>IF(A56&lt;&gt;"",IF(COUNTIF('Struktur Vorjahr'!D$2:D$65645,A56)=1,"ok",IF(COUNTIF('Struktur Vorjahr'!D$2:D$65645,A56)&gt;1,"Konto " &amp; COUNTIF('Struktur Vorjahr'!D$2:D$65645,A56) &amp; "x zugeordnet","Konto noch nicht zugeordnet")),"")</f>
        <v>ok</v>
      </c>
    </row>
    <row r="57" spans="1:14" x14ac:dyDescent="0.2">
      <c r="A57" s="1">
        <v>4140</v>
      </c>
      <c r="B57" s="1" t="s">
        <v>439</v>
      </c>
      <c r="D57" s="638">
        <v>0</v>
      </c>
      <c r="I57" s="638">
        <v>40.36</v>
      </c>
      <c r="K57" s="638">
        <v>439.91</v>
      </c>
      <c r="N57" s="611" t="str">
        <f>IF(A57&lt;&gt;"",IF(COUNTIF('Struktur Vorjahr'!D$2:D$65645,A57)=1,"ok",IF(COUNTIF('Struktur Vorjahr'!D$2:D$65645,A57)&gt;1,"Konto " &amp; COUNTIF('Struktur Vorjahr'!D$2:D$65645,A57) &amp; "x zugeordnet","Konto noch nicht zugeordnet")),"")</f>
        <v>ok</v>
      </c>
    </row>
    <row r="58" spans="1:14" x14ac:dyDescent="0.2">
      <c r="A58" s="1">
        <v>4152</v>
      </c>
      <c r="B58" s="1" t="s">
        <v>440</v>
      </c>
      <c r="D58" s="638">
        <v>0</v>
      </c>
      <c r="I58" s="638">
        <v>80</v>
      </c>
      <c r="K58" s="638">
        <v>600</v>
      </c>
      <c r="N58" s="611" t="str">
        <f>IF(A58&lt;&gt;"",IF(COUNTIF('Struktur Vorjahr'!D$2:D$65645,A58)=1,"ok",IF(COUNTIF('Struktur Vorjahr'!D$2:D$65645,A58)&gt;1,"Konto " &amp; COUNTIF('Struktur Vorjahr'!D$2:D$65645,A58) &amp; "x zugeordnet","Konto noch nicht zugeordnet")),"")</f>
        <v>ok</v>
      </c>
    </row>
    <row r="59" spans="1:14" x14ac:dyDescent="0.2">
      <c r="A59" s="1">
        <v>4165</v>
      </c>
      <c r="B59" s="1" t="s">
        <v>441</v>
      </c>
      <c r="D59" s="638">
        <v>0</v>
      </c>
      <c r="I59" s="638">
        <v>0</v>
      </c>
      <c r="K59" s="638">
        <v>4391.53</v>
      </c>
      <c r="N59" s="611" t="str">
        <f>IF(A59&lt;&gt;"",IF(COUNTIF('Struktur Vorjahr'!D$2:D$65645,A59)=1,"ok",IF(COUNTIF('Struktur Vorjahr'!D$2:D$65645,A59)&gt;1,"Konto " &amp; COUNTIF('Struktur Vorjahr'!D$2:D$65645,A59) &amp; "x zugeordnet","Konto noch nicht zugeordnet")),"")</f>
        <v>ok</v>
      </c>
    </row>
    <row r="60" spans="1:14" x14ac:dyDescent="0.2">
      <c r="A60" s="1">
        <v>4175</v>
      </c>
      <c r="B60" s="1" t="s">
        <v>442</v>
      </c>
      <c r="D60" s="638">
        <v>0</v>
      </c>
      <c r="I60" s="638">
        <v>208.8</v>
      </c>
      <c r="K60" s="638">
        <v>490.5</v>
      </c>
      <c r="N60" s="611" t="str">
        <f>IF(A60&lt;&gt;"",IF(COUNTIF('Struktur Vorjahr'!D$2:D$65645,A60)=1,"ok",IF(COUNTIF('Struktur Vorjahr'!D$2:D$65645,A60)&gt;1,"Konto " &amp; COUNTIF('Struktur Vorjahr'!D$2:D$65645,A60) &amp; "x zugeordnet","Konto noch nicht zugeordnet")),"")</f>
        <v>ok</v>
      </c>
    </row>
    <row r="61" spans="1:14" x14ac:dyDescent="0.2">
      <c r="A61" s="1">
        <v>4199</v>
      </c>
      <c r="B61" s="1" t="s">
        <v>443</v>
      </c>
      <c r="D61" s="638">
        <v>0</v>
      </c>
      <c r="I61" s="638">
        <v>11.2</v>
      </c>
      <c r="K61" s="638">
        <v>501.21</v>
      </c>
      <c r="N61" s="611" t="str">
        <f>IF(A61&lt;&gt;"",IF(COUNTIF('Struktur Vorjahr'!D$2:D$65645,A61)=1,"ok",IF(COUNTIF('Struktur Vorjahr'!D$2:D$65645,A61)&gt;1,"Konto " &amp; COUNTIF('Struktur Vorjahr'!D$2:D$65645,A61) &amp; "x zugeordnet","Konto noch nicht zugeordnet")),"")</f>
        <v>ok</v>
      </c>
    </row>
    <row r="62" spans="1:14" x14ac:dyDescent="0.2">
      <c r="A62" s="1">
        <v>4210</v>
      </c>
      <c r="B62" s="1" t="s">
        <v>444</v>
      </c>
      <c r="D62" s="638">
        <v>0</v>
      </c>
      <c r="I62" s="638">
        <v>1100</v>
      </c>
      <c r="K62" s="638">
        <v>11752.5</v>
      </c>
      <c r="N62" s="611" t="str">
        <f>IF(A62&lt;&gt;"",IF(COUNTIF('Struktur Vorjahr'!D$2:D$65645,A62)=1,"ok",IF(COUNTIF('Struktur Vorjahr'!D$2:D$65645,A62)&gt;1,"Konto " &amp; COUNTIF('Struktur Vorjahr'!D$2:D$65645,A62) &amp; "x zugeordnet","Konto noch nicht zugeordnet")),"")</f>
        <v>ok</v>
      </c>
    </row>
    <row r="63" spans="1:14" x14ac:dyDescent="0.2">
      <c r="A63" s="1">
        <v>4240</v>
      </c>
      <c r="B63" s="1" t="s">
        <v>445</v>
      </c>
      <c r="D63" s="638">
        <v>0</v>
      </c>
      <c r="I63" s="638">
        <v>214.29</v>
      </c>
      <c r="K63" s="638">
        <v>2761.78</v>
      </c>
      <c r="N63" s="611" t="str">
        <f>IF(A63&lt;&gt;"",IF(COUNTIF('Struktur Vorjahr'!D$2:D$65645,A63)=1,"ok",IF(COUNTIF('Struktur Vorjahr'!D$2:D$65645,A63)&gt;1,"Konto " &amp; COUNTIF('Struktur Vorjahr'!D$2:D$65645,A63) &amp; "x zugeordnet","Konto noch nicht zugeordnet")),"")</f>
        <v>ok</v>
      </c>
    </row>
    <row r="64" spans="1:14" x14ac:dyDescent="0.2">
      <c r="A64" s="1">
        <v>4250</v>
      </c>
      <c r="B64" s="1" t="s">
        <v>446</v>
      </c>
      <c r="D64" s="638">
        <v>0</v>
      </c>
      <c r="I64" s="638">
        <v>0</v>
      </c>
      <c r="K64" s="638">
        <v>450.71</v>
      </c>
      <c r="N64" s="611" t="str">
        <f>IF(A64&lt;&gt;"",IF(COUNTIF('Struktur Vorjahr'!D$2:D$65645,A64)=1,"ok",IF(COUNTIF('Struktur Vorjahr'!D$2:D$65645,A64)&gt;1,"Konto " &amp; COUNTIF('Struktur Vorjahr'!D$2:D$65645,A64) &amp; "x zugeordnet","Konto noch nicht zugeordnet")),"")</f>
        <v>ok</v>
      </c>
    </row>
    <row r="65" spans="1:14" x14ac:dyDescent="0.2">
      <c r="A65" s="1">
        <v>4261</v>
      </c>
      <c r="B65" s="1" t="s">
        <v>447</v>
      </c>
      <c r="D65" s="638">
        <v>0</v>
      </c>
      <c r="I65" s="638">
        <v>0</v>
      </c>
      <c r="K65" s="638">
        <v>1757.95</v>
      </c>
      <c r="N65" s="611" t="str">
        <f>IF(A65&lt;&gt;"",IF(COUNTIF('Struktur Vorjahr'!D$2:D$65645,A65)=1,"ok",IF(COUNTIF('Struktur Vorjahr'!D$2:D$65645,A65)&gt;1,"Konto " &amp; COUNTIF('Struktur Vorjahr'!D$2:D$65645,A65) &amp; "x zugeordnet","Konto noch nicht zugeordnet")),"")</f>
        <v>ok</v>
      </c>
    </row>
    <row r="66" spans="1:14" x14ac:dyDescent="0.2">
      <c r="A66" s="1">
        <v>4320</v>
      </c>
      <c r="B66" s="1" t="s">
        <v>448</v>
      </c>
      <c r="D66" s="638">
        <v>0</v>
      </c>
      <c r="J66" s="638">
        <v>5509.5</v>
      </c>
      <c r="K66" s="638">
        <v>0</v>
      </c>
      <c r="N66" s="611" t="str">
        <f>IF(A66&lt;&gt;"",IF(COUNTIF('Struktur Vorjahr'!D$2:D$65645,A66)=1,"ok",IF(COUNTIF('Struktur Vorjahr'!D$2:D$65645,A66)&gt;1,"Konto " &amp; COUNTIF('Struktur Vorjahr'!D$2:D$65645,A66) &amp; "x zugeordnet","Konto noch nicht zugeordnet")),"")</f>
        <v>Konto 2x zugeordnet</v>
      </c>
    </row>
    <row r="67" spans="1:14" x14ac:dyDescent="0.2">
      <c r="A67" s="1">
        <v>4360</v>
      </c>
      <c r="B67" s="1" t="s">
        <v>9</v>
      </c>
      <c r="D67" s="638">
        <v>0</v>
      </c>
      <c r="I67" s="638">
        <v>0</v>
      </c>
      <c r="K67" s="638">
        <v>1604.12</v>
      </c>
      <c r="N67" s="611" t="str">
        <f>IF(A67&lt;&gt;"",IF(COUNTIF('Struktur Vorjahr'!D$2:D$65645,A67)=1,"ok",IF(COUNTIF('Struktur Vorjahr'!D$2:D$65645,A67)&gt;1,"Konto " &amp; COUNTIF('Struktur Vorjahr'!D$2:D$65645,A67) &amp; "x zugeordnet","Konto noch nicht zugeordnet")),"")</f>
        <v>ok</v>
      </c>
    </row>
    <row r="68" spans="1:14" x14ac:dyDescent="0.2">
      <c r="A68" s="1">
        <v>4380</v>
      </c>
      <c r="B68" s="1" t="s">
        <v>10</v>
      </c>
      <c r="D68" s="638">
        <v>0</v>
      </c>
      <c r="I68" s="638">
        <v>23.85</v>
      </c>
      <c r="K68" s="638">
        <v>1406.61</v>
      </c>
      <c r="N68" s="611" t="str">
        <f>IF(A68&lt;&gt;"",IF(COUNTIF('Struktur Vorjahr'!D$2:D$65645,A68)=1,"ok",IF(COUNTIF('Struktur Vorjahr'!D$2:D$65645,A68)&gt;1,"Konto " &amp; COUNTIF('Struktur Vorjahr'!D$2:D$65645,A68) &amp; "x zugeordnet","Konto noch nicht zugeordnet")),"")</f>
        <v>ok</v>
      </c>
    </row>
    <row r="69" spans="1:14" x14ac:dyDescent="0.2">
      <c r="A69" s="1">
        <v>4510</v>
      </c>
      <c r="B69" s="1" t="s">
        <v>449</v>
      </c>
      <c r="D69" s="638">
        <v>0</v>
      </c>
      <c r="I69" s="638">
        <v>29</v>
      </c>
      <c r="K69" s="638">
        <v>29</v>
      </c>
      <c r="N69" s="611" t="str">
        <f>IF(A69&lt;&gt;"",IF(COUNTIF('Struktur Vorjahr'!D$2:D$65645,A69)=1,"ok",IF(COUNTIF('Struktur Vorjahr'!D$2:D$65645,A69)&gt;1,"Konto " &amp; COUNTIF('Struktur Vorjahr'!D$2:D$65645,A69) &amp; "x zugeordnet","Konto noch nicht zugeordnet")),"")</f>
        <v>ok</v>
      </c>
    </row>
    <row r="70" spans="1:14" x14ac:dyDescent="0.2">
      <c r="A70" s="1">
        <v>4520</v>
      </c>
      <c r="B70" s="1" t="s">
        <v>5</v>
      </c>
      <c r="D70" s="638">
        <v>0</v>
      </c>
      <c r="I70" s="638">
        <v>0</v>
      </c>
      <c r="K70" s="638">
        <v>15.65</v>
      </c>
      <c r="N70" s="611" t="str">
        <f>IF(A70&lt;&gt;"",IF(COUNTIF('Struktur Vorjahr'!D$2:D$65645,A70)=1,"ok",IF(COUNTIF('Struktur Vorjahr'!D$2:D$65645,A70)&gt;1,"Konto " &amp; COUNTIF('Struktur Vorjahr'!D$2:D$65645,A70) &amp; "x zugeordnet","Konto noch nicht zugeordnet")),"")</f>
        <v>ok</v>
      </c>
    </row>
    <row r="71" spans="1:14" x14ac:dyDescent="0.2">
      <c r="A71" s="1">
        <v>4600</v>
      </c>
      <c r="B71" s="1" t="s">
        <v>450</v>
      </c>
      <c r="D71" s="638">
        <v>0</v>
      </c>
      <c r="I71" s="638">
        <v>0</v>
      </c>
      <c r="K71" s="638">
        <v>1402.49</v>
      </c>
      <c r="N71" s="611" t="str">
        <f>IF(A71&lt;&gt;"",IF(COUNTIF('Struktur Vorjahr'!D$2:D$65645,A71)=1,"ok",IF(COUNTIF('Struktur Vorjahr'!D$2:D$65645,A71)&gt;1,"Konto " &amp; COUNTIF('Struktur Vorjahr'!D$2:D$65645,A71) &amp; "x zugeordnet","Konto noch nicht zugeordnet")),"")</f>
        <v>ok</v>
      </c>
    </row>
    <row r="72" spans="1:14" x14ac:dyDescent="0.2">
      <c r="A72" s="1">
        <v>4650</v>
      </c>
      <c r="B72" s="1" t="s">
        <v>451</v>
      </c>
      <c r="D72" s="638">
        <v>0</v>
      </c>
      <c r="I72" s="638">
        <v>33.479999999999997</v>
      </c>
      <c r="K72" s="638">
        <v>304.18</v>
      </c>
      <c r="N72" s="611" t="str">
        <f>IF(A72&lt;&gt;"",IF(COUNTIF('Struktur Vorjahr'!D$2:D$65645,A72)=1,"ok",IF(COUNTIF('Struktur Vorjahr'!D$2:D$65645,A72)&gt;1,"Konto " &amp; COUNTIF('Struktur Vorjahr'!D$2:D$65645,A72) &amp; "x zugeordnet","Konto noch nicht zugeordnet")),"")</f>
        <v>ok</v>
      </c>
    </row>
    <row r="73" spans="1:14" x14ac:dyDescent="0.2">
      <c r="A73" s="1">
        <v>4654</v>
      </c>
      <c r="B73" s="1" t="s">
        <v>452</v>
      </c>
      <c r="D73" s="638">
        <v>0</v>
      </c>
      <c r="I73" s="638">
        <v>16.46</v>
      </c>
      <c r="K73" s="638">
        <v>123.52</v>
      </c>
      <c r="N73" s="611" t="str">
        <f>IF(A73&lt;&gt;"",IF(COUNTIF('Struktur Vorjahr'!D$2:D$65645,A73)=1,"ok",IF(COUNTIF('Struktur Vorjahr'!D$2:D$65645,A73)&gt;1,"Konto " &amp; COUNTIF('Struktur Vorjahr'!D$2:D$65645,A73) &amp; "x zugeordnet","Konto noch nicht zugeordnet")),"")</f>
        <v>ok</v>
      </c>
    </row>
    <row r="74" spans="1:14" x14ac:dyDescent="0.2">
      <c r="A74" s="1">
        <v>4655</v>
      </c>
      <c r="B74" s="1" t="s">
        <v>453</v>
      </c>
      <c r="D74" s="638">
        <v>0</v>
      </c>
      <c r="I74" s="638">
        <v>0</v>
      </c>
      <c r="K74" s="638">
        <v>41.33</v>
      </c>
      <c r="N74" s="611" t="str">
        <f>IF(A74&lt;&gt;"",IF(COUNTIF('Struktur Vorjahr'!D$2:D$65645,A74)=1,"ok",IF(COUNTIF('Struktur Vorjahr'!D$2:D$65645,A74)&gt;1,"Konto " &amp; COUNTIF('Struktur Vorjahr'!D$2:D$65645,A74) &amp; "x zugeordnet","Konto noch nicht zugeordnet")),"")</f>
        <v>ok</v>
      </c>
    </row>
    <row r="75" spans="1:14" x14ac:dyDescent="0.2">
      <c r="A75" s="1">
        <v>4660</v>
      </c>
      <c r="B75" s="1" t="s">
        <v>454</v>
      </c>
      <c r="D75" s="638">
        <v>0</v>
      </c>
      <c r="I75" s="638">
        <v>0</v>
      </c>
      <c r="K75" s="638">
        <v>57.05</v>
      </c>
      <c r="N75" s="611" t="str">
        <f>IF(A75&lt;&gt;"",IF(COUNTIF('Struktur Vorjahr'!D$2:D$65645,A75)=1,"ok",IF(COUNTIF('Struktur Vorjahr'!D$2:D$65645,A75)&gt;1,"Konto " &amp; COUNTIF('Struktur Vorjahr'!D$2:D$65645,A75) &amp; "x zugeordnet","Konto noch nicht zugeordnet")),"")</f>
        <v>ok</v>
      </c>
    </row>
    <row r="76" spans="1:14" x14ac:dyDescent="0.2">
      <c r="A76" s="1">
        <v>4668</v>
      </c>
      <c r="B76" s="1" t="s">
        <v>455</v>
      </c>
      <c r="D76" s="638">
        <v>0</v>
      </c>
      <c r="I76" s="638">
        <v>166.5</v>
      </c>
      <c r="K76" s="638">
        <v>950.7</v>
      </c>
      <c r="N76" s="611" t="str">
        <f>IF(A76&lt;&gt;"",IF(COUNTIF('Struktur Vorjahr'!D$2:D$65645,A76)=1,"ok",IF(COUNTIF('Struktur Vorjahr'!D$2:D$65645,A76)&gt;1,"Konto " &amp; COUNTIF('Struktur Vorjahr'!D$2:D$65645,A76) &amp; "x zugeordnet","Konto noch nicht zugeordnet")),"")</f>
        <v>ok</v>
      </c>
    </row>
    <row r="77" spans="1:14" x14ac:dyDescent="0.2">
      <c r="A77" s="1">
        <v>4805</v>
      </c>
      <c r="B77" s="1" t="s">
        <v>456</v>
      </c>
      <c r="D77" s="638">
        <v>0</v>
      </c>
      <c r="I77" s="638">
        <v>0</v>
      </c>
      <c r="K77" s="638">
        <v>93.48</v>
      </c>
      <c r="N77" s="611" t="str">
        <f>IF(A77&lt;&gt;"",IF(COUNTIF('Struktur Vorjahr'!D$2:D$65645,A77)=1,"ok",IF(COUNTIF('Struktur Vorjahr'!D$2:D$65645,A77)&gt;1,"Konto " &amp; COUNTIF('Struktur Vorjahr'!D$2:D$65645,A77) &amp; "x zugeordnet","Konto noch nicht zugeordnet")),"")</f>
        <v>ok</v>
      </c>
    </row>
    <row r="78" spans="1:14" x14ac:dyDescent="0.2">
      <c r="A78" s="1">
        <v>4806</v>
      </c>
      <c r="B78" s="1" t="s">
        <v>457</v>
      </c>
      <c r="D78" s="638">
        <v>0</v>
      </c>
      <c r="I78" s="638">
        <v>110.87</v>
      </c>
      <c r="K78" s="638">
        <v>928.22</v>
      </c>
      <c r="N78" s="611" t="str">
        <f>IF(A78&lt;&gt;"",IF(COUNTIF('Struktur Vorjahr'!D$2:D$65645,A78)=1,"ok",IF(COUNTIF('Struktur Vorjahr'!D$2:D$65645,A78)&gt;1,"Konto " &amp; COUNTIF('Struktur Vorjahr'!D$2:D$65645,A78) &amp; "x zugeordnet","Konto noch nicht zugeordnet")),"")</f>
        <v>ok</v>
      </c>
    </row>
    <row r="79" spans="1:14" x14ac:dyDescent="0.2">
      <c r="A79" s="1">
        <v>4822</v>
      </c>
      <c r="B79" s="1" t="s">
        <v>458</v>
      </c>
      <c r="D79" s="638">
        <v>0</v>
      </c>
      <c r="I79" s="638">
        <v>52.17</v>
      </c>
      <c r="K79" s="638">
        <v>938.66</v>
      </c>
      <c r="N79" s="611" t="str">
        <f>IF(A79&lt;&gt;"",IF(COUNTIF('Struktur Vorjahr'!D$2:D$65645,A79)=1,"ok",IF(COUNTIF('Struktur Vorjahr'!D$2:D$65645,A79)&gt;1,"Konto " &amp; COUNTIF('Struktur Vorjahr'!D$2:D$65645,A79) &amp; "x zugeordnet","Konto noch nicht zugeordnet")),"")</f>
        <v>Konto 2x zugeordnet</v>
      </c>
    </row>
    <row r="80" spans="1:14" x14ac:dyDescent="0.2">
      <c r="A80" s="1">
        <v>4830</v>
      </c>
      <c r="B80" s="1" t="s">
        <v>459</v>
      </c>
      <c r="D80" s="638">
        <v>0</v>
      </c>
      <c r="I80" s="638">
        <v>220.49</v>
      </c>
      <c r="K80" s="638">
        <v>1949.25</v>
      </c>
      <c r="N80" s="611" t="str">
        <f>IF(A80&lt;&gt;"",IF(COUNTIF('Struktur Vorjahr'!D$2:D$65645,A80)=1,"ok",IF(COUNTIF('Struktur Vorjahr'!D$2:D$65645,A80)&gt;1,"Konto " &amp; COUNTIF('Struktur Vorjahr'!D$2:D$65645,A80) &amp; "x zugeordnet","Konto noch nicht zugeordnet")),"")</f>
        <v>Konto 2x zugeordnet</v>
      </c>
    </row>
    <row r="81" spans="1:14" x14ac:dyDescent="0.2">
      <c r="A81" s="1">
        <v>4855</v>
      </c>
      <c r="B81" s="1" t="s">
        <v>460</v>
      </c>
      <c r="D81" s="638">
        <v>0</v>
      </c>
      <c r="I81" s="638">
        <v>0</v>
      </c>
      <c r="K81" s="638">
        <v>1273.98</v>
      </c>
      <c r="N81" s="611" t="str">
        <f>IF(A81&lt;&gt;"",IF(COUNTIF('Struktur Vorjahr'!D$2:D$65645,A81)=1,"ok",IF(COUNTIF('Struktur Vorjahr'!D$2:D$65645,A81)&gt;1,"Konto " &amp; COUNTIF('Struktur Vorjahr'!D$2:D$65645,A81) &amp; "x zugeordnet","Konto noch nicht zugeordnet")),"")</f>
        <v>Konto 2x zugeordnet</v>
      </c>
    </row>
    <row r="82" spans="1:14" x14ac:dyDescent="0.2">
      <c r="A82" s="1">
        <v>4900</v>
      </c>
      <c r="B82" s="1" t="s">
        <v>461</v>
      </c>
      <c r="D82" s="638">
        <v>0</v>
      </c>
      <c r="I82" s="638">
        <v>119.64</v>
      </c>
      <c r="K82" s="638">
        <v>1304.68</v>
      </c>
      <c r="N82" s="611" t="str">
        <f>IF(A82&lt;&gt;"",IF(COUNTIF('Struktur Vorjahr'!D$2:D$65645,A82)=1,"ok",IF(COUNTIF('Struktur Vorjahr'!D$2:D$65645,A82)&gt;1,"Konto " &amp; COUNTIF('Struktur Vorjahr'!D$2:D$65645,A82) &amp; "x zugeordnet","Konto noch nicht zugeordnet")),"")</f>
        <v>ok</v>
      </c>
    </row>
    <row r="83" spans="1:14" x14ac:dyDescent="0.2">
      <c r="A83" s="1">
        <v>4910</v>
      </c>
      <c r="B83" s="1" t="s">
        <v>16</v>
      </c>
      <c r="D83" s="638">
        <v>0</v>
      </c>
      <c r="I83" s="638">
        <v>8</v>
      </c>
      <c r="K83" s="638">
        <v>125.88</v>
      </c>
      <c r="N83" s="611" t="str">
        <f>IF(A83&lt;&gt;"",IF(COUNTIF('Struktur Vorjahr'!D$2:D$65645,A83)=1,"ok",IF(COUNTIF('Struktur Vorjahr'!D$2:D$65645,A83)&gt;1,"Konto " &amp; COUNTIF('Struktur Vorjahr'!D$2:D$65645,A83) &amp; "x zugeordnet","Konto noch nicht zugeordnet")),"")</f>
        <v>ok</v>
      </c>
    </row>
    <row r="84" spans="1:14" x14ac:dyDescent="0.2">
      <c r="A84" s="1">
        <v>4920</v>
      </c>
      <c r="B84" s="1" t="s">
        <v>144</v>
      </c>
      <c r="D84" s="638">
        <v>0</v>
      </c>
      <c r="I84" s="638">
        <v>458.66</v>
      </c>
      <c r="K84" s="638">
        <v>3524.09</v>
      </c>
      <c r="N84" s="611" t="str">
        <f>IF(A84&lt;&gt;"",IF(COUNTIF('Struktur Vorjahr'!D$2:D$65645,A84)=1,"ok",IF(COUNTIF('Struktur Vorjahr'!D$2:D$65645,A84)&gt;1,"Konto " &amp; COUNTIF('Struktur Vorjahr'!D$2:D$65645,A84) &amp; "x zugeordnet","Konto noch nicht zugeordnet")),"")</f>
        <v>ok</v>
      </c>
    </row>
    <row r="85" spans="1:14" x14ac:dyDescent="0.2">
      <c r="A85" s="1">
        <v>4925</v>
      </c>
      <c r="B85" s="1" t="s">
        <v>462</v>
      </c>
      <c r="D85" s="638">
        <v>0</v>
      </c>
      <c r="I85" s="638">
        <v>0</v>
      </c>
      <c r="K85" s="638">
        <v>0.84</v>
      </c>
      <c r="N85" s="611" t="str">
        <f>IF(A85&lt;&gt;"",IF(COUNTIF('Struktur Vorjahr'!D$2:D$65645,A85)=1,"ok",IF(COUNTIF('Struktur Vorjahr'!D$2:D$65645,A85)&gt;1,"Konto " &amp; COUNTIF('Struktur Vorjahr'!D$2:D$65645,A85) &amp; "x zugeordnet","Konto noch nicht zugeordnet")),"")</f>
        <v>ok</v>
      </c>
    </row>
    <row r="86" spans="1:14" x14ac:dyDescent="0.2">
      <c r="A86" s="1">
        <v>4930</v>
      </c>
      <c r="B86" s="1" t="s">
        <v>17</v>
      </c>
      <c r="D86" s="638">
        <v>0</v>
      </c>
      <c r="I86" s="638">
        <v>33.57</v>
      </c>
      <c r="K86" s="638">
        <v>679.17</v>
      </c>
      <c r="N86" s="611" t="str">
        <f>IF(A86&lt;&gt;"",IF(COUNTIF('Struktur Vorjahr'!D$2:D$65645,A86)=1,"ok",IF(COUNTIF('Struktur Vorjahr'!D$2:D$65645,A86)&gt;1,"Konto " &amp; COUNTIF('Struktur Vorjahr'!D$2:D$65645,A86) &amp; "x zugeordnet","Konto noch nicht zugeordnet")),"")</f>
        <v>ok</v>
      </c>
    </row>
    <row r="87" spans="1:14" x14ac:dyDescent="0.2">
      <c r="A87" s="1">
        <v>4931</v>
      </c>
      <c r="B87" s="1" t="s">
        <v>463</v>
      </c>
      <c r="D87" s="638">
        <v>0</v>
      </c>
      <c r="I87" s="638">
        <v>0</v>
      </c>
      <c r="K87" s="638">
        <v>1977.06</v>
      </c>
      <c r="N87" s="611" t="str">
        <f>IF(A87&lt;&gt;"",IF(COUNTIF('Struktur Vorjahr'!D$2:D$65645,A87)=1,"ok",IF(COUNTIF('Struktur Vorjahr'!D$2:D$65645,A87)&gt;1,"Konto " &amp; COUNTIF('Struktur Vorjahr'!D$2:D$65645,A87) &amp; "x zugeordnet","Konto noch nicht zugeordnet")),"")</f>
        <v>ok</v>
      </c>
    </row>
    <row r="88" spans="1:14" x14ac:dyDescent="0.2">
      <c r="A88" s="1">
        <v>4935</v>
      </c>
      <c r="B88" s="1" t="s">
        <v>464</v>
      </c>
      <c r="D88" s="638">
        <v>0</v>
      </c>
      <c r="I88" s="638">
        <v>10.92</v>
      </c>
      <c r="K88" s="638">
        <v>403.06</v>
      </c>
      <c r="N88" s="611" t="str">
        <f>IF(A88&lt;&gt;"",IF(COUNTIF('Struktur Vorjahr'!D$2:D$65645,A88)=1,"ok",IF(COUNTIF('Struktur Vorjahr'!D$2:D$65645,A88)&gt;1,"Konto " &amp; COUNTIF('Struktur Vorjahr'!D$2:D$65645,A88) &amp; "x zugeordnet","Konto noch nicht zugeordnet")),"")</f>
        <v>ok</v>
      </c>
    </row>
    <row r="89" spans="1:14" x14ac:dyDescent="0.2">
      <c r="A89" s="1">
        <v>4940</v>
      </c>
      <c r="B89" s="1" t="s">
        <v>465</v>
      </c>
      <c r="D89" s="638">
        <v>0</v>
      </c>
      <c r="I89" s="638">
        <v>71.209999999999994</v>
      </c>
      <c r="K89" s="638">
        <v>229.25</v>
      </c>
      <c r="N89" s="611" t="str">
        <f>IF(A89&lt;&gt;"",IF(COUNTIF('Struktur Vorjahr'!D$2:D$65645,A89)=1,"ok",IF(COUNTIF('Struktur Vorjahr'!D$2:D$65645,A89)&gt;1,"Konto " &amp; COUNTIF('Struktur Vorjahr'!D$2:D$65645,A89) &amp; "x zugeordnet","Konto noch nicht zugeordnet")),"")</f>
        <v>ok</v>
      </c>
    </row>
    <row r="90" spans="1:14" x14ac:dyDescent="0.2">
      <c r="A90" s="1">
        <v>4945</v>
      </c>
      <c r="B90" s="1" t="s">
        <v>15</v>
      </c>
      <c r="D90" s="638">
        <v>0</v>
      </c>
      <c r="I90" s="638">
        <v>55</v>
      </c>
      <c r="K90" s="638">
        <v>705.46</v>
      </c>
      <c r="N90" s="611" t="str">
        <f>IF(A90&lt;&gt;"",IF(COUNTIF('Struktur Vorjahr'!D$2:D$65645,A90)=1,"ok",IF(COUNTIF('Struktur Vorjahr'!D$2:D$65645,A90)&gt;1,"Konto " &amp; COUNTIF('Struktur Vorjahr'!D$2:D$65645,A90) &amp; "x zugeordnet","Konto noch nicht zugeordnet")),"")</f>
        <v>ok</v>
      </c>
    </row>
    <row r="91" spans="1:14" x14ac:dyDescent="0.2">
      <c r="A91" s="1">
        <v>4950</v>
      </c>
      <c r="B91" s="1" t="s">
        <v>466</v>
      </c>
      <c r="D91" s="638">
        <v>0</v>
      </c>
      <c r="I91" s="638">
        <v>95</v>
      </c>
      <c r="K91" s="638">
        <v>1057.45</v>
      </c>
      <c r="N91" s="611" t="str">
        <f>IF(A91&lt;&gt;"",IF(COUNTIF('Struktur Vorjahr'!D$2:D$65645,A91)=1,"ok",IF(COUNTIF('Struktur Vorjahr'!D$2:D$65645,A91)&gt;1,"Konto " &amp; COUNTIF('Struktur Vorjahr'!D$2:D$65645,A91) &amp; "x zugeordnet","Konto noch nicht zugeordnet")),"")</f>
        <v>ok</v>
      </c>
    </row>
    <row r="92" spans="1:14" x14ac:dyDescent="0.2">
      <c r="A92" s="1">
        <v>4955</v>
      </c>
      <c r="B92" s="1" t="s">
        <v>467</v>
      </c>
      <c r="D92" s="638">
        <v>0</v>
      </c>
      <c r="I92" s="638">
        <v>0</v>
      </c>
      <c r="K92" s="638">
        <v>1194.5</v>
      </c>
      <c r="N92" s="611" t="str">
        <f>IF(A92&lt;&gt;"",IF(COUNTIF('Struktur Vorjahr'!D$2:D$65645,A92)=1,"ok",IF(COUNTIF('Struktur Vorjahr'!D$2:D$65645,A92)&gt;1,"Konto " &amp; COUNTIF('Struktur Vorjahr'!D$2:D$65645,A92) &amp; "x zugeordnet","Konto noch nicht zugeordnet")),"")</f>
        <v>ok</v>
      </c>
    </row>
    <row r="93" spans="1:14" x14ac:dyDescent="0.2">
      <c r="A93" s="1">
        <v>4957</v>
      </c>
      <c r="B93" s="1" t="s">
        <v>468</v>
      </c>
      <c r="D93" s="638">
        <v>0</v>
      </c>
      <c r="I93" s="638">
        <v>0</v>
      </c>
      <c r="K93" s="638">
        <v>2178.5</v>
      </c>
      <c r="N93" s="611" t="str">
        <f>IF(A93&lt;&gt;"",IF(COUNTIF('Struktur Vorjahr'!D$2:D$65645,A93)=1,"ok",IF(COUNTIF('Struktur Vorjahr'!D$2:D$65645,A93)&gt;1,"Konto " &amp; COUNTIF('Struktur Vorjahr'!D$2:D$65645,A93) &amp; "x zugeordnet","Konto noch nicht zugeordnet")),"")</f>
        <v>ok</v>
      </c>
    </row>
    <row r="94" spans="1:14" x14ac:dyDescent="0.2">
      <c r="A94" s="1">
        <v>4969</v>
      </c>
      <c r="B94" s="1" t="s">
        <v>469</v>
      </c>
      <c r="D94" s="638">
        <v>0</v>
      </c>
      <c r="I94" s="638">
        <v>0</v>
      </c>
      <c r="K94" s="638">
        <v>322.54000000000002</v>
      </c>
      <c r="N94" s="611" t="str">
        <f>IF(A94&lt;&gt;"",IF(COUNTIF('Struktur Vorjahr'!D$2:D$65645,A94)=1,"ok",IF(COUNTIF('Struktur Vorjahr'!D$2:D$65645,A94)&gt;1,"Konto " &amp; COUNTIF('Struktur Vorjahr'!D$2:D$65645,A94) &amp; "x zugeordnet","Konto noch nicht zugeordnet")),"")</f>
        <v>ok</v>
      </c>
    </row>
    <row r="95" spans="1:14" x14ac:dyDescent="0.2">
      <c r="A95" s="1">
        <v>4970</v>
      </c>
      <c r="B95" s="1" t="s">
        <v>20</v>
      </c>
      <c r="D95" s="638">
        <v>0</v>
      </c>
      <c r="I95" s="638">
        <v>30.15</v>
      </c>
      <c r="K95" s="638">
        <v>327.85</v>
      </c>
      <c r="N95" s="611" t="str">
        <f>IF(A95&lt;&gt;"",IF(COUNTIF('Struktur Vorjahr'!D$2:D$65645,A95)=1,"ok",IF(COUNTIF('Struktur Vorjahr'!D$2:D$65645,A95)&gt;1,"Konto " &amp; COUNTIF('Struktur Vorjahr'!D$2:D$65645,A95) &amp; "x zugeordnet","Konto noch nicht zugeordnet")),"")</f>
        <v>ok</v>
      </c>
    </row>
    <row r="96" spans="1:14" x14ac:dyDescent="0.2">
      <c r="A96" s="1">
        <v>4985</v>
      </c>
      <c r="B96" s="1" t="s">
        <v>22</v>
      </c>
      <c r="D96" s="638">
        <v>0</v>
      </c>
      <c r="I96" s="638">
        <v>0</v>
      </c>
      <c r="K96" s="638">
        <v>185.85</v>
      </c>
      <c r="N96" s="611" t="str">
        <f>IF(A96&lt;&gt;"",IF(COUNTIF('Struktur Vorjahr'!D$2:D$65645,A96)=1,"ok",IF(COUNTIF('Struktur Vorjahr'!D$2:D$65645,A96)&gt;1,"Konto " &amp; COUNTIF('Struktur Vorjahr'!D$2:D$65645,A96) &amp; "x zugeordnet","Konto noch nicht zugeordnet")),"")</f>
        <v>ok</v>
      </c>
    </row>
    <row r="97" spans="1:14" x14ac:dyDescent="0.2">
      <c r="A97" s="1">
        <v>8400</v>
      </c>
      <c r="B97" s="1" t="s">
        <v>470</v>
      </c>
      <c r="D97" s="638">
        <v>0</v>
      </c>
      <c r="J97" s="638">
        <v>2250</v>
      </c>
      <c r="L97" s="638">
        <v>2250</v>
      </c>
      <c r="N97" s="611" t="str">
        <f>IF(A97&lt;&gt;"",IF(COUNTIF('Struktur Vorjahr'!D$2:D$65645,A97)=1,"ok",IF(COUNTIF('Struktur Vorjahr'!D$2:D$65645,A97)&gt;1,"Konto " &amp; COUNTIF('Struktur Vorjahr'!D$2:D$65645,A97) &amp; "x zugeordnet","Konto noch nicht zugeordnet")),"")</f>
        <v>ok</v>
      </c>
    </row>
    <row r="98" spans="1:14" x14ac:dyDescent="0.2">
      <c r="A98" s="1">
        <v>8401</v>
      </c>
      <c r="B98" s="1" t="s">
        <v>471</v>
      </c>
      <c r="D98" s="638">
        <v>0</v>
      </c>
      <c r="I98" s="638">
        <v>0</v>
      </c>
      <c r="L98" s="638">
        <v>8908.86</v>
      </c>
      <c r="N98" s="611" t="str">
        <f>IF(A98&lt;&gt;"",IF(COUNTIF('Struktur Vorjahr'!D$2:D$65645,A98)=1,"ok",IF(COUNTIF('Struktur Vorjahr'!D$2:D$65645,A98)&gt;1,"Konto " &amp; COUNTIF('Struktur Vorjahr'!D$2:D$65645,A98) &amp; "x zugeordnet","Konto noch nicht zugeordnet")),"")</f>
        <v>ok</v>
      </c>
    </row>
    <row r="99" spans="1:14" x14ac:dyDescent="0.2">
      <c r="A99" s="1">
        <v>8402</v>
      </c>
      <c r="B99" s="1" t="s">
        <v>472</v>
      </c>
      <c r="D99" s="638">
        <v>0</v>
      </c>
      <c r="J99" s="638">
        <v>7899.69</v>
      </c>
      <c r="L99" s="638">
        <v>53247.23</v>
      </c>
      <c r="N99" s="611" t="str">
        <f>IF(A99&lt;&gt;"",IF(COUNTIF('Struktur Vorjahr'!D$2:D$65645,A99)=1,"ok",IF(COUNTIF('Struktur Vorjahr'!D$2:D$65645,A99)&gt;1,"Konto " &amp; COUNTIF('Struktur Vorjahr'!D$2:D$65645,A99) &amp; "x zugeordnet","Konto noch nicht zugeordnet")),"")</f>
        <v>ok</v>
      </c>
    </row>
    <row r="100" spans="1:14" x14ac:dyDescent="0.2">
      <c r="A100" s="1">
        <v>8403</v>
      </c>
      <c r="B100" s="1" t="s">
        <v>473</v>
      </c>
      <c r="D100" s="638">
        <v>0</v>
      </c>
      <c r="J100" s="638">
        <v>205.83</v>
      </c>
      <c r="L100" s="638">
        <v>2876.64</v>
      </c>
      <c r="N100" s="611" t="str">
        <f>IF(A100&lt;&gt;"",IF(COUNTIF('Struktur Vorjahr'!D$2:D$65645,A100)=1,"ok",IF(COUNTIF('Struktur Vorjahr'!D$2:D$65645,A100)&gt;1,"Konto " &amp; COUNTIF('Struktur Vorjahr'!D$2:D$65645,A100) &amp; "x zugeordnet","Konto noch nicht zugeordnet")),"")</f>
        <v>ok</v>
      </c>
    </row>
    <row r="101" spans="1:14" x14ac:dyDescent="0.2">
      <c r="A101" s="1">
        <v>8404</v>
      </c>
      <c r="B101" s="1" t="s">
        <v>474</v>
      </c>
      <c r="D101" s="638">
        <v>0</v>
      </c>
      <c r="I101" s="638">
        <v>0</v>
      </c>
      <c r="L101" s="638">
        <v>712.07</v>
      </c>
      <c r="N101" s="611" t="str">
        <f>IF(A101&lt;&gt;"",IF(COUNTIF('Struktur Vorjahr'!D$2:D$65645,A101)=1,"ok",IF(COUNTIF('Struktur Vorjahr'!D$2:D$65645,A101)&gt;1,"Konto " &amp; COUNTIF('Struktur Vorjahr'!D$2:D$65645,A101) &amp; "x zugeordnet","Konto noch nicht zugeordnet")),"")</f>
        <v>ok</v>
      </c>
    </row>
    <row r="102" spans="1:14" x14ac:dyDescent="0.2">
      <c r="A102" s="1">
        <v>8405</v>
      </c>
      <c r="B102" s="1" t="s">
        <v>475</v>
      </c>
      <c r="D102" s="638">
        <v>0</v>
      </c>
      <c r="J102" s="638">
        <v>7523.1</v>
      </c>
      <c r="L102" s="638">
        <v>42842.45</v>
      </c>
      <c r="N102" s="611" t="str">
        <f>IF(A102&lt;&gt;"",IF(COUNTIF('Struktur Vorjahr'!D$2:D$65645,A102)=1,"ok",IF(COUNTIF('Struktur Vorjahr'!D$2:D$65645,A102)&gt;1,"Konto " &amp; COUNTIF('Struktur Vorjahr'!D$2:D$65645,A102) &amp; "x zugeordnet","Konto noch nicht zugeordnet")),"")</f>
        <v>ok</v>
      </c>
    </row>
    <row r="103" spans="1:14" x14ac:dyDescent="0.2">
      <c r="A103" s="1">
        <v>8410</v>
      </c>
      <c r="B103" s="1" t="s">
        <v>476</v>
      </c>
      <c r="D103" s="638">
        <v>0</v>
      </c>
      <c r="J103" s="638">
        <v>14681.5</v>
      </c>
      <c r="L103" s="638">
        <v>65568.929999999993</v>
      </c>
      <c r="N103" s="611" t="str">
        <f>IF(A103&lt;&gt;"",IF(COUNTIF('Struktur Vorjahr'!D$2:D$65645,A103)=1,"ok",IF(COUNTIF('Struktur Vorjahr'!D$2:D$65645,A103)&gt;1,"Konto " &amp; COUNTIF('Struktur Vorjahr'!D$2:D$65645,A103) &amp; "x zugeordnet","Konto noch nicht zugeordnet")),"")</f>
        <v>ok</v>
      </c>
    </row>
    <row r="104" spans="1:14" x14ac:dyDescent="0.2">
      <c r="A104" s="1">
        <v>8519</v>
      </c>
      <c r="B104" s="1" t="s">
        <v>477</v>
      </c>
      <c r="D104" s="638">
        <v>0</v>
      </c>
      <c r="I104" s="638">
        <v>0</v>
      </c>
      <c r="L104" s="638">
        <v>99.2</v>
      </c>
      <c r="N104" s="611" t="str">
        <f>IF(A104&lt;&gt;"",IF(COUNTIF('Struktur Vorjahr'!D$2:D$65645,A104)=1,"ok",IF(COUNTIF('Struktur Vorjahr'!D$2:D$65645,A104)&gt;1,"Konto " &amp; COUNTIF('Struktur Vorjahr'!D$2:D$65645,A104) &amp; "x zugeordnet","Konto noch nicht zugeordnet")),"")</f>
        <v>ok</v>
      </c>
    </row>
    <row r="105" spans="1:14" x14ac:dyDescent="0.2">
      <c r="A105" s="1">
        <v>9000</v>
      </c>
      <c r="B105" s="1" t="s">
        <v>478</v>
      </c>
      <c r="E105" s="638">
        <v>63512.45</v>
      </c>
      <c r="I105" s="638">
        <v>0</v>
      </c>
      <c r="L105" s="638">
        <v>63512.45</v>
      </c>
      <c r="N105" s="611" t="str">
        <f>IF(A105&lt;&gt;"",IF(COUNTIF('Struktur Vorjahr'!D$2:D$65645,A105)=1,"ok",IF(COUNTIF('Struktur Vorjahr'!D$2:D$65645,A105)&gt;1,"Konto " &amp; COUNTIF('Struktur Vorjahr'!D$2:D$65645,A105) &amp; "x zugeordnet","Konto noch nicht zugeordnet")),"")</f>
        <v>Konto noch nicht zugeordnet</v>
      </c>
    </row>
    <row r="106" spans="1:14" x14ac:dyDescent="0.2">
      <c r="A106" s="1">
        <v>9008</v>
      </c>
      <c r="B106" s="1" t="s">
        <v>479</v>
      </c>
      <c r="E106" s="638">
        <v>77749.3</v>
      </c>
      <c r="I106" s="638">
        <v>0</v>
      </c>
      <c r="L106" s="638">
        <v>77749.3</v>
      </c>
      <c r="N106" s="611" t="str">
        <f>IF(A106&lt;&gt;"",IF(COUNTIF('Struktur Vorjahr'!D$2:D$65645,A106)=1,"ok",IF(COUNTIF('Struktur Vorjahr'!D$2:D$65645,A106)&gt;1,"Konto " &amp; COUNTIF('Struktur Vorjahr'!D$2:D$65645,A106) &amp; "x zugeordnet","Konto noch nicht zugeordnet")),"")</f>
        <v>Konto noch nicht zugeordnet</v>
      </c>
    </row>
    <row r="107" spans="1:14" x14ac:dyDescent="0.2">
      <c r="A107" s="1">
        <v>9009</v>
      </c>
      <c r="B107" s="1" t="s">
        <v>480</v>
      </c>
      <c r="D107" s="638">
        <v>1395.25</v>
      </c>
      <c r="I107" s="638">
        <v>0</v>
      </c>
      <c r="K107" s="638">
        <v>1395.25</v>
      </c>
      <c r="N107" s="611" t="str">
        <f>IF(A107&lt;&gt;"",IF(COUNTIF('Struktur Vorjahr'!D$2:D$65645,A107)=1,"ok",IF(COUNTIF('Struktur Vorjahr'!D$2:D$65645,A107)&gt;1,"Konto " &amp; COUNTIF('Struktur Vorjahr'!D$2:D$65645,A107) &amp; "x zugeordnet","Konto noch nicht zugeordnet")),"")</f>
        <v>Konto noch nicht zugeordnet</v>
      </c>
    </row>
  </sheetData>
  <mergeCells count="2">
    <mergeCell ref="D1:F1"/>
    <mergeCell ref="G1:J1"/>
  </mergeCells>
  <conditionalFormatting sqref="N2:N65234">
    <cfRule type="cellIs" dxfId="3138" priority="2" stopIfTrue="1" operator="equal">
      <formula>"ok"</formula>
    </cfRule>
    <cfRule type="cellIs" dxfId="3137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2ED19949-250A-412A-B76A-2782930F4C47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9">
    <tabColor rgb="FFFFC000"/>
  </sheetPr>
  <dimension ref="A1:N3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DATE(Grunddaten!B5,Grunddaten!B6-1+11,1)</f>
        <v>43770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</sheetData>
  <mergeCells count="2">
    <mergeCell ref="D1:F1"/>
    <mergeCell ref="G1:J1"/>
  </mergeCells>
  <conditionalFormatting sqref="N2:N65234">
    <cfRule type="cellIs" dxfId="3135" priority="2" stopIfTrue="1" operator="equal">
      <formula>"ok"</formula>
    </cfRule>
    <cfRule type="cellIs" dxfId="3134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48CE2466-7A39-4743-ACD0-21D2DA5791ED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0">
    <tabColor rgb="FFFFC000"/>
  </sheetPr>
  <dimension ref="A1:N3"/>
  <sheetViews>
    <sheetView showGridLines="0" workbookViewId="0">
      <selection activeCell="A4" sqref="A4"/>
    </sheetView>
  </sheetViews>
  <sheetFormatPr baseColWidth="10" defaultColWidth="9.28515625" defaultRowHeight="12.75" x14ac:dyDescent="0.2"/>
  <cols>
    <col min="1" max="1" width="9.140625" style="1" customWidth="1"/>
    <col min="2" max="2" width="37.28515625" style="1" bestFit="1" customWidth="1"/>
    <col min="3" max="3" width="3" style="638" customWidth="1"/>
    <col min="4" max="4" width="13.85546875" style="638" bestFit="1" customWidth="1"/>
    <col min="5" max="5" width="17.28515625" style="638" bestFit="1" customWidth="1"/>
    <col min="6" max="6" width="3.28515625" style="638" customWidth="1"/>
    <col min="7" max="8" width="13.28515625" style="638" bestFit="1" customWidth="1"/>
    <col min="9" max="9" width="17.42578125" style="638" bestFit="1" customWidth="1"/>
    <col min="10" max="10" width="20.140625" style="638" bestFit="1" customWidth="1"/>
    <col min="11" max="11" width="15.42578125" style="638" bestFit="1" customWidth="1"/>
    <col min="12" max="12" width="18.28515625" style="638" bestFit="1" customWidth="1"/>
    <col min="13" max="13" width="9.28515625" style="1" customWidth="1"/>
    <col min="14" max="14" width="25" style="611" bestFit="1" customWidth="1"/>
    <col min="15" max="253" width="9.28515625" style="1" customWidth="1"/>
    <col min="254" max="254" width="6" style="1" bestFit="1" customWidth="1"/>
    <col min="255" max="255" width="38.42578125" style="1" bestFit="1" customWidth="1"/>
    <col min="256" max="256" width="10.7109375" style="1" bestFit="1" customWidth="1"/>
    <col min="257" max="258" width="2.28515625" style="1" bestFit="1" customWidth="1"/>
    <col min="259" max="259" width="11.7109375" style="1" bestFit="1" customWidth="1"/>
    <col min="260" max="261" width="2.28515625" style="1" bestFit="1" customWidth="1"/>
    <col min="262" max="262" width="14.28515625" style="1" bestFit="1" customWidth="1"/>
    <col min="263" max="263" width="16.5703125" style="1" bestFit="1" customWidth="1"/>
    <col min="264" max="264" width="13.42578125" style="1" bestFit="1" customWidth="1"/>
    <col min="265" max="265" width="15.5703125" style="1" bestFit="1" customWidth="1"/>
    <col min="266" max="266" width="9.28515625" style="1" customWidth="1"/>
    <col min="267" max="267" width="25.28515625" style="1" bestFit="1" customWidth="1"/>
    <col min="268" max="509" width="9.28515625" style="1" customWidth="1"/>
    <col min="510" max="510" width="6" style="1" bestFit="1" customWidth="1"/>
    <col min="511" max="511" width="38.42578125" style="1" bestFit="1" customWidth="1"/>
    <col min="512" max="512" width="10.7109375" style="1" bestFit="1" customWidth="1"/>
    <col min="513" max="514" width="2.28515625" style="1" bestFit="1" customWidth="1"/>
    <col min="515" max="515" width="11.7109375" style="1" bestFit="1" customWidth="1"/>
    <col min="516" max="517" width="2.28515625" style="1" bestFit="1" customWidth="1"/>
    <col min="518" max="518" width="14.28515625" style="1" bestFit="1" customWidth="1"/>
    <col min="519" max="519" width="16.5703125" style="1" bestFit="1" customWidth="1"/>
    <col min="520" max="520" width="13.42578125" style="1" bestFit="1" customWidth="1"/>
    <col min="521" max="521" width="15.5703125" style="1" bestFit="1" customWidth="1"/>
    <col min="522" max="522" width="9.28515625" style="1" customWidth="1"/>
    <col min="523" max="523" width="25.28515625" style="1" bestFit="1" customWidth="1"/>
    <col min="524" max="765" width="9.28515625" style="1" customWidth="1"/>
    <col min="766" max="766" width="6" style="1" bestFit="1" customWidth="1"/>
    <col min="767" max="767" width="38.42578125" style="1" bestFit="1" customWidth="1"/>
    <col min="768" max="768" width="10.7109375" style="1" bestFit="1" customWidth="1"/>
    <col min="769" max="770" width="2.28515625" style="1" bestFit="1" customWidth="1"/>
    <col min="771" max="771" width="11.7109375" style="1" bestFit="1" customWidth="1"/>
    <col min="772" max="773" width="2.28515625" style="1" bestFit="1" customWidth="1"/>
    <col min="774" max="774" width="14.28515625" style="1" bestFit="1" customWidth="1"/>
    <col min="775" max="775" width="16.5703125" style="1" bestFit="1" customWidth="1"/>
    <col min="776" max="776" width="13.42578125" style="1" bestFit="1" customWidth="1"/>
    <col min="777" max="777" width="15.5703125" style="1" bestFit="1" customWidth="1"/>
    <col min="778" max="778" width="9.28515625" style="1" customWidth="1"/>
    <col min="779" max="779" width="25.28515625" style="1" bestFit="1" customWidth="1"/>
    <col min="780" max="1021" width="9.28515625" style="1" customWidth="1"/>
    <col min="1022" max="1022" width="6" style="1" bestFit="1" customWidth="1"/>
    <col min="1023" max="1023" width="38.42578125" style="1" bestFit="1" customWidth="1"/>
    <col min="1024" max="1024" width="10.7109375" style="1" bestFit="1" customWidth="1"/>
    <col min="1025" max="1026" width="2.28515625" style="1" bestFit="1" customWidth="1"/>
    <col min="1027" max="1027" width="11.7109375" style="1" bestFit="1" customWidth="1"/>
    <col min="1028" max="1029" width="2.28515625" style="1" bestFit="1" customWidth="1"/>
    <col min="1030" max="1030" width="14.28515625" style="1" bestFit="1" customWidth="1"/>
    <col min="1031" max="1031" width="16.5703125" style="1" bestFit="1" customWidth="1"/>
    <col min="1032" max="1032" width="13.42578125" style="1" bestFit="1" customWidth="1"/>
    <col min="1033" max="1033" width="15.5703125" style="1" bestFit="1" customWidth="1"/>
    <col min="1034" max="1034" width="9.28515625" style="1" customWidth="1"/>
    <col min="1035" max="1035" width="25.28515625" style="1" bestFit="1" customWidth="1"/>
    <col min="1036" max="1277" width="9.28515625" style="1" customWidth="1"/>
    <col min="1278" max="1278" width="6" style="1" bestFit="1" customWidth="1"/>
    <col min="1279" max="1279" width="38.42578125" style="1" bestFit="1" customWidth="1"/>
    <col min="1280" max="1280" width="10.7109375" style="1" bestFit="1" customWidth="1"/>
    <col min="1281" max="1282" width="2.28515625" style="1" bestFit="1" customWidth="1"/>
    <col min="1283" max="1283" width="11.7109375" style="1" bestFit="1" customWidth="1"/>
    <col min="1284" max="1285" width="2.28515625" style="1" bestFit="1" customWidth="1"/>
    <col min="1286" max="1286" width="14.28515625" style="1" bestFit="1" customWidth="1"/>
    <col min="1287" max="1287" width="16.5703125" style="1" bestFit="1" customWidth="1"/>
    <col min="1288" max="1288" width="13.42578125" style="1" bestFit="1" customWidth="1"/>
    <col min="1289" max="1289" width="15.5703125" style="1" bestFit="1" customWidth="1"/>
    <col min="1290" max="1290" width="9.28515625" style="1" customWidth="1"/>
    <col min="1291" max="1291" width="25.28515625" style="1" bestFit="1" customWidth="1"/>
    <col min="1292" max="1533" width="9.28515625" style="1" customWidth="1"/>
    <col min="1534" max="1534" width="6" style="1" bestFit="1" customWidth="1"/>
    <col min="1535" max="1535" width="38.42578125" style="1" bestFit="1" customWidth="1"/>
    <col min="1536" max="1536" width="10.7109375" style="1" bestFit="1" customWidth="1"/>
    <col min="1537" max="1538" width="2.28515625" style="1" bestFit="1" customWidth="1"/>
    <col min="1539" max="1539" width="11.7109375" style="1" bestFit="1" customWidth="1"/>
    <col min="1540" max="1541" width="2.28515625" style="1" bestFit="1" customWidth="1"/>
    <col min="1542" max="1542" width="14.28515625" style="1" bestFit="1" customWidth="1"/>
    <col min="1543" max="1543" width="16.5703125" style="1" bestFit="1" customWidth="1"/>
    <col min="1544" max="1544" width="13.42578125" style="1" bestFit="1" customWidth="1"/>
    <col min="1545" max="1545" width="15.5703125" style="1" bestFit="1" customWidth="1"/>
    <col min="1546" max="1546" width="9.28515625" style="1" customWidth="1"/>
    <col min="1547" max="1547" width="25.28515625" style="1" bestFit="1" customWidth="1"/>
    <col min="1548" max="1789" width="9.28515625" style="1" customWidth="1"/>
    <col min="1790" max="1790" width="6" style="1" bestFit="1" customWidth="1"/>
    <col min="1791" max="1791" width="38.42578125" style="1" bestFit="1" customWidth="1"/>
    <col min="1792" max="1792" width="10.7109375" style="1" bestFit="1" customWidth="1"/>
    <col min="1793" max="1794" width="2.28515625" style="1" bestFit="1" customWidth="1"/>
    <col min="1795" max="1795" width="11.7109375" style="1" bestFit="1" customWidth="1"/>
    <col min="1796" max="1797" width="2.28515625" style="1" bestFit="1" customWidth="1"/>
    <col min="1798" max="1798" width="14.28515625" style="1" bestFit="1" customWidth="1"/>
    <col min="1799" max="1799" width="16.5703125" style="1" bestFit="1" customWidth="1"/>
    <col min="1800" max="1800" width="13.42578125" style="1" bestFit="1" customWidth="1"/>
    <col min="1801" max="1801" width="15.5703125" style="1" bestFit="1" customWidth="1"/>
    <col min="1802" max="1802" width="9.28515625" style="1" customWidth="1"/>
    <col min="1803" max="1803" width="25.28515625" style="1" bestFit="1" customWidth="1"/>
    <col min="1804" max="2045" width="9.28515625" style="1" customWidth="1"/>
    <col min="2046" max="2046" width="6" style="1" bestFit="1" customWidth="1"/>
    <col min="2047" max="2047" width="38.42578125" style="1" bestFit="1" customWidth="1"/>
    <col min="2048" max="2048" width="10.7109375" style="1" bestFit="1" customWidth="1"/>
    <col min="2049" max="2050" width="2.28515625" style="1" bestFit="1" customWidth="1"/>
    <col min="2051" max="2051" width="11.7109375" style="1" bestFit="1" customWidth="1"/>
    <col min="2052" max="2053" width="2.28515625" style="1" bestFit="1" customWidth="1"/>
    <col min="2054" max="2054" width="14.28515625" style="1" bestFit="1" customWidth="1"/>
    <col min="2055" max="2055" width="16.5703125" style="1" bestFit="1" customWidth="1"/>
    <col min="2056" max="2056" width="13.42578125" style="1" bestFit="1" customWidth="1"/>
    <col min="2057" max="2057" width="15.5703125" style="1" bestFit="1" customWidth="1"/>
    <col min="2058" max="2058" width="9.28515625" style="1" customWidth="1"/>
    <col min="2059" max="2059" width="25.28515625" style="1" bestFit="1" customWidth="1"/>
    <col min="2060" max="2301" width="9.28515625" style="1" customWidth="1"/>
    <col min="2302" max="2302" width="6" style="1" bestFit="1" customWidth="1"/>
    <col min="2303" max="2303" width="38.42578125" style="1" bestFit="1" customWidth="1"/>
    <col min="2304" max="2304" width="10.7109375" style="1" bestFit="1" customWidth="1"/>
    <col min="2305" max="2306" width="2.28515625" style="1" bestFit="1" customWidth="1"/>
    <col min="2307" max="2307" width="11.7109375" style="1" bestFit="1" customWidth="1"/>
    <col min="2308" max="2309" width="2.28515625" style="1" bestFit="1" customWidth="1"/>
    <col min="2310" max="2310" width="14.28515625" style="1" bestFit="1" customWidth="1"/>
    <col min="2311" max="2311" width="16.5703125" style="1" bestFit="1" customWidth="1"/>
    <col min="2312" max="2312" width="13.42578125" style="1" bestFit="1" customWidth="1"/>
    <col min="2313" max="2313" width="15.5703125" style="1" bestFit="1" customWidth="1"/>
    <col min="2314" max="2314" width="9.28515625" style="1" customWidth="1"/>
    <col min="2315" max="2315" width="25.28515625" style="1" bestFit="1" customWidth="1"/>
    <col min="2316" max="2557" width="9.28515625" style="1" customWidth="1"/>
    <col min="2558" max="2558" width="6" style="1" bestFit="1" customWidth="1"/>
    <col min="2559" max="2559" width="38.42578125" style="1" bestFit="1" customWidth="1"/>
    <col min="2560" max="2560" width="10.7109375" style="1" bestFit="1" customWidth="1"/>
    <col min="2561" max="2562" width="2.28515625" style="1" bestFit="1" customWidth="1"/>
    <col min="2563" max="2563" width="11.7109375" style="1" bestFit="1" customWidth="1"/>
    <col min="2564" max="2565" width="2.28515625" style="1" bestFit="1" customWidth="1"/>
    <col min="2566" max="2566" width="14.28515625" style="1" bestFit="1" customWidth="1"/>
    <col min="2567" max="2567" width="16.5703125" style="1" bestFit="1" customWidth="1"/>
    <col min="2568" max="2568" width="13.42578125" style="1" bestFit="1" customWidth="1"/>
    <col min="2569" max="2569" width="15.5703125" style="1" bestFit="1" customWidth="1"/>
    <col min="2570" max="2570" width="9.28515625" style="1" customWidth="1"/>
    <col min="2571" max="2571" width="25.28515625" style="1" bestFit="1" customWidth="1"/>
    <col min="2572" max="2813" width="9.28515625" style="1" customWidth="1"/>
    <col min="2814" max="2814" width="6" style="1" bestFit="1" customWidth="1"/>
    <col min="2815" max="2815" width="38.42578125" style="1" bestFit="1" customWidth="1"/>
    <col min="2816" max="2816" width="10.7109375" style="1" bestFit="1" customWidth="1"/>
    <col min="2817" max="2818" width="2.28515625" style="1" bestFit="1" customWidth="1"/>
    <col min="2819" max="2819" width="11.7109375" style="1" bestFit="1" customWidth="1"/>
    <col min="2820" max="2821" width="2.28515625" style="1" bestFit="1" customWidth="1"/>
    <col min="2822" max="2822" width="14.28515625" style="1" bestFit="1" customWidth="1"/>
    <col min="2823" max="2823" width="16.5703125" style="1" bestFit="1" customWidth="1"/>
    <col min="2824" max="2824" width="13.42578125" style="1" bestFit="1" customWidth="1"/>
    <col min="2825" max="2825" width="15.5703125" style="1" bestFit="1" customWidth="1"/>
    <col min="2826" max="2826" width="9.28515625" style="1" customWidth="1"/>
    <col min="2827" max="2827" width="25.28515625" style="1" bestFit="1" customWidth="1"/>
    <col min="2828" max="3069" width="9.28515625" style="1" customWidth="1"/>
    <col min="3070" max="3070" width="6" style="1" bestFit="1" customWidth="1"/>
    <col min="3071" max="3071" width="38.42578125" style="1" bestFit="1" customWidth="1"/>
    <col min="3072" max="3072" width="10.7109375" style="1" bestFit="1" customWidth="1"/>
    <col min="3073" max="3074" width="2.28515625" style="1" bestFit="1" customWidth="1"/>
    <col min="3075" max="3075" width="11.7109375" style="1" bestFit="1" customWidth="1"/>
    <col min="3076" max="3077" width="2.28515625" style="1" bestFit="1" customWidth="1"/>
    <col min="3078" max="3078" width="14.28515625" style="1" bestFit="1" customWidth="1"/>
    <col min="3079" max="3079" width="16.5703125" style="1" bestFit="1" customWidth="1"/>
    <col min="3080" max="3080" width="13.42578125" style="1" bestFit="1" customWidth="1"/>
    <col min="3081" max="3081" width="15.5703125" style="1" bestFit="1" customWidth="1"/>
    <col min="3082" max="3082" width="9.28515625" style="1" customWidth="1"/>
    <col min="3083" max="3083" width="25.28515625" style="1" bestFit="1" customWidth="1"/>
    <col min="3084" max="3325" width="9.28515625" style="1" customWidth="1"/>
    <col min="3326" max="3326" width="6" style="1" bestFit="1" customWidth="1"/>
    <col min="3327" max="3327" width="38.42578125" style="1" bestFit="1" customWidth="1"/>
    <col min="3328" max="3328" width="10.7109375" style="1" bestFit="1" customWidth="1"/>
    <col min="3329" max="3330" width="2.28515625" style="1" bestFit="1" customWidth="1"/>
    <col min="3331" max="3331" width="11.7109375" style="1" bestFit="1" customWidth="1"/>
    <col min="3332" max="3333" width="2.28515625" style="1" bestFit="1" customWidth="1"/>
    <col min="3334" max="3334" width="14.28515625" style="1" bestFit="1" customWidth="1"/>
    <col min="3335" max="3335" width="16.5703125" style="1" bestFit="1" customWidth="1"/>
    <col min="3336" max="3336" width="13.42578125" style="1" bestFit="1" customWidth="1"/>
    <col min="3337" max="3337" width="15.5703125" style="1" bestFit="1" customWidth="1"/>
    <col min="3338" max="3338" width="9.28515625" style="1" customWidth="1"/>
    <col min="3339" max="3339" width="25.28515625" style="1" bestFit="1" customWidth="1"/>
    <col min="3340" max="3581" width="9.28515625" style="1" customWidth="1"/>
    <col min="3582" max="3582" width="6" style="1" bestFit="1" customWidth="1"/>
    <col min="3583" max="3583" width="38.42578125" style="1" bestFit="1" customWidth="1"/>
    <col min="3584" max="3584" width="10.7109375" style="1" bestFit="1" customWidth="1"/>
    <col min="3585" max="3586" width="2.28515625" style="1" bestFit="1" customWidth="1"/>
    <col min="3587" max="3587" width="11.7109375" style="1" bestFit="1" customWidth="1"/>
    <col min="3588" max="3589" width="2.28515625" style="1" bestFit="1" customWidth="1"/>
    <col min="3590" max="3590" width="14.28515625" style="1" bestFit="1" customWidth="1"/>
    <col min="3591" max="3591" width="16.5703125" style="1" bestFit="1" customWidth="1"/>
    <col min="3592" max="3592" width="13.42578125" style="1" bestFit="1" customWidth="1"/>
    <col min="3593" max="3593" width="15.5703125" style="1" bestFit="1" customWidth="1"/>
    <col min="3594" max="3594" width="9.28515625" style="1" customWidth="1"/>
    <col min="3595" max="3595" width="25.28515625" style="1" bestFit="1" customWidth="1"/>
    <col min="3596" max="3837" width="9.28515625" style="1" customWidth="1"/>
    <col min="3838" max="3838" width="6" style="1" bestFit="1" customWidth="1"/>
    <col min="3839" max="3839" width="38.42578125" style="1" bestFit="1" customWidth="1"/>
    <col min="3840" max="3840" width="10.7109375" style="1" bestFit="1" customWidth="1"/>
    <col min="3841" max="3842" width="2.28515625" style="1" bestFit="1" customWidth="1"/>
    <col min="3843" max="3843" width="11.7109375" style="1" bestFit="1" customWidth="1"/>
    <col min="3844" max="3845" width="2.28515625" style="1" bestFit="1" customWidth="1"/>
    <col min="3846" max="3846" width="14.28515625" style="1" bestFit="1" customWidth="1"/>
    <col min="3847" max="3847" width="16.5703125" style="1" bestFit="1" customWidth="1"/>
    <col min="3848" max="3848" width="13.42578125" style="1" bestFit="1" customWidth="1"/>
    <col min="3849" max="3849" width="15.5703125" style="1" bestFit="1" customWidth="1"/>
    <col min="3850" max="3850" width="9.28515625" style="1" customWidth="1"/>
    <col min="3851" max="3851" width="25.28515625" style="1" bestFit="1" customWidth="1"/>
    <col min="3852" max="4093" width="9.28515625" style="1" customWidth="1"/>
    <col min="4094" max="4094" width="6" style="1" bestFit="1" customWidth="1"/>
    <col min="4095" max="4095" width="38.42578125" style="1" bestFit="1" customWidth="1"/>
    <col min="4096" max="4096" width="10.7109375" style="1" bestFit="1" customWidth="1"/>
    <col min="4097" max="4098" width="2.28515625" style="1" bestFit="1" customWidth="1"/>
    <col min="4099" max="4099" width="11.7109375" style="1" bestFit="1" customWidth="1"/>
    <col min="4100" max="4101" width="2.28515625" style="1" bestFit="1" customWidth="1"/>
    <col min="4102" max="4102" width="14.28515625" style="1" bestFit="1" customWidth="1"/>
    <col min="4103" max="4103" width="16.5703125" style="1" bestFit="1" customWidth="1"/>
    <col min="4104" max="4104" width="13.42578125" style="1" bestFit="1" customWidth="1"/>
    <col min="4105" max="4105" width="15.5703125" style="1" bestFit="1" customWidth="1"/>
    <col min="4106" max="4106" width="9.28515625" style="1" customWidth="1"/>
    <col min="4107" max="4107" width="25.28515625" style="1" bestFit="1" customWidth="1"/>
    <col min="4108" max="4349" width="9.28515625" style="1" customWidth="1"/>
    <col min="4350" max="4350" width="6" style="1" bestFit="1" customWidth="1"/>
    <col min="4351" max="4351" width="38.42578125" style="1" bestFit="1" customWidth="1"/>
    <col min="4352" max="4352" width="10.7109375" style="1" bestFit="1" customWidth="1"/>
    <col min="4353" max="4354" width="2.28515625" style="1" bestFit="1" customWidth="1"/>
    <col min="4355" max="4355" width="11.7109375" style="1" bestFit="1" customWidth="1"/>
    <col min="4356" max="4357" width="2.28515625" style="1" bestFit="1" customWidth="1"/>
    <col min="4358" max="4358" width="14.28515625" style="1" bestFit="1" customWidth="1"/>
    <col min="4359" max="4359" width="16.5703125" style="1" bestFit="1" customWidth="1"/>
    <col min="4360" max="4360" width="13.42578125" style="1" bestFit="1" customWidth="1"/>
    <col min="4361" max="4361" width="15.5703125" style="1" bestFit="1" customWidth="1"/>
    <col min="4362" max="4362" width="9.28515625" style="1" customWidth="1"/>
    <col min="4363" max="4363" width="25.28515625" style="1" bestFit="1" customWidth="1"/>
    <col min="4364" max="4605" width="9.28515625" style="1" customWidth="1"/>
    <col min="4606" max="4606" width="6" style="1" bestFit="1" customWidth="1"/>
    <col min="4607" max="4607" width="38.42578125" style="1" bestFit="1" customWidth="1"/>
    <col min="4608" max="4608" width="10.7109375" style="1" bestFit="1" customWidth="1"/>
    <col min="4609" max="4610" width="2.28515625" style="1" bestFit="1" customWidth="1"/>
    <col min="4611" max="4611" width="11.7109375" style="1" bestFit="1" customWidth="1"/>
    <col min="4612" max="4613" width="2.28515625" style="1" bestFit="1" customWidth="1"/>
    <col min="4614" max="4614" width="14.28515625" style="1" bestFit="1" customWidth="1"/>
    <col min="4615" max="4615" width="16.5703125" style="1" bestFit="1" customWidth="1"/>
    <col min="4616" max="4616" width="13.42578125" style="1" bestFit="1" customWidth="1"/>
    <col min="4617" max="4617" width="15.5703125" style="1" bestFit="1" customWidth="1"/>
    <col min="4618" max="4618" width="9.28515625" style="1" customWidth="1"/>
    <col min="4619" max="4619" width="25.28515625" style="1" bestFit="1" customWidth="1"/>
    <col min="4620" max="4861" width="9.28515625" style="1" customWidth="1"/>
    <col min="4862" max="4862" width="6" style="1" bestFit="1" customWidth="1"/>
    <col min="4863" max="4863" width="38.42578125" style="1" bestFit="1" customWidth="1"/>
    <col min="4864" max="4864" width="10.7109375" style="1" bestFit="1" customWidth="1"/>
    <col min="4865" max="4866" width="2.28515625" style="1" bestFit="1" customWidth="1"/>
    <col min="4867" max="4867" width="11.7109375" style="1" bestFit="1" customWidth="1"/>
    <col min="4868" max="4869" width="2.28515625" style="1" bestFit="1" customWidth="1"/>
    <col min="4870" max="4870" width="14.28515625" style="1" bestFit="1" customWidth="1"/>
    <col min="4871" max="4871" width="16.5703125" style="1" bestFit="1" customWidth="1"/>
    <col min="4872" max="4872" width="13.42578125" style="1" bestFit="1" customWidth="1"/>
    <col min="4873" max="4873" width="15.5703125" style="1" bestFit="1" customWidth="1"/>
    <col min="4874" max="4874" width="9.28515625" style="1" customWidth="1"/>
    <col min="4875" max="4875" width="25.28515625" style="1" bestFit="1" customWidth="1"/>
    <col min="4876" max="5117" width="9.28515625" style="1" customWidth="1"/>
    <col min="5118" max="5118" width="6" style="1" bestFit="1" customWidth="1"/>
    <col min="5119" max="5119" width="38.42578125" style="1" bestFit="1" customWidth="1"/>
    <col min="5120" max="5120" width="10.7109375" style="1" bestFit="1" customWidth="1"/>
    <col min="5121" max="5122" width="2.28515625" style="1" bestFit="1" customWidth="1"/>
    <col min="5123" max="5123" width="11.7109375" style="1" bestFit="1" customWidth="1"/>
    <col min="5124" max="5125" width="2.28515625" style="1" bestFit="1" customWidth="1"/>
    <col min="5126" max="5126" width="14.28515625" style="1" bestFit="1" customWidth="1"/>
    <col min="5127" max="5127" width="16.5703125" style="1" bestFit="1" customWidth="1"/>
    <col min="5128" max="5128" width="13.42578125" style="1" bestFit="1" customWidth="1"/>
    <col min="5129" max="5129" width="15.5703125" style="1" bestFit="1" customWidth="1"/>
    <col min="5130" max="5130" width="9.28515625" style="1" customWidth="1"/>
    <col min="5131" max="5131" width="25.28515625" style="1" bestFit="1" customWidth="1"/>
    <col min="5132" max="5373" width="9.28515625" style="1" customWidth="1"/>
    <col min="5374" max="5374" width="6" style="1" bestFit="1" customWidth="1"/>
    <col min="5375" max="5375" width="38.42578125" style="1" bestFit="1" customWidth="1"/>
    <col min="5376" max="5376" width="10.7109375" style="1" bestFit="1" customWidth="1"/>
    <col min="5377" max="5378" width="2.28515625" style="1" bestFit="1" customWidth="1"/>
    <col min="5379" max="5379" width="11.7109375" style="1" bestFit="1" customWidth="1"/>
    <col min="5380" max="5381" width="2.28515625" style="1" bestFit="1" customWidth="1"/>
    <col min="5382" max="5382" width="14.28515625" style="1" bestFit="1" customWidth="1"/>
    <col min="5383" max="5383" width="16.5703125" style="1" bestFit="1" customWidth="1"/>
    <col min="5384" max="5384" width="13.42578125" style="1" bestFit="1" customWidth="1"/>
    <col min="5385" max="5385" width="15.5703125" style="1" bestFit="1" customWidth="1"/>
    <col min="5386" max="5386" width="9.28515625" style="1" customWidth="1"/>
    <col min="5387" max="5387" width="25.28515625" style="1" bestFit="1" customWidth="1"/>
    <col min="5388" max="5629" width="9.28515625" style="1" customWidth="1"/>
    <col min="5630" max="5630" width="6" style="1" bestFit="1" customWidth="1"/>
    <col min="5631" max="5631" width="38.42578125" style="1" bestFit="1" customWidth="1"/>
    <col min="5632" max="5632" width="10.7109375" style="1" bestFit="1" customWidth="1"/>
    <col min="5633" max="5634" width="2.28515625" style="1" bestFit="1" customWidth="1"/>
    <col min="5635" max="5635" width="11.7109375" style="1" bestFit="1" customWidth="1"/>
    <col min="5636" max="5637" width="2.28515625" style="1" bestFit="1" customWidth="1"/>
    <col min="5638" max="5638" width="14.28515625" style="1" bestFit="1" customWidth="1"/>
    <col min="5639" max="5639" width="16.5703125" style="1" bestFit="1" customWidth="1"/>
    <col min="5640" max="5640" width="13.42578125" style="1" bestFit="1" customWidth="1"/>
    <col min="5641" max="5641" width="15.5703125" style="1" bestFit="1" customWidth="1"/>
    <col min="5642" max="5642" width="9.28515625" style="1" customWidth="1"/>
    <col min="5643" max="5643" width="25.28515625" style="1" bestFit="1" customWidth="1"/>
    <col min="5644" max="5885" width="9.28515625" style="1" customWidth="1"/>
    <col min="5886" max="5886" width="6" style="1" bestFit="1" customWidth="1"/>
    <col min="5887" max="5887" width="38.42578125" style="1" bestFit="1" customWidth="1"/>
    <col min="5888" max="5888" width="10.7109375" style="1" bestFit="1" customWidth="1"/>
    <col min="5889" max="5890" width="2.28515625" style="1" bestFit="1" customWidth="1"/>
    <col min="5891" max="5891" width="11.7109375" style="1" bestFit="1" customWidth="1"/>
    <col min="5892" max="5893" width="2.28515625" style="1" bestFit="1" customWidth="1"/>
    <col min="5894" max="5894" width="14.28515625" style="1" bestFit="1" customWidth="1"/>
    <col min="5895" max="5895" width="16.5703125" style="1" bestFit="1" customWidth="1"/>
    <col min="5896" max="5896" width="13.42578125" style="1" bestFit="1" customWidth="1"/>
    <col min="5897" max="5897" width="15.5703125" style="1" bestFit="1" customWidth="1"/>
    <col min="5898" max="5898" width="9.28515625" style="1" customWidth="1"/>
    <col min="5899" max="5899" width="25.28515625" style="1" bestFit="1" customWidth="1"/>
    <col min="5900" max="6141" width="9.28515625" style="1" customWidth="1"/>
    <col min="6142" max="6142" width="6" style="1" bestFit="1" customWidth="1"/>
    <col min="6143" max="6143" width="38.42578125" style="1" bestFit="1" customWidth="1"/>
    <col min="6144" max="6144" width="10.7109375" style="1" bestFit="1" customWidth="1"/>
    <col min="6145" max="6146" width="2.28515625" style="1" bestFit="1" customWidth="1"/>
    <col min="6147" max="6147" width="11.7109375" style="1" bestFit="1" customWidth="1"/>
    <col min="6148" max="6149" width="2.28515625" style="1" bestFit="1" customWidth="1"/>
    <col min="6150" max="6150" width="14.28515625" style="1" bestFit="1" customWidth="1"/>
    <col min="6151" max="6151" width="16.5703125" style="1" bestFit="1" customWidth="1"/>
    <col min="6152" max="6152" width="13.42578125" style="1" bestFit="1" customWidth="1"/>
    <col min="6153" max="6153" width="15.5703125" style="1" bestFit="1" customWidth="1"/>
    <col min="6154" max="6154" width="9.28515625" style="1" customWidth="1"/>
    <col min="6155" max="6155" width="25.28515625" style="1" bestFit="1" customWidth="1"/>
    <col min="6156" max="6397" width="9.28515625" style="1" customWidth="1"/>
    <col min="6398" max="6398" width="6" style="1" bestFit="1" customWidth="1"/>
    <col min="6399" max="6399" width="38.42578125" style="1" bestFit="1" customWidth="1"/>
    <col min="6400" max="6400" width="10.7109375" style="1" bestFit="1" customWidth="1"/>
    <col min="6401" max="6402" width="2.28515625" style="1" bestFit="1" customWidth="1"/>
    <col min="6403" max="6403" width="11.7109375" style="1" bestFit="1" customWidth="1"/>
    <col min="6404" max="6405" width="2.28515625" style="1" bestFit="1" customWidth="1"/>
    <col min="6406" max="6406" width="14.28515625" style="1" bestFit="1" customWidth="1"/>
    <col min="6407" max="6407" width="16.5703125" style="1" bestFit="1" customWidth="1"/>
    <col min="6408" max="6408" width="13.42578125" style="1" bestFit="1" customWidth="1"/>
    <col min="6409" max="6409" width="15.5703125" style="1" bestFit="1" customWidth="1"/>
    <col min="6410" max="6410" width="9.28515625" style="1" customWidth="1"/>
    <col min="6411" max="6411" width="25.28515625" style="1" bestFit="1" customWidth="1"/>
    <col min="6412" max="6653" width="9.28515625" style="1" customWidth="1"/>
    <col min="6654" max="6654" width="6" style="1" bestFit="1" customWidth="1"/>
    <col min="6655" max="6655" width="38.42578125" style="1" bestFit="1" customWidth="1"/>
    <col min="6656" max="6656" width="10.7109375" style="1" bestFit="1" customWidth="1"/>
    <col min="6657" max="6658" width="2.28515625" style="1" bestFit="1" customWidth="1"/>
    <col min="6659" max="6659" width="11.7109375" style="1" bestFit="1" customWidth="1"/>
    <col min="6660" max="6661" width="2.28515625" style="1" bestFit="1" customWidth="1"/>
    <col min="6662" max="6662" width="14.28515625" style="1" bestFit="1" customWidth="1"/>
    <col min="6663" max="6663" width="16.5703125" style="1" bestFit="1" customWidth="1"/>
    <col min="6664" max="6664" width="13.42578125" style="1" bestFit="1" customWidth="1"/>
    <col min="6665" max="6665" width="15.5703125" style="1" bestFit="1" customWidth="1"/>
    <col min="6666" max="6666" width="9.28515625" style="1" customWidth="1"/>
    <col min="6667" max="6667" width="25.28515625" style="1" bestFit="1" customWidth="1"/>
    <col min="6668" max="6909" width="9.28515625" style="1" customWidth="1"/>
    <col min="6910" max="6910" width="6" style="1" bestFit="1" customWidth="1"/>
    <col min="6911" max="6911" width="38.42578125" style="1" bestFit="1" customWidth="1"/>
    <col min="6912" max="6912" width="10.7109375" style="1" bestFit="1" customWidth="1"/>
    <col min="6913" max="6914" width="2.28515625" style="1" bestFit="1" customWidth="1"/>
    <col min="6915" max="6915" width="11.7109375" style="1" bestFit="1" customWidth="1"/>
    <col min="6916" max="6917" width="2.28515625" style="1" bestFit="1" customWidth="1"/>
    <col min="6918" max="6918" width="14.28515625" style="1" bestFit="1" customWidth="1"/>
    <col min="6919" max="6919" width="16.5703125" style="1" bestFit="1" customWidth="1"/>
    <col min="6920" max="6920" width="13.42578125" style="1" bestFit="1" customWidth="1"/>
    <col min="6921" max="6921" width="15.5703125" style="1" bestFit="1" customWidth="1"/>
    <col min="6922" max="6922" width="9.28515625" style="1" customWidth="1"/>
    <col min="6923" max="6923" width="25.28515625" style="1" bestFit="1" customWidth="1"/>
    <col min="6924" max="7165" width="9.28515625" style="1" customWidth="1"/>
    <col min="7166" max="7166" width="6" style="1" bestFit="1" customWidth="1"/>
    <col min="7167" max="7167" width="38.42578125" style="1" bestFit="1" customWidth="1"/>
    <col min="7168" max="7168" width="10.7109375" style="1" bestFit="1" customWidth="1"/>
    <col min="7169" max="7170" width="2.28515625" style="1" bestFit="1" customWidth="1"/>
    <col min="7171" max="7171" width="11.7109375" style="1" bestFit="1" customWidth="1"/>
    <col min="7172" max="7173" width="2.28515625" style="1" bestFit="1" customWidth="1"/>
    <col min="7174" max="7174" width="14.28515625" style="1" bestFit="1" customWidth="1"/>
    <col min="7175" max="7175" width="16.5703125" style="1" bestFit="1" customWidth="1"/>
    <col min="7176" max="7176" width="13.42578125" style="1" bestFit="1" customWidth="1"/>
    <col min="7177" max="7177" width="15.5703125" style="1" bestFit="1" customWidth="1"/>
    <col min="7178" max="7178" width="9.28515625" style="1" customWidth="1"/>
    <col min="7179" max="7179" width="25.28515625" style="1" bestFit="1" customWidth="1"/>
    <col min="7180" max="7421" width="9.28515625" style="1" customWidth="1"/>
    <col min="7422" max="7422" width="6" style="1" bestFit="1" customWidth="1"/>
    <col min="7423" max="7423" width="38.42578125" style="1" bestFit="1" customWidth="1"/>
    <col min="7424" max="7424" width="10.7109375" style="1" bestFit="1" customWidth="1"/>
    <col min="7425" max="7426" width="2.28515625" style="1" bestFit="1" customWidth="1"/>
    <col min="7427" max="7427" width="11.7109375" style="1" bestFit="1" customWidth="1"/>
    <col min="7428" max="7429" width="2.28515625" style="1" bestFit="1" customWidth="1"/>
    <col min="7430" max="7430" width="14.28515625" style="1" bestFit="1" customWidth="1"/>
    <col min="7431" max="7431" width="16.5703125" style="1" bestFit="1" customWidth="1"/>
    <col min="7432" max="7432" width="13.42578125" style="1" bestFit="1" customWidth="1"/>
    <col min="7433" max="7433" width="15.5703125" style="1" bestFit="1" customWidth="1"/>
    <col min="7434" max="7434" width="9.28515625" style="1" customWidth="1"/>
    <col min="7435" max="7435" width="25.28515625" style="1" bestFit="1" customWidth="1"/>
    <col min="7436" max="7677" width="9.28515625" style="1" customWidth="1"/>
    <col min="7678" max="7678" width="6" style="1" bestFit="1" customWidth="1"/>
    <col min="7679" max="7679" width="38.42578125" style="1" bestFit="1" customWidth="1"/>
    <col min="7680" max="7680" width="10.7109375" style="1" bestFit="1" customWidth="1"/>
    <col min="7681" max="7682" width="2.28515625" style="1" bestFit="1" customWidth="1"/>
    <col min="7683" max="7683" width="11.7109375" style="1" bestFit="1" customWidth="1"/>
    <col min="7684" max="7685" width="2.28515625" style="1" bestFit="1" customWidth="1"/>
    <col min="7686" max="7686" width="14.28515625" style="1" bestFit="1" customWidth="1"/>
    <col min="7687" max="7687" width="16.5703125" style="1" bestFit="1" customWidth="1"/>
    <col min="7688" max="7688" width="13.42578125" style="1" bestFit="1" customWidth="1"/>
    <col min="7689" max="7689" width="15.5703125" style="1" bestFit="1" customWidth="1"/>
    <col min="7690" max="7690" width="9.28515625" style="1" customWidth="1"/>
    <col min="7691" max="7691" width="25.28515625" style="1" bestFit="1" customWidth="1"/>
    <col min="7692" max="7933" width="9.28515625" style="1" customWidth="1"/>
    <col min="7934" max="7934" width="6" style="1" bestFit="1" customWidth="1"/>
    <col min="7935" max="7935" width="38.42578125" style="1" bestFit="1" customWidth="1"/>
    <col min="7936" max="7936" width="10.7109375" style="1" bestFit="1" customWidth="1"/>
    <col min="7937" max="7938" width="2.28515625" style="1" bestFit="1" customWidth="1"/>
    <col min="7939" max="7939" width="11.7109375" style="1" bestFit="1" customWidth="1"/>
    <col min="7940" max="7941" width="2.28515625" style="1" bestFit="1" customWidth="1"/>
    <col min="7942" max="7942" width="14.28515625" style="1" bestFit="1" customWidth="1"/>
    <col min="7943" max="7943" width="16.5703125" style="1" bestFit="1" customWidth="1"/>
    <col min="7944" max="7944" width="13.42578125" style="1" bestFit="1" customWidth="1"/>
    <col min="7945" max="7945" width="15.5703125" style="1" bestFit="1" customWidth="1"/>
    <col min="7946" max="7946" width="9.28515625" style="1" customWidth="1"/>
    <col min="7947" max="7947" width="25.28515625" style="1" bestFit="1" customWidth="1"/>
    <col min="7948" max="8189" width="9.28515625" style="1" customWidth="1"/>
    <col min="8190" max="8190" width="6" style="1" bestFit="1" customWidth="1"/>
    <col min="8191" max="8191" width="38.42578125" style="1" bestFit="1" customWidth="1"/>
    <col min="8192" max="8192" width="10.7109375" style="1" bestFit="1" customWidth="1"/>
    <col min="8193" max="8194" width="2.28515625" style="1" bestFit="1" customWidth="1"/>
    <col min="8195" max="8195" width="11.7109375" style="1" bestFit="1" customWidth="1"/>
    <col min="8196" max="8197" width="2.28515625" style="1" bestFit="1" customWidth="1"/>
    <col min="8198" max="8198" width="14.28515625" style="1" bestFit="1" customWidth="1"/>
    <col min="8199" max="8199" width="16.5703125" style="1" bestFit="1" customWidth="1"/>
    <col min="8200" max="8200" width="13.42578125" style="1" bestFit="1" customWidth="1"/>
    <col min="8201" max="8201" width="15.5703125" style="1" bestFit="1" customWidth="1"/>
    <col min="8202" max="8202" width="9.28515625" style="1" customWidth="1"/>
    <col min="8203" max="8203" width="25.28515625" style="1" bestFit="1" customWidth="1"/>
    <col min="8204" max="8445" width="9.28515625" style="1" customWidth="1"/>
    <col min="8446" max="8446" width="6" style="1" bestFit="1" customWidth="1"/>
    <col min="8447" max="8447" width="38.42578125" style="1" bestFit="1" customWidth="1"/>
    <col min="8448" max="8448" width="10.7109375" style="1" bestFit="1" customWidth="1"/>
    <col min="8449" max="8450" width="2.28515625" style="1" bestFit="1" customWidth="1"/>
    <col min="8451" max="8451" width="11.7109375" style="1" bestFit="1" customWidth="1"/>
    <col min="8452" max="8453" width="2.28515625" style="1" bestFit="1" customWidth="1"/>
    <col min="8454" max="8454" width="14.28515625" style="1" bestFit="1" customWidth="1"/>
    <col min="8455" max="8455" width="16.5703125" style="1" bestFit="1" customWidth="1"/>
    <col min="8456" max="8456" width="13.42578125" style="1" bestFit="1" customWidth="1"/>
    <col min="8457" max="8457" width="15.5703125" style="1" bestFit="1" customWidth="1"/>
    <col min="8458" max="8458" width="9.28515625" style="1" customWidth="1"/>
    <col min="8459" max="8459" width="25.28515625" style="1" bestFit="1" customWidth="1"/>
    <col min="8460" max="8701" width="9.28515625" style="1" customWidth="1"/>
    <col min="8702" max="8702" width="6" style="1" bestFit="1" customWidth="1"/>
    <col min="8703" max="8703" width="38.42578125" style="1" bestFit="1" customWidth="1"/>
    <col min="8704" max="8704" width="10.7109375" style="1" bestFit="1" customWidth="1"/>
    <col min="8705" max="8706" width="2.28515625" style="1" bestFit="1" customWidth="1"/>
    <col min="8707" max="8707" width="11.7109375" style="1" bestFit="1" customWidth="1"/>
    <col min="8708" max="8709" width="2.28515625" style="1" bestFit="1" customWidth="1"/>
    <col min="8710" max="8710" width="14.28515625" style="1" bestFit="1" customWidth="1"/>
    <col min="8711" max="8711" width="16.5703125" style="1" bestFit="1" customWidth="1"/>
    <col min="8712" max="8712" width="13.42578125" style="1" bestFit="1" customWidth="1"/>
    <col min="8713" max="8713" width="15.5703125" style="1" bestFit="1" customWidth="1"/>
    <col min="8714" max="8714" width="9.28515625" style="1" customWidth="1"/>
    <col min="8715" max="8715" width="25.28515625" style="1" bestFit="1" customWidth="1"/>
    <col min="8716" max="8957" width="9.28515625" style="1" customWidth="1"/>
    <col min="8958" max="8958" width="6" style="1" bestFit="1" customWidth="1"/>
    <col min="8959" max="8959" width="38.42578125" style="1" bestFit="1" customWidth="1"/>
    <col min="8960" max="8960" width="10.7109375" style="1" bestFit="1" customWidth="1"/>
    <col min="8961" max="8962" width="2.28515625" style="1" bestFit="1" customWidth="1"/>
    <col min="8963" max="8963" width="11.7109375" style="1" bestFit="1" customWidth="1"/>
    <col min="8964" max="8965" width="2.28515625" style="1" bestFit="1" customWidth="1"/>
    <col min="8966" max="8966" width="14.28515625" style="1" bestFit="1" customWidth="1"/>
    <col min="8967" max="8967" width="16.5703125" style="1" bestFit="1" customWidth="1"/>
    <col min="8968" max="8968" width="13.42578125" style="1" bestFit="1" customWidth="1"/>
    <col min="8969" max="8969" width="15.5703125" style="1" bestFit="1" customWidth="1"/>
    <col min="8970" max="8970" width="9.28515625" style="1" customWidth="1"/>
    <col min="8971" max="8971" width="25.28515625" style="1" bestFit="1" customWidth="1"/>
    <col min="8972" max="9213" width="9.28515625" style="1" customWidth="1"/>
    <col min="9214" max="9214" width="6" style="1" bestFit="1" customWidth="1"/>
    <col min="9215" max="9215" width="38.42578125" style="1" bestFit="1" customWidth="1"/>
    <col min="9216" max="9216" width="10.7109375" style="1" bestFit="1" customWidth="1"/>
    <col min="9217" max="9218" width="2.28515625" style="1" bestFit="1" customWidth="1"/>
    <col min="9219" max="9219" width="11.7109375" style="1" bestFit="1" customWidth="1"/>
    <col min="9220" max="9221" width="2.28515625" style="1" bestFit="1" customWidth="1"/>
    <col min="9222" max="9222" width="14.28515625" style="1" bestFit="1" customWidth="1"/>
    <col min="9223" max="9223" width="16.5703125" style="1" bestFit="1" customWidth="1"/>
    <col min="9224" max="9224" width="13.42578125" style="1" bestFit="1" customWidth="1"/>
    <col min="9225" max="9225" width="15.5703125" style="1" bestFit="1" customWidth="1"/>
    <col min="9226" max="9226" width="9.28515625" style="1" customWidth="1"/>
    <col min="9227" max="9227" width="25.28515625" style="1" bestFit="1" customWidth="1"/>
    <col min="9228" max="9469" width="9.28515625" style="1" customWidth="1"/>
    <col min="9470" max="9470" width="6" style="1" bestFit="1" customWidth="1"/>
    <col min="9471" max="9471" width="38.42578125" style="1" bestFit="1" customWidth="1"/>
    <col min="9472" max="9472" width="10.7109375" style="1" bestFit="1" customWidth="1"/>
    <col min="9473" max="9474" width="2.28515625" style="1" bestFit="1" customWidth="1"/>
    <col min="9475" max="9475" width="11.7109375" style="1" bestFit="1" customWidth="1"/>
    <col min="9476" max="9477" width="2.28515625" style="1" bestFit="1" customWidth="1"/>
    <col min="9478" max="9478" width="14.28515625" style="1" bestFit="1" customWidth="1"/>
    <col min="9479" max="9479" width="16.5703125" style="1" bestFit="1" customWidth="1"/>
    <col min="9480" max="9480" width="13.42578125" style="1" bestFit="1" customWidth="1"/>
    <col min="9481" max="9481" width="15.5703125" style="1" bestFit="1" customWidth="1"/>
    <col min="9482" max="9482" width="9.28515625" style="1" customWidth="1"/>
    <col min="9483" max="9483" width="25.28515625" style="1" bestFit="1" customWidth="1"/>
    <col min="9484" max="9725" width="9.28515625" style="1" customWidth="1"/>
    <col min="9726" max="9726" width="6" style="1" bestFit="1" customWidth="1"/>
    <col min="9727" max="9727" width="38.42578125" style="1" bestFit="1" customWidth="1"/>
    <col min="9728" max="9728" width="10.7109375" style="1" bestFit="1" customWidth="1"/>
    <col min="9729" max="9730" width="2.28515625" style="1" bestFit="1" customWidth="1"/>
    <col min="9731" max="9731" width="11.7109375" style="1" bestFit="1" customWidth="1"/>
    <col min="9732" max="9733" width="2.28515625" style="1" bestFit="1" customWidth="1"/>
    <col min="9734" max="9734" width="14.28515625" style="1" bestFit="1" customWidth="1"/>
    <col min="9735" max="9735" width="16.5703125" style="1" bestFit="1" customWidth="1"/>
    <col min="9736" max="9736" width="13.42578125" style="1" bestFit="1" customWidth="1"/>
    <col min="9737" max="9737" width="15.5703125" style="1" bestFit="1" customWidth="1"/>
    <col min="9738" max="9738" width="9.28515625" style="1" customWidth="1"/>
    <col min="9739" max="9739" width="25.28515625" style="1" bestFit="1" customWidth="1"/>
    <col min="9740" max="9981" width="9.28515625" style="1" customWidth="1"/>
    <col min="9982" max="9982" width="6" style="1" bestFit="1" customWidth="1"/>
    <col min="9983" max="9983" width="38.42578125" style="1" bestFit="1" customWidth="1"/>
    <col min="9984" max="9984" width="10.7109375" style="1" bestFit="1" customWidth="1"/>
    <col min="9985" max="9986" width="2.28515625" style="1" bestFit="1" customWidth="1"/>
    <col min="9987" max="9987" width="11.7109375" style="1" bestFit="1" customWidth="1"/>
    <col min="9988" max="9989" width="2.28515625" style="1" bestFit="1" customWidth="1"/>
    <col min="9990" max="9990" width="14.28515625" style="1" bestFit="1" customWidth="1"/>
    <col min="9991" max="9991" width="16.5703125" style="1" bestFit="1" customWidth="1"/>
    <col min="9992" max="9992" width="13.42578125" style="1" bestFit="1" customWidth="1"/>
    <col min="9993" max="9993" width="15.5703125" style="1" bestFit="1" customWidth="1"/>
    <col min="9994" max="9994" width="9.28515625" style="1" customWidth="1"/>
    <col min="9995" max="9995" width="25.28515625" style="1" bestFit="1" customWidth="1"/>
    <col min="9996" max="10237" width="9.28515625" style="1" customWidth="1"/>
    <col min="10238" max="10238" width="6" style="1" bestFit="1" customWidth="1"/>
    <col min="10239" max="10239" width="38.42578125" style="1" bestFit="1" customWidth="1"/>
    <col min="10240" max="10240" width="10.7109375" style="1" bestFit="1" customWidth="1"/>
    <col min="10241" max="10242" width="2.28515625" style="1" bestFit="1" customWidth="1"/>
    <col min="10243" max="10243" width="11.7109375" style="1" bestFit="1" customWidth="1"/>
    <col min="10244" max="10245" width="2.28515625" style="1" bestFit="1" customWidth="1"/>
    <col min="10246" max="10246" width="14.28515625" style="1" bestFit="1" customWidth="1"/>
    <col min="10247" max="10247" width="16.5703125" style="1" bestFit="1" customWidth="1"/>
    <col min="10248" max="10248" width="13.42578125" style="1" bestFit="1" customWidth="1"/>
    <col min="10249" max="10249" width="15.5703125" style="1" bestFit="1" customWidth="1"/>
    <col min="10250" max="10250" width="9.28515625" style="1" customWidth="1"/>
    <col min="10251" max="10251" width="25.28515625" style="1" bestFit="1" customWidth="1"/>
    <col min="10252" max="10493" width="9.28515625" style="1" customWidth="1"/>
    <col min="10494" max="10494" width="6" style="1" bestFit="1" customWidth="1"/>
    <col min="10495" max="10495" width="38.42578125" style="1" bestFit="1" customWidth="1"/>
    <col min="10496" max="10496" width="10.7109375" style="1" bestFit="1" customWidth="1"/>
    <col min="10497" max="10498" width="2.28515625" style="1" bestFit="1" customWidth="1"/>
    <col min="10499" max="10499" width="11.7109375" style="1" bestFit="1" customWidth="1"/>
    <col min="10500" max="10501" width="2.28515625" style="1" bestFit="1" customWidth="1"/>
    <col min="10502" max="10502" width="14.28515625" style="1" bestFit="1" customWidth="1"/>
    <col min="10503" max="10503" width="16.5703125" style="1" bestFit="1" customWidth="1"/>
    <col min="10504" max="10504" width="13.42578125" style="1" bestFit="1" customWidth="1"/>
    <col min="10505" max="10505" width="15.5703125" style="1" bestFit="1" customWidth="1"/>
    <col min="10506" max="10506" width="9.28515625" style="1" customWidth="1"/>
    <col min="10507" max="10507" width="25.28515625" style="1" bestFit="1" customWidth="1"/>
    <col min="10508" max="10749" width="9.28515625" style="1" customWidth="1"/>
    <col min="10750" max="10750" width="6" style="1" bestFit="1" customWidth="1"/>
    <col min="10751" max="10751" width="38.42578125" style="1" bestFit="1" customWidth="1"/>
    <col min="10752" max="10752" width="10.7109375" style="1" bestFit="1" customWidth="1"/>
    <col min="10753" max="10754" width="2.28515625" style="1" bestFit="1" customWidth="1"/>
    <col min="10755" max="10755" width="11.7109375" style="1" bestFit="1" customWidth="1"/>
    <col min="10756" max="10757" width="2.28515625" style="1" bestFit="1" customWidth="1"/>
    <col min="10758" max="10758" width="14.28515625" style="1" bestFit="1" customWidth="1"/>
    <col min="10759" max="10759" width="16.5703125" style="1" bestFit="1" customWidth="1"/>
    <col min="10760" max="10760" width="13.42578125" style="1" bestFit="1" customWidth="1"/>
    <col min="10761" max="10761" width="15.5703125" style="1" bestFit="1" customWidth="1"/>
    <col min="10762" max="10762" width="9.28515625" style="1" customWidth="1"/>
    <col min="10763" max="10763" width="25.28515625" style="1" bestFit="1" customWidth="1"/>
    <col min="10764" max="11005" width="9.28515625" style="1" customWidth="1"/>
    <col min="11006" max="11006" width="6" style="1" bestFit="1" customWidth="1"/>
    <col min="11007" max="11007" width="38.42578125" style="1" bestFit="1" customWidth="1"/>
    <col min="11008" max="11008" width="10.7109375" style="1" bestFit="1" customWidth="1"/>
    <col min="11009" max="11010" width="2.28515625" style="1" bestFit="1" customWidth="1"/>
    <col min="11011" max="11011" width="11.7109375" style="1" bestFit="1" customWidth="1"/>
    <col min="11012" max="11013" width="2.28515625" style="1" bestFit="1" customWidth="1"/>
    <col min="11014" max="11014" width="14.28515625" style="1" bestFit="1" customWidth="1"/>
    <col min="11015" max="11015" width="16.5703125" style="1" bestFit="1" customWidth="1"/>
    <col min="11016" max="11016" width="13.42578125" style="1" bestFit="1" customWidth="1"/>
    <col min="11017" max="11017" width="15.5703125" style="1" bestFit="1" customWidth="1"/>
    <col min="11018" max="11018" width="9.28515625" style="1" customWidth="1"/>
    <col min="11019" max="11019" width="25.28515625" style="1" bestFit="1" customWidth="1"/>
    <col min="11020" max="11261" width="9.28515625" style="1" customWidth="1"/>
    <col min="11262" max="11262" width="6" style="1" bestFit="1" customWidth="1"/>
    <col min="11263" max="11263" width="38.42578125" style="1" bestFit="1" customWidth="1"/>
    <col min="11264" max="11264" width="10.7109375" style="1" bestFit="1" customWidth="1"/>
    <col min="11265" max="11266" width="2.28515625" style="1" bestFit="1" customWidth="1"/>
    <col min="11267" max="11267" width="11.7109375" style="1" bestFit="1" customWidth="1"/>
    <col min="11268" max="11269" width="2.28515625" style="1" bestFit="1" customWidth="1"/>
    <col min="11270" max="11270" width="14.28515625" style="1" bestFit="1" customWidth="1"/>
    <col min="11271" max="11271" width="16.5703125" style="1" bestFit="1" customWidth="1"/>
    <col min="11272" max="11272" width="13.42578125" style="1" bestFit="1" customWidth="1"/>
    <col min="11273" max="11273" width="15.5703125" style="1" bestFit="1" customWidth="1"/>
    <col min="11274" max="11274" width="9.28515625" style="1" customWidth="1"/>
    <col min="11275" max="11275" width="25.28515625" style="1" bestFit="1" customWidth="1"/>
    <col min="11276" max="11517" width="9.28515625" style="1" customWidth="1"/>
    <col min="11518" max="11518" width="6" style="1" bestFit="1" customWidth="1"/>
    <col min="11519" max="11519" width="38.42578125" style="1" bestFit="1" customWidth="1"/>
    <col min="11520" max="11520" width="10.7109375" style="1" bestFit="1" customWidth="1"/>
    <col min="11521" max="11522" width="2.28515625" style="1" bestFit="1" customWidth="1"/>
    <col min="11523" max="11523" width="11.7109375" style="1" bestFit="1" customWidth="1"/>
    <col min="11524" max="11525" width="2.28515625" style="1" bestFit="1" customWidth="1"/>
    <col min="11526" max="11526" width="14.28515625" style="1" bestFit="1" customWidth="1"/>
    <col min="11527" max="11527" width="16.5703125" style="1" bestFit="1" customWidth="1"/>
    <col min="11528" max="11528" width="13.42578125" style="1" bestFit="1" customWidth="1"/>
    <col min="11529" max="11529" width="15.5703125" style="1" bestFit="1" customWidth="1"/>
    <col min="11530" max="11530" width="9.28515625" style="1" customWidth="1"/>
    <col min="11531" max="11531" width="25.28515625" style="1" bestFit="1" customWidth="1"/>
    <col min="11532" max="11773" width="9.28515625" style="1" customWidth="1"/>
    <col min="11774" max="11774" width="6" style="1" bestFit="1" customWidth="1"/>
    <col min="11775" max="11775" width="38.42578125" style="1" bestFit="1" customWidth="1"/>
    <col min="11776" max="11776" width="10.7109375" style="1" bestFit="1" customWidth="1"/>
    <col min="11777" max="11778" width="2.28515625" style="1" bestFit="1" customWidth="1"/>
    <col min="11779" max="11779" width="11.7109375" style="1" bestFit="1" customWidth="1"/>
    <col min="11780" max="11781" width="2.28515625" style="1" bestFit="1" customWidth="1"/>
    <col min="11782" max="11782" width="14.28515625" style="1" bestFit="1" customWidth="1"/>
    <col min="11783" max="11783" width="16.5703125" style="1" bestFit="1" customWidth="1"/>
    <col min="11784" max="11784" width="13.42578125" style="1" bestFit="1" customWidth="1"/>
    <col min="11785" max="11785" width="15.5703125" style="1" bestFit="1" customWidth="1"/>
    <col min="11786" max="11786" width="9.28515625" style="1" customWidth="1"/>
    <col min="11787" max="11787" width="25.28515625" style="1" bestFit="1" customWidth="1"/>
    <col min="11788" max="12029" width="9.28515625" style="1" customWidth="1"/>
    <col min="12030" max="12030" width="6" style="1" bestFit="1" customWidth="1"/>
    <col min="12031" max="12031" width="38.42578125" style="1" bestFit="1" customWidth="1"/>
    <col min="12032" max="12032" width="10.7109375" style="1" bestFit="1" customWidth="1"/>
    <col min="12033" max="12034" width="2.28515625" style="1" bestFit="1" customWidth="1"/>
    <col min="12035" max="12035" width="11.7109375" style="1" bestFit="1" customWidth="1"/>
    <col min="12036" max="12037" width="2.28515625" style="1" bestFit="1" customWidth="1"/>
    <col min="12038" max="12038" width="14.28515625" style="1" bestFit="1" customWidth="1"/>
    <col min="12039" max="12039" width="16.5703125" style="1" bestFit="1" customWidth="1"/>
    <col min="12040" max="12040" width="13.42578125" style="1" bestFit="1" customWidth="1"/>
    <col min="12041" max="12041" width="15.5703125" style="1" bestFit="1" customWidth="1"/>
    <col min="12042" max="12042" width="9.28515625" style="1" customWidth="1"/>
    <col min="12043" max="12043" width="25.28515625" style="1" bestFit="1" customWidth="1"/>
    <col min="12044" max="12285" width="9.28515625" style="1" customWidth="1"/>
    <col min="12286" max="12286" width="6" style="1" bestFit="1" customWidth="1"/>
    <col min="12287" max="12287" width="38.42578125" style="1" bestFit="1" customWidth="1"/>
    <col min="12288" max="12288" width="10.7109375" style="1" bestFit="1" customWidth="1"/>
    <col min="12289" max="12290" width="2.28515625" style="1" bestFit="1" customWidth="1"/>
    <col min="12291" max="12291" width="11.7109375" style="1" bestFit="1" customWidth="1"/>
    <col min="12292" max="12293" width="2.28515625" style="1" bestFit="1" customWidth="1"/>
    <col min="12294" max="12294" width="14.28515625" style="1" bestFit="1" customWidth="1"/>
    <col min="12295" max="12295" width="16.5703125" style="1" bestFit="1" customWidth="1"/>
    <col min="12296" max="12296" width="13.42578125" style="1" bestFit="1" customWidth="1"/>
    <col min="12297" max="12297" width="15.5703125" style="1" bestFit="1" customWidth="1"/>
    <col min="12298" max="12298" width="9.28515625" style="1" customWidth="1"/>
    <col min="12299" max="12299" width="25.28515625" style="1" bestFit="1" customWidth="1"/>
    <col min="12300" max="12541" width="9.28515625" style="1" customWidth="1"/>
    <col min="12542" max="12542" width="6" style="1" bestFit="1" customWidth="1"/>
    <col min="12543" max="12543" width="38.42578125" style="1" bestFit="1" customWidth="1"/>
    <col min="12544" max="12544" width="10.7109375" style="1" bestFit="1" customWidth="1"/>
    <col min="12545" max="12546" width="2.28515625" style="1" bestFit="1" customWidth="1"/>
    <col min="12547" max="12547" width="11.7109375" style="1" bestFit="1" customWidth="1"/>
    <col min="12548" max="12549" width="2.28515625" style="1" bestFit="1" customWidth="1"/>
    <col min="12550" max="12550" width="14.28515625" style="1" bestFit="1" customWidth="1"/>
    <col min="12551" max="12551" width="16.5703125" style="1" bestFit="1" customWidth="1"/>
    <col min="12552" max="12552" width="13.42578125" style="1" bestFit="1" customWidth="1"/>
    <col min="12553" max="12553" width="15.5703125" style="1" bestFit="1" customWidth="1"/>
    <col min="12554" max="12554" width="9.28515625" style="1" customWidth="1"/>
    <col min="12555" max="12555" width="25.28515625" style="1" bestFit="1" customWidth="1"/>
    <col min="12556" max="12797" width="9.28515625" style="1" customWidth="1"/>
    <col min="12798" max="12798" width="6" style="1" bestFit="1" customWidth="1"/>
    <col min="12799" max="12799" width="38.42578125" style="1" bestFit="1" customWidth="1"/>
    <col min="12800" max="12800" width="10.7109375" style="1" bestFit="1" customWidth="1"/>
    <col min="12801" max="12802" width="2.28515625" style="1" bestFit="1" customWidth="1"/>
    <col min="12803" max="12803" width="11.7109375" style="1" bestFit="1" customWidth="1"/>
    <col min="12804" max="12805" width="2.28515625" style="1" bestFit="1" customWidth="1"/>
    <col min="12806" max="12806" width="14.28515625" style="1" bestFit="1" customWidth="1"/>
    <col min="12807" max="12807" width="16.5703125" style="1" bestFit="1" customWidth="1"/>
    <col min="12808" max="12808" width="13.42578125" style="1" bestFit="1" customWidth="1"/>
    <col min="12809" max="12809" width="15.5703125" style="1" bestFit="1" customWidth="1"/>
    <col min="12810" max="12810" width="9.28515625" style="1" customWidth="1"/>
    <col min="12811" max="12811" width="25.28515625" style="1" bestFit="1" customWidth="1"/>
    <col min="12812" max="13053" width="9.28515625" style="1" customWidth="1"/>
    <col min="13054" max="13054" width="6" style="1" bestFit="1" customWidth="1"/>
    <col min="13055" max="13055" width="38.42578125" style="1" bestFit="1" customWidth="1"/>
    <col min="13056" max="13056" width="10.7109375" style="1" bestFit="1" customWidth="1"/>
    <col min="13057" max="13058" width="2.28515625" style="1" bestFit="1" customWidth="1"/>
    <col min="13059" max="13059" width="11.7109375" style="1" bestFit="1" customWidth="1"/>
    <col min="13060" max="13061" width="2.28515625" style="1" bestFit="1" customWidth="1"/>
    <col min="13062" max="13062" width="14.28515625" style="1" bestFit="1" customWidth="1"/>
    <col min="13063" max="13063" width="16.5703125" style="1" bestFit="1" customWidth="1"/>
    <col min="13064" max="13064" width="13.42578125" style="1" bestFit="1" customWidth="1"/>
    <col min="13065" max="13065" width="15.5703125" style="1" bestFit="1" customWidth="1"/>
    <col min="13066" max="13066" width="9.28515625" style="1" customWidth="1"/>
    <col min="13067" max="13067" width="25.28515625" style="1" bestFit="1" customWidth="1"/>
    <col min="13068" max="13309" width="9.28515625" style="1" customWidth="1"/>
    <col min="13310" max="13310" width="6" style="1" bestFit="1" customWidth="1"/>
    <col min="13311" max="13311" width="38.42578125" style="1" bestFit="1" customWidth="1"/>
    <col min="13312" max="13312" width="10.7109375" style="1" bestFit="1" customWidth="1"/>
    <col min="13313" max="13314" width="2.28515625" style="1" bestFit="1" customWidth="1"/>
    <col min="13315" max="13315" width="11.7109375" style="1" bestFit="1" customWidth="1"/>
    <col min="13316" max="13317" width="2.28515625" style="1" bestFit="1" customWidth="1"/>
    <col min="13318" max="13318" width="14.28515625" style="1" bestFit="1" customWidth="1"/>
    <col min="13319" max="13319" width="16.5703125" style="1" bestFit="1" customWidth="1"/>
    <col min="13320" max="13320" width="13.42578125" style="1" bestFit="1" customWidth="1"/>
    <col min="13321" max="13321" width="15.5703125" style="1" bestFit="1" customWidth="1"/>
    <col min="13322" max="13322" width="9.28515625" style="1" customWidth="1"/>
    <col min="13323" max="13323" width="25.28515625" style="1" bestFit="1" customWidth="1"/>
    <col min="13324" max="13565" width="9.28515625" style="1" customWidth="1"/>
    <col min="13566" max="13566" width="6" style="1" bestFit="1" customWidth="1"/>
    <col min="13567" max="13567" width="38.42578125" style="1" bestFit="1" customWidth="1"/>
    <col min="13568" max="13568" width="10.7109375" style="1" bestFit="1" customWidth="1"/>
    <col min="13569" max="13570" width="2.28515625" style="1" bestFit="1" customWidth="1"/>
    <col min="13571" max="13571" width="11.7109375" style="1" bestFit="1" customWidth="1"/>
    <col min="13572" max="13573" width="2.28515625" style="1" bestFit="1" customWidth="1"/>
    <col min="13574" max="13574" width="14.28515625" style="1" bestFit="1" customWidth="1"/>
    <col min="13575" max="13575" width="16.5703125" style="1" bestFit="1" customWidth="1"/>
    <col min="13576" max="13576" width="13.42578125" style="1" bestFit="1" customWidth="1"/>
    <col min="13577" max="13577" width="15.5703125" style="1" bestFit="1" customWidth="1"/>
    <col min="13578" max="13578" width="9.28515625" style="1" customWidth="1"/>
    <col min="13579" max="13579" width="25.28515625" style="1" bestFit="1" customWidth="1"/>
    <col min="13580" max="13821" width="9.28515625" style="1" customWidth="1"/>
    <col min="13822" max="13822" width="6" style="1" bestFit="1" customWidth="1"/>
    <col min="13823" max="13823" width="38.42578125" style="1" bestFit="1" customWidth="1"/>
    <col min="13824" max="13824" width="10.7109375" style="1" bestFit="1" customWidth="1"/>
    <col min="13825" max="13826" width="2.28515625" style="1" bestFit="1" customWidth="1"/>
    <col min="13827" max="13827" width="11.7109375" style="1" bestFit="1" customWidth="1"/>
    <col min="13828" max="13829" width="2.28515625" style="1" bestFit="1" customWidth="1"/>
    <col min="13830" max="13830" width="14.28515625" style="1" bestFit="1" customWidth="1"/>
    <col min="13831" max="13831" width="16.5703125" style="1" bestFit="1" customWidth="1"/>
    <col min="13832" max="13832" width="13.42578125" style="1" bestFit="1" customWidth="1"/>
    <col min="13833" max="13833" width="15.5703125" style="1" bestFit="1" customWidth="1"/>
    <col min="13834" max="13834" width="9.28515625" style="1" customWidth="1"/>
    <col min="13835" max="13835" width="25.28515625" style="1" bestFit="1" customWidth="1"/>
    <col min="13836" max="14077" width="9.28515625" style="1" customWidth="1"/>
    <col min="14078" max="14078" width="6" style="1" bestFit="1" customWidth="1"/>
    <col min="14079" max="14079" width="38.42578125" style="1" bestFit="1" customWidth="1"/>
    <col min="14080" max="14080" width="10.7109375" style="1" bestFit="1" customWidth="1"/>
    <col min="14081" max="14082" width="2.28515625" style="1" bestFit="1" customWidth="1"/>
    <col min="14083" max="14083" width="11.7109375" style="1" bestFit="1" customWidth="1"/>
    <col min="14084" max="14085" width="2.28515625" style="1" bestFit="1" customWidth="1"/>
    <col min="14086" max="14086" width="14.28515625" style="1" bestFit="1" customWidth="1"/>
    <col min="14087" max="14087" width="16.5703125" style="1" bestFit="1" customWidth="1"/>
    <col min="14088" max="14088" width="13.42578125" style="1" bestFit="1" customWidth="1"/>
    <col min="14089" max="14089" width="15.5703125" style="1" bestFit="1" customWidth="1"/>
    <col min="14090" max="14090" width="9.28515625" style="1" customWidth="1"/>
    <col min="14091" max="14091" width="25.28515625" style="1" bestFit="1" customWidth="1"/>
    <col min="14092" max="14333" width="9.28515625" style="1" customWidth="1"/>
    <col min="14334" max="14334" width="6" style="1" bestFit="1" customWidth="1"/>
    <col min="14335" max="14335" width="38.42578125" style="1" bestFit="1" customWidth="1"/>
    <col min="14336" max="14336" width="10.7109375" style="1" bestFit="1" customWidth="1"/>
    <col min="14337" max="14338" width="2.28515625" style="1" bestFit="1" customWidth="1"/>
    <col min="14339" max="14339" width="11.7109375" style="1" bestFit="1" customWidth="1"/>
    <col min="14340" max="14341" width="2.28515625" style="1" bestFit="1" customWidth="1"/>
    <col min="14342" max="14342" width="14.28515625" style="1" bestFit="1" customWidth="1"/>
    <col min="14343" max="14343" width="16.5703125" style="1" bestFit="1" customWidth="1"/>
    <col min="14344" max="14344" width="13.42578125" style="1" bestFit="1" customWidth="1"/>
    <col min="14345" max="14345" width="15.5703125" style="1" bestFit="1" customWidth="1"/>
    <col min="14346" max="14346" width="9.28515625" style="1" customWidth="1"/>
    <col min="14347" max="14347" width="25.28515625" style="1" bestFit="1" customWidth="1"/>
    <col min="14348" max="14589" width="9.28515625" style="1" customWidth="1"/>
    <col min="14590" max="14590" width="6" style="1" bestFit="1" customWidth="1"/>
    <col min="14591" max="14591" width="38.42578125" style="1" bestFit="1" customWidth="1"/>
    <col min="14592" max="14592" width="10.7109375" style="1" bestFit="1" customWidth="1"/>
    <col min="14593" max="14594" width="2.28515625" style="1" bestFit="1" customWidth="1"/>
    <col min="14595" max="14595" width="11.7109375" style="1" bestFit="1" customWidth="1"/>
    <col min="14596" max="14597" width="2.28515625" style="1" bestFit="1" customWidth="1"/>
    <col min="14598" max="14598" width="14.28515625" style="1" bestFit="1" customWidth="1"/>
    <col min="14599" max="14599" width="16.5703125" style="1" bestFit="1" customWidth="1"/>
    <col min="14600" max="14600" width="13.42578125" style="1" bestFit="1" customWidth="1"/>
    <col min="14601" max="14601" width="15.5703125" style="1" bestFit="1" customWidth="1"/>
    <col min="14602" max="14602" width="9.28515625" style="1" customWidth="1"/>
    <col min="14603" max="14603" width="25.28515625" style="1" bestFit="1" customWidth="1"/>
    <col min="14604" max="14845" width="9.28515625" style="1" customWidth="1"/>
    <col min="14846" max="14846" width="6" style="1" bestFit="1" customWidth="1"/>
    <col min="14847" max="14847" width="38.42578125" style="1" bestFit="1" customWidth="1"/>
    <col min="14848" max="14848" width="10.7109375" style="1" bestFit="1" customWidth="1"/>
    <col min="14849" max="14850" width="2.28515625" style="1" bestFit="1" customWidth="1"/>
    <col min="14851" max="14851" width="11.7109375" style="1" bestFit="1" customWidth="1"/>
    <col min="14852" max="14853" width="2.28515625" style="1" bestFit="1" customWidth="1"/>
    <col min="14854" max="14854" width="14.28515625" style="1" bestFit="1" customWidth="1"/>
    <col min="14855" max="14855" width="16.5703125" style="1" bestFit="1" customWidth="1"/>
    <col min="14856" max="14856" width="13.42578125" style="1" bestFit="1" customWidth="1"/>
    <col min="14857" max="14857" width="15.5703125" style="1" bestFit="1" customWidth="1"/>
    <col min="14858" max="14858" width="9.28515625" style="1" customWidth="1"/>
    <col min="14859" max="14859" width="25.28515625" style="1" bestFit="1" customWidth="1"/>
    <col min="14860" max="15101" width="9.28515625" style="1" customWidth="1"/>
    <col min="15102" max="15102" width="6" style="1" bestFit="1" customWidth="1"/>
    <col min="15103" max="15103" width="38.42578125" style="1" bestFit="1" customWidth="1"/>
    <col min="15104" max="15104" width="10.7109375" style="1" bestFit="1" customWidth="1"/>
    <col min="15105" max="15106" width="2.28515625" style="1" bestFit="1" customWidth="1"/>
    <col min="15107" max="15107" width="11.7109375" style="1" bestFit="1" customWidth="1"/>
    <col min="15108" max="15109" width="2.28515625" style="1" bestFit="1" customWidth="1"/>
    <col min="15110" max="15110" width="14.28515625" style="1" bestFit="1" customWidth="1"/>
    <col min="15111" max="15111" width="16.5703125" style="1" bestFit="1" customWidth="1"/>
    <col min="15112" max="15112" width="13.42578125" style="1" bestFit="1" customWidth="1"/>
    <col min="15113" max="15113" width="15.5703125" style="1" bestFit="1" customWidth="1"/>
    <col min="15114" max="15114" width="9.28515625" style="1" customWidth="1"/>
    <col min="15115" max="15115" width="25.28515625" style="1" bestFit="1" customWidth="1"/>
    <col min="15116" max="15357" width="9.28515625" style="1" customWidth="1"/>
    <col min="15358" max="15358" width="6" style="1" bestFit="1" customWidth="1"/>
    <col min="15359" max="15359" width="38.42578125" style="1" bestFit="1" customWidth="1"/>
    <col min="15360" max="15360" width="10.7109375" style="1" bestFit="1" customWidth="1"/>
    <col min="15361" max="15362" width="2.28515625" style="1" bestFit="1" customWidth="1"/>
    <col min="15363" max="15363" width="11.7109375" style="1" bestFit="1" customWidth="1"/>
    <col min="15364" max="15365" width="2.28515625" style="1" bestFit="1" customWidth="1"/>
    <col min="15366" max="15366" width="14.28515625" style="1" bestFit="1" customWidth="1"/>
    <col min="15367" max="15367" width="16.5703125" style="1" bestFit="1" customWidth="1"/>
    <col min="15368" max="15368" width="13.42578125" style="1" bestFit="1" customWidth="1"/>
    <col min="15369" max="15369" width="15.5703125" style="1" bestFit="1" customWidth="1"/>
    <col min="15370" max="15370" width="9.28515625" style="1" customWidth="1"/>
    <col min="15371" max="15371" width="25.28515625" style="1" bestFit="1" customWidth="1"/>
    <col min="15372" max="15613" width="9.28515625" style="1" customWidth="1"/>
    <col min="15614" max="15614" width="6" style="1" bestFit="1" customWidth="1"/>
    <col min="15615" max="15615" width="38.42578125" style="1" bestFit="1" customWidth="1"/>
    <col min="15616" max="15616" width="10.7109375" style="1" bestFit="1" customWidth="1"/>
    <col min="15617" max="15618" width="2.28515625" style="1" bestFit="1" customWidth="1"/>
    <col min="15619" max="15619" width="11.7109375" style="1" bestFit="1" customWidth="1"/>
    <col min="15620" max="15621" width="2.28515625" style="1" bestFit="1" customWidth="1"/>
    <col min="15622" max="15622" width="14.28515625" style="1" bestFit="1" customWidth="1"/>
    <col min="15623" max="15623" width="16.5703125" style="1" bestFit="1" customWidth="1"/>
    <col min="15624" max="15624" width="13.42578125" style="1" bestFit="1" customWidth="1"/>
    <col min="15625" max="15625" width="15.5703125" style="1" bestFit="1" customWidth="1"/>
    <col min="15626" max="15626" width="9.28515625" style="1" customWidth="1"/>
    <col min="15627" max="15627" width="25.28515625" style="1" bestFit="1" customWidth="1"/>
    <col min="15628" max="15869" width="9.28515625" style="1" customWidth="1"/>
    <col min="15870" max="15870" width="6" style="1" bestFit="1" customWidth="1"/>
    <col min="15871" max="15871" width="38.42578125" style="1" bestFit="1" customWidth="1"/>
    <col min="15872" max="15872" width="10.7109375" style="1" bestFit="1" customWidth="1"/>
    <col min="15873" max="15874" width="2.28515625" style="1" bestFit="1" customWidth="1"/>
    <col min="15875" max="15875" width="11.7109375" style="1" bestFit="1" customWidth="1"/>
    <col min="15876" max="15877" width="2.28515625" style="1" bestFit="1" customWidth="1"/>
    <col min="15878" max="15878" width="14.28515625" style="1" bestFit="1" customWidth="1"/>
    <col min="15879" max="15879" width="16.5703125" style="1" bestFit="1" customWidth="1"/>
    <col min="15880" max="15880" width="13.42578125" style="1" bestFit="1" customWidth="1"/>
    <col min="15881" max="15881" width="15.5703125" style="1" bestFit="1" customWidth="1"/>
    <col min="15882" max="15882" width="9.28515625" style="1" customWidth="1"/>
    <col min="15883" max="15883" width="25.28515625" style="1" bestFit="1" customWidth="1"/>
    <col min="15884" max="16125" width="9.28515625" style="1" customWidth="1"/>
    <col min="16126" max="16126" width="6" style="1" bestFit="1" customWidth="1"/>
    <col min="16127" max="16127" width="38.42578125" style="1" bestFit="1" customWidth="1"/>
    <col min="16128" max="16128" width="10.7109375" style="1" bestFit="1" customWidth="1"/>
    <col min="16129" max="16130" width="2.28515625" style="1" bestFit="1" customWidth="1"/>
    <col min="16131" max="16131" width="11.7109375" style="1" bestFit="1" customWidth="1"/>
    <col min="16132" max="16133" width="2.28515625" style="1" bestFit="1" customWidth="1"/>
    <col min="16134" max="16134" width="14.28515625" style="1" bestFit="1" customWidth="1"/>
    <col min="16135" max="16135" width="16.5703125" style="1" bestFit="1" customWidth="1"/>
    <col min="16136" max="16136" width="13.42578125" style="1" bestFit="1" customWidth="1"/>
    <col min="16137" max="16137" width="15.5703125" style="1" bestFit="1" customWidth="1"/>
    <col min="16138" max="16138" width="9.28515625" style="1" customWidth="1"/>
    <col min="16139" max="16139" width="25.28515625" style="1" bestFit="1" customWidth="1"/>
    <col min="16140" max="16384" width="9.28515625" style="1" customWidth="1"/>
  </cols>
  <sheetData>
    <row r="1" spans="1:14" ht="22.5" x14ac:dyDescent="0.3">
      <c r="A1" s="2" t="s">
        <v>192</v>
      </c>
      <c r="D1" s="1393" t="str">
        <f>Grunddaten!E8</f>
        <v>2018</v>
      </c>
      <c r="E1" s="1393"/>
      <c r="F1" s="1393"/>
      <c r="G1" s="1394">
        <f>DATE(Grunddaten!B5,Grunddaten!B6-1+12,1)</f>
        <v>43800</v>
      </c>
      <c r="H1" s="1394"/>
      <c r="I1" s="1394"/>
      <c r="J1" s="1394"/>
      <c r="N1" s="1057"/>
    </row>
    <row r="3" spans="1:14" s="1023" customFormat="1" ht="15" x14ac:dyDescent="0.2">
      <c r="A3" s="1023" t="s">
        <v>193</v>
      </c>
      <c r="B3" s="1025" t="s">
        <v>194</v>
      </c>
      <c r="D3" s="1023" t="s">
        <v>195</v>
      </c>
      <c r="E3" s="1023" t="s">
        <v>196</v>
      </c>
      <c r="G3" s="1023" t="s">
        <v>197</v>
      </c>
      <c r="H3" s="1023" t="s">
        <v>198</v>
      </c>
      <c r="I3" s="1023" t="s">
        <v>199</v>
      </c>
      <c r="J3" s="1023" t="s">
        <v>200</v>
      </c>
      <c r="K3" s="1023" t="s">
        <v>201</v>
      </c>
      <c r="L3" s="1023" t="s">
        <v>202</v>
      </c>
      <c r="N3" s="1026" t="s">
        <v>203</v>
      </c>
    </row>
  </sheetData>
  <mergeCells count="2">
    <mergeCell ref="D1:F1"/>
    <mergeCell ref="G1:J1"/>
  </mergeCells>
  <conditionalFormatting sqref="N2:N65234">
    <cfRule type="cellIs" dxfId="3132" priority="2" stopIfTrue="1" operator="equal">
      <formula>"ok"</formula>
    </cfRule>
    <cfRule type="cellIs" dxfId="3131" priority="3" stopIfTrue="1" operator="equal">
      <formula>"Konto noch nicht zugeordnet"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ndsWith" priority="1" stopIfTrue="1" operator="endsWith" id="{F737251E-9617-4FF1-9B3E-6B029C3654D6}">
            <xm:f>RIGHT(N2,LEN("x zugeordnet"))="x zugeordnet"</xm:f>
            <xm:f>"x zugeordnet"</xm:f>
            <x14:dxf>
              <font>
                <color auto="1"/>
              </font>
              <numFmt numFmtId="0" formatCode="General"/>
              <fill>
                <patternFill>
                  <bgColor theme="9"/>
                </patternFill>
              </fill>
            </x14:dxf>
          </x14:cfRule>
          <xm:sqref>N2:N65234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1">
    <tabColor rgb="FFFFFF99"/>
    <pageSetUpPr fitToPage="1"/>
  </sheetPr>
  <dimension ref="A1:AR665"/>
  <sheetViews>
    <sheetView showGridLines="0" zoomScale="50" zoomScaleNormal="50" zoomScalePageLayoutView="55" workbookViewId="0"/>
  </sheetViews>
  <sheetFormatPr baseColWidth="10" defaultColWidth="11.42578125" defaultRowHeight="12.75" x14ac:dyDescent="0.2"/>
  <cols>
    <col min="1" max="9" width="11.42578125" style="490" customWidth="1"/>
    <col min="10" max="10" width="5.7109375" style="490" customWidth="1"/>
    <col min="11" max="17" width="7.140625" style="490" customWidth="1"/>
    <col min="18" max="19" width="11.42578125" style="490" customWidth="1"/>
    <col min="20" max="20" width="28.28515625" style="490" bestFit="1" customWidth="1"/>
    <col min="21" max="44" width="14.28515625" style="490" customWidth="1"/>
    <col min="45" max="45" width="11.42578125" style="490" customWidth="1"/>
    <col min="46" max="16384" width="11.42578125" style="490"/>
  </cols>
  <sheetData>
    <row r="1" spans="1:26" ht="15" x14ac:dyDescent="0.2">
      <c r="A1" s="487" t="str">
        <f>"Entwicklung der Gesamtleistung und der Deckungsbeiträge I &amp; II zum "&amp;Grunddaten!$E$7&amp;" "&amp;Grunddaten!$B$5</f>
        <v>Entwicklung der Gesamtleistung und der Deckungsbeiträge I &amp; II zum Oktober 2019</v>
      </c>
    </row>
    <row r="3" spans="1:26" x14ac:dyDescent="0.2">
      <c r="T3" s="524" t="s">
        <v>204</v>
      </c>
      <c r="U3" s="769" t="str">
        <f>"P"&amp;Grunddaten!$B$7</f>
        <v>P10</v>
      </c>
      <c r="V3" s="769" t="str">
        <f>"RP"&amp;Grunddaten!$B$7</f>
        <v>RP10</v>
      </c>
      <c r="W3" s="769" t="str">
        <f>"I"&amp;Grunddaten!$B$7</f>
        <v>I10</v>
      </c>
      <c r="X3" s="769" t="str">
        <f>"RI"&amp;Grunddaten!$B$7</f>
        <v>RI10</v>
      </c>
    </row>
    <row r="4" spans="1:26" x14ac:dyDescent="0.2">
      <c r="U4" s="1432" t="s">
        <v>205</v>
      </c>
      <c r="V4" s="1433"/>
      <c r="W4" s="1432" t="s">
        <v>206</v>
      </c>
      <c r="X4" s="1433"/>
      <c r="Y4" s="1432"/>
      <c r="Z4" s="1433"/>
    </row>
    <row r="5" spans="1:26" x14ac:dyDescent="0.2">
      <c r="U5" s="774" t="s">
        <v>207</v>
      </c>
      <c r="V5" s="774" t="s">
        <v>208</v>
      </c>
      <c r="W5" s="774" t="s">
        <v>209</v>
      </c>
      <c r="X5" s="774" t="s">
        <v>210</v>
      </c>
      <c r="Y5" s="774" t="s">
        <v>211</v>
      </c>
      <c r="Z5" s="774" t="s">
        <v>212</v>
      </c>
    </row>
    <row r="6" spans="1:26" x14ac:dyDescent="0.2">
      <c r="S6" s="770" t="s">
        <v>213</v>
      </c>
      <c r="T6" s="773" t="s">
        <v>214</v>
      </c>
      <c r="U6" s="776">
        <f>INDEX('Planzahlen Rentabilität'!$K$12:$FU$29,MATCH(Grafiken!$S6,'Planzahlen Rentabilität'!$A$12:$A$29,0),MATCH(Grafiken!U$3,'Planzahlen Rentabilität'!$K$9:$FU$9,0))</f>
        <v>103418.6</v>
      </c>
      <c r="V6" s="777">
        <f>INDEX('Planzahlen Rentabilität'!$K$12:$FU$29,MATCH(Grafiken!$S6,'Planzahlen Rentabilität'!$A$12:$A$29,0),MATCH(Grafiken!V$3,'Planzahlen Rentabilität'!$K$9:$FU$9,0))</f>
        <v>1</v>
      </c>
      <c r="W6" s="776">
        <f ca="1">INDEX('Planzahlen Rentabilität'!$K$12:$FU$29,MATCH(Grafiken!$S6,'Planzahlen Rentabilität'!$A$12:$A$29,0),MATCH(Grafiken!W$3,'Planzahlen Rentabilität'!$K$9:$FU$9,0))</f>
        <v>32720.12</v>
      </c>
      <c r="X6" s="777">
        <f>INDEX('Planzahlen Rentabilität'!$K$12:$FU$29,MATCH(Grafiken!$S6,'Planzahlen Rentabilität'!$A$12:$A$29,0),MATCH(Grafiken!X$3,'Planzahlen Rentabilität'!$K$9:$FU$9,0))</f>
        <v>1</v>
      </c>
      <c r="Y6" s="772"/>
      <c r="Z6" s="772"/>
    </row>
    <row r="7" spans="1:26" x14ac:dyDescent="0.2">
      <c r="S7" s="51"/>
      <c r="T7" s="771" t="s">
        <v>215</v>
      </c>
      <c r="U7" s="776">
        <f>U6-U8</f>
        <v>340</v>
      </c>
      <c r="V7" s="777">
        <f>U7/U6</f>
        <v>3.2876097723233536E-3</v>
      </c>
      <c r="W7" s="776">
        <f ca="1">W6-W8</f>
        <v>8011.7799999999988</v>
      </c>
      <c r="X7" s="777">
        <f ca="1">W7/W6</f>
        <v>0.24485790394411755</v>
      </c>
      <c r="Y7" s="776">
        <f>Y6-Y8</f>
        <v>0</v>
      </c>
      <c r="Z7" s="777" t="e">
        <f>Y7/Y6</f>
        <v>#DIV/0!</v>
      </c>
    </row>
    <row r="8" spans="1:26" x14ac:dyDescent="0.2">
      <c r="S8" s="770" t="s">
        <v>216</v>
      </c>
      <c r="T8" s="775" t="s">
        <v>217</v>
      </c>
      <c r="U8" s="781">
        <f>INDEX('Planzahlen Rentabilität'!$K$12:$FU$29,MATCH(Grafiken!$S8,'Planzahlen Rentabilität'!$A$12:$A$29,0),MATCH(Grafiken!U$3,'Planzahlen Rentabilität'!$K$9:$FU$9,0))</f>
        <v>103078.6</v>
      </c>
      <c r="V8" s="780">
        <f ca="1">INDEX('Planzahlen Rentabilität'!$K$12:$FU$29,MATCH(Grafiken!$S8,'Planzahlen Rentabilität'!$A$12:$A$29,0),MATCH(Grafiken!V$3,'Planzahlen Rentabilität'!$K$9:$FU$9,0))</f>
        <v>0.31542043694267757</v>
      </c>
      <c r="W8" s="781">
        <f ca="1">INDEX('Planzahlen Rentabilität'!$K$12:$FU$29,MATCH(Grafiken!$S8,'Planzahlen Rentabilität'!$A$12:$A$29,0),MATCH(Grafiken!W$3,'Planzahlen Rentabilität'!$K$9:$FU$9,0))</f>
        <v>24708.34</v>
      </c>
      <c r="X8" s="780">
        <f ca="1">INDEX('Planzahlen Rentabilität'!$K$12:$FU$29,MATCH(Grafiken!$S8,'Planzahlen Rentabilität'!$A$12:$A$29,0),MATCH(Grafiken!X$3,'Planzahlen Rentabilität'!$K$9:$FU$9,0))</f>
        <v>0.75514209605588245</v>
      </c>
      <c r="Y8" s="775"/>
      <c r="Z8" s="775"/>
    </row>
    <row r="9" spans="1:26" x14ac:dyDescent="0.2">
      <c r="S9" s="770"/>
      <c r="T9" s="771" t="s">
        <v>218</v>
      </c>
      <c r="U9" s="776">
        <f>U8-U10</f>
        <v>61672.881944444445</v>
      </c>
      <c r="V9" s="777">
        <f>U9/U6</f>
        <v>0.59634226284676495</v>
      </c>
      <c r="W9" s="776">
        <f ca="1">W8-W10</f>
        <v>15782.21</v>
      </c>
      <c r="X9" s="777">
        <f ca="1">W9/W6</f>
        <v>0.48233961244640911</v>
      </c>
      <c r="Y9" s="776">
        <f>Y8-Y10</f>
        <v>0</v>
      </c>
      <c r="Z9" s="777" t="e">
        <f>Y9/Y6</f>
        <v>#DIV/0!</v>
      </c>
    </row>
    <row r="10" spans="1:26" x14ac:dyDescent="0.2">
      <c r="S10" s="770" t="s">
        <v>219</v>
      </c>
      <c r="T10" s="775" t="s">
        <v>220</v>
      </c>
      <c r="U10" s="781">
        <f>INDEX('Planzahlen Rentabilität'!$K$12:$FU$29,MATCH(Grafiken!$S10,'Planzahlen Rentabilität'!$A$12:$A$29,0),MATCH(Grafiken!U$3,'Planzahlen Rentabilität'!$K$9:$FU$9,0))</f>
        <v>41405.718055555561</v>
      </c>
      <c r="V10" s="780">
        <f ca="1">INDEX('Planzahlen Rentabilität'!$K$12:$FU$29,MATCH(Grafiken!$S10,'Planzahlen Rentabilität'!$A$12:$A$29,0),MATCH(Grafiken!V$3,'Planzahlen Rentabilität'!$K$9:$FU$9,0))</f>
        <v>0.16281529628132654</v>
      </c>
      <c r="W10" s="781">
        <f ca="1">INDEX('Planzahlen Rentabilität'!$K$12:$FU$29,MATCH(Grafiken!$S10,'Planzahlen Rentabilität'!$A$12:$A$29,0),MATCH(Grafiken!W$3,'Planzahlen Rentabilität'!$K$9:$FU$9,0))</f>
        <v>8926.130000000001</v>
      </c>
      <c r="X10" s="780">
        <f ca="1">INDEX('Planzahlen Rentabilität'!$K$12:$FU$29,MATCH(Grafiken!$S10,'Planzahlen Rentabilität'!$A$12:$A$29,0),MATCH(Grafiken!X$3,'Planzahlen Rentabilität'!$K$9:$FU$9,0))</f>
        <v>0.27280248360947335</v>
      </c>
      <c r="Y10" s="775"/>
      <c r="Z10" s="775"/>
    </row>
    <row r="27" spans="19:26" x14ac:dyDescent="0.2">
      <c r="T27" s="524" t="s">
        <v>221</v>
      </c>
      <c r="U27" s="769" t="str">
        <f>"KP"&amp;Grunddaten!$B$7</f>
        <v>KP10</v>
      </c>
      <c r="V27" s="769" t="str">
        <f>IF(Grunddaten!$B$7=1,"RP"&amp;Grunddaten!$B$7,"KRP"&amp;Grunddaten!$B$7)</f>
        <v>KRP10</v>
      </c>
      <c r="W27" s="769" t="str">
        <f>"KI"&amp;Grunddaten!$B$7</f>
        <v>KI10</v>
      </c>
      <c r="X27" s="769" t="str">
        <f>IF(Grunddaten!$B$7=1,"RI"&amp;Grunddaten!$B$7,"KRI"&amp;Grunddaten!$B$7)</f>
        <v>KRI10</v>
      </c>
    </row>
    <row r="28" spans="19:26" x14ac:dyDescent="0.2">
      <c r="U28" s="1432" t="s">
        <v>205</v>
      </c>
      <c r="V28" s="1433"/>
      <c r="W28" s="1432" t="s">
        <v>206</v>
      </c>
      <c r="X28" s="1433"/>
      <c r="Y28" s="1432"/>
      <c r="Z28" s="1433"/>
    </row>
    <row r="29" spans="19:26" x14ac:dyDescent="0.2">
      <c r="U29" s="774" t="s">
        <v>207</v>
      </c>
      <c r="V29" s="774" t="s">
        <v>208</v>
      </c>
      <c r="W29" s="774" t="s">
        <v>209</v>
      </c>
      <c r="X29" s="774" t="s">
        <v>210</v>
      </c>
      <c r="Y29" s="774" t="s">
        <v>211</v>
      </c>
      <c r="Z29" s="774" t="s">
        <v>212</v>
      </c>
    </row>
    <row r="30" spans="19:26" x14ac:dyDescent="0.2">
      <c r="S30" s="770" t="s">
        <v>213</v>
      </c>
      <c r="T30" s="773" t="s">
        <v>214</v>
      </c>
      <c r="U30" s="776">
        <f>INDEX('Planzahlen Rentabilität'!$K$12:$FU$29,MATCH(Grafiken!$S30,'Planzahlen Rentabilität'!$A$12:$A$29,0),MATCH(Grafiken!U$27,'Planzahlen Rentabilität'!$K$9:$FU$9,0))</f>
        <v>848032.52</v>
      </c>
      <c r="V30" s="777">
        <f>INDEX('Planzahlen Rentabilität'!$K$12:$FU$29,MATCH(Grafiken!$S30,'Planzahlen Rentabilität'!$A$12:$A$29,0),MATCH(Grafiken!V$27,'Planzahlen Rentabilität'!$K$9:$FU$9,0))</f>
        <v>1</v>
      </c>
      <c r="W30" s="776">
        <f ca="1">INDEX('Planzahlen Rentabilität'!$K$12:$FU$29,MATCH(Grafiken!$S30,'Planzahlen Rentabilität'!$A$12:$A$29,0),MATCH(Grafiken!W$27,'Planzahlen Rentabilität'!$K$9:$FU$9,0))</f>
        <v>158672.84000000003</v>
      </c>
      <c r="X30" s="777">
        <f>INDEX('Planzahlen Rentabilität'!$K$12:$FU$29,MATCH(Grafiken!$S30,'Planzahlen Rentabilität'!$A$12:$A$29,0),MATCH(Grafiken!X$27,'Planzahlen Rentabilität'!$K$9:$FU$9,0))</f>
        <v>1</v>
      </c>
      <c r="Y30" s="772"/>
      <c r="Z30" s="772"/>
    </row>
    <row r="31" spans="19:26" x14ac:dyDescent="0.2">
      <c r="S31" s="51"/>
      <c r="T31" s="771" t="s">
        <v>215</v>
      </c>
      <c r="U31" s="776">
        <f>U30-U32</f>
        <v>2788</v>
      </c>
      <c r="V31" s="777">
        <f>U31/U30</f>
        <v>3.2876097723233536E-3</v>
      </c>
      <c r="W31" s="776">
        <f ca="1">W30-W32</f>
        <v>10942.840000000026</v>
      </c>
      <c r="X31" s="777">
        <f ca="1">W31/W30</f>
        <v>6.896479573946003E-2</v>
      </c>
      <c r="Y31" s="776">
        <f>Y30-Y32</f>
        <v>0</v>
      </c>
      <c r="Z31" s="777" t="e">
        <f>Y31/Y30</f>
        <v>#DIV/0!</v>
      </c>
    </row>
    <row r="32" spans="19:26" x14ac:dyDescent="0.2">
      <c r="S32" s="770" t="s">
        <v>216</v>
      </c>
      <c r="T32" s="775" t="s">
        <v>217</v>
      </c>
      <c r="U32" s="781">
        <f>INDEX('Planzahlen Rentabilität'!$K$12:$FU$29,MATCH(Grafiken!$S32,'Planzahlen Rentabilität'!$A$12:$A$29,0),MATCH(Grafiken!U$27,'Planzahlen Rentabilität'!$K$9:$FU$9,0))</f>
        <v>845244.52</v>
      </c>
      <c r="V32" s="780">
        <f ca="1">INDEX('Planzahlen Rentabilität'!$K$12:$FU$29,MATCH(Grafiken!$S32,'Planzahlen Rentabilität'!$A$12:$A$29,0),MATCH(Grafiken!V$27,'Planzahlen Rentabilität'!$K$9:$FU$9,0))</f>
        <v>0.17863583816337608</v>
      </c>
      <c r="W32" s="781">
        <f ca="1">INDEX('Planzahlen Rentabilität'!$K$12:$FU$29,MATCH(Grafiken!$S32,'Planzahlen Rentabilität'!$A$12:$A$29,0),MATCH(Grafiken!W$27,'Planzahlen Rentabilität'!$K$9:$FU$9,0))</f>
        <v>147730</v>
      </c>
      <c r="X32" s="780">
        <f ca="1">INDEX('Planzahlen Rentabilität'!$K$12:$FU$29,MATCH(Grafiken!$S32,'Planzahlen Rentabilität'!$A$12:$A$29,0),MATCH(Grafiken!X$27,'Planzahlen Rentabilität'!$K$9:$FU$9,0))</f>
        <v>0.93103520426053998</v>
      </c>
      <c r="Y32" s="775"/>
      <c r="Z32" s="775"/>
    </row>
    <row r="33" spans="19:26" x14ac:dyDescent="0.2">
      <c r="S33" s="770"/>
      <c r="T33" s="771" t="s">
        <v>218</v>
      </c>
      <c r="U33" s="776">
        <f>U32-U34</f>
        <v>624931.76944444445</v>
      </c>
      <c r="V33" s="777">
        <f>U33/U30</f>
        <v>0.73691958115526568</v>
      </c>
      <c r="W33" s="776">
        <f ca="1">W32-W34</f>
        <v>132487.95000000001</v>
      </c>
      <c r="X33" s="777">
        <f ca="1">W33/W30</f>
        <v>0.83497560136945925</v>
      </c>
      <c r="Y33" s="776">
        <f>Y32-Y34</f>
        <v>0</v>
      </c>
      <c r="Z33" s="777" t="e">
        <f>Y33/Y30</f>
        <v>#DIV/0!</v>
      </c>
    </row>
    <row r="34" spans="19:26" x14ac:dyDescent="0.2">
      <c r="S34" s="770" t="s">
        <v>219</v>
      </c>
      <c r="T34" s="775" t="s">
        <v>220</v>
      </c>
      <c r="U34" s="781">
        <f>INDEX('Planzahlen Rentabilität'!$K$12:$FU$29,MATCH(Grafiken!$S34,'Planzahlen Rentabilität'!$A$12:$A$29,0),MATCH(Grafiken!U$27,'Planzahlen Rentabilität'!$K$9:$FU$9,0))</f>
        <v>220312.7505555556</v>
      </c>
      <c r="V34" s="780">
        <f ca="1">INDEX('Planzahlen Rentabilität'!$K$12:$FU$29,MATCH(Grafiken!$S34,'Planzahlen Rentabilität'!$A$12:$A$29,0),MATCH(Grafiken!V$27,'Planzahlen Rentabilität'!$K$9:$FU$9,0))</f>
        <v>2.2406039334434961E-2</v>
      </c>
      <c r="W34" s="781">
        <f ca="1">INDEX('Planzahlen Rentabilität'!$K$12:$FU$29,MATCH(Grafiken!$S34,'Planzahlen Rentabilität'!$A$12:$A$29,0),MATCH(Grafiken!W$27,'Planzahlen Rentabilität'!$K$9:$FU$9,0))</f>
        <v>15242.050000000001</v>
      </c>
      <c r="X34" s="780">
        <f ca="1">INDEX('Planzahlen Rentabilität'!$K$12:$FU$29,MATCH(Grafiken!$S34,'Planzahlen Rentabilität'!$A$12:$A$29,0),MATCH(Grafiken!X$27,'Planzahlen Rentabilität'!$K$9:$FU$9,0))</f>
        <v>9.6059602891080786E-2</v>
      </c>
      <c r="Y34" s="775"/>
      <c r="Z34" s="775"/>
    </row>
    <row r="50" spans="1:27" ht="15" x14ac:dyDescent="0.2">
      <c r="A50" s="487" t="str">
        <f>"Umsatz-Analysen zum "&amp;Grunddaten!$E$7&amp;" "&amp;Grunddaten!$B$5</f>
        <v>Umsatz-Analysen zum Oktober 2019</v>
      </c>
    </row>
    <row r="51" spans="1:27" ht="15" x14ac:dyDescent="0.2">
      <c r="A51" s="487"/>
    </row>
    <row r="52" spans="1:27" x14ac:dyDescent="0.2">
      <c r="A52" s="1461" t="s">
        <v>222</v>
      </c>
      <c r="B52" s="1461"/>
      <c r="C52" s="1461"/>
      <c r="D52" s="1461"/>
      <c r="E52" s="1461"/>
      <c r="F52" s="1461"/>
      <c r="G52" s="1461"/>
      <c r="H52" s="1461"/>
      <c r="I52" s="1461"/>
      <c r="J52" s="1461"/>
      <c r="K52" s="1461"/>
      <c r="L52" s="1461"/>
      <c r="M52" s="1461"/>
      <c r="N52" s="1461"/>
      <c r="O52" s="1461"/>
      <c r="P52" s="1461"/>
      <c r="Q52" s="1461"/>
    </row>
    <row r="54" spans="1:27" x14ac:dyDescent="0.2">
      <c r="T54" s="524" t="s">
        <v>204</v>
      </c>
      <c r="U54" s="769" t="str">
        <f>"P"&amp;Grunddaten!$B$7</f>
        <v>P10</v>
      </c>
      <c r="V54" s="769" t="str">
        <f>"RP"&amp;Grunddaten!$B$7</f>
        <v>RP10</v>
      </c>
      <c r="W54" s="769" t="str">
        <f>"I"&amp;Grunddaten!$B$7</f>
        <v>I10</v>
      </c>
      <c r="X54" s="769" t="str">
        <f>"RI"&amp;Grunddaten!$B$7</f>
        <v>RI10</v>
      </c>
    </row>
    <row r="55" spans="1:27" x14ac:dyDescent="0.2">
      <c r="U55" s="1432" t="s">
        <v>205</v>
      </c>
      <c r="V55" s="1433"/>
      <c r="W55" s="1432" t="s">
        <v>206</v>
      </c>
      <c r="X55" s="1433"/>
      <c r="Y55" s="1432" t="s">
        <v>223</v>
      </c>
      <c r="Z55" s="1433"/>
    </row>
    <row r="56" spans="1:27" x14ac:dyDescent="0.2">
      <c r="K56" s="1426" t="s">
        <v>224</v>
      </c>
      <c r="L56" s="1428" t="s">
        <v>225</v>
      </c>
      <c r="M56" s="1430" t="s">
        <v>120</v>
      </c>
      <c r="N56" s="1428" t="s">
        <v>226</v>
      </c>
      <c r="O56" s="1430" t="s">
        <v>120</v>
      </c>
      <c r="P56" s="1457" t="s">
        <v>227</v>
      </c>
      <c r="Q56" s="1430" t="s">
        <v>120</v>
      </c>
      <c r="U56" s="774" t="s">
        <v>207</v>
      </c>
      <c r="V56" s="774" t="s">
        <v>208</v>
      </c>
      <c r="W56" s="774" t="s">
        <v>209</v>
      </c>
      <c r="X56" s="774" t="s">
        <v>210</v>
      </c>
      <c r="Y56" s="788" t="s">
        <v>228</v>
      </c>
      <c r="Z56" s="788" t="s">
        <v>229</v>
      </c>
    </row>
    <row r="57" spans="1:27" x14ac:dyDescent="0.2">
      <c r="K57" s="1427"/>
      <c r="L57" s="1429"/>
      <c r="M57" s="1431"/>
      <c r="N57" s="1429"/>
      <c r="O57" s="1431"/>
      <c r="P57" s="1458"/>
      <c r="Q57" s="1431"/>
      <c r="S57" s="770" t="s">
        <v>213</v>
      </c>
      <c r="T57" s="773" t="s">
        <v>214</v>
      </c>
      <c r="U57" s="776">
        <f>INDEX('Planzahlen Rentabilität'!$K$12:$FU$29,MATCH(Grafiken!$S57,'Planzahlen Rentabilität'!$A$12:$A$29,0),MATCH(Grafiken!U$54,'Planzahlen Rentabilität'!$K$9:$FU$9,0))</f>
        <v>103418.6</v>
      </c>
      <c r="V57" s="777">
        <f>INDEX('Planzahlen Rentabilität'!$K$12:$FU$29,MATCH(Grafiken!$S57,'Planzahlen Rentabilität'!$A$12:$A$29,0),MATCH(Grafiken!V$54,'Planzahlen Rentabilität'!$K$9:$FU$9,0))</f>
        <v>1</v>
      </c>
      <c r="W57" s="776">
        <f ca="1">INDEX('Planzahlen Rentabilität'!$K$12:$FU$29,MATCH(Grafiken!$S57,'Planzahlen Rentabilität'!$A$12:$A$29,0),MATCH(Grafiken!W$54,'Planzahlen Rentabilität'!$K$9:$FU$9,0))</f>
        <v>32720.12</v>
      </c>
      <c r="X57" s="777">
        <f>INDEX('Planzahlen Rentabilität'!$K$12:$FU$29,MATCH(Grafiken!$S57,'Planzahlen Rentabilität'!$A$12:$A$29,0),MATCH(Grafiken!X$54,'Planzahlen Rentabilität'!$K$9:$FU$9,0))</f>
        <v>1</v>
      </c>
      <c r="Y57" s="776" t="e">
        <f ca="1">Y59*Z57/Z59</f>
        <v>#N/A</v>
      </c>
      <c r="Z57" s="777">
        <v>1</v>
      </c>
    </row>
    <row r="58" spans="1:27" x14ac:dyDescent="0.2">
      <c r="K58" s="1421" t="s">
        <v>230</v>
      </c>
      <c r="L58" s="1425">
        <f>U57/1000</f>
        <v>103.41860000000001</v>
      </c>
      <c r="M58" s="1424">
        <v>1</v>
      </c>
      <c r="N58" s="1425">
        <f ca="1">W57/1000</f>
        <v>32.720120000000001</v>
      </c>
      <c r="O58" s="1424">
        <v>1</v>
      </c>
      <c r="P58" s="1425" t="e">
        <f ca="1">Y57/1000</f>
        <v>#N/A</v>
      </c>
      <c r="Q58" s="1424">
        <v>1</v>
      </c>
      <c r="S58" s="51"/>
      <c r="T58" s="771" t="s">
        <v>215</v>
      </c>
      <c r="U58" s="776">
        <f>U57-U59</f>
        <v>340</v>
      </c>
      <c r="V58" s="777">
        <f>U58/U57</f>
        <v>3.2876097723233536E-3</v>
      </c>
      <c r="W58" s="776">
        <f ca="1">W57-W59</f>
        <v>8011.7799999999988</v>
      </c>
      <c r="X58" s="777">
        <f ca="1">W58/W57</f>
        <v>0.24485790394411755</v>
      </c>
      <c r="Y58" s="776" t="e">
        <f ca="1">Y57-Y59</f>
        <v>#N/A</v>
      </c>
      <c r="Z58" s="777" t="e">
        <f ca="1">Y58/Y57</f>
        <v>#N/A</v>
      </c>
      <c r="AA58" s="784"/>
    </row>
    <row r="59" spans="1:27" x14ac:dyDescent="0.2">
      <c r="K59" s="1411"/>
      <c r="L59" s="1412"/>
      <c r="M59" s="1413"/>
      <c r="N59" s="1412"/>
      <c r="O59" s="1413"/>
      <c r="P59" s="1412"/>
      <c r="Q59" s="1413"/>
      <c r="S59" s="770" t="s">
        <v>216</v>
      </c>
      <c r="T59" s="775" t="s">
        <v>217</v>
      </c>
      <c r="U59" s="796">
        <f>INDEX('Planzahlen Rentabilität'!$K$12:$FU$29,MATCH(Grafiken!$S59,'Planzahlen Rentabilität'!$A$12:$A$29,0),MATCH(Grafiken!U$54,'Planzahlen Rentabilität'!$K$9:$FU$9,0))</f>
        <v>103078.6</v>
      </c>
      <c r="V59" s="780">
        <f ca="1">INDEX('Planzahlen Rentabilität'!$K$12:$FU$29,MATCH(Grafiken!$S59,'Planzahlen Rentabilität'!$A$12:$A$29,0),MATCH(Grafiken!V$54,'Planzahlen Rentabilität'!$K$9:$FU$9,0))</f>
        <v>0.31542043694267757</v>
      </c>
      <c r="W59" s="781">
        <f ca="1">INDEX('Planzahlen Rentabilität'!$K$12:$FU$29,MATCH(Grafiken!$S59,'Planzahlen Rentabilität'!$A$12:$A$29,0),MATCH(Grafiken!W$54,'Planzahlen Rentabilität'!$K$9:$FU$9,0))</f>
        <v>24708.34</v>
      </c>
      <c r="X59" s="794">
        <f ca="1">INDEX('Planzahlen Rentabilität'!$K$12:$FU$29,MATCH(Grafiken!$S59,'Planzahlen Rentabilität'!$A$12:$A$29,0),MATCH(Grafiken!X$54,'Planzahlen Rentabilität'!$K$9:$FU$9,0))</f>
        <v>0.75514209605588245</v>
      </c>
      <c r="Y59" s="782" t="e">
        <f ca="1">W63</f>
        <v>#N/A</v>
      </c>
      <c r="Z59" s="783">
        <f ca="1">X59</f>
        <v>0.75514209605588245</v>
      </c>
    </row>
    <row r="60" spans="1:27" x14ac:dyDescent="0.2">
      <c r="K60" s="1403" t="s">
        <v>231</v>
      </c>
      <c r="L60" s="1395">
        <f>U58/1000</f>
        <v>0.34</v>
      </c>
      <c r="M60" s="1397">
        <f>V58</f>
        <v>3.2876097723233536E-3</v>
      </c>
      <c r="N60" s="1395">
        <f ca="1">W58/1000</f>
        <v>8.0117799999999981</v>
      </c>
      <c r="O60" s="1397">
        <f ca="1">X58</f>
        <v>0.24485790394411755</v>
      </c>
      <c r="P60" s="1395" t="e">
        <f ca="1">Y58/1000</f>
        <v>#N/A</v>
      </c>
      <c r="Q60" s="1397" t="e">
        <f ca="1">Z58</f>
        <v>#N/A</v>
      </c>
      <c r="S60" s="770"/>
      <c r="T60" s="771" t="s">
        <v>218</v>
      </c>
      <c r="U60" s="776">
        <f>U59-U61</f>
        <v>61672.881944444445</v>
      </c>
      <c r="V60" s="777">
        <f>U60/U57</f>
        <v>0.59634226284676495</v>
      </c>
      <c r="W60" s="776">
        <f ca="1">W59-W61</f>
        <v>15782.21</v>
      </c>
      <c r="X60" s="777">
        <f ca="1">W60/W57</f>
        <v>0.48233961244640911</v>
      </c>
      <c r="Y60" s="776" t="e">
        <f ca="1">Y59-Y61</f>
        <v>#N/A</v>
      </c>
      <c r="Z60" s="777" t="e">
        <f ca="1">Y60/Y57</f>
        <v>#N/A</v>
      </c>
    </row>
    <row r="61" spans="1:27" x14ac:dyDescent="0.2">
      <c r="K61" s="1416"/>
      <c r="L61" s="1396"/>
      <c r="M61" s="1398"/>
      <c r="N61" s="1396"/>
      <c r="O61" s="1398"/>
      <c r="P61" s="1396"/>
      <c r="Q61" s="1398"/>
      <c r="S61" s="770" t="s">
        <v>219</v>
      </c>
      <c r="T61" s="775" t="s">
        <v>220</v>
      </c>
      <c r="U61" s="796">
        <f>INDEX('Planzahlen Rentabilität'!$K$12:$FU$29,MATCH(Grafiken!$S61,'Planzahlen Rentabilität'!$A$12:$A$29,0),MATCH(Grafiken!U$54,'Planzahlen Rentabilität'!$K$9:$FU$9,0))</f>
        <v>41405.718055555561</v>
      </c>
      <c r="V61" s="780">
        <f ca="1">INDEX('Planzahlen Rentabilität'!$K$12:$FU$29,MATCH(Grafiken!$S61,'Planzahlen Rentabilität'!$A$12:$A$29,0),MATCH(Grafiken!V$54,'Planzahlen Rentabilität'!$K$9:$FU$9,0))</f>
        <v>0.16281529628132654</v>
      </c>
      <c r="W61" s="781">
        <f ca="1">INDEX('Planzahlen Rentabilität'!$K$12:$FU$29,MATCH(Grafiken!$S61,'Planzahlen Rentabilität'!$A$12:$A$29,0),MATCH(Grafiken!W$54,'Planzahlen Rentabilität'!$K$9:$FU$9,0))</f>
        <v>8926.130000000001</v>
      </c>
      <c r="X61" s="780">
        <f ca="1">INDEX('Planzahlen Rentabilität'!$K$12:$FU$29,MATCH(Grafiken!$S61,'Planzahlen Rentabilität'!$A$12:$A$29,0),MATCH(Grafiken!X$54,'Planzahlen Rentabilität'!$K$9:$FU$9,0))</f>
        <v>0.27280248360947335</v>
      </c>
      <c r="Y61" s="782" t="e">
        <f ca="1">W64</f>
        <v>#N/A</v>
      </c>
      <c r="Z61" s="797" t="e">
        <f ca="1">Y61/Y57</f>
        <v>#N/A</v>
      </c>
    </row>
    <row r="62" spans="1:27" x14ac:dyDescent="0.2">
      <c r="K62" s="1405" t="s">
        <v>217</v>
      </c>
      <c r="L62" s="1399">
        <f>U59/1000</f>
        <v>103.07860000000001</v>
      </c>
      <c r="M62" s="1407">
        <f ca="1">V59</f>
        <v>0.31542043694267757</v>
      </c>
      <c r="N62" s="1399">
        <f ca="1">W59/1000</f>
        <v>24.70834</v>
      </c>
      <c r="O62" s="1409">
        <f ca="1">X59</f>
        <v>0.75514209605588245</v>
      </c>
      <c r="P62" s="1448" t="e">
        <f ca="1">N70</f>
        <v>#N/A</v>
      </c>
      <c r="Q62" s="1459">
        <f ca="1">O62</f>
        <v>0.75514209605588245</v>
      </c>
      <c r="S62" s="770" t="s">
        <v>232</v>
      </c>
      <c r="T62" s="771" t="s">
        <v>233</v>
      </c>
      <c r="U62" s="776" t="e">
        <f>INDEX('Planzahlen Rentabilität'!$K$12:$FU$62,MATCH(Grafiken!$S62,'Planzahlen Rentabilität'!$A$12:$A$62,0),MATCH(Grafiken!U$54,'Planzahlen Rentabilität'!$K$9:$FU$9,0))</f>
        <v>#N/A</v>
      </c>
      <c r="V62" s="777"/>
      <c r="W62" s="776" t="e">
        <f>INDEX('Planzahlen Rentabilität'!$K$12:$FU$62,MATCH(Grafiken!$S62,'Planzahlen Rentabilität'!$A$12:$A$62,0),MATCH(Grafiken!W$54,'Planzahlen Rentabilität'!$K$9:$FU$9,0))</f>
        <v>#N/A</v>
      </c>
      <c r="X62" s="777"/>
      <c r="Y62" s="776"/>
      <c r="Z62" s="777"/>
    </row>
    <row r="63" spans="1:27" x14ac:dyDescent="0.2">
      <c r="K63" s="1411"/>
      <c r="L63" s="1412"/>
      <c r="M63" s="1413"/>
      <c r="N63" s="1412"/>
      <c r="O63" s="1414"/>
      <c r="P63" s="1423"/>
      <c r="Q63" s="1460"/>
      <c r="T63" s="775" t="s">
        <v>234</v>
      </c>
      <c r="U63" s="781" t="e">
        <f>U59-U62</f>
        <v>#N/A</v>
      </c>
      <c r="V63" s="780"/>
      <c r="W63" s="795" t="e">
        <f ca="1">W59-W62</f>
        <v>#N/A</v>
      </c>
      <c r="X63" s="794"/>
      <c r="Y63" s="789"/>
      <c r="Z63" s="790"/>
    </row>
    <row r="64" spans="1:27" x14ac:dyDescent="0.2">
      <c r="K64" s="1403" t="s">
        <v>235</v>
      </c>
      <c r="L64" s="1395">
        <f>U60/1000</f>
        <v>61.672881944444448</v>
      </c>
      <c r="M64" s="1397">
        <f>V60</f>
        <v>0.59634226284676495</v>
      </c>
      <c r="N64" s="1395">
        <f ca="1">W60/1000</f>
        <v>15.782209999999999</v>
      </c>
      <c r="O64" s="1397">
        <f ca="1">X60</f>
        <v>0.48233961244640911</v>
      </c>
      <c r="P64" s="1395" t="e">
        <f ca="1">Y60/1000</f>
        <v>#N/A</v>
      </c>
      <c r="Q64" s="1397" t="e">
        <f ca="1">Z60</f>
        <v>#N/A</v>
      </c>
      <c r="T64" s="775" t="s">
        <v>236</v>
      </c>
      <c r="U64" s="781" t="e">
        <f>U61-U62</f>
        <v>#N/A</v>
      </c>
      <c r="V64" s="780"/>
      <c r="W64" s="795" t="e">
        <f ca="1">W61-W62</f>
        <v>#N/A</v>
      </c>
      <c r="X64" s="794"/>
      <c r="Y64" s="789"/>
      <c r="Z64" s="790"/>
    </row>
    <row r="65" spans="10:26" x14ac:dyDescent="0.2">
      <c r="K65" s="1404"/>
      <c r="L65" s="1396"/>
      <c r="M65" s="1398"/>
      <c r="N65" s="1396"/>
      <c r="O65" s="1398"/>
      <c r="P65" s="1396"/>
      <c r="Q65" s="1398"/>
    </row>
    <row r="66" spans="10:26" x14ac:dyDescent="0.2">
      <c r="K66" s="1405" t="s">
        <v>220</v>
      </c>
      <c r="L66" s="1399">
        <f>U61/1000</f>
        <v>41.40571805555556</v>
      </c>
      <c r="M66" s="1407">
        <f ca="1">V61</f>
        <v>0.16281529628132654</v>
      </c>
      <c r="N66" s="1399">
        <f ca="1">W61/1000</f>
        <v>8.9261300000000006</v>
      </c>
      <c r="O66" s="1407">
        <f ca="1">X61</f>
        <v>0.27280248360947335</v>
      </c>
      <c r="P66" s="1448" t="e">
        <f ca="1">N72</f>
        <v>#N/A</v>
      </c>
      <c r="Q66" s="1449" t="e">
        <f ca="1">Z61</f>
        <v>#N/A</v>
      </c>
    </row>
    <row r="67" spans="10:26" x14ac:dyDescent="0.2">
      <c r="K67" s="1406"/>
      <c r="L67" s="1400"/>
      <c r="M67" s="1408"/>
      <c r="N67" s="1400"/>
      <c r="O67" s="1408"/>
      <c r="P67" s="1440"/>
      <c r="Q67" s="1450"/>
    </row>
    <row r="68" spans="10:26" x14ac:dyDescent="0.2">
      <c r="K68" s="1404" t="s">
        <v>237</v>
      </c>
      <c r="L68" s="1453"/>
      <c r="M68" s="1456"/>
      <c r="N68" s="1425" t="e">
        <f>W62/1000</f>
        <v>#N/A</v>
      </c>
      <c r="O68" s="1424" t="e">
        <f ca="1">N68/N58</f>
        <v>#N/A</v>
      </c>
      <c r="P68" s="1436"/>
      <c r="Q68" s="1451"/>
    </row>
    <row r="69" spans="10:26" x14ac:dyDescent="0.2">
      <c r="K69" s="1416"/>
      <c r="L69" s="1442"/>
      <c r="M69" s="1444"/>
      <c r="N69" s="1396"/>
      <c r="O69" s="1398"/>
      <c r="P69" s="1437"/>
      <c r="Q69" s="1438"/>
    </row>
    <row r="70" spans="10:26" x14ac:dyDescent="0.2">
      <c r="K70" s="1404" t="s">
        <v>238</v>
      </c>
      <c r="L70" s="1442"/>
      <c r="M70" s="1444"/>
      <c r="N70" s="1439" t="e">
        <f ca="1">N62-N68</f>
        <v>#N/A</v>
      </c>
      <c r="O70" s="1441"/>
      <c r="P70" s="1437"/>
      <c r="Q70" s="1438"/>
    </row>
    <row r="71" spans="10:26" x14ac:dyDescent="0.2">
      <c r="K71" s="1411"/>
      <c r="L71" s="1442"/>
      <c r="M71" s="1444"/>
      <c r="N71" s="1423"/>
      <c r="O71" s="1413"/>
      <c r="P71" s="1437"/>
      <c r="Q71" s="1438"/>
    </row>
    <row r="72" spans="10:26" x14ac:dyDescent="0.2">
      <c r="K72" s="1404" t="s">
        <v>239</v>
      </c>
      <c r="L72" s="1442"/>
      <c r="M72" s="1444"/>
      <c r="N72" s="1439" t="e">
        <f ca="1">N66-N68</f>
        <v>#N/A</v>
      </c>
      <c r="O72" s="1441"/>
      <c r="P72" s="1437"/>
      <c r="Q72" s="1438"/>
    </row>
    <row r="73" spans="10:26" x14ac:dyDescent="0.2">
      <c r="J73" s="525" t="s">
        <v>240</v>
      </c>
      <c r="K73" s="1406"/>
      <c r="L73" s="1443"/>
      <c r="M73" s="1445"/>
      <c r="N73" s="1440"/>
      <c r="O73" s="1408"/>
      <c r="P73" s="1446"/>
      <c r="Q73" s="1447"/>
    </row>
    <row r="74" spans="10:26" x14ac:dyDescent="0.2">
      <c r="L74" s="492"/>
    </row>
    <row r="78" spans="10:26" x14ac:dyDescent="0.2">
      <c r="T78" s="524" t="s">
        <v>221</v>
      </c>
      <c r="U78" s="769" t="str">
        <f>"KP"&amp;Grunddaten!$B$7</f>
        <v>KP10</v>
      </c>
      <c r="V78" s="769" t="str">
        <f>IF(Grunddaten!$B$7=1,"RP"&amp;Grunddaten!$B$7,"KRP"&amp;Grunddaten!$B$7)</f>
        <v>KRP10</v>
      </c>
      <c r="W78" s="769" t="str">
        <f>"KI"&amp;Grunddaten!$B$7</f>
        <v>KI10</v>
      </c>
      <c r="X78" s="769" t="str">
        <f>IF(Grunddaten!$B$7=1,"RI"&amp;Grunddaten!$B$7,"KRI"&amp;Grunddaten!$B$7)</f>
        <v>KRI10</v>
      </c>
    </row>
    <row r="79" spans="10:26" x14ac:dyDescent="0.2">
      <c r="U79" s="1432" t="s">
        <v>205</v>
      </c>
      <c r="V79" s="1433"/>
      <c r="W79" s="1432" t="s">
        <v>206</v>
      </c>
      <c r="X79" s="1433"/>
      <c r="Y79" s="1432" t="s">
        <v>223</v>
      </c>
      <c r="Z79" s="1433"/>
    </row>
    <row r="80" spans="10:26" x14ac:dyDescent="0.2">
      <c r="K80" s="1426" t="s">
        <v>224</v>
      </c>
      <c r="L80" s="1428" t="s">
        <v>225</v>
      </c>
      <c r="M80" s="1430" t="s">
        <v>120</v>
      </c>
      <c r="N80" s="1428" t="s">
        <v>226</v>
      </c>
      <c r="O80" s="1454" t="s">
        <v>120</v>
      </c>
      <c r="P80" s="1428" t="s">
        <v>227</v>
      </c>
      <c r="Q80" s="1430" t="s">
        <v>120</v>
      </c>
      <c r="U80" s="774" t="s">
        <v>207</v>
      </c>
      <c r="V80" s="774" t="s">
        <v>208</v>
      </c>
      <c r="W80" s="774" t="s">
        <v>209</v>
      </c>
      <c r="X80" s="774" t="s">
        <v>210</v>
      </c>
      <c r="Y80" s="788" t="s">
        <v>228</v>
      </c>
      <c r="Z80" s="788" t="s">
        <v>229</v>
      </c>
    </row>
    <row r="81" spans="10:26" x14ac:dyDescent="0.2">
      <c r="K81" s="1427"/>
      <c r="L81" s="1429"/>
      <c r="M81" s="1431"/>
      <c r="N81" s="1429"/>
      <c r="O81" s="1455"/>
      <c r="P81" s="1429"/>
      <c r="Q81" s="1431"/>
      <c r="S81" s="770" t="s">
        <v>213</v>
      </c>
      <c r="T81" s="773" t="s">
        <v>214</v>
      </c>
      <c r="U81" s="776">
        <f>INDEX('Planzahlen Rentabilität'!$K$12:$FU$29,MATCH(Grafiken!$S81,'Planzahlen Rentabilität'!$A$12:$A$29,0),MATCH(Grafiken!U$78,'Planzahlen Rentabilität'!$K$9:$FU$9,0))</f>
        <v>848032.52</v>
      </c>
      <c r="V81" s="777">
        <f>INDEX('Planzahlen Rentabilität'!$K$12:$FU$29,MATCH(Grafiken!$S81,'Planzahlen Rentabilität'!$A$12:$A$29,0),MATCH(Grafiken!V$78,'Planzahlen Rentabilität'!$K$9:$FU$9,0))</f>
        <v>1</v>
      </c>
      <c r="W81" s="776">
        <f ca="1">INDEX('Planzahlen Rentabilität'!$K$12:$FU$29,MATCH(Grafiken!$S81,'Planzahlen Rentabilität'!$A$12:$A$29,0),MATCH(Grafiken!W$78,'Planzahlen Rentabilität'!$K$9:$FU$9,0))</f>
        <v>158672.84000000003</v>
      </c>
      <c r="X81" s="777">
        <f>INDEX('Planzahlen Rentabilität'!$K$12:$FU$29,MATCH(Grafiken!$S81,'Planzahlen Rentabilität'!$A$12:$A$29,0),MATCH(Grafiken!X$78,'Planzahlen Rentabilität'!$K$9:$FU$9,0))</f>
        <v>1</v>
      </c>
      <c r="Y81" s="776" t="e">
        <f ca="1">Y83*Z81/Z83</f>
        <v>#N/A</v>
      </c>
      <c r="Z81" s="777">
        <v>1</v>
      </c>
    </row>
    <row r="82" spans="10:26" x14ac:dyDescent="0.2">
      <c r="K82" s="1421" t="s">
        <v>230</v>
      </c>
      <c r="L82" s="1425">
        <f>U81/1000</f>
        <v>848.03251999999998</v>
      </c>
      <c r="M82" s="1424">
        <v>1</v>
      </c>
      <c r="N82" s="1425">
        <f ca="1">W81/1000</f>
        <v>158.67284000000004</v>
      </c>
      <c r="O82" s="1424">
        <v>1</v>
      </c>
      <c r="P82" s="1425" t="e">
        <f ca="1">Y81/1000</f>
        <v>#N/A</v>
      </c>
      <c r="Q82" s="1424">
        <v>1</v>
      </c>
      <c r="S82" s="51"/>
      <c r="T82" s="771" t="s">
        <v>215</v>
      </c>
      <c r="U82" s="776">
        <f>U81-U83</f>
        <v>2788</v>
      </c>
      <c r="V82" s="777">
        <f>U82/U81</f>
        <v>3.2876097723233536E-3</v>
      </c>
      <c r="W82" s="776">
        <f ca="1">W81-W83</f>
        <v>10942.840000000026</v>
      </c>
      <c r="X82" s="777">
        <f ca="1">W82/W81</f>
        <v>6.896479573946003E-2</v>
      </c>
      <c r="Y82" s="776" t="e">
        <f ca="1">Y81-Y83</f>
        <v>#N/A</v>
      </c>
      <c r="Z82" s="777" t="e">
        <f ca="1">Y82/Y81</f>
        <v>#N/A</v>
      </c>
    </row>
    <row r="83" spans="10:26" x14ac:dyDescent="0.2">
      <c r="J83" s="492"/>
      <c r="K83" s="1411"/>
      <c r="L83" s="1412"/>
      <c r="M83" s="1413"/>
      <c r="N83" s="1412"/>
      <c r="O83" s="1413"/>
      <c r="P83" s="1412"/>
      <c r="Q83" s="1413"/>
      <c r="S83" s="770" t="s">
        <v>216</v>
      </c>
      <c r="T83" s="775" t="s">
        <v>217</v>
      </c>
      <c r="U83" s="781">
        <f>INDEX('Planzahlen Rentabilität'!$K$12:$FU$29,MATCH(Grafiken!$S83,'Planzahlen Rentabilität'!$A$12:$A$29,0),MATCH(Grafiken!U$78,'Planzahlen Rentabilität'!$K$9:$FU$9,0))</f>
        <v>845244.52</v>
      </c>
      <c r="V83" s="780">
        <f ca="1">INDEX('Planzahlen Rentabilität'!$K$12:$FU$29,MATCH(Grafiken!$S83,'Planzahlen Rentabilität'!$A$12:$A$29,0),MATCH(Grafiken!V$78,'Planzahlen Rentabilität'!$K$9:$FU$9,0))</f>
        <v>0.17863583816337608</v>
      </c>
      <c r="W83" s="781">
        <f ca="1">INDEX('Planzahlen Rentabilität'!$K$12:$FU$29,MATCH(Grafiken!$S83,'Planzahlen Rentabilität'!$A$12:$A$29,0),MATCH(Grafiken!W$78,'Planzahlen Rentabilität'!$K$9:$FU$9,0))</f>
        <v>147730</v>
      </c>
      <c r="X83" s="794">
        <f ca="1">INDEX('Planzahlen Rentabilität'!$K$12:$FU$29,MATCH(Grafiken!$S83,'Planzahlen Rentabilität'!$A$12:$A$29,0),MATCH(Grafiken!X$78,'Planzahlen Rentabilität'!$K$9:$FU$9,0))</f>
        <v>0.93103520426053998</v>
      </c>
      <c r="Y83" s="782" t="e">
        <f ca="1">W87</f>
        <v>#N/A</v>
      </c>
      <c r="Z83" s="783">
        <f ca="1">X83</f>
        <v>0.93103520426053998</v>
      </c>
    </row>
    <row r="84" spans="10:26" x14ac:dyDescent="0.2">
      <c r="J84" s="492"/>
      <c r="K84" s="1403" t="s">
        <v>231</v>
      </c>
      <c r="L84" s="1395">
        <f>U82/1000</f>
        <v>2.7879999999999998</v>
      </c>
      <c r="M84" s="1397">
        <f>V82</f>
        <v>3.2876097723233536E-3</v>
      </c>
      <c r="N84" s="1395">
        <f ca="1">W82/1000</f>
        <v>10.942840000000025</v>
      </c>
      <c r="O84" s="1397">
        <f ca="1">X82</f>
        <v>6.896479573946003E-2</v>
      </c>
      <c r="P84" s="1395" t="e">
        <f ca="1">Y82/1000</f>
        <v>#N/A</v>
      </c>
      <c r="Q84" s="1397" t="e">
        <f ca="1">Z82</f>
        <v>#N/A</v>
      </c>
      <c r="T84" s="771" t="s">
        <v>218</v>
      </c>
      <c r="U84" s="787">
        <f>U83-U85</f>
        <v>624931.76944444445</v>
      </c>
      <c r="V84" s="777">
        <f>U84/U81</f>
        <v>0.73691958115526568</v>
      </c>
      <c r="W84" s="776">
        <f ca="1">W83-W85</f>
        <v>132487.95000000001</v>
      </c>
      <c r="X84" s="777">
        <f ca="1">W84/W81</f>
        <v>0.83497560136945925</v>
      </c>
      <c r="Y84" s="776" t="e">
        <f ca="1">Y83-Y85</f>
        <v>#N/A</v>
      </c>
      <c r="Z84" s="777" t="e">
        <f ca="1">Y84/Y81</f>
        <v>#N/A</v>
      </c>
    </row>
    <row r="85" spans="10:26" x14ac:dyDescent="0.2">
      <c r="J85" s="492"/>
      <c r="K85" s="1416"/>
      <c r="L85" s="1396"/>
      <c r="M85" s="1398"/>
      <c r="N85" s="1396"/>
      <c r="O85" s="1398"/>
      <c r="P85" s="1396"/>
      <c r="Q85" s="1398"/>
      <c r="S85" s="770" t="s">
        <v>219</v>
      </c>
      <c r="T85" s="775" t="s">
        <v>220</v>
      </c>
      <c r="U85" s="781">
        <f>INDEX('Planzahlen Rentabilität'!$K$12:$FU$29,MATCH(Grafiken!$S85,'Planzahlen Rentabilität'!$A$12:$A$29,0),MATCH(Grafiken!U$78,'Planzahlen Rentabilität'!$K$9:$FU$9,0))</f>
        <v>220312.7505555556</v>
      </c>
      <c r="V85" s="780">
        <f ca="1">INDEX('Planzahlen Rentabilität'!$K$12:$FU$29,MATCH(Grafiken!$S85,'Planzahlen Rentabilität'!$A$12:$A$29,0),MATCH(Grafiken!V$78,'Planzahlen Rentabilität'!$K$9:$FU$9,0))</f>
        <v>2.2406039334434961E-2</v>
      </c>
      <c r="W85" s="781">
        <f ca="1">INDEX('Planzahlen Rentabilität'!$K$12:$FU$29,MATCH(Grafiken!$S85,'Planzahlen Rentabilität'!$A$12:$A$29,0),MATCH(Grafiken!W$78,'Planzahlen Rentabilität'!$K$9:$FU$9,0))</f>
        <v>15242.050000000001</v>
      </c>
      <c r="X85" s="780">
        <f ca="1">INDEX('Planzahlen Rentabilität'!$K$12:$FU$29,MATCH(Grafiken!$S85,'Planzahlen Rentabilität'!$A$12:$A$29,0),MATCH(Grafiken!X$78,'Planzahlen Rentabilität'!$K$9:$FU$9,0))</f>
        <v>9.6059602891080786E-2</v>
      </c>
      <c r="Y85" s="782" t="e">
        <f ca="1">W88</f>
        <v>#N/A</v>
      </c>
      <c r="Z85" s="790" t="e">
        <f ca="1">Y85/Y81</f>
        <v>#N/A</v>
      </c>
    </row>
    <row r="86" spans="10:26" x14ac:dyDescent="0.2">
      <c r="J86" s="492"/>
      <c r="K86" s="1405" t="s">
        <v>217</v>
      </c>
      <c r="L86" s="1399">
        <f>U83/1000</f>
        <v>845.24451999999997</v>
      </c>
      <c r="M86" s="1407">
        <f ca="1">V83</f>
        <v>0.17863583816337608</v>
      </c>
      <c r="N86" s="1399">
        <f ca="1">W83/1000</f>
        <v>147.72999999999999</v>
      </c>
      <c r="O86" s="1409">
        <f ca="1">X83</f>
        <v>0.93103520426053998</v>
      </c>
      <c r="P86" s="1448" t="e">
        <f ca="1">N94</f>
        <v>#N/A</v>
      </c>
      <c r="Q86" s="1459">
        <f ca="1">O86</f>
        <v>0.93103520426053998</v>
      </c>
      <c r="S86" s="770" t="s">
        <v>232</v>
      </c>
      <c r="T86" s="771" t="s">
        <v>233</v>
      </c>
      <c r="U86" s="776" t="e">
        <f>INDEX('Planzahlen Rentabilität'!$K$12:$FU$62,MATCH(Grafiken!$S86,'Planzahlen Rentabilität'!$A$12:$A$62,0),MATCH(Grafiken!U$78,'Planzahlen Rentabilität'!$K$9:$FU$9,0))</f>
        <v>#N/A</v>
      </c>
      <c r="V86" s="777"/>
      <c r="W86" s="776" t="e">
        <f>INDEX('Planzahlen Rentabilität'!$K$12:$FU$62,MATCH(Grafiken!$S86,'Planzahlen Rentabilität'!$A$12:$A$62,0),MATCH(Grafiken!W$78,'Planzahlen Rentabilität'!$K$9:$FU$9,0))</f>
        <v>#N/A</v>
      </c>
      <c r="X86" s="777"/>
      <c r="Y86" s="776"/>
      <c r="Z86" s="777"/>
    </row>
    <row r="87" spans="10:26" x14ac:dyDescent="0.2">
      <c r="J87" s="492"/>
      <c r="K87" s="1411"/>
      <c r="L87" s="1412"/>
      <c r="M87" s="1413"/>
      <c r="N87" s="1412"/>
      <c r="O87" s="1414"/>
      <c r="P87" s="1423"/>
      <c r="Q87" s="1460"/>
      <c r="T87" s="775" t="s">
        <v>234</v>
      </c>
      <c r="U87" s="781" t="e">
        <f>U83-U86</f>
        <v>#N/A</v>
      </c>
      <c r="V87" s="780"/>
      <c r="W87" s="795" t="e">
        <f ca="1">W83-W86</f>
        <v>#N/A</v>
      </c>
      <c r="X87" s="794"/>
      <c r="Y87" s="789"/>
      <c r="Z87" s="790"/>
    </row>
    <row r="88" spans="10:26" x14ac:dyDescent="0.2">
      <c r="J88" s="492"/>
      <c r="K88" s="1403" t="s">
        <v>235</v>
      </c>
      <c r="L88" s="1395">
        <f>U84/1000</f>
        <v>624.9317694444444</v>
      </c>
      <c r="M88" s="1397">
        <f>V84</f>
        <v>0.73691958115526568</v>
      </c>
      <c r="N88" s="1395">
        <f ca="1">W84/1000</f>
        <v>132.48795000000001</v>
      </c>
      <c r="O88" s="1397">
        <f ca="1">X84</f>
        <v>0.83497560136945925</v>
      </c>
      <c r="P88" s="1395" t="e">
        <f ca="1">Y84/1000</f>
        <v>#N/A</v>
      </c>
      <c r="Q88" s="1397" t="e">
        <f ca="1">Z84</f>
        <v>#N/A</v>
      </c>
      <c r="T88" s="775" t="s">
        <v>236</v>
      </c>
      <c r="U88" s="781" t="e">
        <f>U85-U86</f>
        <v>#N/A</v>
      </c>
      <c r="V88" s="780"/>
      <c r="W88" s="795" t="e">
        <f ca="1">W85-W86</f>
        <v>#N/A</v>
      </c>
      <c r="X88" s="794"/>
      <c r="Y88" s="789"/>
      <c r="Z88" s="790"/>
    </row>
    <row r="89" spans="10:26" x14ac:dyDescent="0.2">
      <c r="J89" s="492"/>
      <c r="K89" s="1404"/>
      <c r="L89" s="1396"/>
      <c r="M89" s="1398"/>
      <c r="N89" s="1396"/>
      <c r="O89" s="1398"/>
      <c r="P89" s="1396"/>
      <c r="Q89" s="1398"/>
    </row>
    <row r="90" spans="10:26" x14ac:dyDescent="0.2">
      <c r="J90" s="492"/>
      <c r="K90" s="1405" t="s">
        <v>220</v>
      </c>
      <c r="L90" s="1399">
        <f>U85/1000</f>
        <v>220.3127505555556</v>
      </c>
      <c r="M90" s="1407">
        <f ca="1">V85</f>
        <v>2.2406039334434961E-2</v>
      </c>
      <c r="N90" s="1399">
        <f ca="1">W85/1000</f>
        <v>15.242050000000001</v>
      </c>
      <c r="O90" s="1407">
        <f ca="1">X85</f>
        <v>9.6059602891080786E-2</v>
      </c>
      <c r="P90" s="1448" t="e">
        <f ca="1">N96</f>
        <v>#N/A</v>
      </c>
      <c r="Q90" s="1449" t="e">
        <f ca="1">Z85</f>
        <v>#N/A</v>
      </c>
    </row>
    <row r="91" spans="10:26" x14ac:dyDescent="0.2">
      <c r="J91" s="492"/>
      <c r="K91" s="1406"/>
      <c r="L91" s="1400"/>
      <c r="M91" s="1408"/>
      <c r="N91" s="1400"/>
      <c r="O91" s="1408"/>
      <c r="P91" s="1440"/>
      <c r="Q91" s="1450"/>
    </row>
    <row r="92" spans="10:26" x14ac:dyDescent="0.2">
      <c r="J92" s="492"/>
      <c r="K92" s="1421" t="s">
        <v>237</v>
      </c>
      <c r="L92" s="1453"/>
      <c r="M92" s="1456"/>
      <c r="N92" s="1425" t="e">
        <f>W86/1000</f>
        <v>#N/A</v>
      </c>
      <c r="O92" s="1424" t="e">
        <f ca="1">N92/N82</f>
        <v>#N/A</v>
      </c>
      <c r="P92" s="1436"/>
      <c r="Q92" s="1451"/>
    </row>
    <row r="93" spans="10:26" x14ac:dyDescent="0.2">
      <c r="J93" s="492"/>
      <c r="K93" s="1416"/>
      <c r="L93" s="1442"/>
      <c r="M93" s="1444"/>
      <c r="N93" s="1396"/>
      <c r="O93" s="1398"/>
      <c r="P93" s="1437"/>
      <c r="Q93" s="1438"/>
    </row>
    <row r="94" spans="10:26" x14ac:dyDescent="0.2">
      <c r="J94" s="492"/>
      <c r="K94" s="1404" t="s">
        <v>241</v>
      </c>
      <c r="L94" s="1442"/>
      <c r="M94" s="1444"/>
      <c r="N94" s="1439" t="e">
        <f ca="1">N86-N92</f>
        <v>#N/A</v>
      </c>
      <c r="O94" s="1441"/>
      <c r="P94" s="1437"/>
      <c r="Q94" s="1438"/>
    </row>
    <row r="95" spans="10:26" x14ac:dyDescent="0.2">
      <c r="J95" s="492"/>
      <c r="K95" s="1411"/>
      <c r="L95" s="1442"/>
      <c r="M95" s="1444"/>
      <c r="N95" s="1423"/>
      <c r="O95" s="1413"/>
      <c r="P95" s="1437"/>
      <c r="Q95" s="1438"/>
    </row>
    <row r="96" spans="10:26" x14ac:dyDescent="0.2">
      <c r="K96" s="1404" t="s">
        <v>242</v>
      </c>
      <c r="L96" s="1442"/>
      <c r="M96" s="1444"/>
      <c r="N96" s="1439" t="e">
        <f ca="1">N90-N92</f>
        <v>#N/A</v>
      </c>
      <c r="O96" s="1441"/>
      <c r="P96" s="1437"/>
      <c r="Q96" s="1438"/>
    </row>
    <row r="97" spans="1:26" x14ac:dyDescent="0.2">
      <c r="K97" s="1406"/>
      <c r="L97" s="1443"/>
      <c r="M97" s="1445"/>
      <c r="N97" s="1440"/>
      <c r="O97" s="1408"/>
      <c r="P97" s="1446"/>
      <c r="Q97" s="1447"/>
    </row>
    <row r="101" spans="1:26" ht="15" x14ac:dyDescent="0.2">
      <c r="A101" s="487" t="str">
        <f>"Umsatz-Analysen zum "&amp;Grunddaten!$E$7&amp;" "&amp;Grunddaten!$B$5</f>
        <v>Umsatz-Analysen zum Oktober 2019</v>
      </c>
    </row>
    <row r="102" spans="1:26" ht="15" x14ac:dyDescent="0.2">
      <c r="A102" s="487"/>
    </row>
    <row r="103" spans="1:26" x14ac:dyDescent="0.2">
      <c r="A103" s="819" t="s">
        <v>243</v>
      </c>
    </row>
    <row r="105" spans="1:26" x14ac:dyDescent="0.2">
      <c r="T105" s="524" t="s">
        <v>204</v>
      </c>
      <c r="U105" s="769" t="str">
        <f>"P"&amp;Grunddaten!$B$7</f>
        <v>P10</v>
      </c>
      <c r="V105" s="769" t="str">
        <f>"RP"&amp;Grunddaten!$B$7</f>
        <v>RP10</v>
      </c>
      <c r="W105" s="769" t="str">
        <f>"I"&amp;Grunddaten!$B$7</f>
        <v>I10</v>
      </c>
      <c r="X105" s="769" t="str">
        <f>"RI"&amp;Grunddaten!$B$7</f>
        <v>RI10</v>
      </c>
    </row>
    <row r="106" spans="1:26" x14ac:dyDescent="0.2">
      <c r="U106" s="1432" t="s">
        <v>205</v>
      </c>
      <c r="V106" s="1433"/>
      <c r="W106" s="1432" t="s">
        <v>206</v>
      </c>
      <c r="X106" s="1433"/>
      <c r="Y106" s="1432" t="s">
        <v>244</v>
      </c>
      <c r="Z106" s="1433"/>
    </row>
    <row r="107" spans="1:26" x14ac:dyDescent="0.2">
      <c r="U107" s="774" t="s">
        <v>207</v>
      </c>
      <c r="V107" s="774" t="s">
        <v>208</v>
      </c>
      <c r="W107" s="774" t="s">
        <v>209</v>
      </c>
      <c r="X107" s="774" t="s">
        <v>210</v>
      </c>
      <c r="Y107" s="788" t="s">
        <v>245</v>
      </c>
      <c r="Z107" s="788" t="s">
        <v>246</v>
      </c>
    </row>
    <row r="108" spans="1:26" x14ac:dyDescent="0.2">
      <c r="S108" s="770" t="s">
        <v>213</v>
      </c>
      <c r="T108" s="773" t="s">
        <v>214</v>
      </c>
      <c r="U108" s="776">
        <f>INDEX('Planzahlen Rentabilität'!$K$12:$FU$29,MATCH(Grafiken!$S108,'Planzahlen Rentabilität'!$A$12:$A$29,0),MATCH(Grafiken!U$105,'Planzahlen Rentabilität'!$K$9:$FU$9,0))</f>
        <v>103418.6</v>
      </c>
      <c r="V108" s="777">
        <f>INDEX('Planzahlen Rentabilität'!$K$12:$FU$29,MATCH(Grafiken!$S108,'Planzahlen Rentabilität'!$A$12:$A$29,0),MATCH(Grafiken!V$105,'Planzahlen Rentabilität'!$K$9:$FU$9,0))</f>
        <v>1</v>
      </c>
      <c r="W108" s="776">
        <f ca="1">INDEX('Planzahlen Rentabilität'!$K$12:$FU$29,MATCH(Grafiken!$S108,'Planzahlen Rentabilität'!$A$12:$A$29,0),MATCH(Grafiken!W$105,'Planzahlen Rentabilität'!$K$9:$FU$9,0))</f>
        <v>32720.12</v>
      </c>
      <c r="X108" s="777">
        <f>INDEX('Planzahlen Rentabilität'!$K$12:$FU$29,MATCH(Grafiken!$S108,'Planzahlen Rentabilität'!$A$12:$A$29,0),MATCH(Grafiken!X$105,'Planzahlen Rentabilität'!$K$9:$FU$9,0))</f>
        <v>1</v>
      </c>
      <c r="Y108" s="776">
        <f ca="1">Y110*Z108/Z110</f>
        <v>78334.619783975286</v>
      </c>
      <c r="Z108" s="777">
        <v>1</v>
      </c>
    </row>
    <row r="109" spans="1:26" x14ac:dyDescent="0.2">
      <c r="S109" s="51"/>
      <c r="T109" s="771" t="s">
        <v>215</v>
      </c>
      <c r="U109" s="776">
        <f>U108-U110</f>
        <v>340</v>
      </c>
      <c r="V109" s="777">
        <f>U109/U108</f>
        <v>3.2876097723233536E-3</v>
      </c>
      <c r="W109" s="776">
        <f ca="1">W108-W110</f>
        <v>8011.7799999999988</v>
      </c>
      <c r="X109" s="777">
        <f ca="1">W109/W108</f>
        <v>0.24485790394411755</v>
      </c>
      <c r="Y109" s="776">
        <f ca="1">Y108-Y110</f>
        <v>53626.279783975289</v>
      </c>
      <c r="Z109" s="777">
        <f ca="1">Y109/Y108</f>
        <v>0.68457956305732248</v>
      </c>
    </row>
    <row r="110" spans="1:26" x14ac:dyDescent="0.2">
      <c r="K110" s="1426" t="s">
        <v>224</v>
      </c>
      <c r="L110" s="1428" t="s">
        <v>225</v>
      </c>
      <c r="M110" s="1430" t="s">
        <v>120</v>
      </c>
      <c r="N110" s="1428" t="s">
        <v>226</v>
      </c>
      <c r="O110" s="1430" t="s">
        <v>120</v>
      </c>
      <c r="P110" s="1434" t="s">
        <v>244</v>
      </c>
      <c r="Q110" s="1430" t="s">
        <v>120</v>
      </c>
      <c r="S110" s="770" t="s">
        <v>216</v>
      </c>
      <c r="T110" s="775" t="s">
        <v>217</v>
      </c>
      <c r="U110" s="781">
        <f>INDEX('Planzahlen Rentabilität'!$K$12:$FU$29,MATCH(Grafiken!$S110,'Planzahlen Rentabilität'!$A$12:$A$29,0),MATCH(Grafiken!U$105,'Planzahlen Rentabilität'!$K$9:$FU$9,0))</f>
        <v>103078.6</v>
      </c>
      <c r="V110" s="794">
        <f ca="1">INDEX('Planzahlen Rentabilität'!$K$12:$FU$29,MATCH(Grafiken!$S110,'Planzahlen Rentabilität'!$A$12:$A$29,0),MATCH(Grafiken!V$105,'Planzahlen Rentabilität'!$K$9:$FU$9,0))</f>
        <v>0.31542043694267757</v>
      </c>
      <c r="W110" s="795">
        <f ca="1">INDEX('Planzahlen Rentabilität'!$K$12:$FU$29,MATCH(Grafiken!$S110,'Planzahlen Rentabilität'!$A$12:$A$29,0),MATCH(Grafiken!W$105,'Planzahlen Rentabilität'!$K$9:$FU$9,0))</f>
        <v>24708.34</v>
      </c>
      <c r="X110" s="780">
        <f ca="1">INDEX('Planzahlen Rentabilität'!$K$12:$FU$29,MATCH(Grafiken!$S110,'Planzahlen Rentabilität'!$A$12:$A$29,0),MATCH(Grafiken!X$105,'Planzahlen Rentabilität'!$K$9:$FU$9,0))</f>
        <v>0.75514209605588245</v>
      </c>
      <c r="Y110" s="782">
        <f ca="1">W110</f>
        <v>24708.34</v>
      </c>
      <c r="Z110" s="783">
        <f ca="1">V110</f>
        <v>0.31542043694267757</v>
      </c>
    </row>
    <row r="111" spans="1:26" x14ac:dyDescent="0.2">
      <c r="K111" s="1427"/>
      <c r="L111" s="1429"/>
      <c r="M111" s="1431"/>
      <c r="N111" s="1429"/>
      <c r="O111" s="1431"/>
      <c r="P111" s="1435"/>
      <c r="Q111" s="1431"/>
      <c r="S111" s="770"/>
      <c r="T111" s="771" t="s">
        <v>218</v>
      </c>
      <c r="U111" s="787">
        <f>U110-U112</f>
        <v>61672.881944444445</v>
      </c>
      <c r="V111" s="777">
        <f>U111/U108</f>
        <v>0.59634226284676495</v>
      </c>
      <c r="W111" s="776">
        <f ca="1">W110-W112</f>
        <v>15782.21</v>
      </c>
      <c r="X111" s="786">
        <f ca="1">W111/W108</f>
        <v>0.48233961244640911</v>
      </c>
      <c r="Y111" s="776">
        <f ca="1">Y110-Y112</f>
        <v>15782.21</v>
      </c>
      <c r="Z111" s="777">
        <f ca="1">Y111/Y108</f>
        <v>0.20147171255216237</v>
      </c>
    </row>
    <row r="112" spans="1:26" x14ac:dyDescent="0.2">
      <c r="K112" s="1421" t="s">
        <v>230</v>
      </c>
      <c r="L112" s="1425">
        <f>U108/1000</f>
        <v>103.41860000000001</v>
      </c>
      <c r="M112" s="1424">
        <v>1</v>
      </c>
      <c r="N112" s="1425">
        <f ca="1">W108/1000</f>
        <v>32.720120000000001</v>
      </c>
      <c r="O112" s="1424">
        <v>1</v>
      </c>
      <c r="P112" s="1425">
        <f ca="1">Y108/1000</f>
        <v>78.334619783975285</v>
      </c>
      <c r="Q112" s="1424">
        <v>1</v>
      </c>
      <c r="S112" s="770" t="s">
        <v>219</v>
      </c>
      <c r="T112" s="775" t="s">
        <v>220</v>
      </c>
      <c r="U112" s="781">
        <f>INDEX('Planzahlen Rentabilität'!$K$12:$FU$29,MATCH(Grafiken!$S112,'Planzahlen Rentabilität'!$A$12:$A$29,0),MATCH(Grafiken!U$105,'Planzahlen Rentabilität'!$K$9:$FU$9,0))</f>
        <v>41405.718055555561</v>
      </c>
      <c r="V112" s="794">
        <f ca="1">INDEX('Planzahlen Rentabilität'!$K$12:$FU$29,MATCH(Grafiken!$S112,'Planzahlen Rentabilität'!$A$12:$A$29,0),MATCH(Grafiken!V$105,'Planzahlen Rentabilität'!$K$9:$FU$9,0))</f>
        <v>0.16281529628132654</v>
      </c>
      <c r="W112" s="795">
        <f ca="1">INDEX('Planzahlen Rentabilität'!$K$12:$FU$29,MATCH(Grafiken!$S112,'Planzahlen Rentabilität'!$A$12:$A$29,0),MATCH(Grafiken!W$105,'Planzahlen Rentabilität'!$K$9:$FU$9,0))</f>
        <v>8926.130000000001</v>
      </c>
      <c r="X112" s="780">
        <f ca="1">INDEX('Planzahlen Rentabilität'!$K$12:$FU$29,MATCH(Grafiken!$S112,'Planzahlen Rentabilität'!$A$12:$A$29,0),MATCH(Grafiken!X$105,'Planzahlen Rentabilität'!$K$9:$FU$9,0))</f>
        <v>0.27280248360947335</v>
      </c>
      <c r="Y112" s="782">
        <f ca="1">W112</f>
        <v>8926.130000000001</v>
      </c>
      <c r="Z112" s="783">
        <f ca="1">V112</f>
        <v>0.16281529628132654</v>
      </c>
    </row>
    <row r="113" spans="11:17" x14ac:dyDescent="0.2">
      <c r="K113" s="1411"/>
      <c r="L113" s="1412"/>
      <c r="M113" s="1413"/>
      <c r="N113" s="1412"/>
      <c r="O113" s="1413"/>
      <c r="P113" s="1412"/>
      <c r="Q113" s="1413"/>
    </row>
    <row r="114" spans="11:17" x14ac:dyDescent="0.2">
      <c r="K114" s="1403" t="s">
        <v>231</v>
      </c>
      <c r="L114" s="1395">
        <f>U109/1000</f>
        <v>0.34</v>
      </c>
      <c r="M114" s="1397">
        <f>V109</f>
        <v>3.2876097723233536E-3</v>
      </c>
      <c r="N114" s="1395">
        <f ca="1">W109/1000</f>
        <v>8.0117799999999981</v>
      </c>
      <c r="O114" s="1397">
        <f ca="1">X109</f>
        <v>0.24485790394411755</v>
      </c>
      <c r="P114" s="1395">
        <f ca="1">Y109/1000</f>
        <v>53.626279783975292</v>
      </c>
      <c r="Q114" s="1397">
        <f ca="1">P114/P112</f>
        <v>0.68457956305732248</v>
      </c>
    </row>
    <row r="115" spans="11:17" x14ac:dyDescent="0.2">
      <c r="K115" s="1416"/>
      <c r="L115" s="1396"/>
      <c r="M115" s="1398"/>
      <c r="N115" s="1396"/>
      <c r="O115" s="1398"/>
      <c r="P115" s="1396"/>
      <c r="Q115" s="1398"/>
    </row>
    <row r="116" spans="11:17" x14ac:dyDescent="0.2">
      <c r="K116" s="1405" t="s">
        <v>217</v>
      </c>
      <c r="L116" s="1399">
        <f>U110/1000</f>
        <v>103.07860000000001</v>
      </c>
      <c r="M116" s="1409">
        <f ca="1">V110</f>
        <v>0.31542043694267757</v>
      </c>
      <c r="N116" s="1448">
        <f ca="1">W110/1000</f>
        <v>24.70834</v>
      </c>
      <c r="O116" s="1407">
        <f ca="1">X110</f>
        <v>0.75514209605588245</v>
      </c>
      <c r="P116" s="1448">
        <f ca="1">N116</f>
        <v>24.70834</v>
      </c>
      <c r="Q116" s="1401">
        <f ca="1">M116</f>
        <v>0.31542043694267757</v>
      </c>
    </row>
    <row r="117" spans="11:17" x14ac:dyDescent="0.2">
      <c r="K117" s="1411"/>
      <c r="L117" s="1412"/>
      <c r="M117" s="1414"/>
      <c r="N117" s="1423"/>
      <c r="O117" s="1413"/>
      <c r="P117" s="1423"/>
      <c r="Q117" s="1415"/>
    </row>
    <row r="118" spans="11:17" x14ac:dyDescent="0.2">
      <c r="K118" s="1403" t="s">
        <v>235</v>
      </c>
      <c r="L118" s="1395">
        <f>U111/1000</f>
        <v>61.672881944444448</v>
      </c>
      <c r="M118" s="1397">
        <f>V111</f>
        <v>0.59634226284676495</v>
      </c>
      <c r="N118" s="1395">
        <f ca="1">W111/1000</f>
        <v>15.782209999999999</v>
      </c>
      <c r="O118" s="1397">
        <f ca="1">X111</f>
        <v>0.48233961244640911</v>
      </c>
      <c r="P118" s="1395">
        <f ca="1">Y111/1000</f>
        <v>15.782209999999999</v>
      </c>
      <c r="Q118" s="1397">
        <f ca="1">P118/P112</f>
        <v>0.20147171255216237</v>
      </c>
    </row>
    <row r="119" spans="11:17" x14ac:dyDescent="0.2">
      <c r="K119" s="1404"/>
      <c r="L119" s="1396"/>
      <c r="M119" s="1398"/>
      <c r="N119" s="1396"/>
      <c r="O119" s="1398"/>
      <c r="P119" s="1396"/>
      <c r="Q119" s="1398"/>
    </row>
    <row r="120" spans="11:17" x14ac:dyDescent="0.2">
      <c r="K120" s="1405" t="s">
        <v>220</v>
      </c>
      <c r="L120" s="1399">
        <f>U112/1000</f>
        <v>41.40571805555556</v>
      </c>
      <c r="M120" s="1409">
        <f ca="1">V112</f>
        <v>0.16281529628132654</v>
      </c>
      <c r="N120" s="1448">
        <f ca="1">W112/1000</f>
        <v>8.9261300000000006</v>
      </c>
      <c r="O120" s="1407">
        <f ca="1">X112</f>
        <v>0.27280248360947335</v>
      </c>
      <c r="P120" s="1448">
        <f ca="1">N120</f>
        <v>8.9261300000000006</v>
      </c>
      <c r="Q120" s="1401">
        <f ca="1">M120</f>
        <v>0.16281529628132654</v>
      </c>
    </row>
    <row r="121" spans="11:17" x14ac:dyDescent="0.2">
      <c r="K121" s="1406"/>
      <c r="L121" s="1400"/>
      <c r="M121" s="1410"/>
      <c r="N121" s="1440"/>
      <c r="O121" s="1408"/>
      <c r="P121" s="1440"/>
      <c r="Q121" s="1402"/>
    </row>
    <row r="129" spans="10:26" x14ac:dyDescent="0.2">
      <c r="T129" s="524" t="s">
        <v>221</v>
      </c>
      <c r="U129" s="769" t="str">
        <f>"KP"&amp;Grunddaten!$B$7</f>
        <v>KP10</v>
      </c>
      <c r="V129" s="769" t="str">
        <f>IF(Grunddaten!$B$7=1,"RP"&amp;Grunddaten!$B$7,"KRP"&amp;Grunddaten!$B$7)</f>
        <v>KRP10</v>
      </c>
      <c r="W129" s="769" t="str">
        <f>"KI"&amp;Grunddaten!$B$7</f>
        <v>KI10</v>
      </c>
      <c r="X129" s="769" t="str">
        <f>IF(Grunddaten!$B$7=1,"RI"&amp;Grunddaten!$B$7,"KRI"&amp;Grunddaten!$B$7)</f>
        <v>KRI10</v>
      </c>
    </row>
    <row r="130" spans="10:26" x14ac:dyDescent="0.2">
      <c r="U130" s="1432" t="s">
        <v>205</v>
      </c>
      <c r="V130" s="1433"/>
      <c r="W130" s="1432" t="s">
        <v>206</v>
      </c>
      <c r="X130" s="1433"/>
      <c r="Y130" s="1432" t="s">
        <v>244</v>
      </c>
      <c r="Z130" s="1433"/>
    </row>
    <row r="131" spans="10:26" x14ac:dyDescent="0.2">
      <c r="U131" s="774" t="s">
        <v>207</v>
      </c>
      <c r="V131" s="774" t="s">
        <v>208</v>
      </c>
      <c r="W131" s="774" t="s">
        <v>209</v>
      </c>
      <c r="X131" s="774" t="s">
        <v>210</v>
      </c>
      <c r="Y131" s="788" t="s">
        <v>245</v>
      </c>
      <c r="Z131" s="788" t="s">
        <v>246</v>
      </c>
    </row>
    <row r="132" spans="10:26" x14ac:dyDescent="0.2">
      <c r="S132" s="770" t="s">
        <v>213</v>
      </c>
      <c r="T132" s="773" t="s">
        <v>214</v>
      </c>
      <c r="U132" s="776">
        <f>INDEX('Planzahlen Rentabilität'!$K$12:$FU$29,MATCH(Grafiken!$S132,'Planzahlen Rentabilität'!$A$12:$A$29,0),MATCH(Grafiken!U$129,'Planzahlen Rentabilität'!$K$9:$FU$9,0))</f>
        <v>848032.52</v>
      </c>
      <c r="V132" s="777">
        <f>INDEX('Planzahlen Rentabilität'!$K$12:$FU$29,MATCH(Grafiken!$S132,'Planzahlen Rentabilität'!$A$12:$A$29,0),MATCH(Grafiken!V$129,'Planzahlen Rentabilität'!$K$9:$FU$9,0))</f>
        <v>1</v>
      </c>
      <c r="W132" s="776">
        <f ca="1">INDEX('Planzahlen Rentabilität'!$K$12:$FU$29,MATCH(Grafiken!$S132,'Planzahlen Rentabilität'!$A$12:$A$29,0),MATCH(Grafiken!W$129,'Planzahlen Rentabilität'!$K$9:$FU$9,0))</f>
        <v>158672.84000000003</v>
      </c>
      <c r="X132" s="777">
        <f>INDEX('Planzahlen Rentabilität'!$K$12:$FU$29,MATCH(Grafiken!$S132,'Planzahlen Rentabilität'!$A$12:$A$29,0),MATCH(Grafiken!X$129,'Planzahlen Rentabilität'!$K$9:$FU$9,0))</f>
        <v>1</v>
      </c>
      <c r="Y132" s="776">
        <f ca="1">Y134*Z132/Z134</f>
        <v>826989.71000930772</v>
      </c>
      <c r="Z132" s="777">
        <v>1</v>
      </c>
    </row>
    <row r="133" spans="10:26" x14ac:dyDescent="0.2">
      <c r="S133" s="51"/>
      <c r="T133" s="771" t="s">
        <v>215</v>
      </c>
      <c r="U133" s="776">
        <f>U132-U134</f>
        <v>2788</v>
      </c>
      <c r="V133" s="777">
        <f>U133/U132</f>
        <v>3.2876097723233536E-3</v>
      </c>
      <c r="W133" s="776">
        <f ca="1">W132-W134</f>
        <v>10942.840000000026</v>
      </c>
      <c r="X133" s="777">
        <f ca="1">W133/W132</f>
        <v>6.896479573946003E-2</v>
      </c>
      <c r="Y133" s="776">
        <f ca="1">Y132-Y134</f>
        <v>679259.71000930772</v>
      </c>
      <c r="Z133" s="777">
        <f ca="1">Y133/Y132</f>
        <v>0.82136416183662397</v>
      </c>
    </row>
    <row r="134" spans="10:26" ht="12.75" customHeight="1" x14ac:dyDescent="0.2">
      <c r="J134" s="492"/>
      <c r="K134" s="1426" t="s">
        <v>224</v>
      </c>
      <c r="L134" s="1428" t="s">
        <v>225</v>
      </c>
      <c r="M134" s="1430" t="s">
        <v>120</v>
      </c>
      <c r="N134" s="1428" t="s">
        <v>226</v>
      </c>
      <c r="O134" s="1430" t="s">
        <v>120</v>
      </c>
      <c r="P134" s="1434" t="s">
        <v>244</v>
      </c>
      <c r="Q134" s="1430" t="s">
        <v>120</v>
      </c>
      <c r="S134" s="770" t="s">
        <v>216</v>
      </c>
      <c r="T134" s="775" t="s">
        <v>217</v>
      </c>
      <c r="U134" s="781">
        <f>INDEX('Planzahlen Rentabilität'!$K$12:$FU$29,MATCH(Grafiken!$S134,'Planzahlen Rentabilität'!$A$12:$A$29,0),MATCH(Grafiken!U$129,'Planzahlen Rentabilität'!$K$9:$FU$9,0))</f>
        <v>845244.52</v>
      </c>
      <c r="V134" s="794">
        <f ca="1">INDEX('Planzahlen Rentabilität'!$K$12:$FU$29,MATCH(Grafiken!$S134,'Planzahlen Rentabilität'!$A$12:$A$29,0),MATCH(Grafiken!V$129,'Planzahlen Rentabilität'!$K$9:$FU$9,0))</f>
        <v>0.17863583816337608</v>
      </c>
      <c r="W134" s="795">
        <f ca="1">INDEX('Planzahlen Rentabilität'!$K$12:$FU$29,MATCH(Grafiken!$S134,'Planzahlen Rentabilität'!$A$12:$A$29,0),MATCH(Grafiken!W$129,'Planzahlen Rentabilität'!$K$9:$FU$9,0))</f>
        <v>147730</v>
      </c>
      <c r="X134" s="780">
        <f ca="1">INDEX('Planzahlen Rentabilität'!$K$12:$FU$29,MATCH(Grafiken!$S134,'Planzahlen Rentabilität'!$A$12:$A$29,0),MATCH(Grafiken!X$129,'Planzahlen Rentabilität'!$K$9:$FU$9,0))</f>
        <v>0.93103520426053998</v>
      </c>
      <c r="Y134" s="782">
        <f ca="1">W134</f>
        <v>147730</v>
      </c>
      <c r="Z134" s="783">
        <f ca="1">V134</f>
        <v>0.17863583816337608</v>
      </c>
    </row>
    <row r="135" spans="10:26" x14ac:dyDescent="0.2">
      <c r="J135" s="492"/>
      <c r="K135" s="1427"/>
      <c r="L135" s="1429"/>
      <c r="M135" s="1431"/>
      <c r="N135" s="1429"/>
      <c r="O135" s="1431"/>
      <c r="P135" s="1435"/>
      <c r="Q135" s="1431"/>
      <c r="T135" s="771" t="s">
        <v>218</v>
      </c>
      <c r="U135" s="787">
        <f>U134-U136</f>
        <v>624931.76944444445</v>
      </c>
      <c r="V135" s="777">
        <f>U135/U132</f>
        <v>0.73691958115526568</v>
      </c>
      <c r="W135" s="776">
        <f ca="1">W134-W136</f>
        <v>132487.95000000001</v>
      </c>
      <c r="X135" s="786">
        <f ca="1">W135/W132</f>
        <v>0.83497560136945925</v>
      </c>
      <c r="Y135" s="776">
        <f ca="1">Y134-Y136</f>
        <v>132487.95000000001</v>
      </c>
      <c r="Z135" s="777">
        <f ca="1">Y135/Y132</f>
        <v>0.16020507679413432</v>
      </c>
    </row>
    <row r="136" spans="10:26" x14ac:dyDescent="0.2">
      <c r="J136" s="492"/>
      <c r="K136" s="1421" t="s">
        <v>230</v>
      </c>
      <c r="L136" s="1425">
        <f>U132/1000</f>
        <v>848.03251999999998</v>
      </c>
      <c r="M136" s="1424">
        <v>1</v>
      </c>
      <c r="N136" s="1425">
        <f ca="1">W132/1000</f>
        <v>158.67284000000004</v>
      </c>
      <c r="O136" s="1424">
        <v>1</v>
      </c>
      <c r="P136" s="1425">
        <f ca="1">Y132/1000</f>
        <v>826.98971000930771</v>
      </c>
      <c r="Q136" s="1424">
        <v>1</v>
      </c>
      <c r="S136" s="770" t="s">
        <v>219</v>
      </c>
      <c r="T136" s="775" t="s">
        <v>220</v>
      </c>
      <c r="U136" s="781">
        <f>INDEX('Planzahlen Rentabilität'!$K$12:$FU$29,MATCH(Grafiken!$S136,'Planzahlen Rentabilität'!$A$12:$A$29,0),MATCH(Grafiken!U$129,'Planzahlen Rentabilität'!$K$9:$FU$9,0))</f>
        <v>220312.7505555556</v>
      </c>
      <c r="V136" s="794">
        <f ca="1">INDEX('Planzahlen Rentabilität'!$K$12:$FU$29,MATCH(Grafiken!$S136,'Planzahlen Rentabilität'!$A$12:$A$29,0),MATCH(Grafiken!V$129,'Planzahlen Rentabilität'!$K$9:$FU$9,0))</f>
        <v>2.2406039334434961E-2</v>
      </c>
      <c r="W136" s="795">
        <f ca="1">INDEX('Planzahlen Rentabilität'!$K$12:$FU$29,MATCH(Grafiken!$S136,'Planzahlen Rentabilität'!$A$12:$A$29,0),MATCH(Grafiken!W$129,'Planzahlen Rentabilität'!$K$9:$FU$9,0))</f>
        <v>15242.050000000001</v>
      </c>
      <c r="X136" s="780">
        <f ca="1">INDEX('Planzahlen Rentabilität'!$K$12:$FU$29,MATCH(Grafiken!$S136,'Planzahlen Rentabilität'!$A$12:$A$29,0),MATCH(Grafiken!X$129,'Planzahlen Rentabilität'!$K$9:$FU$9,0))</f>
        <v>9.6059602891080786E-2</v>
      </c>
      <c r="Y136" s="782">
        <f ca="1">W136</f>
        <v>15242.050000000001</v>
      </c>
      <c r="Z136" s="783">
        <f ca="1">V136</f>
        <v>2.2406039334434961E-2</v>
      </c>
    </row>
    <row r="137" spans="10:26" x14ac:dyDescent="0.2">
      <c r="J137" s="492"/>
      <c r="K137" s="1411"/>
      <c r="L137" s="1412"/>
      <c r="M137" s="1413"/>
      <c r="N137" s="1412"/>
      <c r="O137" s="1413"/>
      <c r="P137" s="1412"/>
      <c r="Q137" s="1413"/>
    </row>
    <row r="138" spans="10:26" x14ac:dyDescent="0.2">
      <c r="J138" s="492"/>
      <c r="K138" s="1403" t="s">
        <v>231</v>
      </c>
      <c r="L138" s="1395">
        <f>U133/1000</f>
        <v>2.7879999999999998</v>
      </c>
      <c r="M138" s="1397">
        <f>V133</f>
        <v>3.2876097723233536E-3</v>
      </c>
      <c r="N138" s="1395">
        <f ca="1">W133/1000</f>
        <v>10.942840000000025</v>
      </c>
      <c r="O138" s="1397">
        <f ca="1">X133</f>
        <v>6.896479573946003E-2</v>
      </c>
      <c r="P138" s="1395">
        <f ca="1">Y133/1000</f>
        <v>679.2597100093077</v>
      </c>
      <c r="Q138" s="1397">
        <f ca="1">P138/P136</f>
        <v>0.82136416183662386</v>
      </c>
    </row>
    <row r="139" spans="10:26" x14ac:dyDescent="0.2">
      <c r="J139" s="492"/>
      <c r="K139" s="1416"/>
      <c r="L139" s="1396"/>
      <c r="M139" s="1398"/>
      <c r="N139" s="1396"/>
      <c r="O139" s="1398"/>
      <c r="P139" s="1396"/>
      <c r="Q139" s="1398"/>
    </row>
    <row r="140" spans="10:26" x14ac:dyDescent="0.2">
      <c r="J140" s="492"/>
      <c r="K140" s="1405" t="s">
        <v>217</v>
      </c>
      <c r="L140" s="1399">
        <f>U134/1000</f>
        <v>845.24451999999997</v>
      </c>
      <c r="M140" s="1409">
        <f ca="1">V134</f>
        <v>0.17863583816337608</v>
      </c>
      <c r="N140" s="1448">
        <f ca="1">W134/1000</f>
        <v>147.72999999999999</v>
      </c>
      <c r="O140" s="1407">
        <f ca="1">X134</f>
        <v>0.93103520426053998</v>
      </c>
      <c r="P140" s="1448">
        <f ca="1">N140</f>
        <v>147.72999999999999</v>
      </c>
      <c r="Q140" s="1401">
        <f ca="1">M140</f>
        <v>0.17863583816337608</v>
      </c>
    </row>
    <row r="141" spans="10:26" x14ac:dyDescent="0.2">
      <c r="J141" s="492"/>
      <c r="K141" s="1411"/>
      <c r="L141" s="1412"/>
      <c r="M141" s="1414"/>
      <c r="N141" s="1423"/>
      <c r="O141" s="1413"/>
      <c r="P141" s="1423"/>
      <c r="Q141" s="1415"/>
    </row>
    <row r="142" spans="10:26" x14ac:dyDescent="0.2">
      <c r="J142" s="492"/>
      <c r="K142" s="1403" t="s">
        <v>235</v>
      </c>
      <c r="L142" s="1395">
        <f>U135/1000</f>
        <v>624.9317694444444</v>
      </c>
      <c r="M142" s="1397">
        <f>V135</f>
        <v>0.73691958115526568</v>
      </c>
      <c r="N142" s="1395">
        <f ca="1">W135/1000</f>
        <v>132.48795000000001</v>
      </c>
      <c r="O142" s="1397">
        <f ca="1">X135</f>
        <v>0.83497560136945925</v>
      </c>
      <c r="P142" s="1395">
        <f ca="1">Y135/1000</f>
        <v>132.48795000000001</v>
      </c>
      <c r="Q142" s="1397">
        <f ca="1">P142/P136</f>
        <v>0.16020507679413432</v>
      </c>
    </row>
    <row r="143" spans="10:26" x14ac:dyDescent="0.2">
      <c r="J143" s="492"/>
      <c r="K143" s="1404"/>
      <c r="L143" s="1396"/>
      <c r="M143" s="1398"/>
      <c r="N143" s="1396"/>
      <c r="O143" s="1398"/>
      <c r="P143" s="1396"/>
      <c r="Q143" s="1398"/>
    </row>
    <row r="144" spans="10:26" x14ac:dyDescent="0.2">
      <c r="J144" s="492"/>
      <c r="K144" s="1405" t="s">
        <v>220</v>
      </c>
      <c r="L144" s="1399">
        <f>U136/1000</f>
        <v>220.3127505555556</v>
      </c>
      <c r="M144" s="1409">
        <f ca="1">V136</f>
        <v>2.2406039334434961E-2</v>
      </c>
      <c r="N144" s="1448">
        <f ca="1">W136/1000</f>
        <v>15.242050000000001</v>
      </c>
      <c r="O144" s="1407">
        <f ca="1">X136</f>
        <v>9.6059602891080786E-2</v>
      </c>
      <c r="P144" s="1448">
        <f ca="1">N144</f>
        <v>15.242050000000001</v>
      </c>
      <c r="Q144" s="1401">
        <f ca="1">M144</f>
        <v>2.2406039334434961E-2</v>
      </c>
    </row>
    <row r="145" spans="1:26" x14ac:dyDescent="0.2">
      <c r="J145" s="492"/>
      <c r="K145" s="1406"/>
      <c r="L145" s="1400"/>
      <c r="M145" s="1410"/>
      <c r="N145" s="1440"/>
      <c r="O145" s="1408"/>
      <c r="P145" s="1440"/>
      <c r="Q145" s="1402"/>
    </row>
    <row r="146" spans="1:26" x14ac:dyDescent="0.2">
      <c r="J146" s="492"/>
      <c r="K146" s="492"/>
      <c r="L146" s="785"/>
      <c r="M146" s="785"/>
      <c r="N146" s="785"/>
      <c r="O146" s="785"/>
      <c r="P146" s="785"/>
      <c r="Q146" s="785"/>
    </row>
    <row r="147" spans="1:26" x14ac:dyDescent="0.2">
      <c r="L147" s="489"/>
      <c r="M147" s="489"/>
      <c r="N147" s="489"/>
      <c r="O147" s="489"/>
      <c r="P147" s="489"/>
      <c r="Q147" s="489"/>
    </row>
    <row r="152" spans="1:26" ht="15" x14ac:dyDescent="0.2">
      <c r="A152" s="487" t="str">
        <f>"DB-Analysen zum "&amp;Grunddaten!$E$7&amp;" "&amp;Grunddaten!$B$5</f>
        <v>DB-Analysen zum Oktober 2019</v>
      </c>
    </row>
    <row r="153" spans="1:26" ht="12.75" customHeight="1" x14ac:dyDescent="0.2">
      <c r="A153" s="1461"/>
      <c r="B153" s="1461"/>
      <c r="C153" s="1461"/>
      <c r="D153" s="1461"/>
      <c r="E153" s="1461"/>
      <c r="F153" s="1461"/>
      <c r="G153" s="1461"/>
      <c r="H153" s="1461"/>
      <c r="I153" s="1461"/>
      <c r="J153" s="1461"/>
      <c r="K153" s="1461"/>
      <c r="L153" s="1461"/>
      <c r="M153" s="1461"/>
      <c r="N153" s="1461"/>
      <c r="O153" s="1461"/>
      <c r="P153" s="1461"/>
      <c r="Q153" s="1461"/>
    </row>
    <row r="154" spans="1:26" x14ac:dyDescent="0.2">
      <c r="A154" s="1461" t="s">
        <v>247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  <c r="L154" s="1461"/>
      <c r="M154" s="1461"/>
      <c r="N154" s="1461"/>
      <c r="O154" s="1461"/>
      <c r="P154" s="1461"/>
      <c r="Q154" s="1461"/>
    </row>
    <row r="156" spans="1:26" x14ac:dyDescent="0.2">
      <c r="T156" s="524" t="s">
        <v>204</v>
      </c>
      <c r="U156" s="769" t="str">
        <f>"P"&amp;Grunddaten!$B$7</f>
        <v>P10</v>
      </c>
      <c r="V156" s="769" t="str">
        <f>"RP"&amp;Grunddaten!$B$7</f>
        <v>RP10</v>
      </c>
      <c r="W156" s="769" t="str">
        <f>"I"&amp;Grunddaten!$B$7</f>
        <v>I10</v>
      </c>
      <c r="X156" s="769" t="str">
        <f>"RI"&amp;Grunddaten!$B$7</f>
        <v>RI10</v>
      </c>
    </row>
    <row r="157" spans="1:26" x14ac:dyDescent="0.2">
      <c r="U157" s="1432" t="s">
        <v>205</v>
      </c>
      <c r="V157" s="1433"/>
      <c r="W157" s="1432" t="s">
        <v>206</v>
      </c>
      <c r="X157" s="1433"/>
      <c r="Y157" s="1432" t="s">
        <v>223</v>
      </c>
      <c r="Z157" s="1433"/>
    </row>
    <row r="158" spans="1:26" x14ac:dyDescent="0.2">
      <c r="K158" s="1426" t="s">
        <v>224</v>
      </c>
      <c r="L158" s="1428" t="s">
        <v>225</v>
      </c>
      <c r="M158" s="1430" t="s">
        <v>120</v>
      </c>
      <c r="N158" s="1428" t="s">
        <v>226</v>
      </c>
      <c r="O158" s="1430" t="s">
        <v>120</v>
      </c>
      <c r="P158" s="1457" t="s">
        <v>227</v>
      </c>
      <c r="Q158" s="1430" t="s">
        <v>120</v>
      </c>
      <c r="U158" s="774" t="s">
        <v>207</v>
      </c>
      <c r="V158" s="774" t="s">
        <v>208</v>
      </c>
      <c r="W158" s="774" t="s">
        <v>209</v>
      </c>
      <c r="X158" s="774" t="s">
        <v>210</v>
      </c>
      <c r="Y158" s="788" t="s">
        <v>228</v>
      </c>
      <c r="Z158" s="788" t="s">
        <v>229</v>
      </c>
    </row>
    <row r="159" spans="1:26" x14ac:dyDescent="0.2">
      <c r="K159" s="1427"/>
      <c r="L159" s="1429"/>
      <c r="M159" s="1431"/>
      <c r="N159" s="1429"/>
      <c r="O159" s="1431"/>
      <c r="P159" s="1458"/>
      <c r="Q159" s="1431"/>
      <c r="S159" s="770" t="s">
        <v>213</v>
      </c>
      <c r="T159" s="773" t="s">
        <v>214</v>
      </c>
      <c r="U159" s="776">
        <f>INDEX('Planzahlen Rentabilität'!$K$12:$FU$29,MATCH(Grafiken!$S159,'Planzahlen Rentabilität'!$A$12:$A$29,0),MATCH(Grafiken!U$156,'Planzahlen Rentabilität'!$K$9:$FU$9,0))</f>
        <v>103418.6</v>
      </c>
      <c r="V159" s="777">
        <f>INDEX('Planzahlen Rentabilität'!$K$12:$FU$29,MATCH(Grafiken!$S159,'Planzahlen Rentabilität'!$A$12:$A$29,0),MATCH(Grafiken!V$156,'Planzahlen Rentabilität'!$K$9:$FU$9,0))</f>
        <v>1</v>
      </c>
      <c r="W159" s="779">
        <f ca="1">INDEX('Planzahlen Rentabilität'!$K$12:$FU$29,MATCH(Grafiken!$S159,'Planzahlen Rentabilität'!$A$12:$A$29,0),MATCH(Grafiken!W$156,'Planzahlen Rentabilität'!$K$9:$FU$9,0))</f>
        <v>32720.12</v>
      </c>
      <c r="X159" s="777">
        <f>INDEX('Planzahlen Rentabilität'!$K$12:$FU$29,MATCH(Grafiken!$S159,'Planzahlen Rentabilität'!$A$12:$A$29,0),MATCH(Grafiken!X$156,'Planzahlen Rentabilität'!$K$9:$FU$9,0))</f>
        <v>1</v>
      </c>
      <c r="Y159" s="799">
        <f ca="1">W159</f>
        <v>32720.12</v>
      </c>
      <c r="Z159" s="777">
        <v>1</v>
      </c>
    </row>
    <row r="160" spans="1:26" x14ac:dyDescent="0.2">
      <c r="K160" s="1421" t="s">
        <v>230</v>
      </c>
      <c r="L160" s="1425">
        <f>U159/1000</f>
        <v>103.41860000000001</v>
      </c>
      <c r="M160" s="1424">
        <v>1</v>
      </c>
      <c r="N160" s="1422">
        <f ca="1">W159/1000</f>
        <v>32.720120000000001</v>
      </c>
      <c r="O160" s="1424">
        <v>1</v>
      </c>
      <c r="P160" s="1422">
        <f ca="1">N160</f>
        <v>32.720120000000001</v>
      </c>
      <c r="Q160" s="1424">
        <v>1</v>
      </c>
      <c r="S160" s="51"/>
      <c r="T160" s="771" t="s">
        <v>215</v>
      </c>
      <c r="U160" s="776">
        <f>U159-U161</f>
        <v>340</v>
      </c>
      <c r="V160" s="777">
        <f>U160/U159</f>
        <v>3.2876097723233536E-3</v>
      </c>
      <c r="W160" s="776">
        <f ca="1">W159-W161</f>
        <v>8011.7799999999988</v>
      </c>
      <c r="X160" s="777">
        <f ca="1">W160/W159</f>
        <v>0.24485790394411755</v>
      </c>
      <c r="Y160" s="776" t="e">
        <f ca="1">Y159-Y161</f>
        <v>#N/A</v>
      </c>
      <c r="Z160" s="777" t="e">
        <f ca="1">Y160/Y159</f>
        <v>#N/A</v>
      </c>
    </row>
    <row r="161" spans="10:26" x14ac:dyDescent="0.2">
      <c r="K161" s="1411"/>
      <c r="L161" s="1412"/>
      <c r="M161" s="1413"/>
      <c r="N161" s="1423"/>
      <c r="O161" s="1413"/>
      <c r="P161" s="1423"/>
      <c r="Q161" s="1413"/>
      <c r="S161" s="770" t="s">
        <v>216</v>
      </c>
      <c r="T161" s="775" t="s">
        <v>217</v>
      </c>
      <c r="U161" s="796">
        <f>INDEX('Planzahlen Rentabilität'!$K$12:$FU$29,MATCH(Grafiken!$S161,'Planzahlen Rentabilität'!$A$12:$A$29,0),MATCH(Grafiken!U$156,'Planzahlen Rentabilität'!$K$9:$FU$9,0))</f>
        <v>103078.6</v>
      </c>
      <c r="V161" s="780">
        <f ca="1">INDEX('Planzahlen Rentabilität'!$K$12:$FU$29,MATCH(Grafiken!$S161,'Planzahlen Rentabilität'!$A$12:$A$29,0),MATCH(Grafiken!V$156,'Planzahlen Rentabilität'!$K$9:$FU$9,0))</f>
        <v>0.31542043694267757</v>
      </c>
      <c r="W161" s="781">
        <f ca="1">INDEX('Planzahlen Rentabilität'!$K$12:$FU$29,MATCH(Grafiken!$S161,'Planzahlen Rentabilität'!$A$12:$A$29,0),MATCH(Grafiken!W$156,'Planzahlen Rentabilität'!$K$9:$FU$9,0))</f>
        <v>24708.34</v>
      </c>
      <c r="X161" s="780">
        <f ca="1">INDEX('Planzahlen Rentabilität'!$K$12:$FU$29,MATCH(Grafiken!$S161,'Planzahlen Rentabilität'!$A$12:$A$29,0),MATCH(Grafiken!X$156,'Planzahlen Rentabilität'!$K$9:$FU$9,0))</f>
        <v>0.75514209605588245</v>
      </c>
      <c r="Y161" s="782" t="e">
        <f ca="1">W165</f>
        <v>#N/A</v>
      </c>
      <c r="Z161" s="783" t="e">
        <f ca="1">Y161/Y159</f>
        <v>#N/A</v>
      </c>
    </row>
    <row r="162" spans="10:26" x14ac:dyDescent="0.2">
      <c r="K162" s="1403" t="s">
        <v>231</v>
      </c>
      <c r="L162" s="1395">
        <f>U160/1000</f>
        <v>0.34</v>
      </c>
      <c r="M162" s="1397">
        <f>V160</f>
        <v>3.2876097723233536E-3</v>
      </c>
      <c r="N162" s="1395">
        <f ca="1">W160/1000</f>
        <v>8.0117799999999981</v>
      </c>
      <c r="O162" s="1397">
        <f ca="1">X160</f>
        <v>0.24485790394411755</v>
      </c>
      <c r="P162" s="1395" t="e">
        <f ca="1">Y160/1000</f>
        <v>#N/A</v>
      </c>
      <c r="Q162" s="1397" t="e">
        <f ca="1">Z160</f>
        <v>#N/A</v>
      </c>
      <c r="S162" s="770"/>
      <c r="T162" s="771" t="s">
        <v>218</v>
      </c>
      <c r="U162" s="776">
        <f>U161-U163</f>
        <v>61672.881944444445</v>
      </c>
      <c r="V162" s="777">
        <f>U162/U159</f>
        <v>0.59634226284676495</v>
      </c>
      <c r="W162" s="776">
        <f ca="1">W161-W163</f>
        <v>15782.21</v>
      </c>
      <c r="X162" s="777">
        <f ca="1">W162/W159</f>
        <v>0.48233961244640911</v>
      </c>
      <c r="Y162" s="776" t="e">
        <f ca="1">Y161-Y163</f>
        <v>#N/A</v>
      </c>
      <c r="Z162" s="777" t="e">
        <f ca="1">Y162/Y159</f>
        <v>#N/A</v>
      </c>
    </row>
    <row r="163" spans="10:26" x14ac:dyDescent="0.2">
      <c r="K163" s="1416"/>
      <c r="L163" s="1396"/>
      <c r="M163" s="1398"/>
      <c r="N163" s="1396"/>
      <c r="O163" s="1398"/>
      <c r="P163" s="1396"/>
      <c r="Q163" s="1398"/>
      <c r="S163" s="770" t="s">
        <v>219</v>
      </c>
      <c r="T163" s="775" t="s">
        <v>220</v>
      </c>
      <c r="U163" s="796">
        <f>INDEX('Planzahlen Rentabilität'!$K$12:$FU$29,MATCH(Grafiken!$S163,'Planzahlen Rentabilität'!$A$12:$A$29,0),MATCH(Grafiken!U$156,'Planzahlen Rentabilität'!$K$9:$FU$9,0))</f>
        <v>41405.718055555561</v>
      </c>
      <c r="V163" s="780">
        <f ca="1">INDEX('Planzahlen Rentabilität'!$K$12:$FU$29,MATCH(Grafiken!$S163,'Planzahlen Rentabilität'!$A$12:$A$29,0),MATCH(Grafiken!V$156,'Planzahlen Rentabilität'!$K$9:$FU$9,0))</f>
        <v>0.16281529628132654</v>
      </c>
      <c r="W163" s="781">
        <f ca="1">INDEX('Planzahlen Rentabilität'!$K$12:$FU$29,MATCH(Grafiken!$S163,'Planzahlen Rentabilität'!$A$12:$A$29,0),MATCH(Grafiken!W$156,'Planzahlen Rentabilität'!$K$9:$FU$9,0))</f>
        <v>8926.130000000001</v>
      </c>
      <c r="X163" s="780">
        <f ca="1">INDEX('Planzahlen Rentabilität'!$K$12:$FU$29,MATCH(Grafiken!$S163,'Planzahlen Rentabilität'!$A$12:$A$29,0),MATCH(Grafiken!X$156,'Planzahlen Rentabilität'!$K$9:$FU$9,0))</f>
        <v>0.27280248360947335</v>
      </c>
      <c r="Y163" s="782" t="e">
        <f ca="1">W166</f>
        <v>#N/A</v>
      </c>
      <c r="Z163" s="797" t="e">
        <f ca="1">Y163/Y159</f>
        <v>#N/A</v>
      </c>
    </row>
    <row r="164" spans="10:26" x14ac:dyDescent="0.2">
      <c r="K164" s="1405" t="s">
        <v>217</v>
      </c>
      <c r="L164" s="1399">
        <f>U161/1000</f>
        <v>103.07860000000001</v>
      </c>
      <c r="M164" s="1407">
        <f ca="1">V161</f>
        <v>0.31542043694267757</v>
      </c>
      <c r="N164" s="1399">
        <f ca="1">W161/1000</f>
        <v>24.70834</v>
      </c>
      <c r="O164" s="1407">
        <f ca="1">X161</f>
        <v>0.75514209605588245</v>
      </c>
      <c r="P164" s="1448" t="e">
        <f ca="1">N172</f>
        <v>#N/A</v>
      </c>
      <c r="Q164" s="1449" t="e">
        <f ca="1">Z161</f>
        <v>#N/A</v>
      </c>
      <c r="S164" s="770" t="s">
        <v>232</v>
      </c>
      <c r="T164" s="771" t="s">
        <v>233</v>
      </c>
      <c r="U164" s="776" t="e">
        <f>INDEX('Planzahlen Rentabilität'!$K$12:$FU$62,MATCH(Grafiken!$S164,'Planzahlen Rentabilität'!$A$12:$A$62,0),MATCH(Grafiken!U$156,'Planzahlen Rentabilität'!$K$9:$FU$9,0))</f>
        <v>#N/A</v>
      </c>
      <c r="V164" s="777"/>
      <c r="W164" s="776" t="e">
        <f>INDEX('Planzahlen Rentabilität'!$K$12:$FU$62,MATCH(Grafiken!$S164,'Planzahlen Rentabilität'!$A$12:$A$62,0),MATCH(Grafiken!W$156,'Planzahlen Rentabilität'!$K$9:$FU$9,0))</f>
        <v>#N/A</v>
      </c>
      <c r="X164" s="777"/>
      <c r="Y164" s="776"/>
      <c r="Z164" s="777"/>
    </row>
    <row r="165" spans="10:26" x14ac:dyDescent="0.2">
      <c r="K165" s="1411"/>
      <c r="L165" s="1412"/>
      <c r="M165" s="1413"/>
      <c r="N165" s="1412"/>
      <c r="O165" s="1413"/>
      <c r="P165" s="1423"/>
      <c r="Q165" s="1452"/>
      <c r="T165" s="775" t="s">
        <v>234</v>
      </c>
      <c r="U165" s="781" t="e">
        <f>U161-U164</f>
        <v>#N/A</v>
      </c>
      <c r="V165" s="780"/>
      <c r="W165" s="795" t="e">
        <f ca="1">W161-W164</f>
        <v>#N/A</v>
      </c>
      <c r="X165" s="794"/>
      <c r="Y165" s="789"/>
      <c r="Z165" s="790"/>
    </row>
    <row r="166" spans="10:26" x14ac:dyDescent="0.2">
      <c r="K166" s="1403" t="s">
        <v>235</v>
      </c>
      <c r="L166" s="1395">
        <f>U162/1000</f>
        <v>61.672881944444448</v>
      </c>
      <c r="M166" s="1397">
        <f>V162</f>
        <v>0.59634226284676495</v>
      </c>
      <c r="N166" s="1395">
        <f ca="1">W162/1000</f>
        <v>15.782209999999999</v>
      </c>
      <c r="O166" s="1397">
        <f ca="1">X162</f>
        <v>0.48233961244640911</v>
      </c>
      <c r="P166" s="1395" t="e">
        <f ca="1">Y162/1000</f>
        <v>#N/A</v>
      </c>
      <c r="Q166" s="1397" t="e">
        <f ca="1">Z162</f>
        <v>#N/A</v>
      </c>
      <c r="T166" s="775" t="s">
        <v>236</v>
      </c>
      <c r="U166" s="781" t="e">
        <f>U163-U164</f>
        <v>#N/A</v>
      </c>
      <c r="V166" s="780"/>
      <c r="W166" s="795" t="e">
        <f ca="1">W163-W164</f>
        <v>#N/A</v>
      </c>
      <c r="X166" s="794"/>
      <c r="Y166" s="789"/>
      <c r="Z166" s="790"/>
    </row>
    <row r="167" spans="10:26" x14ac:dyDescent="0.2">
      <c r="K167" s="1404"/>
      <c r="L167" s="1396"/>
      <c r="M167" s="1398"/>
      <c r="N167" s="1396"/>
      <c r="O167" s="1398"/>
      <c r="P167" s="1396"/>
      <c r="Q167" s="1398"/>
    </row>
    <row r="168" spans="10:26" x14ac:dyDescent="0.2">
      <c r="K168" s="1405" t="s">
        <v>220</v>
      </c>
      <c r="L168" s="1399">
        <f>U163/1000</f>
        <v>41.40571805555556</v>
      </c>
      <c r="M168" s="1407">
        <f ca="1">V163</f>
        <v>0.16281529628132654</v>
      </c>
      <c r="N168" s="1399">
        <f ca="1">W163/1000</f>
        <v>8.9261300000000006</v>
      </c>
      <c r="O168" s="1407">
        <f ca="1">X163</f>
        <v>0.27280248360947335</v>
      </c>
      <c r="P168" s="1448" t="e">
        <f ca="1">N174</f>
        <v>#N/A</v>
      </c>
      <c r="Q168" s="1449" t="e">
        <f ca="1">Z163</f>
        <v>#N/A</v>
      </c>
    </row>
    <row r="169" spans="10:26" x14ac:dyDescent="0.2">
      <c r="K169" s="1406"/>
      <c r="L169" s="1400"/>
      <c r="M169" s="1408"/>
      <c r="N169" s="1400"/>
      <c r="O169" s="1408"/>
      <c r="P169" s="1440"/>
      <c r="Q169" s="1450"/>
    </row>
    <row r="170" spans="10:26" x14ac:dyDescent="0.2">
      <c r="K170" s="1421" t="s">
        <v>237</v>
      </c>
      <c r="L170" s="1453"/>
      <c r="M170" s="1456"/>
      <c r="N170" s="1425" t="e">
        <f>W164/1000</f>
        <v>#N/A</v>
      </c>
      <c r="O170" s="1424" t="e">
        <f ca="1">N170/N160</f>
        <v>#N/A</v>
      </c>
      <c r="P170" s="1436"/>
      <c r="Q170" s="1451"/>
    </row>
    <row r="171" spans="10:26" x14ac:dyDescent="0.2">
      <c r="K171" s="1416"/>
      <c r="L171" s="1442"/>
      <c r="M171" s="1444"/>
      <c r="N171" s="1396"/>
      <c r="O171" s="1398"/>
      <c r="P171" s="1437"/>
      <c r="Q171" s="1438"/>
    </row>
    <row r="172" spans="10:26" x14ac:dyDescent="0.2">
      <c r="K172" s="1404" t="s">
        <v>241</v>
      </c>
      <c r="L172" s="1442"/>
      <c r="M172" s="1444"/>
      <c r="N172" s="1439" t="e">
        <f ca="1">N164-N170</f>
        <v>#N/A</v>
      </c>
      <c r="O172" s="1441"/>
      <c r="P172" s="1437"/>
      <c r="Q172" s="1438"/>
    </row>
    <row r="173" spans="10:26" x14ac:dyDescent="0.2">
      <c r="K173" s="1411"/>
      <c r="L173" s="1442"/>
      <c r="M173" s="1444"/>
      <c r="N173" s="1423"/>
      <c r="O173" s="1413"/>
      <c r="P173" s="1437"/>
      <c r="Q173" s="1438"/>
    </row>
    <row r="174" spans="10:26" x14ac:dyDescent="0.2">
      <c r="K174" s="1403" t="s">
        <v>242</v>
      </c>
      <c r="L174" s="1442"/>
      <c r="M174" s="1444"/>
      <c r="N174" s="1439" t="e">
        <f ca="1">N168-N170</f>
        <v>#N/A</v>
      </c>
      <c r="O174" s="1441"/>
      <c r="P174" s="1437"/>
      <c r="Q174" s="1438"/>
    </row>
    <row r="175" spans="10:26" x14ac:dyDescent="0.2">
      <c r="J175" s="525" t="s">
        <v>240</v>
      </c>
      <c r="K175" s="1406"/>
      <c r="L175" s="1443"/>
      <c r="M175" s="1445"/>
      <c r="N175" s="1440"/>
      <c r="O175" s="1408"/>
      <c r="P175" s="1446"/>
      <c r="Q175" s="1447"/>
    </row>
    <row r="176" spans="10:26" x14ac:dyDescent="0.2">
      <c r="L176" s="492"/>
    </row>
    <row r="180" spans="10:26" x14ac:dyDescent="0.2">
      <c r="T180" s="524" t="s">
        <v>221</v>
      </c>
      <c r="U180" s="769" t="str">
        <f>"KP"&amp;Grunddaten!$B$7</f>
        <v>KP10</v>
      </c>
      <c r="V180" s="769" t="str">
        <f>IF(Grunddaten!$B$7=1,"RP"&amp;Grunddaten!$B$7,"KRP"&amp;Grunddaten!$B$7)</f>
        <v>KRP10</v>
      </c>
      <c r="W180" s="769" t="str">
        <f>"KI"&amp;Grunddaten!$B$7</f>
        <v>KI10</v>
      </c>
      <c r="X180" s="769" t="str">
        <f>IF(Grunddaten!$B$7=1,"RI"&amp;Grunddaten!$B$7,"KRI"&amp;Grunddaten!$B$7)</f>
        <v>KRI10</v>
      </c>
    </row>
    <row r="181" spans="10:26" x14ac:dyDescent="0.2">
      <c r="U181" s="1432" t="s">
        <v>205</v>
      </c>
      <c r="V181" s="1433"/>
      <c r="W181" s="1432" t="s">
        <v>206</v>
      </c>
      <c r="X181" s="1433"/>
      <c r="Y181" s="1432" t="s">
        <v>223</v>
      </c>
      <c r="Z181" s="1433"/>
    </row>
    <row r="182" spans="10:26" ht="12.75" customHeight="1" x14ac:dyDescent="0.2">
      <c r="K182" s="1426" t="s">
        <v>224</v>
      </c>
      <c r="L182" s="1428" t="s">
        <v>225</v>
      </c>
      <c r="M182" s="1430" t="s">
        <v>120</v>
      </c>
      <c r="N182" s="1428" t="s">
        <v>226</v>
      </c>
      <c r="O182" s="1430" t="s">
        <v>120</v>
      </c>
      <c r="P182" s="1457" t="s">
        <v>227</v>
      </c>
      <c r="Q182" s="1430" t="s">
        <v>120</v>
      </c>
      <c r="U182" s="774" t="s">
        <v>207</v>
      </c>
      <c r="V182" s="774" t="s">
        <v>208</v>
      </c>
      <c r="W182" s="774" t="s">
        <v>209</v>
      </c>
      <c r="X182" s="774" t="s">
        <v>210</v>
      </c>
      <c r="Y182" s="788" t="s">
        <v>228</v>
      </c>
      <c r="Z182" s="788" t="s">
        <v>229</v>
      </c>
    </row>
    <row r="183" spans="10:26" x14ac:dyDescent="0.2">
      <c r="K183" s="1427"/>
      <c r="L183" s="1429"/>
      <c r="M183" s="1431"/>
      <c r="N183" s="1429"/>
      <c r="O183" s="1431"/>
      <c r="P183" s="1458"/>
      <c r="Q183" s="1431"/>
      <c r="S183" s="770" t="s">
        <v>213</v>
      </c>
      <c r="T183" s="773" t="s">
        <v>214</v>
      </c>
      <c r="U183" s="776">
        <f>INDEX('Planzahlen Rentabilität'!$K$12:$FU$29,MATCH(Grafiken!$S183,'Planzahlen Rentabilität'!$A$12:$A$29,0),MATCH(Grafiken!U$180,'Planzahlen Rentabilität'!$K$9:$FU$9,0))</f>
        <v>848032.52</v>
      </c>
      <c r="V183" s="777">
        <f>INDEX('Planzahlen Rentabilität'!$K$12:$FU$29,MATCH(Grafiken!$S183,'Planzahlen Rentabilität'!$A$12:$A$29,0),MATCH(Grafiken!V$180,'Planzahlen Rentabilität'!$K$9:$FU$9,0))</f>
        <v>1</v>
      </c>
      <c r="W183" s="779">
        <f ca="1">INDEX('Planzahlen Rentabilität'!$K$12:$FU$29,MATCH(Grafiken!$S183,'Planzahlen Rentabilität'!$A$12:$A$29,0),MATCH(Grafiken!W$180,'Planzahlen Rentabilität'!$K$9:$FU$9,0))</f>
        <v>158672.84000000003</v>
      </c>
      <c r="X183" s="777">
        <f>INDEX('Planzahlen Rentabilität'!$K$12:$FU$29,MATCH(Grafiken!$S183,'Planzahlen Rentabilität'!$A$12:$A$29,0),MATCH(Grafiken!X$180,'Planzahlen Rentabilität'!$K$9:$FU$9,0))</f>
        <v>1</v>
      </c>
      <c r="Y183" s="799">
        <f ca="1">W183</f>
        <v>158672.84000000003</v>
      </c>
      <c r="Z183" s="777">
        <v>1</v>
      </c>
    </row>
    <row r="184" spans="10:26" x14ac:dyDescent="0.2">
      <c r="K184" s="1421" t="s">
        <v>230</v>
      </c>
      <c r="L184" s="1425">
        <f>U183/1000</f>
        <v>848.03251999999998</v>
      </c>
      <c r="M184" s="1424">
        <v>1</v>
      </c>
      <c r="N184" s="1422">
        <f ca="1">W183/1000</f>
        <v>158.67284000000004</v>
      </c>
      <c r="O184" s="1424">
        <v>1</v>
      </c>
      <c r="P184" s="1422">
        <f ca="1">N184</f>
        <v>158.67284000000004</v>
      </c>
      <c r="Q184" s="1424">
        <v>1</v>
      </c>
      <c r="T184" s="771" t="s">
        <v>215</v>
      </c>
      <c r="U184" s="776">
        <f>U183-U185</f>
        <v>2788</v>
      </c>
      <c r="V184" s="777">
        <f>U184/U183</f>
        <v>3.2876097723233536E-3</v>
      </c>
      <c r="W184" s="776">
        <f ca="1">W183-W185</f>
        <v>10942.840000000026</v>
      </c>
      <c r="X184" s="777">
        <f ca="1">W184/W183</f>
        <v>6.896479573946003E-2</v>
      </c>
      <c r="Y184" s="776" t="e">
        <f ca="1">Y183-Y185</f>
        <v>#N/A</v>
      </c>
      <c r="Z184" s="777" t="e">
        <f ca="1">Y184/Y183</f>
        <v>#N/A</v>
      </c>
    </row>
    <row r="185" spans="10:26" x14ac:dyDescent="0.2">
      <c r="J185" s="492"/>
      <c r="K185" s="1411"/>
      <c r="L185" s="1412"/>
      <c r="M185" s="1413"/>
      <c r="N185" s="1423"/>
      <c r="O185" s="1413"/>
      <c r="P185" s="1423"/>
      <c r="Q185" s="1413"/>
      <c r="S185" s="770" t="s">
        <v>216</v>
      </c>
      <c r="T185" s="775" t="s">
        <v>217</v>
      </c>
      <c r="U185" s="781">
        <f>INDEX('Planzahlen Rentabilität'!$K$12:$FU$29,MATCH(Grafiken!$S185,'Planzahlen Rentabilität'!$A$12:$A$29,0),MATCH(Grafiken!U$180,'Planzahlen Rentabilität'!$K$9:$FU$9,0))</f>
        <v>845244.52</v>
      </c>
      <c r="V185" s="780">
        <f ca="1">INDEX('Planzahlen Rentabilität'!$K$12:$FU$29,MATCH(Grafiken!$S185,'Planzahlen Rentabilität'!$A$12:$A$29,0),MATCH(Grafiken!V$180,'Planzahlen Rentabilität'!$K$9:$FU$9,0))</f>
        <v>0.17863583816337608</v>
      </c>
      <c r="W185" s="781">
        <f ca="1">INDEX('Planzahlen Rentabilität'!$K$12:$FU$29,MATCH(Grafiken!$S185,'Planzahlen Rentabilität'!$A$12:$A$29,0),MATCH(Grafiken!W$180,'Planzahlen Rentabilität'!$K$9:$FU$9,0))</f>
        <v>147730</v>
      </c>
      <c r="X185" s="780">
        <f ca="1">INDEX('Planzahlen Rentabilität'!$K$12:$FU$29,MATCH(Grafiken!$S185,'Planzahlen Rentabilität'!$A$12:$A$29,0),MATCH(Grafiken!X$180,'Planzahlen Rentabilität'!$K$9:$FU$9,0))</f>
        <v>0.93103520426053998</v>
      </c>
      <c r="Y185" s="782" t="e">
        <f ca="1">W189</f>
        <v>#N/A</v>
      </c>
      <c r="Z185" s="783" t="e">
        <f ca="1">Y185/Y183</f>
        <v>#N/A</v>
      </c>
    </row>
    <row r="186" spans="10:26" x14ac:dyDescent="0.2">
      <c r="J186" s="492"/>
      <c r="K186" s="1403" t="s">
        <v>231</v>
      </c>
      <c r="L186" s="1395">
        <f>U184/1000</f>
        <v>2.7879999999999998</v>
      </c>
      <c r="M186" s="1397">
        <f>V184</f>
        <v>3.2876097723233536E-3</v>
      </c>
      <c r="N186" s="1395">
        <f ca="1">W184/1000</f>
        <v>10.942840000000025</v>
      </c>
      <c r="O186" s="1397">
        <f ca="1">X184</f>
        <v>6.896479573946003E-2</v>
      </c>
      <c r="P186" s="1395" t="e">
        <f ca="1">Y184/1000</f>
        <v>#N/A</v>
      </c>
      <c r="Q186" s="1397" t="e">
        <f ca="1">Z184</f>
        <v>#N/A</v>
      </c>
      <c r="T186" s="771" t="s">
        <v>218</v>
      </c>
      <c r="U186" s="787">
        <f>U185-U187</f>
        <v>624931.76944444445</v>
      </c>
      <c r="V186" s="777">
        <f>U186/U183</f>
        <v>0.73691958115526568</v>
      </c>
      <c r="W186" s="776">
        <f ca="1">W185-W187</f>
        <v>132487.95000000001</v>
      </c>
      <c r="X186" s="777">
        <f ca="1">W186/W183</f>
        <v>0.83497560136945925</v>
      </c>
      <c r="Y186" s="776" t="e">
        <f ca="1">Y185-Y187</f>
        <v>#N/A</v>
      </c>
      <c r="Z186" s="777" t="e">
        <f ca="1">Y186/Y183</f>
        <v>#N/A</v>
      </c>
    </row>
    <row r="187" spans="10:26" x14ac:dyDescent="0.2">
      <c r="J187" s="492"/>
      <c r="K187" s="1416"/>
      <c r="L187" s="1396"/>
      <c r="M187" s="1398"/>
      <c r="N187" s="1396"/>
      <c r="O187" s="1398"/>
      <c r="P187" s="1396"/>
      <c r="Q187" s="1398"/>
      <c r="S187" s="770" t="s">
        <v>219</v>
      </c>
      <c r="T187" s="775" t="s">
        <v>220</v>
      </c>
      <c r="U187" s="781">
        <f>INDEX('Planzahlen Rentabilität'!$K$12:$FU$29,MATCH(Grafiken!$S187,'Planzahlen Rentabilität'!$A$12:$A$29,0),MATCH(Grafiken!U$180,'Planzahlen Rentabilität'!$K$9:$FU$9,0))</f>
        <v>220312.7505555556</v>
      </c>
      <c r="V187" s="780">
        <f ca="1">INDEX('Planzahlen Rentabilität'!$K$12:$FU$29,MATCH(Grafiken!$S187,'Planzahlen Rentabilität'!$A$12:$A$29,0),MATCH(Grafiken!V$180,'Planzahlen Rentabilität'!$K$9:$FU$9,0))</f>
        <v>2.2406039334434961E-2</v>
      </c>
      <c r="W187" s="781">
        <f ca="1">INDEX('Planzahlen Rentabilität'!$K$12:$FU$29,MATCH(Grafiken!$S187,'Planzahlen Rentabilität'!$A$12:$A$29,0),MATCH(Grafiken!W$180,'Planzahlen Rentabilität'!$K$9:$FU$9,0))</f>
        <v>15242.050000000001</v>
      </c>
      <c r="X187" s="780">
        <f ca="1">INDEX('Planzahlen Rentabilität'!$K$12:$FU$29,MATCH(Grafiken!$S187,'Planzahlen Rentabilität'!$A$12:$A$29,0),MATCH(Grafiken!X$180,'Planzahlen Rentabilität'!$K$9:$FU$9,0))</f>
        <v>9.6059602891080786E-2</v>
      </c>
      <c r="Y187" s="782" t="e">
        <f ca="1">W190</f>
        <v>#N/A</v>
      </c>
      <c r="Z187" s="797" t="e">
        <f ca="1">Y187/Y183</f>
        <v>#N/A</v>
      </c>
    </row>
    <row r="188" spans="10:26" x14ac:dyDescent="0.2">
      <c r="J188" s="492"/>
      <c r="K188" s="1405" t="s">
        <v>217</v>
      </c>
      <c r="L188" s="1399">
        <f>U185/1000</f>
        <v>845.24451999999997</v>
      </c>
      <c r="M188" s="1407">
        <f ca="1">V185</f>
        <v>0.17863583816337608</v>
      </c>
      <c r="N188" s="1399">
        <f ca="1">W185/1000</f>
        <v>147.72999999999999</v>
      </c>
      <c r="O188" s="1407">
        <f ca="1">X185</f>
        <v>0.93103520426053998</v>
      </c>
      <c r="P188" s="1448" t="e">
        <f ca="1">N196</f>
        <v>#N/A</v>
      </c>
      <c r="Q188" s="1449" t="e">
        <f ca="1">Z185</f>
        <v>#N/A</v>
      </c>
      <c r="S188" s="770" t="s">
        <v>232</v>
      </c>
      <c r="T188" s="771" t="s">
        <v>233</v>
      </c>
      <c r="U188" s="776" t="e">
        <f>INDEX('Planzahlen Rentabilität'!$K$12:$FU$62,MATCH(Grafiken!$S188,'Planzahlen Rentabilität'!$A$12:$A$62,0),MATCH(Grafiken!U$180,'Planzahlen Rentabilität'!$K$9:$FU$9,0))</f>
        <v>#N/A</v>
      </c>
      <c r="V188" s="777"/>
      <c r="W188" s="776" t="e">
        <f>INDEX('Planzahlen Rentabilität'!$K$12:$FU$62,MATCH(Grafiken!$S188,'Planzahlen Rentabilität'!$A$12:$A$62,0),MATCH(Grafiken!W$180,'Planzahlen Rentabilität'!$K$9:$FU$9,0))</f>
        <v>#N/A</v>
      </c>
      <c r="X188" s="777"/>
      <c r="Y188" s="776"/>
      <c r="Z188" s="777"/>
    </row>
    <row r="189" spans="10:26" x14ac:dyDescent="0.2">
      <c r="J189" s="492"/>
      <c r="K189" s="1411"/>
      <c r="L189" s="1412"/>
      <c r="M189" s="1413"/>
      <c r="N189" s="1412"/>
      <c r="O189" s="1413"/>
      <c r="P189" s="1423"/>
      <c r="Q189" s="1452"/>
      <c r="T189" s="775" t="s">
        <v>234</v>
      </c>
      <c r="U189" s="781" t="e">
        <f>U185-U188</f>
        <v>#N/A</v>
      </c>
      <c r="V189" s="780"/>
      <c r="W189" s="795" t="e">
        <f ca="1">W185-W188</f>
        <v>#N/A</v>
      </c>
      <c r="X189" s="794"/>
      <c r="Y189" s="789"/>
      <c r="Z189" s="790"/>
    </row>
    <row r="190" spans="10:26" x14ac:dyDescent="0.2">
      <c r="J190" s="492"/>
      <c r="K190" s="1403" t="s">
        <v>235</v>
      </c>
      <c r="L190" s="1395">
        <f>U186/1000</f>
        <v>624.9317694444444</v>
      </c>
      <c r="M190" s="1397">
        <f>V186</f>
        <v>0.73691958115526568</v>
      </c>
      <c r="N190" s="1395">
        <f ca="1">W186/1000</f>
        <v>132.48795000000001</v>
      </c>
      <c r="O190" s="1397">
        <f ca="1">X186</f>
        <v>0.83497560136945925</v>
      </c>
      <c r="P190" s="1395" t="e">
        <f ca="1">Y186/1000</f>
        <v>#N/A</v>
      </c>
      <c r="Q190" s="1397" t="e">
        <f ca="1">Z186</f>
        <v>#N/A</v>
      </c>
      <c r="T190" s="775" t="s">
        <v>236</v>
      </c>
      <c r="U190" s="781" t="e">
        <f>U187-U188</f>
        <v>#N/A</v>
      </c>
      <c r="V190" s="780"/>
      <c r="W190" s="795" t="e">
        <f ca="1">W187-W188</f>
        <v>#N/A</v>
      </c>
      <c r="X190" s="794"/>
      <c r="Y190" s="789"/>
      <c r="Z190" s="790"/>
    </row>
    <row r="191" spans="10:26" x14ac:dyDescent="0.2">
      <c r="J191" s="492"/>
      <c r="K191" s="1404"/>
      <c r="L191" s="1396"/>
      <c r="M191" s="1398"/>
      <c r="N191" s="1396"/>
      <c r="O191" s="1398"/>
      <c r="P191" s="1396"/>
      <c r="Q191" s="1398"/>
    </row>
    <row r="192" spans="10:26" x14ac:dyDescent="0.2">
      <c r="J192" s="492"/>
      <c r="K192" s="1405" t="s">
        <v>220</v>
      </c>
      <c r="L192" s="1399">
        <f>U187/1000</f>
        <v>220.3127505555556</v>
      </c>
      <c r="M192" s="1407">
        <f ca="1">V187</f>
        <v>2.2406039334434961E-2</v>
      </c>
      <c r="N192" s="1399">
        <f ca="1">W187/1000</f>
        <v>15.242050000000001</v>
      </c>
      <c r="O192" s="1407">
        <f ca="1">X187</f>
        <v>9.6059602891080786E-2</v>
      </c>
      <c r="P192" s="1448" t="e">
        <f ca="1">N198</f>
        <v>#N/A</v>
      </c>
      <c r="Q192" s="1449" t="e">
        <f ca="1">Z187</f>
        <v>#N/A</v>
      </c>
    </row>
    <row r="193" spans="1:26" x14ac:dyDescent="0.2">
      <c r="J193" s="492"/>
      <c r="K193" s="1406"/>
      <c r="L193" s="1400"/>
      <c r="M193" s="1408"/>
      <c r="N193" s="1400"/>
      <c r="O193" s="1408"/>
      <c r="P193" s="1440"/>
      <c r="Q193" s="1450"/>
    </row>
    <row r="194" spans="1:26" x14ac:dyDescent="0.2">
      <c r="J194" s="492"/>
      <c r="K194" s="1421" t="s">
        <v>237</v>
      </c>
      <c r="L194" s="1453"/>
      <c r="M194" s="1456"/>
      <c r="N194" s="1425" t="e">
        <f>W188/1000</f>
        <v>#N/A</v>
      </c>
      <c r="O194" s="1424" t="e">
        <f ca="1">N194/N184</f>
        <v>#N/A</v>
      </c>
      <c r="P194" s="1436"/>
      <c r="Q194" s="1451"/>
    </row>
    <row r="195" spans="1:26" x14ac:dyDescent="0.2">
      <c r="J195" s="492"/>
      <c r="K195" s="1416"/>
      <c r="L195" s="1442"/>
      <c r="M195" s="1444"/>
      <c r="N195" s="1396"/>
      <c r="O195" s="1398"/>
      <c r="P195" s="1437"/>
      <c r="Q195" s="1438"/>
    </row>
    <row r="196" spans="1:26" x14ac:dyDescent="0.2">
      <c r="J196" s="492"/>
      <c r="K196" s="1404" t="s">
        <v>241</v>
      </c>
      <c r="L196" s="1442"/>
      <c r="M196" s="1444"/>
      <c r="N196" s="1439" t="e">
        <f ca="1">N188-N194</f>
        <v>#N/A</v>
      </c>
      <c r="O196" s="1441"/>
      <c r="P196" s="1437"/>
      <c r="Q196" s="1438"/>
    </row>
    <row r="197" spans="1:26" x14ac:dyDescent="0.2">
      <c r="J197" s="492"/>
      <c r="K197" s="1411"/>
      <c r="L197" s="1442"/>
      <c r="M197" s="1444"/>
      <c r="N197" s="1423"/>
      <c r="O197" s="1413"/>
      <c r="P197" s="1437"/>
      <c r="Q197" s="1438"/>
    </row>
    <row r="198" spans="1:26" x14ac:dyDescent="0.2">
      <c r="K198" s="1404" t="s">
        <v>242</v>
      </c>
      <c r="L198" s="1442"/>
      <c r="M198" s="1444"/>
      <c r="N198" s="1439" t="e">
        <f ca="1">N192-N194</f>
        <v>#N/A</v>
      </c>
      <c r="O198" s="1441"/>
      <c r="P198" s="1437"/>
      <c r="Q198" s="1438"/>
    </row>
    <row r="199" spans="1:26" x14ac:dyDescent="0.2">
      <c r="K199" s="1406"/>
      <c r="L199" s="1443"/>
      <c r="M199" s="1445"/>
      <c r="N199" s="1440"/>
      <c r="O199" s="1408"/>
      <c r="P199" s="1446"/>
      <c r="Q199" s="1447"/>
    </row>
    <row r="203" spans="1:26" ht="15" x14ac:dyDescent="0.2">
      <c r="A203" s="487" t="str">
        <f>"DB-Analysen zum "&amp;Grunddaten!$E$7&amp;" "&amp;Grunddaten!$B$5</f>
        <v>DB-Analysen zum Oktober 2019</v>
      </c>
    </row>
    <row r="204" spans="1:26" ht="15" x14ac:dyDescent="0.2">
      <c r="A204" s="487"/>
    </row>
    <row r="205" spans="1:26" x14ac:dyDescent="0.2">
      <c r="A205" s="1461" t="s">
        <v>248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  <c r="L205" s="1461"/>
      <c r="M205" s="1461"/>
      <c r="N205" s="1461"/>
      <c r="O205" s="1461"/>
      <c r="P205" s="1461"/>
      <c r="Q205" s="1461"/>
    </row>
    <row r="207" spans="1:26" x14ac:dyDescent="0.2">
      <c r="T207" s="524" t="s">
        <v>204</v>
      </c>
      <c r="U207" s="769" t="str">
        <f>"P"&amp;Grunddaten!$B$7</f>
        <v>P10</v>
      </c>
      <c r="V207" s="769" t="str">
        <f>"RP"&amp;Grunddaten!$B$7</f>
        <v>RP10</v>
      </c>
      <c r="W207" s="769" t="str">
        <f>"I"&amp;Grunddaten!$B$7</f>
        <v>I10</v>
      </c>
      <c r="X207" s="769" t="str">
        <f>"RI"&amp;Grunddaten!$B$7</f>
        <v>RI10</v>
      </c>
    </row>
    <row r="208" spans="1:26" x14ac:dyDescent="0.2">
      <c r="U208" s="1432" t="s">
        <v>205</v>
      </c>
      <c r="V208" s="1433"/>
      <c r="W208" s="1432" t="s">
        <v>206</v>
      </c>
      <c r="X208" s="1433"/>
      <c r="Y208" s="1432" t="s">
        <v>244</v>
      </c>
      <c r="Z208" s="1433"/>
    </row>
    <row r="209" spans="11:26" x14ac:dyDescent="0.2">
      <c r="U209" s="774" t="s">
        <v>207</v>
      </c>
      <c r="V209" s="774" t="s">
        <v>208</v>
      </c>
      <c r="W209" s="774" t="s">
        <v>209</v>
      </c>
      <c r="X209" s="774" t="s">
        <v>210</v>
      </c>
      <c r="Y209" s="788" t="s">
        <v>245</v>
      </c>
      <c r="Z209" s="788" t="s">
        <v>246</v>
      </c>
    </row>
    <row r="210" spans="11:26" x14ac:dyDescent="0.2">
      <c r="S210" s="770" t="s">
        <v>213</v>
      </c>
      <c r="T210" s="773" t="s">
        <v>214</v>
      </c>
      <c r="U210" s="776">
        <f>INDEX('Planzahlen Rentabilität'!$K$12:$FU$29,MATCH(Grafiken!$S210,'Planzahlen Rentabilität'!$A$12:$A$29,0),MATCH(Grafiken!U$207,'Planzahlen Rentabilität'!$K$9:$FU$9,0))</f>
        <v>103418.6</v>
      </c>
      <c r="V210" s="777">
        <f>INDEX('Planzahlen Rentabilität'!$K$12:$FU$29,MATCH(Grafiken!$S210,'Planzahlen Rentabilität'!$A$12:$A$29,0),MATCH(Grafiken!V$207,'Planzahlen Rentabilität'!$K$9:$FU$9,0))</f>
        <v>1</v>
      </c>
      <c r="W210" s="779">
        <f ca="1">INDEX('Planzahlen Rentabilität'!$K$12:$FU$29,MATCH(Grafiken!$S210,'Planzahlen Rentabilität'!$A$12:$A$29,0),MATCH(Grafiken!W$207,'Planzahlen Rentabilität'!$K$9:$FU$9,0))</f>
        <v>32720.12</v>
      </c>
      <c r="X210" s="777">
        <f>INDEX('Planzahlen Rentabilität'!$K$12:$FU$29,MATCH(Grafiken!$S210,'Planzahlen Rentabilität'!$A$12:$A$29,0),MATCH(Grafiken!X$207,'Planzahlen Rentabilität'!$K$9:$FU$9,0))</f>
        <v>1</v>
      </c>
      <c r="Y210" s="791">
        <f ca="1">W210</f>
        <v>32720.12</v>
      </c>
      <c r="Z210" s="777">
        <v>1</v>
      </c>
    </row>
    <row r="211" spans="11:26" x14ac:dyDescent="0.2">
      <c r="S211" s="51"/>
      <c r="T211" s="771" t="s">
        <v>215</v>
      </c>
      <c r="U211" s="776">
        <f>U210-U212</f>
        <v>340</v>
      </c>
      <c r="V211" s="777">
        <f>U211/U210</f>
        <v>3.2876097723233536E-3</v>
      </c>
      <c r="W211" s="776">
        <f ca="1">W210-W212</f>
        <v>8011.7799999999988</v>
      </c>
      <c r="X211" s="777">
        <f ca="1">W211/W210</f>
        <v>0.24485790394411755</v>
      </c>
      <c r="Y211" s="776">
        <f ca="1">Y210-Y212</f>
        <v>22399.525452783157</v>
      </c>
      <c r="Z211" s="777">
        <f ca="1">Y211/Y210</f>
        <v>0.68457956305732248</v>
      </c>
    </row>
    <row r="212" spans="11:26" x14ac:dyDescent="0.2">
      <c r="K212" s="1426" t="s">
        <v>224</v>
      </c>
      <c r="L212" s="1428" t="s">
        <v>225</v>
      </c>
      <c r="M212" s="1430" t="s">
        <v>120</v>
      </c>
      <c r="N212" s="1428" t="s">
        <v>226</v>
      </c>
      <c r="O212" s="1430" t="s">
        <v>120</v>
      </c>
      <c r="P212" s="1434" t="s">
        <v>244</v>
      </c>
      <c r="Q212" s="1430" t="s">
        <v>120</v>
      </c>
      <c r="S212" s="770" t="s">
        <v>216</v>
      </c>
      <c r="T212" s="775" t="s">
        <v>217</v>
      </c>
      <c r="U212" s="781">
        <f>INDEX('Planzahlen Rentabilität'!$K$12:$FU$29,MATCH(Grafiken!$S212,'Planzahlen Rentabilität'!$A$12:$A$29,0),MATCH(Grafiken!U$207,'Planzahlen Rentabilität'!$K$9:$FU$9,0))</f>
        <v>103078.6</v>
      </c>
      <c r="V212" s="794">
        <f ca="1">INDEX('Planzahlen Rentabilität'!$K$12:$FU$29,MATCH(Grafiken!$S212,'Planzahlen Rentabilität'!$A$12:$A$29,0),MATCH(Grafiken!V$207,'Planzahlen Rentabilität'!$K$9:$FU$9,0))</f>
        <v>0.31542043694267757</v>
      </c>
      <c r="W212" s="795">
        <f ca="1">INDEX('Planzahlen Rentabilität'!$K$12:$FU$29,MATCH(Grafiken!$S212,'Planzahlen Rentabilität'!$A$12:$A$29,0),MATCH(Grafiken!W$207,'Planzahlen Rentabilität'!$K$9:$FU$9,0))</f>
        <v>24708.34</v>
      </c>
      <c r="X212" s="780">
        <f ca="1">INDEX('Planzahlen Rentabilität'!$K$12:$FU$29,MATCH(Grafiken!$S212,'Planzahlen Rentabilität'!$A$12:$A$29,0),MATCH(Grafiken!X$207,'Planzahlen Rentabilität'!$K$9:$FU$9,0))</f>
        <v>0.75514209605588245</v>
      </c>
      <c r="Y212" s="789">
        <f ca="1">Y210*Z212/Z210</f>
        <v>10320.594547216842</v>
      </c>
      <c r="Z212" s="783">
        <f ca="1">V212</f>
        <v>0.31542043694267757</v>
      </c>
    </row>
    <row r="213" spans="11:26" x14ac:dyDescent="0.2">
      <c r="K213" s="1427"/>
      <c r="L213" s="1429"/>
      <c r="M213" s="1431"/>
      <c r="N213" s="1429"/>
      <c r="O213" s="1431"/>
      <c r="P213" s="1435"/>
      <c r="Q213" s="1431"/>
      <c r="S213" s="770"/>
      <c r="T213" s="771" t="s">
        <v>218</v>
      </c>
      <c r="U213" s="787">
        <f>U212-U214</f>
        <v>61672.881944444445</v>
      </c>
      <c r="V213" s="777">
        <f>U213/U210</f>
        <v>0.59634226284676495</v>
      </c>
      <c r="W213" s="776">
        <f ca="1">W212-W214</f>
        <v>15782.21</v>
      </c>
      <c r="X213" s="786">
        <f ca="1">W213/W210</f>
        <v>0.48233961244640911</v>
      </c>
      <c r="Y213" s="776">
        <f ca="1">Y212-Y214</f>
        <v>4993.2585150562845</v>
      </c>
      <c r="Z213" s="777">
        <f ca="1">Y213/Y210</f>
        <v>0.15260514066135103</v>
      </c>
    </row>
    <row r="214" spans="11:26" x14ac:dyDescent="0.2">
      <c r="K214" s="1421" t="s">
        <v>230</v>
      </c>
      <c r="L214" s="1425">
        <f>U210/1000</f>
        <v>103.41860000000001</v>
      </c>
      <c r="M214" s="1424">
        <v>1</v>
      </c>
      <c r="N214" s="1422">
        <f ca="1">W210/1000</f>
        <v>32.720120000000001</v>
      </c>
      <c r="O214" s="1424">
        <v>1</v>
      </c>
      <c r="P214" s="1422">
        <f ca="1">N214</f>
        <v>32.720120000000001</v>
      </c>
      <c r="Q214" s="1424">
        <v>1</v>
      </c>
      <c r="S214" s="770" t="s">
        <v>219</v>
      </c>
      <c r="T214" s="775" t="s">
        <v>220</v>
      </c>
      <c r="U214" s="781">
        <f>INDEX('Planzahlen Rentabilität'!$K$12:$FU$29,MATCH(Grafiken!$S214,'Planzahlen Rentabilität'!$A$12:$A$29,0),MATCH(Grafiken!U$207,'Planzahlen Rentabilität'!$K$9:$FU$9,0))</f>
        <v>41405.718055555561</v>
      </c>
      <c r="V214" s="794">
        <f ca="1">INDEX('Planzahlen Rentabilität'!$K$12:$FU$29,MATCH(Grafiken!$S214,'Planzahlen Rentabilität'!$A$12:$A$29,0),MATCH(Grafiken!V$207,'Planzahlen Rentabilität'!$K$9:$FU$9,0))</f>
        <v>0.16281529628132654</v>
      </c>
      <c r="W214" s="795">
        <f ca="1">INDEX('Planzahlen Rentabilität'!$K$12:$FU$29,MATCH(Grafiken!$S214,'Planzahlen Rentabilität'!$A$12:$A$29,0),MATCH(Grafiken!W$207,'Planzahlen Rentabilität'!$K$9:$FU$9,0))</f>
        <v>8926.130000000001</v>
      </c>
      <c r="X214" s="780">
        <f ca="1">INDEX('Planzahlen Rentabilität'!$K$12:$FU$29,MATCH(Grafiken!$S214,'Planzahlen Rentabilität'!$A$12:$A$29,0),MATCH(Grafiken!X$207,'Planzahlen Rentabilität'!$K$9:$FU$9,0))</f>
        <v>0.27280248360947335</v>
      </c>
      <c r="Y214" s="789">
        <f ca="1">Y210*Z214/Z210</f>
        <v>5327.3360321605578</v>
      </c>
      <c r="Z214" s="783">
        <f ca="1">V214</f>
        <v>0.16281529628132654</v>
      </c>
    </row>
    <row r="215" spans="11:26" x14ac:dyDescent="0.2">
      <c r="K215" s="1411"/>
      <c r="L215" s="1412"/>
      <c r="M215" s="1413"/>
      <c r="N215" s="1423"/>
      <c r="O215" s="1413"/>
      <c r="P215" s="1423"/>
      <c r="Q215" s="1413"/>
    </row>
    <row r="216" spans="11:26" x14ac:dyDescent="0.2">
      <c r="K216" s="1403" t="s">
        <v>231</v>
      </c>
      <c r="L216" s="1395">
        <f>U211/1000</f>
        <v>0.34</v>
      </c>
      <c r="M216" s="1397">
        <f>V211</f>
        <v>3.2876097723233536E-3</v>
      </c>
      <c r="N216" s="1395">
        <f ca="1">W211/1000</f>
        <v>8.0117799999999981</v>
      </c>
      <c r="O216" s="1397">
        <f ca="1">X211</f>
        <v>0.24485790394411755</v>
      </c>
      <c r="P216" s="1395">
        <f ca="1">Y211/1000</f>
        <v>22.399525452783156</v>
      </c>
      <c r="Q216" s="1397">
        <f ca="1">P216/P214</f>
        <v>0.68457956305732237</v>
      </c>
    </row>
    <row r="217" spans="11:26" x14ac:dyDescent="0.2">
      <c r="K217" s="1416"/>
      <c r="L217" s="1396"/>
      <c r="M217" s="1398"/>
      <c r="N217" s="1396"/>
      <c r="O217" s="1398"/>
      <c r="P217" s="1396"/>
      <c r="Q217" s="1398"/>
    </row>
    <row r="218" spans="11:26" x14ac:dyDescent="0.2">
      <c r="K218" s="1405" t="s">
        <v>217</v>
      </c>
      <c r="L218" s="1399">
        <f>U212/1000</f>
        <v>103.07860000000001</v>
      </c>
      <c r="M218" s="1409">
        <f ca="1">V212</f>
        <v>0.31542043694267757</v>
      </c>
      <c r="N218" s="1399">
        <f ca="1">W212/1000</f>
        <v>24.70834</v>
      </c>
      <c r="O218" s="1407">
        <f ca="1">X212</f>
        <v>0.75514209605588245</v>
      </c>
      <c r="P218" s="1399">
        <f ca="1">Y212/1000</f>
        <v>10.320594547216842</v>
      </c>
      <c r="Q218" s="1401">
        <f ca="1">M218</f>
        <v>0.31542043694267757</v>
      </c>
    </row>
    <row r="219" spans="11:26" x14ac:dyDescent="0.2">
      <c r="K219" s="1411"/>
      <c r="L219" s="1412"/>
      <c r="M219" s="1414"/>
      <c r="N219" s="1412"/>
      <c r="O219" s="1413"/>
      <c r="P219" s="1412"/>
      <c r="Q219" s="1415"/>
    </row>
    <row r="220" spans="11:26" x14ac:dyDescent="0.2">
      <c r="K220" s="1403" t="s">
        <v>235</v>
      </c>
      <c r="L220" s="1395">
        <f>U213/1000</f>
        <v>61.672881944444448</v>
      </c>
      <c r="M220" s="1397">
        <f>V213</f>
        <v>0.59634226284676495</v>
      </c>
      <c r="N220" s="1395">
        <f ca="1">W213/1000</f>
        <v>15.782209999999999</v>
      </c>
      <c r="O220" s="1397">
        <f ca="1">X213</f>
        <v>0.48233961244640911</v>
      </c>
      <c r="P220" s="1395">
        <f ca="1">Y213/1000</f>
        <v>4.9932585150562847</v>
      </c>
      <c r="Q220" s="1397">
        <f ca="1">P220/P214</f>
        <v>0.152605140661351</v>
      </c>
    </row>
    <row r="221" spans="11:26" x14ac:dyDescent="0.2">
      <c r="K221" s="1404"/>
      <c r="L221" s="1396"/>
      <c r="M221" s="1398"/>
      <c r="N221" s="1396"/>
      <c r="O221" s="1398"/>
      <c r="P221" s="1396"/>
      <c r="Q221" s="1398"/>
    </row>
    <row r="222" spans="11:26" x14ac:dyDescent="0.2">
      <c r="K222" s="1405" t="s">
        <v>220</v>
      </c>
      <c r="L222" s="1399">
        <f>U214/1000</f>
        <v>41.40571805555556</v>
      </c>
      <c r="M222" s="1409">
        <f ca="1">V214</f>
        <v>0.16281529628132654</v>
      </c>
      <c r="N222" s="1399">
        <f ca="1">W214/1000</f>
        <v>8.9261300000000006</v>
      </c>
      <c r="O222" s="1407">
        <f ca="1">X214</f>
        <v>0.27280248360947335</v>
      </c>
      <c r="P222" s="1399">
        <f ca="1">Y214/1000</f>
        <v>5.3273360321605576</v>
      </c>
      <c r="Q222" s="1401">
        <f ca="1">M222</f>
        <v>0.16281529628132654</v>
      </c>
    </row>
    <row r="223" spans="11:26" x14ac:dyDescent="0.2">
      <c r="K223" s="1406"/>
      <c r="L223" s="1400"/>
      <c r="M223" s="1410"/>
      <c r="N223" s="1400"/>
      <c r="O223" s="1408"/>
      <c r="P223" s="1400"/>
      <c r="Q223" s="1402"/>
    </row>
    <row r="231" spans="10:26" x14ac:dyDescent="0.2">
      <c r="T231" s="524" t="s">
        <v>221</v>
      </c>
      <c r="U231" s="769" t="str">
        <f>"KP"&amp;Grunddaten!$B$7</f>
        <v>KP10</v>
      </c>
      <c r="V231" s="769" t="str">
        <f>IF(Grunddaten!$B$7=1,"RP"&amp;Grunddaten!$B$7,"KRP"&amp;Grunddaten!$B$7)</f>
        <v>KRP10</v>
      </c>
      <c r="W231" s="769" t="str">
        <f>"KI"&amp;Grunddaten!$B$7</f>
        <v>KI10</v>
      </c>
      <c r="X231" s="769" t="str">
        <f>IF(Grunddaten!$B$7=1,"RI"&amp;Grunddaten!$B$7,"KRI"&amp;Grunddaten!$B$7)</f>
        <v>KRI10</v>
      </c>
    </row>
    <row r="232" spans="10:26" x14ac:dyDescent="0.2">
      <c r="U232" s="1432" t="s">
        <v>205</v>
      </c>
      <c r="V232" s="1433"/>
      <c r="W232" s="1432" t="s">
        <v>206</v>
      </c>
      <c r="X232" s="1433"/>
      <c r="Y232" s="1432" t="s">
        <v>244</v>
      </c>
      <c r="Z232" s="1433"/>
    </row>
    <row r="233" spans="10:26" x14ac:dyDescent="0.2">
      <c r="U233" s="774" t="s">
        <v>207</v>
      </c>
      <c r="V233" s="774" t="s">
        <v>208</v>
      </c>
      <c r="W233" s="774" t="s">
        <v>209</v>
      </c>
      <c r="X233" s="774" t="s">
        <v>210</v>
      </c>
      <c r="Y233" s="788" t="s">
        <v>245</v>
      </c>
      <c r="Z233" s="788" t="s">
        <v>246</v>
      </c>
    </row>
    <row r="234" spans="10:26" x14ac:dyDescent="0.2">
      <c r="S234" s="770" t="s">
        <v>213</v>
      </c>
      <c r="T234" s="773" t="s">
        <v>214</v>
      </c>
      <c r="U234" s="776">
        <f>INDEX('Planzahlen Rentabilität'!$K$12:$FU$29,MATCH(Grafiken!$S234,'Planzahlen Rentabilität'!$A$12:$A$29,0),MATCH(Grafiken!U$231,'Planzahlen Rentabilität'!$K$9:$FU$9,0))</f>
        <v>848032.52</v>
      </c>
      <c r="V234" s="777">
        <f>INDEX('Planzahlen Rentabilität'!$K$12:$FU$29,MATCH(Grafiken!$S234,'Planzahlen Rentabilität'!$A$12:$A$29,0),MATCH(Grafiken!V$231,'Planzahlen Rentabilität'!$K$9:$FU$9,0))</f>
        <v>1</v>
      </c>
      <c r="W234" s="779">
        <f ca="1">INDEX('Planzahlen Rentabilität'!$K$12:$FU$29,MATCH(Grafiken!$S234,'Planzahlen Rentabilität'!$A$12:$A$29,0),MATCH(Grafiken!W$231,'Planzahlen Rentabilität'!$K$9:$FU$9,0))</f>
        <v>158672.84000000003</v>
      </c>
      <c r="X234" s="777">
        <f>INDEX('Planzahlen Rentabilität'!$K$12:$FU$29,MATCH(Grafiken!$S234,'Planzahlen Rentabilität'!$A$12:$A$29,0),MATCH(Grafiken!X$231,'Planzahlen Rentabilität'!$K$9:$FU$9,0))</f>
        <v>1</v>
      </c>
      <c r="Y234" s="791">
        <f ca="1">W234</f>
        <v>158672.84000000003</v>
      </c>
      <c r="Z234" s="777">
        <v>1</v>
      </c>
    </row>
    <row r="235" spans="10:26" x14ac:dyDescent="0.2">
      <c r="T235" s="771" t="s">
        <v>215</v>
      </c>
      <c r="U235" s="776">
        <f>U234-U236</f>
        <v>2788</v>
      </c>
      <c r="V235" s="777">
        <f>U235/U234</f>
        <v>3.2876097723233536E-3</v>
      </c>
      <c r="W235" s="776">
        <f ca="1">W234-W236</f>
        <v>10942.840000000026</v>
      </c>
      <c r="X235" s="777">
        <f ca="1">W235/W234</f>
        <v>6.896479573946003E-2</v>
      </c>
      <c r="Y235" s="776">
        <f ca="1">Y234-Y236</f>
        <v>130328.18423283675</v>
      </c>
      <c r="Z235" s="777">
        <f ca="1">Y235/Y234</f>
        <v>0.82136416183662386</v>
      </c>
    </row>
    <row r="236" spans="10:26" x14ac:dyDescent="0.2">
      <c r="J236" s="492"/>
      <c r="K236" s="1426" t="s">
        <v>224</v>
      </c>
      <c r="L236" s="1428" t="s">
        <v>225</v>
      </c>
      <c r="M236" s="1430" t="s">
        <v>120</v>
      </c>
      <c r="N236" s="1428" t="s">
        <v>226</v>
      </c>
      <c r="O236" s="1430" t="s">
        <v>120</v>
      </c>
      <c r="P236" s="1434" t="s">
        <v>244</v>
      </c>
      <c r="Q236" s="1430" t="s">
        <v>120</v>
      </c>
      <c r="S236" s="770" t="s">
        <v>216</v>
      </c>
      <c r="T236" s="775" t="s">
        <v>217</v>
      </c>
      <c r="U236" s="781">
        <f>INDEX('Planzahlen Rentabilität'!$K$12:$FU$29,MATCH(Grafiken!$S236,'Planzahlen Rentabilität'!$A$12:$A$29,0),MATCH(Grafiken!U$231,'Planzahlen Rentabilität'!$K$9:$FU$9,0))</f>
        <v>845244.52</v>
      </c>
      <c r="V236" s="794">
        <f ca="1">INDEX('Planzahlen Rentabilität'!$K$12:$FU$29,MATCH(Grafiken!$S236,'Planzahlen Rentabilität'!$A$12:$A$29,0),MATCH(Grafiken!V$231,'Planzahlen Rentabilität'!$K$9:$FU$9,0))</f>
        <v>0.17863583816337608</v>
      </c>
      <c r="W236" s="795">
        <f ca="1">INDEX('Planzahlen Rentabilität'!$K$12:$FU$29,MATCH(Grafiken!$S236,'Planzahlen Rentabilität'!$A$12:$A$29,0),MATCH(Grafiken!W$231,'Planzahlen Rentabilität'!$K$9:$FU$9,0))</f>
        <v>147730</v>
      </c>
      <c r="X236" s="780">
        <f ca="1">INDEX('Planzahlen Rentabilität'!$K$12:$FU$29,MATCH(Grafiken!$S236,'Planzahlen Rentabilität'!$A$12:$A$29,0),MATCH(Grafiken!X$231,'Planzahlen Rentabilität'!$K$9:$FU$9,0))</f>
        <v>0.93103520426053998</v>
      </c>
      <c r="Y236" s="789">
        <f ca="1">Y234*Z236/Z234</f>
        <v>28344.655767163273</v>
      </c>
      <c r="Z236" s="783">
        <f ca="1">V236</f>
        <v>0.17863583816337608</v>
      </c>
    </row>
    <row r="237" spans="10:26" x14ac:dyDescent="0.2">
      <c r="J237" s="492"/>
      <c r="K237" s="1427"/>
      <c r="L237" s="1429"/>
      <c r="M237" s="1431"/>
      <c r="N237" s="1429"/>
      <c r="O237" s="1431"/>
      <c r="P237" s="1435"/>
      <c r="Q237" s="1431"/>
      <c r="T237" s="771" t="s">
        <v>218</v>
      </c>
      <c r="U237" s="787">
        <f>U236-U238</f>
        <v>624931.76944444445</v>
      </c>
      <c r="V237" s="777">
        <f>U237/U234</f>
        <v>0.73691958115526568</v>
      </c>
      <c r="W237" s="776">
        <f ca="1">W236-W238</f>
        <v>132487.95000000001</v>
      </c>
      <c r="X237" s="786">
        <f ca="1">W237/W234</f>
        <v>0.83497560136945925</v>
      </c>
      <c r="Y237" s="776">
        <f ca="1">Y236-Y238</f>
        <v>24789.425872816766</v>
      </c>
      <c r="Z237" s="777">
        <f ca="1">Y237/Y234</f>
        <v>0.15622979882894111</v>
      </c>
    </row>
    <row r="238" spans="10:26" x14ac:dyDescent="0.2">
      <c r="J238" s="492"/>
      <c r="K238" s="1421" t="s">
        <v>230</v>
      </c>
      <c r="L238" s="1425">
        <f>U234/1000</f>
        <v>848.03251999999998</v>
      </c>
      <c r="M238" s="1424">
        <v>1</v>
      </c>
      <c r="N238" s="1422">
        <f ca="1">W234/1000</f>
        <v>158.67284000000004</v>
      </c>
      <c r="O238" s="1424">
        <v>1</v>
      </c>
      <c r="P238" s="1422">
        <f ca="1">N238</f>
        <v>158.67284000000004</v>
      </c>
      <c r="Q238" s="1424">
        <v>1</v>
      </c>
      <c r="S238" s="770" t="s">
        <v>219</v>
      </c>
      <c r="T238" s="775" t="s">
        <v>220</v>
      </c>
      <c r="U238" s="781">
        <f>INDEX('Planzahlen Rentabilität'!$K$12:$FU$29,MATCH(Grafiken!$S238,'Planzahlen Rentabilität'!$A$12:$A$29,0),MATCH(Grafiken!U$231,'Planzahlen Rentabilität'!$K$9:$FU$9,0))</f>
        <v>220312.7505555556</v>
      </c>
      <c r="V238" s="794">
        <f ca="1">INDEX('Planzahlen Rentabilität'!$K$12:$FU$29,MATCH(Grafiken!$S238,'Planzahlen Rentabilität'!$A$12:$A$29,0),MATCH(Grafiken!V$231,'Planzahlen Rentabilität'!$K$9:$FU$9,0))</f>
        <v>2.2406039334434961E-2</v>
      </c>
      <c r="W238" s="795">
        <f ca="1">INDEX('Planzahlen Rentabilität'!$K$12:$FU$29,MATCH(Grafiken!$S238,'Planzahlen Rentabilität'!$A$12:$A$29,0),MATCH(Grafiken!W$231,'Planzahlen Rentabilität'!$K$9:$FU$9,0))</f>
        <v>15242.050000000001</v>
      </c>
      <c r="X238" s="780">
        <f ca="1">INDEX('Planzahlen Rentabilität'!$K$12:$FU$29,MATCH(Grafiken!$S238,'Planzahlen Rentabilität'!$A$12:$A$29,0),MATCH(Grafiken!X$231,'Planzahlen Rentabilität'!$K$9:$FU$9,0))</f>
        <v>9.6059602891080786E-2</v>
      </c>
      <c r="Y238" s="789">
        <f ca="1">Y234*Z238/Z234</f>
        <v>3555.2298943465057</v>
      </c>
      <c r="Z238" s="783">
        <f ca="1">V238</f>
        <v>2.2406039334434961E-2</v>
      </c>
    </row>
    <row r="239" spans="10:26" x14ac:dyDescent="0.2">
      <c r="J239" s="492"/>
      <c r="K239" s="1411"/>
      <c r="L239" s="1412"/>
      <c r="M239" s="1413"/>
      <c r="N239" s="1423"/>
      <c r="O239" s="1413"/>
      <c r="P239" s="1423"/>
      <c r="Q239" s="1413"/>
    </row>
    <row r="240" spans="10:26" x14ac:dyDescent="0.2">
      <c r="J240" s="492"/>
      <c r="K240" s="1403" t="s">
        <v>231</v>
      </c>
      <c r="L240" s="1395">
        <f>U235/1000</f>
        <v>2.7879999999999998</v>
      </c>
      <c r="M240" s="1397">
        <f>V235</f>
        <v>3.2876097723233536E-3</v>
      </c>
      <c r="N240" s="1395">
        <f ca="1">W235/1000</f>
        <v>10.942840000000025</v>
      </c>
      <c r="O240" s="1397">
        <f ca="1">X235</f>
        <v>6.896479573946003E-2</v>
      </c>
      <c r="P240" s="1395">
        <f ca="1">Y235/1000</f>
        <v>130.32818423283675</v>
      </c>
      <c r="Q240" s="1397">
        <f ca="1">P240/P238</f>
        <v>0.82136416183662386</v>
      </c>
    </row>
    <row r="241" spans="1:17" x14ac:dyDescent="0.2">
      <c r="J241" s="492"/>
      <c r="K241" s="1416"/>
      <c r="L241" s="1396"/>
      <c r="M241" s="1398"/>
      <c r="N241" s="1396"/>
      <c r="O241" s="1398"/>
      <c r="P241" s="1396"/>
      <c r="Q241" s="1398"/>
    </row>
    <row r="242" spans="1:17" x14ac:dyDescent="0.2">
      <c r="J242" s="492"/>
      <c r="K242" s="1405" t="s">
        <v>217</v>
      </c>
      <c r="L242" s="1399">
        <f>U236/1000</f>
        <v>845.24451999999997</v>
      </c>
      <c r="M242" s="1409">
        <f ca="1">V236</f>
        <v>0.17863583816337608</v>
      </c>
      <c r="N242" s="1399">
        <f ca="1">W236/1000</f>
        <v>147.72999999999999</v>
      </c>
      <c r="O242" s="1407">
        <f ca="1">X236</f>
        <v>0.93103520426053998</v>
      </c>
      <c r="P242" s="1399">
        <f ca="1">Y236/1000</f>
        <v>28.344655767163271</v>
      </c>
      <c r="Q242" s="1401">
        <f ca="1">M242</f>
        <v>0.17863583816337608</v>
      </c>
    </row>
    <row r="243" spans="1:17" x14ac:dyDescent="0.2">
      <c r="J243" s="492"/>
      <c r="K243" s="1411"/>
      <c r="L243" s="1412"/>
      <c r="M243" s="1414"/>
      <c r="N243" s="1412"/>
      <c r="O243" s="1413"/>
      <c r="P243" s="1412"/>
      <c r="Q243" s="1415"/>
    </row>
    <row r="244" spans="1:17" x14ac:dyDescent="0.2">
      <c r="J244" s="492"/>
      <c r="K244" s="1403" t="s">
        <v>235</v>
      </c>
      <c r="L244" s="1395">
        <f>U237/1000</f>
        <v>624.9317694444444</v>
      </c>
      <c r="M244" s="1397">
        <f>V237</f>
        <v>0.73691958115526568</v>
      </c>
      <c r="N244" s="1395">
        <f ca="1">W237/1000</f>
        <v>132.48795000000001</v>
      </c>
      <c r="O244" s="1397">
        <f ca="1">X237</f>
        <v>0.83497560136945925</v>
      </c>
      <c r="P244" s="1395">
        <f ca="1">Y237/1000</f>
        <v>24.789425872816768</v>
      </c>
      <c r="Q244" s="1397">
        <f ca="1">P244/P238</f>
        <v>0.15622979882894111</v>
      </c>
    </row>
    <row r="245" spans="1:17" x14ac:dyDescent="0.2">
      <c r="J245" s="492"/>
      <c r="K245" s="1404"/>
      <c r="L245" s="1396"/>
      <c r="M245" s="1398"/>
      <c r="N245" s="1396"/>
      <c r="O245" s="1398"/>
      <c r="P245" s="1396"/>
      <c r="Q245" s="1398"/>
    </row>
    <row r="246" spans="1:17" x14ac:dyDescent="0.2">
      <c r="J246" s="492"/>
      <c r="K246" s="1405" t="s">
        <v>220</v>
      </c>
      <c r="L246" s="1399">
        <f>U238/1000</f>
        <v>220.3127505555556</v>
      </c>
      <c r="M246" s="1409">
        <f ca="1">V238</f>
        <v>2.2406039334434961E-2</v>
      </c>
      <c r="N246" s="1399">
        <f ca="1">W238/1000</f>
        <v>15.242050000000001</v>
      </c>
      <c r="O246" s="1407">
        <f ca="1">X238</f>
        <v>9.6059602891080786E-2</v>
      </c>
      <c r="P246" s="1399">
        <f ca="1">Y238/1000</f>
        <v>3.5552298943465059</v>
      </c>
      <c r="Q246" s="1401">
        <f ca="1">M246</f>
        <v>2.2406039334434961E-2</v>
      </c>
    </row>
    <row r="247" spans="1:17" x14ac:dyDescent="0.2">
      <c r="J247" s="492"/>
      <c r="K247" s="1406"/>
      <c r="L247" s="1400"/>
      <c r="M247" s="1410"/>
      <c r="N247" s="1400"/>
      <c r="O247" s="1408"/>
      <c r="P247" s="1400"/>
      <c r="Q247" s="1402"/>
    </row>
    <row r="248" spans="1:17" x14ac:dyDescent="0.2">
      <c r="J248" s="492"/>
      <c r="K248" s="492"/>
      <c r="L248" s="785"/>
      <c r="M248" s="785"/>
      <c r="N248" s="785"/>
      <c r="O248" s="785"/>
      <c r="P248" s="785"/>
      <c r="Q248" s="785"/>
    </row>
    <row r="249" spans="1:17" x14ac:dyDescent="0.2">
      <c r="L249" s="489"/>
      <c r="M249" s="489"/>
      <c r="N249" s="489"/>
      <c r="O249" s="489"/>
      <c r="P249" s="489"/>
      <c r="Q249" s="489"/>
    </row>
    <row r="254" spans="1:17" ht="15" x14ac:dyDescent="0.2">
      <c r="A254" s="487" t="str">
        <f>"DB-Analysen zum "&amp;Grunddaten!$E$7&amp;" "&amp;Grunddaten!$B$5</f>
        <v>DB-Analysen zum Oktober 2019</v>
      </c>
    </row>
    <row r="255" spans="1:17" ht="15" x14ac:dyDescent="0.2">
      <c r="A255" s="487"/>
    </row>
    <row r="256" spans="1:17" x14ac:dyDescent="0.2">
      <c r="A256" s="1461" t="s">
        <v>249</v>
      </c>
      <c r="B256" s="1461"/>
      <c r="C256" s="1461"/>
      <c r="D256" s="1461"/>
      <c r="E256" s="1461"/>
      <c r="F256" s="1461"/>
      <c r="G256" s="1461"/>
      <c r="H256" s="1461"/>
      <c r="I256" s="1461"/>
      <c r="J256" s="1461"/>
      <c r="K256" s="1461"/>
      <c r="L256" s="1461"/>
      <c r="M256" s="1461"/>
      <c r="N256" s="1461"/>
      <c r="O256" s="1461"/>
      <c r="P256" s="1461"/>
      <c r="Q256" s="1461"/>
    </row>
    <row r="258" spans="11:26" x14ac:dyDescent="0.2">
      <c r="T258" s="524" t="s">
        <v>204</v>
      </c>
      <c r="U258" s="769" t="str">
        <f>"P"&amp;Grunddaten!$B$7</f>
        <v>P10</v>
      </c>
      <c r="V258" s="769" t="str">
        <f>"RP"&amp;Grunddaten!$B$7</f>
        <v>RP10</v>
      </c>
      <c r="W258" s="769" t="str">
        <f>"I"&amp;Grunddaten!$B$7</f>
        <v>I10</v>
      </c>
      <c r="X258" s="769" t="str">
        <f>"RI"&amp;Grunddaten!$B$7</f>
        <v>RI10</v>
      </c>
    </row>
    <row r="259" spans="11:26" x14ac:dyDescent="0.2">
      <c r="U259" s="1432" t="s">
        <v>205</v>
      </c>
      <c r="V259" s="1433"/>
      <c r="W259" s="1432" t="s">
        <v>206</v>
      </c>
      <c r="X259" s="1433"/>
      <c r="Y259" s="1432" t="s">
        <v>244</v>
      </c>
      <c r="Z259" s="1433"/>
    </row>
    <row r="260" spans="11:26" x14ac:dyDescent="0.2">
      <c r="U260" s="774" t="s">
        <v>207</v>
      </c>
      <c r="V260" s="774" t="s">
        <v>208</v>
      </c>
      <c r="W260" s="774" t="s">
        <v>209</v>
      </c>
      <c r="X260" s="774" t="s">
        <v>210</v>
      </c>
      <c r="Y260" s="788" t="s">
        <v>245</v>
      </c>
      <c r="Z260" s="788" t="s">
        <v>246</v>
      </c>
    </row>
    <row r="261" spans="11:26" x14ac:dyDescent="0.2">
      <c r="S261" s="770" t="s">
        <v>213</v>
      </c>
      <c r="T261" s="773" t="s">
        <v>214</v>
      </c>
      <c r="U261" s="779">
        <f>INDEX('Planzahlen Rentabilität'!$K$12:$FU$29,MATCH(Grafiken!$S261,'Planzahlen Rentabilität'!$A$12:$A$29,0),MATCH(Grafiken!U$258,'Planzahlen Rentabilität'!$K$9:$FU$9,0))</f>
        <v>103418.6</v>
      </c>
      <c r="V261" s="800">
        <f>INDEX('Planzahlen Rentabilität'!$K$12:$FU$29,MATCH(Grafiken!$S261,'Planzahlen Rentabilität'!$A$12:$A$29,0),MATCH(Grafiken!V$258,'Planzahlen Rentabilität'!$K$9:$FU$9,0))</f>
        <v>1</v>
      </c>
      <c r="W261" s="798">
        <f ca="1">INDEX('Planzahlen Rentabilität'!$K$12:$FU$29,MATCH(Grafiken!$S261,'Planzahlen Rentabilität'!$A$12:$A$29,0),MATCH(Grafiken!W$258,'Planzahlen Rentabilität'!$K$9:$FU$9,0))</f>
        <v>32720.12</v>
      </c>
      <c r="X261" s="777">
        <f>INDEX('Planzahlen Rentabilität'!$K$12:$FU$29,MATCH(Grafiken!$S261,'Planzahlen Rentabilität'!$A$12:$A$29,0),MATCH(Grafiken!X$258,'Planzahlen Rentabilität'!$K$9:$FU$9,0))</f>
        <v>1</v>
      </c>
      <c r="Y261" s="791">
        <f>U261</f>
        <v>103418.6</v>
      </c>
      <c r="Z261" s="777">
        <v>1</v>
      </c>
    </row>
    <row r="262" spans="11:26" x14ac:dyDescent="0.2">
      <c r="S262" s="51"/>
      <c r="T262" s="771" t="s">
        <v>215</v>
      </c>
      <c r="U262" s="776">
        <f>U261-U263</f>
        <v>340</v>
      </c>
      <c r="V262" s="800">
        <f>U262/U261</f>
        <v>3.2876097723233536E-3</v>
      </c>
      <c r="W262" s="798">
        <f ca="1">W261-W263</f>
        <v>8011.7799999999988</v>
      </c>
      <c r="X262" s="777">
        <f ca="1">W262/W261</f>
        <v>0.24485790394411755</v>
      </c>
      <c r="Y262" s="776">
        <f ca="1">Y261-Y263</f>
        <v>25322.861624835117</v>
      </c>
      <c r="Z262" s="777">
        <f ca="1">Y262/Y261</f>
        <v>0.24485790394411755</v>
      </c>
    </row>
    <row r="263" spans="11:26" x14ac:dyDescent="0.2">
      <c r="K263" s="1426" t="s">
        <v>224</v>
      </c>
      <c r="L263" s="1428" t="s">
        <v>225</v>
      </c>
      <c r="M263" s="1430" t="s">
        <v>120</v>
      </c>
      <c r="N263" s="1428" t="s">
        <v>226</v>
      </c>
      <c r="O263" s="1430" t="s">
        <v>120</v>
      </c>
      <c r="P263" s="1434" t="s">
        <v>244</v>
      </c>
      <c r="Q263" s="1430" t="s">
        <v>120</v>
      </c>
      <c r="S263" s="770" t="s">
        <v>216</v>
      </c>
      <c r="T263" s="775" t="s">
        <v>217</v>
      </c>
      <c r="U263" s="781">
        <f>INDEX('Planzahlen Rentabilität'!$K$12:$FU$29,MATCH(Grafiken!$S263,'Planzahlen Rentabilität'!$A$12:$A$29,0),MATCH(Grafiken!U$258,'Planzahlen Rentabilität'!$K$9:$FU$9,0))</f>
        <v>103078.6</v>
      </c>
      <c r="V263" s="801">
        <f ca="1">INDEX('Planzahlen Rentabilität'!$K$12:$FU$29,MATCH(Grafiken!$S263,'Planzahlen Rentabilität'!$A$12:$A$29,0),MATCH(Grafiken!V$258,'Planzahlen Rentabilität'!$K$9:$FU$9,0))</f>
        <v>0.31542043694267757</v>
      </c>
      <c r="W263" s="796">
        <f ca="1">INDEX('Planzahlen Rentabilität'!$K$12:$FU$29,MATCH(Grafiken!$S263,'Planzahlen Rentabilität'!$A$12:$A$29,0),MATCH(Grafiken!W$258,'Planzahlen Rentabilität'!$K$9:$FU$9,0))</f>
        <v>24708.34</v>
      </c>
      <c r="X263" s="794">
        <f ca="1">INDEX('Planzahlen Rentabilität'!$K$12:$FU$29,MATCH(Grafiken!$S263,'Planzahlen Rentabilität'!$A$12:$A$29,0),MATCH(Grafiken!X$258,'Planzahlen Rentabilität'!$K$9:$FU$9,0))</f>
        <v>0.75514209605588245</v>
      </c>
      <c r="Y263" s="789">
        <f ca="1">Y261*Z263/Z261</f>
        <v>78095.738375164889</v>
      </c>
      <c r="Z263" s="783">
        <f ca="1">X263</f>
        <v>0.75514209605588245</v>
      </c>
    </row>
    <row r="264" spans="11:26" x14ac:dyDescent="0.2">
      <c r="K264" s="1427"/>
      <c r="L264" s="1429"/>
      <c r="M264" s="1431"/>
      <c r="N264" s="1429"/>
      <c r="O264" s="1431"/>
      <c r="P264" s="1435"/>
      <c r="Q264" s="1431"/>
      <c r="S264" s="770"/>
      <c r="T264" s="771" t="s">
        <v>218</v>
      </c>
      <c r="U264" s="787">
        <f>U263-U265</f>
        <v>61672.881944444445</v>
      </c>
      <c r="V264" s="800">
        <f>U264/U261</f>
        <v>0.59634226284676495</v>
      </c>
      <c r="W264" s="798">
        <f ca="1">W263-W265</f>
        <v>15782.21</v>
      </c>
      <c r="X264" s="786">
        <f ca="1">W264/W261</f>
        <v>0.48233961244640911</v>
      </c>
      <c r="Y264" s="776">
        <f ca="1">Y263-Y265</f>
        <v>49882.887443750209</v>
      </c>
      <c r="Z264" s="777">
        <f ca="1">Y264/Y261</f>
        <v>0.48233961244640911</v>
      </c>
    </row>
    <row r="265" spans="11:26" x14ac:dyDescent="0.2">
      <c r="K265" s="1421" t="s">
        <v>230</v>
      </c>
      <c r="L265" s="1422">
        <f>U261/1000</f>
        <v>103.41860000000001</v>
      </c>
      <c r="M265" s="1424">
        <v>1</v>
      </c>
      <c r="N265" s="1425">
        <f ca="1">W261/1000</f>
        <v>32.720120000000001</v>
      </c>
      <c r="O265" s="1424">
        <v>1</v>
      </c>
      <c r="P265" s="1422">
        <f>L265</f>
        <v>103.41860000000001</v>
      </c>
      <c r="Q265" s="1424">
        <v>1</v>
      </c>
      <c r="S265" s="770" t="s">
        <v>219</v>
      </c>
      <c r="T265" s="775" t="s">
        <v>220</v>
      </c>
      <c r="U265" s="781">
        <f>INDEX('Planzahlen Rentabilität'!$K$12:$FU$29,MATCH(Grafiken!$S265,'Planzahlen Rentabilität'!$A$12:$A$29,0),MATCH(Grafiken!U$258,'Planzahlen Rentabilität'!$K$9:$FU$9,0))</f>
        <v>41405.718055555561</v>
      </c>
      <c r="V265" s="801">
        <f ca="1">INDEX('Planzahlen Rentabilität'!$K$12:$FU$29,MATCH(Grafiken!$S265,'Planzahlen Rentabilität'!$A$12:$A$29,0),MATCH(Grafiken!V$258,'Planzahlen Rentabilität'!$K$9:$FU$9,0))</f>
        <v>0.16281529628132654</v>
      </c>
      <c r="W265" s="796">
        <f ca="1">INDEX('Planzahlen Rentabilität'!$K$12:$FU$29,MATCH(Grafiken!$S265,'Planzahlen Rentabilität'!$A$12:$A$29,0),MATCH(Grafiken!W$258,'Planzahlen Rentabilität'!$K$9:$FU$9,0))</f>
        <v>8926.130000000001</v>
      </c>
      <c r="X265" s="794">
        <f ca="1">INDEX('Planzahlen Rentabilität'!$K$12:$FU$29,MATCH(Grafiken!$S265,'Planzahlen Rentabilität'!$A$12:$A$29,0),MATCH(Grafiken!X$258,'Planzahlen Rentabilität'!$K$9:$FU$9,0))</f>
        <v>0.27280248360947335</v>
      </c>
      <c r="Y265" s="789">
        <f ca="1">Y261*Z265/Z261</f>
        <v>28212.850931414683</v>
      </c>
      <c r="Z265" s="783">
        <f ca="1">X265</f>
        <v>0.27280248360947335</v>
      </c>
    </row>
    <row r="266" spans="11:26" x14ac:dyDescent="0.2">
      <c r="K266" s="1411"/>
      <c r="L266" s="1423"/>
      <c r="M266" s="1413"/>
      <c r="N266" s="1412"/>
      <c r="O266" s="1413"/>
      <c r="P266" s="1423"/>
      <c r="Q266" s="1413"/>
    </row>
    <row r="267" spans="11:26" x14ac:dyDescent="0.2">
      <c r="K267" s="1403" t="s">
        <v>231</v>
      </c>
      <c r="L267" s="1395">
        <f>U262/1000</f>
        <v>0.34</v>
      </c>
      <c r="M267" s="1397">
        <f>V262</f>
        <v>3.2876097723233536E-3</v>
      </c>
      <c r="N267" s="1395">
        <f ca="1">W262/1000</f>
        <v>8.0117799999999981</v>
      </c>
      <c r="O267" s="1397">
        <f ca="1">X262</f>
        <v>0.24485790394411755</v>
      </c>
      <c r="P267" s="1395">
        <f ca="1">Y262/1000</f>
        <v>25.322861624835117</v>
      </c>
      <c r="Q267" s="1397">
        <f ca="1">P267/P265</f>
        <v>0.24485790394411752</v>
      </c>
    </row>
    <row r="268" spans="11:26" x14ac:dyDescent="0.2">
      <c r="K268" s="1416"/>
      <c r="L268" s="1396"/>
      <c r="M268" s="1398"/>
      <c r="N268" s="1396"/>
      <c r="O268" s="1398"/>
      <c r="P268" s="1396"/>
      <c r="Q268" s="1398"/>
    </row>
    <row r="269" spans="11:26" x14ac:dyDescent="0.2">
      <c r="K269" s="1405" t="s">
        <v>217</v>
      </c>
      <c r="L269" s="1399">
        <f>U263/1000</f>
        <v>103.07860000000001</v>
      </c>
      <c r="M269" s="1407">
        <f ca="1">V263</f>
        <v>0.31542043694267757</v>
      </c>
      <c r="N269" s="1399">
        <f ca="1">W263/1000</f>
        <v>24.70834</v>
      </c>
      <c r="O269" s="1409">
        <f ca="1">X263</f>
        <v>0.75514209605588245</v>
      </c>
      <c r="P269" s="1399">
        <f ca="1">Y263/1000</f>
        <v>78.095738375164885</v>
      </c>
      <c r="Q269" s="1401">
        <f ca="1">O269</f>
        <v>0.75514209605588245</v>
      </c>
    </row>
    <row r="270" spans="11:26" x14ac:dyDescent="0.2">
      <c r="K270" s="1411"/>
      <c r="L270" s="1412"/>
      <c r="M270" s="1413"/>
      <c r="N270" s="1412"/>
      <c r="O270" s="1414"/>
      <c r="P270" s="1412"/>
      <c r="Q270" s="1415"/>
    </row>
    <row r="271" spans="11:26" x14ac:dyDescent="0.2">
      <c r="K271" s="1403" t="s">
        <v>235</v>
      </c>
      <c r="L271" s="1395">
        <f>U264/1000</f>
        <v>61.672881944444448</v>
      </c>
      <c r="M271" s="1397">
        <f>V264</f>
        <v>0.59634226284676495</v>
      </c>
      <c r="N271" s="1395">
        <f ca="1">W264/1000</f>
        <v>15.782209999999999</v>
      </c>
      <c r="O271" s="1397">
        <f ca="1">X264</f>
        <v>0.48233961244640911</v>
      </c>
      <c r="P271" s="1395">
        <f ca="1">Y264/1000</f>
        <v>49.882887443750207</v>
      </c>
      <c r="Q271" s="1397">
        <f ca="1">P271/P265</f>
        <v>0.48233961244640905</v>
      </c>
    </row>
    <row r="272" spans="11:26" x14ac:dyDescent="0.2">
      <c r="K272" s="1404"/>
      <c r="L272" s="1396"/>
      <c r="M272" s="1398"/>
      <c r="N272" s="1396"/>
      <c r="O272" s="1398"/>
      <c r="P272" s="1396"/>
      <c r="Q272" s="1398"/>
    </row>
    <row r="273" spans="10:26" x14ac:dyDescent="0.2">
      <c r="K273" s="1405" t="s">
        <v>220</v>
      </c>
      <c r="L273" s="1399">
        <f>U265/1000</f>
        <v>41.40571805555556</v>
      </c>
      <c r="M273" s="1407">
        <f ca="1">V265</f>
        <v>0.16281529628132654</v>
      </c>
      <c r="N273" s="1399">
        <f ca="1">W265/1000</f>
        <v>8.9261300000000006</v>
      </c>
      <c r="O273" s="1409">
        <f ca="1">X265</f>
        <v>0.27280248360947335</v>
      </c>
      <c r="P273" s="1399">
        <f ca="1">Y265/1000</f>
        <v>28.212850931414682</v>
      </c>
      <c r="Q273" s="1401">
        <f ca="1">O273</f>
        <v>0.27280248360947335</v>
      </c>
    </row>
    <row r="274" spans="10:26" x14ac:dyDescent="0.2">
      <c r="K274" s="1406"/>
      <c r="L274" s="1400"/>
      <c r="M274" s="1408"/>
      <c r="N274" s="1400"/>
      <c r="O274" s="1410"/>
      <c r="P274" s="1400"/>
      <c r="Q274" s="1402"/>
    </row>
    <row r="282" spans="10:26" x14ac:dyDescent="0.2">
      <c r="T282" s="524" t="s">
        <v>221</v>
      </c>
      <c r="U282" s="769" t="str">
        <f>"KP"&amp;Grunddaten!$B$7</f>
        <v>KP10</v>
      </c>
      <c r="V282" s="769" t="str">
        <f>IF(Grunddaten!$B$7=1,"RP"&amp;Grunddaten!$B$7,"KRP"&amp;Grunddaten!$B$7)</f>
        <v>KRP10</v>
      </c>
      <c r="W282" s="769" t="str">
        <f>"KI"&amp;Grunddaten!$B$7</f>
        <v>KI10</v>
      </c>
      <c r="X282" s="769" t="str">
        <f>IF(Grunddaten!$B$7=1,"RI"&amp;Grunddaten!$B$7,"KRI"&amp;Grunddaten!$B$7)</f>
        <v>KRI10</v>
      </c>
    </row>
    <row r="283" spans="10:26" x14ac:dyDescent="0.2">
      <c r="U283" s="1432" t="s">
        <v>205</v>
      </c>
      <c r="V283" s="1433"/>
      <c r="W283" s="1432" t="s">
        <v>206</v>
      </c>
      <c r="X283" s="1433"/>
      <c r="Y283" s="1432" t="s">
        <v>244</v>
      </c>
      <c r="Z283" s="1433"/>
    </row>
    <row r="284" spans="10:26" x14ac:dyDescent="0.2">
      <c r="U284" s="774" t="s">
        <v>207</v>
      </c>
      <c r="V284" s="774" t="s">
        <v>208</v>
      </c>
      <c r="W284" s="774" t="s">
        <v>209</v>
      </c>
      <c r="X284" s="774" t="s">
        <v>210</v>
      </c>
      <c r="Y284" s="788" t="s">
        <v>245</v>
      </c>
      <c r="Z284" s="788" t="s">
        <v>246</v>
      </c>
    </row>
    <row r="285" spans="10:26" x14ac:dyDescent="0.2">
      <c r="S285" s="770" t="s">
        <v>213</v>
      </c>
      <c r="T285" s="773" t="s">
        <v>214</v>
      </c>
      <c r="U285" s="779">
        <f>INDEX('Planzahlen Rentabilität'!$K$12:$FU$29,MATCH(Grafiken!$S285,'Planzahlen Rentabilität'!$A$12:$A$29,0),MATCH(Grafiken!U$282,'Planzahlen Rentabilität'!$K$9:$FU$9,0))</f>
        <v>848032.52</v>
      </c>
      <c r="V285" s="800">
        <f>INDEX('Planzahlen Rentabilität'!$K$12:$FU$29,MATCH(Grafiken!$S285,'Planzahlen Rentabilität'!$A$12:$A$29,0),MATCH(Grafiken!V$282,'Planzahlen Rentabilität'!$K$9:$FU$9,0))</f>
        <v>1</v>
      </c>
      <c r="W285" s="798">
        <f ca="1">INDEX('Planzahlen Rentabilität'!$K$12:$FU$29,MATCH(Grafiken!$S285,'Planzahlen Rentabilität'!$A$12:$A$29,0),MATCH(Grafiken!W$282,'Planzahlen Rentabilität'!$K$9:$FU$9,0))</f>
        <v>158672.84000000003</v>
      </c>
      <c r="X285" s="777">
        <f>INDEX('Planzahlen Rentabilität'!$K$12:$FU$29,MATCH(Grafiken!$S285,'Planzahlen Rentabilität'!$A$12:$A$29,0),MATCH(Grafiken!X$282,'Planzahlen Rentabilität'!$K$9:$FU$9,0))</f>
        <v>1</v>
      </c>
      <c r="Y285" s="791">
        <f>U285</f>
        <v>848032.52</v>
      </c>
      <c r="Z285" s="777">
        <v>1</v>
      </c>
    </row>
    <row r="286" spans="10:26" x14ac:dyDescent="0.2">
      <c r="T286" s="771" t="s">
        <v>215</v>
      </c>
      <c r="U286" s="776">
        <f>U285-U287</f>
        <v>2788</v>
      </c>
      <c r="V286" s="800">
        <f>U286/U285</f>
        <v>3.2876097723233536E-3</v>
      </c>
      <c r="W286" s="798">
        <f ca="1">W285-W287</f>
        <v>10942.840000000026</v>
      </c>
      <c r="X286" s="777">
        <f ca="1">W286/W285</f>
        <v>6.896479573946003E-2</v>
      </c>
      <c r="Y286" s="776">
        <f ca="1">Y285-Y287</f>
        <v>58484.389522219542</v>
      </c>
      <c r="Z286" s="777">
        <f ca="1">Y286/Y285</f>
        <v>6.8964795739460016E-2</v>
      </c>
    </row>
    <row r="287" spans="10:26" x14ac:dyDescent="0.2">
      <c r="J287" s="492"/>
      <c r="K287" s="1426" t="s">
        <v>224</v>
      </c>
      <c r="L287" s="1428" t="s">
        <v>225</v>
      </c>
      <c r="M287" s="1430" t="s">
        <v>120</v>
      </c>
      <c r="N287" s="1428" t="s">
        <v>226</v>
      </c>
      <c r="O287" s="1419" t="s">
        <v>120</v>
      </c>
      <c r="P287" s="1417" t="s">
        <v>244</v>
      </c>
      <c r="Q287" s="1419" t="s">
        <v>120</v>
      </c>
      <c r="S287" s="770" t="s">
        <v>216</v>
      </c>
      <c r="T287" s="775" t="s">
        <v>217</v>
      </c>
      <c r="U287" s="781">
        <f>INDEX('Planzahlen Rentabilität'!$K$12:$FU$29,MATCH(Grafiken!$S287,'Planzahlen Rentabilität'!$A$12:$A$29,0),MATCH(Grafiken!U$282,'Planzahlen Rentabilität'!$K$9:$FU$9,0))</f>
        <v>845244.52</v>
      </c>
      <c r="V287" s="801">
        <f ca="1">INDEX('Planzahlen Rentabilität'!$K$12:$FU$29,MATCH(Grafiken!$S287,'Planzahlen Rentabilität'!$A$12:$A$29,0),MATCH(Grafiken!V$282,'Planzahlen Rentabilität'!$K$9:$FU$9,0))</f>
        <v>0.17863583816337608</v>
      </c>
      <c r="W287" s="796">
        <f ca="1">INDEX('Planzahlen Rentabilität'!$K$12:$FU$29,MATCH(Grafiken!$S287,'Planzahlen Rentabilität'!$A$12:$A$29,0),MATCH(Grafiken!W$282,'Planzahlen Rentabilität'!$K$9:$FU$9,0))</f>
        <v>147730</v>
      </c>
      <c r="X287" s="794">
        <f ca="1">INDEX('Planzahlen Rentabilität'!$K$12:$FU$29,MATCH(Grafiken!$S287,'Planzahlen Rentabilität'!$A$12:$A$29,0),MATCH(Grafiken!X$282,'Planzahlen Rentabilität'!$K$9:$FU$9,0))</f>
        <v>0.93103520426053998</v>
      </c>
      <c r="Y287" s="789">
        <f ca="1">Y285*Z287/Z285</f>
        <v>789548.13047778048</v>
      </c>
      <c r="Z287" s="783">
        <f ca="1">X287</f>
        <v>0.93103520426053998</v>
      </c>
    </row>
    <row r="288" spans="10:26" x14ac:dyDescent="0.2">
      <c r="J288" s="492"/>
      <c r="K288" s="1427"/>
      <c r="L288" s="1429"/>
      <c r="M288" s="1431"/>
      <c r="N288" s="1429"/>
      <c r="O288" s="1420"/>
      <c r="P288" s="1418"/>
      <c r="Q288" s="1420"/>
      <c r="T288" s="771" t="s">
        <v>218</v>
      </c>
      <c r="U288" s="787">
        <f>U287-U289</f>
        <v>624931.76944444445</v>
      </c>
      <c r="V288" s="800">
        <f>U288/U285</f>
        <v>0.73691958115526568</v>
      </c>
      <c r="W288" s="798">
        <f ca="1">W287-W289</f>
        <v>132487.95000000001</v>
      </c>
      <c r="X288" s="786">
        <f ca="1">W288/W285</f>
        <v>0.83497560136945925</v>
      </c>
      <c r="Y288" s="776">
        <f ca="1">Y287-Y289</f>
        <v>708086.46336785797</v>
      </c>
      <c r="Z288" s="777">
        <f ca="1">Y288/Y285</f>
        <v>0.83497560136945925</v>
      </c>
    </row>
    <row r="289" spans="10:26" x14ac:dyDescent="0.2">
      <c r="J289" s="492"/>
      <c r="K289" s="1421" t="s">
        <v>230</v>
      </c>
      <c r="L289" s="1422">
        <f>U285/1000</f>
        <v>848.03251999999998</v>
      </c>
      <c r="M289" s="1424">
        <v>1</v>
      </c>
      <c r="N289" s="1425">
        <f ca="1">W285/1000</f>
        <v>158.67284000000004</v>
      </c>
      <c r="O289" s="1424">
        <v>1</v>
      </c>
      <c r="P289" s="1422">
        <f>L289</f>
        <v>848.03251999999998</v>
      </c>
      <c r="Q289" s="1424">
        <v>1</v>
      </c>
      <c r="S289" s="770" t="s">
        <v>219</v>
      </c>
      <c r="T289" s="775" t="s">
        <v>220</v>
      </c>
      <c r="U289" s="781">
        <f>INDEX('Planzahlen Rentabilität'!$K$12:$FU$29,MATCH(Grafiken!$S289,'Planzahlen Rentabilität'!$A$12:$A$29,0),MATCH(Grafiken!U$282,'Planzahlen Rentabilität'!$K$9:$FU$9,0))</f>
        <v>220312.7505555556</v>
      </c>
      <c r="V289" s="801">
        <f ca="1">INDEX('Planzahlen Rentabilität'!$K$12:$FU$29,MATCH(Grafiken!$S289,'Planzahlen Rentabilität'!$A$12:$A$29,0),MATCH(Grafiken!V$282,'Planzahlen Rentabilität'!$K$9:$FU$9,0))</f>
        <v>2.2406039334434961E-2</v>
      </c>
      <c r="W289" s="796">
        <f ca="1">INDEX('Planzahlen Rentabilität'!$K$12:$FU$29,MATCH(Grafiken!$S289,'Planzahlen Rentabilität'!$A$12:$A$29,0),MATCH(Grafiken!W$282,'Planzahlen Rentabilität'!$K$9:$FU$9,0))</f>
        <v>15242.050000000001</v>
      </c>
      <c r="X289" s="794">
        <f ca="1">INDEX('Planzahlen Rentabilität'!$K$12:$FU$29,MATCH(Grafiken!$S289,'Planzahlen Rentabilität'!$A$12:$A$29,0),MATCH(Grafiken!X$282,'Planzahlen Rentabilität'!$K$9:$FU$9,0))</f>
        <v>9.6059602891080786E-2</v>
      </c>
      <c r="Y289" s="789">
        <f ca="1">Y285*Z289/Z285</f>
        <v>81461.66710992252</v>
      </c>
      <c r="Z289" s="783">
        <f ca="1">X289</f>
        <v>9.6059602891080786E-2</v>
      </c>
    </row>
    <row r="290" spans="10:26" x14ac:dyDescent="0.2">
      <c r="J290" s="492"/>
      <c r="K290" s="1411"/>
      <c r="L290" s="1423"/>
      <c r="M290" s="1413"/>
      <c r="N290" s="1412"/>
      <c r="O290" s="1413"/>
      <c r="P290" s="1423"/>
      <c r="Q290" s="1413"/>
    </row>
    <row r="291" spans="10:26" x14ac:dyDescent="0.2">
      <c r="J291" s="492"/>
      <c r="K291" s="1403" t="s">
        <v>231</v>
      </c>
      <c r="L291" s="1395">
        <f>U286/1000</f>
        <v>2.7879999999999998</v>
      </c>
      <c r="M291" s="1397">
        <f>V286</f>
        <v>3.2876097723233536E-3</v>
      </c>
      <c r="N291" s="1395">
        <f ca="1">W286/1000</f>
        <v>10.942840000000025</v>
      </c>
      <c r="O291" s="1397">
        <f ca="1">X286</f>
        <v>6.896479573946003E-2</v>
      </c>
      <c r="P291" s="1395">
        <f ca="1">Y286/1000</f>
        <v>58.484389522219544</v>
      </c>
      <c r="Q291" s="1397">
        <f ca="1">P291/P289</f>
        <v>6.8964795739460016E-2</v>
      </c>
    </row>
    <row r="292" spans="10:26" x14ac:dyDescent="0.2">
      <c r="J292" s="492"/>
      <c r="K292" s="1416"/>
      <c r="L292" s="1396"/>
      <c r="M292" s="1398"/>
      <c r="N292" s="1396"/>
      <c r="O292" s="1398"/>
      <c r="P292" s="1396"/>
      <c r="Q292" s="1398"/>
    </row>
    <row r="293" spans="10:26" x14ac:dyDescent="0.2">
      <c r="J293" s="492"/>
      <c r="K293" s="1405" t="s">
        <v>217</v>
      </c>
      <c r="L293" s="1399">
        <f>U287/1000</f>
        <v>845.24451999999997</v>
      </c>
      <c r="M293" s="1407">
        <f ca="1">V287</f>
        <v>0.17863583816337608</v>
      </c>
      <c r="N293" s="1399">
        <f ca="1">W287/1000</f>
        <v>147.72999999999999</v>
      </c>
      <c r="O293" s="1409">
        <f ca="1">X287</f>
        <v>0.93103520426053998</v>
      </c>
      <c r="P293" s="1399">
        <f ca="1">Y287/1000</f>
        <v>789.54813047778043</v>
      </c>
      <c r="Q293" s="1401">
        <f ca="1">O293</f>
        <v>0.93103520426053998</v>
      </c>
    </row>
    <row r="294" spans="10:26" x14ac:dyDescent="0.2">
      <c r="J294" s="492"/>
      <c r="K294" s="1411"/>
      <c r="L294" s="1412"/>
      <c r="M294" s="1413"/>
      <c r="N294" s="1412"/>
      <c r="O294" s="1414"/>
      <c r="P294" s="1412"/>
      <c r="Q294" s="1415"/>
    </row>
    <row r="295" spans="10:26" x14ac:dyDescent="0.2">
      <c r="J295" s="492"/>
      <c r="K295" s="1403" t="s">
        <v>235</v>
      </c>
      <c r="L295" s="1395">
        <f>U288/1000</f>
        <v>624.9317694444444</v>
      </c>
      <c r="M295" s="1397">
        <f>V288</f>
        <v>0.73691958115526568</v>
      </c>
      <c r="N295" s="1395">
        <f ca="1">W288/1000</f>
        <v>132.48795000000001</v>
      </c>
      <c r="O295" s="1397">
        <f ca="1">X288</f>
        <v>0.83497560136945925</v>
      </c>
      <c r="P295" s="1395">
        <f ca="1">Y288/1000</f>
        <v>708.08646336785796</v>
      </c>
      <c r="Q295" s="1397">
        <f ca="1">P295/P289</f>
        <v>0.83497560136945925</v>
      </c>
    </row>
    <row r="296" spans="10:26" x14ac:dyDescent="0.2">
      <c r="J296" s="492"/>
      <c r="K296" s="1404"/>
      <c r="L296" s="1396"/>
      <c r="M296" s="1398"/>
      <c r="N296" s="1396"/>
      <c r="O296" s="1398"/>
      <c r="P296" s="1396"/>
      <c r="Q296" s="1398"/>
    </row>
    <row r="297" spans="10:26" x14ac:dyDescent="0.2">
      <c r="J297" s="492"/>
      <c r="K297" s="1405" t="s">
        <v>220</v>
      </c>
      <c r="L297" s="1399">
        <f>U289/1000</f>
        <v>220.3127505555556</v>
      </c>
      <c r="M297" s="1407">
        <f ca="1">V289</f>
        <v>2.2406039334434961E-2</v>
      </c>
      <c r="N297" s="1399">
        <f ca="1">W289/1000</f>
        <v>15.242050000000001</v>
      </c>
      <c r="O297" s="1409">
        <f ca="1">X289</f>
        <v>9.6059602891080786E-2</v>
      </c>
      <c r="P297" s="1399">
        <f ca="1">Y289/1000</f>
        <v>81.461667109922516</v>
      </c>
      <c r="Q297" s="1401">
        <f ca="1">O297</f>
        <v>9.6059602891080786E-2</v>
      </c>
    </row>
    <row r="298" spans="10:26" x14ac:dyDescent="0.2">
      <c r="J298" s="492"/>
      <c r="K298" s="1406"/>
      <c r="L298" s="1400"/>
      <c r="M298" s="1408"/>
      <c r="N298" s="1400"/>
      <c r="O298" s="1410"/>
      <c r="P298" s="1400"/>
      <c r="Q298" s="1402"/>
    </row>
    <row r="299" spans="10:26" x14ac:dyDescent="0.2">
      <c r="J299" s="492"/>
      <c r="K299" s="492"/>
      <c r="L299" s="785"/>
      <c r="M299" s="785"/>
      <c r="N299" s="785"/>
      <c r="O299" s="785"/>
      <c r="P299" s="785"/>
      <c r="Q299" s="785"/>
    </row>
    <row r="300" spans="10:26" x14ac:dyDescent="0.2">
      <c r="L300" s="489"/>
      <c r="M300" s="489"/>
      <c r="N300" s="489"/>
      <c r="O300" s="489"/>
      <c r="P300" s="489"/>
      <c r="Q300" s="489"/>
    </row>
    <row r="305" spans="1:30" ht="15" x14ac:dyDescent="0.2">
      <c r="A305" s="487" t="str">
        <f>"Erfolgs-Analysen zum "&amp;Grunddaten!$E$7&amp;" "&amp;Grunddaten!$B$5</f>
        <v>Erfolgs-Analysen zum Oktober 2019</v>
      </c>
    </row>
    <row r="307" spans="1:30" x14ac:dyDescent="0.2">
      <c r="T307" s="524" t="s">
        <v>204</v>
      </c>
      <c r="U307" s="769" t="str">
        <f>"P"&amp;Grunddaten!$B$7</f>
        <v>P10</v>
      </c>
      <c r="V307" s="1469" t="str">
        <f>"P"&amp;Grunddaten!$B$7</f>
        <v>P10</v>
      </c>
      <c r="W307" s="1469"/>
      <c r="X307" s="769" t="str">
        <f>"RP"&amp;Grunddaten!$B$7</f>
        <v>RP10</v>
      </c>
      <c r="Y307" s="769" t="str">
        <f>"I"&amp;Grunddaten!$B$7</f>
        <v>I10</v>
      </c>
      <c r="Z307" s="1469" t="str">
        <f>"I"&amp;Grunddaten!$B$7</f>
        <v>I10</v>
      </c>
      <c r="AA307" s="1469"/>
      <c r="AB307" s="769" t="str">
        <f>"RI"&amp;Grunddaten!$B$7</f>
        <v>RI10</v>
      </c>
    </row>
    <row r="308" spans="1:30" x14ac:dyDescent="0.2">
      <c r="U308" s="1464" t="s">
        <v>205</v>
      </c>
      <c r="V308" s="1468"/>
      <c r="W308" s="1468"/>
      <c r="X308" s="1465"/>
      <c r="Y308" s="1464" t="s">
        <v>206</v>
      </c>
      <c r="Z308" s="1468"/>
      <c r="AA308" s="1468"/>
      <c r="AB308" s="1468"/>
      <c r="AC308" s="809"/>
      <c r="AD308" s="492"/>
    </row>
    <row r="309" spans="1:30" x14ac:dyDescent="0.2">
      <c r="U309" s="802" t="s">
        <v>205</v>
      </c>
      <c r="V309" s="802" t="s">
        <v>250</v>
      </c>
      <c r="W309" s="774" t="s">
        <v>251</v>
      </c>
      <c r="X309" s="774" t="s">
        <v>252</v>
      </c>
      <c r="Y309" s="802" t="s">
        <v>206</v>
      </c>
      <c r="Z309" s="802" t="s">
        <v>250</v>
      </c>
      <c r="AA309" s="774" t="s">
        <v>251</v>
      </c>
      <c r="AB309" s="774" t="s">
        <v>210</v>
      </c>
      <c r="AC309" s="806"/>
      <c r="AD309" s="803"/>
    </row>
    <row r="310" spans="1:30" x14ac:dyDescent="0.2">
      <c r="S310" s="770" t="s">
        <v>216</v>
      </c>
      <c r="T310" s="775" t="s">
        <v>217</v>
      </c>
      <c r="U310" s="787">
        <f>INDEX('Planzahlen Rentabilität'!$K$12:$FU$56,MATCH(Grafiken!$S310,'Planzahlen Rentabilität'!$A$12:$A$56,0),MATCH(Grafiken!U$307,'Planzahlen Rentabilität'!$K$9:$FU$9,0))</f>
        <v>103078.6</v>
      </c>
      <c r="V310" s="787">
        <v>0</v>
      </c>
      <c r="W310" s="787"/>
      <c r="X310" s="786">
        <f ca="1">INDEX('Planzahlen Rentabilität'!$K$12:$FU$56,MATCH(Grafiken!$S310,'Planzahlen Rentabilität'!$A$12:$A$56,0),MATCH(Grafiken!X$307,'Planzahlen Rentabilität'!$K$9:$FU$9,0))</f>
        <v>0.31542043694267757</v>
      </c>
      <c r="Y310" s="787">
        <f ca="1">INDEX('Planzahlen Rentabilität'!$K$12:$FU$56,MATCH(Grafiken!$S310,'Planzahlen Rentabilität'!$A$12:$A$56,0),MATCH(Grafiken!Y$307,'Planzahlen Rentabilität'!$K$9:$FU$9,0))</f>
        <v>24708.34</v>
      </c>
      <c r="Z310" s="787">
        <v>0</v>
      </c>
      <c r="AA310" s="787"/>
      <c r="AB310" s="786">
        <f ca="1">INDEX('Planzahlen Rentabilität'!$K$12:$FU$56,MATCH(Grafiken!$S310,'Planzahlen Rentabilität'!$A$12:$A$56,0),MATCH(Grafiken!AB$307,'Planzahlen Rentabilität'!$K$9:$FU$9,0))</f>
        <v>0.75514209605588245</v>
      </c>
      <c r="AC310" s="807"/>
      <c r="AD310" s="804"/>
    </row>
    <row r="311" spans="1:30" x14ac:dyDescent="0.2">
      <c r="S311" s="770" t="s">
        <v>253</v>
      </c>
      <c r="T311" s="771" t="s">
        <v>254</v>
      </c>
      <c r="U311" s="787">
        <f>U310-V311+W310</f>
        <v>41405.718055555561</v>
      </c>
      <c r="V311" s="787">
        <f>IF(INDEX('Planzahlen Rentabilität'!$K$12:$FU$56,MATCH(Grafiken!$S311,'Planzahlen Rentabilität'!$A$12:$A$56,0),MATCH(Grafiken!V$307,'Planzahlen Rentabilität'!$K$9:$FU$9,0))&gt;=0,INDEX('Planzahlen Rentabilität'!$K$12:$FU$56,MATCH(Grafiken!$S311,'Planzahlen Rentabilität'!$A$12:$A$56,0),MATCH(Grafiken!V$307,'Planzahlen Rentabilität'!$K$9:$FU$9,0)),0)</f>
        <v>61672.881944444445</v>
      </c>
      <c r="W311" s="787">
        <f>IF(INDEX('Planzahlen Rentabilität'!$K$12:$FU$56,MATCH(Grafiken!$S311,'Planzahlen Rentabilität'!$A$12:$A$56,0),MATCH(Grafiken!V$307,'Planzahlen Rentabilität'!$K$9:$FU$9,0))&lt;0,-INDEX('Planzahlen Rentabilität'!$K$12:$FU$56,MATCH(Grafiken!$S311,'Planzahlen Rentabilität'!$A$12:$A$56,0),MATCH(Grafiken!V$307,'Planzahlen Rentabilität'!$K$9:$FU$9,0)),0)</f>
        <v>0</v>
      </c>
      <c r="X311" s="786">
        <f ca="1">INDEX('Planzahlen Rentabilität'!$K$12:$FU$56,MATCH(Grafiken!$S311,'Planzahlen Rentabilität'!$A$12:$A$56,0),MATCH(Grafiken!X$307,'Planzahlen Rentabilität'!$K$9:$FU$9,0))</f>
        <v>0.15260514066135103</v>
      </c>
      <c r="Y311" s="787">
        <f ca="1">Y310-Z311+AA310</f>
        <v>8926.130000000001</v>
      </c>
      <c r="Z311" s="787">
        <f ca="1">IF(INDEX('Planzahlen Rentabilität'!$K$12:$FU$56,MATCH(Grafiken!$S311,'Planzahlen Rentabilität'!$A$12:$A$56,0),MATCH(Grafiken!Z$307,'Planzahlen Rentabilität'!$K$9:$FU$9,0))&gt;=0,INDEX('Planzahlen Rentabilität'!$K$12:$FU$56,MATCH(Grafiken!$S311,'Planzahlen Rentabilität'!$A$12:$A$56,0),MATCH(Grafiken!Z$307,'Planzahlen Rentabilität'!$K$9:$FU$9,0)),0)</f>
        <v>15782.21</v>
      </c>
      <c r="AA311" s="787">
        <f ca="1">IF(INDEX('Planzahlen Rentabilität'!$K$12:$FU$56,MATCH(Grafiken!$S311,'Planzahlen Rentabilität'!$A$12:$A$56,0),MATCH(Grafiken!Z$307,'Planzahlen Rentabilität'!$K$9:$FU$9,0))&lt;0,-INDEX('Planzahlen Rentabilität'!$K$12:$FU$56,MATCH(Grafiken!$S311,'Planzahlen Rentabilität'!$A$12:$A$56,0),MATCH(Grafiken!Z$307,'Planzahlen Rentabilität'!$K$9:$FU$9,0)),0)</f>
        <v>0</v>
      </c>
      <c r="AB311" s="786">
        <f ca="1">INDEX('Planzahlen Rentabilität'!$K$12:$FU$56,MATCH(Grafiken!$S311,'Planzahlen Rentabilität'!$A$12:$A$56,0),MATCH(Grafiken!AB$307,'Planzahlen Rentabilität'!$K$9:$FU$9,0))</f>
        <v>0.48233961244640911</v>
      </c>
      <c r="AC311" s="807"/>
      <c r="AD311" s="804"/>
    </row>
    <row r="312" spans="1:30" x14ac:dyDescent="0.2">
      <c r="S312" s="770" t="s">
        <v>255</v>
      </c>
      <c r="T312" s="771" t="s">
        <v>256</v>
      </c>
      <c r="U312" s="787">
        <f t="shared" ref="U312:U315" si="0">U311-V312+W311</f>
        <v>41339.051388888896</v>
      </c>
      <c r="V312" s="787">
        <f>IF(INDEX('Planzahlen Rentabilität'!$K$12:$FU$56,MATCH(Grafiken!$S312,'Planzahlen Rentabilität'!$A$12:$A$56,0),MATCH(Grafiken!V$307,'Planzahlen Rentabilität'!$K$9:$FU$9,0))&gt;=0,INDEX('Planzahlen Rentabilität'!$K$12:$FU$56,MATCH(Grafiken!$S312,'Planzahlen Rentabilität'!$A$12:$A$56,0),MATCH(Grafiken!V$307,'Planzahlen Rentabilität'!$K$9:$FU$9,0)),0)</f>
        <v>66.666666666666671</v>
      </c>
      <c r="W312" s="787">
        <f>IF(INDEX('Planzahlen Rentabilität'!$K$12:$FU$56,MATCH(Grafiken!$S312,'Planzahlen Rentabilität'!$A$12:$A$56,0),MATCH(Grafiken!V$307,'Planzahlen Rentabilität'!$K$9:$FU$9,0))&lt;0,-INDEX('Planzahlen Rentabilität'!$K$12:$FU$56,MATCH(Grafiken!$S312,'Planzahlen Rentabilität'!$A$12:$A$56,0),MATCH(Grafiken!V$307,'Planzahlen Rentabilität'!$K$9:$FU$9,0)),0)</f>
        <v>0</v>
      </c>
      <c r="X312" s="786">
        <f ca="1">INDEX('Planzahlen Rentabilität'!$K$12:$FU$56,MATCH(Grafiken!$S312,'Planzahlen Rentabilität'!$A$12:$A$56,0),MATCH(Grafiken!X$307,'Planzahlen Rentabilität'!$K$9:$FU$9,0))</f>
        <v>1.270844896372606E-2</v>
      </c>
      <c r="Y312" s="787">
        <f t="shared" ref="Y312:Y315" ca="1" si="1">Y311-Z312+AA311</f>
        <v>7611.8400000000011</v>
      </c>
      <c r="Z312" s="787">
        <f ca="1">IF(INDEX('Planzahlen Rentabilität'!$K$12:$FU$56,MATCH(Grafiken!$S312,'Planzahlen Rentabilität'!$A$12:$A$56,0),MATCH(Grafiken!Z$307,'Planzahlen Rentabilität'!$K$9:$FU$9,0))&gt;=0,INDEX('Planzahlen Rentabilität'!$K$12:$FU$56,MATCH(Grafiken!$S312,'Planzahlen Rentabilität'!$A$12:$A$56,0),MATCH(Grafiken!Z$307,'Planzahlen Rentabilität'!$K$9:$FU$9,0)),0)</f>
        <v>1314.29</v>
      </c>
      <c r="AA312" s="787">
        <f ca="1">IF(INDEX('Planzahlen Rentabilität'!$K$12:$FU$56,MATCH(Grafiken!$S312,'Planzahlen Rentabilität'!$A$12:$A$56,0),MATCH(Grafiken!Z$307,'Planzahlen Rentabilität'!$K$9:$FU$9,0))&lt;0,-INDEX('Planzahlen Rentabilität'!$K$12:$FU$56,MATCH(Grafiken!$S312,'Planzahlen Rentabilität'!$A$12:$A$56,0),MATCH(Grafiken!Z$307,'Planzahlen Rentabilität'!$K$9:$FU$9,0)),0)</f>
        <v>0</v>
      </c>
      <c r="AB312" s="786">
        <f ca="1">INDEX('Planzahlen Rentabilität'!$K$12:$FU$56,MATCH(Grafiken!$S312,'Planzahlen Rentabilität'!$A$12:$A$56,0),MATCH(Grafiken!AB$307,'Planzahlen Rentabilität'!$K$9:$FU$9,0))</f>
        <v>4.0167639971980543E-2</v>
      </c>
      <c r="AC312" s="808"/>
      <c r="AD312" s="805"/>
    </row>
    <row r="313" spans="1:30" x14ac:dyDescent="0.2">
      <c r="S313" s="770" t="s">
        <v>257</v>
      </c>
      <c r="T313" s="771" t="s">
        <v>258</v>
      </c>
      <c r="U313" s="787">
        <f t="shared" si="0"/>
        <v>39413.218055555561</v>
      </c>
      <c r="V313" s="787">
        <f>IF(INDEX('Planzahlen Rentabilität'!$K$12:$FU$56,MATCH(Grafiken!$S313,'Planzahlen Rentabilität'!$A$12:$A$56,0),MATCH(Grafiken!V$307,'Planzahlen Rentabilität'!$K$9:$FU$9,0))&gt;=0,INDEX('Planzahlen Rentabilität'!$K$12:$FU$56,MATCH(Grafiken!$S313,'Planzahlen Rentabilität'!$A$12:$A$56,0),MATCH(Grafiken!V$307,'Planzahlen Rentabilität'!$K$9:$FU$9,0)),0)</f>
        <v>1925.8333333333333</v>
      </c>
      <c r="W313" s="787">
        <f>IF(INDEX('Planzahlen Rentabilität'!$K$12:$FU$56,MATCH(Grafiken!$S313,'Planzahlen Rentabilität'!$A$12:$A$56,0),MATCH(Grafiken!V$307,'Planzahlen Rentabilität'!$K$9:$FU$9,0))&lt;0,-INDEX('Planzahlen Rentabilität'!$K$12:$FU$56,MATCH(Grafiken!$S313,'Planzahlen Rentabilität'!$A$12:$A$56,0),MATCH(Grafiken!V$307,'Planzahlen Rentabilität'!$K$9:$FU$9,0)),0)</f>
        <v>0</v>
      </c>
      <c r="X313" s="786">
        <f ca="1">INDEX('Planzahlen Rentabilität'!$K$12:$FU$56,MATCH(Grafiken!$S313,'Planzahlen Rentabilität'!$A$12:$A$56,0),MATCH(Grafiken!X$307,'Planzahlen Rentabilität'!$K$9:$FU$9,0))</f>
        <v>1.220583144618086E-2</v>
      </c>
      <c r="Y313" s="787">
        <f t="shared" ca="1" si="1"/>
        <v>6349.5300000000007</v>
      </c>
      <c r="Z313" s="787">
        <f ca="1">IF(INDEX('Planzahlen Rentabilität'!$K$12:$FU$56,MATCH(Grafiken!$S313,'Planzahlen Rentabilität'!$A$12:$A$56,0),MATCH(Grafiken!Z$307,'Planzahlen Rentabilität'!$K$9:$FU$9,0))&gt;=0,INDEX('Planzahlen Rentabilität'!$K$12:$FU$56,MATCH(Grafiken!$S313,'Planzahlen Rentabilität'!$A$12:$A$56,0),MATCH(Grafiken!Z$307,'Planzahlen Rentabilität'!$K$9:$FU$9,0)),0)</f>
        <v>1262.31</v>
      </c>
      <c r="AA313" s="787">
        <f ca="1">IF(INDEX('Planzahlen Rentabilität'!$K$12:$FU$56,MATCH(Grafiken!$S313,'Planzahlen Rentabilität'!$A$12:$A$56,0),MATCH(Grafiken!Z$307,'Planzahlen Rentabilität'!$K$9:$FU$9,0))&lt;0,-INDEX('Planzahlen Rentabilität'!$K$12:$FU$56,MATCH(Grafiken!$S313,'Planzahlen Rentabilität'!$A$12:$A$56,0),MATCH(Grafiken!Z$307,'Planzahlen Rentabilität'!$K$9:$FU$9,0)),0)</f>
        <v>0</v>
      </c>
      <c r="AB313" s="786">
        <f ca="1">INDEX('Planzahlen Rentabilität'!$K$12:$FU$56,MATCH(Grafiken!$S313,'Planzahlen Rentabilität'!$A$12:$A$56,0),MATCH(Grafiken!AB$307,'Planzahlen Rentabilität'!$K$9:$FU$9,0))</f>
        <v>3.8579014991387564E-2</v>
      </c>
      <c r="AC313" s="807"/>
      <c r="AD313" s="804"/>
    </row>
    <row r="314" spans="1:30" x14ac:dyDescent="0.2">
      <c r="S314" s="51" t="s">
        <v>259</v>
      </c>
      <c r="T314" s="771" t="s">
        <v>260</v>
      </c>
      <c r="U314" s="787">
        <f t="shared" si="0"/>
        <v>39407.551388888896</v>
      </c>
      <c r="V314" s="787">
        <f>IF(INDEX('Planzahlen Rentabilität'!$K$12:$FU$56,MATCH(Grafiken!$S314,'Planzahlen Rentabilität'!$A$12:$A$56,0),MATCH(Grafiken!V$307,'Planzahlen Rentabilität'!$K$9:$FU$9,0))&lt;0,-INDEX('Planzahlen Rentabilität'!$K$12:$FU$56,MATCH(Grafiken!$S314,'Planzahlen Rentabilität'!$A$12:$A$56,0),MATCH(Grafiken!V$307,'Planzahlen Rentabilität'!$K$9:$FU$9,0)),0)</f>
        <v>5.6666666666666661</v>
      </c>
      <c r="W314" s="787">
        <f>IF(INDEX('Planzahlen Rentabilität'!$K$12:$FU$56,MATCH(Grafiken!$S314,'Planzahlen Rentabilität'!$A$12:$A$56,0),MATCH(Grafiken!V$307,'Planzahlen Rentabilität'!$K$9:$FU$9,0))&gt;=0,INDEX('Planzahlen Rentabilität'!$K$12:$FU$56,MATCH(Grafiken!$S314,'Planzahlen Rentabilität'!$A$12:$A$56,0),MATCH(Grafiken!V$307,'Planzahlen Rentabilität'!$K$9:$FU$9,0)),0)</f>
        <v>0</v>
      </c>
      <c r="X314" s="786">
        <f ca="1">INDEX('Planzahlen Rentabilität'!$K$12:$FU$56,MATCH(Grafiken!$S314,'Planzahlen Rentabilität'!$A$12:$A$56,0),MATCH(Grafiken!X$307,'Planzahlen Rentabilität'!$K$9:$FU$9,0))</f>
        <v>0</v>
      </c>
      <c r="Y314" s="787">
        <f t="shared" ca="1" si="1"/>
        <v>6349.5300000000007</v>
      </c>
      <c r="Z314" s="787">
        <f ca="1">IF(INDEX('Planzahlen Rentabilität'!$K$12:$FU$56,MATCH(Grafiken!$S314,'Planzahlen Rentabilität'!$A$12:$A$56,0),MATCH(Grafiken!Z$307,'Planzahlen Rentabilität'!$K$9:$FU$9,0))&lt;0,-INDEX('Planzahlen Rentabilität'!$K$12:$FU$56,MATCH(Grafiken!$S314,'Planzahlen Rentabilität'!$A$12:$A$56,0),MATCH(Grafiken!Z$307,'Planzahlen Rentabilität'!$K$9:$FU$9,0)),0)</f>
        <v>0</v>
      </c>
      <c r="AA314" s="787">
        <f ca="1">IF(INDEX('Planzahlen Rentabilität'!$K$12:$FU$56,MATCH(Grafiken!$S314,'Planzahlen Rentabilität'!$A$12:$A$56,0),MATCH(Grafiken!Z$307,'Planzahlen Rentabilität'!$K$9:$FU$9,0))&gt;=0,INDEX('Planzahlen Rentabilität'!$K$12:$FU$56,MATCH(Grafiken!$S314,'Planzahlen Rentabilität'!$A$12:$A$56,0),MATCH(Grafiken!Z$307,'Planzahlen Rentabilität'!$K$9:$FU$9,0)),0)</f>
        <v>0</v>
      </c>
      <c r="AB314" s="786">
        <f ca="1">INDEX('Planzahlen Rentabilität'!$K$12:$FU$56,MATCH(Grafiken!$S314,'Planzahlen Rentabilität'!$A$12:$A$56,0),MATCH(Grafiken!AB$307,'Planzahlen Rentabilität'!$K$9:$FU$9,0))</f>
        <v>0</v>
      </c>
      <c r="AC314" s="808"/>
      <c r="AD314" s="805"/>
    </row>
    <row r="315" spans="1:30" x14ac:dyDescent="0.2">
      <c r="S315" s="51" t="s">
        <v>261</v>
      </c>
      <c r="T315" s="771" t="s">
        <v>262</v>
      </c>
      <c r="U315" s="787">
        <f t="shared" si="0"/>
        <v>39157.551388888896</v>
      </c>
      <c r="V315" s="787">
        <f>IF(INDEX('Planzahlen Rentabilität'!$K$12:$FU$56,MATCH(Grafiken!$S315,'Planzahlen Rentabilität'!$A$12:$A$56,0),MATCH(Grafiken!V$307,'Planzahlen Rentabilität'!$K$9:$FU$9,0))&lt;0,-INDEX('Planzahlen Rentabilität'!$K$12:$FU$56,MATCH(Grafiken!$S315,'Planzahlen Rentabilität'!$A$12:$A$56,0),MATCH(Grafiken!V$307,'Planzahlen Rentabilität'!$K$9:$FU$9,0)),0)</f>
        <v>250</v>
      </c>
      <c r="W315" s="787">
        <f>IF(INDEX('Planzahlen Rentabilität'!$K$12:$FU$56,MATCH(Grafiken!$S315,'Planzahlen Rentabilität'!$A$12:$A$56,0),MATCH(Grafiken!V$307,'Planzahlen Rentabilität'!$K$9:$FU$9,0))&gt;=0,INDEX('Planzahlen Rentabilität'!$K$12:$FU$56,MATCH(Grafiken!$S315,'Planzahlen Rentabilität'!$A$12:$A$56,0),MATCH(Grafiken!V$307,'Planzahlen Rentabilität'!$K$9:$FU$9,0)),0)</f>
        <v>0</v>
      </c>
      <c r="X315" s="786">
        <f ca="1">INDEX('Planzahlen Rentabilität'!$K$12:$FU$56,MATCH(Grafiken!$S315,'Planzahlen Rentabilität'!$A$12:$A$56,0),MATCH(Grafiken!X$307,'Planzahlen Rentabilität'!$K$9:$FU$9,0))</f>
        <v>-2.6364696485931933E-3</v>
      </c>
      <c r="Y315" s="787">
        <f t="shared" ca="1" si="1"/>
        <v>6076.8700000000008</v>
      </c>
      <c r="Z315" s="787">
        <f ca="1">IF(INDEX('Planzahlen Rentabilität'!$K$12:$FU$56,MATCH(Grafiken!$S315,'Planzahlen Rentabilität'!$A$12:$A$56,0),MATCH(Grafiken!Z$307,'Planzahlen Rentabilität'!$K$9:$FU$9,0))&lt;0,-INDEX('Planzahlen Rentabilität'!$K$12:$FU$56,MATCH(Grafiken!$S315,'Planzahlen Rentabilität'!$A$12:$A$56,0),MATCH(Grafiken!Z$307,'Planzahlen Rentabilität'!$K$9:$FU$9,0)),0)</f>
        <v>272.66000000000003</v>
      </c>
      <c r="AA315" s="787">
        <f ca="1">IF(INDEX('Planzahlen Rentabilität'!$K$12:$FU$56,MATCH(Grafiken!$S315,'Planzahlen Rentabilität'!$A$12:$A$56,0),MATCH(Grafiken!Z$307,'Planzahlen Rentabilität'!$K$9:$FU$9,0))&gt;=0,INDEX('Planzahlen Rentabilität'!$K$12:$FU$56,MATCH(Grafiken!$S315,'Planzahlen Rentabilität'!$A$12:$A$56,0),MATCH(Grafiken!Z$307,'Planzahlen Rentabilität'!$K$9:$FU$9,0)),0)</f>
        <v>0</v>
      </c>
      <c r="AB315" s="786">
        <f ca="1">INDEX('Planzahlen Rentabilität'!$K$12:$FU$56,MATCH(Grafiken!$S315,'Planzahlen Rentabilität'!$A$12:$A$56,0),MATCH(Grafiken!AB$307,'Planzahlen Rentabilität'!$K$9:$FU$9,0))</f>
        <v>-8.333099022864221E-3</v>
      </c>
      <c r="AC315" s="808"/>
      <c r="AD315" s="805"/>
    </row>
    <row r="316" spans="1:30" x14ac:dyDescent="0.2">
      <c r="S316" s="51" t="s">
        <v>263</v>
      </c>
      <c r="T316" s="775" t="s">
        <v>264</v>
      </c>
      <c r="U316" s="781">
        <f>INDEX('Planzahlen Rentabilität'!$K$12:$FU$56,MATCH(Grafiken!$S316,'Planzahlen Rentabilität'!$A$12:$A$56,0),MATCH(Grafiken!U$307,'Planzahlen Rentabilität'!$K$9:$FU$9,0))</f>
        <v>39157.551388888896</v>
      </c>
      <c r="V316" s="781"/>
      <c r="W316" s="781"/>
      <c r="X316" s="780">
        <f ca="1">INDEX('Planzahlen Rentabilität'!$K$12:$FU$56,MATCH(Grafiken!$S316,'Planzahlen Rentabilität'!$A$12:$A$56,0),MATCH(Grafiken!X$307,'Planzahlen Rentabilität'!$K$9:$FU$9,0))</f>
        <v>0.13526454622282641</v>
      </c>
      <c r="Y316" s="781">
        <f ca="1">INDEX('Planzahlen Rentabilität'!$K$12:$FU$56,MATCH(Grafiken!$S316,'Planzahlen Rentabilität'!$A$12:$A$56,0),MATCH(Grafiken!Y$307,'Planzahlen Rentabilität'!$K$9:$FU$9,0))</f>
        <v>6076.8700000000008</v>
      </c>
      <c r="Z316" s="781"/>
      <c r="AA316" s="781"/>
      <c r="AB316" s="780">
        <f ca="1">INDEX('Planzahlen Rentabilität'!$K$12:$FU$56,MATCH(Grafiken!$S316,'Planzahlen Rentabilität'!$A$12:$A$56,0),MATCH(Grafiken!AB$307,'Planzahlen Rentabilität'!$K$9:$FU$9,0))</f>
        <v>0.18572272962324102</v>
      </c>
      <c r="AC316" s="808"/>
      <c r="AD316" s="805"/>
    </row>
    <row r="317" spans="1:30" x14ac:dyDescent="0.2">
      <c r="AC317" s="492"/>
    </row>
    <row r="331" spans="19:28" x14ac:dyDescent="0.2">
      <c r="T331" s="524" t="s">
        <v>221</v>
      </c>
      <c r="U331" s="769" t="str">
        <f>"KP"&amp;Grunddaten!$B$7</f>
        <v>KP10</v>
      </c>
      <c r="V331" s="1469" t="str">
        <f>"KP"&amp;Grunddaten!$B$7</f>
        <v>KP10</v>
      </c>
      <c r="W331" s="1469"/>
      <c r="X331" s="769" t="str">
        <f>"KRP"&amp;Grunddaten!$B$7</f>
        <v>KRP10</v>
      </c>
      <c r="Y331" s="769" t="str">
        <f>"KI"&amp;Grunddaten!$B$7</f>
        <v>KI10</v>
      </c>
      <c r="Z331" s="1469" t="str">
        <f>"KI"&amp;Grunddaten!$B$7</f>
        <v>KI10</v>
      </c>
      <c r="AA331" s="1469"/>
      <c r="AB331" s="769" t="str">
        <f>"KRI"&amp;Grunddaten!$B$7</f>
        <v>KRI10</v>
      </c>
    </row>
    <row r="332" spans="19:28" x14ac:dyDescent="0.2">
      <c r="U332" s="1464" t="s">
        <v>205</v>
      </c>
      <c r="V332" s="1468"/>
      <c r="W332" s="1468"/>
      <c r="X332" s="1465"/>
      <c r="Y332" s="1464" t="s">
        <v>206</v>
      </c>
      <c r="Z332" s="1468"/>
      <c r="AA332" s="1468"/>
      <c r="AB332" s="1465"/>
    </row>
    <row r="333" spans="19:28" x14ac:dyDescent="0.2">
      <c r="U333" s="802" t="s">
        <v>206</v>
      </c>
      <c r="V333" s="802" t="s">
        <v>250</v>
      </c>
      <c r="W333" s="778" t="s">
        <v>251</v>
      </c>
      <c r="X333" s="778" t="s">
        <v>210</v>
      </c>
      <c r="Y333" s="802" t="s">
        <v>206</v>
      </c>
      <c r="Z333" s="802" t="s">
        <v>250</v>
      </c>
      <c r="AA333" s="778" t="s">
        <v>251</v>
      </c>
      <c r="AB333" s="778" t="s">
        <v>210</v>
      </c>
    </row>
    <row r="334" spans="19:28" x14ac:dyDescent="0.2">
      <c r="S334" s="770" t="s">
        <v>216</v>
      </c>
      <c r="T334" s="775" t="s">
        <v>217</v>
      </c>
      <c r="U334" s="787">
        <f>INDEX('Planzahlen Rentabilität'!$K$12:$FU$56,MATCH(Grafiken!$S334,'Planzahlen Rentabilität'!$A$12:$A$56,0),MATCH(Grafiken!U$331,'Planzahlen Rentabilität'!$K$9:$FU$9,0))</f>
        <v>845244.52</v>
      </c>
      <c r="V334" s="787">
        <v>0</v>
      </c>
      <c r="W334" s="787"/>
      <c r="X334" s="786">
        <f ca="1">INDEX('Planzahlen Rentabilität'!$K$12:$FU$56,MATCH(Grafiken!$S334,'Planzahlen Rentabilität'!$A$12:$A$56,0),MATCH(Grafiken!X$331,'Planzahlen Rentabilität'!$K$9:$FU$9,0))</f>
        <v>0.17863583816337608</v>
      </c>
      <c r="Y334" s="787">
        <f ca="1">INDEX('Planzahlen Rentabilität'!$K$12:$FU$56,MATCH(Grafiken!$S334,'Planzahlen Rentabilität'!$A$12:$A$56,0),MATCH(Grafiken!Y$331,'Planzahlen Rentabilität'!$K$9:$FU$9,0))</f>
        <v>147730</v>
      </c>
      <c r="Z334" s="787">
        <v>0</v>
      </c>
      <c r="AA334" s="787"/>
      <c r="AB334" s="786">
        <f ca="1">INDEX('Planzahlen Rentabilität'!$K$12:$FU$56,MATCH(Grafiken!$S334,'Planzahlen Rentabilität'!$A$12:$A$56,0),MATCH(Grafiken!AB$331,'Planzahlen Rentabilität'!$K$9:$FU$9,0))</f>
        <v>0.93103520426053998</v>
      </c>
    </row>
    <row r="335" spans="19:28" x14ac:dyDescent="0.2">
      <c r="S335" s="770" t="s">
        <v>253</v>
      </c>
      <c r="T335" s="771" t="s">
        <v>254</v>
      </c>
      <c r="U335" s="787">
        <f>U334-V335+W334</f>
        <v>220312.75055555545</v>
      </c>
      <c r="V335" s="787">
        <f>IF(INDEX('Planzahlen Rentabilität'!$K$12:$FU$56,MATCH(Grafiken!$S335,'Planzahlen Rentabilität'!$A$12:$A$56,0),MATCH(Grafiken!V$331,'Planzahlen Rentabilität'!$K$9:$FU$9,0))&gt;=0,INDEX('Planzahlen Rentabilität'!$K$12:$FU$56,MATCH(Grafiken!$S335,'Planzahlen Rentabilität'!$A$12:$A$56,0),MATCH(Grafiken!V$331,'Planzahlen Rentabilität'!$K$9:$FU$9,0)),0)</f>
        <v>624931.76944444457</v>
      </c>
      <c r="W335" s="787">
        <f>IF(INDEX('Planzahlen Rentabilität'!$K$12:$FU$56,MATCH(Grafiken!$S335,'Planzahlen Rentabilität'!$A$12:$A$56,0),MATCH(Grafiken!V$331,'Planzahlen Rentabilität'!$K$9:$FU$9,0))&lt;0,-INDEX('Planzahlen Rentabilität'!$K$12:$FU$56,MATCH(Grafiken!$S335,'Planzahlen Rentabilität'!$A$12:$A$56,0),MATCH(Grafiken!V$331,'Planzahlen Rentabilität'!$K$9:$FU$9,0)),0)</f>
        <v>0</v>
      </c>
      <c r="X335" s="786">
        <f ca="1">INDEX('Planzahlen Rentabilität'!$K$12:$FU$56,MATCH(Grafiken!$S335,'Planzahlen Rentabilität'!$A$12:$A$56,0),MATCH(Grafiken!X$331,'Planzahlen Rentabilität'!$K$9:$FU$9,0))</f>
        <v>0.15622979882894111</v>
      </c>
      <c r="Y335" s="787">
        <f ca="1">Y334-Z335+AA334</f>
        <v>15242.050000000017</v>
      </c>
      <c r="Z335" s="787">
        <f ca="1">IF(INDEX('Planzahlen Rentabilität'!$K$12:$FU$56,MATCH(Grafiken!$S335,'Planzahlen Rentabilität'!$A$12:$A$56,0),MATCH(Grafiken!Z$331,'Planzahlen Rentabilität'!$K$9:$FU$9,0))&gt;=0,INDEX('Planzahlen Rentabilität'!$K$12:$FU$56,MATCH(Grafiken!$S335,'Planzahlen Rentabilität'!$A$12:$A$56,0),MATCH(Grafiken!Z$331,'Planzahlen Rentabilität'!$K$9:$FU$9,0)),0)</f>
        <v>132487.94999999998</v>
      </c>
      <c r="AA335" s="787">
        <f ca="1">IF(INDEX('Planzahlen Rentabilität'!$K$12:$FU$56,MATCH(Grafiken!$S335,'Planzahlen Rentabilität'!$A$12:$A$56,0),MATCH(Grafiken!Z$331,'Planzahlen Rentabilität'!$K$9:$FU$9,0))&lt;0,-INDEX('Planzahlen Rentabilität'!$K$12:$FU$56,MATCH(Grafiken!$S335,'Planzahlen Rentabilität'!$A$12:$A$56,0),MATCH(Grafiken!Z$331,'Planzahlen Rentabilität'!$K$9:$FU$9,0)),0)</f>
        <v>0</v>
      </c>
      <c r="AB335" s="786">
        <f ca="1">INDEX('Planzahlen Rentabilität'!$K$12:$FU$56,MATCH(Grafiken!$S335,'Planzahlen Rentabilität'!$A$12:$A$56,0),MATCH(Grafiken!AB$331,'Planzahlen Rentabilität'!$K$9:$FU$9,0))</f>
        <v>0.83497560136945903</v>
      </c>
    </row>
    <row r="336" spans="19:28" x14ac:dyDescent="0.2">
      <c r="S336" s="770" t="s">
        <v>255</v>
      </c>
      <c r="T336" s="771" t="s">
        <v>256</v>
      </c>
      <c r="U336" s="787">
        <f t="shared" ref="U336:U339" si="2">U335-V336+W335</f>
        <v>219646.0838888888</v>
      </c>
      <c r="V336" s="787">
        <f>IF(INDEX('Planzahlen Rentabilität'!$K$12:$FU$56,MATCH(Grafiken!$S336,'Planzahlen Rentabilität'!$A$12:$A$56,0),MATCH(Grafiken!V$331,'Planzahlen Rentabilität'!$K$9:$FU$9,0))&gt;=0,INDEX('Planzahlen Rentabilität'!$K$12:$FU$56,MATCH(Grafiken!$S336,'Planzahlen Rentabilität'!$A$12:$A$56,0),MATCH(Grafiken!V$331,'Planzahlen Rentabilität'!$K$9:$FU$9,0)),0)</f>
        <v>666.66666666666663</v>
      </c>
      <c r="W336" s="787">
        <f>IF(INDEX('Planzahlen Rentabilität'!$K$12:$FU$56,MATCH(Grafiken!$S336,'Planzahlen Rentabilität'!$A$12:$A$56,0),MATCH(Grafiken!V$331,'Planzahlen Rentabilität'!$K$9:$FU$9,0))&lt;0,-INDEX('Planzahlen Rentabilität'!$K$12:$FU$56,MATCH(Grafiken!$S336,'Planzahlen Rentabilität'!$A$12:$A$56,0),MATCH(Grafiken!V$331,'Planzahlen Rentabilität'!$K$9:$FU$9,0)),0)</f>
        <v>0</v>
      </c>
      <c r="X336" s="786">
        <f ca="1">INDEX('Planzahlen Rentabilität'!$K$12:$FU$56,MATCH(Grafiken!$S336,'Planzahlen Rentabilität'!$A$12:$A$56,0),MATCH(Grafiken!X$331,'Planzahlen Rentabilität'!$K$9:$FU$9,0))</f>
        <v>1.94012724889371E-2</v>
      </c>
      <c r="Y336" s="787">
        <f t="shared" ref="Y336:Y339" ca="1" si="3">Y335-Z336+AA335</f>
        <v>-1210.8599999999824</v>
      </c>
      <c r="Z336" s="787">
        <f ca="1">IF(INDEX('Planzahlen Rentabilität'!$K$12:$FU$56,MATCH(Grafiken!$S336,'Planzahlen Rentabilität'!$A$12:$A$56,0),MATCH(Grafiken!Z$331,'Planzahlen Rentabilität'!$K$9:$FU$9,0))&gt;=0,INDEX('Planzahlen Rentabilität'!$K$12:$FU$56,MATCH(Grafiken!$S336,'Planzahlen Rentabilität'!$A$12:$A$56,0),MATCH(Grafiken!Z$331,'Planzahlen Rentabilität'!$K$9:$FU$9,0)),0)</f>
        <v>16452.91</v>
      </c>
      <c r="AA336" s="787">
        <f ca="1">IF(INDEX('Planzahlen Rentabilität'!$K$12:$FU$56,MATCH(Grafiken!$S336,'Planzahlen Rentabilität'!$A$12:$A$56,0),MATCH(Grafiken!Z$331,'Planzahlen Rentabilität'!$K$9:$FU$9,0))&lt;0,-INDEX('Planzahlen Rentabilität'!$K$12:$FU$56,MATCH(Grafiken!$S336,'Planzahlen Rentabilität'!$A$12:$A$56,0),MATCH(Grafiken!Z$331,'Planzahlen Rentabilität'!$K$9:$FU$9,0)),0)</f>
        <v>0</v>
      </c>
      <c r="AB336" s="786">
        <f ca="1">INDEX('Planzahlen Rentabilität'!$K$12:$FU$56,MATCH(Grafiken!$S336,'Planzahlen Rentabilität'!$A$12:$A$56,0),MATCH(Grafiken!AB$331,'Planzahlen Rentabilität'!$K$9:$FU$9,0))</f>
        <v>0.10369077656894524</v>
      </c>
    </row>
    <row r="337" spans="19:28" x14ac:dyDescent="0.2">
      <c r="S337" s="770" t="s">
        <v>257</v>
      </c>
      <c r="T337" s="771" t="s">
        <v>258</v>
      </c>
      <c r="U337" s="787">
        <f t="shared" si="2"/>
        <v>200387.75055555545</v>
      </c>
      <c r="V337" s="787">
        <f>IF(INDEX('Planzahlen Rentabilität'!$K$12:$FU$56,MATCH(Grafiken!$S337,'Planzahlen Rentabilität'!$A$12:$A$56,0),MATCH(Grafiken!V$331,'Planzahlen Rentabilität'!$K$9:$FU$9,0))&gt;=0,INDEX('Planzahlen Rentabilität'!$K$12:$FU$56,MATCH(Grafiken!$S337,'Planzahlen Rentabilität'!$A$12:$A$56,0),MATCH(Grafiken!V$331,'Planzahlen Rentabilität'!$K$9:$FU$9,0)),0)</f>
        <v>19258.333333333332</v>
      </c>
      <c r="W337" s="787">
        <f>IF(INDEX('Planzahlen Rentabilität'!$K$12:$FU$56,MATCH(Grafiken!$S337,'Planzahlen Rentabilität'!$A$12:$A$56,0),MATCH(Grafiken!V$331,'Planzahlen Rentabilität'!$K$9:$FU$9,0))&lt;0,-INDEX('Planzahlen Rentabilität'!$K$12:$FU$56,MATCH(Grafiken!$S337,'Planzahlen Rentabilität'!$A$12:$A$56,0),MATCH(Grafiken!V$331,'Planzahlen Rentabilität'!$K$9:$FU$9,0)),0)</f>
        <v>0</v>
      </c>
      <c r="X337" s="786">
        <f ca="1">INDEX('Planzahlen Rentabilität'!$K$12:$FU$56,MATCH(Grafiken!$S337,'Planzahlen Rentabilität'!$A$12:$A$56,0),MATCH(Grafiken!X$331,'Planzahlen Rentabilität'!$K$9:$FU$9,0))</f>
        <v>1.7703990879972382E-2</v>
      </c>
      <c r="Y337" s="787">
        <f t="shared" ca="1" si="3"/>
        <v>-16224.41999999998</v>
      </c>
      <c r="Z337" s="787">
        <f ca="1">IF(INDEX('Planzahlen Rentabilität'!$K$12:$FU$56,MATCH(Grafiken!$S337,'Planzahlen Rentabilität'!$A$12:$A$56,0),MATCH(Grafiken!Z$331,'Planzahlen Rentabilität'!$K$9:$FU$9,0))&gt;=0,INDEX('Planzahlen Rentabilität'!$K$12:$FU$56,MATCH(Grafiken!$S337,'Planzahlen Rentabilität'!$A$12:$A$56,0),MATCH(Grafiken!Z$331,'Planzahlen Rentabilität'!$K$9:$FU$9,0)),0)</f>
        <v>15013.559999999998</v>
      </c>
      <c r="AA337" s="787">
        <f ca="1">IF(INDEX('Planzahlen Rentabilität'!$K$12:$FU$56,MATCH(Grafiken!$S337,'Planzahlen Rentabilität'!$A$12:$A$56,0),MATCH(Grafiken!Z$331,'Planzahlen Rentabilität'!$K$9:$FU$9,0))&lt;0,-INDEX('Planzahlen Rentabilität'!$K$12:$FU$56,MATCH(Grafiken!$S337,'Planzahlen Rentabilität'!$A$12:$A$56,0),MATCH(Grafiken!Z$331,'Planzahlen Rentabilität'!$K$9:$FU$9,0)),0)</f>
        <v>0</v>
      </c>
      <c r="AB337" s="786">
        <f ca="1">INDEX('Planzahlen Rentabilität'!$K$12:$FU$56,MATCH(Grafiken!$S337,'Planzahlen Rentabilität'!$A$12:$A$56,0),MATCH(Grafiken!AB$331,'Planzahlen Rentabilität'!$K$9:$FU$9,0))</f>
        <v>9.4619595893033717E-2</v>
      </c>
    </row>
    <row r="338" spans="19:28" x14ac:dyDescent="0.2">
      <c r="S338" s="51" t="s">
        <v>259</v>
      </c>
      <c r="T338" s="771" t="s">
        <v>260</v>
      </c>
      <c r="U338" s="787">
        <f t="shared" si="2"/>
        <v>200341.75055555545</v>
      </c>
      <c r="V338" s="787">
        <f>IF(INDEX('Planzahlen Rentabilität'!$K$12:$FU$56,MATCH(Grafiken!$S338,'Planzahlen Rentabilität'!$A$12:$A$56,0),MATCH(Grafiken!V$331,'Planzahlen Rentabilität'!$K$9:$FU$9,0))&lt;0,-INDEX('Planzahlen Rentabilität'!$K$12:$FU$56,MATCH(Grafiken!$S338,'Planzahlen Rentabilität'!$A$12:$A$56,0),MATCH(Grafiken!V$331,'Planzahlen Rentabilität'!$K$9:$FU$9,0)),0)</f>
        <v>45.999999999999986</v>
      </c>
      <c r="W338" s="787">
        <f>IF(INDEX('Planzahlen Rentabilität'!$K$12:$FU$56,MATCH(Grafiken!$S338,'Planzahlen Rentabilität'!$A$12:$A$56,0),MATCH(Grafiken!V$331,'Planzahlen Rentabilität'!$K$9:$FU$9,0))&gt;=0,INDEX('Planzahlen Rentabilität'!$K$12:$FU$56,MATCH(Grafiken!$S338,'Planzahlen Rentabilität'!$A$12:$A$56,0),MATCH(Grafiken!V$331,'Planzahlen Rentabilität'!$K$9:$FU$9,0)),0)</f>
        <v>0</v>
      </c>
      <c r="X338" s="786">
        <f ca="1">INDEX('Planzahlen Rentabilität'!$K$12:$FU$56,MATCH(Grafiken!$S338,'Planzahlen Rentabilität'!$A$12:$A$56,0),MATCH(Grafiken!X$331,'Planzahlen Rentabilität'!$K$9:$FU$9,0))</f>
        <v>0</v>
      </c>
      <c r="Y338" s="787">
        <f t="shared" ca="1" si="3"/>
        <v>-16224.41999999998</v>
      </c>
      <c r="Z338" s="787">
        <f ca="1">IF(INDEX('Planzahlen Rentabilität'!$K$12:$FU$56,MATCH(Grafiken!$S338,'Planzahlen Rentabilität'!$A$12:$A$56,0),MATCH(Grafiken!Z$331,'Planzahlen Rentabilität'!$K$9:$FU$9,0))&lt;0,-INDEX('Planzahlen Rentabilität'!$K$12:$FU$56,MATCH(Grafiken!$S338,'Planzahlen Rentabilität'!$A$12:$A$56,0),MATCH(Grafiken!Z$331,'Planzahlen Rentabilität'!$K$9:$FU$9,0)),0)</f>
        <v>0</v>
      </c>
      <c r="AA338" s="787">
        <f ca="1">IF(INDEX('Planzahlen Rentabilität'!$K$12:$FU$56,MATCH(Grafiken!$S338,'Planzahlen Rentabilität'!$A$12:$A$56,0),MATCH(Grafiken!Z$331,'Planzahlen Rentabilität'!$K$9:$FU$9,0))&gt;=0,INDEX('Planzahlen Rentabilität'!$K$12:$FU$56,MATCH(Grafiken!$S338,'Planzahlen Rentabilität'!$A$12:$A$56,0),MATCH(Grafiken!Z$331,'Planzahlen Rentabilität'!$K$9:$FU$9,0)),0)</f>
        <v>0</v>
      </c>
      <c r="AB338" s="786">
        <f ca="1">INDEX('Planzahlen Rentabilität'!$K$12:$FU$56,MATCH(Grafiken!$S338,'Planzahlen Rentabilität'!$A$12:$A$56,0),MATCH(Grafiken!AB$331,'Planzahlen Rentabilität'!$K$9:$FU$9,0))</f>
        <v>0</v>
      </c>
    </row>
    <row r="339" spans="19:28" x14ac:dyDescent="0.2">
      <c r="S339" s="51" t="s">
        <v>261</v>
      </c>
      <c r="T339" s="771" t="s">
        <v>262</v>
      </c>
      <c r="U339" s="787">
        <f t="shared" si="2"/>
        <v>197841.75055555545</v>
      </c>
      <c r="V339" s="787">
        <f>IF(INDEX('Planzahlen Rentabilität'!$K$12:$FU$56,MATCH(Grafiken!$S339,'Planzahlen Rentabilität'!$A$12:$A$56,0),MATCH(Grafiken!V$331,'Planzahlen Rentabilität'!$K$9:$FU$9,0))&lt;0,-INDEX('Planzahlen Rentabilität'!$K$12:$FU$56,MATCH(Grafiken!$S339,'Planzahlen Rentabilität'!$A$12:$A$56,0),MATCH(Grafiken!V$331,'Planzahlen Rentabilität'!$K$9:$FU$9,0)),0)</f>
        <v>2500</v>
      </c>
      <c r="W339" s="787">
        <f>IF(INDEX('Planzahlen Rentabilität'!$K$12:$FU$56,MATCH(Grafiken!$S339,'Planzahlen Rentabilität'!$A$12:$A$56,0),MATCH(Grafiken!V$331,'Planzahlen Rentabilität'!$K$9:$FU$9,0))&gt;=0,INDEX('Planzahlen Rentabilität'!$K$12:$FU$56,MATCH(Grafiken!$S339,'Planzahlen Rentabilität'!$A$12:$A$56,0),MATCH(Grafiken!V$331,'Planzahlen Rentabilität'!$K$9:$FU$9,0)),0)</f>
        <v>0</v>
      </c>
      <c r="X339" s="786">
        <f ca="1">INDEX('Planzahlen Rentabilität'!$K$12:$FU$56,MATCH(Grafiken!$S339,'Planzahlen Rentabilität'!$A$12:$A$56,0),MATCH(Grafiken!X$331,'Planzahlen Rentabilität'!$K$9:$FU$9,0))</f>
        <v>-2.1860718265851405E-3</v>
      </c>
      <c r="Y339" s="787">
        <f t="shared" ca="1" si="3"/>
        <v>-18078.279999999981</v>
      </c>
      <c r="Z339" s="787">
        <f ca="1">IF(INDEX('Planzahlen Rentabilität'!$K$12:$FU$56,MATCH(Grafiken!$S339,'Planzahlen Rentabilität'!$A$12:$A$56,0),MATCH(Grafiken!Z$331,'Planzahlen Rentabilität'!$K$9:$FU$9,0))&lt;0,-INDEX('Planzahlen Rentabilität'!$K$12:$FU$56,MATCH(Grafiken!$S339,'Planzahlen Rentabilität'!$A$12:$A$56,0),MATCH(Grafiken!Z$331,'Planzahlen Rentabilität'!$K$9:$FU$9,0)),0)</f>
        <v>1853.86</v>
      </c>
      <c r="AA339" s="787">
        <f ca="1">IF(INDEX('Planzahlen Rentabilität'!$K$12:$FU$56,MATCH(Grafiken!$S339,'Planzahlen Rentabilität'!$A$12:$A$56,0),MATCH(Grafiken!Z$331,'Planzahlen Rentabilität'!$K$9:$FU$9,0))&gt;=0,INDEX('Planzahlen Rentabilität'!$K$12:$FU$56,MATCH(Grafiken!$S339,'Planzahlen Rentabilität'!$A$12:$A$56,0),MATCH(Grafiken!Z$331,'Planzahlen Rentabilität'!$K$9:$FU$9,0)),0)</f>
        <v>0</v>
      </c>
      <c r="AB339" s="786">
        <f ca="1">INDEX('Planzahlen Rentabilität'!$K$12:$FU$56,MATCH(Grafiken!$S339,'Planzahlen Rentabilität'!$A$12:$A$56,0),MATCH(Grafiken!AB$331,'Planzahlen Rentabilität'!$K$9:$FU$9,0))</f>
        <v>-1.1683537018685741E-2</v>
      </c>
    </row>
    <row r="340" spans="19:28" x14ac:dyDescent="0.2">
      <c r="S340" s="51" t="s">
        <v>263</v>
      </c>
      <c r="T340" s="775" t="s">
        <v>264</v>
      </c>
      <c r="U340" s="781">
        <f>INDEX('Planzahlen Rentabilität'!$K$12:$FU$56,MATCH(Grafiken!$S340,'Planzahlen Rentabilität'!$A$12:$A$56,0),MATCH(Grafiken!U$331,'Planzahlen Rentabilität'!$K$9:$FU$9,0))</f>
        <v>197841.75055555563</v>
      </c>
      <c r="V340" s="781"/>
      <c r="W340" s="781"/>
      <c r="X340" s="780">
        <f ca="1">INDEX('Planzahlen Rentabilität'!$K$12:$FU$56,MATCH(Grafiken!$S340,'Planzahlen Rentabilität'!$A$12:$A$56,0),MATCH(Grafiken!X$331,'Planzahlen Rentabilität'!$K$9:$FU$9,0))</f>
        <v>-1.6885295861059659E-2</v>
      </c>
      <c r="Y340" s="781">
        <f ca="1">INDEX('Planzahlen Rentabilität'!$K$12:$FU$56,MATCH(Grafiken!$S340,'Planzahlen Rentabilität'!$A$12:$A$56,0),MATCH(Grafiken!Y$331,'Planzahlen Rentabilität'!$K$9:$FU$9,0))</f>
        <v>-18078.279999999992</v>
      </c>
      <c r="Z340" s="781"/>
      <c r="AA340" s="781"/>
      <c r="AB340" s="780">
        <f ca="1">INDEX('Planzahlen Rentabilität'!$K$12:$FU$56,MATCH(Grafiken!$S340,'Planzahlen Rentabilität'!$A$12:$A$56,0),MATCH(Grafiken!AB$331,'Planzahlen Rentabilität'!$K$9:$FU$9,0))</f>
        <v>-0.11393430658958388</v>
      </c>
    </row>
    <row r="354" spans="1:22" ht="15" x14ac:dyDescent="0.2">
      <c r="A354" s="487" t="str">
        <f>"Kostenanalysen zum "&amp;Grunddaten!$E$7&amp;" "&amp;Grunddaten!$B$5</f>
        <v>Kostenanalysen zum Oktober 2019</v>
      </c>
    </row>
    <row r="356" spans="1:22" x14ac:dyDescent="0.2">
      <c r="T356" s="524" t="s">
        <v>204</v>
      </c>
      <c r="U356" s="769" t="str">
        <f>"P"&amp;Grunddaten!$B$7</f>
        <v>P10</v>
      </c>
      <c r="V356" s="769" t="str">
        <f>"I"&amp;Grunddaten!$B$7</f>
        <v>I10</v>
      </c>
    </row>
    <row r="357" spans="1:22" x14ac:dyDescent="0.2">
      <c r="U357" s="802" t="s">
        <v>205</v>
      </c>
      <c r="V357" s="778" t="s">
        <v>206</v>
      </c>
    </row>
    <row r="358" spans="1:22" x14ac:dyDescent="0.2">
      <c r="S358" s="770" t="s">
        <v>255</v>
      </c>
      <c r="T358" s="771" t="s">
        <v>2</v>
      </c>
      <c r="U358" s="787">
        <f>INDEX('Planzahlen Rentabilität'!$K$12:$FU$56,MATCH(Grafiken!$S358,'Planzahlen Rentabilität'!$A$12:$A$56,0),MATCH(Grafiken!U$356,'Planzahlen Rentabilität'!$K$9:$FU$9,0))</f>
        <v>66.666666666666671</v>
      </c>
      <c r="V358" s="787">
        <f ca="1">INDEX('Planzahlen Rentabilität'!$K$12:$FU$56,MATCH(Grafiken!$S358,'Planzahlen Rentabilität'!$A$12:$A$56,0),MATCH(Grafiken!V$356,'Planzahlen Rentabilität'!$K$9:$FU$9,0))</f>
        <v>1314.29</v>
      </c>
    </row>
    <row r="359" spans="1:22" x14ac:dyDescent="0.2">
      <c r="S359" s="770">
        <v>17</v>
      </c>
      <c r="T359" s="771" t="s">
        <v>4</v>
      </c>
      <c r="U359" s="787">
        <f>INDEX('Planzahlen Rentabilität'!$K$12:$FU$56,MATCH(Grafiken!$S359,'Planzahlen Rentabilität'!$A$12:$A$56,0),MATCH(Grafiken!U$356,'Planzahlen Rentabilität'!$K$9:$FU$9,0))</f>
        <v>25</v>
      </c>
      <c r="V359" s="787">
        <f ca="1">INDEX('Planzahlen Rentabilität'!$K$12:$FU$56,MATCH(Grafiken!$S359,'Planzahlen Rentabilität'!$A$12:$A$56,0),MATCH(Grafiken!V$356,'Planzahlen Rentabilität'!$K$9:$FU$9,0))</f>
        <v>49.94</v>
      </c>
    </row>
    <row r="360" spans="1:22" x14ac:dyDescent="0.2">
      <c r="S360" s="770">
        <v>18</v>
      </c>
      <c r="T360" s="771" t="s">
        <v>265</v>
      </c>
      <c r="U360" s="787">
        <f>INDEX('Planzahlen Rentabilität'!$K$12:$FU$56,MATCH(Grafiken!$S360,'Planzahlen Rentabilität'!$A$12:$A$56,0),MATCH(Grafiken!U$356,'Planzahlen Rentabilität'!$K$9:$FU$9,0))</f>
        <v>237.5</v>
      </c>
      <c r="V360" s="787">
        <f ca="1">INDEX('Planzahlen Rentabilität'!$K$12:$FU$56,MATCH(Grafiken!$S360,'Planzahlen Rentabilität'!$A$12:$A$56,0),MATCH(Grafiken!V$356,'Planzahlen Rentabilität'!$K$9:$FU$9,0))</f>
        <v>29</v>
      </c>
    </row>
    <row r="361" spans="1:22" x14ac:dyDescent="0.2">
      <c r="S361" s="770">
        <v>19</v>
      </c>
      <c r="T361" s="771" t="s">
        <v>266</v>
      </c>
      <c r="U361" s="787">
        <f>INDEX('Planzahlen Rentabilität'!$K$12:$FU$56,MATCH(Grafiken!$S361,'Planzahlen Rentabilität'!$A$12:$A$56,0),MATCH(Grafiken!U$356,'Planzahlen Rentabilität'!$K$9:$FU$9,0))</f>
        <v>150</v>
      </c>
      <c r="V361" s="787">
        <f ca="1">INDEX('Planzahlen Rentabilität'!$K$12:$FU$56,MATCH(Grafiken!$S361,'Planzahlen Rentabilität'!$A$12:$A$56,0),MATCH(Grafiken!V$356,'Planzahlen Rentabilität'!$K$9:$FU$9,0))</f>
        <v>166.5</v>
      </c>
    </row>
    <row r="362" spans="1:22" x14ac:dyDescent="0.2">
      <c r="S362" s="51">
        <v>20</v>
      </c>
      <c r="T362" s="771" t="s">
        <v>267</v>
      </c>
      <c r="U362" s="787">
        <f>INDEX('Planzahlen Rentabilität'!$K$12:$FU$56,MATCH(Grafiken!$S362,'Planzahlen Rentabilität'!$A$12:$A$56,0),MATCH(Grafiken!U$356,'Planzahlen Rentabilität'!$K$9:$FU$9,0))</f>
        <v>33.333333333333336</v>
      </c>
      <c r="V362" s="787">
        <f ca="1">INDEX('Planzahlen Rentabilität'!$K$12:$FU$56,MATCH(Grafiken!$S362,'Planzahlen Rentabilität'!$A$12:$A$56,0),MATCH(Grafiken!V$356,'Planzahlen Rentabilität'!$K$9:$FU$9,0))</f>
        <v>458.66</v>
      </c>
    </row>
    <row r="363" spans="1:22" x14ac:dyDescent="0.2">
      <c r="S363" s="51">
        <v>21</v>
      </c>
      <c r="T363" s="771" t="s">
        <v>9</v>
      </c>
      <c r="U363" s="787">
        <f>INDEX('Planzahlen Rentabilität'!$K$12:$FU$56,MATCH(Grafiken!$S363,'Planzahlen Rentabilität'!$A$12:$A$56,0),MATCH(Grafiken!U$356,'Planzahlen Rentabilität'!$K$9:$FU$9,0))</f>
        <v>108.33333333333333</v>
      </c>
      <c r="V363" s="787">
        <f ca="1">INDEX('Planzahlen Rentabilität'!$K$12:$FU$56,MATCH(Grafiken!$S363,'Planzahlen Rentabilität'!$A$12:$A$56,0),MATCH(Grafiken!V$356,'Planzahlen Rentabilität'!$K$9:$FU$9,0))</f>
        <v>23.85</v>
      </c>
    </row>
    <row r="364" spans="1:22" x14ac:dyDescent="0.2">
      <c r="S364" s="51">
        <v>22</v>
      </c>
      <c r="T364" s="771" t="s">
        <v>268</v>
      </c>
      <c r="U364" s="787">
        <f>INDEX('Planzahlen Rentabilität'!$K$12:$FU$56,MATCH(Grafiken!$S364,'Planzahlen Rentabilität'!$A$12:$A$56,0),MATCH(Grafiken!U$356,'Planzahlen Rentabilität'!$K$9:$FU$9,0))</f>
        <v>200</v>
      </c>
      <c r="V364" s="787">
        <f ca="1">INDEX('Planzahlen Rentabilität'!$K$12:$FU$56,MATCH(Grafiken!$S364,'Planzahlen Rentabilität'!$A$12:$A$56,0),MATCH(Grafiken!V$356,'Planzahlen Rentabilität'!$K$9:$FU$9,0))</f>
        <v>0</v>
      </c>
    </row>
    <row r="365" spans="1:22" x14ac:dyDescent="0.2">
      <c r="S365" s="51">
        <v>23</v>
      </c>
      <c r="T365" s="771" t="s">
        <v>14</v>
      </c>
      <c r="U365" s="787">
        <f>INDEX('Planzahlen Rentabilität'!$K$12:$FU$56,MATCH(Grafiken!$S365,'Planzahlen Rentabilität'!$A$12:$A$56,0),MATCH(Grafiken!U$356,'Planzahlen Rentabilität'!$K$9:$FU$9,0))</f>
        <v>541.66666666666663</v>
      </c>
      <c r="V365" s="787">
        <f ca="1">INDEX('Planzahlen Rentabilität'!$K$12:$FU$56,MATCH(Grafiken!$S365,'Planzahlen Rentabilität'!$A$12:$A$56,0),MATCH(Grafiken!V$356,'Planzahlen Rentabilität'!$K$9:$FU$9,0))</f>
        <v>150</v>
      </c>
    </row>
    <row r="366" spans="1:22" x14ac:dyDescent="0.2">
      <c r="S366" s="51">
        <v>24</v>
      </c>
      <c r="T366" s="771" t="s">
        <v>269</v>
      </c>
      <c r="U366" s="787">
        <f>INDEX('Planzahlen Rentabilität'!$K$12:$FU$56,MATCH(Grafiken!$S366,'Planzahlen Rentabilität'!$A$12:$A$56,0),MATCH(Grafiken!U$356,'Planzahlen Rentabilität'!$K$9:$FU$9,0))</f>
        <v>442.5</v>
      </c>
      <c r="V366" s="787">
        <f ca="1">INDEX('Planzahlen Rentabilität'!$K$12:$FU$56,MATCH(Grafiken!$S366,'Planzahlen Rentabilität'!$A$12:$A$56,0),MATCH(Grafiken!V$356,'Planzahlen Rentabilität'!$K$9:$FU$9,0))</f>
        <v>273.48999999999995</v>
      </c>
    </row>
    <row r="367" spans="1:22" x14ac:dyDescent="0.2">
      <c r="S367" s="51">
        <v>25</v>
      </c>
      <c r="T367" s="771" t="s">
        <v>270</v>
      </c>
      <c r="U367" s="787">
        <f>INDEX('Planzahlen Rentabilität'!$K$12:$FU$56,MATCH(Grafiken!$S367,'Planzahlen Rentabilität'!$A$12:$A$56,0),MATCH(Grafiken!U$356,'Planzahlen Rentabilität'!$K$9:$FU$9,0))</f>
        <v>62.5</v>
      </c>
      <c r="V367" s="787">
        <f ca="1">INDEX('Planzahlen Rentabilität'!$K$12:$FU$56,MATCH(Grafiken!$S367,'Planzahlen Rentabilität'!$A$12:$A$56,0),MATCH(Grafiken!V$356,'Planzahlen Rentabilität'!$K$9:$FU$9,0))</f>
        <v>110.87</v>
      </c>
    </row>
    <row r="368" spans="1:22" x14ac:dyDescent="0.2">
      <c r="S368" s="51">
        <v>26</v>
      </c>
      <c r="T368" s="771" t="s">
        <v>271</v>
      </c>
      <c r="U368" s="787">
        <f>INDEX('Planzahlen Rentabilität'!$K$12:$FU$56,MATCH(Grafiken!$S368,'Planzahlen Rentabilität'!$A$12:$A$56,0),MATCH(Grafiken!U$356,'Planzahlen Rentabilität'!$K$9:$FU$9,0))</f>
        <v>125</v>
      </c>
      <c r="V368" s="787">
        <f ca="1">INDEX('Planzahlen Rentabilität'!$K$12:$FU$56,MATCH(Grafiken!$S368,'Planzahlen Rentabilität'!$A$12:$A$56,0),MATCH(Grafiken!V$356,'Planzahlen Rentabilität'!$K$9:$FU$9,0))</f>
        <v>0</v>
      </c>
    </row>
    <row r="369" spans="19:22" x14ac:dyDescent="0.2">
      <c r="S369" s="51">
        <v>29</v>
      </c>
      <c r="T369" s="771" t="s">
        <v>272</v>
      </c>
      <c r="U369" s="787">
        <f>INDEX('Planzahlen Rentabilität'!$K$12:$FU$56,MATCH(Grafiken!$S369,'Planzahlen Rentabilität'!$A$12:$A$56,0),MATCH(Grafiken!U$356,'Planzahlen Rentabilität'!$K$9:$FU$9,0))</f>
        <v>250</v>
      </c>
      <c r="V369" s="787">
        <f ca="1">INDEX('Planzahlen Rentabilität'!$K$12:$FU$56,MATCH(Grafiken!$S369,'Planzahlen Rentabilität'!$A$12:$A$56,0),MATCH(Grafiken!V$356,'Planzahlen Rentabilität'!$K$9:$FU$9,0))</f>
        <v>272.66000000000003</v>
      </c>
    </row>
    <row r="381" spans="19:22" x14ac:dyDescent="0.2">
      <c r="T381" s="524" t="s">
        <v>221</v>
      </c>
      <c r="U381" s="769" t="str">
        <f>"KP"&amp;Grunddaten!$B$7</f>
        <v>KP10</v>
      </c>
      <c r="V381" s="769" t="str">
        <f>"KI"&amp;Grunddaten!$B$7</f>
        <v>KI10</v>
      </c>
    </row>
    <row r="382" spans="19:22" x14ac:dyDescent="0.2">
      <c r="U382" s="802" t="s">
        <v>205</v>
      </c>
      <c r="V382" s="778" t="s">
        <v>206</v>
      </c>
    </row>
    <row r="383" spans="19:22" x14ac:dyDescent="0.2">
      <c r="S383" s="770" t="s">
        <v>255</v>
      </c>
      <c r="T383" s="771" t="s">
        <v>2</v>
      </c>
      <c r="U383" s="787">
        <f>INDEX('Planzahlen Rentabilität'!$K$12:$FU$56,MATCH(Grafiken!$S383,'Planzahlen Rentabilität'!$A$12:$A$56,0),MATCH(Grafiken!U$381,'Planzahlen Rentabilität'!$K$9:$FU$9,0))</f>
        <v>666.66666666666663</v>
      </c>
      <c r="V383" s="787">
        <f ca="1">INDEX('Planzahlen Rentabilität'!$K$12:$FU$56,MATCH(Grafiken!$S383,'Planzahlen Rentabilität'!$A$12:$A$56,0),MATCH(Grafiken!V$381,'Planzahlen Rentabilität'!$K$9:$FU$9,0))</f>
        <v>16452.91</v>
      </c>
    </row>
    <row r="384" spans="19:22" x14ac:dyDescent="0.2">
      <c r="S384" s="770">
        <v>17</v>
      </c>
      <c r="T384" s="771" t="s">
        <v>4</v>
      </c>
      <c r="U384" s="787">
        <f>INDEX('Planzahlen Rentabilität'!$K$12:$FU$56,MATCH(Grafiken!$S384,'Planzahlen Rentabilität'!$A$12:$A$56,0),MATCH(Grafiken!U$381,'Planzahlen Rentabilität'!$K$9:$FU$9,0))</f>
        <v>250</v>
      </c>
      <c r="V384" s="787">
        <f ca="1">INDEX('Planzahlen Rentabilität'!$K$12:$FU$56,MATCH(Grafiken!$S384,'Planzahlen Rentabilität'!$A$12:$A$56,0),MATCH(Grafiken!V$381,'Planzahlen Rentabilität'!$K$9:$FU$9,0))</f>
        <v>595.31999999999994</v>
      </c>
    </row>
    <row r="385" spans="19:22" x14ac:dyDescent="0.2">
      <c r="S385" s="770">
        <v>18</v>
      </c>
      <c r="T385" s="771" t="s">
        <v>265</v>
      </c>
      <c r="U385" s="787">
        <f>INDEX('Planzahlen Rentabilität'!$K$12:$FU$56,MATCH(Grafiken!$S385,'Planzahlen Rentabilität'!$A$12:$A$56,0),MATCH(Grafiken!U$381,'Planzahlen Rentabilität'!$K$9:$FU$9,0))</f>
        <v>2375</v>
      </c>
      <c r="V385" s="787">
        <f ca="1">INDEX('Planzahlen Rentabilität'!$K$12:$FU$56,MATCH(Grafiken!$S385,'Planzahlen Rentabilität'!$A$12:$A$56,0),MATCH(Grafiken!V$381,'Planzahlen Rentabilität'!$K$9:$FU$9,0))</f>
        <v>44.65</v>
      </c>
    </row>
    <row r="386" spans="19:22" x14ac:dyDescent="0.2">
      <c r="S386" s="770">
        <v>19</v>
      </c>
      <c r="T386" s="771" t="s">
        <v>266</v>
      </c>
      <c r="U386" s="787">
        <f>INDEX('Planzahlen Rentabilität'!$K$12:$FU$56,MATCH(Grafiken!$S386,'Planzahlen Rentabilität'!$A$12:$A$56,0),MATCH(Grafiken!U$381,'Planzahlen Rentabilität'!$K$9:$FU$9,0))</f>
        <v>1500</v>
      </c>
      <c r="V386" s="787">
        <f ca="1">INDEX('Planzahlen Rentabilität'!$K$12:$FU$56,MATCH(Grafiken!$S386,'Planzahlen Rentabilität'!$A$12:$A$56,0),MATCH(Grafiken!V$381,'Planzahlen Rentabilität'!$K$9:$FU$9,0))</f>
        <v>875.03</v>
      </c>
    </row>
    <row r="387" spans="19:22" x14ac:dyDescent="0.2">
      <c r="S387" s="51">
        <v>20</v>
      </c>
      <c r="T387" s="771" t="s">
        <v>267</v>
      </c>
      <c r="U387" s="787">
        <f>INDEX('Planzahlen Rentabilität'!$K$12:$FU$56,MATCH(Grafiken!$S387,'Planzahlen Rentabilität'!$A$12:$A$56,0),MATCH(Grafiken!U$381,'Planzahlen Rentabilität'!$K$9:$FU$9,0))</f>
        <v>333.33333333333331</v>
      </c>
      <c r="V387" s="787">
        <f ca="1">INDEX('Planzahlen Rentabilität'!$K$12:$FU$56,MATCH(Grafiken!$S387,'Planzahlen Rentabilität'!$A$12:$A$56,0),MATCH(Grafiken!V$381,'Planzahlen Rentabilität'!$K$9:$FU$9,0))</f>
        <v>2800.2399999999993</v>
      </c>
    </row>
    <row r="388" spans="19:22" x14ac:dyDescent="0.2">
      <c r="S388" s="51">
        <v>21</v>
      </c>
      <c r="T388" s="771" t="s">
        <v>9</v>
      </c>
      <c r="U388" s="787">
        <f>INDEX('Planzahlen Rentabilität'!$K$12:$FU$56,MATCH(Grafiken!$S388,'Planzahlen Rentabilität'!$A$12:$A$56,0),MATCH(Grafiken!U$381,'Planzahlen Rentabilität'!$K$9:$FU$9,0))</f>
        <v>1083.3333333333335</v>
      </c>
      <c r="V388" s="787">
        <f ca="1">INDEX('Planzahlen Rentabilität'!$K$12:$FU$56,MATCH(Grafiken!$S388,'Planzahlen Rentabilität'!$A$12:$A$56,0),MATCH(Grafiken!V$381,'Planzahlen Rentabilität'!$K$9:$FU$9,0))</f>
        <v>2890.7300000000005</v>
      </c>
    </row>
    <row r="389" spans="19:22" x14ac:dyDescent="0.2">
      <c r="S389" s="51">
        <v>22</v>
      </c>
      <c r="T389" s="771" t="s">
        <v>268</v>
      </c>
      <c r="U389" s="787">
        <f>INDEX('Planzahlen Rentabilität'!$K$12:$FU$56,MATCH(Grafiken!$S389,'Planzahlen Rentabilität'!$A$12:$A$56,0),MATCH(Grafiken!U$381,'Planzahlen Rentabilität'!$K$9:$FU$9,0))</f>
        <v>2000</v>
      </c>
      <c r="V389" s="787">
        <f ca="1">INDEX('Planzahlen Rentabilität'!$K$12:$FU$56,MATCH(Grafiken!$S389,'Planzahlen Rentabilität'!$A$12:$A$56,0),MATCH(Grafiken!V$381,'Planzahlen Rentabilität'!$K$9:$FU$9,0))</f>
        <v>0</v>
      </c>
    </row>
    <row r="390" spans="19:22" x14ac:dyDescent="0.2">
      <c r="S390" s="51">
        <v>23</v>
      </c>
      <c r="T390" s="771" t="s">
        <v>14</v>
      </c>
      <c r="U390" s="787">
        <f>INDEX('Planzahlen Rentabilität'!$K$12:$FU$56,MATCH(Grafiken!$S390,'Planzahlen Rentabilität'!$A$12:$A$56,0),MATCH(Grafiken!U$381,'Planzahlen Rentabilität'!$K$9:$FU$9,0))</f>
        <v>5416.666666666667</v>
      </c>
      <c r="V390" s="787">
        <f ca="1">INDEX('Planzahlen Rentabilität'!$K$12:$FU$56,MATCH(Grafiken!$S390,'Planzahlen Rentabilität'!$A$12:$A$56,0),MATCH(Grafiken!V$381,'Planzahlen Rentabilität'!$K$9:$FU$9,0))</f>
        <v>4304.3</v>
      </c>
    </row>
    <row r="391" spans="19:22" x14ac:dyDescent="0.2">
      <c r="S391" s="51">
        <v>24</v>
      </c>
      <c r="T391" s="771" t="s">
        <v>269</v>
      </c>
      <c r="U391" s="787">
        <f>INDEX('Planzahlen Rentabilität'!$K$12:$FU$56,MATCH(Grafiken!$S391,'Planzahlen Rentabilität'!$A$12:$A$56,0),MATCH(Grafiken!U$381,'Planzahlen Rentabilität'!$K$9:$FU$9,0))</f>
        <v>4425</v>
      </c>
      <c r="V391" s="787">
        <f ca="1">INDEX('Planzahlen Rentabilität'!$K$12:$FU$56,MATCH(Grafiken!$S391,'Planzahlen Rentabilität'!$A$12:$A$56,0),MATCH(Grafiken!V$381,'Planzahlen Rentabilität'!$K$9:$FU$9,0))</f>
        <v>2300.5699999999997</v>
      </c>
    </row>
    <row r="392" spans="19:22" x14ac:dyDescent="0.2">
      <c r="S392" s="51">
        <v>25</v>
      </c>
      <c r="T392" s="771" t="s">
        <v>270</v>
      </c>
      <c r="U392" s="787">
        <f>INDEX('Planzahlen Rentabilität'!$K$12:$FU$56,MATCH(Grafiken!$S392,'Planzahlen Rentabilität'!$A$12:$A$56,0),MATCH(Grafiken!U$381,'Planzahlen Rentabilität'!$K$9:$FU$9,0))</f>
        <v>625</v>
      </c>
      <c r="V392" s="787">
        <f ca="1">INDEX('Planzahlen Rentabilität'!$K$12:$FU$56,MATCH(Grafiken!$S392,'Planzahlen Rentabilität'!$A$12:$A$56,0),MATCH(Grafiken!V$381,'Planzahlen Rentabilität'!$K$9:$FU$9,0))</f>
        <v>1138.44</v>
      </c>
    </row>
    <row r="393" spans="19:22" x14ac:dyDescent="0.2">
      <c r="S393" s="51">
        <v>26</v>
      </c>
      <c r="T393" s="771" t="s">
        <v>271</v>
      </c>
      <c r="U393" s="787">
        <f>INDEX('Planzahlen Rentabilität'!$K$12:$FU$56,MATCH(Grafiken!$S393,'Planzahlen Rentabilität'!$A$12:$A$56,0),MATCH(Grafiken!U$381,'Planzahlen Rentabilität'!$K$9:$FU$9,0))</f>
        <v>1250</v>
      </c>
      <c r="V393" s="787">
        <f ca="1">INDEX('Planzahlen Rentabilität'!$K$12:$FU$56,MATCH(Grafiken!$S393,'Planzahlen Rentabilität'!$A$12:$A$56,0),MATCH(Grafiken!V$381,'Planzahlen Rentabilität'!$K$9:$FU$9,0))</f>
        <v>64.28</v>
      </c>
    </row>
    <row r="394" spans="19:22" x14ac:dyDescent="0.2">
      <c r="S394" s="51">
        <v>29</v>
      </c>
      <c r="T394" s="771" t="s">
        <v>272</v>
      </c>
      <c r="U394" s="787">
        <f>INDEX('Planzahlen Rentabilität'!$K$12:$FU$56,MATCH(Grafiken!$S394,'Planzahlen Rentabilität'!$A$12:$A$56,0),MATCH(Grafiken!U$381,'Planzahlen Rentabilität'!$K$9:$FU$9,0))</f>
        <v>2500</v>
      </c>
      <c r="V394" s="787">
        <f ca="1">INDEX('Planzahlen Rentabilität'!$K$12:$FU$56,MATCH(Grafiken!$S394,'Planzahlen Rentabilität'!$A$12:$A$56,0),MATCH(Grafiken!V$381,'Planzahlen Rentabilität'!$K$9:$FU$9,0))</f>
        <v>3109.6999999999994</v>
      </c>
    </row>
    <row r="405" spans="1:29" ht="15" x14ac:dyDescent="0.2">
      <c r="A405" s="487" t="str">
        <f>"Liquiditätsergebnis zum "&amp;Grunddaten!$E$7&amp;" "&amp;Grunddaten!$B$5</f>
        <v>Liquiditätsergebnis zum Oktober 2019</v>
      </c>
    </row>
    <row r="407" spans="1:29" x14ac:dyDescent="0.2">
      <c r="T407" s="524" t="s">
        <v>204</v>
      </c>
      <c r="U407" s="769" t="str">
        <f>"P"&amp;Grunddaten!$B$7</f>
        <v>P10</v>
      </c>
      <c r="V407" s="1469" t="str">
        <f>"P"&amp;Grunddaten!$B$7</f>
        <v>P10</v>
      </c>
      <c r="W407" s="1469"/>
      <c r="X407" s="769" t="str">
        <f>"RP"&amp;Grunddaten!$B$7</f>
        <v>RP10</v>
      </c>
      <c r="Y407" s="769" t="str">
        <f>"I"&amp;Grunddaten!$B$7</f>
        <v>I10</v>
      </c>
      <c r="Z407" s="1469" t="str">
        <f>"I"&amp;Grunddaten!$B$7</f>
        <v>I10</v>
      </c>
      <c r="AA407" s="1469"/>
      <c r="AB407" s="769" t="str">
        <f>"RI"&amp;Grunddaten!$B$7</f>
        <v>RI10</v>
      </c>
    </row>
    <row r="408" spans="1:29" x14ac:dyDescent="0.2">
      <c r="U408" s="1464" t="s">
        <v>205</v>
      </c>
      <c r="V408" s="1468"/>
      <c r="W408" s="1468"/>
      <c r="X408" s="1465"/>
      <c r="Y408" s="1464" t="s">
        <v>206</v>
      </c>
      <c r="Z408" s="1468"/>
      <c r="AA408" s="1468"/>
      <c r="AB408" s="1468"/>
      <c r="AC408" s="809"/>
    </row>
    <row r="409" spans="1:29" x14ac:dyDescent="0.2">
      <c r="U409" s="802" t="s">
        <v>205</v>
      </c>
      <c r="V409" s="802" t="s">
        <v>250</v>
      </c>
      <c r="W409" s="778" t="s">
        <v>251</v>
      </c>
      <c r="X409" s="778" t="s">
        <v>252</v>
      </c>
      <c r="Y409" s="802" t="s">
        <v>206</v>
      </c>
      <c r="Z409" s="802" t="s">
        <v>250</v>
      </c>
      <c r="AA409" s="778" t="s">
        <v>251</v>
      </c>
      <c r="AB409" s="778" t="s">
        <v>210</v>
      </c>
    </row>
    <row r="410" spans="1:29" x14ac:dyDescent="0.2">
      <c r="S410" s="770" t="s">
        <v>273</v>
      </c>
      <c r="T410" s="775" t="s">
        <v>274</v>
      </c>
      <c r="U410" s="781">
        <f>INDEX('Planzahlen Rentabilität'!$K$12:$FU$62,MATCH(Grafiken!$S410,'Planzahlen Rentabilität'!$A$12:$A$62,0),MATCH(Grafiken!U$407,'Planzahlen Rentabilität'!$K$9:$FU$9,0))</f>
        <v>27410.285972222227</v>
      </c>
      <c r="V410" s="781">
        <v>0</v>
      </c>
      <c r="W410" s="781"/>
      <c r="X410" s="780">
        <f ca="1">INDEX('Planzahlen Rentabilität'!$K$12:$FU$62,MATCH(Grafiken!$S410,'Planzahlen Rentabilität'!$A$12:$A$62,0),MATCH(Grafiken!X$407,'Planzahlen Rentabilität'!$K$9:$FU$9,0))</f>
        <v>0.18853832869522499</v>
      </c>
      <c r="Y410" s="781">
        <f ca="1">INDEX('Planzahlen Rentabilität'!$K$12:$FU$62,MATCH(Grafiken!$S410,'Planzahlen Rentabilität'!$A$12:$A$62,0),MATCH(Grafiken!Y$407,'Planzahlen Rentabilität'!$K$9:$FU$9,0))</f>
        <v>11586.37</v>
      </c>
      <c r="Z410" s="781">
        <v>0</v>
      </c>
      <c r="AA410" s="781"/>
      <c r="AB410" s="780">
        <f ca="1">INDEX('Planzahlen Rentabilität'!$K$12:$FU$62,MATCH(Grafiken!$S410,'Planzahlen Rentabilität'!$A$12:$A$62,0),MATCH(Grafiken!AB$407,'Planzahlen Rentabilität'!$K$9:$FU$9,0))</f>
        <v>0.35410536391675829</v>
      </c>
    </row>
    <row r="411" spans="1:29" x14ac:dyDescent="0.2">
      <c r="S411" s="770">
        <v>29</v>
      </c>
      <c r="T411" s="771" t="s">
        <v>272</v>
      </c>
      <c r="U411" s="787">
        <f>U410-V411+W410</f>
        <v>27410.285972222227</v>
      </c>
      <c r="V411" s="787">
        <f>IF(INDEX('Planzahlen Rentabilität'!$K$12:$FU$62,MATCH(Grafiken!$S411,'Planzahlen Rentabilität'!$A$12:$A$62,0),MATCH(Grafiken!V$407,'Planzahlen Rentabilität'!$K$9:$FU$9,0))&lt;=0,-INDEX('Planzahlen Rentabilität'!$K$12:$FU$62,MATCH(Grafiken!$S411,'Planzahlen Rentabilität'!$A$12:$A$62,0),MATCH(Grafiken!V$407,'Planzahlen Rentabilität'!$K$9:$FU$9,0)),0)</f>
        <v>0</v>
      </c>
      <c r="W411" s="787">
        <f>IF(INDEX('Planzahlen Rentabilität'!$K$12:$FU$62,MATCH(Grafiken!$S411,'Planzahlen Rentabilität'!$A$12:$A$62,0),MATCH(Grafiken!V$407,'Planzahlen Rentabilität'!$K$9:$FU$9,0))&gt;0,INDEX('Planzahlen Rentabilität'!$K$12:$FU$62,MATCH(Grafiken!$S411,'Planzahlen Rentabilität'!$A$12:$A$62,0),MATCH(Grafiken!V$407,'Planzahlen Rentabilität'!$K$9:$FU$9,0)),0)</f>
        <v>250</v>
      </c>
      <c r="X411" s="786">
        <f>INDEX('Planzahlen Rentabilität'!$K$12:$FU$62,MATCH(Grafiken!$S411,'Planzahlen Rentabilität'!$A$12:$A$62,0),MATCH(Grafiken!X$407,'Planzahlen Rentabilität'!$K$9:$FU$9,0))</f>
        <v>0</v>
      </c>
      <c r="Y411" s="787">
        <f ca="1">Y410-Z411+AA410</f>
        <v>11586.37</v>
      </c>
      <c r="Z411" s="787">
        <f ca="1">IF(INDEX('Planzahlen Rentabilität'!$K$12:$FU$62,MATCH(Grafiken!$S411,'Planzahlen Rentabilität'!$A$12:$A$62,0),MATCH(Grafiken!Z$407,'Planzahlen Rentabilität'!$K$9:$FU$9,0))&lt;=0,-INDEX('Planzahlen Rentabilität'!$K$12:$FU$62,MATCH(Grafiken!$S411,'Planzahlen Rentabilität'!$A$12:$A$62,0),MATCH(Grafiken!Z$407,'Planzahlen Rentabilität'!$K$9:$FU$9,0)),0)</f>
        <v>0</v>
      </c>
      <c r="AA411" s="787">
        <f ca="1">IF(INDEX('Planzahlen Rentabilität'!$K$12:$FU$62,MATCH(Grafiken!$S411,'Planzahlen Rentabilität'!$A$12:$A$62,0),MATCH(Grafiken!Z$407,'Planzahlen Rentabilität'!$K$9:$FU$9,0))&gt;0,INDEX('Planzahlen Rentabilität'!$K$12:$FU$62,MATCH(Grafiken!$S411,'Planzahlen Rentabilität'!$A$12:$A$62,0),MATCH(Grafiken!Z$407,'Planzahlen Rentabilität'!$K$9:$FU$9,0)),0)</f>
        <v>272.66000000000003</v>
      </c>
      <c r="AB411" s="786">
        <f>INDEX('Planzahlen Rentabilität'!$K$12:$FU$62,MATCH(Grafiken!$S411,'Planzahlen Rentabilität'!$A$12:$A$62,0),MATCH(Grafiken!AB$407,'Planzahlen Rentabilität'!$K$9:$FU$9,0))</f>
        <v>0</v>
      </c>
    </row>
    <row r="412" spans="1:29" x14ac:dyDescent="0.2">
      <c r="S412" s="770">
        <v>38</v>
      </c>
      <c r="T412" s="771" t="s">
        <v>275</v>
      </c>
      <c r="U412" s="787" t="e">
        <f t="shared" ref="U412:U416" si="4">U411-V412+W411</f>
        <v>#N/A</v>
      </c>
      <c r="V412" s="787" t="e">
        <f>IF(INDEX('Planzahlen Rentabilität'!$K$12:$FU$62,MATCH(Grafiken!$S412,'Planzahlen Rentabilität'!$A$12:$A$62,0),MATCH(Grafiken!V$407,'Planzahlen Rentabilität'!$K$9:$FU$9,0))&gt;=0,INDEX('Planzahlen Rentabilität'!$K$12:$FU$62,MATCH(Grafiken!$S412,'Planzahlen Rentabilität'!$A$12:$A$62,0),MATCH(Grafiken!V$407,'Planzahlen Rentabilität'!$K$9:$FU$9,0)),0)</f>
        <v>#N/A</v>
      </c>
      <c r="W412" s="787" t="e">
        <f>IF(INDEX('Planzahlen Rentabilität'!$K$12:$FU$62,MATCH(Grafiken!$S412,'Planzahlen Rentabilität'!$A$12:$A$62,0),MATCH(Grafiken!V$407,'Planzahlen Rentabilität'!$K$9:$FU$9,0))&lt;0,-INDEX('Planzahlen Rentabilität'!$K$12:$FU$62,MATCH(Grafiken!$S412,'Planzahlen Rentabilität'!$A$12:$A$62,0),MATCH(Grafiken!V$407,'Planzahlen Rentabilität'!$K$9:$FU$9,0)),0)</f>
        <v>#N/A</v>
      </c>
      <c r="X412" s="786" t="e">
        <f>INDEX('Planzahlen Rentabilität'!$K$12:$FU$62,MATCH(Grafiken!$S412,'Planzahlen Rentabilität'!$A$12:$A$62,0),MATCH(Grafiken!X$407,'Planzahlen Rentabilität'!$K$9:$FU$9,0))</f>
        <v>#N/A</v>
      </c>
      <c r="Y412" s="787" t="e">
        <f t="shared" ref="Y412:Y417" ca="1" si="5">Y411-Z412+AA411</f>
        <v>#N/A</v>
      </c>
      <c r="Z412" s="787" t="e">
        <f>IF(INDEX('Planzahlen Rentabilität'!$K$12:$FU$62,MATCH(Grafiken!$S412,'Planzahlen Rentabilität'!$A$12:$A$62,0),MATCH(Grafiken!Z$407,'Planzahlen Rentabilität'!$K$9:$FU$9,0))&gt;=0,INDEX('Planzahlen Rentabilität'!$K$12:$FU$62,MATCH(Grafiken!$S412,'Planzahlen Rentabilität'!$A$12:$A$62,0),MATCH(Grafiken!Z$407,'Planzahlen Rentabilität'!$K$9:$FU$9,0)),0)</f>
        <v>#N/A</v>
      </c>
      <c r="AA412" s="787" t="e">
        <f>IF(INDEX('Planzahlen Rentabilität'!$K$12:$FU$62,MATCH(Grafiken!$S412,'Planzahlen Rentabilität'!$A$12:$A$62,0),MATCH(Grafiken!Z$407,'Planzahlen Rentabilität'!$K$9:$FU$9,0))&lt;0,-INDEX('Planzahlen Rentabilität'!$K$12:$FU$62,MATCH(Grafiken!$S412,'Planzahlen Rentabilität'!$A$12:$A$62,0),MATCH(Grafiken!Z$407,'Planzahlen Rentabilität'!$K$9:$FU$9,0)),0)</f>
        <v>#N/A</v>
      </c>
      <c r="AB412" s="786" t="e">
        <f>INDEX('Planzahlen Rentabilität'!$K$12:$FU$62,MATCH(Grafiken!$S412,'Planzahlen Rentabilität'!$A$12:$A$62,0),MATCH(Grafiken!AB$407,'Planzahlen Rentabilität'!$K$9:$FU$9,0))</f>
        <v>#N/A</v>
      </c>
    </row>
    <row r="413" spans="1:29" x14ac:dyDescent="0.2">
      <c r="S413" s="770">
        <v>39</v>
      </c>
      <c r="T413" s="771" t="s">
        <v>276</v>
      </c>
      <c r="U413" s="787" t="e">
        <f t="shared" si="4"/>
        <v>#N/A</v>
      </c>
      <c r="V413" s="787" t="e">
        <f>IF(INDEX('Planzahlen Rentabilität'!$K$12:$FU$62,MATCH(Grafiken!$S413,'Planzahlen Rentabilität'!$A$12:$A$62,0),MATCH(Grafiken!V$407,'Planzahlen Rentabilität'!$K$9:$FU$9,0))&lt;=0,-INDEX('Planzahlen Rentabilität'!$K$12:$FU$62,MATCH(Grafiken!$S413,'Planzahlen Rentabilität'!$A$12:$A$62,0),MATCH(Grafiken!V$407,'Planzahlen Rentabilität'!$K$9:$FU$9,0)),0)</f>
        <v>#N/A</v>
      </c>
      <c r="W413" s="787" t="e">
        <f>IF(INDEX('Planzahlen Rentabilität'!$K$12:$FU$62,MATCH(Grafiken!$S413,'Planzahlen Rentabilität'!$A$12:$A$62,0),MATCH(Grafiken!V$407,'Planzahlen Rentabilität'!$K$9:$FU$9,0))&gt;0,INDEX('Planzahlen Rentabilität'!$K$12:$FU$62,MATCH(Grafiken!$S413,'Planzahlen Rentabilität'!$A$12:$A$62,0),MATCH(Grafiken!V$407,'Planzahlen Rentabilität'!$K$9:$FU$9,0)),0)</f>
        <v>#N/A</v>
      </c>
      <c r="X413" s="786" t="e">
        <f>INDEX('Planzahlen Rentabilität'!$K$12:$FU$62,MATCH(Grafiken!$S413,'Planzahlen Rentabilität'!$A$12:$A$62,0),MATCH(Grafiken!X$407,'Planzahlen Rentabilität'!$K$9:$FU$9,0))</f>
        <v>#N/A</v>
      </c>
      <c r="Y413" s="787" t="e">
        <f t="shared" ca="1" si="5"/>
        <v>#N/A</v>
      </c>
      <c r="Z413" s="787" t="e">
        <f>IF(INDEX('Planzahlen Rentabilität'!$K$12:$FU$62,MATCH(Grafiken!$S413,'Planzahlen Rentabilität'!$A$12:$A$62,0),MATCH(Grafiken!Z$407,'Planzahlen Rentabilität'!$K$9:$FU$9,0))&lt;=0,-INDEX('Planzahlen Rentabilität'!$K$12:$FU$62,MATCH(Grafiken!$S413,'Planzahlen Rentabilität'!$A$12:$A$62,0),MATCH(Grafiken!Z$407,'Planzahlen Rentabilität'!$K$9:$FU$9,0)),0)</f>
        <v>#N/A</v>
      </c>
      <c r="AA413" s="787" t="e">
        <f>IF(INDEX('Planzahlen Rentabilität'!$K$12:$FU$62,MATCH(Grafiken!$S413,'Planzahlen Rentabilität'!$A$12:$A$62,0),MATCH(Grafiken!Z$407,'Planzahlen Rentabilität'!$K$9:$FU$9,0))&gt;0,INDEX('Planzahlen Rentabilität'!$K$12:$FU$62,MATCH(Grafiken!$S413,'Planzahlen Rentabilität'!$A$12:$A$62,0),MATCH(Grafiken!Z$407,'Planzahlen Rentabilität'!$K$9:$FU$9,0)),0)</f>
        <v>#N/A</v>
      </c>
      <c r="AB413" s="786" t="e">
        <f>INDEX('Planzahlen Rentabilität'!$K$12:$FU$62,MATCH(Grafiken!$S413,'Planzahlen Rentabilität'!$A$12:$A$62,0),MATCH(Grafiken!AB$407,'Planzahlen Rentabilität'!$K$9:$FU$9,0))</f>
        <v>#N/A</v>
      </c>
    </row>
    <row r="414" spans="1:29" x14ac:dyDescent="0.2">
      <c r="S414" s="51">
        <v>40</v>
      </c>
      <c r="T414" s="771" t="s">
        <v>277</v>
      </c>
      <c r="U414" s="787" t="e">
        <f t="shared" si="4"/>
        <v>#N/A</v>
      </c>
      <c r="V414" s="787" t="e">
        <f>IF(INDEX('Planzahlen Rentabilität'!$K$12:$FU$62,MATCH(Grafiken!$S414,'Planzahlen Rentabilität'!$A$12:$A$62,0),MATCH(Grafiken!V$407,'Planzahlen Rentabilität'!$K$9:$FU$9,0))&gt;=0,INDEX('Planzahlen Rentabilität'!$K$12:$FU$62,MATCH(Grafiken!$S414,'Planzahlen Rentabilität'!$A$12:$A$62,0),MATCH(Grafiken!V$407,'Planzahlen Rentabilität'!$K$9:$FU$9,0)),0)</f>
        <v>#N/A</v>
      </c>
      <c r="W414" s="787" t="e">
        <f>IF(INDEX('Planzahlen Rentabilität'!$K$12:$FU$62,MATCH(Grafiken!$S414,'Planzahlen Rentabilität'!$A$12:$A$62,0),MATCH(Grafiken!V$407,'Planzahlen Rentabilität'!$K$9:$FU$9,0))&lt;0,-INDEX('Planzahlen Rentabilität'!$K$12:$FU$62,MATCH(Grafiken!$S414,'Planzahlen Rentabilität'!$A$12:$A$62,0),MATCH(Grafiken!V$407,'Planzahlen Rentabilität'!$K$9:$FU$9,0)),0)</f>
        <v>#N/A</v>
      </c>
      <c r="X414" s="786" t="e">
        <f>INDEX('Planzahlen Rentabilität'!$K$12:$FU$62,MATCH(Grafiken!$S414,'Planzahlen Rentabilität'!$A$12:$A$62,0),MATCH(Grafiken!X$407,'Planzahlen Rentabilität'!$K$9:$FU$9,0))</f>
        <v>#N/A</v>
      </c>
      <c r="Y414" s="787" t="e">
        <f t="shared" ca="1" si="5"/>
        <v>#N/A</v>
      </c>
      <c r="Z414" s="787" t="e">
        <f>IF(INDEX('Planzahlen Rentabilität'!$K$12:$FU$62,MATCH(Grafiken!$S414,'Planzahlen Rentabilität'!$A$12:$A$62,0),MATCH(Grafiken!Z$407,'Planzahlen Rentabilität'!$K$9:$FU$9,0))&gt;=0,INDEX('Planzahlen Rentabilität'!$K$12:$FU$62,MATCH(Grafiken!$S414,'Planzahlen Rentabilität'!$A$12:$A$62,0),MATCH(Grafiken!Z$407,'Planzahlen Rentabilität'!$K$9:$FU$9,0)),0)</f>
        <v>#N/A</v>
      </c>
      <c r="AA414" s="787" t="e">
        <f>IF(INDEX('Planzahlen Rentabilität'!$K$12:$FU$62,MATCH(Grafiken!$S414,'Planzahlen Rentabilität'!$A$12:$A$62,0),MATCH(Grafiken!Z$407,'Planzahlen Rentabilität'!$K$9:$FU$9,0))&lt;0,-INDEX('Planzahlen Rentabilität'!$K$12:$FU$62,MATCH(Grafiken!$S414,'Planzahlen Rentabilität'!$A$12:$A$62,0),MATCH(Grafiken!Z$407,'Planzahlen Rentabilität'!$K$9:$FU$9,0)),0)</f>
        <v>#N/A</v>
      </c>
      <c r="AB414" s="786" t="e">
        <f>INDEX('Planzahlen Rentabilität'!$K$12:$FU$62,MATCH(Grafiken!$S414,'Planzahlen Rentabilität'!$A$12:$A$62,0),MATCH(Grafiken!AB$407,'Planzahlen Rentabilität'!$K$9:$FU$9,0))</f>
        <v>#N/A</v>
      </c>
    </row>
    <row r="415" spans="1:29" x14ac:dyDescent="0.2">
      <c r="S415" s="51">
        <v>41</v>
      </c>
      <c r="T415" s="771" t="s">
        <v>85</v>
      </c>
      <c r="U415" s="787" t="e">
        <f t="shared" si="4"/>
        <v>#N/A</v>
      </c>
      <c r="V415" s="787" t="e">
        <f>IF(INDEX('Planzahlen Rentabilität'!$K$12:$FU$62,MATCH(Grafiken!$S415,'Planzahlen Rentabilität'!$A$12:$A$62,0),MATCH(Grafiken!V$407,'Planzahlen Rentabilität'!$K$9:$FU$9,0))&gt;=0,INDEX('Planzahlen Rentabilität'!$K$12:$FU$62,MATCH(Grafiken!$S415,'Planzahlen Rentabilität'!$A$12:$A$62,0),MATCH(Grafiken!V$407,'Planzahlen Rentabilität'!$K$9:$FU$9,0)),0)</f>
        <v>#N/A</v>
      </c>
      <c r="W415" s="787" t="e">
        <f>IF(INDEX('Planzahlen Rentabilität'!$K$12:$FU$62,MATCH(Grafiken!$S415,'Planzahlen Rentabilität'!$A$12:$A$62,0),MATCH(Grafiken!V$407,'Planzahlen Rentabilität'!$K$9:$FU$9,0))&lt;0,-INDEX('Planzahlen Rentabilität'!$K$12:$FU$62,MATCH(Grafiken!$S415,'Planzahlen Rentabilität'!$A$12:$A$62,0),MATCH(Grafiken!V$407,'Planzahlen Rentabilität'!$K$9:$FU$9,0)),0)</f>
        <v>#N/A</v>
      </c>
      <c r="X415" s="786" t="e">
        <f>INDEX('Planzahlen Rentabilität'!$K$12:$FU$62,MATCH(Grafiken!$S415,'Planzahlen Rentabilität'!$A$12:$A$62,0),MATCH(Grafiken!X$407,'Planzahlen Rentabilität'!$K$9:$FU$9,0))</f>
        <v>#N/A</v>
      </c>
      <c r="Y415" s="787" t="e">
        <f t="shared" ca="1" si="5"/>
        <v>#N/A</v>
      </c>
      <c r="Z415" s="787" t="e">
        <f>IF(INDEX('Planzahlen Rentabilität'!$K$12:$FU$62,MATCH(Grafiken!$S415,'Planzahlen Rentabilität'!$A$12:$A$62,0),MATCH(Grafiken!Z$407,'Planzahlen Rentabilität'!$K$9:$FU$9,0))&gt;=0,INDEX('Planzahlen Rentabilität'!$K$12:$FU$62,MATCH(Grafiken!$S415,'Planzahlen Rentabilität'!$A$12:$A$62,0),MATCH(Grafiken!Z$407,'Planzahlen Rentabilität'!$K$9:$FU$9,0)),0)</f>
        <v>#N/A</v>
      </c>
      <c r="AA415" s="787" t="e">
        <f>IF(INDEX('Planzahlen Rentabilität'!$K$12:$FU$62,MATCH(Grafiken!$S415,'Planzahlen Rentabilität'!$A$12:$A$62,0),MATCH(Grafiken!Z$407,'Planzahlen Rentabilität'!$K$9:$FU$9,0))&lt;0,-INDEX('Planzahlen Rentabilität'!$K$12:$FU$62,MATCH(Grafiken!$S415,'Planzahlen Rentabilität'!$A$12:$A$62,0),MATCH(Grafiken!Z$407,'Planzahlen Rentabilität'!$K$9:$FU$9,0)),0)</f>
        <v>#N/A</v>
      </c>
      <c r="AB415" s="786" t="e">
        <f>INDEX('Planzahlen Rentabilität'!$K$12:$FU$62,MATCH(Grafiken!$S415,'Planzahlen Rentabilität'!$A$12:$A$62,0),MATCH(Grafiken!AB$407,'Planzahlen Rentabilität'!$K$9:$FU$9,0))</f>
        <v>#N/A</v>
      </c>
    </row>
    <row r="416" spans="1:29" x14ac:dyDescent="0.2">
      <c r="S416" s="51">
        <v>42</v>
      </c>
      <c r="T416" s="771" t="s">
        <v>278</v>
      </c>
      <c r="U416" s="787" t="e">
        <f t="shared" si="4"/>
        <v>#N/A</v>
      </c>
      <c r="V416" s="787" t="e">
        <f>IF(INDEX('Planzahlen Rentabilität'!$K$12:$FU$62,MATCH(Grafiken!$S416,'Planzahlen Rentabilität'!$A$12:$A$62,0),MATCH(Grafiken!V$407,'Planzahlen Rentabilität'!$K$9:$FU$9,0))&lt;0,-INDEX('Planzahlen Rentabilität'!$K$12:$FU$62,MATCH(Grafiken!$S416,'Planzahlen Rentabilität'!$A$12:$A$62,0),MATCH(Grafiken!V$407,'Planzahlen Rentabilität'!$K$9:$FU$9,0)),0)</f>
        <v>#N/A</v>
      </c>
      <c r="W416" s="787" t="e">
        <f>IF(INDEX('Planzahlen Rentabilität'!$K$12:$FU$62,MATCH(Grafiken!$S416,'Planzahlen Rentabilität'!$A$12:$A$62,0),MATCH(Grafiken!V$407,'Planzahlen Rentabilität'!$K$9:$FU$9,0))&gt;=0,INDEX('Planzahlen Rentabilität'!$K$12:$FU$62,MATCH(Grafiken!$S416,'Planzahlen Rentabilität'!$A$12:$A$62,0),MATCH(Grafiken!V$407,'Planzahlen Rentabilität'!$K$9:$FU$9,0)),0)</f>
        <v>#N/A</v>
      </c>
      <c r="X416" s="786" t="e">
        <f>INDEX('Planzahlen Rentabilität'!$K$12:$FU$62,MATCH(Grafiken!$S416,'Planzahlen Rentabilität'!$A$12:$A$62,0),MATCH(Grafiken!X$407,'Planzahlen Rentabilität'!$K$9:$FU$9,0))</f>
        <v>#N/A</v>
      </c>
      <c r="Y416" s="787" t="e">
        <f t="shared" ca="1" si="5"/>
        <v>#N/A</v>
      </c>
      <c r="Z416" s="787" t="e">
        <f>IF(INDEX('Planzahlen Rentabilität'!$K$12:$FU$62,MATCH(Grafiken!$S416,'Planzahlen Rentabilität'!$A$12:$A$62,0),MATCH(Grafiken!Z$407,'Planzahlen Rentabilität'!$K$9:$FU$9,0))&lt;0,-INDEX('Planzahlen Rentabilität'!$K$12:$FU$62,MATCH(Grafiken!$S416,'Planzahlen Rentabilität'!$A$12:$A$62,0),MATCH(Grafiken!Z$407,'Planzahlen Rentabilität'!$K$9:$FU$9,0)),0)</f>
        <v>#N/A</v>
      </c>
      <c r="AA416" s="787" t="e">
        <f>IF(INDEX('Planzahlen Rentabilität'!$K$12:$FU$62,MATCH(Grafiken!$S416,'Planzahlen Rentabilität'!$A$12:$A$62,0),MATCH(Grafiken!Z$407,'Planzahlen Rentabilität'!$K$9:$FU$9,0))&gt;=0,INDEX('Planzahlen Rentabilität'!$K$12:$FU$62,MATCH(Grafiken!$S416,'Planzahlen Rentabilität'!$A$12:$A$62,0),MATCH(Grafiken!Z$407,'Planzahlen Rentabilität'!$K$9:$FU$9,0)),0)</f>
        <v>#N/A</v>
      </c>
      <c r="AB416" s="786" t="e">
        <f>INDEX('Planzahlen Rentabilität'!$K$12:$FU$62,MATCH(Grafiken!$S416,'Planzahlen Rentabilität'!$A$12:$A$62,0),MATCH(Grafiken!AB$407,'Planzahlen Rentabilität'!$K$9:$FU$9,0))</f>
        <v>#N/A</v>
      </c>
    </row>
    <row r="417" spans="19:28" x14ac:dyDescent="0.2">
      <c r="S417" s="51">
        <v>43</v>
      </c>
      <c r="T417" s="771" t="s">
        <v>279</v>
      </c>
      <c r="U417" s="787" t="e">
        <f>U416-V417+W416</f>
        <v>#N/A</v>
      </c>
      <c r="V417" s="787" t="e">
        <f>IF(INDEX('Planzahlen Rentabilität'!$K$12:$FU$62,MATCH(Grafiken!$S417,'Planzahlen Rentabilität'!$A$12:$A$62,0),MATCH(Grafiken!V$407,'Planzahlen Rentabilität'!$K$9:$FU$9,0))&gt;=0,INDEX('Planzahlen Rentabilität'!$K$12:$FU$62,MATCH(Grafiken!$S417,'Planzahlen Rentabilität'!$A$12:$A$62,0),MATCH(Grafiken!V$407,'Planzahlen Rentabilität'!$K$9:$FU$9,0)),0)</f>
        <v>#N/A</v>
      </c>
      <c r="W417" s="787" t="e">
        <f>IF(INDEX('Planzahlen Rentabilität'!$K$12:$FU$62,MATCH(Grafiken!$S417,'Planzahlen Rentabilität'!$A$12:$A$62,0),MATCH(Grafiken!V$407,'Planzahlen Rentabilität'!$K$9:$FU$9,0))&lt;0,-INDEX('Planzahlen Rentabilität'!$K$12:$FU$62,MATCH(Grafiken!$S417,'Planzahlen Rentabilität'!$A$12:$A$62,0),MATCH(Grafiken!V$407,'Planzahlen Rentabilität'!$K$9:$FU$9,0)),0)</f>
        <v>#N/A</v>
      </c>
      <c r="X417" s="786" t="e">
        <f>INDEX('Planzahlen Rentabilität'!$K$12:$FU$62,MATCH(Grafiken!$S417,'Planzahlen Rentabilität'!$A$12:$A$62,0),MATCH(Grafiken!X$407,'Planzahlen Rentabilität'!$K$9:$FU$9,0))</f>
        <v>#N/A</v>
      </c>
      <c r="Y417" s="787" t="e">
        <f t="shared" ca="1" si="5"/>
        <v>#N/A</v>
      </c>
      <c r="Z417" s="787" t="e">
        <f>IF(INDEX('Planzahlen Rentabilität'!$K$12:$FU$62,MATCH(Grafiken!$S417,'Planzahlen Rentabilität'!$A$12:$A$62,0),MATCH(Grafiken!Z$407,'Planzahlen Rentabilität'!$K$9:$FU$9,0))&gt;=0,INDEX('Planzahlen Rentabilität'!$K$12:$FU$62,MATCH(Grafiken!$S417,'Planzahlen Rentabilität'!$A$12:$A$62,0),MATCH(Grafiken!Z$407,'Planzahlen Rentabilität'!$K$9:$FU$9,0)),0)</f>
        <v>#N/A</v>
      </c>
      <c r="AA417" s="787" t="e">
        <f>IF(INDEX('Planzahlen Rentabilität'!$K$12:$FU$62,MATCH(Grafiken!$S417,'Planzahlen Rentabilität'!$A$12:$A$62,0),MATCH(Grafiken!Z$407,'Planzahlen Rentabilität'!$K$9:$FU$9,0))&lt;0,-INDEX('Planzahlen Rentabilität'!$K$12:$FU$62,MATCH(Grafiken!$S417,'Planzahlen Rentabilität'!$A$12:$A$62,0),MATCH(Grafiken!Z$407,'Planzahlen Rentabilität'!$K$9:$FU$9,0)),0)</f>
        <v>#N/A</v>
      </c>
      <c r="AB417" s="786" t="e">
        <f>INDEX('Planzahlen Rentabilität'!$K$12:$FU$62,MATCH(Grafiken!$S417,'Planzahlen Rentabilität'!$A$12:$A$62,0),MATCH(Grafiken!AB$407,'Planzahlen Rentabilität'!$K$9:$FU$9,0))</f>
        <v>#N/A</v>
      </c>
    </row>
    <row r="418" spans="19:28" x14ac:dyDescent="0.2">
      <c r="S418" s="51" t="s">
        <v>280</v>
      </c>
      <c r="T418" s="775" t="s">
        <v>281</v>
      </c>
      <c r="U418" s="781" t="e">
        <f>INDEX('Planzahlen Rentabilität'!$K$12:$FU$62,MATCH(Grafiken!$S418,'Planzahlen Rentabilität'!$A$12:$A$62,0),MATCH(Grafiken!U$407,'Planzahlen Rentabilität'!$K$9:$FU$9,0))</f>
        <v>#N/A</v>
      </c>
      <c r="V418" s="781"/>
      <c r="W418" s="781"/>
      <c r="X418" s="780" t="e">
        <f>INDEX('Planzahlen Rentabilität'!$K$12:$FU$62,MATCH(Grafiken!$S418,'Planzahlen Rentabilität'!$A$12:$A$62,0),MATCH(Grafiken!X$407,'Planzahlen Rentabilität'!$K$9:$FU$9,0))</f>
        <v>#N/A</v>
      </c>
      <c r="Y418" s="781" t="e">
        <f>INDEX('Planzahlen Rentabilität'!$K$12:$FU$62,MATCH(Grafiken!$S418,'Planzahlen Rentabilität'!$A$12:$A$62,0),MATCH(Grafiken!Y$407,'Planzahlen Rentabilität'!$K$9:$FU$9,0))</f>
        <v>#N/A</v>
      </c>
      <c r="Z418" s="781"/>
      <c r="AA418" s="781"/>
      <c r="AB418" s="780" t="e">
        <f>INDEX('Planzahlen Rentabilität'!$K$12:$FU$62,MATCH(Grafiken!$S418,'Planzahlen Rentabilität'!$A$12:$A$62,0),MATCH(Grafiken!AB$407,'Planzahlen Rentabilität'!$K$9:$FU$9,0))</f>
        <v>#N/A</v>
      </c>
    </row>
    <row r="419" spans="19:28" x14ac:dyDescent="0.2">
      <c r="T419" s="525"/>
    </row>
    <row r="431" spans="19:28" x14ac:dyDescent="0.2">
      <c r="T431" s="524" t="s">
        <v>221</v>
      </c>
      <c r="U431" s="769" t="str">
        <f>"KP"&amp;Grunddaten!$B$7</f>
        <v>KP10</v>
      </c>
      <c r="V431" s="1469" t="str">
        <f>"KP"&amp;Grunddaten!$B$7</f>
        <v>KP10</v>
      </c>
      <c r="W431" s="1469"/>
      <c r="X431" s="769" t="str">
        <f>"KRP"&amp;Grunddaten!$B$7</f>
        <v>KRP10</v>
      </c>
      <c r="Y431" s="769" t="str">
        <f>"KI"&amp;Grunddaten!$B$7</f>
        <v>KI10</v>
      </c>
      <c r="Z431" s="1469" t="str">
        <f>"KI"&amp;Grunddaten!$B$7</f>
        <v>KI10</v>
      </c>
      <c r="AA431" s="1469"/>
      <c r="AB431" s="769" t="str">
        <f>"KRI"&amp;Grunddaten!$B$7</f>
        <v>KRI10</v>
      </c>
    </row>
    <row r="432" spans="19:28" x14ac:dyDescent="0.2">
      <c r="U432" s="1464" t="s">
        <v>205</v>
      </c>
      <c r="V432" s="1468"/>
      <c r="W432" s="1468"/>
      <c r="X432" s="1465"/>
      <c r="Y432" s="1464" t="s">
        <v>206</v>
      </c>
      <c r="Z432" s="1468"/>
      <c r="AA432" s="1468"/>
      <c r="AB432" s="1465"/>
    </row>
    <row r="433" spans="19:28" x14ac:dyDescent="0.2">
      <c r="U433" s="802" t="s">
        <v>206</v>
      </c>
      <c r="V433" s="802" t="s">
        <v>250</v>
      </c>
      <c r="W433" s="778" t="s">
        <v>251</v>
      </c>
      <c r="X433" s="778" t="s">
        <v>210</v>
      </c>
      <c r="Y433" s="802" t="s">
        <v>206</v>
      </c>
      <c r="Z433" s="802" t="s">
        <v>250</v>
      </c>
      <c r="AA433" s="778" t="s">
        <v>251</v>
      </c>
      <c r="AB433" s="778" t="s">
        <v>210</v>
      </c>
    </row>
    <row r="434" spans="19:28" x14ac:dyDescent="0.2">
      <c r="S434" s="770" t="s">
        <v>273</v>
      </c>
      <c r="T434" s="775" t="s">
        <v>274</v>
      </c>
      <c r="U434" s="781">
        <f>INDEX('Planzahlen Rentabilität'!$K$12:$FU$62,MATCH(Grafiken!$S434,'Planzahlen Rentabilität'!$A$12:$A$62,0),MATCH(Grafiken!U$431,'Planzahlen Rentabilität'!$K$9:$FU$9,0))</f>
        <v>138489.22538888891</v>
      </c>
      <c r="V434" s="781">
        <v>0</v>
      </c>
      <c r="W434" s="781"/>
      <c r="X434" s="780">
        <f ca="1">INDEX('Planzahlen Rentabilität'!$K$12:$FU$62,MATCH(Grafiken!$S434,'Planzahlen Rentabilität'!$A$12:$A$62,0),MATCH(Grafiken!X$431,'Planzahlen Rentabilität'!$K$9:$FU$9,0))</f>
        <v>-1.6885295861059666E-2</v>
      </c>
      <c r="Y434" s="781">
        <f ca="1">INDEX('Planzahlen Rentabilität'!$K$12:$FU$62,MATCH(Grafiken!$S434,'Planzahlen Rentabilität'!$A$12:$A$62,0),MATCH(Grafiken!Y$431,'Planzahlen Rentabilität'!$K$9:$FU$9,0))</f>
        <v>-18078.279999999992</v>
      </c>
      <c r="Z434" s="781">
        <v>0</v>
      </c>
      <c r="AA434" s="781"/>
      <c r="AB434" s="780">
        <f ca="1">INDEX('Planzahlen Rentabilität'!$K$12:$FU$62,MATCH(Grafiken!$S434,'Planzahlen Rentabilität'!$A$12:$A$62,0),MATCH(Grafiken!AB$431,'Planzahlen Rentabilität'!$K$9:$FU$9,0))</f>
        <v>-0.11393430658958388</v>
      </c>
    </row>
    <row r="435" spans="19:28" x14ac:dyDescent="0.2">
      <c r="S435" s="770">
        <v>29</v>
      </c>
      <c r="T435" s="771" t="s">
        <v>272</v>
      </c>
      <c r="U435" s="787">
        <f>U434-V435+W434</f>
        <v>138489.22538888891</v>
      </c>
      <c r="V435" s="787">
        <f>IF(INDEX('Planzahlen Rentabilität'!$K$12:$FU$62,MATCH(Grafiken!$S435,'Planzahlen Rentabilität'!$A$12:$A$62,0),MATCH(Grafiken!V$431,'Planzahlen Rentabilität'!$K$9:$FU$9,0))&lt;=0,-INDEX('Planzahlen Rentabilität'!$K$12:$FU$62,MATCH(Grafiken!$S435,'Planzahlen Rentabilität'!$A$12:$A$62,0),MATCH(Grafiken!V$431,'Planzahlen Rentabilität'!$K$9:$FU$9,0)),0)</f>
        <v>0</v>
      </c>
      <c r="W435" s="787">
        <f>IF(INDEX('Planzahlen Rentabilität'!$K$12:$FU$62,MATCH(Grafiken!$S435,'Planzahlen Rentabilität'!$A$12:$A$62,0),MATCH(Grafiken!V$431,'Planzahlen Rentabilität'!$K$9:$FU$9,0))&gt;0,INDEX('Planzahlen Rentabilität'!$K$12:$FU$62,MATCH(Grafiken!$S435,'Planzahlen Rentabilität'!$A$12:$A$62,0),MATCH(Grafiken!V$431,'Planzahlen Rentabilität'!$K$9:$FU$9,0)),0)</f>
        <v>2500</v>
      </c>
      <c r="X435" s="786">
        <f>INDEX('Planzahlen Rentabilität'!$K$12:$FU$62,MATCH(Grafiken!$S435,'Planzahlen Rentabilität'!$A$12:$A$62,0),MATCH(Grafiken!X$431,'Planzahlen Rentabilität'!$K$9:$FU$9,0))</f>
        <v>0</v>
      </c>
      <c r="Y435" s="787">
        <f ca="1">Y434-Z435+AA434</f>
        <v>-18078.279999999992</v>
      </c>
      <c r="Z435" s="787">
        <f ca="1">IF(INDEX('Planzahlen Rentabilität'!$K$12:$FU$62,MATCH(Grafiken!$S435,'Planzahlen Rentabilität'!$A$12:$A$62,0),MATCH(Grafiken!Z$431,'Planzahlen Rentabilität'!$K$9:$FU$9,0))&lt;=0,-INDEX('Planzahlen Rentabilität'!$K$12:$FU$62,MATCH(Grafiken!$S435,'Planzahlen Rentabilität'!$A$12:$A$62,0),MATCH(Grafiken!Z$431,'Planzahlen Rentabilität'!$K$9:$FU$9,0)),0)</f>
        <v>0</v>
      </c>
      <c r="AA435" s="787">
        <f ca="1">IF(INDEX('Planzahlen Rentabilität'!$K$12:$FU$62,MATCH(Grafiken!$S435,'Planzahlen Rentabilität'!$A$12:$A$62,0),MATCH(Grafiken!Z$431,'Planzahlen Rentabilität'!$K$9:$FU$9,0))&gt;0,INDEX('Planzahlen Rentabilität'!$K$12:$FU$62,MATCH(Grafiken!$S435,'Planzahlen Rentabilität'!$A$12:$A$62,0),MATCH(Grafiken!Z$431,'Planzahlen Rentabilität'!$K$9:$FU$9,0)),0)</f>
        <v>3109.6999999999994</v>
      </c>
      <c r="AB435" s="786">
        <f>INDEX('Planzahlen Rentabilität'!$K$12:$FU$62,MATCH(Grafiken!$S435,'Planzahlen Rentabilität'!$A$12:$A$62,0),MATCH(Grafiken!AB$431,'Planzahlen Rentabilität'!$K$9:$FU$9,0))</f>
        <v>0</v>
      </c>
    </row>
    <row r="436" spans="19:28" x14ac:dyDescent="0.2">
      <c r="S436" s="770">
        <v>38</v>
      </c>
      <c r="T436" s="771" t="s">
        <v>275</v>
      </c>
      <c r="U436" s="787" t="e">
        <f t="shared" ref="U436:U441" si="6">U435-V436+W435</f>
        <v>#N/A</v>
      </c>
      <c r="V436" s="787" t="e">
        <f>IF(INDEX('Planzahlen Rentabilität'!$K$12:$FU$62,MATCH(Grafiken!$S436,'Planzahlen Rentabilität'!$A$12:$A$62,0),MATCH(Grafiken!V$431,'Planzahlen Rentabilität'!$K$9:$FU$9,0))&gt;=0,INDEX('Planzahlen Rentabilität'!$K$12:$FU$62,MATCH(Grafiken!$S436,'Planzahlen Rentabilität'!$A$12:$A$62,0),MATCH(Grafiken!V$431,'Planzahlen Rentabilität'!$K$9:$FU$9,0)),0)</f>
        <v>#N/A</v>
      </c>
      <c r="W436" s="787" t="e">
        <f>IF(INDEX('Planzahlen Rentabilität'!$K$12:$FU$62,MATCH(Grafiken!$S436,'Planzahlen Rentabilität'!$A$12:$A$62,0),MATCH(Grafiken!V$431,'Planzahlen Rentabilität'!$K$9:$FU$9,0))&lt;0,-INDEX('Planzahlen Rentabilität'!$K$12:$FU$62,MATCH(Grafiken!$S436,'Planzahlen Rentabilität'!$A$12:$A$62,0),MATCH(Grafiken!V$431,'Planzahlen Rentabilität'!$K$9:$FU$9,0)),0)</f>
        <v>#N/A</v>
      </c>
      <c r="X436" s="786" t="e">
        <f>INDEX('Planzahlen Rentabilität'!$K$12:$FU$62,MATCH(Grafiken!$S436,'Planzahlen Rentabilität'!$A$12:$A$62,0),MATCH(Grafiken!X$431,'Planzahlen Rentabilität'!$K$9:$FU$9,0))</f>
        <v>#N/A</v>
      </c>
      <c r="Y436" s="787" t="e">
        <f t="shared" ref="Y436:Y441" ca="1" si="7">Y435-Z436+AA435</f>
        <v>#N/A</v>
      </c>
      <c r="Z436" s="787" t="e">
        <f>IF(INDEX('Planzahlen Rentabilität'!$K$12:$FU$62,MATCH(Grafiken!$S436,'Planzahlen Rentabilität'!$A$12:$A$62,0),MATCH(Grafiken!Z$431,'Planzahlen Rentabilität'!$K$9:$FU$9,0))&gt;=0,INDEX('Planzahlen Rentabilität'!$K$12:$FU$62,MATCH(Grafiken!$S436,'Planzahlen Rentabilität'!$A$12:$A$62,0),MATCH(Grafiken!Z$431,'Planzahlen Rentabilität'!$K$9:$FU$9,0)),0)</f>
        <v>#N/A</v>
      </c>
      <c r="AA436" s="787" t="e">
        <f>IF(INDEX('Planzahlen Rentabilität'!$K$12:$FU$62,MATCH(Grafiken!$S436,'Planzahlen Rentabilität'!$A$12:$A$62,0),MATCH(Grafiken!Z$431,'Planzahlen Rentabilität'!$K$9:$FU$9,0))&lt;0,-INDEX('Planzahlen Rentabilität'!$K$12:$FU$62,MATCH(Grafiken!$S436,'Planzahlen Rentabilität'!$A$12:$A$62,0),MATCH(Grafiken!Z$431,'Planzahlen Rentabilität'!$K$9:$FU$9,0)),0)</f>
        <v>#N/A</v>
      </c>
      <c r="AB436" s="786" t="e">
        <f>INDEX('Planzahlen Rentabilität'!$K$12:$FU$62,MATCH(Grafiken!$S436,'Planzahlen Rentabilität'!$A$12:$A$62,0),MATCH(Grafiken!AB$431,'Planzahlen Rentabilität'!$K$9:$FU$9,0))</f>
        <v>#N/A</v>
      </c>
    </row>
    <row r="437" spans="19:28" x14ac:dyDescent="0.2">
      <c r="S437" s="770">
        <v>39</v>
      </c>
      <c r="T437" s="771" t="s">
        <v>276</v>
      </c>
      <c r="U437" s="787" t="e">
        <f t="shared" si="6"/>
        <v>#N/A</v>
      </c>
      <c r="V437" s="787" t="e">
        <f>IF(INDEX('Planzahlen Rentabilität'!$K$12:$FU$62,MATCH(Grafiken!$S437,'Planzahlen Rentabilität'!$A$12:$A$62,0),MATCH(Grafiken!V$431,'Planzahlen Rentabilität'!$K$9:$FU$9,0))&lt;=0,-INDEX('Planzahlen Rentabilität'!$K$12:$FU$62,MATCH(Grafiken!$S437,'Planzahlen Rentabilität'!$A$12:$A$62,0),MATCH(Grafiken!V$431,'Planzahlen Rentabilität'!$K$9:$FU$9,0)),0)</f>
        <v>#N/A</v>
      </c>
      <c r="W437" s="787" t="e">
        <f>IF(INDEX('Planzahlen Rentabilität'!$K$12:$FU$62,MATCH(Grafiken!$S437,'Planzahlen Rentabilität'!$A$12:$A$62,0),MATCH(Grafiken!V$431,'Planzahlen Rentabilität'!$K$9:$FU$9,0))&gt;0,INDEX('Planzahlen Rentabilität'!$K$12:$FU$62,MATCH(Grafiken!$S437,'Planzahlen Rentabilität'!$A$12:$A$62,0),MATCH(Grafiken!V$431,'Planzahlen Rentabilität'!$K$9:$FU$9,0)),0)</f>
        <v>#N/A</v>
      </c>
      <c r="X437" s="786" t="e">
        <f>INDEX('Planzahlen Rentabilität'!$K$12:$FU$62,MATCH(Grafiken!$S437,'Planzahlen Rentabilität'!$A$12:$A$62,0),MATCH(Grafiken!X$431,'Planzahlen Rentabilität'!$K$9:$FU$9,0))</f>
        <v>#N/A</v>
      </c>
      <c r="Y437" s="787" t="e">
        <f t="shared" ca="1" si="7"/>
        <v>#N/A</v>
      </c>
      <c r="Z437" s="787" t="e">
        <f>IF(INDEX('Planzahlen Rentabilität'!$K$12:$FU$62,MATCH(Grafiken!$S437,'Planzahlen Rentabilität'!$A$12:$A$62,0),MATCH(Grafiken!Z$431,'Planzahlen Rentabilität'!$K$9:$FU$9,0))&lt;=0,-INDEX('Planzahlen Rentabilität'!$K$12:$FU$62,MATCH(Grafiken!$S437,'Planzahlen Rentabilität'!$A$12:$A$62,0),MATCH(Grafiken!Z$431,'Planzahlen Rentabilität'!$K$9:$FU$9,0)),0)</f>
        <v>#N/A</v>
      </c>
      <c r="AA437" s="787" t="e">
        <f>IF(INDEX('Planzahlen Rentabilität'!$K$12:$FU$62,MATCH(Grafiken!$S437,'Planzahlen Rentabilität'!$A$12:$A$62,0),MATCH(Grafiken!Z$431,'Planzahlen Rentabilität'!$K$9:$FU$9,0))&gt;0,INDEX('Planzahlen Rentabilität'!$K$12:$FU$62,MATCH(Grafiken!$S437,'Planzahlen Rentabilität'!$A$12:$A$62,0),MATCH(Grafiken!Z$431,'Planzahlen Rentabilität'!$K$9:$FU$9,0)),0)</f>
        <v>#N/A</v>
      </c>
      <c r="AB437" s="786" t="e">
        <f>INDEX('Planzahlen Rentabilität'!$K$12:$FU$62,MATCH(Grafiken!$S437,'Planzahlen Rentabilität'!$A$12:$A$62,0),MATCH(Grafiken!AB$431,'Planzahlen Rentabilität'!$K$9:$FU$9,0))</f>
        <v>#N/A</v>
      </c>
    </row>
    <row r="438" spans="19:28" x14ac:dyDescent="0.2">
      <c r="S438" s="51">
        <v>40</v>
      </c>
      <c r="T438" s="771" t="s">
        <v>277</v>
      </c>
      <c r="U438" s="787" t="e">
        <f t="shared" si="6"/>
        <v>#N/A</v>
      </c>
      <c r="V438" s="787" t="e">
        <f>IF(INDEX('Planzahlen Rentabilität'!$K$12:$FU$62,MATCH(Grafiken!$S438,'Planzahlen Rentabilität'!$A$12:$A$62,0),MATCH(Grafiken!V$431,'Planzahlen Rentabilität'!$K$9:$FU$9,0))&gt;=0,INDEX('Planzahlen Rentabilität'!$K$12:$FU$62,MATCH(Grafiken!$S438,'Planzahlen Rentabilität'!$A$12:$A$62,0),MATCH(Grafiken!V$431,'Planzahlen Rentabilität'!$K$9:$FU$9,0)),0)</f>
        <v>#N/A</v>
      </c>
      <c r="W438" s="787" t="e">
        <f>IF(INDEX('Planzahlen Rentabilität'!$K$12:$FU$62,MATCH(Grafiken!$S438,'Planzahlen Rentabilität'!$A$12:$A$62,0),MATCH(Grafiken!V$431,'Planzahlen Rentabilität'!$K$9:$FU$9,0))&lt;0,-INDEX('Planzahlen Rentabilität'!$K$12:$FU$62,MATCH(Grafiken!$S438,'Planzahlen Rentabilität'!$A$12:$A$62,0),MATCH(Grafiken!V$431,'Planzahlen Rentabilität'!$K$9:$FU$9,0)),0)</f>
        <v>#N/A</v>
      </c>
      <c r="X438" s="786" t="e">
        <f>INDEX('Planzahlen Rentabilität'!$K$12:$FU$62,MATCH(Grafiken!$S438,'Planzahlen Rentabilität'!$A$12:$A$62,0),MATCH(Grafiken!X$431,'Planzahlen Rentabilität'!$K$9:$FU$9,0))</f>
        <v>#N/A</v>
      </c>
      <c r="Y438" s="787" t="e">
        <f t="shared" ca="1" si="7"/>
        <v>#N/A</v>
      </c>
      <c r="Z438" s="787" t="e">
        <f>IF(INDEX('Planzahlen Rentabilität'!$K$12:$FU$62,MATCH(Grafiken!$S438,'Planzahlen Rentabilität'!$A$12:$A$62,0),MATCH(Grafiken!Z$431,'Planzahlen Rentabilität'!$K$9:$FU$9,0))&gt;=0,INDEX('Planzahlen Rentabilität'!$K$12:$FU$62,MATCH(Grafiken!$S438,'Planzahlen Rentabilität'!$A$12:$A$62,0),MATCH(Grafiken!Z$431,'Planzahlen Rentabilität'!$K$9:$FU$9,0)),0)</f>
        <v>#N/A</v>
      </c>
      <c r="AA438" s="787" t="e">
        <f>IF(INDEX('Planzahlen Rentabilität'!$K$12:$FU$62,MATCH(Grafiken!$S438,'Planzahlen Rentabilität'!$A$12:$A$62,0),MATCH(Grafiken!Z$431,'Planzahlen Rentabilität'!$K$9:$FU$9,0))&lt;0,-INDEX('Planzahlen Rentabilität'!$K$12:$FU$62,MATCH(Grafiken!$S438,'Planzahlen Rentabilität'!$A$12:$A$62,0),MATCH(Grafiken!Z$431,'Planzahlen Rentabilität'!$K$9:$FU$9,0)),0)</f>
        <v>#N/A</v>
      </c>
      <c r="AB438" s="786" t="e">
        <f>INDEX('Planzahlen Rentabilität'!$K$12:$FU$62,MATCH(Grafiken!$S438,'Planzahlen Rentabilität'!$A$12:$A$62,0),MATCH(Grafiken!AB$431,'Planzahlen Rentabilität'!$K$9:$FU$9,0))</f>
        <v>#N/A</v>
      </c>
    </row>
    <row r="439" spans="19:28" x14ac:dyDescent="0.2">
      <c r="S439" s="51">
        <v>41</v>
      </c>
      <c r="T439" s="771" t="s">
        <v>85</v>
      </c>
      <c r="U439" s="787" t="e">
        <f t="shared" si="6"/>
        <v>#N/A</v>
      </c>
      <c r="V439" s="787" t="e">
        <f>IF(INDEX('Planzahlen Rentabilität'!$K$12:$FU$62,MATCH(Grafiken!$S439,'Planzahlen Rentabilität'!$A$12:$A$62,0),MATCH(Grafiken!V$431,'Planzahlen Rentabilität'!$K$9:$FU$9,0))&gt;=0,INDEX('Planzahlen Rentabilität'!$K$12:$FU$62,MATCH(Grafiken!$S439,'Planzahlen Rentabilität'!$A$12:$A$62,0),MATCH(Grafiken!V$431,'Planzahlen Rentabilität'!$K$9:$FU$9,0)),0)</f>
        <v>#N/A</v>
      </c>
      <c r="W439" s="787" t="e">
        <f>IF(INDEX('Planzahlen Rentabilität'!$K$12:$FU$62,MATCH(Grafiken!$S439,'Planzahlen Rentabilität'!$A$12:$A$62,0),MATCH(Grafiken!V$431,'Planzahlen Rentabilität'!$K$9:$FU$9,0))&lt;0,-INDEX('Planzahlen Rentabilität'!$K$12:$FU$62,MATCH(Grafiken!$S439,'Planzahlen Rentabilität'!$A$12:$A$62,0),MATCH(Grafiken!V$431,'Planzahlen Rentabilität'!$K$9:$FU$9,0)),0)</f>
        <v>#N/A</v>
      </c>
      <c r="X439" s="786" t="e">
        <f>INDEX('Planzahlen Rentabilität'!$K$12:$FU$62,MATCH(Grafiken!$S439,'Planzahlen Rentabilität'!$A$12:$A$62,0),MATCH(Grafiken!X$431,'Planzahlen Rentabilität'!$K$9:$FU$9,0))</f>
        <v>#N/A</v>
      </c>
      <c r="Y439" s="787" t="e">
        <f t="shared" ca="1" si="7"/>
        <v>#N/A</v>
      </c>
      <c r="Z439" s="787" t="e">
        <f>IF(INDEX('Planzahlen Rentabilität'!$K$12:$FU$62,MATCH(Grafiken!$S439,'Planzahlen Rentabilität'!$A$12:$A$62,0),MATCH(Grafiken!Z$431,'Planzahlen Rentabilität'!$K$9:$FU$9,0))&gt;=0,INDEX('Planzahlen Rentabilität'!$K$12:$FU$62,MATCH(Grafiken!$S439,'Planzahlen Rentabilität'!$A$12:$A$62,0),MATCH(Grafiken!Z$431,'Planzahlen Rentabilität'!$K$9:$FU$9,0)),0)</f>
        <v>#N/A</v>
      </c>
      <c r="AA439" s="787" t="e">
        <f>IF(INDEX('Planzahlen Rentabilität'!$K$12:$FU$62,MATCH(Grafiken!$S439,'Planzahlen Rentabilität'!$A$12:$A$62,0),MATCH(Grafiken!Z$431,'Planzahlen Rentabilität'!$K$9:$FU$9,0))&lt;0,-INDEX('Planzahlen Rentabilität'!$K$12:$FU$62,MATCH(Grafiken!$S439,'Planzahlen Rentabilität'!$A$12:$A$62,0),MATCH(Grafiken!Z$431,'Planzahlen Rentabilität'!$K$9:$FU$9,0)),0)</f>
        <v>#N/A</v>
      </c>
      <c r="AB439" s="786" t="e">
        <f>INDEX('Planzahlen Rentabilität'!$K$12:$FU$62,MATCH(Grafiken!$S439,'Planzahlen Rentabilität'!$A$12:$A$62,0),MATCH(Grafiken!AB$431,'Planzahlen Rentabilität'!$K$9:$FU$9,0))</f>
        <v>#N/A</v>
      </c>
    </row>
    <row r="440" spans="19:28" x14ac:dyDescent="0.2">
      <c r="S440" s="51">
        <v>42</v>
      </c>
      <c r="T440" s="771" t="s">
        <v>278</v>
      </c>
      <c r="U440" s="787" t="e">
        <f t="shared" si="6"/>
        <v>#N/A</v>
      </c>
      <c r="V440" s="787" t="e">
        <f>IF(INDEX('Planzahlen Rentabilität'!$K$12:$FU$62,MATCH(Grafiken!$S440,'Planzahlen Rentabilität'!$A$12:$A$62,0),MATCH(Grafiken!V$431,'Planzahlen Rentabilität'!$K$9:$FU$9,0))&lt;0,-INDEX('Planzahlen Rentabilität'!$K$12:$FU$62,MATCH(Grafiken!$S440,'Planzahlen Rentabilität'!$A$12:$A$62,0),MATCH(Grafiken!V$431,'Planzahlen Rentabilität'!$K$9:$FU$9,0)),0)</f>
        <v>#N/A</v>
      </c>
      <c r="W440" s="787" t="e">
        <f>IF(INDEX('Planzahlen Rentabilität'!$K$12:$FU$62,MATCH(Grafiken!$S440,'Planzahlen Rentabilität'!$A$12:$A$62,0),MATCH(Grafiken!V$431,'Planzahlen Rentabilität'!$K$9:$FU$9,0))&gt;=0,INDEX('Planzahlen Rentabilität'!$K$12:$FU$62,MATCH(Grafiken!$S440,'Planzahlen Rentabilität'!$A$12:$A$62,0),MATCH(Grafiken!V$431,'Planzahlen Rentabilität'!$K$9:$FU$9,0)),0)</f>
        <v>#N/A</v>
      </c>
      <c r="X440" s="786" t="e">
        <f>INDEX('Planzahlen Rentabilität'!$K$12:$FU$62,MATCH(Grafiken!$S440,'Planzahlen Rentabilität'!$A$12:$A$62,0),MATCH(Grafiken!X$431,'Planzahlen Rentabilität'!$K$9:$FU$9,0))</f>
        <v>#N/A</v>
      </c>
      <c r="Y440" s="787" t="e">
        <f t="shared" ca="1" si="7"/>
        <v>#N/A</v>
      </c>
      <c r="Z440" s="787" t="e">
        <f>IF(INDEX('Planzahlen Rentabilität'!$K$12:$FU$62,MATCH(Grafiken!$S440,'Planzahlen Rentabilität'!$A$12:$A$62,0),MATCH(Grafiken!Z$431,'Planzahlen Rentabilität'!$K$9:$FU$9,0))&lt;0,-INDEX('Planzahlen Rentabilität'!$K$12:$FU$62,MATCH(Grafiken!$S440,'Planzahlen Rentabilität'!$A$12:$A$62,0),MATCH(Grafiken!Z$431,'Planzahlen Rentabilität'!$K$9:$FU$9,0)),0)</f>
        <v>#N/A</v>
      </c>
      <c r="AA440" s="787" t="e">
        <f>IF(INDEX('Planzahlen Rentabilität'!$K$12:$FU$62,MATCH(Grafiken!$S440,'Planzahlen Rentabilität'!$A$12:$A$62,0),MATCH(Grafiken!Z$431,'Planzahlen Rentabilität'!$K$9:$FU$9,0))&gt;=0,INDEX('Planzahlen Rentabilität'!$K$12:$FU$62,MATCH(Grafiken!$S440,'Planzahlen Rentabilität'!$A$12:$A$62,0),MATCH(Grafiken!Z$431,'Planzahlen Rentabilität'!$K$9:$FU$9,0)),0)</f>
        <v>#N/A</v>
      </c>
      <c r="AB440" s="786" t="e">
        <f>INDEX('Planzahlen Rentabilität'!$K$12:$FU$62,MATCH(Grafiken!$S440,'Planzahlen Rentabilität'!$A$12:$A$62,0),MATCH(Grafiken!AB$431,'Planzahlen Rentabilität'!$K$9:$FU$9,0))</f>
        <v>#N/A</v>
      </c>
    </row>
    <row r="441" spans="19:28" x14ac:dyDescent="0.2">
      <c r="S441" s="51">
        <v>43</v>
      </c>
      <c r="T441" s="771" t="s">
        <v>279</v>
      </c>
      <c r="U441" s="787" t="e">
        <f t="shared" si="6"/>
        <v>#N/A</v>
      </c>
      <c r="V441" s="787" t="e">
        <f>IF(INDEX('Planzahlen Rentabilität'!$K$12:$FU$62,MATCH(Grafiken!$S441,'Planzahlen Rentabilität'!$A$12:$A$62,0),MATCH(Grafiken!V$431,'Planzahlen Rentabilität'!$K$9:$FU$9,0))&gt;=0,INDEX('Planzahlen Rentabilität'!$K$12:$FU$62,MATCH(Grafiken!$S441,'Planzahlen Rentabilität'!$A$12:$A$62,0),MATCH(Grafiken!V$431,'Planzahlen Rentabilität'!$K$9:$FU$9,0)),0)</f>
        <v>#N/A</v>
      </c>
      <c r="W441" s="787" t="e">
        <f>IF(INDEX('Planzahlen Rentabilität'!$K$12:$FU$62,MATCH(Grafiken!$S441,'Planzahlen Rentabilität'!$A$12:$A$62,0),MATCH(Grafiken!V$431,'Planzahlen Rentabilität'!$K$9:$FU$9,0))&lt;0,-INDEX('Planzahlen Rentabilität'!$K$12:$FU$62,MATCH(Grafiken!$S441,'Planzahlen Rentabilität'!$A$12:$A$62,0),MATCH(Grafiken!V$431,'Planzahlen Rentabilität'!$K$9:$FU$9,0)),0)</f>
        <v>#N/A</v>
      </c>
      <c r="X441" s="786" t="e">
        <f>INDEX('Planzahlen Rentabilität'!$K$12:$FU$62,MATCH(Grafiken!$S441,'Planzahlen Rentabilität'!$A$12:$A$62,0),MATCH(Grafiken!X$431,'Planzahlen Rentabilität'!$K$9:$FU$9,0))</f>
        <v>#N/A</v>
      </c>
      <c r="Y441" s="787" t="e">
        <f t="shared" ca="1" si="7"/>
        <v>#N/A</v>
      </c>
      <c r="Z441" s="787" t="e">
        <f>IF(INDEX('Planzahlen Rentabilität'!$K$12:$FU$62,MATCH(Grafiken!$S441,'Planzahlen Rentabilität'!$A$12:$A$62,0),MATCH(Grafiken!Z$431,'Planzahlen Rentabilität'!$K$9:$FU$9,0))&gt;=0,INDEX('Planzahlen Rentabilität'!$K$12:$FU$62,MATCH(Grafiken!$S441,'Planzahlen Rentabilität'!$A$12:$A$62,0),MATCH(Grafiken!Z$431,'Planzahlen Rentabilität'!$K$9:$FU$9,0)),0)</f>
        <v>#N/A</v>
      </c>
      <c r="AA441" s="787" t="e">
        <f>IF(INDEX('Planzahlen Rentabilität'!$K$12:$FU$62,MATCH(Grafiken!$S441,'Planzahlen Rentabilität'!$A$12:$A$62,0),MATCH(Grafiken!Z$431,'Planzahlen Rentabilität'!$K$9:$FU$9,0))&lt;0,-INDEX('Planzahlen Rentabilität'!$K$12:$FU$62,MATCH(Grafiken!$S441,'Planzahlen Rentabilität'!$A$12:$A$62,0),MATCH(Grafiken!Z$431,'Planzahlen Rentabilität'!$K$9:$FU$9,0)),0)</f>
        <v>#N/A</v>
      </c>
      <c r="AB441" s="786" t="e">
        <f>INDEX('Planzahlen Rentabilität'!$K$12:$FU$62,MATCH(Grafiken!$S441,'Planzahlen Rentabilität'!$A$12:$A$62,0),MATCH(Grafiken!AB$431,'Planzahlen Rentabilität'!$K$9:$FU$9,0))</f>
        <v>#N/A</v>
      </c>
    </row>
    <row r="442" spans="19:28" x14ac:dyDescent="0.2">
      <c r="S442" s="51" t="s">
        <v>280</v>
      </c>
      <c r="T442" s="775" t="s">
        <v>281</v>
      </c>
      <c r="U442" s="781" t="e">
        <f>INDEX('Planzahlen Rentabilität'!$K$12:$FU$62,MATCH(Grafiken!$S442,'Planzahlen Rentabilität'!$A$12:$A$62,0),MATCH(Grafiken!U$431,'Planzahlen Rentabilität'!$K$9:$FU$9,0))</f>
        <v>#N/A</v>
      </c>
      <c r="V442" s="781"/>
      <c r="W442" s="781"/>
      <c r="X442" s="780" t="e">
        <f>INDEX('Planzahlen Rentabilität'!$K$12:$FU$62,MATCH(Grafiken!$S442,'Planzahlen Rentabilität'!$A$12:$A$62,0),MATCH(Grafiken!X$431,'Planzahlen Rentabilität'!$K$9:$FU$9,0))</f>
        <v>#N/A</v>
      </c>
      <c r="Y442" s="781" t="e">
        <f>INDEX('Planzahlen Rentabilität'!$K$12:$FU$62,MATCH(Grafiken!$S442,'Planzahlen Rentabilität'!$A$12:$A$62,0),MATCH(Grafiken!Y$431,'Planzahlen Rentabilität'!$K$9:$FU$9,0))</f>
        <v>#N/A</v>
      </c>
      <c r="Z442" s="781"/>
      <c r="AA442" s="781"/>
      <c r="AB442" s="780" t="e">
        <f>INDEX('Planzahlen Rentabilität'!$K$12:$FU$62,MATCH(Grafiken!$S442,'Planzahlen Rentabilität'!$A$12:$A$62,0),MATCH(Grafiken!AB$431,'Planzahlen Rentabilität'!$K$9:$FU$9,0))</f>
        <v>#N/A</v>
      </c>
    </row>
    <row r="454" spans="1:23" ht="15" x14ac:dyDescent="0.2">
      <c r="A454" s="487" t="str">
        <f>"Entwicklung der flüssigen Mittel zum "&amp;Grunddaten!$E$7&amp;" "&amp;Grunddaten!$B$5</f>
        <v>Entwicklung der flüssigen Mittel zum Oktober 2019</v>
      </c>
    </row>
    <row r="455" spans="1:23" x14ac:dyDescent="0.2">
      <c r="U455" s="769" t="str">
        <f>"I"&amp;Grunddaten!$B$7-1</f>
        <v>I9</v>
      </c>
    </row>
    <row r="456" spans="1:23" x14ac:dyDescent="0.2">
      <c r="T456" s="524" t="s">
        <v>204</v>
      </c>
      <c r="U456" s="769" t="str">
        <f>"I"&amp;Grunddaten!$B$7</f>
        <v>I10</v>
      </c>
      <c r="V456" s="1469" t="str">
        <f>"I"&amp;Grunddaten!$B$7</f>
        <v>I10</v>
      </c>
      <c r="W456" s="1469"/>
    </row>
    <row r="457" spans="1:23" x14ac:dyDescent="0.2">
      <c r="U457" s="1464" t="s">
        <v>206</v>
      </c>
      <c r="V457" s="1468"/>
      <c r="W457" s="1465"/>
    </row>
    <row r="458" spans="1:23" x14ac:dyDescent="0.2">
      <c r="U458" s="802" t="s">
        <v>206</v>
      </c>
      <c r="V458" s="802" t="s">
        <v>250</v>
      </c>
      <c r="W458" s="778" t="s">
        <v>251</v>
      </c>
    </row>
    <row r="459" spans="1:23" x14ac:dyDescent="0.2">
      <c r="S459" s="770">
        <v>0</v>
      </c>
      <c r="T459" s="775" t="s">
        <v>282</v>
      </c>
      <c r="U459" s="787" t="e">
        <f>INDEX('Planzahlen Rentabilität'!$E$12:$FU$62,MATCH(Grafiken!$S459,'Planzahlen Rentabilität'!$A$12:$A$62,0),MATCH(Grafiken!U$455,'Planzahlen Rentabilität'!$E$9:$FU$9,0))</f>
        <v>#N/A</v>
      </c>
      <c r="V459" s="802"/>
      <c r="W459" s="778"/>
    </row>
    <row r="460" spans="1:23" x14ac:dyDescent="0.2">
      <c r="S460" s="770" t="s">
        <v>273</v>
      </c>
      <c r="T460" s="771" t="s">
        <v>274</v>
      </c>
      <c r="U460" s="787" t="e">
        <f ca="1">U459-V460+W459</f>
        <v>#N/A</v>
      </c>
      <c r="V460" s="787">
        <f ca="1">IF(INDEX('Planzahlen Rentabilität'!$E$12:$FU$62,MATCH(Grafiken!$S460,'Planzahlen Rentabilität'!$A$12:$A$62,0),MATCH(Grafiken!V$456,'Planzahlen Rentabilität'!$E$9:$FU$9,0))&lt;=0,-INDEX('Planzahlen Rentabilität'!$E$12:$FU$62,MATCH(Grafiken!$S460,'Planzahlen Rentabilität'!$A$12:$A$62,0),MATCH(Grafiken!V$456,'Planzahlen Rentabilität'!$E$9:$FU$9,0)),0)</f>
        <v>0</v>
      </c>
      <c r="W460" s="787">
        <f ca="1">IF(INDEX('Planzahlen Rentabilität'!$E$12:$FU$62,MATCH(Grafiken!$S460,'Planzahlen Rentabilität'!$A$12:$A$62,0),MATCH(Grafiken!V$456,'Planzahlen Rentabilität'!$E$9:$FU$9,0))&gt;0,INDEX('Planzahlen Rentabilität'!$E$12:$FU$62,MATCH(Grafiken!$S460,'Planzahlen Rentabilität'!$A$12:$A$62,0),MATCH(Grafiken!V$456,'Planzahlen Rentabilität'!$E$9:$FU$9,0)),0)</f>
        <v>11586.37</v>
      </c>
    </row>
    <row r="461" spans="1:23" x14ac:dyDescent="0.2">
      <c r="S461" s="770">
        <v>29</v>
      </c>
      <c r="T461" s="771" t="s">
        <v>272</v>
      </c>
      <c r="U461" s="787" t="e">
        <f ca="1">U460-V461+W460</f>
        <v>#N/A</v>
      </c>
      <c r="V461" s="787">
        <f ca="1">IF(INDEX('Planzahlen Rentabilität'!$K$12:$FU$62,MATCH(Grafiken!$S461,'Planzahlen Rentabilität'!$A$12:$A$62,0),MATCH(Grafiken!V$456,'Planzahlen Rentabilität'!$K$9:$FU$9,0))&lt;=0,-INDEX('Planzahlen Rentabilität'!$K$12:$FU$62,MATCH(Grafiken!$S461,'Planzahlen Rentabilität'!$A$12:$A$62,0),MATCH(Grafiken!V$456,'Planzahlen Rentabilität'!$K$9:$FU$9,0)),0)</f>
        <v>0</v>
      </c>
      <c r="W461" s="787">
        <f ca="1">IF(INDEX('Planzahlen Rentabilität'!$K$12:$FU$62,MATCH(Grafiken!$S461,'Planzahlen Rentabilität'!$A$12:$A$62,0),MATCH(Grafiken!V$456,'Planzahlen Rentabilität'!$K$9:$FU$9,0))&gt;0,INDEX('Planzahlen Rentabilität'!$K$12:$FU$62,MATCH(Grafiken!$S461,'Planzahlen Rentabilität'!$A$12:$A$62,0),MATCH(Grafiken!V$456,'Planzahlen Rentabilität'!$K$9:$FU$9,0)),0)</f>
        <v>272.66000000000003</v>
      </c>
    </row>
    <row r="462" spans="1:23" x14ac:dyDescent="0.2">
      <c r="S462" s="770">
        <v>38</v>
      </c>
      <c r="T462" s="771" t="s">
        <v>275</v>
      </c>
      <c r="U462" s="787" t="e">
        <f t="shared" ref="U462:U470" ca="1" si="8">U461-V462+W461</f>
        <v>#N/A</v>
      </c>
      <c r="V462" s="787" t="e">
        <f>IF(INDEX('Planzahlen Rentabilität'!$K$12:$FU$62,MATCH(Grafiken!$S462,'Planzahlen Rentabilität'!$A$12:$A$62,0),MATCH(Grafiken!V$456,'Planzahlen Rentabilität'!$K$9:$FU$9,0))&gt;=0,INDEX('Planzahlen Rentabilität'!$K$12:$FU$62,MATCH(Grafiken!$S462,'Planzahlen Rentabilität'!$A$12:$A$62,0),MATCH(Grafiken!V$456,'Planzahlen Rentabilität'!$K$9:$FU$9,0)),0)</f>
        <v>#N/A</v>
      </c>
      <c r="W462" s="787" t="e">
        <f>IF(INDEX('Planzahlen Rentabilität'!$K$12:$FU$62,MATCH(Grafiken!$S462,'Planzahlen Rentabilität'!$A$12:$A$62,0),MATCH(Grafiken!V$456,'Planzahlen Rentabilität'!$K$9:$FU$9,0))&lt;0,-INDEX('Planzahlen Rentabilität'!$K$12:$FU$62,MATCH(Grafiken!$S462,'Planzahlen Rentabilität'!$A$12:$A$62,0),MATCH(Grafiken!V$456,'Planzahlen Rentabilität'!$K$9:$FU$9,0)),0)</f>
        <v>#N/A</v>
      </c>
    </row>
    <row r="463" spans="1:23" x14ac:dyDescent="0.2">
      <c r="S463" s="770">
        <v>39</v>
      </c>
      <c r="T463" s="771" t="s">
        <v>276</v>
      </c>
      <c r="U463" s="787" t="e">
        <f t="shared" ca="1" si="8"/>
        <v>#N/A</v>
      </c>
      <c r="V463" s="787" t="e">
        <f>IF(INDEX('Planzahlen Rentabilität'!$K$12:$FU$62,MATCH(Grafiken!$S463,'Planzahlen Rentabilität'!$A$12:$A$62,0),MATCH(Grafiken!V$456,'Planzahlen Rentabilität'!$K$9:$FU$9,0))&lt;=0,-INDEX('Planzahlen Rentabilität'!$K$12:$FU$62,MATCH(Grafiken!$S463,'Planzahlen Rentabilität'!$A$12:$A$62,0),MATCH(Grafiken!V$456,'Planzahlen Rentabilität'!$K$9:$FU$9,0)),0)</f>
        <v>#N/A</v>
      </c>
      <c r="W463" s="787" t="e">
        <f>IF(INDEX('Planzahlen Rentabilität'!$K$12:$FU$62,MATCH(Grafiken!$S463,'Planzahlen Rentabilität'!$A$12:$A$62,0),MATCH(Grafiken!V$456,'Planzahlen Rentabilität'!$K$9:$FU$9,0))&gt;0,INDEX('Planzahlen Rentabilität'!$K$12:$FU$62,MATCH(Grafiken!$S463,'Planzahlen Rentabilität'!$A$12:$A$62,0),MATCH(Grafiken!V$456,'Planzahlen Rentabilität'!$K$9:$FU$9,0)),0)</f>
        <v>#N/A</v>
      </c>
    </row>
    <row r="464" spans="1:23" x14ac:dyDescent="0.2">
      <c r="S464" s="51">
        <v>40</v>
      </c>
      <c r="T464" s="771" t="s">
        <v>277</v>
      </c>
      <c r="U464" s="787" t="e">
        <f t="shared" ca="1" si="8"/>
        <v>#N/A</v>
      </c>
      <c r="V464" s="787" t="e">
        <f>IF(INDEX('Planzahlen Rentabilität'!$K$12:$FU$62,MATCH(Grafiken!$S464,'Planzahlen Rentabilität'!$A$12:$A$62,0),MATCH(Grafiken!V$456,'Planzahlen Rentabilität'!$K$9:$FU$9,0))&gt;=0,INDEX('Planzahlen Rentabilität'!$K$12:$FU$62,MATCH(Grafiken!$S464,'Planzahlen Rentabilität'!$A$12:$A$62,0),MATCH(Grafiken!V$456,'Planzahlen Rentabilität'!$K$9:$FU$9,0)),0)</f>
        <v>#N/A</v>
      </c>
      <c r="W464" s="787" t="e">
        <f>IF(INDEX('Planzahlen Rentabilität'!$K$12:$FU$62,MATCH(Grafiken!$S464,'Planzahlen Rentabilität'!$A$12:$A$62,0),MATCH(Grafiken!V$456,'Planzahlen Rentabilität'!$K$9:$FU$9,0))&lt;0,-INDEX('Planzahlen Rentabilität'!$K$12:$FU$62,MATCH(Grafiken!$S464,'Planzahlen Rentabilität'!$A$12:$A$62,0),MATCH(Grafiken!V$456,'Planzahlen Rentabilität'!$K$9:$FU$9,0)),0)</f>
        <v>#N/A</v>
      </c>
    </row>
    <row r="465" spans="19:23" x14ac:dyDescent="0.2">
      <c r="S465" s="51">
        <v>41</v>
      </c>
      <c r="T465" s="771" t="s">
        <v>85</v>
      </c>
      <c r="U465" s="787" t="e">
        <f t="shared" ca="1" si="8"/>
        <v>#N/A</v>
      </c>
      <c r="V465" s="787" t="e">
        <f>IF(INDEX('Planzahlen Rentabilität'!$K$12:$FU$62,MATCH(Grafiken!$S465,'Planzahlen Rentabilität'!$A$12:$A$62,0),MATCH(Grafiken!V$456,'Planzahlen Rentabilität'!$K$9:$FU$9,0))&gt;=0,INDEX('Planzahlen Rentabilität'!$K$12:$FU$62,MATCH(Grafiken!$S465,'Planzahlen Rentabilität'!$A$12:$A$62,0),MATCH(Grafiken!V$456,'Planzahlen Rentabilität'!$K$9:$FU$9,0)),0)</f>
        <v>#N/A</v>
      </c>
      <c r="W465" s="787" t="e">
        <f>IF(INDEX('Planzahlen Rentabilität'!$K$12:$FU$62,MATCH(Grafiken!$S465,'Planzahlen Rentabilität'!$A$12:$A$62,0),MATCH(Grafiken!V$456,'Planzahlen Rentabilität'!$K$9:$FU$9,0))&lt;0,-INDEX('Planzahlen Rentabilität'!$K$12:$FU$62,MATCH(Grafiken!$S465,'Planzahlen Rentabilität'!$A$12:$A$62,0),MATCH(Grafiken!V$456,'Planzahlen Rentabilität'!$K$9:$FU$9,0)),0)</f>
        <v>#N/A</v>
      </c>
    </row>
    <row r="466" spans="19:23" x14ac:dyDescent="0.2">
      <c r="S466" s="51">
        <v>42</v>
      </c>
      <c r="T466" s="771" t="s">
        <v>278</v>
      </c>
      <c r="U466" s="787" t="e">
        <f t="shared" ca="1" si="8"/>
        <v>#N/A</v>
      </c>
      <c r="V466" s="787" t="e">
        <f>IF(INDEX('Planzahlen Rentabilität'!$K$12:$FU$62,MATCH(Grafiken!$S466,'Planzahlen Rentabilität'!$A$12:$A$62,0),MATCH(Grafiken!V$456,'Planzahlen Rentabilität'!$K$9:$FU$9,0))&lt;0,-INDEX('Planzahlen Rentabilität'!$K$12:$FU$62,MATCH(Grafiken!$S466,'Planzahlen Rentabilität'!$A$12:$A$62,0),MATCH(Grafiken!V$456,'Planzahlen Rentabilität'!$K$9:$FU$9,0)),0)</f>
        <v>#N/A</v>
      </c>
      <c r="W466" s="787" t="e">
        <f>IF(INDEX('Planzahlen Rentabilität'!$K$12:$FU$62,MATCH(Grafiken!$S466,'Planzahlen Rentabilität'!$A$12:$A$62,0),MATCH(Grafiken!V$456,'Planzahlen Rentabilität'!$K$9:$FU$9,0))&gt;=0,INDEX('Planzahlen Rentabilität'!$K$12:$FU$62,MATCH(Grafiken!$S466,'Planzahlen Rentabilität'!$A$12:$A$62,0),MATCH(Grafiken!V$456,'Planzahlen Rentabilität'!$K$9:$FU$9,0)),0)</f>
        <v>#N/A</v>
      </c>
    </row>
    <row r="467" spans="19:23" x14ac:dyDescent="0.2">
      <c r="S467" s="51">
        <v>43</v>
      </c>
      <c r="T467" s="771" t="s">
        <v>279</v>
      </c>
      <c r="U467" s="787" t="e">
        <f t="shared" ca="1" si="8"/>
        <v>#N/A</v>
      </c>
      <c r="V467" s="787" t="e">
        <f>IF(INDEX('Planzahlen Rentabilität'!$K$12:$FU$62,MATCH(Grafiken!$S467,'Planzahlen Rentabilität'!$A$12:$A$62,0),MATCH(Grafiken!V$456,'Planzahlen Rentabilität'!$K$9:$FU$9,0))&gt;=0,INDEX('Planzahlen Rentabilität'!$K$12:$FU$62,MATCH(Grafiken!$S467,'Planzahlen Rentabilität'!$A$12:$A$62,0),MATCH(Grafiken!V$456,'Planzahlen Rentabilität'!$K$9:$FU$9,0)),0)</f>
        <v>#N/A</v>
      </c>
      <c r="W467" s="787" t="e">
        <f>IF(INDEX('Planzahlen Rentabilität'!$K$12:$FU$62,MATCH(Grafiken!$S467,'Planzahlen Rentabilität'!$A$12:$A$62,0),MATCH(Grafiken!V$456,'Planzahlen Rentabilität'!$K$9:$FU$9,0))&lt;0,-INDEX('Planzahlen Rentabilität'!$K$12:$FU$62,MATCH(Grafiken!$S467,'Planzahlen Rentabilität'!$A$12:$A$62,0),MATCH(Grafiken!V$456,'Planzahlen Rentabilität'!$K$9:$FU$9,0)),0)</f>
        <v>#N/A</v>
      </c>
    </row>
    <row r="468" spans="19:23" x14ac:dyDescent="0.2">
      <c r="S468" s="51">
        <v>44</v>
      </c>
      <c r="T468" s="771" t="s">
        <v>283</v>
      </c>
      <c r="U468" s="787" t="e">
        <f t="shared" ca="1" si="8"/>
        <v>#N/A</v>
      </c>
      <c r="V468" s="787" t="e">
        <f>IF(INDEX('Planzahlen Rentabilität'!$E$12:$FU$62,MATCH(Grafiken!$S468,'Planzahlen Rentabilität'!$A$12:$A$62,0),MATCH(Grafiken!V$456,'Planzahlen Rentabilität'!$E$9:$FU$9,0))&lt;=0,-INDEX('Planzahlen Rentabilität'!$E$12:$FU$62,MATCH(Grafiken!$S468,'Planzahlen Rentabilität'!$A$12:$A$62,0),MATCH(Grafiken!V$456,'Planzahlen Rentabilität'!$E$9:$FU$9,0)),0)</f>
        <v>#N/A</v>
      </c>
      <c r="W468" s="787" t="e">
        <f>IF(INDEX('Planzahlen Rentabilität'!$E$12:$FU$62,MATCH(Grafiken!$S468,'Planzahlen Rentabilität'!$A$12:$A$62,0),MATCH(Grafiken!V$456,'Planzahlen Rentabilität'!$E$9:$FU$9,0))&gt;0,INDEX('Planzahlen Rentabilität'!$E$12:$FU$62,MATCH(Grafiken!$S468,'Planzahlen Rentabilität'!$A$12:$A$62,0),MATCH(Grafiken!V$456,'Planzahlen Rentabilität'!$E$9:$FU$9,0)),0)</f>
        <v>#N/A</v>
      </c>
    </row>
    <row r="469" spans="19:23" x14ac:dyDescent="0.2">
      <c r="S469" s="51">
        <v>45</v>
      </c>
      <c r="T469" s="771" t="s">
        <v>284</v>
      </c>
      <c r="U469" s="787" t="e">
        <f t="shared" ca="1" si="8"/>
        <v>#N/A</v>
      </c>
      <c r="V469" s="787" t="e">
        <f>IF(INDEX('Planzahlen Rentabilität'!$K$12:$FU$62,MATCH(Grafiken!$S469,'Planzahlen Rentabilität'!$A$12:$A$62,0),MATCH(Grafiken!V$456,'Planzahlen Rentabilität'!$K$9:$FU$9,0))&gt;=0,INDEX('Planzahlen Rentabilität'!$K$12:$FU$62,MATCH(Grafiken!$S469,'Planzahlen Rentabilität'!$A$12:$A$62,0),MATCH(Grafiken!V$456,'Planzahlen Rentabilität'!$K$9:$FU$9,0)),0)</f>
        <v>#N/A</v>
      </c>
      <c r="W469" s="787" t="e">
        <f>IF(INDEX('Planzahlen Rentabilität'!$K$12:$FU$62,MATCH(Grafiken!$S469,'Planzahlen Rentabilität'!$A$12:$A$62,0),MATCH(Grafiken!V$456,'Planzahlen Rentabilität'!$K$9:$FU$9,0))&lt;0,-INDEX('Planzahlen Rentabilität'!$K$12:$FU$62,MATCH(Grafiken!$S469,'Planzahlen Rentabilität'!$A$12:$A$62,0),MATCH(Grafiken!V$456,'Planzahlen Rentabilität'!$K$9:$FU$9,0)),0)</f>
        <v>#N/A</v>
      </c>
    </row>
    <row r="470" spans="19:23" x14ac:dyDescent="0.2">
      <c r="S470" s="51">
        <v>46</v>
      </c>
      <c r="T470" s="771" t="s">
        <v>285</v>
      </c>
      <c r="U470" s="787" t="e">
        <f t="shared" ca="1" si="8"/>
        <v>#N/A</v>
      </c>
      <c r="V470" s="787" t="e">
        <f>IF(INDEX('Planzahlen Rentabilität'!$E$12:$FU$62,MATCH(Grafiken!$S470,'Planzahlen Rentabilität'!$A$12:$A$62,0),MATCH(Grafiken!V$456,'Planzahlen Rentabilität'!$E$9:$FU$9,0))&lt;=0,-INDEX('Planzahlen Rentabilität'!$E$12:$FU$62,MATCH(Grafiken!$S470,'Planzahlen Rentabilität'!$A$12:$A$62,0),MATCH(Grafiken!V$456,'Planzahlen Rentabilität'!$E$9:$FU$9,0)),0)</f>
        <v>#N/A</v>
      </c>
      <c r="W470" s="787" t="e">
        <f>IF(INDEX('Planzahlen Rentabilität'!$E$12:$FU$62,MATCH(Grafiken!$S470,'Planzahlen Rentabilität'!$A$12:$A$62,0),MATCH(Grafiken!V$456,'Planzahlen Rentabilität'!$E$9:$FU$9,0))&gt;0,INDEX('Planzahlen Rentabilität'!$E$12:$FU$62,MATCH(Grafiken!$S470,'Planzahlen Rentabilität'!$A$12:$A$62,0),MATCH(Grafiken!V$456,'Planzahlen Rentabilität'!$E$9:$FU$9,0)),0)</f>
        <v>#N/A</v>
      </c>
    </row>
    <row r="471" spans="19:23" x14ac:dyDescent="0.2">
      <c r="S471" s="770">
        <v>0</v>
      </c>
      <c r="T471" s="775" t="s">
        <v>286</v>
      </c>
      <c r="U471" s="787" t="e">
        <f>INDEX('Planzahlen Rentabilität'!$E$12:$FU$62,MATCH(Grafiken!$S471,'Planzahlen Rentabilität'!$A$12:$A$62,0),MATCH(Grafiken!U$456,'Planzahlen Rentabilität'!$E$9:$FU$9,0))</f>
        <v>#N/A</v>
      </c>
      <c r="V471" s="802"/>
      <c r="W471" s="778"/>
    </row>
    <row r="472" spans="19:23" x14ac:dyDescent="0.2">
      <c r="S472" s="770"/>
      <c r="T472" s="775" t="s">
        <v>287</v>
      </c>
      <c r="U472" s="787" t="e">
        <f>U459-V472</f>
        <v>#N/A</v>
      </c>
      <c r="V472" s="810" t="e">
        <f>IF(U471-U459&lt;=0,-(U471-U459),0)</f>
        <v>#N/A</v>
      </c>
      <c r="W472" s="811" t="e">
        <f>IF(U471-U459&gt;0,U471-U459,0)</f>
        <v>#N/A</v>
      </c>
    </row>
    <row r="479" spans="19:23" x14ac:dyDescent="0.2">
      <c r="U479" s="769" t="str">
        <f>"I"&amp;Grunddaten!$B$7</f>
        <v>I10</v>
      </c>
    </row>
    <row r="480" spans="19:23" x14ac:dyDescent="0.2">
      <c r="T480" s="524" t="s">
        <v>221</v>
      </c>
      <c r="U480" s="769" t="str">
        <f>"KI"&amp;Grunddaten!$B$7</f>
        <v>KI10</v>
      </c>
      <c r="V480" s="1469" t="str">
        <f>"KI"&amp;Grunddaten!$B$7</f>
        <v>KI10</v>
      </c>
      <c r="W480" s="1469"/>
    </row>
    <row r="481" spans="19:24" x14ac:dyDescent="0.2">
      <c r="U481" s="1464" t="s">
        <v>206</v>
      </c>
      <c r="V481" s="1468"/>
      <c r="W481" s="1465"/>
      <c r="X481" s="492"/>
    </row>
    <row r="482" spans="19:24" x14ac:dyDescent="0.2">
      <c r="U482" s="802" t="s">
        <v>206</v>
      </c>
      <c r="V482" s="802" t="s">
        <v>250</v>
      </c>
      <c r="W482" s="778" t="s">
        <v>251</v>
      </c>
    </row>
    <row r="483" spans="19:24" x14ac:dyDescent="0.2">
      <c r="S483" s="770">
        <v>0</v>
      </c>
      <c r="T483" s="775" t="s">
        <v>282</v>
      </c>
      <c r="U483" s="787" t="e">
        <f>INDEX('Planzahlen Rentabilität'!$E$12:$FU$62,MATCH(Grafiken!$S483,'Planzahlen Rentabilität'!$A$12:$A$62,0),MATCH("I0",'Planzahlen Rentabilität'!$E$9:$FU$9,0))</f>
        <v>#N/A</v>
      </c>
      <c r="V483" s="802"/>
      <c r="W483" s="778"/>
    </row>
    <row r="484" spans="19:24" x14ac:dyDescent="0.2">
      <c r="S484" s="770" t="s">
        <v>273</v>
      </c>
      <c r="T484" s="771" t="s">
        <v>274</v>
      </c>
      <c r="U484" s="787" t="e">
        <f ca="1">U483-V484+W483</f>
        <v>#N/A</v>
      </c>
      <c r="V484" s="787">
        <f ca="1">IF(INDEX('Planzahlen Rentabilität'!$E$12:$FU$62,MATCH(Grafiken!$S484,'Planzahlen Rentabilität'!$A$12:$A$62,0),MATCH(Grafiken!V$480,'Planzahlen Rentabilität'!$E$9:$FU$9,0))&lt;=0,-INDEX('Planzahlen Rentabilität'!$E$12:$FU$62,MATCH(Grafiken!$S484,'Planzahlen Rentabilität'!$A$12:$A$62,0),MATCH(Grafiken!V$480,'Planzahlen Rentabilität'!$E$9:$FU$9,0)),0)</f>
        <v>18078.279999999992</v>
      </c>
      <c r="W484" s="787">
        <f ca="1">IF(INDEX('Planzahlen Rentabilität'!$E$12:$FU$62,MATCH(Grafiken!$S484,'Planzahlen Rentabilität'!$A$12:$A$62,0),MATCH(Grafiken!V$480,'Planzahlen Rentabilität'!$E$9:$FU$9,0))&gt;0,INDEX('Planzahlen Rentabilität'!$E$12:$FU$62,MATCH(Grafiken!$S484,'Planzahlen Rentabilität'!$A$12:$A$62,0),MATCH(Grafiken!V$480,'Planzahlen Rentabilität'!$E$9:$FU$9,0)),0)</f>
        <v>0</v>
      </c>
    </row>
    <row r="485" spans="19:24" x14ac:dyDescent="0.2">
      <c r="S485" s="770">
        <v>29</v>
      </c>
      <c r="T485" s="771" t="s">
        <v>272</v>
      </c>
      <c r="U485" s="787" t="e">
        <f ca="1">U484-V485+W484</f>
        <v>#N/A</v>
      </c>
      <c r="V485" s="787">
        <f ca="1">IF(INDEX('Planzahlen Rentabilität'!$K$12:$FU$62,MATCH(Grafiken!$S485,'Planzahlen Rentabilität'!$A$12:$A$62,0),MATCH(Grafiken!V$480,'Planzahlen Rentabilität'!$K$9:$FU$9,0))&lt;=0,-INDEX('Planzahlen Rentabilität'!$K$12:$FU$62,MATCH(Grafiken!$S485,'Planzahlen Rentabilität'!$A$12:$A$62,0),MATCH(Grafiken!V$480,'Planzahlen Rentabilität'!$K$9:$FU$9,0)),0)</f>
        <v>0</v>
      </c>
      <c r="W485" s="787">
        <f ca="1">IF(INDEX('Planzahlen Rentabilität'!$K$12:$FU$62,MATCH(Grafiken!$S485,'Planzahlen Rentabilität'!$A$12:$A$62,0),MATCH(Grafiken!V$480,'Planzahlen Rentabilität'!$K$9:$FU$9,0))&gt;0,INDEX('Planzahlen Rentabilität'!$K$12:$FU$62,MATCH(Grafiken!$S485,'Planzahlen Rentabilität'!$A$12:$A$62,0),MATCH(Grafiken!V$480,'Planzahlen Rentabilität'!$K$9:$FU$9,0)),0)</f>
        <v>3109.6999999999994</v>
      </c>
    </row>
    <row r="486" spans="19:24" x14ac:dyDescent="0.2">
      <c r="S486" s="770">
        <v>38</v>
      </c>
      <c r="T486" s="771" t="s">
        <v>275</v>
      </c>
      <c r="U486" s="787" t="e">
        <f t="shared" ref="U486:U494" ca="1" si="9">U485-V486+W485</f>
        <v>#N/A</v>
      </c>
      <c r="V486" s="787" t="e">
        <f>IF(INDEX('Planzahlen Rentabilität'!$K$12:$FU$62,MATCH(Grafiken!$S486,'Planzahlen Rentabilität'!$A$12:$A$62,0),MATCH(Grafiken!V$480,'Planzahlen Rentabilität'!$K$9:$FU$9,0))&gt;=0,INDEX('Planzahlen Rentabilität'!$K$12:$FU$62,MATCH(Grafiken!$S486,'Planzahlen Rentabilität'!$A$12:$A$62,0),MATCH(Grafiken!V$480,'Planzahlen Rentabilität'!$K$9:$FU$9,0)),0)</f>
        <v>#N/A</v>
      </c>
      <c r="W486" s="787" t="e">
        <f>IF(INDEX('Planzahlen Rentabilität'!$K$12:$FU$62,MATCH(Grafiken!$S486,'Planzahlen Rentabilität'!$A$12:$A$62,0),MATCH(Grafiken!V$480,'Planzahlen Rentabilität'!$K$9:$FU$9,0))&lt;0,-INDEX('Planzahlen Rentabilität'!$K$12:$FU$62,MATCH(Grafiken!$S486,'Planzahlen Rentabilität'!$A$12:$A$62,0),MATCH(Grafiken!V$480,'Planzahlen Rentabilität'!$K$9:$FU$9,0)),0)</f>
        <v>#N/A</v>
      </c>
    </row>
    <row r="487" spans="19:24" x14ac:dyDescent="0.2">
      <c r="S487" s="770">
        <v>39</v>
      </c>
      <c r="T487" s="771" t="s">
        <v>276</v>
      </c>
      <c r="U487" s="787" t="e">
        <f t="shared" ca="1" si="9"/>
        <v>#N/A</v>
      </c>
      <c r="V487" s="787" t="e">
        <f>IF(INDEX('Planzahlen Rentabilität'!$K$12:$FU$62,MATCH(Grafiken!$S487,'Planzahlen Rentabilität'!$A$12:$A$62,0),MATCH(Grafiken!V$480,'Planzahlen Rentabilität'!$K$9:$FU$9,0))&lt;=0,-INDEX('Planzahlen Rentabilität'!$K$12:$FU$62,MATCH(Grafiken!$S487,'Planzahlen Rentabilität'!$A$12:$A$62,0),MATCH(Grafiken!V$480,'Planzahlen Rentabilität'!$K$9:$FU$9,0)),0)</f>
        <v>#N/A</v>
      </c>
      <c r="W487" s="787" t="e">
        <f>IF(INDEX('Planzahlen Rentabilität'!$K$12:$FU$62,MATCH(Grafiken!$S487,'Planzahlen Rentabilität'!$A$12:$A$62,0),MATCH(Grafiken!V$480,'Planzahlen Rentabilität'!$K$9:$FU$9,0))&gt;0,INDEX('Planzahlen Rentabilität'!$K$12:$FU$62,MATCH(Grafiken!$S487,'Planzahlen Rentabilität'!$A$12:$A$62,0),MATCH(Grafiken!V$480,'Planzahlen Rentabilität'!$K$9:$FU$9,0)),0)</f>
        <v>#N/A</v>
      </c>
    </row>
    <row r="488" spans="19:24" x14ac:dyDescent="0.2">
      <c r="S488" s="51">
        <v>40</v>
      </c>
      <c r="T488" s="771" t="s">
        <v>277</v>
      </c>
      <c r="U488" s="787" t="e">
        <f t="shared" ca="1" si="9"/>
        <v>#N/A</v>
      </c>
      <c r="V488" s="787" t="e">
        <f>IF(INDEX('Planzahlen Rentabilität'!$K$12:$FU$62,MATCH(Grafiken!$S488,'Planzahlen Rentabilität'!$A$12:$A$62,0),MATCH(Grafiken!V$480,'Planzahlen Rentabilität'!$K$9:$FU$9,0))&gt;=0,INDEX('Planzahlen Rentabilität'!$K$12:$FU$62,MATCH(Grafiken!$S488,'Planzahlen Rentabilität'!$A$12:$A$62,0),MATCH(Grafiken!V$480,'Planzahlen Rentabilität'!$K$9:$FU$9,0)),0)</f>
        <v>#N/A</v>
      </c>
      <c r="W488" s="787" t="e">
        <f>IF(INDEX('Planzahlen Rentabilität'!$K$12:$FU$62,MATCH(Grafiken!$S488,'Planzahlen Rentabilität'!$A$12:$A$62,0),MATCH(Grafiken!V$480,'Planzahlen Rentabilität'!$K$9:$FU$9,0))&lt;0,-INDEX('Planzahlen Rentabilität'!$K$12:$FU$62,MATCH(Grafiken!$S488,'Planzahlen Rentabilität'!$A$12:$A$62,0),MATCH(Grafiken!V$480,'Planzahlen Rentabilität'!$K$9:$FU$9,0)),0)</f>
        <v>#N/A</v>
      </c>
    </row>
    <row r="489" spans="19:24" x14ac:dyDescent="0.2">
      <c r="S489" s="51">
        <v>41</v>
      </c>
      <c r="T489" s="771" t="s">
        <v>85</v>
      </c>
      <c r="U489" s="787" t="e">
        <f t="shared" ca="1" si="9"/>
        <v>#N/A</v>
      </c>
      <c r="V489" s="787" t="e">
        <f>IF(INDEX('Planzahlen Rentabilität'!$K$12:$FU$62,MATCH(Grafiken!$S489,'Planzahlen Rentabilität'!$A$12:$A$62,0),MATCH(Grafiken!V$480,'Planzahlen Rentabilität'!$K$9:$FU$9,0))&gt;=0,INDEX('Planzahlen Rentabilität'!$K$12:$FU$62,MATCH(Grafiken!$S489,'Planzahlen Rentabilität'!$A$12:$A$62,0),MATCH(Grafiken!V$480,'Planzahlen Rentabilität'!$K$9:$FU$9,0)),0)</f>
        <v>#N/A</v>
      </c>
      <c r="W489" s="787" t="e">
        <f>IF(INDEX('Planzahlen Rentabilität'!$K$12:$FU$62,MATCH(Grafiken!$S489,'Planzahlen Rentabilität'!$A$12:$A$62,0),MATCH(Grafiken!V$480,'Planzahlen Rentabilität'!$K$9:$FU$9,0))&lt;0,-INDEX('Planzahlen Rentabilität'!$K$12:$FU$62,MATCH(Grafiken!$S489,'Planzahlen Rentabilität'!$A$12:$A$62,0),MATCH(Grafiken!V$480,'Planzahlen Rentabilität'!$K$9:$FU$9,0)),0)</f>
        <v>#N/A</v>
      </c>
    </row>
    <row r="490" spans="19:24" x14ac:dyDescent="0.2">
      <c r="S490" s="51">
        <v>42</v>
      </c>
      <c r="T490" s="771" t="s">
        <v>278</v>
      </c>
      <c r="U490" s="787" t="e">
        <f t="shared" ca="1" si="9"/>
        <v>#N/A</v>
      </c>
      <c r="V490" s="787" t="e">
        <f>IF(INDEX('Planzahlen Rentabilität'!$K$12:$FU$62,MATCH(Grafiken!$S490,'Planzahlen Rentabilität'!$A$12:$A$62,0),MATCH(Grafiken!V$480,'Planzahlen Rentabilität'!$K$9:$FU$9,0))&lt;0,-INDEX('Planzahlen Rentabilität'!$K$12:$FU$62,MATCH(Grafiken!$S490,'Planzahlen Rentabilität'!$A$12:$A$62,0),MATCH(Grafiken!V$480,'Planzahlen Rentabilität'!$K$9:$FU$9,0)),0)</f>
        <v>#N/A</v>
      </c>
      <c r="W490" s="787" t="e">
        <f>IF(INDEX('Planzahlen Rentabilität'!$K$12:$FU$62,MATCH(Grafiken!$S490,'Planzahlen Rentabilität'!$A$12:$A$62,0),MATCH(Grafiken!V$480,'Planzahlen Rentabilität'!$K$9:$FU$9,0))&gt;=0,INDEX('Planzahlen Rentabilität'!$K$12:$FU$62,MATCH(Grafiken!$S490,'Planzahlen Rentabilität'!$A$12:$A$62,0),MATCH(Grafiken!V$480,'Planzahlen Rentabilität'!$K$9:$FU$9,0)),0)</f>
        <v>#N/A</v>
      </c>
    </row>
    <row r="491" spans="19:24" x14ac:dyDescent="0.2">
      <c r="S491" s="51">
        <v>43</v>
      </c>
      <c r="T491" s="771" t="s">
        <v>279</v>
      </c>
      <c r="U491" s="787" t="e">
        <f t="shared" ca="1" si="9"/>
        <v>#N/A</v>
      </c>
      <c r="V491" s="787" t="e">
        <f>IF(INDEX('Planzahlen Rentabilität'!$K$12:$FU$62,MATCH(Grafiken!$S491,'Planzahlen Rentabilität'!$A$12:$A$62,0),MATCH(Grafiken!V$480,'Planzahlen Rentabilität'!$K$9:$FU$9,0))&gt;=0,INDEX('Planzahlen Rentabilität'!$K$12:$FU$62,MATCH(Grafiken!$S491,'Planzahlen Rentabilität'!$A$12:$A$62,0),MATCH(Grafiken!V$480,'Planzahlen Rentabilität'!$K$9:$FU$9,0)),0)</f>
        <v>#N/A</v>
      </c>
      <c r="W491" s="787" t="e">
        <f>IF(INDEX('Planzahlen Rentabilität'!$K$12:$FU$62,MATCH(Grafiken!$S491,'Planzahlen Rentabilität'!$A$12:$A$62,0),MATCH(Grafiken!V$480,'Planzahlen Rentabilität'!$K$9:$FU$9,0))&lt;0,-INDEX('Planzahlen Rentabilität'!$K$12:$FU$62,MATCH(Grafiken!$S491,'Planzahlen Rentabilität'!$A$12:$A$62,0),MATCH(Grafiken!V$480,'Planzahlen Rentabilität'!$K$9:$FU$9,0)),0)</f>
        <v>#N/A</v>
      </c>
    </row>
    <row r="492" spans="19:24" x14ac:dyDescent="0.2">
      <c r="S492" s="51">
        <v>44</v>
      </c>
      <c r="T492" s="771" t="s">
        <v>283</v>
      </c>
      <c r="U492" s="787" t="e">
        <f t="shared" ca="1" si="9"/>
        <v>#N/A</v>
      </c>
      <c r="V492" s="787" t="e">
        <f>IF(INDEX('Planzahlen Rentabilität'!$E$12:$FU$62,MATCH(Grafiken!$S492,'Planzahlen Rentabilität'!$A$12:$A$62,0),MATCH(Grafiken!V$480,'Planzahlen Rentabilität'!$E$9:$FU$9,0))&lt;=0,-INDEX('Planzahlen Rentabilität'!$E$12:$FU$62,MATCH(Grafiken!$S492,'Planzahlen Rentabilität'!$A$12:$A$62,0),MATCH(Grafiken!V$480,'Planzahlen Rentabilität'!$E$9:$FU$9,0)),0)</f>
        <v>#N/A</v>
      </c>
      <c r="W492" s="787" t="e">
        <f>IF(INDEX('Planzahlen Rentabilität'!$E$12:$FU$62,MATCH(Grafiken!$S492,'Planzahlen Rentabilität'!$A$12:$A$62,0),MATCH(Grafiken!V$480,'Planzahlen Rentabilität'!$E$9:$FU$9,0))&gt;0,INDEX('Planzahlen Rentabilität'!$E$12:$FU$62,MATCH(Grafiken!$S492,'Planzahlen Rentabilität'!$A$12:$A$62,0),MATCH(Grafiken!V$480,'Planzahlen Rentabilität'!$E$9:$FU$9,0)),0)</f>
        <v>#N/A</v>
      </c>
    </row>
    <row r="493" spans="19:24" x14ac:dyDescent="0.2">
      <c r="S493" s="51">
        <v>45</v>
      </c>
      <c r="T493" s="771" t="s">
        <v>284</v>
      </c>
      <c r="U493" s="787" t="e">
        <f t="shared" ca="1" si="9"/>
        <v>#N/A</v>
      </c>
      <c r="V493" s="787" t="e">
        <f>IF(INDEX('Planzahlen Rentabilität'!$K$12:$FU$62,MATCH(Grafiken!$S493,'Planzahlen Rentabilität'!$A$12:$A$62,0),MATCH(Grafiken!V$480,'Planzahlen Rentabilität'!$K$9:$FU$9,0))&gt;=0,INDEX('Planzahlen Rentabilität'!$K$12:$FU$62,MATCH(Grafiken!$S493,'Planzahlen Rentabilität'!$A$12:$A$62,0),MATCH(Grafiken!V$480,'Planzahlen Rentabilität'!$K$9:$FU$9,0)),0)</f>
        <v>#N/A</v>
      </c>
      <c r="W493" s="787" t="e">
        <f>IF(INDEX('Planzahlen Rentabilität'!$K$12:$FU$62,MATCH(Grafiken!$S493,'Planzahlen Rentabilität'!$A$12:$A$62,0),MATCH(Grafiken!V$480,'Planzahlen Rentabilität'!$K$9:$FU$9,0))&lt;0,-INDEX('Planzahlen Rentabilität'!$K$12:$FU$62,MATCH(Grafiken!$S493,'Planzahlen Rentabilität'!$A$12:$A$62,0),MATCH(Grafiken!V$480,'Planzahlen Rentabilität'!$K$9:$FU$9,0)),0)</f>
        <v>#N/A</v>
      </c>
    </row>
    <row r="494" spans="19:24" x14ac:dyDescent="0.2">
      <c r="S494" s="51">
        <v>46</v>
      </c>
      <c r="T494" s="771" t="s">
        <v>285</v>
      </c>
      <c r="U494" s="787" t="e">
        <f t="shared" ca="1" si="9"/>
        <v>#N/A</v>
      </c>
      <c r="V494" s="787" t="e">
        <f>IF(INDEX('Planzahlen Rentabilität'!$E$12:$FU$62,MATCH(Grafiken!$S494,'Planzahlen Rentabilität'!$A$12:$A$62,0),MATCH(Grafiken!V$480,'Planzahlen Rentabilität'!$E$9:$FU$9,0))&lt;=0,-INDEX('Planzahlen Rentabilität'!$E$12:$FU$62,MATCH(Grafiken!$S494,'Planzahlen Rentabilität'!$A$12:$A$62,0),MATCH(Grafiken!V$480,'Planzahlen Rentabilität'!$E$9:$FU$9,0)),0)</f>
        <v>#N/A</v>
      </c>
      <c r="W494" s="787" t="e">
        <f>IF(INDEX('Planzahlen Rentabilität'!$E$12:$FU$62,MATCH(Grafiken!$S494,'Planzahlen Rentabilität'!$A$12:$A$62,0),MATCH(Grafiken!V$480,'Planzahlen Rentabilität'!$E$9:$FU$9,0))&gt;0,INDEX('Planzahlen Rentabilität'!$E$12:$FU$62,MATCH(Grafiken!$S494,'Planzahlen Rentabilität'!$A$12:$A$62,0),MATCH(Grafiken!V$480,'Planzahlen Rentabilität'!$E$9:$FU$9,0)),0)</f>
        <v>#N/A</v>
      </c>
    </row>
    <row r="495" spans="19:24" x14ac:dyDescent="0.2">
      <c r="S495" s="770">
        <v>0</v>
      </c>
      <c r="T495" s="775" t="s">
        <v>286</v>
      </c>
      <c r="U495" s="787" t="e">
        <f>INDEX('Planzahlen Rentabilität'!$E$12:$FU$62,MATCH(Grafiken!$S495,'Planzahlen Rentabilität'!$A$12:$A$62,0),MATCH(Grafiken!U$479,'Planzahlen Rentabilität'!$E$9:$FU$9,0))</f>
        <v>#N/A</v>
      </c>
      <c r="V495" s="802"/>
      <c r="W495" s="778"/>
    </row>
    <row r="496" spans="19:24" x14ac:dyDescent="0.2">
      <c r="S496" s="770"/>
      <c r="T496" s="775" t="s">
        <v>287</v>
      </c>
      <c r="U496" s="787" t="e">
        <f>U483-V496</f>
        <v>#N/A</v>
      </c>
      <c r="V496" s="810" t="e">
        <f>IF(U495-U483&lt;=0,-(U495-U483),0)</f>
        <v>#N/A</v>
      </c>
      <c r="W496" s="811" t="e">
        <f>IF(U495-U483&gt;0,U495-U483,0)</f>
        <v>#N/A</v>
      </c>
    </row>
    <row r="503" spans="1:33" ht="15" x14ac:dyDescent="0.2">
      <c r="A503" s="487" t="str">
        <f>"Jahresanalysen zum "&amp;Grunddaten!$E$7&amp;" "&amp;Grunddaten!$B$5</f>
        <v>Jahresanalysen zum Oktober 2019</v>
      </c>
    </row>
    <row r="505" spans="1:33" x14ac:dyDescent="0.2">
      <c r="V505" s="769">
        <v>1</v>
      </c>
      <c r="W505" s="769">
        <f t="shared" ref="W505:AG505" si="10">V505+1</f>
        <v>2</v>
      </c>
      <c r="X505" s="769">
        <f t="shared" si="10"/>
        <v>3</v>
      </c>
      <c r="Y505" s="769">
        <f t="shared" si="10"/>
        <v>4</v>
      </c>
      <c r="Z505" s="769">
        <f t="shared" si="10"/>
        <v>5</v>
      </c>
      <c r="AA505" s="769">
        <f t="shared" si="10"/>
        <v>6</v>
      </c>
      <c r="AB505" s="769">
        <f t="shared" si="10"/>
        <v>7</v>
      </c>
      <c r="AC505" s="769">
        <f t="shared" si="10"/>
        <v>8</v>
      </c>
      <c r="AD505" s="769">
        <f t="shared" si="10"/>
        <v>9</v>
      </c>
      <c r="AE505" s="769">
        <f t="shared" si="10"/>
        <v>10</v>
      </c>
      <c r="AF505" s="769">
        <f t="shared" si="10"/>
        <v>11</v>
      </c>
      <c r="AG505" s="769">
        <f t="shared" si="10"/>
        <v>12</v>
      </c>
    </row>
    <row r="506" spans="1:33" x14ac:dyDescent="0.2">
      <c r="U506" s="524"/>
      <c r="V506" s="769" t="str">
        <f>IF(Grunddaten!$B$7&gt;=V505,"I"&amp;V505,"")</f>
        <v>I1</v>
      </c>
      <c r="W506" s="769" t="str">
        <f>IF(Grunddaten!$B$7&gt;=W505,"I"&amp;W505,"")</f>
        <v>I2</v>
      </c>
      <c r="X506" s="769" t="str">
        <f>IF(Grunddaten!$B$7&gt;=X505,"I"&amp;X505,"")</f>
        <v>I3</v>
      </c>
      <c r="Y506" s="769" t="str">
        <f>IF(Grunddaten!$B$7&gt;=Y505,"I"&amp;Y505,"")</f>
        <v>I4</v>
      </c>
      <c r="Z506" s="769" t="str">
        <f>IF(Grunddaten!$B$7&gt;=Z505,"I"&amp;Z505,"")</f>
        <v>I5</v>
      </c>
      <c r="AA506" s="769" t="str">
        <f>IF(Grunddaten!$B$7&gt;=AA505,"I"&amp;AA505,"")</f>
        <v>I6</v>
      </c>
      <c r="AB506" s="769" t="str">
        <f>IF(Grunddaten!$B$7&gt;=AB505,"I"&amp;AB505,"")</f>
        <v>I7</v>
      </c>
      <c r="AC506" s="769" t="str">
        <f>IF(Grunddaten!$B$7&gt;=AC505,"I"&amp;AC505,"")</f>
        <v>I8</v>
      </c>
      <c r="AD506" s="769" t="str">
        <f>IF(Grunddaten!$B$7&gt;=AD505,"I"&amp;AD505,"")</f>
        <v>I9</v>
      </c>
      <c r="AE506" s="769" t="str">
        <f>IF(Grunddaten!$B$7&gt;=AE505,"I"&amp;AE505,"")</f>
        <v>I10</v>
      </c>
      <c r="AF506" s="769" t="str">
        <f>IF(Grunddaten!$B$7&gt;=AF505,"I"&amp;AF505,"")</f>
        <v/>
      </c>
      <c r="AG506" s="769" t="str">
        <f>IF(Grunddaten!$B$7&gt;=AG505,"I"&amp;AG505,"")</f>
        <v/>
      </c>
    </row>
    <row r="507" spans="1:33" x14ac:dyDescent="0.2">
      <c r="T507" s="524" t="s">
        <v>204</v>
      </c>
      <c r="V507" s="769" t="str">
        <f t="shared" ref="V507:AG507" si="11">"P"&amp;V505</f>
        <v>P1</v>
      </c>
      <c r="W507" s="769" t="str">
        <f t="shared" si="11"/>
        <v>P2</v>
      </c>
      <c r="X507" s="769" t="str">
        <f t="shared" si="11"/>
        <v>P3</v>
      </c>
      <c r="Y507" s="769" t="str">
        <f t="shared" si="11"/>
        <v>P4</v>
      </c>
      <c r="Z507" s="769" t="str">
        <f t="shared" si="11"/>
        <v>P5</v>
      </c>
      <c r="AA507" s="769" t="str">
        <f t="shared" si="11"/>
        <v>P6</v>
      </c>
      <c r="AB507" s="769" t="str">
        <f t="shared" si="11"/>
        <v>P7</v>
      </c>
      <c r="AC507" s="769" t="str">
        <f t="shared" si="11"/>
        <v>P8</v>
      </c>
      <c r="AD507" s="769" t="str">
        <f t="shared" si="11"/>
        <v>P9</v>
      </c>
      <c r="AE507" s="769" t="str">
        <f t="shared" si="11"/>
        <v>P10</v>
      </c>
      <c r="AF507" s="769" t="str">
        <f t="shared" si="11"/>
        <v>P11</v>
      </c>
      <c r="AG507" s="769" t="str">
        <f t="shared" si="11"/>
        <v>P12</v>
      </c>
    </row>
    <row r="508" spans="1:33" x14ac:dyDescent="0.2">
      <c r="V508" s="773" t="s">
        <v>38</v>
      </c>
      <c r="W508" s="773" t="s">
        <v>40</v>
      </c>
      <c r="X508" s="773" t="s">
        <v>43</v>
      </c>
      <c r="Y508" s="773" t="s">
        <v>45</v>
      </c>
      <c r="Z508" s="773" t="s">
        <v>47</v>
      </c>
      <c r="AA508" s="773" t="s">
        <v>49</v>
      </c>
      <c r="AB508" s="773" t="s">
        <v>51</v>
      </c>
      <c r="AC508" s="773" t="s">
        <v>52</v>
      </c>
      <c r="AD508" s="773" t="s">
        <v>54</v>
      </c>
      <c r="AE508" s="773" t="s">
        <v>55</v>
      </c>
      <c r="AF508" s="773" t="s">
        <v>56</v>
      </c>
      <c r="AG508" s="771" t="s">
        <v>57</v>
      </c>
    </row>
    <row r="509" spans="1:33" x14ac:dyDescent="0.2">
      <c r="S509" s="1470" t="s">
        <v>213</v>
      </c>
      <c r="T509" s="1466" t="s">
        <v>214</v>
      </c>
      <c r="U509" s="812" t="s">
        <v>205</v>
      </c>
      <c r="V509" s="781">
        <f>IF(ISERROR(INDEX('Planzahlen Rentabilität'!$K$12:$FU$29,MATCH(Grafiken!$S509,'Planzahlen Rentabilität'!$A$12:$A$29,0),MATCH(Grafiken!V$507,'Planzahlen Rentabilität'!$K$9:$FU$9,0))),0,INDEX('Planzahlen Rentabilität'!$K$12:$FU$29,MATCH(Grafiken!$S509,'Planzahlen Rentabilität'!$A$12:$A$29,0),MATCH(Grafiken!V$507,'Planzahlen Rentabilität'!$K$9:$FU$9,0)))</f>
        <v>62051.159999999996</v>
      </c>
      <c r="W509" s="781">
        <f>IF(ISERROR(INDEX('Planzahlen Rentabilität'!$K$12:$FU$29,MATCH(Grafiken!$S509,'Planzahlen Rentabilität'!$A$12:$A$29,0),MATCH(Grafiken!W$507,'Planzahlen Rentabilität'!$K$9:$FU$9,0))),0,INDEX('Planzahlen Rentabilität'!$K$12:$FU$29,MATCH(Grafiken!$S509,'Planzahlen Rentabilität'!$A$12:$A$29,0),MATCH(Grafiken!W$507,'Planzahlen Rentabilität'!$K$9:$FU$9,0)))</f>
        <v>82734.880000000005</v>
      </c>
      <c r="X509" s="781">
        <f>IF(ISERROR(INDEX('Planzahlen Rentabilität'!$K$12:$FU$29,MATCH(Grafiken!$S509,'Planzahlen Rentabilität'!$A$12:$A$29,0),MATCH(Grafiken!X$507,'Planzahlen Rentabilität'!$K$9:$FU$9,0))),0,INDEX('Planzahlen Rentabilität'!$K$12:$FU$29,MATCH(Grafiken!$S509,'Planzahlen Rentabilität'!$A$12:$A$29,0),MATCH(Grafiken!X$507,'Planzahlen Rentabilität'!$K$9:$FU$9,0)))</f>
        <v>0</v>
      </c>
      <c r="Y509" s="781">
        <f>IF(ISERROR(INDEX('Planzahlen Rentabilität'!$K$12:$FU$29,MATCH(Grafiken!$S509,'Planzahlen Rentabilität'!$A$12:$A$29,0),MATCH(Grafiken!Y$507,'Planzahlen Rentabilität'!$K$9:$FU$9,0))),0,INDEX('Planzahlen Rentabilität'!$K$12:$FU$29,MATCH(Grafiken!$S509,'Planzahlen Rentabilität'!$A$12:$A$29,0),MATCH(Grafiken!Y$507,'Planzahlen Rentabilität'!$K$9:$FU$9,0)))</f>
        <v>72393.02</v>
      </c>
      <c r="Z509" s="781">
        <f>IF(ISERROR(INDEX('Planzahlen Rentabilität'!$K$12:$FU$29,MATCH(Grafiken!$S509,'Planzahlen Rentabilität'!$A$12:$A$29,0),MATCH(Grafiken!Z$507,'Planzahlen Rentabilität'!$K$9:$FU$9,0))),0,INDEX('Planzahlen Rentabilität'!$K$12:$FU$29,MATCH(Grafiken!$S509,'Planzahlen Rentabilität'!$A$12:$A$29,0),MATCH(Grafiken!Z$507,'Planzahlen Rentabilität'!$K$9:$FU$9,0)))</f>
        <v>82734.880000000005</v>
      </c>
      <c r="AA509" s="781">
        <f>IF(ISERROR(INDEX('Planzahlen Rentabilität'!$K$12:$FU$29,MATCH(Grafiken!$S509,'Planzahlen Rentabilität'!$A$12:$A$29,0),MATCH(Grafiken!AA$507,'Planzahlen Rentabilität'!$K$9:$FU$9,0))),0,INDEX('Planzahlen Rentabilität'!$K$12:$FU$29,MATCH(Grafiken!$S509,'Planzahlen Rentabilität'!$A$12:$A$29,0),MATCH(Grafiken!AA$507,'Planzahlen Rentabilität'!$K$9:$FU$9,0)))</f>
        <v>0</v>
      </c>
      <c r="AB509" s="781">
        <f>IF(ISERROR(INDEX('Planzahlen Rentabilität'!$K$12:$FU$29,MATCH(Grafiken!$S509,'Planzahlen Rentabilität'!$A$12:$A$29,0),MATCH(Grafiken!AB$507,'Planzahlen Rentabilität'!$K$9:$FU$9,0))),0,INDEX('Planzahlen Rentabilität'!$K$12:$FU$29,MATCH(Grafiken!$S509,'Planzahlen Rentabilität'!$A$12:$A$29,0),MATCH(Grafiken!AB$507,'Planzahlen Rentabilität'!$K$9:$FU$9,0)))</f>
        <v>82734.880000000005</v>
      </c>
      <c r="AC509" s="781">
        <f>IF(ISERROR(INDEX('Planzahlen Rentabilität'!$K$12:$FU$29,MATCH(Grafiken!$S509,'Planzahlen Rentabilität'!$A$12:$A$29,0),MATCH(Grafiken!AC$507,'Planzahlen Rentabilität'!$K$9:$FU$9,0))),0,INDEX('Planzahlen Rentabilität'!$K$12:$FU$29,MATCH(Grafiken!$S509,'Planzahlen Rentabilität'!$A$12:$A$29,0),MATCH(Grafiken!AC$507,'Planzahlen Rentabilität'!$K$9:$FU$9,0)))</f>
        <v>72393.02</v>
      </c>
      <c r="AD509" s="781">
        <f>IF(ISERROR(INDEX('Planzahlen Rentabilität'!$K$12:$FU$29,MATCH(Grafiken!$S509,'Planzahlen Rentabilität'!$A$12:$A$29,0),MATCH(Grafiken!AD$507,'Planzahlen Rentabilität'!$K$9:$FU$9,0))),0,INDEX('Planzahlen Rentabilität'!$K$12:$FU$29,MATCH(Grafiken!$S509,'Planzahlen Rentabilität'!$A$12:$A$29,0),MATCH(Grafiken!AD$507,'Planzahlen Rentabilität'!$K$9:$FU$9,0)))</f>
        <v>103418.6</v>
      </c>
      <c r="AE509" s="781">
        <f>IF(ISERROR(INDEX('Planzahlen Rentabilität'!$K$12:$FU$29,MATCH(Grafiken!$S509,'Planzahlen Rentabilität'!$A$12:$A$29,0),MATCH(Grafiken!AE$507,'Planzahlen Rentabilität'!$K$9:$FU$9,0))),0,INDEX('Planzahlen Rentabilität'!$K$12:$FU$29,MATCH(Grafiken!$S509,'Planzahlen Rentabilität'!$A$12:$A$29,0),MATCH(Grafiken!AE$507,'Planzahlen Rentabilität'!$K$9:$FU$9,0)))</f>
        <v>103418.6</v>
      </c>
      <c r="AF509" s="781">
        <f>IF(ISERROR(INDEX('Planzahlen Rentabilität'!$K$12:$FU$29,MATCH(Grafiken!$S509,'Planzahlen Rentabilität'!$A$12:$A$29,0),MATCH(Grafiken!AF$507,'Planzahlen Rentabilität'!$K$9:$FU$9,0))),0,INDEX('Planzahlen Rentabilität'!$K$12:$FU$29,MATCH(Grafiken!$S509,'Planzahlen Rentabilität'!$A$12:$A$29,0),MATCH(Grafiken!AF$507,'Planzahlen Rentabilität'!$K$9:$FU$9,0)))</f>
        <v>93076.739999999991</v>
      </c>
      <c r="AG509" s="781">
        <f>IF(ISERROR(INDEX('Planzahlen Rentabilität'!$K$12:$FU$29,MATCH(Grafiken!$S509,'Planzahlen Rentabilität'!$A$12:$A$29,0),MATCH(Grafiken!AG$507,'Planzahlen Rentabilität'!$K$9:$FU$9,0))),0,INDEX('Planzahlen Rentabilität'!$K$12:$FU$29,MATCH(Grafiken!$S509,'Planzahlen Rentabilität'!$A$12:$A$29,0),MATCH(Grafiken!AG$507,'Planzahlen Rentabilität'!$K$9:$FU$9,0)))</f>
        <v>93076.739999999991</v>
      </c>
    </row>
    <row r="510" spans="1:33" x14ac:dyDescent="0.2">
      <c r="S510" s="1470"/>
      <c r="T510" s="1467"/>
      <c r="U510" s="812" t="s">
        <v>206</v>
      </c>
      <c r="V510" s="781">
        <f ca="1">IF(ISERROR(INDEX('Planzahlen Rentabilität'!$K$12:$FU$29,MATCH(Grafiken!$S509,'Planzahlen Rentabilität'!$A$12:$A$29,0),MATCH(Grafiken!V$506,'Planzahlen Rentabilität'!$K$9:$FU$9,0))),0,INDEX('Planzahlen Rentabilität'!$K$12:$FU$29,MATCH(Grafiken!$S509,'Planzahlen Rentabilität'!$A$12:$A$29,0),MATCH(Grafiken!V$506,'Planzahlen Rentabilität'!$K$9:$FU$9,0)))</f>
        <v>11191.77</v>
      </c>
      <c r="W510" s="781">
        <f ca="1">IF(ISERROR(INDEX('Planzahlen Rentabilität'!$K$12:$FU$29,MATCH(Grafiken!$S509,'Planzahlen Rentabilität'!$A$12:$A$29,0),MATCH(Grafiken!W$506,'Planzahlen Rentabilität'!$K$9:$FU$9,0))),0,INDEX('Planzahlen Rentabilität'!$K$12:$FU$29,MATCH(Grafiken!$S509,'Planzahlen Rentabilität'!$A$12:$A$29,0),MATCH(Grafiken!W$506,'Planzahlen Rentabilität'!$K$9:$FU$9,0)))</f>
        <v>11878.650000000001</v>
      </c>
      <c r="X510" s="781">
        <f ca="1">IF(ISERROR(INDEX('Planzahlen Rentabilität'!$K$12:$FU$29,MATCH(Grafiken!$S509,'Planzahlen Rentabilität'!$A$12:$A$29,0),MATCH(Grafiken!X$506,'Planzahlen Rentabilität'!$K$9:$FU$9,0))),0,INDEX('Planzahlen Rentabilität'!$K$12:$FU$29,MATCH(Grafiken!$S509,'Planzahlen Rentabilität'!$A$12:$A$29,0),MATCH(Grafiken!X$506,'Planzahlen Rentabilität'!$K$9:$FU$9,0)))</f>
        <v>320</v>
      </c>
      <c r="Y510" s="781">
        <f ca="1">IF(ISERROR(INDEX('Planzahlen Rentabilität'!$K$12:$FU$29,MATCH(Grafiken!$S509,'Planzahlen Rentabilität'!$A$12:$A$29,0),MATCH(Grafiken!Y$506,'Planzahlen Rentabilität'!$K$9:$FU$9,0))),0,INDEX('Planzahlen Rentabilität'!$K$12:$FU$29,MATCH(Grafiken!$S509,'Planzahlen Rentabilität'!$A$12:$A$29,0),MATCH(Grafiken!Y$506,'Planzahlen Rentabilität'!$K$9:$FU$9,0)))</f>
        <v>12976.21</v>
      </c>
      <c r="Z510" s="781">
        <f ca="1">IF(ISERROR(INDEX('Planzahlen Rentabilität'!$K$12:$FU$29,MATCH(Grafiken!$S509,'Planzahlen Rentabilität'!$A$12:$A$29,0),MATCH(Grafiken!Z$506,'Planzahlen Rentabilität'!$K$9:$FU$9,0))),0,INDEX('Planzahlen Rentabilität'!$K$12:$FU$29,MATCH(Grafiken!$S509,'Planzahlen Rentabilität'!$A$12:$A$29,0),MATCH(Grafiken!Z$506,'Planzahlen Rentabilität'!$K$9:$FU$9,0)))</f>
        <v>7758.1100000000006</v>
      </c>
      <c r="AA510" s="781">
        <f>IF(ISERROR(INDEX('Planzahlen Rentabilität'!$K$12:$FU$29,MATCH(Grafiken!$S509,'Planzahlen Rentabilität'!$A$12:$A$29,0),MATCH(Grafiken!AA$506,'Planzahlen Rentabilität'!$K$9:$FU$9,0))),0,INDEX('Planzahlen Rentabilität'!$K$12:$FU$29,MATCH(Grafiken!$S509,'Planzahlen Rentabilität'!$A$12:$A$29,0),MATCH(Grafiken!AA$506,'Planzahlen Rentabilität'!$K$9:$FU$9,0)))</f>
        <v>0</v>
      </c>
      <c r="AB510" s="781">
        <f ca="1">IF(ISERROR(INDEX('Planzahlen Rentabilität'!$K$12:$FU$29,MATCH(Grafiken!$S509,'Planzahlen Rentabilität'!$A$12:$A$29,0),MATCH(Grafiken!AB$506,'Planzahlen Rentabilität'!$K$9:$FU$9,0))),0,INDEX('Planzahlen Rentabilität'!$K$12:$FU$29,MATCH(Grafiken!$S509,'Planzahlen Rentabilität'!$A$12:$A$29,0),MATCH(Grafiken!AB$506,'Planzahlen Rentabilität'!$K$9:$FU$9,0)))</f>
        <v>51568.380000000005</v>
      </c>
      <c r="AC510" s="781">
        <f ca="1">IF(ISERROR(INDEX('Planzahlen Rentabilität'!$K$12:$FU$29,MATCH(Grafiken!$S509,'Planzahlen Rentabilität'!$A$12:$A$29,0),MATCH(Grafiken!AC$506,'Planzahlen Rentabilität'!$K$9:$FU$9,0))),0,INDEX('Planzahlen Rentabilität'!$K$12:$FU$29,MATCH(Grafiken!$S509,'Planzahlen Rentabilität'!$A$12:$A$29,0),MATCH(Grafiken!AC$506,'Planzahlen Rentabilität'!$K$9:$FU$9,0)))</f>
        <v>19330.71</v>
      </c>
      <c r="AD510" s="781">
        <f ca="1">IF(ISERROR(INDEX('Planzahlen Rentabilität'!$K$12:$FU$29,MATCH(Grafiken!$S509,'Planzahlen Rentabilität'!$A$12:$A$29,0),MATCH(Grafiken!AD$506,'Planzahlen Rentabilität'!$K$9:$FU$9,0))),0,INDEX('Planzahlen Rentabilität'!$K$12:$FU$29,MATCH(Grafiken!$S509,'Planzahlen Rentabilität'!$A$12:$A$29,0),MATCH(Grafiken!AD$506,'Planzahlen Rentabilität'!$K$9:$FU$9,0)))</f>
        <v>10928.890000000001</v>
      </c>
      <c r="AE510" s="781">
        <f ca="1">IF(ISERROR(INDEX('Planzahlen Rentabilität'!$K$12:$FU$29,MATCH(Grafiken!$S509,'Planzahlen Rentabilität'!$A$12:$A$29,0),MATCH(Grafiken!AE$506,'Planzahlen Rentabilität'!$K$9:$FU$9,0))),0,INDEX('Planzahlen Rentabilität'!$K$12:$FU$29,MATCH(Grafiken!$S509,'Planzahlen Rentabilität'!$A$12:$A$29,0),MATCH(Grafiken!AE$506,'Planzahlen Rentabilität'!$K$9:$FU$9,0)))</f>
        <v>32720.12</v>
      </c>
      <c r="AF510" s="781">
        <f>IF(ISERROR(INDEX('Planzahlen Rentabilität'!$K$12:$FU$29,MATCH(Grafiken!$S509,'Planzahlen Rentabilität'!$A$12:$A$29,0),MATCH(Grafiken!AF$506,'Planzahlen Rentabilität'!$K$9:$FU$9,0))),0,INDEX('Planzahlen Rentabilität'!$K$12:$FU$29,MATCH(Grafiken!$S509,'Planzahlen Rentabilität'!$A$12:$A$29,0),MATCH(Grafiken!AF$506,'Planzahlen Rentabilität'!$K$9:$FU$9,0)))</f>
        <v>0</v>
      </c>
      <c r="AG510" s="781">
        <f>IF(ISERROR(INDEX('Planzahlen Rentabilität'!$K$12:$FU$29,MATCH(Grafiken!$S509,'Planzahlen Rentabilität'!$A$12:$A$29,0),MATCH(Grafiken!AG$506,'Planzahlen Rentabilität'!$K$9:$FU$9,0))),0,INDEX('Planzahlen Rentabilität'!$K$12:$FU$29,MATCH(Grafiken!$S509,'Planzahlen Rentabilität'!$A$12:$A$29,0),MATCH(Grafiken!AG$506,'Planzahlen Rentabilität'!$K$9:$FU$9,0)))</f>
        <v>0</v>
      </c>
    </row>
    <row r="511" spans="1:33" x14ac:dyDescent="0.2">
      <c r="S511" s="51"/>
      <c r="T511" s="1462" t="s">
        <v>215</v>
      </c>
      <c r="U511" s="812" t="s">
        <v>205</v>
      </c>
      <c r="V511" s="776">
        <f t="shared" ref="V511:AG511" si="12">V509-V513</f>
        <v>204</v>
      </c>
      <c r="W511" s="776">
        <f t="shared" si="12"/>
        <v>272</v>
      </c>
      <c r="X511" s="776">
        <f t="shared" si="12"/>
        <v>0</v>
      </c>
      <c r="Y511" s="776">
        <f t="shared" si="12"/>
        <v>238</v>
      </c>
      <c r="Z511" s="776">
        <f t="shared" si="12"/>
        <v>272</v>
      </c>
      <c r="AA511" s="776">
        <f t="shared" si="12"/>
        <v>0</v>
      </c>
      <c r="AB511" s="776">
        <f t="shared" si="12"/>
        <v>272</v>
      </c>
      <c r="AC511" s="776">
        <f t="shared" si="12"/>
        <v>238</v>
      </c>
      <c r="AD511" s="776">
        <f t="shared" si="12"/>
        <v>340</v>
      </c>
      <c r="AE511" s="776">
        <f t="shared" si="12"/>
        <v>340</v>
      </c>
      <c r="AF511" s="776">
        <f t="shared" si="12"/>
        <v>306</v>
      </c>
      <c r="AG511" s="776">
        <f t="shared" si="12"/>
        <v>306</v>
      </c>
    </row>
    <row r="512" spans="1:33" x14ac:dyDescent="0.2">
      <c r="S512" s="51"/>
      <c r="T512" s="1463"/>
      <c r="U512" s="812" t="s">
        <v>206</v>
      </c>
      <c r="V512" s="776">
        <f t="shared" ref="V512:AG512" ca="1" si="13">V510-V514</f>
        <v>863.79000000000087</v>
      </c>
      <c r="W512" s="776">
        <f t="shared" ca="1" si="13"/>
        <v>1212.6200000000008</v>
      </c>
      <c r="X512" s="776">
        <f t="shared" ca="1" si="13"/>
        <v>-2000.0100000000002</v>
      </c>
      <c r="Y512" s="776">
        <f t="shared" ca="1" si="13"/>
        <v>5244.41</v>
      </c>
      <c r="Z512" s="776">
        <f t="shared" ca="1" si="13"/>
        <v>-3457.2199999999993</v>
      </c>
      <c r="AA512" s="776">
        <f t="shared" ca="1" si="13"/>
        <v>-604</v>
      </c>
      <c r="AB512" s="776">
        <f t="shared" ca="1" si="13"/>
        <v>6830.6200000000026</v>
      </c>
      <c r="AC512" s="776">
        <f t="shared" ca="1" si="13"/>
        <v>-5370.93</v>
      </c>
      <c r="AD512" s="776">
        <f t="shared" ca="1" si="13"/>
        <v>211.78000000000065</v>
      </c>
      <c r="AE512" s="776">
        <f t="shared" ca="1" si="13"/>
        <v>8011.7799999999988</v>
      </c>
      <c r="AF512" s="776">
        <f t="shared" si="13"/>
        <v>0</v>
      </c>
      <c r="AG512" s="776">
        <f t="shared" si="13"/>
        <v>0</v>
      </c>
    </row>
    <row r="513" spans="19:33" x14ac:dyDescent="0.2">
      <c r="S513" s="1470" t="s">
        <v>216</v>
      </c>
      <c r="T513" s="1466" t="s">
        <v>217</v>
      </c>
      <c r="U513" s="812" t="s">
        <v>205</v>
      </c>
      <c r="V513" s="781">
        <f>IF(ISERROR(INDEX('Planzahlen Rentabilität'!$K$12:$FU$29,MATCH(Grafiken!$S513,'Planzahlen Rentabilität'!$A$12:$A$29,0),MATCH(Grafiken!V$507,'Planzahlen Rentabilität'!$K$9:$FU$9,0))),0,INDEX('Planzahlen Rentabilität'!$K$12:$FU$29,MATCH(Grafiken!$S513,'Planzahlen Rentabilität'!$A$12:$A$29,0),MATCH(Grafiken!V$507,'Planzahlen Rentabilität'!$K$9:$FU$9,0)))</f>
        <v>61847.159999999996</v>
      </c>
      <c r="W513" s="781">
        <f>IF(ISERROR(INDEX('Planzahlen Rentabilität'!$K$12:$FU$29,MATCH(Grafiken!$S513,'Planzahlen Rentabilität'!$A$12:$A$29,0),MATCH(Grafiken!W$507,'Planzahlen Rentabilität'!$K$9:$FU$9,0))),0,INDEX('Planzahlen Rentabilität'!$K$12:$FU$29,MATCH(Grafiken!$S513,'Planzahlen Rentabilität'!$A$12:$A$29,0),MATCH(Grafiken!W$507,'Planzahlen Rentabilität'!$K$9:$FU$9,0)))</f>
        <v>82462.880000000005</v>
      </c>
      <c r="X513" s="781">
        <f>IF(ISERROR(INDEX('Planzahlen Rentabilität'!$K$12:$FU$29,MATCH(Grafiken!$S513,'Planzahlen Rentabilität'!$A$12:$A$29,0),MATCH(Grafiken!X$507,'Planzahlen Rentabilität'!$K$9:$FU$9,0))),0,INDEX('Planzahlen Rentabilität'!$K$12:$FU$29,MATCH(Grafiken!$S513,'Planzahlen Rentabilität'!$A$12:$A$29,0),MATCH(Grafiken!X$507,'Planzahlen Rentabilität'!$K$9:$FU$9,0)))</f>
        <v>0</v>
      </c>
      <c r="Y513" s="781">
        <f>IF(ISERROR(INDEX('Planzahlen Rentabilität'!$K$12:$FU$29,MATCH(Grafiken!$S513,'Planzahlen Rentabilität'!$A$12:$A$29,0),MATCH(Grafiken!Y$507,'Planzahlen Rentabilität'!$K$9:$FU$9,0))),0,INDEX('Planzahlen Rentabilität'!$K$12:$FU$29,MATCH(Grafiken!$S513,'Planzahlen Rentabilität'!$A$12:$A$29,0),MATCH(Grafiken!Y$507,'Planzahlen Rentabilität'!$K$9:$FU$9,0)))</f>
        <v>72155.02</v>
      </c>
      <c r="Z513" s="781">
        <f>IF(ISERROR(INDEX('Planzahlen Rentabilität'!$K$12:$FU$29,MATCH(Grafiken!$S513,'Planzahlen Rentabilität'!$A$12:$A$29,0),MATCH(Grafiken!Z$507,'Planzahlen Rentabilität'!$K$9:$FU$9,0))),0,INDEX('Planzahlen Rentabilität'!$K$12:$FU$29,MATCH(Grafiken!$S513,'Planzahlen Rentabilität'!$A$12:$A$29,0),MATCH(Grafiken!Z$507,'Planzahlen Rentabilität'!$K$9:$FU$9,0)))</f>
        <v>82462.880000000005</v>
      </c>
      <c r="AA513" s="781">
        <f>IF(ISERROR(INDEX('Planzahlen Rentabilität'!$K$12:$FU$29,MATCH(Grafiken!$S513,'Planzahlen Rentabilität'!$A$12:$A$29,0),MATCH(Grafiken!AA$507,'Planzahlen Rentabilität'!$K$9:$FU$9,0))),0,INDEX('Planzahlen Rentabilität'!$K$12:$FU$29,MATCH(Grafiken!$S513,'Planzahlen Rentabilität'!$A$12:$A$29,0),MATCH(Grafiken!AA$507,'Planzahlen Rentabilität'!$K$9:$FU$9,0)))</f>
        <v>0</v>
      </c>
      <c r="AB513" s="781">
        <f>IF(ISERROR(INDEX('Planzahlen Rentabilität'!$K$12:$FU$29,MATCH(Grafiken!$S513,'Planzahlen Rentabilität'!$A$12:$A$29,0),MATCH(Grafiken!AB$507,'Planzahlen Rentabilität'!$K$9:$FU$9,0))),0,INDEX('Planzahlen Rentabilität'!$K$12:$FU$29,MATCH(Grafiken!$S513,'Planzahlen Rentabilität'!$A$12:$A$29,0),MATCH(Grafiken!AB$507,'Planzahlen Rentabilität'!$K$9:$FU$9,0)))</f>
        <v>82462.880000000005</v>
      </c>
      <c r="AC513" s="781">
        <f>IF(ISERROR(INDEX('Planzahlen Rentabilität'!$K$12:$FU$29,MATCH(Grafiken!$S513,'Planzahlen Rentabilität'!$A$12:$A$29,0),MATCH(Grafiken!AC$507,'Planzahlen Rentabilität'!$K$9:$FU$9,0))),0,INDEX('Planzahlen Rentabilität'!$K$12:$FU$29,MATCH(Grafiken!$S513,'Planzahlen Rentabilität'!$A$12:$A$29,0),MATCH(Grafiken!AC$507,'Planzahlen Rentabilität'!$K$9:$FU$9,0)))</f>
        <v>72155.02</v>
      </c>
      <c r="AD513" s="781">
        <f>IF(ISERROR(INDEX('Planzahlen Rentabilität'!$K$12:$FU$29,MATCH(Grafiken!$S513,'Planzahlen Rentabilität'!$A$12:$A$29,0),MATCH(Grafiken!AD$507,'Planzahlen Rentabilität'!$K$9:$FU$9,0))),0,INDEX('Planzahlen Rentabilität'!$K$12:$FU$29,MATCH(Grafiken!$S513,'Planzahlen Rentabilität'!$A$12:$A$29,0),MATCH(Grafiken!AD$507,'Planzahlen Rentabilität'!$K$9:$FU$9,0)))</f>
        <v>103078.6</v>
      </c>
      <c r="AE513" s="781">
        <f>IF(ISERROR(INDEX('Planzahlen Rentabilität'!$K$12:$FU$29,MATCH(Grafiken!$S513,'Planzahlen Rentabilität'!$A$12:$A$29,0),MATCH(Grafiken!AE$507,'Planzahlen Rentabilität'!$K$9:$FU$9,0))),0,INDEX('Planzahlen Rentabilität'!$K$12:$FU$29,MATCH(Grafiken!$S513,'Planzahlen Rentabilität'!$A$12:$A$29,0),MATCH(Grafiken!AE$507,'Planzahlen Rentabilität'!$K$9:$FU$9,0)))</f>
        <v>103078.6</v>
      </c>
      <c r="AF513" s="781">
        <f>IF(ISERROR(INDEX('Planzahlen Rentabilität'!$K$12:$FU$29,MATCH(Grafiken!$S513,'Planzahlen Rentabilität'!$A$12:$A$29,0),MATCH(Grafiken!AF$507,'Planzahlen Rentabilität'!$K$9:$FU$9,0))),0,INDEX('Planzahlen Rentabilität'!$K$12:$FU$29,MATCH(Grafiken!$S513,'Planzahlen Rentabilität'!$A$12:$A$29,0),MATCH(Grafiken!AF$507,'Planzahlen Rentabilität'!$K$9:$FU$9,0)))</f>
        <v>92770.739999999991</v>
      </c>
      <c r="AG513" s="781">
        <f>IF(ISERROR(INDEX('Planzahlen Rentabilität'!$K$12:$FU$29,MATCH(Grafiken!$S513,'Planzahlen Rentabilität'!$A$12:$A$29,0),MATCH(Grafiken!AG$507,'Planzahlen Rentabilität'!$K$9:$FU$9,0))),0,INDEX('Planzahlen Rentabilität'!$K$12:$FU$29,MATCH(Grafiken!$S513,'Planzahlen Rentabilität'!$A$12:$A$29,0),MATCH(Grafiken!AG$507,'Planzahlen Rentabilität'!$K$9:$FU$9,0)))</f>
        <v>92770.739999999991</v>
      </c>
    </row>
    <row r="514" spans="19:33" x14ac:dyDescent="0.2">
      <c r="S514" s="1470"/>
      <c r="T514" s="1467"/>
      <c r="U514" s="812" t="s">
        <v>206</v>
      </c>
      <c r="V514" s="781">
        <f ca="1">IF(ISERROR(INDEX('Planzahlen Rentabilität'!$K$12:$FU$29,MATCH(Grafiken!$S513,'Planzahlen Rentabilität'!$A$12:$A$29,0),MATCH(Grafiken!V$506,'Planzahlen Rentabilität'!$K$9:$FU$9,0))),0,INDEX('Planzahlen Rentabilität'!$K$12:$FU$29,MATCH(Grafiken!$S513,'Planzahlen Rentabilität'!$A$12:$A$29,0),MATCH(Grafiken!V$506,'Planzahlen Rentabilität'!$K$9:$FU$9,0)))</f>
        <v>10327.98</v>
      </c>
      <c r="W514" s="781">
        <f ca="1">IF(ISERROR(INDEX('Planzahlen Rentabilität'!$K$12:$FU$29,MATCH(Grafiken!$S513,'Planzahlen Rentabilität'!$A$12:$A$29,0),MATCH(Grafiken!W$506,'Planzahlen Rentabilität'!$K$9:$FU$9,0))),0,INDEX('Planzahlen Rentabilität'!$K$12:$FU$29,MATCH(Grafiken!$S513,'Planzahlen Rentabilität'!$A$12:$A$29,0),MATCH(Grafiken!W$506,'Planzahlen Rentabilität'!$K$9:$FU$9,0)))</f>
        <v>10666.03</v>
      </c>
      <c r="X514" s="781">
        <f ca="1">IF(ISERROR(INDEX('Planzahlen Rentabilität'!$K$12:$FU$29,MATCH(Grafiken!$S513,'Planzahlen Rentabilität'!$A$12:$A$29,0),MATCH(Grafiken!X$506,'Planzahlen Rentabilität'!$K$9:$FU$9,0))),0,INDEX('Planzahlen Rentabilität'!$K$12:$FU$29,MATCH(Grafiken!$S513,'Planzahlen Rentabilität'!$A$12:$A$29,0),MATCH(Grafiken!X$506,'Planzahlen Rentabilität'!$K$9:$FU$9,0)))</f>
        <v>2320.0100000000002</v>
      </c>
      <c r="Y514" s="781">
        <f ca="1">IF(ISERROR(INDEX('Planzahlen Rentabilität'!$K$12:$FU$29,MATCH(Grafiken!$S513,'Planzahlen Rentabilität'!$A$12:$A$29,0),MATCH(Grafiken!Y$506,'Planzahlen Rentabilität'!$K$9:$FU$9,0))),0,INDEX('Planzahlen Rentabilität'!$K$12:$FU$29,MATCH(Grafiken!$S513,'Planzahlen Rentabilität'!$A$12:$A$29,0),MATCH(Grafiken!Y$506,'Planzahlen Rentabilität'!$K$9:$FU$9,0)))</f>
        <v>7731.7999999999993</v>
      </c>
      <c r="Z514" s="781">
        <f ca="1">IF(ISERROR(INDEX('Planzahlen Rentabilität'!$K$12:$FU$29,MATCH(Grafiken!$S513,'Planzahlen Rentabilität'!$A$12:$A$29,0),MATCH(Grafiken!Z$506,'Planzahlen Rentabilität'!$K$9:$FU$9,0))),0,INDEX('Planzahlen Rentabilität'!$K$12:$FU$29,MATCH(Grafiken!$S513,'Planzahlen Rentabilität'!$A$12:$A$29,0),MATCH(Grafiken!Z$506,'Planzahlen Rentabilität'!$K$9:$FU$9,0)))</f>
        <v>11215.33</v>
      </c>
      <c r="AA514" s="781">
        <f ca="1">IF(ISERROR(INDEX('Planzahlen Rentabilität'!$K$12:$FU$29,MATCH(Grafiken!$S513,'Planzahlen Rentabilität'!$A$12:$A$29,0),MATCH(Grafiken!AA$506,'Planzahlen Rentabilität'!$K$9:$FU$9,0))),0,INDEX('Planzahlen Rentabilität'!$K$12:$FU$29,MATCH(Grafiken!$S513,'Planzahlen Rentabilität'!$A$12:$A$29,0),MATCH(Grafiken!AA$506,'Planzahlen Rentabilität'!$K$9:$FU$9,0)))</f>
        <v>604</v>
      </c>
      <c r="AB514" s="781">
        <f ca="1">IF(ISERROR(INDEX('Planzahlen Rentabilität'!$K$12:$FU$29,MATCH(Grafiken!$S513,'Planzahlen Rentabilität'!$A$12:$A$29,0),MATCH(Grafiken!AB$506,'Planzahlen Rentabilität'!$K$9:$FU$9,0))),0,INDEX('Planzahlen Rentabilität'!$K$12:$FU$29,MATCH(Grafiken!$S513,'Planzahlen Rentabilität'!$A$12:$A$29,0),MATCH(Grafiken!AB$506,'Planzahlen Rentabilität'!$K$9:$FU$9,0)))</f>
        <v>44737.760000000002</v>
      </c>
      <c r="AC514" s="781">
        <f ca="1">IF(ISERROR(INDEX('Planzahlen Rentabilität'!$K$12:$FU$29,MATCH(Grafiken!$S513,'Planzahlen Rentabilität'!$A$12:$A$29,0),MATCH(Grafiken!AC$506,'Planzahlen Rentabilität'!$K$9:$FU$9,0))),0,INDEX('Planzahlen Rentabilität'!$K$12:$FU$29,MATCH(Grafiken!$S513,'Planzahlen Rentabilität'!$A$12:$A$29,0),MATCH(Grafiken!AC$506,'Planzahlen Rentabilität'!$K$9:$FU$9,0)))</f>
        <v>24701.64</v>
      </c>
      <c r="AD514" s="781">
        <f ca="1">IF(ISERROR(INDEX('Planzahlen Rentabilität'!$K$12:$FU$29,MATCH(Grafiken!$S513,'Planzahlen Rentabilität'!$A$12:$A$29,0),MATCH(Grafiken!AD$506,'Planzahlen Rentabilität'!$K$9:$FU$9,0))),0,INDEX('Planzahlen Rentabilität'!$K$12:$FU$29,MATCH(Grafiken!$S513,'Planzahlen Rentabilität'!$A$12:$A$29,0),MATCH(Grafiken!AD$506,'Planzahlen Rentabilität'!$K$9:$FU$9,0)))</f>
        <v>10717.11</v>
      </c>
      <c r="AE514" s="781">
        <f ca="1">IF(ISERROR(INDEX('Planzahlen Rentabilität'!$K$12:$FU$29,MATCH(Grafiken!$S513,'Planzahlen Rentabilität'!$A$12:$A$29,0),MATCH(Grafiken!AE$506,'Planzahlen Rentabilität'!$K$9:$FU$9,0))),0,INDEX('Planzahlen Rentabilität'!$K$12:$FU$29,MATCH(Grafiken!$S513,'Planzahlen Rentabilität'!$A$12:$A$29,0),MATCH(Grafiken!AE$506,'Planzahlen Rentabilität'!$K$9:$FU$9,0)))</f>
        <v>24708.34</v>
      </c>
      <c r="AF514" s="781">
        <f>IF(ISERROR(INDEX('Planzahlen Rentabilität'!$K$12:$FU$29,MATCH(Grafiken!$S513,'Planzahlen Rentabilität'!$A$12:$A$29,0),MATCH(Grafiken!AF$506,'Planzahlen Rentabilität'!$K$9:$FU$9,0))),0,INDEX('Planzahlen Rentabilität'!$K$12:$FU$29,MATCH(Grafiken!$S513,'Planzahlen Rentabilität'!$A$12:$A$29,0),MATCH(Grafiken!AF$506,'Planzahlen Rentabilität'!$K$9:$FU$9,0)))</f>
        <v>0</v>
      </c>
      <c r="AG514" s="781">
        <f>IF(ISERROR(INDEX('Planzahlen Rentabilität'!$K$12:$FU$29,MATCH(Grafiken!$S513,'Planzahlen Rentabilität'!$A$12:$A$29,0),MATCH(Grafiken!AG$506,'Planzahlen Rentabilität'!$K$9:$FU$9,0))),0,INDEX('Planzahlen Rentabilität'!$K$12:$FU$29,MATCH(Grafiken!$S513,'Planzahlen Rentabilität'!$A$12:$A$29,0),MATCH(Grafiken!AG$506,'Planzahlen Rentabilität'!$K$9:$FU$9,0)))</f>
        <v>0</v>
      </c>
    </row>
    <row r="515" spans="19:33" x14ac:dyDescent="0.2">
      <c r="S515" s="770"/>
      <c r="T515" s="1462" t="s">
        <v>218</v>
      </c>
      <c r="U515" s="812" t="s">
        <v>205</v>
      </c>
      <c r="V515" s="776">
        <f t="shared" ref="V515:AG515" si="14">V513-V517</f>
        <v>63695.419444444444</v>
      </c>
      <c r="W515" s="776">
        <f t="shared" si="14"/>
        <v>63695.419444444444</v>
      </c>
      <c r="X515" s="776">
        <f t="shared" si="14"/>
        <v>0</v>
      </c>
      <c r="Y515" s="776">
        <f t="shared" si="14"/>
        <v>63695.419444444444</v>
      </c>
      <c r="Z515" s="776">
        <f t="shared" si="14"/>
        <v>67534.481944444444</v>
      </c>
      <c r="AA515" s="776">
        <f t="shared" si="14"/>
        <v>0</v>
      </c>
      <c r="AB515" s="776">
        <f t="shared" si="14"/>
        <v>58798.481944444444</v>
      </c>
      <c r="AC515" s="776">
        <f t="shared" si="14"/>
        <v>61672.881944444445</v>
      </c>
      <c r="AD515" s="776">
        <f t="shared" si="14"/>
        <v>61672.881944444445</v>
      </c>
      <c r="AE515" s="776">
        <f t="shared" si="14"/>
        <v>61672.881944444445</v>
      </c>
      <c r="AF515" s="776">
        <f t="shared" si="14"/>
        <v>61672.881944444445</v>
      </c>
      <c r="AG515" s="776">
        <f t="shared" si="14"/>
        <v>61672.881944444445</v>
      </c>
    </row>
    <row r="516" spans="19:33" x14ac:dyDescent="0.2">
      <c r="S516" s="770"/>
      <c r="T516" s="1463"/>
      <c r="U516" s="812" t="s">
        <v>206</v>
      </c>
      <c r="V516" s="776">
        <f t="shared" ref="V516:AG516" ca="1" si="15">V514-V518</f>
        <v>16736.91</v>
      </c>
      <c r="W516" s="776">
        <f t="shared" ca="1" si="15"/>
        <v>16707.68</v>
      </c>
      <c r="X516" s="776">
        <f t="shared" ca="1" si="15"/>
        <v>500.02</v>
      </c>
      <c r="Y516" s="776">
        <f t="shared" ca="1" si="15"/>
        <v>17859.550000000003</v>
      </c>
      <c r="Z516" s="776">
        <f t="shared" ca="1" si="15"/>
        <v>16386.12</v>
      </c>
      <c r="AA516" s="776">
        <f t="shared" ca="1" si="15"/>
        <v>106.37</v>
      </c>
      <c r="AB516" s="776">
        <f t="shared" ca="1" si="15"/>
        <v>18197.36</v>
      </c>
      <c r="AC516" s="776">
        <f t="shared" ca="1" si="15"/>
        <v>14484.689999999999</v>
      </c>
      <c r="AD516" s="776">
        <f t="shared" ca="1" si="15"/>
        <v>15727.039999999999</v>
      </c>
      <c r="AE516" s="776">
        <f t="shared" ca="1" si="15"/>
        <v>15782.21</v>
      </c>
      <c r="AF516" s="776">
        <f t="shared" si="15"/>
        <v>0</v>
      </c>
      <c r="AG516" s="776">
        <f t="shared" si="15"/>
        <v>0</v>
      </c>
    </row>
    <row r="517" spans="19:33" x14ac:dyDescent="0.2">
      <c r="S517" s="1470" t="s">
        <v>219</v>
      </c>
      <c r="T517" s="1466" t="s">
        <v>220</v>
      </c>
      <c r="U517" s="812" t="s">
        <v>205</v>
      </c>
      <c r="V517" s="781">
        <f>IF(ISERROR(INDEX('Planzahlen Rentabilität'!$K$12:$FU$29,MATCH(Grafiken!$S517,'Planzahlen Rentabilität'!$A$12:$A$29,0),MATCH(Grafiken!V$507,'Planzahlen Rentabilität'!$K$9:$FU$9,0))),0,INDEX('Planzahlen Rentabilität'!$K$12:$FU$29,MATCH(Grafiken!$S517,'Planzahlen Rentabilität'!$A$12:$A$29,0),MATCH(Grafiken!V$507,'Planzahlen Rentabilität'!$K$9:$FU$9,0)))</f>
        <v>-1848.2594444444476</v>
      </c>
      <c r="W517" s="781">
        <f>IF(ISERROR(INDEX('Planzahlen Rentabilität'!$K$12:$FU$29,MATCH(Grafiken!$S517,'Planzahlen Rentabilität'!$A$12:$A$29,0),MATCH(Grafiken!W$507,'Planzahlen Rentabilität'!$K$9:$FU$9,0))),0,INDEX('Planzahlen Rentabilität'!$K$12:$FU$29,MATCH(Grafiken!$S517,'Planzahlen Rentabilität'!$A$12:$A$29,0),MATCH(Grafiken!W$507,'Planzahlen Rentabilität'!$K$9:$FU$9,0)))</f>
        <v>18767.460555555561</v>
      </c>
      <c r="X517" s="781">
        <f>IF(ISERROR(INDEX('Planzahlen Rentabilität'!$K$12:$FU$29,MATCH(Grafiken!$S517,'Planzahlen Rentabilität'!$A$12:$A$29,0),MATCH(Grafiken!X$507,'Planzahlen Rentabilität'!$K$9:$FU$9,0))),0,INDEX('Planzahlen Rentabilität'!$K$12:$FU$29,MATCH(Grafiken!$S517,'Planzahlen Rentabilität'!$A$12:$A$29,0),MATCH(Grafiken!X$507,'Planzahlen Rentabilität'!$K$9:$FU$9,0)))</f>
        <v>0</v>
      </c>
      <c r="Y517" s="781">
        <f>IF(ISERROR(INDEX('Planzahlen Rentabilität'!$K$12:$FU$29,MATCH(Grafiken!$S517,'Planzahlen Rentabilität'!$A$12:$A$29,0),MATCH(Grafiken!Y$507,'Planzahlen Rentabilität'!$K$9:$FU$9,0))),0,INDEX('Planzahlen Rentabilität'!$K$12:$FU$29,MATCH(Grafiken!$S517,'Planzahlen Rentabilität'!$A$12:$A$29,0),MATCH(Grafiken!Y$507,'Planzahlen Rentabilität'!$K$9:$FU$9,0)))</f>
        <v>8459.6005555555603</v>
      </c>
      <c r="Z517" s="781">
        <f>IF(ISERROR(INDEX('Planzahlen Rentabilität'!$K$12:$FU$29,MATCH(Grafiken!$S517,'Planzahlen Rentabilität'!$A$12:$A$29,0),MATCH(Grafiken!Z$507,'Planzahlen Rentabilität'!$K$9:$FU$9,0))),0,INDEX('Planzahlen Rentabilität'!$K$12:$FU$29,MATCH(Grafiken!$S517,'Planzahlen Rentabilität'!$A$12:$A$29,0),MATCH(Grafiken!Z$507,'Planzahlen Rentabilität'!$K$9:$FU$9,0)))</f>
        <v>14928.398055555561</v>
      </c>
      <c r="AA517" s="781">
        <f>IF(ISERROR(INDEX('Planzahlen Rentabilität'!$K$12:$FU$29,MATCH(Grafiken!$S517,'Planzahlen Rentabilität'!$A$12:$A$29,0),MATCH(Grafiken!AA$507,'Planzahlen Rentabilität'!$K$9:$FU$9,0))),0,INDEX('Planzahlen Rentabilität'!$K$12:$FU$29,MATCH(Grafiken!$S517,'Planzahlen Rentabilität'!$A$12:$A$29,0),MATCH(Grafiken!AA$507,'Planzahlen Rentabilität'!$K$9:$FU$9,0)))</f>
        <v>0</v>
      </c>
      <c r="AB517" s="781">
        <f>IF(ISERROR(INDEX('Planzahlen Rentabilität'!$K$12:$FU$29,MATCH(Grafiken!$S517,'Planzahlen Rentabilität'!$A$12:$A$29,0),MATCH(Grafiken!AB$507,'Planzahlen Rentabilität'!$K$9:$FU$9,0))),0,INDEX('Planzahlen Rentabilität'!$K$12:$FU$29,MATCH(Grafiken!$S517,'Planzahlen Rentabilität'!$A$12:$A$29,0),MATCH(Grafiken!AB$507,'Planzahlen Rentabilität'!$K$9:$FU$9,0)))</f>
        <v>23664.398055555561</v>
      </c>
      <c r="AC517" s="781">
        <f>IF(ISERROR(INDEX('Planzahlen Rentabilität'!$K$12:$FU$29,MATCH(Grafiken!$S517,'Planzahlen Rentabilität'!$A$12:$A$29,0),MATCH(Grafiken!AC$507,'Planzahlen Rentabilität'!$K$9:$FU$9,0))),0,INDEX('Planzahlen Rentabilität'!$K$12:$FU$29,MATCH(Grafiken!$S517,'Planzahlen Rentabilität'!$A$12:$A$29,0),MATCH(Grafiken!AC$507,'Planzahlen Rentabilität'!$K$9:$FU$9,0)))</f>
        <v>10482.138055555559</v>
      </c>
      <c r="AD517" s="781">
        <f>IF(ISERROR(INDEX('Planzahlen Rentabilität'!$K$12:$FU$29,MATCH(Grafiken!$S517,'Planzahlen Rentabilität'!$A$12:$A$29,0),MATCH(Grafiken!AD$507,'Planzahlen Rentabilität'!$K$9:$FU$9,0))),0,INDEX('Planzahlen Rentabilität'!$K$12:$FU$29,MATCH(Grafiken!$S517,'Planzahlen Rentabilität'!$A$12:$A$29,0),MATCH(Grafiken!AD$507,'Planzahlen Rentabilität'!$K$9:$FU$9,0)))</f>
        <v>41405.718055555561</v>
      </c>
      <c r="AE517" s="781">
        <f>IF(ISERROR(INDEX('Planzahlen Rentabilität'!$K$12:$FU$29,MATCH(Grafiken!$S517,'Planzahlen Rentabilität'!$A$12:$A$29,0),MATCH(Grafiken!AE$507,'Planzahlen Rentabilität'!$K$9:$FU$9,0))),0,INDEX('Planzahlen Rentabilität'!$K$12:$FU$29,MATCH(Grafiken!$S517,'Planzahlen Rentabilität'!$A$12:$A$29,0),MATCH(Grafiken!AE$507,'Planzahlen Rentabilität'!$K$9:$FU$9,0)))</f>
        <v>41405.718055555561</v>
      </c>
      <c r="AF517" s="781">
        <f>IF(ISERROR(INDEX('Planzahlen Rentabilität'!$K$12:$FU$29,MATCH(Grafiken!$S517,'Planzahlen Rentabilität'!$A$12:$A$29,0),MATCH(Grafiken!AF$507,'Planzahlen Rentabilität'!$K$9:$FU$9,0))),0,INDEX('Planzahlen Rentabilität'!$K$12:$FU$29,MATCH(Grafiken!$S517,'Planzahlen Rentabilität'!$A$12:$A$29,0),MATCH(Grafiken!AF$507,'Planzahlen Rentabilität'!$K$9:$FU$9,0)))</f>
        <v>31097.858055555545</v>
      </c>
      <c r="AG517" s="781">
        <f>IF(ISERROR(INDEX('Planzahlen Rentabilität'!$K$12:$FU$29,MATCH(Grafiken!$S517,'Planzahlen Rentabilität'!$A$12:$A$29,0),MATCH(Grafiken!AG$507,'Planzahlen Rentabilität'!$K$9:$FU$9,0))),0,INDEX('Planzahlen Rentabilität'!$K$12:$FU$29,MATCH(Grafiken!$S517,'Planzahlen Rentabilität'!$A$12:$A$29,0),MATCH(Grafiken!AG$507,'Planzahlen Rentabilität'!$K$9:$FU$9,0)))</f>
        <v>31097.858055555545</v>
      </c>
    </row>
    <row r="518" spans="19:33" x14ac:dyDescent="0.2">
      <c r="S518" s="1470"/>
      <c r="T518" s="1467"/>
      <c r="U518" s="812" t="s">
        <v>206</v>
      </c>
      <c r="V518" s="781">
        <f ca="1">IF(ISERROR(INDEX('Planzahlen Rentabilität'!$K$12:$FU$29,MATCH(Grafiken!$S517,'Planzahlen Rentabilität'!$A$12:$A$29,0),MATCH(Grafiken!V$506,'Planzahlen Rentabilität'!$K$9:$FU$9,0))),0,INDEX('Planzahlen Rentabilität'!$K$12:$FU$29,MATCH(Grafiken!$S517,'Planzahlen Rentabilität'!$A$12:$A$29,0),MATCH(Grafiken!V$506,'Planzahlen Rentabilität'!$K$9:$FU$9,0)))</f>
        <v>-6408.93</v>
      </c>
      <c r="W518" s="781">
        <f ca="1">IF(ISERROR(INDEX('Planzahlen Rentabilität'!$K$12:$FU$29,MATCH(Grafiken!$S517,'Planzahlen Rentabilität'!$A$12:$A$29,0),MATCH(Grafiken!W$506,'Planzahlen Rentabilität'!$K$9:$FU$9,0))),0,INDEX('Planzahlen Rentabilität'!$K$12:$FU$29,MATCH(Grafiken!$S517,'Planzahlen Rentabilität'!$A$12:$A$29,0),MATCH(Grafiken!W$506,'Planzahlen Rentabilität'!$K$9:$FU$9,0)))</f>
        <v>-6041.65</v>
      </c>
      <c r="X518" s="781">
        <f ca="1">IF(ISERROR(INDEX('Planzahlen Rentabilität'!$K$12:$FU$29,MATCH(Grafiken!$S517,'Planzahlen Rentabilität'!$A$12:$A$29,0),MATCH(Grafiken!X$506,'Planzahlen Rentabilität'!$K$9:$FU$9,0))),0,INDEX('Planzahlen Rentabilität'!$K$12:$FU$29,MATCH(Grafiken!$S517,'Planzahlen Rentabilität'!$A$12:$A$29,0),MATCH(Grafiken!X$506,'Planzahlen Rentabilität'!$K$9:$FU$9,0)))</f>
        <v>1819.9900000000002</v>
      </c>
      <c r="Y518" s="781">
        <f ca="1">IF(ISERROR(INDEX('Planzahlen Rentabilität'!$K$12:$FU$29,MATCH(Grafiken!$S517,'Planzahlen Rentabilität'!$A$12:$A$29,0),MATCH(Grafiken!Y$506,'Planzahlen Rentabilität'!$K$9:$FU$9,0))),0,INDEX('Planzahlen Rentabilität'!$K$12:$FU$29,MATCH(Grafiken!$S517,'Planzahlen Rentabilität'!$A$12:$A$29,0),MATCH(Grafiken!Y$506,'Planzahlen Rentabilität'!$K$9:$FU$9,0)))</f>
        <v>-10127.750000000004</v>
      </c>
      <c r="Z518" s="781">
        <f ca="1">IF(ISERROR(INDEX('Planzahlen Rentabilität'!$K$12:$FU$29,MATCH(Grafiken!$S517,'Planzahlen Rentabilität'!$A$12:$A$29,0),MATCH(Grafiken!Z$506,'Planzahlen Rentabilität'!$K$9:$FU$9,0))),0,INDEX('Planzahlen Rentabilität'!$K$12:$FU$29,MATCH(Grafiken!$S517,'Planzahlen Rentabilität'!$A$12:$A$29,0),MATCH(Grafiken!Z$506,'Planzahlen Rentabilität'!$K$9:$FU$9,0)))</f>
        <v>-5170.7899999999991</v>
      </c>
      <c r="AA518" s="781">
        <f ca="1">IF(ISERROR(INDEX('Planzahlen Rentabilität'!$K$12:$FU$29,MATCH(Grafiken!$S517,'Planzahlen Rentabilität'!$A$12:$A$29,0),MATCH(Grafiken!AA$506,'Planzahlen Rentabilität'!$K$9:$FU$9,0))),0,INDEX('Planzahlen Rentabilität'!$K$12:$FU$29,MATCH(Grafiken!$S517,'Planzahlen Rentabilität'!$A$12:$A$29,0),MATCH(Grafiken!AA$506,'Planzahlen Rentabilität'!$K$9:$FU$9,0)))</f>
        <v>497.63</v>
      </c>
      <c r="AB518" s="781">
        <f ca="1">IF(ISERROR(INDEX('Planzahlen Rentabilität'!$K$12:$FU$29,MATCH(Grafiken!$S517,'Planzahlen Rentabilität'!$A$12:$A$29,0),MATCH(Grafiken!AB$506,'Planzahlen Rentabilität'!$K$9:$FU$9,0))),0,INDEX('Planzahlen Rentabilität'!$K$12:$FU$29,MATCH(Grafiken!$S517,'Planzahlen Rentabilität'!$A$12:$A$29,0),MATCH(Grafiken!AB$506,'Planzahlen Rentabilität'!$K$9:$FU$9,0)))</f>
        <v>26540.400000000001</v>
      </c>
      <c r="AC518" s="781">
        <f ca="1">IF(ISERROR(INDEX('Planzahlen Rentabilität'!$K$12:$FU$29,MATCH(Grafiken!$S517,'Planzahlen Rentabilität'!$A$12:$A$29,0),MATCH(Grafiken!AC$506,'Planzahlen Rentabilität'!$K$9:$FU$9,0))),0,INDEX('Planzahlen Rentabilität'!$K$12:$FU$29,MATCH(Grafiken!$S517,'Planzahlen Rentabilität'!$A$12:$A$29,0),MATCH(Grafiken!AC$506,'Planzahlen Rentabilität'!$K$9:$FU$9,0)))</f>
        <v>10216.950000000001</v>
      </c>
      <c r="AD518" s="781">
        <f ca="1">IF(ISERROR(INDEX('Planzahlen Rentabilität'!$K$12:$FU$29,MATCH(Grafiken!$S517,'Planzahlen Rentabilität'!$A$12:$A$29,0),MATCH(Grafiken!AD$506,'Planzahlen Rentabilität'!$K$9:$FU$9,0))),0,INDEX('Planzahlen Rentabilität'!$K$12:$FU$29,MATCH(Grafiken!$S517,'Planzahlen Rentabilität'!$A$12:$A$29,0),MATCH(Grafiken!AD$506,'Planzahlen Rentabilität'!$K$9:$FU$9,0)))</f>
        <v>-5009.9299999999985</v>
      </c>
      <c r="AE518" s="781">
        <f ca="1">IF(ISERROR(INDEX('Planzahlen Rentabilität'!$K$12:$FU$29,MATCH(Grafiken!$S517,'Planzahlen Rentabilität'!$A$12:$A$29,0),MATCH(Grafiken!AE$506,'Planzahlen Rentabilität'!$K$9:$FU$9,0))),0,INDEX('Planzahlen Rentabilität'!$K$12:$FU$29,MATCH(Grafiken!$S517,'Planzahlen Rentabilität'!$A$12:$A$29,0),MATCH(Grafiken!AE$506,'Planzahlen Rentabilität'!$K$9:$FU$9,0)))</f>
        <v>8926.130000000001</v>
      </c>
      <c r="AF518" s="781">
        <f>IF(ISERROR(INDEX('Planzahlen Rentabilität'!$K$12:$FU$29,MATCH(Grafiken!$S517,'Planzahlen Rentabilität'!$A$12:$A$29,0),MATCH(Grafiken!AF$506,'Planzahlen Rentabilität'!$K$9:$FU$9,0))),0,INDEX('Planzahlen Rentabilität'!$K$12:$FU$29,MATCH(Grafiken!$S517,'Planzahlen Rentabilität'!$A$12:$A$29,0),MATCH(Grafiken!AF$506,'Planzahlen Rentabilität'!$K$9:$FU$9,0)))</f>
        <v>0</v>
      </c>
      <c r="AG518" s="781">
        <f>IF(ISERROR(INDEX('Planzahlen Rentabilität'!$K$12:$FU$29,MATCH(Grafiken!$S517,'Planzahlen Rentabilität'!$A$12:$A$29,0),MATCH(Grafiken!AG$506,'Planzahlen Rentabilität'!$K$9:$FU$9,0))),0,INDEX('Planzahlen Rentabilität'!$K$12:$FU$29,MATCH(Grafiken!$S517,'Planzahlen Rentabilität'!$A$12:$A$29,0),MATCH(Grafiken!AG$506,'Planzahlen Rentabilität'!$K$9:$FU$9,0)))</f>
        <v>0</v>
      </c>
    </row>
    <row r="519" spans="19:33" x14ac:dyDescent="0.2">
      <c r="S519" s="1470" t="s">
        <v>263</v>
      </c>
      <c r="T519" s="1466" t="s">
        <v>288</v>
      </c>
      <c r="U519" s="812" t="s">
        <v>205</v>
      </c>
      <c r="V519" s="781">
        <f>IF(ISERROR(INDEX('Planzahlen Rentabilität'!$K$12:$FU$62,MATCH(Grafiken!$S519,'Planzahlen Rentabilität'!$A$12:$A$62,0),MATCH(Grafiken!V$507,'Planzahlen Rentabilität'!$K$9:$FU$9,0))),0,INDEX('Planzahlen Rentabilität'!$K$12:$FU$62,MATCH(Grafiken!$S519,'Planzahlen Rentabilität'!$A$12:$A$62,0),MATCH(Grafiken!V$507,'Planzahlen Rentabilität'!$K$9:$FU$9,0)))</f>
        <v>-4093.7594444444476</v>
      </c>
      <c r="W519" s="781">
        <f>IF(ISERROR(INDEX('Planzahlen Rentabilität'!$K$12:$FU$62,MATCH(Grafiken!$S519,'Planzahlen Rentabilität'!$A$12:$A$62,0),MATCH(Grafiken!W$507,'Planzahlen Rentabilität'!$K$9:$FU$9,0))),0,INDEX('Planzahlen Rentabilität'!$K$12:$FU$62,MATCH(Grafiken!$S519,'Planzahlen Rentabilität'!$A$12:$A$62,0),MATCH(Grafiken!W$507,'Planzahlen Rentabilität'!$K$9:$FU$9,0)))</f>
        <v>16521.960555555561</v>
      </c>
      <c r="X519" s="781">
        <f>IF(ISERROR(INDEX('Planzahlen Rentabilität'!$K$12:$FU$62,MATCH(Grafiken!$S519,'Planzahlen Rentabilität'!$A$12:$A$62,0),MATCH(Grafiken!X$507,'Planzahlen Rentabilität'!$K$9:$FU$9,0))),0,INDEX('Planzahlen Rentabilität'!$K$12:$FU$62,MATCH(Grafiken!$S519,'Planzahlen Rentabilität'!$A$12:$A$62,0),MATCH(Grafiken!X$507,'Planzahlen Rentabilität'!$K$9:$FU$9,0)))</f>
        <v>0</v>
      </c>
      <c r="Y519" s="781">
        <f>IF(ISERROR(INDEX('Planzahlen Rentabilität'!$K$12:$FU$62,MATCH(Grafiken!$S519,'Planzahlen Rentabilität'!$A$12:$A$62,0),MATCH(Grafiken!Y$507,'Planzahlen Rentabilität'!$K$9:$FU$9,0))),0,INDEX('Planzahlen Rentabilität'!$K$12:$FU$62,MATCH(Grafiken!$S519,'Planzahlen Rentabilität'!$A$12:$A$62,0),MATCH(Grafiken!Y$507,'Planzahlen Rentabilität'!$K$9:$FU$9,0)))</f>
        <v>6214.1005555555612</v>
      </c>
      <c r="Z519" s="781">
        <f>IF(ISERROR(INDEX('Planzahlen Rentabilität'!$K$12:$FU$62,MATCH(Grafiken!$S519,'Planzahlen Rentabilität'!$A$12:$A$62,0),MATCH(Grafiken!Z$507,'Planzahlen Rentabilität'!$K$9:$FU$9,0))),0,INDEX('Planzahlen Rentabilität'!$K$12:$FU$62,MATCH(Grafiken!$S519,'Planzahlen Rentabilität'!$A$12:$A$62,0),MATCH(Grafiken!Z$507,'Planzahlen Rentabilität'!$K$9:$FU$9,0)))</f>
        <v>12680.231388888895</v>
      </c>
      <c r="AA519" s="781">
        <f>IF(ISERROR(INDEX('Planzahlen Rentabilität'!$K$12:$FU$62,MATCH(Grafiken!$S519,'Planzahlen Rentabilität'!$A$12:$A$62,0),MATCH(Grafiken!AA$507,'Planzahlen Rentabilität'!$K$9:$FU$9,0))),0,INDEX('Planzahlen Rentabilität'!$K$12:$FU$62,MATCH(Grafiken!$S519,'Planzahlen Rentabilität'!$A$12:$A$62,0),MATCH(Grafiken!AA$507,'Planzahlen Rentabilität'!$K$9:$FU$9,0)))</f>
        <v>0</v>
      </c>
      <c r="AB519" s="781">
        <f>IF(ISERROR(INDEX('Planzahlen Rentabilität'!$K$12:$FU$62,MATCH(Grafiken!$S519,'Planzahlen Rentabilität'!$A$12:$A$62,0),MATCH(Grafiken!AB$507,'Planzahlen Rentabilität'!$K$9:$FU$9,0))),0,INDEX('Planzahlen Rentabilität'!$K$12:$FU$62,MATCH(Grafiken!$S519,'Planzahlen Rentabilität'!$A$12:$A$62,0),MATCH(Grafiken!AB$507,'Planzahlen Rentabilität'!$K$9:$FU$9,0)))</f>
        <v>21416.231388888893</v>
      </c>
      <c r="AC519" s="781">
        <f>IF(ISERROR(INDEX('Planzahlen Rentabilität'!$K$12:$FU$62,MATCH(Grafiken!$S519,'Planzahlen Rentabilität'!$A$12:$A$62,0),MATCH(Grafiken!AC$507,'Planzahlen Rentabilität'!$K$9:$FU$9,0))),0,INDEX('Planzahlen Rentabilität'!$K$12:$FU$62,MATCH(Grafiken!$S519,'Planzahlen Rentabilität'!$A$12:$A$62,0),MATCH(Grafiken!AC$507,'Planzahlen Rentabilität'!$K$9:$FU$9,0)))</f>
        <v>8233.9713888888928</v>
      </c>
      <c r="AD519" s="781">
        <f>IF(ISERROR(INDEX('Planzahlen Rentabilität'!$K$12:$FU$62,MATCH(Grafiken!$S519,'Planzahlen Rentabilität'!$A$12:$A$62,0),MATCH(Grafiken!AD$507,'Planzahlen Rentabilität'!$K$9:$FU$9,0))),0,INDEX('Planzahlen Rentabilität'!$K$12:$FU$62,MATCH(Grafiken!$S519,'Planzahlen Rentabilität'!$A$12:$A$62,0),MATCH(Grafiken!AD$507,'Planzahlen Rentabilität'!$K$9:$FU$9,0)))</f>
        <v>39157.551388888896</v>
      </c>
      <c r="AE519" s="781">
        <f>IF(ISERROR(INDEX('Planzahlen Rentabilität'!$K$12:$FU$62,MATCH(Grafiken!$S519,'Planzahlen Rentabilität'!$A$12:$A$62,0),MATCH(Grafiken!AE$507,'Planzahlen Rentabilität'!$K$9:$FU$9,0))),0,INDEX('Planzahlen Rentabilität'!$K$12:$FU$62,MATCH(Grafiken!$S519,'Planzahlen Rentabilität'!$A$12:$A$62,0),MATCH(Grafiken!AE$507,'Planzahlen Rentabilität'!$K$9:$FU$9,0)))</f>
        <v>39157.551388888896</v>
      </c>
      <c r="AF519" s="781">
        <f>IF(ISERROR(INDEX('Planzahlen Rentabilität'!$K$12:$FU$62,MATCH(Grafiken!$S519,'Planzahlen Rentabilität'!$A$12:$A$62,0),MATCH(Grafiken!AF$507,'Planzahlen Rentabilität'!$K$9:$FU$9,0))),0,INDEX('Planzahlen Rentabilität'!$K$12:$FU$62,MATCH(Grafiken!$S519,'Planzahlen Rentabilität'!$A$12:$A$62,0),MATCH(Grafiken!AF$507,'Planzahlen Rentabilität'!$K$9:$FU$9,0)))</f>
        <v>28849.691388888878</v>
      </c>
      <c r="AG519" s="781">
        <f>IF(ISERROR(INDEX('Planzahlen Rentabilität'!$K$12:$FU$62,MATCH(Grafiken!$S519,'Planzahlen Rentabilität'!$A$12:$A$62,0),MATCH(Grafiken!AG$507,'Planzahlen Rentabilität'!$K$9:$FU$9,0))),0,INDEX('Planzahlen Rentabilität'!$K$12:$FU$62,MATCH(Grafiken!$S519,'Planzahlen Rentabilität'!$A$12:$A$62,0),MATCH(Grafiken!AG$507,'Planzahlen Rentabilität'!$K$9:$FU$9,0)))</f>
        <v>28849.691388888878</v>
      </c>
    </row>
    <row r="520" spans="19:33" x14ac:dyDescent="0.2">
      <c r="S520" s="1470"/>
      <c r="T520" s="1467"/>
      <c r="U520" s="812" t="s">
        <v>206</v>
      </c>
      <c r="V520" s="781">
        <f ca="1">IF(ISERROR(INDEX('Planzahlen Rentabilität'!$K$12:$FU$62,MATCH(Grafiken!$S519,'Planzahlen Rentabilität'!$A$12:$A$62,0),MATCH(Grafiken!V$506,'Planzahlen Rentabilität'!$K$9:$FU$9,0))),0,INDEX('Planzahlen Rentabilität'!$K$12:$FU$62,MATCH(Grafiken!$S519,'Planzahlen Rentabilität'!$A$12:$A$62,0),MATCH(Grafiken!V$506,'Planzahlen Rentabilität'!$K$9:$FU$9,0)))</f>
        <v>-9298.6600000000017</v>
      </c>
      <c r="W520" s="781">
        <f ca="1">IF(ISERROR(INDEX('Planzahlen Rentabilität'!$K$12:$FU$62,MATCH(Grafiken!$S519,'Planzahlen Rentabilität'!$A$12:$A$62,0),MATCH(Grafiken!W$506,'Planzahlen Rentabilität'!$K$9:$FU$9,0))),0,INDEX('Planzahlen Rentabilität'!$K$12:$FU$62,MATCH(Grafiken!$S519,'Planzahlen Rentabilität'!$A$12:$A$62,0),MATCH(Grafiken!W$506,'Planzahlen Rentabilität'!$K$9:$FU$9,0)))</f>
        <v>-10049.98</v>
      </c>
      <c r="X520" s="781">
        <f ca="1">IF(ISERROR(INDEX('Planzahlen Rentabilität'!$K$12:$FU$62,MATCH(Grafiken!$S519,'Planzahlen Rentabilität'!$A$12:$A$62,0),MATCH(Grafiken!X$506,'Planzahlen Rentabilität'!$K$9:$FU$9,0))),0,INDEX('Planzahlen Rentabilität'!$K$12:$FU$62,MATCH(Grafiken!$S519,'Planzahlen Rentabilität'!$A$12:$A$62,0),MATCH(Grafiken!X$506,'Planzahlen Rentabilität'!$K$9:$FU$9,0)))</f>
        <v>281.25000000000023</v>
      </c>
      <c r="Y520" s="781">
        <f ca="1">IF(ISERROR(INDEX('Planzahlen Rentabilität'!$K$12:$FU$62,MATCH(Grafiken!$S519,'Planzahlen Rentabilität'!$A$12:$A$62,0),MATCH(Grafiken!Y$506,'Planzahlen Rentabilität'!$K$9:$FU$9,0))),0,INDEX('Planzahlen Rentabilität'!$K$12:$FU$62,MATCH(Grafiken!$S519,'Planzahlen Rentabilität'!$A$12:$A$62,0),MATCH(Grafiken!Y$506,'Planzahlen Rentabilität'!$K$9:$FU$9,0)))</f>
        <v>-15159.780000000002</v>
      </c>
      <c r="Z520" s="781">
        <f ca="1">IF(ISERROR(INDEX('Planzahlen Rentabilität'!$K$12:$FU$62,MATCH(Grafiken!$S519,'Planzahlen Rentabilität'!$A$12:$A$62,0),MATCH(Grafiken!Z$506,'Planzahlen Rentabilität'!$K$9:$FU$9,0))),0,INDEX('Planzahlen Rentabilität'!$K$12:$FU$62,MATCH(Grafiken!$S519,'Planzahlen Rentabilität'!$A$12:$A$62,0),MATCH(Grafiken!Z$506,'Planzahlen Rentabilität'!$K$9:$FU$9,0)))</f>
        <v>-11479.519999999999</v>
      </c>
      <c r="AA520" s="781">
        <f ca="1">IF(ISERROR(INDEX('Planzahlen Rentabilität'!$K$12:$FU$62,MATCH(Grafiken!$S519,'Planzahlen Rentabilität'!$A$12:$A$62,0),MATCH(Grafiken!AA$506,'Planzahlen Rentabilität'!$K$9:$FU$9,0))),0,INDEX('Planzahlen Rentabilität'!$K$12:$FU$62,MATCH(Grafiken!$S519,'Planzahlen Rentabilität'!$A$12:$A$62,0),MATCH(Grafiken!AA$506,'Planzahlen Rentabilität'!$K$9:$FU$9,0)))</f>
        <v>147.27000000000001</v>
      </c>
      <c r="AB520" s="781">
        <f ca="1">IF(ISERROR(INDEX('Planzahlen Rentabilität'!$K$12:$FU$62,MATCH(Grafiken!$S519,'Planzahlen Rentabilität'!$A$12:$A$62,0),MATCH(Grafiken!AB$506,'Planzahlen Rentabilität'!$K$9:$FU$9,0))),0,INDEX('Planzahlen Rentabilität'!$K$12:$FU$62,MATCH(Grafiken!$S519,'Planzahlen Rentabilität'!$A$12:$A$62,0),MATCH(Grafiken!AB$506,'Planzahlen Rentabilität'!$K$9:$FU$9,0)))</f>
        <v>22230.330000000005</v>
      </c>
      <c r="AC520" s="781">
        <f ca="1">IF(ISERROR(INDEX('Planzahlen Rentabilität'!$K$12:$FU$62,MATCH(Grafiken!$S519,'Planzahlen Rentabilität'!$A$12:$A$62,0),MATCH(Grafiken!AC$506,'Planzahlen Rentabilität'!$K$9:$FU$9,0))),0,INDEX('Planzahlen Rentabilität'!$K$12:$FU$62,MATCH(Grafiken!$S519,'Planzahlen Rentabilität'!$A$12:$A$62,0),MATCH(Grafiken!AC$506,'Planzahlen Rentabilität'!$K$9:$FU$9,0)))</f>
        <v>6551.8100000000013</v>
      </c>
      <c r="AD520" s="781">
        <f ca="1">IF(ISERROR(INDEX('Planzahlen Rentabilität'!$K$12:$FU$62,MATCH(Grafiken!$S519,'Planzahlen Rentabilität'!$A$12:$A$62,0),MATCH(Grafiken!AD$506,'Planzahlen Rentabilität'!$K$9:$FU$9,0))),0,INDEX('Planzahlen Rentabilität'!$K$12:$FU$62,MATCH(Grafiken!$S519,'Planzahlen Rentabilität'!$A$12:$A$62,0),MATCH(Grafiken!AD$506,'Planzahlen Rentabilität'!$K$9:$FU$9,0)))</f>
        <v>-7377.869999999999</v>
      </c>
      <c r="AE520" s="781">
        <f ca="1">IF(ISERROR(INDEX('Planzahlen Rentabilität'!$K$12:$FU$62,MATCH(Grafiken!$S519,'Planzahlen Rentabilität'!$A$12:$A$62,0),MATCH(Grafiken!AE$506,'Planzahlen Rentabilität'!$K$9:$FU$9,0))),0,INDEX('Planzahlen Rentabilität'!$K$12:$FU$62,MATCH(Grafiken!$S519,'Planzahlen Rentabilität'!$A$12:$A$62,0),MATCH(Grafiken!AE$506,'Planzahlen Rentabilität'!$K$9:$FU$9,0)))</f>
        <v>6076.8700000000008</v>
      </c>
      <c r="AF520" s="781">
        <f>IF(ISERROR(INDEX('Planzahlen Rentabilität'!$K$12:$FU$62,MATCH(Grafiken!$S519,'Planzahlen Rentabilität'!$A$12:$A$62,0),MATCH(Grafiken!AF$506,'Planzahlen Rentabilität'!$K$9:$FU$9,0))),0,INDEX('Planzahlen Rentabilität'!$K$12:$FU$62,MATCH(Grafiken!$S519,'Planzahlen Rentabilität'!$A$12:$A$62,0),MATCH(Grafiken!AF$506,'Planzahlen Rentabilität'!$K$9:$FU$9,0)))</f>
        <v>0</v>
      </c>
      <c r="AG520" s="781">
        <f>IF(ISERROR(INDEX('Planzahlen Rentabilität'!$K$12:$FU$62,MATCH(Grafiken!$S519,'Planzahlen Rentabilität'!$A$12:$A$62,0),MATCH(Grafiken!AG$506,'Planzahlen Rentabilität'!$K$9:$FU$9,0))),0,INDEX('Planzahlen Rentabilität'!$K$12:$FU$62,MATCH(Grafiken!$S519,'Planzahlen Rentabilität'!$A$12:$A$62,0),MATCH(Grafiken!AG$506,'Planzahlen Rentabilität'!$K$9:$FU$9,0)))</f>
        <v>0</v>
      </c>
    </row>
    <row r="529" spans="19:33" x14ac:dyDescent="0.2">
      <c r="V529" s="769">
        <v>1</v>
      </c>
      <c r="W529" s="769">
        <f t="shared" ref="W529:AG529" si="16">V529+1</f>
        <v>2</v>
      </c>
      <c r="X529" s="769">
        <f t="shared" si="16"/>
        <v>3</v>
      </c>
      <c r="Y529" s="769">
        <f t="shared" si="16"/>
        <v>4</v>
      </c>
      <c r="Z529" s="769">
        <f t="shared" si="16"/>
        <v>5</v>
      </c>
      <c r="AA529" s="769">
        <f t="shared" si="16"/>
        <v>6</v>
      </c>
      <c r="AB529" s="769">
        <f t="shared" si="16"/>
        <v>7</v>
      </c>
      <c r="AC529" s="769">
        <f t="shared" si="16"/>
        <v>8</v>
      </c>
      <c r="AD529" s="769">
        <f t="shared" si="16"/>
        <v>9</v>
      </c>
      <c r="AE529" s="769">
        <f t="shared" si="16"/>
        <v>10</v>
      </c>
      <c r="AF529" s="769">
        <f t="shared" si="16"/>
        <v>11</v>
      </c>
      <c r="AG529" s="769">
        <f t="shared" si="16"/>
        <v>12</v>
      </c>
    </row>
    <row r="530" spans="19:33" x14ac:dyDescent="0.2">
      <c r="U530" s="524"/>
      <c r="V530" s="769" t="str">
        <f>IF(Grunddaten!$B$7&gt;=V529,"KI"&amp;V529,"")</f>
        <v>KI1</v>
      </c>
      <c r="W530" s="769" t="str">
        <f>IF(Grunddaten!$B$7&gt;=W529,"KI"&amp;W529,"")</f>
        <v>KI2</v>
      </c>
      <c r="X530" s="769" t="str">
        <f>IF(Grunddaten!$B$7&gt;=X529,"KI"&amp;X529,"")</f>
        <v>KI3</v>
      </c>
      <c r="Y530" s="769" t="str">
        <f>IF(Grunddaten!$B$7&gt;=Y529,"KI"&amp;Y529,"")</f>
        <v>KI4</v>
      </c>
      <c r="Z530" s="769" t="str">
        <f>IF(Grunddaten!$B$7&gt;=Z529,"KI"&amp;Z529,"")</f>
        <v>KI5</v>
      </c>
      <c r="AA530" s="769" t="str">
        <f>IF(Grunddaten!$B$7&gt;=AA529,"KI"&amp;AA529,"")</f>
        <v>KI6</v>
      </c>
      <c r="AB530" s="769" t="str">
        <f>IF(Grunddaten!$B$7&gt;=AB529,"KI"&amp;AB529,"")</f>
        <v>KI7</v>
      </c>
      <c r="AC530" s="769" t="str">
        <f>IF(Grunddaten!$B$7&gt;=AC529,"KI"&amp;AC529,"")</f>
        <v>KI8</v>
      </c>
      <c r="AD530" s="769" t="str">
        <f>IF(Grunddaten!$B$7&gt;=AD529,"KI"&amp;AD529,"")</f>
        <v>KI9</v>
      </c>
      <c r="AE530" s="769" t="str">
        <f>IF(Grunddaten!$B$7&gt;=AE529,"KI"&amp;AE529,"")</f>
        <v>KI10</v>
      </c>
      <c r="AF530" s="769" t="str">
        <f>IF(Grunddaten!$B$7&gt;=AF529,"KI"&amp;AF529,"")</f>
        <v/>
      </c>
      <c r="AG530" s="769" t="str">
        <f>IF(Grunddaten!$B$7&gt;=AG529,"KI"&amp;AG529,"")</f>
        <v/>
      </c>
    </row>
    <row r="531" spans="19:33" x14ac:dyDescent="0.2">
      <c r="T531" s="524" t="s">
        <v>221</v>
      </c>
      <c r="V531" s="769" t="str">
        <f t="shared" ref="V531:AG531" si="17">"KP"&amp;V529</f>
        <v>KP1</v>
      </c>
      <c r="W531" s="769" t="str">
        <f t="shared" si="17"/>
        <v>KP2</v>
      </c>
      <c r="X531" s="769" t="str">
        <f t="shared" si="17"/>
        <v>KP3</v>
      </c>
      <c r="Y531" s="769" t="str">
        <f t="shared" si="17"/>
        <v>KP4</v>
      </c>
      <c r="Z531" s="769" t="str">
        <f t="shared" si="17"/>
        <v>KP5</v>
      </c>
      <c r="AA531" s="769" t="str">
        <f t="shared" si="17"/>
        <v>KP6</v>
      </c>
      <c r="AB531" s="769" t="str">
        <f t="shared" si="17"/>
        <v>KP7</v>
      </c>
      <c r="AC531" s="769" t="str">
        <f t="shared" si="17"/>
        <v>KP8</v>
      </c>
      <c r="AD531" s="769" t="str">
        <f t="shared" si="17"/>
        <v>KP9</v>
      </c>
      <c r="AE531" s="769" t="str">
        <f t="shared" si="17"/>
        <v>KP10</v>
      </c>
      <c r="AF531" s="769" t="str">
        <f t="shared" si="17"/>
        <v>KP11</v>
      </c>
      <c r="AG531" s="769" t="str">
        <f t="shared" si="17"/>
        <v>KP12</v>
      </c>
    </row>
    <row r="532" spans="19:33" x14ac:dyDescent="0.2">
      <c r="V532" s="773" t="s">
        <v>38</v>
      </c>
      <c r="W532" s="773" t="s">
        <v>40</v>
      </c>
      <c r="X532" s="773" t="s">
        <v>43</v>
      </c>
      <c r="Y532" s="773" t="s">
        <v>45</v>
      </c>
      <c r="Z532" s="773" t="s">
        <v>47</v>
      </c>
      <c r="AA532" s="773" t="s">
        <v>49</v>
      </c>
      <c r="AB532" s="773" t="s">
        <v>51</v>
      </c>
      <c r="AC532" s="773" t="s">
        <v>52</v>
      </c>
      <c r="AD532" s="773" t="s">
        <v>54</v>
      </c>
      <c r="AE532" s="773" t="s">
        <v>55</v>
      </c>
      <c r="AF532" s="773" t="s">
        <v>56</v>
      </c>
      <c r="AG532" s="771" t="s">
        <v>57</v>
      </c>
    </row>
    <row r="533" spans="19:33" x14ac:dyDescent="0.2">
      <c r="S533" s="1470" t="s">
        <v>213</v>
      </c>
      <c r="T533" s="1466" t="s">
        <v>214</v>
      </c>
      <c r="U533" s="812" t="s">
        <v>205</v>
      </c>
      <c r="V533" s="781">
        <f>IF(ISERROR(INDEX('Planzahlen Rentabilität'!$K$12:$FU$29,MATCH(Grafiken!$S533,'Planzahlen Rentabilität'!$A$12:$A$29,0),MATCH(Grafiken!V$531,'Planzahlen Rentabilität'!$K$9:$FU$9,0))),0,INDEX('Planzahlen Rentabilität'!$K$12:$FU$29,MATCH(Grafiken!$S533,'Planzahlen Rentabilität'!$A$12:$A$29,0),MATCH(Grafiken!V$531,'Planzahlen Rentabilität'!$K$9:$FU$9,0)))</f>
        <v>62051.159999999996</v>
      </c>
      <c r="W533" s="781">
        <f>IF(ISERROR(INDEX('Planzahlen Rentabilität'!$K$12:$FU$29,MATCH(Grafiken!$S533,'Planzahlen Rentabilität'!$A$12:$A$29,0),MATCH(Grafiken!W$531,'Planzahlen Rentabilität'!$K$9:$FU$9,0))),0,INDEX('Planzahlen Rentabilität'!$K$12:$FU$29,MATCH(Grafiken!$S533,'Planzahlen Rentabilität'!$A$12:$A$29,0),MATCH(Grafiken!W$531,'Planzahlen Rentabilität'!$K$9:$FU$9,0)))</f>
        <v>144786.04</v>
      </c>
      <c r="X533" s="781">
        <f>IF(ISERROR(INDEX('Planzahlen Rentabilität'!$K$12:$FU$29,MATCH(Grafiken!$S533,'Planzahlen Rentabilität'!$A$12:$A$29,0),MATCH(Grafiken!X$531,'Planzahlen Rentabilität'!$K$9:$FU$9,0))),0,INDEX('Planzahlen Rentabilität'!$K$12:$FU$29,MATCH(Grafiken!$S533,'Planzahlen Rentabilität'!$A$12:$A$29,0),MATCH(Grafiken!X$531,'Planzahlen Rentabilität'!$K$9:$FU$9,0)))</f>
        <v>248204.64</v>
      </c>
      <c r="Y533" s="781">
        <f>IF(ISERROR(INDEX('Planzahlen Rentabilität'!$K$12:$FU$29,MATCH(Grafiken!$S533,'Planzahlen Rentabilität'!$A$12:$A$29,0),MATCH(Grafiken!Y$531,'Planzahlen Rentabilität'!$K$9:$FU$9,0))),0,INDEX('Planzahlen Rentabilität'!$K$12:$FU$29,MATCH(Grafiken!$S533,'Planzahlen Rentabilität'!$A$12:$A$29,0),MATCH(Grafiken!Y$531,'Planzahlen Rentabilität'!$K$9:$FU$9,0)))</f>
        <v>320597.66000000003</v>
      </c>
      <c r="Z533" s="781">
        <f>IF(ISERROR(INDEX('Planzahlen Rentabilität'!$K$12:$FU$29,MATCH(Grafiken!$S533,'Planzahlen Rentabilität'!$A$12:$A$29,0),MATCH(Grafiken!Z$531,'Planzahlen Rentabilität'!$K$9:$FU$9,0))),0,INDEX('Planzahlen Rentabilität'!$K$12:$FU$29,MATCH(Grafiken!$S533,'Planzahlen Rentabilität'!$A$12:$A$29,0),MATCH(Grafiken!Z$531,'Planzahlen Rentabilität'!$K$9:$FU$9,0)))</f>
        <v>403332.54000000004</v>
      </c>
      <c r="AA533" s="781">
        <f>IF(ISERROR(INDEX('Planzahlen Rentabilität'!$K$12:$FU$29,MATCH(Grafiken!$S533,'Planzahlen Rentabilität'!$A$12:$A$29,0),MATCH(Grafiken!AA$531,'Planzahlen Rentabilität'!$K$9:$FU$9,0))),0,INDEX('Planzahlen Rentabilität'!$K$12:$FU$29,MATCH(Grafiken!$S533,'Planzahlen Rentabilität'!$A$12:$A$29,0),MATCH(Grafiken!AA$531,'Planzahlen Rentabilität'!$K$9:$FU$9,0)))</f>
        <v>0</v>
      </c>
      <c r="AB533" s="781">
        <f>IF(ISERROR(INDEX('Planzahlen Rentabilität'!$K$12:$FU$29,MATCH(Grafiken!$S533,'Planzahlen Rentabilität'!$A$12:$A$29,0),MATCH(Grafiken!AB$531,'Planzahlen Rentabilität'!$K$9:$FU$9,0))),0,INDEX('Planzahlen Rentabilität'!$K$12:$FU$29,MATCH(Grafiken!$S533,'Planzahlen Rentabilität'!$A$12:$A$29,0),MATCH(Grafiken!AB$531,'Planzahlen Rentabilität'!$K$9:$FU$9,0)))</f>
        <v>568802.30000000005</v>
      </c>
      <c r="AC533" s="781">
        <f>IF(ISERROR(INDEX('Planzahlen Rentabilität'!$K$12:$FU$29,MATCH(Grafiken!$S533,'Planzahlen Rentabilität'!$A$12:$A$29,0),MATCH(Grafiken!AC$531,'Planzahlen Rentabilität'!$K$9:$FU$9,0))),0,INDEX('Planzahlen Rentabilität'!$K$12:$FU$29,MATCH(Grafiken!$S533,'Planzahlen Rentabilität'!$A$12:$A$29,0),MATCH(Grafiken!AC$531,'Planzahlen Rentabilität'!$K$9:$FU$9,0)))</f>
        <v>641195.32000000007</v>
      </c>
      <c r="AD533" s="781">
        <f>IF(ISERROR(INDEX('Planzahlen Rentabilität'!$K$12:$FU$29,MATCH(Grafiken!$S533,'Planzahlen Rentabilität'!$A$12:$A$29,0),MATCH(Grafiken!AD$531,'Planzahlen Rentabilität'!$K$9:$FU$9,0))),0,INDEX('Planzahlen Rentabilität'!$K$12:$FU$29,MATCH(Grafiken!$S533,'Planzahlen Rentabilität'!$A$12:$A$29,0),MATCH(Grafiken!AD$531,'Planzahlen Rentabilität'!$K$9:$FU$9,0)))</f>
        <v>744613.92</v>
      </c>
      <c r="AE533" s="781">
        <f>IF(ISERROR(INDEX('Planzahlen Rentabilität'!$K$12:$FU$29,MATCH(Grafiken!$S533,'Planzahlen Rentabilität'!$A$12:$A$29,0),MATCH(Grafiken!AE$531,'Planzahlen Rentabilität'!$K$9:$FU$9,0))),0,INDEX('Planzahlen Rentabilität'!$K$12:$FU$29,MATCH(Grafiken!$S533,'Planzahlen Rentabilität'!$A$12:$A$29,0),MATCH(Grafiken!AE$531,'Planzahlen Rentabilität'!$K$9:$FU$9,0)))</f>
        <v>848032.52</v>
      </c>
      <c r="AF533" s="781">
        <f>IF(ISERROR(INDEX('Planzahlen Rentabilität'!$K$12:$FU$29,MATCH(Grafiken!$S533,'Planzahlen Rentabilität'!$A$12:$A$29,0),MATCH(Grafiken!AF$531,'Planzahlen Rentabilität'!$K$9:$FU$9,0))),0,INDEX('Planzahlen Rentabilität'!$K$12:$FU$29,MATCH(Grafiken!$S533,'Planzahlen Rentabilität'!$A$12:$A$29,0),MATCH(Grafiken!AF$531,'Planzahlen Rentabilität'!$K$9:$FU$9,0)))</f>
        <v>941109.26</v>
      </c>
      <c r="AG533" s="781">
        <f>IF(ISERROR(INDEX('Planzahlen Rentabilität'!$K$12:$FU$29,MATCH(Grafiken!$S533,'Planzahlen Rentabilität'!$A$12:$A$29,0),MATCH(Grafiken!AG$531,'Planzahlen Rentabilität'!$K$9:$FU$9,0))),0,INDEX('Planzahlen Rentabilität'!$K$12:$FU$29,MATCH(Grafiken!$S533,'Planzahlen Rentabilität'!$A$12:$A$29,0),MATCH(Grafiken!AG$531,'Planzahlen Rentabilität'!$K$9:$FU$9,0)))</f>
        <v>1034186</v>
      </c>
    </row>
    <row r="534" spans="19:33" x14ac:dyDescent="0.2">
      <c r="S534" s="1470"/>
      <c r="T534" s="1467"/>
      <c r="U534" s="812" t="s">
        <v>206</v>
      </c>
      <c r="V534" s="781">
        <f ca="1">IF(ISERROR(INDEX('Planzahlen Rentabilität'!$K$12:$FU$29,MATCH(Grafiken!$S533,'Planzahlen Rentabilität'!$A$12:$A$29,0),MATCH(Grafiken!V$530,'Planzahlen Rentabilität'!$K$9:$FU$9,0))),0,INDEX('Planzahlen Rentabilität'!$K$12:$FU$29,MATCH(Grafiken!$S533,'Planzahlen Rentabilität'!$A$12:$A$29,0),MATCH(Grafiken!V$530,'Planzahlen Rentabilität'!$K$9:$FU$9,0)))</f>
        <v>11191.77</v>
      </c>
      <c r="W534" s="781">
        <f ca="1">IF(ISERROR(INDEX('Planzahlen Rentabilität'!$K$12:$FU$29,MATCH(Grafiken!$S533,'Planzahlen Rentabilität'!$A$12:$A$29,0),MATCH(Grafiken!W$530,'Planzahlen Rentabilität'!$K$9:$FU$9,0))),0,INDEX('Planzahlen Rentabilität'!$K$12:$FU$29,MATCH(Grafiken!$S533,'Planzahlen Rentabilität'!$A$12:$A$29,0),MATCH(Grafiken!W$530,'Planzahlen Rentabilität'!$K$9:$FU$9,0)))</f>
        <v>23070.420000000002</v>
      </c>
      <c r="X534" s="781">
        <f ca="1">IF(ISERROR(INDEX('Planzahlen Rentabilität'!$K$12:$FU$29,MATCH(Grafiken!$S533,'Planzahlen Rentabilität'!$A$12:$A$29,0),MATCH(Grafiken!X$530,'Planzahlen Rentabilität'!$K$9:$FU$9,0))),0,INDEX('Planzahlen Rentabilität'!$K$12:$FU$29,MATCH(Grafiken!$S533,'Planzahlen Rentabilität'!$A$12:$A$29,0),MATCH(Grafiken!X$530,'Planzahlen Rentabilität'!$K$9:$FU$9,0)))</f>
        <v>23390.420000000002</v>
      </c>
      <c r="Y534" s="781">
        <f ca="1">IF(ISERROR(INDEX('Planzahlen Rentabilität'!$K$12:$FU$29,MATCH(Grafiken!$S533,'Planzahlen Rentabilität'!$A$12:$A$29,0),MATCH(Grafiken!Y$530,'Planzahlen Rentabilität'!$K$9:$FU$9,0))),0,INDEX('Planzahlen Rentabilität'!$K$12:$FU$29,MATCH(Grafiken!$S533,'Planzahlen Rentabilität'!$A$12:$A$29,0),MATCH(Grafiken!Y$530,'Planzahlen Rentabilität'!$K$9:$FU$9,0)))</f>
        <v>36366.630000000005</v>
      </c>
      <c r="Z534" s="781">
        <f ca="1">IF(ISERROR(INDEX('Planzahlen Rentabilität'!$K$12:$FU$29,MATCH(Grafiken!$S533,'Planzahlen Rentabilität'!$A$12:$A$29,0),MATCH(Grafiken!Z$530,'Planzahlen Rentabilität'!$K$9:$FU$9,0))),0,INDEX('Planzahlen Rentabilität'!$K$12:$FU$29,MATCH(Grafiken!$S533,'Planzahlen Rentabilität'!$A$12:$A$29,0),MATCH(Grafiken!Z$530,'Planzahlen Rentabilität'!$K$9:$FU$9,0)))</f>
        <v>44124.740000000005</v>
      </c>
      <c r="AA534" s="781">
        <f ca="1">IF(ISERROR(INDEX('Planzahlen Rentabilität'!$K$12:$FU$29,MATCH(Grafiken!$S533,'Planzahlen Rentabilität'!$A$12:$A$29,0),MATCH(Grafiken!AA$530,'Planzahlen Rentabilität'!$K$9:$FU$9,0))),0,INDEX('Planzahlen Rentabilität'!$K$12:$FU$29,MATCH(Grafiken!$S533,'Planzahlen Rentabilität'!$A$12:$A$29,0),MATCH(Grafiken!AA$530,'Planzahlen Rentabilität'!$K$9:$FU$9,0)))</f>
        <v>44124.740000000005</v>
      </c>
      <c r="AB534" s="781">
        <f ca="1">IF(ISERROR(INDEX('Planzahlen Rentabilität'!$K$12:$FU$29,MATCH(Grafiken!$S533,'Planzahlen Rentabilität'!$A$12:$A$29,0),MATCH(Grafiken!AB$530,'Planzahlen Rentabilität'!$K$9:$FU$9,0))),0,INDEX('Planzahlen Rentabilität'!$K$12:$FU$29,MATCH(Grafiken!$S533,'Planzahlen Rentabilität'!$A$12:$A$29,0),MATCH(Grafiken!AB$530,'Planzahlen Rentabilität'!$K$9:$FU$9,0)))</f>
        <v>95693.12000000001</v>
      </c>
      <c r="AC534" s="781">
        <f ca="1">IF(ISERROR(INDEX('Planzahlen Rentabilität'!$K$12:$FU$29,MATCH(Grafiken!$S533,'Planzahlen Rentabilität'!$A$12:$A$29,0),MATCH(Grafiken!AC$530,'Planzahlen Rentabilität'!$K$9:$FU$9,0))),0,INDEX('Planzahlen Rentabilität'!$K$12:$FU$29,MATCH(Grafiken!$S533,'Planzahlen Rentabilität'!$A$12:$A$29,0),MATCH(Grafiken!AC$530,'Planzahlen Rentabilität'!$K$9:$FU$9,0)))</f>
        <v>115023.83000000002</v>
      </c>
      <c r="AD534" s="781">
        <f ca="1">IF(ISERROR(INDEX('Planzahlen Rentabilität'!$K$12:$FU$29,MATCH(Grafiken!$S533,'Planzahlen Rentabilität'!$A$12:$A$29,0),MATCH(Grafiken!AD$530,'Planzahlen Rentabilität'!$K$9:$FU$9,0))),0,INDEX('Planzahlen Rentabilität'!$K$12:$FU$29,MATCH(Grafiken!$S533,'Planzahlen Rentabilität'!$A$12:$A$29,0),MATCH(Grafiken!AD$530,'Planzahlen Rentabilität'!$K$9:$FU$9,0)))</f>
        <v>125952.72000000002</v>
      </c>
      <c r="AE534" s="781">
        <f ca="1">IF(ISERROR(INDEX('Planzahlen Rentabilität'!$K$12:$FU$29,MATCH(Grafiken!$S533,'Planzahlen Rentabilität'!$A$12:$A$29,0),MATCH(Grafiken!AE$530,'Planzahlen Rentabilität'!$K$9:$FU$9,0))),0,INDEX('Planzahlen Rentabilität'!$K$12:$FU$29,MATCH(Grafiken!$S533,'Planzahlen Rentabilität'!$A$12:$A$29,0),MATCH(Grafiken!AE$530,'Planzahlen Rentabilität'!$K$9:$FU$9,0)))</f>
        <v>158672.84000000003</v>
      </c>
      <c r="AF534" s="781">
        <f>IF(ISERROR(INDEX('Planzahlen Rentabilität'!$K$12:$FU$29,MATCH(Grafiken!$S533,'Planzahlen Rentabilität'!$A$12:$A$29,0),MATCH(Grafiken!AF$530,'Planzahlen Rentabilität'!$K$9:$FU$9,0))),0,INDEX('Planzahlen Rentabilität'!$K$12:$FU$29,MATCH(Grafiken!$S533,'Planzahlen Rentabilität'!$A$12:$A$29,0),MATCH(Grafiken!AF$530,'Planzahlen Rentabilität'!$K$9:$FU$9,0)))</f>
        <v>0</v>
      </c>
      <c r="AG534" s="781">
        <f>IF(ISERROR(INDEX('Planzahlen Rentabilität'!$K$12:$FU$29,MATCH(Grafiken!$S533,'Planzahlen Rentabilität'!$A$12:$A$29,0),MATCH(Grafiken!AG$530,'Planzahlen Rentabilität'!$K$9:$FU$9,0))),0,INDEX('Planzahlen Rentabilität'!$K$12:$FU$29,MATCH(Grafiken!$S533,'Planzahlen Rentabilität'!$A$12:$A$29,0),MATCH(Grafiken!AG$530,'Planzahlen Rentabilität'!$K$9:$FU$9,0)))</f>
        <v>0</v>
      </c>
    </row>
    <row r="535" spans="19:33" x14ac:dyDescent="0.2">
      <c r="S535" s="51"/>
      <c r="T535" s="1462" t="s">
        <v>215</v>
      </c>
      <c r="U535" s="812" t="s">
        <v>205</v>
      </c>
      <c r="V535" s="776">
        <f t="shared" ref="V535:AG535" si="18">V533-V537</f>
        <v>204</v>
      </c>
      <c r="W535" s="776">
        <f t="shared" si="18"/>
        <v>476</v>
      </c>
      <c r="X535" s="776">
        <f t="shared" si="18"/>
        <v>816</v>
      </c>
      <c r="Y535" s="776">
        <f t="shared" si="18"/>
        <v>1054</v>
      </c>
      <c r="Z535" s="776">
        <f t="shared" si="18"/>
        <v>1326</v>
      </c>
      <c r="AA535" s="776">
        <f t="shared" si="18"/>
        <v>0</v>
      </c>
      <c r="AB535" s="776">
        <f t="shared" si="18"/>
        <v>1870</v>
      </c>
      <c r="AC535" s="776">
        <f t="shared" si="18"/>
        <v>2108</v>
      </c>
      <c r="AD535" s="776">
        <f t="shared" si="18"/>
        <v>2448</v>
      </c>
      <c r="AE535" s="776">
        <f t="shared" si="18"/>
        <v>2788</v>
      </c>
      <c r="AF535" s="776">
        <f t="shared" si="18"/>
        <v>3094</v>
      </c>
      <c r="AG535" s="776">
        <f t="shared" si="18"/>
        <v>3400</v>
      </c>
    </row>
    <row r="536" spans="19:33" x14ac:dyDescent="0.2">
      <c r="S536" s="51"/>
      <c r="T536" s="1463"/>
      <c r="U536" s="812" t="s">
        <v>206</v>
      </c>
      <c r="V536" s="776">
        <f t="shared" ref="V536:AG536" ca="1" si="19">V534-V538</f>
        <v>863.79000000000087</v>
      </c>
      <c r="W536" s="776">
        <f t="shared" ca="1" si="19"/>
        <v>2076.41</v>
      </c>
      <c r="X536" s="776">
        <f t="shared" ca="1" si="19"/>
        <v>76.399999999997817</v>
      </c>
      <c r="Y536" s="776">
        <f t="shared" ca="1" si="19"/>
        <v>5320.8100000000013</v>
      </c>
      <c r="Z536" s="776">
        <f t="shared" ca="1" si="19"/>
        <v>1863.5900000000038</v>
      </c>
      <c r="AA536" s="776">
        <f t="shared" ca="1" si="19"/>
        <v>1259.5900000000038</v>
      </c>
      <c r="AB536" s="776">
        <f t="shared" ca="1" si="19"/>
        <v>8090.2100000000064</v>
      </c>
      <c r="AC536" s="776">
        <f t="shared" ca="1" si="19"/>
        <v>2719.2800000000134</v>
      </c>
      <c r="AD536" s="776">
        <f t="shared" ca="1" si="19"/>
        <v>2931.0600000000122</v>
      </c>
      <c r="AE536" s="776">
        <f t="shared" ca="1" si="19"/>
        <v>10942.840000000026</v>
      </c>
      <c r="AF536" s="776">
        <f t="shared" si="19"/>
        <v>0</v>
      </c>
      <c r="AG536" s="776">
        <f t="shared" si="19"/>
        <v>0</v>
      </c>
    </row>
    <row r="537" spans="19:33" x14ac:dyDescent="0.2">
      <c r="S537" s="1470" t="s">
        <v>216</v>
      </c>
      <c r="T537" s="1466" t="s">
        <v>217</v>
      </c>
      <c r="U537" s="812" t="s">
        <v>205</v>
      </c>
      <c r="V537" s="781">
        <f>IF(ISERROR(INDEX('Planzahlen Rentabilität'!$K$12:$FU$29,MATCH(Grafiken!$S537,'Planzahlen Rentabilität'!$A$12:$A$29,0),MATCH(Grafiken!V$531,'Planzahlen Rentabilität'!$K$9:$FU$9,0))),0,INDEX('Planzahlen Rentabilität'!$K$12:$FU$29,MATCH(Grafiken!$S537,'Planzahlen Rentabilität'!$A$12:$A$29,0),MATCH(Grafiken!V$531,'Planzahlen Rentabilität'!$K$9:$FU$9,0)))</f>
        <v>61847.159999999996</v>
      </c>
      <c r="W537" s="781">
        <f>IF(ISERROR(INDEX('Planzahlen Rentabilität'!$K$12:$FU$29,MATCH(Grafiken!$S537,'Planzahlen Rentabilität'!$A$12:$A$29,0),MATCH(Grafiken!W$531,'Planzahlen Rentabilität'!$K$9:$FU$9,0))),0,INDEX('Planzahlen Rentabilität'!$K$12:$FU$29,MATCH(Grafiken!$S537,'Planzahlen Rentabilität'!$A$12:$A$29,0),MATCH(Grafiken!W$531,'Planzahlen Rentabilität'!$K$9:$FU$9,0)))</f>
        <v>144310.04</v>
      </c>
      <c r="X537" s="781">
        <f>IF(ISERROR(INDEX('Planzahlen Rentabilität'!$K$12:$FU$29,MATCH(Grafiken!$S537,'Planzahlen Rentabilität'!$A$12:$A$29,0),MATCH(Grafiken!X$531,'Planzahlen Rentabilität'!$K$9:$FU$9,0))),0,INDEX('Planzahlen Rentabilität'!$K$12:$FU$29,MATCH(Grafiken!$S537,'Planzahlen Rentabilität'!$A$12:$A$29,0),MATCH(Grafiken!X$531,'Planzahlen Rentabilität'!$K$9:$FU$9,0)))</f>
        <v>247388.64</v>
      </c>
      <c r="Y537" s="781">
        <f>IF(ISERROR(INDEX('Planzahlen Rentabilität'!$K$12:$FU$29,MATCH(Grafiken!$S537,'Planzahlen Rentabilität'!$A$12:$A$29,0),MATCH(Grafiken!Y$531,'Planzahlen Rentabilität'!$K$9:$FU$9,0))),0,INDEX('Planzahlen Rentabilität'!$K$12:$FU$29,MATCH(Grafiken!$S537,'Planzahlen Rentabilität'!$A$12:$A$29,0),MATCH(Grafiken!Y$531,'Planzahlen Rentabilität'!$K$9:$FU$9,0)))</f>
        <v>319543.66000000003</v>
      </c>
      <c r="Z537" s="781">
        <f>IF(ISERROR(INDEX('Planzahlen Rentabilität'!$K$12:$FU$29,MATCH(Grafiken!$S537,'Planzahlen Rentabilität'!$A$12:$A$29,0),MATCH(Grafiken!Z$531,'Planzahlen Rentabilität'!$K$9:$FU$9,0))),0,INDEX('Planzahlen Rentabilität'!$K$12:$FU$29,MATCH(Grafiken!$S537,'Planzahlen Rentabilität'!$A$12:$A$29,0),MATCH(Grafiken!Z$531,'Planzahlen Rentabilität'!$K$9:$FU$9,0)))</f>
        <v>402006.54000000004</v>
      </c>
      <c r="AA537" s="781">
        <f>IF(ISERROR(INDEX('Planzahlen Rentabilität'!$K$12:$FU$29,MATCH(Grafiken!$S537,'Planzahlen Rentabilität'!$A$12:$A$29,0),MATCH(Grafiken!AA$531,'Planzahlen Rentabilität'!$K$9:$FU$9,0))),0,INDEX('Planzahlen Rentabilität'!$K$12:$FU$29,MATCH(Grafiken!$S537,'Planzahlen Rentabilität'!$A$12:$A$29,0),MATCH(Grafiken!AA$531,'Planzahlen Rentabilität'!$K$9:$FU$9,0)))</f>
        <v>0</v>
      </c>
      <c r="AB537" s="781">
        <f>IF(ISERROR(INDEX('Planzahlen Rentabilität'!$K$12:$FU$29,MATCH(Grafiken!$S537,'Planzahlen Rentabilität'!$A$12:$A$29,0),MATCH(Grafiken!AB$531,'Planzahlen Rentabilität'!$K$9:$FU$9,0))),0,INDEX('Planzahlen Rentabilität'!$K$12:$FU$29,MATCH(Grafiken!$S537,'Planzahlen Rentabilität'!$A$12:$A$29,0),MATCH(Grafiken!AB$531,'Planzahlen Rentabilität'!$K$9:$FU$9,0)))</f>
        <v>566932.30000000005</v>
      </c>
      <c r="AC537" s="781">
        <f>IF(ISERROR(INDEX('Planzahlen Rentabilität'!$K$12:$FU$29,MATCH(Grafiken!$S537,'Planzahlen Rentabilität'!$A$12:$A$29,0),MATCH(Grafiken!AC$531,'Planzahlen Rentabilität'!$K$9:$FU$9,0))),0,INDEX('Planzahlen Rentabilität'!$K$12:$FU$29,MATCH(Grafiken!$S537,'Planzahlen Rentabilität'!$A$12:$A$29,0),MATCH(Grafiken!AC$531,'Planzahlen Rentabilität'!$K$9:$FU$9,0)))</f>
        <v>639087.32000000007</v>
      </c>
      <c r="AD537" s="781">
        <f>IF(ISERROR(INDEX('Planzahlen Rentabilität'!$K$12:$FU$29,MATCH(Grafiken!$S537,'Planzahlen Rentabilität'!$A$12:$A$29,0),MATCH(Grafiken!AD$531,'Planzahlen Rentabilität'!$K$9:$FU$9,0))),0,INDEX('Planzahlen Rentabilität'!$K$12:$FU$29,MATCH(Grafiken!$S537,'Planzahlen Rentabilität'!$A$12:$A$29,0),MATCH(Grafiken!AD$531,'Planzahlen Rentabilität'!$K$9:$FU$9,0)))</f>
        <v>742165.92</v>
      </c>
      <c r="AE537" s="781">
        <f>IF(ISERROR(INDEX('Planzahlen Rentabilität'!$K$12:$FU$29,MATCH(Grafiken!$S537,'Planzahlen Rentabilität'!$A$12:$A$29,0),MATCH(Grafiken!AE$531,'Planzahlen Rentabilität'!$K$9:$FU$9,0))),0,INDEX('Planzahlen Rentabilität'!$K$12:$FU$29,MATCH(Grafiken!$S537,'Planzahlen Rentabilität'!$A$12:$A$29,0),MATCH(Grafiken!AE$531,'Planzahlen Rentabilität'!$K$9:$FU$9,0)))</f>
        <v>845244.52</v>
      </c>
      <c r="AF537" s="781">
        <f>IF(ISERROR(INDEX('Planzahlen Rentabilität'!$K$12:$FU$29,MATCH(Grafiken!$S537,'Planzahlen Rentabilität'!$A$12:$A$29,0),MATCH(Grafiken!AF$531,'Planzahlen Rentabilität'!$K$9:$FU$9,0))),0,INDEX('Planzahlen Rentabilität'!$K$12:$FU$29,MATCH(Grafiken!$S537,'Planzahlen Rentabilität'!$A$12:$A$29,0),MATCH(Grafiken!AF$531,'Planzahlen Rentabilität'!$K$9:$FU$9,0)))</f>
        <v>938015.26</v>
      </c>
      <c r="AG537" s="781">
        <f>IF(ISERROR(INDEX('Planzahlen Rentabilität'!$K$12:$FU$29,MATCH(Grafiken!$S537,'Planzahlen Rentabilität'!$A$12:$A$29,0),MATCH(Grafiken!AG$531,'Planzahlen Rentabilität'!$K$9:$FU$9,0))),0,INDEX('Planzahlen Rentabilität'!$K$12:$FU$29,MATCH(Grafiken!$S537,'Planzahlen Rentabilität'!$A$12:$A$29,0),MATCH(Grafiken!AG$531,'Planzahlen Rentabilität'!$K$9:$FU$9,0)))</f>
        <v>1030786</v>
      </c>
    </row>
    <row r="538" spans="19:33" x14ac:dyDescent="0.2">
      <c r="S538" s="1470"/>
      <c r="T538" s="1467"/>
      <c r="U538" s="812" t="s">
        <v>206</v>
      </c>
      <c r="V538" s="781">
        <f ca="1">IF(ISERROR(INDEX('Planzahlen Rentabilität'!$K$12:$FU$29,MATCH(Grafiken!$S537,'Planzahlen Rentabilität'!$A$12:$A$29,0),MATCH(Grafiken!V$530,'Planzahlen Rentabilität'!$K$9:$FU$9,0))),0,INDEX('Planzahlen Rentabilität'!$K$12:$FU$29,MATCH(Grafiken!$S537,'Planzahlen Rentabilität'!$A$12:$A$29,0),MATCH(Grafiken!V$530,'Planzahlen Rentabilität'!$K$9:$FU$9,0)))</f>
        <v>10327.98</v>
      </c>
      <c r="W538" s="781">
        <f ca="1">IF(ISERROR(INDEX('Planzahlen Rentabilität'!$K$12:$FU$29,MATCH(Grafiken!$S537,'Planzahlen Rentabilität'!$A$12:$A$29,0),MATCH(Grafiken!W$530,'Planzahlen Rentabilität'!$K$9:$FU$9,0))),0,INDEX('Planzahlen Rentabilität'!$K$12:$FU$29,MATCH(Grafiken!$S537,'Planzahlen Rentabilität'!$A$12:$A$29,0),MATCH(Grafiken!W$530,'Planzahlen Rentabilität'!$K$9:$FU$9,0)))</f>
        <v>20994.010000000002</v>
      </c>
      <c r="X538" s="781">
        <f ca="1">IF(ISERROR(INDEX('Planzahlen Rentabilität'!$K$12:$FU$29,MATCH(Grafiken!$S537,'Planzahlen Rentabilität'!$A$12:$A$29,0),MATCH(Grafiken!X$530,'Planzahlen Rentabilität'!$K$9:$FU$9,0))),0,INDEX('Planzahlen Rentabilität'!$K$12:$FU$29,MATCH(Grafiken!$S537,'Planzahlen Rentabilität'!$A$12:$A$29,0),MATCH(Grafiken!X$530,'Planzahlen Rentabilität'!$K$9:$FU$9,0)))</f>
        <v>23314.020000000004</v>
      </c>
      <c r="Y538" s="781">
        <f ca="1">IF(ISERROR(INDEX('Planzahlen Rentabilität'!$K$12:$FU$29,MATCH(Grafiken!$S537,'Planzahlen Rentabilität'!$A$12:$A$29,0),MATCH(Grafiken!Y$530,'Planzahlen Rentabilität'!$K$9:$FU$9,0))),0,INDEX('Planzahlen Rentabilität'!$K$12:$FU$29,MATCH(Grafiken!$S537,'Planzahlen Rentabilität'!$A$12:$A$29,0),MATCH(Grafiken!Y$530,'Planzahlen Rentabilität'!$K$9:$FU$9,0)))</f>
        <v>31045.820000000003</v>
      </c>
      <c r="Z538" s="781">
        <f ca="1">IF(ISERROR(INDEX('Planzahlen Rentabilität'!$K$12:$FU$29,MATCH(Grafiken!$S537,'Planzahlen Rentabilität'!$A$12:$A$29,0),MATCH(Grafiken!Z$530,'Planzahlen Rentabilität'!$K$9:$FU$9,0))),0,INDEX('Planzahlen Rentabilität'!$K$12:$FU$29,MATCH(Grafiken!$S537,'Planzahlen Rentabilität'!$A$12:$A$29,0),MATCH(Grafiken!Z$530,'Planzahlen Rentabilität'!$K$9:$FU$9,0)))</f>
        <v>42261.15</v>
      </c>
      <c r="AA538" s="781">
        <f ca="1">IF(ISERROR(INDEX('Planzahlen Rentabilität'!$K$12:$FU$29,MATCH(Grafiken!$S537,'Planzahlen Rentabilität'!$A$12:$A$29,0),MATCH(Grafiken!AA$530,'Planzahlen Rentabilität'!$K$9:$FU$9,0))),0,INDEX('Planzahlen Rentabilität'!$K$12:$FU$29,MATCH(Grafiken!$S537,'Planzahlen Rentabilität'!$A$12:$A$29,0),MATCH(Grafiken!AA$530,'Planzahlen Rentabilität'!$K$9:$FU$9,0)))</f>
        <v>42865.15</v>
      </c>
      <c r="AB538" s="781">
        <f ca="1">IF(ISERROR(INDEX('Planzahlen Rentabilität'!$K$12:$FU$29,MATCH(Grafiken!$S537,'Planzahlen Rentabilität'!$A$12:$A$29,0),MATCH(Grafiken!AB$530,'Planzahlen Rentabilität'!$K$9:$FU$9,0))),0,INDEX('Planzahlen Rentabilität'!$K$12:$FU$29,MATCH(Grafiken!$S537,'Planzahlen Rentabilität'!$A$12:$A$29,0),MATCH(Grafiken!AB$530,'Planzahlen Rentabilität'!$K$9:$FU$9,0)))</f>
        <v>87602.91</v>
      </c>
      <c r="AC538" s="781">
        <f ca="1">IF(ISERROR(INDEX('Planzahlen Rentabilität'!$K$12:$FU$29,MATCH(Grafiken!$S537,'Planzahlen Rentabilität'!$A$12:$A$29,0),MATCH(Grafiken!AC$530,'Planzahlen Rentabilität'!$K$9:$FU$9,0))),0,INDEX('Planzahlen Rentabilität'!$K$12:$FU$29,MATCH(Grafiken!$S537,'Planzahlen Rentabilität'!$A$12:$A$29,0),MATCH(Grafiken!AC$530,'Planzahlen Rentabilität'!$K$9:$FU$9,0)))</f>
        <v>112304.55</v>
      </c>
      <c r="AD538" s="781">
        <f ca="1">IF(ISERROR(INDEX('Planzahlen Rentabilität'!$K$12:$FU$29,MATCH(Grafiken!$S537,'Planzahlen Rentabilität'!$A$12:$A$29,0),MATCH(Grafiken!AD$530,'Planzahlen Rentabilität'!$K$9:$FU$9,0))),0,INDEX('Planzahlen Rentabilität'!$K$12:$FU$29,MATCH(Grafiken!$S537,'Planzahlen Rentabilität'!$A$12:$A$29,0),MATCH(Grafiken!AD$530,'Planzahlen Rentabilität'!$K$9:$FU$9,0)))</f>
        <v>123021.66</v>
      </c>
      <c r="AE538" s="781">
        <f ca="1">IF(ISERROR(INDEX('Planzahlen Rentabilität'!$K$12:$FU$29,MATCH(Grafiken!$S537,'Planzahlen Rentabilität'!$A$12:$A$29,0),MATCH(Grafiken!AE$530,'Planzahlen Rentabilität'!$K$9:$FU$9,0))),0,INDEX('Planzahlen Rentabilität'!$K$12:$FU$29,MATCH(Grafiken!$S537,'Planzahlen Rentabilität'!$A$12:$A$29,0),MATCH(Grafiken!AE$530,'Planzahlen Rentabilität'!$K$9:$FU$9,0)))</f>
        <v>147730</v>
      </c>
      <c r="AF538" s="781">
        <f>IF(ISERROR(INDEX('Planzahlen Rentabilität'!$K$12:$FU$29,MATCH(Grafiken!$S537,'Planzahlen Rentabilität'!$A$12:$A$29,0),MATCH(Grafiken!AF$530,'Planzahlen Rentabilität'!$K$9:$FU$9,0))),0,INDEX('Planzahlen Rentabilität'!$K$12:$FU$29,MATCH(Grafiken!$S537,'Planzahlen Rentabilität'!$A$12:$A$29,0),MATCH(Grafiken!AF$530,'Planzahlen Rentabilität'!$K$9:$FU$9,0)))</f>
        <v>0</v>
      </c>
      <c r="AG538" s="781">
        <f>IF(ISERROR(INDEX('Planzahlen Rentabilität'!$K$12:$FU$29,MATCH(Grafiken!$S537,'Planzahlen Rentabilität'!$A$12:$A$29,0),MATCH(Grafiken!AG$530,'Planzahlen Rentabilität'!$K$9:$FU$9,0))),0,INDEX('Planzahlen Rentabilität'!$K$12:$FU$29,MATCH(Grafiken!$S537,'Planzahlen Rentabilität'!$A$12:$A$29,0),MATCH(Grafiken!AG$530,'Planzahlen Rentabilität'!$K$9:$FU$9,0)))</f>
        <v>0</v>
      </c>
    </row>
    <row r="539" spans="19:33" x14ac:dyDescent="0.2">
      <c r="S539" s="770"/>
      <c r="T539" s="1462" t="s">
        <v>218</v>
      </c>
      <c r="U539" s="812" t="s">
        <v>205</v>
      </c>
      <c r="V539" s="776">
        <f t="shared" ref="V539:AG539" si="20">V537-V541</f>
        <v>63695.419444444444</v>
      </c>
      <c r="W539" s="776">
        <f t="shared" si="20"/>
        <v>127390.83888888889</v>
      </c>
      <c r="X539" s="776">
        <f t="shared" si="20"/>
        <v>191086.25833333333</v>
      </c>
      <c r="Y539" s="776">
        <f t="shared" si="20"/>
        <v>254781.6777777778</v>
      </c>
      <c r="Z539" s="776">
        <f t="shared" si="20"/>
        <v>322316.15972222225</v>
      </c>
      <c r="AA539" s="776">
        <f t="shared" si="20"/>
        <v>0</v>
      </c>
      <c r="AB539" s="776">
        <f t="shared" si="20"/>
        <v>439913.12361111114</v>
      </c>
      <c r="AC539" s="776">
        <f t="shared" si="20"/>
        <v>501586.00555555557</v>
      </c>
      <c r="AD539" s="776">
        <f t="shared" si="20"/>
        <v>563258.88749999995</v>
      </c>
      <c r="AE539" s="776">
        <f t="shared" si="20"/>
        <v>624931.76944444445</v>
      </c>
      <c r="AF539" s="776">
        <f t="shared" si="20"/>
        <v>686604.65138888883</v>
      </c>
      <c r="AG539" s="776">
        <f t="shared" si="20"/>
        <v>748277.53333333333</v>
      </c>
    </row>
    <row r="540" spans="19:33" x14ac:dyDescent="0.2">
      <c r="S540" s="770"/>
      <c r="T540" s="1463"/>
      <c r="U540" s="812" t="s">
        <v>206</v>
      </c>
      <c r="V540" s="776">
        <f t="shared" ref="V540:AG540" ca="1" si="21">V538-V542</f>
        <v>16736.91</v>
      </c>
      <c r="W540" s="776">
        <f t="shared" ca="1" si="21"/>
        <v>33444.590000000004</v>
      </c>
      <c r="X540" s="776">
        <f t="shared" ca="1" si="21"/>
        <v>33944.61</v>
      </c>
      <c r="Y540" s="776">
        <f t="shared" ca="1" si="21"/>
        <v>51804.160000000003</v>
      </c>
      <c r="Z540" s="776">
        <f t="shared" ca="1" si="21"/>
        <v>68190.28</v>
      </c>
      <c r="AA540" s="776">
        <f t="shared" ca="1" si="21"/>
        <v>68296.650000000009</v>
      </c>
      <c r="AB540" s="776">
        <f t="shared" ca="1" si="21"/>
        <v>86494.010000000009</v>
      </c>
      <c r="AC540" s="776">
        <f t="shared" ca="1" si="21"/>
        <v>100978.70000000001</v>
      </c>
      <c r="AD540" s="776">
        <f t="shared" ca="1" si="21"/>
        <v>116705.74</v>
      </c>
      <c r="AE540" s="776">
        <f t="shared" ca="1" si="21"/>
        <v>132487.95000000001</v>
      </c>
      <c r="AF540" s="776">
        <f t="shared" si="21"/>
        <v>0</v>
      </c>
      <c r="AG540" s="776">
        <f t="shared" si="21"/>
        <v>0</v>
      </c>
    </row>
    <row r="541" spans="19:33" x14ac:dyDescent="0.2">
      <c r="S541" s="1470" t="s">
        <v>219</v>
      </c>
      <c r="T541" s="1466" t="s">
        <v>220</v>
      </c>
      <c r="U541" s="812" t="s">
        <v>205</v>
      </c>
      <c r="V541" s="781">
        <f>IF(ISERROR(INDEX('Planzahlen Rentabilität'!$K$12:$FU$29,MATCH(Grafiken!$S541,'Planzahlen Rentabilität'!$A$12:$A$29,0),MATCH(Grafiken!V$531,'Planzahlen Rentabilität'!$K$9:$FU$9,0))),0,INDEX('Planzahlen Rentabilität'!$K$12:$FU$29,MATCH(Grafiken!$S541,'Planzahlen Rentabilität'!$A$12:$A$29,0),MATCH(Grafiken!V$531,'Planzahlen Rentabilität'!$K$9:$FU$9,0)))</f>
        <v>-1848.2594444444476</v>
      </c>
      <c r="W541" s="781">
        <f>IF(ISERROR(INDEX('Planzahlen Rentabilität'!$K$12:$FU$29,MATCH(Grafiken!$S541,'Planzahlen Rentabilität'!$A$12:$A$29,0),MATCH(Grafiken!W$531,'Planzahlen Rentabilität'!$K$9:$FU$9,0))),0,INDEX('Planzahlen Rentabilität'!$K$12:$FU$29,MATCH(Grafiken!$S541,'Planzahlen Rentabilität'!$A$12:$A$29,0),MATCH(Grafiken!W$531,'Planzahlen Rentabilität'!$K$9:$FU$9,0)))</f>
        <v>16919.201111111113</v>
      </c>
      <c r="X541" s="781">
        <f>IF(ISERROR(INDEX('Planzahlen Rentabilität'!$K$12:$FU$29,MATCH(Grafiken!$S541,'Planzahlen Rentabilität'!$A$12:$A$29,0),MATCH(Grafiken!X$531,'Planzahlen Rentabilität'!$K$9:$FU$9,0))),0,INDEX('Planzahlen Rentabilität'!$K$12:$FU$29,MATCH(Grafiken!$S541,'Planzahlen Rentabilität'!$A$12:$A$29,0),MATCH(Grafiken!X$531,'Planzahlen Rentabilität'!$K$9:$FU$9,0)))</f>
        <v>56302.381666666675</v>
      </c>
      <c r="Y541" s="781">
        <f>IF(ISERROR(INDEX('Planzahlen Rentabilität'!$K$12:$FU$29,MATCH(Grafiken!$S541,'Planzahlen Rentabilität'!$A$12:$A$29,0),MATCH(Grafiken!Y$531,'Planzahlen Rentabilität'!$K$9:$FU$9,0))),0,INDEX('Planzahlen Rentabilität'!$K$12:$FU$29,MATCH(Grafiken!$S541,'Planzahlen Rentabilität'!$A$12:$A$29,0),MATCH(Grafiken!Y$531,'Planzahlen Rentabilität'!$K$9:$FU$9,0)))</f>
        <v>64761.982222222236</v>
      </c>
      <c r="Z541" s="781">
        <f>IF(ISERROR(INDEX('Planzahlen Rentabilität'!$K$12:$FU$29,MATCH(Grafiken!$S541,'Planzahlen Rentabilität'!$A$12:$A$29,0),MATCH(Grafiken!Z$531,'Planzahlen Rentabilität'!$K$9:$FU$9,0))),0,INDEX('Planzahlen Rentabilität'!$K$12:$FU$29,MATCH(Grafiken!$S541,'Planzahlen Rentabilität'!$A$12:$A$29,0),MATCH(Grafiken!Z$531,'Planzahlen Rentabilität'!$K$9:$FU$9,0)))</f>
        <v>79690.380277777789</v>
      </c>
      <c r="AA541" s="781">
        <f>IF(ISERROR(INDEX('Planzahlen Rentabilität'!$K$12:$FU$29,MATCH(Grafiken!$S541,'Planzahlen Rentabilität'!$A$12:$A$29,0),MATCH(Grafiken!AA$531,'Planzahlen Rentabilität'!$K$9:$FU$9,0))),0,INDEX('Planzahlen Rentabilität'!$K$12:$FU$29,MATCH(Grafiken!$S541,'Planzahlen Rentabilität'!$A$12:$A$29,0),MATCH(Grafiken!AA$531,'Planzahlen Rentabilität'!$K$9:$FU$9,0)))</f>
        <v>0</v>
      </c>
      <c r="AB541" s="781">
        <f>IF(ISERROR(INDEX('Planzahlen Rentabilität'!$K$12:$FU$29,MATCH(Grafiken!$S541,'Planzahlen Rentabilität'!$A$12:$A$29,0),MATCH(Grafiken!AB$531,'Planzahlen Rentabilität'!$K$9:$FU$9,0))),0,INDEX('Planzahlen Rentabilität'!$K$12:$FU$29,MATCH(Grafiken!$S541,'Planzahlen Rentabilität'!$A$12:$A$29,0),MATCH(Grafiken!AB$531,'Planzahlen Rentabilität'!$K$9:$FU$9,0)))</f>
        <v>127019.17638888891</v>
      </c>
      <c r="AC541" s="781">
        <f>IF(ISERROR(INDEX('Planzahlen Rentabilität'!$K$12:$FU$29,MATCH(Grafiken!$S541,'Planzahlen Rentabilität'!$A$12:$A$29,0),MATCH(Grafiken!AC$531,'Planzahlen Rentabilität'!$K$9:$FU$9,0))),0,INDEX('Planzahlen Rentabilität'!$K$12:$FU$29,MATCH(Grafiken!$S541,'Planzahlen Rentabilität'!$A$12:$A$29,0),MATCH(Grafiken!AC$531,'Planzahlen Rentabilität'!$K$9:$FU$9,0)))</f>
        <v>137501.31444444446</v>
      </c>
      <c r="AD541" s="781">
        <f>IF(ISERROR(INDEX('Planzahlen Rentabilität'!$K$12:$FU$29,MATCH(Grafiken!$S541,'Planzahlen Rentabilität'!$A$12:$A$29,0),MATCH(Grafiken!AD$531,'Planzahlen Rentabilität'!$K$9:$FU$9,0))),0,INDEX('Planzahlen Rentabilität'!$K$12:$FU$29,MATCH(Grafiken!$S541,'Planzahlen Rentabilität'!$A$12:$A$29,0),MATCH(Grafiken!AD$531,'Planzahlen Rentabilität'!$K$9:$FU$9,0)))</f>
        <v>178907.03250000003</v>
      </c>
      <c r="AE541" s="781">
        <f>IF(ISERROR(INDEX('Planzahlen Rentabilität'!$K$12:$FU$29,MATCH(Grafiken!$S541,'Planzahlen Rentabilität'!$A$12:$A$29,0),MATCH(Grafiken!AE$531,'Planzahlen Rentabilität'!$K$9:$FU$9,0))),0,INDEX('Planzahlen Rentabilität'!$K$12:$FU$29,MATCH(Grafiken!$S541,'Planzahlen Rentabilität'!$A$12:$A$29,0),MATCH(Grafiken!AE$531,'Planzahlen Rentabilität'!$K$9:$FU$9,0)))</f>
        <v>220312.7505555556</v>
      </c>
      <c r="AF541" s="781">
        <f>IF(ISERROR(INDEX('Planzahlen Rentabilität'!$K$12:$FU$29,MATCH(Grafiken!$S541,'Planzahlen Rentabilität'!$A$12:$A$29,0),MATCH(Grafiken!AF$531,'Planzahlen Rentabilität'!$K$9:$FU$9,0))),0,INDEX('Planzahlen Rentabilität'!$K$12:$FU$29,MATCH(Grafiken!$S541,'Planzahlen Rentabilität'!$A$12:$A$29,0),MATCH(Grafiken!AF$531,'Planzahlen Rentabilität'!$K$9:$FU$9,0)))</f>
        <v>251410.60861111115</v>
      </c>
      <c r="AG541" s="781">
        <f>IF(ISERROR(INDEX('Planzahlen Rentabilität'!$K$12:$FU$29,MATCH(Grafiken!$S541,'Planzahlen Rentabilität'!$A$12:$A$29,0),MATCH(Grafiken!AG$531,'Planzahlen Rentabilität'!$K$9:$FU$9,0))),0,INDEX('Planzahlen Rentabilität'!$K$12:$FU$29,MATCH(Grafiken!$S541,'Planzahlen Rentabilität'!$A$12:$A$29,0),MATCH(Grafiken!AG$531,'Planzahlen Rentabilität'!$K$9:$FU$9,0)))</f>
        <v>282508.46666666667</v>
      </c>
    </row>
    <row r="542" spans="19:33" x14ac:dyDescent="0.2">
      <c r="S542" s="1470"/>
      <c r="T542" s="1467"/>
      <c r="U542" s="812" t="s">
        <v>206</v>
      </c>
      <c r="V542" s="781">
        <f ca="1">IF(ISERROR(INDEX('Planzahlen Rentabilität'!$K$12:$FU$29,MATCH(Grafiken!$S541,'Planzahlen Rentabilität'!$A$12:$A$29,0),MATCH(Grafiken!V$530,'Planzahlen Rentabilität'!$K$9:$FU$9,0))),0,INDEX('Planzahlen Rentabilität'!$K$12:$FU$29,MATCH(Grafiken!$S541,'Planzahlen Rentabilität'!$A$12:$A$29,0),MATCH(Grafiken!V$530,'Planzahlen Rentabilität'!$K$9:$FU$9,0)))</f>
        <v>-6408.93</v>
      </c>
      <c r="W542" s="781">
        <f ca="1">IF(ISERROR(INDEX('Planzahlen Rentabilität'!$K$12:$FU$29,MATCH(Grafiken!$S541,'Planzahlen Rentabilität'!$A$12:$A$29,0),MATCH(Grafiken!W$530,'Planzahlen Rentabilität'!$K$9:$FU$9,0))),0,INDEX('Planzahlen Rentabilität'!$K$12:$FU$29,MATCH(Grafiken!$S541,'Planzahlen Rentabilität'!$A$12:$A$29,0),MATCH(Grafiken!W$530,'Planzahlen Rentabilität'!$K$9:$FU$9,0)))</f>
        <v>-12450.58</v>
      </c>
      <c r="X542" s="781">
        <f ca="1">IF(ISERROR(INDEX('Planzahlen Rentabilität'!$K$12:$FU$29,MATCH(Grafiken!$S541,'Planzahlen Rentabilität'!$A$12:$A$29,0),MATCH(Grafiken!X$530,'Planzahlen Rentabilität'!$K$9:$FU$9,0))),0,INDEX('Planzahlen Rentabilität'!$K$12:$FU$29,MATCH(Grafiken!$S541,'Planzahlen Rentabilität'!$A$12:$A$29,0),MATCH(Grafiken!X$530,'Planzahlen Rentabilität'!$K$9:$FU$9,0)))</f>
        <v>-10630.59</v>
      </c>
      <c r="Y542" s="781">
        <f ca="1">IF(ISERROR(INDEX('Planzahlen Rentabilität'!$K$12:$FU$29,MATCH(Grafiken!$S541,'Planzahlen Rentabilität'!$A$12:$A$29,0),MATCH(Grafiken!Y$530,'Planzahlen Rentabilität'!$K$9:$FU$9,0))),0,INDEX('Planzahlen Rentabilität'!$K$12:$FU$29,MATCH(Grafiken!$S541,'Planzahlen Rentabilität'!$A$12:$A$29,0),MATCH(Grafiken!Y$530,'Planzahlen Rentabilität'!$K$9:$FU$9,0)))</f>
        <v>-20758.340000000004</v>
      </c>
      <c r="Z542" s="781">
        <f ca="1">IF(ISERROR(INDEX('Planzahlen Rentabilität'!$K$12:$FU$29,MATCH(Grafiken!$S541,'Planzahlen Rentabilität'!$A$12:$A$29,0),MATCH(Grafiken!Z$530,'Planzahlen Rentabilität'!$K$9:$FU$9,0))),0,INDEX('Planzahlen Rentabilität'!$K$12:$FU$29,MATCH(Grafiken!$S541,'Planzahlen Rentabilität'!$A$12:$A$29,0),MATCH(Grafiken!Z$530,'Planzahlen Rentabilität'!$K$9:$FU$9,0)))</f>
        <v>-25929.130000000005</v>
      </c>
      <c r="AA542" s="781">
        <f ca="1">IF(ISERROR(INDEX('Planzahlen Rentabilität'!$K$12:$FU$29,MATCH(Grafiken!$S541,'Planzahlen Rentabilität'!$A$12:$A$29,0),MATCH(Grafiken!AA$530,'Planzahlen Rentabilität'!$K$9:$FU$9,0))),0,INDEX('Planzahlen Rentabilität'!$K$12:$FU$29,MATCH(Grafiken!$S541,'Planzahlen Rentabilität'!$A$12:$A$29,0),MATCH(Grafiken!AA$530,'Planzahlen Rentabilität'!$K$9:$FU$9,0)))</f>
        <v>-25431.500000000004</v>
      </c>
      <c r="AB542" s="781">
        <f ca="1">IF(ISERROR(INDEX('Planzahlen Rentabilität'!$K$12:$FU$29,MATCH(Grafiken!$S541,'Planzahlen Rentabilität'!$A$12:$A$29,0),MATCH(Grafiken!AB$530,'Planzahlen Rentabilität'!$K$9:$FU$9,0))),0,INDEX('Planzahlen Rentabilität'!$K$12:$FU$29,MATCH(Grafiken!$S541,'Planzahlen Rentabilität'!$A$12:$A$29,0),MATCH(Grafiken!AB$530,'Planzahlen Rentabilität'!$K$9:$FU$9,0)))</f>
        <v>1108.8999999999978</v>
      </c>
      <c r="AC542" s="781">
        <f ca="1">IF(ISERROR(INDEX('Planzahlen Rentabilität'!$K$12:$FU$29,MATCH(Grafiken!$S541,'Planzahlen Rentabilität'!$A$12:$A$29,0),MATCH(Grafiken!AC$530,'Planzahlen Rentabilität'!$K$9:$FU$9,0))),0,INDEX('Planzahlen Rentabilität'!$K$12:$FU$29,MATCH(Grafiken!$S541,'Planzahlen Rentabilität'!$A$12:$A$29,0),MATCH(Grafiken!AC$530,'Planzahlen Rentabilität'!$K$9:$FU$9,0)))</f>
        <v>11325.849999999999</v>
      </c>
      <c r="AD542" s="781">
        <f ca="1">IF(ISERROR(INDEX('Planzahlen Rentabilität'!$K$12:$FU$29,MATCH(Grafiken!$S541,'Planzahlen Rentabilität'!$A$12:$A$29,0),MATCH(Grafiken!AD$530,'Planzahlen Rentabilität'!$K$9:$FU$9,0))),0,INDEX('Planzahlen Rentabilität'!$K$12:$FU$29,MATCH(Grafiken!$S541,'Planzahlen Rentabilität'!$A$12:$A$29,0),MATCH(Grafiken!AD$530,'Planzahlen Rentabilität'!$K$9:$FU$9,0)))</f>
        <v>6315.92</v>
      </c>
      <c r="AE542" s="781">
        <f ca="1">IF(ISERROR(INDEX('Planzahlen Rentabilität'!$K$12:$FU$29,MATCH(Grafiken!$S541,'Planzahlen Rentabilität'!$A$12:$A$29,0),MATCH(Grafiken!AE$530,'Planzahlen Rentabilität'!$K$9:$FU$9,0))),0,INDEX('Planzahlen Rentabilität'!$K$12:$FU$29,MATCH(Grafiken!$S541,'Planzahlen Rentabilität'!$A$12:$A$29,0),MATCH(Grafiken!AE$530,'Planzahlen Rentabilität'!$K$9:$FU$9,0)))</f>
        <v>15242.050000000001</v>
      </c>
      <c r="AF542" s="781">
        <f>IF(ISERROR(INDEX('Planzahlen Rentabilität'!$K$12:$FU$29,MATCH(Grafiken!$S541,'Planzahlen Rentabilität'!$A$12:$A$29,0),MATCH(Grafiken!AF$530,'Planzahlen Rentabilität'!$K$9:$FU$9,0))),0,INDEX('Planzahlen Rentabilität'!$K$12:$FU$29,MATCH(Grafiken!$S541,'Planzahlen Rentabilität'!$A$12:$A$29,0),MATCH(Grafiken!AF$530,'Planzahlen Rentabilität'!$K$9:$FU$9,0)))</f>
        <v>0</v>
      </c>
      <c r="AG542" s="781">
        <f>IF(ISERROR(INDEX('Planzahlen Rentabilität'!$K$12:$FU$29,MATCH(Grafiken!$S541,'Planzahlen Rentabilität'!$A$12:$A$29,0),MATCH(Grafiken!AG$530,'Planzahlen Rentabilität'!$K$9:$FU$9,0))),0,INDEX('Planzahlen Rentabilität'!$K$12:$FU$29,MATCH(Grafiken!$S541,'Planzahlen Rentabilität'!$A$12:$A$29,0),MATCH(Grafiken!AG$530,'Planzahlen Rentabilität'!$K$9:$FU$9,0)))</f>
        <v>0</v>
      </c>
    </row>
    <row r="543" spans="19:33" x14ac:dyDescent="0.2">
      <c r="S543" s="1470" t="s">
        <v>263</v>
      </c>
      <c r="T543" s="1466" t="s">
        <v>288</v>
      </c>
      <c r="U543" s="812" t="s">
        <v>205</v>
      </c>
      <c r="V543" s="781">
        <f>IF(ISERROR(INDEX('Planzahlen Rentabilität'!$K$12:$FU$62,MATCH(Grafiken!$S543,'Planzahlen Rentabilität'!$A$12:$A$62,0),MATCH(Grafiken!V$531,'Planzahlen Rentabilität'!$K$9:$FU$9,0))),0,INDEX('Planzahlen Rentabilität'!$K$12:$FU$62,MATCH(Grafiken!$S543,'Planzahlen Rentabilität'!$A$12:$A$62,0),MATCH(Grafiken!V$531,'Planzahlen Rentabilität'!$K$9:$FU$9,0)))</f>
        <v>-4093.7594444444476</v>
      </c>
      <c r="W543" s="781">
        <f>IF(ISERROR(INDEX('Planzahlen Rentabilität'!$K$12:$FU$62,MATCH(Grafiken!$S543,'Planzahlen Rentabilität'!$A$12:$A$62,0),MATCH(Grafiken!W$531,'Planzahlen Rentabilität'!$K$9:$FU$9,0))),0,INDEX('Planzahlen Rentabilität'!$K$12:$FU$62,MATCH(Grafiken!$S543,'Planzahlen Rentabilität'!$A$12:$A$62,0),MATCH(Grafiken!W$531,'Planzahlen Rentabilität'!$K$9:$FU$9,0)))</f>
        <v>12428.201111111113</v>
      </c>
      <c r="X543" s="781">
        <f>IF(ISERROR(INDEX('Planzahlen Rentabilität'!$K$12:$FU$62,MATCH(Grafiken!$S543,'Planzahlen Rentabilität'!$A$12:$A$62,0),MATCH(Grafiken!X$531,'Planzahlen Rentabilität'!$K$9:$FU$9,0))),0,INDEX('Planzahlen Rentabilität'!$K$12:$FU$62,MATCH(Grafiken!$S543,'Planzahlen Rentabilität'!$A$12:$A$62,0),MATCH(Grafiken!X$531,'Planzahlen Rentabilität'!$K$9:$FU$9,0)))</f>
        <v>49565.881666666675</v>
      </c>
      <c r="Y543" s="781">
        <f>IF(ISERROR(INDEX('Planzahlen Rentabilität'!$K$12:$FU$62,MATCH(Grafiken!$S543,'Planzahlen Rentabilität'!$A$12:$A$62,0),MATCH(Grafiken!Y$531,'Planzahlen Rentabilität'!$K$9:$FU$9,0))),0,INDEX('Planzahlen Rentabilität'!$K$12:$FU$62,MATCH(Grafiken!$S543,'Planzahlen Rentabilität'!$A$12:$A$62,0),MATCH(Grafiken!Y$531,'Planzahlen Rentabilität'!$K$9:$FU$9,0)))</f>
        <v>55779.982222222236</v>
      </c>
      <c r="Z543" s="781">
        <f>IF(ISERROR(INDEX('Planzahlen Rentabilität'!$K$12:$FU$62,MATCH(Grafiken!$S543,'Planzahlen Rentabilität'!$A$12:$A$62,0),MATCH(Grafiken!Z$531,'Planzahlen Rentabilität'!$K$9:$FU$9,0))),0,INDEX('Planzahlen Rentabilität'!$K$12:$FU$62,MATCH(Grafiken!$S543,'Planzahlen Rentabilität'!$A$12:$A$62,0),MATCH(Grafiken!Z$531,'Planzahlen Rentabilität'!$K$9:$FU$9,0)))</f>
        <v>68460.213611111132</v>
      </c>
      <c r="AA543" s="781">
        <f>IF(ISERROR(INDEX('Planzahlen Rentabilität'!$K$12:$FU$62,MATCH(Grafiken!$S543,'Planzahlen Rentabilität'!$A$12:$A$62,0),MATCH(Grafiken!AA$531,'Planzahlen Rentabilität'!$K$9:$FU$9,0))),0,INDEX('Planzahlen Rentabilität'!$K$12:$FU$62,MATCH(Grafiken!$S543,'Planzahlen Rentabilität'!$A$12:$A$62,0),MATCH(Grafiken!AA$531,'Planzahlen Rentabilität'!$K$9:$FU$9,0)))</f>
        <v>0</v>
      </c>
      <c r="AB543" s="781">
        <f>IF(ISERROR(INDEX('Planzahlen Rentabilität'!$K$12:$FU$62,MATCH(Grafiken!$S543,'Planzahlen Rentabilität'!$A$12:$A$62,0),MATCH(Grafiken!AB$531,'Planzahlen Rentabilität'!$K$9:$FU$9,0))),0,INDEX('Planzahlen Rentabilität'!$K$12:$FU$62,MATCH(Grafiken!$S543,'Planzahlen Rentabilität'!$A$12:$A$62,0),MATCH(Grafiken!AB$531,'Planzahlen Rentabilität'!$K$9:$FU$9,0)))</f>
        <v>111292.67638888891</v>
      </c>
      <c r="AC543" s="781">
        <f>IF(ISERROR(INDEX('Planzahlen Rentabilität'!$K$12:$FU$62,MATCH(Grafiken!$S543,'Planzahlen Rentabilität'!$A$12:$A$62,0),MATCH(Grafiken!AC$531,'Planzahlen Rentabilität'!$K$9:$FU$9,0))),0,INDEX('Planzahlen Rentabilität'!$K$12:$FU$62,MATCH(Grafiken!$S543,'Planzahlen Rentabilität'!$A$12:$A$62,0),MATCH(Grafiken!AC$531,'Planzahlen Rentabilität'!$K$9:$FU$9,0)))</f>
        <v>119526.64777777781</v>
      </c>
      <c r="AD543" s="781">
        <f>IF(ISERROR(INDEX('Planzahlen Rentabilität'!$K$12:$FU$62,MATCH(Grafiken!$S543,'Planzahlen Rentabilität'!$A$12:$A$62,0),MATCH(Grafiken!AD$531,'Planzahlen Rentabilität'!$K$9:$FU$9,0))),0,INDEX('Planzahlen Rentabilität'!$K$12:$FU$62,MATCH(Grafiken!$S543,'Planzahlen Rentabilität'!$A$12:$A$62,0),MATCH(Grafiken!AD$531,'Planzahlen Rentabilität'!$K$9:$FU$9,0)))</f>
        <v>158684.19916666672</v>
      </c>
      <c r="AE543" s="781">
        <f>IF(ISERROR(INDEX('Planzahlen Rentabilität'!$K$12:$FU$62,MATCH(Grafiken!$S543,'Planzahlen Rentabilität'!$A$12:$A$62,0),MATCH(Grafiken!AE$531,'Planzahlen Rentabilität'!$K$9:$FU$9,0))),0,INDEX('Planzahlen Rentabilität'!$K$12:$FU$62,MATCH(Grafiken!$S543,'Planzahlen Rentabilität'!$A$12:$A$62,0),MATCH(Grafiken!AE$531,'Planzahlen Rentabilität'!$K$9:$FU$9,0)))</f>
        <v>197841.75055555563</v>
      </c>
      <c r="AF543" s="781">
        <f>IF(ISERROR(INDEX('Planzahlen Rentabilität'!$K$12:$FU$62,MATCH(Grafiken!$S543,'Planzahlen Rentabilität'!$A$12:$A$62,0),MATCH(Grafiken!AF$531,'Planzahlen Rentabilität'!$K$9:$FU$9,0))),0,INDEX('Planzahlen Rentabilität'!$K$12:$FU$62,MATCH(Grafiken!$S543,'Planzahlen Rentabilität'!$A$12:$A$62,0),MATCH(Grafiken!AF$531,'Planzahlen Rentabilität'!$K$9:$FU$9,0)))</f>
        <v>226691.44194444449</v>
      </c>
      <c r="AG543" s="781">
        <f>IF(ISERROR(INDEX('Planzahlen Rentabilität'!$K$12:$FU$62,MATCH(Grafiken!$S543,'Planzahlen Rentabilität'!$A$12:$A$62,0),MATCH(Grafiken!AG$531,'Planzahlen Rentabilität'!$K$9:$FU$9,0))),0,INDEX('Planzahlen Rentabilität'!$K$12:$FU$62,MATCH(Grafiken!$S543,'Planzahlen Rentabilität'!$A$12:$A$62,0),MATCH(Grafiken!AG$531,'Planzahlen Rentabilität'!$K$9:$FU$9,0)))</f>
        <v>255541.13333333336</v>
      </c>
    </row>
    <row r="544" spans="19:33" x14ac:dyDescent="0.2">
      <c r="S544" s="1470"/>
      <c r="T544" s="1467"/>
      <c r="U544" s="812" t="s">
        <v>206</v>
      </c>
      <c r="V544" s="781">
        <f ca="1">IF(ISERROR(INDEX('Planzahlen Rentabilität'!$K$12:$FU$62,MATCH(Grafiken!$S543,'Planzahlen Rentabilität'!$A$12:$A$62,0),MATCH(Grafiken!V$530,'Planzahlen Rentabilität'!$K$9:$FU$9,0))),0,INDEX('Planzahlen Rentabilität'!$K$12:$FU$62,MATCH(Grafiken!$S543,'Planzahlen Rentabilität'!$A$12:$A$62,0),MATCH(Grafiken!V$530,'Planzahlen Rentabilität'!$K$9:$FU$9,0)))</f>
        <v>-9298.6600000000017</v>
      </c>
      <c r="W544" s="781">
        <f ca="1">IF(ISERROR(INDEX('Planzahlen Rentabilität'!$K$12:$FU$62,MATCH(Grafiken!$S543,'Planzahlen Rentabilität'!$A$12:$A$62,0),MATCH(Grafiken!W$530,'Planzahlen Rentabilität'!$K$9:$FU$9,0))),0,INDEX('Planzahlen Rentabilität'!$K$12:$FU$62,MATCH(Grafiken!$S543,'Planzahlen Rentabilität'!$A$12:$A$62,0),MATCH(Grafiken!W$530,'Planzahlen Rentabilität'!$K$9:$FU$9,0)))</f>
        <v>-19348.64</v>
      </c>
      <c r="X544" s="781">
        <f ca="1">IF(ISERROR(INDEX('Planzahlen Rentabilität'!$K$12:$FU$62,MATCH(Grafiken!$S543,'Planzahlen Rentabilität'!$A$12:$A$62,0),MATCH(Grafiken!X$530,'Planzahlen Rentabilität'!$K$9:$FU$9,0))),0,INDEX('Planzahlen Rentabilität'!$K$12:$FU$62,MATCH(Grafiken!$S543,'Planzahlen Rentabilität'!$A$12:$A$62,0),MATCH(Grafiken!X$530,'Planzahlen Rentabilität'!$K$9:$FU$9,0)))</f>
        <v>-19067.39</v>
      </c>
      <c r="Y544" s="781">
        <f ca="1">IF(ISERROR(INDEX('Planzahlen Rentabilität'!$K$12:$FU$62,MATCH(Grafiken!$S543,'Planzahlen Rentabilität'!$A$12:$A$62,0),MATCH(Grafiken!Y$530,'Planzahlen Rentabilität'!$K$9:$FU$9,0))),0,INDEX('Planzahlen Rentabilität'!$K$12:$FU$62,MATCH(Grafiken!$S543,'Planzahlen Rentabilität'!$A$12:$A$62,0),MATCH(Grafiken!Y$530,'Planzahlen Rentabilität'!$K$9:$FU$9,0)))</f>
        <v>-34227.17</v>
      </c>
      <c r="Z544" s="781">
        <f ca="1">IF(ISERROR(INDEX('Planzahlen Rentabilität'!$K$12:$FU$62,MATCH(Grafiken!$S543,'Planzahlen Rentabilität'!$A$12:$A$62,0),MATCH(Grafiken!Z$530,'Planzahlen Rentabilität'!$K$9:$FU$9,0))),0,INDEX('Planzahlen Rentabilität'!$K$12:$FU$62,MATCH(Grafiken!$S543,'Planzahlen Rentabilität'!$A$12:$A$62,0),MATCH(Grafiken!Z$530,'Planzahlen Rentabilität'!$K$9:$FU$9,0)))</f>
        <v>-45706.689999999995</v>
      </c>
      <c r="AA544" s="781">
        <f ca="1">IF(ISERROR(INDEX('Planzahlen Rentabilität'!$K$12:$FU$62,MATCH(Grafiken!$S543,'Planzahlen Rentabilität'!$A$12:$A$62,0),MATCH(Grafiken!AA$530,'Planzahlen Rentabilität'!$K$9:$FU$9,0))),0,INDEX('Planzahlen Rentabilität'!$K$12:$FU$62,MATCH(Grafiken!$S543,'Planzahlen Rentabilität'!$A$12:$A$62,0),MATCH(Grafiken!AA$530,'Planzahlen Rentabilität'!$K$9:$FU$9,0)))</f>
        <v>-45559.42</v>
      </c>
      <c r="AB544" s="781">
        <f ca="1">IF(ISERROR(INDEX('Planzahlen Rentabilität'!$K$12:$FU$62,MATCH(Grafiken!$S543,'Planzahlen Rentabilität'!$A$12:$A$62,0),MATCH(Grafiken!AB$530,'Planzahlen Rentabilität'!$K$9:$FU$9,0))),0,INDEX('Planzahlen Rentabilität'!$K$12:$FU$62,MATCH(Grafiken!$S543,'Planzahlen Rentabilität'!$A$12:$A$62,0),MATCH(Grafiken!AB$530,'Planzahlen Rentabilität'!$K$9:$FU$9,0)))</f>
        <v>-23329.089999999993</v>
      </c>
      <c r="AC544" s="781">
        <f ca="1">IF(ISERROR(INDEX('Planzahlen Rentabilität'!$K$12:$FU$62,MATCH(Grafiken!$S543,'Planzahlen Rentabilität'!$A$12:$A$62,0),MATCH(Grafiken!AC$530,'Planzahlen Rentabilität'!$K$9:$FU$9,0))),0,INDEX('Planzahlen Rentabilität'!$K$12:$FU$62,MATCH(Grafiken!$S543,'Planzahlen Rentabilität'!$A$12:$A$62,0),MATCH(Grafiken!AC$530,'Planzahlen Rentabilität'!$K$9:$FU$9,0)))</f>
        <v>-16777.279999999992</v>
      </c>
      <c r="AD544" s="781">
        <f ca="1">IF(ISERROR(INDEX('Planzahlen Rentabilität'!$K$12:$FU$62,MATCH(Grafiken!$S543,'Planzahlen Rentabilität'!$A$12:$A$62,0),MATCH(Grafiken!AD$530,'Planzahlen Rentabilität'!$K$9:$FU$9,0))),0,INDEX('Planzahlen Rentabilität'!$K$12:$FU$62,MATCH(Grafiken!$S543,'Planzahlen Rentabilität'!$A$12:$A$62,0),MATCH(Grafiken!AD$530,'Planzahlen Rentabilität'!$K$9:$FU$9,0)))</f>
        <v>-24155.149999999991</v>
      </c>
      <c r="AE544" s="781">
        <f ca="1">IF(ISERROR(INDEX('Planzahlen Rentabilität'!$K$12:$FU$62,MATCH(Grafiken!$S543,'Planzahlen Rentabilität'!$A$12:$A$62,0),MATCH(Grafiken!AE$530,'Planzahlen Rentabilität'!$K$9:$FU$9,0))),0,INDEX('Planzahlen Rentabilität'!$K$12:$FU$62,MATCH(Grafiken!$S543,'Planzahlen Rentabilität'!$A$12:$A$62,0),MATCH(Grafiken!AE$530,'Planzahlen Rentabilität'!$K$9:$FU$9,0)))</f>
        <v>-18078.279999999992</v>
      </c>
      <c r="AF544" s="781">
        <f>IF(ISERROR(INDEX('Planzahlen Rentabilität'!$K$12:$FU$62,MATCH(Grafiken!$S543,'Planzahlen Rentabilität'!$A$12:$A$62,0),MATCH(Grafiken!AF$530,'Planzahlen Rentabilität'!$K$9:$FU$9,0))),0,INDEX('Planzahlen Rentabilität'!$K$12:$FU$62,MATCH(Grafiken!$S543,'Planzahlen Rentabilität'!$A$12:$A$62,0),MATCH(Grafiken!AF$530,'Planzahlen Rentabilität'!$K$9:$FU$9,0)))</f>
        <v>0</v>
      </c>
      <c r="AG544" s="781">
        <f>IF(ISERROR(INDEX('Planzahlen Rentabilität'!$K$12:$FU$62,MATCH(Grafiken!$S543,'Planzahlen Rentabilität'!$A$12:$A$62,0),MATCH(Grafiken!AG$530,'Planzahlen Rentabilität'!$K$9:$FU$9,0))),0,INDEX('Planzahlen Rentabilität'!$K$12:$FU$62,MATCH(Grafiken!$S543,'Planzahlen Rentabilität'!$A$12:$A$62,0),MATCH(Grafiken!AG$530,'Planzahlen Rentabilität'!$K$9:$FU$9,0)))</f>
        <v>0</v>
      </c>
    </row>
    <row r="552" spans="1:1" ht="15" x14ac:dyDescent="0.2">
      <c r="A552" s="487" t="str">
        <f>"Jahresanalysen zum "&amp;Grunddaten!$E$7&amp;" "&amp;Grunddaten!$B$5</f>
        <v>Jahresanalysen zum Oktober 2019</v>
      </c>
    </row>
    <row r="601" spans="1:44" ht="15" x14ac:dyDescent="0.2">
      <c r="A601" s="487" t="str">
        <f>"Jahresanalysen zum "&amp;Grunddaten!$E$7&amp;" "&amp;Grunddaten!$B$5</f>
        <v>Jahresanalysen zum Oktober 2019</v>
      </c>
    </row>
    <row r="603" spans="1:44" x14ac:dyDescent="0.2">
      <c r="T603" s="524" t="s">
        <v>204</v>
      </c>
      <c r="U603" s="769">
        <v>1</v>
      </c>
      <c r="V603" s="769">
        <v>1</v>
      </c>
      <c r="W603" s="769">
        <v>2</v>
      </c>
      <c r="X603" s="769">
        <v>2</v>
      </c>
      <c r="Y603" s="769">
        <v>3</v>
      </c>
      <c r="Z603" s="769">
        <v>3</v>
      </c>
      <c r="AA603" s="769">
        <v>4</v>
      </c>
      <c r="AB603" s="769">
        <v>4</v>
      </c>
      <c r="AC603" s="769">
        <v>5</v>
      </c>
      <c r="AD603" s="769">
        <v>5</v>
      </c>
      <c r="AE603" s="769">
        <v>6</v>
      </c>
      <c r="AF603" s="769">
        <v>6</v>
      </c>
      <c r="AG603" s="769">
        <v>7</v>
      </c>
      <c r="AH603" s="769">
        <v>7</v>
      </c>
      <c r="AI603" s="769">
        <v>8</v>
      </c>
      <c r="AJ603" s="769">
        <v>8</v>
      </c>
      <c r="AK603" s="769">
        <v>9</v>
      </c>
      <c r="AL603" s="769">
        <v>9</v>
      </c>
      <c r="AM603" s="769">
        <v>10</v>
      </c>
      <c r="AN603" s="769">
        <v>10</v>
      </c>
      <c r="AO603" s="769">
        <v>11</v>
      </c>
      <c r="AP603" s="769">
        <v>11</v>
      </c>
      <c r="AQ603" s="769">
        <v>12</v>
      </c>
      <c r="AR603" s="769">
        <v>12</v>
      </c>
    </row>
    <row r="604" spans="1:44" x14ac:dyDescent="0.2">
      <c r="U604" s="769" t="str">
        <f>"P"&amp;U603</f>
        <v>P1</v>
      </c>
      <c r="V604" s="769" t="str">
        <f>"I"&amp;V603</f>
        <v>I1</v>
      </c>
      <c r="W604" s="769" t="str">
        <f t="shared" ref="W604:AQ604" si="22">"P"&amp;W603</f>
        <v>P2</v>
      </c>
      <c r="X604" s="769" t="str">
        <f>"I"&amp;X603</f>
        <v>I2</v>
      </c>
      <c r="Y604" s="769" t="str">
        <f t="shared" si="22"/>
        <v>P3</v>
      </c>
      <c r="Z604" s="769" t="str">
        <f>"I"&amp;Z603</f>
        <v>I3</v>
      </c>
      <c r="AA604" s="769" t="str">
        <f t="shared" si="22"/>
        <v>P4</v>
      </c>
      <c r="AB604" s="769" t="str">
        <f>"I"&amp;AB603</f>
        <v>I4</v>
      </c>
      <c r="AC604" s="769" t="str">
        <f t="shared" si="22"/>
        <v>P5</v>
      </c>
      <c r="AD604" s="769" t="str">
        <f>"I"&amp;AD603</f>
        <v>I5</v>
      </c>
      <c r="AE604" s="769" t="str">
        <f t="shared" si="22"/>
        <v>P6</v>
      </c>
      <c r="AF604" s="769" t="str">
        <f>"I"&amp;AF603</f>
        <v>I6</v>
      </c>
      <c r="AG604" s="769" t="str">
        <f t="shared" si="22"/>
        <v>P7</v>
      </c>
      <c r="AH604" s="769" t="str">
        <f>"I"&amp;AH603</f>
        <v>I7</v>
      </c>
      <c r="AI604" s="769" t="str">
        <f t="shared" si="22"/>
        <v>P8</v>
      </c>
      <c r="AJ604" s="769" t="str">
        <f>"I"&amp;AJ603</f>
        <v>I8</v>
      </c>
      <c r="AK604" s="769" t="str">
        <f t="shared" si="22"/>
        <v>P9</v>
      </c>
      <c r="AL604" s="769" t="str">
        <f>"I"&amp;AL603</f>
        <v>I9</v>
      </c>
      <c r="AM604" s="769" t="str">
        <f t="shared" si="22"/>
        <v>P10</v>
      </c>
      <c r="AN604" s="769" t="str">
        <f>"I"&amp;AN603</f>
        <v>I10</v>
      </c>
      <c r="AO604" s="769" t="str">
        <f t="shared" si="22"/>
        <v>P11</v>
      </c>
      <c r="AP604" s="769" t="str">
        <f>"I"&amp;AP603</f>
        <v>I11</v>
      </c>
      <c r="AQ604" s="769" t="str">
        <f t="shared" si="22"/>
        <v>P12</v>
      </c>
      <c r="AR604" s="769" t="str">
        <f>"I"&amp;AR603</f>
        <v>I12</v>
      </c>
    </row>
    <row r="605" spans="1:44" x14ac:dyDescent="0.2">
      <c r="U605" s="1464" t="s">
        <v>38</v>
      </c>
      <c r="V605" s="1465"/>
      <c r="W605" s="1464" t="s">
        <v>40</v>
      </c>
      <c r="X605" s="1465"/>
      <c r="Y605" s="1464" t="s">
        <v>43</v>
      </c>
      <c r="Z605" s="1465"/>
      <c r="AA605" s="1464" t="s">
        <v>45</v>
      </c>
      <c r="AB605" s="1465"/>
      <c r="AC605" s="1464" t="s">
        <v>47</v>
      </c>
      <c r="AD605" s="1465"/>
      <c r="AE605" s="1464" t="s">
        <v>49</v>
      </c>
      <c r="AF605" s="1465"/>
      <c r="AG605" s="1464" t="s">
        <v>51</v>
      </c>
      <c r="AH605" s="1465"/>
      <c r="AI605" s="1464" t="s">
        <v>52</v>
      </c>
      <c r="AJ605" s="1465"/>
      <c r="AK605" s="1464" t="s">
        <v>54</v>
      </c>
      <c r="AL605" s="1465"/>
      <c r="AM605" s="1464" t="s">
        <v>55</v>
      </c>
      <c r="AN605" s="1465"/>
      <c r="AO605" s="1464" t="s">
        <v>56</v>
      </c>
      <c r="AP605" s="1465"/>
      <c r="AQ605" s="1464" t="s">
        <v>57</v>
      </c>
      <c r="AR605" s="1465"/>
    </row>
    <row r="606" spans="1:44" x14ac:dyDescent="0.2">
      <c r="U606" s="802" t="s">
        <v>205</v>
      </c>
      <c r="V606" s="778" t="s">
        <v>206</v>
      </c>
      <c r="W606" s="802" t="s">
        <v>205</v>
      </c>
      <c r="X606" s="778" t="s">
        <v>206</v>
      </c>
      <c r="Y606" s="802" t="s">
        <v>205</v>
      </c>
      <c r="Z606" s="778" t="s">
        <v>206</v>
      </c>
      <c r="AA606" s="802" t="s">
        <v>205</v>
      </c>
      <c r="AB606" s="778" t="s">
        <v>206</v>
      </c>
      <c r="AC606" s="802" t="s">
        <v>205</v>
      </c>
      <c r="AD606" s="778" t="s">
        <v>206</v>
      </c>
      <c r="AE606" s="802" t="s">
        <v>205</v>
      </c>
      <c r="AF606" s="778" t="s">
        <v>206</v>
      </c>
      <c r="AG606" s="802" t="s">
        <v>205</v>
      </c>
      <c r="AH606" s="778" t="s">
        <v>206</v>
      </c>
      <c r="AI606" s="802" t="s">
        <v>205</v>
      </c>
      <c r="AJ606" s="778" t="s">
        <v>206</v>
      </c>
      <c r="AK606" s="802" t="s">
        <v>205</v>
      </c>
      <c r="AL606" s="778" t="s">
        <v>206</v>
      </c>
      <c r="AM606" s="802" t="s">
        <v>205</v>
      </c>
      <c r="AN606" s="778" t="s">
        <v>206</v>
      </c>
      <c r="AO606" s="802" t="s">
        <v>205</v>
      </c>
      <c r="AP606" s="778" t="s">
        <v>206</v>
      </c>
      <c r="AQ606" s="802" t="s">
        <v>205</v>
      </c>
      <c r="AR606" s="778" t="s">
        <v>206</v>
      </c>
    </row>
    <row r="607" spans="1:44" x14ac:dyDescent="0.2">
      <c r="S607" s="770" t="s">
        <v>255</v>
      </c>
      <c r="T607" s="771" t="s">
        <v>2</v>
      </c>
      <c r="U607" s="787">
        <f>INDEX('Planzahlen Rentabilität'!$K$12:$FU$56,MATCH(Grafiken!$S607,'Planzahlen Rentabilität'!$A$12:$A$56,0),MATCH(Grafiken!U$604,'Planzahlen Rentabilität'!$K$9:$FU$9,0))</f>
        <v>66.666666666666671</v>
      </c>
      <c r="V607" s="816">
        <f ca="1">INDEX('Planzahlen Rentabilität'!$K$12:$FU$56,MATCH(Grafiken!$S607,'Planzahlen Rentabilität'!$A$12:$A$56,0),MATCH(Grafiken!V$604,'Planzahlen Rentabilität'!$K$9:$FU$9,0))</f>
        <v>1761.74</v>
      </c>
      <c r="W607" s="787">
        <f>INDEX('Planzahlen Rentabilität'!$K$12:$FU$56,MATCH(Grafiken!$S607,'Planzahlen Rentabilität'!$A$12:$A$56,0),MATCH(Grafiken!W$604,'Planzahlen Rentabilität'!$K$9:$FU$9,0))</f>
        <v>66.666666666666671</v>
      </c>
      <c r="X607" s="787">
        <f ca="1">INDEX('Planzahlen Rentabilität'!$K$12:$FU$56,MATCH(Grafiken!$S607,'Planzahlen Rentabilität'!$A$12:$A$56,0),MATCH(Grafiken!X$604,'Planzahlen Rentabilität'!$K$9:$FU$9,0))</f>
        <v>1543.45</v>
      </c>
      <c r="Y607" s="787" t="e">
        <f>INDEX('Planzahlen Rentabilität'!$K$12:$FU$56,MATCH(Grafiken!$S607,'Planzahlen Rentabilität'!$A$12:$A$56,0),MATCH(Grafiken!Y$604,'Planzahlen Rentabilität'!$K$9:$FU$9,0))</f>
        <v>#N/A</v>
      </c>
      <c r="Z607" s="787">
        <f ca="1">INDEX('Planzahlen Rentabilität'!$K$12:$FU$56,MATCH(Grafiken!$S607,'Planzahlen Rentabilität'!$A$12:$A$56,0),MATCH(Grafiken!Z$604,'Planzahlen Rentabilität'!$K$9:$FU$9,0))</f>
        <v>1538.74</v>
      </c>
      <c r="AA607" s="787">
        <f>INDEX('Planzahlen Rentabilität'!$K$12:$FU$56,MATCH(Grafiken!$S607,'Planzahlen Rentabilität'!$A$12:$A$56,0),MATCH(Grafiken!AA$604,'Planzahlen Rentabilität'!$K$9:$FU$9,0))</f>
        <v>66.666666666666671</v>
      </c>
      <c r="AB607" s="787">
        <f ca="1">INDEX('Planzahlen Rentabilität'!$K$12:$FU$56,MATCH(Grafiken!$S607,'Planzahlen Rentabilität'!$A$12:$A$56,0),MATCH(Grafiken!AB$604,'Planzahlen Rentabilität'!$K$9:$FU$9,0))</f>
        <v>1581.49</v>
      </c>
      <c r="AC607" s="787">
        <f>INDEX('Planzahlen Rentabilität'!$K$12:$FU$56,MATCH(Grafiken!$S607,'Planzahlen Rentabilität'!$A$12:$A$56,0),MATCH(Grafiken!AC$604,'Planzahlen Rentabilität'!$K$9:$FU$9,0))</f>
        <v>66.666666666666671</v>
      </c>
      <c r="AD607" s="787">
        <f ca="1">INDEX('Planzahlen Rentabilität'!$K$12:$FU$56,MATCH(Grafiken!$S607,'Planzahlen Rentabilität'!$A$12:$A$56,0),MATCH(Grafiken!AD$604,'Planzahlen Rentabilität'!$K$9:$FU$9,0))</f>
        <v>2107.02</v>
      </c>
      <c r="AE607" s="787" t="e">
        <f>INDEX('Planzahlen Rentabilität'!$K$12:$FU$56,MATCH(Grafiken!$S607,'Planzahlen Rentabilität'!$A$12:$A$56,0),MATCH(Grafiken!AE$604,'Planzahlen Rentabilität'!$K$9:$FU$9,0))</f>
        <v>#N/A</v>
      </c>
      <c r="AF607" s="787">
        <f ca="1">INDEX('Planzahlen Rentabilität'!$K$12:$FU$56,MATCH(Grafiken!$S607,'Planzahlen Rentabilität'!$A$12:$A$56,0),MATCH(Grafiken!AF$604,'Planzahlen Rentabilität'!$K$9:$FU$9,0))</f>
        <v>585.28</v>
      </c>
      <c r="AG607" s="787">
        <f>INDEX('Planzahlen Rentabilität'!$K$12:$FU$56,MATCH(Grafiken!$S607,'Planzahlen Rentabilität'!$A$12:$A$56,0),MATCH(Grafiken!AG$604,'Planzahlen Rentabilität'!$K$9:$FU$9,0))</f>
        <v>66.666666666666671</v>
      </c>
      <c r="AH607" s="787">
        <f ca="1">INDEX('Planzahlen Rentabilität'!$K$12:$FU$56,MATCH(Grafiken!$S607,'Planzahlen Rentabilität'!$A$12:$A$56,0),MATCH(Grafiken!AH$604,'Planzahlen Rentabilität'!$K$9:$FU$9,0))</f>
        <v>2648.0299999999997</v>
      </c>
      <c r="AI607" s="787">
        <f>INDEX('Planzahlen Rentabilität'!$K$12:$FU$56,MATCH(Grafiken!$S607,'Planzahlen Rentabilität'!$A$12:$A$56,0),MATCH(Grafiken!AI$604,'Planzahlen Rentabilität'!$K$9:$FU$9,0))</f>
        <v>66.666666666666671</v>
      </c>
      <c r="AJ607" s="787">
        <f ca="1">INDEX('Planzahlen Rentabilität'!$K$12:$FU$56,MATCH(Grafiken!$S607,'Planzahlen Rentabilität'!$A$12:$A$56,0),MATCH(Grafiken!AJ$604,'Planzahlen Rentabilität'!$K$9:$FU$9,0))</f>
        <v>2058.58</v>
      </c>
      <c r="AK607" s="787">
        <f>INDEX('Planzahlen Rentabilität'!$K$12:$FU$56,MATCH(Grafiken!$S607,'Planzahlen Rentabilität'!$A$12:$A$56,0),MATCH(Grafiken!AK$604,'Planzahlen Rentabilität'!$K$9:$FU$9,0))</f>
        <v>66.666666666666671</v>
      </c>
      <c r="AL607" s="787">
        <f ca="1">INDEX('Planzahlen Rentabilität'!$K$12:$FU$56,MATCH(Grafiken!$S607,'Planzahlen Rentabilität'!$A$12:$A$56,0),MATCH(Grafiken!AL$604,'Planzahlen Rentabilität'!$K$9:$FU$9,0))</f>
        <v>1314.29</v>
      </c>
      <c r="AM607" s="787">
        <f>INDEX('Planzahlen Rentabilität'!$K$12:$FU$56,MATCH(Grafiken!$S607,'Planzahlen Rentabilität'!$A$12:$A$56,0),MATCH(Grafiken!AM$604,'Planzahlen Rentabilität'!$K$9:$FU$9,0))</f>
        <v>66.666666666666671</v>
      </c>
      <c r="AN607" s="816">
        <f ca="1">INDEX('Planzahlen Rentabilität'!$K$12:$FU$56,MATCH(Grafiken!$S607,'Planzahlen Rentabilität'!$A$12:$A$56,0),MATCH(Grafiken!AN$604,'Planzahlen Rentabilität'!$K$9:$FU$9,0))</f>
        <v>1314.29</v>
      </c>
      <c r="AO607" s="787">
        <f>INDEX('Planzahlen Rentabilität'!$K$12:$FU$56,MATCH(Grafiken!$S607,'Planzahlen Rentabilität'!$A$12:$A$56,0),MATCH(Grafiken!AO$604,'Planzahlen Rentabilität'!$K$9:$FU$9,0))</f>
        <v>66.666666666666671</v>
      </c>
      <c r="AP607" s="787">
        <f ca="1">INDEX('Planzahlen Rentabilität'!$K$12:$FU$56,MATCH(Grafiken!$S607,'Planzahlen Rentabilität'!$A$12:$A$56,0),MATCH(Grafiken!AP$604,'Planzahlen Rentabilität'!$K$9:$FU$9,0))</f>
        <v>0</v>
      </c>
      <c r="AQ607" s="787">
        <f>INDEX('Planzahlen Rentabilität'!$K$12:$FU$56,MATCH(Grafiken!$S607,'Planzahlen Rentabilität'!$A$12:$A$56,0),MATCH(Grafiken!AQ$604,'Planzahlen Rentabilität'!$K$9:$FU$9,0))</f>
        <v>66.666666666666671</v>
      </c>
      <c r="AR607" s="787">
        <f ca="1">INDEX('Planzahlen Rentabilität'!$K$12:$FU$56,MATCH(Grafiken!$S607,'Planzahlen Rentabilität'!$A$12:$A$56,0),MATCH(Grafiken!AR$604,'Planzahlen Rentabilität'!$K$9:$FU$9,0))</f>
        <v>0</v>
      </c>
    </row>
    <row r="608" spans="1:44" x14ac:dyDescent="0.2">
      <c r="S608" s="770">
        <v>17</v>
      </c>
      <c r="T608" s="771" t="s">
        <v>4</v>
      </c>
      <c r="U608" s="787">
        <f>INDEX('Planzahlen Rentabilität'!$K$12:$FU$56,MATCH(Grafiken!$S608,'Planzahlen Rentabilität'!$A$12:$A$56,0),MATCH(Grafiken!U$604,'Planzahlen Rentabilität'!$K$9:$FU$9,0))</f>
        <v>25</v>
      </c>
      <c r="V608" s="816">
        <f ca="1">INDEX('Planzahlen Rentabilität'!$K$12:$FU$56,MATCH(Grafiken!$S608,'Planzahlen Rentabilität'!$A$12:$A$56,0),MATCH(Grafiken!V$604,'Planzahlen Rentabilität'!$K$9:$FU$9,0))</f>
        <v>16.41</v>
      </c>
      <c r="W608" s="787">
        <f>INDEX('Planzahlen Rentabilität'!$K$12:$FU$56,MATCH(Grafiken!$S608,'Planzahlen Rentabilität'!$A$12:$A$56,0),MATCH(Grafiken!W$604,'Planzahlen Rentabilität'!$K$9:$FU$9,0))</f>
        <v>25</v>
      </c>
      <c r="X608" s="787">
        <f ca="1">INDEX('Planzahlen Rentabilität'!$K$12:$FU$56,MATCH(Grafiken!$S608,'Planzahlen Rentabilität'!$A$12:$A$56,0),MATCH(Grafiken!X$604,'Planzahlen Rentabilität'!$K$9:$FU$9,0))</f>
        <v>31.85</v>
      </c>
      <c r="Y608" s="787" t="e">
        <f>INDEX('Planzahlen Rentabilität'!$K$12:$FU$56,MATCH(Grafiken!$S608,'Planzahlen Rentabilität'!$A$12:$A$56,0),MATCH(Grafiken!Y$604,'Planzahlen Rentabilität'!$K$9:$FU$9,0))</f>
        <v>#N/A</v>
      </c>
      <c r="Z608" s="787">
        <f>INDEX('Planzahlen Rentabilität'!$K$12:$FU$56,MATCH(Grafiken!$S608,'Planzahlen Rentabilität'!$A$12:$A$56,0),MATCH(Grafiken!Z$604,'Planzahlen Rentabilität'!$K$9:$FU$9,0))</f>
        <v>0</v>
      </c>
      <c r="AA608" s="787">
        <f>INDEX('Planzahlen Rentabilität'!$K$12:$FU$56,MATCH(Grafiken!$S608,'Planzahlen Rentabilität'!$A$12:$A$56,0),MATCH(Grafiken!AA$604,'Planzahlen Rentabilität'!$K$9:$FU$9,0))</f>
        <v>25</v>
      </c>
      <c r="AB608" s="787">
        <f ca="1">INDEX('Planzahlen Rentabilität'!$K$12:$FU$56,MATCH(Grafiken!$S608,'Planzahlen Rentabilität'!$A$12:$A$56,0),MATCH(Grafiken!AB$604,'Planzahlen Rentabilität'!$K$9:$FU$9,0))</f>
        <v>200.76</v>
      </c>
      <c r="AC608" s="787">
        <f>INDEX('Planzahlen Rentabilität'!$K$12:$FU$56,MATCH(Grafiken!$S608,'Planzahlen Rentabilität'!$A$12:$A$56,0),MATCH(Grafiken!AC$604,'Planzahlen Rentabilität'!$K$9:$FU$9,0))</f>
        <v>25</v>
      </c>
      <c r="AD608" s="787">
        <f ca="1">INDEX('Planzahlen Rentabilität'!$K$12:$FU$56,MATCH(Grafiken!$S608,'Planzahlen Rentabilität'!$A$12:$A$56,0),MATCH(Grafiken!AD$604,'Planzahlen Rentabilität'!$K$9:$FU$9,0))</f>
        <v>16.489999999999998</v>
      </c>
      <c r="AE608" s="787" t="e">
        <f>INDEX('Planzahlen Rentabilität'!$K$12:$FU$56,MATCH(Grafiken!$S608,'Planzahlen Rentabilität'!$A$12:$A$56,0),MATCH(Grafiken!AE$604,'Planzahlen Rentabilität'!$K$9:$FU$9,0))</f>
        <v>#N/A</v>
      </c>
      <c r="AF608" s="787">
        <f>INDEX('Planzahlen Rentabilität'!$K$12:$FU$56,MATCH(Grafiken!$S608,'Planzahlen Rentabilität'!$A$12:$A$56,0),MATCH(Grafiken!AF$604,'Planzahlen Rentabilität'!$K$9:$FU$9,0))</f>
        <v>0</v>
      </c>
      <c r="AG608" s="787">
        <f>INDEX('Planzahlen Rentabilität'!$K$12:$FU$56,MATCH(Grafiken!$S608,'Planzahlen Rentabilität'!$A$12:$A$56,0),MATCH(Grafiken!AG$604,'Planzahlen Rentabilität'!$K$9:$FU$9,0))</f>
        <v>25</v>
      </c>
      <c r="AH608" s="787">
        <f ca="1">INDEX('Planzahlen Rentabilität'!$K$12:$FU$56,MATCH(Grafiken!$S608,'Planzahlen Rentabilität'!$A$12:$A$56,0),MATCH(Grafiken!AH$604,'Planzahlen Rentabilität'!$K$9:$FU$9,0))</f>
        <v>254.24</v>
      </c>
      <c r="AI608" s="787">
        <f>INDEX('Planzahlen Rentabilität'!$K$12:$FU$56,MATCH(Grafiken!$S608,'Planzahlen Rentabilität'!$A$12:$A$56,0),MATCH(Grafiken!AI$604,'Planzahlen Rentabilität'!$K$9:$FU$9,0))</f>
        <v>25</v>
      </c>
      <c r="AJ608" s="787">
        <f ca="1">INDEX('Planzahlen Rentabilität'!$K$12:$FU$56,MATCH(Grafiken!$S608,'Planzahlen Rentabilität'!$A$12:$A$56,0),MATCH(Grafiken!AJ$604,'Planzahlen Rentabilität'!$K$9:$FU$9,0))</f>
        <v>25.63</v>
      </c>
      <c r="AK608" s="787">
        <f>INDEX('Planzahlen Rentabilität'!$K$12:$FU$56,MATCH(Grafiken!$S608,'Planzahlen Rentabilität'!$A$12:$A$56,0),MATCH(Grafiken!AK$604,'Planzahlen Rentabilität'!$K$9:$FU$9,0))</f>
        <v>25</v>
      </c>
      <c r="AL608" s="787">
        <f ca="1">INDEX('Planzahlen Rentabilität'!$K$12:$FU$56,MATCH(Grafiken!$S608,'Planzahlen Rentabilität'!$A$12:$A$56,0),MATCH(Grafiken!AL$604,'Planzahlen Rentabilität'!$K$9:$FU$9,0))</f>
        <v>0</v>
      </c>
      <c r="AM608" s="787">
        <f>INDEX('Planzahlen Rentabilität'!$K$12:$FU$56,MATCH(Grafiken!$S608,'Planzahlen Rentabilität'!$A$12:$A$56,0),MATCH(Grafiken!AM$604,'Planzahlen Rentabilität'!$K$9:$FU$9,0))</f>
        <v>25</v>
      </c>
      <c r="AN608" s="787">
        <f ca="1">INDEX('Planzahlen Rentabilität'!$K$12:$FU$56,MATCH(Grafiken!$S608,'Planzahlen Rentabilität'!$A$12:$A$56,0),MATCH(Grafiken!AN$604,'Planzahlen Rentabilität'!$K$9:$FU$9,0))</f>
        <v>49.94</v>
      </c>
      <c r="AO608" s="787">
        <f>INDEX('Planzahlen Rentabilität'!$K$12:$FU$56,MATCH(Grafiken!$S608,'Planzahlen Rentabilität'!$A$12:$A$56,0),MATCH(Grafiken!AO$604,'Planzahlen Rentabilität'!$K$9:$FU$9,0))</f>
        <v>25</v>
      </c>
      <c r="AP608" s="787">
        <f ca="1">INDEX('Planzahlen Rentabilität'!$K$12:$FU$56,MATCH(Grafiken!$S608,'Planzahlen Rentabilität'!$A$12:$A$56,0),MATCH(Grafiken!AP$604,'Planzahlen Rentabilität'!$K$9:$FU$9,0))</f>
        <v>0</v>
      </c>
      <c r="AQ608" s="787">
        <f>INDEX('Planzahlen Rentabilität'!$K$12:$FU$56,MATCH(Grafiken!$S608,'Planzahlen Rentabilität'!$A$12:$A$56,0),MATCH(Grafiken!AQ$604,'Planzahlen Rentabilität'!$K$9:$FU$9,0))</f>
        <v>25</v>
      </c>
      <c r="AR608" s="787">
        <f ca="1">INDEX('Planzahlen Rentabilität'!$K$12:$FU$56,MATCH(Grafiken!$S608,'Planzahlen Rentabilität'!$A$12:$A$56,0),MATCH(Grafiken!AR$604,'Planzahlen Rentabilität'!$K$9:$FU$9,0))</f>
        <v>0</v>
      </c>
    </row>
    <row r="609" spans="19:44" x14ac:dyDescent="0.2">
      <c r="S609" s="770">
        <v>18</v>
      </c>
      <c r="T609" s="771" t="s">
        <v>289</v>
      </c>
      <c r="U609" s="787">
        <f>INDEX('Planzahlen Rentabilität'!$K$12:$FU$56,MATCH(Grafiken!$S609,'Planzahlen Rentabilität'!$A$12:$A$56,0),MATCH(Grafiken!U$604,'Planzahlen Rentabilität'!$K$9:$FU$9,0))</f>
        <v>237.5</v>
      </c>
      <c r="V609" s="816">
        <f ca="1">INDEX('Planzahlen Rentabilität'!$K$12:$FU$56,MATCH(Grafiken!$S609,'Planzahlen Rentabilität'!$A$12:$A$56,0),MATCH(Grafiken!V$604,'Planzahlen Rentabilität'!$K$9:$FU$9,0))</f>
        <v>0</v>
      </c>
      <c r="W609" s="787">
        <f>INDEX('Planzahlen Rentabilität'!$K$12:$FU$56,MATCH(Grafiken!$S609,'Planzahlen Rentabilität'!$A$12:$A$56,0),MATCH(Grafiken!W$604,'Planzahlen Rentabilität'!$K$9:$FU$9,0))</f>
        <v>237.5</v>
      </c>
      <c r="X609" s="787">
        <f ca="1">INDEX('Planzahlen Rentabilität'!$K$12:$FU$56,MATCH(Grafiken!$S609,'Planzahlen Rentabilität'!$A$12:$A$56,0),MATCH(Grafiken!X$604,'Planzahlen Rentabilität'!$K$9:$FU$9,0))</f>
        <v>0</v>
      </c>
      <c r="Y609" s="787" t="e">
        <f>INDEX('Planzahlen Rentabilität'!$K$12:$FU$56,MATCH(Grafiken!$S609,'Planzahlen Rentabilität'!$A$12:$A$56,0),MATCH(Grafiken!Y$604,'Planzahlen Rentabilität'!$K$9:$FU$9,0))</f>
        <v>#N/A</v>
      </c>
      <c r="Z609" s="787">
        <f>INDEX('Planzahlen Rentabilität'!$K$12:$FU$56,MATCH(Grafiken!$S609,'Planzahlen Rentabilität'!$A$12:$A$56,0),MATCH(Grafiken!Z$604,'Planzahlen Rentabilität'!$K$9:$FU$9,0))</f>
        <v>0</v>
      </c>
      <c r="AA609" s="787">
        <f>INDEX('Planzahlen Rentabilität'!$K$12:$FU$56,MATCH(Grafiken!$S609,'Planzahlen Rentabilität'!$A$12:$A$56,0),MATCH(Grafiken!AA$604,'Planzahlen Rentabilität'!$K$9:$FU$9,0))</f>
        <v>237.5</v>
      </c>
      <c r="AB609" s="787">
        <f ca="1">INDEX('Planzahlen Rentabilität'!$K$12:$FU$56,MATCH(Grafiken!$S609,'Planzahlen Rentabilität'!$A$12:$A$56,0),MATCH(Grafiken!AB$604,'Planzahlen Rentabilität'!$K$9:$FU$9,0))</f>
        <v>0</v>
      </c>
      <c r="AC609" s="787">
        <f>INDEX('Planzahlen Rentabilität'!$K$12:$FU$56,MATCH(Grafiken!$S609,'Planzahlen Rentabilität'!$A$12:$A$56,0),MATCH(Grafiken!AC$604,'Planzahlen Rentabilität'!$K$9:$FU$9,0))</f>
        <v>237.5</v>
      </c>
      <c r="AD609" s="787">
        <f ca="1">INDEX('Planzahlen Rentabilität'!$K$12:$FU$56,MATCH(Grafiken!$S609,'Planzahlen Rentabilität'!$A$12:$A$56,0),MATCH(Grafiken!AD$604,'Planzahlen Rentabilität'!$K$9:$FU$9,0))</f>
        <v>0</v>
      </c>
      <c r="AE609" s="787" t="e">
        <f>INDEX('Planzahlen Rentabilität'!$K$12:$FU$56,MATCH(Grafiken!$S609,'Planzahlen Rentabilität'!$A$12:$A$56,0),MATCH(Grafiken!AE$604,'Planzahlen Rentabilität'!$K$9:$FU$9,0))</f>
        <v>#N/A</v>
      </c>
      <c r="AF609" s="787">
        <f>INDEX('Planzahlen Rentabilität'!$K$12:$FU$56,MATCH(Grafiken!$S609,'Planzahlen Rentabilität'!$A$12:$A$56,0),MATCH(Grafiken!AF$604,'Planzahlen Rentabilität'!$K$9:$FU$9,0))</f>
        <v>0</v>
      </c>
      <c r="AG609" s="787">
        <f>INDEX('Planzahlen Rentabilität'!$K$12:$FU$56,MATCH(Grafiken!$S609,'Planzahlen Rentabilität'!$A$12:$A$56,0),MATCH(Grafiken!AG$604,'Planzahlen Rentabilität'!$K$9:$FU$9,0))</f>
        <v>237.5</v>
      </c>
      <c r="AH609" s="787">
        <f ca="1">INDEX('Planzahlen Rentabilität'!$K$12:$FU$56,MATCH(Grafiken!$S609,'Planzahlen Rentabilität'!$A$12:$A$56,0),MATCH(Grafiken!AH$604,'Planzahlen Rentabilität'!$K$9:$FU$9,0))</f>
        <v>0</v>
      </c>
      <c r="AI609" s="787">
        <f>INDEX('Planzahlen Rentabilität'!$K$12:$FU$56,MATCH(Grafiken!$S609,'Planzahlen Rentabilität'!$A$12:$A$56,0),MATCH(Grafiken!AI$604,'Planzahlen Rentabilität'!$K$9:$FU$9,0))</f>
        <v>237.5</v>
      </c>
      <c r="AJ609" s="787">
        <f ca="1">INDEX('Planzahlen Rentabilität'!$K$12:$FU$56,MATCH(Grafiken!$S609,'Planzahlen Rentabilität'!$A$12:$A$56,0),MATCH(Grafiken!AJ$604,'Planzahlen Rentabilität'!$K$9:$FU$9,0))</f>
        <v>15.65</v>
      </c>
      <c r="AK609" s="787">
        <f>INDEX('Planzahlen Rentabilität'!$K$12:$FU$56,MATCH(Grafiken!$S609,'Planzahlen Rentabilität'!$A$12:$A$56,0),MATCH(Grafiken!AK$604,'Planzahlen Rentabilität'!$K$9:$FU$9,0))</f>
        <v>237.5</v>
      </c>
      <c r="AL609" s="787">
        <f ca="1">INDEX('Planzahlen Rentabilität'!$K$12:$FU$56,MATCH(Grafiken!$S609,'Planzahlen Rentabilität'!$A$12:$A$56,0),MATCH(Grafiken!AL$604,'Planzahlen Rentabilität'!$K$9:$FU$9,0))</f>
        <v>0</v>
      </c>
      <c r="AM609" s="787">
        <f>INDEX('Planzahlen Rentabilität'!$K$12:$FU$56,MATCH(Grafiken!$S609,'Planzahlen Rentabilität'!$A$12:$A$56,0),MATCH(Grafiken!AM$604,'Planzahlen Rentabilität'!$K$9:$FU$9,0))</f>
        <v>237.5</v>
      </c>
      <c r="AN609" s="787">
        <f ca="1">INDEX('Planzahlen Rentabilität'!$K$12:$FU$56,MATCH(Grafiken!$S609,'Planzahlen Rentabilität'!$A$12:$A$56,0),MATCH(Grafiken!AN$604,'Planzahlen Rentabilität'!$K$9:$FU$9,0))</f>
        <v>29</v>
      </c>
      <c r="AO609" s="787">
        <f>INDEX('Planzahlen Rentabilität'!$K$12:$FU$56,MATCH(Grafiken!$S609,'Planzahlen Rentabilität'!$A$12:$A$56,0),MATCH(Grafiken!AO$604,'Planzahlen Rentabilität'!$K$9:$FU$9,0))</f>
        <v>237.5</v>
      </c>
      <c r="AP609" s="787">
        <f ca="1">INDEX('Planzahlen Rentabilität'!$K$12:$FU$56,MATCH(Grafiken!$S609,'Planzahlen Rentabilität'!$A$12:$A$56,0),MATCH(Grafiken!AP$604,'Planzahlen Rentabilität'!$K$9:$FU$9,0))</f>
        <v>0</v>
      </c>
      <c r="AQ609" s="787">
        <f>INDEX('Planzahlen Rentabilität'!$K$12:$FU$56,MATCH(Grafiken!$S609,'Planzahlen Rentabilität'!$A$12:$A$56,0),MATCH(Grafiken!AQ$604,'Planzahlen Rentabilität'!$K$9:$FU$9,0))</f>
        <v>237.5</v>
      </c>
      <c r="AR609" s="787">
        <f ca="1">INDEX('Planzahlen Rentabilität'!$K$12:$FU$56,MATCH(Grafiken!$S609,'Planzahlen Rentabilität'!$A$12:$A$56,0),MATCH(Grafiken!AR$604,'Planzahlen Rentabilität'!$K$9:$FU$9,0))</f>
        <v>0</v>
      </c>
    </row>
    <row r="610" spans="19:44" x14ac:dyDescent="0.2">
      <c r="S610" s="770">
        <v>19</v>
      </c>
      <c r="T610" s="771" t="s">
        <v>266</v>
      </c>
      <c r="U610" s="787">
        <f>INDEX('Planzahlen Rentabilität'!$K$12:$FU$56,MATCH(Grafiken!$S610,'Planzahlen Rentabilität'!$A$12:$A$56,0),MATCH(Grafiken!U$604,'Planzahlen Rentabilität'!$K$9:$FU$9,0))</f>
        <v>150</v>
      </c>
      <c r="V610" s="816">
        <f ca="1">INDEX('Planzahlen Rentabilität'!$K$12:$FU$56,MATCH(Grafiken!$S610,'Planzahlen Rentabilität'!$A$12:$A$56,0),MATCH(Grafiken!V$604,'Planzahlen Rentabilität'!$K$9:$FU$9,0))</f>
        <v>224.81</v>
      </c>
      <c r="W610" s="787">
        <f>INDEX('Planzahlen Rentabilität'!$K$12:$FU$56,MATCH(Grafiken!$S610,'Planzahlen Rentabilität'!$A$12:$A$56,0),MATCH(Grafiken!W$604,'Planzahlen Rentabilität'!$K$9:$FU$9,0))</f>
        <v>150</v>
      </c>
      <c r="X610" s="787">
        <f ca="1">INDEX('Planzahlen Rentabilität'!$K$12:$FU$56,MATCH(Grafiken!$S610,'Planzahlen Rentabilität'!$A$12:$A$56,0),MATCH(Grafiken!X$604,'Planzahlen Rentabilität'!$K$9:$FU$9,0))</f>
        <v>27</v>
      </c>
      <c r="Y610" s="787" t="e">
        <f>INDEX('Planzahlen Rentabilität'!$K$12:$FU$56,MATCH(Grafiken!$S610,'Planzahlen Rentabilität'!$A$12:$A$56,0),MATCH(Grafiken!Y$604,'Planzahlen Rentabilität'!$K$9:$FU$9,0))</f>
        <v>#N/A</v>
      </c>
      <c r="Z610" s="787">
        <f>INDEX('Planzahlen Rentabilität'!$K$12:$FU$56,MATCH(Grafiken!$S610,'Planzahlen Rentabilität'!$A$12:$A$56,0),MATCH(Grafiken!Z$604,'Planzahlen Rentabilität'!$K$9:$FU$9,0))</f>
        <v>0</v>
      </c>
      <c r="AA610" s="787">
        <f>INDEX('Planzahlen Rentabilität'!$K$12:$FU$56,MATCH(Grafiken!$S610,'Planzahlen Rentabilität'!$A$12:$A$56,0),MATCH(Grafiken!AA$604,'Planzahlen Rentabilität'!$K$9:$FU$9,0))</f>
        <v>150</v>
      </c>
      <c r="AB610" s="787">
        <f ca="1">INDEX('Planzahlen Rentabilität'!$K$12:$FU$56,MATCH(Grafiken!$S610,'Planzahlen Rentabilität'!$A$12:$A$56,0),MATCH(Grafiken!AB$604,'Planzahlen Rentabilität'!$K$9:$FU$9,0))</f>
        <v>1.2</v>
      </c>
      <c r="AC610" s="787">
        <f>INDEX('Planzahlen Rentabilität'!$K$12:$FU$56,MATCH(Grafiken!$S610,'Planzahlen Rentabilität'!$A$12:$A$56,0),MATCH(Grafiken!AC$604,'Planzahlen Rentabilität'!$K$9:$FU$9,0))</f>
        <v>150</v>
      </c>
      <c r="AD610" s="787">
        <f ca="1">INDEX('Planzahlen Rentabilität'!$K$12:$FU$56,MATCH(Grafiken!$S610,'Planzahlen Rentabilität'!$A$12:$A$56,0),MATCH(Grafiken!AD$604,'Planzahlen Rentabilität'!$K$9:$FU$9,0))</f>
        <v>215.1</v>
      </c>
      <c r="AE610" s="787" t="e">
        <f>INDEX('Planzahlen Rentabilität'!$K$12:$FU$56,MATCH(Grafiken!$S610,'Planzahlen Rentabilität'!$A$12:$A$56,0),MATCH(Grafiken!AE$604,'Planzahlen Rentabilität'!$K$9:$FU$9,0))</f>
        <v>#N/A</v>
      </c>
      <c r="AF610" s="787">
        <f>INDEX('Planzahlen Rentabilität'!$K$12:$FU$56,MATCH(Grafiken!$S610,'Planzahlen Rentabilität'!$A$12:$A$56,0),MATCH(Grafiken!AF$604,'Planzahlen Rentabilität'!$K$9:$FU$9,0))</f>
        <v>0</v>
      </c>
      <c r="AG610" s="787">
        <f>INDEX('Planzahlen Rentabilität'!$K$12:$FU$56,MATCH(Grafiken!$S610,'Planzahlen Rentabilität'!$A$12:$A$56,0),MATCH(Grafiken!AG$604,'Planzahlen Rentabilität'!$K$9:$FU$9,0))</f>
        <v>150</v>
      </c>
      <c r="AH610" s="787">
        <f ca="1">INDEX('Planzahlen Rentabilität'!$K$12:$FU$56,MATCH(Grafiken!$S610,'Planzahlen Rentabilität'!$A$12:$A$56,0),MATCH(Grafiken!AH$604,'Planzahlen Rentabilität'!$K$9:$FU$9,0))</f>
        <v>187.92000000000002</v>
      </c>
      <c r="AI610" s="787">
        <f>INDEX('Planzahlen Rentabilität'!$K$12:$FU$56,MATCH(Grafiken!$S610,'Planzahlen Rentabilität'!$A$12:$A$56,0),MATCH(Grafiken!AI$604,'Planzahlen Rentabilität'!$K$9:$FU$9,0))</f>
        <v>150</v>
      </c>
      <c r="AJ610" s="787">
        <f ca="1">INDEX('Planzahlen Rentabilität'!$K$12:$FU$56,MATCH(Grafiken!$S610,'Planzahlen Rentabilität'!$A$12:$A$56,0),MATCH(Grafiken!AJ$604,'Planzahlen Rentabilität'!$K$9:$FU$9,0))</f>
        <v>52.5</v>
      </c>
      <c r="AK610" s="787">
        <f>INDEX('Planzahlen Rentabilität'!$K$12:$FU$56,MATCH(Grafiken!$S610,'Planzahlen Rentabilität'!$A$12:$A$56,0),MATCH(Grafiken!AK$604,'Planzahlen Rentabilität'!$K$9:$FU$9,0))</f>
        <v>150</v>
      </c>
      <c r="AL610" s="787">
        <f ca="1">INDEX('Planzahlen Rentabilität'!$K$12:$FU$56,MATCH(Grafiken!$S610,'Planzahlen Rentabilität'!$A$12:$A$56,0),MATCH(Grafiken!AL$604,'Planzahlen Rentabilität'!$K$9:$FU$9,0))</f>
        <v>0</v>
      </c>
      <c r="AM610" s="787">
        <f>INDEX('Planzahlen Rentabilität'!$K$12:$FU$56,MATCH(Grafiken!$S610,'Planzahlen Rentabilität'!$A$12:$A$56,0),MATCH(Grafiken!AM$604,'Planzahlen Rentabilität'!$K$9:$FU$9,0))</f>
        <v>150</v>
      </c>
      <c r="AN610" s="787">
        <f ca="1">INDEX('Planzahlen Rentabilität'!$K$12:$FU$56,MATCH(Grafiken!$S610,'Planzahlen Rentabilität'!$A$12:$A$56,0),MATCH(Grafiken!AN$604,'Planzahlen Rentabilität'!$K$9:$FU$9,0))</f>
        <v>166.5</v>
      </c>
      <c r="AO610" s="787">
        <f>INDEX('Planzahlen Rentabilität'!$K$12:$FU$56,MATCH(Grafiken!$S610,'Planzahlen Rentabilität'!$A$12:$A$56,0),MATCH(Grafiken!AO$604,'Planzahlen Rentabilität'!$K$9:$FU$9,0))</f>
        <v>150</v>
      </c>
      <c r="AP610" s="787">
        <f ca="1">INDEX('Planzahlen Rentabilität'!$K$12:$FU$56,MATCH(Grafiken!$S610,'Planzahlen Rentabilität'!$A$12:$A$56,0),MATCH(Grafiken!AP$604,'Planzahlen Rentabilität'!$K$9:$FU$9,0))</f>
        <v>0</v>
      </c>
      <c r="AQ610" s="787">
        <f>INDEX('Planzahlen Rentabilität'!$K$12:$FU$56,MATCH(Grafiken!$S610,'Planzahlen Rentabilität'!$A$12:$A$56,0),MATCH(Grafiken!AQ$604,'Planzahlen Rentabilität'!$K$9:$FU$9,0))</f>
        <v>150</v>
      </c>
      <c r="AR610" s="787">
        <f ca="1">INDEX('Planzahlen Rentabilität'!$K$12:$FU$56,MATCH(Grafiken!$S610,'Planzahlen Rentabilität'!$A$12:$A$56,0),MATCH(Grafiken!AR$604,'Planzahlen Rentabilität'!$K$9:$FU$9,0))</f>
        <v>0</v>
      </c>
    </row>
    <row r="611" spans="19:44" x14ac:dyDescent="0.2">
      <c r="S611" s="51">
        <v>20</v>
      </c>
      <c r="T611" s="771" t="s">
        <v>290</v>
      </c>
      <c r="U611" s="787">
        <f>INDEX('Planzahlen Rentabilität'!$K$12:$FU$56,MATCH(Grafiken!$S611,'Planzahlen Rentabilität'!$A$12:$A$56,0),MATCH(Grafiken!U$604,'Planzahlen Rentabilität'!$K$9:$FU$9,0))</f>
        <v>33.333333333333336</v>
      </c>
      <c r="V611" s="816">
        <f ca="1">INDEX('Planzahlen Rentabilität'!$K$12:$FU$56,MATCH(Grafiken!$S611,'Planzahlen Rentabilität'!$A$12:$A$56,0),MATCH(Grafiken!V$604,'Planzahlen Rentabilität'!$K$9:$FU$9,0))</f>
        <v>308.99</v>
      </c>
      <c r="W611" s="787">
        <f>INDEX('Planzahlen Rentabilität'!$K$12:$FU$56,MATCH(Grafiken!$S611,'Planzahlen Rentabilität'!$A$12:$A$56,0),MATCH(Grafiken!W$604,'Planzahlen Rentabilität'!$K$9:$FU$9,0))</f>
        <v>33.333333333333336</v>
      </c>
      <c r="X611" s="787">
        <f ca="1">INDEX('Planzahlen Rentabilität'!$K$12:$FU$56,MATCH(Grafiken!$S611,'Planzahlen Rentabilität'!$A$12:$A$56,0),MATCH(Grafiken!X$604,'Planzahlen Rentabilität'!$K$9:$FU$9,0))</f>
        <v>264.36</v>
      </c>
      <c r="Y611" s="787" t="e">
        <f>INDEX('Planzahlen Rentabilität'!$K$12:$FU$56,MATCH(Grafiken!$S611,'Planzahlen Rentabilität'!$A$12:$A$56,0),MATCH(Grafiken!Y$604,'Planzahlen Rentabilität'!$K$9:$FU$9,0))</f>
        <v>#N/A</v>
      </c>
      <c r="Z611" s="787">
        <f>INDEX('Planzahlen Rentabilität'!$K$12:$FU$56,MATCH(Grafiken!$S611,'Planzahlen Rentabilität'!$A$12:$A$56,0),MATCH(Grafiken!Z$604,'Planzahlen Rentabilität'!$K$9:$FU$9,0))</f>
        <v>0</v>
      </c>
      <c r="AA611" s="787">
        <f>INDEX('Planzahlen Rentabilität'!$K$12:$FU$56,MATCH(Grafiken!$S611,'Planzahlen Rentabilität'!$A$12:$A$56,0),MATCH(Grafiken!AA$604,'Planzahlen Rentabilität'!$K$9:$FU$9,0))</f>
        <v>33.333333333333336</v>
      </c>
      <c r="AB611" s="787">
        <f ca="1">INDEX('Planzahlen Rentabilität'!$K$12:$FU$56,MATCH(Grafiken!$S611,'Planzahlen Rentabilität'!$A$12:$A$56,0),MATCH(Grafiken!AB$604,'Planzahlen Rentabilität'!$K$9:$FU$9,0))</f>
        <v>291.2</v>
      </c>
      <c r="AC611" s="787">
        <f>INDEX('Planzahlen Rentabilität'!$K$12:$FU$56,MATCH(Grafiken!$S611,'Planzahlen Rentabilität'!$A$12:$A$56,0),MATCH(Grafiken!AC$604,'Planzahlen Rentabilität'!$K$9:$FU$9,0))</f>
        <v>33.333333333333336</v>
      </c>
      <c r="AD611" s="787">
        <f ca="1">INDEX('Planzahlen Rentabilität'!$K$12:$FU$56,MATCH(Grafiken!$S611,'Planzahlen Rentabilität'!$A$12:$A$56,0),MATCH(Grafiken!AD$604,'Planzahlen Rentabilität'!$K$9:$FU$9,0))</f>
        <v>399.4</v>
      </c>
      <c r="AE611" s="787" t="e">
        <f>INDEX('Planzahlen Rentabilität'!$K$12:$FU$56,MATCH(Grafiken!$S611,'Planzahlen Rentabilität'!$A$12:$A$56,0),MATCH(Grafiken!AE$604,'Planzahlen Rentabilität'!$K$9:$FU$9,0))</f>
        <v>#N/A</v>
      </c>
      <c r="AF611" s="787">
        <f>INDEX('Planzahlen Rentabilität'!$K$12:$FU$56,MATCH(Grafiken!$S611,'Planzahlen Rentabilität'!$A$12:$A$56,0),MATCH(Grafiken!AF$604,'Planzahlen Rentabilität'!$K$9:$FU$9,0))</f>
        <v>0</v>
      </c>
      <c r="AG611" s="787">
        <f>INDEX('Planzahlen Rentabilität'!$K$12:$FU$56,MATCH(Grafiken!$S611,'Planzahlen Rentabilität'!$A$12:$A$56,0),MATCH(Grafiken!AG$604,'Planzahlen Rentabilität'!$K$9:$FU$9,0))</f>
        <v>33.333333333333336</v>
      </c>
      <c r="AH611" s="787">
        <f ca="1">INDEX('Planzahlen Rentabilität'!$K$12:$FU$56,MATCH(Grafiken!$S611,'Planzahlen Rentabilität'!$A$12:$A$56,0),MATCH(Grafiken!AH$604,'Planzahlen Rentabilität'!$K$9:$FU$9,0))</f>
        <v>431.73</v>
      </c>
      <c r="AI611" s="787">
        <f>INDEX('Planzahlen Rentabilität'!$K$12:$FU$56,MATCH(Grafiken!$S611,'Planzahlen Rentabilität'!$A$12:$A$56,0),MATCH(Grafiken!AI$604,'Planzahlen Rentabilität'!$K$9:$FU$9,0))</f>
        <v>33.333333333333336</v>
      </c>
      <c r="AJ611" s="787">
        <f ca="1">INDEX('Planzahlen Rentabilität'!$K$12:$FU$56,MATCH(Grafiken!$S611,'Planzahlen Rentabilität'!$A$12:$A$56,0),MATCH(Grafiken!AJ$604,'Planzahlen Rentabilität'!$K$9:$FU$9,0))</f>
        <v>393.17999999999995</v>
      </c>
      <c r="AK611" s="787">
        <f>INDEX('Planzahlen Rentabilität'!$K$12:$FU$56,MATCH(Grafiken!$S611,'Planzahlen Rentabilität'!$A$12:$A$56,0),MATCH(Grafiken!AK$604,'Planzahlen Rentabilität'!$K$9:$FU$9,0))</f>
        <v>33.333333333333336</v>
      </c>
      <c r="AL611" s="787">
        <f ca="1">INDEX('Planzahlen Rentabilität'!$K$12:$FU$56,MATCH(Grafiken!$S611,'Planzahlen Rentabilität'!$A$12:$A$56,0),MATCH(Grafiken!AL$604,'Planzahlen Rentabilität'!$K$9:$FU$9,0))</f>
        <v>252.72</v>
      </c>
      <c r="AM611" s="787">
        <f>INDEX('Planzahlen Rentabilität'!$K$12:$FU$56,MATCH(Grafiken!$S611,'Planzahlen Rentabilität'!$A$12:$A$56,0),MATCH(Grafiken!AM$604,'Planzahlen Rentabilität'!$K$9:$FU$9,0))</f>
        <v>33.333333333333336</v>
      </c>
      <c r="AN611" s="787">
        <f ca="1">INDEX('Planzahlen Rentabilität'!$K$12:$FU$56,MATCH(Grafiken!$S611,'Planzahlen Rentabilität'!$A$12:$A$56,0),MATCH(Grafiken!AN$604,'Planzahlen Rentabilität'!$K$9:$FU$9,0))</f>
        <v>458.66</v>
      </c>
      <c r="AO611" s="787">
        <f>INDEX('Planzahlen Rentabilität'!$K$12:$FU$56,MATCH(Grafiken!$S611,'Planzahlen Rentabilität'!$A$12:$A$56,0),MATCH(Grafiken!AO$604,'Planzahlen Rentabilität'!$K$9:$FU$9,0))</f>
        <v>33.333333333333336</v>
      </c>
      <c r="AP611" s="787">
        <f ca="1">INDEX('Planzahlen Rentabilität'!$K$12:$FU$56,MATCH(Grafiken!$S611,'Planzahlen Rentabilität'!$A$12:$A$56,0),MATCH(Grafiken!AP$604,'Planzahlen Rentabilität'!$K$9:$FU$9,0))</f>
        <v>0</v>
      </c>
      <c r="AQ611" s="787">
        <f>INDEX('Planzahlen Rentabilität'!$K$12:$FU$56,MATCH(Grafiken!$S611,'Planzahlen Rentabilität'!$A$12:$A$56,0),MATCH(Grafiken!AQ$604,'Planzahlen Rentabilität'!$K$9:$FU$9,0))</f>
        <v>33.333333333333336</v>
      </c>
      <c r="AR611" s="787">
        <f ca="1">INDEX('Planzahlen Rentabilität'!$K$12:$FU$56,MATCH(Grafiken!$S611,'Planzahlen Rentabilität'!$A$12:$A$56,0),MATCH(Grafiken!AR$604,'Planzahlen Rentabilität'!$K$9:$FU$9,0))</f>
        <v>0</v>
      </c>
    </row>
    <row r="612" spans="19:44" x14ac:dyDescent="0.2">
      <c r="S612" s="51">
        <v>21</v>
      </c>
      <c r="T612" s="771" t="s">
        <v>291</v>
      </c>
      <c r="U612" s="787">
        <f>INDEX('Planzahlen Rentabilität'!$K$12:$FU$56,MATCH(Grafiken!$S612,'Planzahlen Rentabilität'!$A$12:$A$56,0),MATCH(Grafiken!U$604,'Planzahlen Rentabilität'!$K$9:$FU$9,0))</f>
        <v>108.33333333333333</v>
      </c>
      <c r="V612" s="816">
        <f ca="1">INDEX('Planzahlen Rentabilität'!$K$12:$FU$56,MATCH(Grafiken!$S612,'Planzahlen Rentabilität'!$A$12:$A$56,0),MATCH(Grafiken!V$604,'Planzahlen Rentabilität'!$K$9:$FU$9,0))</f>
        <v>320.04000000000002</v>
      </c>
      <c r="W612" s="787">
        <f>INDEX('Planzahlen Rentabilität'!$K$12:$FU$56,MATCH(Grafiken!$S612,'Planzahlen Rentabilität'!$A$12:$A$56,0),MATCH(Grafiken!W$604,'Planzahlen Rentabilität'!$K$9:$FU$9,0))</f>
        <v>108.33333333333333</v>
      </c>
      <c r="X612" s="787">
        <f ca="1">INDEX('Planzahlen Rentabilität'!$K$12:$FU$56,MATCH(Grafiken!$S612,'Planzahlen Rentabilität'!$A$12:$A$56,0),MATCH(Grafiken!X$604,'Planzahlen Rentabilität'!$K$9:$FU$9,0))</f>
        <v>913.2700000000001</v>
      </c>
      <c r="Y612" s="787" t="e">
        <f>INDEX('Planzahlen Rentabilität'!$K$12:$FU$56,MATCH(Grafiken!$S612,'Planzahlen Rentabilität'!$A$12:$A$56,0),MATCH(Grafiken!Y$604,'Planzahlen Rentabilität'!$K$9:$FU$9,0))</f>
        <v>#N/A</v>
      </c>
      <c r="Z612" s="787">
        <f>INDEX('Planzahlen Rentabilität'!$K$12:$FU$56,MATCH(Grafiken!$S612,'Planzahlen Rentabilität'!$A$12:$A$56,0),MATCH(Grafiken!Z$604,'Planzahlen Rentabilität'!$K$9:$FU$9,0))</f>
        <v>0</v>
      </c>
      <c r="AA612" s="787">
        <f>INDEX('Planzahlen Rentabilität'!$K$12:$FU$56,MATCH(Grafiken!$S612,'Planzahlen Rentabilität'!$A$12:$A$56,0),MATCH(Grafiken!AA$604,'Planzahlen Rentabilität'!$K$9:$FU$9,0))</f>
        <v>108.33333333333333</v>
      </c>
      <c r="AB612" s="787">
        <f ca="1">INDEX('Planzahlen Rentabilität'!$K$12:$FU$56,MATCH(Grafiken!$S612,'Planzahlen Rentabilität'!$A$12:$A$56,0),MATCH(Grafiken!AB$604,'Planzahlen Rentabilität'!$K$9:$FU$9,0))</f>
        <v>1756.8400000000001</v>
      </c>
      <c r="AC612" s="787">
        <f>INDEX('Planzahlen Rentabilität'!$K$12:$FU$56,MATCH(Grafiken!$S612,'Planzahlen Rentabilität'!$A$12:$A$56,0),MATCH(Grafiken!AC$604,'Planzahlen Rentabilität'!$K$9:$FU$9,0))</f>
        <v>108.33333333333333</v>
      </c>
      <c r="AD612" s="787">
        <f ca="1">INDEX('Planzahlen Rentabilität'!$K$12:$FU$56,MATCH(Grafiken!$S612,'Planzahlen Rentabilität'!$A$12:$A$56,0),MATCH(Grafiken!AD$604,'Planzahlen Rentabilität'!$K$9:$FU$9,0))</f>
        <v>0</v>
      </c>
      <c r="AE612" s="787" t="e">
        <f>INDEX('Planzahlen Rentabilität'!$K$12:$FU$56,MATCH(Grafiken!$S612,'Planzahlen Rentabilität'!$A$12:$A$56,0),MATCH(Grafiken!AE$604,'Planzahlen Rentabilität'!$K$9:$FU$9,0))</f>
        <v>#N/A</v>
      </c>
      <c r="AF612" s="787">
        <f>INDEX('Planzahlen Rentabilität'!$K$12:$FU$56,MATCH(Grafiken!$S612,'Planzahlen Rentabilität'!$A$12:$A$56,0),MATCH(Grafiken!AF$604,'Planzahlen Rentabilität'!$K$9:$FU$9,0))</f>
        <v>0</v>
      </c>
      <c r="AG612" s="787">
        <f>INDEX('Planzahlen Rentabilität'!$K$12:$FU$56,MATCH(Grafiken!$S612,'Planzahlen Rentabilität'!$A$12:$A$56,0),MATCH(Grafiken!AG$604,'Planzahlen Rentabilität'!$K$9:$FU$9,0))</f>
        <v>108.33333333333333</v>
      </c>
      <c r="AH612" s="787">
        <f ca="1">INDEX('Planzahlen Rentabilität'!$K$12:$FU$56,MATCH(Grafiken!$S612,'Planzahlen Rentabilität'!$A$12:$A$56,0),MATCH(Grafiken!AH$604,'Planzahlen Rentabilität'!$K$9:$FU$9,0))</f>
        <v>-423.27000000000004</v>
      </c>
      <c r="AI612" s="787">
        <f>INDEX('Planzahlen Rentabilität'!$K$12:$FU$56,MATCH(Grafiken!$S612,'Planzahlen Rentabilität'!$A$12:$A$56,0),MATCH(Grafiken!AI$604,'Planzahlen Rentabilität'!$K$9:$FU$9,0))</f>
        <v>108.33333333333333</v>
      </c>
      <c r="AJ612" s="787">
        <f ca="1">INDEX('Planzahlen Rentabilität'!$K$12:$FU$56,MATCH(Grafiken!$S612,'Planzahlen Rentabilität'!$A$12:$A$56,0),MATCH(Grafiken!AJ$604,'Planzahlen Rentabilität'!$K$9:$FU$9,0))</f>
        <v>300</v>
      </c>
      <c r="AK612" s="787">
        <f>INDEX('Planzahlen Rentabilität'!$K$12:$FU$56,MATCH(Grafiken!$S612,'Planzahlen Rentabilität'!$A$12:$A$56,0),MATCH(Grafiken!AK$604,'Planzahlen Rentabilität'!$K$9:$FU$9,0))</f>
        <v>108.33333333333333</v>
      </c>
      <c r="AL612" s="787">
        <f ca="1">INDEX('Planzahlen Rentabilität'!$K$12:$FU$56,MATCH(Grafiken!$S612,'Planzahlen Rentabilität'!$A$12:$A$56,0),MATCH(Grafiken!AL$604,'Planzahlen Rentabilität'!$K$9:$FU$9,0))</f>
        <v>0</v>
      </c>
      <c r="AM612" s="787">
        <f>INDEX('Planzahlen Rentabilität'!$K$12:$FU$56,MATCH(Grafiken!$S612,'Planzahlen Rentabilität'!$A$12:$A$56,0),MATCH(Grafiken!AM$604,'Planzahlen Rentabilität'!$K$9:$FU$9,0))</f>
        <v>108.33333333333333</v>
      </c>
      <c r="AN612" s="787">
        <f ca="1">INDEX('Planzahlen Rentabilität'!$K$12:$FU$56,MATCH(Grafiken!$S612,'Planzahlen Rentabilität'!$A$12:$A$56,0),MATCH(Grafiken!AN$604,'Planzahlen Rentabilität'!$K$9:$FU$9,0))</f>
        <v>23.85</v>
      </c>
      <c r="AO612" s="787">
        <f>INDEX('Planzahlen Rentabilität'!$K$12:$FU$56,MATCH(Grafiken!$S612,'Planzahlen Rentabilität'!$A$12:$A$56,0),MATCH(Grafiken!AO$604,'Planzahlen Rentabilität'!$K$9:$FU$9,0))</f>
        <v>108.33333333333333</v>
      </c>
      <c r="AP612" s="787">
        <f ca="1">INDEX('Planzahlen Rentabilität'!$K$12:$FU$56,MATCH(Grafiken!$S612,'Planzahlen Rentabilität'!$A$12:$A$56,0),MATCH(Grafiken!AP$604,'Planzahlen Rentabilität'!$K$9:$FU$9,0))</f>
        <v>0</v>
      </c>
      <c r="AQ612" s="787">
        <f>INDEX('Planzahlen Rentabilität'!$K$12:$FU$56,MATCH(Grafiken!$S612,'Planzahlen Rentabilität'!$A$12:$A$56,0),MATCH(Grafiken!AQ$604,'Planzahlen Rentabilität'!$K$9:$FU$9,0))</f>
        <v>108.33333333333333</v>
      </c>
      <c r="AR612" s="787">
        <f ca="1">INDEX('Planzahlen Rentabilität'!$K$12:$FU$56,MATCH(Grafiken!$S612,'Planzahlen Rentabilität'!$A$12:$A$56,0),MATCH(Grafiken!AR$604,'Planzahlen Rentabilität'!$K$9:$FU$9,0))</f>
        <v>0</v>
      </c>
    </row>
    <row r="613" spans="19:44" x14ac:dyDescent="0.2">
      <c r="S613" s="51">
        <v>22</v>
      </c>
      <c r="T613" s="771" t="s">
        <v>268</v>
      </c>
      <c r="U613" s="787">
        <f>INDEX('Planzahlen Rentabilität'!$K$12:$FU$56,MATCH(Grafiken!$S613,'Planzahlen Rentabilität'!$A$12:$A$56,0),MATCH(Grafiken!U$604,'Planzahlen Rentabilität'!$K$9:$FU$9,0))</f>
        <v>200</v>
      </c>
      <c r="V613" s="816">
        <f ca="1">INDEX('Planzahlen Rentabilität'!$K$12:$FU$56,MATCH(Grafiken!$S613,'Planzahlen Rentabilität'!$A$12:$A$56,0),MATCH(Grafiken!V$604,'Planzahlen Rentabilität'!$K$9:$FU$9,0))</f>
        <v>0</v>
      </c>
      <c r="W613" s="787">
        <f>INDEX('Planzahlen Rentabilität'!$K$12:$FU$56,MATCH(Grafiken!$S613,'Planzahlen Rentabilität'!$A$12:$A$56,0),MATCH(Grafiken!W$604,'Planzahlen Rentabilität'!$K$9:$FU$9,0))</f>
        <v>200</v>
      </c>
      <c r="X613" s="787">
        <f ca="1">INDEX('Planzahlen Rentabilität'!$K$12:$FU$56,MATCH(Grafiken!$S613,'Planzahlen Rentabilität'!$A$12:$A$56,0),MATCH(Grafiken!X$604,'Planzahlen Rentabilität'!$K$9:$FU$9,0))</f>
        <v>0</v>
      </c>
      <c r="Y613" s="787" t="e">
        <f>INDEX('Planzahlen Rentabilität'!$K$12:$FU$56,MATCH(Grafiken!$S613,'Planzahlen Rentabilität'!$A$12:$A$56,0),MATCH(Grafiken!Y$604,'Planzahlen Rentabilität'!$K$9:$FU$9,0))</f>
        <v>#N/A</v>
      </c>
      <c r="Z613" s="787">
        <f>INDEX('Planzahlen Rentabilität'!$K$12:$FU$56,MATCH(Grafiken!$S613,'Planzahlen Rentabilität'!$A$12:$A$56,0),MATCH(Grafiken!Z$604,'Planzahlen Rentabilität'!$K$9:$FU$9,0))</f>
        <v>0</v>
      </c>
      <c r="AA613" s="787">
        <f>INDEX('Planzahlen Rentabilität'!$K$12:$FU$56,MATCH(Grafiken!$S613,'Planzahlen Rentabilität'!$A$12:$A$56,0),MATCH(Grafiken!AA$604,'Planzahlen Rentabilität'!$K$9:$FU$9,0))</f>
        <v>200</v>
      </c>
      <c r="AB613" s="787">
        <f ca="1">INDEX('Planzahlen Rentabilität'!$K$12:$FU$56,MATCH(Grafiken!$S613,'Planzahlen Rentabilität'!$A$12:$A$56,0),MATCH(Grafiken!AB$604,'Planzahlen Rentabilität'!$K$9:$FU$9,0))</f>
        <v>0</v>
      </c>
      <c r="AC613" s="787">
        <f>INDEX('Planzahlen Rentabilität'!$K$12:$FU$56,MATCH(Grafiken!$S613,'Planzahlen Rentabilität'!$A$12:$A$56,0),MATCH(Grafiken!AC$604,'Planzahlen Rentabilität'!$K$9:$FU$9,0))</f>
        <v>200</v>
      </c>
      <c r="AD613" s="787">
        <f ca="1">INDEX('Planzahlen Rentabilität'!$K$12:$FU$56,MATCH(Grafiken!$S613,'Planzahlen Rentabilität'!$A$12:$A$56,0),MATCH(Grafiken!AD$604,'Planzahlen Rentabilität'!$K$9:$FU$9,0))</f>
        <v>0</v>
      </c>
      <c r="AE613" s="787" t="e">
        <f>INDEX('Planzahlen Rentabilität'!$K$12:$FU$56,MATCH(Grafiken!$S613,'Planzahlen Rentabilität'!$A$12:$A$56,0),MATCH(Grafiken!AE$604,'Planzahlen Rentabilität'!$K$9:$FU$9,0))</f>
        <v>#N/A</v>
      </c>
      <c r="AF613" s="787">
        <f>INDEX('Planzahlen Rentabilität'!$K$12:$FU$56,MATCH(Grafiken!$S613,'Planzahlen Rentabilität'!$A$12:$A$56,0),MATCH(Grafiken!AF$604,'Planzahlen Rentabilität'!$K$9:$FU$9,0))</f>
        <v>0</v>
      </c>
      <c r="AG613" s="787">
        <f>INDEX('Planzahlen Rentabilität'!$K$12:$FU$56,MATCH(Grafiken!$S613,'Planzahlen Rentabilität'!$A$12:$A$56,0),MATCH(Grafiken!AG$604,'Planzahlen Rentabilität'!$K$9:$FU$9,0))</f>
        <v>200</v>
      </c>
      <c r="AH613" s="787">
        <f ca="1">INDEX('Planzahlen Rentabilität'!$K$12:$FU$56,MATCH(Grafiken!$S613,'Planzahlen Rentabilität'!$A$12:$A$56,0),MATCH(Grafiken!AH$604,'Planzahlen Rentabilität'!$K$9:$FU$9,0))</f>
        <v>0</v>
      </c>
      <c r="AI613" s="787">
        <f>INDEX('Planzahlen Rentabilität'!$K$12:$FU$56,MATCH(Grafiken!$S613,'Planzahlen Rentabilität'!$A$12:$A$56,0),MATCH(Grafiken!AI$604,'Planzahlen Rentabilität'!$K$9:$FU$9,0))</f>
        <v>200</v>
      </c>
      <c r="AJ613" s="787">
        <f ca="1">INDEX('Planzahlen Rentabilität'!$K$12:$FU$56,MATCH(Grafiken!$S613,'Planzahlen Rentabilität'!$A$12:$A$56,0),MATCH(Grafiken!AJ$604,'Planzahlen Rentabilität'!$K$9:$FU$9,0))</f>
        <v>0</v>
      </c>
      <c r="AK613" s="787">
        <f>INDEX('Planzahlen Rentabilität'!$K$12:$FU$56,MATCH(Grafiken!$S613,'Planzahlen Rentabilität'!$A$12:$A$56,0),MATCH(Grafiken!AK$604,'Planzahlen Rentabilität'!$K$9:$FU$9,0))</f>
        <v>200</v>
      </c>
      <c r="AL613" s="787">
        <f ca="1">INDEX('Planzahlen Rentabilität'!$K$12:$FU$56,MATCH(Grafiken!$S613,'Planzahlen Rentabilität'!$A$12:$A$56,0),MATCH(Grafiken!AL$604,'Planzahlen Rentabilität'!$K$9:$FU$9,0))</f>
        <v>0</v>
      </c>
      <c r="AM613" s="787">
        <f>INDEX('Planzahlen Rentabilität'!$K$12:$FU$56,MATCH(Grafiken!$S613,'Planzahlen Rentabilität'!$A$12:$A$56,0),MATCH(Grafiken!AM$604,'Planzahlen Rentabilität'!$K$9:$FU$9,0))</f>
        <v>200</v>
      </c>
      <c r="AN613" s="787">
        <f ca="1">INDEX('Planzahlen Rentabilität'!$K$12:$FU$56,MATCH(Grafiken!$S613,'Planzahlen Rentabilität'!$A$12:$A$56,0),MATCH(Grafiken!AN$604,'Planzahlen Rentabilität'!$K$9:$FU$9,0))</f>
        <v>0</v>
      </c>
      <c r="AO613" s="787">
        <f>INDEX('Planzahlen Rentabilität'!$K$12:$FU$56,MATCH(Grafiken!$S613,'Planzahlen Rentabilität'!$A$12:$A$56,0),MATCH(Grafiken!AO$604,'Planzahlen Rentabilität'!$K$9:$FU$9,0))</f>
        <v>200</v>
      </c>
      <c r="AP613" s="787">
        <f ca="1">INDEX('Planzahlen Rentabilität'!$K$12:$FU$56,MATCH(Grafiken!$S613,'Planzahlen Rentabilität'!$A$12:$A$56,0),MATCH(Grafiken!AP$604,'Planzahlen Rentabilität'!$K$9:$FU$9,0))</f>
        <v>0</v>
      </c>
      <c r="AQ613" s="787">
        <f>INDEX('Planzahlen Rentabilität'!$K$12:$FU$56,MATCH(Grafiken!$S613,'Planzahlen Rentabilität'!$A$12:$A$56,0),MATCH(Grafiken!AQ$604,'Planzahlen Rentabilität'!$K$9:$FU$9,0))</f>
        <v>200</v>
      </c>
      <c r="AR613" s="787">
        <f ca="1">INDEX('Planzahlen Rentabilität'!$K$12:$FU$56,MATCH(Grafiken!$S613,'Planzahlen Rentabilität'!$A$12:$A$56,0),MATCH(Grafiken!AR$604,'Planzahlen Rentabilität'!$K$9:$FU$9,0))</f>
        <v>0</v>
      </c>
    </row>
    <row r="614" spans="19:44" x14ac:dyDescent="0.2">
      <c r="S614" s="51">
        <v>23</v>
      </c>
      <c r="T614" s="771" t="s">
        <v>292</v>
      </c>
      <c r="U614" s="787">
        <f>INDEX('Planzahlen Rentabilität'!$K$12:$FU$56,MATCH(Grafiken!$S614,'Planzahlen Rentabilität'!$A$12:$A$56,0),MATCH(Grafiken!U$604,'Planzahlen Rentabilität'!$K$9:$FU$9,0))</f>
        <v>541.66666666666663</v>
      </c>
      <c r="V614" s="816">
        <f ca="1">INDEX('Planzahlen Rentabilität'!$K$12:$FU$56,MATCH(Grafiken!$S614,'Planzahlen Rentabilität'!$A$12:$A$56,0),MATCH(Grafiken!V$604,'Planzahlen Rentabilität'!$K$9:$FU$9,0))</f>
        <v>0</v>
      </c>
      <c r="W614" s="787">
        <f>INDEX('Planzahlen Rentabilität'!$K$12:$FU$56,MATCH(Grafiken!$S614,'Planzahlen Rentabilität'!$A$12:$A$56,0),MATCH(Grafiken!W$604,'Planzahlen Rentabilität'!$K$9:$FU$9,0))</f>
        <v>541.66666666666663</v>
      </c>
      <c r="X614" s="787">
        <f ca="1">INDEX('Planzahlen Rentabilität'!$K$12:$FU$56,MATCH(Grafiken!$S614,'Planzahlen Rentabilität'!$A$12:$A$56,0),MATCH(Grafiken!X$604,'Planzahlen Rentabilität'!$K$9:$FU$9,0))</f>
        <v>530.53</v>
      </c>
      <c r="Y614" s="787" t="e">
        <f>INDEX('Planzahlen Rentabilität'!$K$12:$FU$56,MATCH(Grafiken!$S614,'Planzahlen Rentabilität'!$A$12:$A$56,0),MATCH(Grafiken!Y$604,'Planzahlen Rentabilität'!$K$9:$FU$9,0))</f>
        <v>#N/A</v>
      </c>
      <c r="Z614" s="787">
        <f>INDEX('Planzahlen Rentabilität'!$K$12:$FU$56,MATCH(Grafiken!$S614,'Planzahlen Rentabilität'!$A$12:$A$56,0),MATCH(Grafiken!Z$604,'Planzahlen Rentabilität'!$K$9:$FU$9,0))</f>
        <v>0</v>
      </c>
      <c r="AA614" s="787">
        <f>INDEX('Planzahlen Rentabilität'!$K$12:$FU$56,MATCH(Grafiken!$S614,'Planzahlen Rentabilität'!$A$12:$A$56,0),MATCH(Grafiken!AA$604,'Planzahlen Rentabilität'!$K$9:$FU$9,0))</f>
        <v>541.66666666666663</v>
      </c>
      <c r="AB614" s="787">
        <f ca="1">INDEX('Planzahlen Rentabilität'!$K$12:$FU$56,MATCH(Grafiken!$S614,'Planzahlen Rentabilität'!$A$12:$A$56,0),MATCH(Grafiken!AB$604,'Planzahlen Rentabilität'!$K$9:$FU$9,0))</f>
        <v>223</v>
      </c>
      <c r="AC614" s="787">
        <f>INDEX('Planzahlen Rentabilität'!$K$12:$FU$56,MATCH(Grafiken!$S614,'Planzahlen Rentabilität'!$A$12:$A$56,0),MATCH(Grafiken!AC$604,'Planzahlen Rentabilität'!$K$9:$FU$9,0))</f>
        <v>541.66666666666663</v>
      </c>
      <c r="AD614" s="787">
        <f ca="1">INDEX('Planzahlen Rentabilität'!$K$12:$FU$56,MATCH(Grafiken!$S614,'Planzahlen Rentabilität'!$A$12:$A$56,0),MATCH(Grafiken!AD$604,'Planzahlen Rentabilität'!$K$9:$FU$9,0))</f>
        <v>2491.34</v>
      </c>
      <c r="AE614" s="787" t="e">
        <f>INDEX('Planzahlen Rentabilität'!$K$12:$FU$56,MATCH(Grafiken!$S614,'Planzahlen Rentabilität'!$A$12:$A$56,0),MATCH(Grafiken!AE$604,'Planzahlen Rentabilität'!$K$9:$FU$9,0))</f>
        <v>#N/A</v>
      </c>
      <c r="AF614" s="787">
        <f>INDEX('Planzahlen Rentabilität'!$K$12:$FU$56,MATCH(Grafiken!$S614,'Planzahlen Rentabilität'!$A$12:$A$56,0),MATCH(Grafiken!AF$604,'Planzahlen Rentabilität'!$K$9:$FU$9,0))</f>
        <v>0</v>
      </c>
      <c r="AG614" s="787">
        <f>INDEX('Planzahlen Rentabilität'!$K$12:$FU$56,MATCH(Grafiken!$S614,'Planzahlen Rentabilität'!$A$12:$A$56,0),MATCH(Grafiken!AG$604,'Planzahlen Rentabilität'!$K$9:$FU$9,0))</f>
        <v>541.66666666666663</v>
      </c>
      <c r="AH614" s="787">
        <f ca="1">INDEX('Planzahlen Rentabilität'!$K$12:$FU$56,MATCH(Grafiken!$S614,'Planzahlen Rentabilität'!$A$12:$A$56,0),MATCH(Grafiken!AH$604,'Planzahlen Rentabilität'!$K$9:$FU$9,0))</f>
        <v>318.08000000000004</v>
      </c>
      <c r="AI614" s="787">
        <f>INDEX('Planzahlen Rentabilität'!$K$12:$FU$56,MATCH(Grafiken!$S614,'Planzahlen Rentabilität'!$A$12:$A$56,0),MATCH(Grafiken!AI$604,'Planzahlen Rentabilität'!$K$9:$FU$9,0))</f>
        <v>541.66666666666663</v>
      </c>
      <c r="AJ614" s="787">
        <f ca="1">INDEX('Planzahlen Rentabilität'!$K$12:$FU$56,MATCH(Grafiken!$S614,'Planzahlen Rentabilität'!$A$12:$A$56,0),MATCH(Grafiken!AJ$604,'Planzahlen Rentabilität'!$K$9:$FU$9,0))</f>
        <v>158</v>
      </c>
      <c r="AK614" s="787">
        <f>INDEX('Planzahlen Rentabilität'!$K$12:$FU$56,MATCH(Grafiken!$S614,'Planzahlen Rentabilität'!$A$12:$A$56,0),MATCH(Grafiken!AK$604,'Planzahlen Rentabilität'!$K$9:$FU$9,0))</f>
        <v>541.66666666666663</v>
      </c>
      <c r="AL614" s="787">
        <f ca="1">INDEX('Planzahlen Rentabilität'!$K$12:$FU$56,MATCH(Grafiken!$S614,'Planzahlen Rentabilität'!$A$12:$A$56,0),MATCH(Grafiken!AL$604,'Planzahlen Rentabilität'!$K$9:$FU$9,0))</f>
        <v>433.35</v>
      </c>
      <c r="AM614" s="787">
        <f>INDEX('Planzahlen Rentabilität'!$K$12:$FU$56,MATCH(Grafiken!$S614,'Planzahlen Rentabilität'!$A$12:$A$56,0),MATCH(Grafiken!AM$604,'Planzahlen Rentabilität'!$K$9:$FU$9,0))</f>
        <v>541.66666666666663</v>
      </c>
      <c r="AN614" s="787">
        <f ca="1">INDEX('Planzahlen Rentabilität'!$K$12:$FU$56,MATCH(Grafiken!$S614,'Planzahlen Rentabilität'!$A$12:$A$56,0),MATCH(Grafiken!AN$604,'Planzahlen Rentabilität'!$K$9:$FU$9,0))</f>
        <v>150</v>
      </c>
      <c r="AO614" s="787">
        <f>INDEX('Planzahlen Rentabilität'!$K$12:$FU$56,MATCH(Grafiken!$S614,'Planzahlen Rentabilität'!$A$12:$A$56,0),MATCH(Grafiken!AO$604,'Planzahlen Rentabilität'!$K$9:$FU$9,0))</f>
        <v>541.66666666666663</v>
      </c>
      <c r="AP614" s="787">
        <f ca="1">INDEX('Planzahlen Rentabilität'!$K$12:$FU$56,MATCH(Grafiken!$S614,'Planzahlen Rentabilität'!$A$12:$A$56,0),MATCH(Grafiken!AP$604,'Planzahlen Rentabilität'!$K$9:$FU$9,0))</f>
        <v>0</v>
      </c>
      <c r="AQ614" s="787">
        <f>INDEX('Planzahlen Rentabilität'!$K$12:$FU$56,MATCH(Grafiken!$S614,'Planzahlen Rentabilität'!$A$12:$A$56,0),MATCH(Grafiken!AQ$604,'Planzahlen Rentabilität'!$K$9:$FU$9,0))</f>
        <v>541.66666666666663</v>
      </c>
      <c r="AR614" s="787">
        <f ca="1">INDEX('Planzahlen Rentabilität'!$K$12:$FU$56,MATCH(Grafiken!$S614,'Planzahlen Rentabilität'!$A$12:$A$56,0),MATCH(Grafiken!AR$604,'Planzahlen Rentabilität'!$K$9:$FU$9,0))</f>
        <v>0</v>
      </c>
    </row>
    <row r="615" spans="19:44" x14ac:dyDescent="0.2">
      <c r="S615" s="51">
        <v>24</v>
      </c>
      <c r="T615" s="771" t="s">
        <v>269</v>
      </c>
      <c r="U615" s="787">
        <f>INDEX('Planzahlen Rentabilität'!$K$12:$FU$56,MATCH(Grafiken!$S615,'Planzahlen Rentabilität'!$A$12:$A$56,0),MATCH(Grafiken!U$604,'Planzahlen Rentabilität'!$K$9:$FU$9,0))</f>
        <v>442.5</v>
      </c>
      <c r="V615" s="816">
        <f ca="1">INDEX('Planzahlen Rentabilität'!$K$12:$FU$56,MATCH(Grafiken!$S615,'Planzahlen Rentabilität'!$A$12:$A$56,0),MATCH(Grafiken!V$604,'Planzahlen Rentabilität'!$K$9:$FU$9,0))</f>
        <v>168.98</v>
      </c>
      <c r="W615" s="787">
        <f>INDEX('Planzahlen Rentabilität'!$K$12:$FU$56,MATCH(Grafiken!$S615,'Planzahlen Rentabilität'!$A$12:$A$56,0),MATCH(Grafiken!W$604,'Planzahlen Rentabilität'!$K$9:$FU$9,0))</f>
        <v>442.5</v>
      </c>
      <c r="X615" s="787">
        <f ca="1">INDEX('Planzahlen Rentabilität'!$K$12:$FU$56,MATCH(Grafiken!$S615,'Planzahlen Rentabilität'!$A$12:$A$56,0),MATCH(Grafiken!X$604,'Planzahlen Rentabilität'!$K$9:$FU$9,0))</f>
        <v>393.48</v>
      </c>
      <c r="Y615" s="787" t="e">
        <f>INDEX('Planzahlen Rentabilität'!$K$12:$FU$56,MATCH(Grafiken!$S615,'Planzahlen Rentabilität'!$A$12:$A$56,0),MATCH(Grafiken!Y$604,'Planzahlen Rentabilität'!$K$9:$FU$9,0))</f>
        <v>#N/A</v>
      </c>
      <c r="Z615" s="787">
        <f>INDEX('Planzahlen Rentabilität'!$K$12:$FU$56,MATCH(Grafiken!$S615,'Planzahlen Rentabilität'!$A$12:$A$56,0),MATCH(Grafiken!Z$604,'Planzahlen Rentabilität'!$K$9:$FU$9,0))</f>
        <v>0</v>
      </c>
      <c r="AA615" s="787">
        <f>INDEX('Planzahlen Rentabilität'!$K$12:$FU$56,MATCH(Grafiken!$S615,'Planzahlen Rentabilität'!$A$12:$A$56,0),MATCH(Grafiken!AA$604,'Planzahlen Rentabilität'!$K$9:$FU$9,0))</f>
        <v>442.5</v>
      </c>
      <c r="AB615" s="787">
        <f ca="1">INDEX('Planzahlen Rentabilität'!$K$12:$FU$56,MATCH(Grafiken!$S615,'Planzahlen Rentabilität'!$A$12:$A$56,0),MATCH(Grafiken!AB$604,'Planzahlen Rentabilität'!$K$9:$FU$9,0))</f>
        <v>277.83</v>
      </c>
      <c r="AC615" s="787">
        <f>INDEX('Planzahlen Rentabilität'!$K$12:$FU$56,MATCH(Grafiken!$S615,'Planzahlen Rentabilität'!$A$12:$A$56,0),MATCH(Grafiken!AC$604,'Planzahlen Rentabilität'!$K$9:$FU$9,0))</f>
        <v>442.5</v>
      </c>
      <c r="AD615" s="787">
        <f ca="1">INDEX('Planzahlen Rentabilität'!$K$12:$FU$56,MATCH(Grafiken!$S615,'Planzahlen Rentabilität'!$A$12:$A$56,0),MATCH(Grafiken!AD$604,'Planzahlen Rentabilität'!$K$9:$FU$9,0))</f>
        <v>293.74</v>
      </c>
      <c r="AE615" s="787" t="e">
        <f>INDEX('Planzahlen Rentabilität'!$K$12:$FU$56,MATCH(Grafiken!$S615,'Planzahlen Rentabilität'!$A$12:$A$56,0),MATCH(Grafiken!AE$604,'Planzahlen Rentabilität'!$K$9:$FU$9,0))</f>
        <v>#N/A</v>
      </c>
      <c r="AF615" s="787">
        <f>INDEX('Planzahlen Rentabilität'!$K$12:$FU$56,MATCH(Grafiken!$S615,'Planzahlen Rentabilität'!$A$12:$A$56,0),MATCH(Grafiken!AF$604,'Planzahlen Rentabilität'!$K$9:$FU$9,0))</f>
        <v>0</v>
      </c>
      <c r="AG615" s="787">
        <f>INDEX('Planzahlen Rentabilität'!$K$12:$FU$56,MATCH(Grafiken!$S615,'Planzahlen Rentabilität'!$A$12:$A$56,0),MATCH(Grafiken!AG$604,'Planzahlen Rentabilität'!$K$9:$FU$9,0))</f>
        <v>442.5</v>
      </c>
      <c r="AH615" s="787">
        <f ca="1">INDEX('Planzahlen Rentabilität'!$K$12:$FU$56,MATCH(Grafiken!$S615,'Planzahlen Rentabilität'!$A$12:$A$56,0),MATCH(Grafiken!AH$604,'Planzahlen Rentabilität'!$K$9:$FU$9,0))</f>
        <v>315.00000000000006</v>
      </c>
      <c r="AI615" s="787">
        <f>INDEX('Planzahlen Rentabilität'!$K$12:$FU$56,MATCH(Grafiken!$S615,'Planzahlen Rentabilität'!$A$12:$A$56,0),MATCH(Grafiken!AI$604,'Planzahlen Rentabilität'!$K$9:$FU$9,0))</f>
        <v>442.5</v>
      </c>
      <c r="AJ615" s="787">
        <f ca="1">INDEX('Planzahlen Rentabilität'!$K$12:$FU$56,MATCH(Grafiken!$S615,'Planzahlen Rentabilität'!$A$12:$A$56,0),MATCH(Grafiken!AJ$604,'Planzahlen Rentabilität'!$K$9:$FU$9,0))</f>
        <v>450.22</v>
      </c>
      <c r="AK615" s="787">
        <f>INDEX('Planzahlen Rentabilität'!$K$12:$FU$56,MATCH(Grafiken!$S615,'Planzahlen Rentabilität'!$A$12:$A$56,0),MATCH(Grafiken!AK$604,'Planzahlen Rentabilität'!$K$9:$FU$9,0))</f>
        <v>442.5</v>
      </c>
      <c r="AL615" s="787">
        <f ca="1">INDEX('Planzahlen Rentabilität'!$K$12:$FU$56,MATCH(Grafiken!$S615,'Planzahlen Rentabilität'!$A$12:$A$56,0),MATCH(Grafiken!AL$604,'Planzahlen Rentabilität'!$K$9:$FU$9,0))</f>
        <v>127.83000000000001</v>
      </c>
      <c r="AM615" s="787">
        <f>INDEX('Planzahlen Rentabilität'!$K$12:$FU$56,MATCH(Grafiken!$S615,'Planzahlen Rentabilität'!$A$12:$A$56,0),MATCH(Grafiken!AM$604,'Planzahlen Rentabilität'!$K$9:$FU$9,0))</f>
        <v>442.5</v>
      </c>
      <c r="AN615" s="787">
        <f ca="1">INDEX('Planzahlen Rentabilität'!$K$12:$FU$56,MATCH(Grafiken!$S615,'Planzahlen Rentabilität'!$A$12:$A$56,0),MATCH(Grafiken!AN$604,'Planzahlen Rentabilität'!$K$9:$FU$9,0))</f>
        <v>273.48999999999995</v>
      </c>
      <c r="AO615" s="787">
        <f>INDEX('Planzahlen Rentabilität'!$K$12:$FU$56,MATCH(Grafiken!$S615,'Planzahlen Rentabilität'!$A$12:$A$56,0),MATCH(Grafiken!AO$604,'Planzahlen Rentabilität'!$K$9:$FU$9,0))</f>
        <v>442.5</v>
      </c>
      <c r="AP615" s="787">
        <f ca="1">INDEX('Planzahlen Rentabilität'!$K$12:$FU$56,MATCH(Grafiken!$S615,'Planzahlen Rentabilität'!$A$12:$A$56,0),MATCH(Grafiken!AP$604,'Planzahlen Rentabilität'!$K$9:$FU$9,0))</f>
        <v>0</v>
      </c>
      <c r="AQ615" s="787">
        <f>INDEX('Planzahlen Rentabilität'!$K$12:$FU$56,MATCH(Grafiken!$S615,'Planzahlen Rentabilität'!$A$12:$A$56,0),MATCH(Grafiken!AQ$604,'Planzahlen Rentabilität'!$K$9:$FU$9,0))</f>
        <v>442.5</v>
      </c>
      <c r="AR615" s="787">
        <f ca="1">INDEX('Planzahlen Rentabilität'!$K$12:$FU$56,MATCH(Grafiken!$S615,'Planzahlen Rentabilität'!$A$12:$A$56,0),MATCH(Grafiken!AR$604,'Planzahlen Rentabilität'!$K$9:$FU$9,0))</f>
        <v>0</v>
      </c>
    </row>
    <row r="616" spans="19:44" x14ac:dyDescent="0.2">
      <c r="S616" s="51">
        <v>25</v>
      </c>
      <c r="T616" s="771" t="s">
        <v>270</v>
      </c>
      <c r="U616" s="787">
        <f>INDEX('Planzahlen Rentabilität'!$K$12:$FU$56,MATCH(Grafiken!$S616,'Planzahlen Rentabilität'!$A$12:$A$56,0),MATCH(Grafiken!U$604,'Planzahlen Rentabilität'!$K$9:$FU$9,0))</f>
        <v>62.5</v>
      </c>
      <c r="V616" s="816">
        <f ca="1">INDEX('Planzahlen Rentabilität'!$K$12:$FU$56,MATCH(Grafiken!$S616,'Planzahlen Rentabilität'!$A$12:$A$56,0),MATCH(Grafiken!V$604,'Planzahlen Rentabilität'!$K$9:$FU$9,0))</f>
        <v>91.22</v>
      </c>
      <c r="W616" s="787">
        <f>INDEX('Planzahlen Rentabilität'!$K$12:$FU$56,MATCH(Grafiken!$S616,'Planzahlen Rentabilität'!$A$12:$A$56,0),MATCH(Grafiken!W$604,'Planzahlen Rentabilität'!$K$9:$FU$9,0))</f>
        <v>62.5</v>
      </c>
      <c r="X616" s="787">
        <f ca="1">INDEX('Planzahlen Rentabilität'!$K$12:$FU$56,MATCH(Grafiken!$S616,'Planzahlen Rentabilität'!$A$12:$A$56,0),MATCH(Grafiken!X$604,'Planzahlen Rentabilität'!$K$9:$FU$9,0))</f>
        <v>71.87</v>
      </c>
      <c r="Y616" s="787" t="e">
        <f>INDEX('Planzahlen Rentabilität'!$K$12:$FU$56,MATCH(Grafiken!$S616,'Planzahlen Rentabilität'!$A$12:$A$56,0),MATCH(Grafiken!Y$604,'Planzahlen Rentabilität'!$K$9:$FU$9,0))</f>
        <v>#N/A</v>
      </c>
      <c r="Z616" s="787">
        <f>INDEX('Planzahlen Rentabilität'!$K$12:$FU$56,MATCH(Grafiken!$S616,'Planzahlen Rentabilität'!$A$12:$A$56,0),MATCH(Grafiken!Z$604,'Planzahlen Rentabilität'!$K$9:$FU$9,0))</f>
        <v>0</v>
      </c>
      <c r="AA616" s="787">
        <f>INDEX('Planzahlen Rentabilität'!$K$12:$FU$56,MATCH(Grafiken!$S616,'Planzahlen Rentabilität'!$A$12:$A$56,0),MATCH(Grafiken!AA$604,'Planzahlen Rentabilität'!$K$9:$FU$9,0))</f>
        <v>62.5</v>
      </c>
      <c r="AB616" s="787">
        <f ca="1">INDEX('Planzahlen Rentabilität'!$K$12:$FU$56,MATCH(Grafiken!$S616,'Planzahlen Rentabilität'!$A$12:$A$56,0),MATCH(Grafiken!AB$604,'Planzahlen Rentabilität'!$K$9:$FU$9,0))</f>
        <v>353.57</v>
      </c>
      <c r="AC616" s="787">
        <f>INDEX('Planzahlen Rentabilität'!$K$12:$FU$56,MATCH(Grafiken!$S616,'Planzahlen Rentabilität'!$A$12:$A$56,0),MATCH(Grafiken!AC$604,'Planzahlen Rentabilität'!$K$9:$FU$9,0))</f>
        <v>62.5</v>
      </c>
      <c r="AD616" s="787">
        <f ca="1">INDEX('Planzahlen Rentabilität'!$K$12:$FU$56,MATCH(Grafiken!$S616,'Planzahlen Rentabilität'!$A$12:$A$56,0),MATCH(Grafiken!AD$604,'Planzahlen Rentabilität'!$K$9:$FU$9,0))</f>
        <v>44.89</v>
      </c>
      <c r="AE616" s="787" t="e">
        <f>INDEX('Planzahlen Rentabilität'!$K$12:$FU$56,MATCH(Grafiken!$S616,'Planzahlen Rentabilität'!$A$12:$A$56,0),MATCH(Grafiken!AE$604,'Planzahlen Rentabilität'!$K$9:$FU$9,0))</f>
        <v>#N/A</v>
      </c>
      <c r="AF616" s="787">
        <f>INDEX('Planzahlen Rentabilität'!$K$12:$FU$56,MATCH(Grafiken!$S616,'Planzahlen Rentabilität'!$A$12:$A$56,0),MATCH(Grafiken!AF$604,'Planzahlen Rentabilität'!$K$9:$FU$9,0))</f>
        <v>0</v>
      </c>
      <c r="AG616" s="787">
        <f>INDEX('Planzahlen Rentabilität'!$K$12:$FU$56,MATCH(Grafiken!$S616,'Planzahlen Rentabilität'!$A$12:$A$56,0),MATCH(Grafiken!AG$604,'Planzahlen Rentabilität'!$K$9:$FU$9,0))</f>
        <v>62.5</v>
      </c>
      <c r="AH616" s="787">
        <f ca="1">INDEX('Planzahlen Rentabilität'!$K$12:$FU$56,MATCH(Grafiken!$S616,'Planzahlen Rentabilität'!$A$12:$A$56,0),MATCH(Grafiken!AH$604,'Planzahlen Rentabilität'!$K$9:$FU$9,0))</f>
        <v>344.44</v>
      </c>
      <c r="AI616" s="787">
        <f>INDEX('Planzahlen Rentabilität'!$K$12:$FU$56,MATCH(Grafiken!$S616,'Planzahlen Rentabilität'!$A$12:$A$56,0),MATCH(Grafiken!AI$604,'Planzahlen Rentabilität'!$K$9:$FU$9,0))</f>
        <v>62.5</v>
      </c>
      <c r="AJ616" s="787">
        <f ca="1">INDEX('Planzahlen Rentabilität'!$K$12:$FU$56,MATCH(Grafiken!$S616,'Planzahlen Rentabilität'!$A$12:$A$56,0),MATCH(Grafiken!AJ$604,'Planzahlen Rentabilität'!$K$9:$FU$9,0))</f>
        <v>63.34</v>
      </c>
      <c r="AK616" s="787">
        <f>INDEX('Planzahlen Rentabilität'!$K$12:$FU$56,MATCH(Grafiken!$S616,'Planzahlen Rentabilität'!$A$12:$A$56,0),MATCH(Grafiken!AK$604,'Planzahlen Rentabilität'!$K$9:$FU$9,0))</f>
        <v>62.5</v>
      </c>
      <c r="AL616" s="787">
        <f ca="1">INDEX('Planzahlen Rentabilität'!$K$12:$FU$56,MATCH(Grafiken!$S616,'Planzahlen Rentabilität'!$A$12:$A$56,0),MATCH(Grafiken!AL$604,'Planzahlen Rentabilität'!$K$9:$FU$9,0))</f>
        <v>58.24</v>
      </c>
      <c r="AM616" s="787">
        <f>INDEX('Planzahlen Rentabilität'!$K$12:$FU$56,MATCH(Grafiken!$S616,'Planzahlen Rentabilität'!$A$12:$A$56,0),MATCH(Grafiken!AM$604,'Planzahlen Rentabilität'!$K$9:$FU$9,0))</f>
        <v>62.5</v>
      </c>
      <c r="AN616" s="787">
        <f ca="1">INDEX('Planzahlen Rentabilität'!$K$12:$FU$56,MATCH(Grafiken!$S616,'Planzahlen Rentabilität'!$A$12:$A$56,0),MATCH(Grafiken!AN$604,'Planzahlen Rentabilität'!$K$9:$FU$9,0))</f>
        <v>110.87</v>
      </c>
      <c r="AO616" s="787">
        <f>INDEX('Planzahlen Rentabilität'!$K$12:$FU$56,MATCH(Grafiken!$S616,'Planzahlen Rentabilität'!$A$12:$A$56,0),MATCH(Grafiken!AO$604,'Planzahlen Rentabilität'!$K$9:$FU$9,0))</f>
        <v>62.5</v>
      </c>
      <c r="AP616" s="787">
        <f ca="1">INDEX('Planzahlen Rentabilität'!$K$12:$FU$56,MATCH(Grafiken!$S616,'Planzahlen Rentabilität'!$A$12:$A$56,0),MATCH(Grafiken!AP$604,'Planzahlen Rentabilität'!$K$9:$FU$9,0))</f>
        <v>0</v>
      </c>
      <c r="AQ616" s="787">
        <f>INDEX('Planzahlen Rentabilität'!$K$12:$FU$56,MATCH(Grafiken!$S616,'Planzahlen Rentabilität'!$A$12:$A$56,0),MATCH(Grafiken!AQ$604,'Planzahlen Rentabilität'!$K$9:$FU$9,0))</f>
        <v>62.5</v>
      </c>
      <c r="AR616" s="787">
        <f ca="1">INDEX('Planzahlen Rentabilität'!$K$12:$FU$56,MATCH(Grafiken!$S616,'Planzahlen Rentabilität'!$A$12:$A$56,0),MATCH(Grafiken!AR$604,'Planzahlen Rentabilität'!$K$9:$FU$9,0))</f>
        <v>0</v>
      </c>
    </row>
    <row r="617" spans="19:44" x14ac:dyDescent="0.2">
      <c r="S617" s="51">
        <v>26</v>
      </c>
      <c r="T617" s="771" t="s">
        <v>293</v>
      </c>
      <c r="U617" s="787">
        <f>INDEX('Planzahlen Rentabilität'!$K$12:$FU$56,MATCH(Grafiken!$S617,'Planzahlen Rentabilität'!$A$12:$A$56,0),MATCH(Grafiken!U$604,'Planzahlen Rentabilität'!$K$9:$FU$9,0))</f>
        <v>125</v>
      </c>
      <c r="V617" s="816">
        <f ca="1">INDEX('Planzahlen Rentabilität'!$K$12:$FU$56,MATCH(Grafiken!$S617,'Planzahlen Rentabilität'!$A$12:$A$56,0),MATCH(Grafiken!V$604,'Planzahlen Rentabilität'!$K$9:$FU$9,0))</f>
        <v>0</v>
      </c>
      <c r="W617" s="787">
        <f>INDEX('Planzahlen Rentabilität'!$K$12:$FU$56,MATCH(Grafiken!$S617,'Planzahlen Rentabilität'!$A$12:$A$56,0),MATCH(Grafiken!W$604,'Planzahlen Rentabilität'!$K$9:$FU$9,0))</f>
        <v>125</v>
      </c>
      <c r="X617" s="787">
        <f ca="1">INDEX('Planzahlen Rentabilität'!$K$12:$FU$56,MATCH(Grafiken!$S617,'Planzahlen Rentabilität'!$A$12:$A$56,0),MATCH(Grafiken!X$604,'Planzahlen Rentabilität'!$K$9:$FU$9,0))</f>
        <v>0</v>
      </c>
      <c r="Y617" s="787" t="e">
        <f>INDEX('Planzahlen Rentabilität'!$K$12:$FU$56,MATCH(Grafiken!$S617,'Planzahlen Rentabilität'!$A$12:$A$56,0),MATCH(Grafiken!Y$604,'Planzahlen Rentabilität'!$K$9:$FU$9,0))</f>
        <v>#N/A</v>
      </c>
      <c r="Z617" s="787">
        <f>INDEX('Planzahlen Rentabilität'!$K$12:$FU$56,MATCH(Grafiken!$S617,'Planzahlen Rentabilität'!$A$12:$A$56,0),MATCH(Grafiken!Z$604,'Planzahlen Rentabilität'!$K$9:$FU$9,0))</f>
        <v>0</v>
      </c>
      <c r="AA617" s="787">
        <f>INDEX('Planzahlen Rentabilität'!$K$12:$FU$56,MATCH(Grafiken!$S617,'Planzahlen Rentabilität'!$A$12:$A$56,0),MATCH(Grafiken!AA$604,'Planzahlen Rentabilität'!$K$9:$FU$9,0))</f>
        <v>125</v>
      </c>
      <c r="AB617" s="787">
        <f ca="1">INDEX('Planzahlen Rentabilität'!$K$12:$FU$56,MATCH(Grafiken!$S617,'Planzahlen Rentabilität'!$A$12:$A$56,0),MATCH(Grafiken!AB$604,'Planzahlen Rentabilität'!$K$9:$FU$9,0))</f>
        <v>0</v>
      </c>
      <c r="AC617" s="787">
        <f>INDEX('Planzahlen Rentabilität'!$K$12:$FU$56,MATCH(Grafiken!$S617,'Planzahlen Rentabilität'!$A$12:$A$56,0),MATCH(Grafiken!AC$604,'Planzahlen Rentabilität'!$K$9:$FU$9,0))</f>
        <v>125</v>
      </c>
      <c r="AD617" s="787">
        <f ca="1">INDEX('Planzahlen Rentabilität'!$K$12:$FU$56,MATCH(Grafiken!$S617,'Planzahlen Rentabilität'!$A$12:$A$56,0),MATCH(Grafiken!AD$604,'Planzahlen Rentabilität'!$K$9:$FU$9,0))</f>
        <v>0</v>
      </c>
      <c r="AE617" s="787" t="e">
        <f>INDEX('Planzahlen Rentabilität'!$K$12:$FU$56,MATCH(Grafiken!$S617,'Planzahlen Rentabilität'!$A$12:$A$56,0),MATCH(Grafiken!AE$604,'Planzahlen Rentabilität'!$K$9:$FU$9,0))</f>
        <v>#N/A</v>
      </c>
      <c r="AF617" s="787">
        <f>INDEX('Planzahlen Rentabilität'!$K$12:$FU$56,MATCH(Grafiken!$S617,'Planzahlen Rentabilität'!$A$12:$A$56,0),MATCH(Grafiken!AF$604,'Planzahlen Rentabilität'!$K$9:$FU$9,0))</f>
        <v>0</v>
      </c>
      <c r="AG617" s="787">
        <f>INDEX('Planzahlen Rentabilität'!$K$12:$FU$56,MATCH(Grafiken!$S617,'Planzahlen Rentabilität'!$A$12:$A$56,0),MATCH(Grafiken!AG$604,'Planzahlen Rentabilität'!$K$9:$FU$9,0))</f>
        <v>125</v>
      </c>
      <c r="AH617" s="787">
        <f ca="1">INDEX('Planzahlen Rentabilität'!$K$12:$FU$56,MATCH(Grafiken!$S617,'Planzahlen Rentabilität'!$A$12:$A$56,0),MATCH(Grafiken!AH$604,'Planzahlen Rentabilität'!$K$9:$FU$9,0))</f>
        <v>64.28</v>
      </c>
      <c r="AI617" s="787">
        <f>INDEX('Planzahlen Rentabilität'!$K$12:$FU$56,MATCH(Grafiken!$S617,'Planzahlen Rentabilität'!$A$12:$A$56,0),MATCH(Grafiken!AI$604,'Planzahlen Rentabilität'!$K$9:$FU$9,0))</f>
        <v>125</v>
      </c>
      <c r="AJ617" s="787">
        <f ca="1">INDEX('Planzahlen Rentabilität'!$K$12:$FU$56,MATCH(Grafiken!$S617,'Planzahlen Rentabilität'!$A$12:$A$56,0),MATCH(Grafiken!AJ$604,'Planzahlen Rentabilität'!$K$9:$FU$9,0))</f>
        <v>0</v>
      </c>
      <c r="AK617" s="787">
        <f>INDEX('Planzahlen Rentabilität'!$K$12:$FU$56,MATCH(Grafiken!$S617,'Planzahlen Rentabilität'!$A$12:$A$56,0),MATCH(Grafiken!AK$604,'Planzahlen Rentabilität'!$K$9:$FU$9,0))</f>
        <v>125</v>
      </c>
      <c r="AL617" s="787">
        <f ca="1">INDEX('Planzahlen Rentabilität'!$K$12:$FU$56,MATCH(Grafiken!$S617,'Planzahlen Rentabilität'!$A$12:$A$56,0),MATCH(Grafiken!AL$604,'Planzahlen Rentabilität'!$K$9:$FU$9,0))</f>
        <v>0</v>
      </c>
      <c r="AM617" s="787">
        <f>INDEX('Planzahlen Rentabilität'!$K$12:$FU$56,MATCH(Grafiken!$S617,'Planzahlen Rentabilität'!$A$12:$A$56,0),MATCH(Grafiken!AM$604,'Planzahlen Rentabilität'!$K$9:$FU$9,0))</f>
        <v>125</v>
      </c>
      <c r="AN617" s="787">
        <f ca="1">INDEX('Planzahlen Rentabilität'!$K$12:$FU$56,MATCH(Grafiken!$S617,'Planzahlen Rentabilität'!$A$12:$A$56,0),MATCH(Grafiken!AN$604,'Planzahlen Rentabilität'!$K$9:$FU$9,0))</f>
        <v>0</v>
      </c>
      <c r="AO617" s="787">
        <f>INDEX('Planzahlen Rentabilität'!$K$12:$FU$56,MATCH(Grafiken!$S617,'Planzahlen Rentabilität'!$A$12:$A$56,0),MATCH(Grafiken!AO$604,'Planzahlen Rentabilität'!$K$9:$FU$9,0))</f>
        <v>125</v>
      </c>
      <c r="AP617" s="787">
        <f ca="1">INDEX('Planzahlen Rentabilität'!$K$12:$FU$56,MATCH(Grafiken!$S617,'Planzahlen Rentabilität'!$A$12:$A$56,0),MATCH(Grafiken!AP$604,'Planzahlen Rentabilität'!$K$9:$FU$9,0))</f>
        <v>0</v>
      </c>
      <c r="AQ617" s="787">
        <f>INDEX('Planzahlen Rentabilität'!$K$12:$FU$56,MATCH(Grafiken!$S617,'Planzahlen Rentabilität'!$A$12:$A$56,0),MATCH(Grafiken!AQ$604,'Planzahlen Rentabilität'!$K$9:$FU$9,0))</f>
        <v>125</v>
      </c>
      <c r="AR617" s="787">
        <f ca="1">INDEX('Planzahlen Rentabilität'!$K$12:$FU$56,MATCH(Grafiken!$S617,'Planzahlen Rentabilität'!$A$12:$A$56,0),MATCH(Grafiken!AR$604,'Planzahlen Rentabilität'!$K$9:$FU$9,0))</f>
        <v>0</v>
      </c>
    </row>
    <row r="618" spans="19:44" x14ac:dyDescent="0.2">
      <c r="S618" s="51">
        <v>29</v>
      </c>
      <c r="T618" s="771" t="s">
        <v>272</v>
      </c>
      <c r="U618" s="787">
        <f>INDEX('Planzahlen Rentabilität'!$K$12:$FU$56,MATCH(Grafiken!$S618,'Planzahlen Rentabilität'!$A$12:$A$56,0),MATCH(Grafiken!U$604,'Planzahlen Rentabilität'!$K$9:$FU$9,0))</f>
        <v>250</v>
      </c>
      <c r="V618" s="816">
        <f ca="1">INDEX('Planzahlen Rentabilität'!$K$12:$FU$56,MATCH(Grafiken!$S618,'Planzahlen Rentabilität'!$A$12:$A$56,0),MATCH(Grafiken!V$604,'Planzahlen Rentabilität'!$K$9:$FU$9,0))</f>
        <v>232.46</v>
      </c>
      <c r="W618" s="787">
        <f>INDEX('Planzahlen Rentabilität'!$K$12:$FU$56,MATCH(Grafiken!$S618,'Planzahlen Rentabilität'!$A$12:$A$56,0),MATCH(Grafiken!W$604,'Planzahlen Rentabilität'!$K$9:$FU$9,0))</f>
        <v>250</v>
      </c>
      <c r="X618" s="787">
        <f ca="1">INDEX('Planzahlen Rentabilität'!$K$12:$FU$56,MATCH(Grafiken!$S618,'Planzahlen Rentabilität'!$A$12:$A$56,0),MATCH(Grafiken!X$604,'Planzahlen Rentabilität'!$K$9:$FU$9,0))</f>
        <v>232.51999999999998</v>
      </c>
      <c r="Y618" s="787" t="e">
        <f>INDEX('Planzahlen Rentabilität'!$K$12:$FU$56,MATCH(Grafiken!$S618,'Planzahlen Rentabilität'!$A$12:$A$56,0),MATCH(Grafiken!Y$604,'Planzahlen Rentabilität'!$K$9:$FU$9,0))</f>
        <v>#N/A</v>
      </c>
      <c r="Z618" s="787">
        <f>INDEX('Planzahlen Rentabilität'!$K$12:$FU$56,MATCH(Grafiken!$S618,'Planzahlen Rentabilität'!$A$12:$A$56,0),MATCH(Grafiken!Z$604,'Planzahlen Rentabilität'!$K$9:$FU$9,0))</f>
        <v>0</v>
      </c>
      <c r="AA618" s="787">
        <f>INDEX('Planzahlen Rentabilität'!$K$12:$FU$56,MATCH(Grafiken!$S618,'Planzahlen Rentabilität'!$A$12:$A$56,0),MATCH(Grafiken!AA$604,'Planzahlen Rentabilität'!$K$9:$FU$9,0))</f>
        <v>250</v>
      </c>
      <c r="AB618" s="787">
        <f ca="1">INDEX('Planzahlen Rentabilität'!$K$12:$FU$56,MATCH(Grafiken!$S618,'Planzahlen Rentabilität'!$A$12:$A$56,0),MATCH(Grafiken!AB$604,'Planzahlen Rentabilität'!$K$9:$FU$9,0))</f>
        <v>346.14</v>
      </c>
      <c r="AC618" s="787">
        <f>INDEX('Planzahlen Rentabilität'!$K$12:$FU$56,MATCH(Grafiken!$S618,'Planzahlen Rentabilität'!$A$12:$A$56,0),MATCH(Grafiken!AC$604,'Planzahlen Rentabilität'!$K$9:$FU$9,0))</f>
        <v>250</v>
      </c>
      <c r="AD618" s="787">
        <f ca="1">INDEX('Planzahlen Rentabilität'!$K$12:$FU$56,MATCH(Grafiken!$S618,'Planzahlen Rentabilität'!$A$12:$A$56,0),MATCH(Grafiken!AD$604,'Planzahlen Rentabilität'!$K$9:$FU$9,0))</f>
        <v>740.75</v>
      </c>
      <c r="AE618" s="787" t="e">
        <f>INDEX('Planzahlen Rentabilität'!$K$12:$FU$56,MATCH(Grafiken!$S618,'Planzahlen Rentabilität'!$A$12:$A$56,0),MATCH(Grafiken!AE$604,'Planzahlen Rentabilität'!$K$9:$FU$9,0))</f>
        <v>#N/A</v>
      </c>
      <c r="AF618" s="787">
        <f>INDEX('Planzahlen Rentabilität'!$K$12:$FU$56,MATCH(Grafiken!$S618,'Planzahlen Rentabilität'!$A$12:$A$56,0),MATCH(Grafiken!AF$604,'Planzahlen Rentabilität'!$K$9:$FU$9,0))</f>
        <v>0</v>
      </c>
      <c r="AG618" s="787">
        <f>INDEX('Planzahlen Rentabilität'!$K$12:$FU$56,MATCH(Grafiken!$S618,'Planzahlen Rentabilität'!$A$12:$A$56,0),MATCH(Grafiken!AG$604,'Planzahlen Rentabilität'!$K$9:$FU$9,0))</f>
        <v>250</v>
      </c>
      <c r="AH618" s="787">
        <f ca="1">INDEX('Planzahlen Rentabilität'!$K$12:$FU$56,MATCH(Grafiken!$S618,'Planzahlen Rentabilität'!$A$12:$A$56,0),MATCH(Grafiken!AH$604,'Planzahlen Rentabilität'!$K$9:$FU$9,0))</f>
        <v>687.79</v>
      </c>
      <c r="AI618" s="787">
        <f>INDEX('Planzahlen Rentabilität'!$K$12:$FU$56,MATCH(Grafiken!$S618,'Planzahlen Rentabilität'!$A$12:$A$56,0),MATCH(Grafiken!AI$604,'Planzahlen Rentabilität'!$K$9:$FU$9,0))</f>
        <v>250</v>
      </c>
      <c r="AJ618" s="787">
        <f ca="1">INDEX('Planzahlen Rentabilität'!$K$12:$FU$56,MATCH(Grafiken!$S618,'Planzahlen Rentabilität'!$A$12:$A$56,0),MATCH(Grafiken!AJ$604,'Planzahlen Rentabilität'!$K$9:$FU$9,0))</f>
        <v>324.77999999999997</v>
      </c>
      <c r="AK618" s="787">
        <f>INDEX('Planzahlen Rentabilität'!$K$12:$FU$56,MATCH(Grafiken!$S618,'Planzahlen Rentabilität'!$A$12:$A$56,0),MATCH(Grafiken!AK$604,'Planzahlen Rentabilität'!$K$9:$FU$9,0))</f>
        <v>250</v>
      </c>
      <c r="AL618" s="787">
        <f ca="1">INDEX('Planzahlen Rentabilität'!$K$12:$FU$56,MATCH(Grafiken!$S618,'Planzahlen Rentabilität'!$A$12:$A$56,0),MATCH(Grafiken!AL$604,'Planzahlen Rentabilität'!$K$9:$FU$9,0))</f>
        <v>272.60000000000002</v>
      </c>
      <c r="AM618" s="787">
        <f>INDEX('Planzahlen Rentabilität'!$K$12:$FU$56,MATCH(Grafiken!$S618,'Planzahlen Rentabilität'!$A$12:$A$56,0),MATCH(Grafiken!AM$604,'Planzahlen Rentabilität'!$K$9:$FU$9,0))</f>
        <v>250</v>
      </c>
      <c r="AN618" s="787">
        <f ca="1">INDEX('Planzahlen Rentabilität'!$K$12:$FU$56,MATCH(Grafiken!$S618,'Planzahlen Rentabilität'!$A$12:$A$56,0),MATCH(Grafiken!AN$604,'Planzahlen Rentabilität'!$K$9:$FU$9,0))</f>
        <v>272.66000000000003</v>
      </c>
      <c r="AO618" s="787">
        <f>INDEX('Planzahlen Rentabilität'!$K$12:$FU$56,MATCH(Grafiken!$S618,'Planzahlen Rentabilität'!$A$12:$A$56,0),MATCH(Grafiken!AO$604,'Planzahlen Rentabilität'!$K$9:$FU$9,0))</f>
        <v>250</v>
      </c>
      <c r="AP618" s="787">
        <f ca="1">INDEX('Planzahlen Rentabilität'!$K$12:$FU$56,MATCH(Grafiken!$S618,'Planzahlen Rentabilität'!$A$12:$A$56,0),MATCH(Grafiken!AP$604,'Planzahlen Rentabilität'!$K$9:$FU$9,0))</f>
        <v>0</v>
      </c>
      <c r="AQ618" s="787">
        <f>INDEX('Planzahlen Rentabilität'!$K$12:$FU$56,MATCH(Grafiken!$S618,'Planzahlen Rentabilität'!$A$12:$A$56,0),MATCH(Grafiken!AQ$604,'Planzahlen Rentabilität'!$K$9:$FU$9,0))</f>
        <v>250</v>
      </c>
      <c r="AR618" s="787">
        <f ca="1">INDEX('Planzahlen Rentabilität'!$K$12:$FU$56,MATCH(Grafiken!$S618,'Planzahlen Rentabilität'!$A$12:$A$56,0),MATCH(Grafiken!AR$604,'Planzahlen Rentabilität'!$K$9:$FU$9,0))</f>
        <v>0</v>
      </c>
    </row>
    <row r="629" spans="19:22" x14ac:dyDescent="0.2">
      <c r="T629" s="524"/>
    </row>
    <row r="630" spans="19:22" x14ac:dyDescent="0.2">
      <c r="S630" s="492"/>
      <c r="T630" s="492"/>
      <c r="U630" s="817"/>
      <c r="V630" s="817"/>
    </row>
    <row r="631" spans="19:22" x14ac:dyDescent="0.2">
      <c r="S631" s="803"/>
      <c r="T631" s="813"/>
      <c r="U631" s="803"/>
      <c r="V631" s="803"/>
    </row>
    <row r="632" spans="19:22" x14ac:dyDescent="0.2">
      <c r="S632" s="803"/>
      <c r="T632" s="813"/>
      <c r="U632" s="814"/>
      <c r="V632" s="814"/>
    </row>
    <row r="633" spans="19:22" x14ac:dyDescent="0.2">
      <c r="S633" s="803"/>
      <c r="T633" s="813"/>
      <c r="U633" s="814"/>
      <c r="V633" s="814"/>
    </row>
    <row r="634" spans="19:22" x14ac:dyDescent="0.2">
      <c r="S634" s="803"/>
      <c r="T634" s="813"/>
      <c r="U634" s="814"/>
      <c r="V634" s="814"/>
    </row>
    <row r="635" spans="19:22" x14ac:dyDescent="0.2">
      <c r="S635" s="815"/>
      <c r="T635" s="813"/>
      <c r="U635" s="814"/>
      <c r="V635" s="814"/>
    </row>
    <row r="636" spans="19:22" x14ac:dyDescent="0.2">
      <c r="S636" s="815"/>
      <c r="T636" s="813"/>
      <c r="U636" s="814"/>
      <c r="V636" s="814"/>
    </row>
    <row r="637" spans="19:22" x14ac:dyDescent="0.2">
      <c r="S637" s="815"/>
      <c r="T637" s="813"/>
      <c r="U637" s="814"/>
      <c r="V637" s="814"/>
    </row>
    <row r="638" spans="19:22" x14ac:dyDescent="0.2">
      <c r="S638" s="815"/>
      <c r="T638" s="813"/>
      <c r="U638" s="814"/>
      <c r="V638" s="814"/>
    </row>
    <row r="639" spans="19:22" x14ac:dyDescent="0.2">
      <c r="S639" s="815"/>
      <c r="T639" s="813"/>
      <c r="U639" s="814"/>
      <c r="V639" s="814"/>
    </row>
    <row r="640" spans="19:22" x14ac:dyDescent="0.2">
      <c r="S640" s="815"/>
      <c r="T640" s="813"/>
      <c r="U640" s="814"/>
      <c r="V640" s="814"/>
    </row>
    <row r="641" spans="1:32" x14ac:dyDescent="0.2">
      <c r="S641" s="815"/>
      <c r="T641" s="813"/>
      <c r="U641" s="814"/>
      <c r="V641" s="814"/>
    </row>
    <row r="642" spans="1:32" x14ac:dyDescent="0.2">
      <c r="S642" s="815"/>
      <c r="T642" s="813"/>
      <c r="U642" s="814"/>
      <c r="V642" s="814"/>
    </row>
    <row r="643" spans="1:32" x14ac:dyDescent="0.2">
      <c r="S643" s="492"/>
      <c r="T643" s="492"/>
      <c r="U643" s="492"/>
      <c r="V643" s="492"/>
    </row>
    <row r="650" spans="1:32" ht="15" x14ac:dyDescent="0.2">
      <c r="A650" s="487" t="str">
        <f>"Zahlungsverhalten zum "&amp;Grunddaten!$E$7&amp;" "&amp;Grunddaten!$B$5</f>
        <v>Zahlungsverhalten zum Oktober 2019</v>
      </c>
    </row>
    <row r="652" spans="1:32" x14ac:dyDescent="0.2">
      <c r="T652" s="524" t="s">
        <v>294</v>
      </c>
    </row>
    <row r="653" spans="1:32" x14ac:dyDescent="0.2">
      <c r="U653" s="778" t="s">
        <v>38</v>
      </c>
      <c r="V653" s="778" t="s">
        <v>40</v>
      </c>
      <c r="W653" s="778" t="s">
        <v>43</v>
      </c>
      <c r="X653" s="778" t="s">
        <v>45</v>
      </c>
      <c r="Y653" s="778" t="s">
        <v>47</v>
      </c>
      <c r="Z653" s="778" t="s">
        <v>49</v>
      </c>
      <c r="AA653" s="778" t="s">
        <v>51</v>
      </c>
      <c r="AB653" s="778" t="s">
        <v>52</v>
      </c>
      <c r="AC653" s="778" t="s">
        <v>54</v>
      </c>
      <c r="AD653" s="778" t="s">
        <v>55</v>
      </c>
      <c r="AE653" s="778" t="s">
        <v>56</v>
      </c>
      <c r="AF653" s="778" t="s">
        <v>57</v>
      </c>
    </row>
    <row r="654" spans="1:32" x14ac:dyDescent="0.2">
      <c r="S654" s="1471">
        <v>3300</v>
      </c>
      <c r="T654" s="773" t="s">
        <v>295</v>
      </c>
      <c r="U654" s="776">
        <f ca="1">IF(ISERROR(INDEX(INDIRECT(U$653&amp;"!F:F"),MATCH(Grafiken!$S$654,INDIRECT(U$653&amp;"!A:A"),0))),0,INDEX(INDIRECT(U$653&amp;"!F:F"),MATCH(Grafiken!$S$654,INDIRECT(U$653&amp;"!A:A"),0)))</f>
        <v>0</v>
      </c>
      <c r="V654" s="776">
        <f ca="1">IF(ISERROR(INDEX(INDIRECT(V$653&amp;"!F:F"),MATCH(Grafiken!$S$654,INDIRECT(V$653&amp;"!A:A"),0))),0,INDEX(INDIRECT(V$653&amp;"!F:F"),MATCH(Grafiken!$S$654,INDIRECT(V$653&amp;"!A:A"),0)))</f>
        <v>0</v>
      </c>
      <c r="W654" s="776">
        <f ca="1">IF(ISERROR(INDEX(INDIRECT(W$653&amp;"!F:F"),MATCH(Grafiken!$S$654,INDIRECT(W$653&amp;"!A:A"),0))),0,INDEX(INDIRECT(W$653&amp;"!F:F"),MATCH(Grafiken!$S$654,INDIRECT(W$653&amp;"!A:A"),0)))</f>
        <v>0</v>
      </c>
      <c r="X654" s="776">
        <f ca="1">IF(ISERROR(INDEX(INDIRECT(X$653&amp;"!F:F"),MATCH(Grafiken!$S$654,INDIRECT(X$653&amp;"!A:A"),0))),0,INDEX(INDIRECT(X$653&amp;"!F:F"),MATCH(Grafiken!$S$654,INDIRECT(X$653&amp;"!A:A"),0)))</f>
        <v>0</v>
      </c>
      <c r="Y654" s="776">
        <f ca="1">IF(ISERROR(INDEX(INDIRECT(Y$653&amp;"!F:F"),MATCH(Grafiken!$S$654,INDIRECT(Y$653&amp;"!A:A"),0))),0,INDEX(INDIRECT(Y$653&amp;"!F:F"),MATCH(Grafiken!$S$654,INDIRECT(Y$653&amp;"!A:A"),0)))</f>
        <v>0</v>
      </c>
      <c r="Z654" s="776">
        <f ca="1">IF(ISERROR(INDEX(INDIRECT(Z$653&amp;"!F:F"),MATCH(Grafiken!$S$654,INDIRECT(Z$653&amp;"!A:A"),0))),0,INDEX(INDIRECT(Z$653&amp;"!F:F"),MATCH(Grafiken!$S$654,INDIRECT(Z$653&amp;"!A:A"),0)))</f>
        <v>0</v>
      </c>
      <c r="AA654" s="776">
        <f ca="1">IF(ISERROR(INDEX(INDIRECT(AA$653&amp;"!F:F"),MATCH(Grafiken!$S$654,INDIRECT(AA$653&amp;"!A:A"),0))),0,INDEX(INDIRECT(AA$653&amp;"!F:F"),MATCH(Grafiken!$S$654,INDIRECT(AA$653&amp;"!A:A"),0)))</f>
        <v>0</v>
      </c>
      <c r="AB654" s="776">
        <f ca="1">IF(ISERROR(INDEX(INDIRECT(AB$653&amp;"!F:F"),MATCH(Grafiken!$S$654,INDIRECT(AB$653&amp;"!A:A"),0))),0,INDEX(INDIRECT(AB$653&amp;"!F:F"),MATCH(Grafiken!$S$654,INDIRECT(AB$653&amp;"!A:A"),0)))</f>
        <v>0</v>
      </c>
      <c r="AC654" s="776">
        <f ca="1">IF(ISERROR(INDEX(INDIRECT(AC$653&amp;"!F:F"),MATCH(Grafiken!$S$654,INDIRECT(AC$653&amp;"!A:A"),0))),0,INDEX(INDIRECT(AC$653&amp;"!F:F"),MATCH(Grafiken!$S$654,INDIRECT(AC$653&amp;"!A:A"),0)))</f>
        <v>0</v>
      </c>
      <c r="AD654" s="776">
        <f ca="1">IF(ISERROR(INDEX(INDIRECT(AD$653&amp;"!F:F"),MATCH(Grafiken!$S$654,INDIRECT(AD$653&amp;"!A:A"),0))),0,INDEX(INDIRECT(AD$653&amp;"!F:F"),MATCH(Grafiken!$S$654,INDIRECT(AD$653&amp;"!A:A"),0)))</f>
        <v>0</v>
      </c>
      <c r="AE654" s="776">
        <f ca="1">IF(ISERROR(INDEX(INDIRECT(AE$653&amp;"!F:F"),MATCH(Grafiken!$S$654,INDIRECT(AE$653&amp;"!A:A"),0))),0,INDEX(INDIRECT(AE$653&amp;"!F:F"),MATCH(Grafiken!$S$654,INDIRECT(AE$653&amp;"!A:A"),0)))</f>
        <v>0</v>
      </c>
      <c r="AF654" s="776">
        <f ca="1">IF(ISERROR(INDEX(INDIRECT(AF$653&amp;"!F:F"),MATCH(Grafiken!$S$654,INDIRECT(AF$653&amp;"!A:A"),0))),0,INDEX(INDIRECT(AF$653&amp;"!F:F"),MATCH(Grafiken!$S$654,INDIRECT(AF$653&amp;"!A:A"),0)))</f>
        <v>0</v>
      </c>
    </row>
    <row r="655" spans="1:32" x14ac:dyDescent="0.2">
      <c r="S655" s="1471"/>
      <c r="T655" s="773" t="s">
        <v>296</v>
      </c>
      <c r="U655" s="776">
        <f ca="1">IF(ISERROR(INDEX(INDIRECT(U$653&amp;"!L:L"),MATCH(Grafiken!$S$654,INDIRECT(U$653&amp;"!A:A"),0))),0,INDEX(INDIRECT(U$653&amp;"!L:L"),MATCH(Grafiken!$S$654,INDIRECT(U$653&amp;"!A:A"),0)))</f>
        <v>0</v>
      </c>
      <c r="V655" s="776">
        <f ca="1">IF(ISERROR(INDEX(INDIRECT(V$653&amp;"!L:L"),MATCH(Grafiken!$S$654,INDIRECT(V$653&amp;"!A:A"),0))),0,INDEX(INDIRECT(V$653&amp;"!L:L"),MATCH(Grafiken!$S$654,INDIRECT(V$653&amp;"!A:A"),0)))</f>
        <v>0</v>
      </c>
      <c r="W655" s="776">
        <f ca="1">IF(ISERROR(INDEX(INDIRECT(W$653&amp;"!L:L"),MATCH(Grafiken!$S$654,INDIRECT(W$653&amp;"!A:A"),0))),0,INDEX(INDIRECT(W$653&amp;"!L:L"),MATCH(Grafiken!$S$654,INDIRECT(W$653&amp;"!A:A"),0)))</f>
        <v>0</v>
      </c>
      <c r="X655" s="776">
        <f ca="1">IF(ISERROR(INDEX(INDIRECT(X$653&amp;"!L:L"),MATCH(Grafiken!$S$654,INDIRECT(X$653&amp;"!A:A"),0))),0,INDEX(INDIRECT(X$653&amp;"!L:L"),MATCH(Grafiken!$S$654,INDIRECT(X$653&amp;"!A:A"),0)))</f>
        <v>0</v>
      </c>
      <c r="Y655" s="776">
        <f ca="1">IF(ISERROR(INDEX(INDIRECT(Y$653&amp;"!L:L"),MATCH(Grafiken!$S$654,INDIRECT(Y$653&amp;"!A:A"),0))),0,INDEX(INDIRECT(Y$653&amp;"!L:L"),MATCH(Grafiken!$S$654,INDIRECT(Y$653&amp;"!A:A"),0)))</f>
        <v>0</v>
      </c>
      <c r="Z655" s="776">
        <f ca="1">IF(ISERROR(INDEX(INDIRECT(Z$653&amp;"!L:L"),MATCH(Grafiken!$S$654,INDIRECT(Z$653&amp;"!A:A"),0))),0,INDEX(INDIRECT(Z$653&amp;"!L:L"),MATCH(Grafiken!$S$654,INDIRECT(Z$653&amp;"!A:A"),0)))</f>
        <v>0</v>
      </c>
      <c r="AA655" s="776">
        <f ca="1">IF(ISERROR(INDEX(INDIRECT(AA$653&amp;"!L:L"),MATCH(Grafiken!$S$654,INDIRECT(AA$653&amp;"!A:A"),0))),0,INDEX(INDIRECT(AA$653&amp;"!L:L"),MATCH(Grafiken!$S$654,INDIRECT(AA$653&amp;"!A:A"),0)))</f>
        <v>0</v>
      </c>
      <c r="AB655" s="776">
        <f ca="1">IF(ISERROR(INDEX(INDIRECT(AB$653&amp;"!L:L"),MATCH(Grafiken!$S$654,INDIRECT(AB$653&amp;"!A:A"),0))),0,INDEX(INDIRECT(AB$653&amp;"!L:L"),MATCH(Grafiken!$S$654,INDIRECT(AB$653&amp;"!A:A"),0)))</f>
        <v>0</v>
      </c>
      <c r="AC655" s="776">
        <f ca="1">IF(ISERROR(INDEX(INDIRECT(AC$653&amp;"!L:L"),MATCH(Grafiken!$S$654,INDIRECT(AC$653&amp;"!A:A"),0))),0,INDEX(INDIRECT(AC$653&amp;"!L:L"),MATCH(Grafiken!$S$654,INDIRECT(AC$653&amp;"!A:A"),0)))</f>
        <v>0</v>
      </c>
      <c r="AD655" s="776">
        <f ca="1">IF(ISERROR(INDEX(INDIRECT(AD$653&amp;"!L:L"),MATCH(Grafiken!$S$654,INDIRECT(AD$653&amp;"!A:A"),0))),0,INDEX(INDIRECT(AD$653&amp;"!L:L"),MATCH(Grafiken!$S$654,INDIRECT(AD$653&amp;"!A:A"),0)))</f>
        <v>0</v>
      </c>
      <c r="AE655" s="776">
        <f ca="1">IF(ISERROR(INDEX(INDIRECT(AE$653&amp;"!L:L"),MATCH(Grafiken!$S$654,INDIRECT(AE$653&amp;"!A:A"),0))),0,INDEX(INDIRECT(AE$653&amp;"!L:L"),MATCH(Grafiken!$S$654,INDIRECT(AE$653&amp;"!A:A"),0)))</f>
        <v>0</v>
      </c>
      <c r="AF655" s="776">
        <f ca="1">IF(ISERROR(INDEX(INDIRECT(AF$653&amp;"!L:L"),MATCH(Grafiken!$S$654,INDIRECT(AF$653&amp;"!A:A"),0))),0,INDEX(INDIRECT(AF$653&amp;"!L:L"),MATCH(Grafiken!$S$654,INDIRECT(AF$653&amp;"!A:A"),0)))</f>
        <v>0</v>
      </c>
    </row>
    <row r="656" spans="1:32" x14ac:dyDescent="0.2">
      <c r="T656" s="773" t="s">
        <v>297</v>
      </c>
      <c r="U656" s="772">
        <v>30</v>
      </c>
      <c r="V656" s="772">
        <v>60</v>
      </c>
      <c r="W656" s="772">
        <v>90</v>
      </c>
      <c r="X656" s="772">
        <v>120</v>
      </c>
      <c r="Y656" s="772">
        <v>150</v>
      </c>
      <c r="Z656" s="772">
        <v>180</v>
      </c>
      <c r="AA656" s="772">
        <v>210</v>
      </c>
      <c r="AB656" s="772">
        <v>240</v>
      </c>
      <c r="AC656" s="772">
        <v>270</v>
      </c>
      <c r="AD656" s="772">
        <v>300</v>
      </c>
      <c r="AE656" s="772">
        <v>330</v>
      </c>
      <c r="AF656" s="772">
        <v>360</v>
      </c>
    </row>
    <row r="657" spans="19:32" x14ac:dyDescent="0.2">
      <c r="T657" s="773" t="s">
        <v>298</v>
      </c>
      <c r="U657" s="818">
        <f ca="1">IF(ISERROR(U654/U655*U656),0,U654/U655*U656)</f>
        <v>0</v>
      </c>
      <c r="V657" s="818">
        <f t="shared" ref="V657:AF657" ca="1" si="23">IF(ISERROR(V654/V655*V656),0,V654/V655*V656)</f>
        <v>0</v>
      </c>
      <c r="W657" s="818">
        <f t="shared" ca="1" si="23"/>
        <v>0</v>
      </c>
      <c r="X657" s="818">
        <f t="shared" ca="1" si="23"/>
        <v>0</v>
      </c>
      <c r="Y657" s="818">
        <f t="shared" ca="1" si="23"/>
        <v>0</v>
      </c>
      <c r="Z657" s="818">
        <f t="shared" ca="1" si="23"/>
        <v>0</v>
      </c>
      <c r="AA657" s="818">
        <f t="shared" ca="1" si="23"/>
        <v>0</v>
      </c>
      <c r="AB657" s="818">
        <f t="shared" ca="1" si="23"/>
        <v>0</v>
      </c>
      <c r="AC657" s="818">
        <f t="shared" ca="1" si="23"/>
        <v>0</v>
      </c>
      <c r="AD657" s="818">
        <f t="shared" ca="1" si="23"/>
        <v>0</v>
      </c>
      <c r="AE657" s="818">
        <f t="shared" ca="1" si="23"/>
        <v>0</v>
      </c>
      <c r="AF657" s="818">
        <f t="shared" ca="1" si="23"/>
        <v>0</v>
      </c>
    </row>
    <row r="660" spans="19:32" x14ac:dyDescent="0.2">
      <c r="T660" s="524" t="s">
        <v>299</v>
      </c>
    </row>
    <row r="661" spans="19:32" x14ac:dyDescent="0.2">
      <c r="U661" s="778" t="s">
        <v>38</v>
      </c>
      <c r="V661" s="778" t="s">
        <v>40</v>
      </c>
      <c r="W661" s="778" t="s">
        <v>43</v>
      </c>
      <c r="X661" s="778" t="s">
        <v>45</v>
      </c>
      <c r="Y661" s="778" t="s">
        <v>47</v>
      </c>
      <c r="Z661" s="778" t="s">
        <v>49</v>
      </c>
      <c r="AA661" s="778" t="s">
        <v>51</v>
      </c>
      <c r="AB661" s="778" t="s">
        <v>52</v>
      </c>
      <c r="AC661" s="778" t="s">
        <v>54</v>
      </c>
      <c r="AD661" s="778" t="s">
        <v>55</v>
      </c>
      <c r="AE661" s="778" t="s">
        <v>56</v>
      </c>
      <c r="AF661" s="778" t="s">
        <v>57</v>
      </c>
    </row>
    <row r="662" spans="19:32" x14ac:dyDescent="0.2">
      <c r="S662" s="1471">
        <v>1200</v>
      </c>
      <c r="T662" s="773" t="s">
        <v>300</v>
      </c>
      <c r="U662" s="776">
        <f ca="1">IF(ISERROR(INDEX(INDIRECT(U$661&amp;"!F:F"),MATCH(Grafiken!$S$662,INDIRECT(U$661&amp;"!A:A"),0))),0,INDEX(INDIRECT(U$661&amp;"!F:F"),MATCH(Grafiken!$S$662,INDIRECT(U$661&amp;"!A:A"),0)))</f>
        <v>0</v>
      </c>
      <c r="V662" s="776">
        <f ca="1">IF(ISERROR(INDEX(INDIRECT(V$661&amp;"!F:F"),MATCH(Grafiken!$S$662,INDIRECT(V$661&amp;"!A:A"),0))),0,INDEX(INDIRECT(V$661&amp;"!F:F"),MATCH(Grafiken!$S$662,INDIRECT(V$661&amp;"!A:A"),0)))</f>
        <v>0</v>
      </c>
      <c r="W662" s="776">
        <f ca="1">IF(ISERROR(INDEX(INDIRECT(W$661&amp;"!F:F"),MATCH(Grafiken!$S$662,INDIRECT(W$661&amp;"!A:A"),0))),0,INDEX(INDIRECT(W$661&amp;"!F:F"),MATCH(Grafiken!$S$662,INDIRECT(W$661&amp;"!A:A"),0)))</f>
        <v>0</v>
      </c>
      <c r="X662" s="776">
        <f ca="1">IF(ISERROR(INDEX(INDIRECT(X$661&amp;"!F:F"),MATCH(Grafiken!$S$662,INDIRECT(X$661&amp;"!A:A"),0))),0,INDEX(INDIRECT(X$661&amp;"!F:F"),MATCH(Grafiken!$S$662,INDIRECT(X$661&amp;"!A:A"),0)))</f>
        <v>0</v>
      </c>
      <c r="Y662" s="776">
        <f ca="1">IF(ISERROR(INDEX(INDIRECT(Y$661&amp;"!F:F"),MATCH(Grafiken!$S$662,INDIRECT(Y$661&amp;"!A:A"),0))),0,INDEX(INDIRECT(Y$661&amp;"!F:F"),MATCH(Grafiken!$S$662,INDIRECT(Y$661&amp;"!A:A"),0)))</f>
        <v>0</v>
      </c>
      <c r="Z662" s="776">
        <f ca="1">IF(ISERROR(INDEX(INDIRECT(Z$661&amp;"!F:F"),MATCH(Grafiken!$S$662,INDIRECT(Z$661&amp;"!A:A"),0))),0,INDEX(INDIRECT(Z$661&amp;"!F:F"),MATCH(Grafiken!$S$662,INDIRECT(Z$661&amp;"!A:A"),0)))</f>
        <v>0</v>
      </c>
      <c r="AA662" s="776">
        <f ca="1">IF(ISERROR(INDEX(INDIRECT(AA$661&amp;"!F:F"),MATCH(Grafiken!$S$662,INDIRECT(AA$661&amp;"!A:A"),0))),0,INDEX(INDIRECT(AA$661&amp;"!F:F"),MATCH(Grafiken!$S$662,INDIRECT(AA$661&amp;"!A:A"),0)))</f>
        <v>0</v>
      </c>
      <c r="AB662" s="776">
        <f ca="1">IF(ISERROR(INDEX(INDIRECT(AB$661&amp;"!F:F"),MATCH(Grafiken!$S$662,INDIRECT(AB$661&amp;"!A:A"),0))),0,INDEX(INDIRECT(AB$661&amp;"!F:F"),MATCH(Grafiken!$S$662,INDIRECT(AB$661&amp;"!A:A"),0)))</f>
        <v>0</v>
      </c>
      <c r="AC662" s="776">
        <f ca="1">IF(ISERROR(INDEX(INDIRECT(AC$661&amp;"!F:F"),MATCH(Grafiken!$S$662,INDIRECT(AC$661&amp;"!A:A"),0))),0,INDEX(INDIRECT(AC$661&amp;"!F:F"),MATCH(Grafiken!$S$662,INDIRECT(AC$661&amp;"!A:A"),0)))</f>
        <v>0</v>
      </c>
      <c r="AD662" s="776">
        <f ca="1">IF(ISERROR(INDEX(INDIRECT(AD$661&amp;"!F:F"),MATCH(Grafiken!$S$662,INDIRECT(AD$661&amp;"!A:A"),0))),0,INDEX(INDIRECT(AD$661&amp;"!F:F"),MATCH(Grafiken!$S$662,INDIRECT(AD$661&amp;"!A:A"),0)))</f>
        <v>0</v>
      </c>
      <c r="AE662" s="776">
        <f ca="1">IF(ISERROR(INDEX(INDIRECT(AE$661&amp;"!F:F"),MATCH(Grafiken!$S$662,INDIRECT(AE$661&amp;"!A:A"),0))),0,INDEX(INDIRECT(AE$661&amp;"!F:F"),MATCH(Grafiken!$S$662,INDIRECT(AE$661&amp;"!A:A"),0)))</f>
        <v>0</v>
      </c>
      <c r="AF662" s="776">
        <f ca="1">IF(ISERROR(INDEX(INDIRECT(AF$661&amp;"!F:F"),MATCH(Grafiken!$S$662,INDIRECT(AF$661&amp;"!A:A"),0))),0,INDEX(INDIRECT(AF$661&amp;"!F:F"),MATCH(Grafiken!$S$662,INDIRECT(AF$661&amp;"!A:A"),0)))</f>
        <v>0</v>
      </c>
    </row>
    <row r="663" spans="19:32" x14ac:dyDescent="0.2">
      <c r="S663" s="1471"/>
      <c r="T663" s="773" t="s">
        <v>301</v>
      </c>
      <c r="U663" s="776">
        <f ca="1">IF(ISERROR(INDEX(INDIRECT(U$661&amp;"!k:k"),MATCH(Grafiken!$S$662,INDIRECT(U$661&amp;"!A:A"),0))),0,INDEX(INDIRECT(U$661&amp;"!k:k"),MATCH(Grafiken!$S$662,INDIRECT(U$661&amp;"!A:A"),0)))</f>
        <v>0</v>
      </c>
      <c r="V663" s="776">
        <f ca="1">IF(ISERROR(INDEX(INDIRECT(V$661&amp;"!k:k"),MATCH(Grafiken!$S$662,INDIRECT(V$661&amp;"!A:A"),0))),0,INDEX(INDIRECT(V$661&amp;"!k:k"),MATCH(Grafiken!$S$662,INDIRECT(V$661&amp;"!A:A"),0)))</f>
        <v>0</v>
      </c>
      <c r="W663" s="776">
        <f ca="1">IF(ISERROR(INDEX(INDIRECT(W$661&amp;"!k:k"),MATCH(Grafiken!$S$662,INDIRECT(W$661&amp;"!A:A"),0))),0,INDEX(INDIRECT(W$661&amp;"!k:k"),MATCH(Grafiken!$S$662,INDIRECT(W$661&amp;"!A:A"),0)))</f>
        <v>0</v>
      </c>
      <c r="X663" s="776">
        <f ca="1">IF(ISERROR(INDEX(INDIRECT(X$661&amp;"!k:k"),MATCH(Grafiken!$S$662,INDIRECT(X$661&amp;"!A:A"),0))),0,INDEX(INDIRECT(X$661&amp;"!k:k"),MATCH(Grafiken!$S$662,INDIRECT(X$661&amp;"!A:A"),0)))</f>
        <v>0</v>
      </c>
      <c r="Y663" s="776">
        <f ca="1">IF(ISERROR(INDEX(INDIRECT(Y$661&amp;"!k:k"),MATCH(Grafiken!$S$662,INDIRECT(Y$661&amp;"!A:A"),0))),0,INDEX(INDIRECT(Y$661&amp;"!k:k"),MATCH(Grafiken!$S$662,INDIRECT(Y$661&amp;"!A:A"),0)))</f>
        <v>0</v>
      </c>
      <c r="Z663" s="776">
        <f ca="1">IF(ISERROR(INDEX(INDIRECT(Z$661&amp;"!k:k"),MATCH(Grafiken!$S$662,INDIRECT(Z$661&amp;"!A:A"),0))),0,INDEX(INDIRECT(Z$661&amp;"!k:k"),MATCH(Grafiken!$S$662,INDIRECT(Z$661&amp;"!A:A"),0)))</f>
        <v>0</v>
      </c>
      <c r="AA663" s="776">
        <f ca="1">IF(ISERROR(INDEX(INDIRECT(AA$661&amp;"!k:k"),MATCH(Grafiken!$S$662,INDIRECT(AA$661&amp;"!A:A"),0))),0,INDEX(INDIRECT(AA$661&amp;"!k:k"),MATCH(Grafiken!$S$662,INDIRECT(AA$661&amp;"!A:A"),0)))</f>
        <v>0</v>
      </c>
      <c r="AB663" s="776">
        <f ca="1">IF(ISERROR(INDEX(INDIRECT(AB$661&amp;"!k:k"),MATCH(Grafiken!$S$662,INDIRECT(AB$661&amp;"!A:A"),0))),0,INDEX(INDIRECT(AB$661&amp;"!k:k"),MATCH(Grafiken!$S$662,INDIRECT(AB$661&amp;"!A:A"),0)))</f>
        <v>0</v>
      </c>
      <c r="AC663" s="776">
        <f ca="1">IF(ISERROR(INDEX(INDIRECT(AC$661&amp;"!k:k"),MATCH(Grafiken!$S$662,INDIRECT(AC$661&amp;"!A:A"),0))),0,INDEX(INDIRECT(AC$661&amp;"!k:k"),MATCH(Grafiken!$S$662,INDIRECT(AC$661&amp;"!A:A"),0)))</f>
        <v>0</v>
      </c>
      <c r="AD663" s="776">
        <f ca="1">IF(ISERROR(INDEX(INDIRECT(AD$661&amp;"!k:k"),MATCH(Grafiken!$S$662,INDIRECT(AD$661&amp;"!A:A"),0))),0,INDEX(INDIRECT(AD$661&amp;"!k:k"),MATCH(Grafiken!$S$662,INDIRECT(AD$661&amp;"!A:A"),0)))</f>
        <v>0</v>
      </c>
      <c r="AE663" s="776">
        <f ca="1">IF(ISERROR(INDEX(INDIRECT(AE$661&amp;"!k:k"),MATCH(Grafiken!$S$662,INDIRECT(AE$661&amp;"!A:A"),0))),0,INDEX(INDIRECT(AE$661&amp;"!k:k"),MATCH(Grafiken!$S$662,INDIRECT(AE$661&amp;"!A:A"),0)))</f>
        <v>0</v>
      </c>
      <c r="AF663" s="776">
        <f ca="1">IF(ISERROR(INDEX(INDIRECT(AF$661&amp;"!k:k"),MATCH(Grafiken!$S$662,INDIRECT(AF$661&amp;"!A:A"),0))),0,INDEX(INDIRECT(AF$661&amp;"!k:k"),MATCH(Grafiken!$S$662,INDIRECT(AF$661&amp;"!A:A"),0)))</f>
        <v>0</v>
      </c>
    </row>
    <row r="664" spans="19:32" x14ac:dyDescent="0.2">
      <c r="T664" s="773" t="s">
        <v>297</v>
      </c>
      <c r="U664" s="772">
        <v>30</v>
      </c>
      <c r="V664" s="772">
        <v>60</v>
      </c>
      <c r="W664" s="772">
        <v>90</v>
      </c>
      <c r="X664" s="772">
        <v>120</v>
      </c>
      <c r="Y664" s="772">
        <v>150</v>
      </c>
      <c r="Z664" s="772">
        <v>180</v>
      </c>
      <c r="AA664" s="772">
        <v>210</v>
      </c>
      <c r="AB664" s="772">
        <v>240</v>
      </c>
      <c r="AC664" s="772">
        <v>270</v>
      </c>
      <c r="AD664" s="772">
        <v>300</v>
      </c>
      <c r="AE664" s="772">
        <v>330</v>
      </c>
      <c r="AF664" s="772">
        <v>360</v>
      </c>
    </row>
    <row r="665" spans="19:32" x14ac:dyDescent="0.2">
      <c r="T665" s="773" t="s">
        <v>302</v>
      </c>
      <c r="U665" s="818">
        <f t="shared" ref="U665:AF665" ca="1" si="24">IF(ISERROR(U662/U663*U664),0,U662/U663*U664)</f>
        <v>0</v>
      </c>
      <c r="V665" s="818">
        <f t="shared" ca="1" si="24"/>
        <v>0</v>
      </c>
      <c r="W665" s="818">
        <f t="shared" ca="1" si="24"/>
        <v>0</v>
      </c>
      <c r="X665" s="818">
        <f t="shared" ca="1" si="24"/>
        <v>0</v>
      </c>
      <c r="Y665" s="818">
        <f t="shared" ca="1" si="24"/>
        <v>0</v>
      </c>
      <c r="Z665" s="818">
        <f t="shared" ca="1" si="24"/>
        <v>0</v>
      </c>
      <c r="AA665" s="818">
        <f t="shared" ca="1" si="24"/>
        <v>0</v>
      </c>
      <c r="AB665" s="818">
        <f t="shared" ca="1" si="24"/>
        <v>0</v>
      </c>
      <c r="AC665" s="818">
        <f t="shared" ca="1" si="24"/>
        <v>0</v>
      </c>
      <c r="AD665" s="818">
        <f t="shared" ca="1" si="24"/>
        <v>0</v>
      </c>
      <c r="AE665" s="818">
        <f t="shared" ca="1" si="24"/>
        <v>0</v>
      </c>
      <c r="AF665" s="818">
        <f t="shared" ca="1" si="24"/>
        <v>0</v>
      </c>
    </row>
  </sheetData>
  <mergeCells count="599">
    <mergeCell ref="Q82:Q83"/>
    <mergeCell ref="S654:S655"/>
    <mergeCell ref="S662:S663"/>
    <mergeCell ref="A154:Q154"/>
    <mergeCell ref="Z407:AA407"/>
    <mergeCell ref="Y408:AB408"/>
    <mergeCell ref="Z431:AA431"/>
    <mergeCell ref="Y432:AB432"/>
    <mergeCell ref="Q58:Q59"/>
    <mergeCell ref="N60:N61"/>
    <mergeCell ref="L60:L61"/>
    <mergeCell ref="M60:M61"/>
    <mergeCell ref="K62:K63"/>
    <mergeCell ref="K64:K65"/>
    <mergeCell ref="K66:K67"/>
    <mergeCell ref="K84:K85"/>
    <mergeCell ref="L64:L65"/>
    <mergeCell ref="M64:M65"/>
    <mergeCell ref="L62:L63"/>
    <mergeCell ref="M62:M63"/>
    <mergeCell ref="A153:Q153"/>
    <mergeCell ref="A205:Q205"/>
    <mergeCell ref="A256:Q256"/>
    <mergeCell ref="U605:V605"/>
    <mergeCell ref="AO605:AP605"/>
    <mergeCell ref="P60:P61"/>
    <mergeCell ref="Q60:Q61"/>
    <mergeCell ref="N58:N59"/>
    <mergeCell ref="O58:O59"/>
    <mergeCell ref="U432:X432"/>
    <mergeCell ref="V456:W456"/>
    <mergeCell ref="O60:O61"/>
    <mergeCell ref="P64:P65"/>
    <mergeCell ref="U408:X408"/>
    <mergeCell ref="V431:W431"/>
    <mergeCell ref="AI605:AJ605"/>
    <mergeCell ref="Z331:AA331"/>
    <mergeCell ref="Y332:AB332"/>
    <mergeCell ref="W157:X157"/>
    <mergeCell ref="U157:V157"/>
    <mergeCell ref="Y157:Z157"/>
    <mergeCell ref="N66:N67"/>
    <mergeCell ref="O66:O67"/>
    <mergeCell ref="Q84:Q85"/>
    <mergeCell ref="P84:P85"/>
    <mergeCell ref="P110:P111"/>
    <mergeCell ref="P58:P59"/>
    <mergeCell ref="P82:P83"/>
    <mergeCell ref="AQ605:AR605"/>
    <mergeCell ref="W605:X605"/>
    <mergeCell ref="T509:T510"/>
    <mergeCell ref="S509:S510"/>
    <mergeCell ref="T511:T512"/>
    <mergeCell ref="V480:W480"/>
    <mergeCell ref="U457:W457"/>
    <mergeCell ref="U481:W481"/>
    <mergeCell ref="V407:W407"/>
    <mergeCell ref="T517:T518"/>
    <mergeCell ref="S513:S514"/>
    <mergeCell ref="S517:S518"/>
    <mergeCell ref="S533:S534"/>
    <mergeCell ref="T533:T534"/>
    <mergeCell ref="T513:T514"/>
    <mergeCell ref="T515:T516"/>
    <mergeCell ref="S541:S542"/>
    <mergeCell ref="T541:T542"/>
    <mergeCell ref="S519:S520"/>
    <mergeCell ref="T519:T520"/>
    <mergeCell ref="S543:S544"/>
    <mergeCell ref="T543:T544"/>
    <mergeCell ref="T535:T536"/>
    <mergeCell ref="S537:S538"/>
    <mergeCell ref="AM605:AN605"/>
    <mergeCell ref="W4:X4"/>
    <mergeCell ref="U4:V4"/>
    <mergeCell ref="Y4:Z4"/>
    <mergeCell ref="W28:X28"/>
    <mergeCell ref="U28:V28"/>
    <mergeCell ref="Y28:Z28"/>
    <mergeCell ref="Y55:Z55"/>
    <mergeCell ref="Y130:Z130"/>
    <mergeCell ref="Y181:Z181"/>
    <mergeCell ref="Y232:Z232"/>
    <mergeCell ref="Y259:Z259"/>
    <mergeCell ref="Y283:Z283"/>
    <mergeCell ref="Y308:AB308"/>
    <mergeCell ref="Z307:AA307"/>
    <mergeCell ref="V307:W307"/>
    <mergeCell ref="U308:X308"/>
    <mergeCell ref="V331:W331"/>
    <mergeCell ref="U332:X332"/>
    <mergeCell ref="W79:X79"/>
    <mergeCell ref="U79:V79"/>
    <mergeCell ref="Y79:Z79"/>
    <mergeCell ref="W106:X106"/>
    <mergeCell ref="U106:V106"/>
    <mergeCell ref="W55:X55"/>
    <mergeCell ref="U55:V55"/>
    <mergeCell ref="T539:T540"/>
    <mergeCell ref="Y605:Z605"/>
    <mergeCell ref="AA605:AB605"/>
    <mergeCell ref="AC605:AD605"/>
    <mergeCell ref="AE605:AF605"/>
    <mergeCell ref="AG605:AH605"/>
    <mergeCell ref="AK605:AL605"/>
    <mergeCell ref="Y106:Z106"/>
    <mergeCell ref="T537:T538"/>
    <mergeCell ref="A52:Q52"/>
    <mergeCell ref="K58:K59"/>
    <mergeCell ref="K60:K61"/>
    <mergeCell ref="L58:L59"/>
    <mergeCell ref="M58:M59"/>
    <mergeCell ref="L66:L67"/>
    <mergeCell ref="M66:M67"/>
    <mergeCell ref="P66:P67"/>
    <mergeCell ref="Q66:Q67"/>
    <mergeCell ref="Q56:Q57"/>
    <mergeCell ref="K56:K57"/>
    <mergeCell ref="N56:N57"/>
    <mergeCell ref="O56:O57"/>
    <mergeCell ref="L56:L57"/>
    <mergeCell ref="M56:M57"/>
    <mergeCell ref="P56:P57"/>
    <mergeCell ref="Q62:Q63"/>
    <mergeCell ref="N64:N65"/>
    <mergeCell ref="O64:O65"/>
    <mergeCell ref="N62:N63"/>
    <mergeCell ref="O62:O63"/>
    <mergeCell ref="P62:P63"/>
    <mergeCell ref="Q64:Q65"/>
    <mergeCell ref="K82:K83"/>
    <mergeCell ref="N82:N83"/>
    <mergeCell ref="O82:O83"/>
    <mergeCell ref="L82:L83"/>
    <mergeCell ref="M82:M83"/>
    <mergeCell ref="N84:N85"/>
    <mergeCell ref="O84:O85"/>
    <mergeCell ref="L84:L85"/>
    <mergeCell ref="M84:M85"/>
    <mergeCell ref="L90:L91"/>
    <mergeCell ref="M90:M91"/>
    <mergeCell ref="P86:P87"/>
    <mergeCell ref="Q86:Q87"/>
    <mergeCell ref="K88:K89"/>
    <mergeCell ref="N88:N89"/>
    <mergeCell ref="O88:O89"/>
    <mergeCell ref="L88:L89"/>
    <mergeCell ref="M88:M89"/>
    <mergeCell ref="P88:P89"/>
    <mergeCell ref="Q88:Q89"/>
    <mergeCell ref="K86:K87"/>
    <mergeCell ref="N86:N87"/>
    <mergeCell ref="O86:O87"/>
    <mergeCell ref="L86:L87"/>
    <mergeCell ref="M86:M87"/>
    <mergeCell ref="Q110:Q111"/>
    <mergeCell ref="P112:P113"/>
    <mergeCell ref="Q112:Q113"/>
    <mergeCell ref="N90:N91"/>
    <mergeCell ref="O90:O91"/>
    <mergeCell ref="K110:K111"/>
    <mergeCell ref="N110:N111"/>
    <mergeCell ref="O110:O111"/>
    <mergeCell ref="L110:L111"/>
    <mergeCell ref="M110:M111"/>
    <mergeCell ref="K92:K93"/>
    <mergeCell ref="N92:N93"/>
    <mergeCell ref="O92:O93"/>
    <mergeCell ref="L92:L93"/>
    <mergeCell ref="M92:M93"/>
    <mergeCell ref="P92:P93"/>
    <mergeCell ref="Q92:Q93"/>
    <mergeCell ref="P90:P91"/>
    <mergeCell ref="Q90:Q91"/>
    <mergeCell ref="P94:P95"/>
    <mergeCell ref="Q94:Q95"/>
    <mergeCell ref="K96:K97"/>
    <mergeCell ref="N96:N97"/>
    <mergeCell ref="O96:O97"/>
    <mergeCell ref="P114:P115"/>
    <mergeCell ref="Q114:Q115"/>
    <mergeCell ref="K112:K113"/>
    <mergeCell ref="N112:N113"/>
    <mergeCell ref="O112:O113"/>
    <mergeCell ref="L112:L113"/>
    <mergeCell ref="M112:M113"/>
    <mergeCell ref="K114:K115"/>
    <mergeCell ref="N114:N115"/>
    <mergeCell ref="O114:O115"/>
    <mergeCell ref="L114:L115"/>
    <mergeCell ref="M114:M115"/>
    <mergeCell ref="P116:P117"/>
    <mergeCell ref="Q116:Q117"/>
    <mergeCell ref="K118:K119"/>
    <mergeCell ref="N118:N119"/>
    <mergeCell ref="O118:O119"/>
    <mergeCell ref="L118:L119"/>
    <mergeCell ref="M118:M119"/>
    <mergeCell ref="P118:P119"/>
    <mergeCell ref="Q118:Q119"/>
    <mergeCell ref="K116:K117"/>
    <mergeCell ref="N116:N117"/>
    <mergeCell ref="O116:O117"/>
    <mergeCell ref="L116:L117"/>
    <mergeCell ref="M116:M117"/>
    <mergeCell ref="K120:K121"/>
    <mergeCell ref="N120:N121"/>
    <mergeCell ref="O120:O121"/>
    <mergeCell ref="L120:L121"/>
    <mergeCell ref="M120:M121"/>
    <mergeCell ref="P120:P121"/>
    <mergeCell ref="Q120:Q121"/>
    <mergeCell ref="W130:X130"/>
    <mergeCell ref="U130:V130"/>
    <mergeCell ref="P134:P135"/>
    <mergeCell ref="Q134:Q135"/>
    <mergeCell ref="K136:K137"/>
    <mergeCell ref="N136:N137"/>
    <mergeCell ref="O136:O137"/>
    <mergeCell ref="L136:L137"/>
    <mergeCell ref="M136:M137"/>
    <mergeCell ref="P136:P137"/>
    <mergeCell ref="Q136:Q137"/>
    <mergeCell ref="K134:K135"/>
    <mergeCell ref="N134:N135"/>
    <mergeCell ref="O134:O135"/>
    <mergeCell ref="L134:L135"/>
    <mergeCell ref="M134:M135"/>
    <mergeCell ref="P138:P139"/>
    <mergeCell ref="Q138:Q139"/>
    <mergeCell ref="K140:K141"/>
    <mergeCell ref="N140:N141"/>
    <mergeCell ref="O140:O141"/>
    <mergeCell ref="L140:L141"/>
    <mergeCell ref="M140:M141"/>
    <mergeCell ref="P140:P141"/>
    <mergeCell ref="Q140:Q141"/>
    <mergeCell ref="K138:K139"/>
    <mergeCell ref="N138:N139"/>
    <mergeCell ref="O138:O139"/>
    <mergeCell ref="L138:L139"/>
    <mergeCell ref="M138:M139"/>
    <mergeCell ref="Q144:Q145"/>
    <mergeCell ref="K142:K143"/>
    <mergeCell ref="N142:N143"/>
    <mergeCell ref="O142:O143"/>
    <mergeCell ref="L142:L143"/>
    <mergeCell ref="M142:M143"/>
    <mergeCell ref="P142:P143"/>
    <mergeCell ref="Q142:Q143"/>
    <mergeCell ref="K144:K145"/>
    <mergeCell ref="N144:N145"/>
    <mergeCell ref="O144:O145"/>
    <mergeCell ref="L144:L145"/>
    <mergeCell ref="M144:M145"/>
    <mergeCell ref="P144:P145"/>
    <mergeCell ref="P158:P159"/>
    <mergeCell ref="Q158:Q159"/>
    <mergeCell ref="K162:K163"/>
    <mergeCell ref="N162:N163"/>
    <mergeCell ref="O162:O163"/>
    <mergeCell ref="L162:L163"/>
    <mergeCell ref="M162:M163"/>
    <mergeCell ref="P162:P163"/>
    <mergeCell ref="Q162:Q163"/>
    <mergeCell ref="K160:K161"/>
    <mergeCell ref="N160:N161"/>
    <mergeCell ref="O160:O161"/>
    <mergeCell ref="L160:L161"/>
    <mergeCell ref="M160:M161"/>
    <mergeCell ref="P160:P161"/>
    <mergeCell ref="Q160:Q161"/>
    <mergeCell ref="K158:K159"/>
    <mergeCell ref="N158:N159"/>
    <mergeCell ref="O158:O159"/>
    <mergeCell ref="L158:L159"/>
    <mergeCell ref="M158:M159"/>
    <mergeCell ref="K172:K173"/>
    <mergeCell ref="N172:N173"/>
    <mergeCell ref="O172:O173"/>
    <mergeCell ref="L172:L173"/>
    <mergeCell ref="M172:M173"/>
    <mergeCell ref="K170:K171"/>
    <mergeCell ref="N170:N171"/>
    <mergeCell ref="O170:O171"/>
    <mergeCell ref="L170:L171"/>
    <mergeCell ref="M170:M171"/>
    <mergeCell ref="P170:P171"/>
    <mergeCell ref="Q170:Q171"/>
    <mergeCell ref="P172:P173"/>
    <mergeCell ref="Q172:Q173"/>
    <mergeCell ref="P174:P175"/>
    <mergeCell ref="Q174:Q175"/>
    <mergeCell ref="P166:P167"/>
    <mergeCell ref="Q166:Q167"/>
    <mergeCell ref="P168:P169"/>
    <mergeCell ref="Q168:Q169"/>
    <mergeCell ref="L168:L169"/>
    <mergeCell ref="M168:M169"/>
    <mergeCell ref="K166:K167"/>
    <mergeCell ref="N166:N167"/>
    <mergeCell ref="O166:O167"/>
    <mergeCell ref="L166:L167"/>
    <mergeCell ref="M166:M167"/>
    <mergeCell ref="P164:P165"/>
    <mergeCell ref="Q164:Q165"/>
    <mergeCell ref="K194:K195"/>
    <mergeCell ref="N194:N195"/>
    <mergeCell ref="P186:P187"/>
    <mergeCell ref="Q186:Q187"/>
    <mergeCell ref="W181:X181"/>
    <mergeCell ref="U181:V181"/>
    <mergeCell ref="P182:P183"/>
    <mergeCell ref="Q182:Q183"/>
    <mergeCell ref="K184:K185"/>
    <mergeCell ref="N184:N185"/>
    <mergeCell ref="O184:O185"/>
    <mergeCell ref="L184:L185"/>
    <mergeCell ref="M184:M185"/>
    <mergeCell ref="P184:P185"/>
    <mergeCell ref="Q184:Q185"/>
    <mergeCell ref="K182:K183"/>
    <mergeCell ref="K192:K193"/>
    <mergeCell ref="N192:N193"/>
    <mergeCell ref="O192:O193"/>
    <mergeCell ref="L192:L193"/>
    <mergeCell ref="M192:M193"/>
    <mergeCell ref="O194:O195"/>
    <mergeCell ref="L194:L195"/>
    <mergeCell ref="M194:M195"/>
    <mergeCell ref="M190:M191"/>
    <mergeCell ref="P190:P191"/>
    <mergeCell ref="Q190:Q191"/>
    <mergeCell ref="P80:P81"/>
    <mergeCell ref="Q80:Q81"/>
    <mergeCell ref="K90:K91"/>
    <mergeCell ref="P68:P69"/>
    <mergeCell ref="Q68:Q69"/>
    <mergeCell ref="K70:K71"/>
    <mergeCell ref="N70:N71"/>
    <mergeCell ref="O70:O71"/>
    <mergeCell ref="K164:K165"/>
    <mergeCell ref="N164:N165"/>
    <mergeCell ref="O164:O165"/>
    <mergeCell ref="L164:L165"/>
    <mergeCell ref="M164:M165"/>
    <mergeCell ref="K186:K187"/>
    <mergeCell ref="N186:N187"/>
    <mergeCell ref="O186:O187"/>
    <mergeCell ref="L186:L187"/>
    <mergeCell ref="M186:M187"/>
    <mergeCell ref="K168:K169"/>
    <mergeCell ref="N168:N169"/>
    <mergeCell ref="O168:O169"/>
    <mergeCell ref="L70:L71"/>
    <mergeCell ref="M70:M71"/>
    <mergeCell ref="P70:P71"/>
    <mergeCell ref="Q70:Q71"/>
    <mergeCell ref="K68:K69"/>
    <mergeCell ref="N68:N69"/>
    <mergeCell ref="O68:O69"/>
    <mergeCell ref="L68:L69"/>
    <mergeCell ref="K80:K81"/>
    <mergeCell ref="N80:N81"/>
    <mergeCell ref="O80:O81"/>
    <mergeCell ref="L80:L81"/>
    <mergeCell ref="M80:M81"/>
    <mergeCell ref="P72:P73"/>
    <mergeCell ref="Q72:Q73"/>
    <mergeCell ref="K72:K73"/>
    <mergeCell ref="N72:N73"/>
    <mergeCell ref="O72:O73"/>
    <mergeCell ref="L72:L73"/>
    <mergeCell ref="M72:M73"/>
    <mergeCell ref="M68:M69"/>
    <mergeCell ref="L96:L97"/>
    <mergeCell ref="M96:M97"/>
    <mergeCell ref="P96:P97"/>
    <mergeCell ref="Q96:Q97"/>
    <mergeCell ref="K94:K95"/>
    <mergeCell ref="N94:N95"/>
    <mergeCell ref="O94:O95"/>
    <mergeCell ref="L94:L95"/>
    <mergeCell ref="M94:M95"/>
    <mergeCell ref="M196:M197"/>
    <mergeCell ref="P192:P193"/>
    <mergeCell ref="Q192:Q193"/>
    <mergeCell ref="N182:N183"/>
    <mergeCell ref="O182:O183"/>
    <mergeCell ref="L182:L183"/>
    <mergeCell ref="M182:M183"/>
    <mergeCell ref="K174:K175"/>
    <mergeCell ref="N174:N175"/>
    <mergeCell ref="O174:O175"/>
    <mergeCell ref="L174:L175"/>
    <mergeCell ref="M174:M175"/>
    <mergeCell ref="Q194:Q195"/>
    <mergeCell ref="K188:K189"/>
    <mergeCell ref="N188:N189"/>
    <mergeCell ref="O188:O189"/>
    <mergeCell ref="L188:L189"/>
    <mergeCell ref="M188:M189"/>
    <mergeCell ref="P188:P189"/>
    <mergeCell ref="Q188:Q189"/>
    <mergeCell ref="K190:K191"/>
    <mergeCell ref="N190:N191"/>
    <mergeCell ref="O190:O191"/>
    <mergeCell ref="L190:L191"/>
    <mergeCell ref="P194:P195"/>
    <mergeCell ref="U208:V208"/>
    <mergeCell ref="W208:X208"/>
    <mergeCell ref="Y208:Z208"/>
    <mergeCell ref="K212:K213"/>
    <mergeCell ref="L212:L213"/>
    <mergeCell ref="M212:M213"/>
    <mergeCell ref="N212:N213"/>
    <mergeCell ref="O212:O213"/>
    <mergeCell ref="P212:P213"/>
    <mergeCell ref="Q212:Q213"/>
    <mergeCell ref="P196:P197"/>
    <mergeCell ref="Q196:Q197"/>
    <mergeCell ref="K198:K199"/>
    <mergeCell ref="N198:N199"/>
    <mergeCell ref="O198:O199"/>
    <mergeCell ref="L198:L199"/>
    <mergeCell ref="M198:M199"/>
    <mergeCell ref="P198:P199"/>
    <mergeCell ref="Q198:Q199"/>
    <mergeCell ref="K196:K197"/>
    <mergeCell ref="N196:N197"/>
    <mergeCell ref="O196:O197"/>
    <mergeCell ref="L196:L197"/>
    <mergeCell ref="P214:P215"/>
    <mergeCell ref="Q214:Q215"/>
    <mergeCell ref="K216:K217"/>
    <mergeCell ref="L216:L217"/>
    <mergeCell ref="M216:M217"/>
    <mergeCell ref="N216:N217"/>
    <mergeCell ref="O216:O217"/>
    <mergeCell ref="P216:P217"/>
    <mergeCell ref="Q216:Q217"/>
    <mergeCell ref="K214:K215"/>
    <mergeCell ref="L214:L215"/>
    <mergeCell ref="M214:M215"/>
    <mergeCell ref="N214:N215"/>
    <mergeCell ref="O214:O215"/>
    <mergeCell ref="P218:P219"/>
    <mergeCell ref="Q218:Q219"/>
    <mergeCell ref="K220:K221"/>
    <mergeCell ref="L220:L221"/>
    <mergeCell ref="M220:M221"/>
    <mergeCell ref="N220:N221"/>
    <mergeCell ref="O220:O221"/>
    <mergeCell ref="P220:P221"/>
    <mergeCell ref="Q220:Q221"/>
    <mergeCell ref="K218:K219"/>
    <mergeCell ref="L218:L219"/>
    <mergeCell ref="M218:M219"/>
    <mergeCell ref="N218:N219"/>
    <mergeCell ref="O218:O219"/>
    <mergeCell ref="K222:K223"/>
    <mergeCell ref="L222:L223"/>
    <mergeCell ref="M222:M223"/>
    <mergeCell ref="N222:N223"/>
    <mergeCell ref="O222:O223"/>
    <mergeCell ref="P222:P223"/>
    <mergeCell ref="Q222:Q223"/>
    <mergeCell ref="U232:V232"/>
    <mergeCell ref="W232:X232"/>
    <mergeCell ref="P236:P237"/>
    <mergeCell ref="Q236:Q237"/>
    <mergeCell ref="K238:K239"/>
    <mergeCell ref="L238:L239"/>
    <mergeCell ref="M238:M239"/>
    <mergeCell ref="N238:N239"/>
    <mergeCell ref="O238:O239"/>
    <mergeCell ref="P238:P239"/>
    <mergeCell ref="Q238:Q239"/>
    <mergeCell ref="K236:K237"/>
    <mergeCell ref="L236:L237"/>
    <mergeCell ref="M236:M237"/>
    <mergeCell ref="N236:N237"/>
    <mergeCell ref="O236:O237"/>
    <mergeCell ref="P240:P241"/>
    <mergeCell ref="Q240:Q241"/>
    <mergeCell ref="K242:K243"/>
    <mergeCell ref="L242:L243"/>
    <mergeCell ref="M242:M243"/>
    <mergeCell ref="N242:N243"/>
    <mergeCell ref="O242:O243"/>
    <mergeCell ref="P242:P243"/>
    <mergeCell ref="Q242:Q243"/>
    <mergeCell ref="K240:K241"/>
    <mergeCell ref="L240:L241"/>
    <mergeCell ref="M240:M241"/>
    <mergeCell ref="N240:N241"/>
    <mergeCell ref="O240:O241"/>
    <mergeCell ref="P244:P245"/>
    <mergeCell ref="Q244:Q245"/>
    <mergeCell ref="K246:K247"/>
    <mergeCell ref="L246:L247"/>
    <mergeCell ref="M246:M247"/>
    <mergeCell ref="N246:N247"/>
    <mergeCell ref="O246:O247"/>
    <mergeCell ref="P246:P247"/>
    <mergeCell ref="Q246:Q247"/>
    <mergeCell ref="K244:K245"/>
    <mergeCell ref="L244:L245"/>
    <mergeCell ref="M244:M245"/>
    <mergeCell ref="N244:N245"/>
    <mergeCell ref="O244:O245"/>
    <mergeCell ref="K263:K264"/>
    <mergeCell ref="L263:L264"/>
    <mergeCell ref="M263:M264"/>
    <mergeCell ref="N263:N264"/>
    <mergeCell ref="O263:O264"/>
    <mergeCell ref="P263:P264"/>
    <mergeCell ref="Q263:Q264"/>
    <mergeCell ref="U259:V259"/>
    <mergeCell ref="W259:X259"/>
    <mergeCell ref="P267:P268"/>
    <mergeCell ref="Q267:Q268"/>
    <mergeCell ref="K265:K266"/>
    <mergeCell ref="L265:L266"/>
    <mergeCell ref="M265:M266"/>
    <mergeCell ref="N265:N266"/>
    <mergeCell ref="O265:O266"/>
    <mergeCell ref="P265:P266"/>
    <mergeCell ref="Q265:Q266"/>
    <mergeCell ref="K267:K268"/>
    <mergeCell ref="L267:L268"/>
    <mergeCell ref="M267:M268"/>
    <mergeCell ref="N267:N268"/>
    <mergeCell ref="O267:O268"/>
    <mergeCell ref="P269:P270"/>
    <mergeCell ref="Q269:Q270"/>
    <mergeCell ref="K271:K272"/>
    <mergeCell ref="L271:L272"/>
    <mergeCell ref="M271:M272"/>
    <mergeCell ref="N271:N272"/>
    <mergeCell ref="O271:O272"/>
    <mergeCell ref="P271:P272"/>
    <mergeCell ref="Q271:Q272"/>
    <mergeCell ref="K269:K270"/>
    <mergeCell ref="L269:L270"/>
    <mergeCell ref="M269:M270"/>
    <mergeCell ref="N269:N270"/>
    <mergeCell ref="O269:O270"/>
    <mergeCell ref="K273:K274"/>
    <mergeCell ref="L273:L274"/>
    <mergeCell ref="M273:M274"/>
    <mergeCell ref="N273:N274"/>
    <mergeCell ref="O273:O274"/>
    <mergeCell ref="P273:P274"/>
    <mergeCell ref="Q273:Q274"/>
    <mergeCell ref="U283:V283"/>
    <mergeCell ref="W283:X283"/>
    <mergeCell ref="P287:P288"/>
    <mergeCell ref="Q287:Q288"/>
    <mergeCell ref="K289:K290"/>
    <mergeCell ref="L289:L290"/>
    <mergeCell ref="M289:M290"/>
    <mergeCell ref="N289:N290"/>
    <mergeCell ref="O289:O290"/>
    <mergeCell ref="P289:P290"/>
    <mergeCell ref="Q289:Q290"/>
    <mergeCell ref="K287:K288"/>
    <mergeCell ref="L287:L288"/>
    <mergeCell ref="M287:M288"/>
    <mergeCell ref="N287:N288"/>
    <mergeCell ref="O287:O288"/>
    <mergeCell ref="P291:P292"/>
    <mergeCell ref="Q291:Q292"/>
    <mergeCell ref="K293:K294"/>
    <mergeCell ref="L293:L294"/>
    <mergeCell ref="M293:M294"/>
    <mergeCell ref="N293:N294"/>
    <mergeCell ref="O293:O294"/>
    <mergeCell ref="P293:P294"/>
    <mergeCell ref="Q293:Q294"/>
    <mergeCell ref="K291:K292"/>
    <mergeCell ref="L291:L292"/>
    <mergeCell ref="M291:M292"/>
    <mergeCell ref="N291:N292"/>
    <mergeCell ref="O291:O292"/>
    <mergeCell ref="P295:P296"/>
    <mergeCell ref="Q295:Q296"/>
    <mergeCell ref="P297:P298"/>
    <mergeCell ref="Q297:Q298"/>
    <mergeCell ref="K295:K296"/>
    <mergeCell ref="L295:L296"/>
    <mergeCell ref="M295:M296"/>
    <mergeCell ref="N295:N296"/>
    <mergeCell ref="O295:O296"/>
    <mergeCell ref="K297:K298"/>
    <mergeCell ref="L297:L298"/>
    <mergeCell ref="M297:M298"/>
    <mergeCell ref="N297:N298"/>
    <mergeCell ref="O297:O298"/>
  </mergeCells>
  <printOptions horizontalCentered="1" verticalCentered="1"/>
  <pageMargins left="0.78740157480314965" right="0.78740157480314965" top="0.39370078740157483" bottom="0.39370078740157483" header="0.19685039370078741" footer="0.19685039370078741"/>
  <pageSetup paperSize="9" scale="83" fitToHeight="0" orientation="landscape"/>
  <headerFooter>
    <oddHeader>&amp;CGrafische BWA-Analyse</oddHeader>
    <oddFooter>&amp;L&amp;D&amp;CMCP: Streng Vertraulich&amp;R&amp;P / &amp;N</oddFooter>
  </headerFooter>
  <rowBreaks count="13" manualBreakCount="13">
    <brk id="49" max="1048575" man="1"/>
    <brk id="100" max="1048575" man="1"/>
    <brk id="151" max="1048575" man="1"/>
    <brk id="202" max="1048575" man="1"/>
    <brk id="253" max="1048575" man="1"/>
    <brk id="304" max="1048575" man="1"/>
    <brk id="353" max="1048575" man="1"/>
    <brk id="404" max="1048575" man="1"/>
    <brk id="453" max="1048575" man="1"/>
    <brk id="502" max="1048575" man="1"/>
    <brk id="551" max="1048575" man="1"/>
    <brk id="600" max="1048575" man="1"/>
    <brk id="649" max="1048575" man="1"/>
  </rowBreak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2">
    <tabColor rgb="FFFFFF99"/>
    <pageSetUpPr fitToPage="1"/>
  </sheetPr>
  <dimension ref="A1:N50"/>
  <sheetViews>
    <sheetView showGridLines="0" topLeftCell="B1" zoomScaleNormal="100" workbookViewId="0">
      <selection activeCell="B1" sqref="B1:H1"/>
    </sheetView>
  </sheetViews>
  <sheetFormatPr baseColWidth="10" defaultColWidth="11.42578125" defaultRowHeight="12.75" x14ac:dyDescent="0.2"/>
  <cols>
    <col min="1" max="1" width="3.85546875" style="651" hidden="1" customWidth="1"/>
    <col min="2" max="2" width="34.140625" style="651" bestFit="1" customWidth="1"/>
    <col min="3" max="9" width="12.140625" style="651" customWidth="1"/>
    <col min="10" max="10" width="15.42578125" style="651" customWidth="1"/>
    <col min="11" max="11" width="11.5703125" style="651" customWidth="1"/>
    <col min="12" max="12" width="11.42578125" style="651" customWidth="1"/>
    <col min="13" max="13" width="11" style="651" customWidth="1"/>
    <col min="14" max="14" width="18.7109375" style="651" bestFit="1" customWidth="1"/>
    <col min="15" max="15" width="11.42578125" style="651" customWidth="1"/>
    <col min="16" max="16384" width="11.42578125" style="651"/>
  </cols>
  <sheetData>
    <row r="1" spans="2:11" ht="48" customHeight="1" x14ac:dyDescent="0.2">
      <c r="B1" s="1476" t="s">
        <v>303</v>
      </c>
      <c r="C1" s="1477"/>
      <c r="D1" s="1477"/>
      <c r="E1" s="1477"/>
      <c r="F1" s="1477"/>
      <c r="G1" s="1477"/>
      <c r="H1" s="1478"/>
      <c r="I1" s="650"/>
      <c r="J1" s="650"/>
      <c r="K1" s="650"/>
    </row>
    <row r="2" spans="2:11" x14ac:dyDescent="0.2">
      <c r="B2" s="650"/>
      <c r="C2" s="650"/>
      <c r="D2" s="650"/>
      <c r="E2" s="650"/>
      <c r="F2" s="650"/>
      <c r="G2" s="650"/>
      <c r="H2" s="650"/>
      <c r="I2" s="650"/>
      <c r="J2" s="650"/>
      <c r="K2" s="650"/>
    </row>
    <row r="3" spans="2:11" s="1135" customFormat="1" x14ac:dyDescent="0.2">
      <c r="B3" s="1132" t="s">
        <v>304</v>
      </c>
      <c r="C3" s="1133">
        <f>Grunddaten!B7</f>
        <v>10</v>
      </c>
      <c r="D3" s="1134"/>
      <c r="E3" s="1134" t="str">
        <f>Grunddaten!D7</f>
        <v>Oktober 2019</v>
      </c>
      <c r="F3" s="1134"/>
      <c r="G3" s="1134"/>
      <c r="H3" s="1134"/>
      <c r="I3" s="1134"/>
      <c r="J3" s="1134"/>
      <c r="K3" s="1134"/>
    </row>
    <row r="4" spans="2:11" x14ac:dyDescent="0.2">
      <c r="B4" s="650"/>
      <c r="C4" s="650"/>
      <c r="D4" s="650"/>
      <c r="E4" s="650"/>
      <c r="F4" s="650"/>
      <c r="G4" s="650"/>
      <c r="H4" s="650"/>
      <c r="I4" s="650"/>
      <c r="J4" s="650"/>
      <c r="K4" s="650"/>
    </row>
    <row r="5" spans="2:11" x14ac:dyDescent="0.2">
      <c r="B5" s="1479" t="s">
        <v>305</v>
      </c>
      <c r="C5" s="1480"/>
      <c r="D5" s="1480"/>
      <c r="E5" s="1480"/>
      <c r="F5" s="1480"/>
      <c r="G5" s="1480"/>
      <c r="H5" s="1481"/>
      <c r="I5" s="650"/>
      <c r="J5" s="650"/>
      <c r="K5" s="650"/>
    </row>
    <row r="6" spans="2:11" x14ac:dyDescent="0.2">
      <c r="B6" s="650"/>
      <c r="C6" s="650"/>
      <c r="D6" s="650"/>
      <c r="E6" s="650"/>
      <c r="F6" s="650"/>
      <c r="G6" s="650"/>
      <c r="H6" s="650"/>
      <c r="I6" s="650"/>
      <c r="J6" s="650"/>
      <c r="K6" s="650"/>
    </row>
    <row r="7" spans="2:11" x14ac:dyDescent="0.2">
      <c r="B7" s="652" t="s">
        <v>306</v>
      </c>
      <c r="C7" s="653">
        <f ca="1">'Planzahlen Liquidität'!E17</f>
        <v>-10416.279999999982</v>
      </c>
      <c r="D7" s="650"/>
      <c r="E7" s="650"/>
      <c r="F7" s="650"/>
      <c r="G7" s="650"/>
      <c r="H7" s="650"/>
      <c r="I7" s="650"/>
      <c r="J7" s="650"/>
      <c r="K7" s="650"/>
    </row>
    <row r="8" spans="2:11" x14ac:dyDescent="0.2">
      <c r="B8" s="652" t="s">
        <v>272</v>
      </c>
      <c r="C8" s="653">
        <f ca="1">'Planzahlen Liquidität'!E18</f>
        <v>3109.6999999999994</v>
      </c>
      <c r="D8" s="650"/>
      <c r="E8" s="650"/>
      <c r="F8" s="650"/>
      <c r="G8" s="650"/>
      <c r="H8" s="650"/>
      <c r="I8" s="650"/>
      <c r="J8" s="650"/>
      <c r="K8" s="650"/>
    </row>
    <row r="9" spans="2:11" x14ac:dyDescent="0.2">
      <c r="B9" s="654" t="s">
        <v>307</v>
      </c>
      <c r="C9" s="653">
        <v>0</v>
      </c>
      <c r="D9" s="650"/>
      <c r="E9" s="650"/>
      <c r="F9" s="650"/>
      <c r="G9" s="650"/>
      <c r="H9" s="650"/>
      <c r="I9" s="650"/>
      <c r="J9" s="650"/>
      <c r="K9" s="650"/>
    </row>
    <row r="10" spans="2:11" x14ac:dyDescent="0.2">
      <c r="B10" s="652" t="s">
        <v>308</v>
      </c>
      <c r="C10" s="653">
        <f ca="1">-('Planzahlen Rentabilität'!E55+'Planzahlen Rentabilität'!E49)</f>
        <v>-1255.8399999999999</v>
      </c>
      <c r="D10" s="650"/>
      <c r="E10" s="650"/>
      <c r="F10" s="650"/>
      <c r="G10" s="650"/>
      <c r="H10" s="650"/>
      <c r="I10" s="650"/>
      <c r="J10" s="650"/>
      <c r="K10" s="650"/>
    </row>
    <row r="11" spans="2:11" x14ac:dyDescent="0.2">
      <c r="B11" s="650"/>
      <c r="C11" s="655"/>
      <c r="D11" s="650"/>
      <c r="E11" s="650"/>
      <c r="F11" s="650"/>
      <c r="G11" s="650"/>
      <c r="H11" s="650"/>
      <c r="I11" s="656"/>
      <c r="J11" s="656"/>
      <c r="K11" s="650"/>
    </row>
    <row r="12" spans="2:11" x14ac:dyDescent="0.2">
      <c r="B12" s="657" t="s">
        <v>309</v>
      </c>
      <c r="C12" s="658">
        <f ca="1">+C7+C8+C9+C10</f>
        <v>-8562.4199999999837</v>
      </c>
      <c r="D12" s="650"/>
      <c r="E12" s="650"/>
      <c r="F12" s="650"/>
      <c r="G12" s="659"/>
      <c r="H12" s="659"/>
      <c r="I12" s="659"/>
      <c r="J12" s="656"/>
      <c r="K12" s="650"/>
    </row>
    <row r="13" spans="2:11" x14ac:dyDescent="0.2">
      <c r="B13" s="650"/>
      <c r="C13" s="655"/>
      <c r="D13" s="650"/>
      <c r="E13" s="650"/>
      <c r="F13" s="650"/>
      <c r="G13" s="659"/>
      <c r="H13" s="660"/>
      <c r="I13" s="661"/>
      <c r="J13" s="1482" t="s">
        <v>310</v>
      </c>
      <c r="K13" s="1483"/>
    </row>
    <row r="14" spans="2:11" x14ac:dyDescent="0.2">
      <c r="B14" s="652" t="s">
        <v>311</v>
      </c>
      <c r="C14" s="653">
        <f ca="1">'Planzahlen Liquidität'!E21-'Planzahlen Liquidität'!E22</f>
        <v>6595.7200000000012</v>
      </c>
      <c r="D14" s="650"/>
      <c r="E14" s="650"/>
      <c r="F14" s="650"/>
      <c r="G14" s="650"/>
      <c r="H14" s="650"/>
      <c r="I14" s="650"/>
      <c r="J14" s="662" t="s">
        <v>312</v>
      </c>
      <c r="K14" s="663">
        <f ca="1">+C23</f>
        <v>8547.2359999999844</v>
      </c>
    </row>
    <row r="15" spans="2:11" x14ac:dyDescent="0.2">
      <c r="B15" s="652" t="s">
        <v>313</v>
      </c>
      <c r="C15" s="653">
        <f ca="1">'Planzahlen Liquidität'!E24</f>
        <v>0</v>
      </c>
      <c r="D15" s="650"/>
      <c r="E15" s="650"/>
      <c r="F15" s="650"/>
      <c r="G15" s="650"/>
      <c r="H15" s="650"/>
      <c r="I15" s="650"/>
      <c r="J15" s="662" t="s">
        <v>175</v>
      </c>
      <c r="K15" s="663">
        <f ca="1">+C21</f>
        <v>-8547.2359999999844</v>
      </c>
    </row>
    <row r="16" spans="2:11" x14ac:dyDescent="0.2">
      <c r="B16" s="664" t="s">
        <v>314</v>
      </c>
      <c r="C16" s="653">
        <f ca="1">'Planzahlen Liquidität'!E26</f>
        <v>0</v>
      </c>
      <c r="D16" s="650"/>
      <c r="E16" s="650"/>
      <c r="F16" s="650"/>
      <c r="G16" s="650"/>
      <c r="H16" s="650"/>
      <c r="I16" s="650"/>
      <c r="J16" s="662" t="s">
        <v>315</v>
      </c>
      <c r="K16" s="663">
        <f ca="1">+C42</f>
        <v>0</v>
      </c>
    </row>
    <row r="17" spans="1:14" x14ac:dyDescent="0.2">
      <c r="B17" s="652" t="s">
        <v>316</v>
      </c>
      <c r="C17" s="665">
        <f ca="1">+C8-C14</f>
        <v>-3486.0200000000018</v>
      </c>
      <c r="D17" s="650"/>
      <c r="E17" s="650"/>
      <c r="F17" s="650"/>
      <c r="G17" s="659"/>
      <c r="H17" s="659"/>
      <c r="I17" s="661"/>
      <c r="J17" s="666" t="s">
        <v>317</v>
      </c>
      <c r="K17" s="667">
        <f ca="1">+C49</f>
        <v>0</v>
      </c>
    </row>
    <row r="18" spans="1:14" x14ac:dyDescent="0.2">
      <c r="B18" s="668" t="s">
        <v>318</v>
      </c>
      <c r="C18" s="653">
        <f ca="1">'Planzahlen Liquidität'!E42+'Planzahlen Liquidität'!E41</f>
        <v>-3124.8839999999987</v>
      </c>
      <c r="D18" s="650"/>
      <c r="E18" s="650"/>
      <c r="F18" s="650"/>
      <c r="G18" s="669"/>
      <c r="H18" s="669"/>
      <c r="I18" s="656"/>
      <c r="J18" s="656"/>
      <c r="K18" s="650"/>
    </row>
    <row r="19" spans="1:14" x14ac:dyDescent="0.2">
      <c r="B19" s="650"/>
      <c r="C19" s="655"/>
      <c r="D19" s="650"/>
      <c r="E19" s="650"/>
      <c r="F19" s="650"/>
      <c r="G19" s="650"/>
      <c r="H19" s="650"/>
      <c r="I19" s="656"/>
      <c r="J19" s="656"/>
      <c r="K19" s="650"/>
    </row>
    <row r="20" spans="1:14" x14ac:dyDescent="0.2">
      <c r="B20" s="650"/>
      <c r="C20" s="655"/>
      <c r="D20" s="650"/>
      <c r="E20" s="650"/>
      <c r="F20" s="650"/>
      <c r="G20" s="650"/>
      <c r="H20" s="650"/>
      <c r="I20" s="650"/>
      <c r="J20" s="650"/>
      <c r="K20" s="650"/>
    </row>
    <row r="21" spans="1:14" x14ac:dyDescent="0.2">
      <c r="B21" s="670" t="s">
        <v>319</v>
      </c>
      <c r="C21" s="671">
        <f ca="1">+C12-C14-C15-C16-C17-C18</f>
        <v>-8547.2359999999844</v>
      </c>
      <c r="D21" s="650"/>
      <c r="E21" s="650"/>
      <c r="F21" s="650"/>
      <c r="G21" s="650"/>
      <c r="H21" s="650"/>
      <c r="I21" s="650"/>
      <c r="J21" s="650"/>
      <c r="K21" s="650"/>
    </row>
    <row r="22" spans="1:14" x14ac:dyDescent="0.2">
      <c r="C22" s="672"/>
      <c r="D22" s="650"/>
      <c r="E22" s="650"/>
      <c r="F22" s="650"/>
      <c r="G22" s="650"/>
      <c r="H22" s="650"/>
      <c r="I22" s="650"/>
      <c r="J22" s="650"/>
      <c r="K22" s="650"/>
    </row>
    <row r="23" spans="1:14" x14ac:dyDescent="0.2">
      <c r="B23" s="673" t="s">
        <v>320</v>
      </c>
      <c r="C23" s="674">
        <f ca="1">-C21+C42</f>
        <v>8547.2359999999844</v>
      </c>
      <c r="D23" s="650"/>
      <c r="E23" s="650"/>
      <c r="F23" s="650"/>
      <c r="G23" s="650"/>
      <c r="H23" s="650"/>
      <c r="I23" s="650"/>
      <c r="J23" s="650"/>
      <c r="K23" s="650"/>
    </row>
    <row r="24" spans="1:14" x14ac:dyDescent="0.2">
      <c r="D24" s="650"/>
      <c r="E24" s="650"/>
      <c r="F24" s="650"/>
      <c r="G24" s="650"/>
      <c r="H24" s="650"/>
      <c r="I24" s="650"/>
      <c r="J24" s="650"/>
      <c r="K24" s="650"/>
    </row>
    <row r="25" spans="1:14" x14ac:dyDescent="0.2">
      <c r="B25" s="657" t="s">
        <v>305</v>
      </c>
      <c r="C25" s="646">
        <f ca="1">+C21/C23</f>
        <v>-1</v>
      </c>
      <c r="D25" s="650"/>
      <c r="E25" s="650"/>
      <c r="F25" s="650"/>
      <c r="G25" s="650"/>
      <c r="H25" s="650"/>
      <c r="I25" s="650"/>
      <c r="J25" s="650"/>
      <c r="K25" s="650"/>
    </row>
    <row r="26" spans="1:14" x14ac:dyDescent="0.2">
      <c r="B26" s="650"/>
      <c r="C26" s="650"/>
      <c r="D26" s="650"/>
      <c r="E26" s="650"/>
      <c r="F26" s="650"/>
      <c r="G26" s="650"/>
      <c r="H26" s="650"/>
      <c r="I26" s="650"/>
      <c r="J26" s="650"/>
      <c r="K26" s="650"/>
    </row>
    <row r="27" spans="1:14" x14ac:dyDescent="0.2">
      <c r="B27" s="650"/>
      <c r="C27" s="650"/>
      <c r="D27" s="650"/>
      <c r="E27" s="650"/>
      <c r="F27" s="650"/>
      <c r="G27" s="650"/>
      <c r="H27" s="650"/>
      <c r="I27" s="650"/>
      <c r="J27" s="650"/>
      <c r="K27" s="650"/>
    </row>
    <row r="28" spans="1:14" x14ac:dyDescent="0.2">
      <c r="B28" s="1479" t="s">
        <v>321</v>
      </c>
      <c r="C28" s="1480"/>
      <c r="D28" s="1480"/>
      <c r="E28" s="1480"/>
      <c r="F28" s="1480"/>
      <c r="G28" s="1480"/>
      <c r="H28" s="1481"/>
      <c r="I28" s="650"/>
      <c r="J28" s="650"/>
      <c r="K28" s="650"/>
    </row>
    <row r="29" spans="1:14" x14ac:dyDescent="0.2">
      <c r="B29" s="650"/>
      <c r="D29" s="650"/>
      <c r="E29" s="650"/>
      <c r="F29" s="650"/>
      <c r="G29" s="650"/>
      <c r="H29" s="650"/>
      <c r="I29" s="650"/>
      <c r="J29" s="650"/>
      <c r="K29" s="650"/>
    </row>
    <row r="30" spans="1:14" x14ac:dyDescent="0.2">
      <c r="A30" s="675">
        <v>48</v>
      </c>
      <c r="B30" s="675" t="s">
        <v>322</v>
      </c>
      <c r="C30" s="676">
        <f ca="1">SUMIF('Struktur Aktuell'!$A:$A,'Liqui-Cockpit'!$A30,INDIRECT($M$45))</f>
        <v>0</v>
      </c>
      <c r="D30" s="650"/>
      <c r="E30" s="650"/>
      <c r="F30" s="650"/>
      <c r="G30" s="650"/>
      <c r="H30" s="650"/>
      <c r="I30" s="650"/>
      <c r="J30" s="1472" t="s">
        <v>323</v>
      </c>
      <c r="K30" s="1473"/>
      <c r="M30" s="1472" t="s">
        <v>324</v>
      </c>
      <c r="N30" s="1473"/>
    </row>
    <row r="31" spans="1:14" x14ac:dyDescent="0.2">
      <c r="A31" s="677"/>
      <c r="B31" s="677" t="s">
        <v>325</v>
      </c>
      <c r="C31" s="678">
        <f>Finanzplanung!E8+Finanzplanung!E9</f>
        <v>0</v>
      </c>
      <c r="D31" s="650"/>
      <c r="E31" s="650"/>
      <c r="F31" s="650"/>
      <c r="G31" s="650"/>
      <c r="H31" s="650"/>
      <c r="I31" s="650"/>
      <c r="J31" s="652" t="s">
        <v>326</v>
      </c>
      <c r="K31" s="679">
        <v>20</v>
      </c>
      <c r="M31" s="1131">
        <v>1</v>
      </c>
      <c r="N31" s="1131" t="str">
        <f>"'Struktur Aktuell'!" &amp; CHAR(70+M31) &amp; ":" &amp; CHAR(70+M31)</f>
        <v>'Struktur Aktuell'!G:G</v>
      </c>
    </row>
    <row r="32" spans="1:14" x14ac:dyDescent="0.2">
      <c r="A32" s="680"/>
      <c r="B32" s="680" t="s">
        <v>327</v>
      </c>
      <c r="C32" s="681">
        <f ca="1">IF((C31+C30)&lt;=0,0,C31+C30)</f>
        <v>0</v>
      </c>
      <c r="D32" s="650"/>
      <c r="E32" s="650"/>
      <c r="F32" s="650"/>
      <c r="G32" s="650"/>
      <c r="H32" s="650"/>
      <c r="I32" s="650"/>
      <c r="J32" s="652" t="s">
        <v>328</v>
      </c>
      <c r="K32" s="679">
        <v>20</v>
      </c>
      <c r="M32" s="1131">
        <f>M31+1</f>
        <v>2</v>
      </c>
      <c r="N32" s="1131" t="str">
        <f t="shared" ref="N32:N42" si="0">"'Struktur Aktuell'!" &amp; CHAR(70+M32) &amp; ":" &amp; CHAR(70+M32)</f>
        <v>'Struktur Aktuell'!H:H</v>
      </c>
    </row>
    <row r="33" spans="1:14" x14ac:dyDescent="0.2">
      <c r="A33" s="682">
        <v>49</v>
      </c>
      <c r="B33" s="682" t="s">
        <v>329</v>
      </c>
      <c r="C33" s="676">
        <f ca="1">SUMIF('Struktur Aktuell'!$A:$A,'Liqui-Cockpit'!$A33,INDIRECT($M$45))</f>
        <v>0</v>
      </c>
      <c r="D33" s="650"/>
      <c r="E33" s="650"/>
      <c r="F33" s="650"/>
      <c r="G33" s="650"/>
      <c r="H33" s="650"/>
      <c r="I33" s="650"/>
      <c r="J33" s="652" t="s">
        <v>330</v>
      </c>
      <c r="K33" s="679">
        <v>20</v>
      </c>
      <c r="M33" s="1131">
        <f t="shared" ref="M33:M42" si="1">M32+1</f>
        <v>3</v>
      </c>
      <c r="N33" s="1131" t="str">
        <f t="shared" si="0"/>
        <v>'Struktur Aktuell'!I:I</v>
      </c>
    </row>
    <row r="34" spans="1:14" x14ac:dyDescent="0.2">
      <c r="A34" s="682">
        <v>50</v>
      </c>
      <c r="B34" s="682" t="s">
        <v>331</v>
      </c>
      <c r="C34" s="676">
        <f ca="1">SUMIF('Struktur Aktuell'!$A:$A,'Liqui-Cockpit'!$A34,INDIRECT($M$45))</f>
        <v>0</v>
      </c>
      <c r="D34" s="650"/>
      <c r="E34" s="650"/>
      <c r="F34" s="650"/>
      <c r="G34" s="650"/>
      <c r="H34" s="650"/>
      <c r="I34" s="650"/>
      <c r="J34" s="652" t="s">
        <v>332</v>
      </c>
      <c r="K34" s="679">
        <v>20</v>
      </c>
      <c r="M34" s="1131">
        <f t="shared" si="1"/>
        <v>4</v>
      </c>
      <c r="N34" s="1131" t="str">
        <f t="shared" si="0"/>
        <v>'Struktur Aktuell'!J:J</v>
      </c>
    </row>
    <row r="35" spans="1:14" x14ac:dyDescent="0.2">
      <c r="A35" s="683">
        <v>51</v>
      </c>
      <c r="B35" s="683" t="s">
        <v>333</v>
      </c>
      <c r="C35" s="676">
        <f ca="1">SUMIF('Struktur Aktuell'!$A:$A,'Liqui-Cockpit'!$A35,INDIRECT($M$45))</f>
        <v>0</v>
      </c>
      <c r="D35" s="650"/>
      <c r="E35" s="650"/>
      <c r="F35" s="650"/>
      <c r="G35" s="650"/>
      <c r="H35" s="650"/>
      <c r="I35" s="650"/>
      <c r="J35" s="652" t="s">
        <v>334</v>
      </c>
      <c r="K35" s="679">
        <v>20</v>
      </c>
      <c r="M35" s="1131">
        <f t="shared" si="1"/>
        <v>5</v>
      </c>
      <c r="N35" s="1131" t="str">
        <f t="shared" si="0"/>
        <v>'Struktur Aktuell'!K:K</v>
      </c>
    </row>
    <row r="36" spans="1:14" x14ac:dyDescent="0.2">
      <c r="A36" s="684"/>
      <c r="B36" s="684" t="s">
        <v>335</v>
      </c>
      <c r="C36" s="685">
        <f ca="1">+C30+C33+C34+C35</f>
        <v>0</v>
      </c>
      <c r="D36" s="650"/>
      <c r="E36" s="650"/>
      <c r="F36" s="650"/>
      <c r="G36" s="650"/>
      <c r="H36" s="650"/>
      <c r="I36" s="650"/>
      <c r="J36" s="652" t="s">
        <v>336</v>
      </c>
      <c r="K36" s="652">
        <f>+SUM(K31:K35)</f>
        <v>100</v>
      </c>
      <c r="M36" s="1131">
        <f t="shared" si="1"/>
        <v>6</v>
      </c>
      <c r="N36" s="1131" t="str">
        <f t="shared" si="0"/>
        <v>'Struktur Aktuell'!L:L</v>
      </c>
    </row>
    <row r="37" spans="1:14" x14ac:dyDescent="0.2">
      <c r="A37" s="683">
        <v>52</v>
      </c>
      <c r="B37" s="683" t="s">
        <v>337</v>
      </c>
      <c r="C37" s="676">
        <f ca="1">SUMIF('Struktur Aktuell'!$A:$A,'Liqui-Cockpit'!$A37,INDIRECT($M$45))</f>
        <v>0</v>
      </c>
      <c r="D37" s="650"/>
      <c r="E37" s="650"/>
      <c r="F37" s="650"/>
      <c r="G37" s="650"/>
      <c r="H37" s="650"/>
      <c r="I37" s="650"/>
      <c r="J37" s="650"/>
      <c r="K37" s="650"/>
      <c r="M37" s="1131">
        <f t="shared" si="1"/>
        <v>7</v>
      </c>
      <c r="N37" s="1131" t="str">
        <f t="shared" si="0"/>
        <v>'Struktur Aktuell'!M:M</v>
      </c>
    </row>
    <row r="38" spans="1:14" x14ac:dyDescent="0.2">
      <c r="A38" s="683">
        <v>53</v>
      </c>
      <c r="B38" s="683" t="s">
        <v>338</v>
      </c>
      <c r="C38" s="676">
        <f ca="1">SUMIF('Struktur Aktuell'!$A:$A,'Liqui-Cockpit'!$A38,INDIRECT($M$45))</f>
        <v>0</v>
      </c>
      <c r="D38" s="650"/>
      <c r="E38" s="650"/>
      <c r="F38" s="650"/>
      <c r="G38" s="650"/>
      <c r="H38" s="650"/>
      <c r="I38" s="650"/>
      <c r="J38" s="650"/>
      <c r="K38" s="650"/>
      <c r="M38" s="1131">
        <f t="shared" si="1"/>
        <v>8</v>
      </c>
      <c r="N38" s="1131" t="str">
        <f t="shared" si="0"/>
        <v>'Struktur Aktuell'!N:N</v>
      </c>
    </row>
    <row r="39" spans="1:14" x14ac:dyDescent="0.2">
      <c r="A39" s="683">
        <v>54</v>
      </c>
      <c r="B39" s="683" t="s">
        <v>339</v>
      </c>
      <c r="C39" s="676">
        <f ca="1">SUMIF('Struktur Aktuell'!$A:$A,'Liqui-Cockpit'!$A39,INDIRECT($M$45))</f>
        <v>0</v>
      </c>
      <c r="D39" s="650"/>
      <c r="E39" s="650"/>
      <c r="F39" s="650"/>
      <c r="G39" s="650"/>
      <c r="H39" s="650"/>
      <c r="I39" s="650"/>
      <c r="J39" s="1472" t="s">
        <v>340</v>
      </c>
      <c r="K39" s="1473"/>
      <c r="M39" s="1131">
        <f t="shared" si="1"/>
        <v>9</v>
      </c>
      <c r="N39" s="1131" t="str">
        <f t="shared" si="0"/>
        <v>'Struktur Aktuell'!O:O</v>
      </c>
    </row>
    <row r="40" spans="1:14" x14ac:dyDescent="0.2">
      <c r="A40" s="683">
        <v>55</v>
      </c>
      <c r="B40" s="683" t="s">
        <v>341</v>
      </c>
      <c r="C40" s="676">
        <f ca="1">SUMIF('Struktur Aktuell'!$A:$A,'Liqui-Cockpit'!$A40,INDIRECT($M$45))</f>
        <v>0</v>
      </c>
      <c r="D40" s="650"/>
      <c r="E40" s="650"/>
      <c r="F40" s="650"/>
      <c r="G40" s="650"/>
      <c r="H40" s="650"/>
      <c r="I40" s="650"/>
      <c r="J40" s="652" t="s">
        <v>342</v>
      </c>
      <c r="K40" s="686" t="e">
        <f ca="1">50-(IF(C42&lt;0,J47,K47))</f>
        <v>#DIV/0!</v>
      </c>
      <c r="M40" s="1131">
        <f t="shared" si="1"/>
        <v>10</v>
      </c>
      <c r="N40" s="1131" t="str">
        <f t="shared" si="0"/>
        <v>'Struktur Aktuell'!P:P</v>
      </c>
    </row>
    <row r="41" spans="1:14" x14ac:dyDescent="0.2">
      <c r="A41" s="687"/>
      <c r="B41" s="687" t="s">
        <v>343</v>
      </c>
      <c r="C41" s="688">
        <f ca="1">+SUM(C37:C40)</f>
        <v>0</v>
      </c>
      <c r="D41" s="650"/>
      <c r="E41" s="650"/>
      <c r="F41" s="650"/>
      <c r="G41" s="650"/>
      <c r="H41" s="650"/>
      <c r="I41" s="650"/>
      <c r="J41" s="652" t="s">
        <v>344</v>
      </c>
      <c r="K41" s="652">
        <v>2</v>
      </c>
      <c r="M41" s="1131">
        <f t="shared" si="1"/>
        <v>11</v>
      </c>
      <c r="N41" s="1131" t="str">
        <f t="shared" si="0"/>
        <v>'Struktur Aktuell'!Q:Q</v>
      </c>
    </row>
    <row r="42" spans="1:14" x14ac:dyDescent="0.2">
      <c r="A42" s="689"/>
      <c r="B42" s="689" t="s">
        <v>345</v>
      </c>
      <c r="C42" s="690">
        <f ca="1">+C36-C41</f>
        <v>0</v>
      </c>
      <c r="D42" s="647"/>
      <c r="E42" s="650"/>
      <c r="F42" s="650"/>
      <c r="G42" s="650"/>
      <c r="H42" s="650"/>
      <c r="I42" s="650"/>
      <c r="J42" s="652" t="s">
        <v>346</v>
      </c>
      <c r="K42" s="691" t="e">
        <f ca="1">100-SUM(K40:K41)</f>
        <v>#DIV/0!</v>
      </c>
      <c r="M42" s="1131">
        <f t="shared" si="1"/>
        <v>12</v>
      </c>
      <c r="N42" s="1131" t="str">
        <f t="shared" si="0"/>
        <v>'Struktur Aktuell'!R:R</v>
      </c>
    </row>
    <row r="43" spans="1:14" x14ac:dyDescent="0.2">
      <c r="A43" s="650"/>
      <c r="B43" s="650"/>
      <c r="C43" s="650"/>
      <c r="D43" s="650"/>
      <c r="E43" s="650"/>
      <c r="F43" s="650"/>
      <c r="G43" s="650"/>
      <c r="H43" s="650"/>
      <c r="I43" s="650"/>
      <c r="J43" s="652" t="s">
        <v>347</v>
      </c>
      <c r="K43" s="652">
        <f>+K36</f>
        <v>100</v>
      </c>
    </row>
    <row r="44" spans="1:14" x14ac:dyDescent="0.2">
      <c r="A44" s="692">
        <v>56</v>
      </c>
      <c r="B44" s="692" t="s">
        <v>348</v>
      </c>
      <c r="C44" s="676">
        <f ca="1">SUMIF('Struktur Aktuell'!$A:$A,'Liqui-Cockpit'!$A44,INDIRECT($M$45))</f>
        <v>0</v>
      </c>
      <c r="D44" s="650"/>
      <c r="E44" s="650"/>
      <c r="F44" s="650"/>
      <c r="G44" s="650"/>
      <c r="H44" s="650"/>
      <c r="I44" s="650"/>
      <c r="J44" s="650"/>
      <c r="K44" s="650"/>
      <c r="M44" s="1472" t="s">
        <v>349</v>
      </c>
      <c r="N44" s="1473"/>
    </row>
    <row r="45" spans="1:14" x14ac:dyDescent="0.2">
      <c r="A45" s="677"/>
      <c r="B45" s="677" t="s">
        <v>350</v>
      </c>
      <c r="C45" s="693" t="e">
        <f ca="1">+(C37/C44)*(C3*30)</f>
        <v>#DIV/0!</v>
      </c>
      <c r="D45" s="650"/>
      <c r="E45" s="650"/>
      <c r="F45" s="650"/>
      <c r="G45" s="650"/>
      <c r="H45" s="650"/>
      <c r="I45" s="650"/>
      <c r="J45" s="675" t="s">
        <v>351</v>
      </c>
      <c r="K45" s="694" t="s">
        <v>352</v>
      </c>
      <c r="M45" s="1474" t="str">
        <f>INDEX(N31:N42,MATCH(C3,M31:M42,0))</f>
        <v>'Struktur Aktuell'!P:P</v>
      </c>
      <c r="N45" s="1475"/>
    </row>
    <row r="46" spans="1:14" x14ac:dyDescent="0.2">
      <c r="A46" s="695"/>
      <c r="B46" s="695" t="s">
        <v>353</v>
      </c>
      <c r="C46" s="696">
        <v>60</v>
      </c>
      <c r="D46" s="650"/>
      <c r="E46" s="650"/>
      <c r="F46" s="697" t="s">
        <v>354</v>
      </c>
      <c r="G46" s="698"/>
      <c r="H46" s="699"/>
      <c r="I46" s="650"/>
      <c r="J46" s="648" t="e">
        <f ca="1">+(J47/100)</f>
        <v>#DIV/0!</v>
      </c>
      <c r="K46" s="649" t="e">
        <f ca="1">-(C32/C41)/2</f>
        <v>#DIV/0!</v>
      </c>
    </row>
    <row r="47" spans="1:14" x14ac:dyDescent="0.2">
      <c r="A47" s="700"/>
      <c r="B47" s="700" t="s">
        <v>355</v>
      </c>
      <c r="C47" s="701">
        <f ca="1">+(C46*C44)/(C3*30)</f>
        <v>0</v>
      </c>
      <c r="D47" s="650"/>
      <c r="E47" s="650"/>
      <c r="F47" s="702"/>
      <c r="G47" s="703">
        <f ca="1">IF(C21&lt;0,C49/(-C21/C3*12),0)</f>
        <v>0</v>
      </c>
      <c r="H47" s="704" t="s">
        <v>356</v>
      </c>
      <c r="I47" s="650"/>
      <c r="J47" s="705" t="e">
        <f ca="1">+((C42/C50)*100)/2</f>
        <v>#DIV/0!</v>
      </c>
      <c r="K47" s="706" t="e">
        <f ca="1">IF(ROUND(K46*100,0)&lt;-50,-50,IF(ROUND(K46*100,0)&gt;50,50,ROUND(K46*100,0)))</f>
        <v>#DIV/0!</v>
      </c>
    </row>
    <row r="48" spans="1:14" x14ac:dyDescent="0.2">
      <c r="A48" s="707"/>
      <c r="B48" s="707" t="s">
        <v>357</v>
      </c>
      <c r="C48" s="708">
        <f ca="1">IF((C47-C37)&lt;=0,0,C47-C37)</f>
        <v>0</v>
      </c>
      <c r="D48" s="650"/>
      <c r="E48" s="650"/>
      <c r="I48" s="650"/>
      <c r="J48" s="650"/>
      <c r="K48" s="650"/>
    </row>
    <row r="49" spans="1:11" x14ac:dyDescent="0.2">
      <c r="A49" s="709"/>
      <c r="B49" s="709" t="s">
        <v>358</v>
      </c>
      <c r="C49" s="690">
        <f ca="1">+C48+C32</f>
        <v>0</v>
      </c>
      <c r="D49" s="647"/>
      <c r="E49" s="650"/>
      <c r="F49" s="697" t="s">
        <v>359</v>
      </c>
      <c r="G49" s="698"/>
      <c r="H49" s="699"/>
      <c r="I49" s="650"/>
      <c r="J49" s="650"/>
      <c r="K49" s="650"/>
    </row>
    <row r="50" spans="1:11" x14ac:dyDescent="0.2">
      <c r="A50" s="710"/>
      <c r="B50" s="710" t="s">
        <v>360</v>
      </c>
      <c r="C50" s="711">
        <f ca="1">+C42-C49</f>
        <v>0</v>
      </c>
      <c r="D50" s="650"/>
      <c r="E50" s="650"/>
      <c r="F50" s="702"/>
      <c r="G50" s="703">
        <f ca="1">IF(AND(C42&lt;=0,C21&gt;0),+C42/(-C21/C3*12),0)</f>
        <v>0</v>
      </c>
      <c r="H50" s="704" t="s">
        <v>356</v>
      </c>
      <c r="I50" s="650"/>
      <c r="J50" s="650"/>
      <c r="K50" s="650"/>
    </row>
  </sheetData>
  <mergeCells count="9">
    <mergeCell ref="M30:N30"/>
    <mergeCell ref="M44:N44"/>
    <mergeCell ref="M45:N45"/>
    <mergeCell ref="J39:K39"/>
    <mergeCell ref="B1:H1"/>
    <mergeCell ref="B5:H5"/>
    <mergeCell ref="J13:K13"/>
    <mergeCell ref="B28:H28"/>
    <mergeCell ref="J30:K30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70" orientation="portrait" horizontalDpi="4294967293" verticalDpi="429496729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3">
    <tabColor rgb="FF7030A0"/>
  </sheetPr>
  <dimension ref="A1:AP107"/>
  <sheetViews>
    <sheetView showGridLines="0" zoomScale="85" zoomScaleNormal="85" workbookViewId="0">
      <pane xSplit="3" ySplit="5" topLeftCell="D91" activePane="bottomRight" state="frozen"/>
      <selection pane="topRight" activeCell="D1" sqref="D1"/>
      <selection pane="bottomLeft" activeCell="A6" sqref="A6"/>
      <selection pane="bottomRight" activeCell="C105" sqref="C105"/>
    </sheetView>
  </sheetViews>
  <sheetFormatPr baseColWidth="10" defaultColWidth="11.42578125" defaultRowHeight="12.75" x14ac:dyDescent="0.2"/>
  <cols>
    <col min="1" max="1" width="28.5703125" style="569" customWidth="1"/>
    <col min="2" max="2" width="14.28515625" style="569" customWidth="1"/>
    <col min="3" max="3" width="28.5703125" style="569" customWidth="1"/>
    <col min="4" max="4" width="7.140625" style="569" customWidth="1"/>
    <col min="5" max="5" width="3.5703125" style="569" customWidth="1"/>
    <col min="6" max="6" width="28.5703125" style="569" customWidth="1"/>
    <col min="7" max="7" width="7.140625" style="569" customWidth="1"/>
    <col min="8" max="8" width="3.5703125" style="569" customWidth="1"/>
    <col min="9" max="9" width="28.5703125" style="569" customWidth="1"/>
    <col min="10" max="10" width="7.140625" style="569" customWidth="1"/>
    <col min="11" max="11" width="3.5703125" style="569" customWidth="1"/>
    <col min="12" max="12" width="28.5703125" style="569" customWidth="1"/>
    <col min="13" max="13" width="7.140625" style="569" customWidth="1"/>
    <col min="14" max="14" width="3.5703125" style="569" customWidth="1"/>
    <col min="15" max="15" width="28.5703125" style="569" customWidth="1"/>
    <col min="16" max="16" width="7.140625" style="569" customWidth="1"/>
    <col min="17" max="17" width="3.5703125" style="569" customWidth="1"/>
    <col min="18" max="18" width="28.5703125" style="569" customWidth="1"/>
    <col min="19" max="19" width="7.140625" style="569" customWidth="1"/>
    <col min="20" max="20" width="3.5703125" style="569" customWidth="1"/>
    <col min="21" max="21" width="28.5703125" style="569" customWidth="1"/>
    <col min="22" max="22" width="7.140625" style="569" customWidth="1"/>
    <col min="23" max="23" width="3.5703125" style="569" customWidth="1"/>
    <col min="24" max="24" width="28.5703125" style="569" customWidth="1"/>
    <col min="25" max="25" width="7.140625" style="569" customWidth="1"/>
    <col min="26" max="26" width="3.5703125" style="569" customWidth="1"/>
    <col min="27" max="27" width="28.5703125" style="569" customWidth="1"/>
    <col min="28" max="28" width="7.140625" style="569" customWidth="1"/>
    <col min="29" max="29" width="3.5703125" style="569" customWidth="1"/>
    <col min="30" max="30" width="28.5703125" style="569" customWidth="1"/>
    <col min="31" max="31" width="7.140625" style="569" customWidth="1"/>
    <col min="32" max="32" width="3.5703125" style="569" customWidth="1"/>
    <col min="33" max="33" width="28.5703125" style="569" customWidth="1"/>
    <col min="34" max="34" width="7.140625" style="569" customWidth="1"/>
    <col min="35" max="35" width="3.5703125" style="569" customWidth="1"/>
    <col min="36" max="36" width="28.5703125" style="569" customWidth="1"/>
    <col min="37" max="37" width="7.140625" style="569" customWidth="1"/>
    <col min="38" max="38" width="3.5703125" style="569" customWidth="1"/>
    <col min="39" max="39" width="28.5703125" style="569" customWidth="1"/>
    <col min="40" max="40" width="7.140625" style="569" customWidth="1"/>
    <col min="41" max="41" width="3.5703125" style="569" customWidth="1"/>
    <col min="42" max="42" width="28.5703125" style="569" customWidth="1"/>
    <col min="43" max="43" width="11.42578125" style="569" customWidth="1"/>
    <col min="44" max="16384" width="11.42578125" style="569"/>
  </cols>
  <sheetData>
    <row r="1" spans="1:42" ht="30" customHeight="1" x14ac:dyDescent="0.2">
      <c r="A1" s="1491" t="s">
        <v>361</v>
      </c>
      <c r="B1" s="1491"/>
    </row>
    <row r="2" spans="1:42" ht="12.75" customHeight="1" x14ac:dyDescent="0.2">
      <c r="A2" s="839" t="s">
        <v>362</v>
      </c>
      <c r="B2" s="837"/>
    </row>
    <row r="3" spans="1:42" x14ac:dyDescent="0.2">
      <c r="A3" s="839" t="s">
        <v>363</v>
      </c>
    </row>
    <row r="5" spans="1:42" s="573" customFormat="1" ht="30" customHeight="1" x14ac:dyDescent="0.2">
      <c r="A5" s="570" t="s">
        <v>1</v>
      </c>
      <c r="B5" s="571" t="s">
        <v>364</v>
      </c>
      <c r="C5" s="572" t="s">
        <v>365</v>
      </c>
      <c r="D5" s="1497" t="s">
        <v>38</v>
      </c>
      <c r="E5" s="1495"/>
      <c r="F5" s="1496"/>
      <c r="G5" s="1497" t="s">
        <v>40</v>
      </c>
      <c r="H5" s="1495"/>
      <c r="I5" s="1496"/>
      <c r="J5" s="1497" t="s">
        <v>43</v>
      </c>
      <c r="K5" s="1495"/>
      <c r="L5" s="1496"/>
      <c r="M5" s="1497" t="s">
        <v>45</v>
      </c>
      <c r="N5" s="1495"/>
      <c r="O5" s="1496"/>
      <c r="P5" s="1497" t="s">
        <v>47</v>
      </c>
      <c r="Q5" s="1495"/>
      <c r="R5" s="1496"/>
      <c r="S5" s="1497" t="s">
        <v>49</v>
      </c>
      <c r="T5" s="1495"/>
      <c r="U5" s="1496"/>
      <c r="V5" s="1497" t="s">
        <v>51</v>
      </c>
      <c r="W5" s="1495"/>
      <c r="X5" s="1496"/>
      <c r="Y5" s="1497" t="s">
        <v>52</v>
      </c>
      <c r="Z5" s="1495"/>
      <c r="AA5" s="1496"/>
      <c r="AB5" s="1497" t="s">
        <v>54</v>
      </c>
      <c r="AC5" s="1495"/>
      <c r="AD5" s="1496"/>
      <c r="AE5" s="1497" t="s">
        <v>55</v>
      </c>
      <c r="AF5" s="1495"/>
      <c r="AG5" s="1496"/>
      <c r="AH5" s="1497" t="s">
        <v>56</v>
      </c>
      <c r="AI5" s="1495"/>
      <c r="AJ5" s="1496"/>
      <c r="AK5" s="1497" t="s">
        <v>57</v>
      </c>
      <c r="AL5" s="1495"/>
      <c r="AM5" s="1496"/>
      <c r="AN5" s="1495" t="s">
        <v>221</v>
      </c>
      <c r="AO5" s="1495"/>
      <c r="AP5" s="1496"/>
    </row>
    <row r="6" spans="1:42" ht="30" customHeight="1" x14ac:dyDescent="0.2">
      <c r="A6" s="1498" t="s">
        <v>366</v>
      </c>
      <c r="B6" s="574"/>
      <c r="C6" s="575"/>
      <c r="D6" s="1487"/>
      <c r="E6" s="840"/>
      <c r="F6" s="835"/>
      <c r="G6" s="1487"/>
      <c r="H6" s="840"/>
      <c r="I6" s="835"/>
      <c r="J6" s="1487"/>
      <c r="K6" s="840"/>
      <c r="L6" s="835"/>
      <c r="M6" s="1487"/>
      <c r="N6" s="840"/>
      <c r="O6" s="835"/>
      <c r="P6" s="1487"/>
      <c r="Q6" s="840"/>
      <c r="R6" s="835"/>
      <c r="S6" s="1487"/>
      <c r="T6" s="840"/>
      <c r="U6" s="835"/>
      <c r="V6" s="1487"/>
      <c r="W6" s="840"/>
      <c r="X6" s="835"/>
      <c r="Y6" s="1487"/>
      <c r="Z6" s="840"/>
      <c r="AA6" s="835"/>
      <c r="AB6" s="1487"/>
      <c r="AC6" s="840"/>
      <c r="AD6" s="835"/>
      <c r="AE6" s="1487"/>
      <c r="AF6" s="840"/>
      <c r="AG6" s="835"/>
      <c r="AH6" s="1487"/>
      <c r="AI6" s="840"/>
      <c r="AJ6" s="835"/>
      <c r="AK6" s="1487"/>
      <c r="AL6" s="840"/>
      <c r="AM6" s="835"/>
      <c r="AN6" s="1487"/>
      <c r="AO6" s="840"/>
      <c r="AP6" s="835"/>
    </row>
    <row r="7" spans="1:42" ht="30" customHeight="1" x14ac:dyDescent="0.2">
      <c r="A7" s="1499"/>
      <c r="B7" s="576"/>
      <c r="C7" s="577"/>
      <c r="D7" s="1488"/>
      <c r="E7" s="841"/>
      <c r="F7" s="577"/>
      <c r="G7" s="1488"/>
      <c r="H7" s="841"/>
      <c r="I7" s="577"/>
      <c r="J7" s="1488"/>
      <c r="K7" s="841"/>
      <c r="L7" s="577"/>
      <c r="M7" s="1488"/>
      <c r="N7" s="841"/>
      <c r="O7" s="577"/>
      <c r="P7" s="1488"/>
      <c r="Q7" s="841"/>
      <c r="R7" s="577"/>
      <c r="S7" s="1488"/>
      <c r="T7" s="841"/>
      <c r="U7" s="577"/>
      <c r="V7" s="1488"/>
      <c r="W7" s="841"/>
      <c r="X7" s="577"/>
      <c r="Y7" s="1488"/>
      <c r="Z7" s="841"/>
      <c r="AA7" s="577"/>
      <c r="AB7" s="1488"/>
      <c r="AC7" s="841"/>
      <c r="AD7" s="577"/>
      <c r="AE7" s="1488"/>
      <c r="AF7" s="841"/>
      <c r="AG7" s="577"/>
      <c r="AH7" s="1488"/>
      <c r="AI7" s="841"/>
      <c r="AJ7" s="577"/>
      <c r="AK7" s="1488"/>
      <c r="AL7" s="841"/>
      <c r="AM7" s="577"/>
      <c r="AN7" s="1488"/>
      <c r="AO7" s="841"/>
      <c r="AP7" s="577"/>
    </row>
    <row r="8" spans="1:42" ht="30" customHeight="1" x14ac:dyDescent="0.2">
      <c r="A8" s="1500"/>
      <c r="B8" s="578"/>
      <c r="C8" s="579"/>
      <c r="D8" s="1489"/>
      <c r="E8" s="842"/>
      <c r="F8" s="579"/>
      <c r="G8" s="1489"/>
      <c r="H8" s="842"/>
      <c r="I8" s="579"/>
      <c r="J8" s="1489"/>
      <c r="K8" s="842"/>
      <c r="L8" s="579"/>
      <c r="M8" s="1489"/>
      <c r="N8" s="842"/>
      <c r="O8" s="579"/>
      <c r="P8" s="1489"/>
      <c r="Q8" s="842"/>
      <c r="R8" s="579"/>
      <c r="S8" s="1489"/>
      <c r="T8" s="842"/>
      <c r="U8" s="579"/>
      <c r="V8" s="1489"/>
      <c r="W8" s="842"/>
      <c r="X8" s="579"/>
      <c r="Y8" s="1489"/>
      <c r="Z8" s="842"/>
      <c r="AA8" s="579"/>
      <c r="AB8" s="1489"/>
      <c r="AC8" s="842"/>
      <c r="AD8" s="579"/>
      <c r="AE8" s="1489"/>
      <c r="AF8" s="842"/>
      <c r="AG8" s="579"/>
      <c r="AH8" s="1489"/>
      <c r="AI8" s="842"/>
      <c r="AJ8" s="579"/>
      <c r="AK8" s="1489"/>
      <c r="AL8" s="842"/>
      <c r="AM8" s="579"/>
      <c r="AN8" s="1489"/>
      <c r="AO8" s="842"/>
      <c r="AP8" s="579"/>
    </row>
    <row r="9" spans="1:42" ht="30" customHeight="1" x14ac:dyDescent="0.2">
      <c r="A9" s="1498" t="s">
        <v>367</v>
      </c>
      <c r="B9" s="574"/>
      <c r="C9" s="575"/>
      <c r="D9" s="1487"/>
      <c r="E9" s="840"/>
      <c r="F9" s="835"/>
      <c r="G9" s="1487"/>
      <c r="H9" s="840"/>
      <c r="I9" s="835"/>
      <c r="J9" s="1487"/>
      <c r="K9" s="840"/>
      <c r="L9" s="835"/>
      <c r="M9" s="1487"/>
      <c r="N9" s="840"/>
      <c r="O9" s="835"/>
      <c r="P9" s="1487"/>
      <c r="Q9" s="840"/>
      <c r="R9" s="835"/>
      <c r="S9" s="1487"/>
      <c r="T9" s="840"/>
      <c r="U9" s="575"/>
      <c r="V9" s="1487"/>
      <c r="W9" s="840"/>
      <c r="X9" s="835"/>
      <c r="Y9" s="1487"/>
      <c r="Z9" s="840"/>
      <c r="AA9" s="575"/>
      <c r="AB9" s="1487"/>
      <c r="AC9" s="840"/>
      <c r="AD9" s="575"/>
      <c r="AE9" s="1487"/>
      <c r="AF9" s="840"/>
      <c r="AG9" s="575"/>
      <c r="AH9" s="1487"/>
      <c r="AI9" s="840"/>
      <c r="AJ9" s="575"/>
      <c r="AK9" s="1487"/>
      <c r="AL9" s="840"/>
      <c r="AM9" s="575"/>
      <c r="AN9" s="1487"/>
      <c r="AO9" s="840"/>
      <c r="AP9" s="835"/>
    </row>
    <row r="10" spans="1:42" ht="30" customHeight="1" x14ac:dyDescent="0.2">
      <c r="A10" s="1499"/>
      <c r="B10" s="576"/>
      <c r="C10" s="577"/>
      <c r="D10" s="1488"/>
      <c r="E10" s="841"/>
      <c r="F10" s="577"/>
      <c r="G10" s="1488"/>
      <c r="H10" s="841"/>
      <c r="I10" s="577"/>
      <c r="J10" s="1488"/>
      <c r="K10" s="841"/>
      <c r="L10" s="577"/>
      <c r="M10" s="1488"/>
      <c r="N10" s="841"/>
      <c r="O10" s="577"/>
      <c r="P10" s="1488"/>
      <c r="Q10" s="841"/>
      <c r="R10" s="577"/>
      <c r="S10" s="1488"/>
      <c r="T10" s="841"/>
      <c r="U10" s="577"/>
      <c r="V10" s="1488"/>
      <c r="W10" s="841"/>
      <c r="X10" s="577"/>
      <c r="Y10" s="1488"/>
      <c r="Z10" s="841"/>
      <c r="AA10" s="577"/>
      <c r="AB10" s="1488"/>
      <c r="AC10" s="841"/>
      <c r="AD10" s="577"/>
      <c r="AE10" s="1488"/>
      <c r="AF10" s="841"/>
      <c r="AG10" s="577"/>
      <c r="AH10" s="1488"/>
      <c r="AI10" s="841"/>
      <c r="AJ10" s="577"/>
      <c r="AK10" s="1488"/>
      <c r="AL10" s="841"/>
      <c r="AM10" s="577"/>
      <c r="AN10" s="1488"/>
      <c r="AO10" s="841"/>
      <c r="AP10" s="577"/>
    </row>
    <row r="11" spans="1:42" ht="30" customHeight="1" x14ac:dyDescent="0.2">
      <c r="A11" s="1500"/>
      <c r="B11" s="578"/>
      <c r="C11" s="579"/>
      <c r="D11" s="1489"/>
      <c r="E11" s="842"/>
      <c r="F11" s="579"/>
      <c r="G11" s="1489"/>
      <c r="H11" s="842"/>
      <c r="I11" s="579"/>
      <c r="J11" s="1489"/>
      <c r="K11" s="842"/>
      <c r="L11" s="579"/>
      <c r="M11" s="1489"/>
      <c r="N11" s="842"/>
      <c r="O11" s="579"/>
      <c r="P11" s="1489"/>
      <c r="Q11" s="842"/>
      <c r="R11" s="579"/>
      <c r="S11" s="1489"/>
      <c r="T11" s="842"/>
      <c r="U11" s="579"/>
      <c r="V11" s="1489"/>
      <c r="W11" s="842"/>
      <c r="X11" s="579"/>
      <c r="Y11" s="1489"/>
      <c r="Z11" s="842"/>
      <c r="AA11" s="579"/>
      <c r="AB11" s="1489"/>
      <c r="AC11" s="842"/>
      <c r="AD11" s="579"/>
      <c r="AE11" s="1489"/>
      <c r="AF11" s="842"/>
      <c r="AG11" s="579"/>
      <c r="AH11" s="1489"/>
      <c r="AI11" s="842"/>
      <c r="AJ11" s="579"/>
      <c r="AK11" s="1489"/>
      <c r="AL11" s="842"/>
      <c r="AM11" s="579"/>
      <c r="AN11" s="1489"/>
      <c r="AO11" s="842"/>
      <c r="AP11" s="579"/>
    </row>
    <row r="12" spans="1:42" ht="30" customHeight="1" x14ac:dyDescent="0.2">
      <c r="A12" s="1498" t="s">
        <v>368</v>
      </c>
      <c r="B12" s="574"/>
      <c r="C12" s="575"/>
      <c r="D12" s="1487"/>
      <c r="E12" s="840"/>
      <c r="F12" s="835"/>
      <c r="G12" s="1487"/>
      <c r="H12" s="840"/>
      <c r="I12" s="835"/>
      <c r="J12" s="1487"/>
      <c r="K12" s="840"/>
      <c r="L12" s="835"/>
      <c r="M12" s="1487"/>
      <c r="N12" s="840"/>
      <c r="O12" s="835"/>
      <c r="P12" s="1487"/>
      <c r="Q12" s="840"/>
      <c r="R12" s="835"/>
      <c r="S12" s="1487"/>
      <c r="T12" s="840"/>
      <c r="U12" s="575"/>
      <c r="V12" s="1487"/>
      <c r="W12" s="840"/>
      <c r="X12" s="835"/>
      <c r="Y12" s="1487"/>
      <c r="Z12" s="840"/>
      <c r="AA12" s="575"/>
      <c r="AB12" s="1487"/>
      <c r="AC12" s="840"/>
      <c r="AD12" s="575"/>
      <c r="AE12" s="1487"/>
      <c r="AF12" s="840"/>
      <c r="AG12" s="575"/>
      <c r="AH12" s="1487"/>
      <c r="AI12" s="840"/>
      <c r="AJ12" s="575"/>
      <c r="AK12" s="1487"/>
      <c r="AL12" s="840"/>
      <c r="AM12" s="575"/>
      <c r="AN12" s="1487"/>
      <c r="AO12" s="840"/>
      <c r="AP12" s="835"/>
    </row>
    <row r="13" spans="1:42" ht="30" customHeight="1" x14ac:dyDescent="0.2">
      <c r="A13" s="1499"/>
      <c r="B13" s="576"/>
      <c r="C13" s="577"/>
      <c r="D13" s="1488"/>
      <c r="E13" s="841"/>
      <c r="F13" s="577"/>
      <c r="G13" s="1488"/>
      <c r="H13" s="841"/>
      <c r="I13" s="577"/>
      <c r="J13" s="1488"/>
      <c r="K13" s="841"/>
      <c r="L13" s="577"/>
      <c r="M13" s="1488"/>
      <c r="N13" s="841"/>
      <c r="O13" s="577"/>
      <c r="P13" s="1488"/>
      <c r="Q13" s="841"/>
      <c r="R13" s="577"/>
      <c r="S13" s="1488"/>
      <c r="T13" s="841"/>
      <c r="U13" s="577"/>
      <c r="V13" s="1488"/>
      <c r="W13" s="841"/>
      <c r="X13" s="577"/>
      <c r="Y13" s="1488"/>
      <c r="Z13" s="841"/>
      <c r="AA13" s="577"/>
      <c r="AB13" s="1488"/>
      <c r="AC13" s="841"/>
      <c r="AD13" s="577"/>
      <c r="AE13" s="1488"/>
      <c r="AF13" s="841"/>
      <c r="AG13" s="577"/>
      <c r="AH13" s="1488"/>
      <c r="AI13" s="841"/>
      <c r="AJ13" s="577"/>
      <c r="AK13" s="1488"/>
      <c r="AL13" s="841"/>
      <c r="AM13" s="577"/>
      <c r="AN13" s="1488"/>
      <c r="AO13" s="841"/>
      <c r="AP13" s="577"/>
    </row>
    <row r="14" spans="1:42" ht="30" customHeight="1" x14ac:dyDescent="0.2">
      <c r="A14" s="1500"/>
      <c r="B14" s="578"/>
      <c r="C14" s="579"/>
      <c r="D14" s="1489"/>
      <c r="E14" s="842"/>
      <c r="F14" s="579"/>
      <c r="G14" s="1489"/>
      <c r="H14" s="842"/>
      <c r="I14" s="579"/>
      <c r="J14" s="1489"/>
      <c r="K14" s="842"/>
      <c r="L14" s="579"/>
      <c r="M14" s="1489"/>
      <c r="N14" s="842"/>
      <c r="O14" s="579"/>
      <c r="P14" s="1489"/>
      <c r="Q14" s="842"/>
      <c r="R14" s="579"/>
      <c r="S14" s="1489"/>
      <c r="T14" s="842"/>
      <c r="U14" s="579"/>
      <c r="V14" s="1489"/>
      <c r="W14" s="842"/>
      <c r="X14" s="579"/>
      <c r="Y14" s="1489"/>
      <c r="Z14" s="842"/>
      <c r="AA14" s="579"/>
      <c r="AB14" s="1489"/>
      <c r="AC14" s="842"/>
      <c r="AD14" s="579"/>
      <c r="AE14" s="1489"/>
      <c r="AF14" s="842"/>
      <c r="AG14" s="579"/>
      <c r="AH14" s="1489"/>
      <c r="AI14" s="842"/>
      <c r="AJ14" s="579"/>
      <c r="AK14" s="1489"/>
      <c r="AL14" s="842"/>
      <c r="AM14" s="579"/>
      <c r="AN14" s="1489"/>
      <c r="AO14" s="842"/>
      <c r="AP14" s="579"/>
    </row>
    <row r="15" spans="1:42" ht="30" customHeight="1" x14ac:dyDescent="0.2">
      <c r="A15" s="1484" t="s">
        <v>369</v>
      </c>
      <c r="B15" s="574"/>
      <c r="C15" s="575"/>
      <c r="D15" s="1487"/>
      <c r="E15" s="840"/>
      <c r="F15" s="575"/>
      <c r="G15" s="1487"/>
      <c r="H15" s="840"/>
      <c r="I15" s="575"/>
      <c r="J15" s="1487"/>
      <c r="K15" s="840"/>
      <c r="L15" s="575"/>
      <c r="M15" s="1487"/>
      <c r="N15" s="840"/>
      <c r="O15" s="575"/>
      <c r="P15" s="1487"/>
      <c r="Q15" s="840"/>
      <c r="R15" s="575"/>
      <c r="S15" s="1487"/>
      <c r="T15" s="840"/>
      <c r="U15" s="575"/>
      <c r="V15" s="1487"/>
      <c r="W15" s="840"/>
      <c r="X15" s="575"/>
      <c r="Y15" s="1487"/>
      <c r="Z15" s="840"/>
      <c r="AA15" s="575"/>
      <c r="AB15" s="1487"/>
      <c r="AC15" s="840"/>
      <c r="AD15" s="575"/>
      <c r="AE15" s="1487"/>
      <c r="AF15" s="840"/>
      <c r="AG15" s="575"/>
      <c r="AH15" s="1487"/>
      <c r="AI15" s="840"/>
      <c r="AJ15" s="575"/>
      <c r="AK15" s="1487"/>
      <c r="AL15" s="840"/>
      <c r="AM15" s="575"/>
      <c r="AN15" s="1487"/>
      <c r="AO15" s="840"/>
      <c r="AP15" s="575"/>
    </row>
    <row r="16" spans="1:42" ht="30" customHeight="1" x14ac:dyDescent="0.2">
      <c r="A16" s="1485"/>
      <c r="B16" s="576"/>
      <c r="C16" s="577"/>
      <c r="D16" s="1488"/>
      <c r="E16" s="841"/>
      <c r="F16" s="577"/>
      <c r="G16" s="1488"/>
      <c r="H16" s="841"/>
      <c r="I16" s="577"/>
      <c r="J16" s="1488"/>
      <c r="K16" s="841"/>
      <c r="L16" s="577"/>
      <c r="M16" s="1488"/>
      <c r="N16" s="841"/>
      <c r="O16" s="577"/>
      <c r="P16" s="1488"/>
      <c r="Q16" s="841"/>
      <c r="R16" s="577"/>
      <c r="S16" s="1488"/>
      <c r="T16" s="841"/>
      <c r="U16" s="577"/>
      <c r="V16" s="1488"/>
      <c r="W16" s="841"/>
      <c r="X16" s="577"/>
      <c r="Y16" s="1488"/>
      <c r="Z16" s="841"/>
      <c r="AA16" s="577"/>
      <c r="AB16" s="1488"/>
      <c r="AC16" s="841"/>
      <c r="AD16" s="577"/>
      <c r="AE16" s="1488"/>
      <c r="AF16" s="841"/>
      <c r="AG16" s="577"/>
      <c r="AH16" s="1488"/>
      <c r="AI16" s="841"/>
      <c r="AJ16" s="577"/>
      <c r="AK16" s="1488"/>
      <c r="AL16" s="841"/>
      <c r="AM16" s="577"/>
      <c r="AN16" s="1488"/>
      <c r="AO16" s="841"/>
      <c r="AP16" s="577"/>
    </row>
    <row r="17" spans="1:42" ht="30" customHeight="1" x14ac:dyDescent="0.2">
      <c r="A17" s="1501"/>
      <c r="B17" s="844"/>
      <c r="C17" s="577"/>
      <c r="D17" s="1490"/>
      <c r="E17" s="841"/>
      <c r="F17" s="845"/>
      <c r="G17" s="1490"/>
      <c r="H17" s="841"/>
      <c r="I17" s="845"/>
      <c r="J17" s="1490"/>
      <c r="K17" s="841"/>
      <c r="L17" s="845"/>
      <c r="M17" s="1490"/>
      <c r="N17" s="841"/>
      <c r="O17" s="845"/>
      <c r="P17" s="1490"/>
      <c r="Q17" s="841"/>
      <c r="R17" s="845"/>
      <c r="S17" s="1490"/>
      <c r="T17" s="841"/>
      <c r="U17" s="845"/>
      <c r="V17" s="1490"/>
      <c r="W17" s="841"/>
      <c r="X17" s="845"/>
      <c r="Y17" s="1490"/>
      <c r="Z17" s="841"/>
      <c r="AA17" s="845"/>
      <c r="AB17" s="1490"/>
      <c r="AC17" s="841"/>
      <c r="AD17" s="845"/>
      <c r="AE17" s="1490"/>
      <c r="AF17" s="841"/>
      <c r="AG17" s="845"/>
      <c r="AH17" s="1490"/>
      <c r="AI17" s="841"/>
      <c r="AJ17" s="845"/>
      <c r="AK17" s="1490"/>
      <c r="AL17" s="841"/>
      <c r="AM17" s="845"/>
      <c r="AN17" s="1490"/>
      <c r="AO17" s="841"/>
      <c r="AP17" s="845"/>
    </row>
    <row r="18" spans="1:42" ht="30" customHeight="1" x14ac:dyDescent="0.2">
      <c r="A18" s="1486"/>
      <c r="B18" s="578"/>
      <c r="C18" s="579"/>
      <c r="D18" s="1489"/>
      <c r="E18" s="842"/>
      <c r="F18" s="848"/>
      <c r="G18" s="1489"/>
      <c r="H18" s="842"/>
      <c r="I18" s="579"/>
      <c r="J18" s="1489"/>
      <c r="K18" s="842"/>
      <c r="L18" s="579"/>
      <c r="M18" s="1489"/>
      <c r="N18" s="842"/>
      <c r="O18" s="579"/>
      <c r="P18" s="1489"/>
      <c r="Q18" s="842"/>
      <c r="R18" s="579"/>
      <c r="S18" s="1489"/>
      <c r="T18" s="842"/>
      <c r="U18" s="579"/>
      <c r="V18" s="1489"/>
      <c r="W18" s="842"/>
      <c r="X18" s="579"/>
      <c r="Y18" s="1489"/>
      <c r="Z18" s="842"/>
      <c r="AA18" s="579"/>
      <c r="AB18" s="1489"/>
      <c r="AC18" s="842"/>
      <c r="AD18" s="579"/>
      <c r="AE18" s="1489"/>
      <c r="AF18" s="842"/>
      <c r="AG18" s="579"/>
      <c r="AH18" s="1489"/>
      <c r="AI18" s="842"/>
      <c r="AJ18" s="579"/>
      <c r="AK18" s="1489"/>
      <c r="AL18" s="842"/>
      <c r="AM18" s="579"/>
      <c r="AN18" s="1489"/>
      <c r="AO18" s="842"/>
      <c r="AP18" s="579"/>
    </row>
    <row r="19" spans="1:42" ht="30" customHeight="1" x14ac:dyDescent="0.2">
      <c r="A19" s="1484" t="s">
        <v>2</v>
      </c>
      <c r="B19" s="574"/>
      <c r="C19" s="575"/>
      <c r="D19" s="1487"/>
      <c r="E19" s="840"/>
      <c r="F19" s="575"/>
      <c r="G19" s="1487"/>
      <c r="H19" s="840"/>
      <c r="I19" s="575"/>
      <c r="J19" s="1487"/>
      <c r="K19" s="840"/>
      <c r="L19" s="575"/>
      <c r="M19" s="1487"/>
      <c r="N19" s="840"/>
      <c r="O19" s="575"/>
      <c r="P19" s="1487"/>
      <c r="Q19" s="840"/>
      <c r="R19" s="575"/>
      <c r="S19" s="1487"/>
      <c r="T19" s="840"/>
      <c r="U19" s="575"/>
      <c r="V19" s="1487"/>
      <c r="W19" s="840"/>
      <c r="X19" s="575"/>
      <c r="Y19" s="1487"/>
      <c r="Z19" s="840"/>
      <c r="AA19" s="575"/>
      <c r="AB19" s="1487"/>
      <c r="AC19" s="840"/>
      <c r="AD19" s="575"/>
      <c r="AE19" s="1487"/>
      <c r="AF19" s="840"/>
      <c r="AG19" s="575"/>
      <c r="AH19" s="1487"/>
      <c r="AI19" s="840"/>
      <c r="AJ19" s="575"/>
      <c r="AK19" s="1487"/>
      <c r="AL19" s="840"/>
      <c r="AM19" s="575"/>
      <c r="AN19" s="1487"/>
      <c r="AO19" s="840"/>
      <c r="AP19" s="575"/>
    </row>
    <row r="20" spans="1:42" ht="30" customHeight="1" x14ac:dyDescent="0.2">
      <c r="A20" s="1485"/>
      <c r="B20" s="576"/>
      <c r="C20" s="577"/>
      <c r="D20" s="1488"/>
      <c r="E20" s="841"/>
      <c r="F20" s="577"/>
      <c r="G20" s="1488"/>
      <c r="H20" s="841"/>
      <c r="I20" s="577"/>
      <c r="J20" s="1488"/>
      <c r="K20" s="841"/>
      <c r="L20" s="577"/>
      <c r="M20" s="1488"/>
      <c r="N20" s="841"/>
      <c r="O20" s="577"/>
      <c r="P20" s="1488"/>
      <c r="Q20" s="841"/>
      <c r="R20" s="577"/>
      <c r="S20" s="1488"/>
      <c r="T20" s="841"/>
      <c r="U20" s="577"/>
      <c r="V20" s="1488"/>
      <c r="W20" s="841"/>
      <c r="X20" s="577"/>
      <c r="Y20" s="1488"/>
      <c r="Z20" s="841"/>
      <c r="AA20" s="577"/>
      <c r="AB20" s="1488"/>
      <c r="AC20" s="841"/>
      <c r="AD20" s="577"/>
      <c r="AE20" s="1488"/>
      <c r="AF20" s="841"/>
      <c r="AG20" s="577"/>
      <c r="AH20" s="1488"/>
      <c r="AI20" s="841"/>
      <c r="AJ20" s="577"/>
      <c r="AK20" s="1488"/>
      <c r="AL20" s="841"/>
      <c r="AM20" s="577"/>
      <c r="AN20" s="1488"/>
      <c r="AO20" s="841"/>
      <c r="AP20" s="577"/>
    </row>
    <row r="21" spans="1:42" ht="30" customHeight="1" x14ac:dyDescent="0.2">
      <c r="A21" s="1486"/>
      <c r="B21" s="578"/>
      <c r="C21" s="579"/>
      <c r="D21" s="1489"/>
      <c r="E21" s="842"/>
      <c r="F21" s="579"/>
      <c r="G21" s="1489"/>
      <c r="H21" s="842"/>
      <c r="I21" s="579"/>
      <c r="J21" s="1489"/>
      <c r="K21" s="842"/>
      <c r="L21" s="579"/>
      <c r="M21" s="1489"/>
      <c r="N21" s="842"/>
      <c r="O21" s="579"/>
      <c r="P21" s="1489"/>
      <c r="Q21" s="842"/>
      <c r="R21" s="579"/>
      <c r="S21" s="1489"/>
      <c r="T21" s="842"/>
      <c r="U21" s="579"/>
      <c r="V21" s="1489"/>
      <c r="W21" s="842"/>
      <c r="X21" s="579"/>
      <c r="Y21" s="1489"/>
      <c r="Z21" s="842"/>
      <c r="AA21" s="579"/>
      <c r="AB21" s="1489"/>
      <c r="AC21" s="842"/>
      <c r="AD21" s="579"/>
      <c r="AE21" s="1489"/>
      <c r="AF21" s="842"/>
      <c r="AG21" s="579"/>
      <c r="AH21" s="1489"/>
      <c r="AI21" s="842"/>
      <c r="AJ21" s="579"/>
      <c r="AK21" s="1489"/>
      <c r="AL21" s="842"/>
      <c r="AM21" s="579"/>
      <c r="AN21" s="1489"/>
      <c r="AO21" s="842"/>
      <c r="AP21" s="579"/>
    </row>
    <row r="22" spans="1:42" ht="30" customHeight="1" x14ac:dyDescent="0.2">
      <c r="A22" s="1484" t="s">
        <v>3</v>
      </c>
      <c r="B22" s="574"/>
      <c r="C22" s="575"/>
      <c r="D22" s="1487"/>
      <c r="E22" s="840"/>
      <c r="F22" s="575"/>
      <c r="G22" s="1487"/>
      <c r="H22" s="840"/>
      <c r="I22" s="575"/>
      <c r="J22" s="1487"/>
      <c r="K22" s="840"/>
      <c r="L22" s="575"/>
      <c r="M22" s="1487"/>
      <c r="N22" s="840"/>
      <c r="O22" s="575"/>
      <c r="P22" s="1487"/>
      <c r="Q22" s="840"/>
      <c r="R22" s="575"/>
      <c r="S22" s="1487"/>
      <c r="T22" s="840"/>
      <c r="U22" s="575"/>
      <c r="V22" s="1487"/>
      <c r="W22" s="840"/>
      <c r="X22" s="575"/>
      <c r="Y22" s="1487"/>
      <c r="Z22" s="840"/>
      <c r="AA22" s="575"/>
      <c r="AB22" s="1487"/>
      <c r="AC22" s="840"/>
      <c r="AD22" s="575"/>
      <c r="AE22" s="1487"/>
      <c r="AF22" s="840"/>
      <c r="AG22" s="575"/>
      <c r="AH22" s="1487"/>
      <c r="AI22" s="840"/>
      <c r="AJ22" s="575"/>
      <c r="AK22" s="1487"/>
      <c r="AL22" s="840"/>
      <c r="AM22" s="575"/>
      <c r="AN22" s="1487"/>
      <c r="AO22" s="840"/>
      <c r="AP22" s="575"/>
    </row>
    <row r="23" spans="1:42" ht="30" customHeight="1" x14ac:dyDescent="0.2">
      <c r="A23" s="1485"/>
      <c r="B23" s="576"/>
      <c r="C23" s="577"/>
      <c r="D23" s="1488"/>
      <c r="E23" s="841"/>
      <c r="F23" s="577"/>
      <c r="G23" s="1488"/>
      <c r="H23" s="841"/>
      <c r="I23" s="577"/>
      <c r="J23" s="1488"/>
      <c r="K23" s="841"/>
      <c r="L23" s="577"/>
      <c r="M23" s="1488"/>
      <c r="N23" s="841"/>
      <c r="O23" s="577"/>
      <c r="P23" s="1488"/>
      <c r="Q23" s="841"/>
      <c r="R23" s="577"/>
      <c r="S23" s="1488"/>
      <c r="T23" s="841"/>
      <c r="U23" s="577"/>
      <c r="V23" s="1488"/>
      <c r="W23" s="841"/>
      <c r="X23" s="577"/>
      <c r="Y23" s="1488"/>
      <c r="Z23" s="841"/>
      <c r="AA23" s="577"/>
      <c r="AB23" s="1488"/>
      <c r="AC23" s="841"/>
      <c r="AD23" s="577"/>
      <c r="AE23" s="1488"/>
      <c r="AF23" s="841"/>
      <c r="AG23" s="577"/>
      <c r="AH23" s="1488"/>
      <c r="AI23" s="841"/>
      <c r="AJ23" s="577"/>
      <c r="AK23" s="1488"/>
      <c r="AL23" s="841"/>
      <c r="AM23" s="577"/>
      <c r="AN23" s="1488"/>
      <c r="AO23" s="841"/>
      <c r="AP23" s="577"/>
    </row>
    <row r="24" spans="1:42" ht="30" customHeight="1" x14ac:dyDescent="0.2">
      <c r="A24" s="1486"/>
      <c r="B24" s="578"/>
      <c r="C24" s="579"/>
      <c r="D24" s="1489"/>
      <c r="E24" s="842"/>
      <c r="F24" s="579"/>
      <c r="G24" s="1489"/>
      <c r="H24" s="842"/>
      <c r="I24" s="579"/>
      <c r="J24" s="1489"/>
      <c r="K24" s="842"/>
      <c r="L24" s="579"/>
      <c r="M24" s="1489"/>
      <c r="N24" s="842"/>
      <c r="O24" s="579"/>
      <c r="P24" s="1489"/>
      <c r="Q24" s="842"/>
      <c r="R24" s="579"/>
      <c r="S24" s="1489"/>
      <c r="T24" s="842"/>
      <c r="U24" s="579"/>
      <c r="V24" s="1489"/>
      <c r="W24" s="842"/>
      <c r="X24" s="579"/>
      <c r="Y24" s="1489"/>
      <c r="Z24" s="842"/>
      <c r="AA24" s="579"/>
      <c r="AB24" s="1489"/>
      <c r="AC24" s="842"/>
      <c r="AD24" s="579"/>
      <c r="AE24" s="1489"/>
      <c r="AF24" s="842"/>
      <c r="AG24" s="579"/>
      <c r="AH24" s="1489"/>
      <c r="AI24" s="842"/>
      <c r="AJ24" s="579"/>
      <c r="AK24" s="1489"/>
      <c r="AL24" s="842"/>
      <c r="AM24" s="579"/>
      <c r="AN24" s="1489"/>
      <c r="AO24" s="842"/>
      <c r="AP24" s="579"/>
    </row>
    <row r="25" spans="1:42" ht="30" customHeight="1" x14ac:dyDescent="0.2">
      <c r="A25" s="1484" t="s">
        <v>4</v>
      </c>
      <c r="B25" s="574"/>
      <c r="C25" s="575"/>
      <c r="D25" s="1487"/>
      <c r="E25" s="840"/>
      <c r="F25" s="835"/>
      <c r="G25" s="1487"/>
      <c r="H25" s="840"/>
      <c r="I25" s="575"/>
      <c r="J25" s="1487"/>
      <c r="K25" s="840"/>
      <c r="L25" s="575"/>
      <c r="M25" s="1487"/>
      <c r="N25" s="840"/>
      <c r="O25" s="575"/>
      <c r="P25" s="1487"/>
      <c r="Q25" s="840"/>
      <c r="R25" s="575"/>
      <c r="S25" s="1487"/>
      <c r="T25" s="840"/>
      <c r="U25" s="575"/>
      <c r="V25" s="1487"/>
      <c r="W25" s="840"/>
      <c r="X25" s="575"/>
      <c r="Y25" s="1487"/>
      <c r="Z25" s="840"/>
      <c r="AA25" s="575"/>
      <c r="AB25" s="1487"/>
      <c r="AC25" s="840"/>
      <c r="AD25" s="575"/>
      <c r="AE25" s="1487"/>
      <c r="AF25" s="840"/>
      <c r="AG25" s="575"/>
      <c r="AH25" s="1487"/>
      <c r="AI25" s="840"/>
      <c r="AJ25" s="575"/>
      <c r="AK25" s="1487"/>
      <c r="AL25" s="840"/>
      <c r="AM25" s="575"/>
      <c r="AN25" s="1487"/>
      <c r="AO25" s="840"/>
      <c r="AP25" s="575"/>
    </row>
    <row r="26" spans="1:42" ht="30" customHeight="1" x14ac:dyDescent="0.2">
      <c r="A26" s="1485"/>
      <c r="B26" s="576"/>
      <c r="C26" s="577"/>
      <c r="D26" s="1488"/>
      <c r="E26" s="841"/>
      <c r="F26" s="577"/>
      <c r="G26" s="1488"/>
      <c r="H26" s="841"/>
      <c r="I26" s="577"/>
      <c r="J26" s="1488"/>
      <c r="K26" s="841"/>
      <c r="L26" s="577"/>
      <c r="M26" s="1488"/>
      <c r="N26" s="841"/>
      <c r="O26" s="577"/>
      <c r="P26" s="1488"/>
      <c r="Q26" s="841"/>
      <c r="R26" s="577"/>
      <c r="S26" s="1488"/>
      <c r="T26" s="841"/>
      <c r="U26" s="577"/>
      <c r="V26" s="1488"/>
      <c r="W26" s="841"/>
      <c r="X26" s="577"/>
      <c r="Y26" s="1488"/>
      <c r="Z26" s="841"/>
      <c r="AA26" s="577"/>
      <c r="AB26" s="1488"/>
      <c r="AC26" s="841"/>
      <c r="AD26" s="577"/>
      <c r="AE26" s="1488"/>
      <c r="AF26" s="841"/>
      <c r="AG26" s="577"/>
      <c r="AH26" s="1488"/>
      <c r="AI26" s="841"/>
      <c r="AJ26" s="577"/>
      <c r="AK26" s="1488"/>
      <c r="AL26" s="841"/>
      <c r="AM26" s="577"/>
      <c r="AN26" s="1488"/>
      <c r="AO26" s="841"/>
      <c r="AP26" s="577"/>
    </row>
    <row r="27" spans="1:42" ht="30" customHeight="1" x14ac:dyDescent="0.2">
      <c r="A27" s="1486"/>
      <c r="B27" s="578"/>
      <c r="C27" s="579"/>
      <c r="D27" s="1489"/>
      <c r="E27" s="842"/>
      <c r="F27" s="579"/>
      <c r="G27" s="1489"/>
      <c r="H27" s="842"/>
      <c r="I27" s="579"/>
      <c r="J27" s="1489"/>
      <c r="K27" s="842"/>
      <c r="L27" s="579"/>
      <c r="M27" s="1489"/>
      <c r="N27" s="842"/>
      <c r="O27" s="579"/>
      <c r="P27" s="1489"/>
      <c r="Q27" s="842"/>
      <c r="R27" s="579"/>
      <c r="S27" s="1489"/>
      <c r="T27" s="842"/>
      <c r="U27" s="579"/>
      <c r="V27" s="1489"/>
      <c r="W27" s="842"/>
      <c r="X27" s="579"/>
      <c r="Y27" s="1489"/>
      <c r="Z27" s="842"/>
      <c r="AA27" s="579"/>
      <c r="AB27" s="1489"/>
      <c r="AC27" s="842"/>
      <c r="AD27" s="579"/>
      <c r="AE27" s="1489"/>
      <c r="AF27" s="842"/>
      <c r="AG27" s="579"/>
      <c r="AH27" s="1489"/>
      <c r="AI27" s="842"/>
      <c r="AJ27" s="579"/>
      <c r="AK27" s="1489"/>
      <c r="AL27" s="842"/>
      <c r="AM27" s="579"/>
      <c r="AN27" s="1489"/>
      <c r="AO27" s="842"/>
      <c r="AP27" s="579"/>
    </row>
    <row r="28" spans="1:42" ht="30" customHeight="1" x14ac:dyDescent="0.2">
      <c r="A28" s="1484" t="s">
        <v>289</v>
      </c>
      <c r="B28" s="574"/>
      <c r="C28" s="575"/>
      <c r="D28" s="1487"/>
      <c r="E28" s="840"/>
      <c r="F28" s="835"/>
      <c r="G28" s="1487"/>
      <c r="H28" s="840"/>
      <c r="I28" s="575"/>
      <c r="J28" s="1487"/>
      <c r="K28" s="840"/>
      <c r="L28" s="575"/>
      <c r="M28" s="1487"/>
      <c r="N28" s="840"/>
      <c r="O28" s="575"/>
      <c r="P28" s="1487"/>
      <c r="Q28" s="840"/>
      <c r="R28" s="575"/>
      <c r="S28" s="1487"/>
      <c r="T28" s="840"/>
      <c r="U28" s="575"/>
      <c r="V28" s="1487"/>
      <c r="W28" s="840"/>
      <c r="X28" s="575"/>
      <c r="Y28" s="1487"/>
      <c r="Z28" s="840"/>
      <c r="AA28" s="575"/>
      <c r="AB28" s="1487"/>
      <c r="AC28" s="840"/>
      <c r="AD28" s="575"/>
      <c r="AE28" s="1487"/>
      <c r="AF28" s="840"/>
      <c r="AG28" s="575"/>
      <c r="AH28" s="1487"/>
      <c r="AI28" s="840"/>
      <c r="AJ28" s="575"/>
      <c r="AK28" s="1487"/>
      <c r="AL28" s="840"/>
      <c r="AM28" s="575"/>
      <c r="AN28" s="1487"/>
      <c r="AO28" s="840"/>
      <c r="AP28" s="575"/>
    </row>
    <row r="29" spans="1:42" ht="30" customHeight="1" x14ac:dyDescent="0.2">
      <c r="A29" s="1485"/>
      <c r="B29" s="576"/>
      <c r="C29" s="577"/>
      <c r="D29" s="1488"/>
      <c r="E29" s="841"/>
      <c r="F29" s="577"/>
      <c r="G29" s="1488"/>
      <c r="H29" s="841"/>
      <c r="I29" s="577"/>
      <c r="J29" s="1488"/>
      <c r="K29" s="841"/>
      <c r="L29" s="577"/>
      <c r="M29" s="1488"/>
      <c r="N29" s="841"/>
      <c r="O29" s="577"/>
      <c r="P29" s="1488"/>
      <c r="Q29" s="841"/>
      <c r="R29" s="577"/>
      <c r="S29" s="1488"/>
      <c r="T29" s="841"/>
      <c r="U29" s="577"/>
      <c r="V29" s="1488"/>
      <c r="W29" s="841"/>
      <c r="X29" s="577"/>
      <c r="Y29" s="1488"/>
      <c r="Z29" s="841"/>
      <c r="AA29" s="577"/>
      <c r="AB29" s="1488"/>
      <c r="AC29" s="841"/>
      <c r="AD29" s="577"/>
      <c r="AE29" s="1488"/>
      <c r="AF29" s="841"/>
      <c r="AG29" s="577"/>
      <c r="AH29" s="1488"/>
      <c r="AI29" s="841"/>
      <c r="AJ29" s="577"/>
      <c r="AK29" s="1488"/>
      <c r="AL29" s="841"/>
      <c r="AM29" s="577"/>
      <c r="AN29" s="1488"/>
      <c r="AO29" s="841"/>
      <c r="AP29" s="577"/>
    </row>
    <row r="30" spans="1:42" ht="30" customHeight="1" x14ac:dyDescent="0.2">
      <c r="A30" s="1486"/>
      <c r="B30" s="578"/>
      <c r="C30" s="579"/>
      <c r="D30" s="1489"/>
      <c r="E30" s="842"/>
      <c r="F30" s="579"/>
      <c r="G30" s="1489"/>
      <c r="H30" s="842"/>
      <c r="I30" s="579"/>
      <c r="J30" s="1489"/>
      <c r="K30" s="842"/>
      <c r="L30" s="579"/>
      <c r="M30" s="1489"/>
      <c r="N30" s="842"/>
      <c r="O30" s="579"/>
      <c r="P30" s="1489"/>
      <c r="Q30" s="842"/>
      <c r="R30" s="579"/>
      <c r="S30" s="1489"/>
      <c r="T30" s="842"/>
      <c r="U30" s="579"/>
      <c r="V30" s="1489"/>
      <c r="W30" s="842"/>
      <c r="X30" s="579"/>
      <c r="Y30" s="1489"/>
      <c r="Z30" s="842"/>
      <c r="AA30" s="579"/>
      <c r="AB30" s="1489"/>
      <c r="AC30" s="842"/>
      <c r="AD30" s="579"/>
      <c r="AE30" s="1489"/>
      <c r="AF30" s="842"/>
      <c r="AG30" s="579"/>
      <c r="AH30" s="1489"/>
      <c r="AI30" s="842"/>
      <c r="AJ30" s="579"/>
      <c r="AK30" s="1489"/>
      <c r="AL30" s="842"/>
      <c r="AM30" s="579"/>
      <c r="AN30" s="1489"/>
      <c r="AO30" s="842"/>
      <c r="AP30" s="579"/>
    </row>
    <row r="31" spans="1:42" ht="30" customHeight="1" x14ac:dyDescent="0.2">
      <c r="A31" s="1484" t="s">
        <v>266</v>
      </c>
      <c r="B31" s="574"/>
      <c r="C31" s="575"/>
      <c r="D31" s="1487"/>
      <c r="E31" s="840"/>
      <c r="F31" s="575"/>
      <c r="G31" s="1487"/>
      <c r="H31" s="840"/>
      <c r="I31" s="575"/>
      <c r="J31" s="1487"/>
      <c r="K31" s="840"/>
      <c r="L31" s="575"/>
      <c r="M31" s="1487"/>
      <c r="N31" s="840"/>
      <c r="O31" s="575"/>
      <c r="P31" s="1487"/>
      <c r="Q31" s="840"/>
      <c r="R31" s="575"/>
      <c r="S31" s="1487"/>
      <c r="T31" s="840"/>
      <c r="U31" s="575"/>
      <c r="V31" s="1487"/>
      <c r="W31" s="840"/>
      <c r="X31" s="575"/>
      <c r="Y31" s="1487"/>
      <c r="Z31" s="840"/>
      <c r="AA31" s="575"/>
      <c r="AB31" s="1487"/>
      <c r="AC31" s="840"/>
      <c r="AD31" s="575"/>
      <c r="AE31" s="1487"/>
      <c r="AF31" s="840"/>
      <c r="AG31" s="575"/>
      <c r="AH31" s="1487"/>
      <c r="AI31" s="840"/>
      <c r="AJ31" s="575"/>
      <c r="AK31" s="1487"/>
      <c r="AL31" s="840"/>
      <c r="AM31" s="575"/>
      <c r="AN31" s="1487"/>
      <c r="AO31" s="840"/>
      <c r="AP31" s="575"/>
    </row>
    <row r="32" spans="1:42" ht="30" customHeight="1" x14ac:dyDescent="0.2">
      <c r="A32" s="1485"/>
      <c r="B32" s="576"/>
      <c r="C32" s="577"/>
      <c r="D32" s="1488"/>
      <c r="E32" s="841"/>
      <c r="F32" s="577"/>
      <c r="G32" s="1488"/>
      <c r="H32" s="841"/>
      <c r="I32" s="577"/>
      <c r="J32" s="1488"/>
      <c r="K32" s="841"/>
      <c r="L32" s="577"/>
      <c r="M32" s="1488"/>
      <c r="N32" s="841"/>
      <c r="O32" s="577"/>
      <c r="P32" s="1488"/>
      <c r="Q32" s="841"/>
      <c r="R32" s="577"/>
      <c r="S32" s="1488"/>
      <c r="T32" s="841"/>
      <c r="U32" s="577"/>
      <c r="V32" s="1488"/>
      <c r="W32" s="841"/>
      <c r="X32" s="577"/>
      <c r="Y32" s="1488"/>
      <c r="Z32" s="841"/>
      <c r="AA32" s="577"/>
      <c r="AB32" s="1488"/>
      <c r="AC32" s="841"/>
      <c r="AD32" s="577"/>
      <c r="AE32" s="1488"/>
      <c r="AF32" s="841"/>
      <c r="AG32" s="577"/>
      <c r="AH32" s="1488"/>
      <c r="AI32" s="841"/>
      <c r="AJ32" s="577"/>
      <c r="AK32" s="1488"/>
      <c r="AL32" s="841"/>
      <c r="AM32" s="577"/>
      <c r="AN32" s="1488"/>
      <c r="AO32" s="841"/>
      <c r="AP32" s="577"/>
    </row>
    <row r="33" spans="1:42" ht="30" customHeight="1" x14ac:dyDescent="0.2">
      <c r="A33" s="1486"/>
      <c r="B33" s="578"/>
      <c r="C33" s="579"/>
      <c r="D33" s="1489"/>
      <c r="E33" s="842"/>
      <c r="F33" s="579"/>
      <c r="G33" s="1489"/>
      <c r="H33" s="842"/>
      <c r="I33" s="579"/>
      <c r="J33" s="1489"/>
      <c r="K33" s="842"/>
      <c r="L33" s="579"/>
      <c r="M33" s="1489"/>
      <c r="N33" s="842"/>
      <c r="O33" s="579"/>
      <c r="P33" s="1489"/>
      <c r="Q33" s="842"/>
      <c r="R33" s="579"/>
      <c r="S33" s="1489"/>
      <c r="T33" s="842"/>
      <c r="U33" s="579"/>
      <c r="V33" s="1489"/>
      <c r="W33" s="842"/>
      <c r="X33" s="579"/>
      <c r="Y33" s="1489"/>
      <c r="Z33" s="842"/>
      <c r="AA33" s="579"/>
      <c r="AB33" s="1489"/>
      <c r="AC33" s="842"/>
      <c r="AD33" s="579"/>
      <c r="AE33" s="1489"/>
      <c r="AF33" s="842"/>
      <c r="AG33" s="579"/>
      <c r="AH33" s="1489"/>
      <c r="AI33" s="842"/>
      <c r="AJ33" s="579"/>
      <c r="AK33" s="1489"/>
      <c r="AL33" s="842"/>
      <c r="AM33" s="579"/>
      <c r="AN33" s="1489"/>
      <c r="AO33" s="842"/>
      <c r="AP33" s="579"/>
    </row>
    <row r="34" spans="1:42" ht="30" customHeight="1" x14ac:dyDescent="0.2">
      <c r="A34" s="1484" t="s">
        <v>290</v>
      </c>
      <c r="B34" s="574"/>
      <c r="C34" s="575"/>
      <c r="D34" s="1487"/>
      <c r="E34" s="840"/>
      <c r="F34" s="575"/>
      <c r="G34" s="1487"/>
      <c r="H34" s="840"/>
      <c r="I34" s="575"/>
      <c r="J34" s="1487"/>
      <c r="K34" s="840"/>
      <c r="L34" s="575"/>
      <c r="M34" s="1487"/>
      <c r="N34" s="840"/>
      <c r="O34" s="575"/>
      <c r="P34" s="1487"/>
      <c r="Q34" s="840"/>
      <c r="R34" s="575"/>
      <c r="S34" s="1487"/>
      <c r="T34" s="840"/>
      <c r="U34" s="575"/>
      <c r="V34" s="1487"/>
      <c r="W34" s="840"/>
      <c r="X34" s="575"/>
      <c r="Y34" s="1487"/>
      <c r="Z34" s="840"/>
      <c r="AA34" s="575"/>
      <c r="AB34" s="1487"/>
      <c r="AC34" s="840"/>
      <c r="AD34" s="575"/>
      <c r="AE34" s="1487"/>
      <c r="AF34" s="840"/>
      <c r="AG34" s="575"/>
      <c r="AH34" s="1487"/>
      <c r="AI34" s="840"/>
      <c r="AJ34" s="575"/>
      <c r="AK34" s="1487"/>
      <c r="AL34" s="840"/>
      <c r="AM34" s="575"/>
      <c r="AN34" s="1487"/>
      <c r="AO34" s="840"/>
      <c r="AP34" s="575"/>
    </row>
    <row r="35" spans="1:42" ht="30" customHeight="1" x14ac:dyDescent="0.2">
      <c r="A35" s="1485"/>
      <c r="B35" s="576"/>
      <c r="C35" s="577"/>
      <c r="D35" s="1488"/>
      <c r="E35" s="841"/>
      <c r="F35" s="577"/>
      <c r="G35" s="1488"/>
      <c r="H35" s="841"/>
      <c r="I35" s="577"/>
      <c r="J35" s="1488"/>
      <c r="K35" s="841"/>
      <c r="L35" s="577"/>
      <c r="M35" s="1488"/>
      <c r="N35" s="841"/>
      <c r="O35" s="577"/>
      <c r="P35" s="1488"/>
      <c r="Q35" s="841"/>
      <c r="R35" s="577"/>
      <c r="S35" s="1488"/>
      <c r="T35" s="841"/>
      <c r="U35" s="577"/>
      <c r="V35" s="1488"/>
      <c r="W35" s="841"/>
      <c r="X35" s="577"/>
      <c r="Y35" s="1488"/>
      <c r="Z35" s="841"/>
      <c r="AA35" s="577"/>
      <c r="AB35" s="1488"/>
      <c r="AC35" s="841"/>
      <c r="AD35" s="577"/>
      <c r="AE35" s="1488"/>
      <c r="AF35" s="841"/>
      <c r="AG35" s="577"/>
      <c r="AH35" s="1488"/>
      <c r="AI35" s="841"/>
      <c r="AJ35" s="577"/>
      <c r="AK35" s="1488"/>
      <c r="AL35" s="841"/>
      <c r="AM35" s="577"/>
      <c r="AN35" s="1488"/>
      <c r="AO35" s="841"/>
      <c r="AP35" s="577"/>
    </row>
    <row r="36" spans="1:42" ht="30" customHeight="1" x14ac:dyDescent="0.2">
      <c r="A36" s="1486"/>
      <c r="B36" s="578"/>
      <c r="C36" s="579"/>
      <c r="D36" s="1489"/>
      <c r="E36" s="842"/>
      <c r="F36" s="579"/>
      <c r="G36" s="1489"/>
      <c r="H36" s="842"/>
      <c r="I36" s="579"/>
      <c r="J36" s="1489"/>
      <c r="K36" s="842"/>
      <c r="L36" s="579"/>
      <c r="M36" s="1489"/>
      <c r="N36" s="842"/>
      <c r="O36" s="579"/>
      <c r="P36" s="1489"/>
      <c r="Q36" s="842"/>
      <c r="R36" s="579"/>
      <c r="S36" s="1489"/>
      <c r="T36" s="842"/>
      <c r="U36" s="579"/>
      <c r="V36" s="1489"/>
      <c r="W36" s="842"/>
      <c r="X36" s="579"/>
      <c r="Y36" s="1489"/>
      <c r="Z36" s="842"/>
      <c r="AA36" s="579"/>
      <c r="AB36" s="1489"/>
      <c r="AC36" s="842"/>
      <c r="AD36" s="579"/>
      <c r="AE36" s="1489"/>
      <c r="AF36" s="842"/>
      <c r="AG36" s="579"/>
      <c r="AH36" s="1489"/>
      <c r="AI36" s="842"/>
      <c r="AJ36" s="579"/>
      <c r="AK36" s="1489"/>
      <c r="AL36" s="842"/>
      <c r="AM36" s="579"/>
      <c r="AN36" s="1489"/>
      <c r="AO36" s="842"/>
      <c r="AP36" s="579"/>
    </row>
    <row r="37" spans="1:42" ht="30" customHeight="1" x14ac:dyDescent="0.2">
      <c r="A37" s="1484" t="s">
        <v>291</v>
      </c>
      <c r="B37" s="574"/>
      <c r="C37" s="575"/>
      <c r="D37" s="1487"/>
      <c r="E37" s="840"/>
      <c r="F37" s="575"/>
      <c r="G37" s="1487"/>
      <c r="H37" s="840"/>
      <c r="I37" s="575"/>
      <c r="J37" s="1487"/>
      <c r="K37" s="840"/>
      <c r="L37" s="575"/>
      <c r="M37" s="1487"/>
      <c r="N37" s="840"/>
      <c r="O37" s="575"/>
      <c r="P37" s="1487"/>
      <c r="Q37" s="840"/>
      <c r="R37" s="575"/>
      <c r="S37" s="1487"/>
      <c r="T37" s="840"/>
      <c r="U37" s="575"/>
      <c r="V37" s="1487"/>
      <c r="W37" s="840"/>
      <c r="X37" s="575"/>
      <c r="Y37" s="1487"/>
      <c r="Z37" s="840"/>
      <c r="AA37" s="575"/>
      <c r="AB37" s="1487"/>
      <c r="AC37" s="840"/>
      <c r="AD37" s="575"/>
      <c r="AE37" s="1487"/>
      <c r="AF37" s="840"/>
      <c r="AG37" s="575"/>
      <c r="AH37" s="1487"/>
      <c r="AI37" s="840"/>
      <c r="AJ37" s="575"/>
      <c r="AK37" s="1487"/>
      <c r="AL37" s="840"/>
      <c r="AM37" s="575"/>
      <c r="AN37" s="1487"/>
      <c r="AO37" s="840"/>
      <c r="AP37" s="575"/>
    </row>
    <row r="38" spans="1:42" ht="30" customHeight="1" x14ac:dyDescent="0.2">
      <c r="A38" s="1485"/>
      <c r="B38" s="576"/>
      <c r="C38" s="577"/>
      <c r="D38" s="1488"/>
      <c r="E38" s="841"/>
      <c r="F38" s="577"/>
      <c r="G38" s="1488"/>
      <c r="H38" s="841"/>
      <c r="I38" s="577"/>
      <c r="J38" s="1488"/>
      <c r="K38" s="841"/>
      <c r="L38" s="577"/>
      <c r="M38" s="1488"/>
      <c r="N38" s="841"/>
      <c r="O38" s="577"/>
      <c r="P38" s="1488"/>
      <c r="Q38" s="841"/>
      <c r="R38" s="577"/>
      <c r="S38" s="1488"/>
      <c r="T38" s="841"/>
      <c r="U38" s="577"/>
      <c r="V38" s="1488"/>
      <c r="W38" s="841"/>
      <c r="X38" s="577"/>
      <c r="Y38" s="1488"/>
      <c r="Z38" s="841"/>
      <c r="AA38" s="577"/>
      <c r="AB38" s="1488"/>
      <c r="AC38" s="841"/>
      <c r="AD38" s="577"/>
      <c r="AE38" s="1488"/>
      <c r="AF38" s="841"/>
      <c r="AG38" s="577"/>
      <c r="AH38" s="1488"/>
      <c r="AI38" s="841"/>
      <c r="AJ38" s="577"/>
      <c r="AK38" s="1488"/>
      <c r="AL38" s="841"/>
      <c r="AM38" s="577"/>
      <c r="AN38" s="1488"/>
      <c r="AO38" s="841"/>
      <c r="AP38" s="577"/>
    </row>
    <row r="39" spans="1:42" ht="30" customHeight="1" x14ac:dyDescent="0.2">
      <c r="A39" s="1486"/>
      <c r="B39" s="578"/>
      <c r="C39" s="579"/>
      <c r="D39" s="1489"/>
      <c r="E39" s="842"/>
      <c r="F39" s="579"/>
      <c r="G39" s="1489"/>
      <c r="H39" s="842"/>
      <c r="I39" s="579"/>
      <c r="J39" s="1489"/>
      <c r="K39" s="842"/>
      <c r="L39" s="579"/>
      <c r="M39" s="1489"/>
      <c r="N39" s="842"/>
      <c r="O39" s="579"/>
      <c r="P39" s="1489"/>
      <c r="Q39" s="842"/>
      <c r="R39" s="579"/>
      <c r="S39" s="1489"/>
      <c r="T39" s="842"/>
      <c r="U39" s="579"/>
      <c r="V39" s="1489"/>
      <c r="W39" s="842"/>
      <c r="X39" s="579"/>
      <c r="Y39" s="1489"/>
      <c r="Z39" s="842"/>
      <c r="AA39" s="579"/>
      <c r="AB39" s="1489"/>
      <c r="AC39" s="842"/>
      <c r="AD39" s="579"/>
      <c r="AE39" s="1489"/>
      <c r="AF39" s="842"/>
      <c r="AG39" s="579"/>
      <c r="AH39" s="1489"/>
      <c r="AI39" s="842"/>
      <c r="AJ39" s="579"/>
      <c r="AK39" s="1489"/>
      <c r="AL39" s="842"/>
      <c r="AM39" s="579"/>
      <c r="AN39" s="1489"/>
      <c r="AO39" s="842"/>
      <c r="AP39" s="579"/>
    </row>
    <row r="40" spans="1:42" ht="30" customHeight="1" x14ac:dyDescent="0.2">
      <c r="A40" s="1484" t="s">
        <v>268</v>
      </c>
      <c r="B40" s="574"/>
      <c r="C40" s="835"/>
      <c r="D40" s="1487"/>
      <c r="E40" s="840"/>
      <c r="F40" s="835"/>
      <c r="G40" s="1487"/>
      <c r="H40" s="840"/>
      <c r="I40" s="835"/>
      <c r="J40" s="1487"/>
      <c r="K40" s="840"/>
      <c r="L40" s="835"/>
      <c r="M40" s="1487"/>
      <c r="N40" s="840"/>
      <c r="O40" s="835"/>
      <c r="P40" s="1487"/>
      <c r="Q40" s="840"/>
      <c r="R40" s="835"/>
      <c r="S40" s="1487"/>
      <c r="T40" s="840"/>
      <c r="U40" s="575"/>
      <c r="V40" s="1487"/>
      <c r="W40" s="840"/>
      <c r="X40" s="835"/>
      <c r="Y40" s="1487"/>
      <c r="Z40" s="840"/>
      <c r="AA40" s="575"/>
      <c r="AB40" s="1487"/>
      <c r="AC40" s="840"/>
      <c r="AD40" s="575"/>
      <c r="AE40" s="1487"/>
      <c r="AF40" s="840"/>
      <c r="AG40" s="575"/>
      <c r="AH40" s="1487"/>
      <c r="AI40" s="840"/>
      <c r="AJ40" s="575"/>
      <c r="AK40" s="1487"/>
      <c r="AL40" s="840"/>
      <c r="AM40" s="575"/>
      <c r="AN40" s="1487"/>
      <c r="AO40" s="840"/>
      <c r="AP40" s="835"/>
    </row>
    <row r="41" spans="1:42" ht="30" customHeight="1" x14ac:dyDescent="0.2">
      <c r="A41" s="1485"/>
      <c r="B41" s="576"/>
      <c r="C41" s="577"/>
      <c r="D41" s="1488"/>
      <c r="E41" s="841"/>
      <c r="F41" s="577"/>
      <c r="G41" s="1488"/>
      <c r="H41" s="841"/>
      <c r="I41" s="577"/>
      <c r="J41" s="1488"/>
      <c r="K41" s="841"/>
      <c r="L41" s="843"/>
      <c r="M41" s="1488"/>
      <c r="N41" s="841"/>
      <c r="O41" s="577"/>
      <c r="P41" s="1488"/>
      <c r="Q41" s="841"/>
      <c r="R41" s="577"/>
      <c r="S41" s="1488"/>
      <c r="T41" s="841"/>
      <c r="U41" s="843"/>
      <c r="V41" s="1488"/>
      <c r="W41" s="841"/>
      <c r="X41" s="577"/>
      <c r="Y41" s="1488"/>
      <c r="Z41" s="841"/>
      <c r="AA41" s="577"/>
      <c r="AB41" s="1488"/>
      <c r="AC41" s="841"/>
      <c r="AD41" s="577"/>
      <c r="AE41" s="1488"/>
      <c r="AF41" s="841"/>
      <c r="AG41" s="843"/>
      <c r="AH41" s="1488"/>
      <c r="AI41" s="841"/>
      <c r="AJ41" s="577"/>
      <c r="AK41" s="1488"/>
      <c r="AL41" s="841"/>
      <c r="AM41" s="577"/>
      <c r="AN41" s="1488"/>
      <c r="AO41" s="841"/>
      <c r="AP41" s="843"/>
    </row>
    <row r="42" spans="1:42" ht="30" customHeight="1" x14ac:dyDescent="0.2">
      <c r="A42" s="1486"/>
      <c r="B42" s="578"/>
      <c r="C42" s="579"/>
      <c r="D42" s="1489"/>
      <c r="E42" s="842"/>
      <c r="F42" s="579"/>
      <c r="G42" s="1489"/>
      <c r="H42" s="842"/>
      <c r="I42" s="848"/>
      <c r="J42" s="1489"/>
      <c r="K42" s="842"/>
      <c r="L42" s="579"/>
      <c r="M42" s="1489"/>
      <c r="N42" s="842"/>
      <c r="O42" s="579"/>
      <c r="P42" s="1489"/>
      <c r="Q42" s="842"/>
      <c r="R42" s="579"/>
      <c r="S42" s="1489"/>
      <c r="T42" s="842"/>
      <c r="U42" s="579"/>
      <c r="V42" s="1489"/>
      <c r="W42" s="842"/>
      <c r="X42" s="579"/>
      <c r="Y42" s="1489"/>
      <c r="Z42" s="842"/>
      <c r="AA42" s="579"/>
      <c r="AB42" s="1489"/>
      <c r="AC42" s="842"/>
      <c r="AD42" s="579"/>
      <c r="AE42" s="1489"/>
      <c r="AF42" s="842"/>
      <c r="AG42" s="579"/>
      <c r="AH42" s="1489"/>
      <c r="AI42" s="842"/>
      <c r="AJ42" s="579"/>
      <c r="AK42" s="1489"/>
      <c r="AL42" s="842"/>
      <c r="AM42" s="579"/>
      <c r="AN42" s="1489"/>
      <c r="AO42" s="842"/>
      <c r="AP42" s="848"/>
    </row>
    <row r="43" spans="1:42" ht="30" customHeight="1" x14ac:dyDescent="0.2">
      <c r="A43" s="1484" t="s">
        <v>370</v>
      </c>
      <c r="B43" s="574"/>
      <c r="C43" s="575"/>
      <c r="D43" s="1487"/>
      <c r="E43" s="840"/>
      <c r="F43" s="575"/>
      <c r="G43" s="1487"/>
      <c r="H43" s="840"/>
      <c r="I43" s="575"/>
      <c r="J43" s="1487"/>
      <c r="K43" s="840"/>
      <c r="L43" s="575"/>
      <c r="M43" s="1487"/>
      <c r="N43" s="840"/>
      <c r="O43" s="575"/>
      <c r="P43" s="1487"/>
      <c r="Q43" s="840"/>
      <c r="R43" s="575"/>
      <c r="S43" s="1487"/>
      <c r="T43" s="840"/>
      <c r="U43" s="575"/>
      <c r="V43" s="1487"/>
      <c r="W43" s="840"/>
      <c r="X43" s="575"/>
      <c r="Y43" s="1487"/>
      <c r="Z43" s="840"/>
      <c r="AA43" s="575"/>
      <c r="AB43" s="1487"/>
      <c r="AC43" s="840"/>
      <c r="AD43" s="575"/>
      <c r="AE43" s="1487"/>
      <c r="AF43" s="840"/>
      <c r="AG43" s="575"/>
      <c r="AH43" s="1487"/>
      <c r="AI43" s="840"/>
      <c r="AJ43" s="575"/>
      <c r="AK43" s="1487"/>
      <c r="AL43" s="840"/>
      <c r="AM43" s="575"/>
      <c r="AN43" s="1487"/>
      <c r="AO43" s="840"/>
      <c r="AP43" s="575"/>
    </row>
    <row r="44" spans="1:42" ht="30" customHeight="1" x14ac:dyDescent="0.2">
      <c r="A44" s="1485"/>
      <c r="B44" s="576"/>
      <c r="C44" s="577"/>
      <c r="D44" s="1488"/>
      <c r="E44" s="841"/>
      <c r="F44" s="577"/>
      <c r="G44" s="1488"/>
      <c r="H44" s="841"/>
      <c r="I44" s="577"/>
      <c r="J44" s="1488"/>
      <c r="K44" s="841"/>
      <c r="L44" s="577"/>
      <c r="M44" s="1488"/>
      <c r="N44" s="841"/>
      <c r="O44" s="577"/>
      <c r="P44" s="1488"/>
      <c r="Q44" s="841"/>
      <c r="R44" s="577"/>
      <c r="S44" s="1488"/>
      <c r="T44" s="841"/>
      <c r="U44" s="577"/>
      <c r="V44" s="1488"/>
      <c r="W44" s="841"/>
      <c r="X44" s="577"/>
      <c r="Y44" s="1488"/>
      <c r="Z44" s="841"/>
      <c r="AA44" s="577"/>
      <c r="AB44" s="1488"/>
      <c r="AC44" s="841"/>
      <c r="AD44" s="577"/>
      <c r="AE44" s="1488"/>
      <c r="AF44" s="841"/>
      <c r="AG44" s="577"/>
      <c r="AH44" s="1488"/>
      <c r="AI44" s="841"/>
      <c r="AJ44" s="577"/>
      <c r="AK44" s="1488"/>
      <c r="AL44" s="841"/>
      <c r="AM44" s="577"/>
      <c r="AN44" s="1488"/>
      <c r="AO44" s="841"/>
      <c r="AP44" s="577"/>
    </row>
    <row r="45" spans="1:42" ht="30" customHeight="1" x14ac:dyDescent="0.2">
      <c r="A45" s="1486"/>
      <c r="B45" s="578"/>
      <c r="C45" s="579"/>
      <c r="D45" s="1489"/>
      <c r="E45" s="842"/>
      <c r="F45" s="579"/>
      <c r="G45" s="1489"/>
      <c r="H45" s="842"/>
      <c r="I45" s="579"/>
      <c r="J45" s="1489"/>
      <c r="K45" s="842"/>
      <c r="L45" s="579"/>
      <c r="M45" s="1489"/>
      <c r="N45" s="842"/>
      <c r="O45" s="579"/>
      <c r="P45" s="1489"/>
      <c r="Q45" s="842"/>
      <c r="R45" s="579"/>
      <c r="S45" s="1489"/>
      <c r="T45" s="842"/>
      <c r="U45" s="579"/>
      <c r="V45" s="1489"/>
      <c r="W45" s="842"/>
      <c r="X45" s="579"/>
      <c r="Y45" s="1489"/>
      <c r="Z45" s="842"/>
      <c r="AA45" s="579"/>
      <c r="AB45" s="1489"/>
      <c r="AC45" s="842"/>
      <c r="AD45" s="579"/>
      <c r="AE45" s="1489"/>
      <c r="AF45" s="842"/>
      <c r="AG45" s="579"/>
      <c r="AH45" s="1489"/>
      <c r="AI45" s="842"/>
      <c r="AJ45" s="579"/>
      <c r="AK45" s="1489"/>
      <c r="AL45" s="842"/>
      <c r="AM45" s="579"/>
      <c r="AN45" s="1489"/>
      <c r="AO45" s="842"/>
      <c r="AP45" s="579"/>
    </row>
    <row r="46" spans="1:42" ht="30" customHeight="1" x14ac:dyDescent="0.2">
      <c r="A46" s="1484" t="s">
        <v>269</v>
      </c>
      <c r="B46" s="574"/>
      <c r="C46" s="575"/>
      <c r="D46" s="1492"/>
      <c r="E46" s="840"/>
      <c r="F46" s="575"/>
      <c r="G46" s="1492"/>
      <c r="H46" s="840"/>
      <c r="I46" s="575"/>
      <c r="J46" s="1492"/>
      <c r="K46" s="840"/>
      <c r="L46" s="575"/>
      <c r="M46" s="1492"/>
      <c r="N46" s="840"/>
      <c r="O46" s="575"/>
      <c r="P46" s="1492"/>
      <c r="Q46" s="840"/>
      <c r="R46" s="575"/>
      <c r="S46" s="1492"/>
      <c r="T46" s="840"/>
      <c r="U46" s="575"/>
      <c r="V46" s="1492"/>
      <c r="W46" s="840"/>
      <c r="X46" s="575"/>
      <c r="Y46" s="1492"/>
      <c r="Z46" s="840"/>
      <c r="AA46" s="575"/>
      <c r="AB46" s="1492"/>
      <c r="AC46" s="840"/>
      <c r="AD46" s="575"/>
      <c r="AE46" s="1492"/>
      <c r="AF46" s="840"/>
      <c r="AG46" s="575"/>
      <c r="AH46" s="1492"/>
      <c r="AI46" s="840"/>
      <c r="AJ46" s="575"/>
      <c r="AK46" s="1492"/>
      <c r="AL46" s="840"/>
      <c r="AM46" s="575"/>
      <c r="AN46" s="1492"/>
      <c r="AO46" s="840"/>
      <c r="AP46" s="575"/>
    </row>
    <row r="47" spans="1:42" ht="30" customHeight="1" x14ac:dyDescent="0.2">
      <c r="A47" s="1485"/>
      <c r="B47" s="576"/>
      <c r="C47" s="577"/>
      <c r="D47" s="1494"/>
      <c r="E47" s="841"/>
      <c r="F47" s="577"/>
      <c r="G47" s="1494"/>
      <c r="H47" s="841"/>
      <c r="I47" s="577"/>
      <c r="J47" s="1494"/>
      <c r="K47" s="841"/>
      <c r="L47" s="577"/>
      <c r="M47" s="1494"/>
      <c r="N47" s="841"/>
      <c r="O47" s="577"/>
      <c r="P47" s="1494"/>
      <c r="Q47" s="841"/>
      <c r="R47" s="577"/>
      <c r="S47" s="1494"/>
      <c r="T47" s="841"/>
      <c r="U47" s="577"/>
      <c r="V47" s="1494"/>
      <c r="W47" s="841"/>
      <c r="X47" s="577"/>
      <c r="Y47" s="1494"/>
      <c r="Z47" s="841"/>
      <c r="AA47" s="577"/>
      <c r="AB47" s="1494"/>
      <c r="AC47" s="841"/>
      <c r="AD47" s="577"/>
      <c r="AE47" s="1494"/>
      <c r="AF47" s="841"/>
      <c r="AG47" s="577"/>
      <c r="AH47" s="1494"/>
      <c r="AI47" s="841"/>
      <c r="AJ47" s="577"/>
      <c r="AK47" s="1494"/>
      <c r="AL47" s="841"/>
      <c r="AM47" s="577"/>
      <c r="AN47" s="1494"/>
      <c r="AO47" s="841"/>
      <c r="AP47" s="577"/>
    </row>
    <row r="48" spans="1:42" ht="30" customHeight="1" x14ac:dyDescent="0.2">
      <c r="A48" s="1485"/>
      <c r="B48" s="576"/>
      <c r="C48" s="577"/>
      <c r="D48" s="1494"/>
      <c r="E48" s="841"/>
      <c r="F48" s="577"/>
      <c r="G48" s="1494"/>
      <c r="H48" s="841"/>
      <c r="I48" s="577"/>
      <c r="J48" s="1494"/>
      <c r="K48" s="841"/>
      <c r="L48" s="577"/>
      <c r="M48" s="1494"/>
      <c r="N48" s="841"/>
      <c r="O48" s="577"/>
      <c r="P48" s="1494"/>
      <c r="Q48" s="841"/>
      <c r="R48" s="577"/>
      <c r="S48" s="1494"/>
      <c r="T48" s="841"/>
      <c r="U48" s="577"/>
      <c r="V48" s="1494"/>
      <c r="W48" s="841"/>
      <c r="X48" s="577"/>
      <c r="Y48" s="1494"/>
      <c r="Z48" s="841"/>
      <c r="AA48" s="577"/>
      <c r="AB48" s="1494"/>
      <c r="AC48" s="841"/>
      <c r="AD48" s="577"/>
      <c r="AE48" s="1494"/>
      <c r="AF48" s="841"/>
      <c r="AG48" s="577"/>
      <c r="AH48" s="1494"/>
      <c r="AI48" s="841"/>
      <c r="AJ48" s="577"/>
      <c r="AK48" s="1494"/>
      <c r="AL48" s="841"/>
      <c r="AM48" s="577"/>
      <c r="AN48" s="1494"/>
      <c r="AO48" s="841"/>
      <c r="AP48" s="577"/>
    </row>
    <row r="49" spans="1:42" ht="30" customHeight="1" x14ac:dyDescent="0.2">
      <c r="A49" s="1485"/>
      <c r="B49" s="576"/>
      <c r="C49" s="577"/>
      <c r="D49" s="1494"/>
      <c r="E49" s="841"/>
      <c r="F49" s="577"/>
      <c r="G49" s="1494"/>
      <c r="H49" s="841"/>
      <c r="I49" s="577"/>
      <c r="J49" s="1494"/>
      <c r="K49" s="841"/>
      <c r="L49" s="577"/>
      <c r="M49" s="1494"/>
      <c r="N49" s="841"/>
      <c r="O49" s="577"/>
      <c r="P49" s="1494"/>
      <c r="Q49" s="841"/>
      <c r="R49" s="577"/>
      <c r="S49" s="1494"/>
      <c r="T49" s="841"/>
      <c r="U49" s="577"/>
      <c r="V49" s="1494"/>
      <c r="W49" s="841"/>
      <c r="X49" s="577"/>
      <c r="Y49" s="1494"/>
      <c r="Z49" s="841"/>
      <c r="AA49" s="577"/>
      <c r="AB49" s="1494"/>
      <c r="AC49" s="841"/>
      <c r="AD49" s="577"/>
      <c r="AE49" s="1494"/>
      <c r="AF49" s="841"/>
      <c r="AG49" s="577"/>
      <c r="AH49" s="1494"/>
      <c r="AI49" s="841"/>
      <c r="AJ49" s="577"/>
      <c r="AK49" s="1494"/>
      <c r="AL49" s="841"/>
      <c r="AM49" s="577"/>
      <c r="AN49" s="1494"/>
      <c r="AO49" s="841"/>
      <c r="AP49" s="577"/>
    </row>
    <row r="50" spans="1:42" ht="30" customHeight="1" x14ac:dyDescent="0.2">
      <c r="A50" s="1485"/>
      <c r="B50" s="576"/>
      <c r="C50" s="577"/>
      <c r="D50" s="1494"/>
      <c r="E50" s="841"/>
      <c r="F50" s="577"/>
      <c r="G50" s="1494"/>
      <c r="H50" s="841"/>
      <c r="I50" s="577"/>
      <c r="J50" s="1494"/>
      <c r="K50" s="841"/>
      <c r="L50" s="577"/>
      <c r="M50" s="1494"/>
      <c r="N50" s="841"/>
      <c r="O50" s="577"/>
      <c r="P50" s="1494"/>
      <c r="Q50" s="841"/>
      <c r="R50" s="577"/>
      <c r="S50" s="1494"/>
      <c r="T50" s="841"/>
      <c r="U50" s="577"/>
      <c r="V50" s="1494"/>
      <c r="W50" s="841"/>
      <c r="X50" s="577"/>
      <c r="Y50" s="1494"/>
      <c r="Z50" s="841"/>
      <c r="AA50" s="577"/>
      <c r="AB50" s="1494"/>
      <c r="AC50" s="841"/>
      <c r="AD50" s="577"/>
      <c r="AE50" s="1494"/>
      <c r="AF50" s="841"/>
      <c r="AG50" s="577"/>
      <c r="AH50" s="1494"/>
      <c r="AI50" s="841"/>
      <c r="AJ50" s="577"/>
      <c r="AK50" s="1494"/>
      <c r="AL50" s="841"/>
      <c r="AM50" s="577"/>
      <c r="AN50" s="1494"/>
      <c r="AO50" s="841"/>
      <c r="AP50" s="577"/>
    </row>
    <row r="51" spans="1:42" ht="30" customHeight="1" x14ac:dyDescent="0.2">
      <c r="A51" s="1485"/>
      <c r="B51" s="576"/>
      <c r="C51" s="577"/>
      <c r="D51" s="1494"/>
      <c r="E51" s="841"/>
      <c r="F51" s="577"/>
      <c r="G51" s="1494"/>
      <c r="H51" s="841"/>
      <c r="I51" s="577"/>
      <c r="J51" s="1494"/>
      <c r="K51" s="841"/>
      <c r="L51" s="577"/>
      <c r="M51" s="1494"/>
      <c r="N51" s="841"/>
      <c r="O51" s="577"/>
      <c r="P51" s="1494"/>
      <c r="Q51" s="841"/>
      <c r="R51" s="577"/>
      <c r="S51" s="1494"/>
      <c r="T51" s="841"/>
      <c r="U51" s="577"/>
      <c r="V51" s="1494"/>
      <c r="W51" s="841"/>
      <c r="X51" s="577"/>
      <c r="Y51" s="1494"/>
      <c r="Z51" s="841"/>
      <c r="AA51" s="577"/>
      <c r="AB51" s="1494"/>
      <c r="AC51" s="841"/>
      <c r="AD51" s="577"/>
      <c r="AE51" s="1494"/>
      <c r="AF51" s="841"/>
      <c r="AG51" s="577"/>
      <c r="AH51" s="1494"/>
      <c r="AI51" s="841"/>
      <c r="AJ51" s="577"/>
      <c r="AK51" s="1494"/>
      <c r="AL51" s="841"/>
      <c r="AM51" s="577"/>
      <c r="AN51" s="1494"/>
      <c r="AO51" s="841"/>
      <c r="AP51" s="577"/>
    </row>
    <row r="52" spans="1:42" ht="30" customHeight="1" x14ac:dyDescent="0.2">
      <c r="A52" s="1486"/>
      <c r="B52" s="578"/>
      <c r="C52" s="579"/>
      <c r="D52" s="1493"/>
      <c r="E52" s="842"/>
      <c r="F52" s="579"/>
      <c r="G52" s="1493"/>
      <c r="H52" s="842"/>
      <c r="I52" s="579"/>
      <c r="J52" s="1493"/>
      <c r="K52" s="842"/>
      <c r="L52" s="579"/>
      <c r="M52" s="1493"/>
      <c r="N52" s="842"/>
      <c r="O52" s="579"/>
      <c r="P52" s="1493"/>
      <c r="Q52" s="842"/>
      <c r="R52" s="579"/>
      <c r="S52" s="1493"/>
      <c r="T52" s="842"/>
      <c r="U52" s="579"/>
      <c r="V52" s="1493"/>
      <c r="W52" s="842"/>
      <c r="X52" s="579"/>
      <c r="Y52" s="1493"/>
      <c r="Z52" s="842"/>
      <c r="AA52" s="579"/>
      <c r="AB52" s="1493"/>
      <c r="AC52" s="842"/>
      <c r="AD52" s="579"/>
      <c r="AE52" s="1493"/>
      <c r="AF52" s="842"/>
      <c r="AG52" s="579"/>
      <c r="AH52" s="1493"/>
      <c r="AI52" s="842"/>
      <c r="AJ52" s="579"/>
      <c r="AK52" s="1493"/>
      <c r="AL52" s="842"/>
      <c r="AM52" s="579"/>
      <c r="AN52" s="1493"/>
      <c r="AO52" s="842"/>
      <c r="AP52" s="579"/>
    </row>
    <row r="53" spans="1:42" ht="30" customHeight="1" x14ac:dyDescent="0.2">
      <c r="A53" s="1484" t="s">
        <v>371</v>
      </c>
      <c r="B53" s="574"/>
      <c r="C53" s="575"/>
      <c r="D53" s="1487"/>
      <c r="E53" s="840"/>
      <c r="F53" s="575"/>
      <c r="G53" s="1487"/>
      <c r="H53" s="840"/>
      <c r="I53" s="575"/>
      <c r="J53" s="1487"/>
      <c r="K53" s="840"/>
      <c r="L53" s="575"/>
      <c r="M53" s="1487"/>
      <c r="N53" s="840"/>
      <c r="O53" s="575"/>
      <c r="P53" s="1487"/>
      <c r="Q53" s="840"/>
      <c r="R53" s="575"/>
      <c r="S53" s="1487"/>
      <c r="T53" s="840"/>
      <c r="U53" s="575"/>
      <c r="V53" s="1487"/>
      <c r="W53" s="840"/>
      <c r="X53" s="575"/>
      <c r="Y53" s="1487"/>
      <c r="Z53" s="840"/>
      <c r="AA53" s="575"/>
      <c r="AB53" s="1487"/>
      <c r="AC53" s="840"/>
      <c r="AD53" s="575"/>
      <c r="AE53" s="1487"/>
      <c r="AF53" s="840"/>
      <c r="AG53" s="575"/>
      <c r="AH53" s="1487"/>
      <c r="AI53" s="840"/>
      <c r="AJ53" s="575"/>
      <c r="AK53" s="1487"/>
      <c r="AL53" s="840"/>
      <c r="AM53" s="575"/>
      <c r="AN53" s="1487"/>
      <c r="AO53" s="840"/>
      <c r="AP53" s="575"/>
    </row>
    <row r="54" spans="1:42" ht="30" customHeight="1" x14ac:dyDescent="0.2">
      <c r="A54" s="1485"/>
      <c r="B54" s="576"/>
      <c r="C54" s="577"/>
      <c r="D54" s="1488"/>
      <c r="E54" s="841"/>
      <c r="F54" s="577"/>
      <c r="G54" s="1488"/>
      <c r="H54" s="841"/>
      <c r="I54" s="577"/>
      <c r="J54" s="1488"/>
      <c r="K54" s="841"/>
      <c r="L54" s="577"/>
      <c r="M54" s="1488"/>
      <c r="N54" s="841"/>
      <c r="O54" s="577"/>
      <c r="P54" s="1488"/>
      <c r="Q54" s="841"/>
      <c r="R54" s="577"/>
      <c r="S54" s="1488"/>
      <c r="T54" s="841"/>
      <c r="U54" s="577"/>
      <c r="V54" s="1488"/>
      <c r="W54" s="841"/>
      <c r="X54" s="577"/>
      <c r="Y54" s="1488"/>
      <c r="Z54" s="841"/>
      <c r="AA54" s="577"/>
      <c r="AB54" s="1488"/>
      <c r="AC54" s="841"/>
      <c r="AD54" s="577"/>
      <c r="AE54" s="1488"/>
      <c r="AF54" s="841"/>
      <c r="AG54" s="577"/>
      <c r="AH54" s="1488"/>
      <c r="AI54" s="841"/>
      <c r="AJ54" s="577"/>
      <c r="AK54" s="1488"/>
      <c r="AL54" s="841"/>
      <c r="AM54" s="577"/>
      <c r="AN54" s="1488"/>
      <c r="AO54" s="841"/>
      <c r="AP54" s="577"/>
    </row>
    <row r="55" spans="1:42" ht="30" customHeight="1" x14ac:dyDescent="0.2">
      <c r="A55" s="1486"/>
      <c r="B55" s="578"/>
      <c r="C55" s="579"/>
      <c r="D55" s="1489"/>
      <c r="E55" s="842"/>
      <c r="F55" s="579"/>
      <c r="G55" s="1489"/>
      <c r="H55" s="842"/>
      <c r="I55" s="579"/>
      <c r="J55" s="1489"/>
      <c r="K55" s="842"/>
      <c r="L55" s="579"/>
      <c r="M55" s="1489"/>
      <c r="N55" s="842"/>
      <c r="O55" s="579"/>
      <c r="P55" s="1489"/>
      <c r="Q55" s="842"/>
      <c r="R55" s="579"/>
      <c r="S55" s="1489"/>
      <c r="T55" s="842"/>
      <c r="U55" s="579"/>
      <c r="V55" s="1489"/>
      <c r="W55" s="842"/>
      <c r="X55" s="579"/>
      <c r="Y55" s="1489"/>
      <c r="Z55" s="842"/>
      <c r="AA55" s="579"/>
      <c r="AB55" s="1489"/>
      <c r="AC55" s="842"/>
      <c r="AD55" s="579"/>
      <c r="AE55" s="1489"/>
      <c r="AF55" s="842"/>
      <c r="AG55" s="579"/>
      <c r="AH55" s="1489"/>
      <c r="AI55" s="842"/>
      <c r="AJ55" s="579"/>
      <c r="AK55" s="1489"/>
      <c r="AL55" s="842"/>
      <c r="AM55" s="579"/>
      <c r="AN55" s="1489"/>
      <c r="AO55" s="842"/>
      <c r="AP55" s="579"/>
    </row>
    <row r="56" spans="1:42" ht="30" customHeight="1" x14ac:dyDescent="0.2">
      <c r="A56" s="1484" t="s">
        <v>293</v>
      </c>
      <c r="B56" s="574"/>
      <c r="C56" s="575"/>
      <c r="D56" s="1487"/>
      <c r="E56" s="840"/>
      <c r="F56" s="575"/>
      <c r="G56" s="1487"/>
      <c r="H56" s="840"/>
      <c r="I56" s="575"/>
      <c r="J56" s="1487"/>
      <c r="K56" s="840"/>
      <c r="L56" s="575"/>
      <c r="M56" s="1487"/>
      <c r="N56" s="840"/>
      <c r="O56" s="575"/>
      <c r="P56" s="1487"/>
      <c r="Q56" s="840"/>
      <c r="R56" s="575"/>
      <c r="S56" s="1487"/>
      <c r="T56" s="840"/>
      <c r="U56" s="575"/>
      <c r="V56" s="1487"/>
      <c r="W56" s="840"/>
      <c r="X56" s="575"/>
      <c r="Y56" s="1487"/>
      <c r="Z56" s="840"/>
      <c r="AA56" s="575"/>
      <c r="AB56" s="1487"/>
      <c r="AC56" s="840"/>
      <c r="AD56" s="575"/>
      <c r="AE56" s="1487"/>
      <c r="AF56" s="840"/>
      <c r="AG56" s="575"/>
      <c r="AH56" s="1487"/>
      <c r="AI56" s="840"/>
      <c r="AJ56" s="575"/>
      <c r="AK56" s="1487"/>
      <c r="AL56" s="840"/>
      <c r="AM56" s="575"/>
      <c r="AN56" s="1487"/>
      <c r="AO56" s="840"/>
      <c r="AP56" s="575"/>
    </row>
    <row r="57" spans="1:42" ht="30" customHeight="1" x14ac:dyDescent="0.2">
      <c r="A57" s="1485"/>
      <c r="B57" s="576"/>
      <c r="C57" s="577"/>
      <c r="D57" s="1488"/>
      <c r="E57" s="841"/>
      <c r="F57" s="577"/>
      <c r="G57" s="1488"/>
      <c r="H57" s="841"/>
      <c r="I57" s="577"/>
      <c r="J57" s="1488"/>
      <c r="K57" s="841"/>
      <c r="L57" s="577"/>
      <c r="M57" s="1488"/>
      <c r="N57" s="841"/>
      <c r="O57" s="577"/>
      <c r="P57" s="1488"/>
      <c r="Q57" s="841"/>
      <c r="R57" s="577"/>
      <c r="S57" s="1488"/>
      <c r="T57" s="841"/>
      <c r="U57" s="577"/>
      <c r="V57" s="1488"/>
      <c r="W57" s="841"/>
      <c r="X57" s="577"/>
      <c r="Y57" s="1488"/>
      <c r="Z57" s="841"/>
      <c r="AA57" s="577"/>
      <c r="AB57" s="1488"/>
      <c r="AC57" s="841"/>
      <c r="AD57" s="577"/>
      <c r="AE57" s="1488"/>
      <c r="AF57" s="841"/>
      <c r="AG57" s="577"/>
      <c r="AH57" s="1488"/>
      <c r="AI57" s="841"/>
      <c r="AJ57" s="577"/>
      <c r="AK57" s="1488"/>
      <c r="AL57" s="841"/>
      <c r="AM57" s="577"/>
      <c r="AN57" s="1488"/>
      <c r="AO57" s="841"/>
      <c r="AP57" s="577"/>
    </row>
    <row r="58" spans="1:42" ht="30" customHeight="1" x14ac:dyDescent="0.2">
      <c r="A58" s="1486"/>
      <c r="B58" s="578"/>
      <c r="C58" s="579"/>
      <c r="D58" s="1489"/>
      <c r="E58" s="842"/>
      <c r="F58" s="579"/>
      <c r="G58" s="1489"/>
      <c r="H58" s="842"/>
      <c r="I58" s="579"/>
      <c r="J58" s="1489"/>
      <c r="K58" s="842"/>
      <c r="L58" s="579"/>
      <c r="M58" s="1489"/>
      <c r="N58" s="842"/>
      <c r="O58" s="579"/>
      <c r="P58" s="1489"/>
      <c r="Q58" s="842"/>
      <c r="R58" s="579"/>
      <c r="S58" s="1489"/>
      <c r="T58" s="842"/>
      <c r="U58" s="579"/>
      <c r="V58" s="1489"/>
      <c r="W58" s="842"/>
      <c r="X58" s="579"/>
      <c r="Y58" s="1489"/>
      <c r="Z58" s="842"/>
      <c r="AA58" s="579"/>
      <c r="AB58" s="1489"/>
      <c r="AC58" s="842"/>
      <c r="AD58" s="579"/>
      <c r="AE58" s="1489"/>
      <c r="AF58" s="842"/>
      <c r="AG58" s="579"/>
      <c r="AH58" s="1489"/>
      <c r="AI58" s="842"/>
      <c r="AJ58" s="579"/>
      <c r="AK58" s="1489"/>
      <c r="AL58" s="842"/>
      <c r="AM58" s="579"/>
      <c r="AN58" s="1489"/>
      <c r="AO58" s="842"/>
      <c r="AP58" s="579"/>
    </row>
    <row r="59" spans="1:42" s="573" customFormat="1" ht="30" customHeight="1" x14ac:dyDescent="0.2">
      <c r="A59" s="570" t="s">
        <v>372</v>
      </c>
      <c r="B59" s="580"/>
      <c r="C59" s="581"/>
      <c r="D59" s="571"/>
      <c r="E59" s="582"/>
      <c r="F59" s="581"/>
      <c r="G59" s="571"/>
      <c r="H59" s="582"/>
      <c r="I59" s="581"/>
      <c r="J59" s="571"/>
      <c r="K59" s="582"/>
      <c r="L59" s="581"/>
      <c r="M59" s="571"/>
      <c r="N59" s="582"/>
      <c r="O59" s="581"/>
      <c r="P59" s="571"/>
      <c r="Q59" s="582"/>
      <c r="R59" s="581"/>
      <c r="S59" s="571"/>
      <c r="T59" s="582"/>
      <c r="U59" s="581"/>
      <c r="V59" s="571"/>
      <c r="W59" s="582"/>
      <c r="X59" s="581"/>
      <c r="Y59" s="571"/>
      <c r="Z59" s="582"/>
      <c r="AA59" s="581"/>
      <c r="AB59" s="571"/>
      <c r="AC59" s="582"/>
      <c r="AD59" s="581"/>
      <c r="AE59" s="571"/>
      <c r="AF59" s="582"/>
      <c r="AG59" s="581"/>
      <c r="AH59" s="571"/>
      <c r="AI59" s="582"/>
      <c r="AJ59" s="581"/>
      <c r="AK59" s="571"/>
      <c r="AL59" s="582"/>
      <c r="AM59" s="581"/>
      <c r="AN59" s="571"/>
      <c r="AO59" s="582"/>
      <c r="AP59" s="581"/>
    </row>
    <row r="60" spans="1:42" s="573" customFormat="1" ht="30" customHeight="1" x14ac:dyDescent="0.2">
      <c r="A60" s="1484" t="s">
        <v>373</v>
      </c>
      <c r="B60" s="583"/>
      <c r="C60" s="584"/>
      <c r="D60" s="1492"/>
      <c r="E60" s="840"/>
      <c r="F60" s="584"/>
      <c r="G60" s="1492"/>
      <c r="H60" s="840"/>
      <c r="I60" s="584"/>
      <c r="J60" s="1492"/>
      <c r="K60" s="840"/>
      <c r="L60" s="584"/>
      <c r="M60" s="1492"/>
      <c r="N60" s="840"/>
      <c r="O60" s="584"/>
      <c r="P60" s="1492"/>
      <c r="Q60" s="840"/>
      <c r="R60" s="584"/>
      <c r="S60" s="1492"/>
      <c r="T60" s="840"/>
      <c r="U60" s="584"/>
      <c r="V60" s="1492"/>
      <c r="W60" s="840"/>
      <c r="X60" s="584"/>
      <c r="Y60" s="1492"/>
      <c r="Z60" s="840"/>
      <c r="AA60" s="584"/>
      <c r="AB60" s="1492"/>
      <c r="AC60" s="840"/>
      <c r="AD60" s="584"/>
      <c r="AE60" s="1492"/>
      <c r="AF60" s="840"/>
      <c r="AG60" s="584"/>
      <c r="AH60" s="1492"/>
      <c r="AI60" s="840"/>
      <c r="AJ60" s="584"/>
      <c r="AK60" s="1492"/>
      <c r="AL60" s="840"/>
      <c r="AM60" s="584"/>
      <c r="AN60" s="1492"/>
      <c r="AO60" s="840"/>
      <c r="AP60" s="584"/>
    </row>
    <row r="61" spans="1:42" ht="30" customHeight="1" x14ac:dyDescent="0.2">
      <c r="A61" s="1486"/>
      <c r="B61" s="578"/>
      <c r="C61" s="579"/>
      <c r="D61" s="1493"/>
      <c r="E61" s="842"/>
      <c r="F61" s="579"/>
      <c r="G61" s="1493"/>
      <c r="H61" s="842"/>
      <c r="I61" s="579"/>
      <c r="J61" s="1493"/>
      <c r="K61" s="842"/>
      <c r="L61" s="579"/>
      <c r="M61" s="1493"/>
      <c r="N61" s="842"/>
      <c r="O61" s="579"/>
      <c r="P61" s="1493"/>
      <c r="Q61" s="842"/>
      <c r="R61" s="579"/>
      <c r="S61" s="1493"/>
      <c r="T61" s="842"/>
      <c r="U61" s="579"/>
      <c r="V61" s="1493"/>
      <c r="W61" s="842"/>
      <c r="X61" s="579"/>
      <c r="Y61" s="1493"/>
      <c r="Z61" s="842"/>
      <c r="AA61" s="579"/>
      <c r="AB61" s="1493"/>
      <c r="AC61" s="842"/>
      <c r="AD61" s="579"/>
      <c r="AE61" s="1493"/>
      <c r="AF61" s="842"/>
      <c r="AG61" s="579"/>
      <c r="AH61" s="1493"/>
      <c r="AI61" s="842"/>
      <c r="AJ61" s="579"/>
      <c r="AK61" s="1493"/>
      <c r="AL61" s="842"/>
      <c r="AM61" s="579"/>
      <c r="AN61" s="1493"/>
      <c r="AO61" s="842"/>
      <c r="AP61" s="579"/>
    </row>
    <row r="62" spans="1:42" ht="30" customHeight="1" x14ac:dyDescent="0.2">
      <c r="A62" s="1484" t="s">
        <v>374</v>
      </c>
      <c r="B62" s="574"/>
      <c r="C62" s="575"/>
      <c r="D62" s="1492"/>
      <c r="E62" s="840"/>
      <c r="F62" s="835"/>
      <c r="G62" s="1492"/>
      <c r="H62" s="840"/>
      <c r="I62" s="835"/>
      <c r="J62" s="1492"/>
      <c r="K62" s="840"/>
      <c r="L62" s="835"/>
      <c r="M62" s="1492"/>
      <c r="N62" s="840"/>
      <c r="O62" s="835"/>
      <c r="P62" s="1492"/>
      <c r="Q62" s="840"/>
      <c r="R62" s="835"/>
      <c r="S62" s="1492"/>
      <c r="T62" s="840"/>
      <c r="U62" s="835"/>
      <c r="V62" s="1492"/>
      <c r="W62" s="840"/>
      <c r="X62" s="835"/>
      <c r="Y62" s="1492"/>
      <c r="Z62" s="840"/>
      <c r="AA62" s="835"/>
      <c r="AB62" s="1492"/>
      <c r="AC62" s="840"/>
      <c r="AD62" s="575"/>
      <c r="AE62" s="1492"/>
      <c r="AF62" s="840"/>
      <c r="AG62" s="835"/>
      <c r="AH62" s="1492"/>
      <c r="AI62" s="840"/>
      <c r="AJ62" s="575"/>
      <c r="AK62" s="1492"/>
      <c r="AL62" s="840"/>
      <c r="AM62" s="575"/>
      <c r="AN62" s="1492"/>
      <c r="AO62" s="840"/>
      <c r="AP62" s="835"/>
    </row>
    <row r="63" spans="1:42" ht="30" customHeight="1" x14ac:dyDescent="0.2">
      <c r="A63" s="1486"/>
      <c r="B63" s="578"/>
      <c r="C63" s="579"/>
      <c r="D63" s="1493"/>
      <c r="E63" s="842"/>
      <c r="F63" s="848"/>
      <c r="G63" s="1493"/>
      <c r="H63" s="842"/>
      <c r="I63" s="848"/>
      <c r="J63" s="1493"/>
      <c r="K63" s="842"/>
      <c r="L63" s="848"/>
      <c r="M63" s="1493"/>
      <c r="N63" s="842"/>
      <c r="O63" s="848"/>
      <c r="P63" s="1493"/>
      <c r="Q63" s="842"/>
      <c r="R63" s="848"/>
      <c r="S63" s="1493"/>
      <c r="T63" s="842"/>
      <c r="U63" s="848"/>
      <c r="V63" s="1493"/>
      <c r="W63" s="842"/>
      <c r="X63" s="579"/>
      <c r="Y63" s="1493"/>
      <c r="Z63" s="842"/>
      <c r="AA63" s="579"/>
      <c r="AB63" s="1493"/>
      <c r="AC63" s="842"/>
      <c r="AD63" s="579"/>
      <c r="AE63" s="1493"/>
      <c r="AF63" s="842"/>
      <c r="AG63" s="579"/>
      <c r="AH63" s="1493"/>
      <c r="AI63" s="842"/>
      <c r="AJ63" s="579"/>
      <c r="AK63" s="1493"/>
      <c r="AL63" s="842"/>
      <c r="AM63" s="579"/>
      <c r="AN63" s="1493"/>
      <c r="AO63" s="842"/>
      <c r="AP63" s="579"/>
    </row>
    <row r="64" spans="1:42" ht="30" customHeight="1" x14ac:dyDescent="0.2">
      <c r="A64" s="1484" t="s">
        <v>272</v>
      </c>
      <c r="B64" s="574"/>
      <c r="C64" s="575"/>
      <c r="D64" s="1492"/>
      <c r="E64" s="840"/>
      <c r="F64" s="575"/>
      <c r="G64" s="1492"/>
      <c r="H64" s="840"/>
      <c r="I64" s="575"/>
      <c r="J64" s="1492"/>
      <c r="K64" s="840"/>
      <c r="L64" s="575"/>
      <c r="M64" s="1492"/>
      <c r="N64" s="840"/>
      <c r="O64" s="575"/>
      <c r="P64" s="1492"/>
      <c r="Q64" s="840"/>
      <c r="R64" s="575"/>
      <c r="S64" s="1492"/>
      <c r="T64" s="840"/>
      <c r="U64" s="575"/>
      <c r="V64" s="1492"/>
      <c r="W64" s="840"/>
      <c r="X64" s="575"/>
      <c r="Y64" s="1492"/>
      <c r="Z64" s="840"/>
      <c r="AA64" s="575"/>
      <c r="AB64" s="1492"/>
      <c r="AC64" s="840"/>
      <c r="AD64" s="575"/>
      <c r="AE64" s="1492"/>
      <c r="AF64" s="840"/>
      <c r="AG64" s="575"/>
      <c r="AH64" s="1492"/>
      <c r="AI64" s="840"/>
      <c r="AJ64" s="575"/>
      <c r="AK64" s="1492"/>
      <c r="AL64" s="840"/>
      <c r="AM64" s="575"/>
      <c r="AN64" s="1492"/>
      <c r="AO64" s="840"/>
      <c r="AP64" s="575"/>
    </row>
    <row r="65" spans="1:42" ht="30" customHeight="1" x14ac:dyDescent="0.2">
      <c r="A65" s="1486"/>
      <c r="B65" s="578"/>
      <c r="C65" s="579"/>
      <c r="D65" s="1493"/>
      <c r="E65" s="842"/>
      <c r="F65" s="579"/>
      <c r="G65" s="1493"/>
      <c r="H65" s="842"/>
      <c r="I65" s="579"/>
      <c r="J65" s="1493"/>
      <c r="K65" s="842"/>
      <c r="L65" s="579"/>
      <c r="M65" s="1493"/>
      <c r="N65" s="842"/>
      <c r="O65" s="579"/>
      <c r="P65" s="1493"/>
      <c r="Q65" s="842"/>
      <c r="R65" s="579"/>
      <c r="S65" s="1493"/>
      <c r="T65" s="842"/>
      <c r="U65" s="579"/>
      <c r="V65" s="1493"/>
      <c r="W65" s="842"/>
      <c r="X65" s="579"/>
      <c r="Y65" s="1493"/>
      <c r="Z65" s="842"/>
      <c r="AA65" s="579"/>
      <c r="AB65" s="1493"/>
      <c r="AC65" s="842"/>
      <c r="AD65" s="579"/>
      <c r="AE65" s="1493"/>
      <c r="AF65" s="842"/>
      <c r="AG65" s="579"/>
      <c r="AH65" s="1493"/>
      <c r="AI65" s="842"/>
      <c r="AJ65" s="579"/>
      <c r="AK65" s="1493"/>
      <c r="AL65" s="842"/>
      <c r="AM65" s="579"/>
      <c r="AN65" s="1493"/>
      <c r="AO65" s="842"/>
      <c r="AP65" s="579"/>
    </row>
    <row r="66" spans="1:42" ht="30" customHeight="1" x14ac:dyDescent="0.2">
      <c r="A66" s="1484" t="s">
        <v>375</v>
      </c>
      <c r="B66" s="574"/>
      <c r="C66" s="575"/>
      <c r="D66" s="1492"/>
      <c r="E66" s="840"/>
      <c r="F66" s="575"/>
      <c r="G66" s="1492"/>
      <c r="H66" s="840"/>
      <c r="I66" s="575"/>
      <c r="J66" s="1492"/>
      <c r="K66" s="840"/>
      <c r="L66" s="575"/>
      <c r="M66" s="1492"/>
      <c r="N66" s="840"/>
      <c r="O66" s="575"/>
      <c r="P66" s="1492"/>
      <c r="Q66" s="840"/>
      <c r="R66" s="575"/>
      <c r="S66" s="1492"/>
      <c r="T66" s="840"/>
      <c r="U66" s="575"/>
      <c r="V66" s="1492"/>
      <c r="W66" s="840"/>
      <c r="X66" s="575"/>
      <c r="Y66" s="1492"/>
      <c r="Z66" s="840"/>
      <c r="AA66" s="575"/>
      <c r="AB66" s="1492"/>
      <c r="AC66" s="840"/>
      <c r="AD66" s="575"/>
      <c r="AE66" s="1492"/>
      <c r="AF66" s="840"/>
      <c r="AG66" s="575"/>
      <c r="AH66" s="1492"/>
      <c r="AI66" s="840"/>
      <c r="AJ66" s="575"/>
      <c r="AK66" s="1492"/>
      <c r="AL66" s="840"/>
      <c r="AM66" s="575"/>
      <c r="AN66" s="1492"/>
      <c r="AO66" s="840"/>
      <c r="AP66" s="575"/>
    </row>
    <row r="67" spans="1:42" ht="30" customHeight="1" x14ac:dyDescent="0.2">
      <c r="A67" s="1486"/>
      <c r="B67" s="578"/>
      <c r="C67" s="579"/>
      <c r="D67" s="1493"/>
      <c r="E67" s="842"/>
      <c r="F67" s="579"/>
      <c r="G67" s="1493"/>
      <c r="H67" s="842"/>
      <c r="I67" s="579"/>
      <c r="J67" s="1493"/>
      <c r="K67" s="842"/>
      <c r="L67" s="579"/>
      <c r="M67" s="1493"/>
      <c r="N67" s="842"/>
      <c r="O67" s="579"/>
      <c r="P67" s="1493"/>
      <c r="Q67" s="842"/>
      <c r="R67" s="579"/>
      <c r="S67" s="1493"/>
      <c r="T67" s="842"/>
      <c r="U67" s="579"/>
      <c r="V67" s="1493"/>
      <c r="W67" s="842"/>
      <c r="X67" s="579"/>
      <c r="Y67" s="1493"/>
      <c r="Z67" s="842"/>
      <c r="AA67" s="579"/>
      <c r="AB67" s="1493"/>
      <c r="AC67" s="842"/>
      <c r="AD67" s="579"/>
      <c r="AE67" s="1493"/>
      <c r="AF67" s="842"/>
      <c r="AG67" s="579"/>
      <c r="AH67" s="1493"/>
      <c r="AI67" s="842"/>
      <c r="AJ67" s="579"/>
      <c r="AK67" s="1493"/>
      <c r="AL67" s="842"/>
      <c r="AM67" s="579"/>
      <c r="AN67" s="1493"/>
      <c r="AO67" s="842"/>
      <c r="AP67" s="579"/>
    </row>
    <row r="68" spans="1:42" ht="30" customHeight="1" x14ac:dyDescent="0.2">
      <c r="A68" s="1502" t="s">
        <v>376</v>
      </c>
      <c r="B68" s="574"/>
      <c r="C68" s="575"/>
      <c r="D68" s="1492"/>
      <c r="E68" s="840"/>
      <c r="F68" s="575"/>
      <c r="G68" s="1492"/>
      <c r="H68" s="840"/>
      <c r="I68" s="575"/>
      <c r="J68" s="1492"/>
      <c r="K68" s="840"/>
      <c r="L68" s="575"/>
      <c r="M68" s="1492"/>
      <c r="N68" s="840"/>
      <c r="O68" s="575"/>
      <c r="P68" s="1492"/>
      <c r="Q68" s="840"/>
      <c r="R68" s="575"/>
      <c r="S68" s="1492"/>
      <c r="T68" s="840"/>
      <c r="U68" s="575"/>
      <c r="V68" s="1492"/>
      <c r="W68" s="840"/>
      <c r="X68" s="575"/>
      <c r="Y68" s="1492"/>
      <c r="Z68" s="840"/>
      <c r="AA68" s="575"/>
      <c r="AB68" s="1492"/>
      <c r="AC68" s="840"/>
      <c r="AD68" s="575"/>
      <c r="AE68" s="1492"/>
      <c r="AF68" s="840"/>
      <c r="AG68" s="575"/>
      <c r="AH68" s="1492"/>
      <c r="AI68" s="840"/>
      <c r="AJ68" s="575"/>
      <c r="AK68" s="1492"/>
      <c r="AL68" s="840"/>
      <c r="AM68" s="575"/>
      <c r="AN68" s="1492"/>
      <c r="AO68" s="840"/>
      <c r="AP68" s="575"/>
    </row>
    <row r="69" spans="1:42" ht="30" customHeight="1" x14ac:dyDescent="0.2">
      <c r="A69" s="1486"/>
      <c r="B69" s="578"/>
      <c r="C69" s="579"/>
      <c r="D69" s="1493"/>
      <c r="E69" s="842"/>
      <c r="F69" s="579"/>
      <c r="G69" s="1493"/>
      <c r="H69" s="842"/>
      <c r="I69" s="579"/>
      <c r="J69" s="1493"/>
      <c r="K69" s="842"/>
      <c r="L69" s="579"/>
      <c r="M69" s="1493"/>
      <c r="N69" s="842"/>
      <c r="O69" s="579"/>
      <c r="P69" s="1493"/>
      <c r="Q69" s="842"/>
      <c r="R69" s="579"/>
      <c r="S69" s="1493"/>
      <c r="T69" s="842"/>
      <c r="U69" s="579"/>
      <c r="V69" s="1493"/>
      <c r="W69" s="842"/>
      <c r="X69" s="579"/>
      <c r="Y69" s="1493"/>
      <c r="Z69" s="842"/>
      <c r="AA69" s="579"/>
      <c r="AB69" s="1493"/>
      <c r="AC69" s="842"/>
      <c r="AD69" s="579"/>
      <c r="AE69" s="1493"/>
      <c r="AF69" s="842"/>
      <c r="AG69" s="579"/>
      <c r="AH69" s="1493"/>
      <c r="AI69" s="842"/>
      <c r="AJ69" s="579"/>
      <c r="AK69" s="1493"/>
      <c r="AL69" s="842"/>
      <c r="AM69" s="579"/>
      <c r="AN69" s="1493"/>
      <c r="AO69" s="842"/>
      <c r="AP69" s="579"/>
    </row>
    <row r="70" spans="1:42" ht="30" customHeight="1" x14ac:dyDescent="0.2">
      <c r="A70" s="1502" t="s">
        <v>377</v>
      </c>
      <c r="B70" s="574"/>
      <c r="C70" s="575"/>
      <c r="D70" s="1492"/>
      <c r="E70" s="840"/>
      <c r="F70" s="575"/>
      <c r="G70" s="1492"/>
      <c r="H70" s="840"/>
      <c r="I70" s="575"/>
      <c r="J70" s="1492"/>
      <c r="K70" s="840"/>
      <c r="L70" s="575"/>
      <c r="M70" s="1492"/>
      <c r="N70" s="840"/>
      <c r="O70" s="575"/>
      <c r="P70" s="1492"/>
      <c r="Q70" s="840"/>
      <c r="R70" s="575"/>
      <c r="S70" s="1492"/>
      <c r="T70" s="840"/>
      <c r="U70" s="575"/>
      <c r="V70" s="1492"/>
      <c r="W70" s="840"/>
      <c r="X70" s="575"/>
      <c r="Y70" s="1492"/>
      <c r="Z70" s="840"/>
      <c r="AA70" s="575"/>
      <c r="AB70" s="1492"/>
      <c r="AC70" s="840"/>
      <c r="AD70" s="575"/>
      <c r="AE70" s="1492"/>
      <c r="AF70" s="840"/>
      <c r="AG70" s="575"/>
      <c r="AH70" s="1492"/>
      <c r="AI70" s="840"/>
      <c r="AJ70" s="575"/>
      <c r="AK70" s="1492"/>
      <c r="AL70" s="840"/>
      <c r="AM70" s="575"/>
      <c r="AN70" s="1492"/>
      <c r="AO70" s="840"/>
      <c r="AP70" s="575"/>
    </row>
    <row r="71" spans="1:42" ht="30" customHeight="1" x14ac:dyDescent="0.2">
      <c r="A71" s="1486"/>
      <c r="B71" s="578"/>
      <c r="C71" s="579"/>
      <c r="D71" s="1493"/>
      <c r="E71" s="842"/>
      <c r="F71" s="579"/>
      <c r="G71" s="1493"/>
      <c r="H71" s="842"/>
      <c r="I71" s="579"/>
      <c r="J71" s="1493"/>
      <c r="K71" s="842"/>
      <c r="L71" s="579"/>
      <c r="M71" s="1493"/>
      <c r="N71" s="842"/>
      <c r="O71" s="579"/>
      <c r="P71" s="1493"/>
      <c r="Q71" s="842"/>
      <c r="R71" s="579"/>
      <c r="S71" s="1493"/>
      <c r="T71" s="842"/>
      <c r="U71" s="579"/>
      <c r="V71" s="1493"/>
      <c r="W71" s="842"/>
      <c r="X71" s="579"/>
      <c r="Y71" s="1493"/>
      <c r="Z71" s="842"/>
      <c r="AA71" s="579"/>
      <c r="AB71" s="1493"/>
      <c r="AC71" s="842"/>
      <c r="AD71" s="579"/>
      <c r="AE71" s="1493"/>
      <c r="AF71" s="842"/>
      <c r="AG71" s="579"/>
      <c r="AH71" s="1493"/>
      <c r="AI71" s="842"/>
      <c r="AJ71" s="579"/>
      <c r="AK71" s="1493"/>
      <c r="AL71" s="842"/>
      <c r="AM71" s="579"/>
      <c r="AN71" s="1493"/>
      <c r="AO71" s="842"/>
      <c r="AP71" s="579"/>
    </row>
    <row r="72" spans="1:42" ht="30" customHeight="1" x14ac:dyDescent="0.2">
      <c r="A72" s="1502" t="s">
        <v>378</v>
      </c>
      <c r="B72" s="574"/>
      <c r="C72" s="575"/>
      <c r="D72" s="1492"/>
      <c r="E72" s="840"/>
      <c r="F72" s="575"/>
      <c r="G72" s="1492"/>
      <c r="H72" s="840"/>
      <c r="I72" s="575"/>
      <c r="J72" s="1492"/>
      <c r="K72" s="840"/>
      <c r="L72" s="575"/>
      <c r="M72" s="1492"/>
      <c r="N72" s="840"/>
      <c r="O72" s="575"/>
      <c r="P72" s="1492"/>
      <c r="Q72" s="840"/>
      <c r="R72" s="575"/>
      <c r="S72" s="1492"/>
      <c r="T72" s="840"/>
      <c r="U72" s="575"/>
      <c r="V72" s="1492"/>
      <c r="W72" s="840"/>
      <c r="X72" s="575"/>
      <c r="Y72" s="1492"/>
      <c r="Z72" s="840"/>
      <c r="AA72" s="575"/>
      <c r="AB72" s="1492"/>
      <c r="AC72" s="840"/>
      <c r="AD72" s="575"/>
      <c r="AE72" s="1492"/>
      <c r="AF72" s="840"/>
      <c r="AG72" s="575"/>
      <c r="AH72" s="1492"/>
      <c r="AI72" s="840"/>
      <c r="AJ72" s="575"/>
      <c r="AK72" s="1492"/>
      <c r="AL72" s="840"/>
      <c r="AM72" s="575"/>
      <c r="AN72" s="1492"/>
      <c r="AO72" s="840"/>
      <c r="AP72" s="575"/>
    </row>
    <row r="73" spans="1:42" ht="30" customHeight="1" x14ac:dyDescent="0.2">
      <c r="A73" s="1486"/>
      <c r="B73" s="578"/>
      <c r="C73" s="579"/>
      <c r="D73" s="1493"/>
      <c r="E73" s="842"/>
      <c r="F73" s="579"/>
      <c r="G73" s="1493"/>
      <c r="H73" s="842"/>
      <c r="I73" s="579"/>
      <c r="J73" s="1493"/>
      <c r="K73" s="842"/>
      <c r="L73" s="579"/>
      <c r="M73" s="1493"/>
      <c r="N73" s="842"/>
      <c r="O73" s="579"/>
      <c r="P73" s="1493"/>
      <c r="Q73" s="842"/>
      <c r="R73" s="579"/>
      <c r="S73" s="1493"/>
      <c r="T73" s="842"/>
      <c r="U73" s="579"/>
      <c r="V73" s="1493"/>
      <c r="W73" s="842"/>
      <c r="X73" s="579"/>
      <c r="Y73" s="1493"/>
      <c r="Z73" s="842"/>
      <c r="AA73" s="579"/>
      <c r="AB73" s="1493"/>
      <c r="AC73" s="842"/>
      <c r="AD73" s="579"/>
      <c r="AE73" s="1493"/>
      <c r="AF73" s="842"/>
      <c r="AG73" s="579"/>
      <c r="AH73" s="1493"/>
      <c r="AI73" s="842"/>
      <c r="AJ73" s="579"/>
      <c r="AK73" s="1493"/>
      <c r="AL73" s="842"/>
      <c r="AM73" s="579"/>
      <c r="AN73" s="1493"/>
      <c r="AO73" s="842"/>
      <c r="AP73" s="579"/>
    </row>
    <row r="74" spans="1:42" ht="30" customHeight="1" x14ac:dyDescent="0.2">
      <c r="A74" s="1484" t="s">
        <v>379</v>
      </c>
      <c r="B74" s="574"/>
      <c r="C74" s="575"/>
      <c r="D74" s="1492"/>
      <c r="E74" s="840"/>
      <c r="F74" s="575"/>
      <c r="G74" s="1492"/>
      <c r="H74" s="840"/>
      <c r="I74" s="575"/>
      <c r="J74" s="1492"/>
      <c r="K74" s="840"/>
      <c r="L74" s="575"/>
      <c r="M74" s="1492"/>
      <c r="N74" s="840"/>
      <c r="O74" s="575"/>
      <c r="P74" s="1492"/>
      <c r="Q74" s="840"/>
      <c r="R74" s="575"/>
      <c r="S74" s="1492"/>
      <c r="T74" s="840"/>
      <c r="U74" s="575"/>
      <c r="V74" s="1492"/>
      <c r="W74" s="840"/>
      <c r="X74" s="575"/>
      <c r="Y74" s="1492"/>
      <c r="Z74" s="840"/>
      <c r="AA74" s="575"/>
      <c r="AB74" s="1492"/>
      <c r="AC74" s="840"/>
      <c r="AD74" s="575"/>
      <c r="AE74" s="1492"/>
      <c r="AF74" s="840"/>
      <c r="AG74" s="575"/>
      <c r="AH74" s="1492"/>
      <c r="AI74" s="840"/>
      <c r="AJ74" s="575"/>
      <c r="AK74" s="1492"/>
      <c r="AL74" s="840"/>
      <c r="AM74" s="575"/>
      <c r="AN74" s="1492"/>
      <c r="AO74" s="840"/>
      <c r="AP74" s="575"/>
    </row>
    <row r="75" spans="1:42" ht="30" customHeight="1" x14ac:dyDescent="0.2">
      <c r="A75" s="1486"/>
      <c r="B75" s="578"/>
      <c r="C75" s="579"/>
      <c r="D75" s="1493"/>
      <c r="E75" s="842"/>
      <c r="F75" s="579"/>
      <c r="G75" s="1493"/>
      <c r="H75" s="842"/>
      <c r="I75" s="579"/>
      <c r="J75" s="1493"/>
      <c r="K75" s="842"/>
      <c r="L75" s="579"/>
      <c r="M75" s="1493"/>
      <c r="N75" s="842"/>
      <c r="O75" s="579"/>
      <c r="P75" s="1493"/>
      <c r="Q75" s="842"/>
      <c r="R75" s="579"/>
      <c r="S75" s="1493"/>
      <c r="T75" s="842"/>
      <c r="U75" s="579"/>
      <c r="V75" s="1493"/>
      <c r="W75" s="842"/>
      <c r="X75" s="579"/>
      <c r="Y75" s="1493"/>
      <c r="Z75" s="842"/>
      <c r="AA75" s="579"/>
      <c r="AB75" s="1493"/>
      <c r="AC75" s="842"/>
      <c r="AD75" s="579"/>
      <c r="AE75" s="1493"/>
      <c r="AF75" s="842"/>
      <c r="AG75" s="579"/>
      <c r="AH75" s="1493"/>
      <c r="AI75" s="842"/>
      <c r="AJ75" s="579"/>
      <c r="AK75" s="1493"/>
      <c r="AL75" s="842"/>
      <c r="AM75" s="579"/>
      <c r="AN75" s="1493"/>
      <c r="AO75" s="842"/>
      <c r="AP75" s="579"/>
    </row>
    <row r="76" spans="1:42" s="573" customFormat="1" ht="30" customHeight="1" x14ac:dyDescent="0.2">
      <c r="A76" s="570" t="s">
        <v>380</v>
      </c>
      <c r="B76" s="580"/>
      <c r="C76" s="581"/>
      <c r="D76" s="571"/>
      <c r="E76" s="582"/>
      <c r="F76" s="581"/>
      <c r="G76" s="571"/>
      <c r="H76" s="582"/>
      <c r="I76" s="581"/>
      <c r="J76" s="571"/>
      <c r="K76" s="582"/>
      <c r="L76" s="581"/>
      <c r="M76" s="571"/>
      <c r="N76" s="582"/>
      <c r="O76" s="581"/>
      <c r="P76" s="571"/>
      <c r="Q76" s="582"/>
      <c r="R76" s="581"/>
      <c r="S76" s="571"/>
      <c r="T76" s="582"/>
      <c r="U76" s="581"/>
      <c r="V76" s="571"/>
      <c r="W76" s="582"/>
      <c r="X76" s="581"/>
      <c r="Y76" s="571"/>
      <c r="Z76" s="582"/>
      <c r="AA76" s="581"/>
      <c r="AB76" s="571"/>
      <c r="AC76" s="582"/>
      <c r="AD76" s="581"/>
      <c r="AE76" s="571"/>
      <c r="AF76" s="582"/>
      <c r="AG76" s="581"/>
      <c r="AH76" s="571"/>
      <c r="AI76" s="582"/>
      <c r="AJ76" s="581"/>
      <c r="AK76" s="571"/>
      <c r="AL76" s="582"/>
      <c r="AM76" s="581"/>
      <c r="AN76" s="571"/>
      <c r="AO76" s="582"/>
      <c r="AP76" s="581"/>
    </row>
    <row r="77" spans="1:42" ht="30" customHeight="1" x14ac:dyDescent="0.2">
      <c r="A77" s="1484" t="s">
        <v>381</v>
      </c>
      <c r="B77" s="574"/>
      <c r="C77" s="575"/>
      <c r="D77" s="1492"/>
      <c r="E77" s="840"/>
      <c r="F77" s="575"/>
      <c r="G77" s="1492"/>
      <c r="H77" s="840"/>
      <c r="I77" s="575"/>
      <c r="J77" s="1492"/>
      <c r="K77" s="840"/>
      <c r="L77" s="575"/>
      <c r="M77" s="1492"/>
      <c r="N77" s="840"/>
      <c r="O77" s="575"/>
      <c r="P77" s="1492"/>
      <c r="Q77" s="840"/>
      <c r="R77" s="575"/>
      <c r="S77" s="1492"/>
      <c r="T77" s="840"/>
      <c r="U77" s="575"/>
      <c r="V77" s="1492"/>
      <c r="W77" s="840"/>
      <c r="X77" s="575"/>
      <c r="Y77" s="1492"/>
      <c r="Z77" s="840"/>
      <c r="AA77" s="575"/>
      <c r="AB77" s="1492"/>
      <c r="AC77" s="840"/>
      <c r="AD77" s="575"/>
      <c r="AE77" s="1492"/>
      <c r="AF77" s="840"/>
      <c r="AG77" s="575"/>
      <c r="AH77" s="1492"/>
      <c r="AI77" s="840"/>
      <c r="AJ77" s="575"/>
      <c r="AK77" s="1492"/>
      <c r="AL77" s="840"/>
      <c r="AM77" s="575"/>
      <c r="AN77" s="1492"/>
      <c r="AO77" s="840"/>
      <c r="AP77" s="575"/>
    </row>
    <row r="78" spans="1:42" ht="30" customHeight="1" x14ac:dyDescent="0.2">
      <c r="A78" s="1486"/>
      <c r="B78" s="578"/>
      <c r="C78" s="579"/>
      <c r="D78" s="1493"/>
      <c r="E78" s="842"/>
      <c r="F78" s="579"/>
      <c r="G78" s="1493"/>
      <c r="H78" s="842"/>
      <c r="I78" s="579"/>
      <c r="J78" s="1493"/>
      <c r="K78" s="842"/>
      <c r="L78" s="579"/>
      <c r="M78" s="1493"/>
      <c r="N78" s="842"/>
      <c r="O78" s="579"/>
      <c r="P78" s="1493"/>
      <c r="Q78" s="842"/>
      <c r="R78" s="579"/>
      <c r="S78" s="1493"/>
      <c r="T78" s="842"/>
      <c r="U78" s="579"/>
      <c r="V78" s="1493"/>
      <c r="W78" s="842"/>
      <c r="X78" s="579"/>
      <c r="Y78" s="1493"/>
      <c r="Z78" s="842"/>
      <c r="AA78" s="579"/>
      <c r="AB78" s="1493"/>
      <c r="AC78" s="842"/>
      <c r="AD78" s="579"/>
      <c r="AE78" s="1493"/>
      <c r="AF78" s="842"/>
      <c r="AG78" s="579"/>
      <c r="AH78" s="1493"/>
      <c r="AI78" s="842"/>
      <c r="AJ78" s="579"/>
      <c r="AK78" s="1493"/>
      <c r="AL78" s="842"/>
      <c r="AM78" s="579"/>
      <c r="AN78" s="1493"/>
      <c r="AO78" s="842"/>
      <c r="AP78" s="579"/>
    </row>
    <row r="79" spans="1:42" s="573" customFormat="1" ht="30" customHeight="1" x14ac:dyDescent="0.2">
      <c r="A79" s="570" t="s">
        <v>274</v>
      </c>
      <c r="B79" s="580"/>
      <c r="C79" s="581"/>
      <c r="D79" s="571"/>
      <c r="E79" s="582"/>
      <c r="F79" s="581"/>
      <c r="G79" s="571"/>
      <c r="H79" s="582"/>
      <c r="I79" s="581"/>
      <c r="J79" s="571"/>
      <c r="K79" s="582"/>
      <c r="L79" s="581"/>
      <c r="M79" s="571"/>
      <c r="N79" s="582"/>
      <c r="O79" s="581"/>
      <c r="P79" s="571"/>
      <c r="Q79" s="582"/>
      <c r="R79" s="581"/>
      <c r="S79" s="571"/>
      <c r="T79" s="582"/>
      <c r="U79" s="581"/>
      <c r="V79" s="571"/>
      <c r="W79" s="582"/>
      <c r="X79" s="581"/>
      <c r="Y79" s="571"/>
      <c r="Z79" s="582"/>
      <c r="AA79" s="581"/>
      <c r="AB79" s="571"/>
      <c r="AC79" s="582"/>
      <c r="AD79" s="581"/>
      <c r="AE79" s="571"/>
      <c r="AF79" s="582"/>
      <c r="AG79" s="581"/>
      <c r="AH79" s="571"/>
      <c r="AI79" s="582"/>
      <c r="AJ79" s="581"/>
      <c r="AK79" s="571"/>
      <c r="AL79" s="582"/>
      <c r="AM79" s="581"/>
      <c r="AN79" s="571"/>
      <c r="AO79" s="582"/>
      <c r="AP79" s="581"/>
    </row>
    <row r="80" spans="1:42" ht="30" customHeight="1" x14ac:dyDescent="0.2">
      <c r="A80" s="1484" t="s">
        <v>382</v>
      </c>
      <c r="B80" s="574"/>
      <c r="C80" s="575"/>
      <c r="D80" s="1487"/>
      <c r="E80" s="840"/>
      <c r="F80" s="575"/>
      <c r="G80" s="1487"/>
      <c r="H80" s="840"/>
      <c r="I80" s="575"/>
      <c r="J80" s="1487"/>
      <c r="K80" s="840"/>
      <c r="L80" s="575"/>
      <c r="M80" s="1487"/>
      <c r="N80" s="840"/>
      <c r="O80" s="575"/>
      <c r="P80" s="1487"/>
      <c r="Q80" s="840"/>
      <c r="R80" s="575"/>
      <c r="S80" s="1487"/>
      <c r="T80" s="840"/>
      <c r="U80" s="575"/>
      <c r="V80" s="1487"/>
      <c r="W80" s="840"/>
      <c r="X80" s="575"/>
      <c r="Y80" s="1487"/>
      <c r="Z80" s="840"/>
      <c r="AA80" s="575"/>
      <c r="AB80" s="1487"/>
      <c r="AC80" s="840"/>
      <c r="AD80" s="575"/>
      <c r="AE80" s="1487"/>
      <c r="AF80" s="840"/>
      <c r="AG80" s="575"/>
      <c r="AH80" s="1487"/>
      <c r="AI80" s="840"/>
      <c r="AJ80" s="575"/>
      <c r="AK80" s="1487"/>
      <c r="AL80" s="840"/>
      <c r="AM80" s="575"/>
      <c r="AN80" s="1487"/>
      <c r="AO80" s="840"/>
      <c r="AP80" s="575"/>
    </row>
    <row r="81" spans="1:42" ht="30" customHeight="1" x14ac:dyDescent="0.2">
      <c r="A81" s="1485"/>
      <c r="B81" s="576"/>
      <c r="C81" s="577"/>
      <c r="D81" s="1488"/>
      <c r="E81" s="841"/>
      <c r="F81" s="577"/>
      <c r="G81" s="1488"/>
      <c r="H81" s="841"/>
      <c r="I81" s="577"/>
      <c r="J81" s="1488"/>
      <c r="K81" s="841"/>
      <c r="L81" s="577"/>
      <c r="M81" s="1488"/>
      <c r="N81" s="841"/>
      <c r="O81" s="577"/>
      <c r="P81" s="1488"/>
      <c r="Q81" s="841"/>
      <c r="R81" s="577"/>
      <c r="S81" s="1488"/>
      <c r="T81" s="841"/>
      <c r="U81" s="577"/>
      <c r="V81" s="1488"/>
      <c r="W81" s="841"/>
      <c r="X81" s="577"/>
      <c r="Y81" s="1488"/>
      <c r="Z81" s="841"/>
      <c r="AA81" s="577"/>
      <c r="AB81" s="1488"/>
      <c r="AC81" s="841"/>
      <c r="AD81" s="577"/>
      <c r="AE81" s="1488"/>
      <c r="AF81" s="841"/>
      <c r="AG81" s="577"/>
      <c r="AH81" s="1488"/>
      <c r="AI81" s="841"/>
      <c r="AJ81" s="577"/>
      <c r="AK81" s="1488"/>
      <c r="AL81" s="841"/>
      <c r="AM81" s="577"/>
      <c r="AN81" s="1488"/>
      <c r="AO81" s="841"/>
      <c r="AP81" s="577"/>
    </row>
    <row r="82" spans="1:42" ht="30" customHeight="1" x14ac:dyDescent="0.2">
      <c r="A82" s="1501"/>
      <c r="B82" s="844"/>
      <c r="C82" s="577"/>
      <c r="D82" s="1490"/>
      <c r="E82" s="841"/>
      <c r="F82" s="845"/>
      <c r="G82" s="1490"/>
      <c r="H82" s="841"/>
      <c r="I82" s="845"/>
      <c r="J82" s="1490"/>
      <c r="K82" s="841"/>
      <c r="L82" s="845"/>
      <c r="M82" s="1490"/>
      <c r="N82" s="841"/>
      <c r="O82" s="845"/>
      <c r="P82" s="1490"/>
      <c r="Q82" s="841"/>
      <c r="R82" s="845"/>
      <c r="S82" s="1490"/>
      <c r="T82" s="841"/>
      <c r="U82" s="845"/>
      <c r="V82" s="1490"/>
      <c r="W82" s="841"/>
      <c r="X82" s="845"/>
      <c r="Y82" s="1490"/>
      <c r="Z82" s="841"/>
      <c r="AA82" s="845"/>
      <c r="AB82" s="1490"/>
      <c r="AC82" s="841"/>
      <c r="AD82" s="845"/>
      <c r="AE82" s="1490"/>
      <c r="AF82" s="841"/>
      <c r="AG82" s="845"/>
      <c r="AH82" s="1490"/>
      <c r="AI82" s="841"/>
      <c r="AJ82" s="845"/>
      <c r="AK82" s="1490"/>
      <c r="AL82" s="841"/>
      <c r="AM82" s="845"/>
      <c r="AN82" s="1490"/>
      <c r="AO82" s="841"/>
      <c r="AP82" s="845"/>
    </row>
    <row r="83" spans="1:42" ht="30" customHeight="1" x14ac:dyDescent="0.2">
      <c r="A83" s="1486"/>
      <c r="B83" s="578"/>
      <c r="C83" s="579"/>
      <c r="D83" s="1489"/>
      <c r="E83" s="842"/>
      <c r="F83" s="579"/>
      <c r="G83" s="1489"/>
      <c r="H83" s="842"/>
      <c r="I83" s="579"/>
      <c r="J83" s="1489"/>
      <c r="K83" s="842"/>
      <c r="L83" s="579"/>
      <c r="M83" s="1489"/>
      <c r="N83" s="842"/>
      <c r="O83" s="579"/>
      <c r="P83" s="1489"/>
      <c r="Q83" s="842"/>
      <c r="R83" s="579"/>
      <c r="S83" s="1489"/>
      <c r="T83" s="842"/>
      <c r="U83" s="579"/>
      <c r="V83" s="1489"/>
      <c r="W83" s="842"/>
      <c r="X83" s="579"/>
      <c r="Y83" s="1489"/>
      <c r="Z83" s="842"/>
      <c r="AA83" s="579"/>
      <c r="AB83" s="1489"/>
      <c r="AC83" s="842"/>
      <c r="AD83" s="579"/>
      <c r="AE83" s="1489"/>
      <c r="AF83" s="842"/>
      <c r="AG83" s="579"/>
      <c r="AH83" s="1489"/>
      <c r="AI83" s="842"/>
      <c r="AJ83" s="579"/>
      <c r="AK83" s="1489"/>
      <c r="AL83" s="842"/>
      <c r="AM83" s="579"/>
      <c r="AN83" s="1489"/>
      <c r="AO83" s="842"/>
      <c r="AP83" s="579"/>
    </row>
    <row r="84" spans="1:42" ht="30" customHeight="1" x14ac:dyDescent="0.2">
      <c r="A84" s="1484" t="s">
        <v>383</v>
      </c>
      <c r="B84" s="574"/>
      <c r="C84" s="575"/>
      <c r="D84" s="1487"/>
      <c r="E84" s="840"/>
      <c r="F84" s="575"/>
      <c r="G84" s="1487"/>
      <c r="H84" s="840"/>
      <c r="I84" s="575"/>
      <c r="J84" s="1487"/>
      <c r="K84" s="840"/>
      <c r="L84" s="575"/>
      <c r="M84" s="1487"/>
      <c r="N84" s="840"/>
      <c r="O84" s="575"/>
      <c r="P84" s="1487"/>
      <c r="Q84" s="840"/>
      <c r="R84" s="575"/>
      <c r="S84" s="1487"/>
      <c r="T84" s="840"/>
      <c r="U84" s="575"/>
      <c r="V84" s="1487"/>
      <c r="W84" s="840"/>
      <c r="X84" s="575"/>
      <c r="Y84" s="1487"/>
      <c r="Z84" s="840"/>
      <c r="AA84" s="575"/>
      <c r="AB84" s="1487"/>
      <c r="AC84" s="840"/>
      <c r="AD84" s="575"/>
      <c r="AE84" s="1487"/>
      <c r="AF84" s="840"/>
      <c r="AG84" s="575"/>
      <c r="AH84" s="1487"/>
      <c r="AI84" s="840"/>
      <c r="AJ84" s="575"/>
      <c r="AK84" s="1487"/>
      <c r="AL84" s="840"/>
      <c r="AM84" s="575"/>
      <c r="AN84" s="1487"/>
      <c r="AO84" s="840"/>
      <c r="AP84" s="575"/>
    </row>
    <row r="85" spans="1:42" ht="30" customHeight="1" x14ac:dyDescent="0.2">
      <c r="A85" s="1485"/>
      <c r="B85" s="576"/>
      <c r="C85" s="577"/>
      <c r="D85" s="1488"/>
      <c r="E85" s="841"/>
      <c r="F85" s="577"/>
      <c r="G85" s="1488"/>
      <c r="H85" s="841"/>
      <c r="I85" s="577"/>
      <c r="J85" s="1488"/>
      <c r="K85" s="841"/>
      <c r="L85" s="577"/>
      <c r="M85" s="1488"/>
      <c r="N85" s="841"/>
      <c r="O85" s="577"/>
      <c r="P85" s="1488"/>
      <c r="Q85" s="841"/>
      <c r="R85" s="577"/>
      <c r="S85" s="1488"/>
      <c r="T85" s="841"/>
      <c r="U85" s="577"/>
      <c r="V85" s="1488"/>
      <c r="W85" s="841"/>
      <c r="X85" s="577"/>
      <c r="Y85" s="1488"/>
      <c r="Z85" s="841"/>
      <c r="AA85" s="577"/>
      <c r="AB85" s="1488"/>
      <c r="AC85" s="841"/>
      <c r="AD85" s="843"/>
      <c r="AE85" s="1488"/>
      <c r="AF85" s="841"/>
      <c r="AG85" s="577"/>
      <c r="AH85" s="1488"/>
      <c r="AI85" s="841"/>
      <c r="AJ85" s="577"/>
      <c r="AK85" s="1488"/>
      <c r="AL85" s="841"/>
      <c r="AM85" s="577"/>
      <c r="AN85" s="1488"/>
      <c r="AO85" s="841"/>
      <c r="AP85" s="843"/>
    </row>
    <row r="86" spans="1:42" ht="30" customHeight="1" x14ac:dyDescent="0.2">
      <c r="A86" s="1486"/>
      <c r="B86" s="578"/>
      <c r="C86" s="579"/>
      <c r="D86" s="1489"/>
      <c r="E86" s="842"/>
      <c r="F86" s="579"/>
      <c r="G86" s="1489"/>
      <c r="H86" s="842"/>
      <c r="I86" s="579"/>
      <c r="J86" s="1489"/>
      <c r="K86" s="842"/>
      <c r="L86" s="579"/>
      <c r="M86" s="1489"/>
      <c r="N86" s="842"/>
      <c r="O86" s="579"/>
      <c r="P86" s="1489"/>
      <c r="Q86" s="842"/>
      <c r="R86" s="579"/>
      <c r="S86" s="1489"/>
      <c r="T86" s="842"/>
      <c r="U86" s="579"/>
      <c r="V86" s="1489"/>
      <c r="W86" s="842"/>
      <c r="X86" s="579"/>
      <c r="Y86" s="1489"/>
      <c r="Z86" s="842"/>
      <c r="AA86" s="579"/>
      <c r="AB86" s="1489"/>
      <c r="AC86" s="842"/>
      <c r="AD86" s="579"/>
      <c r="AE86" s="1489"/>
      <c r="AF86" s="842"/>
      <c r="AG86" s="579"/>
      <c r="AH86" s="1489"/>
      <c r="AI86" s="842"/>
      <c r="AJ86" s="579"/>
      <c r="AK86" s="1489"/>
      <c r="AL86" s="842"/>
      <c r="AM86" s="579"/>
      <c r="AN86" s="1489"/>
      <c r="AO86" s="842"/>
      <c r="AP86" s="579"/>
    </row>
    <row r="87" spans="1:42" ht="30" customHeight="1" x14ac:dyDescent="0.2">
      <c r="A87" s="1484" t="s">
        <v>277</v>
      </c>
      <c r="B87" s="574"/>
      <c r="C87" s="575"/>
      <c r="D87" s="1487"/>
      <c r="E87" s="840"/>
      <c r="F87" s="846"/>
      <c r="G87" s="1487"/>
      <c r="H87" s="840"/>
      <c r="I87" s="846"/>
      <c r="J87" s="1487"/>
      <c r="K87" s="840"/>
      <c r="L87" s="846"/>
      <c r="M87" s="1487"/>
      <c r="N87" s="840"/>
      <c r="O87" s="846"/>
      <c r="P87" s="1487"/>
      <c r="Q87" s="840"/>
      <c r="R87" s="846"/>
      <c r="S87" s="1487"/>
      <c r="T87" s="840"/>
      <c r="U87" s="846"/>
      <c r="V87" s="1487"/>
      <c r="W87" s="840"/>
      <c r="X87" s="846"/>
      <c r="Y87" s="1487"/>
      <c r="Z87" s="840"/>
      <c r="AA87" s="846"/>
      <c r="AB87" s="1487"/>
      <c r="AC87" s="840"/>
      <c r="AD87" s="575"/>
      <c r="AE87" s="1487"/>
      <c r="AF87" s="840"/>
      <c r="AG87" s="575"/>
      <c r="AH87" s="1487"/>
      <c r="AI87" s="840"/>
      <c r="AJ87" s="575"/>
      <c r="AK87" s="1487"/>
      <c r="AL87" s="840"/>
      <c r="AM87" s="575"/>
      <c r="AN87" s="1487"/>
      <c r="AO87" s="840"/>
      <c r="AP87" s="846"/>
    </row>
    <row r="88" spans="1:42" ht="30" customHeight="1" x14ac:dyDescent="0.2">
      <c r="A88" s="1485"/>
      <c r="B88" s="850"/>
      <c r="C88" s="577"/>
      <c r="D88" s="1488"/>
      <c r="E88" s="841"/>
      <c r="F88" s="843"/>
      <c r="G88" s="1488"/>
      <c r="H88" s="841"/>
      <c r="I88" s="843"/>
      <c r="J88" s="1488"/>
      <c r="K88" s="841"/>
      <c r="L88" s="843"/>
      <c r="M88" s="1488"/>
      <c r="N88" s="841"/>
      <c r="O88" s="843"/>
      <c r="P88" s="1488"/>
      <c r="Q88" s="841"/>
      <c r="R88" s="843"/>
      <c r="S88" s="1488"/>
      <c r="T88" s="841"/>
      <c r="U88" s="843"/>
      <c r="V88" s="1488"/>
      <c r="W88" s="841"/>
      <c r="X88" s="843"/>
      <c r="Y88" s="1488"/>
      <c r="Z88" s="841"/>
      <c r="AA88" s="843"/>
      <c r="AB88" s="1488"/>
      <c r="AC88" s="841"/>
      <c r="AD88" s="843"/>
      <c r="AE88" s="1488"/>
      <c r="AF88" s="841"/>
      <c r="AG88" s="843"/>
      <c r="AH88" s="1488"/>
      <c r="AI88" s="841"/>
      <c r="AJ88" s="577"/>
      <c r="AK88" s="1488"/>
      <c r="AL88" s="841"/>
      <c r="AM88" s="577"/>
      <c r="AN88" s="1488"/>
      <c r="AO88" s="841"/>
      <c r="AP88" s="843"/>
    </row>
    <row r="89" spans="1:42" ht="30" customHeight="1" x14ac:dyDescent="0.2">
      <c r="A89" s="1501"/>
      <c r="B89" s="851"/>
      <c r="C89" s="577"/>
      <c r="D89" s="1490"/>
      <c r="E89" s="841"/>
      <c r="F89" s="845"/>
      <c r="G89" s="1490"/>
      <c r="H89" s="841"/>
      <c r="I89" s="845"/>
      <c r="J89" s="1490"/>
      <c r="K89" s="841"/>
      <c r="L89" s="845"/>
      <c r="M89" s="1490"/>
      <c r="N89" s="841"/>
      <c r="O89" s="845"/>
      <c r="P89" s="1490"/>
      <c r="Q89" s="841"/>
      <c r="R89" s="845"/>
      <c r="S89" s="1490"/>
      <c r="T89" s="841"/>
      <c r="U89" s="845"/>
      <c r="V89" s="1490"/>
      <c r="W89" s="841"/>
      <c r="X89" s="845"/>
      <c r="Y89" s="1490"/>
      <c r="Z89" s="841"/>
      <c r="AA89" s="845"/>
      <c r="AB89" s="1490"/>
      <c r="AC89" s="841"/>
      <c r="AD89" s="845"/>
      <c r="AE89" s="1490"/>
      <c r="AF89" s="841"/>
      <c r="AG89" s="845"/>
      <c r="AH89" s="1490"/>
      <c r="AI89" s="841"/>
      <c r="AJ89" s="845"/>
      <c r="AK89" s="1490"/>
      <c r="AL89" s="841"/>
      <c r="AM89" s="845"/>
      <c r="AN89" s="1490"/>
      <c r="AO89" s="841"/>
      <c r="AP89" s="845"/>
    </row>
    <row r="90" spans="1:42" ht="30" customHeight="1" x14ac:dyDescent="0.2">
      <c r="A90" s="1501"/>
      <c r="B90" s="851"/>
      <c r="C90" s="577"/>
      <c r="D90" s="1490"/>
      <c r="E90" s="841"/>
      <c r="F90" s="845"/>
      <c r="G90" s="1490"/>
      <c r="H90" s="841"/>
      <c r="I90" s="845"/>
      <c r="J90" s="1490"/>
      <c r="K90" s="841"/>
      <c r="L90" s="845"/>
      <c r="M90" s="1490"/>
      <c r="N90" s="841"/>
      <c r="O90" s="845"/>
      <c r="P90" s="1490"/>
      <c r="Q90" s="841"/>
      <c r="R90" s="845"/>
      <c r="S90" s="1490"/>
      <c r="T90" s="841"/>
      <c r="U90" s="845"/>
      <c r="V90" s="1490"/>
      <c r="W90" s="841"/>
      <c r="X90" s="845"/>
      <c r="Y90" s="1490"/>
      <c r="Z90" s="841"/>
      <c r="AA90" s="845"/>
      <c r="AB90" s="1490"/>
      <c r="AC90" s="841"/>
      <c r="AD90" s="845"/>
      <c r="AE90" s="1490"/>
      <c r="AF90" s="841"/>
      <c r="AG90" s="845"/>
      <c r="AH90" s="1490"/>
      <c r="AI90" s="841"/>
      <c r="AJ90" s="845"/>
      <c r="AK90" s="1490"/>
      <c r="AL90" s="841"/>
      <c r="AM90" s="845"/>
      <c r="AN90" s="1490"/>
      <c r="AO90" s="841"/>
      <c r="AP90" s="845"/>
    </row>
    <row r="91" spans="1:42" ht="30" customHeight="1" x14ac:dyDescent="0.2">
      <c r="A91" s="1501"/>
      <c r="B91" s="847"/>
      <c r="C91" s="843"/>
      <c r="D91" s="1490"/>
      <c r="E91" s="841"/>
      <c r="F91" s="846"/>
      <c r="G91" s="1490"/>
      <c r="H91" s="841"/>
      <c r="I91" s="846"/>
      <c r="J91" s="1490"/>
      <c r="K91" s="841"/>
      <c r="L91" s="846"/>
      <c r="M91" s="1490"/>
      <c r="N91" s="841"/>
      <c r="O91" s="846"/>
      <c r="P91" s="1490"/>
      <c r="Q91" s="841"/>
      <c r="R91" s="846"/>
      <c r="S91" s="1490"/>
      <c r="T91" s="841"/>
      <c r="U91" s="846"/>
      <c r="V91" s="1490"/>
      <c r="W91" s="841"/>
      <c r="X91" s="846"/>
      <c r="Y91" s="1490"/>
      <c r="Z91" s="841"/>
      <c r="AA91" s="845"/>
      <c r="AB91" s="1490"/>
      <c r="AC91" s="841"/>
      <c r="AD91" s="845"/>
      <c r="AE91" s="1490"/>
      <c r="AF91" s="841"/>
      <c r="AG91" s="845"/>
      <c r="AH91" s="1490"/>
      <c r="AI91" s="841"/>
      <c r="AJ91" s="845"/>
      <c r="AK91" s="1490"/>
      <c r="AL91" s="841"/>
      <c r="AM91" s="845"/>
      <c r="AN91" s="1490"/>
      <c r="AO91" s="841"/>
      <c r="AP91" s="846"/>
    </row>
    <row r="92" spans="1:42" ht="30" customHeight="1" x14ac:dyDescent="0.2">
      <c r="A92" s="1501"/>
      <c r="B92" s="847"/>
      <c r="C92" s="843"/>
      <c r="D92" s="1490"/>
      <c r="E92" s="841"/>
      <c r="F92" s="846"/>
      <c r="G92" s="1490"/>
      <c r="H92" s="841"/>
      <c r="I92" s="846"/>
      <c r="J92" s="1490"/>
      <c r="K92" s="841"/>
      <c r="L92" s="846"/>
      <c r="M92" s="1490"/>
      <c r="N92" s="841"/>
      <c r="O92" s="846"/>
      <c r="P92" s="1490"/>
      <c r="Q92" s="841"/>
      <c r="R92" s="846"/>
      <c r="S92" s="1490"/>
      <c r="T92" s="841"/>
      <c r="U92" s="846"/>
      <c r="V92" s="1490"/>
      <c r="W92" s="841"/>
      <c r="X92" s="846"/>
      <c r="Y92" s="1490"/>
      <c r="Z92" s="841"/>
      <c r="AA92" s="846"/>
      <c r="AB92" s="1490"/>
      <c r="AC92" s="841"/>
      <c r="AD92" s="846"/>
      <c r="AE92" s="1490"/>
      <c r="AF92" s="841"/>
      <c r="AG92" s="846"/>
      <c r="AH92" s="1490"/>
      <c r="AI92" s="841"/>
      <c r="AJ92" s="845"/>
      <c r="AK92" s="1490"/>
      <c r="AL92" s="841"/>
      <c r="AM92" s="845"/>
      <c r="AN92" s="1490"/>
      <c r="AO92" s="841"/>
      <c r="AP92" s="846"/>
    </row>
    <row r="93" spans="1:42" ht="30" customHeight="1" x14ac:dyDescent="0.2">
      <c r="A93" s="1501"/>
      <c r="B93" s="847"/>
      <c r="C93" s="577"/>
      <c r="D93" s="1490"/>
      <c r="E93" s="841"/>
      <c r="F93" s="846"/>
      <c r="G93" s="1490"/>
      <c r="H93" s="841"/>
      <c r="I93" s="846"/>
      <c r="J93" s="1490"/>
      <c r="K93" s="841"/>
      <c r="L93" s="846"/>
      <c r="M93" s="1490"/>
      <c r="N93" s="841"/>
      <c r="O93" s="846"/>
      <c r="P93" s="1490"/>
      <c r="Q93" s="841"/>
      <c r="R93" s="846"/>
      <c r="S93" s="1490"/>
      <c r="T93" s="841"/>
      <c r="U93" s="846"/>
      <c r="V93" s="1490"/>
      <c r="W93" s="841"/>
      <c r="X93" s="846"/>
      <c r="Y93" s="1490"/>
      <c r="Z93" s="841"/>
      <c r="AA93" s="846"/>
      <c r="AB93" s="1490"/>
      <c r="AC93" s="841"/>
      <c r="AD93" s="846"/>
      <c r="AE93" s="1490"/>
      <c r="AF93" s="841"/>
      <c r="AG93" s="846"/>
      <c r="AH93" s="1490"/>
      <c r="AI93" s="841"/>
      <c r="AJ93" s="845"/>
      <c r="AK93" s="1490"/>
      <c r="AL93" s="841"/>
      <c r="AM93" s="845"/>
      <c r="AN93" s="1490"/>
      <c r="AO93" s="841"/>
      <c r="AP93" s="846"/>
    </row>
    <row r="94" spans="1:42" ht="30" customHeight="1" x14ac:dyDescent="0.2">
      <c r="A94" s="1486"/>
      <c r="B94" s="852"/>
      <c r="C94" s="579"/>
      <c r="D94" s="1489"/>
      <c r="E94" s="842"/>
      <c r="F94" s="579"/>
      <c r="G94" s="1489"/>
      <c r="H94" s="842"/>
      <c r="I94" s="579"/>
      <c r="J94" s="1489"/>
      <c r="K94" s="842"/>
      <c r="L94" s="579"/>
      <c r="M94" s="1489"/>
      <c r="N94" s="842"/>
      <c r="O94" s="579"/>
      <c r="P94" s="1489"/>
      <c r="Q94" s="842"/>
      <c r="R94" s="579"/>
      <c r="S94" s="1489"/>
      <c r="T94" s="842"/>
      <c r="U94" s="579"/>
      <c r="V94" s="1489"/>
      <c r="W94" s="842"/>
      <c r="X94" s="579"/>
      <c r="Y94" s="1489"/>
      <c r="Z94" s="842"/>
      <c r="AA94" s="579"/>
      <c r="AB94" s="1489"/>
      <c r="AC94" s="842"/>
      <c r="AD94" s="579"/>
      <c r="AE94" s="1489"/>
      <c r="AF94" s="842"/>
      <c r="AG94" s="579"/>
      <c r="AH94" s="1489"/>
      <c r="AI94" s="842"/>
      <c r="AJ94" s="579"/>
      <c r="AK94" s="1489"/>
      <c r="AL94" s="842"/>
      <c r="AM94" s="579"/>
      <c r="AN94" s="1489"/>
      <c r="AO94" s="842"/>
      <c r="AP94" s="579"/>
    </row>
    <row r="95" spans="1:42" ht="30" customHeight="1" x14ac:dyDescent="0.2">
      <c r="A95" s="1484" t="s">
        <v>85</v>
      </c>
      <c r="B95" s="574"/>
      <c r="C95" s="575"/>
      <c r="D95" s="1487"/>
      <c r="E95" s="840"/>
      <c r="F95" s="575"/>
      <c r="G95" s="1487"/>
      <c r="H95" s="840"/>
      <c r="I95" s="575"/>
      <c r="J95" s="1487"/>
      <c r="K95" s="840"/>
      <c r="L95" s="575"/>
      <c r="M95" s="1487"/>
      <c r="N95" s="840"/>
      <c r="O95" s="575"/>
      <c r="P95" s="1487"/>
      <c r="Q95" s="840"/>
      <c r="R95" s="575"/>
      <c r="S95" s="1487"/>
      <c r="T95" s="840"/>
      <c r="U95" s="575"/>
      <c r="V95" s="1487"/>
      <c r="W95" s="840"/>
      <c r="X95" s="575"/>
      <c r="Y95" s="1487"/>
      <c r="Z95" s="840"/>
      <c r="AA95" s="575"/>
      <c r="AB95" s="1487"/>
      <c r="AC95" s="840"/>
      <c r="AD95" s="575"/>
      <c r="AE95" s="1487"/>
      <c r="AF95" s="840"/>
      <c r="AG95" s="575"/>
      <c r="AH95" s="1487"/>
      <c r="AI95" s="840"/>
      <c r="AJ95" s="575"/>
      <c r="AK95" s="1487"/>
      <c r="AL95" s="840"/>
      <c r="AM95" s="575"/>
      <c r="AN95" s="1487"/>
      <c r="AO95" s="840"/>
      <c r="AP95" s="575"/>
    </row>
    <row r="96" spans="1:42" ht="30" customHeight="1" x14ac:dyDescent="0.2">
      <c r="A96" s="1485"/>
      <c r="B96" s="576"/>
      <c r="C96" s="577"/>
      <c r="D96" s="1488"/>
      <c r="E96" s="841"/>
      <c r="F96" s="577"/>
      <c r="G96" s="1488"/>
      <c r="H96" s="841"/>
      <c r="I96" s="577"/>
      <c r="J96" s="1488"/>
      <c r="K96" s="841"/>
      <c r="L96" s="577"/>
      <c r="M96" s="1488"/>
      <c r="N96" s="841"/>
      <c r="O96" s="577"/>
      <c r="P96" s="1488"/>
      <c r="Q96" s="841"/>
      <c r="R96" s="577"/>
      <c r="S96" s="1488"/>
      <c r="T96" s="841"/>
      <c r="U96" s="577"/>
      <c r="V96" s="1488"/>
      <c r="W96" s="841"/>
      <c r="X96" s="577"/>
      <c r="Y96" s="1488"/>
      <c r="Z96" s="841"/>
      <c r="AA96" s="577"/>
      <c r="AB96" s="1488"/>
      <c r="AC96" s="841"/>
      <c r="AD96" s="577"/>
      <c r="AE96" s="1488"/>
      <c r="AF96" s="841"/>
      <c r="AG96" s="577"/>
      <c r="AH96" s="1488"/>
      <c r="AI96" s="841"/>
      <c r="AJ96" s="577"/>
      <c r="AK96" s="1488"/>
      <c r="AL96" s="841"/>
      <c r="AM96" s="577"/>
      <c r="AN96" s="1488"/>
      <c r="AO96" s="841"/>
      <c r="AP96" s="577"/>
    </row>
    <row r="97" spans="1:42" ht="30" customHeight="1" x14ac:dyDescent="0.2">
      <c r="A97" s="1501"/>
      <c r="B97" s="844"/>
      <c r="C97" s="577"/>
      <c r="D97" s="1490"/>
      <c r="E97" s="841"/>
      <c r="F97" s="845"/>
      <c r="G97" s="1490"/>
      <c r="H97" s="841"/>
      <c r="I97" s="845"/>
      <c r="J97" s="1490"/>
      <c r="K97" s="841"/>
      <c r="L97" s="845"/>
      <c r="M97" s="1490"/>
      <c r="N97" s="841"/>
      <c r="O97" s="846"/>
      <c r="P97" s="1490"/>
      <c r="Q97" s="841"/>
      <c r="R97" s="845"/>
      <c r="S97" s="1490"/>
      <c r="T97" s="841"/>
      <c r="U97" s="846"/>
      <c r="V97" s="1490"/>
      <c r="W97" s="841"/>
      <c r="X97" s="845"/>
      <c r="Y97" s="1490"/>
      <c r="Z97" s="841"/>
      <c r="AA97" s="845"/>
      <c r="AB97" s="1490"/>
      <c r="AC97" s="841"/>
      <c r="AD97" s="845"/>
      <c r="AE97" s="1490"/>
      <c r="AF97" s="841"/>
      <c r="AG97" s="845"/>
      <c r="AH97" s="1490"/>
      <c r="AI97" s="841"/>
      <c r="AJ97" s="845"/>
      <c r="AK97" s="1490"/>
      <c r="AL97" s="841"/>
      <c r="AM97" s="845"/>
      <c r="AN97" s="1490"/>
      <c r="AO97" s="841"/>
      <c r="AP97" s="845"/>
    </row>
    <row r="98" spans="1:42" ht="30" customHeight="1" x14ac:dyDescent="0.2">
      <c r="A98" s="1501"/>
      <c r="B98" s="844"/>
      <c r="C98" s="577"/>
      <c r="D98" s="1490"/>
      <c r="E98" s="841"/>
      <c r="F98" s="845"/>
      <c r="G98" s="1490"/>
      <c r="H98" s="841"/>
      <c r="I98" s="845"/>
      <c r="J98" s="1490"/>
      <c r="K98" s="841"/>
      <c r="L98" s="845"/>
      <c r="M98" s="1490"/>
      <c r="N98" s="841"/>
      <c r="O98" s="845"/>
      <c r="P98" s="1490"/>
      <c r="Q98" s="841"/>
      <c r="R98" s="845"/>
      <c r="S98" s="1490"/>
      <c r="T98" s="841"/>
      <c r="U98" s="845"/>
      <c r="V98" s="1490"/>
      <c r="W98" s="841"/>
      <c r="X98" s="845"/>
      <c r="Y98" s="1490"/>
      <c r="Z98" s="841"/>
      <c r="AA98" s="845"/>
      <c r="AB98" s="1490"/>
      <c r="AC98" s="841"/>
      <c r="AD98" s="845"/>
      <c r="AE98" s="1490"/>
      <c r="AF98" s="841"/>
      <c r="AG98" s="845"/>
      <c r="AH98" s="1490"/>
      <c r="AI98" s="841"/>
      <c r="AJ98" s="845"/>
      <c r="AK98" s="1490"/>
      <c r="AL98" s="841"/>
      <c r="AM98" s="845"/>
      <c r="AN98" s="1490"/>
      <c r="AO98" s="841"/>
      <c r="AP98" s="845"/>
    </row>
    <row r="99" spans="1:42" ht="30" customHeight="1" x14ac:dyDescent="0.2">
      <c r="A99" s="1501"/>
      <c r="B99" s="844"/>
      <c r="C99" s="577"/>
      <c r="D99" s="1490"/>
      <c r="E99" s="841"/>
      <c r="F99" s="845"/>
      <c r="G99" s="1490"/>
      <c r="H99" s="841"/>
      <c r="I99" s="845"/>
      <c r="J99" s="1490"/>
      <c r="K99" s="841"/>
      <c r="L99" s="845"/>
      <c r="M99" s="1490"/>
      <c r="N99" s="841"/>
      <c r="O99" s="845"/>
      <c r="P99" s="1490"/>
      <c r="Q99" s="841"/>
      <c r="R99" s="845"/>
      <c r="S99" s="1490"/>
      <c r="T99" s="841"/>
      <c r="U99" s="845"/>
      <c r="V99" s="1490"/>
      <c r="W99" s="841"/>
      <c r="X99" s="845"/>
      <c r="Y99" s="1490"/>
      <c r="Z99" s="841"/>
      <c r="AA99" s="845"/>
      <c r="AB99" s="1490"/>
      <c r="AC99" s="841"/>
      <c r="AD99" s="845"/>
      <c r="AE99" s="1490"/>
      <c r="AF99" s="841"/>
      <c r="AG99" s="845"/>
      <c r="AH99" s="1490"/>
      <c r="AI99" s="841"/>
      <c r="AJ99" s="845"/>
      <c r="AK99" s="1490"/>
      <c r="AL99" s="841"/>
      <c r="AM99" s="845"/>
      <c r="AN99" s="1490"/>
      <c r="AO99" s="841"/>
      <c r="AP99" s="845"/>
    </row>
    <row r="100" spans="1:42" ht="30" customHeight="1" x14ac:dyDescent="0.2">
      <c r="A100" s="1486"/>
      <c r="B100" s="578"/>
      <c r="C100" s="579"/>
      <c r="D100" s="1489"/>
      <c r="E100" s="842"/>
      <c r="F100" s="579"/>
      <c r="G100" s="1489"/>
      <c r="H100" s="842"/>
      <c r="I100" s="846"/>
      <c r="J100" s="1489"/>
      <c r="K100" s="842"/>
      <c r="L100" s="579"/>
      <c r="M100" s="1489"/>
      <c r="N100" s="842"/>
      <c r="O100" s="579"/>
      <c r="P100" s="1489"/>
      <c r="Q100" s="842"/>
      <c r="R100" s="579"/>
      <c r="S100" s="1489"/>
      <c r="T100" s="842"/>
      <c r="U100" s="579"/>
      <c r="V100" s="1489"/>
      <c r="W100" s="842"/>
      <c r="X100" s="579"/>
      <c r="Y100" s="1489"/>
      <c r="Z100" s="842"/>
      <c r="AA100" s="579"/>
      <c r="AB100" s="1489"/>
      <c r="AC100" s="842"/>
      <c r="AD100" s="579"/>
      <c r="AE100" s="1489"/>
      <c r="AF100" s="842"/>
      <c r="AG100" s="579"/>
      <c r="AH100" s="1489"/>
      <c r="AI100" s="842"/>
      <c r="AJ100" s="579"/>
      <c r="AK100" s="1489"/>
      <c r="AL100" s="842"/>
      <c r="AM100" s="579"/>
      <c r="AN100" s="1489"/>
      <c r="AO100" s="842"/>
      <c r="AP100" s="579"/>
    </row>
    <row r="101" spans="1:42" ht="30" customHeight="1" x14ac:dyDescent="0.2">
      <c r="A101" s="1484" t="s">
        <v>278</v>
      </c>
      <c r="B101" s="574"/>
      <c r="C101" s="575"/>
      <c r="D101" s="1487"/>
      <c r="E101" s="840"/>
      <c r="F101" s="835"/>
      <c r="G101" s="1487"/>
      <c r="H101" s="840"/>
      <c r="I101" s="835"/>
      <c r="J101" s="1487"/>
      <c r="K101" s="840"/>
      <c r="L101" s="835"/>
      <c r="M101" s="1487"/>
      <c r="N101" s="840"/>
      <c r="O101" s="835"/>
      <c r="P101" s="1487"/>
      <c r="Q101" s="840"/>
      <c r="R101" s="835"/>
      <c r="S101" s="1487"/>
      <c r="T101" s="840"/>
      <c r="U101" s="835"/>
      <c r="V101" s="1487"/>
      <c r="W101" s="840"/>
      <c r="X101" s="835"/>
      <c r="Y101" s="1487"/>
      <c r="Z101" s="840"/>
      <c r="AA101" s="575"/>
      <c r="AB101" s="1487"/>
      <c r="AC101" s="840"/>
      <c r="AD101" s="575"/>
      <c r="AE101" s="1487"/>
      <c r="AF101" s="840"/>
      <c r="AG101" s="575"/>
      <c r="AH101" s="1487"/>
      <c r="AI101" s="840"/>
      <c r="AJ101" s="575"/>
      <c r="AK101" s="1487"/>
      <c r="AL101" s="840"/>
      <c r="AM101" s="575"/>
      <c r="AN101" s="1487"/>
      <c r="AO101" s="840"/>
      <c r="AP101" s="575"/>
    </row>
    <row r="102" spans="1:42" ht="30" customHeight="1" x14ac:dyDescent="0.2">
      <c r="A102" s="1485"/>
      <c r="B102" s="576"/>
      <c r="C102" s="577"/>
      <c r="D102" s="1488"/>
      <c r="E102" s="841"/>
      <c r="F102" s="577"/>
      <c r="G102" s="1488"/>
      <c r="H102" s="841"/>
      <c r="I102" s="577"/>
      <c r="J102" s="1488"/>
      <c r="K102" s="841"/>
      <c r="L102" s="577"/>
      <c r="M102" s="1488"/>
      <c r="N102" s="841"/>
      <c r="O102" s="577"/>
      <c r="P102" s="1488"/>
      <c r="Q102" s="841"/>
      <c r="R102" s="577"/>
      <c r="S102" s="1488"/>
      <c r="T102" s="841"/>
      <c r="U102" s="577"/>
      <c r="V102" s="1488"/>
      <c r="W102" s="841"/>
      <c r="X102" s="577"/>
      <c r="Y102" s="1488"/>
      <c r="Z102" s="841"/>
      <c r="AA102" s="577"/>
      <c r="AB102" s="1488"/>
      <c r="AC102" s="841"/>
      <c r="AD102" s="577"/>
      <c r="AE102" s="1488"/>
      <c r="AF102" s="841"/>
      <c r="AG102" s="577"/>
      <c r="AH102" s="1488"/>
      <c r="AI102" s="841"/>
      <c r="AJ102" s="577"/>
      <c r="AK102" s="1488"/>
      <c r="AL102" s="841"/>
      <c r="AM102" s="577"/>
      <c r="AN102" s="1488"/>
      <c r="AO102" s="841"/>
      <c r="AP102" s="577"/>
    </row>
    <row r="103" spans="1:42" ht="30" customHeight="1" x14ac:dyDescent="0.2">
      <c r="A103" s="1486"/>
      <c r="B103" s="578"/>
      <c r="C103" s="579"/>
      <c r="D103" s="1489"/>
      <c r="E103" s="842"/>
      <c r="F103" s="579"/>
      <c r="G103" s="1489"/>
      <c r="H103" s="842"/>
      <c r="I103" s="579"/>
      <c r="J103" s="1489"/>
      <c r="K103" s="842"/>
      <c r="L103" s="579"/>
      <c r="M103" s="1489"/>
      <c r="N103" s="842"/>
      <c r="O103" s="579"/>
      <c r="P103" s="1489"/>
      <c r="Q103" s="842"/>
      <c r="R103" s="579"/>
      <c r="S103" s="1489"/>
      <c r="T103" s="842"/>
      <c r="U103" s="579"/>
      <c r="V103" s="1489"/>
      <c r="W103" s="842"/>
      <c r="X103" s="579"/>
      <c r="Y103" s="1489"/>
      <c r="Z103" s="842"/>
      <c r="AA103" s="579"/>
      <c r="AB103" s="1489"/>
      <c r="AC103" s="842"/>
      <c r="AD103" s="579"/>
      <c r="AE103" s="1489"/>
      <c r="AF103" s="842"/>
      <c r="AG103" s="579"/>
      <c r="AH103" s="1489"/>
      <c r="AI103" s="842"/>
      <c r="AJ103" s="579"/>
      <c r="AK103" s="1489"/>
      <c r="AL103" s="842"/>
      <c r="AM103" s="579"/>
      <c r="AN103" s="1489"/>
      <c r="AO103" s="842"/>
      <c r="AP103" s="579"/>
    </row>
    <row r="104" spans="1:42" s="573" customFormat="1" ht="30" customHeight="1" x14ac:dyDescent="0.2">
      <c r="A104" s="570" t="s">
        <v>384</v>
      </c>
      <c r="B104" s="580"/>
      <c r="C104" s="581"/>
      <c r="D104" s="571"/>
      <c r="E104" s="582"/>
      <c r="F104" s="581"/>
      <c r="G104" s="571"/>
      <c r="H104" s="582"/>
      <c r="I104" s="581"/>
      <c r="J104" s="571"/>
      <c r="K104" s="582"/>
      <c r="L104" s="581"/>
      <c r="M104" s="571"/>
      <c r="N104" s="582"/>
      <c r="O104" s="581"/>
      <c r="P104" s="571"/>
      <c r="Q104" s="582"/>
      <c r="R104" s="581"/>
      <c r="S104" s="571"/>
      <c r="T104" s="582"/>
      <c r="U104" s="581"/>
      <c r="V104" s="571"/>
      <c r="W104" s="582"/>
      <c r="X104" s="581"/>
      <c r="Y104" s="571"/>
      <c r="Z104" s="582"/>
      <c r="AA104" s="581"/>
      <c r="AB104" s="571"/>
      <c r="AC104" s="582"/>
      <c r="AD104" s="581"/>
      <c r="AE104" s="571"/>
      <c r="AF104" s="582"/>
      <c r="AG104" s="581"/>
      <c r="AH104" s="571"/>
      <c r="AI104" s="582"/>
      <c r="AJ104" s="581"/>
      <c r="AK104" s="571"/>
      <c r="AL104" s="582"/>
      <c r="AM104" s="581"/>
      <c r="AN104" s="571"/>
      <c r="AO104" s="582"/>
      <c r="AP104" s="581"/>
    </row>
    <row r="105" spans="1:42" ht="30" customHeight="1" x14ac:dyDescent="0.2">
      <c r="A105" s="1484" t="s">
        <v>385</v>
      </c>
      <c r="B105" s="574">
        <v>1600</v>
      </c>
      <c r="C105" s="575"/>
      <c r="D105" s="1487" t="s">
        <v>1067</v>
      </c>
      <c r="E105" s="840"/>
      <c r="F105" s="575"/>
      <c r="G105" s="1487"/>
      <c r="H105" s="840"/>
      <c r="I105" s="835"/>
      <c r="J105" s="1487"/>
      <c r="K105" s="840"/>
      <c r="L105" s="835"/>
      <c r="M105" s="1487"/>
      <c r="N105" s="840"/>
      <c r="O105" s="575"/>
      <c r="P105" s="1487"/>
      <c r="Q105" s="840"/>
      <c r="R105" s="575"/>
      <c r="S105" s="1487"/>
      <c r="T105" s="840"/>
      <c r="U105" s="835"/>
      <c r="V105" s="1487"/>
      <c r="W105" s="840"/>
      <c r="X105" s="575"/>
      <c r="Y105" s="1487"/>
      <c r="Z105" s="840"/>
      <c r="AA105" s="575"/>
      <c r="AB105" s="1487"/>
      <c r="AC105" s="840"/>
      <c r="AD105" s="575"/>
      <c r="AE105" s="1487"/>
      <c r="AF105" s="840"/>
      <c r="AG105" s="575"/>
      <c r="AH105" s="1487"/>
      <c r="AI105" s="840"/>
      <c r="AJ105" s="575"/>
      <c r="AK105" s="1487"/>
      <c r="AL105" s="840"/>
      <c r="AM105" s="575"/>
      <c r="AN105" s="1487"/>
      <c r="AO105" s="840"/>
      <c r="AP105" s="835"/>
    </row>
    <row r="106" spans="1:42" ht="30" customHeight="1" x14ac:dyDescent="0.2">
      <c r="A106" s="1485"/>
      <c r="B106" s="576">
        <v>1740</v>
      </c>
      <c r="C106" s="577"/>
      <c r="D106" s="1488"/>
      <c r="E106" s="841"/>
      <c r="F106" s="577"/>
      <c r="G106" s="1488"/>
      <c r="H106" s="841"/>
      <c r="I106" s="577"/>
      <c r="J106" s="1488"/>
      <c r="K106" s="841"/>
      <c r="L106" s="577"/>
      <c r="M106" s="1488"/>
      <c r="N106" s="841"/>
      <c r="O106" s="577"/>
      <c r="P106" s="1488"/>
      <c r="Q106" s="841"/>
      <c r="R106" s="577"/>
      <c r="S106" s="1488"/>
      <c r="T106" s="841"/>
      <c r="U106" s="577"/>
      <c r="V106" s="1488"/>
      <c r="W106" s="841"/>
      <c r="X106" s="577"/>
      <c r="Y106" s="1488"/>
      <c r="Z106" s="841"/>
      <c r="AA106" s="577"/>
      <c r="AB106" s="1488"/>
      <c r="AC106" s="841"/>
      <c r="AD106" s="577"/>
      <c r="AE106" s="1488"/>
      <c r="AF106" s="841"/>
      <c r="AG106" s="577"/>
      <c r="AH106" s="1488"/>
      <c r="AI106" s="841"/>
      <c r="AJ106" s="577"/>
      <c r="AK106" s="1488"/>
      <c r="AL106" s="841"/>
      <c r="AM106" s="577"/>
      <c r="AN106" s="1488"/>
      <c r="AO106" s="841"/>
      <c r="AP106" s="577"/>
    </row>
    <row r="107" spans="1:42" ht="30" customHeight="1" x14ac:dyDescent="0.2">
      <c r="A107" s="1486"/>
      <c r="B107" s="578" t="s">
        <v>1065</v>
      </c>
      <c r="C107" s="579" t="s">
        <v>1066</v>
      </c>
      <c r="D107" s="1489"/>
      <c r="E107" s="842" t="s">
        <v>1067</v>
      </c>
      <c r="F107" s="579" t="s">
        <v>1068</v>
      </c>
      <c r="G107" s="1489"/>
      <c r="H107" s="842"/>
      <c r="I107" s="579"/>
      <c r="J107" s="1489"/>
      <c r="K107" s="842"/>
      <c r="L107" s="579"/>
      <c r="M107" s="1489"/>
      <c r="N107" s="842"/>
      <c r="O107" s="579"/>
      <c r="P107" s="1489"/>
      <c r="Q107" s="842"/>
      <c r="R107" s="579"/>
      <c r="S107" s="1489"/>
      <c r="T107" s="842"/>
      <c r="U107" s="579"/>
      <c r="V107" s="1489"/>
      <c r="W107" s="842"/>
      <c r="X107" s="579"/>
      <c r="Y107" s="1489"/>
      <c r="Z107" s="842"/>
      <c r="AA107" s="579"/>
      <c r="AB107" s="1489"/>
      <c r="AC107" s="842"/>
      <c r="AD107" s="579"/>
      <c r="AE107" s="1489"/>
      <c r="AF107" s="842"/>
      <c r="AG107" s="579"/>
      <c r="AH107" s="1489"/>
      <c r="AI107" s="842"/>
      <c r="AJ107" s="579"/>
      <c r="AK107" s="1489"/>
      <c r="AL107" s="842"/>
      <c r="AM107" s="579"/>
      <c r="AN107" s="1489"/>
      <c r="AO107" s="842"/>
      <c r="AP107" s="579"/>
    </row>
  </sheetData>
  <sortState ref="B94:B99">
    <sortCondition ref="B94:B99"/>
  </sortState>
  <mergeCells count="448">
    <mergeCell ref="A22:A24"/>
    <mergeCell ref="A87:A94"/>
    <mergeCell ref="A95:A100"/>
    <mergeCell ref="A101:A103"/>
    <mergeCell ref="A64:A65"/>
    <mergeCell ref="A66:A67"/>
    <mergeCell ref="A68:A69"/>
    <mergeCell ref="A70:A71"/>
    <mergeCell ref="A72:A73"/>
    <mergeCell ref="A74:A75"/>
    <mergeCell ref="A6:A8"/>
    <mergeCell ref="A9:A11"/>
    <mergeCell ref="A12:A14"/>
    <mergeCell ref="A15:A18"/>
    <mergeCell ref="A19:A21"/>
    <mergeCell ref="D19:D21"/>
    <mergeCell ref="A77:A78"/>
    <mergeCell ref="A80:A83"/>
    <mergeCell ref="A84:A86"/>
    <mergeCell ref="A43:A45"/>
    <mergeCell ref="A46:A52"/>
    <mergeCell ref="A53:A55"/>
    <mergeCell ref="A56:A58"/>
    <mergeCell ref="A60:A61"/>
    <mergeCell ref="A62:A63"/>
    <mergeCell ref="A25:A27"/>
    <mergeCell ref="A28:A30"/>
    <mergeCell ref="A31:A33"/>
    <mergeCell ref="A34:A36"/>
    <mergeCell ref="A37:A39"/>
    <mergeCell ref="A40:A42"/>
    <mergeCell ref="D60:D61"/>
    <mergeCell ref="D62:D63"/>
    <mergeCell ref="D64:D65"/>
    <mergeCell ref="D5:F5"/>
    <mergeCell ref="D6:D8"/>
    <mergeCell ref="D9:D11"/>
    <mergeCell ref="D12:D14"/>
    <mergeCell ref="D15:D18"/>
    <mergeCell ref="D40:D42"/>
    <mergeCell ref="D43:D45"/>
    <mergeCell ref="D46:D52"/>
    <mergeCell ref="D53:D55"/>
    <mergeCell ref="D22:D24"/>
    <mergeCell ref="D25:D27"/>
    <mergeCell ref="D28:D30"/>
    <mergeCell ref="D31:D33"/>
    <mergeCell ref="D34:D36"/>
    <mergeCell ref="D37:D39"/>
    <mergeCell ref="D66:D67"/>
    <mergeCell ref="D68:D69"/>
    <mergeCell ref="D87:D94"/>
    <mergeCell ref="D95:D100"/>
    <mergeCell ref="G5:I5"/>
    <mergeCell ref="G6:G8"/>
    <mergeCell ref="G9:G11"/>
    <mergeCell ref="G12:G14"/>
    <mergeCell ref="G15:G18"/>
    <mergeCell ref="G19:G21"/>
    <mergeCell ref="G22:G24"/>
    <mergeCell ref="D70:D71"/>
    <mergeCell ref="D72:D73"/>
    <mergeCell ref="D74:D75"/>
    <mergeCell ref="D77:D78"/>
    <mergeCell ref="D80:D83"/>
    <mergeCell ref="D84:D86"/>
    <mergeCell ref="D56:D58"/>
    <mergeCell ref="G25:G27"/>
    <mergeCell ref="G28:G30"/>
    <mergeCell ref="G31:G33"/>
    <mergeCell ref="G34:G36"/>
    <mergeCell ref="G37:G39"/>
    <mergeCell ref="G95:G100"/>
    <mergeCell ref="G43:G45"/>
    <mergeCell ref="G46:G52"/>
    <mergeCell ref="G53:G55"/>
    <mergeCell ref="G56:G58"/>
    <mergeCell ref="J34:J36"/>
    <mergeCell ref="G77:G78"/>
    <mergeCell ref="G80:G83"/>
    <mergeCell ref="J5:L5"/>
    <mergeCell ref="J6:J8"/>
    <mergeCell ref="J9:J11"/>
    <mergeCell ref="J12:J14"/>
    <mergeCell ref="J15:J18"/>
    <mergeCell ref="G64:G65"/>
    <mergeCell ref="G66:G67"/>
    <mergeCell ref="G68:G69"/>
    <mergeCell ref="G70:G71"/>
    <mergeCell ref="G84:G86"/>
    <mergeCell ref="G87:G94"/>
    <mergeCell ref="G60:G61"/>
    <mergeCell ref="G62:G63"/>
    <mergeCell ref="G40:G42"/>
    <mergeCell ref="J19:J21"/>
    <mergeCell ref="J22:J24"/>
    <mergeCell ref="J25:J27"/>
    <mergeCell ref="J28:J30"/>
    <mergeCell ref="J31:J33"/>
    <mergeCell ref="J70:J71"/>
    <mergeCell ref="J37:J39"/>
    <mergeCell ref="J40:J42"/>
    <mergeCell ref="J43:J45"/>
    <mergeCell ref="J46:J52"/>
    <mergeCell ref="J53:J55"/>
    <mergeCell ref="J56:J58"/>
    <mergeCell ref="J60:J61"/>
    <mergeCell ref="J62:J63"/>
    <mergeCell ref="J64:J65"/>
    <mergeCell ref="J66:J67"/>
    <mergeCell ref="J68:J69"/>
    <mergeCell ref="G72:G73"/>
    <mergeCell ref="G74:G75"/>
    <mergeCell ref="J95:J100"/>
    <mergeCell ref="J72:J73"/>
    <mergeCell ref="J74:J75"/>
    <mergeCell ref="J77:J78"/>
    <mergeCell ref="J80:J83"/>
    <mergeCell ref="J84:J86"/>
    <mergeCell ref="J87:J94"/>
    <mergeCell ref="M66:M67"/>
    <mergeCell ref="M31:M33"/>
    <mergeCell ref="M34:M36"/>
    <mergeCell ref="M37:M39"/>
    <mergeCell ref="M40:M42"/>
    <mergeCell ref="M43:M45"/>
    <mergeCell ref="M46:M52"/>
    <mergeCell ref="M53:M55"/>
    <mergeCell ref="M56:M58"/>
    <mergeCell ref="M60:M61"/>
    <mergeCell ref="M62:M63"/>
    <mergeCell ref="M64:M65"/>
    <mergeCell ref="M84:M86"/>
    <mergeCell ref="M87:M94"/>
    <mergeCell ref="M95:M100"/>
    <mergeCell ref="M72:M73"/>
    <mergeCell ref="M74:M75"/>
    <mergeCell ref="P5:R5"/>
    <mergeCell ref="P6:P8"/>
    <mergeCell ref="P9:P11"/>
    <mergeCell ref="P12:P14"/>
    <mergeCell ref="P15:P18"/>
    <mergeCell ref="P19:P21"/>
    <mergeCell ref="P22:P24"/>
    <mergeCell ref="M68:M69"/>
    <mergeCell ref="M70:M71"/>
    <mergeCell ref="M5:O5"/>
    <mergeCell ref="M6:M8"/>
    <mergeCell ref="M9:M11"/>
    <mergeCell ref="M12:M14"/>
    <mergeCell ref="M15:M18"/>
    <mergeCell ref="M19:M21"/>
    <mergeCell ref="M22:M24"/>
    <mergeCell ref="M25:M27"/>
    <mergeCell ref="M28:M30"/>
    <mergeCell ref="M77:M78"/>
    <mergeCell ref="M80:M83"/>
    <mergeCell ref="P25:P27"/>
    <mergeCell ref="P28:P30"/>
    <mergeCell ref="P31:P33"/>
    <mergeCell ref="P34:P36"/>
    <mergeCell ref="P37:P39"/>
    <mergeCell ref="P95:P100"/>
    <mergeCell ref="S5:U5"/>
    <mergeCell ref="S6:S8"/>
    <mergeCell ref="S9:S11"/>
    <mergeCell ref="S12:S14"/>
    <mergeCell ref="S15:S18"/>
    <mergeCell ref="P64:P65"/>
    <mergeCell ref="P66:P67"/>
    <mergeCell ref="P68:P69"/>
    <mergeCell ref="P70:P71"/>
    <mergeCell ref="P72:P73"/>
    <mergeCell ref="P74:P75"/>
    <mergeCell ref="P43:P45"/>
    <mergeCell ref="P46:P52"/>
    <mergeCell ref="P53:P55"/>
    <mergeCell ref="P56:P58"/>
    <mergeCell ref="S34:S36"/>
    <mergeCell ref="P77:P78"/>
    <mergeCell ref="P80:P83"/>
    <mergeCell ref="P84:P86"/>
    <mergeCell ref="P87:P94"/>
    <mergeCell ref="P60:P61"/>
    <mergeCell ref="P62:P63"/>
    <mergeCell ref="P40:P42"/>
    <mergeCell ref="S19:S21"/>
    <mergeCell ref="S22:S24"/>
    <mergeCell ref="S25:S27"/>
    <mergeCell ref="S28:S30"/>
    <mergeCell ref="S31:S33"/>
    <mergeCell ref="S70:S71"/>
    <mergeCell ref="S37:S39"/>
    <mergeCell ref="S40:S42"/>
    <mergeCell ref="S43:S45"/>
    <mergeCell ref="S46:S52"/>
    <mergeCell ref="S53:S55"/>
    <mergeCell ref="S56:S58"/>
    <mergeCell ref="S60:S61"/>
    <mergeCell ref="S62:S63"/>
    <mergeCell ref="S64:S65"/>
    <mergeCell ref="S66:S67"/>
    <mergeCell ref="S68:S69"/>
    <mergeCell ref="S95:S100"/>
    <mergeCell ref="S72:S73"/>
    <mergeCell ref="S74:S75"/>
    <mergeCell ref="S77:S78"/>
    <mergeCell ref="S80:S83"/>
    <mergeCell ref="S84:S86"/>
    <mergeCell ref="S87:S94"/>
    <mergeCell ref="V66:V67"/>
    <mergeCell ref="V31:V33"/>
    <mergeCell ref="V34:V36"/>
    <mergeCell ref="V37:V39"/>
    <mergeCell ref="V40:V42"/>
    <mergeCell ref="V43:V45"/>
    <mergeCell ref="V46:V52"/>
    <mergeCell ref="V53:V55"/>
    <mergeCell ref="V56:V58"/>
    <mergeCell ref="V60:V61"/>
    <mergeCell ref="V62:V63"/>
    <mergeCell ref="V64:V65"/>
    <mergeCell ref="V84:V86"/>
    <mergeCell ref="V87:V94"/>
    <mergeCell ref="V95:V100"/>
    <mergeCell ref="V72:V73"/>
    <mergeCell ref="V74:V75"/>
    <mergeCell ref="Y5:AA5"/>
    <mergeCell ref="Y6:Y8"/>
    <mergeCell ref="Y9:Y11"/>
    <mergeCell ref="Y12:Y14"/>
    <mergeCell ref="Y15:Y18"/>
    <mergeCell ref="Y19:Y21"/>
    <mergeCell ref="Y22:Y24"/>
    <mergeCell ref="V68:V69"/>
    <mergeCell ref="V70:V71"/>
    <mergeCell ref="V5:X5"/>
    <mergeCell ref="V6:V8"/>
    <mergeCell ref="V9:V11"/>
    <mergeCell ref="V12:V14"/>
    <mergeCell ref="V15:V18"/>
    <mergeCell ref="V19:V21"/>
    <mergeCell ref="V22:V24"/>
    <mergeCell ref="V25:V27"/>
    <mergeCell ref="V28:V30"/>
    <mergeCell ref="V77:V78"/>
    <mergeCell ref="V80:V83"/>
    <mergeCell ref="Y25:Y27"/>
    <mergeCell ref="Y28:Y30"/>
    <mergeCell ref="Y31:Y33"/>
    <mergeCell ref="Y34:Y36"/>
    <mergeCell ref="Y37:Y39"/>
    <mergeCell ref="Y95:Y100"/>
    <mergeCell ref="AB5:AD5"/>
    <mergeCell ref="AB6:AB8"/>
    <mergeCell ref="AB9:AB11"/>
    <mergeCell ref="AB12:AB14"/>
    <mergeCell ref="AB15:AB18"/>
    <mergeCell ref="Y64:Y65"/>
    <mergeCell ref="Y66:Y67"/>
    <mergeCell ref="Y68:Y69"/>
    <mergeCell ref="Y70:Y71"/>
    <mergeCell ref="Y72:Y73"/>
    <mergeCell ref="Y74:Y75"/>
    <mergeCell ref="Y43:Y45"/>
    <mergeCell ref="Y46:Y52"/>
    <mergeCell ref="Y53:Y55"/>
    <mergeCell ref="Y56:Y58"/>
    <mergeCell ref="AB34:AB36"/>
    <mergeCell ref="Y77:Y78"/>
    <mergeCell ref="Y80:Y83"/>
    <mergeCell ref="Y84:Y86"/>
    <mergeCell ref="Y87:Y94"/>
    <mergeCell ref="Y60:Y61"/>
    <mergeCell ref="Y62:Y63"/>
    <mergeCell ref="Y40:Y42"/>
    <mergeCell ref="AB19:AB21"/>
    <mergeCell ref="AB22:AB24"/>
    <mergeCell ref="AB25:AB27"/>
    <mergeCell ref="AB28:AB30"/>
    <mergeCell ref="AB31:AB33"/>
    <mergeCell ref="AB70:AB71"/>
    <mergeCell ref="AB37:AB39"/>
    <mergeCell ref="AB40:AB42"/>
    <mergeCell ref="AB43:AB45"/>
    <mergeCell ref="AB46:AB52"/>
    <mergeCell ref="AB53:AB55"/>
    <mergeCell ref="AB56:AB58"/>
    <mergeCell ref="AB60:AB61"/>
    <mergeCell ref="AB62:AB63"/>
    <mergeCell ref="AB64:AB65"/>
    <mergeCell ref="AB66:AB67"/>
    <mergeCell ref="AB68:AB69"/>
    <mergeCell ref="AB95:AB100"/>
    <mergeCell ref="AB72:AB73"/>
    <mergeCell ref="AB74:AB75"/>
    <mergeCell ref="AB77:AB78"/>
    <mergeCell ref="AB80:AB83"/>
    <mergeCell ref="AB84:AB86"/>
    <mergeCell ref="AB87:AB94"/>
    <mergeCell ref="AE66:AE67"/>
    <mergeCell ref="AE31:AE33"/>
    <mergeCell ref="AE34:AE36"/>
    <mergeCell ref="AE37:AE39"/>
    <mergeCell ref="AE40:AE42"/>
    <mergeCell ref="AE43:AE45"/>
    <mergeCell ref="AE46:AE52"/>
    <mergeCell ref="AE53:AE55"/>
    <mergeCell ref="AE56:AE58"/>
    <mergeCell ref="AE60:AE61"/>
    <mergeCell ref="AE62:AE63"/>
    <mergeCell ref="AE64:AE65"/>
    <mergeCell ref="AE84:AE86"/>
    <mergeCell ref="AE87:AE94"/>
    <mergeCell ref="AE95:AE100"/>
    <mergeCell ref="AE72:AE73"/>
    <mergeCell ref="AE74:AE75"/>
    <mergeCell ref="AE5:AG5"/>
    <mergeCell ref="AE6:AE8"/>
    <mergeCell ref="AE9:AE11"/>
    <mergeCell ref="AE12:AE14"/>
    <mergeCell ref="AE15:AE18"/>
    <mergeCell ref="AE19:AE21"/>
    <mergeCell ref="AE22:AE24"/>
    <mergeCell ref="AE25:AE27"/>
    <mergeCell ref="AE28:AE30"/>
    <mergeCell ref="AK84:AK86"/>
    <mergeCell ref="AK87:AK94"/>
    <mergeCell ref="AK53:AK55"/>
    <mergeCell ref="AK56:AK58"/>
    <mergeCell ref="AH5:AJ5"/>
    <mergeCell ref="AH6:AH8"/>
    <mergeCell ref="AH9:AH11"/>
    <mergeCell ref="AH12:AH14"/>
    <mergeCell ref="AH15:AH18"/>
    <mergeCell ref="AH19:AH21"/>
    <mergeCell ref="AH22:AH24"/>
    <mergeCell ref="AE77:AE78"/>
    <mergeCell ref="AE80:AE83"/>
    <mergeCell ref="AH60:AH61"/>
    <mergeCell ref="AH62:AH63"/>
    <mergeCell ref="AH25:AH27"/>
    <mergeCell ref="AH28:AH30"/>
    <mergeCell ref="AH31:AH33"/>
    <mergeCell ref="AH34:AH36"/>
    <mergeCell ref="AH37:AH39"/>
    <mergeCell ref="AH40:AH42"/>
    <mergeCell ref="AE68:AE69"/>
    <mergeCell ref="AE70:AE71"/>
    <mergeCell ref="AH95:AH100"/>
    <mergeCell ref="AK5:AM5"/>
    <mergeCell ref="AK6:AK8"/>
    <mergeCell ref="AK9:AK11"/>
    <mergeCell ref="AK12:AK14"/>
    <mergeCell ref="AK15:AK18"/>
    <mergeCell ref="AH64:AH65"/>
    <mergeCell ref="AH66:AH67"/>
    <mergeCell ref="AH68:AH69"/>
    <mergeCell ref="AH70:AH71"/>
    <mergeCell ref="AH72:AH73"/>
    <mergeCell ref="AH74:AH75"/>
    <mergeCell ref="AH43:AH45"/>
    <mergeCell ref="AH46:AH52"/>
    <mergeCell ref="AH53:AH55"/>
    <mergeCell ref="AH56:AH58"/>
    <mergeCell ref="AK70:AK71"/>
    <mergeCell ref="AH77:AH78"/>
    <mergeCell ref="AH80:AH83"/>
    <mergeCell ref="AH84:AH86"/>
    <mergeCell ref="AK34:AK36"/>
    <mergeCell ref="AH87:AH94"/>
    <mergeCell ref="AK60:AK61"/>
    <mergeCell ref="AK62:AK63"/>
    <mergeCell ref="AK95:AK100"/>
    <mergeCell ref="AN5:AP5"/>
    <mergeCell ref="AN6:AN8"/>
    <mergeCell ref="AN9:AN11"/>
    <mergeCell ref="AN12:AN14"/>
    <mergeCell ref="AN15:AN18"/>
    <mergeCell ref="AN19:AN21"/>
    <mergeCell ref="AN22:AN24"/>
    <mergeCell ref="AN25:AN27"/>
    <mergeCell ref="AN28:AN30"/>
    <mergeCell ref="AK72:AK73"/>
    <mergeCell ref="AK37:AK39"/>
    <mergeCell ref="AK40:AK42"/>
    <mergeCell ref="AK43:AK45"/>
    <mergeCell ref="AK46:AK52"/>
    <mergeCell ref="AN31:AN33"/>
    <mergeCell ref="AN34:AN36"/>
    <mergeCell ref="AK66:AK67"/>
    <mergeCell ref="AK68:AK69"/>
    <mergeCell ref="AK74:AK75"/>
    <mergeCell ref="AK77:AK78"/>
    <mergeCell ref="AK80:AK83"/>
    <mergeCell ref="AN37:AN39"/>
    <mergeCell ref="AK64:AK65"/>
    <mergeCell ref="AN40:AN42"/>
    <mergeCell ref="AN43:AN45"/>
    <mergeCell ref="AN84:AN86"/>
    <mergeCell ref="AN87:AN94"/>
    <mergeCell ref="AN95:AN100"/>
    <mergeCell ref="A1:B1"/>
    <mergeCell ref="AN68:AN69"/>
    <mergeCell ref="AN70:AN71"/>
    <mergeCell ref="AN72:AN73"/>
    <mergeCell ref="AN74:AN75"/>
    <mergeCell ref="AN77:AN78"/>
    <mergeCell ref="AN80:AN83"/>
    <mergeCell ref="AN53:AN55"/>
    <mergeCell ref="AN56:AN58"/>
    <mergeCell ref="AN60:AN61"/>
    <mergeCell ref="AN62:AN63"/>
    <mergeCell ref="AN64:AN65"/>
    <mergeCell ref="AN66:AN67"/>
    <mergeCell ref="AK19:AK21"/>
    <mergeCell ref="AK22:AK24"/>
    <mergeCell ref="AK25:AK27"/>
    <mergeCell ref="AK28:AK30"/>
    <mergeCell ref="AK31:AK33"/>
    <mergeCell ref="AN46:AN52"/>
    <mergeCell ref="AK105:AK107"/>
    <mergeCell ref="AN105:AN107"/>
    <mergeCell ref="D101:D103"/>
    <mergeCell ref="G101:G103"/>
    <mergeCell ref="J101:J103"/>
    <mergeCell ref="M101:M103"/>
    <mergeCell ref="P101:P103"/>
    <mergeCell ref="S101:S103"/>
    <mergeCell ref="V101:V103"/>
    <mergeCell ref="Y101:Y103"/>
    <mergeCell ref="AB101:AB103"/>
    <mergeCell ref="AE101:AE103"/>
    <mergeCell ref="AH101:AH103"/>
    <mergeCell ref="AK101:AK103"/>
    <mergeCell ref="AN101:AN103"/>
    <mergeCell ref="AB105:AB107"/>
    <mergeCell ref="AE105:AE107"/>
    <mergeCell ref="AH105:AH107"/>
    <mergeCell ref="A105:A107"/>
    <mergeCell ref="D105:D107"/>
    <mergeCell ref="G105:G107"/>
    <mergeCell ref="J105:J107"/>
    <mergeCell ref="M105:M107"/>
    <mergeCell ref="P105:P107"/>
    <mergeCell ref="S105:S107"/>
    <mergeCell ref="V105:V107"/>
    <mergeCell ref="Y105:Y107"/>
  </mergeCells>
  <conditionalFormatting sqref="D6:D8">
    <cfRule type="cellIs" dxfId="3129" priority="3589" operator="equal">
      <formula>"-"</formula>
    </cfRule>
    <cfRule type="cellIs" dxfId="3128" priority="3590" operator="equal">
      <formula>"+"</formula>
    </cfRule>
  </conditionalFormatting>
  <conditionalFormatting sqref="E6">
    <cfRule type="cellIs" dxfId="3127" priority="3587" operator="equal">
      <formula>"-"</formula>
    </cfRule>
    <cfRule type="cellIs" dxfId="3126" priority="3588" operator="equal">
      <formula>"+"</formula>
    </cfRule>
  </conditionalFormatting>
  <conditionalFormatting sqref="E7">
    <cfRule type="cellIs" dxfId="3125" priority="3585" operator="equal">
      <formula>"-"</formula>
    </cfRule>
    <cfRule type="cellIs" dxfId="3124" priority="3586" operator="equal">
      <formula>"+"</formula>
    </cfRule>
  </conditionalFormatting>
  <conditionalFormatting sqref="E8">
    <cfRule type="cellIs" dxfId="3123" priority="3583" operator="equal">
      <formula>"-"</formula>
    </cfRule>
    <cfRule type="cellIs" dxfId="3122" priority="3584" operator="equal">
      <formula>"+"</formula>
    </cfRule>
  </conditionalFormatting>
  <conditionalFormatting sqref="D9:D11">
    <cfRule type="cellIs" dxfId="3121" priority="3581" operator="equal">
      <formula>"-"</formula>
    </cfRule>
    <cfRule type="cellIs" dxfId="3120" priority="3582" operator="equal">
      <formula>"+"</formula>
    </cfRule>
  </conditionalFormatting>
  <conditionalFormatting sqref="E9">
    <cfRule type="cellIs" dxfId="3119" priority="3579" operator="equal">
      <formula>"-"</formula>
    </cfRule>
    <cfRule type="cellIs" dxfId="3118" priority="3580" operator="equal">
      <formula>"+"</formula>
    </cfRule>
  </conditionalFormatting>
  <conditionalFormatting sqref="E10">
    <cfRule type="cellIs" dxfId="3117" priority="3577" operator="equal">
      <formula>"-"</formula>
    </cfRule>
    <cfRule type="cellIs" dxfId="3116" priority="3578" operator="equal">
      <formula>"+"</formula>
    </cfRule>
  </conditionalFormatting>
  <conditionalFormatting sqref="E11">
    <cfRule type="cellIs" dxfId="3115" priority="3575" operator="equal">
      <formula>"-"</formula>
    </cfRule>
    <cfRule type="cellIs" dxfId="3114" priority="3576" operator="equal">
      <formula>"+"</formula>
    </cfRule>
  </conditionalFormatting>
  <conditionalFormatting sqref="D12:D14">
    <cfRule type="cellIs" dxfId="3113" priority="3573" operator="equal">
      <formula>"-"</formula>
    </cfRule>
    <cfRule type="cellIs" dxfId="3112" priority="3574" operator="equal">
      <formula>"+"</formula>
    </cfRule>
  </conditionalFormatting>
  <conditionalFormatting sqref="E12">
    <cfRule type="cellIs" dxfId="3111" priority="3571" operator="equal">
      <formula>"-"</formula>
    </cfRule>
    <cfRule type="cellIs" dxfId="3110" priority="3572" operator="equal">
      <formula>"+"</formula>
    </cfRule>
  </conditionalFormatting>
  <conditionalFormatting sqref="E13">
    <cfRule type="cellIs" dxfId="3109" priority="3569" operator="equal">
      <formula>"-"</formula>
    </cfRule>
    <cfRule type="cellIs" dxfId="3108" priority="3570" operator="equal">
      <formula>"+"</formula>
    </cfRule>
  </conditionalFormatting>
  <conditionalFormatting sqref="E14">
    <cfRule type="cellIs" dxfId="3107" priority="3567" operator="equal">
      <formula>"-"</formula>
    </cfRule>
    <cfRule type="cellIs" dxfId="3106" priority="3568" operator="equal">
      <formula>"+"</formula>
    </cfRule>
  </conditionalFormatting>
  <conditionalFormatting sqref="D15:D18 G15:G18 J15:J18 M15:M18 P15:P18 S15:S18 V15:V18 Y15:Y18 AE15:AE18 AH15:AH18 AK15:AK18 AN15:AN18">
    <cfRule type="cellIs" dxfId="3105" priority="3565" operator="equal">
      <formula>"-"</formula>
    </cfRule>
    <cfRule type="cellIs" dxfId="3104" priority="3566" operator="equal">
      <formula>"+"</formula>
    </cfRule>
  </conditionalFormatting>
  <conditionalFormatting sqref="E15">
    <cfRule type="cellIs" dxfId="3103" priority="3563" operator="equal">
      <formula>"-"</formula>
    </cfRule>
    <cfRule type="cellIs" dxfId="3102" priority="3564" operator="equal">
      <formula>"+"</formula>
    </cfRule>
  </conditionalFormatting>
  <conditionalFormatting sqref="E16:E17">
    <cfRule type="cellIs" dxfId="3101" priority="3561" operator="equal">
      <formula>"-"</formula>
    </cfRule>
    <cfRule type="cellIs" dxfId="3100" priority="3562" operator="equal">
      <formula>"+"</formula>
    </cfRule>
  </conditionalFormatting>
  <conditionalFormatting sqref="E18">
    <cfRule type="cellIs" dxfId="3099" priority="3559" operator="equal">
      <formula>"-"</formula>
    </cfRule>
    <cfRule type="cellIs" dxfId="3098" priority="3560" operator="equal">
      <formula>"+"</formula>
    </cfRule>
  </conditionalFormatting>
  <conditionalFormatting sqref="D19:D21">
    <cfRule type="cellIs" dxfId="3097" priority="3557" operator="equal">
      <formula>"-"</formula>
    </cfRule>
    <cfRule type="cellIs" dxfId="3096" priority="3558" operator="equal">
      <formula>"+"</formula>
    </cfRule>
  </conditionalFormatting>
  <conditionalFormatting sqref="E19">
    <cfRule type="cellIs" dxfId="3095" priority="3555" operator="equal">
      <formula>"-"</formula>
    </cfRule>
    <cfRule type="cellIs" dxfId="3094" priority="3556" operator="equal">
      <formula>"+"</formula>
    </cfRule>
  </conditionalFormatting>
  <conditionalFormatting sqref="E20">
    <cfRule type="cellIs" dxfId="3093" priority="3553" operator="equal">
      <formula>"-"</formula>
    </cfRule>
    <cfRule type="cellIs" dxfId="3092" priority="3554" operator="equal">
      <formula>"+"</formula>
    </cfRule>
  </conditionalFormatting>
  <conditionalFormatting sqref="E21">
    <cfRule type="cellIs" dxfId="3091" priority="3551" operator="equal">
      <formula>"-"</formula>
    </cfRule>
    <cfRule type="cellIs" dxfId="3090" priority="3552" operator="equal">
      <formula>"+"</formula>
    </cfRule>
  </conditionalFormatting>
  <conditionalFormatting sqref="D22:D24">
    <cfRule type="cellIs" dxfId="3089" priority="3549" operator="equal">
      <formula>"-"</formula>
    </cfRule>
    <cfRule type="cellIs" dxfId="3088" priority="3550" operator="equal">
      <formula>"+"</formula>
    </cfRule>
  </conditionalFormatting>
  <conditionalFormatting sqref="E22">
    <cfRule type="cellIs" dxfId="3087" priority="3547" operator="equal">
      <formula>"-"</formula>
    </cfRule>
    <cfRule type="cellIs" dxfId="3086" priority="3548" operator="equal">
      <formula>"+"</formula>
    </cfRule>
  </conditionalFormatting>
  <conditionalFormatting sqref="E23">
    <cfRule type="cellIs" dxfId="3085" priority="3545" operator="equal">
      <formula>"-"</formula>
    </cfRule>
    <cfRule type="cellIs" dxfId="3084" priority="3546" operator="equal">
      <formula>"+"</formula>
    </cfRule>
  </conditionalFormatting>
  <conditionalFormatting sqref="E24">
    <cfRule type="cellIs" dxfId="3083" priority="3543" operator="equal">
      <formula>"-"</formula>
    </cfRule>
    <cfRule type="cellIs" dxfId="3082" priority="3544" operator="equal">
      <formula>"+"</formula>
    </cfRule>
  </conditionalFormatting>
  <conditionalFormatting sqref="D25:D27">
    <cfRule type="cellIs" dxfId="3081" priority="3541" operator="equal">
      <formula>"-"</formula>
    </cfRule>
    <cfRule type="cellIs" dxfId="3080" priority="3542" operator="equal">
      <formula>"+"</formula>
    </cfRule>
  </conditionalFormatting>
  <conditionalFormatting sqref="E25">
    <cfRule type="cellIs" dxfId="3079" priority="3539" operator="equal">
      <formula>"-"</formula>
    </cfRule>
    <cfRule type="cellIs" dxfId="3078" priority="3540" operator="equal">
      <formula>"+"</formula>
    </cfRule>
  </conditionalFormatting>
  <conditionalFormatting sqref="E26">
    <cfRule type="cellIs" dxfId="3077" priority="3537" operator="equal">
      <formula>"-"</formula>
    </cfRule>
    <cfRule type="cellIs" dxfId="3076" priority="3538" operator="equal">
      <formula>"+"</formula>
    </cfRule>
  </conditionalFormatting>
  <conditionalFormatting sqref="E27">
    <cfRule type="cellIs" dxfId="3075" priority="3535" operator="equal">
      <formula>"-"</formula>
    </cfRule>
    <cfRule type="cellIs" dxfId="3074" priority="3536" operator="equal">
      <formula>"+"</formula>
    </cfRule>
  </conditionalFormatting>
  <conditionalFormatting sqref="D28:D30">
    <cfRule type="cellIs" dxfId="3073" priority="3533" operator="equal">
      <formula>"-"</formula>
    </cfRule>
    <cfRule type="cellIs" dxfId="3072" priority="3534" operator="equal">
      <formula>"+"</formula>
    </cfRule>
  </conditionalFormatting>
  <conditionalFormatting sqref="E28">
    <cfRule type="cellIs" dxfId="3071" priority="3531" operator="equal">
      <formula>"-"</formula>
    </cfRule>
    <cfRule type="cellIs" dxfId="3070" priority="3532" operator="equal">
      <formula>"+"</formula>
    </cfRule>
  </conditionalFormatting>
  <conditionalFormatting sqref="E29">
    <cfRule type="cellIs" dxfId="3069" priority="3529" operator="equal">
      <formula>"-"</formula>
    </cfRule>
    <cfRule type="cellIs" dxfId="3068" priority="3530" operator="equal">
      <formula>"+"</formula>
    </cfRule>
  </conditionalFormatting>
  <conditionalFormatting sqref="E30">
    <cfRule type="cellIs" dxfId="3067" priority="3527" operator="equal">
      <formula>"-"</formula>
    </cfRule>
    <cfRule type="cellIs" dxfId="3066" priority="3528" operator="equal">
      <formula>"+"</formula>
    </cfRule>
  </conditionalFormatting>
  <conditionalFormatting sqref="D31:D33">
    <cfRule type="cellIs" dxfId="3065" priority="3525" operator="equal">
      <formula>"-"</formula>
    </cfRule>
    <cfRule type="cellIs" dxfId="3064" priority="3526" operator="equal">
      <formula>"+"</formula>
    </cfRule>
  </conditionalFormatting>
  <conditionalFormatting sqref="E31">
    <cfRule type="cellIs" dxfId="3063" priority="3523" operator="equal">
      <formula>"-"</formula>
    </cfRule>
    <cfRule type="cellIs" dxfId="3062" priority="3524" operator="equal">
      <formula>"+"</formula>
    </cfRule>
  </conditionalFormatting>
  <conditionalFormatting sqref="E32">
    <cfRule type="cellIs" dxfId="3061" priority="3521" operator="equal">
      <formula>"-"</formula>
    </cfRule>
    <cfRule type="cellIs" dxfId="3060" priority="3522" operator="equal">
      <formula>"+"</formula>
    </cfRule>
  </conditionalFormatting>
  <conditionalFormatting sqref="E33">
    <cfRule type="cellIs" dxfId="3059" priority="3519" operator="equal">
      <formula>"-"</formula>
    </cfRule>
    <cfRule type="cellIs" dxfId="3058" priority="3520" operator="equal">
      <formula>"+"</formula>
    </cfRule>
  </conditionalFormatting>
  <conditionalFormatting sqref="D34:D36">
    <cfRule type="cellIs" dxfId="3057" priority="3517" operator="equal">
      <formula>"-"</formula>
    </cfRule>
    <cfRule type="cellIs" dxfId="3056" priority="3518" operator="equal">
      <formula>"+"</formula>
    </cfRule>
  </conditionalFormatting>
  <conditionalFormatting sqref="E34">
    <cfRule type="cellIs" dxfId="3055" priority="3515" operator="equal">
      <formula>"-"</formula>
    </cfRule>
    <cfRule type="cellIs" dxfId="3054" priority="3516" operator="equal">
      <formula>"+"</formula>
    </cfRule>
  </conditionalFormatting>
  <conditionalFormatting sqref="E35">
    <cfRule type="cellIs" dxfId="3053" priority="3513" operator="equal">
      <formula>"-"</formula>
    </cfRule>
    <cfRule type="cellIs" dxfId="3052" priority="3514" operator="equal">
      <formula>"+"</formula>
    </cfRule>
  </conditionalFormatting>
  <conditionalFormatting sqref="E36">
    <cfRule type="cellIs" dxfId="3051" priority="3511" operator="equal">
      <formula>"-"</formula>
    </cfRule>
    <cfRule type="cellIs" dxfId="3050" priority="3512" operator="equal">
      <formula>"+"</formula>
    </cfRule>
  </conditionalFormatting>
  <conditionalFormatting sqref="D37:D39">
    <cfRule type="cellIs" dxfId="3049" priority="3509" operator="equal">
      <formula>"-"</formula>
    </cfRule>
    <cfRule type="cellIs" dxfId="3048" priority="3510" operator="equal">
      <formula>"+"</formula>
    </cfRule>
  </conditionalFormatting>
  <conditionalFormatting sqref="E37">
    <cfRule type="cellIs" dxfId="3047" priority="3507" operator="equal">
      <formula>"-"</formula>
    </cfRule>
    <cfRule type="cellIs" dxfId="3046" priority="3508" operator="equal">
      <formula>"+"</formula>
    </cfRule>
  </conditionalFormatting>
  <conditionalFormatting sqref="E38">
    <cfRule type="cellIs" dxfId="3045" priority="3505" operator="equal">
      <formula>"-"</formula>
    </cfRule>
    <cfRule type="cellIs" dxfId="3044" priority="3506" operator="equal">
      <formula>"+"</formula>
    </cfRule>
  </conditionalFormatting>
  <conditionalFormatting sqref="E39">
    <cfRule type="cellIs" dxfId="3043" priority="3503" operator="equal">
      <formula>"-"</formula>
    </cfRule>
    <cfRule type="cellIs" dxfId="3042" priority="3504" operator="equal">
      <formula>"+"</formula>
    </cfRule>
  </conditionalFormatting>
  <conditionalFormatting sqref="D40:D42">
    <cfRule type="cellIs" dxfId="3041" priority="3501" operator="equal">
      <formula>"-"</formula>
    </cfRule>
    <cfRule type="cellIs" dxfId="3040" priority="3502" operator="equal">
      <formula>"+"</formula>
    </cfRule>
  </conditionalFormatting>
  <conditionalFormatting sqref="E40">
    <cfRule type="cellIs" dxfId="3039" priority="3499" operator="equal">
      <formula>"-"</formula>
    </cfRule>
    <cfRule type="cellIs" dxfId="3038" priority="3500" operator="equal">
      <formula>"+"</formula>
    </cfRule>
  </conditionalFormatting>
  <conditionalFormatting sqref="E41">
    <cfRule type="cellIs" dxfId="3037" priority="3497" operator="equal">
      <formula>"-"</formula>
    </cfRule>
    <cfRule type="cellIs" dxfId="3036" priority="3498" operator="equal">
      <formula>"+"</formula>
    </cfRule>
  </conditionalFormatting>
  <conditionalFormatting sqref="E42">
    <cfRule type="cellIs" dxfId="3035" priority="3495" operator="equal">
      <formula>"-"</formula>
    </cfRule>
    <cfRule type="cellIs" dxfId="3034" priority="3496" operator="equal">
      <formula>"+"</formula>
    </cfRule>
  </conditionalFormatting>
  <conditionalFormatting sqref="D43:D45">
    <cfRule type="cellIs" dxfId="3033" priority="3493" operator="equal">
      <formula>"-"</formula>
    </cfRule>
    <cfRule type="cellIs" dxfId="3032" priority="3494" operator="equal">
      <formula>"+"</formula>
    </cfRule>
  </conditionalFormatting>
  <conditionalFormatting sqref="E43">
    <cfRule type="cellIs" dxfId="3031" priority="3491" operator="equal">
      <formula>"-"</formula>
    </cfRule>
    <cfRule type="cellIs" dxfId="3030" priority="3492" operator="equal">
      <formula>"+"</formula>
    </cfRule>
  </conditionalFormatting>
  <conditionalFormatting sqref="E44">
    <cfRule type="cellIs" dxfId="3029" priority="3489" operator="equal">
      <formula>"-"</formula>
    </cfRule>
    <cfRule type="cellIs" dxfId="3028" priority="3490" operator="equal">
      <formula>"+"</formula>
    </cfRule>
  </conditionalFormatting>
  <conditionalFormatting sqref="E45">
    <cfRule type="cellIs" dxfId="3027" priority="3487" operator="equal">
      <formula>"-"</formula>
    </cfRule>
    <cfRule type="cellIs" dxfId="3026" priority="3488" operator="equal">
      <formula>"+"</formula>
    </cfRule>
  </conditionalFormatting>
  <conditionalFormatting sqref="D53:D55">
    <cfRule type="cellIs" dxfId="3025" priority="3485" operator="equal">
      <formula>"-"</formula>
    </cfRule>
    <cfRule type="cellIs" dxfId="3024" priority="3486" operator="equal">
      <formula>"+"</formula>
    </cfRule>
  </conditionalFormatting>
  <conditionalFormatting sqref="E53">
    <cfRule type="cellIs" dxfId="3023" priority="3483" operator="equal">
      <formula>"-"</formula>
    </cfRule>
    <cfRule type="cellIs" dxfId="3022" priority="3484" operator="equal">
      <formula>"+"</formula>
    </cfRule>
  </conditionalFormatting>
  <conditionalFormatting sqref="E54">
    <cfRule type="cellIs" dxfId="3021" priority="3481" operator="equal">
      <formula>"-"</formula>
    </cfRule>
    <cfRule type="cellIs" dxfId="3020" priority="3482" operator="equal">
      <formula>"+"</formula>
    </cfRule>
  </conditionalFormatting>
  <conditionalFormatting sqref="E55">
    <cfRule type="cellIs" dxfId="3019" priority="3479" operator="equal">
      <formula>"-"</formula>
    </cfRule>
    <cfRule type="cellIs" dxfId="3018" priority="3480" operator="equal">
      <formula>"+"</formula>
    </cfRule>
  </conditionalFormatting>
  <conditionalFormatting sqref="D56:D58">
    <cfRule type="cellIs" dxfId="3017" priority="3477" operator="equal">
      <formula>"-"</formula>
    </cfRule>
    <cfRule type="cellIs" dxfId="3016" priority="3478" operator="equal">
      <formula>"+"</formula>
    </cfRule>
  </conditionalFormatting>
  <conditionalFormatting sqref="E56">
    <cfRule type="cellIs" dxfId="3015" priority="3475" operator="equal">
      <formula>"-"</formula>
    </cfRule>
    <cfRule type="cellIs" dxfId="3014" priority="3476" operator="equal">
      <formula>"+"</formula>
    </cfRule>
  </conditionalFormatting>
  <conditionalFormatting sqref="E57">
    <cfRule type="cellIs" dxfId="3013" priority="3473" operator="equal">
      <formula>"-"</formula>
    </cfRule>
    <cfRule type="cellIs" dxfId="3012" priority="3474" operator="equal">
      <formula>"+"</formula>
    </cfRule>
  </conditionalFormatting>
  <conditionalFormatting sqref="E58">
    <cfRule type="cellIs" dxfId="3011" priority="3471" operator="equal">
      <formula>"-"</formula>
    </cfRule>
    <cfRule type="cellIs" dxfId="3010" priority="3472" operator="equal">
      <formula>"+"</formula>
    </cfRule>
  </conditionalFormatting>
  <conditionalFormatting sqref="D46:D52">
    <cfRule type="cellIs" dxfId="3009" priority="3469" operator="equal">
      <formula>"-"</formula>
    </cfRule>
    <cfRule type="cellIs" dxfId="3008" priority="3470" operator="equal">
      <formula>"+"</formula>
    </cfRule>
  </conditionalFormatting>
  <conditionalFormatting sqref="E46">
    <cfRule type="cellIs" dxfId="3007" priority="3467" operator="equal">
      <formula>"-"</formula>
    </cfRule>
    <cfRule type="cellIs" dxfId="3006" priority="3468" operator="equal">
      <formula>"+"</formula>
    </cfRule>
  </conditionalFormatting>
  <conditionalFormatting sqref="E47">
    <cfRule type="cellIs" dxfId="3005" priority="3465" operator="equal">
      <formula>"-"</formula>
    </cfRule>
    <cfRule type="cellIs" dxfId="3004" priority="3466" operator="equal">
      <formula>"+"</formula>
    </cfRule>
  </conditionalFormatting>
  <conditionalFormatting sqref="E51">
    <cfRule type="cellIs" dxfId="3003" priority="3463" operator="equal">
      <formula>"-"</formula>
    </cfRule>
    <cfRule type="cellIs" dxfId="3002" priority="3464" operator="equal">
      <formula>"+"</formula>
    </cfRule>
  </conditionalFormatting>
  <conditionalFormatting sqref="E52">
    <cfRule type="cellIs" dxfId="3001" priority="3461" operator="equal">
      <formula>"-"</formula>
    </cfRule>
    <cfRule type="cellIs" dxfId="3000" priority="3462" operator="equal">
      <formula>"+"</formula>
    </cfRule>
  </conditionalFormatting>
  <conditionalFormatting sqref="E48">
    <cfRule type="cellIs" dxfId="2999" priority="3459" operator="equal">
      <formula>"-"</formula>
    </cfRule>
    <cfRule type="cellIs" dxfId="2998" priority="3460" operator="equal">
      <formula>"+"</formula>
    </cfRule>
  </conditionalFormatting>
  <conditionalFormatting sqref="E49">
    <cfRule type="cellIs" dxfId="2997" priority="3457" operator="equal">
      <formula>"-"</formula>
    </cfRule>
    <cfRule type="cellIs" dxfId="2996" priority="3458" operator="equal">
      <formula>"+"</formula>
    </cfRule>
  </conditionalFormatting>
  <conditionalFormatting sqref="E50">
    <cfRule type="cellIs" dxfId="2995" priority="3455" operator="equal">
      <formula>"-"</formula>
    </cfRule>
    <cfRule type="cellIs" dxfId="2994" priority="3456" operator="equal">
      <formula>"+"</formula>
    </cfRule>
  </conditionalFormatting>
  <conditionalFormatting sqref="E60">
    <cfRule type="cellIs" dxfId="2993" priority="3453" operator="equal">
      <formula>"-"</formula>
    </cfRule>
    <cfRule type="cellIs" dxfId="2992" priority="3454" operator="equal">
      <formula>"+"</formula>
    </cfRule>
  </conditionalFormatting>
  <conditionalFormatting sqref="E70">
    <cfRule type="cellIs" dxfId="2991" priority="3451" operator="equal">
      <formula>"-"</formula>
    </cfRule>
    <cfRule type="cellIs" dxfId="2990" priority="3452" operator="equal">
      <formula>"+"</formula>
    </cfRule>
  </conditionalFormatting>
  <conditionalFormatting sqref="E72">
    <cfRule type="cellIs" dxfId="2989" priority="3449" operator="equal">
      <formula>"-"</formula>
    </cfRule>
    <cfRule type="cellIs" dxfId="2988" priority="3450" operator="equal">
      <formula>"+"</formula>
    </cfRule>
  </conditionalFormatting>
  <conditionalFormatting sqref="E74">
    <cfRule type="cellIs" dxfId="2987" priority="3447" operator="equal">
      <formula>"-"</formula>
    </cfRule>
    <cfRule type="cellIs" dxfId="2986" priority="3448" operator="equal">
      <formula>"+"</formula>
    </cfRule>
  </conditionalFormatting>
  <conditionalFormatting sqref="E61">
    <cfRule type="cellIs" dxfId="2985" priority="3445" operator="equal">
      <formula>"-"</formula>
    </cfRule>
    <cfRule type="cellIs" dxfId="2984" priority="3446" operator="equal">
      <formula>"+"</formula>
    </cfRule>
  </conditionalFormatting>
  <conditionalFormatting sqref="E71">
    <cfRule type="cellIs" dxfId="2983" priority="3443" operator="equal">
      <formula>"-"</formula>
    </cfRule>
    <cfRule type="cellIs" dxfId="2982" priority="3444" operator="equal">
      <formula>"+"</formula>
    </cfRule>
  </conditionalFormatting>
  <conditionalFormatting sqref="E73">
    <cfRule type="cellIs" dxfId="2981" priority="3441" operator="equal">
      <formula>"-"</formula>
    </cfRule>
    <cfRule type="cellIs" dxfId="2980" priority="3442" operator="equal">
      <formula>"+"</formula>
    </cfRule>
  </conditionalFormatting>
  <conditionalFormatting sqref="E75">
    <cfRule type="cellIs" dxfId="2979" priority="3439" operator="equal">
      <formula>"-"</formula>
    </cfRule>
    <cfRule type="cellIs" dxfId="2978" priority="3440" operator="equal">
      <formula>"+"</formula>
    </cfRule>
  </conditionalFormatting>
  <conditionalFormatting sqref="D60:D61">
    <cfRule type="cellIs" dxfId="2977" priority="3437" operator="equal">
      <formula>"-"</formula>
    </cfRule>
    <cfRule type="cellIs" dxfId="2976" priority="3438" operator="equal">
      <formula>"+"</formula>
    </cfRule>
  </conditionalFormatting>
  <conditionalFormatting sqref="D70:D71">
    <cfRule type="cellIs" dxfId="2975" priority="3435" operator="equal">
      <formula>"-"</formula>
    </cfRule>
    <cfRule type="cellIs" dxfId="2974" priority="3436" operator="equal">
      <formula>"+"</formula>
    </cfRule>
  </conditionalFormatting>
  <conditionalFormatting sqref="D72:D73">
    <cfRule type="cellIs" dxfId="2973" priority="3433" operator="equal">
      <formula>"-"</formula>
    </cfRule>
    <cfRule type="cellIs" dxfId="2972" priority="3434" operator="equal">
      <formula>"+"</formula>
    </cfRule>
  </conditionalFormatting>
  <conditionalFormatting sqref="D74:D75">
    <cfRule type="cellIs" dxfId="2971" priority="3431" operator="equal">
      <formula>"-"</formula>
    </cfRule>
    <cfRule type="cellIs" dxfId="2970" priority="3432" operator="equal">
      <formula>"+"</formula>
    </cfRule>
  </conditionalFormatting>
  <conditionalFormatting sqref="D62:D63">
    <cfRule type="cellIs" dxfId="2969" priority="3429" operator="equal">
      <formula>"+"</formula>
    </cfRule>
    <cfRule type="cellIs" dxfId="2968" priority="3430" operator="equal">
      <formula>"-"</formula>
    </cfRule>
  </conditionalFormatting>
  <conditionalFormatting sqref="E62">
    <cfRule type="cellIs" dxfId="2967" priority="3427" operator="equal">
      <formula>"-"</formula>
    </cfRule>
    <cfRule type="cellIs" dxfId="2966" priority="3428" operator="equal">
      <formula>"+"</formula>
    </cfRule>
  </conditionalFormatting>
  <conditionalFormatting sqref="E63">
    <cfRule type="cellIs" dxfId="2965" priority="3425" operator="equal">
      <formula>"-"</formula>
    </cfRule>
    <cfRule type="cellIs" dxfId="2964" priority="3426" operator="equal">
      <formula>"+"</formula>
    </cfRule>
  </conditionalFormatting>
  <conditionalFormatting sqref="D64:D65">
    <cfRule type="cellIs" dxfId="2963" priority="3423" operator="equal">
      <formula>"+"</formula>
    </cfRule>
    <cfRule type="cellIs" dxfId="2962" priority="3424" operator="equal">
      <formula>"-"</formula>
    </cfRule>
  </conditionalFormatting>
  <conditionalFormatting sqref="E64">
    <cfRule type="cellIs" dxfId="2961" priority="3421" operator="equal">
      <formula>"-"</formula>
    </cfRule>
    <cfRule type="cellIs" dxfId="2960" priority="3422" operator="equal">
      <formula>"+"</formula>
    </cfRule>
  </conditionalFormatting>
  <conditionalFormatting sqref="E65">
    <cfRule type="cellIs" dxfId="2959" priority="3419" operator="equal">
      <formula>"-"</formula>
    </cfRule>
    <cfRule type="cellIs" dxfId="2958" priority="3420" operator="equal">
      <formula>"+"</formula>
    </cfRule>
  </conditionalFormatting>
  <conditionalFormatting sqref="D66:D67">
    <cfRule type="cellIs" dxfId="2957" priority="3417" operator="equal">
      <formula>"+"</formula>
    </cfRule>
    <cfRule type="cellIs" dxfId="2956" priority="3418" operator="equal">
      <formula>"-"</formula>
    </cfRule>
  </conditionalFormatting>
  <conditionalFormatting sqref="E66">
    <cfRule type="cellIs" dxfId="2955" priority="3415" operator="equal">
      <formula>"-"</formula>
    </cfRule>
    <cfRule type="cellIs" dxfId="2954" priority="3416" operator="equal">
      <formula>"+"</formula>
    </cfRule>
  </conditionalFormatting>
  <conditionalFormatting sqref="E67">
    <cfRule type="cellIs" dxfId="2953" priority="3413" operator="equal">
      <formula>"-"</formula>
    </cfRule>
    <cfRule type="cellIs" dxfId="2952" priority="3414" operator="equal">
      <formula>"+"</formula>
    </cfRule>
  </conditionalFormatting>
  <conditionalFormatting sqref="D68:D69">
    <cfRule type="cellIs" dxfId="2951" priority="3411" operator="equal">
      <formula>"+"</formula>
    </cfRule>
    <cfRule type="cellIs" dxfId="2950" priority="3412" operator="equal">
      <formula>"-"</formula>
    </cfRule>
  </conditionalFormatting>
  <conditionalFormatting sqref="E68">
    <cfRule type="cellIs" dxfId="2949" priority="3409" operator="equal">
      <formula>"-"</formula>
    </cfRule>
    <cfRule type="cellIs" dxfId="2948" priority="3410" operator="equal">
      <formula>"+"</formula>
    </cfRule>
  </conditionalFormatting>
  <conditionalFormatting sqref="E69">
    <cfRule type="cellIs" dxfId="2947" priority="3407" operator="equal">
      <formula>"-"</formula>
    </cfRule>
    <cfRule type="cellIs" dxfId="2946" priority="3408" operator="equal">
      <formula>"+"</formula>
    </cfRule>
  </conditionalFormatting>
  <conditionalFormatting sqref="D77:D78">
    <cfRule type="cellIs" dxfId="2945" priority="3405" operator="equal">
      <formula>"+"</formula>
    </cfRule>
    <cfRule type="cellIs" dxfId="2944" priority="3406" operator="equal">
      <formula>"-"</formula>
    </cfRule>
  </conditionalFormatting>
  <conditionalFormatting sqref="E77">
    <cfRule type="cellIs" dxfId="2943" priority="3403" operator="equal">
      <formula>"-"</formula>
    </cfRule>
    <cfRule type="cellIs" dxfId="2942" priority="3404" operator="equal">
      <formula>"+"</formula>
    </cfRule>
  </conditionalFormatting>
  <conditionalFormatting sqref="E78">
    <cfRule type="cellIs" dxfId="2941" priority="3401" operator="equal">
      <formula>"-"</formula>
    </cfRule>
    <cfRule type="cellIs" dxfId="2940" priority="3402" operator="equal">
      <formula>"+"</formula>
    </cfRule>
  </conditionalFormatting>
  <conditionalFormatting sqref="D80:D83">
    <cfRule type="cellIs" dxfId="2939" priority="3399" operator="equal">
      <formula>"-"</formula>
    </cfRule>
    <cfRule type="cellIs" dxfId="2938" priority="3400" operator="equal">
      <formula>"+"</formula>
    </cfRule>
  </conditionalFormatting>
  <conditionalFormatting sqref="E80">
    <cfRule type="cellIs" dxfId="2937" priority="3397" operator="equal">
      <formula>"-"</formula>
    </cfRule>
    <cfRule type="cellIs" dxfId="2936" priority="3398" operator="equal">
      <formula>"+"</formula>
    </cfRule>
  </conditionalFormatting>
  <conditionalFormatting sqref="E81:E82">
    <cfRule type="cellIs" dxfId="2935" priority="3395" operator="equal">
      <formula>"-"</formula>
    </cfRule>
    <cfRule type="cellIs" dxfId="2934" priority="3396" operator="equal">
      <formula>"+"</formula>
    </cfRule>
  </conditionalFormatting>
  <conditionalFormatting sqref="E83">
    <cfRule type="cellIs" dxfId="2933" priority="3393" operator="equal">
      <formula>"-"</formula>
    </cfRule>
    <cfRule type="cellIs" dxfId="2932" priority="3394" operator="equal">
      <formula>"+"</formula>
    </cfRule>
  </conditionalFormatting>
  <conditionalFormatting sqref="D87:D94">
    <cfRule type="cellIs" dxfId="2931" priority="3391" operator="equal">
      <formula>"-"</formula>
    </cfRule>
    <cfRule type="cellIs" dxfId="2930" priority="3392" operator="equal">
      <formula>"+"</formula>
    </cfRule>
  </conditionalFormatting>
  <conditionalFormatting sqref="E87">
    <cfRule type="cellIs" dxfId="2929" priority="3389" operator="equal">
      <formula>"-"</formula>
    </cfRule>
    <cfRule type="cellIs" dxfId="2928" priority="3390" operator="equal">
      <formula>"+"</formula>
    </cfRule>
  </conditionalFormatting>
  <conditionalFormatting sqref="E88:E93">
    <cfRule type="cellIs" dxfId="2927" priority="3387" operator="equal">
      <formula>"-"</formula>
    </cfRule>
    <cfRule type="cellIs" dxfId="2926" priority="3388" operator="equal">
      <formula>"+"</formula>
    </cfRule>
  </conditionalFormatting>
  <conditionalFormatting sqref="E94">
    <cfRule type="cellIs" dxfId="2925" priority="3385" operator="equal">
      <formula>"-"</formula>
    </cfRule>
    <cfRule type="cellIs" dxfId="2924" priority="3386" operator="equal">
      <formula>"+"</formula>
    </cfRule>
  </conditionalFormatting>
  <conditionalFormatting sqref="D95:D100">
    <cfRule type="cellIs" dxfId="2923" priority="3383" operator="equal">
      <formula>"-"</formula>
    </cfRule>
    <cfRule type="cellIs" dxfId="2922" priority="3384" operator="equal">
      <formula>"+"</formula>
    </cfRule>
  </conditionalFormatting>
  <conditionalFormatting sqref="E95">
    <cfRule type="cellIs" dxfId="2921" priority="3381" operator="equal">
      <formula>"-"</formula>
    </cfRule>
    <cfRule type="cellIs" dxfId="2920" priority="3382" operator="equal">
      <formula>"+"</formula>
    </cfRule>
  </conditionalFormatting>
  <conditionalFormatting sqref="E96:E99">
    <cfRule type="cellIs" dxfId="2919" priority="3379" operator="equal">
      <formula>"-"</formula>
    </cfRule>
    <cfRule type="cellIs" dxfId="2918" priority="3380" operator="equal">
      <formula>"+"</formula>
    </cfRule>
  </conditionalFormatting>
  <conditionalFormatting sqref="E100">
    <cfRule type="cellIs" dxfId="2917" priority="3377" operator="equal">
      <formula>"-"</formula>
    </cfRule>
    <cfRule type="cellIs" dxfId="2916" priority="3378" operator="equal">
      <formula>"+"</formula>
    </cfRule>
  </conditionalFormatting>
  <conditionalFormatting sqref="D84:D86">
    <cfRule type="cellIs" dxfId="2915" priority="3375" operator="equal">
      <formula>"-"</formula>
    </cfRule>
    <cfRule type="cellIs" dxfId="2914" priority="3376" operator="equal">
      <formula>"+"</formula>
    </cfRule>
  </conditionalFormatting>
  <conditionalFormatting sqref="E84">
    <cfRule type="cellIs" dxfId="2913" priority="3373" operator="equal">
      <formula>"-"</formula>
    </cfRule>
    <cfRule type="cellIs" dxfId="2912" priority="3374" operator="equal">
      <formula>"+"</formula>
    </cfRule>
  </conditionalFormatting>
  <conditionalFormatting sqref="E85">
    <cfRule type="cellIs" dxfId="2911" priority="3371" operator="equal">
      <formula>"-"</formula>
    </cfRule>
    <cfRule type="cellIs" dxfId="2910" priority="3372" operator="equal">
      <formula>"+"</formula>
    </cfRule>
  </conditionalFormatting>
  <conditionalFormatting sqref="E86">
    <cfRule type="cellIs" dxfId="2909" priority="3369" operator="equal">
      <formula>"-"</formula>
    </cfRule>
    <cfRule type="cellIs" dxfId="2908" priority="3370" operator="equal">
      <formula>"+"</formula>
    </cfRule>
  </conditionalFormatting>
  <conditionalFormatting sqref="D101:D103">
    <cfRule type="cellIs" dxfId="2907" priority="3367" operator="equal">
      <formula>"-"</formula>
    </cfRule>
    <cfRule type="cellIs" dxfId="2906" priority="3368" operator="equal">
      <formula>"+"</formula>
    </cfRule>
  </conditionalFormatting>
  <conditionalFormatting sqref="E101">
    <cfRule type="cellIs" dxfId="2905" priority="3365" operator="equal">
      <formula>"-"</formula>
    </cfRule>
    <cfRule type="cellIs" dxfId="2904" priority="3366" operator="equal">
      <formula>"+"</formula>
    </cfRule>
  </conditionalFormatting>
  <conditionalFormatting sqref="E102">
    <cfRule type="cellIs" dxfId="2903" priority="3363" operator="equal">
      <formula>"-"</formula>
    </cfRule>
    <cfRule type="cellIs" dxfId="2902" priority="3364" operator="equal">
      <formula>"+"</formula>
    </cfRule>
  </conditionalFormatting>
  <conditionalFormatting sqref="E103">
    <cfRule type="cellIs" dxfId="2901" priority="3361" operator="equal">
      <formula>"-"</formula>
    </cfRule>
    <cfRule type="cellIs" dxfId="2900" priority="3362" operator="equal">
      <formula>"+"</formula>
    </cfRule>
  </conditionalFormatting>
  <conditionalFormatting sqref="G6:G8">
    <cfRule type="cellIs" dxfId="2899" priority="3359" operator="equal">
      <formula>"-"</formula>
    </cfRule>
    <cfRule type="cellIs" dxfId="2898" priority="3360" operator="equal">
      <formula>"+"</formula>
    </cfRule>
  </conditionalFormatting>
  <conditionalFormatting sqref="H6">
    <cfRule type="cellIs" dxfId="2897" priority="3357" operator="equal">
      <formula>"-"</formula>
    </cfRule>
    <cfRule type="cellIs" dxfId="2896" priority="3358" operator="equal">
      <formula>"+"</formula>
    </cfRule>
  </conditionalFormatting>
  <conditionalFormatting sqref="H7">
    <cfRule type="cellIs" dxfId="2895" priority="3355" operator="equal">
      <formula>"-"</formula>
    </cfRule>
    <cfRule type="cellIs" dxfId="2894" priority="3356" operator="equal">
      <formula>"+"</formula>
    </cfRule>
  </conditionalFormatting>
  <conditionalFormatting sqref="H8">
    <cfRule type="cellIs" dxfId="2893" priority="3353" operator="equal">
      <formula>"-"</formula>
    </cfRule>
    <cfRule type="cellIs" dxfId="2892" priority="3354" operator="equal">
      <formula>"+"</formula>
    </cfRule>
  </conditionalFormatting>
  <conditionalFormatting sqref="G9:G11">
    <cfRule type="cellIs" dxfId="2891" priority="3351" operator="equal">
      <formula>"-"</formula>
    </cfRule>
    <cfRule type="cellIs" dxfId="2890" priority="3352" operator="equal">
      <formula>"+"</formula>
    </cfRule>
  </conditionalFormatting>
  <conditionalFormatting sqref="H9">
    <cfRule type="cellIs" dxfId="2889" priority="3349" operator="equal">
      <formula>"-"</formula>
    </cfRule>
    <cfRule type="cellIs" dxfId="2888" priority="3350" operator="equal">
      <formula>"+"</formula>
    </cfRule>
  </conditionalFormatting>
  <conditionalFormatting sqref="H10">
    <cfRule type="cellIs" dxfId="2887" priority="3347" operator="equal">
      <formula>"-"</formula>
    </cfRule>
    <cfRule type="cellIs" dxfId="2886" priority="3348" operator="equal">
      <formula>"+"</formula>
    </cfRule>
  </conditionalFormatting>
  <conditionalFormatting sqref="H11">
    <cfRule type="cellIs" dxfId="2885" priority="3345" operator="equal">
      <formula>"-"</formula>
    </cfRule>
    <cfRule type="cellIs" dxfId="2884" priority="3346" operator="equal">
      <formula>"+"</formula>
    </cfRule>
  </conditionalFormatting>
  <conditionalFormatting sqref="G12:G14">
    <cfRule type="cellIs" dxfId="2883" priority="3343" operator="equal">
      <formula>"-"</formula>
    </cfRule>
    <cfRule type="cellIs" dxfId="2882" priority="3344" operator="equal">
      <formula>"+"</formula>
    </cfRule>
  </conditionalFormatting>
  <conditionalFormatting sqref="H12">
    <cfRule type="cellIs" dxfId="2881" priority="3341" operator="equal">
      <formula>"-"</formula>
    </cfRule>
    <cfRule type="cellIs" dxfId="2880" priority="3342" operator="equal">
      <formula>"+"</formula>
    </cfRule>
  </conditionalFormatting>
  <conditionalFormatting sqref="H13">
    <cfRule type="cellIs" dxfId="2879" priority="3339" operator="equal">
      <formula>"-"</formula>
    </cfRule>
    <cfRule type="cellIs" dxfId="2878" priority="3340" operator="equal">
      <formula>"+"</formula>
    </cfRule>
  </conditionalFormatting>
  <conditionalFormatting sqref="H14">
    <cfRule type="cellIs" dxfId="2877" priority="3337" operator="equal">
      <formula>"-"</formula>
    </cfRule>
    <cfRule type="cellIs" dxfId="2876" priority="3338" operator="equal">
      <formula>"+"</formula>
    </cfRule>
  </conditionalFormatting>
  <conditionalFormatting sqref="H15">
    <cfRule type="cellIs" dxfId="2875" priority="3335" operator="equal">
      <formula>"-"</formula>
    </cfRule>
    <cfRule type="cellIs" dxfId="2874" priority="3336" operator="equal">
      <formula>"+"</formula>
    </cfRule>
  </conditionalFormatting>
  <conditionalFormatting sqref="H16:H17">
    <cfRule type="cellIs" dxfId="2873" priority="3333" operator="equal">
      <formula>"-"</formula>
    </cfRule>
    <cfRule type="cellIs" dxfId="2872" priority="3334" operator="equal">
      <formula>"+"</formula>
    </cfRule>
  </conditionalFormatting>
  <conditionalFormatting sqref="H18">
    <cfRule type="cellIs" dxfId="2871" priority="3331" operator="equal">
      <formula>"-"</formula>
    </cfRule>
    <cfRule type="cellIs" dxfId="2870" priority="3332" operator="equal">
      <formula>"+"</formula>
    </cfRule>
  </conditionalFormatting>
  <conditionalFormatting sqref="H62">
    <cfRule type="cellIs" dxfId="2869" priority="3199" operator="equal">
      <formula>"-"</formula>
    </cfRule>
    <cfRule type="cellIs" dxfId="2868" priority="3200" operator="equal">
      <formula>"+"</formula>
    </cfRule>
  </conditionalFormatting>
  <conditionalFormatting sqref="H64">
    <cfRule type="cellIs" dxfId="2867" priority="3193" operator="equal">
      <formula>"-"</formula>
    </cfRule>
    <cfRule type="cellIs" dxfId="2866" priority="3194" operator="equal">
      <formula>"+"</formula>
    </cfRule>
  </conditionalFormatting>
  <conditionalFormatting sqref="G22:G24">
    <cfRule type="cellIs" dxfId="2865" priority="3321" operator="equal">
      <formula>"-"</formula>
    </cfRule>
    <cfRule type="cellIs" dxfId="2864" priority="3322" operator="equal">
      <formula>"+"</formula>
    </cfRule>
  </conditionalFormatting>
  <conditionalFormatting sqref="H22">
    <cfRule type="cellIs" dxfId="2863" priority="3319" operator="equal">
      <formula>"-"</formula>
    </cfRule>
    <cfRule type="cellIs" dxfId="2862" priority="3320" operator="equal">
      <formula>"+"</formula>
    </cfRule>
  </conditionalFormatting>
  <conditionalFormatting sqref="H23">
    <cfRule type="cellIs" dxfId="2861" priority="3317" operator="equal">
      <formula>"-"</formula>
    </cfRule>
    <cfRule type="cellIs" dxfId="2860" priority="3318" operator="equal">
      <formula>"+"</formula>
    </cfRule>
  </conditionalFormatting>
  <conditionalFormatting sqref="H24">
    <cfRule type="cellIs" dxfId="2859" priority="3315" operator="equal">
      <formula>"-"</formula>
    </cfRule>
    <cfRule type="cellIs" dxfId="2858" priority="3316" operator="equal">
      <formula>"+"</formula>
    </cfRule>
  </conditionalFormatting>
  <conditionalFormatting sqref="G25:G27">
    <cfRule type="cellIs" dxfId="2857" priority="3313" operator="equal">
      <formula>"-"</formula>
    </cfRule>
    <cfRule type="cellIs" dxfId="2856" priority="3314" operator="equal">
      <formula>"+"</formula>
    </cfRule>
  </conditionalFormatting>
  <conditionalFormatting sqref="H25">
    <cfRule type="cellIs" dxfId="2855" priority="3311" operator="equal">
      <formula>"-"</formula>
    </cfRule>
    <cfRule type="cellIs" dxfId="2854" priority="3312" operator="equal">
      <formula>"+"</formula>
    </cfRule>
  </conditionalFormatting>
  <conditionalFormatting sqref="H26">
    <cfRule type="cellIs" dxfId="2853" priority="3309" operator="equal">
      <formula>"-"</formula>
    </cfRule>
    <cfRule type="cellIs" dxfId="2852" priority="3310" operator="equal">
      <formula>"+"</formula>
    </cfRule>
  </conditionalFormatting>
  <conditionalFormatting sqref="H27">
    <cfRule type="cellIs" dxfId="2851" priority="3307" operator="equal">
      <formula>"-"</formula>
    </cfRule>
    <cfRule type="cellIs" dxfId="2850" priority="3308" operator="equal">
      <formula>"+"</formula>
    </cfRule>
  </conditionalFormatting>
  <conditionalFormatting sqref="G28:G30">
    <cfRule type="cellIs" dxfId="2849" priority="3305" operator="equal">
      <formula>"-"</formula>
    </cfRule>
    <cfRule type="cellIs" dxfId="2848" priority="3306" operator="equal">
      <formula>"+"</formula>
    </cfRule>
  </conditionalFormatting>
  <conditionalFormatting sqref="H28">
    <cfRule type="cellIs" dxfId="2847" priority="3303" operator="equal">
      <formula>"-"</formula>
    </cfRule>
    <cfRule type="cellIs" dxfId="2846" priority="3304" operator="equal">
      <formula>"+"</formula>
    </cfRule>
  </conditionalFormatting>
  <conditionalFormatting sqref="H29">
    <cfRule type="cellIs" dxfId="2845" priority="3301" operator="equal">
      <formula>"-"</formula>
    </cfRule>
    <cfRule type="cellIs" dxfId="2844" priority="3302" operator="equal">
      <formula>"+"</formula>
    </cfRule>
  </conditionalFormatting>
  <conditionalFormatting sqref="H30">
    <cfRule type="cellIs" dxfId="2843" priority="3299" operator="equal">
      <formula>"-"</formula>
    </cfRule>
    <cfRule type="cellIs" dxfId="2842" priority="3300" operator="equal">
      <formula>"+"</formula>
    </cfRule>
  </conditionalFormatting>
  <conditionalFormatting sqref="G31:G33">
    <cfRule type="cellIs" dxfId="2841" priority="3297" operator="equal">
      <formula>"-"</formula>
    </cfRule>
    <cfRule type="cellIs" dxfId="2840" priority="3298" operator="equal">
      <formula>"+"</formula>
    </cfRule>
  </conditionalFormatting>
  <conditionalFormatting sqref="H31">
    <cfRule type="cellIs" dxfId="2839" priority="3295" operator="equal">
      <formula>"-"</formula>
    </cfRule>
    <cfRule type="cellIs" dxfId="2838" priority="3296" operator="equal">
      <formula>"+"</formula>
    </cfRule>
  </conditionalFormatting>
  <conditionalFormatting sqref="H32">
    <cfRule type="cellIs" dxfId="2837" priority="3293" operator="equal">
      <formula>"-"</formula>
    </cfRule>
    <cfRule type="cellIs" dxfId="2836" priority="3294" operator="equal">
      <formula>"+"</formula>
    </cfRule>
  </conditionalFormatting>
  <conditionalFormatting sqref="H33">
    <cfRule type="cellIs" dxfId="2835" priority="3291" operator="equal">
      <formula>"-"</formula>
    </cfRule>
    <cfRule type="cellIs" dxfId="2834" priority="3292" operator="equal">
      <formula>"+"</formula>
    </cfRule>
  </conditionalFormatting>
  <conditionalFormatting sqref="G34:G36">
    <cfRule type="cellIs" dxfId="2833" priority="3289" operator="equal">
      <formula>"-"</formula>
    </cfRule>
    <cfRule type="cellIs" dxfId="2832" priority="3290" operator="equal">
      <formula>"+"</formula>
    </cfRule>
  </conditionalFormatting>
  <conditionalFormatting sqref="H34">
    <cfRule type="cellIs" dxfId="2831" priority="3287" operator="equal">
      <formula>"-"</formula>
    </cfRule>
    <cfRule type="cellIs" dxfId="2830" priority="3288" operator="equal">
      <formula>"+"</formula>
    </cfRule>
  </conditionalFormatting>
  <conditionalFormatting sqref="H35">
    <cfRule type="cellIs" dxfId="2829" priority="3285" operator="equal">
      <formula>"-"</formula>
    </cfRule>
    <cfRule type="cellIs" dxfId="2828" priority="3286" operator="equal">
      <formula>"+"</formula>
    </cfRule>
  </conditionalFormatting>
  <conditionalFormatting sqref="H36">
    <cfRule type="cellIs" dxfId="2827" priority="3283" operator="equal">
      <formula>"-"</formula>
    </cfRule>
    <cfRule type="cellIs" dxfId="2826" priority="3284" operator="equal">
      <formula>"+"</formula>
    </cfRule>
  </conditionalFormatting>
  <conditionalFormatting sqref="G37:G39">
    <cfRule type="cellIs" dxfId="2825" priority="3281" operator="equal">
      <formula>"-"</formula>
    </cfRule>
    <cfRule type="cellIs" dxfId="2824" priority="3282" operator="equal">
      <formula>"+"</formula>
    </cfRule>
  </conditionalFormatting>
  <conditionalFormatting sqref="H37">
    <cfRule type="cellIs" dxfId="2823" priority="3279" operator="equal">
      <formula>"-"</formula>
    </cfRule>
    <cfRule type="cellIs" dxfId="2822" priority="3280" operator="equal">
      <formula>"+"</formula>
    </cfRule>
  </conditionalFormatting>
  <conditionalFormatting sqref="H38">
    <cfRule type="cellIs" dxfId="2821" priority="3277" operator="equal">
      <formula>"-"</formula>
    </cfRule>
    <cfRule type="cellIs" dxfId="2820" priority="3278" operator="equal">
      <formula>"+"</formula>
    </cfRule>
  </conditionalFormatting>
  <conditionalFormatting sqref="H39">
    <cfRule type="cellIs" dxfId="2819" priority="3275" operator="equal">
      <formula>"-"</formula>
    </cfRule>
    <cfRule type="cellIs" dxfId="2818" priority="3276" operator="equal">
      <formula>"+"</formula>
    </cfRule>
  </conditionalFormatting>
  <conditionalFormatting sqref="G40:G42">
    <cfRule type="cellIs" dxfId="2817" priority="3273" operator="equal">
      <formula>"-"</formula>
    </cfRule>
    <cfRule type="cellIs" dxfId="2816" priority="3274" operator="equal">
      <formula>"+"</formula>
    </cfRule>
  </conditionalFormatting>
  <conditionalFormatting sqref="H40">
    <cfRule type="cellIs" dxfId="2815" priority="3271" operator="equal">
      <formula>"-"</formula>
    </cfRule>
    <cfRule type="cellIs" dxfId="2814" priority="3272" operator="equal">
      <formula>"+"</formula>
    </cfRule>
  </conditionalFormatting>
  <conditionalFormatting sqref="H41">
    <cfRule type="cellIs" dxfId="2813" priority="3269" operator="equal">
      <formula>"-"</formula>
    </cfRule>
    <cfRule type="cellIs" dxfId="2812" priority="3270" operator="equal">
      <formula>"+"</formula>
    </cfRule>
  </conditionalFormatting>
  <conditionalFormatting sqref="H42">
    <cfRule type="cellIs" dxfId="2811" priority="3267" operator="equal">
      <formula>"-"</formula>
    </cfRule>
    <cfRule type="cellIs" dxfId="2810" priority="3268" operator="equal">
      <formula>"+"</formula>
    </cfRule>
  </conditionalFormatting>
  <conditionalFormatting sqref="G43:G45">
    <cfRule type="cellIs" dxfId="2809" priority="3265" operator="equal">
      <formula>"-"</formula>
    </cfRule>
    <cfRule type="cellIs" dxfId="2808" priority="3266" operator="equal">
      <formula>"+"</formula>
    </cfRule>
  </conditionalFormatting>
  <conditionalFormatting sqref="H43">
    <cfRule type="cellIs" dxfId="2807" priority="3263" operator="equal">
      <formula>"-"</formula>
    </cfRule>
    <cfRule type="cellIs" dxfId="2806" priority="3264" operator="equal">
      <formula>"+"</formula>
    </cfRule>
  </conditionalFormatting>
  <conditionalFormatting sqref="H44">
    <cfRule type="cellIs" dxfId="2805" priority="3261" operator="equal">
      <formula>"-"</formula>
    </cfRule>
    <cfRule type="cellIs" dxfId="2804" priority="3262" operator="equal">
      <formula>"+"</formula>
    </cfRule>
  </conditionalFormatting>
  <conditionalFormatting sqref="H45">
    <cfRule type="cellIs" dxfId="2803" priority="3259" operator="equal">
      <formula>"-"</formula>
    </cfRule>
    <cfRule type="cellIs" dxfId="2802" priority="3260" operator="equal">
      <formula>"+"</formula>
    </cfRule>
  </conditionalFormatting>
  <conditionalFormatting sqref="G53:G55">
    <cfRule type="cellIs" dxfId="2801" priority="3257" operator="equal">
      <formula>"-"</formula>
    </cfRule>
    <cfRule type="cellIs" dxfId="2800" priority="3258" operator="equal">
      <formula>"+"</formula>
    </cfRule>
  </conditionalFormatting>
  <conditionalFormatting sqref="H53">
    <cfRule type="cellIs" dxfId="2799" priority="3255" operator="equal">
      <formula>"-"</formula>
    </cfRule>
    <cfRule type="cellIs" dxfId="2798" priority="3256" operator="equal">
      <formula>"+"</formula>
    </cfRule>
  </conditionalFormatting>
  <conditionalFormatting sqref="H54">
    <cfRule type="cellIs" dxfId="2797" priority="3253" operator="equal">
      <formula>"-"</formula>
    </cfRule>
    <cfRule type="cellIs" dxfId="2796" priority="3254" operator="equal">
      <formula>"+"</formula>
    </cfRule>
  </conditionalFormatting>
  <conditionalFormatting sqref="H55">
    <cfRule type="cellIs" dxfId="2795" priority="3251" operator="equal">
      <formula>"-"</formula>
    </cfRule>
    <cfRule type="cellIs" dxfId="2794" priority="3252" operator="equal">
      <formula>"+"</formula>
    </cfRule>
  </conditionalFormatting>
  <conditionalFormatting sqref="G56:G58">
    <cfRule type="cellIs" dxfId="2793" priority="3249" operator="equal">
      <formula>"-"</formula>
    </cfRule>
    <cfRule type="cellIs" dxfId="2792" priority="3250" operator="equal">
      <formula>"+"</formula>
    </cfRule>
  </conditionalFormatting>
  <conditionalFormatting sqref="H56">
    <cfRule type="cellIs" dxfId="2791" priority="3247" operator="equal">
      <formula>"-"</formula>
    </cfRule>
    <cfRule type="cellIs" dxfId="2790" priority="3248" operator="equal">
      <formula>"+"</formula>
    </cfRule>
  </conditionalFormatting>
  <conditionalFormatting sqref="H57">
    <cfRule type="cellIs" dxfId="2789" priority="3245" operator="equal">
      <formula>"-"</formula>
    </cfRule>
    <cfRule type="cellIs" dxfId="2788" priority="3246" operator="equal">
      <formula>"+"</formula>
    </cfRule>
  </conditionalFormatting>
  <conditionalFormatting sqref="H58">
    <cfRule type="cellIs" dxfId="2787" priority="3243" operator="equal">
      <formula>"-"</formula>
    </cfRule>
    <cfRule type="cellIs" dxfId="2786" priority="3244" operator="equal">
      <formula>"+"</formula>
    </cfRule>
  </conditionalFormatting>
  <conditionalFormatting sqref="G46:G52">
    <cfRule type="cellIs" dxfId="2785" priority="3241" operator="equal">
      <formula>"-"</formula>
    </cfRule>
    <cfRule type="cellIs" dxfId="2784" priority="3242" operator="equal">
      <formula>"+"</formula>
    </cfRule>
  </conditionalFormatting>
  <conditionalFormatting sqref="H46">
    <cfRule type="cellIs" dxfId="2783" priority="3239" operator="equal">
      <formula>"-"</formula>
    </cfRule>
    <cfRule type="cellIs" dxfId="2782" priority="3240" operator="equal">
      <formula>"+"</formula>
    </cfRule>
  </conditionalFormatting>
  <conditionalFormatting sqref="H47">
    <cfRule type="cellIs" dxfId="2781" priority="3237" operator="equal">
      <formula>"-"</formula>
    </cfRule>
    <cfRule type="cellIs" dxfId="2780" priority="3238" operator="equal">
      <formula>"+"</formula>
    </cfRule>
  </conditionalFormatting>
  <conditionalFormatting sqref="H51">
    <cfRule type="cellIs" dxfId="2779" priority="3235" operator="equal">
      <formula>"-"</formula>
    </cfRule>
    <cfRule type="cellIs" dxfId="2778" priority="3236" operator="equal">
      <formula>"+"</formula>
    </cfRule>
  </conditionalFormatting>
  <conditionalFormatting sqref="H52">
    <cfRule type="cellIs" dxfId="2777" priority="3233" operator="equal">
      <formula>"-"</formula>
    </cfRule>
    <cfRule type="cellIs" dxfId="2776" priority="3234" operator="equal">
      <formula>"+"</formula>
    </cfRule>
  </conditionalFormatting>
  <conditionalFormatting sqref="H48">
    <cfRule type="cellIs" dxfId="2775" priority="3231" operator="equal">
      <formula>"-"</formula>
    </cfRule>
    <cfRule type="cellIs" dxfId="2774" priority="3232" operator="equal">
      <formula>"+"</formula>
    </cfRule>
  </conditionalFormatting>
  <conditionalFormatting sqref="H49">
    <cfRule type="cellIs" dxfId="2773" priority="3229" operator="equal">
      <formula>"-"</formula>
    </cfRule>
    <cfRule type="cellIs" dxfId="2772" priority="3230" operator="equal">
      <formula>"+"</formula>
    </cfRule>
  </conditionalFormatting>
  <conditionalFormatting sqref="H50">
    <cfRule type="cellIs" dxfId="2771" priority="3227" operator="equal">
      <formula>"-"</formula>
    </cfRule>
    <cfRule type="cellIs" dxfId="2770" priority="3228" operator="equal">
      <formula>"+"</formula>
    </cfRule>
  </conditionalFormatting>
  <conditionalFormatting sqref="H60">
    <cfRule type="cellIs" dxfId="2769" priority="3225" operator="equal">
      <formula>"-"</formula>
    </cfRule>
    <cfRule type="cellIs" dxfId="2768" priority="3226" operator="equal">
      <formula>"+"</formula>
    </cfRule>
  </conditionalFormatting>
  <conditionalFormatting sqref="H70">
    <cfRule type="cellIs" dxfId="2767" priority="3223" operator="equal">
      <formula>"-"</formula>
    </cfRule>
    <cfRule type="cellIs" dxfId="2766" priority="3224" operator="equal">
      <formula>"+"</formula>
    </cfRule>
  </conditionalFormatting>
  <conditionalFormatting sqref="H72">
    <cfRule type="cellIs" dxfId="2765" priority="3221" operator="equal">
      <formula>"-"</formula>
    </cfRule>
    <cfRule type="cellIs" dxfId="2764" priority="3222" operator="equal">
      <formula>"+"</formula>
    </cfRule>
  </conditionalFormatting>
  <conditionalFormatting sqref="H61">
    <cfRule type="cellIs" dxfId="2763" priority="3217" operator="equal">
      <formula>"-"</formula>
    </cfRule>
    <cfRule type="cellIs" dxfId="2762" priority="3218" operator="equal">
      <formula>"+"</formula>
    </cfRule>
  </conditionalFormatting>
  <conditionalFormatting sqref="H71">
    <cfRule type="cellIs" dxfId="2761" priority="3215" operator="equal">
      <formula>"-"</formula>
    </cfRule>
    <cfRule type="cellIs" dxfId="2760" priority="3216" operator="equal">
      <formula>"+"</formula>
    </cfRule>
  </conditionalFormatting>
  <conditionalFormatting sqref="H73">
    <cfRule type="cellIs" dxfId="2759" priority="3213" operator="equal">
      <formula>"-"</formula>
    </cfRule>
    <cfRule type="cellIs" dxfId="2758" priority="3214" operator="equal">
      <formula>"+"</formula>
    </cfRule>
  </conditionalFormatting>
  <conditionalFormatting sqref="H84">
    <cfRule type="cellIs" dxfId="2757" priority="3145" operator="equal">
      <formula>"-"</formula>
    </cfRule>
    <cfRule type="cellIs" dxfId="2756" priority="3146" operator="equal">
      <formula>"+"</formula>
    </cfRule>
  </conditionalFormatting>
  <conditionalFormatting sqref="G60:G61">
    <cfRule type="cellIs" dxfId="2755" priority="3209" operator="equal">
      <formula>"-"</formula>
    </cfRule>
    <cfRule type="cellIs" dxfId="2754" priority="3210" operator="equal">
      <formula>"+"</formula>
    </cfRule>
  </conditionalFormatting>
  <conditionalFormatting sqref="G70:G71">
    <cfRule type="cellIs" dxfId="2753" priority="3207" operator="equal">
      <formula>"-"</formula>
    </cfRule>
    <cfRule type="cellIs" dxfId="2752" priority="3208" operator="equal">
      <formula>"+"</formula>
    </cfRule>
  </conditionalFormatting>
  <conditionalFormatting sqref="G72:G73">
    <cfRule type="cellIs" dxfId="2751" priority="3205" operator="equal">
      <formula>"-"</formula>
    </cfRule>
    <cfRule type="cellIs" dxfId="2750" priority="3206" operator="equal">
      <formula>"+"</formula>
    </cfRule>
  </conditionalFormatting>
  <conditionalFormatting sqref="H101">
    <cfRule type="cellIs" dxfId="2749" priority="3137" operator="equal">
      <formula>"-"</formula>
    </cfRule>
    <cfRule type="cellIs" dxfId="2748" priority="3138" operator="equal">
      <formula>"+"</formula>
    </cfRule>
  </conditionalFormatting>
  <conditionalFormatting sqref="G62:G63">
    <cfRule type="cellIs" dxfId="2747" priority="3201" operator="equal">
      <formula>"+"</formula>
    </cfRule>
    <cfRule type="cellIs" dxfId="2746" priority="3202" operator="equal">
      <formula>"-"</formula>
    </cfRule>
  </conditionalFormatting>
  <conditionalFormatting sqref="G64:G65">
    <cfRule type="cellIs" dxfId="2745" priority="3195" operator="equal">
      <formula>"+"</formula>
    </cfRule>
    <cfRule type="cellIs" dxfId="2744" priority="3196" operator="equal">
      <formula>"-"</formula>
    </cfRule>
  </conditionalFormatting>
  <conditionalFormatting sqref="H65">
    <cfRule type="cellIs" dxfId="2743" priority="3191" operator="equal">
      <formula>"-"</formula>
    </cfRule>
    <cfRule type="cellIs" dxfId="2742" priority="3192" operator="equal">
      <formula>"+"</formula>
    </cfRule>
  </conditionalFormatting>
  <conditionalFormatting sqref="G66:G67">
    <cfRule type="cellIs" dxfId="2741" priority="3189" operator="equal">
      <formula>"+"</formula>
    </cfRule>
    <cfRule type="cellIs" dxfId="2740" priority="3190" operator="equal">
      <formula>"-"</formula>
    </cfRule>
  </conditionalFormatting>
  <conditionalFormatting sqref="H66">
    <cfRule type="cellIs" dxfId="2739" priority="3187" operator="equal">
      <formula>"-"</formula>
    </cfRule>
    <cfRule type="cellIs" dxfId="2738" priority="3188" operator="equal">
      <formula>"+"</formula>
    </cfRule>
  </conditionalFormatting>
  <conditionalFormatting sqref="H67">
    <cfRule type="cellIs" dxfId="2737" priority="3185" operator="equal">
      <formula>"-"</formula>
    </cfRule>
    <cfRule type="cellIs" dxfId="2736" priority="3186" operator="equal">
      <formula>"+"</formula>
    </cfRule>
  </conditionalFormatting>
  <conditionalFormatting sqref="G68:G69">
    <cfRule type="cellIs" dxfId="2735" priority="3183" operator="equal">
      <formula>"+"</formula>
    </cfRule>
    <cfRule type="cellIs" dxfId="2734" priority="3184" operator="equal">
      <formula>"-"</formula>
    </cfRule>
  </conditionalFormatting>
  <conditionalFormatting sqref="H68">
    <cfRule type="cellIs" dxfId="2733" priority="3181" operator="equal">
      <formula>"-"</formula>
    </cfRule>
    <cfRule type="cellIs" dxfId="2732" priority="3182" operator="equal">
      <formula>"+"</formula>
    </cfRule>
  </conditionalFormatting>
  <conditionalFormatting sqref="H69">
    <cfRule type="cellIs" dxfId="2731" priority="3179" operator="equal">
      <formula>"-"</formula>
    </cfRule>
    <cfRule type="cellIs" dxfId="2730" priority="3180" operator="equal">
      <formula>"+"</formula>
    </cfRule>
  </conditionalFormatting>
  <conditionalFormatting sqref="G77:G78">
    <cfRule type="cellIs" dxfId="2729" priority="3177" operator="equal">
      <formula>"+"</formula>
    </cfRule>
    <cfRule type="cellIs" dxfId="2728" priority="3178" operator="equal">
      <formula>"-"</formula>
    </cfRule>
  </conditionalFormatting>
  <conditionalFormatting sqref="H77">
    <cfRule type="cellIs" dxfId="2727" priority="3175" operator="equal">
      <formula>"-"</formula>
    </cfRule>
    <cfRule type="cellIs" dxfId="2726" priority="3176" operator="equal">
      <formula>"+"</formula>
    </cfRule>
  </conditionalFormatting>
  <conditionalFormatting sqref="H78">
    <cfRule type="cellIs" dxfId="2725" priority="3173" operator="equal">
      <formula>"-"</formula>
    </cfRule>
    <cfRule type="cellIs" dxfId="2724" priority="3174" operator="equal">
      <formula>"+"</formula>
    </cfRule>
  </conditionalFormatting>
  <conditionalFormatting sqref="G80:G83">
    <cfRule type="cellIs" dxfId="2723" priority="3171" operator="equal">
      <formula>"-"</formula>
    </cfRule>
    <cfRule type="cellIs" dxfId="2722" priority="3172" operator="equal">
      <formula>"+"</formula>
    </cfRule>
  </conditionalFormatting>
  <conditionalFormatting sqref="H80">
    <cfRule type="cellIs" dxfId="2721" priority="3169" operator="equal">
      <formula>"-"</formula>
    </cfRule>
    <cfRule type="cellIs" dxfId="2720" priority="3170" operator="equal">
      <formula>"+"</formula>
    </cfRule>
  </conditionalFormatting>
  <conditionalFormatting sqref="H81:H82">
    <cfRule type="cellIs" dxfId="2719" priority="3167" operator="equal">
      <formula>"-"</formula>
    </cfRule>
    <cfRule type="cellIs" dxfId="2718" priority="3168" operator="equal">
      <formula>"+"</formula>
    </cfRule>
  </conditionalFormatting>
  <conditionalFormatting sqref="H83">
    <cfRule type="cellIs" dxfId="2717" priority="3165" operator="equal">
      <formula>"-"</formula>
    </cfRule>
    <cfRule type="cellIs" dxfId="2716" priority="3166" operator="equal">
      <formula>"+"</formula>
    </cfRule>
  </conditionalFormatting>
  <conditionalFormatting sqref="H100">
    <cfRule type="cellIs" dxfId="2715" priority="3149" operator="equal">
      <formula>"-"</formula>
    </cfRule>
    <cfRule type="cellIs" dxfId="2714" priority="3150" operator="equal">
      <formula>"+"</formula>
    </cfRule>
  </conditionalFormatting>
  <conditionalFormatting sqref="G95:G100">
    <cfRule type="cellIs" dxfId="2713" priority="3155" operator="equal">
      <formula>"-"</formula>
    </cfRule>
    <cfRule type="cellIs" dxfId="2712" priority="3156" operator="equal">
      <formula>"+"</formula>
    </cfRule>
  </conditionalFormatting>
  <conditionalFormatting sqref="H95">
    <cfRule type="cellIs" dxfId="2711" priority="3153" operator="equal">
      <formula>"-"</formula>
    </cfRule>
    <cfRule type="cellIs" dxfId="2710" priority="3154" operator="equal">
      <formula>"+"</formula>
    </cfRule>
  </conditionalFormatting>
  <conditionalFormatting sqref="H96 H98:H99">
    <cfRule type="cellIs" dxfId="2709" priority="3151" operator="equal">
      <formula>"-"</formula>
    </cfRule>
    <cfRule type="cellIs" dxfId="2708" priority="3152" operator="equal">
      <formula>"+"</formula>
    </cfRule>
  </conditionalFormatting>
  <conditionalFormatting sqref="G84:G86">
    <cfRule type="cellIs" dxfId="2707" priority="3147" operator="equal">
      <formula>"-"</formula>
    </cfRule>
    <cfRule type="cellIs" dxfId="2706" priority="3148" operator="equal">
      <formula>"+"</formula>
    </cfRule>
  </conditionalFormatting>
  <conditionalFormatting sqref="H85">
    <cfRule type="cellIs" dxfId="2705" priority="3143" operator="equal">
      <formula>"-"</formula>
    </cfRule>
    <cfRule type="cellIs" dxfId="2704" priority="3144" operator="equal">
      <formula>"+"</formula>
    </cfRule>
  </conditionalFormatting>
  <conditionalFormatting sqref="H86">
    <cfRule type="cellIs" dxfId="2703" priority="3141" operator="equal">
      <formula>"-"</formula>
    </cfRule>
    <cfRule type="cellIs" dxfId="2702" priority="3142" operator="equal">
      <formula>"+"</formula>
    </cfRule>
  </conditionalFormatting>
  <conditionalFormatting sqref="G101:G103">
    <cfRule type="cellIs" dxfId="2701" priority="3139" operator="equal">
      <formula>"-"</formula>
    </cfRule>
    <cfRule type="cellIs" dxfId="2700" priority="3140" operator="equal">
      <formula>"+"</formula>
    </cfRule>
  </conditionalFormatting>
  <conditionalFormatting sqref="H102">
    <cfRule type="cellIs" dxfId="2699" priority="3135" operator="equal">
      <formula>"-"</formula>
    </cfRule>
    <cfRule type="cellIs" dxfId="2698" priority="3136" operator="equal">
      <formula>"+"</formula>
    </cfRule>
  </conditionalFormatting>
  <conditionalFormatting sqref="H103">
    <cfRule type="cellIs" dxfId="2697" priority="3133" operator="equal">
      <formula>"-"</formula>
    </cfRule>
    <cfRule type="cellIs" dxfId="2696" priority="3134" operator="equal">
      <formula>"+"</formula>
    </cfRule>
  </conditionalFormatting>
  <conditionalFormatting sqref="J6:J8">
    <cfRule type="cellIs" dxfId="2695" priority="3131" operator="equal">
      <formula>"-"</formula>
    </cfRule>
    <cfRule type="cellIs" dxfId="2694" priority="3132" operator="equal">
      <formula>"+"</formula>
    </cfRule>
  </conditionalFormatting>
  <conditionalFormatting sqref="K6">
    <cfRule type="cellIs" dxfId="2693" priority="3129" operator="equal">
      <formula>"-"</formula>
    </cfRule>
    <cfRule type="cellIs" dxfId="2692" priority="3130" operator="equal">
      <formula>"+"</formula>
    </cfRule>
  </conditionalFormatting>
  <conditionalFormatting sqref="K7">
    <cfRule type="cellIs" dxfId="2691" priority="3127" operator="equal">
      <formula>"-"</formula>
    </cfRule>
    <cfRule type="cellIs" dxfId="2690" priority="3128" operator="equal">
      <formula>"+"</formula>
    </cfRule>
  </conditionalFormatting>
  <conditionalFormatting sqref="K8">
    <cfRule type="cellIs" dxfId="2689" priority="3125" operator="equal">
      <formula>"-"</formula>
    </cfRule>
    <cfRule type="cellIs" dxfId="2688" priority="3126" operator="equal">
      <formula>"+"</formula>
    </cfRule>
  </conditionalFormatting>
  <conditionalFormatting sqref="J9:J11">
    <cfRule type="cellIs" dxfId="2687" priority="3123" operator="equal">
      <formula>"-"</formula>
    </cfRule>
    <cfRule type="cellIs" dxfId="2686" priority="3124" operator="equal">
      <formula>"+"</formula>
    </cfRule>
  </conditionalFormatting>
  <conditionalFormatting sqref="K9">
    <cfRule type="cellIs" dxfId="2685" priority="3121" operator="equal">
      <formula>"-"</formula>
    </cfRule>
    <cfRule type="cellIs" dxfId="2684" priority="3122" operator="equal">
      <formula>"+"</formula>
    </cfRule>
  </conditionalFormatting>
  <conditionalFormatting sqref="K10">
    <cfRule type="cellIs" dxfId="2683" priority="3119" operator="equal">
      <formula>"-"</formula>
    </cfRule>
    <cfRule type="cellIs" dxfId="2682" priority="3120" operator="equal">
      <formula>"+"</formula>
    </cfRule>
  </conditionalFormatting>
  <conditionalFormatting sqref="K11">
    <cfRule type="cellIs" dxfId="2681" priority="3117" operator="equal">
      <formula>"-"</formula>
    </cfRule>
    <cfRule type="cellIs" dxfId="2680" priority="3118" operator="equal">
      <formula>"+"</formula>
    </cfRule>
  </conditionalFormatting>
  <conditionalFormatting sqref="J12:J14">
    <cfRule type="cellIs" dxfId="2679" priority="3115" operator="equal">
      <formula>"-"</formula>
    </cfRule>
    <cfRule type="cellIs" dxfId="2678" priority="3116" operator="equal">
      <formula>"+"</formula>
    </cfRule>
  </conditionalFormatting>
  <conditionalFormatting sqref="K12">
    <cfRule type="cellIs" dxfId="2677" priority="3113" operator="equal">
      <formula>"-"</formula>
    </cfRule>
    <cfRule type="cellIs" dxfId="2676" priority="3114" operator="equal">
      <formula>"+"</formula>
    </cfRule>
  </conditionalFormatting>
  <conditionalFormatting sqref="K13">
    <cfRule type="cellIs" dxfId="2675" priority="3111" operator="equal">
      <formula>"-"</formula>
    </cfRule>
    <cfRule type="cellIs" dxfId="2674" priority="3112" operator="equal">
      <formula>"+"</formula>
    </cfRule>
  </conditionalFormatting>
  <conditionalFormatting sqref="K14">
    <cfRule type="cellIs" dxfId="2673" priority="3109" operator="equal">
      <formula>"-"</formula>
    </cfRule>
    <cfRule type="cellIs" dxfId="2672" priority="3110" operator="equal">
      <formula>"+"</formula>
    </cfRule>
  </conditionalFormatting>
  <conditionalFormatting sqref="K15">
    <cfRule type="cellIs" dxfId="2671" priority="3107" operator="equal">
      <formula>"-"</formula>
    </cfRule>
    <cfRule type="cellIs" dxfId="2670" priority="3108" operator="equal">
      <formula>"+"</formula>
    </cfRule>
  </conditionalFormatting>
  <conditionalFormatting sqref="K16:K17">
    <cfRule type="cellIs" dxfId="2669" priority="3105" operator="equal">
      <formula>"-"</formula>
    </cfRule>
    <cfRule type="cellIs" dxfId="2668" priority="3106" operator="equal">
      <formula>"+"</formula>
    </cfRule>
  </conditionalFormatting>
  <conditionalFormatting sqref="K18">
    <cfRule type="cellIs" dxfId="2667" priority="3103" operator="equal">
      <formula>"-"</formula>
    </cfRule>
    <cfRule type="cellIs" dxfId="2666" priority="3104" operator="equal">
      <formula>"+"</formula>
    </cfRule>
  </conditionalFormatting>
  <conditionalFormatting sqref="J22:J24">
    <cfRule type="cellIs" dxfId="2665" priority="3093" operator="equal">
      <formula>"-"</formula>
    </cfRule>
    <cfRule type="cellIs" dxfId="2664" priority="3094" operator="equal">
      <formula>"+"</formula>
    </cfRule>
  </conditionalFormatting>
  <conditionalFormatting sqref="K22">
    <cfRule type="cellIs" dxfId="2663" priority="3091" operator="equal">
      <formula>"-"</formula>
    </cfRule>
    <cfRule type="cellIs" dxfId="2662" priority="3092" operator="equal">
      <formula>"+"</formula>
    </cfRule>
  </conditionalFormatting>
  <conditionalFormatting sqref="K23">
    <cfRule type="cellIs" dxfId="2661" priority="3089" operator="equal">
      <formula>"-"</formula>
    </cfRule>
    <cfRule type="cellIs" dxfId="2660" priority="3090" operator="equal">
      <formula>"+"</formula>
    </cfRule>
  </conditionalFormatting>
  <conditionalFormatting sqref="K24">
    <cfRule type="cellIs" dxfId="2659" priority="3087" operator="equal">
      <formula>"-"</formula>
    </cfRule>
    <cfRule type="cellIs" dxfId="2658" priority="3088" operator="equal">
      <formula>"+"</formula>
    </cfRule>
  </conditionalFormatting>
  <conditionalFormatting sqref="K39">
    <cfRule type="cellIs" dxfId="2657" priority="3047" operator="equal">
      <formula>"-"</formula>
    </cfRule>
    <cfRule type="cellIs" dxfId="2656" priority="3048" operator="equal">
      <formula>"+"</formula>
    </cfRule>
  </conditionalFormatting>
  <conditionalFormatting sqref="J40:J42">
    <cfRule type="cellIs" dxfId="2655" priority="3045" operator="equal">
      <formula>"-"</formula>
    </cfRule>
    <cfRule type="cellIs" dxfId="2654" priority="3046" operator="equal">
      <formula>"+"</formula>
    </cfRule>
  </conditionalFormatting>
  <conditionalFormatting sqref="K40">
    <cfRule type="cellIs" dxfId="2653" priority="3043" operator="equal">
      <formula>"-"</formula>
    </cfRule>
    <cfRule type="cellIs" dxfId="2652" priority="3044" operator="equal">
      <formula>"+"</formula>
    </cfRule>
  </conditionalFormatting>
  <conditionalFormatting sqref="K41">
    <cfRule type="cellIs" dxfId="2651" priority="3041" operator="equal">
      <formula>"-"</formula>
    </cfRule>
    <cfRule type="cellIs" dxfId="2650" priority="3042" operator="equal">
      <formula>"+"</formula>
    </cfRule>
  </conditionalFormatting>
  <conditionalFormatting sqref="J28:J30">
    <cfRule type="cellIs" dxfId="2649" priority="3077" operator="equal">
      <formula>"-"</formula>
    </cfRule>
    <cfRule type="cellIs" dxfId="2648" priority="3078" operator="equal">
      <formula>"+"</formula>
    </cfRule>
  </conditionalFormatting>
  <conditionalFormatting sqref="K28">
    <cfRule type="cellIs" dxfId="2647" priority="3075" operator="equal">
      <formula>"-"</formula>
    </cfRule>
    <cfRule type="cellIs" dxfId="2646" priority="3076" operator="equal">
      <formula>"+"</formula>
    </cfRule>
  </conditionalFormatting>
  <conditionalFormatting sqref="K29">
    <cfRule type="cellIs" dxfId="2645" priority="3073" operator="equal">
      <formula>"-"</formula>
    </cfRule>
    <cfRule type="cellIs" dxfId="2644" priority="3074" operator="equal">
      <formula>"+"</formula>
    </cfRule>
  </conditionalFormatting>
  <conditionalFormatting sqref="K30">
    <cfRule type="cellIs" dxfId="2643" priority="3071" operator="equal">
      <formula>"-"</formula>
    </cfRule>
    <cfRule type="cellIs" dxfId="2642" priority="3072" operator="equal">
      <formula>"+"</formula>
    </cfRule>
  </conditionalFormatting>
  <conditionalFormatting sqref="J31:J33">
    <cfRule type="cellIs" dxfId="2641" priority="3069" operator="equal">
      <formula>"-"</formula>
    </cfRule>
    <cfRule type="cellIs" dxfId="2640" priority="3070" operator="equal">
      <formula>"+"</formula>
    </cfRule>
  </conditionalFormatting>
  <conditionalFormatting sqref="K31">
    <cfRule type="cellIs" dxfId="2639" priority="3067" operator="equal">
      <formula>"-"</formula>
    </cfRule>
    <cfRule type="cellIs" dxfId="2638" priority="3068" operator="equal">
      <formula>"+"</formula>
    </cfRule>
  </conditionalFormatting>
  <conditionalFormatting sqref="K32">
    <cfRule type="cellIs" dxfId="2637" priority="3065" operator="equal">
      <formula>"-"</formula>
    </cfRule>
    <cfRule type="cellIs" dxfId="2636" priority="3066" operator="equal">
      <formula>"+"</formula>
    </cfRule>
  </conditionalFormatting>
  <conditionalFormatting sqref="K33">
    <cfRule type="cellIs" dxfId="2635" priority="3063" operator="equal">
      <formula>"-"</formula>
    </cfRule>
    <cfRule type="cellIs" dxfId="2634" priority="3064" operator="equal">
      <formula>"+"</formula>
    </cfRule>
  </conditionalFormatting>
  <conditionalFormatting sqref="J34:J36">
    <cfRule type="cellIs" dxfId="2633" priority="3061" operator="equal">
      <formula>"-"</formula>
    </cfRule>
    <cfRule type="cellIs" dxfId="2632" priority="3062" operator="equal">
      <formula>"+"</formula>
    </cfRule>
  </conditionalFormatting>
  <conditionalFormatting sqref="K34">
    <cfRule type="cellIs" dxfId="2631" priority="3059" operator="equal">
      <formula>"-"</formula>
    </cfRule>
    <cfRule type="cellIs" dxfId="2630" priority="3060" operator="equal">
      <formula>"+"</formula>
    </cfRule>
  </conditionalFormatting>
  <conditionalFormatting sqref="K35">
    <cfRule type="cellIs" dxfId="2629" priority="3057" operator="equal">
      <formula>"-"</formula>
    </cfRule>
    <cfRule type="cellIs" dxfId="2628" priority="3058" operator="equal">
      <formula>"+"</formula>
    </cfRule>
  </conditionalFormatting>
  <conditionalFormatting sqref="K36">
    <cfRule type="cellIs" dxfId="2627" priority="3055" operator="equal">
      <formula>"-"</formula>
    </cfRule>
    <cfRule type="cellIs" dxfId="2626" priority="3056" operator="equal">
      <formula>"+"</formula>
    </cfRule>
  </conditionalFormatting>
  <conditionalFormatting sqref="J37:J39">
    <cfRule type="cellIs" dxfId="2625" priority="3053" operator="equal">
      <formula>"-"</formula>
    </cfRule>
    <cfRule type="cellIs" dxfId="2624" priority="3054" operator="equal">
      <formula>"+"</formula>
    </cfRule>
  </conditionalFormatting>
  <conditionalFormatting sqref="K37">
    <cfRule type="cellIs" dxfId="2623" priority="3051" operator="equal">
      <formula>"-"</formula>
    </cfRule>
    <cfRule type="cellIs" dxfId="2622" priority="3052" operator="equal">
      <formula>"+"</formula>
    </cfRule>
  </conditionalFormatting>
  <conditionalFormatting sqref="K38">
    <cfRule type="cellIs" dxfId="2621" priority="3049" operator="equal">
      <formula>"-"</formula>
    </cfRule>
    <cfRule type="cellIs" dxfId="2620" priority="3050" operator="equal">
      <formula>"+"</formula>
    </cfRule>
  </conditionalFormatting>
  <conditionalFormatting sqref="K42">
    <cfRule type="cellIs" dxfId="2619" priority="3039" operator="equal">
      <formula>"-"</formula>
    </cfRule>
    <cfRule type="cellIs" dxfId="2618" priority="3040" operator="equal">
      <formula>"+"</formula>
    </cfRule>
  </conditionalFormatting>
  <conditionalFormatting sqref="J43:J45">
    <cfRule type="cellIs" dxfId="2617" priority="3037" operator="equal">
      <formula>"-"</formula>
    </cfRule>
    <cfRule type="cellIs" dxfId="2616" priority="3038" operator="equal">
      <formula>"+"</formula>
    </cfRule>
  </conditionalFormatting>
  <conditionalFormatting sqref="K43">
    <cfRule type="cellIs" dxfId="2615" priority="3035" operator="equal">
      <formula>"-"</formula>
    </cfRule>
    <cfRule type="cellIs" dxfId="2614" priority="3036" operator="equal">
      <formula>"+"</formula>
    </cfRule>
  </conditionalFormatting>
  <conditionalFormatting sqref="K44">
    <cfRule type="cellIs" dxfId="2613" priority="3033" operator="equal">
      <formula>"-"</formula>
    </cfRule>
    <cfRule type="cellIs" dxfId="2612" priority="3034" operator="equal">
      <formula>"+"</formula>
    </cfRule>
  </conditionalFormatting>
  <conditionalFormatting sqref="K45">
    <cfRule type="cellIs" dxfId="2611" priority="3031" operator="equal">
      <formula>"-"</formula>
    </cfRule>
    <cfRule type="cellIs" dxfId="2610" priority="3032" operator="equal">
      <formula>"+"</formula>
    </cfRule>
  </conditionalFormatting>
  <conditionalFormatting sqref="J53:J55">
    <cfRule type="cellIs" dxfId="2609" priority="3029" operator="equal">
      <formula>"-"</formula>
    </cfRule>
    <cfRule type="cellIs" dxfId="2608" priority="3030" operator="equal">
      <formula>"+"</formula>
    </cfRule>
  </conditionalFormatting>
  <conditionalFormatting sqref="K53">
    <cfRule type="cellIs" dxfId="2607" priority="3027" operator="equal">
      <formula>"-"</formula>
    </cfRule>
    <cfRule type="cellIs" dxfId="2606" priority="3028" operator="equal">
      <formula>"+"</formula>
    </cfRule>
  </conditionalFormatting>
  <conditionalFormatting sqref="K54">
    <cfRule type="cellIs" dxfId="2605" priority="3025" operator="equal">
      <formula>"-"</formula>
    </cfRule>
    <cfRule type="cellIs" dxfId="2604" priority="3026" operator="equal">
      <formula>"+"</formula>
    </cfRule>
  </conditionalFormatting>
  <conditionalFormatting sqref="K55">
    <cfRule type="cellIs" dxfId="2603" priority="3023" operator="equal">
      <formula>"-"</formula>
    </cfRule>
    <cfRule type="cellIs" dxfId="2602" priority="3024" operator="equal">
      <formula>"+"</formula>
    </cfRule>
  </conditionalFormatting>
  <conditionalFormatting sqref="J56:J58">
    <cfRule type="cellIs" dxfId="2601" priority="3021" operator="equal">
      <formula>"-"</formula>
    </cfRule>
    <cfRule type="cellIs" dxfId="2600" priority="3022" operator="equal">
      <formula>"+"</formula>
    </cfRule>
  </conditionalFormatting>
  <conditionalFormatting sqref="K56">
    <cfRule type="cellIs" dxfId="2599" priority="3019" operator="equal">
      <formula>"-"</formula>
    </cfRule>
    <cfRule type="cellIs" dxfId="2598" priority="3020" operator="equal">
      <formula>"+"</formula>
    </cfRule>
  </conditionalFormatting>
  <conditionalFormatting sqref="K57">
    <cfRule type="cellIs" dxfId="2597" priority="3017" operator="equal">
      <formula>"-"</formula>
    </cfRule>
    <cfRule type="cellIs" dxfId="2596" priority="3018" operator="equal">
      <formula>"+"</formula>
    </cfRule>
  </conditionalFormatting>
  <conditionalFormatting sqref="K58">
    <cfRule type="cellIs" dxfId="2595" priority="3015" operator="equal">
      <formula>"-"</formula>
    </cfRule>
    <cfRule type="cellIs" dxfId="2594" priority="3016" operator="equal">
      <formula>"+"</formula>
    </cfRule>
  </conditionalFormatting>
  <conditionalFormatting sqref="J46:J52">
    <cfRule type="cellIs" dxfId="2593" priority="3013" operator="equal">
      <formula>"-"</formula>
    </cfRule>
    <cfRule type="cellIs" dxfId="2592" priority="3014" operator="equal">
      <formula>"+"</formula>
    </cfRule>
  </conditionalFormatting>
  <conditionalFormatting sqref="K46">
    <cfRule type="cellIs" dxfId="2591" priority="3011" operator="equal">
      <formula>"-"</formula>
    </cfRule>
    <cfRule type="cellIs" dxfId="2590" priority="3012" operator="equal">
      <formula>"+"</formula>
    </cfRule>
  </conditionalFormatting>
  <conditionalFormatting sqref="K47">
    <cfRule type="cellIs" dxfId="2589" priority="3009" operator="equal">
      <formula>"-"</formula>
    </cfRule>
    <cfRule type="cellIs" dxfId="2588" priority="3010" operator="equal">
      <formula>"+"</formula>
    </cfRule>
  </conditionalFormatting>
  <conditionalFormatting sqref="K51">
    <cfRule type="cellIs" dxfId="2587" priority="3007" operator="equal">
      <formula>"-"</formula>
    </cfRule>
    <cfRule type="cellIs" dxfId="2586" priority="3008" operator="equal">
      <formula>"+"</formula>
    </cfRule>
  </conditionalFormatting>
  <conditionalFormatting sqref="K52">
    <cfRule type="cellIs" dxfId="2585" priority="3005" operator="equal">
      <formula>"-"</formula>
    </cfRule>
    <cfRule type="cellIs" dxfId="2584" priority="3006" operator="equal">
      <formula>"+"</formula>
    </cfRule>
  </conditionalFormatting>
  <conditionalFormatting sqref="K48">
    <cfRule type="cellIs" dxfId="2583" priority="3003" operator="equal">
      <formula>"-"</formula>
    </cfRule>
    <cfRule type="cellIs" dxfId="2582" priority="3004" operator="equal">
      <formula>"+"</formula>
    </cfRule>
  </conditionalFormatting>
  <conditionalFormatting sqref="K49">
    <cfRule type="cellIs" dxfId="2581" priority="3001" operator="equal">
      <formula>"-"</formula>
    </cfRule>
    <cfRule type="cellIs" dxfId="2580" priority="3002" operator="equal">
      <formula>"+"</formula>
    </cfRule>
  </conditionalFormatting>
  <conditionalFormatting sqref="K50">
    <cfRule type="cellIs" dxfId="2579" priority="2999" operator="equal">
      <formula>"-"</formula>
    </cfRule>
    <cfRule type="cellIs" dxfId="2578" priority="3000" operator="equal">
      <formula>"+"</formula>
    </cfRule>
  </conditionalFormatting>
  <conditionalFormatting sqref="K60">
    <cfRule type="cellIs" dxfId="2577" priority="2997" operator="equal">
      <formula>"-"</formula>
    </cfRule>
    <cfRule type="cellIs" dxfId="2576" priority="2998" operator="equal">
      <formula>"+"</formula>
    </cfRule>
  </conditionalFormatting>
  <conditionalFormatting sqref="K70">
    <cfRule type="cellIs" dxfId="2575" priority="2995" operator="equal">
      <formula>"-"</formula>
    </cfRule>
    <cfRule type="cellIs" dxfId="2574" priority="2996" operator="equal">
      <formula>"+"</formula>
    </cfRule>
  </conditionalFormatting>
  <conditionalFormatting sqref="K72">
    <cfRule type="cellIs" dxfId="2573" priority="2993" operator="equal">
      <formula>"-"</formula>
    </cfRule>
    <cfRule type="cellIs" dxfId="2572" priority="2994" operator="equal">
      <formula>"+"</formula>
    </cfRule>
  </conditionalFormatting>
  <conditionalFormatting sqref="K61">
    <cfRule type="cellIs" dxfId="2571" priority="2989" operator="equal">
      <formula>"-"</formula>
    </cfRule>
    <cfRule type="cellIs" dxfId="2570" priority="2990" operator="equal">
      <formula>"+"</formula>
    </cfRule>
  </conditionalFormatting>
  <conditionalFormatting sqref="K71">
    <cfRule type="cellIs" dxfId="2569" priority="2987" operator="equal">
      <formula>"-"</formula>
    </cfRule>
    <cfRule type="cellIs" dxfId="2568" priority="2988" operator="equal">
      <formula>"+"</formula>
    </cfRule>
  </conditionalFormatting>
  <conditionalFormatting sqref="K73">
    <cfRule type="cellIs" dxfId="2567" priority="2985" operator="equal">
      <formula>"-"</formula>
    </cfRule>
    <cfRule type="cellIs" dxfId="2566" priority="2986" operator="equal">
      <formula>"+"</formula>
    </cfRule>
  </conditionalFormatting>
  <conditionalFormatting sqref="J60:J61">
    <cfRule type="cellIs" dxfId="2565" priority="2981" operator="equal">
      <formula>"-"</formula>
    </cfRule>
    <cfRule type="cellIs" dxfId="2564" priority="2982" operator="equal">
      <formula>"+"</formula>
    </cfRule>
  </conditionalFormatting>
  <conditionalFormatting sqref="J70:J71">
    <cfRule type="cellIs" dxfId="2563" priority="2979" operator="equal">
      <formula>"-"</formula>
    </cfRule>
    <cfRule type="cellIs" dxfId="2562" priority="2980" operator="equal">
      <formula>"+"</formula>
    </cfRule>
  </conditionalFormatting>
  <conditionalFormatting sqref="J72:J73">
    <cfRule type="cellIs" dxfId="2561" priority="2977" operator="equal">
      <formula>"-"</formula>
    </cfRule>
    <cfRule type="cellIs" dxfId="2560" priority="2978" operator="equal">
      <formula>"+"</formula>
    </cfRule>
  </conditionalFormatting>
  <conditionalFormatting sqref="K85">
    <cfRule type="cellIs" dxfId="2559" priority="2915" operator="equal">
      <formula>"-"</formula>
    </cfRule>
    <cfRule type="cellIs" dxfId="2558" priority="2916" operator="equal">
      <formula>"+"</formula>
    </cfRule>
  </conditionalFormatting>
  <conditionalFormatting sqref="N18">
    <cfRule type="cellIs" dxfId="2557" priority="2875" operator="equal">
      <formula>"-"</formula>
    </cfRule>
    <cfRule type="cellIs" dxfId="2556" priority="2876" operator="equal">
      <formula>"+"</formula>
    </cfRule>
  </conditionalFormatting>
  <conditionalFormatting sqref="J66:J67">
    <cfRule type="cellIs" dxfId="2555" priority="2961" operator="equal">
      <formula>"+"</formula>
    </cfRule>
    <cfRule type="cellIs" dxfId="2554" priority="2962" operator="equal">
      <formula>"-"</formula>
    </cfRule>
  </conditionalFormatting>
  <conditionalFormatting sqref="K66">
    <cfRule type="cellIs" dxfId="2553" priority="2959" operator="equal">
      <formula>"-"</formula>
    </cfRule>
    <cfRule type="cellIs" dxfId="2552" priority="2960" operator="equal">
      <formula>"+"</formula>
    </cfRule>
  </conditionalFormatting>
  <conditionalFormatting sqref="K67">
    <cfRule type="cellIs" dxfId="2551" priority="2957" operator="equal">
      <formula>"-"</formula>
    </cfRule>
    <cfRule type="cellIs" dxfId="2550" priority="2958" operator="equal">
      <formula>"+"</formula>
    </cfRule>
  </conditionalFormatting>
  <conditionalFormatting sqref="J68:J69">
    <cfRule type="cellIs" dxfId="2549" priority="2955" operator="equal">
      <formula>"+"</formula>
    </cfRule>
    <cfRule type="cellIs" dxfId="2548" priority="2956" operator="equal">
      <formula>"-"</formula>
    </cfRule>
  </conditionalFormatting>
  <conditionalFormatting sqref="K68">
    <cfRule type="cellIs" dxfId="2547" priority="2953" operator="equal">
      <formula>"-"</formula>
    </cfRule>
    <cfRule type="cellIs" dxfId="2546" priority="2954" operator="equal">
      <formula>"+"</formula>
    </cfRule>
  </conditionalFormatting>
  <conditionalFormatting sqref="K69">
    <cfRule type="cellIs" dxfId="2545" priority="2951" operator="equal">
      <formula>"-"</formula>
    </cfRule>
    <cfRule type="cellIs" dxfId="2544" priority="2952" operator="equal">
      <formula>"+"</formula>
    </cfRule>
  </conditionalFormatting>
  <conditionalFormatting sqref="J77:J78">
    <cfRule type="cellIs" dxfId="2543" priority="2949" operator="equal">
      <formula>"+"</formula>
    </cfRule>
    <cfRule type="cellIs" dxfId="2542" priority="2950" operator="equal">
      <formula>"-"</formula>
    </cfRule>
  </conditionalFormatting>
  <conditionalFormatting sqref="K77">
    <cfRule type="cellIs" dxfId="2541" priority="2947" operator="equal">
      <formula>"-"</formula>
    </cfRule>
    <cfRule type="cellIs" dxfId="2540" priority="2948" operator="equal">
      <formula>"+"</formula>
    </cfRule>
  </conditionalFormatting>
  <conditionalFormatting sqref="K78">
    <cfRule type="cellIs" dxfId="2539" priority="2945" operator="equal">
      <formula>"-"</formula>
    </cfRule>
    <cfRule type="cellIs" dxfId="2538" priority="2946" operator="equal">
      <formula>"+"</formula>
    </cfRule>
  </conditionalFormatting>
  <conditionalFormatting sqref="J80:J83">
    <cfRule type="cellIs" dxfId="2537" priority="2943" operator="equal">
      <formula>"-"</formula>
    </cfRule>
    <cfRule type="cellIs" dxfId="2536" priority="2944" operator="equal">
      <formula>"+"</formula>
    </cfRule>
  </conditionalFormatting>
  <conditionalFormatting sqref="K80">
    <cfRule type="cellIs" dxfId="2535" priority="2941" operator="equal">
      <formula>"-"</formula>
    </cfRule>
    <cfRule type="cellIs" dxfId="2534" priority="2942" operator="equal">
      <formula>"+"</formula>
    </cfRule>
  </conditionalFormatting>
  <conditionalFormatting sqref="K81:K82">
    <cfRule type="cellIs" dxfId="2533" priority="2939" operator="equal">
      <formula>"-"</formula>
    </cfRule>
    <cfRule type="cellIs" dxfId="2532" priority="2940" operator="equal">
      <formula>"+"</formula>
    </cfRule>
  </conditionalFormatting>
  <conditionalFormatting sqref="K83">
    <cfRule type="cellIs" dxfId="2531" priority="2937" operator="equal">
      <formula>"-"</formula>
    </cfRule>
    <cfRule type="cellIs" dxfId="2530" priority="2938" operator="equal">
      <formula>"+"</formula>
    </cfRule>
  </conditionalFormatting>
  <conditionalFormatting sqref="J87:J94">
    <cfRule type="cellIs" dxfId="2529" priority="2935" operator="equal">
      <formula>"-"</formula>
    </cfRule>
    <cfRule type="cellIs" dxfId="2528" priority="2936" operator="equal">
      <formula>"+"</formula>
    </cfRule>
  </conditionalFormatting>
  <conditionalFormatting sqref="K96:K99">
    <cfRule type="cellIs" dxfId="2527" priority="2923" operator="equal">
      <formula>"-"</formula>
    </cfRule>
    <cfRule type="cellIs" dxfId="2526" priority="2924" operator="equal">
      <formula>"+"</formula>
    </cfRule>
  </conditionalFormatting>
  <conditionalFormatting sqref="K94">
    <cfRule type="cellIs" dxfId="2525" priority="2929" operator="equal">
      <formula>"-"</formula>
    </cfRule>
    <cfRule type="cellIs" dxfId="2524" priority="2930" operator="equal">
      <formula>"+"</formula>
    </cfRule>
  </conditionalFormatting>
  <conditionalFormatting sqref="J95:J100">
    <cfRule type="cellIs" dxfId="2523" priority="2927" operator="equal">
      <formula>"-"</formula>
    </cfRule>
    <cfRule type="cellIs" dxfId="2522" priority="2928" operator="equal">
      <formula>"+"</formula>
    </cfRule>
  </conditionalFormatting>
  <conditionalFormatting sqref="K95">
    <cfRule type="cellIs" dxfId="2521" priority="2925" operator="equal">
      <formula>"-"</formula>
    </cfRule>
    <cfRule type="cellIs" dxfId="2520" priority="2926" operator="equal">
      <formula>"+"</formula>
    </cfRule>
  </conditionalFormatting>
  <conditionalFormatting sqref="K100">
    <cfRule type="cellIs" dxfId="2519" priority="2921" operator="equal">
      <formula>"-"</formula>
    </cfRule>
    <cfRule type="cellIs" dxfId="2518" priority="2922" operator="equal">
      <formula>"+"</formula>
    </cfRule>
  </conditionalFormatting>
  <conditionalFormatting sqref="J84:J86">
    <cfRule type="cellIs" dxfId="2517" priority="2919" operator="equal">
      <formula>"-"</formula>
    </cfRule>
    <cfRule type="cellIs" dxfId="2516" priority="2920" operator="equal">
      <formula>"+"</formula>
    </cfRule>
  </conditionalFormatting>
  <conditionalFormatting sqref="K84">
    <cfRule type="cellIs" dxfId="2515" priority="2917" operator="equal">
      <formula>"-"</formula>
    </cfRule>
    <cfRule type="cellIs" dxfId="2514" priority="2918" operator="equal">
      <formula>"+"</formula>
    </cfRule>
  </conditionalFormatting>
  <conditionalFormatting sqref="K86">
    <cfRule type="cellIs" dxfId="2513" priority="2913" operator="equal">
      <formula>"-"</formula>
    </cfRule>
    <cfRule type="cellIs" dxfId="2512" priority="2914" operator="equal">
      <formula>"+"</formula>
    </cfRule>
  </conditionalFormatting>
  <conditionalFormatting sqref="M6:M8">
    <cfRule type="cellIs" dxfId="2511" priority="2903" operator="equal">
      <formula>"-"</formula>
    </cfRule>
    <cfRule type="cellIs" dxfId="2510" priority="2904" operator="equal">
      <formula>"+"</formula>
    </cfRule>
  </conditionalFormatting>
  <conditionalFormatting sqref="N6">
    <cfRule type="cellIs" dxfId="2509" priority="2901" operator="equal">
      <formula>"-"</formula>
    </cfRule>
    <cfRule type="cellIs" dxfId="2508" priority="2902" operator="equal">
      <formula>"+"</formula>
    </cfRule>
  </conditionalFormatting>
  <conditionalFormatting sqref="N7">
    <cfRule type="cellIs" dxfId="2507" priority="2899" operator="equal">
      <formula>"-"</formula>
    </cfRule>
    <cfRule type="cellIs" dxfId="2506" priority="2900" operator="equal">
      <formula>"+"</formula>
    </cfRule>
  </conditionalFormatting>
  <conditionalFormatting sqref="N8">
    <cfRule type="cellIs" dxfId="2505" priority="2897" operator="equal">
      <formula>"-"</formula>
    </cfRule>
    <cfRule type="cellIs" dxfId="2504" priority="2898" operator="equal">
      <formula>"+"</formula>
    </cfRule>
  </conditionalFormatting>
  <conditionalFormatting sqref="M9:M11">
    <cfRule type="cellIs" dxfId="2503" priority="2895" operator="equal">
      <formula>"-"</formula>
    </cfRule>
    <cfRule type="cellIs" dxfId="2502" priority="2896" operator="equal">
      <formula>"+"</formula>
    </cfRule>
  </conditionalFormatting>
  <conditionalFormatting sqref="N9">
    <cfRule type="cellIs" dxfId="2501" priority="2893" operator="equal">
      <formula>"-"</formula>
    </cfRule>
    <cfRule type="cellIs" dxfId="2500" priority="2894" operator="equal">
      <formula>"+"</formula>
    </cfRule>
  </conditionalFormatting>
  <conditionalFormatting sqref="N10">
    <cfRule type="cellIs" dxfId="2499" priority="2891" operator="equal">
      <formula>"-"</formula>
    </cfRule>
    <cfRule type="cellIs" dxfId="2498" priority="2892" operator="equal">
      <formula>"+"</formula>
    </cfRule>
  </conditionalFormatting>
  <conditionalFormatting sqref="N11">
    <cfRule type="cellIs" dxfId="2497" priority="2889" operator="equal">
      <formula>"-"</formula>
    </cfRule>
    <cfRule type="cellIs" dxfId="2496" priority="2890" operator="equal">
      <formula>"+"</formula>
    </cfRule>
  </conditionalFormatting>
  <conditionalFormatting sqref="M12:M14">
    <cfRule type="cellIs" dxfId="2495" priority="2887" operator="equal">
      <formula>"-"</formula>
    </cfRule>
    <cfRule type="cellIs" dxfId="2494" priority="2888" operator="equal">
      <formula>"+"</formula>
    </cfRule>
  </conditionalFormatting>
  <conditionalFormatting sqref="N12">
    <cfRule type="cellIs" dxfId="2493" priority="2885" operator="equal">
      <formula>"-"</formula>
    </cfRule>
    <cfRule type="cellIs" dxfId="2492" priority="2886" operator="equal">
      <formula>"+"</formula>
    </cfRule>
  </conditionalFormatting>
  <conditionalFormatting sqref="N13">
    <cfRule type="cellIs" dxfId="2491" priority="2883" operator="equal">
      <formula>"-"</formula>
    </cfRule>
    <cfRule type="cellIs" dxfId="2490" priority="2884" operator="equal">
      <formula>"+"</formula>
    </cfRule>
  </conditionalFormatting>
  <conditionalFormatting sqref="N14">
    <cfRule type="cellIs" dxfId="2489" priority="2881" operator="equal">
      <formula>"-"</formula>
    </cfRule>
    <cfRule type="cellIs" dxfId="2488" priority="2882" operator="equal">
      <formula>"+"</formula>
    </cfRule>
  </conditionalFormatting>
  <conditionalFormatting sqref="N15">
    <cfRule type="cellIs" dxfId="2487" priority="2879" operator="equal">
      <formula>"-"</formula>
    </cfRule>
    <cfRule type="cellIs" dxfId="2486" priority="2880" operator="equal">
      <formula>"+"</formula>
    </cfRule>
  </conditionalFormatting>
  <conditionalFormatting sqref="N16:N17">
    <cfRule type="cellIs" dxfId="2485" priority="2877" operator="equal">
      <formula>"-"</formula>
    </cfRule>
    <cfRule type="cellIs" dxfId="2484" priority="2878" operator="equal">
      <formula>"+"</formula>
    </cfRule>
  </conditionalFormatting>
  <conditionalFormatting sqref="M22:M24">
    <cfRule type="cellIs" dxfId="2483" priority="2865" operator="equal">
      <formula>"-"</formula>
    </cfRule>
    <cfRule type="cellIs" dxfId="2482" priority="2866" operator="equal">
      <formula>"+"</formula>
    </cfRule>
  </conditionalFormatting>
  <conditionalFormatting sqref="N22">
    <cfRule type="cellIs" dxfId="2481" priority="2863" operator="equal">
      <formula>"-"</formula>
    </cfRule>
    <cfRule type="cellIs" dxfId="2480" priority="2864" operator="equal">
      <formula>"+"</formula>
    </cfRule>
  </conditionalFormatting>
  <conditionalFormatting sqref="N23">
    <cfRule type="cellIs" dxfId="2479" priority="2861" operator="equal">
      <formula>"-"</formula>
    </cfRule>
    <cfRule type="cellIs" dxfId="2478" priority="2862" operator="equal">
      <formula>"+"</formula>
    </cfRule>
  </conditionalFormatting>
  <conditionalFormatting sqref="N24">
    <cfRule type="cellIs" dxfId="2477" priority="2859" operator="equal">
      <formula>"-"</formula>
    </cfRule>
    <cfRule type="cellIs" dxfId="2476" priority="2860" operator="equal">
      <formula>"+"</formula>
    </cfRule>
  </conditionalFormatting>
  <conditionalFormatting sqref="N36">
    <cfRule type="cellIs" dxfId="2475" priority="2827" operator="equal">
      <formula>"-"</formula>
    </cfRule>
    <cfRule type="cellIs" dxfId="2474" priority="2828" operator="equal">
      <formula>"+"</formula>
    </cfRule>
  </conditionalFormatting>
  <conditionalFormatting sqref="M37:M39">
    <cfRule type="cellIs" dxfId="2473" priority="2825" operator="equal">
      <formula>"-"</formula>
    </cfRule>
    <cfRule type="cellIs" dxfId="2472" priority="2826" operator="equal">
      <formula>"+"</formula>
    </cfRule>
  </conditionalFormatting>
  <conditionalFormatting sqref="N37">
    <cfRule type="cellIs" dxfId="2471" priority="2823" operator="equal">
      <formula>"-"</formula>
    </cfRule>
    <cfRule type="cellIs" dxfId="2470" priority="2824" operator="equal">
      <formula>"+"</formula>
    </cfRule>
  </conditionalFormatting>
  <conditionalFormatting sqref="N38">
    <cfRule type="cellIs" dxfId="2469" priority="2821" operator="equal">
      <formula>"-"</formula>
    </cfRule>
    <cfRule type="cellIs" dxfId="2468" priority="2822" operator="equal">
      <formula>"+"</formula>
    </cfRule>
  </conditionalFormatting>
  <conditionalFormatting sqref="M28:M30">
    <cfRule type="cellIs" dxfId="2467" priority="2849" operator="equal">
      <formula>"-"</formula>
    </cfRule>
    <cfRule type="cellIs" dxfId="2466" priority="2850" operator="equal">
      <formula>"+"</formula>
    </cfRule>
  </conditionalFormatting>
  <conditionalFormatting sqref="N28">
    <cfRule type="cellIs" dxfId="2465" priority="2847" operator="equal">
      <formula>"-"</formula>
    </cfRule>
    <cfRule type="cellIs" dxfId="2464" priority="2848" operator="equal">
      <formula>"+"</formula>
    </cfRule>
  </conditionalFormatting>
  <conditionalFormatting sqref="N29">
    <cfRule type="cellIs" dxfId="2463" priority="2845" operator="equal">
      <formula>"-"</formula>
    </cfRule>
    <cfRule type="cellIs" dxfId="2462" priority="2846" operator="equal">
      <formula>"+"</formula>
    </cfRule>
  </conditionalFormatting>
  <conditionalFormatting sqref="N30">
    <cfRule type="cellIs" dxfId="2461" priority="2843" operator="equal">
      <formula>"-"</formula>
    </cfRule>
    <cfRule type="cellIs" dxfId="2460" priority="2844" operator="equal">
      <formula>"+"</formula>
    </cfRule>
  </conditionalFormatting>
  <conditionalFormatting sqref="M31:M33">
    <cfRule type="cellIs" dxfId="2459" priority="2841" operator="equal">
      <formula>"-"</formula>
    </cfRule>
    <cfRule type="cellIs" dxfId="2458" priority="2842" operator="equal">
      <formula>"+"</formula>
    </cfRule>
  </conditionalFormatting>
  <conditionalFormatting sqref="N31">
    <cfRule type="cellIs" dxfId="2457" priority="2839" operator="equal">
      <formula>"-"</formula>
    </cfRule>
    <cfRule type="cellIs" dxfId="2456" priority="2840" operator="equal">
      <formula>"+"</formula>
    </cfRule>
  </conditionalFormatting>
  <conditionalFormatting sqref="N32">
    <cfRule type="cellIs" dxfId="2455" priority="2837" operator="equal">
      <formula>"-"</formula>
    </cfRule>
    <cfRule type="cellIs" dxfId="2454" priority="2838" operator="equal">
      <formula>"+"</formula>
    </cfRule>
  </conditionalFormatting>
  <conditionalFormatting sqref="N33">
    <cfRule type="cellIs" dxfId="2453" priority="2835" operator="equal">
      <formula>"-"</formula>
    </cfRule>
    <cfRule type="cellIs" dxfId="2452" priority="2836" operator="equal">
      <formula>"+"</formula>
    </cfRule>
  </conditionalFormatting>
  <conditionalFormatting sqref="M34:M36">
    <cfRule type="cellIs" dxfId="2451" priority="2833" operator="equal">
      <formula>"-"</formula>
    </cfRule>
    <cfRule type="cellIs" dxfId="2450" priority="2834" operator="equal">
      <formula>"+"</formula>
    </cfRule>
  </conditionalFormatting>
  <conditionalFormatting sqref="N34">
    <cfRule type="cellIs" dxfId="2449" priority="2831" operator="equal">
      <formula>"-"</formula>
    </cfRule>
    <cfRule type="cellIs" dxfId="2448" priority="2832" operator="equal">
      <formula>"+"</formula>
    </cfRule>
  </conditionalFormatting>
  <conditionalFormatting sqref="N35">
    <cfRule type="cellIs" dxfId="2447" priority="2829" operator="equal">
      <formula>"-"</formula>
    </cfRule>
    <cfRule type="cellIs" dxfId="2446" priority="2830" operator="equal">
      <formula>"+"</formula>
    </cfRule>
  </conditionalFormatting>
  <conditionalFormatting sqref="N39">
    <cfRule type="cellIs" dxfId="2445" priority="2819" operator="equal">
      <formula>"-"</formula>
    </cfRule>
    <cfRule type="cellIs" dxfId="2444" priority="2820" operator="equal">
      <formula>"+"</formula>
    </cfRule>
  </conditionalFormatting>
  <conditionalFormatting sqref="M40:M42">
    <cfRule type="cellIs" dxfId="2443" priority="2817" operator="equal">
      <formula>"-"</formula>
    </cfRule>
    <cfRule type="cellIs" dxfId="2442" priority="2818" operator="equal">
      <formula>"+"</formula>
    </cfRule>
  </conditionalFormatting>
  <conditionalFormatting sqref="N40">
    <cfRule type="cellIs" dxfId="2441" priority="2815" operator="equal">
      <formula>"-"</formula>
    </cfRule>
    <cfRule type="cellIs" dxfId="2440" priority="2816" operator="equal">
      <formula>"+"</formula>
    </cfRule>
  </conditionalFormatting>
  <conditionalFormatting sqref="N41">
    <cfRule type="cellIs" dxfId="2439" priority="2813" operator="equal">
      <formula>"-"</formula>
    </cfRule>
    <cfRule type="cellIs" dxfId="2438" priority="2814" operator="equal">
      <formula>"+"</formula>
    </cfRule>
  </conditionalFormatting>
  <conditionalFormatting sqref="N42">
    <cfRule type="cellIs" dxfId="2437" priority="2811" operator="equal">
      <formula>"-"</formula>
    </cfRule>
    <cfRule type="cellIs" dxfId="2436" priority="2812" operator="equal">
      <formula>"+"</formula>
    </cfRule>
  </conditionalFormatting>
  <conditionalFormatting sqref="M43:M45">
    <cfRule type="cellIs" dxfId="2435" priority="2809" operator="equal">
      <formula>"-"</formula>
    </cfRule>
    <cfRule type="cellIs" dxfId="2434" priority="2810" operator="equal">
      <formula>"+"</formula>
    </cfRule>
  </conditionalFormatting>
  <conditionalFormatting sqref="N43">
    <cfRule type="cellIs" dxfId="2433" priority="2807" operator="equal">
      <formula>"-"</formula>
    </cfRule>
    <cfRule type="cellIs" dxfId="2432" priority="2808" operator="equal">
      <formula>"+"</formula>
    </cfRule>
  </conditionalFormatting>
  <conditionalFormatting sqref="N44">
    <cfRule type="cellIs" dxfId="2431" priority="2805" operator="equal">
      <formula>"-"</formula>
    </cfRule>
    <cfRule type="cellIs" dxfId="2430" priority="2806" operator="equal">
      <formula>"+"</formula>
    </cfRule>
  </conditionalFormatting>
  <conditionalFormatting sqref="N45">
    <cfRule type="cellIs" dxfId="2429" priority="2803" operator="equal">
      <formula>"-"</formula>
    </cfRule>
    <cfRule type="cellIs" dxfId="2428" priority="2804" operator="equal">
      <formula>"+"</formula>
    </cfRule>
  </conditionalFormatting>
  <conditionalFormatting sqref="M53:M55">
    <cfRule type="cellIs" dxfId="2427" priority="2801" operator="equal">
      <formula>"-"</formula>
    </cfRule>
    <cfRule type="cellIs" dxfId="2426" priority="2802" operator="equal">
      <formula>"+"</formula>
    </cfRule>
  </conditionalFormatting>
  <conditionalFormatting sqref="N53">
    <cfRule type="cellIs" dxfId="2425" priority="2799" operator="equal">
      <formula>"-"</formula>
    </cfRule>
    <cfRule type="cellIs" dxfId="2424" priority="2800" operator="equal">
      <formula>"+"</formula>
    </cfRule>
  </conditionalFormatting>
  <conditionalFormatting sqref="N54">
    <cfRule type="cellIs" dxfId="2423" priority="2797" operator="equal">
      <formula>"-"</formula>
    </cfRule>
    <cfRule type="cellIs" dxfId="2422" priority="2798" operator="equal">
      <formula>"+"</formula>
    </cfRule>
  </conditionalFormatting>
  <conditionalFormatting sqref="N55">
    <cfRule type="cellIs" dxfId="2421" priority="2795" operator="equal">
      <formula>"-"</formula>
    </cfRule>
    <cfRule type="cellIs" dxfId="2420" priority="2796" operator="equal">
      <formula>"+"</formula>
    </cfRule>
  </conditionalFormatting>
  <conditionalFormatting sqref="M56:M58">
    <cfRule type="cellIs" dxfId="2419" priority="2793" operator="equal">
      <formula>"-"</formula>
    </cfRule>
    <cfRule type="cellIs" dxfId="2418" priority="2794" operator="equal">
      <formula>"+"</formula>
    </cfRule>
  </conditionalFormatting>
  <conditionalFormatting sqref="N56">
    <cfRule type="cellIs" dxfId="2417" priority="2791" operator="equal">
      <formula>"-"</formula>
    </cfRule>
    <cfRule type="cellIs" dxfId="2416" priority="2792" operator="equal">
      <formula>"+"</formula>
    </cfRule>
  </conditionalFormatting>
  <conditionalFormatting sqref="N57">
    <cfRule type="cellIs" dxfId="2415" priority="2789" operator="equal">
      <formula>"-"</formula>
    </cfRule>
    <cfRule type="cellIs" dxfId="2414" priority="2790" operator="equal">
      <formula>"+"</formula>
    </cfRule>
  </conditionalFormatting>
  <conditionalFormatting sqref="N58">
    <cfRule type="cellIs" dxfId="2413" priority="2787" operator="equal">
      <formula>"-"</formula>
    </cfRule>
    <cfRule type="cellIs" dxfId="2412" priority="2788" operator="equal">
      <formula>"+"</formula>
    </cfRule>
  </conditionalFormatting>
  <conditionalFormatting sqref="M46:M52">
    <cfRule type="cellIs" dxfId="2411" priority="2785" operator="equal">
      <formula>"-"</formula>
    </cfRule>
    <cfRule type="cellIs" dxfId="2410" priority="2786" operator="equal">
      <formula>"+"</formula>
    </cfRule>
  </conditionalFormatting>
  <conditionalFormatting sqref="N46">
    <cfRule type="cellIs" dxfId="2409" priority="2783" operator="equal">
      <formula>"-"</formula>
    </cfRule>
    <cfRule type="cellIs" dxfId="2408" priority="2784" operator="equal">
      <formula>"+"</formula>
    </cfRule>
  </conditionalFormatting>
  <conditionalFormatting sqref="N47">
    <cfRule type="cellIs" dxfId="2407" priority="2781" operator="equal">
      <formula>"-"</formula>
    </cfRule>
    <cfRule type="cellIs" dxfId="2406" priority="2782" operator="equal">
      <formula>"+"</formula>
    </cfRule>
  </conditionalFormatting>
  <conditionalFormatting sqref="N51">
    <cfRule type="cellIs" dxfId="2405" priority="2779" operator="equal">
      <formula>"-"</formula>
    </cfRule>
    <cfRule type="cellIs" dxfId="2404" priority="2780" operator="equal">
      <formula>"+"</formula>
    </cfRule>
  </conditionalFormatting>
  <conditionalFormatting sqref="N52">
    <cfRule type="cellIs" dxfId="2403" priority="2777" operator="equal">
      <formula>"-"</formula>
    </cfRule>
    <cfRule type="cellIs" dxfId="2402" priority="2778" operator="equal">
      <formula>"+"</formula>
    </cfRule>
  </conditionalFormatting>
  <conditionalFormatting sqref="N48">
    <cfRule type="cellIs" dxfId="2401" priority="2775" operator="equal">
      <formula>"-"</formula>
    </cfRule>
    <cfRule type="cellIs" dxfId="2400" priority="2776" operator="equal">
      <formula>"+"</formula>
    </cfRule>
  </conditionalFormatting>
  <conditionalFormatting sqref="N49">
    <cfRule type="cellIs" dxfId="2399" priority="2773" operator="equal">
      <formula>"-"</formula>
    </cfRule>
    <cfRule type="cellIs" dxfId="2398" priority="2774" operator="equal">
      <formula>"+"</formula>
    </cfRule>
  </conditionalFormatting>
  <conditionalFormatting sqref="N50">
    <cfRule type="cellIs" dxfId="2397" priority="2771" operator="equal">
      <formula>"-"</formula>
    </cfRule>
    <cfRule type="cellIs" dxfId="2396" priority="2772" operator="equal">
      <formula>"+"</formula>
    </cfRule>
  </conditionalFormatting>
  <conditionalFormatting sqref="N60">
    <cfRule type="cellIs" dxfId="2395" priority="2769" operator="equal">
      <formula>"-"</formula>
    </cfRule>
    <cfRule type="cellIs" dxfId="2394" priority="2770" operator="equal">
      <formula>"+"</formula>
    </cfRule>
  </conditionalFormatting>
  <conditionalFormatting sqref="N70">
    <cfRule type="cellIs" dxfId="2393" priority="2767" operator="equal">
      <formula>"-"</formula>
    </cfRule>
    <cfRule type="cellIs" dxfId="2392" priority="2768" operator="equal">
      <formula>"+"</formula>
    </cfRule>
  </conditionalFormatting>
  <conditionalFormatting sqref="N72">
    <cfRule type="cellIs" dxfId="2391" priority="2765" operator="equal">
      <formula>"-"</formula>
    </cfRule>
    <cfRule type="cellIs" dxfId="2390" priority="2766" operator="equal">
      <formula>"+"</formula>
    </cfRule>
  </conditionalFormatting>
  <conditionalFormatting sqref="N61">
    <cfRule type="cellIs" dxfId="2389" priority="2761" operator="equal">
      <formula>"-"</formula>
    </cfRule>
    <cfRule type="cellIs" dxfId="2388" priority="2762" operator="equal">
      <formula>"+"</formula>
    </cfRule>
  </conditionalFormatting>
  <conditionalFormatting sqref="N71">
    <cfRule type="cellIs" dxfId="2387" priority="2759" operator="equal">
      <formula>"-"</formula>
    </cfRule>
    <cfRule type="cellIs" dxfId="2386" priority="2760" operator="equal">
      <formula>"+"</formula>
    </cfRule>
  </conditionalFormatting>
  <conditionalFormatting sqref="N73">
    <cfRule type="cellIs" dxfId="2385" priority="2757" operator="equal">
      <formula>"-"</formula>
    </cfRule>
    <cfRule type="cellIs" dxfId="2384" priority="2758" operator="equal">
      <formula>"+"</formula>
    </cfRule>
  </conditionalFormatting>
  <conditionalFormatting sqref="M60:M61">
    <cfRule type="cellIs" dxfId="2383" priority="2753" operator="equal">
      <formula>"-"</formula>
    </cfRule>
    <cfRule type="cellIs" dxfId="2382" priority="2754" operator="equal">
      <formula>"+"</formula>
    </cfRule>
  </conditionalFormatting>
  <conditionalFormatting sqref="M70:M71">
    <cfRule type="cellIs" dxfId="2381" priority="2751" operator="equal">
      <formula>"-"</formula>
    </cfRule>
    <cfRule type="cellIs" dxfId="2380" priority="2752" operator="equal">
      <formula>"+"</formula>
    </cfRule>
  </conditionalFormatting>
  <conditionalFormatting sqref="M72:M73">
    <cfRule type="cellIs" dxfId="2379" priority="2749" operator="equal">
      <formula>"-"</formula>
    </cfRule>
    <cfRule type="cellIs" dxfId="2378" priority="2750" operator="equal">
      <formula>"+"</formula>
    </cfRule>
  </conditionalFormatting>
  <conditionalFormatting sqref="Q15">
    <cfRule type="cellIs" dxfId="2377" priority="2651" operator="equal">
      <formula>"-"</formula>
    </cfRule>
    <cfRule type="cellIs" dxfId="2376" priority="2652" operator="equal">
      <formula>"+"</formula>
    </cfRule>
  </conditionalFormatting>
  <conditionalFormatting sqref="M66:M67">
    <cfRule type="cellIs" dxfId="2375" priority="2733" operator="equal">
      <formula>"+"</formula>
    </cfRule>
    <cfRule type="cellIs" dxfId="2374" priority="2734" operator="equal">
      <formula>"-"</formula>
    </cfRule>
  </conditionalFormatting>
  <conditionalFormatting sqref="N66">
    <cfRule type="cellIs" dxfId="2373" priority="2731" operator="equal">
      <formula>"-"</formula>
    </cfRule>
    <cfRule type="cellIs" dxfId="2372" priority="2732" operator="equal">
      <formula>"+"</formula>
    </cfRule>
  </conditionalFormatting>
  <conditionalFormatting sqref="N67">
    <cfRule type="cellIs" dxfId="2371" priority="2729" operator="equal">
      <formula>"-"</formula>
    </cfRule>
    <cfRule type="cellIs" dxfId="2370" priority="2730" operator="equal">
      <formula>"+"</formula>
    </cfRule>
  </conditionalFormatting>
  <conditionalFormatting sqref="M68:M69">
    <cfRule type="cellIs" dxfId="2369" priority="2727" operator="equal">
      <formula>"+"</formula>
    </cfRule>
    <cfRule type="cellIs" dxfId="2368" priority="2728" operator="equal">
      <formula>"-"</formula>
    </cfRule>
  </conditionalFormatting>
  <conditionalFormatting sqref="N68">
    <cfRule type="cellIs" dxfId="2367" priority="2725" operator="equal">
      <formula>"-"</formula>
    </cfRule>
    <cfRule type="cellIs" dxfId="2366" priority="2726" operator="equal">
      <formula>"+"</formula>
    </cfRule>
  </conditionalFormatting>
  <conditionalFormatting sqref="N69">
    <cfRule type="cellIs" dxfId="2365" priority="2723" operator="equal">
      <formula>"-"</formula>
    </cfRule>
    <cfRule type="cellIs" dxfId="2364" priority="2724" operator="equal">
      <formula>"+"</formula>
    </cfRule>
  </conditionalFormatting>
  <conditionalFormatting sqref="M77:M78">
    <cfRule type="cellIs" dxfId="2363" priority="2721" operator="equal">
      <formula>"+"</formula>
    </cfRule>
    <cfRule type="cellIs" dxfId="2362" priority="2722" operator="equal">
      <formula>"-"</formula>
    </cfRule>
  </conditionalFormatting>
  <conditionalFormatting sqref="N77">
    <cfRule type="cellIs" dxfId="2361" priority="2719" operator="equal">
      <formula>"-"</formula>
    </cfRule>
    <cfRule type="cellIs" dxfId="2360" priority="2720" operator="equal">
      <formula>"+"</formula>
    </cfRule>
  </conditionalFormatting>
  <conditionalFormatting sqref="N78">
    <cfRule type="cellIs" dxfId="2359" priority="2717" operator="equal">
      <formula>"-"</formula>
    </cfRule>
    <cfRule type="cellIs" dxfId="2358" priority="2718" operator="equal">
      <formula>"+"</formula>
    </cfRule>
  </conditionalFormatting>
  <conditionalFormatting sqref="M80:M83">
    <cfRule type="cellIs" dxfId="2357" priority="2715" operator="equal">
      <formula>"-"</formula>
    </cfRule>
    <cfRule type="cellIs" dxfId="2356" priority="2716" operator="equal">
      <formula>"+"</formula>
    </cfRule>
  </conditionalFormatting>
  <conditionalFormatting sqref="N80">
    <cfRule type="cellIs" dxfId="2355" priority="2713" operator="equal">
      <formula>"-"</formula>
    </cfRule>
    <cfRule type="cellIs" dxfId="2354" priority="2714" operator="equal">
      <formula>"+"</formula>
    </cfRule>
  </conditionalFormatting>
  <conditionalFormatting sqref="N81:N82">
    <cfRule type="cellIs" dxfId="2353" priority="2711" operator="equal">
      <formula>"-"</formula>
    </cfRule>
    <cfRule type="cellIs" dxfId="2352" priority="2712" operator="equal">
      <formula>"+"</formula>
    </cfRule>
  </conditionalFormatting>
  <conditionalFormatting sqref="N83">
    <cfRule type="cellIs" dxfId="2351" priority="2709" operator="equal">
      <formula>"-"</formula>
    </cfRule>
    <cfRule type="cellIs" dxfId="2350" priority="2710" operator="equal">
      <formula>"+"</formula>
    </cfRule>
  </conditionalFormatting>
  <conditionalFormatting sqref="M87:M94">
    <cfRule type="cellIs" dxfId="2349" priority="2707" operator="equal">
      <formula>"-"</formula>
    </cfRule>
    <cfRule type="cellIs" dxfId="2348" priority="2708" operator="equal">
      <formula>"+"</formula>
    </cfRule>
  </conditionalFormatting>
  <conditionalFormatting sqref="N95">
    <cfRule type="cellIs" dxfId="2347" priority="2697" operator="equal">
      <formula>"-"</formula>
    </cfRule>
    <cfRule type="cellIs" dxfId="2346" priority="2698" operator="equal">
      <formula>"+"</formula>
    </cfRule>
  </conditionalFormatting>
  <conditionalFormatting sqref="N94">
    <cfRule type="cellIs" dxfId="2345" priority="2701" operator="equal">
      <formula>"-"</formula>
    </cfRule>
    <cfRule type="cellIs" dxfId="2344" priority="2702" operator="equal">
      <formula>"+"</formula>
    </cfRule>
  </conditionalFormatting>
  <conditionalFormatting sqref="M95:M100">
    <cfRule type="cellIs" dxfId="2343" priority="2699" operator="equal">
      <formula>"-"</formula>
    </cfRule>
    <cfRule type="cellIs" dxfId="2342" priority="2700" operator="equal">
      <formula>"+"</formula>
    </cfRule>
  </conditionalFormatting>
  <conditionalFormatting sqref="N96 N98:N99">
    <cfRule type="cellIs" dxfId="2341" priority="2695" operator="equal">
      <formula>"-"</formula>
    </cfRule>
    <cfRule type="cellIs" dxfId="2340" priority="2696" operator="equal">
      <formula>"+"</formula>
    </cfRule>
  </conditionalFormatting>
  <conditionalFormatting sqref="N100">
    <cfRule type="cellIs" dxfId="2339" priority="2693" operator="equal">
      <formula>"-"</formula>
    </cfRule>
    <cfRule type="cellIs" dxfId="2338" priority="2694" operator="equal">
      <formula>"+"</formula>
    </cfRule>
  </conditionalFormatting>
  <conditionalFormatting sqref="M84:M86">
    <cfRule type="cellIs" dxfId="2337" priority="2691" operator="equal">
      <formula>"-"</formula>
    </cfRule>
    <cfRule type="cellIs" dxfId="2336" priority="2692" operator="equal">
      <formula>"+"</formula>
    </cfRule>
  </conditionalFormatting>
  <conditionalFormatting sqref="N84">
    <cfRule type="cellIs" dxfId="2335" priority="2689" operator="equal">
      <formula>"-"</formula>
    </cfRule>
    <cfRule type="cellIs" dxfId="2334" priority="2690" operator="equal">
      <formula>"+"</formula>
    </cfRule>
  </conditionalFormatting>
  <conditionalFormatting sqref="N85">
    <cfRule type="cellIs" dxfId="2333" priority="2687" operator="equal">
      <formula>"-"</formula>
    </cfRule>
    <cfRule type="cellIs" dxfId="2332" priority="2688" operator="equal">
      <formula>"+"</formula>
    </cfRule>
  </conditionalFormatting>
  <conditionalFormatting sqref="N86">
    <cfRule type="cellIs" dxfId="2331" priority="2685" operator="equal">
      <formula>"-"</formula>
    </cfRule>
    <cfRule type="cellIs" dxfId="2330" priority="2686" operator="equal">
      <formula>"+"</formula>
    </cfRule>
  </conditionalFormatting>
  <conditionalFormatting sqref="P6:P8">
    <cfRule type="cellIs" dxfId="2329" priority="2675" operator="equal">
      <formula>"-"</formula>
    </cfRule>
    <cfRule type="cellIs" dxfId="2328" priority="2676" operator="equal">
      <formula>"+"</formula>
    </cfRule>
  </conditionalFormatting>
  <conditionalFormatting sqref="Q6">
    <cfRule type="cellIs" dxfId="2327" priority="2673" operator="equal">
      <formula>"-"</formula>
    </cfRule>
    <cfRule type="cellIs" dxfId="2326" priority="2674" operator="equal">
      <formula>"+"</formula>
    </cfRule>
  </conditionalFormatting>
  <conditionalFormatting sqref="Q7">
    <cfRule type="cellIs" dxfId="2325" priority="2671" operator="equal">
      <formula>"-"</formula>
    </cfRule>
    <cfRule type="cellIs" dxfId="2324" priority="2672" operator="equal">
      <formula>"+"</formula>
    </cfRule>
  </conditionalFormatting>
  <conditionalFormatting sqref="Q8">
    <cfRule type="cellIs" dxfId="2323" priority="2669" operator="equal">
      <formula>"-"</formula>
    </cfRule>
    <cfRule type="cellIs" dxfId="2322" priority="2670" operator="equal">
      <formula>"+"</formula>
    </cfRule>
  </conditionalFormatting>
  <conditionalFormatting sqref="P9:P11">
    <cfRule type="cellIs" dxfId="2321" priority="2667" operator="equal">
      <formula>"-"</formula>
    </cfRule>
    <cfRule type="cellIs" dxfId="2320" priority="2668" operator="equal">
      <formula>"+"</formula>
    </cfRule>
  </conditionalFormatting>
  <conditionalFormatting sqref="Q9">
    <cfRule type="cellIs" dxfId="2319" priority="2665" operator="equal">
      <formula>"-"</formula>
    </cfRule>
    <cfRule type="cellIs" dxfId="2318" priority="2666" operator="equal">
      <formula>"+"</formula>
    </cfRule>
  </conditionalFormatting>
  <conditionalFormatting sqref="Q10">
    <cfRule type="cellIs" dxfId="2317" priority="2663" operator="equal">
      <formula>"-"</formula>
    </cfRule>
    <cfRule type="cellIs" dxfId="2316" priority="2664" operator="equal">
      <formula>"+"</formula>
    </cfRule>
  </conditionalFormatting>
  <conditionalFormatting sqref="Q11">
    <cfRule type="cellIs" dxfId="2315" priority="2661" operator="equal">
      <formula>"-"</formula>
    </cfRule>
    <cfRule type="cellIs" dxfId="2314" priority="2662" operator="equal">
      <formula>"+"</formula>
    </cfRule>
  </conditionalFormatting>
  <conditionalFormatting sqref="P12:P14">
    <cfRule type="cellIs" dxfId="2313" priority="2659" operator="equal">
      <formula>"-"</formula>
    </cfRule>
    <cfRule type="cellIs" dxfId="2312" priority="2660" operator="equal">
      <formula>"+"</formula>
    </cfRule>
  </conditionalFormatting>
  <conditionalFormatting sqref="Q12">
    <cfRule type="cellIs" dxfId="2311" priority="2657" operator="equal">
      <formula>"-"</formula>
    </cfRule>
    <cfRule type="cellIs" dxfId="2310" priority="2658" operator="equal">
      <formula>"+"</formula>
    </cfRule>
  </conditionalFormatting>
  <conditionalFormatting sqref="Q13">
    <cfRule type="cellIs" dxfId="2309" priority="2655" operator="equal">
      <formula>"-"</formula>
    </cfRule>
    <cfRule type="cellIs" dxfId="2308" priority="2656" operator="equal">
      <formula>"+"</formula>
    </cfRule>
  </conditionalFormatting>
  <conditionalFormatting sqref="Q14">
    <cfRule type="cellIs" dxfId="2307" priority="2653" operator="equal">
      <formula>"-"</formula>
    </cfRule>
    <cfRule type="cellIs" dxfId="2306" priority="2654" operator="equal">
      <formula>"+"</formula>
    </cfRule>
  </conditionalFormatting>
  <conditionalFormatting sqref="Q16:Q17">
    <cfRule type="cellIs" dxfId="2305" priority="2649" operator="equal">
      <formula>"-"</formula>
    </cfRule>
    <cfRule type="cellIs" dxfId="2304" priority="2650" operator="equal">
      <formula>"+"</formula>
    </cfRule>
  </conditionalFormatting>
  <conditionalFormatting sqref="Q18">
    <cfRule type="cellIs" dxfId="2303" priority="2647" operator="equal">
      <formula>"-"</formula>
    </cfRule>
    <cfRule type="cellIs" dxfId="2302" priority="2648" operator="equal">
      <formula>"+"</formula>
    </cfRule>
  </conditionalFormatting>
  <conditionalFormatting sqref="P22:P24">
    <cfRule type="cellIs" dxfId="2301" priority="2637" operator="equal">
      <formula>"-"</formula>
    </cfRule>
    <cfRule type="cellIs" dxfId="2300" priority="2638" operator="equal">
      <formula>"+"</formula>
    </cfRule>
  </conditionalFormatting>
  <conditionalFormatting sqref="Q22">
    <cfRule type="cellIs" dxfId="2299" priority="2635" operator="equal">
      <formula>"-"</formula>
    </cfRule>
    <cfRule type="cellIs" dxfId="2298" priority="2636" operator="equal">
      <formula>"+"</formula>
    </cfRule>
  </conditionalFormatting>
  <conditionalFormatting sqref="Q23">
    <cfRule type="cellIs" dxfId="2297" priority="2633" operator="equal">
      <formula>"-"</formula>
    </cfRule>
    <cfRule type="cellIs" dxfId="2296" priority="2634" operator="equal">
      <formula>"+"</formula>
    </cfRule>
  </conditionalFormatting>
  <conditionalFormatting sqref="Q24">
    <cfRule type="cellIs" dxfId="2295" priority="2631" operator="equal">
      <formula>"-"</formula>
    </cfRule>
    <cfRule type="cellIs" dxfId="2294" priority="2632" operator="equal">
      <formula>"+"</formula>
    </cfRule>
  </conditionalFormatting>
  <conditionalFormatting sqref="Q33">
    <cfRule type="cellIs" dxfId="2293" priority="2607" operator="equal">
      <formula>"-"</formula>
    </cfRule>
    <cfRule type="cellIs" dxfId="2292" priority="2608" operator="equal">
      <formula>"+"</formula>
    </cfRule>
  </conditionalFormatting>
  <conditionalFormatting sqref="P34:P36">
    <cfRule type="cellIs" dxfId="2291" priority="2605" operator="equal">
      <formula>"-"</formula>
    </cfRule>
    <cfRule type="cellIs" dxfId="2290" priority="2606" operator="equal">
      <formula>"+"</formula>
    </cfRule>
  </conditionalFormatting>
  <conditionalFormatting sqref="Q34">
    <cfRule type="cellIs" dxfId="2289" priority="2603" operator="equal">
      <formula>"-"</formula>
    </cfRule>
    <cfRule type="cellIs" dxfId="2288" priority="2604" operator="equal">
      <formula>"+"</formula>
    </cfRule>
  </conditionalFormatting>
  <conditionalFormatting sqref="Q35">
    <cfRule type="cellIs" dxfId="2287" priority="2601" operator="equal">
      <formula>"-"</formula>
    </cfRule>
    <cfRule type="cellIs" dxfId="2286" priority="2602" operator="equal">
      <formula>"+"</formula>
    </cfRule>
  </conditionalFormatting>
  <conditionalFormatting sqref="P28:P30">
    <cfRule type="cellIs" dxfId="2285" priority="2621" operator="equal">
      <formula>"-"</formula>
    </cfRule>
    <cfRule type="cellIs" dxfId="2284" priority="2622" operator="equal">
      <formula>"+"</formula>
    </cfRule>
  </conditionalFormatting>
  <conditionalFormatting sqref="Q28">
    <cfRule type="cellIs" dxfId="2283" priority="2619" operator="equal">
      <formula>"-"</formula>
    </cfRule>
    <cfRule type="cellIs" dxfId="2282" priority="2620" operator="equal">
      <formula>"+"</formula>
    </cfRule>
  </conditionalFormatting>
  <conditionalFormatting sqref="Q29">
    <cfRule type="cellIs" dxfId="2281" priority="2617" operator="equal">
      <formula>"-"</formula>
    </cfRule>
    <cfRule type="cellIs" dxfId="2280" priority="2618" operator="equal">
      <formula>"+"</formula>
    </cfRule>
  </conditionalFormatting>
  <conditionalFormatting sqref="Q30">
    <cfRule type="cellIs" dxfId="2279" priority="2615" operator="equal">
      <formula>"-"</formula>
    </cfRule>
    <cfRule type="cellIs" dxfId="2278" priority="2616" operator="equal">
      <formula>"+"</formula>
    </cfRule>
  </conditionalFormatting>
  <conditionalFormatting sqref="P31:P33">
    <cfRule type="cellIs" dxfId="2277" priority="2613" operator="equal">
      <formula>"-"</formula>
    </cfRule>
    <cfRule type="cellIs" dxfId="2276" priority="2614" operator="equal">
      <formula>"+"</formula>
    </cfRule>
  </conditionalFormatting>
  <conditionalFormatting sqref="Q31">
    <cfRule type="cellIs" dxfId="2275" priority="2611" operator="equal">
      <formula>"-"</formula>
    </cfRule>
    <cfRule type="cellIs" dxfId="2274" priority="2612" operator="equal">
      <formula>"+"</formula>
    </cfRule>
  </conditionalFormatting>
  <conditionalFormatting sqref="Q32">
    <cfRule type="cellIs" dxfId="2273" priority="2609" operator="equal">
      <formula>"-"</formula>
    </cfRule>
    <cfRule type="cellIs" dxfId="2272" priority="2610" operator="equal">
      <formula>"+"</formula>
    </cfRule>
  </conditionalFormatting>
  <conditionalFormatting sqref="Q36">
    <cfRule type="cellIs" dxfId="2271" priority="2599" operator="equal">
      <formula>"-"</formula>
    </cfRule>
    <cfRule type="cellIs" dxfId="2270" priority="2600" operator="equal">
      <formula>"+"</formula>
    </cfRule>
  </conditionalFormatting>
  <conditionalFormatting sqref="P37:P39">
    <cfRule type="cellIs" dxfId="2269" priority="2597" operator="equal">
      <formula>"-"</formula>
    </cfRule>
    <cfRule type="cellIs" dxfId="2268" priority="2598" operator="equal">
      <formula>"+"</formula>
    </cfRule>
  </conditionalFormatting>
  <conditionalFormatting sqref="Q37">
    <cfRule type="cellIs" dxfId="2267" priority="2595" operator="equal">
      <formula>"-"</formula>
    </cfRule>
    <cfRule type="cellIs" dxfId="2266" priority="2596" operator="equal">
      <formula>"+"</formula>
    </cfRule>
  </conditionalFormatting>
  <conditionalFormatting sqref="Q38">
    <cfRule type="cellIs" dxfId="2265" priority="2593" operator="equal">
      <formula>"-"</formula>
    </cfRule>
    <cfRule type="cellIs" dxfId="2264" priority="2594" operator="equal">
      <formula>"+"</formula>
    </cfRule>
  </conditionalFormatting>
  <conditionalFormatting sqref="Q39">
    <cfRule type="cellIs" dxfId="2263" priority="2591" operator="equal">
      <formula>"-"</formula>
    </cfRule>
    <cfRule type="cellIs" dxfId="2262" priority="2592" operator="equal">
      <formula>"+"</formula>
    </cfRule>
  </conditionalFormatting>
  <conditionalFormatting sqref="P40:P42">
    <cfRule type="cellIs" dxfId="2261" priority="2589" operator="equal">
      <formula>"-"</formula>
    </cfRule>
    <cfRule type="cellIs" dxfId="2260" priority="2590" operator="equal">
      <formula>"+"</formula>
    </cfRule>
  </conditionalFormatting>
  <conditionalFormatting sqref="Q40">
    <cfRule type="cellIs" dxfId="2259" priority="2587" operator="equal">
      <formula>"-"</formula>
    </cfRule>
    <cfRule type="cellIs" dxfId="2258" priority="2588" operator="equal">
      <formula>"+"</formula>
    </cfRule>
  </conditionalFormatting>
  <conditionalFormatting sqref="Q41">
    <cfRule type="cellIs" dxfId="2257" priority="2585" operator="equal">
      <formula>"-"</formula>
    </cfRule>
    <cfRule type="cellIs" dxfId="2256" priority="2586" operator="equal">
      <formula>"+"</formula>
    </cfRule>
  </conditionalFormatting>
  <conditionalFormatting sqref="Q42">
    <cfRule type="cellIs" dxfId="2255" priority="2583" operator="equal">
      <formula>"-"</formula>
    </cfRule>
    <cfRule type="cellIs" dxfId="2254" priority="2584" operator="equal">
      <formula>"+"</formula>
    </cfRule>
  </conditionalFormatting>
  <conditionalFormatting sqref="P43:P45">
    <cfRule type="cellIs" dxfId="2253" priority="2581" operator="equal">
      <formula>"-"</formula>
    </cfRule>
    <cfRule type="cellIs" dxfId="2252" priority="2582" operator="equal">
      <formula>"+"</formula>
    </cfRule>
  </conditionalFormatting>
  <conditionalFormatting sqref="Q43">
    <cfRule type="cellIs" dxfId="2251" priority="2579" operator="equal">
      <formula>"-"</formula>
    </cfRule>
    <cfRule type="cellIs" dxfId="2250" priority="2580" operator="equal">
      <formula>"+"</formula>
    </cfRule>
  </conditionalFormatting>
  <conditionalFormatting sqref="Q44">
    <cfRule type="cellIs" dxfId="2249" priority="2577" operator="equal">
      <formula>"-"</formula>
    </cfRule>
    <cfRule type="cellIs" dxfId="2248" priority="2578" operator="equal">
      <formula>"+"</formula>
    </cfRule>
  </conditionalFormatting>
  <conditionalFormatting sqref="Q45">
    <cfRule type="cellIs" dxfId="2247" priority="2575" operator="equal">
      <formula>"-"</formula>
    </cfRule>
    <cfRule type="cellIs" dxfId="2246" priority="2576" operator="equal">
      <formula>"+"</formula>
    </cfRule>
  </conditionalFormatting>
  <conditionalFormatting sqref="P53:P55">
    <cfRule type="cellIs" dxfId="2245" priority="2573" operator="equal">
      <formula>"-"</formula>
    </cfRule>
    <cfRule type="cellIs" dxfId="2244" priority="2574" operator="equal">
      <formula>"+"</formula>
    </cfRule>
  </conditionalFormatting>
  <conditionalFormatting sqref="Q53">
    <cfRule type="cellIs" dxfId="2243" priority="2571" operator="equal">
      <formula>"-"</formula>
    </cfRule>
    <cfRule type="cellIs" dxfId="2242" priority="2572" operator="equal">
      <formula>"+"</formula>
    </cfRule>
  </conditionalFormatting>
  <conditionalFormatting sqref="Q54">
    <cfRule type="cellIs" dxfId="2241" priority="2569" operator="equal">
      <formula>"-"</formula>
    </cfRule>
    <cfRule type="cellIs" dxfId="2240" priority="2570" operator="equal">
      <formula>"+"</formula>
    </cfRule>
  </conditionalFormatting>
  <conditionalFormatting sqref="Q55">
    <cfRule type="cellIs" dxfId="2239" priority="2567" operator="equal">
      <formula>"-"</formula>
    </cfRule>
    <cfRule type="cellIs" dxfId="2238" priority="2568" operator="equal">
      <formula>"+"</formula>
    </cfRule>
  </conditionalFormatting>
  <conditionalFormatting sqref="P56:P58">
    <cfRule type="cellIs" dxfId="2237" priority="2565" operator="equal">
      <formula>"-"</formula>
    </cfRule>
    <cfRule type="cellIs" dxfId="2236" priority="2566" operator="equal">
      <formula>"+"</formula>
    </cfRule>
  </conditionalFormatting>
  <conditionalFormatting sqref="Q56">
    <cfRule type="cellIs" dxfId="2235" priority="2563" operator="equal">
      <formula>"-"</formula>
    </cfRule>
    <cfRule type="cellIs" dxfId="2234" priority="2564" operator="equal">
      <formula>"+"</formula>
    </cfRule>
  </conditionalFormatting>
  <conditionalFormatting sqref="Q57">
    <cfRule type="cellIs" dxfId="2233" priority="2561" operator="equal">
      <formula>"-"</formula>
    </cfRule>
    <cfRule type="cellIs" dxfId="2232" priority="2562" operator="equal">
      <formula>"+"</formula>
    </cfRule>
  </conditionalFormatting>
  <conditionalFormatting sqref="Q58">
    <cfRule type="cellIs" dxfId="2231" priority="2559" operator="equal">
      <formula>"-"</formula>
    </cfRule>
    <cfRule type="cellIs" dxfId="2230" priority="2560" operator="equal">
      <formula>"+"</formula>
    </cfRule>
  </conditionalFormatting>
  <conditionalFormatting sqref="P46:P52">
    <cfRule type="cellIs" dxfId="2229" priority="2557" operator="equal">
      <formula>"-"</formula>
    </cfRule>
    <cfRule type="cellIs" dxfId="2228" priority="2558" operator="equal">
      <formula>"+"</formula>
    </cfRule>
  </conditionalFormatting>
  <conditionalFormatting sqref="Q46">
    <cfRule type="cellIs" dxfId="2227" priority="2555" operator="equal">
      <formula>"-"</formula>
    </cfRule>
    <cfRule type="cellIs" dxfId="2226" priority="2556" operator="equal">
      <formula>"+"</formula>
    </cfRule>
  </conditionalFormatting>
  <conditionalFormatting sqref="Q47">
    <cfRule type="cellIs" dxfId="2225" priority="2553" operator="equal">
      <formula>"-"</formula>
    </cfRule>
    <cfRule type="cellIs" dxfId="2224" priority="2554" operator="equal">
      <formula>"+"</formula>
    </cfRule>
  </conditionalFormatting>
  <conditionalFormatting sqref="Q51">
    <cfRule type="cellIs" dxfId="2223" priority="2551" operator="equal">
      <formula>"-"</formula>
    </cfRule>
    <cfRule type="cellIs" dxfId="2222" priority="2552" operator="equal">
      <formula>"+"</formula>
    </cfRule>
  </conditionalFormatting>
  <conditionalFormatting sqref="Q52">
    <cfRule type="cellIs" dxfId="2221" priority="2549" operator="equal">
      <formula>"-"</formula>
    </cfRule>
    <cfRule type="cellIs" dxfId="2220" priority="2550" operator="equal">
      <formula>"+"</formula>
    </cfRule>
  </conditionalFormatting>
  <conditionalFormatting sqref="Q48">
    <cfRule type="cellIs" dxfId="2219" priority="2547" operator="equal">
      <formula>"-"</formula>
    </cfRule>
    <cfRule type="cellIs" dxfId="2218" priority="2548" operator="equal">
      <formula>"+"</formula>
    </cfRule>
  </conditionalFormatting>
  <conditionalFormatting sqref="Q49">
    <cfRule type="cellIs" dxfId="2217" priority="2545" operator="equal">
      <formula>"-"</formula>
    </cfRule>
    <cfRule type="cellIs" dxfId="2216" priority="2546" operator="equal">
      <formula>"+"</formula>
    </cfRule>
  </conditionalFormatting>
  <conditionalFormatting sqref="Q50">
    <cfRule type="cellIs" dxfId="2215" priority="2543" operator="equal">
      <formula>"-"</formula>
    </cfRule>
    <cfRule type="cellIs" dxfId="2214" priority="2544" operator="equal">
      <formula>"+"</formula>
    </cfRule>
  </conditionalFormatting>
  <conditionalFormatting sqref="Q60">
    <cfRule type="cellIs" dxfId="2213" priority="2541" operator="equal">
      <formula>"-"</formula>
    </cfRule>
    <cfRule type="cellIs" dxfId="2212" priority="2542" operator="equal">
      <formula>"+"</formula>
    </cfRule>
  </conditionalFormatting>
  <conditionalFormatting sqref="Q70">
    <cfRule type="cellIs" dxfId="2211" priority="2539" operator="equal">
      <formula>"-"</formula>
    </cfRule>
    <cfRule type="cellIs" dxfId="2210" priority="2540" operator="equal">
      <formula>"+"</formula>
    </cfRule>
  </conditionalFormatting>
  <conditionalFormatting sqref="Q72">
    <cfRule type="cellIs" dxfId="2209" priority="2537" operator="equal">
      <formula>"-"</formula>
    </cfRule>
    <cfRule type="cellIs" dxfId="2208" priority="2538" operator="equal">
      <formula>"+"</formula>
    </cfRule>
  </conditionalFormatting>
  <conditionalFormatting sqref="Q61">
    <cfRule type="cellIs" dxfId="2207" priority="2533" operator="equal">
      <formula>"-"</formula>
    </cfRule>
    <cfRule type="cellIs" dxfId="2206" priority="2534" operator="equal">
      <formula>"+"</formula>
    </cfRule>
  </conditionalFormatting>
  <conditionalFormatting sqref="Q71">
    <cfRule type="cellIs" dxfId="2205" priority="2531" operator="equal">
      <formula>"-"</formula>
    </cfRule>
    <cfRule type="cellIs" dxfId="2204" priority="2532" operator="equal">
      <formula>"+"</formula>
    </cfRule>
  </conditionalFormatting>
  <conditionalFormatting sqref="Q73">
    <cfRule type="cellIs" dxfId="2203" priority="2529" operator="equal">
      <formula>"-"</formula>
    </cfRule>
    <cfRule type="cellIs" dxfId="2202" priority="2530" operator="equal">
      <formula>"+"</formula>
    </cfRule>
  </conditionalFormatting>
  <conditionalFormatting sqref="P60:P61">
    <cfRule type="cellIs" dxfId="2201" priority="2525" operator="equal">
      <formula>"-"</formula>
    </cfRule>
    <cfRule type="cellIs" dxfId="2200" priority="2526" operator="equal">
      <formula>"+"</formula>
    </cfRule>
  </conditionalFormatting>
  <conditionalFormatting sqref="P70:P71">
    <cfRule type="cellIs" dxfId="2199" priority="2523" operator="equal">
      <formula>"-"</formula>
    </cfRule>
    <cfRule type="cellIs" dxfId="2198" priority="2524" operator="equal">
      <formula>"+"</formula>
    </cfRule>
  </conditionalFormatting>
  <conditionalFormatting sqref="P72:P73">
    <cfRule type="cellIs" dxfId="2197" priority="2521" operator="equal">
      <formula>"-"</formula>
    </cfRule>
    <cfRule type="cellIs" dxfId="2196" priority="2522" operator="equal">
      <formula>"+"</formula>
    </cfRule>
  </conditionalFormatting>
  <conditionalFormatting sqref="P66:P67">
    <cfRule type="cellIs" dxfId="2195" priority="2505" operator="equal">
      <formula>"+"</formula>
    </cfRule>
    <cfRule type="cellIs" dxfId="2194" priority="2506" operator="equal">
      <formula>"-"</formula>
    </cfRule>
  </conditionalFormatting>
  <conditionalFormatting sqref="Q66">
    <cfRule type="cellIs" dxfId="2193" priority="2503" operator="equal">
      <formula>"-"</formula>
    </cfRule>
    <cfRule type="cellIs" dxfId="2192" priority="2504" operator="equal">
      <formula>"+"</formula>
    </cfRule>
  </conditionalFormatting>
  <conditionalFormatting sqref="Q67">
    <cfRule type="cellIs" dxfId="2191" priority="2501" operator="equal">
      <formula>"-"</formula>
    </cfRule>
    <cfRule type="cellIs" dxfId="2190" priority="2502" operator="equal">
      <formula>"+"</formula>
    </cfRule>
  </conditionalFormatting>
  <conditionalFormatting sqref="P68:P69">
    <cfRule type="cellIs" dxfId="2189" priority="2499" operator="equal">
      <formula>"+"</formula>
    </cfRule>
    <cfRule type="cellIs" dxfId="2188" priority="2500" operator="equal">
      <formula>"-"</formula>
    </cfRule>
  </conditionalFormatting>
  <conditionalFormatting sqref="Q68">
    <cfRule type="cellIs" dxfId="2187" priority="2497" operator="equal">
      <formula>"-"</formula>
    </cfRule>
    <cfRule type="cellIs" dxfId="2186" priority="2498" operator="equal">
      <formula>"+"</formula>
    </cfRule>
  </conditionalFormatting>
  <conditionalFormatting sqref="Q69">
    <cfRule type="cellIs" dxfId="2185" priority="2495" operator="equal">
      <formula>"-"</formula>
    </cfRule>
    <cfRule type="cellIs" dxfId="2184" priority="2496" operator="equal">
      <formula>"+"</formula>
    </cfRule>
  </conditionalFormatting>
  <conditionalFormatting sqref="P77:P78">
    <cfRule type="cellIs" dxfId="2183" priority="2493" operator="equal">
      <formula>"+"</formula>
    </cfRule>
    <cfRule type="cellIs" dxfId="2182" priority="2494" operator="equal">
      <formula>"-"</formula>
    </cfRule>
  </conditionalFormatting>
  <conditionalFormatting sqref="Q77">
    <cfRule type="cellIs" dxfId="2181" priority="2491" operator="equal">
      <formula>"-"</formula>
    </cfRule>
    <cfRule type="cellIs" dxfId="2180" priority="2492" operator="equal">
      <formula>"+"</formula>
    </cfRule>
  </conditionalFormatting>
  <conditionalFormatting sqref="Q78">
    <cfRule type="cellIs" dxfId="2179" priority="2489" operator="equal">
      <formula>"-"</formula>
    </cfRule>
    <cfRule type="cellIs" dxfId="2178" priority="2490" operator="equal">
      <formula>"+"</formula>
    </cfRule>
  </conditionalFormatting>
  <conditionalFormatting sqref="P80:P83">
    <cfRule type="cellIs" dxfId="2177" priority="2487" operator="equal">
      <formula>"-"</formula>
    </cfRule>
    <cfRule type="cellIs" dxfId="2176" priority="2488" operator="equal">
      <formula>"+"</formula>
    </cfRule>
  </conditionalFormatting>
  <conditionalFormatting sqref="Q80">
    <cfRule type="cellIs" dxfId="2175" priority="2485" operator="equal">
      <formula>"-"</formula>
    </cfRule>
    <cfRule type="cellIs" dxfId="2174" priority="2486" operator="equal">
      <formula>"+"</formula>
    </cfRule>
  </conditionalFormatting>
  <conditionalFormatting sqref="Q81:Q82">
    <cfRule type="cellIs" dxfId="2173" priority="2483" operator="equal">
      <formula>"-"</formula>
    </cfRule>
    <cfRule type="cellIs" dxfId="2172" priority="2484" operator="equal">
      <formula>"+"</formula>
    </cfRule>
  </conditionalFormatting>
  <conditionalFormatting sqref="Q83">
    <cfRule type="cellIs" dxfId="2171" priority="2481" operator="equal">
      <formula>"-"</formula>
    </cfRule>
    <cfRule type="cellIs" dxfId="2170" priority="2482" operator="equal">
      <formula>"+"</formula>
    </cfRule>
  </conditionalFormatting>
  <conditionalFormatting sqref="P87:P94">
    <cfRule type="cellIs" dxfId="2169" priority="2479" operator="equal">
      <formula>"-"</formula>
    </cfRule>
    <cfRule type="cellIs" dxfId="2168" priority="2480" operator="equal">
      <formula>"+"</formula>
    </cfRule>
  </conditionalFormatting>
  <conditionalFormatting sqref="P95:P100">
    <cfRule type="cellIs" dxfId="2167" priority="2471" operator="equal">
      <formula>"-"</formula>
    </cfRule>
    <cfRule type="cellIs" dxfId="2166" priority="2472" operator="equal">
      <formula>"+"</formula>
    </cfRule>
  </conditionalFormatting>
  <conditionalFormatting sqref="Q94">
    <cfRule type="cellIs" dxfId="2165" priority="2473" operator="equal">
      <formula>"-"</formula>
    </cfRule>
    <cfRule type="cellIs" dxfId="2164" priority="2474" operator="equal">
      <formula>"+"</formula>
    </cfRule>
  </conditionalFormatting>
  <conditionalFormatting sqref="Q95">
    <cfRule type="cellIs" dxfId="2163" priority="2469" operator="equal">
      <formula>"-"</formula>
    </cfRule>
    <cfRule type="cellIs" dxfId="2162" priority="2470" operator="equal">
      <formula>"+"</formula>
    </cfRule>
  </conditionalFormatting>
  <conditionalFormatting sqref="Q96:Q99">
    <cfRule type="cellIs" dxfId="2161" priority="2467" operator="equal">
      <formula>"-"</formula>
    </cfRule>
    <cfRule type="cellIs" dxfId="2160" priority="2468" operator="equal">
      <formula>"+"</formula>
    </cfRule>
  </conditionalFormatting>
  <conditionalFormatting sqref="Q100">
    <cfRule type="cellIs" dxfId="2159" priority="2465" operator="equal">
      <formula>"-"</formula>
    </cfRule>
    <cfRule type="cellIs" dxfId="2158" priority="2466" operator="equal">
      <formula>"+"</formula>
    </cfRule>
  </conditionalFormatting>
  <conditionalFormatting sqref="P84:P86">
    <cfRule type="cellIs" dxfId="2157" priority="2463" operator="equal">
      <formula>"-"</formula>
    </cfRule>
    <cfRule type="cellIs" dxfId="2156" priority="2464" operator="equal">
      <formula>"+"</formula>
    </cfRule>
  </conditionalFormatting>
  <conditionalFormatting sqref="Q84">
    <cfRule type="cellIs" dxfId="2155" priority="2461" operator="equal">
      <formula>"-"</formula>
    </cfRule>
    <cfRule type="cellIs" dxfId="2154" priority="2462" operator="equal">
      <formula>"+"</formula>
    </cfRule>
  </conditionalFormatting>
  <conditionalFormatting sqref="Q85">
    <cfRule type="cellIs" dxfId="2153" priority="2459" operator="equal">
      <formula>"-"</formula>
    </cfRule>
    <cfRule type="cellIs" dxfId="2152" priority="2460" operator="equal">
      <formula>"+"</formula>
    </cfRule>
  </conditionalFormatting>
  <conditionalFormatting sqref="Q86">
    <cfRule type="cellIs" dxfId="2151" priority="2457" operator="equal">
      <formula>"-"</formula>
    </cfRule>
    <cfRule type="cellIs" dxfId="2150" priority="2458" operator="equal">
      <formula>"+"</formula>
    </cfRule>
  </conditionalFormatting>
  <conditionalFormatting sqref="S6:S8">
    <cfRule type="cellIs" dxfId="2149" priority="2447" operator="equal">
      <formula>"-"</formula>
    </cfRule>
    <cfRule type="cellIs" dxfId="2148" priority="2448" operator="equal">
      <formula>"+"</formula>
    </cfRule>
  </conditionalFormatting>
  <conditionalFormatting sqref="T6">
    <cfRule type="cellIs" dxfId="2147" priority="2445" operator="equal">
      <formula>"-"</formula>
    </cfRule>
    <cfRule type="cellIs" dxfId="2146" priority="2446" operator="equal">
      <formula>"+"</formula>
    </cfRule>
  </conditionalFormatting>
  <conditionalFormatting sqref="T7">
    <cfRule type="cellIs" dxfId="2145" priority="2443" operator="equal">
      <formula>"-"</formula>
    </cfRule>
    <cfRule type="cellIs" dxfId="2144" priority="2444" operator="equal">
      <formula>"+"</formula>
    </cfRule>
  </conditionalFormatting>
  <conditionalFormatting sqref="T8">
    <cfRule type="cellIs" dxfId="2143" priority="2441" operator="equal">
      <formula>"-"</formula>
    </cfRule>
    <cfRule type="cellIs" dxfId="2142" priority="2442" operator="equal">
      <formula>"+"</formula>
    </cfRule>
  </conditionalFormatting>
  <conditionalFormatting sqref="S9:S11">
    <cfRule type="cellIs" dxfId="2141" priority="2439" operator="equal">
      <formula>"-"</formula>
    </cfRule>
    <cfRule type="cellIs" dxfId="2140" priority="2440" operator="equal">
      <formula>"+"</formula>
    </cfRule>
  </conditionalFormatting>
  <conditionalFormatting sqref="T9">
    <cfRule type="cellIs" dxfId="2139" priority="2437" operator="equal">
      <formula>"-"</formula>
    </cfRule>
    <cfRule type="cellIs" dxfId="2138" priority="2438" operator="equal">
      <formula>"+"</formula>
    </cfRule>
  </conditionalFormatting>
  <conditionalFormatting sqref="T10">
    <cfRule type="cellIs" dxfId="2137" priority="2435" operator="equal">
      <formula>"-"</formula>
    </cfRule>
    <cfRule type="cellIs" dxfId="2136" priority="2436" operator="equal">
      <formula>"+"</formula>
    </cfRule>
  </conditionalFormatting>
  <conditionalFormatting sqref="T11">
    <cfRule type="cellIs" dxfId="2135" priority="2433" operator="equal">
      <formula>"-"</formula>
    </cfRule>
    <cfRule type="cellIs" dxfId="2134" priority="2434" operator="equal">
      <formula>"+"</formula>
    </cfRule>
  </conditionalFormatting>
  <conditionalFormatting sqref="S12:S14">
    <cfRule type="cellIs" dxfId="2133" priority="2431" operator="equal">
      <formula>"-"</formula>
    </cfRule>
    <cfRule type="cellIs" dxfId="2132" priority="2432" operator="equal">
      <formula>"+"</formula>
    </cfRule>
  </conditionalFormatting>
  <conditionalFormatting sqref="T12">
    <cfRule type="cellIs" dxfId="2131" priority="2429" operator="equal">
      <formula>"-"</formula>
    </cfRule>
    <cfRule type="cellIs" dxfId="2130" priority="2430" operator="equal">
      <formula>"+"</formula>
    </cfRule>
  </conditionalFormatting>
  <conditionalFormatting sqref="T13">
    <cfRule type="cellIs" dxfId="2129" priority="2427" operator="equal">
      <formula>"-"</formula>
    </cfRule>
    <cfRule type="cellIs" dxfId="2128" priority="2428" operator="equal">
      <formula>"+"</formula>
    </cfRule>
  </conditionalFormatting>
  <conditionalFormatting sqref="T14">
    <cfRule type="cellIs" dxfId="2127" priority="2425" operator="equal">
      <formula>"-"</formula>
    </cfRule>
    <cfRule type="cellIs" dxfId="2126" priority="2426" operator="equal">
      <formula>"+"</formula>
    </cfRule>
  </conditionalFormatting>
  <conditionalFormatting sqref="T15">
    <cfRule type="cellIs" dxfId="2125" priority="2423" operator="equal">
      <formula>"-"</formula>
    </cfRule>
    <cfRule type="cellIs" dxfId="2124" priority="2424" operator="equal">
      <formula>"+"</formula>
    </cfRule>
  </conditionalFormatting>
  <conditionalFormatting sqref="T16:T17">
    <cfRule type="cellIs" dxfId="2123" priority="2421" operator="equal">
      <formula>"-"</formula>
    </cfRule>
    <cfRule type="cellIs" dxfId="2122" priority="2422" operator="equal">
      <formula>"+"</formula>
    </cfRule>
  </conditionalFormatting>
  <conditionalFormatting sqref="T18">
    <cfRule type="cellIs" dxfId="2121" priority="2419" operator="equal">
      <formula>"-"</formula>
    </cfRule>
    <cfRule type="cellIs" dxfId="2120" priority="2420" operator="equal">
      <formula>"+"</formula>
    </cfRule>
  </conditionalFormatting>
  <conditionalFormatting sqref="S19:S21">
    <cfRule type="cellIs" dxfId="2119" priority="2417" operator="equal">
      <formula>"-"</formula>
    </cfRule>
    <cfRule type="cellIs" dxfId="2118" priority="2418" operator="equal">
      <formula>"+"</formula>
    </cfRule>
  </conditionalFormatting>
  <conditionalFormatting sqref="T19">
    <cfRule type="cellIs" dxfId="2117" priority="2415" operator="equal">
      <formula>"-"</formula>
    </cfRule>
    <cfRule type="cellIs" dxfId="2116" priority="2416" operator="equal">
      <formula>"+"</formula>
    </cfRule>
  </conditionalFormatting>
  <conditionalFormatting sqref="T20">
    <cfRule type="cellIs" dxfId="2115" priority="2413" operator="equal">
      <formula>"-"</formula>
    </cfRule>
    <cfRule type="cellIs" dxfId="2114" priority="2414" operator="equal">
      <formula>"+"</formula>
    </cfRule>
  </conditionalFormatting>
  <conditionalFormatting sqref="T21">
    <cfRule type="cellIs" dxfId="2113" priority="2411" operator="equal">
      <formula>"-"</formula>
    </cfRule>
    <cfRule type="cellIs" dxfId="2112" priority="2412" operator="equal">
      <formula>"+"</formula>
    </cfRule>
  </conditionalFormatting>
  <conditionalFormatting sqref="S22:S24">
    <cfRule type="cellIs" dxfId="2111" priority="2409" operator="equal">
      <formula>"-"</formula>
    </cfRule>
    <cfRule type="cellIs" dxfId="2110" priority="2410" operator="equal">
      <formula>"+"</formula>
    </cfRule>
  </conditionalFormatting>
  <conditionalFormatting sqref="T22">
    <cfRule type="cellIs" dxfId="2109" priority="2407" operator="equal">
      <formula>"-"</formula>
    </cfRule>
    <cfRule type="cellIs" dxfId="2108" priority="2408" operator="equal">
      <formula>"+"</formula>
    </cfRule>
  </conditionalFormatting>
  <conditionalFormatting sqref="T23">
    <cfRule type="cellIs" dxfId="2107" priority="2405" operator="equal">
      <formula>"-"</formula>
    </cfRule>
    <cfRule type="cellIs" dxfId="2106" priority="2406" operator="equal">
      <formula>"+"</formula>
    </cfRule>
  </conditionalFormatting>
  <conditionalFormatting sqref="T24">
    <cfRule type="cellIs" dxfId="2105" priority="2403" operator="equal">
      <formula>"-"</formula>
    </cfRule>
    <cfRule type="cellIs" dxfId="2104" priority="2404" operator="equal">
      <formula>"+"</formula>
    </cfRule>
  </conditionalFormatting>
  <conditionalFormatting sqref="S25:S27">
    <cfRule type="cellIs" dxfId="2103" priority="2401" operator="equal">
      <formula>"-"</formula>
    </cfRule>
    <cfRule type="cellIs" dxfId="2102" priority="2402" operator="equal">
      <formula>"+"</formula>
    </cfRule>
  </conditionalFormatting>
  <conditionalFormatting sqref="T25">
    <cfRule type="cellIs" dxfId="2101" priority="2399" operator="equal">
      <formula>"-"</formula>
    </cfRule>
    <cfRule type="cellIs" dxfId="2100" priority="2400" operator="equal">
      <formula>"+"</formula>
    </cfRule>
  </conditionalFormatting>
  <conditionalFormatting sqref="T26">
    <cfRule type="cellIs" dxfId="2099" priority="2397" operator="equal">
      <formula>"-"</formula>
    </cfRule>
    <cfRule type="cellIs" dxfId="2098" priority="2398" operator="equal">
      <formula>"+"</formula>
    </cfRule>
  </conditionalFormatting>
  <conditionalFormatting sqref="T27">
    <cfRule type="cellIs" dxfId="2097" priority="2395" operator="equal">
      <formula>"-"</formula>
    </cfRule>
    <cfRule type="cellIs" dxfId="2096" priority="2396" operator="equal">
      <formula>"+"</formula>
    </cfRule>
  </conditionalFormatting>
  <conditionalFormatting sqref="S28:S30">
    <cfRule type="cellIs" dxfId="2095" priority="2393" operator="equal">
      <formula>"-"</formula>
    </cfRule>
    <cfRule type="cellIs" dxfId="2094" priority="2394" operator="equal">
      <formula>"+"</formula>
    </cfRule>
  </conditionalFormatting>
  <conditionalFormatting sqref="T28">
    <cfRule type="cellIs" dxfId="2093" priority="2391" operator="equal">
      <formula>"-"</formula>
    </cfRule>
    <cfRule type="cellIs" dxfId="2092" priority="2392" operator="equal">
      <formula>"+"</formula>
    </cfRule>
  </conditionalFormatting>
  <conditionalFormatting sqref="T29">
    <cfRule type="cellIs" dxfId="2091" priority="2389" operator="equal">
      <formula>"-"</formula>
    </cfRule>
    <cfRule type="cellIs" dxfId="2090" priority="2390" operator="equal">
      <formula>"+"</formula>
    </cfRule>
  </conditionalFormatting>
  <conditionalFormatting sqref="T30">
    <cfRule type="cellIs" dxfId="2089" priority="2387" operator="equal">
      <formula>"-"</formula>
    </cfRule>
    <cfRule type="cellIs" dxfId="2088" priority="2388" operator="equal">
      <formula>"+"</formula>
    </cfRule>
  </conditionalFormatting>
  <conditionalFormatting sqref="S31:S33">
    <cfRule type="cellIs" dxfId="2087" priority="2385" operator="equal">
      <formula>"-"</formula>
    </cfRule>
    <cfRule type="cellIs" dxfId="2086" priority="2386" operator="equal">
      <formula>"+"</formula>
    </cfRule>
  </conditionalFormatting>
  <conditionalFormatting sqref="T31">
    <cfRule type="cellIs" dxfId="2085" priority="2383" operator="equal">
      <formula>"-"</formula>
    </cfRule>
    <cfRule type="cellIs" dxfId="2084" priority="2384" operator="equal">
      <formula>"+"</formula>
    </cfRule>
  </conditionalFormatting>
  <conditionalFormatting sqref="T32">
    <cfRule type="cellIs" dxfId="2083" priority="2381" operator="equal">
      <formula>"-"</formula>
    </cfRule>
    <cfRule type="cellIs" dxfId="2082" priority="2382" operator="equal">
      <formula>"+"</formula>
    </cfRule>
  </conditionalFormatting>
  <conditionalFormatting sqref="T33">
    <cfRule type="cellIs" dxfId="2081" priority="2379" operator="equal">
      <formula>"-"</formula>
    </cfRule>
    <cfRule type="cellIs" dxfId="2080" priority="2380" operator="equal">
      <formula>"+"</formula>
    </cfRule>
  </conditionalFormatting>
  <conditionalFormatting sqref="S34:S36">
    <cfRule type="cellIs" dxfId="2079" priority="2377" operator="equal">
      <formula>"-"</formula>
    </cfRule>
    <cfRule type="cellIs" dxfId="2078" priority="2378" operator="equal">
      <formula>"+"</formula>
    </cfRule>
  </conditionalFormatting>
  <conditionalFormatting sqref="T34">
    <cfRule type="cellIs" dxfId="2077" priority="2375" operator="equal">
      <formula>"-"</formula>
    </cfRule>
    <cfRule type="cellIs" dxfId="2076" priority="2376" operator="equal">
      <formula>"+"</formula>
    </cfRule>
  </conditionalFormatting>
  <conditionalFormatting sqref="T35">
    <cfRule type="cellIs" dxfId="2075" priority="2373" operator="equal">
      <formula>"-"</formula>
    </cfRule>
    <cfRule type="cellIs" dxfId="2074" priority="2374" operator="equal">
      <formula>"+"</formula>
    </cfRule>
  </conditionalFormatting>
  <conditionalFormatting sqref="T36">
    <cfRule type="cellIs" dxfId="2073" priority="2371" operator="equal">
      <formula>"-"</formula>
    </cfRule>
    <cfRule type="cellIs" dxfId="2072" priority="2372" operator="equal">
      <formula>"+"</formula>
    </cfRule>
  </conditionalFormatting>
  <conditionalFormatting sqref="S37:S39">
    <cfRule type="cellIs" dxfId="2071" priority="2369" operator="equal">
      <formula>"-"</formula>
    </cfRule>
    <cfRule type="cellIs" dxfId="2070" priority="2370" operator="equal">
      <formula>"+"</formula>
    </cfRule>
  </conditionalFormatting>
  <conditionalFormatting sqref="T37">
    <cfRule type="cellIs" dxfId="2069" priority="2367" operator="equal">
      <formula>"-"</formula>
    </cfRule>
    <cfRule type="cellIs" dxfId="2068" priority="2368" operator="equal">
      <formula>"+"</formula>
    </cfRule>
  </conditionalFormatting>
  <conditionalFormatting sqref="T38">
    <cfRule type="cellIs" dxfId="2067" priority="2365" operator="equal">
      <formula>"-"</formula>
    </cfRule>
    <cfRule type="cellIs" dxfId="2066" priority="2366" operator="equal">
      <formula>"+"</formula>
    </cfRule>
  </conditionalFormatting>
  <conditionalFormatting sqref="T39">
    <cfRule type="cellIs" dxfId="2065" priority="2363" operator="equal">
      <formula>"-"</formula>
    </cfRule>
    <cfRule type="cellIs" dxfId="2064" priority="2364" operator="equal">
      <formula>"+"</formula>
    </cfRule>
  </conditionalFormatting>
  <conditionalFormatting sqref="S40:S42">
    <cfRule type="cellIs" dxfId="2063" priority="2361" operator="equal">
      <formula>"-"</formula>
    </cfRule>
    <cfRule type="cellIs" dxfId="2062" priority="2362" operator="equal">
      <formula>"+"</formula>
    </cfRule>
  </conditionalFormatting>
  <conditionalFormatting sqref="T40">
    <cfRule type="cellIs" dxfId="2061" priority="2359" operator="equal">
      <formula>"-"</formula>
    </cfRule>
    <cfRule type="cellIs" dxfId="2060" priority="2360" operator="equal">
      <formula>"+"</formula>
    </cfRule>
  </conditionalFormatting>
  <conditionalFormatting sqref="T53">
    <cfRule type="cellIs" dxfId="2059" priority="2343" operator="equal">
      <formula>"-"</formula>
    </cfRule>
    <cfRule type="cellIs" dxfId="2058" priority="2344" operator="equal">
      <formula>"+"</formula>
    </cfRule>
  </conditionalFormatting>
  <conditionalFormatting sqref="T42">
    <cfRule type="cellIs" dxfId="2057" priority="2355" operator="equal">
      <formula>"-"</formula>
    </cfRule>
    <cfRule type="cellIs" dxfId="2056" priority="2356" operator="equal">
      <formula>"+"</formula>
    </cfRule>
  </conditionalFormatting>
  <conditionalFormatting sqref="S43:S45">
    <cfRule type="cellIs" dxfId="2055" priority="2353" operator="equal">
      <formula>"-"</formula>
    </cfRule>
    <cfRule type="cellIs" dxfId="2054" priority="2354" operator="equal">
      <formula>"+"</formula>
    </cfRule>
  </conditionalFormatting>
  <conditionalFormatting sqref="T43">
    <cfRule type="cellIs" dxfId="2053" priority="2351" operator="equal">
      <formula>"-"</formula>
    </cfRule>
    <cfRule type="cellIs" dxfId="2052" priority="2352" operator="equal">
      <formula>"+"</formula>
    </cfRule>
  </conditionalFormatting>
  <conditionalFormatting sqref="T44">
    <cfRule type="cellIs" dxfId="2051" priority="2349" operator="equal">
      <formula>"-"</formula>
    </cfRule>
    <cfRule type="cellIs" dxfId="2050" priority="2350" operator="equal">
      <formula>"+"</formula>
    </cfRule>
  </conditionalFormatting>
  <conditionalFormatting sqref="T45">
    <cfRule type="cellIs" dxfId="2049" priority="2347" operator="equal">
      <formula>"-"</formula>
    </cfRule>
    <cfRule type="cellIs" dxfId="2048" priority="2348" operator="equal">
      <formula>"+"</formula>
    </cfRule>
  </conditionalFormatting>
  <conditionalFormatting sqref="S53:S55">
    <cfRule type="cellIs" dxfId="2047" priority="2345" operator="equal">
      <formula>"-"</formula>
    </cfRule>
    <cfRule type="cellIs" dxfId="2046" priority="2346" operator="equal">
      <formula>"+"</formula>
    </cfRule>
  </conditionalFormatting>
  <conditionalFormatting sqref="T54">
    <cfRule type="cellIs" dxfId="2045" priority="2341" operator="equal">
      <formula>"-"</formula>
    </cfRule>
    <cfRule type="cellIs" dxfId="2044" priority="2342" operator="equal">
      <formula>"+"</formula>
    </cfRule>
  </conditionalFormatting>
  <conditionalFormatting sqref="T55">
    <cfRule type="cellIs" dxfId="2043" priority="2339" operator="equal">
      <formula>"-"</formula>
    </cfRule>
    <cfRule type="cellIs" dxfId="2042" priority="2340" operator="equal">
      <formula>"+"</formula>
    </cfRule>
  </conditionalFormatting>
  <conditionalFormatting sqref="S56:S58">
    <cfRule type="cellIs" dxfId="2041" priority="2337" operator="equal">
      <formula>"-"</formula>
    </cfRule>
    <cfRule type="cellIs" dxfId="2040" priority="2338" operator="equal">
      <formula>"+"</formula>
    </cfRule>
  </conditionalFormatting>
  <conditionalFormatting sqref="T56">
    <cfRule type="cellIs" dxfId="2039" priority="2335" operator="equal">
      <formula>"-"</formula>
    </cfRule>
    <cfRule type="cellIs" dxfId="2038" priority="2336" operator="equal">
      <formula>"+"</formula>
    </cfRule>
  </conditionalFormatting>
  <conditionalFormatting sqref="T57">
    <cfRule type="cellIs" dxfId="2037" priority="2333" operator="equal">
      <formula>"-"</formula>
    </cfRule>
    <cfRule type="cellIs" dxfId="2036" priority="2334" operator="equal">
      <formula>"+"</formula>
    </cfRule>
  </conditionalFormatting>
  <conditionalFormatting sqref="T58">
    <cfRule type="cellIs" dxfId="2035" priority="2331" operator="equal">
      <formula>"-"</formula>
    </cfRule>
    <cfRule type="cellIs" dxfId="2034" priority="2332" operator="equal">
      <formula>"+"</formula>
    </cfRule>
  </conditionalFormatting>
  <conditionalFormatting sqref="S46:S52">
    <cfRule type="cellIs" dxfId="2033" priority="2329" operator="equal">
      <formula>"-"</formula>
    </cfRule>
    <cfRule type="cellIs" dxfId="2032" priority="2330" operator="equal">
      <formula>"+"</formula>
    </cfRule>
  </conditionalFormatting>
  <conditionalFormatting sqref="T46">
    <cfRule type="cellIs" dxfId="2031" priority="2327" operator="equal">
      <formula>"-"</formula>
    </cfRule>
    <cfRule type="cellIs" dxfId="2030" priority="2328" operator="equal">
      <formula>"+"</formula>
    </cfRule>
  </conditionalFormatting>
  <conditionalFormatting sqref="T47">
    <cfRule type="cellIs" dxfId="2029" priority="2325" operator="equal">
      <formula>"-"</formula>
    </cfRule>
    <cfRule type="cellIs" dxfId="2028" priority="2326" operator="equal">
      <formula>"+"</formula>
    </cfRule>
  </conditionalFormatting>
  <conditionalFormatting sqref="T51">
    <cfRule type="cellIs" dxfId="2027" priority="2323" operator="equal">
      <formula>"-"</formula>
    </cfRule>
    <cfRule type="cellIs" dxfId="2026" priority="2324" operator="equal">
      <formula>"+"</formula>
    </cfRule>
  </conditionalFormatting>
  <conditionalFormatting sqref="T52">
    <cfRule type="cellIs" dxfId="2025" priority="2321" operator="equal">
      <formula>"-"</formula>
    </cfRule>
    <cfRule type="cellIs" dxfId="2024" priority="2322" operator="equal">
      <formula>"+"</formula>
    </cfRule>
  </conditionalFormatting>
  <conditionalFormatting sqref="T48">
    <cfRule type="cellIs" dxfId="2023" priority="2319" operator="equal">
      <formula>"-"</formula>
    </cfRule>
    <cfRule type="cellIs" dxfId="2022" priority="2320" operator="equal">
      <formula>"+"</formula>
    </cfRule>
  </conditionalFormatting>
  <conditionalFormatting sqref="T49">
    <cfRule type="cellIs" dxfId="2021" priority="2317" operator="equal">
      <formula>"-"</formula>
    </cfRule>
    <cfRule type="cellIs" dxfId="2020" priority="2318" operator="equal">
      <formula>"+"</formula>
    </cfRule>
  </conditionalFormatting>
  <conditionalFormatting sqref="T50">
    <cfRule type="cellIs" dxfId="2019" priority="2315" operator="equal">
      <formula>"-"</formula>
    </cfRule>
    <cfRule type="cellIs" dxfId="2018" priority="2316" operator="equal">
      <formula>"+"</formula>
    </cfRule>
  </conditionalFormatting>
  <conditionalFormatting sqref="T60">
    <cfRule type="cellIs" dxfId="2017" priority="2313" operator="equal">
      <formula>"-"</formula>
    </cfRule>
    <cfRule type="cellIs" dxfId="2016" priority="2314" operator="equal">
      <formula>"+"</formula>
    </cfRule>
  </conditionalFormatting>
  <conditionalFormatting sqref="T70">
    <cfRule type="cellIs" dxfId="2015" priority="2311" operator="equal">
      <formula>"-"</formula>
    </cfRule>
    <cfRule type="cellIs" dxfId="2014" priority="2312" operator="equal">
      <formula>"+"</formula>
    </cfRule>
  </conditionalFormatting>
  <conditionalFormatting sqref="T72">
    <cfRule type="cellIs" dxfId="2013" priority="2309" operator="equal">
      <formula>"-"</formula>
    </cfRule>
    <cfRule type="cellIs" dxfId="2012" priority="2310" operator="equal">
      <formula>"+"</formula>
    </cfRule>
  </conditionalFormatting>
  <conditionalFormatting sqref="T73">
    <cfRule type="cellIs" dxfId="2011" priority="2301" operator="equal">
      <formula>"-"</formula>
    </cfRule>
    <cfRule type="cellIs" dxfId="2010" priority="2302" operator="equal">
      <formula>"+"</formula>
    </cfRule>
  </conditionalFormatting>
  <conditionalFormatting sqref="T61">
    <cfRule type="cellIs" dxfId="2009" priority="2305" operator="equal">
      <formula>"-"</formula>
    </cfRule>
    <cfRule type="cellIs" dxfId="2008" priority="2306" operator="equal">
      <formula>"+"</formula>
    </cfRule>
  </conditionalFormatting>
  <conditionalFormatting sqref="T71">
    <cfRule type="cellIs" dxfId="2007" priority="2303" operator="equal">
      <formula>"-"</formula>
    </cfRule>
    <cfRule type="cellIs" dxfId="2006" priority="2304" operator="equal">
      <formula>"+"</formula>
    </cfRule>
  </conditionalFormatting>
  <conditionalFormatting sqref="S72:S73">
    <cfRule type="cellIs" dxfId="2005" priority="2293" operator="equal">
      <formula>"-"</formula>
    </cfRule>
    <cfRule type="cellIs" dxfId="2004" priority="2294" operator="equal">
      <formula>"+"</formula>
    </cfRule>
  </conditionalFormatting>
  <conditionalFormatting sqref="S60:S61">
    <cfRule type="cellIs" dxfId="2003" priority="2297" operator="equal">
      <formula>"-"</formula>
    </cfRule>
    <cfRule type="cellIs" dxfId="2002" priority="2298" operator="equal">
      <formula>"+"</formula>
    </cfRule>
  </conditionalFormatting>
  <conditionalFormatting sqref="S70:S71">
    <cfRule type="cellIs" dxfId="2001" priority="2295" operator="equal">
      <formula>"-"</formula>
    </cfRule>
    <cfRule type="cellIs" dxfId="2000" priority="2296" operator="equal">
      <formula>"+"</formula>
    </cfRule>
  </conditionalFormatting>
  <conditionalFormatting sqref="S66:S67">
    <cfRule type="cellIs" dxfId="1999" priority="2277" operator="equal">
      <formula>"+"</formula>
    </cfRule>
    <cfRule type="cellIs" dxfId="1998" priority="2278" operator="equal">
      <formula>"-"</formula>
    </cfRule>
  </conditionalFormatting>
  <conditionalFormatting sqref="T66">
    <cfRule type="cellIs" dxfId="1997" priority="2275" operator="equal">
      <formula>"-"</formula>
    </cfRule>
    <cfRule type="cellIs" dxfId="1996" priority="2276" operator="equal">
      <formula>"+"</formula>
    </cfRule>
  </conditionalFormatting>
  <conditionalFormatting sqref="T67">
    <cfRule type="cellIs" dxfId="1995" priority="2273" operator="equal">
      <formula>"-"</formula>
    </cfRule>
    <cfRule type="cellIs" dxfId="1994" priority="2274" operator="equal">
      <formula>"+"</formula>
    </cfRule>
  </conditionalFormatting>
  <conditionalFormatting sqref="T78">
    <cfRule type="cellIs" dxfId="1993" priority="2261" operator="equal">
      <formula>"-"</formula>
    </cfRule>
    <cfRule type="cellIs" dxfId="1992" priority="2262" operator="equal">
      <formula>"+"</formula>
    </cfRule>
  </conditionalFormatting>
  <conditionalFormatting sqref="S80:S83">
    <cfRule type="cellIs" dxfId="1991" priority="2259" operator="equal">
      <formula>"-"</formula>
    </cfRule>
    <cfRule type="cellIs" dxfId="1990" priority="2260" operator="equal">
      <formula>"+"</formula>
    </cfRule>
  </conditionalFormatting>
  <conditionalFormatting sqref="S68:S69">
    <cfRule type="cellIs" dxfId="1989" priority="2271" operator="equal">
      <formula>"+"</formula>
    </cfRule>
    <cfRule type="cellIs" dxfId="1988" priority="2272" operator="equal">
      <formula>"-"</formula>
    </cfRule>
  </conditionalFormatting>
  <conditionalFormatting sqref="T68">
    <cfRule type="cellIs" dxfId="1987" priority="2269" operator="equal">
      <formula>"-"</formula>
    </cfRule>
    <cfRule type="cellIs" dxfId="1986" priority="2270" operator="equal">
      <formula>"+"</formula>
    </cfRule>
  </conditionalFormatting>
  <conditionalFormatting sqref="T69">
    <cfRule type="cellIs" dxfId="1985" priority="2267" operator="equal">
      <formula>"-"</formula>
    </cfRule>
    <cfRule type="cellIs" dxfId="1984" priority="2268" operator="equal">
      <formula>"+"</formula>
    </cfRule>
  </conditionalFormatting>
  <conditionalFormatting sqref="S77:S78">
    <cfRule type="cellIs" dxfId="1983" priority="2265" operator="equal">
      <formula>"+"</formula>
    </cfRule>
    <cfRule type="cellIs" dxfId="1982" priority="2266" operator="equal">
      <formula>"-"</formula>
    </cfRule>
  </conditionalFormatting>
  <conditionalFormatting sqref="T77">
    <cfRule type="cellIs" dxfId="1981" priority="2263" operator="equal">
      <formula>"-"</formula>
    </cfRule>
    <cfRule type="cellIs" dxfId="1980" priority="2264" operator="equal">
      <formula>"+"</formula>
    </cfRule>
  </conditionalFormatting>
  <conditionalFormatting sqref="T80">
    <cfRule type="cellIs" dxfId="1979" priority="2257" operator="equal">
      <formula>"-"</formula>
    </cfRule>
    <cfRule type="cellIs" dxfId="1978" priority="2258" operator="equal">
      <formula>"+"</formula>
    </cfRule>
  </conditionalFormatting>
  <conditionalFormatting sqref="T81:T82">
    <cfRule type="cellIs" dxfId="1977" priority="2255" operator="equal">
      <formula>"-"</formula>
    </cfRule>
    <cfRule type="cellIs" dxfId="1976" priority="2256" operator="equal">
      <formula>"+"</formula>
    </cfRule>
  </conditionalFormatting>
  <conditionalFormatting sqref="T83">
    <cfRule type="cellIs" dxfId="1975" priority="2253" operator="equal">
      <formula>"-"</formula>
    </cfRule>
    <cfRule type="cellIs" dxfId="1974" priority="2254" operator="equal">
      <formula>"+"</formula>
    </cfRule>
  </conditionalFormatting>
  <conditionalFormatting sqref="S87:S94">
    <cfRule type="cellIs" dxfId="1973" priority="2251" operator="equal">
      <formula>"-"</formula>
    </cfRule>
    <cfRule type="cellIs" dxfId="1972" priority="2252" operator="equal">
      <formula>"+"</formula>
    </cfRule>
  </conditionalFormatting>
  <conditionalFormatting sqref="T94">
    <cfRule type="cellIs" dxfId="1971" priority="2245" operator="equal">
      <formula>"-"</formula>
    </cfRule>
    <cfRule type="cellIs" dxfId="1970" priority="2246" operator="equal">
      <formula>"+"</formula>
    </cfRule>
  </conditionalFormatting>
  <conditionalFormatting sqref="S84:S86">
    <cfRule type="cellIs" dxfId="1969" priority="2235" operator="equal">
      <formula>"-"</formula>
    </cfRule>
    <cfRule type="cellIs" dxfId="1968" priority="2236" operator="equal">
      <formula>"+"</formula>
    </cfRule>
  </conditionalFormatting>
  <conditionalFormatting sqref="T84">
    <cfRule type="cellIs" dxfId="1967" priority="2233" operator="equal">
      <formula>"-"</formula>
    </cfRule>
    <cfRule type="cellIs" dxfId="1966" priority="2234" operator="equal">
      <formula>"+"</formula>
    </cfRule>
  </conditionalFormatting>
  <conditionalFormatting sqref="T85">
    <cfRule type="cellIs" dxfId="1965" priority="2231" operator="equal">
      <formula>"-"</formula>
    </cfRule>
    <cfRule type="cellIs" dxfId="1964" priority="2232" operator="equal">
      <formula>"+"</formula>
    </cfRule>
  </conditionalFormatting>
  <conditionalFormatting sqref="T86">
    <cfRule type="cellIs" dxfId="1963" priority="2229" operator="equal">
      <formula>"-"</formula>
    </cfRule>
    <cfRule type="cellIs" dxfId="1962" priority="2230" operator="equal">
      <formula>"+"</formula>
    </cfRule>
  </conditionalFormatting>
  <conditionalFormatting sqref="V6:V8">
    <cfRule type="cellIs" dxfId="1961" priority="2219" operator="equal">
      <formula>"-"</formula>
    </cfRule>
    <cfRule type="cellIs" dxfId="1960" priority="2220" operator="equal">
      <formula>"+"</formula>
    </cfRule>
  </conditionalFormatting>
  <conditionalFormatting sqref="W6">
    <cfRule type="cellIs" dxfId="1959" priority="2217" operator="equal">
      <formula>"-"</formula>
    </cfRule>
    <cfRule type="cellIs" dxfId="1958" priority="2218" operator="equal">
      <formula>"+"</formula>
    </cfRule>
  </conditionalFormatting>
  <conditionalFormatting sqref="W7">
    <cfRule type="cellIs" dxfId="1957" priority="2215" operator="equal">
      <formula>"-"</formula>
    </cfRule>
    <cfRule type="cellIs" dxfId="1956" priority="2216" operator="equal">
      <formula>"+"</formula>
    </cfRule>
  </conditionalFormatting>
  <conditionalFormatting sqref="W8">
    <cfRule type="cellIs" dxfId="1955" priority="2213" operator="equal">
      <formula>"-"</formula>
    </cfRule>
    <cfRule type="cellIs" dxfId="1954" priority="2214" operator="equal">
      <formula>"+"</formula>
    </cfRule>
  </conditionalFormatting>
  <conditionalFormatting sqref="V9:V11">
    <cfRule type="cellIs" dxfId="1953" priority="2211" operator="equal">
      <formula>"-"</formula>
    </cfRule>
    <cfRule type="cellIs" dxfId="1952" priority="2212" operator="equal">
      <formula>"+"</formula>
    </cfRule>
  </conditionalFormatting>
  <conditionalFormatting sqref="W9">
    <cfRule type="cellIs" dxfId="1951" priority="2209" operator="equal">
      <formula>"-"</formula>
    </cfRule>
    <cfRule type="cellIs" dxfId="1950" priority="2210" operator="equal">
      <formula>"+"</formula>
    </cfRule>
  </conditionalFormatting>
  <conditionalFormatting sqref="W10">
    <cfRule type="cellIs" dxfId="1949" priority="2207" operator="equal">
      <formula>"-"</formula>
    </cfRule>
    <cfRule type="cellIs" dxfId="1948" priority="2208" operator="equal">
      <formula>"+"</formula>
    </cfRule>
  </conditionalFormatting>
  <conditionalFormatting sqref="W11">
    <cfRule type="cellIs" dxfId="1947" priority="2205" operator="equal">
      <formula>"-"</formula>
    </cfRule>
    <cfRule type="cellIs" dxfId="1946" priority="2206" operator="equal">
      <formula>"+"</formula>
    </cfRule>
  </conditionalFormatting>
  <conditionalFormatting sqref="V12:V14">
    <cfRule type="cellIs" dxfId="1945" priority="2203" operator="equal">
      <formula>"-"</formula>
    </cfRule>
    <cfRule type="cellIs" dxfId="1944" priority="2204" operator="equal">
      <formula>"+"</formula>
    </cfRule>
  </conditionalFormatting>
  <conditionalFormatting sqref="W12">
    <cfRule type="cellIs" dxfId="1943" priority="2201" operator="equal">
      <formula>"-"</formula>
    </cfRule>
    <cfRule type="cellIs" dxfId="1942" priority="2202" operator="equal">
      <formula>"+"</formula>
    </cfRule>
  </conditionalFormatting>
  <conditionalFormatting sqref="W13">
    <cfRule type="cellIs" dxfId="1941" priority="2199" operator="equal">
      <formula>"-"</formula>
    </cfRule>
    <cfRule type="cellIs" dxfId="1940" priority="2200" operator="equal">
      <formula>"+"</formula>
    </cfRule>
  </conditionalFormatting>
  <conditionalFormatting sqref="W14">
    <cfRule type="cellIs" dxfId="1939" priority="2197" operator="equal">
      <formula>"-"</formula>
    </cfRule>
    <cfRule type="cellIs" dxfId="1938" priority="2198" operator="equal">
      <formula>"+"</formula>
    </cfRule>
  </conditionalFormatting>
  <conditionalFormatting sqref="W15">
    <cfRule type="cellIs" dxfId="1937" priority="2195" operator="equal">
      <formula>"-"</formula>
    </cfRule>
    <cfRule type="cellIs" dxfId="1936" priority="2196" operator="equal">
      <formula>"+"</formula>
    </cfRule>
  </conditionalFormatting>
  <conditionalFormatting sqref="W16:W17">
    <cfRule type="cellIs" dxfId="1935" priority="2193" operator="equal">
      <formula>"-"</formula>
    </cfRule>
    <cfRule type="cellIs" dxfId="1934" priority="2194" operator="equal">
      <formula>"+"</formula>
    </cfRule>
  </conditionalFormatting>
  <conditionalFormatting sqref="W18">
    <cfRule type="cellIs" dxfId="1933" priority="2191" operator="equal">
      <formula>"-"</formula>
    </cfRule>
    <cfRule type="cellIs" dxfId="1932" priority="2192" operator="equal">
      <formula>"+"</formula>
    </cfRule>
  </conditionalFormatting>
  <conditionalFormatting sqref="V19:V21">
    <cfRule type="cellIs" dxfId="1931" priority="2189" operator="equal">
      <formula>"-"</formula>
    </cfRule>
    <cfRule type="cellIs" dxfId="1930" priority="2190" operator="equal">
      <formula>"+"</formula>
    </cfRule>
  </conditionalFormatting>
  <conditionalFormatting sqref="W20">
    <cfRule type="cellIs" dxfId="1929" priority="2185" operator="equal">
      <formula>"-"</formula>
    </cfRule>
    <cfRule type="cellIs" dxfId="1928" priority="2186" operator="equal">
      <formula>"+"</formula>
    </cfRule>
  </conditionalFormatting>
  <conditionalFormatting sqref="W21">
    <cfRule type="cellIs" dxfId="1927" priority="2183" operator="equal">
      <formula>"-"</formula>
    </cfRule>
    <cfRule type="cellIs" dxfId="1926" priority="2184" operator="equal">
      <formula>"+"</formula>
    </cfRule>
  </conditionalFormatting>
  <conditionalFormatting sqref="V22:V24">
    <cfRule type="cellIs" dxfId="1925" priority="2181" operator="equal">
      <formula>"-"</formula>
    </cfRule>
    <cfRule type="cellIs" dxfId="1924" priority="2182" operator="equal">
      <formula>"+"</formula>
    </cfRule>
  </conditionalFormatting>
  <conditionalFormatting sqref="W22">
    <cfRule type="cellIs" dxfId="1923" priority="2179" operator="equal">
      <formula>"-"</formula>
    </cfRule>
    <cfRule type="cellIs" dxfId="1922" priority="2180" operator="equal">
      <formula>"+"</formula>
    </cfRule>
  </conditionalFormatting>
  <conditionalFormatting sqref="W23">
    <cfRule type="cellIs" dxfId="1921" priority="2177" operator="equal">
      <formula>"-"</formula>
    </cfRule>
    <cfRule type="cellIs" dxfId="1920" priority="2178" operator="equal">
      <formula>"+"</formula>
    </cfRule>
  </conditionalFormatting>
  <conditionalFormatting sqref="W24">
    <cfRule type="cellIs" dxfId="1919" priority="2175" operator="equal">
      <formula>"-"</formula>
    </cfRule>
    <cfRule type="cellIs" dxfId="1918" priority="2176" operator="equal">
      <formula>"+"</formula>
    </cfRule>
  </conditionalFormatting>
  <conditionalFormatting sqref="V25:V27">
    <cfRule type="cellIs" dxfId="1917" priority="2173" operator="equal">
      <formula>"-"</formula>
    </cfRule>
    <cfRule type="cellIs" dxfId="1916" priority="2174" operator="equal">
      <formula>"+"</formula>
    </cfRule>
  </conditionalFormatting>
  <conditionalFormatting sqref="W25">
    <cfRule type="cellIs" dxfId="1915" priority="2171" operator="equal">
      <formula>"-"</formula>
    </cfRule>
    <cfRule type="cellIs" dxfId="1914" priority="2172" operator="equal">
      <formula>"+"</formula>
    </cfRule>
  </conditionalFormatting>
  <conditionalFormatting sqref="W26">
    <cfRule type="cellIs" dxfId="1913" priority="2169" operator="equal">
      <formula>"-"</formula>
    </cfRule>
    <cfRule type="cellIs" dxfId="1912" priority="2170" operator="equal">
      <formula>"+"</formula>
    </cfRule>
  </conditionalFormatting>
  <conditionalFormatting sqref="W27">
    <cfRule type="cellIs" dxfId="1911" priority="2167" operator="equal">
      <formula>"-"</formula>
    </cfRule>
    <cfRule type="cellIs" dxfId="1910" priority="2168" operator="equal">
      <formula>"+"</formula>
    </cfRule>
  </conditionalFormatting>
  <conditionalFormatting sqref="V28:V30">
    <cfRule type="cellIs" dxfId="1909" priority="2165" operator="equal">
      <formula>"-"</formula>
    </cfRule>
    <cfRule type="cellIs" dxfId="1908" priority="2166" operator="equal">
      <formula>"+"</formula>
    </cfRule>
  </conditionalFormatting>
  <conditionalFormatting sqref="W28">
    <cfRule type="cellIs" dxfId="1907" priority="2163" operator="equal">
      <formula>"-"</formula>
    </cfRule>
    <cfRule type="cellIs" dxfId="1906" priority="2164" operator="equal">
      <formula>"+"</formula>
    </cfRule>
  </conditionalFormatting>
  <conditionalFormatting sqref="W29">
    <cfRule type="cellIs" dxfId="1905" priority="2161" operator="equal">
      <formula>"-"</formula>
    </cfRule>
    <cfRule type="cellIs" dxfId="1904" priority="2162" operator="equal">
      <formula>"+"</formula>
    </cfRule>
  </conditionalFormatting>
  <conditionalFormatting sqref="W30">
    <cfRule type="cellIs" dxfId="1903" priority="2159" operator="equal">
      <formula>"-"</formula>
    </cfRule>
    <cfRule type="cellIs" dxfId="1902" priority="2160" operator="equal">
      <formula>"+"</formula>
    </cfRule>
  </conditionalFormatting>
  <conditionalFormatting sqref="V31:V33">
    <cfRule type="cellIs" dxfId="1901" priority="2157" operator="equal">
      <formula>"-"</formula>
    </cfRule>
    <cfRule type="cellIs" dxfId="1900" priority="2158" operator="equal">
      <formula>"+"</formula>
    </cfRule>
  </conditionalFormatting>
  <conditionalFormatting sqref="W31">
    <cfRule type="cellIs" dxfId="1899" priority="2155" operator="equal">
      <formula>"-"</formula>
    </cfRule>
    <cfRule type="cellIs" dxfId="1898" priority="2156" operator="equal">
      <formula>"+"</formula>
    </cfRule>
  </conditionalFormatting>
  <conditionalFormatting sqref="W32">
    <cfRule type="cellIs" dxfId="1897" priority="2153" operator="equal">
      <formula>"-"</formula>
    </cfRule>
    <cfRule type="cellIs" dxfId="1896" priority="2154" operator="equal">
      <formula>"+"</formula>
    </cfRule>
  </conditionalFormatting>
  <conditionalFormatting sqref="W33">
    <cfRule type="cellIs" dxfId="1895" priority="2151" operator="equal">
      <formula>"-"</formula>
    </cfRule>
    <cfRule type="cellIs" dxfId="1894" priority="2152" operator="equal">
      <formula>"+"</formula>
    </cfRule>
  </conditionalFormatting>
  <conditionalFormatting sqref="V34:V36">
    <cfRule type="cellIs" dxfId="1893" priority="2149" operator="equal">
      <formula>"-"</formula>
    </cfRule>
    <cfRule type="cellIs" dxfId="1892" priority="2150" operator="equal">
      <formula>"+"</formula>
    </cfRule>
  </conditionalFormatting>
  <conditionalFormatting sqref="W34">
    <cfRule type="cellIs" dxfId="1891" priority="2147" operator="equal">
      <formula>"-"</formula>
    </cfRule>
    <cfRule type="cellIs" dxfId="1890" priority="2148" operator="equal">
      <formula>"+"</formula>
    </cfRule>
  </conditionalFormatting>
  <conditionalFormatting sqref="W35">
    <cfRule type="cellIs" dxfId="1889" priority="2145" operator="equal">
      <formula>"-"</formula>
    </cfRule>
    <cfRule type="cellIs" dxfId="1888" priority="2146" operator="equal">
      <formula>"+"</formula>
    </cfRule>
  </conditionalFormatting>
  <conditionalFormatting sqref="W36">
    <cfRule type="cellIs" dxfId="1887" priority="2143" operator="equal">
      <formula>"-"</formula>
    </cfRule>
    <cfRule type="cellIs" dxfId="1886" priority="2144" operator="equal">
      <formula>"+"</formula>
    </cfRule>
  </conditionalFormatting>
  <conditionalFormatting sqref="V37:V39">
    <cfRule type="cellIs" dxfId="1885" priority="2141" operator="equal">
      <formula>"-"</formula>
    </cfRule>
    <cfRule type="cellIs" dxfId="1884" priority="2142" operator="equal">
      <formula>"+"</formula>
    </cfRule>
  </conditionalFormatting>
  <conditionalFormatting sqref="W37">
    <cfRule type="cellIs" dxfId="1883" priority="2139" operator="equal">
      <formula>"-"</formula>
    </cfRule>
    <cfRule type="cellIs" dxfId="1882" priority="2140" operator="equal">
      <formula>"+"</formula>
    </cfRule>
  </conditionalFormatting>
  <conditionalFormatting sqref="W38">
    <cfRule type="cellIs" dxfId="1881" priority="2137" operator="equal">
      <formula>"-"</formula>
    </cfRule>
    <cfRule type="cellIs" dxfId="1880" priority="2138" operator="equal">
      <formula>"+"</formula>
    </cfRule>
  </conditionalFormatting>
  <conditionalFormatting sqref="W39">
    <cfRule type="cellIs" dxfId="1879" priority="2135" operator="equal">
      <formula>"-"</formula>
    </cfRule>
    <cfRule type="cellIs" dxfId="1878" priority="2136" operator="equal">
      <formula>"+"</formula>
    </cfRule>
  </conditionalFormatting>
  <conditionalFormatting sqref="V43:V45">
    <cfRule type="cellIs" dxfId="1877" priority="2125" operator="equal">
      <formula>"-"</formula>
    </cfRule>
    <cfRule type="cellIs" dxfId="1876" priority="2126" operator="equal">
      <formula>"+"</formula>
    </cfRule>
  </conditionalFormatting>
  <conditionalFormatting sqref="W43">
    <cfRule type="cellIs" dxfId="1875" priority="2123" operator="equal">
      <formula>"-"</formula>
    </cfRule>
    <cfRule type="cellIs" dxfId="1874" priority="2124" operator="equal">
      <formula>"+"</formula>
    </cfRule>
  </conditionalFormatting>
  <conditionalFormatting sqref="W44">
    <cfRule type="cellIs" dxfId="1873" priority="2121" operator="equal">
      <formula>"-"</formula>
    </cfRule>
    <cfRule type="cellIs" dxfId="1872" priority="2122" operator="equal">
      <formula>"+"</formula>
    </cfRule>
  </conditionalFormatting>
  <conditionalFormatting sqref="W45">
    <cfRule type="cellIs" dxfId="1871" priority="2119" operator="equal">
      <formula>"-"</formula>
    </cfRule>
    <cfRule type="cellIs" dxfId="1870" priority="2120" operator="equal">
      <formula>"+"</formula>
    </cfRule>
  </conditionalFormatting>
  <conditionalFormatting sqref="V53:V55">
    <cfRule type="cellIs" dxfId="1869" priority="2117" operator="equal">
      <formula>"-"</formula>
    </cfRule>
    <cfRule type="cellIs" dxfId="1868" priority="2118" operator="equal">
      <formula>"+"</formula>
    </cfRule>
  </conditionalFormatting>
  <conditionalFormatting sqref="W53">
    <cfRule type="cellIs" dxfId="1867" priority="2115" operator="equal">
      <formula>"-"</formula>
    </cfRule>
    <cfRule type="cellIs" dxfId="1866" priority="2116" operator="equal">
      <formula>"+"</formula>
    </cfRule>
  </conditionalFormatting>
  <conditionalFormatting sqref="W54">
    <cfRule type="cellIs" dxfId="1865" priority="2113" operator="equal">
      <formula>"-"</formula>
    </cfRule>
    <cfRule type="cellIs" dxfId="1864" priority="2114" operator="equal">
      <formula>"+"</formula>
    </cfRule>
  </conditionalFormatting>
  <conditionalFormatting sqref="W55">
    <cfRule type="cellIs" dxfId="1863" priority="2111" operator="equal">
      <formula>"-"</formula>
    </cfRule>
    <cfRule type="cellIs" dxfId="1862" priority="2112" operator="equal">
      <formula>"+"</formula>
    </cfRule>
  </conditionalFormatting>
  <conditionalFormatting sqref="V56:V58">
    <cfRule type="cellIs" dxfId="1861" priority="2109" operator="equal">
      <formula>"-"</formula>
    </cfRule>
    <cfRule type="cellIs" dxfId="1860" priority="2110" operator="equal">
      <formula>"+"</formula>
    </cfRule>
  </conditionalFormatting>
  <conditionalFormatting sqref="W56">
    <cfRule type="cellIs" dxfId="1859" priority="2107" operator="equal">
      <formula>"-"</formula>
    </cfRule>
    <cfRule type="cellIs" dxfId="1858" priority="2108" operator="equal">
      <formula>"+"</formula>
    </cfRule>
  </conditionalFormatting>
  <conditionalFormatting sqref="W57">
    <cfRule type="cellIs" dxfId="1857" priority="2105" operator="equal">
      <formula>"-"</formula>
    </cfRule>
    <cfRule type="cellIs" dxfId="1856" priority="2106" operator="equal">
      <formula>"+"</formula>
    </cfRule>
  </conditionalFormatting>
  <conditionalFormatting sqref="W58">
    <cfRule type="cellIs" dxfId="1855" priority="2103" operator="equal">
      <formula>"-"</formula>
    </cfRule>
    <cfRule type="cellIs" dxfId="1854" priority="2104" operator="equal">
      <formula>"+"</formula>
    </cfRule>
  </conditionalFormatting>
  <conditionalFormatting sqref="V46:V52">
    <cfRule type="cellIs" dxfId="1853" priority="2101" operator="equal">
      <formula>"-"</formula>
    </cfRule>
    <cfRule type="cellIs" dxfId="1852" priority="2102" operator="equal">
      <formula>"+"</formula>
    </cfRule>
  </conditionalFormatting>
  <conditionalFormatting sqref="W46">
    <cfRule type="cellIs" dxfId="1851" priority="2099" operator="equal">
      <formula>"-"</formula>
    </cfRule>
    <cfRule type="cellIs" dxfId="1850" priority="2100" operator="equal">
      <formula>"+"</formula>
    </cfRule>
  </conditionalFormatting>
  <conditionalFormatting sqref="W47">
    <cfRule type="cellIs" dxfId="1849" priority="2097" operator="equal">
      <formula>"-"</formula>
    </cfRule>
    <cfRule type="cellIs" dxfId="1848" priority="2098" operator="equal">
      <formula>"+"</formula>
    </cfRule>
  </conditionalFormatting>
  <conditionalFormatting sqref="W51">
    <cfRule type="cellIs" dxfId="1847" priority="2095" operator="equal">
      <formula>"-"</formula>
    </cfRule>
    <cfRule type="cellIs" dxfId="1846" priority="2096" operator="equal">
      <formula>"+"</formula>
    </cfRule>
  </conditionalFormatting>
  <conditionalFormatting sqref="W52">
    <cfRule type="cellIs" dxfId="1845" priority="2093" operator="equal">
      <formula>"-"</formula>
    </cfRule>
    <cfRule type="cellIs" dxfId="1844" priority="2094" operator="equal">
      <formula>"+"</formula>
    </cfRule>
  </conditionalFormatting>
  <conditionalFormatting sqref="W48">
    <cfRule type="cellIs" dxfId="1843" priority="2091" operator="equal">
      <formula>"-"</formula>
    </cfRule>
    <cfRule type="cellIs" dxfId="1842" priority="2092" operator="equal">
      <formula>"+"</formula>
    </cfRule>
  </conditionalFormatting>
  <conditionalFormatting sqref="W49">
    <cfRule type="cellIs" dxfId="1841" priority="2089" operator="equal">
      <formula>"-"</formula>
    </cfRule>
    <cfRule type="cellIs" dxfId="1840" priority="2090" operator="equal">
      <formula>"+"</formula>
    </cfRule>
  </conditionalFormatting>
  <conditionalFormatting sqref="W50">
    <cfRule type="cellIs" dxfId="1839" priority="2087" operator="equal">
      <formula>"-"</formula>
    </cfRule>
    <cfRule type="cellIs" dxfId="1838" priority="2088" operator="equal">
      <formula>"+"</formula>
    </cfRule>
  </conditionalFormatting>
  <conditionalFormatting sqref="W60">
    <cfRule type="cellIs" dxfId="1837" priority="2085" operator="equal">
      <formula>"-"</formula>
    </cfRule>
    <cfRule type="cellIs" dxfId="1836" priority="2086" operator="equal">
      <formula>"+"</formula>
    </cfRule>
  </conditionalFormatting>
  <conditionalFormatting sqref="W70">
    <cfRule type="cellIs" dxfId="1835" priority="2083" operator="equal">
      <formula>"-"</formula>
    </cfRule>
    <cfRule type="cellIs" dxfId="1834" priority="2084" operator="equal">
      <formula>"+"</formula>
    </cfRule>
  </conditionalFormatting>
  <conditionalFormatting sqref="W72">
    <cfRule type="cellIs" dxfId="1833" priority="2081" operator="equal">
      <formula>"-"</formula>
    </cfRule>
    <cfRule type="cellIs" dxfId="1832" priority="2082" operator="equal">
      <formula>"+"</formula>
    </cfRule>
  </conditionalFormatting>
  <conditionalFormatting sqref="W61">
    <cfRule type="cellIs" dxfId="1831" priority="2077" operator="equal">
      <formula>"-"</formula>
    </cfRule>
    <cfRule type="cellIs" dxfId="1830" priority="2078" operator="equal">
      <formula>"+"</formula>
    </cfRule>
  </conditionalFormatting>
  <conditionalFormatting sqref="W71">
    <cfRule type="cellIs" dxfId="1829" priority="2075" operator="equal">
      <formula>"-"</formula>
    </cfRule>
    <cfRule type="cellIs" dxfId="1828" priority="2076" operator="equal">
      <formula>"+"</formula>
    </cfRule>
  </conditionalFormatting>
  <conditionalFormatting sqref="W73">
    <cfRule type="cellIs" dxfId="1827" priority="2073" operator="equal">
      <formula>"-"</formula>
    </cfRule>
    <cfRule type="cellIs" dxfId="1826" priority="2074" operator="equal">
      <formula>"+"</formula>
    </cfRule>
  </conditionalFormatting>
  <conditionalFormatting sqref="V60:V61">
    <cfRule type="cellIs" dxfId="1825" priority="2069" operator="equal">
      <formula>"-"</formula>
    </cfRule>
    <cfRule type="cellIs" dxfId="1824" priority="2070" operator="equal">
      <formula>"+"</formula>
    </cfRule>
  </conditionalFormatting>
  <conditionalFormatting sqref="V70:V71">
    <cfRule type="cellIs" dxfId="1823" priority="2067" operator="equal">
      <formula>"-"</formula>
    </cfRule>
    <cfRule type="cellIs" dxfId="1822" priority="2068" operator="equal">
      <formula>"+"</formula>
    </cfRule>
  </conditionalFormatting>
  <conditionalFormatting sqref="V72:V73">
    <cfRule type="cellIs" dxfId="1821" priority="2065" operator="equal">
      <formula>"-"</formula>
    </cfRule>
    <cfRule type="cellIs" dxfId="1820" priority="2066" operator="equal">
      <formula>"+"</formula>
    </cfRule>
  </conditionalFormatting>
  <conditionalFormatting sqref="W81:W82">
    <cfRule type="cellIs" dxfId="1819" priority="2027" operator="equal">
      <formula>"-"</formula>
    </cfRule>
    <cfRule type="cellIs" dxfId="1818" priority="2028" operator="equal">
      <formula>"+"</formula>
    </cfRule>
  </conditionalFormatting>
  <conditionalFormatting sqref="W83">
    <cfRule type="cellIs" dxfId="1817" priority="2025" operator="equal">
      <formula>"-"</formula>
    </cfRule>
    <cfRule type="cellIs" dxfId="1816" priority="2026" operator="equal">
      <formula>"+"</formula>
    </cfRule>
  </conditionalFormatting>
  <conditionalFormatting sqref="V66:V67">
    <cfRule type="cellIs" dxfId="1815" priority="2049" operator="equal">
      <formula>"+"</formula>
    </cfRule>
    <cfRule type="cellIs" dxfId="1814" priority="2050" operator="equal">
      <formula>"-"</formula>
    </cfRule>
  </conditionalFormatting>
  <conditionalFormatting sqref="W66">
    <cfRule type="cellIs" dxfId="1813" priority="2047" operator="equal">
      <formula>"-"</formula>
    </cfRule>
    <cfRule type="cellIs" dxfId="1812" priority="2048" operator="equal">
      <formula>"+"</formula>
    </cfRule>
  </conditionalFormatting>
  <conditionalFormatting sqref="W67">
    <cfRule type="cellIs" dxfId="1811" priority="2045" operator="equal">
      <formula>"-"</formula>
    </cfRule>
    <cfRule type="cellIs" dxfId="1810" priority="2046" operator="equal">
      <formula>"+"</formula>
    </cfRule>
  </conditionalFormatting>
  <conditionalFormatting sqref="V68:V69">
    <cfRule type="cellIs" dxfId="1809" priority="2043" operator="equal">
      <formula>"+"</formula>
    </cfRule>
    <cfRule type="cellIs" dxfId="1808" priority="2044" operator="equal">
      <formula>"-"</formula>
    </cfRule>
  </conditionalFormatting>
  <conditionalFormatting sqref="W68">
    <cfRule type="cellIs" dxfId="1807" priority="2041" operator="equal">
      <formula>"-"</formula>
    </cfRule>
    <cfRule type="cellIs" dxfId="1806" priority="2042" operator="equal">
      <formula>"+"</formula>
    </cfRule>
  </conditionalFormatting>
  <conditionalFormatting sqref="W69">
    <cfRule type="cellIs" dxfId="1805" priority="2039" operator="equal">
      <formula>"-"</formula>
    </cfRule>
    <cfRule type="cellIs" dxfId="1804" priority="2040" operator="equal">
      <formula>"+"</formula>
    </cfRule>
  </conditionalFormatting>
  <conditionalFormatting sqref="V77:V78">
    <cfRule type="cellIs" dxfId="1803" priority="2037" operator="equal">
      <formula>"+"</formula>
    </cfRule>
    <cfRule type="cellIs" dxfId="1802" priority="2038" operator="equal">
      <formula>"-"</formula>
    </cfRule>
  </conditionalFormatting>
  <conditionalFormatting sqref="W77">
    <cfRule type="cellIs" dxfId="1801" priority="2035" operator="equal">
      <formula>"-"</formula>
    </cfRule>
    <cfRule type="cellIs" dxfId="1800" priority="2036" operator="equal">
      <formula>"+"</formula>
    </cfRule>
  </conditionalFormatting>
  <conditionalFormatting sqref="W78">
    <cfRule type="cellIs" dxfId="1799" priority="2033" operator="equal">
      <formula>"-"</formula>
    </cfRule>
    <cfRule type="cellIs" dxfId="1798" priority="2034" operator="equal">
      <formula>"+"</formula>
    </cfRule>
  </conditionalFormatting>
  <conditionalFormatting sqref="V80:V83">
    <cfRule type="cellIs" dxfId="1797" priority="2031" operator="equal">
      <formula>"-"</formula>
    </cfRule>
    <cfRule type="cellIs" dxfId="1796" priority="2032" operator="equal">
      <formula>"+"</formula>
    </cfRule>
  </conditionalFormatting>
  <conditionalFormatting sqref="W80">
    <cfRule type="cellIs" dxfId="1795" priority="2029" operator="equal">
      <formula>"-"</formula>
    </cfRule>
    <cfRule type="cellIs" dxfId="1794" priority="2030" operator="equal">
      <formula>"+"</formula>
    </cfRule>
  </conditionalFormatting>
  <conditionalFormatting sqref="V87:V94">
    <cfRule type="cellIs" dxfId="1793" priority="2023" operator="equal">
      <formula>"-"</formula>
    </cfRule>
    <cfRule type="cellIs" dxfId="1792" priority="2024" operator="equal">
      <formula>"+"</formula>
    </cfRule>
  </conditionalFormatting>
  <conditionalFormatting sqref="V95:V100">
    <cfRule type="cellIs" dxfId="1791" priority="2015" operator="equal">
      <formula>"-"</formula>
    </cfRule>
    <cfRule type="cellIs" dxfId="1790" priority="2016" operator="equal">
      <formula>"+"</formula>
    </cfRule>
  </conditionalFormatting>
  <conditionalFormatting sqref="W95">
    <cfRule type="cellIs" dxfId="1789" priority="2013" operator="equal">
      <formula>"-"</formula>
    </cfRule>
    <cfRule type="cellIs" dxfId="1788" priority="2014" operator="equal">
      <formula>"+"</formula>
    </cfRule>
  </conditionalFormatting>
  <conditionalFormatting sqref="W96:W99">
    <cfRule type="cellIs" dxfId="1787" priority="2011" operator="equal">
      <formula>"-"</formula>
    </cfRule>
    <cfRule type="cellIs" dxfId="1786" priority="2012" operator="equal">
      <formula>"+"</formula>
    </cfRule>
  </conditionalFormatting>
  <conditionalFormatting sqref="W100">
    <cfRule type="cellIs" dxfId="1785" priority="2009" operator="equal">
      <formula>"-"</formula>
    </cfRule>
    <cfRule type="cellIs" dxfId="1784" priority="2010" operator="equal">
      <formula>"+"</formula>
    </cfRule>
  </conditionalFormatting>
  <conditionalFormatting sqref="V84:V86">
    <cfRule type="cellIs" dxfId="1783" priority="2007" operator="equal">
      <formula>"-"</formula>
    </cfRule>
    <cfRule type="cellIs" dxfId="1782" priority="2008" operator="equal">
      <formula>"+"</formula>
    </cfRule>
  </conditionalFormatting>
  <conditionalFormatting sqref="W84">
    <cfRule type="cellIs" dxfId="1781" priority="2005" operator="equal">
      <formula>"-"</formula>
    </cfRule>
    <cfRule type="cellIs" dxfId="1780" priority="2006" operator="equal">
      <formula>"+"</formula>
    </cfRule>
  </conditionalFormatting>
  <conditionalFormatting sqref="W85">
    <cfRule type="cellIs" dxfId="1779" priority="2003" operator="equal">
      <formula>"-"</formula>
    </cfRule>
    <cfRule type="cellIs" dxfId="1778" priority="2004" operator="equal">
      <formula>"+"</formula>
    </cfRule>
  </conditionalFormatting>
  <conditionalFormatting sqref="W86">
    <cfRule type="cellIs" dxfId="1777" priority="2001" operator="equal">
      <formula>"-"</formula>
    </cfRule>
    <cfRule type="cellIs" dxfId="1776" priority="2002" operator="equal">
      <formula>"+"</formula>
    </cfRule>
  </conditionalFormatting>
  <conditionalFormatting sqref="V101:V103">
    <cfRule type="cellIs" dxfId="1775" priority="1999" operator="equal">
      <formula>"-"</formula>
    </cfRule>
    <cfRule type="cellIs" dxfId="1774" priority="2000" operator="equal">
      <formula>"+"</formula>
    </cfRule>
  </conditionalFormatting>
  <conditionalFormatting sqref="W101">
    <cfRule type="cellIs" dxfId="1773" priority="1997" operator="equal">
      <formula>"-"</formula>
    </cfRule>
    <cfRule type="cellIs" dxfId="1772" priority="1998" operator="equal">
      <formula>"+"</formula>
    </cfRule>
  </conditionalFormatting>
  <conditionalFormatting sqref="W102">
    <cfRule type="cellIs" dxfId="1771" priority="1995" operator="equal">
      <formula>"-"</formula>
    </cfRule>
    <cfRule type="cellIs" dxfId="1770" priority="1996" operator="equal">
      <formula>"+"</formula>
    </cfRule>
  </conditionalFormatting>
  <conditionalFormatting sqref="W103">
    <cfRule type="cellIs" dxfId="1769" priority="1993" operator="equal">
      <formula>"-"</formula>
    </cfRule>
    <cfRule type="cellIs" dxfId="1768" priority="1994" operator="equal">
      <formula>"+"</formula>
    </cfRule>
  </conditionalFormatting>
  <conditionalFormatting sqref="Y6:Y8">
    <cfRule type="cellIs" dxfId="1767" priority="1991" operator="equal">
      <formula>"-"</formula>
    </cfRule>
    <cfRule type="cellIs" dxfId="1766" priority="1992" operator="equal">
      <formula>"+"</formula>
    </cfRule>
  </conditionalFormatting>
  <conditionalFormatting sqref="Z6">
    <cfRule type="cellIs" dxfId="1765" priority="1989" operator="equal">
      <formula>"-"</formula>
    </cfRule>
    <cfRule type="cellIs" dxfId="1764" priority="1990" operator="equal">
      <formula>"+"</formula>
    </cfRule>
  </conditionalFormatting>
  <conditionalFormatting sqref="Z7">
    <cfRule type="cellIs" dxfId="1763" priority="1987" operator="equal">
      <formula>"-"</formula>
    </cfRule>
    <cfRule type="cellIs" dxfId="1762" priority="1988" operator="equal">
      <formula>"+"</formula>
    </cfRule>
  </conditionalFormatting>
  <conditionalFormatting sqref="Z8">
    <cfRule type="cellIs" dxfId="1761" priority="1985" operator="equal">
      <formula>"-"</formula>
    </cfRule>
    <cfRule type="cellIs" dxfId="1760" priority="1986" operator="equal">
      <formula>"+"</formula>
    </cfRule>
  </conditionalFormatting>
  <conditionalFormatting sqref="Y9:Y11">
    <cfRule type="cellIs" dxfId="1759" priority="1983" operator="equal">
      <formula>"-"</formula>
    </cfRule>
    <cfRule type="cellIs" dxfId="1758" priority="1984" operator="equal">
      <formula>"+"</formula>
    </cfRule>
  </conditionalFormatting>
  <conditionalFormatting sqref="Z9">
    <cfRule type="cellIs" dxfId="1757" priority="1981" operator="equal">
      <formula>"-"</formula>
    </cfRule>
    <cfRule type="cellIs" dxfId="1756" priority="1982" operator="equal">
      <formula>"+"</formula>
    </cfRule>
  </conditionalFormatting>
  <conditionalFormatting sqref="Z10">
    <cfRule type="cellIs" dxfId="1755" priority="1979" operator="equal">
      <formula>"-"</formula>
    </cfRule>
    <cfRule type="cellIs" dxfId="1754" priority="1980" operator="equal">
      <formula>"+"</formula>
    </cfRule>
  </conditionalFormatting>
  <conditionalFormatting sqref="Z11">
    <cfRule type="cellIs" dxfId="1753" priority="1977" operator="equal">
      <formula>"-"</formula>
    </cfRule>
    <cfRule type="cellIs" dxfId="1752" priority="1978" operator="equal">
      <formula>"+"</formula>
    </cfRule>
  </conditionalFormatting>
  <conditionalFormatting sqref="Y12:Y14">
    <cfRule type="cellIs" dxfId="1751" priority="1975" operator="equal">
      <formula>"-"</formula>
    </cfRule>
    <cfRule type="cellIs" dxfId="1750" priority="1976" operator="equal">
      <formula>"+"</formula>
    </cfRule>
  </conditionalFormatting>
  <conditionalFormatting sqref="Z12">
    <cfRule type="cellIs" dxfId="1749" priority="1973" operator="equal">
      <formula>"-"</formula>
    </cfRule>
    <cfRule type="cellIs" dxfId="1748" priority="1974" operator="equal">
      <formula>"+"</formula>
    </cfRule>
  </conditionalFormatting>
  <conditionalFormatting sqref="Z13">
    <cfRule type="cellIs" dxfId="1747" priority="1971" operator="equal">
      <formula>"-"</formula>
    </cfRule>
    <cfRule type="cellIs" dxfId="1746" priority="1972" operator="equal">
      <formula>"+"</formula>
    </cfRule>
  </conditionalFormatting>
  <conditionalFormatting sqref="Z14">
    <cfRule type="cellIs" dxfId="1745" priority="1969" operator="equal">
      <formula>"-"</formula>
    </cfRule>
    <cfRule type="cellIs" dxfId="1744" priority="1970" operator="equal">
      <formula>"+"</formula>
    </cfRule>
  </conditionalFormatting>
  <conditionalFormatting sqref="Z15">
    <cfRule type="cellIs" dxfId="1743" priority="1967" operator="equal">
      <formula>"-"</formula>
    </cfRule>
    <cfRule type="cellIs" dxfId="1742" priority="1968" operator="equal">
      <formula>"+"</formula>
    </cfRule>
  </conditionalFormatting>
  <conditionalFormatting sqref="Z16:Z17">
    <cfRule type="cellIs" dxfId="1741" priority="1965" operator="equal">
      <formula>"-"</formula>
    </cfRule>
    <cfRule type="cellIs" dxfId="1740" priority="1966" operator="equal">
      <formula>"+"</formula>
    </cfRule>
  </conditionalFormatting>
  <conditionalFormatting sqref="Z18">
    <cfRule type="cellIs" dxfId="1739" priority="1963" operator="equal">
      <formula>"-"</formula>
    </cfRule>
    <cfRule type="cellIs" dxfId="1738" priority="1964" operator="equal">
      <formula>"+"</formula>
    </cfRule>
  </conditionalFormatting>
  <conditionalFormatting sqref="Y19:Y21">
    <cfRule type="cellIs" dxfId="1737" priority="1961" operator="equal">
      <formula>"-"</formula>
    </cfRule>
    <cfRule type="cellIs" dxfId="1736" priority="1962" operator="equal">
      <formula>"+"</formula>
    </cfRule>
  </conditionalFormatting>
  <conditionalFormatting sqref="Z19">
    <cfRule type="cellIs" dxfId="1735" priority="1959" operator="equal">
      <formula>"-"</formula>
    </cfRule>
    <cfRule type="cellIs" dxfId="1734" priority="1960" operator="equal">
      <formula>"+"</formula>
    </cfRule>
  </conditionalFormatting>
  <conditionalFormatting sqref="Z20">
    <cfRule type="cellIs" dxfId="1733" priority="1957" operator="equal">
      <formula>"-"</formula>
    </cfRule>
    <cfRule type="cellIs" dxfId="1732" priority="1958" operator="equal">
      <formula>"+"</formula>
    </cfRule>
  </conditionalFormatting>
  <conditionalFormatting sqref="Z21">
    <cfRule type="cellIs" dxfId="1731" priority="1955" operator="equal">
      <formula>"-"</formula>
    </cfRule>
    <cfRule type="cellIs" dxfId="1730" priority="1956" operator="equal">
      <formula>"+"</formula>
    </cfRule>
  </conditionalFormatting>
  <conditionalFormatting sqref="Y22:Y24">
    <cfRule type="cellIs" dxfId="1729" priority="1953" operator="equal">
      <formula>"-"</formula>
    </cfRule>
    <cfRule type="cellIs" dxfId="1728" priority="1954" operator="equal">
      <formula>"+"</formula>
    </cfRule>
  </conditionalFormatting>
  <conditionalFormatting sqref="Z22">
    <cfRule type="cellIs" dxfId="1727" priority="1951" operator="equal">
      <formula>"-"</formula>
    </cfRule>
    <cfRule type="cellIs" dxfId="1726" priority="1952" operator="equal">
      <formula>"+"</formula>
    </cfRule>
  </conditionalFormatting>
  <conditionalFormatting sqref="Z23">
    <cfRule type="cellIs" dxfId="1725" priority="1949" operator="equal">
      <formula>"-"</formula>
    </cfRule>
    <cfRule type="cellIs" dxfId="1724" priority="1950" operator="equal">
      <formula>"+"</formula>
    </cfRule>
  </conditionalFormatting>
  <conditionalFormatting sqref="Z24">
    <cfRule type="cellIs" dxfId="1723" priority="1947" operator="equal">
      <formula>"-"</formula>
    </cfRule>
    <cfRule type="cellIs" dxfId="1722" priority="1948" operator="equal">
      <formula>"+"</formula>
    </cfRule>
  </conditionalFormatting>
  <conditionalFormatting sqref="Y25:Y27">
    <cfRule type="cellIs" dxfId="1721" priority="1945" operator="equal">
      <formula>"-"</formula>
    </cfRule>
    <cfRule type="cellIs" dxfId="1720" priority="1946" operator="equal">
      <formula>"+"</formula>
    </cfRule>
  </conditionalFormatting>
  <conditionalFormatting sqref="Z25">
    <cfRule type="cellIs" dxfId="1719" priority="1943" operator="equal">
      <formula>"-"</formula>
    </cfRule>
    <cfRule type="cellIs" dxfId="1718" priority="1944" operator="equal">
      <formula>"+"</formula>
    </cfRule>
  </conditionalFormatting>
  <conditionalFormatting sqref="Z26">
    <cfRule type="cellIs" dxfId="1717" priority="1941" operator="equal">
      <formula>"-"</formula>
    </cfRule>
    <cfRule type="cellIs" dxfId="1716" priority="1942" operator="equal">
      <formula>"+"</formula>
    </cfRule>
  </conditionalFormatting>
  <conditionalFormatting sqref="Z27">
    <cfRule type="cellIs" dxfId="1715" priority="1939" operator="equal">
      <formula>"-"</formula>
    </cfRule>
    <cfRule type="cellIs" dxfId="1714" priority="1940" operator="equal">
      <formula>"+"</formula>
    </cfRule>
  </conditionalFormatting>
  <conditionalFormatting sqref="Y28:Y30">
    <cfRule type="cellIs" dxfId="1713" priority="1937" operator="equal">
      <formula>"-"</formula>
    </cfRule>
    <cfRule type="cellIs" dxfId="1712" priority="1938" operator="equal">
      <formula>"+"</formula>
    </cfRule>
  </conditionalFormatting>
  <conditionalFormatting sqref="Z28">
    <cfRule type="cellIs" dxfId="1711" priority="1935" operator="equal">
      <formula>"-"</formula>
    </cfRule>
    <cfRule type="cellIs" dxfId="1710" priority="1936" operator="equal">
      <formula>"+"</formula>
    </cfRule>
  </conditionalFormatting>
  <conditionalFormatting sqref="Z29">
    <cfRule type="cellIs" dxfId="1709" priority="1933" operator="equal">
      <formula>"-"</formula>
    </cfRule>
    <cfRule type="cellIs" dxfId="1708" priority="1934" operator="equal">
      <formula>"+"</formula>
    </cfRule>
  </conditionalFormatting>
  <conditionalFormatting sqref="Z30">
    <cfRule type="cellIs" dxfId="1707" priority="1931" operator="equal">
      <formula>"-"</formula>
    </cfRule>
    <cfRule type="cellIs" dxfId="1706" priority="1932" operator="equal">
      <formula>"+"</formula>
    </cfRule>
  </conditionalFormatting>
  <conditionalFormatting sqref="Y31:Y33">
    <cfRule type="cellIs" dxfId="1705" priority="1929" operator="equal">
      <formula>"-"</formula>
    </cfRule>
    <cfRule type="cellIs" dxfId="1704" priority="1930" operator="equal">
      <formula>"+"</formula>
    </cfRule>
  </conditionalFormatting>
  <conditionalFormatting sqref="Z31">
    <cfRule type="cellIs" dxfId="1703" priority="1927" operator="equal">
      <formula>"-"</formula>
    </cfRule>
    <cfRule type="cellIs" dxfId="1702" priority="1928" operator="equal">
      <formula>"+"</formula>
    </cfRule>
  </conditionalFormatting>
  <conditionalFormatting sqref="Z32">
    <cfRule type="cellIs" dxfId="1701" priority="1925" operator="equal">
      <formula>"-"</formula>
    </cfRule>
    <cfRule type="cellIs" dxfId="1700" priority="1926" operator="equal">
      <formula>"+"</formula>
    </cfRule>
  </conditionalFormatting>
  <conditionalFormatting sqref="Z33">
    <cfRule type="cellIs" dxfId="1699" priority="1923" operator="equal">
      <formula>"-"</formula>
    </cfRule>
    <cfRule type="cellIs" dxfId="1698" priority="1924" operator="equal">
      <formula>"+"</formula>
    </cfRule>
  </conditionalFormatting>
  <conditionalFormatting sqref="Y34:Y36">
    <cfRule type="cellIs" dxfId="1697" priority="1921" operator="equal">
      <formula>"-"</formula>
    </cfRule>
    <cfRule type="cellIs" dxfId="1696" priority="1922" operator="equal">
      <formula>"+"</formula>
    </cfRule>
  </conditionalFormatting>
  <conditionalFormatting sqref="Z34">
    <cfRule type="cellIs" dxfId="1695" priority="1919" operator="equal">
      <formula>"-"</formula>
    </cfRule>
    <cfRule type="cellIs" dxfId="1694" priority="1920" operator="equal">
      <formula>"+"</formula>
    </cfRule>
  </conditionalFormatting>
  <conditionalFormatting sqref="Z35">
    <cfRule type="cellIs" dxfId="1693" priority="1917" operator="equal">
      <formula>"-"</formula>
    </cfRule>
    <cfRule type="cellIs" dxfId="1692" priority="1918" operator="equal">
      <formula>"+"</formula>
    </cfRule>
  </conditionalFormatting>
  <conditionalFormatting sqref="Z36">
    <cfRule type="cellIs" dxfId="1691" priority="1915" operator="equal">
      <formula>"-"</formula>
    </cfRule>
    <cfRule type="cellIs" dxfId="1690" priority="1916" operator="equal">
      <formula>"+"</formula>
    </cfRule>
  </conditionalFormatting>
  <conditionalFormatting sqref="Y37:Y39">
    <cfRule type="cellIs" dxfId="1689" priority="1913" operator="equal">
      <formula>"-"</formula>
    </cfRule>
    <cfRule type="cellIs" dxfId="1688" priority="1914" operator="equal">
      <formula>"+"</formula>
    </cfRule>
  </conditionalFormatting>
  <conditionalFormatting sqref="Z37">
    <cfRule type="cellIs" dxfId="1687" priority="1911" operator="equal">
      <formula>"-"</formula>
    </cfRule>
    <cfRule type="cellIs" dxfId="1686" priority="1912" operator="equal">
      <formula>"+"</formula>
    </cfRule>
  </conditionalFormatting>
  <conditionalFormatting sqref="Z38">
    <cfRule type="cellIs" dxfId="1685" priority="1909" operator="equal">
      <formula>"-"</formula>
    </cfRule>
    <cfRule type="cellIs" dxfId="1684" priority="1910" operator="equal">
      <formula>"+"</formula>
    </cfRule>
  </conditionalFormatting>
  <conditionalFormatting sqref="Z39">
    <cfRule type="cellIs" dxfId="1683" priority="1907" operator="equal">
      <formula>"-"</formula>
    </cfRule>
    <cfRule type="cellIs" dxfId="1682" priority="1908" operator="equal">
      <formula>"+"</formula>
    </cfRule>
  </conditionalFormatting>
  <conditionalFormatting sqref="Y40:Y42">
    <cfRule type="cellIs" dxfId="1681" priority="1905" operator="equal">
      <formula>"-"</formula>
    </cfRule>
    <cfRule type="cellIs" dxfId="1680" priority="1906" operator="equal">
      <formula>"+"</formula>
    </cfRule>
  </conditionalFormatting>
  <conditionalFormatting sqref="Z40">
    <cfRule type="cellIs" dxfId="1679" priority="1903" operator="equal">
      <formula>"-"</formula>
    </cfRule>
    <cfRule type="cellIs" dxfId="1678" priority="1904" operator="equal">
      <formula>"+"</formula>
    </cfRule>
  </conditionalFormatting>
  <conditionalFormatting sqref="Z41">
    <cfRule type="cellIs" dxfId="1677" priority="1901" operator="equal">
      <formula>"-"</formula>
    </cfRule>
    <cfRule type="cellIs" dxfId="1676" priority="1902" operator="equal">
      <formula>"+"</formula>
    </cfRule>
  </conditionalFormatting>
  <conditionalFormatting sqref="Z42">
    <cfRule type="cellIs" dxfId="1675" priority="1899" operator="equal">
      <formula>"-"</formula>
    </cfRule>
    <cfRule type="cellIs" dxfId="1674" priority="1900" operator="equal">
      <formula>"+"</formula>
    </cfRule>
  </conditionalFormatting>
  <conditionalFormatting sqref="Y43:Y45">
    <cfRule type="cellIs" dxfId="1673" priority="1897" operator="equal">
      <formula>"-"</formula>
    </cfRule>
    <cfRule type="cellIs" dxfId="1672" priority="1898" operator="equal">
      <formula>"+"</formula>
    </cfRule>
  </conditionalFormatting>
  <conditionalFormatting sqref="Z43">
    <cfRule type="cellIs" dxfId="1671" priority="1895" operator="equal">
      <formula>"-"</formula>
    </cfRule>
    <cfRule type="cellIs" dxfId="1670" priority="1896" operator="equal">
      <formula>"+"</formula>
    </cfRule>
  </conditionalFormatting>
  <conditionalFormatting sqref="Z44">
    <cfRule type="cellIs" dxfId="1669" priority="1893" operator="equal">
      <formula>"-"</formula>
    </cfRule>
    <cfRule type="cellIs" dxfId="1668" priority="1894" operator="equal">
      <formula>"+"</formula>
    </cfRule>
  </conditionalFormatting>
  <conditionalFormatting sqref="Z45">
    <cfRule type="cellIs" dxfId="1667" priority="1891" operator="equal">
      <formula>"-"</formula>
    </cfRule>
    <cfRule type="cellIs" dxfId="1666" priority="1892" operator="equal">
      <formula>"+"</formula>
    </cfRule>
  </conditionalFormatting>
  <conditionalFormatting sqref="Y53:Y55">
    <cfRule type="cellIs" dxfId="1665" priority="1889" operator="equal">
      <formula>"-"</formula>
    </cfRule>
    <cfRule type="cellIs" dxfId="1664" priority="1890" operator="equal">
      <formula>"+"</formula>
    </cfRule>
  </conditionalFormatting>
  <conditionalFormatting sqref="Z53">
    <cfRule type="cellIs" dxfId="1663" priority="1887" operator="equal">
      <formula>"-"</formula>
    </cfRule>
    <cfRule type="cellIs" dxfId="1662" priority="1888" operator="equal">
      <formula>"+"</formula>
    </cfRule>
  </conditionalFormatting>
  <conditionalFormatting sqref="Z54">
    <cfRule type="cellIs" dxfId="1661" priority="1885" operator="equal">
      <formula>"-"</formula>
    </cfRule>
    <cfRule type="cellIs" dxfId="1660" priority="1886" operator="equal">
      <formula>"+"</formula>
    </cfRule>
  </conditionalFormatting>
  <conditionalFormatting sqref="Z55">
    <cfRule type="cellIs" dxfId="1659" priority="1883" operator="equal">
      <formula>"-"</formula>
    </cfRule>
    <cfRule type="cellIs" dxfId="1658" priority="1884" operator="equal">
      <formula>"+"</formula>
    </cfRule>
  </conditionalFormatting>
  <conditionalFormatting sqref="Y56:Y58">
    <cfRule type="cellIs" dxfId="1657" priority="1881" operator="equal">
      <formula>"-"</formula>
    </cfRule>
    <cfRule type="cellIs" dxfId="1656" priority="1882" operator="equal">
      <formula>"+"</formula>
    </cfRule>
  </conditionalFormatting>
  <conditionalFormatting sqref="Z56">
    <cfRule type="cellIs" dxfId="1655" priority="1879" operator="equal">
      <formula>"-"</formula>
    </cfRule>
    <cfRule type="cellIs" dxfId="1654" priority="1880" operator="equal">
      <formula>"+"</formula>
    </cfRule>
  </conditionalFormatting>
  <conditionalFormatting sqref="Z57">
    <cfRule type="cellIs" dxfId="1653" priority="1877" operator="equal">
      <formula>"-"</formula>
    </cfRule>
    <cfRule type="cellIs" dxfId="1652" priority="1878" operator="equal">
      <formula>"+"</formula>
    </cfRule>
  </conditionalFormatting>
  <conditionalFormatting sqref="Z58">
    <cfRule type="cellIs" dxfId="1651" priority="1875" operator="equal">
      <formula>"-"</formula>
    </cfRule>
    <cfRule type="cellIs" dxfId="1650" priority="1876" operator="equal">
      <formula>"+"</formula>
    </cfRule>
  </conditionalFormatting>
  <conditionalFormatting sqref="Y46:Y52">
    <cfRule type="cellIs" dxfId="1649" priority="1873" operator="equal">
      <formula>"-"</formula>
    </cfRule>
    <cfRule type="cellIs" dxfId="1648" priority="1874" operator="equal">
      <formula>"+"</formula>
    </cfRule>
  </conditionalFormatting>
  <conditionalFormatting sqref="Z46">
    <cfRule type="cellIs" dxfId="1647" priority="1871" operator="equal">
      <formula>"-"</formula>
    </cfRule>
    <cfRule type="cellIs" dxfId="1646" priority="1872" operator="equal">
      <formula>"+"</formula>
    </cfRule>
  </conditionalFormatting>
  <conditionalFormatting sqref="Z47">
    <cfRule type="cellIs" dxfId="1645" priority="1869" operator="equal">
      <formula>"-"</formula>
    </cfRule>
    <cfRule type="cellIs" dxfId="1644" priority="1870" operator="equal">
      <formula>"+"</formula>
    </cfRule>
  </conditionalFormatting>
  <conditionalFormatting sqref="Z51">
    <cfRule type="cellIs" dxfId="1643" priority="1867" operator="equal">
      <formula>"-"</formula>
    </cfRule>
    <cfRule type="cellIs" dxfId="1642" priority="1868" operator="equal">
      <formula>"+"</formula>
    </cfRule>
  </conditionalFormatting>
  <conditionalFormatting sqref="Z52">
    <cfRule type="cellIs" dxfId="1641" priority="1865" operator="equal">
      <formula>"-"</formula>
    </cfRule>
    <cfRule type="cellIs" dxfId="1640" priority="1866" operator="equal">
      <formula>"+"</formula>
    </cfRule>
  </conditionalFormatting>
  <conditionalFormatting sqref="Z48">
    <cfRule type="cellIs" dxfId="1639" priority="1863" operator="equal">
      <formula>"-"</formula>
    </cfRule>
    <cfRule type="cellIs" dxfId="1638" priority="1864" operator="equal">
      <formula>"+"</formula>
    </cfRule>
  </conditionalFormatting>
  <conditionalFormatting sqref="Z49">
    <cfRule type="cellIs" dxfId="1637" priority="1861" operator="equal">
      <formula>"-"</formula>
    </cfRule>
    <cfRule type="cellIs" dxfId="1636" priority="1862" operator="equal">
      <formula>"+"</formula>
    </cfRule>
  </conditionalFormatting>
  <conditionalFormatting sqref="Z50">
    <cfRule type="cellIs" dxfId="1635" priority="1859" operator="equal">
      <formula>"-"</formula>
    </cfRule>
    <cfRule type="cellIs" dxfId="1634" priority="1860" operator="equal">
      <formula>"+"</formula>
    </cfRule>
  </conditionalFormatting>
  <conditionalFormatting sqref="Z60">
    <cfRule type="cellIs" dxfId="1633" priority="1857" operator="equal">
      <formula>"-"</formula>
    </cfRule>
    <cfRule type="cellIs" dxfId="1632" priority="1858" operator="equal">
      <formula>"+"</formula>
    </cfRule>
  </conditionalFormatting>
  <conditionalFormatting sqref="Z70">
    <cfRule type="cellIs" dxfId="1631" priority="1855" operator="equal">
      <formula>"-"</formula>
    </cfRule>
    <cfRule type="cellIs" dxfId="1630" priority="1856" operator="equal">
      <formula>"+"</formula>
    </cfRule>
  </conditionalFormatting>
  <conditionalFormatting sqref="Z72">
    <cfRule type="cellIs" dxfId="1629" priority="1853" operator="equal">
      <formula>"-"</formula>
    </cfRule>
    <cfRule type="cellIs" dxfId="1628" priority="1854" operator="equal">
      <formula>"+"</formula>
    </cfRule>
  </conditionalFormatting>
  <conditionalFormatting sqref="Z61">
    <cfRule type="cellIs" dxfId="1627" priority="1849" operator="equal">
      <formula>"-"</formula>
    </cfRule>
    <cfRule type="cellIs" dxfId="1626" priority="1850" operator="equal">
      <formula>"+"</formula>
    </cfRule>
  </conditionalFormatting>
  <conditionalFormatting sqref="Z71">
    <cfRule type="cellIs" dxfId="1625" priority="1847" operator="equal">
      <formula>"-"</formula>
    </cfRule>
    <cfRule type="cellIs" dxfId="1624" priority="1848" operator="equal">
      <formula>"+"</formula>
    </cfRule>
  </conditionalFormatting>
  <conditionalFormatting sqref="Z73">
    <cfRule type="cellIs" dxfId="1623" priority="1845" operator="equal">
      <formula>"-"</formula>
    </cfRule>
    <cfRule type="cellIs" dxfId="1622" priority="1846" operator="equal">
      <formula>"+"</formula>
    </cfRule>
  </conditionalFormatting>
  <conditionalFormatting sqref="Y60:Y61">
    <cfRule type="cellIs" dxfId="1621" priority="1841" operator="equal">
      <formula>"-"</formula>
    </cfRule>
    <cfRule type="cellIs" dxfId="1620" priority="1842" operator="equal">
      <formula>"+"</formula>
    </cfRule>
  </conditionalFormatting>
  <conditionalFormatting sqref="Y70:Y71">
    <cfRule type="cellIs" dxfId="1619" priority="1839" operator="equal">
      <formula>"-"</formula>
    </cfRule>
    <cfRule type="cellIs" dxfId="1618" priority="1840" operator="equal">
      <formula>"+"</formula>
    </cfRule>
  </conditionalFormatting>
  <conditionalFormatting sqref="Y72:Y73">
    <cfRule type="cellIs" dxfId="1617" priority="1837" operator="equal">
      <formula>"-"</formula>
    </cfRule>
    <cfRule type="cellIs" dxfId="1616" priority="1838" operator="equal">
      <formula>"+"</formula>
    </cfRule>
  </conditionalFormatting>
  <conditionalFormatting sqref="Z89:Z90">
    <cfRule type="cellIs" dxfId="1615" priority="1791" operator="equal">
      <formula>"-"</formula>
    </cfRule>
    <cfRule type="cellIs" dxfId="1614" priority="1792" operator="equal">
      <formula>"+"</formula>
    </cfRule>
  </conditionalFormatting>
  <conditionalFormatting sqref="Y66:Y67">
    <cfRule type="cellIs" dxfId="1613" priority="1821" operator="equal">
      <formula>"+"</formula>
    </cfRule>
    <cfRule type="cellIs" dxfId="1612" priority="1822" operator="equal">
      <formula>"-"</formula>
    </cfRule>
  </conditionalFormatting>
  <conditionalFormatting sqref="Z66">
    <cfRule type="cellIs" dxfId="1611" priority="1819" operator="equal">
      <formula>"-"</formula>
    </cfRule>
    <cfRule type="cellIs" dxfId="1610" priority="1820" operator="equal">
      <formula>"+"</formula>
    </cfRule>
  </conditionalFormatting>
  <conditionalFormatting sqref="Z67">
    <cfRule type="cellIs" dxfId="1609" priority="1817" operator="equal">
      <formula>"-"</formula>
    </cfRule>
    <cfRule type="cellIs" dxfId="1608" priority="1818" operator="equal">
      <formula>"+"</formula>
    </cfRule>
  </conditionalFormatting>
  <conditionalFormatting sqref="Y68:Y69">
    <cfRule type="cellIs" dxfId="1607" priority="1815" operator="equal">
      <formula>"+"</formula>
    </cfRule>
    <cfRule type="cellIs" dxfId="1606" priority="1816" operator="equal">
      <formula>"-"</formula>
    </cfRule>
  </conditionalFormatting>
  <conditionalFormatting sqref="Z68">
    <cfRule type="cellIs" dxfId="1605" priority="1813" operator="equal">
      <formula>"-"</formula>
    </cfRule>
    <cfRule type="cellIs" dxfId="1604" priority="1814" operator="equal">
      <formula>"+"</formula>
    </cfRule>
  </conditionalFormatting>
  <conditionalFormatting sqref="Z69">
    <cfRule type="cellIs" dxfId="1603" priority="1811" operator="equal">
      <formula>"-"</formula>
    </cfRule>
    <cfRule type="cellIs" dxfId="1602" priority="1812" operator="equal">
      <formula>"+"</formula>
    </cfRule>
  </conditionalFormatting>
  <conditionalFormatting sqref="Y77:Y78">
    <cfRule type="cellIs" dxfId="1601" priority="1809" operator="equal">
      <formula>"+"</formula>
    </cfRule>
    <cfRule type="cellIs" dxfId="1600" priority="1810" operator="equal">
      <formula>"-"</formula>
    </cfRule>
  </conditionalFormatting>
  <conditionalFormatting sqref="Z77">
    <cfRule type="cellIs" dxfId="1599" priority="1807" operator="equal">
      <formula>"-"</formula>
    </cfRule>
    <cfRule type="cellIs" dxfId="1598" priority="1808" operator="equal">
      <formula>"+"</formula>
    </cfRule>
  </conditionalFormatting>
  <conditionalFormatting sqref="Z78">
    <cfRule type="cellIs" dxfId="1597" priority="1805" operator="equal">
      <formula>"-"</formula>
    </cfRule>
    <cfRule type="cellIs" dxfId="1596" priority="1806" operator="equal">
      <formula>"+"</formula>
    </cfRule>
  </conditionalFormatting>
  <conditionalFormatting sqref="Y80:Y83">
    <cfRule type="cellIs" dxfId="1595" priority="1803" operator="equal">
      <formula>"-"</formula>
    </cfRule>
    <cfRule type="cellIs" dxfId="1594" priority="1804" operator="equal">
      <formula>"+"</formula>
    </cfRule>
  </conditionalFormatting>
  <conditionalFormatting sqref="Z80">
    <cfRule type="cellIs" dxfId="1593" priority="1801" operator="equal">
      <formula>"-"</formula>
    </cfRule>
    <cfRule type="cellIs" dxfId="1592" priority="1802" operator="equal">
      <formula>"+"</formula>
    </cfRule>
  </conditionalFormatting>
  <conditionalFormatting sqref="Z81:Z82">
    <cfRule type="cellIs" dxfId="1591" priority="1799" operator="equal">
      <formula>"-"</formula>
    </cfRule>
    <cfRule type="cellIs" dxfId="1590" priority="1800" operator="equal">
      <formula>"+"</formula>
    </cfRule>
  </conditionalFormatting>
  <conditionalFormatting sqref="Z83">
    <cfRule type="cellIs" dxfId="1589" priority="1797" operator="equal">
      <formula>"-"</formula>
    </cfRule>
    <cfRule type="cellIs" dxfId="1588" priority="1798" operator="equal">
      <formula>"+"</formula>
    </cfRule>
  </conditionalFormatting>
  <conditionalFormatting sqref="Y87:Y94">
    <cfRule type="cellIs" dxfId="1587" priority="1795" operator="equal">
      <formula>"-"</formula>
    </cfRule>
    <cfRule type="cellIs" dxfId="1586" priority="1796" operator="equal">
      <formula>"+"</formula>
    </cfRule>
  </conditionalFormatting>
  <conditionalFormatting sqref="Y95:Y100">
    <cfRule type="cellIs" dxfId="1585" priority="1787" operator="equal">
      <formula>"-"</formula>
    </cfRule>
    <cfRule type="cellIs" dxfId="1584" priority="1788" operator="equal">
      <formula>"+"</formula>
    </cfRule>
  </conditionalFormatting>
  <conditionalFormatting sqref="Z95">
    <cfRule type="cellIs" dxfId="1583" priority="1785" operator="equal">
      <formula>"-"</formula>
    </cfRule>
    <cfRule type="cellIs" dxfId="1582" priority="1786" operator="equal">
      <formula>"+"</formula>
    </cfRule>
  </conditionalFormatting>
  <conditionalFormatting sqref="Z96:Z99">
    <cfRule type="cellIs" dxfId="1581" priority="1783" operator="equal">
      <formula>"-"</formula>
    </cfRule>
    <cfRule type="cellIs" dxfId="1580" priority="1784" operator="equal">
      <formula>"+"</formula>
    </cfRule>
  </conditionalFormatting>
  <conditionalFormatting sqref="Z100">
    <cfRule type="cellIs" dxfId="1579" priority="1781" operator="equal">
      <formula>"-"</formula>
    </cfRule>
    <cfRule type="cellIs" dxfId="1578" priority="1782" operator="equal">
      <formula>"+"</formula>
    </cfRule>
  </conditionalFormatting>
  <conditionalFormatting sqref="Y84:Y86">
    <cfRule type="cellIs" dxfId="1577" priority="1779" operator="equal">
      <formula>"-"</formula>
    </cfRule>
    <cfRule type="cellIs" dxfId="1576" priority="1780" operator="equal">
      <formula>"+"</formula>
    </cfRule>
  </conditionalFormatting>
  <conditionalFormatting sqref="Z84">
    <cfRule type="cellIs" dxfId="1575" priority="1777" operator="equal">
      <formula>"-"</formula>
    </cfRule>
    <cfRule type="cellIs" dxfId="1574" priority="1778" operator="equal">
      <formula>"+"</formula>
    </cfRule>
  </conditionalFormatting>
  <conditionalFormatting sqref="Z85">
    <cfRule type="cellIs" dxfId="1573" priority="1775" operator="equal">
      <formula>"-"</formula>
    </cfRule>
    <cfRule type="cellIs" dxfId="1572" priority="1776" operator="equal">
      <formula>"+"</formula>
    </cfRule>
  </conditionalFormatting>
  <conditionalFormatting sqref="Z86">
    <cfRule type="cellIs" dxfId="1571" priority="1773" operator="equal">
      <formula>"-"</formula>
    </cfRule>
    <cfRule type="cellIs" dxfId="1570" priority="1774" operator="equal">
      <formula>"+"</formula>
    </cfRule>
  </conditionalFormatting>
  <conditionalFormatting sqref="Y101:Y103">
    <cfRule type="cellIs" dxfId="1569" priority="1771" operator="equal">
      <formula>"-"</formula>
    </cfRule>
    <cfRule type="cellIs" dxfId="1568" priority="1772" operator="equal">
      <formula>"+"</formula>
    </cfRule>
  </conditionalFormatting>
  <conditionalFormatting sqref="Z101">
    <cfRule type="cellIs" dxfId="1567" priority="1769" operator="equal">
      <formula>"-"</formula>
    </cfRule>
    <cfRule type="cellIs" dxfId="1566" priority="1770" operator="equal">
      <formula>"+"</formula>
    </cfRule>
  </conditionalFormatting>
  <conditionalFormatting sqref="Z102">
    <cfRule type="cellIs" dxfId="1565" priority="1767" operator="equal">
      <formula>"-"</formula>
    </cfRule>
    <cfRule type="cellIs" dxfId="1564" priority="1768" operator="equal">
      <formula>"+"</formula>
    </cfRule>
  </conditionalFormatting>
  <conditionalFormatting sqref="Z103">
    <cfRule type="cellIs" dxfId="1563" priority="1765" operator="equal">
      <formula>"-"</formula>
    </cfRule>
    <cfRule type="cellIs" dxfId="1562" priority="1766" operator="equal">
      <formula>"+"</formula>
    </cfRule>
  </conditionalFormatting>
  <conditionalFormatting sqref="AB6:AB8">
    <cfRule type="cellIs" dxfId="1561" priority="1763" operator="equal">
      <formula>"-"</formula>
    </cfRule>
    <cfRule type="cellIs" dxfId="1560" priority="1764" operator="equal">
      <formula>"+"</formula>
    </cfRule>
  </conditionalFormatting>
  <conditionalFormatting sqref="AC6">
    <cfRule type="cellIs" dxfId="1559" priority="1761" operator="equal">
      <formula>"-"</formula>
    </cfRule>
    <cfRule type="cellIs" dxfId="1558" priority="1762" operator="equal">
      <formula>"+"</formula>
    </cfRule>
  </conditionalFormatting>
  <conditionalFormatting sqref="AC7">
    <cfRule type="cellIs" dxfId="1557" priority="1759" operator="equal">
      <formula>"-"</formula>
    </cfRule>
    <cfRule type="cellIs" dxfId="1556" priority="1760" operator="equal">
      <formula>"+"</formula>
    </cfRule>
  </conditionalFormatting>
  <conditionalFormatting sqref="AC8">
    <cfRule type="cellIs" dxfId="1555" priority="1757" operator="equal">
      <formula>"-"</formula>
    </cfRule>
    <cfRule type="cellIs" dxfId="1554" priority="1758" operator="equal">
      <formula>"+"</formula>
    </cfRule>
  </conditionalFormatting>
  <conditionalFormatting sqref="AB9:AB11">
    <cfRule type="cellIs" dxfId="1553" priority="1755" operator="equal">
      <formula>"-"</formula>
    </cfRule>
    <cfRule type="cellIs" dxfId="1552" priority="1756" operator="equal">
      <formula>"+"</formula>
    </cfRule>
  </conditionalFormatting>
  <conditionalFormatting sqref="AC9">
    <cfRule type="cellIs" dxfId="1551" priority="1753" operator="equal">
      <formula>"-"</formula>
    </cfRule>
    <cfRule type="cellIs" dxfId="1550" priority="1754" operator="equal">
      <formula>"+"</formula>
    </cfRule>
  </conditionalFormatting>
  <conditionalFormatting sqref="AC10">
    <cfRule type="cellIs" dxfId="1549" priority="1751" operator="equal">
      <formula>"-"</formula>
    </cfRule>
    <cfRule type="cellIs" dxfId="1548" priority="1752" operator="equal">
      <formula>"+"</formula>
    </cfRule>
  </conditionalFormatting>
  <conditionalFormatting sqref="AC11">
    <cfRule type="cellIs" dxfId="1547" priority="1749" operator="equal">
      <formula>"-"</formula>
    </cfRule>
    <cfRule type="cellIs" dxfId="1546" priority="1750" operator="equal">
      <formula>"+"</formula>
    </cfRule>
  </conditionalFormatting>
  <conditionalFormatting sqref="AB12:AB14">
    <cfRule type="cellIs" dxfId="1545" priority="1747" operator="equal">
      <formula>"-"</formula>
    </cfRule>
    <cfRule type="cellIs" dxfId="1544" priority="1748" operator="equal">
      <formula>"+"</formula>
    </cfRule>
  </conditionalFormatting>
  <conditionalFormatting sqref="AC12">
    <cfRule type="cellIs" dxfId="1543" priority="1745" operator="equal">
      <formula>"-"</formula>
    </cfRule>
    <cfRule type="cellIs" dxfId="1542" priority="1746" operator="equal">
      <formula>"+"</formula>
    </cfRule>
  </conditionalFormatting>
  <conditionalFormatting sqref="AC13">
    <cfRule type="cellIs" dxfId="1541" priority="1743" operator="equal">
      <formula>"-"</formula>
    </cfRule>
    <cfRule type="cellIs" dxfId="1540" priority="1744" operator="equal">
      <formula>"+"</formula>
    </cfRule>
  </conditionalFormatting>
  <conditionalFormatting sqref="AC14">
    <cfRule type="cellIs" dxfId="1539" priority="1741" operator="equal">
      <formula>"-"</formula>
    </cfRule>
    <cfRule type="cellIs" dxfId="1538" priority="1742" operator="equal">
      <formula>"+"</formula>
    </cfRule>
  </conditionalFormatting>
  <conditionalFormatting sqref="AC34">
    <cfRule type="cellIs" dxfId="1537" priority="1691" operator="equal">
      <formula>"-"</formula>
    </cfRule>
    <cfRule type="cellIs" dxfId="1536" priority="1692" operator="equal">
      <formula>"+"</formula>
    </cfRule>
  </conditionalFormatting>
  <conditionalFormatting sqref="AC35">
    <cfRule type="cellIs" dxfId="1535" priority="1689" operator="equal">
      <formula>"-"</formula>
    </cfRule>
    <cfRule type="cellIs" dxfId="1534" priority="1690" operator="equal">
      <formula>"+"</formula>
    </cfRule>
  </conditionalFormatting>
  <conditionalFormatting sqref="AC36">
    <cfRule type="cellIs" dxfId="1533" priority="1687" operator="equal">
      <formula>"-"</formula>
    </cfRule>
    <cfRule type="cellIs" dxfId="1532" priority="1688" operator="equal">
      <formula>"+"</formula>
    </cfRule>
  </conditionalFormatting>
  <conditionalFormatting sqref="AB19:AB21">
    <cfRule type="cellIs" dxfId="1531" priority="1733" operator="equal">
      <formula>"-"</formula>
    </cfRule>
    <cfRule type="cellIs" dxfId="1530" priority="1734" operator="equal">
      <formula>"+"</formula>
    </cfRule>
  </conditionalFormatting>
  <conditionalFormatting sqref="AC19">
    <cfRule type="cellIs" dxfId="1529" priority="1731" operator="equal">
      <formula>"-"</formula>
    </cfRule>
    <cfRule type="cellIs" dxfId="1528" priority="1732" operator="equal">
      <formula>"+"</formula>
    </cfRule>
  </conditionalFormatting>
  <conditionalFormatting sqref="AC20">
    <cfRule type="cellIs" dxfId="1527" priority="1729" operator="equal">
      <formula>"-"</formula>
    </cfRule>
    <cfRule type="cellIs" dxfId="1526" priority="1730" operator="equal">
      <formula>"+"</formula>
    </cfRule>
  </conditionalFormatting>
  <conditionalFormatting sqref="AC21">
    <cfRule type="cellIs" dxfId="1525" priority="1727" operator="equal">
      <formula>"-"</formula>
    </cfRule>
    <cfRule type="cellIs" dxfId="1524" priority="1728" operator="equal">
      <formula>"+"</formula>
    </cfRule>
  </conditionalFormatting>
  <conditionalFormatting sqref="AB22:AB24">
    <cfRule type="cellIs" dxfId="1523" priority="1725" operator="equal">
      <formula>"-"</formula>
    </cfRule>
    <cfRule type="cellIs" dxfId="1522" priority="1726" operator="equal">
      <formula>"+"</formula>
    </cfRule>
  </conditionalFormatting>
  <conditionalFormatting sqref="AC22">
    <cfRule type="cellIs" dxfId="1521" priority="1723" operator="equal">
      <formula>"-"</formula>
    </cfRule>
    <cfRule type="cellIs" dxfId="1520" priority="1724" operator="equal">
      <formula>"+"</formula>
    </cfRule>
  </conditionalFormatting>
  <conditionalFormatting sqref="AC23">
    <cfRule type="cellIs" dxfId="1519" priority="1721" operator="equal">
      <formula>"-"</formula>
    </cfRule>
    <cfRule type="cellIs" dxfId="1518" priority="1722" operator="equal">
      <formula>"+"</formula>
    </cfRule>
  </conditionalFormatting>
  <conditionalFormatting sqref="AC24">
    <cfRule type="cellIs" dxfId="1517" priority="1719" operator="equal">
      <formula>"-"</formula>
    </cfRule>
    <cfRule type="cellIs" dxfId="1516" priority="1720" operator="equal">
      <formula>"+"</formula>
    </cfRule>
  </conditionalFormatting>
  <conditionalFormatting sqref="AB25:AB27">
    <cfRule type="cellIs" dxfId="1515" priority="1717" operator="equal">
      <formula>"-"</formula>
    </cfRule>
    <cfRule type="cellIs" dxfId="1514" priority="1718" operator="equal">
      <formula>"+"</formula>
    </cfRule>
  </conditionalFormatting>
  <conditionalFormatting sqref="AC25">
    <cfRule type="cellIs" dxfId="1513" priority="1715" operator="equal">
      <formula>"-"</formula>
    </cfRule>
    <cfRule type="cellIs" dxfId="1512" priority="1716" operator="equal">
      <formula>"+"</formula>
    </cfRule>
  </conditionalFormatting>
  <conditionalFormatting sqref="AC26">
    <cfRule type="cellIs" dxfId="1511" priority="1713" operator="equal">
      <formula>"-"</formula>
    </cfRule>
    <cfRule type="cellIs" dxfId="1510" priority="1714" operator="equal">
      <formula>"+"</formula>
    </cfRule>
  </conditionalFormatting>
  <conditionalFormatting sqref="AC27">
    <cfRule type="cellIs" dxfId="1509" priority="1711" operator="equal">
      <formula>"-"</formula>
    </cfRule>
    <cfRule type="cellIs" dxfId="1508" priority="1712" operator="equal">
      <formula>"+"</formula>
    </cfRule>
  </conditionalFormatting>
  <conditionalFormatting sqref="AB28:AB30">
    <cfRule type="cellIs" dxfId="1507" priority="1709" operator="equal">
      <formula>"-"</formula>
    </cfRule>
    <cfRule type="cellIs" dxfId="1506" priority="1710" operator="equal">
      <formula>"+"</formula>
    </cfRule>
  </conditionalFormatting>
  <conditionalFormatting sqref="AC28">
    <cfRule type="cellIs" dxfId="1505" priority="1707" operator="equal">
      <formula>"-"</formula>
    </cfRule>
    <cfRule type="cellIs" dxfId="1504" priority="1708" operator="equal">
      <formula>"+"</formula>
    </cfRule>
  </conditionalFormatting>
  <conditionalFormatting sqref="AC29">
    <cfRule type="cellIs" dxfId="1503" priority="1705" operator="equal">
      <formula>"-"</formula>
    </cfRule>
    <cfRule type="cellIs" dxfId="1502" priority="1706" operator="equal">
      <formula>"+"</formula>
    </cfRule>
  </conditionalFormatting>
  <conditionalFormatting sqref="AC30">
    <cfRule type="cellIs" dxfId="1501" priority="1703" operator="equal">
      <formula>"-"</formula>
    </cfRule>
    <cfRule type="cellIs" dxfId="1500" priority="1704" operator="equal">
      <formula>"+"</formula>
    </cfRule>
  </conditionalFormatting>
  <conditionalFormatting sqref="AB31:AB33">
    <cfRule type="cellIs" dxfId="1499" priority="1701" operator="equal">
      <formula>"-"</formula>
    </cfRule>
    <cfRule type="cellIs" dxfId="1498" priority="1702" operator="equal">
      <formula>"+"</formula>
    </cfRule>
  </conditionalFormatting>
  <conditionalFormatting sqref="AC31">
    <cfRule type="cellIs" dxfId="1497" priority="1699" operator="equal">
      <formula>"-"</formula>
    </cfRule>
    <cfRule type="cellIs" dxfId="1496" priority="1700" operator="equal">
      <formula>"+"</formula>
    </cfRule>
  </conditionalFormatting>
  <conditionalFormatting sqref="AC32">
    <cfRule type="cellIs" dxfId="1495" priority="1697" operator="equal">
      <formula>"-"</formula>
    </cfRule>
    <cfRule type="cellIs" dxfId="1494" priority="1698" operator="equal">
      <formula>"+"</formula>
    </cfRule>
  </conditionalFormatting>
  <conditionalFormatting sqref="AC33">
    <cfRule type="cellIs" dxfId="1493" priority="1695" operator="equal">
      <formula>"-"</formula>
    </cfRule>
    <cfRule type="cellIs" dxfId="1492" priority="1696" operator="equal">
      <formula>"+"</formula>
    </cfRule>
  </conditionalFormatting>
  <conditionalFormatting sqref="AB34:AB36">
    <cfRule type="cellIs" dxfId="1491" priority="1693" operator="equal">
      <formula>"-"</formula>
    </cfRule>
    <cfRule type="cellIs" dxfId="1490" priority="1694" operator="equal">
      <formula>"+"</formula>
    </cfRule>
  </conditionalFormatting>
  <conditionalFormatting sqref="AB37:AB39">
    <cfRule type="cellIs" dxfId="1489" priority="1685" operator="equal">
      <formula>"-"</formula>
    </cfRule>
    <cfRule type="cellIs" dxfId="1488" priority="1686" operator="equal">
      <formula>"+"</formula>
    </cfRule>
  </conditionalFormatting>
  <conditionalFormatting sqref="AC37">
    <cfRule type="cellIs" dxfId="1487" priority="1683" operator="equal">
      <formula>"-"</formula>
    </cfRule>
    <cfRule type="cellIs" dxfId="1486" priority="1684" operator="equal">
      <formula>"+"</formula>
    </cfRule>
  </conditionalFormatting>
  <conditionalFormatting sqref="AC38">
    <cfRule type="cellIs" dxfId="1485" priority="1681" operator="equal">
      <formula>"-"</formula>
    </cfRule>
    <cfRule type="cellIs" dxfId="1484" priority="1682" operator="equal">
      <formula>"+"</formula>
    </cfRule>
  </conditionalFormatting>
  <conditionalFormatting sqref="AC39">
    <cfRule type="cellIs" dxfId="1483" priority="1679" operator="equal">
      <formula>"-"</formula>
    </cfRule>
    <cfRule type="cellIs" dxfId="1482" priority="1680" operator="equal">
      <formula>"+"</formula>
    </cfRule>
  </conditionalFormatting>
  <conditionalFormatting sqref="AB40:AB42">
    <cfRule type="cellIs" dxfId="1481" priority="1677" operator="equal">
      <formula>"-"</formula>
    </cfRule>
    <cfRule type="cellIs" dxfId="1480" priority="1678" operator="equal">
      <formula>"+"</formula>
    </cfRule>
  </conditionalFormatting>
  <conditionalFormatting sqref="AC40">
    <cfRule type="cellIs" dxfId="1479" priority="1675" operator="equal">
      <formula>"-"</formula>
    </cfRule>
    <cfRule type="cellIs" dxfId="1478" priority="1676" operator="equal">
      <formula>"+"</formula>
    </cfRule>
  </conditionalFormatting>
  <conditionalFormatting sqref="AC41">
    <cfRule type="cellIs" dxfId="1477" priority="1673" operator="equal">
      <formula>"-"</formula>
    </cfRule>
    <cfRule type="cellIs" dxfId="1476" priority="1674" operator="equal">
      <formula>"+"</formula>
    </cfRule>
  </conditionalFormatting>
  <conditionalFormatting sqref="AC42">
    <cfRule type="cellIs" dxfId="1475" priority="1671" operator="equal">
      <formula>"-"</formula>
    </cfRule>
    <cfRule type="cellIs" dxfId="1474" priority="1672" operator="equal">
      <formula>"+"</formula>
    </cfRule>
  </conditionalFormatting>
  <conditionalFormatting sqref="AB43:AB45">
    <cfRule type="cellIs" dxfId="1473" priority="1669" operator="equal">
      <formula>"-"</formula>
    </cfRule>
    <cfRule type="cellIs" dxfId="1472" priority="1670" operator="equal">
      <formula>"+"</formula>
    </cfRule>
  </conditionalFormatting>
  <conditionalFormatting sqref="AC43">
    <cfRule type="cellIs" dxfId="1471" priority="1667" operator="equal">
      <formula>"-"</formula>
    </cfRule>
    <cfRule type="cellIs" dxfId="1470" priority="1668" operator="equal">
      <formula>"+"</formula>
    </cfRule>
  </conditionalFormatting>
  <conditionalFormatting sqref="AC44">
    <cfRule type="cellIs" dxfId="1469" priority="1665" operator="equal">
      <formula>"-"</formula>
    </cfRule>
    <cfRule type="cellIs" dxfId="1468" priority="1666" operator="equal">
      <formula>"+"</formula>
    </cfRule>
  </conditionalFormatting>
  <conditionalFormatting sqref="AC45">
    <cfRule type="cellIs" dxfId="1467" priority="1663" operator="equal">
      <formula>"-"</formula>
    </cfRule>
    <cfRule type="cellIs" dxfId="1466" priority="1664" operator="equal">
      <formula>"+"</formula>
    </cfRule>
  </conditionalFormatting>
  <conditionalFormatting sqref="AB53:AB55">
    <cfRule type="cellIs" dxfId="1465" priority="1661" operator="equal">
      <formula>"-"</formula>
    </cfRule>
    <cfRule type="cellIs" dxfId="1464" priority="1662" operator="equal">
      <formula>"+"</formula>
    </cfRule>
  </conditionalFormatting>
  <conditionalFormatting sqref="AC53">
    <cfRule type="cellIs" dxfId="1463" priority="1659" operator="equal">
      <formula>"-"</formula>
    </cfRule>
    <cfRule type="cellIs" dxfId="1462" priority="1660" operator="equal">
      <formula>"+"</formula>
    </cfRule>
  </conditionalFormatting>
  <conditionalFormatting sqref="AC54">
    <cfRule type="cellIs" dxfId="1461" priority="1657" operator="equal">
      <formula>"-"</formula>
    </cfRule>
    <cfRule type="cellIs" dxfId="1460" priority="1658" operator="equal">
      <formula>"+"</formula>
    </cfRule>
  </conditionalFormatting>
  <conditionalFormatting sqref="AC55">
    <cfRule type="cellIs" dxfId="1459" priority="1655" operator="equal">
      <formula>"-"</formula>
    </cfRule>
    <cfRule type="cellIs" dxfId="1458" priority="1656" operator="equal">
      <formula>"+"</formula>
    </cfRule>
  </conditionalFormatting>
  <conditionalFormatting sqref="AB56:AB58">
    <cfRule type="cellIs" dxfId="1457" priority="1653" operator="equal">
      <formula>"-"</formula>
    </cfRule>
    <cfRule type="cellIs" dxfId="1456" priority="1654" operator="equal">
      <formula>"+"</formula>
    </cfRule>
  </conditionalFormatting>
  <conditionalFormatting sqref="AC56">
    <cfRule type="cellIs" dxfId="1455" priority="1651" operator="equal">
      <formula>"-"</formula>
    </cfRule>
    <cfRule type="cellIs" dxfId="1454" priority="1652" operator="equal">
      <formula>"+"</formula>
    </cfRule>
  </conditionalFormatting>
  <conditionalFormatting sqref="AC57">
    <cfRule type="cellIs" dxfId="1453" priority="1649" operator="equal">
      <formula>"-"</formula>
    </cfRule>
    <cfRule type="cellIs" dxfId="1452" priority="1650" operator="equal">
      <formula>"+"</formula>
    </cfRule>
  </conditionalFormatting>
  <conditionalFormatting sqref="AC58">
    <cfRule type="cellIs" dxfId="1451" priority="1647" operator="equal">
      <formula>"-"</formula>
    </cfRule>
    <cfRule type="cellIs" dxfId="1450" priority="1648" operator="equal">
      <formula>"+"</formula>
    </cfRule>
  </conditionalFormatting>
  <conditionalFormatting sqref="AB46:AB52">
    <cfRule type="cellIs" dxfId="1449" priority="1645" operator="equal">
      <formula>"-"</formula>
    </cfRule>
    <cfRule type="cellIs" dxfId="1448" priority="1646" operator="equal">
      <formula>"+"</formula>
    </cfRule>
  </conditionalFormatting>
  <conditionalFormatting sqref="AC46">
    <cfRule type="cellIs" dxfId="1447" priority="1643" operator="equal">
      <formula>"-"</formula>
    </cfRule>
    <cfRule type="cellIs" dxfId="1446" priority="1644" operator="equal">
      <formula>"+"</formula>
    </cfRule>
  </conditionalFormatting>
  <conditionalFormatting sqref="AC47">
    <cfRule type="cellIs" dxfId="1445" priority="1641" operator="equal">
      <formula>"-"</formula>
    </cfRule>
    <cfRule type="cellIs" dxfId="1444" priority="1642" operator="equal">
      <formula>"+"</formula>
    </cfRule>
  </conditionalFormatting>
  <conditionalFormatting sqref="AC51">
    <cfRule type="cellIs" dxfId="1443" priority="1639" operator="equal">
      <formula>"-"</formula>
    </cfRule>
    <cfRule type="cellIs" dxfId="1442" priority="1640" operator="equal">
      <formula>"+"</formula>
    </cfRule>
  </conditionalFormatting>
  <conditionalFormatting sqref="AC52">
    <cfRule type="cellIs" dxfId="1441" priority="1637" operator="equal">
      <formula>"-"</formula>
    </cfRule>
    <cfRule type="cellIs" dxfId="1440" priority="1638" operator="equal">
      <formula>"+"</formula>
    </cfRule>
  </conditionalFormatting>
  <conditionalFormatting sqref="AC48">
    <cfRule type="cellIs" dxfId="1439" priority="1635" operator="equal">
      <formula>"-"</formula>
    </cfRule>
    <cfRule type="cellIs" dxfId="1438" priority="1636" operator="equal">
      <formula>"+"</formula>
    </cfRule>
  </conditionalFormatting>
  <conditionalFormatting sqref="AC49">
    <cfRule type="cellIs" dxfId="1437" priority="1633" operator="equal">
      <formula>"-"</formula>
    </cfRule>
    <cfRule type="cellIs" dxfId="1436" priority="1634" operator="equal">
      <formula>"+"</formula>
    </cfRule>
  </conditionalFormatting>
  <conditionalFormatting sqref="AC50">
    <cfRule type="cellIs" dxfId="1435" priority="1631" operator="equal">
      <formula>"-"</formula>
    </cfRule>
    <cfRule type="cellIs" dxfId="1434" priority="1632" operator="equal">
      <formula>"+"</formula>
    </cfRule>
  </conditionalFormatting>
  <conditionalFormatting sqref="AC60">
    <cfRule type="cellIs" dxfId="1433" priority="1629" operator="equal">
      <formula>"-"</formula>
    </cfRule>
    <cfRule type="cellIs" dxfId="1432" priority="1630" operator="equal">
      <formula>"+"</formula>
    </cfRule>
  </conditionalFormatting>
  <conditionalFormatting sqref="AC70">
    <cfRule type="cellIs" dxfId="1431" priority="1627" operator="equal">
      <formula>"-"</formula>
    </cfRule>
    <cfRule type="cellIs" dxfId="1430" priority="1628" operator="equal">
      <formula>"+"</formula>
    </cfRule>
  </conditionalFormatting>
  <conditionalFormatting sqref="AC72">
    <cfRule type="cellIs" dxfId="1429" priority="1625" operator="equal">
      <formula>"-"</formula>
    </cfRule>
    <cfRule type="cellIs" dxfId="1428" priority="1626" operator="equal">
      <formula>"+"</formula>
    </cfRule>
  </conditionalFormatting>
  <conditionalFormatting sqref="AC61">
    <cfRule type="cellIs" dxfId="1427" priority="1621" operator="equal">
      <formula>"-"</formula>
    </cfRule>
    <cfRule type="cellIs" dxfId="1426" priority="1622" operator="equal">
      <formula>"+"</formula>
    </cfRule>
  </conditionalFormatting>
  <conditionalFormatting sqref="AC71">
    <cfRule type="cellIs" dxfId="1425" priority="1619" operator="equal">
      <formula>"-"</formula>
    </cfRule>
    <cfRule type="cellIs" dxfId="1424" priority="1620" operator="equal">
      <formula>"+"</formula>
    </cfRule>
  </conditionalFormatting>
  <conditionalFormatting sqref="AC73">
    <cfRule type="cellIs" dxfId="1423" priority="1617" operator="equal">
      <formula>"-"</formula>
    </cfRule>
    <cfRule type="cellIs" dxfId="1422" priority="1618" operator="equal">
      <formula>"+"</formula>
    </cfRule>
  </conditionalFormatting>
  <conditionalFormatting sqref="AB60:AB61">
    <cfRule type="cellIs" dxfId="1421" priority="1613" operator="equal">
      <formula>"-"</formula>
    </cfRule>
    <cfRule type="cellIs" dxfId="1420" priority="1614" operator="equal">
      <formula>"+"</formula>
    </cfRule>
  </conditionalFormatting>
  <conditionalFormatting sqref="AB70:AB71">
    <cfRule type="cellIs" dxfId="1419" priority="1611" operator="equal">
      <formula>"-"</formula>
    </cfRule>
    <cfRule type="cellIs" dxfId="1418" priority="1612" operator="equal">
      <formula>"+"</formula>
    </cfRule>
  </conditionalFormatting>
  <conditionalFormatting sqref="AB72:AB73">
    <cfRule type="cellIs" dxfId="1417" priority="1609" operator="equal">
      <formula>"-"</formula>
    </cfRule>
    <cfRule type="cellIs" dxfId="1416" priority="1610" operator="equal">
      <formula>"+"</formula>
    </cfRule>
  </conditionalFormatting>
  <conditionalFormatting sqref="AB62:AB63">
    <cfRule type="cellIs" dxfId="1415" priority="1605" operator="equal">
      <formula>"+"</formula>
    </cfRule>
    <cfRule type="cellIs" dxfId="1414" priority="1606" operator="equal">
      <formula>"-"</formula>
    </cfRule>
  </conditionalFormatting>
  <conditionalFormatting sqref="AC62">
    <cfRule type="cellIs" dxfId="1413" priority="1603" operator="equal">
      <formula>"-"</formula>
    </cfRule>
    <cfRule type="cellIs" dxfId="1412" priority="1604" operator="equal">
      <formula>"+"</formula>
    </cfRule>
  </conditionalFormatting>
  <conditionalFormatting sqref="AB87:AB94">
    <cfRule type="cellIs" dxfId="1411" priority="1567" operator="equal">
      <formula>"-"</formula>
    </cfRule>
    <cfRule type="cellIs" dxfId="1410" priority="1568" operator="equal">
      <formula>"+"</formula>
    </cfRule>
  </conditionalFormatting>
  <conditionalFormatting sqref="AB64:AB65">
    <cfRule type="cellIs" dxfId="1409" priority="1599" operator="equal">
      <formula>"+"</formula>
    </cfRule>
    <cfRule type="cellIs" dxfId="1408" priority="1600" operator="equal">
      <formula>"-"</formula>
    </cfRule>
  </conditionalFormatting>
  <conditionalFormatting sqref="AC64">
    <cfRule type="cellIs" dxfId="1407" priority="1597" operator="equal">
      <formula>"-"</formula>
    </cfRule>
    <cfRule type="cellIs" dxfId="1406" priority="1598" operator="equal">
      <formula>"+"</formula>
    </cfRule>
  </conditionalFormatting>
  <conditionalFormatting sqref="AC65">
    <cfRule type="cellIs" dxfId="1405" priority="1595" operator="equal">
      <formula>"-"</formula>
    </cfRule>
    <cfRule type="cellIs" dxfId="1404" priority="1596" operator="equal">
      <formula>"+"</formula>
    </cfRule>
  </conditionalFormatting>
  <conditionalFormatting sqref="AB66:AB67">
    <cfRule type="cellIs" dxfId="1403" priority="1593" operator="equal">
      <formula>"+"</formula>
    </cfRule>
    <cfRule type="cellIs" dxfId="1402" priority="1594" operator="equal">
      <formula>"-"</formula>
    </cfRule>
  </conditionalFormatting>
  <conditionalFormatting sqref="AC66">
    <cfRule type="cellIs" dxfId="1401" priority="1591" operator="equal">
      <formula>"-"</formula>
    </cfRule>
    <cfRule type="cellIs" dxfId="1400" priority="1592" operator="equal">
      <formula>"+"</formula>
    </cfRule>
  </conditionalFormatting>
  <conditionalFormatting sqref="AC67">
    <cfRule type="cellIs" dxfId="1399" priority="1589" operator="equal">
      <formula>"-"</formula>
    </cfRule>
    <cfRule type="cellIs" dxfId="1398" priority="1590" operator="equal">
      <formula>"+"</formula>
    </cfRule>
  </conditionalFormatting>
  <conditionalFormatting sqref="AB68:AB69">
    <cfRule type="cellIs" dxfId="1397" priority="1587" operator="equal">
      <formula>"+"</formula>
    </cfRule>
    <cfRule type="cellIs" dxfId="1396" priority="1588" operator="equal">
      <formula>"-"</formula>
    </cfRule>
  </conditionalFormatting>
  <conditionalFormatting sqref="AC68">
    <cfRule type="cellIs" dxfId="1395" priority="1585" operator="equal">
      <formula>"-"</formula>
    </cfRule>
    <cfRule type="cellIs" dxfId="1394" priority="1586" operator="equal">
      <formula>"+"</formula>
    </cfRule>
  </conditionalFormatting>
  <conditionalFormatting sqref="AC69">
    <cfRule type="cellIs" dxfId="1393" priority="1583" operator="equal">
      <formula>"-"</formula>
    </cfRule>
    <cfRule type="cellIs" dxfId="1392" priority="1584" operator="equal">
      <formula>"+"</formula>
    </cfRule>
  </conditionalFormatting>
  <conditionalFormatting sqref="AB77:AB78">
    <cfRule type="cellIs" dxfId="1391" priority="1581" operator="equal">
      <formula>"+"</formula>
    </cfRule>
    <cfRule type="cellIs" dxfId="1390" priority="1582" operator="equal">
      <formula>"-"</formula>
    </cfRule>
  </conditionalFormatting>
  <conditionalFormatting sqref="AC77">
    <cfRule type="cellIs" dxfId="1389" priority="1579" operator="equal">
      <formula>"-"</formula>
    </cfRule>
    <cfRule type="cellIs" dxfId="1388" priority="1580" operator="equal">
      <formula>"+"</formula>
    </cfRule>
  </conditionalFormatting>
  <conditionalFormatting sqref="AC78">
    <cfRule type="cellIs" dxfId="1387" priority="1577" operator="equal">
      <formula>"-"</formula>
    </cfRule>
    <cfRule type="cellIs" dxfId="1386" priority="1578" operator="equal">
      <formula>"+"</formula>
    </cfRule>
  </conditionalFormatting>
  <conditionalFormatting sqref="AB80:AB83">
    <cfRule type="cellIs" dxfId="1385" priority="1575" operator="equal">
      <formula>"-"</formula>
    </cfRule>
    <cfRule type="cellIs" dxfId="1384" priority="1576" operator="equal">
      <formula>"+"</formula>
    </cfRule>
  </conditionalFormatting>
  <conditionalFormatting sqref="AC80">
    <cfRule type="cellIs" dxfId="1383" priority="1573" operator="equal">
      <formula>"-"</formula>
    </cfRule>
    <cfRule type="cellIs" dxfId="1382" priority="1574" operator="equal">
      <formula>"+"</formula>
    </cfRule>
  </conditionalFormatting>
  <conditionalFormatting sqref="AC81:AC82">
    <cfRule type="cellIs" dxfId="1381" priority="1571" operator="equal">
      <formula>"-"</formula>
    </cfRule>
    <cfRule type="cellIs" dxfId="1380" priority="1572" operator="equal">
      <formula>"+"</formula>
    </cfRule>
  </conditionalFormatting>
  <conditionalFormatting sqref="AC83">
    <cfRule type="cellIs" dxfId="1379" priority="1569" operator="equal">
      <formula>"-"</formula>
    </cfRule>
    <cfRule type="cellIs" dxfId="1378" priority="1570" operator="equal">
      <formula>"+"</formula>
    </cfRule>
  </conditionalFormatting>
  <conditionalFormatting sqref="AC87">
    <cfRule type="cellIs" dxfId="1377" priority="1565" operator="equal">
      <formula>"-"</formula>
    </cfRule>
    <cfRule type="cellIs" dxfId="1376" priority="1566" operator="equal">
      <formula>"+"</formula>
    </cfRule>
  </conditionalFormatting>
  <conditionalFormatting sqref="AC89:AC90">
    <cfRule type="cellIs" dxfId="1375" priority="1563" operator="equal">
      <formula>"-"</formula>
    </cfRule>
    <cfRule type="cellIs" dxfId="1374" priority="1564" operator="equal">
      <formula>"+"</formula>
    </cfRule>
  </conditionalFormatting>
  <conditionalFormatting sqref="AC94">
    <cfRule type="cellIs" dxfId="1373" priority="1561" operator="equal">
      <formula>"-"</formula>
    </cfRule>
    <cfRule type="cellIs" dxfId="1372" priority="1562" operator="equal">
      <formula>"+"</formula>
    </cfRule>
  </conditionalFormatting>
  <conditionalFormatting sqref="AB95:AB100">
    <cfRule type="cellIs" dxfId="1371" priority="1559" operator="equal">
      <formula>"-"</formula>
    </cfRule>
    <cfRule type="cellIs" dxfId="1370" priority="1560" operator="equal">
      <formula>"+"</formula>
    </cfRule>
  </conditionalFormatting>
  <conditionalFormatting sqref="AC95">
    <cfRule type="cellIs" dxfId="1369" priority="1557" operator="equal">
      <formula>"-"</formula>
    </cfRule>
    <cfRule type="cellIs" dxfId="1368" priority="1558" operator="equal">
      <formula>"+"</formula>
    </cfRule>
  </conditionalFormatting>
  <conditionalFormatting sqref="AC96:AC99">
    <cfRule type="cellIs" dxfId="1367" priority="1555" operator="equal">
      <formula>"-"</formula>
    </cfRule>
    <cfRule type="cellIs" dxfId="1366" priority="1556" operator="equal">
      <formula>"+"</formula>
    </cfRule>
  </conditionalFormatting>
  <conditionalFormatting sqref="AC100">
    <cfRule type="cellIs" dxfId="1365" priority="1553" operator="equal">
      <formula>"-"</formula>
    </cfRule>
    <cfRule type="cellIs" dxfId="1364" priority="1554" operator="equal">
      <formula>"+"</formula>
    </cfRule>
  </conditionalFormatting>
  <conditionalFormatting sqref="AB84:AB86">
    <cfRule type="cellIs" dxfId="1363" priority="1551" operator="equal">
      <formula>"-"</formula>
    </cfRule>
    <cfRule type="cellIs" dxfId="1362" priority="1552" operator="equal">
      <formula>"+"</formula>
    </cfRule>
  </conditionalFormatting>
  <conditionalFormatting sqref="AC84">
    <cfRule type="cellIs" dxfId="1361" priority="1549" operator="equal">
      <formula>"-"</formula>
    </cfRule>
    <cfRule type="cellIs" dxfId="1360" priority="1550" operator="equal">
      <formula>"+"</formula>
    </cfRule>
  </conditionalFormatting>
  <conditionalFormatting sqref="AC85">
    <cfRule type="cellIs" dxfId="1359" priority="1547" operator="equal">
      <formula>"-"</formula>
    </cfRule>
    <cfRule type="cellIs" dxfId="1358" priority="1548" operator="equal">
      <formula>"+"</formula>
    </cfRule>
  </conditionalFormatting>
  <conditionalFormatting sqref="AC86">
    <cfRule type="cellIs" dxfId="1357" priority="1545" operator="equal">
      <formula>"-"</formula>
    </cfRule>
    <cfRule type="cellIs" dxfId="1356" priority="1546" operator="equal">
      <formula>"+"</formula>
    </cfRule>
  </conditionalFormatting>
  <conditionalFormatting sqref="AB101:AB103">
    <cfRule type="cellIs" dxfId="1355" priority="1543" operator="equal">
      <formula>"-"</formula>
    </cfRule>
    <cfRule type="cellIs" dxfId="1354" priority="1544" operator="equal">
      <formula>"+"</formula>
    </cfRule>
  </conditionalFormatting>
  <conditionalFormatting sqref="AC101">
    <cfRule type="cellIs" dxfId="1353" priority="1541" operator="equal">
      <formula>"-"</formula>
    </cfRule>
    <cfRule type="cellIs" dxfId="1352" priority="1542" operator="equal">
      <formula>"+"</formula>
    </cfRule>
  </conditionalFormatting>
  <conditionalFormatting sqref="AC102">
    <cfRule type="cellIs" dxfId="1351" priority="1539" operator="equal">
      <formula>"-"</formula>
    </cfRule>
    <cfRule type="cellIs" dxfId="1350" priority="1540" operator="equal">
      <formula>"+"</formula>
    </cfRule>
  </conditionalFormatting>
  <conditionalFormatting sqref="AC103">
    <cfRule type="cellIs" dxfId="1349" priority="1537" operator="equal">
      <formula>"-"</formula>
    </cfRule>
    <cfRule type="cellIs" dxfId="1348" priority="1538" operator="equal">
      <formula>"+"</formula>
    </cfRule>
  </conditionalFormatting>
  <conditionalFormatting sqref="AE6:AE8">
    <cfRule type="cellIs" dxfId="1347" priority="1535" operator="equal">
      <formula>"-"</formula>
    </cfRule>
    <cfRule type="cellIs" dxfId="1346" priority="1536" operator="equal">
      <formula>"+"</formula>
    </cfRule>
  </conditionalFormatting>
  <conditionalFormatting sqref="AF6">
    <cfRule type="cellIs" dxfId="1345" priority="1533" operator="equal">
      <formula>"-"</formula>
    </cfRule>
    <cfRule type="cellIs" dxfId="1344" priority="1534" operator="equal">
      <formula>"+"</formula>
    </cfRule>
  </conditionalFormatting>
  <conditionalFormatting sqref="AF7">
    <cfRule type="cellIs" dxfId="1343" priority="1531" operator="equal">
      <formula>"-"</formula>
    </cfRule>
    <cfRule type="cellIs" dxfId="1342" priority="1532" operator="equal">
      <formula>"+"</formula>
    </cfRule>
  </conditionalFormatting>
  <conditionalFormatting sqref="AF8">
    <cfRule type="cellIs" dxfId="1341" priority="1529" operator="equal">
      <formula>"-"</formula>
    </cfRule>
    <cfRule type="cellIs" dxfId="1340" priority="1530" operator="equal">
      <formula>"+"</formula>
    </cfRule>
  </conditionalFormatting>
  <conditionalFormatting sqref="AE9:AE11">
    <cfRule type="cellIs" dxfId="1339" priority="1527" operator="equal">
      <formula>"-"</formula>
    </cfRule>
    <cfRule type="cellIs" dxfId="1338" priority="1528" operator="equal">
      <formula>"+"</formula>
    </cfRule>
  </conditionalFormatting>
  <conditionalFormatting sqref="AF9">
    <cfRule type="cellIs" dxfId="1337" priority="1525" operator="equal">
      <formula>"-"</formula>
    </cfRule>
    <cfRule type="cellIs" dxfId="1336" priority="1526" operator="equal">
      <formula>"+"</formula>
    </cfRule>
  </conditionalFormatting>
  <conditionalFormatting sqref="AF10">
    <cfRule type="cellIs" dxfId="1335" priority="1523" operator="equal">
      <formula>"-"</formula>
    </cfRule>
    <cfRule type="cellIs" dxfId="1334" priority="1524" operator="equal">
      <formula>"+"</formula>
    </cfRule>
  </conditionalFormatting>
  <conditionalFormatting sqref="AF11">
    <cfRule type="cellIs" dxfId="1333" priority="1521" operator="equal">
      <formula>"-"</formula>
    </cfRule>
    <cfRule type="cellIs" dxfId="1332" priority="1522" operator="equal">
      <formula>"+"</formula>
    </cfRule>
  </conditionalFormatting>
  <conditionalFormatting sqref="AE12:AE14">
    <cfRule type="cellIs" dxfId="1331" priority="1519" operator="equal">
      <formula>"-"</formula>
    </cfRule>
    <cfRule type="cellIs" dxfId="1330" priority="1520" operator="equal">
      <formula>"+"</formula>
    </cfRule>
  </conditionalFormatting>
  <conditionalFormatting sqref="AF12">
    <cfRule type="cellIs" dxfId="1329" priority="1517" operator="equal">
      <formula>"-"</formula>
    </cfRule>
    <cfRule type="cellIs" dxfId="1328" priority="1518" operator="equal">
      <formula>"+"</formula>
    </cfRule>
  </conditionalFormatting>
  <conditionalFormatting sqref="AF13">
    <cfRule type="cellIs" dxfId="1327" priority="1515" operator="equal">
      <formula>"-"</formula>
    </cfRule>
    <cfRule type="cellIs" dxfId="1326" priority="1516" operator="equal">
      <formula>"+"</formula>
    </cfRule>
  </conditionalFormatting>
  <conditionalFormatting sqref="AF14">
    <cfRule type="cellIs" dxfId="1325" priority="1513" operator="equal">
      <formula>"-"</formula>
    </cfRule>
    <cfRule type="cellIs" dxfId="1324" priority="1514" operator="equal">
      <formula>"+"</formula>
    </cfRule>
  </conditionalFormatting>
  <conditionalFormatting sqref="AF15">
    <cfRule type="cellIs" dxfId="1323" priority="1511" operator="equal">
      <formula>"-"</formula>
    </cfRule>
    <cfRule type="cellIs" dxfId="1322" priority="1512" operator="equal">
      <formula>"+"</formula>
    </cfRule>
  </conditionalFormatting>
  <conditionalFormatting sqref="AF16:AF17">
    <cfRule type="cellIs" dxfId="1321" priority="1509" operator="equal">
      <formula>"-"</formula>
    </cfRule>
    <cfRule type="cellIs" dxfId="1320" priority="1510" operator="equal">
      <formula>"+"</formula>
    </cfRule>
  </conditionalFormatting>
  <conditionalFormatting sqref="AF18">
    <cfRule type="cellIs" dxfId="1319" priority="1507" operator="equal">
      <formula>"-"</formula>
    </cfRule>
    <cfRule type="cellIs" dxfId="1318" priority="1508" operator="equal">
      <formula>"+"</formula>
    </cfRule>
  </conditionalFormatting>
  <conditionalFormatting sqref="AE19:AE21">
    <cfRule type="cellIs" dxfId="1317" priority="1505" operator="equal">
      <formula>"-"</formula>
    </cfRule>
    <cfRule type="cellIs" dxfId="1316" priority="1506" operator="equal">
      <formula>"+"</formula>
    </cfRule>
  </conditionalFormatting>
  <conditionalFormatting sqref="AF19">
    <cfRule type="cellIs" dxfId="1315" priority="1503" operator="equal">
      <formula>"-"</formula>
    </cfRule>
    <cfRule type="cellIs" dxfId="1314" priority="1504" operator="equal">
      <formula>"+"</formula>
    </cfRule>
  </conditionalFormatting>
  <conditionalFormatting sqref="AF20">
    <cfRule type="cellIs" dxfId="1313" priority="1501" operator="equal">
      <formula>"-"</formula>
    </cfRule>
    <cfRule type="cellIs" dxfId="1312" priority="1502" operator="equal">
      <formula>"+"</formula>
    </cfRule>
  </conditionalFormatting>
  <conditionalFormatting sqref="AF21">
    <cfRule type="cellIs" dxfId="1311" priority="1499" operator="equal">
      <formula>"-"</formula>
    </cfRule>
    <cfRule type="cellIs" dxfId="1310" priority="1500" operator="equal">
      <formula>"+"</formula>
    </cfRule>
  </conditionalFormatting>
  <conditionalFormatting sqref="AE22:AE24">
    <cfRule type="cellIs" dxfId="1309" priority="1497" operator="equal">
      <formula>"-"</formula>
    </cfRule>
    <cfRule type="cellIs" dxfId="1308" priority="1498" operator="equal">
      <formula>"+"</formula>
    </cfRule>
  </conditionalFormatting>
  <conditionalFormatting sqref="AF22">
    <cfRule type="cellIs" dxfId="1307" priority="1495" operator="equal">
      <formula>"-"</formula>
    </cfRule>
    <cfRule type="cellIs" dxfId="1306" priority="1496" operator="equal">
      <formula>"+"</formula>
    </cfRule>
  </conditionalFormatting>
  <conditionalFormatting sqref="AF23">
    <cfRule type="cellIs" dxfId="1305" priority="1493" operator="equal">
      <formula>"-"</formula>
    </cfRule>
    <cfRule type="cellIs" dxfId="1304" priority="1494" operator="equal">
      <formula>"+"</formula>
    </cfRule>
  </conditionalFormatting>
  <conditionalFormatting sqref="AF24">
    <cfRule type="cellIs" dxfId="1303" priority="1491" operator="equal">
      <formula>"-"</formula>
    </cfRule>
    <cfRule type="cellIs" dxfId="1302" priority="1492" operator="equal">
      <formula>"+"</formula>
    </cfRule>
  </conditionalFormatting>
  <conditionalFormatting sqref="AE25:AE27">
    <cfRule type="cellIs" dxfId="1301" priority="1489" operator="equal">
      <formula>"-"</formula>
    </cfRule>
    <cfRule type="cellIs" dxfId="1300" priority="1490" operator="equal">
      <formula>"+"</formula>
    </cfRule>
  </conditionalFormatting>
  <conditionalFormatting sqref="AF25">
    <cfRule type="cellIs" dxfId="1299" priority="1487" operator="equal">
      <formula>"-"</formula>
    </cfRule>
    <cfRule type="cellIs" dxfId="1298" priority="1488" operator="equal">
      <formula>"+"</formula>
    </cfRule>
  </conditionalFormatting>
  <conditionalFormatting sqref="AF26">
    <cfRule type="cellIs" dxfId="1297" priority="1485" operator="equal">
      <formula>"-"</formula>
    </cfRule>
    <cfRule type="cellIs" dxfId="1296" priority="1486" operator="equal">
      <formula>"+"</formula>
    </cfRule>
  </conditionalFormatting>
  <conditionalFormatting sqref="AF27">
    <cfRule type="cellIs" dxfId="1295" priority="1483" operator="equal">
      <formula>"-"</formula>
    </cfRule>
    <cfRule type="cellIs" dxfId="1294" priority="1484" operator="equal">
      <formula>"+"</formula>
    </cfRule>
  </conditionalFormatting>
  <conditionalFormatting sqref="AE28:AE30">
    <cfRule type="cellIs" dxfId="1293" priority="1481" operator="equal">
      <formula>"-"</formula>
    </cfRule>
    <cfRule type="cellIs" dxfId="1292" priority="1482" operator="equal">
      <formula>"+"</formula>
    </cfRule>
  </conditionalFormatting>
  <conditionalFormatting sqref="AF28">
    <cfRule type="cellIs" dxfId="1291" priority="1479" operator="equal">
      <formula>"-"</formula>
    </cfRule>
    <cfRule type="cellIs" dxfId="1290" priority="1480" operator="equal">
      <formula>"+"</formula>
    </cfRule>
  </conditionalFormatting>
  <conditionalFormatting sqref="AF29">
    <cfRule type="cellIs" dxfId="1289" priority="1477" operator="equal">
      <formula>"-"</formula>
    </cfRule>
    <cfRule type="cellIs" dxfId="1288" priority="1478" operator="equal">
      <formula>"+"</formula>
    </cfRule>
  </conditionalFormatting>
  <conditionalFormatting sqref="AF30">
    <cfRule type="cellIs" dxfId="1287" priority="1475" operator="equal">
      <formula>"-"</formula>
    </cfRule>
    <cfRule type="cellIs" dxfId="1286" priority="1476" operator="equal">
      <formula>"+"</formula>
    </cfRule>
  </conditionalFormatting>
  <conditionalFormatting sqref="AE31:AE33">
    <cfRule type="cellIs" dxfId="1285" priority="1473" operator="equal">
      <formula>"-"</formula>
    </cfRule>
    <cfRule type="cellIs" dxfId="1284" priority="1474" operator="equal">
      <formula>"+"</formula>
    </cfRule>
  </conditionalFormatting>
  <conditionalFormatting sqref="AF31">
    <cfRule type="cellIs" dxfId="1283" priority="1471" operator="equal">
      <formula>"-"</formula>
    </cfRule>
    <cfRule type="cellIs" dxfId="1282" priority="1472" operator="equal">
      <formula>"+"</formula>
    </cfRule>
  </conditionalFormatting>
  <conditionalFormatting sqref="AF32">
    <cfRule type="cellIs" dxfId="1281" priority="1469" operator="equal">
      <formula>"-"</formula>
    </cfRule>
    <cfRule type="cellIs" dxfId="1280" priority="1470" operator="equal">
      <formula>"+"</formula>
    </cfRule>
  </conditionalFormatting>
  <conditionalFormatting sqref="AF33">
    <cfRule type="cellIs" dxfId="1279" priority="1467" operator="equal">
      <formula>"-"</formula>
    </cfRule>
    <cfRule type="cellIs" dxfId="1278" priority="1468" operator="equal">
      <formula>"+"</formula>
    </cfRule>
  </conditionalFormatting>
  <conditionalFormatting sqref="AE34:AE36">
    <cfRule type="cellIs" dxfId="1277" priority="1465" operator="equal">
      <formula>"-"</formula>
    </cfRule>
    <cfRule type="cellIs" dxfId="1276" priority="1466" operator="equal">
      <formula>"+"</formula>
    </cfRule>
  </conditionalFormatting>
  <conditionalFormatting sqref="AF34">
    <cfRule type="cellIs" dxfId="1275" priority="1463" operator="equal">
      <formula>"-"</formula>
    </cfRule>
    <cfRule type="cellIs" dxfId="1274" priority="1464" operator="equal">
      <formula>"+"</formula>
    </cfRule>
  </conditionalFormatting>
  <conditionalFormatting sqref="AF35">
    <cfRule type="cellIs" dxfId="1273" priority="1461" operator="equal">
      <formula>"-"</formula>
    </cfRule>
    <cfRule type="cellIs" dxfId="1272" priority="1462" operator="equal">
      <formula>"+"</formula>
    </cfRule>
  </conditionalFormatting>
  <conditionalFormatting sqref="AF36">
    <cfRule type="cellIs" dxfId="1271" priority="1459" operator="equal">
      <formula>"-"</formula>
    </cfRule>
    <cfRule type="cellIs" dxfId="1270" priority="1460" operator="equal">
      <formula>"+"</formula>
    </cfRule>
  </conditionalFormatting>
  <conditionalFormatting sqref="AE37:AE39">
    <cfRule type="cellIs" dxfId="1269" priority="1457" operator="equal">
      <formula>"-"</formula>
    </cfRule>
    <cfRule type="cellIs" dxfId="1268" priority="1458" operator="equal">
      <formula>"+"</formula>
    </cfRule>
  </conditionalFormatting>
  <conditionalFormatting sqref="AF37">
    <cfRule type="cellIs" dxfId="1267" priority="1455" operator="equal">
      <formula>"-"</formula>
    </cfRule>
    <cfRule type="cellIs" dxfId="1266" priority="1456" operator="equal">
      <formula>"+"</formula>
    </cfRule>
  </conditionalFormatting>
  <conditionalFormatting sqref="AF38">
    <cfRule type="cellIs" dxfId="1265" priority="1453" operator="equal">
      <formula>"-"</formula>
    </cfRule>
    <cfRule type="cellIs" dxfId="1264" priority="1454" operator="equal">
      <formula>"+"</formula>
    </cfRule>
  </conditionalFormatting>
  <conditionalFormatting sqref="AF39">
    <cfRule type="cellIs" dxfId="1263" priority="1451" operator="equal">
      <formula>"-"</formula>
    </cfRule>
    <cfRule type="cellIs" dxfId="1262" priority="1452" operator="equal">
      <formula>"+"</formula>
    </cfRule>
  </conditionalFormatting>
  <conditionalFormatting sqref="AE40:AE42">
    <cfRule type="cellIs" dxfId="1261" priority="1449" operator="equal">
      <formula>"-"</formula>
    </cfRule>
    <cfRule type="cellIs" dxfId="1260" priority="1450" operator="equal">
      <formula>"+"</formula>
    </cfRule>
  </conditionalFormatting>
  <conditionalFormatting sqref="AF40">
    <cfRule type="cellIs" dxfId="1259" priority="1447" operator="equal">
      <formula>"-"</formula>
    </cfRule>
    <cfRule type="cellIs" dxfId="1258" priority="1448" operator="equal">
      <formula>"+"</formula>
    </cfRule>
  </conditionalFormatting>
  <conditionalFormatting sqref="AF41">
    <cfRule type="cellIs" dxfId="1257" priority="1445" operator="equal">
      <formula>"-"</formula>
    </cfRule>
    <cfRule type="cellIs" dxfId="1256" priority="1446" operator="equal">
      <formula>"+"</formula>
    </cfRule>
  </conditionalFormatting>
  <conditionalFormatting sqref="AF42">
    <cfRule type="cellIs" dxfId="1255" priority="1443" operator="equal">
      <formula>"-"</formula>
    </cfRule>
    <cfRule type="cellIs" dxfId="1254" priority="1444" operator="equal">
      <formula>"+"</formula>
    </cfRule>
  </conditionalFormatting>
  <conditionalFormatting sqref="AE43:AE45">
    <cfRule type="cellIs" dxfId="1253" priority="1441" operator="equal">
      <formula>"-"</formula>
    </cfRule>
    <cfRule type="cellIs" dxfId="1252" priority="1442" operator="equal">
      <formula>"+"</formula>
    </cfRule>
  </conditionalFormatting>
  <conditionalFormatting sqref="AF43">
    <cfRule type="cellIs" dxfId="1251" priority="1439" operator="equal">
      <formula>"-"</formula>
    </cfRule>
    <cfRule type="cellIs" dxfId="1250" priority="1440" operator="equal">
      <formula>"+"</formula>
    </cfRule>
  </conditionalFormatting>
  <conditionalFormatting sqref="AF44">
    <cfRule type="cellIs" dxfId="1249" priority="1437" operator="equal">
      <formula>"-"</formula>
    </cfRule>
    <cfRule type="cellIs" dxfId="1248" priority="1438" operator="equal">
      <formula>"+"</formula>
    </cfRule>
  </conditionalFormatting>
  <conditionalFormatting sqref="AF45">
    <cfRule type="cellIs" dxfId="1247" priority="1435" operator="equal">
      <formula>"-"</formula>
    </cfRule>
    <cfRule type="cellIs" dxfId="1246" priority="1436" operator="equal">
      <formula>"+"</formula>
    </cfRule>
  </conditionalFormatting>
  <conditionalFormatting sqref="AE53:AE55">
    <cfRule type="cellIs" dxfId="1245" priority="1433" operator="equal">
      <formula>"-"</formula>
    </cfRule>
    <cfRule type="cellIs" dxfId="1244" priority="1434" operator="equal">
      <formula>"+"</formula>
    </cfRule>
  </conditionalFormatting>
  <conditionalFormatting sqref="AF53">
    <cfRule type="cellIs" dxfId="1243" priority="1431" operator="equal">
      <formula>"-"</formula>
    </cfRule>
    <cfRule type="cellIs" dxfId="1242" priority="1432" operator="equal">
      <formula>"+"</formula>
    </cfRule>
  </conditionalFormatting>
  <conditionalFormatting sqref="AF54">
    <cfRule type="cellIs" dxfId="1241" priority="1429" operator="equal">
      <formula>"-"</formula>
    </cfRule>
    <cfRule type="cellIs" dxfId="1240" priority="1430" operator="equal">
      <formula>"+"</formula>
    </cfRule>
  </conditionalFormatting>
  <conditionalFormatting sqref="AF55">
    <cfRule type="cellIs" dxfId="1239" priority="1427" operator="equal">
      <formula>"-"</formula>
    </cfRule>
    <cfRule type="cellIs" dxfId="1238" priority="1428" operator="equal">
      <formula>"+"</formula>
    </cfRule>
  </conditionalFormatting>
  <conditionalFormatting sqref="AE56:AE58">
    <cfRule type="cellIs" dxfId="1237" priority="1425" operator="equal">
      <formula>"-"</formula>
    </cfRule>
    <cfRule type="cellIs" dxfId="1236" priority="1426" operator="equal">
      <formula>"+"</formula>
    </cfRule>
  </conditionalFormatting>
  <conditionalFormatting sqref="AF56">
    <cfRule type="cellIs" dxfId="1235" priority="1423" operator="equal">
      <formula>"-"</formula>
    </cfRule>
    <cfRule type="cellIs" dxfId="1234" priority="1424" operator="equal">
      <formula>"+"</formula>
    </cfRule>
  </conditionalFormatting>
  <conditionalFormatting sqref="AF57">
    <cfRule type="cellIs" dxfId="1233" priority="1421" operator="equal">
      <formula>"-"</formula>
    </cfRule>
    <cfRule type="cellIs" dxfId="1232" priority="1422" operator="equal">
      <formula>"+"</formula>
    </cfRule>
  </conditionalFormatting>
  <conditionalFormatting sqref="AF58">
    <cfRule type="cellIs" dxfId="1231" priority="1419" operator="equal">
      <formula>"-"</formula>
    </cfRule>
    <cfRule type="cellIs" dxfId="1230" priority="1420" operator="equal">
      <formula>"+"</formula>
    </cfRule>
  </conditionalFormatting>
  <conditionalFormatting sqref="AE46:AE52">
    <cfRule type="cellIs" dxfId="1229" priority="1417" operator="equal">
      <formula>"-"</formula>
    </cfRule>
    <cfRule type="cellIs" dxfId="1228" priority="1418" operator="equal">
      <formula>"+"</formula>
    </cfRule>
  </conditionalFormatting>
  <conditionalFormatting sqref="AF46">
    <cfRule type="cellIs" dxfId="1227" priority="1415" operator="equal">
      <formula>"-"</formula>
    </cfRule>
    <cfRule type="cellIs" dxfId="1226" priority="1416" operator="equal">
      <formula>"+"</formula>
    </cfRule>
  </conditionalFormatting>
  <conditionalFormatting sqref="AF47">
    <cfRule type="cellIs" dxfId="1225" priority="1413" operator="equal">
      <formula>"-"</formula>
    </cfRule>
    <cfRule type="cellIs" dxfId="1224" priority="1414" operator="equal">
      <formula>"+"</formula>
    </cfRule>
  </conditionalFormatting>
  <conditionalFormatting sqref="AF51">
    <cfRule type="cellIs" dxfId="1223" priority="1411" operator="equal">
      <formula>"-"</formula>
    </cfRule>
    <cfRule type="cellIs" dxfId="1222" priority="1412" operator="equal">
      <formula>"+"</formula>
    </cfRule>
  </conditionalFormatting>
  <conditionalFormatting sqref="AF52">
    <cfRule type="cellIs" dxfId="1221" priority="1409" operator="equal">
      <formula>"-"</formula>
    </cfRule>
    <cfRule type="cellIs" dxfId="1220" priority="1410" operator="equal">
      <formula>"+"</formula>
    </cfRule>
  </conditionalFormatting>
  <conditionalFormatting sqref="AF48">
    <cfRule type="cellIs" dxfId="1219" priority="1407" operator="equal">
      <formula>"-"</formula>
    </cfRule>
    <cfRule type="cellIs" dxfId="1218" priority="1408" operator="equal">
      <formula>"+"</formula>
    </cfRule>
  </conditionalFormatting>
  <conditionalFormatting sqref="AF49">
    <cfRule type="cellIs" dxfId="1217" priority="1405" operator="equal">
      <formula>"-"</formula>
    </cfRule>
    <cfRule type="cellIs" dxfId="1216" priority="1406" operator="equal">
      <formula>"+"</formula>
    </cfRule>
  </conditionalFormatting>
  <conditionalFormatting sqref="AF50">
    <cfRule type="cellIs" dxfId="1215" priority="1403" operator="equal">
      <formula>"-"</formula>
    </cfRule>
    <cfRule type="cellIs" dxfId="1214" priority="1404" operator="equal">
      <formula>"+"</formula>
    </cfRule>
  </conditionalFormatting>
  <conditionalFormatting sqref="AF60">
    <cfRule type="cellIs" dxfId="1213" priority="1401" operator="equal">
      <formula>"-"</formula>
    </cfRule>
    <cfRule type="cellIs" dxfId="1212" priority="1402" operator="equal">
      <formula>"+"</formula>
    </cfRule>
  </conditionalFormatting>
  <conditionalFormatting sqref="AF70">
    <cfRule type="cellIs" dxfId="1211" priority="1399" operator="equal">
      <formula>"-"</formula>
    </cfRule>
    <cfRule type="cellIs" dxfId="1210" priority="1400" operator="equal">
      <formula>"+"</formula>
    </cfRule>
  </conditionalFormatting>
  <conditionalFormatting sqref="AF72">
    <cfRule type="cellIs" dxfId="1209" priority="1397" operator="equal">
      <formula>"-"</formula>
    </cfRule>
    <cfRule type="cellIs" dxfId="1208" priority="1398" operator="equal">
      <formula>"+"</formula>
    </cfRule>
  </conditionalFormatting>
  <conditionalFormatting sqref="AF61">
    <cfRule type="cellIs" dxfId="1207" priority="1393" operator="equal">
      <formula>"-"</formula>
    </cfRule>
    <cfRule type="cellIs" dxfId="1206" priority="1394" operator="equal">
      <formula>"+"</formula>
    </cfRule>
  </conditionalFormatting>
  <conditionalFormatting sqref="AF71">
    <cfRule type="cellIs" dxfId="1205" priority="1391" operator="equal">
      <formula>"-"</formula>
    </cfRule>
    <cfRule type="cellIs" dxfId="1204" priority="1392" operator="equal">
      <formula>"+"</formula>
    </cfRule>
  </conditionalFormatting>
  <conditionalFormatting sqref="AF73">
    <cfRule type="cellIs" dxfId="1203" priority="1389" operator="equal">
      <formula>"-"</formula>
    </cfRule>
    <cfRule type="cellIs" dxfId="1202" priority="1390" operator="equal">
      <formula>"+"</formula>
    </cfRule>
  </conditionalFormatting>
  <conditionalFormatting sqref="AE60:AE61">
    <cfRule type="cellIs" dxfId="1201" priority="1385" operator="equal">
      <formula>"-"</formula>
    </cfRule>
    <cfRule type="cellIs" dxfId="1200" priority="1386" operator="equal">
      <formula>"+"</formula>
    </cfRule>
  </conditionalFormatting>
  <conditionalFormatting sqref="AE70:AE71">
    <cfRule type="cellIs" dxfId="1199" priority="1383" operator="equal">
      <formula>"-"</formula>
    </cfRule>
    <cfRule type="cellIs" dxfId="1198" priority="1384" operator="equal">
      <formula>"+"</formula>
    </cfRule>
  </conditionalFormatting>
  <conditionalFormatting sqref="AE72:AE73">
    <cfRule type="cellIs" dxfId="1197" priority="1381" operator="equal">
      <formula>"-"</formula>
    </cfRule>
    <cfRule type="cellIs" dxfId="1196" priority="1382" operator="equal">
      <formula>"+"</formula>
    </cfRule>
  </conditionalFormatting>
  <conditionalFormatting sqref="AE62:AE63">
    <cfRule type="cellIs" dxfId="1195" priority="1377" operator="equal">
      <formula>"+"</formula>
    </cfRule>
    <cfRule type="cellIs" dxfId="1194" priority="1378" operator="equal">
      <formula>"-"</formula>
    </cfRule>
  </conditionalFormatting>
  <conditionalFormatting sqref="AF78">
    <cfRule type="cellIs" dxfId="1193" priority="1349" operator="equal">
      <formula>"-"</formula>
    </cfRule>
    <cfRule type="cellIs" dxfId="1192" priority="1350" operator="equal">
      <formula>"+"</formula>
    </cfRule>
  </conditionalFormatting>
  <conditionalFormatting sqref="AF80">
    <cfRule type="cellIs" dxfId="1191" priority="1345" operator="equal">
      <formula>"-"</formula>
    </cfRule>
    <cfRule type="cellIs" dxfId="1190" priority="1346" operator="equal">
      <formula>"+"</formula>
    </cfRule>
  </conditionalFormatting>
  <conditionalFormatting sqref="AE64:AE65">
    <cfRule type="cellIs" dxfId="1189" priority="1371" operator="equal">
      <formula>"+"</formula>
    </cfRule>
    <cfRule type="cellIs" dxfId="1188" priority="1372" operator="equal">
      <formula>"-"</formula>
    </cfRule>
  </conditionalFormatting>
  <conditionalFormatting sqref="AF65">
    <cfRule type="cellIs" dxfId="1187" priority="1367" operator="equal">
      <formula>"-"</formula>
    </cfRule>
    <cfRule type="cellIs" dxfId="1186" priority="1368" operator="equal">
      <formula>"+"</formula>
    </cfRule>
  </conditionalFormatting>
  <conditionalFormatting sqref="AE66:AE67">
    <cfRule type="cellIs" dxfId="1185" priority="1365" operator="equal">
      <formula>"+"</formula>
    </cfRule>
    <cfRule type="cellIs" dxfId="1184" priority="1366" operator="equal">
      <formula>"-"</formula>
    </cfRule>
  </conditionalFormatting>
  <conditionalFormatting sqref="AF66">
    <cfRule type="cellIs" dxfId="1183" priority="1363" operator="equal">
      <formula>"-"</formula>
    </cfRule>
    <cfRule type="cellIs" dxfId="1182" priority="1364" operator="equal">
      <formula>"+"</formula>
    </cfRule>
  </conditionalFormatting>
  <conditionalFormatting sqref="AF67">
    <cfRule type="cellIs" dxfId="1181" priority="1361" operator="equal">
      <formula>"-"</formula>
    </cfRule>
    <cfRule type="cellIs" dxfId="1180" priority="1362" operator="equal">
      <formula>"+"</formula>
    </cfRule>
  </conditionalFormatting>
  <conditionalFormatting sqref="AE68:AE69">
    <cfRule type="cellIs" dxfId="1179" priority="1359" operator="equal">
      <formula>"+"</formula>
    </cfRule>
    <cfRule type="cellIs" dxfId="1178" priority="1360" operator="equal">
      <formula>"-"</formula>
    </cfRule>
  </conditionalFormatting>
  <conditionalFormatting sqref="AF68">
    <cfRule type="cellIs" dxfId="1177" priority="1357" operator="equal">
      <formula>"-"</formula>
    </cfRule>
    <cfRule type="cellIs" dxfId="1176" priority="1358" operator="equal">
      <formula>"+"</formula>
    </cfRule>
  </conditionalFormatting>
  <conditionalFormatting sqref="AF69">
    <cfRule type="cellIs" dxfId="1175" priority="1355" operator="equal">
      <formula>"-"</formula>
    </cfRule>
    <cfRule type="cellIs" dxfId="1174" priority="1356" operator="equal">
      <formula>"+"</formula>
    </cfRule>
  </conditionalFormatting>
  <conditionalFormatting sqref="AE77:AE78">
    <cfRule type="cellIs" dxfId="1173" priority="1353" operator="equal">
      <formula>"+"</formula>
    </cfRule>
    <cfRule type="cellIs" dxfId="1172" priority="1354" operator="equal">
      <formula>"-"</formula>
    </cfRule>
  </conditionalFormatting>
  <conditionalFormatting sqref="AF77">
    <cfRule type="cellIs" dxfId="1171" priority="1351" operator="equal">
      <formula>"-"</formula>
    </cfRule>
    <cfRule type="cellIs" dxfId="1170" priority="1352" operator="equal">
      <formula>"+"</formula>
    </cfRule>
  </conditionalFormatting>
  <conditionalFormatting sqref="AE80:AE83">
    <cfRule type="cellIs" dxfId="1169" priority="1347" operator="equal">
      <formula>"-"</formula>
    </cfRule>
    <cfRule type="cellIs" dxfId="1168" priority="1348" operator="equal">
      <formula>"+"</formula>
    </cfRule>
  </conditionalFormatting>
  <conditionalFormatting sqref="AF81:AF82">
    <cfRule type="cellIs" dxfId="1167" priority="1343" operator="equal">
      <formula>"-"</formula>
    </cfRule>
    <cfRule type="cellIs" dxfId="1166" priority="1344" operator="equal">
      <formula>"+"</formula>
    </cfRule>
  </conditionalFormatting>
  <conditionalFormatting sqref="AF83">
    <cfRule type="cellIs" dxfId="1165" priority="1341" operator="equal">
      <formula>"-"</formula>
    </cfRule>
    <cfRule type="cellIs" dxfId="1164" priority="1342" operator="equal">
      <formula>"+"</formula>
    </cfRule>
  </conditionalFormatting>
  <conditionalFormatting sqref="AE95:AE100">
    <cfRule type="cellIs" dxfId="1163" priority="1331" operator="equal">
      <formula>"-"</formula>
    </cfRule>
    <cfRule type="cellIs" dxfId="1162" priority="1332" operator="equal">
      <formula>"+"</formula>
    </cfRule>
  </conditionalFormatting>
  <conditionalFormatting sqref="AF95">
    <cfRule type="cellIs" dxfId="1161" priority="1329" operator="equal">
      <formula>"-"</formula>
    </cfRule>
    <cfRule type="cellIs" dxfId="1160" priority="1330" operator="equal">
      <formula>"+"</formula>
    </cfRule>
  </conditionalFormatting>
  <conditionalFormatting sqref="AF96:AF99">
    <cfRule type="cellIs" dxfId="1159" priority="1327" operator="equal">
      <formula>"-"</formula>
    </cfRule>
    <cfRule type="cellIs" dxfId="1158" priority="1328" operator="equal">
      <formula>"+"</formula>
    </cfRule>
  </conditionalFormatting>
  <conditionalFormatting sqref="AF100">
    <cfRule type="cellIs" dxfId="1157" priority="1325" operator="equal">
      <formula>"-"</formula>
    </cfRule>
    <cfRule type="cellIs" dxfId="1156" priority="1326" operator="equal">
      <formula>"+"</formula>
    </cfRule>
  </conditionalFormatting>
  <conditionalFormatting sqref="AE84:AE86">
    <cfRule type="cellIs" dxfId="1155" priority="1323" operator="equal">
      <formula>"-"</formula>
    </cfRule>
    <cfRule type="cellIs" dxfId="1154" priority="1324" operator="equal">
      <formula>"+"</formula>
    </cfRule>
  </conditionalFormatting>
  <conditionalFormatting sqref="AF84">
    <cfRule type="cellIs" dxfId="1153" priority="1321" operator="equal">
      <formula>"-"</formula>
    </cfRule>
    <cfRule type="cellIs" dxfId="1152" priority="1322" operator="equal">
      <formula>"+"</formula>
    </cfRule>
  </conditionalFormatting>
  <conditionalFormatting sqref="AF85">
    <cfRule type="cellIs" dxfId="1151" priority="1319" operator="equal">
      <formula>"-"</formula>
    </cfRule>
    <cfRule type="cellIs" dxfId="1150" priority="1320" operator="equal">
      <formula>"+"</formula>
    </cfRule>
  </conditionalFormatting>
  <conditionalFormatting sqref="AF86">
    <cfRule type="cellIs" dxfId="1149" priority="1317" operator="equal">
      <formula>"-"</formula>
    </cfRule>
    <cfRule type="cellIs" dxfId="1148" priority="1318" operator="equal">
      <formula>"+"</formula>
    </cfRule>
  </conditionalFormatting>
  <conditionalFormatting sqref="AE101:AE103">
    <cfRule type="cellIs" dxfId="1147" priority="1315" operator="equal">
      <formula>"-"</formula>
    </cfRule>
    <cfRule type="cellIs" dxfId="1146" priority="1316" operator="equal">
      <formula>"+"</formula>
    </cfRule>
  </conditionalFormatting>
  <conditionalFormatting sqref="AF101">
    <cfRule type="cellIs" dxfId="1145" priority="1313" operator="equal">
      <formula>"-"</formula>
    </cfRule>
    <cfRule type="cellIs" dxfId="1144" priority="1314" operator="equal">
      <formula>"+"</formula>
    </cfRule>
  </conditionalFormatting>
  <conditionalFormatting sqref="AF102">
    <cfRule type="cellIs" dxfId="1143" priority="1311" operator="equal">
      <formula>"-"</formula>
    </cfRule>
    <cfRule type="cellIs" dxfId="1142" priority="1312" operator="equal">
      <formula>"+"</formula>
    </cfRule>
  </conditionalFormatting>
  <conditionalFormatting sqref="AF103">
    <cfRule type="cellIs" dxfId="1141" priority="1309" operator="equal">
      <formula>"-"</formula>
    </cfRule>
    <cfRule type="cellIs" dxfId="1140" priority="1310" operator="equal">
      <formula>"+"</formula>
    </cfRule>
  </conditionalFormatting>
  <conditionalFormatting sqref="AH6:AH8">
    <cfRule type="cellIs" dxfId="1139" priority="1307" operator="equal">
      <formula>"-"</formula>
    </cfRule>
    <cfRule type="cellIs" dxfId="1138" priority="1308" operator="equal">
      <formula>"+"</formula>
    </cfRule>
  </conditionalFormatting>
  <conditionalFormatting sqref="AI6">
    <cfRule type="cellIs" dxfId="1137" priority="1305" operator="equal">
      <formula>"-"</formula>
    </cfRule>
    <cfRule type="cellIs" dxfId="1136" priority="1306" operator="equal">
      <formula>"+"</formula>
    </cfRule>
  </conditionalFormatting>
  <conditionalFormatting sqref="AI7">
    <cfRule type="cellIs" dxfId="1135" priority="1303" operator="equal">
      <formula>"-"</formula>
    </cfRule>
    <cfRule type="cellIs" dxfId="1134" priority="1304" operator="equal">
      <formula>"+"</formula>
    </cfRule>
  </conditionalFormatting>
  <conditionalFormatting sqref="AI8">
    <cfRule type="cellIs" dxfId="1133" priority="1301" operator="equal">
      <formula>"-"</formula>
    </cfRule>
    <cfRule type="cellIs" dxfId="1132" priority="1302" operator="equal">
      <formula>"+"</formula>
    </cfRule>
  </conditionalFormatting>
  <conditionalFormatting sqref="AH9:AH11">
    <cfRule type="cellIs" dxfId="1131" priority="1299" operator="equal">
      <formula>"-"</formula>
    </cfRule>
    <cfRule type="cellIs" dxfId="1130" priority="1300" operator="equal">
      <formula>"+"</formula>
    </cfRule>
  </conditionalFormatting>
  <conditionalFormatting sqref="AI9">
    <cfRule type="cellIs" dxfId="1129" priority="1297" operator="equal">
      <formula>"-"</formula>
    </cfRule>
    <cfRule type="cellIs" dxfId="1128" priority="1298" operator="equal">
      <formula>"+"</formula>
    </cfRule>
  </conditionalFormatting>
  <conditionalFormatting sqref="AI10">
    <cfRule type="cellIs" dxfId="1127" priority="1295" operator="equal">
      <formula>"-"</formula>
    </cfRule>
    <cfRule type="cellIs" dxfId="1126" priority="1296" operator="equal">
      <formula>"+"</formula>
    </cfRule>
  </conditionalFormatting>
  <conditionalFormatting sqref="AI11">
    <cfRule type="cellIs" dxfId="1125" priority="1293" operator="equal">
      <formula>"-"</formula>
    </cfRule>
    <cfRule type="cellIs" dxfId="1124" priority="1294" operator="equal">
      <formula>"+"</formula>
    </cfRule>
  </conditionalFormatting>
  <conditionalFormatting sqref="AH12:AH14">
    <cfRule type="cellIs" dxfId="1123" priority="1291" operator="equal">
      <formula>"-"</formula>
    </cfRule>
    <cfRule type="cellIs" dxfId="1122" priority="1292" operator="equal">
      <formula>"+"</formula>
    </cfRule>
  </conditionalFormatting>
  <conditionalFormatting sqref="AI12">
    <cfRule type="cellIs" dxfId="1121" priority="1289" operator="equal">
      <formula>"-"</formula>
    </cfRule>
    <cfRule type="cellIs" dxfId="1120" priority="1290" operator="equal">
      <formula>"+"</formula>
    </cfRule>
  </conditionalFormatting>
  <conditionalFormatting sqref="AI13">
    <cfRule type="cellIs" dxfId="1119" priority="1287" operator="equal">
      <formula>"-"</formula>
    </cfRule>
    <cfRule type="cellIs" dxfId="1118" priority="1288" operator="equal">
      <formula>"+"</formula>
    </cfRule>
  </conditionalFormatting>
  <conditionalFormatting sqref="AI14">
    <cfRule type="cellIs" dxfId="1117" priority="1285" operator="equal">
      <formula>"-"</formula>
    </cfRule>
    <cfRule type="cellIs" dxfId="1116" priority="1286" operator="equal">
      <formula>"+"</formula>
    </cfRule>
  </conditionalFormatting>
  <conditionalFormatting sqref="AI15">
    <cfRule type="cellIs" dxfId="1115" priority="1283" operator="equal">
      <formula>"-"</formula>
    </cfRule>
    <cfRule type="cellIs" dxfId="1114" priority="1284" operator="equal">
      <formula>"+"</formula>
    </cfRule>
  </conditionalFormatting>
  <conditionalFormatting sqref="AI16:AI17">
    <cfRule type="cellIs" dxfId="1113" priority="1281" operator="equal">
      <formula>"-"</formula>
    </cfRule>
    <cfRule type="cellIs" dxfId="1112" priority="1282" operator="equal">
      <formula>"+"</formula>
    </cfRule>
  </conditionalFormatting>
  <conditionalFormatting sqref="AI18">
    <cfRule type="cellIs" dxfId="1111" priority="1279" operator="equal">
      <formula>"-"</formula>
    </cfRule>
    <cfRule type="cellIs" dxfId="1110" priority="1280" operator="equal">
      <formula>"+"</formula>
    </cfRule>
  </conditionalFormatting>
  <conditionalFormatting sqref="AH19:AH21">
    <cfRule type="cellIs" dxfId="1109" priority="1277" operator="equal">
      <formula>"-"</formula>
    </cfRule>
    <cfRule type="cellIs" dxfId="1108" priority="1278" operator="equal">
      <formula>"+"</formula>
    </cfRule>
  </conditionalFormatting>
  <conditionalFormatting sqref="AI19">
    <cfRule type="cellIs" dxfId="1107" priority="1275" operator="equal">
      <formula>"-"</formula>
    </cfRule>
    <cfRule type="cellIs" dxfId="1106" priority="1276" operator="equal">
      <formula>"+"</formula>
    </cfRule>
  </conditionalFormatting>
  <conditionalFormatting sqref="AI20">
    <cfRule type="cellIs" dxfId="1105" priority="1273" operator="equal">
      <formula>"-"</formula>
    </cfRule>
    <cfRule type="cellIs" dxfId="1104" priority="1274" operator="equal">
      <formula>"+"</formula>
    </cfRule>
  </conditionalFormatting>
  <conditionalFormatting sqref="AI21">
    <cfRule type="cellIs" dxfId="1103" priority="1271" operator="equal">
      <formula>"-"</formula>
    </cfRule>
    <cfRule type="cellIs" dxfId="1102" priority="1272" operator="equal">
      <formula>"+"</formula>
    </cfRule>
  </conditionalFormatting>
  <conditionalFormatting sqref="AH22:AH24">
    <cfRule type="cellIs" dxfId="1101" priority="1269" operator="equal">
      <formula>"-"</formula>
    </cfRule>
    <cfRule type="cellIs" dxfId="1100" priority="1270" operator="equal">
      <formula>"+"</formula>
    </cfRule>
  </conditionalFormatting>
  <conditionalFormatting sqref="AI22">
    <cfRule type="cellIs" dxfId="1099" priority="1267" operator="equal">
      <formula>"-"</formula>
    </cfRule>
    <cfRule type="cellIs" dxfId="1098" priority="1268" operator="equal">
      <formula>"+"</formula>
    </cfRule>
  </conditionalFormatting>
  <conditionalFormatting sqref="AI23">
    <cfRule type="cellIs" dxfId="1097" priority="1265" operator="equal">
      <formula>"-"</formula>
    </cfRule>
    <cfRule type="cellIs" dxfId="1096" priority="1266" operator="equal">
      <formula>"+"</formula>
    </cfRule>
  </conditionalFormatting>
  <conditionalFormatting sqref="AI24">
    <cfRule type="cellIs" dxfId="1095" priority="1263" operator="equal">
      <formula>"-"</formula>
    </cfRule>
    <cfRule type="cellIs" dxfId="1094" priority="1264" operator="equal">
      <formula>"+"</formula>
    </cfRule>
  </conditionalFormatting>
  <conditionalFormatting sqref="AH25:AH27">
    <cfRule type="cellIs" dxfId="1093" priority="1261" operator="equal">
      <formula>"-"</formula>
    </cfRule>
    <cfRule type="cellIs" dxfId="1092" priority="1262" operator="equal">
      <formula>"+"</formula>
    </cfRule>
  </conditionalFormatting>
  <conditionalFormatting sqref="AI25">
    <cfRule type="cellIs" dxfId="1091" priority="1259" operator="equal">
      <formula>"-"</formula>
    </cfRule>
    <cfRule type="cellIs" dxfId="1090" priority="1260" operator="equal">
      <formula>"+"</formula>
    </cfRule>
  </conditionalFormatting>
  <conditionalFormatting sqref="AI26">
    <cfRule type="cellIs" dxfId="1089" priority="1257" operator="equal">
      <formula>"-"</formula>
    </cfRule>
    <cfRule type="cellIs" dxfId="1088" priority="1258" operator="equal">
      <formula>"+"</formula>
    </cfRule>
  </conditionalFormatting>
  <conditionalFormatting sqref="AI27">
    <cfRule type="cellIs" dxfId="1087" priority="1255" operator="equal">
      <formula>"-"</formula>
    </cfRule>
    <cfRule type="cellIs" dxfId="1086" priority="1256" operator="equal">
      <formula>"+"</formula>
    </cfRule>
  </conditionalFormatting>
  <conditionalFormatting sqref="AH28:AH30">
    <cfRule type="cellIs" dxfId="1085" priority="1253" operator="equal">
      <formula>"-"</formula>
    </cfRule>
    <cfRule type="cellIs" dxfId="1084" priority="1254" operator="equal">
      <formula>"+"</formula>
    </cfRule>
  </conditionalFormatting>
  <conditionalFormatting sqref="AI28">
    <cfRule type="cellIs" dxfId="1083" priority="1251" operator="equal">
      <formula>"-"</formula>
    </cfRule>
    <cfRule type="cellIs" dxfId="1082" priority="1252" operator="equal">
      <formula>"+"</formula>
    </cfRule>
  </conditionalFormatting>
  <conditionalFormatting sqref="AI29">
    <cfRule type="cellIs" dxfId="1081" priority="1249" operator="equal">
      <formula>"-"</formula>
    </cfRule>
    <cfRule type="cellIs" dxfId="1080" priority="1250" operator="equal">
      <formula>"+"</formula>
    </cfRule>
  </conditionalFormatting>
  <conditionalFormatting sqref="AI30">
    <cfRule type="cellIs" dxfId="1079" priority="1247" operator="equal">
      <formula>"-"</formula>
    </cfRule>
    <cfRule type="cellIs" dxfId="1078" priority="1248" operator="equal">
      <formula>"+"</formula>
    </cfRule>
  </conditionalFormatting>
  <conditionalFormatting sqref="AH31:AH33">
    <cfRule type="cellIs" dxfId="1077" priority="1245" operator="equal">
      <formula>"-"</formula>
    </cfRule>
    <cfRule type="cellIs" dxfId="1076" priority="1246" operator="equal">
      <formula>"+"</formula>
    </cfRule>
  </conditionalFormatting>
  <conditionalFormatting sqref="AI31">
    <cfRule type="cellIs" dxfId="1075" priority="1243" operator="equal">
      <formula>"-"</formula>
    </cfRule>
    <cfRule type="cellIs" dxfId="1074" priority="1244" operator="equal">
      <formula>"+"</formula>
    </cfRule>
  </conditionalFormatting>
  <conditionalFormatting sqref="AI32">
    <cfRule type="cellIs" dxfId="1073" priority="1241" operator="equal">
      <formula>"-"</formula>
    </cfRule>
    <cfRule type="cellIs" dxfId="1072" priority="1242" operator="equal">
      <formula>"+"</formula>
    </cfRule>
  </conditionalFormatting>
  <conditionalFormatting sqref="AI33">
    <cfRule type="cellIs" dxfId="1071" priority="1239" operator="equal">
      <formula>"-"</formula>
    </cfRule>
    <cfRule type="cellIs" dxfId="1070" priority="1240" operator="equal">
      <formula>"+"</formula>
    </cfRule>
  </conditionalFormatting>
  <conditionalFormatting sqref="AH34:AH36">
    <cfRule type="cellIs" dxfId="1069" priority="1237" operator="equal">
      <formula>"-"</formula>
    </cfRule>
    <cfRule type="cellIs" dxfId="1068" priority="1238" operator="equal">
      <formula>"+"</formula>
    </cfRule>
  </conditionalFormatting>
  <conditionalFormatting sqref="AI34">
    <cfRule type="cellIs" dxfId="1067" priority="1235" operator="equal">
      <formula>"-"</formula>
    </cfRule>
    <cfRule type="cellIs" dxfId="1066" priority="1236" operator="equal">
      <formula>"+"</formula>
    </cfRule>
  </conditionalFormatting>
  <conditionalFormatting sqref="AI35">
    <cfRule type="cellIs" dxfId="1065" priority="1233" operator="equal">
      <formula>"-"</formula>
    </cfRule>
    <cfRule type="cellIs" dxfId="1064" priority="1234" operator="equal">
      <formula>"+"</formula>
    </cfRule>
  </conditionalFormatting>
  <conditionalFormatting sqref="AI36">
    <cfRule type="cellIs" dxfId="1063" priority="1231" operator="equal">
      <formula>"-"</formula>
    </cfRule>
    <cfRule type="cellIs" dxfId="1062" priority="1232" operator="equal">
      <formula>"+"</formula>
    </cfRule>
  </conditionalFormatting>
  <conditionalFormatting sqref="AH37:AH39">
    <cfRule type="cellIs" dxfId="1061" priority="1229" operator="equal">
      <formula>"-"</formula>
    </cfRule>
    <cfRule type="cellIs" dxfId="1060" priority="1230" operator="equal">
      <formula>"+"</formula>
    </cfRule>
  </conditionalFormatting>
  <conditionalFormatting sqref="AI37">
    <cfRule type="cellIs" dxfId="1059" priority="1227" operator="equal">
      <formula>"-"</formula>
    </cfRule>
    <cfRule type="cellIs" dxfId="1058" priority="1228" operator="equal">
      <formula>"+"</formula>
    </cfRule>
  </conditionalFormatting>
  <conditionalFormatting sqref="AI38">
    <cfRule type="cellIs" dxfId="1057" priority="1225" operator="equal">
      <formula>"-"</formula>
    </cfRule>
    <cfRule type="cellIs" dxfId="1056" priority="1226" operator="equal">
      <formula>"+"</formula>
    </cfRule>
  </conditionalFormatting>
  <conditionalFormatting sqref="AI39">
    <cfRule type="cellIs" dxfId="1055" priority="1223" operator="equal">
      <formula>"-"</formula>
    </cfRule>
    <cfRule type="cellIs" dxfId="1054" priority="1224" operator="equal">
      <formula>"+"</formula>
    </cfRule>
  </conditionalFormatting>
  <conditionalFormatting sqref="AH40:AH42">
    <cfRule type="cellIs" dxfId="1053" priority="1221" operator="equal">
      <formula>"-"</formula>
    </cfRule>
    <cfRule type="cellIs" dxfId="1052" priority="1222" operator="equal">
      <formula>"+"</formula>
    </cfRule>
  </conditionalFormatting>
  <conditionalFormatting sqref="AI40">
    <cfRule type="cellIs" dxfId="1051" priority="1219" operator="equal">
      <formula>"-"</formula>
    </cfRule>
    <cfRule type="cellIs" dxfId="1050" priority="1220" operator="equal">
      <formula>"+"</formula>
    </cfRule>
  </conditionalFormatting>
  <conditionalFormatting sqref="AI41">
    <cfRule type="cellIs" dxfId="1049" priority="1217" operator="equal">
      <formula>"-"</formula>
    </cfRule>
    <cfRule type="cellIs" dxfId="1048" priority="1218" operator="equal">
      <formula>"+"</formula>
    </cfRule>
  </conditionalFormatting>
  <conditionalFormatting sqref="AI42">
    <cfRule type="cellIs" dxfId="1047" priority="1215" operator="equal">
      <formula>"-"</formula>
    </cfRule>
    <cfRule type="cellIs" dxfId="1046" priority="1216" operator="equal">
      <formula>"+"</formula>
    </cfRule>
  </conditionalFormatting>
  <conditionalFormatting sqref="AH43:AH45">
    <cfRule type="cellIs" dxfId="1045" priority="1213" operator="equal">
      <formula>"-"</formula>
    </cfRule>
    <cfRule type="cellIs" dxfId="1044" priority="1214" operator="equal">
      <formula>"+"</formula>
    </cfRule>
  </conditionalFormatting>
  <conditionalFormatting sqref="AI43">
    <cfRule type="cellIs" dxfId="1043" priority="1211" operator="equal">
      <formula>"-"</formula>
    </cfRule>
    <cfRule type="cellIs" dxfId="1042" priority="1212" operator="equal">
      <formula>"+"</formula>
    </cfRule>
  </conditionalFormatting>
  <conditionalFormatting sqref="AI44">
    <cfRule type="cellIs" dxfId="1041" priority="1209" operator="equal">
      <formula>"-"</formula>
    </cfRule>
    <cfRule type="cellIs" dxfId="1040" priority="1210" operator="equal">
      <formula>"+"</formula>
    </cfRule>
  </conditionalFormatting>
  <conditionalFormatting sqref="AI45">
    <cfRule type="cellIs" dxfId="1039" priority="1207" operator="equal">
      <formula>"-"</formula>
    </cfRule>
    <cfRule type="cellIs" dxfId="1038" priority="1208" operator="equal">
      <formula>"+"</formula>
    </cfRule>
  </conditionalFormatting>
  <conditionalFormatting sqref="AH53:AH55">
    <cfRule type="cellIs" dxfId="1037" priority="1205" operator="equal">
      <formula>"-"</formula>
    </cfRule>
    <cfRule type="cellIs" dxfId="1036" priority="1206" operator="equal">
      <formula>"+"</formula>
    </cfRule>
  </conditionalFormatting>
  <conditionalFormatting sqref="AI53">
    <cfRule type="cellIs" dxfId="1035" priority="1203" operator="equal">
      <formula>"-"</formula>
    </cfRule>
    <cfRule type="cellIs" dxfId="1034" priority="1204" operator="equal">
      <formula>"+"</formula>
    </cfRule>
  </conditionalFormatting>
  <conditionalFormatting sqref="AI54">
    <cfRule type="cellIs" dxfId="1033" priority="1201" operator="equal">
      <formula>"-"</formula>
    </cfRule>
    <cfRule type="cellIs" dxfId="1032" priority="1202" operator="equal">
      <formula>"+"</formula>
    </cfRule>
  </conditionalFormatting>
  <conditionalFormatting sqref="AI55">
    <cfRule type="cellIs" dxfId="1031" priority="1199" operator="equal">
      <formula>"-"</formula>
    </cfRule>
    <cfRule type="cellIs" dxfId="1030" priority="1200" operator="equal">
      <formula>"+"</formula>
    </cfRule>
  </conditionalFormatting>
  <conditionalFormatting sqref="AH56:AH58">
    <cfRule type="cellIs" dxfId="1029" priority="1197" operator="equal">
      <formula>"-"</formula>
    </cfRule>
    <cfRule type="cellIs" dxfId="1028" priority="1198" operator="equal">
      <formula>"+"</formula>
    </cfRule>
  </conditionalFormatting>
  <conditionalFormatting sqref="AI56">
    <cfRule type="cellIs" dxfId="1027" priority="1195" operator="equal">
      <formula>"-"</formula>
    </cfRule>
    <cfRule type="cellIs" dxfId="1026" priority="1196" operator="equal">
      <formula>"+"</formula>
    </cfRule>
  </conditionalFormatting>
  <conditionalFormatting sqref="AI57">
    <cfRule type="cellIs" dxfId="1025" priority="1193" operator="equal">
      <formula>"-"</formula>
    </cfRule>
    <cfRule type="cellIs" dxfId="1024" priority="1194" operator="equal">
      <formula>"+"</formula>
    </cfRule>
  </conditionalFormatting>
  <conditionalFormatting sqref="AI58">
    <cfRule type="cellIs" dxfId="1023" priority="1191" operator="equal">
      <formula>"-"</formula>
    </cfRule>
    <cfRule type="cellIs" dxfId="1022" priority="1192" operator="equal">
      <formula>"+"</formula>
    </cfRule>
  </conditionalFormatting>
  <conditionalFormatting sqref="AH46:AH52">
    <cfRule type="cellIs" dxfId="1021" priority="1189" operator="equal">
      <formula>"-"</formula>
    </cfRule>
    <cfRule type="cellIs" dxfId="1020" priority="1190" operator="equal">
      <formula>"+"</formula>
    </cfRule>
  </conditionalFormatting>
  <conditionalFormatting sqref="AI46">
    <cfRule type="cellIs" dxfId="1019" priority="1187" operator="equal">
      <formula>"-"</formula>
    </cfRule>
    <cfRule type="cellIs" dxfId="1018" priority="1188" operator="equal">
      <formula>"+"</formula>
    </cfRule>
  </conditionalFormatting>
  <conditionalFormatting sqref="AI47">
    <cfRule type="cellIs" dxfId="1017" priority="1185" operator="equal">
      <formula>"-"</formula>
    </cfRule>
    <cfRule type="cellIs" dxfId="1016" priority="1186" operator="equal">
      <formula>"+"</formula>
    </cfRule>
  </conditionalFormatting>
  <conditionalFormatting sqref="AI51">
    <cfRule type="cellIs" dxfId="1015" priority="1183" operator="equal">
      <formula>"-"</formula>
    </cfRule>
    <cfRule type="cellIs" dxfId="1014" priority="1184" operator="equal">
      <formula>"+"</formula>
    </cfRule>
  </conditionalFormatting>
  <conditionalFormatting sqref="AI52">
    <cfRule type="cellIs" dxfId="1013" priority="1181" operator="equal">
      <formula>"-"</formula>
    </cfRule>
    <cfRule type="cellIs" dxfId="1012" priority="1182" operator="equal">
      <formula>"+"</formula>
    </cfRule>
  </conditionalFormatting>
  <conditionalFormatting sqref="AI48">
    <cfRule type="cellIs" dxfId="1011" priority="1179" operator="equal">
      <formula>"-"</formula>
    </cfRule>
    <cfRule type="cellIs" dxfId="1010" priority="1180" operator="equal">
      <formula>"+"</formula>
    </cfRule>
  </conditionalFormatting>
  <conditionalFormatting sqref="AI49">
    <cfRule type="cellIs" dxfId="1009" priority="1177" operator="equal">
      <formula>"-"</formula>
    </cfRule>
    <cfRule type="cellIs" dxfId="1008" priority="1178" operator="equal">
      <formula>"+"</formula>
    </cfRule>
  </conditionalFormatting>
  <conditionalFormatting sqref="AI50">
    <cfRule type="cellIs" dxfId="1007" priority="1175" operator="equal">
      <formula>"-"</formula>
    </cfRule>
    <cfRule type="cellIs" dxfId="1006" priority="1176" operator="equal">
      <formula>"+"</formula>
    </cfRule>
  </conditionalFormatting>
  <conditionalFormatting sqref="AI60">
    <cfRule type="cellIs" dxfId="1005" priority="1173" operator="equal">
      <formula>"-"</formula>
    </cfRule>
    <cfRule type="cellIs" dxfId="1004" priority="1174" operator="equal">
      <formula>"+"</formula>
    </cfRule>
  </conditionalFormatting>
  <conditionalFormatting sqref="AI70">
    <cfRule type="cellIs" dxfId="1003" priority="1171" operator="equal">
      <formula>"-"</formula>
    </cfRule>
    <cfRule type="cellIs" dxfId="1002" priority="1172" operator="equal">
      <formula>"+"</formula>
    </cfRule>
  </conditionalFormatting>
  <conditionalFormatting sqref="AI72">
    <cfRule type="cellIs" dxfId="1001" priority="1169" operator="equal">
      <formula>"-"</formula>
    </cfRule>
    <cfRule type="cellIs" dxfId="1000" priority="1170" operator="equal">
      <formula>"+"</formula>
    </cfRule>
  </conditionalFormatting>
  <conditionalFormatting sqref="AI61">
    <cfRule type="cellIs" dxfId="999" priority="1165" operator="equal">
      <formula>"-"</formula>
    </cfRule>
    <cfRule type="cellIs" dxfId="998" priority="1166" operator="equal">
      <formula>"+"</formula>
    </cfRule>
  </conditionalFormatting>
  <conditionalFormatting sqref="AI71">
    <cfRule type="cellIs" dxfId="997" priority="1163" operator="equal">
      <formula>"-"</formula>
    </cfRule>
    <cfRule type="cellIs" dxfId="996" priority="1164" operator="equal">
      <formula>"+"</formula>
    </cfRule>
  </conditionalFormatting>
  <conditionalFormatting sqref="AI73">
    <cfRule type="cellIs" dxfId="995" priority="1161" operator="equal">
      <formula>"-"</formula>
    </cfRule>
    <cfRule type="cellIs" dxfId="994" priority="1162" operator="equal">
      <formula>"+"</formula>
    </cfRule>
  </conditionalFormatting>
  <conditionalFormatting sqref="AH60:AH61">
    <cfRule type="cellIs" dxfId="993" priority="1157" operator="equal">
      <formula>"-"</formula>
    </cfRule>
    <cfRule type="cellIs" dxfId="992" priority="1158" operator="equal">
      <formula>"+"</formula>
    </cfRule>
  </conditionalFormatting>
  <conditionalFormatting sqref="AH70:AH71">
    <cfRule type="cellIs" dxfId="991" priority="1155" operator="equal">
      <formula>"-"</formula>
    </cfRule>
    <cfRule type="cellIs" dxfId="990" priority="1156" operator="equal">
      <formula>"+"</formula>
    </cfRule>
  </conditionalFormatting>
  <conditionalFormatting sqref="AH72:AH73">
    <cfRule type="cellIs" dxfId="989" priority="1153" operator="equal">
      <formula>"-"</formula>
    </cfRule>
    <cfRule type="cellIs" dxfId="988" priority="1154" operator="equal">
      <formula>"+"</formula>
    </cfRule>
  </conditionalFormatting>
  <conditionalFormatting sqref="AH62:AH63">
    <cfRule type="cellIs" dxfId="987" priority="1149" operator="equal">
      <formula>"+"</formula>
    </cfRule>
    <cfRule type="cellIs" dxfId="986" priority="1150" operator="equal">
      <formula>"-"</formula>
    </cfRule>
  </conditionalFormatting>
  <conditionalFormatting sqref="AI62">
    <cfRule type="cellIs" dxfId="985" priority="1147" operator="equal">
      <formula>"-"</formula>
    </cfRule>
    <cfRule type="cellIs" dxfId="984" priority="1148" operator="equal">
      <formula>"+"</formula>
    </cfRule>
  </conditionalFormatting>
  <conditionalFormatting sqref="AI63">
    <cfRule type="cellIs" dxfId="983" priority="1145" operator="equal">
      <formula>"-"</formula>
    </cfRule>
    <cfRule type="cellIs" dxfId="982" priority="1146" operator="equal">
      <formula>"+"</formula>
    </cfRule>
  </conditionalFormatting>
  <conditionalFormatting sqref="AH64:AH65">
    <cfRule type="cellIs" dxfId="981" priority="1143" operator="equal">
      <formula>"+"</formula>
    </cfRule>
    <cfRule type="cellIs" dxfId="980" priority="1144" operator="equal">
      <formula>"-"</formula>
    </cfRule>
  </conditionalFormatting>
  <conditionalFormatting sqref="AI64">
    <cfRule type="cellIs" dxfId="979" priority="1141" operator="equal">
      <formula>"-"</formula>
    </cfRule>
    <cfRule type="cellIs" dxfId="978" priority="1142" operator="equal">
      <formula>"+"</formula>
    </cfRule>
  </conditionalFormatting>
  <conditionalFormatting sqref="AI65">
    <cfRule type="cellIs" dxfId="977" priority="1139" operator="equal">
      <formula>"-"</formula>
    </cfRule>
    <cfRule type="cellIs" dxfId="976" priority="1140" operator="equal">
      <formula>"+"</formula>
    </cfRule>
  </conditionalFormatting>
  <conditionalFormatting sqref="AH66:AH67">
    <cfRule type="cellIs" dxfId="975" priority="1137" operator="equal">
      <formula>"+"</formula>
    </cfRule>
    <cfRule type="cellIs" dxfId="974" priority="1138" operator="equal">
      <formula>"-"</formula>
    </cfRule>
  </conditionalFormatting>
  <conditionalFormatting sqref="AI66">
    <cfRule type="cellIs" dxfId="973" priority="1135" operator="equal">
      <formula>"-"</formula>
    </cfRule>
    <cfRule type="cellIs" dxfId="972" priority="1136" operator="equal">
      <formula>"+"</formula>
    </cfRule>
  </conditionalFormatting>
  <conditionalFormatting sqref="AI67">
    <cfRule type="cellIs" dxfId="971" priority="1133" operator="equal">
      <formula>"-"</formula>
    </cfRule>
    <cfRule type="cellIs" dxfId="970" priority="1134" operator="equal">
      <formula>"+"</formula>
    </cfRule>
  </conditionalFormatting>
  <conditionalFormatting sqref="AH68:AH69">
    <cfRule type="cellIs" dxfId="969" priority="1131" operator="equal">
      <formula>"+"</formula>
    </cfRule>
    <cfRule type="cellIs" dxfId="968" priority="1132" operator="equal">
      <formula>"-"</formula>
    </cfRule>
  </conditionalFormatting>
  <conditionalFormatting sqref="AI68">
    <cfRule type="cellIs" dxfId="967" priority="1129" operator="equal">
      <formula>"-"</formula>
    </cfRule>
    <cfRule type="cellIs" dxfId="966" priority="1130" operator="equal">
      <formula>"+"</formula>
    </cfRule>
  </conditionalFormatting>
  <conditionalFormatting sqref="AI69">
    <cfRule type="cellIs" dxfId="965" priority="1127" operator="equal">
      <formula>"-"</formula>
    </cfRule>
    <cfRule type="cellIs" dxfId="964" priority="1128" operator="equal">
      <formula>"+"</formula>
    </cfRule>
  </conditionalFormatting>
  <conditionalFormatting sqref="AH77:AH78">
    <cfRule type="cellIs" dxfId="963" priority="1125" operator="equal">
      <formula>"+"</formula>
    </cfRule>
    <cfRule type="cellIs" dxfId="962" priority="1126" operator="equal">
      <formula>"-"</formula>
    </cfRule>
  </conditionalFormatting>
  <conditionalFormatting sqref="AI77">
    <cfRule type="cellIs" dxfId="961" priority="1123" operator="equal">
      <formula>"-"</formula>
    </cfRule>
    <cfRule type="cellIs" dxfId="960" priority="1124" operator="equal">
      <formula>"+"</formula>
    </cfRule>
  </conditionalFormatting>
  <conditionalFormatting sqref="AI78">
    <cfRule type="cellIs" dxfId="959" priority="1121" operator="equal">
      <formula>"-"</formula>
    </cfRule>
    <cfRule type="cellIs" dxfId="958" priority="1122" operator="equal">
      <formula>"+"</formula>
    </cfRule>
  </conditionalFormatting>
  <conditionalFormatting sqref="AH80:AH83">
    <cfRule type="cellIs" dxfId="957" priority="1119" operator="equal">
      <formula>"-"</formula>
    </cfRule>
    <cfRule type="cellIs" dxfId="956" priority="1120" operator="equal">
      <formula>"+"</formula>
    </cfRule>
  </conditionalFormatting>
  <conditionalFormatting sqref="AI80">
    <cfRule type="cellIs" dxfId="955" priority="1117" operator="equal">
      <formula>"-"</formula>
    </cfRule>
    <cfRule type="cellIs" dxfId="954" priority="1118" operator="equal">
      <formula>"+"</formula>
    </cfRule>
  </conditionalFormatting>
  <conditionalFormatting sqref="AI81:AI82">
    <cfRule type="cellIs" dxfId="953" priority="1115" operator="equal">
      <formula>"-"</formula>
    </cfRule>
    <cfRule type="cellIs" dxfId="952" priority="1116" operator="equal">
      <formula>"+"</formula>
    </cfRule>
  </conditionalFormatting>
  <conditionalFormatting sqref="AI83">
    <cfRule type="cellIs" dxfId="951" priority="1113" operator="equal">
      <formula>"-"</formula>
    </cfRule>
    <cfRule type="cellIs" dxfId="950" priority="1114" operator="equal">
      <formula>"+"</formula>
    </cfRule>
  </conditionalFormatting>
  <conditionalFormatting sqref="AH87:AH94">
    <cfRule type="cellIs" dxfId="949" priority="1111" operator="equal">
      <formula>"-"</formula>
    </cfRule>
    <cfRule type="cellIs" dxfId="948" priority="1112" operator="equal">
      <formula>"+"</formula>
    </cfRule>
  </conditionalFormatting>
  <conditionalFormatting sqref="AI87">
    <cfRule type="cellIs" dxfId="947" priority="1109" operator="equal">
      <formula>"-"</formula>
    </cfRule>
    <cfRule type="cellIs" dxfId="946" priority="1110" operator="equal">
      <formula>"+"</formula>
    </cfRule>
  </conditionalFormatting>
  <conditionalFormatting sqref="AI88:AI93">
    <cfRule type="cellIs" dxfId="945" priority="1107" operator="equal">
      <formula>"-"</formula>
    </cfRule>
    <cfRule type="cellIs" dxfId="944" priority="1108" operator="equal">
      <formula>"+"</formula>
    </cfRule>
  </conditionalFormatting>
  <conditionalFormatting sqref="AI94">
    <cfRule type="cellIs" dxfId="943" priority="1105" operator="equal">
      <formula>"-"</formula>
    </cfRule>
    <cfRule type="cellIs" dxfId="942" priority="1106" operator="equal">
      <formula>"+"</formula>
    </cfRule>
  </conditionalFormatting>
  <conditionalFormatting sqref="AH95:AH100">
    <cfRule type="cellIs" dxfId="941" priority="1103" operator="equal">
      <formula>"-"</formula>
    </cfRule>
    <cfRule type="cellIs" dxfId="940" priority="1104" operator="equal">
      <formula>"+"</formula>
    </cfRule>
  </conditionalFormatting>
  <conditionalFormatting sqref="AI95">
    <cfRule type="cellIs" dxfId="939" priority="1101" operator="equal">
      <formula>"-"</formula>
    </cfRule>
    <cfRule type="cellIs" dxfId="938" priority="1102" operator="equal">
      <formula>"+"</formula>
    </cfRule>
  </conditionalFormatting>
  <conditionalFormatting sqref="AI96:AI99">
    <cfRule type="cellIs" dxfId="937" priority="1099" operator="equal">
      <formula>"-"</formula>
    </cfRule>
    <cfRule type="cellIs" dxfId="936" priority="1100" operator="equal">
      <formula>"+"</formula>
    </cfRule>
  </conditionalFormatting>
  <conditionalFormatting sqref="AI100">
    <cfRule type="cellIs" dxfId="935" priority="1097" operator="equal">
      <formula>"-"</formula>
    </cfRule>
    <cfRule type="cellIs" dxfId="934" priority="1098" operator="equal">
      <formula>"+"</formula>
    </cfRule>
  </conditionalFormatting>
  <conditionalFormatting sqref="AH84:AH86">
    <cfRule type="cellIs" dxfId="933" priority="1095" operator="equal">
      <formula>"-"</formula>
    </cfRule>
    <cfRule type="cellIs" dxfId="932" priority="1096" operator="equal">
      <formula>"+"</formula>
    </cfRule>
  </conditionalFormatting>
  <conditionalFormatting sqref="AI84">
    <cfRule type="cellIs" dxfId="931" priority="1093" operator="equal">
      <formula>"-"</formula>
    </cfRule>
    <cfRule type="cellIs" dxfId="930" priority="1094" operator="equal">
      <formula>"+"</formula>
    </cfRule>
  </conditionalFormatting>
  <conditionalFormatting sqref="AI85">
    <cfRule type="cellIs" dxfId="929" priority="1091" operator="equal">
      <formula>"-"</formula>
    </cfRule>
    <cfRule type="cellIs" dxfId="928" priority="1092" operator="equal">
      <formula>"+"</formula>
    </cfRule>
  </conditionalFormatting>
  <conditionalFormatting sqref="AI86">
    <cfRule type="cellIs" dxfId="927" priority="1089" operator="equal">
      <formula>"-"</formula>
    </cfRule>
    <cfRule type="cellIs" dxfId="926" priority="1090" operator="equal">
      <formula>"+"</formula>
    </cfRule>
  </conditionalFormatting>
  <conditionalFormatting sqref="AH101:AH103">
    <cfRule type="cellIs" dxfId="925" priority="1087" operator="equal">
      <formula>"-"</formula>
    </cfRule>
    <cfRule type="cellIs" dxfId="924" priority="1088" operator="equal">
      <formula>"+"</formula>
    </cfRule>
  </conditionalFormatting>
  <conditionalFormatting sqref="AI101">
    <cfRule type="cellIs" dxfId="923" priority="1085" operator="equal">
      <formula>"-"</formula>
    </cfRule>
    <cfRule type="cellIs" dxfId="922" priority="1086" operator="equal">
      <formula>"+"</formula>
    </cfRule>
  </conditionalFormatting>
  <conditionalFormatting sqref="AI102">
    <cfRule type="cellIs" dxfId="921" priority="1083" operator="equal">
      <formula>"-"</formula>
    </cfRule>
    <cfRule type="cellIs" dxfId="920" priority="1084" operator="equal">
      <formula>"+"</formula>
    </cfRule>
  </conditionalFormatting>
  <conditionalFormatting sqref="AI103">
    <cfRule type="cellIs" dxfId="919" priority="1081" operator="equal">
      <formula>"-"</formula>
    </cfRule>
    <cfRule type="cellIs" dxfId="918" priority="1082" operator="equal">
      <formula>"+"</formula>
    </cfRule>
  </conditionalFormatting>
  <conditionalFormatting sqref="AK6:AK8">
    <cfRule type="cellIs" dxfId="917" priority="1079" operator="equal">
      <formula>"-"</formula>
    </cfRule>
    <cfRule type="cellIs" dxfId="916" priority="1080" operator="equal">
      <formula>"+"</formula>
    </cfRule>
  </conditionalFormatting>
  <conditionalFormatting sqref="AL6">
    <cfRule type="cellIs" dxfId="915" priority="1077" operator="equal">
      <formula>"-"</formula>
    </cfRule>
    <cfRule type="cellIs" dxfId="914" priority="1078" operator="equal">
      <formula>"+"</formula>
    </cfRule>
  </conditionalFormatting>
  <conditionalFormatting sqref="AL7">
    <cfRule type="cellIs" dxfId="913" priority="1075" operator="equal">
      <formula>"-"</formula>
    </cfRule>
    <cfRule type="cellIs" dxfId="912" priority="1076" operator="equal">
      <formula>"+"</formula>
    </cfRule>
  </conditionalFormatting>
  <conditionalFormatting sqref="AL8">
    <cfRule type="cellIs" dxfId="911" priority="1073" operator="equal">
      <formula>"-"</formula>
    </cfRule>
    <cfRule type="cellIs" dxfId="910" priority="1074" operator="equal">
      <formula>"+"</formula>
    </cfRule>
  </conditionalFormatting>
  <conditionalFormatting sqref="AK9:AK11">
    <cfRule type="cellIs" dxfId="909" priority="1071" operator="equal">
      <formula>"-"</formula>
    </cfRule>
    <cfRule type="cellIs" dxfId="908" priority="1072" operator="equal">
      <formula>"+"</formula>
    </cfRule>
  </conditionalFormatting>
  <conditionalFormatting sqref="AL9">
    <cfRule type="cellIs" dxfId="907" priority="1069" operator="equal">
      <formula>"-"</formula>
    </cfRule>
    <cfRule type="cellIs" dxfId="906" priority="1070" operator="equal">
      <formula>"+"</formula>
    </cfRule>
  </conditionalFormatting>
  <conditionalFormatting sqref="AL10">
    <cfRule type="cellIs" dxfId="905" priority="1067" operator="equal">
      <formula>"-"</formula>
    </cfRule>
    <cfRule type="cellIs" dxfId="904" priority="1068" operator="equal">
      <formula>"+"</formula>
    </cfRule>
  </conditionalFormatting>
  <conditionalFormatting sqref="AL11">
    <cfRule type="cellIs" dxfId="903" priority="1065" operator="equal">
      <formula>"-"</formula>
    </cfRule>
    <cfRule type="cellIs" dxfId="902" priority="1066" operator="equal">
      <formula>"+"</formula>
    </cfRule>
  </conditionalFormatting>
  <conditionalFormatting sqref="AK12:AK14">
    <cfRule type="cellIs" dxfId="901" priority="1063" operator="equal">
      <formula>"-"</formula>
    </cfRule>
    <cfRule type="cellIs" dxfId="900" priority="1064" operator="equal">
      <formula>"+"</formula>
    </cfRule>
  </conditionalFormatting>
  <conditionalFormatting sqref="AL12">
    <cfRule type="cellIs" dxfId="899" priority="1061" operator="equal">
      <formula>"-"</formula>
    </cfRule>
    <cfRule type="cellIs" dxfId="898" priority="1062" operator="equal">
      <formula>"+"</formula>
    </cfRule>
  </conditionalFormatting>
  <conditionalFormatting sqref="AL13">
    <cfRule type="cellIs" dxfId="897" priority="1059" operator="equal">
      <formula>"-"</formula>
    </cfRule>
    <cfRule type="cellIs" dxfId="896" priority="1060" operator="equal">
      <formula>"+"</formula>
    </cfRule>
  </conditionalFormatting>
  <conditionalFormatting sqref="AL14">
    <cfRule type="cellIs" dxfId="895" priority="1057" operator="equal">
      <formula>"-"</formula>
    </cfRule>
    <cfRule type="cellIs" dxfId="894" priority="1058" operator="equal">
      <formula>"+"</formula>
    </cfRule>
  </conditionalFormatting>
  <conditionalFormatting sqref="AL15">
    <cfRule type="cellIs" dxfId="893" priority="1055" operator="equal">
      <formula>"-"</formula>
    </cfRule>
    <cfRule type="cellIs" dxfId="892" priority="1056" operator="equal">
      <formula>"+"</formula>
    </cfRule>
  </conditionalFormatting>
  <conditionalFormatting sqref="AL16:AL17">
    <cfRule type="cellIs" dxfId="891" priority="1053" operator="equal">
      <formula>"-"</formula>
    </cfRule>
    <cfRule type="cellIs" dxfId="890" priority="1054" operator="equal">
      <formula>"+"</formula>
    </cfRule>
  </conditionalFormatting>
  <conditionalFormatting sqref="AL18">
    <cfRule type="cellIs" dxfId="889" priority="1051" operator="equal">
      <formula>"-"</formula>
    </cfRule>
    <cfRule type="cellIs" dxfId="888" priority="1052" operator="equal">
      <formula>"+"</formula>
    </cfRule>
  </conditionalFormatting>
  <conditionalFormatting sqref="AK19:AK21">
    <cfRule type="cellIs" dxfId="887" priority="1049" operator="equal">
      <formula>"-"</formula>
    </cfRule>
    <cfRule type="cellIs" dxfId="886" priority="1050" operator="equal">
      <formula>"+"</formula>
    </cfRule>
  </conditionalFormatting>
  <conditionalFormatting sqref="AL19">
    <cfRule type="cellIs" dxfId="885" priority="1047" operator="equal">
      <formula>"-"</formula>
    </cfRule>
    <cfRule type="cellIs" dxfId="884" priority="1048" operator="equal">
      <formula>"+"</formula>
    </cfRule>
  </conditionalFormatting>
  <conditionalFormatting sqref="AL20">
    <cfRule type="cellIs" dxfId="883" priority="1045" operator="equal">
      <formula>"-"</formula>
    </cfRule>
    <cfRule type="cellIs" dxfId="882" priority="1046" operator="equal">
      <formula>"+"</formula>
    </cfRule>
  </conditionalFormatting>
  <conditionalFormatting sqref="AL21">
    <cfRule type="cellIs" dxfId="881" priority="1043" operator="equal">
      <formula>"-"</formula>
    </cfRule>
    <cfRule type="cellIs" dxfId="880" priority="1044" operator="equal">
      <formula>"+"</formula>
    </cfRule>
  </conditionalFormatting>
  <conditionalFormatting sqref="AK22:AK24">
    <cfRule type="cellIs" dxfId="879" priority="1041" operator="equal">
      <formula>"-"</formula>
    </cfRule>
    <cfRule type="cellIs" dxfId="878" priority="1042" operator="equal">
      <formula>"+"</formula>
    </cfRule>
  </conditionalFormatting>
  <conditionalFormatting sqref="AL22">
    <cfRule type="cellIs" dxfId="877" priority="1039" operator="equal">
      <formula>"-"</formula>
    </cfRule>
    <cfRule type="cellIs" dxfId="876" priority="1040" operator="equal">
      <formula>"+"</formula>
    </cfRule>
  </conditionalFormatting>
  <conditionalFormatting sqref="AL23">
    <cfRule type="cellIs" dxfId="875" priority="1037" operator="equal">
      <formula>"-"</formula>
    </cfRule>
    <cfRule type="cellIs" dxfId="874" priority="1038" operator="equal">
      <formula>"+"</formula>
    </cfRule>
  </conditionalFormatting>
  <conditionalFormatting sqref="AL24">
    <cfRule type="cellIs" dxfId="873" priority="1035" operator="equal">
      <formula>"-"</formula>
    </cfRule>
    <cfRule type="cellIs" dxfId="872" priority="1036" operator="equal">
      <formula>"+"</formula>
    </cfRule>
  </conditionalFormatting>
  <conditionalFormatting sqref="AK25:AK27">
    <cfRule type="cellIs" dxfId="871" priority="1033" operator="equal">
      <formula>"-"</formula>
    </cfRule>
    <cfRule type="cellIs" dxfId="870" priority="1034" operator="equal">
      <formula>"+"</formula>
    </cfRule>
  </conditionalFormatting>
  <conditionalFormatting sqref="AL25">
    <cfRule type="cellIs" dxfId="869" priority="1031" operator="equal">
      <formula>"-"</formula>
    </cfRule>
    <cfRule type="cellIs" dxfId="868" priority="1032" operator="equal">
      <formula>"+"</formula>
    </cfRule>
  </conditionalFormatting>
  <conditionalFormatting sqref="AL26">
    <cfRule type="cellIs" dxfId="867" priority="1029" operator="equal">
      <formula>"-"</formula>
    </cfRule>
    <cfRule type="cellIs" dxfId="866" priority="1030" operator="equal">
      <formula>"+"</formula>
    </cfRule>
  </conditionalFormatting>
  <conditionalFormatting sqref="AL27">
    <cfRule type="cellIs" dxfId="865" priority="1027" operator="equal">
      <formula>"-"</formula>
    </cfRule>
    <cfRule type="cellIs" dxfId="864" priority="1028" operator="equal">
      <formula>"+"</formula>
    </cfRule>
  </conditionalFormatting>
  <conditionalFormatting sqref="AK28:AK30">
    <cfRule type="cellIs" dxfId="863" priority="1025" operator="equal">
      <formula>"-"</formula>
    </cfRule>
    <cfRule type="cellIs" dxfId="862" priority="1026" operator="equal">
      <formula>"+"</formula>
    </cfRule>
  </conditionalFormatting>
  <conditionalFormatting sqref="AL28">
    <cfRule type="cellIs" dxfId="861" priority="1023" operator="equal">
      <formula>"-"</formula>
    </cfRule>
    <cfRule type="cellIs" dxfId="860" priority="1024" operator="equal">
      <formula>"+"</formula>
    </cfRule>
  </conditionalFormatting>
  <conditionalFormatting sqref="AL29">
    <cfRule type="cellIs" dxfId="859" priority="1021" operator="equal">
      <formula>"-"</formula>
    </cfRule>
    <cfRule type="cellIs" dxfId="858" priority="1022" operator="equal">
      <formula>"+"</formula>
    </cfRule>
  </conditionalFormatting>
  <conditionalFormatting sqref="AL30">
    <cfRule type="cellIs" dxfId="857" priority="1019" operator="equal">
      <formula>"-"</formula>
    </cfRule>
    <cfRule type="cellIs" dxfId="856" priority="1020" operator="equal">
      <formula>"+"</formula>
    </cfRule>
  </conditionalFormatting>
  <conditionalFormatting sqref="AK31:AK33">
    <cfRule type="cellIs" dxfId="855" priority="1017" operator="equal">
      <formula>"-"</formula>
    </cfRule>
    <cfRule type="cellIs" dxfId="854" priority="1018" operator="equal">
      <formula>"+"</formula>
    </cfRule>
  </conditionalFormatting>
  <conditionalFormatting sqref="AL31">
    <cfRule type="cellIs" dxfId="853" priority="1015" operator="equal">
      <formula>"-"</formula>
    </cfRule>
    <cfRule type="cellIs" dxfId="852" priority="1016" operator="equal">
      <formula>"+"</formula>
    </cfRule>
  </conditionalFormatting>
  <conditionalFormatting sqref="AL32">
    <cfRule type="cellIs" dxfId="851" priority="1013" operator="equal">
      <formula>"-"</formula>
    </cfRule>
    <cfRule type="cellIs" dxfId="850" priority="1014" operator="equal">
      <formula>"+"</formula>
    </cfRule>
  </conditionalFormatting>
  <conditionalFormatting sqref="AL33">
    <cfRule type="cellIs" dxfId="849" priority="1011" operator="equal">
      <formula>"-"</formula>
    </cfRule>
    <cfRule type="cellIs" dxfId="848" priority="1012" operator="equal">
      <formula>"+"</formula>
    </cfRule>
  </conditionalFormatting>
  <conditionalFormatting sqref="AK34:AK36">
    <cfRule type="cellIs" dxfId="847" priority="1009" operator="equal">
      <formula>"-"</formula>
    </cfRule>
    <cfRule type="cellIs" dxfId="846" priority="1010" operator="equal">
      <formula>"+"</formula>
    </cfRule>
  </conditionalFormatting>
  <conditionalFormatting sqref="AL34">
    <cfRule type="cellIs" dxfId="845" priority="1007" operator="equal">
      <formula>"-"</formula>
    </cfRule>
    <cfRule type="cellIs" dxfId="844" priority="1008" operator="equal">
      <formula>"+"</formula>
    </cfRule>
  </conditionalFormatting>
  <conditionalFormatting sqref="AL35">
    <cfRule type="cellIs" dxfId="843" priority="1005" operator="equal">
      <formula>"-"</formula>
    </cfRule>
    <cfRule type="cellIs" dxfId="842" priority="1006" operator="equal">
      <formula>"+"</formula>
    </cfRule>
  </conditionalFormatting>
  <conditionalFormatting sqref="AL36">
    <cfRule type="cellIs" dxfId="841" priority="1003" operator="equal">
      <formula>"-"</formula>
    </cfRule>
    <cfRule type="cellIs" dxfId="840" priority="1004" operator="equal">
      <formula>"+"</formula>
    </cfRule>
  </conditionalFormatting>
  <conditionalFormatting sqref="AK37:AK39">
    <cfRule type="cellIs" dxfId="839" priority="1001" operator="equal">
      <formula>"-"</formula>
    </cfRule>
    <cfRule type="cellIs" dxfId="838" priority="1002" operator="equal">
      <formula>"+"</formula>
    </cfRule>
  </conditionalFormatting>
  <conditionalFormatting sqref="AL37">
    <cfRule type="cellIs" dxfId="837" priority="999" operator="equal">
      <formula>"-"</formula>
    </cfRule>
    <cfRule type="cellIs" dxfId="836" priority="1000" operator="equal">
      <formula>"+"</formula>
    </cfRule>
  </conditionalFormatting>
  <conditionalFormatting sqref="AL38">
    <cfRule type="cellIs" dxfId="835" priority="997" operator="equal">
      <formula>"-"</formula>
    </cfRule>
    <cfRule type="cellIs" dxfId="834" priority="998" operator="equal">
      <formula>"+"</formula>
    </cfRule>
  </conditionalFormatting>
  <conditionalFormatting sqref="AL39">
    <cfRule type="cellIs" dxfId="833" priority="995" operator="equal">
      <formula>"-"</formula>
    </cfRule>
    <cfRule type="cellIs" dxfId="832" priority="996" operator="equal">
      <formula>"+"</formula>
    </cfRule>
  </conditionalFormatting>
  <conditionalFormatting sqref="AK40:AK42">
    <cfRule type="cellIs" dxfId="831" priority="993" operator="equal">
      <formula>"-"</formula>
    </cfRule>
    <cfRule type="cellIs" dxfId="830" priority="994" operator="equal">
      <formula>"+"</formula>
    </cfRule>
  </conditionalFormatting>
  <conditionalFormatting sqref="AL40">
    <cfRule type="cellIs" dxfId="829" priority="991" operator="equal">
      <formula>"-"</formula>
    </cfRule>
    <cfRule type="cellIs" dxfId="828" priority="992" operator="equal">
      <formula>"+"</formula>
    </cfRule>
  </conditionalFormatting>
  <conditionalFormatting sqref="AL41">
    <cfRule type="cellIs" dxfId="827" priority="989" operator="equal">
      <formula>"-"</formula>
    </cfRule>
    <cfRule type="cellIs" dxfId="826" priority="990" operator="equal">
      <formula>"+"</formula>
    </cfRule>
  </conditionalFormatting>
  <conditionalFormatting sqref="AL42">
    <cfRule type="cellIs" dxfId="825" priority="987" operator="equal">
      <formula>"-"</formula>
    </cfRule>
    <cfRule type="cellIs" dxfId="824" priority="988" operator="equal">
      <formula>"+"</formula>
    </cfRule>
  </conditionalFormatting>
  <conditionalFormatting sqref="AK43:AK45">
    <cfRule type="cellIs" dxfId="823" priority="985" operator="equal">
      <formula>"-"</formula>
    </cfRule>
    <cfRule type="cellIs" dxfId="822" priority="986" operator="equal">
      <formula>"+"</formula>
    </cfRule>
  </conditionalFormatting>
  <conditionalFormatting sqref="AL43">
    <cfRule type="cellIs" dxfId="821" priority="983" operator="equal">
      <formula>"-"</formula>
    </cfRule>
    <cfRule type="cellIs" dxfId="820" priority="984" operator="equal">
      <formula>"+"</formula>
    </cfRule>
  </conditionalFormatting>
  <conditionalFormatting sqref="AL44">
    <cfRule type="cellIs" dxfId="819" priority="981" operator="equal">
      <formula>"-"</formula>
    </cfRule>
    <cfRule type="cellIs" dxfId="818" priority="982" operator="equal">
      <formula>"+"</formula>
    </cfRule>
  </conditionalFormatting>
  <conditionalFormatting sqref="AL45">
    <cfRule type="cellIs" dxfId="817" priority="979" operator="equal">
      <formula>"-"</formula>
    </cfRule>
    <cfRule type="cellIs" dxfId="816" priority="980" operator="equal">
      <formula>"+"</formula>
    </cfRule>
  </conditionalFormatting>
  <conditionalFormatting sqref="AK53:AK55">
    <cfRule type="cellIs" dxfId="815" priority="977" operator="equal">
      <formula>"-"</formula>
    </cfRule>
    <cfRule type="cellIs" dxfId="814" priority="978" operator="equal">
      <formula>"+"</formula>
    </cfRule>
  </conditionalFormatting>
  <conditionalFormatting sqref="AL53">
    <cfRule type="cellIs" dxfId="813" priority="975" operator="equal">
      <formula>"-"</formula>
    </cfRule>
    <cfRule type="cellIs" dxfId="812" priority="976" operator="equal">
      <formula>"+"</formula>
    </cfRule>
  </conditionalFormatting>
  <conditionalFormatting sqref="AL54">
    <cfRule type="cellIs" dxfId="811" priority="973" operator="equal">
      <formula>"-"</formula>
    </cfRule>
    <cfRule type="cellIs" dxfId="810" priority="974" operator="equal">
      <formula>"+"</formula>
    </cfRule>
  </conditionalFormatting>
  <conditionalFormatting sqref="AL55">
    <cfRule type="cellIs" dxfId="809" priority="971" operator="equal">
      <formula>"-"</formula>
    </cfRule>
    <cfRule type="cellIs" dxfId="808" priority="972" operator="equal">
      <formula>"+"</formula>
    </cfRule>
  </conditionalFormatting>
  <conditionalFormatting sqref="AK56:AK58">
    <cfRule type="cellIs" dxfId="807" priority="969" operator="equal">
      <formula>"-"</formula>
    </cfRule>
    <cfRule type="cellIs" dxfId="806" priority="970" operator="equal">
      <formula>"+"</formula>
    </cfRule>
  </conditionalFormatting>
  <conditionalFormatting sqref="AL56">
    <cfRule type="cellIs" dxfId="805" priority="967" operator="equal">
      <formula>"-"</formula>
    </cfRule>
    <cfRule type="cellIs" dxfId="804" priority="968" operator="equal">
      <formula>"+"</formula>
    </cfRule>
  </conditionalFormatting>
  <conditionalFormatting sqref="AL57">
    <cfRule type="cellIs" dxfId="803" priority="965" operator="equal">
      <formula>"-"</formula>
    </cfRule>
    <cfRule type="cellIs" dxfId="802" priority="966" operator="equal">
      <formula>"+"</formula>
    </cfRule>
  </conditionalFormatting>
  <conditionalFormatting sqref="AL58">
    <cfRule type="cellIs" dxfId="801" priority="963" operator="equal">
      <formula>"-"</formula>
    </cfRule>
    <cfRule type="cellIs" dxfId="800" priority="964" operator="equal">
      <formula>"+"</formula>
    </cfRule>
  </conditionalFormatting>
  <conditionalFormatting sqref="AK46:AK52">
    <cfRule type="cellIs" dxfId="799" priority="961" operator="equal">
      <formula>"-"</formula>
    </cfRule>
    <cfRule type="cellIs" dxfId="798" priority="962" operator="equal">
      <formula>"+"</formula>
    </cfRule>
  </conditionalFormatting>
  <conditionalFormatting sqref="AL46">
    <cfRule type="cellIs" dxfId="797" priority="959" operator="equal">
      <formula>"-"</formula>
    </cfRule>
    <cfRule type="cellIs" dxfId="796" priority="960" operator="equal">
      <formula>"+"</formula>
    </cfRule>
  </conditionalFormatting>
  <conditionalFormatting sqref="AL47">
    <cfRule type="cellIs" dxfId="795" priority="957" operator="equal">
      <formula>"-"</formula>
    </cfRule>
    <cfRule type="cellIs" dxfId="794" priority="958" operator="equal">
      <formula>"+"</formula>
    </cfRule>
  </conditionalFormatting>
  <conditionalFormatting sqref="AL51">
    <cfRule type="cellIs" dxfId="793" priority="955" operator="equal">
      <formula>"-"</formula>
    </cfRule>
    <cfRule type="cellIs" dxfId="792" priority="956" operator="equal">
      <formula>"+"</formula>
    </cfRule>
  </conditionalFormatting>
  <conditionalFormatting sqref="AL52">
    <cfRule type="cellIs" dxfId="791" priority="953" operator="equal">
      <formula>"-"</formula>
    </cfRule>
    <cfRule type="cellIs" dxfId="790" priority="954" operator="equal">
      <formula>"+"</formula>
    </cfRule>
  </conditionalFormatting>
  <conditionalFormatting sqref="AL48">
    <cfRule type="cellIs" dxfId="789" priority="951" operator="equal">
      <formula>"-"</formula>
    </cfRule>
    <cfRule type="cellIs" dxfId="788" priority="952" operator="equal">
      <formula>"+"</formula>
    </cfRule>
  </conditionalFormatting>
  <conditionalFormatting sqref="AL49">
    <cfRule type="cellIs" dxfId="787" priority="949" operator="equal">
      <formula>"-"</formula>
    </cfRule>
    <cfRule type="cellIs" dxfId="786" priority="950" operator="equal">
      <formula>"+"</formula>
    </cfRule>
  </conditionalFormatting>
  <conditionalFormatting sqref="AL50">
    <cfRule type="cellIs" dxfId="785" priority="947" operator="equal">
      <formula>"-"</formula>
    </cfRule>
    <cfRule type="cellIs" dxfId="784" priority="948" operator="equal">
      <formula>"+"</formula>
    </cfRule>
  </conditionalFormatting>
  <conditionalFormatting sqref="AL60">
    <cfRule type="cellIs" dxfId="783" priority="945" operator="equal">
      <formula>"-"</formula>
    </cfRule>
    <cfRule type="cellIs" dxfId="782" priority="946" operator="equal">
      <formula>"+"</formula>
    </cfRule>
  </conditionalFormatting>
  <conditionalFormatting sqref="AL70">
    <cfRule type="cellIs" dxfId="781" priority="943" operator="equal">
      <formula>"-"</formula>
    </cfRule>
    <cfRule type="cellIs" dxfId="780" priority="944" operator="equal">
      <formula>"+"</formula>
    </cfRule>
  </conditionalFormatting>
  <conditionalFormatting sqref="AL72">
    <cfRule type="cellIs" dxfId="779" priority="941" operator="equal">
      <formula>"-"</formula>
    </cfRule>
    <cfRule type="cellIs" dxfId="778" priority="942" operator="equal">
      <formula>"+"</formula>
    </cfRule>
  </conditionalFormatting>
  <conditionalFormatting sqref="AL74">
    <cfRule type="cellIs" dxfId="777" priority="939" operator="equal">
      <formula>"-"</formula>
    </cfRule>
    <cfRule type="cellIs" dxfId="776" priority="940" operator="equal">
      <formula>"+"</formula>
    </cfRule>
  </conditionalFormatting>
  <conditionalFormatting sqref="AL61">
    <cfRule type="cellIs" dxfId="775" priority="937" operator="equal">
      <formula>"-"</formula>
    </cfRule>
    <cfRule type="cellIs" dxfId="774" priority="938" operator="equal">
      <formula>"+"</formula>
    </cfRule>
  </conditionalFormatting>
  <conditionalFormatting sqref="AL71">
    <cfRule type="cellIs" dxfId="773" priority="935" operator="equal">
      <formula>"-"</formula>
    </cfRule>
    <cfRule type="cellIs" dxfId="772" priority="936" operator="equal">
      <formula>"+"</formula>
    </cfRule>
  </conditionalFormatting>
  <conditionalFormatting sqref="AL73">
    <cfRule type="cellIs" dxfId="771" priority="933" operator="equal">
      <formula>"-"</formula>
    </cfRule>
    <cfRule type="cellIs" dxfId="770" priority="934" operator="equal">
      <formula>"+"</formula>
    </cfRule>
  </conditionalFormatting>
  <conditionalFormatting sqref="AL75">
    <cfRule type="cellIs" dxfId="769" priority="931" operator="equal">
      <formula>"-"</formula>
    </cfRule>
    <cfRule type="cellIs" dxfId="768" priority="932" operator="equal">
      <formula>"+"</formula>
    </cfRule>
  </conditionalFormatting>
  <conditionalFormatting sqref="AK60:AK61">
    <cfRule type="cellIs" dxfId="767" priority="929" operator="equal">
      <formula>"-"</formula>
    </cfRule>
    <cfRule type="cellIs" dxfId="766" priority="930" operator="equal">
      <formula>"+"</formula>
    </cfRule>
  </conditionalFormatting>
  <conditionalFormatting sqref="AK70:AK71">
    <cfRule type="cellIs" dxfId="765" priority="927" operator="equal">
      <formula>"-"</formula>
    </cfRule>
    <cfRule type="cellIs" dxfId="764" priority="928" operator="equal">
      <formula>"+"</formula>
    </cfRule>
  </conditionalFormatting>
  <conditionalFormatting sqref="AK72:AK73">
    <cfRule type="cellIs" dxfId="763" priority="925" operator="equal">
      <formula>"-"</formula>
    </cfRule>
    <cfRule type="cellIs" dxfId="762" priority="926" operator="equal">
      <formula>"+"</formula>
    </cfRule>
  </conditionalFormatting>
  <conditionalFormatting sqref="AK74:AK75">
    <cfRule type="cellIs" dxfId="761" priority="923" operator="equal">
      <formula>"-"</formula>
    </cfRule>
    <cfRule type="cellIs" dxfId="760" priority="924" operator="equal">
      <formula>"+"</formula>
    </cfRule>
  </conditionalFormatting>
  <conditionalFormatting sqref="AK62:AK63">
    <cfRule type="cellIs" dxfId="759" priority="921" operator="equal">
      <formula>"+"</formula>
    </cfRule>
    <cfRule type="cellIs" dxfId="758" priority="922" operator="equal">
      <formula>"-"</formula>
    </cfRule>
  </conditionalFormatting>
  <conditionalFormatting sqref="AL62">
    <cfRule type="cellIs" dxfId="757" priority="919" operator="equal">
      <formula>"-"</formula>
    </cfRule>
    <cfRule type="cellIs" dxfId="756" priority="920" operator="equal">
      <formula>"+"</formula>
    </cfRule>
  </conditionalFormatting>
  <conditionalFormatting sqref="AL63">
    <cfRule type="cellIs" dxfId="755" priority="917" operator="equal">
      <formula>"-"</formula>
    </cfRule>
    <cfRule type="cellIs" dxfId="754" priority="918" operator="equal">
      <formula>"+"</formula>
    </cfRule>
  </conditionalFormatting>
  <conditionalFormatting sqref="AK64:AK65">
    <cfRule type="cellIs" dxfId="753" priority="915" operator="equal">
      <formula>"+"</formula>
    </cfRule>
    <cfRule type="cellIs" dxfId="752" priority="916" operator="equal">
      <formula>"-"</formula>
    </cfRule>
  </conditionalFormatting>
  <conditionalFormatting sqref="AL64">
    <cfRule type="cellIs" dxfId="751" priority="913" operator="equal">
      <formula>"-"</formula>
    </cfRule>
    <cfRule type="cellIs" dxfId="750" priority="914" operator="equal">
      <formula>"+"</formula>
    </cfRule>
  </conditionalFormatting>
  <conditionalFormatting sqref="AL65">
    <cfRule type="cellIs" dxfId="749" priority="911" operator="equal">
      <formula>"-"</formula>
    </cfRule>
    <cfRule type="cellIs" dxfId="748" priority="912" operator="equal">
      <formula>"+"</formula>
    </cfRule>
  </conditionalFormatting>
  <conditionalFormatting sqref="AK66:AK67">
    <cfRule type="cellIs" dxfId="747" priority="909" operator="equal">
      <formula>"+"</formula>
    </cfRule>
    <cfRule type="cellIs" dxfId="746" priority="910" operator="equal">
      <formula>"-"</formula>
    </cfRule>
  </conditionalFormatting>
  <conditionalFormatting sqref="AL66">
    <cfRule type="cellIs" dxfId="745" priority="907" operator="equal">
      <formula>"-"</formula>
    </cfRule>
    <cfRule type="cellIs" dxfId="744" priority="908" operator="equal">
      <formula>"+"</formula>
    </cfRule>
  </conditionalFormatting>
  <conditionalFormatting sqref="AL67">
    <cfRule type="cellIs" dxfId="743" priority="905" operator="equal">
      <formula>"-"</formula>
    </cfRule>
    <cfRule type="cellIs" dxfId="742" priority="906" operator="equal">
      <formula>"+"</formula>
    </cfRule>
  </conditionalFormatting>
  <conditionalFormatting sqref="AK68:AK69">
    <cfRule type="cellIs" dxfId="741" priority="903" operator="equal">
      <formula>"+"</formula>
    </cfRule>
    <cfRule type="cellIs" dxfId="740" priority="904" operator="equal">
      <formula>"-"</formula>
    </cfRule>
  </conditionalFormatting>
  <conditionalFormatting sqref="AL68">
    <cfRule type="cellIs" dxfId="739" priority="901" operator="equal">
      <formula>"-"</formula>
    </cfRule>
    <cfRule type="cellIs" dxfId="738" priority="902" operator="equal">
      <formula>"+"</formula>
    </cfRule>
  </conditionalFormatting>
  <conditionalFormatting sqref="AL69">
    <cfRule type="cellIs" dxfId="737" priority="899" operator="equal">
      <formula>"-"</formula>
    </cfRule>
    <cfRule type="cellIs" dxfId="736" priority="900" operator="equal">
      <formula>"+"</formula>
    </cfRule>
  </conditionalFormatting>
  <conditionalFormatting sqref="AK77:AK78">
    <cfRule type="cellIs" dxfId="735" priority="897" operator="equal">
      <formula>"+"</formula>
    </cfRule>
    <cfRule type="cellIs" dxfId="734" priority="898" operator="equal">
      <formula>"-"</formula>
    </cfRule>
  </conditionalFormatting>
  <conditionalFormatting sqref="AL77">
    <cfRule type="cellIs" dxfId="733" priority="895" operator="equal">
      <formula>"-"</formula>
    </cfRule>
    <cfRule type="cellIs" dxfId="732" priority="896" operator="equal">
      <formula>"+"</formula>
    </cfRule>
  </conditionalFormatting>
  <conditionalFormatting sqref="AL78">
    <cfRule type="cellIs" dxfId="731" priority="893" operator="equal">
      <formula>"-"</formula>
    </cfRule>
    <cfRule type="cellIs" dxfId="730" priority="894" operator="equal">
      <formula>"+"</formula>
    </cfRule>
  </conditionalFormatting>
  <conditionalFormatting sqref="AK80:AK83">
    <cfRule type="cellIs" dxfId="729" priority="891" operator="equal">
      <formula>"-"</formula>
    </cfRule>
    <cfRule type="cellIs" dxfId="728" priority="892" operator="equal">
      <formula>"+"</formula>
    </cfRule>
  </conditionalFormatting>
  <conditionalFormatting sqref="AL80">
    <cfRule type="cellIs" dxfId="727" priority="889" operator="equal">
      <formula>"-"</formula>
    </cfRule>
    <cfRule type="cellIs" dxfId="726" priority="890" operator="equal">
      <formula>"+"</formula>
    </cfRule>
  </conditionalFormatting>
  <conditionalFormatting sqref="AL81:AL82">
    <cfRule type="cellIs" dxfId="725" priority="887" operator="equal">
      <formula>"-"</formula>
    </cfRule>
    <cfRule type="cellIs" dxfId="724" priority="888" operator="equal">
      <formula>"+"</formula>
    </cfRule>
  </conditionalFormatting>
  <conditionalFormatting sqref="AL83">
    <cfRule type="cellIs" dxfId="723" priority="885" operator="equal">
      <formula>"-"</formula>
    </cfRule>
    <cfRule type="cellIs" dxfId="722" priority="886" operator="equal">
      <formula>"+"</formula>
    </cfRule>
  </conditionalFormatting>
  <conditionalFormatting sqref="AK87:AK94">
    <cfRule type="cellIs" dxfId="721" priority="883" operator="equal">
      <formula>"-"</formula>
    </cfRule>
    <cfRule type="cellIs" dxfId="720" priority="884" operator="equal">
      <formula>"+"</formula>
    </cfRule>
  </conditionalFormatting>
  <conditionalFormatting sqref="AL87">
    <cfRule type="cellIs" dxfId="719" priority="881" operator="equal">
      <formula>"-"</formula>
    </cfRule>
    <cfRule type="cellIs" dxfId="718" priority="882" operator="equal">
      <formula>"+"</formula>
    </cfRule>
  </conditionalFormatting>
  <conditionalFormatting sqref="AL88:AL93">
    <cfRule type="cellIs" dxfId="717" priority="879" operator="equal">
      <formula>"-"</formula>
    </cfRule>
    <cfRule type="cellIs" dxfId="716" priority="880" operator="equal">
      <formula>"+"</formula>
    </cfRule>
  </conditionalFormatting>
  <conditionalFormatting sqref="AL94">
    <cfRule type="cellIs" dxfId="715" priority="877" operator="equal">
      <formula>"-"</formula>
    </cfRule>
    <cfRule type="cellIs" dxfId="714" priority="878" operator="equal">
      <formula>"+"</formula>
    </cfRule>
  </conditionalFormatting>
  <conditionalFormatting sqref="AK95:AK100">
    <cfRule type="cellIs" dxfId="713" priority="875" operator="equal">
      <formula>"-"</formula>
    </cfRule>
    <cfRule type="cellIs" dxfId="712" priority="876" operator="equal">
      <formula>"+"</formula>
    </cfRule>
  </conditionalFormatting>
  <conditionalFormatting sqref="AL95">
    <cfRule type="cellIs" dxfId="711" priority="873" operator="equal">
      <formula>"-"</formula>
    </cfRule>
    <cfRule type="cellIs" dxfId="710" priority="874" operator="equal">
      <formula>"+"</formula>
    </cfRule>
  </conditionalFormatting>
  <conditionalFormatting sqref="AL96:AL99">
    <cfRule type="cellIs" dxfId="709" priority="871" operator="equal">
      <formula>"-"</formula>
    </cfRule>
    <cfRule type="cellIs" dxfId="708" priority="872" operator="equal">
      <formula>"+"</formula>
    </cfRule>
  </conditionalFormatting>
  <conditionalFormatting sqref="AL100">
    <cfRule type="cellIs" dxfId="707" priority="869" operator="equal">
      <formula>"-"</formula>
    </cfRule>
    <cfRule type="cellIs" dxfId="706" priority="870" operator="equal">
      <formula>"+"</formula>
    </cfRule>
  </conditionalFormatting>
  <conditionalFormatting sqref="AK84:AK86">
    <cfRule type="cellIs" dxfId="705" priority="867" operator="equal">
      <formula>"-"</formula>
    </cfRule>
    <cfRule type="cellIs" dxfId="704" priority="868" operator="equal">
      <formula>"+"</formula>
    </cfRule>
  </conditionalFormatting>
  <conditionalFormatting sqref="AL84">
    <cfRule type="cellIs" dxfId="703" priority="865" operator="equal">
      <formula>"-"</formula>
    </cfRule>
    <cfRule type="cellIs" dxfId="702" priority="866" operator="equal">
      <formula>"+"</formula>
    </cfRule>
  </conditionalFormatting>
  <conditionalFormatting sqref="AL85">
    <cfRule type="cellIs" dxfId="701" priority="863" operator="equal">
      <formula>"-"</formula>
    </cfRule>
    <cfRule type="cellIs" dxfId="700" priority="864" operator="equal">
      <formula>"+"</formula>
    </cfRule>
  </conditionalFormatting>
  <conditionalFormatting sqref="AL86">
    <cfRule type="cellIs" dxfId="699" priority="861" operator="equal">
      <formula>"-"</formula>
    </cfRule>
    <cfRule type="cellIs" dxfId="698" priority="862" operator="equal">
      <formula>"+"</formula>
    </cfRule>
  </conditionalFormatting>
  <conditionalFormatting sqref="AK101:AK103">
    <cfRule type="cellIs" dxfId="697" priority="859" operator="equal">
      <formula>"-"</formula>
    </cfRule>
    <cfRule type="cellIs" dxfId="696" priority="860" operator="equal">
      <formula>"+"</formula>
    </cfRule>
  </conditionalFormatting>
  <conditionalFormatting sqref="AL101">
    <cfRule type="cellIs" dxfId="695" priority="857" operator="equal">
      <formula>"-"</formula>
    </cfRule>
    <cfRule type="cellIs" dxfId="694" priority="858" operator="equal">
      <formula>"+"</formula>
    </cfRule>
  </conditionalFormatting>
  <conditionalFormatting sqref="AL102">
    <cfRule type="cellIs" dxfId="693" priority="855" operator="equal">
      <formula>"-"</formula>
    </cfRule>
    <cfRule type="cellIs" dxfId="692" priority="856" operator="equal">
      <formula>"+"</formula>
    </cfRule>
  </conditionalFormatting>
  <conditionalFormatting sqref="AL103">
    <cfRule type="cellIs" dxfId="691" priority="853" operator="equal">
      <formula>"-"</formula>
    </cfRule>
    <cfRule type="cellIs" dxfId="690" priority="854" operator="equal">
      <formula>"+"</formula>
    </cfRule>
  </conditionalFormatting>
  <conditionalFormatting sqref="AN6:AN8">
    <cfRule type="cellIs" dxfId="689" priority="851" operator="equal">
      <formula>"-"</formula>
    </cfRule>
    <cfRule type="cellIs" dxfId="688" priority="852" operator="equal">
      <formula>"+"</formula>
    </cfRule>
  </conditionalFormatting>
  <conditionalFormatting sqref="AO6">
    <cfRule type="cellIs" dxfId="687" priority="849" operator="equal">
      <formula>"-"</formula>
    </cfRule>
    <cfRule type="cellIs" dxfId="686" priority="850" operator="equal">
      <formula>"+"</formula>
    </cfRule>
  </conditionalFormatting>
  <conditionalFormatting sqref="AO7">
    <cfRule type="cellIs" dxfId="685" priority="847" operator="equal">
      <formula>"-"</formula>
    </cfRule>
    <cfRule type="cellIs" dxfId="684" priority="848" operator="equal">
      <formula>"+"</formula>
    </cfRule>
  </conditionalFormatting>
  <conditionalFormatting sqref="AO8">
    <cfRule type="cellIs" dxfId="683" priority="845" operator="equal">
      <formula>"-"</formula>
    </cfRule>
    <cfRule type="cellIs" dxfId="682" priority="846" operator="equal">
      <formula>"+"</formula>
    </cfRule>
  </conditionalFormatting>
  <conditionalFormatting sqref="AN9:AN11">
    <cfRule type="cellIs" dxfId="681" priority="843" operator="equal">
      <formula>"-"</formula>
    </cfRule>
    <cfRule type="cellIs" dxfId="680" priority="844" operator="equal">
      <formula>"+"</formula>
    </cfRule>
  </conditionalFormatting>
  <conditionalFormatting sqref="AO9">
    <cfRule type="cellIs" dxfId="679" priority="841" operator="equal">
      <formula>"-"</formula>
    </cfRule>
    <cfRule type="cellIs" dxfId="678" priority="842" operator="equal">
      <formula>"+"</formula>
    </cfRule>
  </conditionalFormatting>
  <conditionalFormatting sqref="AO10">
    <cfRule type="cellIs" dxfId="677" priority="839" operator="equal">
      <formula>"-"</formula>
    </cfRule>
    <cfRule type="cellIs" dxfId="676" priority="840" operator="equal">
      <formula>"+"</formula>
    </cfRule>
  </conditionalFormatting>
  <conditionalFormatting sqref="AO11">
    <cfRule type="cellIs" dxfId="675" priority="837" operator="equal">
      <formula>"-"</formula>
    </cfRule>
    <cfRule type="cellIs" dxfId="674" priority="838" operator="equal">
      <formula>"+"</formula>
    </cfRule>
  </conditionalFormatting>
  <conditionalFormatting sqref="AN12:AN14">
    <cfRule type="cellIs" dxfId="673" priority="835" operator="equal">
      <formula>"-"</formula>
    </cfRule>
    <cfRule type="cellIs" dxfId="672" priority="836" operator="equal">
      <formula>"+"</formula>
    </cfRule>
  </conditionalFormatting>
  <conditionalFormatting sqref="AO12">
    <cfRule type="cellIs" dxfId="671" priority="833" operator="equal">
      <formula>"-"</formula>
    </cfRule>
    <cfRule type="cellIs" dxfId="670" priority="834" operator="equal">
      <formula>"+"</formula>
    </cfRule>
  </conditionalFormatting>
  <conditionalFormatting sqref="AO13">
    <cfRule type="cellIs" dxfId="669" priority="831" operator="equal">
      <formula>"-"</formula>
    </cfRule>
    <cfRule type="cellIs" dxfId="668" priority="832" operator="equal">
      <formula>"+"</formula>
    </cfRule>
  </conditionalFormatting>
  <conditionalFormatting sqref="AO14">
    <cfRule type="cellIs" dxfId="667" priority="829" operator="equal">
      <formula>"-"</formula>
    </cfRule>
    <cfRule type="cellIs" dxfId="666" priority="830" operator="equal">
      <formula>"+"</formula>
    </cfRule>
  </conditionalFormatting>
  <conditionalFormatting sqref="AO15">
    <cfRule type="cellIs" dxfId="665" priority="827" operator="equal">
      <formula>"-"</formula>
    </cfRule>
    <cfRule type="cellIs" dxfId="664" priority="828" operator="equal">
      <formula>"+"</formula>
    </cfRule>
  </conditionalFormatting>
  <conditionalFormatting sqref="AO16:AO17">
    <cfRule type="cellIs" dxfId="663" priority="825" operator="equal">
      <formula>"-"</formula>
    </cfRule>
    <cfRule type="cellIs" dxfId="662" priority="826" operator="equal">
      <formula>"+"</formula>
    </cfRule>
  </conditionalFormatting>
  <conditionalFormatting sqref="AO18">
    <cfRule type="cellIs" dxfId="661" priority="823" operator="equal">
      <formula>"-"</formula>
    </cfRule>
    <cfRule type="cellIs" dxfId="660" priority="824" operator="equal">
      <formula>"+"</formula>
    </cfRule>
  </conditionalFormatting>
  <conditionalFormatting sqref="AO48">
    <cfRule type="cellIs" dxfId="659" priority="723" operator="equal">
      <formula>"-"</formula>
    </cfRule>
    <cfRule type="cellIs" dxfId="658" priority="724" operator="equal">
      <formula>"+"</formula>
    </cfRule>
  </conditionalFormatting>
  <conditionalFormatting sqref="AO49">
    <cfRule type="cellIs" dxfId="657" priority="721" operator="equal">
      <formula>"-"</formula>
    </cfRule>
    <cfRule type="cellIs" dxfId="656" priority="722" operator="equal">
      <formula>"+"</formula>
    </cfRule>
  </conditionalFormatting>
  <conditionalFormatting sqref="AO50">
    <cfRule type="cellIs" dxfId="655" priority="719" operator="equal">
      <formula>"-"</formula>
    </cfRule>
    <cfRule type="cellIs" dxfId="654" priority="720" operator="equal">
      <formula>"+"</formula>
    </cfRule>
  </conditionalFormatting>
  <conditionalFormatting sqref="AN22:AN24">
    <cfRule type="cellIs" dxfId="653" priority="813" operator="equal">
      <formula>"-"</formula>
    </cfRule>
    <cfRule type="cellIs" dxfId="652" priority="814" operator="equal">
      <formula>"+"</formula>
    </cfRule>
  </conditionalFormatting>
  <conditionalFormatting sqref="AO22">
    <cfRule type="cellIs" dxfId="651" priority="811" operator="equal">
      <formula>"-"</formula>
    </cfRule>
    <cfRule type="cellIs" dxfId="650" priority="812" operator="equal">
      <formula>"+"</formula>
    </cfRule>
  </conditionalFormatting>
  <conditionalFormatting sqref="AO23">
    <cfRule type="cellIs" dxfId="649" priority="809" operator="equal">
      <formula>"-"</formula>
    </cfRule>
    <cfRule type="cellIs" dxfId="648" priority="810" operator="equal">
      <formula>"+"</formula>
    </cfRule>
  </conditionalFormatting>
  <conditionalFormatting sqref="AO24">
    <cfRule type="cellIs" dxfId="647" priority="807" operator="equal">
      <formula>"-"</formula>
    </cfRule>
    <cfRule type="cellIs" dxfId="646" priority="808" operator="equal">
      <formula>"+"</formula>
    </cfRule>
  </conditionalFormatting>
  <conditionalFormatting sqref="AN25:AN27">
    <cfRule type="cellIs" dxfId="645" priority="805" operator="equal">
      <formula>"-"</formula>
    </cfRule>
    <cfRule type="cellIs" dxfId="644" priority="806" operator="equal">
      <formula>"+"</formula>
    </cfRule>
  </conditionalFormatting>
  <conditionalFormatting sqref="AO25">
    <cfRule type="cellIs" dxfId="643" priority="803" operator="equal">
      <formula>"-"</formula>
    </cfRule>
    <cfRule type="cellIs" dxfId="642" priority="804" operator="equal">
      <formula>"+"</formula>
    </cfRule>
  </conditionalFormatting>
  <conditionalFormatting sqref="AO26">
    <cfRule type="cellIs" dxfId="641" priority="801" operator="equal">
      <formula>"-"</formula>
    </cfRule>
    <cfRule type="cellIs" dxfId="640" priority="802" operator="equal">
      <formula>"+"</formula>
    </cfRule>
  </conditionalFormatting>
  <conditionalFormatting sqref="AO27">
    <cfRule type="cellIs" dxfId="639" priority="799" operator="equal">
      <formula>"-"</formula>
    </cfRule>
    <cfRule type="cellIs" dxfId="638" priority="800" operator="equal">
      <formula>"+"</formula>
    </cfRule>
  </conditionalFormatting>
  <conditionalFormatting sqref="AN28:AN30">
    <cfRule type="cellIs" dxfId="637" priority="797" operator="equal">
      <formula>"-"</formula>
    </cfRule>
    <cfRule type="cellIs" dxfId="636" priority="798" operator="equal">
      <formula>"+"</formula>
    </cfRule>
  </conditionalFormatting>
  <conditionalFormatting sqref="AO28">
    <cfRule type="cellIs" dxfId="635" priority="795" operator="equal">
      <formula>"-"</formula>
    </cfRule>
    <cfRule type="cellIs" dxfId="634" priority="796" operator="equal">
      <formula>"+"</formula>
    </cfRule>
  </conditionalFormatting>
  <conditionalFormatting sqref="AO29">
    <cfRule type="cellIs" dxfId="633" priority="793" operator="equal">
      <formula>"-"</formula>
    </cfRule>
    <cfRule type="cellIs" dxfId="632" priority="794" operator="equal">
      <formula>"+"</formula>
    </cfRule>
  </conditionalFormatting>
  <conditionalFormatting sqref="AO30">
    <cfRule type="cellIs" dxfId="631" priority="791" operator="equal">
      <formula>"-"</formula>
    </cfRule>
    <cfRule type="cellIs" dxfId="630" priority="792" operator="equal">
      <formula>"+"</formula>
    </cfRule>
  </conditionalFormatting>
  <conditionalFormatting sqref="AN31:AN33">
    <cfRule type="cellIs" dxfId="629" priority="789" operator="equal">
      <formula>"-"</formula>
    </cfRule>
    <cfRule type="cellIs" dxfId="628" priority="790" operator="equal">
      <formula>"+"</formula>
    </cfRule>
  </conditionalFormatting>
  <conditionalFormatting sqref="AO31">
    <cfRule type="cellIs" dxfId="627" priority="787" operator="equal">
      <formula>"-"</formula>
    </cfRule>
    <cfRule type="cellIs" dxfId="626" priority="788" operator="equal">
      <formula>"+"</formula>
    </cfRule>
  </conditionalFormatting>
  <conditionalFormatting sqref="AO32">
    <cfRule type="cellIs" dxfId="625" priority="785" operator="equal">
      <formula>"-"</formula>
    </cfRule>
    <cfRule type="cellIs" dxfId="624" priority="786" operator="equal">
      <formula>"+"</formula>
    </cfRule>
  </conditionalFormatting>
  <conditionalFormatting sqref="AO33">
    <cfRule type="cellIs" dxfId="623" priority="783" operator="equal">
      <formula>"-"</formula>
    </cfRule>
    <cfRule type="cellIs" dxfId="622" priority="784" operator="equal">
      <formula>"+"</formula>
    </cfRule>
  </conditionalFormatting>
  <conditionalFormatting sqref="AN34:AN36">
    <cfRule type="cellIs" dxfId="621" priority="781" operator="equal">
      <formula>"-"</formula>
    </cfRule>
    <cfRule type="cellIs" dxfId="620" priority="782" operator="equal">
      <formula>"+"</formula>
    </cfRule>
  </conditionalFormatting>
  <conditionalFormatting sqref="AO34">
    <cfRule type="cellIs" dxfId="619" priority="779" operator="equal">
      <formula>"-"</formula>
    </cfRule>
    <cfRule type="cellIs" dxfId="618" priority="780" operator="equal">
      <formula>"+"</formula>
    </cfRule>
  </conditionalFormatting>
  <conditionalFormatting sqref="AO35">
    <cfRule type="cellIs" dxfId="617" priority="777" operator="equal">
      <formula>"-"</formula>
    </cfRule>
    <cfRule type="cellIs" dxfId="616" priority="778" operator="equal">
      <formula>"+"</formula>
    </cfRule>
  </conditionalFormatting>
  <conditionalFormatting sqref="AO36">
    <cfRule type="cellIs" dxfId="615" priority="775" operator="equal">
      <formula>"-"</formula>
    </cfRule>
    <cfRule type="cellIs" dxfId="614" priority="776" operator="equal">
      <formula>"+"</formula>
    </cfRule>
  </conditionalFormatting>
  <conditionalFormatting sqref="AN37:AN39">
    <cfRule type="cellIs" dxfId="613" priority="773" operator="equal">
      <formula>"-"</formula>
    </cfRule>
    <cfRule type="cellIs" dxfId="612" priority="774" operator="equal">
      <formula>"+"</formula>
    </cfRule>
  </conditionalFormatting>
  <conditionalFormatting sqref="AO37">
    <cfRule type="cellIs" dxfId="611" priority="771" operator="equal">
      <formula>"-"</formula>
    </cfRule>
    <cfRule type="cellIs" dxfId="610" priority="772" operator="equal">
      <formula>"+"</formula>
    </cfRule>
  </conditionalFormatting>
  <conditionalFormatting sqref="AO38">
    <cfRule type="cellIs" dxfId="609" priority="769" operator="equal">
      <formula>"-"</formula>
    </cfRule>
    <cfRule type="cellIs" dxfId="608" priority="770" operator="equal">
      <formula>"+"</formula>
    </cfRule>
  </conditionalFormatting>
  <conditionalFormatting sqref="AO39">
    <cfRule type="cellIs" dxfId="607" priority="767" operator="equal">
      <formula>"-"</formula>
    </cfRule>
    <cfRule type="cellIs" dxfId="606" priority="768" operator="equal">
      <formula>"+"</formula>
    </cfRule>
  </conditionalFormatting>
  <conditionalFormatting sqref="AN40:AN42">
    <cfRule type="cellIs" dxfId="605" priority="765" operator="equal">
      <formula>"-"</formula>
    </cfRule>
    <cfRule type="cellIs" dxfId="604" priority="766" operator="equal">
      <formula>"+"</formula>
    </cfRule>
  </conditionalFormatting>
  <conditionalFormatting sqref="AO40">
    <cfRule type="cellIs" dxfId="603" priority="763" operator="equal">
      <formula>"-"</formula>
    </cfRule>
    <cfRule type="cellIs" dxfId="602" priority="764" operator="equal">
      <formula>"+"</formula>
    </cfRule>
  </conditionalFormatting>
  <conditionalFormatting sqref="AO41">
    <cfRule type="cellIs" dxfId="601" priority="761" operator="equal">
      <formula>"-"</formula>
    </cfRule>
    <cfRule type="cellIs" dxfId="600" priority="762" operator="equal">
      <formula>"+"</formula>
    </cfRule>
  </conditionalFormatting>
  <conditionalFormatting sqref="AO42">
    <cfRule type="cellIs" dxfId="599" priority="759" operator="equal">
      <formula>"-"</formula>
    </cfRule>
    <cfRule type="cellIs" dxfId="598" priority="760" operator="equal">
      <formula>"+"</formula>
    </cfRule>
  </conditionalFormatting>
  <conditionalFormatting sqref="AN43:AN45">
    <cfRule type="cellIs" dxfId="597" priority="757" operator="equal">
      <formula>"-"</formula>
    </cfRule>
    <cfRule type="cellIs" dxfId="596" priority="758" operator="equal">
      <formula>"+"</formula>
    </cfRule>
  </conditionalFormatting>
  <conditionalFormatting sqref="AO43">
    <cfRule type="cellIs" dxfId="595" priority="755" operator="equal">
      <formula>"-"</formula>
    </cfRule>
    <cfRule type="cellIs" dxfId="594" priority="756" operator="equal">
      <formula>"+"</formula>
    </cfRule>
  </conditionalFormatting>
  <conditionalFormatting sqref="AO44">
    <cfRule type="cellIs" dxfId="593" priority="753" operator="equal">
      <formula>"-"</formula>
    </cfRule>
    <cfRule type="cellIs" dxfId="592" priority="754" operator="equal">
      <formula>"+"</formula>
    </cfRule>
  </conditionalFormatting>
  <conditionalFormatting sqref="AO45">
    <cfRule type="cellIs" dxfId="591" priority="751" operator="equal">
      <formula>"-"</formula>
    </cfRule>
    <cfRule type="cellIs" dxfId="590" priority="752" operator="equal">
      <formula>"+"</formula>
    </cfRule>
  </conditionalFormatting>
  <conditionalFormatting sqref="AN53:AN55">
    <cfRule type="cellIs" dxfId="589" priority="749" operator="equal">
      <formula>"-"</formula>
    </cfRule>
    <cfRule type="cellIs" dxfId="588" priority="750" operator="equal">
      <formula>"+"</formula>
    </cfRule>
  </conditionalFormatting>
  <conditionalFormatting sqref="AO53">
    <cfRule type="cellIs" dxfId="587" priority="747" operator="equal">
      <formula>"-"</formula>
    </cfRule>
    <cfRule type="cellIs" dxfId="586" priority="748" operator="equal">
      <formula>"+"</formula>
    </cfRule>
  </conditionalFormatting>
  <conditionalFormatting sqref="AO54">
    <cfRule type="cellIs" dxfId="585" priority="745" operator="equal">
      <formula>"-"</formula>
    </cfRule>
    <cfRule type="cellIs" dxfId="584" priority="746" operator="equal">
      <formula>"+"</formula>
    </cfRule>
  </conditionalFormatting>
  <conditionalFormatting sqref="AO55">
    <cfRule type="cellIs" dxfId="583" priority="743" operator="equal">
      <formula>"-"</formula>
    </cfRule>
    <cfRule type="cellIs" dxfId="582" priority="744" operator="equal">
      <formula>"+"</formula>
    </cfRule>
  </conditionalFormatting>
  <conditionalFormatting sqref="AN56:AN58">
    <cfRule type="cellIs" dxfId="581" priority="741" operator="equal">
      <formula>"-"</formula>
    </cfRule>
    <cfRule type="cellIs" dxfId="580" priority="742" operator="equal">
      <formula>"+"</formula>
    </cfRule>
  </conditionalFormatting>
  <conditionalFormatting sqref="AO56">
    <cfRule type="cellIs" dxfId="579" priority="739" operator="equal">
      <formula>"-"</formula>
    </cfRule>
    <cfRule type="cellIs" dxfId="578" priority="740" operator="equal">
      <formula>"+"</formula>
    </cfRule>
  </conditionalFormatting>
  <conditionalFormatting sqref="AO57">
    <cfRule type="cellIs" dxfId="577" priority="737" operator="equal">
      <formula>"-"</formula>
    </cfRule>
    <cfRule type="cellIs" dxfId="576" priority="738" operator="equal">
      <formula>"+"</formula>
    </cfRule>
  </conditionalFormatting>
  <conditionalFormatting sqref="AO58">
    <cfRule type="cellIs" dxfId="575" priority="735" operator="equal">
      <formula>"-"</formula>
    </cfRule>
    <cfRule type="cellIs" dxfId="574" priority="736" operator="equal">
      <formula>"+"</formula>
    </cfRule>
  </conditionalFormatting>
  <conditionalFormatting sqref="AN46:AN52">
    <cfRule type="cellIs" dxfId="573" priority="733" operator="equal">
      <formula>"-"</formula>
    </cfRule>
    <cfRule type="cellIs" dxfId="572" priority="734" operator="equal">
      <formula>"+"</formula>
    </cfRule>
  </conditionalFormatting>
  <conditionalFormatting sqref="AO46">
    <cfRule type="cellIs" dxfId="571" priority="731" operator="equal">
      <formula>"-"</formula>
    </cfRule>
    <cfRule type="cellIs" dxfId="570" priority="732" operator="equal">
      <formula>"+"</formula>
    </cfRule>
  </conditionalFormatting>
  <conditionalFormatting sqref="AO47">
    <cfRule type="cellIs" dxfId="569" priority="729" operator="equal">
      <formula>"-"</formula>
    </cfRule>
    <cfRule type="cellIs" dxfId="568" priority="730" operator="equal">
      <formula>"+"</formula>
    </cfRule>
  </conditionalFormatting>
  <conditionalFormatting sqref="AO51">
    <cfRule type="cellIs" dxfId="567" priority="727" operator="equal">
      <formula>"-"</formula>
    </cfRule>
    <cfRule type="cellIs" dxfId="566" priority="728" operator="equal">
      <formula>"+"</formula>
    </cfRule>
  </conditionalFormatting>
  <conditionalFormatting sqref="AO52">
    <cfRule type="cellIs" dxfId="565" priority="725" operator="equal">
      <formula>"-"</formula>
    </cfRule>
    <cfRule type="cellIs" dxfId="564" priority="726" operator="equal">
      <formula>"+"</formula>
    </cfRule>
  </conditionalFormatting>
  <conditionalFormatting sqref="AO60">
    <cfRule type="cellIs" dxfId="563" priority="717" operator="equal">
      <formula>"-"</formula>
    </cfRule>
    <cfRule type="cellIs" dxfId="562" priority="718" operator="equal">
      <formula>"+"</formula>
    </cfRule>
  </conditionalFormatting>
  <conditionalFormatting sqref="AO70">
    <cfRule type="cellIs" dxfId="561" priority="715" operator="equal">
      <formula>"-"</formula>
    </cfRule>
    <cfRule type="cellIs" dxfId="560" priority="716" operator="equal">
      <formula>"+"</formula>
    </cfRule>
  </conditionalFormatting>
  <conditionalFormatting sqref="AO72">
    <cfRule type="cellIs" dxfId="559" priority="713" operator="equal">
      <formula>"-"</formula>
    </cfRule>
    <cfRule type="cellIs" dxfId="558" priority="714" operator="equal">
      <formula>"+"</formula>
    </cfRule>
  </conditionalFormatting>
  <conditionalFormatting sqref="AO61">
    <cfRule type="cellIs" dxfId="557" priority="709" operator="equal">
      <formula>"-"</formula>
    </cfRule>
    <cfRule type="cellIs" dxfId="556" priority="710" operator="equal">
      <formula>"+"</formula>
    </cfRule>
  </conditionalFormatting>
  <conditionalFormatting sqref="AO71">
    <cfRule type="cellIs" dxfId="555" priority="707" operator="equal">
      <formula>"-"</formula>
    </cfRule>
    <cfRule type="cellIs" dxfId="554" priority="708" operator="equal">
      <formula>"+"</formula>
    </cfRule>
  </conditionalFormatting>
  <conditionalFormatting sqref="AO73">
    <cfRule type="cellIs" dxfId="553" priority="705" operator="equal">
      <formula>"-"</formula>
    </cfRule>
    <cfRule type="cellIs" dxfId="552" priority="706" operator="equal">
      <formula>"+"</formula>
    </cfRule>
  </conditionalFormatting>
  <conditionalFormatting sqref="AN60:AN61">
    <cfRule type="cellIs" dxfId="551" priority="701" operator="equal">
      <formula>"-"</formula>
    </cfRule>
    <cfRule type="cellIs" dxfId="550" priority="702" operator="equal">
      <formula>"+"</formula>
    </cfRule>
  </conditionalFormatting>
  <conditionalFormatting sqref="AN70:AN71">
    <cfRule type="cellIs" dxfId="549" priority="699" operator="equal">
      <formula>"-"</formula>
    </cfRule>
    <cfRule type="cellIs" dxfId="548" priority="700" operator="equal">
      <formula>"+"</formula>
    </cfRule>
  </conditionalFormatting>
  <conditionalFormatting sqref="AN72:AN73">
    <cfRule type="cellIs" dxfId="547" priority="697" operator="equal">
      <formula>"-"</formula>
    </cfRule>
    <cfRule type="cellIs" dxfId="546" priority="698" operator="equal">
      <formula>"+"</formula>
    </cfRule>
  </conditionalFormatting>
  <conditionalFormatting sqref="AN62:AN63">
    <cfRule type="cellIs" dxfId="545" priority="693" operator="equal">
      <formula>"+"</formula>
    </cfRule>
    <cfRule type="cellIs" dxfId="544" priority="694" operator="equal">
      <formula>"-"</formula>
    </cfRule>
  </conditionalFormatting>
  <conditionalFormatting sqref="AO62">
    <cfRule type="cellIs" dxfId="543" priority="691" operator="equal">
      <formula>"-"</formula>
    </cfRule>
    <cfRule type="cellIs" dxfId="542" priority="692" operator="equal">
      <formula>"+"</formula>
    </cfRule>
  </conditionalFormatting>
  <conditionalFormatting sqref="AO63">
    <cfRule type="cellIs" dxfId="541" priority="689" operator="equal">
      <formula>"-"</formula>
    </cfRule>
    <cfRule type="cellIs" dxfId="540" priority="690" operator="equal">
      <formula>"+"</formula>
    </cfRule>
  </conditionalFormatting>
  <conditionalFormatting sqref="AN66:AN67">
    <cfRule type="cellIs" dxfId="539" priority="681" operator="equal">
      <formula>"+"</formula>
    </cfRule>
    <cfRule type="cellIs" dxfId="538" priority="682" operator="equal">
      <formula>"-"</formula>
    </cfRule>
  </conditionalFormatting>
  <conditionalFormatting sqref="AO66">
    <cfRule type="cellIs" dxfId="537" priority="679" operator="equal">
      <formula>"-"</formula>
    </cfRule>
    <cfRule type="cellIs" dxfId="536" priority="680" operator="equal">
      <formula>"+"</formula>
    </cfRule>
  </conditionalFormatting>
  <conditionalFormatting sqref="AO67">
    <cfRule type="cellIs" dxfId="535" priority="677" operator="equal">
      <formula>"-"</formula>
    </cfRule>
    <cfRule type="cellIs" dxfId="534" priority="678" operator="equal">
      <formula>"+"</formula>
    </cfRule>
  </conditionalFormatting>
  <conditionalFormatting sqref="AN68:AN69">
    <cfRule type="cellIs" dxfId="533" priority="675" operator="equal">
      <formula>"+"</formula>
    </cfRule>
    <cfRule type="cellIs" dxfId="532" priority="676" operator="equal">
      <formula>"-"</formula>
    </cfRule>
  </conditionalFormatting>
  <conditionalFormatting sqref="AO68">
    <cfRule type="cellIs" dxfId="531" priority="673" operator="equal">
      <formula>"-"</formula>
    </cfRule>
    <cfRule type="cellIs" dxfId="530" priority="674" operator="equal">
      <formula>"+"</formula>
    </cfRule>
  </conditionalFormatting>
  <conditionalFormatting sqref="AO69">
    <cfRule type="cellIs" dxfId="529" priority="671" operator="equal">
      <formula>"-"</formula>
    </cfRule>
    <cfRule type="cellIs" dxfId="528" priority="672" operator="equal">
      <formula>"+"</formula>
    </cfRule>
  </conditionalFormatting>
  <conditionalFormatting sqref="AN77:AN78">
    <cfRule type="cellIs" dxfId="527" priority="669" operator="equal">
      <formula>"+"</formula>
    </cfRule>
    <cfRule type="cellIs" dxfId="526" priority="670" operator="equal">
      <formula>"-"</formula>
    </cfRule>
  </conditionalFormatting>
  <conditionalFormatting sqref="AO77">
    <cfRule type="cellIs" dxfId="525" priority="667" operator="equal">
      <formula>"-"</formula>
    </cfRule>
    <cfRule type="cellIs" dxfId="524" priority="668" operator="equal">
      <formula>"+"</formula>
    </cfRule>
  </conditionalFormatting>
  <conditionalFormatting sqref="AO78">
    <cfRule type="cellIs" dxfId="523" priority="665" operator="equal">
      <formula>"-"</formula>
    </cfRule>
    <cfRule type="cellIs" dxfId="522" priority="666" operator="equal">
      <formula>"+"</formula>
    </cfRule>
  </conditionalFormatting>
  <conditionalFormatting sqref="AN80:AN83">
    <cfRule type="cellIs" dxfId="521" priority="663" operator="equal">
      <formula>"-"</formula>
    </cfRule>
    <cfRule type="cellIs" dxfId="520" priority="664" operator="equal">
      <formula>"+"</formula>
    </cfRule>
  </conditionalFormatting>
  <conditionalFormatting sqref="AO80">
    <cfRule type="cellIs" dxfId="519" priority="661" operator="equal">
      <formula>"-"</formula>
    </cfRule>
    <cfRule type="cellIs" dxfId="518" priority="662" operator="equal">
      <formula>"+"</formula>
    </cfRule>
  </conditionalFormatting>
  <conditionalFormatting sqref="AO81:AO82">
    <cfRule type="cellIs" dxfId="517" priority="659" operator="equal">
      <formula>"-"</formula>
    </cfRule>
    <cfRule type="cellIs" dxfId="516" priority="660" operator="equal">
      <formula>"+"</formula>
    </cfRule>
  </conditionalFormatting>
  <conditionalFormatting sqref="AO83">
    <cfRule type="cellIs" dxfId="515" priority="657" operator="equal">
      <formula>"-"</formula>
    </cfRule>
    <cfRule type="cellIs" dxfId="514" priority="658" operator="equal">
      <formula>"+"</formula>
    </cfRule>
  </conditionalFormatting>
  <conditionalFormatting sqref="AN95:AN100">
    <cfRule type="cellIs" dxfId="513" priority="647" operator="equal">
      <formula>"-"</formula>
    </cfRule>
    <cfRule type="cellIs" dxfId="512" priority="648" operator="equal">
      <formula>"+"</formula>
    </cfRule>
  </conditionalFormatting>
  <conditionalFormatting sqref="AO95">
    <cfRule type="cellIs" dxfId="511" priority="645" operator="equal">
      <formula>"-"</formula>
    </cfRule>
    <cfRule type="cellIs" dxfId="510" priority="646" operator="equal">
      <formula>"+"</formula>
    </cfRule>
  </conditionalFormatting>
  <conditionalFormatting sqref="AO96:AO99">
    <cfRule type="cellIs" dxfId="509" priority="643" operator="equal">
      <formula>"-"</formula>
    </cfRule>
    <cfRule type="cellIs" dxfId="508" priority="644" operator="equal">
      <formula>"+"</formula>
    </cfRule>
  </conditionalFormatting>
  <conditionalFormatting sqref="K106">
    <cfRule type="cellIs" dxfId="507" priority="603" operator="equal">
      <formula>"-"</formula>
    </cfRule>
    <cfRule type="cellIs" dxfId="506" priority="604" operator="equal">
      <formula>"+"</formula>
    </cfRule>
  </conditionalFormatting>
  <conditionalFormatting sqref="K107">
    <cfRule type="cellIs" dxfId="505" priority="601" operator="equal">
      <formula>"-"</formula>
    </cfRule>
    <cfRule type="cellIs" dxfId="504" priority="602" operator="equal">
      <formula>"+"</formula>
    </cfRule>
  </conditionalFormatting>
  <conditionalFormatting sqref="M105:M107">
    <cfRule type="cellIs" dxfId="503" priority="599" operator="equal">
      <formula>"-"</formula>
    </cfRule>
    <cfRule type="cellIs" dxfId="502" priority="600" operator="equal">
      <formula>"+"</formula>
    </cfRule>
  </conditionalFormatting>
  <conditionalFormatting sqref="N105">
    <cfRule type="cellIs" dxfId="501" priority="597" operator="equal">
      <formula>"-"</formula>
    </cfRule>
    <cfRule type="cellIs" dxfId="500" priority="598" operator="equal">
      <formula>"+"</formula>
    </cfRule>
  </conditionalFormatting>
  <conditionalFormatting sqref="D105:D107">
    <cfRule type="cellIs" dxfId="499" priority="623" operator="equal">
      <formula>"-"</formula>
    </cfRule>
    <cfRule type="cellIs" dxfId="498" priority="624" operator="equal">
      <formula>"+"</formula>
    </cfRule>
  </conditionalFormatting>
  <conditionalFormatting sqref="E105">
    <cfRule type="cellIs" dxfId="497" priority="621" operator="equal">
      <formula>"-"</formula>
    </cfRule>
    <cfRule type="cellIs" dxfId="496" priority="622" operator="equal">
      <formula>"+"</formula>
    </cfRule>
  </conditionalFormatting>
  <conditionalFormatting sqref="E106">
    <cfRule type="cellIs" dxfId="495" priority="619" operator="equal">
      <formula>"-"</formula>
    </cfRule>
    <cfRule type="cellIs" dxfId="494" priority="620" operator="equal">
      <formula>"+"</formula>
    </cfRule>
  </conditionalFormatting>
  <conditionalFormatting sqref="E107">
    <cfRule type="cellIs" dxfId="493" priority="617" operator="equal">
      <formula>"-"</formula>
    </cfRule>
    <cfRule type="cellIs" dxfId="492" priority="618" operator="equal">
      <formula>"+"</formula>
    </cfRule>
  </conditionalFormatting>
  <conditionalFormatting sqref="G105:G107">
    <cfRule type="cellIs" dxfId="491" priority="615" operator="equal">
      <formula>"-"</formula>
    </cfRule>
    <cfRule type="cellIs" dxfId="490" priority="616" operator="equal">
      <formula>"+"</formula>
    </cfRule>
  </conditionalFormatting>
  <conditionalFormatting sqref="H105">
    <cfRule type="cellIs" dxfId="489" priority="613" operator="equal">
      <formula>"-"</formula>
    </cfRule>
    <cfRule type="cellIs" dxfId="488" priority="614" operator="equal">
      <formula>"+"</formula>
    </cfRule>
  </conditionalFormatting>
  <conditionalFormatting sqref="H106">
    <cfRule type="cellIs" dxfId="487" priority="611" operator="equal">
      <formula>"-"</formula>
    </cfRule>
    <cfRule type="cellIs" dxfId="486" priority="612" operator="equal">
      <formula>"+"</formula>
    </cfRule>
  </conditionalFormatting>
  <conditionalFormatting sqref="H107">
    <cfRule type="cellIs" dxfId="485" priority="609" operator="equal">
      <formula>"-"</formula>
    </cfRule>
    <cfRule type="cellIs" dxfId="484" priority="610" operator="equal">
      <formula>"+"</formula>
    </cfRule>
  </conditionalFormatting>
  <conditionalFormatting sqref="J105:J107">
    <cfRule type="cellIs" dxfId="483" priority="607" operator="equal">
      <formula>"-"</formula>
    </cfRule>
    <cfRule type="cellIs" dxfId="482" priority="608" operator="equal">
      <formula>"+"</formula>
    </cfRule>
  </conditionalFormatting>
  <conditionalFormatting sqref="K105">
    <cfRule type="cellIs" dxfId="481" priority="605" operator="equal">
      <formula>"-"</formula>
    </cfRule>
    <cfRule type="cellIs" dxfId="480" priority="606" operator="equal">
      <formula>"+"</formula>
    </cfRule>
  </conditionalFormatting>
  <conditionalFormatting sqref="N106">
    <cfRule type="cellIs" dxfId="479" priority="595" operator="equal">
      <formula>"-"</formula>
    </cfRule>
    <cfRule type="cellIs" dxfId="478" priority="596" operator="equal">
      <formula>"+"</formula>
    </cfRule>
  </conditionalFormatting>
  <conditionalFormatting sqref="N107">
    <cfRule type="cellIs" dxfId="477" priority="593" operator="equal">
      <formula>"-"</formula>
    </cfRule>
    <cfRule type="cellIs" dxfId="476" priority="594" operator="equal">
      <formula>"+"</formula>
    </cfRule>
  </conditionalFormatting>
  <conditionalFormatting sqref="P105:P107">
    <cfRule type="cellIs" dxfId="475" priority="591" operator="equal">
      <formula>"-"</formula>
    </cfRule>
    <cfRule type="cellIs" dxfId="474" priority="592" operator="equal">
      <formula>"+"</formula>
    </cfRule>
  </conditionalFormatting>
  <conditionalFormatting sqref="Q105">
    <cfRule type="cellIs" dxfId="473" priority="589" operator="equal">
      <formula>"-"</formula>
    </cfRule>
    <cfRule type="cellIs" dxfId="472" priority="590" operator="equal">
      <formula>"+"</formula>
    </cfRule>
  </conditionalFormatting>
  <conditionalFormatting sqref="Q106">
    <cfRule type="cellIs" dxfId="471" priority="587" operator="equal">
      <formula>"-"</formula>
    </cfRule>
    <cfRule type="cellIs" dxfId="470" priority="588" operator="equal">
      <formula>"+"</formula>
    </cfRule>
  </conditionalFormatting>
  <conditionalFormatting sqref="Q107">
    <cfRule type="cellIs" dxfId="469" priority="585" operator="equal">
      <formula>"-"</formula>
    </cfRule>
    <cfRule type="cellIs" dxfId="468" priority="586" operator="equal">
      <formula>"+"</formula>
    </cfRule>
  </conditionalFormatting>
  <conditionalFormatting sqref="V105:V107">
    <cfRule type="cellIs" dxfId="467" priority="575" operator="equal">
      <formula>"-"</formula>
    </cfRule>
    <cfRule type="cellIs" dxfId="466" priority="576" operator="equal">
      <formula>"+"</formula>
    </cfRule>
  </conditionalFormatting>
  <conditionalFormatting sqref="W105">
    <cfRule type="cellIs" dxfId="465" priority="573" operator="equal">
      <formula>"-"</formula>
    </cfRule>
    <cfRule type="cellIs" dxfId="464" priority="574" operator="equal">
      <formula>"+"</formula>
    </cfRule>
  </conditionalFormatting>
  <conditionalFormatting sqref="W106">
    <cfRule type="cellIs" dxfId="463" priority="571" operator="equal">
      <formula>"-"</formula>
    </cfRule>
    <cfRule type="cellIs" dxfId="462" priority="572" operator="equal">
      <formula>"+"</formula>
    </cfRule>
  </conditionalFormatting>
  <conditionalFormatting sqref="W107">
    <cfRule type="cellIs" dxfId="461" priority="569" operator="equal">
      <formula>"-"</formula>
    </cfRule>
    <cfRule type="cellIs" dxfId="460" priority="570" operator="equal">
      <formula>"+"</formula>
    </cfRule>
  </conditionalFormatting>
  <conditionalFormatting sqref="Y105:Y107">
    <cfRule type="cellIs" dxfId="459" priority="567" operator="equal">
      <formula>"-"</formula>
    </cfRule>
    <cfRule type="cellIs" dxfId="458" priority="568" operator="equal">
      <formula>"+"</formula>
    </cfRule>
  </conditionalFormatting>
  <conditionalFormatting sqref="Z105">
    <cfRule type="cellIs" dxfId="457" priority="565" operator="equal">
      <formula>"-"</formula>
    </cfRule>
    <cfRule type="cellIs" dxfId="456" priority="566" operator="equal">
      <formula>"+"</formula>
    </cfRule>
  </conditionalFormatting>
  <conditionalFormatting sqref="Z106">
    <cfRule type="cellIs" dxfId="455" priority="563" operator="equal">
      <formula>"-"</formula>
    </cfRule>
    <cfRule type="cellIs" dxfId="454" priority="564" operator="equal">
      <formula>"+"</formula>
    </cfRule>
  </conditionalFormatting>
  <conditionalFormatting sqref="Z107">
    <cfRule type="cellIs" dxfId="453" priority="561" operator="equal">
      <formula>"-"</formula>
    </cfRule>
    <cfRule type="cellIs" dxfId="452" priority="562" operator="equal">
      <formula>"+"</formula>
    </cfRule>
  </conditionalFormatting>
  <conditionalFormatting sqref="AB105:AB107">
    <cfRule type="cellIs" dxfId="451" priority="559" operator="equal">
      <formula>"-"</formula>
    </cfRule>
    <cfRule type="cellIs" dxfId="450" priority="560" operator="equal">
      <formula>"+"</formula>
    </cfRule>
  </conditionalFormatting>
  <conditionalFormatting sqref="AC105">
    <cfRule type="cellIs" dxfId="449" priority="557" operator="equal">
      <formula>"-"</formula>
    </cfRule>
    <cfRule type="cellIs" dxfId="448" priority="558" operator="equal">
      <formula>"+"</formula>
    </cfRule>
  </conditionalFormatting>
  <conditionalFormatting sqref="AC106">
    <cfRule type="cellIs" dxfId="447" priority="555" operator="equal">
      <formula>"-"</formula>
    </cfRule>
    <cfRule type="cellIs" dxfId="446" priority="556" operator="equal">
      <formula>"+"</formula>
    </cfRule>
  </conditionalFormatting>
  <conditionalFormatting sqref="AC107">
    <cfRule type="cellIs" dxfId="445" priority="553" operator="equal">
      <formula>"-"</formula>
    </cfRule>
    <cfRule type="cellIs" dxfId="444" priority="554" operator="equal">
      <formula>"+"</formula>
    </cfRule>
  </conditionalFormatting>
  <conditionalFormatting sqref="AE105:AE107">
    <cfRule type="cellIs" dxfId="443" priority="551" operator="equal">
      <formula>"-"</formula>
    </cfRule>
    <cfRule type="cellIs" dxfId="442" priority="552" operator="equal">
      <formula>"+"</formula>
    </cfRule>
  </conditionalFormatting>
  <conditionalFormatting sqref="AF105">
    <cfRule type="cellIs" dxfId="441" priority="549" operator="equal">
      <formula>"-"</formula>
    </cfRule>
    <cfRule type="cellIs" dxfId="440" priority="550" operator="equal">
      <formula>"+"</formula>
    </cfRule>
  </conditionalFormatting>
  <conditionalFormatting sqref="AF106">
    <cfRule type="cellIs" dxfId="439" priority="547" operator="equal">
      <formula>"-"</formula>
    </cfRule>
    <cfRule type="cellIs" dxfId="438" priority="548" operator="equal">
      <formula>"+"</formula>
    </cfRule>
  </conditionalFormatting>
  <conditionalFormatting sqref="AF107">
    <cfRule type="cellIs" dxfId="437" priority="545" operator="equal">
      <formula>"-"</formula>
    </cfRule>
    <cfRule type="cellIs" dxfId="436" priority="546" operator="equal">
      <formula>"+"</formula>
    </cfRule>
  </conditionalFormatting>
  <conditionalFormatting sqref="AH105:AH107">
    <cfRule type="cellIs" dxfId="435" priority="543" operator="equal">
      <formula>"-"</formula>
    </cfRule>
    <cfRule type="cellIs" dxfId="434" priority="544" operator="equal">
      <formula>"+"</formula>
    </cfRule>
  </conditionalFormatting>
  <conditionalFormatting sqref="AI105">
    <cfRule type="cellIs" dxfId="433" priority="541" operator="equal">
      <formula>"-"</formula>
    </cfRule>
    <cfRule type="cellIs" dxfId="432" priority="542" operator="equal">
      <formula>"+"</formula>
    </cfRule>
  </conditionalFormatting>
  <conditionalFormatting sqref="AI106">
    <cfRule type="cellIs" dxfId="431" priority="539" operator="equal">
      <formula>"-"</formula>
    </cfRule>
    <cfRule type="cellIs" dxfId="430" priority="540" operator="equal">
      <formula>"+"</formula>
    </cfRule>
  </conditionalFormatting>
  <conditionalFormatting sqref="AI107">
    <cfRule type="cellIs" dxfId="429" priority="537" operator="equal">
      <formula>"-"</formula>
    </cfRule>
    <cfRule type="cellIs" dxfId="428" priority="538" operator="equal">
      <formula>"+"</formula>
    </cfRule>
  </conditionalFormatting>
  <conditionalFormatting sqref="AK105:AK107">
    <cfRule type="cellIs" dxfId="427" priority="535" operator="equal">
      <formula>"-"</formula>
    </cfRule>
    <cfRule type="cellIs" dxfId="426" priority="536" operator="equal">
      <formula>"+"</formula>
    </cfRule>
  </conditionalFormatting>
  <conditionalFormatting sqref="AL105">
    <cfRule type="cellIs" dxfId="425" priority="533" operator="equal">
      <formula>"-"</formula>
    </cfRule>
    <cfRule type="cellIs" dxfId="424" priority="534" operator="equal">
      <formula>"+"</formula>
    </cfRule>
  </conditionalFormatting>
  <conditionalFormatting sqref="AL106">
    <cfRule type="cellIs" dxfId="423" priority="531" operator="equal">
      <formula>"-"</formula>
    </cfRule>
    <cfRule type="cellIs" dxfId="422" priority="532" operator="equal">
      <formula>"+"</formula>
    </cfRule>
  </conditionalFormatting>
  <conditionalFormatting sqref="AL107">
    <cfRule type="cellIs" dxfId="421" priority="529" operator="equal">
      <formula>"-"</formula>
    </cfRule>
    <cfRule type="cellIs" dxfId="420" priority="530" operator="equal">
      <formula>"+"</formula>
    </cfRule>
  </conditionalFormatting>
  <conditionalFormatting sqref="G19:G21">
    <cfRule type="cellIs" dxfId="419" priority="519" operator="equal">
      <formula>"-"</formula>
    </cfRule>
    <cfRule type="cellIs" dxfId="418" priority="520" operator="equal">
      <formula>"+"</formula>
    </cfRule>
  </conditionalFormatting>
  <conditionalFormatting sqref="H19">
    <cfRule type="cellIs" dxfId="417" priority="517" operator="equal">
      <formula>"-"</formula>
    </cfRule>
    <cfRule type="cellIs" dxfId="416" priority="518" operator="equal">
      <formula>"+"</formula>
    </cfRule>
  </conditionalFormatting>
  <conditionalFormatting sqref="H20">
    <cfRule type="cellIs" dxfId="415" priority="515" operator="equal">
      <formula>"-"</formula>
    </cfRule>
    <cfRule type="cellIs" dxfId="414" priority="516" operator="equal">
      <formula>"+"</formula>
    </cfRule>
  </conditionalFormatting>
  <conditionalFormatting sqref="H21">
    <cfRule type="cellIs" dxfId="413" priority="513" operator="equal">
      <formula>"-"</formula>
    </cfRule>
    <cfRule type="cellIs" dxfId="412" priority="514" operator="equal">
      <formula>"+"</formula>
    </cfRule>
  </conditionalFormatting>
  <conditionalFormatting sqref="J19:J21">
    <cfRule type="cellIs" dxfId="411" priority="511" operator="equal">
      <formula>"-"</formula>
    </cfRule>
    <cfRule type="cellIs" dxfId="410" priority="512" operator="equal">
      <formula>"+"</formula>
    </cfRule>
  </conditionalFormatting>
  <conditionalFormatting sqref="K19">
    <cfRule type="cellIs" dxfId="409" priority="509" operator="equal">
      <formula>"-"</formula>
    </cfRule>
    <cfRule type="cellIs" dxfId="408" priority="510" operator="equal">
      <formula>"+"</formula>
    </cfRule>
  </conditionalFormatting>
  <conditionalFormatting sqref="K20">
    <cfRule type="cellIs" dxfId="407" priority="507" operator="equal">
      <formula>"-"</formula>
    </cfRule>
    <cfRule type="cellIs" dxfId="406" priority="508" operator="equal">
      <formula>"+"</formula>
    </cfRule>
  </conditionalFormatting>
  <conditionalFormatting sqref="K21">
    <cfRule type="cellIs" dxfId="405" priority="505" operator="equal">
      <formula>"-"</formula>
    </cfRule>
    <cfRule type="cellIs" dxfId="404" priority="506" operator="equal">
      <formula>"+"</formula>
    </cfRule>
  </conditionalFormatting>
  <conditionalFormatting sqref="M19:M21">
    <cfRule type="cellIs" dxfId="403" priority="503" operator="equal">
      <formula>"-"</formula>
    </cfRule>
    <cfRule type="cellIs" dxfId="402" priority="504" operator="equal">
      <formula>"+"</formula>
    </cfRule>
  </conditionalFormatting>
  <conditionalFormatting sqref="N19">
    <cfRule type="cellIs" dxfId="401" priority="501" operator="equal">
      <formula>"-"</formula>
    </cfRule>
    <cfRule type="cellIs" dxfId="400" priority="502" operator="equal">
      <formula>"+"</formula>
    </cfRule>
  </conditionalFormatting>
  <conditionalFormatting sqref="N20">
    <cfRule type="cellIs" dxfId="399" priority="499" operator="equal">
      <formula>"-"</formula>
    </cfRule>
    <cfRule type="cellIs" dxfId="398" priority="500" operator="equal">
      <formula>"+"</formula>
    </cfRule>
  </conditionalFormatting>
  <conditionalFormatting sqref="N21">
    <cfRule type="cellIs" dxfId="397" priority="497" operator="equal">
      <formula>"-"</formula>
    </cfRule>
    <cfRule type="cellIs" dxfId="396" priority="498" operator="equal">
      <formula>"+"</formula>
    </cfRule>
  </conditionalFormatting>
  <conditionalFormatting sqref="P19:P21">
    <cfRule type="cellIs" dxfId="395" priority="495" operator="equal">
      <formula>"-"</formula>
    </cfRule>
    <cfRule type="cellIs" dxfId="394" priority="496" operator="equal">
      <formula>"+"</formula>
    </cfRule>
  </conditionalFormatting>
  <conditionalFormatting sqref="Q19">
    <cfRule type="cellIs" dxfId="393" priority="493" operator="equal">
      <formula>"-"</formula>
    </cfRule>
    <cfRule type="cellIs" dxfId="392" priority="494" operator="equal">
      <formula>"+"</formula>
    </cfRule>
  </conditionalFormatting>
  <conditionalFormatting sqref="Q20">
    <cfRule type="cellIs" dxfId="391" priority="491" operator="equal">
      <formula>"-"</formula>
    </cfRule>
    <cfRule type="cellIs" dxfId="390" priority="492" operator="equal">
      <formula>"+"</formula>
    </cfRule>
  </conditionalFormatting>
  <conditionalFormatting sqref="Q21">
    <cfRule type="cellIs" dxfId="389" priority="489" operator="equal">
      <formula>"-"</formula>
    </cfRule>
    <cfRule type="cellIs" dxfId="388" priority="490" operator="equal">
      <formula>"+"</formula>
    </cfRule>
  </conditionalFormatting>
  <conditionalFormatting sqref="AN19:AN21">
    <cfRule type="cellIs" dxfId="387" priority="487" operator="equal">
      <formula>"-"</formula>
    </cfRule>
    <cfRule type="cellIs" dxfId="386" priority="488" operator="equal">
      <formula>"+"</formula>
    </cfRule>
  </conditionalFormatting>
  <conditionalFormatting sqref="AO19">
    <cfRule type="cellIs" dxfId="385" priority="485" operator="equal">
      <formula>"-"</formula>
    </cfRule>
    <cfRule type="cellIs" dxfId="384" priority="486" operator="equal">
      <formula>"+"</formula>
    </cfRule>
  </conditionalFormatting>
  <conditionalFormatting sqref="AO20">
    <cfRule type="cellIs" dxfId="383" priority="483" operator="equal">
      <formula>"-"</formula>
    </cfRule>
    <cfRule type="cellIs" dxfId="382" priority="484" operator="equal">
      <formula>"+"</formula>
    </cfRule>
  </conditionalFormatting>
  <conditionalFormatting sqref="AO21">
    <cfRule type="cellIs" dxfId="381" priority="481" operator="equal">
      <formula>"-"</formula>
    </cfRule>
    <cfRule type="cellIs" dxfId="380" priority="482" operator="equal">
      <formula>"+"</formula>
    </cfRule>
  </conditionalFormatting>
  <conditionalFormatting sqref="J64:J65">
    <cfRule type="cellIs" dxfId="379" priority="479" operator="equal">
      <formula>"+"</formula>
    </cfRule>
    <cfRule type="cellIs" dxfId="378" priority="480" operator="equal">
      <formula>"-"</formula>
    </cfRule>
  </conditionalFormatting>
  <conditionalFormatting sqref="K64">
    <cfRule type="cellIs" dxfId="377" priority="477" operator="equal">
      <formula>"-"</formula>
    </cfRule>
    <cfRule type="cellIs" dxfId="376" priority="478" operator="equal">
      <formula>"+"</formula>
    </cfRule>
  </conditionalFormatting>
  <conditionalFormatting sqref="K65">
    <cfRule type="cellIs" dxfId="375" priority="475" operator="equal">
      <formula>"-"</formula>
    </cfRule>
    <cfRule type="cellIs" dxfId="374" priority="476" operator="equal">
      <formula>"+"</formula>
    </cfRule>
  </conditionalFormatting>
  <conditionalFormatting sqref="M64:M65">
    <cfRule type="cellIs" dxfId="373" priority="473" operator="equal">
      <formula>"+"</formula>
    </cfRule>
    <cfRule type="cellIs" dxfId="372" priority="474" operator="equal">
      <formula>"-"</formula>
    </cfRule>
  </conditionalFormatting>
  <conditionalFormatting sqref="N64">
    <cfRule type="cellIs" dxfId="371" priority="471" operator="equal">
      <formula>"-"</formula>
    </cfRule>
    <cfRule type="cellIs" dxfId="370" priority="472" operator="equal">
      <formula>"+"</formula>
    </cfRule>
  </conditionalFormatting>
  <conditionalFormatting sqref="N65">
    <cfRule type="cellIs" dxfId="369" priority="469" operator="equal">
      <formula>"-"</formula>
    </cfRule>
    <cfRule type="cellIs" dxfId="368" priority="470" operator="equal">
      <formula>"+"</formula>
    </cfRule>
  </conditionalFormatting>
  <conditionalFormatting sqref="P64:P65">
    <cfRule type="cellIs" dxfId="367" priority="461" operator="equal">
      <formula>"+"</formula>
    </cfRule>
    <cfRule type="cellIs" dxfId="366" priority="462" operator="equal">
      <formula>"-"</formula>
    </cfRule>
  </conditionalFormatting>
  <conditionalFormatting sqref="Q64">
    <cfRule type="cellIs" dxfId="365" priority="459" operator="equal">
      <formula>"-"</formula>
    </cfRule>
    <cfRule type="cellIs" dxfId="364" priority="460" operator="equal">
      <formula>"+"</formula>
    </cfRule>
  </conditionalFormatting>
  <conditionalFormatting sqref="Q65">
    <cfRule type="cellIs" dxfId="363" priority="457" operator="equal">
      <formula>"-"</formula>
    </cfRule>
    <cfRule type="cellIs" dxfId="362" priority="458" operator="equal">
      <formula>"+"</formula>
    </cfRule>
  </conditionalFormatting>
  <conditionalFormatting sqref="H74">
    <cfRule type="cellIs" dxfId="361" priority="455" operator="equal">
      <formula>"-"</formula>
    </cfRule>
    <cfRule type="cellIs" dxfId="360" priority="456" operator="equal">
      <formula>"+"</formula>
    </cfRule>
  </conditionalFormatting>
  <conditionalFormatting sqref="H75">
    <cfRule type="cellIs" dxfId="359" priority="453" operator="equal">
      <formula>"-"</formula>
    </cfRule>
    <cfRule type="cellIs" dxfId="358" priority="454" operator="equal">
      <formula>"+"</formula>
    </cfRule>
  </conditionalFormatting>
  <conditionalFormatting sqref="G74:G75">
    <cfRule type="cellIs" dxfId="357" priority="451" operator="equal">
      <formula>"-"</formula>
    </cfRule>
    <cfRule type="cellIs" dxfId="356" priority="452" operator="equal">
      <formula>"+"</formula>
    </cfRule>
  </conditionalFormatting>
  <conditionalFormatting sqref="K74">
    <cfRule type="cellIs" dxfId="355" priority="449" operator="equal">
      <formula>"-"</formula>
    </cfRule>
    <cfRule type="cellIs" dxfId="354" priority="450" operator="equal">
      <formula>"+"</formula>
    </cfRule>
  </conditionalFormatting>
  <conditionalFormatting sqref="K75">
    <cfRule type="cellIs" dxfId="353" priority="447" operator="equal">
      <formula>"-"</formula>
    </cfRule>
    <cfRule type="cellIs" dxfId="352" priority="448" operator="equal">
      <formula>"+"</formula>
    </cfRule>
  </conditionalFormatting>
  <conditionalFormatting sqref="J74:J75">
    <cfRule type="cellIs" dxfId="351" priority="445" operator="equal">
      <formula>"-"</formula>
    </cfRule>
    <cfRule type="cellIs" dxfId="350" priority="446" operator="equal">
      <formula>"+"</formula>
    </cfRule>
  </conditionalFormatting>
  <conditionalFormatting sqref="N74">
    <cfRule type="cellIs" dxfId="349" priority="443" operator="equal">
      <formula>"-"</formula>
    </cfRule>
    <cfRule type="cellIs" dxfId="348" priority="444" operator="equal">
      <formula>"+"</formula>
    </cfRule>
  </conditionalFormatting>
  <conditionalFormatting sqref="N75">
    <cfRule type="cellIs" dxfId="347" priority="441" operator="equal">
      <formula>"-"</formula>
    </cfRule>
    <cfRule type="cellIs" dxfId="346" priority="442" operator="equal">
      <formula>"+"</formula>
    </cfRule>
  </conditionalFormatting>
  <conditionalFormatting sqref="M74:M75">
    <cfRule type="cellIs" dxfId="345" priority="439" operator="equal">
      <formula>"-"</formula>
    </cfRule>
    <cfRule type="cellIs" dxfId="344" priority="440" operator="equal">
      <formula>"+"</formula>
    </cfRule>
  </conditionalFormatting>
  <conditionalFormatting sqref="Q74">
    <cfRule type="cellIs" dxfId="343" priority="437" operator="equal">
      <formula>"-"</formula>
    </cfRule>
    <cfRule type="cellIs" dxfId="342" priority="438" operator="equal">
      <formula>"+"</formula>
    </cfRule>
  </conditionalFormatting>
  <conditionalFormatting sqref="Q75">
    <cfRule type="cellIs" dxfId="341" priority="435" operator="equal">
      <formula>"-"</formula>
    </cfRule>
    <cfRule type="cellIs" dxfId="340" priority="436" operator="equal">
      <formula>"+"</formula>
    </cfRule>
  </conditionalFormatting>
  <conditionalFormatting sqref="P74:P75">
    <cfRule type="cellIs" dxfId="339" priority="433" operator="equal">
      <formula>"-"</formula>
    </cfRule>
    <cfRule type="cellIs" dxfId="338" priority="434" operator="equal">
      <formula>"+"</formula>
    </cfRule>
  </conditionalFormatting>
  <conditionalFormatting sqref="AO74">
    <cfRule type="cellIs" dxfId="337" priority="431" operator="equal">
      <formula>"-"</formula>
    </cfRule>
    <cfRule type="cellIs" dxfId="336" priority="432" operator="equal">
      <formula>"+"</formula>
    </cfRule>
  </conditionalFormatting>
  <conditionalFormatting sqref="AO75">
    <cfRule type="cellIs" dxfId="335" priority="429" operator="equal">
      <formula>"-"</formula>
    </cfRule>
    <cfRule type="cellIs" dxfId="334" priority="430" operator="equal">
      <formula>"+"</formula>
    </cfRule>
  </conditionalFormatting>
  <conditionalFormatting sqref="AN74:AN75">
    <cfRule type="cellIs" dxfId="333" priority="427" operator="equal">
      <formula>"-"</formula>
    </cfRule>
    <cfRule type="cellIs" dxfId="332" priority="428" operator="equal">
      <formula>"+"</formula>
    </cfRule>
  </conditionalFormatting>
  <conditionalFormatting sqref="AN84:AN86">
    <cfRule type="cellIs" dxfId="331" priority="425" operator="equal">
      <formula>"-"</formula>
    </cfRule>
    <cfRule type="cellIs" dxfId="330" priority="426" operator="equal">
      <formula>"+"</formula>
    </cfRule>
  </conditionalFormatting>
  <conditionalFormatting sqref="AO84">
    <cfRule type="cellIs" dxfId="329" priority="423" operator="equal">
      <formula>"-"</formula>
    </cfRule>
    <cfRule type="cellIs" dxfId="328" priority="424" operator="equal">
      <formula>"+"</formula>
    </cfRule>
  </conditionalFormatting>
  <conditionalFormatting sqref="AO86">
    <cfRule type="cellIs" dxfId="327" priority="419" operator="equal">
      <formula>"-"</formula>
    </cfRule>
    <cfRule type="cellIs" dxfId="326" priority="420" operator="equal">
      <formula>"+"</formula>
    </cfRule>
  </conditionalFormatting>
  <conditionalFormatting sqref="AN101:AN103">
    <cfRule type="cellIs" dxfId="325" priority="417" operator="equal">
      <formula>"-"</formula>
    </cfRule>
    <cfRule type="cellIs" dxfId="324" priority="418" operator="equal">
      <formula>"+"</formula>
    </cfRule>
  </conditionalFormatting>
  <conditionalFormatting sqref="AO101">
    <cfRule type="cellIs" dxfId="323" priority="415" operator="equal">
      <formula>"-"</formula>
    </cfRule>
    <cfRule type="cellIs" dxfId="322" priority="416" operator="equal">
      <formula>"+"</formula>
    </cfRule>
  </conditionalFormatting>
  <conditionalFormatting sqref="AO102">
    <cfRule type="cellIs" dxfId="321" priority="413" operator="equal">
      <formula>"-"</formula>
    </cfRule>
    <cfRule type="cellIs" dxfId="320" priority="414" operator="equal">
      <formula>"+"</formula>
    </cfRule>
  </conditionalFormatting>
  <conditionalFormatting sqref="AO103">
    <cfRule type="cellIs" dxfId="319" priority="411" operator="equal">
      <formula>"-"</formula>
    </cfRule>
    <cfRule type="cellIs" dxfId="318" priority="412" operator="equal">
      <formula>"+"</formula>
    </cfRule>
  </conditionalFormatting>
  <conditionalFormatting sqref="K87">
    <cfRule type="cellIs" dxfId="317" priority="407" operator="equal">
      <formula>"-"</formula>
    </cfRule>
    <cfRule type="cellIs" dxfId="316" priority="408" operator="equal">
      <formula>"+"</formula>
    </cfRule>
  </conditionalFormatting>
  <conditionalFormatting sqref="K88:K90">
    <cfRule type="cellIs" dxfId="315" priority="397" operator="equal">
      <formula>"-"</formula>
    </cfRule>
    <cfRule type="cellIs" dxfId="314" priority="398" operator="equal">
      <formula>"+"</formula>
    </cfRule>
  </conditionalFormatting>
  <conditionalFormatting sqref="K91">
    <cfRule type="cellIs" dxfId="313" priority="387" operator="equal">
      <formula>"-"</formula>
    </cfRule>
    <cfRule type="cellIs" dxfId="312" priority="388" operator="equal">
      <formula>"+"</formula>
    </cfRule>
  </conditionalFormatting>
  <conditionalFormatting sqref="K92:K93">
    <cfRule type="cellIs" dxfId="311" priority="377" operator="equal">
      <formula>"-"</formula>
    </cfRule>
    <cfRule type="cellIs" dxfId="310" priority="378" operator="equal">
      <formula>"+"</formula>
    </cfRule>
  </conditionalFormatting>
  <conditionalFormatting sqref="N93">
    <cfRule type="cellIs" dxfId="309" priority="375" operator="equal">
      <formula>"-"</formula>
    </cfRule>
    <cfRule type="cellIs" dxfId="308" priority="376" operator="equal">
      <formula>"+"</formula>
    </cfRule>
  </conditionalFormatting>
  <conditionalFormatting sqref="Q93">
    <cfRule type="cellIs" dxfId="307" priority="373" operator="equal">
      <formula>"-"</formula>
    </cfRule>
    <cfRule type="cellIs" dxfId="306" priority="374" operator="equal">
      <formula>"+"</formula>
    </cfRule>
  </conditionalFormatting>
  <conditionalFormatting sqref="J25:J27">
    <cfRule type="cellIs" dxfId="305" priority="369" operator="equal">
      <formula>"-"</formula>
    </cfRule>
    <cfRule type="cellIs" dxfId="304" priority="370" operator="equal">
      <formula>"+"</formula>
    </cfRule>
  </conditionalFormatting>
  <conditionalFormatting sqref="K25">
    <cfRule type="cellIs" dxfId="303" priority="367" operator="equal">
      <formula>"-"</formula>
    </cfRule>
    <cfRule type="cellIs" dxfId="302" priority="368" operator="equal">
      <formula>"+"</formula>
    </cfRule>
  </conditionalFormatting>
  <conditionalFormatting sqref="K26">
    <cfRule type="cellIs" dxfId="301" priority="365" operator="equal">
      <formula>"-"</formula>
    </cfRule>
    <cfRule type="cellIs" dxfId="300" priority="366" operator="equal">
      <formula>"+"</formula>
    </cfRule>
  </conditionalFormatting>
  <conditionalFormatting sqref="K27">
    <cfRule type="cellIs" dxfId="299" priority="363" operator="equal">
      <formula>"-"</formula>
    </cfRule>
    <cfRule type="cellIs" dxfId="298" priority="364" operator="equal">
      <formula>"+"</formula>
    </cfRule>
  </conditionalFormatting>
  <conditionalFormatting sqref="M25:M27">
    <cfRule type="cellIs" dxfId="297" priority="361" operator="equal">
      <formula>"-"</formula>
    </cfRule>
    <cfRule type="cellIs" dxfId="296" priority="362" operator="equal">
      <formula>"+"</formula>
    </cfRule>
  </conditionalFormatting>
  <conditionalFormatting sqref="N25">
    <cfRule type="cellIs" dxfId="295" priority="359" operator="equal">
      <formula>"-"</formula>
    </cfRule>
    <cfRule type="cellIs" dxfId="294" priority="360" operator="equal">
      <formula>"+"</formula>
    </cfRule>
  </conditionalFormatting>
  <conditionalFormatting sqref="N26">
    <cfRule type="cellIs" dxfId="293" priority="357" operator="equal">
      <formula>"-"</formula>
    </cfRule>
    <cfRule type="cellIs" dxfId="292" priority="358" operator="equal">
      <formula>"+"</formula>
    </cfRule>
  </conditionalFormatting>
  <conditionalFormatting sqref="N27">
    <cfRule type="cellIs" dxfId="291" priority="355" operator="equal">
      <formula>"-"</formula>
    </cfRule>
    <cfRule type="cellIs" dxfId="290" priority="356" operator="equal">
      <formula>"+"</formula>
    </cfRule>
  </conditionalFormatting>
  <conditionalFormatting sqref="P25:P27">
    <cfRule type="cellIs" dxfId="289" priority="353" operator="equal">
      <formula>"-"</formula>
    </cfRule>
    <cfRule type="cellIs" dxfId="288" priority="354" operator="equal">
      <formula>"+"</formula>
    </cfRule>
  </conditionalFormatting>
  <conditionalFormatting sqref="Q25">
    <cfRule type="cellIs" dxfId="287" priority="351" operator="equal">
      <formula>"-"</formula>
    </cfRule>
    <cfRule type="cellIs" dxfId="286" priority="352" operator="equal">
      <formula>"+"</formula>
    </cfRule>
  </conditionalFormatting>
  <conditionalFormatting sqref="Q26">
    <cfRule type="cellIs" dxfId="285" priority="349" operator="equal">
      <formula>"-"</formula>
    </cfRule>
    <cfRule type="cellIs" dxfId="284" priority="350" operator="equal">
      <formula>"+"</formula>
    </cfRule>
  </conditionalFormatting>
  <conditionalFormatting sqref="Q27">
    <cfRule type="cellIs" dxfId="283" priority="347" operator="equal">
      <formula>"-"</formula>
    </cfRule>
    <cfRule type="cellIs" dxfId="282" priority="348" operator="equal">
      <formula>"+"</formula>
    </cfRule>
  </conditionalFormatting>
  <conditionalFormatting sqref="T41">
    <cfRule type="cellIs" dxfId="281" priority="345" operator="equal">
      <formula>"-"</formula>
    </cfRule>
    <cfRule type="cellIs" dxfId="280" priority="346" operator="equal">
      <formula>"+"</formula>
    </cfRule>
  </conditionalFormatting>
  <conditionalFormatting sqref="T74">
    <cfRule type="cellIs" dxfId="279" priority="337" operator="equal">
      <formula>"-"</formula>
    </cfRule>
    <cfRule type="cellIs" dxfId="278" priority="338" operator="equal">
      <formula>"+"</formula>
    </cfRule>
  </conditionalFormatting>
  <conditionalFormatting sqref="T75">
    <cfRule type="cellIs" dxfId="277" priority="335" operator="equal">
      <formula>"-"</formula>
    </cfRule>
    <cfRule type="cellIs" dxfId="276" priority="336" operator="equal">
      <formula>"+"</formula>
    </cfRule>
  </conditionalFormatting>
  <conditionalFormatting sqref="S74:S75">
    <cfRule type="cellIs" dxfId="275" priority="333" operator="equal">
      <formula>"-"</formula>
    </cfRule>
    <cfRule type="cellIs" dxfId="274" priority="334" operator="equal">
      <formula>"+"</formula>
    </cfRule>
  </conditionalFormatting>
  <conditionalFormatting sqref="T93">
    <cfRule type="cellIs" dxfId="273" priority="331" operator="equal">
      <formula>"-"</formula>
    </cfRule>
    <cfRule type="cellIs" dxfId="272" priority="332" operator="equal">
      <formula>"+"</formula>
    </cfRule>
  </conditionalFormatting>
  <conditionalFormatting sqref="S101:S103">
    <cfRule type="cellIs" dxfId="271" priority="323" operator="equal">
      <formula>"-"</formula>
    </cfRule>
    <cfRule type="cellIs" dxfId="270" priority="324" operator="equal">
      <formula>"+"</formula>
    </cfRule>
  </conditionalFormatting>
  <conditionalFormatting sqref="T102">
    <cfRule type="cellIs" dxfId="269" priority="319" operator="equal">
      <formula>"-"</formula>
    </cfRule>
    <cfRule type="cellIs" dxfId="268" priority="320" operator="equal">
      <formula>"+"</formula>
    </cfRule>
  </conditionalFormatting>
  <conditionalFormatting sqref="T103">
    <cfRule type="cellIs" dxfId="267" priority="317" operator="equal">
      <formula>"-"</formula>
    </cfRule>
    <cfRule type="cellIs" dxfId="266" priority="318" operator="equal">
      <formula>"+"</formula>
    </cfRule>
  </conditionalFormatting>
  <conditionalFormatting sqref="T95">
    <cfRule type="cellIs" dxfId="265" priority="289" operator="equal">
      <formula>"-"</formula>
    </cfRule>
    <cfRule type="cellIs" dxfId="264" priority="290" operator="equal">
      <formula>"+"</formula>
    </cfRule>
  </conditionalFormatting>
  <conditionalFormatting sqref="S95:S100">
    <cfRule type="cellIs" dxfId="263" priority="291" operator="equal">
      <formula>"-"</formula>
    </cfRule>
    <cfRule type="cellIs" dxfId="262" priority="292" operator="equal">
      <formula>"+"</formula>
    </cfRule>
  </conditionalFormatting>
  <conditionalFormatting sqref="T96 T98:T99">
    <cfRule type="cellIs" dxfId="261" priority="287" operator="equal">
      <formula>"-"</formula>
    </cfRule>
    <cfRule type="cellIs" dxfId="260" priority="288" operator="equal">
      <formula>"+"</formula>
    </cfRule>
  </conditionalFormatting>
  <conditionalFormatting sqref="T100">
    <cfRule type="cellIs" dxfId="259" priority="285" operator="equal">
      <formula>"-"</formula>
    </cfRule>
    <cfRule type="cellIs" dxfId="258" priority="286" operator="equal">
      <formula>"+"</formula>
    </cfRule>
  </conditionalFormatting>
  <conditionalFormatting sqref="W19">
    <cfRule type="cellIs" dxfId="257" priority="283" operator="equal">
      <formula>"-"</formula>
    </cfRule>
    <cfRule type="cellIs" dxfId="256" priority="284" operator="equal">
      <formula>"+"</formula>
    </cfRule>
  </conditionalFormatting>
  <conditionalFormatting sqref="V40:V42">
    <cfRule type="cellIs" dxfId="255" priority="281" operator="equal">
      <formula>"-"</formula>
    </cfRule>
    <cfRule type="cellIs" dxfId="254" priority="282" operator="equal">
      <formula>"+"</formula>
    </cfRule>
  </conditionalFormatting>
  <conditionalFormatting sqref="W40">
    <cfRule type="cellIs" dxfId="253" priority="279" operator="equal">
      <formula>"-"</formula>
    </cfRule>
    <cfRule type="cellIs" dxfId="252" priority="280" operator="equal">
      <formula>"+"</formula>
    </cfRule>
  </conditionalFormatting>
  <conditionalFormatting sqref="W41">
    <cfRule type="cellIs" dxfId="251" priority="277" operator="equal">
      <formula>"-"</formula>
    </cfRule>
    <cfRule type="cellIs" dxfId="250" priority="278" operator="equal">
      <formula>"+"</formula>
    </cfRule>
  </conditionalFormatting>
  <conditionalFormatting sqref="W42">
    <cfRule type="cellIs" dxfId="249" priority="275" operator="equal">
      <formula>"-"</formula>
    </cfRule>
    <cfRule type="cellIs" dxfId="248" priority="276" operator="equal">
      <formula>"+"</formula>
    </cfRule>
  </conditionalFormatting>
  <conditionalFormatting sqref="Z63">
    <cfRule type="cellIs" dxfId="247" priority="227" operator="equal">
      <formula>"-"</formula>
    </cfRule>
    <cfRule type="cellIs" dxfId="246" priority="228" operator="equal">
      <formula>"+"</formula>
    </cfRule>
  </conditionalFormatting>
  <conditionalFormatting sqref="J62:J63">
    <cfRule type="cellIs" dxfId="245" priority="261" operator="equal">
      <formula>"+"</formula>
    </cfRule>
    <cfRule type="cellIs" dxfId="244" priority="262" operator="equal">
      <formula>"-"</formula>
    </cfRule>
  </conditionalFormatting>
  <conditionalFormatting sqref="Z94">
    <cfRule type="cellIs" dxfId="243" priority="219" operator="equal">
      <formula>"-"</formula>
    </cfRule>
    <cfRule type="cellIs" dxfId="242" priority="220" operator="equal">
      <formula>"+"</formula>
    </cfRule>
  </conditionalFormatting>
  <conditionalFormatting sqref="V62:V63">
    <cfRule type="cellIs" dxfId="241" priority="255" operator="equal">
      <formula>"+"</formula>
    </cfRule>
    <cfRule type="cellIs" dxfId="240" priority="256" operator="equal">
      <formula>"-"</formula>
    </cfRule>
  </conditionalFormatting>
  <conditionalFormatting sqref="W62">
    <cfRule type="cellIs" dxfId="239" priority="253" operator="equal">
      <formula>"-"</formula>
    </cfRule>
    <cfRule type="cellIs" dxfId="238" priority="254" operator="equal">
      <formula>"+"</formula>
    </cfRule>
  </conditionalFormatting>
  <conditionalFormatting sqref="W63">
    <cfRule type="cellIs" dxfId="237" priority="251" operator="equal">
      <formula>"-"</formula>
    </cfRule>
    <cfRule type="cellIs" dxfId="236" priority="252" operator="equal">
      <formula>"+"</formula>
    </cfRule>
  </conditionalFormatting>
  <conditionalFormatting sqref="W74">
    <cfRule type="cellIs" dxfId="235" priority="249" operator="equal">
      <formula>"-"</formula>
    </cfRule>
    <cfRule type="cellIs" dxfId="234" priority="250" operator="equal">
      <formula>"+"</formula>
    </cfRule>
  </conditionalFormatting>
  <conditionalFormatting sqref="W75">
    <cfRule type="cellIs" dxfId="233" priority="247" operator="equal">
      <formula>"-"</formula>
    </cfRule>
    <cfRule type="cellIs" dxfId="232" priority="248" operator="equal">
      <formula>"+"</formula>
    </cfRule>
  </conditionalFormatting>
  <conditionalFormatting sqref="V74:V75">
    <cfRule type="cellIs" dxfId="231" priority="245" operator="equal">
      <formula>"-"</formula>
    </cfRule>
    <cfRule type="cellIs" dxfId="230" priority="246" operator="equal">
      <formula>"+"</formula>
    </cfRule>
  </conditionalFormatting>
  <conditionalFormatting sqref="W90">
    <cfRule type="cellIs" dxfId="229" priority="243" operator="equal">
      <formula>"-"</formula>
    </cfRule>
    <cfRule type="cellIs" dxfId="228" priority="244" operator="equal">
      <formula>"+"</formula>
    </cfRule>
  </conditionalFormatting>
  <conditionalFormatting sqref="W94">
    <cfRule type="cellIs" dxfId="227" priority="241" operator="equal">
      <formula>"-"</formula>
    </cfRule>
    <cfRule type="cellIs" dxfId="226" priority="242" operator="equal">
      <formula>"+"</formula>
    </cfRule>
  </conditionalFormatting>
  <conditionalFormatting sqref="W93">
    <cfRule type="cellIs" dxfId="225" priority="239" operator="equal">
      <formula>"-"</formula>
    </cfRule>
    <cfRule type="cellIs" dxfId="224" priority="240" operator="equal">
      <formula>"+"</formula>
    </cfRule>
  </conditionalFormatting>
  <conditionalFormatting sqref="Y62:Y63">
    <cfRule type="cellIs" dxfId="223" priority="231" operator="equal">
      <formula>"+"</formula>
    </cfRule>
    <cfRule type="cellIs" dxfId="222" priority="232" operator="equal">
      <formula>"-"</formula>
    </cfRule>
  </conditionalFormatting>
  <conditionalFormatting sqref="Z62">
    <cfRule type="cellIs" dxfId="221" priority="229" operator="equal">
      <formula>"-"</formula>
    </cfRule>
    <cfRule type="cellIs" dxfId="220" priority="230" operator="equal">
      <formula>"+"</formula>
    </cfRule>
  </conditionalFormatting>
  <conditionalFormatting sqref="Z74">
    <cfRule type="cellIs" dxfId="219" priority="225" operator="equal">
      <formula>"-"</formula>
    </cfRule>
    <cfRule type="cellIs" dxfId="218" priority="226" operator="equal">
      <formula>"+"</formula>
    </cfRule>
  </conditionalFormatting>
  <conditionalFormatting sqref="Z75">
    <cfRule type="cellIs" dxfId="217" priority="223" operator="equal">
      <formula>"-"</formula>
    </cfRule>
    <cfRule type="cellIs" dxfId="216" priority="224" operator="equal">
      <formula>"+"</formula>
    </cfRule>
  </conditionalFormatting>
  <conditionalFormatting sqref="Y74:Y75">
    <cfRule type="cellIs" dxfId="215" priority="221" operator="equal">
      <formula>"-"</formula>
    </cfRule>
    <cfRule type="cellIs" dxfId="214" priority="222" operator="equal">
      <formula>"+"</formula>
    </cfRule>
  </conditionalFormatting>
  <conditionalFormatting sqref="Z91">
    <cfRule type="cellIs" dxfId="213" priority="217" operator="equal">
      <formula>"-"</formula>
    </cfRule>
    <cfRule type="cellIs" dxfId="212" priority="218" operator="equal">
      <formula>"+"</formula>
    </cfRule>
  </conditionalFormatting>
  <conditionalFormatting sqref="Z92:Z93">
    <cfRule type="cellIs" dxfId="211" priority="215" operator="equal">
      <formula>"-"</formula>
    </cfRule>
    <cfRule type="cellIs" dxfId="210" priority="216" operator="equal">
      <formula>"+"</formula>
    </cfRule>
  </conditionalFormatting>
  <conditionalFormatting sqref="Z87">
    <cfRule type="cellIs" dxfId="209" priority="213" operator="equal">
      <formula>"-"</formula>
    </cfRule>
    <cfRule type="cellIs" dxfId="208" priority="214" operator="equal">
      <formula>"+"</formula>
    </cfRule>
  </conditionalFormatting>
  <conditionalFormatting sqref="Z88">
    <cfRule type="cellIs" dxfId="207" priority="211" operator="equal">
      <formula>"-"</formula>
    </cfRule>
    <cfRule type="cellIs" dxfId="206" priority="212" operator="equal">
      <formula>"+"</formula>
    </cfRule>
  </conditionalFormatting>
  <conditionalFormatting sqref="AB15:AB18">
    <cfRule type="cellIs" dxfId="205" priority="209" operator="equal">
      <formula>"-"</formula>
    </cfRule>
    <cfRule type="cellIs" dxfId="204" priority="210" operator="equal">
      <formula>"+"</formula>
    </cfRule>
  </conditionalFormatting>
  <conditionalFormatting sqref="AC15">
    <cfRule type="cellIs" dxfId="203" priority="207" operator="equal">
      <formula>"-"</formula>
    </cfRule>
    <cfRule type="cellIs" dxfId="202" priority="208" operator="equal">
      <formula>"+"</formula>
    </cfRule>
  </conditionalFormatting>
  <conditionalFormatting sqref="AC16:AC17">
    <cfRule type="cellIs" dxfId="201" priority="205" operator="equal">
      <formula>"-"</formula>
    </cfRule>
    <cfRule type="cellIs" dxfId="200" priority="206" operator="equal">
      <formula>"+"</formula>
    </cfRule>
  </conditionalFormatting>
  <conditionalFormatting sqref="AC18">
    <cfRule type="cellIs" dxfId="199" priority="203" operator="equal">
      <formula>"-"</formula>
    </cfRule>
    <cfRule type="cellIs" dxfId="198" priority="204" operator="equal">
      <formula>"+"</formula>
    </cfRule>
  </conditionalFormatting>
  <conditionalFormatting sqref="K62">
    <cfRule type="cellIs" dxfId="197" priority="201" operator="equal">
      <formula>"-"</formula>
    </cfRule>
    <cfRule type="cellIs" dxfId="196" priority="202" operator="equal">
      <formula>"+"</formula>
    </cfRule>
  </conditionalFormatting>
  <conditionalFormatting sqref="AC63">
    <cfRule type="cellIs" dxfId="195" priority="195" operator="equal">
      <formula>"-"</formula>
    </cfRule>
    <cfRule type="cellIs" dxfId="194" priority="196" operator="equal">
      <formula>"+"</formula>
    </cfRule>
  </conditionalFormatting>
  <conditionalFormatting sqref="Y64:Y65">
    <cfRule type="cellIs" dxfId="193" priority="193" operator="equal">
      <formula>"+"</formula>
    </cfRule>
    <cfRule type="cellIs" dxfId="192" priority="194" operator="equal">
      <formula>"-"</formula>
    </cfRule>
  </conditionalFormatting>
  <conditionalFormatting sqref="Z64">
    <cfRule type="cellIs" dxfId="191" priority="191" operator="equal">
      <formula>"-"</formula>
    </cfRule>
    <cfRule type="cellIs" dxfId="190" priority="192" operator="equal">
      <formula>"+"</formula>
    </cfRule>
  </conditionalFormatting>
  <conditionalFormatting sqref="Z65">
    <cfRule type="cellIs" dxfId="189" priority="189" operator="equal">
      <formula>"-"</formula>
    </cfRule>
    <cfRule type="cellIs" dxfId="188" priority="190" operator="equal">
      <formula>"+"</formula>
    </cfRule>
  </conditionalFormatting>
  <conditionalFormatting sqref="V64:V65">
    <cfRule type="cellIs" dxfId="187" priority="187" operator="equal">
      <formula>"+"</formula>
    </cfRule>
    <cfRule type="cellIs" dxfId="186" priority="188" operator="equal">
      <formula>"-"</formula>
    </cfRule>
  </conditionalFormatting>
  <conditionalFormatting sqref="W64">
    <cfRule type="cellIs" dxfId="185" priority="185" operator="equal">
      <formula>"-"</formula>
    </cfRule>
    <cfRule type="cellIs" dxfId="184" priority="186" operator="equal">
      <formula>"+"</formula>
    </cfRule>
  </conditionalFormatting>
  <conditionalFormatting sqref="W65">
    <cfRule type="cellIs" dxfId="183" priority="183" operator="equal">
      <formula>"-"</formula>
    </cfRule>
    <cfRule type="cellIs" dxfId="182" priority="184" operator="equal">
      <formula>"+"</formula>
    </cfRule>
  </conditionalFormatting>
  <conditionalFormatting sqref="S64:S65">
    <cfRule type="cellIs" dxfId="181" priority="181" operator="equal">
      <formula>"+"</formula>
    </cfRule>
    <cfRule type="cellIs" dxfId="180" priority="182" operator="equal">
      <formula>"-"</formula>
    </cfRule>
  </conditionalFormatting>
  <conditionalFormatting sqref="T64">
    <cfRule type="cellIs" dxfId="179" priority="179" operator="equal">
      <formula>"-"</formula>
    </cfRule>
    <cfRule type="cellIs" dxfId="178" priority="180" operator="equal">
      <formula>"+"</formula>
    </cfRule>
  </conditionalFormatting>
  <conditionalFormatting sqref="T65">
    <cfRule type="cellIs" dxfId="177" priority="177" operator="equal">
      <formula>"-"</formula>
    </cfRule>
    <cfRule type="cellIs" dxfId="176" priority="178" operator="equal">
      <formula>"+"</formula>
    </cfRule>
  </conditionalFormatting>
  <conditionalFormatting sqref="AN64:AN65">
    <cfRule type="cellIs" dxfId="175" priority="175" operator="equal">
      <formula>"+"</formula>
    </cfRule>
    <cfRule type="cellIs" dxfId="174" priority="176" operator="equal">
      <formula>"-"</formula>
    </cfRule>
  </conditionalFormatting>
  <conditionalFormatting sqref="AO64">
    <cfRule type="cellIs" dxfId="173" priority="173" operator="equal">
      <formula>"-"</formula>
    </cfRule>
    <cfRule type="cellIs" dxfId="172" priority="174" operator="equal">
      <formula>"+"</formula>
    </cfRule>
  </conditionalFormatting>
  <conditionalFormatting sqref="AO65">
    <cfRule type="cellIs" dxfId="171" priority="171" operator="equal">
      <formula>"-"</formula>
    </cfRule>
    <cfRule type="cellIs" dxfId="170" priority="172" operator="equal">
      <formula>"+"</formula>
    </cfRule>
  </conditionalFormatting>
  <conditionalFormatting sqref="AC74">
    <cfRule type="cellIs" dxfId="169" priority="169" operator="equal">
      <formula>"-"</formula>
    </cfRule>
    <cfRule type="cellIs" dxfId="168" priority="170" operator="equal">
      <formula>"+"</formula>
    </cfRule>
  </conditionalFormatting>
  <conditionalFormatting sqref="AC75">
    <cfRule type="cellIs" dxfId="167" priority="167" operator="equal">
      <formula>"-"</formula>
    </cfRule>
    <cfRule type="cellIs" dxfId="166" priority="168" operator="equal">
      <formula>"+"</formula>
    </cfRule>
  </conditionalFormatting>
  <conditionalFormatting sqref="AB74:AB75">
    <cfRule type="cellIs" dxfId="165" priority="165" operator="equal">
      <formula>"-"</formula>
    </cfRule>
    <cfRule type="cellIs" dxfId="164" priority="166" operator="equal">
      <formula>"+"</formula>
    </cfRule>
  </conditionalFormatting>
  <conditionalFormatting sqref="AO100">
    <cfRule type="cellIs" dxfId="163" priority="163" operator="equal">
      <formula>"-"</formula>
    </cfRule>
    <cfRule type="cellIs" dxfId="162" priority="164" operator="equal">
      <formula>"+"</formula>
    </cfRule>
  </conditionalFormatting>
  <conditionalFormatting sqref="AC91">
    <cfRule type="cellIs" dxfId="161" priority="161" operator="equal">
      <formula>"-"</formula>
    </cfRule>
    <cfRule type="cellIs" dxfId="160" priority="162" operator="equal">
      <formula>"+"</formula>
    </cfRule>
  </conditionalFormatting>
  <conditionalFormatting sqref="AC93">
    <cfRule type="cellIs" dxfId="159" priority="159" operator="equal">
      <formula>"-"</formula>
    </cfRule>
    <cfRule type="cellIs" dxfId="158" priority="160" operator="equal">
      <formula>"+"</formula>
    </cfRule>
  </conditionalFormatting>
  <conditionalFormatting sqref="AC92">
    <cfRule type="cellIs" dxfId="157" priority="157" operator="equal">
      <formula>"-"</formula>
    </cfRule>
    <cfRule type="cellIs" dxfId="156" priority="158" operator="equal">
      <formula>"+"</formula>
    </cfRule>
  </conditionalFormatting>
  <conditionalFormatting sqref="AC88">
    <cfRule type="cellIs" dxfId="155" priority="155" operator="equal">
      <formula>"-"</formula>
    </cfRule>
    <cfRule type="cellIs" dxfId="154" priority="156" operator="equal">
      <formula>"+"</formula>
    </cfRule>
  </conditionalFormatting>
  <conditionalFormatting sqref="AO85">
    <cfRule type="cellIs" dxfId="153" priority="153" operator="equal">
      <formula>"-"</formula>
    </cfRule>
    <cfRule type="cellIs" dxfId="152" priority="154" operator="equal">
      <formula>"+"</formula>
    </cfRule>
  </conditionalFormatting>
  <conditionalFormatting sqref="AF63">
    <cfRule type="cellIs" dxfId="151" priority="151" operator="equal">
      <formula>"-"</formula>
    </cfRule>
    <cfRule type="cellIs" dxfId="150" priority="152" operator="equal">
      <formula>"+"</formula>
    </cfRule>
  </conditionalFormatting>
  <conditionalFormatting sqref="AF62">
    <cfRule type="cellIs" dxfId="149" priority="149" operator="equal">
      <formula>"-"</formula>
    </cfRule>
    <cfRule type="cellIs" dxfId="148" priority="150" operator="equal">
      <formula>"+"</formula>
    </cfRule>
  </conditionalFormatting>
  <conditionalFormatting sqref="AF64">
    <cfRule type="cellIs" dxfId="147" priority="147" operator="equal">
      <formula>"-"</formula>
    </cfRule>
    <cfRule type="cellIs" dxfId="146" priority="148" operator="equal">
      <formula>"+"</formula>
    </cfRule>
  </conditionalFormatting>
  <conditionalFormatting sqref="AF74">
    <cfRule type="cellIs" dxfId="145" priority="145" operator="equal">
      <formula>"-"</formula>
    </cfRule>
    <cfRule type="cellIs" dxfId="144" priority="146" operator="equal">
      <formula>"+"</formula>
    </cfRule>
  </conditionalFormatting>
  <conditionalFormatting sqref="AF75">
    <cfRule type="cellIs" dxfId="143" priority="143" operator="equal">
      <formula>"-"</formula>
    </cfRule>
    <cfRule type="cellIs" dxfId="142" priority="144" operator="equal">
      <formula>"+"</formula>
    </cfRule>
  </conditionalFormatting>
  <conditionalFormatting sqref="AE74:AE75">
    <cfRule type="cellIs" dxfId="141" priority="141" operator="equal">
      <formula>"-"</formula>
    </cfRule>
    <cfRule type="cellIs" dxfId="140" priority="142" operator="equal">
      <formula>"+"</formula>
    </cfRule>
  </conditionalFormatting>
  <conditionalFormatting sqref="AE87:AE94">
    <cfRule type="cellIs" dxfId="139" priority="139" operator="equal">
      <formula>"-"</formula>
    </cfRule>
    <cfRule type="cellIs" dxfId="138" priority="140" operator="equal">
      <formula>"+"</formula>
    </cfRule>
  </conditionalFormatting>
  <conditionalFormatting sqref="AF87">
    <cfRule type="cellIs" dxfId="137" priority="137" operator="equal">
      <formula>"-"</formula>
    </cfRule>
    <cfRule type="cellIs" dxfId="136" priority="138" operator="equal">
      <formula>"+"</formula>
    </cfRule>
  </conditionalFormatting>
  <conditionalFormatting sqref="AF89:AF90">
    <cfRule type="cellIs" dxfId="135" priority="135" operator="equal">
      <formula>"-"</formula>
    </cfRule>
    <cfRule type="cellIs" dxfId="134" priority="136" operator="equal">
      <formula>"+"</formula>
    </cfRule>
  </conditionalFormatting>
  <conditionalFormatting sqref="AF94">
    <cfRule type="cellIs" dxfId="133" priority="133" operator="equal">
      <formula>"-"</formula>
    </cfRule>
    <cfRule type="cellIs" dxfId="132" priority="134" operator="equal">
      <formula>"+"</formula>
    </cfRule>
  </conditionalFormatting>
  <conditionalFormatting sqref="AF91">
    <cfRule type="cellIs" dxfId="131" priority="131" operator="equal">
      <formula>"-"</formula>
    </cfRule>
    <cfRule type="cellIs" dxfId="130" priority="132" operator="equal">
      <formula>"+"</formula>
    </cfRule>
  </conditionalFormatting>
  <conditionalFormatting sqref="AF93">
    <cfRule type="cellIs" dxfId="129" priority="129" operator="equal">
      <formula>"-"</formula>
    </cfRule>
    <cfRule type="cellIs" dxfId="128" priority="130" operator="equal">
      <formula>"+"</formula>
    </cfRule>
  </conditionalFormatting>
  <conditionalFormatting sqref="AF92">
    <cfRule type="cellIs" dxfId="127" priority="127" operator="equal">
      <formula>"-"</formula>
    </cfRule>
    <cfRule type="cellIs" dxfId="126" priority="128" operator="equal">
      <formula>"+"</formula>
    </cfRule>
  </conditionalFormatting>
  <conditionalFormatting sqref="AF88">
    <cfRule type="cellIs" dxfId="125" priority="125" operator="equal">
      <formula>"-"</formula>
    </cfRule>
    <cfRule type="cellIs" dxfId="124" priority="126" operator="equal">
      <formula>"+"</formula>
    </cfRule>
  </conditionalFormatting>
  <conditionalFormatting sqref="AI74">
    <cfRule type="cellIs" dxfId="123" priority="123" operator="equal">
      <formula>"-"</formula>
    </cfRule>
    <cfRule type="cellIs" dxfId="122" priority="124" operator="equal">
      <formula>"+"</formula>
    </cfRule>
  </conditionalFormatting>
  <conditionalFormatting sqref="AI75">
    <cfRule type="cellIs" dxfId="121" priority="121" operator="equal">
      <formula>"-"</formula>
    </cfRule>
    <cfRule type="cellIs" dxfId="120" priority="122" operator="equal">
      <formula>"+"</formula>
    </cfRule>
  </conditionalFormatting>
  <conditionalFormatting sqref="AH74:AH75">
    <cfRule type="cellIs" dxfId="119" priority="119" operator="equal">
      <formula>"-"</formula>
    </cfRule>
    <cfRule type="cellIs" dxfId="118" priority="120" operator="equal">
      <formula>"+"</formula>
    </cfRule>
  </conditionalFormatting>
  <conditionalFormatting sqref="H63">
    <cfRule type="cellIs" dxfId="117" priority="117" operator="equal">
      <formula>"-"</formula>
    </cfRule>
    <cfRule type="cellIs" dxfId="116" priority="118" operator="equal">
      <formula>"+"</formula>
    </cfRule>
  </conditionalFormatting>
  <conditionalFormatting sqref="H97">
    <cfRule type="cellIs" dxfId="115" priority="115" operator="equal">
      <formula>"-"</formula>
    </cfRule>
    <cfRule type="cellIs" dxfId="114" priority="116" operator="equal">
      <formula>"+"</formula>
    </cfRule>
  </conditionalFormatting>
  <conditionalFormatting sqref="AN105:AN107">
    <cfRule type="cellIs" dxfId="113" priority="113" operator="equal">
      <formula>"-"</formula>
    </cfRule>
    <cfRule type="cellIs" dxfId="112" priority="114" operator="equal">
      <formula>"+"</formula>
    </cfRule>
  </conditionalFormatting>
  <conditionalFormatting sqref="AO105">
    <cfRule type="cellIs" dxfId="111" priority="111" operator="equal">
      <formula>"-"</formula>
    </cfRule>
    <cfRule type="cellIs" dxfId="110" priority="112" operator="equal">
      <formula>"+"</formula>
    </cfRule>
  </conditionalFormatting>
  <conditionalFormatting sqref="AO106">
    <cfRule type="cellIs" dxfId="109" priority="109" operator="equal">
      <formula>"-"</formula>
    </cfRule>
    <cfRule type="cellIs" dxfId="108" priority="110" operator="equal">
      <formula>"+"</formula>
    </cfRule>
  </conditionalFormatting>
  <conditionalFormatting sqref="AO107">
    <cfRule type="cellIs" dxfId="107" priority="107" operator="equal">
      <formula>"-"</formula>
    </cfRule>
    <cfRule type="cellIs" dxfId="106" priority="108" operator="equal">
      <formula>"+"</formula>
    </cfRule>
  </conditionalFormatting>
  <conditionalFormatting sqref="G87:G94">
    <cfRule type="cellIs" dxfId="105" priority="105" operator="equal">
      <formula>"-"</formula>
    </cfRule>
    <cfRule type="cellIs" dxfId="104" priority="106" operator="equal">
      <formula>"+"</formula>
    </cfRule>
  </conditionalFormatting>
  <conditionalFormatting sqref="H87">
    <cfRule type="cellIs" dxfId="103" priority="103" operator="equal">
      <formula>"-"</formula>
    </cfRule>
    <cfRule type="cellIs" dxfId="102" priority="104" operator="equal">
      <formula>"+"</formula>
    </cfRule>
  </conditionalFormatting>
  <conditionalFormatting sqref="H88:H93">
    <cfRule type="cellIs" dxfId="101" priority="101" operator="equal">
      <formula>"-"</formula>
    </cfRule>
    <cfRule type="cellIs" dxfId="100" priority="102" operator="equal">
      <formula>"+"</formula>
    </cfRule>
  </conditionalFormatting>
  <conditionalFormatting sqref="H94">
    <cfRule type="cellIs" dxfId="99" priority="99" operator="equal">
      <formula>"-"</formula>
    </cfRule>
    <cfRule type="cellIs" dxfId="98" priority="100" operator="equal">
      <formula>"+"</formula>
    </cfRule>
  </conditionalFormatting>
  <conditionalFormatting sqref="AN87:AN94">
    <cfRule type="cellIs" dxfId="97" priority="97" operator="equal">
      <formula>"-"</formula>
    </cfRule>
    <cfRule type="cellIs" dxfId="96" priority="98" operator="equal">
      <formula>"+"</formula>
    </cfRule>
  </conditionalFormatting>
  <conditionalFormatting sqref="AO87">
    <cfRule type="cellIs" dxfId="95" priority="95" operator="equal">
      <formula>"-"</formula>
    </cfRule>
    <cfRule type="cellIs" dxfId="94" priority="96" operator="equal">
      <formula>"+"</formula>
    </cfRule>
  </conditionalFormatting>
  <conditionalFormatting sqref="AO88:AO93">
    <cfRule type="cellIs" dxfId="93" priority="93" operator="equal">
      <formula>"-"</formula>
    </cfRule>
    <cfRule type="cellIs" dxfId="92" priority="94" operator="equal">
      <formula>"+"</formula>
    </cfRule>
  </conditionalFormatting>
  <conditionalFormatting sqref="AO94">
    <cfRule type="cellIs" dxfId="91" priority="91" operator="equal">
      <formula>"-"</formula>
    </cfRule>
    <cfRule type="cellIs" dxfId="90" priority="92" operator="equal">
      <formula>"+"</formula>
    </cfRule>
  </conditionalFormatting>
  <conditionalFormatting sqref="K63">
    <cfRule type="cellIs" dxfId="89" priority="89" operator="equal">
      <formula>"-"</formula>
    </cfRule>
    <cfRule type="cellIs" dxfId="88" priority="90" operator="equal">
      <formula>"+"</formula>
    </cfRule>
  </conditionalFormatting>
  <conditionalFormatting sqref="K101">
    <cfRule type="cellIs" dxfId="87" priority="85" operator="equal">
      <formula>"-"</formula>
    </cfRule>
    <cfRule type="cellIs" dxfId="86" priority="86" operator="equal">
      <formula>"+"</formula>
    </cfRule>
  </conditionalFormatting>
  <conditionalFormatting sqref="J101:J103">
    <cfRule type="cellIs" dxfId="85" priority="87" operator="equal">
      <formula>"-"</formula>
    </cfRule>
    <cfRule type="cellIs" dxfId="84" priority="88" operator="equal">
      <formula>"+"</formula>
    </cfRule>
  </conditionalFormatting>
  <conditionalFormatting sqref="K102">
    <cfRule type="cellIs" dxfId="83" priority="83" operator="equal">
      <formula>"-"</formula>
    </cfRule>
    <cfRule type="cellIs" dxfId="82" priority="84" operator="equal">
      <formula>"+"</formula>
    </cfRule>
  </conditionalFormatting>
  <conditionalFormatting sqref="K103">
    <cfRule type="cellIs" dxfId="81" priority="81" operator="equal">
      <formula>"-"</formula>
    </cfRule>
    <cfRule type="cellIs" dxfId="80" priority="82" operator="equal">
      <formula>"+"</formula>
    </cfRule>
  </conditionalFormatting>
  <conditionalFormatting sqref="N62">
    <cfRule type="cellIs" dxfId="79" priority="77" operator="equal">
      <formula>"-"</formula>
    </cfRule>
    <cfRule type="cellIs" dxfId="78" priority="78" operator="equal">
      <formula>"+"</formula>
    </cfRule>
  </conditionalFormatting>
  <conditionalFormatting sqref="M62:M63">
    <cfRule type="cellIs" dxfId="77" priority="79" operator="equal">
      <formula>"+"</formula>
    </cfRule>
    <cfRule type="cellIs" dxfId="76" priority="80" operator="equal">
      <formula>"-"</formula>
    </cfRule>
  </conditionalFormatting>
  <conditionalFormatting sqref="N63">
    <cfRule type="cellIs" dxfId="75" priority="75" operator="equal">
      <formula>"-"</formula>
    </cfRule>
    <cfRule type="cellIs" dxfId="74" priority="76" operator="equal">
      <formula>"+"</formula>
    </cfRule>
  </conditionalFormatting>
  <conditionalFormatting sqref="Q62">
    <cfRule type="cellIs" dxfId="73" priority="71" operator="equal">
      <formula>"-"</formula>
    </cfRule>
    <cfRule type="cellIs" dxfId="72" priority="72" operator="equal">
      <formula>"+"</formula>
    </cfRule>
  </conditionalFormatting>
  <conditionalFormatting sqref="P62:P63">
    <cfRule type="cellIs" dxfId="71" priority="73" operator="equal">
      <formula>"+"</formula>
    </cfRule>
    <cfRule type="cellIs" dxfId="70" priority="74" operator="equal">
      <formula>"-"</formula>
    </cfRule>
  </conditionalFormatting>
  <conditionalFormatting sqref="Q63">
    <cfRule type="cellIs" dxfId="69" priority="69" operator="equal">
      <formula>"-"</formula>
    </cfRule>
    <cfRule type="cellIs" dxfId="68" priority="70" operator="equal">
      <formula>"+"</formula>
    </cfRule>
  </conditionalFormatting>
  <conditionalFormatting sqref="N87">
    <cfRule type="cellIs" dxfId="67" priority="67" operator="equal">
      <formula>"-"</formula>
    </cfRule>
    <cfRule type="cellIs" dxfId="66" priority="68" operator="equal">
      <formula>"+"</formula>
    </cfRule>
  </conditionalFormatting>
  <conditionalFormatting sqref="N88:N90">
    <cfRule type="cellIs" dxfId="65" priority="65" operator="equal">
      <formula>"-"</formula>
    </cfRule>
    <cfRule type="cellIs" dxfId="64" priority="66" operator="equal">
      <formula>"+"</formula>
    </cfRule>
  </conditionalFormatting>
  <conditionalFormatting sqref="N91">
    <cfRule type="cellIs" dxfId="63" priority="63" operator="equal">
      <formula>"-"</formula>
    </cfRule>
    <cfRule type="cellIs" dxfId="62" priority="64" operator="equal">
      <formula>"+"</formula>
    </cfRule>
  </conditionalFormatting>
  <conditionalFormatting sqref="N92">
    <cfRule type="cellIs" dxfId="61" priority="61" operator="equal">
      <formula>"-"</formula>
    </cfRule>
    <cfRule type="cellIs" dxfId="60" priority="62" operator="equal">
      <formula>"+"</formula>
    </cfRule>
  </conditionalFormatting>
  <conditionalFormatting sqref="Q87">
    <cfRule type="cellIs" dxfId="59" priority="59" operator="equal">
      <formula>"-"</formula>
    </cfRule>
    <cfRule type="cellIs" dxfId="58" priority="60" operator="equal">
      <formula>"+"</formula>
    </cfRule>
  </conditionalFormatting>
  <conditionalFormatting sqref="Q88:Q90">
    <cfRule type="cellIs" dxfId="57" priority="57" operator="equal">
      <formula>"-"</formula>
    </cfRule>
    <cfRule type="cellIs" dxfId="56" priority="58" operator="equal">
      <formula>"+"</formula>
    </cfRule>
  </conditionalFormatting>
  <conditionalFormatting sqref="Q91">
    <cfRule type="cellIs" dxfId="55" priority="55" operator="equal">
      <formula>"-"</formula>
    </cfRule>
    <cfRule type="cellIs" dxfId="54" priority="56" operator="equal">
      <formula>"+"</formula>
    </cfRule>
  </conditionalFormatting>
  <conditionalFormatting sqref="Q92">
    <cfRule type="cellIs" dxfId="53" priority="53" operator="equal">
      <formula>"-"</formula>
    </cfRule>
    <cfRule type="cellIs" dxfId="52" priority="54" operator="equal">
      <formula>"+"</formula>
    </cfRule>
  </conditionalFormatting>
  <conditionalFormatting sqref="N101">
    <cfRule type="cellIs" dxfId="51" priority="49" operator="equal">
      <formula>"-"</formula>
    </cfRule>
    <cfRule type="cellIs" dxfId="50" priority="50" operator="equal">
      <formula>"+"</formula>
    </cfRule>
  </conditionalFormatting>
  <conditionalFormatting sqref="M101:M103">
    <cfRule type="cellIs" dxfId="49" priority="51" operator="equal">
      <formula>"-"</formula>
    </cfRule>
    <cfRule type="cellIs" dxfId="48" priority="52" operator="equal">
      <formula>"+"</formula>
    </cfRule>
  </conditionalFormatting>
  <conditionalFormatting sqref="N102">
    <cfRule type="cellIs" dxfId="47" priority="47" operator="equal">
      <formula>"-"</formula>
    </cfRule>
    <cfRule type="cellIs" dxfId="46" priority="48" operator="equal">
      <formula>"+"</formula>
    </cfRule>
  </conditionalFormatting>
  <conditionalFormatting sqref="N103">
    <cfRule type="cellIs" dxfId="45" priority="45" operator="equal">
      <formula>"-"</formula>
    </cfRule>
    <cfRule type="cellIs" dxfId="44" priority="46" operator="equal">
      <formula>"+"</formula>
    </cfRule>
  </conditionalFormatting>
  <conditionalFormatting sqref="Q101">
    <cfRule type="cellIs" dxfId="43" priority="41" operator="equal">
      <formula>"-"</formula>
    </cfRule>
    <cfRule type="cellIs" dxfId="42" priority="42" operator="equal">
      <formula>"+"</formula>
    </cfRule>
  </conditionalFormatting>
  <conditionalFormatting sqref="P101:P103">
    <cfRule type="cellIs" dxfId="41" priority="43" operator="equal">
      <formula>"-"</formula>
    </cfRule>
    <cfRule type="cellIs" dxfId="40" priority="44" operator="equal">
      <formula>"+"</formula>
    </cfRule>
  </conditionalFormatting>
  <conditionalFormatting sqref="Q102">
    <cfRule type="cellIs" dxfId="39" priority="39" operator="equal">
      <formula>"-"</formula>
    </cfRule>
    <cfRule type="cellIs" dxfId="38" priority="40" operator="equal">
      <formula>"+"</formula>
    </cfRule>
  </conditionalFormatting>
  <conditionalFormatting sqref="Q103">
    <cfRule type="cellIs" dxfId="37" priority="37" operator="equal">
      <formula>"-"</formula>
    </cfRule>
    <cfRule type="cellIs" dxfId="36" priority="38" operator="equal">
      <formula>"+"</formula>
    </cfRule>
  </conditionalFormatting>
  <conditionalFormatting sqref="N97">
    <cfRule type="cellIs" dxfId="35" priority="35" operator="equal">
      <formula>"-"</formula>
    </cfRule>
    <cfRule type="cellIs" dxfId="34" priority="36" operator="equal">
      <formula>"+"</formula>
    </cfRule>
  </conditionalFormatting>
  <conditionalFormatting sqref="S62:S63">
    <cfRule type="cellIs" dxfId="33" priority="33" operator="equal">
      <formula>"+"</formula>
    </cfRule>
    <cfRule type="cellIs" dxfId="32" priority="34" operator="equal">
      <formula>"-"</formula>
    </cfRule>
  </conditionalFormatting>
  <conditionalFormatting sqref="T62">
    <cfRule type="cellIs" dxfId="31" priority="31" operator="equal">
      <formula>"-"</formula>
    </cfRule>
    <cfRule type="cellIs" dxfId="30" priority="32" operator="equal">
      <formula>"+"</formula>
    </cfRule>
  </conditionalFormatting>
  <conditionalFormatting sqref="T63">
    <cfRule type="cellIs" dxfId="29" priority="29" operator="equal">
      <formula>"-"</formula>
    </cfRule>
    <cfRule type="cellIs" dxfId="28" priority="30" operator="equal">
      <formula>"+"</formula>
    </cfRule>
  </conditionalFormatting>
  <conditionalFormatting sqref="T87">
    <cfRule type="cellIs" dxfId="27" priority="27" operator="equal">
      <formula>"-"</formula>
    </cfRule>
    <cfRule type="cellIs" dxfId="26" priority="28" operator="equal">
      <formula>"+"</formula>
    </cfRule>
  </conditionalFormatting>
  <conditionalFormatting sqref="T88:T90">
    <cfRule type="cellIs" dxfId="25" priority="25" operator="equal">
      <formula>"-"</formula>
    </cfRule>
    <cfRule type="cellIs" dxfId="24" priority="26" operator="equal">
      <formula>"+"</formula>
    </cfRule>
  </conditionalFormatting>
  <conditionalFormatting sqref="T91">
    <cfRule type="cellIs" dxfId="23" priority="23" operator="equal">
      <formula>"-"</formula>
    </cfRule>
    <cfRule type="cellIs" dxfId="22" priority="24" operator="equal">
      <formula>"+"</formula>
    </cfRule>
  </conditionalFormatting>
  <conditionalFormatting sqref="T92">
    <cfRule type="cellIs" dxfId="21" priority="21" operator="equal">
      <formula>"-"</formula>
    </cfRule>
    <cfRule type="cellIs" dxfId="20" priority="22" operator="equal">
      <formula>"+"</formula>
    </cfRule>
  </conditionalFormatting>
  <conditionalFormatting sqref="T101">
    <cfRule type="cellIs" dxfId="19" priority="19" operator="equal">
      <formula>"-"</formula>
    </cfRule>
    <cfRule type="cellIs" dxfId="18" priority="20" operator="equal">
      <formula>"+"</formula>
    </cfRule>
  </conditionalFormatting>
  <conditionalFormatting sqref="T97">
    <cfRule type="cellIs" dxfId="17" priority="17" operator="equal">
      <formula>"-"</formula>
    </cfRule>
    <cfRule type="cellIs" dxfId="16" priority="18" operator="equal">
      <formula>"+"</formula>
    </cfRule>
  </conditionalFormatting>
  <conditionalFormatting sqref="S105:S107">
    <cfRule type="cellIs" dxfId="15" priority="15" operator="equal">
      <formula>"-"</formula>
    </cfRule>
    <cfRule type="cellIs" dxfId="14" priority="16" operator="equal">
      <formula>"+"</formula>
    </cfRule>
  </conditionalFormatting>
  <conditionalFormatting sqref="T105">
    <cfRule type="cellIs" dxfId="13" priority="13" operator="equal">
      <formula>"-"</formula>
    </cfRule>
    <cfRule type="cellIs" dxfId="12" priority="14" operator="equal">
      <formula>"+"</formula>
    </cfRule>
  </conditionalFormatting>
  <conditionalFormatting sqref="T106">
    <cfRule type="cellIs" dxfId="11" priority="11" operator="equal">
      <formula>"-"</formula>
    </cfRule>
    <cfRule type="cellIs" dxfId="10" priority="12" operator="equal">
      <formula>"+"</formula>
    </cfRule>
  </conditionalFormatting>
  <conditionalFormatting sqref="T107">
    <cfRule type="cellIs" dxfId="9" priority="9" operator="equal">
      <formula>"-"</formula>
    </cfRule>
    <cfRule type="cellIs" dxfId="8" priority="10" operator="equal">
      <formula>"+"</formula>
    </cfRule>
  </conditionalFormatting>
  <conditionalFormatting sqref="W87">
    <cfRule type="cellIs" dxfId="7" priority="7" operator="equal">
      <formula>"-"</formula>
    </cfRule>
    <cfRule type="cellIs" dxfId="6" priority="8" operator="equal">
      <formula>"+"</formula>
    </cfRule>
  </conditionalFormatting>
  <conditionalFormatting sqref="W88:W89">
    <cfRule type="cellIs" dxfId="5" priority="5" operator="equal">
      <formula>"-"</formula>
    </cfRule>
    <cfRule type="cellIs" dxfId="4" priority="6" operator="equal">
      <formula>"+"</formula>
    </cfRule>
  </conditionalFormatting>
  <conditionalFormatting sqref="W91">
    <cfRule type="cellIs" dxfId="3" priority="3" operator="equal">
      <formula>"-"</formula>
    </cfRule>
    <cfRule type="cellIs" dxfId="2" priority="4" operator="equal">
      <formula>"+"</formula>
    </cfRule>
  </conditionalFormatting>
  <conditionalFormatting sqref="W92">
    <cfRule type="cellIs" dxfId="1" priority="1" operator="equal">
      <formula>"-"</formula>
    </cfRule>
    <cfRule type="cellIs" dxfId="0" priority="2" operator="equal">
      <formula>"+"</formula>
    </cfRule>
  </conditionalFormatting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44" fitToWidth="2" orientation="portrait"/>
  <colBreaks count="2" manualBreakCount="2">
    <brk id="12" max="16383" man="1"/>
    <brk id="21" max="16383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4">
    <tabColor theme="0" tint="-0.249977111117893"/>
    <pageSetUpPr fitToPage="1"/>
  </sheetPr>
  <dimension ref="A1:AM1391"/>
  <sheetViews>
    <sheetView showGridLines="0" workbookViewId="0">
      <pane xSplit="2" ySplit="5" topLeftCell="C6" activePane="bottomRight" state="frozen"/>
      <selection activeCell="Z85" sqref="Z85"/>
      <selection pane="topRight" activeCell="Z85" sqref="Z85"/>
      <selection pane="bottomLeft" activeCell="Z85" sqref="Z85"/>
      <selection pane="bottomRight" activeCell="C6" sqref="C6"/>
    </sheetView>
  </sheetViews>
  <sheetFormatPr baseColWidth="10" defaultRowHeight="12.75" outlineLevelCol="1" x14ac:dyDescent="0.2"/>
  <cols>
    <col min="1" max="1" width="5.28515625" style="4" customWidth="1"/>
    <col min="2" max="2" width="19.42578125" style="3" bestFit="1" customWidth="1"/>
    <col min="3" max="3" width="13.42578125" style="3" bestFit="1" customWidth="1"/>
    <col min="4" max="4" width="13.42578125" style="3" customWidth="1"/>
    <col min="5" max="5" width="11.42578125" style="3" bestFit="1" customWidth="1"/>
    <col min="6" max="6" width="14.140625" style="3" bestFit="1" customWidth="1"/>
    <col min="7" max="7" width="14.28515625" style="3" customWidth="1"/>
    <col min="8" max="8" width="13" style="3" customWidth="1"/>
    <col min="9" max="9" width="15.5703125" style="3" bestFit="1" customWidth="1"/>
    <col min="10" max="10" width="7.140625" style="738" customWidth="1"/>
    <col min="11" max="21" width="7.140625" style="3" customWidth="1"/>
    <col min="22" max="26" width="11.42578125" style="3" customWidth="1"/>
    <col min="27" max="27" width="10" style="3" customWidth="1"/>
    <col min="28" max="30" width="7.85546875" style="3" customWidth="1"/>
    <col min="31" max="32" width="14.140625" style="4" customWidth="1"/>
    <col min="33" max="34" width="18.5703125" style="4" customWidth="1"/>
    <col min="35" max="35" width="13.140625" style="4" bestFit="1" customWidth="1"/>
    <col min="36" max="36" width="10" style="4" bestFit="1" customWidth="1"/>
    <col min="37" max="37" width="14.5703125" style="4" customWidth="1"/>
    <col min="38" max="38" width="9.7109375" style="4" customWidth="1" outlineLevel="1"/>
    <col min="39" max="39" width="10.140625" style="4" customWidth="1" outlineLevel="1"/>
  </cols>
  <sheetData>
    <row r="1" spans="1:39" x14ac:dyDescent="0.2">
      <c r="B1" s="4"/>
      <c r="C1" s="4"/>
      <c r="D1" s="4"/>
      <c r="E1" s="4"/>
      <c r="F1" s="4"/>
      <c r="G1" s="4"/>
      <c r="H1" s="4"/>
      <c r="I1" s="4"/>
      <c r="J1" s="2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 spans="1:39" s="32" customFormat="1" ht="18" x14ac:dyDescent="0.2">
      <c r="A2" s="11"/>
      <c r="B2" s="974" t="s">
        <v>481</v>
      </c>
      <c r="C2" s="975"/>
      <c r="D2" s="975" t="str">
        <f>'Planzahlen Rentabilität'!A6</f>
        <v>Sample-Data</v>
      </c>
      <c r="E2" s="975"/>
      <c r="F2" s="975"/>
      <c r="G2" s="975"/>
      <c r="H2" s="975"/>
      <c r="I2" s="975"/>
      <c r="J2" s="975"/>
      <c r="K2" s="975"/>
      <c r="L2" s="975"/>
      <c r="M2" s="975"/>
      <c r="N2" s="975"/>
      <c r="O2" s="975"/>
      <c r="P2" s="975"/>
      <c r="Q2" s="975"/>
      <c r="R2" s="975"/>
      <c r="S2" s="975"/>
      <c r="T2" s="975"/>
      <c r="U2" s="975"/>
      <c r="V2" s="975"/>
      <c r="W2" s="975"/>
      <c r="X2" s="975"/>
      <c r="Y2" s="975"/>
      <c r="Z2" s="975"/>
      <c r="AA2" s="975"/>
      <c r="AB2" s="975"/>
      <c r="AC2" s="975"/>
      <c r="AD2" s="975"/>
      <c r="AE2" s="975"/>
      <c r="AF2" s="975"/>
      <c r="AG2" s="975"/>
      <c r="AH2" s="975"/>
      <c r="AI2" s="975"/>
      <c r="AJ2" s="975"/>
      <c r="AK2" s="975"/>
      <c r="AL2" s="975"/>
      <c r="AM2" s="975"/>
    </row>
    <row r="3" spans="1:39" x14ac:dyDescent="0.2">
      <c r="B3" s="973"/>
      <c r="C3" s="46"/>
      <c r="D3" s="46"/>
      <c r="E3" s="46"/>
      <c r="F3" s="46"/>
      <c r="G3" s="46"/>
      <c r="H3" s="46"/>
      <c r="I3" s="46"/>
      <c r="J3" s="734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</row>
    <row r="4" spans="1:39" s="51" customFormat="1" ht="25.5" x14ac:dyDescent="0.2">
      <c r="A4" s="50"/>
      <c r="B4" s="498" t="s">
        <v>482</v>
      </c>
      <c r="C4" s="499" t="s">
        <v>88</v>
      </c>
      <c r="D4" s="745" t="s">
        <v>483</v>
      </c>
      <c r="E4" s="498" t="s">
        <v>90</v>
      </c>
      <c r="F4" s="498" t="s">
        <v>484</v>
      </c>
      <c r="G4" s="499" t="s">
        <v>485</v>
      </c>
      <c r="H4" s="499" t="s">
        <v>486</v>
      </c>
      <c r="I4" s="498" t="s">
        <v>487</v>
      </c>
      <c r="J4" s="1503" t="s">
        <v>105</v>
      </c>
      <c r="K4" s="1504"/>
      <c r="L4" s="1505"/>
      <c r="M4" s="1506" t="s">
        <v>488</v>
      </c>
      <c r="N4" s="1507"/>
      <c r="O4" s="1508"/>
      <c r="P4" s="1506" t="s">
        <v>489</v>
      </c>
      <c r="Q4" s="1507"/>
      <c r="R4" s="1508"/>
      <c r="S4" s="1506" t="s">
        <v>155</v>
      </c>
      <c r="T4" s="1507"/>
      <c r="U4" s="1508"/>
      <c r="V4" s="499" t="s">
        <v>490</v>
      </c>
      <c r="W4" s="499" t="s">
        <v>491</v>
      </c>
      <c r="X4" s="499" t="s">
        <v>492</v>
      </c>
      <c r="Y4" s="499" t="s">
        <v>493</v>
      </c>
      <c r="Z4" s="499" t="s">
        <v>494</v>
      </c>
      <c r="AA4" s="498" t="s">
        <v>495</v>
      </c>
      <c r="AB4" s="499" t="s">
        <v>496</v>
      </c>
      <c r="AC4" s="498" t="s">
        <v>497</v>
      </c>
      <c r="AD4" s="498" t="s">
        <v>498</v>
      </c>
      <c r="AE4" s="498" t="s">
        <v>499</v>
      </c>
      <c r="AF4" s="498" t="s">
        <v>500</v>
      </c>
      <c r="AG4" s="498" t="s">
        <v>501</v>
      </c>
      <c r="AH4" s="498" t="s">
        <v>502</v>
      </c>
      <c r="AI4" s="498" t="s">
        <v>503</v>
      </c>
      <c r="AJ4" s="498" t="s">
        <v>504</v>
      </c>
      <c r="AK4" s="498" t="s">
        <v>505</v>
      </c>
      <c r="AL4" s="499" t="s">
        <v>506</v>
      </c>
      <c r="AM4" s="498" t="s">
        <v>507</v>
      </c>
    </row>
    <row r="5" spans="1:39" x14ac:dyDescent="0.2">
      <c r="B5" s="500" t="s">
        <v>38</v>
      </c>
      <c r="C5" s="766"/>
      <c r="D5" s="766"/>
      <c r="E5" s="83"/>
      <c r="F5" s="83"/>
      <c r="G5" s="83"/>
      <c r="H5" s="83"/>
      <c r="I5" s="83"/>
      <c r="J5" s="735"/>
      <c r="K5" s="83"/>
      <c r="L5" s="83"/>
      <c r="M5" s="735"/>
      <c r="N5" s="83"/>
      <c r="O5" s="83"/>
      <c r="P5" s="735"/>
      <c r="Q5" s="83"/>
      <c r="R5" s="83"/>
      <c r="S5" s="735"/>
      <c r="T5" s="83"/>
      <c r="U5" s="83"/>
      <c r="V5" s="83"/>
      <c r="W5" s="83"/>
      <c r="X5" s="83"/>
      <c r="Y5" s="768"/>
      <c r="Z5" s="83"/>
      <c r="AA5" s="83"/>
      <c r="AB5" s="84"/>
      <c r="AC5" s="83"/>
      <c r="AD5" s="83"/>
      <c r="AE5" s="12"/>
      <c r="AF5" s="12"/>
      <c r="AG5" s="12"/>
      <c r="AH5" s="12"/>
      <c r="AI5" s="12"/>
      <c r="AJ5" s="12"/>
      <c r="AK5" s="12"/>
      <c r="AL5" s="12"/>
      <c r="AM5" s="12"/>
    </row>
    <row r="6" spans="1:39" x14ac:dyDescent="0.2">
      <c r="B6" s="101" t="str">
        <f>IF(Personalplanung!B6&lt;&gt;"",Personalplanung!B6,IF(Personalplanung!A6&lt;&gt;"",Personalplanung!A6,""))</f>
        <v>Maxdivers Mustermann</v>
      </c>
      <c r="C6" s="82">
        <f>IF(ISERROR(Personalplanung!$F6/Monatsplanung!$E6*Monatsplanung!$G6),0,Personalplanung!$F6/Monatsplanung!$E6*Monatsplanung!$G6)</f>
        <v>174</v>
      </c>
      <c r="D6" s="168">
        <f>Personalplanung!G6</f>
        <v>8</v>
      </c>
      <c r="E6" s="82">
        <f>IF(ISERROR(Personalplanung!H6/Monatsplanung!$E6*Monatsplanung!$G6),0,Personalplanung!H6/Monatsplanung!$E6*Monatsplanung!$G6)</f>
        <v>66.666666666666671</v>
      </c>
      <c r="F6" s="82">
        <f>+C6+E6</f>
        <v>240.66666666666669</v>
      </c>
      <c r="G6" s="82">
        <f>Personalplanung!K6</f>
        <v>27.700831024930746</v>
      </c>
      <c r="H6" s="82">
        <f>+F6*G6</f>
        <v>6666.666666666667</v>
      </c>
      <c r="I6" s="168">
        <f>Personalplanung!V6</f>
        <v>30</v>
      </c>
      <c r="J6" s="739"/>
      <c r="K6" s="82">
        <f>IF(J6&lt;&gt;"",J6,IF(ISERROR(Personalplanung!AB6/Monatsplanung!$E6*Monatsplanung!$G6),0,Personalplanung!AB6/Monatsplanung!$E6*Monatsplanung!$G6))</f>
        <v>0.66666666666666663</v>
      </c>
      <c r="L6" s="740"/>
      <c r="M6" s="739"/>
      <c r="N6" s="168">
        <f>IF(M6&lt;&gt;"",M6,IF(ISERROR(Personalplanung!AC6/Monatsplanung!$E6*Monatsplanung!$G6),0,Personalplanung!AC6/Monatsplanung!$E6*Monatsplanung!$G6))</f>
        <v>0</v>
      </c>
      <c r="O6" s="740"/>
      <c r="P6" s="739"/>
      <c r="Q6" s="82">
        <f>IF(P6&lt;&gt;"",P6,IF(ISERROR(Personalplanung!AD6/Monatsplanung!$E6*Monatsplanung!$G6),0,Personalplanung!AD6/Monatsplanung!$E6*Monatsplanung!$G6))</f>
        <v>0.16666666666666666</v>
      </c>
      <c r="R6" s="740"/>
      <c r="S6" s="739"/>
      <c r="T6" s="82">
        <f>IF(S6&lt;&gt;"",S6,IF(ISERROR(Personalplanung!AE6/Monatsplanung!$E6*Monatsplanung!$G6),0,Personalplanung!AE6/Monatsplanung!$E6*Monatsplanung!$G6))</f>
        <v>1.25</v>
      </c>
      <c r="U6" s="740"/>
      <c r="V6" s="82">
        <f>K6+N6+Q6+T6</f>
        <v>2.083333333333333</v>
      </c>
      <c r="W6" s="168">
        <f>IF(ISERROR(Personalplanung!P6/Monatsplanung!$E6*Monatsplanung!$G6),0,Personalplanung!P6/Monatsplanung!$E6*Monatsplanung!$G6)</f>
        <v>0</v>
      </c>
      <c r="X6" s="168">
        <f>IF(ISERROR(Personalplanung!Q6/Monatsplanung!$E6*Monatsplanung!$G6),0,Personalplanung!Q6/Monatsplanung!$E6*Monatsplanung!$G6)</f>
        <v>0</v>
      </c>
      <c r="Y6" s="82">
        <f>IF(ISERROR(Personalplanung!R6/T1254*Stundencontrolling!T6),0,Personalplanung!R6/T1254*Stundencontrolling!T6)</f>
        <v>0</v>
      </c>
      <c r="Z6" s="168">
        <f>IF(ISERROR(Personalplanung!S6/Monatsplanung!$E6*Monatsplanung!$G6),0,Personalplanung!S6/Monatsplanung!$E6*Monatsplanung!$G6)</f>
        <v>0</v>
      </c>
      <c r="AA6" s="80">
        <f>+F6*G6*(1+I6)+SUM(W6:Z6)</f>
        <v>206666.66666666669</v>
      </c>
      <c r="AB6" s="102">
        <f>Personalplanung!AG6</f>
        <v>0.1</v>
      </c>
      <c r="AC6" s="103">
        <f>AB6*AA6</f>
        <v>20666.666666666672</v>
      </c>
      <c r="AD6" s="103">
        <f>AA6-AC6</f>
        <v>186000</v>
      </c>
      <c r="AE6" s="81">
        <f>(F6-(V6*$D6))*AB6</f>
        <v>22.400000000000006</v>
      </c>
      <c r="AF6" s="539"/>
      <c r="AG6" s="104">
        <f>Personalplanung!AK6</f>
        <v>1</v>
      </c>
      <c r="AH6" s="7">
        <f>IF(ISERROR(AK6/AF6),0,AK6/AF6)</f>
        <v>0</v>
      </c>
      <c r="AI6" s="6">
        <f>AE6*AG6</f>
        <v>22.400000000000006</v>
      </c>
      <c r="AJ6" s="73">
        <f>IF(ISERROR(+AC6/AI6),0,+AC6/AI6)</f>
        <v>922.61904761904759</v>
      </c>
      <c r="AK6" s="539"/>
      <c r="AL6" s="748"/>
      <c r="AM6" s="748"/>
    </row>
    <row r="7" spans="1:39" x14ac:dyDescent="0.2">
      <c r="B7" s="101" t="str">
        <f>IF(Personalplanung!B7&lt;&gt;"",Personalplanung!B7,IF(Personalplanung!A7&lt;&gt;"",Personalplanung!A7,""))</f>
        <v>Egon Kaufmann</v>
      </c>
      <c r="C7" s="168">
        <f>IF(ISERROR(Personalplanung!$F7/Monatsplanung!$E7*Monatsplanung!$G7),0,Personalplanung!$F7/Monatsplanung!$E7*Monatsplanung!$G7)</f>
        <v>174</v>
      </c>
      <c r="D7" s="168">
        <f>Personalplanung!G7</f>
        <v>8</v>
      </c>
      <c r="E7" s="168">
        <f>IF(ISERROR(Personalplanung!H7/Monatsplanung!$E7*Monatsplanung!$G7),0,Personalplanung!H7/Monatsplanung!$E7*Monatsplanung!$G7)</f>
        <v>26.666666666666668</v>
      </c>
      <c r="F7" s="168">
        <f t="shared" ref="F7:F70" si="0">+C7+E7</f>
        <v>200.66666666666666</v>
      </c>
      <c r="G7" s="168">
        <f>Personalplanung!K7</f>
        <v>24.916943521594686</v>
      </c>
      <c r="H7" s="168">
        <f t="shared" ref="H7:H70" si="1">+F7*G7</f>
        <v>5000</v>
      </c>
      <c r="I7" s="168">
        <f>Personalplanung!V7</f>
        <v>28</v>
      </c>
      <c r="J7" s="739"/>
      <c r="K7" s="168">
        <f>IF(J7&lt;&gt;"",J7,IF(ISERROR(Personalplanung!AB7/Monatsplanung!$E7*Monatsplanung!$G7),0,Personalplanung!AB7/Monatsplanung!$E7*Monatsplanung!$G7))</f>
        <v>0.66666666666666663</v>
      </c>
      <c r="L7" s="740"/>
      <c r="M7" s="739"/>
      <c r="N7" s="168">
        <f>IF(M7&lt;&gt;"",M7,IF(ISERROR(Personalplanung!AC7/Monatsplanung!$E7*Monatsplanung!$G7),0,Personalplanung!AC7/Monatsplanung!$E7*Monatsplanung!$G7))</f>
        <v>0</v>
      </c>
      <c r="O7" s="740"/>
      <c r="P7" s="739"/>
      <c r="Q7" s="168">
        <f>IF(P7&lt;&gt;"",P7,IF(ISERROR(Personalplanung!AD7/Monatsplanung!$E7*Monatsplanung!$G7),0,Personalplanung!AD7/Monatsplanung!$E7*Monatsplanung!$G7))</f>
        <v>0.16666666666666666</v>
      </c>
      <c r="R7" s="740"/>
      <c r="S7" s="739"/>
      <c r="T7" s="168">
        <f>IF(S7&lt;&gt;"",S7,IF(ISERROR(Personalplanung!AE7/Monatsplanung!$E7*Monatsplanung!$G7),0,Personalplanung!AE7/Monatsplanung!$E7*Monatsplanung!$G7))</f>
        <v>2.1666666666666665</v>
      </c>
      <c r="U7" s="740"/>
      <c r="V7" s="168">
        <f t="shared" ref="V7:V70" si="2">K7+N7+Q7+T7</f>
        <v>3</v>
      </c>
      <c r="W7" s="168">
        <f>IF(ISERROR(Personalplanung!P7/Monatsplanung!$E7*Monatsplanung!$G7),0,Personalplanung!P7/Monatsplanung!$E7*Monatsplanung!$G7)</f>
        <v>0</v>
      </c>
      <c r="X7" s="168">
        <f>IF(ISERROR(Personalplanung!Q7/Monatsplanung!$E7*Monatsplanung!$G7),0,Personalplanung!Q7/Monatsplanung!$E7*Monatsplanung!$G7)</f>
        <v>0</v>
      </c>
      <c r="Y7" s="168">
        <f>IF(ISERROR(Personalplanung!R7/T1255*Stundencontrolling!T7),0,Personalplanung!R7/T1255*Stundencontrolling!T7)</f>
        <v>0</v>
      </c>
      <c r="Z7" s="168">
        <f>IF(ISERROR(Personalplanung!S7/Monatsplanung!$E7*Monatsplanung!$G7),0,Personalplanung!S7/Monatsplanung!$E7*Monatsplanung!$G7)</f>
        <v>0</v>
      </c>
      <c r="AA7" s="80">
        <f t="shared" ref="AA7:AA70" si="3">+F7*G7*(1+I7)+SUM(W7:Z7)</f>
        <v>145000</v>
      </c>
      <c r="AB7" s="102">
        <f>Personalplanung!AG7</f>
        <v>0</v>
      </c>
      <c r="AC7" s="103">
        <f t="shared" ref="AC7:AC70" si="4">AB7*AA7</f>
        <v>0</v>
      </c>
      <c r="AD7" s="103">
        <f t="shared" ref="AD7:AD70" si="5">AA7-AC7</f>
        <v>145000</v>
      </c>
      <c r="AE7" s="81">
        <f t="shared" ref="AE7:AE70" si="6">(F7-(V7*$D7))*AB7</f>
        <v>0</v>
      </c>
      <c r="AF7" s="539"/>
      <c r="AG7" s="104">
        <f>Personalplanung!AK7</f>
        <v>1</v>
      </c>
      <c r="AH7" s="7">
        <f t="shared" ref="AH7:AH70" si="7">IF(ISERROR(AK7/AF7),0,AK7/AF7)</f>
        <v>0</v>
      </c>
      <c r="AI7" s="6">
        <f t="shared" ref="AI7:AI70" si="8">AE7*AG7</f>
        <v>0</v>
      </c>
      <c r="AJ7" s="73">
        <f t="shared" ref="AJ7:AJ70" si="9">IF(ISERROR(+AC7/AI7),0,+AC7/AI7)</f>
        <v>0</v>
      </c>
      <c r="AK7" s="539"/>
      <c r="AL7" s="748"/>
      <c r="AM7" s="748"/>
    </row>
    <row r="8" spans="1:39" x14ac:dyDescent="0.2">
      <c r="B8" s="101" t="str">
        <f>IF(Personalplanung!B8&lt;&gt;"",Personalplanung!B8,IF(Personalplanung!A8&lt;&gt;"",Personalplanung!A8,""))</f>
        <v>Walter Meister</v>
      </c>
      <c r="C8" s="168">
        <f>IF(ISERROR(Personalplanung!$F8/Monatsplanung!$E8*Monatsplanung!$G8),0,Personalplanung!$F8/Monatsplanung!$E8*Monatsplanung!$G8)</f>
        <v>174</v>
      </c>
      <c r="D8" s="168">
        <f>Personalplanung!G8</f>
        <v>8</v>
      </c>
      <c r="E8" s="168">
        <f>IF(ISERROR(Personalplanung!H8/Monatsplanung!$E8*Monatsplanung!$G8),0,Personalplanung!H8/Monatsplanung!$E8*Monatsplanung!$G8)</f>
        <v>26.666666666666668</v>
      </c>
      <c r="F8" s="168">
        <f t="shared" si="0"/>
        <v>200.66666666666666</v>
      </c>
      <c r="G8" s="168">
        <f>Personalplanung!K8</f>
        <v>16.611295681063122</v>
      </c>
      <c r="H8" s="168">
        <f t="shared" si="1"/>
        <v>3333.333333333333</v>
      </c>
      <c r="I8" s="168">
        <f>Personalplanung!V8</f>
        <v>28</v>
      </c>
      <c r="J8" s="739"/>
      <c r="K8" s="168">
        <f>IF(J8&lt;&gt;"",J8,IF(ISERROR(Personalplanung!AB8/Monatsplanung!$E8*Monatsplanung!$G8),0,Personalplanung!AB8/Monatsplanung!$E8*Monatsplanung!$G8))</f>
        <v>0.66666666666666663</v>
      </c>
      <c r="L8" s="740"/>
      <c r="M8" s="739"/>
      <c r="N8" s="168">
        <f>IF(M8&lt;&gt;"",M8,IF(ISERROR(Personalplanung!AC8/Monatsplanung!$E8*Monatsplanung!$G8),0,Personalplanung!AC8/Monatsplanung!$E8*Monatsplanung!$G8))</f>
        <v>8.3333333333333329E-2</v>
      </c>
      <c r="O8" s="740"/>
      <c r="P8" s="739"/>
      <c r="Q8" s="168">
        <f>IF(P8&lt;&gt;"",P8,IF(ISERROR(Personalplanung!AD8/Monatsplanung!$E8*Monatsplanung!$G8),0,Personalplanung!AD8/Monatsplanung!$E8*Monatsplanung!$G8))</f>
        <v>0.16666666666666666</v>
      </c>
      <c r="R8" s="740"/>
      <c r="S8" s="739"/>
      <c r="T8" s="168">
        <f>IF(S8&lt;&gt;"",S8,IF(ISERROR(Personalplanung!AE8/Monatsplanung!$E8*Monatsplanung!$G8),0,Personalplanung!AE8/Monatsplanung!$E8*Monatsplanung!$G8))</f>
        <v>2.1666666666666665</v>
      </c>
      <c r="U8" s="740"/>
      <c r="V8" s="168">
        <f t="shared" si="2"/>
        <v>3.083333333333333</v>
      </c>
      <c r="W8" s="168">
        <f>IF(ISERROR(Personalplanung!P8/Monatsplanung!$E8*Monatsplanung!$G8),0,Personalplanung!P8/Monatsplanung!$E8*Monatsplanung!$G8)</f>
        <v>0</v>
      </c>
      <c r="X8" s="168">
        <f>IF(ISERROR(Personalplanung!Q8/Monatsplanung!$E8*Monatsplanung!$G8),0,Personalplanung!Q8/Monatsplanung!$E8*Monatsplanung!$G8)</f>
        <v>0</v>
      </c>
      <c r="Y8" s="168">
        <f>IF(ISERROR(Personalplanung!R8/T1256*Stundencontrolling!T8),0,Personalplanung!R8/T1256*Stundencontrolling!T8)</f>
        <v>0</v>
      </c>
      <c r="Z8" s="168">
        <f>IF(ISERROR(Personalplanung!S8/Monatsplanung!$E8*Monatsplanung!$G8),0,Personalplanung!S8/Monatsplanung!$E8*Monatsplanung!$G8)</f>
        <v>0</v>
      </c>
      <c r="AA8" s="80">
        <f t="shared" si="3"/>
        <v>96666.666666666657</v>
      </c>
      <c r="AB8" s="102">
        <f>Personalplanung!AG8</f>
        <v>0</v>
      </c>
      <c r="AC8" s="103">
        <f t="shared" si="4"/>
        <v>0</v>
      </c>
      <c r="AD8" s="103">
        <f t="shared" si="5"/>
        <v>96666.666666666657</v>
      </c>
      <c r="AE8" s="81">
        <f t="shared" si="6"/>
        <v>0</v>
      </c>
      <c r="AF8" s="539"/>
      <c r="AG8" s="104">
        <f>Personalplanung!AK8</f>
        <v>1</v>
      </c>
      <c r="AH8" s="7">
        <f t="shared" si="7"/>
        <v>0</v>
      </c>
      <c r="AI8" s="6">
        <f t="shared" si="8"/>
        <v>0</v>
      </c>
      <c r="AJ8" s="73">
        <f t="shared" si="9"/>
        <v>0</v>
      </c>
      <c r="AK8" s="539"/>
      <c r="AL8" s="748"/>
      <c r="AM8" s="748"/>
    </row>
    <row r="9" spans="1:39" x14ac:dyDescent="0.2">
      <c r="B9" s="101" t="str">
        <f>IF(Personalplanung!B9&lt;&gt;"",Personalplanung!B9,IF(Personalplanung!A9&lt;&gt;"",Personalplanung!A9,""))</f>
        <v>Tom in Technik</v>
      </c>
      <c r="C9" s="168">
        <f>IF(ISERROR(Personalplanung!$F9/Monatsplanung!$E9*Monatsplanung!$G9),0,Personalplanung!$F9/Monatsplanung!$E9*Monatsplanung!$G9)</f>
        <v>174</v>
      </c>
      <c r="D9" s="168">
        <f>Personalplanung!G9</f>
        <v>8</v>
      </c>
      <c r="E9" s="168">
        <f>IF(ISERROR(Personalplanung!H9/Monatsplanung!$E9*Monatsplanung!$G9),0,Personalplanung!H9/Monatsplanung!$E9*Monatsplanung!$G9)</f>
        <v>0</v>
      </c>
      <c r="F9" s="168">
        <f t="shared" si="0"/>
        <v>174</v>
      </c>
      <c r="G9" s="168">
        <f>Personalplanung!K9</f>
        <v>18.199233716475096</v>
      </c>
      <c r="H9" s="168">
        <f t="shared" si="1"/>
        <v>3166.6666666666665</v>
      </c>
      <c r="I9" s="168">
        <f>Personalplanung!V9</f>
        <v>28</v>
      </c>
      <c r="J9" s="739"/>
      <c r="K9" s="168">
        <f>IF(J9&lt;&gt;"",J9,IF(ISERROR(Personalplanung!AB9/Monatsplanung!$E9*Monatsplanung!$G9),0,Personalplanung!AB9/Monatsplanung!$E9*Monatsplanung!$G9))</f>
        <v>0.66666666666666663</v>
      </c>
      <c r="L9" s="740"/>
      <c r="M9" s="739"/>
      <c r="N9" s="168">
        <f>IF(M9&lt;&gt;"",M9,IF(ISERROR(Personalplanung!AC9/Monatsplanung!$E9*Monatsplanung!$G9),0,Personalplanung!AC9/Monatsplanung!$E9*Monatsplanung!$G9))</f>
        <v>0.16666666666666666</v>
      </c>
      <c r="O9" s="740"/>
      <c r="P9" s="739"/>
      <c r="Q9" s="168">
        <f>IF(P9&lt;&gt;"",P9,IF(ISERROR(Personalplanung!AD9/Monatsplanung!$E9*Monatsplanung!$G9),0,Personalplanung!AD9/Monatsplanung!$E9*Monatsplanung!$G9))</f>
        <v>0.16666666666666666</v>
      </c>
      <c r="R9" s="740"/>
      <c r="S9" s="739"/>
      <c r="T9" s="168">
        <f>IF(S9&lt;&gt;"",S9,IF(ISERROR(Personalplanung!AE9/Monatsplanung!$E9*Monatsplanung!$G9),0,Personalplanung!AE9/Monatsplanung!$E9*Monatsplanung!$G9))</f>
        <v>2.1666666666666665</v>
      </c>
      <c r="U9" s="740"/>
      <c r="V9" s="168">
        <f t="shared" si="2"/>
        <v>3.1666666666666665</v>
      </c>
      <c r="W9" s="168">
        <f>IF(ISERROR(Personalplanung!P9/Monatsplanung!$E9*Monatsplanung!$G9),0,Personalplanung!P9/Monatsplanung!$E9*Monatsplanung!$G9)</f>
        <v>0</v>
      </c>
      <c r="X9" s="168">
        <f>IF(ISERROR(Personalplanung!Q9/Monatsplanung!$E9*Monatsplanung!$G9),0,Personalplanung!Q9/Monatsplanung!$E9*Monatsplanung!$G9)</f>
        <v>0</v>
      </c>
      <c r="Y9" s="168">
        <f>IF(ISERROR(Personalplanung!R9/T1257*Stundencontrolling!T9),0,Personalplanung!R9/T1257*Stundencontrolling!T9)</f>
        <v>0</v>
      </c>
      <c r="Z9" s="168">
        <f>IF(ISERROR(Personalplanung!S9/Monatsplanung!$E9*Monatsplanung!$G9),0,Personalplanung!S9/Monatsplanung!$E9*Monatsplanung!$G9)</f>
        <v>0</v>
      </c>
      <c r="AA9" s="80">
        <f t="shared" si="3"/>
        <v>91833.333333333328</v>
      </c>
      <c r="AB9" s="102">
        <f>Personalplanung!AG9</f>
        <v>0.2</v>
      </c>
      <c r="AC9" s="103">
        <f t="shared" si="4"/>
        <v>18366.666666666668</v>
      </c>
      <c r="AD9" s="103">
        <f t="shared" si="5"/>
        <v>73466.666666666657</v>
      </c>
      <c r="AE9" s="81">
        <f t="shared" si="6"/>
        <v>29.733333333333334</v>
      </c>
      <c r="AF9" s="539"/>
      <c r="AG9" s="104">
        <f>Personalplanung!AK9</f>
        <v>1</v>
      </c>
      <c r="AH9" s="7">
        <f t="shared" si="7"/>
        <v>0</v>
      </c>
      <c r="AI9" s="6">
        <f t="shared" si="8"/>
        <v>29.733333333333334</v>
      </c>
      <c r="AJ9" s="73">
        <f t="shared" si="9"/>
        <v>617.71300448430497</v>
      </c>
      <c r="AK9" s="539"/>
      <c r="AL9" s="748"/>
      <c r="AM9" s="748"/>
    </row>
    <row r="10" spans="1:39" x14ac:dyDescent="0.2">
      <c r="B10" s="101" t="str">
        <f>IF(Personalplanung!B10&lt;&gt;"",Personalplanung!B10,IF(Personalplanung!A10&lt;&gt;"",Personalplanung!A10,""))</f>
        <v>Lola Rennt</v>
      </c>
      <c r="C10" s="168">
        <f>IF(ISERROR(Personalplanung!$F10/Monatsplanung!$E10*Monatsplanung!$G10),0,Personalplanung!$F10/Monatsplanung!$E10*Monatsplanung!$G10)</f>
        <v>174</v>
      </c>
      <c r="D10" s="168">
        <f>Personalplanung!G10</f>
        <v>8</v>
      </c>
      <c r="E10" s="168">
        <f>IF(ISERROR(Personalplanung!H10/Monatsplanung!$E10*Monatsplanung!$G10),0,Personalplanung!H10/Monatsplanung!$E10*Monatsplanung!$G10)</f>
        <v>0</v>
      </c>
      <c r="F10" s="168">
        <f t="shared" si="0"/>
        <v>174</v>
      </c>
      <c r="G10" s="168">
        <f>Personalplanung!K10</f>
        <v>11.973180076628353</v>
      </c>
      <c r="H10" s="168">
        <f t="shared" si="1"/>
        <v>2083.3333333333335</v>
      </c>
      <c r="I10" s="168">
        <f>Personalplanung!V10</f>
        <v>26</v>
      </c>
      <c r="J10" s="739"/>
      <c r="K10" s="168">
        <f>IF(J10&lt;&gt;"",J10,IF(ISERROR(Personalplanung!AB10/Monatsplanung!$E10*Monatsplanung!$G10),0,Personalplanung!AB10/Monatsplanung!$E10*Monatsplanung!$G10))</f>
        <v>0.66666666666666663</v>
      </c>
      <c r="L10" s="740"/>
      <c r="M10" s="739"/>
      <c r="N10" s="168">
        <f>IF(M10&lt;&gt;"",M10,IF(ISERROR(Personalplanung!AC10/Monatsplanung!$E10*Monatsplanung!$G10),0,Personalplanung!AC10/Monatsplanung!$E10*Monatsplanung!$G10))</f>
        <v>0</v>
      </c>
      <c r="O10" s="740"/>
      <c r="P10" s="739"/>
      <c r="Q10" s="168">
        <f>IF(P10&lt;&gt;"",P10,IF(ISERROR(Personalplanung!AD10/Monatsplanung!$E10*Monatsplanung!$G10),0,Personalplanung!AD10/Monatsplanung!$E10*Monatsplanung!$G10))</f>
        <v>0.16666666666666666</v>
      </c>
      <c r="R10" s="740"/>
      <c r="S10" s="739"/>
      <c r="T10" s="168">
        <f>IF(S10&lt;&gt;"",S10,IF(ISERROR(Personalplanung!AE10/Monatsplanung!$E10*Monatsplanung!$G10),0,Personalplanung!AE10/Monatsplanung!$E10*Monatsplanung!$G10))</f>
        <v>2.1666666666666665</v>
      </c>
      <c r="U10" s="740"/>
      <c r="V10" s="168">
        <f t="shared" si="2"/>
        <v>3</v>
      </c>
      <c r="W10" s="168">
        <f>IF(ISERROR(Personalplanung!P10/Monatsplanung!$E10*Monatsplanung!$G10),0,Personalplanung!P10/Monatsplanung!$E10*Monatsplanung!$G10)</f>
        <v>0</v>
      </c>
      <c r="X10" s="168">
        <f>IF(ISERROR(Personalplanung!Q10/Monatsplanung!$E10*Monatsplanung!$G10),0,Personalplanung!Q10/Monatsplanung!$E10*Monatsplanung!$G10)</f>
        <v>0</v>
      </c>
      <c r="Y10" s="168">
        <f>IF(ISERROR(Personalplanung!R10/T1258*Stundencontrolling!T10),0,Personalplanung!R10/T1258*Stundencontrolling!T10)</f>
        <v>0</v>
      </c>
      <c r="Z10" s="168">
        <f>IF(ISERROR(Personalplanung!S10/Monatsplanung!$E10*Monatsplanung!$G10),0,Personalplanung!S10/Monatsplanung!$E10*Monatsplanung!$G10)</f>
        <v>0</v>
      </c>
      <c r="AA10" s="80">
        <f t="shared" si="3"/>
        <v>56250.000000000007</v>
      </c>
      <c r="AB10" s="102">
        <f>Personalplanung!AG10</f>
        <v>0</v>
      </c>
      <c r="AC10" s="103">
        <f t="shared" si="4"/>
        <v>0</v>
      </c>
      <c r="AD10" s="103">
        <f t="shared" si="5"/>
        <v>56250.000000000007</v>
      </c>
      <c r="AE10" s="81">
        <f t="shared" si="6"/>
        <v>0</v>
      </c>
      <c r="AF10" s="539"/>
      <c r="AG10" s="104">
        <f>Personalplanung!AK10</f>
        <v>1</v>
      </c>
      <c r="AH10" s="7">
        <f t="shared" si="7"/>
        <v>0</v>
      </c>
      <c r="AI10" s="6">
        <f t="shared" si="8"/>
        <v>0</v>
      </c>
      <c r="AJ10" s="73">
        <f t="shared" si="9"/>
        <v>0</v>
      </c>
      <c r="AK10" s="539"/>
      <c r="AL10" s="748"/>
      <c r="AM10" s="748"/>
    </row>
    <row r="11" spans="1:39" x14ac:dyDescent="0.2">
      <c r="B11" s="101" t="str">
        <f>IF(Personalplanung!B11&lt;&gt;"",Personalplanung!B11,IF(Personalplanung!A11&lt;&gt;"",Personalplanung!A11,""))</f>
        <v>Bier Lager</v>
      </c>
      <c r="C11" s="168">
        <f>IF(ISERROR(Personalplanung!$F11/Monatsplanung!$E11*Monatsplanung!$G11),0,Personalplanung!$F11/Monatsplanung!$E11*Monatsplanung!$G11)</f>
        <v>174</v>
      </c>
      <c r="D11" s="168">
        <f>Personalplanung!G11</f>
        <v>8</v>
      </c>
      <c r="E11" s="168">
        <f>IF(ISERROR(Personalplanung!H11/Monatsplanung!$E11*Monatsplanung!$G11),0,Personalplanung!H11/Monatsplanung!$E11*Monatsplanung!$G11)</f>
        <v>0</v>
      </c>
      <c r="F11" s="168">
        <f t="shared" si="0"/>
        <v>174</v>
      </c>
      <c r="G11" s="168">
        <f>Personalplanung!K11</f>
        <v>11.494252873563218</v>
      </c>
      <c r="H11" s="168">
        <f t="shared" si="1"/>
        <v>1999.9999999999998</v>
      </c>
      <c r="I11" s="168">
        <f>Personalplanung!V11</f>
        <v>26</v>
      </c>
      <c r="J11" s="739"/>
      <c r="K11" s="168">
        <f>IF(J11&lt;&gt;"",J11,IF(ISERROR(Personalplanung!AB11/Monatsplanung!$E11*Monatsplanung!$G11),0,Personalplanung!AB11/Monatsplanung!$E11*Monatsplanung!$G11))</f>
        <v>0.66666666666666663</v>
      </c>
      <c r="L11" s="740"/>
      <c r="M11" s="739"/>
      <c r="N11" s="168">
        <f>IF(M11&lt;&gt;"",M11,IF(ISERROR(Personalplanung!AC11/Monatsplanung!$E11*Monatsplanung!$G11),0,Personalplanung!AC11/Monatsplanung!$E11*Monatsplanung!$G11))</f>
        <v>0</v>
      </c>
      <c r="O11" s="740"/>
      <c r="P11" s="739"/>
      <c r="Q11" s="168">
        <f>IF(P11&lt;&gt;"",P11,IF(ISERROR(Personalplanung!AD11/Monatsplanung!$E11*Monatsplanung!$G11),0,Personalplanung!AD11/Monatsplanung!$E11*Monatsplanung!$G11))</f>
        <v>0.16666666666666666</v>
      </c>
      <c r="R11" s="740"/>
      <c r="S11" s="739"/>
      <c r="T11" s="168">
        <f>IF(S11&lt;&gt;"",S11,IF(ISERROR(Personalplanung!AE11/Monatsplanung!$E11*Monatsplanung!$G11),0,Personalplanung!AE11/Monatsplanung!$E11*Monatsplanung!$G11))</f>
        <v>2.1666666666666665</v>
      </c>
      <c r="U11" s="740"/>
      <c r="V11" s="168">
        <f t="shared" si="2"/>
        <v>3</v>
      </c>
      <c r="W11" s="168">
        <f>IF(ISERROR(Personalplanung!P11/Monatsplanung!$E11*Monatsplanung!$G11),0,Personalplanung!P11/Monatsplanung!$E11*Monatsplanung!$G11)</f>
        <v>0</v>
      </c>
      <c r="X11" s="168">
        <f>IF(ISERROR(Personalplanung!Q11/Monatsplanung!$E11*Monatsplanung!$G11),0,Personalplanung!Q11/Monatsplanung!$E11*Monatsplanung!$G11)</f>
        <v>0</v>
      </c>
      <c r="Y11" s="168">
        <f>IF(ISERROR(Personalplanung!R11/T1259*Stundencontrolling!T11),0,Personalplanung!R11/T1259*Stundencontrolling!T11)</f>
        <v>0</v>
      </c>
      <c r="Z11" s="168">
        <f>IF(ISERROR(Personalplanung!S11/Monatsplanung!$E11*Monatsplanung!$G11),0,Personalplanung!S11/Monatsplanung!$E11*Monatsplanung!$G11)</f>
        <v>0</v>
      </c>
      <c r="AA11" s="80">
        <f t="shared" si="3"/>
        <v>53999.999999999993</v>
      </c>
      <c r="AB11" s="102">
        <f>Personalplanung!AG11</f>
        <v>0</v>
      </c>
      <c r="AC11" s="103">
        <f t="shared" si="4"/>
        <v>0</v>
      </c>
      <c r="AD11" s="103">
        <f t="shared" si="5"/>
        <v>53999.999999999993</v>
      </c>
      <c r="AE11" s="81">
        <f t="shared" si="6"/>
        <v>0</v>
      </c>
      <c r="AF11" s="539"/>
      <c r="AG11" s="104">
        <f>Personalplanung!AK11</f>
        <v>1</v>
      </c>
      <c r="AH11" s="7">
        <f t="shared" si="7"/>
        <v>0</v>
      </c>
      <c r="AI11" s="6">
        <f t="shared" si="8"/>
        <v>0</v>
      </c>
      <c r="AJ11" s="73">
        <f t="shared" si="9"/>
        <v>0</v>
      </c>
      <c r="AK11" s="539"/>
      <c r="AL11" s="748"/>
      <c r="AM11" s="748"/>
    </row>
    <row r="12" spans="1:39" x14ac:dyDescent="0.2">
      <c r="B12" s="101" t="str">
        <f>IF(Personalplanung!B12&lt;&gt;"",Personalplanung!B12,IF(Personalplanung!A12&lt;&gt;"",Personalplanung!A12,""))</f>
        <v>Heinrich vor Arbeit</v>
      </c>
      <c r="C12" s="168">
        <f>IF(ISERROR(Personalplanung!$F12/Monatsplanung!$E12*Monatsplanung!$G12),0,Personalplanung!$F12/Monatsplanung!$E12*Monatsplanung!$G12)</f>
        <v>174</v>
      </c>
      <c r="D12" s="168">
        <f>Personalplanung!G12</f>
        <v>8</v>
      </c>
      <c r="E12" s="168">
        <f>IF(ISERROR(Personalplanung!H12/Monatsplanung!$E12*Monatsplanung!$G12),0,Personalplanung!H12/Monatsplanung!$E12*Monatsplanung!$G12)</f>
        <v>0</v>
      </c>
      <c r="F12" s="168">
        <f t="shared" si="0"/>
        <v>174</v>
      </c>
      <c r="G12" s="168">
        <f>Personalplanung!K12</f>
        <v>13.409961685823754</v>
      </c>
      <c r="H12" s="168">
        <f t="shared" si="1"/>
        <v>2333.333333333333</v>
      </c>
      <c r="I12" s="168">
        <f>Personalplanung!V12</f>
        <v>26</v>
      </c>
      <c r="J12" s="739"/>
      <c r="K12" s="168">
        <f>IF(J12&lt;&gt;"",J12,IF(ISERROR(Personalplanung!AB12/Monatsplanung!$E12*Monatsplanung!$G12),0,Personalplanung!AB12/Monatsplanung!$E12*Monatsplanung!$G12))</f>
        <v>0.66666666666666663</v>
      </c>
      <c r="L12" s="740"/>
      <c r="M12" s="739"/>
      <c r="N12" s="168">
        <f>IF(M12&lt;&gt;"",M12,IF(ISERROR(Personalplanung!AC12/Monatsplanung!$E12*Monatsplanung!$G12),0,Personalplanung!AC12/Monatsplanung!$E12*Monatsplanung!$G12))</f>
        <v>0</v>
      </c>
      <c r="O12" s="740"/>
      <c r="P12" s="739"/>
      <c r="Q12" s="168">
        <f>IF(P12&lt;&gt;"",P12,IF(ISERROR(Personalplanung!AD12/Monatsplanung!$E12*Monatsplanung!$G12),0,Personalplanung!AD12/Monatsplanung!$E12*Monatsplanung!$G12))</f>
        <v>0.16666666666666666</v>
      </c>
      <c r="R12" s="740"/>
      <c r="S12" s="739"/>
      <c r="T12" s="168">
        <f>IF(S12&lt;&gt;"",S12,IF(ISERROR(Personalplanung!AE12/Monatsplanung!$E12*Monatsplanung!$G12),0,Personalplanung!AE12/Monatsplanung!$E12*Monatsplanung!$G12))</f>
        <v>2.1666666666666665</v>
      </c>
      <c r="U12" s="740"/>
      <c r="V12" s="168">
        <f t="shared" si="2"/>
        <v>3</v>
      </c>
      <c r="W12" s="168">
        <f>IF(ISERROR(Personalplanung!P12/Monatsplanung!$E12*Monatsplanung!$G12),0,Personalplanung!P12/Monatsplanung!$E12*Monatsplanung!$G12)</f>
        <v>0</v>
      </c>
      <c r="X12" s="168">
        <f>IF(ISERROR(Personalplanung!Q12/Monatsplanung!$E12*Monatsplanung!$G12),0,Personalplanung!Q12/Monatsplanung!$E12*Monatsplanung!$G12)</f>
        <v>0</v>
      </c>
      <c r="Y12" s="168">
        <f>IF(ISERROR(Personalplanung!R12/T1260*Stundencontrolling!T12),0,Personalplanung!R12/T1260*Stundencontrolling!T12)</f>
        <v>0</v>
      </c>
      <c r="Z12" s="168">
        <f>IF(ISERROR(Personalplanung!S12/Monatsplanung!$E12*Monatsplanung!$G12),0,Personalplanung!S12/Monatsplanung!$E12*Monatsplanung!$G12)</f>
        <v>0</v>
      </c>
      <c r="AA12" s="80">
        <f t="shared" si="3"/>
        <v>62999.999999999993</v>
      </c>
      <c r="AB12" s="102">
        <f>Personalplanung!AG12</f>
        <v>1</v>
      </c>
      <c r="AC12" s="103">
        <f t="shared" si="4"/>
        <v>62999.999999999993</v>
      </c>
      <c r="AD12" s="103">
        <f t="shared" si="5"/>
        <v>0</v>
      </c>
      <c r="AE12" s="81">
        <f t="shared" si="6"/>
        <v>150</v>
      </c>
      <c r="AF12" s="539"/>
      <c r="AG12" s="104">
        <f>Personalplanung!AK12</f>
        <v>1</v>
      </c>
      <c r="AH12" s="7">
        <f t="shared" si="7"/>
        <v>0</v>
      </c>
      <c r="AI12" s="6">
        <f t="shared" si="8"/>
        <v>150</v>
      </c>
      <c r="AJ12" s="73">
        <f t="shared" si="9"/>
        <v>419.99999999999994</v>
      </c>
      <c r="AK12" s="539"/>
      <c r="AL12" s="748"/>
      <c r="AM12" s="748"/>
    </row>
    <row r="13" spans="1:39" x14ac:dyDescent="0.2">
      <c r="B13" s="101" t="str">
        <f>IF(Personalplanung!B13&lt;&gt;"",Personalplanung!B13,IF(Personalplanung!A13&lt;&gt;"",Personalplanung!A13,""))</f>
        <v>Voller Geselle</v>
      </c>
      <c r="C13" s="168">
        <f>IF(ISERROR(Personalplanung!$F13/Monatsplanung!$E13*Monatsplanung!$G13),0,Personalplanung!$F13/Monatsplanung!$E13*Monatsplanung!$G13)</f>
        <v>174</v>
      </c>
      <c r="D13" s="168">
        <f>Personalplanung!G13</f>
        <v>8</v>
      </c>
      <c r="E13" s="168">
        <f>IF(ISERROR(Personalplanung!H13/Monatsplanung!$E13*Monatsplanung!$G13),0,Personalplanung!H13/Monatsplanung!$E13*Monatsplanung!$G13)</f>
        <v>0</v>
      </c>
      <c r="F13" s="168">
        <f t="shared" si="0"/>
        <v>174</v>
      </c>
      <c r="G13" s="168">
        <f>Personalplanung!K13</f>
        <v>15.325670498084291</v>
      </c>
      <c r="H13" s="168">
        <f t="shared" si="1"/>
        <v>2666.6666666666665</v>
      </c>
      <c r="I13" s="168">
        <f>Personalplanung!V13</f>
        <v>26</v>
      </c>
      <c r="J13" s="739"/>
      <c r="K13" s="168">
        <f>IF(J13&lt;&gt;"",J13,IF(ISERROR(Personalplanung!AB13/Monatsplanung!$E13*Monatsplanung!$G13),0,Personalplanung!AB13/Monatsplanung!$E13*Monatsplanung!$G13))</f>
        <v>0.66666666666666663</v>
      </c>
      <c r="L13" s="740"/>
      <c r="M13" s="739"/>
      <c r="N13" s="168">
        <f>IF(M13&lt;&gt;"",M13,IF(ISERROR(Personalplanung!AC13/Monatsplanung!$E13*Monatsplanung!$G13),0,Personalplanung!AC13/Monatsplanung!$E13*Monatsplanung!$G13))</f>
        <v>0.25</v>
      </c>
      <c r="O13" s="740"/>
      <c r="P13" s="739"/>
      <c r="Q13" s="168">
        <f>IF(P13&lt;&gt;"",P13,IF(ISERROR(Personalplanung!AD13/Monatsplanung!$E13*Monatsplanung!$G13),0,Personalplanung!AD13/Monatsplanung!$E13*Monatsplanung!$G13))</f>
        <v>0.16666666666666666</v>
      </c>
      <c r="R13" s="740"/>
      <c r="S13" s="739"/>
      <c r="T13" s="168">
        <f>IF(S13&lt;&gt;"",S13,IF(ISERROR(Personalplanung!AE13/Monatsplanung!$E13*Monatsplanung!$G13),0,Personalplanung!AE13/Monatsplanung!$E13*Monatsplanung!$G13))</f>
        <v>2.1666666666666665</v>
      </c>
      <c r="U13" s="740"/>
      <c r="V13" s="168">
        <f t="shared" si="2"/>
        <v>3.25</v>
      </c>
      <c r="W13" s="168">
        <f>IF(ISERROR(Personalplanung!P13/Monatsplanung!$E13*Monatsplanung!$G13),0,Personalplanung!P13/Monatsplanung!$E13*Monatsplanung!$G13)</f>
        <v>0</v>
      </c>
      <c r="X13" s="168">
        <f>IF(ISERROR(Personalplanung!Q13/Monatsplanung!$E13*Monatsplanung!$G13),0,Personalplanung!Q13/Monatsplanung!$E13*Monatsplanung!$G13)</f>
        <v>0</v>
      </c>
      <c r="Y13" s="168">
        <f>IF(ISERROR(Personalplanung!R13/T1261*Stundencontrolling!T13),0,Personalplanung!R13/T1261*Stundencontrolling!T13)</f>
        <v>0</v>
      </c>
      <c r="Z13" s="168">
        <f>IF(ISERROR(Personalplanung!S13/Monatsplanung!$E13*Monatsplanung!$G13),0,Personalplanung!S13/Monatsplanung!$E13*Monatsplanung!$G13)</f>
        <v>0</v>
      </c>
      <c r="AA13" s="80">
        <f t="shared" si="3"/>
        <v>72000</v>
      </c>
      <c r="AB13" s="102">
        <f>Personalplanung!AG13</f>
        <v>1</v>
      </c>
      <c r="AC13" s="103">
        <f t="shared" si="4"/>
        <v>72000</v>
      </c>
      <c r="AD13" s="103">
        <f t="shared" si="5"/>
        <v>0</v>
      </c>
      <c r="AE13" s="81">
        <f t="shared" si="6"/>
        <v>148</v>
      </c>
      <c r="AF13" s="539"/>
      <c r="AG13" s="104">
        <f>Personalplanung!AK13</f>
        <v>1</v>
      </c>
      <c r="AH13" s="7">
        <f t="shared" si="7"/>
        <v>0</v>
      </c>
      <c r="AI13" s="6">
        <f t="shared" si="8"/>
        <v>148</v>
      </c>
      <c r="AJ13" s="73">
        <f t="shared" si="9"/>
        <v>486.48648648648651</v>
      </c>
      <c r="AK13" s="539"/>
      <c r="AL13" s="748"/>
      <c r="AM13" s="748"/>
    </row>
    <row r="14" spans="1:39" x14ac:dyDescent="0.2">
      <c r="B14" s="101" t="str">
        <f>IF(Personalplanung!B14&lt;&gt;"",Personalplanung!B14,IF(Personalplanung!A14&lt;&gt;"",Personalplanung!A14,""))</f>
        <v>Thomas Fleißig</v>
      </c>
      <c r="C14" s="168">
        <f>IF(ISERROR(Personalplanung!$F14/Monatsplanung!$E14*Monatsplanung!$G14),0,Personalplanung!$F14/Monatsplanung!$E14*Monatsplanung!$G14)</f>
        <v>174</v>
      </c>
      <c r="D14" s="168">
        <f>Personalplanung!G14</f>
        <v>8</v>
      </c>
      <c r="E14" s="168">
        <f>IF(ISERROR(Personalplanung!H14/Monatsplanung!$E14*Monatsplanung!$G14),0,Personalplanung!H14/Monatsplanung!$E14*Monatsplanung!$G14)</f>
        <v>0</v>
      </c>
      <c r="F14" s="168">
        <f t="shared" si="0"/>
        <v>174</v>
      </c>
      <c r="G14" s="168">
        <f>Personalplanung!K14</f>
        <v>15.325670498084291</v>
      </c>
      <c r="H14" s="168">
        <f t="shared" si="1"/>
        <v>2666.6666666666665</v>
      </c>
      <c r="I14" s="168">
        <f>Personalplanung!V14</f>
        <v>26</v>
      </c>
      <c r="J14" s="739"/>
      <c r="K14" s="168">
        <f>IF(J14&lt;&gt;"",J14,IF(ISERROR(Personalplanung!AB14/Monatsplanung!$E14*Monatsplanung!$G14),0,Personalplanung!AB14/Monatsplanung!$E14*Monatsplanung!$G14))</f>
        <v>0.66666666666666663</v>
      </c>
      <c r="L14" s="740"/>
      <c r="M14" s="739"/>
      <c r="N14" s="168">
        <f>IF(M14&lt;&gt;"",M14,IF(ISERROR(Personalplanung!AC14/Monatsplanung!$E14*Monatsplanung!$G14),0,Personalplanung!AC14/Monatsplanung!$E14*Monatsplanung!$G14))</f>
        <v>0</v>
      </c>
      <c r="O14" s="740"/>
      <c r="P14" s="739"/>
      <c r="Q14" s="168">
        <f>IF(P14&lt;&gt;"",P14,IF(ISERROR(Personalplanung!AD14/Monatsplanung!$E14*Monatsplanung!$G14),0,Personalplanung!AD14/Monatsplanung!$E14*Monatsplanung!$G14))</f>
        <v>0.16666666666666666</v>
      </c>
      <c r="R14" s="740"/>
      <c r="S14" s="739"/>
      <c r="T14" s="168">
        <f>IF(S14&lt;&gt;"",S14,IF(ISERROR(Personalplanung!AE14/Monatsplanung!$E14*Monatsplanung!$G14),0,Personalplanung!AE14/Monatsplanung!$E14*Monatsplanung!$G14))</f>
        <v>2.1666666666666665</v>
      </c>
      <c r="U14" s="740"/>
      <c r="V14" s="168">
        <f t="shared" si="2"/>
        <v>3</v>
      </c>
      <c r="W14" s="168">
        <f>IF(ISERROR(Personalplanung!P14/Monatsplanung!$E14*Monatsplanung!$G14),0,Personalplanung!P14/Monatsplanung!$E14*Monatsplanung!$G14)</f>
        <v>0</v>
      </c>
      <c r="X14" s="168">
        <f>IF(ISERROR(Personalplanung!Q14/Monatsplanung!$E14*Monatsplanung!$G14),0,Personalplanung!Q14/Monatsplanung!$E14*Monatsplanung!$G14)</f>
        <v>166.66666666666666</v>
      </c>
      <c r="Y14" s="168">
        <f>IF(ISERROR(Personalplanung!R14/T1262*Stundencontrolling!T14),0,Personalplanung!R14/T1262*Stundencontrolling!T14)</f>
        <v>66.666666666666657</v>
      </c>
      <c r="Z14" s="168">
        <f>IF(ISERROR(Personalplanung!S14/Monatsplanung!$E14*Monatsplanung!$G14),0,Personalplanung!S14/Monatsplanung!$E14*Monatsplanung!$G14)</f>
        <v>50</v>
      </c>
      <c r="AA14" s="80">
        <f t="shared" si="3"/>
        <v>72283.333333333328</v>
      </c>
      <c r="AB14" s="102">
        <f>Personalplanung!AG14</f>
        <v>1</v>
      </c>
      <c r="AC14" s="103">
        <f t="shared" si="4"/>
        <v>72283.333333333328</v>
      </c>
      <c r="AD14" s="103">
        <f t="shared" si="5"/>
        <v>0</v>
      </c>
      <c r="AE14" s="81">
        <f t="shared" si="6"/>
        <v>150</v>
      </c>
      <c r="AF14" s="539"/>
      <c r="AG14" s="104">
        <f>Personalplanung!AK14</f>
        <v>1</v>
      </c>
      <c r="AH14" s="7">
        <f t="shared" si="7"/>
        <v>0</v>
      </c>
      <c r="AI14" s="6">
        <f t="shared" si="8"/>
        <v>150</v>
      </c>
      <c r="AJ14" s="73">
        <f t="shared" si="9"/>
        <v>481.88888888888886</v>
      </c>
      <c r="AK14" s="539"/>
      <c r="AL14" s="748"/>
      <c r="AM14" s="748"/>
    </row>
    <row r="15" spans="1:39" x14ac:dyDescent="0.2">
      <c r="B15" s="101" t="str">
        <f>IF(Personalplanung!B15&lt;&gt;"",Personalplanung!B15,IF(Personalplanung!A15&lt;&gt;"",Personalplanung!A15,""))</f>
        <v>Facharbeiter</v>
      </c>
      <c r="C15" s="168">
        <f>IF(ISERROR(Personalplanung!$F15/Monatsplanung!$E15*Monatsplanung!$G15),0,Personalplanung!$F15/Monatsplanung!$E15*Monatsplanung!$G15)</f>
        <v>174</v>
      </c>
      <c r="D15" s="168">
        <f>Personalplanung!G15</f>
        <v>8</v>
      </c>
      <c r="E15" s="168">
        <f>IF(ISERROR(Personalplanung!H15/Monatsplanung!$E15*Monatsplanung!$G15),0,Personalplanung!H15/Monatsplanung!$E15*Monatsplanung!$G15)</f>
        <v>0</v>
      </c>
      <c r="F15" s="168">
        <f t="shared" si="0"/>
        <v>174</v>
      </c>
      <c r="G15" s="168">
        <f>Personalplanung!K15</f>
        <v>15.325670498084291</v>
      </c>
      <c r="H15" s="168">
        <f t="shared" si="1"/>
        <v>2666.6666666666665</v>
      </c>
      <c r="I15" s="168">
        <f>Personalplanung!V15</f>
        <v>26</v>
      </c>
      <c r="J15" s="739"/>
      <c r="K15" s="168">
        <f>IF(J15&lt;&gt;"",J15,IF(ISERROR(Personalplanung!AB15/Monatsplanung!$E15*Monatsplanung!$G15),0,Personalplanung!AB15/Monatsplanung!$E15*Monatsplanung!$G15))</f>
        <v>0.66666666666666663</v>
      </c>
      <c r="L15" s="740"/>
      <c r="M15" s="739"/>
      <c r="N15" s="168">
        <f>IF(M15&lt;&gt;"",M15,IF(ISERROR(Personalplanung!AC15/Monatsplanung!$E15*Monatsplanung!$G15),0,Personalplanung!AC15/Monatsplanung!$E15*Monatsplanung!$G15))</f>
        <v>0.16666666666666666</v>
      </c>
      <c r="O15" s="740"/>
      <c r="P15" s="739"/>
      <c r="Q15" s="168">
        <f>IF(P15&lt;&gt;"",P15,IF(ISERROR(Personalplanung!AD15/Monatsplanung!$E15*Monatsplanung!$G15),0,Personalplanung!AD15/Monatsplanung!$E15*Monatsplanung!$G15))</f>
        <v>0.41666666666666669</v>
      </c>
      <c r="R15" s="740"/>
      <c r="S15" s="739"/>
      <c r="T15" s="168">
        <f>IF(S15&lt;&gt;"",S15,IF(ISERROR(Personalplanung!AE15/Monatsplanung!$E15*Monatsplanung!$G15),0,Personalplanung!AE15/Monatsplanung!$E15*Monatsplanung!$G15))</f>
        <v>2.1666666666666665</v>
      </c>
      <c r="U15" s="740"/>
      <c r="V15" s="168">
        <f t="shared" si="2"/>
        <v>3.4166666666666665</v>
      </c>
      <c r="W15" s="168">
        <f>IF(ISERROR(Personalplanung!P15/Monatsplanung!$E15*Monatsplanung!$G15),0,Personalplanung!P15/Monatsplanung!$E15*Monatsplanung!$G15)</f>
        <v>0</v>
      </c>
      <c r="X15" s="168">
        <f>IF(ISERROR(Personalplanung!Q15/Monatsplanung!$E15*Monatsplanung!$G15),0,Personalplanung!Q15/Monatsplanung!$E15*Monatsplanung!$G15)</f>
        <v>0</v>
      </c>
      <c r="Y15" s="168">
        <f>IF(ISERROR(Personalplanung!R15/T1263*Stundencontrolling!T15),0,Personalplanung!R15/T1263*Stundencontrolling!T15)</f>
        <v>0</v>
      </c>
      <c r="Z15" s="168">
        <f>IF(ISERROR(Personalplanung!S15/Monatsplanung!$E15*Monatsplanung!$G15),0,Personalplanung!S15/Monatsplanung!$E15*Monatsplanung!$G15)</f>
        <v>0</v>
      </c>
      <c r="AA15" s="80">
        <f t="shared" si="3"/>
        <v>72000</v>
      </c>
      <c r="AB15" s="102">
        <f>Personalplanung!AG15</f>
        <v>1</v>
      </c>
      <c r="AC15" s="103">
        <f t="shared" si="4"/>
        <v>72000</v>
      </c>
      <c r="AD15" s="103">
        <f t="shared" si="5"/>
        <v>0</v>
      </c>
      <c r="AE15" s="81">
        <f t="shared" si="6"/>
        <v>146.66666666666666</v>
      </c>
      <c r="AF15" s="539"/>
      <c r="AG15" s="104">
        <f>Personalplanung!AK15</f>
        <v>1</v>
      </c>
      <c r="AH15" s="7">
        <f t="shared" si="7"/>
        <v>0</v>
      </c>
      <c r="AI15" s="6">
        <f t="shared" si="8"/>
        <v>146.66666666666666</v>
      </c>
      <c r="AJ15" s="73">
        <f t="shared" si="9"/>
        <v>490.90909090909093</v>
      </c>
      <c r="AK15" s="539"/>
      <c r="AL15" s="748"/>
      <c r="AM15" s="748"/>
    </row>
    <row r="16" spans="1:39" x14ac:dyDescent="0.2">
      <c r="B16" s="101" t="str">
        <f>IF(Personalplanung!B16&lt;&gt;"",Personalplanung!B16,IF(Personalplanung!A16&lt;&gt;"",Personalplanung!A16,""))</f>
        <v>Abgänger</v>
      </c>
      <c r="C16" s="168">
        <f>IF(ISERROR(Personalplanung!$F16/Monatsplanung!$E16*Monatsplanung!$G16),0,Personalplanung!$F16/Monatsplanung!$E16*Monatsplanung!$G16)</f>
        <v>174</v>
      </c>
      <c r="D16" s="168">
        <f>Personalplanung!G16</f>
        <v>8</v>
      </c>
      <c r="E16" s="168">
        <f>IF(ISERROR(Personalplanung!H16/Monatsplanung!$E16*Monatsplanung!$G16),0,Personalplanung!H16/Monatsplanung!$E16*Monatsplanung!$G16)</f>
        <v>0</v>
      </c>
      <c r="F16" s="168">
        <f t="shared" si="0"/>
        <v>174</v>
      </c>
      <c r="G16" s="168">
        <f>Personalplanung!K16</f>
        <v>36.781609195402297</v>
      </c>
      <c r="H16" s="168">
        <f t="shared" si="1"/>
        <v>6400</v>
      </c>
      <c r="I16" s="168">
        <f>Personalplanung!V16</f>
        <v>26</v>
      </c>
      <c r="J16" s="739"/>
      <c r="K16" s="168">
        <f>IF(J16&lt;&gt;"",J16,IF(ISERROR(Personalplanung!AB16/Monatsplanung!$E16*Monatsplanung!$G16),0,Personalplanung!AB16/Monatsplanung!$E16*Monatsplanung!$G16))</f>
        <v>1.6</v>
      </c>
      <c r="L16" s="740"/>
      <c r="M16" s="739"/>
      <c r="N16" s="168">
        <f>IF(M16&lt;&gt;"",M16,IF(ISERROR(Personalplanung!AC16/Monatsplanung!$E16*Monatsplanung!$G16),0,Personalplanung!AC16/Monatsplanung!$E16*Monatsplanung!$G16))</f>
        <v>0</v>
      </c>
      <c r="O16" s="740"/>
      <c r="P16" s="739"/>
      <c r="Q16" s="168">
        <f>IF(P16&lt;&gt;"",P16,IF(ISERROR(Personalplanung!AD16/Monatsplanung!$E16*Monatsplanung!$G16),0,Personalplanung!AD16/Monatsplanung!$E16*Monatsplanung!$G16))</f>
        <v>0.8</v>
      </c>
      <c r="R16" s="740"/>
      <c r="S16" s="739"/>
      <c r="T16" s="168">
        <f>IF(S16&lt;&gt;"",S16,IF(ISERROR(Personalplanung!AE16/Monatsplanung!$E16*Monatsplanung!$G16),0,Personalplanung!AE16/Monatsplanung!$E16*Monatsplanung!$G16))</f>
        <v>5.2</v>
      </c>
      <c r="U16" s="740"/>
      <c r="V16" s="168">
        <f t="shared" si="2"/>
        <v>7.6000000000000005</v>
      </c>
      <c r="W16" s="168">
        <f>IF(ISERROR(Personalplanung!P16/Monatsplanung!$E16*Monatsplanung!$G16),0,Personalplanung!P16/Monatsplanung!$E16*Monatsplanung!$G16)</f>
        <v>0</v>
      </c>
      <c r="X16" s="168">
        <f>IF(ISERROR(Personalplanung!Q16/Monatsplanung!$E16*Monatsplanung!$G16),0,Personalplanung!Q16/Monatsplanung!$E16*Monatsplanung!$G16)</f>
        <v>0</v>
      </c>
      <c r="Y16" s="168">
        <f>IF(ISERROR(Personalplanung!R16/T1264*Stundencontrolling!T16),0,Personalplanung!R16/T1264*Stundencontrolling!T16)</f>
        <v>0</v>
      </c>
      <c r="Z16" s="168">
        <f>IF(ISERROR(Personalplanung!S16/Monatsplanung!$E16*Monatsplanung!$G16),0,Personalplanung!S16/Monatsplanung!$E16*Monatsplanung!$G16)</f>
        <v>0</v>
      </c>
      <c r="AA16" s="80">
        <f t="shared" si="3"/>
        <v>172800</v>
      </c>
      <c r="AB16" s="102">
        <f>Personalplanung!AG16</f>
        <v>1</v>
      </c>
      <c r="AC16" s="103">
        <f t="shared" si="4"/>
        <v>172800</v>
      </c>
      <c r="AD16" s="103">
        <f t="shared" si="5"/>
        <v>0</v>
      </c>
      <c r="AE16" s="81">
        <f t="shared" si="6"/>
        <v>113.19999999999999</v>
      </c>
      <c r="AF16" s="539"/>
      <c r="AG16" s="104">
        <f>Personalplanung!AK16</f>
        <v>1</v>
      </c>
      <c r="AH16" s="7">
        <f t="shared" si="7"/>
        <v>0</v>
      </c>
      <c r="AI16" s="6">
        <f t="shared" si="8"/>
        <v>113.19999999999999</v>
      </c>
      <c r="AJ16" s="73">
        <f t="shared" si="9"/>
        <v>1526.5017667844525</v>
      </c>
      <c r="AK16" s="539"/>
      <c r="AL16" s="748"/>
      <c r="AM16" s="748"/>
    </row>
    <row r="17" spans="2:39" x14ac:dyDescent="0.2">
      <c r="B17" s="101" t="str">
        <f>IF(Personalplanung!B17&lt;&gt;"",Personalplanung!B17,IF(Personalplanung!A17&lt;&gt;"",Personalplanung!A17,""))</f>
        <v>Facharbeiter</v>
      </c>
      <c r="C17" s="168">
        <f>IF(ISERROR(Personalplanung!$F17/Monatsplanung!$E17*Monatsplanung!$G17),0,Personalplanung!$F17/Monatsplanung!$E17*Monatsplanung!$G17)</f>
        <v>174</v>
      </c>
      <c r="D17" s="168">
        <f>Personalplanung!G17</f>
        <v>8</v>
      </c>
      <c r="E17" s="168">
        <f>IF(ISERROR(Personalplanung!H17/Monatsplanung!$E17*Monatsplanung!$G17),0,Personalplanung!H17/Monatsplanung!$E17*Monatsplanung!$G17)</f>
        <v>0</v>
      </c>
      <c r="F17" s="168">
        <f t="shared" si="0"/>
        <v>174</v>
      </c>
      <c r="G17" s="168">
        <f>Personalplanung!K17</f>
        <v>15.804597701149426</v>
      </c>
      <c r="H17" s="168">
        <f t="shared" si="1"/>
        <v>2750</v>
      </c>
      <c r="I17" s="168">
        <f>Personalplanung!V17</f>
        <v>26</v>
      </c>
      <c r="J17" s="739"/>
      <c r="K17" s="168">
        <f>IF(J17&lt;&gt;"",J17,IF(ISERROR(Personalplanung!AB17/Monatsplanung!$E17*Monatsplanung!$G17),0,Personalplanung!AB17/Monatsplanung!$E17*Monatsplanung!$G17))</f>
        <v>0.66666666666666663</v>
      </c>
      <c r="L17" s="740"/>
      <c r="M17" s="739"/>
      <c r="N17" s="168">
        <f>IF(M17&lt;&gt;"",M17,IF(ISERROR(Personalplanung!AC17/Monatsplanung!$E17*Monatsplanung!$G17),0,Personalplanung!AC17/Monatsplanung!$E17*Monatsplanung!$G17))</f>
        <v>0</v>
      </c>
      <c r="O17" s="740"/>
      <c r="P17" s="739"/>
      <c r="Q17" s="168">
        <f>IF(P17&lt;&gt;"",P17,IF(ISERROR(Personalplanung!AD17/Monatsplanung!$E17*Monatsplanung!$G17),0,Personalplanung!AD17/Monatsplanung!$E17*Monatsplanung!$G17))</f>
        <v>0.16666666666666666</v>
      </c>
      <c r="R17" s="740"/>
      <c r="S17" s="739"/>
      <c r="T17" s="168">
        <f>IF(S17&lt;&gt;"",S17,IF(ISERROR(Personalplanung!AE17/Monatsplanung!$E17*Monatsplanung!$G17),0,Personalplanung!AE17/Monatsplanung!$E17*Monatsplanung!$G17))</f>
        <v>2.1666666666666665</v>
      </c>
      <c r="U17" s="740"/>
      <c r="V17" s="168">
        <f t="shared" si="2"/>
        <v>3</v>
      </c>
      <c r="W17" s="168">
        <f>IF(ISERROR(Personalplanung!P17/Monatsplanung!$E17*Monatsplanung!$G17),0,Personalplanung!P17/Monatsplanung!$E17*Monatsplanung!$G17)</f>
        <v>0</v>
      </c>
      <c r="X17" s="168">
        <f>IF(ISERROR(Personalplanung!Q17/Monatsplanung!$E17*Monatsplanung!$G17),0,Personalplanung!Q17/Monatsplanung!$E17*Monatsplanung!$G17)</f>
        <v>0</v>
      </c>
      <c r="Y17" s="168">
        <f>IF(ISERROR(Personalplanung!R17/T1265*Stundencontrolling!T17),0,Personalplanung!R17/T1265*Stundencontrolling!T17)</f>
        <v>0</v>
      </c>
      <c r="Z17" s="168">
        <f>IF(ISERROR(Personalplanung!S17/Monatsplanung!$E17*Monatsplanung!$G17),0,Personalplanung!S17/Monatsplanung!$E17*Monatsplanung!$G17)</f>
        <v>0</v>
      </c>
      <c r="AA17" s="80">
        <f t="shared" si="3"/>
        <v>74250</v>
      </c>
      <c r="AB17" s="102">
        <f>Personalplanung!AG17</f>
        <v>1</v>
      </c>
      <c r="AC17" s="103">
        <f t="shared" si="4"/>
        <v>74250</v>
      </c>
      <c r="AD17" s="103">
        <f t="shared" si="5"/>
        <v>0</v>
      </c>
      <c r="AE17" s="81">
        <f t="shared" si="6"/>
        <v>150</v>
      </c>
      <c r="AF17" s="539"/>
      <c r="AG17" s="104">
        <f>Personalplanung!AK17</f>
        <v>1</v>
      </c>
      <c r="AH17" s="7">
        <f t="shared" si="7"/>
        <v>0</v>
      </c>
      <c r="AI17" s="6">
        <f t="shared" si="8"/>
        <v>150</v>
      </c>
      <c r="AJ17" s="73">
        <f t="shared" si="9"/>
        <v>495</v>
      </c>
      <c r="AK17" s="539"/>
      <c r="AL17" s="748"/>
      <c r="AM17" s="748"/>
    </row>
    <row r="18" spans="2:39" x14ac:dyDescent="0.2">
      <c r="B18" s="101" t="str">
        <f>IF(Personalplanung!B18&lt;&gt;"",Personalplanung!B18,IF(Personalplanung!A18&lt;&gt;"",Personalplanung!A18,""))</f>
        <v>Facharbeiter</v>
      </c>
      <c r="C18" s="168">
        <f>IF(ISERROR(Personalplanung!$F18/Monatsplanung!$E18*Monatsplanung!$G18),0,Personalplanung!$F18/Monatsplanung!$E18*Monatsplanung!$G18)</f>
        <v>174</v>
      </c>
      <c r="D18" s="168">
        <f>Personalplanung!G18</f>
        <v>8</v>
      </c>
      <c r="E18" s="168">
        <f>IF(ISERROR(Personalplanung!H18/Monatsplanung!$E18*Monatsplanung!$G18),0,Personalplanung!H18/Monatsplanung!$E18*Monatsplanung!$G18)</f>
        <v>0</v>
      </c>
      <c r="F18" s="168">
        <f t="shared" si="0"/>
        <v>174</v>
      </c>
      <c r="G18" s="168">
        <f>Personalplanung!K18</f>
        <v>16.283524904214559</v>
      </c>
      <c r="H18" s="168">
        <f t="shared" si="1"/>
        <v>2833.3333333333335</v>
      </c>
      <c r="I18" s="168">
        <f>Personalplanung!V18</f>
        <v>26</v>
      </c>
      <c r="J18" s="739"/>
      <c r="K18" s="168">
        <f>IF(J18&lt;&gt;"",J18,IF(ISERROR(Personalplanung!AB18/Monatsplanung!$E18*Monatsplanung!$G18),0,Personalplanung!AB18/Monatsplanung!$E18*Monatsplanung!$G18))</f>
        <v>0.66666666666666663</v>
      </c>
      <c r="L18" s="740"/>
      <c r="M18" s="739"/>
      <c r="N18" s="168">
        <f>IF(M18&lt;&gt;"",M18,IF(ISERROR(Personalplanung!AC18/Monatsplanung!$E18*Monatsplanung!$G18),0,Personalplanung!AC18/Monatsplanung!$E18*Monatsplanung!$G18))</f>
        <v>0.33333333333333331</v>
      </c>
      <c r="O18" s="740"/>
      <c r="P18" s="739"/>
      <c r="Q18" s="168">
        <f>IF(P18&lt;&gt;"",P18,IF(ISERROR(Personalplanung!AD18/Monatsplanung!$E18*Monatsplanung!$G18),0,Personalplanung!AD18/Monatsplanung!$E18*Monatsplanung!$G18))</f>
        <v>0.16666666666666666</v>
      </c>
      <c r="R18" s="740"/>
      <c r="S18" s="739"/>
      <c r="T18" s="168">
        <f>IF(S18&lt;&gt;"",S18,IF(ISERROR(Personalplanung!AE18/Monatsplanung!$E18*Monatsplanung!$G18),0,Personalplanung!AE18/Monatsplanung!$E18*Monatsplanung!$G18))</f>
        <v>2.1666666666666665</v>
      </c>
      <c r="U18" s="740"/>
      <c r="V18" s="168">
        <f t="shared" si="2"/>
        <v>3.333333333333333</v>
      </c>
      <c r="W18" s="168">
        <f>IF(ISERROR(Personalplanung!P18/Monatsplanung!$E18*Monatsplanung!$G18),0,Personalplanung!P18/Monatsplanung!$E18*Monatsplanung!$G18)</f>
        <v>0</v>
      </c>
      <c r="X18" s="168">
        <f>IF(ISERROR(Personalplanung!Q18/Monatsplanung!$E18*Monatsplanung!$G18),0,Personalplanung!Q18/Monatsplanung!$E18*Monatsplanung!$G18)</f>
        <v>0</v>
      </c>
      <c r="Y18" s="168">
        <f>IF(ISERROR(Personalplanung!R18/T1266*Stundencontrolling!T18),0,Personalplanung!R18/T1266*Stundencontrolling!T18)</f>
        <v>0</v>
      </c>
      <c r="Z18" s="168">
        <f>IF(ISERROR(Personalplanung!S18/Monatsplanung!$E18*Monatsplanung!$G18),0,Personalplanung!S18/Monatsplanung!$E18*Monatsplanung!$G18)</f>
        <v>0</v>
      </c>
      <c r="AA18" s="80">
        <f t="shared" si="3"/>
        <v>76500</v>
      </c>
      <c r="AB18" s="102">
        <f>Personalplanung!AG18</f>
        <v>1</v>
      </c>
      <c r="AC18" s="103">
        <f t="shared" si="4"/>
        <v>76500</v>
      </c>
      <c r="AD18" s="103">
        <f t="shared" si="5"/>
        <v>0</v>
      </c>
      <c r="AE18" s="81">
        <f t="shared" si="6"/>
        <v>147.33333333333334</v>
      </c>
      <c r="AF18" s="539"/>
      <c r="AG18" s="104">
        <f>Personalplanung!AK18</f>
        <v>1</v>
      </c>
      <c r="AH18" s="7">
        <f t="shared" si="7"/>
        <v>0</v>
      </c>
      <c r="AI18" s="6">
        <f t="shared" si="8"/>
        <v>147.33333333333334</v>
      </c>
      <c r="AJ18" s="73">
        <f t="shared" si="9"/>
        <v>519.23076923076917</v>
      </c>
      <c r="AK18" s="539"/>
      <c r="AL18" s="748"/>
      <c r="AM18" s="748"/>
    </row>
    <row r="19" spans="2:39" x14ac:dyDescent="0.2">
      <c r="B19" s="101" t="str">
        <f>IF(Personalplanung!B19&lt;&gt;"",Personalplanung!B19,IF(Personalplanung!A19&lt;&gt;"",Personalplanung!A19,""))</f>
        <v>Elternzeit Geselle</v>
      </c>
      <c r="C19" s="168">
        <f>IF(ISERROR(Personalplanung!$F19/Monatsplanung!$E19*Monatsplanung!$G19),0,Personalplanung!$F19/Monatsplanung!$E19*Monatsplanung!$G19)</f>
        <v>0</v>
      </c>
      <c r="D19" s="168">
        <f>Personalplanung!G19</f>
        <v>6</v>
      </c>
      <c r="E19" s="168">
        <f>IF(ISERROR(Personalplanung!H19/Monatsplanung!$E19*Monatsplanung!$G19),0,Personalplanung!H19/Monatsplanung!$E19*Monatsplanung!$G19)</f>
        <v>0</v>
      </c>
      <c r="F19" s="168">
        <f t="shared" si="0"/>
        <v>0</v>
      </c>
      <c r="G19" s="168">
        <f>Personalplanung!K19</f>
        <v>21.551724137931036</v>
      </c>
      <c r="H19" s="168">
        <f t="shared" si="1"/>
        <v>0</v>
      </c>
      <c r="I19" s="168">
        <f>Personalplanung!V19</f>
        <v>26</v>
      </c>
      <c r="J19" s="739"/>
      <c r="K19" s="168">
        <f>IF(J19&lt;&gt;"",J19,IF(ISERROR(Personalplanung!AB19/Monatsplanung!$E19*Monatsplanung!$G19),0,Personalplanung!AB19/Monatsplanung!$E19*Monatsplanung!$G19))</f>
        <v>0</v>
      </c>
      <c r="L19" s="740"/>
      <c r="M19" s="739"/>
      <c r="N19" s="168">
        <f>IF(M19&lt;&gt;"",M19,IF(ISERROR(Personalplanung!AC19/Monatsplanung!$E19*Monatsplanung!$G19),0,Personalplanung!AC19/Monatsplanung!$E19*Monatsplanung!$G19))</f>
        <v>0</v>
      </c>
      <c r="O19" s="740"/>
      <c r="P19" s="739"/>
      <c r="Q19" s="168">
        <f>IF(P19&lt;&gt;"",P19,IF(ISERROR(Personalplanung!AD19/Monatsplanung!$E19*Monatsplanung!$G19),0,Personalplanung!AD19/Monatsplanung!$E19*Monatsplanung!$G19))</f>
        <v>0</v>
      </c>
      <c r="R19" s="740"/>
      <c r="S19" s="739"/>
      <c r="T19" s="168">
        <f>IF(S19&lt;&gt;"",S19,IF(ISERROR(Personalplanung!AE19/Monatsplanung!$E19*Monatsplanung!$G19),0,Personalplanung!AE19/Monatsplanung!$E19*Monatsplanung!$G19))</f>
        <v>0</v>
      </c>
      <c r="U19" s="740"/>
      <c r="V19" s="168">
        <f t="shared" si="2"/>
        <v>0</v>
      </c>
      <c r="W19" s="168">
        <f>IF(ISERROR(Personalplanung!P19/Monatsplanung!$E19*Monatsplanung!$G19),0,Personalplanung!P19/Monatsplanung!$E19*Monatsplanung!$G19)</f>
        <v>0</v>
      </c>
      <c r="X19" s="168">
        <f>IF(ISERROR(Personalplanung!Q19/Monatsplanung!$E19*Monatsplanung!$G19),0,Personalplanung!Q19/Monatsplanung!$E19*Monatsplanung!$G19)</f>
        <v>0</v>
      </c>
      <c r="Y19" s="168">
        <f>IF(ISERROR(Personalplanung!R19/T1267*Stundencontrolling!T19),0,Personalplanung!R19/T1267*Stundencontrolling!T19)</f>
        <v>0</v>
      </c>
      <c r="Z19" s="168">
        <f>IF(ISERROR(Personalplanung!S19/Monatsplanung!$E19*Monatsplanung!$G19),0,Personalplanung!S19/Monatsplanung!$E19*Monatsplanung!$G19)</f>
        <v>0</v>
      </c>
      <c r="AA19" s="80">
        <f t="shared" si="3"/>
        <v>0</v>
      </c>
      <c r="AB19" s="102">
        <f>Personalplanung!AG19</f>
        <v>1</v>
      </c>
      <c r="AC19" s="103">
        <f t="shared" si="4"/>
        <v>0</v>
      </c>
      <c r="AD19" s="103">
        <f t="shared" si="5"/>
        <v>0</v>
      </c>
      <c r="AE19" s="81">
        <f t="shared" si="6"/>
        <v>0</v>
      </c>
      <c r="AF19" s="539"/>
      <c r="AG19" s="104">
        <f>Personalplanung!AK19</f>
        <v>1</v>
      </c>
      <c r="AH19" s="7">
        <f t="shared" si="7"/>
        <v>0</v>
      </c>
      <c r="AI19" s="6">
        <f t="shared" si="8"/>
        <v>0</v>
      </c>
      <c r="AJ19" s="73">
        <f t="shared" si="9"/>
        <v>0</v>
      </c>
      <c r="AK19" s="539"/>
      <c r="AL19" s="748"/>
      <c r="AM19" s="748"/>
    </row>
    <row r="20" spans="2:39" x14ac:dyDescent="0.2">
      <c r="B20" s="101" t="str">
        <f>IF(Personalplanung!B20&lt;&gt;"",Personalplanung!B20,IF(Personalplanung!A20&lt;&gt;"",Personalplanung!A20,""))</f>
        <v>A. Zubi</v>
      </c>
      <c r="C20" s="168">
        <f>IF(ISERROR(Personalplanung!$F20/Monatsplanung!$E20*Monatsplanung!$G20),0,Personalplanung!$F20/Monatsplanung!$E20*Monatsplanung!$G20)</f>
        <v>174</v>
      </c>
      <c r="D20" s="168">
        <f>Personalplanung!G20</f>
        <v>8</v>
      </c>
      <c r="E20" s="168">
        <f>IF(ISERROR(Personalplanung!H20/Monatsplanung!$E20*Monatsplanung!$G20),0,Personalplanung!H20/Monatsplanung!$E20*Monatsplanung!$G20)</f>
        <v>0</v>
      </c>
      <c r="F20" s="168">
        <f t="shared" si="0"/>
        <v>174</v>
      </c>
      <c r="G20" s="168">
        <f>Personalplanung!K20</f>
        <v>5.7471264367816088</v>
      </c>
      <c r="H20" s="168">
        <f t="shared" si="1"/>
        <v>999.99999999999989</v>
      </c>
      <c r="I20" s="168">
        <f>Personalplanung!V20</f>
        <v>20</v>
      </c>
      <c r="J20" s="739"/>
      <c r="K20" s="168">
        <f>IF(J20&lt;&gt;"",J20,IF(ISERROR(Personalplanung!AB20/Monatsplanung!$E20*Monatsplanung!$G20),0,Personalplanung!AB20/Monatsplanung!$E20*Monatsplanung!$G20))</f>
        <v>0.66666666666666663</v>
      </c>
      <c r="L20" s="740"/>
      <c r="M20" s="739"/>
      <c r="N20" s="168">
        <f>IF(M20&lt;&gt;"",M20,IF(ISERROR(Personalplanung!AC20/Monatsplanung!$E20*Monatsplanung!$G20),0,Personalplanung!AC20/Monatsplanung!$E20*Monatsplanung!$G20))</f>
        <v>0.25</v>
      </c>
      <c r="O20" s="740"/>
      <c r="P20" s="739"/>
      <c r="Q20" s="168">
        <f>IF(P20&lt;&gt;"",P20,IF(ISERROR(Personalplanung!AD20/Monatsplanung!$E20*Monatsplanung!$G20),0,Personalplanung!AD20/Monatsplanung!$E20*Monatsplanung!$G20))</f>
        <v>0.16666666666666666</v>
      </c>
      <c r="R20" s="740"/>
      <c r="S20" s="739"/>
      <c r="T20" s="168">
        <f>IF(S20&lt;&gt;"",S20,IF(ISERROR(Personalplanung!AE20/Monatsplanung!$E20*Monatsplanung!$G20),0,Personalplanung!AE20/Monatsplanung!$E20*Monatsplanung!$G20))</f>
        <v>2.1666666666666665</v>
      </c>
      <c r="U20" s="740"/>
      <c r="V20" s="168">
        <f t="shared" si="2"/>
        <v>3.25</v>
      </c>
      <c r="W20" s="168">
        <f>IF(ISERROR(Personalplanung!P20/Monatsplanung!$E20*Monatsplanung!$G20),0,Personalplanung!P20/Monatsplanung!$E20*Monatsplanung!$G20)</f>
        <v>0</v>
      </c>
      <c r="X20" s="168">
        <f>IF(ISERROR(Personalplanung!Q20/Monatsplanung!$E20*Monatsplanung!$G20),0,Personalplanung!Q20/Monatsplanung!$E20*Monatsplanung!$G20)</f>
        <v>0</v>
      </c>
      <c r="Y20" s="168">
        <f>IF(ISERROR(Personalplanung!R20/T1268*Stundencontrolling!T20),0,Personalplanung!R20/T1268*Stundencontrolling!T20)</f>
        <v>0</v>
      </c>
      <c r="Z20" s="168">
        <f>IF(ISERROR(Personalplanung!S20/Monatsplanung!$E20*Monatsplanung!$G20),0,Personalplanung!S20/Monatsplanung!$E20*Monatsplanung!$G20)</f>
        <v>0</v>
      </c>
      <c r="AA20" s="80">
        <f t="shared" si="3"/>
        <v>20999.999999999996</v>
      </c>
      <c r="AB20" s="102">
        <f>Personalplanung!AG20</f>
        <v>1</v>
      </c>
      <c r="AC20" s="103">
        <f t="shared" si="4"/>
        <v>20999.999999999996</v>
      </c>
      <c r="AD20" s="103">
        <f t="shared" si="5"/>
        <v>0</v>
      </c>
      <c r="AE20" s="81">
        <f t="shared" si="6"/>
        <v>148</v>
      </c>
      <c r="AF20" s="539"/>
      <c r="AG20" s="104">
        <f>Personalplanung!AK20</f>
        <v>0.4</v>
      </c>
      <c r="AH20" s="7">
        <f t="shared" si="7"/>
        <v>0</v>
      </c>
      <c r="AI20" s="6">
        <f t="shared" si="8"/>
        <v>59.2</v>
      </c>
      <c r="AJ20" s="73">
        <f t="shared" si="9"/>
        <v>354.72972972972963</v>
      </c>
      <c r="AK20" s="539"/>
      <c r="AL20" s="748"/>
      <c r="AM20" s="748"/>
    </row>
    <row r="21" spans="2:39" x14ac:dyDescent="0.2">
      <c r="B21" s="101" t="str">
        <f>IF(Personalplanung!B21&lt;&gt;"",Personalplanung!B21,IF(Personalplanung!A21&lt;&gt;"",Personalplanung!A21,""))</f>
        <v>Zur Ausbildung</v>
      </c>
      <c r="C21" s="168">
        <f>IF(ISERROR(Personalplanung!$F21/Monatsplanung!$E21*Monatsplanung!$G21),0,Personalplanung!$F21/Monatsplanung!$E21*Monatsplanung!$G21)</f>
        <v>0</v>
      </c>
      <c r="D21" s="168">
        <f>Personalplanung!G21</f>
        <v>8</v>
      </c>
      <c r="E21" s="168">
        <f>IF(ISERROR(Personalplanung!H21/Monatsplanung!$E21*Monatsplanung!$G21),0,Personalplanung!H21/Monatsplanung!$E21*Monatsplanung!$G21)</f>
        <v>0</v>
      </c>
      <c r="F21" s="168">
        <f t="shared" si="0"/>
        <v>0</v>
      </c>
      <c r="G21" s="168">
        <f>Personalplanung!K21</f>
        <v>12.64367816091954</v>
      </c>
      <c r="H21" s="168">
        <f t="shared" si="1"/>
        <v>0</v>
      </c>
      <c r="I21" s="168">
        <f>Personalplanung!V21</f>
        <v>20</v>
      </c>
      <c r="J21" s="739"/>
      <c r="K21" s="168">
        <f>IF(J21&lt;&gt;"",J21,IF(ISERROR(Personalplanung!AB21/Monatsplanung!$E21*Monatsplanung!$G21),0,Personalplanung!AB21/Monatsplanung!$E21*Monatsplanung!$G21))</f>
        <v>0</v>
      </c>
      <c r="L21" s="740"/>
      <c r="M21" s="739"/>
      <c r="N21" s="168">
        <f>IF(M21&lt;&gt;"",M21,IF(ISERROR(Personalplanung!AC21/Monatsplanung!$E21*Monatsplanung!$G21),0,Personalplanung!AC21/Monatsplanung!$E21*Monatsplanung!$G21))</f>
        <v>0</v>
      </c>
      <c r="O21" s="740"/>
      <c r="P21" s="739"/>
      <c r="Q21" s="168">
        <f>IF(P21&lt;&gt;"",P21,IF(ISERROR(Personalplanung!AD21/Monatsplanung!$E21*Monatsplanung!$G21),0,Personalplanung!AD21/Monatsplanung!$E21*Monatsplanung!$G21))</f>
        <v>0</v>
      </c>
      <c r="R21" s="740"/>
      <c r="S21" s="739"/>
      <c r="T21" s="168">
        <f>IF(S21&lt;&gt;"",S21,IF(ISERROR(Personalplanung!AE21/Monatsplanung!$E21*Monatsplanung!$G21),0,Personalplanung!AE21/Monatsplanung!$E21*Monatsplanung!$G21))</f>
        <v>0</v>
      </c>
      <c r="U21" s="740"/>
      <c r="V21" s="168">
        <f t="shared" si="2"/>
        <v>0</v>
      </c>
      <c r="W21" s="168">
        <f>IF(ISERROR(Personalplanung!P21/Monatsplanung!$E21*Monatsplanung!$G21),0,Personalplanung!P21/Monatsplanung!$E21*Monatsplanung!$G21)</f>
        <v>0</v>
      </c>
      <c r="X21" s="168">
        <f>IF(ISERROR(Personalplanung!Q21/Monatsplanung!$E21*Monatsplanung!$G21),0,Personalplanung!Q21/Monatsplanung!$E21*Monatsplanung!$G21)</f>
        <v>0</v>
      </c>
      <c r="Y21" s="168">
        <f>IF(ISERROR(Personalplanung!R21/T1269*Stundencontrolling!T21),0,Personalplanung!R21/T1269*Stundencontrolling!T21)</f>
        <v>0</v>
      </c>
      <c r="Z21" s="168">
        <f>IF(ISERROR(Personalplanung!S21/Monatsplanung!$E21*Monatsplanung!$G21),0,Personalplanung!S21/Monatsplanung!$E21*Monatsplanung!$G21)</f>
        <v>0</v>
      </c>
      <c r="AA21" s="80">
        <f t="shared" si="3"/>
        <v>0</v>
      </c>
      <c r="AB21" s="102">
        <f>Personalplanung!AG21</f>
        <v>1</v>
      </c>
      <c r="AC21" s="103">
        <f t="shared" si="4"/>
        <v>0</v>
      </c>
      <c r="AD21" s="103">
        <f t="shared" si="5"/>
        <v>0</v>
      </c>
      <c r="AE21" s="81">
        <f t="shared" si="6"/>
        <v>0</v>
      </c>
      <c r="AF21" s="539"/>
      <c r="AG21" s="104">
        <f>Personalplanung!AK21</f>
        <v>0.2</v>
      </c>
      <c r="AH21" s="7">
        <f t="shared" si="7"/>
        <v>0</v>
      </c>
      <c r="AI21" s="6">
        <f t="shared" si="8"/>
        <v>0</v>
      </c>
      <c r="AJ21" s="73">
        <f t="shared" si="9"/>
        <v>0</v>
      </c>
      <c r="AK21" s="539"/>
      <c r="AL21" s="748"/>
      <c r="AM21" s="748"/>
    </row>
    <row r="22" spans="2:39" x14ac:dyDescent="0.2">
      <c r="B22" s="101" t="str">
        <f>IF(Personalplanung!B22&lt;&gt;"",Personalplanung!B22,IF(Personalplanung!A22&lt;&gt;"",Personalplanung!A22,""))</f>
        <v>Reine Putze</v>
      </c>
      <c r="C22" s="168">
        <f>IF(ISERROR(Personalplanung!$F22/Monatsplanung!$E22*Monatsplanung!$G22),0,Personalplanung!$F22/Monatsplanung!$E22*Monatsplanung!$G22)</f>
        <v>52.199999999999996</v>
      </c>
      <c r="D22" s="168">
        <f>Personalplanung!G22</f>
        <v>2.4</v>
      </c>
      <c r="E22" s="168">
        <f>IF(ISERROR(Personalplanung!H22/Monatsplanung!$E22*Monatsplanung!$G22),0,Personalplanung!H22/Monatsplanung!$E22*Monatsplanung!$G22)</f>
        <v>0</v>
      </c>
      <c r="F22" s="168">
        <f t="shared" si="0"/>
        <v>52.199999999999996</v>
      </c>
      <c r="G22" s="168">
        <f>Personalplanung!K22</f>
        <v>9.9936143039591325</v>
      </c>
      <c r="H22" s="168">
        <f t="shared" si="1"/>
        <v>521.66666666666663</v>
      </c>
      <c r="I22" s="168">
        <f>Personalplanung!V22</f>
        <v>18</v>
      </c>
      <c r="J22" s="739"/>
      <c r="K22" s="168">
        <f>IF(J22&lt;&gt;"",J22,IF(ISERROR(Personalplanung!AB22/Monatsplanung!$E22*Monatsplanung!$G22),0,Personalplanung!AB22/Monatsplanung!$E22*Monatsplanung!$G22))</f>
        <v>0.25</v>
      </c>
      <c r="L22" s="740"/>
      <c r="M22" s="739"/>
      <c r="N22" s="168">
        <f>IF(M22&lt;&gt;"",M22,IF(ISERROR(Personalplanung!AC22/Monatsplanung!$E22*Monatsplanung!$G22),0,Personalplanung!AC22/Monatsplanung!$E22*Monatsplanung!$G22))</f>
        <v>0</v>
      </c>
      <c r="O22" s="740"/>
      <c r="P22" s="739"/>
      <c r="Q22" s="168">
        <f>IF(P22&lt;&gt;"",P22,IF(ISERROR(Personalplanung!AD22/Monatsplanung!$E22*Monatsplanung!$G22),0,Personalplanung!AD22/Monatsplanung!$E22*Monatsplanung!$G22))</f>
        <v>0</v>
      </c>
      <c r="R22" s="740"/>
      <c r="S22" s="739"/>
      <c r="T22" s="168">
        <f>IF(S22&lt;&gt;"",S22,IF(ISERROR(Personalplanung!AE22/Monatsplanung!$E22*Monatsplanung!$G22),0,Personalplanung!AE22/Monatsplanung!$E22*Monatsplanung!$G22))</f>
        <v>2.1666666666666665</v>
      </c>
      <c r="U22" s="740"/>
      <c r="V22" s="168">
        <f t="shared" si="2"/>
        <v>2.4166666666666665</v>
      </c>
      <c r="W22" s="168">
        <f>IF(ISERROR(Personalplanung!P22/Monatsplanung!$E22*Monatsplanung!$G22),0,Personalplanung!P22/Monatsplanung!$E22*Monatsplanung!$G22)</f>
        <v>0</v>
      </c>
      <c r="X22" s="168">
        <f>IF(ISERROR(Personalplanung!Q22/Monatsplanung!$E22*Monatsplanung!$G22),0,Personalplanung!Q22/Monatsplanung!$E22*Monatsplanung!$G22)</f>
        <v>0</v>
      </c>
      <c r="Y22" s="168">
        <f>IF(ISERROR(Personalplanung!R22/T1270*Stundencontrolling!T22),0,Personalplanung!R22/T1270*Stundencontrolling!T22)</f>
        <v>0</v>
      </c>
      <c r="Z22" s="168">
        <f>IF(ISERROR(Personalplanung!S22/Monatsplanung!$E22*Monatsplanung!$G22),0,Personalplanung!S22/Monatsplanung!$E22*Monatsplanung!$G22)</f>
        <v>0</v>
      </c>
      <c r="AA22" s="80">
        <f t="shared" si="3"/>
        <v>9911.6666666666661</v>
      </c>
      <c r="AB22" s="102">
        <f>Personalplanung!AG22</f>
        <v>0</v>
      </c>
      <c r="AC22" s="103">
        <f t="shared" si="4"/>
        <v>0</v>
      </c>
      <c r="AD22" s="103">
        <f t="shared" si="5"/>
        <v>9911.6666666666661</v>
      </c>
      <c r="AE22" s="81">
        <f t="shared" si="6"/>
        <v>0</v>
      </c>
      <c r="AF22" s="539"/>
      <c r="AG22" s="104">
        <f>Personalplanung!AK22</f>
        <v>0</v>
      </c>
      <c r="AH22" s="7">
        <f t="shared" si="7"/>
        <v>0</v>
      </c>
      <c r="AI22" s="6">
        <f t="shared" si="8"/>
        <v>0</v>
      </c>
      <c r="AJ22" s="73">
        <f t="shared" si="9"/>
        <v>0</v>
      </c>
      <c r="AK22" s="539"/>
      <c r="AL22" s="748"/>
      <c r="AM22" s="748"/>
    </row>
    <row r="23" spans="2:39" x14ac:dyDescent="0.2">
      <c r="B23" s="101" t="str">
        <f>IF(Personalplanung!B23&lt;&gt;"",Personalplanung!B23,IF(Personalplanung!A23&lt;&gt;"",Personalplanung!A23,""))</f>
        <v/>
      </c>
      <c r="C23" s="168">
        <f>IF(ISERROR(Personalplanung!$F23/Monatsplanung!$E23*Monatsplanung!$G23),0,Personalplanung!$F23/Monatsplanung!$E23*Monatsplanung!$G23)</f>
        <v>0</v>
      </c>
      <c r="D23" s="168">
        <f>Personalplanung!G23</f>
        <v>0</v>
      </c>
      <c r="E23" s="168">
        <f>IF(ISERROR(Personalplanung!H23/Monatsplanung!$E23*Monatsplanung!$G23),0,Personalplanung!H23/Monatsplanung!$E23*Monatsplanung!$G23)</f>
        <v>0</v>
      </c>
      <c r="F23" s="168">
        <f t="shared" si="0"/>
        <v>0</v>
      </c>
      <c r="G23" s="168" t="e">
        <f>Personalplanung!K23</f>
        <v>#DIV/0!</v>
      </c>
      <c r="H23" s="168" t="e">
        <f t="shared" si="1"/>
        <v>#DIV/0!</v>
      </c>
      <c r="I23" s="168">
        <f>Personalplanung!V23</f>
        <v>0</v>
      </c>
      <c r="J23" s="739"/>
      <c r="K23" s="168">
        <f>IF(J23&lt;&gt;"",J23,IF(ISERROR(Personalplanung!AB23/Monatsplanung!$E23*Monatsplanung!$G23),0,Personalplanung!AB23/Monatsplanung!$E23*Monatsplanung!$G23))</f>
        <v>0</v>
      </c>
      <c r="L23" s="740"/>
      <c r="M23" s="739"/>
      <c r="N23" s="168">
        <f>IF(M23&lt;&gt;"",M23,IF(ISERROR(Personalplanung!AC23/Monatsplanung!$E23*Monatsplanung!$G23),0,Personalplanung!AC23/Monatsplanung!$E23*Monatsplanung!$G23))</f>
        <v>0</v>
      </c>
      <c r="O23" s="740"/>
      <c r="P23" s="739"/>
      <c r="Q23" s="168">
        <f>IF(P23&lt;&gt;"",P23,IF(ISERROR(Personalplanung!AD23/Monatsplanung!$E23*Monatsplanung!$G23),0,Personalplanung!AD23/Monatsplanung!$E23*Monatsplanung!$G23))</f>
        <v>0</v>
      </c>
      <c r="R23" s="740"/>
      <c r="S23" s="739"/>
      <c r="T23" s="168">
        <f>IF(S23&lt;&gt;"",S23,IF(ISERROR(Personalplanung!AE23/Monatsplanung!$E23*Monatsplanung!$G23),0,Personalplanung!AE23/Monatsplanung!$E23*Monatsplanung!$G23))</f>
        <v>0</v>
      </c>
      <c r="U23" s="740"/>
      <c r="V23" s="168">
        <f t="shared" si="2"/>
        <v>0</v>
      </c>
      <c r="W23" s="168">
        <f>IF(ISERROR(Personalplanung!P23/Monatsplanung!$E23*Monatsplanung!$G23),0,Personalplanung!P23/Monatsplanung!$E23*Monatsplanung!$G23)</f>
        <v>0</v>
      </c>
      <c r="X23" s="168">
        <f>IF(ISERROR(Personalplanung!Q23/Monatsplanung!$E23*Monatsplanung!$G23),0,Personalplanung!Q23/Monatsplanung!$E23*Monatsplanung!$G23)</f>
        <v>0</v>
      </c>
      <c r="Y23" s="168">
        <f>IF(ISERROR(Personalplanung!R23/T1271*Stundencontrolling!T23),0,Personalplanung!R23/T1271*Stundencontrolling!T23)</f>
        <v>0</v>
      </c>
      <c r="Z23" s="168">
        <f>IF(ISERROR(Personalplanung!S23/Monatsplanung!$E23*Monatsplanung!$G23),0,Personalplanung!S23/Monatsplanung!$E23*Monatsplanung!$G23)</f>
        <v>0</v>
      </c>
      <c r="AA23" s="80" t="e">
        <f t="shared" si="3"/>
        <v>#DIV/0!</v>
      </c>
      <c r="AB23" s="102">
        <f>Personalplanung!AG23</f>
        <v>0</v>
      </c>
      <c r="AC23" s="103" t="e">
        <f t="shared" si="4"/>
        <v>#DIV/0!</v>
      </c>
      <c r="AD23" s="103" t="e">
        <f t="shared" si="5"/>
        <v>#DIV/0!</v>
      </c>
      <c r="AE23" s="81">
        <f t="shared" si="6"/>
        <v>0</v>
      </c>
      <c r="AF23" s="539"/>
      <c r="AG23" s="104">
        <f>Personalplanung!AK23</f>
        <v>0</v>
      </c>
      <c r="AH23" s="7">
        <f t="shared" si="7"/>
        <v>0</v>
      </c>
      <c r="AI23" s="6">
        <f t="shared" si="8"/>
        <v>0</v>
      </c>
      <c r="AJ23" s="73">
        <f t="shared" si="9"/>
        <v>0</v>
      </c>
      <c r="AK23" s="539"/>
      <c r="AL23" s="748"/>
      <c r="AM23" s="748"/>
    </row>
    <row r="24" spans="2:39" x14ac:dyDescent="0.2">
      <c r="B24" s="101" t="str">
        <f>IF(Personalplanung!B24&lt;&gt;"",Personalplanung!B24,IF(Personalplanung!A24&lt;&gt;"",Personalplanung!A24,""))</f>
        <v/>
      </c>
      <c r="C24" s="168">
        <f>IF(ISERROR(Personalplanung!$F24/Monatsplanung!$E24*Monatsplanung!$G24),0,Personalplanung!$F24/Monatsplanung!$E24*Monatsplanung!$G24)</f>
        <v>0</v>
      </c>
      <c r="D24" s="168">
        <f>Personalplanung!G24</f>
        <v>0</v>
      </c>
      <c r="E24" s="168">
        <f>IF(ISERROR(Personalplanung!H24/Monatsplanung!$E24*Monatsplanung!$G24),0,Personalplanung!H24/Monatsplanung!$E24*Monatsplanung!$G24)</f>
        <v>0</v>
      </c>
      <c r="F24" s="168">
        <f t="shared" si="0"/>
        <v>0</v>
      </c>
      <c r="G24" s="168" t="e">
        <f>Personalplanung!K24</f>
        <v>#DIV/0!</v>
      </c>
      <c r="H24" s="168" t="e">
        <f t="shared" si="1"/>
        <v>#DIV/0!</v>
      </c>
      <c r="I24" s="168">
        <f>Personalplanung!V24</f>
        <v>0</v>
      </c>
      <c r="J24" s="739"/>
      <c r="K24" s="168">
        <f>IF(J24&lt;&gt;"",J24,IF(ISERROR(Personalplanung!AB24/Monatsplanung!$E24*Monatsplanung!$G24),0,Personalplanung!AB24/Monatsplanung!$E24*Monatsplanung!$G24))</f>
        <v>0</v>
      </c>
      <c r="L24" s="740"/>
      <c r="M24" s="739"/>
      <c r="N24" s="168">
        <f>IF(M24&lt;&gt;"",M24,IF(ISERROR(Personalplanung!AC24/Monatsplanung!$E24*Monatsplanung!$G24),0,Personalplanung!AC24/Monatsplanung!$E24*Monatsplanung!$G24))</f>
        <v>0</v>
      </c>
      <c r="O24" s="740"/>
      <c r="P24" s="739"/>
      <c r="Q24" s="168">
        <f>IF(P24&lt;&gt;"",P24,IF(ISERROR(Personalplanung!AD24/Monatsplanung!$E24*Monatsplanung!$G24),0,Personalplanung!AD24/Monatsplanung!$E24*Monatsplanung!$G24))</f>
        <v>0</v>
      </c>
      <c r="R24" s="740"/>
      <c r="S24" s="739"/>
      <c r="T24" s="168">
        <f>IF(S24&lt;&gt;"",S24,IF(ISERROR(Personalplanung!AE24/Monatsplanung!$E24*Monatsplanung!$G24),0,Personalplanung!AE24/Monatsplanung!$E24*Monatsplanung!$G24))</f>
        <v>0</v>
      </c>
      <c r="U24" s="740"/>
      <c r="V24" s="168">
        <f t="shared" si="2"/>
        <v>0</v>
      </c>
      <c r="W24" s="168">
        <f>IF(ISERROR(Personalplanung!P24/Monatsplanung!$E24*Monatsplanung!$G24),0,Personalplanung!P24/Monatsplanung!$E24*Monatsplanung!$G24)</f>
        <v>0</v>
      </c>
      <c r="X24" s="168">
        <f>IF(ISERROR(Personalplanung!Q24/Monatsplanung!$E24*Monatsplanung!$G24),0,Personalplanung!Q24/Monatsplanung!$E24*Monatsplanung!$G24)</f>
        <v>0</v>
      </c>
      <c r="Y24" s="168">
        <f>IF(ISERROR(Personalplanung!R24/T1272*Stundencontrolling!T24),0,Personalplanung!R24/T1272*Stundencontrolling!T24)</f>
        <v>0</v>
      </c>
      <c r="Z24" s="168">
        <f>IF(ISERROR(Personalplanung!S24/Monatsplanung!$E24*Monatsplanung!$G24),0,Personalplanung!S24/Monatsplanung!$E24*Monatsplanung!$G24)</f>
        <v>0</v>
      </c>
      <c r="AA24" s="80" t="e">
        <f t="shared" si="3"/>
        <v>#DIV/0!</v>
      </c>
      <c r="AB24" s="102">
        <f>Personalplanung!AG24</f>
        <v>0</v>
      </c>
      <c r="AC24" s="103" t="e">
        <f t="shared" si="4"/>
        <v>#DIV/0!</v>
      </c>
      <c r="AD24" s="103" t="e">
        <f t="shared" si="5"/>
        <v>#DIV/0!</v>
      </c>
      <c r="AE24" s="81">
        <f t="shared" si="6"/>
        <v>0</v>
      </c>
      <c r="AF24" s="539"/>
      <c r="AG24" s="104">
        <f>Personalplanung!AK24</f>
        <v>0</v>
      </c>
      <c r="AH24" s="7">
        <f t="shared" si="7"/>
        <v>0</v>
      </c>
      <c r="AI24" s="6">
        <f t="shared" si="8"/>
        <v>0</v>
      </c>
      <c r="AJ24" s="73">
        <f t="shared" si="9"/>
        <v>0</v>
      </c>
      <c r="AK24" s="539"/>
      <c r="AL24" s="748"/>
      <c r="AM24" s="748"/>
    </row>
    <row r="25" spans="2:39" x14ac:dyDescent="0.2">
      <c r="B25" s="101" t="str">
        <f>IF(Personalplanung!B25&lt;&gt;"",Personalplanung!B25,IF(Personalplanung!A25&lt;&gt;"",Personalplanung!A25,""))</f>
        <v/>
      </c>
      <c r="C25" s="168">
        <f>IF(ISERROR(Personalplanung!$F25/Monatsplanung!$E25*Monatsplanung!$G25),0,Personalplanung!$F25/Monatsplanung!$E25*Monatsplanung!$G25)</f>
        <v>0</v>
      </c>
      <c r="D25" s="168">
        <f>Personalplanung!G25</f>
        <v>0</v>
      </c>
      <c r="E25" s="168">
        <f>IF(ISERROR(Personalplanung!H25/Monatsplanung!$E25*Monatsplanung!$G25),0,Personalplanung!H25/Monatsplanung!$E25*Monatsplanung!$G25)</f>
        <v>0</v>
      </c>
      <c r="F25" s="168">
        <f t="shared" si="0"/>
        <v>0</v>
      </c>
      <c r="G25" s="168" t="e">
        <f>Personalplanung!K25</f>
        <v>#DIV/0!</v>
      </c>
      <c r="H25" s="168" t="e">
        <f t="shared" si="1"/>
        <v>#DIV/0!</v>
      </c>
      <c r="I25" s="168">
        <f>Personalplanung!V25</f>
        <v>0</v>
      </c>
      <c r="J25" s="739"/>
      <c r="K25" s="168">
        <f>IF(J25&lt;&gt;"",J25,IF(ISERROR(Personalplanung!AB25/Monatsplanung!$E25*Monatsplanung!$G25),0,Personalplanung!AB25/Monatsplanung!$E25*Monatsplanung!$G25))</f>
        <v>0</v>
      </c>
      <c r="L25" s="740"/>
      <c r="M25" s="739"/>
      <c r="N25" s="168">
        <f>IF(M25&lt;&gt;"",M25,IF(ISERROR(Personalplanung!AC25/Monatsplanung!$E25*Monatsplanung!$G25),0,Personalplanung!AC25/Monatsplanung!$E25*Monatsplanung!$G25))</f>
        <v>0</v>
      </c>
      <c r="O25" s="740"/>
      <c r="P25" s="739"/>
      <c r="Q25" s="168">
        <f>IF(P25&lt;&gt;"",P25,IF(ISERROR(Personalplanung!AD25/Monatsplanung!$E25*Monatsplanung!$G25),0,Personalplanung!AD25/Monatsplanung!$E25*Monatsplanung!$G25))</f>
        <v>0</v>
      </c>
      <c r="R25" s="740"/>
      <c r="S25" s="739"/>
      <c r="T25" s="168">
        <f>IF(S25&lt;&gt;"",S25,IF(ISERROR(Personalplanung!AE25/Monatsplanung!$E25*Monatsplanung!$G25),0,Personalplanung!AE25/Monatsplanung!$E25*Monatsplanung!$G25))</f>
        <v>0</v>
      </c>
      <c r="U25" s="740"/>
      <c r="V25" s="168">
        <f t="shared" si="2"/>
        <v>0</v>
      </c>
      <c r="W25" s="168">
        <f>IF(ISERROR(Personalplanung!P25/Monatsplanung!$E25*Monatsplanung!$G25),0,Personalplanung!P25/Monatsplanung!$E25*Monatsplanung!$G25)</f>
        <v>0</v>
      </c>
      <c r="X25" s="168">
        <f>IF(ISERROR(Personalplanung!Q25/Monatsplanung!$E25*Monatsplanung!$G25),0,Personalplanung!Q25/Monatsplanung!$E25*Monatsplanung!$G25)</f>
        <v>0</v>
      </c>
      <c r="Y25" s="168">
        <f>IF(ISERROR(Personalplanung!R25/T1273*Stundencontrolling!T25),0,Personalplanung!R25/T1273*Stundencontrolling!T25)</f>
        <v>0</v>
      </c>
      <c r="Z25" s="168">
        <f>IF(ISERROR(Personalplanung!S25/Monatsplanung!$E25*Monatsplanung!$G25),0,Personalplanung!S25/Monatsplanung!$E25*Monatsplanung!$G25)</f>
        <v>0</v>
      </c>
      <c r="AA25" s="80" t="e">
        <f t="shared" si="3"/>
        <v>#DIV/0!</v>
      </c>
      <c r="AB25" s="102">
        <f>Personalplanung!AG25</f>
        <v>0</v>
      </c>
      <c r="AC25" s="103" t="e">
        <f t="shared" si="4"/>
        <v>#DIV/0!</v>
      </c>
      <c r="AD25" s="103" t="e">
        <f t="shared" si="5"/>
        <v>#DIV/0!</v>
      </c>
      <c r="AE25" s="81">
        <f t="shared" si="6"/>
        <v>0</v>
      </c>
      <c r="AF25" s="539"/>
      <c r="AG25" s="104">
        <f>Personalplanung!AK25</f>
        <v>0</v>
      </c>
      <c r="AH25" s="7">
        <f t="shared" si="7"/>
        <v>0</v>
      </c>
      <c r="AI25" s="6">
        <f t="shared" si="8"/>
        <v>0</v>
      </c>
      <c r="AJ25" s="73">
        <f t="shared" si="9"/>
        <v>0</v>
      </c>
      <c r="AK25" s="539"/>
      <c r="AL25" s="748"/>
      <c r="AM25" s="748"/>
    </row>
    <row r="26" spans="2:39" x14ac:dyDescent="0.2">
      <c r="B26" s="101" t="str">
        <f>IF(Personalplanung!B26&lt;&gt;"",Personalplanung!B26,IF(Personalplanung!A26&lt;&gt;"",Personalplanung!A26,""))</f>
        <v/>
      </c>
      <c r="C26" s="168">
        <f>IF(ISERROR(Personalplanung!$F26/Monatsplanung!$E26*Monatsplanung!$G26),0,Personalplanung!$F26/Monatsplanung!$E26*Monatsplanung!$G26)</f>
        <v>0</v>
      </c>
      <c r="D26" s="168">
        <f>Personalplanung!G26</f>
        <v>0</v>
      </c>
      <c r="E26" s="168">
        <f>IF(ISERROR(Personalplanung!H26/Monatsplanung!$E26*Monatsplanung!$G26),0,Personalplanung!H26/Monatsplanung!$E26*Monatsplanung!$G26)</f>
        <v>0</v>
      </c>
      <c r="F26" s="168">
        <f t="shared" si="0"/>
        <v>0</v>
      </c>
      <c r="G26" s="168" t="e">
        <f>Personalplanung!K26</f>
        <v>#DIV/0!</v>
      </c>
      <c r="H26" s="168" t="e">
        <f t="shared" si="1"/>
        <v>#DIV/0!</v>
      </c>
      <c r="I26" s="168">
        <f>Personalplanung!V26</f>
        <v>0</v>
      </c>
      <c r="J26" s="739"/>
      <c r="K26" s="168">
        <f>IF(J26&lt;&gt;"",J26,IF(ISERROR(Personalplanung!AB26/Monatsplanung!$E26*Monatsplanung!$G26),0,Personalplanung!AB26/Monatsplanung!$E26*Monatsplanung!$G26))</f>
        <v>0</v>
      </c>
      <c r="L26" s="740"/>
      <c r="M26" s="739"/>
      <c r="N26" s="168">
        <f>IF(M26&lt;&gt;"",M26,IF(ISERROR(Personalplanung!AC26/Monatsplanung!$E26*Monatsplanung!$G26),0,Personalplanung!AC26/Monatsplanung!$E26*Monatsplanung!$G26))</f>
        <v>0</v>
      </c>
      <c r="O26" s="740"/>
      <c r="P26" s="739"/>
      <c r="Q26" s="168">
        <f>IF(P26&lt;&gt;"",P26,IF(ISERROR(Personalplanung!AD26/Monatsplanung!$E26*Monatsplanung!$G26),0,Personalplanung!AD26/Monatsplanung!$E26*Monatsplanung!$G26))</f>
        <v>0</v>
      </c>
      <c r="R26" s="740"/>
      <c r="S26" s="739"/>
      <c r="T26" s="168">
        <f>IF(S26&lt;&gt;"",S26,IF(ISERROR(Personalplanung!AE26/Monatsplanung!$E26*Monatsplanung!$G26),0,Personalplanung!AE26/Monatsplanung!$E26*Monatsplanung!$G26))</f>
        <v>0</v>
      </c>
      <c r="U26" s="740"/>
      <c r="V26" s="168">
        <f t="shared" si="2"/>
        <v>0</v>
      </c>
      <c r="W26" s="168">
        <f>IF(ISERROR(Personalplanung!P26/Monatsplanung!$E26*Monatsplanung!$G26),0,Personalplanung!P26/Monatsplanung!$E26*Monatsplanung!$G26)</f>
        <v>0</v>
      </c>
      <c r="X26" s="168">
        <f>IF(ISERROR(Personalplanung!Q26/Monatsplanung!$E26*Monatsplanung!$G26),0,Personalplanung!Q26/Monatsplanung!$E26*Monatsplanung!$G26)</f>
        <v>0</v>
      </c>
      <c r="Y26" s="168">
        <f>IF(ISERROR(Personalplanung!R26/T1274*Stundencontrolling!T26),0,Personalplanung!R26/T1274*Stundencontrolling!T26)</f>
        <v>0</v>
      </c>
      <c r="Z26" s="168">
        <f>IF(ISERROR(Personalplanung!S26/Monatsplanung!$E26*Monatsplanung!$G26),0,Personalplanung!S26/Monatsplanung!$E26*Monatsplanung!$G26)</f>
        <v>0</v>
      </c>
      <c r="AA26" s="80" t="e">
        <f t="shared" si="3"/>
        <v>#DIV/0!</v>
      </c>
      <c r="AB26" s="102">
        <f>Personalplanung!AG26</f>
        <v>0</v>
      </c>
      <c r="AC26" s="103" t="e">
        <f t="shared" si="4"/>
        <v>#DIV/0!</v>
      </c>
      <c r="AD26" s="103" t="e">
        <f t="shared" si="5"/>
        <v>#DIV/0!</v>
      </c>
      <c r="AE26" s="81">
        <f t="shared" si="6"/>
        <v>0</v>
      </c>
      <c r="AF26" s="539"/>
      <c r="AG26" s="104">
        <f>Personalplanung!AK26</f>
        <v>0</v>
      </c>
      <c r="AH26" s="7">
        <f t="shared" si="7"/>
        <v>0</v>
      </c>
      <c r="AI26" s="6">
        <f t="shared" si="8"/>
        <v>0</v>
      </c>
      <c r="AJ26" s="73">
        <f t="shared" si="9"/>
        <v>0</v>
      </c>
      <c r="AK26" s="539"/>
      <c r="AL26" s="748"/>
      <c r="AM26" s="748"/>
    </row>
    <row r="27" spans="2:39" x14ac:dyDescent="0.2">
      <c r="B27" s="101" t="str">
        <f>IF(Personalplanung!B27&lt;&gt;"",Personalplanung!B27,IF(Personalplanung!A27&lt;&gt;"",Personalplanung!A27,""))</f>
        <v/>
      </c>
      <c r="C27" s="168">
        <f>IF(ISERROR(Personalplanung!$F27/Monatsplanung!$E27*Monatsplanung!$G27),0,Personalplanung!$F27/Monatsplanung!$E27*Monatsplanung!$G27)</f>
        <v>0</v>
      </c>
      <c r="D27" s="168">
        <f>Personalplanung!G27</f>
        <v>0</v>
      </c>
      <c r="E27" s="168">
        <f>IF(ISERROR(Personalplanung!H27/Monatsplanung!$E27*Monatsplanung!$G27),0,Personalplanung!H27/Monatsplanung!$E27*Monatsplanung!$G27)</f>
        <v>0</v>
      </c>
      <c r="F27" s="168">
        <f t="shared" si="0"/>
        <v>0</v>
      </c>
      <c r="G27" s="168" t="e">
        <f>Personalplanung!K27</f>
        <v>#DIV/0!</v>
      </c>
      <c r="H27" s="168" t="e">
        <f t="shared" si="1"/>
        <v>#DIV/0!</v>
      </c>
      <c r="I27" s="168">
        <f>Personalplanung!V27</f>
        <v>0</v>
      </c>
      <c r="J27" s="739"/>
      <c r="K27" s="168">
        <f>IF(J27&lt;&gt;"",J27,IF(ISERROR(Personalplanung!AB27/Monatsplanung!$E27*Monatsplanung!$G27),0,Personalplanung!AB27/Monatsplanung!$E27*Monatsplanung!$G27))</f>
        <v>0</v>
      </c>
      <c r="L27" s="740"/>
      <c r="M27" s="739"/>
      <c r="N27" s="168">
        <f>IF(M27&lt;&gt;"",M27,IF(ISERROR(Personalplanung!AC27/Monatsplanung!$E27*Monatsplanung!$G27),0,Personalplanung!AC27/Monatsplanung!$E27*Monatsplanung!$G27))</f>
        <v>0</v>
      </c>
      <c r="O27" s="740"/>
      <c r="P27" s="739"/>
      <c r="Q27" s="168">
        <f>IF(P27&lt;&gt;"",P27,IF(ISERROR(Personalplanung!AD27/Monatsplanung!$E27*Monatsplanung!$G27),0,Personalplanung!AD27/Monatsplanung!$E27*Monatsplanung!$G27))</f>
        <v>0</v>
      </c>
      <c r="R27" s="740"/>
      <c r="S27" s="739"/>
      <c r="T27" s="168">
        <f>IF(S27&lt;&gt;"",S27,IF(ISERROR(Personalplanung!AE27/Monatsplanung!$E27*Monatsplanung!$G27),0,Personalplanung!AE27/Monatsplanung!$E27*Monatsplanung!$G27))</f>
        <v>0</v>
      </c>
      <c r="U27" s="740"/>
      <c r="V27" s="168">
        <f t="shared" si="2"/>
        <v>0</v>
      </c>
      <c r="W27" s="168">
        <f>IF(ISERROR(Personalplanung!P27/Monatsplanung!$E27*Monatsplanung!$G27),0,Personalplanung!P27/Monatsplanung!$E27*Monatsplanung!$G27)</f>
        <v>0</v>
      </c>
      <c r="X27" s="168">
        <f>IF(ISERROR(Personalplanung!Q27/Monatsplanung!$E27*Monatsplanung!$G27),0,Personalplanung!Q27/Monatsplanung!$E27*Monatsplanung!$G27)</f>
        <v>0</v>
      </c>
      <c r="Y27" s="168">
        <f>IF(ISERROR(Personalplanung!R27/T1275*Stundencontrolling!T27),0,Personalplanung!R27/T1275*Stundencontrolling!T27)</f>
        <v>0</v>
      </c>
      <c r="Z27" s="168">
        <f>IF(ISERROR(Personalplanung!S27/Monatsplanung!$E27*Monatsplanung!$G27),0,Personalplanung!S27/Monatsplanung!$E27*Monatsplanung!$G27)</f>
        <v>0</v>
      </c>
      <c r="AA27" s="80" t="e">
        <f t="shared" si="3"/>
        <v>#DIV/0!</v>
      </c>
      <c r="AB27" s="102">
        <f>Personalplanung!AG27</f>
        <v>0</v>
      </c>
      <c r="AC27" s="103" t="e">
        <f t="shared" si="4"/>
        <v>#DIV/0!</v>
      </c>
      <c r="AD27" s="103" t="e">
        <f t="shared" si="5"/>
        <v>#DIV/0!</v>
      </c>
      <c r="AE27" s="81">
        <f t="shared" si="6"/>
        <v>0</v>
      </c>
      <c r="AF27" s="539"/>
      <c r="AG27" s="104">
        <f>Personalplanung!AK27</f>
        <v>0</v>
      </c>
      <c r="AH27" s="7">
        <f t="shared" si="7"/>
        <v>0</v>
      </c>
      <c r="AI27" s="6">
        <f t="shared" si="8"/>
        <v>0</v>
      </c>
      <c r="AJ27" s="73">
        <f t="shared" si="9"/>
        <v>0</v>
      </c>
      <c r="AK27" s="539"/>
      <c r="AL27" s="748"/>
      <c r="AM27" s="748"/>
    </row>
    <row r="28" spans="2:39" x14ac:dyDescent="0.2">
      <c r="B28" s="101" t="str">
        <f>IF(Personalplanung!B28&lt;&gt;"",Personalplanung!B28,IF(Personalplanung!A28&lt;&gt;"",Personalplanung!A28,""))</f>
        <v/>
      </c>
      <c r="C28" s="168">
        <f>IF(ISERROR(Personalplanung!$F28/Monatsplanung!$E28*Monatsplanung!$G28),0,Personalplanung!$F28/Monatsplanung!$E28*Monatsplanung!$G28)</f>
        <v>0</v>
      </c>
      <c r="D28" s="168">
        <f>Personalplanung!G28</f>
        <v>0</v>
      </c>
      <c r="E28" s="168">
        <f>IF(ISERROR(Personalplanung!H28/Monatsplanung!$E28*Monatsplanung!$G28),0,Personalplanung!H28/Monatsplanung!$E28*Monatsplanung!$G28)</f>
        <v>0</v>
      </c>
      <c r="F28" s="168">
        <f t="shared" si="0"/>
        <v>0</v>
      </c>
      <c r="G28" s="168" t="e">
        <f>Personalplanung!K28</f>
        <v>#DIV/0!</v>
      </c>
      <c r="H28" s="168" t="e">
        <f t="shared" si="1"/>
        <v>#DIV/0!</v>
      </c>
      <c r="I28" s="168">
        <f>Personalplanung!V28</f>
        <v>0</v>
      </c>
      <c r="J28" s="739"/>
      <c r="K28" s="168">
        <f>IF(J28&lt;&gt;"",J28,IF(ISERROR(Personalplanung!AB28/Monatsplanung!$E28*Monatsplanung!$G28),0,Personalplanung!AB28/Monatsplanung!$E28*Monatsplanung!$G28))</f>
        <v>0</v>
      </c>
      <c r="L28" s="740"/>
      <c r="M28" s="739"/>
      <c r="N28" s="168">
        <f>IF(M28&lt;&gt;"",M28,IF(ISERROR(Personalplanung!AC28/Monatsplanung!$E28*Monatsplanung!$G28),0,Personalplanung!AC28/Monatsplanung!$E28*Monatsplanung!$G28))</f>
        <v>0</v>
      </c>
      <c r="O28" s="740"/>
      <c r="P28" s="739"/>
      <c r="Q28" s="168">
        <f>IF(P28&lt;&gt;"",P28,IF(ISERROR(Personalplanung!AD28/Monatsplanung!$E28*Monatsplanung!$G28),0,Personalplanung!AD28/Monatsplanung!$E28*Monatsplanung!$G28))</f>
        <v>0</v>
      </c>
      <c r="R28" s="740"/>
      <c r="S28" s="739"/>
      <c r="T28" s="168">
        <f>IF(S28&lt;&gt;"",S28,IF(ISERROR(Personalplanung!AE28/Monatsplanung!$E28*Monatsplanung!$G28),0,Personalplanung!AE28/Monatsplanung!$E28*Monatsplanung!$G28))</f>
        <v>0</v>
      </c>
      <c r="U28" s="740"/>
      <c r="V28" s="168">
        <f t="shared" si="2"/>
        <v>0</v>
      </c>
      <c r="W28" s="168">
        <f>IF(ISERROR(Personalplanung!P28/Monatsplanung!$E28*Monatsplanung!$G28),0,Personalplanung!P28/Monatsplanung!$E28*Monatsplanung!$G28)</f>
        <v>0</v>
      </c>
      <c r="X28" s="168">
        <f>IF(ISERROR(Personalplanung!Q28/Monatsplanung!$E28*Monatsplanung!$G28),0,Personalplanung!Q28/Monatsplanung!$E28*Monatsplanung!$G28)</f>
        <v>0</v>
      </c>
      <c r="Y28" s="168">
        <f>IF(ISERROR(Personalplanung!R28/T1276*Stundencontrolling!T28),0,Personalplanung!R28/T1276*Stundencontrolling!T28)</f>
        <v>0</v>
      </c>
      <c r="Z28" s="168">
        <f>IF(ISERROR(Personalplanung!S28/Monatsplanung!$E28*Monatsplanung!$G28),0,Personalplanung!S28/Monatsplanung!$E28*Monatsplanung!$G28)</f>
        <v>0</v>
      </c>
      <c r="AA28" s="80" t="e">
        <f t="shared" si="3"/>
        <v>#DIV/0!</v>
      </c>
      <c r="AB28" s="102">
        <f>Personalplanung!AG28</f>
        <v>0</v>
      </c>
      <c r="AC28" s="103" t="e">
        <f t="shared" si="4"/>
        <v>#DIV/0!</v>
      </c>
      <c r="AD28" s="103" t="e">
        <f t="shared" si="5"/>
        <v>#DIV/0!</v>
      </c>
      <c r="AE28" s="81">
        <f t="shared" si="6"/>
        <v>0</v>
      </c>
      <c r="AF28" s="539"/>
      <c r="AG28" s="104">
        <f>Personalplanung!AK28</f>
        <v>0</v>
      </c>
      <c r="AH28" s="7">
        <f t="shared" si="7"/>
        <v>0</v>
      </c>
      <c r="AI28" s="6">
        <f t="shared" si="8"/>
        <v>0</v>
      </c>
      <c r="AJ28" s="73">
        <f t="shared" si="9"/>
        <v>0</v>
      </c>
      <c r="AK28" s="539"/>
      <c r="AL28" s="748"/>
      <c r="AM28" s="748"/>
    </row>
    <row r="29" spans="2:39" x14ac:dyDescent="0.2">
      <c r="B29" s="101" t="str">
        <f>IF(Personalplanung!B29&lt;&gt;"",Personalplanung!B29,IF(Personalplanung!A29&lt;&gt;"",Personalplanung!A29,""))</f>
        <v/>
      </c>
      <c r="C29" s="168">
        <f>IF(ISERROR(Personalplanung!$F29/Monatsplanung!$E29*Monatsplanung!$G29),0,Personalplanung!$F29/Monatsplanung!$E29*Monatsplanung!$G29)</f>
        <v>0</v>
      </c>
      <c r="D29" s="168">
        <f>Personalplanung!G29</f>
        <v>0</v>
      </c>
      <c r="E29" s="168">
        <f>IF(ISERROR(Personalplanung!H29/Monatsplanung!$E29*Monatsplanung!$G29),0,Personalplanung!H29/Monatsplanung!$E29*Monatsplanung!$G29)</f>
        <v>0</v>
      </c>
      <c r="F29" s="168">
        <f t="shared" si="0"/>
        <v>0</v>
      </c>
      <c r="G29" s="168" t="e">
        <f>Personalplanung!K29</f>
        <v>#DIV/0!</v>
      </c>
      <c r="H29" s="168" t="e">
        <f t="shared" si="1"/>
        <v>#DIV/0!</v>
      </c>
      <c r="I29" s="168">
        <f>Personalplanung!V29</f>
        <v>0</v>
      </c>
      <c r="J29" s="739"/>
      <c r="K29" s="168">
        <f>IF(J29&lt;&gt;"",J29,IF(ISERROR(Personalplanung!AB29/Monatsplanung!$E29*Monatsplanung!$G29),0,Personalplanung!AB29/Monatsplanung!$E29*Monatsplanung!$G29))</f>
        <v>0</v>
      </c>
      <c r="L29" s="740"/>
      <c r="M29" s="739"/>
      <c r="N29" s="168">
        <f>IF(M29&lt;&gt;"",M29,IF(ISERROR(Personalplanung!AC29/Monatsplanung!$E29*Monatsplanung!$G29),0,Personalplanung!AC29/Monatsplanung!$E29*Monatsplanung!$G29))</f>
        <v>0</v>
      </c>
      <c r="O29" s="740"/>
      <c r="P29" s="739"/>
      <c r="Q29" s="168">
        <f>IF(P29&lt;&gt;"",P29,IF(ISERROR(Personalplanung!AD29/Monatsplanung!$E29*Monatsplanung!$G29),0,Personalplanung!AD29/Monatsplanung!$E29*Monatsplanung!$G29))</f>
        <v>0</v>
      </c>
      <c r="R29" s="740"/>
      <c r="S29" s="739"/>
      <c r="T29" s="168">
        <f>IF(S29&lt;&gt;"",S29,IF(ISERROR(Personalplanung!AE29/Monatsplanung!$E29*Monatsplanung!$G29),0,Personalplanung!AE29/Monatsplanung!$E29*Monatsplanung!$G29))</f>
        <v>0</v>
      </c>
      <c r="U29" s="740"/>
      <c r="V29" s="168">
        <f t="shared" si="2"/>
        <v>0</v>
      </c>
      <c r="W29" s="168">
        <f>IF(ISERROR(Personalplanung!P29/Monatsplanung!$E29*Monatsplanung!$G29),0,Personalplanung!P29/Monatsplanung!$E29*Monatsplanung!$G29)</f>
        <v>0</v>
      </c>
      <c r="X29" s="168">
        <f>IF(ISERROR(Personalplanung!Q29/Monatsplanung!$E29*Monatsplanung!$G29),0,Personalplanung!Q29/Monatsplanung!$E29*Monatsplanung!$G29)</f>
        <v>0</v>
      </c>
      <c r="Y29" s="168">
        <f>IF(ISERROR(Personalplanung!R29/T1277*Stundencontrolling!T29),0,Personalplanung!R29/T1277*Stundencontrolling!T29)</f>
        <v>0</v>
      </c>
      <c r="Z29" s="168">
        <f>IF(ISERROR(Personalplanung!S29/Monatsplanung!$E29*Monatsplanung!$G29),0,Personalplanung!S29/Monatsplanung!$E29*Monatsplanung!$G29)</f>
        <v>0</v>
      </c>
      <c r="AA29" s="80" t="e">
        <f t="shared" si="3"/>
        <v>#DIV/0!</v>
      </c>
      <c r="AB29" s="102">
        <f>Personalplanung!AG29</f>
        <v>0</v>
      </c>
      <c r="AC29" s="103" t="e">
        <f t="shared" si="4"/>
        <v>#DIV/0!</v>
      </c>
      <c r="AD29" s="103" t="e">
        <f t="shared" si="5"/>
        <v>#DIV/0!</v>
      </c>
      <c r="AE29" s="81">
        <f t="shared" si="6"/>
        <v>0</v>
      </c>
      <c r="AF29" s="539"/>
      <c r="AG29" s="104">
        <f>Personalplanung!AK29</f>
        <v>0</v>
      </c>
      <c r="AH29" s="7">
        <f t="shared" si="7"/>
        <v>0</v>
      </c>
      <c r="AI29" s="6">
        <f t="shared" si="8"/>
        <v>0</v>
      </c>
      <c r="AJ29" s="73">
        <f t="shared" si="9"/>
        <v>0</v>
      </c>
      <c r="AK29" s="539"/>
      <c r="AL29" s="748"/>
      <c r="AM29" s="748"/>
    </row>
    <row r="30" spans="2:39" x14ac:dyDescent="0.2">
      <c r="B30" s="101" t="str">
        <f>IF(Personalplanung!B30&lt;&gt;"",Personalplanung!B30,IF(Personalplanung!A30&lt;&gt;"",Personalplanung!A30,""))</f>
        <v/>
      </c>
      <c r="C30" s="168">
        <f>IF(ISERROR(Personalplanung!$F30/Monatsplanung!$E30*Monatsplanung!$G30),0,Personalplanung!$F30/Monatsplanung!$E30*Monatsplanung!$G30)</f>
        <v>0</v>
      </c>
      <c r="D30" s="168">
        <f>Personalplanung!G30</f>
        <v>0</v>
      </c>
      <c r="E30" s="168">
        <f>IF(ISERROR(Personalplanung!H30/Monatsplanung!$E30*Monatsplanung!$G30),0,Personalplanung!H30/Monatsplanung!$E30*Monatsplanung!$G30)</f>
        <v>0</v>
      </c>
      <c r="F30" s="168">
        <f t="shared" si="0"/>
        <v>0</v>
      </c>
      <c r="G30" s="168" t="e">
        <f>Personalplanung!K30</f>
        <v>#DIV/0!</v>
      </c>
      <c r="H30" s="168" t="e">
        <f t="shared" si="1"/>
        <v>#DIV/0!</v>
      </c>
      <c r="I30" s="168">
        <f>Personalplanung!V30</f>
        <v>0</v>
      </c>
      <c r="J30" s="739"/>
      <c r="K30" s="168">
        <f>IF(J30&lt;&gt;"",J30,IF(ISERROR(Personalplanung!AB30/Monatsplanung!$E30*Monatsplanung!$G30),0,Personalplanung!AB30/Monatsplanung!$E30*Monatsplanung!$G30))</f>
        <v>0</v>
      </c>
      <c r="L30" s="740"/>
      <c r="M30" s="739"/>
      <c r="N30" s="168">
        <f>IF(M30&lt;&gt;"",M30,IF(ISERROR(Personalplanung!AC30/Monatsplanung!$E30*Monatsplanung!$G30),0,Personalplanung!AC30/Monatsplanung!$E30*Monatsplanung!$G30))</f>
        <v>0</v>
      </c>
      <c r="O30" s="740"/>
      <c r="P30" s="739"/>
      <c r="Q30" s="168">
        <f>IF(P30&lt;&gt;"",P30,IF(ISERROR(Personalplanung!AD30/Monatsplanung!$E30*Monatsplanung!$G30),0,Personalplanung!AD30/Monatsplanung!$E30*Monatsplanung!$G30))</f>
        <v>0</v>
      </c>
      <c r="R30" s="740"/>
      <c r="S30" s="739"/>
      <c r="T30" s="168">
        <f>IF(S30&lt;&gt;"",S30,IF(ISERROR(Personalplanung!AE30/Monatsplanung!$E30*Monatsplanung!$G30),0,Personalplanung!AE30/Monatsplanung!$E30*Monatsplanung!$G30))</f>
        <v>0</v>
      </c>
      <c r="U30" s="740"/>
      <c r="V30" s="168">
        <f t="shared" si="2"/>
        <v>0</v>
      </c>
      <c r="W30" s="168">
        <f>IF(ISERROR(Personalplanung!P30/Monatsplanung!$E30*Monatsplanung!$G30),0,Personalplanung!P30/Monatsplanung!$E30*Monatsplanung!$G30)</f>
        <v>0</v>
      </c>
      <c r="X30" s="168">
        <f>IF(ISERROR(Personalplanung!Q30/Monatsplanung!$E30*Monatsplanung!$G30),0,Personalplanung!Q30/Monatsplanung!$E30*Monatsplanung!$G30)</f>
        <v>0</v>
      </c>
      <c r="Y30" s="168">
        <f>IF(ISERROR(Personalplanung!R30/T1278*Stundencontrolling!T30),0,Personalplanung!R30/T1278*Stundencontrolling!T30)</f>
        <v>0</v>
      </c>
      <c r="Z30" s="168">
        <f>IF(ISERROR(Personalplanung!S30/Monatsplanung!$E30*Monatsplanung!$G30),0,Personalplanung!S30/Monatsplanung!$E30*Monatsplanung!$G30)</f>
        <v>0</v>
      </c>
      <c r="AA30" s="80" t="e">
        <f t="shared" si="3"/>
        <v>#DIV/0!</v>
      </c>
      <c r="AB30" s="102">
        <f>Personalplanung!AG30</f>
        <v>0</v>
      </c>
      <c r="AC30" s="103" t="e">
        <f t="shared" si="4"/>
        <v>#DIV/0!</v>
      </c>
      <c r="AD30" s="103" t="e">
        <f t="shared" si="5"/>
        <v>#DIV/0!</v>
      </c>
      <c r="AE30" s="81">
        <f t="shared" si="6"/>
        <v>0</v>
      </c>
      <c r="AF30" s="539"/>
      <c r="AG30" s="104">
        <f>Personalplanung!AK30</f>
        <v>0</v>
      </c>
      <c r="AH30" s="7">
        <f t="shared" si="7"/>
        <v>0</v>
      </c>
      <c r="AI30" s="6">
        <f t="shared" si="8"/>
        <v>0</v>
      </c>
      <c r="AJ30" s="73">
        <f t="shared" si="9"/>
        <v>0</v>
      </c>
      <c r="AK30" s="539"/>
      <c r="AL30" s="748"/>
      <c r="AM30" s="748"/>
    </row>
    <row r="31" spans="2:39" x14ac:dyDescent="0.2">
      <c r="B31" s="101" t="str">
        <f>IF(Personalplanung!B31&lt;&gt;"",Personalplanung!B31,IF(Personalplanung!A31&lt;&gt;"",Personalplanung!A31,""))</f>
        <v/>
      </c>
      <c r="C31" s="168">
        <f>IF(ISERROR(Personalplanung!$F31/Monatsplanung!$E31*Monatsplanung!$G31),0,Personalplanung!$F31/Monatsplanung!$E31*Monatsplanung!$G31)</f>
        <v>0</v>
      </c>
      <c r="D31" s="168">
        <f>Personalplanung!G31</f>
        <v>0</v>
      </c>
      <c r="E31" s="168">
        <f>IF(ISERROR(Personalplanung!H31/Monatsplanung!$E31*Monatsplanung!$G31),0,Personalplanung!H31/Monatsplanung!$E31*Monatsplanung!$G31)</f>
        <v>0</v>
      </c>
      <c r="F31" s="168">
        <f t="shared" si="0"/>
        <v>0</v>
      </c>
      <c r="G31" s="168" t="e">
        <f>Personalplanung!K31</f>
        <v>#DIV/0!</v>
      </c>
      <c r="H31" s="168" t="e">
        <f t="shared" si="1"/>
        <v>#DIV/0!</v>
      </c>
      <c r="I31" s="168">
        <f>Personalplanung!V31</f>
        <v>0</v>
      </c>
      <c r="J31" s="739"/>
      <c r="K31" s="168">
        <f>IF(J31&lt;&gt;"",J31,IF(ISERROR(Personalplanung!AB31/Monatsplanung!$E31*Monatsplanung!$G31),0,Personalplanung!AB31/Monatsplanung!$E31*Monatsplanung!$G31))</f>
        <v>0</v>
      </c>
      <c r="L31" s="740"/>
      <c r="M31" s="739"/>
      <c r="N31" s="168">
        <f>IF(M31&lt;&gt;"",M31,IF(ISERROR(Personalplanung!AC31/Monatsplanung!$E31*Monatsplanung!$G31),0,Personalplanung!AC31/Monatsplanung!$E31*Monatsplanung!$G31))</f>
        <v>0</v>
      </c>
      <c r="O31" s="740"/>
      <c r="P31" s="739"/>
      <c r="Q31" s="168">
        <f>IF(P31&lt;&gt;"",P31,IF(ISERROR(Personalplanung!AD31/Monatsplanung!$E31*Monatsplanung!$G31),0,Personalplanung!AD31/Monatsplanung!$E31*Monatsplanung!$G31))</f>
        <v>0</v>
      </c>
      <c r="R31" s="740"/>
      <c r="S31" s="739"/>
      <c r="T31" s="168">
        <f>IF(S31&lt;&gt;"",S31,IF(ISERROR(Personalplanung!AE31/Monatsplanung!$E31*Monatsplanung!$G31),0,Personalplanung!AE31/Monatsplanung!$E31*Monatsplanung!$G31))</f>
        <v>0</v>
      </c>
      <c r="U31" s="740"/>
      <c r="V31" s="168">
        <f t="shared" si="2"/>
        <v>0</v>
      </c>
      <c r="W31" s="168">
        <f>IF(ISERROR(Personalplanung!P31/Monatsplanung!$E31*Monatsplanung!$G31),0,Personalplanung!P31/Monatsplanung!$E31*Monatsplanung!$G31)</f>
        <v>0</v>
      </c>
      <c r="X31" s="168">
        <f>IF(ISERROR(Personalplanung!Q31/Monatsplanung!$E31*Monatsplanung!$G31),0,Personalplanung!Q31/Monatsplanung!$E31*Monatsplanung!$G31)</f>
        <v>0</v>
      </c>
      <c r="Y31" s="168">
        <f>IF(ISERROR(Personalplanung!R31/T1279*Stundencontrolling!T31),0,Personalplanung!R31/T1279*Stundencontrolling!T31)</f>
        <v>0</v>
      </c>
      <c r="Z31" s="168">
        <f>IF(ISERROR(Personalplanung!S31/Monatsplanung!$E31*Monatsplanung!$G31),0,Personalplanung!S31/Monatsplanung!$E31*Monatsplanung!$G31)</f>
        <v>0</v>
      </c>
      <c r="AA31" s="80" t="e">
        <f t="shared" si="3"/>
        <v>#DIV/0!</v>
      </c>
      <c r="AB31" s="102">
        <f>Personalplanung!AG31</f>
        <v>0</v>
      </c>
      <c r="AC31" s="103" t="e">
        <f t="shared" si="4"/>
        <v>#DIV/0!</v>
      </c>
      <c r="AD31" s="103" t="e">
        <f t="shared" si="5"/>
        <v>#DIV/0!</v>
      </c>
      <c r="AE31" s="81">
        <f t="shared" si="6"/>
        <v>0</v>
      </c>
      <c r="AF31" s="539"/>
      <c r="AG31" s="104">
        <f>Personalplanung!AK31</f>
        <v>0</v>
      </c>
      <c r="AH31" s="7">
        <f t="shared" si="7"/>
        <v>0</v>
      </c>
      <c r="AI31" s="6">
        <f t="shared" si="8"/>
        <v>0</v>
      </c>
      <c r="AJ31" s="73">
        <f t="shared" si="9"/>
        <v>0</v>
      </c>
      <c r="AK31" s="539"/>
      <c r="AL31" s="748"/>
      <c r="AM31" s="748"/>
    </row>
    <row r="32" spans="2:39" x14ac:dyDescent="0.2">
      <c r="B32" s="101" t="str">
        <f>IF(Personalplanung!B32&lt;&gt;"",Personalplanung!B32,IF(Personalplanung!A32&lt;&gt;"",Personalplanung!A32,""))</f>
        <v/>
      </c>
      <c r="C32" s="168">
        <f>IF(ISERROR(Personalplanung!$F32/Monatsplanung!$E32*Monatsplanung!$G32),0,Personalplanung!$F32/Monatsplanung!$E32*Monatsplanung!$G32)</f>
        <v>0</v>
      </c>
      <c r="D32" s="168">
        <f>Personalplanung!G32</f>
        <v>0</v>
      </c>
      <c r="E32" s="168">
        <f>IF(ISERROR(Personalplanung!H32/Monatsplanung!$E32*Monatsplanung!$G32),0,Personalplanung!H32/Monatsplanung!$E32*Monatsplanung!$G32)</f>
        <v>0</v>
      </c>
      <c r="F32" s="168">
        <f t="shared" si="0"/>
        <v>0</v>
      </c>
      <c r="G32" s="168" t="e">
        <f>Personalplanung!K32</f>
        <v>#DIV/0!</v>
      </c>
      <c r="H32" s="168" t="e">
        <f t="shared" si="1"/>
        <v>#DIV/0!</v>
      </c>
      <c r="I32" s="168">
        <f>Personalplanung!V32</f>
        <v>0</v>
      </c>
      <c r="J32" s="739"/>
      <c r="K32" s="168">
        <f>IF(J32&lt;&gt;"",J32,IF(ISERROR(Personalplanung!AB32/Monatsplanung!$E32*Monatsplanung!$G32),0,Personalplanung!AB32/Monatsplanung!$E32*Monatsplanung!$G32))</f>
        <v>0</v>
      </c>
      <c r="L32" s="740"/>
      <c r="M32" s="739"/>
      <c r="N32" s="168">
        <f>IF(M32&lt;&gt;"",M32,IF(ISERROR(Personalplanung!AC32/Monatsplanung!$E32*Monatsplanung!$G32),0,Personalplanung!AC32/Monatsplanung!$E32*Monatsplanung!$G32))</f>
        <v>0</v>
      </c>
      <c r="O32" s="740"/>
      <c r="P32" s="739"/>
      <c r="Q32" s="168">
        <f>IF(P32&lt;&gt;"",P32,IF(ISERROR(Personalplanung!AD32/Monatsplanung!$E32*Monatsplanung!$G32),0,Personalplanung!AD32/Monatsplanung!$E32*Monatsplanung!$G32))</f>
        <v>0</v>
      </c>
      <c r="R32" s="740"/>
      <c r="S32" s="739"/>
      <c r="T32" s="168">
        <f>IF(S32&lt;&gt;"",S32,IF(ISERROR(Personalplanung!AE32/Monatsplanung!$E32*Monatsplanung!$G32),0,Personalplanung!AE32/Monatsplanung!$E32*Monatsplanung!$G32))</f>
        <v>0</v>
      </c>
      <c r="U32" s="740"/>
      <c r="V32" s="168">
        <f t="shared" si="2"/>
        <v>0</v>
      </c>
      <c r="W32" s="168">
        <f>IF(ISERROR(Personalplanung!P32/Monatsplanung!$E32*Monatsplanung!$G32),0,Personalplanung!P32/Monatsplanung!$E32*Monatsplanung!$G32)</f>
        <v>0</v>
      </c>
      <c r="X32" s="168">
        <f>IF(ISERROR(Personalplanung!Q32/Monatsplanung!$E32*Monatsplanung!$G32),0,Personalplanung!Q32/Monatsplanung!$E32*Monatsplanung!$G32)</f>
        <v>0</v>
      </c>
      <c r="Y32" s="168">
        <f>IF(ISERROR(Personalplanung!R32/T1280*Stundencontrolling!T32),0,Personalplanung!R32/T1280*Stundencontrolling!T32)</f>
        <v>0</v>
      </c>
      <c r="Z32" s="168">
        <f>IF(ISERROR(Personalplanung!S32/Monatsplanung!$E32*Monatsplanung!$G32),0,Personalplanung!S32/Monatsplanung!$E32*Monatsplanung!$G32)</f>
        <v>0</v>
      </c>
      <c r="AA32" s="80" t="e">
        <f t="shared" si="3"/>
        <v>#DIV/0!</v>
      </c>
      <c r="AB32" s="102">
        <f>Personalplanung!AG32</f>
        <v>0</v>
      </c>
      <c r="AC32" s="103" t="e">
        <f t="shared" si="4"/>
        <v>#DIV/0!</v>
      </c>
      <c r="AD32" s="103" t="e">
        <f t="shared" si="5"/>
        <v>#DIV/0!</v>
      </c>
      <c r="AE32" s="81">
        <f t="shared" si="6"/>
        <v>0</v>
      </c>
      <c r="AF32" s="539"/>
      <c r="AG32" s="104">
        <f>Personalplanung!AK32</f>
        <v>0</v>
      </c>
      <c r="AH32" s="7">
        <f t="shared" si="7"/>
        <v>0</v>
      </c>
      <c r="AI32" s="6">
        <f t="shared" si="8"/>
        <v>0</v>
      </c>
      <c r="AJ32" s="73">
        <f t="shared" si="9"/>
        <v>0</v>
      </c>
      <c r="AK32" s="539"/>
      <c r="AL32" s="748"/>
      <c r="AM32" s="748"/>
    </row>
    <row r="33" spans="2:39" x14ac:dyDescent="0.2">
      <c r="B33" s="101" t="str">
        <f>IF(Personalplanung!B33&lt;&gt;"",Personalplanung!B33,IF(Personalplanung!A33&lt;&gt;"",Personalplanung!A33,""))</f>
        <v/>
      </c>
      <c r="C33" s="168">
        <f>IF(ISERROR(Personalplanung!$F33/Monatsplanung!$E33*Monatsplanung!$G33),0,Personalplanung!$F33/Monatsplanung!$E33*Monatsplanung!$G33)</f>
        <v>0</v>
      </c>
      <c r="D33" s="168">
        <f>Personalplanung!G33</f>
        <v>0</v>
      </c>
      <c r="E33" s="168">
        <f>IF(ISERROR(Personalplanung!H33/Monatsplanung!$E33*Monatsplanung!$G33),0,Personalplanung!H33/Monatsplanung!$E33*Monatsplanung!$G33)</f>
        <v>0</v>
      </c>
      <c r="F33" s="168">
        <f t="shared" si="0"/>
        <v>0</v>
      </c>
      <c r="G33" s="168" t="e">
        <f>Personalplanung!K33</f>
        <v>#DIV/0!</v>
      </c>
      <c r="H33" s="168" t="e">
        <f t="shared" si="1"/>
        <v>#DIV/0!</v>
      </c>
      <c r="I33" s="168">
        <f>Personalplanung!V33</f>
        <v>0</v>
      </c>
      <c r="J33" s="739"/>
      <c r="K33" s="168">
        <f>IF(J33&lt;&gt;"",J33,IF(ISERROR(Personalplanung!AB33/Monatsplanung!$E33*Monatsplanung!$G33),0,Personalplanung!AB33/Monatsplanung!$E33*Monatsplanung!$G33))</f>
        <v>0</v>
      </c>
      <c r="L33" s="740"/>
      <c r="M33" s="739"/>
      <c r="N33" s="168">
        <f>IF(M33&lt;&gt;"",M33,IF(ISERROR(Personalplanung!AC33/Monatsplanung!$E33*Monatsplanung!$G33),0,Personalplanung!AC33/Monatsplanung!$E33*Monatsplanung!$G33))</f>
        <v>0</v>
      </c>
      <c r="O33" s="740"/>
      <c r="P33" s="739"/>
      <c r="Q33" s="168">
        <f>IF(P33&lt;&gt;"",P33,IF(ISERROR(Personalplanung!AD33/Monatsplanung!$E33*Monatsplanung!$G33),0,Personalplanung!AD33/Monatsplanung!$E33*Monatsplanung!$G33))</f>
        <v>0</v>
      </c>
      <c r="R33" s="740"/>
      <c r="S33" s="739"/>
      <c r="T33" s="168">
        <f>IF(S33&lt;&gt;"",S33,IF(ISERROR(Personalplanung!AE33/Monatsplanung!$E33*Monatsplanung!$G33),0,Personalplanung!AE33/Monatsplanung!$E33*Monatsplanung!$G33))</f>
        <v>0</v>
      </c>
      <c r="U33" s="740"/>
      <c r="V33" s="168">
        <f t="shared" si="2"/>
        <v>0</v>
      </c>
      <c r="W33" s="168">
        <f>IF(ISERROR(Personalplanung!P33/Monatsplanung!$E33*Monatsplanung!$G33),0,Personalplanung!P33/Monatsplanung!$E33*Monatsplanung!$G33)</f>
        <v>0</v>
      </c>
      <c r="X33" s="168">
        <f>IF(ISERROR(Personalplanung!Q33/Monatsplanung!$E33*Monatsplanung!$G33),0,Personalplanung!Q33/Monatsplanung!$E33*Monatsplanung!$G33)</f>
        <v>0</v>
      </c>
      <c r="Y33" s="168">
        <f>IF(ISERROR(Personalplanung!R33/T1281*Stundencontrolling!T33),0,Personalplanung!R33/T1281*Stundencontrolling!T33)</f>
        <v>0</v>
      </c>
      <c r="Z33" s="168">
        <f>IF(ISERROR(Personalplanung!S33/Monatsplanung!$E33*Monatsplanung!$G33),0,Personalplanung!S33/Monatsplanung!$E33*Monatsplanung!$G33)</f>
        <v>0</v>
      </c>
      <c r="AA33" s="80" t="e">
        <f t="shared" si="3"/>
        <v>#DIV/0!</v>
      </c>
      <c r="AB33" s="102">
        <f>Personalplanung!AG33</f>
        <v>0</v>
      </c>
      <c r="AC33" s="103" t="e">
        <f t="shared" si="4"/>
        <v>#DIV/0!</v>
      </c>
      <c r="AD33" s="103" t="e">
        <f t="shared" si="5"/>
        <v>#DIV/0!</v>
      </c>
      <c r="AE33" s="81">
        <f t="shared" si="6"/>
        <v>0</v>
      </c>
      <c r="AF33" s="539"/>
      <c r="AG33" s="104">
        <f>Personalplanung!AK33</f>
        <v>0</v>
      </c>
      <c r="AH33" s="7">
        <f t="shared" si="7"/>
        <v>0</v>
      </c>
      <c r="AI33" s="6">
        <f t="shared" si="8"/>
        <v>0</v>
      </c>
      <c r="AJ33" s="73">
        <f t="shared" si="9"/>
        <v>0</v>
      </c>
      <c r="AK33" s="539"/>
      <c r="AL33" s="748"/>
      <c r="AM33" s="748"/>
    </row>
    <row r="34" spans="2:39" x14ac:dyDescent="0.2">
      <c r="B34" s="101" t="str">
        <f>IF(Personalplanung!B34&lt;&gt;"",Personalplanung!B34,IF(Personalplanung!A34&lt;&gt;"",Personalplanung!A34,""))</f>
        <v/>
      </c>
      <c r="C34" s="168">
        <f>IF(ISERROR(Personalplanung!$F34/Monatsplanung!$E34*Monatsplanung!$G34),0,Personalplanung!$F34/Monatsplanung!$E34*Monatsplanung!$G34)</f>
        <v>0</v>
      </c>
      <c r="D34" s="168">
        <f>Personalplanung!G34</f>
        <v>0</v>
      </c>
      <c r="E34" s="168">
        <f>IF(ISERROR(Personalplanung!H34/Monatsplanung!$E34*Monatsplanung!$G34),0,Personalplanung!H34/Monatsplanung!$E34*Monatsplanung!$G34)</f>
        <v>0</v>
      </c>
      <c r="F34" s="168">
        <f t="shared" si="0"/>
        <v>0</v>
      </c>
      <c r="G34" s="168" t="e">
        <f>Personalplanung!K34</f>
        <v>#DIV/0!</v>
      </c>
      <c r="H34" s="168" t="e">
        <f t="shared" si="1"/>
        <v>#DIV/0!</v>
      </c>
      <c r="I34" s="168">
        <f>Personalplanung!V34</f>
        <v>0</v>
      </c>
      <c r="J34" s="739"/>
      <c r="K34" s="168">
        <f>IF(J34&lt;&gt;"",J34,IF(ISERROR(Personalplanung!AB34/Monatsplanung!$E34*Monatsplanung!$G34),0,Personalplanung!AB34/Monatsplanung!$E34*Monatsplanung!$G34))</f>
        <v>0</v>
      </c>
      <c r="L34" s="740"/>
      <c r="M34" s="739"/>
      <c r="N34" s="168">
        <f>IF(M34&lt;&gt;"",M34,IF(ISERROR(Personalplanung!AC34/Monatsplanung!$E34*Monatsplanung!$G34),0,Personalplanung!AC34/Monatsplanung!$E34*Monatsplanung!$G34))</f>
        <v>0</v>
      </c>
      <c r="O34" s="740"/>
      <c r="P34" s="739"/>
      <c r="Q34" s="168">
        <f>IF(P34&lt;&gt;"",P34,IF(ISERROR(Personalplanung!AD34/Monatsplanung!$E34*Monatsplanung!$G34),0,Personalplanung!AD34/Monatsplanung!$E34*Monatsplanung!$G34))</f>
        <v>0</v>
      </c>
      <c r="R34" s="740"/>
      <c r="S34" s="739"/>
      <c r="T34" s="168">
        <f>IF(S34&lt;&gt;"",S34,IF(ISERROR(Personalplanung!AE34/Monatsplanung!$E34*Monatsplanung!$G34),0,Personalplanung!AE34/Monatsplanung!$E34*Monatsplanung!$G34))</f>
        <v>0</v>
      </c>
      <c r="U34" s="740"/>
      <c r="V34" s="168">
        <f t="shared" si="2"/>
        <v>0</v>
      </c>
      <c r="W34" s="168">
        <f>IF(ISERROR(Personalplanung!P34/Monatsplanung!$E34*Monatsplanung!$G34),0,Personalplanung!P34/Monatsplanung!$E34*Monatsplanung!$G34)</f>
        <v>0</v>
      </c>
      <c r="X34" s="168">
        <f>IF(ISERROR(Personalplanung!Q34/Monatsplanung!$E34*Monatsplanung!$G34),0,Personalplanung!Q34/Monatsplanung!$E34*Monatsplanung!$G34)</f>
        <v>0</v>
      </c>
      <c r="Y34" s="168">
        <f>IF(ISERROR(Personalplanung!R34/T1282*Stundencontrolling!T34),0,Personalplanung!R34/T1282*Stundencontrolling!T34)</f>
        <v>0</v>
      </c>
      <c r="Z34" s="168">
        <f>IF(ISERROR(Personalplanung!S34/Monatsplanung!$E34*Monatsplanung!$G34),0,Personalplanung!S34/Monatsplanung!$E34*Monatsplanung!$G34)</f>
        <v>0</v>
      </c>
      <c r="AA34" s="80" t="e">
        <f t="shared" si="3"/>
        <v>#DIV/0!</v>
      </c>
      <c r="AB34" s="102">
        <f>Personalplanung!AG34</f>
        <v>0</v>
      </c>
      <c r="AC34" s="103" t="e">
        <f t="shared" si="4"/>
        <v>#DIV/0!</v>
      </c>
      <c r="AD34" s="103" t="e">
        <f t="shared" si="5"/>
        <v>#DIV/0!</v>
      </c>
      <c r="AE34" s="81">
        <f t="shared" si="6"/>
        <v>0</v>
      </c>
      <c r="AF34" s="539"/>
      <c r="AG34" s="104">
        <f>Personalplanung!AK34</f>
        <v>0</v>
      </c>
      <c r="AH34" s="7">
        <f t="shared" si="7"/>
        <v>0</v>
      </c>
      <c r="AI34" s="6">
        <f t="shared" si="8"/>
        <v>0</v>
      </c>
      <c r="AJ34" s="73">
        <f t="shared" si="9"/>
        <v>0</v>
      </c>
      <c r="AK34" s="539"/>
      <c r="AL34" s="748"/>
      <c r="AM34" s="748"/>
    </row>
    <row r="35" spans="2:39" x14ac:dyDescent="0.2">
      <c r="B35" s="101" t="str">
        <f>IF(Personalplanung!B35&lt;&gt;"",Personalplanung!B35,IF(Personalplanung!A35&lt;&gt;"",Personalplanung!A35,""))</f>
        <v/>
      </c>
      <c r="C35" s="168">
        <f>IF(ISERROR(Personalplanung!$F35/Monatsplanung!$E35*Monatsplanung!$G35),0,Personalplanung!$F35/Monatsplanung!$E35*Monatsplanung!$G35)</f>
        <v>0</v>
      </c>
      <c r="D35" s="168">
        <f>Personalplanung!G35</f>
        <v>0</v>
      </c>
      <c r="E35" s="168">
        <f>IF(ISERROR(Personalplanung!H35/Monatsplanung!$E35*Monatsplanung!$G35),0,Personalplanung!H35/Monatsplanung!$E35*Monatsplanung!$G35)</f>
        <v>0</v>
      </c>
      <c r="F35" s="168">
        <f t="shared" si="0"/>
        <v>0</v>
      </c>
      <c r="G35" s="168" t="e">
        <f>Personalplanung!K35</f>
        <v>#DIV/0!</v>
      </c>
      <c r="H35" s="168" t="e">
        <f t="shared" si="1"/>
        <v>#DIV/0!</v>
      </c>
      <c r="I35" s="168">
        <f>Personalplanung!V35</f>
        <v>0</v>
      </c>
      <c r="J35" s="739"/>
      <c r="K35" s="168">
        <f>IF(J35&lt;&gt;"",J35,IF(ISERROR(Personalplanung!AB35/Monatsplanung!$E35*Monatsplanung!$G35),0,Personalplanung!AB35/Monatsplanung!$E35*Monatsplanung!$G35))</f>
        <v>0</v>
      </c>
      <c r="L35" s="740"/>
      <c r="M35" s="739"/>
      <c r="N35" s="168">
        <f>IF(M35&lt;&gt;"",M35,IF(ISERROR(Personalplanung!AC35/Monatsplanung!$E35*Monatsplanung!$G35),0,Personalplanung!AC35/Monatsplanung!$E35*Monatsplanung!$G35))</f>
        <v>0</v>
      </c>
      <c r="O35" s="740"/>
      <c r="P35" s="739"/>
      <c r="Q35" s="168">
        <f>IF(P35&lt;&gt;"",P35,IF(ISERROR(Personalplanung!AD35/Monatsplanung!$E35*Monatsplanung!$G35),0,Personalplanung!AD35/Monatsplanung!$E35*Monatsplanung!$G35))</f>
        <v>0</v>
      </c>
      <c r="R35" s="740"/>
      <c r="S35" s="739"/>
      <c r="T35" s="168">
        <f>IF(S35&lt;&gt;"",S35,IF(ISERROR(Personalplanung!AE35/Monatsplanung!$E35*Monatsplanung!$G35),0,Personalplanung!AE35/Monatsplanung!$E35*Monatsplanung!$G35))</f>
        <v>0</v>
      </c>
      <c r="U35" s="740"/>
      <c r="V35" s="168">
        <f t="shared" si="2"/>
        <v>0</v>
      </c>
      <c r="W35" s="168">
        <f>IF(ISERROR(Personalplanung!P35/Monatsplanung!$E35*Monatsplanung!$G35),0,Personalplanung!P35/Monatsplanung!$E35*Monatsplanung!$G35)</f>
        <v>0</v>
      </c>
      <c r="X35" s="168">
        <f>IF(ISERROR(Personalplanung!Q35/Monatsplanung!$E35*Monatsplanung!$G35),0,Personalplanung!Q35/Monatsplanung!$E35*Monatsplanung!$G35)</f>
        <v>0</v>
      </c>
      <c r="Y35" s="168">
        <f>IF(ISERROR(Personalplanung!R35/T1283*Stundencontrolling!T35),0,Personalplanung!R35/T1283*Stundencontrolling!T35)</f>
        <v>0</v>
      </c>
      <c r="Z35" s="168">
        <f>IF(ISERROR(Personalplanung!S35/Monatsplanung!$E35*Monatsplanung!$G35),0,Personalplanung!S35/Monatsplanung!$E35*Monatsplanung!$G35)</f>
        <v>0</v>
      </c>
      <c r="AA35" s="80" t="e">
        <f t="shared" si="3"/>
        <v>#DIV/0!</v>
      </c>
      <c r="AB35" s="102">
        <f>Personalplanung!AG35</f>
        <v>0</v>
      </c>
      <c r="AC35" s="103" t="e">
        <f t="shared" si="4"/>
        <v>#DIV/0!</v>
      </c>
      <c r="AD35" s="103" t="e">
        <f t="shared" si="5"/>
        <v>#DIV/0!</v>
      </c>
      <c r="AE35" s="81">
        <f t="shared" si="6"/>
        <v>0</v>
      </c>
      <c r="AF35" s="539"/>
      <c r="AG35" s="104">
        <f>Personalplanung!AK35</f>
        <v>0</v>
      </c>
      <c r="AH35" s="7">
        <f t="shared" si="7"/>
        <v>0</v>
      </c>
      <c r="AI35" s="6">
        <f t="shared" si="8"/>
        <v>0</v>
      </c>
      <c r="AJ35" s="73">
        <f t="shared" si="9"/>
        <v>0</v>
      </c>
      <c r="AK35" s="539"/>
      <c r="AL35" s="748"/>
      <c r="AM35" s="748"/>
    </row>
    <row r="36" spans="2:39" x14ac:dyDescent="0.2">
      <c r="B36" s="101" t="str">
        <f>IF(Personalplanung!B36&lt;&gt;"",Personalplanung!B36,IF(Personalplanung!A36&lt;&gt;"",Personalplanung!A36,""))</f>
        <v/>
      </c>
      <c r="C36" s="168">
        <f>IF(ISERROR(Personalplanung!$F36/Monatsplanung!$E36*Monatsplanung!$G36),0,Personalplanung!$F36/Monatsplanung!$E36*Monatsplanung!$G36)</f>
        <v>0</v>
      </c>
      <c r="D36" s="168">
        <f>Personalplanung!G36</f>
        <v>0</v>
      </c>
      <c r="E36" s="168">
        <f>IF(ISERROR(Personalplanung!H36/Monatsplanung!$E36*Monatsplanung!$G36),0,Personalplanung!H36/Monatsplanung!$E36*Monatsplanung!$G36)</f>
        <v>0</v>
      </c>
      <c r="F36" s="168">
        <f t="shared" si="0"/>
        <v>0</v>
      </c>
      <c r="G36" s="168" t="e">
        <f>Personalplanung!K36</f>
        <v>#DIV/0!</v>
      </c>
      <c r="H36" s="168" t="e">
        <f t="shared" si="1"/>
        <v>#DIV/0!</v>
      </c>
      <c r="I36" s="168">
        <f>Personalplanung!V36</f>
        <v>0</v>
      </c>
      <c r="J36" s="739"/>
      <c r="K36" s="168">
        <f>IF(J36&lt;&gt;"",J36,IF(ISERROR(Personalplanung!AB36/Monatsplanung!$E36*Monatsplanung!$G36),0,Personalplanung!AB36/Monatsplanung!$E36*Monatsplanung!$G36))</f>
        <v>0</v>
      </c>
      <c r="L36" s="740"/>
      <c r="M36" s="739"/>
      <c r="N36" s="168">
        <f>IF(M36&lt;&gt;"",M36,IF(ISERROR(Personalplanung!AC36/Monatsplanung!$E36*Monatsplanung!$G36),0,Personalplanung!AC36/Monatsplanung!$E36*Monatsplanung!$G36))</f>
        <v>0</v>
      </c>
      <c r="O36" s="740"/>
      <c r="P36" s="739"/>
      <c r="Q36" s="168">
        <f>IF(P36&lt;&gt;"",P36,IF(ISERROR(Personalplanung!AD36/Monatsplanung!$E36*Monatsplanung!$G36),0,Personalplanung!AD36/Monatsplanung!$E36*Monatsplanung!$G36))</f>
        <v>0</v>
      </c>
      <c r="R36" s="740"/>
      <c r="S36" s="739"/>
      <c r="T36" s="168">
        <f>IF(S36&lt;&gt;"",S36,IF(ISERROR(Personalplanung!AE36/Monatsplanung!$E36*Monatsplanung!$G36),0,Personalplanung!AE36/Monatsplanung!$E36*Monatsplanung!$G36))</f>
        <v>0</v>
      </c>
      <c r="U36" s="740"/>
      <c r="V36" s="168">
        <f t="shared" si="2"/>
        <v>0</v>
      </c>
      <c r="W36" s="168">
        <f>IF(ISERROR(Personalplanung!P36/Monatsplanung!$E36*Monatsplanung!$G36),0,Personalplanung!P36/Monatsplanung!$E36*Monatsplanung!$G36)</f>
        <v>0</v>
      </c>
      <c r="X36" s="168">
        <f>IF(ISERROR(Personalplanung!Q36/Monatsplanung!$E36*Monatsplanung!$G36),0,Personalplanung!Q36/Monatsplanung!$E36*Monatsplanung!$G36)</f>
        <v>0</v>
      </c>
      <c r="Y36" s="168">
        <f>IF(ISERROR(Personalplanung!R36/T1284*Stundencontrolling!T36),0,Personalplanung!R36/T1284*Stundencontrolling!T36)</f>
        <v>0</v>
      </c>
      <c r="Z36" s="168">
        <f>IF(ISERROR(Personalplanung!S36/Monatsplanung!$E36*Monatsplanung!$G36),0,Personalplanung!S36/Monatsplanung!$E36*Monatsplanung!$G36)</f>
        <v>0</v>
      </c>
      <c r="AA36" s="80" t="e">
        <f t="shared" si="3"/>
        <v>#DIV/0!</v>
      </c>
      <c r="AB36" s="102">
        <f>Personalplanung!AG36</f>
        <v>0</v>
      </c>
      <c r="AC36" s="103" t="e">
        <f t="shared" si="4"/>
        <v>#DIV/0!</v>
      </c>
      <c r="AD36" s="103" t="e">
        <f t="shared" si="5"/>
        <v>#DIV/0!</v>
      </c>
      <c r="AE36" s="81">
        <f t="shared" si="6"/>
        <v>0</v>
      </c>
      <c r="AF36" s="539"/>
      <c r="AG36" s="104">
        <f>Personalplanung!AK36</f>
        <v>0</v>
      </c>
      <c r="AH36" s="7">
        <f t="shared" si="7"/>
        <v>0</v>
      </c>
      <c r="AI36" s="6">
        <f t="shared" si="8"/>
        <v>0</v>
      </c>
      <c r="AJ36" s="73">
        <f t="shared" si="9"/>
        <v>0</v>
      </c>
      <c r="AK36" s="539"/>
      <c r="AL36" s="748"/>
      <c r="AM36" s="748"/>
    </row>
    <row r="37" spans="2:39" x14ac:dyDescent="0.2">
      <c r="B37" s="101" t="str">
        <f>IF(Personalplanung!B37&lt;&gt;"",Personalplanung!B37,IF(Personalplanung!A37&lt;&gt;"",Personalplanung!A37,""))</f>
        <v/>
      </c>
      <c r="C37" s="168">
        <f>IF(ISERROR(Personalplanung!$F37/Monatsplanung!$E37*Monatsplanung!$G37),0,Personalplanung!$F37/Monatsplanung!$E37*Monatsplanung!$G37)</f>
        <v>0</v>
      </c>
      <c r="D37" s="168">
        <f>Personalplanung!G37</f>
        <v>0</v>
      </c>
      <c r="E37" s="168">
        <f>IF(ISERROR(Personalplanung!H37/Monatsplanung!$E37*Monatsplanung!$G37),0,Personalplanung!H37/Monatsplanung!$E37*Monatsplanung!$G37)</f>
        <v>0</v>
      </c>
      <c r="F37" s="168">
        <f t="shared" si="0"/>
        <v>0</v>
      </c>
      <c r="G37" s="168" t="e">
        <f>Personalplanung!K37</f>
        <v>#DIV/0!</v>
      </c>
      <c r="H37" s="168" t="e">
        <f t="shared" si="1"/>
        <v>#DIV/0!</v>
      </c>
      <c r="I37" s="168">
        <f>Personalplanung!V37</f>
        <v>0</v>
      </c>
      <c r="J37" s="739"/>
      <c r="K37" s="168">
        <f>IF(J37&lt;&gt;"",J37,IF(ISERROR(Personalplanung!AB37/Monatsplanung!$E37*Monatsplanung!$G37),0,Personalplanung!AB37/Monatsplanung!$E37*Monatsplanung!$G37))</f>
        <v>0</v>
      </c>
      <c r="L37" s="740"/>
      <c r="M37" s="739"/>
      <c r="N37" s="168">
        <f>IF(M37&lt;&gt;"",M37,IF(ISERROR(Personalplanung!AC37/Monatsplanung!$E37*Monatsplanung!$G37),0,Personalplanung!AC37/Monatsplanung!$E37*Monatsplanung!$G37))</f>
        <v>0</v>
      </c>
      <c r="O37" s="740"/>
      <c r="P37" s="739"/>
      <c r="Q37" s="168">
        <f>IF(P37&lt;&gt;"",P37,IF(ISERROR(Personalplanung!AD37/Monatsplanung!$E37*Monatsplanung!$G37),0,Personalplanung!AD37/Monatsplanung!$E37*Monatsplanung!$G37))</f>
        <v>0</v>
      </c>
      <c r="R37" s="740"/>
      <c r="S37" s="739"/>
      <c r="T37" s="168">
        <f>IF(S37&lt;&gt;"",S37,IF(ISERROR(Personalplanung!AE37/Monatsplanung!$E37*Monatsplanung!$G37),0,Personalplanung!AE37/Monatsplanung!$E37*Monatsplanung!$G37))</f>
        <v>0</v>
      </c>
      <c r="U37" s="740"/>
      <c r="V37" s="168">
        <f t="shared" si="2"/>
        <v>0</v>
      </c>
      <c r="W37" s="168">
        <f>IF(ISERROR(Personalplanung!P37/Monatsplanung!$E37*Monatsplanung!$G37),0,Personalplanung!P37/Monatsplanung!$E37*Monatsplanung!$G37)</f>
        <v>0</v>
      </c>
      <c r="X37" s="168">
        <f>IF(ISERROR(Personalplanung!Q37/Monatsplanung!$E37*Monatsplanung!$G37),0,Personalplanung!Q37/Monatsplanung!$E37*Monatsplanung!$G37)</f>
        <v>0</v>
      </c>
      <c r="Y37" s="168">
        <f>IF(ISERROR(Personalplanung!R37/T1285*Stundencontrolling!T37),0,Personalplanung!R37/T1285*Stundencontrolling!T37)</f>
        <v>0</v>
      </c>
      <c r="Z37" s="168">
        <f>IF(ISERROR(Personalplanung!S37/Monatsplanung!$E37*Monatsplanung!$G37),0,Personalplanung!S37/Monatsplanung!$E37*Monatsplanung!$G37)</f>
        <v>0</v>
      </c>
      <c r="AA37" s="80" t="e">
        <f t="shared" si="3"/>
        <v>#DIV/0!</v>
      </c>
      <c r="AB37" s="102">
        <f>Personalplanung!AG37</f>
        <v>0</v>
      </c>
      <c r="AC37" s="103" t="e">
        <f t="shared" si="4"/>
        <v>#DIV/0!</v>
      </c>
      <c r="AD37" s="103" t="e">
        <f t="shared" si="5"/>
        <v>#DIV/0!</v>
      </c>
      <c r="AE37" s="81">
        <f t="shared" si="6"/>
        <v>0</v>
      </c>
      <c r="AF37" s="539"/>
      <c r="AG37" s="104">
        <f>Personalplanung!AK37</f>
        <v>0</v>
      </c>
      <c r="AH37" s="7">
        <f t="shared" si="7"/>
        <v>0</v>
      </c>
      <c r="AI37" s="6">
        <f t="shared" si="8"/>
        <v>0</v>
      </c>
      <c r="AJ37" s="73">
        <f t="shared" si="9"/>
        <v>0</v>
      </c>
      <c r="AK37" s="539"/>
      <c r="AL37" s="748"/>
      <c r="AM37" s="748"/>
    </row>
    <row r="38" spans="2:39" x14ac:dyDescent="0.2">
      <c r="B38" s="101" t="str">
        <f>IF(Personalplanung!B38&lt;&gt;"",Personalplanung!B38,IF(Personalplanung!A38&lt;&gt;"",Personalplanung!A38,""))</f>
        <v/>
      </c>
      <c r="C38" s="168">
        <f>IF(ISERROR(Personalplanung!$F38/Monatsplanung!$E38*Monatsplanung!$G38),0,Personalplanung!$F38/Monatsplanung!$E38*Monatsplanung!$G38)</f>
        <v>0</v>
      </c>
      <c r="D38" s="168">
        <f>Personalplanung!G38</f>
        <v>0</v>
      </c>
      <c r="E38" s="168">
        <f>IF(ISERROR(Personalplanung!H38/Monatsplanung!$E38*Monatsplanung!$G38),0,Personalplanung!H38/Monatsplanung!$E38*Monatsplanung!$G38)</f>
        <v>0</v>
      </c>
      <c r="F38" s="168">
        <f t="shared" si="0"/>
        <v>0</v>
      </c>
      <c r="G38" s="168" t="e">
        <f>Personalplanung!K38</f>
        <v>#DIV/0!</v>
      </c>
      <c r="H38" s="168" t="e">
        <f t="shared" si="1"/>
        <v>#DIV/0!</v>
      </c>
      <c r="I38" s="168">
        <f>Personalplanung!V38</f>
        <v>0</v>
      </c>
      <c r="J38" s="739"/>
      <c r="K38" s="168">
        <f>IF(J38&lt;&gt;"",J38,IF(ISERROR(Personalplanung!AB38/Monatsplanung!$E38*Monatsplanung!$G38),0,Personalplanung!AB38/Monatsplanung!$E38*Monatsplanung!$G38))</f>
        <v>0</v>
      </c>
      <c r="L38" s="740"/>
      <c r="M38" s="739"/>
      <c r="N38" s="168">
        <f>IF(M38&lt;&gt;"",M38,IF(ISERROR(Personalplanung!AC38/Monatsplanung!$E38*Monatsplanung!$G38),0,Personalplanung!AC38/Monatsplanung!$E38*Monatsplanung!$G38))</f>
        <v>0</v>
      </c>
      <c r="O38" s="740"/>
      <c r="P38" s="739"/>
      <c r="Q38" s="168">
        <f>IF(P38&lt;&gt;"",P38,IF(ISERROR(Personalplanung!AD38/Monatsplanung!$E38*Monatsplanung!$G38),0,Personalplanung!AD38/Monatsplanung!$E38*Monatsplanung!$G38))</f>
        <v>0</v>
      </c>
      <c r="R38" s="740"/>
      <c r="S38" s="739"/>
      <c r="T38" s="168">
        <f>IF(S38&lt;&gt;"",S38,IF(ISERROR(Personalplanung!AE38/Monatsplanung!$E38*Monatsplanung!$G38),0,Personalplanung!AE38/Monatsplanung!$E38*Monatsplanung!$G38))</f>
        <v>0</v>
      </c>
      <c r="U38" s="740"/>
      <c r="V38" s="168">
        <f t="shared" si="2"/>
        <v>0</v>
      </c>
      <c r="W38" s="168">
        <f>IF(ISERROR(Personalplanung!P38/Monatsplanung!$E38*Monatsplanung!$G38),0,Personalplanung!P38/Monatsplanung!$E38*Monatsplanung!$G38)</f>
        <v>0</v>
      </c>
      <c r="X38" s="168">
        <f>IF(ISERROR(Personalplanung!Q38/Monatsplanung!$E38*Monatsplanung!$G38),0,Personalplanung!Q38/Monatsplanung!$E38*Monatsplanung!$G38)</f>
        <v>0</v>
      </c>
      <c r="Y38" s="168">
        <f>IF(ISERROR(Personalplanung!R38/T1286*Stundencontrolling!T38),0,Personalplanung!R38/T1286*Stundencontrolling!T38)</f>
        <v>0</v>
      </c>
      <c r="Z38" s="168">
        <f>IF(ISERROR(Personalplanung!S38/Monatsplanung!$E38*Monatsplanung!$G38),0,Personalplanung!S38/Monatsplanung!$E38*Monatsplanung!$G38)</f>
        <v>0</v>
      </c>
      <c r="AA38" s="80" t="e">
        <f t="shared" si="3"/>
        <v>#DIV/0!</v>
      </c>
      <c r="AB38" s="102">
        <f>Personalplanung!AG38</f>
        <v>0</v>
      </c>
      <c r="AC38" s="103" t="e">
        <f t="shared" si="4"/>
        <v>#DIV/0!</v>
      </c>
      <c r="AD38" s="103" t="e">
        <f t="shared" si="5"/>
        <v>#DIV/0!</v>
      </c>
      <c r="AE38" s="81">
        <f t="shared" si="6"/>
        <v>0</v>
      </c>
      <c r="AF38" s="539"/>
      <c r="AG38" s="104">
        <f>Personalplanung!AK38</f>
        <v>0</v>
      </c>
      <c r="AH38" s="7">
        <f t="shared" si="7"/>
        <v>0</v>
      </c>
      <c r="AI38" s="6">
        <f t="shared" si="8"/>
        <v>0</v>
      </c>
      <c r="AJ38" s="73">
        <f t="shared" si="9"/>
        <v>0</v>
      </c>
      <c r="AK38" s="539"/>
      <c r="AL38" s="748"/>
      <c r="AM38" s="748"/>
    </row>
    <row r="39" spans="2:39" x14ac:dyDescent="0.2">
      <c r="B39" s="101" t="str">
        <f>IF(Personalplanung!B39&lt;&gt;"",Personalplanung!B39,IF(Personalplanung!A39&lt;&gt;"",Personalplanung!A39,""))</f>
        <v/>
      </c>
      <c r="C39" s="168">
        <f>IF(ISERROR(Personalplanung!$F39/Monatsplanung!$E39*Monatsplanung!$G39),0,Personalplanung!$F39/Monatsplanung!$E39*Monatsplanung!$G39)</f>
        <v>0</v>
      </c>
      <c r="D39" s="168">
        <f>Personalplanung!G39</f>
        <v>0</v>
      </c>
      <c r="E39" s="168">
        <f>IF(ISERROR(Personalplanung!H39/Monatsplanung!$E39*Monatsplanung!$G39),0,Personalplanung!H39/Monatsplanung!$E39*Monatsplanung!$G39)</f>
        <v>0</v>
      </c>
      <c r="F39" s="168">
        <f t="shared" si="0"/>
        <v>0</v>
      </c>
      <c r="G39" s="168" t="e">
        <f>Personalplanung!K39</f>
        <v>#DIV/0!</v>
      </c>
      <c r="H39" s="168" t="e">
        <f t="shared" si="1"/>
        <v>#DIV/0!</v>
      </c>
      <c r="I39" s="168">
        <f>Personalplanung!V39</f>
        <v>0</v>
      </c>
      <c r="J39" s="739"/>
      <c r="K39" s="168">
        <f>IF(J39&lt;&gt;"",J39,IF(ISERROR(Personalplanung!AB39/Monatsplanung!$E39*Monatsplanung!$G39),0,Personalplanung!AB39/Monatsplanung!$E39*Monatsplanung!$G39))</f>
        <v>0</v>
      </c>
      <c r="L39" s="740"/>
      <c r="M39" s="739"/>
      <c r="N39" s="168">
        <f>IF(M39&lt;&gt;"",M39,IF(ISERROR(Personalplanung!AC39/Monatsplanung!$E39*Monatsplanung!$G39),0,Personalplanung!AC39/Monatsplanung!$E39*Monatsplanung!$G39))</f>
        <v>0</v>
      </c>
      <c r="O39" s="740"/>
      <c r="P39" s="739"/>
      <c r="Q39" s="168">
        <f>IF(P39&lt;&gt;"",P39,IF(ISERROR(Personalplanung!AD39/Monatsplanung!$E39*Monatsplanung!$G39),0,Personalplanung!AD39/Monatsplanung!$E39*Monatsplanung!$G39))</f>
        <v>0</v>
      </c>
      <c r="R39" s="740"/>
      <c r="S39" s="739"/>
      <c r="T39" s="168">
        <f>IF(S39&lt;&gt;"",S39,IF(ISERROR(Personalplanung!AE39/Monatsplanung!$E39*Monatsplanung!$G39),0,Personalplanung!AE39/Monatsplanung!$E39*Monatsplanung!$G39))</f>
        <v>0</v>
      </c>
      <c r="U39" s="740"/>
      <c r="V39" s="168">
        <f t="shared" si="2"/>
        <v>0</v>
      </c>
      <c r="W39" s="168">
        <f>IF(ISERROR(Personalplanung!P39/Monatsplanung!$E39*Monatsplanung!$G39),0,Personalplanung!P39/Monatsplanung!$E39*Monatsplanung!$G39)</f>
        <v>0</v>
      </c>
      <c r="X39" s="168">
        <f>IF(ISERROR(Personalplanung!Q39/Monatsplanung!$E39*Monatsplanung!$G39),0,Personalplanung!Q39/Monatsplanung!$E39*Monatsplanung!$G39)</f>
        <v>0</v>
      </c>
      <c r="Y39" s="168">
        <f>IF(ISERROR(Personalplanung!R39/T1287*Stundencontrolling!T39),0,Personalplanung!R39/T1287*Stundencontrolling!T39)</f>
        <v>0</v>
      </c>
      <c r="Z39" s="168">
        <f>IF(ISERROR(Personalplanung!S39/Monatsplanung!$E39*Monatsplanung!$G39),0,Personalplanung!S39/Monatsplanung!$E39*Monatsplanung!$G39)</f>
        <v>0</v>
      </c>
      <c r="AA39" s="80" t="e">
        <f t="shared" si="3"/>
        <v>#DIV/0!</v>
      </c>
      <c r="AB39" s="102">
        <f>Personalplanung!AG39</f>
        <v>0</v>
      </c>
      <c r="AC39" s="103" t="e">
        <f t="shared" si="4"/>
        <v>#DIV/0!</v>
      </c>
      <c r="AD39" s="103" t="e">
        <f t="shared" si="5"/>
        <v>#DIV/0!</v>
      </c>
      <c r="AE39" s="81">
        <f t="shared" si="6"/>
        <v>0</v>
      </c>
      <c r="AF39" s="539"/>
      <c r="AG39" s="104">
        <f>Personalplanung!AK39</f>
        <v>0</v>
      </c>
      <c r="AH39" s="7">
        <f t="shared" si="7"/>
        <v>0</v>
      </c>
      <c r="AI39" s="6">
        <f t="shared" si="8"/>
        <v>0</v>
      </c>
      <c r="AJ39" s="73">
        <f t="shared" si="9"/>
        <v>0</v>
      </c>
      <c r="AK39" s="539"/>
      <c r="AL39" s="748"/>
      <c r="AM39" s="748"/>
    </row>
    <row r="40" spans="2:39" x14ac:dyDescent="0.2">
      <c r="B40" s="101" t="str">
        <f>IF(Personalplanung!B40&lt;&gt;"",Personalplanung!B40,IF(Personalplanung!A40&lt;&gt;"",Personalplanung!A40,""))</f>
        <v/>
      </c>
      <c r="C40" s="168">
        <f>IF(ISERROR(Personalplanung!$F40/Monatsplanung!$E40*Monatsplanung!$G40),0,Personalplanung!$F40/Monatsplanung!$E40*Monatsplanung!$G40)</f>
        <v>0</v>
      </c>
      <c r="D40" s="168">
        <f>Personalplanung!G40</f>
        <v>0</v>
      </c>
      <c r="E40" s="168">
        <f>IF(ISERROR(Personalplanung!H40/Monatsplanung!$E40*Monatsplanung!$G40),0,Personalplanung!H40/Monatsplanung!$E40*Monatsplanung!$G40)</f>
        <v>0</v>
      </c>
      <c r="F40" s="168">
        <f t="shared" si="0"/>
        <v>0</v>
      </c>
      <c r="G40" s="168" t="e">
        <f>Personalplanung!K40</f>
        <v>#DIV/0!</v>
      </c>
      <c r="H40" s="168" t="e">
        <f t="shared" si="1"/>
        <v>#DIV/0!</v>
      </c>
      <c r="I40" s="168">
        <f>Personalplanung!V40</f>
        <v>0</v>
      </c>
      <c r="J40" s="739"/>
      <c r="K40" s="168">
        <f>IF(J40&lt;&gt;"",J40,IF(ISERROR(Personalplanung!AB40/Monatsplanung!$E40*Monatsplanung!$G40),0,Personalplanung!AB40/Monatsplanung!$E40*Monatsplanung!$G40))</f>
        <v>0</v>
      </c>
      <c r="L40" s="740"/>
      <c r="M40" s="739"/>
      <c r="N40" s="168">
        <f>IF(M40&lt;&gt;"",M40,IF(ISERROR(Personalplanung!AC40/Monatsplanung!$E40*Monatsplanung!$G40),0,Personalplanung!AC40/Monatsplanung!$E40*Monatsplanung!$G40))</f>
        <v>0</v>
      </c>
      <c r="O40" s="740"/>
      <c r="P40" s="739"/>
      <c r="Q40" s="168">
        <f>IF(P40&lt;&gt;"",P40,IF(ISERROR(Personalplanung!AD40/Monatsplanung!$E40*Monatsplanung!$G40),0,Personalplanung!AD40/Monatsplanung!$E40*Monatsplanung!$G40))</f>
        <v>0</v>
      </c>
      <c r="R40" s="740"/>
      <c r="S40" s="739"/>
      <c r="T40" s="168">
        <f>IF(S40&lt;&gt;"",S40,IF(ISERROR(Personalplanung!AE40/Monatsplanung!$E40*Monatsplanung!$G40),0,Personalplanung!AE40/Monatsplanung!$E40*Monatsplanung!$G40))</f>
        <v>0</v>
      </c>
      <c r="U40" s="740"/>
      <c r="V40" s="168">
        <f t="shared" si="2"/>
        <v>0</v>
      </c>
      <c r="W40" s="168">
        <f>IF(ISERROR(Personalplanung!P40/Monatsplanung!$E40*Monatsplanung!$G40),0,Personalplanung!P40/Monatsplanung!$E40*Monatsplanung!$G40)</f>
        <v>0</v>
      </c>
      <c r="X40" s="168">
        <f>IF(ISERROR(Personalplanung!Q40/Monatsplanung!$E40*Monatsplanung!$G40),0,Personalplanung!Q40/Monatsplanung!$E40*Monatsplanung!$G40)</f>
        <v>0</v>
      </c>
      <c r="Y40" s="168">
        <f>IF(ISERROR(Personalplanung!R40/T1288*Stundencontrolling!T40),0,Personalplanung!R40/T1288*Stundencontrolling!T40)</f>
        <v>0</v>
      </c>
      <c r="Z40" s="168">
        <f>IF(ISERROR(Personalplanung!S40/Monatsplanung!$E40*Monatsplanung!$G40),0,Personalplanung!S40/Monatsplanung!$E40*Monatsplanung!$G40)</f>
        <v>0</v>
      </c>
      <c r="AA40" s="80" t="e">
        <f t="shared" si="3"/>
        <v>#DIV/0!</v>
      </c>
      <c r="AB40" s="102">
        <f>Personalplanung!AG40</f>
        <v>0</v>
      </c>
      <c r="AC40" s="103" t="e">
        <f t="shared" si="4"/>
        <v>#DIV/0!</v>
      </c>
      <c r="AD40" s="103" t="e">
        <f t="shared" si="5"/>
        <v>#DIV/0!</v>
      </c>
      <c r="AE40" s="81">
        <f t="shared" si="6"/>
        <v>0</v>
      </c>
      <c r="AF40" s="539"/>
      <c r="AG40" s="104">
        <f>Personalplanung!AK40</f>
        <v>0</v>
      </c>
      <c r="AH40" s="7">
        <f t="shared" si="7"/>
        <v>0</v>
      </c>
      <c r="AI40" s="6">
        <f t="shared" si="8"/>
        <v>0</v>
      </c>
      <c r="AJ40" s="73">
        <f t="shared" si="9"/>
        <v>0</v>
      </c>
      <c r="AK40" s="539"/>
      <c r="AL40" s="748"/>
      <c r="AM40" s="748"/>
    </row>
    <row r="41" spans="2:39" x14ac:dyDescent="0.2">
      <c r="B41" s="101" t="str">
        <f>IF(Personalplanung!B41&lt;&gt;"",Personalplanung!B41,IF(Personalplanung!A41&lt;&gt;"",Personalplanung!A41,""))</f>
        <v/>
      </c>
      <c r="C41" s="168">
        <f>IF(ISERROR(Personalplanung!$F41/Monatsplanung!$E41*Monatsplanung!$G41),0,Personalplanung!$F41/Monatsplanung!$E41*Monatsplanung!$G41)</f>
        <v>0</v>
      </c>
      <c r="D41" s="168">
        <f>Personalplanung!G41</f>
        <v>0</v>
      </c>
      <c r="E41" s="168">
        <f>IF(ISERROR(Personalplanung!H41/Monatsplanung!$E41*Monatsplanung!$G41),0,Personalplanung!H41/Monatsplanung!$E41*Monatsplanung!$G41)</f>
        <v>0</v>
      </c>
      <c r="F41" s="168">
        <f t="shared" si="0"/>
        <v>0</v>
      </c>
      <c r="G41" s="168" t="e">
        <f>Personalplanung!K41</f>
        <v>#DIV/0!</v>
      </c>
      <c r="H41" s="168" t="e">
        <f t="shared" si="1"/>
        <v>#DIV/0!</v>
      </c>
      <c r="I41" s="168">
        <f>Personalplanung!V41</f>
        <v>0</v>
      </c>
      <c r="J41" s="739"/>
      <c r="K41" s="168">
        <f>IF(J41&lt;&gt;"",J41,IF(ISERROR(Personalplanung!AB41/Monatsplanung!$E41*Monatsplanung!$G41),0,Personalplanung!AB41/Monatsplanung!$E41*Monatsplanung!$G41))</f>
        <v>0</v>
      </c>
      <c r="L41" s="740"/>
      <c r="M41" s="739"/>
      <c r="N41" s="168">
        <f>IF(M41&lt;&gt;"",M41,IF(ISERROR(Personalplanung!AC41/Monatsplanung!$E41*Monatsplanung!$G41),0,Personalplanung!AC41/Monatsplanung!$E41*Monatsplanung!$G41))</f>
        <v>0</v>
      </c>
      <c r="O41" s="740"/>
      <c r="P41" s="739"/>
      <c r="Q41" s="168">
        <f>IF(P41&lt;&gt;"",P41,IF(ISERROR(Personalplanung!AD41/Monatsplanung!$E41*Monatsplanung!$G41),0,Personalplanung!AD41/Monatsplanung!$E41*Monatsplanung!$G41))</f>
        <v>0</v>
      </c>
      <c r="R41" s="740"/>
      <c r="S41" s="739"/>
      <c r="T41" s="168">
        <f>IF(S41&lt;&gt;"",S41,IF(ISERROR(Personalplanung!AE41/Monatsplanung!$E41*Monatsplanung!$G41),0,Personalplanung!AE41/Monatsplanung!$E41*Monatsplanung!$G41))</f>
        <v>0</v>
      </c>
      <c r="U41" s="740"/>
      <c r="V41" s="168">
        <f t="shared" si="2"/>
        <v>0</v>
      </c>
      <c r="W41" s="168">
        <f>IF(ISERROR(Personalplanung!P41/Monatsplanung!$E41*Monatsplanung!$G41),0,Personalplanung!P41/Monatsplanung!$E41*Monatsplanung!$G41)</f>
        <v>0</v>
      </c>
      <c r="X41" s="168">
        <f>IF(ISERROR(Personalplanung!Q41/Monatsplanung!$E41*Monatsplanung!$G41),0,Personalplanung!Q41/Monatsplanung!$E41*Monatsplanung!$G41)</f>
        <v>0</v>
      </c>
      <c r="Y41" s="168">
        <f>IF(ISERROR(Personalplanung!R41/T1289*Stundencontrolling!T41),0,Personalplanung!R41/T1289*Stundencontrolling!T41)</f>
        <v>0</v>
      </c>
      <c r="Z41" s="168">
        <f>IF(ISERROR(Personalplanung!S41/Monatsplanung!$E41*Monatsplanung!$G41),0,Personalplanung!S41/Monatsplanung!$E41*Monatsplanung!$G41)</f>
        <v>0</v>
      </c>
      <c r="AA41" s="80" t="e">
        <f t="shared" si="3"/>
        <v>#DIV/0!</v>
      </c>
      <c r="AB41" s="102">
        <f>Personalplanung!AG41</f>
        <v>0</v>
      </c>
      <c r="AC41" s="103" t="e">
        <f t="shared" si="4"/>
        <v>#DIV/0!</v>
      </c>
      <c r="AD41" s="103" t="e">
        <f t="shared" si="5"/>
        <v>#DIV/0!</v>
      </c>
      <c r="AE41" s="81">
        <f t="shared" si="6"/>
        <v>0</v>
      </c>
      <c r="AF41" s="539"/>
      <c r="AG41" s="104">
        <f>Personalplanung!AK41</f>
        <v>0</v>
      </c>
      <c r="AH41" s="7">
        <f t="shared" si="7"/>
        <v>0</v>
      </c>
      <c r="AI41" s="6">
        <f t="shared" si="8"/>
        <v>0</v>
      </c>
      <c r="AJ41" s="73">
        <f t="shared" si="9"/>
        <v>0</v>
      </c>
      <c r="AK41" s="539"/>
      <c r="AL41" s="748"/>
      <c r="AM41" s="748"/>
    </row>
    <row r="42" spans="2:39" x14ac:dyDescent="0.2">
      <c r="B42" s="101" t="str">
        <f>IF(Personalplanung!B42&lt;&gt;"",Personalplanung!B42,IF(Personalplanung!A42&lt;&gt;"",Personalplanung!A42,""))</f>
        <v/>
      </c>
      <c r="C42" s="168">
        <f>IF(ISERROR(Personalplanung!$F42/Monatsplanung!$E42*Monatsplanung!$G42),0,Personalplanung!$F42/Monatsplanung!$E42*Monatsplanung!$G42)</f>
        <v>0</v>
      </c>
      <c r="D42" s="168">
        <f>Personalplanung!G42</f>
        <v>0</v>
      </c>
      <c r="E42" s="168">
        <f>IF(ISERROR(Personalplanung!H42/Monatsplanung!$E42*Monatsplanung!$G42),0,Personalplanung!H42/Monatsplanung!$E42*Monatsplanung!$G42)</f>
        <v>0</v>
      </c>
      <c r="F42" s="168">
        <f t="shared" si="0"/>
        <v>0</v>
      </c>
      <c r="G42" s="168" t="e">
        <f>Personalplanung!K42</f>
        <v>#DIV/0!</v>
      </c>
      <c r="H42" s="168" t="e">
        <f t="shared" si="1"/>
        <v>#DIV/0!</v>
      </c>
      <c r="I42" s="168">
        <f>Personalplanung!V42</f>
        <v>0</v>
      </c>
      <c r="J42" s="739"/>
      <c r="K42" s="168">
        <f>IF(J42&lt;&gt;"",J42,IF(ISERROR(Personalplanung!AB42/Monatsplanung!$E42*Monatsplanung!$G42),0,Personalplanung!AB42/Monatsplanung!$E42*Monatsplanung!$G42))</f>
        <v>0</v>
      </c>
      <c r="L42" s="740"/>
      <c r="M42" s="739"/>
      <c r="N42" s="168">
        <f>IF(M42&lt;&gt;"",M42,IF(ISERROR(Personalplanung!AC42/Monatsplanung!$E42*Monatsplanung!$G42),0,Personalplanung!AC42/Monatsplanung!$E42*Monatsplanung!$G42))</f>
        <v>0</v>
      </c>
      <c r="O42" s="740"/>
      <c r="P42" s="739"/>
      <c r="Q42" s="168">
        <f>IF(P42&lt;&gt;"",P42,IF(ISERROR(Personalplanung!AD42/Monatsplanung!$E42*Monatsplanung!$G42),0,Personalplanung!AD42/Monatsplanung!$E42*Monatsplanung!$G42))</f>
        <v>0</v>
      </c>
      <c r="R42" s="740"/>
      <c r="S42" s="739"/>
      <c r="T42" s="168">
        <f>IF(S42&lt;&gt;"",S42,IF(ISERROR(Personalplanung!AE42/Monatsplanung!$E42*Monatsplanung!$G42),0,Personalplanung!AE42/Monatsplanung!$E42*Monatsplanung!$G42))</f>
        <v>0</v>
      </c>
      <c r="U42" s="740"/>
      <c r="V42" s="168">
        <f t="shared" si="2"/>
        <v>0</v>
      </c>
      <c r="W42" s="168">
        <f>IF(ISERROR(Personalplanung!P42/Monatsplanung!$E42*Monatsplanung!$G42),0,Personalplanung!P42/Monatsplanung!$E42*Monatsplanung!$G42)</f>
        <v>0</v>
      </c>
      <c r="X42" s="168">
        <f>IF(ISERROR(Personalplanung!Q42/Monatsplanung!$E42*Monatsplanung!$G42),0,Personalplanung!Q42/Monatsplanung!$E42*Monatsplanung!$G42)</f>
        <v>0</v>
      </c>
      <c r="Y42" s="168">
        <f>IF(ISERROR(Personalplanung!R42/T1290*Stundencontrolling!T42),0,Personalplanung!R42/T1290*Stundencontrolling!T42)</f>
        <v>0</v>
      </c>
      <c r="Z42" s="168">
        <f>IF(ISERROR(Personalplanung!S42/Monatsplanung!$E42*Monatsplanung!$G42),0,Personalplanung!S42/Monatsplanung!$E42*Monatsplanung!$G42)</f>
        <v>0</v>
      </c>
      <c r="AA42" s="80" t="e">
        <f t="shared" si="3"/>
        <v>#DIV/0!</v>
      </c>
      <c r="AB42" s="102">
        <f>Personalplanung!AG42</f>
        <v>0</v>
      </c>
      <c r="AC42" s="103" t="e">
        <f t="shared" si="4"/>
        <v>#DIV/0!</v>
      </c>
      <c r="AD42" s="103" t="e">
        <f t="shared" si="5"/>
        <v>#DIV/0!</v>
      </c>
      <c r="AE42" s="81">
        <f t="shared" si="6"/>
        <v>0</v>
      </c>
      <c r="AF42" s="539"/>
      <c r="AG42" s="104">
        <f>Personalplanung!AK42</f>
        <v>0</v>
      </c>
      <c r="AH42" s="7">
        <f t="shared" si="7"/>
        <v>0</v>
      </c>
      <c r="AI42" s="6">
        <f t="shared" si="8"/>
        <v>0</v>
      </c>
      <c r="AJ42" s="73">
        <f t="shared" si="9"/>
        <v>0</v>
      </c>
      <c r="AK42" s="539"/>
      <c r="AL42" s="748"/>
      <c r="AM42" s="748"/>
    </row>
    <row r="43" spans="2:39" x14ac:dyDescent="0.2">
      <c r="B43" s="101" t="str">
        <f>IF(Personalplanung!B43&lt;&gt;"",Personalplanung!B43,IF(Personalplanung!A43&lt;&gt;"",Personalplanung!A43,""))</f>
        <v/>
      </c>
      <c r="C43" s="168">
        <f>IF(ISERROR(Personalplanung!$F43/Monatsplanung!$E43*Monatsplanung!$G43),0,Personalplanung!$F43/Monatsplanung!$E43*Monatsplanung!$G43)</f>
        <v>0</v>
      </c>
      <c r="D43" s="168">
        <f>Personalplanung!G43</f>
        <v>0</v>
      </c>
      <c r="E43" s="168">
        <f>IF(ISERROR(Personalplanung!H43/Monatsplanung!$E43*Monatsplanung!$G43),0,Personalplanung!H43/Monatsplanung!$E43*Monatsplanung!$G43)</f>
        <v>0</v>
      </c>
      <c r="F43" s="168">
        <f t="shared" si="0"/>
        <v>0</v>
      </c>
      <c r="G43" s="168" t="e">
        <f>Personalplanung!K43</f>
        <v>#DIV/0!</v>
      </c>
      <c r="H43" s="168" t="e">
        <f t="shared" si="1"/>
        <v>#DIV/0!</v>
      </c>
      <c r="I43" s="168">
        <f>Personalplanung!V43</f>
        <v>0</v>
      </c>
      <c r="J43" s="739"/>
      <c r="K43" s="168">
        <f>IF(J43&lt;&gt;"",J43,IF(ISERROR(Personalplanung!AB43/Monatsplanung!$E43*Monatsplanung!$G43),0,Personalplanung!AB43/Monatsplanung!$E43*Monatsplanung!$G43))</f>
        <v>0</v>
      </c>
      <c r="L43" s="740"/>
      <c r="M43" s="739"/>
      <c r="N43" s="168">
        <f>IF(M43&lt;&gt;"",M43,IF(ISERROR(Personalplanung!AC43/Monatsplanung!$E43*Monatsplanung!$G43),0,Personalplanung!AC43/Monatsplanung!$E43*Monatsplanung!$G43))</f>
        <v>0</v>
      </c>
      <c r="O43" s="740"/>
      <c r="P43" s="739"/>
      <c r="Q43" s="168">
        <f>IF(P43&lt;&gt;"",P43,IF(ISERROR(Personalplanung!AD43/Monatsplanung!$E43*Monatsplanung!$G43),0,Personalplanung!AD43/Monatsplanung!$E43*Monatsplanung!$G43))</f>
        <v>0</v>
      </c>
      <c r="R43" s="740"/>
      <c r="S43" s="739"/>
      <c r="T43" s="168">
        <f>IF(S43&lt;&gt;"",S43,IF(ISERROR(Personalplanung!AE43/Monatsplanung!$E43*Monatsplanung!$G43),0,Personalplanung!AE43/Monatsplanung!$E43*Monatsplanung!$G43))</f>
        <v>0</v>
      </c>
      <c r="U43" s="740"/>
      <c r="V43" s="168">
        <f t="shared" si="2"/>
        <v>0</v>
      </c>
      <c r="W43" s="168">
        <f>IF(ISERROR(Personalplanung!P43/Monatsplanung!$E43*Monatsplanung!$G43),0,Personalplanung!P43/Monatsplanung!$E43*Monatsplanung!$G43)</f>
        <v>0</v>
      </c>
      <c r="X43" s="168">
        <f>IF(ISERROR(Personalplanung!Q43/Monatsplanung!$E43*Monatsplanung!$G43),0,Personalplanung!Q43/Monatsplanung!$E43*Monatsplanung!$G43)</f>
        <v>0</v>
      </c>
      <c r="Y43" s="168">
        <f>IF(ISERROR(Personalplanung!R43/T1291*Stundencontrolling!T43),0,Personalplanung!R43/T1291*Stundencontrolling!T43)</f>
        <v>0</v>
      </c>
      <c r="Z43" s="168">
        <f>IF(ISERROR(Personalplanung!S43/Monatsplanung!$E43*Monatsplanung!$G43),0,Personalplanung!S43/Monatsplanung!$E43*Monatsplanung!$G43)</f>
        <v>0</v>
      </c>
      <c r="AA43" s="80" t="e">
        <f t="shared" si="3"/>
        <v>#DIV/0!</v>
      </c>
      <c r="AB43" s="102">
        <f>Personalplanung!AG43</f>
        <v>0</v>
      </c>
      <c r="AC43" s="103" t="e">
        <f t="shared" si="4"/>
        <v>#DIV/0!</v>
      </c>
      <c r="AD43" s="103" t="e">
        <f t="shared" si="5"/>
        <v>#DIV/0!</v>
      </c>
      <c r="AE43" s="81">
        <f t="shared" si="6"/>
        <v>0</v>
      </c>
      <c r="AF43" s="539"/>
      <c r="AG43" s="104">
        <f>Personalplanung!AK43</f>
        <v>0</v>
      </c>
      <c r="AH43" s="7">
        <f t="shared" si="7"/>
        <v>0</v>
      </c>
      <c r="AI43" s="6">
        <f t="shared" si="8"/>
        <v>0</v>
      </c>
      <c r="AJ43" s="73">
        <f t="shared" si="9"/>
        <v>0</v>
      </c>
      <c r="AK43" s="539"/>
      <c r="AL43" s="748"/>
      <c r="AM43" s="748"/>
    </row>
    <row r="44" spans="2:39" x14ac:dyDescent="0.2">
      <c r="B44" s="101" t="str">
        <f>IF(Personalplanung!B44&lt;&gt;"",Personalplanung!B44,IF(Personalplanung!A44&lt;&gt;"",Personalplanung!A44,""))</f>
        <v/>
      </c>
      <c r="C44" s="168">
        <f>IF(ISERROR(Personalplanung!$F44/Monatsplanung!$E44*Monatsplanung!$G44),0,Personalplanung!$F44/Monatsplanung!$E44*Monatsplanung!$G44)</f>
        <v>0</v>
      </c>
      <c r="D44" s="168">
        <f>Personalplanung!G44</f>
        <v>0</v>
      </c>
      <c r="E44" s="168">
        <f>IF(ISERROR(Personalplanung!H44/Monatsplanung!$E44*Monatsplanung!$G44),0,Personalplanung!H44/Monatsplanung!$E44*Monatsplanung!$G44)</f>
        <v>0</v>
      </c>
      <c r="F44" s="168">
        <f t="shared" si="0"/>
        <v>0</v>
      </c>
      <c r="G44" s="168" t="e">
        <f>Personalplanung!K44</f>
        <v>#DIV/0!</v>
      </c>
      <c r="H44" s="168" t="e">
        <f t="shared" si="1"/>
        <v>#DIV/0!</v>
      </c>
      <c r="I44" s="168">
        <f>Personalplanung!V44</f>
        <v>0</v>
      </c>
      <c r="J44" s="739"/>
      <c r="K44" s="168">
        <f>IF(J44&lt;&gt;"",J44,IF(ISERROR(Personalplanung!AB44/Monatsplanung!$E44*Monatsplanung!$G44),0,Personalplanung!AB44/Monatsplanung!$E44*Monatsplanung!$G44))</f>
        <v>0</v>
      </c>
      <c r="L44" s="740"/>
      <c r="M44" s="739"/>
      <c r="N44" s="168">
        <f>IF(M44&lt;&gt;"",M44,IF(ISERROR(Personalplanung!AC44/Monatsplanung!$E44*Monatsplanung!$G44),0,Personalplanung!AC44/Monatsplanung!$E44*Monatsplanung!$G44))</f>
        <v>0</v>
      </c>
      <c r="O44" s="740"/>
      <c r="P44" s="739"/>
      <c r="Q44" s="168">
        <f>IF(P44&lt;&gt;"",P44,IF(ISERROR(Personalplanung!AD44/Monatsplanung!$E44*Monatsplanung!$G44),0,Personalplanung!AD44/Monatsplanung!$E44*Monatsplanung!$G44))</f>
        <v>0</v>
      </c>
      <c r="R44" s="740"/>
      <c r="S44" s="739"/>
      <c r="T44" s="168">
        <f>IF(S44&lt;&gt;"",S44,IF(ISERROR(Personalplanung!AE44/Monatsplanung!$E44*Monatsplanung!$G44),0,Personalplanung!AE44/Monatsplanung!$E44*Monatsplanung!$G44))</f>
        <v>0</v>
      </c>
      <c r="U44" s="740"/>
      <c r="V44" s="168">
        <f t="shared" si="2"/>
        <v>0</v>
      </c>
      <c r="W44" s="168">
        <f>IF(ISERROR(Personalplanung!P44/Monatsplanung!$E44*Monatsplanung!$G44),0,Personalplanung!P44/Monatsplanung!$E44*Monatsplanung!$G44)</f>
        <v>0</v>
      </c>
      <c r="X44" s="168">
        <f>IF(ISERROR(Personalplanung!Q44/Monatsplanung!$E44*Monatsplanung!$G44),0,Personalplanung!Q44/Monatsplanung!$E44*Monatsplanung!$G44)</f>
        <v>0</v>
      </c>
      <c r="Y44" s="168">
        <f>IF(ISERROR(Personalplanung!R44/T1292*Stundencontrolling!T44),0,Personalplanung!R44/T1292*Stundencontrolling!T44)</f>
        <v>0</v>
      </c>
      <c r="Z44" s="168">
        <f>IF(ISERROR(Personalplanung!S44/Monatsplanung!$E44*Monatsplanung!$G44),0,Personalplanung!S44/Monatsplanung!$E44*Monatsplanung!$G44)</f>
        <v>0</v>
      </c>
      <c r="AA44" s="80" t="e">
        <f t="shared" si="3"/>
        <v>#DIV/0!</v>
      </c>
      <c r="AB44" s="102">
        <f>Personalplanung!AG44</f>
        <v>0</v>
      </c>
      <c r="AC44" s="103" t="e">
        <f t="shared" si="4"/>
        <v>#DIV/0!</v>
      </c>
      <c r="AD44" s="103" t="e">
        <f t="shared" si="5"/>
        <v>#DIV/0!</v>
      </c>
      <c r="AE44" s="81">
        <f t="shared" si="6"/>
        <v>0</v>
      </c>
      <c r="AF44" s="539"/>
      <c r="AG44" s="104">
        <f>Personalplanung!AK44</f>
        <v>0</v>
      </c>
      <c r="AH44" s="7">
        <f t="shared" si="7"/>
        <v>0</v>
      </c>
      <c r="AI44" s="6">
        <f t="shared" si="8"/>
        <v>0</v>
      </c>
      <c r="AJ44" s="73">
        <f t="shared" si="9"/>
        <v>0</v>
      </c>
      <c r="AK44" s="539"/>
      <c r="AL44" s="748"/>
      <c r="AM44" s="748"/>
    </row>
    <row r="45" spans="2:39" x14ac:dyDescent="0.2">
      <c r="B45" s="101" t="str">
        <f>IF(Personalplanung!B45&lt;&gt;"",Personalplanung!B45,IF(Personalplanung!A45&lt;&gt;"",Personalplanung!A45,""))</f>
        <v/>
      </c>
      <c r="C45" s="168">
        <f>IF(ISERROR(Personalplanung!$F45/Monatsplanung!$E45*Monatsplanung!$G45),0,Personalplanung!$F45/Monatsplanung!$E45*Monatsplanung!$G45)</f>
        <v>0</v>
      </c>
      <c r="D45" s="168">
        <f>Personalplanung!G45</f>
        <v>0</v>
      </c>
      <c r="E45" s="168">
        <f>IF(ISERROR(Personalplanung!H45/Monatsplanung!$E45*Monatsplanung!$G45),0,Personalplanung!H45/Monatsplanung!$E45*Monatsplanung!$G45)</f>
        <v>0</v>
      </c>
      <c r="F45" s="168">
        <f t="shared" si="0"/>
        <v>0</v>
      </c>
      <c r="G45" s="168" t="e">
        <f>Personalplanung!K45</f>
        <v>#DIV/0!</v>
      </c>
      <c r="H45" s="168" t="e">
        <f t="shared" si="1"/>
        <v>#DIV/0!</v>
      </c>
      <c r="I45" s="168">
        <f>Personalplanung!V45</f>
        <v>0</v>
      </c>
      <c r="J45" s="739"/>
      <c r="K45" s="168">
        <f>IF(J45&lt;&gt;"",J45,IF(ISERROR(Personalplanung!AB45/Monatsplanung!$E45*Monatsplanung!$G45),0,Personalplanung!AB45/Monatsplanung!$E45*Monatsplanung!$G45))</f>
        <v>0</v>
      </c>
      <c r="L45" s="740"/>
      <c r="M45" s="739"/>
      <c r="N45" s="168">
        <f>IF(M45&lt;&gt;"",M45,IF(ISERROR(Personalplanung!AC45/Monatsplanung!$E45*Monatsplanung!$G45),0,Personalplanung!AC45/Monatsplanung!$E45*Monatsplanung!$G45))</f>
        <v>0</v>
      </c>
      <c r="O45" s="740"/>
      <c r="P45" s="739"/>
      <c r="Q45" s="168">
        <f>IF(P45&lt;&gt;"",P45,IF(ISERROR(Personalplanung!AD45/Monatsplanung!$E45*Monatsplanung!$G45),0,Personalplanung!AD45/Monatsplanung!$E45*Monatsplanung!$G45))</f>
        <v>0</v>
      </c>
      <c r="R45" s="740"/>
      <c r="S45" s="739"/>
      <c r="T45" s="168">
        <f>IF(S45&lt;&gt;"",S45,IF(ISERROR(Personalplanung!AE45/Monatsplanung!$E45*Monatsplanung!$G45),0,Personalplanung!AE45/Monatsplanung!$E45*Monatsplanung!$G45))</f>
        <v>0</v>
      </c>
      <c r="U45" s="740"/>
      <c r="V45" s="168">
        <f t="shared" si="2"/>
        <v>0</v>
      </c>
      <c r="W45" s="168">
        <f>IF(ISERROR(Personalplanung!P45/Monatsplanung!$E45*Monatsplanung!$G45),0,Personalplanung!P45/Monatsplanung!$E45*Monatsplanung!$G45)</f>
        <v>0</v>
      </c>
      <c r="X45" s="168">
        <f>IF(ISERROR(Personalplanung!Q45/Monatsplanung!$E45*Monatsplanung!$G45),0,Personalplanung!Q45/Monatsplanung!$E45*Monatsplanung!$G45)</f>
        <v>0</v>
      </c>
      <c r="Y45" s="168">
        <f>IF(ISERROR(Personalplanung!R45/T1293*Stundencontrolling!T45),0,Personalplanung!R45/T1293*Stundencontrolling!T45)</f>
        <v>0</v>
      </c>
      <c r="Z45" s="168">
        <f>IF(ISERROR(Personalplanung!S45/Monatsplanung!$E45*Monatsplanung!$G45),0,Personalplanung!S45/Monatsplanung!$E45*Monatsplanung!$G45)</f>
        <v>0</v>
      </c>
      <c r="AA45" s="80" t="e">
        <f t="shared" si="3"/>
        <v>#DIV/0!</v>
      </c>
      <c r="AB45" s="102">
        <f>Personalplanung!AG45</f>
        <v>0</v>
      </c>
      <c r="AC45" s="103" t="e">
        <f t="shared" si="4"/>
        <v>#DIV/0!</v>
      </c>
      <c r="AD45" s="103" t="e">
        <f t="shared" si="5"/>
        <v>#DIV/0!</v>
      </c>
      <c r="AE45" s="81">
        <f t="shared" si="6"/>
        <v>0</v>
      </c>
      <c r="AF45" s="539"/>
      <c r="AG45" s="104">
        <f>Personalplanung!AK45</f>
        <v>0</v>
      </c>
      <c r="AH45" s="7">
        <f t="shared" si="7"/>
        <v>0</v>
      </c>
      <c r="AI45" s="6">
        <f t="shared" si="8"/>
        <v>0</v>
      </c>
      <c r="AJ45" s="73">
        <f t="shared" si="9"/>
        <v>0</v>
      </c>
      <c r="AK45" s="539"/>
      <c r="AL45" s="748"/>
      <c r="AM45" s="748"/>
    </row>
    <row r="46" spans="2:39" x14ac:dyDescent="0.2">
      <c r="B46" s="101" t="str">
        <f>IF(Personalplanung!B46&lt;&gt;"",Personalplanung!B46,IF(Personalplanung!A46&lt;&gt;"",Personalplanung!A46,""))</f>
        <v/>
      </c>
      <c r="C46" s="168">
        <f>IF(ISERROR(Personalplanung!$F46/Monatsplanung!$E46*Monatsplanung!$G46),0,Personalplanung!$F46/Monatsplanung!$E46*Monatsplanung!$G46)</f>
        <v>0</v>
      </c>
      <c r="D46" s="168">
        <f>Personalplanung!G46</f>
        <v>0</v>
      </c>
      <c r="E46" s="168">
        <f>IF(ISERROR(Personalplanung!H46/Monatsplanung!$E46*Monatsplanung!$G46),0,Personalplanung!H46/Monatsplanung!$E46*Monatsplanung!$G46)</f>
        <v>0</v>
      </c>
      <c r="F46" s="168">
        <f t="shared" si="0"/>
        <v>0</v>
      </c>
      <c r="G46" s="168" t="e">
        <f>Personalplanung!K46</f>
        <v>#DIV/0!</v>
      </c>
      <c r="H46" s="168" t="e">
        <f t="shared" si="1"/>
        <v>#DIV/0!</v>
      </c>
      <c r="I46" s="168">
        <f>Personalplanung!V46</f>
        <v>0</v>
      </c>
      <c r="J46" s="739"/>
      <c r="K46" s="168">
        <f>IF(J46&lt;&gt;"",J46,IF(ISERROR(Personalplanung!AB46/Monatsplanung!$E46*Monatsplanung!$G46),0,Personalplanung!AB46/Monatsplanung!$E46*Monatsplanung!$G46))</f>
        <v>0</v>
      </c>
      <c r="L46" s="740"/>
      <c r="M46" s="739"/>
      <c r="N46" s="168">
        <f>IF(M46&lt;&gt;"",M46,IF(ISERROR(Personalplanung!AC46/Monatsplanung!$E46*Monatsplanung!$G46),0,Personalplanung!AC46/Monatsplanung!$E46*Monatsplanung!$G46))</f>
        <v>0</v>
      </c>
      <c r="O46" s="740"/>
      <c r="P46" s="739"/>
      <c r="Q46" s="168">
        <f>IF(P46&lt;&gt;"",P46,IF(ISERROR(Personalplanung!AD46/Monatsplanung!$E46*Monatsplanung!$G46),0,Personalplanung!AD46/Monatsplanung!$E46*Monatsplanung!$G46))</f>
        <v>0</v>
      </c>
      <c r="R46" s="740"/>
      <c r="S46" s="739"/>
      <c r="T46" s="168">
        <f>IF(S46&lt;&gt;"",S46,IF(ISERROR(Personalplanung!AE46/Monatsplanung!$E46*Monatsplanung!$G46),0,Personalplanung!AE46/Monatsplanung!$E46*Monatsplanung!$G46))</f>
        <v>0</v>
      </c>
      <c r="U46" s="740"/>
      <c r="V46" s="168">
        <f t="shared" si="2"/>
        <v>0</v>
      </c>
      <c r="W46" s="168">
        <f>IF(ISERROR(Personalplanung!P46/Monatsplanung!$E46*Monatsplanung!$G46),0,Personalplanung!P46/Monatsplanung!$E46*Monatsplanung!$G46)</f>
        <v>0</v>
      </c>
      <c r="X46" s="168">
        <f>IF(ISERROR(Personalplanung!Q46/Monatsplanung!$E46*Monatsplanung!$G46),0,Personalplanung!Q46/Monatsplanung!$E46*Monatsplanung!$G46)</f>
        <v>0</v>
      </c>
      <c r="Y46" s="168">
        <f>IF(ISERROR(Personalplanung!R46/T1294*Stundencontrolling!T46),0,Personalplanung!R46/T1294*Stundencontrolling!T46)</f>
        <v>0</v>
      </c>
      <c r="Z46" s="168">
        <f>IF(ISERROR(Personalplanung!S46/Monatsplanung!$E46*Monatsplanung!$G46),0,Personalplanung!S46/Monatsplanung!$E46*Monatsplanung!$G46)</f>
        <v>0</v>
      </c>
      <c r="AA46" s="80" t="e">
        <f t="shared" si="3"/>
        <v>#DIV/0!</v>
      </c>
      <c r="AB46" s="102">
        <f>Personalplanung!AG46</f>
        <v>0</v>
      </c>
      <c r="AC46" s="103" t="e">
        <f t="shared" si="4"/>
        <v>#DIV/0!</v>
      </c>
      <c r="AD46" s="103" t="e">
        <f t="shared" si="5"/>
        <v>#DIV/0!</v>
      </c>
      <c r="AE46" s="81">
        <f t="shared" si="6"/>
        <v>0</v>
      </c>
      <c r="AF46" s="539"/>
      <c r="AG46" s="104">
        <f>Personalplanung!AK46</f>
        <v>0</v>
      </c>
      <c r="AH46" s="7">
        <f t="shared" si="7"/>
        <v>0</v>
      </c>
      <c r="AI46" s="6">
        <f t="shared" si="8"/>
        <v>0</v>
      </c>
      <c r="AJ46" s="73">
        <f t="shared" si="9"/>
        <v>0</v>
      </c>
      <c r="AK46" s="539"/>
      <c r="AL46" s="748"/>
      <c r="AM46" s="748"/>
    </row>
    <row r="47" spans="2:39" x14ac:dyDescent="0.2">
      <c r="B47" s="101" t="str">
        <f>IF(Personalplanung!B47&lt;&gt;"",Personalplanung!B47,IF(Personalplanung!A47&lt;&gt;"",Personalplanung!A47,""))</f>
        <v/>
      </c>
      <c r="C47" s="168">
        <f>IF(ISERROR(Personalplanung!$F47/Monatsplanung!$E47*Monatsplanung!$G47),0,Personalplanung!$F47/Monatsplanung!$E47*Monatsplanung!$G47)</f>
        <v>0</v>
      </c>
      <c r="D47" s="168">
        <f>Personalplanung!G47</f>
        <v>0</v>
      </c>
      <c r="E47" s="168">
        <f>IF(ISERROR(Personalplanung!H47/Monatsplanung!$E47*Monatsplanung!$G47),0,Personalplanung!H47/Monatsplanung!$E47*Monatsplanung!$G47)</f>
        <v>0</v>
      </c>
      <c r="F47" s="168">
        <f t="shared" si="0"/>
        <v>0</v>
      </c>
      <c r="G47" s="168" t="e">
        <f>Personalplanung!K47</f>
        <v>#DIV/0!</v>
      </c>
      <c r="H47" s="168" t="e">
        <f t="shared" si="1"/>
        <v>#DIV/0!</v>
      </c>
      <c r="I47" s="168">
        <f>Personalplanung!V47</f>
        <v>0</v>
      </c>
      <c r="J47" s="739"/>
      <c r="K47" s="168">
        <f>IF(J47&lt;&gt;"",J47,IF(ISERROR(Personalplanung!AB47/Monatsplanung!$E47*Monatsplanung!$G47),0,Personalplanung!AB47/Monatsplanung!$E47*Monatsplanung!$G47))</f>
        <v>0</v>
      </c>
      <c r="L47" s="740"/>
      <c r="M47" s="739"/>
      <c r="N47" s="168">
        <f>IF(M47&lt;&gt;"",M47,IF(ISERROR(Personalplanung!AC47/Monatsplanung!$E47*Monatsplanung!$G47),0,Personalplanung!AC47/Monatsplanung!$E47*Monatsplanung!$G47))</f>
        <v>0</v>
      </c>
      <c r="O47" s="740"/>
      <c r="P47" s="739"/>
      <c r="Q47" s="168">
        <f>IF(P47&lt;&gt;"",P47,IF(ISERROR(Personalplanung!AD47/Monatsplanung!$E47*Monatsplanung!$G47),0,Personalplanung!AD47/Monatsplanung!$E47*Monatsplanung!$G47))</f>
        <v>0</v>
      </c>
      <c r="R47" s="740"/>
      <c r="S47" s="739"/>
      <c r="T47" s="168">
        <f>IF(S47&lt;&gt;"",S47,IF(ISERROR(Personalplanung!AE47/Monatsplanung!$E47*Monatsplanung!$G47),0,Personalplanung!AE47/Monatsplanung!$E47*Monatsplanung!$G47))</f>
        <v>0</v>
      </c>
      <c r="U47" s="740"/>
      <c r="V47" s="168">
        <f t="shared" si="2"/>
        <v>0</v>
      </c>
      <c r="W47" s="168">
        <f>IF(ISERROR(Personalplanung!P47/Monatsplanung!$E47*Monatsplanung!$G47),0,Personalplanung!P47/Monatsplanung!$E47*Monatsplanung!$G47)</f>
        <v>0</v>
      </c>
      <c r="X47" s="168">
        <f>IF(ISERROR(Personalplanung!Q47/Monatsplanung!$E47*Monatsplanung!$G47),0,Personalplanung!Q47/Monatsplanung!$E47*Monatsplanung!$G47)</f>
        <v>0</v>
      </c>
      <c r="Y47" s="168">
        <f>IF(ISERROR(Personalplanung!R47/T1295*Stundencontrolling!T47),0,Personalplanung!R47/T1295*Stundencontrolling!T47)</f>
        <v>0</v>
      </c>
      <c r="Z47" s="168">
        <f>IF(ISERROR(Personalplanung!S47/Monatsplanung!$E47*Monatsplanung!$G47),0,Personalplanung!S47/Monatsplanung!$E47*Monatsplanung!$G47)</f>
        <v>0</v>
      </c>
      <c r="AA47" s="80" t="e">
        <f t="shared" si="3"/>
        <v>#DIV/0!</v>
      </c>
      <c r="AB47" s="102">
        <f>Personalplanung!AG47</f>
        <v>0</v>
      </c>
      <c r="AC47" s="103" t="e">
        <f t="shared" si="4"/>
        <v>#DIV/0!</v>
      </c>
      <c r="AD47" s="103" t="e">
        <f t="shared" si="5"/>
        <v>#DIV/0!</v>
      </c>
      <c r="AE47" s="81">
        <f t="shared" si="6"/>
        <v>0</v>
      </c>
      <c r="AF47" s="539"/>
      <c r="AG47" s="104">
        <f>Personalplanung!AK47</f>
        <v>0</v>
      </c>
      <c r="AH47" s="7">
        <f t="shared" si="7"/>
        <v>0</v>
      </c>
      <c r="AI47" s="6">
        <f t="shared" si="8"/>
        <v>0</v>
      </c>
      <c r="AJ47" s="73">
        <f t="shared" si="9"/>
        <v>0</v>
      </c>
      <c r="AK47" s="539"/>
      <c r="AL47" s="748"/>
      <c r="AM47" s="748"/>
    </row>
    <row r="48" spans="2:39" x14ac:dyDescent="0.2">
      <c r="B48" s="101" t="str">
        <f>IF(Personalplanung!B48&lt;&gt;"",Personalplanung!B48,IF(Personalplanung!A48&lt;&gt;"",Personalplanung!A48,""))</f>
        <v/>
      </c>
      <c r="C48" s="168">
        <f>IF(ISERROR(Personalplanung!$F48/Monatsplanung!$E48*Monatsplanung!$G48),0,Personalplanung!$F48/Monatsplanung!$E48*Monatsplanung!$G48)</f>
        <v>0</v>
      </c>
      <c r="D48" s="168">
        <f>Personalplanung!G48</f>
        <v>0</v>
      </c>
      <c r="E48" s="168">
        <f>IF(ISERROR(Personalplanung!H48/Monatsplanung!$E48*Monatsplanung!$G48),0,Personalplanung!H48/Monatsplanung!$E48*Monatsplanung!$G48)</f>
        <v>0</v>
      </c>
      <c r="F48" s="168">
        <f t="shared" si="0"/>
        <v>0</v>
      </c>
      <c r="G48" s="168" t="e">
        <f>Personalplanung!K48</f>
        <v>#DIV/0!</v>
      </c>
      <c r="H48" s="168" t="e">
        <f t="shared" si="1"/>
        <v>#DIV/0!</v>
      </c>
      <c r="I48" s="168">
        <f>Personalplanung!V48</f>
        <v>0</v>
      </c>
      <c r="J48" s="739"/>
      <c r="K48" s="168">
        <f>IF(J48&lt;&gt;"",J48,IF(ISERROR(Personalplanung!AB48/Monatsplanung!$E48*Monatsplanung!$G48),0,Personalplanung!AB48/Monatsplanung!$E48*Monatsplanung!$G48))</f>
        <v>0</v>
      </c>
      <c r="L48" s="740"/>
      <c r="M48" s="739"/>
      <c r="N48" s="168">
        <f>IF(M48&lt;&gt;"",M48,IF(ISERROR(Personalplanung!AC48/Monatsplanung!$E48*Monatsplanung!$G48),0,Personalplanung!AC48/Monatsplanung!$E48*Monatsplanung!$G48))</f>
        <v>0</v>
      </c>
      <c r="O48" s="740"/>
      <c r="P48" s="739"/>
      <c r="Q48" s="168">
        <f>IF(P48&lt;&gt;"",P48,IF(ISERROR(Personalplanung!AD48/Monatsplanung!$E48*Monatsplanung!$G48),0,Personalplanung!AD48/Monatsplanung!$E48*Monatsplanung!$G48))</f>
        <v>0</v>
      </c>
      <c r="R48" s="740"/>
      <c r="S48" s="739"/>
      <c r="T48" s="168">
        <f>IF(S48&lt;&gt;"",S48,IF(ISERROR(Personalplanung!AE48/Monatsplanung!$E48*Monatsplanung!$G48),0,Personalplanung!AE48/Monatsplanung!$E48*Monatsplanung!$G48))</f>
        <v>0</v>
      </c>
      <c r="U48" s="740"/>
      <c r="V48" s="168">
        <f t="shared" si="2"/>
        <v>0</v>
      </c>
      <c r="W48" s="168">
        <f>IF(ISERROR(Personalplanung!P48/Monatsplanung!$E48*Monatsplanung!$G48),0,Personalplanung!P48/Monatsplanung!$E48*Monatsplanung!$G48)</f>
        <v>0</v>
      </c>
      <c r="X48" s="168">
        <f>IF(ISERROR(Personalplanung!Q48/Monatsplanung!$E48*Monatsplanung!$G48),0,Personalplanung!Q48/Monatsplanung!$E48*Monatsplanung!$G48)</f>
        <v>0</v>
      </c>
      <c r="Y48" s="168">
        <f>IF(ISERROR(Personalplanung!R48/T1296*Stundencontrolling!T48),0,Personalplanung!R48/T1296*Stundencontrolling!T48)</f>
        <v>0</v>
      </c>
      <c r="Z48" s="168">
        <f>IF(ISERROR(Personalplanung!S48/Monatsplanung!$E48*Monatsplanung!$G48),0,Personalplanung!S48/Monatsplanung!$E48*Monatsplanung!$G48)</f>
        <v>0</v>
      </c>
      <c r="AA48" s="80" t="e">
        <f t="shared" si="3"/>
        <v>#DIV/0!</v>
      </c>
      <c r="AB48" s="102">
        <f>Personalplanung!AG48</f>
        <v>0</v>
      </c>
      <c r="AC48" s="103" t="e">
        <f t="shared" si="4"/>
        <v>#DIV/0!</v>
      </c>
      <c r="AD48" s="103" t="e">
        <f t="shared" si="5"/>
        <v>#DIV/0!</v>
      </c>
      <c r="AE48" s="81">
        <f t="shared" si="6"/>
        <v>0</v>
      </c>
      <c r="AF48" s="539"/>
      <c r="AG48" s="104">
        <f>Personalplanung!AK48</f>
        <v>0</v>
      </c>
      <c r="AH48" s="7">
        <f t="shared" si="7"/>
        <v>0</v>
      </c>
      <c r="AI48" s="6">
        <f t="shared" si="8"/>
        <v>0</v>
      </c>
      <c r="AJ48" s="73">
        <f t="shared" si="9"/>
        <v>0</v>
      </c>
      <c r="AK48" s="539"/>
      <c r="AL48" s="748"/>
      <c r="AM48" s="748"/>
    </row>
    <row r="49" spans="2:39" x14ac:dyDescent="0.2">
      <c r="B49" s="101" t="str">
        <f>IF(Personalplanung!B49&lt;&gt;"",Personalplanung!B49,IF(Personalplanung!A49&lt;&gt;"",Personalplanung!A49,""))</f>
        <v/>
      </c>
      <c r="C49" s="168">
        <f>IF(ISERROR(Personalplanung!$F49/Monatsplanung!$E49*Monatsplanung!$G49),0,Personalplanung!$F49/Monatsplanung!$E49*Monatsplanung!$G49)</f>
        <v>0</v>
      </c>
      <c r="D49" s="168">
        <f>Personalplanung!G49</f>
        <v>0</v>
      </c>
      <c r="E49" s="168">
        <f>IF(ISERROR(Personalplanung!H49/Monatsplanung!$E49*Monatsplanung!$G49),0,Personalplanung!H49/Monatsplanung!$E49*Monatsplanung!$G49)</f>
        <v>0</v>
      </c>
      <c r="F49" s="168">
        <f t="shared" si="0"/>
        <v>0</v>
      </c>
      <c r="G49" s="168" t="e">
        <f>Personalplanung!K49</f>
        <v>#DIV/0!</v>
      </c>
      <c r="H49" s="168" t="e">
        <f t="shared" si="1"/>
        <v>#DIV/0!</v>
      </c>
      <c r="I49" s="168">
        <f>Personalplanung!V49</f>
        <v>0</v>
      </c>
      <c r="J49" s="739"/>
      <c r="K49" s="168">
        <f>IF(J49&lt;&gt;"",J49,IF(ISERROR(Personalplanung!AB49/Monatsplanung!$E49*Monatsplanung!$G49),0,Personalplanung!AB49/Monatsplanung!$E49*Monatsplanung!$G49))</f>
        <v>0</v>
      </c>
      <c r="L49" s="740"/>
      <c r="M49" s="739"/>
      <c r="N49" s="168">
        <f>IF(M49&lt;&gt;"",M49,IF(ISERROR(Personalplanung!AC49/Monatsplanung!$E49*Monatsplanung!$G49),0,Personalplanung!AC49/Monatsplanung!$E49*Monatsplanung!$G49))</f>
        <v>0</v>
      </c>
      <c r="O49" s="740"/>
      <c r="P49" s="739"/>
      <c r="Q49" s="168">
        <f>IF(P49&lt;&gt;"",P49,IF(ISERROR(Personalplanung!AD49/Monatsplanung!$E49*Monatsplanung!$G49),0,Personalplanung!AD49/Monatsplanung!$E49*Monatsplanung!$G49))</f>
        <v>0</v>
      </c>
      <c r="R49" s="740"/>
      <c r="S49" s="739"/>
      <c r="T49" s="168">
        <f>IF(S49&lt;&gt;"",S49,IF(ISERROR(Personalplanung!AE49/Monatsplanung!$E49*Monatsplanung!$G49),0,Personalplanung!AE49/Monatsplanung!$E49*Monatsplanung!$G49))</f>
        <v>0</v>
      </c>
      <c r="U49" s="740"/>
      <c r="V49" s="168">
        <f t="shared" si="2"/>
        <v>0</v>
      </c>
      <c r="W49" s="168">
        <f>IF(ISERROR(Personalplanung!P49/Monatsplanung!$E49*Monatsplanung!$G49),0,Personalplanung!P49/Monatsplanung!$E49*Monatsplanung!$G49)</f>
        <v>0</v>
      </c>
      <c r="X49" s="168">
        <f>IF(ISERROR(Personalplanung!Q49/Monatsplanung!$E49*Monatsplanung!$G49),0,Personalplanung!Q49/Monatsplanung!$E49*Monatsplanung!$G49)</f>
        <v>0</v>
      </c>
      <c r="Y49" s="168">
        <f>IF(ISERROR(Personalplanung!R49/T1297*Stundencontrolling!T49),0,Personalplanung!R49/T1297*Stundencontrolling!T49)</f>
        <v>0</v>
      </c>
      <c r="Z49" s="168">
        <f>IF(ISERROR(Personalplanung!S49/Monatsplanung!$E49*Monatsplanung!$G49),0,Personalplanung!S49/Monatsplanung!$E49*Monatsplanung!$G49)</f>
        <v>0</v>
      </c>
      <c r="AA49" s="80" t="e">
        <f t="shared" si="3"/>
        <v>#DIV/0!</v>
      </c>
      <c r="AB49" s="102">
        <f>Personalplanung!AG49</f>
        <v>0</v>
      </c>
      <c r="AC49" s="103" t="e">
        <f t="shared" si="4"/>
        <v>#DIV/0!</v>
      </c>
      <c r="AD49" s="103" t="e">
        <f t="shared" si="5"/>
        <v>#DIV/0!</v>
      </c>
      <c r="AE49" s="81">
        <f t="shared" si="6"/>
        <v>0</v>
      </c>
      <c r="AF49" s="539"/>
      <c r="AG49" s="104">
        <f>Personalplanung!AK49</f>
        <v>0</v>
      </c>
      <c r="AH49" s="7">
        <f t="shared" si="7"/>
        <v>0</v>
      </c>
      <c r="AI49" s="6">
        <f t="shared" si="8"/>
        <v>0</v>
      </c>
      <c r="AJ49" s="73">
        <f t="shared" si="9"/>
        <v>0</v>
      </c>
      <c r="AK49" s="539"/>
      <c r="AL49" s="748"/>
      <c r="AM49" s="748"/>
    </row>
    <row r="50" spans="2:39" x14ac:dyDescent="0.2">
      <c r="B50" s="101" t="str">
        <f>IF(Personalplanung!B50&lt;&gt;"",Personalplanung!B50,IF(Personalplanung!A50&lt;&gt;"",Personalplanung!A50,""))</f>
        <v/>
      </c>
      <c r="C50" s="168">
        <f>IF(ISERROR(Personalplanung!$F50/Monatsplanung!$E50*Monatsplanung!$G50),0,Personalplanung!$F50/Monatsplanung!$E50*Monatsplanung!$G50)</f>
        <v>0</v>
      </c>
      <c r="D50" s="168">
        <f>Personalplanung!G50</f>
        <v>0</v>
      </c>
      <c r="E50" s="168">
        <f>IF(ISERROR(Personalplanung!H50/Monatsplanung!$E50*Monatsplanung!$G50),0,Personalplanung!H50/Monatsplanung!$E50*Monatsplanung!$G50)</f>
        <v>0</v>
      </c>
      <c r="F50" s="168">
        <f t="shared" si="0"/>
        <v>0</v>
      </c>
      <c r="G50" s="168" t="e">
        <f>Personalplanung!K50</f>
        <v>#DIV/0!</v>
      </c>
      <c r="H50" s="168" t="e">
        <f t="shared" si="1"/>
        <v>#DIV/0!</v>
      </c>
      <c r="I50" s="168">
        <f>Personalplanung!V50</f>
        <v>0</v>
      </c>
      <c r="J50" s="739"/>
      <c r="K50" s="168">
        <f>IF(J50&lt;&gt;"",J50,IF(ISERROR(Personalplanung!AB50/Monatsplanung!$E50*Monatsplanung!$G50),0,Personalplanung!AB50/Monatsplanung!$E50*Monatsplanung!$G50))</f>
        <v>0</v>
      </c>
      <c r="L50" s="740"/>
      <c r="M50" s="739"/>
      <c r="N50" s="168">
        <f>IF(M50&lt;&gt;"",M50,IF(ISERROR(Personalplanung!AC50/Monatsplanung!$E50*Monatsplanung!$G50),0,Personalplanung!AC50/Monatsplanung!$E50*Monatsplanung!$G50))</f>
        <v>0</v>
      </c>
      <c r="O50" s="740"/>
      <c r="P50" s="739"/>
      <c r="Q50" s="168">
        <f>IF(P50&lt;&gt;"",P50,IF(ISERROR(Personalplanung!AD50/Monatsplanung!$E50*Monatsplanung!$G50),0,Personalplanung!AD50/Monatsplanung!$E50*Monatsplanung!$G50))</f>
        <v>0</v>
      </c>
      <c r="R50" s="740"/>
      <c r="S50" s="739"/>
      <c r="T50" s="168">
        <f>IF(S50&lt;&gt;"",S50,IF(ISERROR(Personalplanung!AE50/Monatsplanung!$E50*Monatsplanung!$G50),0,Personalplanung!AE50/Monatsplanung!$E50*Monatsplanung!$G50))</f>
        <v>0</v>
      </c>
      <c r="U50" s="740"/>
      <c r="V50" s="168">
        <f t="shared" si="2"/>
        <v>0</v>
      </c>
      <c r="W50" s="168">
        <f>IF(ISERROR(Personalplanung!P50/Monatsplanung!$E50*Monatsplanung!$G50),0,Personalplanung!P50/Monatsplanung!$E50*Monatsplanung!$G50)</f>
        <v>0</v>
      </c>
      <c r="X50" s="168">
        <f>IF(ISERROR(Personalplanung!Q50/Monatsplanung!$E50*Monatsplanung!$G50),0,Personalplanung!Q50/Monatsplanung!$E50*Monatsplanung!$G50)</f>
        <v>0</v>
      </c>
      <c r="Y50" s="168">
        <f>IF(ISERROR(Personalplanung!R50/T1298*Stundencontrolling!T50),0,Personalplanung!R50/T1298*Stundencontrolling!T50)</f>
        <v>0</v>
      </c>
      <c r="Z50" s="168">
        <f>IF(ISERROR(Personalplanung!S50/Monatsplanung!$E50*Monatsplanung!$G50),0,Personalplanung!S50/Monatsplanung!$E50*Monatsplanung!$G50)</f>
        <v>0</v>
      </c>
      <c r="AA50" s="80" t="e">
        <f t="shared" si="3"/>
        <v>#DIV/0!</v>
      </c>
      <c r="AB50" s="102">
        <f>Personalplanung!AG50</f>
        <v>0</v>
      </c>
      <c r="AC50" s="103" t="e">
        <f t="shared" si="4"/>
        <v>#DIV/0!</v>
      </c>
      <c r="AD50" s="103" t="e">
        <f t="shared" si="5"/>
        <v>#DIV/0!</v>
      </c>
      <c r="AE50" s="81">
        <f t="shared" si="6"/>
        <v>0</v>
      </c>
      <c r="AF50" s="539"/>
      <c r="AG50" s="104">
        <f>Personalplanung!AK50</f>
        <v>0</v>
      </c>
      <c r="AH50" s="7">
        <f t="shared" si="7"/>
        <v>0</v>
      </c>
      <c r="AI50" s="6">
        <f t="shared" si="8"/>
        <v>0</v>
      </c>
      <c r="AJ50" s="73">
        <f t="shared" si="9"/>
        <v>0</v>
      </c>
      <c r="AK50" s="539"/>
      <c r="AL50" s="748"/>
      <c r="AM50" s="748"/>
    </row>
    <row r="51" spans="2:39" x14ac:dyDescent="0.2">
      <c r="B51" s="101" t="str">
        <f>IF(Personalplanung!B51&lt;&gt;"",Personalplanung!B51,IF(Personalplanung!A51&lt;&gt;"",Personalplanung!A51,""))</f>
        <v/>
      </c>
      <c r="C51" s="168">
        <f>IF(ISERROR(Personalplanung!$F51/Monatsplanung!$E51*Monatsplanung!$G51),0,Personalplanung!$F51/Monatsplanung!$E51*Monatsplanung!$G51)</f>
        <v>0</v>
      </c>
      <c r="D51" s="168">
        <f>Personalplanung!G51</f>
        <v>0</v>
      </c>
      <c r="E51" s="168">
        <f>IF(ISERROR(Personalplanung!H51/Monatsplanung!$E51*Monatsplanung!$G51),0,Personalplanung!H51/Monatsplanung!$E51*Monatsplanung!$G51)</f>
        <v>0</v>
      </c>
      <c r="F51" s="168">
        <f t="shared" si="0"/>
        <v>0</v>
      </c>
      <c r="G51" s="168" t="e">
        <f>Personalplanung!K51</f>
        <v>#DIV/0!</v>
      </c>
      <c r="H51" s="168" t="e">
        <f t="shared" si="1"/>
        <v>#DIV/0!</v>
      </c>
      <c r="I51" s="168">
        <f>Personalplanung!V51</f>
        <v>0</v>
      </c>
      <c r="J51" s="739"/>
      <c r="K51" s="168">
        <f>IF(J51&lt;&gt;"",J51,IF(ISERROR(Personalplanung!AB51/Monatsplanung!$E51*Monatsplanung!$G51),0,Personalplanung!AB51/Monatsplanung!$E51*Monatsplanung!$G51))</f>
        <v>0</v>
      </c>
      <c r="L51" s="740"/>
      <c r="M51" s="739"/>
      <c r="N51" s="168">
        <f>IF(M51&lt;&gt;"",M51,IF(ISERROR(Personalplanung!AC51/Monatsplanung!$E51*Monatsplanung!$G51),0,Personalplanung!AC51/Monatsplanung!$E51*Monatsplanung!$G51))</f>
        <v>0</v>
      </c>
      <c r="O51" s="740"/>
      <c r="P51" s="739"/>
      <c r="Q51" s="168">
        <f>IF(P51&lt;&gt;"",P51,IF(ISERROR(Personalplanung!AD51/Monatsplanung!$E51*Monatsplanung!$G51),0,Personalplanung!AD51/Monatsplanung!$E51*Monatsplanung!$G51))</f>
        <v>0</v>
      </c>
      <c r="R51" s="740"/>
      <c r="S51" s="739"/>
      <c r="T51" s="168">
        <f>IF(S51&lt;&gt;"",S51,IF(ISERROR(Personalplanung!AE51/Monatsplanung!$E51*Monatsplanung!$G51),0,Personalplanung!AE51/Monatsplanung!$E51*Monatsplanung!$G51))</f>
        <v>0</v>
      </c>
      <c r="U51" s="740"/>
      <c r="V51" s="168">
        <f t="shared" si="2"/>
        <v>0</v>
      </c>
      <c r="W51" s="168">
        <f>IF(ISERROR(Personalplanung!P51/Monatsplanung!$E51*Monatsplanung!$G51),0,Personalplanung!P51/Monatsplanung!$E51*Monatsplanung!$G51)</f>
        <v>0</v>
      </c>
      <c r="X51" s="168">
        <f>IF(ISERROR(Personalplanung!Q51/Monatsplanung!$E51*Monatsplanung!$G51),0,Personalplanung!Q51/Monatsplanung!$E51*Monatsplanung!$G51)</f>
        <v>0</v>
      </c>
      <c r="Y51" s="168">
        <f>IF(ISERROR(Personalplanung!R51/T1299*Stundencontrolling!T51),0,Personalplanung!R51/T1299*Stundencontrolling!T51)</f>
        <v>0</v>
      </c>
      <c r="Z51" s="168">
        <f>IF(ISERROR(Personalplanung!S51/Monatsplanung!$E51*Monatsplanung!$G51),0,Personalplanung!S51/Monatsplanung!$E51*Monatsplanung!$G51)</f>
        <v>0</v>
      </c>
      <c r="AA51" s="80" t="e">
        <f t="shared" si="3"/>
        <v>#DIV/0!</v>
      </c>
      <c r="AB51" s="102">
        <f>Personalplanung!AG51</f>
        <v>0</v>
      </c>
      <c r="AC51" s="103" t="e">
        <f t="shared" si="4"/>
        <v>#DIV/0!</v>
      </c>
      <c r="AD51" s="103" t="e">
        <f t="shared" si="5"/>
        <v>#DIV/0!</v>
      </c>
      <c r="AE51" s="81">
        <f t="shared" si="6"/>
        <v>0</v>
      </c>
      <c r="AF51" s="539"/>
      <c r="AG51" s="104">
        <f>Personalplanung!AK51</f>
        <v>0</v>
      </c>
      <c r="AH51" s="7">
        <f t="shared" si="7"/>
        <v>0</v>
      </c>
      <c r="AI51" s="6">
        <f t="shared" si="8"/>
        <v>0</v>
      </c>
      <c r="AJ51" s="73">
        <f t="shared" si="9"/>
        <v>0</v>
      </c>
      <c r="AK51" s="539"/>
      <c r="AL51" s="748"/>
      <c r="AM51" s="748"/>
    </row>
    <row r="52" spans="2:39" x14ac:dyDescent="0.2">
      <c r="B52" s="101" t="str">
        <f>IF(Personalplanung!B52&lt;&gt;"",Personalplanung!B52,IF(Personalplanung!A52&lt;&gt;"",Personalplanung!A52,""))</f>
        <v/>
      </c>
      <c r="C52" s="168">
        <f>IF(ISERROR(Personalplanung!$F52/Monatsplanung!$E52*Monatsplanung!$G52),0,Personalplanung!$F52/Monatsplanung!$E52*Monatsplanung!$G52)</f>
        <v>0</v>
      </c>
      <c r="D52" s="168">
        <f>Personalplanung!G52</f>
        <v>0</v>
      </c>
      <c r="E52" s="168">
        <f>IF(ISERROR(Personalplanung!H52/Monatsplanung!$E52*Monatsplanung!$G52),0,Personalplanung!H52/Monatsplanung!$E52*Monatsplanung!$G52)</f>
        <v>0</v>
      </c>
      <c r="F52" s="168">
        <f t="shared" si="0"/>
        <v>0</v>
      </c>
      <c r="G52" s="168" t="e">
        <f>Personalplanung!K52</f>
        <v>#DIV/0!</v>
      </c>
      <c r="H52" s="168" t="e">
        <f t="shared" si="1"/>
        <v>#DIV/0!</v>
      </c>
      <c r="I52" s="168">
        <f>Personalplanung!V52</f>
        <v>0</v>
      </c>
      <c r="J52" s="739"/>
      <c r="K52" s="168">
        <f>IF(J52&lt;&gt;"",J52,IF(ISERROR(Personalplanung!AB52/Monatsplanung!$E52*Monatsplanung!$G52),0,Personalplanung!AB52/Monatsplanung!$E52*Monatsplanung!$G52))</f>
        <v>0</v>
      </c>
      <c r="L52" s="740"/>
      <c r="M52" s="739"/>
      <c r="N52" s="168">
        <f>IF(M52&lt;&gt;"",M52,IF(ISERROR(Personalplanung!AC52/Monatsplanung!$E52*Monatsplanung!$G52),0,Personalplanung!AC52/Monatsplanung!$E52*Monatsplanung!$G52))</f>
        <v>0</v>
      </c>
      <c r="O52" s="740"/>
      <c r="P52" s="739"/>
      <c r="Q52" s="168">
        <f>IF(P52&lt;&gt;"",P52,IF(ISERROR(Personalplanung!AD52/Monatsplanung!$E52*Monatsplanung!$G52),0,Personalplanung!AD52/Monatsplanung!$E52*Monatsplanung!$G52))</f>
        <v>0</v>
      </c>
      <c r="R52" s="740"/>
      <c r="S52" s="739"/>
      <c r="T52" s="168">
        <f>IF(S52&lt;&gt;"",S52,IF(ISERROR(Personalplanung!AE52/Monatsplanung!$E52*Monatsplanung!$G52),0,Personalplanung!AE52/Monatsplanung!$E52*Monatsplanung!$G52))</f>
        <v>0</v>
      </c>
      <c r="U52" s="740"/>
      <c r="V52" s="168">
        <f t="shared" si="2"/>
        <v>0</v>
      </c>
      <c r="W52" s="168">
        <f>IF(ISERROR(Personalplanung!P52/Monatsplanung!$E52*Monatsplanung!$G52),0,Personalplanung!P52/Monatsplanung!$E52*Monatsplanung!$G52)</f>
        <v>0</v>
      </c>
      <c r="X52" s="168">
        <f>IF(ISERROR(Personalplanung!Q52/Monatsplanung!$E52*Monatsplanung!$G52),0,Personalplanung!Q52/Monatsplanung!$E52*Monatsplanung!$G52)</f>
        <v>0</v>
      </c>
      <c r="Y52" s="168">
        <f>IF(ISERROR(Personalplanung!R52/T1300*Stundencontrolling!T52),0,Personalplanung!R52/T1300*Stundencontrolling!T52)</f>
        <v>0</v>
      </c>
      <c r="Z52" s="168">
        <f>IF(ISERROR(Personalplanung!S52/Monatsplanung!$E52*Monatsplanung!$G52),0,Personalplanung!S52/Monatsplanung!$E52*Monatsplanung!$G52)</f>
        <v>0</v>
      </c>
      <c r="AA52" s="80" t="e">
        <f t="shared" si="3"/>
        <v>#DIV/0!</v>
      </c>
      <c r="AB52" s="102">
        <f>Personalplanung!AG52</f>
        <v>0</v>
      </c>
      <c r="AC52" s="103" t="e">
        <f t="shared" si="4"/>
        <v>#DIV/0!</v>
      </c>
      <c r="AD52" s="103" t="e">
        <f t="shared" si="5"/>
        <v>#DIV/0!</v>
      </c>
      <c r="AE52" s="81">
        <f t="shared" si="6"/>
        <v>0</v>
      </c>
      <c r="AF52" s="539"/>
      <c r="AG52" s="104">
        <f>Personalplanung!AK52</f>
        <v>0</v>
      </c>
      <c r="AH52" s="7">
        <f t="shared" si="7"/>
        <v>0</v>
      </c>
      <c r="AI52" s="6">
        <f t="shared" si="8"/>
        <v>0</v>
      </c>
      <c r="AJ52" s="73">
        <f t="shared" si="9"/>
        <v>0</v>
      </c>
      <c r="AK52" s="539"/>
      <c r="AL52" s="748"/>
      <c r="AM52" s="748"/>
    </row>
    <row r="53" spans="2:39" x14ac:dyDescent="0.2">
      <c r="B53" s="101" t="str">
        <f>IF(Personalplanung!B53&lt;&gt;"",Personalplanung!B53,IF(Personalplanung!A53&lt;&gt;"",Personalplanung!A53,""))</f>
        <v/>
      </c>
      <c r="C53" s="168">
        <f>IF(ISERROR(Personalplanung!$F53/Monatsplanung!$E53*Monatsplanung!$G53),0,Personalplanung!$F53/Monatsplanung!$E53*Monatsplanung!$G53)</f>
        <v>0</v>
      </c>
      <c r="D53" s="168">
        <f>Personalplanung!G53</f>
        <v>0</v>
      </c>
      <c r="E53" s="168">
        <f>IF(ISERROR(Personalplanung!H53/Monatsplanung!$E53*Monatsplanung!$G53),0,Personalplanung!H53/Monatsplanung!$E53*Monatsplanung!$G53)</f>
        <v>0</v>
      </c>
      <c r="F53" s="168">
        <f t="shared" si="0"/>
        <v>0</v>
      </c>
      <c r="G53" s="168" t="e">
        <f>Personalplanung!K53</f>
        <v>#DIV/0!</v>
      </c>
      <c r="H53" s="168" t="e">
        <f t="shared" si="1"/>
        <v>#DIV/0!</v>
      </c>
      <c r="I53" s="168">
        <f>Personalplanung!V53</f>
        <v>0</v>
      </c>
      <c r="J53" s="739"/>
      <c r="K53" s="168">
        <f>IF(J53&lt;&gt;"",J53,IF(ISERROR(Personalplanung!AB53/Monatsplanung!$E53*Monatsplanung!$G53),0,Personalplanung!AB53/Monatsplanung!$E53*Monatsplanung!$G53))</f>
        <v>0</v>
      </c>
      <c r="L53" s="740"/>
      <c r="M53" s="739"/>
      <c r="N53" s="168">
        <f>IF(M53&lt;&gt;"",M53,IF(ISERROR(Personalplanung!AC53/Monatsplanung!$E53*Monatsplanung!$G53),0,Personalplanung!AC53/Monatsplanung!$E53*Monatsplanung!$G53))</f>
        <v>0</v>
      </c>
      <c r="O53" s="740"/>
      <c r="P53" s="739"/>
      <c r="Q53" s="168">
        <f>IF(P53&lt;&gt;"",P53,IF(ISERROR(Personalplanung!AD53/Monatsplanung!$E53*Monatsplanung!$G53),0,Personalplanung!AD53/Monatsplanung!$E53*Monatsplanung!$G53))</f>
        <v>0</v>
      </c>
      <c r="R53" s="740"/>
      <c r="S53" s="739"/>
      <c r="T53" s="168">
        <f>IF(S53&lt;&gt;"",S53,IF(ISERROR(Personalplanung!AE53/Monatsplanung!$E53*Monatsplanung!$G53),0,Personalplanung!AE53/Monatsplanung!$E53*Monatsplanung!$G53))</f>
        <v>0</v>
      </c>
      <c r="U53" s="740"/>
      <c r="V53" s="168">
        <f t="shared" si="2"/>
        <v>0</v>
      </c>
      <c r="W53" s="168">
        <f>IF(ISERROR(Personalplanung!P53/Monatsplanung!$E53*Monatsplanung!$G53),0,Personalplanung!P53/Monatsplanung!$E53*Monatsplanung!$G53)</f>
        <v>0</v>
      </c>
      <c r="X53" s="168">
        <f>IF(ISERROR(Personalplanung!Q53/Monatsplanung!$E53*Monatsplanung!$G53),0,Personalplanung!Q53/Monatsplanung!$E53*Monatsplanung!$G53)</f>
        <v>0</v>
      </c>
      <c r="Y53" s="168">
        <f>IF(ISERROR(Personalplanung!R53/T1301*Stundencontrolling!T53),0,Personalplanung!R53/T1301*Stundencontrolling!T53)</f>
        <v>0</v>
      </c>
      <c r="Z53" s="168">
        <f>IF(ISERROR(Personalplanung!S53/Monatsplanung!$E53*Monatsplanung!$G53),0,Personalplanung!S53/Monatsplanung!$E53*Monatsplanung!$G53)</f>
        <v>0</v>
      </c>
      <c r="AA53" s="80" t="e">
        <f t="shared" si="3"/>
        <v>#DIV/0!</v>
      </c>
      <c r="AB53" s="102">
        <f>Personalplanung!AG53</f>
        <v>0</v>
      </c>
      <c r="AC53" s="103" t="e">
        <f t="shared" si="4"/>
        <v>#DIV/0!</v>
      </c>
      <c r="AD53" s="103" t="e">
        <f t="shared" si="5"/>
        <v>#DIV/0!</v>
      </c>
      <c r="AE53" s="81">
        <f t="shared" si="6"/>
        <v>0</v>
      </c>
      <c r="AF53" s="539"/>
      <c r="AG53" s="104">
        <f>Personalplanung!AK53</f>
        <v>0</v>
      </c>
      <c r="AH53" s="7">
        <f t="shared" si="7"/>
        <v>0</v>
      </c>
      <c r="AI53" s="6">
        <f t="shared" si="8"/>
        <v>0</v>
      </c>
      <c r="AJ53" s="73">
        <f t="shared" si="9"/>
        <v>0</v>
      </c>
      <c r="AK53" s="539"/>
      <c r="AL53" s="748"/>
      <c r="AM53" s="748"/>
    </row>
    <row r="54" spans="2:39" x14ac:dyDescent="0.2">
      <c r="B54" s="101" t="str">
        <f>IF(Personalplanung!B54&lt;&gt;"",Personalplanung!B54,IF(Personalplanung!A54&lt;&gt;"",Personalplanung!A54,""))</f>
        <v/>
      </c>
      <c r="C54" s="168">
        <f>IF(ISERROR(Personalplanung!$F54/Monatsplanung!$E54*Monatsplanung!$G54),0,Personalplanung!$F54/Monatsplanung!$E54*Monatsplanung!$G54)</f>
        <v>0</v>
      </c>
      <c r="D54" s="168">
        <f>Personalplanung!G54</f>
        <v>0</v>
      </c>
      <c r="E54" s="168">
        <f>IF(ISERROR(Personalplanung!H54/Monatsplanung!$E54*Monatsplanung!$G54),0,Personalplanung!H54/Monatsplanung!$E54*Monatsplanung!$G54)</f>
        <v>0</v>
      </c>
      <c r="F54" s="168">
        <f t="shared" si="0"/>
        <v>0</v>
      </c>
      <c r="G54" s="168" t="e">
        <f>Personalplanung!K54</f>
        <v>#DIV/0!</v>
      </c>
      <c r="H54" s="168" t="e">
        <f t="shared" si="1"/>
        <v>#DIV/0!</v>
      </c>
      <c r="I54" s="168">
        <f>Personalplanung!V54</f>
        <v>0</v>
      </c>
      <c r="J54" s="739"/>
      <c r="K54" s="168">
        <f>IF(J54&lt;&gt;"",J54,IF(ISERROR(Personalplanung!AB54/Monatsplanung!$E54*Monatsplanung!$G54),0,Personalplanung!AB54/Monatsplanung!$E54*Monatsplanung!$G54))</f>
        <v>0</v>
      </c>
      <c r="L54" s="740"/>
      <c r="M54" s="739"/>
      <c r="N54" s="168">
        <f>IF(M54&lt;&gt;"",M54,IF(ISERROR(Personalplanung!AC54/Monatsplanung!$E54*Monatsplanung!$G54),0,Personalplanung!AC54/Monatsplanung!$E54*Monatsplanung!$G54))</f>
        <v>0</v>
      </c>
      <c r="O54" s="740"/>
      <c r="P54" s="739"/>
      <c r="Q54" s="168">
        <f>IF(P54&lt;&gt;"",P54,IF(ISERROR(Personalplanung!AD54/Monatsplanung!$E54*Monatsplanung!$G54),0,Personalplanung!AD54/Monatsplanung!$E54*Monatsplanung!$G54))</f>
        <v>0</v>
      </c>
      <c r="R54" s="740"/>
      <c r="S54" s="739"/>
      <c r="T54" s="168">
        <f>IF(S54&lt;&gt;"",S54,IF(ISERROR(Personalplanung!AE54/Monatsplanung!$E54*Monatsplanung!$G54),0,Personalplanung!AE54/Monatsplanung!$E54*Monatsplanung!$G54))</f>
        <v>0</v>
      </c>
      <c r="U54" s="740"/>
      <c r="V54" s="168">
        <f t="shared" si="2"/>
        <v>0</v>
      </c>
      <c r="W54" s="168">
        <f>IF(ISERROR(Personalplanung!P54/Monatsplanung!$E54*Monatsplanung!$G54),0,Personalplanung!P54/Monatsplanung!$E54*Monatsplanung!$G54)</f>
        <v>0</v>
      </c>
      <c r="X54" s="168">
        <f>IF(ISERROR(Personalplanung!Q54/Monatsplanung!$E54*Monatsplanung!$G54),0,Personalplanung!Q54/Monatsplanung!$E54*Monatsplanung!$G54)</f>
        <v>0</v>
      </c>
      <c r="Y54" s="168">
        <f>IF(ISERROR(Personalplanung!R54/T1302*Stundencontrolling!T54),0,Personalplanung!R54/T1302*Stundencontrolling!T54)</f>
        <v>0</v>
      </c>
      <c r="Z54" s="168">
        <f>IF(ISERROR(Personalplanung!S54/Monatsplanung!$E54*Monatsplanung!$G54),0,Personalplanung!S54/Monatsplanung!$E54*Monatsplanung!$G54)</f>
        <v>0</v>
      </c>
      <c r="AA54" s="80" t="e">
        <f t="shared" si="3"/>
        <v>#DIV/0!</v>
      </c>
      <c r="AB54" s="102">
        <f>Personalplanung!AG54</f>
        <v>0</v>
      </c>
      <c r="AC54" s="103" t="e">
        <f t="shared" si="4"/>
        <v>#DIV/0!</v>
      </c>
      <c r="AD54" s="103" t="e">
        <f t="shared" si="5"/>
        <v>#DIV/0!</v>
      </c>
      <c r="AE54" s="81">
        <f t="shared" si="6"/>
        <v>0</v>
      </c>
      <c r="AF54" s="539"/>
      <c r="AG54" s="104">
        <f>Personalplanung!AK54</f>
        <v>0</v>
      </c>
      <c r="AH54" s="7">
        <f t="shared" si="7"/>
        <v>0</v>
      </c>
      <c r="AI54" s="6">
        <f t="shared" si="8"/>
        <v>0</v>
      </c>
      <c r="AJ54" s="73">
        <f t="shared" si="9"/>
        <v>0</v>
      </c>
      <c r="AK54" s="539"/>
      <c r="AL54" s="748"/>
      <c r="AM54" s="748"/>
    </row>
    <row r="55" spans="2:39" x14ac:dyDescent="0.2">
      <c r="B55" s="101" t="str">
        <f>IF(Personalplanung!B55&lt;&gt;"",Personalplanung!B55,IF(Personalplanung!A55&lt;&gt;"",Personalplanung!A55,""))</f>
        <v/>
      </c>
      <c r="C55" s="168">
        <f>IF(ISERROR(Personalplanung!$F55/Monatsplanung!$E55*Monatsplanung!$G55),0,Personalplanung!$F55/Monatsplanung!$E55*Monatsplanung!$G55)</f>
        <v>0</v>
      </c>
      <c r="D55" s="168">
        <f>Personalplanung!G55</f>
        <v>0</v>
      </c>
      <c r="E55" s="168">
        <f>IF(ISERROR(Personalplanung!H55/Monatsplanung!$E55*Monatsplanung!$G55),0,Personalplanung!H55/Monatsplanung!$E55*Monatsplanung!$G55)</f>
        <v>0</v>
      </c>
      <c r="F55" s="168">
        <f t="shared" si="0"/>
        <v>0</v>
      </c>
      <c r="G55" s="168" t="e">
        <f>Personalplanung!K55</f>
        <v>#DIV/0!</v>
      </c>
      <c r="H55" s="168" t="e">
        <f t="shared" si="1"/>
        <v>#DIV/0!</v>
      </c>
      <c r="I55" s="168">
        <f>Personalplanung!V55</f>
        <v>0</v>
      </c>
      <c r="J55" s="739"/>
      <c r="K55" s="168">
        <f>IF(J55&lt;&gt;"",J55,IF(ISERROR(Personalplanung!AB55/Monatsplanung!$E55*Monatsplanung!$G55),0,Personalplanung!AB55/Monatsplanung!$E55*Monatsplanung!$G55))</f>
        <v>0</v>
      </c>
      <c r="L55" s="740"/>
      <c r="M55" s="739"/>
      <c r="N55" s="168">
        <f>IF(M55&lt;&gt;"",M55,IF(ISERROR(Personalplanung!AC55/Monatsplanung!$E55*Monatsplanung!$G55),0,Personalplanung!AC55/Monatsplanung!$E55*Monatsplanung!$G55))</f>
        <v>0</v>
      </c>
      <c r="O55" s="740"/>
      <c r="P55" s="739"/>
      <c r="Q55" s="168">
        <f>IF(P55&lt;&gt;"",P55,IF(ISERROR(Personalplanung!AD55/Monatsplanung!$E55*Monatsplanung!$G55),0,Personalplanung!AD55/Monatsplanung!$E55*Monatsplanung!$G55))</f>
        <v>0</v>
      </c>
      <c r="R55" s="740"/>
      <c r="S55" s="739"/>
      <c r="T55" s="168">
        <f>IF(S55&lt;&gt;"",S55,IF(ISERROR(Personalplanung!AE55/Monatsplanung!$E55*Monatsplanung!$G55),0,Personalplanung!AE55/Monatsplanung!$E55*Monatsplanung!$G55))</f>
        <v>0</v>
      </c>
      <c r="U55" s="740"/>
      <c r="V55" s="168">
        <f t="shared" si="2"/>
        <v>0</v>
      </c>
      <c r="W55" s="168">
        <f>IF(ISERROR(Personalplanung!P55/Monatsplanung!$E55*Monatsplanung!$G55),0,Personalplanung!P55/Monatsplanung!$E55*Monatsplanung!$G55)</f>
        <v>0</v>
      </c>
      <c r="X55" s="168">
        <f>IF(ISERROR(Personalplanung!Q55/Monatsplanung!$E55*Monatsplanung!$G55),0,Personalplanung!Q55/Monatsplanung!$E55*Monatsplanung!$G55)</f>
        <v>0</v>
      </c>
      <c r="Y55" s="168">
        <f>IF(ISERROR(Personalplanung!R55/T1303*Stundencontrolling!T55),0,Personalplanung!R55/T1303*Stundencontrolling!T55)</f>
        <v>0</v>
      </c>
      <c r="Z55" s="168">
        <f>IF(ISERROR(Personalplanung!S55/Monatsplanung!$E55*Monatsplanung!$G55),0,Personalplanung!S55/Monatsplanung!$E55*Monatsplanung!$G55)</f>
        <v>0</v>
      </c>
      <c r="AA55" s="80" t="e">
        <f t="shared" si="3"/>
        <v>#DIV/0!</v>
      </c>
      <c r="AB55" s="102">
        <f>Personalplanung!AG55</f>
        <v>0</v>
      </c>
      <c r="AC55" s="103" t="e">
        <f t="shared" si="4"/>
        <v>#DIV/0!</v>
      </c>
      <c r="AD55" s="103" t="e">
        <f t="shared" si="5"/>
        <v>#DIV/0!</v>
      </c>
      <c r="AE55" s="81">
        <f t="shared" si="6"/>
        <v>0</v>
      </c>
      <c r="AF55" s="539"/>
      <c r="AG55" s="104">
        <f>Personalplanung!AK55</f>
        <v>0</v>
      </c>
      <c r="AH55" s="7">
        <f t="shared" si="7"/>
        <v>0</v>
      </c>
      <c r="AI55" s="6">
        <f t="shared" si="8"/>
        <v>0</v>
      </c>
      <c r="AJ55" s="73">
        <f t="shared" si="9"/>
        <v>0</v>
      </c>
      <c r="AK55" s="539"/>
      <c r="AL55" s="748"/>
      <c r="AM55" s="748"/>
    </row>
    <row r="56" spans="2:39" x14ac:dyDescent="0.2">
      <c r="B56" s="101" t="str">
        <f>IF(Personalplanung!B56&lt;&gt;"",Personalplanung!B56,IF(Personalplanung!A56&lt;&gt;"",Personalplanung!A56,""))</f>
        <v/>
      </c>
      <c r="C56" s="168">
        <f>IF(ISERROR(Personalplanung!$F56/Monatsplanung!$E56*Monatsplanung!$G56),0,Personalplanung!$F56/Monatsplanung!$E56*Monatsplanung!$G56)</f>
        <v>0</v>
      </c>
      <c r="D56" s="168">
        <f>Personalplanung!G56</f>
        <v>0</v>
      </c>
      <c r="E56" s="168">
        <f>IF(ISERROR(Personalplanung!H56/Monatsplanung!$E56*Monatsplanung!$G56),0,Personalplanung!H56/Monatsplanung!$E56*Monatsplanung!$G56)</f>
        <v>0</v>
      </c>
      <c r="F56" s="168">
        <f t="shared" si="0"/>
        <v>0</v>
      </c>
      <c r="G56" s="168" t="e">
        <f>Personalplanung!K56</f>
        <v>#DIV/0!</v>
      </c>
      <c r="H56" s="168" t="e">
        <f t="shared" si="1"/>
        <v>#DIV/0!</v>
      </c>
      <c r="I56" s="168">
        <f>Personalplanung!V56</f>
        <v>0</v>
      </c>
      <c r="J56" s="739"/>
      <c r="K56" s="168">
        <f>IF(J56&lt;&gt;"",J56,IF(ISERROR(Personalplanung!AB56/Monatsplanung!$E56*Monatsplanung!$G56),0,Personalplanung!AB56/Monatsplanung!$E56*Monatsplanung!$G56))</f>
        <v>0</v>
      </c>
      <c r="L56" s="740"/>
      <c r="M56" s="739"/>
      <c r="N56" s="168">
        <f>IF(M56&lt;&gt;"",M56,IF(ISERROR(Personalplanung!AC56/Monatsplanung!$E56*Monatsplanung!$G56),0,Personalplanung!AC56/Monatsplanung!$E56*Monatsplanung!$G56))</f>
        <v>0</v>
      </c>
      <c r="O56" s="740"/>
      <c r="P56" s="739"/>
      <c r="Q56" s="168">
        <f>IF(P56&lt;&gt;"",P56,IF(ISERROR(Personalplanung!AD56/Monatsplanung!$E56*Monatsplanung!$G56),0,Personalplanung!AD56/Monatsplanung!$E56*Monatsplanung!$G56))</f>
        <v>0</v>
      </c>
      <c r="R56" s="740"/>
      <c r="S56" s="739"/>
      <c r="T56" s="168">
        <f>IF(S56&lt;&gt;"",S56,IF(ISERROR(Personalplanung!AE56/Monatsplanung!$E56*Monatsplanung!$G56),0,Personalplanung!AE56/Monatsplanung!$E56*Monatsplanung!$G56))</f>
        <v>0</v>
      </c>
      <c r="U56" s="740"/>
      <c r="V56" s="168">
        <f t="shared" si="2"/>
        <v>0</v>
      </c>
      <c r="W56" s="168">
        <f>IF(ISERROR(Personalplanung!P56/Monatsplanung!$E56*Monatsplanung!$G56),0,Personalplanung!P56/Monatsplanung!$E56*Monatsplanung!$G56)</f>
        <v>0</v>
      </c>
      <c r="X56" s="168">
        <f>IF(ISERROR(Personalplanung!Q56/Monatsplanung!$E56*Monatsplanung!$G56),0,Personalplanung!Q56/Monatsplanung!$E56*Monatsplanung!$G56)</f>
        <v>0</v>
      </c>
      <c r="Y56" s="168">
        <f>IF(ISERROR(Personalplanung!R56/T1304*Stundencontrolling!T56),0,Personalplanung!R56/T1304*Stundencontrolling!T56)</f>
        <v>0</v>
      </c>
      <c r="Z56" s="168">
        <f>IF(ISERROR(Personalplanung!S56/Monatsplanung!$E56*Monatsplanung!$G56),0,Personalplanung!S56/Monatsplanung!$E56*Monatsplanung!$G56)</f>
        <v>0</v>
      </c>
      <c r="AA56" s="80" t="e">
        <f t="shared" si="3"/>
        <v>#DIV/0!</v>
      </c>
      <c r="AB56" s="102">
        <f>Personalplanung!AG56</f>
        <v>0</v>
      </c>
      <c r="AC56" s="103" t="e">
        <f t="shared" si="4"/>
        <v>#DIV/0!</v>
      </c>
      <c r="AD56" s="103" t="e">
        <f t="shared" si="5"/>
        <v>#DIV/0!</v>
      </c>
      <c r="AE56" s="81">
        <f t="shared" si="6"/>
        <v>0</v>
      </c>
      <c r="AF56" s="539"/>
      <c r="AG56" s="104">
        <f>Personalplanung!AK56</f>
        <v>0</v>
      </c>
      <c r="AH56" s="7">
        <f t="shared" si="7"/>
        <v>0</v>
      </c>
      <c r="AI56" s="6">
        <f t="shared" si="8"/>
        <v>0</v>
      </c>
      <c r="AJ56" s="73">
        <f t="shared" si="9"/>
        <v>0</v>
      </c>
      <c r="AK56" s="539"/>
      <c r="AL56" s="748"/>
      <c r="AM56" s="748"/>
    </row>
    <row r="57" spans="2:39" x14ac:dyDescent="0.2">
      <c r="B57" s="101" t="str">
        <f>IF(Personalplanung!B57&lt;&gt;"",Personalplanung!B57,IF(Personalplanung!A57&lt;&gt;"",Personalplanung!A57,""))</f>
        <v/>
      </c>
      <c r="C57" s="168">
        <f>IF(ISERROR(Personalplanung!$F57/Monatsplanung!$E57*Monatsplanung!$G57),0,Personalplanung!$F57/Monatsplanung!$E57*Monatsplanung!$G57)</f>
        <v>0</v>
      </c>
      <c r="D57" s="168">
        <f>Personalplanung!G57</f>
        <v>0</v>
      </c>
      <c r="E57" s="168">
        <f>IF(ISERROR(Personalplanung!H57/Monatsplanung!$E57*Monatsplanung!$G57),0,Personalplanung!H57/Monatsplanung!$E57*Monatsplanung!$G57)</f>
        <v>0</v>
      </c>
      <c r="F57" s="168">
        <f t="shared" si="0"/>
        <v>0</v>
      </c>
      <c r="G57" s="168" t="e">
        <f>Personalplanung!K57</f>
        <v>#DIV/0!</v>
      </c>
      <c r="H57" s="168" t="e">
        <f t="shared" si="1"/>
        <v>#DIV/0!</v>
      </c>
      <c r="I57" s="168">
        <f>Personalplanung!V57</f>
        <v>0</v>
      </c>
      <c r="J57" s="739"/>
      <c r="K57" s="168">
        <f>IF(J57&lt;&gt;"",J57,IF(ISERROR(Personalplanung!AB57/Monatsplanung!$E57*Monatsplanung!$G57),0,Personalplanung!AB57/Monatsplanung!$E57*Monatsplanung!$G57))</f>
        <v>0</v>
      </c>
      <c r="L57" s="740"/>
      <c r="M57" s="739"/>
      <c r="N57" s="168">
        <f>IF(M57&lt;&gt;"",M57,IF(ISERROR(Personalplanung!AC57/Monatsplanung!$E57*Monatsplanung!$G57),0,Personalplanung!AC57/Monatsplanung!$E57*Monatsplanung!$G57))</f>
        <v>0</v>
      </c>
      <c r="O57" s="740"/>
      <c r="P57" s="739"/>
      <c r="Q57" s="168">
        <f>IF(P57&lt;&gt;"",P57,IF(ISERROR(Personalplanung!AD57/Monatsplanung!$E57*Monatsplanung!$G57),0,Personalplanung!AD57/Monatsplanung!$E57*Monatsplanung!$G57))</f>
        <v>0</v>
      </c>
      <c r="R57" s="740"/>
      <c r="S57" s="739"/>
      <c r="T57" s="168">
        <f>IF(S57&lt;&gt;"",S57,IF(ISERROR(Personalplanung!AE57/Monatsplanung!$E57*Monatsplanung!$G57),0,Personalplanung!AE57/Monatsplanung!$E57*Monatsplanung!$G57))</f>
        <v>0</v>
      </c>
      <c r="U57" s="740"/>
      <c r="V57" s="168">
        <f t="shared" si="2"/>
        <v>0</v>
      </c>
      <c r="W57" s="168">
        <f>IF(ISERROR(Personalplanung!P57/Monatsplanung!$E57*Monatsplanung!$G57),0,Personalplanung!P57/Monatsplanung!$E57*Monatsplanung!$G57)</f>
        <v>0</v>
      </c>
      <c r="X57" s="168">
        <f>IF(ISERROR(Personalplanung!Q57/Monatsplanung!$E57*Monatsplanung!$G57),0,Personalplanung!Q57/Monatsplanung!$E57*Monatsplanung!$G57)</f>
        <v>0</v>
      </c>
      <c r="Y57" s="168">
        <f>IF(ISERROR(Personalplanung!R57/T1305*Stundencontrolling!T57),0,Personalplanung!R57/T1305*Stundencontrolling!T57)</f>
        <v>0</v>
      </c>
      <c r="Z57" s="168">
        <f>IF(ISERROR(Personalplanung!S57/Monatsplanung!$E57*Monatsplanung!$G57),0,Personalplanung!S57/Monatsplanung!$E57*Monatsplanung!$G57)</f>
        <v>0</v>
      </c>
      <c r="AA57" s="80" t="e">
        <f t="shared" si="3"/>
        <v>#DIV/0!</v>
      </c>
      <c r="AB57" s="102">
        <f>Personalplanung!AG57</f>
        <v>0</v>
      </c>
      <c r="AC57" s="103" t="e">
        <f t="shared" si="4"/>
        <v>#DIV/0!</v>
      </c>
      <c r="AD57" s="103" t="e">
        <f t="shared" si="5"/>
        <v>#DIV/0!</v>
      </c>
      <c r="AE57" s="81">
        <f t="shared" si="6"/>
        <v>0</v>
      </c>
      <c r="AF57" s="539"/>
      <c r="AG57" s="104">
        <f>Personalplanung!AK57</f>
        <v>0</v>
      </c>
      <c r="AH57" s="7">
        <f t="shared" si="7"/>
        <v>0</v>
      </c>
      <c r="AI57" s="6">
        <f t="shared" si="8"/>
        <v>0</v>
      </c>
      <c r="AJ57" s="73">
        <f t="shared" si="9"/>
        <v>0</v>
      </c>
      <c r="AK57" s="539"/>
      <c r="AL57" s="748"/>
      <c r="AM57" s="748"/>
    </row>
    <row r="58" spans="2:39" x14ac:dyDescent="0.2">
      <c r="B58" s="101" t="str">
        <f>IF(Personalplanung!B58&lt;&gt;"",Personalplanung!B58,IF(Personalplanung!A58&lt;&gt;"",Personalplanung!A58,""))</f>
        <v/>
      </c>
      <c r="C58" s="168">
        <f>IF(ISERROR(Personalplanung!$F58/Monatsplanung!$E58*Monatsplanung!$G58),0,Personalplanung!$F58/Monatsplanung!$E58*Monatsplanung!$G58)</f>
        <v>0</v>
      </c>
      <c r="D58" s="168">
        <f>Personalplanung!G58</f>
        <v>0</v>
      </c>
      <c r="E58" s="168">
        <f>IF(ISERROR(Personalplanung!H58/Monatsplanung!$E58*Monatsplanung!$G58),0,Personalplanung!H58/Monatsplanung!$E58*Monatsplanung!$G58)</f>
        <v>0</v>
      </c>
      <c r="F58" s="168">
        <f t="shared" si="0"/>
        <v>0</v>
      </c>
      <c r="G58" s="168" t="e">
        <f>Personalplanung!K58</f>
        <v>#DIV/0!</v>
      </c>
      <c r="H58" s="168" t="e">
        <f t="shared" si="1"/>
        <v>#DIV/0!</v>
      </c>
      <c r="I58" s="168">
        <f>Personalplanung!V58</f>
        <v>0</v>
      </c>
      <c r="J58" s="739"/>
      <c r="K58" s="168">
        <f>IF(J58&lt;&gt;"",J58,IF(ISERROR(Personalplanung!AB58/Monatsplanung!$E58*Monatsplanung!$G58),0,Personalplanung!AB58/Monatsplanung!$E58*Monatsplanung!$G58))</f>
        <v>0</v>
      </c>
      <c r="L58" s="740"/>
      <c r="M58" s="739"/>
      <c r="N58" s="168">
        <f>IF(M58&lt;&gt;"",M58,IF(ISERROR(Personalplanung!AC58/Monatsplanung!$E58*Monatsplanung!$G58),0,Personalplanung!AC58/Monatsplanung!$E58*Monatsplanung!$G58))</f>
        <v>0</v>
      </c>
      <c r="O58" s="740"/>
      <c r="P58" s="739"/>
      <c r="Q58" s="168">
        <f>IF(P58&lt;&gt;"",P58,IF(ISERROR(Personalplanung!AD58/Monatsplanung!$E58*Monatsplanung!$G58),0,Personalplanung!AD58/Monatsplanung!$E58*Monatsplanung!$G58))</f>
        <v>0</v>
      </c>
      <c r="R58" s="740"/>
      <c r="S58" s="739"/>
      <c r="T58" s="168">
        <f>IF(S58&lt;&gt;"",S58,IF(ISERROR(Personalplanung!AE58/Monatsplanung!$E58*Monatsplanung!$G58),0,Personalplanung!AE58/Monatsplanung!$E58*Monatsplanung!$G58))</f>
        <v>0</v>
      </c>
      <c r="U58" s="740"/>
      <c r="V58" s="168">
        <f t="shared" si="2"/>
        <v>0</v>
      </c>
      <c r="W58" s="168">
        <f>IF(ISERROR(Personalplanung!P58/Monatsplanung!$E58*Monatsplanung!$G58),0,Personalplanung!P58/Monatsplanung!$E58*Monatsplanung!$G58)</f>
        <v>0</v>
      </c>
      <c r="X58" s="168">
        <f>IF(ISERROR(Personalplanung!Q58/Monatsplanung!$E58*Monatsplanung!$G58),0,Personalplanung!Q58/Monatsplanung!$E58*Monatsplanung!$G58)</f>
        <v>0</v>
      </c>
      <c r="Y58" s="168">
        <f>IF(ISERROR(Personalplanung!R58/T1306*Stundencontrolling!T58),0,Personalplanung!R58/T1306*Stundencontrolling!T58)</f>
        <v>0</v>
      </c>
      <c r="Z58" s="168">
        <f>IF(ISERROR(Personalplanung!S58/Monatsplanung!$E58*Monatsplanung!$G58),0,Personalplanung!S58/Monatsplanung!$E58*Monatsplanung!$G58)</f>
        <v>0</v>
      </c>
      <c r="AA58" s="80" t="e">
        <f t="shared" si="3"/>
        <v>#DIV/0!</v>
      </c>
      <c r="AB58" s="102">
        <f>Personalplanung!AG58</f>
        <v>0</v>
      </c>
      <c r="AC58" s="103" t="e">
        <f t="shared" si="4"/>
        <v>#DIV/0!</v>
      </c>
      <c r="AD58" s="103" t="e">
        <f t="shared" si="5"/>
        <v>#DIV/0!</v>
      </c>
      <c r="AE58" s="81">
        <f t="shared" si="6"/>
        <v>0</v>
      </c>
      <c r="AF58" s="539"/>
      <c r="AG58" s="104">
        <f>Personalplanung!AK58</f>
        <v>0</v>
      </c>
      <c r="AH58" s="7">
        <f t="shared" si="7"/>
        <v>0</v>
      </c>
      <c r="AI58" s="6">
        <f t="shared" si="8"/>
        <v>0</v>
      </c>
      <c r="AJ58" s="73">
        <f t="shared" si="9"/>
        <v>0</v>
      </c>
      <c r="AK58" s="539"/>
      <c r="AL58" s="748"/>
      <c r="AM58" s="748"/>
    </row>
    <row r="59" spans="2:39" x14ac:dyDescent="0.2">
      <c r="B59" s="101" t="str">
        <f>IF(Personalplanung!B59&lt;&gt;"",Personalplanung!B59,IF(Personalplanung!A59&lt;&gt;"",Personalplanung!A59,""))</f>
        <v/>
      </c>
      <c r="C59" s="168">
        <f>IF(ISERROR(Personalplanung!$F59/Monatsplanung!$E59*Monatsplanung!$G59),0,Personalplanung!$F59/Monatsplanung!$E59*Monatsplanung!$G59)</f>
        <v>0</v>
      </c>
      <c r="D59" s="168">
        <f>Personalplanung!G59</f>
        <v>0</v>
      </c>
      <c r="E59" s="168">
        <f>IF(ISERROR(Personalplanung!H59/Monatsplanung!$E59*Monatsplanung!$G59),0,Personalplanung!H59/Monatsplanung!$E59*Monatsplanung!$G59)</f>
        <v>0</v>
      </c>
      <c r="F59" s="168">
        <f t="shared" si="0"/>
        <v>0</v>
      </c>
      <c r="G59" s="168" t="e">
        <f>Personalplanung!K59</f>
        <v>#DIV/0!</v>
      </c>
      <c r="H59" s="168" t="e">
        <f t="shared" si="1"/>
        <v>#DIV/0!</v>
      </c>
      <c r="I59" s="168">
        <f>Personalplanung!V59</f>
        <v>0</v>
      </c>
      <c r="J59" s="739"/>
      <c r="K59" s="168">
        <f>IF(J59&lt;&gt;"",J59,IF(ISERROR(Personalplanung!AB59/Monatsplanung!$E59*Monatsplanung!$G59),0,Personalplanung!AB59/Monatsplanung!$E59*Monatsplanung!$G59))</f>
        <v>0</v>
      </c>
      <c r="L59" s="740"/>
      <c r="M59" s="739"/>
      <c r="N59" s="168">
        <f>IF(M59&lt;&gt;"",M59,IF(ISERROR(Personalplanung!AC59/Monatsplanung!$E59*Monatsplanung!$G59),0,Personalplanung!AC59/Monatsplanung!$E59*Monatsplanung!$G59))</f>
        <v>0</v>
      </c>
      <c r="O59" s="740"/>
      <c r="P59" s="739"/>
      <c r="Q59" s="168">
        <f>IF(P59&lt;&gt;"",P59,IF(ISERROR(Personalplanung!AD59/Monatsplanung!$E59*Monatsplanung!$G59),0,Personalplanung!AD59/Monatsplanung!$E59*Monatsplanung!$G59))</f>
        <v>0</v>
      </c>
      <c r="R59" s="740"/>
      <c r="S59" s="739"/>
      <c r="T59" s="168">
        <f>IF(S59&lt;&gt;"",S59,IF(ISERROR(Personalplanung!AE59/Monatsplanung!$E59*Monatsplanung!$G59),0,Personalplanung!AE59/Monatsplanung!$E59*Monatsplanung!$G59))</f>
        <v>0</v>
      </c>
      <c r="U59" s="740"/>
      <c r="V59" s="168">
        <f t="shared" si="2"/>
        <v>0</v>
      </c>
      <c r="W59" s="168">
        <f>IF(ISERROR(Personalplanung!P59/Monatsplanung!$E59*Monatsplanung!$G59),0,Personalplanung!P59/Monatsplanung!$E59*Monatsplanung!$G59)</f>
        <v>0</v>
      </c>
      <c r="X59" s="168">
        <f>IF(ISERROR(Personalplanung!Q59/Monatsplanung!$E59*Monatsplanung!$G59),0,Personalplanung!Q59/Monatsplanung!$E59*Monatsplanung!$G59)</f>
        <v>0</v>
      </c>
      <c r="Y59" s="168">
        <f>IF(ISERROR(Personalplanung!R59/T1307*Stundencontrolling!T59),0,Personalplanung!R59/T1307*Stundencontrolling!T59)</f>
        <v>0</v>
      </c>
      <c r="Z59" s="168">
        <f>IF(ISERROR(Personalplanung!S59/Monatsplanung!$E59*Monatsplanung!$G59),0,Personalplanung!S59/Monatsplanung!$E59*Monatsplanung!$G59)</f>
        <v>0</v>
      </c>
      <c r="AA59" s="80" t="e">
        <f t="shared" si="3"/>
        <v>#DIV/0!</v>
      </c>
      <c r="AB59" s="102">
        <f>Personalplanung!AG59</f>
        <v>0</v>
      </c>
      <c r="AC59" s="103" t="e">
        <f t="shared" si="4"/>
        <v>#DIV/0!</v>
      </c>
      <c r="AD59" s="103" t="e">
        <f t="shared" si="5"/>
        <v>#DIV/0!</v>
      </c>
      <c r="AE59" s="81">
        <f t="shared" si="6"/>
        <v>0</v>
      </c>
      <c r="AF59" s="539"/>
      <c r="AG59" s="104">
        <f>Personalplanung!AK59</f>
        <v>0</v>
      </c>
      <c r="AH59" s="7">
        <f t="shared" si="7"/>
        <v>0</v>
      </c>
      <c r="AI59" s="6">
        <f t="shared" si="8"/>
        <v>0</v>
      </c>
      <c r="AJ59" s="73">
        <f t="shared" si="9"/>
        <v>0</v>
      </c>
      <c r="AK59" s="539"/>
      <c r="AL59" s="748"/>
      <c r="AM59" s="748"/>
    </row>
    <row r="60" spans="2:39" x14ac:dyDescent="0.2">
      <c r="B60" s="101" t="str">
        <f>IF(Personalplanung!B60&lt;&gt;"",Personalplanung!B60,IF(Personalplanung!A60&lt;&gt;"",Personalplanung!A60,""))</f>
        <v/>
      </c>
      <c r="C60" s="168">
        <f>IF(ISERROR(Personalplanung!$F60/Monatsplanung!$E60*Monatsplanung!$G60),0,Personalplanung!$F60/Monatsplanung!$E60*Monatsplanung!$G60)</f>
        <v>0</v>
      </c>
      <c r="D60" s="168">
        <f>Personalplanung!G60</f>
        <v>0</v>
      </c>
      <c r="E60" s="168">
        <f>IF(ISERROR(Personalplanung!H60/Monatsplanung!$E60*Monatsplanung!$G60),0,Personalplanung!H60/Monatsplanung!$E60*Monatsplanung!$G60)</f>
        <v>0</v>
      </c>
      <c r="F60" s="168">
        <f t="shared" si="0"/>
        <v>0</v>
      </c>
      <c r="G60" s="168" t="e">
        <f>Personalplanung!K60</f>
        <v>#DIV/0!</v>
      </c>
      <c r="H60" s="168" t="e">
        <f t="shared" si="1"/>
        <v>#DIV/0!</v>
      </c>
      <c r="I60" s="168">
        <f>Personalplanung!V60</f>
        <v>0</v>
      </c>
      <c r="J60" s="739"/>
      <c r="K60" s="168">
        <f>IF(J60&lt;&gt;"",J60,IF(ISERROR(Personalplanung!AB60/Monatsplanung!$E60*Monatsplanung!$G60),0,Personalplanung!AB60/Monatsplanung!$E60*Monatsplanung!$G60))</f>
        <v>0</v>
      </c>
      <c r="L60" s="740"/>
      <c r="M60" s="739"/>
      <c r="N60" s="168">
        <f>IF(M60&lt;&gt;"",M60,IF(ISERROR(Personalplanung!AC60/Monatsplanung!$E60*Monatsplanung!$G60),0,Personalplanung!AC60/Monatsplanung!$E60*Monatsplanung!$G60))</f>
        <v>0</v>
      </c>
      <c r="O60" s="740"/>
      <c r="P60" s="739"/>
      <c r="Q60" s="168">
        <f>IF(P60&lt;&gt;"",P60,IF(ISERROR(Personalplanung!AD60/Monatsplanung!$E60*Monatsplanung!$G60),0,Personalplanung!AD60/Monatsplanung!$E60*Monatsplanung!$G60))</f>
        <v>0</v>
      </c>
      <c r="R60" s="740"/>
      <c r="S60" s="739"/>
      <c r="T60" s="168">
        <f>IF(S60&lt;&gt;"",S60,IF(ISERROR(Personalplanung!AE60/Monatsplanung!$E60*Monatsplanung!$G60),0,Personalplanung!AE60/Monatsplanung!$E60*Monatsplanung!$G60))</f>
        <v>0</v>
      </c>
      <c r="U60" s="740"/>
      <c r="V60" s="168">
        <f t="shared" si="2"/>
        <v>0</v>
      </c>
      <c r="W60" s="168">
        <f>IF(ISERROR(Personalplanung!P60/Monatsplanung!$E60*Monatsplanung!$G60),0,Personalplanung!P60/Monatsplanung!$E60*Monatsplanung!$G60)</f>
        <v>0</v>
      </c>
      <c r="X60" s="168">
        <f>IF(ISERROR(Personalplanung!Q60/Monatsplanung!$E60*Monatsplanung!$G60),0,Personalplanung!Q60/Monatsplanung!$E60*Monatsplanung!$G60)</f>
        <v>0</v>
      </c>
      <c r="Y60" s="168">
        <f>IF(ISERROR(Personalplanung!R60/T1308*Stundencontrolling!T60),0,Personalplanung!R60/T1308*Stundencontrolling!T60)</f>
        <v>0</v>
      </c>
      <c r="Z60" s="168">
        <f>IF(ISERROR(Personalplanung!S60/Monatsplanung!$E60*Monatsplanung!$G60),0,Personalplanung!S60/Monatsplanung!$E60*Monatsplanung!$G60)</f>
        <v>0</v>
      </c>
      <c r="AA60" s="80" t="e">
        <f t="shared" si="3"/>
        <v>#DIV/0!</v>
      </c>
      <c r="AB60" s="102">
        <f>Personalplanung!AG60</f>
        <v>0</v>
      </c>
      <c r="AC60" s="103" t="e">
        <f t="shared" si="4"/>
        <v>#DIV/0!</v>
      </c>
      <c r="AD60" s="103" t="e">
        <f t="shared" si="5"/>
        <v>#DIV/0!</v>
      </c>
      <c r="AE60" s="81">
        <f t="shared" si="6"/>
        <v>0</v>
      </c>
      <c r="AF60" s="539"/>
      <c r="AG60" s="104">
        <f>Personalplanung!AK60</f>
        <v>0</v>
      </c>
      <c r="AH60" s="7">
        <f t="shared" si="7"/>
        <v>0</v>
      </c>
      <c r="AI60" s="6">
        <f t="shared" si="8"/>
        <v>0</v>
      </c>
      <c r="AJ60" s="73">
        <f t="shared" si="9"/>
        <v>0</v>
      </c>
      <c r="AK60" s="539"/>
      <c r="AL60" s="748"/>
      <c r="AM60" s="748"/>
    </row>
    <row r="61" spans="2:39" x14ac:dyDescent="0.2">
      <c r="B61" s="101" t="str">
        <f>IF(Personalplanung!B61&lt;&gt;"",Personalplanung!B61,IF(Personalplanung!A61&lt;&gt;"",Personalplanung!A61,""))</f>
        <v/>
      </c>
      <c r="C61" s="168">
        <f>IF(ISERROR(Personalplanung!$F61/Monatsplanung!$E61*Monatsplanung!$G61),0,Personalplanung!$F61/Monatsplanung!$E61*Monatsplanung!$G61)</f>
        <v>0</v>
      </c>
      <c r="D61" s="168">
        <f>Personalplanung!G61</f>
        <v>0</v>
      </c>
      <c r="E61" s="168">
        <f>IF(ISERROR(Personalplanung!H61/Monatsplanung!$E61*Monatsplanung!$G61),0,Personalplanung!H61/Monatsplanung!$E61*Monatsplanung!$G61)</f>
        <v>0</v>
      </c>
      <c r="F61" s="168">
        <f t="shared" si="0"/>
        <v>0</v>
      </c>
      <c r="G61" s="168" t="e">
        <f>Personalplanung!K61</f>
        <v>#DIV/0!</v>
      </c>
      <c r="H61" s="168" t="e">
        <f t="shared" si="1"/>
        <v>#DIV/0!</v>
      </c>
      <c r="I61" s="168">
        <f>Personalplanung!V61</f>
        <v>0</v>
      </c>
      <c r="J61" s="739"/>
      <c r="K61" s="168">
        <f>IF(J61&lt;&gt;"",J61,IF(ISERROR(Personalplanung!AB61/Monatsplanung!$E61*Monatsplanung!$G61),0,Personalplanung!AB61/Monatsplanung!$E61*Monatsplanung!$G61))</f>
        <v>0</v>
      </c>
      <c r="L61" s="740"/>
      <c r="M61" s="739"/>
      <c r="N61" s="168">
        <f>IF(M61&lt;&gt;"",M61,IF(ISERROR(Personalplanung!AC61/Monatsplanung!$E61*Monatsplanung!$G61),0,Personalplanung!AC61/Monatsplanung!$E61*Monatsplanung!$G61))</f>
        <v>0</v>
      </c>
      <c r="O61" s="740"/>
      <c r="P61" s="739"/>
      <c r="Q61" s="168">
        <f>IF(P61&lt;&gt;"",P61,IF(ISERROR(Personalplanung!AD61/Monatsplanung!$E61*Monatsplanung!$G61),0,Personalplanung!AD61/Monatsplanung!$E61*Monatsplanung!$G61))</f>
        <v>0</v>
      </c>
      <c r="R61" s="740"/>
      <c r="S61" s="739"/>
      <c r="T61" s="168">
        <f>IF(S61&lt;&gt;"",S61,IF(ISERROR(Personalplanung!AE61/Monatsplanung!$E61*Monatsplanung!$G61),0,Personalplanung!AE61/Monatsplanung!$E61*Monatsplanung!$G61))</f>
        <v>0</v>
      </c>
      <c r="U61" s="740"/>
      <c r="V61" s="168">
        <f t="shared" si="2"/>
        <v>0</v>
      </c>
      <c r="W61" s="168">
        <f>IF(ISERROR(Personalplanung!P61/Monatsplanung!$E61*Monatsplanung!$G61),0,Personalplanung!P61/Monatsplanung!$E61*Monatsplanung!$G61)</f>
        <v>0</v>
      </c>
      <c r="X61" s="168">
        <f>IF(ISERROR(Personalplanung!Q61/Monatsplanung!$E61*Monatsplanung!$G61),0,Personalplanung!Q61/Monatsplanung!$E61*Monatsplanung!$G61)</f>
        <v>0</v>
      </c>
      <c r="Y61" s="168">
        <f>IF(ISERROR(Personalplanung!R61/T1309*Stundencontrolling!T61),0,Personalplanung!R61/T1309*Stundencontrolling!T61)</f>
        <v>0</v>
      </c>
      <c r="Z61" s="168">
        <f>IF(ISERROR(Personalplanung!S61/Monatsplanung!$E61*Monatsplanung!$G61),0,Personalplanung!S61/Monatsplanung!$E61*Monatsplanung!$G61)</f>
        <v>0</v>
      </c>
      <c r="AA61" s="80" t="e">
        <f t="shared" si="3"/>
        <v>#DIV/0!</v>
      </c>
      <c r="AB61" s="102">
        <f>Personalplanung!AG61</f>
        <v>0</v>
      </c>
      <c r="AC61" s="103" t="e">
        <f t="shared" si="4"/>
        <v>#DIV/0!</v>
      </c>
      <c r="AD61" s="103" t="e">
        <f t="shared" si="5"/>
        <v>#DIV/0!</v>
      </c>
      <c r="AE61" s="81">
        <f t="shared" si="6"/>
        <v>0</v>
      </c>
      <c r="AF61" s="539"/>
      <c r="AG61" s="104">
        <f>Personalplanung!AK61</f>
        <v>0</v>
      </c>
      <c r="AH61" s="7">
        <f t="shared" si="7"/>
        <v>0</v>
      </c>
      <c r="AI61" s="6">
        <f t="shared" si="8"/>
        <v>0</v>
      </c>
      <c r="AJ61" s="73">
        <f t="shared" si="9"/>
        <v>0</v>
      </c>
      <c r="AK61" s="539"/>
      <c r="AL61" s="748"/>
      <c r="AM61" s="748"/>
    </row>
    <row r="62" spans="2:39" x14ac:dyDescent="0.2">
      <c r="B62" s="101" t="str">
        <f>IF(Personalplanung!B62&lt;&gt;"",Personalplanung!B62,IF(Personalplanung!A62&lt;&gt;"",Personalplanung!A62,""))</f>
        <v/>
      </c>
      <c r="C62" s="168">
        <f>IF(ISERROR(Personalplanung!$F62/Monatsplanung!$E62*Monatsplanung!$G62),0,Personalplanung!$F62/Monatsplanung!$E62*Monatsplanung!$G62)</f>
        <v>0</v>
      </c>
      <c r="D62" s="168">
        <f>Personalplanung!G62</f>
        <v>0</v>
      </c>
      <c r="E62" s="168">
        <f>IF(ISERROR(Personalplanung!H62/Monatsplanung!$E62*Monatsplanung!$G62),0,Personalplanung!H62/Monatsplanung!$E62*Monatsplanung!$G62)</f>
        <v>0</v>
      </c>
      <c r="F62" s="168">
        <f t="shared" si="0"/>
        <v>0</v>
      </c>
      <c r="G62" s="168" t="e">
        <f>Personalplanung!K62</f>
        <v>#DIV/0!</v>
      </c>
      <c r="H62" s="168" t="e">
        <f t="shared" si="1"/>
        <v>#DIV/0!</v>
      </c>
      <c r="I62" s="168">
        <f>Personalplanung!V62</f>
        <v>0</v>
      </c>
      <c r="J62" s="739"/>
      <c r="K62" s="168">
        <f>IF(J62&lt;&gt;"",J62,IF(ISERROR(Personalplanung!AB62/Monatsplanung!$E62*Monatsplanung!$G62),0,Personalplanung!AB62/Monatsplanung!$E62*Monatsplanung!$G62))</f>
        <v>0</v>
      </c>
      <c r="L62" s="740"/>
      <c r="M62" s="739"/>
      <c r="N62" s="168">
        <f>IF(M62&lt;&gt;"",M62,IF(ISERROR(Personalplanung!AC62/Monatsplanung!$E62*Monatsplanung!$G62),0,Personalplanung!AC62/Monatsplanung!$E62*Monatsplanung!$G62))</f>
        <v>0</v>
      </c>
      <c r="O62" s="740"/>
      <c r="P62" s="739"/>
      <c r="Q62" s="168">
        <f>IF(P62&lt;&gt;"",P62,IF(ISERROR(Personalplanung!AD62/Monatsplanung!$E62*Monatsplanung!$G62),0,Personalplanung!AD62/Monatsplanung!$E62*Monatsplanung!$G62))</f>
        <v>0</v>
      </c>
      <c r="R62" s="740"/>
      <c r="S62" s="739"/>
      <c r="T62" s="168">
        <f>IF(S62&lt;&gt;"",S62,IF(ISERROR(Personalplanung!AE62/Monatsplanung!$E62*Monatsplanung!$G62),0,Personalplanung!AE62/Monatsplanung!$E62*Monatsplanung!$G62))</f>
        <v>0</v>
      </c>
      <c r="U62" s="740"/>
      <c r="V62" s="168">
        <f t="shared" si="2"/>
        <v>0</v>
      </c>
      <c r="W62" s="168">
        <f>IF(ISERROR(Personalplanung!P62/Monatsplanung!$E62*Monatsplanung!$G62),0,Personalplanung!P62/Monatsplanung!$E62*Monatsplanung!$G62)</f>
        <v>0</v>
      </c>
      <c r="X62" s="168">
        <f>IF(ISERROR(Personalplanung!Q62/Monatsplanung!$E62*Monatsplanung!$G62),0,Personalplanung!Q62/Monatsplanung!$E62*Monatsplanung!$G62)</f>
        <v>0</v>
      </c>
      <c r="Y62" s="168">
        <f>IF(ISERROR(Personalplanung!R62/T1310*Stundencontrolling!T62),0,Personalplanung!R62/T1310*Stundencontrolling!T62)</f>
        <v>0</v>
      </c>
      <c r="Z62" s="168">
        <f>IF(ISERROR(Personalplanung!S62/Monatsplanung!$E62*Monatsplanung!$G62),0,Personalplanung!S62/Monatsplanung!$E62*Monatsplanung!$G62)</f>
        <v>0</v>
      </c>
      <c r="AA62" s="80" t="e">
        <f t="shared" si="3"/>
        <v>#DIV/0!</v>
      </c>
      <c r="AB62" s="102">
        <f>Personalplanung!AG62</f>
        <v>0</v>
      </c>
      <c r="AC62" s="103" t="e">
        <f t="shared" si="4"/>
        <v>#DIV/0!</v>
      </c>
      <c r="AD62" s="103" t="e">
        <f t="shared" si="5"/>
        <v>#DIV/0!</v>
      </c>
      <c r="AE62" s="81">
        <f t="shared" si="6"/>
        <v>0</v>
      </c>
      <c r="AF62" s="539"/>
      <c r="AG62" s="104">
        <f>Personalplanung!AK62</f>
        <v>0</v>
      </c>
      <c r="AH62" s="7">
        <f t="shared" si="7"/>
        <v>0</v>
      </c>
      <c r="AI62" s="6">
        <f t="shared" si="8"/>
        <v>0</v>
      </c>
      <c r="AJ62" s="73">
        <f t="shared" si="9"/>
        <v>0</v>
      </c>
      <c r="AK62" s="539"/>
      <c r="AL62" s="748"/>
      <c r="AM62" s="748"/>
    </row>
    <row r="63" spans="2:39" x14ac:dyDescent="0.2">
      <c r="B63" s="101" t="str">
        <f>IF(Personalplanung!B63&lt;&gt;"",Personalplanung!B63,IF(Personalplanung!A63&lt;&gt;"",Personalplanung!A63,""))</f>
        <v/>
      </c>
      <c r="C63" s="168">
        <f>IF(ISERROR(Personalplanung!$F63/Monatsplanung!$E63*Monatsplanung!$G63),0,Personalplanung!$F63/Monatsplanung!$E63*Monatsplanung!$G63)</f>
        <v>0</v>
      </c>
      <c r="D63" s="168">
        <f>Personalplanung!G63</f>
        <v>0</v>
      </c>
      <c r="E63" s="168">
        <f>IF(ISERROR(Personalplanung!H63/Monatsplanung!$E63*Monatsplanung!$G63),0,Personalplanung!H63/Monatsplanung!$E63*Monatsplanung!$G63)</f>
        <v>0</v>
      </c>
      <c r="F63" s="168">
        <f t="shared" si="0"/>
        <v>0</v>
      </c>
      <c r="G63" s="168" t="e">
        <f>Personalplanung!K63</f>
        <v>#DIV/0!</v>
      </c>
      <c r="H63" s="168" t="e">
        <f t="shared" si="1"/>
        <v>#DIV/0!</v>
      </c>
      <c r="I63" s="168">
        <f>Personalplanung!V63</f>
        <v>0</v>
      </c>
      <c r="J63" s="739"/>
      <c r="K63" s="168">
        <f>IF(J63&lt;&gt;"",J63,IF(ISERROR(Personalplanung!AB63/Monatsplanung!$E63*Monatsplanung!$G63),0,Personalplanung!AB63/Monatsplanung!$E63*Monatsplanung!$G63))</f>
        <v>0</v>
      </c>
      <c r="L63" s="740"/>
      <c r="M63" s="739"/>
      <c r="N63" s="168">
        <f>IF(M63&lt;&gt;"",M63,IF(ISERROR(Personalplanung!AC63/Monatsplanung!$E63*Monatsplanung!$G63),0,Personalplanung!AC63/Monatsplanung!$E63*Monatsplanung!$G63))</f>
        <v>0</v>
      </c>
      <c r="O63" s="740"/>
      <c r="P63" s="739"/>
      <c r="Q63" s="168">
        <f>IF(P63&lt;&gt;"",P63,IF(ISERROR(Personalplanung!AD63/Monatsplanung!$E63*Monatsplanung!$G63),0,Personalplanung!AD63/Monatsplanung!$E63*Monatsplanung!$G63))</f>
        <v>0</v>
      </c>
      <c r="R63" s="740"/>
      <c r="S63" s="739"/>
      <c r="T63" s="168">
        <f>IF(S63&lt;&gt;"",S63,IF(ISERROR(Personalplanung!AE63/Monatsplanung!$E63*Monatsplanung!$G63),0,Personalplanung!AE63/Monatsplanung!$E63*Monatsplanung!$G63))</f>
        <v>0</v>
      </c>
      <c r="U63" s="740"/>
      <c r="V63" s="168">
        <f t="shared" si="2"/>
        <v>0</v>
      </c>
      <c r="W63" s="168">
        <f>IF(ISERROR(Personalplanung!P63/Monatsplanung!$E63*Monatsplanung!$G63),0,Personalplanung!P63/Monatsplanung!$E63*Monatsplanung!$G63)</f>
        <v>0</v>
      </c>
      <c r="X63" s="168">
        <f>IF(ISERROR(Personalplanung!Q63/Monatsplanung!$E63*Monatsplanung!$G63),0,Personalplanung!Q63/Monatsplanung!$E63*Monatsplanung!$G63)</f>
        <v>0</v>
      </c>
      <c r="Y63" s="168">
        <f>IF(ISERROR(Personalplanung!R63/T1311*Stundencontrolling!T63),0,Personalplanung!R63/T1311*Stundencontrolling!T63)</f>
        <v>0</v>
      </c>
      <c r="Z63" s="168">
        <f>IF(ISERROR(Personalplanung!S63/Monatsplanung!$E63*Monatsplanung!$G63),0,Personalplanung!S63/Monatsplanung!$E63*Monatsplanung!$G63)</f>
        <v>0</v>
      </c>
      <c r="AA63" s="80" t="e">
        <f t="shared" si="3"/>
        <v>#DIV/0!</v>
      </c>
      <c r="AB63" s="102">
        <f>Personalplanung!AG63</f>
        <v>0</v>
      </c>
      <c r="AC63" s="103" t="e">
        <f t="shared" si="4"/>
        <v>#DIV/0!</v>
      </c>
      <c r="AD63" s="103" t="e">
        <f t="shared" si="5"/>
        <v>#DIV/0!</v>
      </c>
      <c r="AE63" s="81">
        <f t="shared" si="6"/>
        <v>0</v>
      </c>
      <c r="AF63" s="539"/>
      <c r="AG63" s="104">
        <f>Personalplanung!AK63</f>
        <v>0</v>
      </c>
      <c r="AH63" s="7">
        <f t="shared" si="7"/>
        <v>0</v>
      </c>
      <c r="AI63" s="6">
        <f t="shared" si="8"/>
        <v>0</v>
      </c>
      <c r="AJ63" s="73">
        <f t="shared" si="9"/>
        <v>0</v>
      </c>
      <c r="AK63" s="539"/>
      <c r="AL63" s="748"/>
      <c r="AM63" s="748"/>
    </row>
    <row r="64" spans="2:39" x14ac:dyDescent="0.2">
      <c r="B64" s="101" t="str">
        <f>IF(Personalplanung!B64&lt;&gt;"",Personalplanung!B64,IF(Personalplanung!A64&lt;&gt;"",Personalplanung!A64,""))</f>
        <v/>
      </c>
      <c r="C64" s="168">
        <f>IF(ISERROR(Personalplanung!$F64/Monatsplanung!$E64*Monatsplanung!$G64),0,Personalplanung!$F64/Monatsplanung!$E64*Monatsplanung!$G64)</f>
        <v>0</v>
      </c>
      <c r="D64" s="168">
        <f>Personalplanung!G64</f>
        <v>0</v>
      </c>
      <c r="E64" s="168">
        <f>IF(ISERROR(Personalplanung!H64/Monatsplanung!$E64*Monatsplanung!$G64),0,Personalplanung!H64/Monatsplanung!$E64*Monatsplanung!$G64)</f>
        <v>0</v>
      </c>
      <c r="F64" s="168">
        <f t="shared" si="0"/>
        <v>0</v>
      </c>
      <c r="G64" s="168" t="e">
        <f>Personalplanung!K64</f>
        <v>#DIV/0!</v>
      </c>
      <c r="H64" s="168" t="e">
        <f t="shared" si="1"/>
        <v>#DIV/0!</v>
      </c>
      <c r="I64" s="168">
        <f>Personalplanung!V64</f>
        <v>0</v>
      </c>
      <c r="J64" s="739"/>
      <c r="K64" s="168">
        <f>IF(J64&lt;&gt;"",J64,IF(ISERROR(Personalplanung!AB64/Monatsplanung!$E64*Monatsplanung!$G64),0,Personalplanung!AB64/Monatsplanung!$E64*Monatsplanung!$G64))</f>
        <v>0</v>
      </c>
      <c r="L64" s="740"/>
      <c r="M64" s="739"/>
      <c r="N64" s="168">
        <f>IF(M64&lt;&gt;"",M64,IF(ISERROR(Personalplanung!AC64/Monatsplanung!$E64*Monatsplanung!$G64),0,Personalplanung!AC64/Monatsplanung!$E64*Monatsplanung!$G64))</f>
        <v>0</v>
      </c>
      <c r="O64" s="740"/>
      <c r="P64" s="739"/>
      <c r="Q64" s="168">
        <f>IF(P64&lt;&gt;"",P64,IF(ISERROR(Personalplanung!AD64/Monatsplanung!$E64*Monatsplanung!$G64),0,Personalplanung!AD64/Monatsplanung!$E64*Monatsplanung!$G64))</f>
        <v>0</v>
      </c>
      <c r="R64" s="740"/>
      <c r="S64" s="739"/>
      <c r="T64" s="168">
        <f>IF(S64&lt;&gt;"",S64,IF(ISERROR(Personalplanung!AE64/Monatsplanung!$E64*Monatsplanung!$G64),0,Personalplanung!AE64/Monatsplanung!$E64*Monatsplanung!$G64))</f>
        <v>0</v>
      </c>
      <c r="U64" s="740"/>
      <c r="V64" s="168">
        <f t="shared" si="2"/>
        <v>0</v>
      </c>
      <c r="W64" s="168">
        <f>IF(ISERROR(Personalplanung!P64/Monatsplanung!$E64*Monatsplanung!$G64),0,Personalplanung!P64/Monatsplanung!$E64*Monatsplanung!$G64)</f>
        <v>0</v>
      </c>
      <c r="X64" s="168">
        <f>IF(ISERROR(Personalplanung!Q64/Monatsplanung!$E64*Monatsplanung!$G64),0,Personalplanung!Q64/Monatsplanung!$E64*Monatsplanung!$G64)</f>
        <v>0</v>
      </c>
      <c r="Y64" s="168">
        <f>IF(ISERROR(Personalplanung!R64/T1312*Stundencontrolling!T64),0,Personalplanung!R64/T1312*Stundencontrolling!T64)</f>
        <v>0</v>
      </c>
      <c r="Z64" s="168">
        <f>IF(ISERROR(Personalplanung!S64/Monatsplanung!$E64*Monatsplanung!$G64),0,Personalplanung!S64/Monatsplanung!$E64*Monatsplanung!$G64)</f>
        <v>0</v>
      </c>
      <c r="AA64" s="80" t="e">
        <f t="shared" si="3"/>
        <v>#DIV/0!</v>
      </c>
      <c r="AB64" s="102">
        <f>Personalplanung!AG64</f>
        <v>0</v>
      </c>
      <c r="AC64" s="103" t="e">
        <f t="shared" si="4"/>
        <v>#DIV/0!</v>
      </c>
      <c r="AD64" s="103" t="e">
        <f t="shared" si="5"/>
        <v>#DIV/0!</v>
      </c>
      <c r="AE64" s="81">
        <f t="shared" si="6"/>
        <v>0</v>
      </c>
      <c r="AF64" s="539"/>
      <c r="AG64" s="104">
        <f>Personalplanung!AK64</f>
        <v>0</v>
      </c>
      <c r="AH64" s="7">
        <f t="shared" si="7"/>
        <v>0</v>
      </c>
      <c r="AI64" s="6">
        <f t="shared" si="8"/>
        <v>0</v>
      </c>
      <c r="AJ64" s="73">
        <f t="shared" si="9"/>
        <v>0</v>
      </c>
      <c r="AK64" s="539"/>
      <c r="AL64" s="748"/>
      <c r="AM64" s="748"/>
    </row>
    <row r="65" spans="2:39" x14ac:dyDescent="0.2">
      <c r="B65" s="101" t="str">
        <f>IF(Personalplanung!B65&lt;&gt;"",Personalplanung!B65,IF(Personalplanung!A65&lt;&gt;"",Personalplanung!A65,""))</f>
        <v/>
      </c>
      <c r="C65" s="168">
        <f>IF(ISERROR(Personalplanung!$F65/Monatsplanung!$E65*Monatsplanung!$G65),0,Personalplanung!$F65/Monatsplanung!$E65*Monatsplanung!$G65)</f>
        <v>0</v>
      </c>
      <c r="D65" s="168">
        <f>Personalplanung!G65</f>
        <v>0</v>
      </c>
      <c r="E65" s="168">
        <f>IF(ISERROR(Personalplanung!H65/Monatsplanung!$E65*Monatsplanung!$G65),0,Personalplanung!H65/Monatsplanung!$E65*Monatsplanung!$G65)</f>
        <v>0</v>
      </c>
      <c r="F65" s="168">
        <f t="shared" si="0"/>
        <v>0</v>
      </c>
      <c r="G65" s="168" t="e">
        <f>Personalplanung!K65</f>
        <v>#DIV/0!</v>
      </c>
      <c r="H65" s="168" t="e">
        <f t="shared" si="1"/>
        <v>#DIV/0!</v>
      </c>
      <c r="I65" s="168">
        <f>Personalplanung!V65</f>
        <v>0</v>
      </c>
      <c r="J65" s="739"/>
      <c r="K65" s="168">
        <f>IF(J65&lt;&gt;"",J65,IF(ISERROR(Personalplanung!AB65/Monatsplanung!$E65*Monatsplanung!$G65),0,Personalplanung!AB65/Monatsplanung!$E65*Monatsplanung!$G65))</f>
        <v>0</v>
      </c>
      <c r="L65" s="740"/>
      <c r="M65" s="739"/>
      <c r="N65" s="168">
        <f>IF(M65&lt;&gt;"",M65,IF(ISERROR(Personalplanung!AC65/Monatsplanung!$E65*Monatsplanung!$G65),0,Personalplanung!AC65/Monatsplanung!$E65*Monatsplanung!$G65))</f>
        <v>0</v>
      </c>
      <c r="O65" s="740"/>
      <c r="P65" s="739"/>
      <c r="Q65" s="168">
        <f>IF(P65&lt;&gt;"",P65,IF(ISERROR(Personalplanung!AD65/Monatsplanung!$E65*Monatsplanung!$G65),0,Personalplanung!AD65/Monatsplanung!$E65*Monatsplanung!$G65))</f>
        <v>0</v>
      </c>
      <c r="R65" s="740"/>
      <c r="S65" s="739"/>
      <c r="T65" s="168">
        <f>IF(S65&lt;&gt;"",S65,IF(ISERROR(Personalplanung!AE65/Monatsplanung!$E65*Monatsplanung!$G65),0,Personalplanung!AE65/Monatsplanung!$E65*Monatsplanung!$G65))</f>
        <v>0</v>
      </c>
      <c r="U65" s="740"/>
      <c r="V65" s="168">
        <f t="shared" si="2"/>
        <v>0</v>
      </c>
      <c r="W65" s="168">
        <f>IF(ISERROR(Personalplanung!P65/Monatsplanung!$E65*Monatsplanung!$G65),0,Personalplanung!P65/Monatsplanung!$E65*Monatsplanung!$G65)</f>
        <v>0</v>
      </c>
      <c r="X65" s="168">
        <f>IF(ISERROR(Personalplanung!Q65/Monatsplanung!$E65*Monatsplanung!$G65),0,Personalplanung!Q65/Monatsplanung!$E65*Monatsplanung!$G65)</f>
        <v>0</v>
      </c>
      <c r="Y65" s="168">
        <f>IF(ISERROR(Personalplanung!R65/T1313*Stundencontrolling!T65),0,Personalplanung!R65/T1313*Stundencontrolling!T65)</f>
        <v>0</v>
      </c>
      <c r="Z65" s="168">
        <f>IF(ISERROR(Personalplanung!S65/Monatsplanung!$E65*Monatsplanung!$G65),0,Personalplanung!S65/Monatsplanung!$E65*Monatsplanung!$G65)</f>
        <v>0</v>
      </c>
      <c r="AA65" s="80" t="e">
        <f t="shared" si="3"/>
        <v>#DIV/0!</v>
      </c>
      <c r="AB65" s="102">
        <f>Personalplanung!AG65</f>
        <v>0</v>
      </c>
      <c r="AC65" s="103" t="e">
        <f t="shared" si="4"/>
        <v>#DIV/0!</v>
      </c>
      <c r="AD65" s="103" t="e">
        <f t="shared" si="5"/>
        <v>#DIV/0!</v>
      </c>
      <c r="AE65" s="81">
        <f t="shared" si="6"/>
        <v>0</v>
      </c>
      <c r="AF65" s="539"/>
      <c r="AG65" s="104">
        <f>Personalplanung!AK65</f>
        <v>0</v>
      </c>
      <c r="AH65" s="7">
        <f t="shared" si="7"/>
        <v>0</v>
      </c>
      <c r="AI65" s="6">
        <f t="shared" si="8"/>
        <v>0</v>
      </c>
      <c r="AJ65" s="73">
        <f t="shared" si="9"/>
        <v>0</v>
      </c>
      <c r="AK65" s="539"/>
      <c r="AL65" s="748"/>
      <c r="AM65" s="748"/>
    </row>
    <row r="66" spans="2:39" x14ac:dyDescent="0.2">
      <c r="B66" s="101" t="str">
        <f>IF(Personalplanung!B66&lt;&gt;"",Personalplanung!B66,IF(Personalplanung!A66&lt;&gt;"",Personalplanung!A66,""))</f>
        <v/>
      </c>
      <c r="C66" s="168">
        <f>IF(ISERROR(Personalplanung!$F66/Monatsplanung!$E66*Monatsplanung!$G66),0,Personalplanung!$F66/Monatsplanung!$E66*Monatsplanung!$G66)</f>
        <v>0</v>
      </c>
      <c r="D66" s="168">
        <f>Personalplanung!G66</f>
        <v>0</v>
      </c>
      <c r="E66" s="168">
        <f>IF(ISERROR(Personalplanung!H66/Monatsplanung!$E66*Monatsplanung!$G66),0,Personalplanung!H66/Monatsplanung!$E66*Monatsplanung!$G66)</f>
        <v>0</v>
      </c>
      <c r="F66" s="168">
        <f t="shared" si="0"/>
        <v>0</v>
      </c>
      <c r="G66" s="168" t="e">
        <f>Personalplanung!K66</f>
        <v>#DIV/0!</v>
      </c>
      <c r="H66" s="168" t="e">
        <f t="shared" si="1"/>
        <v>#DIV/0!</v>
      </c>
      <c r="I66" s="168">
        <f>Personalplanung!V66</f>
        <v>0</v>
      </c>
      <c r="J66" s="739"/>
      <c r="K66" s="168">
        <f>IF(J66&lt;&gt;"",J66,IF(ISERROR(Personalplanung!AB66/Monatsplanung!$E66*Monatsplanung!$G66),0,Personalplanung!AB66/Monatsplanung!$E66*Monatsplanung!$G66))</f>
        <v>0</v>
      </c>
      <c r="L66" s="740"/>
      <c r="M66" s="739"/>
      <c r="N66" s="168">
        <f>IF(M66&lt;&gt;"",M66,IF(ISERROR(Personalplanung!AC66/Monatsplanung!$E66*Monatsplanung!$G66),0,Personalplanung!AC66/Monatsplanung!$E66*Monatsplanung!$G66))</f>
        <v>0</v>
      </c>
      <c r="O66" s="740"/>
      <c r="P66" s="739"/>
      <c r="Q66" s="168">
        <f>IF(P66&lt;&gt;"",P66,IF(ISERROR(Personalplanung!AD66/Monatsplanung!$E66*Monatsplanung!$G66),0,Personalplanung!AD66/Monatsplanung!$E66*Monatsplanung!$G66))</f>
        <v>0</v>
      </c>
      <c r="R66" s="740"/>
      <c r="S66" s="739"/>
      <c r="T66" s="168">
        <f>IF(S66&lt;&gt;"",S66,IF(ISERROR(Personalplanung!AE66/Monatsplanung!$E66*Monatsplanung!$G66),0,Personalplanung!AE66/Monatsplanung!$E66*Monatsplanung!$G66))</f>
        <v>0</v>
      </c>
      <c r="U66" s="740"/>
      <c r="V66" s="168">
        <f t="shared" si="2"/>
        <v>0</v>
      </c>
      <c r="W66" s="168">
        <f>IF(ISERROR(Personalplanung!P66/Monatsplanung!$E66*Monatsplanung!$G66),0,Personalplanung!P66/Monatsplanung!$E66*Monatsplanung!$G66)</f>
        <v>0</v>
      </c>
      <c r="X66" s="168">
        <f>IF(ISERROR(Personalplanung!Q66/Monatsplanung!$E66*Monatsplanung!$G66),0,Personalplanung!Q66/Monatsplanung!$E66*Monatsplanung!$G66)</f>
        <v>0</v>
      </c>
      <c r="Y66" s="168">
        <f>IF(ISERROR(Personalplanung!R66/T1314*Stundencontrolling!T66),0,Personalplanung!R66/T1314*Stundencontrolling!T66)</f>
        <v>0</v>
      </c>
      <c r="Z66" s="168">
        <f>IF(ISERROR(Personalplanung!S66/Monatsplanung!$E66*Monatsplanung!$G66),0,Personalplanung!S66/Monatsplanung!$E66*Monatsplanung!$G66)</f>
        <v>0</v>
      </c>
      <c r="AA66" s="80" t="e">
        <f t="shared" si="3"/>
        <v>#DIV/0!</v>
      </c>
      <c r="AB66" s="102">
        <f>Personalplanung!AG66</f>
        <v>0</v>
      </c>
      <c r="AC66" s="103" t="e">
        <f t="shared" si="4"/>
        <v>#DIV/0!</v>
      </c>
      <c r="AD66" s="103" t="e">
        <f t="shared" si="5"/>
        <v>#DIV/0!</v>
      </c>
      <c r="AE66" s="81">
        <f t="shared" si="6"/>
        <v>0</v>
      </c>
      <c r="AF66" s="539"/>
      <c r="AG66" s="104">
        <f>Personalplanung!AK66</f>
        <v>0</v>
      </c>
      <c r="AH66" s="7">
        <f t="shared" si="7"/>
        <v>0</v>
      </c>
      <c r="AI66" s="6">
        <f t="shared" si="8"/>
        <v>0</v>
      </c>
      <c r="AJ66" s="73">
        <f t="shared" si="9"/>
        <v>0</v>
      </c>
      <c r="AK66" s="539"/>
      <c r="AL66" s="748"/>
      <c r="AM66" s="748"/>
    </row>
    <row r="67" spans="2:39" x14ac:dyDescent="0.2">
      <c r="B67" s="101" t="str">
        <f>IF(Personalplanung!B67&lt;&gt;"",Personalplanung!B67,IF(Personalplanung!A67&lt;&gt;"",Personalplanung!A67,""))</f>
        <v/>
      </c>
      <c r="C67" s="168">
        <f>IF(ISERROR(Personalplanung!$F67/Monatsplanung!$E67*Monatsplanung!$G67),0,Personalplanung!$F67/Monatsplanung!$E67*Monatsplanung!$G67)</f>
        <v>0</v>
      </c>
      <c r="D67" s="168">
        <f>Personalplanung!G67</f>
        <v>0</v>
      </c>
      <c r="E67" s="168">
        <f>IF(ISERROR(Personalplanung!H67/Monatsplanung!$E67*Monatsplanung!$G67),0,Personalplanung!H67/Monatsplanung!$E67*Monatsplanung!$G67)</f>
        <v>0</v>
      </c>
      <c r="F67" s="168">
        <f t="shared" si="0"/>
        <v>0</v>
      </c>
      <c r="G67" s="168" t="e">
        <f>Personalplanung!K67</f>
        <v>#DIV/0!</v>
      </c>
      <c r="H67" s="168" t="e">
        <f t="shared" si="1"/>
        <v>#DIV/0!</v>
      </c>
      <c r="I67" s="168">
        <f>Personalplanung!V67</f>
        <v>0</v>
      </c>
      <c r="J67" s="739"/>
      <c r="K67" s="168">
        <f>IF(J67&lt;&gt;"",J67,IF(ISERROR(Personalplanung!AB67/Monatsplanung!$E67*Monatsplanung!$G67),0,Personalplanung!AB67/Monatsplanung!$E67*Monatsplanung!$G67))</f>
        <v>0</v>
      </c>
      <c r="L67" s="740"/>
      <c r="M67" s="739"/>
      <c r="N67" s="168">
        <f>IF(M67&lt;&gt;"",M67,IF(ISERROR(Personalplanung!AC67/Monatsplanung!$E67*Monatsplanung!$G67),0,Personalplanung!AC67/Monatsplanung!$E67*Monatsplanung!$G67))</f>
        <v>0</v>
      </c>
      <c r="O67" s="740"/>
      <c r="P67" s="739"/>
      <c r="Q67" s="168">
        <f>IF(P67&lt;&gt;"",P67,IF(ISERROR(Personalplanung!AD67/Monatsplanung!$E67*Monatsplanung!$G67),0,Personalplanung!AD67/Monatsplanung!$E67*Monatsplanung!$G67))</f>
        <v>0</v>
      </c>
      <c r="R67" s="740"/>
      <c r="S67" s="739"/>
      <c r="T67" s="168">
        <f>IF(S67&lt;&gt;"",S67,IF(ISERROR(Personalplanung!AE67/Monatsplanung!$E67*Monatsplanung!$G67),0,Personalplanung!AE67/Monatsplanung!$E67*Monatsplanung!$G67))</f>
        <v>0</v>
      </c>
      <c r="U67" s="740"/>
      <c r="V67" s="168">
        <f t="shared" si="2"/>
        <v>0</v>
      </c>
      <c r="W67" s="168">
        <f>IF(ISERROR(Personalplanung!P67/Monatsplanung!$E67*Monatsplanung!$G67),0,Personalplanung!P67/Monatsplanung!$E67*Monatsplanung!$G67)</f>
        <v>0</v>
      </c>
      <c r="X67" s="168">
        <f>IF(ISERROR(Personalplanung!Q67/Monatsplanung!$E67*Monatsplanung!$G67),0,Personalplanung!Q67/Monatsplanung!$E67*Monatsplanung!$G67)</f>
        <v>0</v>
      </c>
      <c r="Y67" s="168">
        <f>IF(ISERROR(Personalplanung!R67/T1315*Stundencontrolling!T67),0,Personalplanung!R67/T1315*Stundencontrolling!T67)</f>
        <v>0</v>
      </c>
      <c r="Z67" s="168">
        <f>IF(ISERROR(Personalplanung!S67/Monatsplanung!$E67*Monatsplanung!$G67),0,Personalplanung!S67/Monatsplanung!$E67*Monatsplanung!$G67)</f>
        <v>0</v>
      </c>
      <c r="AA67" s="80" t="e">
        <f t="shared" si="3"/>
        <v>#DIV/0!</v>
      </c>
      <c r="AB67" s="102">
        <f>Personalplanung!AG67</f>
        <v>0</v>
      </c>
      <c r="AC67" s="103" t="e">
        <f t="shared" si="4"/>
        <v>#DIV/0!</v>
      </c>
      <c r="AD67" s="103" t="e">
        <f t="shared" si="5"/>
        <v>#DIV/0!</v>
      </c>
      <c r="AE67" s="81">
        <f t="shared" si="6"/>
        <v>0</v>
      </c>
      <c r="AF67" s="539"/>
      <c r="AG67" s="104">
        <f>Personalplanung!AK67</f>
        <v>0</v>
      </c>
      <c r="AH67" s="7">
        <f t="shared" si="7"/>
        <v>0</v>
      </c>
      <c r="AI67" s="6">
        <f t="shared" si="8"/>
        <v>0</v>
      </c>
      <c r="AJ67" s="73">
        <f t="shared" si="9"/>
        <v>0</v>
      </c>
      <c r="AK67" s="539"/>
      <c r="AL67" s="748"/>
      <c r="AM67" s="748"/>
    </row>
    <row r="68" spans="2:39" x14ac:dyDescent="0.2">
      <c r="B68" s="101" t="str">
        <f>IF(Personalplanung!B68&lt;&gt;"",Personalplanung!B68,IF(Personalplanung!A68&lt;&gt;"",Personalplanung!A68,""))</f>
        <v/>
      </c>
      <c r="C68" s="168">
        <f>IF(ISERROR(Personalplanung!$F68/Monatsplanung!$E68*Monatsplanung!$G68),0,Personalplanung!$F68/Monatsplanung!$E68*Monatsplanung!$G68)</f>
        <v>0</v>
      </c>
      <c r="D68" s="168">
        <f>Personalplanung!G68</f>
        <v>0</v>
      </c>
      <c r="E68" s="168">
        <f>IF(ISERROR(Personalplanung!H68/Monatsplanung!$E68*Monatsplanung!$G68),0,Personalplanung!H68/Monatsplanung!$E68*Monatsplanung!$G68)</f>
        <v>0</v>
      </c>
      <c r="F68" s="168">
        <f t="shared" si="0"/>
        <v>0</v>
      </c>
      <c r="G68" s="168" t="e">
        <f>Personalplanung!K68</f>
        <v>#DIV/0!</v>
      </c>
      <c r="H68" s="168" t="e">
        <f t="shared" si="1"/>
        <v>#DIV/0!</v>
      </c>
      <c r="I68" s="168">
        <f>Personalplanung!V68</f>
        <v>0</v>
      </c>
      <c r="J68" s="739"/>
      <c r="K68" s="168">
        <f>IF(J68&lt;&gt;"",J68,IF(ISERROR(Personalplanung!AB68/Monatsplanung!$E68*Monatsplanung!$G68),0,Personalplanung!AB68/Monatsplanung!$E68*Monatsplanung!$G68))</f>
        <v>0</v>
      </c>
      <c r="L68" s="740"/>
      <c r="M68" s="739"/>
      <c r="N68" s="168">
        <f>IF(M68&lt;&gt;"",M68,IF(ISERROR(Personalplanung!AC68/Monatsplanung!$E68*Monatsplanung!$G68),0,Personalplanung!AC68/Monatsplanung!$E68*Monatsplanung!$G68))</f>
        <v>0</v>
      </c>
      <c r="O68" s="740"/>
      <c r="P68" s="739"/>
      <c r="Q68" s="168">
        <f>IF(P68&lt;&gt;"",P68,IF(ISERROR(Personalplanung!AD68/Monatsplanung!$E68*Monatsplanung!$G68),0,Personalplanung!AD68/Monatsplanung!$E68*Monatsplanung!$G68))</f>
        <v>0</v>
      </c>
      <c r="R68" s="740"/>
      <c r="S68" s="739"/>
      <c r="T68" s="168">
        <f>IF(S68&lt;&gt;"",S68,IF(ISERROR(Personalplanung!AE68/Monatsplanung!$E68*Monatsplanung!$G68),0,Personalplanung!AE68/Monatsplanung!$E68*Monatsplanung!$G68))</f>
        <v>0</v>
      </c>
      <c r="U68" s="740"/>
      <c r="V68" s="168">
        <f t="shared" si="2"/>
        <v>0</v>
      </c>
      <c r="W68" s="168">
        <f>IF(ISERROR(Personalplanung!P68/Monatsplanung!$E68*Monatsplanung!$G68),0,Personalplanung!P68/Monatsplanung!$E68*Monatsplanung!$G68)</f>
        <v>0</v>
      </c>
      <c r="X68" s="168">
        <f>IF(ISERROR(Personalplanung!Q68/Monatsplanung!$E68*Monatsplanung!$G68),0,Personalplanung!Q68/Monatsplanung!$E68*Monatsplanung!$G68)</f>
        <v>0</v>
      </c>
      <c r="Y68" s="168">
        <f>IF(ISERROR(Personalplanung!R68/T1316*Stundencontrolling!T68),0,Personalplanung!R68/T1316*Stundencontrolling!T68)</f>
        <v>0</v>
      </c>
      <c r="Z68" s="168">
        <f>IF(ISERROR(Personalplanung!S68/Monatsplanung!$E68*Monatsplanung!$G68),0,Personalplanung!S68/Monatsplanung!$E68*Monatsplanung!$G68)</f>
        <v>0</v>
      </c>
      <c r="AA68" s="80" t="e">
        <f t="shared" si="3"/>
        <v>#DIV/0!</v>
      </c>
      <c r="AB68" s="102">
        <f>Personalplanung!AG68</f>
        <v>0</v>
      </c>
      <c r="AC68" s="103" t="e">
        <f t="shared" si="4"/>
        <v>#DIV/0!</v>
      </c>
      <c r="AD68" s="103" t="e">
        <f t="shared" si="5"/>
        <v>#DIV/0!</v>
      </c>
      <c r="AE68" s="81">
        <f t="shared" si="6"/>
        <v>0</v>
      </c>
      <c r="AF68" s="539"/>
      <c r="AG68" s="104">
        <f>Personalplanung!AK68</f>
        <v>0</v>
      </c>
      <c r="AH68" s="7">
        <f t="shared" si="7"/>
        <v>0</v>
      </c>
      <c r="AI68" s="6">
        <f t="shared" si="8"/>
        <v>0</v>
      </c>
      <c r="AJ68" s="73">
        <f t="shared" si="9"/>
        <v>0</v>
      </c>
      <c r="AK68" s="539"/>
      <c r="AL68" s="748"/>
      <c r="AM68" s="748"/>
    </row>
    <row r="69" spans="2:39" x14ac:dyDescent="0.2">
      <c r="B69" s="101" t="str">
        <f>IF(Personalplanung!B69&lt;&gt;"",Personalplanung!B69,IF(Personalplanung!A69&lt;&gt;"",Personalplanung!A69,""))</f>
        <v/>
      </c>
      <c r="C69" s="168">
        <f>IF(ISERROR(Personalplanung!$F69/Monatsplanung!$E69*Monatsplanung!$G69),0,Personalplanung!$F69/Monatsplanung!$E69*Monatsplanung!$G69)</f>
        <v>0</v>
      </c>
      <c r="D69" s="168">
        <f>Personalplanung!G69</f>
        <v>0</v>
      </c>
      <c r="E69" s="168">
        <f>IF(ISERROR(Personalplanung!H69/Monatsplanung!$E69*Monatsplanung!$G69),0,Personalplanung!H69/Monatsplanung!$E69*Monatsplanung!$G69)</f>
        <v>0</v>
      </c>
      <c r="F69" s="168">
        <f t="shared" si="0"/>
        <v>0</v>
      </c>
      <c r="G69" s="168" t="e">
        <f>Personalplanung!K69</f>
        <v>#DIV/0!</v>
      </c>
      <c r="H69" s="168" t="e">
        <f t="shared" si="1"/>
        <v>#DIV/0!</v>
      </c>
      <c r="I69" s="168">
        <f>Personalplanung!V69</f>
        <v>0</v>
      </c>
      <c r="J69" s="739"/>
      <c r="K69" s="168">
        <f>IF(J69&lt;&gt;"",J69,IF(ISERROR(Personalplanung!AB69/Monatsplanung!$E69*Monatsplanung!$G69),0,Personalplanung!AB69/Monatsplanung!$E69*Monatsplanung!$G69))</f>
        <v>0</v>
      </c>
      <c r="L69" s="740"/>
      <c r="M69" s="739"/>
      <c r="N69" s="168">
        <f>IF(M69&lt;&gt;"",M69,IF(ISERROR(Personalplanung!AC69/Monatsplanung!$E69*Monatsplanung!$G69),0,Personalplanung!AC69/Monatsplanung!$E69*Monatsplanung!$G69))</f>
        <v>0</v>
      </c>
      <c r="O69" s="740"/>
      <c r="P69" s="739"/>
      <c r="Q69" s="168">
        <f>IF(P69&lt;&gt;"",P69,IF(ISERROR(Personalplanung!AD69/Monatsplanung!$E69*Monatsplanung!$G69),0,Personalplanung!AD69/Monatsplanung!$E69*Monatsplanung!$G69))</f>
        <v>0</v>
      </c>
      <c r="R69" s="740"/>
      <c r="S69" s="739"/>
      <c r="T69" s="168">
        <f>IF(S69&lt;&gt;"",S69,IF(ISERROR(Personalplanung!AE69/Monatsplanung!$E69*Monatsplanung!$G69),0,Personalplanung!AE69/Monatsplanung!$E69*Monatsplanung!$G69))</f>
        <v>0</v>
      </c>
      <c r="U69" s="740"/>
      <c r="V69" s="168">
        <f t="shared" si="2"/>
        <v>0</v>
      </c>
      <c r="W69" s="168">
        <f>IF(ISERROR(Personalplanung!P69/Monatsplanung!$E69*Monatsplanung!$G69),0,Personalplanung!P69/Monatsplanung!$E69*Monatsplanung!$G69)</f>
        <v>0</v>
      </c>
      <c r="X69" s="168">
        <f>IF(ISERROR(Personalplanung!Q69/Monatsplanung!$E69*Monatsplanung!$G69),0,Personalplanung!Q69/Monatsplanung!$E69*Monatsplanung!$G69)</f>
        <v>0</v>
      </c>
      <c r="Y69" s="168">
        <f>IF(ISERROR(Personalplanung!R69/T1317*Stundencontrolling!T69),0,Personalplanung!R69/T1317*Stundencontrolling!T69)</f>
        <v>0</v>
      </c>
      <c r="Z69" s="168">
        <f>IF(ISERROR(Personalplanung!S69/Monatsplanung!$E69*Monatsplanung!$G69),0,Personalplanung!S69/Monatsplanung!$E69*Monatsplanung!$G69)</f>
        <v>0</v>
      </c>
      <c r="AA69" s="80" t="e">
        <f t="shared" si="3"/>
        <v>#DIV/0!</v>
      </c>
      <c r="AB69" s="102">
        <f>Personalplanung!AG69</f>
        <v>0</v>
      </c>
      <c r="AC69" s="103" t="e">
        <f t="shared" si="4"/>
        <v>#DIV/0!</v>
      </c>
      <c r="AD69" s="103" t="e">
        <f t="shared" si="5"/>
        <v>#DIV/0!</v>
      </c>
      <c r="AE69" s="81">
        <f t="shared" si="6"/>
        <v>0</v>
      </c>
      <c r="AF69" s="539"/>
      <c r="AG69" s="104">
        <f>Personalplanung!AK69</f>
        <v>0</v>
      </c>
      <c r="AH69" s="7">
        <f t="shared" si="7"/>
        <v>0</v>
      </c>
      <c r="AI69" s="6">
        <f t="shared" si="8"/>
        <v>0</v>
      </c>
      <c r="AJ69" s="73">
        <f t="shared" si="9"/>
        <v>0</v>
      </c>
      <c r="AK69" s="539"/>
      <c r="AL69" s="748"/>
      <c r="AM69" s="748"/>
    </row>
    <row r="70" spans="2:39" x14ac:dyDescent="0.2">
      <c r="B70" s="101" t="str">
        <f>IF(Personalplanung!B70&lt;&gt;"",Personalplanung!B70,IF(Personalplanung!A70&lt;&gt;"",Personalplanung!A70,""))</f>
        <v/>
      </c>
      <c r="C70" s="168">
        <f>IF(ISERROR(Personalplanung!$F70/Monatsplanung!$E70*Monatsplanung!$G70),0,Personalplanung!$F70/Monatsplanung!$E70*Monatsplanung!$G70)</f>
        <v>0</v>
      </c>
      <c r="D70" s="168">
        <f>Personalplanung!G70</f>
        <v>0</v>
      </c>
      <c r="E70" s="168">
        <f>IF(ISERROR(Personalplanung!H70/Monatsplanung!$E70*Monatsplanung!$G70),0,Personalplanung!H70/Monatsplanung!$E70*Monatsplanung!$G70)</f>
        <v>0</v>
      </c>
      <c r="F70" s="168">
        <f t="shared" si="0"/>
        <v>0</v>
      </c>
      <c r="G70" s="168" t="e">
        <f>Personalplanung!K70</f>
        <v>#DIV/0!</v>
      </c>
      <c r="H70" s="168" t="e">
        <f t="shared" si="1"/>
        <v>#DIV/0!</v>
      </c>
      <c r="I70" s="168">
        <f>Personalplanung!V70</f>
        <v>0</v>
      </c>
      <c r="J70" s="739"/>
      <c r="K70" s="168">
        <f>IF(J70&lt;&gt;"",J70,IF(ISERROR(Personalplanung!AB70/Monatsplanung!$E70*Monatsplanung!$G70),0,Personalplanung!AB70/Monatsplanung!$E70*Monatsplanung!$G70))</f>
        <v>0</v>
      </c>
      <c r="L70" s="740"/>
      <c r="M70" s="739"/>
      <c r="N70" s="168">
        <f>IF(M70&lt;&gt;"",M70,IF(ISERROR(Personalplanung!AC70/Monatsplanung!$E70*Monatsplanung!$G70),0,Personalplanung!AC70/Monatsplanung!$E70*Monatsplanung!$G70))</f>
        <v>0</v>
      </c>
      <c r="O70" s="740"/>
      <c r="P70" s="739"/>
      <c r="Q70" s="168">
        <f>IF(P70&lt;&gt;"",P70,IF(ISERROR(Personalplanung!AD70/Monatsplanung!$E70*Monatsplanung!$G70),0,Personalplanung!AD70/Monatsplanung!$E70*Monatsplanung!$G70))</f>
        <v>0</v>
      </c>
      <c r="R70" s="740"/>
      <c r="S70" s="739"/>
      <c r="T70" s="168">
        <f>IF(S70&lt;&gt;"",S70,IF(ISERROR(Personalplanung!AE70/Monatsplanung!$E70*Monatsplanung!$G70),0,Personalplanung!AE70/Monatsplanung!$E70*Monatsplanung!$G70))</f>
        <v>0</v>
      </c>
      <c r="U70" s="740"/>
      <c r="V70" s="168">
        <f t="shared" si="2"/>
        <v>0</v>
      </c>
      <c r="W70" s="168">
        <f>IF(ISERROR(Personalplanung!P70/Monatsplanung!$E70*Monatsplanung!$G70),0,Personalplanung!P70/Monatsplanung!$E70*Monatsplanung!$G70)</f>
        <v>0</v>
      </c>
      <c r="X70" s="168">
        <f>IF(ISERROR(Personalplanung!Q70/Monatsplanung!$E70*Monatsplanung!$G70),0,Personalplanung!Q70/Monatsplanung!$E70*Monatsplanung!$G70)</f>
        <v>0</v>
      </c>
      <c r="Y70" s="168">
        <f>IF(ISERROR(Personalplanung!R70/T1318*Stundencontrolling!T70),0,Personalplanung!R70/T1318*Stundencontrolling!T70)</f>
        <v>0</v>
      </c>
      <c r="Z70" s="168">
        <f>IF(ISERROR(Personalplanung!S70/Monatsplanung!$E70*Monatsplanung!$G70),0,Personalplanung!S70/Monatsplanung!$E70*Monatsplanung!$G70)</f>
        <v>0</v>
      </c>
      <c r="AA70" s="80" t="e">
        <f t="shared" si="3"/>
        <v>#DIV/0!</v>
      </c>
      <c r="AB70" s="102">
        <f>Personalplanung!AG70</f>
        <v>0</v>
      </c>
      <c r="AC70" s="103" t="e">
        <f t="shared" si="4"/>
        <v>#DIV/0!</v>
      </c>
      <c r="AD70" s="103" t="e">
        <f t="shared" si="5"/>
        <v>#DIV/0!</v>
      </c>
      <c r="AE70" s="81">
        <f t="shared" si="6"/>
        <v>0</v>
      </c>
      <c r="AF70" s="539"/>
      <c r="AG70" s="104">
        <f>Personalplanung!AK70</f>
        <v>0</v>
      </c>
      <c r="AH70" s="7">
        <f t="shared" si="7"/>
        <v>0</v>
      </c>
      <c r="AI70" s="6">
        <f t="shared" si="8"/>
        <v>0</v>
      </c>
      <c r="AJ70" s="73">
        <f t="shared" si="9"/>
        <v>0</v>
      </c>
      <c r="AK70" s="539"/>
      <c r="AL70" s="748"/>
      <c r="AM70" s="748"/>
    </row>
    <row r="71" spans="2:39" x14ac:dyDescent="0.2">
      <c r="B71" s="101" t="str">
        <f>IF(Personalplanung!B71&lt;&gt;"",Personalplanung!B71,IF(Personalplanung!A71&lt;&gt;"",Personalplanung!A71,""))</f>
        <v/>
      </c>
      <c r="C71" s="168">
        <f>IF(ISERROR(Personalplanung!$F71/Monatsplanung!$E71*Monatsplanung!$G71),0,Personalplanung!$F71/Monatsplanung!$E71*Monatsplanung!$G71)</f>
        <v>0</v>
      </c>
      <c r="D71" s="168">
        <f>Personalplanung!G71</f>
        <v>0</v>
      </c>
      <c r="E71" s="168">
        <f>IF(ISERROR(Personalplanung!H71/Monatsplanung!$E71*Monatsplanung!$G71),0,Personalplanung!H71/Monatsplanung!$E71*Monatsplanung!$G71)</f>
        <v>0</v>
      </c>
      <c r="F71" s="168">
        <f t="shared" ref="F71:F106" si="10">+C71+E71</f>
        <v>0</v>
      </c>
      <c r="G71" s="168" t="e">
        <f>Personalplanung!K71</f>
        <v>#DIV/0!</v>
      </c>
      <c r="H71" s="168" t="e">
        <f t="shared" ref="H71:H106" si="11">+F71*G71</f>
        <v>#DIV/0!</v>
      </c>
      <c r="I71" s="168">
        <f>Personalplanung!V71</f>
        <v>0</v>
      </c>
      <c r="J71" s="739"/>
      <c r="K71" s="168">
        <f>IF(J71&lt;&gt;"",J71,IF(ISERROR(Personalplanung!AB71/Monatsplanung!$E71*Monatsplanung!$G71),0,Personalplanung!AB71/Monatsplanung!$E71*Monatsplanung!$G71))</f>
        <v>0</v>
      </c>
      <c r="L71" s="740"/>
      <c r="M71" s="739"/>
      <c r="N71" s="168">
        <f>IF(M71&lt;&gt;"",M71,IF(ISERROR(Personalplanung!AC71/Monatsplanung!$E71*Monatsplanung!$G71),0,Personalplanung!AC71/Monatsplanung!$E71*Monatsplanung!$G71))</f>
        <v>0</v>
      </c>
      <c r="O71" s="740"/>
      <c r="P71" s="739"/>
      <c r="Q71" s="168">
        <f>IF(P71&lt;&gt;"",P71,IF(ISERROR(Personalplanung!AD71/Monatsplanung!$E71*Monatsplanung!$G71),0,Personalplanung!AD71/Monatsplanung!$E71*Monatsplanung!$G71))</f>
        <v>0</v>
      </c>
      <c r="R71" s="740"/>
      <c r="S71" s="739"/>
      <c r="T71" s="168">
        <f>IF(S71&lt;&gt;"",S71,IF(ISERROR(Personalplanung!AE71/Monatsplanung!$E71*Monatsplanung!$G71),0,Personalplanung!AE71/Monatsplanung!$E71*Monatsplanung!$G71))</f>
        <v>0</v>
      </c>
      <c r="U71" s="740"/>
      <c r="V71" s="168">
        <f t="shared" ref="V71:V106" si="12">K71+N71+Q71+T71</f>
        <v>0</v>
      </c>
      <c r="W71" s="168">
        <f>IF(ISERROR(Personalplanung!P71/Monatsplanung!$E71*Monatsplanung!$G71),0,Personalplanung!P71/Monatsplanung!$E71*Monatsplanung!$G71)</f>
        <v>0</v>
      </c>
      <c r="X71" s="168">
        <f>IF(ISERROR(Personalplanung!Q71/Monatsplanung!$E71*Monatsplanung!$G71),0,Personalplanung!Q71/Monatsplanung!$E71*Monatsplanung!$G71)</f>
        <v>0</v>
      </c>
      <c r="Y71" s="168">
        <f>IF(ISERROR(Personalplanung!R71/T1319*Stundencontrolling!T71),0,Personalplanung!R71/T1319*Stundencontrolling!T71)</f>
        <v>0</v>
      </c>
      <c r="Z71" s="168">
        <f>IF(ISERROR(Personalplanung!S71/Monatsplanung!$E71*Monatsplanung!$G71),0,Personalplanung!S71/Monatsplanung!$E71*Monatsplanung!$G71)</f>
        <v>0</v>
      </c>
      <c r="AA71" s="80" t="e">
        <f t="shared" ref="AA71:AA106" si="13">+F71*G71*(1+I71)+SUM(W71:Z71)</f>
        <v>#DIV/0!</v>
      </c>
      <c r="AB71" s="102">
        <f>Personalplanung!AG71</f>
        <v>0</v>
      </c>
      <c r="AC71" s="103" t="e">
        <f t="shared" ref="AC71:AC106" si="14">AB71*AA71</f>
        <v>#DIV/0!</v>
      </c>
      <c r="AD71" s="103" t="e">
        <f t="shared" ref="AD71:AD106" si="15">AA71-AC71</f>
        <v>#DIV/0!</v>
      </c>
      <c r="AE71" s="81">
        <f t="shared" ref="AE71:AE106" si="16">(F71-(V71*$D71))*AB71</f>
        <v>0</v>
      </c>
      <c r="AF71" s="539"/>
      <c r="AG71" s="104">
        <f>Personalplanung!AK71</f>
        <v>0</v>
      </c>
      <c r="AH71" s="7">
        <f t="shared" ref="AH71:AH106" si="17">IF(ISERROR(AK71/AF71),0,AK71/AF71)</f>
        <v>0</v>
      </c>
      <c r="AI71" s="6">
        <f t="shared" ref="AI71:AI106" si="18">AE71*AG71</f>
        <v>0</v>
      </c>
      <c r="AJ71" s="73">
        <f t="shared" ref="AJ71:AJ106" si="19">IF(ISERROR(+AC71/AI71),0,+AC71/AI71)</f>
        <v>0</v>
      </c>
      <c r="AK71" s="539"/>
      <c r="AL71" s="748"/>
      <c r="AM71" s="748"/>
    </row>
    <row r="72" spans="2:39" x14ac:dyDescent="0.2">
      <c r="B72" s="101" t="str">
        <f>IF(Personalplanung!B72&lt;&gt;"",Personalplanung!B72,IF(Personalplanung!A72&lt;&gt;"",Personalplanung!A72,""))</f>
        <v/>
      </c>
      <c r="C72" s="168">
        <f>IF(ISERROR(Personalplanung!$F72/Monatsplanung!$E72*Monatsplanung!$G72),0,Personalplanung!$F72/Monatsplanung!$E72*Monatsplanung!$G72)</f>
        <v>0</v>
      </c>
      <c r="D72" s="168">
        <f>Personalplanung!G72</f>
        <v>0</v>
      </c>
      <c r="E72" s="168">
        <f>IF(ISERROR(Personalplanung!H72/Monatsplanung!$E72*Monatsplanung!$G72),0,Personalplanung!H72/Monatsplanung!$E72*Monatsplanung!$G72)</f>
        <v>0</v>
      </c>
      <c r="F72" s="168">
        <f t="shared" si="10"/>
        <v>0</v>
      </c>
      <c r="G72" s="168" t="e">
        <f>Personalplanung!K72</f>
        <v>#DIV/0!</v>
      </c>
      <c r="H72" s="168" t="e">
        <f t="shared" si="11"/>
        <v>#DIV/0!</v>
      </c>
      <c r="I72" s="168">
        <f>Personalplanung!V72</f>
        <v>0</v>
      </c>
      <c r="J72" s="739"/>
      <c r="K72" s="168">
        <f>IF(J72&lt;&gt;"",J72,IF(ISERROR(Personalplanung!AB72/Monatsplanung!$E72*Monatsplanung!$G72),0,Personalplanung!AB72/Monatsplanung!$E72*Monatsplanung!$G72))</f>
        <v>0</v>
      </c>
      <c r="L72" s="740"/>
      <c r="M72" s="739"/>
      <c r="N72" s="168">
        <f>IF(M72&lt;&gt;"",M72,IF(ISERROR(Personalplanung!AC72/Monatsplanung!$E72*Monatsplanung!$G72),0,Personalplanung!AC72/Monatsplanung!$E72*Monatsplanung!$G72))</f>
        <v>0</v>
      </c>
      <c r="O72" s="740"/>
      <c r="P72" s="739"/>
      <c r="Q72" s="168">
        <f>IF(P72&lt;&gt;"",P72,IF(ISERROR(Personalplanung!AD72/Monatsplanung!$E72*Monatsplanung!$G72),0,Personalplanung!AD72/Monatsplanung!$E72*Monatsplanung!$G72))</f>
        <v>0</v>
      </c>
      <c r="R72" s="740"/>
      <c r="S72" s="739"/>
      <c r="T72" s="168">
        <f>IF(S72&lt;&gt;"",S72,IF(ISERROR(Personalplanung!AE72/Monatsplanung!$E72*Monatsplanung!$G72),0,Personalplanung!AE72/Monatsplanung!$E72*Monatsplanung!$G72))</f>
        <v>0</v>
      </c>
      <c r="U72" s="740"/>
      <c r="V72" s="168">
        <f t="shared" si="12"/>
        <v>0</v>
      </c>
      <c r="W72" s="168">
        <f>IF(ISERROR(Personalplanung!P72/Monatsplanung!$E72*Monatsplanung!$G72),0,Personalplanung!P72/Monatsplanung!$E72*Monatsplanung!$G72)</f>
        <v>0</v>
      </c>
      <c r="X72" s="168">
        <f>IF(ISERROR(Personalplanung!Q72/Monatsplanung!$E72*Monatsplanung!$G72),0,Personalplanung!Q72/Monatsplanung!$E72*Monatsplanung!$G72)</f>
        <v>0</v>
      </c>
      <c r="Y72" s="168">
        <f>IF(ISERROR(Personalplanung!R72/T1320*Stundencontrolling!T72),0,Personalplanung!R72/T1320*Stundencontrolling!T72)</f>
        <v>0</v>
      </c>
      <c r="Z72" s="168">
        <f>IF(ISERROR(Personalplanung!S72/Monatsplanung!$E72*Monatsplanung!$G72),0,Personalplanung!S72/Monatsplanung!$E72*Monatsplanung!$G72)</f>
        <v>0</v>
      </c>
      <c r="AA72" s="80" t="e">
        <f t="shared" si="13"/>
        <v>#DIV/0!</v>
      </c>
      <c r="AB72" s="102">
        <f>Personalplanung!AG72</f>
        <v>0</v>
      </c>
      <c r="AC72" s="103" t="e">
        <f t="shared" si="14"/>
        <v>#DIV/0!</v>
      </c>
      <c r="AD72" s="103" t="e">
        <f t="shared" si="15"/>
        <v>#DIV/0!</v>
      </c>
      <c r="AE72" s="81">
        <f t="shared" si="16"/>
        <v>0</v>
      </c>
      <c r="AF72" s="539"/>
      <c r="AG72" s="104">
        <f>Personalplanung!AK72</f>
        <v>0</v>
      </c>
      <c r="AH72" s="7">
        <f t="shared" si="17"/>
        <v>0</v>
      </c>
      <c r="AI72" s="6">
        <f t="shared" si="18"/>
        <v>0</v>
      </c>
      <c r="AJ72" s="73">
        <f t="shared" si="19"/>
        <v>0</v>
      </c>
      <c r="AK72" s="539"/>
      <c r="AL72" s="748"/>
      <c r="AM72" s="748"/>
    </row>
    <row r="73" spans="2:39" x14ac:dyDescent="0.2">
      <c r="B73" s="101" t="str">
        <f>IF(Personalplanung!B73&lt;&gt;"",Personalplanung!B73,IF(Personalplanung!A73&lt;&gt;"",Personalplanung!A73,""))</f>
        <v/>
      </c>
      <c r="C73" s="168">
        <f>IF(ISERROR(Personalplanung!$F73/Monatsplanung!$E73*Monatsplanung!$G73),0,Personalplanung!$F73/Monatsplanung!$E73*Monatsplanung!$G73)</f>
        <v>0</v>
      </c>
      <c r="D73" s="168">
        <f>Personalplanung!G73</f>
        <v>0</v>
      </c>
      <c r="E73" s="168">
        <f>IF(ISERROR(Personalplanung!H73/Monatsplanung!$E73*Monatsplanung!$G73),0,Personalplanung!H73/Monatsplanung!$E73*Monatsplanung!$G73)</f>
        <v>0</v>
      </c>
      <c r="F73" s="168">
        <f t="shared" si="10"/>
        <v>0</v>
      </c>
      <c r="G73" s="168" t="e">
        <f>Personalplanung!K73</f>
        <v>#DIV/0!</v>
      </c>
      <c r="H73" s="168" t="e">
        <f t="shared" si="11"/>
        <v>#DIV/0!</v>
      </c>
      <c r="I73" s="168">
        <f>Personalplanung!V73</f>
        <v>0</v>
      </c>
      <c r="J73" s="739"/>
      <c r="K73" s="168">
        <f>IF(J73&lt;&gt;"",J73,IF(ISERROR(Personalplanung!AB73/Monatsplanung!$E73*Monatsplanung!$G73),0,Personalplanung!AB73/Monatsplanung!$E73*Monatsplanung!$G73))</f>
        <v>0</v>
      </c>
      <c r="L73" s="740"/>
      <c r="M73" s="739"/>
      <c r="N73" s="168">
        <f>IF(M73&lt;&gt;"",M73,IF(ISERROR(Personalplanung!AC73/Monatsplanung!$E73*Monatsplanung!$G73),0,Personalplanung!AC73/Monatsplanung!$E73*Monatsplanung!$G73))</f>
        <v>0</v>
      </c>
      <c r="O73" s="740"/>
      <c r="P73" s="739"/>
      <c r="Q73" s="168">
        <f>IF(P73&lt;&gt;"",P73,IF(ISERROR(Personalplanung!AD73/Monatsplanung!$E73*Monatsplanung!$G73),0,Personalplanung!AD73/Monatsplanung!$E73*Monatsplanung!$G73))</f>
        <v>0</v>
      </c>
      <c r="R73" s="740"/>
      <c r="S73" s="739"/>
      <c r="T73" s="168">
        <f>IF(S73&lt;&gt;"",S73,IF(ISERROR(Personalplanung!AE73/Monatsplanung!$E73*Monatsplanung!$G73),0,Personalplanung!AE73/Monatsplanung!$E73*Monatsplanung!$G73))</f>
        <v>0</v>
      </c>
      <c r="U73" s="740"/>
      <c r="V73" s="168">
        <f t="shared" si="12"/>
        <v>0</v>
      </c>
      <c r="W73" s="168">
        <f>IF(ISERROR(Personalplanung!P73/Monatsplanung!$E73*Monatsplanung!$G73),0,Personalplanung!P73/Monatsplanung!$E73*Monatsplanung!$G73)</f>
        <v>0</v>
      </c>
      <c r="X73" s="168">
        <f>IF(ISERROR(Personalplanung!Q73/Monatsplanung!$E73*Monatsplanung!$G73),0,Personalplanung!Q73/Monatsplanung!$E73*Monatsplanung!$G73)</f>
        <v>0</v>
      </c>
      <c r="Y73" s="168">
        <f>IF(ISERROR(Personalplanung!R73/T1321*Stundencontrolling!T73),0,Personalplanung!R73/T1321*Stundencontrolling!T73)</f>
        <v>0</v>
      </c>
      <c r="Z73" s="168">
        <f>IF(ISERROR(Personalplanung!S73/Monatsplanung!$E73*Monatsplanung!$G73),0,Personalplanung!S73/Monatsplanung!$E73*Monatsplanung!$G73)</f>
        <v>0</v>
      </c>
      <c r="AA73" s="80" t="e">
        <f t="shared" si="13"/>
        <v>#DIV/0!</v>
      </c>
      <c r="AB73" s="102">
        <f>Personalplanung!AG73</f>
        <v>0</v>
      </c>
      <c r="AC73" s="103" t="e">
        <f t="shared" si="14"/>
        <v>#DIV/0!</v>
      </c>
      <c r="AD73" s="103" t="e">
        <f t="shared" si="15"/>
        <v>#DIV/0!</v>
      </c>
      <c r="AE73" s="81">
        <f t="shared" si="16"/>
        <v>0</v>
      </c>
      <c r="AF73" s="539"/>
      <c r="AG73" s="104">
        <f>Personalplanung!AK73</f>
        <v>0</v>
      </c>
      <c r="AH73" s="7">
        <f t="shared" si="17"/>
        <v>0</v>
      </c>
      <c r="AI73" s="6">
        <f t="shared" si="18"/>
        <v>0</v>
      </c>
      <c r="AJ73" s="73">
        <f t="shared" si="19"/>
        <v>0</v>
      </c>
      <c r="AK73" s="539"/>
      <c r="AL73" s="748"/>
      <c r="AM73" s="748"/>
    </row>
    <row r="74" spans="2:39" x14ac:dyDescent="0.2">
      <c r="B74" s="101" t="str">
        <f>IF(Personalplanung!B74&lt;&gt;"",Personalplanung!B74,IF(Personalplanung!A74&lt;&gt;"",Personalplanung!A74,""))</f>
        <v/>
      </c>
      <c r="C74" s="168">
        <f>IF(ISERROR(Personalplanung!$F74/Monatsplanung!$E74*Monatsplanung!$G74),0,Personalplanung!$F74/Monatsplanung!$E74*Monatsplanung!$G74)</f>
        <v>0</v>
      </c>
      <c r="D74" s="168">
        <f>Personalplanung!G74</f>
        <v>0</v>
      </c>
      <c r="E74" s="168">
        <f>IF(ISERROR(Personalplanung!H74/Monatsplanung!$E74*Monatsplanung!$G74),0,Personalplanung!H74/Monatsplanung!$E74*Monatsplanung!$G74)</f>
        <v>0</v>
      </c>
      <c r="F74" s="168">
        <f t="shared" si="10"/>
        <v>0</v>
      </c>
      <c r="G74" s="168" t="e">
        <f>Personalplanung!K74</f>
        <v>#DIV/0!</v>
      </c>
      <c r="H74" s="168" t="e">
        <f t="shared" si="11"/>
        <v>#DIV/0!</v>
      </c>
      <c r="I74" s="168">
        <f>Personalplanung!V74</f>
        <v>0</v>
      </c>
      <c r="J74" s="739"/>
      <c r="K74" s="168">
        <f>IF(J74&lt;&gt;"",J74,IF(ISERROR(Personalplanung!AB74/Monatsplanung!$E74*Monatsplanung!$G74),0,Personalplanung!AB74/Monatsplanung!$E74*Monatsplanung!$G74))</f>
        <v>0</v>
      </c>
      <c r="L74" s="740"/>
      <c r="M74" s="739"/>
      <c r="N74" s="168">
        <f>IF(M74&lt;&gt;"",M74,IF(ISERROR(Personalplanung!AC74/Monatsplanung!$E74*Monatsplanung!$G74),0,Personalplanung!AC74/Monatsplanung!$E74*Monatsplanung!$G74))</f>
        <v>0</v>
      </c>
      <c r="O74" s="740"/>
      <c r="P74" s="739"/>
      <c r="Q74" s="168">
        <f>IF(P74&lt;&gt;"",P74,IF(ISERROR(Personalplanung!AD74/Monatsplanung!$E74*Monatsplanung!$G74),0,Personalplanung!AD74/Monatsplanung!$E74*Monatsplanung!$G74))</f>
        <v>0</v>
      </c>
      <c r="R74" s="740"/>
      <c r="S74" s="739"/>
      <c r="T74" s="168">
        <f>IF(S74&lt;&gt;"",S74,IF(ISERROR(Personalplanung!AE74/Monatsplanung!$E74*Monatsplanung!$G74),0,Personalplanung!AE74/Monatsplanung!$E74*Monatsplanung!$G74))</f>
        <v>0</v>
      </c>
      <c r="U74" s="740"/>
      <c r="V74" s="168">
        <f t="shared" si="12"/>
        <v>0</v>
      </c>
      <c r="W74" s="168">
        <f>IF(ISERROR(Personalplanung!P74/Monatsplanung!$E74*Monatsplanung!$G74),0,Personalplanung!P74/Monatsplanung!$E74*Monatsplanung!$G74)</f>
        <v>0</v>
      </c>
      <c r="X74" s="168">
        <f>IF(ISERROR(Personalplanung!Q74/Monatsplanung!$E74*Monatsplanung!$G74),0,Personalplanung!Q74/Monatsplanung!$E74*Monatsplanung!$G74)</f>
        <v>0</v>
      </c>
      <c r="Y74" s="168">
        <f>IF(ISERROR(Personalplanung!R74/T1322*Stundencontrolling!T74),0,Personalplanung!R74/T1322*Stundencontrolling!T74)</f>
        <v>0</v>
      </c>
      <c r="Z74" s="168">
        <f>IF(ISERROR(Personalplanung!S74/Monatsplanung!$E74*Monatsplanung!$G74),0,Personalplanung!S74/Monatsplanung!$E74*Monatsplanung!$G74)</f>
        <v>0</v>
      </c>
      <c r="AA74" s="80" t="e">
        <f t="shared" si="13"/>
        <v>#DIV/0!</v>
      </c>
      <c r="AB74" s="102">
        <f>Personalplanung!AG74</f>
        <v>0</v>
      </c>
      <c r="AC74" s="103" t="e">
        <f t="shared" si="14"/>
        <v>#DIV/0!</v>
      </c>
      <c r="AD74" s="103" t="e">
        <f t="shared" si="15"/>
        <v>#DIV/0!</v>
      </c>
      <c r="AE74" s="81">
        <f t="shared" si="16"/>
        <v>0</v>
      </c>
      <c r="AF74" s="539"/>
      <c r="AG74" s="104">
        <f>Personalplanung!AK74</f>
        <v>0</v>
      </c>
      <c r="AH74" s="7">
        <f t="shared" si="17"/>
        <v>0</v>
      </c>
      <c r="AI74" s="6">
        <f t="shared" si="18"/>
        <v>0</v>
      </c>
      <c r="AJ74" s="73">
        <f t="shared" si="19"/>
        <v>0</v>
      </c>
      <c r="AK74" s="539"/>
      <c r="AL74" s="748"/>
      <c r="AM74" s="748"/>
    </row>
    <row r="75" spans="2:39" x14ac:dyDescent="0.2">
      <c r="B75" s="101" t="str">
        <f>IF(Personalplanung!B75&lt;&gt;"",Personalplanung!B75,IF(Personalplanung!A75&lt;&gt;"",Personalplanung!A75,""))</f>
        <v/>
      </c>
      <c r="C75" s="168">
        <f>IF(ISERROR(Personalplanung!$F75/Monatsplanung!$E75*Monatsplanung!$G75),0,Personalplanung!$F75/Monatsplanung!$E75*Monatsplanung!$G75)</f>
        <v>0</v>
      </c>
      <c r="D75" s="168">
        <f>Personalplanung!G75</f>
        <v>0</v>
      </c>
      <c r="E75" s="168">
        <f>IF(ISERROR(Personalplanung!H75/Monatsplanung!$E75*Monatsplanung!$G75),0,Personalplanung!H75/Monatsplanung!$E75*Monatsplanung!$G75)</f>
        <v>0</v>
      </c>
      <c r="F75" s="168">
        <f t="shared" si="10"/>
        <v>0</v>
      </c>
      <c r="G75" s="168" t="e">
        <f>Personalplanung!K75</f>
        <v>#DIV/0!</v>
      </c>
      <c r="H75" s="168" t="e">
        <f t="shared" si="11"/>
        <v>#DIV/0!</v>
      </c>
      <c r="I75" s="168">
        <f>Personalplanung!V75</f>
        <v>0</v>
      </c>
      <c r="J75" s="739"/>
      <c r="K75" s="168">
        <f>IF(J75&lt;&gt;"",J75,IF(ISERROR(Personalplanung!AB75/Monatsplanung!$E75*Monatsplanung!$G75),0,Personalplanung!AB75/Monatsplanung!$E75*Monatsplanung!$G75))</f>
        <v>0</v>
      </c>
      <c r="L75" s="740"/>
      <c r="M75" s="739"/>
      <c r="N75" s="168">
        <f>IF(M75&lt;&gt;"",M75,IF(ISERROR(Personalplanung!AC75/Monatsplanung!$E75*Monatsplanung!$G75),0,Personalplanung!AC75/Monatsplanung!$E75*Monatsplanung!$G75))</f>
        <v>0</v>
      </c>
      <c r="O75" s="740"/>
      <c r="P75" s="739"/>
      <c r="Q75" s="168">
        <f>IF(P75&lt;&gt;"",P75,IF(ISERROR(Personalplanung!AD75/Monatsplanung!$E75*Monatsplanung!$G75),0,Personalplanung!AD75/Monatsplanung!$E75*Monatsplanung!$G75))</f>
        <v>0</v>
      </c>
      <c r="R75" s="740"/>
      <c r="S75" s="739"/>
      <c r="T75" s="168">
        <f>IF(S75&lt;&gt;"",S75,IF(ISERROR(Personalplanung!AE75/Monatsplanung!$E75*Monatsplanung!$G75),0,Personalplanung!AE75/Monatsplanung!$E75*Monatsplanung!$G75))</f>
        <v>0</v>
      </c>
      <c r="U75" s="740"/>
      <c r="V75" s="168">
        <f t="shared" si="12"/>
        <v>0</v>
      </c>
      <c r="W75" s="168">
        <f>IF(ISERROR(Personalplanung!P75/Monatsplanung!$E75*Monatsplanung!$G75),0,Personalplanung!P75/Monatsplanung!$E75*Monatsplanung!$G75)</f>
        <v>0</v>
      </c>
      <c r="X75" s="168">
        <f>IF(ISERROR(Personalplanung!Q75/Monatsplanung!$E75*Monatsplanung!$G75),0,Personalplanung!Q75/Monatsplanung!$E75*Monatsplanung!$G75)</f>
        <v>0</v>
      </c>
      <c r="Y75" s="168">
        <f>IF(ISERROR(Personalplanung!R75/T1323*Stundencontrolling!T75),0,Personalplanung!R75/T1323*Stundencontrolling!T75)</f>
        <v>0</v>
      </c>
      <c r="Z75" s="168">
        <f>IF(ISERROR(Personalplanung!S75/Monatsplanung!$E75*Monatsplanung!$G75),0,Personalplanung!S75/Monatsplanung!$E75*Monatsplanung!$G75)</f>
        <v>0</v>
      </c>
      <c r="AA75" s="80" t="e">
        <f t="shared" si="13"/>
        <v>#DIV/0!</v>
      </c>
      <c r="AB75" s="102">
        <f>Personalplanung!AG75</f>
        <v>0</v>
      </c>
      <c r="AC75" s="103" t="e">
        <f t="shared" si="14"/>
        <v>#DIV/0!</v>
      </c>
      <c r="AD75" s="103" t="e">
        <f t="shared" si="15"/>
        <v>#DIV/0!</v>
      </c>
      <c r="AE75" s="81">
        <f t="shared" si="16"/>
        <v>0</v>
      </c>
      <c r="AF75" s="539"/>
      <c r="AG75" s="104">
        <f>Personalplanung!AK75</f>
        <v>0</v>
      </c>
      <c r="AH75" s="7">
        <f t="shared" si="17"/>
        <v>0</v>
      </c>
      <c r="AI75" s="6">
        <f t="shared" si="18"/>
        <v>0</v>
      </c>
      <c r="AJ75" s="73">
        <f t="shared" si="19"/>
        <v>0</v>
      </c>
      <c r="AK75" s="539"/>
      <c r="AL75" s="748"/>
      <c r="AM75" s="748"/>
    </row>
    <row r="76" spans="2:39" x14ac:dyDescent="0.2">
      <c r="B76" s="101" t="str">
        <f>IF(Personalplanung!B76&lt;&gt;"",Personalplanung!B76,IF(Personalplanung!A76&lt;&gt;"",Personalplanung!A76,""))</f>
        <v/>
      </c>
      <c r="C76" s="168">
        <f>IF(ISERROR(Personalplanung!$F76/Monatsplanung!$E76*Monatsplanung!$G76),0,Personalplanung!$F76/Monatsplanung!$E76*Monatsplanung!$G76)</f>
        <v>0</v>
      </c>
      <c r="D76" s="168">
        <f>Personalplanung!G76</f>
        <v>0</v>
      </c>
      <c r="E76" s="168">
        <f>IF(ISERROR(Personalplanung!H76/Monatsplanung!$E76*Monatsplanung!$G76),0,Personalplanung!H76/Monatsplanung!$E76*Monatsplanung!$G76)</f>
        <v>0</v>
      </c>
      <c r="F76" s="168">
        <f t="shared" si="10"/>
        <v>0</v>
      </c>
      <c r="G76" s="168" t="e">
        <f>Personalplanung!K76</f>
        <v>#DIV/0!</v>
      </c>
      <c r="H76" s="168" t="e">
        <f t="shared" si="11"/>
        <v>#DIV/0!</v>
      </c>
      <c r="I76" s="168">
        <f>Personalplanung!V76</f>
        <v>0</v>
      </c>
      <c r="J76" s="739"/>
      <c r="K76" s="168">
        <f>IF(J76&lt;&gt;"",J76,IF(ISERROR(Personalplanung!AB76/Monatsplanung!$E76*Monatsplanung!$G76),0,Personalplanung!AB76/Monatsplanung!$E76*Monatsplanung!$G76))</f>
        <v>0</v>
      </c>
      <c r="L76" s="740"/>
      <c r="M76" s="739"/>
      <c r="N76" s="168">
        <f>IF(M76&lt;&gt;"",M76,IF(ISERROR(Personalplanung!AC76/Monatsplanung!$E76*Monatsplanung!$G76),0,Personalplanung!AC76/Monatsplanung!$E76*Monatsplanung!$G76))</f>
        <v>0</v>
      </c>
      <c r="O76" s="740"/>
      <c r="P76" s="739"/>
      <c r="Q76" s="168">
        <f>IF(P76&lt;&gt;"",P76,IF(ISERROR(Personalplanung!AD76/Monatsplanung!$E76*Monatsplanung!$G76),0,Personalplanung!AD76/Monatsplanung!$E76*Monatsplanung!$G76))</f>
        <v>0</v>
      </c>
      <c r="R76" s="740"/>
      <c r="S76" s="739"/>
      <c r="T76" s="168">
        <f>IF(S76&lt;&gt;"",S76,IF(ISERROR(Personalplanung!AE76/Monatsplanung!$E76*Monatsplanung!$G76),0,Personalplanung!AE76/Monatsplanung!$E76*Monatsplanung!$G76))</f>
        <v>0</v>
      </c>
      <c r="U76" s="740"/>
      <c r="V76" s="168">
        <f t="shared" si="12"/>
        <v>0</v>
      </c>
      <c r="W76" s="168">
        <f>IF(ISERROR(Personalplanung!P76/Monatsplanung!$E76*Monatsplanung!$G76),0,Personalplanung!P76/Monatsplanung!$E76*Monatsplanung!$G76)</f>
        <v>0</v>
      </c>
      <c r="X76" s="168">
        <f>IF(ISERROR(Personalplanung!Q76/Monatsplanung!$E76*Monatsplanung!$G76),0,Personalplanung!Q76/Monatsplanung!$E76*Monatsplanung!$G76)</f>
        <v>0</v>
      </c>
      <c r="Y76" s="168">
        <f>IF(ISERROR(Personalplanung!R76/T1324*Stundencontrolling!T76),0,Personalplanung!R76/T1324*Stundencontrolling!T76)</f>
        <v>0</v>
      </c>
      <c r="Z76" s="168">
        <f>IF(ISERROR(Personalplanung!S76/Monatsplanung!$E76*Monatsplanung!$G76),0,Personalplanung!S76/Monatsplanung!$E76*Monatsplanung!$G76)</f>
        <v>0</v>
      </c>
      <c r="AA76" s="80" t="e">
        <f t="shared" si="13"/>
        <v>#DIV/0!</v>
      </c>
      <c r="AB76" s="102">
        <f>Personalplanung!AG76</f>
        <v>0</v>
      </c>
      <c r="AC76" s="103" t="e">
        <f t="shared" si="14"/>
        <v>#DIV/0!</v>
      </c>
      <c r="AD76" s="103" t="e">
        <f t="shared" si="15"/>
        <v>#DIV/0!</v>
      </c>
      <c r="AE76" s="81">
        <f t="shared" si="16"/>
        <v>0</v>
      </c>
      <c r="AF76" s="539"/>
      <c r="AG76" s="104">
        <f>Personalplanung!AK76</f>
        <v>0</v>
      </c>
      <c r="AH76" s="7">
        <f t="shared" si="17"/>
        <v>0</v>
      </c>
      <c r="AI76" s="6">
        <f t="shared" si="18"/>
        <v>0</v>
      </c>
      <c r="AJ76" s="73">
        <f t="shared" si="19"/>
        <v>0</v>
      </c>
      <c r="AK76" s="539"/>
      <c r="AL76" s="748"/>
      <c r="AM76" s="748"/>
    </row>
    <row r="77" spans="2:39" x14ac:dyDescent="0.2">
      <c r="B77" s="101" t="str">
        <f>IF(Personalplanung!B77&lt;&gt;"",Personalplanung!B77,IF(Personalplanung!A77&lt;&gt;"",Personalplanung!A77,""))</f>
        <v/>
      </c>
      <c r="C77" s="168">
        <f>IF(ISERROR(Personalplanung!$F77/Monatsplanung!$E77*Monatsplanung!$G77),0,Personalplanung!$F77/Monatsplanung!$E77*Monatsplanung!$G77)</f>
        <v>0</v>
      </c>
      <c r="D77" s="168">
        <f>Personalplanung!G77</f>
        <v>0</v>
      </c>
      <c r="E77" s="168">
        <f>IF(ISERROR(Personalplanung!H77/Monatsplanung!$E77*Monatsplanung!$G77),0,Personalplanung!H77/Monatsplanung!$E77*Monatsplanung!$G77)</f>
        <v>0</v>
      </c>
      <c r="F77" s="168">
        <f t="shared" si="10"/>
        <v>0</v>
      </c>
      <c r="G77" s="168" t="e">
        <f>Personalplanung!K77</f>
        <v>#DIV/0!</v>
      </c>
      <c r="H77" s="168" t="e">
        <f t="shared" si="11"/>
        <v>#DIV/0!</v>
      </c>
      <c r="I77" s="168">
        <f>Personalplanung!V77</f>
        <v>0</v>
      </c>
      <c r="J77" s="739"/>
      <c r="K77" s="168">
        <f>IF(J77&lt;&gt;"",J77,IF(ISERROR(Personalplanung!AB77/Monatsplanung!$E77*Monatsplanung!$G77),0,Personalplanung!AB77/Monatsplanung!$E77*Monatsplanung!$G77))</f>
        <v>0</v>
      </c>
      <c r="L77" s="740"/>
      <c r="M77" s="739"/>
      <c r="N77" s="168">
        <f>IF(M77&lt;&gt;"",M77,IF(ISERROR(Personalplanung!AC77/Monatsplanung!$E77*Monatsplanung!$G77),0,Personalplanung!AC77/Monatsplanung!$E77*Monatsplanung!$G77))</f>
        <v>0</v>
      </c>
      <c r="O77" s="740"/>
      <c r="P77" s="739"/>
      <c r="Q77" s="168">
        <f>IF(P77&lt;&gt;"",P77,IF(ISERROR(Personalplanung!AD77/Monatsplanung!$E77*Monatsplanung!$G77),0,Personalplanung!AD77/Monatsplanung!$E77*Monatsplanung!$G77))</f>
        <v>0</v>
      </c>
      <c r="R77" s="740"/>
      <c r="S77" s="739"/>
      <c r="T77" s="168">
        <f>IF(S77&lt;&gt;"",S77,IF(ISERROR(Personalplanung!AE77/Monatsplanung!$E77*Monatsplanung!$G77),0,Personalplanung!AE77/Monatsplanung!$E77*Monatsplanung!$G77))</f>
        <v>0</v>
      </c>
      <c r="U77" s="740"/>
      <c r="V77" s="168">
        <f t="shared" si="12"/>
        <v>0</v>
      </c>
      <c r="W77" s="168">
        <f>IF(ISERROR(Personalplanung!P77/Monatsplanung!$E77*Monatsplanung!$G77),0,Personalplanung!P77/Monatsplanung!$E77*Monatsplanung!$G77)</f>
        <v>0</v>
      </c>
      <c r="X77" s="168">
        <f>IF(ISERROR(Personalplanung!Q77/Monatsplanung!$E77*Monatsplanung!$G77),0,Personalplanung!Q77/Monatsplanung!$E77*Monatsplanung!$G77)</f>
        <v>0</v>
      </c>
      <c r="Y77" s="168">
        <f>IF(ISERROR(Personalplanung!R77/T1325*Stundencontrolling!T77),0,Personalplanung!R77/T1325*Stundencontrolling!T77)</f>
        <v>0</v>
      </c>
      <c r="Z77" s="168">
        <f>IF(ISERROR(Personalplanung!S77/Monatsplanung!$E77*Monatsplanung!$G77),0,Personalplanung!S77/Monatsplanung!$E77*Monatsplanung!$G77)</f>
        <v>0</v>
      </c>
      <c r="AA77" s="80" t="e">
        <f t="shared" si="13"/>
        <v>#DIV/0!</v>
      </c>
      <c r="AB77" s="102">
        <f>Personalplanung!AG77</f>
        <v>0</v>
      </c>
      <c r="AC77" s="103" t="e">
        <f t="shared" si="14"/>
        <v>#DIV/0!</v>
      </c>
      <c r="AD77" s="103" t="e">
        <f t="shared" si="15"/>
        <v>#DIV/0!</v>
      </c>
      <c r="AE77" s="81">
        <f t="shared" si="16"/>
        <v>0</v>
      </c>
      <c r="AF77" s="539"/>
      <c r="AG77" s="104">
        <f>Personalplanung!AK77</f>
        <v>0</v>
      </c>
      <c r="AH77" s="7">
        <f t="shared" si="17"/>
        <v>0</v>
      </c>
      <c r="AI77" s="6">
        <f t="shared" si="18"/>
        <v>0</v>
      </c>
      <c r="AJ77" s="73">
        <f t="shared" si="19"/>
        <v>0</v>
      </c>
      <c r="AK77" s="539"/>
      <c r="AL77" s="748"/>
      <c r="AM77" s="748"/>
    </row>
    <row r="78" spans="2:39" x14ac:dyDescent="0.2">
      <c r="B78" s="101" t="str">
        <f>IF(Personalplanung!B78&lt;&gt;"",Personalplanung!B78,IF(Personalplanung!A78&lt;&gt;"",Personalplanung!A78,""))</f>
        <v/>
      </c>
      <c r="C78" s="168">
        <f>IF(ISERROR(Personalplanung!$F78/Monatsplanung!$E78*Monatsplanung!$G78),0,Personalplanung!$F78/Monatsplanung!$E78*Monatsplanung!$G78)</f>
        <v>0</v>
      </c>
      <c r="D78" s="168">
        <f>Personalplanung!G78</f>
        <v>0</v>
      </c>
      <c r="E78" s="168">
        <f>IF(ISERROR(Personalplanung!H78/Monatsplanung!$E78*Monatsplanung!$G78),0,Personalplanung!H78/Monatsplanung!$E78*Monatsplanung!$G78)</f>
        <v>0</v>
      </c>
      <c r="F78" s="168">
        <f t="shared" si="10"/>
        <v>0</v>
      </c>
      <c r="G78" s="168" t="e">
        <f>Personalplanung!K78</f>
        <v>#DIV/0!</v>
      </c>
      <c r="H78" s="168" t="e">
        <f t="shared" si="11"/>
        <v>#DIV/0!</v>
      </c>
      <c r="I78" s="168">
        <f>Personalplanung!V78</f>
        <v>0</v>
      </c>
      <c r="J78" s="739"/>
      <c r="K78" s="168">
        <f>IF(J78&lt;&gt;"",J78,IF(ISERROR(Personalplanung!AB78/Monatsplanung!$E78*Monatsplanung!$G78),0,Personalplanung!AB78/Monatsplanung!$E78*Monatsplanung!$G78))</f>
        <v>0</v>
      </c>
      <c r="L78" s="740"/>
      <c r="M78" s="739"/>
      <c r="N78" s="168">
        <f>IF(M78&lt;&gt;"",M78,IF(ISERROR(Personalplanung!AC78/Monatsplanung!$E78*Monatsplanung!$G78),0,Personalplanung!AC78/Monatsplanung!$E78*Monatsplanung!$G78))</f>
        <v>0</v>
      </c>
      <c r="O78" s="740"/>
      <c r="P78" s="739"/>
      <c r="Q78" s="168">
        <f>IF(P78&lt;&gt;"",P78,IF(ISERROR(Personalplanung!AD78/Monatsplanung!$E78*Monatsplanung!$G78),0,Personalplanung!AD78/Monatsplanung!$E78*Monatsplanung!$G78))</f>
        <v>0</v>
      </c>
      <c r="R78" s="740"/>
      <c r="S78" s="739"/>
      <c r="T78" s="168">
        <f>IF(S78&lt;&gt;"",S78,IF(ISERROR(Personalplanung!AE78/Monatsplanung!$E78*Monatsplanung!$G78),0,Personalplanung!AE78/Monatsplanung!$E78*Monatsplanung!$G78))</f>
        <v>0</v>
      </c>
      <c r="U78" s="740"/>
      <c r="V78" s="168">
        <f t="shared" si="12"/>
        <v>0</v>
      </c>
      <c r="W78" s="168">
        <f>IF(ISERROR(Personalplanung!P78/Monatsplanung!$E78*Monatsplanung!$G78),0,Personalplanung!P78/Monatsplanung!$E78*Monatsplanung!$G78)</f>
        <v>0</v>
      </c>
      <c r="X78" s="168">
        <f>IF(ISERROR(Personalplanung!Q78/Monatsplanung!$E78*Monatsplanung!$G78),0,Personalplanung!Q78/Monatsplanung!$E78*Monatsplanung!$G78)</f>
        <v>0</v>
      </c>
      <c r="Y78" s="168">
        <f>IF(ISERROR(Personalplanung!R78/T1326*Stundencontrolling!T78),0,Personalplanung!R78/T1326*Stundencontrolling!T78)</f>
        <v>0</v>
      </c>
      <c r="Z78" s="168">
        <f>IF(ISERROR(Personalplanung!S78/Monatsplanung!$E78*Monatsplanung!$G78),0,Personalplanung!S78/Monatsplanung!$E78*Monatsplanung!$G78)</f>
        <v>0</v>
      </c>
      <c r="AA78" s="80" t="e">
        <f t="shared" si="13"/>
        <v>#DIV/0!</v>
      </c>
      <c r="AB78" s="102">
        <f>Personalplanung!AG78</f>
        <v>0</v>
      </c>
      <c r="AC78" s="103" t="e">
        <f t="shared" si="14"/>
        <v>#DIV/0!</v>
      </c>
      <c r="AD78" s="103" t="e">
        <f t="shared" si="15"/>
        <v>#DIV/0!</v>
      </c>
      <c r="AE78" s="81">
        <f t="shared" si="16"/>
        <v>0</v>
      </c>
      <c r="AF78" s="539"/>
      <c r="AG78" s="104">
        <f>Personalplanung!AK78</f>
        <v>0</v>
      </c>
      <c r="AH78" s="7">
        <f t="shared" si="17"/>
        <v>0</v>
      </c>
      <c r="AI78" s="6">
        <f t="shared" si="18"/>
        <v>0</v>
      </c>
      <c r="AJ78" s="73">
        <f t="shared" si="19"/>
        <v>0</v>
      </c>
      <c r="AK78" s="539"/>
      <c r="AL78" s="748"/>
      <c r="AM78" s="748"/>
    </row>
    <row r="79" spans="2:39" x14ac:dyDescent="0.2">
      <c r="B79" s="101" t="str">
        <f>IF(Personalplanung!B79&lt;&gt;"",Personalplanung!B79,IF(Personalplanung!A79&lt;&gt;"",Personalplanung!A79,""))</f>
        <v/>
      </c>
      <c r="C79" s="168">
        <f>IF(ISERROR(Personalplanung!$F79/Monatsplanung!$E79*Monatsplanung!$G79),0,Personalplanung!$F79/Monatsplanung!$E79*Monatsplanung!$G79)</f>
        <v>0</v>
      </c>
      <c r="D79" s="168">
        <f>Personalplanung!G79</f>
        <v>0</v>
      </c>
      <c r="E79" s="168">
        <f>IF(ISERROR(Personalplanung!H79/Monatsplanung!$E79*Monatsplanung!$G79),0,Personalplanung!H79/Monatsplanung!$E79*Monatsplanung!$G79)</f>
        <v>0</v>
      </c>
      <c r="F79" s="168">
        <f t="shared" si="10"/>
        <v>0</v>
      </c>
      <c r="G79" s="168" t="e">
        <f>Personalplanung!K79</f>
        <v>#DIV/0!</v>
      </c>
      <c r="H79" s="168" t="e">
        <f t="shared" si="11"/>
        <v>#DIV/0!</v>
      </c>
      <c r="I79" s="168">
        <f>Personalplanung!V79</f>
        <v>0</v>
      </c>
      <c r="J79" s="739"/>
      <c r="K79" s="168">
        <f>IF(J79&lt;&gt;"",J79,IF(ISERROR(Personalplanung!AB79/Monatsplanung!$E79*Monatsplanung!$G79),0,Personalplanung!AB79/Monatsplanung!$E79*Monatsplanung!$G79))</f>
        <v>0</v>
      </c>
      <c r="L79" s="740"/>
      <c r="M79" s="739"/>
      <c r="N79" s="168">
        <f>IF(M79&lt;&gt;"",M79,IF(ISERROR(Personalplanung!AC79/Monatsplanung!$E79*Monatsplanung!$G79),0,Personalplanung!AC79/Monatsplanung!$E79*Monatsplanung!$G79))</f>
        <v>0</v>
      </c>
      <c r="O79" s="740"/>
      <c r="P79" s="739"/>
      <c r="Q79" s="168">
        <f>IF(P79&lt;&gt;"",P79,IF(ISERROR(Personalplanung!AD79/Monatsplanung!$E79*Monatsplanung!$G79),0,Personalplanung!AD79/Monatsplanung!$E79*Monatsplanung!$G79))</f>
        <v>0</v>
      </c>
      <c r="R79" s="740"/>
      <c r="S79" s="739"/>
      <c r="T79" s="168">
        <f>IF(S79&lt;&gt;"",S79,IF(ISERROR(Personalplanung!AE79/Monatsplanung!$E79*Monatsplanung!$G79),0,Personalplanung!AE79/Monatsplanung!$E79*Monatsplanung!$G79))</f>
        <v>0</v>
      </c>
      <c r="U79" s="740"/>
      <c r="V79" s="168">
        <f t="shared" si="12"/>
        <v>0</v>
      </c>
      <c r="W79" s="168">
        <f>IF(ISERROR(Personalplanung!P79/Monatsplanung!$E79*Monatsplanung!$G79),0,Personalplanung!P79/Monatsplanung!$E79*Monatsplanung!$G79)</f>
        <v>0</v>
      </c>
      <c r="X79" s="168">
        <f>IF(ISERROR(Personalplanung!Q79/Monatsplanung!$E79*Monatsplanung!$G79),0,Personalplanung!Q79/Monatsplanung!$E79*Monatsplanung!$G79)</f>
        <v>0</v>
      </c>
      <c r="Y79" s="168">
        <f>IF(ISERROR(Personalplanung!R79/T1327*Stundencontrolling!T79),0,Personalplanung!R79/T1327*Stundencontrolling!T79)</f>
        <v>0</v>
      </c>
      <c r="Z79" s="168">
        <f>IF(ISERROR(Personalplanung!S79/Monatsplanung!$E79*Monatsplanung!$G79),0,Personalplanung!S79/Monatsplanung!$E79*Monatsplanung!$G79)</f>
        <v>0</v>
      </c>
      <c r="AA79" s="80" t="e">
        <f t="shared" si="13"/>
        <v>#DIV/0!</v>
      </c>
      <c r="AB79" s="102">
        <f>Personalplanung!AG79</f>
        <v>0</v>
      </c>
      <c r="AC79" s="103" t="e">
        <f t="shared" si="14"/>
        <v>#DIV/0!</v>
      </c>
      <c r="AD79" s="103" t="e">
        <f t="shared" si="15"/>
        <v>#DIV/0!</v>
      </c>
      <c r="AE79" s="81">
        <f t="shared" si="16"/>
        <v>0</v>
      </c>
      <c r="AF79" s="539"/>
      <c r="AG79" s="104">
        <f>Personalplanung!AK79</f>
        <v>0</v>
      </c>
      <c r="AH79" s="7">
        <f t="shared" si="17"/>
        <v>0</v>
      </c>
      <c r="AI79" s="6">
        <f t="shared" si="18"/>
        <v>0</v>
      </c>
      <c r="AJ79" s="73">
        <f t="shared" si="19"/>
        <v>0</v>
      </c>
      <c r="AK79" s="539"/>
      <c r="AL79" s="748"/>
      <c r="AM79" s="748"/>
    </row>
    <row r="80" spans="2:39" x14ac:dyDescent="0.2">
      <c r="B80" s="101" t="str">
        <f>IF(Personalplanung!B80&lt;&gt;"",Personalplanung!B80,IF(Personalplanung!A80&lt;&gt;"",Personalplanung!A80,""))</f>
        <v/>
      </c>
      <c r="C80" s="168">
        <f>IF(ISERROR(Personalplanung!$F80/Monatsplanung!$E80*Monatsplanung!$G80),0,Personalplanung!$F80/Monatsplanung!$E80*Monatsplanung!$G80)</f>
        <v>0</v>
      </c>
      <c r="D80" s="168">
        <f>Personalplanung!G80</f>
        <v>0</v>
      </c>
      <c r="E80" s="168">
        <f>IF(ISERROR(Personalplanung!H80/Monatsplanung!$E80*Monatsplanung!$G80),0,Personalplanung!H80/Monatsplanung!$E80*Monatsplanung!$G80)</f>
        <v>0</v>
      </c>
      <c r="F80" s="168">
        <f t="shared" si="10"/>
        <v>0</v>
      </c>
      <c r="G80" s="168" t="e">
        <f>Personalplanung!K80</f>
        <v>#DIV/0!</v>
      </c>
      <c r="H80" s="168" t="e">
        <f t="shared" si="11"/>
        <v>#DIV/0!</v>
      </c>
      <c r="I80" s="168">
        <f>Personalplanung!V80</f>
        <v>0</v>
      </c>
      <c r="J80" s="739"/>
      <c r="K80" s="168">
        <f>IF(J80&lt;&gt;"",J80,IF(ISERROR(Personalplanung!AB80/Monatsplanung!$E80*Monatsplanung!$G80),0,Personalplanung!AB80/Monatsplanung!$E80*Monatsplanung!$G80))</f>
        <v>0</v>
      </c>
      <c r="L80" s="740"/>
      <c r="M80" s="739"/>
      <c r="N80" s="168">
        <f>IF(M80&lt;&gt;"",M80,IF(ISERROR(Personalplanung!AC80/Monatsplanung!$E80*Monatsplanung!$G80),0,Personalplanung!AC80/Monatsplanung!$E80*Monatsplanung!$G80))</f>
        <v>0</v>
      </c>
      <c r="O80" s="740"/>
      <c r="P80" s="739"/>
      <c r="Q80" s="168">
        <f>IF(P80&lt;&gt;"",P80,IF(ISERROR(Personalplanung!AD80/Monatsplanung!$E80*Monatsplanung!$G80),0,Personalplanung!AD80/Monatsplanung!$E80*Monatsplanung!$G80))</f>
        <v>0</v>
      </c>
      <c r="R80" s="740"/>
      <c r="S80" s="739"/>
      <c r="T80" s="168">
        <f>IF(S80&lt;&gt;"",S80,IF(ISERROR(Personalplanung!AE80/Monatsplanung!$E80*Monatsplanung!$G80),0,Personalplanung!AE80/Monatsplanung!$E80*Monatsplanung!$G80))</f>
        <v>0</v>
      </c>
      <c r="U80" s="740"/>
      <c r="V80" s="168">
        <f t="shared" si="12"/>
        <v>0</v>
      </c>
      <c r="W80" s="168">
        <f>IF(ISERROR(Personalplanung!P80/Monatsplanung!$E80*Monatsplanung!$G80),0,Personalplanung!P80/Monatsplanung!$E80*Monatsplanung!$G80)</f>
        <v>0</v>
      </c>
      <c r="X80" s="168">
        <f>IF(ISERROR(Personalplanung!Q80/Monatsplanung!$E80*Monatsplanung!$G80),0,Personalplanung!Q80/Monatsplanung!$E80*Monatsplanung!$G80)</f>
        <v>0</v>
      </c>
      <c r="Y80" s="168">
        <f>IF(ISERROR(Personalplanung!R80/T1328*Stundencontrolling!T80),0,Personalplanung!R80/T1328*Stundencontrolling!T80)</f>
        <v>0</v>
      </c>
      <c r="Z80" s="168">
        <f>IF(ISERROR(Personalplanung!S80/Monatsplanung!$E80*Monatsplanung!$G80),0,Personalplanung!S80/Monatsplanung!$E80*Monatsplanung!$G80)</f>
        <v>0</v>
      </c>
      <c r="AA80" s="80" t="e">
        <f t="shared" si="13"/>
        <v>#DIV/0!</v>
      </c>
      <c r="AB80" s="102">
        <f>Personalplanung!AG80</f>
        <v>0</v>
      </c>
      <c r="AC80" s="103" t="e">
        <f t="shared" si="14"/>
        <v>#DIV/0!</v>
      </c>
      <c r="AD80" s="103" t="e">
        <f t="shared" si="15"/>
        <v>#DIV/0!</v>
      </c>
      <c r="AE80" s="81">
        <f t="shared" si="16"/>
        <v>0</v>
      </c>
      <c r="AF80" s="539"/>
      <c r="AG80" s="104">
        <f>Personalplanung!AK80</f>
        <v>0</v>
      </c>
      <c r="AH80" s="7">
        <f t="shared" si="17"/>
        <v>0</v>
      </c>
      <c r="AI80" s="6">
        <f t="shared" si="18"/>
        <v>0</v>
      </c>
      <c r="AJ80" s="73">
        <f t="shared" si="19"/>
        <v>0</v>
      </c>
      <c r="AK80" s="539"/>
      <c r="AL80" s="748"/>
      <c r="AM80" s="748"/>
    </row>
    <row r="81" spans="2:39" x14ac:dyDescent="0.2">
      <c r="B81" s="101" t="str">
        <f>IF(Personalplanung!B81&lt;&gt;"",Personalplanung!B81,IF(Personalplanung!A81&lt;&gt;"",Personalplanung!A81,""))</f>
        <v/>
      </c>
      <c r="C81" s="168">
        <f>IF(ISERROR(Personalplanung!$F81/Monatsplanung!$E81*Monatsplanung!$G81),0,Personalplanung!$F81/Monatsplanung!$E81*Monatsplanung!$G81)</f>
        <v>0</v>
      </c>
      <c r="D81" s="168">
        <f>Personalplanung!G81</f>
        <v>0</v>
      </c>
      <c r="E81" s="168">
        <f>IF(ISERROR(Personalplanung!H81/Monatsplanung!$E81*Monatsplanung!$G81),0,Personalplanung!H81/Monatsplanung!$E81*Monatsplanung!$G81)</f>
        <v>0</v>
      </c>
      <c r="F81" s="168">
        <f t="shared" si="10"/>
        <v>0</v>
      </c>
      <c r="G81" s="168" t="e">
        <f>Personalplanung!K81</f>
        <v>#DIV/0!</v>
      </c>
      <c r="H81" s="168" t="e">
        <f t="shared" si="11"/>
        <v>#DIV/0!</v>
      </c>
      <c r="I81" s="168">
        <f>Personalplanung!V81</f>
        <v>0</v>
      </c>
      <c r="J81" s="739"/>
      <c r="K81" s="168">
        <f>IF(J81&lt;&gt;"",J81,IF(ISERROR(Personalplanung!AB81/Monatsplanung!$E81*Monatsplanung!$G81),0,Personalplanung!AB81/Monatsplanung!$E81*Monatsplanung!$G81))</f>
        <v>0</v>
      </c>
      <c r="L81" s="740"/>
      <c r="M81" s="739"/>
      <c r="N81" s="168">
        <f>IF(M81&lt;&gt;"",M81,IF(ISERROR(Personalplanung!AC81/Monatsplanung!$E81*Monatsplanung!$G81),0,Personalplanung!AC81/Monatsplanung!$E81*Monatsplanung!$G81))</f>
        <v>0</v>
      </c>
      <c r="O81" s="740"/>
      <c r="P81" s="739"/>
      <c r="Q81" s="168">
        <f>IF(P81&lt;&gt;"",P81,IF(ISERROR(Personalplanung!AD81/Monatsplanung!$E81*Monatsplanung!$G81),0,Personalplanung!AD81/Monatsplanung!$E81*Monatsplanung!$G81))</f>
        <v>0</v>
      </c>
      <c r="R81" s="740"/>
      <c r="S81" s="739"/>
      <c r="T81" s="168">
        <f>IF(S81&lt;&gt;"",S81,IF(ISERROR(Personalplanung!AE81/Monatsplanung!$E81*Monatsplanung!$G81),0,Personalplanung!AE81/Monatsplanung!$E81*Monatsplanung!$G81))</f>
        <v>0</v>
      </c>
      <c r="U81" s="740"/>
      <c r="V81" s="168">
        <f t="shared" si="12"/>
        <v>0</v>
      </c>
      <c r="W81" s="168">
        <f>IF(ISERROR(Personalplanung!P81/Monatsplanung!$E81*Monatsplanung!$G81),0,Personalplanung!P81/Monatsplanung!$E81*Monatsplanung!$G81)</f>
        <v>0</v>
      </c>
      <c r="X81" s="168">
        <f>IF(ISERROR(Personalplanung!Q81/Monatsplanung!$E81*Monatsplanung!$G81),0,Personalplanung!Q81/Monatsplanung!$E81*Monatsplanung!$G81)</f>
        <v>0</v>
      </c>
      <c r="Y81" s="168">
        <f>IF(ISERROR(Personalplanung!R81/T1329*Stundencontrolling!T81),0,Personalplanung!R81/T1329*Stundencontrolling!T81)</f>
        <v>0</v>
      </c>
      <c r="Z81" s="168">
        <f>IF(ISERROR(Personalplanung!S81/Monatsplanung!$E81*Monatsplanung!$G81),0,Personalplanung!S81/Monatsplanung!$E81*Monatsplanung!$G81)</f>
        <v>0</v>
      </c>
      <c r="AA81" s="80" t="e">
        <f t="shared" si="13"/>
        <v>#DIV/0!</v>
      </c>
      <c r="AB81" s="102">
        <f>Personalplanung!AG81</f>
        <v>0</v>
      </c>
      <c r="AC81" s="103" t="e">
        <f t="shared" si="14"/>
        <v>#DIV/0!</v>
      </c>
      <c r="AD81" s="103" t="e">
        <f t="shared" si="15"/>
        <v>#DIV/0!</v>
      </c>
      <c r="AE81" s="81">
        <f t="shared" si="16"/>
        <v>0</v>
      </c>
      <c r="AF81" s="539"/>
      <c r="AG81" s="104">
        <f>Personalplanung!AK81</f>
        <v>0</v>
      </c>
      <c r="AH81" s="7">
        <f t="shared" si="17"/>
        <v>0</v>
      </c>
      <c r="AI81" s="6">
        <f t="shared" si="18"/>
        <v>0</v>
      </c>
      <c r="AJ81" s="73">
        <f t="shared" si="19"/>
        <v>0</v>
      </c>
      <c r="AK81" s="539"/>
      <c r="AL81" s="748"/>
      <c r="AM81" s="748"/>
    </row>
    <row r="82" spans="2:39" x14ac:dyDescent="0.2">
      <c r="B82" s="101" t="str">
        <f>IF(Personalplanung!B82&lt;&gt;"",Personalplanung!B82,IF(Personalplanung!A82&lt;&gt;"",Personalplanung!A82,""))</f>
        <v/>
      </c>
      <c r="C82" s="168">
        <f>IF(ISERROR(Personalplanung!$F82/Monatsplanung!$E82*Monatsplanung!$G82),0,Personalplanung!$F82/Monatsplanung!$E82*Monatsplanung!$G82)</f>
        <v>0</v>
      </c>
      <c r="D82" s="168">
        <f>Personalplanung!G82</f>
        <v>0</v>
      </c>
      <c r="E82" s="168">
        <f>IF(ISERROR(Personalplanung!H82/Monatsplanung!$E82*Monatsplanung!$G82),0,Personalplanung!H82/Monatsplanung!$E82*Monatsplanung!$G82)</f>
        <v>0</v>
      </c>
      <c r="F82" s="168">
        <f t="shared" si="10"/>
        <v>0</v>
      </c>
      <c r="G82" s="168" t="e">
        <f>Personalplanung!K82</f>
        <v>#DIV/0!</v>
      </c>
      <c r="H82" s="168" t="e">
        <f t="shared" si="11"/>
        <v>#DIV/0!</v>
      </c>
      <c r="I82" s="168">
        <f>Personalplanung!V82</f>
        <v>0</v>
      </c>
      <c r="J82" s="739"/>
      <c r="K82" s="168">
        <f>IF(J82&lt;&gt;"",J82,IF(ISERROR(Personalplanung!AB82/Monatsplanung!$E82*Monatsplanung!$G82),0,Personalplanung!AB82/Monatsplanung!$E82*Monatsplanung!$G82))</f>
        <v>0</v>
      </c>
      <c r="L82" s="740"/>
      <c r="M82" s="739"/>
      <c r="N82" s="168">
        <f>IF(M82&lt;&gt;"",M82,IF(ISERROR(Personalplanung!AC82/Monatsplanung!$E82*Monatsplanung!$G82),0,Personalplanung!AC82/Monatsplanung!$E82*Monatsplanung!$G82))</f>
        <v>0</v>
      </c>
      <c r="O82" s="740"/>
      <c r="P82" s="739"/>
      <c r="Q82" s="168">
        <f>IF(P82&lt;&gt;"",P82,IF(ISERROR(Personalplanung!AD82/Monatsplanung!$E82*Monatsplanung!$G82),0,Personalplanung!AD82/Monatsplanung!$E82*Monatsplanung!$G82))</f>
        <v>0</v>
      </c>
      <c r="R82" s="740"/>
      <c r="S82" s="739"/>
      <c r="T82" s="168">
        <f>IF(S82&lt;&gt;"",S82,IF(ISERROR(Personalplanung!AE82/Monatsplanung!$E82*Monatsplanung!$G82),0,Personalplanung!AE82/Monatsplanung!$E82*Monatsplanung!$G82))</f>
        <v>0</v>
      </c>
      <c r="U82" s="740"/>
      <c r="V82" s="168">
        <f t="shared" si="12"/>
        <v>0</v>
      </c>
      <c r="W82" s="168">
        <f>IF(ISERROR(Personalplanung!P82/Monatsplanung!$E82*Monatsplanung!$G82),0,Personalplanung!P82/Monatsplanung!$E82*Monatsplanung!$G82)</f>
        <v>0</v>
      </c>
      <c r="X82" s="168">
        <f>IF(ISERROR(Personalplanung!Q82/Monatsplanung!$E82*Monatsplanung!$G82),0,Personalplanung!Q82/Monatsplanung!$E82*Monatsplanung!$G82)</f>
        <v>0</v>
      </c>
      <c r="Y82" s="168">
        <f>IF(ISERROR(Personalplanung!R82/T1330*Stundencontrolling!T82),0,Personalplanung!R82/T1330*Stundencontrolling!T82)</f>
        <v>0</v>
      </c>
      <c r="Z82" s="168">
        <f>IF(ISERROR(Personalplanung!S82/Monatsplanung!$E82*Monatsplanung!$G82),0,Personalplanung!S82/Monatsplanung!$E82*Monatsplanung!$G82)</f>
        <v>0</v>
      </c>
      <c r="AA82" s="80" t="e">
        <f t="shared" si="13"/>
        <v>#DIV/0!</v>
      </c>
      <c r="AB82" s="102">
        <f>Personalplanung!AG82</f>
        <v>0</v>
      </c>
      <c r="AC82" s="103" t="e">
        <f t="shared" si="14"/>
        <v>#DIV/0!</v>
      </c>
      <c r="AD82" s="103" t="e">
        <f t="shared" si="15"/>
        <v>#DIV/0!</v>
      </c>
      <c r="AE82" s="81">
        <f t="shared" si="16"/>
        <v>0</v>
      </c>
      <c r="AF82" s="539"/>
      <c r="AG82" s="104">
        <f>Personalplanung!AK82</f>
        <v>0</v>
      </c>
      <c r="AH82" s="7">
        <f t="shared" si="17"/>
        <v>0</v>
      </c>
      <c r="AI82" s="6">
        <f t="shared" si="18"/>
        <v>0</v>
      </c>
      <c r="AJ82" s="73">
        <f t="shared" si="19"/>
        <v>0</v>
      </c>
      <c r="AK82" s="539"/>
      <c r="AL82" s="748"/>
      <c r="AM82" s="748"/>
    </row>
    <row r="83" spans="2:39" x14ac:dyDescent="0.2">
      <c r="B83" s="101" t="str">
        <f>IF(Personalplanung!B83&lt;&gt;"",Personalplanung!B83,IF(Personalplanung!A83&lt;&gt;"",Personalplanung!A83,""))</f>
        <v/>
      </c>
      <c r="C83" s="168">
        <f>IF(ISERROR(Personalplanung!$F83/Monatsplanung!$E83*Monatsplanung!$G83),0,Personalplanung!$F83/Monatsplanung!$E83*Monatsplanung!$G83)</f>
        <v>0</v>
      </c>
      <c r="D83" s="168">
        <f>Personalplanung!G83</f>
        <v>0</v>
      </c>
      <c r="E83" s="168">
        <f>IF(ISERROR(Personalplanung!H83/Monatsplanung!$E83*Monatsplanung!$G83),0,Personalplanung!H83/Monatsplanung!$E83*Monatsplanung!$G83)</f>
        <v>0</v>
      </c>
      <c r="F83" s="168">
        <f t="shared" si="10"/>
        <v>0</v>
      </c>
      <c r="G83" s="168" t="e">
        <f>Personalplanung!K83</f>
        <v>#DIV/0!</v>
      </c>
      <c r="H83" s="168" t="e">
        <f t="shared" si="11"/>
        <v>#DIV/0!</v>
      </c>
      <c r="I83" s="168">
        <f>Personalplanung!V83</f>
        <v>0</v>
      </c>
      <c r="J83" s="739"/>
      <c r="K83" s="168">
        <f>IF(J83&lt;&gt;"",J83,IF(ISERROR(Personalplanung!AB83/Monatsplanung!$E83*Monatsplanung!$G83),0,Personalplanung!AB83/Monatsplanung!$E83*Monatsplanung!$G83))</f>
        <v>0</v>
      </c>
      <c r="L83" s="740"/>
      <c r="M83" s="739"/>
      <c r="N83" s="168">
        <f>IF(M83&lt;&gt;"",M83,IF(ISERROR(Personalplanung!AC83/Monatsplanung!$E83*Monatsplanung!$G83),0,Personalplanung!AC83/Monatsplanung!$E83*Monatsplanung!$G83))</f>
        <v>0</v>
      </c>
      <c r="O83" s="740"/>
      <c r="P83" s="739"/>
      <c r="Q83" s="168">
        <f>IF(P83&lt;&gt;"",P83,IF(ISERROR(Personalplanung!AD83/Monatsplanung!$E83*Monatsplanung!$G83),0,Personalplanung!AD83/Monatsplanung!$E83*Monatsplanung!$G83))</f>
        <v>0</v>
      </c>
      <c r="R83" s="740"/>
      <c r="S83" s="739"/>
      <c r="T83" s="168">
        <f>IF(S83&lt;&gt;"",S83,IF(ISERROR(Personalplanung!AE83/Monatsplanung!$E83*Monatsplanung!$G83),0,Personalplanung!AE83/Monatsplanung!$E83*Monatsplanung!$G83))</f>
        <v>0</v>
      </c>
      <c r="U83" s="740"/>
      <c r="V83" s="168">
        <f t="shared" si="12"/>
        <v>0</v>
      </c>
      <c r="W83" s="168">
        <f>IF(ISERROR(Personalplanung!P83/Monatsplanung!$E83*Monatsplanung!$G83),0,Personalplanung!P83/Monatsplanung!$E83*Monatsplanung!$G83)</f>
        <v>0</v>
      </c>
      <c r="X83" s="168">
        <f>IF(ISERROR(Personalplanung!Q83/Monatsplanung!$E83*Monatsplanung!$G83),0,Personalplanung!Q83/Monatsplanung!$E83*Monatsplanung!$G83)</f>
        <v>0</v>
      </c>
      <c r="Y83" s="168">
        <f>IF(ISERROR(Personalplanung!R83/T1331*Stundencontrolling!T83),0,Personalplanung!R83/T1331*Stundencontrolling!T83)</f>
        <v>0</v>
      </c>
      <c r="Z83" s="168">
        <f>IF(ISERROR(Personalplanung!S83/Monatsplanung!$E83*Monatsplanung!$G83),0,Personalplanung!S83/Monatsplanung!$E83*Monatsplanung!$G83)</f>
        <v>0</v>
      </c>
      <c r="AA83" s="80" t="e">
        <f t="shared" si="13"/>
        <v>#DIV/0!</v>
      </c>
      <c r="AB83" s="102">
        <f>Personalplanung!AG83</f>
        <v>0</v>
      </c>
      <c r="AC83" s="103" t="e">
        <f t="shared" si="14"/>
        <v>#DIV/0!</v>
      </c>
      <c r="AD83" s="103" t="e">
        <f t="shared" si="15"/>
        <v>#DIV/0!</v>
      </c>
      <c r="AE83" s="81">
        <f t="shared" si="16"/>
        <v>0</v>
      </c>
      <c r="AF83" s="539"/>
      <c r="AG83" s="104">
        <f>Personalplanung!AK83</f>
        <v>0</v>
      </c>
      <c r="AH83" s="7">
        <f t="shared" si="17"/>
        <v>0</v>
      </c>
      <c r="AI83" s="6">
        <f t="shared" si="18"/>
        <v>0</v>
      </c>
      <c r="AJ83" s="73">
        <f t="shared" si="19"/>
        <v>0</v>
      </c>
      <c r="AK83" s="539"/>
      <c r="AL83" s="748"/>
      <c r="AM83" s="748"/>
    </row>
    <row r="84" spans="2:39" x14ac:dyDescent="0.2">
      <c r="B84" s="101" t="str">
        <f>IF(Personalplanung!B84&lt;&gt;"",Personalplanung!B84,IF(Personalplanung!A84&lt;&gt;"",Personalplanung!A84,""))</f>
        <v/>
      </c>
      <c r="C84" s="168">
        <f>IF(ISERROR(Personalplanung!$F84/Monatsplanung!$E84*Monatsplanung!$G84),0,Personalplanung!$F84/Monatsplanung!$E84*Monatsplanung!$G84)</f>
        <v>0</v>
      </c>
      <c r="D84" s="168">
        <f>Personalplanung!G84</f>
        <v>0</v>
      </c>
      <c r="E84" s="168">
        <f>IF(ISERROR(Personalplanung!H84/Monatsplanung!$E84*Monatsplanung!$G84),0,Personalplanung!H84/Monatsplanung!$E84*Monatsplanung!$G84)</f>
        <v>0</v>
      </c>
      <c r="F84" s="168">
        <f t="shared" si="10"/>
        <v>0</v>
      </c>
      <c r="G84" s="168" t="e">
        <f>Personalplanung!K84</f>
        <v>#DIV/0!</v>
      </c>
      <c r="H84" s="168" t="e">
        <f t="shared" si="11"/>
        <v>#DIV/0!</v>
      </c>
      <c r="I84" s="168">
        <f>Personalplanung!V84</f>
        <v>0</v>
      </c>
      <c r="J84" s="739"/>
      <c r="K84" s="168">
        <f>IF(J84&lt;&gt;"",J84,IF(ISERROR(Personalplanung!AB84/Monatsplanung!$E84*Monatsplanung!$G84),0,Personalplanung!AB84/Monatsplanung!$E84*Monatsplanung!$G84))</f>
        <v>0</v>
      </c>
      <c r="L84" s="740"/>
      <c r="M84" s="739"/>
      <c r="N84" s="168">
        <f>IF(M84&lt;&gt;"",M84,IF(ISERROR(Personalplanung!AC84/Monatsplanung!$E84*Monatsplanung!$G84),0,Personalplanung!AC84/Monatsplanung!$E84*Monatsplanung!$G84))</f>
        <v>0</v>
      </c>
      <c r="O84" s="740"/>
      <c r="P84" s="739"/>
      <c r="Q84" s="168">
        <f>IF(P84&lt;&gt;"",P84,IF(ISERROR(Personalplanung!AD84/Monatsplanung!$E84*Monatsplanung!$G84),0,Personalplanung!AD84/Monatsplanung!$E84*Monatsplanung!$G84))</f>
        <v>0</v>
      </c>
      <c r="R84" s="740"/>
      <c r="S84" s="739"/>
      <c r="T84" s="168">
        <f>IF(S84&lt;&gt;"",S84,IF(ISERROR(Personalplanung!AE84/Monatsplanung!$E84*Monatsplanung!$G84),0,Personalplanung!AE84/Monatsplanung!$E84*Monatsplanung!$G84))</f>
        <v>0</v>
      </c>
      <c r="U84" s="740"/>
      <c r="V84" s="168">
        <f t="shared" si="12"/>
        <v>0</v>
      </c>
      <c r="W84" s="168">
        <f>IF(ISERROR(Personalplanung!P84/Monatsplanung!$E84*Monatsplanung!$G84),0,Personalplanung!P84/Monatsplanung!$E84*Monatsplanung!$G84)</f>
        <v>0</v>
      </c>
      <c r="X84" s="168">
        <f>IF(ISERROR(Personalplanung!Q84/Monatsplanung!$E84*Monatsplanung!$G84),0,Personalplanung!Q84/Monatsplanung!$E84*Monatsplanung!$G84)</f>
        <v>0</v>
      </c>
      <c r="Y84" s="168">
        <f>IF(ISERROR(Personalplanung!R84/T1332*Stundencontrolling!T84),0,Personalplanung!R84/T1332*Stundencontrolling!T84)</f>
        <v>0</v>
      </c>
      <c r="Z84" s="168">
        <f>IF(ISERROR(Personalplanung!S84/Monatsplanung!$E84*Monatsplanung!$G84),0,Personalplanung!S84/Monatsplanung!$E84*Monatsplanung!$G84)</f>
        <v>0</v>
      </c>
      <c r="AA84" s="80" t="e">
        <f t="shared" si="13"/>
        <v>#DIV/0!</v>
      </c>
      <c r="AB84" s="102">
        <f>Personalplanung!AG84</f>
        <v>0</v>
      </c>
      <c r="AC84" s="103" t="e">
        <f t="shared" si="14"/>
        <v>#DIV/0!</v>
      </c>
      <c r="AD84" s="103" t="e">
        <f t="shared" si="15"/>
        <v>#DIV/0!</v>
      </c>
      <c r="AE84" s="81">
        <f t="shared" si="16"/>
        <v>0</v>
      </c>
      <c r="AF84" s="539"/>
      <c r="AG84" s="104">
        <f>Personalplanung!AK84</f>
        <v>0</v>
      </c>
      <c r="AH84" s="7">
        <f t="shared" si="17"/>
        <v>0</v>
      </c>
      <c r="AI84" s="6">
        <f t="shared" si="18"/>
        <v>0</v>
      </c>
      <c r="AJ84" s="73">
        <f t="shared" si="19"/>
        <v>0</v>
      </c>
      <c r="AK84" s="539"/>
      <c r="AL84" s="748"/>
      <c r="AM84" s="748"/>
    </row>
    <row r="85" spans="2:39" x14ac:dyDescent="0.2">
      <c r="B85" s="101" t="str">
        <f>IF(Personalplanung!B85&lt;&gt;"",Personalplanung!B85,IF(Personalplanung!A85&lt;&gt;"",Personalplanung!A85,""))</f>
        <v/>
      </c>
      <c r="C85" s="168">
        <f>IF(ISERROR(Personalplanung!$F85/Monatsplanung!$E85*Monatsplanung!$G85),0,Personalplanung!$F85/Monatsplanung!$E85*Monatsplanung!$G85)</f>
        <v>0</v>
      </c>
      <c r="D85" s="168">
        <f>Personalplanung!G85</f>
        <v>0</v>
      </c>
      <c r="E85" s="168">
        <f>IF(ISERROR(Personalplanung!H85/Monatsplanung!$E85*Monatsplanung!$G85),0,Personalplanung!H85/Monatsplanung!$E85*Monatsplanung!$G85)</f>
        <v>0</v>
      </c>
      <c r="F85" s="168">
        <f t="shared" si="10"/>
        <v>0</v>
      </c>
      <c r="G85" s="168" t="e">
        <f>Personalplanung!K85</f>
        <v>#DIV/0!</v>
      </c>
      <c r="H85" s="168" t="e">
        <f t="shared" si="11"/>
        <v>#DIV/0!</v>
      </c>
      <c r="I85" s="168">
        <f>Personalplanung!V85</f>
        <v>0</v>
      </c>
      <c r="J85" s="739"/>
      <c r="K85" s="168">
        <f>IF(J85&lt;&gt;"",J85,IF(ISERROR(Personalplanung!AB85/Monatsplanung!$E85*Monatsplanung!$G85),0,Personalplanung!AB85/Monatsplanung!$E85*Monatsplanung!$G85))</f>
        <v>0</v>
      </c>
      <c r="L85" s="740"/>
      <c r="M85" s="739"/>
      <c r="N85" s="168">
        <f>IF(M85&lt;&gt;"",M85,IF(ISERROR(Personalplanung!AC85/Monatsplanung!$E85*Monatsplanung!$G85),0,Personalplanung!AC85/Monatsplanung!$E85*Monatsplanung!$G85))</f>
        <v>0</v>
      </c>
      <c r="O85" s="740"/>
      <c r="P85" s="739"/>
      <c r="Q85" s="168">
        <f>IF(P85&lt;&gt;"",P85,IF(ISERROR(Personalplanung!AD85/Monatsplanung!$E85*Monatsplanung!$G85),0,Personalplanung!AD85/Monatsplanung!$E85*Monatsplanung!$G85))</f>
        <v>0</v>
      </c>
      <c r="R85" s="740"/>
      <c r="S85" s="739"/>
      <c r="T85" s="168">
        <f>IF(S85&lt;&gt;"",S85,IF(ISERROR(Personalplanung!AE85/Monatsplanung!$E85*Monatsplanung!$G85),0,Personalplanung!AE85/Monatsplanung!$E85*Monatsplanung!$G85))</f>
        <v>0</v>
      </c>
      <c r="U85" s="740"/>
      <c r="V85" s="168">
        <f t="shared" si="12"/>
        <v>0</v>
      </c>
      <c r="W85" s="168">
        <f>IF(ISERROR(Personalplanung!P85/Monatsplanung!$E85*Monatsplanung!$G85),0,Personalplanung!P85/Monatsplanung!$E85*Monatsplanung!$G85)</f>
        <v>0</v>
      </c>
      <c r="X85" s="168">
        <f>IF(ISERROR(Personalplanung!Q85/Monatsplanung!$E85*Monatsplanung!$G85),0,Personalplanung!Q85/Monatsplanung!$E85*Monatsplanung!$G85)</f>
        <v>0</v>
      </c>
      <c r="Y85" s="168">
        <f>IF(ISERROR(Personalplanung!R85/T1333*Stundencontrolling!T85),0,Personalplanung!R85/T1333*Stundencontrolling!T85)</f>
        <v>0</v>
      </c>
      <c r="Z85" s="168">
        <f>IF(ISERROR(Personalplanung!S85/Monatsplanung!$E85*Monatsplanung!$G85),0,Personalplanung!S85/Monatsplanung!$E85*Monatsplanung!$G85)</f>
        <v>0</v>
      </c>
      <c r="AA85" s="80" t="e">
        <f t="shared" si="13"/>
        <v>#DIV/0!</v>
      </c>
      <c r="AB85" s="102">
        <f>Personalplanung!AG85</f>
        <v>0</v>
      </c>
      <c r="AC85" s="103" t="e">
        <f t="shared" si="14"/>
        <v>#DIV/0!</v>
      </c>
      <c r="AD85" s="103" t="e">
        <f t="shared" si="15"/>
        <v>#DIV/0!</v>
      </c>
      <c r="AE85" s="81">
        <f t="shared" si="16"/>
        <v>0</v>
      </c>
      <c r="AF85" s="539"/>
      <c r="AG85" s="104">
        <f>Personalplanung!AK85</f>
        <v>0</v>
      </c>
      <c r="AH85" s="7">
        <f t="shared" si="17"/>
        <v>0</v>
      </c>
      <c r="AI85" s="6">
        <f t="shared" si="18"/>
        <v>0</v>
      </c>
      <c r="AJ85" s="73">
        <f t="shared" si="19"/>
        <v>0</v>
      </c>
      <c r="AK85" s="539"/>
      <c r="AL85" s="748"/>
      <c r="AM85" s="748"/>
    </row>
    <row r="86" spans="2:39" x14ac:dyDescent="0.2">
      <c r="B86" s="101" t="str">
        <f>IF(Personalplanung!B86&lt;&gt;"",Personalplanung!B86,IF(Personalplanung!A86&lt;&gt;"",Personalplanung!A86,""))</f>
        <v/>
      </c>
      <c r="C86" s="168">
        <f>IF(ISERROR(Personalplanung!$F86/Monatsplanung!$E86*Monatsplanung!$G86),0,Personalplanung!$F86/Monatsplanung!$E86*Monatsplanung!$G86)</f>
        <v>0</v>
      </c>
      <c r="D86" s="168">
        <f>Personalplanung!G86</f>
        <v>0</v>
      </c>
      <c r="E86" s="168">
        <f>IF(ISERROR(Personalplanung!H86/Monatsplanung!$E86*Monatsplanung!$G86),0,Personalplanung!H86/Monatsplanung!$E86*Monatsplanung!$G86)</f>
        <v>0</v>
      </c>
      <c r="F86" s="168">
        <f t="shared" si="10"/>
        <v>0</v>
      </c>
      <c r="G86" s="168" t="e">
        <f>Personalplanung!K86</f>
        <v>#DIV/0!</v>
      </c>
      <c r="H86" s="168" t="e">
        <f t="shared" si="11"/>
        <v>#DIV/0!</v>
      </c>
      <c r="I86" s="168">
        <f>Personalplanung!V86</f>
        <v>0</v>
      </c>
      <c r="J86" s="739"/>
      <c r="K86" s="168">
        <f>IF(J86&lt;&gt;"",J86,IF(ISERROR(Personalplanung!AB86/Monatsplanung!$E86*Monatsplanung!$G86),0,Personalplanung!AB86/Monatsplanung!$E86*Monatsplanung!$G86))</f>
        <v>0</v>
      </c>
      <c r="L86" s="740"/>
      <c r="M86" s="739"/>
      <c r="N86" s="168">
        <f>IF(M86&lt;&gt;"",M86,IF(ISERROR(Personalplanung!AC86/Monatsplanung!$E86*Monatsplanung!$G86),0,Personalplanung!AC86/Monatsplanung!$E86*Monatsplanung!$G86))</f>
        <v>0</v>
      </c>
      <c r="O86" s="740"/>
      <c r="P86" s="739"/>
      <c r="Q86" s="168">
        <f>IF(P86&lt;&gt;"",P86,IF(ISERROR(Personalplanung!AD86/Monatsplanung!$E86*Monatsplanung!$G86),0,Personalplanung!AD86/Monatsplanung!$E86*Monatsplanung!$G86))</f>
        <v>0</v>
      </c>
      <c r="R86" s="740"/>
      <c r="S86" s="739"/>
      <c r="T86" s="168">
        <f>IF(S86&lt;&gt;"",S86,IF(ISERROR(Personalplanung!AE86/Monatsplanung!$E86*Monatsplanung!$G86),0,Personalplanung!AE86/Monatsplanung!$E86*Monatsplanung!$G86))</f>
        <v>0</v>
      </c>
      <c r="U86" s="740"/>
      <c r="V86" s="168">
        <f t="shared" si="12"/>
        <v>0</v>
      </c>
      <c r="W86" s="168">
        <f>IF(ISERROR(Personalplanung!P86/Monatsplanung!$E86*Monatsplanung!$G86),0,Personalplanung!P86/Monatsplanung!$E86*Monatsplanung!$G86)</f>
        <v>0</v>
      </c>
      <c r="X86" s="168">
        <f>IF(ISERROR(Personalplanung!Q86/Monatsplanung!$E86*Monatsplanung!$G86),0,Personalplanung!Q86/Monatsplanung!$E86*Monatsplanung!$G86)</f>
        <v>0</v>
      </c>
      <c r="Y86" s="168">
        <f>IF(ISERROR(Personalplanung!R86/T1334*Stundencontrolling!T86),0,Personalplanung!R86/T1334*Stundencontrolling!T86)</f>
        <v>0</v>
      </c>
      <c r="Z86" s="168">
        <f>IF(ISERROR(Personalplanung!S86/Monatsplanung!$E86*Monatsplanung!$G86),0,Personalplanung!S86/Monatsplanung!$E86*Monatsplanung!$G86)</f>
        <v>0</v>
      </c>
      <c r="AA86" s="80" t="e">
        <f t="shared" si="13"/>
        <v>#DIV/0!</v>
      </c>
      <c r="AB86" s="102">
        <f>Personalplanung!AG86</f>
        <v>0</v>
      </c>
      <c r="AC86" s="103" t="e">
        <f t="shared" si="14"/>
        <v>#DIV/0!</v>
      </c>
      <c r="AD86" s="103" t="e">
        <f t="shared" si="15"/>
        <v>#DIV/0!</v>
      </c>
      <c r="AE86" s="81">
        <f t="shared" si="16"/>
        <v>0</v>
      </c>
      <c r="AF86" s="539"/>
      <c r="AG86" s="104">
        <f>Personalplanung!AK86</f>
        <v>0</v>
      </c>
      <c r="AH86" s="7">
        <f t="shared" si="17"/>
        <v>0</v>
      </c>
      <c r="AI86" s="6">
        <f t="shared" si="18"/>
        <v>0</v>
      </c>
      <c r="AJ86" s="73">
        <f t="shared" si="19"/>
        <v>0</v>
      </c>
      <c r="AK86" s="539"/>
      <c r="AL86" s="748"/>
      <c r="AM86" s="748"/>
    </row>
    <row r="87" spans="2:39" x14ac:dyDescent="0.2">
      <c r="B87" s="101" t="str">
        <f>IF(Personalplanung!B87&lt;&gt;"",Personalplanung!B87,IF(Personalplanung!A87&lt;&gt;"",Personalplanung!A87,""))</f>
        <v/>
      </c>
      <c r="C87" s="168">
        <f>IF(ISERROR(Personalplanung!$F87/Monatsplanung!$E87*Monatsplanung!$G87),0,Personalplanung!$F87/Monatsplanung!$E87*Monatsplanung!$G87)</f>
        <v>0</v>
      </c>
      <c r="D87" s="168">
        <f>Personalplanung!G87</f>
        <v>0</v>
      </c>
      <c r="E87" s="168">
        <f>IF(ISERROR(Personalplanung!H87/Monatsplanung!$E87*Monatsplanung!$G87),0,Personalplanung!H87/Monatsplanung!$E87*Monatsplanung!$G87)</f>
        <v>0</v>
      </c>
      <c r="F87" s="168">
        <f t="shared" si="10"/>
        <v>0</v>
      </c>
      <c r="G87" s="168" t="e">
        <f>Personalplanung!K87</f>
        <v>#DIV/0!</v>
      </c>
      <c r="H87" s="168" t="e">
        <f t="shared" si="11"/>
        <v>#DIV/0!</v>
      </c>
      <c r="I87" s="168">
        <f>Personalplanung!V87</f>
        <v>0</v>
      </c>
      <c r="J87" s="739"/>
      <c r="K87" s="168">
        <f>IF(J87&lt;&gt;"",J87,IF(ISERROR(Personalplanung!AB87/Monatsplanung!$E87*Monatsplanung!$G87),0,Personalplanung!AB87/Monatsplanung!$E87*Monatsplanung!$G87))</f>
        <v>0</v>
      </c>
      <c r="L87" s="740"/>
      <c r="M87" s="739"/>
      <c r="N87" s="168">
        <f>IF(M87&lt;&gt;"",M87,IF(ISERROR(Personalplanung!AC87/Monatsplanung!$E87*Monatsplanung!$G87),0,Personalplanung!AC87/Monatsplanung!$E87*Monatsplanung!$G87))</f>
        <v>0</v>
      </c>
      <c r="O87" s="740"/>
      <c r="P87" s="739"/>
      <c r="Q87" s="168">
        <f>IF(P87&lt;&gt;"",P87,IF(ISERROR(Personalplanung!AD87/Monatsplanung!$E87*Monatsplanung!$G87),0,Personalplanung!AD87/Monatsplanung!$E87*Monatsplanung!$G87))</f>
        <v>0</v>
      </c>
      <c r="R87" s="740"/>
      <c r="S87" s="739"/>
      <c r="T87" s="168">
        <f>IF(S87&lt;&gt;"",S87,IF(ISERROR(Personalplanung!AE87/Monatsplanung!$E87*Monatsplanung!$G87),0,Personalplanung!AE87/Monatsplanung!$E87*Monatsplanung!$G87))</f>
        <v>0</v>
      </c>
      <c r="U87" s="740"/>
      <c r="V87" s="168">
        <f t="shared" si="12"/>
        <v>0</v>
      </c>
      <c r="W87" s="168">
        <f>IF(ISERROR(Personalplanung!P87/Monatsplanung!$E87*Monatsplanung!$G87),0,Personalplanung!P87/Monatsplanung!$E87*Monatsplanung!$G87)</f>
        <v>0</v>
      </c>
      <c r="X87" s="168">
        <f>IF(ISERROR(Personalplanung!Q87/Monatsplanung!$E87*Monatsplanung!$G87),0,Personalplanung!Q87/Monatsplanung!$E87*Monatsplanung!$G87)</f>
        <v>0</v>
      </c>
      <c r="Y87" s="168">
        <f>IF(ISERROR(Personalplanung!R87/T1335*Stundencontrolling!T87),0,Personalplanung!R87/T1335*Stundencontrolling!T87)</f>
        <v>0</v>
      </c>
      <c r="Z87" s="168">
        <f>IF(ISERROR(Personalplanung!S87/Monatsplanung!$E87*Monatsplanung!$G87),0,Personalplanung!S87/Monatsplanung!$E87*Monatsplanung!$G87)</f>
        <v>0</v>
      </c>
      <c r="AA87" s="80" t="e">
        <f t="shared" si="13"/>
        <v>#DIV/0!</v>
      </c>
      <c r="AB87" s="102">
        <f>Personalplanung!AG87</f>
        <v>0</v>
      </c>
      <c r="AC87" s="103" t="e">
        <f t="shared" si="14"/>
        <v>#DIV/0!</v>
      </c>
      <c r="AD87" s="103" t="e">
        <f t="shared" si="15"/>
        <v>#DIV/0!</v>
      </c>
      <c r="AE87" s="81">
        <f t="shared" si="16"/>
        <v>0</v>
      </c>
      <c r="AF87" s="539"/>
      <c r="AG87" s="104">
        <f>Personalplanung!AK87</f>
        <v>0</v>
      </c>
      <c r="AH87" s="7">
        <f t="shared" si="17"/>
        <v>0</v>
      </c>
      <c r="AI87" s="6">
        <f t="shared" si="18"/>
        <v>0</v>
      </c>
      <c r="AJ87" s="73">
        <f t="shared" si="19"/>
        <v>0</v>
      </c>
      <c r="AK87" s="539"/>
      <c r="AL87" s="748"/>
      <c r="AM87" s="748"/>
    </row>
    <row r="88" spans="2:39" x14ac:dyDescent="0.2">
      <c r="B88" s="101" t="str">
        <f>IF(Personalplanung!B88&lt;&gt;"",Personalplanung!B88,IF(Personalplanung!A88&lt;&gt;"",Personalplanung!A88,""))</f>
        <v/>
      </c>
      <c r="C88" s="168">
        <f>IF(ISERROR(Personalplanung!$F88/Monatsplanung!$E88*Monatsplanung!$G88),0,Personalplanung!$F88/Monatsplanung!$E88*Monatsplanung!$G88)</f>
        <v>0</v>
      </c>
      <c r="D88" s="168">
        <f>Personalplanung!G88</f>
        <v>0</v>
      </c>
      <c r="E88" s="168">
        <f>IF(ISERROR(Personalplanung!H88/Monatsplanung!$E88*Monatsplanung!$G88),0,Personalplanung!H88/Monatsplanung!$E88*Monatsplanung!$G88)</f>
        <v>0</v>
      </c>
      <c r="F88" s="168">
        <f t="shared" si="10"/>
        <v>0</v>
      </c>
      <c r="G88" s="168" t="e">
        <f>Personalplanung!K88</f>
        <v>#DIV/0!</v>
      </c>
      <c r="H88" s="168" t="e">
        <f t="shared" si="11"/>
        <v>#DIV/0!</v>
      </c>
      <c r="I88" s="168">
        <f>Personalplanung!V88</f>
        <v>0</v>
      </c>
      <c r="J88" s="739"/>
      <c r="K88" s="168">
        <f>IF(J88&lt;&gt;"",J88,IF(ISERROR(Personalplanung!AB88/Monatsplanung!$E88*Monatsplanung!$G88),0,Personalplanung!AB88/Monatsplanung!$E88*Monatsplanung!$G88))</f>
        <v>0</v>
      </c>
      <c r="L88" s="740"/>
      <c r="M88" s="739"/>
      <c r="N88" s="168">
        <f>IF(M88&lt;&gt;"",M88,IF(ISERROR(Personalplanung!AC88/Monatsplanung!$E88*Monatsplanung!$G88),0,Personalplanung!AC88/Monatsplanung!$E88*Monatsplanung!$G88))</f>
        <v>0</v>
      </c>
      <c r="O88" s="740"/>
      <c r="P88" s="739"/>
      <c r="Q88" s="168">
        <f>IF(P88&lt;&gt;"",P88,IF(ISERROR(Personalplanung!AD88/Monatsplanung!$E88*Monatsplanung!$G88),0,Personalplanung!AD88/Monatsplanung!$E88*Monatsplanung!$G88))</f>
        <v>0</v>
      </c>
      <c r="R88" s="740"/>
      <c r="S88" s="739"/>
      <c r="T88" s="168">
        <f>IF(S88&lt;&gt;"",S88,IF(ISERROR(Personalplanung!AE88/Monatsplanung!$E88*Monatsplanung!$G88),0,Personalplanung!AE88/Monatsplanung!$E88*Monatsplanung!$G88))</f>
        <v>0</v>
      </c>
      <c r="U88" s="740"/>
      <c r="V88" s="168">
        <f t="shared" si="12"/>
        <v>0</v>
      </c>
      <c r="W88" s="168">
        <f>IF(ISERROR(Personalplanung!P88/Monatsplanung!$E88*Monatsplanung!$G88),0,Personalplanung!P88/Monatsplanung!$E88*Monatsplanung!$G88)</f>
        <v>0</v>
      </c>
      <c r="X88" s="168">
        <f>IF(ISERROR(Personalplanung!Q88/Monatsplanung!$E88*Monatsplanung!$G88),0,Personalplanung!Q88/Monatsplanung!$E88*Monatsplanung!$G88)</f>
        <v>0</v>
      </c>
      <c r="Y88" s="168">
        <f>IF(ISERROR(Personalplanung!R88/T1336*Stundencontrolling!T88),0,Personalplanung!R88/T1336*Stundencontrolling!T88)</f>
        <v>0</v>
      </c>
      <c r="Z88" s="168">
        <f>IF(ISERROR(Personalplanung!S88/Monatsplanung!$E88*Monatsplanung!$G88),0,Personalplanung!S88/Monatsplanung!$E88*Monatsplanung!$G88)</f>
        <v>0</v>
      </c>
      <c r="AA88" s="80" t="e">
        <f t="shared" si="13"/>
        <v>#DIV/0!</v>
      </c>
      <c r="AB88" s="102">
        <f>Personalplanung!AG88</f>
        <v>0</v>
      </c>
      <c r="AC88" s="103" t="e">
        <f t="shared" si="14"/>
        <v>#DIV/0!</v>
      </c>
      <c r="AD88" s="103" t="e">
        <f t="shared" si="15"/>
        <v>#DIV/0!</v>
      </c>
      <c r="AE88" s="81">
        <f t="shared" si="16"/>
        <v>0</v>
      </c>
      <c r="AF88" s="539"/>
      <c r="AG88" s="104">
        <f>Personalplanung!AK88</f>
        <v>0</v>
      </c>
      <c r="AH88" s="7">
        <f t="shared" si="17"/>
        <v>0</v>
      </c>
      <c r="AI88" s="6">
        <f t="shared" si="18"/>
        <v>0</v>
      </c>
      <c r="AJ88" s="73">
        <f t="shared" si="19"/>
        <v>0</v>
      </c>
      <c r="AK88" s="539"/>
      <c r="AL88" s="748"/>
      <c r="AM88" s="748"/>
    </row>
    <row r="89" spans="2:39" x14ac:dyDescent="0.2">
      <c r="B89" s="101" t="str">
        <f>IF(Personalplanung!B89&lt;&gt;"",Personalplanung!B89,IF(Personalplanung!A89&lt;&gt;"",Personalplanung!A89,""))</f>
        <v/>
      </c>
      <c r="C89" s="168">
        <f>IF(ISERROR(Personalplanung!$F89/Monatsplanung!$E89*Monatsplanung!$G89),0,Personalplanung!$F89/Monatsplanung!$E89*Monatsplanung!$G89)</f>
        <v>0</v>
      </c>
      <c r="D89" s="168">
        <f>Personalplanung!G89</f>
        <v>0</v>
      </c>
      <c r="E89" s="168">
        <f>IF(ISERROR(Personalplanung!H89/Monatsplanung!$E89*Monatsplanung!$G89),0,Personalplanung!H89/Monatsplanung!$E89*Monatsplanung!$G89)</f>
        <v>0</v>
      </c>
      <c r="F89" s="168">
        <f t="shared" si="10"/>
        <v>0</v>
      </c>
      <c r="G89" s="168" t="e">
        <f>Personalplanung!K89</f>
        <v>#DIV/0!</v>
      </c>
      <c r="H89" s="168" t="e">
        <f t="shared" si="11"/>
        <v>#DIV/0!</v>
      </c>
      <c r="I89" s="168">
        <f>Personalplanung!V89</f>
        <v>0</v>
      </c>
      <c r="J89" s="739"/>
      <c r="K89" s="168">
        <f>IF(J89&lt;&gt;"",J89,IF(ISERROR(Personalplanung!AB89/Monatsplanung!$E89*Monatsplanung!$G89),0,Personalplanung!AB89/Monatsplanung!$E89*Monatsplanung!$G89))</f>
        <v>0</v>
      </c>
      <c r="L89" s="740"/>
      <c r="M89" s="739"/>
      <c r="N89" s="168">
        <f>IF(M89&lt;&gt;"",M89,IF(ISERROR(Personalplanung!AC89/Monatsplanung!$E89*Monatsplanung!$G89),0,Personalplanung!AC89/Monatsplanung!$E89*Monatsplanung!$G89))</f>
        <v>0</v>
      </c>
      <c r="O89" s="740"/>
      <c r="P89" s="739"/>
      <c r="Q89" s="168">
        <f>IF(P89&lt;&gt;"",P89,IF(ISERROR(Personalplanung!AD89/Monatsplanung!$E89*Monatsplanung!$G89),0,Personalplanung!AD89/Monatsplanung!$E89*Monatsplanung!$G89))</f>
        <v>0</v>
      </c>
      <c r="R89" s="740"/>
      <c r="S89" s="739"/>
      <c r="T89" s="168">
        <f>IF(S89&lt;&gt;"",S89,IF(ISERROR(Personalplanung!AE89/Monatsplanung!$E89*Monatsplanung!$G89),0,Personalplanung!AE89/Monatsplanung!$E89*Monatsplanung!$G89))</f>
        <v>0</v>
      </c>
      <c r="U89" s="740"/>
      <c r="V89" s="168">
        <f t="shared" si="12"/>
        <v>0</v>
      </c>
      <c r="W89" s="168">
        <f>IF(ISERROR(Personalplanung!P89/Monatsplanung!$E89*Monatsplanung!$G89),0,Personalplanung!P89/Monatsplanung!$E89*Monatsplanung!$G89)</f>
        <v>0</v>
      </c>
      <c r="X89" s="168">
        <f>IF(ISERROR(Personalplanung!Q89/Monatsplanung!$E89*Monatsplanung!$G89),0,Personalplanung!Q89/Monatsplanung!$E89*Monatsplanung!$G89)</f>
        <v>0</v>
      </c>
      <c r="Y89" s="168">
        <f>IF(ISERROR(Personalplanung!R89/T1337*Stundencontrolling!T89),0,Personalplanung!R89/T1337*Stundencontrolling!T89)</f>
        <v>0</v>
      </c>
      <c r="Z89" s="168">
        <f>IF(ISERROR(Personalplanung!S89/Monatsplanung!$E89*Monatsplanung!$G89),0,Personalplanung!S89/Monatsplanung!$E89*Monatsplanung!$G89)</f>
        <v>0</v>
      </c>
      <c r="AA89" s="80" t="e">
        <f t="shared" si="13"/>
        <v>#DIV/0!</v>
      </c>
      <c r="AB89" s="102">
        <f>Personalplanung!AG89</f>
        <v>0</v>
      </c>
      <c r="AC89" s="103" t="e">
        <f t="shared" si="14"/>
        <v>#DIV/0!</v>
      </c>
      <c r="AD89" s="103" t="e">
        <f t="shared" si="15"/>
        <v>#DIV/0!</v>
      </c>
      <c r="AE89" s="81">
        <f t="shared" si="16"/>
        <v>0</v>
      </c>
      <c r="AF89" s="539"/>
      <c r="AG89" s="104">
        <f>Personalplanung!AK89</f>
        <v>0</v>
      </c>
      <c r="AH89" s="7">
        <f t="shared" si="17"/>
        <v>0</v>
      </c>
      <c r="AI89" s="6">
        <f t="shared" si="18"/>
        <v>0</v>
      </c>
      <c r="AJ89" s="73">
        <f t="shared" si="19"/>
        <v>0</v>
      </c>
      <c r="AK89" s="539"/>
      <c r="AL89" s="748"/>
      <c r="AM89" s="748"/>
    </row>
    <row r="90" spans="2:39" x14ac:dyDescent="0.2">
      <c r="B90" s="101" t="str">
        <f>IF(Personalplanung!B90&lt;&gt;"",Personalplanung!B90,IF(Personalplanung!A90&lt;&gt;"",Personalplanung!A90,""))</f>
        <v/>
      </c>
      <c r="C90" s="168">
        <f>IF(ISERROR(Personalplanung!$F90/Monatsplanung!$E90*Monatsplanung!$G90),0,Personalplanung!$F90/Monatsplanung!$E90*Monatsplanung!$G90)</f>
        <v>0</v>
      </c>
      <c r="D90" s="168">
        <f>Personalplanung!G90</f>
        <v>0</v>
      </c>
      <c r="E90" s="168">
        <f>IF(ISERROR(Personalplanung!H90/Monatsplanung!$E90*Monatsplanung!$G90),0,Personalplanung!H90/Monatsplanung!$E90*Monatsplanung!$G90)</f>
        <v>0</v>
      </c>
      <c r="F90" s="168">
        <f t="shared" si="10"/>
        <v>0</v>
      </c>
      <c r="G90" s="168" t="e">
        <f>Personalplanung!K90</f>
        <v>#DIV/0!</v>
      </c>
      <c r="H90" s="168" t="e">
        <f t="shared" si="11"/>
        <v>#DIV/0!</v>
      </c>
      <c r="I90" s="168">
        <f>Personalplanung!V90</f>
        <v>0</v>
      </c>
      <c r="J90" s="739"/>
      <c r="K90" s="168">
        <f>IF(J90&lt;&gt;"",J90,IF(ISERROR(Personalplanung!AB90/Monatsplanung!$E90*Monatsplanung!$G90),0,Personalplanung!AB90/Monatsplanung!$E90*Monatsplanung!$G90))</f>
        <v>0</v>
      </c>
      <c r="L90" s="740"/>
      <c r="M90" s="739"/>
      <c r="N90" s="168">
        <f>IF(M90&lt;&gt;"",M90,IF(ISERROR(Personalplanung!AC90/Monatsplanung!$E90*Monatsplanung!$G90),0,Personalplanung!AC90/Monatsplanung!$E90*Monatsplanung!$G90))</f>
        <v>0</v>
      </c>
      <c r="O90" s="740"/>
      <c r="P90" s="739"/>
      <c r="Q90" s="168">
        <f>IF(P90&lt;&gt;"",P90,IF(ISERROR(Personalplanung!AD90/Monatsplanung!$E90*Monatsplanung!$G90),0,Personalplanung!AD90/Monatsplanung!$E90*Monatsplanung!$G90))</f>
        <v>0</v>
      </c>
      <c r="R90" s="740"/>
      <c r="S90" s="739"/>
      <c r="T90" s="168">
        <f>IF(S90&lt;&gt;"",S90,IF(ISERROR(Personalplanung!AE90/Monatsplanung!$E90*Monatsplanung!$G90),0,Personalplanung!AE90/Monatsplanung!$E90*Monatsplanung!$G90))</f>
        <v>0</v>
      </c>
      <c r="U90" s="740"/>
      <c r="V90" s="168">
        <f t="shared" si="12"/>
        <v>0</v>
      </c>
      <c r="W90" s="168">
        <f>IF(ISERROR(Personalplanung!P90/Monatsplanung!$E90*Monatsplanung!$G90),0,Personalplanung!P90/Monatsplanung!$E90*Monatsplanung!$G90)</f>
        <v>0</v>
      </c>
      <c r="X90" s="168">
        <f>IF(ISERROR(Personalplanung!Q90/Monatsplanung!$E90*Monatsplanung!$G90),0,Personalplanung!Q90/Monatsplanung!$E90*Monatsplanung!$G90)</f>
        <v>0</v>
      </c>
      <c r="Y90" s="168">
        <f>IF(ISERROR(Personalplanung!R90/T1338*Stundencontrolling!T90),0,Personalplanung!R90/T1338*Stundencontrolling!T90)</f>
        <v>0</v>
      </c>
      <c r="Z90" s="168">
        <f>IF(ISERROR(Personalplanung!S90/Monatsplanung!$E90*Monatsplanung!$G90),0,Personalplanung!S90/Monatsplanung!$E90*Monatsplanung!$G90)</f>
        <v>0</v>
      </c>
      <c r="AA90" s="80" t="e">
        <f t="shared" si="13"/>
        <v>#DIV/0!</v>
      </c>
      <c r="AB90" s="102">
        <f>Personalplanung!AG90</f>
        <v>0</v>
      </c>
      <c r="AC90" s="103" t="e">
        <f t="shared" si="14"/>
        <v>#DIV/0!</v>
      </c>
      <c r="AD90" s="103" t="e">
        <f t="shared" si="15"/>
        <v>#DIV/0!</v>
      </c>
      <c r="AE90" s="81">
        <f t="shared" si="16"/>
        <v>0</v>
      </c>
      <c r="AF90" s="539"/>
      <c r="AG90" s="104">
        <f>Personalplanung!AK90</f>
        <v>0</v>
      </c>
      <c r="AH90" s="7">
        <f t="shared" si="17"/>
        <v>0</v>
      </c>
      <c r="AI90" s="6">
        <f t="shared" si="18"/>
        <v>0</v>
      </c>
      <c r="AJ90" s="73">
        <f t="shared" si="19"/>
        <v>0</v>
      </c>
      <c r="AK90" s="539"/>
      <c r="AL90" s="748"/>
      <c r="AM90" s="748"/>
    </row>
    <row r="91" spans="2:39" x14ac:dyDescent="0.2">
      <c r="B91" s="101" t="str">
        <f>IF(Personalplanung!B91&lt;&gt;"",Personalplanung!B91,IF(Personalplanung!A91&lt;&gt;"",Personalplanung!A91,""))</f>
        <v/>
      </c>
      <c r="C91" s="168">
        <f>IF(ISERROR(Personalplanung!$F91/Monatsplanung!$E91*Monatsplanung!$G91),0,Personalplanung!$F91/Monatsplanung!$E91*Monatsplanung!$G91)</f>
        <v>0</v>
      </c>
      <c r="D91" s="168">
        <f>Personalplanung!G91</f>
        <v>0</v>
      </c>
      <c r="E91" s="168">
        <f>IF(ISERROR(Personalplanung!H91/Monatsplanung!$E91*Monatsplanung!$G91),0,Personalplanung!H91/Monatsplanung!$E91*Monatsplanung!$G91)</f>
        <v>0</v>
      </c>
      <c r="F91" s="168">
        <f t="shared" si="10"/>
        <v>0</v>
      </c>
      <c r="G91" s="168" t="e">
        <f>Personalplanung!K91</f>
        <v>#DIV/0!</v>
      </c>
      <c r="H91" s="168" t="e">
        <f t="shared" si="11"/>
        <v>#DIV/0!</v>
      </c>
      <c r="I91" s="168">
        <f>Personalplanung!V91</f>
        <v>0</v>
      </c>
      <c r="J91" s="739"/>
      <c r="K91" s="168">
        <f>IF(J91&lt;&gt;"",J91,IF(ISERROR(Personalplanung!AB91/Monatsplanung!$E91*Monatsplanung!$G91),0,Personalplanung!AB91/Monatsplanung!$E91*Monatsplanung!$G91))</f>
        <v>0</v>
      </c>
      <c r="L91" s="740"/>
      <c r="M91" s="739"/>
      <c r="N91" s="168">
        <f>IF(M91&lt;&gt;"",M91,IF(ISERROR(Personalplanung!AC91/Monatsplanung!$E91*Monatsplanung!$G91),0,Personalplanung!AC91/Monatsplanung!$E91*Monatsplanung!$G91))</f>
        <v>0</v>
      </c>
      <c r="O91" s="740"/>
      <c r="P91" s="739"/>
      <c r="Q91" s="168">
        <f>IF(P91&lt;&gt;"",P91,IF(ISERROR(Personalplanung!AD91/Monatsplanung!$E91*Monatsplanung!$G91),0,Personalplanung!AD91/Monatsplanung!$E91*Monatsplanung!$G91))</f>
        <v>0</v>
      </c>
      <c r="R91" s="740"/>
      <c r="S91" s="739"/>
      <c r="T91" s="168">
        <f>IF(S91&lt;&gt;"",S91,IF(ISERROR(Personalplanung!AE91/Monatsplanung!$E91*Monatsplanung!$G91),0,Personalplanung!AE91/Monatsplanung!$E91*Monatsplanung!$G91))</f>
        <v>0</v>
      </c>
      <c r="U91" s="740"/>
      <c r="V91" s="168">
        <f t="shared" si="12"/>
        <v>0</v>
      </c>
      <c r="W91" s="168">
        <f>IF(ISERROR(Personalplanung!P91/Monatsplanung!$E91*Monatsplanung!$G91),0,Personalplanung!P91/Monatsplanung!$E91*Monatsplanung!$G91)</f>
        <v>0</v>
      </c>
      <c r="X91" s="168">
        <f>IF(ISERROR(Personalplanung!Q91/Monatsplanung!$E91*Monatsplanung!$G91),0,Personalplanung!Q91/Monatsplanung!$E91*Monatsplanung!$G91)</f>
        <v>0</v>
      </c>
      <c r="Y91" s="168">
        <f>IF(ISERROR(Personalplanung!R91/T1339*Stundencontrolling!T91),0,Personalplanung!R91/T1339*Stundencontrolling!T91)</f>
        <v>0</v>
      </c>
      <c r="Z91" s="168">
        <f>IF(ISERROR(Personalplanung!S91/Monatsplanung!$E91*Monatsplanung!$G91),0,Personalplanung!S91/Monatsplanung!$E91*Monatsplanung!$G91)</f>
        <v>0</v>
      </c>
      <c r="AA91" s="80" t="e">
        <f t="shared" si="13"/>
        <v>#DIV/0!</v>
      </c>
      <c r="AB91" s="102">
        <f>Personalplanung!AG91</f>
        <v>0</v>
      </c>
      <c r="AC91" s="103" t="e">
        <f t="shared" si="14"/>
        <v>#DIV/0!</v>
      </c>
      <c r="AD91" s="103" t="e">
        <f t="shared" si="15"/>
        <v>#DIV/0!</v>
      </c>
      <c r="AE91" s="81">
        <f t="shared" si="16"/>
        <v>0</v>
      </c>
      <c r="AF91" s="539"/>
      <c r="AG91" s="104">
        <f>Personalplanung!AK91</f>
        <v>0</v>
      </c>
      <c r="AH91" s="7">
        <f t="shared" si="17"/>
        <v>0</v>
      </c>
      <c r="AI91" s="6">
        <f t="shared" si="18"/>
        <v>0</v>
      </c>
      <c r="AJ91" s="73">
        <f t="shared" si="19"/>
        <v>0</v>
      </c>
      <c r="AK91" s="539"/>
      <c r="AL91" s="748"/>
      <c r="AM91" s="748"/>
    </row>
    <row r="92" spans="2:39" x14ac:dyDescent="0.2">
      <c r="B92" s="101" t="str">
        <f>IF(Personalplanung!B92&lt;&gt;"",Personalplanung!B92,IF(Personalplanung!A92&lt;&gt;"",Personalplanung!A92,""))</f>
        <v/>
      </c>
      <c r="C92" s="168">
        <f>IF(ISERROR(Personalplanung!$F92/Monatsplanung!$E92*Monatsplanung!$G92),0,Personalplanung!$F92/Monatsplanung!$E92*Monatsplanung!$G92)</f>
        <v>0</v>
      </c>
      <c r="D92" s="168">
        <f>Personalplanung!G92</f>
        <v>0</v>
      </c>
      <c r="E92" s="168">
        <f>IF(ISERROR(Personalplanung!H92/Monatsplanung!$E92*Monatsplanung!$G92),0,Personalplanung!H92/Monatsplanung!$E92*Monatsplanung!$G92)</f>
        <v>0</v>
      </c>
      <c r="F92" s="168">
        <f t="shared" si="10"/>
        <v>0</v>
      </c>
      <c r="G92" s="168" t="e">
        <f>Personalplanung!K92</f>
        <v>#DIV/0!</v>
      </c>
      <c r="H92" s="168" t="e">
        <f t="shared" si="11"/>
        <v>#DIV/0!</v>
      </c>
      <c r="I92" s="168">
        <f>Personalplanung!V92</f>
        <v>0</v>
      </c>
      <c r="J92" s="739"/>
      <c r="K92" s="168">
        <f>IF(J92&lt;&gt;"",J92,IF(ISERROR(Personalplanung!AB92/Monatsplanung!$E92*Monatsplanung!$G92),0,Personalplanung!AB92/Monatsplanung!$E92*Monatsplanung!$G92))</f>
        <v>0</v>
      </c>
      <c r="L92" s="740"/>
      <c r="M92" s="739"/>
      <c r="N92" s="168">
        <f>IF(M92&lt;&gt;"",M92,IF(ISERROR(Personalplanung!AC92/Monatsplanung!$E92*Monatsplanung!$G92),0,Personalplanung!AC92/Monatsplanung!$E92*Monatsplanung!$G92))</f>
        <v>0</v>
      </c>
      <c r="O92" s="740"/>
      <c r="P92" s="739"/>
      <c r="Q92" s="168">
        <f>IF(P92&lt;&gt;"",P92,IF(ISERROR(Personalplanung!AD92/Monatsplanung!$E92*Monatsplanung!$G92),0,Personalplanung!AD92/Monatsplanung!$E92*Monatsplanung!$G92))</f>
        <v>0</v>
      </c>
      <c r="R92" s="740"/>
      <c r="S92" s="739"/>
      <c r="T92" s="168">
        <f>IF(S92&lt;&gt;"",S92,IF(ISERROR(Personalplanung!AE92/Monatsplanung!$E92*Monatsplanung!$G92),0,Personalplanung!AE92/Monatsplanung!$E92*Monatsplanung!$G92))</f>
        <v>0</v>
      </c>
      <c r="U92" s="740"/>
      <c r="V92" s="168">
        <f t="shared" si="12"/>
        <v>0</v>
      </c>
      <c r="W92" s="168">
        <f>IF(ISERROR(Personalplanung!P92/Monatsplanung!$E92*Monatsplanung!$G92),0,Personalplanung!P92/Monatsplanung!$E92*Monatsplanung!$G92)</f>
        <v>0</v>
      </c>
      <c r="X92" s="168">
        <f>IF(ISERROR(Personalplanung!Q92/Monatsplanung!$E92*Monatsplanung!$G92),0,Personalplanung!Q92/Monatsplanung!$E92*Monatsplanung!$G92)</f>
        <v>0</v>
      </c>
      <c r="Y92" s="168">
        <f>IF(ISERROR(Personalplanung!R92/T1340*Stundencontrolling!T92),0,Personalplanung!R92/T1340*Stundencontrolling!T92)</f>
        <v>0</v>
      </c>
      <c r="Z92" s="168">
        <f>IF(ISERROR(Personalplanung!S92/Monatsplanung!$E92*Monatsplanung!$G92),0,Personalplanung!S92/Monatsplanung!$E92*Monatsplanung!$G92)</f>
        <v>0</v>
      </c>
      <c r="AA92" s="80" t="e">
        <f t="shared" si="13"/>
        <v>#DIV/0!</v>
      </c>
      <c r="AB92" s="102">
        <f>Personalplanung!AG92</f>
        <v>0</v>
      </c>
      <c r="AC92" s="103" t="e">
        <f t="shared" si="14"/>
        <v>#DIV/0!</v>
      </c>
      <c r="AD92" s="103" t="e">
        <f t="shared" si="15"/>
        <v>#DIV/0!</v>
      </c>
      <c r="AE92" s="81">
        <f t="shared" si="16"/>
        <v>0</v>
      </c>
      <c r="AF92" s="539"/>
      <c r="AG92" s="104">
        <f>Personalplanung!AK92</f>
        <v>0</v>
      </c>
      <c r="AH92" s="7">
        <f t="shared" si="17"/>
        <v>0</v>
      </c>
      <c r="AI92" s="6">
        <f t="shared" si="18"/>
        <v>0</v>
      </c>
      <c r="AJ92" s="73">
        <f t="shared" si="19"/>
        <v>0</v>
      </c>
      <c r="AK92" s="539"/>
      <c r="AL92" s="748"/>
      <c r="AM92" s="748"/>
    </row>
    <row r="93" spans="2:39" x14ac:dyDescent="0.2">
      <c r="B93" s="101" t="str">
        <f>IF(Personalplanung!B93&lt;&gt;"",Personalplanung!B93,IF(Personalplanung!A93&lt;&gt;"",Personalplanung!A93,""))</f>
        <v/>
      </c>
      <c r="C93" s="168">
        <f>IF(ISERROR(Personalplanung!$F93/Monatsplanung!$E93*Monatsplanung!$G93),0,Personalplanung!$F93/Monatsplanung!$E93*Monatsplanung!$G93)</f>
        <v>0</v>
      </c>
      <c r="D93" s="168">
        <f>Personalplanung!G93</f>
        <v>0</v>
      </c>
      <c r="E93" s="168">
        <f>IF(ISERROR(Personalplanung!H93/Monatsplanung!$E93*Monatsplanung!$G93),0,Personalplanung!H93/Monatsplanung!$E93*Monatsplanung!$G93)</f>
        <v>0</v>
      </c>
      <c r="F93" s="168">
        <f t="shared" si="10"/>
        <v>0</v>
      </c>
      <c r="G93" s="168" t="e">
        <f>Personalplanung!K93</f>
        <v>#DIV/0!</v>
      </c>
      <c r="H93" s="168" t="e">
        <f t="shared" si="11"/>
        <v>#DIV/0!</v>
      </c>
      <c r="I93" s="168">
        <f>Personalplanung!V93</f>
        <v>0</v>
      </c>
      <c r="J93" s="739"/>
      <c r="K93" s="168">
        <f>IF(J93&lt;&gt;"",J93,IF(ISERROR(Personalplanung!AB93/Monatsplanung!$E93*Monatsplanung!$G93),0,Personalplanung!AB93/Monatsplanung!$E93*Monatsplanung!$G93))</f>
        <v>0</v>
      </c>
      <c r="L93" s="740"/>
      <c r="M93" s="739"/>
      <c r="N93" s="168">
        <f>IF(M93&lt;&gt;"",M93,IF(ISERROR(Personalplanung!AC93/Monatsplanung!$E93*Monatsplanung!$G93),0,Personalplanung!AC93/Monatsplanung!$E93*Monatsplanung!$G93))</f>
        <v>0</v>
      </c>
      <c r="O93" s="740"/>
      <c r="P93" s="739"/>
      <c r="Q93" s="168">
        <f>IF(P93&lt;&gt;"",P93,IF(ISERROR(Personalplanung!AD93/Monatsplanung!$E93*Monatsplanung!$G93),0,Personalplanung!AD93/Monatsplanung!$E93*Monatsplanung!$G93))</f>
        <v>0</v>
      </c>
      <c r="R93" s="740"/>
      <c r="S93" s="739"/>
      <c r="T93" s="168">
        <f>IF(S93&lt;&gt;"",S93,IF(ISERROR(Personalplanung!AE93/Monatsplanung!$E93*Monatsplanung!$G93),0,Personalplanung!AE93/Monatsplanung!$E93*Monatsplanung!$G93))</f>
        <v>0</v>
      </c>
      <c r="U93" s="740"/>
      <c r="V93" s="168">
        <f t="shared" si="12"/>
        <v>0</v>
      </c>
      <c r="W93" s="168">
        <f>IF(ISERROR(Personalplanung!P93/Monatsplanung!$E93*Monatsplanung!$G93),0,Personalplanung!P93/Monatsplanung!$E93*Monatsplanung!$G93)</f>
        <v>0</v>
      </c>
      <c r="X93" s="168">
        <f>IF(ISERROR(Personalplanung!Q93/Monatsplanung!$E93*Monatsplanung!$G93),0,Personalplanung!Q93/Monatsplanung!$E93*Monatsplanung!$G93)</f>
        <v>0</v>
      </c>
      <c r="Y93" s="168">
        <f>IF(ISERROR(Personalplanung!R93/T1341*Stundencontrolling!T93),0,Personalplanung!R93/T1341*Stundencontrolling!T93)</f>
        <v>0</v>
      </c>
      <c r="Z93" s="168">
        <f>IF(ISERROR(Personalplanung!S93/Monatsplanung!$E93*Monatsplanung!$G93),0,Personalplanung!S93/Monatsplanung!$E93*Monatsplanung!$G93)</f>
        <v>0</v>
      </c>
      <c r="AA93" s="80" t="e">
        <f t="shared" si="13"/>
        <v>#DIV/0!</v>
      </c>
      <c r="AB93" s="102">
        <f>Personalplanung!AG93</f>
        <v>0</v>
      </c>
      <c r="AC93" s="103" t="e">
        <f t="shared" si="14"/>
        <v>#DIV/0!</v>
      </c>
      <c r="AD93" s="103" t="e">
        <f t="shared" si="15"/>
        <v>#DIV/0!</v>
      </c>
      <c r="AE93" s="81">
        <f t="shared" si="16"/>
        <v>0</v>
      </c>
      <c r="AF93" s="539"/>
      <c r="AG93" s="104">
        <f>Personalplanung!AK93</f>
        <v>0</v>
      </c>
      <c r="AH93" s="7">
        <f t="shared" si="17"/>
        <v>0</v>
      </c>
      <c r="AI93" s="6">
        <f t="shared" si="18"/>
        <v>0</v>
      </c>
      <c r="AJ93" s="73">
        <f t="shared" si="19"/>
        <v>0</v>
      </c>
      <c r="AK93" s="539"/>
      <c r="AL93" s="748"/>
      <c r="AM93" s="748"/>
    </row>
    <row r="94" spans="2:39" x14ac:dyDescent="0.2">
      <c r="B94" s="101" t="str">
        <f>IF(Personalplanung!B94&lt;&gt;"",Personalplanung!B94,IF(Personalplanung!A94&lt;&gt;"",Personalplanung!A94,""))</f>
        <v/>
      </c>
      <c r="C94" s="168">
        <f>IF(ISERROR(Personalplanung!$F94/Monatsplanung!$E94*Monatsplanung!$G94),0,Personalplanung!$F94/Monatsplanung!$E94*Monatsplanung!$G94)</f>
        <v>0</v>
      </c>
      <c r="D94" s="168">
        <f>Personalplanung!G94</f>
        <v>0</v>
      </c>
      <c r="E94" s="168">
        <f>IF(ISERROR(Personalplanung!H94/Monatsplanung!$E94*Monatsplanung!$G94),0,Personalplanung!H94/Monatsplanung!$E94*Monatsplanung!$G94)</f>
        <v>0</v>
      </c>
      <c r="F94" s="168">
        <f t="shared" si="10"/>
        <v>0</v>
      </c>
      <c r="G94" s="168" t="e">
        <f>Personalplanung!K94</f>
        <v>#DIV/0!</v>
      </c>
      <c r="H94" s="168" t="e">
        <f t="shared" si="11"/>
        <v>#DIV/0!</v>
      </c>
      <c r="I94" s="168">
        <f>Personalplanung!V94</f>
        <v>0</v>
      </c>
      <c r="J94" s="739"/>
      <c r="K94" s="168">
        <f>IF(J94&lt;&gt;"",J94,IF(ISERROR(Personalplanung!AB94/Monatsplanung!$E94*Monatsplanung!$G94),0,Personalplanung!AB94/Monatsplanung!$E94*Monatsplanung!$G94))</f>
        <v>0</v>
      </c>
      <c r="L94" s="740"/>
      <c r="M94" s="739"/>
      <c r="N94" s="168">
        <f>IF(M94&lt;&gt;"",M94,IF(ISERROR(Personalplanung!AC94/Monatsplanung!$E94*Monatsplanung!$G94),0,Personalplanung!AC94/Monatsplanung!$E94*Monatsplanung!$G94))</f>
        <v>0</v>
      </c>
      <c r="O94" s="740"/>
      <c r="P94" s="739"/>
      <c r="Q94" s="168">
        <f>IF(P94&lt;&gt;"",P94,IF(ISERROR(Personalplanung!AD94/Monatsplanung!$E94*Monatsplanung!$G94),0,Personalplanung!AD94/Monatsplanung!$E94*Monatsplanung!$G94))</f>
        <v>0</v>
      </c>
      <c r="R94" s="740"/>
      <c r="S94" s="739"/>
      <c r="T94" s="168">
        <f>IF(S94&lt;&gt;"",S94,IF(ISERROR(Personalplanung!AE94/Monatsplanung!$E94*Monatsplanung!$G94),0,Personalplanung!AE94/Monatsplanung!$E94*Monatsplanung!$G94))</f>
        <v>0</v>
      </c>
      <c r="U94" s="740"/>
      <c r="V94" s="168">
        <f t="shared" si="12"/>
        <v>0</v>
      </c>
      <c r="W94" s="168">
        <f>IF(ISERROR(Personalplanung!P94/Monatsplanung!$E94*Monatsplanung!$G94),0,Personalplanung!P94/Monatsplanung!$E94*Monatsplanung!$G94)</f>
        <v>0</v>
      </c>
      <c r="X94" s="168">
        <f>IF(ISERROR(Personalplanung!Q94/Monatsplanung!$E94*Monatsplanung!$G94),0,Personalplanung!Q94/Monatsplanung!$E94*Monatsplanung!$G94)</f>
        <v>0</v>
      </c>
      <c r="Y94" s="168">
        <f>IF(ISERROR(Personalplanung!R94/T1342*Stundencontrolling!T94),0,Personalplanung!R94/T1342*Stundencontrolling!T94)</f>
        <v>0</v>
      </c>
      <c r="Z94" s="168">
        <f>IF(ISERROR(Personalplanung!S94/Monatsplanung!$E94*Monatsplanung!$G94),0,Personalplanung!S94/Monatsplanung!$E94*Monatsplanung!$G94)</f>
        <v>0</v>
      </c>
      <c r="AA94" s="80" t="e">
        <f t="shared" si="13"/>
        <v>#DIV/0!</v>
      </c>
      <c r="AB94" s="102">
        <f>Personalplanung!AG94</f>
        <v>0</v>
      </c>
      <c r="AC94" s="103" t="e">
        <f t="shared" si="14"/>
        <v>#DIV/0!</v>
      </c>
      <c r="AD94" s="103" t="e">
        <f t="shared" si="15"/>
        <v>#DIV/0!</v>
      </c>
      <c r="AE94" s="81">
        <f t="shared" si="16"/>
        <v>0</v>
      </c>
      <c r="AF94" s="539"/>
      <c r="AG94" s="104">
        <f>Personalplanung!AK94</f>
        <v>0</v>
      </c>
      <c r="AH94" s="7">
        <f t="shared" si="17"/>
        <v>0</v>
      </c>
      <c r="AI94" s="6">
        <f t="shared" si="18"/>
        <v>0</v>
      </c>
      <c r="AJ94" s="73">
        <f t="shared" si="19"/>
        <v>0</v>
      </c>
      <c r="AK94" s="539"/>
      <c r="AL94" s="748"/>
      <c r="AM94" s="748"/>
    </row>
    <row r="95" spans="2:39" x14ac:dyDescent="0.2">
      <c r="B95" s="101" t="str">
        <f>IF(Personalplanung!B95&lt;&gt;"",Personalplanung!B95,IF(Personalplanung!A95&lt;&gt;"",Personalplanung!A95,""))</f>
        <v/>
      </c>
      <c r="C95" s="168">
        <f>IF(ISERROR(Personalplanung!$F95/Monatsplanung!$E95*Monatsplanung!$G95),0,Personalplanung!$F95/Monatsplanung!$E95*Monatsplanung!$G95)</f>
        <v>0</v>
      </c>
      <c r="D95" s="168">
        <f>Personalplanung!G95</f>
        <v>0</v>
      </c>
      <c r="E95" s="168">
        <f>IF(ISERROR(Personalplanung!H95/Monatsplanung!$E95*Monatsplanung!$G95),0,Personalplanung!H95/Monatsplanung!$E95*Monatsplanung!$G95)</f>
        <v>0</v>
      </c>
      <c r="F95" s="168">
        <f t="shared" si="10"/>
        <v>0</v>
      </c>
      <c r="G95" s="168" t="e">
        <f>Personalplanung!K95</f>
        <v>#DIV/0!</v>
      </c>
      <c r="H95" s="168" t="e">
        <f t="shared" si="11"/>
        <v>#DIV/0!</v>
      </c>
      <c r="I95" s="168">
        <f>Personalplanung!V95</f>
        <v>0</v>
      </c>
      <c r="J95" s="739"/>
      <c r="K95" s="168">
        <f>IF(J95&lt;&gt;"",J95,IF(ISERROR(Personalplanung!AB95/Monatsplanung!$E95*Monatsplanung!$G95),0,Personalplanung!AB95/Monatsplanung!$E95*Monatsplanung!$G95))</f>
        <v>0</v>
      </c>
      <c r="L95" s="740"/>
      <c r="M95" s="739"/>
      <c r="N95" s="168">
        <f>IF(M95&lt;&gt;"",M95,IF(ISERROR(Personalplanung!AC95/Monatsplanung!$E95*Monatsplanung!$G95),0,Personalplanung!AC95/Monatsplanung!$E95*Monatsplanung!$G95))</f>
        <v>0</v>
      </c>
      <c r="O95" s="740"/>
      <c r="P95" s="739"/>
      <c r="Q95" s="168">
        <f>IF(P95&lt;&gt;"",P95,IF(ISERROR(Personalplanung!AD95/Monatsplanung!$E95*Monatsplanung!$G95),0,Personalplanung!AD95/Monatsplanung!$E95*Monatsplanung!$G95))</f>
        <v>0</v>
      </c>
      <c r="R95" s="740"/>
      <c r="S95" s="739"/>
      <c r="T95" s="168">
        <f>IF(S95&lt;&gt;"",S95,IF(ISERROR(Personalplanung!AE95/Monatsplanung!$E95*Monatsplanung!$G95),0,Personalplanung!AE95/Monatsplanung!$E95*Monatsplanung!$G95))</f>
        <v>0</v>
      </c>
      <c r="U95" s="740"/>
      <c r="V95" s="168">
        <f t="shared" si="12"/>
        <v>0</v>
      </c>
      <c r="W95" s="168">
        <f>IF(ISERROR(Personalplanung!P95/Monatsplanung!$E95*Monatsplanung!$G95),0,Personalplanung!P95/Monatsplanung!$E95*Monatsplanung!$G95)</f>
        <v>0</v>
      </c>
      <c r="X95" s="168">
        <f>IF(ISERROR(Personalplanung!Q95/Monatsplanung!$E95*Monatsplanung!$G95),0,Personalplanung!Q95/Monatsplanung!$E95*Monatsplanung!$G95)</f>
        <v>0</v>
      </c>
      <c r="Y95" s="168">
        <f>IF(ISERROR(Personalplanung!R95/T1343*Stundencontrolling!T95),0,Personalplanung!R95/T1343*Stundencontrolling!T95)</f>
        <v>0</v>
      </c>
      <c r="Z95" s="168">
        <f>IF(ISERROR(Personalplanung!S95/Monatsplanung!$E95*Monatsplanung!$G95),0,Personalplanung!S95/Monatsplanung!$E95*Monatsplanung!$G95)</f>
        <v>0</v>
      </c>
      <c r="AA95" s="80" t="e">
        <f t="shared" si="13"/>
        <v>#DIV/0!</v>
      </c>
      <c r="AB95" s="102">
        <f>Personalplanung!AG95</f>
        <v>0</v>
      </c>
      <c r="AC95" s="103" t="e">
        <f t="shared" si="14"/>
        <v>#DIV/0!</v>
      </c>
      <c r="AD95" s="103" t="e">
        <f t="shared" si="15"/>
        <v>#DIV/0!</v>
      </c>
      <c r="AE95" s="81">
        <f t="shared" si="16"/>
        <v>0</v>
      </c>
      <c r="AF95" s="539"/>
      <c r="AG95" s="104">
        <f>Personalplanung!AK95</f>
        <v>0</v>
      </c>
      <c r="AH95" s="7">
        <f t="shared" si="17"/>
        <v>0</v>
      </c>
      <c r="AI95" s="6">
        <f t="shared" si="18"/>
        <v>0</v>
      </c>
      <c r="AJ95" s="73">
        <f t="shared" si="19"/>
        <v>0</v>
      </c>
      <c r="AK95" s="539"/>
      <c r="AL95" s="748"/>
      <c r="AM95" s="748"/>
    </row>
    <row r="96" spans="2:39" x14ac:dyDescent="0.2">
      <c r="B96" s="101" t="str">
        <f>IF(Personalplanung!B96&lt;&gt;"",Personalplanung!B96,IF(Personalplanung!A96&lt;&gt;"",Personalplanung!A96,""))</f>
        <v/>
      </c>
      <c r="C96" s="168">
        <f>IF(ISERROR(Personalplanung!$F96/Monatsplanung!$E96*Monatsplanung!$G96),0,Personalplanung!$F96/Monatsplanung!$E96*Monatsplanung!$G96)</f>
        <v>0</v>
      </c>
      <c r="D96" s="168">
        <f>Personalplanung!G96</f>
        <v>0</v>
      </c>
      <c r="E96" s="168">
        <f>IF(ISERROR(Personalplanung!H96/Monatsplanung!$E96*Monatsplanung!$G96),0,Personalplanung!H96/Monatsplanung!$E96*Monatsplanung!$G96)</f>
        <v>0</v>
      </c>
      <c r="F96" s="168">
        <f t="shared" si="10"/>
        <v>0</v>
      </c>
      <c r="G96" s="168" t="e">
        <f>Personalplanung!K96</f>
        <v>#DIV/0!</v>
      </c>
      <c r="H96" s="168" t="e">
        <f t="shared" si="11"/>
        <v>#DIV/0!</v>
      </c>
      <c r="I96" s="168">
        <f>Personalplanung!V96</f>
        <v>0</v>
      </c>
      <c r="J96" s="739"/>
      <c r="K96" s="168">
        <f>IF(J96&lt;&gt;"",J96,IF(ISERROR(Personalplanung!AB96/Monatsplanung!$E96*Monatsplanung!$G96),0,Personalplanung!AB96/Monatsplanung!$E96*Monatsplanung!$G96))</f>
        <v>0</v>
      </c>
      <c r="L96" s="740"/>
      <c r="M96" s="739"/>
      <c r="N96" s="168">
        <f>IF(M96&lt;&gt;"",M96,IF(ISERROR(Personalplanung!AC96/Monatsplanung!$E96*Monatsplanung!$G96),0,Personalplanung!AC96/Monatsplanung!$E96*Monatsplanung!$G96))</f>
        <v>0</v>
      </c>
      <c r="O96" s="740"/>
      <c r="P96" s="739"/>
      <c r="Q96" s="168">
        <f>IF(P96&lt;&gt;"",P96,IF(ISERROR(Personalplanung!AD96/Monatsplanung!$E96*Monatsplanung!$G96),0,Personalplanung!AD96/Monatsplanung!$E96*Monatsplanung!$G96))</f>
        <v>0</v>
      </c>
      <c r="R96" s="740"/>
      <c r="S96" s="739"/>
      <c r="T96" s="168">
        <f>IF(S96&lt;&gt;"",S96,IF(ISERROR(Personalplanung!AE96/Monatsplanung!$E96*Monatsplanung!$G96),0,Personalplanung!AE96/Monatsplanung!$E96*Monatsplanung!$G96))</f>
        <v>0</v>
      </c>
      <c r="U96" s="740"/>
      <c r="V96" s="168">
        <f t="shared" si="12"/>
        <v>0</v>
      </c>
      <c r="W96" s="168">
        <f>IF(ISERROR(Personalplanung!P96/Monatsplanung!$E96*Monatsplanung!$G96),0,Personalplanung!P96/Monatsplanung!$E96*Monatsplanung!$G96)</f>
        <v>0</v>
      </c>
      <c r="X96" s="168">
        <f>IF(ISERROR(Personalplanung!Q96/Monatsplanung!$E96*Monatsplanung!$G96),0,Personalplanung!Q96/Monatsplanung!$E96*Monatsplanung!$G96)</f>
        <v>0</v>
      </c>
      <c r="Y96" s="168">
        <f>IF(ISERROR(Personalplanung!R96/T1344*Stundencontrolling!T96),0,Personalplanung!R96/T1344*Stundencontrolling!T96)</f>
        <v>0</v>
      </c>
      <c r="Z96" s="168">
        <f>IF(ISERROR(Personalplanung!S96/Monatsplanung!$E96*Monatsplanung!$G96),0,Personalplanung!S96/Monatsplanung!$E96*Monatsplanung!$G96)</f>
        <v>0</v>
      </c>
      <c r="AA96" s="80" t="e">
        <f t="shared" si="13"/>
        <v>#DIV/0!</v>
      </c>
      <c r="AB96" s="102">
        <f>Personalplanung!AG96</f>
        <v>0</v>
      </c>
      <c r="AC96" s="103" t="e">
        <f t="shared" si="14"/>
        <v>#DIV/0!</v>
      </c>
      <c r="AD96" s="103" t="e">
        <f t="shared" si="15"/>
        <v>#DIV/0!</v>
      </c>
      <c r="AE96" s="81">
        <f t="shared" si="16"/>
        <v>0</v>
      </c>
      <c r="AF96" s="539"/>
      <c r="AG96" s="104">
        <f>Personalplanung!AK96</f>
        <v>0</v>
      </c>
      <c r="AH96" s="7">
        <f t="shared" si="17"/>
        <v>0</v>
      </c>
      <c r="AI96" s="6">
        <f t="shared" si="18"/>
        <v>0</v>
      </c>
      <c r="AJ96" s="73">
        <f t="shared" si="19"/>
        <v>0</v>
      </c>
      <c r="AK96" s="539"/>
      <c r="AL96" s="748"/>
      <c r="AM96" s="748"/>
    </row>
    <row r="97" spans="2:39" x14ac:dyDescent="0.2">
      <c r="B97" s="101" t="str">
        <f>IF(Personalplanung!B97&lt;&gt;"",Personalplanung!B97,IF(Personalplanung!A97&lt;&gt;"",Personalplanung!A97,""))</f>
        <v/>
      </c>
      <c r="C97" s="168">
        <f>IF(ISERROR(Personalplanung!$F97/Monatsplanung!$E97*Monatsplanung!$G97),0,Personalplanung!$F97/Monatsplanung!$E97*Monatsplanung!$G97)</f>
        <v>0</v>
      </c>
      <c r="D97" s="168">
        <f>Personalplanung!G97</f>
        <v>0</v>
      </c>
      <c r="E97" s="168">
        <f>IF(ISERROR(Personalplanung!H97/Monatsplanung!$E97*Monatsplanung!$G97),0,Personalplanung!H97/Monatsplanung!$E97*Monatsplanung!$G97)</f>
        <v>0</v>
      </c>
      <c r="F97" s="168">
        <f t="shared" si="10"/>
        <v>0</v>
      </c>
      <c r="G97" s="168" t="e">
        <f>Personalplanung!K97</f>
        <v>#DIV/0!</v>
      </c>
      <c r="H97" s="168" t="e">
        <f t="shared" si="11"/>
        <v>#DIV/0!</v>
      </c>
      <c r="I97" s="168">
        <f>Personalplanung!V97</f>
        <v>0</v>
      </c>
      <c r="J97" s="739"/>
      <c r="K97" s="168">
        <f>IF(J97&lt;&gt;"",J97,IF(ISERROR(Personalplanung!AB97/Monatsplanung!$E97*Monatsplanung!$G97),0,Personalplanung!AB97/Monatsplanung!$E97*Monatsplanung!$G97))</f>
        <v>0</v>
      </c>
      <c r="L97" s="740"/>
      <c r="M97" s="739"/>
      <c r="N97" s="168">
        <f>IF(M97&lt;&gt;"",M97,IF(ISERROR(Personalplanung!AC97/Monatsplanung!$E97*Monatsplanung!$G97),0,Personalplanung!AC97/Monatsplanung!$E97*Monatsplanung!$G97))</f>
        <v>0</v>
      </c>
      <c r="O97" s="740"/>
      <c r="P97" s="739"/>
      <c r="Q97" s="168">
        <f>IF(P97&lt;&gt;"",P97,IF(ISERROR(Personalplanung!AD97/Monatsplanung!$E97*Monatsplanung!$G97),0,Personalplanung!AD97/Monatsplanung!$E97*Monatsplanung!$G97))</f>
        <v>0</v>
      </c>
      <c r="R97" s="740"/>
      <c r="S97" s="739"/>
      <c r="T97" s="168">
        <f>IF(S97&lt;&gt;"",S97,IF(ISERROR(Personalplanung!AE97/Monatsplanung!$E97*Monatsplanung!$G97),0,Personalplanung!AE97/Monatsplanung!$E97*Monatsplanung!$G97))</f>
        <v>0</v>
      </c>
      <c r="U97" s="740"/>
      <c r="V97" s="168">
        <f t="shared" si="12"/>
        <v>0</v>
      </c>
      <c r="W97" s="168">
        <f>IF(ISERROR(Personalplanung!P97/Monatsplanung!$E97*Monatsplanung!$G97),0,Personalplanung!P97/Monatsplanung!$E97*Monatsplanung!$G97)</f>
        <v>0</v>
      </c>
      <c r="X97" s="168">
        <f>IF(ISERROR(Personalplanung!Q97/Monatsplanung!$E97*Monatsplanung!$G97),0,Personalplanung!Q97/Monatsplanung!$E97*Monatsplanung!$G97)</f>
        <v>0</v>
      </c>
      <c r="Y97" s="168">
        <f>IF(ISERROR(Personalplanung!R97/T1345*Stundencontrolling!T97),0,Personalplanung!R97/T1345*Stundencontrolling!T97)</f>
        <v>0</v>
      </c>
      <c r="Z97" s="168">
        <f>IF(ISERROR(Personalplanung!S97/Monatsplanung!$E97*Monatsplanung!$G97),0,Personalplanung!S97/Monatsplanung!$E97*Monatsplanung!$G97)</f>
        <v>0</v>
      </c>
      <c r="AA97" s="80" t="e">
        <f t="shared" si="13"/>
        <v>#DIV/0!</v>
      </c>
      <c r="AB97" s="102">
        <f>Personalplanung!AG97</f>
        <v>0</v>
      </c>
      <c r="AC97" s="103" t="e">
        <f t="shared" si="14"/>
        <v>#DIV/0!</v>
      </c>
      <c r="AD97" s="103" t="e">
        <f t="shared" si="15"/>
        <v>#DIV/0!</v>
      </c>
      <c r="AE97" s="81">
        <f t="shared" si="16"/>
        <v>0</v>
      </c>
      <c r="AF97" s="539"/>
      <c r="AG97" s="104">
        <f>Personalplanung!AK97</f>
        <v>0</v>
      </c>
      <c r="AH97" s="7">
        <f t="shared" si="17"/>
        <v>0</v>
      </c>
      <c r="AI97" s="6">
        <f t="shared" si="18"/>
        <v>0</v>
      </c>
      <c r="AJ97" s="73">
        <f t="shared" si="19"/>
        <v>0</v>
      </c>
      <c r="AK97" s="539"/>
      <c r="AL97" s="748"/>
      <c r="AM97" s="748"/>
    </row>
    <row r="98" spans="2:39" x14ac:dyDescent="0.2">
      <c r="B98" s="101" t="str">
        <f>IF(Personalplanung!B98&lt;&gt;"",Personalplanung!B98,IF(Personalplanung!A98&lt;&gt;"",Personalplanung!A98,""))</f>
        <v/>
      </c>
      <c r="C98" s="168">
        <f>IF(ISERROR(Personalplanung!$F98/Monatsplanung!$E98*Monatsplanung!$G98),0,Personalplanung!$F98/Monatsplanung!$E98*Monatsplanung!$G98)</f>
        <v>0</v>
      </c>
      <c r="D98" s="168">
        <f>Personalplanung!G98</f>
        <v>0</v>
      </c>
      <c r="E98" s="168">
        <f>IF(ISERROR(Personalplanung!H98/Monatsplanung!$E98*Monatsplanung!$G98),0,Personalplanung!H98/Monatsplanung!$E98*Monatsplanung!$G98)</f>
        <v>0</v>
      </c>
      <c r="F98" s="168">
        <f t="shared" si="10"/>
        <v>0</v>
      </c>
      <c r="G98" s="168" t="e">
        <f>Personalplanung!K98</f>
        <v>#DIV/0!</v>
      </c>
      <c r="H98" s="168" t="e">
        <f t="shared" si="11"/>
        <v>#DIV/0!</v>
      </c>
      <c r="I98" s="168">
        <f>Personalplanung!V98</f>
        <v>0</v>
      </c>
      <c r="J98" s="739"/>
      <c r="K98" s="168">
        <f>IF(J98&lt;&gt;"",J98,IF(ISERROR(Personalplanung!AB98/Monatsplanung!$E98*Monatsplanung!$G98),0,Personalplanung!AB98/Monatsplanung!$E98*Monatsplanung!$G98))</f>
        <v>0</v>
      </c>
      <c r="L98" s="740"/>
      <c r="M98" s="739"/>
      <c r="N98" s="168">
        <f>IF(M98&lt;&gt;"",M98,IF(ISERROR(Personalplanung!AC98/Monatsplanung!$E98*Monatsplanung!$G98),0,Personalplanung!AC98/Monatsplanung!$E98*Monatsplanung!$G98))</f>
        <v>0</v>
      </c>
      <c r="O98" s="740"/>
      <c r="P98" s="739"/>
      <c r="Q98" s="168">
        <f>IF(P98&lt;&gt;"",P98,IF(ISERROR(Personalplanung!AD98/Monatsplanung!$E98*Monatsplanung!$G98),0,Personalplanung!AD98/Monatsplanung!$E98*Monatsplanung!$G98))</f>
        <v>0</v>
      </c>
      <c r="R98" s="740"/>
      <c r="S98" s="739"/>
      <c r="T98" s="168">
        <f>IF(S98&lt;&gt;"",S98,IF(ISERROR(Personalplanung!AE98/Monatsplanung!$E98*Monatsplanung!$G98),0,Personalplanung!AE98/Monatsplanung!$E98*Monatsplanung!$G98))</f>
        <v>0</v>
      </c>
      <c r="U98" s="740"/>
      <c r="V98" s="168">
        <f t="shared" si="12"/>
        <v>0</v>
      </c>
      <c r="W98" s="168">
        <f>IF(ISERROR(Personalplanung!P98/Monatsplanung!$E98*Monatsplanung!$G98),0,Personalplanung!P98/Monatsplanung!$E98*Monatsplanung!$G98)</f>
        <v>0</v>
      </c>
      <c r="X98" s="168">
        <f>IF(ISERROR(Personalplanung!Q98/Monatsplanung!$E98*Monatsplanung!$G98),0,Personalplanung!Q98/Monatsplanung!$E98*Monatsplanung!$G98)</f>
        <v>0</v>
      </c>
      <c r="Y98" s="168">
        <f>IF(ISERROR(Personalplanung!R98/T1346*Stundencontrolling!T98),0,Personalplanung!R98/T1346*Stundencontrolling!T98)</f>
        <v>0</v>
      </c>
      <c r="Z98" s="168">
        <f>IF(ISERROR(Personalplanung!S98/Monatsplanung!$E98*Monatsplanung!$G98),0,Personalplanung!S98/Monatsplanung!$E98*Monatsplanung!$G98)</f>
        <v>0</v>
      </c>
      <c r="AA98" s="80" t="e">
        <f t="shared" si="13"/>
        <v>#DIV/0!</v>
      </c>
      <c r="AB98" s="102">
        <f>Personalplanung!AG98</f>
        <v>0</v>
      </c>
      <c r="AC98" s="103" t="e">
        <f t="shared" si="14"/>
        <v>#DIV/0!</v>
      </c>
      <c r="AD98" s="103" t="e">
        <f t="shared" si="15"/>
        <v>#DIV/0!</v>
      </c>
      <c r="AE98" s="81">
        <f t="shared" si="16"/>
        <v>0</v>
      </c>
      <c r="AF98" s="539"/>
      <c r="AG98" s="104">
        <f>Personalplanung!AK98</f>
        <v>0</v>
      </c>
      <c r="AH98" s="7">
        <f t="shared" si="17"/>
        <v>0</v>
      </c>
      <c r="AI98" s="6">
        <f t="shared" si="18"/>
        <v>0</v>
      </c>
      <c r="AJ98" s="73">
        <f t="shared" si="19"/>
        <v>0</v>
      </c>
      <c r="AK98" s="539"/>
      <c r="AL98" s="748"/>
      <c r="AM98" s="748"/>
    </row>
    <row r="99" spans="2:39" x14ac:dyDescent="0.2">
      <c r="B99" s="101" t="str">
        <f>IF(Personalplanung!B99&lt;&gt;"",Personalplanung!B99,IF(Personalplanung!A99&lt;&gt;"",Personalplanung!A99,""))</f>
        <v/>
      </c>
      <c r="C99" s="168">
        <f>IF(ISERROR(Personalplanung!$F99/Monatsplanung!$E99*Monatsplanung!$G99),0,Personalplanung!$F99/Monatsplanung!$E99*Monatsplanung!$G99)</f>
        <v>0</v>
      </c>
      <c r="D99" s="168">
        <f>Personalplanung!G99</f>
        <v>0</v>
      </c>
      <c r="E99" s="168">
        <f>IF(ISERROR(Personalplanung!H99/Monatsplanung!$E99*Monatsplanung!$G99),0,Personalplanung!H99/Monatsplanung!$E99*Monatsplanung!$G99)</f>
        <v>0</v>
      </c>
      <c r="F99" s="168">
        <f t="shared" si="10"/>
        <v>0</v>
      </c>
      <c r="G99" s="168" t="e">
        <f>Personalplanung!K99</f>
        <v>#DIV/0!</v>
      </c>
      <c r="H99" s="168" t="e">
        <f t="shared" si="11"/>
        <v>#DIV/0!</v>
      </c>
      <c r="I99" s="168">
        <f>Personalplanung!V99</f>
        <v>0</v>
      </c>
      <c r="J99" s="739"/>
      <c r="K99" s="168">
        <f>IF(J99&lt;&gt;"",J99,IF(ISERROR(Personalplanung!AB99/Monatsplanung!$E99*Monatsplanung!$G99),0,Personalplanung!AB99/Monatsplanung!$E99*Monatsplanung!$G99))</f>
        <v>0</v>
      </c>
      <c r="L99" s="740"/>
      <c r="M99" s="739"/>
      <c r="N99" s="168">
        <f>IF(M99&lt;&gt;"",M99,IF(ISERROR(Personalplanung!AC99/Monatsplanung!$E99*Monatsplanung!$G99),0,Personalplanung!AC99/Monatsplanung!$E99*Monatsplanung!$G99))</f>
        <v>0</v>
      </c>
      <c r="O99" s="740"/>
      <c r="P99" s="739"/>
      <c r="Q99" s="168">
        <f>IF(P99&lt;&gt;"",P99,IF(ISERROR(Personalplanung!AD99/Monatsplanung!$E99*Monatsplanung!$G99),0,Personalplanung!AD99/Monatsplanung!$E99*Monatsplanung!$G99))</f>
        <v>0</v>
      </c>
      <c r="R99" s="740"/>
      <c r="S99" s="739"/>
      <c r="T99" s="168">
        <f>IF(S99&lt;&gt;"",S99,IF(ISERROR(Personalplanung!AE99/Monatsplanung!$E99*Monatsplanung!$G99),0,Personalplanung!AE99/Monatsplanung!$E99*Monatsplanung!$G99))</f>
        <v>0</v>
      </c>
      <c r="U99" s="740"/>
      <c r="V99" s="168">
        <f t="shared" si="12"/>
        <v>0</v>
      </c>
      <c r="W99" s="168">
        <f>IF(ISERROR(Personalplanung!P99/Monatsplanung!$E99*Monatsplanung!$G99),0,Personalplanung!P99/Monatsplanung!$E99*Monatsplanung!$G99)</f>
        <v>0</v>
      </c>
      <c r="X99" s="168">
        <f>IF(ISERROR(Personalplanung!Q99/Monatsplanung!$E99*Monatsplanung!$G99),0,Personalplanung!Q99/Monatsplanung!$E99*Monatsplanung!$G99)</f>
        <v>0</v>
      </c>
      <c r="Y99" s="168">
        <f>IF(ISERROR(Personalplanung!R99/T1347*Stundencontrolling!T99),0,Personalplanung!R99/T1347*Stundencontrolling!T99)</f>
        <v>0</v>
      </c>
      <c r="Z99" s="168">
        <f>IF(ISERROR(Personalplanung!S99/Monatsplanung!$E99*Monatsplanung!$G99),0,Personalplanung!S99/Monatsplanung!$E99*Monatsplanung!$G99)</f>
        <v>0</v>
      </c>
      <c r="AA99" s="80" t="e">
        <f t="shared" si="13"/>
        <v>#DIV/0!</v>
      </c>
      <c r="AB99" s="102">
        <f>Personalplanung!AG99</f>
        <v>0</v>
      </c>
      <c r="AC99" s="103" t="e">
        <f t="shared" si="14"/>
        <v>#DIV/0!</v>
      </c>
      <c r="AD99" s="103" t="e">
        <f t="shared" si="15"/>
        <v>#DIV/0!</v>
      </c>
      <c r="AE99" s="81">
        <f t="shared" si="16"/>
        <v>0</v>
      </c>
      <c r="AF99" s="539"/>
      <c r="AG99" s="104">
        <f>Personalplanung!AK99</f>
        <v>0</v>
      </c>
      <c r="AH99" s="7">
        <f t="shared" si="17"/>
        <v>0</v>
      </c>
      <c r="AI99" s="6">
        <f t="shared" si="18"/>
        <v>0</v>
      </c>
      <c r="AJ99" s="73">
        <f t="shared" si="19"/>
        <v>0</v>
      </c>
      <c r="AK99" s="539"/>
      <c r="AL99" s="748"/>
      <c r="AM99" s="748"/>
    </row>
    <row r="100" spans="2:39" x14ac:dyDescent="0.2">
      <c r="B100" s="101" t="str">
        <f>IF(Personalplanung!B100&lt;&gt;"",Personalplanung!B100,IF(Personalplanung!A100&lt;&gt;"",Personalplanung!A100,""))</f>
        <v/>
      </c>
      <c r="C100" s="168">
        <f>IF(ISERROR(Personalplanung!$F100/Monatsplanung!$E100*Monatsplanung!$G100),0,Personalplanung!$F100/Monatsplanung!$E100*Monatsplanung!$G100)</f>
        <v>0</v>
      </c>
      <c r="D100" s="168">
        <f>Personalplanung!G100</f>
        <v>0</v>
      </c>
      <c r="E100" s="168">
        <f>IF(ISERROR(Personalplanung!H100/Monatsplanung!$E100*Monatsplanung!$G100),0,Personalplanung!H100/Monatsplanung!$E100*Monatsplanung!$G100)</f>
        <v>0</v>
      </c>
      <c r="F100" s="168">
        <f t="shared" si="10"/>
        <v>0</v>
      </c>
      <c r="G100" s="168" t="e">
        <f>Personalplanung!K100</f>
        <v>#DIV/0!</v>
      </c>
      <c r="H100" s="168" t="e">
        <f t="shared" si="11"/>
        <v>#DIV/0!</v>
      </c>
      <c r="I100" s="168">
        <f>Personalplanung!V100</f>
        <v>0</v>
      </c>
      <c r="J100" s="739"/>
      <c r="K100" s="168">
        <f>IF(J100&lt;&gt;"",J100,IF(ISERROR(Personalplanung!AB100/Monatsplanung!$E100*Monatsplanung!$G100),0,Personalplanung!AB100/Monatsplanung!$E100*Monatsplanung!$G100))</f>
        <v>0</v>
      </c>
      <c r="L100" s="740"/>
      <c r="M100" s="739"/>
      <c r="N100" s="168">
        <f>IF(M100&lt;&gt;"",M100,IF(ISERROR(Personalplanung!AC100/Monatsplanung!$E100*Monatsplanung!$G100),0,Personalplanung!AC100/Monatsplanung!$E100*Monatsplanung!$G100))</f>
        <v>0</v>
      </c>
      <c r="O100" s="740"/>
      <c r="P100" s="739"/>
      <c r="Q100" s="168">
        <f>IF(P100&lt;&gt;"",P100,IF(ISERROR(Personalplanung!AD100/Monatsplanung!$E100*Monatsplanung!$G100),0,Personalplanung!AD100/Monatsplanung!$E100*Monatsplanung!$G100))</f>
        <v>0</v>
      </c>
      <c r="R100" s="740"/>
      <c r="S100" s="739"/>
      <c r="T100" s="168">
        <f>IF(S100&lt;&gt;"",S100,IF(ISERROR(Personalplanung!AE100/Monatsplanung!$E100*Monatsplanung!$G100),0,Personalplanung!AE100/Monatsplanung!$E100*Monatsplanung!$G100))</f>
        <v>0</v>
      </c>
      <c r="U100" s="740"/>
      <c r="V100" s="168">
        <f t="shared" si="12"/>
        <v>0</v>
      </c>
      <c r="W100" s="168">
        <f>IF(ISERROR(Personalplanung!P100/Monatsplanung!$E100*Monatsplanung!$G100),0,Personalplanung!P100/Monatsplanung!$E100*Monatsplanung!$G100)</f>
        <v>0</v>
      </c>
      <c r="X100" s="168">
        <f>IF(ISERROR(Personalplanung!Q100/Monatsplanung!$E100*Monatsplanung!$G100),0,Personalplanung!Q100/Monatsplanung!$E100*Monatsplanung!$G100)</f>
        <v>0</v>
      </c>
      <c r="Y100" s="168">
        <f>IF(ISERROR(Personalplanung!R100/T1348*Stundencontrolling!T100),0,Personalplanung!R100/T1348*Stundencontrolling!T100)</f>
        <v>0</v>
      </c>
      <c r="Z100" s="168">
        <f>IF(ISERROR(Personalplanung!S100/Monatsplanung!$E100*Monatsplanung!$G100),0,Personalplanung!S100/Monatsplanung!$E100*Monatsplanung!$G100)</f>
        <v>0</v>
      </c>
      <c r="AA100" s="80" t="e">
        <f t="shared" si="13"/>
        <v>#DIV/0!</v>
      </c>
      <c r="AB100" s="102">
        <f>Personalplanung!AG100</f>
        <v>0</v>
      </c>
      <c r="AC100" s="103" t="e">
        <f t="shared" si="14"/>
        <v>#DIV/0!</v>
      </c>
      <c r="AD100" s="103" t="e">
        <f t="shared" si="15"/>
        <v>#DIV/0!</v>
      </c>
      <c r="AE100" s="81">
        <f t="shared" si="16"/>
        <v>0</v>
      </c>
      <c r="AF100" s="539"/>
      <c r="AG100" s="104">
        <f>Personalplanung!AK100</f>
        <v>0</v>
      </c>
      <c r="AH100" s="7">
        <f t="shared" si="17"/>
        <v>0</v>
      </c>
      <c r="AI100" s="6">
        <f t="shared" si="18"/>
        <v>0</v>
      </c>
      <c r="AJ100" s="73">
        <f t="shared" si="19"/>
        <v>0</v>
      </c>
      <c r="AK100" s="539"/>
      <c r="AL100" s="748"/>
      <c r="AM100" s="748"/>
    </row>
    <row r="101" spans="2:39" x14ac:dyDescent="0.2">
      <c r="B101" s="101" t="str">
        <f>IF(Personalplanung!B101&lt;&gt;"",Personalplanung!B101,IF(Personalplanung!A101&lt;&gt;"",Personalplanung!A101,""))</f>
        <v/>
      </c>
      <c r="C101" s="168">
        <f>IF(ISERROR(Personalplanung!$F101/Monatsplanung!$E101*Monatsplanung!$G101),0,Personalplanung!$F101/Monatsplanung!$E101*Monatsplanung!$G101)</f>
        <v>0</v>
      </c>
      <c r="D101" s="168">
        <f>Personalplanung!G101</f>
        <v>0</v>
      </c>
      <c r="E101" s="168">
        <f>IF(ISERROR(Personalplanung!H101/Monatsplanung!$E101*Monatsplanung!$G101),0,Personalplanung!H101/Monatsplanung!$E101*Monatsplanung!$G101)</f>
        <v>0</v>
      </c>
      <c r="F101" s="168">
        <f t="shared" si="10"/>
        <v>0</v>
      </c>
      <c r="G101" s="168" t="e">
        <f>Personalplanung!K101</f>
        <v>#DIV/0!</v>
      </c>
      <c r="H101" s="168" t="e">
        <f t="shared" si="11"/>
        <v>#DIV/0!</v>
      </c>
      <c r="I101" s="168">
        <f>Personalplanung!V101</f>
        <v>0</v>
      </c>
      <c r="J101" s="739"/>
      <c r="K101" s="168">
        <f>IF(J101&lt;&gt;"",J101,IF(ISERROR(Personalplanung!AB101/Monatsplanung!$E101*Monatsplanung!$G101),0,Personalplanung!AB101/Monatsplanung!$E101*Monatsplanung!$G101))</f>
        <v>0</v>
      </c>
      <c r="L101" s="740"/>
      <c r="M101" s="739"/>
      <c r="N101" s="168">
        <f>IF(M101&lt;&gt;"",M101,IF(ISERROR(Personalplanung!AC101/Monatsplanung!$E101*Monatsplanung!$G101),0,Personalplanung!AC101/Monatsplanung!$E101*Monatsplanung!$G101))</f>
        <v>0</v>
      </c>
      <c r="O101" s="740"/>
      <c r="P101" s="739"/>
      <c r="Q101" s="168">
        <f>IF(P101&lt;&gt;"",P101,IF(ISERROR(Personalplanung!AD101/Monatsplanung!$E101*Monatsplanung!$G101),0,Personalplanung!AD101/Monatsplanung!$E101*Monatsplanung!$G101))</f>
        <v>0</v>
      </c>
      <c r="R101" s="740"/>
      <c r="S101" s="739"/>
      <c r="T101" s="168">
        <f>IF(S101&lt;&gt;"",S101,IF(ISERROR(Personalplanung!AE101/Monatsplanung!$E101*Monatsplanung!$G101),0,Personalplanung!AE101/Monatsplanung!$E101*Monatsplanung!$G101))</f>
        <v>0</v>
      </c>
      <c r="U101" s="740"/>
      <c r="V101" s="168">
        <f t="shared" si="12"/>
        <v>0</v>
      </c>
      <c r="W101" s="168">
        <f>IF(ISERROR(Personalplanung!P101/Monatsplanung!$E101*Monatsplanung!$G101),0,Personalplanung!P101/Monatsplanung!$E101*Monatsplanung!$G101)</f>
        <v>0</v>
      </c>
      <c r="X101" s="168">
        <f>IF(ISERROR(Personalplanung!Q101/Monatsplanung!$E101*Monatsplanung!$G101),0,Personalplanung!Q101/Monatsplanung!$E101*Monatsplanung!$G101)</f>
        <v>0</v>
      </c>
      <c r="Y101" s="168">
        <f>IF(ISERROR(Personalplanung!R101/T1349*Stundencontrolling!T101),0,Personalplanung!R101/T1349*Stundencontrolling!T101)</f>
        <v>0</v>
      </c>
      <c r="Z101" s="168">
        <f>IF(ISERROR(Personalplanung!S101/Monatsplanung!$E101*Monatsplanung!$G101),0,Personalplanung!S101/Monatsplanung!$E101*Monatsplanung!$G101)</f>
        <v>0</v>
      </c>
      <c r="AA101" s="80" t="e">
        <f t="shared" si="13"/>
        <v>#DIV/0!</v>
      </c>
      <c r="AB101" s="102">
        <f>Personalplanung!AG101</f>
        <v>0</v>
      </c>
      <c r="AC101" s="103" t="e">
        <f t="shared" si="14"/>
        <v>#DIV/0!</v>
      </c>
      <c r="AD101" s="103" t="e">
        <f t="shared" si="15"/>
        <v>#DIV/0!</v>
      </c>
      <c r="AE101" s="81">
        <f t="shared" si="16"/>
        <v>0</v>
      </c>
      <c r="AF101" s="539"/>
      <c r="AG101" s="104">
        <f>Personalplanung!AK101</f>
        <v>0</v>
      </c>
      <c r="AH101" s="7">
        <f t="shared" si="17"/>
        <v>0</v>
      </c>
      <c r="AI101" s="6">
        <f t="shared" si="18"/>
        <v>0</v>
      </c>
      <c r="AJ101" s="73">
        <f t="shared" si="19"/>
        <v>0</v>
      </c>
      <c r="AK101" s="539"/>
      <c r="AL101" s="748"/>
      <c r="AM101" s="748"/>
    </row>
    <row r="102" spans="2:39" x14ac:dyDescent="0.2">
      <c r="B102" s="101" t="str">
        <f>IF(Personalplanung!B102&lt;&gt;"",Personalplanung!B102,IF(Personalplanung!A102&lt;&gt;"",Personalplanung!A102,""))</f>
        <v/>
      </c>
      <c r="C102" s="168">
        <f>IF(ISERROR(Personalplanung!$F102/Monatsplanung!$E102*Monatsplanung!$G102),0,Personalplanung!$F102/Monatsplanung!$E102*Monatsplanung!$G102)</f>
        <v>0</v>
      </c>
      <c r="D102" s="168">
        <f>Personalplanung!G102</f>
        <v>0</v>
      </c>
      <c r="E102" s="168">
        <f>IF(ISERROR(Personalplanung!H102/Monatsplanung!$E102*Monatsplanung!$G102),0,Personalplanung!H102/Monatsplanung!$E102*Monatsplanung!$G102)</f>
        <v>0</v>
      </c>
      <c r="F102" s="168">
        <f t="shared" si="10"/>
        <v>0</v>
      </c>
      <c r="G102" s="168" t="e">
        <f>Personalplanung!K102</f>
        <v>#DIV/0!</v>
      </c>
      <c r="H102" s="168" t="e">
        <f t="shared" si="11"/>
        <v>#DIV/0!</v>
      </c>
      <c r="I102" s="168">
        <f>Personalplanung!V102</f>
        <v>0</v>
      </c>
      <c r="J102" s="739"/>
      <c r="K102" s="168">
        <f>IF(J102&lt;&gt;"",J102,IF(ISERROR(Personalplanung!AB102/Monatsplanung!$E102*Monatsplanung!$G102),0,Personalplanung!AB102/Monatsplanung!$E102*Monatsplanung!$G102))</f>
        <v>0</v>
      </c>
      <c r="L102" s="740"/>
      <c r="M102" s="739"/>
      <c r="N102" s="168">
        <f>IF(M102&lt;&gt;"",M102,IF(ISERROR(Personalplanung!AC102/Monatsplanung!$E102*Monatsplanung!$G102),0,Personalplanung!AC102/Monatsplanung!$E102*Monatsplanung!$G102))</f>
        <v>0</v>
      </c>
      <c r="O102" s="740"/>
      <c r="P102" s="739"/>
      <c r="Q102" s="168">
        <f>IF(P102&lt;&gt;"",P102,IF(ISERROR(Personalplanung!AD102/Monatsplanung!$E102*Monatsplanung!$G102),0,Personalplanung!AD102/Monatsplanung!$E102*Monatsplanung!$G102))</f>
        <v>0</v>
      </c>
      <c r="R102" s="740"/>
      <c r="S102" s="739"/>
      <c r="T102" s="168">
        <f>IF(S102&lt;&gt;"",S102,IF(ISERROR(Personalplanung!AE102/Monatsplanung!$E102*Monatsplanung!$G102),0,Personalplanung!AE102/Monatsplanung!$E102*Monatsplanung!$G102))</f>
        <v>0</v>
      </c>
      <c r="U102" s="740"/>
      <c r="V102" s="168">
        <f t="shared" si="12"/>
        <v>0</v>
      </c>
      <c r="W102" s="168">
        <f>IF(ISERROR(Personalplanung!P102/Monatsplanung!$E102*Monatsplanung!$G102),0,Personalplanung!P102/Monatsplanung!$E102*Monatsplanung!$G102)</f>
        <v>0</v>
      </c>
      <c r="X102" s="168">
        <f>IF(ISERROR(Personalplanung!Q102/Monatsplanung!$E102*Monatsplanung!$G102),0,Personalplanung!Q102/Monatsplanung!$E102*Monatsplanung!$G102)</f>
        <v>0</v>
      </c>
      <c r="Y102" s="168">
        <f>IF(ISERROR(Personalplanung!R102/T1350*Stundencontrolling!T102),0,Personalplanung!R102/T1350*Stundencontrolling!T102)</f>
        <v>0</v>
      </c>
      <c r="Z102" s="168">
        <f>IF(ISERROR(Personalplanung!S102/Monatsplanung!$E102*Monatsplanung!$G102),0,Personalplanung!S102/Monatsplanung!$E102*Monatsplanung!$G102)</f>
        <v>0</v>
      </c>
      <c r="AA102" s="80" t="e">
        <f t="shared" si="13"/>
        <v>#DIV/0!</v>
      </c>
      <c r="AB102" s="102">
        <f>Personalplanung!AG102</f>
        <v>0</v>
      </c>
      <c r="AC102" s="103" t="e">
        <f t="shared" si="14"/>
        <v>#DIV/0!</v>
      </c>
      <c r="AD102" s="103" t="e">
        <f t="shared" si="15"/>
        <v>#DIV/0!</v>
      </c>
      <c r="AE102" s="81">
        <f t="shared" si="16"/>
        <v>0</v>
      </c>
      <c r="AF102" s="539"/>
      <c r="AG102" s="104">
        <f>Personalplanung!AK102</f>
        <v>0</v>
      </c>
      <c r="AH102" s="7">
        <f t="shared" si="17"/>
        <v>0</v>
      </c>
      <c r="AI102" s="6">
        <f t="shared" si="18"/>
        <v>0</v>
      </c>
      <c r="AJ102" s="73">
        <f t="shared" si="19"/>
        <v>0</v>
      </c>
      <c r="AK102" s="539"/>
      <c r="AL102" s="748"/>
      <c r="AM102" s="748"/>
    </row>
    <row r="103" spans="2:39" x14ac:dyDescent="0.2">
      <c r="B103" s="101" t="str">
        <f>IF(Personalplanung!B103&lt;&gt;"",Personalplanung!B103,IF(Personalplanung!A103&lt;&gt;"",Personalplanung!A103,""))</f>
        <v/>
      </c>
      <c r="C103" s="168">
        <f>IF(ISERROR(Personalplanung!$F103/Monatsplanung!$E103*Monatsplanung!$G103),0,Personalplanung!$F103/Monatsplanung!$E103*Monatsplanung!$G103)</f>
        <v>0</v>
      </c>
      <c r="D103" s="168">
        <f>Personalplanung!G103</f>
        <v>0</v>
      </c>
      <c r="E103" s="168">
        <f>IF(ISERROR(Personalplanung!H103/Monatsplanung!$E103*Monatsplanung!$G103),0,Personalplanung!H103/Monatsplanung!$E103*Monatsplanung!$G103)</f>
        <v>0</v>
      </c>
      <c r="F103" s="168">
        <f t="shared" si="10"/>
        <v>0</v>
      </c>
      <c r="G103" s="168" t="e">
        <f>Personalplanung!K103</f>
        <v>#DIV/0!</v>
      </c>
      <c r="H103" s="168" t="e">
        <f t="shared" si="11"/>
        <v>#DIV/0!</v>
      </c>
      <c r="I103" s="168">
        <f>Personalplanung!V103</f>
        <v>0</v>
      </c>
      <c r="J103" s="739"/>
      <c r="K103" s="168">
        <f>IF(J103&lt;&gt;"",J103,IF(ISERROR(Personalplanung!AB103/Monatsplanung!$E103*Monatsplanung!$G103),0,Personalplanung!AB103/Monatsplanung!$E103*Monatsplanung!$G103))</f>
        <v>0</v>
      </c>
      <c r="L103" s="740"/>
      <c r="M103" s="739"/>
      <c r="N103" s="168">
        <f>IF(M103&lt;&gt;"",M103,IF(ISERROR(Personalplanung!AC103/Monatsplanung!$E103*Monatsplanung!$G103),0,Personalplanung!AC103/Monatsplanung!$E103*Monatsplanung!$G103))</f>
        <v>0</v>
      </c>
      <c r="O103" s="740"/>
      <c r="P103" s="739"/>
      <c r="Q103" s="168">
        <f>IF(P103&lt;&gt;"",P103,IF(ISERROR(Personalplanung!AD103/Monatsplanung!$E103*Monatsplanung!$G103),0,Personalplanung!AD103/Monatsplanung!$E103*Monatsplanung!$G103))</f>
        <v>0</v>
      </c>
      <c r="R103" s="740"/>
      <c r="S103" s="739"/>
      <c r="T103" s="168">
        <f>IF(S103&lt;&gt;"",S103,IF(ISERROR(Personalplanung!AE103/Monatsplanung!$E103*Monatsplanung!$G103),0,Personalplanung!AE103/Monatsplanung!$E103*Monatsplanung!$G103))</f>
        <v>0</v>
      </c>
      <c r="U103" s="740"/>
      <c r="V103" s="168">
        <f t="shared" si="12"/>
        <v>0</v>
      </c>
      <c r="W103" s="168">
        <f>IF(ISERROR(Personalplanung!P103/Monatsplanung!$E103*Monatsplanung!$G103),0,Personalplanung!P103/Monatsplanung!$E103*Monatsplanung!$G103)</f>
        <v>0</v>
      </c>
      <c r="X103" s="168">
        <f>IF(ISERROR(Personalplanung!Q103/Monatsplanung!$E103*Monatsplanung!$G103),0,Personalplanung!Q103/Monatsplanung!$E103*Monatsplanung!$G103)</f>
        <v>0</v>
      </c>
      <c r="Y103" s="168">
        <f>IF(ISERROR(Personalplanung!R103/T1351*Stundencontrolling!T103),0,Personalplanung!R103/T1351*Stundencontrolling!T103)</f>
        <v>0</v>
      </c>
      <c r="Z103" s="168">
        <f>IF(ISERROR(Personalplanung!S103/Monatsplanung!$E103*Monatsplanung!$G103),0,Personalplanung!S103/Monatsplanung!$E103*Monatsplanung!$G103)</f>
        <v>0</v>
      </c>
      <c r="AA103" s="80" t="e">
        <f t="shared" si="13"/>
        <v>#DIV/0!</v>
      </c>
      <c r="AB103" s="102">
        <f>Personalplanung!AG103</f>
        <v>0</v>
      </c>
      <c r="AC103" s="103" t="e">
        <f t="shared" si="14"/>
        <v>#DIV/0!</v>
      </c>
      <c r="AD103" s="103" t="e">
        <f t="shared" si="15"/>
        <v>#DIV/0!</v>
      </c>
      <c r="AE103" s="81">
        <f t="shared" si="16"/>
        <v>0</v>
      </c>
      <c r="AF103" s="539"/>
      <c r="AG103" s="104">
        <f>Personalplanung!AK103</f>
        <v>0</v>
      </c>
      <c r="AH103" s="7">
        <f t="shared" si="17"/>
        <v>0</v>
      </c>
      <c r="AI103" s="6">
        <f t="shared" si="18"/>
        <v>0</v>
      </c>
      <c r="AJ103" s="73">
        <f t="shared" si="19"/>
        <v>0</v>
      </c>
      <c r="AK103" s="539"/>
      <c r="AL103" s="748"/>
      <c r="AM103" s="748"/>
    </row>
    <row r="104" spans="2:39" x14ac:dyDescent="0.2">
      <c r="B104" s="101" t="str">
        <f>IF(Personalplanung!B104&lt;&gt;"",Personalplanung!B104,IF(Personalplanung!A104&lt;&gt;"",Personalplanung!A104,""))</f>
        <v/>
      </c>
      <c r="C104" s="168">
        <f>IF(ISERROR(Personalplanung!$F104/Monatsplanung!$E104*Monatsplanung!$G104),0,Personalplanung!$F104/Monatsplanung!$E104*Monatsplanung!$G104)</f>
        <v>0</v>
      </c>
      <c r="D104" s="168">
        <f>Personalplanung!G104</f>
        <v>0</v>
      </c>
      <c r="E104" s="168">
        <f>IF(ISERROR(Personalplanung!H104/Monatsplanung!$E104*Monatsplanung!$G104),0,Personalplanung!H104/Monatsplanung!$E104*Monatsplanung!$G104)</f>
        <v>0</v>
      </c>
      <c r="F104" s="168">
        <f t="shared" si="10"/>
        <v>0</v>
      </c>
      <c r="G104" s="168" t="e">
        <f>Personalplanung!K104</f>
        <v>#DIV/0!</v>
      </c>
      <c r="H104" s="168" t="e">
        <f t="shared" si="11"/>
        <v>#DIV/0!</v>
      </c>
      <c r="I104" s="168">
        <f>Personalplanung!V104</f>
        <v>0</v>
      </c>
      <c r="J104" s="739"/>
      <c r="K104" s="168">
        <f>IF(J104&lt;&gt;"",J104,IF(ISERROR(Personalplanung!AB104/Monatsplanung!$E104*Monatsplanung!$G104),0,Personalplanung!AB104/Monatsplanung!$E104*Monatsplanung!$G104))</f>
        <v>0</v>
      </c>
      <c r="L104" s="740"/>
      <c r="M104" s="739"/>
      <c r="N104" s="168">
        <f>IF(M104&lt;&gt;"",M104,IF(ISERROR(Personalplanung!AC104/Monatsplanung!$E104*Monatsplanung!$G104),0,Personalplanung!AC104/Monatsplanung!$E104*Monatsplanung!$G104))</f>
        <v>0</v>
      </c>
      <c r="O104" s="740"/>
      <c r="P104" s="739"/>
      <c r="Q104" s="168">
        <f>IF(P104&lt;&gt;"",P104,IF(ISERROR(Personalplanung!AD104/Monatsplanung!$E104*Monatsplanung!$G104),0,Personalplanung!AD104/Monatsplanung!$E104*Monatsplanung!$G104))</f>
        <v>0</v>
      </c>
      <c r="R104" s="740"/>
      <c r="S104" s="739"/>
      <c r="T104" s="168">
        <f>IF(S104&lt;&gt;"",S104,IF(ISERROR(Personalplanung!AE104/Monatsplanung!$E104*Monatsplanung!$G104),0,Personalplanung!AE104/Monatsplanung!$E104*Monatsplanung!$G104))</f>
        <v>0</v>
      </c>
      <c r="U104" s="740"/>
      <c r="V104" s="168">
        <f t="shared" si="12"/>
        <v>0</v>
      </c>
      <c r="W104" s="168">
        <f>IF(ISERROR(Personalplanung!P104/Monatsplanung!$E104*Monatsplanung!$G104),0,Personalplanung!P104/Monatsplanung!$E104*Monatsplanung!$G104)</f>
        <v>0</v>
      </c>
      <c r="X104" s="168">
        <f>IF(ISERROR(Personalplanung!Q104/Monatsplanung!$E104*Monatsplanung!$G104),0,Personalplanung!Q104/Monatsplanung!$E104*Monatsplanung!$G104)</f>
        <v>0</v>
      </c>
      <c r="Y104" s="168">
        <f>IF(ISERROR(Personalplanung!R104/T1352*Stundencontrolling!T104),0,Personalplanung!R104/T1352*Stundencontrolling!T104)</f>
        <v>0</v>
      </c>
      <c r="Z104" s="168">
        <f>IF(ISERROR(Personalplanung!S104/Monatsplanung!$E104*Monatsplanung!$G104),0,Personalplanung!S104/Monatsplanung!$E104*Monatsplanung!$G104)</f>
        <v>0</v>
      </c>
      <c r="AA104" s="80" t="e">
        <f t="shared" si="13"/>
        <v>#DIV/0!</v>
      </c>
      <c r="AB104" s="102">
        <f>Personalplanung!AG104</f>
        <v>0</v>
      </c>
      <c r="AC104" s="103" t="e">
        <f t="shared" si="14"/>
        <v>#DIV/0!</v>
      </c>
      <c r="AD104" s="103" t="e">
        <f t="shared" si="15"/>
        <v>#DIV/0!</v>
      </c>
      <c r="AE104" s="81">
        <f t="shared" si="16"/>
        <v>0</v>
      </c>
      <c r="AF104" s="539"/>
      <c r="AG104" s="104">
        <f>Personalplanung!AK104</f>
        <v>0</v>
      </c>
      <c r="AH104" s="7">
        <f t="shared" si="17"/>
        <v>0</v>
      </c>
      <c r="AI104" s="6">
        <f t="shared" si="18"/>
        <v>0</v>
      </c>
      <c r="AJ104" s="73">
        <f t="shared" si="19"/>
        <v>0</v>
      </c>
      <c r="AK104" s="539"/>
      <c r="AL104" s="748"/>
      <c r="AM104" s="748"/>
    </row>
    <row r="105" spans="2:39" x14ac:dyDescent="0.2">
      <c r="B105" s="101" t="str">
        <f>IF(Personalplanung!B105&lt;&gt;"",Personalplanung!B105,IF(Personalplanung!A105&lt;&gt;"",Personalplanung!A105,""))</f>
        <v/>
      </c>
      <c r="C105" s="168">
        <f>IF(ISERROR(Personalplanung!$F105/Monatsplanung!$E105*Monatsplanung!$G105),0,Personalplanung!$F105/Monatsplanung!$E105*Monatsplanung!$G105)</f>
        <v>0</v>
      </c>
      <c r="D105" s="168">
        <f>Personalplanung!G105</f>
        <v>0</v>
      </c>
      <c r="E105" s="168">
        <f>IF(ISERROR(Personalplanung!H105/Monatsplanung!$E105*Monatsplanung!$G105),0,Personalplanung!H105/Monatsplanung!$E105*Monatsplanung!$G105)</f>
        <v>0</v>
      </c>
      <c r="F105" s="168">
        <f t="shared" si="10"/>
        <v>0</v>
      </c>
      <c r="G105" s="168" t="e">
        <f>Personalplanung!K105</f>
        <v>#DIV/0!</v>
      </c>
      <c r="H105" s="168" t="e">
        <f t="shared" si="11"/>
        <v>#DIV/0!</v>
      </c>
      <c r="I105" s="168">
        <f>Personalplanung!V105</f>
        <v>0</v>
      </c>
      <c r="J105" s="739"/>
      <c r="K105" s="168">
        <f>IF(J105&lt;&gt;"",J105,IF(ISERROR(Personalplanung!AB105/Monatsplanung!$E105*Monatsplanung!$G105),0,Personalplanung!AB105/Monatsplanung!$E105*Monatsplanung!$G105))</f>
        <v>0</v>
      </c>
      <c r="L105" s="740"/>
      <c r="M105" s="739"/>
      <c r="N105" s="168">
        <f>IF(M105&lt;&gt;"",M105,IF(ISERROR(Personalplanung!AC105/Monatsplanung!$E105*Monatsplanung!$G105),0,Personalplanung!AC105/Monatsplanung!$E105*Monatsplanung!$G105))</f>
        <v>0</v>
      </c>
      <c r="O105" s="740"/>
      <c r="P105" s="739"/>
      <c r="Q105" s="168">
        <f>IF(P105&lt;&gt;"",P105,IF(ISERROR(Personalplanung!AD105/Monatsplanung!$E105*Monatsplanung!$G105),0,Personalplanung!AD105/Monatsplanung!$E105*Monatsplanung!$G105))</f>
        <v>0</v>
      </c>
      <c r="R105" s="740"/>
      <c r="S105" s="739"/>
      <c r="T105" s="168">
        <f>IF(S105&lt;&gt;"",S105,IF(ISERROR(Personalplanung!AE105/Monatsplanung!$E105*Monatsplanung!$G105),0,Personalplanung!AE105/Monatsplanung!$E105*Monatsplanung!$G105))</f>
        <v>0</v>
      </c>
      <c r="U105" s="740"/>
      <c r="V105" s="168">
        <f t="shared" si="12"/>
        <v>0</v>
      </c>
      <c r="W105" s="168">
        <f>IF(ISERROR(Personalplanung!P105/Monatsplanung!$E105*Monatsplanung!$G105),0,Personalplanung!P105/Monatsplanung!$E105*Monatsplanung!$G105)</f>
        <v>0</v>
      </c>
      <c r="X105" s="168">
        <f>IF(ISERROR(Personalplanung!Q105/Monatsplanung!$E105*Monatsplanung!$G105),0,Personalplanung!Q105/Monatsplanung!$E105*Monatsplanung!$G105)</f>
        <v>0</v>
      </c>
      <c r="Y105" s="168">
        <f>IF(ISERROR(Personalplanung!R105/T1353*Stundencontrolling!T105),0,Personalplanung!R105/T1353*Stundencontrolling!T105)</f>
        <v>0</v>
      </c>
      <c r="Z105" s="168">
        <f>IF(ISERROR(Personalplanung!S105/Monatsplanung!$E105*Monatsplanung!$G105),0,Personalplanung!S105/Monatsplanung!$E105*Monatsplanung!$G105)</f>
        <v>0</v>
      </c>
      <c r="AA105" s="80" t="e">
        <f t="shared" si="13"/>
        <v>#DIV/0!</v>
      </c>
      <c r="AB105" s="102">
        <f>Personalplanung!AG105</f>
        <v>0</v>
      </c>
      <c r="AC105" s="103" t="e">
        <f t="shared" si="14"/>
        <v>#DIV/0!</v>
      </c>
      <c r="AD105" s="103" t="e">
        <f t="shared" si="15"/>
        <v>#DIV/0!</v>
      </c>
      <c r="AE105" s="81">
        <f t="shared" si="16"/>
        <v>0</v>
      </c>
      <c r="AF105" s="539"/>
      <c r="AG105" s="104">
        <f>Personalplanung!AK105</f>
        <v>0</v>
      </c>
      <c r="AH105" s="7">
        <f t="shared" si="17"/>
        <v>0</v>
      </c>
      <c r="AI105" s="6">
        <f t="shared" si="18"/>
        <v>0</v>
      </c>
      <c r="AJ105" s="73">
        <f t="shared" si="19"/>
        <v>0</v>
      </c>
      <c r="AK105" s="539"/>
      <c r="AL105" s="748"/>
      <c r="AM105" s="748"/>
    </row>
    <row r="106" spans="2:39" x14ac:dyDescent="0.2">
      <c r="B106" s="101" t="str">
        <f>IF(Personalplanung!B106&lt;&gt;"",Personalplanung!B106,IF(Personalplanung!A106&lt;&gt;"",Personalplanung!A106,""))</f>
        <v/>
      </c>
      <c r="C106" s="168">
        <f>IF(ISERROR(Personalplanung!$F106/Monatsplanung!$E106*Monatsplanung!$G106),0,Personalplanung!$F106/Monatsplanung!$E106*Monatsplanung!$G106)</f>
        <v>0</v>
      </c>
      <c r="D106" s="168">
        <f>Personalplanung!G106</f>
        <v>0</v>
      </c>
      <c r="E106" s="168">
        <f>IF(ISERROR(Personalplanung!H106/Monatsplanung!$E106*Monatsplanung!$G106),0,Personalplanung!H106/Monatsplanung!$E106*Monatsplanung!$G106)</f>
        <v>0</v>
      </c>
      <c r="F106" s="168">
        <f t="shared" si="10"/>
        <v>0</v>
      </c>
      <c r="G106" s="168" t="e">
        <f>Personalplanung!K106</f>
        <v>#DIV/0!</v>
      </c>
      <c r="H106" s="168" t="e">
        <f t="shared" si="11"/>
        <v>#DIV/0!</v>
      </c>
      <c r="I106" s="168">
        <f>Personalplanung!V106</f>
        <v>0</v>
      </c>
      <c r="J106" s="739"/>
      <c r="K106" s="168">
        <f>IF(J106&lt;&gt;"",J106,IF(ISERROR(Personalplanung!AB106/Monatsplanung!$E106*Monatsplanung!$G106),0,Personalplanung!AB106/Monatsplanung!$E106*Monatsplanung!$G106))</f>
        <v>0</v>
      </c>
      <c r="L106" s="740"/>
      <c r="M106" s="739"/>
      <c r="N106" s="168">
        <f>IF(M106&lt;&gt;"",M106,IF(ISERROR(Personalplanung!AC106/Monatsplanung!$E106*Monatsplanung!$G106),0,Personalplanung!AC106/Monatsplanung!$E106*Monatsplanung!$G106))</f>
        <v>0</v>
      </c>
      <c r="O106" s="740"/>
      <c r="P106" s="739"/>
      <c r="Q106" s="168">
        <f>IF(P106&lt;&gt;"",P106,IF(ISERROR(Personalplanung!AD106/Monatsplanung!$E106*Monatsplanung!$G106),0,Personalplanung!AD106/Monatsplanung!$E106*Monatsplanung!$G106))</f>
        <v>0</v>
      </c>
      <c r="R106" s="740"/>
      <c r="S106" s="739"/>
      <c r="T106" s="168">
        <f>IF(S106&lt;&gt;"",S106,IF(ISERROR(Personalplanung!AE106/Monatsplanung!$E106*Monatsplanung!$G106),0,Personalplanung!AE106/Monatsplanung!$E106*Monatsplanung!$G106))</f>
        <v>0</v>
      </c>
      <c r="U106" s="740"/>
      <c r="V106" s="168">
        <f t="shared" si="12"/>
        <v>0</v>
      </c>
      <c r="W106" s="168">
        <f>IF(ISERROR(Personalplanung!P106/Monatsplanung!$E106*Monatsplanung!$G106),0,Personalplanung!P106/Monatsplanung!$E106*Monatsplanung!$G106)</f>
        <v>0</v>
      </c>
      <c r="X106" s="168">
        <f>IF(ISERROR(Personalplanung!Q106/Monatsplanung!$E106*Monatsplanung!$G106),0,Personalplanung!Q106/Monatsplanung!$E106*Monatsplanung!$G106)</f>
        <v>0</v>
      </c>
      <c r="Y106" s="168">
        <f>IF(ISERROR(Personalplanung!R106/T1354*Stundencontrolling!T106),0,Personalplanung!R106/T1354*Stundencontrolling!T106)</f>
        <v>0</v>
      </c>
      <c r="Z106" s="168">
        <f>IF(ISERROR(Personalplanung!S106/Monatsplanung!$E106*Monatsplanung!$G106),0,Personalplanung!S106/Monatsplanung!$E106*Monatsplanung!$G106)</f>
        <v>0</v>
      </c>
      <c r="AA106" s="80" t="e">
        <f t="shared" si="13"/>
        <v>#DIV/0!</v>
      </c>
      <c r="AB106" s="102">
        <f>Personalplanung!AG106</f>
        <v>0</v>
      </c>
      <c r="AC106" s="103" t="e">
        <f t="shared" si="14"/>
        <v>#DIV/0!</v>
      </c>
      <c r="AD106" s="103" t="e">
        <f t="shared" si="15"/>
        <v>#DIV/0!</v>
      </c>
      <c r="AE106" s="81">
        <f t="shared" si="16"/>
        <v>0</v>
      </c>
      <c r="AF106" s="539"/>
      <c r="AG106" s="104">
        <f>Personalplanung!AK106</f>
        <v>0</v>
      </c>
      <c r="AH106" s="7">
        <f t="shared" si="17"/>
        <v>0</v>
      </c>
      <c r="AI106" s="6">
        <f t="shared" si="18"/>
        <v>0</v>
      </c>
      <c r="AJ106" s="73">
        <f t="shared" si="19"/>
        <v>0</v>
      </c>
      <c r="AK106" s="539"/>
      <c r="AL106" s="748"/>
      <c r="AM106" s="748"/>
    </row>
    <row r="107" spans="2:39" x14ac:dyDescent="0.2">
      <c r="B107" s="500" t="s">
        <v>134</v>
      </c>
      <c r="C107" s="501">
        <f>+SUM(C6:C106)</f>
        <v>2488.1999999999998</v>
      </c>
      <c r="D107" s="501"/>
      <c r="E107" s="501">
        <f>+SUM(E6:E106)</f>
        <v>120.00000000000001</v>
      </c>
      <c r="F107" s="501">
        <f>+SUM(F6:F106)</f>
        <v>2608.1999999999998</v>
      </c>
      <c r="G107" s="501">
        <f>IF(ISERROR(+H107/F107),0,+H107/F107)</f>
        <v>0</v>
      </c>
      <c r="H107" s="501" t="e">
        <f>+SUM(H6:H106)</f>
        <v>#DIV/0!</v>
      </c>
      <c r="I107" s="501"/>
      <c r="J107" s="501"/>
      <c r="K107" s="501">
        <f t="shared" ref="K107:Z107" si="20">+SUM(K6:K106)</f>
        <v>10.516666666666666</v>
      </c>
      <c r="L107" s="501"/>
      <c r="M107" s="501"/>
      <c r="N107" s="501">
        <f t="shared" si="20"/>
        <v>1.25</v>
      </c>
      <c r="O107" s="501"/>
      <c r="P107" s="501"/>
      <c r="Q107" s="501">
        <f t="shared" si="20"/>
        <v>3.2166666666666663</v>
      </c>
      <c r="R107" s="501"/>
      <c r="S107" s="501"/>
      <c r="T107" s="501">
        <f t="shared" si="20"/>
        <v>34.616666666666667</v>
      </c>
      <c r="U107" s="501"/>
      <c r="V107" s="501">
        <f t="shared" si="20"/>
        <v>49.6</v>
      </c>
      <c r="W107" s="501">
        <f t="shared" si="20"/>
        <v>0</v>
      </c>
      <c r="X107" s="501">
        <f t="shared" si="20"/>
        <v>166.66666666666666</v>
      </c>
      <c r="Y107" s="501">
        <f>+SUM(Y6:Y106)</f>
        <v>66.666666666666657</v>
      </c>
      <c r="Z107" s="501">
        <f t="shared" si="20"/>
        <v>50</v>
      </c>
      <c r="AA107" s="503" t="e">
        <f>SUM(AA6:AA106)</f>
        <v>#DIV/0!</v>
      </c>
      <c r="AB107" s="502">
        <f>IF(ISERROR(+AC107/AA107),0,+AC107/AA107)</f>
        <v>0</v>
      </c>
      <c r="AC107" s="503" t="e">
        <f>SUM(AC6:AC106)</f>
        <v>#DIV/0!</v>
      </c>
      <c r="AD107" s="503" t="e">
        <f>SUM(AD6:AD106)</f>
        <v>#DIV/0!</v>
      </c>
      <c r="AE107" s="504">
        <f>SUM(AE6:AE106)</f>
        <v>1205.3333333333333</v>
      </c>
      <c r="AF107" s="504">
        <f>SUM(AF6:AF106)</f>
        <v>0</v>
      </c>
      <c r="AG107" s="505">
        <f>IF(ISERROR(AI107/AE107),0,AI107/AE107)</f>
        <v>0.9263274336283186</v>
      </c>
      <c r="AH107" s="505">
        <f>IF(ISERROR(AK107/AF107),0,AK107/AF107)</f>
        <v>0</v>
      </c>
      <c r="AI107" s="504">
        <f>SUM(AI6:AI106)</f>
        <v>1116.5333333333333</v>
      </c>
      <c r="AJ107" s="506">
        <f>IF(ISERROR(+AC107/AI107),0,+AC107/AI107)</f>
        <v>0</v>
      </c>
      <c r="AK107" s="504">
        <f>IF(AL107&gt;0,AL107/AM107,SUM(AK6:AK106))</f>
        <v>0</v>
      </c>
      <c r="AL107" s="747"/>
      <c r="AM107" s="506">
        <f>Personalplanung!AN107</f>
        <v>75.851340181839646</v>
      </c>
    </row>
    <row r="108" spans="2:39" x14ac:dyDescent="0.2">
      <c r="B108" s="5"/>
      <c r="C108" s="5"/>
      <c r="D108" s="5"/>
      <c r="E108" s="5"/>
      <c r="F108" s="5"/>
      <c r="G108" s="5"/>
      <c r="H108" s="5"/>
      <c r="I108" s="736"/>
      <c r="J108" s="736"/>
      <c r="K108" s="5"/>
      <c r="L108" s="5"/>
      <c r="M108" s="736"/>
      <c r="N108" s="5"/>
      <c r="O108" s="5"/>
      <c r="P108" s="736"/>
      <c r="Q108" s="5"/>
      <c r="R108" s="5"/>
      <c r="S108" s="736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6"/>
      <c r="AF108" s="6"/>
      <c r="AG108" s="7"/>
      <c r="AH108" s="7"/>
      <c r="AI108" s="6"/>
      <c r="AJ108" s="6"/>
      <c r="AK108" s="6"/>
      <c r="AL108" s="6"/>
      <c r="AM108" s="73"/>
    </row>
    <row r="109" spans="2:39" x14ac:dyDescent="0.2">
      <c r="B109" s="500" t="s">
        <v>40</v>
      </c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  <c r="M109" s="501"/>
      <c r="N109" s="501"/>
      <c r="O109" s="501"/>
      <c r="P109" s="501"/>
      <c r="Q109" s="501"/>
      <c r="R109" s="501"/>
      <c r="S109" s="501"/>
      <c r="T109" s="501"/>
      <c r="U109" s="501"/>
      <c r="V109" s="501"/>
      <c r="W109" s="501"/>
      <c r="X109" s="501"/>
      <c r="Y109" s="501"/>
      <c r="Z109" s="501"/>
      <c r="AA109" s="503"/>
      <c r="AB109" s="502"/>
      <c r="AC109" s="503"/>
      <c r="AD109" s="503"/>
      <c r="AE109" s="504"/>
      <c r="AF109" s="504"/>
      <c r="AG109" s="505"/>
      <c r="AH109" s="505"/>
      <c r="AI109" s="504"/>
      <c r="AJ109" s="506"/>
      <c r="AK109" s="504"/>
      <c r="AL109" s="504"/>
      <c r="AM109" s="506"/>
    </row>
    <row r="110" spans="2:39" x14ac:dyDescent="0.2">
      <c r="B110" s="101" t="str">
        <f>$B6</f>
        <v>Maxdivers Mustermann</v>
      </c>
      <c r="C110" s="168">
        <f>IF(ISERROR(Personalplanung!F6/Monatsplanung!$E6*Monatsplanung!$H6),0,Personalplanung!F6/Monatsplanung!$E6*Monatsplanung!$H6)</f>
        <v>174</v>
      </c>
      <c r="D110" s="168">
        <f>$D6</f>
        <v>8</v>
      </c>
      <c r="E110" s="168">
        <f>IF(ISERROR(Personalplanung!H6/Monatsplanung!$E6*Monatsplanung!$H6),0,Personalplanung!H6/Monatsplanung!$E6*Monatsplanung!$H6)</f>
        <v>66.666666666666671</v>
      </c>
      <c r="F110" s="168">
        <f>+C110+E110</f>
        <v>240.66666666666669</v>
      </c>
      <c r="G110" s="168">
        <f>$G6</f>
        <v>27.700831024930746</v>
      </c>
      <c r="H110" s="168">
        <f>+F110*G110</f>
        <v>6666.666666666667</v>
      </c>
      <c r="I110" s="168">
        <f>$I6</f>
        <v>30</v>
      </c>
      <c r="J110" s="739"/>
      <c r="K110" s="168">
        <f>IF(J110&lt;&gt;"",J110,IF(ISERROR(Personalplanung!AB6/Monatsplanung!$E6*Monatsplanung!$H6),0,Personalplanung!AB6/Monatsplanung!$E6*Monatsplanung!$H6))</f>
        <v>0.66666666666666663</v>
      </c>
      <c r="L110" s="740"/>
      <c r="M110" s="739"/>
      <c r="N110" s="168">
        <f>IF(M110&lt;&gt;"",M110,IF(ISERROR(Personalplanung!AC6/Monatsplanung!$E6*Monatsplanung!$H6),0,Personalplanung!AC6/Monatsplanung!$E6*Monatsplanung!$H6))</f>
        <v>0</v>
      </c>
      <c r="O110" s="740"/>
      <c r="P110" s="739"/>
      <c r="Q110" s="168">
        <f>IF(P110&lt;&gt;"",P110,IF(ISERROR(Personalplanung!AD6/Monatsplanung!$E6*Monatsplanung!$H6),0,Personalplanung!AD6/Monatsplanung!$E6*Monatsplanung!$H6))</f>
        <v>0.16666666666666666</v>
      </c>
      <c r="R110" s="740"/>
      <c r="S110" s="739"/>
      <c r="T110" s="168">
        <f>IF(S110&lt;&gt;"",S110,IF(ISERROR(Personalplanung!AE6/Monatsplanung!$E6*Monatsplanung!$H6),0,Personalplanung!AE6/Monatsplanung!$E6*Monatsplanung!$H6))</f>
        <v>1.25</v>
      </c>
      <c r="U110" s="740"/>
      <c r="V110" s="168">
        <f>K110+N110+Q110+T110</f>
        <v>2.083333333333333</v>
      </c>
      <c r="W110" s="168">
        <f>IF(ISERROR(Personalplanung!P6/Monatsplanung!$E6*Monatsplanung!$H6),0,Personalplanung!P6/Monatsplanung!$E6*Monatsplanung!$H6)</f>
        <v>0</v>
      </c>
      <c r="X110" s="168">
        <f>IF(ISERROR(Personalplanung!Q6/Monatsplanung!$E6*Monatsplanung!$H6),0,Personalplanung!Q6/Monatsplanung!$E6*Monatsplanung!$H6)</f>
        <v>0</v>
      </c>
      <c r="Y110" s="168">
        <f>IF(ISERROR(Personalplanung!R6/T1254*Stundencontrolling!T110),0,Personalplanung!R6/T1254*Stundencontrolling!T110)</f>
        <v>0</v>
      </c>
      <c r="Z110" s="168">
        <f>IF(ISERROR(Personalplanung!S6/Monatsplanung!$E6*Monatsplanung!$H6),0,Personalplanung!S6/Monatsplanung!$E6*Monatsplanung!$H6)</f>
        <v>0</v>
      </c>
      <c r="AA110" s="80">
        <f>+F110*G110*(1+I110)+SUM(W110:Z110)</f>
        <v>206666.66666666669</v>
      </c>
      <c r="AB110" s="102">
        <f>$AB6</f>
        <v>0.1</v>
      </c>
      <c r="AC110" s="103">
        <f>AB110*AA110</f>
        <v>20666.666666666672</v>
      </c>
      <c r="AD110" s="103">
        <f>AA110-AC110</f>
        <v>186000</v>
      </c>
      <c r="AE110" s="81">
        <f>(F110-(V110*$D110))*AB110</f>
        <v>22.400000000000006</v>
      </c>
      <c r="AF110" s="539"/>
      <c r="AG110" s="104">
        <f>$AG6</f>
        <v>1</v>
      </c>
      <c r="AH110" s="7">
        <f t="shared" ref="AH110:AH211" si="21">IF(ISERROR(AK110/AF110),0,AK110/AF110)</f>
        <v>0</v>
      </c>
      <c r="AI110" s="6">
        <f>AE110*AG110</f>
        <v>22.400000000000006</v>
      </c>
      <c r="AJ110" s="73">
        <f t="shared" ref="AJ110:AJ211" si="22">IF(ISERROR(+AC110/AI110),0,+AC110/AI110)</f>
        <v>922.61904761904759</v>
      </c>
      <c r="AK110" s="539"/>
      <c r="AL110" s="748"/>
      <c r="AM110" s="748"/>
    </row>
    <row r="111" spans="2:39" x14ac:dyDescent="0.2">
      <c r="B111" s="101" t="str">
        <f t="shared" ref="B111:B174" si="23">$B7</f>
        <v>Egon Kaufmann</v>
      </c>
      <c r="C111" s="168">
        <f>IF(ISERROR(Personalplanung!F7/Monatsplanung!$E7*Monatsplanung!$H7),0,Personalplanung!F7/Monatsplanung!$E7*Monatsplanung!$H7)</f>
        <v>174</v>
      </c>
      <c r="D111" s="168">
        <f t="shared" ref="D111:D174" si="24">$D7</f>
        <v>8</v>
      </c>
      <c r="E111" s="168">
        <f>IF(ISERROR(Personalplanung!H7/Monatsplanung!$E7*Monatsplanung!$H7),0,Personalplanung!H7/Monatsplanung!$E7*Monatsplanung!$H7)</f>
        <v>26.666666666666668</v>
      </c>
      <c r="F111" s="168">
        <f t="shared" ref="F111:F174" si="25">+C111+E111</f>
        <v>200.66666666666666</v>
      </c>
      <c r="G111" s="168">
        <f t="shared" ref="G111:G174" si="26">$G7</f>
        <v>24.916943521594686</v>
      </c>
      <c r="H111" s="168">
        <f t="shared" ref="H111:H174" si="27">+F111*G111</f>
        <v>5000</v>
      </c>
      <c r="I111" s="168">
        <f t="shared" ref="I111:I174" si="28">$I7</f>
        <v>28</v>
      </c>
      <c r="J111" s="739"/>
      <c r="K111" s="168">
        <f>IF(J111&lt;&gt;"",J111,IF(ISERROR(Personalplanung!AB7/Monatsplanung!$E7*Monatsplanung!$H7),0,Personalplanung!AB7/Monatsplanung!$E7*Monatsplanung!$H7))</f>
        <v>0.66666666666666663</v>
      </c>
      <c r="L111" s="740"/>
      <c r="M111" s="739"/>
      <c r="N111" s="168">
        <f>IF(M111&lt;&gt;"",M111,IF(ISERROR(Personalplanung!AC7/Monatsplanung!$E7*Monatsplanung!$H7),0,Personalplanung!AC7/Monatsplanung!$E7*Monatsplanung!$H7))</f>
        <v>0</v>
      </c>
      <c r="O111" s="740"/>
      <c r="P111" s="739"/>
      <c r="Q111" s="168">
        <f>IF(P111&lt;&gt;"",P111,IF(ISERROR(Personalplanung!AD7/Monatsplanung!$E7*Monatsplanung!$H7),0,Personalplanung!AD7/Monatsplanung!$E7*Monatsplanung!$H7))</f>
        <v>0.16666666666666666</v>
      </c>
      <c r="R111" s="740"/>
      <c r="S111" s="739"/>
      <c r="T111" s="168">
        <f>IF(S111&lt;&gt;"",S111,IF(ISERROR(Personalplanung!AE7/Monatsplanung!$E7*Monatsplanung!$H7),0,Personalplanung!AE7/Monatsplanung!$E7*Monatsplanung!$H7))</f>
        <v>2.1666666666666665</v>
      </c>
      <c r="U111" s="740"/>
      <c r="V111" s="168">
        <f t="shared" ref="V111:V174" si="29">K111+N111+Q111+T111</f>
        <v>3</v>
      </c>
      <c r="W111" s="168">
        <f>IF(ISERROR(Personalplanung!P7/Monatsplanung!$E7*Monatsplanung!$H7),0,Personalplanung!P7/Monatsplanung!$E7*Monatsplanung!$H7)</f>
        <v>0</v>
      </c>
      <c r="X111" s="168">
        <f>IF(ISERROR(Personalplanung!Q7/Monatsplanung!$E7*Monatsplanung!$H7),0,Personalplanung!Q7/Monatsplanung!$E7*Monatsplanung!$H7)</f>
        <v>0</v>
      </c>
      <c r="Y111" s="168">
        <f>IF(ISERROR(Personalplanung!R7/T1255*Stundencontrolling!T111),0,Personalplanung!R7/T1255*Stundencontrolling!T111)</f>
        <v>0</v>
      </c>
      <c r="Z111" s="168">
        <f>IF(ISERROR(Personalplanung!S7/Monatsplanung!$E7*Monatsplanung!$H7),0,Personalplanung!S7/Monatsplanung!$E7*Monatsplanung!$H7)</f>
        <v>0</v>
      </c>
      <c r="AA111" s="80">
        <f t="shared" ref="AA111:AA174" si="30">+F111*G111*(1+I111)+SUM(W111:Z111)</f>
        <v>145000</v>
      </c>
      <c r="AB111" s="102">
        <f t="shared" ref="AB111:AB174" si="31">$AB7</f>
        <v>0</v>
      </c>
      <c r="AC111" s="103">
        <f t="shared" ref="AC111:AC174" si="32">AB111*AA111</f>
        <v>0</v>
      </c>
      <c r="AD111" s="103">
        <f t="shared" ref="AD111:AD174" si="33">AA111-AC111</f>
        <v>145000</v>
      </c>
      <c r="AE111" s="81">
        <f t="shared" ref="AE111:AE174" si="34">(F111-(V111*$D111))*AB111</f>
        <v>0</v>
      </c>
      <c r="AF111" s="539"/>
      <c r="AG111" s="104">
        <f t="shared" ref="AG111:AG174" si="35">$AG7</f>
        <v>1</v>
      </c>
      <c r="AH111" s="7">
        <f t="shared" ref="AH111:AH174" si="36">IF(ISERROR(AK111/AF111),0,AK111/AF111)</f>
        <v>0</v>
      </c>
      <c r="AI111" s="6">
        <f t="shared" ref="AI111:AI174" si="37">AE111*AG111</f>
        <v>0</v>
      </c>
      <c r="AJ111" s="73">
        <f t="shared" ref="AJ111:AJ174" si="38">IF(ISERROR(+AC111/AI111),0,+AC111/AI111)</f>
        <v>0</v>
      </c>
      <c r="AK111" s="539"/>
      <c r="AL111" s="748"/>
      <c r="AM111" s="748"/>
    </row>
    <row r="112" spans="2:39" x14ac:dyDescent="0.2">
      <c r="B112" s="101" t="str">
        <f t="shared" si="23"/>
        <v>Walter Meister</v>
      </c>
      <c r="C112" s="168">
        <f>IF(ISERROR(Personalplanung!F8/Monatsplanung!$E8*Monatsplanung!$H8),0,Personalplanung!F8/Monatsplanung!$E8*Monatsplanung!$H8)</f>
        <v>174</v>
      </c>
      <c r="D112" s="168">
        <f t="shared" si="24"/>
        <v>8</v>
      </c>
      <c r="E112" s="168">
        <f>IF(ISERROR(Personalplanung!H8/Monatsplanung!$E8*Monatsplanung!$H8),0,Personalplanung!H8/Monatsplanung!$E8*Monatsplanung!$H8)</f>
        <v>26.666666666666668</v>
      </c>
      <c r="F112" s="168">
        <f t="shared" si="25"/>
        <v>200.66666666666666</v>
      </c>
      <c r="G112" s="168">
        <f t="shared" si="26"/>
        <v>16.611295681063122</v>
      </c>
      <c r="H112" s="168">
        <f t="shared" si="27"/>
        <v>3333.333333333333</v>
      </c>
      <c r="I112" s="168">
        <f t="shared" si="28"/>
        <v>28</v>
      </c>
      <c r="J112" s="739"/>
      <c r="K112" s="168">
        <f>IF(J112&lt;&gt;"",J112,IF(ISERROR(Personalplanung!AB8/Monatsplanung!$E8*Monatsplanung!$H8),0,Personalplanung!AB8/Monatsplanung!$E8*Monatsplanung!$H8))</f>
        <v>0.66666666666666663</v>
      </c>
      <c r="L112" s="740"/>
      <c r="M112" s="739"/>
      <c r="N112" s="168">
        <f>IF(M112&lt;&gt;"",M112,IF(ISERROR(Personalplanung!AC8/Monatsplanung!$E8*Monatsplanung!$H8),0,Personalplanung!AC8/Monatsplanung!$E8*Monatsplanung!$H8))</f>
        <v>8.3333333333333329E-2</v>
      </c>
      <c r="O112" s="740"/>
      <c r="P112" s="739"/>
      <c r="Q112" s="168">
        <f>IF(P112&lt;&gt;"",P112,IF(ISERROR(Personalplanung!AD8/Monatsplanung!$E8*Monatsplanung!$H8),0,Personalplanung!AD8/Monatsplanung!$E8*Monatsplanung!$H8))</f>
        <v>0.16666666666666666</v>
      </c>
      <c r="R112" s="740"/>
      <c r="S112" s="739"/>
      <c r="T112" s="168">
        <f>IF(S112&lt;&gt;"",S112,IF(ISERROR(Personalplanung!AE8/Monatsplanung!$E8*Monatsplanung!$H8),0,Personalplanung!AE8/Monatsplanung!$E8*Monatsplanung!$H8))</f>
        <v>2.1666666666666665</v>
      </c>
      <c r="U112" s="740"/>
      <c r="V112" s="168">
        <f t="shared" si="29"/>
        <v>3.083333333333333</v>
      </c>
      <c r="W112" s="168">
        <f>IF(ISERROR(Personalplanung!P8/Monatsplanung!$E8*Monatsplanung!$H8),0,Personalplanung!P8/Monatsplanung!$E8*Monatsplanung!$H8)</f>
        <v>0</v>
      </c>
      <c r="X112" s="168">
        <f>IF(ISERROR(Personalplanung!Q8/Monatsplanung!$E8*Monatsplanung!$H8),0,Personalplanung!Q8/Monatsplanung!$E8*Monatsplanung!$H8)</f>
        <v>0</v>
      </c>
      <c r="Y112" s="168">
        <f>IF(ISERROR(Personalplanung!R8/T1256*Stundencontrolling!T112),0,Personalplanung!R8/T1256*Stundencontrolling!T112)</f>
        <v>0</v>
      </c>
      <c r="Z112" s="168">
        <f>IF(ISERROR(Personalplanung!S8/Monatsplanung!$E8*Monatsplanung!$H8),0,Personalplanung!S8/Monatsplanung!$E8*Monatsplanung!$H8)</f>
        <v>0</v>
      </c>
      <c r="AA112" s="80">
        <f t="shared" si="30"/>
        <v>96666.666666666657</v>
      </c>
      <c r="AB112" s="102">
        <f t="shared" si="31"/>
        <v>0</v>
      </c>
      <c r="AC112" s="103">
        <f t="shared" si="32"/>
        <v>0</v>
      </c>
      <c r="AD112" s="103">
        <f t="shared" si="33"/>
        <v>96666.666666666657</v>
      </c>
      <c r="AE112" s="81">
        <f t="shared" si="34"/>
        <v>0</v>
      </c>
      <c r="AF112" s="539"/>
      <c r="AG112" s="104">
        <f t="shared" si="35"/>
        <v>1</v>
      </c>
      <c r="AH112" s="7">
        <f t="shared" si="36"/>
        <v>0</v>
      </c>
      <c r="AI112" s="6">
        <f t="shared" si="37"/>
        <v>0</v>
      </c>
      <c r="AJ112" s="73">
        <f t="shared" si="38"/>
        <v>0</v>
      </c>
      <c r="AK112" s="539"/>
      <c r="AL112" s="748"/>
      <c r="AM112" s="748"/>
    </row>
    <row r="113" spans="2:39" x14ac:dyDescent="0.2">
      <c r="B113" s="101" t="str">
        <f t="shared" si="23"/>
        <v>Tom in Technik</v>
      </c>
      <c r="C113" s="168">
        <f>IF(ISERROR(Personalplanung!F9/Monatsplanung!$E9*Monatsplanung!$H9),0,Personalplanung!F9/Monatsplanung!$E9*Monatsplanung!$H9)</f>
        <v>174</v>
      </c>
      <c r="D113" s="168">
        <f t="shared" si="24"/>
        <v>8</v>
      </c>
      <c r="E113" s="168">
        <f>IF(ISERROR(Personalplanung!H9/Monatsplanung!$E9*Monatsplanung!$H9),0,Personalplanung!H9/Monatsplanung!$E9*Monatsplanung!$H9)</f>
        <v>0</v>
      </c>
      <c r="F113" s="168">
        <f t="shared" si="25"/>
        <v>174</v>
      </c>
      <c r="G113" s="168">
        <f t="shared" si="26"/>
        <v>18.199233716475096</v>
      </c>
      <c r="H113" s="168">
        <f t="shared" si="27"/>
        <v>3166.6666666666665</v>
      </c>
      <c r="I113" s="168">
        <f t="shared" si="28"/>
        <v>28</v>
      </c>
      <c r="J113" s="739"/>
      <c r="K113" s="168">
        <f>IF(J113&lt;&gt;"",J113,IF(ISERROR(Personalplanung!AB9/Monatsplanung!$E9*Monatsplanung!$H9),0,Personalplanung!AB9/Monatsplanung!$E9*Monatsplanung!$H9))</f>
        <v>0.66666666666666663</v>
      </c>
      <c r="L113" s="740"/>
      <c r="M113" s="739"/>
      <c r="N113" s="168">
        <f>IF(M113&lt;&gt;"",M113,IF(ISERROR(Personalplanung!AC9/Monatsplanung!$E9*Monatsplanung!$H9),0,Personalplanung!AC9/Monatsplanung!$E9*Monatsplanung!$H9))</f>
        <v>0.16666666666666666</v>
      </c>
      <c r="O113" s="740"/>
      <c r="P113" s="739"/>
      <c r="Q113" s="168">
        <f>IF(P113&lt;&gt;"",P113,IF(ISERROR(Personalplanung!AD9/Monatsplanung!$E9*Monatsplanung!$H9),0,Personalplanung!AD9/Monatsplanung!$E9*Monatsplanung!$H9))</f>
        <v>0.16666666666666666</v>
      </c>
      <c r="R113" s="740"/>
      <c r="S113" s="739"/>
      <c r="T113" s="168">
        <f>IF(S113&lt;&gt;"",S113,IF(ISERROR(Personalplanung!AE9/Monatsplanung!$E9*Monatsplanung!$H9),0,Personalplanung!AE9/Monatsplanung!$E9*Monatsplanung!$H9))</f>
        <v>2.1666666666666665</v>
      </c>
      <c r="U113" s="740"/>
      <c r="V113" s="168">
        <f t="shared" si="29"/>
        <v>3.1666666666666665</v>
      </c>
      <c r="W113" s="168">
        <f>IF(ISERROR(Personalplanung!P9/Monatsplanung!$E9*Monatsplanung!$H9),0,Personalplanung!P9/Monatsplanung!$E9*Monatsplanung!$H9)</f>
        <v>0</v>
      </c>
      <c r="X113" s="168">
        <f>IF(ISERROR(Personalplanung!Q9/Monatsplanung!$E9*Monatsplanung!$H9),0,Personalplanung!Q9/Monatsplanung!$E9*Monatsplanung!$H9)</f>
        <v>0</v>
      </c>
      <c r="Y113" s="168">
        <f>IF(ISERROR(Personalplanung!R9/T1257*Stundencontrolling!T113),0,Personalplanung!R9/T1257*Stundencontrolling!T113)</f>
        <v>0</v>
      </c>
      <c r="Z113" s="168">
        <f>IF(ISERROR(Personalplanung!S9/Monatsplanung!$E9*Monatsplanung!$H9),0,Personalplanung!S9/Monatsplanung!$E9*Monatsplanung!$H9)</f>
        <v>0</v>
      </c>
      <c r="AA113" s="80">
        <f t="shared" si="30"/>
        <v>91833.333333333328</v>
      </c>
      <c r="AB113" s="102">
        <f t="shared" si="31"/>
        <v>0.2</v>
      </c>
      <c r="AC113" s="103">
        <f t="shared" si="32"/>
        <v>18366.666666666668</v>
      </c>
      <c r="AD113" s="103">
        <f t="shared" si="33"/>
        <v>73466.666666666657</v>
      </c>
      <c r="AE113" s="81">
        <f t="shared" si="34"/>
        <v>29.733333333333334</v>
      </c>
      <c r="AF113" s="539"/>
      <c r="AG113" s="104">
        <f t="shared" si="35"/>
        <v>1</v>
      </c>
      <c r="AH113" s="7">
        <f t="shared" si="36"/>
        <v>0</v>
      </c>
      <c r="AI113" s="6">
        <f t="shared" si="37"/>
        <v>29.733333333333334</v>
      </c>
      <c r="AJ113" s="73">
        <f t="shared" si="38"/>
        <v>617.71300448430497</v>
      </c>
      <c r="AK113" s="539"/>
      <c r="AL113" s="748"/>
      <c r="AM113" s="748"/>
    </row>
    <row r="114" spans="2:39" x14ac:dyDescent="0.2">
      <c r="B114" s="101" t="str">
        <f t="shared" si="23"/>
        <v>Lola Rennt</v>
      </c>
      <c r="C114" s="168">
        <f>IF(ISERROR(Personalplanung!F10/Monatsplanung!$E10*Monatsplanung!$H10),0,Personalplanung!F10/Monatsplanung!$E10*Monatsplanung!$H10)</f>
        <v>174</v>
      </c>
      <c r="D114" s="168">
        <f t="shared" si="24"/>
        <v>8</v>
      </c>
      <c r="E114" s="168">
        <f>IF(ISERROR(Personalplanung!H10/Monatsplanung!$E10*Monatsplanung!$H10),0,Personalplanung!H10/Monatsplanung!$E10*Monatsplanung!$H10)</f>
        <v>0</v>
      </c>
      <c r="F114" s="168">
        <f t="shared" si="25"/>
        <v>174</v>
      </c>
      <c r="G114" s="168">
        <f t="shared" si="26"/>
        <v>11.973180076628353</v>
      </c>
      <c r="H114" s="168">
        <f t="shared" si="27"/>
        <v>2083.3333333333335</v>
      </c>
      <c r="I114" s="168">
        <f t="shared" si="28"/>
        <v>26</v>
      </c>
      <c r="J114" s="739"/>
      <c r="K114" s="168">
        <f>IF(J114&lt;&gt;"",J114,IF(ISERROR(Personalplanung!AB10/Monatsplanung!$E10*Monatsplanung!$H10),0,Personalplanung!AB10/Monatsplanung!$E10*Monatsplanung!$H10))</f>
        <v>0.66666666666666663</v>
      </c>
      <c r="L114" s="740"/>
      <c r="M114" s="739"/>
      <c r="N114" s="168">
        <f>IF(M114&lt;&gt;"",M114,IF(ISERROR(Personalplanung!AC10/Monatsplanung!$E10*Monatsplanung!$H10),0,Personalplanung!AC10/Monatsplanung!$E10*Monatsplanung!$H10))</f>
        <v>0</v>
      </c>
      <c r="O114" s="740"/>
      <c r="P114" s="739"/>
      <c r="Q114" s="168">
        <f>IF(P114&lt;&gt;"",P114,IF(ISERROR(Personalplanung!AD10/Monatsplanung!$E10*Monatsplanung!$H10),0,Personalplanung!AD10/Monatsplanung!$E10*Monatsplanung!$H10))</f>
        <v>0.16666666666666666</v>
      </c>
      <c r="R114" s="740"/>
      <c r="S114" s="739"/>
      <c r="T114" s="168">
        <f>IF(S114&lt;&gt;"",S114,IF(ISERROR(Personalplanung!AE10/Monatsplanung!$E10*Monatsplanung!$H10),0,Personalplanung!AE10/Monatsplanung!$E10*Monatsplanung!$H10))</f>
        <v>2.1666666666666665</v>
      </c>
      <c r="U114" s="740"/>
      <c r="V114" s="168">
        <f t="shared" si="29"/>
        <v>3</v>
      </c>
      <c r="W114" s="168">
        <f>IF(ISERROR(Personalplanung!P10/Monatsplanung!$E10*Monatsplanung!$H10),0,Personalplanung!P10/Monatsplanung!$E10*Monatsplanung!$H10)</f>
        <v>0</v>
      </c>
      <c r="X114" s="168">
        <f>IF(ISERROR(Personalplanung!Q10/Monatsplanung!$E10*Monatsplanung!$H10),0,Personalplanung!Q10/Monatsplanung!$E10*Monatsplanung!$H10)</f>
        <v>0</v>
      </c>
      <c r="Y114" s="168">
        <f>IF(ISERROR(Personalplanung!R10/T1258*Stundencontrolling!T114),0,Personalplanung!R10/T1258*Stundencontrolling!T114)</f>
        <v>0</v>
      </c>
      <c r="Z114" s="168">
        <f>IF(ISERROR(Personalplanung!S10/Monatsplanung!$E10*Monatsplanung!$H10),0,Personalplanung!S10/Monatsplanung!$E10*Monatsplanung!$H10)</f>
        <v>0</v>
      </c>
      <c r="AA114" s="80">
        <f t="shared" si="30"/>
        <v>56250.000000000007</v>
      </c>
      <c r="AB114" s="102">
        <f t="shared" si="31"/>
        <v>0</v>
      </c>
      <c r="AC114" s="103">
        <f t="shared" si="32"/>
        <v>0</v>
      </c>
      <c r="AD114" s="103">
        <f t="shared" si="33"/>
        <v>56250.000000000007</v>
      </c>
      <c r="AE114" s="81">
        <f t="shared" si="34"/>
        <v>0</v>
      </c>
      <c r="AF114" s="539"/>
      <c r="AG114" s="104">
        <f t="shared" si="35"/>
        <v>1</v>
      </c>
      <c r="AH114" s="7">
        <f t="shared" si="36"/>
        <v>0</v>
      </c>
      <c r="AI114" s="6">
        <f t="shared" si="37"/>
        <v>0</v>
      </c>
      <c r="AJ114" s="73">
        <f t="shared" si="38"/>
        <v>0</v>
      </c>
      <c r="AK114" s="539"/>
      <c r="AL114" s="748"/>
      <c r="AM114" s="748"/>
    </row>
    <row r="115" spans="2:39" x14ac:dyDescent="0.2">
      <c r="B115" s="101" t="str">
        <f t="shared" si="23"/>
        <v>Bier Lager</v>
      </c>
      <c r="C115" s="168">
        <f>IF(ISERROR(Personalplanung!F11/Monatsplanung!$E11*Monatsplanung!$H11),0,Personalplanung!F11/Monatsplanung!$E11*Monatsplanung!$H11)</f>
        <v>174</v>
      </c>
      <c r="D115" s="168">
        <f t="shared" si="24"/>
        <v>8</v>
      </c>
      <c r="E115" s="168">
        <f>IF(ISERROR(Personalplanung!H11/Monatsplanung!$E11*Monatsplanung!$H11),0,Personalplanung!H11/Monatsplanung!$E11*Monatsplanung!$H11)</f>
        <v>0</v>
      </c>
      <c r="F115" s="168">
        <f t="shared" si="25"/>
        <v>174</v>
      </c>
      <c r="G115" s="168">
        <f t="shared" si="26"/>
        <v>11.494252873563218</v>
      </c>
      <c r="H115" s="168">
        <f t="shared" si="27"/>
        <v>1999.9999999999998</v>
      </c>
      <c r="I115" s="168">
        <f t="shared" si="28"/>
        <v>26</v>
      </c>
      <c r="J115" s="739"/>
      <c r="K115" s="168">
        <f>IF(J115&lt;&gt;"",J115,IF(ISERROR(Personalplanung!AB11/Monatsplanung!$E11*Monatsplanung!$H11),0,Personalplanung!AB11/Monatsplanung!$E11*Monatsplanung!$H11))</f>
        <v>0.66666666666666663</v>
      </c>
      <c r="L115" s="740"/>
      <c r="M115" s="739"/>
      <c r="N115" s="168">
        <f>IF(M115&lt;&gt;"",M115,IF(ISERROR(Personalplanung!AC11/Monatsplanung!$E11*Monatsplanung!$H11),0,Personalplanung!AC11/Monatsplanung!$E11*Monatsplanung!$H11))</f>
        <v>0</v>
      </c>
      <c r="O115" s="740"/>
      <c r="P115" s="739"/>
      <c r="Q115" s="168">
        <f>IF(P115&lt;&gt;"",P115,IF(ISERROR(Personalplanung!AD11/Monatsplanung!$E11*Monatsplanung!$H11),0,Personalplanung!AD11/Monatsplanung!$E11*Monatsplanung!$H11))</f>
        <v>0.16666666666666666</v>
      </c>
      <c r="R115" s="740"/>
      <c r="S115" s="739"/>
      <c r="T115" s="168">
        <f>IF(S115&lt;&gt;"",S115,IF(ISERROR(Personalplanung!AE11/Monatsplanung!$E11*Monatsplanung!$H11),0,Personalplanung!AE11/Monatsplanung!$E11*Monatsplanung!$H11))</f>
        <v>2.1666666666666665</v>
      </c>
      <c r="U115" s="740"/>
      <c r="V115" s="168">
        <f t="shared" si="29"/>
        <v>3</v>
      </c>
      <c r="W115" s="168">
        <f>IF(ISERROR(Personalplanung!P11/Monatsplanung!$E11*Monatsplanung!$H11),0,Personalplanung!P11/Monatsplanung!$E11*Monatsplanung!$H11)</f>
        <v>0</v>
      </c>
      <c r="X115" s="168">
        <f>IF(ISERROR(Personalplanung!Q11/Monatsplanung!$E11*Monatsplanung!$H11),0,Personalplanung!Q11/Monatsplanung!$E11*Monatsplanung!$H11)</f>
        <v>0</v>
      </c>
      <c r="Y115" s="168">
        <f>IF(ISERROR(Personalplanung!R11/T1259*Stundencontrolling!T115),0,Personalplanung!R11/T1259*Stundencontrolling!T115)</f>
        <v>0</v>
      </c>
      <c r="Z115" s="168">
        <f>IF(ISERROR(Personalplanung!S11/Monatsplanung!$E11*Monatsplanung!$H11),0,Personalplanung!S11/Monatsplanung!$E11*Monatsplanung!$H11)</f>
        <v>0</v>
      </c>
      <c r="AA115" s="80">
        <f t="shared" si="30"/>
        <v>53999.999999999993</v>
      </c>
      <c r="AB115" s="102">
        <f t="shared" si="31"/>
        <v>0</v>
      </c>
      <c r="AC115" s="103">
        <f t="shared" si="32"/>
        <v>0</v>
      </c>
      <c r="AD115" s="103">
        <f t="shared" si="33"/>
        <v>53999.999999999993</v>
      </c>
      <c r="AE115" s="81">
        <f t="shared" si="34"/>
        <v>0</v>
      </c>
      <c r="AF115" s="539"/>
      <c r="AG115" s="104">
        <f t="shared" si="35"/>
        <v>1</v>
      </c>
      <c r="AH115" s="7">
        <f t="shared" si="36"/>
        <v>0</v>
      </c>
      <c r="AI115" s="6">
        <f t="shared" si="37"/>
        <v>0</v>
      </c>
      <c r="AJ115" s="73">
        <f t="shared" si="38"/>
        <v>0</v>
      </c>
      <c r="AK115" s="539"/>
      <c r="AL115" s="748"/>
      <c r="AM115" s="748"/>
    </row>
    <row r="116" spans="2:39" x14ac:dyDescent="0.2">
      <c r="B116" s="101" t="str">
        <f t="shared" si="23"/>
        <v>Heinrich vor Arbeit</v>
      </c>
      <c r="C116" s="168">
        <f>IF(ISERROR(Personalplanung!F12/Monatsplanung!$E12*Monatsplanung!$H12),0,Personalplanung!F12/Monatsplanung!$E12*Monatsplanung!$H12)</f>
        <v>174</v>
      </c>
      <c r="D116" s="168">
        <f t="shared" si="24"/>
        <v>8</v>
      </c>
      <c r="E116" s="168">
        <f>IF(ISERROR(Personalplanung!H12/Monatsplanung!$E12*Monatsplanung!$H12),0,Personalplanung!H12/Monatsplanung!$E12*Monatsplanung!$H12)</f>
        <v>0</v>
      </c>
      <c r="F116" s="168">
        <f t="shared" si="25"/>
        <v>174</v>
      </c>
      <c r="G116" s="168">
        <f t="shared" si="26"/>
        <v>13.409961685823754</v>
      </c>
      <c r="H116" s="168">
        <f t="shared" si="27"/>
        <v>2333.333333333333</v>
      </c>
      <c r="I116" s="168">
        <f t="shared" si="28"/>
        <v>26</v>
      </c>
      <c r="J116" s="739"/>
      <c r="K116" s="168">
        <f>IF(J116&lt;&gt;"",J116,IF(ISERROR(Personalplanung!AB12/Monatsplanung!$E12*Monatsplanung!$H12),0,Personalplanung!AB12/Monatsplanung!$E12*Monatsplanung!$H12))</f>
        <v>0.66666666666666663</v>
      </c>
      <c r="L116" s="740"/>
      <c r="M116" s="739"/>
      <c r="N116" s="168">
        <f>IF(M116&lt;&gt;"",M116,IF(ISERROR(Personalplanung!AC12/Monatsplanung!$E12*Monatsplanung!$H12),0,Personalplanung!AC12/Monatsplanung!$E12*Monatsplanung!$H12))</f>
        <v>0</v>
      </c>
      <c r="O116" s="740"/>
      <c r="P116" s="739"/>
      <c r="Q116" s="168">
        <f>IF(P116&lt;&gt;"",P116,IF(ISERROR(Personalplanung!AD12/Monatsplanung!$E12*Monatsplanung!$H12),0,Personalplanung!AD12/Monatsplanung!$E12*Monatsplanung!$H12))</f>
        <v>0.16666666666666666</v>
      </c>
      <c r="R116" s="740"/>
      <c r="S116" s="739"/>
      <c r="T116" s="168">
        <f>IF(S116&lt;&gt;"",S116,IF(ISERROR(Personalplanung!AE12/Monatsplanung!$E12*Monatsplanung!$H12),0,Personalplanung!AE12/Monatsplanung!$E12*Monatsplanung!$H12))</f>
        <v>2.1666666666666665</v>
      </c>
      <c r="U116" s="740"/>
      <c r="V116" s="168">
        <f t="shared" si="29"/>
        <v>3</v>
      </c>
      <c r="W116" s="168">
        <f>IF(ISERROR(Personalplanung!P12/Monatsplanung!$E12*Monatsplanung!$H12),0,Personalplanung!P12/Monatsplanung!$E12*Monatsplanung!$H12)</f>
        <v>0</v>
      </c>
      <c r="X116" s="168">
        <f>IF(ISERROR(Personalplanung!Q12/Monatsplanung!$E12*Monatsplanung!$H12),0,Personalplanung!Q12/Monatsplanung!$E12*Monatsplanung!$H12)</f>
        <v>0</v>
      </c>
      <c r="Y116" s="168">
        <f>IF(ISERROR(Personalplanung!R12/T1260*Stundencontrolling!T116),0,Personalplanung!R12/T1260*Stundencontrolling!T116)</f>
        <v>0</v>
      </c>
      <c r="Z116" s="168">
        <f>IF(ISERROR(Personalplanung!S12/Monatsplanung!$E12*Monatsplanung!$H12),0,Personalplanung!S12/Monatsplanung!$E12*Monatsplanung!$H12)</f>
        <v>0</v>
      </c>
      <c r="AA116" s="80">
        <f t="shared" si="30"/>
        <v>62999.999999999993</v>
      </c>
      <c r="AB116" s="102">
        <f t="shared" si="31"/>
        <v>1</v>
      </c>
      <c r="AC116" s="103">
        <f t="shared" si="32"/>
        <v>62999.999999999993</v>
      </c>
      <c r="AD116" s="103">
        <f t="shared" si="33"/>
        <v>0</v>
      </c>
      <c r="AE116" s="81">
        <f t="shared" si="34"/>
        <v>150</v>
      </c>
      <c r="AF116" s="539"/>
      <c r="AG116" s="104">
        <f t="shared" si="35"/>
        <v>1</v>
      </c>
      <c r="AH116" s="7">
        <f t="shared" si="36"/>
        <v>0</v>
      </c>
      <c r="AI116" s="6">
        <f t="shared" si="37"/>
        <v>150</v>
      </c>
      <c r="AJ116" s="73">
        <f t="shared" si="38"/>
        <v>419.99999999999994</v>
      </c>
      <c r="AK116" s="539"/>
      <c r="AL116" s="748"/>
      <c r="AM116" s="748"/>
    </row>
    <row r="117" spans="2:39" x14ac:dyDescent="0.2">
      <c r="B117" s="101" t="str">
        <f t="shared" si="23"/>
        <v>Voller Geselle</v>
      </c>
      <c r="C117" s="168">
        <f>IF(ISERROR(Personalplanung!F13/Monatsplanung!$E13*Monatsplanung!$H13),0,Personalplanung!F13/Monatsplanung!$E13*Monatsplanung!$H13)</f>
        <v>174</v>
      </c>
      <c r="D117" s="168">
        <f t="shared" si="24"/>
        <v>8</v>
      </c>
      <c r="E117" s="168">
        <f>IF(ISERROR(Personalplanung!H13/Monatsplanung!$E13*Monatsplanung!$H13),0,Personalplanung!H13/Monatsplanung!$E13*Monatsplanung!$H13)</f>
        <v>0</v>
      </c>
      <c r="F117" s="168">
        <f t="shared" si="25"/>
        <v>174</v>
      </c>
      <c r="G117" s="168">
        <f t="shared" si="26"/>
        <v>15.325670498084291</v>
      </c>
      <c r="H117" s="168">
        <f t="shared" si="27"/>
        <v>2666.6666666666665</v>
      </c>
      <c r="I117" s="168">
        <f t="shared" si="28"/>
        <v>26</v>
      </c>
      <c r="J117" s="739"/>
      <c r="K117" s="168">
        <f>IF(J117&lt;&gt;"",J117,IF(ISERROR(Personalplanung!AB13/Monatsplanung!$E13*Monatsplanung!$H13),0,Personalplanung!AB13/Monatsplanung!$E13*Monatsplanung!$H13))</f>
        <v>0.66666666666666663</v>
      </c>
      <c r="L117" s="740"/>
      <c r="M117" s="739"/>
      <c r="N117" s="168">
        <f>IF(M117&lt;&gt;"",M117,IF(ISERROR(Personalplanung!AC13/Monatsplanung!$E13*Monatsplanung!$H13),0,Personalplanung!AC13/Monatsplanung!$E13*Monatsplanung!$H13))</f>
        <v>0.25</v>
      </c>
      <c r="O117" s="740"/>
      <c r="P117" s="739"/>
      <c r="Q117" s="168">
        <f>IF(P117&lt;&gt;"",P117,IF(ISERROR(Personalplanung!AD13/Monatsplanung!$E13*Monatsplanung!$H13),0,Personalplanung!AD13/Monatsplanung!$E13*Monatsplanung!$H13))</f>
        <v>0.16666666666666666</v>
      </c>
      <c r="R117" s="740"/>
      <c r="S117" s="739"/>
      <c r="T117" s="168">
        <f>IF(S117&lt;&gt;"",S117,IF(ISERROR(Personalplanung!AE13/Monatsplanung!$E13*Monatsplanung!$H13),0,Personalplanung!AE13/Monatsplanung!$E13*Monatsplanung!$H13))</f>
        <v>2.1666666666666665</v>
      </c>
      <c r="U117" s="740"/>
      <c r="V117" s="168">
        <f t="shared" si="29"/>
        <v>3.25</v>
      </c>
      <c r="W117" s="168">
        <f>IF(ISERROR(Personalplanung!P13/Monatsplanung!$E13*Monatsplanung!$H13),0,Personalplanung!P13/Monatsplanung!$E13*Monatsplanung!$H13)</f>
        <v>0</v>
      </c>
      <c r="X117" s="168">
        <f>IF(ISERROR(Personalplanung!Q13/Monatsplanung!$E13*Monatsplanung!$H13),0,Personalplanung!Q13/Monatsplanung!$E13*Monatsplanung!$H13)</f>
        <v>0</v>
      </c>
      <c r="Y117" s="168">
        <f>IF(ISERROR(Personalplanung!R13/T1261*Stundencontrolling!T117),0,Personalplanung!R13/T1261*Stundencontrolling!T117)</f>
        <v>0</v>
      </c>
      <c r="Z117" s="168">
        <f>IF(ISERROR(Personalplanung!S13/Monatsplanung!$E13*Monatsplanung!$H13),0,Personalplanung!S13/Monatsplanung!$E13*Monatsplanung!$H13)</f>
        <v>0</v>
      </c>
      <c r="AA117" s="80">
        <f t="shared" si="30"/>
        <v>72000</v>
      </c>
      <c r="AB117" s="102">
        <f t="shared" si="31"/>
        <v>1</v>
      </c>
      <c r="AC117" s="103">
        <f t="shared" si="32"/>
        <v>72000</v>
      </c>
      <c r="AD117" s="103">
        <f t="shared" si="33"/>
        <v>0</v>
      </c>
      <c r="AE117" s="81">
        <f t="shared" si="34"/>
        <v>148</v>
      </c>
      <c r="AF117" s="539"/>
      <c r="AG117" s="104">
        <f t="shared" si="35"/>
        <v>1</v>
      </c>
      <c r="AH117" s="7">
        <f t="shared" si="36"/>
        <v>0</v>
      </c>
      <c r="AI117" s="6">
        <f t="shared" si="37"/>
        <v>148</v>
      </c>
      <c r="AJ117" s="73">
        <f t="shared" si="38"/>
        <v>486.48648648648651</v>
      </c>
      <c r="AK117" s="539"/>
      <c r="AL117" s="748"/>
      <c r="AM117" s="748"/>
    </row>
    <row r="118" spans="2:39" x14ac:dyDescent="0.2">
      <c r="B118" s="101" t="str">
        <f t="shared" si="23"/>
        <v>Thomas Fleißig</v>
      </c>
      <c r="C118" s="168">
        <f>IF(ISERROR(Personalplanung!F14/Monatsplanung!$E14*Monatsplanung!$H14),0,Personalplanung!F14/Monatsplanung!$E14*Monatsplanung!$H14)</f>
        <v>174</v>
      </c>
      <c r="D118" s="168">
        <f t="shared" si="24"/>
        <v>8</v>
      </c>
      <c r="E118" s="168">
        <f>IF(ISERROR(Personalplanung!H14/Monatsplanung!$E14*Monatsplanung!$H14),0,Personalplanung!H14/Monatsplanung!$E14*Monatsplanung!$H14)</f>
        <v>0</v>
      </c>
      <c r="F118" s="168">
        <f t="shared" si="25"/>
        <v>174</v>
      </c>
      <c r="G118" s="168">
        <f t="shared" si="26"/>
        <v>15.325670498084291</v>
      </c>
      <c r="H118" s="168">
        <f t="shared" si="27"/>
        <v>2666.6666666666665</v>
      </c>
      <c r="I118" s="168">
        <f t="shared" si="28"/>
        <v>26</v>
      </c>
      <c r="J118" s="739"/>
      <c r="K118" s="168">
        <f>IF(J118&lt;&gt;"",J118,IF(ISERROR(Personalplanung!AB14/Monatsplanung!$E14*Monatsplanung!$H14),0,Personalplanung!AB14/Monatsplanung!$E14*Monatsplanung!$H14))</f>
        <v>0.66666666666666663</v>
      </c>
      <c r="L118" s="740"/>
      <c r="M118" s="739"/>
      <c r="N118" s="168">
        <f>IF(M118&lt;&gt;"",M118,IF(ISERROR(Personalplanung!AC14/Monatsplanung!$E14*Monatsplanung!$H14),0,Personalplanung!AC14/Monatsplanung!$E14*Monatsplanung!$H14))</f>
        <v>0</v>
      </c>
      <c r="O118" s="740"/>
      <c r="P118" s="739"/>
      <c r="Q118" s="168">
        <f>IF(P118&lt;&gt;"",P118,IF(ISERROR(Personalplanung!AD14/Monatsplanung!$E14*Monatsplanung!$H14),0,Personalplanung!AD14/Monatsplanung!$E14*Monatsplanung!$H14))</f>
        <v>0.16666666666666666</v>
      </c>
      <c r="R118" s="740"/>
      <c r="S118" s="739"/>
      <c r="T118" s="168">
        <f>IF(S118&lt;&gt;"",S118,IF(ISERROR(Personalplanung!AE14/Monatsplanung!$E14*Monatsplanung!$H14),0,Personalplanung!AE14/Monatsplanung!$E14*Monatsplanung!$H14))</f>
        <v>2.1666666666666665</v>
      </c>
      <c r="U118" s="740"/>
      <c r="V118" s="168">
        <f t="shared" si="29"/>
        <v>3</v>
      </c>
      <c r="W118" s="168">
        <f>IF(ISERROR(Personalplanung!P14/Monatsplanung!$E14*Monatsplanung!$H14),0,Personalplanung!P14/Monatsplanung!$E14*Monatsplanung!$H14)</f>
        <v>0</v>
      </c>
      <c r="X118" s="168">
        <f>IF(ISERROR(Personalplanung!Q14/Monatsplanung!$E14*Monatsplanung!$H14),0,Personalplanung!Q14/Monatsplanung!$E14*Monatsplanung!$H14)</f>
        <v>166.66666666666666</v>
      </c>
      <c r="Y118" s="168">
        <f>IF(ISERROR(Personalplanung!R14/T1262*Stundencontrolling!T118),0,Personalplanung!R14/T1262*Stundencontrolling!T118)</f>
        <v>66.666666666666657</v>
      </c>
      <c r="Z118" s="168">
        <f>IF(ISERROR(Personalplanung!S14/Monatsplanung!$E14*Monatsplanung!$H14),0,Personalplanung!S14/Monatsplanung!$E14*Monatsplanung!$H14)</f>
        <v>50</v>
      </c>
      <c r="AA118" s="80">
        <f t="shared" si="30"/>
        <v>72283.333333333328</v>
      </c>
      <c r="AB118" s="102">
        <f t="shared" si="31"/>
        <v>1</v>
      </c>
      <c r="AC118" s="103">
        <f t="shared" si="32"/>
        <v>72283.333333333328</v>
      </c>
      <c r="AD118" s="103">
        <f t="shared" si="33"/>
        <v>0</v>
      </c>
      <c r="AE118" s="81">
        <f t="shared" si="34"/>
        <v>150</v>
      </c>
      <c r="AF118" s="539"/>
      <c r="AG118" s="104">
        <f t="shared" si="35"/>
        <v>1</v>
      </c>
      <c r="AH118" s="7">
        <f t="shared" si="36"/>
        <v>0</v>
      </c>
      <c r="AI118" s="6">
        <f t="shared" si="37"/>
        <v>150</v>
      </c>
      <c r="AJ118" s="73">
        <f t="shared" si="38"/>
        <v>481.88888888888886</v>
      </c>
      <c r="AK118" s="539"/>
      <c r="AL118" s="748"/>
      <c r="AM118" s="748"/>
    </row>
    <row r="119" spans="2:39" x14ac:dyDescent="0.2">
      <c r="B119" s="101" t="str">
        <f t="shared" si="23"/>
        <v>Facharbeiter</v>
      </c>
      <c r="C119" s="168">
        <f>IF(ISERROR(Personalplanung!F15/Monatsplanung!$E15*Monatsplanung!$H15),0,Personalplanung!F15/Monatsplanung!$E15*Monatsplanung!$H15)</f>
        <v>174</v>
      </c>
      <c r="D119" s="168">
        <f t="shared" si="24"/>
        <v>8</v>
      </c>
      <c r="E119" s="168">
        <f>IF(ISERROR(Personalplanung!H15/Monatsplanung!$E15*Monatsplanung!$H15),0,Personalplanung!H15/Monatsplanung!$E15*Monatsplanung!$H15)</f>
        <v>0</v>
      </c>
      <c r="F119" s="168">
        <f t="shared" si="25"/>
        <v>174</v>
      </c>
      <c r="G119" s="168">
        <f t="shared" si="26"/>
        <v>15.325670498084291</v>
      </c>
      <c r="H119" s="168">
        <f t="shared" si="27"/>
        <v>2666.6666666666665</v>
      </c>
      <c r="I119" s="168">
        <f t="shared" si="28"/>
        <v>26</v>
      </c>
      <c r="J119" s="739"/>
      <c r="K119" s="168">
        <f>IF(J119&lt;&gt;"",J119,IF(ISERROR(Personalplanung!AB15/Monatsplanung!$E15*Monatsplanung!$H15),0,Personalplanung!AB15/Monatsplanung!$E15*Monatsplanung!$H15))</f>
        <v>0.66666666666666663</v>
      </c>
      <c r="L119" s="740"/>
      <c r="M119" s="739"/>
      <c r="N119" s="168">
        <f>IF(M119&lt;&gt;"",M119,IF(ISERROR(Personalplanung!AC15/Monatsplanung!$E15*Monatsplanung!$H15),0,Personalplanung!AC15/Monatsplanung!$E15*Monatsplanung!$H15))</f>
        <v>0.16666666666666666</v>
      </c>
      <c r="O119" s="740"/>
      <c r="P119" s="739"/>
      <c r="Q119" s="168">
        <f>IF(P119&lt;&gt;"",P119,IF(ISERROR(Personalplanung!AD15/Monatsplanung!$E15*Monatsplanung!$H15),0,Personalplanung!AD15/Monatsplanung!$E15*Monatsplanung!$H15))</f>
        <v>0.41666666666666669</v>
      </c>
      <c r="R119" s="740"/>
      <c r="S119" s="739"/>
      <c r="T119" s="168">
        <f>IF(S119&lt;&gt;"",S119,IF(ISERROR(Personalplanung!AE15/Monatsplanung!$E15*Monatsplanung!$H15),0,Personalplanung!AE15/Monatsplanung!$E15*Monatsplanung!$H15))</f>
        <v>2.1666666666666665</v>
      </c>
      <c r="U119" s="740"/>
      <c r="V119" s="168">
        <f t="shared" si="29"/>
        <v>3.4166666666666665</v>
      </c>
      <c r="W119" s="168">
        <f>IF(ISERROR(Personalplanung!P15/Monatsplanung!$E15*Monatsplanung!$H15),0,Personalplanung!P15/Monatsplanung!$E15*Monatsplanung!$H15)</f>
        <v>0</v>
      </c>
      <c r="X119" s="168">
        <f>IF(ISERROR(Personalplanung!Q15/Monatsplanung!$E15*Monatsplanung!$H15),0,Personalplanung!Q15/Monatsplanung!$E15*Monatsplanung!$H15)</f>
        <v>0</v>
      </c>
      <c r="Y119" s="168">
        <f>IF(ISERROR(Personalplanung!R15/T1263*Stundencontrolling!T119),0,Personalplanung!R15/T1263*Stundencontrolling!T119)</f>
        <v>0</v>
      </c>
      <c r="Z119" s="168">
        <f>IF(ISERROR(Personalplanung!S15/Monatsplanung!$E15*Monatsplanung!$H15),0,Personalplanung!S15/Monatsplanung!$E15*Monatsplanung!$H15)</f>
        <v>0</v>
      </c>
      <c r="AA119" s="80">
        <f t="shared" si="30"/>
        <v>72000</v>
      </c>
      <c r="AB119" s="102">
        <f t="shared" si="31"/>
        <v>1</v>
      </c>
      <c r="AC119" s="103">
        <f t="shared" si="32"/>
        <v>72000</v>
      </c>
      <c r="AD119" s="103">
        <f t="shared" si="33"/>
        <v>0</v>
      </c>
      <c r="AE119" s="81">
        <f t="shared" si="34"/>
        <v>146.66666666666666</v>
      </c>
      <c r="AF119" s="539"/>
      <c r="AG119" s="104">
        <f t="shared" si="35"/>
        <v>1</v>
      </c>
      <c r="AH119" s="7">
        <f t="shared" si="36"/>
        <v>0</v>
      </c>
      <c r="AI119" s="6">
        <f t="shared" si="37"/>
        <v>146.66666666666666</v>
      </c>
      <c r="AJ119" s="73">
        <f t="shared" si="38"/>
        <v>490.90909090909093</v>
      </c>
      <c r="AK119" s="539"/>
      <c r="AL119" s="748"/>
      <c r="AM119" s="748"/>
    </row>
    <row r="120" spans="2:39" x14ac:dyDescent="0.2">
      <c r="B120" s="101" t="str">
        <f t="shared" si="23"/>
        <v>Abgänger</v>
      </c>
      <c r="C120" s="168">
        <f>IF(ISERROR(Personalplanung!F16/Monatsplanung!$E16*Monatsplanung!$H16),0,Personalplanung!F16/Monatsplanung!$E16*Monatsplanung!$H16)</f>
        <v>174</v>
      </c>
      <c r="D120" s="168">
        <f t="shared" si="24"/>
        <v>8</v>
      </c>
      <c r="E120" s="168">
        <f>IF(ISERROR(Personalplanung!H16/Monatsplanung!$E16*Monatsplanung!$H16),0,Personalplanung!H16/Monatsplanung!$E16*Monatsplanung!$H16)</f>
        <v>0</v>
      </c>
      <c r="F120" s="168">
        <f t="shared" si="25"/>
        <v>174</v>
      </c>
      <c r="G120" s="168">
        <f t="shared" si="26"/>
        <v>36.781609195402297</v>
      </c>
      <c r="H120" s="168">
        <f t="shared" si="27"/>
        <v>6400</v>
      </c>
      <c r="I120" s="168">
        <f t="shared" si="28"/>
        <v>26</v>
      </c>
      <c r="J120" s="739"/>
      <c r="K120" s="168">
        <f>IF(J120&lt;&gt;"",J120,IF(ISERROR(Personalplanung!AB16/Monatsplanung!$E16*Monatsplanung!$H16),0,Personalplanung!AB16/Monatsplanung!$E16*Monatsplanung!$H16))</f>
        <v>1.6</v>
      </c>
      <c r="L120" s="740"/>
      <c r="M120" s="739"/>
      <c r="N120" s="168">
        <f>IF(M120&lt;&gt;"",M120,IF(ISERROR(Personalplanung!AC16/Monatsplanung!$E16*Monatsplanung!$H16),0,Personalplanung!AC16/Monatsplanung!$E16*Monatsplanung!$H16))</f>
        <v>0</v>
      </c>
      <c r="O120" s="740"/>
      <c r="P120" s="739"/>
      <c r="Q120" s="168">
        <f>IF(P120&lt;&gt;"",P120,IF(ISERROR(Personalplanung!AD16/Monatsplanung!$E16*Monatsplanung!$H16),0,Personalplanung!AD16/Monatsplanung!$E16*Monatsplanung!$H16))</f>
        <v>0.8</v>
      </c>
      <c r="R120" s="740"/>
      <c r="S120" s="739"/>
      <c r="T120" s="168">
        <f>IF(S120&lt;&gt;"",S120,IF(ISERROR(Personalplanung!AE16/Monatsplanung!$E16*Monatsplanung!$H16),0,Personalplanung!AE16/Monatsplanung!$E16*Monatsplanung!$H16))</f>
        <v>5.2</v>
      </c>
      <c r="U120" s="740"/>
      <c r="V120" s="168">
        <f t="shared" si="29"/>
        <v>7.6000000000000005</v>
      </c>
      <c r="W120" s="168">
        <f>IF(ISERROR(Personalplanung!P16/Monatsplanung!$E16*Monatsplanung!$H16),0,Personalplanung!P16/Monatsplanung!$E16*Monatsplanung!$H16)</f>
        <v>0</v>
      </c>
      <c r="X120" s="168">
        <f>IF(ISERROR(Personalplanung!Q16/Monatsplanung!$E16*Monatsplanung!$H16),0,Personalplanung!Q16/Monatsplanung!$E16*Monatsplanung!$H16)</f>
        <v>0</v>
      </c>
      <c r="Y120" s="168">
        <f>IF(ISERROR(Personalplanung!R16/T1264*Stundencontrolling!T120),0,Personalplanung!R16/T1264*Stundencontrolling!T120)</f>
        <v>0</v>
      </c>
      <c r="Z120" s="168">
        <f>IF(ISERROR(Personalplanung!S16/Monatsplanung!$E16*Monatsplanung!$H16),0,Personalplanung!S16/Monatsplanung!$E16*Monatsplanung!$H16)</f>
        <v>0</v>
      </c>
      <c r="AA120" s="80">
        <f t="shared" si="30"/>
        <v>172800</v>
      </c>
      <c r="AB120" s="102">
        <f t="shared" si="31"/>
        <v>1</v>
      </c>
      <c r="AC120" s="103">
        <f t="shared" si="32"/>
        <v>172800</v>
      </c>
      <c r="AD120" s="103">
        <f t="shared" si="33"/>
        <v>0</v>
      </c>
      <c r="AE120" s="81">
        <f t="shared" si="34"/>
        <v>113.19999999999999</v>
      </c>
      <c r="AF120" s="539"/>
      <c r="AG120" s="104">
        <f t="shared" si="35"/>
        <v>1</v>
      </c>
      <c r="AH120" s="7">
        <f t="shared" si="36"/>
        <v>0</v>
      </c>
      <c r="AI120" s="6">
        <f t="shared" si="37"/>
        <v>113.19999999999999</v>
      </c>
      <c r="AJ120" s="73">
        <f t="shared" si="38"/>
        <v>1526.5017667844525</v>
      </c>
      <c r="AK120" s="539"/>
      <c r="AL120" s="748"/>
      <c r="AM120" s="748"/>
    </row>
    <row r="121" spans="2:39" x14ac:dyDescent="0.2">
      <c r="B121" s="101" t="str">
        <f t="shared" si="23"/>
        <v>Facharbeiter</v>
      </c>
      <c r="C121" s="168">
        <f>IF(ISERROR(Personalplanung!F17/Monatsplanung!$E17*Monatsplanung!$H17),0,Personalplanung!F17/Monatsplanung!$E17*Monatsplanung!$H17)</f>
        <v>174</v>
      </c>
      <c r="D121" s="168">
        <f t="shared" si="24"/>
        <v>8</v>
      </c>
      <c r="E121" s="168">
        <f>IF(ISERROR(Personalplanung!H17/Monatsplanung!$E17*Monatsplanung!$H17),0,Personalplanung!H17/Monatsplanung!$E17*Monatsplanung!$H17)</f>
        <v>0</v>
      </c>
      <c r="F121" s="168">
        <f t="shared" si="25"/>
        <v>174</v>
      </c>
      <c r="G121" s="168">
        <f t="shared" si="26"/>
        <v>15.804597701149426</v>
      </c>
      <c r="H121" s="168">
        <f t="shared" si="27"/>
        <v>2750</v>
      </c>
      <c r="I121" s="168">
        <f t="shared" si="28"/>
        <v>26</v>
      </c>
      <c r="J121" s="739"/>
      <c r="K121" s="168">
        <f>IF(J121&lt;&gt;"",J121,IF(ISERROR(Personalplanung!AB17/Monatsplanung!$E17*Monatsplanung!$H17),0,Personalplanung!AB17/Monatsplanung!$E17*Monatsplanung!$H17))</f>
        <v>0.66666666666666663</v>
      </c>
      <c r="L121" s="740"/>
      <c r="M121" s="739"/>
      <c r="N121" s="168">
        <f>IF(M121&lt;&gt;"",M121,IF(ISERROR(Personalplanung!AC17/Monatsplanung!$E17*Monatsplanung!$H17),0,Personalplanung!AC17/Monatsplanung!$E17*Monatsplanung!$H17))</f>
        <v>0</v>
      </c>
      <c r="O121" s="740"/>
      <c r="P121" s="739"/>
      <c r="Q121" s="168">
        <f>IF(P121&lt;&gt;"",P121,IF(ISERROR(Personalplanung!AD17/Monatsplanung!$E17*Monatsplanung!$H17),0,Personalplanung!AD17/Monatsplanung!$E17*Monatsplanung!$H17))</f>
        <v>0.16666666666666666</v>
      </c>
      <c r="R121" s="740"/>
      <c r="S121" s="739"/>
      <c r="T121" s="168">
        <f>IF(S121&lt;&gt;"",S121,IF(ISERROR(Personalplanung!AE17/Monatsplanung!$E17*Monatsplanung!$H17),0,Personalplanung!AE17/Monatsplanung!$E17*Monatsplanung!$H17))</f>
        <v>2.1666666666666665</v>
      </c>
      <c r="U121" s="740"/>
      <c r="V121" s="168">
        <f t="shared" si="29"/>
        <v>3</v>
      </c>
      <c r="W121" s="168">
        <f>IF(ISERROR(Personalplanung!P17/Monatsplanung!$E17*Monatsplanung!$H17),0,Personalplanung!P17/Monatsplanung!$E17*Monatsplanung!$H17)</f>
        <v>0</v>
      </c>
      <c r="X121" s="168">
        <f>IF(ISERROR(Personalplanung!Q17/Monatsplanung!$E17*Monatsplanung!$H17),0,Personalplanung!Q17/Monatsplanung!$E17*Monatsplanung!$H17)</f>
        <v>0</v>
      </c>
      <c r="Y121" s="168">
        <f>IF(ISERROR(Personalplanung!R17/T1265*Stundencontrolling!T121),0,Personalplanung!R17/T1265*Stundencontrolling!T121)</f>
        <v>0</v>
      </c>
      <c r="Z121" s="168">
        <f>IF(ISERROR(Personalplanung!S17/Monatsplanung!$E17*Monatsplanung!$H17),0,Personalplanung!S17/Monatsplanung!$E17*Monatsplanung!$H17)</f>
        <v>0</v>
      </c>
      <c r="AA121" s="80">
        <f t="shared" si="30"/>
        <v>74250</v>
      </c>
      <c r="AB121" s="102">
        <f t="shared" si="31"/>
        <v>1</v>
      </c>
      <c r="AC121" s="103">
        <f t="shared" si="32"/>
        <v>74250</v>
      </c>
      <c r="AD121" s="103">
        <f t="shared" si="33"/>
        <v>0</v>
      </c>
      <c r="AE121" s="81">
        <f t="shared" si="34"/>
        <v>150</v>
      </c>
      <c r="AF121" s="539"/>
      <c r="AG121" s="104">
        <f t="shared" si="35"/>
        <v>1</v>
      </c>
      <c r="AH121" s="7">
        <f t="shared" si="36"/>
        <v>0</v>
      </c>
      <c r="AI121" s="6">
        <f t="shared" si="37"/>
        <v>150</v>
      </c>
      <c r="AJ121" s="73">
        <f t="shared" si="38"/>
        <v>495</v>
      </c>
      <c r="AK121" s="539"/>
      <c r="AL121" s="748"/>
      <c r="AM121" s="748"/>
    </row>
    <row r="122" spans="2:39" x14ac:dyDescent="0.2">
      <c r="B122" s="101" t="str">
        <f t="shared" si="23"/>
        <v>Facharbeiter</v>
      </c>
      <c r="C122" s="168">
        <f>IF(ISERROR(Personalplanung!F18/Monatsplanung!$E18*Monatsplanung!$H18),0,Personalplanung!F18/Monatsplanung!$E18*Monatsplanung!$H18)</f>
        <v>174</v>
      </c>
      <c r="D122" s="168">
        <f t="shared" si="24"/>
        <v>8</v>
      </c>
      <c r="E122" s="168">
        <f>IF(ISERROR(Personalplanung!H18/Monatsplanung!$E18*Monatsplanung!$H18),0,Personalplanung!H18/Monatsplanung!$E18*Monatsplanung!$H18)</f>
        <v>0</v>
      </c>
      <c r="F122" s="168">
        <f t="shared" si="25"/>
        <v>174</v>
      </c>
      <c r="G122" s="168">
        <f t="shared" si="26"/>
        <v>16.283524904214559</v>
      </c>
      <c r="H122" s="168">
        <f t="shared" si="27"/>
        <v>2833.3333333333335</v>
      </c>
      <c r="I122" s="168">
        <f t="shared" si="28"/>
        <v>26</v>
      </c>
      <c r="J122" s="739"/>
      <c r="K122" s="168">
        <f>IF(J122&lt;&gt;"",J122,IF(ISERROR(Personalplanung!AB18/Monatsplanung!$E18*Monatsplanung!$H18),0,Personalplanung!AB18/Monatsplanung!$E18*Monatsplanung!$H18))</f>
        <v>0.66666666666666663</v>
      </c>
      <c r="L122" s="740"/>
      <c r="M122" s="739"/>
      <c r="N122" s="168">
        <f>IF(M122&lt;&gt;"",M122,IF(ISERROR(Personalplanung!AC18/Monatsplanung!$E18*Monatsplanung!$H18),0,Personalplanung!AC18/Monatsplanung!$E18*Monatsplanung!$H18))</f>
        <v>0.33333333333333331</v>
      </c>
      <c r="O122" s="740"/>
      <c r="P122" s="739"/>
      <c r="Q122" s="168">
        <f>IF(P122&lt;&gt;"",P122,IF(ISERROR(Personalplanung!AD18/Monatsplanung!$E18*Monatsplanung!$H18),0,Personalplanung!AD18/Monatsplanung!$E18*Monatsplanung!$H18))</f>
        <v>0.16666666666666666</v>
      </c>
      <c r="R122" s="740"/>
      <c r="S122" s="739"/>
      <c r="T122" s="168">
        <f>IF(S122&lt;&gt;"",S122,IF(ISERROR(Personalplanung!AE18/Monatsplanung!$E18*Monatsplanung!$H18),0,Personalplanung!AE18/Monatsplanung!$E18*Monatsplanung!$H18))</f>
        <v>2.1666666666666665</v>
      </c>
      <c r="U122" s="740"/>
      <c r="V122" s="168">
        <f t="shared" si="29"/>
        <v>3.333333333333333</v>
      </c>
      <c r="W122" s="168">
        <f>IF(ISERROR(Personalplanung!P18/Monatsplanung!$E18*Monatsplanung!$H18),0,Personalplanung!P18/Monatsplanung!$E18*Monatsplanung!$H18)</f>
        <v>0</v>
      </c>
      <c r="X122" s="168">
        <f>IF(ISERROR(Personalplanung!Q18/Monatsplanung!$E18*Monatsplanung!$H18),0,Personalplanung!Q18/Monatsplanung!$E18*Monatsplanung!$H18)</f>
        <v>0</v>
      </c>
      <c r="Y122" s="168">
        <f>IF(ISERROR(Personalplanung!R18/T1266*Stundencontrolling!T122),0,Personalplanung!R18/T1266*Stundencontrolling!T122)</f>
        <v>0</v>
      </c>
      <c r="Z122" s="168">
        <f>IF(ISERROR(Personalplanung!S18/Monatsplanung!$E18*Monatsplanung!$H18),0,Personalplanung!S18/Monatsplanung!$E18*Monatsplanung!$H18)</f>
        <v>0</v>
      </c>
      <c r="AA122" s="80">
        <f t="shared" si="30"/>
        <v>76500</v>
      </c>
      <c r="AB122" s="102">
        <f t="shared" si="31"/>
        <v>1</v>
      </c>
      <c r="AC122" s="103">
        <f t="shared" si="32"/>
        <v>76500</v>
      </c>
      <c r="AD122" s="103">
        <f t="shared" si="33"/>
        <v>0</v>
      </c>
      <c r="AE122" s="81">
        <f t="shared" si="34"/>
        <v>147.33333333333334</v>
      </c>
      <c r="AF122" s="539"/>
      <c r="AG122" s="104">
        <f t="shared" si="35"/>
        <v>1</v>
      </c>
      <c r="AH122" s="7">
        <f t="shared" si="36"/>
        <v>0</v>
      </c>
      <c r="AI122" s="6">
        <f t="shared" si="37"/>
        <v>147.33333333333334</v>
      </c>
      <c r="AJ122" s="73">
        <f t="shared" si="38"/>
        <v>519.23076923076917</v>
      </c>
      <c r="AK122" s="539"/>
      <c r="AL122" s="748"/>
      <c r="AM122" s="748"/>
    </row>
    <row r="123" spans="2:39" x14ac:dyDescent="0.2">
      <c r="B123" s="101" t="str">
        <f t="shared" si="23"/>
        <v>Elternzeit Geselle</v>
      </c>
      <c r="C123" s="168">
        <f>IF(ISERROR(Personalplanung!F19/Monatsplanung!$E19*Monatsplanung!$H19),0,Personalplanung!F19/Monatsplanung!$E19*Monatsplanung!$H19)</f>
        <v>0</v>
      </c>
      <c r="D123" s="168">
        <f t="shared" si="24"/>
        <v>6</v>
      </c>
      <c r="E123" s="168">
        <f>IF(ISERROR(Personalplanung!H19/Monatsplanung!$E19*Monatsplanung!$H19),0,Personalplanung!H19/Monatsplanung!$E19*Monatsplanung!$H19)</f>
        <v>0</v>
      </c>
      <c r="F123" s="168">
        <f t="shared" si="25"/>
        <v>0</v>
      </c>
      <c r="G123" s="168">
        <f t="shared" si="26"/>
        <v>21.551724137931036</v>
      </c>
      <c r="H123" s="168">
        <f t="shared" si="27"/>
        <v>0</v>
      </c>
      <c r="I123" s="168">
        <f t="shared" si="28"/>
        <v>26</v>
      </c>
      <c r="J123" s="739"/>
      <c r="K123" s="168">
        <f>IF(J123&lt;&gt;"",J123,IF(ISERROR(Personalplanung!AB19/Monatsplanung!$E19*Monatsplanung!$H19),0,Personalplanung!AB19/Monatsplanung!$E19*Monatsplanung!$H19))</f>
        <v>0</v>
      </c>
      <c r="L123" s="740"/>
      <c r="M123" s="739"/>
      <c r="N123" s="168">
        <f>IF(M123&lt;&gt;"",M123,IF(ISERROR(Personalplanung!AC19/Monatsplanung!$E19*Monatsplanung!$H19),0,Personalplanung!AC19/Monatsplanung!$E19*Monatsplanung!$H19))</f>
        <v>0</v>
      </c>
      <c r="O123" s="740"/>
      <c r="P123" s="739"/>
      <c r="Q123" s="168">
        <f>IF(P123&lt;&gt;"",P123,IF(ISERROR(Personalplanung!AD19/Monatsplanung!$E19*Monatsplanung!$H19),0,Personalplanung!AD19/Monatsplanung!$E19*Monatsplanung!$H19))</f>
        <v>0</v>
      </c>
      <c r="R123" s="740"/>
      <c r="S123" s="739"/>
      <c r="T123" s="168">
        <f>IF(S123&lt;&gt;"",S123,IF(ISERROR(Personalplanung!AE19/Monatsplanung!$E19*Monatsplanung!$H19),0,Personalplanung!AE19/Monatsplanung!$E19*Monatsplanung!$H19))</f>
        <v>0</v>
      </c>
      <c r="U123" s="740"/>
      <c r="V123" s="168">
        <f t="shared" si="29"/>
        <v>0</v>
      </c>
      <c r="W123" s="168">
        <f>IF(ISERROR(Personalplanung!P19/Monatsplanung!$E19*Monatsplanung!$H19),0,Personalplanung!P19/Monatsplanung!$E19*Monatsplanung!$H19)</f>
        <v>0</v>
      </c>
      <c r="X123" s="168">
        <f>IF(ISERROR(Personalplanung!Q19/Monatsplanung!$E19*Monatsplanung!$H19),0,Personalplanung!Q19/Monatsplanung!$E19*Monatsplanung!$H19)</f>
        <v>0</v>
      </c>
      <c r="Y123" s="168">
        <f>IF(ISERROR(Personalplanung!R19/T1267*Stundencontrolling!T123),0,Personalplanung!R19/T1267*Stundencontrolling!T123)</f>
        <v>0</v>
      </c>
      <c r="Z123" s="168">
        <f>IF(ISERROR(Personalplanung!S19/Monatsplanung!$E19*Monatsplanung!$H19),0,Personalplanung!S19/Monatsplanung!$E19*Monatsplanung!$H19)</f>
        <v>0</v>
      </c>
      <c r="AA123" s="80">
        <f t="shared" si="30"/>
        <v>0</v>
      </c>
      <c r="AB123" s="102">
        <f t="shared" si="31"/>
        <v>1</v>
      </c>
      <c r="AC123" s="103">
        <f t="shared" si="32"/>
        <v>0</v>
      </c>
      <c r="AD123" s="103">
        <f t="shared" si="33"/>
        <v>0</v>
      </c>
      <c r="AE123" s="81">
        <f t="shared" si="34"/>
        <v>0</v>
      </c>
      <c r="AF123" s="539"/>
      <c r="AG123" s="104">
        <f t="shared" si="35"/>
        <v>1</v>
      </c>
      <c r="AH123" s="7">
        <f t="shared" si="36"/>
        <v>0</v>
      </c>
      <c r="AI123" s="6">
        <f t="shared" si="37"/>
        <v>0</v>
      </c>
      <c r="AJ123" s="73">
        <f t="shared" si="38"/>
        <v>0</v>
      </c>
      <c r="AK123" s="539"/>
      <c r="AL123" s="748"/>
      <c r="AM123" s="748"/>
    </row>
    <row r="124" spans="2:39" x14ac:dyDescent="0.2">
      <c r="B124" s="101" t="str">
        <f t="shared" si="23"/>
        <v>A. Zubi</v>
      </c>
      <c r="C124" s="168">
        <f>IF(ISERROR(Personalplanung!F20/Monatsplanung!$E20*Monatsplanung!$H20),0,Personalplanung!F20/Monatsplanung!$E20*Monatsplanung!$H20)</f>
        <v>174</v>
      </c>
      <c r="D124" s="168">
        <f t="shared" si="24"/>
        <v>8</v>
      </c>
      <c r="E124" s="168">
        <f>IF(ISERROR(Personalplanung!H20/Monatsplanung!$E20*Monatsplanung!$H20),0,Personalplanung!H20/Monatsplanung!$E20*Monatsplanung!$H20)</f>
        <v>0</v>
      </c>
      <c r="F124" s="168">
        <f t="shared" si="25"/>
        <v>174</v>
      </c>
      <c r="G124" s="168">
        <f t="shared" si="26"/>
        <v>5.7471264367816088</v>
      </c>
      <c r="H124" s="168">
        <f t="shared" si="27"/>
        <v>999.99999999999989</v>
      </c>
      <c r="I124" s="168">
        <f t="shared" si="28"/>
        <v>20</v>
      </c>
      <c r="J124" s="739"/>
      <c r="K124" s="168">
        <f>IF(J124&lt;&gt;"",J124,IF(ISERROR(Personalplanung!AB20/Monatsplanung!$E20*Monatsplanung!$H20),0,Personalplanung!AB20/Monatsplanung!$E20*Monatsplanung!$H20))</f>
        <v>0.66666666666666663</v>
      </c>
      <c r="L124" s="740"/>
      <c r="M124" s="739"/>
      <c r="N124" s="168">
        <f>IF(M124&lt;&gt;"",M124,IF(ISERROR(Personalplanung!AC20/Monatsplanung!$E20*Monatsplanung!$H20),0,Personalplanung!AC20/Monatsplanung!$E20*Monatsplanung!$H20))</f>
        <v>0.25</v>
      </c>
      <c r="O124" s="740"/>
      <c r="P124" s="739"/>
      <c r="Q124" s="168">
        <f>IF(P124&lt;&gt;"",P124,IF(ISERROR(Personalplanung!AD20/Monatsplanung!$E20*Monatsplanung!$H20),0,Personalplanung!AD20/Monatsplanung!$E20*Monatsplanung!$H20))</f>
        <v>0.16666666666666666</v>
      </c>
      <c r="R124" s="740"/>
      <c r="S124" s="739"/>
      <c r="T124" s="168">
        <f>IF(S124&lt;&gt;"",S124,IF(ISERROR(Personalplanung!AE20/Monatsplanung!$E20*Monatsplanung!$H20),0,Personalplanung!AE20/Monatsplanung!$E20*Monatsplanung!$H20))</f>
        <v>2.1666666666666665</v>
      </c>
      <c r="U124" s="740"/>
      <c r="V124" s="168">
        <f t="shared" si="29"/>
        <v>3.25</v>
      </c>
      <c r="W124" s="168">
        <f>IF(ISERROR(Personalplanung!P20/Monatsplanung!$E20*Monatsplanung!$H20),0,Personalplanung!P20/Monatsplanung!$E20*Monatsplanung!$H20)</f>
        <v>0</v>
      </c>
      <c r="X124" s="168">
        <f>IF(ISERROR(Personalplanung!Q20/Monatsplanung!$E20*Monatsplanung!$H20),0,Personalplanung!Q20/Monatsplanung!$E20*Monatsplanung!$H20)</f>
        <v>0</v>
      </c>
      <c r="Y124" s="168">
        <f>IF(ISERROR(Personalplanung!R20/T1268*Stundencontrolling!T124),0,Personalplanung!R20/T1268*Stundencontrolling!T124)</f>
        <v>0</v>
      </c>
      <c r="Z124" s="168">
        <f>IF(ISERROR(Personalplanung!S20/Monatsplanung!$E20*Monatsplanung!$H20),0,Personalplanung!S20/Monatsplanung!$E20*Monatsplanung!$H20)</f>
        <v>0</v>
      </c>
      <c r="AA124" s="80">
        <f t="shared" si="30"/>
        <v>20999.999999999996</v>
      </c>
      <c r="AB124" s="102">
        <f t="shared" si="31"/>
        <v>1</v>
      </c>
      <c r="AC124" s="103">
        <f t="shared" si="32"/>
        <v>20999.999999999996</v>
      </c>
      <c r="AD124" s="103">
        <f t="shared" si="33"/>
        <v>0</v>
      </c>
      <c r="AE124" s="81">
        <f t="shared" si="34"/>
        <v>148</v>
      </c>
      <c r="AF124" s="539"/>
      <c r="AG124" s="104">
        <f t="shared" si="35"/>
        <v>0.4</v>
      </c>
      <c r="AH124" s="7">
        <f t="shared" si="36"/>
        <v>0</v>
      </c>
      <c r="AI124" s="6">
        <f t="shared" si="37"/>
        <v>59.2</v>
      </c>
      <c r="AJ124" s="73">
        <f t="shared" si="38"/>
        <v>354.72972972972963</v>
      </c>
      <c r="AK124" s="539"/>
      <c r="AL124" s="748"/>
      <c r="AM124" s="748"/>
    </row>
    <row r="125" spans="2:39" x14ac:dyDescent="0.2">
      <c r="B125" s="101" t="str">
        <f t="shared" si="23"/>
        <v>Zur Ausbildung</v>
      </c>
      <c r="C125" s="168">
        <f>IF(ISERROR(Personalplanung!F21/Monatsplanung!$E21*Monatsplanung!$H21),0,Personalplanung!F21/Monatsplanung!$E21*Monatsplanung!$H21)</f>
        <v>0</v>
      </c>
      <c r="D125" s="168">
        <f t="shared" si="24"/>
        <v>8</v>
      </c>
      <c r="E125" s="168">
        <f>IF(ISERROR(Personalplanung!H21/Monatsplanung!$E21*Monatsplanung!$H21),0,Personalplanung!H21/Monatsplanung!$E21*Monatsplanung!$H21)</f>
        <v>0</v>
      </c>
      <c r="F125" s="168">
        <f t="shared" si="25"/>
        <v>0</v>
      </c>
      <c r="G125" s="168">
        <f t="shared" si="26"/>
        <v>12.64367816091954</v>
      </c>
      <c r="H125" s="168">
        <f t="shared" si="27"/>
        <v>0</v>
      </c>
      <c r="I125" s="168">
        <f t="shared" si="28"/>
        <v>20</v>
      </c>
      <c r="J125" s="739"/>
      <c r="K125" s="168">
        <f>IF(J125&lt;&gt;"",J125,IF(ISERROR(Personalplanung!AB21/Monatsplanung!$E21*Monatsplanung!$H21),0,Personalplanung!AB21/Monatsplanung!$E21*Monatsplanung!$H21))</f>
        <v>0</v>
      </c>
      <c r="L125" s="740"/>
      <c r="M125" s="739"/>
      <c r="N125" s="168">
        <f>IF(M125&lt;&gt;"",M125,IF(ISERROR(Personalplanung!AC21/Monatsplanung!$E21*Monatsplanung!$H21),0,Personalplanung!AC21/Monatsplanung!$E21*Monatsplanung!$H21))</f>
        <v>0</v>
      </c>
      <c r="O125" s="740"/>
      <c r="P125" s="739"/>
      <c r="Q125" s="168">
        <f>IF(P125&lt;&gt;"",P125,IF(ISERROR(Personalplanung!AD21/Monatsplanung!$E21*Monatsplanung!$H21),0,Personalplanung!AD21/Monatsplanung!$E21*Monatsplanung!$H21))</f>
        <v>0</v>
      </c>
      <c r="R125" s="740"/>
      <c r="S125" s="739"/>
      <c r="T125" s="168">
        <f>IF(S125&lt;&gt;"",S125,IF(ISERROR(Personalplanung!AE21/Monatsplanung!$E21*Monatsplanung!$H21),0,Personalplanung!AE21/Monatsplanung!$E21*Monatsplanung!$H21))</f>
        <v>0</v>
      </c>
      <c r="U125" s="740"/>
      <c r="V125" s="168">
        <f t="shared" si="29"/>
        <v>0</v>
      </c>
      <c r="W125" s="168">
        <f>IF(ISERROR(Personalplanung!P21/Monatsplanung!$E21*Monatsplanung!$H21),0,Personalplanung!P21/Monatsplanung!$E21*Monatsplanung!$H21)</f>
        <v>0</v>
      </c>
      <c r="X125" s="168">
        <f>IF(ISERROR(Personalplanung!Q21/Monatsplanung!$E21*Monatsplanung!$H21),0,Personalplanung!Q21/Monatsplanung!$E21*Monatsplanung!$H21)</f>
        <v>0</v>
      </c>
      <c r="Y125" s="168">
        <f>IF(ISERROR(Personalplanung!R21/T1269*Stundencontrolling!T125),0,Personalplanung!R21/T1269*Stundencontrolling!T125)</f>
        <v>0</v>
      </c>
      <c r="Z125" s="168">
        <f>IF(ISERROR(Personalplanung!S21/Monatsplanung!$E21*Monatsplanung!$H21),0,Personalplanung!S21/Monatsplanung!$E21*Monatsplanung!$H21)</f>
        <v>0</v>
      </c>
      <c r="AA125" s="80">
        <f t="shared" si="30"/>
        <v>0</v>
      </c>
      <c r="AB125" s="102">
        <f t="shared" si="31"/>
        <v>1</v>
      </c>
      <c r="AC125" s="103">
        <f t="shared" si="32"/>
        <v>0</v>
      </c>
      <c r="AD125" s="103">
        <f t="shared" si="33"/>
        <v>0</v>
      </c>
      <c r="AE125" s="81">
        <f t="shared" si="34"/>
        <v>0</v>
      </c>
      <c r="AF125" s="539"/>
      <c r="AG125" s="104">
        <f t="shared" si="35"/>
        <v>0.2</v>
      </c>
      <c r="AH125" s="7">
        <f t="shared" si="36"/>
        <v>0</v>
      </c>
      <c r="AI125" s="6">
        <f t="shared" si="37"/>
        <v>0</v>
      </c>
      <c r="AJ125" s="73">
        <f t="shared" si="38"/>
        <v>0</v>
      </c>
      <c r="AK125" s="539"/>
      <c r="AL125" s="748"/>
      <c r="AM125" s="748"/>
    </row>
    <row r="126" spans="2:39" x14ac:dyDescent="0.2">
      <c r="B126" s="101" t="str">
        <f t="shared" si="23"/>
        <v>Reine Putze</v>
      </c>
      <c r="C126" s="168">
        <f>IF(ISERROR(Personalplanung!F22/Monatsplanung!$E22*Monatsplanung!$H22),0,Personalplanung!F22/Monatsplanung!$E22*Monatsplanung!$H22)</f>
        <v>52.199999999999996</v>
      </c>
      <c r="D126" s="168">
        <f t="shared" si="24"/>
        <v>2.4</v>
      </c>
      <c r="E126" s="168">
        <f>IF(ISERROR(Personalplanung!H22/Monatsplanung!$E22*Monatsplanung!$H22),0,Personalplanung!H22/Monatsplanung!$E22*Monatsplanung!$H22)</f>
        <v>0</v>
      </c>
      <c r="F126" s="168">
        <f t="shared" si="25"/>
        <v>52.199999999999996</v>
      </c>
      <c r="G126" s="168">
        <f t="shared" si="26"/>
        <v>9.9936143039591325</v>
      </c>
      <c r="H126" s="168">
        <f t="shared" si="27"/>
        <v>521.66666666666663</v>
      </c>
      <c r="I126" s="168">
        <f t="shared" si="28"/>
        <v>18</v>
      </c>
      <c r="J126" s="739"/>
      <c r="K126" s="168">
        <f>IF(J126&lt;&gt;"",J126,IF(ISERROR(Personalplanung!AB22/Monatsplanung!$E22*Monatsplanung!$H22),0,Personalplanung!AB22/Monatsplanung!$E22*Monatsplanung!$H22))</f>
        <v>0.25</v>
      </c>
      <c r="L126" s="740"/>
      <c r="M126" s="739"/>
      <c r="N126" s="168">
        <f>IF(M126&lt;&gt;"",M126,IF(ISERROR(Personalplanung!AC22/Monatsplanung!$E22*Monatsplanung!$H22),0,Personalplanung!AC22/Monatsplanung!$E22*Monatsplanung!$H22))</f>
        <v>0</v>
      </c>
      <c r="O126" s="740"/>
      <c r="P126" s="739"/>
      <c r="Q126" s="168">
        <f>IF(P126&lt;&gt;"",P126,IF(ISERROR(Personalplanung!AD22/Monatsplanung!$E22*Monatsplanung!$H22),0,Personalplanung!AD22/Monatsplanung!$E22*Monatsplanung!$H22))</f>
        <v>0</v>
      </c>
      <c r="R126" s="740"/>
      <c r="S126" s="739"/>
      <c r="T126" s="168">
        <f>IF(S126&lt;&gt;"",S126,IF(ISERROR(Personalplanung!AE22/Monatsplanung!$E22*Monatsplanung!$H22),0,Personalplanung!AE22/Monatsplanung!$E22*Monatsplanung!$H22))</f>
        <v>2.1666666666666665</v>
      </c>
      <c r="U126" s="740"/>
      <c r="V126" s="168">
        <f t="shared" si="29"/>
        <v>2.4166666666666665</v>
      </c>
      <c r="W126" s="168">
        <f>IF(ISERROR(Personalplanung!P22/Monatsplanung!$E22*Monatsplanung!$H22),0,Personalplanung!P22/Monatsplanung!$E22*Monatsplanung!$H22)</f>
        <v>0</v>
      </c>
      <c r="X126" s="168">
        <f>IF(ISERROR(Personalplanung!Q22/Monatsplanung!$E22*Monatsplanung!$H22),0,Personalplanung!Q22/Monatsplanung!$E22*Monatsplanung!$H22)</f>
        <v>0</v>
      </c>
      <c r="Y126" s="168">
        <f>IF(ISERROR(Personalplanung!R22/T1270*Stundencontrolling!T126),0,Personalplanung!R22/T1270*Stundencontrolling!T126)</f>
        <v>0</v>
      </c>
      <c r="Z126" s="168">
        <f>IF(ISERROR(Personalplanung!S22/Monatsplanung!$E22*Monatsplanung!$H22),0,Personalplanung!S22/Monatsplanung!$E22*Monatsplanung!$H22)</f>
        <v>0</v>
      </c>
      <c r="AA126" s="80">
        <f t="shared" si="30"/>
        <v>9911.6666666666661</v>
      </c>
      <c r="AB126" s="102">
        <f t="shared" si="31"/>
        <v>0</v>
      </c>
      <c r="AC126" s="103">
        <f t="shared" si="32"/>
        <v>0</v>
      </c>
      <c r="AD126" s="103">
        <f t="shared" si="33"/>
        <v>9911.6666666666661</v>
      </c>
      <c r="AE126" s="81">
        <f t="shared" si="34"/>
        <v>0</v>
      </c>
      <c r="AF126" s="539"/>
      <c r="AG126" s="104">
        <f t="shared" si="35"/>
        <v>0</v>
      </c>
      <c r="AH126" s="7">
        <f t="shared" si="36"/>
        <v>0</v>
      </c>
      <c r="AI126" s="6">
        <f t="shared" si="37"/>
        <v>0</v>
      </c>
      <c r="AJ126" s="73">
        <f t="shared" si="38"/>
        <v>0</v>
      </c>
      <c r="AK126" s="539"/>
      <c r="AL126" s="748"/>
      <c r="AM126" s="748"/>
    </row>
    <row r="127" spans="2:39" x14ac:dyDescent="0.2">
      <c r="B127" s="101" t="str">
        <f t="shared" si="23"/>
        <v/>
      </c>
      <c r="C127" s="168">
        <f>IF(ISERROR(Personalplanung!F23/Monatsplanung!$E23*Monatsplanung!$H23),0,Personalplanung!F23/Monatsplanung!$E23*Monatsplanung!$H23)</f>
        <v>0</v>
      </c>
      <c r="D127" s="168">
        <f t="shared" si="24"/>
        <v>0</v>
      </c>
      <c r="E127" s="168">
        <f>IF(ISERROR(Personalplanung!H23/Monatsplanung!$E23*Monatsplanung!$H23),0,Personalplanung!H23/Monatsplanung!$E23*Monatsplanung!$H23)</f>
        <v>0</v>
      </c>
      <c r="F127" s="168">
        <f t="shared" si="25"/>
        <v>0</v>
      </c>
      <c r="G127" s="168" t="e">
        <f t="shared" si="26"/>
        <v>#DIV/0!</v>
      </c>
      <c r="H127" s="168" t="e">
        <f t="shared" si="27"/>
        <v>#DIV/0!</v>
      </c>
      <c r="I127" s="168">
        <f t="shared" si="28"/>
        <v>0</v>
      </c>
      <c r="J127" s="739"/>
      <c r="K127" s="168">
        <f>IF(J127&lt;&gt;"",J127,IF(ISERROR(Personalplanung!AB23/Monatsplanung!$E23*Monatsplanung!$H23),0,Personalplanung!AB23/Monatsplanung!$E23*Monatsplanung!$H23))</f>
        <v>0</v>
      </c>
      <c r="L127" s="740"/>
      <c r="M127" s="739"/>
      <c r="N127" s="168">
        <f>IF(M127&lt;&gt;"",M127,IF(ISERROR(Personalplanung!AC23/Monatsplanung!$E23*Monatsplanung!$H23),0,Personalplanung!AC23/Monatsplanung!$E23*Monatsplanung!$H23))</f>
        <v>0</v>
      </c>
      <c r="O127" s="740"/>
      <c r="P127" s="739"/>
      <c r="Q127" s="168">
        <f>IF(P127&lt;&gt;"",P127,IF(ISERROR(Personalplanung!AD23/Monatsplanung!$E23*Monatsplanung!$H23),0,Personalplanung!AD23/Monatsplanung!$E23*Monatsplanung!$H23))</f>
        <v>0</v>
      </c>
      <c r="R127" s="740"/>
      <c r="S127" s="739"/>
      <c r="T127" s="168">
        <f>IF(S127&lt;&gt;"",S127,IF(ISERROR(Personalplanung!AE23/Monatsplanung!$E23*Monatsplanung!$H23),0,Personalplanung!AE23/Monatsplanung!$E23*Monatsplanung!$H23))</f>
        <v>0</v>
      </c>
      <c r="U127" s="740"/>
      <c r="V127" s="168">
        <f t="shared" si="29"/>
        <v>0</v>
      </c>
      <c r="W127" s="168">
        <f>IF(ISERROR(Personalplanung!P23/Monatsplanung!$E23*Monatsplanung!$H23),0,Personalplanung!P23/Monatsplanung!$E23*Monatsplanung!$H23)</f>
        <v>0</v>
      </c>
      <c r="X127" s="168">
        <f>IF(ISERROR(Personalplanung!Q23/Monatsplanung!$E23*Monatsplanung!$H23),0,Personalplanung!Q23/Monatsplanung!$E23*Monatsplanung!$H23)</f>
        <v>0</v>
      </c>
      <c r="Y127" s="168">
        <f>IF(ISERROR(Personalplanung!R23/T1271*Stundencontrolling!T127),0,Personalplanung!R23/T1271*Stundencontrolling!T127)</f>
        <v>0</v>
      </c>
      <c r="Z127" s="168">
        <f>IF(ISERROR(Personalplanung!S23/Monatsplanung!$E23*Monatsplanung!$H23),0,Personalplanung!S23/Monatsplanung!$E23*Monatsplanung!$H23)</f>
        <v>0</v>
      </c>
      <c r="AA127" s="80" t="e">
        <f t="shared" si="30"/>
        <v>#DIV/0!</v>
      </c>
      <c r="AB127" s="102">
        <f t="shared" si="31"/>
        <v>0</v>
      </c>
      <c r="AC127" s="103" t="e">
        <f t="shared" si="32"/>
        <v>#DIV/0!</v>
      </c>
      <c r="AD127" s="103" t="e">
        <f t="shared" si="33"/>
        <v>#DIV/0!</v>
      </c>
      <c r="AE127" s="81">
        <f t="shared" si="34"/>
        <v>0</v>
      </c>
      <c r="AF127" s="539"/>
      <c r="AG127" s="104">
        <f t="shared" si="35"/>
        <v>0</v>
      </c>
      <c r="AH127" s="7">
        <f t="shared" si="36"/>
        <v>0</v>
      </c>
      <c r="AI127" s="6">
        <f t="shared" si="37"/>
        <v>0</v>
      </c>
      <c r="AJ127" s="73">
        <f t="shared" si="38"/>
        <v>0</v>
      </c>
      <c r="AK127" s="539"/>
      <c r="AL127" s="748"/>
      <c r="AM127" s="748"/>
    </row>
    <row r="128" spans="2:39" x14ac:dyDescent="0.2">
      <c r="B128" s="101" t="str">
        <f t="shared" si="23"/>
        <v/>
      </c>
      <c r="C128" s="168">
        <f>IF(ISERROR(Personalplanung!F24/Monatsplanung!$E24*Monatsplanung!$H24),0,Personalplanung!F24/Monatsplanung!$E24*Monatsplanung!$H24)</f>
        <v>0</v>
      </c>
      <c r="D128" s="168">
        <f t="shared" si="24"/>
        <v>0</v>
      </c>
      <c r="E128" s="168">
        <f>IF(ISERROR(Personalplanung!H24/Monatsplanung!$E24*Monatsplanung!$H24),0,Personalplanung!H24/Monatsplanung!$E24*Monatsplanung!$H24)</f>
        <v>0</v>
      </c>
      <c r="F128" s="168">
        <f t="shared" si="25"/>
        <v>0</v>
      </c>
      <c r="G128" s="168" t="e">
        <f t="shared" si="26"/>
        <v>#DIV/0!</v>
      </c>
      <c r="H128" s="168" t="e">
        <f t="shared" si="27"/>
        <v>#DIV/0!</v>
      </c>
      <c r="I128" s="168">
        <f t="shared" si="28"/>
        <v>0</v>
      </c>
      <c r="J128" s="739"/>
      <c r="K128" s="168">
        <f>IF(J128&lt;&gt;"",J128,IF(ISERROR(Personalplanung!AB24/Monatsplanung!$E24*Monatsplanung!$H24),0,Personalplanung!AB24/Monatsplanung!$E24*Monatsplanung!$H24))</f>
        <v>0</v>
      </c>
      <c r="L128" s="740"/>
      <c r="M128" s="739"/>
      <c r="N128" s="168">
        <f>IF(M128&lt;&gt;"",M128,IF(ISERROR(Personalplanung!AC24/Monatsplanung!$E24*Monatsplanung!$H24),0,Personalplanung!AC24/Monatsplanung!$E24*Monatsplanung!$H24))</f>
        <v>0</v>
      </c>
      <c r="O128" s="740"/>
      <c r="P128" s="739"/>
      <c r="Q128" s="168">
        <f>IF(P128&lt;&gt;"",P128,IF(ISERROR(Personalplanung!AD24/Monatsplanung!$E24*Monatsplanung!$H24),0,Personalplanung!AD24/Monatsplanung!$E24*Monatsplanung!$H24))</f>
        <v>0</v>
      </c>
      <c r="R128" s="740"/>
      <c r="S128" s="739"/>
      <c r="T128" s="168">
        <f>IF(S128&lt;&gt;"",S128,IF(ISERROR(Personalplanung!AE24/Monatsplanung!$E24*Monatsplanung!$H24),0,Personalplanung!AE24/Monatsplanung!$E24*Monatsplanung!$H24))</f>
        <v>0</v>
      </c>
      <c r="U128" s="740"/>
      <c r="V128" s="168">
        <f t="shared" si="29"/>
        <v>0</v>
      </c>
      <c r="W128" s="168">
        <f>IF(ISERROR(Personalplanung!P24/Monatsplanung!$E24*Monatsplanung!$H24),0,Personalplanung!P24/Monatsplanung!$E24*Monatsplanung!$H24)</f>
        <v>0</v>
      </c>
      <c r="X128" s="168">
        <f>IF(ISERROR(Personalplanung!Q24/Monatsplanung!$E24*Monatsplanung!$H24),0,Personalplanung!Q24/Monatsplanung!$E24*Monatsplanung!$H24)</f>
        <v>0</v>
      </c>
      <c r="Y128" s="168">
        <f>IF(ISERROR(Personalplanung!R24/T1272*Stundencontrolling!T128),0,Personalplanung!R24/T1272*Stundencontrolling!T128)</f>
        <v>0</v>
      </c>
      <c r="Z128" s="168">
        <f>IF(ISERROR(Personalplanung!S24/Monatsplanung!$E24*Monatsplanung!$H24),0,Personalplanung!S24/Monatsplanung!$E24*Monatsplanung!$H24)</f>
        <v>0</v>
      </c>
      <c r="AA128" s="80" t="e">
        <f t="shared" si="30"/>
        <v>#DIV/0!</v>
      </c>
      <c r="AB128" s="102">
        <f t="shared" si="31"/>
        <v>0</v>
      </c>
      <c r="AC128" s="103" t="e">
        <f t="shared" si="32"/>
        <v>#DIV/0!</v>
      </c>
      <c r="AD128" s="103" t="e">
        <f t="shared" si="33"/>
        <v>#DIV/0!</v>
      </c>
      <c r="AE128" s="81">
        <f t="shared" si="34"/>
        <v>0</v>
      </c>
      <c r="AF128" s="539"/>
      <c r="AG128" s="104">
        <f t="shared" si="35"/>
        <v>0</v>
      </c>
      <c r="AH128" s="7">
        <f t="shared" si="36"/>
        <v>0</v>
      </c>
      <c r="AI128" s="6">
        <f t="shared" si="37"/>
        <v>0</v>
      </c>
      <c r="AJ128" s="73">
        <f t="shared" si="38"/>
        <v>0</v>
      </c>
      <c r="AK128" s="539"/>
      <c r="AL128" s="748"/>
      <c r="AM128" s="748"/>
    </row>
    <row r="129" spans="2:39" x14ac:dyDescent="0.2">
      <c r="B129" s="101" t="str">
        <f t="shared" si="23"/>
        <v/>
      </c>
      <c r="C129" s="168">
        <f>IF(ISERROR(Personalplanung!F25/Monatsplanung!$E25*Monatsplanung!$H25),0,Personalplanung!F25/Monatsplanung!$E25*Monatsplanung!$H25)</f>
        <v>0</v>
      </c>
      <c r="D129" s="168">
        <f t="shared" si="24"/>
        <v>0</v>
      </c>
      <c r="E129" s="168">
        <f>IF(ISERROR(Personalplanung!H25/Monatsplanung!$E25*Monatsplanung!$H25),0,Personalplanung!H25/Monatsplanung!$E25*Monatsplanung!$H25)</f>
        <v>0</v>
      </c>
      <c r="F129" s="168">
        <f t="shared" si="25"/>
        <v>0</v>
      </c>
      <c r="G129" s="168" t="e">
        <f t="shared" si="26"/>
        <v>#DIV/0!</v>
      </c>
      <c r="H129" s="168" t="e">
        <f t="shared" si="27"/>
        <v>#DIV/0!</v>
      </c>
      <c r="I129" s="168">
        <f t="shared" si="28"/>
        <v>0</v>
      </c>
      <c r="J129" s="739"/>
      <c r="K129" s="168">
        <f>IF(J129&lt;&gt;"",J129,IF(ISERROR(Personalplanung!AB25/Monatsplanung!$E25*Monatsplanung!$H25),0,Personalplanung!AB25/Monatsplanung!$E25*Monatsplanung!$H25))</f>
        <v>0</v>
      </c>
      <c r="L129" s="740"/>
      <c r="M129" s="739"/>
      <c r="N129" s="168">
        <f>IF(M129&lt;&gt;"",M129,IF(ISERROR(Personalplanung!AC25/Monatsplanung!$E25*Monatsplanung!$H25),0,Personalplanung!AC25/Monatsplanung!$E25*Monatsplanung!$H25))</f>
        <v>0</v>
      </c>
      <c r="O129" s="740"/>
      <c r="P129" s="739"/>
      <c r="Q129" s="168">
        <f>IF(P129&lt;&gt;"",P129,IF(ISERROR(Personalplanung!AD25/Monatsplanung!$E25*Monatsplanung!$H25),0,Personalplanung!AD25/Monatsplanung!$E25*Monatsplanung!$H25))</f>
        <v>0</v>
      </c>
      <c r="R129" s="740"/>
      <c r="S129" s="739"/>
      <c r="T129" s="168">
        <f>IF(S129&lt;&gt;"",S129,IF(ISERROR(Personalplanung!AE25/Monatsplanung!$E25*Monatsplanung!$H25),0,Personalplanung!AE25/Monatsplanung!$E25*Monatsplanung!$H25))</f>
        <v>0</v>
      </c>
      <c r="U129" s="740"/>
      <c r="V129" s="168">
        <f t="shared" si="29"/>
        <v>0</v>
      </c>
      <c r="W129" s="168">
        <f>IF(ISERROR(Personalplanung!P25/Monatsplanung!$E25*Monatsplanung!$H25),0,Personalplanung!P25/Monatsplanung!$E25*Monatsplanung!$H25)</f>
        <v>0</v>
      </c>
      <c r="X129" s="168">
        <f>IF(ISERROR(Personalplanung!Q25/Monatsplanung!$E25*Monatsplanung!$H25),0,Personalplanung!Q25/Monatsplanung!$E25*Monatsplanung!$H25)</f>
        <v>0</v>
      </c>
      <c r="Y129" s="168">
        <f>IF(ISERROR(Personalplanung!R25/T1273*Stundencontrolling!T129),0,Personalplanung!R25/T1273*Stundencontrolling!T129)</f>
        <v>0</v>
      </c>
      <c r="Z129" s="168">
        <f>IF(ISERROR(Personalplanung!S25/Monatsplanung!$E25*Monatsplanung!$H25),0,Personalplanung!S25/Monatsplanung!$E25*Monatsplanung!$H25)</f>
        <v>0</v>
      </c>
      <c r="AA129" s="80" t="e">
        <f t="shared" si="30"/>
        <v>#DIV/0!</v>
      </c>
      <c r="AB129" s="102">
        <f t="shared" si="31"/>
        <v>0</v>
      </c>
      <c r="AC129" s="103" t="e">
        <f t="shared" si="32"/>
        <v>#DIV/0!</v>
      </c>
      <c r="AD129" s="103" t="e">
        <f t="shared" si="33"/>
        <v>#DIV/0!</v>
      </c>
      <c r="AE129" s="81">
        <f t="shared" si="34"/>
        <v>0</v>
      </c>
      <c r="AF129" s="539"/>
      <c r="AG129" s="104">
        <f t="shared" si="35"/>
        <v>0</v>
      </c>
      <c r="AH129" s="7">
        <f t="shared" si="36"/>
        <v>0</v>
      </c>
      <c r="AI129" s="6">
        <f t="shared" si="37"/>
        <v>0</v>
      </c>
      <c r="AJ129" s="73">
        <f t="shared" si="38"/>
        <v>0</v>
      </c>
      <c r="AK129" s="539"/>
      <c r="AL129" s="748"/>
      <c r="AM129" s="748"/>
    </row>
    <row r="130" spans="2:39" x14ac:dyDescent="0.2">
      <c r="B130" s="101" t="str">
        <f t="shared" si="23"/>
        <v/>
      </c>
      <c r="C130" s="168">
        <f>IF(ISERROR(Personalplanung!F26/Monatsplanung!$E26*Monatsplanung!$H26),0,Personalplanung!F26/Monatsplanung!$E26*Monatsplanung!$H26)</f>
        <v>0</v>
      </c>
      <c r="D130" s="168">
        <f t="shared" si="24"/>
        <v>0</v>
      </c>
      <c r="E130" s="168">
        <f>IF(ISERROR(Personalplanung!H26/Monatsplanung!$E26*Monatsplanung!$H26),0,Personalplanung!H26/Monatsplanung!$E26*Monatsplanung!$H26)</f>
        <v>0</v>
      </c>
      <c r="F130" s="168">
        <f t="shared" si="25"/>
        <v>0</v>
      </c>
      <c r="G130" s="168" t="e">
        <f t="shared" si="26"/>
        <v>#DIV/0!</v>
      </c>
      <c r="H130" s="168" t="e">
        <f t="shared" si="27"/>
        <v>#DIV/0!</v>
      </c>
      <c r="I130" s="168">
        <f t="shared" si="28"/>
        <v>0</v>
      </c>
      <c r="J130" s="739"/>
      <c r="K130" s="168">
        <f>IF(J130&lt;&gt;"",J130,IF(ISERROR(Personalplanung!AB26/Monatsplanung!$E26*Monatsplanung!$H26),0,Personalplanung!AB26/Monatsplanung!$E26*Monatsplanung!$H26))</f>
        <v>0</v>
      </c>
      <c r="L130" s="740"/>
      <c r="M130" s="739"/>
      <c r="N130" s="168">
        <f>IF(M130&lt;&gt;"",M130,IF(ISERROR(Personalplanung!AC26/Monatsplanung!$E26*Monatsplanung!$H26),0,Personalplanung!AC26/Monatsplanung!$E26*Monatsplanung!$H26))</f>
        <v>0</v>
      </c>
      <c r="O130" s="740"/>
      <c r="P130" s="739"/>
      <c r="Q130" s="168">
        <f>IF(P130&lt;&gt;"",P130,IF(ISERROR(Personalplanung!AD26/Monatsplanung!$E26*Monatsplanung!$H26),0,Personalplanung!AD26/Monatsplanung!$E26*Monatsplanung!$H26))</f>
        <v>0</v>
      </c>
      <c r="R130" s="740"/>
      <c r="S130" s="739"/>
      <c r="T130" s="168">
        <f>IF(S130&lt;&gt;"",S130,IF(ISERROR(Personalplanung!AE26/Monatsplanung!$E26*Monatsplanung!$H26),0,Personalplanung!AE26/Monatsplanung!$E26*Monatsplanung!$H26))</f>
        <v>0</v>
      </c>
      <c r="U130" s="740"/>
      <c r="V130" s="168">
        <f t="shared" si="29"/>
        <v>0</v>
      </c>
      <c r="W130" s="168">
        <f>IF(ISERROR(Personalplanung!P26/Monatsplanung!$E26*Monatsplanung!$H26),0,Personalplanung!P26/Monatsplanung!$E26*Monatsplanung!$H26)</f>
        <v>0</v>
      </c>
      <c r="X130" s="168">
        <f>IF(ISERROR(Personalplanung!Q26/Monatsplanung!$E26*Monatsplanung!$H26),0,Personalplanung!Q26/Monatsplanung!$E26*Monatsplanung!$H26)</f>
        <v>0</v>
      </c>
      <c r="Y130" s="168">
        <f>IF(ISERROR(Personalplanung!R26/T1274*Stundencontrolling!T130),0,Personalplanung!R26/T1274*Stundencontrolling!T130)</f>
        <v>0</v>
      </c>
      <c r="Z130" s="168">
        <f>IF(ISERROR(Personalplanung!S26/Monatsplanung!$E26*Monatsplanung!$H26),0,Personalplanung!S26/Monatsplanung!$E26*Monatsplanung!$H26)</f>
        <v>0</v>
      </c>
      <c r="AA130" s="80" t="e">
        <f t="shared" si="30"/>
        <v>#DIV/0!</v>
      </c>
      <c r="AB130" s="102">
        <f t="shared" si="31"/>
        <v>0</v>
      </c>
      <c r="AC130" s="103" t="e">
        <f t="shared" si="32"/>
        <v>#DIV/0!</v>
      </c>
      <c r="AD130" s="103" t="e">
        <f t="shared" si="33"/>
        <v>#DIV/0!</v>
      </c>
      <c r="AE130" s="81">
        <f t="shared" si="34"/>
        <v>0</v>
      </c>
      <c r="AF130" s="539"/>
      <c r="AG130" s="104">
        <f t="shared" si="35"/>
        <v>0</v>
      </c>
      <c r="AH130" s="7">
        <f t="shared" si="36"/>
        <v>0</v>
      </c>
      <c r="AI130" s="6">
        <f t="shared" si="37"/>
        <v>0</v>
      </c>
      <c r="AJ130" s="73">
        <f t="shared" si="38"/>
        <v>0</v>
      </c>
      <c r="AK130" s="539"/>
      <c r="AL130" s="748"/>
      <c r="AM130" s="748"/>
    </row>
    <row r="131" spans="2:39" x14ac:dyDescent="0.2">
      <c r="B131" s="101" t="str">
        <f t="shared" si="23"/>
        <v/>
      </c>
      <c r="C131" s="168">
        <f>IF(ISERROR(Personalplanung!F27/Monatsplanung!$E27*Monatsplanung!$H27),0,Personalplanung!F27/Monatsplanung!$E27*Monatsplanung!$H27)</f>
        <v>0</v>
      </c>
      <c r="D131" s="168">
        <f t="shared" si="24"/>
        <v>0</v>
      </c>
      <c r="E131" s="168">
        <f>IF(ISERROR(Personalplanung!H27/Monatsplanung!$E27*Monatsplanung!$H27),0,Personalplanung!H27/Monatsplanung!$E27*Monatsplanung!$H27)</f>
        <v>0</v>
      </c>
      <c r="F131" s="168">
        <f t="shared" si="25"/>
        <v>0</v>
      </c>
      <c r="G131" s="168" t="e">
        <f t="shared" si="26"/>
        <v>#DIV/0!</v>
      </c>
      <c r="H131" s="168" t="e">
        <f t="shared" si="27"/>
        <v>#DIV/0!</v>
      </c>
      <c r="I131" s="168">
        <f t="shared" si="28"/>
        <v>0</v>
      </c>
      <c r="J131" s="739"/>
      <c r="K131" s="168">
        <f>IF(J131&lt;&gt;"",J131,IF(ISERROR(Personalplanung!AB27/Monatsplanung!$E27*Monatsplanung!$H27),0,Personalplanung!AB27/Monatsplanung!$E27*Monatsplanung!$H27))</f>
        <v>0</v>
      </c>
      <c r="L131" s="740"/>
      <c r="M131" s="739"/>
      <c r="N131" s="168">
        <f>IF(M131&lt;&gt;"",M131,IF(ISERROR(Personalplanung!AC27/Monatsplanung!$E27*Monatsplanung!$H27),0,Personalplanung!AC27/Monatsplanung!$E27*Monatsplanung!$H27))</f>
        <v>0</v>
      </c>
      <c r="O131" s="740"/>
      <c r="P131" s="739"/>
      <c r="Q131" s="168">
        <f>IF(P131&lt;&gt;"",P131,IF(ISERROR(Personalplanung!AD27/Monatsplanung!$E27*Monatsplanung!$H27),0,Personalplanung!AD27/Monatsplanung!$E27*Monatsplanung!$H27))</f>
        <v>0</v>
      </c>
      <c r="R131" s="740"/>
      <c r="S131" s="739"/>
      <c r="T131" s="168">
        <f>IF(S131&lt;&gt;"",S131,IF(ISERROR(Personalplanung!AE27/Monatsplanung!$E27*Monatsplanung!$H27),0,Personalplanung!AE27/Monatsplanung!$E27*Monatsplanung!$H27))</f>
        <v>0</v>
      </c>
      <c r="U131" s="740"/>
      <c r="V131" s="168">
        <f t="shared" si="29"/>
        <v>0</v>
      </c>
      <c r="W131" s="168">
        <f>IF(ISERROR(Personalplanung!P27/Monatsplanung!$E27*Monatsplanung!$H27),0,Personalplanung!P27/Monatsplanung!$E27*Monatsplanung!$H27)</f>
        <v>0</v>
      </c>
      <c r="X131" s="168">
        <f>IF(ISERROR(Personalplanung!Q27/Monatsplanung!$E27*Monatsplanung!$H27),0,Personalplanung!Q27/Monatsplanung!$E27*Monatsplanung!$H27)</f>
        <v>0</v>
      </c>
      <c r="Y131" s="168">
        <f>IF(ISERROR(Personalplanung!R27/T1275*Stundencontrolling!T131),0,Personalplanung!R27/T1275*Stundencontrolling!T131)</f>
        <v>0</v>
      </c>
      <c r="Z131" s="168">
        <f>IF(ISERROR(Personalplanung!S27/Monatsplanung!$E27*Monatsplanung!$H27),0,Personalplanung!S27/Monatsplanung!$E27*Monatsplanung!$H27)</f>
        <v>0</v>
      </c>
      <c r="AA131" s="80" t="e">
        <f t="shared" si="30"/>
        <v>#DIV/0!</v>
      </c>
      <c r="AB131" s="102">
        <f t="shared" si="31"/>
        <v>0</v>
      </c>
      <c r="AC131" s="103" t="e">
        <f t="shared" si="32"/>
        <v>#DIV/0!</v>
      </c>
      <c r="AD131" s="103" t="e">
        <f t="shared" si="33"/>
        <v>#DIV/0!</v>
      </c>
      <c r="AE131" s="81">
        <f t="shared" si="34"/>
        <v>0</v>
      </c>
      <c r="AF131" s="539"/>
      <c r="AG131" s="104">
        <f t="shared" si="35"/>
        <v>0</v>
      </c>
      <c r="AH131" s="7">
        <f t="shared" si="36"/>
        <v>0</v>
      </c>
      <c r="AI131" s="6">
        <f t="shared" si="37"/>
        <v>0</v>
      </c>
      <c r="AJ131" s="73">
        <f t="shared" si="38"/>
        <v>0</v>
      </c>
      <c r="AK131" s="539"/>
      <c r="AL131" s="748"/>
      <c r="AM131" s="748"/>
    </row>
    <row r="132" spans="2:39" x14ac:dyDescent="0.2">
      <c r="B132" s="101" t="str">
        <f t="shared" si="23"/>
        <v/>
      </c>
      <c r="C132" s="168">
        <f>IF(ISERROR(Personalplanung!F28/Monatsplanung!$E28*Monatsplanung!$H28),0,Personalplanung!F28/Monatsplanung!$E28*Monatsplanung!$H28)</f>
        <v>0</v>
      </c>
      <c r="D132" s="168">
        <f t="shared" si="24"/>
        <v>0</v>
      </c>
      <c r="E132" s="168">
        <f>IF(ISERROR(Personalplanung!H28/Monatsplanung!$E28*Monatsplanung!$H28),0,Personalplanung!H28/Monatsplanung!$E28*Monatsplanung!$H28)</f>
        <v>0</v>
      </c>
      <c r="F132" s="168">
        <f t="shared" si="25"/>
        <v>0</v>
      </c>
      <c r="G132" s="168" t="e">
        <f t="shared" si="26"/>
        <v>#DIV/0!</v>
      </c>
      <c r="H132" s="168" t="e">
        <f t="shared" si="27"/>
        <v>#DIV/0!</v>
      </c>
      <c r="I132" s="168">
        <f t="shared" si="28"/>
        <v>0</v>
      </c>
      <c r="J132" s="739"/>
      <c r="K132" s="168">
        <f>IF(J132&lt;&gt;"",J132,IF(ISERROR(Personalplanung!AB28/Monatsplanung!$E28*Monatsplanung!$H28),0,Personalplanung!AB28/Monatsplanung!$E28*Monatsplanung!$H28))</f>
        <v>0</v>
      </c>
      <c r="L132" s="740"/>
      <c r="M132" s="739"/>
      <c r="N132" s="168">
        <f>IF(M132&lt;&gt;"",M132,IF(ISERROR(Personalplanung!AC28/Monatsplanung!$E28*Monatsplanung!$H28),0,Personalplanung!AC28/Monatsplanung!$E28*Monatsplanung!$H28))</f>
        <v>0</v>
      </c>
      <c r="O132" s="740"/>
      <c r="P132" s="739"/>
      <c r="Q132" s="168">
        <f>IF(P132&lt;&gt;"",P132,IF(ISERROR(Personalplanung!AD28/Monatsplanung!$E28*Monatsplanung!$H28),0,Personalplanung!AD28/Monatsplanung!$E28*Monatsplanung!$H28))</f>
        <v>0</v>
      </c>
      <c r="R132" s="740"/>
      <c r="S132" s="739"/>
      <c r="T132" s="168">
        <f>IF(S132&lt;&gt;"",S132,IF(ISERROR(Personalplanung!AE28/Monatsplanung!$E28*Monatsplanung!$H28),0,Personalplanung!AE28/Monatsplanung!$E28*Monatsplanung!$H28))</f>
        <v>0</v>
      </c>
      <c r="U132" s="740"/>
      <c r="V132" s="168">
        <f t="shared" si="29"/>
        <v>0</v>
      </c>
      <c r="W132" s="168">
        <f>IF(ISERROR(Personalplanung!P28/Monatsplanung!$E28*Monatsplanung!$H28),0,Personalplanung!P28/Monatsplanung!$E28*Monatsplanung!$H28)</f>
        <v>0</v>
      </c>
      <c r="X132" s="168">
        <f>IF(ISERROR(Personalplanung!Q28/Monatsplanung!$E28*Monatsplanung!$H28),0,Personalplanung!Q28/Monatsplanung!$E28*Monatsplanung!$H28)</f>
        <v>0</v>
      </c>
      <c r="Y132" s="168">
        <f>IF(ISERROR(Personalplanung!R28/T1276*Stundencontrolling!T132),0,Personalplanung!R28/T1276*Stundencontrolling!T132)</f>
        <v>0</v>
      </c>
      <c r="Z132" s="168">
        <f>IF(ISERROR(Personalplanung!S28/Monatsplanung!$E28*Monatsplanung!$H28),0,Personalplanung!S28/Monatsplanung!$E28*Monatsplanung!$H28)</f>
        <v>0</v>
      </c>
      <c r="AA132" s="80" t="e">
        <f t="shared" si="30"/>
        <v>#DIV/0!</v>
      </c>
      <c r="AB132" s="102">
        <f t="shared" si="31"/>
        <v>0</v>
      </c>
      <c r="AC132" s="103" t="e">
        <f t="shared" si="32"/>
        <v>#DIV/0!</v>
      </c>
      <c r="AD132" s="103" t="e">
        <f t="shared" si="33"/>
        <v>#DIV/0!</v>
      </c>
      <c r="AE132" s="81">
        <f t="shared" si="34"/>
        <v>0</v>
      </c>
      <c r="AF132" s="539"/>
      <c r="AG132" s="104">
        <f t="shared" si="35"/>
        <v>0</v>
      </c>
      <c r="AH132" s="7">
        <f t="shared" si="36"/>
        <v>0</v>
      </c>
      <c r="AI132" s="6">
        <f t="shared" si="37"/>
        <v>0</v>
      </c>
      <c r="AJ132" s="73">
        <f t="shared" si="38"/>
        <v>0</v>
      </c>
      <c r="AK132" s="539"/>
      <c r="AL132" s="748"/>
      <c r="AM132" s="748"/>
    </row>
    <row r="133" spans="2:39" x14ac:dyDescent="0.2">
      <c r="B133" s="101" t="str">
        <f t="shared" si="23"/>
        <v/>
      </c>
      <c r="C133" s="168">
        <f>IF(ISERROR(Personalplanung!F29/Monatsplanung!$E29*Monatsplanung!$H29),0,Personalplanung!F29/Monatsplanung!$E29*Monatsplanung!$H29)</f>
        <v>0</v>
      </c>
      <c r="D133" s="168">
        <f t="shared" si="24"/>
        <v>0</v>
      </c>
      <c r="E133" s="168">
        <f>IF(ISERROR(Personalplanung!H29/Monatsplanung!$E29*Monatsplanung!$H29),0,Personalplanung!H29/Monatsplanung!$E29*Monatsplanung!$H29)</f>
        <v>0</v>
      </c>
      <c r="F133" s="168">
        <f t="shared" si="25"/>
        <v>0</v>
      </c>
      <c r="G133" s="168" t="e">
        <f t="shared" si="26"/>
        <v>#DIV/0!</v>
      </c>
      <c r="H133" s="168" t="e">
        <f t="shared" si="27"/>
        <v>#DIV/0!</v>
      </c>
      <c r="I133" s="168">
        <f t="shared" si="28"/>
        <v>0</v>
      </c>
      <c r="J133" s="739"/>
      <c r="K133" s="168">
        <f>IF(J133&lt;&gt;"",J133,IF(ISERROR(Personalplanung!AB29/Monatsplanung!$E29*Monatsplanung!$H29),0,Personalplanung!AB29/Monatsplanung!$E29*Monatsplanung!$H29))</f>
        <v>0</v>
      </c>
      <c r="L133" s="740"/>
      <c r="M133" s="739"/>
      <c r="N133" s="168">
        <f>IF(M133&lt;&gt;"",M133,IF(ISERROR(Personalplanung!AC29/Monatsplanung!$E29*Monatsplanung!$H29),0,Personalplanung!AC29/Monatsplanung!$E29*Monatsplanung!$H29))</f>
        <v>0</v>
      </c>
      <c r="O133" s="740"/>
      <c r="P133" s="739"/>
      <c r="Q133" s="168">
        <f>IF(P133&lt;&gt;"",P133,IF(ISERROR(Personalplanung!AD29/Monatsplanung!$E29*Monatsplanung!$H29),0,Personalplanung!AD29/Monatsplanung!$E29*Monatsplanung!$H29))</f>
        <v>0</v>
      </c>
      <c r="R133" s="740"/>
      <c r="S133" s="739"/>
      <c r="T133" s="168">
        <f>IF(S133&lt;&gt;"",S133,IF(ISERROR(Personalplanung!AE29/Monatsplanung!$E29*Monatsplanung!$H29),0,Personalplanung!AE29/Monatsplanung!$E29*Monatsplanung!$H29))</f>
        <v>0</v>
      </c>
      <c r="U133" s="740"/>
      <c r="V133" s="168">
        <f t="shared" si="29"/>
        <v>0</v>
      </c>
      <c r="W133" s="168">
        <f>IF(ISERROR(Personalplanung!P29/Monatsplanung!$E29*Monatsplanung!$H29),0,Personalplanung!P29/Monatsplanung!$E29*Monatsplanung!$H29)</f>
        <v>0</v>
      </c>
      <c r="X133" s="168">
        <f>IF(ISERROR(Personalplanung!Q29/Monatsplanung!$E29*Monatsplanung!$H29),0,Personalplanung!Q29/Monatsplanung!$E29*Monatsplanung!$H29)</f>
        <v>0</v>
      </c>
      <c r="Y133" s="168">
        <f>IF(ISERROR(Personalplanung!R29/T1277*Stundencontrolling!T133),0,Personalplanung!R29/T1277*Stundencontrolling!T133)</f>
        <v>0</v>
      </c>
      <c r="Z133" s="168">
        <f>IF(ISERROR(Personalplanung!S29/Monatsplanung!$E29*Monatsplanung!$H29),0,Personalplanung!S29/Monatsplanung!$E29*Monatsplanung!$H29)</f>
        <v>0</v>
      </c>
      <c r="AA133" s="80" t="e">
        <f t="shared" si="30"/>
        <v>#DIV/0!</v>
      </c>
      <c r="AB133" s="102">
        <f t="shared" si="31"/>
        <v>0</v>
      </c>
      <c r="AC133" s="103" t="e">
        <f t="shared" si="32"/>
        <v>#DIV/0!</v>
      </c>
      <c r="AD133" s="103" t="e">
        <f t="shared" si="33"/>
        <v>#DIV/0!</v>
      </c>
      <c r="AE133" s="81">
        <f t="shared" si="34"/>
        <v>0</v>
      </c>
      <c r="AF133" s="539"/>
      <c r="AG133" s="104">
        <f t="shared" si="35"/>
        <v>0</v>
      </c>
      <c r="AH133" s="7">
        <f t="shared" si="36"/>
        <v>0</v>
      </c>
      <c r="AI133" s="6">
        <f t="shared" si="37"/>
        <v>0</v>
      </c>
      <c r="AJ133" s="73">
        <f t="shared" si="38"/>
        <v>0</v>
      </c>
      <c r="AK133" s="539"/>
      <c r="AL133" s="748"/>
      <c r="AM133" s="748"/>
    </row>
    <row r="134" spans="2:39" x14ac:dyDescent="0.2">
      <c r="B134" s="101" t="str">
        <f t="shared" si="23"/>
        <v/>
      </c>
      <c r="C134" s="168">
        <f>IF(ISERROR(Personalplanung!F30/Monatsplanung!$E30*Monatsplanung!$H30),0,Personalplanung!F30/Monatsplanung!$E30*Monatsplanung!$H30)</f>
        <v>0</v>
      </c>
      <c r="D134" s="168">
        <f t="shared" si="24"/>
        <v>0</v>
      </c>
      <c r="E134" s="168">
        <f>IF(ISERROR(Personalplanung!H30/Monatsplanung!$E30*Monatsplanung!$H30),0,Personalplanung!H30/Monatsplanung!$E30*Monatsplanung!$H30)</f>
        <v>0</v>
      </c>
      <c r="F134" s="168">
        <f t="shared" si="25"/>
        <v>0</v>
      </c>
      <c r="G134" s="168" t="e">
        <f t="shared" si="26"/>
        <v>#DIV/0!</v>
      </c>
      <c r="H134" s="168" t="e">
        <f t="shared" si="27"/>
        <v>#DIV/0!</v>
      </c>
      <c r="I134" s="168">
        <f t="shared" si="28"/>
        <v>0</v>
      </c>
      <c r="J134" s="739"/>
      <c r="K134" s="168">
        <f>IF(J134&lt;&gt;"",J134,IF(ISERROR(Personalplanung!AB30/Monatsplanung!$E30*Monatsplanung!$H30),0,Personalplanung!AB30/Monatsplanung!$E30*Monatsplanung!$H30))</f>
        <v>0</v>
      </c>
      <c r="L134" s="740"/>
      <c r="M134" s="739"/>
      <c r="N134" s="168">
        <f>IF(M134&lt;&gt;"",M134,IF(ISERROR(Personalplanung!AC30/Monatsplanung!$E30*Monatsplanung!$H30),0,Personalplanung!AC30/Monatsplanung!$E30*Monatsplanung!$H30))</f>
        <v>0</v>
      </c>
      <c r="O134" s="740"/>
      <c r="P134" s="739"/>
      <c r="Q134" s="168">
        <f>IF(P134&lt;&gt;"",P134,IF(ISERROR(Personalplanung!AD30/Monatsplanung!$E30*Monatsplanung!$H30),0,Personalplanung!AD30/Monatsplanung!$E30*Monatsplanung!$H30))</f>
        <v>0</v>
      </c>
      <c r="R134" s="740"/>
      <c r="S134" s="739"/>
      <c r="T134" s="168">
        <f>IF(S134&lt;&gt;"",S134,IF(ISERROR(Personalplanung!AE30/Monatsplanung!$E30*Monatsplanung!$H30),0,Personalplanung!AE30/Monatsplanung!$E30*Monatsplanung!$H30))</f>
        <v>0</v>
      </c>
      <c r="U134" s="740"/>
      <c r="V134" s="168">
        <f t="shared" si="29"/>
        <v>0</v>
      </c>
      <c r="W134" s="168">
        <f>IF(ISERROR(Personalplanung!P30/Monatsplanung!$E30*Monatsplanung!$H30),0,Personalplanung!P30/Monatsplanung!$E30*Monatsplanung!$H30)</f>
        <v>0</v>
      </c>
      <c r="X134" s="168">
        <f>IF(ISERROR(Personalplanung!Q30/Monatsplanung!$E30*Monatsplanung!$H30),0,Personalplanung!Q30/Monatsplanung!$E30*Monatsplanung!$H30)</f>
        <v>0</v>
      </c>
      <c r="Y134" s="168">
        <f>IF(ISERROR(Personalplanung!R30/T1278*Stundencontrolling!T134),0,Personalplanung!R30/T1278*Stundencontrolling!T134)</f>
        <v>0</v>
      </c>
      <c r="Z134" s="168">
        <f>IF(ISERROR(Personalplanung!S30/Monatsplanung!$E30*Monatsplanung!$H30),0,Personalplanung!S30/Monatsplanung!$E30*Monatsplanung!$H30)</f>
        <v>0</v>
      </c>
      <c r="AA134" s="80" t="e">
        <f t="shared" si="30"/>
        <v>#DIV/0!</v>
      </c>
      <c r="AB134" s="102">
        <f t="shared" si="31"/>
        <v>0</v>
      </c>
      <c r="AC134" s="103" t="e">
        <f t="shared" si="32"/>
        <v>#DIV/0!</v>
      </c>
      <c r="AD134" s="103" t="e">
        <f t="shared" si="33"/>
        <v>#DIV/0!</v>
      </c>
      <c r="AE134" s="81">
        <f t="shared" si="34"/>
        <v>0</v>
      </c>
      <c r="AF134" s="539"/>
      <c r="AG134" s="104">
        <f t="shared" si="35"/>
        <v>0</v>
      </c>
      <c r="AH134" s="7">
        <f t="shared" si="36"/>
        <v>0</v>
      </c>
      <c r="AI134" s="6">
        <f t="shared" si="37"/>
        <v>0</v>
      </c>
      <c r="AJ134" s="73">
        <f t="shared" si="38"/>
        <v>0</v>
      </c>
      <c r="AK134" s="539"/>
      <c r="AL134" s="748"/>
      <c r="AM134" s="748"/>
    </row>
    <row r="135" spans="2:39" x14ac:dyDescent="0.2">
      <c r="B135" s="101" t="str">
        <f t="shared" si="23"/>
        <v/>
      </c>
      <c r="C135" s="168">
        <f>IF(ISERROR(Personalplanung!F31/Monatsplanung!$E31*Monatsplanung!$H31),0,Personalplanung!F31/Monatsplanung!$E31*Monatsplanung!$H31)</f>
        <v>0</v>
      </c>
      <c r="D135" s="168">
        <f t="shared" si="24"/>
        <v>0</v>
      </c>
      <c r="E135" s="168">
        <f>IF(ISERROR(Personalplanung!H31/Monatsplanung!$E31*Monatsplanung!$H31),0,Personalplanung!H31/Monatsplanung!$E31*Monatsplanung!$H31)</f>
        <v>0</v>
      </c>
      <c r="F135" s="168">
        <f t="shared" si="25"/>
        <v>0</v>
      </c>
      <c r="G135" s="168" t="e">
        <f t="shared" si="26"/>
        <v>#DIV/0!</v>
      </c>
      <c r="H135" s="168" t="e">
        <f t="shared" si="27"/>
        <v>#DIV/0!</v>
      </c>
      <c r="I135" s="168">
        <f t="shared" si="28"/>
        <v>0</v>
      </c>
      <c r="J135" s="739"/>
      <c r="K135" s="168">
        <f>IF(J135&lt;&gt;"",J135,IF(ISERROR(Personalplanung!AB31/Monatsplanung!$E31*Monatsplanung!$H31),0,Personalplanung!AB31/Monatsplanung!$E31*Monatsplanung!$H31))</f>
        <v>0</v>
      </c>
      <c r="L135" s="740"/>
      <c r="M135" s="739"/>
      <c r="N135" s="168">
        <f>IF(M135&lt;&gt;"",M135,IF(ISERROR(Personalplanung!AC31/Monatsplanung!$E31*Monatsplanung!$H31),0,Personalplanung!AC31/Monatsplanung!$E31*Monatsplanung!$H31))</f>
        <v>0</v>
      </c>
      <c r="O135" s="740"/>
      <c r="P135" s="739"/>
      <c r="Q135" s="168">
        <f>IF(P135&lt;&gt;"",P135,IF(ISERROR(Personalplanung!AD31/Monatsplanung!$E31*Monatsplanung!$H31),0,Personalplanung!AD31/Monatsplanung!$E31*Monatsplanung!$H31))</f>
        <v>0</v>
      </c>
      <c r="R135" s="740"/>
      <c r="S135" s="739"/>
      <c r="T135" s="168">
        <f>IF(S135&lt;&gt;"",S135,IF(ISERROR(Personalplanung!AE31/Monatsplanung!$E31*Monatsplanung!$H31),0,Personalplanung!AE31/Monatsplanung!$E31*Monatsplanung!$H31))</f>
        <v>0</v>
      </c>
      <c r="U135" s="740"/>
      <c r="V135" s="168">
        <f t="shared" si="29"/>
        <v>0</v>
      </c>
      <c r="W135" s="168">
        <f>IF(ISERROR(Personalplanung!P31/Monatsplanung!$E31*Monatsplanung!$H31),0,Personalplanung!P31/Monatsplanung!$E31*Monatsplanung!$H31)</f>
        <v>0</v>
      </c>
      <c r="X135" s="168">
        <f>IF(ISERROR(Personalplanung!Q31/Monatsplanung!$E31*Monatsplanung!$H31),0,Personalplanung!Q31/Monatsplanung!$E31*Monatsplanung!$H31)</f>
        <v>0</v>
      </c>
      <c r="Y135" s="168">
        <f>IF(ISERROR(Personalplanung!R31/T1279*Stundencontrolling!T135),0,Personalplanung!R31/T1279*Stundencontrolling!T135)</f>
        <v>0</v>
      </c>
      <c r="Z135" s="168">
        <f>IF(ISERROR(Personalplanung!S31/Monatsplanung!$E31*Monatsplanung!$H31),0,Personalplanung!S31/Monatsplanung!$E31*Monatsplanung!$H31)</f>
        <v>0</v>
      </c>
      <c r="AA135" s="80" t="e">
        <f t="shared" si="30"/>
        <v>#DIV/0!</v>
      </c>
      <c r="AB135" s="102">
        <f t="shared" si="31"/>
        <v>0</v>
      </c>
      <c r="AC135" s="103" t="e">
        <f t="shared" si="32"/>
        <v>#DIV/0!</v>
      </c>
      <c r="AD135" s="103" t="e">
        <f t="shared" si="33"/>
        <v>#DIV/0!</v>
      </c>
      <c r="AE135" s="81">
        <f t="shared" si="34"/>
        <v>0</v>
      </c>
      <c r="AF135" s="539"/>
      <c r="AG135" s="104">
        <f t="shared" si="35"/>
        <v>0</v>
      </c>
      <c r="AH135" s="7">
        <f t="shared" si="36"/>
        <v>0</v>
      </c>
      <c r="AI135" s="6">
        <f t="shared" si="37"/>
        <v>0</v>
      </c>
      <c r="AJ135" s="73">
        <f t="shared" si="38"/>
        <v>0</v>
      </c>
      <c r="AK135" s="539"/>
      <c r="AL135" s="748"/>
      <c r="AM135" s="748"/>
    </row>
    <row r="136" spans="2:39" x14ac:dyDescent="0.2">
      <c r="B136" s="101" t="str">
        <f t="shared" si="23"/>
        <v/>
      </c>
      <c r="C136" s="168">
        <f>IF(ISERROR(Personalplanung!F32/Monatsplanung!$E32*Monatsplanung!$H32),0,Personalplanung!F32/Monatsplanung!$E32*Monatsplanung!$H32)</f>
        <v>0</v>
      </c>
      <c r="D136" s="168">
        <f t="shared" si="24"/>
        <v>0</v>
      </c>
      <c r="E136" s="168">
        <f>IF(ISERROR(Personalplanung!H32/Monatsplanung!$E32*Monatsplanung!$H32),0,Personalplanung!H32/Monatsplanung!$E32*Monatsplanung!$H32)</f>
        <v>0</v>
      </c>
      <c r="F136" s="168">
        <f t="shared" si="25"/>
        <v>0</v>
      </c>
      <c r="G136" s="168" t="e">
        <f t="shared" si="26"/>
        <v>#DIV/0!</v>
      </c>
      <c r="H136" s="168" t="e">
        <f t="shared" si="27"/>
        <v>#DIV/0!</v>
      </c>
      <c r="I136" s="168">
        <f t="shared" si="28"/>
        <v>0</v>
      </c>
      <c r="J136" s="739"/>
      <c r="K136" s="168">
        <f>IF(J136&lt;&gt;"",J136,IF(ISERROR(Personalplanung!AB32/Monatsplanung!$E32*Monatsplanung!$H32),0,Personalplanung!AB32/Monatsplanung!$E32*Monatsplanung!$H32))</f>
        <v>0</v>
      </c>
      <c r="L136" s="740"/>
      <c r="M136" s="739"/>
      <c r="N136" s="168">
        <f>IF(M136&lt;&gt;"",M136,IF(ISERROR(Personalplanung!AC32/Monatsplanung!$E32*Monatsplanung!$H32),0,Personalplanung!AC32/Monatsplanung!$E32*Monatsplanung!$H32))</f>
        <v>0</v>
      </c>
      <c r="O136" s="740"/>
      <c r="P136" s="739"/>
      <c r="Q136" s="168">
        <f>IF(P136&lt;&gt;"",P136,IF(ISERROR(Personalplanung!AD32/Monatsplanung!$E32*Monatsplanung!$H32),0,Personalplanung!AD32/Monatsplanung!$E32*Monatsplanung!$H32))</f>
        <v>0</v>
      </c>
      <c r="R136" s="740"/>
      <c r="S136" s="739"/>
      <c r="T136" s="168">
        <f>IF(S136&lt;&gt;"",S136,IF(ISERROR(Personalplanung!AE32/Monatsplanung!$E32*Monatsplanung!$H32),0,Personalplanung!AE32/Monatsplanung!$E32*Monatsplanung!$H32))</f>
        <v>0</v>
      </c>
      <c r="U136" s="740"/>
      <c r="V136" s="168">
        <f t="shared" si="29"/>
        <v>0</v>
      </c>
      <c r="W136" s="168">
        <f>IF(ISERROR(Personalplanung!P32/Monatsplanung!$E32*Monatsplanung!$H32),0,Personalplanung!P32/Monatsplanung!$E32*Monatsplanung!$H32)</f>
        <v>0</v>
      </c>
      <c r="X136" s="168">
        <f>IF(ISERROR(Personalplanung!Q32/Monatsplanung!$E32*Monatsplanung!$H32),0,Personalplanung!Q32/Monatsplanung!$E32*Monatsplanung!$H32)</f>
        <v>0</v>
      </c>
      <c r="Y136" s="168">
        <f>IF(ISERROR(Personalplanung!R32/T1280*Stundencontrolling!T136),0,Personalplanung!R32/T1280*Stundencontrolling!T136)</f>
        <v>0</v>
      </c>
      <c r="Z136" s="168">
        <f>IF(ISERROR(Personalplanung!S32/Monatsplanung!$E32*Monatsplanung!$H32),0,Personalplanung!S32/Monatsplanung!$E32*Monatsplanung!$H32)</f>
        <v>0</v>
      </c>
      <c r="AA136" s="80" t="e">
        <f t="shared" si="30"/>
        <v>#DIV/0!</v>
      </c>
      <c r="AB136" s="102">
        <f t="shared" si="31"/>
        <v>0</v>
      </c>
      <c r="AC136" s="103" t="e">
        <f t="shared" si="32"/>
        <v>#DIV/0!</v>
      </c>
      <c r="AD136" s="103" t="e">
        <f t="shared" si="33"/>
        <v>#DIV/0!</v>
      </c>
      <c r="AE136" s="81">
        <f t="shared" si="34"/>
        <v>0</v>
      </c>
      <c r="AF136" s="539"/>
      <c r="AG136" s="104">
        <f t="shared" si="35"/>
        <v>0</v>
      </c>
      <c r="AH136" s="7">
        <f t="shared" si="36"/>
        <v>0</v>
      </c>
      <c r="AI136" s="6">
        <f t="shared" si="37"/>
        <v>0</v>
      </c>
      <c r="AJ136" s="73">
        <f t="shared" si="38"/>
        <v>0</v>
      </c>
      <c r="AK136" s="539"/>
      <c r="AL136" s="748"/>
      <c r="AM136" s="748"/>
    </row>
    <row r="137" spans="2:39" x14ac:dyDescent="0.2">
      <c r="B137" s="101" t="str">
        <f t="shared" si="23"/>
        <v/>
      </c>
      <c r="C137" s="168">
        <f>IF(ISERROR(Personalplanung!F33/Monatsplanung!$E33*Monatsplanung!$H33),0,Personalplanung!F33/Monatsplanung!$E33*Monatsplanung!$H33)</f>
        <v>0</v>
      </c>
      <c r="D137" s="168">
        <f t="shared" si="24"/>
        <v>0</v>
      </c>
      <c r="E137" s="168">
        <f>IF(ISERROR(Personalplanung!H33/Monatsplanung!$E33*Monatsplanung!$H33),0,Personalplanung!H33/Monatsplanung!$E33*Monatsplanung!$H33)</f>
        <v>0</v>
      </c>
      <c r="F137" s="168">
        <f t="shared" si="25"/>
        <v>0</v>
      </c>
      <c r="G137" s="168" t="e">
        <f t="shared" si="26"/>
        <v>#DIV/0!</v>
      </c>
      <c r="H137" s="168" t="e">
        <f t="shared" si="27"/>
        <v>#DIV/0!</v>
      </c>
      <c r="I137" s="168">
        <f t="shared" si="28"/>
        <v>0</v>
      </c>
      <c r="J137" s="739"/>
      <c r="K137" s="168">
        <f>IF(J137&lt;&gt;"",J137,IF(ISERROR(Personalplanung!AB33/Monatsplanung!$E33*Monatsplanung!$H33),0,Personalplanung!AB33/Monatsplanung!$E33*Monatsplanung!$H33))</f>
        <v>0</v>
      </c>
      <c r="L137" s="740"/>
      <c r="M137" s="739"/>
      <c r="N137" s="168">
        <f>IF(M137&lt;&gt;"",M137,IF(ISERROR(Personalplanung!AC33/Monatsplanung!$E33*Monatsplanung!$H33),0,Personalplanung!AC33/Monatsplanung!$E33*Monatsplanung!$H33))</f>
        <v>0</v>
      </c>
      <c r="O137" s="740"/>
      <c r="P137" s="739"/>
      <c r="Q137" s="168">
        <f>IF(P137&lt;&gt;"",P137,IF(ISERROR(Personalplanung!AD33/Monatsplanung!$E33*Monatsplanung!$H33),0,Personalplanung!AD33/Monatsplanung!$E33*Monatsplanung!$H33))</f>
        <v>0</v>
      </c>
      <c r="R137" s="740"/>
      <c r="S137" s="739"/>
      <c r="T137" s="168">
        <f>IF(S137&lt;&gt;"",S137,IF(ISERROR(Personalplanung!AE33/Monatsplanung!$E33*Monatsplanung!$H33),0,Personalplanung!AE33/Monatsplanung!$E33*Monatsplanung!$H33))</f>
        <v>0</v>
      </c>
      <c r="U137" s="740"/>
      <c r="V137" s="168">
        <f t="shared" si="29"/>
        <v>0</v>
      </c>
      <c r="W137" s="168">
        <f>IF(ISERROR(Personalplanung!P33/Monatsplanung!$E33*Monatsplanung!$H33),0,Personalplanung!P33/Monatsplanung!$E33*Monatsplanung!$H33)</f>
        <v>0</v>
      </c>
      <c r="X137" s="168">
        <f>IF(ISERROR(Personalplanung!Q33/Monatsplanung!$E33*Monatsplanung!$H33),0,Personalplanung!Q33/Monatsplanung!$E33*Monatsplanung!$H33)</f>
        <v>0</v>
      </c>
      <c r="Y137" s="168">
        <f>IF(ISERROR(Personalplanung!R33/T1281*Stundencontrolling!T137),0,Personalplanung!R33/T1281*Stundencontrolling!T137)</f>
        <v>0</v>
      </c>
      <c r="Z137" s="168">
        <f>IF(ISERROR(Personalplanung!S33/Monatsplanung!$E33*Monatsplanung!$H33),0,Personalplanung!S33/Monatsplanung!$E33*Monatsplanung!$H33)</f>
        <v>0</v>
      </c>
      <c r="AA137" s="80" t="e">
        <f t="shared" si="30"/>
        <v>#DIV/0!</v>
      </c>
      <c r="AB137" s="102">
        <f t="shared" si="31"/>
        <v>0</v>
      </c>
      <c r="AC137" s="103" t="e">
        <f t="shared" si="32"/>
        <v>#DIV/0!</v>
      </c>
      <c r="AD137" s="103" t="e">
        <f t="shared" si="33"/>
        <v>#DIV/0!</v>
      </c>
      <c r="AE137" s="81">
        <f t="shared" si="34"/>
        <v>0</v>
      </c>
      <c r="AF137" s="539"/>
      <c r="AG137" s="104">
        <f t="shared" si="35"/>
        <v>0</v>
      </c>
      <c r="AH137" s="7">
        <f t="shared" si="36"/>
        <v>0</v>
      </c>
      <c r="AI137" s="6">
        <f t="shared" si="37"/>
        <v>0</v>
      </c>
      <c r="AJ137" s="73">
        <f t="shared" si="38"/>
        <v>0</v>
      </c>
      <c r="AK137" s="539"/>
      <c r="AL137" s="748"/>
      <c r="AM137" s="748"/>
    </row>
    <row r="138" spans="2:39" x14ac:dyDescent="0.2">
      <c r="B138" s="101" t="str">
        <f t="shared" si="23"/>
        <v/>
      </c>
      <c r="C138" s="168">
        <f>IF(ISERROR(Personalplanung!F34/Monatsplanung!$E34*Monatsplanung!$H34),0,Personalplanung!F34/Monatsplanung!$E34*Monatsplanung!$H34)</f>
        <v>0</v>
      </c>
      <c r="D138" s="168">
        <f t="shared" si="24"/>
        <v>0</v>
      </c>
      <c r="E138" s="168">
        <f>IF(ISERROR(Personalplanung!H34/Monatsplanung!$E34*Monatsplanung!$H34),0,Personalplanung!H34/Monatsplanung!$E34*Monatsplanung!$H34)</f>
        <v>0</v>
      </c>
      <c r="F138" s="168">
        <f t="shared" si="25"/>
        <v>0</v>
      </c>
      <c r="G138" s="168" t="e">
        <f t="shared" si="26"/>
        <v>#DIV/0!</v>
      </c>
      <c r="H138" s="168" t="e">
        <f t="shared" si="27"/>
        <v>#DIV/0!</v>
      </c>
      <c r="I138" s="168">
        <f t="shared" si="28"/>
        <v>0</v>
      </c>
      <c r="J138" s="739"/>
      <c r="K138" s="168">
        <f>IF(J138&lt;&gt;"",J138,IF(ISERROR(Personalplanung!AB34/Monatsplanung!$E34*Monatsplanung!$H34),0,Personalplanung!AB34/Monatsplanung!$E34*Monatsplanung!$H34))</f>
        <v>0</v>
      </c>
      <c r="L138" s="740"/>
      <c r="M138" s="739"/>
      <c r="N138" s="168">
        <f>IF(M138&lt;&gt;"",M138,IF(ISERROR(Personalplanung!AC34/Monatsplanung!$E34*Monatsplanung!$H34),0,Personalplanung!AC34/Monatsplanung!$E34*Monatsplanung!$H34))</f>
        <v>0</v>
      </c>
      <c r="O138" s="740"/>
      <c r="P138" s="739"/>
      <c r="Q138" s="168">
        <f>IF(P138&lt;&gt;"",P138,IF(ISERROR(Personalplanung!AD34/Monatsplanung!$E34*Monatsplanung!$H34),0,Personalplanung!AD34/Monatsplanung!$E34*Monatsplanung!$H34))</f>
        <v>0</v>
      </c>
      <c r="R138" s="740"/>
      <c r="S138" s="739"/>
      <c r="T138" s="168">
        <f>IF(S138&lt;&gt;"",S138,IF(ISERROR(Personalplanung!AE34/Monatsplanung!$E34*Monatsplanung!$H34),0,Personalplanung!AE34/Monatsplanung!$E34*Monatsplanung!$H34))</f>
        <v>0</v>
      </c>
      <c r="U138" s="740"/>
      <c r="V138" s="168">
        <f t="shared" si="29"/>
        <v>0</v>
      </c>
      <c r="W138" s="168">
        <f>IF(ISERROR(Personalplanung!P34/Monatsplanung!$E34*Monatsplanung!$H34),0,Personalplanung!P34/Monatsplanung!$E34*Monatsplanung!$H34)</f>
        <v>0</v>
      </c>
      <c r="X138" s="168">
        <f>IF(ISERROR(Personalplanung!Q34/Monatsplanung!$E34*Monatsplanung!$H34),0,Personalplanung!Q34/Monatsplanung!$E34*Monatsplanung!$H34)</f>
        <v>0</v>
      </c>
      <c r="Y138" s="168">
        <f>IF(ISERROR(Personalplanung!R34/T1282*Stundencontrolling!T138),0,Personalplanung!R34/T1282*Stundencontrolling!T138)</f>
        <v>0</v>
      </c>
      <c r="Z138" s="168">
        <f>IF(ISERROR(Personalplanung!S34/Monatsplanung!$E34*Monatsplanung!$H34),0,Personalplanung!S34/Monatsplanung!$E34*Monatsplanung!$H34)</f>
        <v>0</v>
      </c>
      <c r="AA138" s="80" t="e">
        <f t="shared" si="30"/>
        <v>#DIV/0!</v>
      </c>
      <c r="AB138" s="102">
        <f t="shared" si="31"/>
        <v>0</v>
      </c>
      <c r="AC138" s="103" t="e">
        <f t="shared" si="32"/>
        <v>#DIV/0!</v>
      </c>
      <c r="AD138" s="103" t="e">
        <f t="shared" si="33"/>
        <v>#DIV/0!</v>
      </c>
      <c r="AE138" s="81">
        <f t="shared" si="34"/>
        <v>0</v>
      </c>
      <c r="AF138" s="539"/>
      <c r="AG138" s="104">
        <f t="shared" si="35"/>
        <v>0</v>
      </c>
      <c r="AH138" s="7">
        <f t="shared" si="36"/>
        <v>0</v>
      </c>
      <c r="AI138" s="6">
        <f t="shared" si="37"/>
        <v>0</v>
      </c>
      <c r="AJ138" s="73">
        <f t="shared" si="38"/>
        <v>0</v>
      </c>
      <c r="AK138" s="539"/>
      <c r="AL138" s="748"/>
      <c r="AM138" s="748"/>
    </row>
    <row r="139" spans="2:39" x14ac:dyDescent="0.2">
      <c r="B139" s="101" t="str">
        <f t="shared" si="23"/>
        <v/>
      </c>
      <c r="C139" s="168">
        <f>IF(ISERROR(Personalplanung!F35/Monatsplanung!$E35*Monatsplanung!$H35),0,Personalplanung!F35/Monatsplanung!$E35*Monatsplanung!$H35)</f>
        <v>0</v>
      </c>
      <c r="D139" s="168">
        <f t="shared" si="24"/>
        <v>0</v>
      </c>
      <c r="E139" s="168">
        <f>IF(ISERROR(Personalplanung!H35/Monatsplanung!$E35*Monatsplanung!$H35),0,Personalplanung!H35/Monatsplanung!$E35*Monatsplanung!$H35)</f>
        <v>0</v>
      </c>
      <c r="F139" s="168">
        <f t="shared" si="25"/>
        <v>0</v>
      </c>
      <c r="G139" s="168" t="e">
        <f t="shared" si="26"/>
        <v>#DIV/0!</v>
      </c>
      <c r="H139" s="168" t="e">
        <f t="shared" si="27"/>
        <v>#DIV/0!</v>
      </c>
      <c r="I139" s="168">
        <f t="shared" si="28"/>
        <v>0</v>
      </c>
      <c r="J139" s="739"/>
      <c r="K139" s="168">
        <f>IF(J139&lt;&gt;"",J139,IF(ISERROR(Personalplanung!AB35/Monatsplanung!$E35*Monatsplanung!$H35),0,Personalplanung!AB35/Monatsplanung!$E35*Monatsplanung!$H35))</f>
        <v>0</v>
      </c>
      <c r="L139" s="740"/>
      <c r="M139" s="739"/>
      <c r="N139" s="168">
        <f>IF(M139&lt;&gt;"",M139,IF(ISERROR(Personalplanung!AC35/Monatsplanung!$E35*Monatsplanung!$H35),0,Personalplanung!AC35/Monatsplanung!$E35*Monatsplanung!$H35))</f>
        <v>0</v>
      </c>
      <c r="O139" s="740"/>
      <c r="P139" s="739"/>
      <c r="Q139" s="168">
        <f>IF(P139&lt;&gt;"",P139,IF(ISERROR(Personalplanung!AD35/Monatsplanung!$E35*Monatsplanung!$H35),0,Personalplanung!AD35/Monatsplanung!$E35*Monatsplanung!$H35))</f>
        <v>0</v>
      </c>
      <c r="R139" s="740"/>
      <c r="S139" s="739"/>
      <c r="T139" s="168">
        <f>IF(S139&lt;&gt;"",S139,IF(ISERROR(Personalplanung!AE35/Monatsplanung!$E35*Monatsplanung!$H35),0,Personalplanung!AE35/Monatsplanung!$E35*Monatsplanung!$H35))</f>
        <v>0</v>
      </c>
      <c r="U139" s="740"/>
      <c r="V139" s="168">
        <f t="shared" si="29"/>
        <v>0</v>
      </c>
      <c r="W139" s="168">
        <f>IF(ISERROR(Personalplanung!P35/Monatsplanung!$E35*Monatsplanung!$H35),0,Personalplanung!P35/Monatsplanung!$E35*Monatsplanung!$H35)</f>
        <v>0</v>
      </c>
      <c r="X139" s="168">
        <f>IF(ISERROR(Personalplanung!Q35/Monatsplanung!$E35*Monatsplanung!$H35),0,Personalplanung!Q35/Monatsplanung!$E35*Monatsplanung!$H35)</f>
        <v>0</v>
      </c>
      <c r="Y139" s="168">
        <f>IF(ISERROR(Personalplanung!R35/T1283*Stundencontrolling!T139),0,Personalplanung!R35/T1283*Stundencontrolling!T139)</f>
        <v>0</v>
      </c>
      <c r="Z139" s="168">
        <f>IF(ISERROR(Personalplanung!S35/Monatsplanung!$E35*Monatsplanung!$H35),0,Personalplanung!S35/Monatsplanung!$E35*Monatsplanung!$H35)</f>
        <v>0</v>
      </c>
      <c r="AA139" s="80" t="e">
        <f t="shared" si="30"/>
        <v>#DIV/0!</v>
      </c>
      <c r="AB139" s="102">
        <f t="shared" si="31"/>
        <v>0</v>
      </c>
      <c r="AC139" s="103" t="e">
        <f t="shared" si="32"/>
        <v>#DIV/0!</v>
      </c>
      <c r="AD139" s="103" t="e">
        <f t="shared" si="33"/>
        <v>#DIV/0!</v>
      </c>
      <c r="AE139" s="81">
        <f t="shared" si="34"/>
        <v>0</v>
      </c>
      <c r="AF139" s="539"/>
      <c r="AG139" s="104">
        <f t="shared" si="35"/>
        <v>0</v>
      </c>
      <c r="AH139" s="7">
        <f t="shared" si="36"/>
        <v>0</v>
      </c>
      <c r="AI139" s="6">
        <f t="shared" si="37"/>
        <v>0</v>
      </c>
      <c r="AJ139" s="73">
        <f t="shared" si="38"/>
        <v>0</v>
      </c>
      <c r="AK139" s="539"/>
      <c r="AL139" s="748"/>
      <c r="AM139" s="748"/>
    </row>
    <row r="140" spans="2:39" x14ac:dyDescent="0.2">
      <c r="B140" s="101" t="str">
        <f t="shared" si="23"/>
        <v/>
      </c>
      <c r="C140" s="168">
        <f>IF(ISERROR(Personalplanung!F36/Monatsplanung!$E36*Monatsplanung!$H36),0,Personalplanung!F36/Monatsplanung!$E36*Monatsplanung!$H36)</f>
        <v>0</v>
      </c>
      <c r="D140" s="168">
        <f t="shared" si="24"/>
        <v>0</v>
      </c>
      <c r="E140" s="168">
        <f>IF(ISERROR(Personalplanung!H36/Monatsplanung!$E36*Monatsplanung!$H36),0,Personalplanung!H36/Monatsplanung!$E36*Monatsplanung!$H36)</f>
        <v>0</v>
      </c>
      <c r="F140" s="168">
        <f t="shared" si="25"/>
        <v>0</v>
      </c>
      <c r="G140" s="168" t="e">
        <f t="shared" si="26"/>
        <v>#DIV/0!</v>
      </c>
      <c r="H140" s="168" t="e">
        <f t="shared" si="27"/>
        <v>#DIV/0!</v>
      </c>
      <c r="I140" s="168">
        <f t="shared" si="28"/>
        <v>0</v>
      </c>
      <c r="J140" s="739"/>
      <c r="K140" s="168">
        <f>IF(J140&lt;&gt;"",J140,IF(ISERROR(Personalplanung!AB36/Monatsplanung!$E36*Monatsplanung!$H36),0,Personalplanung!AB36/Monatsplanung!$E36*Monatsplanung!$H36))</f>
        <v>0</v>
      </c>
      <c r="L140" s="740"/>
      <c r="M140" s="739"/>
      <c r="N140" s="168">
        <f>IF(M140&lt;&gt;"",M140,IF(ISERROR(Personalplanung!AC36/Monatsplanung!$E36*Monatsplanung!$H36),0,Personalplanung!AC36/Monatsplanung!$E36*Monatsplanung!$H36))</f>
        <v>0</v>
      </c>
      <c r="O140" s="740"/>
      <c r="P140" s="739"/>
      <c r="Q140" s="168">
        <f>IF(P140&lt;&gt;"",P140,IF(ISERROR(Personalplanung!AD36/Monatsplanung!$E36*Monatsplanung!$H36),0,Personalplanung!AD36/Monatsplanung!$E36*Monatsplanung!$H36))</f>
        <v>0</v>
      </c>
      <c r="R140" s="740"/>
      <c r="S140" s="739"/>
      <c r="T140" s="168">
        <f>IF(S140&lt;&gt;"",S140,IF(ISERROR(Personalplanung!AE36/Monatsplanung!$E36*Monatsplanung!$H36),0,Personalplanung!AE36/Monatsplanung!$E36*Monatsplanung!$H36))</f>
        <v>0</v>
      </c>
      <c r="U140" s="740"/>
      <c r="V140" s="168">
        <f t="shared" si="29"/>
        <v>0</v>
      </c>
      <c r="W140" s="168">
        <f>IF(ISERROR(Personalplanung!P36/Monatsplanung!$E36*Monatsplanung!$H36),0,Personalplanung!P36/Monatsplanung!$E36*Monatsplanung!$H36)</f>
        <v>0</v>
      </c>
      <c r="X140" s="168">
        <f>IF(ISERROR(Personalplanung!Q36/Monatsplanung!$E36*Monatsplanung!$H36),0,Personalplanung!Q36/Monatsplanung!$E36*Monatsplanung!$H36)</f>
        <v>0</v>
      </c>
      <c r="Y140" s="168">
        <f>IF(ISERROR(Personalplanung!R36/T1284*Stundencontrolling!T140),0,Personalplanung!R36/T1284*Stundencontrolling!T140)</f>
        <v>0</v>
      </c>
      <c r="Z140" s="168">
        <f>IF(ISERROR(Personalplanung!S36/Monatsplanung!$E36*Monatsplanung!$H36),0,Personalplanung!S36/Monatsplanung!$E36*Monatsplanung!$H36)</f>
        <v>0</v>
      </c>
      <c r="AA140" s="80" t="e">
        <f t="shared" si="30"/>
        <v>#DIV/0!</v>
      </c>
      <c r="AB140" s="102">
        <f t="shared" si="31"/>
        <v>0</v>
      </c>
      <c r="AC140" s="103" t="e">
        <f t="shared" si="32"/>
        <v>#DIV/0!</v>
      </c>
      <c r="AD140" s="103" t="e">
        <f t="shared" si="33"/>
        <v>#DIV/0!</v>
      </c>
      <c r="AE140" s="81">
        <f t="shared" si="34"/>
        <v>0</v>
      </c>
      <c r="AF140" s="539"/>
      <c r="AG140" s="104">
        <f t="shared" si="35"/>
        <v>0</v>
      </c>
      <c r="AH140" s="7">
        <f t="shared" si="36"/>
        <v>0</v>
      </c>
      <c r="AI140" s="6">
        <f t="shared" si="37"/>
        <v>0</v>
      </c>
      <c r="AJ140" s="73">
        <f t="shared" si="38"/>
        <v>0</v>
      </c>
      <c r="AK140" s="539"/>
      <c r="AL140" s="748"/>
      <c r="AM140" s="748"/>
    </row>
    <row r="141" spans="2:39" x14ac:dyDescent="0.2">
      <c r="B141" s="101" t="str">
        <f t="shared" si="23"/>
        <v/>
      </c>
      <c r="C141" s="168">
        <f>IF(ISERROR(Personalplanung!F37/Monatsplanung!$E37*Monatsplanung!$H37),0,Personalplanung!F37/Monatsplanung!$E37*Monatsplanung!$H37)</f>
        <v>0</v>
      </c>
      <c r="D141" s="168">
        <f t="shared" si="24"/>
        <v>0</v>
      </c>
      <c r="E141" s="168">
        <f>IF(ISERROR(Personalplanung!H37/Monatsplanung!$E37*Monatsplanung!$H37),0,Personalplanung!H37/Monatsplanung!$E37*Monatsplanung!$H37)</f>
        <v>0</v>
      </c>
      <c r="F141" s="168">
        <f t="shared" si="25"/>
        <v>0</v>
      </c>
      <c r="G141" s="168" t="e">
        <f t="shared" si="26"/>
        <v>#DIV/0!</v>
      </c>
      <c r="H141" s="168" t="e">
        <f t="shared" si="27"/>
        <v>#DIV/0!</v>
      </c>
      <c r="I141" s="168">
        <f t="shared" si="28"/>
        <v>0</v>
      </c>
      <c r="J141" s="739"/>
      <c r="K141" s="168">
        <f>IF(J141&lt;&gt;"",J141,IF(ISERROR(Personalplanung!AB37/Monatsplanung!$E37*Monatsplanung!$H37),0,Personalplanung!AB37/Monatsplanung!$E37*Monatsplanung!$H37))</f>
        <v>0</v>
      </c>
      <c r="L141" s="740"/>
      <c r="M141" s="739"/>
      <c r="N141" s="168">
        <f>IF(M141&lt;&gt;"",M141,IF(ISERROR(Personalplanung!AC37/Monatsplanung!$E37*Monatsplanung!$H37),0,Personalplanung!AC37/Monatsplanung!$E37*Monatsplanung!$H37))</f>
        <v>0</v>
      </c>
      <c r="O141" s="740"/>
      <c r="P141" s="739"/>
      <c r="Q141" s="168">
        <f>IF(P141&lt;&gt;"",P141,IF(ISERROR(Personalplanung!AD37/Monatsplanung!$E37*Monatsplanung!$H37),0,Personalplanung!AD37/Monatsplanung!$E37*Monatsplanung!$H37))</f>
        <v>0</v>
      </c>
      <c r="R141" s="740"/>
      <c r="S141" s="739"/>
      <c r="T141" s="168">
        <f>IF(S141&lt;&gt;"",S141,IF(ISERROR(Personalplanung!AE37/Monatsplanung!$E37*Monatsplanung!$H37),0,Personalplanung!AE37/Monatsplanung!$E37*Monatsplanung!$H37))</f>
        <v>0</v>
      </c>
      <c r="U141" s="740"/>
      <c r="V141" s="168">
        <f t="shared" si="29"/>
        <v>0</v>
      </c>
      <c r="W141" s="168">
        <f>IF(ISERROR(Personalplanung!P37/Monatsplanung!$E37*Monatsplanung!$H37),0,Personalplanung!P37/Monatsplanung!$E37*Monatsplanung!$H37)</f>
        <v>0</v>
      </c>
      <c r="X141" s="168">
        <f>IF(ISERROR(Personalplanung!Q37/Monatsplanung!$E37*Monatsplanung!$H37),0,Personalplanung!Q37/Monatsplanung!$E37*Monatsplanung!$H37)</f>
        <v>0</v>
      </c>
      <c r="Y141" s="168">
        <f>IF(ISERROR(Personalplanung!R37/T1285*Stundencontrolling!T141),0,Personalplanung!R37/T1285*Stundencontrolling!T141)</f>
        <v>0</v>
      </c>
      <c r="Z141" s="168">
        <f>IF(ISERROR(Personalplanung!S37/Monatsplanung!$E37*Monatsplanung!$H37),0,Personalplanung!S37/Monatsplanung!$E37*Monatsplanung!$H37)</f>
        <v>0</v>
      </c>
      <c r="AA141" s="80" t="e">
        <f t="shared" si="30"/>
        <v>#DIV/0!</v>
      </c>
      <c r="AB141" s="102">
        <f t="shared" si="31"/>
        <v>0</v>
      </c>
      <c r="AC141" s="103" t="e">
        <f t="shared" si="32"/>
        <v>#DIV/0!</v>
      </c>
      <c r="AD141" s="103" t="e">
        <f t="shared" si="33"/>
        <v>#DIV/0!</v>
      </c>
      <c r="AE141" s="81">
        <f t="shared" si="34"/>
        <v>0</v>
      </c>
      <c r="AF141" s="539"/>
      <c r="AG141" s="104">
        <f t="shared" si="35"/>
        <v>0</v>
      </c>
      <c r="AH141" s="7">
        <f t="shared" si="36"/>
        <v>0</v>
      </c>
      <c r="AI141" s="6">
        <f t="shared" si="37"/>
        <v>0</v>
      </c>
      <c r="AJ141" s="73">
        <f t="shared" si="38"/>
        <v>0</v>
      </c>
      <c r="AK141" s="539"/>
      <c r="AL141" s="748"/>
      <c r="AM141" s="748"/>
    </row>
    <row r="142" spans="2:39" x14ac:dyDescent="0.2">
      <c r="B142" s="101" t="str">
        <f t="shared" si="23"/>
        <v/>
      </c>
      <c r="C142" s="168">
        <f>IF(ISERROR(Personalplanung!F38/Monatsplanung!$E38*Monatsplanung!$H38),0,Personalplanung!F38/Monatsplanung!$E38*Monatsplanung!$H38)</f>
        <v>0</v>
      </c>
      <c r="D142" s="168">
        <f t="shared" si="24"/>
        <v>0</v>
      </c>
      <c r="E142" s="168">
        <f>IF(ISERROR(Personalplanung!H38/Monatsplanung!$E38*Monatsplanung!$H38),0,Personalplanung!H38/Monatsplanung!$E38*Monatsplanung!$H38)</f>
        <v>0</v>
      </c>
      <c r="F142" s="168">
        <f t="shared" si="25"/>
        <v>0</v>
      </c>
      <c r="G142" s="168" t="e">
        <f t="shared" si="26"/>
        <v>#DIV/0!</v>
      </c>
      <c r="H142" s="168" t="e">
        <f t="shared" si="27"/>
        <v>#DIV/0!</v>
      </c>
      <c r="I142" s="168">
        <f t="shared" si="28"/>
        <v>0</v>
      </c>
      <c r="J142" s="739"/>
      <c r="K142" s="168">
        <f>IF(J142&lt;&gt;"",J142,IF(ISERROR(Personalplanung!AB38/Monatsplanung!$E38*Monatsplanung!$H38),0,Personalplanung!AB38/Monatsplanung!$E38*Monatsplanung!$H38))</f>
        <v>0</v>
      </c>
      <c r="L142" s="740"/>
      <c r="M142" s="739"/>
      <c r="N142" s="168">
        <f>IF(M142&lt;&gt;"",M142,IF(ISERROR(Personalplanung!AC38/Monatsplanung!$E38*Monatsplanung!$H38),0,Personalplanung!AC38/Monatsplanung!$E38*Monatsplanung!$H38))</f>
        <v>0</v>
      </c>
      <c r="O142" s="740"/>
      <c r="P142" s="739"/>
      <c r="Q142" s="168">
        <f>IF(P142&lt;&gt;"",P142,IF(ISERROR(Personalplanung!AD38/Monatsplanung!$E38*Monatsplanung!$H38),0,Personalplanung!AD38/Monatsplanung!$E38*Monatsplanung!$H38))</f>
        <v>0</v>
      </c>
      <c r="R142" s="740"/>
      <c r="S142" s="739"/>
      <c r="T142" s="168">
        <f>IF(S142&lt;&gt;"",S142,IF(ISERROR(Personalplanung!AE38/Monatsplanung!$E38*Monatsplanung!$H38),0,Personalplanung!AE38/Monatsplanung!$E38*Monatsplanung!$H38))</f>
        <v>0</v>
      </c>
      <c r="U142" s="740"/>
      <c r="V142" s="168">
        <f t="shared" si="29"/>
        <v>0</v>
      </c>
      <c r="W142" s="168">
        <f>IF(ISERROR(Personalplanung!P38/Monatsplanung!$E38*Monatsplanung!$H38),0,Personalplanung!P38/Monatsplanung!$E38*Monatsplanung!$H38)</f>
        <v>0</v>
      </c>
      <c r="X142" s="168">
        <f>IF(ISERROR(Personalplanung!Q38/Monatsplanung!$E38*Monatsplanung!$H38),0,Personalplanung!Q38/Monatsplanung!$E38*Monatsplanung!$H38)</f>
        <v>0</v>
      </c>
      <c r="Y142" s="168">
        <f>IF(ISERROR(Personalplanung!R38/T1286*Stundencontrolling!T142),0,Personalplanung!R38/T1286*Stundencontrolling!T142)</f>
        <v>0</v>
      </c>
      <c r="Z142" s="168">
        <f>IF(ISERROR(Personalplanung!S38/Monatsplanung!$E38*Monatsplanung!$H38),0,Personalplanung!S38/Monatsplanung!$E38*Monatsplanung!$H38)</f>
        <v>0</v>
      </c>
      <c r="AA142" s="80" t="e">
        <f t="shared" si="30"/>
        <v>#DIV/0!</v>
      </c>
      <c r="AB142" s="102">
        <f t="shared" si="31"/>
        <v>0</v>
      </c>
      <c r="AC142" s="103" t="e">
        <f t="shared" si="32"/>
        <v>#DIV/0!</v>
      </c>
      <c r="AD142" s="103" t="e">
        <f t="shared" si="33"/>
        <v>#DIV/0!</v>
      </c>
      <c r="AE142" s="81">
        <f t="shared" si="34"/>
        <v>0</v>
      </c>
      <c r="AF142" s="539"/>
      <c r="AG142" s="104">
        <f t="shared" si="35"/>
        <v>0</v>
      </c>
      <c r="AH142" s="7">
        <f t="shared" si="36"/>
        <v>0</v>
      </c>
      <c r="AI142" s="6">
        <f t="shared" si="37"/>
        <v>0</v>
      </c>
      <c r="AJ142" s="73">
        <f t="shared" si="38"/>
        <v>0</v>
      </c>
      <c r="AK142" s="539"/>
      <c r="AL142" s="748"/>
      <c r="AM142" s="748"/>
    </row>
    <row r="143" spans="2:39" x14ac:dyDescent="0.2">
      <c r="B143" s="101" t="str">
        <f t="shared" si="23"/>
        <v/>
      </c>
      <c r="C143" s="168">
        <f>IF(ISERROR(Personalplanung!F39/Monatsplanung!$E39*Monatsplanung!$H39),0,Personalplanung!F39/Monatsplanung!$E39*Monatsplanung!$H39)</f>
        <v>0</v>
      </c>
      <c r="D143" s="168">
        <f t="shared" si="24"/>
        <v>0</v>
      </c>
      <c r="E143" s="168">
        <f>IF(ISERROR(Personalplanung!H39/Monatsplanung!$E39*Monatsplanung!$H39),0,Personalplanung!H39/Monatsplanung!$E39*Monatsplanung!$H39)</f>
        <v>0</v>
      </c>
      <c r="F143" s="168">
        <f t="shared" si="25"/>
        <v>0</v>
      </c>
      <c r="G143" s="168" t="e">
        <f t="shared" si="26"/>
        <v>#DIV/0!</v>
      </c>
      <c r="H143" s="168" t="e">
        <f t="shared" si="27"/>
        <v>#DIV/0!</v>
      </c>
      <c r="I143" s="168">
        <f t="shared" si="28"/>
        <v>0</v>
      </c>
      <c r="J143" s="739"/>
      <c r="K143" s="168">
        <f>IF(J143&lt;&gt;"",J143,IF(ISERROR(Personalplanung!AB39/Monatsplanung!$E39*Monatsplanung!$H39),0,Personalplanung!AB39/Monatsplanung!$E39*Monatsplanung!$H39))</f>
        <v>0</v>
      </c>
      <c r="L143" s="740"/>
      <c r="M143" s="739"/>
      <c r="N143" s="168">
        <f>IF(M143&lt;&gt;"",M143,IF(ISERROR(Personalplanung!AC39/Monatsplanung!$E39*Monatsplanung!$H39),0,Personalplanung!AC39/Monatsplanung!$E39*Monatsplanung!$H39))</f>
        <v>0</v>
      </c>
      <c r="O143" s="740"/>
      <c r="P143" s="739"/>
      <c r="Q143" s="168">
        <f>IF(P143&lt;&gt;"",P143,IF(ISERROR(Personalplanung!AD39/Monatsplanung!$E39*Monatsplanung!$H39),0,Personalplanung!AD39/Monatsplanung!$E39*Monatsplanung!$H39))</f>
        <v>0</v>
      </c>
      <c r="R143" s="740"/>
      <c r="S143" s="739"/>
      <c r="T143" s="168">
        <f>IF(S143&lt;&gt;"",S143,IF(ISERROR(Personalplanung!AE39/Monatsplanung!$E39*Monatsplanung!$H39),0,Personalplanung!AE39/Monatsplanung!$E39*Monatsplanung!$H39))</f>
        <v>0</v>
      </c>
      <c r="U143" s="740"/>
      <c r="V143" s="168">
        <f t="shared" si="29"/>
        <v>0</v>
      </c>
      <c r="W143" s="168">
        <f>IF(ISERROR(Personalplanung!P39/Monatsplanung!$E39*Monatsplanung!$H39),0,Personalplanung!P39/Monatsplanung!$E39*Monatsplanung!$H39)</f>
        <v>0</v>
      </c>
      <c r="X143" s="168">
        <f>IF(ISERROR(Personalplanung!Q39/Monatsplanung!$E39*Monatsplanung!$H39),0,Personalplanung!Q39/Monatsplanung!$E39*Monatsplanung!$H39)</f>
        <v>0</v>
      </c>
      <c r="Y143" s="168">
        <f>IF(ISERROR(Personalplanung!R39/T1287*Stundencontrolling!T143),0,Personalplanung!R39/T1287*Stundencontrolling!T143)</f>
        <v>0</v>
      </c>
      <c r="Z143" s="168">
        <f>IF(ISERROR(Personalplanung!S39/Monatsplanung!$E39*Monatsplanung!$H39),0,Personalplanung!S39/Monatsplanung!$E39*Monatsplanung!$H39)</f>
        <v>0</v>
      </c>
      <c r="AA143" s="80" t="e">
        <f t="shared" si="30"/>
        <v>#DIV/0!</v>
      </c>
      <c r="AB143" s="102">
        <f t="shared" si="31"/>
        <v>0</v>
      </c>
      <c r="AC143" s="103" t="e">
        <f t="shared" si="32"/>
        <v>#DIV/0!</v>
      </c>
      <c r="AD143" s="103" t="e">
        <f t="shared" si="33"/>
        <v>#DIV/0!</v>
      </c>
      <c r="AE143" s="81">
        <f t="shared" si="34"/>
        <v>0</v>
      </c>
      <c r="AF143" s="539"/>
      <c r="AG143" s="104">
        <f t="shared" si="35"/>
        <v>0</v>
      </c>
      <c r="AH143" s="7">
        <f t="shared" si="36"/>
        <v>0</v>
      </c>
      <c r="AI143" s="6">
        <f t="shared" si="37"/>
        <v>0</v>
      </c>
      <c r="AJ143" s="73">
        <f t="shared" si="38"/>
        <v>0</v>
      </c>
      <c r="AK143" s="539"/>
      <c r="AL143" s="748"/>
      <c r="AM143" s="748"/>
    </row>
    <row r="144" spans="2:39" x14ac:dyDescent="0.2">
      <c r="B144" s="101" t="str">
        <f t="shared" si="23"/>
        <v/>
      </c>
      <c r="C144" s="168">
        <f>IF(ISERROR(Personalplanung!F40/Monatsplanung!$E40*Monatsplanung!$H40),0,Personalplanung!F40/Monatsplanung!$E40*Monatsplanung!$H40)</f>
        <v>0</v>
      </c>
      <c r="D144" s="168">
        <f t="shared" si="24"/>
        <v>0</v>
      </c>
      <c r="E144" s="168">
        <f>IF(ISERROR(Personalplanung!H40/Monatsplanung!$E40*Monatsplanung!$H40),0,Personalplanung!H40/Monatsplanung!$E40*Monatsplanung!$H40)</f>
        <v>0</v>
      </c>
      <c r="F144" s="168">
        <f t="shared" si="25"/>
        <v>0</v>
      </c>
      <c r="G144" s="168" t="e">
        <f t="shared" si="26"/>
        <v>#DIV/0!</v>
      </c>
      <c r="H144" s="168" t="e">
        <f t="shared" si="27"/>
        <v>#DIV/0!</v>
      </c>
      <c r="I144" s="168">
        <f t="shared" si="28"/>
        <v>0</v>
      </c>
      <c r="J144" s="739"/>
      <c r="K144" s="168">
        <f>IF(J144&lt;&gt;"",J144,IF(ISERROR(Personalplanung!AB40/Monatsplanung!$E40*Monatsplanung!$H40),0,Personalplanung!AB40/Monatsplanung!$E40*Monatsplanung!$H40))</f>
        <v>0</v>
      </c>
      <c r="L144" s="740"/>
      <c r="M144" s="739"/>
      <c r="N144" s="168">
        <f>IF(M144&lt;&gt;"",M144,IF(ISERROR(Personalplanung!AC40/Monatsplanung!$E40*Monatsplanung!$H40),0,Personalplanung!AC40/Monatsplanung!$E40*Monatsplanung!$H40))</f>
        <v>0</v>
      </c>
      <c r="O144" s="740"/>
      <c r="P144" s="739"/>
      <c r="Q144" s="168">
        <f>IF(P144&lt;&gt;"",P144,IF(ISERROR(Personalplanung!AD40/Monatsplanung!$E40*Monatsplanung!$H40),0,Personalplanung!AD40/Monatsplanung!$E40*Monatsplanung!$H40))</f>
        <v>0</v>
      </c>
      <c r="R144" s="740"/>
      <c r="S144" s="739"/>
      <c r="T144" s="168">
        <f>IF(S144&lt;&gt;"",S144,IF(ISERROR(Personalplanung!AE40/Monatsplanung!$E40*Monatsplanung!$H40),0,Personalplanung!AE40/Monatsplanung!$E40*Monatsplanung!$H40))</f>
        <v>0</v>
      </c>
      <c r="U144" s="740"/>
      <c r="V144" s="168">
        <f t="shared" si="29"/>
        <v>0</v>
      </c>
      <c r="W144" s="168">
        <f>IF(ISERROR(Personalplanung!P40/Monatsplanung!$E40*Monatsplanung!$H40),0,Personalplanung!P40/Monatsplanung!$E40*Monatsplanung!$H40)</f>
        <v>0</v>
      </c>
      <c r="X144" s="168">
        <f>IF(ISERROR(Personalplanung!Q40/Monatsplanung!$E40*Monatsplanung!$H40),0,Personalplanung!Q40/Monatsplanung!$E40*Monatsplanung!$H40)</f>
        <v>0</v>
      </c>
      <c r="Y144" s="168">
        <f>IF(ISERROR(Personalplanung!R40/T1288*Stundencontrolling!T144),0,Personalplanung!R40/T1288*Stundencontrolling!T144)</f>
        <v>0</v>
      </c>
      <c r="Z144" s="168">
        <f>IF(ISERROR(Personalplanung!S40/Monatsplanung!$E40*Monatsplanung!$H40),0,Personalplanung!S40/Monatsplanung!$E40*Monatsplanung!$H40)</f>
        <v>0</v>
      </c>
      <c r="AA144" s="80" t="e">
        <f t="shared" si="30"/>
        <v>#DIV/0!</v>
      </c>
      <c r="AB144" s="102">
        <f t="shared" si="31"/>
        <v>0</v>
      </c>
      <c r="AC144" s="103" t="e">
        <f t="shared" si="32"/>
        <v>#DIV/0!</v>
      </c>
      <c r="AD144" s="103" t="e">
        <f t="shared" si="33"/>
        <v>#DIV/0!</v>
      </c>
      <c r="AE144" s="81">
        <f t="shared" si="34"/>
        <v>0</v>
      </c>
      <c r="AF144" s="539"/>
      <c r="AG144" s="104">
        <f t="shared" si="35"/>
        <v>0</v>
      </c>
      <c r="AH144" s="7">
        <f t="shared" si="36"/>
        <v>0</v>
      </c>
      <c r="AI144" s="6">
        <f t="shared" si="37"/>
        <v>0</v>
      </c>
      <c r="AJ144" s="73">
        <f t="shared" si="38"/>
        <v>0</v>
      </c>
      <c r="AK144" s="539"/>
      <c r="AL144" s="748"/>
      <c r="AM144" s="748"/>
    </row>
    <row r="145" spans="2:39" x14ac:dyDescent="0.2">
      <c r="B145" s="101" t="str">
        <f t="shared" si="23"/>
        <v/>
      </c>
      <c r="C145" s="168">
        <f>IF(ISERROR(Personalplanung!F41/Monatsplanung!$E41*Monatsplanung!$H41),0,Personalplanung!F41/Monatsplanung!$E41*Monatsplanung!$H41)</f>
        <v>0</v>
      </c>
      <c r="D145" s="168">
        <f t="shared" si="24"/>
        <v>0</v>
      </c>
      <c r="E145" s="168">
        <f>IF(ISERROR(Personalplanung!H41/Monatsplanung!$E41*Monatsplanung!$H41),0,Personalplanung!H41/Monatsplanung!$E41*Monatsplanung!$H41)</f>
        <v>0</v>
      </c>
      <c r="F145" s="168">
        <f t="shared" si="25"/>
        <v>0</v>
      </c>
      <c r="G145" s="168" t="e">
        <f t="shared" si="26"/>
        <v>#DIV/0!</v>
      </c>
      <c r="H145" s="168" t="e">
        <f t="shared" si="27"/>
        <v>#DIV/0!</v>
      </c>
      <c r="I145" s="168">
        <f t="shared" si="28"/>
        <v>0</v>
      </c>
      <c r="J145" s="739"/>
      <c r="K145" s="168">
        <f>IF(J145&lt;&gt;"",J145,IF(ISERROR(Personalplanung!AB41/Monatsplanung!$E41*Monatsplanung!$H41),0,Personalplanung!AB41/Monatsplanung!$E41*Monatsplanung!$H41))</f>
        <v>0</v>
      </c>
      <c r="L145" s="740"/>
      <c r="M145" s="739"/>
      <c r="N145" s="168">
        <f>IF(M145&lt;&gt;"",M145,IF(ISERROR(Personalplanung!AC41/Monatsplanung!$E41*Monatsplanung!$H41),0,Personalplanung!AC41/Monatsplanung!$E41*Monatsplanung!$H41))</f>
        <v>0</v>
      </c>
      <c r="O145" s="740"/>
      <c r="P145" s="739"/>
      <c r="Q145" s="168">
        <f>IF(P145&lt;&gt;"",P145,IF(ISERROR(Personalplanung!AD41/Monatsplanung!$E41*Monatsplanung!$H41),0,Personalplanung!AD41/Monatsplanung!$E41*Monatsplanung!$H41))</f>
        <v>0</v>
      </c>
      <c r="R145" s="740"/>
      <c r="S145" s="739"/>
      <c r="T145" s="168">
        <f>IF(S145&lt;&gt;"",S145,IF(ISERROR(Personalplanung!AE41/Monatsplanung!$E41*Monatsplanung!$H41),0,Personalplanung!AE41/Monatsplanung!$E41*Monatsplanung!$H41))</f>
        <v>0</v>
      </c>
      <c r="U145" s="740"/>
      <c r="V145" s="168">
        <f t="shared" si="29"/>
        <v>0</v>
      </c>
      <c r="W145" s="168">
        <f>IF(ISERROR(Personalplanung!P41/Monatsplanung!$E41*Monatsplanung!$H41),0,Personalplanung!P41/Monatsplanung!$E41*Monatsplanung!$H41)</f>
        <v>0</v>
      </c>
      <c r="X145" s="168">
        <f>IF(ISERROR(Personalplanung!Q41/Monatsplanung!$E41*Monatsplanung!$H41),0,Personalplanung!Q41/Monatsplanung!$E41*Monatsplanung!$H41)</f>
        <v>0</v>
      </c>
      <c r="Y145" s="168">
        <f>IF(ISERROR(Personalplanung!R41/T1289*Stundencontrolling!T145),0,Personalplanung!R41/T1289*Stundencontrolling!T145)</f>
        <v>0</v>
      </c>
      <c r="Z145" s="168">
        <f>IF(ISERROR(Personalplanung!S41/Monatsplanung!$E41*Monatsplanung!$H41),0,Personalplanung!S41/Monatsplanung!$E41*Monatsplanung!$H41)</f>
        <v>0</v>
      </c>
      <c r="AA145" s="80" t="e">
        <f t="shared" si="30"/>
        <v>#DIV/0!</v>
      </c>
      <c r="AB145" s="102">
        <f t="shared" si="31"/>
        <v>0</v>
      </c>
      <c r="AC145" s="103" t="e">
        <f t="shared" si="32"/>
        <v>#DIV/0!</v>
      </c>
      <c r="AD145" s="103" t="e">
        <f t="shared" si="33"/>
        <v>#DIV/0!</v>
      </c>
      <c r="AE145" s="81">
        <f t="shared" si="34"/>
        <v>0</v>
      </c>
      <c r="AF145" s="539"/>
      <c r="AG145" s="104">
        <f t="shared" si="35"/>
        <v>0</v>
      </c>
      <c r="AH145" s="7">
        <f t="shared" si="36"/>
        <v>0</v>
      </c>
      <c r="AI145" s="6">
        <f t="shared" si="37"/>
        <v>0</v>
      </c>
      <c r="AJ145" s="73">
        <f t="shared" si="38"/>
        <v>0</v>
      </c>
      <c r="AK145" s="539"/>
      <c r="AL145" s="748"/>
      <c r="AM145" s="748"/>
    </row>
    <row r="146" spans="2:39" x14ac:dyDescent="0.2">
      <c r="B146" s="101" t="str">
        <f t="shared" si="23"/>
        <v/>
      </c>
      <c r="C146" s="168">
        <f>IF(ISERROR(Personalplanung!F42/Monatsplanung!$E42*Monatsplanung!$H42),0,Personalplanung!F42/Monatsplanung!$E42*Monatsplanung!$H42)</f>
        <v>0</v>
      </c>
      <c r="D146" s="168">
        <f t="shared" si="24"/>
        <v>0</v>
      </c>
      <c r="E146" s="168">
        <f>IF(ISERROR(Personalplanung!H42/Monatsplanung!$E42*Monatsplanung!$H42),0,Personalplanung!H42/Monatsplanung!$E42*Monatsplanung!$H42)</f>
        <v>0</v>
      </c>
      <c r="F146" s="168">
        <f t="shared" si="25"/>
        <v>0</v>
      </c>
      <c r="G146" s="168" t="e">
        <f t="shared" si="26"/>
        <v>#DIV/0!</v>
      </c>
      <c r="H146" s="168" t="e">
        <f t="shared" si="27"/>
        <v>#DIV/0!</v>
      </c>
      <c r="I146" s="168">
        <f t="shared" si="28"/>
        <v>0</v>
      </c>
      <c r="J146" s="739"/>
      <c r="K146" s="168">
        <f>IF(J146&lt;&gt;"",J146,IF(ISERROR(Personalplanung!AB42/Monatsplanung!$E42*Monatsplanung!$H42),0,Personalplanung!AB42/Monatsplanung!$E42*Monatsplanung!$H42))</f>
        <v>0</v>
      </c>
      <c r="L146" s="740"/>
      <c r="M146" s="739"/>
      <c r="N146" s="168">
        <f>IF(M146&lt;&gt;"",M146,IF(ISERROR(Personalplanung!AC42/Monatsplanung!$E42*Monatsplanung!$H42),0,Personalplanung!AC42/Monatsplanung!$E42*Monatsplanung!$H42))</f>
        <v>0</v>
      </c>
      <c r="O146" s="740"/>
      <c r="P146" s="739"/>
      <c r="Q146" s="168">
        <f>IF(P146&lt;&gt;"",P146,IF(ISERROR(Personalplanung!AD42/Monatsplanung!$E42*Monatsplanung!$H42),0,Personalplanung!AD42/Monatsplanung!$E42*Monatsplanung!$H42))</f>
        <v>0</v>
      </c>
      <c r="R146" s="740"/>
      <c r="S146" s="739"/>
      <c r="T146" s="168">
        <f>IF(S146&lt;&gt;"",S146,IF(ISERROR(Personalplanung!AE42/Monatsplanung!$E42*Monatsplanung!$H42),0,Personalplanung!AE42/Monatsplanung!$E42*Monatsplanung!$H42))</f>
        <v>0</v>
      </c>
      <c r="U146" s="740"/>
      <c r="V146" s="168">
        <f t="shared" si="29"/>
        <v>0</v>
      </c>
      <c r="W146" s="168">
        <f>IF(ISERROR(Personalplanung!P42/Monatsplanung!$E42*Monatsplanung!$H42),0,Personalplanung!P42/Monatsplanung!$E42*Monatsplanung!$H42)</f>
        <v>0</v>
      </c>
      <c r="X146" s="168">
        <f>IF(ISERROR(Personalplanung!Q42/Monatsplanung!$E42*Monatsplanung!$H42),0,Personalplanung!Q42/Monatsplanung!$E42*Monatsplanung!$H42)</f>
        <v>0</v>
      </c>
      <c r="Y146" s="168">
        <f>IF(ISERROR(Personalplanung!R42/T1290*Stundencontrolling!T146),0,Personalplanung!R42/T1290*Stundencontrolling!T146)</f>
        <v>0</v>
      </c>
      <c r="Z146" s="168">
        <f>IF(ISERROR(Personalplanung!S42/Monatsplanung!$E42*Monatsplanung!$H42),0,Personalplanung!S42/Monatsplanung!$E42*Monatsplanung!$H42)</f>
        <v>0</v>
      </c>
      <c r="AA146" s="80" t="e">
        <f t="shared" si="30"/>
        <v>#DIV/0!</v>
      </c>
      <c r="AB146" s="102">
        <f t="shared" si="31"/>
        <v>0</v>
      </c>
      <c r="AC146" s="103" t="e">
        <f t="shared" si="32"/>
        <v>#DIV/0!</v>
      </c>
      <c r="AD146" s="103" t="e">
        <f t="shared" si="33"/>
        <v>#DIV/0!</v>
      </c>
      <c r="AE146" s="81">
        <f t="shared" si="34"/>
        <v>0</v>
      </c>
      <c r="AF146" s="539"/>
      <c r="AG146" s="104">
        <f t="shared" si="35"/>
        <v>0</v>
      </c>
      <c r="AH146" s="7">
        <f t="shared" si="36"/>
        <v>0</v>
      </c>
      <c r="AI146" s="6">
        <f t="shared" si="37"/>
        <v>0</v>
      </c>
      <c r="AJ146" s="73">
        <f t="shared" si="38"/>
        <v>0</v>
      </c>
      <c r="AK146" s="539"/>
      <c r="AL146" s="748"/>
      <c r="AM146" s="748"/>
    </row>
    <row r="147" spans="2:39" x14ac:dyDescent="0.2">
      <c r="B147" s="101" t="str">
        <f t="shared" si="23"/>
        <v/>
      </c>
      <c r="C147" s="168">
        <f>IF(ISERROR(Personalplanung!F43/Monatsplanung!$E43*Monatsplanung!$H43),0,Personalplanung!F43/Monatsplanung!$E43*Monatsplanung!$H43)</f>
        <v>0</v>
      </c>
      <c r="D147" s="168">
        <f t="shared" si="24"/>
        <v>0</v>
      </c>
      <c r="E147" s="168">
        <f>IF(ISERROR(Personalplanung!H43/Monatsplanung!$E43*Monatsplanung!$H43),0,Personalplanung!H43/Monatsplanung!$E43*Monatsplanung!$H43)</f>
        <v>0</v>
      </c>
      <c r="F147" s="168">
        <f t="shared" si="25"/>
        <v>0</v>
      </c>
      <c r="G147" s="168" t="e">
        <f t="shared" si="26"/>
        <v>#DIV/0!</v>
      </c>
      <c r="H147" s="168" t="e">
        <f t="shared" si="27"/>
        <v>#DIV/0!</v>
      </c>
      <c r="I147" s="168">
        <f t="shared" si="28"/>
        <v>0</v>
      </c>
      <c r="J147" s="739"/>
      <c r="K147" s="168">
        <f>IF(J147&lt;&gt;"",J147,IF(ISERROR(Personalplanung!AB43/Monatsplanung!$E43*Monatsplanung!$H43),0,Personalplanung!AB43/Monatsplanung!$E43*Monatsplanung!$H43))</f>
        <v>0</v>
      </c>
      <c r="L147" s="740"/>
      <c r="M147" s="739"/>
      <c r="N147" s="168">
        <f>IF(M147&lt;&gt;"",M147,IF(ISERROR(Personalplanung!AC43/Monatsplanung!$E43*Monatsplanung!$H43),0,Personalplanung!AC43/Monatsplanung!$E43*Monatsplanung!$H43))</f>
        <v>0</v>
      </c>
      <c r="O147" s="740"/>
      <c r="P147" s="739"/>
      <c r="Q147" s="168">
        <f>IF(P147&lt;&gt;"",P147,IF(ISERROR(Personalplanung!AD43/Monatsplanung!$E43*Monatsplanung!$H43),0,Personalplanung!AD43/Monatsplanung!$E43*Monatsplanung!$H43))</f>
        <v>0</v>
      </c>
      <c r="R147" s="740"/>
      <c r="S147" s="739"/>
      <c r="T147" s="168">
        <f>IF(S147&lt;&gt;"",S147,IF(ISERROR(Personalplanung!AE43/Monatsplanung!$E43*Monatsplanung!$H43),0,Personalplanung!AE43/Monatsplanung!$E43*Monatsplanung!$H43))</f>
        <v>0</v>
      </c>
      <c r="U147" s="740"/>
      <c r="V147" s="168">
        <f t="shared" si="29"/>
        <v>0</v>
      </c>
      <c r="W147" s="168">
        <f>IF(ISERROR(Personalplanung!P43/Monatsplanung!$E43*Monatsplanung!$H43),0,Personalplanung!P43/Monatsplanung!$E43*Monatsplanung!$H43)</f>
        <v>0</v>
      </c>
      <c r="X147" s="168">
        <f>IF(ISERROR(Personalplanung!Q43/Monatsplanung!$E43*Monatsplanung!$H43),0,Personalplanung!Q43/Monatsplanung!$E43*Monatsplanung!$H43)</f>
        <v>0</v>
      </c>
      <c r="Y147" s="168">
        <f>IF(ISERROR(Personalplanung!R43/T1291*Stundencontrolling!T147),0,Personalplanung!R43/T1291*Stundencontrolling!T147)</f>
        <v>0</v>
      </c>
      <c r="Z147" s="168">
        <f>IF(ISERROR(Personalplanung!S43/Monatsplanung!$E43*Monatsplanung!$H43),0,Personalplanung!S43/Monatsplanung!$E43*Monatsplanung!$H43)</f>
        <v>0</v>
      </c>
      <c r="AA147" s="80" t="e">
        <f t="shared" si="30"/>
        <v>#DIV/0!</v>
      </c>
      <c r="AB147" s="102">
        <f t="shared" si="31"/>
        <v>0</v>
      </c>
      <c r="AC147" s="103" t="e">
        <f t="shared" si="32"/>
        <v>#DIV/0!</v>
      </c>
      <c r="AD147" s="103" t="e">
        <f t="shared" si="33"/>
        <v>#DIV/0!</v>
      </c>
      <c r="AE147" s="81">
        <f t="shared" si="34"/>
        <v>0</v>
      </c>
      <c r="AF147" s="539"/>
      <c r="AG147" s="104">
        <f t="shared" si="35"/>
        <v>0</v>
      </c>
      <c r="AH147" s="7">
        <f t="shared" si="36"/>
        <v>0</v>
      </c>
      <c r="AI147" s="6">
        <f t="shared" si="37"/>
        <v>0</v>
      </c>
      <c r="AJ147" s="73">
        <f t="shared" si="38"/>
        <v>0</v>
      </c>
      <c r="AK147" s="539"/>
      <c r="AL147" s="748"/>
      <c r="AM147" s="748"/>
    </row>
    <row r="148" spans="2:39" x14ac:dyDescent="0.2">
      <c r="B148" s="101" t="str">
        <f t="shared" si="23"/>
        <v/>
      </c>
      <c r="C148" s="168">
        <f>IF(ISERROR(Personalplanung!F44/Monatsplanung!$E44*Monatsplanung!$H44),0,Personalplanung!F44/Monatsplanung!$E44*Monatsplanung!$H44)</f>
        <v>0</v>
      </c>
      <c r="D148" s="168">
        <f t="shared" si="24"/>
        <v>0</v>
      </c>
      <c r="E148" s="168">
        <f>IF(ISERROR(Personalplanung!H44/Monatsplanung!$E44*Monatsplanung!$H44),0,Personalplanung!H44/Monatsplanung!$E44*Monatsplanung!$H44)</f>
        <v>0</v>
      </c>
      <c r="F148" s="168">
        <f t="shared" si="25"/>
        <v>0</v>
      </c>
      <c r="G148" s="168" t="e">
        <f t="shared" si="26"/>
        <v>#DIV/0!</v>
      </c>
      <c r="H148" s="168" t="e">
        <f t="shared" si="27"/>
        <v>#DIV/0!</v>
      </c>
      <c r="I148" s="168">
        <f t="shared" si="28"/>
        <v>0</v>
      </c>
      <c r="J148" s="739"/>
      <c r="K148" s="168">
        <f>IF(J148&lt;&gt;"",J148,IF(ISERROR(Personalplanung!AB44/Monatsplanung!$E44*Monatsplanung!$H44),0,Personalplanung!AB44/Monatsplanung!$E44*Monatsplanung!$H44))</f>
        <v>0</v>
      </c>
      <c r="L148" s="740"/>
      <c r="M148" s="739"/>
      <c r="N148" s="168">
        <f>IF(M148&lt;&gt;"",M148,IF(ISERROR(Personalplanung!AC44/Monatsplanung!$E44*Monatsplanung!$H44),0,Personalplanung!AC44/Monatsplanung!$E44*Monatsplanung!$H44))</f>
        <v>0</v>
      </c>
      <c r="O148" s="740"/>
      <c r="P148" s="739"/>
      <c r="Q148" s="168">
        <f>IF(P148&lt;&gt;"",P148,IF(ISERROR(Personalplanung!AD44/Monatsplanung!$E44*Monatsplanung!$H44),0,Personalplanung!AD44/Monatsplanung!$E44*Monatsplanung!$H44))</f>
        <v>0</v>
      </c>
      <c r="R148" s="740"/>
      <c r="S148" s="739"/>
      <c r="T148" s="168">
        <f>IF(S148&lt;&gt;"",S148,IF(ISERROR(Personalplanung!AE44/Monatsplanung!$E44*Monatsplanung!$H44),0,Personalplanung!AE44/Monatsplanung!$E44*Monatsplanung!$H44))</f>
        <v>0</v>
      </c>
      <c r="U148" s="740"/>
      <c r="V148" s="168">
        <f t="shared" si="29"/>
        <v>0</v>
      </c>
      <c r="W148" s="168">
        <f>IF(ISERROR(Personalplanung!P44/Monatsplanung!$E44*Monatsplanung!$H44),0,Personalplanung!P44/Monatsplanung!$E44*Monatsplanung!$H44)</f>
        <v>0</v>
      </c>
      <c r="X148" s="168">
        <f>IF(ISERROR(Personalplanung!Q44/Monatsplanung!$E44*Monatsplanung!$H44),0,Personalplanung!Q44/Monatsplanung!$E44*Monatsplanung!$H44)</f>
        <v>0</v>
      </c>
      <c r="Y148" s="168">
        <f>IF(ISERROR(Personalplanung!R44/T1292*Stundencontrolling!T148),0,Personalplanung!R44/T1292*Stundencontrolling!T148)</f>
        <v>0</v>
      </c>
      <c r="Z148" s="168">
        <f>IF(ISERROR(Personalplanung!S44/Monatsplanung!$E44*Monatsplanung!$H44),0,Personalplanung!S44/Monatsplanung!$E44*Monatsplanung!$H44)</f>
        <v>0</v>
      </c>
      <c r="AA148" s="80" t="e">
        <f t="shared" si="30"/>
        <v>#DIV/0!</v>
      </c>
      <c r="AB148" s="102">
        <f t="shared" si="31"/>
        <v>0</v>
      </c>
      <c r="AC148" s="103" t="e">
        <f t="shared" si="32"/>
        <v>#DIV/0!</v>
      </c>
      <c r="AD148" s="103" t="e">
        <f t="shared" si="33"/>
        <v>#DIV/0!</v>
      </c>
      <c r="AE148" s="81">
        <f t="shared" si="34"/>
        <v>0</v>
      </c>
      <c r="AF148" s="539"/>
      <c r="AG148" s="104">
        <f t="shared" si="35"/>
        <v>0</v>
      </c>
      <c r="AH148" s="7">
        <f t="shared" si="36"/>
        <v>0</v>
      </c>
      <c r="AI148" s="6">
        <f t="shared" si="37"/>
        <v>0</v>
      </c>
      <c r="AJ148" s="73">
        <f t="shared" si="38"/>
        <v>0</v>
      </c>
      <c r="AK148" s="539"/>
      <c r="AL148" s="748"/>
      <c r="AM148" s="748"/>
    </row>
    <row r="149" spans="2:39" x14ac:dyDescent="0.2">
      <c r="B149" s="101" t="str">
        <f t="shared" si="23"/>
        <v/>
      </c>
      <c r="C149" s="168">
        <f>IF(ISERROR(Personalplanung!F45/Monatsplanung!$E45*Monatsplanung!$H45),0,Personalplanung!F45/Monatsplanung!$E45*Monatsplanung!$H45)</f>
        <v>0</v>
      </c>
      <c r="D149" s="168">
        <f t="shared" si="24"/>
        <v>0</v>
      </c>
      <c r="E149" s="168">
        <f>IF(ISERROR(Personalplanung!H45/Monatsplanung!$E45*Monatsplanung!$H45),0,Personalplanung!H45/Monatsplanung!$E45*Monatsplanung!$H45)</f>
        <v>0</v>
      </c>
      <c r="F149" s="168">
        <f t="shared" si="25"/>
        <v>0</v>
      </c>
      <c r="G149" s="168" t="e">
        <f t="shared" si="26"/>
        <v>#DIV/0!</v>
      </c>
      <c r="H149" s="168" t="e">
        <f t="shared" si="27"/>
        <v>#DIV/0!</v>
      </c>
      <c r="I149" s="168">
        <f t="shared" si="28"/>
        <v>0</v>
      </c>
      <c r="J149" s="739"/>
      <c r="K149" s="168">
        <f>IF(J149&lt;&gt;"",J149,IF(ISERROR(Personalplanung!AB45/Monatsplanung!$E45*Monatsplanung!$H45),0,Personalplanung!AB45/Monatsplanung!$E45*Monatsplanung!$H45))</f>
        <v>0</v>
      </c>
      <c r="L149" s="740"/>
      <c r="M149" s="739"/>
      <c r="N149" s="168">
        <f>IF(M149&lt;&gt;"",M149,IF(ISERROR(Personalplanung!AC45/Monatsplanung!$E45*Monatsplanung!$H45),0,Personalplanung!AC45/Monatsplanung!$E45*Monatsplanung!$H45))</f>
        <v>0</v>
      </c>
      <c r="O149" s="740"/>
      <c r="P149" s="739"/>
      <c r="Q149" s="168">
        <f>IF(P149&lt;&gt;"",P149,IF(ISERROR(Personalplanung!AD45/Monatsplanung!$E45*Monatsplanung!$H45),0,Personalplanung!AD45/Monatsplanung!$E45*Monatsplanung!$H45))</f>
        <v>0</v>
      </c>
      <c r="R149" s="740"/>
      <c r="S149" s="739"/>
      <c r="T149" s="168">
        <f>IF(S149&lt;&gt;"",S149,IF(ISERROR(Personalplanung!AE45/Monatsplanung!$E45*Monatsplanung!$H45),0,Personalplanung!AE45/Monatsplanung!$E45*Monatsplanung!$H45))</f>
        <v>0</v>
      </c>
      <c r="U149" s="740"/>
      <c r="V149" s="168">
        <f t="shared" si="29"/>
        <v>0</v>
      </c>
      <c r="W149" s="168">
        <f>IF(ISERROR(Personalplanung!P45/Monatsplanung!$E45*Monatsplanung!$H45),0,Personalplanung!P45/Monatsplanung!$E45*Monatsplanung!$H45)</f>
        <v>0</v>
      </c>
      <c r="X149" s="168">
        <f>IF(ISERROR(Personalplanung!Q45/Monatsplanung!$E45*Monatsplanung!$H45),0,Personalplanung!Q45/Monatsplanung!$E45*Monatsplanung!$H45)</f>
        <v>0</v>
      </c>
      <c r="Y149" s="168">
        <f>IF(ISERROR(Personalplanung!R45/T1293*Stundencontrolling!T149),0,Personalplanung!R45/T1293*Stundencontrolling!T149)</f>
        <v>0</v>
      </c>
      <c r="Z149" s="168">
        <f>IF(ISERROR(Personalplanung!S45/Monatsplanung!$E45*Monatsplanung!$H45),0,Personalplanung!S45/Monatsplanung!$E45*Monatsplanung!$H45)</f>
        <v>0</v>
      </c>
      <c r="AA149" s="80" t="e">
        <f t="shared" si="30"/>
        <v>#DIV/0!</v>
      </c>
      <c r="AB149" s="102">
        <f t="shared" si="31"/>
        <v>0</v>
      </c>
      <c r="AC149" s="103" t="e">
        <f t="shared" si="32"/>
        <v>#DIV/0!</v>
      </c>
      <c r="AD149" s="103" t="e">
        <f t="shared" si="33"/>
        <v>#DIV/0!</v>
      </c>
      <c r="AE149" s="81">
        <f t="shared" si="34"/>
        <v>0</v>
      </c>
      <c r="AF149" s="539"/>
      <c r="AG149" s="104">
        <f t="shared" si="35"/>
        <v>0</v>
      </c>
      <c r="AH149" s="7">
        <f t="shared" si="36"/>
        <v>0</v>
      </c>
      <c r="AI149" s="6">
        <f t="shared" si="37"/>
        <v>0</v>
      </c>
      <c r="AJ149" s="73">
        <f t="shared" si="38"/>
        <v>0</v>
      </c>
      <c r="AK149" s="539"/>
      <c r="AL149" s="748"/>
      <c r="AM149" s="748"/>
    </row>
    <row r="150" spans="2:39" x14ac:dyDescent="0.2">
      <c r="B150" s="101" t="str">
        <f t="shared" si="23"/>
        <v/>
      </c>
      <c r="C150" s="168">
        <f>IF(ISERROR(Personalplanung!F46/Monatsplanung!$E46*Monatsplanung!$H46),0,Personalplanung!F46/Monatsplanung!$E46*Monatsplanung!$H46)</f>
        <v>0</v>
      </c>
      <c r="D150" s="168">
        <f t="shared" si="24"/>
        <v>0</v>
      </c>
      <c r="E150" s="168">
        <f>IF(ISERROR(Personalplanung!H46/Monatsplanung!$E46*Monatsplanung!$H46),0,Personalplanung!H46/Monatsplanung!$E46*Monatsplanung!$H46)</f>
        <v>0</v>
      </c>
      <c r="F150" s="168">
        <f t="shared" si="25"/>
        <v>0</v>
      </c>
      <c r="G150" s="168" t="e">
        <f t="shared" si="26"/>
        <v>#DIV/0!</v>
      </c>
      <c r="H150" s="168" t="e">
        <f t="shared" si="27"/>
        <v>#DIV/0!</v>
      </c>
      <c r="I150" s="168">
        <f t="shared" si="28"/>
        <v>0</v>
      </c>
      <c r="J150" s="739"/>
      <c r="K150" s="168">
        <f>IF(J150&lt;&gt;"",J150,IF(ISERROR(Personalplanung!AB46/Monatsplanung!$E46*Monatsplanung!$H46),0,Personalplanung!AB46/Monatsplanung!$E46*Monatsplanung!$H46))</f>
        <v>0</v>
      </c>
      <c r="L150" s="740"/>
      <c r="M150" s="739"/>
      <c r="N150" s="168">
        <f>IF(M150&lt;&gt;"",M150,IF(ISERROR(Personalplanung!AC46/Monatsplanung!$E46*Monatsplanung!$H46),0,Personalplanung!AC46/Monatsplanung!$E46*Monatsplanung!$H46))</f>
        <v>0</v>
      </c>
      <c r="O150" s="740"/>
      <c r="P150" s="739"/>
      <c r="Q150" s="168">
        <f>IF(P150&lt;&gt;"",P150,IF(ISERROR(Personalplanung!AD46/Monatsplanung!$E46*Monatsplanung!$H46),0,Personalplanung!AD46/Monatsplanung!$E46*Monatsplanung!$H46))</f>
        <v>0</v>
      </c>
      <c r="R150" s="740"/>
      <c r="S150" s="739"/>
      <c r="T150" s="168">
        <f>IF(S150&lt;&gt;"",S150,IF(ISERROR(Personalplanung!AE46/Monatsplanung!$E46*Monatsplanung!$H46),0,Personalplanung!AE46/Monatsplanung!$E46*Monatsplanung!$H46))</f>
        <v>0</v>
      </c>
      <c r="U150" s="740"/>
      <c r="V150" s="168">
        <f t="shared" si="29"/>
        <v>0</v>
      </c>
      <c r="W150" s="168">
        <f>IF(ISERROR(Personalplanung!P46/Monatsplanung!$E46*Monatsplanung!$H46),0,Personalplanung!P46/Monatsplanung!$E46*Monatsplanung!$H46)</f>
        <v>0</v>
      </c>
      <c r="X150" s="168">
        <f>IF(ISERROR(Personalplanung!Q46/Monatsplanung!$E46*Monatsplanung!$H46),0,Personalplanung!Q46/Monatsplanung!$E46*Monatsplanung!$H46)</f>
        <v>0</v>
      </c>
      <c r="Y150" s="168">
        <f>IF(ISERROR(Personalplanung!R46/T1294*Stundencontrolling!T150),0,Personalplanung!R46/T1294*Stundencontrolling!T150)</f>
        <v>0</v>
      </c>
      <c r="Z150" s="168">
        <f>IF(ISERROR(Personalplanung!S46/Monatsplanung!$E46*Monatsplanung!$H46),0,Personalplanung!S46/Monatsplanung!$E46*Monatsplanung!$H46)</f>
        <v>0</v>
      </c>
      <c r="AA150" s="80" t="e">
        <f t="shared" si="30"/>
        <v>#DIV/0!</v>
      </c>
      <c r="AB150" s="102">
        <f t="shared" si="31"/>
        <v>0</v>
      </c>
      <c r="AC150" s="103" t="e">
        <f t="shared" si="32"/>
        <v>#DIV/0!</v>
      </c>
      <c r="AD150" s="103" t="e">
        <f t="shared" si="33"/>
        <v>#DIV/0!</v>
      </c>
      <c r="AE150" s="81">
        <f t="shared" si="34"/>
        <v>0</v>
      </c>
      <c r="AF150" s="539"/>
      <c r="AG150" s="104">
        <f t="shared" si="35"/>
        <v>0</v>
      </c>
      <c r="AH150" s="7">
        <f t="shared" si="36"/>
        <v>0</v>
      </c>
      <c r="AI150" s="6">
        <f t="shared" si="37"/>
        <v>0</v>
      </c>
      <c r="AJ150" s="73">
        <f t="shared" si="38"/>
        <v>0</v>
      </c>
      <c r="AK150" s="539"/>
      <c r="AL150" s="748"/>
      <c r="AM150" s="748"/>
    </row>
    <row r="151" spans="2:39" x14ac:dyDescent="0.2">
      <c r="B151" s="101" t="str">
        <f t="shared" si="23"/>
        <v/>
      </c>
      <c r="C151" s="168">
        <f>IF(ISERROR(Personalplanung!F47/Monatsplanung!$E47*Monatsplanung!$H47),0,Personalplanung!F47/Monatsplanung!$E47*Monatsplanung!$H47)</f>
        <v>0</v>
      </c>
      <c r="D151" s="168">
        <f t="shared" si="24"/>
        <v>0</v>
      </c>
      <c r="E151" s="168">
        <f>IF(ISERROR(Personalplanung!H47/Monatsplanung!$E47*Monatsplanung!$H47),0,Personalplanung!H47/Monatsplanung!$E47*Monatsplanung!$H47)</f>
        <v>0</v>
      </c>
      <c r="F151" s="168">
        <f t="shared" si="25"/>
        <v>0</v>
      </c>
      <c r="G151" s="168" t="e">
        <f t="shared" si="26"/>
        <v>#DIV/0!</v>
      </c>
      <c r="H151" s="168" t="e">
        <f t="shared" si="27"/>
        <v>#DIV/0!</v>
      </c>
      <c r="I151" s="168">
        <f t="shared" si="28"/>
        <v>0</v>
      </c>
      <c r="J151" s="739"/>
      <c r="K151" s="168">
        <f>IF(J151&lt;&gt;"",J151,IF(ISERROR(Personalplanung!AB47/Monatsplanung!$E47*Monatsplanung!$H47),0,Personalplanung!AB47/Monatsplanung!$E47*Monatsplanung!$H47))</f>
        <v>0</v>
      </c>
      <c r="L151" s="740"/>
      <c r="M151" s="739"/>
      <c r="N151" s="168">
        <f>IF(M151&lt;&gt;"",M151,IF(ISERROR(Personalplanung!AC47/Monatsplanung!$E47*Monatsplanung!$H47),0,Personalplanung!AC47/Monatsplanung!$E47*Monatsplanung!$H47))</f>
        <v>0</v>
      </c>
      <c r="O151" s="740"/>
      <c r="P151" s="739"/>
      <c r="Q151" s="168">
        <f>IF(P151&lt;&gt;"",P151,IF(ISERROR(Personalplanung!AD47/Monatsplanung!$E47*Monatsplanung!$H47),0,Personalplanung!AD47/Monatsplanung!$E47*Monatsplanung!$H47))</f>
        <v>0</v>
      </c>
      <c r="R151" s="740"/>
      <c r="S151" s="739"/>
      <c r="T151" s="168">
        <f>IF(S151&lt;&gt;"",S151,IF(ISERROR(Personalplanung!AE47/Monatsplanung!$E47*Monatsplanung!$H47),0,Personalplanung!AE47/Monatsplanung!$E47*Monatsplanung!$H47))</f>
        <v>0</v>
      </c>
      <c r="U151" s="740"/>
      <c r="V151" s="168">
        <f t="shared" si="29"/>
        <v>0</v>
      </c>
      <c r="W151" s="168">
        <f>IF(ISERROR(Personalplanung!P47/Monatsplanung!$E47*Monatsplanung!$H47),0,Personalplanung!P47/Monatsplanung!$E47*Monatsplanung!$H47)</f>
        <v>0</v>
      </c>
      <c r="X151" s="168">
        <f>IF(ISERROR(Personalplanung!Q47/Monatsplanung!$E47*Monatsplanung!$H47),0,Personalplanung!Q47/Monatsplanung!$E47*Monatsplanung!$H47)</f>
        <v>0</v>
      </c>
      <c r="Y151" s="168">
        <f>IF(ISERROR(Personalplanung!R47/T1295*Stundencontrolling!T151),0,Personalplanung!R47/T1295*Stundencontrolling!T151)</f>
        <v>0</v>
      </c>
      <c r="Z151" s="168">
        <f>IF(ISERROR(Personalplanung!S47/Monatsplanung!$E47*Monatsplanung!$H47),0,Personalplanung!S47/Monatsplanung!$E47*Monatsplanung!$H47)</f>
        <v>0</v>
      </c>
      <c r="AA151" s="80" t="e">
        <f t="shared" si="30"/>
        <v>#DIV/0!</v>
      </c>
      <c r="AB151" s="102">
        <f t="shared" si="31"/>
        <v>0</v>
      </c>
      <c r="AC151" s="103" t="e">
        <f t="shared" si="32"/>
        <v>#DIV/0!</v>
      </c>
      <c r="AD151" s="103" t="e">
        <f t="shared" si="33"/>
        <v>#DIV/0!</v>
      </c>
      <c r="AE151" s="81">
        <f t="shared" si="34"/>
        <v>0</v>
      </c>
      <c r="AF151" s="539"/>
      <c r="AG151" s="104">
        <f t="shared" si="35"/>
        <v>0</v>
      </c>
      <c r="AH151" s="7">
        <f t="shared" si="36"/>
        <v>0</v>
      </c>
      <c r="AI151" s="6">
        <f t="shared" si="37"/>
        <v>0</v>
      </c>
      <c r="AJ151" s="73">
        <f t="shared" si="38"/>
        <v>0</v>
      </c>
      <c r="AK151" s="539"/>
      <c r="AL151" s="748"/>
      <c r="AM151" s="748"/>
    </row>
    <row r="152" spans="2:39" x14ac:dyDescent="0.2">
      <c r="B152" s="101" t="str">
        <f t="shared" si="23"/>
        <v/>
      </c>
      <c r="C152" s="168">
        <f>IF(ISERROR(Personalplanung!F48/Monatsplanung!$E48*Monatsplanung!$H48),0,Personalplanung!F48/Monatsplanung!$E48*Monatsplanung!$H48)</f>
        <v>0</v>
      </c>
      <c r="D152" s="168">
        <f t="shared" si="24"/>
        <v>0</v>
      </c>
      <c r="E152" s="168">
        <f>IF(ISERROR(Personalplanung!H48/Monatsplanung!$E48*Monatsplanung!$H48),0,Personalplanung!H48/Monatsplanung!$E48*Monatsplanung!$H48)</f>
        <v>0</v>
      </c>
      <c r="F152" s="168">
        <f t="shared" si="25"/>
        <v>0</v>
      </c>
      <c r="G152" s="168" t="e">
        <f t="shared" si="26"/>
        <v>#DIV/0!</v>
      </c>
      <c r="H152" s="168" t="e">
        <f t="shared" si="27"/>
        <v>#DIV/0!</v>
      </c>
      <c r="I152" s="168">
        <f t="shared" si="28"/>
        <v>0</v>
      </c>
      <c r="J152" s="739"/>
      <c r="K152" s="168">
        <f>IF(J152&lt;&gt;"",J152,IF(ISERROR(Personalplanung!AB48/Monatsplanung!$E48*Monatsplanung!$H48),0,Personalplanung!AB48/Monatsplanung!$E48*Monatsplanung!$H48))</f>
        <v>0</v>
      </c>
      <c r="L152" s="740"/>
      <c r="M152" s="739"/>
      <c r="N152" s="168">
        <f>IF(M152&lt;&gt;"",M152,IF(ISERROR(Personalplanung!AC48/Monatsplanung!$E48*Monatsplanung!$H48),0,Personalplanung!AC48/Monatsplanung!$E48*Monatsplanung!$H48))</f>
        <v>0</v>
      </c>
      <c r="O152" s="740"/>
      <c r="P152" s="739"/>
      <c r="Q152" s="168">
        <f>IF(P152&lt;&gt;"",P152,IF(ISERROR(Personalplanung!AD48/Monatsplanung!$E48*Monatsplanung!$H48),0,Personalplanung!AD48/Monatsplanung!$E48*Monatsplanung!$H48))</f>
        <v>0</v>
      </c>
      <c r="R152" s="740"/>
      <c r="S152" s="739"/>
      <c r="T152" s="168">
        <f>IF(S152&lt;&gt;"",S152,IF(ISERROR(Personalplanung!AE48/Monatsplanung!$E48*Monatsplanung!$H48),0,Personalplanung!AE48/Monatsplanung!$E48*Monatsplanung!$H48))</f>
        <v>0</v>
      </c>
      <c r="U152" s="740"/>
      <c r="V152" s="168">
        <f t="shared" si="29"/>
        <v>0</v>
      </c>
      <c r="W152" s="168">
        <f>IF(ISERROR(Personalplanung!P48/Monatsplanung!$E48*Monatsplanung!$H48),0,Personalplanung!P48/Monatsplanung!$E48*Monatsplanung!$H48)</f>
        <v>0</v>
      </c>
      <c r="X152" s="168">
        <f>IF(ISERROR(Personalplanung!Q48/Monatsplanung!$E48*Monatsplanung!$H48),0,Personalplanung!Q48/Monatsplanung!$E48*Monatsplanung!$H48)</f>
        <v>0</v>
      </c>
      <c r="Y152" s="168">
        <f>IF(ISERROR(Personalplanung!R48/T1296*Stundencontrolling!T152),0,Personalplanung!R48/T1296*Stundencontrolling!T152)</f>
        <v>0</v>
      </c>
      <c r="Z152" s="168">
        <f>IF(ISERROR(Personalplanung!S48/Monatsplanung!$E48*Monatsplanung!$H48),0,Personalplanung!S48/Monatsplanung!$E48*Monatsplanung!$H48)</f>
        <v>0</v>
      </c>
      <c r="AA152" s="80" t="e">
        <f t="shared" si="30"/>
        <v>#DIV/0!</v>
      </c>
      <c r="AB152" s="102">
        <f t="shared" si="31"/>
        <v>0</v>
      </c>
      <c r="AC152" s="103" t="e">
        <f t="shared" si="32"/>
        <v>#DIV/0!</v>
      </c>
      <c r="AD152" s="103" t="e">
        <f t="shared" si="33"/>
        <v>#DIV/0!</v>
      </c>
      <c r="AE152" s="81">
        <f t="shared" si="34"/>
        <v>0</v>
      </c>
      <c r="AF152" s="539"/>
      <c r="AG152" s="104">
        <f t="shared" si="35"/>
        <v>0</v>
      </c>
      <c r="AH152" s="7">
        <f t="shared" si="36"/>
        <v>0</v>
      </c>
      <c r="AI152" s="6">
        <f t="shared" si="37"/>
        <v>0</v>
      </c>
      <c r="AJ152" s="73">
        <f t="shared" si="38"/>
        <v>0</v>
      </c>
      <c r="AK152" s="539"/>
      <c r="AL152" s="748"/>
      <c r="AM152" s="748"/>
    </row>
    <row r="153" spans="2:39" x14ac:dyDescent="0.2">
      <c r="B153" s="101" t="str">
        <f t="shared" si="23"/>
        <v/>
      </c>
      <c r="C153" s="168">
        <f>IF(ISERROR(Personalplanung!F49/Monatsplanung!$E49*Monatsplanung!$H49),0,Personalplanung!F49/Monatsplanung!$E49*Monatsplanung!$H49)</f>
        <v>0</v>
      </c>
      <c r="D153" s="168">
        <f t="shared" si="24"/>
        <v>0</v>
      </c>
      <c r="E153" s="168">
        <f>IF(ISERROR(Personalplanung!H49/Monatsplanung!$E49*Monatsplanung!$H49),0,Personalplanung!H49/Monatsplanung!$E49*Monatsplanung!$H49)</f>
        <v>0</v>
      </c>
      <c r="F153" s="168">
        <f t="shared" si="25"/>
        <v>0</v>
      </c>
      <c r="G153" s="168" t="e">
        <f t="shared" si="26"/>
        <v>#DIV/0!</v>
      </c>
      <c r="H153" s="168" t="e">
        <f t="shared" si="27"/>
        <v>#DIV/0!</v>
      </c>
      <c r="I153" s="168">
        <f t="shared" si="28"/>
        <v>0</v>
      </c>
      <c r="J153" s="739"/>
      <c r="K153" s="168">
        <f>IF(J153&lt;&gt;"",J153,IF(ISERROR(Personalplanung!AB49/Monatsplanung!$E49*Monatsplanung!$H49),0,Personalplanung!AB49/Monatsplanung!$E49*Monatsplanung!$H49))</f>
        <v>0</v>
      </c>
      <c r="L153" s="740"/>
      <c r="M153" s="739"/>
      <c r="N153" s="168">
        <f>IF(M153&lt;&gt;"",M153,IF(ISERROR(Personalplanung!AC49/Monatsplanung!$E49*Monatsplanung!$H49),0,Personalplanung!AC49/Monatsplanung!$E49*Monatsplanung!$H49))</f>
        <v>0</v>
      </c>
      <c r="O153" s="740"/>
      <c r="P153" s="739"/>
      <c r="Q153" s="168">
        <f>IF(P153&lt;&gt;"",P153,IF(ISERROR(Personalplanung!AD49/Monatsplanung!$E49*Monatsplanung!$H49),0,Personalplanung!AD49/Monatsplanung!$E49*Monatsplanung!$H49))</f>
        <v>0</v>
      </c>
      <c r="R153" s="740"/>
      <c r="S153" s="739"/>
      <c r="T153" s="168">
        <f>IF(S153&lt;&gt;"",S153,IF(ISERROR(Personalplanung!AE49/Monatsplanung!$E49*Monatsplanung!$H49),0,Personalplanung!AE49/Monatsplanung!$E49*Monatsplanung!$H49))</f>
        <v>0</v>
      </c>
      <c r="U153" s="740"/>
      <c r="V153" s="168">
        <f t="shared" si="29"/>
        <v>0</v>
      </c>
      <c r="W153" s="168">
        <f>IF(ISERROR(Personalplanung!P49/Monatsplanung!$E49*Monatsplanung!$H49),0,Personalplanung!P49/Monatsplanung!$E49*Monatsplanung!$H49)</f>
        <v>0</v>
      </c>
      <c r="X153" s="168">
        <f>IF(ISERROR(Personalplanung!Q49/Monatsplanung!$E49*Monatsplanung!$H49),0,Personalplanung!Q49/Monatsplanung!$E49*Monatsplanung!$H49)</f>
        <v>0</v>
      </c>
      <c r="Y153" s="168">
        <f>IF(ISERROR(Personalplanung!R49/T1297*Stundencontrolling!T153),0,Personalplanung!R49/T1297*Stundencontrolling!T153)</f>
        <v>0</v>
      </c>
      <c r="Z153" s="168">
        <f>IF(ISERROR(Personalplanung!S49/Monatsplanung!$E49*Monatsplanung!$H49),0,Personalplanung!S49/Monatsplanung!$E49*Monatsplanung!$H49)</f>
        <v>0</v>
      </c>
      <c r="AA153" s="80" t="e">
        <f t="shared" si="30"/>
        <v>#DIV/0!</v>
      </c>
      <c r="AB153" s="102">
        <f t="shared" si="31"/>
        <v>0</v>
      </c>
      <c r="AC153" s="103" t="e">
        <f t="shared" si="32"/>
        <v>#DIV/0!</v>
      </c>
      <c r="AD153" s="103" t="e">
        <f t="shared" si="33"/>
        <v>#DIV/0!</v>
      </c>
      <c r="AE153" s="81">
        <f t="shared" si="34"/>
        <v>0</v>
      </c>
      <c r="AF153" s="539"/>
      <c r="AG153" s="104">
        <f t="shared" si="35"/>
        <v>0</v>
      </c>
      <c r="AH153" s="7">
        <f t="shared" si="36"/>
        <v>0</v>
      </c>
      <c r="AI153" s="6">
        <f t="shared" si="37"/>
        <v>0</v>
      </c>
      <c r="AJ153" s="73">
        <f t="shared" si="38"/>
        <v>0</v>
      </c>
      <c r="AK153" s="539"/>
      <c r="AL153" s="748"/>
      <c r="AM153" s="748"/>
    </row>
    <row r="154" spans="2:39" x14ac:dyDescent="0.2">
      <c r="B154" s="101" t="str">
        <f t="shared" si="23"/>
        <v/>
      </c>
      <c r="C154" s="168">
        <f>IF(ISERROR(Personalplanung!F50/Monatsplanung!$E50*Monatsplanung!$H50),0,Personalplanung!F50/Monatsplanung!$E50*Monatsplanung!$H50)</f>
        <v>0</v>
      </c>
      <c r="D154" s="168">
        <f t="shared" si="24"/>
        <v>0</v>
      </c>
      <c r="E154" s="168">
        <f>IF(ISERROR(Personalplanung!H50/Monatsplanung!$E50*Monatsplanung!$H50),0,Personalplanung!H50/Monatsplanung!$E50*Monatsplanung!$H50)</f>
        <v>0</v>
      </c>
      <c r="F154" s="168">
        <f t="shared" si="25"/>
        <v>0</v>
      </c>
      <c r="G154" s="168" t="e">
        <f t="shared" si="26"/>
        <v>#DIV/0!</v>
      </c>
      <c r="H154" s="168" t="e">
        <f t="shared" si="27"/>
        <v>#DIV/0!</v>
      </c>
      <c r="I154" s="168">
        <f t="shared" si="28"/>
        <v>0</v>
      </c>
      <c r="J154" s="739"/>
      <c r="K154" s="168">
        <f>IF(J154&lt;&gt;"",J154,IF(ISERROR(Personalplanung!AB50/Monatsplanung!$E50*Monatsplanung!$H50),0,Personalplanung!AB50/Monatsplanung!$E50*Monatsplanung!$H50))</f>
        <v>0</v>
      </c>
      <c r="L154" s="740"/>
      <c r="M154" s="739"/>
      <c r="N154" s="168">
        <f>IF(M154&lt;&gt;"",M154,IF(ISERROR(Personalplanung!AC50/Monatsplanung!$E50*Monatsplanung!$H50),0,Personalplanung!AC50/Monatsplanung!$E50*Monatsplanung!$H50))</f>
        <v>0</v>
      </c>
      <c r="O154" s="740"/>
      <c r="P154" s="739"/>
      <c r="Q154" s="168">
        <f>IF(P154&lt;&gt;"",P154,IF(ISERROR(Personalplanung!AD50/Monatsplanung!$E50*Monatsplanung!$H50),0,Personalplanung!AD50/Monatsplanung!$E50*Monatsplanung!$H50))</f>
        <v>0</v>
      </c>
      <c r="R154" s="740"/>
      <c r="S154" s="739"/>
      <c r="T154" s="168">
        <f>IF(S154&lt;&gt;"",S154,IF(ISERROR(Personalplanung!AE50/Monatsplanung!$E50*Monatsplanung!$H50),0,Personalplanung!AE50/Monatsplanung!$E50*Monatsplanung!$H50))</f>
        <v>0</v>
      </c>
      <c r="U154" s="740"/>
      <c r="V154" s="168">
        <f t="shared" si="29"/>
        <v>0</v>
      </c>
      <c r="W154" s="168">
        <f>IF(ISERROR(Personalplanung!P50/Monatsplanung!$E50*Monatsplanung!$H50),0,Personalplanung!P50/Monatsplanung!$E50*Monatsplanung!$H50)</f>
        <v>0</v>
      </c>
      <c r="X154" s="168">
        <f>IF(ISERROR(Personalplanung!Q50/Monatsplanung!$E50*Monatsplanung!$H50),0,Personalplanung!Q50/Monatsplanung!$E50*Monatsplanung!$H50)</f>
        <v>0</v>
      </c>
      <c r="Y154" s="168">
        <f>IF(ISERROR(Personalplanung!R50/T1298*Stundencontrolling!T154),0,Personalplanung!R50/T1298*Stundencontrolling!T154)</f>
        <v>0</v>
      </c>
      <c r="Z154" s="168">
        <f>IF(ISERROR(Personalplanung!S50/Monatsplanung!$E50*Monatsplanung!$H50),0,Personalplanung!S50/Monatsplanung!$E50*Monatsplanung!$H50)</f>
        <v>0</v>
      </c>
      <c r="AA154" s="80" t="e">
        <f t="shared" si="30"/>
        <v>#DIV/0!</v>
      </c>
      <c r="AB154" s="102">
        <f t="shared" si="31"/>
        <v>0</v>
      </c>
      <c r="AC154" s="103" t="e">
        <f t="shared" si="32"/>
        <v>#DIV/0!</v>
      </c>
      <c r="AD154" s="103" t="e">
        <f t="shared" si="33"/>
        <v>#DIV/0!</v>
      </c>
      <c r="AE154" s="81">
        <f t="shared" si="34"/>
        <v>0</v>
      </c>
      <c r="AF154" s="539"/>
      <c r="AG154" s="104">
        <f t="shared" si="35"/>
        <v>0</v>
      </c>
      <c r="AH154" s="7">
        <f t="shared" si="36"/>
        <v>0</v>
      </c>
      <c r="AI154" s="6">
        <f t="shared" si="37"/>
        <v>0</v>
      </c>
      <c r="AJ154" s="73">
        <f t="shared" si="38"/>
        <v>0</v>
      </c>
      <c r="AK154" s="539"/>
      <c r="AL154" s="748"/>
      <c r="AM154" s="748"/>
    </row>
    <row r="155" spans="2:39" x14ac:dyDescent="0.2">
      <c r="B155" s="101" t="str">
        <f t="shared" si="23"/>
        <v/>
      </c>
      <c r="C155" s="168">
        <f>IF(ISERROR(Personalplanung!F51/Monatsplanung!$E51*Monatsplanung!$H51),0,Personalplanung!F51/Monatsplanung!$E51*Monatsplanung!$H51)</f>
        <v>0</v>
      </c>
      <c r="D155" s="168">
        <f t="shared" si="24"/>
        <v>0</v>
      </c>
      <c r="E155" s="168">
        <f>IF(ISERROR(Personalplanung!H51/Monatsplanung!$E51*Monatsplanung!$H51),0,Personalplanung!H51/Monatsplanung!$E51*Monatsplanung!$H51)</f>
        <v>0</v>
      </c>
      <c r="F155" s="168">
        <f t="shared" si="25"/>
        <v>0</v>
      </c>
      <c r="G155" s="168" t="e">
        <f t="shared" si="26"/>
        <v>#DIV/0!</v>
      </c>
      <c r="H155" s="168" t="e">
        <f t="shared" si="27"/>
        <v>#DIV/0!</v>
      </c>
      <c r="I155" s="168">
        <f t="shared" si="28"/>
        <v>0</v>
      </c>
      <c r="J155" s="739"/>
      <c r="K155" s="168">
        <f>IF(J155&lt;&gt;"",J155,IF(ISERROR(Personalplanung!AB51/Monatsplanung!$E51*Monatsplanung!$H51),0,Personalplanung!AB51/Monatsplanung!$E51*Monatsplanung!$H51))</f>
        <v>0</v>
      </c>
      <c r="L155" s="740"/>
      <c r="M155" s="739"/>
      <c r="N155" s="168">
        <f>IF(M155&lt;&gt;"",M155,IF(ISERROR(Personalplanung!AC51/Monatsplanung!$E51*Monatsplanung!$H51),0,Personalplanung!AC51/Monatsplanung!$E51*Monatsplanung!$H51))</f>
        <v>0</v>
      </c>
      <c r="O155" s="740"/>
      <c r="P155" s="739"/>
      <c r="Q155" s="168">
        <f>IF(P155&lt;&gt;"",P155,IF(ISERROR(Personalplanung!AD51/Monatsplanung!$E51*Monatsplanung!$H51),0,Personalplanung!AD51/Monatsplanung!$E51*Monatsplanung!$H51))</f>
        <v>0</v>
      </c>
      <c r="R155" s="740"/>
      <c r="S155" s="739"/>
      <c r="T155" s="168">
        <f>IF(S155&lt;&gt;"",S155,IF(ISERROR(Personalplanung!AE51/Monatsplanung!$E51*Monatsplanung!$H51),0,Personalplanung!AE51/Monatsplanung!$E51*Monatsplanung!$H51))</f>
        <v>0</v>
      </c>
      <c r="U155" s="740"/>
      <c r="V155" s="168">
        <f t="shared" si="29"/>
        <v>0</v>
      </c>
      <c r="W155" s="168">
        <f>IF(ISERROR(Personalplanung!P51/Monatsplanung!$E51*Monatsplanung!$H51),0,Personalplanung!P51/Monatsplanung!$E51*Monatsplanung!$H51)</f>
        <v>0</v>
      </c>
      <c r="X155" s="168">
        <f>IF(ISERROR(Personalplanung!Q51/Monatsplanung!$E51*Monatsplanung!$H51),0,Personalplanung!Q51/Monatsplanung!$E51*Monatsplanung!$H51)</f>
        <v>0</v>
      </c>
      <c r="Y155" s="168">
        <f>IF(ISERROR(Personalplanung!R51/T1299*Stundencontrolling!T155),0,Personalplanung!R51/T1299*Stundencontrolling!T155)</f>
        <v>0</v>
      </c>
      <c r="Z155" s="168">
        <f>IF(ISERROR(Personalplanung!S51/Monatsplanung!$E51*Monatsplanung!$H51),0,Personalplanung!S51/Monatsplanung!$E51*Monatsplanung!$H51)</f>
        <v>0</v>
      </c>
      <c r="AA155" s="80" t="e">
        <f t="shared" si="30"/>
        <v>#DIV/0!</v>
      </c>
      <c r="AB155" s="102">
        <f t="shared" si="31"/>
        <v>0</v>
      </c>
      <c r="AC155" s="103" t="e">
        <f t="shared" si="32"/>
        <v>#DIV/0!</v>
      </c>
      <c r="AD155" s="103" t="e">
        <f t="shared" si="33"/>
        <v>#DIV/0!</v>
      </c>
      <c r="AE155" s="81">
        <f t="shared" si="34"/>
        <v>0</v>
      </c>
      <c r="AF155" s="539"/>
      <c r="AG155" s="104">
        <f t="shared" si="35"/>
        <v>0</v>
      </c>
      <c r="AH155" s="7">
        <f t="shared" si="36"/>
        <v>0</v>
      </c>
      <c r="AI155" s="6">
        <f t="shared" si="37"/>
        <v>0</v>
      </c>
      <c r="AJ155" s="73">
        <f t="shared" si="38"/>
        <v>0</v>
      </c>
      <c r="AK155" s="539"/>
      <c r="AL155" s="748"/>
      <c r="AM155" s="748"/>
    </row>
    <row r="156" spans="2:39" x14ac:dyDescent="0.2">
      <c r="B156" s="101" t="str">
        <f t="shared" si="23"/>
        <v/>
      </c>
      <c r="C156" s="168">
        <f>IF(ISERROR(Personalplanung!F52/Monatsplanung!$E52*Monatsplanung!$H52),0,Personalplanung!F52/Monatsplanung!$E52*Monatsplanung!$H52)</f>
        <v>0</v>
      </c>
      <c r="D156" s="168">
        <f t="shared" si="24"/>
        <v>0</v>
      </c>
      <c r="E156" s="168">
        <f>IF(ISERROR(Personalplanung!H52/Monatsplanung!$E52*Monatsplanung!$H52),0,Personalplanung!H52/Monatsplanung!$E52*Monatsplanung!$H52)</f>
        <v>0</v>
      </c>
      <c r="F156" s="168">
        <f t="shared" si="25"/>
        <v>0</v>
      </c>
      <c r="G156" s="168" t="e">
        <f t="shared" si="26"/>
        <v>#DIV/0!</v>
      </c>
      <c r="H156" s="168" t="e">
        <f t="shared" si="27"/>
        <v>#DIV/0!</v>
      </c>
      <c r="I156" s="168">
        <f t="shared" si="28"/>
        <v>0</v>
      </c>
      <c r="J156" s="739"/>
      <c r="K156" s="168">
        <f>IF(J156&lt;&gt;"",J156,IF(ISERROR(Personalplanung!AB52/Monatsplanung!$E52*Monatsplanung!$H52),0,Personalplanung!AB52/Monatsplanung!$E52*Monatsplanung!$H52))</f>
        <v>0</v>
      </c>
      <c r="L156" s="740"/>
      <c r="M156" s="739"/>
      <c r="N156" s="168">
        <f>IF(M156&lt;&gt;"",M156,IF(ISERROR(Personalplanung!AC52/Monatsplanung!$E52*Monatsplanung!$H52),0,Personalplanung!AC52/Monatsplanung!$E52*Monatsplanung!$H52))</f>
        <v>0</v>
      </c>
      <c r="O156" s="740"/>
      <c r="P156" s="739"/>
      <c r="Q156" s="168">
        <f>IF(P156&lt;&gt;"",P156,IF(ISERROR(Personalplanung!AD52/Monatsplanung!$E52*Monatsplanung!$H52),0,Personalplanung!AD52/Monatsplanung!$E52*Monatsplanung!$H52))</f>
        <v>0</v>
      </c>
      <c r="R156" s="740"/>
      <c r="S156" s="739"/>
      <c r="T156" s="168">
        <f>IF(S156&lt;&gt;"",S156,IF(ISERROR(Personalplanung!AE52/Monatsplanung!$E52*Monatsplanung!$H52),0,Personalplanung!AE52/Monatsplanung!$E52*Monatsplanung!$H52))</f>
        <v>0</v>
      </c>
      <c r="U156" s="740"/>
      <c r="V156" s="168">
        <f t="shared" si="29"/>
        <v>0</v>
      </c>
      <c r="W156" s="168">
        <f>IF(ISERROR(Personalplanung!P52/Monatsplanung!$E52*Monatsplanung!$H52),0,Personalplanung!P52/Monatsplanung!$E52*Monatsplanung!$H52)</f>
        <v>0</v>
      </c>
      <c r="X156" s="168">
        <f>IF(ISERROR(Personalplanung!Q52/Monatsplanung!$E52*Monatsplanung!$H52),0,Personalplanung!Q52/Monatsplanung!$E52*Monatsplanung!$H52)</f>
        <v>0</v>
      </c>
      <c r="Y156" s="168">
        <f>IF(ISERROR(Personalplanung!R52/T1300*Stundencontrolling!T156),0,Personalplanung!R52/T1300*Stundencontrolling!T156)</f>
        <v>0</v>
      </c>
      <c r="Z156" s="168">
        <f>IF(ISERROR(Personalplanung!S52/Monatsplanung!$E52*Monatsplanung!$H52),0,Personalplanung!S52/Monatsplanung!$E52*Monatsplanung!$H52)</f>
        <v>0</v>
      </c>
      <c r="AA156" s="80" t="e">
        <f t="shared" si="30"/>
        <v>#DIV/0!</v>
      </c>
      <c r="AB156" s="102">
        <f t="shared" si="31"/>
        <v>0</v>
      </c>
      <c r="AC156" s="103" t="e">
        <f t="shared" si="32"/>
        <v>#DIV/0!</v>
      </c>
      <c r="AD156" s="103" t="e">
        <f t="shared" si="33"/>
        <v>#DIV/0!</v>
      </c>
      <c r="AE156" s="81">
        <f t="shared" si="34"/>
        <v>0</v>
      </c>
      <c r="AF156" s="539"/>
      <c r="AG156" s="104">
        <f t="shared" si="35"/>
        <v>0</v>
      </c>
      <c r="AH156" s="7">
        <f t="shared" si="36"/>
        <v>0</v>
      </c>
      <c r="AI156" s="6">
        <f t="shared" si="37"/>
        <v>0</v>
      </c>
      <c r="AJ156" s="73">
        <f t="shared" si="38"/>
        <v>0</v>
      </c>
      <c r="AK156" s="539"/>
      <c r="AL156" s="748"/>
      <c r="AM156" s="748"/>
    </row>
    <row r="157" spans="2:39" x14ac:dyDescent="0.2">
      <c r="B157" s="101" t="str">
        <f t="shared" si="23"/>
        <v/>
      </c>
      <c r="C157" s="168">
        <f>IF(ISERROR(Personalplanung!F53/Monatsplanung!$E53*Monatsplanung!$H53),0,Personalplanung!F53/Monatsplanung!$E53*Monatsplanung!$H53)</f>
        <v>0</v>
      </c>
      <c r="D157" s="168">
        <f t="shared" si="24"/>
        <v>0</v>
      </c>
      <c r="E157" s="168">
        <f>IF(ISERROR(Personalplanung!H53/Monatsplanung!$E53*Monatsplanung!$H53),0,Personalplanung!H53/Monatsplanung!$E53*Monatsplanung!$H53)</f>
        <v>0</v>
      </c>
      <c r="F157" s="168">
        <f t="shared" si="25"/>
        <v>0</v>
      </c>
      <c r="G157" s="168" t="e">
        <f t="shared" si="26"/>
        <v>#DIV/0!</v>
      </c>
      <c r="H157" s="168" t="e">
        <f t="shared" si="27"/>
        <v>#DIV/0!</v>
      </c>
      <c r="I157" s="168">
        <f t="shared" si="28"/>
        <v>0</v>
      </c>
      <c r="J157" s="739"/>
      <c r="K157" s="168">
        <f>IF(J157&lt;&gt;"",J157,IF(ISERROR(Personalplanung!AB53/Monatsplanung!$E53*Monatsplanung!$H53),0,Personalplanung!AB53/Monatsplanung!$E53*Monatsplanung!$H53))</f>
        <v>0</v>
      </c>
      <c r="L157" s="740"/>
      <c r="M157" s="739"/>
      <c r="N157" s="168">
        <f>IF(M157&lt;&gt;"",M157,IF(ISERROR(Personalplanung!AC53/Monatsplanung!$E53*Monatsplanung!$H53),0,Personalplanung!AC53/Monatsplanung!$E53*Monatsplanung!$H53))</f>
        <v>0</v>
      </c>
      <c r="O157" s="740"/>
      <c r="P157" s="739"/>
      <c r="Q157" s="168">
        <f>IF(P157&lt;&gt;"",P157,IF(ISERROR(Personalplanung!AD53/Monatsplanung!$E53*Monatsplanung!$H53),0,Personalplanung!AD53/Monatsplanung!$E53*Monatsplanung!$H53))</f>
        <v>0</v>
      </c>
      <c r="R157" s="740"/>
      <c r="S157" s="739"/>
      <c r="T157" s="168">
        <f>IF(S157&lt;&gt;"",S157,IF(ISERROR(Personalplanung!AE53/Monatsplanung!$E53*Monatsplanung!$H53),0,Personalplanung!AE53/Monatsplanung!$E53*Monatsplanung!$H53))</f>
        <v>0</v>
      </c>
      <c r="U157" s="740"/>
      <c r="V157" s="168">
        <f t="shared" si="29"/>
        <v>0</v>
      </c>
      <c r="W157" s="168">
        <f>IF(ISERROR(Personalplanung!P53/Monatsplanung!$E53*Monatsplanung!$H53),0,Personalplanung!P53/Monatsplanung!$E53*Monatsplanung!$H53)</f>
        <v>0</v>
      </c>
      <c r="X157" s="168">
        <f>IF(ISERROR(Personalplanung!Q53/Monatsplanung!$E53*Monatsplanung!$H53),0,Personalplanung!Q53/Monatsplanung!$E53*Monatsplanung!$H53)</f>
        <v>0</v>
      </c>
      <c r="Y157" s="168">
        <f>IF(ISERROR(Personalplanung!R53/T1301*Stundencontrolling!T157),0,Personalplanung!R53/T1301*Stundencontrolling!T157)</f>
        <v>0</v>
      </c>
      <c r="Z157" s="168">
        <f>IF(ISERROR(Personalplanung!S53/Monatsplanung!$E53*Monatsplanung!$H53),0,Personalplanung!S53/Monatsplanung!$E53*Monatsplanung!$H53)</f>
        <v>0</v>
      </c>
      <c r="AA157" s="80" t="e">
        <f t="shared" si="30"/>
        <v>#DIV/0!</v>
      </c>
      <c r="AB157" s="102">
        <f t="shared" si="31"/>
        <v>0</v>
      </c>
      <c r="AC157" s="103" t="e">
        <f t="shared" si="32"/>
        <v>#DIV/0!</v>
      </c>
      <c r="AD157" s="103" t="e">
        <f t="shared" si="33"/>
        <v>#DIV/0!</v>
      </c>
      <c r="AE157" s="81">
        <f t="shared" si="34"/>
        <v>0</v>
      </c>
      <c r="AF157" s="539"/>
      <c r="AG157" s="104">
        <f t="shared" si="35"/>
        <v>0</v>
      </c>
      <c r="AH157" s="7">
        <f t="shared" si="36"/>
        <v>0</v>
      </c>
      <c r="AI157" s="6">
        <f t="shared" si="37"/>
        <v>0</v>
      </c>
      <c r="AJ157" s="73">
        <f t="shared" si="38"/>
        <v>0</v>
      </c>
      <c r="AK157" s="539"/>
      <c r="AL157" s="748"/>
      <c r="AM157" s="748"/>
    </row>
    <row r="158" spans="2:39" x14ac:dyDescent="0.2">
      <c r="B158" s="101" t="str">
        <f t="shared" si="23"/>
        <v/>
      </c>
      <c r="C158" s="168">
        <f>IF(ISERROR(Personalplanung!F54/Monatsplanung!$E54*Monatsplanung!$H54),0,Personalplanung!F54/Monatsplanung!$E54*Monatsplanung!$H54)</f>
        <v>0</v>
      </c>
      <c r="D158" s="168">
        <f t="shared" si="24"/>
        <v>0</v>
      </c>
      <c r="E158" s="168">
        <f>IF(ISERROR(Personalplanung!H54/Monatsplanung!$E54*Monatsplanung!$H54),0,Personalplanung!H54/Monatsplanung!$E54*Monatsplanung!$H54)</f>
        <v>0</v>
      </c>
      <c r="F158" s="168">
        <f t="shared" si="25"/>
        <v>0</v>
      </c>
      <c r="G158" s="168" t="e">
        <f t="shared" si="26"/>
        <v>#DIV/0!</v>
      </c>
      <c r="H158" s="168" t="e">
        <f t="shared" si="27"/>
        <v>#DIV/0!</v>
      </c>
      <c r="I158" s="168">
        <f t="shared" si="28"/>
        <v>0</v>
      </c>
      <c r="J158" s="739"/>
      <c r="K158" s="168">
        <f>IF(J158&lt;&gt;"",J158,IF(ISERROR(Personalplanung!AB54/Monatsplanung!$E54*Monatsplanung!$H54),0,Personalplanung!AB54/Monatsplanung!$E54*Monatsplanung!$H54))</f>
        <v>0</v>
      </c>
      <c r="L158" s="740"/>
      <c r="M158" s="739"/>
      <c r="N158" s="168">
        <f>IF(M158&lt;&gt;"",M158,IF(ISERROR(Personalplanung!AC54/Monatsplanung!$E54*Monatsplanung!$H54),0,Personalplanung!AC54/Monatsplanung!$E54*Monatsplanung!$H54))</f>
        <v>0</v>
      </c>
      <c r="O158" s="740"/>
      <c r="P158" s="739"/>
      <c r="Q158" s="168">
        <f>IF(P158&lt;&gt;"",P158,IF(ISERROR(Personalplanung!AD54/Monatsplanung!$E54*Monatsplanung!$H54),0,Personalplanung!AD54/Monatsplanung!$E54*Monatsplanung!$H54))</f>
        <v>0</v>
      </c>
      <c r="R158" s="740"/>
      <c r="S158" s="739"/>
      <c r="T158" s="168">
        <f>IF(S158&lt;&gt;"",S158,IF(ISERROR(Personalplanung!AE54/Monatsplanung!$E54*Monatsplanung!$H54),0,Personalplanung!AE54/Monatsplanung!$E54*Monatsplanung!$H54))</f>
        <v>0</v>
      </c>
      <c r="U158" s="740"/>
      <c r="V158" s="168">
        <f t="shared" si="29"/>
        <v>0</v>
      </c>
      <c r="W158" s="168">
        <f>IF(ISERROR(Personalplanung!P54/Monatsplanung!$E54*Monatsplanung!$H54),0,Personalplanung!P54/Monatsplanung!$E54*Monatsplanung!$H54)</f>
        <v>0</v>
      </c>
      <c r="X158" s="168">
        <f>IF(ISERROR(Personalplanung!Q54/Monatsplanung!$E54*Monatsplanung!$H54),0,Personalplanung!Q54/Monatsplanung!$E54*Monatsplanung!$H54)</f>
        <v>0</v>
      </c>
      <c r="Y158" s="168">
        <f>IF(ISERROR(Personalplanung!R54/T1302*Stundencontrolling!T158),0,Personalplanung!R54/T1302*Stundencontrolling!T158)</f>
        <v>0</v>
      </c>
      <c r="Z158" s="168">
        <f>IF(ISERROR(Personalplanung!S54/Monatsplanung!$E54*Monatsplanung!$H54),0,Personalplanung!S54/Monatsplanung!$E54*Monatsplanung!$H54)</f>
        <v>0</v>
      </c>
      <c r="AA158" s="80" t="e">
        <f t="shared" si="30"/>
        <v>#DIV/0!</v>
      </c>
      <c r="AB158" s="102">
        <f t="shared" si="31"/>
        <v>0</v>
      </c>
      <c r="AC158" s="103" t="e">
        <f t="shared" si="32"/>
        <v>#DIV/0!</v>
      </c>
      <c r="AD158" s="103" t="e">
        <f t="shared" si="33"/>
        <v>#DIV/0!</v>
      </c>
      <c r="AE158" s="81">
        <f t="shared" si="34"/>
        <v>0</v>
      </c>
      <c r="AF158" s="539"/>
      <c r="AG158" s="104">
        <f t="shared" si="35"/>
        <v>0</v>
      </c>
      <c r="AH158" s="7">
        <f t="shared" si="36"/>
        <v>0</v>
      </c>
      <c r="AI158" s="6">
        <f t="shared" si="37"/>
        <v>0</v>
      </c>
      <c r="AJ158" s="73">
        <f t="shared" si="38"/>
        <v>0</v>
      </c>
      <c r="AK158" s="539"/>
      <c r="AL158" s="748"/>
      <c r="AM158" s="748"/>
    </row>
    <row r="159" spans="2:39" x14ac:dyDescent="0.2">
      <c r="B159" s="101" t="str">
        <f t="shared" si="23"/>
        <v/>
      </c>
      <c r="C159" s="168">
        <f>IF(ISERROR(Personalplanung!F55/Monatsplanung!$E55*Monatsplanung!$H55),0,Personalplanung!F55/Monatsplanung!$E55*Monatsplanung!$H55)</f>
        <v>0</v>
      </c>
      <c r="D159" s="168">
        <f t="shared" si="24"/>
        <v>0</v>
      </c>
      <c r="E159" s="168">
        <f>IF(ISERROR(Personalplanung!H55/Monatsplanung!$E55*Monatsplanung!$H55),0,Personalplanung!H55/Monatsplanung!$E55*Monatsplanung!$H55)</f>
        <v>0</v>
      </c>
      <c r="F159" s="168">
        <f t="shared" si="25"/>
        <v>0</v>
      </c>
      <c r="G159" s="168" t="e">
        <f t="shared" si="26"/>
        <v>#DIV/0!</v>
      </c>
      <c r="H159" s="168" t="e">
        <f t="shared" si="27"/>
        <v>#DIV/0!</v>
      </c>
      <c r="I159" s="168">
        <f t="shared" si="28"/>
        <v>0</v>
      </c>
      <c r="J159" s="739"/>
      <c r="K159" s="168">
        <f>IF(J159&lt;&gt;"",J159,IF(ISERROR(Personalplanung!AB55/Monatsplanung!$E55*Monatsplanung!$H55),0,Personalplanung!AB55/Monatsplanung!$E55*Monatsplanung!$H55))</f>
        <v>0</v>
      </c>
      <c r="L159" s="740"/>
      <c r="M159" s="739"/>
      <c r="N159" s="168">
        <f>IF(M159&lt;&gt;"",M159,IF(ISERROR(Personalplanung!AC55/Monatsplanung!$E55*Monatsplanung!$H55),0,Personalplanung!AC55/Monatsplanung!$E55*Monatsplanung!$H55))</f>
        <v>0</v>
      </c>
      <c r="O159" s="740"/>
      <c r="P159" s="739"/>
      <c r="Q159" s="168">
        <f>IF(P159&lt;&gt;"",P159,IF(ISERROR(Personalplanung!AD55/Monatsplanung!$E55*Monatsplanung!$H55),0,Personalplanung!AD55/Monatsplanung!$E55*Monatsplanung!$H55))</f>
        <v>0</v>
      </c>
      <c r="R159" s="740"/>
      <c r="S159" s="739"/>
      <c r="T159" s="168">
        <f>IF(S159&lt;&gt;"",S159,IF(ISERROR(Personalplanung!AE55/Monatsplanung!$E55*Monatsplanung!$H55),0,Personalplanung!AE55/Monatsplanung!$E55*Monatsplanung!$H55))</f>
        <v>0</v>
      </c>
      <c r="U159" s="740"/>
      <c r="V159" s="168">
        <f t="shared" si="29"/>
        <v>0</v>
      </c>
      <c r="W159" s="168">
        <f>IF(ISERROR(Personalplanung!P55/Monatsplanung!$E55*Monatsplanung!$H55),0,Personalplanung!P55/Monatsplanung!$E55*Monatsplanung!$H55)</f>
        <v>0</v>
      </c>
      <c r="X159" s="168">
        <f>IF(ISERROR(Personalplanung!Q55/Monatsplanung!$E55*Monatsplanung!$H55),0,Personalplanung!Q55/Monatsplanung!$E55*Monatsplanung!$H55)</f>
        <v>0</v>
      </c>
      <c r="Y159" s="168">
        <f>IF(ISERROR(Personalplanung!R55/T1303*Stundencontrolling!T159),0,Personalplanung!R55/T1303*Stundencontrolling!T159)</f>
        <v>0</v>
      </c>
      <c r="Z159" s="168">
        <f>IF(ISERROR(Personalplanung!S55/Monatsplanung!$E55*Monatsplanung!$H55),0,Personalplanung!S55/Monatsplanung!$E55*Monatsplanung!$H55)</f>
        <v>0</v>
      </c>
      <c r="AA159" s="80" t="e">
        <f t="shared" si="30"/>
        <v>#DIV/0!</v>
      </c>
      <c r="AB159" s="102">
        <f t="shared" si="31"/>
        <v>0</v>
      </c>
      <c r="AC159" s="103" t="e">
        <f t="shared" si="32"/>
        <v>#DIV/0!</v>
      </c>
      <c r="AD159" s="103" t="e">
        <f t="shared" si="33"/>
        <v>#DIV/0!</v>
      </c>
      <c r="AE159" s="81">
        <f t="shared" si="34"/>
        <v>0</v>
      </c>
      <c r="AF159" s="539"/>
      <c r="AG159" s="104">
        <f t="shared" si="35"/>
        <v>0</v>
      </c>
      <c r="AH159" s="7">
        <f t="shared" si="36"/>
        <v>0</v>
      </c>
      <c r="AI159" s="6">
        <f t="shared" si="37"/>
        <v>0</v>
      </c>
      <c r="AJ159" s="73">
        <f t="shared" si="38"/>
        <v>0</v>
      </c>
      <c r="AK159" s="539"/>
      <c r="AL159" s="748"/>
      <c r="AM159" s="748"/>
    </row>
    <row r="160" spans="2:39" x14ac:dyDescent="0.2">
      <c r="B160" s="101" t="str">
        <f t="shared" si="23"/>
        <v/>
      </c>
      <c r="C160" s="168">
        <f>IF(ISERROR(Personalplanung!F56/Monatsplanung!$E56*Monatsplanung!$H56),0,Personalplanung!F56/Monatsplanung!$E56*Monatsplanung!$H56)</f>
        <v>0</v>
      </c>
      <c r="D160" s="168">
        <f t="shared" si="24"/>
        <v>0</v>
      </c>
      <c r="E160" s="168">
        <f>IF(ISERROR(Personalplanung!H56/Monatsplanung!$E56*Monatsplanung!$H56),0,Personalplanung!H56/Monatsplanung!$E56*Monatsplanung!$H56)</f>
        <v>0</v>
      </c>
      <c r="F160" s="168">
        <f t="shared" si="25"/>
        <v>0</v>
      </c>
      <c r="G160" s="168" t="e">
        <f t="shared" si="26"/>
        <v>#DIV/0!</v>
      </c>
      <c r="H160" s="168" t="e">
        <f t="shared" si="27"/>
        <v>#DIV/0!</v>
      </c>
      <c r="I160" s="168">
        <f t="shared" si="28"/>
        <v>0</v>
      </c>
      <c r="J160" s="739"/>
      <c r="K160" s="168">
        <f>IF(J160&lt;&gt;"",J160,IF(ISERROR(Personalplanung!AB56/Monatsplanung!$E56*Monatsplanung!$H56),0,Personalplanung!AB56/Monatsplanung!$E56*Monatsplanung!$H56))</f>
        <v>0</v>
      </c>
      <c r="L160" s="740"/>
      <c r="M160" s="739"/>
      <c r="N160" s="168">
        <f>IF(M160&lt;&gt;"",M160,IF(ISERROR(Personalplanung!AC56/Monatsplanung!$E56*Monatsplanung!$H56),0,Personalplanung!AC56/Monatsplanung!$E56*Monatsplanung!$H56))</f>
        <v>0</v>
      </c>
      <c r="O160" s="740"/>
      <c r="P160" s="739"/>
      <c r="Q160" s="168">
        <f>IF(P160&lt;&gt;"",P160,IF(ISERROR(Personalplanung!AD56/Monatsplanung!$E56*Monatsplanung!$H56),0,Personalplanung!AD56/Monatsplanung!$E56*Monatsplanung!$H56))</f>
        <v>0</v>
      </c>
      <c r="R160" s="740"/>
      <c r="S160" s="739"/>
      <c r="T160" s="168">
        <f>IF(S160&lt;&gt;"",S160,IF(ISERROR(Personalplanung!AE56/Monatsplanung!$E56*Monatsplanung!$H56),0,Personalplanung!AE56/Monatsplanung!$E56*Monatsplanung!$H56))</f>
        <v>0</v>
      </c>
      <c r="U160" s="740"/>
      <c r="V160" s="168">
        <f t="shared" si="29"/>
        <v>0</v>
      </c>
      <c r="W160" s="168">
        <f>IF(ISERROR(Personalplanung!P56/Monatsplanung!$E56*Monatsplanung!$H56),0,Personalplanung!P56/Monatsplanung!$E56*Monatsplanung!$H56)</f>
        <v>0</v>
      </c>
      <c r="X160" s="168">
        <f>IF(ISERROR(Personalplanung!Q56/Monatsplanung!$E56*Monatsplanung!$H56),0,Personalplanung!Q56/Monatsplanung!$E56*Monatsplanung!$H56)</f>
        <v>0</v>
      </c>
      <c r="Y160" s="168">
        <f>IF(ISERROR(Personalplanung!R56/T1304*Stundencontrolling!T160),0,Personalplanung!R56/T1304*Stundencontrolling!T160)</f>
        <v>0</v>
      </c>
      <c r="Z160" s="168">
        <f>IF(ISERROR(Personalplanung!S56/Monatsplanung!$E56*Monatsplanung!$H56),0,Personalplanung!S56/Monatsplanung!$E56*Monatsplanung!$H56)</f>
        <v>0</v>
      </c>
      <c r="AA160" s="80" t="e">
        <f t="shared" si="30"/>
        <v>#DIV/0!</v>
      </c>
      <c r="AB160" s="102">
        <f t="shared" si="31"/>
        <v>0</v>
      </c>
      <c r="AC160" s="103" t="e">
        <f t="shared" si="32"/>
        <v>#DIV/0!</v>
      </c>
      <c r="AD160" s="103" t="e">
        <f t="shared" si="33"/>
        <v>#DIV/0!</v>
      </c>
      <c r="AE160" s="81">
        <f t="shared" si="34"/>
        <v>0</v>
      </c>
      <c r="AF160" s="539"/>
      <c r="AG160" s="104">
        <f t="shared" si="35"/>
        <v>0</v>
      </c>
      <c r="AH160" s="7">
        <f t="shared" si="36"/>
        <v>0</v>
      </c>
      <c r="AI160" s="6">
        <f t="shared" si="37"/>
        <v>0</v>
      </c>
      <c r="AJ160" s="73">
        <f t="shared" si="38"/>
        <v>0</v>
      </c>
      <c r="AK160" s="539"/>
      <c r="AL160" s="748"/>
      <c r="AM160" s="748"/>
    </row>
    <row r="161" spans="2:39" x14ac:dyDescent="0.2">
      <c r="B161" s="101" t="str">
        <f t="shared" si="23"/>
        <v/>
      </c>
      <c r="C161" s="168">
        <f>IF(ISERROR(Personalplanung!F57/Monatsplanung!$E57*Monatsplanung!$H57),0,Personalplanung!F57/Monatsplanung!$E57*Monatsplanung!$H57)</f>
        <v>0</v>
      </c>
      <c r="D161" s="168">
        <f t="shared" si="24"/>
        <v>0</v>
      </c>
      <c r="E161" s="168">
        <f>IF(ISERROR(Personalplanung!H57/Monatsplanung!$E57*Monatsplanung!$H57),0,Personalplanung!H57/Monatsplanung!$E57*Monatsplanung!$H57)</f>
        <v>0</v>
      </c>
      <c r="F161" s="168">
        <f t="shared" si="25"/>
        <v>0</v>
      </c>
      <c r="G161" s="168" t="e">
        <f t="shared" si="26"/>
        <v>#DIV/0!</v>
      </c>
      <c r="H161" s="168" t="e">
        <f t="shared" si="27"/>
        <v>#DIV/0!</v>
      </c>
      <c r="I161" s="168">
        <f t="shared" si="28"/>
        <v>0</v>
      </c>
      <c r="J161" s="739"/>
      <c r="K161" s="168">
        <f>IF(J161&lt;&gt;"",J161,IF(ISERROR(Personalplanung!AB57/Monatsplanung!$E57*Monatsplanung!$H57),0,Personalplanung!AB57/Monatsplanung!$E57*Monatsplanung!$H57))</f>
        <v>0</v>
      </c>
      <c r="L161" s="740"/>
      <c r="M161" s="739"/>
      <c r="N161" s="168">
        <f>IF(M161&lt;&gt;"",M161,IF(ISERROR(Personalplanung!AC57/Monatsplanung!$E57*Monatsplanung!$H57),0,Personalplanung!AC57/Monatsplanung!$E57*Monatsplanung!$H57))</f>
        <v>0</v>
      </c>
      <c r="O161" s="740"/>
      <c r="P161" s="739"/>
      <c r="Q161" s="168">
        <f>IF(P161&lt;&gt;"",P161,IF(ISERROR(Personalplanung!AD57/Monatsplanung!$E57*Monatsplanung!$H57),0,Personalplanung!AD57/Monatsplanung!$E57*Monatsplanung!$H57))</f>
        <v>0</v>
      </c>
      <c r="R161" s="740"/>
      <c r="S161" s="739"/>
      <c r="T161" s="168">
        <f>IF(S161&lt;&gt;"",S161,IF(ISERROR(Personalplanung!AE57/Monatsplanung!$E57*Monatsplanung!$H57),0,Personalplanung!AE57/Monatsplanung!$E57*Monatsplanung!$H57))</f>
        <v>0</v>
      </c>
      <c r="U161" s="740"/>
      <c r="V161" s="168">
        <f t="shared" si="29"/>
        <v>0</v>
      </c>
      <c r="W161" s="168">
        <f>IF(ISERROR(Personalplanung!P57/Monatsplanung!$E57*Monatsplanung!$H57),0,Personalplanung!P57/Monatsplanung!$E57*Monatsplanung!$H57)</f>
        <v>0</v>
      </c>
      <c r="X161" s="168">
        <f>IF(ISERROR(Personalplanung!Q57/Monatsplanung!$E57*Monatsplanung!$H57),0,Personalplanung!Q57/Monatsplanung!$E57*Monatsplanung!$H57)</f>
        <v>0</v>
      </c>
      <c r="Y161" s="168">
        <f>IF(ISERROR(Personalplanung!R57/T1305*Stundencontrolling!T161),0,Personalplanung!R57/T1305*Stundencontrolling!T161)</f>
        <v>0</v>
      </c>
      <c r="Z161" s="168">
        <f>IF(ISERROR(Personalplanung!S57/Monatsplanung!$E57*Monatsplanung!$H57),0,Personalplanung!S57/Monatsplanung!$E57*Monatsplanung!$H57)</f>
        <v>0</v>
      </c>
      <c r="AA161" s="80" t="e">
        <f t="shared" si="30"/>
        <v>#DIV/0!</v>
      </c>
      <c r="AB161" s="102">
        <f t="shared" si="31"/>
        <v>0</v>
      </c>
      <c r="AC161" s="103" t="e">
        <f t="shared" si="32"/>
        <v>#DIV/0!</v>
      </c>
      <c r="AD161" s="103" t="e">
        <f t="shared" si="33"/>
        <v>#DIV/0!</v>
      </c>
      <c r="AE161" s="81">
        <f t="shared" si="34"/>
        <v>0</v>
      </c>
      <c r="AF161" s="539"/>
      <c r="AG161" s="104">
        <f t="shared" si="35"/>
        <v>0</v>
      </c>
      <c r="AH161" s="7">
        <f t="shared" si="36"/>
        <v>0</v>
      </c>
      <c r="AI161" s="6">
        <f t="shared" si="37"/>
        <v>0</v>
      </c>
      <c r="AJ161" s="73">
        <f t="shared" si="38"/>
        <v>0</v>
      </c>
      <c r="AK161" s="539"/>
      <c r="AL161" s="748"/>
      <c r="AM161" s="748"/>
    </row>
    <row r="162" spans="2:39" x14ac:dyDescent="0.2">
      <c r="B162" s="101" t="str">
        <f t="shared" si="23"/>
        <v/>
      </c>
      <c r="C162" s="168">
        <f>IF(ISERROR(Personalplanung!F58/Monatsplanung!$E58*Monatsplanung!$H58),0,Personalplanung!F58/Monatsplanung!$E58*Monatsplanung!$H58)</f>
        <v>0</v>
      </c>
      <c r="D162" s="168">
        <f t="shared" si="24"/>
        <v>0</v>
      </c>
      <c r="E162" s="168">
        <f>IF(ISERROR(Personalplanung!H58/Monatsplanung!$E58*Monatsplanung!$H58),0,Personalplanung!H58/Monatsplanung!$E58*Monatsplanung!$H58)</f>
        <v>0</v>
      </c>
      <c r="F162" s="168">
        <f t="shared" si="25"/>
        <v>0</v>
      </c>
      <c r="G162" s="168" t="e">
        <f t="shared" si="26"/>
        <v>#DIV/0!</v>
      </c>
      <c r="H162" s="168" t="e">
        <f t="shared" si="27"/>
        <v>#DIV/0!</v>
      </c>
      <c r="I162" s="168">
        <f t="shared" si="28"/>
        <v>0</v>
      </c>
      <c r="J162" s="739"/>
      <c r="K162" s="168">
        <f>IF(J162&lt;&gt;"",J162,IF(ISERROR(Personalplanung!AB58/Monatsplanung!$E58*Monatsplanung!$H58),0,Personalplanung!AB58/Monatsplanung!$E58*Monatsplanung!$H58))</f>
        <v>0</v>
      </c>
      <c r="L162" s="740"/>
      <c r="M162" s="739"/>
      <c r="N162" s="168">
        <f>IF(M162&lt;&gt;"",M162,IF(ISERROR(Personalplanung!AC58/Monatsplanung!$E58*Monatsplanung!$H58),0,Personalplanung!AC58/Monatsplanung!$E58*Monatsplanung!$H58))</f>
        <v>0</v>
      </c>
      <c r="O162" s="740"/>
      <c r="P162" s="739"/>
      <c r="Q162" s="168">
        <f>IF(P162&lt;&gt;"",P162,IF(ISERROR(Personalplanung!AD58/Monatsplanung!$E58*Monatsplanung!$H58),0,Personalplanung!AD58/Monatsplanung!$E58*Monatsplanung!$H58))</f>
        <v>0</v>
      </c>
      <c r="R162" s="740"/>
      <c r="S162" s="739"/>
      <c r="T162" s="168">
        <f>IF(S162&lt;&gt;"",S162,IF(ISERROR(Personalplanung!AE58/Monatsplanung!$E58*Monatsplanung!$H58),0,Personalplanung!AE58/Monatsplanung!$E58*Monatsplanung!$H58))</f>
        <v>0</v>
      </c>
      <c r="U162" s="740"/>
      <c r="V162" s="168">
        <f t="shared" si="29"/>
        <v>0</v>
      </c>
      <c r="W162" s="168">
        <f>IF(ISERROR(Personalplanung!P58/Monatsplanung!$E58*Monatsplanung!$H58),0,Personalplanung!P58/Monatsplanung!$E58*Monatsplanung!$H58)</f>
        <v>0</v>
      </c>
      <c r="X162" s="168">
        <f>IF(ISERROR(Personalplanung!Q58/Monatsplanung!$E58*Monatsplanung!$H58),0,Personalplanung!Q58/Monatsplanung!$E58*Monatsplanung!$H58)</f>
        <v>0</v>
      </c>
      <c r="Y162" s="168">
        <f>IF(ISERROR(Personalplanung!R58/T1306*Stundencontrolling!T162),0,Personalplanung!R58/T1306*Stundencontrolling!T162)</f>
        <v>0</v>
      </c>
      <c r="Z162" s="168">
        <f>IF(ISERROR(Personalplanung!S58/Monatsplanung!$E58*Monatsplanung!$H58),0,Personalplanung!S58/Monatsplanung!$E58*Monatsplanung!$H58)</f>
        <v>0</v>
      </c>
      <c r="AA162" s="80" t="e">
        <f t="shared" si="30"/>
        <v>#DIV/0!</v>
      </c>
      <c r="AB162" s="102">
        <f t="shared" si="31"/>
        <v>0</v>
      </c>
      <c r="AC162" s="103" t="e">
        <f t="shared" si="32"/>
        <v>#DIV/0!</v>
      </c>
      <c r="AD162" s="103" t="e">
        <f t="shared" si="33"/>
        <v>#DIV/0!</v>
      </c>
      <c r="AE162" s="81">
        <f t="shared" si="34"/>
        <v>0</v>
      </c>
      <c r="AF162" s="539"/>
      <c r="AG162" s="104">
        <f t="shared" si="35"/>
        <v>0</v>
      </c>
      <c r="AH162" s="7">
        <f t="shared" si="36"/>
        <v>0</v>
      </c>
      <c r="AI162" s="6">
        <f t="shared" si="37"/>
        <v>0</v>
      </c>
      <c r="AJ162" s="73">
        <f t="shared" si="38"/>
        <v>0</v>
      </c>
      <c r="AK162" s="539"/>
      <c r="AL162" s="748"/>
      <c r="AM162" s="748"/>
    </row>
    <row r="163" spans="2:39" x14ac:dyDescent="0.2">
      <c r="B163" s="101" t="str">
        <f t="shared" si="23"/>
        <v/>
      </c>
      <c r="C163" s="168">
        <f>IF(ISERROR(Personalplanung!F59/Monatsplanung!$E59*Monatsplanung!$H59),0,Personalplanung!F59/Monatsplanung!$E59*Monatsplanung!$H59)</f>
        <v>0</v>
      </c>
      <c r="D163" s="168">
        <f t="shared" si="24"/>
        <v>0</v>
      </c>
      <c r="E163" s="168">
        <f>IF(ISERROR(Personalplanung!H59/Monatsplanung!$E59*Monatsplanung!$H59),0,Personalplanung!H59/Monatsplanung!$E59*Monatsplanung!$H59)</f>
        <v>0</v>
      </c>
      <c r="F163" s="168">
        <f t="shared" si="25"/>
        <v>0</v>
      </c>
      <c r="G163" s="168" t="e">
        <f t="shared" si="26"/>
        <v>#DIV/0!</v>
      </c>
      <c r="H163" s="168" t="e">
        <f t="shared" si="27"/>
        <v>#DIV/0!</v>
      </c>
      <c r="I163" s="168">
        <f t="shared" si="28"/>
        <v>0</v>
      </c>
      <c r="J163" s="739"/>
      <c r="K163" s="168">
        <f>IF(J163&lt;&gt;"",J163,IF(ISERROR(Personalplanung!AB59/Monatsplanung!$E59*Monatsplanung!$H59),0,Personalplanung!AB59/Monatsplanung!$E59*Monatsplanung!$H59))</f>
        <v>0</v>
      </c>
      <c r="L163" s="740"/>
      <c r="M163" s="739"/>
      <c r="N163" s="168">
        <f>IF(M163&lt;&gt;"",M163,IF(ISERROR(Personalplanung!AC59/Monatsplanung!$E59*Monatsplanung!$H59),0,Personalplanung!AC59/Monatsplanung!$E59*Monatsplanung!$H59))</f>
        <v>0</v>
      </c>
      <c r="O163" s="740"/>
      <c r="P163" s="739"/>
      <c r="Q163" s="168">
        <f>IF(P163&lt;&gt;"",P163,IF(ISERROR(Personalplanung!AD59/Monatsplanung!$E59*Monatsplanung!$H59),0,Personalplanung!AD59/Monatsplanung!$E59*Monatsplanung!$H59))</f>
        <v>0</v>
      </c>
      <c r="R163" s="740"/>
      <c r="S163" s="739"/>
      <c r="T163" s="168">
        <f>IF(S163&lt;&gt;"",S163,IF(ISERROR(Personalplanung!AE59/Monatsplanung!$E59*Monatsplanung!$H59),0,Personalplanung!AE59/Monatsplanung!$E59*Monatsplanung!$H59))</f>
        <v>0</v>
      </c>
      <c r="U163" s="740"/>
      <c r="V163" s="168">
        <f t="shared" si="29"/>
        <v>0</v>
      </c>
      <c r="W163" s="168">
        <f>IF(ISERROR(Personalplanung!P59/Monatsplanung!$E59*Monatsplanung!$H59),0,Personalplanung!P59/Monatsplanung!$E59*Monatsplanung!$H59)</f>
        <v>0</v>
      </c>
      <c r="X163" s="168">
        <f>IF(ISERROR(Personalplanung!Q59/Monatsplanung!$E59*Monatsplanung!$H59),0,Personalplanung!Q59/Monatsplanung!$E59*Monatsplanung!$H59)</f>
        <v>0</v>
      </c>
      <c r="Y163" s="168">
        <f>IF(ISERROR(Personalplanung!R59/T1307*Stundencontrolling!T163),0,Personalplanung!R59/T1307*Stundencontrolling!T163)</f>
        <v>0</v>
      </c>
      <c r="Z163" s="168">
        <f>IF(ISERROR(Personalplanung!S59/Monatsplanung!$E59*Monatsplanung!$H59),0,Personalplanung!S59/Monatsplanung!$E59*Monatsplanung!$H59)</f>
        <v>0</v>
      </c>
      <c r="AA163" s="80" t="e">
        <f t="shared" si="30"/>
        <v>#DIV/0!</v>
      </c>
      <c r="AB163" s="102">
        <f t="shared" si="31"/>
        <v>0</v>
      </c>
      <c r="AC163" s="103" t="e">
        <f t="shared" si="32"/>
        <v>#DIV/0!</v>
      </c>
      <c r="AD163" s="103" t="e">
        <f t="shared" si="33"/>
        <v>#DIV/0!</v>
      </c>
      <c r="AE163" s="81">
        <f t="shared" si="34"/>
        <v>0</v>
      </c>
      <c r="AF163" s="539"/>
      <c r="AG163" s="104">
        <f t="shared" si="35"/>
        <v>0</v>
      </c>
      <c r="AH163" s="7">
        <f t="shared" si="36"/>
        <v>0</v>
      </c>
      <c r="AI163" s="6">
        <f t="shared" si="37"/>
        <v>0</v>
      </c>
      <c r="AJ163" s="73">
        <f t="shared" si="38"/>
        <v>0</v>
      </c>
      <c r="AK163" s="539"/>
      <c r="AL163" s="748"/>
      <c r="AM163" s="748"/>
    </row>
    <row r="164" spans="2:39" x14ac:dyDescent="0.2">
      <c r="B164" s="101" t="str">
        <f t="shared" si="23"/>
        <v/>
      </c>
      <c r="C164" s="168">
        <f>IF(ISERROR(Personalplanung!F60/Monatsplanung!$E60*Monatsplanung!$H60),0,Personalplanung!F60/Monatsplanung!$E60*Monatsplanung!$H60)</f>
        <v>0</v>
      </c>
      <c r="D164" s="168">
        <f t="shared" si="24"/>
        <v>0</v>
      </c>
      <c r="E164" s="168">
        <f>IF(ISERROR(Personalplanung!H60/Monatsplanung!$E60*Monatsplanung!$H60),0,Personalplanung!H60/Monatsplanung!$E60*Monatsplanung!$H60)</f>
        <v>0</v>
      </c>
      <c r="F164" s="168">
        <f t="shared" si="25"/>
        <v>0</v>
      </c>
      <c r="G164" s="168" t="e">
        <f t="shared" si="26"/>
        <v>#DIV/0!</v>
      </c>
      <c r="H164" s="168" t="e">
        <f t="shared" si="27"/>
        <v>#DIV/0!</v>
      </c>
      <c r="I164" s="168">
        <f t="shared" si="28"/>
        <v>0</v>
      </c>
      <c r="J164" s="739"/>
      <c r="K164" s="168">
        <f>IF(J164&lt;&gt;"",J164,IF(ISERROR(Personalplanung!AB60/Monatsplanung!$E60*Monatsplanung!$H60),0,Personalplanung!AB60/Monatsplanung!$E60*Monatsplanung!$H60))</f>
        <v>0</v>
      </c>
      <c r="L164" s="740"/>
      <c r="M164" s="739"/>
      <c r="N164" s="168">
        <f>IF(M164&lt;&gt;"",M164,IF(ISERROR(Personalplanung!AC60/Monatsplanung!$E60*Monatsplanung!$H60),0,Personalplanung!AC60/Monatsplanung!$E60*Monatsplanung!$H60))</f>
        <v>0</v>
      </c>
      <c r="O164" s="740"/>
      <c r="P164" s="739"/>
      <c r="Q164" s="168">
        <f>IF(P164&lt;&gt;"",P164,IF(ISERROR(Personalplanung!AD60/Monatsplanung!$E60*Monatsplanung!$H60),0,Personalplanung!AD60/Monatsplanung!$E60*Monatsplanung!$H60))</f>
        <v>0</v>
      </c>
      <c r="R164" s="740"/>
      <c r="S164" s="739"/>
      <c r="T164" s="168">
        <f>IF(S164&lt;&gt;"",S164,IF(ISERROR(Personalplanung!AE60/Monatsplanung!$E60*Monatsplanung!$H60),0,Personalplanung!AE60/Monatsplanung!$E60*Monatsplanung!$H60))</f>
        <v>0</v>
      </c>
      <c r="U164" s="740"/>
      <c r="V164" s="168">
        <f t="shared" si="29"/>
        <v>0</v>
      </c>
      <c r="W164" s="168">
        <f>IF(ISERROR(Personalplanung!P60/Monatsplanung!$E60*Monatsplanung!$H60),0,Personalplanung!P60/Monatsplanung!$E60*Monatsplanung!$H60)</f>
        <v>0</v>
      </c>
      <c r="X164" s="168">
        <f>IF(ISERROR(Personalplanung!Q60/Monatsplanung!$E60*Monatsplanung!$H60),0,Personalplanung!Q60/Monatsplanung!$E60*Monatsplanung!$H60)</f>
        <v>0</v>
      </c>
      <c r="Y164" s="168">
        <f>IF(ISERROR(Personalplanung!R60/T1308*Stundencontrolling!T164),0,Personalplanung!R60/T1308*Stundencontrolling!T164)</f>
        <v>0</v>
      </c>
      <c r="Z164" s="168">
        <f>IF(ISERROR(Personalplanung!S60/Monatsplanung!$E60*Monatsplanung!$H60),0,Personalplanung!S60/Monatsplanung!$E60*Monatsplanung!$H60)</f>
        <v>0</v>
      </c>
      <c r="AA164" s="80" t="e">
        <f t="shared" si="30"/>
        <v>#DIV/0!</v>
      </c>
      <c r="AB164" s="102">
        <f t="shared" si="31"/>
        <v>0</v>
      </c>
      <c r="AC164" s="103" t="e">
        <f t="shared" si="32"/>
        <v>#DIV/0!</v>
      </c>
      <c r="AD164" s="103" t="e">
        <f t="shared" si="33"/>
        <v>#DIV/0!</v>
      </c>
      <c r="AE164" s="81">
        <f t="shared" si="34"/>
        <v>0</v>
      </c>
      <c r="AF164" s="539"/>
      <c r="AG164" s="104">
        <f t="shared" si="35"/>
        <v>0</v>
      </c>
      <c r="AH164" s="7">
        <f t="shared" si="36"/>
        <v>0</v>
      </c>
      <c r="AI164" s="6">
        <f t="shared" si="37"/>
        <v>0</v>
      </c>
      <c r="AJ164" s="73">
        <f t="shared" si="38"/>
        <v>0</v>
      </c>
      <c r="AK164" s="539"/>
      <c r="AL164" s="748"/>
      <c r="AM164" s="748"/>
    </row>
    <row r="165" spans="2:39" x14ac:dyDescent="0.2">
      <c r="B165" s="101" t="str">
        <f t="shared" si="23"/>
        <v/>
      </c>
      <c r="C165" s="168">
        <f>IF(ISERROR(Personalplanung!F61/Monatsplanung!$E61*Monatsplanung!$H61),0,Personalplanung!F61/Monatsplanung!$E61*Monatsplanung!$H61)</f>
        <v>0</v>
      </c>
      <c r="D165" s="168">
        <f t="shared" si="24"/>
        <v>0</v>
      </c>
      <c r="E165" s="168">
        <f>IF(ISERROR(Personalplanung!H61/Monatsplanung!$E61*Monatsplanung!$H61),0,Personalplanung!H61/Monatsplanung!$E61*Monatsplanung!$H61)</f>
        <v>0</v>
      </c>
      <c r="F165" s="168">
        <f t="shared" si="25"/>
        <v>0</v>
      </c>
      <c r="G165" s="168" t="e">
        <f t="shared" si="26"/>
        <v>#DIV/0!</v>
      </c>
      <c r="H165" s="168" t="e">
        <f t="shared" si="27"/>
        <v>#DIV/0!</v>
      </c>
      <c r="I165" s="168">
        <f t="shared" si="28"/>
        <v>0</v>
      </c>
      <c r="J165" s="739"/>
      <c r="K165" s="168">
        <f>IF(J165&lt;&gt;"",J165,IF(ISERROR(Personalplanung!AB61/Monatsplanung!$E61*Monatsplanung!$H61),0,Personalplanung!AB61/Monatsplanung!$E61*Monatsplanung!$H61))</f>
        <v>0</v>
      </c>
      <c r="L165" s="740"/>
      <c r="M165" s="739"/>
      <c r="N165" s="168">
        <f>IF(M165&lt;&gt;"",M165,IF(ISERROR(Personalplanung!AC61/Monatsplanung!$E61*Monatsplanung!$H61),0,Personalplanung!AC61/Monatsplanung!$E61*Monatsplanung!$H61))</f>
        <v>0</v>
      </c>
      <c r="O165" s="740"/>
      <c r="P165" s="739"/>
      <c r="Q165" s="168">
        <f>IF(P165&lt;&gt;"",P165,IF(ISERROR(Personalplanung!AD61/Monatsplanung!$E61*Monatsplanung!$H61),0,Personalplanung!AD61/Monatsplanung!$E61*Monatsplanung!$H61))</f>
        <v>0</v>
      </c>
      <c r="R165" s="740"/>
      <c r="S165" s="739"/>
      <c r="T165" s="168">
        <f>IF(S165&lt;&gt;"",S165,IF(ISERROR(Personalplanung!AE61/Monatsplanung!$E61*Monatsplanung!$H61),0,Personalplanung!AE61/Monatsplanung!$E61*Monatsplanung!$H61))</f>
        <v>0</v>
      </c>
      <c r="U165" s="740"/>
      <c r="V165" s="168">
        <f t="shared" si="29"/>
        <v>0</v>
      </c>
      <c r="W165" s="168">
        <f>IF(ISERROR(Personalplanung!P61/Monatsplanung!$E61*Monatsplanung!$H61),0,Personalplanung!P61/Monatsplanung!$E61*Monatsplanung!$H61)</f>
        <v>0</v>
      </c>
      <c r="X165" s="168">
        <f>IF(ISERROR(Personalplanung!Q61/Monatsplanung!$E61*Monatsplanung!$H61),0,Personalplanung!Q61/Monatsplanung!$E61*Monatsplanung!$H61)</f>
        <v>0</v>
      </c>
      <c r="Y165" s="168">
        <f>IF(ISERROR(Personalplanung!R61/T1309*Stundencontrolling!T165),0,Personalplanung!R61/T1309*Stundencontrolling!T165)</f>
        <v>0</v>
      </c>
      <c r="Z165" s="168">
        <f>IF(ISERROR(Personalplanung!S61/Monatsplanung!$E61*Monatsplanung!$H61),0,Personalplanung!S61/Monatsplanung!$E61*Monatsplanung!$H61)</f>
        <v>0</v>
      </c>
      <c r="AA165" s="80" t="e">
        <f t="shared" si="30"/>
        <v>#DIV/0!</v>
      </c>
      <c r="AB165" s="102">
        <f t="shared" si="31"/>
        <v>0</v>
      </c>
      <c r="AC165" s="103" t="e">
        <f t="shared" si="32"/>
        <v>#DIV/0!</v>
      </c>
      <c r="AD165" s="103" t="e">
        <f t="shared" si="33"/>
        <v>#DIV/0!</v>
      </c>
      <c r="AE165" s="81">
        <f t="shared" si="34"/>
        <v>0</v>
      </c>
      <c r="AF165" s="539"/>
      <c r="AG165" s="104">
        <f t="shared" si="35"/>
        <v>0</v>
      </c>
      <c r="AH165" s="7">
        <f t="shared" si="36"/>
        <v>0</v>
      </c>
      <c r="AI165" s="6">
        <f t="shared" si="37"/>
        <v>0</v>
      </c>
      <c r="AJ165" s="73">
        <f t="shared" si="38"/>
        <v>0</v>
      </c>
      <c r="AK165" s="539"/>
      <c r="AL165" s="748"/>
      <c r="AM165" s="748"/>
    </row>
    <row r="166" spans="2:39" x14ac:dyDescent="0.2">
      <c r="B166" s="101" t="str">
        <f t="shared" si="23"/>
        <v/>
      </c>
      <c r="C166" s="168">
        <f>IF(ISERROR(Personalplanung!F62/Monatsplanung!$E62*Monatsplanung!$H62),0,Personalplanung!F62/Monatsplanung!$E62*Monatsplanung!$H62)</f>
        <v>0</v>
      </c>
      <c r="D166" s="168">
        <f t="shared" si="24"/>
        <v>0</v>
      </c>
      <c r="E166" s="168">
        <f>IF(ISERROR(Personalplanung!H62/Monatsplanung!$E62*Monatsplanung!$H62),0,Personalplanung!H62/Monatsplanung!$E62*Monatsplanung!$H62)</f>
        <v>0</v>
      </c>
      <c r="F166" s="168">
        <f t="shared" si="25"/>
        <v>0</v>
      </c>
      <c r="G166" s="168" t="e">
        <f t="shared" si="26"/>
        <v>#DIV/0!</v>
      </c>
      <c r="H166" s="168" t="e">
        <f t="shared" si="27"/>
        <v>#DIV/0!</v>
      </c>
      <c r="I166" s="168">
        <f t="shared" si="28"/>
        <v>0</v>
      </c>
      <c r="J166" s="739"/>
      <c r="K166" s="168">
        <f>IF(J166&lt;&gt;"",J166,IF(ISERROR(Personalplanung!AB62/Monatsplanung!$E62*Monatsplanung!$H62),0,Personalplanung!AB62/Monatsplanung!$E62*Monatsplanung!$H62))</f>
        <v>0</v>
      </c>
      <c r="L166" s="740"/>
      <c r="M166" s="739"/>
      <c r="N166" s="168">
        <f>IF(M166&lt;&gt;"",M166,IF(ISERROR(Personalplanung!AC62/Monatsplanung!$E62*Monatsplanung!$H62),0,Personalplanung!AC62/Monatsplanung!$E62*Monatsplanung!$H62))</f>
        <v>0</v>
      </c>
      <c r="O166" s="740"/>
      <c r="P166" s="739"/>
      <c r="Q166" s="168">
        <f>IF(P166&lt;&gt;"",P166,IF(ISERROR(Personalplanung!AD62/Monatsplanung!$E62*Monatsplanung!$H62),0,Personalplanung!AD62/Monatsplanung!$E62*Monatsplanung!$H62))</f>
        <v>0</v>
      </c>
      <c r="R166" s="740"/>
      <c r="S166" s="739"/>
      <c r="T166" s="168">
        <f>IF(S166&lt;&gt;"",S166,IF(ISERROR(Personalplanung!AE62/Monatsplanung!$E62*Monatsplanung!$H62),0,Personalplanung!AE62/Monatsplanung!$E62*Monatsplanung!$H62))</f>
        <v>0</v>
      </c>
      <c r="U166" s="740"/>
      <c r="V166" s="168">
        <f t="shared" si="29"/>
        <v>0</v>
      </c>
      <c r="W166" s="168">
        <f>IF(ISERROR(Personalplanung!P62/Monatsplanung!$E62*Monatsplanung!$H62),0,Personalplanung!P62/Monatsplanung!$E62*Monatsplanung!$H62)</f>
        <v>0</v>
      </c>
      <c r="X166" s="168">
        <f>IF(ISERROR(Personalplanung!Q62/Monatsplanung!$E62*Monatsplanung!$H62),0,Personalplanung!Q62/Monatsplanung!$E62*Monatsplanung!$H62)</f>
        <v>0</v>
      </c>
      <c r="Y166" s="168">
        <f>IF(ISERROR(Personalplanung!R62/T1310*Stundencontrolling!T166),0,Personalplanung!R62/T1310*Stundencontrolling!T166)</f>
        <v>0</v>
      </c>
      <c r="Z166" s="168">
        <f>IF(ISERROR(Personalplanung!S62/Monatsplanung!$E62*Monatsplanung!$H62),0,Personalplanung!S62/Monatsplanung!$E62*Monatsplanung!$H62)</f>
        <v>0</v>
      </c>
      <c r="AA166" s="80" t="e">
        <f t="shared" si="30"/>
        <v>#DIV/0!</v>
      </c>
      <c r="AB166" s="102">
        <f t="shared" si="31"/>
        <v>0</v>
      </c>
      <c r="AC166" s="103" t="e">
        <f t="shared" si="32"/>
        <v>#DIV/0!</v>
      </c>
      <c r="AD166" s="103" t="e">
        <f t="shared" si="33"/>
        <v>#DIV/0!</v>
      </c>
      <c r="AE166" s="81">
        <f t="shared" si="34"/>
        <v>0</v>
      </c>
      <c r="AF166" s="539"/>
      <c r="AG166" s="104">
        <f t="shared" si="35"/>
        <v>0</v>
      </c>
      <c r="AH166" s="7">
        <f t="shared" si="36"/>
        <v>0</v>
      </c>
      <c r="AI166" s="6">
        <f t="shared" si="37"/>
        <v>0</v>
      </c>
      <c r="AJ166" s="73">
        <f t="shared" si="38"/>
        <v>0</v>
      </c>
      <c r="AK166" s="539"/>
      <c r="AL166" s="748"/>
      <c r="AM166" s="748"/>
    </row>
    <row r="167" spans="2:39" x14ac:dyDescent="0.2">
      <c r="B167" s="101" t="str">
        <f t="shared" si="23"/>
        <v/>
      </c>
      <c r="C167" s="168">
        <f>IF(ISERROR(Personalplanung!F63/Monatsplanung!$E63*Monatsplanung!$H63),0,Personalplanung!F63/Monatsplanung!$E63*Monatsplanung!$H63)</f>
        <v>0</v>
      </c>
      <c r="D167" s="168">
        <f t="shared" si="24"/>
        <v>0</v>
      </c>
      <c r="E167" s="168">
        <f>IF(ISERROR(Personalplanung!H63/Monatsplanung!$E63*Monatsplanung!$H63),0,Personalplanung!H63/Monatsplanung!$E63*Monatsplanung!$H63)</f>
        <v>0</v>
      </c>
      <c r="F167" s="168">
        <f t="shared" si="25"/>
        <v>0</v>
      </c>
      <c r="G167" s="168" t="e">
        <f t="shared" si="26"/>
        <v>#DIV/0!</v>
      </c>
      <c r="H167" s="168" t="e">
        <f t="shared" si="27"/>
        <v>#DIV/0!</v>
      </c>
      <c r="I167" s="168">
        <f t="shared" si="28"/>
        <v>0</v>
      </c>
      <c r="J167" s="739"/>
      <c r="K167" s="168">
        <f>IF(J167&lt;&gt;"",J167,IF(ISERROR(Personalplanung!AB63/Monatsplanung!$E63*Monatsplanung!$H63),0,Personalplanung!AB63/Monatsplanung!$E63*Monatsplanung!$H63))</f>
        <v>0</v>
      </c>
      <c r="L167" s="740"/>
      <c r="M167" s="739"/>
      <c r="N167" s="168">
        <f>IF(M167&lt;&gt;"",M167,IF(ISERROR(Personalplanung!AC63/Monatsplanung!$E63*Monatsplanung!$H63),0,Personalplanung!AC63/Monatsplanung!$E63*Monatsplanung!$H63))</f>
        <v>0</v>
      </c>
      <c r="O167" s="740"/>
      <c r="P167" s="739"/>
      <c r="Q167" s="168">
        <f>IF(P167&lt;&gt;"",P167,IF(ISERROR(Personalplanung!AD63/Monatsplanung!$E63*Monatsplanung!$H63),0,Personalplanung!AD63/Monatsplanung!$E63*Monatsplanung!$H63))</f>
        <v>0</v>
      </c>
      <c r="R167" s="740"/>
      <c r="S167" s="739"/>
      <c r="T167" s="168">
        <f>IF(S167&lt;&gt;"",S167,IF(ISERROR(Personalplanung!AE63/Monatsplanung!$E63*Monatsplanung!$H63),0,Personalplanung!AE63/Monatsplanung!$E63*Monatsplanung!$H63))</f>
        <v>0</v>
      </c>
      <c r="U167" s="740"/>
      <c r="V167" s="168">
        <f t="shared" si="29"/>
        <v>0</v>
      </c>
      <c r="W167" s="168">
        <f>IF(ISERROR(Personalplanung!P63/Monatsplanung!$E63*Monatsplanung!$H63),0,Personalplanung!P63/Monatsplanung!$E63*Monatsplanung!$H63)</f>
        <v>0</v>
      </c>
      <c r="X167" s="168">
        <f>IF(ISERROR(Personalplanung!Q63/Monatsplanung!$E63*Monatsplanung!$H63),0,Personalplanung!Q63/Monatsplanung!$E63*Monatsplanung!$H63)</f>
        <v>0</v>
      </c>
      <c r="Y167" s="168">
        <f>IF(ISERROR(Personalplanung!R63/T1311*Stundencontrolling!T167),0,Personalplanung!R63/T1311*Stundencontrolling!T167)</f>
        <v>0</v>
      </c>
      <c r="Z167" s="168">
        <f>IF(ISERROR(Personalplanung!S63/Monatsplanung!$E63*Monatsplanung!$H63),0,Personalplanung!S63/Monatsplanung!$E63*Monatsplanung!$H63)</f>
        <v>0</v>
      </c>
      <c r="AA167" s="80" t="e">
        <f t="shared" si="30"/>
        <v>#DIV/0!</v>
      </c>
      <c r="AB167" s="102">
        <f t="shared" si="31"/>
        <v>0</v>
      </c>
      <c r="AC167" s="103" t="e">
        <f t="shared" si="32"/>
        <v>#DIV/0!</v>
      </c>
      <c r="AD167" s="103" t="e">
        <f t="shared" si="33"/>
        <v>#DIV/0!</v>
      </c>
      <c r="AE167" s="81">
        <f t="shared" si="34"/>
        <v>0</v>
      </c>
      <c r="AF167" s="539"/>
      <c r="AG167" s="104">
        <f t="shared" si="35"/>
        <v>0</v>
      </c>
      <c r="AH167" s="7">
        <f t="shared" si="36"/>
        <v>0</v>
      </c>
      <c r="AI167" s="6">
        <f t="shared" si="37"/>
        <v>0</v>
      </c>
      <c r="AJ167" s="73">
        <f t="shared" si="38"/>
        <v>0</v>
      </c>
      <c r="AK167" s="539"/>
      <c r="AL167" s="748"/>
      <c r="AM167" s="748"/>
    </row>
    <row r="168" spans="2:39" x14ac:dyDescent="0.2">
      <c r="B168" s="101" t="str">
        <f t="shared" si="23"/>
        <v/>
      </c>
      <c r="C168" s="168">
        <f>IF(ISERROR(Personalplanung!F64/Monatsplanung!$E64*Monatsplanung!$H64),0,Personalplanung!F64/Monatsplanung!$E64*Monatsplanung!$H64)</f>
        <v>0</v>
      </c>
      <c r="D168" s="168">
        <f t="shared" si="24"/>
        <v>0</v>
      </c>
      <c r="E168" s="168">
        <f>IF(ISERROR(Personalplanung!H64/Monatsplanung!$E64*Monatsplanung!$H64),0,Personalplanung!H64/Monatsplanung!$E64*Monatsplanung!$H64)</f>
        <v>0</v>
      </c>
      <c r="F168" s="168">
        <f t="shared" si="25"/>
        <v>0</v>
      </c>
      <c r="G168" s="168" t="e">
        <f t="shared" si="26"/>
        <v>#DIV/0!</v>
      </c>
      <c r="H168" s="168" t="e">
        <f t="shared" si="27"/>
        <v>#DIV/0!</v>
      </c>
      <c r="I168" s="168">
        <f t="shared" si="28"/>
        <v>0</v>
      </c>
      <c r="J168" s="739"/>
      <c r="K168" s="168">
        <f>IF(J168&lt;&gt;"",J168,IF(ISERROR(Personalplanung!AB64/Monatsplanung!$E64*Monatsplanung!$H64),0,Personalplanung!AB64/Monatsplanung!$E64*Monatsplanung!$H64))</f>
        <v>0</v>
      </c>
      <c r="L168" s="740"/>
      <c r="M168" s="739"/>
      <c r="N168" s="168">
        <f>IF(M168&lt;&gt;"",M168,IF(ISERROR(Personalplanung!AC64/Monatsplanung!$E64*Monatsplanung!$H64),0,Personalplanung!AC64/Monatsplanung!$E64*Monatsplanung!$H64))</f>
        <v>0</v>
      </c>
      <c r="O168" s="740"/>
      <c r="P168" s="739"/>
      <c r="Q168" s="168">
        <f>IF(P168&lt;&gt;"",P168,IF(ISERROR(Personalplanung!AD64/Monatsplanung!$E64*Monatsplanung!$H64),0,Personalplanung!AD64/Monatsplanung!$E64*Monatsplanung!$H64))</f>
        <v>0</v>
      </c>
      <c r="R168" s="740"/>
      <c r="S168" s="739"/>
      <c r="T168" s="168">
        <f>IF(S168&lt;&gt;"",S168,IF(ISERROR(Personalplanung!AE64/Monatsplanung!$E64*Monatsplanung!$H64),0,Personalplanung!AE64/Monatsplanung!$E64*Monatsplanung!$H64))</f>
        <v>0</v>
      </c>
      <c r="U168" s="740"/>
      <c r="V168" s="168">
        <f t="shared" si="29"/>
        <v>0</v>
      </c>
      <c r="W168" s="168">
        <f>IF(ISERROR(Personalplanung!P64/Monatsplanung!$E64*Monatsplanung!$H64),0,Personalplanung!P64/Monatsplanung!$E64*Monatsplanung!$H64)</f>
        <v>0</v>
      </c>
      <c r="X168" s="168">
        <f>IF(ISERROR(Personalplanung!Q64/Monatsplanung!$E64*Monatsplanung!$H64),0,Personalplanung!Q64/Monatsplanung!$E64*Monatsplanung!$H64)</f>
        <v>0</v>
      </c>
      <c r="Y168" s="168">
        <f>IF(ISERROR(Personalplanung!R64/T1312*Stundencontrolling!T168),0,Personalplanung!R64/T1312*Stundencontrolling!T168)</f>
        <v>0</v>
      </c>
      <c r="Z168" s="168">
        <f>IF(ISERROR(Personalplanung!S64/Monatsplanung!$E64*Monatsplanung!$H64),0,Personalplanung!S64/Monatsplanung!$E64*Monatsplanung!$H64)</f>
        <v>0</v>
      </c>
      <c r="AA168" s="80" t="e">
        <f t="shared" si="30"/>
        <v>#DIV/0!</v>
      </c>
      <c r="AB168" s="102">
        <f t="shared" si="31"/>
        <v>0</v>
      </c>
      <c r="AC168" s="103" t="e">
        <f t="shared" si="32"/>
        <v>#DIV/0!</v>
      </c>
      <c r="AD168" s="103" t="e">
        <f t="shared" si="33"/>
        <v>#DIV/0!</v>
      </c>
      <c r="AE168" s="81">
        <f t="shared" si="34"/>
        <v>0</v>
      </c>
      <c r="AF168" s="539"/>
      <c r="AG168" s="104">
        <f t="shared" si="35"/>
        <v>0</v>
      </c>
      <c r="AH168" s="7">
        <f t="shared" si="36"/>
        <v>0</v>
      </c>
      <c r="AI168" s="6">
        <f t="shared" si="37"/>
        <v>0</v>
      </c>
      <c r="AJ168" s="73">
        <f t="shared" si="38"/>
        <v>0</v>
      </c>
      <c r="AK168" s="539"/>
      <c r="AL168" s="748"/>
      <c r="AM168" s="748"/>
    </row>
    <row r="169" spans="2:39" x14ac:dyDescent="0.2">
      <c r="B169" s="101" t="str">
        <f t="shared" si="23"/>
        <v/>
      </c>
      <c r="C169" s="168">
        <f>IF(ISERROR(Personalplanung!F65/Monatsplanung!$E65*Monatsplanung!$H65),0,Personalplanung!F65/Monatsplanung!$E65*Monatsplanung!$H65)</f>
        <v>0</v>
      </c>
      <c r="D169" s="168">
        <f t="shared" si="24"/>
        <v>0</v>
      </c>
      <c r="E169" s="168">
        <f>IF(ISERROR(Personalplanung!H65/Monatsplanung!$E65*Monatsplanung!$H65),0,Personalplanung!H65/Monatsplanung!$E65*Monatsplanung!$H65)</f>
        <v>0</v>
      </c>
      <c r="F169" s="168">
        <f t="shared" si="25"/>
        <v>0</v>
      </c>
      <c r="G169" s="168" t="e">
        <f t="shared" si="26"/>
        <v>#DIV/0!</v>
      </c>
      <c r="H169" s="168" t="e">
        <f t="shared" si="27"/>
        <v>#DIV/0!</v>
      </c>
      <c r="I169" s="168">
        <f t="shared" si="28"/>
        <v>0</v>
      </c>
      <c r="J169" s="739"/>
      <c r="K169" s="168">
        <f>IF(J169&lt;&gt;"",J169,IF(ISERROR(Personalplanung!AB65/Monatsplanung!$E65*Monatsplanung!$H65),0,Personalplanung!AB65/Monatsplanung!$E65*Monatsplanung!$H65))</f>
        <v>0</v>
      </c>
      <c r="L169" s="740"/>
      <c r="M169" s="739"/>
      <c r="N169" s="168">
        <f>IF(M169&lt;&gt;"",M169,IF(ISERROR(Personalplanung!AC65/Monatsplanung!$E65*Monatsplanung!$H65),0,Personalplanung!AC65/Monatsplanung!$E65*Monatsplanung!$H65))</f>
        <v>0</v>
      </c>
      <c r="O169" s="740"/>
      <c r="P169" s="739"/>
      <c r="Q169" s="168">
        <f>IF(P169&lt;&gt;"",P169,IF(ISERROR(Personalplanung!AD65/Monatsplanung!$E65*Monatsplanung!$H65),0,Personalplanung!AD65/Monatsplanung!$E65*Monatsplanung!$H65))</f>
        <v>0</v>
      </c>
      <c r="R169" s="740"/>
      <c r="S169" s="739"/>
      <c r="T169" s="168">
        <f>IF(S169&lt;&gt;"",S169,IF(ISERROR(Personalplanung!AE65/Monatsplanung!$E65*Monatsplanung!$H65),0,Personalplanung!AE65/Monatsplanung!$E65*Monatsplanung!$H65))</f>
        <v>0</v>
      </c>
      <c r="U169" s="740"/>
      <c r="V169" s="168">
        <f t="shared" si="29"/>
        <v>0</v>
      </c>
      <c r="W169" s="168">
        <f>IF(ISERROR(Personalplanung!P65/Monatsplanung!$E65*Monatsplanung!$H65),0,Personalplanung!P65/Monatsplanung!$E65*Monatsplanung!$H65)</f>
        <v>0</v>
      </c>
      <c r="X169" s="168">
        <f>IF(ISERROR(Personalplanung!Q65/Monatsplanung!$E65*Monatsplanung!$H65),0,Personalplanung!Q65/Monatsplanung!$E65*Monatsplanung!$H65)</f>
        <v>0</v>
      </c>
      <c r="Y169" s="168">
        <f>IF(ISERROR(Personalplanung!R65/T1313*Stundencontrolling!T169),0,Personalplanung!R65/T1313*Stundencontrolling!T169)</f>
        <v>0</v>
      </c>
      <c r="Z169" s="168">
        <f>IF(ISERROR(Personalplanung!S65/Monatsplanung!$E65*Monatsplanung!$H65),0,Personalplanung!S65/Monatsplanung!$E65*Monatsplanung!$H65)</f>
        <v>0</v>
      </c>
      <c r="AA169" s="80" t="e">
        <f t="shared" si="30"/>
        <v>#DIV/0!</v>
      </c>
      <c r="AB169" s="102">
        <f t="shared" si="31"/>
        <v>0</v>
      </c>
      <c r="AC169" s="103" t="e">
        <f t="shared" si="32"/>
        <v>#DIV/0!</v>
      </c>
      <c r="AD169" s="103" t="e">
        <f t="shared" si="33"/>
        <v>#DIV/0!</v>
      </c>
      <c r="AE169" s="81">
        <f t="shared" si="34"/>
        <v>0</v>
      </c>
      <c r="AF169" s="539"/>
      <c r="AG169" s="104">
        <f t="shared" si="35"/>
        <v>0</v>
      </c>
      <c r="AH169" s="7">
        <f t="shared" si="36"/>
        <v>0</v>
      </c>
      <c r="AI169" s="6">
        <f t="shared" si="37"/>
        <v>0</v>
      </c>
      <c r="AJ169" s="73">
        <f t="shared" si="38"/>
        <v>0</v>
      </c>
      <c r="AK169" s="539"/>
      <c r="AL169" s="748"/>
      <c r="AM169" s="748"/>
    </row>
    <row r="170" spans="2:39" x14ac:dyDescent="0.2">
      <c r="B170" s="101" t="str">
        <f t="shared" si="23"/>
        <v/>
      </c>
      <c r="C170" s="168">
        <f>IF(ISERROR(Personalplanung!F66/Monatsplanung!$E66*Monatsplanung!$H66),0,Personalplanung!F66/Monatsplanung!$E66*Monatsplanung!$H66)</f>
        <v>0</v>
      </c>
      <c r="D170" s="168">
        <f t="shared" si="24"/>
        <v>0</v>
      </c>
      <c r="E170" s="168">
        <f>IF(ISERROR(Personalplanung!H66/Monatsplanung!$E66*Monatsplanung!$H66),0,Personalplanung!H66/Monatsplanung!$E66*Monatsplanung!$H66)</f>
        <v>0</v>
      </c>
      <c r="F170" s="168">
        <f t="shared" si="25"/>
        <v>0</v>
      </c>
      <c r="G170" s="168" t="e">
        <f t="shared" si="26"/>
        <v>#DIV/0!</v>
      </c>
      <c r="H170" s="168" t="e">
        <f t="shared" si="27"/>
        <v>#DIV/0!</v>
      </c>
      <c r="I170" s="168">
        <f t="shared" si="28"/>
        <v>0</v>
      </c>
      <c r="J170" s="739"/>
      <c r="K170" s="168">
        <f>IF(J170&lt;&gt;"",J170,IF(ISERROR(Personalplanung!AB66/Monatsplanung!$E66*Monatsplanung!$H66),0,Personalplanung!AB66/Monatsplanung!$E66*Monatsplanung!$H66))</f>
        <v>0</v>
      </c>
      <c r="L170" s="740"/>
      <c r="M170" s="739"/>
      <c r="N170" s="168">
        <f>IF(M170&lt;&gt;"",M170,IF(ISERROR(Personalplanung!AC66/Monatsplanung!$E66*Monatsplanung!$H66),0,Personalplanung!AC66/Monatsplanung!$E66*Monatsplanung!$H66))</f>
        <v>0</v>
      </c>
      <c r="O170" s="740"/>
      <c r="P170" s="739"/>
      <c r="Q170" s="168">
        <f>IF(P170&lt;&gt;"",P170,IF(ISERROR(Personalplanung!AD66/Monatsplanung!$E66*Monatsplanung!$H66),0,Personalplanung!AD66/Monatsplanung!$E66*Monatsplanung!$H66))</f>
        <v>0</v>
      </c>
      <c r="R170" s="740"/>
      <c r="S170" s="739"/>
      <c r="T170" s="168">
        <f>IF(S170&lt;&gt;"",S170,IF(ISERROR(Personalplanung!AE66/Monatsplanung!$E66*Monatsplanung!$H66),0,Personalplanung!AE66/Monatsplanung!$E66*Monatsplanung!$H66))</f>
        <v>0</v>
      </c>
      <c r="U170" s="740"/>
      <c r="V170" s="168">
        <f t="shared" si="29"/>
        <v>0</v>
      </c>
      <c r="W170" s="168">
        <f>IF(ISERROR(Personalplanung!P66/Monatsplanung!$E66*Monatsplanung!$H66),0,Personalplanung!P66/Monatsplanung!$E66*Monatsplanung!$H66)</f>
        <v>0</v>
      </c>
      <c r="X170" s="168">
        <f>IF(ISERROR(Personalplanung!Q66/Monatsplanung!$E66*Monatsplanung!$H66),0,Personalplanung!Q66/Monatsplanung!$E66*Monatsplanung!$H66)</f>
        <v>0</v>
      </c>
      <c r="Y170" s="168">
        <f>IF(ISERROR(Personalplanung!R66/T1314*Stundencontrolling!T170),0,Personalplanung!R66/T1314*Stundencontrolling!T170)</f>
        <v>0</v>
      </c>
      <c r="Z170" s="168">
        <f>IF(ISERROR(Personalplanung!S66/Monatsplanung!$E66*Monatsplanung!$H66),0,Personalplanung!S66/Monatsplanung!$E66*Monatsplanung!$H66)</f>
        <v>0</v>
      </c>
      <c r="AA170" s="80" t="e">
        <f t="shared" si="30"/>
        <v>#DIV/0!</v>
      </c>
      <c r="AB170" s="102">
        <f t="shared" si="31"/>
        <v>0</v>
      </c>
      <c r="AC170" s="103" t="e">
        <f t="shared" si="32"/>
        <v>#DIV/0!</v>
      </c>
      <c r="AD170" s="103" t="e">
        <f t="shared" si="33"/>
        <v>#DIV/0!</v>
      </c>
      <c r="AE170" s="81">
        <f t="shared" si="34"/>
        <v>0</v>
      </c>
      <c r="AF170" s="539"/>
      <c r="AG170" s="104">
        <f t="shared" si="35"/>
        <v>0</v>
      </c>
      <c r="AH170" s="7">
        <f t="shared" si="36"/>
        <v>0</v>
      </c>
      <c r="AI170" s="6">
        <f t="shared" si="37"/>
        <v>0</v>
      </c>
      <c r="AJ170" s="73">
        <f t="shared" si="38"/>
        <v>0</v>
      </c>
      <c r="AK170" s="539"/>
      <c r="AL170" s="748"/>
      <c r="AM170" s="748"/>
    </row>
    <row r="171" spans="2:39" x14ac:dyDescent="0.2">
      <c r="B171" s="101" t="str">
        <f t="shared" si="23"/>
        <v/>
      </c>
      <c r="C171" s="168">
        <f>IF(ISERROR(Personalplanung!F67/Monatsplanung!$E67*Monatsplanung!$H67),0,Personalplanung!F67/Monatsplanung!$E67*Monatsplanung!$H67)</f>
        <v>0</v>
      </c>
      <c r="D171" s="168">
        <f t="shared" si="24"/>
        <v>0</v>
      </c>
      <c r="E171" s="168">
        <f>IF(ISERROR(Personalplanung!H67/Monatsplanung!$E67*Monatsplanung!$H67),0,Personalplanung!H67/Monatsplanung!$E67*Monatsplanung!$H67)</f>
        <v>0</v>
      </c>
      <c r="F171" s="168">
        <f t="shared" si="25"/>
        <v>0</v>
      </c>
      <c r="G171" s="168" t="e">
        <f t="shared" si="26"/>
        <v>#DIV/0!</v>
      </c>
      <c r="H171" s="168" t="e">
        <f t="shared" si="27"/>
        <v>#DIV/0!</v>
      </c>
      <c r="I171" s="168">
        <f t="shared" si="28"/>
        <v>0</v>
      </c>
      <c r="J171" s="739"/>
      <c r="K171" s="168">
        <f>IF(J171&lt;&gt;"",J171,IF(ISERROR(Personalplanung!AB67/Monatsplanung!$E67*Monatsplanung!$H67),0,Personalplanung!AB67/Monatsplanung!$E67*Monatsplanung!$H67))</f>
        <v>0</v>
      </c>
      <c r="L171" s="740"/>
      <c r="M171" s="739"/>
      <c r="N171" s="168">
        <f>IF(M171&lt;&gt;"",M171,IF(ISERROR(Personalplanung!AC67/Monatsplanung!$E67*Monatsplanung!$H67),0,Personalplanung!AC67/Monatsplanung!$E67*Monatsplanung!$H67))</f>
        <v>0</v>
      </c>
      <c r="O171" s="740"/>
      <c r="P171" s="739"/>
      <c r="Q171" s="168">
        <f>IF(P171&lt;&gt;"",P171,IF(ISERROR(Personalplanung!AD67/Monatsplanung!$E67*Monatsplanung!$H67),0,Personalplanung!AD67/Monatsplanung!$E67*Monatsplanung!$H67))</f>
        <v>0</v>
      </c>
      <c r="R171" s="740"/>
      <c r="S171" s="739"/>
      <c r="T171" s="168">
        <f>IF(S171&lt;&gt;"",S171,IF(ISERROR(Personalplanung!AE67/Monatsplanung!$E67*Monatsplanung!$H67),0,Personalplanung!AE67/Monatsplanung!$E67*Monatsplanung!$H67))</f>
        <v>0</v>
      </c>
      <c r="U171" s="740"/>
      <c r="V171" s="168">
        <f t="shared" si="29"/>
        <v>0</v>
      </c>
      <c r="W171" s="168">
        <f>IF(ISERROR(Personalplanung!P67/Monatsplanung!$E67*Monatsplanung!$H67),0,Personalplanung!P67/Monatsplanung!$E67*Monatsplanung!$H67)</f>
        <v>0</v>
      </c>
      <c r="X171" s="168">
        <f>IF(ISERROR(Personalplanung!Q67/Monatsplanung!$E67*Monatsplanung!$H67),0,Personalplanung!Q67/Monatsplanung!$E67*Monatsplanung!$H67)</f>
        <v>0</v>
      </c>
      <c r="Y171" s="168">
        <f>IF(ISERROR(Personalplanung!R67/T1315*Stundencontrolling!T171),0,Personalplanung!R67/T1315*Stundencontrolling!T171)</f>
        <v>0</v>
      </c>
      <c r="Z171" s="168">
        <f>IF(ISERROR(Personalplanung!S67/Monatsplanung!$E67*Monatsplanung!$H67),0,Personalplanung!S67/Monatsplanung!$E67*Monatsplanung!$H67)</f>
        <v>0</v>
      </c>
      <c r="AA171" s="80" t="e">
        <f t="shared" si="30"/>
        <v>#DIV/0!</v>
      </c>
      <c r="AB171" s="102">
        <f t="shared" si="31"/>
        <v>0</v>
      </c>
      <c r="AC171" s="103" t="e">
        <f t="shared" si="32"/>
        <v>#DIV/0!</v>
      </c>
      <c r="AD171" s="103" t="e">
        <f t="shared" si="33"/>
        <v>#DIV/0!</v>
      </c>
      <c r="AE171" s="81">
        <f t="shared" si="34"/>
        <v>0</v>
      </c>
      <c r="AF171" s="539"/>
      <c r="AG171" s="104">
        <f t="shared" si="35"/>
        <v>0</v>
      </c>
      <c r="AH171" s="7">
        <f t="shared" si="36"/>
        <v>0</v>
      </c>
      <c r="AI171" s="6">
        <f t="shared" si="37"/>
        <v>0</v>
      </c>
      <c r="AJ171" s="73">
        <f t="shared" si="38"/>
        <v>0</v>
      </c>
      <c r="AK171" s="539"/>
      <c r="AL171" s="748"/>
      <c r="AM171" s="748"/>
    </row>
    <row r="172" spans="2:39" x14ac:dyDescent="0.2">
      <c r="B172" s="101" t="str">
        <f t="shared" si="23"/>
        <v/>
      </c>
      <c r="C172" s="168">
        <f>IF(ISERROR(Personalplanung!F68/Monatsplanung!$E68*Monatsplanung!$H68),0,Personalplanung!F68/Monatsplanung!$E68*Monatsplanung!$H68)</f>
        <v>0</v>
      </c>
      <c r="D172" s="168">
        <f t="shared" si="24"/>
        <v>0</v>
      </c>
      <c r="E172" s="168">
        <f>IF(ISERROR(Personalplanung!H68/Monatsplanung!$E68*Monatsplanung!$H68),0,Personalplanung!H68/Monatsplanung!$E68*Monatsplanung!$H68)</f>
        <v>0</v>
      </c>
      <c r="F172" s="168">
        <f t="shared" si="25"/>
        <v>0</v>
      </c>
      <c r="G172" s="168" t="e">
        <f t="shared" si="26"/>
        <v>#DIV/0!</v>
      </c>
      <c r="H172" s="168" t="e">
        <f t="shared" si="27"/>
        <v>#DIV/0!</v>
      </c>
      <c r="I172" s="168">
        <f t="shared" si="28"/>
        <v>0</v>
      </c>
      <c r="J172" s="739"/>
      <c r="K172" s="168">
        <f>IF(J172&lt;&gt;"",J172,IF(ISERROR(Personalplanung!AB68/Monatsplanung!$E68*Monatsplanung!$H68),0,Personalplanung!AB68/Monatsplanung!$E68*Monatsplanung!$H68))</f>
        <v>0</v>
      </c>
      <c r="L172" s="740"/>
      <c r="M172" s="739"/>
      <c r="N172" s="168">
        <f>IF(M172&lt;&gt;"",M172,IF(ISERROR(Personalplanung!AC68/Monatsplanung!$E68*Monatsplanung!$H68),0,Personalplanung!AC68/Monatsplanung!$E68*Monatsplanung!$H68))</f>
        <v>0</v>
      </c>
      <c r="O172" s="740"/>
      <c r="P172" s="739"/>
      <c r="Q172" s="168">
        <f>IF(P172&lt;&gt;"",P172,IF(ISERROR(Personalplanung!AD68/Monatsplanung!$E68*Monatsplanung!$H68),0,Personalplanung!AD68/Monatsplanung!$E68*Monatsplanung!$H68))</f>
        <v>0</v>
      </c>
      <c r="R172" s="740"/>
      <c r="S172" s="739"/>
      <c r="T172" s="168">
        <f>IF(S172&lt;&gt;"",S172,IF(ISERROR(Personalplanung!AE68/Monatsplanung!$E68*Monatsplanung!$H68),0,Personalplanung!AE68/Monatsplanung!$E68*Monatsplanung!$H68))</f>
        <v>0</v>
      </c>
      <c r="U172" s="740"/>
      <c r="V172" s="168">
        <f t="shared" si="29"/>
        <v>0</v>
      </c>
      <c r="W172" s="168">
        <f>IF(ISERROR(Personalplanung!P68/Monatsplanung!$E68*Monatsplanung!$H68),0,Personalplanung!P68/Monatsplanung!$E68*Monatsplanung!$H68)</f>
        <v>0</v>
      </c>
      <c r="X172" s="168">
        <f>IF(ISERROR(Personalplanung!Q68/Monatsplanung!$E68*Monatsplanung!$H68),0,Personalplanung!Q68/Monatsplanung!$E68*Monatsplanung!$H68)</f>
        <v>0</v>
      </c>
      <c r="Y172" s="168">
        <f>IF(ISERROR(Personalplanung!R68/T1316*Stundencontrolling!T172),0,Personalplanung!R68/T1316*Stundencontrolling!T172)</f>
        <v>0</v>
      </c>
      <c r="Z172" s="168">
        <f>IF(ISERROR(Personalplanung!S68/Monatsplanung!$E68*Monatsplanung!$H68),0,Personalplanung!S68/Monatsplanung!$E68*Monatsplanung!$H68)</f>
        <v>0</v>
      </c>
      <c r="AA172" s="80" t="e">
        <f t="shared" si="30"/>
        <v>#DIV/0!</v>
      </c>
      <c r="AB172" s="102">
        <f t="shared" si="31"/>
        <v>0</v>
      </c>
      <c r="AC172" s="103" t="e">
        <f t="shared" si="32"/>
        <v>#DIV/0!</v>
      </c>
      <c r="AD172" s="103" t="e">
        <f t="shared" si="33"/>
        <v>#DIV/0!</v>
      </c>
      <c r="AE172" s="81">
        <f t="shared" si="34"/>
        <v>0</v>
      </c>
      <c r="AF172" s="539"/>
      <c r="AG172" s="104">
        <f t="shared" si="35"/>
        <v>0</v>
      </c>
      <c r="AH172" s="7">
        <f t="shared" si="36"/>
        <v>0</v>
      </c>
      <c r="AI172" s="6">
        <f t="shared" si="37"/>
        <v>0</v>
      </c>
      <c r="AJ172" s="73">
        <f t="shared" si="38"/>
        <v>0</v>
      </c>
      <c r="AK172" s="539"/>
      <c r="AL172" s="748"/>
      <c r="AM172" s="748"/>
    </row>
    <row r="173" spans="2:39" x14ac:dyDescent="0.2">
      <c r="B173" s="101" t="str">
        <f t="shared" si="23"/>
        <v/>
      </c>
      <c r="C173" s="168">
        <f>IF(ISERROR(Personalplanung!F69/Monatsplanung!$E69*Monatsplanung!$H69),0,Personalplanung!F69/Monatsplanung!$E69*Monatsplanung!$H69)</f>
        <v>0</v>
      </c>
      <c r="D173" s="168">
        <f t="shared" si="24"/>
        <v>0</v>
      </c>
      <c r="E173" s="168">
        <f>IF(ISERROR(Personalplanung!H69/Monatsplanung!$E69*Monatsplanung!$H69),0,Personalplanung!H69/Monatsplanung!$E69*Monatsplanung!$H69)</f>
        <v>0</v>
      </c>
      <c r="F173" s="168">
        <f t="shared" si="25"/>
        <v>0</v>
      </c>
      <c r="G173" s="168" t="e">
        <f t="shared" si="26"/>
        <v>#DIV/0!</v>
      </c>
      <c r="H173" s="168" t="e">
        <f t="shared" si="27"/>
        <v>#DIV/0!</v>
      </c>
      <c r="I173" s="168">
        <f t="shared" si="28"/>
        <v>0</v>
      </c>
      <c r="J173" s="739"/>
      <c r="K173" s="168">
        <f>IF(J173&lt;&gt;"",J173,IF(ISERROR(Personalplanung!AB69/Monatsplanung!$E69*Monatsplanung!$H69),0,Personalplanung!AB69/Monatsplanung!$E69*Monatsplanung!$H69))</f>
        <v>0</v>
      </c>
      <c r="L173" s="740"/>
      <c r="M173" s="739"/>
      <c r="N173" s="168">
        <f>IF(M173&lt;&gt;"",M173,IF(ISERROR(Personalplanung!AC69/Monatsplanung!$E69*Monatsplanung!$H69),0,Personalplanung!AC69/Monatsplanung!$E69*Monatsplanung!$H69))</f>
        <v>0</v>
      </c>
      <c r="O173" s="740"/>
      <c r="P173" s="739"/>
      <c r="Q173" s="168">
        <f>IF(P173&lt;&gt;"",P173,IF(ISERROR(Personalplanung!AD69/Monatsplanung!$E69*Monatsplanung!$H69),0,Personalplanung!AD69/Monatsplanung!$E69*Monatsplanung!$H69))</f>
        <v>0</v>
      </c>
      <c r="R173" s="740"/>
      <c r="S173" s="739"/>
      <c r="T173" s="168">
        <f>IF(S173&lt;&gt;"",S173,IF(ISERROR(Personalplanung!AE69/Monatsplanung!$E69*Monatsplanung!$H69),0,Personalplanung!AE69/Monatsplanung!$E69*Monatsplanung!$H69))</f>
        <v>0</v>
      </c>
      <c r="U173" s="740"/>
      <c r="V173" s="168">
        <f t="shared" si="29"/>
        <v>0</v>
      </c>
      <c r="W173" s="168">
        <f>IF(ISERROR(Personalplanung!P69/Monatsplanung!$E69*Monatsplanung!$H69),0,Personalplanung!P69/Monatsplanung!$E69*Monatsplanung!$H69)</f>
        <v>0</v>
      </c>
      <c r="X173" s="168">
        <f>IF(ISERROR(Personalplanung!Q69/Monatsplanung!$E69*Monatsplanung!$H69),0,Personalplanung!Q69/Monatsplanung!$E69*Monatsplanung!$H69)</f>
        <v>0</v>
      </c>
      <c r="Y173" s="168">
        <f>IF(ISERROR(Personalplanung!R69/T1317*Stundencontrolling!T173),0,Personalplanung!R69/T1317*Stundencontrolling!T173)</f>
        <v>0</v>
      </c>
      <c r="Z173" s="168">
        <f>IF(ISERROR(Personalplanung!S69/Monatsplanung!$E69*Monatsplanung!$H69),0,Personalplanung!S69/Monatsplanung!$E69*Monatsplanung!$H69)</f>
        <v>0</v>
      </c>
      <c r="AA173" s="80" t="e">
        <f t="shared" si="30"/>
        <v>#DIV/0!</v>
      </c>
      <c r="AB173" s="102">
        <f t="shared" si="31"/>
        <v>0</v>
      </c>
      <c r="AC173" s="103" t="e">
        <f t="shared" si="32"/>
        <v>#DIV/0!</v>
      </c>
      <c r="AD173" s="103" t="e">
        <f t="shared" si="33"/>
        <v>#DIV/0!</v>
      </c>
      <c r="AE173" s="81">
        <f t="shared" si="34"/>
        <v>0</v>
      </c>
      <c r="AF173" s="539"/>
      <c r="AG173" s="104">
        <f t="shared" si="35"/>
        <v>0</v>
      </c>
      <c r="AH173" s="7">
        <f t="shared" si="36"/>
        <v>0</v>
      </c>
      <c r="AI173" s="6">
        <f t="shared" si="37"/>
        <v>0</v>
      </c>
      <c r="AJ173" s="73">
        <f t="shared" si="38"/>
        <v>0</v>
      </c>
      <c r="AK173" s="539"/>
      <c r="AL173" s="748"/>
      <c r="AM173" s="748"/>
    </row>
    <row r="174" spans="2:39" x14ac:dyDescent="0.2">
      <c r="B174" s="101" t="str">
        <f t="shared" si="23"/>
        <v/>
      </c>
      <c r="C174" s="168">
        <f>IF(ISERROR(Personalplanung!F70/Monatsplanung!$E70*Monatsplanung!$H70),0,Personalplanung!F70/Monatsplanung!$E70*Monatsplanung!$H70)</f>
        <v>0</v>
      </c>
      <c r="D174" s="168">
        <f t="shared" si="24"/>
        <v>0</v>
      </c>
      <c r="E174" s="168">
        <f>IF(ISERROR(Personalplanung!H70/Monatsplanung!$E70*Monatsplanung!$H70),0,Personalplanung!H70/Monatsplanung!$E70*Monatsplanung!$H70)</f>
        <v>0</v>
      </c>
      <c r="F174" s="168">
        <f t="shared" si="25"/>
        <v>0</v>
      </c>
      <c r="G174" s="168" t="e">
        <f t="shared" si="26"/>
        <v>#DIV/0!</v>
      </c>
      <c r="H174" s="168" t="e">
        <f t="shared" si="27"/>
        <v>#DIV/0!</v>
      </c>
      <c r="I174" s="168">
        <f t="shared" si="28"/>
        <v>0</v>
      </c>
      <c r="J174" s="739"/>
      <c r="K174" s="168">
        <f>IF(J174&lt;&gt;"",J174,IF(ISERROR(Personalplanung!AB70/Monatsplanung!$E70*Monatsplanung!$H70),0,Personalplanung!AB70/Monatsplanung!$E70*Monatsplanung!$H70))</f>
        <v>0</v>
      </c>
      <c r="L174" s="740"/>
      <c r="M174" s="739"/>
      <c r="N174" s="168">
        <f>IF(M174&lt;&gt;"",M174,IF(ISERROR(Personalplanung!AC70/Monatsplanung!$E70*Monatsplanung!$H70),0,Personalplanung!AC70/Monatsplanung!$E70*Monatsplanung!$H70))</f>
        <v>0</v>
      </c>
      <c r="O174" s="740"/>
      <c r="P174" s="739"/>
      <c r="Q174" s="168">
        <f>IF(P174&lt;&gt;"",P174,IF(ISERROR(Personalplanung!AD70/Monatsplanung!$E70*Monatsplanung!$H70),0,Personalplanung!AD70/Monatsplanung!$E70*Monatsplanung!$H70))</f>
        <v>0</v>
      </c>
      <c r="R174" s="740"/>
      <c r="S174" s="739"/>
      <c r="T174" s="168">
        <f>IF(S174&lt;&gt;"",S174,IF(ISERROR(Personalplanung!AE70/Monatsplanung!$E70*Monatsplanung!$H70),0,Personalplanung!AE70/Monatsplanung!$E70*Monatsplanung!$H70))</f>
        <v>0</v>
      </c>
      <c r="U174" s="740"/>
      <c r="V174" s="168">
        <f t="shared" si="29"/>
        <v>0</v>
      </c>
      <c r="W174" s="168">
        <f>IF(ISERROR(Personalplanung!P70/Monatsplanung!$E70*Monatsplanung!$H70),0,Personalplanung!P70/Monatsplanung!$E70*Monatsplanung!$H70)</f>
        <v>0</v>
      </c>
      <c r="X174" s="168">
        <f>IF(ISERROR(Personalplanung!Q70/Monatsplanung!$E70*Monatsplanung!$H70),0,Personalplanung!Q70/Monatsplanung!$E70*Monatsplanung!$H70)</f>
        <v>0</v>
      </c>
      <c r="Y174" s="168">
        <f>IF(ISERROR(Personalplanung!R70/T1318*Stundencontrolling!T174),0,Personalplanung!R70/T1318*Stundencontrolling!T174)</f>
        <v>0</v>
      </c>
      <c r="Z174" s="168">
        <f>IF(ISERROR(Personalplanung!S70/Monatsplanung!$E70*Monatsplanung!$H70),0,Personalplanung!S70/Monatsplanung!$E70*Monatsplanung!$H70)</f>
        <v>0</v>
      </c>
      <c r="AA174" s="80" t="e">
        <f t="shared" si="30"/>
        <v>#DIV/0!</v>
      </c>
      <c r="AB174" s="102">
        <f t="shared" si="31"/>
        <v>0</v>
      </c>
      <c r="AC174" s="103" t="e">
        <f t="shared" si="32"/>
        <v>#DIV/0!</v>
      </c>
      <c r="AD174" s="103" t="e">
        <f t="shared" si="33"/>
        <v>#DIV/0!</v>
      </c>
      <c r="AE174" s="81">
        <f t="shared" si="34"/>
        <v>0</v>
      </c>
      <c r="AF174" s="539"/>
      <c r="AG174" s="104">
        <f t="shared" si="35"/>
        <v>0</v>
      </c>
      <c r="AH174" s="7">
        <f t="shared" si="36"/>
        <v>0</v>
      </c>
      <c r="AI174" s="6">
        <f t="shared" si="37"/>
        <v>0</v>
      </c>
      <c r="AJ174" s="73">
        <f t="shared" si="38"/>
        <v>0</v>
      </c>
      <c r="AK174" s="539"/>
      <c r="AL174" s="748"/>
      <c r="AM174" s="748"/>
    </row>
    <row r="175" spans="2:39" x14ac:dyDescent="0.2">
      <c r="B175" s="101" t="str">
        <f t="shared" ref="B175:B210" si="39">$B71</f>
        <v/>
      </c>
      <c r="C175" s="168">
        <f>IF(ISERROR(Personalplanung!F71/Monatsplanung!$E71*Monatsplanung!$H71),0,Personalplanung!F71/Monatsplanung!$E71*Monatsplanung!$H71)</f>
        <v>0</v>
      </c>
      <c r="D175" s="168">
        <f t="shared" ref="D175:D210" si="40">$D71</f>
        <v>0</v>
      </c>
      <c r="E175" s="168">
        <f>IF(ISERROR(Personalplanung!H71/Monatsplanung!$E71*Monatsplanung!$H71),0,Personalplanung!H71/Monatsplanung!$E71*Monatsplanung!$H71)</f>
        <v>0</v>
      </c>
      <c r="F175" s="168">
        <f t="shared" ref="F175:F210" si="41">+C175+E175</f>
        <v>0</v>
      </c>
      <c r="G175" s="168" t="e">
        <f t="shared" ref="G175:G210" si="42">$G71</f>
        <v>#DIV/0!</v>
      </c>
      <c r="H175" s="168" t="e">
        <f t="shared" ref="H175:H210" si="43">+F175*G175</f>
        <v>#DIV/0!</v>
      </c>
      <c r="I175" s="168">
        <f t="shared" ref="I175:I210" si="44">$I71</f>
        <v>0</v>
      </c>
      <c r="J175" s="739"/>
      <c r="K175" s="168">
        <f>IF(J175&lt;&gt;"",J175,IF(ISERROR(Personalplanung!AB71/Monatsplanung!$E71*Monatsplanung!$H71),0,Personalplanung!AB71/Monatsplanung!$E71*Monatsplanung!$H71))</f>
        <v>0</v>
      </c>
      <c r="L175" s="740"/>
      <c r="M175" s="739"/>
      <c r="N175" s="168">
        <f>IF(M175&lt;&gt;"",M175,IF(ISERROR(Personalplanung!AC71/Monatsplanung!$E71*Monatsplanung!$H71),0,Personalplanung!AC71/Monatsplanung!$E71*Monatsplanung!$H71))</f>
        <v>0</v>
      </c>
      <c r="O175" s="740"/>
      <c r="P175" s="739"/>
      <c r="Q175" s="168">
        <f>IF(P175&lt;&gt;"",P175,IF(ISERROR(Personalplanung!AD71/Monatsplanung!$E71*Monatsplanung!$H71),0,Personalplanung!AD71/Monatsplanung!$E71*Monatsplanung!$H71))</f>
        <v>0</v>
      </c>
      <c r="R175" s="740"/>
      <c r="S175" s="739"/>
      <c r="T175" s="168">
        <f>IF(S175&lt;&gt;"",S175,IF(ISERROR(Personalplanung!AE71/Monatsplanung!$E71*Monatsplanung!$H71),0,Personalplanung!AE71/Monatsplanung!$E71*Monatsplanung!$H71))</f>
        <v>0</v>
      </c>
      <c r="U175" s="740"/>
      <c r="V175" s="168">
        <f t="shared" ref="V175:V210" si="45">K175+N175+Q175+T175</f>
        <v>0</v>
      </c>
      <c r="W175" s="168">
        <f>IF(ISERROR(Personalplanung!P71/Monatsplanung!$E71*Monatsplanung!$H71),0,Personalplanung!P71/Monatsplanung!$E71*Monatsplanung!$H71)</f>
        <v>0</v>
      </c>
      <c r="X175" s="168">
        <f>IF(ISERROR(Personalplanung!Q71/Monatsplanung!$E71*Monatsplanung!$H71),0,Personalplanung!Q71/Monatsplanung!$E71*Monatsplanung!$H71)</f>
        <v>0</v>
      </c>
      <c r="Y175" s="168">
        <f>IF(ISERROR(Personalplanung!R71/T1319*Stundencontrolling!T175),0,Personalplanung!R71/T1319*Stundencontrolling!T175)</f>
        <v>0</v>
      </c>
      <c r="Z175" s="168">
        <f>IF(ISERROR(Personalplanung!S71/Monatsplanung!$E71*Monatsplanung!$H71),0,Personalplanung!S71/Monatsplanung!$E71*Monatsplanung!$H71)</f>
        <v>0</v>
      </c>
      <c r="AA175" s="80" t="e">
        <f t="shared" ref="AA175:AA210" si="46">+F175*G175*(1+I175)+SUM(W175:Z175)</f>
        <v>#DIV/0!</v>
      </c>
      <c r="AB175" s="102">
        <f t="shared" ref="AB175:AB210" si="47">$AB71</f>
        <v>0</v>
      </c>
      <c r="AC175" s="103" t="e">
        <f t="shared" ref="AC175:AC210" si="48">AB175*AA175</f>
        <v>#DIV/0!</v>
      </c>
      <c r="AD175" s="103" t="e">
        <f t="shared" ref="AD175:AD210" si="49">AA175-AC175</f>
        <v>#DIV/0!</v>
      </c>
      <c r="AE175" s="81">
        <f t="shared" ref="AE175:AE210" si="50">(F175-(V175*$D175))*AB175</f>
        <v>0</v>
      </c>
      <c r="AF175" s="539"/>
      <c r="AG175" s="104">
        <f t="shared" ref="AG175:AG210" si="51">$AG71</f>
        <v>0</v>
      </c>
      <c r="AH175" s="7">
        <f t="shared" ref="AH175:AH210" si="52">IF(ISERROR(AK175/AF175),0,AK175/AF175)</f>
        <v>0</v>
      </c>
      <c r="AI175" s="6">
        <f t="shared" ref="AI175:AI210" si="53">AE175*AG175</f>
        <v>0</v>
      </c>
      <c r="AJ175" s="73">
        <f t="shared" ref="AJ175:AJ210" si="54">IF(ISERROR(+AC175/AI175),0,+AC175/AI175)</f>
        <v>0</v>
      </c>
      <c r="AK175" s="539"/>
      <c r="AL175" s="748"/>
      <c r="AM175" s="748"/>
    </row>
    <row r="176" spans="2:39" x14ac:dyDescent="0.2">
      <c r="B176" s="101" t="str">
        <f t="shared" si="39"/>
        <v/>
      </c>
      <c r="C176" s="168">
        <f>IF(ISERROR(Personalplanung!F72/Monatsplanung!$E72*Monatsplanung!$H72),0,Personalplanung!F72/Monatsplanung!$E72*Monatsplanung!$H72)</f>
        <v>0</v>
      </c>
      <c r="D176" s="168">
        <f t="shared" si="40"/>
        <v>0</v>
      </c>
      <c r="E176" s="168">
        <f>IF(ISERROR(Personalplanung!H72/Monatsplanung!$E72*Monatsplanung!$H72),0,Personalplanung!H72/Monatsplanung!$E72*Monatsplanung!$H72)</f>
        <v>0</v>
      </c>
      <c r="F176" s="168">
        <f t="shared" si="41"/>
        <v>0</v>
      </c>
      <c r="G176" s="168" t="e">
        <f t="shared" si="42"/>
        <v>#DIV/0!</v>
      </c>
      <c r="H176" s="168" t="e">
        <f t="shared" si="43"/>
        <v>#DIV/0!</v>
      </c>
      <c r="I176" s="168">
        <f t="shared" si="44"/>
        <v>0</v>
      </c>
      <c r="J176" s="739"/>
      <c r="K176" s="168">
        <f>IF(J176&lt;&gt;"",J176,IF(ISERROR(Personalplanung!AB72/Monatsplanung!$E72*Monatsplanung!$H72),0,Personalplanung!AB72/Monatsplanung!$E72*Monatsplanung!$H72))</f>
        <v>0</v>
      </c>
      <c r="L176" s="740"/>
      <c r="M176" s="739"/>
      <c r="N176" s="168">
        <f>IF(M176&lt;&gt;"",M176,IF(ISERROR(Personalplanung!AC72/Monatsplanung!$E72*Monatsplanung!$H72),0,Personalplanung!AC72/Monatsplanung!$E72*Monatsplanung!$H72))</f>
        <v>0</v>
      </c>
      <c r="O176" s="740"/>
      <c r="P176" s="739"/>
      <c r="Q176" s="168">
        <f>IF(P176&lt;&gt;"",P176,IF(ISERROR(Personalplanung!AD72/Monatsplanung!$E72*Monatsplanung!$H72),0,Personalplanung!AD72/Monatsplanung!$E72*Monatsplanung!$H72))</f>
        <v>0</v>
      </c>
      <c r="R176" s="740"/>
      <c r="S176" s="739"/>
      <c r="T176" s="168">
        <f>IF(S176&lt;&gt;"",S176,IF(ISERROR(Personalplanung!AE72/Monatsplanung!$E72*Monatsplanung!$H72),0,Personalplanung!AE72/Monatsplanung!$E72*Monatsplanung!$H72))</f>
        <v>0</v>
      </c>
      <c r="U176" s="740"/>
      <c r="V176" s="168">
        <f t="shared" si="45"/>
        <v>0</v>
      </c>
      <c r="W176" s="168">
        <f>IF(ISERROR(Personalplanung!P72/Monatsplanung!$E72*Monatsplanung!$H72),0,Personalplanung!P72/Monatsplanung!$E72*Monatsplanung!$H72)</f>
        <v>0</v>
      </c>
      <c r="X176" s="168">
        <f>IF(ISERROR(Personalplanung!Q72/Monatsplanung!$E72*Monatsplanung!$H72),0,Personalplanung!Q72/Monatsplanung!$E72*Monatsplanung!$H72)</f>
        <v>0</v>
      </c>
      <c r="Y176" s="168">
        <f>IF(ISERROR(Personalplanung!R72/T1320*Stundencontrolling!T176),0,Personalplanung!R72/T1320*Stundencontrolling!T176)</f>
        <v>0</v>
      </c>
      <c r="Z176" s="168">
        <f>IF(ISERROR(Personalplanung!S72/Monatsplanung!$E72*Monatsplanung!$H72),0,Personalplanung!S72/Monatsplanung!$E72*Monatsplanung!$H72)</f>
        <v>0</v>
      </c>
      <c r="AA176" s="80" t="e">
        <f t="shared" si="46"/>
        <v>#DIV/0!</v>
      </c>
      <c r="AB176" s="102">
        <f t="shared" si="47"/>
        <v>0</v>
      </c>
      <c r="AC176" s="103" t="e">
        <f t="shared" si="48"/>
        <v>#DIV/0!</v>
      </c>
      <c r="AD176" s="103" t="e">
        <f t="shared" si="49"/>
        <v>#DIV/0!</v>
      </c>
      <c r="AE176" s="81">
        <f t="shared" si="50"/>
        <v>0</v>
      </c>
      <c r="AF176" s="539"/>
      <c r="AG176" s="104">
        <f t="shared" si="51"/>
        <v>0</v>
      </c>
      <c r="AH176" s="7">
        <f t="shared" si="52"/>
        <v>0</v>
      </c>
      <c r="AI176" s="6">
        <f t="shared" si="53"/>
        <v>0</v>
      </c>
      <c r="AJ176" s="73">
        <f t="shared" si="54"/>
        <v>0</v>
      </c>
      <c r="AK176" s="539"/>
      <c r="AL176" s="748"/>
      <c r="AM176" s="748"/>
    </row>
    <row r="177" spans="2:39" x14ac:dyDescent="0.2">
      <c r="B177" s="101" t="str">
        <f t="shared" si="39"/>
        <v/>
      </c>
      <c r="C177" s="168">
        <f>IF(ISERROR(Personalplanung!F73/Monatsplanung!$E73*Monatsplanung!$H73),0,Personalplanung!F73/Monatsplanung!$E73*Monatsplanung!$H73)</f>
        <v>0</v>
      </c>
      <c r="D177" s="168">
        <f t="shared" si="40"/>
        <v>0</v>
      </c>
      <c r="E177" s="168">
        <f>IF(ISERROR(Personalplanung!H73/Monatsplanung!$E73*Monatsplanung!$H73),0,Personalplanung!H73/Monatsplanung!$E73*Monatsplanung!$H73)</f>
        <v>0</v>
      </c>
      <c r="F177" s="168">
        <f t="shared" si="41"/>
        <v>0</v>
      </c>
      <c r="G177" s="168" t="e">
        <f t="shared" si="42"/>
        <v>#DIV/0!</v>
      </c>
      <c r="H177" s="168" t="e">
        <f t="shared" si="43"/>
        <v>#DIV/0!</v>
      </c>
      <c r="I177" s="168">
        <f t="shared" si="44"/>
        <v>0</v>
      </c>
      <c r="J177" s="739"/>
      <c r="K177" s="168">
        <f>IF(J177&lt;&gt;"",J177,IF(ISERROR(Personalplanung!AB73/Monatsplanung!$E73*Monatsplanung!$H73),0,Personalplanung!AB73/Monatsplanung!$E73*Monatsplanung!$H73))</f>
        <v>0</v>
      </c>
      <c r="L177" s="740"/>
      <c r="M177" s="739"/>
      <c r="N177" s="168">
        <f>IF(M177&lt;&gt;"",M177,IF(ISERROR(Personalplanung!AC73/Monatsplanung!$E73*Monatsplanung!$H73),0,Personalplanung!AC73/Monatsplanung!$E73*Monatsplanung!$H73))</f>
        <v>0</v>
      </c>
      <c r="O177" s="740"/>
      <c r="P177" s="739"/>
      <c r="Q177" s="168">
        <f>IF(P177&lt;&gt;"",P177,IF(ISERROR(Personalplanung!AD73/Monatsplanung!$E73*Monatsplanung!$H73),0,Personalplanung!AD73/Monatsplanung!$E73*Monatsplanung!$H73))</f>
        <v>0</v>
      </c>
      <c r="R177" s="740"/>
      <c r="S177" s="739"/>
      <c r="T177" s="168">
        <f>IF(S177&lt;&gt;"",S177,IF(ISERROR(Personalplanung!AE73/Monatsplanung!$E73*Monatsplanung!$H73),0,Personalplanung!AE73/Monatsplanung!$E73*Monatsplanung!$H73))</f>
        <v>0</v>
      </c>
      <c r="U177" s="740"/>
      <c r="V177" s="168">
        <f t="shared" si="45"/>
        <v>0</v>
      </c>
      <c r="W177" s="168">
        <f>IF(ISERROR(Personalplanung!P73/Monatsplanung!$E73*Monatsplanung!$H73),0,Personalplanung!P73/Monatsplanung!$E73*Monatsplanung!$H73)</f>
        <v>0</v>
      </c>
      <c r="X177" s="168">
        <f>IF(ISERROR(Personalplanung!Q73/Monatsplanung!$E73*Monatsplanung!$H73),0,Personalplanung!Q73/Monatsplanung!$E73*Monatsplanung!$H73)</f>
        <v>0</v>
      </c>
      <c r="Y177" s="168">
        <f>IF(ISERROR(Personalplanung!R73/T1321*Stundencontrolling!T177),0,Personalplanung!R73/T1321*Stundencontrolling!T177)</f>
        <v>0</v>
      </c>
      <c r="Z177" s="168">
        <f>IF(ISERROR(Personalplanung!S73/Monatsplanung!$E73*Monatsplanung!$H73),0,Personalplanung!S73/Monatsplanung!$E73*Monatsplanung!$H73)</f>
        <v>0</v>
      </c>
      <c r="AA177" s="80" t="e">
        <f t="shared" si="46"/>
        <v>#DIV/0!</v>
      </c>
      <c r="AB177" s="102">
        <f t="shared" si="47"/>
        <v>0</v>
      </c>
      <c r="AC177" s="103" t="e">
        <f t="shared" si="48"/>
        <v>#DIV/0!</v>
      </c>
      <c r="AD177" s="103" t="e">
        <f t="shared" si="49"/>
        <v>#DIV/0!</v>
      </c>
      <c r="AE177" s="81">
        <f t="shared" si="50"/>
        <v>0</v>
      </c>
      <c r="AF177" s="539"/>
      <c r="AG177" s="104">
        <f t="shared" si="51"/>
        <v>0</v>
      </c>
      <c r="AH177" s="7">
        <f t="shared" si="52"/>
        <v>0</v>
      </c>
      <c r="AI177" s="6">
        <f t="shared" si="53"/>
        <v>0</v>
      </c>
      <c r="AJ177" s="73">
        <f t="shared" si="54"/>
        <v>0</v>
      </c>
      <c r="AK177" s="539"/>
      <c r="AL177" s="748"/>
      <c r="AM177" s="748"/>
    </row>
    <row r="178" spans="2:39" x14ac:dyDescent="0.2">
      <c r="B178" s="101" t="str">
        <f t="shared" si="39"/>
        <v/>
      </c>
      <c r="C178" s="168">
        <f>IF(ISERROR(Personalplanung!F74/Monatsplanung!$E74*Monatsplanung!$H74),0,Personalplanung!F74/Monatsplanung!$E74*Monatsplanung!$H74)</f>
        <v>0</v>
      </c>
      <c r="D178" s="168">
        <f t="shared" si="40"/>
        <v>0</v>
      </c>
      <c r="E178" s="168">
        <f>IF(ISERROR(Personalplanung!H74/Monatsplanung!$E74*Monatsplanung!$H74),0,Personalplanung!H74/Monatsplanung!$E74*Monatsplanung!$H74)</f>
        <v>0</v>
      </c>
      <c r="F178" s="168">
        <f t="shared" si="41"/>
        <v>0</v>
      </c>
      <c r="G178" s="168" t="e">
        <f t="shared" si="42"/>
        <v>#DIV/0!</v>
      </c>
      <c r="H178" s="168" t="e">
        <f t="shared" si="43"/>
        <v>#DIV/0!</v>
      </c>
      <c r="I178" s="168">
        <f t="shared" si="44"/>
        <v>0</v>
      </c>
      <c r="J178" s="739"/>
      <c r="K178" s="168">
        <f>IF(J178&lt;&gt;"",J178,IF(ISERROR(Personalplanung!AB74/Monatsplanung!$E74*Monatsplanung!$H74),0,Personalplanung!AB74/Monatsplanung!$E74*Monatsplanung!$H74))</f>
        <v>0</v>
      </c>
      <c r="L178" s="740"/>
      <c r="M178" s="739"/>
      <c r="N178" s="168">
        <f>IF(M178&lt;&gt;"",M178,IF(ISERROR(Personalplanung!AC74/Monatsplanung!$E74*Monatsplanung!$H74),0,Personalplanung!AC74/Monatsplanung!$E74*Monatsplanung!$H74))</f>
        <v>0</v>
      </c>
      <c r="O178" s="740"/>
      <c r="P178" s="739"/>
      <c r="Q178" s="168">
        <f>IF(P178&lt;&gt;"",P178,IF(ISERROR(Personalplanung!AD74/Monatsplanung!$E74*Monatsplanung!$H74),0,Personalplanung!AD74/Monatsplanung!$E74*Monatsplanung!$H74))</f>
        <v>0</v>
      </c>
      <c r="R178" s="740"/>
      <c r="S178" s="739"/>
      <c r="T178" s="168">
        <f>IF(S178&lt;&gt;"",S178,IF(ISERROR(Personalplanung!AE74/Monatsplanung!$E74*Monatsplanung!$H74),0,Personalplanung!AE74/Monatsplanung!$E74*Monatsplanung!$H74))</f>
        <v>0</v>
      </c>
      <c r="U178" s="740"/>
      <c r="V178" s="168">
        <f t="shared" si="45"/>
        <v>0</v>
      </c>
      <c r="W178" s="168">
        <f>IF(ISERROR(Personalplanung!P74/Monatsplanung!$E74*Monatsplanung!$H74),0,Personalplanung!P74/Monatsplanung!$E74*Monatsplanung!$H74)</f>
        <v>0</v>
      </c>
      <c r="X178" s="168">
        <f>IF(ISERROR(Personalplanung!Q74/Monatsplanung!$E74*Monatsplanung!$H74),0,Personalplanung!Q74/Monatsplanung!$E74*Monatsplanung!$H74)</f>
        <v>0</v>
      </c>
      <c r="Y178" s="168">
        <f>IF(ISERROR(Personalplanung!R74/T1322*Stundencontrolling!T178),0,Personalplanung!R74/T1322*Stundencontrolling!T178)</f>
        <v>0</v>
      </c>
      <c r="Z178" s="168">
        <f>IF(ISERROR(Personalplanung!S74/Monatsplanung!$E74*Monatsplanung!$H74),0,Personalplanung!S74/Monatsplanung!$E74*Monatsplanung!$H74)</f>
        <v>0</v>
      </c>
      <c r="AA178" s="80" t="e">
        <f t="shared" si="46"/>
        <v>#DIV/0!</v>
      </c>
      <c r="AB178" s="102">
        <f t="shared" si="47"/>
        <v>0</v>
      </c>
      <c r="AC178" s="103" t="e">
        <f t="shared" si="48"/>
        <v>#DIV/0!</v>
      </c>
      <c r="AD178" s="103" t="e">
        <f t="shared" si="49"/>
        <v>#DIV/0!</v>
      </c>
      <c r="AE178" s="81">
        <f t="shared" si="50"/>
        <v>0</v>
      </c>
      <c r="AF178" s="539"/>
      <c r="AG178" s="104">
        <f t="shared" si="51"/>
        <v>0</v>
      </c>
      <c r="AH178" s="7">
        <f t="shared" si="52"/>
        <v>0</v>
      </c>
      <c r="AI178" s="6">
        <f t="shared" si="53"/>
        <v>0</v>
      </c>
      <c r="AJ178" s="73">
        <f t="shared" si="54"/>
        <v>0</v>
      </c>
      <c r="AK178" s="539"/>
      <c r="AL178" s="748"/>
      <c r="AM178" s="748"/>
    </row>
    <row r="179" spans="2:39" x14ac:dyDescent="0.2">
      <c r="B179" s="101" t="str">
        <f t="shared" si="39"/>
        <v/>
      </c>
      <c r="C179" s="168">
        <f>IF(ISERROR(Personalplanung!F75/Monatsplanung!$E75*Monatsplanung!$H75),0,Personalplanung!F75/Monatsplanung!$E75*Monatsplanung!$H75)</f>
        <v>0</v>
      </c>
      <c r="D179" s="168">
        <f t="shared" si="40"/>
        <v>0</v>
      </c>
      <c r="E179" s="168">
        <f>IF(ISERROR(Personalplanung!H75/Monatsplanung!$E75*Monatsplanung!$H75),0,Personalplanung!H75/Monatsplanung!$E75*Monatsplanung!$H75)</f>
        <v>0</v>
      </c>
      <c r="F179" s="168">
        <f t="shared" si="41"/>
        <v>0</v>
      </c>
      <c r="G179" s="168" t="e">
        <f t="shared" si="42"/>
        <v>#DIV/0!</v>
      </c>
      <c r="H179" s="168" t="e">
        <f t="shared" si="43"/>
        <v>#DIV/0!</v>
      </c>
      <c r="I179" s="168">
        <f t="shared" si="44"/>
        <v>0</v>
      </c>
      <c r="J179" s="739"/>
      <c r="K179" s="168">
        <f>IF(J179&lt;&gt;"",J179,IF(ISERROR(Personalplanung!AB75/Monatsplanung!$E75*Monatsplanung!$H75),0,Personalplanung!AB75/Monatsplanung!$E75*Monatsplanung!$H75))</f>
        <v>0</v>
      </c>
      <c r="L179" s="740"/>
      <c r="M179" s="739"/>
      <c r="N179" s="168">
        <f>IF(M179&lt;&gt;"",M179,IF(ISERROR(Personalplanung!AC75/Monatsplanung!$E75*Monatsplanung!$H75),0,Personalplanung!AC75/Monatsplanung!$E75*Monatsplanung!$H75))</f>
        <v>0</v>
      </c>
      <c r="O179" s="740"/>
      <c r="P179" s="739"/>
      <c r="Q179" s="168">
        <f>IF(P179&lt;&gt;"",P179,IF(ISERROR(Personalplanung!AD75/Monatsplanung!$E75*Monatsplanung!$H75),0,Personalplanung!AD75/Monatsplanung!$E75*Monatsplanung!$H75))</f>
        <v>0</v>
      </c>
      <c r="R179" s="740"/>
      <c r="S179" s="739"/>
      <c r="T179" s="168">
        <f>IF(S179&lt;&gt;"",S179,IF(ISERROR(Personalplanung!AE75/Monatsplanung!$E75*Monatsplanung!$H75),0,Personalplanung!AE75/Monatsplanung!$E75*Monatsplanung!$H75))</f>
        <v>0</v>
      </c>
      <c r="U179" s="740"/>
      <c r="V179" s="168">
        <f t="shared" si="45"/>
        <v>0</v>
      </c>
      <c r="W179" s="168">
        <f>IF(ISERROR(Personalplanung!P75/Monatsplanung!$E75*Monatsplanung!$H75),0,Personalplanung!P75/Monatsplanung!$E75*Monatsplanung!$H75)</f>
        <v>0</v>
      </c>
      <c r="X179" s="168">
        <f>IF(ISERROR(Personalplanung!Q75/Monatsplanung!$E75*Monatsplanung!$H75),0,Personalplanung!Q75/Monatsplanung!$E75*Monatsplanung!$H75)</f>
        <v>0</v>
      </c>
      <c r="Y179" s="168">
        <f>IF(ISERROR(Personalplanung!R75/T1323*Stundencontrolling!T179),0,Personalplanung!R75/T1323*Stundencontrolling!T179)</f>
        <v>0</v>
      </c>
      <c r="Z179" s="168">
        <f>IF(ISERROR(Personalplanung!S75/Monatsplanung!$E75*Monatsplanung!$H75),0,Personalplanung!S75/Monatsplanung!$E75*Monatsplanung!$H75)</f>
        <v>0</v>
      </c>
      <c r="AA179" s="80" t="e">
        <f t="shared" si="46"/>
        <v>#DIV/0!</v>
      </c>
      <c r="AB179" s="102">
        <f t="shared" si="47"/>
        <v>0</v>
      </c>
      <c r="AC179" s="103" t="e">
        <f t="shared" si="48"/>
        <v>#DIV/0!</v>
      </c>
      <c r="AD179" s="103" t="e">
        <f t="shared" si="49"/>
        <v>#DIV/0!</v>
      </c>
      <c r="AE179" s="81">
        <f t="shared" si="50"/>
        <v>0</v>
      </c>
      <c r="AF179" s="539"/>
      <c r="AG179" s="104">
        <f t="shared" si="51"/>
        <v>0</v>
      </c>
      <c r="AH179" s="7">
        <f t="shared" si="52"/>
        <v>0</v>
      </c>
      <c r="AI179" s="6">
        <f t="shared" si="53"/>
        <v>0</v>
      </c>
      <c r="AJ179" s="73">
        <f t="shared" si="54"/>
        <v>0</v>
      </c>
      <c r="AK179" s="539"/>
      <c r="AL179" s="748"/>
      <c r="AM179" s="748"/>
    </row>
    <row r="180" spans="2:39" x14ac:dyDescent="0.2">
      <c r="B180" s="101" t="str">
        <f t="shared" si="39"/>
        <v/>
      </c>
      <c r="C180" s="168">
        <f>IF(ISERROR(Personalplanung!F76/Monatsplanung!$E76*Monatsplanung!$H76),0,Personalplanung!F76/Monatsplanung!$E76*Monatsplanung!$H76)</f>
        <v>0</v>
      </c>
      <c r="D180" s="168">
        <f t="shared" si="40"/>
        <v>0</v>
      </c>
      <c r="E180" s="168">
        <f>IF(ISERROR(Personalplanung!H76/Monatsplanung!$E76*Monatsplanung!$H76),0,Personalplanung!H76/Monatsplanung!$E76*Monatsplanung!$H76)</f>
        <v>0</v>
      </c>
      <c r="F180" s="168">
        <f t="shared" si="41"/>
        <v>0</v>
      </c>
      <c r="G180" s="168" t="e">
        <f t="shared" si="42"/>
        <v>#DIV/0!</v>
      </c>
      <c r="H180" s="168" t="e">
        <f t="shared" si="43"/>
        <v>#DIV/0!</v>
      </c>
      <c r="I180" s="168">
        <f t="shared" si="44"/>
        <v>0</v>
      </c>
      <c r="J180" s="739"/>
      <c r="K180" s="168">
        <f>IF(J180&lt;&gt;"",J180,IF(ISERROR(Personalplanung!AB76/Monatsplanung!$E76*Monatsplanung!$H76),0,Personalplanung!AB76/Monatsplanung!$E76*Monatsplanung!$H76))</f>
        <v>0</v>
      </c>
      <c r="L180" s="740"/>
      <c r="M180" s="739"/>
      <c r="N180" s="168">
        <f>IF(M180&lt;&gt;"",M180,IF(ISERROR(Personalplanung!AC76/Monatsplanung!$E76*Monatsplanung!$H76),0,Personalplanung!AC76/Monatsplanung!$E76*Monatsplanung!$H76))</f>
        <v>0</v>
      </c>
      <c r="O180" s="740"/>
      <c r="P180" s="739"/>
      <c r="Q180" s="168">
        <f>IF(P180&lt;&gt;"",P180,IF(ISERROR(Personalplanung!AD76/Monatsplanung!$E76*Monatsplanung!$H76),0,Personalplanung!AD76/Monatsplanung!$E76*Monatsplanung!$H76))</f>
        <v>0</v>
      </c>
      <c r="R180" s="740"/>
      <c r="S180" s="739"/>
      <c r="T180" s="168">
        <f>IF(S180&lt;&gt;"",S180,IF(ISERROR(Personalplanung!AE76/Monatsplanung!$E76*Monatsplanung!$H76),0,Personalplanung!AE76/Monatsplanung!$E76*Monatsplanung!$H76))</f>
        <v>0</v>
      </c>
      <c r="U180" s="740"/>
      <c r="V180" s="168">
        <f t="shared" si="45"/>
        <v>0</v>
      </c>
      <c r="W180" s="168">
        <f>IF(ISERROR(Personalplanung!P76/Monatsplanung!$E76*Monatsplanung!$H76),0,Personalplanung!P76/Monatsplanung!$E76*Monatsplanung!$H76)</f>
        <v>0</v>
      </c>
      <c r="X180" s="168">
        <f>IF(ISERROR(Personalplanung!Q76/Monatsplanung!$E76*Monatsplanung!$H76),0,Personalplanung!Q76/Monatsplanung!$E76*Monatsplanung!$H76)</f>
        <v>0</v>
      </c>
      <c r="Y180" s="168">
        <f>IF(ISERROR(Personalplanung!R76/T1324*Stundencontrolling!T180),0,Personalplanung!R76/T1324*Stundencontrolling!T180)</f>
        <v>0</v>
      </c>
      <c r="Z180" s="168">
        <f>IF(ISERROR(Personalplanung!S76/Monatsplanung!$E76*Monatsplanung!$H76),0,Personalplanung!S76/Monatsplanung!$E76*Monatsplanung!$H76)</f>
        <v>0</v>
      </c>
      <c r="AA180" s="80" t="e">
        <f t="shared" si="46"/>
        <v>#DIV/0!</v>
      </c>
      <c r="AB180" s="102">
        <f t="shared" si="47"/>
        <v>0</v>
      </c>
      <c r="AC180" s="103" t="e">
        <f t="shared" si="48"/>
        <v>#DIV/0!</v>
      </c>
      <c r="AD180" s="103" t="e">
        <f t="shared" si="49"/>
        <v>#DIV/0!</v>
      </c>
      <c r="AE180" s="81">
        <f t="shared" si="50"/>
        <v>0</v>
      </c>
      <c r="AF180" s="539"/>
      <c r="AG180" s="104">
        <f t="shared" si="51"/>
        <v>0</v>
      </c>
      <c r="AH180" s="7">
        <f t="shared" si="52"/>
        <v>0</v>
      </c>
      <c r="AI180" s="6">
        <f t="shared" si="53"/>
        <v>0</v>
      </c>
      <c r="AJ180" s="73">
        <f t="shared" si="54"/>
        <v>0</v>
      </c>
      <c r="AK180" s="539"/>
      <c r="AL180" s="748"/>
      <c r="AM180" s="748"/>
    </row>
    <row r="181" spans="2:39" x14ac:dyDescent="0.2">
      <c r="B181" s="101" t="str">
        <f t="shared" si="39"/>
        <v/>
      </c>
      <c r="C181" s="168">
        <f>IF(ISERROR(Personalplanung!F77/Monatsplanung!$E77*Monatsplanung!$H77),0,Personalplanung!F77/Monatsplanung!$E77*Monatsplanung!$H77)</f>
        <v>0</v>
      </c>
      <c r="D181" s="168">
        <f t="shared" si="40"/>
        <v>0</v>
      </c>
      <c r="E181" s="168">
        <f>IF(ISERROR(Personalplanung!H77/Monatsplanung!$E77*Monatsplanung!$H77),0,Personalplanung!H77/Monatsplanung!$E77*Monatsplanung!$H77)</f>
        <v>0</v>
      </c>
      <c r="F181" s="168">
        <f t="shared" si="41"/>
        <v>0</v>
      </c>
      <c r="G181" s="168" t="e">
        <f t="shared" si="42"/>
        <v>#DIV/0!</v>
      </c>
      <c r="H181" s="168" t="e">
        <f t="shared" si="43"/>
        <v>#DIV/0!</v>
      </c>
      <c r="I181" s="168">
        <f t="shared" si="44"/>
        <v>0</v>
      </c>
      <c r="J181" s="739"/>
      <c r="K181" s="168">
        <f>IF(J181&lt;&gt;"",J181,IF(ISERROR(Personalplanung!AB77/Monatsplanung!$E77*Monatsplanung!$H77),0,Personalplanung!AB77/Monatsplanung!$E77*Monatsplanung!$H77))</f>
        <v>0</v>
      </c>
      <c r="L181" s="740"/>
      <c r="M181" s="739"/>
      <c r="N181" s="168">
        <f>IF(M181&lt;&gt;"",M181,IF(ISERROR(Personalplanung!AC77/Monatsplanung!$E77*Monatsplanung!$H77),0,Personalplanung!AC77/Monatsplanung!$E77*Monatsplanung!$H77))</f>
        <v>0</v>
      </c>
      <c r="O181" s="740"/>
      <c r="P181" s="739"/>
      <c r="Q181" s="168">
        <f>IF(P181&lt;&gt;"",P181,IF(ISERROR(Personalplanung!AD77/Monatsplanung!$E77*Monatsplanung!$H77),0,Personalplanung!AD77/Monatsplanung!$E77*Monatsplanung!$H77))</f>
        <v>0</v>
      </c>
      <c r="R181" s="740"/>
      <c r="S181" s="739"/>
      <c r="T181" s="168">
        <f>IF(S181&lt;&gt;"",S181,IF(ISERROR(Personalplanung!AE77/Monatsplanung!$E77*Monatsplanung!$H77),0,Personalplanung!AE77/Monatsplanung!$E77*Monatsplanung!$H77))</f>
        <v>0</v>
      </c>
      <c r="U181" s="740"/>
      <c r="V181" s="168">
        <f t="shared" si="45"/>
        <v>0</v>
      </c>
      <c r="W181" s="168">
        <f>IF(ISERROR(Personalplanung!P77/Monatsplanung!$E77*Monatsplanung!$H77),0,Personalplanung!P77/Monatsplanung!$E77*Monatsplanung!$H77)</f>
        <v>0</v>
      </c>
      <c r="X181" s="168">
        <f>IF(ISERROR(Personalplanung!Q77/Monatsplanung!$E77*Monatsplanung!$H77),0,Personalplanung!Q77/Monatsplanung!$E77*Monatsplanung!$H77)</f>
        <v>0</v>
      </c>
      <c r="Y181" s="168">
        <f>IF(ISERROR(Personalplanung!R77/T1325*Stundencontrolling!T181),0,Personalplanung!R77/T1325*Stundencontrolling!T181)</f>
        <v>0</v>
      </c>
      <c r="Z181" s="168">
        <f>IF(ISERROR(Personalplanung!S77/Monatsplanung!$E77*Monatsplanung!$H77),0,Personalplanung!S77/Monatsplanung!$E77*Monatsplanung!$H77)</f>
        <v>0</v>
      </c>
      <c r="AA181" s="80" t="e">
        <f t="shared" si="46"/>
        <v>#DIV/0!</v>
      </c>
      <c r="AB181" s="102">
        <f t="shared" si="47"/>
        <v>0</v>
      </c>
      <c r="AC181" s="103" t="e">
        <f t="shared" si="48"/>
        <v>#DIV/0!</v>
      </c>
      <c r="AD181" s="103" t="e">
        <f t="shared" si="49"/>
        <v>#DIV/0!</v>
      </c>
      <c r="AE181" s="81">
        <f t="shared" si="50"/>
        <v>0</v>
      </c>
      <c r="AF181" s="539"/>
      <c r="AG181" s="104">
        <f t="shared" si="51"/>
        <v>0</v>
      </c>
      <c r="AH181" s="7">
        <f t="shared" si="52"/>
        <v>0</v>
      </c>
      <c r="AI181" s="6">
        <f t="shared" si="53"/>
        <v>0</v>
      </c>
      <c r="AJ181" s="73">
        <f t="shared" si="54"/>
        <v>0</v>
      </c>
      <c r="AK181" s="539"/>
      <c r="AL181" s="748"/>
      <c r="AM181" s="748"/>
    </row>
    <row r="182" spans="2:39" x14ac:dyDescent="0.2">
      <c r="B182" s="101" t="str">
        <f t="shared" si="39"/>
        <v/>
      </c>
      <c r="C182" s="168">
        <f>IF(ISERROR(Personalplanung!F78/Monatsplanung!$E78*Monatsplanung!$H78),0,Personalplanung!F78/Monatsplanung!$E78*Monatsplanung!$H78)</f>
        <v>0</v>
      </c>
      <c r="D182" s="168">
        <f t="shared" si="40"/>
        <v>0</v>
      </c>
      <c r="E182" s="168">
        <f>IF(ISERROR(Personalplanung!H78/Monatsplanung!$E78*Monatsplanung!$H78),0,Personalplanung!H78/Monatsplanung!$E78*Monatsplanung!$H78)</f>
        <v>0</v>
      </c>
      <c r="F182" s="168">
        <f t="shared" si="41"/>
        <v>0</v>
      </c>
      <c r="G182" s="168" t="e">
        <f t="shared" si="42"/>
        <v>#DIV/0!</v>
      </c>
      <c r="H182" s="168" t="e">
        <f t="shared" si="43"/>
        <v>#DIV/0!</v>
      </c>
      <c r="I182" s="168">
        <f t="shared" si="44"/>
        <v>0</v>
      </c>
      <c r="J182" s="739"/>
      <c r="K182" s="168">
        <f>IF(J182&lt;&gt;"",J182,IF(ISERROR(Personalplanung!AB78/Monatsplanung!$E78*Monatsplanung!$H78),0,Personalplanung!AB78/Monatsplanung!$E78*Monatsplanung!$H78))</f>
        <v>0</v>
      </c>
      <c r="L182" s="740"/>
      <c r="M182" s="739"/>
      <c r="N182" s="168">
        <f>IF(M182&lt;&gt;"",M182,IF(ISERROR(Personalplanung!AC78/Monatsplanung!$E78*Monatsplanung!$H78),0,Personalplanung!AC78/Monatsplanung!$E78*Monatsplanung!$H78))</f>
        <v>0</v>
      </c>
      <c r="O182" s="740"/>
      <c r="P182" s="739"/>
      <c r="Q182" s="168">
        <f>IF(P182&lt;&gt;"",P182,IF(ISERROR(Personalplanung!AD78/Monatsplanung!$E78*Monatsplanung!$H78),0,Personalplanung!AD78/Monatsplanung!$E78*Monatsplanung!$H78))</f>
        <v>0</v>
      </c>
      <c r="R182" s="740"/>
      <c r="S182" s="739"/>
      <c r="T182" s="168">
        <f>IF(S182&lt;&gt;"",S182,IF(ISERROR(Personalplanung!AE78/Monatsplanung!$E78*Monatsplanung!$H78),0,Personalplanung!AE78/Monatsplanung!$E78*Monatsplanung!$H78))</f>
        <v>0</v>
      </c>
      <c r="U182" s="740"/>
      <c r="V182" s="168">
        <f t="shared" si="45"/>
        <v>0</v>
      </c>
      <c r="W182" s="168">
        <f>IF(ISERROR(Personalplanung!P78/Monatsplanung!$E78*Monatsplanung!$H78),0,Personalplanung!P78/Monatsplanung!$E78*Monatsplanung!$H78)</f>
        <v>0</v>
      </c>
      <c r="X182" s="168">
        <f>IF(ISERROR(Personalplanung!Q78/Monatsplanung!$E78*Monatsplanung!$H78),0,Personalplanung!Q78/Monatsplanung!$E78*Monatsplanung!$H78)</f>
        <v>0</v>
      </c>
      <c r="Y182" s="168">
        <f>IF(ISERROR(Personalplanung!R78/T1326*Stundencontrolling!T182),0,Personalplanung!R78/T1326*Stundencontrolling!T182)</f>
        <v>0</v>
      </c>
      <c r="Z182" s="168">
        <f>IF(ISERROR(Personalplanung!S78/Monatsplanung!$E78*Monatsplanung!$H78),0,Personalplanung!S78/Monatsplanung!$E78*Monatsplanung!$H78)</f>
        <v>0</v>
      </c>
      <c r="AA182" s="80" t="e">
        <f t="shared" si="46"/>
        <v>#DIV/0!</v>
      </c>
      <c r="AB182" s="102">
        <f t="shared" si="47"/>
        <v>0</v>
      </c>
      <c r="AC182" s="103" t="e">
        <f t="shared" si="48"/>
        <v>#DIV/0!</v>
      </c>
      <c r="AD182" s="103" t="e">
        <f t="shared" si="49"/>
        <v>#DIV/0!</v>
      </c>
      <c r="AE182" s="81">
        <f t="shared" si="50"/>
        <v>0</v>
      </c>
      <c r="AF182" s="539"/>
      <c r="AG182" s="104">
        <f t="shared" si="51"/>
        <v>0</v>
      </c>
      <c r="AH182" s="7">
        <f t="shared" si="52"/>
        <v>0</v>
      </c>
      <c r="AI182" s="6">
        <f t="shared" si="53"/>
        <v>0</v>
      </c>
      <c r="AJ182" s="73">
        <f t="shared" si="54"/>
        <v>0</v>
      </c>
      <c r="AK182" s="539"/>
      <c r="AL182" s="748"/>
      <c r="AM182" s="748"/>
    </row>
    <row r="183" spans="2:39" x14ac:dyDescent="0.2">
      <c r="B183" s="101" t="str">
        <f t="shared" si="39"/>
        <v/>
      </c>
      <c r="C183" s="168">
        <f>IF(ISERROR(Personalplanung!F79/Monatsplanung!$E79*Monatsplanung!$H79),0,Personalplanung!F79/Monatsplanung!$E79*Monatsplanung!$H79)</f>
        <v>0</v>
      </c>
      <c r="D183" s="168">
        <f t="shared" si="40"/>
        <v>0</v>
      </c>
      <c r="E183" s="168">
        <f>IF(ISERROR(Personalplanung!H79/Monatsplanung!$E79*Monatsplanung!$H79),0,Personalplanung!H79/Monatsplanung!$E79*Monatsplanung!$H79)</f>
        <v>0</v>
      </c>
      <c r="F183" s="168">
        <f t="shared" si="41"/>
        <v>0</v>
      </c>
      <c r="G183" s="168" t="e">
        <f t="shared" si="42"/>
        <v>#DIV/0!</v>
      </c>
      <c r="H183" s="168" t="e">
        <f t="shared" si="43"/>
        <v>#DIV/0!</v>
      </c>
      <c r="I183" s="168">
        <f t="shared" si="44"/>
        <v>0</v>
      </c>
      <c r="J183" s="739"/>
      <c r="K183" s="168">
        <f>IF(J183&lt;&gt;"",J183,IF(ISERROR(Personalplanung!AB79/Monatsplanung!$E79*Monatsplanung!$H79),0,Personalplanung!AB79/Monatsplanung!$E79*Monatsplanung!$H79))</f>
        <v>0</v>
      </c>
      <c r="L183" s="740"/>
      <c r="M183" s="739"/>
      <c r="N183" s="168">
        <f>IF(M183&lt;&gt;"",M183,IF(ISERROR(Personalplanung!AC79/Monatsplanung!$E79*Monatsplanung!$H79),0,Personalplanung!AC79/Monatsplanung!$E79*Monatsplanung!$H79))</f>
        <v>0</v>
      </c>
      <c r="O183" s="740"/>
      <c r="P183" s="739"/>
      <c r="Q183" s="168">
        <f>IF(P183&lt;&gt;"",P183,IF(ISERROR(Personalplanung!AD79/Monatsplanung!$E79*Monatsplanung!$H79),0,Personalplanung!AD79/Monatsplanung!$E79*Monatsplanung!$H79))</f>
        <v>0</v>
      </c>
      <c r="R183" s="740"/>
      <c r="S183" s="739"/>
      <c r="T183" s="168">
        <f>IF(S183&lt;&gt;"",S183,IF(ISERROR(Personalplanung!AE79/Monatsplanung!$E79*Monatsplanung!$H79),0,Personalplanung!AE79/Monatsplanung!$E79*Monatsplanung!$H79))</f>
        <v>0</v>
      </c>
      <c r="U183" s="740"/>
      <c r="V183" s="168">
        <f t="shared" si="45"/>
        <v>0</v>
      </c>
      <c r="W183" s="168">
        <f>IF(ISERROR(Personalplanung!P79/Monatsplanung!$E79*Monatsplanung!$H79),0,Personalplanung!P79/Monatsplanung!$E79*Monatsplanung!$H79)</f>
        <v>0</v>
      </c>
      <c r="X183" s="168">
        <f>IF(ISERROR(Personalplanung!Q79/Monatsplanung!$E79*Monatsplanung!$H79),0,Personalplanung!Q79/Monatsplanung!$E79*Monatsplanung!$H79)</f>
        <v>0</v>
      </c>
      <c r="Y183" s="168">
        <f>IF(ISERROR(Personalplanung!R79/T1327*Stundencontrolling!T183),0,Personalplanung!R79/T1327*Stundencontrolling!T183)</f>
        <v>0</v>
      </c>
      <c r="Z183" s="168">
        <f>IF(ISERROR(Personalplanung!S79/Monatsplanung!$E79*Monatsplanung!$H79),0,Personalplanung!S79/Monatsplanung!$E79*Monatsplanung!$H79)</f>
        <v>0</v>
      </c>
      <c r="AA183" s="80" t="e">
        <f t="shared" si="46"/>
        <v>#DIV/0!</v>
      </c>
      <c r="AB183" s="102">
        <f t="shared" si="47"/>
        <v>0</v>
      </c>
      <c r="AC183" s="103" t="e">
        <f t="shared" si="48"/>
        <v>#DIV/0!</v>
      </c>
      <c r="AD183" s="103" t="e">
        <f t="shared" si="49"/>
        <v>#DIV/0!</v>
      </c>
      <c r="AE183" s="81">
        <f t="shared" si="50"/>
        <v>0</v>
      </c>
      <c r="AF183" s="539"/>
      <c r="AG183" s="104">
        <f t="shared" si="51"/>
        <v>0</v>
      </c>
      <c r="AH183" s="7">
        <f t="shared" si="52"/>
        <v>0</v>
      </c>
      <c r="AI183" s="6">
        <f t="shared" si="53"/>
        <v>0</v>
      </c>
      <c r="AJ183" s="73">
        <f t="shared" si="54"/>
        <v>0</v>
      </c>
      <c r="AK183" s="539"/>
      <c r="AL183" s="748"/>
      <c r="AM183" s="748"/>
    </row>
    <row r="184" spans="2:39" x14ac:dyDescent="0.2">
      <c r="B184" s="101" t="str">
        <f t="shared" si="39"/>
        <v/>
      </c>
      <c r="C184" s="168">
        <f>IF(ISERROR(Personalplanung!F80/Monatsplanung!$E80*Monatsplanung!$H80),0,Personalplanung!F80/Monatsplanung!$E80*Monatsplanung!$H80)</f>
        <v>0</v>
      </c>
      <c r="D184" s="168">
        <f t="shared" si="40"/>
        <v>0</v>
      </c>
      <c r="E184" s="168">
        <f>IF(ISERROR(Personalplanung!H80/Monatsplanung!$E80*Monatsplanung!$H80),0,Personalplanung!H80/Monatsplanung!$E80*Monatsplanung!$H80)</f>
        <v>0</v>
      </c>
      <c r="F184" s="168">
        <f t="shared" si="41"/>
        <v>0</v>
      </c>
      <c r="G184" s="168" t="e">
        <f t="shared" si="42"/>
        <v>#DIV/0!</v>
      </c>
      <c r="H184" s="168" t="e">
        <f t="shared" si="43"/>
        <v>#DIV/0!</v>
      </c>
      <c r="I184" s="168">
        <f t="shared" si="44"/>
        <v>0</v>
      </c>
      <c r="J184" s="739"/>
      <c r="K184" s="168">
        <f>IF(J184&lt;&gt;"",J184,IF(ISERROR(Personalplanung!AB80/Monatsplanung!$E80*Monatsplanung!$H80),0,Personalplanung!AB80/Monatsplanung!$E80*Monatsplanung!$H80))</f>
        <v>0</v>
      </c>
      <c r="L184" s="740"/>
      <c r="M184" s="739"/>
      <c r="N184" s="168">
        <f>IF(M184&lt;&gt;"",M184,IF(ISERROR(Personalplanung!AC80/Monatsplanung!$E80*Monatsplanung!$H80),0,Personalplanung!AC80/Monatsplanung!$E80*Monatsplanung!$H80))</f>
        <v>0</v>
      </c>
      <c r="O184" s="740"/>
      <c r="P184" s="739"/>
      <c r="Q184" s="168">
        <f>IF(P184&lt;&gt;"",P184,IF(ISERROR(Personalplanung!AD80/Monatsplanung!$E80*Monatsplanung!$H80),0,Personalplanung!AD80/Monatsplanung!$E80*Monatsplanung!$H80))</f>
        <v>0</v>
      </c>
      <c r="R184" s="740"/>
      <c r="S184" s="739"/>
      <c r="T184" s="168">
        <f>IF(S184&lt;&gt;"",S184,IF(ISERROR(Personalplanung!AE80/Monatsplanung!$E80*Monatsplanung!$H80),0,Personalplanung!AE80/Monatsplanung!$E80*Monatsplanung!$H80))</f>
        <v>0</v>
      </c>
      <c r="U184" s="740"/>
      <c r="V184" s="168">
        <f t="shared" si="45"/>
        <v>0</v>
      </c>
      <c r="W184" s="168">
        <f>IF(ISERROR(Personalplanung!P80/Monatsplanung!$E80*Monatsplanung!$H80),0,Personalplanung!P80/Monatsplanung!$E80*Monatsplanung!$H80)</f>
        <v>0</v>
      </c>
      <c r="X184" s="168">
        <f>IF(ISERROR(Personalplanung!Q80/Monatsplanung!$E80*Monatsplanung!$H80),0,Personalplanung!Q80/Monatsplanung!$E80*Monatsplanung!$H80)</f>
        <v>0</v>
      </c>
      <c r="Y184" s="168">
        <f>IF(ISERROR(Personalplanung!R80/T1328*Stundencontrolling!T184),0,Personalplanung!R80/T1328*Stundencontrolling!T184)</f>
        <v>0</v>
      </c>
      <c r="Z184" s="168">
        <f>IF(ISERROR(Personalplanung!S80/Monatsplanung!$E80*Monatsplanung!$H80),0,Personalplanung!S80/Monatsplanung!$E80*Monatsplanung!$H80)</f>
        <v>0</v>
      </c>
      <c r="AA184" s="80" t="e">
        <f t="shared" si="46"/>
        <v>#DIV/0!</v>
      </c>
      <c r="AB184" s="102">
        <f t="shared" si="47"/>
        <v>0</v>
      </c>
      <c r="AC184" s="103" t="e">
        <f t="shared" si="48"/>
        <v>#DIV/0!</v>
      </c>
      <c r="AD184" s="103" t="e">
        <f t="shared" si="49"/>
        <v>#DIV/0!</v>
      </c>
      <c r="AE184" s="81">
        <f t="shared" si="50"/>
        <v>0</v>
      </c>
      <c r="AF184" s="539"/>
      <c r="AG184" s="104">
        <f t="shared" si="51"/>
        <v>0</v>
      </c>
      <c r="AH184" s="7">
        <f t="shared" si="52"/>
        <v>0</v>
      </c>
      <c r="AI184" s="6">
        <f t="shared" si="53"/>
        <v>0</v>
      </c>
      <c r="AJ184" s="73">
        <f t="shared" si="54"/>
        <v>0</v>
      </c>
      <c r="AK184" s="539"/>
      <c r="AL184" s="748"/>
      <c r="AM184" s="748"/>
    </row>
    <row r="185" spans="2:39" x14ac:dyDescent="0.2">
      <c r="B185" s="101" t="str">
        <f t="shared" si="39"/>
        <v/>
      </c>
      <c r="C185" s="168">
        <f>IF(ISERROR(Personalplanung!F81/Monatsplanung!$E81*Monatsplanung!$H81),0,Personalplanung!F81/Monatsplanung!$E81*Monatsplanung!$H81)</f>
        <v>0</v>
      </c>
      <c r="D185" s="168">
        <f t="shared" si="40"/>
        <v>0</v>
      </c>
      <c r="E185" s="168">
        <f>IF(ISERROR(Personalplanung!H81/Monatsplanung!$E81*Monatsplanung!$H81),0,Personalplanung!H81/Monatsplanung!$E81*Monatsplanung!$H81)</f>
        <v>0</v>
      </c>
      <c r="F185" s="168">
        <f t="shared" si="41"/>
        <v>0</v>
      </c>
      <c r="G185" s="168" t="e">
        <f t="shared" si="42"/>
        <v>#DIV/0!</v>
      </c>
      <c r="H185" s="168" t="e">
        <f t="shared" si="43"/>
        <v>#DIV/0!</v>
      </c>
      <c r="I185" s="168">
        <f t="shared" si="44"/>
        <v>0</v>
      </c>
      <c r="J185" s="739"/>
      <c r="K185" s="168">
        <f>IF(J185&lt;&gt;"",J185,IF(ISERROR(Personalplanung!AB81/Monatsplanung!$E81*Monatsplanung!$H81),0,Personalplanung!AB81/Monatsplanung!$E81*Monatsplanung!$H81))</f>
        <v>0</v>
      </c>
      <c r="L185" s="740"/>
      <c r="M185" s="739"/>
      <c r="N185" s="168">
        <f>IF(M185&lt;&gt;"",M185,IF(ISERROR(Personalplanung!AC81/Monatsplanung!$E81*Monatsplanung!$H81),0,Personalplanung!AC81/Monatsplanung!$E81*Monatsplanung!$H81))</f>
        <v>0</v>
      </c>
      <c r="O185" s="740"/>
      <c r="P185" s="739"/>
      <c r="Q185" s="168">
        <f>IF(P185&lt;&gt;"",P185,IF(ISERROR(Personalplanung!AD81/Monatsplanung!$E81*Monatsplanung!$H81),0,Personalplanung!AD81/Monatsplanung!$E81*Monatsplanung!$H81))</f>
        <v>0</v>
      </c>
      <c r="R185" s="740"/>
      <c r="S185" s="739"/>
      <c r="T185" s="168">
        <f>IF(S185&lt;&gt;"",S185,IF(ISERROR(Personalplanung!AE81/Monatsplanung!$E81*Monatsplanung!$H81),0,Personalplanung!AE81/Monatsplanung!$E81*Monatsplanung!$H81))</f>
        <v>0</v>
      </c>
      <c r="U185" s="740"/>
      <c r="V185" s="168">
        <f t="shared" si="45"/>
        <v>0</v>
      </c>
      <c r="W185" s="168">
        <f>IF(ISERROR(Personalplanung!P81/Monatsplanung!$E81*Monatsplanung!$H81),0,Personalplanung!P81/Monatsplanung!$E81*Monatsplanung!$H81)</f>
        <v>0</v>
      </c>
      <c r="X185" s="168">
        <f>IF(ISERROR(Personalplanung!Q81/Monatsplanung!$E81*Monatsplanung!$H81),0,Personalplanung!Q81/Monatsplanung!$E81*Monatsplanung!$H81)</f>
        <v>0</v>
      </c>
      <c r="Y185" s="168">
        <f>IF(ISERROR(Personalplanung!R81/T1329*Stundencontrolling!T185),0,Personalplanung!R81/T1329*Stundencontrolling!T185)</f>
        <v>0</v>
      </c>
      <c r="Z185" s="168">
        <f>IF(ISERROR(Personalplanung!S81/Monatsplanung!$E81*Monatsplanung!$H81),0,Personalplanung!S81/Monatsplanung!$E81*Monatsplanung!$H81)</f>
        <v>0</v>
      </c>
      <c r="AA185" s="80" t="e">
        <f t="shared" si="46"/>
        <v>#DIV/0!</v>
      </c>
      <c r="AB185" s="102">
        <f t="shared" si="47"/>
        <v>0</v>
      </c>
      <c r="AC185" s="103" t="e">
        <f t="shared" si="48"/>
        <v>#DIV/0!</v>
      </c>
      <c r="AD185" s="103" t="e">
        <f t="shared" si="49"/>
        <v>#DIV/0!</v>
      </c>
      <c r="AE185" s="81">
        <f t="shared" si="50"/>
        <v>0</v>
      </c>
      <c r="AF185" s="539"/>
      <c r="AG185" s="104">
        <f t="shared" si="51"/>
        <v>0</v>
      </c>
      <c r="AH185" s="7">
        <f t="shared" si="52"/>
        <v>0</v>
      </c>
      <c r="AI185" s="6">
        <f t="shared" si="53"/>
        <v>0</v>
      </c>
      <c r="AJ185" s="73">
        <f t="shared" si="54"/>
        <v>0</v>
      </c>
      <c r="AK185" s="539"/>
      <c r="AL185" s="748"/>
      <c r="AM185" s="748"/>
    </row>
    <row r="186" spans="2:39" x14ac:dyDescent="0.2">
      <c r="B186" s="101" t="str">
        <f t="shared" si="39"/>
        <v/>
      </c>
      <c r="C186" s="168">
        <f>IF(ISERROR(Personalplanung!F82/Monatsplanung!$E82*Monatsplanung!$H82),0,Personalplanung!F82/Monatsplanung!$E82*Monatsplanung!$H82)</f>
        <v>0</v>
      </c>
      <c r="D186" s="168">
        <f t="shared" si="40"/>
        <v>0</v>
      </c>
      <c r="E186" s="168">
        <f>IF(ISERROR(Personalplanung!H82/Monatsplanung!$E82*Monatsplanung!$H82),0,Personalplanung!H82/Monatsplanung!$E82*Monatsplanung!$H82)</f>
        <v>0</v>
      </c>
      <c r="F186" s="168">
        <f t="shared" si="41"/>
        <v>0</v>
      </c>
      <c r="G186" s="168" t="e">
        <f t="shared" si="42"/>
        <v>#DIV/0!</v>
      </c>
      <c r="H186" s="168" t="e">
        <f t="shared" si="43"/>
        <v>#DIV/0!</v>
      </c>
      <c r="I186" s="168">
        <f t="shared" si="44"/>
        <v>0</v>
      </c>
      <c r="J186" s="739"/>
      <c r="K186" s="168">
        <f>IF(J186&lt;&gt;"",J186,IF(ISERROR(Personalplanung!AB82/Monatsplanung!$E82*Monatsplanung!$H82),0,Personalplanung!AB82/Monatsplanung!$E82*Monatsplanung!$H82))</f>
        <v>0</v>
      </c>
      <c r="L186" s="740"/>
      <c r="M186" s="739"/>
      <c r="N186" s="168">
        <f>IF(M186&lt;&gt;"",M186,IF(ISERROR(Personalplanung!AC82/Monatsplanung!$E82*Monatsplanung!$H82),0,Personalplanung!AC82/Monatsplanung!$E82*Monatsplanung!$H82))</f>
        <v>0</v>
      </c>
      <c r="O186" s="740"/>
      <c r="P186" s="739"/>
      <c r="Q186" s="168">
        <f>IF(P186&lt;&gt;"",P186,IF(ISERROR(Personalplanung!AD82/Monatsplanung!$E82*Monatsplanung!$H82),0,Personalplanung!AD82/Monatsplanung!$E82*Monatsplanung!$H82))</f>
        <v>0</v>
      </c>
      <c r="R186" s="740"/>
      <c r="S186" s="739"/>
      <c r="T186" s="168">
        <f>IF(S186&lt;&gt;"",S186,IF(ISERROR(Personalplanung!AE82/Monatsplanung!$E82*Monatsplanung!$H82),0,Personalplanung!AE82/Monatsplanung!$E82*Monatsplanung!$H82))</f>
        <v>0</v>
      </c>
      <c r="U186" s="740"/>
      <c r="V186" s="168">
        <f t="shared" si="45"/>
        <v>0</v>
      </c>
      <c r="W186" s="168">
        <f>IF(ISERROR(Personalplanung!P82/Monatsplanung!$E82*Monatsplanung!$H82),0,Personalplanung!P82/Monatsplanung!$E82*Monatsplanung!$H82)</f>
        <v>0</v>
      </c>
      <c r="X186" s="168">
        <f>IF(ISERROR(Personalplanung!Q82/Monatsplanung!$E82*Monatsplanung!$H82),0,Personalplanung!Q82/Monatsplanung!$E82*Monatsplanung!$H82)</f>
        <v>0</v>
      </c>
      <c r="Y186" s="168">
        <f>IF(ISERROR(Personalplanung!R82/T1330*Stundencontrolling!T186),0,Personalplanung!R82/T1330*Stundencontrolling!T186)</f>
        <v>0</v>
      </c>
      <c r="Z186" s="168">
        <f>IF(ISERROR(Personalplanung!S82/Monatsplanung!$E82*Monatsplanung!$H82),0,Personalplanung!S82/Monatsplanung!$E82*Monatsplanung!$H82)</f>
        <v>0</v>
      </c>
      <c r="AA186" s="80" t="e">
        <f t="shared" si="46"/>
        <v>#DIV/0!</v>
      </c>
      <c r="AB186" s="102">
        <f t="shared" si="47"/>
        <v>0</v>
      </c>
      <c r="AC186" s="103" t="e">
        <f t="shared" si="48"/>
        <v>#DIV/0!</v>
      </c>
      <c r="AD186" s="103" t="e">
        <f t="shared" si="49"/>
        <v>#DIV/0!</v>
      </c>
      <c r="AE186" s="81">
        <f t="shared" si="50"/>
        <v>0</v>
      </c>
      <c r="AF186" s="539"/>
      <c r="AG186" s="104">
        <f t="shared" si="51"/>
        <v>0</v>
      </c>
      <c r="AH186" s="7">
        <f t="shared" si="52"/>
        <v>0</v>
      </c>
      <c r="AI186" s="6">
        <f t="shared" si="53"/>
        <v>0</v>
      </c>
      <c r="AJ186" s="73">
        <f t="shared" si="54"/>
        <v>0</v>
      </c>
      <c r="AK186" s="539"/>
      <c r="AL186" s="748"/>
      <c r="AM186" s="748"/>
    </row>
    <row r="187" spans="2:39" x14ac:dyDescent="0.2">
      <c r="B187" s="101" t="str">
        <f t="shared" si="39"/>
        <v/>
      </c>
      <c r="C187" s="168">
        <f>IF(ISERROR(Personalplanung!F83/Monatsplanung!$E83*Monatsplanung!$H83),0,Personalplanung!F83/Monatsplanung!$E83*Monatsplanung!$H83)</f>
        <v>0</v>
      </c>
      <c r="D187" s="168">
        <f t="shared" si="40"/>
        <v>0</v>
      </c>
      <c r="E187" s="168">
        <f>IF(ISERROR(Personalplanung!H83/Monatsplanung!$E83*Monatsplanung!$H83),0,Personalplanung!H83/Monatsplanung!$E83*Monatsplanung!$H83)</f>
        <v>0</v>
      </c>
      <c r="F187" s="168">
        <f t="shared" si="41"/>
        <v>0</v>
      </c>
      <c r="G187" s="168" t="e">
        <f t="shared" si="42"/>
        <v>#DIV/0!</v>
      </c>
      <c r="H187" s="168" t="e">
        <f t="shared" si="43"/>
        <v>#DIV/0!</v>
      </c>
      <c r="I187" s="168">
        <f t="shared" si="44"/>
        <v>0</v>
      </c>
      <c r="J187" s="739"/>
      <c r="K187" s="168">
        <f>IF(J187&lt;&gt;"",J187,IF(ISERROR(Personalplanung!AB83/Monatsplanung!$E83*Monatsplanung!$H83),0,Personalplanung!AB83/Monatsplanung!$E83*Monatsplanung!$H83))</f>
        <v>0</v>
      </c>
      <c r="L187" s="740"/>
      <c r="M187" s="739"/>
      <c r="N187" s="168">
        <f>IF(M187&lt;&gt;"",M187,IF(ISERROR(Personalplanung!AC83/Monatsplanung!$E83*Monatsplanung!$H83),0,Personalplanung!AC83/Monatsplanung!$E83*Monatsplanung!$H83))</f>
        <v>0</v>
      </c>
      <c r="O187" s="740"/>
      <c r="P187" s="739"/>
      <c r="Q187" s="168">
        <f>IF(P187&lt;&gt;"",P187,IF(ISERROR(Personalplanung!AD83/Monatsplanung!$E83*Monatsplanung!$H83),0,Personalplanung!AD83/Monatsplanung!$E83*Monatsplanung!$H83))</f>
        <v>0</v>
      </c>
      <c r="R187" s="740"/>
      <c r="S187" s="739"/>
      <c r="T187" s="168">
        <f>IF(S187&lt;&gt;"",S187,IF(ISERROR(Personalplanung!AE83/Monatsplanung!$E83*Monatsplanung!$H83),0,Personalplanung!AE83/Monatsplanung!$E83*Monatsplanung!$H83))</f>
        <v>0</v>
      </c>
      <c r="U187" s="740"/>
      <c r="V187" s="168">
        <f t="shared" si="45"/>
        <v>0</v>
      </c>
      <c r="W187" s="168">
        <f>IF(ISERROR(Personalplanung!P83/Monatsplanung!$E83*Monatsplanung!$H83),0,Personalplanung!P83/Monatsplanung!$E83*Monatsplanung!$H83)</f>
        <v>0</v>
      </c>
      <c r="X187" s="168">
        <f>IF(ISERROR(Personalplanung!Q83/Monatsplanung!$E83*Monatsplanung!$H83),0,Personalplanung!Q83/Monatsplanung!$E83*Monatsplanung!$H83)</f>
        <v>0</v>
      </c>
      <c r="Y187" s="168">
        <f>IF(ISERROR(Personalplanung!R83/T1331*Stundencontrolling!T187),0,Personalplanung!R83/T1331*Stundencontrolling!T187)</f>
        <v>0</v>
      </c>
      <c r="Z187" s="168">
        <f>IF(ISERROR(Personalplanung!S83/Monatsplanung!$E83*Monatsplanung!$H83),0,Personalplanung!S83/Monatsplanung!$E83*Monatsplanung!$H83)</f>
        <v>0</v>
      </c>
      <c r="AA187" s="80" t="e">
        <f t="shared" si="46"/>
        <v>#DIV/0!</v>
      </c>
      <c r="AB187" s="102">
        <f t="shared" si="47"/>
        <v>0</v>
      </c>
      <c r="AC187" s="103" t="e">
        <f t="shared" si="48"/>
        <v>#DIV/0!</v>
      </c>
      <c r="AD187" s="103" t="e">
        <f t="shared" si="49"/>
        <v>#DIV/0!</v>
      </c>
      <c r="AE187" s="81">
        <f t="shared" si="50"/>
        <v>0</v>
      </c>
      <c r="AF187" s="539"/>
      <c r="AG187" s="104">
        <f t="shared" si="51"/>
        <v>0</v>
      </c>
      <c r="AH187" s="7">
        <f t="shared" si="52"/>
        <v>0</v>
      </c>
      <c r="AI187" s="6">
        <f t="shared" si="53"/>
        <v>0</v>
      </c>
      <c r="AJ187" s="73">
        <f t="shared" si="54"/>
        <v>0</v>
      </c>
      <c r="AK187" s="539"/>
      <c r="AL187" s="748"/>
      <c r="AM187" s="748"/>
    </row>
    <row r="188" spans="2:39" x14ac:dyDescent="0.2">
      <c r="B188" s="101" t="str">
        <f t="shared" si="39"/>
        <v/>
      </c>
      <c r="C188" s="168">
        <f>IF(ISERROR(Personalplanung!F84/Monatsplanung!$E84*Monatsplanung!$H84),0,Personalplanung!F84/Monatsplanung!$E84*Monatsplanung!$H84)</f>
        <v>0</v>
      </c>
      <c r="D188" s="168">
        <f t="shared" si="40"/>
        <v>0</v>
      </c>
      <c r="E188" s="168">
        <f>IF(ISERROR(Personalplanung!H84/Monatsplanung!$E84*Monatsplanung!$H84),0,Personalplanung!H84/Monatsplanung!$E84*Monatsplanung!$H84)</f>
        <v>0</v>
      </c>
      <c r="F188" s="168">
        <f t="shared" si="41"/>
        <v>0</v>
      </c>
      <c r="G188" s="168" t="e">
        <f t="shared" si="42"/>
        <v>#DIV/0!</v>
      </c>
      <c r="H188" s="168" t="e">
        <f t="shared" si="43"/>
        <v>#DIV/0!</v>
      </c>
      <c r="I188" s="168">
        <f t="shared" si="44"/>
        <v>0</v>
      </c>
      <c r="J188" s="739"/>
      <c r="K188" s="168">
        <f>IF(J188&lt;&gt;"",J188,IF(ISERROR(Personalplanung!AB84/Monatsplanung!$E84*Monatsplanung!$H84),0,Personalplanung!AB84/Monatsplanung!$E84*Monatsplanung!$H84))</f>
        <v>0</v>
      </c>
      <c r="L188" s="740"/>
      <c r="M188" s="739"/>
      <c r="N188" s="168">
        <f>IF(M188&lt;&gt;"",M188,IF(ISERROR(Personalplanung!AC84/Monatsplanung!$E84*Monatsplanung!$H84),0,Personalplanung!AC84/Monatsplanung!$E84*Monatsplanung!$H84))</f>
        <v>0</v>
      </c>
      <c r="O188" s="740"/>
      <c r="P188" s="739"/>
      <c r="Q188" s="168">
        <f>IF(P188&lt;&gt;"",P188,IF(ISERROR(Personalplanung!AD84/Monatsplanung!$E84*Monatsplanung!$H84),0,Personalplanung!AD84/Monatsplanung!$E84*Monatsplanung!$H84))</f>
        <v>0</v>
      </c>
      <c r="R188" s="740"/>
      <c r="S188" s="739"/>
      <c r="T188" s="168">
        <f>IF(S188&lt;&gt;"",S188,IF(ISERROR(Personalplanung!AE84/Monatsplanung!$E84*Monatsplanung!$H84),0,Personalplanung!AE84/Monatsplanung!$E84*Monatsplanung!$H84))</f>
        <v>0</v>
      </c>
      <c r="U188" s="740"/>
      <c r="V188" s="168">
        <f t="shared" si="45"/>
        <v>0</v>
      </c>
      <c r="W188" s="168">
        <f>IF(ISERROR(Personalplanung!P84/Monatsplanung!$E84*Monatsplanung!$H84),0,Personalplanung!P84/Monatsplanung!$E84*Monatsplanung!$H84)</f>
        <v>0</v>
      </c>
      <c r="X188" s="168">
        <f>IF(ISERROR(Personalplanung!Q84/Monatsplanung!$E84*Monatsplanung!$H84),0,Personalplanung!Q84/Monatsplanung!$E84*Monatsplanung!$H84)</f>
        <v>0</v>
      </c>
      <c r="Y188" s="168">
        <f>IF(ISERROR(Personalplanung!R84/T1332*Stundencontrolling!T188),0,Personalplanung!R84/T1332*Stundencontrolling!T188)</f>
        <v>0</v>
      </c>
      <c r="Z188" s="168">
        <f>IF(ISERROR(Personalplanung!S84/Monatsplanung!$E84*Monatsplanung!$H84),0,Personalplanung!S84/Monatsplanung!$E84*Monatsplanung!$H84)</f>
        <v>0</v>
      </c>
      <c r="AA188" s="80" t="e">
        <f t="shared" si="46"/>
        <v>#DIV/0!</v>
      </c>
      <c r="AB188" s="102">
        <f t="shared" si="47"/>
        <v>0</v>
      </c>
      <c r="AC188" s="103" t="e">
        <f t="shared" si="48"/>
        <v>#DIV/0!</v>
      </c>
      <c r="AD188" s="103" t="e">
        <f t="shared" si="49"/>
        <v>#DIV/0!</v>
      </c>
      <c r="AE188" s="81">
        <f t="shared" si="50"/>
        <v>0</v>
      </c>
      <c r="AF188" s="539"/>
      <c r="AG188" s="104">
        <f t="shared" si="51"/>
        <v>0</v>
      </c>
      <c r="AH188" s="7">
        <f t="shared" si="52"/>
        <v>0</v>
      </c>
      <c r="AI188" s="6">
        <f t="shared" si="53"/>
        <v>0</v>
      </c>
      <c r="AJ188" s="73">
        <f t="shared" si="54"/>
        <v>0</v>
      </c>
      <c r="AK188" s="539"/>
      <c r="AL188" s="748"/>
      <c r="AM188" s="748"/>
    </row>
    <row r="189" spans="2:39" x14ac:dyDescent="0.2">
      <c r="B189" s="101" t="str">
        <f t="shared" si="39"/>
        <v/>
      </c>
      <c r="C189" s="168">
        <f>IF(ISERROR(Personalplanung!F85/Monatsplanung!$E85*Monatsplanung!$H85),0,Personalplanung!F85/Monatsplanung!$E85*Monatsplanung!$H85)</f>
        <v>0</v>
      </c>
      <c r="D189" s="168">
        <f t="shared" si="40"/>
        <v>0</v>
      </c>
      <c r="E189" s="168">
        <f>IF(ISERROR(Personalplanung!H85/Monatsplanung!$E85*Monatsplanung!$H85),0,Personalplanung!H85/Monatsplanung!$E85*Monatsplanung!$H85)</f>
        <v>0</v>
      </c>
      <c r="F189" s="168">
        <f t="shared" si="41"/>
        <v>0</v>
      </c>
      <c r="G189" s="168" t="e">
        <f t="shared" si="42"/>
        <v>#DIV/0!</v>
      </c>
      <c r="H189" s="168" t="e">
        <f t="shared" si="43"/>
        <v>#DIV/0!</v>
      </c>
      <c r="I189" s="168">
        <f t="shared" si="44"/>
        <v>0</v>
      </c>
      <c r="J189" s="739"/>
      <c r="K189" s="168">
        <f>IF(J189&lt;&gt;"",J189,IF(ISERROR(Personalplanung!AB85/Monatsplanung!$E85*Monatsplanung!$H85),0,Personalplanung!AB85/Monatsplanung!$E85*Monatsplanung!$H85))</f>
        <v>0</v>
      </c>
      <c r="L189" s="740"/>
      <c r="M189" s="739"/>
      <c r="N189" s="168">
        <f>IF(M189&lt;&gt;"",M189,IF(ISERROR(Personalplanung!AC85/Monatsplanung!$E85*Monatsplanung!$H85),0,Personalplanung!AC85/Monatsplanung!$E85*Monatsplanung!$H85))</f>
        <v>0</v>
      </c>
      <c r="O189" s="740"/>
      <c r="P189" s="739"/>
      <c r="Q189" s="168">
        <f>IF(P189&lt;&gt;"",P189,IF(ISERROR(Personalplanung!AD85/Monatsplanung!$E85*Monatsplanung!$H85),0,Personalplanung!AD85/Monatsplanung!$E85*Monatsplanung!$H85))</f>
        <v>0</v>
      </c>
      <c r="R189" s="740"/>
      <c r="S189" s="739"/>
      <c r="T189" s="168">
        <f>IF(S189&lt;&gt;"",S189,IF(ISERROR(Personalplanung!AE85/Monatsplanung!$E85*Monatsplanung!$H85),0,Personalplanung!AE85/Monatsplanung!$E85*Monatsplanung!$H85))</f>
        <v>0</v>
      </c>
      <c r="U189" s="740"/>
      <c r="V189" s="168">
        <f t="shared" si="45"/>
        <v>0</v>
      </c>
      <c r="W189" s="168">
        <f>IF(ISERROR(Personalplanung!P85/Monatsplanung!$E85*Monatsplanung!$H85),0,Personalplanung!P85/Monatsplanung!$E85*Monatsplanung!$H85)</f>
        <v>0</v>
      </c>
      <c r="X189" s="168">
        <f>IF(ISERROR(Personalplanung!Q85/Monatsplanung!$E85*Monatsplanung!$H85),0,Personalplanung!Q85/Monatsplanung!$E85*Monatsplanung!$H85)</f>
        <v>0</v>
      </c>
      <c r="Y189" s="168">
        <f>IF(ISERROR(Personalplanung!R85/T1333*Stundencontrolling!T189),0,Personalplanung!R85/T1333*Stundencontrolling!T189)</f>
        <v>0</v>
      </c>
      <c r="Z189" s="168">
        <f>IF(ISERROR(Personalplanung!S85/Monatsplanung!$E85*Monatsplanung!$H85),0,Personalplanung!S85/Monatsplanung!$E85*Monatsplanung!$H85)</f>
        <v>0</v>
      </c>
      <c r="AA189" s="80" t="e">
        <f t="shared" si="46"/>
        <v>#DIV/0!</v>
      </c>
      <c r="AB189" s="102">
        <f t="shared" si="47"/>
        <v>0</v>
      </c>
      <c r="AC189" s="103" t="e">
        <f t="shared" si="48"/>
        <v>#DIV/0!</v>
      </c>
      <c r="AD189" s="103" t="e">
        <f t="shared" si="49"/>
        <v>#DIV/0!</v>
      </c>
      <c r="AE189" s="81">
        <f t="shared" si="50"/>
        <v>0</v>
      </c>
      <c r="AF189" s="539"/>
      <c r="AG189" s="104">
        <f t="shared" si="51"/>
        <v>0</v>
      </c>
      <c r="AH189" s="7">
        <f t="shared" si="52"/>
        <v>0</v>
      </c>
      <c r="AI189" s="6">
        <f t="shared" si="53"/>
        <v>0</v>
      </c>
      <c r="AJ189" s="73">
        <f t="shared" si="54"/>
        <v>0</v>
      </c>
      <c r="AK189" s="539"/>
      <c r="AL189" s="748"/>
      <c r="AM189" s="748"/>
    </row>
    <row r="190" spans="2:39" x14ac:dyDescent="0.2">
      <c r="B190" s="101" t="str">
        <f t="shared" si="39"/>
        <v/>
      </c>
      <c r="C190" s="168">
        <f>IF(ISERROR(Personalplanung!F86/Monatsplanung!$E86*Monatsplanung!$H86),0,Personalplanung!F86/Monatsplanung!$E86*Monatsplanung!$H86)</f>
        <v>0</v>
      </c>
      <c r="D190" s="168">
        <f t="shared" si="40"/>
        <v>0</v>
      </c>
      <c r="E190" s="168">
        <f>IF(ISERROR(Personalplanung!H86/Monatsplanung!$E86*Monatsplanung!$H86),0,Personalplanung!H86/Monatsplanung!$E86*Monatsplanung!$H86)</f>
        <v>0</v>
      </c>
      <c r="F190" s="168">
        <f t="shared" si="41"/>
        <v>0</v>
      </c>
      <c r="G190" s="168" t="e">
        <f t="shared" si="42"/>
        <v>#DIV/0!</v>
      </c>
      <c r="H190" s="168" t="e">
        <f t="shared" si="43"/>
        <v>#DIV/0!</v>
      </c>
      <c r="I190" s="168">
        <f t="shared" si="44"/>
        <v>0</v>
      </c>
      <c r="J190" s="739"/>
      <c r="K190" s="168">
        <f>IF(J190&lt;&gt;"",J190,IF(ISERROR(Personalplanung!AB86/Monatsplanung!$E86*Monatsplanung!$H86),0,Personalplanung!AB86/Monatsplanung!$E86*Monatsplanung!$H86))</f>
        <v>0</v>
      </c>
      <c r="L190" s="740"/>
      <c r="M190" s="739"/>
      <c r="N190" s="168">
        <f>IF(M190&lt;&gt;"",M190,IF(ISERROR(Personalplanung!AC86/Monatsplanung!$E86*Monatsplanung!$H86),0,Personalplanung!AC86/Monatsplanung!$E86*Monatsplanung!$H86))</f>
        <v>0</v>
      </c>
      <c r="O190" s="740"/>
      <c r="P190" s="739"/>
      <c r="Q190" s="168">
        <f>IF(P190&lt;&gt;"",P190,IF(ISERROR(Personalplanung!AD86/Monatsplanung!$E86*Monatsplanung!$H86),0,Personalplanung!AD86/Monatsplanung!$E86*Monatsplanung!$H86))</f>
        <v>0</v>
      </c>
      <c r="R190" s="740"/>
      <c r="S190" s="739"/>
      <c r="T190" s="168">
        <f>IF(S190&lt;&gt;"",S190,IF(ISERROR(Personalplanung!AE86/Monatsplanung!$E86*Monatsplanung!$H86),0,Personalplanung!AE86/Monatsplanung!$E86*Monatsplanung!$H86))</f>
        <v>0</v>
      </c>
      <c r="U190" s="740"/>
      <c r="V190" s="168">
        <f t="shared" si="45"/>
        <v>0</v>
      </c>
      <c r="W190" s="168">
        <f>IF(ISERROR(Personalplanung!P86/Monatsplanung!$E86*Monatsplanung!$H86),0,Personalplanung!P86/Monatsplanung!$E86*Monatsplanung!$H86)</f>
        <v>0</v>
      </c>
      <c r="X190" s="168">
        <f>IF(ISERROR(Personalplanung!Q86/Monatsplanung!$E86*Monatsplanung!$H86),0,Personalplanung!Q86/Monatsplanung!$E86*Monatsplanung!$H86)</f>
        <v>0</v>
      </c>
      <c r="Y190" s="168">
        <f>IF(ISERROR(Personalplanung!R86/T1334*Stundencontrolling!T190),0,Personalplanung!R86/T1334*Stundencontrolling!T190)</f>
        <v>0</v>
      </c>
      <c r="Z190" s="168">
        <f>IF(ISERROR(Personalplanung!S86/Monatsplanung!$E86*Monatsplanung!$H86),0,Personalplanung!S86/Monatsplanung!$E86*Monatsplanung!$H86)</f>
        <v>0</v>
      </c>
      <c r="AA190" s="80" t="e">
        <f t="shared" si="46"/>
        <v>#DIV/0!</v>
      </c>
      <c r="AB190" s="102">
        <f t="shared" si="47"/>
        <v>0</v>
      </c>
      <c r="AC190" s="103" t="e">
        <f t="shared" si="48"/>
        <v>#DIV/0!</v>
      </c>
      <c r="AD190" s="103" t="e">
        <f t="shared" si="49"/>
        <v>#DIV/0!</v>
      </c>
      <c r="AE190" s="81">
        <f t="shared" si="50"/>
        <v>0</v>
      </c>
      <c r="AF190" s="539"/>
      <c r="AG190" s="104">
        <f t="shared" si="51"/>
        <v>0</v>
      </c>
      <c r="AH190" s="7">
        <f t="shared" si="52"/>
        <v>0</v>
      </c>
      <c r="AI190" s="6">
        <f t="shared" si="53"/>
        <v>0</v>
      </c>
      <c r="AJ190" s="73">
        <f t="shared" si="54"/>
        <v>0</v>
      </c>
      <c r="AK190" s="539"/>
      <c r="AL190" s="748"/>
      <c r="AM190" s="748"/>
    </row>
    <row r="191" spans="2:39" x14ac:dyDescent="0.2">
      <c r="B191" s="101" t="str">
        <f t="shared" si="39"/>
        <v/>
      </c>
      <c r="C191" s="168">
        <f>IF(ISERROR(Personalplanung!F87/Monatsplanung!$E87*Monatsplanung!$H87),0,Personalplanung!F87/Monatsplanung!$E87*Monatsplanung!$H87)</f>
        <v>0</v>
      </c>
      <c r="D191" s="168">
        <f t="shared" si="40"/>
        <v>0</v>
      </c>
      <c r="E191" s="168">
        <f>IF(ISERROR(Personalplanung!H87/Monatsplanung!$E87*Monatsplanung!$H87),0,Personalplanung!H87/Monatsplanung!$E87*Monatsplanung!$H87)</f>
        <v>0</v>
      </c>
      <c r="F191" s="168">
        <f t="shared" si="41"/>
        <v>0</v>
      </c>
      <c r="G191" s="168" t="e">
        <f t="shared" si="42"/>
        <v>#DIV/0!</v>
      </c>
      <c r="H191" s="168" t="e">
        <f t="shared" si="43"/>
        <v>#DIV/0!</v>
      </c>
      <c r="I191" s="168">
        <f t="shared" si="44"/>
        <v>0</v>
      </c>
      <c r="J191" s="739"/>
      <c r="K191" s="168">
        <f>IF(J191&lt;&gt;"",J191,IF(ISERROR(Personalplanung!AB87/Monatsplanung!$E87*Monatsplanung!$H87),0,Personalplanung!AB87/Monatsplanung!$E87*Monatsplanung!$H87))</f>
        <v>0</v>
      </c>
      <c r="L191" s="740"/>
      <c r="M191" s="739"/>
      <c r="N191" s="168">
        <f>IF(M191&lt;&gt;"",M191,IF(ISERROR(Personalplanung!AC87/Monatsplanung!$E87*Monatsplanung!$H87),0,Personalplanung!AC87/Monatsplanung!$E87*Monatsplanung!$H87))</f>
        <v>0</v>
      </c>
      <c r="O191" s="740"/>
      <c r="P191" s="739"/>
      <c r="Q191" s="168">
        <f>IF(P191&lt;&gt;"",P191,IF(ISERROR(Personalplanung!AD87/Monatsplanung!$E87*Monatsplanung!$H87),0,Personalplanung!AD87/Monatsplanung!$E87*Monatsplanung!$H87))</f>
        <v>0</v>
      </c>
      <c r="R191" s="740"/>
      <c r="S191" s="739"/>
      <c r="T191" s="168">
        <f>IF(S191&lt;&gt;"",S191,IF(ISERROR(Personalplanung!AE87/Monatsplanung!$E87*Monatsplanung!$H87),0,Personalplanung!AE87/Monatsplanung!$E87*Monatsplanung!$H87))</f>
        <v>0</v>
      </c>
      <c r="U191" s="740"/>
      <c r="V191" s="168">
        <f t="shared" si="45"/>
        <v>0</v>
      </c>
      <c r="W191" s="168">
        <f>IF(ISERROR(Personalplanung!P87/Monatsplanung!$E87*Monatsplanung!$H87),0,Personalplanung!P87/Monatsplanung!$E87*Monatsplanung!$H87)</f>
        <v>0</v>
      </c>
      <c r="X191" s="168">
        <f>IF(ISERROR(Personalplanung!Q87/Monatsplanung!$E87*Monatsplanung!$H87),0,Personalplanung!Q87/Monatsplanung!$E87*Monatsplanung!$H87)</f>
        <v>0</v>
      </c>
      <c r="Y191" s="168">
        <f>IF(ISERROR(Personalplanung!R87/T1335*Stundencontrolling!T191),0,Personalplanung!R87/T1335*Stundencontrolling!T191)</f>
        <v>0</v>
      </c>
      <c r="Z191" s="168">
        <f>IF(ISERROR(Personalplanung!S87/Monatsplanung!$E87*Monatsplanung!$H87),0,Personalplanung!S87/Monatsplanung!$E87*Monatsplanung!$H87)</f>
        <v>0</v>
      </c>
      <c r="AA191" s="80" t="e">
        <f t="shared" si="46"/>
        <v>#DIV/0!</v>
      </c>
      <c r="AB191" s="102">
        <f t="shared" si="47"/>
        <v>0</v>
      </c>
      <c r="AC191" s="103" t="e">
        <f t="shared" si="48"/>
        <v>#DIV/0!</v>
      </c>
      <c r="AD191" s="103" t="e">
        <f t="shared" si="49"/>
        <v>#DIV/0!</v>
      </c>
      <c r="AE191" s="81">
        <f t="shared" si="50"/>
        <v>0</v>
      </c>
      <c r="AF191" s="539"/>
      <c r="AG191" s="104">
        <f t="shared" si="51"/>
        <v>0</v>
      </c>
      <c r="AH191" s="7">
        <f t="shared" si="52"/>
        <v>0</v>
      </c>
      <c r="AI191" s="6">
        <f t="shared" si="53"/>
        <v>0</v>
      </c>
      <c r="AJ191" s="73">
        <f t="shared" si="54"/>
        <v>0</v>
      </c>
      <c r="AK191" s="539"/>
      <c r="AL191" s="748"/>
      <c r="AM191" s="748"/>
    </row>
    <row r="192" spans="2:39" x14ac:dyDescent="0.2">
      <c r="B192" s="101" t="str">
        <f t="shared" si="39"/>
        <v/>
      </c>
      <c r="C192" s="168">
        <f>IF(ISERROR(Personalplanung!F88/Monatsplanung!$E88*Monatsplanung!$H88),0,Personalplanung!F88/Monatsplanung!$E88*Monatsplanung!$H88)</f>
        <v>0</v>
      </c>
      <c r="D192" s="168">
        <f t="shared" si="40"/>
        <v>0</v>
      </c>
      <c r="E192" s="168">
        <f>IF(ISERROR(Personalplanung!H88/Monatsplanung!$E88*Monatsplanung!$H88),0,Personalplanung!H88/Monatsplanung!$E88*Monatsplanung!$H88)</f>
        <v>0</v>
      </c>
      <c r="F192" s="168">
        <f t="shared" si="41"/>
        <v>0</v>
      </c>
      <c r="G192" s="168" t="e">
        <f t="shared" si="42"/>
        <v>#DIV/0!</v>
      </c>
      <c r="H192" s="168" t="e">
        <f t="shared" si="43"/>
        <v>#DIV/0!</v>
      </c>
      <c r="I192" s="168">
        <f t="shared" si="44"/>
        <v>0</v>
      </c>
      <c r="J192" s="739"/>
      <c r="K192" s="168">
        <f>IF(J192&lt;&gt;"",J192,IF(ISERROR(Personalplanung!AB88/Monatsplanung!$E88*Monatsplanung!$H88),0,Personalplanung!AB88/Monatsplanung!$E88*Monatsplanung!$H88))</f>
        <v>0</v>
      </c>
      <c r="L192" s="740"/>
      <c r="M192" s="739"/>
      <c r="N192" s="168">
        <f>IF(M192&lt;&gt;"",M192,IF(ISERROR(Personalplanung!AC88/Monatsplanung!$E88*Monatsplanung!$H88),0,Personalplanung!AC88/Monatsplanung!$E88*Monatsplanung!$H88))</f>
        <v>0</v>
      </c>
      <c r="O192" s="740"/>
      <c r="P192" s="739"/>
      <c r="Q192" s="168">
        <f>IF(P192&lt;&gt;"",P192,IF(ISERROR(Personalplanung!AD88/Monatsplanung!$E88*Monatsplanung!$H88),0,Personalplanung!AD88/Monatsplanung!$E88*Monatsplanung!$H88))</f>
        <v>0</v>
      </c>
      <c r="R192" s="740"/>
      <c r="S192" s="739"/>
      <c r="T192" s="168">
        <f>IF(S192&lt;&gt;"",S192,IF(ISERROR(Personalplanung!AE88/Monatsplanung!$E88*Monatsplanung!$H88),0,Personalplanung!AE88/Monatsplanung!$E88*Monatsplanung!$H88))</f>
        <v>0</v>
      </c>
      <c r="U192" s="740"/>
      <c r="V192" s="168">
        <f t="shared" si="45"/>
        <v>0</v>
      </c>
      <c r="W192" s="168">
        <f>IF(ISERROR(Personalplanung!P88/Monatsplanung!$E88*Monatsplanung!$H88),0,Personalplanung!P88/Monatsplanung!$E88*Monatsplanung!$H88)</f>
        <v>0</v>
      </c>
      <c r="X192" s="168">
        <f>IF(ISERROR(Personalplanung!Q88/Monatsplanung!$E88*Monatsplanung!$H88),0,Personalplanung!Q88/Monatsplanung!$E88*Monatsplanung!$H88)</f>
        <v>0</v>
      </c>
      <c r="Y192" s="168">
        <f>IF(ISERROR(Personalplanung!R88/T1336*Stundencontrolling!T192),0,Personalplanung!R88/T1336*Stundencontrolling!T192)</f>
        <v>0</v>
      </c>
      <c r="Z192" s="168">
        <f>IF(ISERROR(Personalplanung!S88/Monatsplanung!$E88*Monatsplanung!$H88),0,Personalplanung!S88/Monatsplanung!$E88*Monatsplanung!$H88)</f>
        <v>0</v>
      </c>
      <c r="AA192" s="80" t="e">
        <f t="shared" si="46"/>
        <v>#DIV/0!</v>
      </c>
      <c r="AB192" s="102">
        <f t="shared" si="47"/>
        <v>0</v>
      </c>
      <c r="AC192" s="103" t="e">
        <f t="shared" si="48"/>
        <v>#DIV/0!</v>
      </c>
      <c r="AD192" s="103" t="e">
        <f t="shared" si="49"/>
        <v>#DIV/0!</v>
      </c>
      <c r="AE192" s="81">
        <f t="shared" si="50"/>
        <v>0</v>
      </c>
      <c r="AF192" s="539"/>
      <c r="AG192" s="104">
        <f t="shared" si="51"/>
        <v>0</v>
      </c>
      <c r="AH192" s="7">
        <f t="shared" si="52"/>
        <v>0</v>
      </c>
      <c r="AI192" s="6">
        <f t="shared" si="53"/>
        <v>0</v>
      </c>
      <c r="AJ192" s="73">
        <f t="shared" si="54"/>
        <v>0</v>
      </c>
      <c r="AK192" s="539"/>
      <c r="AL192" s="748"/>
      <c r="AM192" s="748"/>
    </row>
    <row r="193" spans="2:39" x14ac:dyDescent="0.2">
      <c r="B193" s="101" t="str">
        <f t="shared" si="39"/>
        <v/>
      </c>
      <c r="C193" s="168">
        <f>IF(ISERROR(Personalplanung!F89/Monatsplanung!$E89*Monatsplanung!$H89),0,Personalplanung!F89/Monatsplanung!$E89*Monatsplanung!$H89)</f>
        <v>0</v>
      </c>
      <c r="D193" s="168">
        <f t="shared" si="40"/>
        <v>0</v>
      </c>
      <c r="E193" s="168">
        <f>IF(ISERROR(Personalplanung!H89/Monatsplanung!$E89*Monatsplanung!$H89),0,Personalplanung!H89/Monatsplanung!$E89*Monatsplanung!$H89)</f>
        <v>0</v>
      </c>
      <c r="F193" s="168">
        <f t="shared" si="41"/>
        <v>0</v>
      </c>
      <c r="G193" s="168" t="e">
        <f t="shared" si="42"/>
        <v>#DIV/0!</v>
      </c>
      <c r="H193" s="168" t="e">
        <f t="shared" si="43"/>
        <v>#DIV/0!</v>
      </c>
      <c r="I193" s="168">
        <f t="shared" si="44"/>
        <v>0</v>
      </c>
      <c r="J193" s="739"/>
      <c r="K193" s="168">
        <f>IF(J193&lt;&gt;"",J193,IF(ISERROR(Personalplanung!AB89/Monatsplanung!$E89*Monatsplanung!$H89),0,Personalplanung!AB89/Monatsplanung!$E89*Monatsplanung!$H89))</f>
        <v>0</v>
      </c>
      <c r="L193" s="740"/>
      <c r="M193" s="739"/>
      <c r="N193" s="168">
        <f>IF(M193&lt;&gt;"",M193,IF(ISERROR(Personalplanung!AC89/Monatsplanung!$E89*Monatsplanung!$H89),0,Personalplanung!AC89/Monatsplanung!$E89*Monatsplanung!$H89))</f>
        <v>0</v>
      </c>
      <c r="O193" s="740"/>
      <c r="P193" s="739"/>
      <c r="Q193" s="168">
        <f>IF(P193&lt;&gt;"",P193,IF(ISERROR(Personalplanung!AD89/Monatsplanung!$E89*Monatsplanung!$H89),0,Personalplanung!AD89/Monatsplanung!$E89*Monatsplanung!$H89))</f>
        <v>0</v>
      </c>
      <c r="R193" s="740"/>
      <c r="S193" s="739"/>
      <c r="T193" s="168">
        <f>IF(S193&lt;&gt;"",S193,IF(ISERROR(Personalplanung!AE89/Monatsplanung!$E89*Monatsplanung!$H89),0,Personalplanung!AE89/Monatsplanung!$E89*Monatsplanung!$H89))</f>
        <v>0</v>
      </c>
      <c r="U193" s="740"/>
      <c r="V193" s="168">
        <f t="shared" si="45"/>
        <v>0</v>
      </c>
      <c r="W193" s="168">
        <f>IF(ISERROR(Personalplanung!P89/Monatsplanung!$E89*Monatsplanung!$H89),0,Personalplanung!P89/Monatsplanung!$E89*Monatsplanung!$H89)</f>
        <v>0</v>
      </c>
      <c r="X193" s="168">
        <f>IF(ISERROR(Personalplanung!Q89/Monatsplanung!$E89*Monatsplanung!$H89),0,Personalplanung!Q89/Monatsplanung!$E89*Monatsplanung!$H89)</f>
        <v>0</v>
      </c>
      <c r="Y193" s="168">
        <f>IF(ISERROR(Personalplanung!R89/T1337*Stundencontrolling!T193),0,Personalplanung!R89/T1337*Stundencontrolling!T193)</f>
        <v>0</v>
      </c>
      <c r="Z193" s="168">
        <f>IF(ISERROR(Personalplanung!S89/Monatsplanung!$E89*Monatsplanung!$H89),0,Personalplanung!S89/Monatsplanung!$E89*Monatsplanung!$H89)</f>
        <v>0</v>
      </c>
      <c r="AA193" s="80" t="e">
        <f t="shared" si="46"/>
        <v>#DIV/0!</v>
      </c>
      <c r="AB193" s="102">
        <f t="shared" si="47"/>
        <v>0</v>
      </c>
      <c r="AC193" s="103" t="e">
        <f t="shared" si="48"/>
        <v>#DIV/0!</v>
      </c>
      <c r="AD193" s="103" t="e">
        <f t="shared" si="49"/>
        <v>#DIV/0!</v>
      </c>
      <c r="AE193" s="81">
        <f t="shared" si="50"/>
        <v>0</v>
      </c>
      <c r="AF193" s="539"/>
      <c r="AG193" s="104">
        <f t="shared" si="51"/>
        <v>0</v>
      </c>
      <c r="AH193" s="7">
        <f t="shared" si="52"/>
        <v>0</v>
      </c>
      <c r="AI193" s="6">
        <f t="shared" si="53"/>
        <v>0</v>
      </c>
      <c r="AJ193" s="73">
        <f t="shared" si="54"/>
        <v>0</v>
      </c>
      <c r="AK193" s="539"/>
      <c r="AL193" s="748"/>
      <c r="AM193" s="748"/>
    </row>
    <row r="194" spans="2:39" x14ac:dyDescent="0.2">
      <c r="B194" s="101" t="str">
        <f t="shared" si="39"/>
        <v/>
      </c>
      <c r="C194" s="168">
        <f>IF(ISERROR(Personalplanung!F90/Monatsplanung!$E90*Monatsplanung!$H90),0,Personalplanung!F90/Monatsplanung!$E90*Monatsplanung!$H90)</f>
        <v>0</v>
      </c>
      <c r="D194" s="168">
        <f t="shared" si="40"/>
        <v>0</v>
      </c>
      <c r="E194" s="168">
        <f>IF(ISERROR(Personalplanung!H90/Monatsplanung!$E90*Monatsplanung!$H90),0,Personalplanung!H90/Monatsplanung!$E90*Monatsplanung!$H90)</f>
        <v>0</v>
      </c>
      <c r="F194" s="168">
        <f t="shared" si="41"/>
        <v>0</v>
      </c>
      <c r="G194" s="168" t="e">
        <f t="shared" si="42"/>
        <v>#DIV/0!</v>
      </c>
      <c r="H194" s="168" t="e">
        <f t="shared" si="43"/>
        <v>#DIV/0!</v>
      </c>
      <c r="I194" s="168">
        <f t="shared" si="44"/>
        <v>0</v>
      </c>
      <c r="J194" s="739"/>
      <c r="K194" s="168">
        <f>IF(J194&lt;&gt;"",J194,IF(ISERROR(Personalplanung!AB90/Monatsplanung!$E90*Monatsplanung!$H90),0,Personalplanung!AB90/Monatsplanung!$E90*Monatsplanung!$H90))</f>
        <v>0</v>
      </c>
      <c r="L194" s="740"/>
      <c r="M194" s="739"/>
      <c r="N194" s="168">
        <f>IF(M194&lt;&gt;"",M194,IF(ISERROR(Personalplanung!AC90/Monatsplanung!$E90*Monatsplanung!$H90),0,Personalplanung!AC90/Monatsplanung!$E90*Monatsplanung!$H90))</f>
        <v>0</v>
      </c>
      <c r="O194" s="740"/>
      <c r="P194" s="739"/>
      <c r="Q194" s="168">
        <f>IF(P194&lt;&gt;"",P194,IF(ISERROR(Personalplanung!AD90/Monatsplanung!$E90*Monatsplanung!$H90),0,Personalplanung!AD90/Monatsplanung!$E90*Monatsplanung!$H90))</f>
        <v>0</v>
      </c>
      <c r="R194" s="740"/>
      <c r="S194" s="739"/>
      <c r="T194" s="168">
        <f>IF(S194&lt;&gt;"",S194,IF(ISERROR(Personalplanung!AE90/Monatsplanung!$E90*Monatsplanung!$H90),0,Personalplanung!AE90/Monatsplanung!$E90*Monatsplanung!$H90))</f>
        <v>0</v>
      </c>
      <c r="U194" s="740"/>
      <c r="V194" s="168">
        <f t="shared" si="45"/>
        <v>0</v>
      </c>
      <c r="W194" s="168">
        <f>IF(ISERROR(Personalplanung!P90/Monatsplanung!$E90*Monatsplanung!$H90),0,Personalplanung!P90/Monatsplanung!$E90*Monatsplanung!$H90)</f>
        <v>0</v>
      </c>
      <c r="X194" s="168">
        <f>IF(ISERROR(Personalplanung!Q90/Monatsplanung!$E90*Monatsplanung!$H90),0,Personalplanung!Q90/Monatsplanung!$E90*Monatsplanung!$H90)</f>
        <v>0</v>
      </c>
      <c r="Y194" s="168">
        <f>IF(ISERROR(Personalplanung!R90/T1338*Stundencontrolling!T194),0,Personalplanung!R90/T1338*Stundencontrolling!T194)</f>
        <v>0</v>
      </c>
      <c r="Z194" s="168">
        <f>IF(ISERROR(Personalplanung!S90/Monatsplanung!$E90*Monatsplanung!$H90),0,Personalplanung!S90/Monatsplanung!$E90*Monatsplanung!$H90)</f>
        <v>0</v>
      </c>
      <c r="AA194" s="80" t="e">
        <f t="shared" si="46"/>
        <v>#DIV/0!</v>
      </c>
      <c r="AB194" s="102">
        <f t="shared" si="47"/>
        <v>0</v>
      </c>
      <c r="AC194" s="103" t="e">
        <f t="shared" si="48"/>
        <v>#DIV/0!</v>
      </c>
      <c r="AD194" s="103" t="e">
        <f t="shared" si="49"/>
        <v>#DIV/0!</v>
      </c>
      <c r="AE194" s="81">
        <f t="shared" si="50"/>
        <v>0</v>
      </c>
      <c r="AF194" s="539"/>
      <c r="AG194" s="104">
        <f t="shared" si="51"/>
        <v>0</v>
      </c>
      <c r="AH194" s="7">
        <f t="shared" si="52"/>
        <v>0</v>
      </c>
      <c r="AI194" s="6">
        <f t="shared" si="53"/>
        <v>0</v>
      </c>
      <c r="AJ194" s="73">
        <f t="shared" si="54"/>
        <v>0</v>
      </c>
      <c r="AK194" s="539"/>
      <c r="AL194" s="748"/>
      <c r="AM194" s="748"/>
    </row>
    <row r="195" spans="2:39" x14ac:dyDescent="0.2">
      <c r="B195" s="101" t="str">
        <f t="shared" si="39"/>
        <v/>
      </c>
      <c r="C195" s="168">
        <f>IF(ISERROR(Personalplanung!F91/Monatsplanung!$E91*Monatsplanung!$H91),0,Personalplanung!F91/Monatsplanung!$E91*Monatsplanung!$H91)</f>
        <v>0</v>
      </c>
      <c r="D195" s="168">
        <f t="shared" si="40"/>
        <v>0</v>
      </c>
      <c r="E195" s="168">
        <f>IF(ISERROR(Personalplanung!H91/Monatsplanung!$E91*Monatsplanung!$H91),0,Personalplanung!H91/Monatsplanung!$E91*Monatsplanung!$H91)</f>
        <v>0</v>
      </c>
      <c r="F195" s="168">
        <f t="shared" si="41"/>
        <v>0</v>
      </c>
      <c r="G195" s="168" t="e">
        <f t="shared" si="42"/>
        <v>#DIV/0!</v>
      </c>
      <c r="H195" s="168" t="e">
        <f t="shared" si="43"/>
        <v>#DIV/0!</v>
      </c>
      <c r="I195" s="168">
        <f t="shared" si="44"/>
        <v>0</v>
      </c>
      <c r="J195" s="739"/>
      <c r="K195" s="168">
        <f>IF(J195&lt;&gt;"",J195,IF(ISERROR(Personalplanung!AB91/Monatsplanung!$E91*Monatsplanung!$H91),0,Personalplanung!AB91/Monatsplanung!$E91*Monatsplanung!$H91))</f>
        <v>0</v>
      </c>
      <c r="L195" s="740"/>
      <c r="M195" s="739"/>
      <c r="N195" s="168">
        <f>IF(M195&lt;&gt;"",M195,IF(ISERROR(Personalplanung!AC91/Monatsplanung!$E91*Monatsplanung!$H91),0,Personalplanung!AC91/Monatsplanung!$E91*Monatsplanung!$H91))</f>
        <v>0</v>
      </c>
      <c r="O195" s="740"/>
      <c r="P195" s="739"/>
      <c r="Q195" s="168">
        <f>IF(P195&lt;&gt;"",P195,IF(ISERROR(Personalplanung!AD91/Monatsplanung!$E91*Monatsplanung!$H91),0,Personalplanung!AD91/Monatsplanung!$E91*Monatsplanung!$H91))</f>
        <v>0</v>
      </c>
      <c r="R195" s="740"/>
      <c r="S195" s="739"/>
      <c r="T195" s="168">
        <f>IF(S195&lt;&gt;"",S195,IF(ISERROR(Personalplanung!AE91/Monatsplanung!$E91*Monatsplanung!$H91),0,Personalplanung!AE91/Monatsplanung!$E91*Monatsplanung!$H91))</f>
        <v>0</v>
      </c>
      <c r="U195" s="740"/>
      <c r="V195" s="168">
        <f t="shared" si="45"/>
        <v>0</v>
      </c>
      <c r="W195" s="168">
        <f>IF(ISERROR(Personalplanung!P91/Monatsplanung!$E91*Monatsplanung!$H91),0,Personalplanung!P91/Monatsplanung!$E91*Monatsplanung!$H91)</f>
        <v>0</v>
      </c>
      <c r="X195" s="168">
        <f>IF(ISERROR(Personalplanung!Q91/Monatsplanung!$E91*Monatsplanung!$H91),0,Personalplanung!Q91/Monatsplanung!$E91*Monatsplanung!$H91)</f>
        <v>0</v>
      </c>
      <c r="Y195" s="168">
        <f>IF(ISERROR(Personalplanung!R91/T1339*Stundencontrolling!T195),0,Personalplanung!R91/T1339*Stundencontrolling!T195)</f>
        <v>0</v>
      </c>
      <c r="Z195" s="168">
        <f>IF(ISERROR(Personalplanung!S91/Monatsplanung!$E91*Monatsplanung!$H91),0,Personalplanung!S91/Monatsplanung!$E91*Monatsplanung!$H91)</f>
        <v>0</v>
      </c>
      <c r="AA195" s="80" t="e">
        <f t="shared" si="46"/>
        <v>#DIV/0!</v>
      </c>
      <c r="AB195" s="102">
        <f t="shared" si="47"/>
        <v>0</v>
      </c>
      <c r="AC195" s="103" t="e">
        <f t="shared" si="48"/>
        <v>#DIV/0!</v>
      </c>
      <c r="AD195" s="103" t="e">
        <f t="shared" si="49"/>
        <v>#DIV/0!</v>
      </c>
      <c r="AE195" s="81">
        <f t="shared" si="50"/>
        <v>0</v>
      </c>
      <c r="AF195" s="539"/>
      <c r="AG195" s="104">
        <f t="shared" si="51"/>
        <v>0</v>
      </c>
      <c r="AH195" s="7">
        <f t="shared" si="52"/>
        <v>0</v>
      </c>
      <c r="AI195" s="6">
        <f t="shared" si="53"/>
        <v>0</v>
      </c>
      <c r="AJ195" s="73">
        <f t="shared" si="54"/>
        <v>0</v>
      </c>
      <c r="AK195" s="539"/>
      <c r="AL195" s="748"/>
      <c r="AM195" s="748"/>
    </row>
    <row r="196" spans="2:39" x14ac:dyDescent="0.2">
      <c r="B196" s="101" t="str">
        <f t="shared" si="39"/>
        <v/>
      </c>
      <c r="C196" s="168">
        <f>IF(ISERROR(Personalplanung!F92/Monatsplanung!$E92*Monatsplanung!$H92),0,Personalplanung!F92/Monatsplanung!$E92*Monatsplanung!$H92)</f>
        <v>0</v>
      </c>
      <c r="D196" s="168">
        <f t="shared" si="40"/>
        <v>0</v>
      </c>
      <c r="E196" s="168">
        <f>IF(ISERROR(Personalplanung!H92/Monatsplanung!$E92*Monatsplanung!$H92),0,Personalplanung!H92/Monatsplanung!$E92*Monatsplanung!$H92)</f>
        <v>0</v>
      </c>
      <c r="F196" s="168">
        <f t="shared" si="41"/>
        <v>0</v>
      </c>
      <c r="G196" s="168" t="e">
        <f t="shared" si="42"/>
        <v>#DIV/0!</v>
      </c>
      <c r="H196" s="168" t="e">
        <f t="shared" si="43"/>
        <v>#DIV/0!</v>
      </c>
      <c r="I196" s="168">
        <f t="shared" si="44"/>
        <v>0</v>
      </c>
      <c r="J196" s="739"/>
      <c r="K196" s="168">
        <f>IF(J196&lt;&gt;"",J196,IF(ISERROR(Personalplanung!AB92/Monatsplanung!$E92*Monatsplanung!$H92),0,Personalplanung!AB92/Monatsplanung!$E92*Monatsplanung!$H92))</f>
        <v>0</v>
      </c>
      <c r="L196" s="740"/>
      <c r="M196" s="739"/>
      <c r="N196" s="168">
        <f>IF(M196&lt;&gt;"",M196,IF(ISERROR(Personalplanung!AC92/Monatsplanung!$E92*Monatsplanung!$H92),0,Personalplanung!AC92/Monatsplanung!$E92*Monatsplanung!$H92))</f>
        <v>0</v>
      </c>
      <c r="O196" s="740"/>
      <c r="P196" s="739"/>
      <c r="Q196" s="168">
        <f>IF(P196&lt;&gt;"",P196,IF(ISERROR(Personalplanung!AD92/Monatsplanung!$E92*Monatsplanung!$H92),0,Personalplanung!AD92/Monatsplanung!$E92*Monatsplanung!$H92))</f>
        <v>0</v>
      </c>
      <c r="R196" s="740"/>
      <c r="S196" s="739"/>
      <c r="T196" s="168">
        <f>IF(S196&lt;&gt;"",S196,IF(ISERROR(Personalplanung!AE92/Monatsplanung!$E92*Monatsplanung!$H92),0,Personalplanung!AE92/Monatsplanung!$E92*Monatsplanung!$H92))</f>
        <v>0</v>
      </c>
      <c r="U196" s="740"/>
      <c r="V196" s="168">
        <f t="shared" si="45"/>
        <v>0</v>
      </c>
      <c r="W196" s="168">
        <f>IF(ISERROR(Personalplanung!P92/Monatsplanung!$E92*Monatsplanung!$H92),0,Personalplanung!P92/Monatsplanung!$E92*Monatsplanung!$H92)</f>
        <v>0</v>
      </c>
      <c r="X196" s="168">
        <f>IF(ISERROR(Personalplanung!Q92/Monatsplanung!$E92*Monatsplanung!$H92),0,Personalplanung!Q92/Monatsplanung!$E92*Monatsplanung!$H92)</f>
        <v>0</v>
      </c>
      <c r="Y196" s="168">
        <f>IF(ISERROR(Personalplanung!R92/T1340*Stundencontrolling!T196),0,Personalplanung!R92/T1340*Stundencontrolling!T196)</f>
        <v>0</v>
      </c>
      <c r="Z196" s="168">
        <f>IF(ISERROR(Personalplanung!S92/Monatsplanung!$E92*Monatsplanung!$H92),0,Personalplanung!S92/Monatsplanung!$E92*Monatsplanung!$H92)</f>
        <v>0</v>
      </c>
      <c r="AA196" s="80" t="e">
        <f t="shared" si="46"/>
        <v>#DIV/0!</v>
      </c>
      <c r="AB196" s="102">
        <f t="shared" si="47"/>
        <v>0</v>
      </c>
      <c r="AC196" s="103" t="e">
        <f t="shared" si="48"/>
        <v>#DIV/0!</v>
      </c>
      <c r="AD196" s="103" t="e">
        <f t="shared" si="49"/>
        <v>#DIV/0!</v>
      </c>
      <c r="AE196" s="81">
        <f t="shared" si="50"/>
        <v>0</v>
      </c>
      <c r="AF196" s="539"/>
      <c r="AG196" s="104">
        <f t="shared" si="51"/>
        <v>0</v>
      </c>
      <c r="AH196" s="7">
        <f t="shared" si="52"/>
        <v>0</v>
      </c>
      <c r="AI196" s="6">
        <f t="shared" si="53"/>
        <v>0</v>
      </c>
      <c r="AJ196" s="73">
        <f t="shared" si="54"/>
        <v>0</v>
      </c>
      <c r="AK196" s="539"/>
      <c r="AL196" s="748"/>
      <c r="AM196" s="748"/>
    </row>
    <row r="197" spans="2:39" x14ac:dyDescent="0.2">
      <c r="B197" s="101" t="str">
        <f t="shared" si="39"/>
        <v/>
      </c>
      <c r="C197" s="168">
        <f>IF(ISERROR(Personalplanung!F93/Monatsplanung!$E93*Monatsplanung!$H93),0,Personalplanung!F93/Monatsplanung!$E93*Monatsplanung!$H93)</f>
        <v>0</v>
      </c>
      <c r="D197" s="168">
        <f t="shared" si="40"/>
        <v>0</v>
      </c>
      <c r="E197" s="168">
        <f>IF(ISERROR(Personalplanung!H93/Monatsplanung!$E93*Monatsplanung!$H93),0,Personalplanung!H93/Monatsplanung!$E93*Monatsplanung!$H93)</f>
        <v>0</v>
      </c>
      <c r="F197" s="168">
        <f t="shared" si="41"/>
        <v>0</v>
      </c>
      <c r="G197" s="168" t="e">
        <f t="shared" si="42"/>
        <v>#DIV/0!</v>
      </c>
      <c r="H197" s="168" t="e">
        <f t="shared" si="43"/>
        <v>#DIV/0!</v>
      </c>
      <c r="I197" s="168">
        <f t="shared" si="44"/>
        <v>0</v>
      </c>
      <c r="J197" s="739"/>
      <c r="K197" s="168">
        <f>IF(J197&lt;&gt;"",J197,IF(ISERROR(Personalplanung!AB93/Monatsplanung!$E93*Monatsplanung!$H93),0,Personalplanung!AB93/Monatsplanung!$E93*Monatsplanung!$H93))</f>
        <v>0</v>
      </c>
      <c r="L197" s="740"/>
      <c r="M197" s="739"/>
      <c r="N197" s="168">
        <f>IF(M197&lt;&gt;"",M197,IF(ISERROR(Personalplanung!AC93/Monatsplanung!$E93*Monatsplanung!$H93),0,Personalplanung!AC93/Monatsplanung!$E93*Monatsplanung!$H93))</f>
        <v>0</v>
      </c>
      <c r="O197" s="740"/>
      <c r="P197" s="739"/>
      <c r="Q197" s="168">
        <f>IF(P197&lt;&gt;"",P197,IF(ISERROR(Personalplanung!AD93/Monatsplanung!$E93*Monatsplanung!$H93),0,Personalplanung!AD93/Monatsplanung!$E93*Monatsplanung!$H93))</f>
        <v>0</v>
      </c>
      <c r="R197" s="740"/>
      <c r="S197" s="739"/>
      <c r="T197" s="168">
        <f>IF(S197&lt;&gt;"",S197,IF(ISERROR(Personalplanung!AE93/Monatsplanung!$E93*Monatsplanung!$H93),0,Personalplanung!AE93/Monatsplanung!$E93*Monatsplanung!$H93))</f>
        <v>0</v>
      </c>
      <c r="U197" s="740"/>
      <c r="V197" s="168">
        <f t="shared" si="45"/>
        <v>0</v>
      </c>
      <c r="W197" s="168">
        <f>IF(ISERROR(Personalplanung!P93/Monatsplanung!$E93*Monatsplanung!$H93),0,Personalplanung!P93/Monatsplanung!$E93*Monatsplanung!$H93)</f>
        <v>0</v>
      </c>
      <c r="X197" s="168">
        <f>IF(ISERROR(Personalplanung!Q93/Monatsplanung!$E93*Monatsplanung!$H93),0,Personalplanung!Q93/Monatsplanung!$E93*Monatsplanung!$H93)</f>
        <v>0</v>
      </c>
      <c r="Y197" s="168">
        <f>IF(ISERROR(Personalplanung!R93/T1341*Stundencontrolling!T197),0,Personalplanung!R93/T1341*Stundencontrolling!T197)</f>
        <v>0</v>
      </c>
      <c r="Z197" s="168">
        <f>IF(ISERROR(Personalplanung!S93/Monatsplanung!$E93*Monatsplanung!$H93),0,Personalplanung!S93/Monatsplanung!$E93*Monatsplanung!$H93)</f>
        <v>0</v>
      </c>
      <c r="AA197" s="80" t="e">
        <f t="shared" si="46"/>
        <v>#DIV/0!</v>
      </c>
      <c r="AB197" s="102">
        <f t="shared" si="47"/>
        <v>0</v>
      </c>
      <c r="AC197" s="103" t="e">
        <f t="shared" si="48"/>
        <v>#DIV/0!</v>
      </c>
      <c r="AD197" s="103" t="e">
        <f t="shared" si="49"/>
        <v>#DIV/0!</v>
      </c>
      <c r="AE197" s="81">
        <f t="shared" si="50"/>
        <v>0</v>
      </c>
      <c r="AF197" s="539"/>
      <c r="AG197" s="104">
        <f t="shared" si="51"/>
        <v>0</v>
      </c>
      <c r="AH197" s="7">
        <f t="shared" si="52"/>
        <v>0</v>
      </c>
      <c r="AI197" s="6">
        <f t="shared" si="53"/>
        <v>0</v>
      </c>
      <c r="AJ197" s="73">
        <f t="shared" si="54"/>
        <v>0</v>
      </c>
      <c r="AK197" s="539"/>
      <c r="AL197" s="748"/>
      <c r="AM197" s="748"/>
    </row>
    <row r="198" spans="2:39" x14ac:dyDescent="0.2">
      <c r="B198" s="101" t="str">
        <f t="shared" si="39"/>
        <v/>
      </c>
      <c r="C198" s="168">
        <f>IF(ISERROR(Personalplanung!F94/Monatsplanung!$E94*Monatsplanung!$H94),0,Personalplanung!F94/Monatsplanung!$E94*Monatsplanung!$H94)</f>
        <v>0</v>
      </c>
      <c r="D198" s="168">
        <f t="shared" si="40"/>
        <v>0</v>
      </c>
      <c r="E198" s="168">
        <f>IF(ISERROR(Personalplanung!H94/Monatsplanung!$E94*Monatsplanung!$H94),0,Personalplanung!H94/Monatsplanung!$E94*Monatsplanung!$H94)</f>
        <v>0</v>
      </c>
      <c r="F198" s="168">
        <f t="shared" si="41"/>
        <v>0</v>
      </c>
      <c r="G198" s="168" t="e">
        <f t="shared" si="42"/>
        <v>#DIV/0!</v>
      </c>
      <c r="H198" s="168" t="e">
        <f t="shared" si="43"/>
        <v>#DIV/0!</v>
      </c>
      <c r="I198" s="168">
        <f t="shared" si="44"/>
        <v>0</v>
      </c>
      <c r="J198" s="739"/>
      <c r="K198" s="168">
        <f>IF(J198&lt;&gt;"",J198,IF(ISERROR(Personalplanung!AB94/Monatsplanung!$E94*Monatsplanung!$H94),0,Personalplanung!AB94/Monatsplanung!$E94*Monatsplanung!$H94))</f>
        <v>0</v>
      </c>
      <c r="L198" s="740"/>
      <c r="M198" s="739"/>
      <c r="N198" s="168">
        <f>IF(M198&lt;&gt;"",M198,IF(ISERROR(Personalplanung!AC94/Monatsplanung!$E94*Monatsplanung!$H94),0,Personalplanung!AC94/Monatsplanung!$E94*Monatsplanung!$H94))</f>
        <v>0</v>
      </c>
      <c r="O198" s="740"/>
      <c r="P198" s="739"/>
      <c r="Q198" s="168">
        <f>IF(P198&lt;&gt;"",P198,IF(ISERROR(Personalplanung!AD94/Monatsplanung!$E94*Monatsplanung!$H94),0,Personalplanung!AD94/Monatsplanung!$E94*Monatsplanung!$H94))</f>
        <v>0</v>
      </c>
      <c r="R198" s="740"/>
      <c r="S198" s="739"/>
      <c r="T198" s="168">
        <f>IF(S198&lt;&gt;"",S198,IF(ISERROR(Personalplanung!AE94/Monatsplanung!$E94*Monatsplanung!$H94),0,Personalplanung!AE94/Monatsplanung!$E94*Monatsplanung!$H94))</f>
        <v>0</v>
      </c>
      <c r="U198" s="740"/>
      <c r="V198" s="168">
        <f t="shared" si="45"/>
        <v>0</v>
      </c>
      <c r="W198" s="168">
        <f>IF(ISERROR(Personalplanung!P94/Monatsplanung!$E94*Monatsplanung!$H94),0,Personalplanung!P94/Monatsplanung!$E94*Monatsplanung!$H94)</f>
        <v>0</v>
      </c>
      <c r="X198" s="168">
        <f>IF(ISERROR(Personalplanung!Q94/Monatsplanung!$E94*Monatsplanung!$H94),0,Personalplanung!Q94/Monatsplanung!$E94*Monatsplanung!$H94)</f>
        <v>0</v>
      </c>
      <c r="Y198" s="168">
        <f>IF(ISERROR(Personalplanung!R94/T1342*Stundencontrolling!T198),0,Personalplanung!R94/T1342*Stundencontrolling!T198)</f>
        <v>0</v>
      </c>
      <c r="Z198" s="168">
        <f>IF(ISERROR(Personalplanung!S94/Monatsplanung!$E94*Monatsplanung!$H94),0,Personalplanung!S94/Monatsplanung!$E94*Monatsplanung!$H94)</f>
        <v>0</v>
      </c>
      <c r="AA198" s="80" t="e">
        <f t="shared" si="46"/>
        <v>#DIV/0!</v>
      </c>
      <c r="AB198" s="102">
        <f t="shared" si="47"/>
        <v>0</v>
      </c>
      <c r="AC198" s="103" t="e">
        <f t="shared" si="48"/>
        <v>#DIV/0!</v>
      </c>
      <c r="AD198" s="103" t="e">
        <f t="shared" si="49"/>
        <v>#DIV/0!</v>
      </c>
      <c r="AE198" s="81">
        <f t="shared" si="50"/>
        <v>0</v>
      </c>
      <c r="AF198" s="539"/>
      <c r="AG198" s="104">
        <f t="shared" si="51"/>
        <v>0</v>
      </c>
      <c r="AH198" s="7">
        <f t="shared" si="52"/>
        <v>0</v>
      </c>
      <c r="AI198" s="6">
        <f t="shared" si="53"/>
        <v>0</v>
      </c>
      <c r="AJ198" s="73">
        <f t="shared" si="54"/>
        <v>0</v>
      </c>
      <c r="AK198" s="539"/>
      <c r="AL198" s="748"/>
      <c r="AM198" s="748"/>
    </row>
    <row r="199" spans="2:39" x14ac:dyDescent="0.2">
      <c r="B199" s="101" t="str">
        <f t="shared" si="39"/>
        <v/>
      </c>
      <c r="C199" s="168">
        <f>IF(ISERROR(Personalplanung!F95/Monatsplanung!$E95*Monatsplanung!$H95),0,Personalplanung!F95/Monatsplanung!$E95*Monatsplanung!$H95)</f>
        <v>0</v>
      </c>
      <c r="D199" s="168">
        <f t="shared" si="40"/>
        <v>0</v>
      </c>
      <c r="E199" s="168">
        <f>IF(ISERROR(Personalplanung!H95/Monatsplanung!$E95*Monatsplanung!$H95),0,Personalplanung!H95/Monatsplanung!$E95*Monatsplanung!$H95)</f>
        <v>0</v>
      </c>
      <c r="F199" s="168">
        <f t="shared" si="41"/>
        <v>0</v>
      </c>
      <c r="G199" s="168" t="e">
        <f t="shared" si="42"/>
        <v>#DIV/0!</v>
      </c>
      <c r="H199" s="168" t="e">
        <f t="shared" si="43"/>
        <v>#DIV/0!</v>
      </c>
      <c r="I199" s="168">
        <f t="shared" si="44"/>
        <v>0</v>
      </c>
      <c r="J199" s="739"/>
      <c r="K199" s="168">
        <f>IF(J199&lt;&gt;"",J199,IF(ISERROR(Personalplanung!AB95/Monatsplanung!$E95*Monatsplanung!$H95),0,Personalplanung!AB95/Monatsplanung!$E95*Monatsplanung!$H95))</f>
        <v>0</v>
      </c>
      <c r="L199" s="740"/>
      <c r="M199" s="739"/>
      <c r="N199" s="168">
        <f>IF(M199&lt;&gt;"",M199,IF(ISERROR(Personalplanung!AC95/Monatsplanung!$E95*Monatsplanung!$H95),0,Personalplanung!AC95/Monatsplanung!$E95*Monatsplanung!$H95))</f>
        <v>0</v>
      </c>
      <c r="O199" s="740"/>
      <c r="P199" s="739"/>
      <c r="Q199" s="168">
        <f>IF(P199&lt;&gt;"",P199,IF(ISERROR(Personalplanung!AD95/Monatsplanung!$E95*Monatsplanung!$H95),0,Personalplanung!AD95/Monatsplanung!$E95*Monatsplanung!$H95))</f>
        <v>0</v>
      </c>
      <c r="R199" s="740"/>
      <c r="S199" s="739"/>
      <c r="T199" s="168">
        <f>IF(S199&lt;&gt;"",S199,IF(ISERROR(Personalplanung!AE95/Monatsplanung!$E95*Monatsplanung!$H95),0,Personalplanung!AE95/Monatsplanung!$E95*Monatsplanung!$H95))</f>
        <v>0</v>
      </c>
      <c r="U199" s="740"/>
      <c r="V199" s="168">
        <f t="shared" si="45"/>
        <v>0</v>
      </c>
      <c r="W199" s="168">
        <f>IF(ISERROR(Personalplanung!P95/Monatsplanung!$E95*Monatsplanung!$H95),0,Personalplanung!P95/Monatsplanung!$E95*Monatsplanung!$H95)</f>
        <v>0</v>
      </c>
      <c r="X199" s="168">
        <f>IF(ISERROR(Personalplanung!Q95/Monatsplanung!$E95*Monatsplanung!$H95),0,Personalplanung!Q95/Monatsplanung!$E95*Monatsplanung!$H95)</f>
        <v>0</v>
      </c>
      <c r="Y199" s="168">
        <f>IF(ISERROR(Personalplanung!R95/T1343*Stundencontrolling!T199),0,Personalplanung!R95/T1343*Stundencontrolling!T199)</f>
        <v>0</v>
      </c>
      <c r="Z199" s="168">
        <f>IF(ISERROR(Personalplanung!S95/Monatsplanung!$E95*Monatsplanung!$H95),0,Personalplanung!S95/Monatsplanung!$E95*Monatsplanung!$H95)</f>
        <v>0</v>
      </c>
      <c r="AA199" s="80" t="e">
        <f t="shared" si="46"/>
        <v>#DIV/0!</v>
      </c>
      <c r="AB199" s="102">
        <f t="shared" si="47"/>
        <v>0</v>
      </c>
      <c r="AC199" s="103" t="e">
        <f t="shared" si="48"/>
        <v>#DIV/0!</v>
      </c>
      <c r="AD199" s="103" t="e">
        <f t="shared" si="49"/>
        <v>#DIV/0!</v>
      </c>
      <c r="AE199" s="81">
        <f t="shared" si="50"/>
        <v>0</v>
      </c>
      <c r="AF199" s="539"/>
      <c r="AG199" s="104">
        <f t="shared" si="51"/>
        <v>0</v>
      </c>
      <c r="AH199" s="7">
        <f t="shared" si="52"/>
        <v>0</v>
      </c>
      <c r="AI199" s="6">
        <f t="shared" si="53"/>
        <v>0</v>
      </c>
      <c r="AJ199" s="73">
        <f t="shared" si="54"/>
        <v>0</v>
      </c>
      <c r="AK199" s="539"/>
      <c r="AL199" s="748"/>
      <c r="AM199" s="748"/>
    </row>
    <row r="200" spans="2:39" x14ac:dyDescent="0.2">
      <c r="B200" s="101" t="str">
        <f t="shared" si="39"/>
        <v/>
      </c>
      <c r="C200" s="168">
        <f>IF(ISERROR(Personalplanung!F96/Monatsplanung!$E96*Monatsplanung!$H96),0,Personalplanung!F96/Monatsplanung!$E96*Monatsplanung!$H96)</f>
        <v>0</v>
      </c>
      <c r="D200" s="168">
        <f t="shared" si="40"/>
        <v>0</v>
      </c>
      <c r="E200" s="168">
        <f>IF(ISERROR(Personalplanung!H96/Monatsplanung!$E96*Monatsplanung!$H96),0,Personalplanung!H96/Monatsplanung!$E96*Monatsplanung!$H96)</f>
        <v>0</v>
      </c>
      <c r="F200" s="168">
        <f t="shared" si="41"/>
        <v>0</v>
      </c>
      <c r="G200" s="168" t="e">
        <f t="shared" si="42"/>
        <v>#DIV/0!</v>
      </c>
      <c r="H200" s="168" t="e">
        <f t="shared" si="43"/>
        <v>#DIV/0!</v>
      </c>
      <c r="I200" s="168">
        <f t="shared" si="44"/>
        <v>0</v>
      </c>
      <c r="J200" s="739"/>
      <c r="K200" s="168">
        <f>IF(J200&lt;&gt;"",J200,IF(ISERROR(Personalplanung!AB96/Monatsplanung!$E96*Monatsplanung!$H96),0,Personalplanung!AB96/Monatsplanung!$E96*Monatsplanung!$H96))</f>
        <v>0</v>
      </c>
      <c r="L200" s="740"/>
      <c r="M200" s="739"/>
      <c r="N200" s="168">
        <f>IF(M200&lt;&gt;"",M200,IF(ISERROR(Personalplanung!AC96/Monatsplanung!$E96*Monatsplanung!$H96),0,Personalplanung!AC96/Monatsplanung!$E96*Monatsplanung!$H96))</f>
        <v>0</v>
      </c>
      <c r="O200" s="740"/>
      <c r="P200" s="739"/>
      <c r="Q200" s="168">
        <f>IF(P200&lt;&gt;"",P200,IF(ISERROR(Personalplanung!AD96/Monatsplanung!$E96*Monatsplanung!$H96),0,Personalplanung!AD96/Monatsplanung!$E96*Monatsplanung!$H96))</f>
        <v>0</v>
      </c>
      <c r="R200" s="740"/>
      <c r="S200" s="739"/>
      <c r="T200" s="168">
        <f>IF(S200&lt;&gt;"",S200,IF(ISERROR(Personalplanung!AE96/Monatsplanung!$E96*Monatsplanung!$H96),0,Personalplanung!AE96/Monatsplanung!$E96*Monatsplanung!$H96))</f>
        <v>0</v>
      </c>
      <c r="U200" s="740"/>
      <c r="V200" s="168">
        <f t="shared" si="45"/>
        <v>0</v>
      </c>
      <c r="W200" s="168">
        <f>IF(ISERROR(Personalplanung!P96/Monatsplanung!$E96*Monatsplanung!$H96),0,Personalplanung!P96/Monatsplanung!$E96*Monatsplanung!$H96)</f>
        <v>0</v>
      </c>
      <c r="X200" s="168">
        <f>IF(ISERROR(Personalplanung!Q96/Monatsplanung!$E96*Monatsplanung!$H96),0,Personalplanung!Q96/Monatsplanung!$E96*Monatsplanung!$H96)</f>
        <v>0</v>
      </c>
      <c r="Y200" s="168">
        <f>IF(ISERROR(Personalplanung!R96/T1344*Stundencontrolling!T200),0,Personalplanung!R96/T1344*Stundencontrolling!T200)</f>
        <v>0</v>
      </c>
      <c r="Z200" s="168">
        <f>IF(ISERROR(Personalplanung!S96/Monatsplanung!$E96*Monatsplanung!$H96),0,Personalplanung!S96/Monatsplanung!$E96*Monatsplanung!$H96)</f>
        <v>0</v>
      </c>
      <c r="AA200" s="80" t="e">
        <f t="shared" si="46"/>
        <v>#DIV/0!</v>
      </c>
      <c r="AB200" s="102">
        <f t="shared" si="47"/>
        <v>0</v>
      </c>
      <c r="AC200" s="103" t="e">
        <f t="shared" si="48"/>
        <v>#DIV/0!</v>
      </c>
      <c r="AD200" s="103" t="e">
        <f t="shared" si="49"/>
        <v>#DIV/0!</v>
      </c>
      <c r="AE200" s="81">
        <f t="shared" si="50"/>
        <v>0</v>
      </c>
      <c r="AF200" s="539"/>
      <c r="AG200" s="104">
        <f t="shared" si="51"/>
        <v>0</v>
      </c>
      <c r="AH200" s="7">
        <f t="shared" si="52"/>
        <v>0</v>
      </c>
      <c r="AI200" s="6">
        <f t="shared" si="53"/>
        <v>0</v>
      </c>
      <c r="AJ200" s="73">
        <f t="shared" si="54"/>
        <v>0</v>
      </c>
      <c r="AK200" s="539"/>
      <c r="AL200" s="748"/>
      <c r="AM200" s="748"/>
    </row>
    <row r="201" spans="2:39" x14ac:dyDescent="0.2">
      <c r="B201" s="101" t="str">
        <f t="shared" si="39"/>
        <v/>
      </c>
      <c r="C201" s="168">
        <f>IF(ISERROR(Personalplanung!F97/Monatsplanung!$E97*Monatsplanung!$H97),0,Personalplanung!F97/Monatsplanung!$E97*Monatsplanung!$H97)</f>
        <v>0</v>
      </c>
      <c r="D201" s="168">
        <f t="shared" si="40"/>
        <v>0</v>
      </c>
      <c r="E201" s="168">
        <f>IF(ISERROR(Personalplanung!H97/Monatsplanung!$E97*Monatsplanung!$H97),0,Personalplanung!H97/Monatsplanung!$E97*Monatsplanung!$H97)</f>
        <v>0</v>
      </c>
      <c r="F201" s="168">
        <f t="shared" si="41"/>
        <v>0</v>
      </c>
      <c r="G201" s="168" t="e">
        <f t="shared" si="42"/>
        <v>#DIV/0!</v>
      </c>
      <c r="H201" s="168" t="e">
        <f t="shared" si="43"/>
        <v>#DIV/0!</v>
      </c>
      <c r="I201" s="168">
        <f t="shared" si="44"/>
        <v>0</v>
      </c>
      <c r="J201" s="739"/>
      <c r="K201" s="168">
        <f>IF(J201&lt;&gt;"",J201,IF(ISERROR(Personalplanung!AB97/Monatsplanung!$E97*Monatsplanung!$H97),0,Personalplanung!AB97/Monatsplanung!$E97*Monatsplanung!$H97))</f>
        <v>0</v>
      </c>
      <c r="L201" s="740"/>
      <c r="M201" s="739"/>
      <c r="N201" s="168">
        <f>IF(M201&lt;&gt;"",M201,IF(ISERROR(Personalplanung!AC97/Monatsplanung!$E97*Monatsplanung!$H97),0,Personalplanung!AC97/Monatsplanung!$E97*Monatsplanung!$H97))</f>
        <v>0</v>
      </c>
      <c r="O201" s="740"/>
      <c r="P201" s="739"/>
      <c r="Q201" s="168">
        <f>IF(P201&lt;&gt;"",P201,IF(ISERROR(Personalplanung!AD97/Monatsplanung!$E97*Monatsplanung!$H97),0,Personalplanung!AD97/Monatsplanung!$E97*Monatsplanung!$H97))</f>
        <v>0</v>
      </c>
      <c r="R201" s="740"/>
      <c r="S201" s="739"/>
      <c r="T201" s="168">
        <f>IF(S201&lt;&gt;"",S201,IF(ISERROR(Personalplanung!AE97/Monatsplanung!$E97*Monatsplanung!$H97),0,Personalplanung!AE97/Monatsplanung!$E97*Monatsplanung!$H97))</f>
        <v>0</v>
      </c>
      <c r="U201" s="740"/>
      <c r="V201" s="168">
        <f t="shared" si="45"/>
        <v>0</v>
      </c>
      <c r="W201" s="168">
        <f>IF(ISERROR(Personalplanung!P97/Monatsplanung!$E97*Monatsplanung!$H97),0,Personalplanung!P97/Monatsplanung!$E97*Monatsplanung!$H97)</f>
        <v>0</v>
      </c>
      <c r="X201" s="168">
        <f>IF(ISERROR(Personalplanung!Q97/Monatsplanung!$E97*Monatsplanung!$H97),0,Personalplanung!Q97/Monatsplanung!$E97*Monatsplanung!$H97)</f>
        <v>0</v>
      </c>
      <c r="Y201" s="168">
        <f>IF(ISERROR(Personalplanung!R97/T1345*Stundencontrolling!T201),0,Personalplanung!R97/T1345*Stundencontrolling!T201)</f>
        <v>0</v>
      </c>
      <c r="Z201" s="168">
        <f>IF(ISERROR(Personalplanung!S97/Monatsplanung!$E97*Monatsplanung!$H97),0,Personalplanung!S97/Monatsplanung!$E97*Monatsplanung!$H97)</f>
        <v>0</v>
      </c>
      <c r="AA201" s="80" t="e">
        <f t="shared" si="46"/>
        <v>#DIV/0!</v>
      </c>
      <c r="AB201" s="102">
        <f t="shared" si="47"/>
        <v>0</v>
      </c>
      <c r="AC201" s="103" t="e">
        <f t="shared" si="48"/>
        <v>#DIV/0!</v>
      </c>
      <c r="AD201" s="103" t="e">
        <f t="shared" si="49"/>
        <v>#DIV/0!</v>
      </c>
      <c r="AE201" s="81">
        <f t="shared" si="50"/>
        <v>0</v>
      </c>
      <c r="AF201" s="539"/>
      <c r="AG201" s="104">
        <f t="shared" si="51"/>
        <v>0</v>
      </c>
      <c r="AH201" s="7">
        <f t="shared" si="52"/>
        <v>0</v>
      </c>
      <c r="AI201" s="6">
        <f t="shared" si="53"/>
        <v>0</v>
      </c>
      <c r="AJ201" s="73">
        <f t="shared" si="54"/>
        <v>0</v>
      </c>
      <c r="AK201" s="539"/>
      <c r="AL201" s="748"/>
      <c r="AM201" s="748"/>
    </row>
    <row r="202" spans="2:39" x14ac:dyDescent="0.2">
      <c r="B202" s="101" t="str">
        <f t="shared" si="39"/>
        <v/>
      </c>
      <c r="C202" s="168">
        <f>IF(ISERROR(Personalplanung!F98/Monatsplanung!$E98*Monatsplanung!$H98),0,Personalplanung!F98/Monatsplanung!$E98*Monatsplanung!$H98)</f>
        <v>0</v>
      </c>
      <c r="D202" s="168">
        <f t="shared" si="40"/>
        <v>0</v>
      </c>
      <c r="E202" s="168">
        <f>IF(ISERROR(Personalplanung!H98/Monatsplanung!$E98*Monatsplanung!$H98),0,Personalplanung!H98/Monatsplanung!$E98*Monatsplanung!$H98)</f>
        <v>0</v>
      </c>
      <c r="F202" s="168">
        <f t="shared" si="41"/>
        <v>0</v>
      </c>
      <c r="G202" s="168" t="e">
        <f t="shared" si="42"/>
        <v>#DIV/0!</v>
      </c>
      <c r="H202" s="168" t="e">
        <f t="shared" si="43"/>
        <v>#DIV/0!</v>
      </c>
      <c r="I202" s="168">
        <f t="shared" si="44"/>
        <v>0</v>
      </c>
      <c r="J202" s="739"/>
      <c r="K202" s="168">
        <f>IF(J202&lt;&gt;"",J202,IF(ISERROR(Personalplanung!AB98/Monatsplanung!$E98*Monatsplanung!$H98),0,Personalplanung!AB98/Monatsplanung!$E98*Monatsplanung!$H98))</f>
        <v>0</v>
      </c>
      <c r="L202" s="740"/>
      <c r="M202" s="739"/>
      <c r="N202" s="168">
        <f>IF(M202&lt;&gt;"",M202,IF(ISERROR(Personalplanung!AC98/Monatsplanung!$E98*Monatsplanung!$H98),0,Personalplanung!AC98/Monatsplanung!$E98*Monatsplanung!$H98))</f>
        <v>0</v>
      </c>
      <c r="O202" s="740"/>
      <c r="P202" s="739"/>
      <c r="Q202" s="168">
        <f>IF(P202&lt;&gt;"",P202,IF(ISERROR(Personalplanung!AD98/Monatsplanung!$E98*Monatsplanung!$H98),0,Personalplanung!AD98/Monatsplanung!$E98*Monatsplanung!$H98))</f>
        <v>0</v>
      </c>
      <c r="R202" s="740"/>
      <c r="S202" s="739"/>
      <c r="T202" s="168">
        <f>IF(S202&lt;&gt;"",S202,IF(ISERROR(Personalplanung!AE98/Monatsplanung!$E98*Monatsplanung!$H98),0,Personalplanung!AE98/Monatsplanung!$E98*Monatsplanung!$H98))</f>
        <v>0</v>
      </c>
      <c r="U202" s="740"/>
      <c r="V202" s="168">
        <f t="shared" si="45"/>
        <v>0</v>
      </c>
      <c r="W202" s="168">
        <f>IF(ISERROR(Personalplanung!P98/Monatsplanung!$E98*Monatsplanung!$H98),0,Personalplanung!P98/Monatsplanung!$E98*Monatsplanung!$H98)</f>
        <v>0</v>
      </c>
      <c r="X202" s="168">
        <f>IF(ISERROR(Personalplanung!Q98/Monatsplanung!$E98*Monatsplanung!$H98),0,Personalplanung!Q98/Monatsplanung!$E98*Monatsplanung!$H98)</f>
        <v>0</v>
      </c>
      <c r="Y202" s="168">
        <f>IF(ISERROR(Personalplanung!R98/T1346*Stundencontrolling!T202),0,Personalplanung!R98/T1346*Stundencontrolling!T202)</f>
        <v>0</v>
      </c>
      <c r="Z202" s="168">
        <f>IF(ISERROR(Personalplanung!S98/Monatsplanung!$E98*Monatsplanung!$H98),0,Personalplanung!S98/Monatsplanung!$E98*Monatsplanung!$H98)</f>
        <v>0</v>
      </c>
      <c r="AA202" s="80" t="e">
        <f t="shared" si="46"/>
        <v>#DIV/0!</v>
      </c>
      <c r="AB202" s="102">
        <f t="shared" si="47"/>
        <v>0</v>
      </c>
      <c r="AC202" s="103" t="e">
        <f t="shared" si="48"/>
        <v>#DIV/0!</v>
      </c>
      <c r="AD202" s="103" t="e">
        <f t="shared" si="49"/>
        <v>#DIV/0!</v>
      </c>
      <c r="AE202" s="81">
        <f t="shared" si="50"/>
        <v>0</v>
      </c>
      <c r="AF202" s="539"/>
      <c r="AG202" s="104">
        <f t="shared" si="51"/>
        <v>0</v>
      </c>
      <c r="AH202" s="7">
        <f t="shared" si="52"/>
        <v>0</v>
      </c>
      <c r="AI202" s="6">
        <f t="shared" si="53"/>
        <v>0</v>
      </c>
      <c r="AJ202" s="73">
        <f t="shared" si="54"/>
        <v>0</v>
      </c>
      <c r="AK202" s="539"/>
      <c r="AL202" s="748"/>
      <c r="AM202" s="748"/>
    </row>
    <row r="203" spans="2:39" x14ac:dyDescent="0.2">
      <c r="B203" s="101" t="str">
        <f t="shared" si="39"/>
        <v/>
      </c>
      <c r="C203" s="168">
        <f>IF(ISERROR(Personalplanung!F99/Monatsplanung!$E99*Monatsplanung!$H99),0,Personalplanung!F99/Monatsplanung!$E99*Monatsplanung!$H99)</f>
        <v>0</v>
      </c>
      <c r="D203" s="168">
        <f t="shared" si="40"/>
        <v>0</v>
      </c>
      <c r="E203" s="168">
        <f>IF(ISERROR(Personalplanung!H99/Monatsplanung!$E99*Monatsplanung!$H99),0,Personalplanung!H99/Monatsplanung!$E99*Monatsplanung!$H99)</f>
        <v>0</v>
      </c>
      <c r="F203" s="168">
        <f t="shared" si="41"/>
        <v>0</v>
      </c>
      <c r="G203" s="168" t="e">
        <f t="shared" si="42"/>
        <v>#DIV/0!</v>
      </c>
      <c r="H203" s="168" t="e">
        <f t="shared" si="43"/>
        <v>#DIV/0!</v>
      </c>
      <c r="I203" s="168">
        <f t="shared" si="44"/>
        <v>0</v>
      </c>
      <c r="J203" s="739"/>
      <c r="K203" s="168">
        <f>IF(J203&lt;&gt;"",J203,IF(ISERROR(Personalplanung!AB99/Monatsplanung!$E99*Monatsplanung!$H99),0,Personalplanung!AB99/Monatsplanung!$E99*Monatsplanung!$H99))</f>
        <v>0</v>
      </c>
      <c r="L203" s="740"/>
      <c r="M203" s="739"/>
      <c r="N203" s="168">
        <f>IF(M203&lt;&gt;"",M203,IF(ISERROR(Personalplanung!AC99/Monatsplanung!$E99*Monatsplanung!$H99),0,Personalplanung!AC99/Monatsplanung!$E99*Monatsplanung!$H99))</f>
        <v>0</v>
      </c>
      <c r="O203" s="740"/>
      <c r="P203" s="739"/>
      <c r="Q203" s="168">
        <f>IF(P203&lt;&gt;"",P203,IF(ISERROR(Personalplanung!AD99/Monatsplanung!$E99*Monatsplanung!$H99),0,Personalplanung!AD99/Monatsplanung!$E99*Monatsplanung!$H99))</f>
        <v>0</v>
      </c>
      <c r="R203" s="740"/>
      <c r="S203" s="739"/>
      <c r="T203" s="168">
        <f>IF(S203&lt;&gt;"",S203,IF(ISERROR(Personalplanung!AE99/Monatsplanung!$E99*Monatsplanung!$H99),0,Personalplanung!AE99/Monatsplanung!$E99*Monatsplanung!$H99))</f>
        <v>0</v>
      </c>
      <c r="U203" s="740"/>
      <c r="V203" s="168">
        <f t="shared" si="45"/>
        <v>0</v>
      </c>
      <c r="W203" s="168">
        <f>IF(ISERROR(Personalplanung!P99/Monatsplanung!$E99*Monatsplanung!$H99),0,Personalplanung!P99/Monatsplanung!$E99*Monatsplanung!$H99)</f>
        <v>0</v>
      </c>
      <c r="X203" s="168">
        <f>IF(ISERROR(Personalplanung!Q99/Monatsplanung!$E99*Monatsplanung!$H99),0,Personalplanung!Q99/Monatsplanung!$E99*Monatsplanung!$H99)</f>
        <v>0</v>
      </c>
      <c r="Y203" s="168">
        <f>IF(ISERROR(Personalplanung!R99/T1347*Stundencontrolling!T203),0,Personalplanung!R99/T1347*Stundencontrolling!T203)</f>
        <v>0</v>
      </c>
      <c r="Z203" s="168">
        <f>IF(ISERROR(Personalplanung!S99/Monatsplanung!$E99*Monatsplanung!$H99),0,Personalplanung!S99/Monatsplanung!$E99*Monatsplanung!$H99)</f>
        <v>0</v>
      </c>
      <c r="AA203" s="80" t="e">
        <f t="shared" si="46"/>
        <v>#DIV/0!</v>
      </c>
      <c r="AB203" s="102">
        <f t="shared" si="47"/>
        <v>0</v>
      </c>
      <c r="AC203" s="103" t="e">
        <f t="shared" si="48"/>
        <v>#DIV/0!</v>
      </c>
      <c r="AD203" s="103" t="e">
        <f t="shared" si="49"/>
        <v>#DIV/0!</v>
      </c>
      <c r="AE203" s="81">
        <f t="shared" si="50"/>
        <v>0</v>
      </c>
      <c r="AF203" s="539"/>
      <c r="AG203" s="104">
        <f t="shared" si="51"/>
        <v>0</v>
      </c>
      <c r="AH203" s="7">
        <f t="shared" si="52"/>
        <v>0</v>
      </c>
      <c r="AI203" s="6">
        <f t="shared" si="53"/>
        <v>0</v>
      </c>
      <c r="AJ203" s="73">
        <f t="shared" si="54"/>
        <v>0</v>
      </c>
      <c r="AK203" s="539"/>
      <c r="AL203" s="748"/>
      <c r="AM203" s="748"/>
    </row>
    <row r="204" spans="2:39" x14ac:dyDescent="0.2">
      <c r="B204" s="101" t="str">
        <f t="shared" si="39"/>
        <v/>
      </c>
      <c r="C204" s="168">
        <f>IF(ISERROR(Personalplanung!F100/Monatsplanung!$E100*Monatsplanung!$H100),0,Personalplanung!F100/Monatsplanung!$E100*Monatsplanung!$H100)</f>
        <v>0</v>
      </c>
      <c r="D204" s="168">
        <f t="shared" si="40"/>
        <v>0</v>
      </c>
      <c r="E204" s="168">
        <f>IF(ISERROR(Personalplanung!H100/Monatsplanung!$E100*Monatsplanung!$H100),0,Personalplanung!H100/Monatsplanung!$E100*Monatsplanung!$H100)</f>
        <v>0</v>
      </c>
      <c r="F204" s="168">
        <f t="shared" si="41"/>
        <v>0</v>
      </c>
      <c r="G204" s="168" t="e">
        <f t="shared" si="42"/>
        <v>#DIV/0!</v>
      </c>
      <c r="H204" s="168" t="e">
        <f t="shared" si="43"/>
        <v>#DIV/0!</v>
      </c>
      <c r="I204" s="168">
        <f t="shared" si="44"/>
        <v>0</v>
      </c>
      <c r="J204" s="739"/>
      <c r="K204" s="168">
        <f>IF(J204&lt;&gt;"",J204,IF(ISERROR(Personalplanung!AB100/Monatsplanung!$E100*Monatsplanung!$H100),0,Personalplanung!AB100/Monatsplanung!$E100*Monatsplanung!$H100))</f>
        <v>0</v>
      </c>
      <c r="L204" s="740"/>
      <c r="M204" s="739"/>
      <c r="N204" s="168">
        <f>IF(M204&lt;&gt;"",M204,IF(ISERROR(Personalplanung!AC100/Monatsplanung!$E100*Monatsplanung!$H100),0,Personalplanung!AC100/Monatsplanung!$E100*Monatsplanung!$H100))</f>
        <v>0</v>
      </c>
      <c r="O204" s="740"/>
      <c r="P204" s="739"/>
      <c r="Q204" s="168">
        <f>IF(P204&lt;&gt;"",P204,IF(ISERROR(Personalplanung!AD100/Monatsplanung!$E100*Monatsplanung!$H100),0,Personalplanung!AD100/Monatsplanung!$E100*Monatsplanung!$H100))</f>
        <v>0</v>
      </c>
      <c r="R204" s="740"/>
      <c r="S204" s="739"/>
      <c r="T204" s="168">
        <f>IF(S204&lt;&gt;"",S204,IF(ISERROR(Personalplanung!AE100/Monatsplanung!$E100*Monatsplanung!$H100),0,Personalplanung!AE100/Monatsplanung!$E100*Monatsplanung!$H100))</f>
        <v>0</v>
      </c>
      <c r="U204" s="740"/>
      <c r="V204" s="168">
        <f t="shared" si="45"/>
        <v>0</v>
      </c>
      <c r="W204" s="168">
        <f>IF(ISERROR(Personalplanung!P100/Monatsplanung!$E100*Monatsplanung!$H100),0,Personalplanung!P100/Monatsplanung!$E100*Monatsplanung!$H100)</f>
        <v>0</v>
      </c>
      <c r="X204" s="168">
        <f>IF(ISERROR(Personalplanung!Q100/Monatsplanung!$E100*Monatsplanung!$H100),0,Personalplanung!Q100/Monatsplanung!$E100*Monatsplanung!$H100)</f>
        <v>0</v>
      </c>
      <c r="Y204" s="168">
        <f>IF(ISERROR(Personalplanung!R100/T1348*Stundencontrolling!T204),0,Personalplanung!R100/T1348*Stundencontrolling!T204)</f>
        <v>0</v>
      </c>
      <c r="Z204" s="168">
        <f>IF(ISERROR(Personalplanung!S100/Monatsplanung!$E100*Monatsplanung!$H100),0,Personalplanung!S100/Monatsplanung!$E100*Monatsplanung!$H100)</f>
        <v>0</v>
      </c>
      <c r="AA204" s="80" t="e">
        <f t="shared" si="46"/>
        <v>#DIV/0!</v>
      </c>
      <c r="AB204" s="102">
        <f t="shared" si="47"/>
        <v>0</v>
      </c>
      <c r="AC204" s="103" t="e">
        <f t="shared" si="48"/>
        <v>#DIV/0!</v>
      </c>
      <c r="AD204" s="103" t="e">
        <f t="shared" si="49"/>
        <v>#DIV/0!</v>
      </c>
      <c r="AE204" s="81">
        <f t="shared" si="50"/>
        <v>0</v>
      </c>
      <c r="AF204" s="539"/>
      <c r="AG204" s="104">
        <f t="shared" si="51"/>
        <v>0</v>
      </c>
      <c r="AH204" s="7">
        <f t="shared" si="52"/>
        <v>0</v>
      </c>
      <c r="AI204" s="6">
        <f t="shared" si="53"/>
        <v>0</v>
      </c>
      <c r="AJ204" s="73">
        <f t="shared" si="54"/>
        <v>0</v>
      </c>
      <c r="AK204" s="539"/>
      <c r="AL204" s="748"/>
      <c r="AM204" s="748"/>
    </row>
    <row r="205" spans="2:39" x14ac:dyDescent="0.2">
      <c r="B205" s="101" t="str">
        <f t="shared" si="39"/>
        <v/>
      </c>
      <c r="C205" s="168">
        <f>IF(ISERROR(Personalplanung!F101/Monatsplanung!$E101*Monatsplanung!$H101),0,Personalplanung!F101/Monatsplanung!$E101*Monatsplanung!$H101)</f>
        <v>0</v>
      </c>
      <c r="D205" s="168">
        <f t="shared" si="40"/>
        <v>0</v>
      </c>
      <c r="E205" s="168">
        <f>IF(ISERROR(Personalplanung!H101/Monatsplanung!$E101*Monatsplanung!$H101),0,Personalplanung!H101/Monatsplanung!$E101*Monatsplanung!$H101)</f>
        <v>0</v>
      </c>
      <c r="F205" s="168">
        <f t="shared" si="41"/>
        <v>0</v>
      </c>
      <c r="G205" s="168" t="e">
        <f t="shared" si="42"/>
        <v>#DIV/0!</v>
      </c>
      <c r="H205" s="168" t="e">
        <f t="shared" si="43"/>
        <v>#DIV/0!</v>
      </c>
      <c r="I205" s="168">
        <f t="shared" si="44"/>
        <v>0</v>
      </c>
      <c r="J205" s="739"/>
      <c r="K205" s="168">
        <f>IF(J205&lt;&gt;"",J205,IF(ISERROR(Personalplanung!AB101/Monatsplanung!$E101*Monatsplanung!$H101),0,Personalplanung!AB101/Monatsplanung!$E101*Monatsplanung!$H101))</f>
        <v>0</v>
      </c>
      <c r="L205" s="740"/>
      <c r="M205" s="739"/>
      <c r="N205" s="168">
        <f>IF(M205&lt;&gt;"",M205,IF(ISERROR(Personalplanung!AC101/Monatsplanung!$E101*Monatsplanung!$H101),0,Personalplanung!AC101/Monatsplanung!$E101*Monatsplanung!$H101))</f>
        <v>0</v>
      </c>
      <c r="O205" s="740"/>
      <c r="P205" s="739"/>
      <c r="Q205" s="168">
        <f>IF(P205&lt;&gt;"",P205,IF(ISERROR(Personalplanung!AD101/Monatsplanung!$E101*Monatsplanung!$H101),0,Personalplanung!AD101/Monatsplanung!$E101*Monatsplanung!$H101))</f>
        <v>0</v>
      </c>
      <c r="R205" s="740"/>
      <c r="S205" s="739"/>
      <c r="T205" s="168">
        <f>IF(S205&lt;&gt;"",S205,IF(ISERROR(Personalplanung!AE101/Monatsplanung!$E101*Monatsplanung!$H101),0,Personalplanung!AE101/Monatsplanung!$E101*Monatsplanung!$H101))</f>
        <v>0</v>
      </c>
      <c r="U205" s="740"/>
      <c r="V205" s="168">
        <f t="shared" si="45"/>
        <v>0</v>
      </c>
      <c r="W205" s="168">
        <f>IF(ISERROR(Personalplanung!P101/Monatsplanung!$E101*Monatsplanung!$H101),0,Personalplanung!P101/Monatsplanung!$E101*Monatsplanung!$H101)</f>
        <v>0</v>
      </c>
      <c r="X205" s="168">
        <f>IF(ISERROR(Personalplanung!Q101/Monatsplanung!$E101*Monatsplanung!$H101),0,Personalplanung!Q101/Monatsplanung!$E101*Monatsplanung!$H101)</f>
        <v>0</v>
      </c>
      <c r="Y205" s="168">
        <f>IF(ISERROR(Personalplanung!R101/T1349*Stundencontrolling!T205),0,Personalplanung!R101/T1349*Stundencontrolling!T205)</f>
        <v>0</v>
      </c>
      <c r="Z205" s="168">
        <f>IF(ISERROR(Personalplanung!S101/Monatsplanung!$E101*Monatsplanung!$H101),0,Personalplanung!S101/Monatsplanung!$E101*Monatsplanung!$H101)</f>
        <v>0</v>
      </c>
      <c r="AA205" s="80" t="e">
        <f t="shared" si="46"/>
        <v>#DIV/0!</v>
      </c>
      <c r="AB205" s="102">
        <f t="shared" si="47"/>
        <v>0</v>
      </c>
      <c r="AC205" s="103" t="e">
        <f t="shared" si="48"/>
        <v>#DIV/0!</v>
      </c>
      <c r="AD205" s="103" t="e">
        <f t="shared" si="49"/>
        <v>#DIV/0!</v>
      </c>
      <c r="AE205" s="81">
        <f t="shared" si="50"/>
        <v>0</v>
      </c>
      <c r="AF205" s="539"/>
      <c r="AG205" s="104">
        <f t="shared" si="51"/>
        <v>0</v>
      </c>
      <c r="AH205" s="7">
        <f t="shared" si="52"/>
        <v>0</v>
      </c>
      <c r="AI205" s="6">
        <f t="shared" si="53"/>
        <v>0</v>
      </c>
      <c r="AJ205" s="73">
        <f t="shared" si="54"/>
        <v>0</v>
      </c>
      <c r="AK205" s="539"/>
      <c r="AL205" s="748"/>
      <c r="AM205" s="748"/>
    </row>
    <row r="206" spans="2:39" x14ac:dyDescent="0.2">
      <c r="B206" s="101" t="str">
        <f t="shared" si="39"/>
        <v/>
      </c>
      <c r="C206" s="168">
        <f>IF(ISERROR(Personalplanung!F102/Monatsplanung!$E102*Monatsplanung!$H102),0,Personalplanung!F102/Monatsplanung!$E102*Monatsplanung!$H102)</f>
        <v>0</v>
      </c>
      <c r="D206" s="168">
        <f t="shared" si="40"/>
        <v>0</v>
      </c>
      <c r="E206" s="168">
        <f>IF(ISERROR(Personalplanung!H102/Monatsplanung!$E102*Monatsplanung!$H102),0,Personalplanung!H102/Monatsplanung!$E102*Monatsplanung!$H102)</f>
        <v>0</v>
      </c>
      <c r="F206" s="168">
        <f t="shared" si="41"/>
        <v>0</v>
      </c>
      <c r="G206" s="168" t="e">
        <f t="shared" si="42"/>
        <v>#DIV/0!</v>
      </c>
      <c r="H206" s="168" t="e">
        <f t="shared" si="43"/>
        <v>#DIV/0!</v>
      </c>
      <c r="I206" s="168">
        <f t="shared" si="44"/>
        <v>0</v>
      </c>
      <c r="J206" s="739"/>
      <c r="K206" s="168">
        <f>IF(J206&lt;&gt;"",J206,IF(ISERROR(Personalplanung!AB102/Monatsplanung!$E102*Monatsplanung!$H102),0,Personalplanung!AB102/Monatsplanung!$E102*Monatsplanung!$H102))</f>
        <v>0</v>
      </c>
      <c r="L206" s="740"/>
      <c r="M206" s="739"/>
      <c r="N206" s="168">
        <f>IF(M206&lt;&gt;"",M206,IF(ISERROR(Personalplanung!AC102/Monatsplanung!$E102*Monatsplanung!$H102),0,Personalplanung!AC102/Monatsplanung!$E102*Monatsplanung!$H102))</f>
        <v>0</v>
      </c>
      <c r="O206" s="740"/>
      <c r="P206" s="739"/>
      <c r="Q206" s="168">
        <f>IF(P206&lt;&gt;"",P206,IF(ISERROR(Personalplanung!AD102/Monatsplanung!$E102*Monatsplanung!$H102),0,Personalplanung!AD102/Monatsplanung!$E102*Monatsplanung!$H102))</f>
        <v>0</v>
      </c>
      <c r="R206" s="740"/>
      <c r="S206" s="739"/>
      <c r="T206" s="168">
        <f>IF(S206&lt;&gt;"",S206,IF(ISERROR(Personalplanung!AE102/Monatsplanung!$E102*Monatsplanung!$H102),0,Personalplanung!AE102/Monatsplanung!$E102*Monatsplanung!$H102))</f>
        <v>0</v>
      </c>
      <c r="U206" s="740"/>
      <c r="V206" s="168">
        <f t="shared" si="45"/>
        <v>0</v>
      </c>
      <c r="W206" s="168">
        <f>IF(ISERROR(Personalplanung!P102/Monatsplanung!$E102*Monatsplanung!$H102),0,Personalplanung!P102/Monatsplanung!$E102*Monatsplanung!$H102)</f>
        <v>0</v>
      </c>
      <c r="X206" s="168">
        <f>IF(ISERROR(Personalplanung!Q102/Monatsplanung!$E102*Monatsplanung!$H102),0,Personalplanung!Q102/Monatsplanung!$E102*Monatsplanung!$H102)</f>
        <v>0</v>
      </c>
      <c r="Y206" s="168">
        <f>IF(ISERROR(Personalplanung!R102/T1350*Stundencontrolling!T206),0,Personalplanung!R102/T1350*Stundencontrolling!T206)</f>
        <v>0</v>
      </c>
      <c r="Z206" s="168">
        <f>IF(ISERROR(Personalplanung!S102/Monatsplanung!$E102*Monatsplanung!$H102),0,Personalplanung!S102/Monatsplanung!$E102*Monatsplanung!$H102)</f>
        <v>0</v>
      </c>
      <c r="AA206" s="80" t="e">
        <f t="shared" si="46"/>
        <v>#DIV/0!</v>
      </c>
      <c r="AB206" s="102">
        <f t="shared" si="47"/>
        <v>0</v>
      </c>
      <c r="AC206" s="103" t="e">
        <f t="shared" si="48"/>
        <v>#DIV/0!</v>
      </c>
      <c r="AD206" s="103" t="e">
        <f t="shared" si="49"/>
        <v>#DIV/0!</v>
      </c>
      <c r="AE206" s="81">
        <f t="shared" si="50"/>
        <v>0</v>
      </c>
      <c r="AF206" s="539"/>
      <c r="AG206" s="104">
        <f t="shared" si="51"/>
        <v>0</v>
      </c>
      <c r="AH206" s="7">
        <f t="shared" si="52"/>
        <v>0</v>
      </c>
      <c r="AI206" s="6">
        <f t="shared" si="53"/>
        <v>0</v>
      </c>
      <c r="AJ206" s="73">
        <f t="shared" si="54"/>
        <v>0</v>
      </c>
      <c r="AK206" s="539"/>
      <c r="AL206" s="748"/>
      <c r="AM206" s="748"/>
    </row>
    <row r="207" spans="2:39" x14ac:dyDescent="0.2">
      <c r="B207" s="101" t="str">
        <f t="shared" si="39"/>
        <v/>
      </c>
      <c r="C207" s="168">
        <f>IF(ISERROR(Personalplanung!F103/Monatsplanung!$E103*Monatsplanung!$H103),0,Personalplanung!F103/Monatsplanung!$E103*Monatsplanung!$H103)</f>
        <v>0</v>
      </c>
      <c r="D207" s="168">
        <f t="shared" si="40"/>
        <v>0</v>
      </c>
      <c r="E207" s="168">
        <f>IF(ISERROR(Personalplanung!H103/Monatsplanung!$E103*Monatsplanung!$H103),0,Personalplanung!H103/Monatsplanung!$E103*Monatsplanung!$H103)</f>
        <v>0</v>
      </c>
      <c r="F207" s="168">
        <f t="shared" si="41"/>
        <v>0</v>
      </c>
      <c r="G207" s="168" t="e">
        <f t="shared" si="42"/>
        <v>#DIV/0!</v>
      </c>
      <c r="H207" s="168" t="e">
        <f t="shared" si="43"/>
        <v>#DIV/0!</v>
      </c>
      <c r="I207" s="168">
        <f t="shared" si="44"/>
        <v>0</v>
      </c>
      <c r="J207" s="739"/>
      <c r="K207" s="168">
        <f>IF(J207&lt;&gt;"",J207,IF(ISERROR(Personalplanung!AB103/Monatsplanung!$E103*Monatsplanung!$H103),0,Personalplanung!AB103/Monatsplanung!$E103*Monatsplanung!$H103))</f>
        <v>0</v>
      </c>
      <c r="L207" s="740"/>
      <c r="M207" s="739"/>
      <c r="N207" s="168">
        <f>IF(M207&lt;&gt;"",M207,IF(ISERROR(Personalplanung!AC103/Monatsplanung!$E103*Monatsplanung!$H103),0,Personalplanung!AC103/Monatsplanung!$E103*Monatsplanung!$H103))</f>
        <v>0</v>
      </c>
      <c r="O207" s="740"/>
      <c r="P207" s="739"/>
      <c r="Q207" s="168">
        <f>IF(P207&lt;&gt;"",P207,IF(ISERROR(Personalplanung!AD103/Monatsplanung!$E103*Monatsplanung!$H103),0,Personalplanung!AD103/Monatsplanung!$E103*Monatsplanung!$H103))</f>
        <v>0</v>
      </c>
      <c r="R207" s="740"/>
      <c r="S207" s="739"/>
      <c r="T207" s="168">
        <f>IF(S207&lt;&gt;"",S207,IF(ISERROR(Personalplanung!AE103/Monatsplanung!$E103*Monatsplanung!$H103),0,Personalplanung!AE103/Monatsplanung!$E103*Monatsplanung!$H103))</f>
        <v>0</v>
      </c>
      <c r="U207" s="740"/>
      <c r="V207" s="168">
        <f t="shared" si="45"/>
        <v>0</v>
      </c>
      <c r="W207" s="168">
        <f>IF(ISERROR(Personalplanung!P103/Monatsplanung!$E103*Monatsplanung!$H103),0,Personalplanung!P103/Monatsplanung!$E103*Monatsplanung!$H103)</f>
        <v>0</v>
      </c>
      <c r="X207" s="168">
        <f>IF(ISERROR(Personalplanung!Q103/Monatsplanung!$E103*Monatsplanung!$H103),0,Personalplanung!Q103/Monatsplanung!$E103*Monatsplanung!$H103)</f>
        <v>0</v>
      </c>
      <c r="Y207" s="168">
        <f>IF(ISERROR(Personalplanung!R103/T1351*Stundencontrolling!T207),0,Personalplanung!R103/T1351*Stundencontrolling!T207)</f>
        <v>0</v>
      </c>
      <c r="Z207" s="168">
        <f>IF(ISERROR(Personalplanung!S103/Monatsplanung!$E103*Monatsplanung!$H103),0,Personalplanung!S103/Monatsplanung!$E103*Monatsplanung!$H103)</f>
        <v>0</v>
      </c>
      <c r="AA207" s="80" t="e">
        <f t="shared" si="46"/>
        <v>#DIV/0!</v>
      </c>
      <c r="AB207" s="102">
        <f t="shared" si="47"/>
        <v>0</v>
      </c>
      <c r="AC207" s="103" t="e">
        <f t="shared" si="48"/>
        <v>#DIV/0!</v>
      </c>
      <c r="AD207" s="103" t="e">
        <f t="shared" si="49"/>
        <v>#DIV/0!</v>
      </c>
      <c r="AE207" s="81">
        <f t="shared" si="50"/>
        <v>0</v>
      </c>
      <c r="AF207" s="539"/>
      <c r="AG207" s="104">
        <f t="shared" si="51"/>
        <v>0</v>
      </c>
      <c r="AH207" s="7">
        <f t="shared" si="52"/>
        <v>0</v>
      </c>
      <c r="AI207" s="6">
        <f t="shared" si="53"/>
        <v>0</v>
      </c>
      <c r="AJ207" s="73">
        <f t="shared" si="54"/>
        <v>0</v>
      </c>
      <c r="AK207" s="539"/>
      <c r="AL207" s="748"/>
      <c r="AM207" s="748"/>
    </row>
    <row r="208" spans="2:39" x14ac:dyDescent="0.2">
      <c r="B208" s="101" t="str">
        <f t="shared" si="39"/>
        <v/>
      </c>
      <c r="C208" s="168">
        <f>IF(ISERROR(Personalplanung!F104/Monatsplanung!$E104*Monatsplanung!$H104),0,Personalplanung!F104/Monatsplanung!$E104*Monatsplanung!$H104)</f>
        <v>0</v>
      </c>
      <c r="D208" s="168">
        <f t="shared" si="40"/>
        <v>0</v>
      </c>
      <c r="E208" s="168">
        <f>IF(ISERROR(Personalplanung!H104/Monatsplanung!$E104*Monatsplanung!$H104),0,Personalplanung!H104/Monatsplanung!$E104*Monatsplanung!$H104)</f>
        <v>0</v>
      </c>
      <c r="F208" s="168">
        <f t="shared" si="41"/>
        <v>0</v>
      </c>
      <c r="G208" s="168" t="e">
        <f t="shared" si="42"/>
        <v>#DIV/0!</v>
      </c>
      <c r="H208" s="168" t="e">
        <f t="shared" si="43"/>
        <v>#DIV/0!</v>
      </c>
      <c r="I208" s="168">
        <f t="shared" si="44"/>
        <v>0</v>
      </c>
      <c r="J208" s="739"/>
      <c r="K208" s="168">
        <f>IF(J208&lt;&gt;"",J208,IF(ISERROR(Personalplanung!AB104/Monatsplanung!$E104*Monatsplanung!$H104),0,Personalplanung!AB104/Monatsplanung!$E104*Monatsplanung!$H104))</f>
        <v>0</v>
      </c>
      <c r="L208" s="740"/>
      <c r="M208" s="739"/>
      <c r="N208" s="168">
        <f>IF(M208&lt;&gt;"",M208,IF(ISERROR(Personalplanung!AC104/Monatsplanung!$E104*Monatsplanung!$H104),0,Personalplanung!AC104/Monatsplanung!$E104*Monatsplanung!$H104))</f>
        <v>0</v>
      </c>
      <c r="O208" s="740"/>
      <c r="P208" s="739"/>
      <c r="Q208" s="168">
        <f>IF(P208&lt;&gt;"",P208,IF(ISERROR(Personalplanung!AD104/Monatsplanung!$E104*Monatsplanung!$H104),0,Personalplanung!AD104/Monatsplanung!$E104*Monatsplanung!$H104))</f>
        <v>0</v>
      </c>
      <c r="R208" s="740"/>
      <c r="S208" s="739"/>
      <c r="T208" s="168">
        <f>IF(S208&lt;&gt;"",S208,IF(ISERROR(Personalplanung!AE104/Monatsplanung!$E104*Monatsplanung!$H104),0,Personalplanung!AE104/Monatsplanung!$E104*Monatsplanung!$H104))</f>
        <v>0</v>
      </c>
      <c r="U208" s="740"/>
      <c r="V208" s="168">
        <f t="shared" si="45"/>
        <v>0</v>
      </c>
      <c r="W208" s="168">
        <f>IF(ISERROR(Personalplanung!P104/Monatsplanung!$E104*Monatsplanung!$H104),0,Personalplanung!P104/Monatsplanung!$E104*Monatsplanung!$H104)</f>
        <v>0</v>
      </c>
      <c r="X208" s="168">
        <f>IF(ISERROR(Personalplanung!Q104/Monatsplanung!$E104*Monatsplanung!$H104),0,Personalplanung!Q104/Monatsplanung!$E104*Monatsplanung!$H104)</f>
        <v>0</v>
      </c>
      <c r="Y208" s="168">
        <f>IF(ISERROR(Personalplanung!R104/T1352*Stundencontrolling!T208),0,Personalplanung!R104/T1352*Stundencontrolling!T208)</f>
        <v>0</v>
      </c>
      <c r="Z208" s="168">
        <f>IF(ISERROR(Personalplanung!S104/Monatsplanung!$E104*Monatsplanung!$H104),0,Personalplanung!S104/Monatsplanung!$E104*Monatsplanung!$H104)</f>
        <v>0</v>
      </c>
      <c r="AA208" s="80" t="e">
        <f t="shared" si="46"/>
        <v>#DIV/0!</v>
      </c>
      <c r="AB208" s="102">
        <f t="shared" si="47"/>
        <v>0</v>
      </c>
      <c r="AC208" s="103" t="e">
        <f t="shared" si="48"/>
        <v>#DIV/0!</v>
      </c>
      <c r="AD208" s="103" t="e">
        <f t="shared" si="49"/>
        <v>#DIV/0!</v>
      </c>
      <c r="AE208" s="81">
        <f t="shared" si="50"/>
        <v>0</v>
      </c>
      <c r="AF208" s="539"/>
      <c r="AG208" s="104">
        <f t="shared" si="51"/>
        <v>0</v>
      </c>
      <c r="AH208" s="7">
        <f t="shared" si="52"/>
        <v>0</v>
      </c>
      <c r="AI208" s="6">
        <f t="shared" si="53"/>
        <v>0</v>
      </c>
      <c r="AJ208" s="73">
        <f t="shared" si="54"/>
        <v>0</v>
      </c>
      <c r="AK208" s="539"/>
      <c r="AL208" s="748"/>
      <c r="AM208" s="748"/>
    </row>
    <row r="209" spans="2:39" x14ac:dyDescent="0.2">
      <c r="B209" s="101" t="str">
        <f t="shared" si="39"/>
        <v/>
      </c>
      <c r="C209" s="168">
        <f>IF(ISERROR(Personalplanung!F105/Monatsplanung!$E105*Monatsplanung!$H105),0,Personalplanung!F105/Monatsplanung!$E105*Monatsplanung!$H105)</f>
        <v>0</v>
      </c>
      <c r="D209" s="168">
        <f t="shared" si="40"/>
        <v>0</v>
      </c>
      <c r="E209" s="168">
        <f>IF(ISERROR(Personalplanung!H105/Monatsplanung!$E105*Monatsplanung!$H105),0,Personalplanung!H105/Monatsplanung!$E105*Monatsplanung!$H105)</f>
        <v>0</v>
      </c>
      <c r="F209" s="168">
        <f t="shared" si="41"/>
        <v>0</v>
      </c>
      <c r="G209" s="168" t="e">
        <f t="shared" si="42"/>
        <v>#DIV/0!</v>
      </c>
      <c r="H209" s="168" t="e">
        <f t="shared" si="43"/>
        <v>#DIV/0!</v>
      </c>
      <c r="I209" s="168">
        <f t="shared" si="44"/>
        <v>0</v>
      </c>
      <c r="J209" s="739"/>
      <c r="K209" s="168">
        <f>IF(J209&lt;&gt;"",J209,IF(ISERROR(Personalplanung!AB105/Monatsplanung!$E105*Monatsplanung!$H105),0,Personalplanung!AB105/Monatsplanung!$E105*Monatsplanung!$H105))</f>
        <v>0</v>
      </c>
      <c r="L209" s="740"/>
      <c r="M209" s="739"/>
      <c r="N209" s="168">
        <f>IF(M209&lt;&gt;"",M209,IF(ISERROR(Personalplanung!AC105/Monatsplanung!$E105*Monatsplanung!$H105),0,Personalplanung!AC105/Monatsplanung!$E105*Monatsplanung!$H105))</f>
        <v>0</v>
      </c>
      <c r="O209" s="740"/>
      <c r="P209" s="739"/>
      <c r="Q209" s="168">
        <f>IF(P209&lt;&gt;"",P209,IF(ISERROR(Personalplanung!AD105/Monatsplanung!$E105*Monatsplanung!$H105),0,Personalplanung!AD105/Monatsplanung!$E105*Monatsplanung!$H105))</f>
        <v>0</v>
      </c>
      <c r="R209" s="740"/>
      <c r="S209" s="739"/>
      <c r="T209" s="168">
        <f>IF(S209&lt;&gt;"",S209,IF(ISERROR(Personalplanung!AE105/Monatsplanung!$E105*Monatsplanung!$H105),0,Personalplanung!AE105/Monatsplanung!$E105*Monatsplanung!$H105))</f>
        <v>0</v>
      </c>
      <c r="U209" s="740"/>
      <c r="V209" s="168">
        <f t="shared" si="45"/>
        <v>0</v>
      </c>
      <c r="W209" s="168">
        <f>IF(ISERROR(Personalplanung!P105/Monatsplanung!$E105*Monatsplanung!$H105),0,Personalplanung!P105/Monatsplanung!$E105*Monatsplanung!$H105)</f>
        <v>0</v>
      </c>
      <c r="X209" s="168">
        <f>IF(ISERROR(Personalplanung!Q105/Monatsplanung!$E105*Monatsplanung!$H105),0,Personalplanung!Q105/Monatsplanung!$E105*Monatsplanung!$H105)</f>
        <v>0</v>
      </c>
      <c r="Y209" s="168">
        <f>IF(ISERROR(Personalplanung!R105/T1353*Stundencontrolling!T209),0,Personalplanung!R105/T1353*Stundencontrolling!T209)</f>
        <v>0</v>
      </c>
      <c r="Z209" s="168">
        <f>IF(ISERROR(Personalplanung!S105/Monatsplanung!$E105*Monatsplanung!$H105),0,Personalplanung!S105/Monatsplanung!$E105*Monatsplanung!$H105)</f>
        <v>0</v>
      </c>
      <c r="AA209" s="80" t="e">
        <f t="shared" si="46"/>
        <v>#DIV/0!</v>
      </c>
      <c r="AB209" s="102">
        <f t="shared" si="47"/>
        <v>0</v>
      </c>
      <c r="AC209" s="103" t="e">
        <f t="shared" si="48"/>
        <v>#DIV/0!</v>
      </c>
      <c r="AD209" s="103" t="e">
        <f t="shared" si="49"/>
        <v>#DIV/0!</v>
      </c>
      <c r="AE209" s="81">
        <f t="shared" si="50"/>
        <v>0</v>
      </c>
      <c r="AF209" s="539"/>
      <c r="AG209" s="104">
        <f t="shared" si="51"/>
        <v>0</v>
      </c>
      <c r="AH209" s="7">
        <f t="shared" si="52"/>
        <v>0</v>
      </c>
      <c r="AI209" s="6">
        <f t="shared" si="53"/>
        <v>0</v>
      </c>
      <c r="AJ209" s="73">
        <f t="shared" si="54"/>
        <v>0</v>
      </c>
      <c r="AK209" s="539"/>
      <c r="AL209" s="748"/>
      <c r="AM209" s="748"/>
    </row>
    <row r="210" spans="2:39" x14ac:dyDescent="0.2">
      <c r="B210" s="101" t="str">
        <f t="shared" si="39"/>
        <v/>
      </c>
      <c r="C210" s="168">
        <f>IF(ISERROR(Personalplanung!F106/Monatsplanung!$E106*Monatsplanung!$H106),0,Personalplanung!F106/Monatsplanung!$E106*Monatsplanung!$H106)</f>
        <v>0</v>
      </c>
      <c r="D210" s="168">
        <f t="shared" si="40"/>
        <v>0</v>
      </c>
      <c r="E210" s="168">
        <f>IF(ISERROR(Personalplanung!H106/Monatsplanung!$E106*Monatsplanung!$H106),0,Personalplanung!H106/Monatsplanung!$E106*Monatsplanung!$H106)</f>
        <v>0</v>
      </c>
      <c r="F210" s="168">
        <f t="shared" si="41"/>
        <v>0</v>
      </c>
      <c r="G210" s="168" t="e">
        <f t="shared" si="42"/>
        <v>#DIV/0!</v>
      </c>
      <c r="H210" s="168" t="e">
        <f t="shared" si="43"/>
        <v>#DIV/0!</v>
      </c>
      <c r="I210" s="168">
        <f t="shared" si="44"/>
        <v>0</v>
      </c>
      <c r="J210" s="739"/>
      <c r="K210" s="168">
        <f>IF(J210&lt;&gt;"",J210,IF(ISERROR(Personalplanung!AB106/Monatsplanung!$E106*Monatsplanung!$H106),0,Personalplanung!AB106/Monatsplanung!$E106*Monatsplanung!$H106))</f>
        <v>0</v>
      </c>
      <c r="L210" s="740"/>
      <c r="M210" s="739"/>
      <c r="N210" s="168">
        <f>IF(M210&lt;&gt;"",M210,IF(ISERROR(Personalplanung!AC106/Monatsplanung!$E106*Monatsplanung!$H106),0,Personalplanung!AC106/Monatsplanung!$E106*Monatsplanung!$H106))</f>
        <v>0</v>
      </c>
      <c r="O210" s="740"/>
      <c r="P210" s="739"/>
      <c r="Q210" s="168">
        <f>IF(P210&lt;&gt;"",P210,IF(ISERROR(Personalplanung!AD106/Monatsplanung!$E106*Monatsplanung!$H106),0,Personalplanung!AD106/Monatsplanung!$E106*Monatsplanung!$H106))</f>
        <v>0</v>
      </c>
      <c r="R210" s="740"/>
      <c r="S210" s="739"/>
      <c r="T210" s="168">
        <f>IF(S210&lt;&gt;"",S210,IF(ISERROR(Personalplanung!AE106/Monatsplanung!$E106*Monatsplanung!$H106),0,Personalplanung!AE106/Monatsplanung!$E106*Monatsplanung!$H106))</f>
        <v>0</v>
      </c>
      <c r="U210" s="740"/>
      <c r="V210" s="168">
        <f t="shared" si="45"/>
        <v>0</v>
      </c>
      <c r="W210" s="168">
        <f>IF(ISERROR(Personalplanung!P106/Monatsplanung!$E106*Monatsplanung!$H106),0,Personalplanung!P106/Monatsplanung!$E106*Monatsplanung!$H106)</f>
        <v>0</v>
      </c>
      <c r="X210" s="168">
        <f>IF(ISERROR(Personalplanung!Q106/Monatsplanung!$E106*Monatsplanung!$H106),0,Personalplanung!Q106/Monatsplanung!$E106*Monatsplanung!$H106)</f>
        <v>0</v>
      </c>
      <c r="Y210" s="168">
        <f>IF(ISERROR(Personalplanung!R106/T1354*Stundencontrolling!T210),0,Personalplanung!R106/T1354*Stundencontrolling!T210)</f>
        <v>0</v>
      </c>
      <c r="Z210" s="168">
        <f>IF(ISERROR(Personalplanung!S106/Monatsplanung!$E106*Monatsplanung!$H106),0,Personalplanung!S106/Monatsplanung!$E106*Monatsplanung!$H106)</f>
        <v>0</v>
      </c>
      <c r="AA210" s="80" t="e">
        <f t="shared" si="46"/>
        <v>#DIV/0!</v>
      </c>
      <c r="AB210" s="102">
        <f t="shared" si="47"/>
        <v>0</v>
      </c>
      <c r="AC210" s="103" t="e">
        <f t="shared" si="48"/>
        <v>#DIV/0!</v>
      </c>
      <c r="AD210" s="103" t="e">
        <f t="shared" si="49"/>
        <v>#DIV/0!</v>
      </c>
      <c r="AE210" s="81">
        <f t="shared" si="50"/>
        <v>0</v>
      </c>
      <c r="AF210" s="539"/>
      <c r="AG210" s="104">
        <f t="shared" si="51"/>
        <v>0</v>
      </c>
      <c r="AH210" s="7">
        <f t="shared" si="52"/>
        <v>0</v>
      </c>
      <c r="AI210" s="6">
        <f t="shared" si="53"/>
        <v>0</v>
      </c>
      <c r="AJ210" s="73">
        <f t="shared" si="54"/>
        <v>0</v>
      </c>
      <c r="AK210" s="539"/>
      <c r="AL210" s="748"/>
      <c r="AM210" s="748"/>
    </row>
    <row r="211" spans="2:39" x14ac:dyDescent="0.2">
      <c r="B211" s="500" t="s">
        <v>134</v>
      </c>
      <c r="C211" s="501">
        <f>+SUM(C110:C210)</f>
        <v>2488.1999999999998</v>
      </c>
      <c r="D211" s="501"/>
      <c r="E211" s="501">
        <f>+SUM(E110:E210)</f>
        <v>120.00000000000001</v>
      </c>
      <c r="F211" s="501">
        <f>+SUM(F110:F210)</f>
        <v>2608.1999999999998</v>
      </c>
      <c r="G211" s="501">
        <f>IF(ISERROR(+H211/F211),0,+H211/F211)</f>
        <v>0</v>
      </c>
      <c r="H211" s="501" t="e">
        <f>+SUM(H110:H210)</f>
        <v>#DIV/0!</v>
      </c>
      <c r="I211" s="501"/>
      <c r="J211" s="501"/>
      <c r="K211" s="501">
        <f t="shared" ref="K211:V211" si="55">+SUM(K110:K210)</f>
        <v>10.516666666666666</v>
      </c>
      <c r="L211" s="501"/>
      <c r="M211" s="501"/>
      <c r="N211" s="501">
        <f>+SUM(N110:N210)</f>
        <v>1.25</v>
      </c>
      <c r="O211" s="501"/>
      <c r="P211" s="501"/>
      <c r="Q211" s="501">
        <f>+SUM(Q110:Q210)</f>
        <v>3.2166666666666663</v>
      </c>
      <c r="R211" s="501"/>
      <c r="S211" s="501"/>
      <c r="T211" s="501">
        <f>+SUM(T110:T210)</f>
        <v>34.616666666666667</v>
      </c>
      <c r="U211" s="501"/>
      <c r="V211" s="501">
        <f t="shared" si="55"/>
        <v>49.6</v>
      </c>
      <c r="W211" s="501">
        <f>+SUM(W110:W210)</f>
        <v>0</v>
      </c>
      <c r="X211" s="501">
        <f>+SUM(X110:X210)</f>
        <v>166.66666666666666</v>
      </c>
      <c r="Y211" s="501">
        <f>+SUM(Y110:Y210)</f>
        <v>66.666666666666657</v>
      </c>
      <c r="Z211" s="501">
        <f>+SUM(Z110:Z210)</f>
        <v>50</v>
      </c>
      <c r="AA211" s="503" t="e">
        <f>SUM(AA110:AA210)</f>
        <v>#DIV/0!</v>
      </c>
      <c r="AB211" s="502" t="e">
        <f>+AC211/AA211</f>
        <v>#DIV/0!</v>
      </c>
      <c r="AC211" s="503" t="e">
        <f>SUM(AC110:AC210)</f>
        <v>#DIV/0!</v>
      </c>
      <c r="AD211" s="503" t="e">
        <f>SUM(AD110:AD210)</f>
        <v>#DIV/0!</v>
      </c>
      <c r="AE211" s="504">
        <f>SUM(AE110:AE210)</f>
        <v>1205.3333333333333</v>
      </c>
      <c r="AF211" s="504">
        <f>SUM(AF110:AF210)</f>
        <v>0</v>
      </c>
      <c r="AG211" s="505">
        <f>AI211/AE211</f>
        <v>0.9263274336283186</v>
      </c>
      <c r="AH211" s="505">
        <f t="shared" si="21"/>
        <v>0</v>
      </c>
      <c r="AI211" s="504">
        <f>SUM(AI110:AI210)</f>
        <v>1116.5333333333333</v>
      </c>
      <c r="AJ211" s="506">
        <f t="shared" si="22"/>
        <v>0</v>
      </c>
      <c r="AK211" s="504">
        <f>SUM(AK110:AK210)</f>
        <v>0</v>
      </c>
      <c r="AL211" s="747"/>
      <c r="AM211" s="506">
        <f>$AM$107</f>
        <v>75.851340181839646</v>
      </c>
    </row>
    <row r="212" spans="2:39" x14ac:dyDescent="0.2">
      <c r="B212" s="5"/>
      <c r="C212" s="5"/>
      <c r="D212" s="5"/>
      <c r="E212" s="5"/>
      <c r="F212" s="5"/>
      <c r="G212" s="5"/>
      <c r="H212" s="5"/>
      <c r="I212" s="736"/>
      <c r="J212" s="736"/>
      <c r="K212" s="5"/>
      <c r="L212" s="5"/>
      <c r="M212" s="736"/>
      <c r="N212" s="5"/>
      <c r="O212" s="5"/>
      <c r="P212" s="736"/>
      <c r="Q212" s="5"/>
      <c r="R212" s="5"/>
      <c r="S212" s="736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6"/>
      <c r="AF212" s="6"/>
      <c r="AG212" s="7"/>
      <c r="AH212" s="7"/>
      <c r="AI212" s="6"/>
      <c r="AJ212" s="6"/>
      <c r="AK212" s="6"/>
      <c r="AL212" s="6"/>
      <c r="AM212" s="73"/>
    </row>
    <row r="213" spans="2:39" x14ac:dyDescent="0.2">
      <c r="B213" s="500" t="s">
        <v>43</v>
      </c>
      <c r="C213" s="501"/>
      <c r="D213" s="501"/>
      <c r="E213" s="501"/>
      <c r="F213" s="501"/>
      <c r="G213" s="501"/>
      <c r="H213" s="501"/>
      <c r="I213" s="501"/>
      <c r="J213" s="501"/>
      <c r="K213" s="501"/>
      <c r="L213" s="501"/>
      <c r="M213" s="501"/>
      <c r="N213" s="501"/>
      <c r="O213" s="501"/>
      <c r="P213" s="501"/>
      <c r="Q213" s="501"/>
      <c r="R213" s="501"/>
      <c r="S213" s="501"/>
      <c r="T213" s="501"/>
      <c r="U213" s="501"/>
      <c r="V213" s="501"/>
      <c r="W213" s="501"/>
      <c r="X213" s="501"/>
      <c r="Y213" s="501"/>
      <c r="Z213" s="501"/>
      <c r="AA213" s="503"/>
      <c r="AB213" s="502"/>
      <c r="AC213" s="503"/>
      <c r="AD213" s="503"/>
      <c r="AE213" s="504"/>
      <c r="AF213" s="504"/>
      <c r="AG213" s="505"/>
      <c r="AH213" s="505"/>
      <c r="AI213" s="504"/>
      <c r="AJ213" s="506"/>
      <c r="AK213" s="504"/>
      <c r="AL213" s="504"/>
      <c r="AM213" s="506"/>
    </row>
    <row r="214" spans="2:39" x14ac:dyDescent="0.2">
      <c r="B214" s="101" t="str">
        <f>$B110</f>
        <v>Maxdivers Mustermann</v>
      </c>
      <c r="C214" s="168">
        <f>IF(ISERROR(Personalplanung!F6/Monatsplanung!$E6*Monatsplanung!$I6),0,Personalplanung!F6/Monatsplanung!$E6*Monatsplanung!$I6)</f>
        <v>174</v>
      </c>
      <c r="D214" s="168">
        <f>$D110</f>
        <v>8</v>
      </c>
      <c r="E214" s="168">
        <f>IF(ISERROR(Personalplanung!H6/Monatsplanung!$E6*Monatsplanung!$I6),0,Personalplanung!H6/Monatsplanung!$E6*Monatsplanung!$I6)</f>
        <v>66.666666666666671</v>
      </c>
      <c r="F214" s="168">
        <f>+C214+E214</f>
        <v>240.66666666666669</v>
      </c>
      <c r="G214" s="168">
        <f>$G$6</f>
        <v>27.700831024930746</v>
      </c>
      <c r="H214" s="168">
        <f>+F214*G214</f>
        <v>6666.666666666667</v>
      </c>
      <c r="I214" s="168">
        <f>$I$6</f>
        <v>30</v>
      </c>
      <c r="J214" s="739"/>
      <c r="K214" s="168">
        <f>IF(J214&lt;&gt;"",J214,IF(ISERROR(Personalplanung!AB6/Monatsplanung!$E6*Monatsplanung!$I6),0,Personalplanung!AB6/Monatsplanung!$E6*Monatsplanung!$I6))</f>
        <v>0.66666666666666663</v>
      </c>
      <c r="L214" s="740"/>
      <c r="M214" s="739"/>
      <c r="N214" s="168">
        <f>IF(M214&lt;&gt;"",M214,IF(ISERROR(Personalplanung!AC6/Monatsplanung!$E6*Monatsplanung!$I6),0,Personalplanung!AC6/Monatsplanung!$E6*Monatsplanung!$I6))</f>
        <v>0</v>
      </c>
      <c r="O214" s="740"/>
      <c r="P214" s="739"/>
      <c r="Q214" s="168">
        <f>IF(P214&lt;&gt;"",P214,IF(ISERROR(Personalplanung!AD6/Monatsplanung!$E6*Monatsplanung!$I6),0,Personalplanung!AD6/Monatsplanung!$E6*Monatsplanung!$I6))</f>
        <v>0.16666666666666666</v>
      </c>
      <c r="R214" s="740"/>
      <c r="S214" s="739"/>
      <c r="T214" s="168">
        <f>IF(S214&lt;&gt;"",S214,IF(ISERROR(Personalplanung!AE6/Monatsplanung!$E6*Monatsplanung!$I6),0,Personalplanung!AE6/Monatsplanung!$E6*Monatsplanung!$I6))</f>
        <v>1.25</v>
      </c>
      <c r="U214" s="740"/>
      <c r="V214" s="168">
        <f>K214+N214+Q214+T214</f>
        <v>2.083333333333333</v>
      </c>
      <c r="W214" s="168">
        <f>IF(ISERROR(Personalplanung!P6/Monatsplanung!$E6*Monatsplanung!$I6),0,Personalplanung!P6/Monatsplanung!$E6*Monatsplanung!$I6)</f>
        <v>0</v>
      </c>
      <c r="X214" s="168">
        <f>IF(ISERROR(Personalplanung!Q6/Monatsplanung!$E6*Monatsplanung!$I6),0,Personalplanung!Q6/Monatsplanung!$E6*Monatsplanung!$I6)</f>
        <v>0</v>
      </c>
      <c r="Y214" s="168">
        <f>IF(ISERROR(Personalplanung!R6/T1254*Stundencontrolling!T214),0,Personalplanung!R6/T1254*Stundencontrolling!T214)</f>
        <v>0</v>
      </c>
      <c r="Z214" s="168">
        <f>IF(ISERROR(Personalplanung!S6/Monatsplanung!$E6*Monatsplanung!$I6),0,Personalplanung!S6/Monatsplanung!$E6*Monatsplanung!$I6)</f>
        <v>0</v>
      </c>
      <c r="AA214" s="80">
        <f>+F214*G214*(1+I214)+SUM(W214:Z214)</f>
        <v>206666.66666666669</v>
      </c>
      <c r="AB214" s="102">
        <f>$AB$6</f>
        <v>0.1</v>
      </c>
      <c r="AC214" s="103">
        <f>AB214*AA214</f>
        <v>20666.666666666672</v>
      </c>
      <c r="AD214" s="103">
        <f>AA214-AC214</f>
        <v>186000</v>
      </c>
      <c r="AE214" s="81">
        <f>(F214-(V214*$D214))*AB214</f>
        <v>22.400000000000006</v>
      </c>
      <c r="AF214" s="539"/>
      <c r="AG214" s="104">
        <f>$AG$6</f>
        <v>1</v>
      </c>
      <c r="AH214" s="7">
        <f t="shared" ref="AH214:AH315" si="56">IF(ISERROR(AK214/AF214),0,AK214/AF214)</f>
        <v>0</v>
      </c>
      <c r="AI214" s="6">
        <f>AE214*AG214</f>
        <v>22.400000000000006</v>
      </c>
      <c r="AJ214" s="73">
        <f t="shared" ref="AJ214:AJ315" si="57">IF(ISERROR(+AC214/AI214),0,+AC214/AI214)</f>
        <v>922.61904761904759</v>
      </c>
      <c r="AK214" s="539"/>
      <c r="AL214" s="748"/>
      <c r="AM214" s="748"/>
    </row>
    <row r="215" spans="2:39" x14ac:dyDescent="0.2">
      <c r="B215" s="101" t="str">
        <f t="shared" ref="B215:B278" si="58">$B111</f>
        <v>Egon Kaufmann</v>
      </c>
      <c r="C215" s="168">
        <f>IF(ISERROR(Personalplanung!F7/Monatsplanung!$E7*Monatsplanung!$I7),0,Personalplanung!F7/Monatsplanung!$E7*Monatsplanung!$I7)</f>
        <v>174</v>
      </c>
      <c r="D215" s="168">
        <f t="shared" ref="D215:D278" si="59">$D111</f>
        <v>8</v>
      </c>
      <c r="E215" s="168">
        <f>IF(ISERROR(Personalplanung!H7/Monatsplanung!$E7*Monatsplanung!$I7),0,Personalplanung!H7/Monatsplanung!$E7*Monatsplanung!$I7)</f>
        <v>26.666666666666668</v>
      </c>
      <c r="F215" s="168">
        <f t="shared" ref="F215:F278" si="60">+C215+E215</f>
        <v>200.66666666666666</v>
      </c>
      <c r="G215" s="168">
        <f t="shared" ref="G215:G278" si="61">$G$6</f>
        <v>27.700831024930746</v>
      </c>
      <c r="H215" s="168">
        <f t="shared" ref="H215:H278" si="62">+F215*G215</f>
        <v>5558.6334256694363</v>
      </c>
      <c r="I215" s="168">
        <f t="shared" ref="I215:I278" si="63">$I$6</f>
        <v>30</v>
      </c>
      <c r="J215" s="739"/>
      <c r="K215" s="168">
        <f>IF(J215&lt;&gt;"",J215,IF(ISERROR(Personalplanung!AB7/Monatsplanung!$E7*Monatsplanung!$I7),0,Personalplanung!AB7/Monatsplanung!$E7*Monatsplanung!$I7))</f>
        <v>0.66666666666666663</v>
      </c>
      <c r="L215" s="740"/>
      <c r="M215" s="739"/>
      <c r="N215" s="168">
        <f>IF(M215&lt;&gt;"",M215,IF(ISERROR(Personalplanung!AC7/Monatsplanung!$E7*Monatsplanung!$I7),0,Personalplanung!AC7/Monatsplanung!$E7*Monatsplanung!$I7))</f>
        <v>0</v>
      </c>
      <c r="O215" s="740"/>
      <c r="P215" s="739"/>
      <c r="Q215" s="168">
        <f>IF(P215&lt;&gt;"",P215,IF(ISERROR(Personalplanung!AD7/Monatsplanung!$E7*Monatsplanung!$I7),0,Personalplanung!AD7/Monatsplanung!$E7*Monatsplanung!$I7))</f>
        <v>0.16666666666666666</v>
      </c>
      <c r="R215" s="740"/>
      <c r="S215" s="739"/>
      <c r="T215" s="168">
        <f>IF(S215&lt;&gt;"",S215,IF(ISERROR(Personalplanung!AE7/Monatsplanung!$E7*Monatsplanung!$I7),0,Personalplanung!AE7/Monatsplanung!$E7*Monatsplanung!$I7))</f>
        <v>2.1666666666666665</v>
      </c>
      <c r="U215" s="740"/>
      <c r="V215" s="168">
        <f t="shared" ref="V215:V278" si="64">K215+N215+Q215+T215</f>
        <v>3</v>
      </c>
      <c r="W215" s="168">
        <f>IF(ISERROR(Personalplanung!P7/Monatsplanung!$E7*Monatsplanung!$I7),0,Personalplanung!P7/Monatsplanung!$E7*Monatsplanung!$I7)</f>
        <v>0</v>
      </c>
      <c r="X215" s="168">
        <f>IF(ISERROR(Personalplanung!Q7/Monatsplanung!$E7*Monatsplanung!$I7),0,Personalplanung!Q7/Monatsplanung!$E7*Monatsplanung!$I7)</f>
        <v>0</v>
      </c>
      <c r="Y215" s="168">
        <f>IF(ISERROR(Personalplanung!R7/T1255*Stundencontrolling!T215),0,Personalplanung!R7/T1255*Stundencontrolling!T215)</f>
        <v>0</v>
      </c>
      <c r="Z215" s="168">
        <f>IF(ISERROR(Personalplanung!S7/Monatsplanung!$E7*Monatsplanung!$I7),0,Personalplanung!S7/Monatsplanung!$E7*Monatsplanung!$I7)</f>
        <v>0</v>
      </c>
      <c r="AA215" s="80">
        <f t="shared" ref="AA215:AA278" si="65">+F215*G215*(1+I215)+SUM(W215:Z215)</f>
        <v>172317.63619575254</v>
      </c>
      <c r="AB215" s="102">
        <f t="shared" ref="AB215:AB278" si="66">$AB$6</f>
        <v>0.1</v>
      </c>
      <c r="AC215" s="103">
        <f t="shared" ref="AC215:AC278" si="67">AB215*AA215</f>
        <v>17231.763619575253</v>
      </c>
      <c r="AD215" s="103">
        <f t="shared" ref="AD215:AD278" si="68">AA215-AC215</f>
        <v>155085.87257617729</v>
      </c>
      <c r="AE215" s="81">
        <f t="shared" ref="AE215:AE278" si="69">(F215-(V215*$D215))*AB215</f>
        <v>17.666666666666668</v>
      </c>
      <c r="AF215" s="539"/>
      <c r="AG215" s="104">
        <f t="shared" ref="AG215:AG278" si="70">$AG$6</f>
        <v>1</v>
      </c>
      <c r="AH215" s="7">
        <f t="shared" ref="AH215:AH278" si="71">IF(ISERROR(AK215/AF215),0,AK215/AF215)</f>
        <v>0</v>
      </c>
      <c r="AI215" s="6">
        <f t="shared" ref="AI215:AI278" si="72">AE215*AG215</f>
        <v>17.666666666666668</v>
      </c>
      <c r="AJ215" s="73">
        <f t="shared" ref="AJ215:AJ278" si="73">IF(ISERROR(+AC215/AI215),0,+AC215/AI215)</f>
        <v>975.382846391052</v>
      </c>
      <c r="AK215" s="539"/>
      <c r="AL215" s="748"/>
      <c r="AM215" s="748"/>
    </row>
    <row r="216" spans="2:39" x14ac:dyDescent="0.2">
      <c r="B216" s="101" t="str">
        <f t="shared" si="58"/>
        <v>Walter Meister</v>
      </c>
      <c r="C216" s="168">
        <f>IF(ISERROR(Personalplanung!F8/Monatsplanung!$E8*Monatsplanung!$I8),0,Personalplanung!F8/Monatsplanung!$E8*Monatsplanung!$I8)</f>
        <v>174</v>
      </c>
      <c r="D216" s="168">
        <f t="shared" si="59"/>
        <v>8</v>
      </c>
      <c r="E216" s="168">
        <f>IF(ISERROR(Personalplanung!H8/Monatsplanung!$E8*Monatsplanung!$I8),0,Personalplanung!H8/Monatsplanung!$E8*Monatsplanung!$I8)</f>
        <v>26.666666666666668</v>
      </c>
      <c r="F216" s="168">
        <f t="shared" si="60"/>
        <v>200.66666666666666</v>
      </c>
      <c r="G216" s="168">
        <f t="shared" si="61"/>
        <v>27.700831024930746</v>
      </c>
      <c r="H216" s="168">
        <f t="shared" si="62"/>
        <v>5558.6334256694363</v>
      </c>
      <c r="I216" s="168">
        <f t="shared" si="63"/>
        <v>30</v>
      </c>
      <c r="J216" s="739"/>
      <c r="K216" s="168">
        <f>IF(J216&lt;&gt;"",J216,IF(ISERROR(Personalplanung!AB8/Monatsplanung!$E8*Monatsplanung!$I8),0,Personalplanung!AB8/Monatsplanung!$E8*Monatsplanung!$I8))</f>
        <v>0.66666666666666663</v>
      </c>
      <c r="L216" s="740"/>
      <c r="M216" s="739"/>
      <c r="N216" s="168">
        <f>IF(M216&lt;&gt;"",M216,IF(ISERROR(Personalplanung!AC8/Monatsplanung!$E8*Monatsplanung!$I8),0,Personalplanung!AC8/Monatsplanung!$E8*Monatsplanung!$I8))</f>
        <v>8.3333333333333329E-2</v>
      </c>
      <c r="O216" s="740"/>
      <c r="P216" s="739"/>
      <c r="Q216" s="168">
        <f>IF(P216&lt;&gt;"",P216,IF(ISERROR(Personalplanung!AD8/Monatsplanung!$E8*Monatsplanung!$I8),0,Personalplanung!AD8/Monatsplanung!$E8*Monatsplanung!$I8))</f>
        <v>0.16666666666666666</v>
      </c>
      <c r="R216" s="740"/>
      <c r="S216" s="739"/>
      <c r="T216" s="168">
        <f>IF(S216&lt;&gt;"",S216,IF(ISERROR(Personalplanung!AE8/Monatsplanung!$E8*Monatsplanung!$I8),0,Personalplanung!AE8/Monatsplanung!$E8*Monatsplanung!$I8))</f>
        <v>2.1666666666666665</v>
      </c>
      <c r="U216" s="740"/>
      <c r="V216" s="168">
        <f t="shared" si="64"/>
        <v>3.083333333333333</v>
      </c>
      <c r="W216" s="168">
        <f>IF(ISERROR(Personalplanung!P8/Monatsplanung!$E8*Monatsplanung!$I8),0,Personalplanung!P8/Monatsplanung!$E8*Monatsplanung!$I8)</f>
        <v>0</v>
      </c>
      <c r="X216" s="168">
        <f>IF(ISERROR(Personalplanung!Q8/Monatsplanung!$E8*Monatsplanung!$I8),0,Personalplanung!Q8/Monatsplanung!$E8*Monatsplanung!$I8)</f>
        <v>0</v>
      </c>
      <c r="Y216" s="168">
        <f>IF(ISERROR(Personalplanung!R8/T1256*Stundencontrolling!T216),0,Personalplanung!R8/T1256*Stundencontrolling!T216)</f>
        <v>0</v>
      </c>
      <c r="Z216" s="168">
        <f>IF(ISERROR(Personalplanung!S8/Monatsplanung!$E8*Monatsplanung!$I8),0,Personalplanung!S8/Monatsplanung!$E8*Monatsplanung!$I8)</f>
        <v>0</v>
      </c>
      <c r="AA216" s="80">
        <f t="shared" si="65"/>
        <v>172317.63619575254</v>
      </c>
      <c r="AB216" s="102">
        <f t="shared" si="66"/>
        <v>0.1</v>
      </c>
      <c r="AC216" s="103">
        <f t="shared" si="67"/>
        <v>17231.763619575253</v>
      </c>
      <c r="AD216" s="103">
        <f t="shared" si="68"/>
        <v>155085.87257617729</v>
      </c>
      <c r="AE216" s="81">
        <f t="shared" si="69"/>
        <v>17.600000000000001</v>
      </c>
      <c r="AF216" s="539"/>
      <c r="AG216" s="104">
        <f t="shared" si="70"/>
        <v>1</v>
      </c>
      <c r="AH216" s="7">
        <f t="shared" si="71"/>
        <v>0</v>
      </c>
      <c r="AI216" s="6">
        <f t="shared" si="72"/>
        <v>17.600000000000001</v>
      </c>
      <c r="AJ216" s="73">
        <f t="shared" si="73"/>
        <v>979.07747838495743</v>
      </c>
      <c r="AK216" s="539"/>
      <c r="AL216" s="748"/>
      <c r="AM216" s="748"/>
    </row>
    <row r="217" spans="2:39" x14ac:dyDescent="0.2">
      <c r="B217" s="101" t="str">
        <f t="shared" si="58"/>
        <v>Tom in Technik</v>
      </c>
      <c r="C217" s="168">
        <f>IF(ISERROR(Personalplanung!F9/Monatsplanung!$E9*Monatsplanung!$I9),0,Personalplanung!F9/Monatsplanung!$E9*Monatsplanung!$I9)</f>
        <v>174</v>
      </c>
      <c r="D217" s="168">
        <f t="shared" si="59"/>
        <v>8</v>
      </c>
      <c r="E217" s="168">
        <f>IF(ISERROR(Personalplanung!H9/Monatsplanung!$E9*Monatsplanung!$I9),0,Personalplanung!H9/Monatsplanung!$E9*Monatsplanung!$I9)</f>
        <v>0</v>
      </c>
      <c r="F217" s="168">
        <f t="shared" si="60"/>
        <v>174</v>
      </c>
      <c r="G217" s="168">
        <f t="shared" si="61"/>
        <v>27.700831024930746</v>
      </c>
      <c r="H217" s="168">
        <f t="shared" si="62"/>
        <v>4819.9445983379501</v>
      </c>
      <c r="I217" s="168">
        <f t="shared" si="63"/>
        <v>30</v>
      </c>
      <c r="J217" s="739"/>
      <c r="K217" s="168">
        <f>IF(J217&lt;&gt;"",J217,IF(ISERROR(Personalplanung!AB9/Monatsplanung!$E9*Monatsplanung!$I9),0,Personalplanung!AB9/Monatsplanung!$E9*Monatsplanung!$I9))</f>
        <v>0.66666666666666663</v>
      </c>
      <c r="L217" s="740"/>
      <c r="M217" s="739"/>
      <c r="N217" s="168">
        <f>IF(M217&lt;&gt;"",M217,IF(ISERROR(Personalplanung!AC9/Monatsplanung!$E9*Monatsplanung!$I9),0,Personalplanung!AC9/Monatsplanung!$E9*Monatsplanung!$I9))</f>
        <v>0.16666666666666666</v>
      </c>
      <c r="O217" s="740"/>
      <c r="P217" s="739"/>
      <c r="Q217" s="168">
        <f>IF(P217&lt;&gt;"",P217,IF(ISERROR(Personalplanung!AD9/Monatsplanung!$E9*Monatsplanung!$I9),0,Personalplanung!AD9/Monatsplanung!$E9*Monatsplanung!$I9))</f>
        <v>0.16666666666666666</v>
      </c>
      <c r="R217" s="740"/>
      <c r="S217" s="739"/>
      <c r="T217" s="168">
        <f>IF(S217&lt;&gt;"",S217,IF(ISERROR(Personalplanung!AE9/Monatsplanung!$E9*Monatsplanung!$I9),0,Personalplanung!AE9/Monatsplanung!$E9*Monatsplanung!$I9))</f>
        <v>2.1666666666666665</v>
      </c>
      <c r="U217" s="740"/>
      <c r="V217" s="168">
        <f t="shared" si="64"/>
        <v>3.1666666666666665</v>
      </c>
      <c r="W217" s="168">
        <f>IF(ISERROR(Personalplanung!P9/Monatsplanung!$E9*Monatsplanung!$I9),0,Personalplanung!P9/Monatsplanung!$E9*Monatsplanung!$I9)</f>
        <v>0</v>
      </c>
      <c r="X217" s="168">
        <f>IF(ISERROR(Personalplanung!Q9/Monatsplanung!$E9*Monatsplanung!$I9),0,Personalplanung!Q9/Monatsplanung!$E9*Monatsplanung!$I9)</f>
        <v>0</v>
      </c>
      <c r="Y217" s="168">
        <f>IF(ISERROR(Personalplanung!R9/T1257*Stundencontrolling!T217),0,Personalplanung!R9/T1257*Stundencontrolling!T217)</f>
        <v>0</v>
      </c>
      <c r="Z217" s="168">
        <f>IF(ISERROR(Personalplanung!S9/Monatsplanung!$E9*Monatsplanung!$I9),0,Personalplanung!S9/Monatsplanung!$E9*Monatsplanung!$I9)</f>
        <v>0</v>
      </c>
      <c r="AA217" s="80">
        <f t="shared" si="65"/>
        <v>149418.28254847645</v>
      </c>
      <c r="AB217" s="102">
        <f t="shared" si="66"/>
        <v>0.1</v>
      </c>
      <c r="AC217" s="103">
        <f t="shared" si="67"/>
        <v>14941.828254847645</v>
      </c>
      <c r="AD217" s="103">
        <f t="shared" si="68"/>
        <v>134476.45429362881</v>
      </c>
      <c r="AE217" s="81">
        <f t="shared" si="69"/>
        <v>14.866666666666667</v>
      </c>
      <c r="AF217" s="539"/>
      <c r="AG217" s="104">
        <f t="shared" si="70"/>
        <v>1</v>
      </c>
      <c r="AH217" s="7">
        <f t="shared" si="71"/>
        <v>0</v>
      </c>
      <c r="AI217" s="6">
        <f t="shared" si="72"/>
        <v>14.866666666666667</v>
      </c>
      <c r="AJ217" s="73">
        <f t="shared" si="73"/>
        <v>1005.0557122094829</v>
      </c>
      <c r="AK217" s="539"/>
      <c r="AL217" s="748"/>
      <c r="AM217" s="748"/>
    </row>
    <row r="218" spans="2:39" x14ac:dyDescent="0.2">
      <c r="B218" s="101" t="str">
        <f t="shared" si="58"/>
        <v>Lola Rennt</v>
      </c>
      <c r="C218" s="168">
        <f>IF(ISERROR(Personalplanung!F10/Monatsplanung!$E10*Monatsplanung!$I10),0,Personalplanung!F10/Monatsplanung!$E10*Monatsplanung!$I10)</f>
        <v>174</v>
      </c>
      <c r="D218" s="168">
        <f t="shared" si="59"/>
        <v>8</v>
      </c>
      <c r="E218" s="168">
        <f>IF(ISERROR(Personalplanung!H10/Monatsplanung!$E10*Monatsplanung!$I10),0,Personalplanung!H10/Monatsplanung!$E10*Monatsplanung!$I10)</f>
        <v>0</v>
      </c>
      <c r="F218" s="168">
        <f t="shared" si="60"/>
        <v>174</v>
      </c>
      <c r="G218" s="168">
        <f t="shared" si="61"/>
        <v>27.700831024930746</v>
      </c>
      <c r="H218" s="168">
        <f t="shared" si="62"/>
        <v>4819.9445983379501</v>
      </c>
      <c r="I218" s="168">
        <f t="shared" si="63"/>
        <v>30</v>
      </c>
      <c r="J218" s="739"/>
      <c r="K218" s="168">
        <f>IF(J218&lt;&gt;"",J218,IF(ISERROR(Personalplanung!AB10/Monatsplanung!$E10*Monatsplanung!$I10),0,Personalplanung!AB10/Monatsplanung!$E10*Monatsplanung!$I10))</f>
        <v>0.66666666666666663</v>
      </c>
      <c r="L218" s="740"/>
      <c r="M218" s="739"/>
      <c r="N218" s="168">
        <f>IF(M218&lt;&gt;"",M218,IF(ISERROR(Personalplanung!AC10/Monatsplanung!$E10*Monatsplanung!$I10),0,Personalplanung!AC10/Monatsplanung!$E10*Monatsplanung!$I10))</f>
        <v>0</v>
      </c>
      <c r="O218" s="740"/>
      <c r="P218" s="739"/>
      <c r="Q218" s="168">
        <f>IF(P218&lt;&gt;"",P218,IF(ISERROR(Personalplanung!AD10/Monatsplanung!$E10*Monatsplanung!$I10),0,Personalplanung!AD10/Monatsplanung!$E10*Monatsplanung!$I10))</f>
        <v>0.16666666666666666</v>
      </c>
      <c r="R218" s="740"/>
      <c r="S218" s="739"/>
      <c r="T218" s="168">
        <f>IF(S218&lt;&gt;"",S218,IF(ISERROR(Personalplanung!AE10/Monatsplanung!$E10*Monatsplanung!$I10),0,Personalplanung!AE10/Monatsplanung!$E10*Monatsplanung!$I10))</f>
        <v>2.1666666666666665</v>
      </c>
      <c r="U218" s="740"/>
      <c r="V218" s="168">
        <f t="shared" si="64"/>
        <v>3</v>
      </c>
      <c r="W218" s="168">
        <f>IF(ISERROR(Personalplanung!P10/Monatsplanung!$E10*Monatsplanung!$I10),0,Personalplanung!P10/Monatsplanung!$E10*Monatsplanung!$I10)</f>
        <v>0</v>
      </c>
      <c r="X218" s="168">
        <f>IF(ISERROR(Personalplanung!Q10/Monatsplanung!$E10*Monatsplanung!$I10),0,Personalplanung!Q10/Monatsplanung!$E10*Monatsplanung!$I10)</f>
        <v>0</v>
      </c>
      <c r="Y218" s="168">
        <f>IF(ISERROR(Personalplanung!R10/T1258*Stundencontrolling!T218),0,Personalplanung!R10/T1258*Stundencontrolling!T218)</f>
        <v>0</v>
      </c>
      <c r="Z218" s="168">
        <f>IF(ISERROR(Personalplanung!S10/Monatsplanung!$E10*Monatsplanung!$I10),0,Personalplanung!S10/Monatsplanung!$E10*Monatsplanung!$I10)</f>
        <v>0</v>
      </c>
      <c r="AA218" s="80">
        <f t="shared" si="65"/>
        <v>149418.28254847645</v>
      </c>
      <c r="AB218" s="102">
        <f t="shared" si="66"/>
        <v>0.1</v>
      </c>
      <c r="AC218" s="103">
        <f t="shared" si="67"/>
        <v>14941.828254847645</v>
      </c>
      <c r="AD218" s="103">
        <f t="shared" si="68"/>
        <v>134476.45429362881</v>
      </c>
      <c r="AE218" s="81">
        <f t="shared" si="69"/>
        <v>15</v>
      </c>
      <c r="AF218" s="539"/>
      <c r="AG218" s="104">
        <f t="shared" si="70"/>
        <v>1</v>
      </c>
      <c r="AH218" s="7">
        <f t="shared" si="71"/>
        <v>0</v>
      </c>
      <c r="AI218" s="6">
        <f t="shared" si="72"/>
        <v>15</v>
      </c>
      <c r="AJ218" s="73">
        <f t="shared" si="73"/>
        <v>996.12188365650968</v>
      </c>
      <c r="AK218" s="539"/>
      <c r="AL218" s="748"/>
      <c r="AM218" s="748"/>
    </row>
    <row r="219" spans="2:39" x14ac:dyDescent="0.2">
      <c r="B219" s="101" t="str">
        <f t="shared" si="58"/>
        <v>Bier Lager</v>
      </c>
      <c r="C219" s="168">
        <f>IF(ISERROR(Personalplanung!F11/Monatsplanung!$E11*Monatsplanung!$I11),0,Personalplanung!F11/Monatsplanung!$E11*Monatsplanung!$I11)</f>
        <v>174</v>
      </c>
      <c r="D219" s="168">
        <f t="shared" si="59"/>
        <v>8</v>
      </c>
      <c r="E219" s="168">
        <f>IF(ISERROR(Personalplanung!H11/Monatsplanung!$E11*Monatsplanung!$I11),0,Personalplanung!H11/Monatsplanung!$E11*Monatsplanung!$I11)</f>
        <v>0</v>
      </c>
      <c r="F219" s="168">
        <f t="shared" si="60"/>
        <v>174</v>
      </c>
      <c r="G219" s="168">
        <f t="shared" si="61"/>
        <v>27.700831024930746</v>
      </c>
      <c r="H219" s="168">
        <f t="shared" si="62"/>
        <v>4819.9445983379501</v>
      </c>
      <c r="I219" s="168">
        <f t="shared" si="63"/>
        <v>30</v>
      </c>
      <c r="J219" s="739"/>
      <c r="K219" s="168">
        <f>IF(J219&lt;&gt;"",J219,IF(ISERROR(Personalplanung!AB11/Monatsplanung!$E11*Monatsplanung!$I11),0,Personalplanung!AB11/Monatsplanung!$E11*Monatsplanung!$I11))</f>
        <v>0.66666666666666663</v>
      </c>
      <c r="L219" s="740"/>
      <c r="M219" s="739"/>
      <c r="N219" s="168">
        <f>IF(M219&lt;&gt;"",M219,IF(ISERROR(Personalplanung!AC11/Monatsplanung!$E11*Monatsplanung!$I11),0,Personalplanung!AC11/Monatsplanung!$E11*Monatsplanung!$I11))</f>
        <v>0</v>
      </c>
      <c r="O219" s="740"/>
      <c r="P219" s="739"/>
      <c r="Q219" s="168">
        <f>IF(P219&lt;&gt;"",P219,IF(ISERROR(Personalplanung!AD11/Monatsplanung!$E11*Monatsplanung!$I11),0,Personalplanung!AD11/Monatsplanung!$E11*Monatsplanung!$I11))</f>
        <v>0.16666666666666666</v>
      </c>
      <c r="R219" s="740"/>
      <c r="S219" s="739"/>
      <c r="T219" s="168">
        <f>IF(S219&lt;&gt;"",S219,IF(ISERROR(Personalplanung!AE11/Monatsplanung!$E11*Monatsplanung!$I11),0,Personalplanung!AE11/Monatsplanung!$E11*Monatsplanung!$I11))</f>
        <v>2.1666666666666665</v>
      </c>
      <c r="U219" s="740"/>
      <c r="V219" s="168">
        <f t="shared" si="64"/>
        <v>3</v>
      </c>
      <c r="W219" s="168">
        <f>IF(ISERROR(Personalplanung!P11/Monatsplanung!$E11*Monatsplanung!$I11),0,Personalplanung!P11/Monatsplanung!$E11*Monatsplanung!$I11)</f>
        <v>0</v>
      </c>
      <c r="X219" s="168">
        <f>IF(ISERROR(Personalplanung!Q11/Monatsplanung!$E11*Monatsplanung!$I11),0,Personalplanung!Q11/Monatsplanung!$E11*Monatsplanung!$I11)</f>
        <v>0</v>
      </c>
      <c r="Y219" s="168">
        <f>IF(ISERROR(Personalplanung!R11/T1259*Stundencontrolling!T219),0,Personalplanung!R11/T1259*Stundencontrolling!T219)</f>
        <v>0</v>
      </c>
      <c r="Z219" s="168">
        <f>IF(ISERROR(Personalplanung!S11/Monatsplanung!$E11*Monatsplanung!$I11),0,Personalplanung!S11/Monatsplanung!$E11*Monatsplanung!$I11)</f>
        <v>0</v>
      </c>
      <c r="AA219" s="80">
        <f t="shared" si="65"/>
        <v>149418.28254847645</v>
      </c>
      <c r="AB219" s="102">
        <f t="shared" si="66"/>
        <v>0.1</v>
      </c>
      <c r="AC219" s="103">
        <f t="shared" si="67"/>
        <v>14941.828254847645</v>
      </c>
      <c r="AD219" s="103">
        <f t="shared" si="68"/>
        <v>134476.45429362881</v>
      </c>
      <c r="AE219" s="81">
        <f t="shared" si="69"/>
        <v>15</v>
      </c>
      <c r="AF219" s="539"/>
      <c r="AG219" s="104">
        <f t="shared" si="70"/>
        <v>1</v>
      </c>
      <c r="AH219" s="7">
        <f t="shared" si="71"/>
        <v>0</v>
      </c>
      <c r="AI219" s="6">
        <f t="shared" si="72"/>
        <v>15</v>
      </c>
      <c r="AJ219" s="73">
        <f t="shared" si="73"/>
        <v>996.12188365650968</v>
      </c>
      <c r="AK219" s="539"/>
      <c r="AL219" s="748"/>
      <c r="AM219" s="748"/>
    </row>
    <row r="220" spans="2:39" x14ac:dyDescent="0.2">
      <c r="B220" s="101" t="str">
        <f t="shared" si="58"/>
        <v>Heinrich vor Arbeit</v>
      </c>
      <c r="C220" s="168">
        <f>IF(ISERROR(Personalplanung!F12/Monatsplanung!$E12*Monatsplanung!$I12),0,Personalplanung!F12/Monatsplanung!$E12*Monatsplanung!$I12)</f>
        <v>174</v>
      </c>
      <c r="D220" s="168">
        <f t="shared" si="59"/>
        <v>8</v>
      </c>
      <c r="E220" s="168">
        <f>IF(ISERROR(Personalplanung!H12/Monatsplanung!$E12*Monatsplanung!$I12),0,Personalplanung!H12/Monatsplanung!$E12*Monatsplanung!$I12)</f>
        <v>0</v>
      </c>
      <c r="F220" s="168">
        <f t="shared" si="60"/>
        <v>174</v>
      </c>
      <c r="G220" s="168">
        <f t="shared" si="61"/>
        <v>27.700831024930746</v>
      </c>
      <c r="H220" s="168">
        <f t="shared" si="62"/>
        <v>4819.9445983379501</v>
      </c>
      <c r="I220" s="168">
        <f t="shared" si="63"/>
        <v>30</v>
      </c>
      <c r="J220" s="739"/>
      <c r="K220" s="168">
        <f>IF(J220&lt;&gt;"",J220,IF(ISERROR(Personalplanung!AB12/Monatsplanung!$E12*Monatsplanung!$I12),0,Personalplanung!AB12/Monatsplanung!$E12*Monatsplanung!$I12))</f>
        <v>0.66666666666666663</v>
      </c>
      <c r="L220" s="740"/>
      <c r="M220" s="739"/>
      <c r="N220" s="168">
        <f>IF(M220&lt;&gt;"",M220,IF(ISERROR(Personalplanung!AC12/Monatsplanung!$E12*Monatsplanung!$I12),0,Personalplanung!AC12/Monatsplanung!$E12*Monatsplanung!$I12))</f>
        <v>0</v>
      </c>
      <c r="O220" s="740"/>
      <c r="P220" s="739"/>
      <c r="Q220" s="168">
        <f>IF(P220&lt;&gt;"",P220,IF(ISERROR(Personalplanung!AD12/Monatsplanung!$E12*Monatsplanung!$I12),0,Personalplanung!AD12/Monatsplanung!$E12*Monatsplanung!$I12))</f>
        <v>0.16666666666666666</v>
      </c>
      <c r="R220" s="740"/>
      <c r="S220" s="739"/>
      <c r="T220" s="168">
        <f>IF(S220&lt;&gt;"",S220,IF(ISERROR(Personalplanung!AE12/Monatsplanung!$E12*Monatsplanung!$I12),0,Personalplanung!AE12/Monatsplanung!$E12*Monatsplanung!$I12))</f>
        <v>2.1666666666666665</v>
      </c>
      <c r="U220" s="740"/>
      <c r="V220" s="168">
        <f t="shared" si="64"/>
        <v>3</v>
      </c>
      <c r="W220" s="168">
        <f>IF(ISERROR(Personalplanung!P12/Monatsplanung!$E12*Monatsplanung!$I12),0,Personalplanung!P12/Monatsplanung!$E12*Monatsplanung!$I12)</f>
        <v>0</v>
      </c>
      <c r="X220" s="168">
        <f>IF(ISERROR(Personalplanung!Q12/Monatsplanung!$E12*Monatsplanung!$I12),0,Personalplanung!Q12/Monatsplanung!$E12*Monatsplanung!$I12)</f>
        <v>0</v>
      </c>
      <c r="Y220" s="168">
        <f>IF(ISERROR(Personalplanung!R12/T1260*Stundencontrolling!T220),0,Personalplanung!R12/T1260*Stundencontrolling!T220)</f>
        <v>0</v>
      </c>
      <c r="Z220" s="168">
        <f>IF(ISERROR(Personalplanung!S12/Monatsplanung!$E12*Monatsplanung!$I12),0,Personalplanung!S12/Monatsplanung!$E12*Monatsplanung!$I12)</f>
        <v>0</v>
      </c>
      <c r="AA220" s="80">
        <f t="shared" si="65"/>
        <v>149418.28254847645</v>
      </c>
      <c r="AB220" s="102">
        <f t="shared" si="66"/>
        <v>0.1</v>
      </c>
      <c r="AC220" s="103">
        <f t="shared" si="67"/>
        <v>14941.828254847645</v>
      </c>
      <c r="AD220" s="103">
        <f t="shared" si="68"/>
        <v>134476.45429362881</v>
      </c>
      <c r="AE220" s="81">
        <f t="shared" si="69"/>
        <v>15</v>
      </c>
      <c r="AF220" s="539"/>
      <c r="AG220" s="104">
        <f t="shared" si="70"/>
        <v>1</v>
      </c>
      <c r="AH220" s="7">
        <f t="shared" si="71"/>
        <v>0</v>
      </c>
      <c r="AI220" s="6">
        <f t="shared" si="72"/>
        <v>15</v>
      </c>
      <c r="AJ220" s="73">
        <f t="shared" si="73"/>
        <v>996.12188365650968</v>
      </c>
      <c r="AK220" s="539"/>
      <c r="AL220" s="748"/>
      <c r="AM220" s="748"/>
    </row>
    <row r="221" spans="2:39" x14ac:dyDescent="0.2">
      <c r="B221" s="101" t="str">
        <f t="shared" si="58"/>
        <v>Voller Geselle</v>
      </c>
      <c r="C221" s="168">
        <f>IF(ISERROR(Personalplanung!F13/Monatsplanung!$E13*Monatsplanung!$I13),0,Personalplanung!F13/Monatsplanung!$E13*Monatsplanung!$I13)</f>
        <v>174</v>
      </c>
      <c r="D221" s="168">
        <f t="shared" si="59"/>
        <v>8</v>
      </c>
      <c r="E221" s="168">
        <f>IF(ISERROR(Personalplanung!H13/Monatsplanung!$E13*Monatsplanung!$I13),0,Personalplanung!H13/Monatsplanung!$E13*Monatsplanung!$I13)</f>
        <v>0</v>
      </c>
      <c r="F221" s="168">
        <f t="shared" si="60"/>
        <v>174</v>
      </c>
      <c r="G221" s="168">
        <f t="shared" si="61"/>
        <v>27.700831024930746</v>
      </c>
      <c r="H221" s="168">
        <f t="shared" si="62"/>
        <v>4819.9445983379501</v>
      </c>
      <c r="I221" s="168">
        <f t="shared" si="63"/>
        <v>30</v>
      </c>
      <c r="J221" s="739"/>
      <c r="K221" s="168">
        <f>IF(J221&lt;&gt;"",J221,IF(ISERROR(Personalplanung!AB13/Monatsplanung!$E13*Monatsplanung!$I13),0,Personalplanung!AB13/Monatsplanung!$E13*Monatsplanung!$I13))</f>
        <v>0.66666666666666663</v>
      </c>
      <c r="L221" s="740"/>
      <c r="M221" s="739"/>
      <c r="N221" s="168">
        <f>IF(M221&lt;&gt;"",M221,IF(ISERROR(Personalplanung!AC13/Monatsplanung!$E13*Monatsplanung!$I13),0,Personalplanung!AC13/Monatsplanung!$E13*Monatsplanung!$I13))</f>
        <v>0.25</v>
      </c>
      <c r="O221" s="740"/>
      <c r="P221" s="739"/>
      <c r="Q221" s="168">
        <f>IF(P221&lt;&gt;"",P221,IF(ISERROR(Personalplanung!AD13/Monatsplanung!$E13*Monatsplanung!$I13),0,Personalplanung!AD13/Monatsplanung!$E13*Monatsplanung!$I13))</f>
        <v>0.16666666666666666</v>
      </c>
      <c r="R221" s="740"/>
      <c r="S221" s="739"/>
      <c r="T221" s="168">
        <f>IF(S221&lt;&gt;"",S221,IF(ISERROR(Personalplanung!AE13/Monatsplanung!$E13*Monatsplanung!$I13),0,Personalplanung!AE13/Monatsplanung!$E13*Monatsplanung!$I13))</f>
        <v>2.1666666666666665</v>
      </c>
      <c r="U221" s="740"/>
      <c r="V221" s="168">
        <f t="shared" si="64"/>
        <v>3.25</v>
      </c>
      <c r="W221" s="168">
        <f>IF(ISERROR(Personalplanung!P13/Monatsplanung!$E13*Monatsplanung!$I13),0,Personalplanung!P13/Monatsplanung!$E13*Monatsplanung!$I13)</f>
        <v>0</v>
      </c>
      <c r="X221" s="168">
        <f>IF(ISERROR(Personalplanung!Q13/Monatsplanung!$E13*Monatsplanung!$I13),0,Personalplanung!Q13/Monatsplanung!$E13*Monatsplanung!$I13)</f>
        <v>0</v>
      </c>
      <c r="Y221" s="168">
        <f>IF(ISERROR(Personalplanung!R13/T1261*Stundencontrolling!T221),0,Personalplanung!R13/T1261*Stundencontrolling!T221)</f>
        <v>0</v>
      </c>
      <c r="Z221" s="168">
        <f>IF(ISERROR(Personalplanung!S13/Monatsplanung!$E13*Monatsplanung!$I13),0,Personalplanung!S13/Monatsplanung!$E13*Monatsplanung!$I13)</f>
        <v>0</v>
      </c>
      <c r="AA221" s="80">
        <f t="shared" si="65"/>
        <v>149418.28254847645</v>
      </c>
      <c r="AB221" s="102">
        <f t="shared" si="66"/>
        <v>0.1</v>
      </c>
      <c r="AC221" s="103">
        <f t="shared" si="67"/>
        <v>14941.828254847645</v>
      </c>
      <c r="AD221" s="103">
        <f t="shared" si="68"/>
        <v>134476.45429362881</v>
      </c>
      <c r="AE221" s="81">
        <f t="shared" si="69"/>
        <v>14.8</v>
      </c>
      <c r="AF221" s="539"/>
      <c r="AG221" s="104">
        <f t="shared" si="70"/>
        <v>1</v>
      </c>
      <c r="AH221" s="7">
        <f t="shared" si="71"/>
        <v>0</v>
      </c>
      <c r="AI221" s="6">
        <f t="shared" si="72"/>
        <v>14.8</v>
      </c>
      <c r="AJ221" s="73">
        <f t="shared" si="73"/>
        <v>1009.5829901924084</v>
      </c>
      <c r="AK221" s="539"/>
      <c r="AL221" s="748"/>
      <c r="AM221" s="748"/>
    </row>
    <row r="222" spans="2:39" x14ac:dyDescent="0.2">
      <c r="B222" s="101" t="str">
        <f t="shared" si="58"/>
        <v>Thomas Fleißig</v>
      </c>
      <c r="C222" s="168">
        <f>IF(ISERROR(Personalplanung!F14/Monatsplanung!$E14*Monatsplanung!$I14),0,Personalplanung!F14/Monatsplanung!$E14*Monatsplanung!$I14)</f>
        <v>174</v>
      </c>
      <c r="D222" s="168">
        <f t="shared" si="59"/>
        <v>8</v>
      </c>
      <c r="E222" s="168">
        <f>IF(ISERROR(Personalplanung!H14/Monatsplanung!$E14*Monatsplanung!$I14),0,Personalplanung!H14/Monatsplanung!$E14*Monatsplanung!$I14)</f>
        <v>0</v>
      </c>
      <c r="F222" s="168">
        <f t="shared" si="60"/>
        <v>174</v>
      </c>
      <c r="G222" s="168">
        <f t="shared" si="61"/>
        <v>27.700831024930746</v>
      </c>
      <c r="H222" s="168">
        <f t="shared" si="62"/>
        <v>4819.9445983379501</v>
      </c>
      <c r="I222" s="168">
        <f t="shared" si="63"/>
        <v>30</v>
      </c>
      <c r="J222" s="739"/>
      <c r="K222" s="168">
        <f>IF(J222&lt;&gt;"",J222,IF(ISERROR(Personalplanung!AB14/Monatsplanung!$E14*Monatsplanung!$I14),0,Personalplanung!AB14/Monatsplanung!$E14*Monatsplanung!$I14))</f>
        <v>0.66666666666666663</v>
      </c>
      <c r="L222" s="740"/>
      <c r="M222" s="739"/>
      <c r="N222" s="168">
        <f>IF(M222&lt;&gt;"",M222,IF(ISERROR(Personalplanung!AC14/Monatsplanung!$E14*Monatsplanung!$I14),0,Personalplanung!AC14/Monatsplanung!$E14*Monatsplanung!$I14))</f>
        <v>0</v>
      </c>
      <c r="O222" s="740"/>
      <c r="P222" s="739"/>
      <c r="Q222" s="168">
        <f>IF(P222&lt;&gt;"",P222,IF(ISERROR(Personalplanung!AD14/Monatsplanung!$E14*Monatsplanung!$I14),0,Personalplanung!AD14/Monatsplanung!$E14*Monatsplanung!$I14))</f>
        <v>0.16666666666666666</v>
      </c>
      <c r="R222" s="740"/>
      <c r="S222" s="739"/>
      <c r="T222" s="168">
        <f>IF(S222&lt;&gt;"",S222,IF(ISERROR(Personalplanung!AE14/Monatsplanung!$E14*Monatsplanung!$I14),0,Personalplanung!AE14/Monatsplanung!$E14*Monatsplanung!$I14))</f>
        <v>2.1666666666666665</v>
      </c>
      <c r="U222" s="740"/>
      <c r="V222" s="168">
        <f t="shared" si="64"/>
        <v>3</v>
      </c>
      <c r="W222" s="168">
        <f>IF(ISERROR(Personalplanung!P14/Monatsplanung!$E14*Monatsplanung!$I14),0,Personalplanung!P14/Monatsplanung!$E14*Monatsplanung!$I14)</f>
        <v>0</v>
      </c>
      <c r="X222" s="168">
        <f>IF(ISERROR(Personalplanung!Q14/Monatsplanung!$E14*Monatsplanung!$I14),0,Personalplanung!Q14/Monatsplanung!$E14*Monatsplanung!$I14)</f>
        <v>166.66666666666666</v>
      </c>
      <c r="Y222" s="168">
        <f>IF(ISERROR(Personalplanung!R14/T1262*Stundencontrolling!T222),0,Personalplanung!R14/T1262*Stundencontrolling!T222)</f>
        <v>66.666666666666657</v>
      </c>
      <c r="Z222" s="168">
        <f>IF(ISERROR(Personalplanung!S14/Monatsplanung!$E14*Monatsplanung!$I14),0,Personalplanung!S14/Monatsplanung!$E14*Monatsplanung!$I14)</f>
        <v>50</v>
      </c>
      <c r="AA222" s="80">
        <f t="shared" si="65"/>
        <v>149701.61588180979</v>
      </c>
      <c r="AB222" s="102">
        <f t="shared" si="66"/>
        <v>0.1</v>
      </c>
      <c r="AC222" s="103">
        <f t="shared" si="67"/>
        <v>14970.161588180979</v>
      </c>
      <c r="AD222" s="103">
        <f t="shared" si="68"/>
        <v>134731.45429362881</v>
      </c>
      <c r="AE222" s="81">
        <f t="shared" si="69"/>
        <v>15</v>
      </c>
      <c r="AF222" s="539"/>
      <c r="AG222" s="104">
        <f t="shared" si="70"/>
        <v>1</v>
      </c>
      <c r="AH222" s="7">
        <f t="shared" si="71"/>
        <v>0</v>
      </c>
      <c r="AI222" s="6">
        <f t="shared" si="72"/>
        <v>15</v>
      </c>
      <c r="AJ222" s="73">
        <f t="shared" si="73"/>
        <v>998.01077254539859</v>
      </c>
      <c r="AK222" s="539"/>
      <c r="AL222" s="748"/>
      <c r="AM222" s="748"/>
    </row>
    <row r="223" spans="2:39" x14ac:dyDescent="0.2">
      <c r="B223" s="101" t="str">
        <f t="shared" si="58"/>
        <v>Facharbeiter</v>
      </c>
      <c r="C223" s="168">
        <f>IF(ISERROR(Personalplanung!F15/Monatsplanung!$E15*Monatsplanung!$I15),0,Personalplanung!F15/Monatsplanung!$E15*Monatsplanung!$I15)</f>
        <v>174</v>
      </c>
      <c r="D223" s="168">
        <f t="shared" si="59"/>
        <v>8</v>
      </c>
      <c r="E223" s="168">
        <f>IF(ISERROR(Personalplanung!H15/Monatsplanung!$E15*Monatsplanung!$I15),0,Personalplanung!H15/Monatsplanung!$E15*Monatsplanung!$I15)</f>
        <v>0</v>
      </c>
      <c r="F223" s="168">
        <f t="shared" si="60"/>
        <v>174</v>
      </c>
      <c r="G223" s="168">
        <f t="shared" si="61"/>
        <v>27.700831024930746</v>
      </c>
      <c r="H223" s="168">
        <f t="shared" si="62"/>
        <v>4819.9445983379501</v>
      </c>
      <c r="I223" s="168">
        <f t="shared" si="63"/>
        <v>30</v>
      </c>
      <c r="J223" s="739"/>
      <c r="K223" s="168">
        <f>IF(J223&lt;&gt;"",J223,IF(ISERROR(Personalplanung!AB15/Monatsplanung!$E15*Monatsplanung!$I15),0,Personalplanung!AB15/Monatsplanung!$E15*Monatsplanung!$I15))</f>
        <v>0.66666666666666663</v>
      </c>
      <c r="L223" s="740"/>
      <c r="M223" s="739"/>
      <c r="N223" s="168">
        <f>IF(M223&lt;&gt;"",M223,IF(ISERROR(Personalplanung!AC15/Monatsplanung!$E15*Monatsplanung!$I15),0,Personalplanung!AC15/Monatsplanung!$E15*Monatsplanung!$I15))</f>
        <v>0.16666666666666666</v>
      </c>
      <c r="O223" s="740"/>
      <c r="P223" s="739"/>
      <c r="Q223" s="168">
        <f>IF(P223&lt;&gt;"",P223,IF(ISERROR(Personalplanung!AD15/Monatsplanung!$E15*Monatsplanung!$I15),0,Personalplanung!AD15/Monatsplanung!$E15*Monatsplanung!$I15))</f>
        <v>0.41666666666666669</v>
      </c>
      <c r="R223" s="740"/>
      <c r="S223" s="739"/>
      <c r="T223" s="168">
        <f>IF(S223&lt;&gt;"",S223,IF(ISERROR(Personalplanung!AE15/Monatsplanung!$E15*Monatsplanung!$I15),0,Personalplanung!AE15/Monatsplanung!$E15*Monatsplanung!$I15))</f>
        <v>2.1666666666666665</v>
      </c>
      <c r="U223" s="740"/>
      <c r="V223" s="168">
        <f t="shared" si="64"/>
        <v>3.4166666666666665</v>
      </c>
      <c r="W223" s="168">
        <f>IF(ISERROR(Personalplanung!P15/Monatsplanung!$E15*Monatsplanung!$I15),0,Personalplanung!P15/Monatsplanung!$E15*Monatsplanung!$I15)</f>
        <v>0</v>
      </c>
      <c r="X223" s="168">
        <f>IF(ISERROR(Personalplanung!Q15/Monatsplanung!$E15*Monatsplanung!$I15),0,Personalplanung!Q15/Monatsplanung!$E15*Monatsplanung!$I15)</f>
        <v>0</v>
      </c>
      <c r="Y223" s="168">
        <f>IF(ISERROR(Personalplanung!R15/T1263*Stundencontrolling!T223),0,Personalplanung!R15/T1263*Stundencontrolling!T223)</f>
        <v>0</v>
      </c>
      <c r="Z223" s="168">
        <f>IF(ISERROR(Personalplanung!S15/Monatsplanung!$E15*Monatsplanung!$I15),0,Personalplanung!S15/Monatsplanung!$E15*Monatsplanung!$I15)</f>
        <v>0</v>
      </c>
      <c r="AA223" s="80">
        <f t="shared" si="65"/>
        <v>149418.28254847645</v>
      </c>
      <c r="AB223" s="102">
        <f t="shared" si="66"/>
        <v>0.1</v>
      </c>
      <c r="AC223" s="103">
        <f t="shared" si="67"/>
        <v>14941.828254847645</v>
      </c>
      <c r="AD223" s="103">
        <f t="shared" si="68"/>
        <v>134476.45429362881</v>
      </c>
      <c r="AE223" s="81">
        <f t="shared" si="69"/>
        <v>14.666666666666666</v>
      </c>
      <c r="AF223" s="539"/>
      <c r="AG223" s="104">
        <f t="shared" si="70"/>
        <v>1</v>
      </c>
      <c r="AH223" s="7">
        <f t="shared" si="71"/>
        <v>0</v>
      </c>
      <c r="AI223" s="6">
        <f t="shared" si="72"/>
        <v>14.666666666666666</v>
      </c>
      <c r="AJ223" s="73">
        <f t="shared" si="73"/>
        <v>1018.7610173759758</v>
      </c>
      <c r="AK223" s="539"/>
      <c r="AL223" s="748"/>
      <c r="AM223" s="748"/>
    </row>
    <row r="224" spans="2:39" x14ac:dyDescent="0.2">
      <c r="B224" s="101" t="str">
        <f t="shared" si="58"/>
        <v>Abgänger</v>
      </c>
      <c r="C224" s="168">
        <f>IF(ISERROR(Personalplanung!F16/Monatsplanung!$E16*Monatsplanung!$I16),0,Personalplanung!F16/Monatsplanung!$E16*Monatsplanung!$I16)</f>
        <v>174</v>
      </c>
      <c r="D224" s="168">
        <f t="shared" si="59"/>
        <v>8</v>
      </c>
      <c r="E224" s="168">
        <f>IF(ISERROR(Personalplanung!H16/Monatsplanung!$E16*Monatsplanung!$I16),0,Personalplanung!H16/Monatsplanung!$E16*Monatsplanung!$I16)</f>
        <v>0</v>
      </c>
      <c r="F224" s="168">
        <f t="shared" si="60"/>
        <v>174</v>
      </c>
      <c r="G224" s="168">
        <f t="shared" si="61"/>
        <v>27.700831024930746</v>
      </c>
      <c r="H224" s="168">
        <f t="shared" si="62"/>
        <v>4819.9445983379501</v>
      </c>
      <c r="I224" s="168">
        <f t="shared" si="63"/>
        <v>30</v>
      </c>
      <c r="J224" s="739"/>
      <c r="K224" s="168">
        <f>IF(J224&lt;&gt;"",J224,IF(ISERROR(Personalplanung!AB16/Monatsplanung!$E16*Monatsplanung!$I16),0,Personalplanung!AB16/Monatsplanung!$E16*Monatsplanung!$I16))</f>
        <v>1.6</v>
      </c>
      <c r="L224" s="740"/>
      <c r="M224" s="739"/>
      <c r="N224" s="168">
        <f>IF(M224&lt;&gt;"",M224,IF(ISERROR(Personalplanung!AC16/Monatsplanung!$E16*Monatsplanung!$I16),0,Personalplanung!AC16/Monatsplanung!$E16*Monatsplanung!$I16))</f>
        <v>0</v>
      </c>
      <c r="O224" s="740"/>
      <c r="P224" s="739"/>
      <c r="Q224" s="168">
        <f>IF(P224&lt;&gt;"",P224,IF(ISERROR(Personalplanung!AD16/Monatsplanung!$E16*Monatsplanung!$I16),0,Personalplanung!AD16/Monatsplanung!$E16*Monatsplanung!$I16))</f>
        <v>0.8</v>
      </c>
      <c r="R224" s="740"/>
      <c r="S224" s="739"/>
      <c r="T224" s="168">
        <f>IF(S224&lt;&gt;"",S224,IF(ISERROR(Personalplanung!AE16/Monatsplanung!$E16*Monatsplanung!$I16),0,Personalplanung!AE16/Monatsplanung!$E16*Monatsplanung!$I16))</f>
        <v>5.2</v>
      </c>
      <c r="U224" s="740"/>
      <c r="V224" s="168">
        <f t="shared" si="64"/>
        <v>7.6000000000000005</v>
      </c>
      <c r="W224" s="168">
        <f>IF(ISERROR(Personalplanung!P16/Monatsplanung!$E16*Monatsplanung!$I16),0,Personalplanung!P16/Monatsplanung!$E16*Monatsplanung!$I16)</f>
        <v>0</v>
      </c>
      <c r="X224" s="168">
        <f>IF(ISERROR(Personalplanung!Q16/Monatsplanung!$E16*Monatsplanung!$I16),0,Personalplanung!Q16/Monatsplanung!$E16*Monatsplanung!$I16)</f>
        <v>0</v>
      </c>
      <c r="Y224" s="168">
        <f>IF(ISERROR(Personalplanung!R16/T1264*Stundencontrolling!T224),0,Personalplanung!R16/T1264*Stundencontrolling!T224)</f>
        <v>0</v>
      </c>
      <c r="Z224" s="168">
        <f>IF(ISERROR(Personalplanung!S16/Monatsplanung!$E16*Monatsplanung!$I16),0,Personalplanung!S16/Monatsplanung!$E16*Monatsplanung!$I16)</f>
        <v>0</v>
      </c>
      <c r="AA224" s="80">
        <f t="shared" si="65"/>
        <v>149418.28254847645</v>
      </c>
      <c r="AB224" s="102">
        <f t="shared" si="66"/>
        <v>0.1</v>
      </c>
      <c r="AC224" s="103">
        <f t="shared" si="67"/>
        <v>14941.828254847645</v>
      </c>
      <c r="AD224" s="103">
        <f t="shared" si="68"/>
        <v>134476.45429362881</v>
      </c>
      <c r="AE224" s="81">
        <f t="shared" si="69"/>
        <v>11.32</v>
      </c>
      <c r="AF224" s="539"/>
      <c r="AG224" s="104">
        <f t="shared" si="70"/>
        <v>1</v>
      </c>
      <c r="AH224" s="7">
        <f t="shared" si="71"/>
        <v>0</v>
      </c>
      <c r="AI224" s="6">
        <f t="shared" si="72"/>
        <v>11.32</v>
      </c>
      <c r="AJ224" s="73">
        <f t="shared" si="73"/>
        <v>1319.9494924777071</v>
      </c>
      <c r="AK224" s="539"/>
      <c r="AL224" s="748"/>
      <c r="AM224" s="748"/>
    </row>
    <row r="225" spans="2:39" x14ac:dyDescent="0.2">
      <c r="B225" s="101" t="str">
        <f t="shared" si="58"/>
        <v>Facharbeiter</v>
      </c>
      <c r="C225" s="168">
        <f>IF(ISERROR(Personalplanung!F17/Monatsplanung!$E17*Monatsplanung!$I17),0,Personalplanung!F17/Monatsplanung!$E17*Monatsplanung!$I17)</f>
        <v>174</v>
      </c>
      <c r="D225" s="168">
        <f t="shared" si="59"/>
        <v>8</v>
      </c>
      <c r="E225" s="168">
        <f>IF(ISERROR(Personalplanung!H17/Monatsplanung!$E17*Monatsplanung!$I17),0,Personalplanung!H17/Monatsplanung!$E17*Monatsplanung!$I17)</f>
        <v>0</v>
      </c>
      <c r="F225" s="168">
        <f t="shared" si="60"/>
        <v>174</v>
      </c>
      <c r="G225" s="168">
        <f t="shared" si="61"/>
        <v>27.700831024930746</v>
      </c>
      <c r="H225" s="168">
        <f t="shared" si="62"/>
        <v>4819.9445983379501</v>
      </c>
      <c r="I225" s="168">
        <f t="shared" si="63"/>
        <v>30</v>
      </c>
      <c r="J225" s="739"/>
      <c r="K225" s="168">
        <f>IF(J225&lt;&gt;"",J225,IF(ISERROR(Personalplanung!AB17/Monatsplanung!$E17*Monatsplanung!$I17),0,Personalplanung!AB17/Monatsplanung!$E17*Monatsplanung!$I17))</f>
        <v>0.66666666666666663</v>
      </c>
      <c r="L225" s="740"/>
      <c r="M225" s="739"/>
      <c r="N225" s="168">
        <f>IF(M225&lt;&gt;"",M225,IF(ISERROR(Personalplanung!AC17/Monatsplanung!$E17*Monatsplanung!$I17),0,Personalplanung!AC17/Monatsplanung!$E17*Monatsplanung!$I17))</f>
        <v>0</v>
      </c>
      <c r="O225" s="740"/>
      <c r="P225" s="739"/>
      <c r="Q225" s="168">
        <f>IF(P225&lt;&gt;"",P225,IF(ISERROR(Personalplanung!AD17/Monatsplanung!$E17*Monatsplanung!$I17),0,Personalplanung!AD17/Monatsplanung!$E17*Monatsplanung!$I17))</f>
        <v>0.16666666666666666</v>
      </c>
      <c r="R225" s="740"/>
      <c r="S225" s="739"/>
      <c r="T225" s="168">
        <f>IF(S225&lt;&gt;"",S225,IF(ISERROR(Personalplanung!AE17/Monatsplanung!$E17*Monatsplanung!$I17),0,Personalplanung!AE17/Monatsplanung!$E17*Monatsplanung!$I17))</f>
        <v>2.1666666666666665</v>
      </c>
      <c r="U225" s="740"/>
      <c r="V225" s="168">
        <f t="shared" si="64"/>
        <v>3</v>
      </c>
      <c r="W225" s="168">
        <f>IF(ISERROR(Personalplanung!P17/Monatsplanung!$E17*Monatsplanung!$I17),0,Personalplanung!P17/Monatsplanung!$E17*Monatsplanung!$I17)</f>
        <v>0</v>
      </c>
      <c r="X225" s="168">
        <f>IF(ISERROR(Personalplanung!Q17/Monatsplanung!$E17*Monatsplanung!$I17),0,Personalplanung!Q17/Monatsplanung!$E17*Monatsplanung!$I17)</f>
        <v>0</v>
      </c>
      <c r="Y225" s="168">
        <f>IF(ISERROR(Personalplanung!R17/T1265*Stundencontrolling!T225),0,Personalplanung!R17/T1265*Stundencontrolling!T225)</f>
        <v>0</v>
      </c>
      <c r="Z225" s="168">
        <f>IF(ISERROR(Personalplanung!S17/Monatsplanung!$E17*Monatsplanung!$I17),0,Personalplanung!S17/Monatsplanung!$E17*Monatsplanung!$I17)</f>
        <v>0</v>
      </c>
      <c r="AA225" s="80">
        <f t="shared" si="65"/>
        <v>149418.28254847645</v>
      </c>
      <c r="AB225" s="102">
        <f t="shared" si="66"/>
        <v>0.1</v>
      </c>
      <c r="AC225" s="103">
        <f t="shared" si="67"/>
        <v>14941.828254847645</v>
      </c>
      <c r="AD225" s="103">
        <f t="shared" si="68"/>
        <v>134476.45429362881</v>
      </c>
      <c r="AE225" s="81">
        <f t="shared" si="69"/>
        <v>15</v>
      </c>
      <c r="AF225" s="539"/>
      <c r="AG225" s="104">
        <f t="shared" si="70"/>
        <v>1</v>
      </c>
      <c r="AH225" s="7">
        <f t="shared" si="71"/>
        <v>0</v>
      </c>
      <c r="AI225" s="6">
        <f t="shared" si="72"/>
        <v>15</v>
      </c>
      <c r="AJ225" s="73">
        <f t="shared" si="73"/>
        <v>996.12188365650968</v>
      </c>
      <c r="AK225" s="539"/>
      <c r="AL225" s="748"/>
      <c r="AM225" s="748"/>
    </row>
    <row r="226" spans="2:39" x14ac:dyDescent="0.2">
      <c r="B226" s="101" t="str">
        <f t="shared" si="58"/>
        <v>Facharbeiter</v>
      </c>
      <c r="C226" s="168">
        <f>IF(ISERROR(Personalplanung!F18/Monatsplanung!$E18*Monatsplanung!$I18),0,Personalplanung!F18/Monatsplanung!$E18*Monatsplanung!$I18)</f>
        <v>174</v>
      </c>
      <c r="D226" s="168">
        <f t="shared" si="59"/>
        <v>8</v>
      </c>
      <c r="E226" s="168">
        <f>IF(ISERROR(Personalplanung!H18/Monatsplanung!$E18*Monatsplanung!$I18),0,Personalplanung!H18/Monatsplanung!$E18*Monatsplanung!$I18)</f>
        <v>0</v>
      </c>
      <c r="F226" s="168">
        <f t="shared" si="60"/>
        <v>174</v>
      </c>
      <c r="G226" s="168">
        <f t="shared" si="61"/>
        <v>27.700831024930746</v>
      </c>
      <c r="H226" s="168">
        <f t="shared" si="62"/>
        <v>4819.9445983379501</v>
      </c>
      <c r="I226" s="168">
        <f t="shared" si="63"/>
        <v>30</v>
      </c>
      <c r="J226" s="739"/>
      <c r="K226" s="168">
        <f>IF(J226&lt;&gt;"",J226,IF(ISERROR(Personalplanung!AB18/Monatsplanung!$E18*Monatsplanung!$I18),0,Personalplanung!AB18/Monatsplanung!$E18*Monatsplanung!$I18))</f>
        <v>0.66666666666666663</v>
      </c>
      <c r="L226" s="740"/>
      <c r="M226" s="739"/>
      <c r="N226" s="168">
        <f>IF(M226&lt;&gt;"",M226,IF(ISERROR(Personalplanung!AC18/Monatsplanung!$E18*Monatsplanung!$I18),0,Personalplanung!AC18/Monatsplanung!$E18*Monatsplanung!$I18))</f>
        <v>0.33333333333333331</v>
      </c>
      <c r="O226" s="740"/>
      <c r="P226" s="739"/>
      <c r="Q226" s="168">
        <f>IF(P226&lt;&gt;"",P226,IF(ISERROR(Personalplanung!AD18/Monatsplanung!$E18*Monatsplanung!$I18),0,Personalplanung!AD18/Monatsplanung!$E18*Monatsplanung!$I18))</f>
        <v>0.16666666666666666</v>
      </c>
      <c r="R226" s="740"/>
      <c r="S226" s="739"/>
      <c r="T226" s="168">
        <f>IF(S226&lt;&gt;"",S226,IF(ISERROR(Personalplanung!AE18/Monatsplanung!$E18*Monatsplanung!$I18),0,Personalplanung!AE18/Monatsplanung!$E18*Monatsplanung!$I18))</f>
        <v>2.1666666666666665</v>
      </c>
      <c r="U226" s="740"/>
      <c r="V226" s="168">
        <f t="shared" si="64"/>
        <v>3.333333333333333</v>
      </c>
      <c r="W226" s="168">
        <f>IF(ISERROR(Personalplanung!P18/Monatsplanung!$E18*Monatsplanung!$I18),0,Personalplanung!P18/Monatsplanung!$E18*Monatsplanung!$I18)</f>
        <v>0</v>
      </c>
      <c r="X226" s="168">
        <f>IF(ISERROR(Personalplanung!Q18/Monatsplanung!$E18*Monatsplanung!$I18),0,Personalplanung!Q18/Monatsplanung!$E18*Monatsplanung!$I18)</f>
        <v>0</v>
      </c>
      <c r="Y226" s="168">
        <f>IF(ISERROR(Personalplanung!R18/T1266*Stundencontrolling!T226),0,Personalplanung!R18/T1266*Stundencontrolling!T226)</f>
        <v>0</v>
      </c>
      <c r="Z226" s="168">
        <f>IF(ISERROR(Personalplanung!S18/Monatsplanung!$E18*Monatsplanung!$I18),0,Personalplanung!S18/Monatsplanung!$E18*Monatsplanung!$I18)</f>
        <v>0</v>
      </c>
      <c r="AA226" s="80">
        <f t="shared" si="65"/>
        <v>149418.28254847645</v>
      </c>
      <c r="AB226" s="102">
        <f t="shared" si="66"/>
        <v>0.1</v>
      </c>
      <c r="AC226" s="103">
        <f t="shared" si="67"/>
        <v>14941.828254847645</v>
      </c>
      <c r="AD226" s="103">
        <f t="shared" si="68"/>
        <v>134476.45429362881</v>
      </c>
      <c r="AE226" s="81">
        <f t="shared" si="69"/>
        <v>14.733333333333334</v>
      </c>
      <c r="AF226" s="539"/>
      <c r="AG226" s="104">
        <f t="shared" si="70"/>
        <v>1</v>
      </c>
      <c r="AH226" s="7">
        <f t="shared" si="71"/>
        <v>0</v>
      </c>
      <c r="AI226" s="6">
        <f t="shared" si="72"/>
        <v>14.733333333333334</v>
      </c>
      <c r="AJ226" s="73">
        <f t="shared" si="73"/>
        <v>1014.1512390168084</v>
      </c>
      <c r="AK226" s="539"/>
      <c r="AL226" s="748"/>
      <c r="AM226" s="748"/>
    </row>
    <row r="227" spans="2:39" x14ac:dyDescent="0.2">
      <c r="B227" s="101" t="str">
        <f t="shared" si="58"/>
        <v>Elternzeit Geselle</v>
      </c>
      <c r="C227" s="168">
        <f>IF(ISERROR(Personalplanung!F19/Monatsplanung!$E19*Monatsplanung!$I19),0,Personalplanung!F19/Monatsplanung!$E19*Monatsplanung!$I19)</f>
        <v>0</v>
      </c>
      <c r="D227" s="168">
        <f t="shared" si="59"/>
        <v>6</v>
      </c>
      <c r="E227" s="168">
        <f>IF(ISERROR(Personalplanung!H19/Monatsplanung!$E19*Monatsplanung!$I19),0,Personalplanung!H19/Monatsplanung!$E19*Monatsplanung!$I19)</f>
        <v>0</v>
      </c>
      <c r="F227" s="168">
        <f t="shared" si="60"/>
        <v>0</v>
      </c>
      <c r="G227" s="168">
        <f t="shared" si="61"/>
        <v>27.700831024930746</v>
      </c>
      <c r="H227" s="168">
        <f t="shared" si="62"/>
        <v>0</v>
      </c>
      <c r="I227" s="168">
        <f t="shared" si="63"/>
        <v>30</v>
      </c>
      <c r="J227" s="739"/>
      <c r="K227" s="168">
        <f>IF(J227&lt;&gt;"",J227,IF(ISERROR(Personalplanung!AB19/Monatsplanung!$E19*Monatsplanung!$I19),0,Personalplanung!AB19/Monatsplanung!$E19*Monatsplanung!$I19))</f>
        <v>0</v>
      </c>
      <c r="L227" s="740"/>
      <c r="M227" s="739"/>
      <c r="N227" s="168">
        <f>IF(M227&lt;&gt;"",M227,IF(ISERROR(Personalplanung!AC19/Monatsplanung!$E19*Monatsplanung!$I19),0,Personalplanung!AC19/Monatsplanung!$E19*Monatsplanung!$I19))</f>
        <v>0</v>
      </c>
      <c r="O227" s="740"/>
      <c r="P227" s="739"/>
      <c r="Q227" s="168">
        <f>IF(P227&lt;&gt;"",P227,IF(ISERROR(Personalplanung!AD19/Monatsplanung!$E19*Monatsplanung!$I19),0,Personalplanung!AD19/Monatsplanung!$E19*Monatsplanung!$I19))</f>
        <v>0</v>
      </c>
      <c r="R227" s="740"/>
      <c r="S227" s="739"/>
      <c r="T227" s="168">
        <f>IF(S227&lt;&gt;"",S227,IF(ISERROR(Personalplanung!AE19/Monatsplanung!$E19*Monatsplanung!$I19),0,Personalplanung!AE19/Monatsplanung!$E19*Monatsplanung!$I19))</f>
        <v>0</v>
      </c>
      <c r="U227" s="740"/>
      <c r="V227" s="168">
        <f t="shared" si="64"/>
        <v>0</v>
      </c>
      <c r="W227" s="168">
        <f>IF(ISERROR(Personalplanung!P19/Monatsplanung!$E19*Monatsplanung!$I19),0,Personalplanung!P19/Monatsplanung!$E19*Monatsplanung!$I19)</f>
        <v>0</v>
      </c>
      <c r="X227" s="168">
        <f>IF(ISERROR(Personalplanung!Q19/Monatsplanung!$E19*Monatsplanung!$I19),0,Personalplanung!Q19/Monatsplanung!$E19*Monatsplanung!$I19)</f>
        <v>0</v>
      </c>
      <c r="Y227" s="168">
        <f>IF(ISERROR(Personalplanung!R19/T1267*Stundencontrolling!T227),0,Personalplanung!R19/T1267*Stundencontrolling!T227)</f>
        <v>0</v>
      </c>
      <c r="Z227" s="168">
        <f>IF(ISERROR(Personalplanung!S19/Monatsplanung!$E19*Monatsplanung!$I19),0,Personalplanung!S19/Monatsplanung!$E19*Monatsplanung!$I19)</f>
        <v>0</v>
      </c>
      <c r="AA227" s="80">
        <f t="shared" si="65"/>
        <v>0</v>
      </c>
      <c r="AB227" s="102">
        <f t="shared" si="66"/>
        <v>0.1</v>
      </c>
      <c r="AC227" s="103">
        <f t="shared" si="67"/>
        <v>0</v>
      </c>
      <c r="AD227" s="103">
        <f t="shared" si="68"/>
        <v>0</v>
      </c>
      <c r="AE227" s="81">
        <f t="shared" si="69"/>
        <v>0</v>
      </c>
      <c r="AF227" s="539"/>
      <c r="AG227" s="104">
        <f t="shared" si="70"/>
        <v>1</v>
      </c>
      <c r="AH227" s="7">
        <f t="shared" si="71"/>
        <v>0</v>
      </c>
      <c r="AI227" s="6">
        <f t="shared" si="72"/>
        <v>0</v>
      </c>
      <c r="AJ227" s="73">
        <f t="shared" si="73"/>
        <v>0</v>
      </c>
      <c r="AK227" s="539"/>
      <c r="AL227" s="748"/>
      <c r="AM227" s="748"/>
    </row>
    <row r="228" spans="2:39" x14ac:dyDescent="0.2">
      <c r="B228" s="101" t="str">
        <f t="shared" si="58"/>
        <v>A. Zubi</v>
      </c>
      <c r="C228" s="168">
        <f>IF(ISERROR(Personalplanung!F20/Monatsplanung!$E20*Monatsplanung!$I20),0,Personalplanung!F20/Monatsplanung!$E20*Monatsplanung!$I20)</f>
        <v>174</v>
      </c>
      <c r="D228" s="168">
        <f t="shared" si="59"/>
        <v>8</v>
      </c>
      <c r="E228" s="168">
        <f>IF(ISERROR(Personalplanung!H20/Monatsplanung!$E20*Monatsplanung!$I20),0,Personalplanung!H20/Monatsplanung!$E20*Monatsplanung!$I20)</f>
        <v>0</v>
      </c>
      <c r="F228" s="168">
        <f t="shared" si="60"/>
        <v>174</v>
      </c>
      <c r="G228" s="168">
        <f t="shared" si="61"/>
        <v>27.700831024930746</v>
      </c>
      <c r="H228" s="168">
        <f t="shared" si="62"/>
        <v>4819.9445983379501</v>
      </c>
      <c r="I228" s="168">
        <f t="shared" si="63"/>
        <v>30</v>
      </c>
      <c r="J228" s="739"/>
      <c r="K228" s="168">
        <f>IF(J228&lt;&gt;"",J228,IF(ISERROR(Personalplanung!AB20/Monatsplanung!$E20*Monatsplanung!$I20),0,Personalplanung!AB20/Monatsplanung!$E20*Monatsplanung!$I20))</f>
        <v>0.66666666666666663</v>
      </c>
      <c r="L228" s="740"/>
      <c r="M228" s="739"/>
      <c r="N228" s="168">
        <f>IF(M228&lt;&gt;"",M228,IF(ISERROR(Personalplanung!AC20/Monatsplanung!$E20*Monatsplanung!$I20),0,Personalplanung!AC20/Monatsplanung!$E20*Monatsplanung!$I20))</f>
        <v>0.25</v>
      </c>
      <c r="O228" s="740"/>
      <c r="P228" s="739"/>
      <c r="Q228" s="168">
        <f>IF(P228&lt;&gt;"",P228,IF(ISERROR(Personalplanung!AD20/Monatsplanung!$E20*Monatsplanung!$I20),0,Personalplanung!AD20/Monatsplanung!$E20*Monatsplanung!$I20))</f>
        <v>0.16666666666666666</v>
      </c>
      <c r="R228" s="740"/>
      <c r="S228" s="739"/>
      <c r="T228" s="168">
        <f>IF(S228&lt;&gt;"",S228,IF(ISERROR(Personalplanung!AE20/Monatsplanung!$E20*Monatsplanung!$I20),0,Personalplanung!AE20/Monatsplanung!$E20*Monatsplanung!$I20))</f>
        <v>2.1666666666666665</v>
      </c>
      <c r="U228" s="740"/>
      <c r="V228" s="168">
        <f t="shared" si="64"/>
        <v>3.25</v>
      </c>
      <c r="W228" s="168">
        <f>IF(ISERROR(Personalplanung!P20/Monatsplanung!$E20*Monatsplanung!$I20),0,Personalplanung!P20/Monatsplanung!$E20*Monatsplanung!$I20)</f>
        <v>0</v>
      </c>
      <c r="X228" s="168">
        <f>IF(ISERROR(Personalplanung!Q20/Monatsplanung!$E20*Monatsplanung!$I20),0,Personalplanung!Q20/Monatsplanung!$E20*Monatsplanung!$I20)</f>
        <v>0</v>
      </c>
      <c r="Y228" s="168">
        <f>IF(ISERROR(Personalplanung!R20/T1268*Stundencontrolling!T228),0,Personalplanung!R20/T1268*Stundencontrolling!T228)</f>
        <v>0</v>
      </c>
      <c r="Z228" s="168">
        <f>IF(ISERROR(Personalplanung!S20/Monatsplanung!$E20*Monatsplanung!$I20),0,Personalplanung!S20/Monatsplanung!$E20*Monatsplanung!$I20)</f>
        <v>0</v>
      </c>
      <c r="AA228" s="80">
        <f t="shared" si="65"/>
        <v>149418.28254847645</v>
      </c>
      <c r="AB228" s="102">
        <f t="shared" si="66"/>
        <v>0.1</v>
      </c>
      <c r="AC228" s="103">
        <f t="shared" si="67"/>
        <v>14941.828254847645</v>
      </c>
      <c r="AD228" s="103">
        <f t="shared" si="68"/>
        <v>134476.45429362881</v>
      </c>
      <c r="AE228" s="81">
        <f t="shared" si="69"/>
        <v>14.8</v>
      </c>
      <c r="AF228" s="539"/>
      <c r="AG228" s="104">
        <f t="shared" si="70"/>
        <v>1</v>
      </c>
      <c r="AH228" s="7">
        <f t="shared" si="71"/>
        <v>0</v>
      </c>
      <c r="AI228" s="6">
        <f t="shared" si="72"/>
        <v>14.8</v>
      </c>
      <c r="AJ228" s="73">
        <f t="shared" si="73"/>
        <v>1009.5829901924084</v>
      </c>
      <c r="AK228" s="539"/>
      <c r="AL228" s="748"/>
      <c r="AM228" s="748"/>
    </row>
    <row r="229" spans="2:39" x14ac:dyDescent="0.2">
      <c r="B229" s="101" t="str">
        <f t="shared" si="58"/>
        <v>Zur Ausbildung</v>
      </c>
      <c r="C229" s="168">
        <f>IF(ISERROR(Personalplanung!F21/Monatsplanung!$E21*Monatsplanung!$I21),0,Personalplanung!F21/Monatsplanung!$E21*Monatsplanung!$I21)</f>
        <v>0</v>
      </c>
      <c r="D229" s="168">
        <f t="shared" si="59"/>
        <v>8</v>
      </c>
      <c r="E229" s="168">
        <f>IF(ISERROR(Personalplanung!H21/Monatsplanung!$E21*Monatsplanung!$I21),0,Personalplanung!H21/Monatsplanung!$E21*Monatsplanung!$I21)</f>
        <v>0</v>
      </c>
      <c r="F229" s="168">
        <f t="shared" si="60"/>
        <v>0</v>
      </c>
      <c r="G229" s="168">
        <f t="shared" si="61"/>
        <v>27.700831024930746</v>
      </c>
      <c r="H229" s="168">
        <f t="shared" si="62"/>
        <v>0</v>
      </c>
      <c r="I229" s="168">
        <f t="shared" si="63"/>
        <v>30</v>
      </c>
      <c r="J229" s="739"/>
      <c r="K229" s="168">
        <f>IF(J229&lt;&gt;"",J229,IF(ISERROR(Personalplanung!AB21/Monatsplanung!$E21*Monatsplanung!$I21),0,Personalplanung!AB21/Monatsplanung!$E21*Monatsplanung!$I21))</f>
        <v>0</v>
      </c>
      <c r="L229" s="740"/>
      <c r="M229" s="739"/>
      <c r="N229" s="168">
        <f>IF(M229&lt;&gt;"",M229,IF(ISERROR(Personalplanung!AC21/Monatsplanung!$E21*Monatsplanung!$I21),0,Personalplanung!AC21/Monatsplanung!$E21*Monatsplanung!$I21))</f>
        <v>0</v>
      </c>
      <c r="O229" s="740"/>
      <c r="P229" s="739"/>
      <c r="Q229" s="168">
        <f>IF(P229&lt;&gt;"",P229,IF(ISERROR(Personalplanung!AD21/Monatsplanung!$E21*Monatsplanung!$I21),0,Personalplanung!AD21/Monatsplanung!$E21*Monatsplanung!$I21))</f>
        <v>0</v>
      </c>
      <c r="R229" s="740"/>
      <c r="S229" s="739"/>
      <c r="T229" s="168">
        <f>IF(S229&lt;&gt;"",S229,IF(ISERROR(Personalplanung!AE21/Monatsplanung!$E21*Monatsplanung!$I21),0,Personalplanung!AE21/Monatsplanung!$E21*Monatsplanung!$I21))</f>
        <v>0</v>
      </c>
      <c r="U229" s="740"/>
      <c r="V229" s="168">
        <f t="shared" si="64"/>
        <v>0</v>
      </c>
      <c r="W229" s="168">
        <f>IF(ISERROR(Personalplanung!P21/Monatsplanung!$E21*Monatsplanung!$I21),0,Personalplanung!P21/Monatsplanung!$E21*Monatsplanung!$I21)</f>
        <v>0</v>
      </c>
      <c r="X229" s="168">
        <f>IF(ISERROR(Personalplanung!Q21/Monatsplanung!$E21*Monatsplanung!$I21),0,Personalplanung!Q21/Monatsplanung!$E21*Monatsplanung!$I21)</f>
        <v>0</v>
      </c>
      <c r="Y229" s="168">
        <f>IF(ISERROR(Personalplanung!R21/T1269*Stundencontrolling!T229),0,Personalplanung!R21/T1269*Stundencontrolling!T229)</f>
        <v>0</v>
      </c>
      <c r="Z229" s="168">
        <f>IF(ISERROR(Personalplanung!S21/Monatsplanung!$E21*Monatsplanung!$I21),0,Personalplanung!S21/Monatsplanung!$E21*Monatsplanung!$I21)</f>
        <v>0</v>
      </c>
      <c r="AA229" s="80">
        <f t="shared" si="65"/>
        <v>0</v>
      </c>
      <c r="AB229" s="102">
        <f t="shared" si="66"/>
        <v>0.1</v>
      </c>
      <c r="AC229" s="103">
        <f t="shared" si="67"/>
        <v>0</v>
      </c>
      <c r="AD229" s="103">
        <f t="shared" si="68"/>
        <v>0</v>
      </c>
      <c r="AE229" s="81">
        <f t="shared" si="69"/>
        <v>0</v>
      </c>
      <c r="AF229" s="539"/>
      <c r="AG229" s="104">
        <f t="shared" si="70"/>
        <v>1</v>
      </c>
      <c r="AH229" s="7">
        <f t="shared" si="71"/>
        <v>0</v>
      </c>
      <c r="AI229" s="6">
        <f t="shared" si="72"/>
        <v>0</v>
      </c>
      <c r="AJ229" s="73">
        <f t="shared" si="73"/>
        <v>0</v>
      </c>
      <c r="AK229" s="539"/>
      <c r="AL229" s="748"/>
      <c r="AM229" s="748"/>
    </row>
    <row r="230" spans="2:39" x14ac:dyDescent="0.2">
      <c r="B230" s="101" t="str">
        <f t="shared" si="58"/>
        <v>Reine Putze</v>
      </c>
      <c r="C230" s="168">
        <f>IF(ISERROR(Personalplanung!F22/Monatsplanung!$E22*Monatsplanung!$I22),0,Personalplanung!F22/Monatsplanung!$E22*Monatsplanung!$I22)</f>
        <v>52.199999999999996</v>
      </c>
      <c r="D230" s="168">
        <f t="shared" si="59"/>
        <v>2.4</v>
      </c>
      <c r="E230" s="168">
        <f>IF(ISERROR(Personalplanung!H22/Monatsplanung!$E22*Monatsplanung!$I22),0,Personalplanung!H22/Monatsplanung!$E22*Monatsplanung!$I22)</f>
        <v>0</v>
      </c>
      <c r="F230" s="168">
        <f t="shared" si="60"/>
        <v>52.199999999999996</v>
      </c>
      <c r="G230" s="168">
        <f t="shared" si="61"/>
        <v>27.700831024930746</v>
      </c>
      <c r="H230" s="168">
        <f t="shared" si="62"/>
        <v>1445.9833795013849</v>
      </c>
      <c r="I230" s="168">
        <f t="shared" si="63"/>
        <v>30</v>
      </c>
      <c r="J230" s="739"/>
      <c r="K230" s="168">
        <f>IF(J230&lt;&gt;"",J230,IF(ISERROR(Personalplanung!AB22/Monatsplanung!$E22*Monatsplanung!$I22),0,Personalplanung!AB22/Monatsplanung!$E22*Monatsplanung!$I22))</f>
        <v>0.25</v>
      </c>
      <c r="L230" s="740"/>
      <c r="M230" s="739"/>
      <c r="N230" s="168">
        <f>IF(M230&lt;&gt;"",M230,IF(ISERROR(Personalplanung!AC22/Monatsplanung!$E22*Monatsplanung!$I22),0,Personalplanung!AC22/Monatsplanung!$E22*Monatsplanung!$I22))</f>
        <v>0</v>
      </c>
      <c r="O230" s="740"/>
      <c r="P230" s="739"/>
      <c r="Q230" s="168">
        <f>IF(P230&lt;&gt;"",P230,IF(ISERROR(Personalplanung!AD22/Monatsplanung!$E22*Monatsplanung!$I22),0,Personalplanung!AD22/Monatsplanung!$E22*Monatsplanung!$I22))</f>
        <v>0</v>
      </c>
      <c r="R230" s="740"/>
      <c r="S230" s="739"/>
      <c r="T230" s="168">
        <f>IF(S230&lt;&gt;"",S230,IF(ISERROR(Personalplanung!AE22/Monatsplanung!$E22*Monatsplanung!$I22),0,Personalplanung!AE22/Monatsplanung!$E22*Monatsplanung!$I22))</f>
        <v>2.1666666666666665</v>
      </c>
      <c r="U230" s="740"/>
      <c r="V230" s="168">
        <f t="shared" si="64"/>
        <v>2.4166666666666665</v>
      </c>
      <c r="W230" s="168">
        <f>IF(ISERROR(Personalplanung!P22/Monatsplanung!$E22*Monatsplanung!$I22),0,Personalplanung!P22/Monatsplanung!$E22*Monatsplanung!$I22)</f>
        <v>0</v>
      </c>
      <c r="X230" s="168">
        <f>IF(ISERROR(Personalplanung!Q22/Monatsplanung!$E22*Monatsplanung!$I22),0,Personalplanung!Q22/Monatsplanung!$E22*Monatsplanung!$I22)</f>
        <v>0</v>
      </c>
      <c r="Y230" s="168">
        <f>IF(ISERROR(Personalplanung!R22/T1270*Stundencontrolling!T230),0,Personalplanung!R22/T1270*Stundencontrolling!T230)</f>
        <v>0</v>
      </c>
      <c r="Z230" s="168">
        <f>IF(ISERROR(Personalplanung!S22/Monatsplanung!$E22*Monatsplanung!$I22),0,Personalplanung!S22/Monatsplanung!$E22*Monatsplanung!$I22)</f>
        <v>0</v>
      </c>
      <c r="AA230" s="80">
        <f t="shared" si="65"/>
        <v>44825.484764542933</v>
      </c>
      <c r="AB230" s="102">
        <f t="shared" si="66"/>
        <v>0.1</v>
      </c>
      <c r="AC230" s="103">
        <f t="shared" si="67"/>
        <v>4482.5484764542934</v>
      </c>
      <c r="AD230" s="103">
        <f t="shared" si="68"/>
        <v>40342.93628808864</v>
      </c>
      <c r="AE230" s="81">
        <f t="shared" si="69"/>
        <v>4.6399999999999997</v>
      </c>
      <c r="AF230" s="539"/>
      <c r="AG230" s="104">
        <f t="shared" si="70"/>
        <v>1</v>
      </c>
      <c r="AH230" s="7">
        <f t="shared" si="71"/>
        <v>0</v>
      </c>
      <c r="AI230" s="6">
        <f t="shared" si="72"/>
        <v>4.6399999999999997</v>
      </c>
      <c r="AJ230" s="73">
        <f t="shared" si="73"/>
        <v>966.06648199445988</v>
      </c>
      <c r="AK230" s="539"/>
      <c r="AL230" s="748"/>
      <c r="AM230" s="748"/>
    </row>
    <row r="231" spans="2:39" x14ac:dyDescent="0.2">
      <c r="B231" s="101" t="str">
        <f t="shared" si="58"/>
        <v/>
      </c>
      <c r="C231" s="168">
        <f>IF(ISERROR(Personalplanung!F23/Monatsplanung!$E23*Monatsplanung!$I23),0,Personalplanung!F23/Monatsplanung!$E23*Monatsplanung!$I23)</f>
        <v>0</v>
      </c>
      <c r="D231" s="168">
        <f t="shared" si="59"/>
        <v>0</v>
      </c>
      <c r="E231" s="168">
        <f>IF(ISERROR(Personalplanung!H23/Monatsplanung!$E23*Monatsplanung!$I23),0,Personalplanung!H23/Monatsplanung!$E23*Monatsplanung!$I23)</f>
        <v>0</v>
      </c>
      <c r="F231" s="168">
        <f t="shared" si="60"/>
        <v>0</v>
      </c>
      <c r="G231" s="168">
        <f t="shared" si="61"/>
        <v>27.700831024930746</v>
      </c>
      <c r="H231" s="168">
        <f t="shared" si="62"/>
        <v>0</v>
      </c>
      <c r="I231" s="168">
        <f t="shared" si="63"/>
        <v>30</v>
      </c>
      <c r="J231" s="739"/>
      <c r="K231" s="168">
        <f>IF(J231&lt;&gt;"",J231,IF(ISERROR(Personalplanung!AB23/Monatsplanung!$E23*Monatsplanung!$I23),0,Personalplanung!AB23/Monatsplanung!$E23*Monatsplanung!$I23))</f>
        <v>0</v>
      </c>
      <c r="L231" s="740"/>
      <c r="M231" s="739"/>
      <c r="N231" s="168">
        <f>IF(M231&lt;&gt;"",M231,IF(ISERROR(Personalplanung!AC23/Monatsplanung!$E23*Monatsplanung!$I23),0,Personalplanung!AC23/Monatsplanung!$E23*Monatsplanung!$I23))</f>
        <v>0</v>
      </c>
      <c r="O231" s="740"/>
      <c r="P231" s="739"/>
      <c r="Q231" s="168">
        <f>IF(P231&lt;&gt;"",P231,IF(ISERROR(Personalplanung!AD23/Monatsplanung!$E23*Monatsplanung!$I23),0,Personalplanung!AD23/Monatsplanung!$E23*Monatsplanung!$I23))</f>
        <v>0</v>
      </c>
      <c r="R231" s="740"/>
      <c r="S231" s="739"/>
      <c r="T231" s="168">
        <f>IF(S231&lt;&gt;"",S231,IF(ISERROR(Personalplanung!AE23/Monatsplanung!$E23*Monatsplanung!$I23),0,Personalplanung!AE23/Monatsplanung!$E23*Monatsplanung!$I23))</f>
        <v>0</v>
      </c>
      <c r="U231" s="740"/>
      <c r="V231" s="168">
        <f t="shared" si="64"/>
        <v>0</v>
      </c>
      <c r="W231" s="168">
        <f>IF(ISERROR(Personalplanung!P23/Monatsplanung!$E23*Monatsplanung!$I23),0,Personalplanung!P23/Monatsplanung!$E23*Monatsplanung!$I23)</f>
        <v>0</v>
      </c>
      <c r="X231" s="168">
        <f>IF(ISERROR(Personalplanung!Q23/Monatsplanung!$E23*Monatsplanung!$I23),0,Personalplanung!Q23/Monatsplanung!$E23*Monatsplanung!$I23)</f>
        <v>0</v>
      </c>
      <c r="Y231" s="168">
        <f>IF(ISERROR(Personalplanung!R23/T1271*Stundencontrolling!T231),0,Personalplanung!R23/T1271*Stundencontrolling!T231)</f>
        <v>0</v>
      </c>
      <c r="Z231" s="168">
        <f>IF(ISERROR(Personalplanung!S23/Monatsplanung!$E23*Monatsplanung!$I23),0,Personalplanung!S23/Monatsplanung!$E23*Monatsplanung!$I23)</f>
        <v>0</v>
      </c>
      <c r="AA231" s="80">
        <f t="shared" si="65"/>
        <v>0</v>
      </c>
      <c r="AB231" s="102">
        <f t="shared" si="66"/>
        <v>0.1</v>
      </c>
      <c r="AC231" s="103">
        <f t="shared" si="67"/>
        <v>0</v>
      </c>
      <c r="AD231" s="103">
        <f t="shared" si="68"/>
        <v>0</v>
      </c>
      <c r="AE231" s="81">
        <f t="shared" si="69"/>
        <v>0</v>
      </c>
      <c r="AF231" s="539"/>
      <c r="AG231" s="104">
        <f t="shared" si="70"/>
        <v>1</v>
      </c>
      <c r="AH231" s="7">
        <f t="shared" si="71"/>
        <v>0</v>
      </c>
      <c r="AI231" s="6">
        <f t="shared" si="72"/>
        <v>0</v>
      </c>
      <c r="AJ231" s="73">
        <f t="shared" si="73"/>
        <v>0</v>
      </c>
      <c r="AK231" s="539"/>
      <c r="AL231" s="748"/>
      <c r="AM231" s="748"/>
    </row>
    <row r="232" spans="2:39" x14ac:dyDescent="0.2">
      <c r="B232" s="101" t="str">
        <f t="shared" si="58"/>
        <v/>
      </c>
      <c r="C232" s="168">
        <f>IF(ISERROR(Personalplanung!F24/Monatsplanung!$E24*Monatsplanung!$I24),0,Personalplanung!F24/Monatsplanung!$E24*Monatsplanung!$I24)</f>
        <v>0</v>
      </c>
      <c r="D232" s="168">
        <f t="shared" si="59"/>
        <v>0</v>
      </c>
      <c r="E232" s="168">
        <f>IF(ISERROR(Personalplanung!H24/Monatsplanung!$E24*Monatsplanung!$I24),0,Personalplanung!H24/Monatsplanung!$E24*Monatsplanung!$I24)</f>
        <v>0</v>
      </c>
      <c r="F232" s="168">
        <f t="shared" si="60"/>
        <v>0</v>
      </c>
      <c r="G232" s="168">
        <f t="shared" si="61"/>
        <v>27.700831024930746</v>
      </c>
      <c r="H232" s="168">
        <f t="shared" si="62"/>
        <v>0</v>
      </c>
      <c r="I232" s="168">
        <f t="shared" si="63"/>
        <v>30</v>
      </c>
      <c r="J232" s="739"/>
      <c r="K232" s="168">
        <f>IF(J232&lt;&gt;"",J232,IF(ISERROR(Personalplanung!AB24/Monatsplanung!$E24*Monatsplanung!$I24),0,Personalplanung!AB24/Monatsplanung!$E24*Monatsplanung!$I24))</f>
        <v>0</v>
      </c>
      <c r="L232" s="740"/>
      <c r="M232" s="739"/>
      <c r="N232" s="168">
        <f>IF(M232&lt;&gt;"",M232,IF(ISERROR(Personalplanung!AC24/Monatsplanung!$E24*Monatsplanung!$I24),0,Personalplanung!AC24/Monatsplanung!$E24*Monatsplanung!$I24))</f>
        <v>0</v>
      </c>
      <c r="O232" s="740"/>
      <c r="P232" s="739"/>
      <c r="Q232" s="168">
        <f>IF(P232&lt;&gt;"",P232,IF(ISERROR(Personalplanung!AD24/Monatsplanung!$E24*Monatsplanung!$I24),0,Personalplanung!AD24/Monatsplanung!$E24*Monatsplanung!$I24))</f>
        <v>0</v>
      </c>
      <c r="R232" s="740"/>
      <c r="S232" s="739"/>
      <c r="T232" s="168">
        <f>IF(S232&lt;&gt;"",S232,IF(ISERROR(Personalplanung!AE24/Monatsplanung!$E24*Monatsplanung!$I24),0,Personalplanung!AE24/Monatsplanung!$E24*Monatsplanung!$I24))</f>
        <v>0</v>
      </c>
      <c r="U232" s="740"/>
      <c r="V232" s="168">
        <f t="shared" si="64"/>
        <v>0</v>
      </c>
      <c r="W232" s="168">
        <f>IF(ISERROR(Personalplanung!P24/Monatsplanung!$E24*Monatsplanung!$I24),0,Personalplanung!P24/Monatsplanung!$E24*Monatsplanung!$I24)</f>
        <v>0</v>
      </c>
      <c r="X232" s="168">
        <f>IF(ISERROR(Personalplanung!Q24/Monatsplanung!$E24*Monatsplanung!$I24),0,Personalplanung!Q24/Monatsplanung!$E24*Monatsplanung!$I24)</f>
        <v>0</v>
      </c>
      <c r="Y232" s="168">
        <f>IF(ISERROR(Personalplanung!R24/T1272*Stundencontrolling!T232),0,Personalplanung!R24/T1272*Stundencontrolling!T232)</f>
        <v>0</v>
      </c>
      <c r="Z232" s="168">
        <f>IF(ISERROR(Personalplanung!S24/Monatsplanung!$E24*Monatsplanung!$I24),0,Personalplanung!S24/Monatsplanung!$E24*Monatsplanung!$I24)</f>
        <v>0</v>
      </c>
      <c r="AA232" s="80">
        <f t="shared" si="65"/>
        <v>0</v>
      </c>
      <c r="AB232" s="102">
        <f t="shared" si="66"/>
        <v>0.1</v>
      </c>
      <c r="AC232" s="103">
        <f t="shared" si="67"/>
        <v>0</v>
      </c>
      <c r="AD232" s="103">
        <f t="shared" si="68"/>
        <v>0</v>
      </c>
      <c r="AE232" s="81">
        <f t="shared" si="69"/>
        <v>0</v>
      </c>
      <c r="AF232" s="539"/>
      <c r="AG232" s="104">
        <f t="shared" si="70"/>
        <v>1</v>
      </c>
      <c r="AH232" s="7">
        <f t="shared" si="71"/>
        <v>0</v>
      </c>
      <c r="AI232" s="6">
        <f t="shared" si="72"/>
        <v>0</v>
      </c>
      <c r="AJ232" s="73">
        <f t="shared" si="73"/>
        <v>0</v>
      </c>
      <c r="AK232" s="539"/>
      <c r="AL232" s="748"/>
      <c r="AM232" s="748"/>
    </row>
    <row r="233" spans="2:39" x14ac:dyDescent="0.2">
      <c r="B233" s="101" t="str">
        <f t="shared" si="58"/>
        <v/>
      </c>
      <c r="C233" s="168">
        <f>IF(ISERROR(Personalplanung!F25/Monatsplanung!$E25*Monatsplanung!$I25),0,Personalplanung!F25/Monatsplanung!$E25*Monatsplanung!$I25)</f>
        <v>0</v>
      </c>
      <c r="D233" s="168">
        <f t="shared" si="59"/>
        <v>0</v>
      </c>
      <c r="E233" s="168">
        <f>IF(ISERROR(Personalplanung!H25/Monatsplanung!$E25*Monatsplanung!$I25),0,Personalplanung!H25/Monatsplanung!$E25*Monatsplanung!$I25)</f>
        <v>0</v>
      </c>
      <c r="F233" s="168">
        <f t="shared" si="60"/>
        <v>0</v>
      </c>
      <c r="G233" s="168">
        <f t="shared" si="61"/>
        <v>27.700831024930746</v>
      </c>
      <c r="H233" s="168">
        <f t="shared" si="62"/>
        <v>0</v>
      </c>
      <c r="I233" s="168">
        <f t="shared" si="63"/>
        <v>30</v>
      </c>
      <c r="J233" s="739"/>
      <c r="K233" s="168">
        <f>IF(J233&lt;&gt;"",J233,IF(ISERROR(Personalplanung!AB25/Monatsplanung!$E25*Monatsplanung!$I25),0,Personalplanung!AB25/Monatsplanung!$E25*Monatsplanung!$I25))</f>
        <v>0</v>
      </c>
      <c r="L233" s="740"/>
      <c r="M233" s="739"/>
      <c r="N233" s="168">
        <f>IF(M233&lt;&gt;"",M233,IF(ISERROR(Personalplanung!AC25/Monatsplanung!$E25*Monatsplanung!$I25),0,Personalplanung!AC25/Monatsplanung!$E25*Monatsplanung!$I25))</f>
        <v>0</v>
      </c>
      <c r="O233" s="740"/>
      <c r="P233" s="739"/>
      <c r="Q233" s="168">
        <f>IF(P233&lt;&gt;"",P233,IF(ISERROR(Personalplanung!AD25/Monatsplanung!$E25*Monatsplanung!$I25),0,Personalplanung!AD25/Monatsplanung!$E25*Monatsplanung!$I25))</f>
        <v>0</v>
      </c>
      <c r="R233" s="740"/>
      <c r="S233" s="739"/>
      <c r="T233" s="168">
        <f>IF(S233&lt;&gt;"",S233,IF(ISERROR(Personalplanung!AE25/Monatsplanung!$E25*Monatsplanung!$I25),0,Personalplanung!AE25/Monatsplanung!$E25*Monatsplanung!$I25))</f>
        <v>0</v>
      </c>
      <c r="U233" s="740"/>
      <c r="V233" s="168">
        <f t="shared" si="64"/>
        <v>0</v>
      </c>
      <c r="W233" s="168">
        <f>IF(ISERROR(Personalplanung!P25/Monatsplanung!$E25*Monatsplanung!$I25),0,Personalplanung!P25/Monatsplanung!$E25*Monatsplanung!$I25)</f>
        <v>0</v>
      </c>
      <c r="X233" s="168">
        <f>IF(ISERROR(Personalplanung!Q25/Monatsplanung!$E25*Monatsplanung!$I25),0,Personalplanung!Q25/Monatsplanung!$E25*Monatsplanung!$I25)</f>
        <v>0</v>
      </c>
      <c r="Y233" s="168">
        <f>IF(ISERROR(Personalplanung!R25/T1273*Stundencontrolling!T233),0,Personalplanung!R25/T1273*Stundencontrolling!T233)</f>
        <v>0</v>
      </c>
      <c r="Z233" s="168">
        <f>IF(ISERROR(Personalplanung!S25/Monatsplanung!$E25*Monatsplanung!$I25),0,Personalplanung!S25/Monatsplanung!$E25*Monatsplanung!$I25)</f>
        <v>0</v>
      </c>
      <c r="AA233" s="80">
        <f t="shared" si="65"/>
        <v>0</v>
      </c>
      <c r="AB233" s="102">
        <f t="shared" si="66"/>
        <v>0.1</v>
      </c>
      <c r="AC233" s="103">
        <f t="shared" si="67"/>
        <v>0</v>
      </c>
      <c r="AD233" s="103">
        <f t="shared" si="68"/>
        <v>0</v>
      </c>
      <c r="AE233" s="81">
        <f t="shared" si="69"/>
        <v>0</v>
      </c>
      <c r="AF233" s="539"/>
      <c r="AG233" s="104">
        <f t="shared" si="70"/>
        <v>1</v>
      </c>
      <c r="AH233" s="7">
        <f t="shared" si="71"/>
        <v>0</v>
      </c>
      <c r="AI233" s="6">
        <f t="shared" si="72"/>
        <v>0</v>
      </c>
      <c r="AJ233" s="73">
        <f t="shared" si="73"/>
        <v>0</v>
      </c>
      <c r="AK233" s="539"/>
      <c r="AL233" s="748"/>
      <c r="AM233" s="748"/>
    </row>
    <row r="234" spans="2:39" x14ac:dyDescent="0.2">
      <c r="B234" s="101" t="str">
        <f t="shared" si="58"/>
        <v/>
      </c>
      <c r="C234" s="168">
        <f>IF(ISERROR(Personalplanung!F26/Monatsplanung!$E26*Monatsplanung!$I26),0,Personalplanung!F26/Monatsplanung!$E26*Monatsplanung!$I26)</f>
        <v>0</v>
      </c>
      <c r="D234" s="168">
        <f t="shared" si="59"/>
        <v>0</v>
      </c>
      <c r="E234" s="168">
        <f>IF(ISERROR(Personalplanung!H26/Monatsplanung!$E26*Monatsplanung!$I26),0,Personalplanung!H26/Monatsplanung!$E26*Monatsplanung!$I26)</f>
        <v>0</v>
      </c>
      <c r="F234" s="168">
        <f t="shared" si="60"/>
        <v>0</v>
      </c>
      <c r="G234" s="168">
        <f t="shared" si="61"/>
        <v>27.700831024930746</v>
      </c>
      <c r="H234" s="168">
        <f t="shared" si="62"/>
        <v>0</v>
      </c>
      <c r="I234" s="168">
        <f t="shared" si="63"/>
        <v>30</v>
      </c>
      <c r="J234" s="739"/>
      <c r="K234" s="168">
        <f>IF(J234&lt;&gt;"",J234,IF(ISERROR(Personalplanung!AB26/Monatsplanung!$E26*Monatsplanung!$I26),0,Personalplanung!AB26/Monatsplanung!$E26*Monatsplanung!$I26))</f>
        <v>0</v>
      </c>
      <c r="L234" s="740"/>
      <c r="M234" s="739"/>
      <c r="N234" s="168">
        <f>IF(M234&lt;&gt;"",M234,IF(ISERROR(Personalplanung!AC26/Monatsplanung!$E26*Monatsplanung!$I26),0,Personalplanung!AC26/Monatsplanung!$E26*Monatsplanung!$I26))</f>
        <v>0</v>
      </c>
      <c r="O234" s="740"/>
      <c r="P234" s="739"/>
      <c r="Q234" s="168">
        <f>IF(P234&lt;&gt;"",P234,IF(ISERROR(Personalplanung!AD26/Monatsplanung!$E26*Monatsplanung!$I26),0,Personalplanung!AD26/Monatsplanung!$E26*Monatsplanung!$I26))</f>
        <v>0</v>
      </c>
      <c r="R234" s="740"/>
      <c r="S234" s="739"/>
      <c r="T234" s="168">
        <f>IF(S234&lt;&gt;"",S234,IF(ISERROR(Personalplanung!AE26/Monatsplanung!$E26*Monatsplanung!$I26),0,Personalplanung!AE26/Monatsplanung!$E26*Monatsplanung!$I26))</f>
        <v>0</v>
      </c>
      <c r="U234" s="740"/>
      <c r="V234" s="168">
        <f t="shared" si="64"/>
        <v>0</v>
      </c>
      <c r="W234" s="168">
        <f>IF(ISERROR(Personalplanung!P26/Monatsplanung!$E26*Monatsplanung!$I26),0,Personalplanung!P26/Monatsplanung!$E26*Monatsplanung!$I26)</f>
        <v>0</v>
      </c>
      <c r="X234" s="168">
        <f>IF(ISERROR(Personalplanung!Q26/Monatsplanung!$E26*Monatsplanung!$I26),0,Personalplanung!Q26/Monatsplanung!$E26*Monatsplanung!$I26)</f>
        <v>0</v>
      </c>
      <c r="Y234" s="168">
        <f>IF(ISERROR(Personalplanung!R26/T1274*Stundencontrolling!T234),0,Personalplanung!R26/T1274*Stundencontrolling!T234)</f>
        <v>0</v>
      </c>
      <c r="Z234" s="168">
        <f>IF(ISERROR(Personalplanung!S26/Monatsplanung!$E26*Monatsplanung!$I26),0,Personalplanung!S26/Monatsplanung!$E26*Monatsplanung!$I26)</f>
        <v>0</v>
      </c>
      <c r="AA234" s="80">
        <f t="shared" si="65"/>
        <v>0</v>
      </c>
      <c r="AB234" s="102">
        <f t="shared" si="66"/>
        <v>0.1</v>
      </c>
      <c r="AC234" s="103">
        <f t="shared" si="67"/>
        <v>0</v>
      </c>
      <c r="AD234" s="103">
        <f t="shared" si="68"/>
        <v>0</v>
      </c>
      <c r="AE234" s="81">
        <f t="shared" si="69"/>
        <v>0</v>
      </c>
      <c r="AF234" s="539"/>
      <c r="AG234" s="104">
        <f t="shared" si="70"/>
        <v>1</v>
      </c>
      <c r="AH234" s="7">
        <f t="shared" si="71"/>
        <v>0</v>
      </c>
      <c r="AI234" s="6">
        <f t="shared" si="72"/>
        <v>0</v>
      </c>
      <c r="AJ234" s="73">
        <f t="shared" si="73"/>
        <v>0</v>
      </c>
      <c r="AK234" s="539"/>
      <c r="AL234" s="748"/>
      <c r="AM234" s="748"/>
    </row>
    <row r="235" spans="2:39" x14ac:dyDescent="0.2">
      <c r="B235" s="101" t="str">
        <f t="shared" si="58"/>
        <v/>
      </c>
      <c r="C235" s="168">
        <f>IF(ISERROR(Personalplanung!F27/Monatsplanung!$E27*Monatsplanung!$I27),0,Personalplanung!F27/Monatsplanung!$E27*Monatsplanung!$I27)</f>
        <v>0</v>
      </c>
      <c r="D235" s="168">
        <f t="shared" si="59"/>
        <v>0</v>
      </c>
      <c r="E235" s="168">
        <f>IF(ISERROR(Personalplanung!H27/Monatsplanung!$E27*Monatsplanung!$I27),0,Personalplanung!H27/Monatsplanung!$E27*Monatsplanung!$I27)</f>
        <v>0</v>
      </c>
      <c r="F235" s="168">
        <f t="shared" si="60"/>
        <v>0</v>
      </c>
      <c r="G235" s="168">
        <f t="shared" si="61"/>
        <v>27.700831024930746</v>
      </c>
      <c r="H235" s="168">
        <f t="shared" si="62"/>
        <v>0</v>
      </c>
      <c r="I235" s="168">
        <f t="shared" si="63"/>
        <v>30</v>
      </c>
      <c r="J235" s="739"/>
      <c r="K235" s="168">
        <f>IF(J235&lt;&gt;"",J235,IF(ISERROR(Personalplanung!AB27/Monatsplanung!$E27*Monatsplanung!$I27),0,Personalplanung!AB27/Monatsplanung!$E27*Monatsplanung!$I27))</f>
        <v>0</v>
      </c>
      <c r="L235" s="740"/>
      <c r="M235" s="739"/>
      <c r="N235" s="168">
        <f>IF(M235&lt;&gt;"",M235,IF(ISERROR(Personalplanung!AC27/Monatsplanung!$E27*Monatsplanung!$I27),0,Personalplanung!AC27/Monatsplanung!$E27*Monatsplanung!$I27))</f>
        <v>0</v>
      </c>
      <c r="O235" s="740"/>
      <c r="P235" s="739"/>
      <c r="Q235" s="168">
        <f>IF(P235&lt;&gt;"",P235,IF(ISERROR(Personalplanung!AD27/Monatsplanung!$E27*Monatsplanung!$I27),0,Personalplanung!AD27/Monatsplanung!$E27*Monatsplanung!$I27))</f>
        <v>0</v>
      </c>
      <c r="R235" s="740"/>
      <c r="S235" s="739"/>
      <c r="T235" s="168">
        <f>IF(S235&lt;&gt;"",S235,IF(ISERROR(Personalplanung!AE27/Monatsplanung!$E27*Monatsplanung!$I27),0,Personalplanung!AE27/Monatsplanung!$E27*Monatsplanung!$I27))</f>
        <v>0</v>
      </c>
      <c r="U235" s="740"/>
      <c r="V235" s="168">
        <f t="shared" si="64"/>
        <v>0</v>
      </c>
      <c r="W235" s="168">
        <f>IF(ISERROR(Personalplanung!P27/Monatsplanung!$E27*Monatsplanung!$I27),0,Personalplanung!P27/Monatsplanung!$E27*Monatsplanung!$I27)</f>
        <v>0</v>
      </c>
      <c r="X235" s="168">
        <f>IF(ISERROR(Personalplanung!Q27/Monatsplanung!$E27*Monatsplanung!$I27),0,Personalplanung!Q27/Monatsplanung!$E27*Monatsplanung!$I27)</f>
        <v>0</v>
      </c>
      <c r="Y235" s="168">
        <f>IF(ISERROR(Personalplanung!R27/T1275*Stundencontrolling!T235),0,Personalplanung!R27/T1275*Stundencontrolling!T235)</f>
        <v>0</v>
      </c>
      <c r="Z235" s="168">
        <f>IF(ISERROR(Personalplanung!S27/Monatsplanung!$E27*Monatsplanung!$I27),0,Personalplanung!S27/Monatsplanung!$E27*Monatsplanung!$I27)</f>
        <v>0</v>
      </c>
      <c r="AA235" s="80">
        <f t="shared" si="65"/>
        <v>0</v>
      </c>
      <c r="AB235" s="102">
        <f t="shared" si="66"/>
        <v>0.1</v>
      </c>
      <c r="AC235" s="103">
        <f t="shared" si="67"/>
        <v>0</v>
      </c>
      <c r="AD235" s="103">
        <f t="shared" si="68"/>
        <v>0</v>
      </c>
      <c r="AE235" s="81">
        <f t="shared" si="69"/>
        <v>0</v>
      </c>
      <c r="AF235" s="539"/>
      <c r="AG235" s="104">
        <f t="shared" si="70"/>
        <v>1</v>
      </c>
      <c r="AH235" s="7">
        <f t="shared" si="71"/>
        <v>0</v>
      </c>
      <c r="AI235" s="6">
        <f t="shared" si="72"/>
        <v>0</v>
      </c>
      <c r="AJ235" s="73">
        <f t="shared" si="73"/>
        <v>0</v>
      </c>
      <c r="AK235" s="539"/>
      <c r="AL235" s="748"/>
      <c r="AM235" s="748"/>
    </row>
    <row r="236" spans="2:39" x14ac:dyDescent="0.2">
      <c r="B236" s="101" t="str">
        <f t="shared" si="58"/>
        <v/>
      </c>
      <c r="C236" s="168">
        <f>IF(ISERROR(Personalplanung!F28/Monatsplanung!$E28*Monatsplanung!$I28),0,Personalplanung!F28/Monatsplanung!$E28*Monatsplanung!$I28)</f>
        <v>0</v>
      </c>
      <c r="D236" s="168">
        <f t="shared" si="59"/>
        <v>0</v>
      </c>
      <c r="E236" s="168">
        <f>IF(ISERROR(Personalplanung!H28/Monatsplanung!$E28*Monatsplanung!$I28),0,Personalplanung!H28/Monatsplanung!$E28*Monatsplanung!$I28)</f>
        <v>0</v>
      </c>
      <c r="F236" s="168">
        <f t="shared" si="60"/>
        <v>0</v>
      </c>
      <c r="G236" s="168">
        <f t="shared" si="61"/>
        <v>27.700831024930746</v>
      </c>
      <c r="H236" s="168">
        <f t="shared" si="62"/>
        <v>0</v>
      </c>
      <c r="I236" s="168">
        <f t="shared" si="63"/>
        <v>30</v>
      </c>
      <c r="J236" s="739"/>
      <c r="K236" s="168">
        <f>IF(J236&lt;&gt;"",J236,IF(ISERROR(Personalplanung!AB28/Monatsplanung!$E28*Monatsplanung!$I28),0,Personalplanung!AB28/Monatsplanung!$E28*Monatsplanung!$I28))</f>
        <v>0</v>
      </c>
      <c r="L236" s="740"/>
      <c r="M236" s="739"/>
      <c r="N236" s="168">
        <f>IF(M236&lt;&gt;"",M236,IF(ISERROR(Personalplanung!AC28/Monatsplanung!$E28*Monatsplanung!$I28),0,Personalplanung!AC28/Monatsplanung!$E28*Monatsplanung!$I28))</f>
        <v>0</v>
      </c>
      <c r="O236" s="740"/>
      <c r="P236" s="739"/>
      <c r="Q236" s="168">
        <f>IF(P236&lt;&gt;"",P236,IF(ISERROR(Personalplanung!AD28/Monatsplanung!$E28*Monatsplanung!$I28),0,Personalplanung!AD28/Monatsplanung!$E28*Monatsplanung!$I28))</f>
        <v>0</v>
      </c>
      <c r="R236" s="740"/>
      <c r="S236" s="739"/>
      <c r="T236" s="168">
        <f>IF(S236&lt;&gt;"",S236,IF(ISERROR(Personalplanung!AE28/Monatsplanung!$E28*Monatsplanung!$I28),0,Personalplanung!AE28/Monatsplanung!$E28*Monatsplanung!$I28))</f>
        <v>0</v>
      </c>
      <c r="U236" s="740"/>
      <c r="V236" s="168">
        <f t="shared" si="64"/>
        <v>0</v>
      </c>
      <c r="W236" s="168">
        <f>IF(ISERROR(Personalplanung!P28/Monatsplanung!$E28*Monatsplanung!$I28),0,Personalplanung!P28/Monatsplanung!$E28*Monatsplanung!$I28)</f>
        <v>0</v>
      </c>
      <c r="X236" s="168">
        <f>IF(ISERROR(Personalplanung!Q28/Monatsplanung!$E28*Monatsplanung!$I28),0,Personalplanung!Q28/Monatsplanung!$E28*Monatsplanung!$I28)</f>
        <v>0</v>
      </c>
      <c r="Y236" s="168">
        <f>IF(ISERROR(Personalplanung!R28/T1276*Stundencontrolling!T236),0,Personalplanung!R28/T1276*Stundencontrolling!T236)</f>
        <v>0</v>
      </c>
      <c r="Z236" s="168">
        <f>IF(ISERROR(Personalplanung!S28/Monatsplanung!$E28*Monatsplanung!$I28),0,Personalplanung!S28/Monatsplanung!$E28*Monatsplanung!$I28)</f>
        <v>0</v>
      </c>
      <c r="AA236" s="80">
        <f t="shared" si="65"/>
        <v>0</v>
      </c>
      <c r="AB236" s="102">
        <f t="shared" si="66"/>
        <v>0.1</v>
      </c>
      <c r="AC236" s="103">
        <f t="shared" si="67"/>
        <v>0</v>
      </c>
      <c r="AD236" s="103">
        <f t="shared" si="68"/>
        <v>0</v>
      </c>
      <c r="AE236" s="81">
        <f t="shared" si="69"/>
        <v>0</v>
      </c>
      <c r="AF236" s="539"/>
      <c r="AG236" s="104">
        <f t="shared" si="70"/>
        <v>1</v>
      </c>
      <c r="AH236" s="7">
        <f t="shared" si="71"/>
        <v>0</v>
      </c>
      <c r="AI236" s="6">
        <f t="shared" si="72"/>
        <v>0</v>
      </c>
      <c r="AJ236" s="73">
        <f t="shared" si="73"/>
        <v>0</v>
      </c>
      <c r="AK236" s="539"/>
      <c r="AL236" s="748"/>
      <c r="AM236" s="748"/>
    </row>
    <row r="237" spans="2:39" x14ac:dyDescent="0.2">
      <c r="B237" s="101" t="str">
        <f t="shared" si="58"/>
        <v/>
      </c>
      <c r="C237" s="168">
        <f>IF(ISERROR(Personalplanung!F29/Monatsplanung!$E29*Monatsplanung!$I29),0,Personalplanung!F29/Monatsplanung!$E29*Monatsplanung!$I29)</f>
        <v>0</v>
      </c>
      <c r="D237" s="168">
        <f t="shared" si="59"/>
        <v>0</v>
      </c>
      <c r="E237" s="168">
        <f>IF(ISERROR(Personalplanung!H29/Monatsplanung!$E29*Monatsplanung!$I29),0,Personalplanung!H29/Monatsplanung!$E29*Monatsplanung!$I29)</f>
        <v>0</v>
      </c>
      <c r="F237" s="168">
        <f t="shared" si="60"/>
        <v>0</v>
      </c>
      <c r="G237" s="168">
        <f t="shared" si="61"/>
        <v>27.700831024930746</v>
      </c>
      <c r="H237" s="168">
        <f t="shared" si="62"/>
        <v>0</v>
      </c>
      <c r="I237" s="168">
        <f t="shared" si="63"/>
        <v>30</v>
      </c>
      <c r="J237" s="739"/>
      <c r="K237" s="168">
        <f>IF(J237&lt;&gt;"",J237,IF(ISERROR(Personalplanung!AB29/Monatsplanung!$E29*Monatsplanung!$I29),0,Personalplanung!AB29/Monatsplanung!$E29*Monatsplanung!$I29))</f>
        <v>0</v>
      </c>
      <c r="L237" s="740"/>
      <c r="M237" s="739"/>
      <c r="N237" s="168">
        <f>IF(M237&lt;&gt;"",M237,IF(ISERROR(Personalplanung!AC29/Monatsplanung!$E29*Monatsplanung!$I29),0,Personalplanung!AC29/Monatsplanung!$E29*Monatsplanung!$I29))</f>
        <v>0</v>
      </c>
      <c r="O237" s="740"/>
      <c r="P237" s="739"/>
      <c r="Q237" s="168">
        <f>IF(P237&lt;&gt;"",P237,IF(ISERROR(Personalplanung!AD29/Monatsplanung!$E29*Monatsplanung!$I29),0,Personalplanung!AD29/Monatsplanung!$E29*Monatsplanung!$I29))</f>
        <v>0</v>
      </c>
      <c r="R237" s="740"/>
      <c r="S237" s="739"/>
      <c r="T237" s="168">
        <f>IF(S237&lt;&gt;"",S237,IF(ISERROR(Personalplanung!AE29/Monatsplanung!$E29*Monatsplanung!$I29),0,Personalplanung!AE29/Monatsplanung!$E29*Monatsplanung!$I29))</f>
        <v>0</v>
      </c>
      <c r="U237" s="740"/>
      <c r="V237" s="168">
        <f t="shared" si="64"/>
        <v>0</v>
      </c>
      <c r="W237" s="168">
        <f>IF(ISERROR(Personalplanung!P29/Monatsplanung!$E29*Monatsplanung!$I29),0,Personalplanung!P29/Monatsplanung!$E29*Monatsplanung!$I29)</f>
        <v>0</v>
      </c>
      <c r="X237" s="168">
        <f>IF(ISERROR(Personalplanung!Q29/Monatsplanung!$E29*Monatsplanung!$I29),0,Personalplanung!Q29/Monatsplanung!$E29*Monatsplanung!$I29)</f>
        <v>0</v>
      </c>
      <c r="Y237" s="168">
        <f>IF(ISERROR(Personalplanung!R29/T1277*Stundencontrolling!T237),0,Personalplanung!R29/T1277*Stundencontrolling!T237)</f>
        <v>0</v>
      </c>
      <c r="Z237" s="168">
        <f>IF(ISERROR(Personalplanung!S29/Monatsplanung!$E29*Monatsplanung!$I29),0,Personalplanung!S29/Monatsplanung!$E29*Monatsplanung!$I29)</f>
        <v>0</v>
      </c>
      <c r="AA237" s="80">
        <f t="shared" si="65"/>
        <v>0</v>
      </c>
      <c r="AB237" s="102">
        <f t="shared" si="66"/>
        <v>0.1</v>
      </c>
      <c r="AC237" s="103">
        <f t="shared" si="67"/>
        <v>0</v>
      </c>
      <c r="AD237" s="103">
        <f t="shared" si="68"/>
        <v>0</v>
      </c>
      <c r="AE237" s="81">
        <f t="shared" si="69"/>
        <v>0</v>
      </c>
      <c r="AF237" s="539"/>
      <c r="AG237" s="104">
        <f t="shared" si="70"/>
        <v>1</v>
      </c>
      <c r="AH237" s="7">
        <f t="shared" si="71"/>
        <v>0</v>
      </c>
      <c r="AI237" s="6">
        <f t="shared" si="72"/>
        <v>0</v>
      </c>
      <c r="AJ237" s="73">
        <f t="shared" si="73"/>
        <v>0</v>
      </c>
      <c r="AK237" s="539"/>
      <c r="AL237" s="748"/>
      <c r="AM237" s="748"/>
    </row>
    <row r="238" spans="2:39" x14ac:dyDescent="0.2">
      <c r="B238" s="101" t="str">
        <f t="shared" si="58"/>
        <v/>
      </c>
      <c r="C238" s="168">
        <f>IF(ISERROR(Personalplanung!F30/Monatsplanung!$E30*Monatsplanung!$I30),0,Personalplanung!F30/Monatsplanung!$E30*Monatsplanung!$I30)</f>
        <v>0</v>
      </c>
      <c r="D238" s="168">
        <f t="shared" si="59"/>
        <v>0</v>
      </c>
      <c r="E238" s="168">
        <f>IF(ISERROR(Personalplanung!H30/Monatsplanung!$E30*Monatsplanung!$I30),0,Personalplanung!H30/Monatsplanung!$E30*Monatsplanung!$I30)</f>
        <v>0</v>
      </c>
      <c r="F238" s="168">
        <f t="shared" si="60"/>
        <v>0</v>
      </c>
      <c r="G238" s="168">
        <f t="shared" si="61"/>
        <v>27.700831024930746</v>
      </c>
      <c r="H238" s="168">
        <f t="shared" si="62"/>
        <v>0</v>
      </c>
      <c r="I238" s="168">
        <f t="shared" si="63"/>
        <v>30</v>
      </c>
      <c r="J238" s="739"/>
      <c r="K238" s="168">
        <f>IF(J238&lt;&gt;"",J238,IF(ISERROR(Personalplanung!AB30/Monatsplanung!$E30*Monatsplanung!$I30),0,Personalplanung!AB30/Monatsplanung!$E30*Monatsplanung!$I30))</f>
        <v>0</v>
      </c>
      <c r="L238" s="740"/>
      <c r="M238" s="739"/>
      <c r="N238" s="168">
        <f>IF(M238&lt;&gt;"",M238,IF(ISERROR(Personalplanung!AC30/Monatsplanung!$E30*Monatsplanung!$I30),0,Personalplanung!AC30/Monatsplanung!$E30*Monatsplanung!$I30))</f>
        <v>0</v>
      </c>
      <c r="O238" s="740"/>
      <c r="P238" s="739"/>
      <c r="Q238" s="168">
        <f>IF(P238&lt;&gt;"",P238,IF(ISERROR(Personalplanung!AD30/Monatsplanung!$E30*Monatsplanung!$I30),0,Personalplanung!AD30/Monatsplanung!$E30*Monatsplanung!$I30))</f>
        <v>0</v>
      </c>
      <c r="R238" s="740"/>
      <c r="S238" s="739"/>
      <c r="T238" s="168">
        <f>IF(S238&lt;&gt;"",S238,IF(ISERROR(Personalplanung!AE30/Monatsplanung!$E30*Monatsplanung!$I30),0,Personalplanung!AE30/Monatsplanung!$E30*Monatsplanung!$I30))</f>
        <v>0</v>
      </c>
      <c r="U238" s="740"/>
      <c r="V238" s="168">
        <f t="shared" si="64"/>
        <v>0</v>
      </c>
      <c r="W238" s="168">
        <f>IF(ISERROR(Personalplanung!P30/Monatsplanung!$E30*Monatsplanung!$I30),0,Personalplanung!P30/Monatsplanung!$E30*Monatsplanung!$I30)</f>
        <v>0</v>
      </c>
      <c r="X238" s="168">
        <f>IF(ISERROR(Personalplanung!Q30/Monatsplanung!$E30*Monatsplanung!$I30),0,Personalplanung!Q30/Monatsplanung!$E30*Monatsplanung!$I30)</f>
        <v>0</v>
      </c>
      <c r="Y238" s="168">
        <f>IF(ISERROR(Personalplanung!R30/T1278*Stundencontrolling!T238),0,Personalplanung!R30/T1278*Stundencontrolling!T238)</f>
        <v>0</v>
      </c>
      <c r="Z238" s="168">
        <f>IF(ISERROR(Personalplanung!S30/Monatsplanung!$E30*Monatsplanung!$I30),0,Personalplanung!S30/Monatsplanung!$E30*Monatsplanung!$I30)</f>
        <v>0</v>
      </c>
      <c r="AA238" s="80">
        <f t="shared" si="65"/>
        <v>0</v>
      </c>
      <c r="AB238" s="102">
        <f t="shared" si="66"/>
        <v>0.1</v>
      </c>
      <c r="AC238" s="103">
        <f t="shared" si="67"/>
        <v>0</v>
      </c>
      <c r="AD238" s="103">
        <f t="shared" si="68"/>
        <v>0</v>
      </c>
      <c r="AE238" s="81">
        <f t="shared" si="69"/>
        <v>0</v>
      </c>
      <c r="AF238" s="539"/>
      <c r="AG238" s="104">
        <f t="shared" si="70"/>
        <v>1</v>
      </c>
      <c r="AH238" s="7">
        <f t="shared" si="71"/>
        <v>0</v>
      </c>
      <c r="AI238" s="6">
        <f t="shared" si="72"/>
        <v>0</v>
      </c>
      <c r="AJ238" s="73">
        <f t="shared" si="73"/>
        <v>0</v>
      </c>
      <c r="AK238" s="539"/>
      <c r="AL238" s="748"/>
      <c r="AM238" s="748"/>
    </row>
    <row r="239" spans="2:39" x14ac:dyDescent="0.2">
      <c r="B239" s="101" t="str">
        <f t="shared" si="58"/>
        <v/>
      </c>
      <c r="C239" s="168">
        <f>IF(ISERROR(Personalplanung!F31/Monatsplanung!$E31*Monatsplanung!$I31),0,Personalplanung!F31/Monatsplanung!$E31*Monatsplanung!$I31)</f>
        <v>0</v>
      </c>
      <c r="D239" s="168">
        <f t="shared" si="59"/>
        <v>0</v>
      </c>
      <c r="E239" s="168">
        <f>IF(ISERROR(Personalplanung!H31/Monatsplanung!$E31*Monatsplanung!$I31),0,Personalplanung!H31/Monatsplanung!$E31*Monatsplanung!$I31)</f>
        <v>0</v>
      </c>
      <c r="F239" s="168">
        <f t="shared" si="60"/>
        <v>0</v>
      </c>
      <c r="G239" s="168">
        <f t="shared" si="61"/>
        <v>27.700831024930746</v>
      </c>
      <c r="H239" s="168">
        <f t="shared" si="62"/>
        <v>0</v>
      </c>
      <c r="I239" s="168">
        <f t="shared" si="63"/>
        <v>30</v>
      </c>
      <c r="J239" s="739"/>
      <c r="K239" s="168">
        <f>IF(J239&lt;&gt;"",J239,IF(ISERROR(Personalplanung!AB31/Monatsplanung!$E31*Monatsplanung!$I31),0,Personalplanung!AB31/Monatsplanung!$E31*Monatsplanung!$I31))</f>
        <v>0</v>
      </c>
      <c r="L239" s="740"/>
      <c r="M239" s="739"/>
      <c r="N239" s="168">
        <f>IF(M239&lt;&gt;"",M239,IF(ISERROR(Personalplanung!AC31/Monatsplanung!$E31*Monatsplanung!$I31),0,Personalplanung!AC31/Monatsplanung!$E31*Monatsplanung!$I31))</f>
        <v>0</v>
      </c>
      <c r="O239" s="740"/>
      <c r="P239" s="739"/>
      <c r="Q239" s="168">
        <f>IF(P239&lt;&gt;"",P239,IF(ISERROR(Personalplanung!AD31/Monatsplanung!$E31*Monatsplanung!$I31),0,Personalplanung!AD31/Monatsplanung!$E31*Monatsplanung!$I31))</f>
        <v>0</v>
      </c>
      <c r="R239" s="740"/>
      <c r="S239" s="739"/>
      <c r="T239" s="168">
        <f>IF(S239&lt;&gt;"",S239,IF(ISERROR(Personalplanung!AE31/Monatsplanung!$E31*Monatsplanung!$I31),0,Personalplanung!AE31/Monatsplanung!$E31*Monatsplanung!$I31))</f>
        <v>0</v>
      </c>
      <c r="U239" s="740"/>
      <c r="V239" s="168">
        <f t="shared" si="64"/>
        <v>0</v>
      </c>
      <c r="W239" s="168">
        <f>IF(ISERROR(Personalplanung!P31/Monatsplanung!$E31*Monatsplanung!$I31),0,Personalplanung!P31/Monatsplanung!$E31*Monatsplanung!$I31)</f>
        <v>0</v>
      </c>
      <c r="X239" s="168">
        <f>IF(ISERROR(Personalplanung!Q31/Monatsplanung!$E31*Monatsplanung!$I31),0,Personalplanung!Q31/Monatsplanung!$E31*Monatsplanung!$I31)</f>
        <v>0</v>
      </c>
      <c r="Y239" s="168">
        <f>IF(ISERROR(Personalplanung!R31/T1279*Stundencontrolling!T239),0,Personalplanung!R31/T1279*Stundencontrolling!T239)</f>
        <v>0</v>
      </c>
      <c r="Z239" s="168">
        <f>IF(ISERROR(Personalplanung!S31/Monatsplanung!$E31*Monatsplanung!$I31),0,Personalplanung!S31/Monatsplanung!$E31*Monatsplanung!$I31)</f>
        <v>0</v>
      </c>
      <c r="AA239" s="80">
        <f t="shared" si="65"/>
        <v>0</v>
      </c>
      <c r="AB239" s="102">
        <f t="shared" si="66"/>
        <v>0.1</v>
      </c>
      <c r="AC239" s="103">
        <f t="shared" si="67"/>
        <v>0</v>
      </c>
      <c r="AD239" s="103">
        <f t="shared" si="68"/>
        <v>0</v>
      </c>
      <c r="AE239" s="81">
        <f t="shared" si="69"/>
        <v>0</v>
      </c>
      <c r="AF239" s="539"/>
      <c r="AG239" s="104">
        <f t="shared" si="70"/>
        <v>1</v>
      </c>
      <c r="AH239" s="7">
        <f t="shared" si="71"/>
        <v>0</v>
      </c>
      <c r="AI239" s="6">
        <f t="shared" si="72"/>
        <v>0</v>
      </c>
      <c r="AJ239" s="73">
        <f t="shared" si="73"/>
        <v>0</v>
      </c>
      <c r="AK239" s="539"/>
      <c r="AL239" s="748"/>
      <c r="AM239" s="748"/>
    </row>
    <row r="240" spans="2:39" x14ac:dyDescent="0.2">
      <c r="B240" s="101" t="str">
        <f t="shared" si="58"/>
        <v/>
      </c>
      <c r="C240" s="168">
        <f>IF(ISERROR(Personalplanung!F32/Monatsplanung!$E32*Monatsplanung!$I32),0,Personalplanung!F32/Monatsplanung!$E32*Monatsplanung!$I32)</f>
        <v>0</v>
      </c>
      <c r="D240" s="168">
        <f t="shared" si="59"/>
        <v>0</v>
      </c>
      <c r="E240" s="168">
        <f>IF(ISERROR(Personalplanung!H32/Monatsplanung!$E32*Monatsplanung!$I32),0,Personalplanung!H32/Monatsplanung!$E32*Monatsplanung!$I32)</f>
        <v>0</v>
      </c>
      <c r="F240" s="168">
        <f t="shared" si="60"/>
        <v>0</v>
      </c>
      <c r="G240" s="168">
        <f t="shared" si="61"/>
        <v>27.700831024930746</v>
      </c>
      <c r="H240" s="168">
        <f t="shared" si="62"/>
        <v>0</v>
      </c>
      <c r="I240" s="168">
        <f t="shared" si="63"/>
        <v>30</v>
      </c>
      <c r="J240" s="739"/>
      <c r="K240" s="168">
        <f>IF(J240&lt;&gt;"",J240,IF(ISERROR(Personalplanung!AB32/Monatsplanung!$E32*Monatsplanung!$I32),0,Personalplanung!AB32/Monatsplanung!$E32*Monatsplanung!$I32))</f>
        <v>0</v>
      </c>
      <c r="L240" s="740"/>
      <c r="M240" s="739"/>
      <c r="N240" s="168">
        <f>IF(M240&lt;&gt;"",M240,IF(ISERROR(Personalplanung!AC32/Monatsplanung!$E32*Monatsplanung!$I32),0,Personalplanung!AC32/Monatsplanung!$E32*Monatsplanung!$I32))</f>
        <v>0</v>
      </c>
      <c r="O240" s="740"/>
      <c r="P240" s="739"/>
      <c r="Q240" s="168">
        <f>IF(P240&lt;&gt;"",P240,IF(ISERROR(Personalplanung!AD32/Monatsplanung!$E32*Monatsplanung!$I32),0,Personalplanung!AD32/Monatsplanung!$E32*Monatsplanung!$I32))</f>
        <v>0</v>
      </c>
      <c r="R240" s="740"/>
      <c r="S240" s="739"/>
      <c r="T240" s="168">
        <f>IF(S240&lt;&gt;"",S240,IF(ISERROR(Personalplanung!AE32/Monatsplanung!$E32*Monatsplanung!$I32),0,Personalplanung!AE32/Monatsplanung!$E32*Monatsplanung!$I32))</f>
        <v>0</v>
      </c>
      <c r="U240" s="740"/>
      <c r="V240" s="168">
        <f t="shared" si="64"/>
        <v>0</v>
      </c>
      <c r="W240" s="168">
        <f>IF(ISERROR(Personalplanung!P32/Monatsplanung!$E32*Monatsplanung!$I32),0,Personalplanung!P32/Monatsplanung!$E32*Monatsplanung!$I32)</f>
        <v>0</v>
      </c>
      <c r="X240" s="168">
        <f>IF(ISERROR(Personalplanung!Q32/Monatsplanung!$E32*Monatsplanung!$I32),0,Personalplanung!Q32/Monatsplanung!$E32*Monatsplanung!$I32)</f>
        <v>0</v>
      </c>
      <c r="Y240" s="168">
        <f>IF(ISERROR(Personalplanung!R32/T1280*Stundencontrolling!T240),0,Personalplanung!R32/T1280*Stundencontrolling!T240)</f>
        <v>0</v>
      </c>
      <c r="Z240" s="168">
        <f>IF(ISERROR(Personalplanung!S32/Monatsplanung!$E32*Monatsplanung!$I32),0,Personalplanung!S32/Monatsplanung!$E32*Monatsplanung!$I32)</f>
        <v>0</v>
      </c>
      <c r="AA240" s="80">
        <f t="shared" si="65"/>
        <v>0</v>
      </c>
      <c r="AB240" s="102">
        <f t="shared" si="66"/>
        <v>0.1</v>
      </c>
      <c r="AC240" s="103">
        <f t="shared" si="67"/>
        <v>0</v>
      </c>
      <c r="AD240" s="103">
        <f t="shared" si="68"/>
        <v>0</v>
      </c>
      <c r="AE240" s="81">
        <f t="shared" si="69"/>
        <v>0</v>
      </c>
      <c r="AF240" s="539"/>
      <c r="AG240" s="104">
        <f t="shared" si="70"/>
        <v>1</v>
      </c>
      <c r="AH240" s="7">
        <f t="shared" si="71"/>
        <v>0</v>
      </c>
      <c r="AI240" s="6">
        <f t="shared" si="72"/>
        <v>0</v>
      </c>
      <c r="AJ240" s="73">
        <f t="shared" si="73"/>
        <v>0</v>
      </c>
      <c r="AK240" s="539"/>
      <c r="AL240" s="748"/>
      <c r="AM240" s="748"/>
    </row>
    <row r="241" spans="2:39" x14ac:dyDescent="0.2">
      <c r="B241" s="101" t="str">
        <f t="shared" si="58"/>
        <v/>
      </c>
      <c r="C241" s="168">
        <f>IF(ISERROR(Personalplanung!F33/Monatsplanung!$E33*Monatsplanung!$I33),0,Personalplanung!F33/Monatsplanung!$E33*Monatsplanung!$I33)</f>
        <v>0</v>
      </c>
      <c r="D241" s="168">
        <f t="shared" si="59"/>
        <v>0</v>
      </c>
      <c r="E241" s="168">
        <f>IF(ISERROR(Personalplanung!H33/Monatsplanung!$E33*Monatsplanung!$I33),0,Personalplanung!H33/Monatsplanung!$E33*Monatsplanung!$I33)</f>
        <v>0</v>
      </c>
      <c r="F241" s="168">
        <f t="shared" si="60"/>
        <v>0</v>
      </c>
      <c r="G241" s="168">
        <f t="shared" si="61"/>
        <v>27.700831024930746</v>
      </c>
      <c r="H241" s="168">
        <f t="shared" si="62"/>
        <v>0</v>
      </c>
      <c r="I241" s="168">
        <f t="shared" si="63"/>
        <v>30</v>
      </c>
      <c r="J241" s="739"/>
      <c r="K241" s="168">
        <f>IF(J241&lt;&gt;"",J241,IF(ISERROR(Personalplanung!AB33/Monatsplanung!$E33*Monatsplanung!$I33),0,Personalplanung!AB33/Monatsplanung!$E33*Monatsplanung!$I33))</f>
        <v>0</v>
      </c>
      <c r="L241" s="740"/>
      <c r="M241" s="739"/>
      <c r="N241" s="168">
        <f>IF(M241&lt;&gt;"",M241,IF(ISERROR(Personalplanung!AC33/Monatsplanung!$E33*Monatsplanung!$I33),0,Personalplanung!AC33/Monatsplanung!$E33*Monatsplanung!$I33))</f>
        <v>0</v>
      </c>
      <c r="O241" s="740"/>
      <c r="P241" s="739"/>
      <c r="Q241" s="168">
        <f>IF(P241&lt;&gt;"",P241,IF(ISERROR(Personalplanung!AD33/Monatsplanung!$E33*Monatsplanung!$I33),0,Personalplanung!AD33/Monatsplanung!$E33*Monatsplanung!$I33))</f>
        <v>0</v>
      </c>
      <c r="R241" s="740"/>
      <c r="S241" s="739"/>
      <c r="T241" s="168">
        <f>IF(S241&lt;&gt;"",S241,IF(ISERROR(Personalplanung!AE33/Monatsplanung!$E33*Monatsplanung!$I33),0,Personalplanung!AE33/Monatsplanung!$E33*Monatsplanung!$I33))</f>
        <v>0</v>
      </c>
      <c r="U241" s="740"/>
      <c r="V241" s="168">
        <f t="shared" si="64"/>
        <v>0</v>
      </c>
      <c r="W241" s="168">
        <f>IF(ISERROR(Personalplanung!P33/Monatsplanung!$E33*Monatsplanung!$I33),0,Personalplanung!P33/Monatsplanung!$E33*Monatsplanung!$I33)</f>
        <v>0</v>
      </c>
      <c r="X241" s="168">
        <f>IF(ISERROR(Personalplanung!Q33/Monatsplanung!$E33*Monatsplanung!$I33),0,Personalplanung!Q33/Monatsplanung!$E33*Monatsplanung!$I33)</f>
        <v>0</v>
      </c>
      <c r="Y241" s="168">
        <f>IF(ISERROR(Personalplanung!R33/T1281*Stundencontrolling!T241),0,Personalplanung!R33/T1281*Stundencontrolling!T241)</f>
        <v>0</v>
      </c>
      <c r="Z241" s="168">
        <f>IF(ISERROR(Personalplanung!S33/Monatsplanung!$E33*Monatsplanung!$I33),0,Personalplanung!S33/Monatsplanung!$E33*Monatsplanung!$I33)</f>
        <v>0</v>
      </c>
      <c r="AA241" s="80">
        <f t="shared" si="65"/>
        <v>0</v>
      </c>
      <c r="AB241" s="102">
        <f t="shared" si="66"/>
        <v>0.1</v>
      </c>
      <c r="AC241" s="103">
        <f t="shared" si="67"/>
        <v>0</v>
      </c>
      <c r="AD241" s="103">
        <f t="shared" si="68"/>
        <v>0</v>
      </c>
      <c r="AE241" s="81">
        <f t="shared" si="69"/>
        <v>0</v>
      </c>
      <c r="AF241" s="539"/>
      <c r="AG241" s="104">
        <f t="shared" si="70"/>
        <v>1</v>
      </c>
      <c r="AH241" s="7">
        <f t="shared" si="71"/>
        <v>0</v>
      </c>
      <c r="AI241" s="6">
        <f t="shared" si="72"/>
        <v>0</v>
      </c>
      <c r="AJ241" s="73">
        <f t="shared" si="73"/>
        <v>0</v>
      </c>
      <c r="AK241" s="539"/>
      <c r="AL241" s="748"/>
      <c r="AM241" s="748"/>
    </row>
    <row r="242" spans="2:39" x14ac:dyDescent="0.2">
      <c r="B242" s="101" t="str">
        <f t="shared" si="58"/>
        <v/>
      </c>
      <c r="C242" s="168">
        <f>IF(ISERROR(Personalplanung!F34/Monatsplanung!$E34*Monatsplanung!$I34),0,Personalplanung!F34/Monatsplanung!$E34*Monatsplanung!$I34)</f>
        <v>0</v>
      </c>
      <c r="D242" s="168">
        <f t="shared" si="59"/>
        <v>0</v>
      </c>
      <c r="E242" s="168">
        <f>IF(ISERROR(Personalplanung!H34/Monatsplanung!$E34*Monatsplanung!$I34),0,Personalplanung!H34/Monatsplanung!$E34*Monatsplanung!$I34)</f>
        <v>0</v>
      </c>
      <c r="F242" s="168">
        <f t="shared" si="60"/>
        <v>0</v>
      </c>
      <c r="G242" s="168">
        <f t="shared" si="61"/>
        <v>27.700831024930746</v>
      </c>
      <c r="H242" s="168">
        <f t="shared" si="62"/>
        <v>0</v>
      </c>
      <c r="I242" s="168">
        <f t="shared" si="63"/>
        <v>30</v>
      </c>
      <c r="J242" s="739"/>
      <c r="K242" s="168">
        <f>IF(J242&lt;&gt;"",J242,IF(ISERROR(Personalplanung!AB34/Monatsplanung!$E34*Monatsplanung!$I34),0,Personalplanung!AB34/Monatsplanung!$E34*Monatsplanung!$I34))</f>
        <v>0</v>
      </c>
      <c r="L242" s="740"/>
      <c r="M242" s="739"/>
      <c r="N242" s="168">
        <f>IF(M242&lt;&gt;"",M242,IF(ISERROR(Personalplanung!AC34/Monatsplanung!$E34*Monatsplanung!$I34),0,Personalplanung!AC34/Monatsplanung!$E34*Monatsplanung!$I34))</f>
        <v>0</v>
      </c>
      <c r="O242" s="740"/>
      <c r="P242" s="739"/>
      <c r="Q242" s="168">
        <f>IF(P242&lt;&gt;"",P242,IF(ISERROR(Personalplanung!AD34/Monatsplanung!$E34*Monatsplanung!$I34),0,Personalplanung!AD34/Monatsplanung!$E34*Monatsplanung!$I34))</f>
        <v>0</v>
      </c>
      <c r="R242" s="740"/>
      <c r="S242" s="739"/>
      <c r="T242" s="168">
        <f>IF(S242&lt;&gt;"",S242,IF(ISERROR(Personalplanung!AE34/Monatsplanung!$E34*Monatsplanung!$I34),0,Personalplanung!AE34/Monatsplanung!$E34*Monatsplanung!$I34))</f>
        <v>0</v>
      </c>
      <c r="U242" s="740"/>
      <c r="V242" s="168">
        <f t="shared" si="64"/>
        <v>0</v>
      </c>
      <c r="W242" s="168">
        <f>IF(ISERROR(Personalplanung!P34/Monatsplanung!$E34*Monatsplanung!$I34),0,Personalplanung!P34/Monatsplanung!$E34*Monatsplanung!$I34)</f>
        <v>0</v>
      </c>
      <c r="X242" s="168">
        <f>IF(ISERROR(Personalplanung!Q34/Monatsplanung!$E34*Monatsplanung!$I34),0,Personalplanung!Q34/Monatsplanung!$E34*Monatsplanung!$I34)</f>
        <v>0</v>
      </c>
      <c r="Y242" s="168">
        <f>IF(ISERROR(Personalplanung!R34/T1282*Stundencontrolling!T242),0,Personalplanung!R34/T1282*Stundencontrolling!T242)</f>
        <v>0</v>
      </c>
      <c r="Z242" s="168">
        <f>IF(ISERROR(Personalplanung!S34/Monatsplanung!$E34*Monatsplanung!$I34),0,Personalplanung!S34/Monatsplanung!$E34*Monatsplanung!$I34)</f>
        <v>0</v>
      </c>
      <c r="AA242" s="80">
        <f t="shared" si="65"/>
        <v>0</v>
      </c>
      <c r="AB242" s="102">
        <f t="shared" si="66"/>
        <v>0.1</v>
      </c>
      <c r="AC242" s="103">
        <f t="shared" si="67"/>
        <v>0</v>
      </c>
      <c r="AD242" s="103">
        <f t="shared" si="68"/>
        <v>0</v>
      </c>
      <c r="AE242" s="81">
        <f t="shared" si="69"/>
        <v>0</v>
      </c>
      <c r="AF242" s="539"/>
      <c r="AG242" s="104">
        <f t="shared" si="70"/>
        <v>1</v>
      </c>
      <c r="AH242" s="7">
        <f t="shared" si="71"/>
        <v>0</v>
      </c>
      <c r="AI242" s="6">
        <f t="shared" si="72"/>
        <v>0</v>
      </c>
      <c r="AJ242" s="73">
        <f t="shared" si="73"/>
        <v>0</v>
      </c>
      <c r="AK242" s="539"/>
      <c r="AL242" s="748"/>
      <c r="AM242" s="748"/>
    </row>
    <row r="243" spans="2:39" x14ac:dyDescent="0.2">
      <c r="B243" s="101" t="str">
        <f t="shared" si="58"/>
        <v/>
      </c>
      <c r="C243" s="168">
        <f>IF(ISERROR(Personalplanung!F35/Monatsplanung!$E35*Monatsplanung!$I35),0,Personalplanung!F35/Monatsplanung!$E35*Monatsplanung!$I35)</f>
        <v>0</v>
      </c>
      <c r="D243" s="168">
        <f t="shared" si="59"/>
        <v>0</v>
      </c>
      <c r="E243" s="168">
        <f>IF(ISERROR(Personalplanung!H35/Monatsplanung!$E35*Monatsplanung!$I35),0,Personalplanung!H35/Monatsplanung!$E35*Monatsplanung!$I35)</f>
        <v>0</v>
      </c>
      <c r="F243" s="168">
        <f t="shared" si="60"/>
        <v>0</v>
      </c>
      <c r="G243" s="168">
        <f t="shared" si="61"/>
        <v>27.700831024930746</v>
      </c>
      <c r="H243" s="168">
        <f t="shared" si="62"/>
        <v>0</v>
      </c>
      <c r="I243" s="168">
        <f t="shared" si="63"/>
        <v>30</v>
      </c>
      <c r="J243" s="739"/>
      <c r="K243" s="168">
        <f>IF(J243&lt;&gt;"",J243,IF(ISERROR(Personalplanung!AB35/Monatsplanung!$E35*Monatsplanung!$I35),0,Personalplanung!AB35/Monatsplanung!$E35*Monatsplanung!$I35))</f>
        <v>0</v>
      </c>
      <c r="L243" s="740"/>
      <c r="M243" s="739"/>
      <c r="N243" s="168">
        <f>IF(M243&lt;&gt;"",M243,IF(ISERROR(Personalplanung!AC35/Monatsplanung!$E35*Monatsplanung!$I35),0,Personalplanung!AC35/Monatsplanung!$E35*Monatsplanung!$I35))</f>
        <v>0</v>
      </c>
      <c r="O243" s="740"/>
      <c r="P243" s="739"/>
      <c r="Q243" s="168">
        <f>IF(P243&lt;&gt;"",P243,IF(ISERROR(Personalplanung!AD35/Monatsplanung!$E35*Monatsplanung!$I35),0,Personalplanung!AD35/Monatsplanung!$E35*Monatsplanung!$I35))</f>
        <v>0</v>
      </c>
      <c r="R243" s="740"/>
      <c r="S243" s="739"/>
      <c r="T243" s="168">
        <f>IF(S243&lt;&gt;"",S243,IF(ISERROR(Personalplanung!AE35/Monatsplanung!$E35*Monatsplanung!$I35),0,Personalplanung!AE35/Monatsplanung!$E35*Monatsplanung!$I35))</f>
        <v>0</v>
      </c>
      <c r="U243" s="740"/>
      <c r="V243" s="168">
        <f t="shared" si="64"/>
        <v>0</v>
      </c>
      <c r="W243" s="168">
        <f>IF(ISERROR(Personalplanung!P35/Monatsplanung!$E35*Monatsplanung!$I35),0,Personalplanung!P35/Monatsplanung!$E35*Monatsplanung!$I35)</f>
        <v>0</v>
      </c>
      <c r="X243" s="168">
        <f>IF(ISERROR(Personalplanung!Q35/Monatsplanung!$E35*Monatsplanung!$I35),0,Personalplanung!Q35/Monatsplanung!$E35*Monatsplanung!$I35)</f>
        <v>0</v>
      </c>
      <c r="Y243" s="168">
        <f>IF(ISERROR(Personalplanung!R35/T1283*Stundencontrolling!T243),0,Personalplanung!R35/T1283*Stundencontrolling!T243)</f>
        <v>0</v>
      </c>
      <c r="Z243" s="168">
        <f>IF(ISERROR(Personalplanung!S35/Monatsplanung!$E35*Monatsplanung!$I35),0,Personalplanung!S35/Monatsplanung!$E35*Monatsplanung!$I35)</f>
        <v>0</v>
      </c>
      <c r="AA243" s="80">
        <f t="shared" si="65"/>
        <v>0</v>
      </c>
      <c r="AB243" s="102">
        <f t="shared" si="66"/>
        <v>0.1</v>
      </c>
      <c r="AC243" s="103">
        <f t="shared" si="67"/>
        <v>0</v>
      </c>
      <c r="AD243" s="103">
        <f t="shared" si="68"/>
        <v>0</v>
      </c>
      <c r="AE243" s="81">
        <f t="shared" si="69"/>
        <v>0</v>
      </c>
      <c r="AF243" s="539"/>
      <c r="AG243" s="104">
        <f t="shared" si="70"/>
        <v>1</v>
      </c>
      <c r="AH243" s="7">
        <f t="shared" si="71"/>
        <v>0</v>
      </c>
      <c r="AI243" s="6">
        <f t="shared" si="72"/>
        <v>0</v>
      </c>
      <c r="AJ243" s="73">
        <f t="shared" si="73"/>
        <v>0</v>
      </c>
      <c r="AK243" s="539"/>
      <c r="AL243" s="748"/>
      <c r="AM243" s="748"/>
    </row>
    <row r="244" spans="2:39" x14ac:dyDescent="0.2">
      <c r="B244" s="101" t="str">
        <f t="shared" si="58"/>
        <v/>
      </c>
      <c r="C244" s="168">
        <f>IF(ISERROR(Personalplanung!F36/Monatsplanung!$E36*Monatsplanung!$I36),0,Personalplanung!F36/Monatsplanung!$E36*Monatsplanung!$I36)</f>
        <v>0</v>
      </c>
      <c r="D244" s="168">
        <f t="shared" si="59"/>
        <v>0</v>
      </c>
      <c r="E244" s="168">
        <f>IF(ISERROR(Personalplanung!H36/Monatsplanung!$E36*Monatsplanung!$I36),0,Personalplanung!H36/Monatsplanung!$E36*Monatsplanung!$I36)</f>
        <v>0</v>
      </c>
      <c r="F244" s="168">
        <f t="shared" si="60"/>
        <v>0</v>
      </c>
      <c r="G244" s="168">
        <f t="shared" si="61"/>
        <v>27.700831024930746</v>
      </c>
      <c r="H244" s="168">
        <f t="shared" si="62"/>
        <v>0</v>
      </c>
      <c r="I244" s="168">
        <f t="shared" si="63"/>
        <v>30</v>
      </c>
      <c r="J244" s="739"/>
      <c r="K244" s="168">
        <f>IF(J244&lt;&gt;"",J244,IF(ISERROR(Personalplanung!AB36/Monatsplanung!$E36*Monatsplanung!$I36),0,Personalplanung!AB36/Monatsplanung!$E36*Monatsplanung!$I36))</f>
        <v>0</v>
      </c>
      <c r="L244" s="740"/>
      <c r="M244" s="739"/>
      <c r="N244" s="168">
        <f>IF(M244&lt;&gt;"",M244,IF(ISERROR(Personalplanung!AC36/Monatsplanung!$E36*Monatsplanung!$I36),0,Personalplanung!AC36/Monatsplanung!$E36*Monatsplanung!$I36))</f>
        <v>0</v>
      </c>
      <c r="O244" s="740"/>
      <c r="P244" s="739"/>
      <c r="Q244" s="168">
        <f>IF(P244&lt;&gt;"",P244,IF(ISERROR(Personalplanung!AD36/Monatsplanung!$E36*Monatsplanung!$I36),0,Personalplanung!AD36/Monatsplanung!$E36*Monatsplanung!$I36))</f>
        <v>0</v>
      </c>
      <c r="R244" s="740"/>
      <c r="S244" s="739"/>
      <c r="T244" s="168">
        <f>IF(S244&lt;&gt;"",S244,IF(ISERROR(Personalplanung!AE36/Monatsplanung!$E36*Monatsplanung!$I36),0,Personalplanung!AE36/Monatsplanung!$E36*Monatsplanung!$I36))</f>
        <v>0</v>
      </c>
      <c r="U244" s="740"/>
      <c r="V244" s="168">
        <f t="shared" si="64"/>
        <v>0</v>
      </c>
      <c r="W244" s="168">
        <f>IF(ISERROR(Personalplanung!P36/Monatsplanung!$E36*Monatsplanung!$I36),0,Personalplanung!P36/Monatsplanung!$E36*Monatsplanung!$I36)</f>
        <v>0</v>
      </c>
      <c r="X244" s="168">
        <f>IF(ISERROR(Personalplanung!Q36/Monatsplanung!$E36*Monatsplanung!$I36),0,Personalplanung!Q36/Monatsplanung!$E36*Monatsplanung!$I36)</f>
        <v>0</v>
      </c>
      <c r="Y244" s="168">
        <f>IF(ISERROR(Personalplanung!R36/T1284*Stundencontrolling!T244),0,Personalplanung!R36/T1284*Stundencontrolling!T244)</f>
        <v>0</v>
      </c>
      <c r="Z244" s="168">
        <f>IF(ISERROR(Personalplanung!S36/Monatsplanung!$E36*Monatsplanung!$I36),0,Personalplanung!S36/Monatsplanung!$E36*Monatsplanung!$I36)</f>
        <v>0</v>
      </c>
      <c r="AA244" s="80">
        <f t="shared" si="65"/>
        <v>0</v>
      </c>
      <c r="AB244" s="102">
        <f t="shared" si="66"/>
        <v>0.1</v>
      </c>
      <c r="AC244" s="103">
        <f t="shared" si="67"/>
        <v>0</v>
      </c>
      <c r="AD244" s="103">
        <f t="shared" si="68"/>
        <v>0</v>
      </c>
      <c r="AE244" s="81">
        <f t="shared" si="69"/>
        <v>0</v>
      </c>
      <c r="AF244" s="539"/>
      <c r="AG244" s="104">
        <f t="shared" si="70"/>
        <v>1</v>
      </c>
      <c r="AH244" s="7">
        <f t="shared" si="71"/>
        <v>0</v>
      </c>
      <c r="AI244" s="6">
        <f t="shared" si="72"/>
        <v>0</v>
      </c>
      <c r="AJ244" s="73">
        <f t="shared" si="73"/>
        <v>0</v>
      </c>
      <c r="AK244" s="539"/>
      <c r="AL244" s="748"/>
      <c r="AM244" s="748"/>
    </row>
    <row r="245" spans="2:39" x14ac:dyDescent="0.2">
      <c r="B245" s="101" t="str">
        <f t="shared" si="58"/>
        <v/>
      </c>
      <c r="C245" s="168">
        <f>IF(ISERROR(Personalplanung!F37/Monatsplanung!$E37*Monatsplanung!$I37),0,Personalplanung!F37/Monatsplanung!$E37*Monatsplanung!$I37)</f>
        <v>0</v>
      </c>
      <c r="D245" s="168">
        <f t="shared" si="59"/>
        <v>0</v>
      </c>
      <c r="E245" s="168">
        <f>IF(ISERROR(Personalplanung!H37/Monatsplanung!$E37*Monatsplanung!$I37),0,Personalplanung!H37/Monatsplanung!$E37*Monatsplanung!$I37)</f>
        <v>0</v>
      </c>
      <c r="F245" s="168">
        <f t="shared" si="60"/>
        <v>0</v>
      </c>
      <c r="G245" s="168">
        <f t="shared" si="61"/>
        <v>27.700831024930746</v>
      </c>
      <c r="H245" s="168">
        <f t="shared" si="62"/>
        <v>0</v>
      </c>
      <c r="I245" s="168">
        <f t="shared" si="63"/>
        <v>30</v>
      </c>
      <c r="J245" s="739"/>
      <c r="K245" s="168">
        <f>IF(J245&lt;&gt;"",J245,IF(ISERROR(Personalplanung!AB37/Monatsplanung!$E37*Monatsplanung!$I37),0,Personalplanung!AB37/Monatsplanung!$E37*Monatsplanung!$I37))</f>
        <v>0</v>
      </c>
      <c r="L245" s="740"/>
      <c r="M245" s="739"/>
      <c r="N245" s="168">
        <f>IF(M245&lt;&gt;"",M245,IF(ISERROR(Personalplanung!AC37/Monatsplanung!$E37*Monatsplanung!$I37),0,Personalplanung!AC37/Monatsplanung!$E37*Monatsplanung!$I37))</f>
        <v>0</v>
      </c>
      <c r="O245" s="740"/>
      <c r="P245" s="739"/>
      <c r="Q245" s="168">
        <f>IF(P245&lt;&gt;"",P245,IF(ISERROR(Personalplanung!AD37/Monatsplanung!$E37*Monatsplanung!$I37),0,Personalplanung!AD37/Monatsplanung!$E37*Monatsplanung!$I37))</f>
        <v>0</v>
      </c>
      <c r="R245" s="740"/>
      <c r="S245" s="739"/>
      <c r="T245" s="168">
        <f>IF(S245&lt;&gt;"",S245,IF(ISERROR(Personalplanung!AE37/Monatsplanung!$E37*Monatsplanung!$I37),0,Personalplanung!AE37/Monatsplanung!$E37*Monatsplanung!$I37))</f>
        <v>0</v>
      </c>
      <c r="U245" s="740"/>
      <c r="V245" s="168">
        <f t="shared" si="64"/>
        <v>0</v>
      </c>
      <c r="W245" s="168">
        <f>IF(ISERROR(Personalplanung!P37/Monatsplanung!$E37*Monatsplanung!$I37),0,Personalplanung!P37/Monatsplanung!$E37*Monatsplanung!$I37)</f>
        <v>0</v>
      </c>
      <c r="X245" s="168">
        <f>IF(ISERROR(Personalplanung!Q37/Monatsplanung!$E37*Monatsplanung!$I37),0,Personalplanung!Q37/Monatsplanung!$E37*Monatsplanung!$I37)</f>
        <v>0</v>
      </c>
      <c r="Y245" s="168">
        <f>IF(ISERROR(Personalplanung!R37/T1285*Stundencontrolling!T245),0,Personalplanung!R37/T1285*Stundencontrolling!T245)</f>
        <v>0</v>
      </c>
      <c r="Z245" s="168">
        <f>IF(ISERROR(Personalplanung!S37/Monatsplanung!$E37*Monatsplanung!$I37),0,Personalplanung!S37/Monatsplanung!$E37*Monatsplanung!$I37)</f>
        <v>0</v>
      </c>
      <c r="AA245" s="80">
        <f t="shared" si="65"/>
        <v>0</v>
      </c>
      <c r="AB245" s="102">
        <f t="shared" si="66"/>
        <v>0.1</v>
      </c>
      <c r="AC245" s="103">
        <f t="shared" si="67"/>
        <v>0</v>
      </c>
      <c r="AD245" s="103">
        <f t="shared" si="68"/>
        <v>0</v>
      </c>
      <c r="AE245" s="81">
        <f t="shared" si="69"/>
        <v>0</v>
      </c>
      <c r="AF245" s="539"/>
      <c r="AG245" s="104">
        <f t="shared" si="70"/>
        <v>1</v>
      </c>
      <c r="AH245" s="7">
        <f t="shared" si="71"/>
        <v>0</v>
      </c>
      <c r="AI245" s="6">
        <f t="shared" si="72"/>
        <v>0</v>
      </c>
      <c r="AJ245" s="73">
        <f t="shared" si="73"/>
        <v>0</v>
      </c>
      <c r="AK245" s="539"/>
      <c r="AL245" s="748"/>
      <c r="AM245" s="748"/>
    </row>
    <row r="246" spans="2:39" x14ac:dyDescent="0.2">
      <c r="B246" s="101" t="str">
        <f t="shared" si="58"/>
        <v/>
      </c>
      <c r="C246" s="168">
        <f>IF(ISERROR(Personalplanung!F38/Monatsplanung!$E38*Monatsplanung!$I38),0,Personalplanung!F38/Monatsplanung!$E38*Monatsplanung!$I38)</f>
        <v>0</v>
      </c>
      <c r="D246" s="168">
        <f t="shared" si="59"/>
        <v>0</v>
      </c>
      <c r="E246" s="168">
        <f>IF(ISERROR(Personalplanung!H38/Monatsplanung!$E38*Monatsplanung!$I38),0,Personalplanung!H38/Monatsplanung!$E38*Monatsplanung!$I38)</f>
        <v>0</v>
      </c>
      <c r="F246" s="168">
        <f t="shared" si="60"/>
        <v>0</v>
      </c>
      <c r="G246" s="168">
        <f t="shared" si="61"/>
        <v>27.700831024930746</v>
      </c>
      <c r="H246" s="168">
        <f t="shared" si="62"/>
        <v>0</v>
      </c>
      <c r="I246" s="168">
        <f t="shared" si="63"/>
        <v>30</v>
      </c>
      <c r="J246" s="739"/>
      <c r="K246" s="168">
        <f>IF(J246&lt;&gt;"",J246,IF(ISERROR(Personalplanung!AB38/Monatsplanung!$E38*Monatsplanung!$I38),0,Personalplanung!AB38/Monatsplanung!$E38*Monatsplanung!$I38))</f>
        <v>0</v>
      </c>
      <c r="L246" s="740"/>
      <c r="M246" s="739"/>
      <c r="N246" s="168">
        <f>IF(M246&lt;&gt;"",M246,IF(ISERROR(Personalplanung!AC38/Monatsplanung!$E38*Monatsplanung!$I38),0,Personalplanung!AC38/Monatsplanung!$E38*Monatsplanung!$I38))</f>
        <v>0</v>
      </c>
      <c r="O246" s="740"/>
      <c r="P246" s="739"/>
      <c r="Q246" s="168">
        <f>IF(P246&lt;&gt;"",P246,IF(ISERROR(Personalplanung!AD38/Monatsplanung!$E38*Monatsplanung!$I38),0,Personalplanung!AD38/Monatsplanung!$E38*Monatsplanung!$I38))</f>
        <v>0</v>
      </c>
      <c r="R246" s="740"/>
      <c r="S246" s="739"/>
      <c r="T246" s="168">
        <f>IF(S246&lt;&gt;"",S246,IF(ISERROR(Personalplanung!AE38/Monatsplanung!$E38*Monatsplanung!$I38),0,Personalplanung!AE38/Monatsplanung!$E38*Monatsplanung!$I38))</f>
        <v>0</v>
      </c>
      <c r="U246" s="740"/>
      <c r="V246" s="168">
        <f t="shared" si="64"/>
        <v>0</v>
      </c>
      <c r="W246" s="168">
        <f>IF(ISERROR(Personalplanung!P38/Monatsplanung!$E38*Monatsplanung!$I38),0,Personalplanung!P38/Monatsplanung!$E38*Monatsplanung!$I38)</f>
        <v>0</v>
      </c>
      <c r="X246" s="168">
        <f>IF(ISERROR(Personalplanung!Q38/Monatsplanung!$E38*Monatsplanung!$I38),0,Personalplanung!Q38/Monatsplanung!$E38*Monatsplanung!$I38)</f>
        <v>0</v>
      </c>
      <c r="Y246" s="168">
        <f>IF(ISERROR(Personalplanung!R38/T1286*Stundencontrolling!T246),0,Personalplanung!R38/T1286*Stundencontrolling!T246)</f>
        <v>0</v>
      </c>
      <c r="Z246" s="168">
        <f>IF(ISERROR(Personalplanung!S38/Monatsplanung!$E38*Monatsplanung!$I38),0,Personalplanung!S38/Monatsplanung!$E38*Monatsplanung!$I38)</f>
        <v>0</v>
      </c>
      <c r="AA246" s="80">
        <f t="shared" si="65"/>
        <v>0</v>
      </c>
      <c r="AB246" s="102">
        <f t="shared" si="66"/>
        <v>0.1</v>
      </c>
      <c r="AC246" s="103">
        <f t="shared" si="67"/>
        <v>0</v>
      </c>
      <c r="AD246" s="103">
        <f t="shared" si="68"/>
        <v>0</v>
      </c>
      <c r="AE246" s="81">
        <f t="shared" si="69"/>
        <v>0</v>
      </c>
      <c r="AF246" s="539"/>
      <c r="AG246" s="104">
        <f t="shared" si="70"/>
        <v>1</v>
      </c>
      <c r="AH246" s="7">
        <f t="shared" si="71"/>
        <v>0</v>
      </c>
      <c r="AI246" s="6">
        <f t="shared" si="72"/>
        <v>0</v>
      </c>
      <c r="AJ246" s="73">
        <f t="shared" si="73"/>
        <v>0</v>
      </c>
      <c r="AK246" s="539"/>
      <c r="AL246" s="748"/>
      <c r="AM246" s="748"/>
    </row>
    <row r="247" spans="2:39" x14ac:dyDescent="0.2">
      <c r="B247" s="101" t="str">
        <f t="shared" si="58"/>
        <v/>
      </c>
      <c r="C247" s="168">
        <f>IF(ISERROR(Personalplanung!F39/Monatsplanung!$E39*Monatsplanung!$I39),0,Personalplanung!F39/Monatsplanung!$E39*Monatsplanung!$I39)</f>
        <v>0</v>
      </c>
      <c r="D247" s="168">
        <f t="shared" si="59"/>
        <v>0</v>
      </c>
      <c r="E247" s="168">
        <f>IF(ISERROR(Personalplanung!H39/Monatsplanung!$E39*Monatsplanung!$I39),0,Personalplanung!H39/Monatsplanung!$E39*Monatsplanung!$I39)</f>
        <v>0</v>
      </c>
      <c r="F247" s="168">
        <f t="shared" si="60"/>
        <v>0</v>
      </c>
      <c r="G247" s="168">
        <f t="shared" si="61"/>
        <v>27.700831024930746</v>
      </c>
      <c r="H247" s="168">
        <f t="shared" si="62"/>
        <v>0</v>
      </c>
      <c r="I247" s="168">
        <f t="shared" si="63"/>
        <v>30</v>
      </c>
      <c r="J247" s="739"/>
      <c r="K247" s="168">
        <f>IF(J247&lt;&gt;"",J247,IF(ISERROR(Personalplanung!AB39/Monatsplanung!$E39*Monatsplanung!$I39),0,Personalplanung!AB39/Monatsplanung!$E39*Monatsplanung!$I39))</f>
        <v>0</v>
      </c>
      <c r="L247" s="740"/>
      <c r="M247" s="739"/>
      <c r="N247" s="168">
        <f>IF(M247&lt;&gt;"",M247,IF(ISERROR(Personalplanung!AC39/Monatsplanung!$E39*Monatsplanung!$I39),0,Personalplanung!AC39/Monatsplanung!$E39*Monatsplanung!$I39))</f>
        <v>0</v>
      </c>
      <c r="O247" s="740"/>
      <c r="P247" s="739"/>
      <c r="Q247" s="168">
        <f>IF(P247&lt;&gt;"",P247,IF(ISERROR(Personalplanung!AD39/Monatsplanung!$E39*Monatsplanung!$I39),0,Personalplanung!AD39/Monatsplanung!$E39*Monatsplanung!$I39))</f>
        <v>0</v>
      </c>
      <c r="R247" s="740"/>
      <c r="S247" s="739"/>
      <c r="T247" s="168">
        <f>IF(S247&lt;&gt;"",S247,IF(ISERROR(Personalplanung!AE39/Monatsplanung!$E39*Monatsplanung!$I39),0,Personalplanung!AE39/Monatsplanung!$E39*Monatsplanung!$I39))</f>
        <v>0</v>
      </c>
      <c r="U247" s="740"/>
      <c r="V247" s="168">
        <f t="shared" si="64"/>
        <v>0</v>
      </c>
      <c r="W247" s="168">
        <f>IF(ISERROR(Personalplanung!P39/Monatsplanung!$E39*Monatsplanung!$I39),0,Personalplanung!P39/Monatsplanung!$E39*Monatsplanung!$I39)</f>
        <v>0</v>
      </c>
      <c r="X247" s="168">
        <f>IF(ISERROR(Personalplanung!Q39/Monatsplanung!$E39*Monatsplanung!$I39),0,Personalplanung!Q39/Monatsplanung!$E39*Monatsplanung!$I39)</f>
        <v>0</v>
      </c>
      <c r="Y247" s="168">
        <f>IF(ISERROR(Personalplanung!R39/T1287*Stundencontrolling!T247),0,Personalplanung!R39/T1287*Stundencontrolling!T247)</f>
        <v>0</v>
      </c>
      <c r="Z247" s="168">
        <f>IF(ISERROR(Personalplanung!S39/Monatsplanung!$E39*Monatsplanung!$I39),0,Personalplanung!S39/Monatsplanung!$E39*Monatsplanung!$I39)</f>
        <v>0</v>
      </c>
      <c r="AA247" s="80">
        <f t="shared" si="65"/>
        <v>0</v>
      </c>
      <c r="AB247" s="102">
        <f t="shared" si="66"/>
        <v>0.1</v>
      </c>
      <c r="AC247" s="103">
        <f t="shared" si="67"/>
        <v>0</v>
      </c>
      <c r="AD247" s="103">
        <f t="shared" si="68"/>
        <v>0</v>
      </c>
      <c r="AE247" s="81">
        <f t="shared" si="69"/>
        <v>0</v>
      </c>
      <c r="AF247" s="539"/>
      <c r="AG247" s="104">
        <f t="shared" si="70"/>
        <v>1</v>
      </c>
      <c r="AH247" s="7">
        <f t="shared" si="71"/>
        <v>0</v>
      </c>
      <c r="AI247" s="6">
        <f t="shared" si="72"/>
        <v>0</v>
      </c>
      <c r="AJ247" s="73">
        <f t="shared" si="73"/>
        <v>0</v>
      </c>
      <c r="AK247" s="539"/>
      <c r="AL247" s="748"/>
      <c r="AM247" s="748"/>
    </row>
    <row r="248" spans="2:39" x14ac:dyDescent="0.2">
      <c r="B248" s="101" t="str">
        <f t="shared" si="58"/>
        <v/>
      </c>
      <c r="C248" s="168">
        <f>IF(ISERROR(Personalplanung!F40/Monatsplanung!$E40*Monatsplanung!$I40),0,Personalplanung!F40/Monatsplanung!$E40*Monatsplanung!$I40)</f>
        <v>0</v>
      </c>
      <c r="D248" s="168">
        <f t="shared" si="59"/>
        <v>0</v>
      </c>
      <c r="E248" s="168">
        <f>IF(ISERROR(Personalplanung!H40/Monatsplanung!$E40*Monatsplanung!$I40),0,Personalplanung!H40/Monatsplanung!$E40*Monatsplanung!$I40)</f>
        <v>0</v>
      </c>
      <c r="F248" s="168">
        <f t="shared" si="60"/>
        <v>0</v>
      </c>
      <c r="G248" s="168">
        <f t="shared" si="61"/>
        <v>27.700831024930746</v>
      </c>
      <c r="H248" s="168">
        <f t="shared" si="62"/>
        <v>0</v>
      </c>
      <c r="I248" s="168">
        <f t="shared" si="63"/>
        <v>30</v>
      </c>
      <c r="J248" s="739"/>
      <c r="K248" s="168">
        <f>IF(J248&lt;&gt;"",J248,IF(ISERROR(Personalplanung!AB40/Monatsplanung!$E40*Monatsplanung!$I40),0,Personalplanung!AB40/Monatsplanung!$E40*Monatsplanung!$I40))</f>
        <v>0</v>
      </c>
      <c r="L248" s="740"/>
      <c r="M248" s="739"/>
      <c r="N248" s="168">
        <f>IF(M248&lt;&gt;"",M248,IF(ISERROR(Personalplanung!AC40/Monatsplanung!$E40*Monatsplanung!$I40),0,Personalplanung!AC40/Monatsplanung!$E40*Monatsplanung!$I40))</f>
        <v>0</v>
      </c>
      <c r="O248" s="740"/>
      <c r="P248" s="739"/>
      <c r="Q248" s="168">
        <f>IF(P248&lt;&gt;"",P248,IF(ISERROR(Personalplanung!AD40/Monatsplanung!$E40*Monatsplanung!$I40),0,Personalplanung!AD40/Monatsplanung!$E40*Monatsplanung!$I40))</f>
        <v>0</v>
      </c>
      <c r="R248" s="740"/>
      <c r="S248" s="739"/>
      <c r="T248" s="168">
        <f>IF(S248&lt;&gt;"",S248,IF(ISERROR(Personalplanung!AE40/Monatsplanung!$E40*Monatsplanung!$I40),0,Personalplanung!AE40/Monatsplanung!$E40*Monatsplanung!$I40))</f>
        <v>0</v>
      </c>
      <c r="U248" s="740"/>
      <c r="V248" s="168">
        <f t="shared" si="64"/>
        <v>0</v>
      </c>
      <c r="W248" s="168">
        <f>IF(ISERROR(Personalplanung!P40/Monatsplanung!$E40*Monatsplanung!$I40),0,Personalplanung!P40/Monatsplanung!$E40*Monatsplanung!$I40)</f>
        <v>0</v>
      </c>
      <c r="X248" s="168">
        <f>IF(ISERROR(Personalplanung!Q40/Monatsplanung!$E40*Monatsplanung!$I40),0,Personalplanung!Q40/Monatsplanung!$E40*Monatsplanung!$I40)</f>
        <v>0</v>
      </c>
      <c r="Y248" s="168">
        <f>IF(ISERROR(Personalplanung!R40/T1288*Stundencontrolling!T248),0,Personalplanung!R40/T1288*Stundencontrolling!T248)</f>
        <v>0</v>
      </c>
      <c r="Z248" s="168">
        <f>IF(ISERROR(Personalplanung!S40/Monatsplanung!$E40*Monatsplanung!$I40),0,Personalplanung!S40/Monatsplanung!$E40*Monatsplanung!$I40)</f>
        <v>0</v>
      </c>
      <c r="AA248" s="80">
        <f t="shared" si="65"/>
        <v>0</v>
      </c>
      <c r="AB248" s="102">
        <f t="shared" si="66"/>
        <v>0.1</v>
      </c>
      <c r="AC248" s="103">
        <f t="shared" si="67"/>
        <v>0</v>
      </c>
      <c r="AD248" s="103">
        <f t="shared" si="68"/>
        <v>0</v>
      </c>
      <c r="AE248" s="81">
        <f t="shared" si="69"/>
        <v>0</v>
      </c>
      <c r="AF248" s="539"/>
      <c r="AG248" s="104">
        <f t="shared" si="70"/>
        <v>1</v>
      </c>
      <c r="AH248" s="7">
        <f t="shared" si="71"/>
        <v>0</v>
      </c>
      <c r="AI248" s="6">
        <f t="shared" si="72"/>
        <v>0</v>
      </c>
      <c r="AJ248" s="73">
        <f t="shared" si="73"/>
        <v>0</v>
      </c>
      <c r="AK248" s="539"/>
      <c r="AL248" s="748"/>
      <c r="AM248" s="748"/>
    </row>
    <row r="249" spans="2:39" x14ac:dyDescent="0.2">
      <c r="B249" s="101" t="str">
        <f t="shared" si="58"/>
        <v/>
      </c>
      <c r="C249" s="168">
        <f>IF(ISERROR(Personalplanung!F41/Monatsplanung!$E41*Monatsplanung!$I41),0,Personalplanung!F41/Monatsplanung!$E41*Monatsplanung!$I41)</f>
        <v>0</v>
      </c>
      <c r="D249" s="168">
        <f t="shared" si="59"/>
        <v>0</v>
      </c>
      <c r="E249" s="168">
        <f>IF(ISERROR(Personalplanung!H41/Monatsplanung!$E41*Monatsplanung!$I41),0,Personalplanung!H41/Monatsplanung!$E41*Monatsplanung!$I41)</f>
        <v>0</v>
      </c>
      <c r="F249" s="168">
        <f t="shared" si="60"/>
        <v>0</v>
      </c>
      <c r="G249" s="168">
        <f t="shared" si="61"/>
        <v>27.700831024930746</v>
      </c>
      <c r="H249" s="168">
        <f t="shared" si="62"/>
        <v>0</v>
      </c>
      <c r="I249" s="168">
        <f t="shared" si="63"/>
        <v>30</v>
      </c>
      <c r="J249" s="739"/>
      <c r="K249" s="168">
        <f>IF(J249&lt;&gt;"",J249,IF(ISERROR(Personalplanung!AB41/Monatsplanung!$E41*Monatsplanung!$I41),0,Personalplanung!AB41/Monatsplanung!$E41*Monatsplanung!$I41))</f>
        <v>0</v>
      </c>
      <c r="L249" s="740"/>
      <c r="M249" s="739"/>
      <c r="N249" s="168">
        <f>IF(M249&lt;&gt;"",M249,IF(ISERROR(Personalplanung!AC41/Monatsplanung!$E41*Monatsplanung!$I41),0,Personalplanung!AC41/Monatsplanung!$E41*Monatsplanung!$I41))</f>
        <v>0</v>
      </c>
      <c r="O249" s="740"/>
      <c r="P249" s="739"/>
      <c r="Q249" s="168">
        <f>IF(P249&lt;&gt;"",P249,IF(ISERROR(Personalplanung!AD41/Monatsplanung!$E41*Monatsplanung!$I41),0,Personalplanung!AD41/Monatsplanung!$E41*Monatsplanung!$I41))</f>
        <v>0</v>
      </c>
      <c r="R249" s="740"/>
      <c r="S249" s="739"/>
      <c r="T249" s="168">
        <f>IF(S249&lt;&gt;"",S249,IF(ISERROR(Personalplanung!AE41/Monatsplanung!$E41*Monatsplanung!$I41),0,Personalplanung!AE41/Monatsplanung!$E41*Monatsplanung!$I41))</f>
        <v>0</v>
      </c>
      <c r="U249" s="740"/>
      <c r="V249" s="168">
        <f t="shared" si="64"/>
        <v>0</v>
      </c>
      <c r="W249" s="168">
        <f>IF(ISERROR(Personalplanung!P41/Monatsplanung!$E41*Monatsplanung!$I41),0,Personalplanung!P41/Monatsplanung!$E41*Monatsplanung!$I41)</f>
        <v>0</v>
      </c>
      <c r="X249" s="168">
        <f>IF(ISERROR(Personalplanung!Q41/Monatsplanung!$E41*Monatsplanung!$I41),0,Personalplanung!Q41/Monatsplanung!$E41*Monatsplanung!$I41)</f>
        <v>0</v>
      </c>
      <c r="Y249" s="168">
        <f>IF(ISERROR(Personalplanung!R41/T1289*Stundencontrolling!T249),0,Personalplanung!R41/T1289*Stundencontrolling!T249)</f>
        <v>0</v>
      </c>
      <c r="Z249" s="168">
        <f>IF(ISERROR(Personalplanung!S41/Monatsplanung!$E41*Monatsplanung!$I41),0,Personalplanung!S41/Monatsplanung!$E41*Monatsplanung!$I41)</f>
        <v>0</v>
      </c>
      <c r="AA249" s="80">
        <f t="shared" si="65"/>
        <v>0</v>
      </c>
      <c r="AB249" s="102">
        <f t="shared" si="66"/>
        <v>0.1</v>
      </c>
      <c r="AC249" s="103">
        <f t="shared" si="67"/>
        <v>0</v>
      </c>
      <c r="AD249" s="103">
        <f t="shared" si="68"/>
        <v>0</v>
      </c>
      <c r="AE249" s="81">
        <f t="shared" si="69"/>
        <v>0</v>
      </c>
      <c r="AF249" s="539"/>
      <c r="AG249" s="104">
        <f t="shared" si="70"/>
        <v>1</v>
      </c>
      <c r="AH249" s="7">
        <f t="shared" si="71"/>
        <v>0</v>
      </c>
      <c r="AI249" s="6">
        <f t="shared" si="72"/>
        <v>0</v>
      </c>
      <c r="AJ249" s="73">
        <f t="shared" si="73"/>
        <v>0</v>
      </c>
      <c r="AK249" s="539"/>
      <c r="AL249" s="748"/>
      <c r="AM249" s="748"/>
    </row>
    <row r="250" spans="2:39" x14ac:dyDescent="0.2">
      <c r="B250" s="101" t="str">
        <f t="shared" si="58"/>
        <v/>
      </c>
      <c r="C250" s="168">
        <f>IF(ISERROR(Personalplanung!F42/Monatsplanung!$E42*Monatsplanung!$I42),0,Personalplanung!F42/Monatsplanung!$E42*Monatsplanung!$I42)</f>
        <v>0</v>
      </c>
      <c r="D250" s="168">
        <f t="shared" si="59"/>
        <v>0</v>
      </c>
      <c r="E250" s="168">
        <f>IF(ISERROR(Personalplanung!H42/Monatsplanung!$E42*Monatsplanung!$I42),0,Personalplanung!H42/Monatsplanung!$E42*Monatsplanung!$I42)</f>
        <v>0</v>
      </c>
      <c r="F250" s="168">
        <f t="shared" si="60"/>
        <v>0</v>
      </c>
      <c r="G250" s="168">
        <f t="shared" si="61"/>
        <v>27.700831024930746</v>
      </c>
      <c r="H250" s="168">
        <f t="shared" si="62"/>
        <v>0</v>
      </c>
      <c r="I250" s="168">
        <f t="shared" si="63"/>
        <v>30</v>
      </c>
      <c r="J250" s="739"/>
      <c r="K250" s="168">
        <f>IF(J250&lt;&gt;"",J250,IF(ISERROR(Personalplanung!AB42/Monatsplanung!$E42*Monatsplanung!$I42),0,Personalplanung!AB42/Monatsplanung!$E42*Monatsplanung!$I42))</f>
        <v>0</v>
      </c>
      <c r="L250" s="740"/>
      <c r="M250" s="739"/>
      <c r="N250" s="168">
        <f>IF(M250&lt;&gt;"",M250,IF(ISERROR(Personalplanung!AC42/Monatsplanung!$E42*Monatsplanung!$I42),0,Personalplanung!AC42/Monatsplanung!$E42*Monatsplanung!$I42))</f>
        <v>0</v>
      </c>
      <c r="O250" s="740"/>
      <c r="P250" s="739"/>
      <c r="Q250" s="168">
        <f>IF(P250&lt;&gt;"",P250,IF(ISERROR(Personalplanung!AD42/Monatsplanung!$E42*Monatsplanung!$I42),0,Personalplanung!AD42/Monatsplanung!$E42*Monatsplanung!$I42))</f>
        <v>0</v>
      </c>
      <c r="R250" s="740"/>
      <c r="S250" s="739"/>
      <c r="T250" s="168">
        <f>IF(S250&lt;&gt;"",S250,IF(ISERROR(Personalplanung!AE42/Monatsplanung!$E42*Monatsplanung!$I42),0,Personalplanung!AE42/Monatsplanung!$E42*Monatsplanung!$I42))</f>
        <v>0</v>
      </c>
      <c r="U250" s="740"/>
      <c r="V250" s="168">
        <f t="shared" si="64"/>
        <v>0</v>
      </c>
      <c r="W250" s="168">
        <f>IF(ISERROR(Personalplanung!P42/Monatsplanung!$E42*Monatsplanung!$I42),0,Personalplanung!P42/Monatsplanung!$E42*Monatsplanung!$I42)</f>
        <v>0</v>
      </c>
      <c r="X250" s="168">
        <f>IF(ISERROR(Personalplanung!Q42/Monatsplanung!$E42*Monatsplanung!$I42),0,Personalplanung!Q42/Monatsplanung!$E42*Monatsplanung!$I42)</f>
        <v>0</v>
      </c>
      <c r="Y250" s="168">
        <f>IF(ISERROR(Personalplanung!R42/T1290*Stundencontrolling!T250),0,Personalplanung!R42/T1290*Stundencontrolling!T250)</f>
        <v>0</v>
      </c>
      <c r="Z250" s="168">
        <f>IF(ISERROR(Personalplanung!S42/Monatsplanung!$E42*Monatsplanung!$I42),0,Personalplanung!S42/Monatsplanung!$E42*Monatsplanung!$I42)</f>
        <v>0</v>
      </c>
      <c r="AA250" s="80">
        <f t="shared" si="65"/>
        <v>0</v>
      </c>
      <c r="AB250" s="102">
        <f t="shared" si="66"/>
        <v>0.1</v>
      </c>
      <c r="AC250" s="103">
        <f t="shared" si="67"/>
        <v>0</v>
      </c>
      <c r="AD250" s="103">
        <f t="shared" si="68"/>
        <v>0</v>
      </c>
      <c r="AE250" s="81">
        <f t="shared" si="69"/>
        <v>0</v>
      </c>
      <c r="AF250" s="539"/>
      <c r="AG250" s="104">
        <f t="shared" si="70"/>
        <v>1</v>
      </c>
      <c r="AH250" s="7">
        <f t="shared" si="71"/>
        <v>0</v>
      </c>
      <c r="AI250" s="6">
        <f t="shared" si="72"/>
        <v>0</v>
      </c>
      <c r="AJ250" s="73">
        <f t="shared" si="73"/>
        <v>0</v>
      </c>
      <c r="AK250" s="539"/>
      <c r="AL250" s="748"/>
      <c r="AM250" s="748"/>
    </row>
    <row r="251" spans="2:39" x14ac:dyDescent="0.2">
      <c r="B251" s="101" t="str">
        <f t="shared" si="58"/>
        <v/>
      </c>
      <c r="C251" s="168">
        <f>IF(ISERROR(Personalplanung!F43/Monatsplanung!$E43*Monatsplanung!$I43),0,Personalplanung!F43/Monatsplanung!$E43*Monatsplanung!$I43)</f>
        <v>0</v>
      </c>
      <c r="D251" s="168">
        <f t="shared" si="59"/>
        <v>0</v>
      </c>
      <c r="E251" s="168">
        <f>IF(ISERROR(Personalplanung!H43/Monatsplanung!$E43*Monatsplanung!$I43),0,Personalplanung!H43/Monatsplanung!$E43*Monatsplanung!$I43)</f>
        <v>0</v>
      </c>
      <c r="F251" s="168">
        <f t="shared" si="60"/>
        <v>0</v>
      </c>
      <c r="G251" s="168">
        <f t="shared" si="61"/>
        <v>27.700831024930746</v>
      </c>
      <c r="H251" s="168">
        <f t="shared" si="62"/>
        <v>0</v>
      </c>
      <c r="I251" s="168">
        <f t="shared" si="63"/>
        <v>30</v>
      </c>
      <c r="J251" s="739"/>
      <c r="K251" s="168">
        <f>IF(J251&lt;&gt;"",J251,IF(ISERROR(Personalplanung!AB43/Monatsplanung!$E43*Monatsplanung!$I43),0,Personalplanung!AB43/Monatsplanung!$E43*Monatsplanung!$I43))</f>
        <v>0</v>
      </c>
      <c r="L251" s="740"/>
      <c r="M251" s="739"/>
      <c r="N251" s="168">
        <f>IF(M251&lt;&gt;"",M251,IF(ISERROR(Personalplanung!AC43/Monatsplanung!$E43*Monatsplanung!$I43),0,Personalplanung!AC43/Monatsplanung!$E43*Monatsplanung!$I43))</f>
        <v>0</v>
      </c>
      <c r="O251" s="740"/>
      <c r="P251" s="739"/>
      <c r="Q251" s="168">
        <f>IF(P251&lt;&gt;"",P251,IF(ISERROR(Personalplanung!AD43/Monatsplanung!$E43*Monatsplanung!$I43),0,Personalplanung!AD43/Monatsplanung!$E43*Monatsplanung!$I43))</f>
        <v>0</v>
      </c>
      <c r="R251" s="740"/>
      <c r="S251" s="739"/>
      <c r="T251" s="168">
        <f>IF(S251&lt;&gt;"",S251,IF(ISERROR(Personalplanung!AE43/Monatsplanung!$E43*Monatsplanung!$I43),0,Personalplanung!AE43/Monatsplanung!$E43*Monatsplanung!$I43))</f>
        <v>0</v>
      </c>
      <c r="U251" s="740"/>
      <c r="V251" s="168">
        <f t="shared" si="64"/>
        <v>0</v>
      </c>
      <c r="W251" s="168">
        <f>IF(ISERROR(Personalplanung!P43/Monatsplanung!$E43*Monatsplanung!$I43),0,Personalplanung!P43/Monatsplanung!$E43*Monatsplanung!$I43)</f>
        <v>0</v>
      </c>
      <c r="X251" s="168">
        <f>IF(ISERROR(Personalplanung!Q43/Monatsplanung!$E43*Monatsplanung!$I43),0,Personalplanung!Q43/Monatsplanung!$E43*Monatsplanung!$I43)</f>
        <v>0</v>
      </c>
      <c r="Y251" s="168">
        <f>IF(ISERROR(Personalplanung!R43/T1291*Stundencontrolling!T251),0,Personalplanung!R43/T1291*Stundencontrolling!T251)</f>
        <v>0</v>
      </c>
      <c r="Z251" s="168">
        <f>IF(ISERROR(Personalplanung!S43/Monatsplanung!$E43*Monatsplanung!$I43),0,Personalplanung!S43/Monatsplanung!$E43*Monatsplanung!$I43)</f>
        <v>0</v>
      </c>
      <c r="AA251" s="80">
        <f t="shared" si="65"/>
        <v>0</v>
      </c>
      <c r="AB251" s="102">
        <f t="shared" si="66"/>
        <v>0.1</v>
      </c>
      <c r="AC251" s="103">
        <f t="shared" si="67"/>
        <v>0</v>
      </c>
      <c r="AD251" s="103">
        <f t="shared" si="68"/>
        <v>0</v>
      </c>
      <c r="AE251" s="81">
        <f t="shared" si="69"/>
        <v>0</v>
      </c>
      <c r="AF251" s="539"/>
      <c r="AG251" s="104">
        <f t="shared" si="70"/>
        <v>1</v>
      </c>
      <c r="AH251" s="7">
        <f t="shared" si="71"/>
        <v>0</v>
      </c>
      <c r="AI251" s="6">
        <f t="shared" si="72"/>
        <v>0</v>
      </c>
      <c r="AJ251" s="73">
        <f t="shared" si="73"/>
        <v>0</v>
      </c>
      <c r="AK251" s="539"/>
      <c r="AL251" s="748"/>
      <c r="AM251" s="748"/>
    </row>
    <row r="252" spans="2:39" x14ac:dyDescent="0.2">
      <c r="B252" s="101" t="str">
        <f t="shared" si="58"/>
        <v/>
      </c>
      <c r="C252" s="168">
        <f>IF(ISERROR(Personalplanung!F44/Monatsplanung!$E44*Monatsplanung!$I44),0,Personalplanung!F44/Monatsplanung!$E44*Monatsplanung!$I44)</f>
        <v>0</v>
      </c>
      <c r="D252" s="168">
        <f t="shared" si="59"/>
        <v>0</v>
      </c>
      <c r="E252" s="168">
        <f>IF(ISERROR(Personalplanung!H44/Monatsplanung!$E44*Monatsplanung!$I44),0,Personalplanung!H44/Monatsplanung!$E44*Monatsplanung!$I44)</f>
        <v>0</v>
      </c>
      <c r="F252" s="168">
        <f t="shared" si="60"/>
        <v>0</v>
      </c>
      <c r="G252" s="168">
        <f t="shared" si="61"/>
        <v>27.700831024930746</v>
      </c>
      <c r="H252" s="168">
        <f t="shared" si="62"/>
        <v>0</v>
      </c>
      <c r="I252" s="168">
        <f t="shared" si="63"/>
        <v>30</v>
      </c>
      <c r="J252" s="739"/>
      <c r="K252" s="168">
        <f>IF(J252&lt;&gt;"",J252,IF(ISERROR(Personalplanung!AB44/Monatsplanung!$E44*Monatsplanung!$I44),0,Personalplanung!AB44/Monatsplanung!$E44*Monatsplanung!$I44))</f>
        <v>0</v>
      </c>
      <c r="L252" s="740"/>
      <c r="M252" s="739"/>
      <c r="N252" s="168">
        <f>IF(M252&lt;&gt;"",M252,IF(ISERROR(Personalplanung!AC44/Monatsplanung!$E44*Monatsplanung!$I44),0,Personalplanung!AC44/Monatsplanung!$E44*Monatsplanung!$I44))</f>
        <v>0</v>
      </c>
      <c r="O252" s="740"/>
      <c r="P252" s="739"/>
      <c r="Q252" s="168">
        <f>IF(P252&lt;&gt;"",P252,IF(ISERROR(Personalplanung!AD44/Monatsplanung!$E44*Monatsplanung!$I44),0,Personalplanung!AD44/Monatsplanung!$E44*Monatsplanung!$I44))</f>
        <v>0</v>
      </c>
      <c r="R252" s="740"/>
      <c r="S252" s="739"/>
      <c r="T252" s="168">
        <f>IF(S252&lt;&gt;"",S252,IF(ISERROR(Personalplanung!AE44/Monatsplanung!$E44*Monatsplanung!$I44),0,Personalplanung!AE44/Monatsplanung!$E44*Monatsplanung!$I44))</f>
        <v>0</v>
      </c>
      <c r="U252" s="740"/>
      <c r="V252" s="168">
        <f t="shared" si="64"/>
        <v>0</v>
      </c>
      <c r="W252" s="168">
        <f>IF(ISERROR(Personalplanung!P44/Monatsplanung!$E44*Monatsplanung!$I44),0,Personalplanung!P44/Monatsplanung!$E44*Monatsplanung!$I44)</f>
        <v>0</v>
      </c>
      <c r="X252" s="168">
        <f>IF(ISERROR(Personalplanung!Q44/Monatsplanung!$E44*Monatsplanung!$I44),0,Personalplanung!Q44/Monatsplanung!$E44*Monatsplanung!$I44)</f>
        <v>0</v>
      </c>
      <c r="Y252" s="168">
        <f>IF(ISERROR(Personalplanung!R44/T1292*Stundencontrolling!T252),0,Personalplanung!R44/T1292*Stundencontrolling!T252)</f>
        <v>0</v>
      </c>
      <c r="Z252" s="168">
        <f>IF(ISERROR(Personalplanung!S44/Monatsplanung!$E44*Monatsplanung!$I44),0,Personalplanung!S44/Monatsplanung!$E44*Monatsplanung!$I44)</f>
        <v>0</v>
      </c>
      <c r="AA252" s="80">
        <f t="shared" si="65"/>
        <v>0</v>
      </c>
      <c r="AB252" s="102">
        <f t="shared" si="66"/>
        <v>0.1</v>
      </c>
      <c r="AC252" s="103">
        <f t="shared" si="67"/>
        <v>0</v>
      </c>
      <c r="AD252" s="103">
        <f t="shared" si="68"/>
        <v>0</v>
      </c>
      <c r="AE252" s="81">
        <f t="shared" si="69"/>
        <v>0</v>
      </c>
      <c r="AF252" s="539"/>
      <c r="AG252" s="104">
        <f t="shared" si="70"/>
        <v>1</v>
      </c>
      <c r="AH252" s="7">
        <f t="shared" si="71"/>
        <v>0</v>
      </c>
      <c r="AI252" s="6">
        <f t="shared" si="72"/>
        <v>0</v>
      </c>
      <c r="AJ252" s="73">
        <f t="shared" si="73"/>
        <v>0</v>
      </c>
      <c r="AK252" s="539"/>
      <c r="AL252" s="748"/>
      <c r="AM252" s="748"/>
    </row>
    <row r="253" spans="2:39" x14ac:dyDescent="0.2">
      <c r="B253" s="101" t="str">
        <f t="shared" si="58"/>
        <v/>
      </c>
      <c r="C253" s="168">
        <f>IF(ISERROR(Personalplanung!F45/Monatsplanung!$E45*Monatsplanung!$I45),0,Personalplanung!F45/Monatsplanung!$E45*Monatsplanung!$I45)</f>
        <v>0</v>
      </c>
      <c r="D253" s="168">
        <f t="shared" si="59"/>
        <v>0</v>
      </c>
      <c r="E253" s="168">
        <f>IF(ISERROR(Personalplanung!H45/Monatsplanung!$E45*Monatsplanung!$I45),0,Personalplanung!H45/Monatsplanung!$E45*Monatsplanung!$I45)</f>
        <v>0</v>
      </c>
      <c r="F253" s="168">
        <f t="shared" si="60"/>
        <v>0</v>
      </c>
      <c r="G253" s="168">
        <f t="shared" si="61"/>
        <v>27.700831024930746</v>
      </c>
      <c r="H253" s="168">
        <f t="shared" si="62"/>
        <v>0</v>
      </c>
      <c r="I253" s="168">
        <f t="shared" si="63"/>
        <v>30</v>
      </c>
      <c r="J253" s="739"/>
      <c r="K253" s="168">
        <f>IF(J253&lt;&gt;"",J253,IF(ISERROR(Personalplanung!AB45/Monatsplanung!$E45*Monatsplanung!$I45),0,Personalplanung!AB45/Monatsplanung!$E45*Monatsplanung!$I45))</f>
        <v>0</v>
      </c>
      <c r="L253" s="740"/>
      <c r="M253" s="739"/>
      <c r="N253" s="168">
        <f>IF(M253&lt;&gt;"",M253,IF(ISERROR(Personalplanung!AC45/Monatsplanung!$E45*Monatsplanung!$I45),0,Personalplanung!AC45/Monatsplanung!$E45*Monatsplanung!$I45))</f>
        <v>0</v>
      </c>
      <c r="O253" s="740"/>
      <c r="P253" s="739"/>
      <c r="Q253" s="168">
        <f>IF(P253&lt;&gt;"",P253,IF(ISERROR(Personalplanung!AD45/Monatsplanung!$E45*Monatsplanung!$I45),0,Personalplanung!AD45/Monatsplanung!$E45*Monatsplanung!$I45))</f>
        <v>0</v>
      </c>
      <c r="R253" s="740"/>
      <c r="S253" s="739"/>
      <c r="T253" s="168">
        <f>IF(S253&lt;&gt;"",S253,IF(ISERROR(Personalplanung!AE45/Monatsplanung!$E45*Monatsplanung!$I45),0,Personalplanung!AE45/Monatsplanung!$E45*Monatsplanung!$I45))</f>
        <v>0</v>
      </c>
      <c r="U253" s="740"/>
      <c r="V253" s="168">
        <f t="shared" si="64"/>
        <v>0</v>
      </c>
      <c r="W253" s="168">
        <f>IF(ISERROR(Personalplanung!P45/Monatsplanung!$E45*Monatsplanung!$I45),0,Personalplanung!P45/Monatsplanung!$E45*Monatsplanung!$I45)</f>
        <v>0</v>
      </c>
      <c r="X253" s="168">
        <f>IF(ISERROR(Personalplanung!Q45/Monatsplanung!$E45*Monatsplanung!$I45),0,Personalplanung!Q45/Monatsplanung!$E45*Monatsplanung!$I45)</f>
        <v>0</v>
      </c>
      <c r="Y253" s="168">
        <f>IF(ISERROR(Personalplanung!R45/T1293*Stundencontrolling!T253),0,Personalplanung!R45/T1293*Stundencontrolling!T253)</f>
        <v>0</v>
      </c>
      <c r="Z253" s="168">
        <f>IF(ISERROR(Personalplanung!S45/Monatsplanung!$E45*Monatsplanung!$I45),0,Personalplanung!S45/Monatsplanung!$E45*Monatsplanung!$I45)</f>
        <v>0</v>
      </c>
      <c r="AA253" s="80">
        <f t="shared" si="65"/>
        <v>0</v>
      </c>
      <c r="AB253" s="102">
        <f t="shared" si="66"/>
        <v>0.1</v>
      </c>
      <c r="AC253" s="103">
        <f t="shared" si="67"/>
        <v>0</v>
      </c>
      <c r="AD253" s="103">
        <f t="shared" si="68"/>
        <v>0</v>
      </c>
      <c r="AE253" s="81">
        <f t="shared" si="69"/>
        <v>0</v>
      </c>
      <c r="AF253" s="539"/>
      <c r="AG253" s="104">
        <f t="shared" si="70"/>
        <v>1</v>
      </c>
      <c r="AH253" s="7">
        <f t="shared" si="71"/>
        <v>0</v>
      </c>
      <c r="AI253" s="6">
        <f t="shared" si="72"/>
        <v>0</v>
      </c>
      <c r="AJ253" s="73">
        <f t="shared" si="73"/>
        <v>0</v>
      </c>
      <c r="AK253" s="539"/>
      <c r="AL253" s="748"/>
      <c r="AM253" s="748"/>
    </row>
    <row r="254" spans="2:39" x14ac:dyDescent="0.2">
      <c r="B254" s="101" t="str">
        <f t="shared" si="58"/>
        <v/>
      </c>
      <c r="C254" s="168">
        <f>IF(ISERROR(Personalplanung!F46/Monatsplanung!$E46*Monatsplanung!$I46),0,Personalplanung!F46/Monatsplanung!$E46*Monatsplanung!$I46)</f>
        <v>0</v>
      </c>
      <c r="D254" s="168">
        <f t="shared" si="59"/>
        <v>0</v>
      </c>
      <c r="E254" s="168">
        <f>IF(ISERROR(Personalplanung!H46/Monatsplanung!$E46*Monatsplanung!$I46),0,Personalplanung!H46/Monatsplanung!$E46*Monatsplanung!$I46)</f>
        <v>0</v>
      </c>
      <c r="F254" s="168">
        <f t="shared" si="60"/>
        <v>0</v>
      </c>
      <c r="G254" s="168">
        <f t="shared" si="61"/>
        <v>27.700831024930746</v>
      </c>
      <c r="H254" s="168">
        <f t="shared" si="62"/>
        <v>0</v>
      </c>
      <c r="I254" s="168">
        <f t="shared" si="63"/>
        <v>30</v>
      </c>
      <c r="J254" s="739"/>
      <c r="K254" s="168">
        <f>IF(J254&lt;&gt;"",J254,IF(ISERROR(Personalplanung!AB46/Monatsplanung!$E46*Monatsplanung!$I46),0,Personalplanung!AB46/Monatsplanung!$E46*Monatsplanung!$I46))</f>
        <v>0</v>
      </c>
      <c r="L254" s="740"/>
      <c r="M254" s="739"/>
      <c r="N254" s="168">
        <f>IF(M254&lt;&gt;"",M254,IF(ISERROR(Personalplanung!AC46/Monatsplanung!$E46*Monatsplanung!$I46),0,Personalplanung!AC46/Monatsplanung!$E46*Monatsplanung!$I46))</f>
        <v>0</v>
      </c>
      <c r="O254" s="740"/>
      <c r="P254" s="739"/>
      <c r="Q254" s="168">
        <f>IF(P254&lt;&gt;"",P254,IF(ISERROR(Personalplanung!AD46/Monatsplanung!$E46*Monatsplanung!$I46),0,Personalplanung!AD46/Monatsplanung!$E46*Monatsplanung!$I46))</f>
        <v>0</v>
      </c>
      <c r="R254" s="740"/>
      <c r="S254" s="739"/>
      <c r="T254" s="168">
        <f>IF(S254&lt;&gt;"",S254,IF(ISERROR(Personalplanung!AE46/Monatsplanung!$E46*Monatsplanung!$I46),0,Personalplanung!AE46/Monatsplanung!$E46*Monatsplanung!$I46))</f>
        <v>0</v>
      </c>
      <c r="U254" s="740"/>
      <c r="V254" s="168">
        <f t="shared" si="64"/>
        <v>0</v>
      </c>
      <c r="W254" s="168">
        <f>IF(ISERROR(Personalplanung!P46/Monatsplanung!$E46*Monatsplanung!$I46),0,Personalplanung!P46/Monatsplanung!$E46*Monatsplanung!$I46)</f>
        <v>0</v>
      </c>
      <c r="X254" s="168">
        <f>IF(ISERROR(Personalplanung!Q46/Monatsplanung!$E46*Monatsplanung!$I46),0,Personalplanung!Q46/Monatsplanung!$E46*Monatsplanung!$I46)</f>
        <v>0</v>
      </c>
      <c r="Y254" s="168">
        <f>IF(ISERROR(Personalplanung!R46/T1294*Stundencontrolling!T254),0,Personalplanung!R46/T1294*Stundencontrolling!T254)</f>
        <v>0</v>
      </c>
      <c r="Z254" s="168">
        <f>IF(ISERROR(Personalplanung!S46/Monatsplanung!$E46*Monatsplanung!$I46),0,Personalplanung!S46/Monatsplanung!$E46*Monatsplanung!$I46)</f>
        <v>0</v>
      </c>
      <c r="AA254" s="80">
        <f t="shared" si="65"/>
        <v>0</v>
      </c>
      <c r="AB254" s="102">
        <f t="shared" si="66"/>
        <v>0.1</v>
      </c>
      <c r="AC254" s="103">
        <f t="shared" si="67"/>
        <v>0</v>
      </c>
      <c r="AD254" s="103">
        <f t="shared" si="68"/>
        <v>0</v>
      </c>
      <c r="AE254" s="81">
        <f t="shared" si="69"/>
        <v>0</v>
      </c>
      <c r="AF254" s="539"/>
      <c r="AG254" s="104">
        <f t="shared" si="70"/>
        <v>1</v>
      </c>
      <c r="AH254" s="7">
        <f t="shared" si="71"/>
        <v>0</v>
      </c>
      <c r="AI254" s="6">
        <f t="shared" si="72"/>
        <v>0</v>
      </c>
      <c r="AJ254" s="73">
        <f t="shared" si="73"/>
        <v>0</v>
      </c>
      <c r="AK254" s="539"/>
      <c r="AL254" s="748"/>
      <c r="AM254" s="748"/>
    </row>
    <row r="255" spans="2:39" x14ac:dyDescent="0.2">
      <c r="B255" s="101" t="str">
        <f t="shared" si="58"/>
        <v/>
      </c>
      <c r="C255" s="168">
        <f>IF(ISERROR(Personalplanung!F47/Monatsplanung!$E47*Monatsplanung!$I47),0,Personalplanung!F47/Monatsplanung!$E47*Monatsplanung!$I47)</f>
        <v>0</v>
      </c>
      <c r="D255" s="168">
        <f t="shared" si="59"/>
        <v>0</v>
      </c>
      <c r="E255" s="168">
        <f>IF(ISERROR(Personalplanung!H47/Monatsplanung!$E47*Monatsplanung!$I47),0,Personalplanung!H47/Monatsplanung!$E47*Monatsplanung!$I47)</f>
        <v>0</v>
      </c>
      <c r="F255" s="168">
        <f t="shared" si="60"/>
        <v>0</v>
      </c>
      <c r="G255" s="168">
        <f t="shared" si="61"/>
        <v>27.700831024930746</v>
      </c>
      <c r="H255" s="168">
        <f t="shared" si="62"/>
        <v>0</v>
      </c>
      <c r="I255" s="168">
        <f t="shared" si="63"/>
        <v>30</v>
      </c>
      <c r="J255" s="739"/>
      <c r="K255" s="168">
        <f>IF(J255&lt;&gt;"",J255,IF(ISERROR(Personalplanung!AB47/Monatsplanung!$E47*Monatsplanung!$I47),0,Personalplanung!AB47/Monatsplanung!$E47*Monatsplanung!$I47))</f>
        <v>0</v>
      </c>
      <c r="L255" s="740"/>
      <c r="M255" s="739"/>
      <c r="N255" s="168">
        <f>IF(M255&lt;&gt;"",M255,IF(ISERROR(Personalplanung!AC47/Monatsplanung!$E47*Monatsplanung!$I47),0,Personalplanung!AC47/Monatsplanung!$E47*Monatsplanung!$I47))</f>
        <v>0</v>
      </c>
      <c r="O255" s="740"/>
      <c r="P255" s="739"/>
      <c r="Q255" s="168">
        <f>IF(P255&lt;&gt;"",P255,IF(ISERROR(Personalplanung!AD47/Monatsplanung!$E47*Monatsplanung!$I47),0,Personalplanung!AD47/Monatsplanung!$E47*Monatsplanung!$I47))</f>
        <v>0</v>
      </c>
      <c r="R255" s="740"/>
      <c r="S255" s="739"/>
      <c r="T255" s="168">
        <f>IF(S255&lt;&gt;"",S255,IF(ISERROR(Personalplanung!AE47/Monatsplanung!$E47*Monatsplanung!$I47),0,Personalplanung!AE47/Monatsplanung!$E47*Monatsplanung!$I47))</f>
        <v>0</v>
      </c>
      <c r="U255" s="740"/>
      <c r="V255" s="168">
        <f t="shared" si="64"/>
        <v>0</v>
      </c>
      <c r="W255" s="168">
        <f>IF(ISERROR(Personalplanung!P47/Monatsplanung!$E47*Monatsplanung!$I47),0,Personalplanung!P47/Monatsplanung!$E47*Monatsplanung!$I47)</f>
        <v>0</v>
      </c>
      <c r="X255" s="168">
        <f>IF(ISERROR(Personalplanung!Q47/Monatsplanung!$E47*Monatsplanung!$I47),0,Personalplanung!Q47/Monatsplanung!$E47*Monatsplanung!$I47)</f>
        <v>0</v>
      </c>
      <c r="Y255" s="168">
        <f>IF(ISERROR(Personalplanung!R47/T1295*Stundencontrolling!T255),0,Personalplanung!R47/T1295*Stundencontrolling!T255)</f>
        <v>0</v>
      </c>
      <c r="Z255" s="168">
        <f>IF(ISERROR(Personalplanung!S47/Monatsplanung!$E47*Monatsplanung!$I47),0,Personalplanung!S47/Monatsplanung!$E47*Monatsplanung!$I47)</f>
        <v>0</v>
      </c>
      <c r="AA255" s="80">
        <f t="shared" si="65"/>
        <v>0</v>
      </c>
      <c r="AB255" s="102">
        <f t="shared" si="66"/>
        <v>0.1</v>
      </c>
      <c r="AC255" s="103">
        <f t="shared" si="67"/>
        <v>0</v>
      </c>
      <c r="AD255" s="103">
        <f t="shared" si="68"/>
        <v>0</v>
      </c>
      <c r="AE255" s="81">
        <f t="shared" si="69"/>
        <v>0</v>
      </c>
      <c r="AF255" s="539"/>
      <c r="AG255" s="104">
        <f t="shared" si="70"/>
        <v>1</v>
      </c>
      <c r="AH255" s="7">
        <f t="shared" si="71"/>
        <v>0</v>
      </c>
      <c r="AI255" s="6">
        <f t="shared" si="72"/>
        <v>0</v>
      </c>
      <c r="AJ255" s="73">
        <f t="shared" si="73"/>
        <v>0</v>
      </c>
      <c r="AK255" s="539"/>
      <c r="AL255" s="748"/>
      <c r="AM255" s="748"/>
    </row>
    <row r="256" spans="2:39" x14ac:dyDescent="0.2">
      <c r="B256" s="101" t="str">
        <f t="shared" si="58"/>
        <v/>
      </c>
      <c r="C256" s="168">
        <f>IF(ISERROR(Personalplanung!F48/Monatsplanung!$E48*Monatsplanung!$I48),0,Personalplanung!F48/Monatsplanung!$E48*Monatsplanung!$I48)</f>
        <v>0</v>
      </c>
      <c r="D256" s="168">
        <f t="shared" si="59"/>
        <v>0</v>
      </c>
      <c r="E256" s="168">
        <f>IF(ISERROR(Personalplanung!H48/Monatsplanung!$E48*Monatsplanung!$I48),0,Personalplanung!H48/Monatsplanung!$E48*Monatsplanung!$I48)</f>
        <v>0</v>
      </c>
      <c r="F256" s="168">
        <f t="shared" si="60"/>
        <v>0</v>
      </c>
      <c r="G256" s="168">
        <f t="shared" si="61"/>
        <v>27.700831024930746</v>
      </c>
      <c r="H256" s="168">
        <f t="shared" si="62"/>
        <v>0</v>
      </c>
      <c r="I256" s="168">
        <f t="shared" si="63"/>
        <v>30</v>
      </c>
      <c r="J256" s="739"/>
      <c r="K256" s="168">
        <f>IF(J256&lt;&gt;"",J256,IF(ISERROR(Personalplanung!AB48/Monatsplanung!$E48*Monatsplanung!$I48),0,Personalplanung!AB48/Monatsplanung!$E48*Monatsplanung!$I48))</f>
        <v>0</v>
      </c>
      <c r="L256" s="740"/>
      <c r="M256" s="739"/>
      <c r="N256" s="168">
        <f>IF(M256&lt;&gt;"",M256,IF(ISERROR(Personalplanung!AC48/Monatsplanung!$E48*Monatsplanung!$I48),0,Personalplanung!AC48/Monatsplanung!$E48*Monatsplanung!$I48))</f>
        <v>0</v>
      </c>
      <c r="O256" s="740"/>
      <c r="P256" s="739"/>
      <c r="Q256" s="168">
        <f>IF(P256&lt;&gt;"",P256,IF(ISERROR(Personalplanung!AD48/Monatsplanung!$E48*Monatsplanung!$I48),0,Personalplanung!AD48/Monatsplanung!$E48*Monatsplanung!$I48))</f>
        <v>0</v>
      </c>
      <c r="R256" s="740"/>
      <c r="S256" s="739"/>
      <c r="T256" s="168">
        <f>IF(S256&lt;&gt;"",S256,IF(ISERROR(Personalplanung!AE48/Monatsplanung!$E48*Monatsplanung!$I48),0,Personalplanung!AE48/Monatsplanung!$E48*Monatsplanung!$I48))</f>
        <v>0</v>
      </c>
      <c r="U256" s="740"/>
      <c r="V256" s="168">
        <f t="shared" si="64"/>
        <v>0</v>
      </c>
      <c r="W256" s="168">
        <f>IF(ISERROR(Personalplanung!P48/Monatsplanung!$E48*Monatsplanung!$I48),0,Personalplanung!P48/Monatsplanung!$E48*Monatsplanung!$I48)</f>
        <v>0</v>
      </c>
      <c r="X256" s="168">
        <f>IF(ISERROR(Personalplanung!Q48/Monatsplanung!$E48*Monatsplanung!$I48),0,Personalplanung!Q48/Monatsplanung!$E48*Monatsplanung!$I48)</f>
        <v>0</v>
      </c>
      <c r="Y256" s="168">
        <f>IF(ISERROR(Personalplanung!R48/T1296*Stundencontrolling!T256),0,Personalplanung!R48/T1296*Stundencontrolling!T256)</f>
        <v>0</v>
      </c>
      <c r="Z256" s="168">
        <f>IF(ISERROR(Personalplanung!S48/Monatsplanung!$E48*Monatsplanung!$I48),0,Personalplanung!S48/Monatsplanung!$E48*Monatsplanung!$I48)</f>
        <v>0</v>
      </c>
      <c r="AA256" s="80">
        <f t="shared" si="65"/>
        <v>0</v>
      </c>
      <c r="AB256" s="102">
        <f t="shared" si="66"/>
        <v>0.1</v>
      </c>
      <c r="AC256" s="103">
        <f t="shared" si="67"/>
        <v>0</v>
      </c>
      <c r="AD256" s="103">
        <f t="shared" si="68"/>
        <v>0</v>
      </c>
      <c r="AE256" s="81">
        <f t="shared" si="69"/>
        <v>0</v>
      </c>
      <c r="AF256" s="539"/>
      <c r="AG256" s="104">
        <f t="shared" si="70"/>
        <v>1</v>
      </c>
      <c r="AH256" s="7">
        <f t="shared" si="71"/>
        <v>0</v>
      </c>
      <c r="AI256" s="6">
        <f t="shared" si="72"/>
        <v>0</v>
      </c>
      <c r="AJ256" s="73">
        <f t="shared" si="73"/>
        <v>0</v>
      </c>
      <c r="AK256" s="539"/>
      <c r="AL256" s="748"/>
      <c r="AM256" s="748"/>
    </row>
    <row r="257" spans="2:39" x14ac:dyDescent="0.2">
      <c r="B257" s="101" t="str">
        <f t="shared" si="58"/>
        <v/>
      </c>
      <c r="C257" s="168">
        <f>IF(ISERROR(Personalplanung!F49/Monatsplanung!$E49*Monatsplanung!$I49),0,Personalplanung!F49/Monatsplanung!$E49*Monatsplanung!$I49)</f>
        <v>0</v>
      </c>
      <c r="D257" s="168">
        <f t="shared" si="59"/>
        <v>0</v>
      </c>
      <c r="E257" s="168">
        <f>IF(ISERROR(Personalplanung!H49/Monatsplanung!$E49*Monatsplanung!$I49),0,Personalplanung!H49/Monatsplanung!$E49*Monatsplanung!$I49)</f>
        <v>0</v>
      </c>
      <c r="F257" s="168">
        <f t="shared" si="60"/>
        <v>0</v>
      </c>
      <c r="G257" s="168">
        <f t="shared" si="61"/>
        <v>27.700831024930746</v>
      </c>
      <c r="H257" s="168">
        <f t="shared" si="62"/>
        <v>0</v>
      </c>
      <c r="I257" s="168">
        <f t="shared" si="63"/>
        <v>30</v>
      </c>
      <c r="J257" s="739"/>
      <c r="K257" s="168">
        <f>IF(J257&lt;&gt;"",J257,IF(ISERROR(Personalplanung!AB49/Monatsplanung!$E49*Monatsplanung!$I49),0,Personalplanung!AB49/Monatsplanung!$E49*Monatsplanung!$I49))</f>
        <v>0</v>
      </c>
      <c r="L257" s="740"/>
      <c r="M257" s="739"/>
      <c r="N257" s="168">
        <f>IF(M257&lt;&gt;"",M257,IF(ISERROR(Personalplanung!AC49/Monatsplanung!$E49*Monatsplanung!$I49),0,Personalplanung!AC49/Monatsplanung!$E49*Monatsplanung!$I49))</f>
        <v>0</v>
      </c>
      <c r="O257" s="740"/>
      <c r="P257" s="739"/>
      <c r="Q257" s="168">
        <f>IF(P257&lt;&gt;"",P257,IF(ISERROR(Personalplanung!AD49/Monatsplanung!$E49*Monatsplanung!$I49),0,Personalplanung!AD49/Monatsplanung!$E49*Monatsplanung!$I49))</f>
        <v>0</v>
      </c>
      <c r="R257" s="740"/>
      <c r="S257" s="739"/>
      <c r="T257" s="168">
        <f>IF(S257&lt;&gt;"",S257,IF(ISERROR(Personalplanung!AE49/Monatsplanung!$E49*Monatsplanung!$I49),0,Personalplanung!AE49/Monatsplanung!$E49*Monatsplanung!$I49))</f>
        <v>0</v>
      </c>
      <c r="U257" s="740"/>
      <c r="V257" s="168">
        <f t="shared" si="64"/>
        <v>0</v>
      </c>
      <c r="W257" s="168">
        <f>IF(ISERROR(Personalplanung!P49/Monatsplanung!$E49*Monatsplanung!$I49),0,Personalplanung!P49/Monatsplanung!$E49*Monatsplanung!$I49)</f>
        <v>0</v>
      </c>
      <c r="X257" s="168">
        <f>IF(ISERROR(Personalplanung!Q49/Monatsplanung!$E49*Monatsplanung!$I49),0,Personalplanung!Q49/Monatsplanung!$E49*Monatsplanung!$I49)</f>
        <v>0</v>
      </c>
      <c r="Y257" s="168">
        <f>IF(ISERROR(Personalplanung!R49/T1297*Stundencontrolling!T257),0,Personalplanung!R49/T1297*Stundencontrolling!T257)</f>
        <v>0</v>
      </c>
      <c r="Z257" s="168">
        <f>IF(ISERROR(Personalplanung!S49/Monatsplanung!$E49*Monatsplanung!$I49),0,Personalplanung!S49/Monatsplanung!$E49*Monatsplanung!$I49)</f>
        <v>0</v>
      </c>
      <c r="AA257" s="80">
        <f t="shared" si="65"/>
        <v>0</v>
      </c>
      <c r="AB257" s="102">
        <f t="shared" si="66"/>
        <v>0.1</v>
      </c>
      <c r="AC257" s="103">
        <f t="shared" si="67"/>
        <v>0</v>
      </c>
      <c r="AD257" s="103">
        <f t="shared" si="68"/>
        <v>0</v>
      </c>
      <c r="AE257" s="81">
        <f t="shared" si="69"/>
        <v>0</v>
      </c>
      <c r="AF257" s="539"/>
      <c r="AG257" s="104">
        <f t="shared" si="70"/>
        <v>1</v>
      </c>
      <c r="AH257" s="7">
        <f t="shared" si="71"/>
        <v>0</v>
      </c>
      <c r="AI257" s="6">
        <f t="shared" si="72"/>
        <v>0</v>
      </c>
      <c r="AJ257" s="73">
        <f t="shared" si="73"/>
        <v>0</v>
      </c>
      <c r="AK257" s="539"/>
      <c r="AL257" s="748"/>
      <c r="AM257" s="748"/>
    </row>
    <row r="258" spans="2:39" x14ac:dyDescent="0.2">
      <c r="B258" s="101" t="str">
        <f t="shared" si="58"/>
        <v/>
      </c>
      <c r="C258" s="168">
        <f>IF(ISERROR(Personalplanung!F50/Monatsplanung!$E50*Monatsplanung!$I50),0,Personalplanung!F50/Monatsplanung!$E50*Monatsplanung!$I50)</f>
        <v>0</v>
      </c>
      <c r="D258" s="168">
        <f t="shared" si="59"/>
        <v>0</v>
      </c>
      <c r="E258" s="168">
        <f>IF(ISERROR(Personalplanung!H50/Monatsplanung!$E50*Monatsplanung!$I50),0,Personalplanung!H50/Monatsplanung!$E50*Monatsplanung!$I50)</f>
        <v>0</v>
      </c>
      <c r="F258" s="168">
        <f t="shared" si="60"/>
        <v>0</v>
      </c>
      <c r="G258" s="168">
        <f t="shared" si="61"/>
        <v>27.700831024930746</v>
      </c>
      <c r="H258" s="168">
        <f t="shared" si="62"/>
        <v>0</v>
      </c>
      <c r="I258" s="168">
        <f t="shared" si="63"/>
        <v>30</v>
      </c>
      <c r="J258" s="739"/>
      <c r="K258" s="168">
        <f>IF(J258&lt;&gt;"",J258,IF(ISERROR(Personalplanung!AB50/Monatsplanung!$E50*Monatsplanung!$I50),0,Personalplanung!AB50/Monatsplanung!$E50*Monatsplanung!$I50))</f>
        <v>0</v>
      </c>
      <c r="L258" s="740"/>
      <c r="M258" s="739"/>
      <c r="N258" s="168">
        <f>IF(M258&lt;&gt;"",M258,IF(ISERROR(Personalplanung!AC50/Monatsplanung!$E50*Monatsplanung!$I50),0,Personalplanung!AC50/Monatsplanung!$E50*Monatsplanung!$I50))</f>
        <v>0</v>
      </c>
      <c r="O258" s="740"/>
      <c r="P258" s="739"/>
      <c r="Q258" s="168">
        <f>IF(P258&lt;&gt;"",P258,IF(ISERROR(Personalplanung!AD50/Monatsplanung!$E50*Monatsplanung!$I50),0,Personalplanung!AD50/Monatsplanung!$E50*Monatsplanung!$I50))</f>
        <v>0</v>
      </c>
      <c r="R258" s="740"/>
      <c r="S258" s="739"/>
      <c r="T258" s="168">
        <f>IF(S258&lt;&gt;"",S258,IF(ISERROR(Personalplanung!AE50/Monatsplanung!$E50*Monatsplanung!$I50),0,Personalplanung!AE50/Monatsplanung!$E50*Monatsplanung!$I50))</f>
        <v>0</v>
      </c>
      <c r="U258" s="740"/>
      <c r="V258" s="168">
        <f t="shared" si="64"/>
        <v>0</v>
      </c>
      <c r="W258" s="168">
        <f>IF(ISERROR(Personalplanung!P50/Monatsplanung!$E50*Monatsplanung!$I50),0,Personalplanung!P50/Monatsplanung!$E50*Monatsplanung!$I50)</f>
        <v>0</v>
      </c>
      <c r="X258" s="168">
        <f>IF(ISERROR(Personalplanung!Q50/Monatsplanung!$E50*Monatsplanung!$I50),0,Personalplanung!Q50/Monatsplanung!$E50*Monatsplanung!$I50)</f>
        <v>0</v>
      </c>
      <c r="Y258" s="168">
        <f>IF(ISERROR(Personalplanung!R50/T1298*Stundencontrolling!T258),0,Personalplanung!R50/T1298*Stundencontrolling!T258)</f>
        <v>0</v>
      </c>
      <c r="Z258" s="168">
        <f>IF(ISERROR(Personalplanung!S50/Monatsplanung!$E50*Monatsplanung!$I50),0,Personalplanung!S50/Monatsplanung!$E50*Monatsplanung!$I50)</f>
        <v>0</v>
      </c>
      <c r="AA258" s="80">
        <f t="shared" si="65"/>
        <v>0</v>
      </c>
      <c r="AB258" s="102">
        <f t="shared" si="66"/>
        <v>0.1</v>
      </c>
      <c r="AC258" s="103">
        <f t="shared" si="67"/>
        <v>0</v>
      </c>
      <c r="AD258" s="103">
        <f t="shared" si="68"/>
        <v>0</v>
      </c>
      <c r="AE258" s="81">
        <f t="shared" si="69"/>
        <v>0</v>
      </c>
      <c r="AF258" s="539"/>
      <c r="AG258" s="104">
        <f t="shared" si="70"/>
        <v>1</v>
      </c>
      <c r="AH258" s="7">
        <f t="shared" si="71"/>
        <v>0</v>
      </c>
      <c r="AI258" s="6">
        <f t="shared" si="72"/>
        <v>0</v>
      </c>
      <c r="AJ258" s="73">
        <f t="shared" si="73"/>
        <v>0</v>
      </c>
      <c r="AK258" s="539"/>
      <c r="AL258" s="748"/>
      <c r="AM258" s="748"/>
    </row>
    <row r="259" spans="2:39" x14ac:dyDescent="0.2">
      <c r="B259" s="101" t="str">
        <f t="shared" si="58"/>
        <v/>
      </c>
      <c r="C259" s="168">
        <f>IF(ISERROR(Personalplanung!F51/Monatsplanung!$E51*Monatsplanung!$I51),0,Personalplanung!F51/Monatsplanung!$E51*Monatsplanung!$I51)</f>
        <v>0</v>
      </c>
      <c r="D259" s="168">
        <f t="shared" si="59"/>
        <v>0</v>
      </c>
      <c r="E259" s="168">
        <f>IF(ISERROR(Personalplanung!H51/Monatsplanung!$E51*Monatsplanung!$I51),0,Personalplanung!H51/Monatsplanung!$E51*Monatsplanung!$I51)</f>
        <v>0</v>
      </c>
      <c r="F259" s="168">
        <f t="shared" si="60"/>
        <v>0</v>
      </c>
      <c r="G259" s="168">
        <f t="shared" si="61"/>
        <v>27.700831024930746</v>
      </c>
      <c r="H259" s="168">
        <f t="shared" si="62"/>
        <v>0</v>
      </c>
      <c r="I259" s="168">
        <f t="shared" si="63"/>
        <v>30</v>
      </c>
      <c r="J259" s="739"/>
      <c r="K259" s="168">
        <f>IF(J259&lt;&gt;"",J259,IF(ISERROR(Personalplanung!AB51/Monatsplanung!$E51*Monatsplanung!$I51),0,Personalplanung!AB51/Monatsplanung!$E51*Monatsplanung!$I51))</f>
        <v>0</v>
      </c>
      <c r="L259" s="740"/>
      <c r="M259" s="739"/>
      <c r="N259" s="168">
        <f>IF(M259&lt;&gt;"",M259,IF(ISERROR(Personalplanung!AC51/Monatsplanung!$E51*Monatsplanung!$I51),0,Personalplanung!AC51/Monatsplanung!$E51*Monatsplanung!$I51))</f>
        <v>0</v>
      </c>
      <c r="O259" s="740"/>
      <c r="P259" s="739"/>
      <c r="Q259" s="168">
        <f>IF(P259&lt;&gt;"",P259,IF(ISERROR(Personalplanung!AD51/Monatsplanung!$E51*Monatsplanung!$I51),0,Personalplanung!AD51/Monatsplanung!$E51*Monatsplanung!$I51))</f>
        <v>0</v>
      </c>
      <c r="R259" s="740"/>
      <c r="S259" s="739"/>
      <c r="T259" s="168">
        <f>IF(S259&lt;&gt;"",S259,IF(ISERROR(Personalplanung!AE51/Monatsplanung!$E51*Monatsplanung!$I51),0,Personalplanung!AE51/Monatsplanung!$E51*Monatsplanung!$I51))</f>
        <v>0</v>
      </c>
      <c r="U259" s="740"/>
      <c r="V259" s="168">
        <f t="shared" si="64"/>
        <v>0</v>
      </c>
      <c r="W259" s="168">
        <f>IF(ISERROR(Personalplanung!P51/Monatsplanung!$E51*Monatsplanung!$I51),0,Personalplanung!P51/Monatsplanung!$E51*Monatsplanung!$I51)</f>
        <v>0</v>
      </c>
      <c r="X259" s="168">
        <f>IF(ISERROR(Personalplanung!Q51/Monatsplanung!$E51*Monatsplanung!$I51),0,Personalplanung!Q51/Monatsplanung!$E51*Monatsplanung!$I51)</f>
        <v>0</v>
      </c>
      <c r="Y259" s="168">
        <f>IF(ISERROR(Personalplanung!R51/T1299*Stundencontrolling!T259),0,Personalplanung!R51/T1299*Stundencontrolling!T259)</f>
        <v>0</v>
      </c>
      <c r="Z259" s="168">
        <f>IF(ISERROR(Personalplanung!S51/Monatsplanung!$E51*Monatsplanung!$I51),0,Personalplanung!S51/Monatsplanung!$E51*Monatsplanung!$I51)</f>
        <v>0</v>
      </c>
      <c r="AA259" s="80">
        <f t="shared" si="65"/>
        <v>0</v>
      </c>
      <c r="AB259" s="102">
        <f t="shared" si="66"/>
        <v>0.1</v>
      </c>
      <c r="AC259" s="103">
        <f t="shared" si="67"/>
        <v>0</v>
      </c>
      <c r="AD259" s="103">
        <f t="shared" si="68"/>
        <v>0</v>
      </c>
      <c r="AE259" s="81">
        <f t="shared" si="69"/>
        <v>0</v>
      </c>
      <c r="AF259" s="539"/>
      <c r="AG259" s="104">
        <f t="shared" si="70"/>
        <v>1</v>
      </c>
      <c r="AH259" s="7">
        <f t="shared" si="71"/>
        <v>0</v>
      </c>
      <c r="AI259" s="6">
        <f t="shared" si="72"/>
        <v>0</v>
      </c>
      <c r="AJ259" s="73">
        <f t="shared" si="73"/>
        <v>0</v>
      </c>
      <c r="AK259" s="539"/>
      <c r="AL259" s="748"/>
      <c r="AM259" s="748"/>
    </row>
    <row r="260" spans="2:39" x14ac:dyDescent="0.2">
      <c r="B260" s="101" t="str">
        <f t="shared" si="58"/>
        <v/>
      </c>
      <c r="C260" s="168">
        <f>IF(ISERROR(Personalplanung!F52/Monatsplanung!$E52*Monatsplanung!$I52),0,Personalplanung!F52/Monatsplanung!$E52*Monatsplanung!$I52)</f>
        <v>0</v>
      </c>
      <c r="D260" s="168">
        <f t="shared" si="59"/>
        <v>0</v>
      </c>
      <c r="E260" s="168">
        <f>IF(ISERROR(Personalplanung!H52/Monatsplanung!$E52*Monatsplanung!$I52),0,Personalplanung!H52/Monatsplanung!$E52*Monatsplanung!$I52)</f>
        <v>0</v>
      </c>
      <c r="F260" s="168">
        <f t="shared" si="60"/>
        <v>0</v>
      </c>
      <c r="G260" s="168">
        <f t="shared" si="61"/>
        <v>27.700831024930746</v>
      </c>
      <c r="H260" s="168">
        <f t="shared" si="62"/>
        <v>0</v>
      </c>
      <c r="I260" s="168">
        <f t="shared" si="63"/>
        <v>30</v>
      </c>
      <c r="J260" s="739"/>
      <c r="K260" s="168">
        <f>IF(J260&lt;&gt;"",J260,IF(ISERROR(Personalplanung!AB52/Monatsplanung!$E52*Monatsplanung!$I52),0,Personalplanung!AB52/Monatsplanung!$E52*Monatsplanung!$I52))</f>
        <v>0</v>
      </c>
      <c r="L260" s="740"/>
      <c r="M260" s="739"/>
      <c r="N260" s="168">
        <f>IF(M260&lt;&gt;"",M260,IF(ISERROR(Personalplanung!AC52/Monatsplanung!$E52*Monatsplanung!$I52),0,Personalplanung!AC52/Monatsplanung!$E52*Monatsplanung!$I52))</f>
        <v>0</v>
      </c>
      <c r="O260" s="740"/>
      <c r="P260" s="739"/>
      <c r="Q260" s="168">
        <f>IF(P260&lt;&gt;"",P260,IF(ISERROR(Personalplanung!AD52/Monatsplanung!$E52*Monatsplanung!$I52),0,Personalplanung!AD52/Monatsplanung!$E52*Monatsplanung!$I52))</f>
        <v>0</v>
      </c>
      <c r="R260" s="740"/>
      <c r="S260" s="739"/>
      <c r="T260" s="168">
        <f>IF(S260&lt;&gt;"",S260,IF(ISERROR(Personalplanung!AE52/Monatsplanung!$E52*Monatsplanung!$I52),0,Personalplanung!AE52/Monatsplanung!$E52*Monatsplanung!$I52))</f>
        <v>0</v>
      </c>
      <c r="U260" s="740"/>
      <c r="V260" s="168">
        <f t="shared" si="64"/>
        <v>0</v>
      </c>
      <c r="W260" s="168">
        <f>IF(ISERROR(Personalplanung!P52/Monatsplanung!$E52*Monatsplanung!$I52),0,Personalplanung!P52/Monatsplanung!$E52*Monatsplanung!$I52)</f>
        <v>0</v>
      </c>
      <c r="X260" s="168">
        <f>IF(ISERROR(Personalplanung!Q52/Monatsplanung!$E52*Monatsplanung!$I52),0,Personalplanung!Q52/Monatsplanung!$E52*Monatsplanung!$I52)</f>
        <v>0</v>
      </c>
      <c r="Y260" s="168">
        <f>IF(ISERROR(Personalplanung!R52/T1300*Stundencontrolling!T260),0,Personalplanung!R52/T1300*Stundencontrolling!T260)</f>
        <v>0</v>
      </c>
      <c r="Z260" s="168">
        <f>IF(ISERROR(Personalplanung!S52/Monatsplanung!$E52*Monatsplanung!$I52),0,Personalplanung!S52/Monatsplanung!$E52*Monatsplanung!$I52)</f>
        <v>0</v>
      </c>
      <c r="AA260" s="80">
        <f t="shared" si="65"/>
        <v>0</v>
      </c>
      <c r="AB260" s="102">
        <f t="shared" si="66"/>
        <v>0.1</v>
      </c>
      <c r="AC260" s="103">
        <f t="shared" si="67"/>
        <v>0</v>
      </c>
      <c r="AD260" s="103">
        <f t="shared" si="68"/>
        <v>0</v>
      </c>
      <c r="AE260" s="81">
        <f t="shared" si="69"/>
        <v>0</v>
      </c>
      <c r="AF260" s="539"/>
      <c r="AG260" s="104">
        <f t="shared" si="70"/>
        <v>1</v>
      </c>
      <c r="AH260" s="7">
        <f t="shared" si="71"/>
        <v>0</v>
      </c>
      <c r="AI260" s="6">
        <f t="shared" si="72"/>
        <v>0</v>
      </c>
      <c r="AJ260" s="73">
        <f t="shared" si="73"/>
        <v>0</v>
      </c>
      <c r="AK260" s="539"/>
      <c r="AL260" s="748"/>
      <c r="AM260" s="748"/>
    </row>
    <row r="261" spans="2:39" x14ac:dyDescent="0.2">
      <c r="B261" s="101" t="str">
        <f t="shared" si="58"/>
        <v/>
      </c>
      <c r="C261" s="168">
        <f>IF(ISERROR(Personalplanung!F53/Monatsplanung!$E53*Monatsplanung!$I53),0,Personalplanung!F53/Monatsplanung!$E53*Monatsplanung!$I53)</f>
        <v>0</v>
      </c>
      <c r="D261" s="168">
        <f t="shared" si="59"/>
        <v>0</v>
      </c>
      <c r="E261" s="168">
        <f>IF(ISERROR(Personalplanung!H53/Monatsplanung!$E53*Monatsplanung!$I53),0,Personalplanung!H53/Monatsplanung!$E53*Monatsplanung!$I53)</f>
        <v>0</v>
      </c>
      <c r="F261" s="168">
        <f t="shared" si="60"/>
        <v>0</v>
      </c>
      <c r="G261" s="168">
        <f t="shared" si="61"/>
        <v>27.700831024930746</v>
      </c>
      <c r="H261" s="168">
        <f t="shared" si="62"/>
        <v>0</v>
      </c>
      <c r="I261" s="168">
        <f t="shared" si="63"/>
        <v>30</v>
      </c>
      <c r="J261" s="739"/>
      <c r="K261" s="168">
        <f>IF(J261&lt;&gt;"",J261,IF(ISERROR(Personalplanung!AB53/Monatsplanung!$E53*Monatsplanung!$I53),0,Personalplanung!AB53/Monatsplanung!$E53*Monatsplanung!$I53))</f>
        <v>0</v>
      </c>
      <c r="L261" s="740"/>
      <c r="M261" s="739"/>
      <c r="N261" s="168">
        <f>IF(M261&lt;&gt;"",M261,IF(ISERROR(Personalplanung!AC53/Monatsplanung!$E53*Monatsplanung!$I53),0,Personalplanung!AC53/Monatsplanung!$E53*Monatsplanung!$I53))</f>
        <v>0</v>
      </c>
      <c r="O261" s="740"/>
      <c r="P261" s="739"/>
      <c r="Q261" s="168">
        <f>IF(P261&lt;&gt;"",P261,IF(ISERROR(Personalplanung!AD53/Monatsplanung!$E53*Monatsplanung!$I53),0,Personalplanung!AD53/Monatsplanung!$E53*Monatsplanung!$I53))</f>
        <v>0</v>
      </c>
      <c r="R261" s="740"/>
      <c r="S261" s="739"/>
      <c r="T261" s="168">
        <f>IF(S261&lt;&gt;"",S261,IF(ISERROR(Personalplanung!AE53/Monatsplanung!$E53*Monatsplanung!$I53),0,Personalplanung!AE53/Monatsplanung!$E53*Monatsplanung!$I53))</f>
        <v>0</v>
      </c>
      <c r="U261" s="740"/>
      <c r="V261" s="168">
        <f t="shared" si="64"/>
        <v>0</v>
      </c>
      <c r="W261" s="168">
        <f>IF(ISERROR(Personalplanung!P53/Monatsplanung!$E53*Monatsplanung!$I53),0,Personalplanung!P53/Monatsplanung!$E53*Monatsplanung!$I53)</f>
        <v>0</v>
      </c>
      <c r="X261" s="168">
        <f>IF(ISERROR(Personalplanung!Q53/Monatsplanung!$E53*Monatsplanung!$I53),0,Personalplanung!Q53/Monatsplanung!$E53*Monatsplanung!$I53)</f>
        <v>0</v>
      </c>
      <c r="Y261" s="168">
        <f>IF(ISERROR(Personalplanung!R53/T1301*Stundencontrolling!T261),0,Personalplanung!R53/T1301*Stundencontrolling!T261)</f>
        <v>0</v>
      </c>
      <c r="Z261" s="168">
        <f>IF(ISERROR(Personalplanung!S53/Monatsplanung!$E53*Monatsplanung!$I53),0,Personalplanung!S53/Monatsplanung!$E53*Monatsplanung!$I53)</f>
        <v>0</v>
      </c>
      <c r="AA261" s="80">
        <f t="shared" si="65"/>
        <v>0</v>
      </c>
      <c r="AB261" s="102">
        <f t="shared" si="66"/>
        <v>0.1</v>
      </c>
      <c r="AC261" s="103">
        <f t="shared" si="67"/>
        <v>0</v>
      </c>
      <c r="AD261" s="103">
        <f t="shared" si="68"/>
        <v>0</v>
      </c>
      <c r="AE261" s="81">
        <f t="shared" si="69"/>
        <v>0</v>
      </c>
      <c r="AF261" s="539"/>
      <c r="AG261" s="104">
        <f t="shared" si="70"/>
        <v>1</v>
      </c>
      <c r="AH261" s="7">
        <f t="shared" si="71"/>
        <v>0</v>
      </c>
      <c r="AI261" s="6">
        <f t="shared" si="72"/>
        <v>0</v>
      </c>
      <c r="AJ261" s="73">
        <f t="shared" si="73"/>
        <v>0</v>
      </c>
      <c r="AK261" s="539"/>
      <c r="AL261" s="748"/>
      <c r="AM261" s="748"/>
    </row>
    <row r="262" spans="2:39" x14ac:dyDescent="0.2">
      <c r="B262" s="101" t="str">
        <f t="shared" si="58"/>
        <v/>
      </c>
      <c r="C262" s="168">
        <f>IF(ISERROR(Personalplanung!F54/Monatsplanung!$E54*Monatsplanung!$I54),0,Personalplanung!F54/Monatsplanung!$E54*Monatsplanung!$I54)</f>
        <v>0</v>
      </c>
      <c r="D262" s="168">
        <f t="shared" si="59"/>
        <v>0</v>
      </c>
      <c r="E262" s="168">
        <f>IF(ISERROR(Personalplanung!H54/Monatsplanung!$E54*Monatsplanung!$I54),0,Personalplanung!H54/Monatsplanung!$E54*Monatsplanung!$I54)</f>
        <v>0</v>
      </c>
      <c r="F262" s="168">
        <f t="shared" si="60"/>
        <v>0</v>
      </c>
      <c r="G262" s="168">
        <f t="shared" si="61"/>
        <v>27.700831024930746</v>
      </c>
      <c r="H262" s="168">
        <f t="shared" si="62"/>
        <v>0</v>
      </c>
      <c r="I262" s="168">
        <f t="shared" si="63"/>
        <v>30</v>
      </c>
      <c r="J262" s="739"/>
      <c r="K262" s="168">
        <f>IF(J262&lt;&gt;"",J262,IF(ISERROR(Personalplanung!AB54/Monatsplanung!$E54*Monatsplanung!$I54),0,Personalplanung!AB54/Monatsplanung!$E54*Monatsplanung!$I54))</f>
        <v>0</v>
      </c>
      <c r="L262" s="740"/>
      <c r="M262" s="739"/>
      <c r="N262" s="168">
        <f>IF(M262&lt;&gt;"",M262,IF(ISERROR(Personalplanung!AC54/Monatsplanung!$E54*Monatsplanung!$I54),0,Personalplanung!AC54/Monatsplanung!$E54*Monatsplanung!$I54))</f>
        <v>0</v>
      </c>
      <c r="O262" s="740"/>
      <c r="P262" s="739"/>
      <c r="Q262" s="168">
        <f>IF(P262&lt;&gt;"",P262,IF(ISERROR(Personalplanung!AD54/Monatsplanung!$E54*Monatsplanung!$I54),0,Personalplanung!AD54/Monatsplanung!$E54*Monatsplanung!$I54))</f>
        <v>0</v>
      </c>
      <c r="R262" s="740"/>
      <c r="S262" s="739"/>
      <c r="T262" s="168">
        <f>IF(S262&lt;&gt;"",S262,IF(ISERROR(Personalplanung!AE54/Monatsplanung!$E54*Monatsplanung!$I54),0,Personalplanung!AE54/Monatsplanung!$E54*Monatsplanung!$I54))</f>
        <v>0</v>
      </c>
      <c r="U262" s="740"/>
      <c r="V262" s="168">
        <f t="shared" si="64"/>
        <v>0</v>
      </c>
      <c r="W262" s="168">
        <f>IF(ISERROR(Personalplanung!P54/Monatsplanung!$E54*Monatsplanung!$I54),0,Personalplanung!P54/Monatsplanung!$E54*Monatsplanung!$I54)</f>
        <v>0</v>
      </c>
      <c r="X262" s="168">
        <f>IF(ISERROR(Personalplanung!Q54/Monatsplanung!$E54*Monatsplanung!$I54),0,Personalplanung!Q54/Monatsplanung!$E54*Monatsplanung!$I54)</f>
        <v>0</v>
      </c>
      <c r="Y262" s="168">
        <f>IF(ISERROR(Personalplanung!R54/T1302*Stundencontrolling!T262),0,Personalplanung!R54/T1302*Stundencontrolling!T262)</f>
        <v>0</v>
      </c>
      <c r="Z262" s="168">
        <f>IF(ISERROR(Personalplanung!S54/Monatsplanung!$E54*Monatsplanung!$I54),0,Personalplanung!S54/Monatsplanung!$E54*Monatsplanung!$I54)</f>
        <v>0</v>
      </c>
      <c r="AA262" s="80">
        <f t="shared" si="65"/>
        <v>0</v>
      </c>
      <c r="AB262" s="102">
        <f t="shared" si="66"/>
        <v>0.1</v>
      </c>
      <c r="AC262" s="103">
        <f t="shared" si="67"/>
        <v>0</v>
      </c>
      <c r="AD262" s="103">
        <f t="shared" si="68"/>
        <v>0</v>
      </c>
      <c r="AE262" s="81">
        <f t="shared" si="69"/>
        <v>0</v>
      </c>
      <c r="AF262" s="539"/>
      <c r="AG262" s="104">
        <f t="shared" si="70"/>
        <v>1</v>
      </c>
      <c r="AH262" s="7">
        <f t="shared" si="71"/>
        <v>0</v>
      </c>
      <c r="AI262" s="6">
        <f t="shared" si="72"/>
        <v>0</v>
      </c>
      <c r="AJ262" s="73">
        <f t="shared" si="73"/>
        <v>0</v>
      </c>
      <c r="AK262" s="539"/>
      <c r="AL262" s="748"/>
      <c r="AM262" s="748"/>
    </row>
    <row r="263" spans="2:39" x14ac:dyDescent="0.2">
      <c r="B263" s="101" t="str">
        <f t="shared" si="58"/>
        <v/>
      </c>
      <c r="C263" s="168">
        <f>IF(ISERROR(Personalplanung!F55/Monatsplanung!$E55*Monatsplanung!$I55),0,Personalplanung!F55/Monatsplanung!$E55*Monatsplanung!$I55)</f>
        <v>0</v>
      </c>
      <c r="D263" s="168">
        <f t="shared" si="59"/>
        <v>0</v>
      </c>
      <c r="E263" s="168">
        <f>IF(ISERROR(Personalplanung!H55/Monatsplanung!$E55*Monatsplanung!$I55),0,Personalplanung!H55/Monatsplanung!$E55*Monatsplanung!$I55)</f>
        <v>0</v>
      </c>
      <c r="F263" s="168">
        <f t="shared" si="60"/>
        <v>0</v>
      </c>
      <c r="G263" s="168">
        <f t="shared" si="61"/>
        <v>27.700831024930746</v>
      </c>
      <c r="H263" s="168">
        <f t="shared" si="62"/>
        <v>0</v>
      </c>
      <c r="I263" s="168">
        <f t="shared" si="63"/>
        <v>30</v>
      </c>
      <c r="J263" s="739"/>
      <c r="K263" s="168">
        <f>IF(J263&lt;&gt;"",J263,IF(ISERROR(Personalplanung!AB55/Monatsplanung!$E55*Monatsplanung!$I55),0,Personalplanung!AB55/Monatsplanung!$E55*Monatsplanung!$I55))</f>
        <v>0</v>
      </c>
      <c r="L263" s="740"/>
      <c r="M263" s="739"/>
      <c r="N263" s="168">
        <f>IF(M263&lt;&gt;"",M263,IF(ISERROR(Personalplanung!AC55/Monatsplanung!$E55*Monatsplanung!$I55),0,Personalplanung!AC55/Monatsplanung!$E55*Monatsplanung!$I55))</f>
        <v>0</v>
      </c>
      <c r="O263" s="740"/>
      <c r="P263" s="739"/>
      <c r="Q263" s="168">
        <f>IF(P263&lt;&gt;"",P263,IF(ISERROR(Personalplanung!AD55/Monatsplanung!$E55*Monatsplanung!$I55),0,Personalplanung!AD55/Monatsplanung!$E55*Monatsplanung!$I55))</f>
        <v>0</v>
      </c>
      <c r="R263" s="740"/>
      <c r="S263" s="739"/>
      <c r="T263" s="168">
        <f>IF(S263&lt;&gt;"",S263,IF(ISERROR(Personalplanung!AE55/Monatsplanung!$E55*Monatsplanung!$I55),0,Personalplanung!AE55/Monatsplanung!$E55*Monatsplanung!$I55))</f>
        <v>0</v>
      </c>
      <c r="U263" s="740"/>
      <c r="V263" s="168">
        <f t="shared" si="64"/>
        <v>0</v>
      </c>
      <c r="W263" s="168">
        <f>IF(ISERROR(Personalplanung!P55/Monatsplanung!$E55*Monatsplanung!$I55),0,Personalplanung!P55/Monatsplanung!$E55*Monatsplanung!$I55)</f>
        <v>0</v>
      </c>
      <c r="X263" s="168">
        <f>IF(ISERROR(Personalplanung!Q55/Monatsplanung!$E55*Monatsplanung!$I55),0,Personalplanung!Q55/Monatsplanung!$E55*Monatsplanung!$I55)</f>
        <v>0</v>
      </c>
      <c r="Y263" s="168">
        <f>IF(ISERROR(Personalplanung!R55/T1303*Stundencontrolling!T263),0,Personalplanung!R55/T1303*Stundencontrolling!T263)</f>
        <v>0</v>
      </c>
      <c r="Z263" s="168">
        <f>IF(ISERROR(Personalplanung!S55/Monatsplanung!$E55*Monatsplanung!$I55),0,Personalplanung!S55/Monatsplanung!$E55*Monatsplanung!$I55)</f>
        <v>0</v>
      </c>
      <c r="AA263" s="80">
        <f t="shared" si="65"/>
        <v>0</v>
      </c>
      <c r="AB263" s="102">
        <f t="shared" si="66"/>
        <v>0.1</v>
      </c>
      <c r="AC263" s="103">
        <f t="shared" si="67"/>
        <v>0</v>
      </c>
      <c r="AD263" s="103">
        <f t="shared" si="68"/>
        <v>0</v>
      </c>
      <c r="AE263" s="81">
        <f t="shared" si="69"/>
        <v>0</v>
      </c>
      <c r="AF263" s="539"/>
      <c r="AG263" s="104">
        <f t="shared" si="70"/>
        <v>1</v>
      </c>
      <c r="AH263" s="7">
        <f t="shared" si="71"/>
        <v>0</v>
      </c>
      <c r="AI263" s="6">
        <f t="shared" si="72"/>
        <v>0</v>
      </c>
      <c r="AJ263" s="73">
        <f t="shared" si="73"/>
        <v>0</v>
      </c>
      <c r="AK263" s="539"/>
      <c r="AL263" s="748"/>
      <c r="AM263" s="748"/>
    </row>
    <row r="264" spans="2:39" x14ac:dyDescent="0.2">
      <c r="B264" s="101" t="str">
        <f t="shared" si="58"/>
        <v/>
      </c>
      <c r="C264" s="168">
        <f>IF(ISERROR(Personalplanung!F56/Monatsplanung!$E56*Monatsplanung!$I56),0,Personalplanung!F56/Monatsplanung!$E56*Monatsplanung!$I56)</f>
        <v>0</v>
      </c>
      <c r="D264" s="168">
        <f t="shared" si="59"/>
        <v>0</v>
      </c>
      <c r="E264" s="168">
        <f>IF(ISERROR(Personalplanung!H56/Monatsplanung!$E56*Monatsplanung!$I56),0,Personalplanung!H56/Monatsplanung!$E56*Monatsplanung!$I56)</f>
        <v>0</v>
      </c>
      <c r="F264" s="168">
        <f t="shared" si="60"/>
        <v>0</v>
      </c>
      <c r="G264" s="168">
        <f t="shared" si="61"/>
        <v>27.700831024930746</v>
      </c>
      <c r="H264" s="168">
        <f t="shared" si="62"/>
        <v>0</v>
      </c>
      <c r="I264" s="168">
        <f t="shared" si="63"/>
        <v>30</v>
      </c>
      <c r="J264" s="739"/>
      <c r="K264" s="168">
        <f>IF(J264&lt;&gt;"",J264,IF(ISERROR(Personalplanung!AB56/Monatsplanung!$E56*Monatsplanung!$I56),0,Personalplanung!AB56/Monatsplanung!$E56*Monatsplanung!$I56))</f>
        <v>0</v>
      </c>
      <c r="L264" s="740"/>
      <c r="M264" s="739"/>
      <c r="N264" s="168">
        <f>IF(M264&lt;&gt;"",M264,IF(ISERROR(Personalplanung!AC56/Monatsplanung!$E56*Monatsplanung!$I56),0,Personalplanung!AC56/Monatsplanung!$E56*Monatsplanung!$I56))</f>
        <v>0</v>
      </c>
      <c r="O264" s="740"/>
      <c r="P264" s="739"/>
      <c r="Q264" s="168">
        <f>IF(P264&lt;&gt;"",P264,IF(ISERROR(Personalplanung!AD56/Monatsplanung!$E56*Monatsplanung!$I56),0,Personalplanung!AD56/Monatsplanung!$E56*Monatsplanung!$I56))</f>
        <v>0</v>
      </c>
      <c r="R264" s="740"/>
      <c r="S264" s="739"/>
      <c r="T264" s="168">
        <f>IF(S264&lt;&gt;"",S264,IF(ISERROR(Personalplanung!AE56/Monatsplanung!$E56*Monatsplanung!$I56),0,Personalplanung!AE56/Monatsplanung!$E56*Monatsplanung!$I56))</f>
        <v>0</v>
      </c>
      <c r="U264" s="740"/>
      <c r="V264" s="168">
        <f t="shared" si="64"/>
        <v>0</v>
      </c>
      <c r="W264" s="168">
        <f>IF(ISERROR(Personalplanung!P56/Monatsplanung!$E56*Monatsplanung!$I56),0,Personalplanung!P56/Monatsplanung!$E56*Monatsplanung!$I56)</f>
        <v>0</v>
      </c>
      <c r="X264" s="168">
        <f>IF(ISERROR(Personalplanung!Q56/Monatsplanung!$E56*Monatsplanung!$I56),0,Personalplanung!Q56/Monatsplanung!$E56*Monatsplanung!$I56)</f>
        <v>0</v>
      </c>
      <c r="Y264" s="168">
        <f>IF(ISERROR(Personalplanung!R56/T1304*Stundencontrolling!T264),0,Personalplanung!R56/T1304*Stundencontrolling!T264)</f>
        <v>0</v>
      </c>
      <c r="Z264" s="168">
        <f>IF(ISERROR(Personalplanung!S56/Monatsplanung!$E56*Monatsplanung!$I56),0,Personalplanung!S56/Monatsplanung!$E56*Monatsplanung!$I56)</f>
        <v>0</v>
      </c>
      <c r="AA264" s="80">
        <f t="shared" si="65"/>
        <v>0</v>
      </c>
      <c r="AB264" s="102">
        <f t="shared" si="66"/>
        <v>0.1</v>
      </c>
      <c r="AC264" s="103">
        <f t="shared" si="67"/>
        <v>0</v>
      </c>
      <c r="AD264" s="103">
        <f t="shared" si="68"/>
        <v>0</v>
      </c>
      <c r="AE264" s="81">
        <f t="shared" si="69"/>
        <v>0</v>
      </c>
      <c r="AF264" s="539"/>
      <c r="AG264" s="104">
        <f t="shared" si="70"/>
        <v>1</v>
      </c>
      <c r="AH264" s="7">
        <f t="shared" si="71"/>
        <v>0</v>
      </c>
      <c r="AI264" s="6">
        <f t="shared" si="72"/>
        <v>0</v>
      </c>
      <c r="AJ264" s="73">
        <f t="shared" si="73"/>
        <v>0</v>
      </c>
      <c r="AK264" s="539"/>
      <c r="AL264" s="748"/>
      <c r="AM264" s="748"/>
    </row>
    <row r="265" spans="2:39" x14ac:dyDescent="0.2">
      <c r="B265" s="101" t="str">
        <f t="shared" si="58"/>
        <v/>
      </c>
      <c r="C265" s="168">
        <f>IF(ISERROR(Personalplanung!F57/Monatsplanung!$E57*Monatsplanung!$I57),0,Personalplanung!F57/Monatsplanung!$E57*Monatsplanung!$I57)</f>
        <v>0</v>
      </c>
      <c r="D265" s="168">
        <f t="shared" si="59"/>
        <v>0</v>
      </c>
      <c r="E265" s="168">
        <f>IF(ISERROR(Personalplanung!H57/Monatsplanung!$E57*Monatsplanung!$I57),0,Personalplanung!H57/Monatsplanung!$E57*Monatsplanung!$I57)</f>
        <v>0</v>
      </c>
      <c r="F265" s="168">
        <f t="shared" si="60"/>
        <v>0</v>
      </c>
      <c r="G265" s="168">
        <f t="shared" si="61"/>
        <v>27.700831024930746</v>
      </c>
      <c r="H265" s="168">
        <f t="shared" si="62"/>
        <v>0</v>
      </c>
      <c r="I265" s="168">
        <f t="shared" si="63"/>
        <v>30</v>
      </c>
      <c r="J265" s="739"/>
      <c r="K265" s="168">
        <f>IF(J265&lt;&gt;"",J265,IF(ISERROR(Personalplanung!AB57/Monatsplanung!$E57*Monatsplanung!$I57),0,Personalplanung!AB57/Monatsplanung!$E57*Monatsplanung!$I57))</f>
        <v>0</v>
      </c>
      <c r="L265" s="740"/>
      <c r="M265" s="739"/>
      <c r="N265" s="168">
        <f>IF(M265&lt;&gt;"",M265,IF(ISERROR(Personalplanung!AC57/Monatsplanung!$E57*Monatsplanung!$I57),0,Personalplanung!AC57/Monatsplanung!$E57*Monatsplanung!$I57))</f>
        <v>0</v>
      </c>
      <c r="O265" s="740"/>
      <c r="P265" s="739"/>
      <c r="Q265" s="168">
        <f>IF(P265&lt;&gt;"",P265,IF(ISERROR(Personalplanung!AD57/Monatsplanung!$E57*Monatsplanung!$I57),0,Personalplanung!AD57/Monatsplanung!$E57*Monatsplanung!$I57))</f>
        <v>0</v>
      </c>
      <c r="R265" s="740"/>
      <c r="S265" s="739"/>
      <c r="T265" s="168">
        <f>IF(S265&lt;&gt;"",S265,IF(ISERROR(Personalplanung!AE57/Monatsplanung!$E57*Monatsplanung!$I57),0,Personalplanung!AE57/Monatsplanung!$E57*Monatsplanung!$I57))</f>
        <v>0</v>
      </c>
      <c r="U265" s="740"/>
      <c r="V265" s="168">
        <f t="shared" si="64"/>
        <v>0</v>
      </c>
      <c r="W265" s="168">
        <f>IF(ISERROR(Personalplanung!P57/Monatsplanung!$E57*Monatsplanung!$I57),0,Personalplanung!P57/Monatsplanung!$E57*Monatsplanung!$I57)</f>
        <v>0</v>
      </c>
      <c r="X265" s="168">
        <f>IF(ISERROR(Personalplanung!Q57/Monatsplanung!$E57*Monatsplanung!$I57),0,Personalplanung!Q57/Monatsplanung!$E57*Monatsplanung!$I57)</f>
        <v>0</v>
      </c>
      <c r="Y265" s="168">
        <f>IF(ISERROR(Personalplanung!R57/T1305*Stundencontrolling!T265),0,Personalplanung!R57/T1305*Stundencontrolling!T265)</f>
        <v>0</v>
      </c>
      <c r="Z265" s="168">
        <f>IF(ISERROR(Personalplanung!S57/Monatsplanung!$E57*Monatsplanung!$I57),0,Personalplanung!S57/Monatsplanung!$E57*Monatsplanung!$I57)</f>
        <v>0</v>
      </c>
      <c r="AA265" s="80">
        <f t="shared" si="65"/>
        <v>0</v>
      </c>
      <c r="AB265" s="102">
        <f t="shared" si="66"/>
        <v>0.1</v>
      </c>
      <c r="AC265" s="103">
        <f t="shared" si="67"/>
        <v>0</v>
      </c>
      <c r="AD265" s="103">
        <f t="shared" si="68"/>
        <v>0</v>
      </c>
      <c r="AE265" s="81">
        <f t="shared" si="69"/>
        <v>0</v>
      </c>
      <c r="AF265" s="539"/>
      <c r="AG265" s="104">
        <f t="shared" si="70"/>
        <v>1</v>
      </c>
      <c r="AH265" s="7">
        <f t="shared" si="71"/>
        <v>0</v>
      </c>
      <c r="AI265" s="6">
        <f t="shared" si="72"/>
        <v>0</v>
      </c>
      <c r="AJ265" s="73">
        <f t="shared" si="73"/>
        <v>0</v>
      </c>
      <c r="AK265" s="539"/>
      <c r="AL265" s="748"/>
      <c r="AM265" s="748"/>
    </row>
    <row r="266" spans="2:39" x14ac:dyDescent="0.2">
      <c r="B266" s="101" t="str">
        <f t="shared" si="58"/>
        <v/>
      </c>
      <c r="C266" s="168">
        <f>IF(ISERROR(Personalplanung!F58/Monatsplanung!$E58*Monatsplanung!$I58),0,Personalplanung!F58/Monatsplanung!$E58*Monatsplanung!$I58)</f>
        <v>0</v>
      </c>
      <c r="D266" s="168">
        <f t="shared" si="59"/>
        <v>0</v>
      </c>
      <c r="E266" s="168">
        <f>IF(ISERROR(Personalplanung!H58/Monatsplanung!$E58*Monatsplanung!$I58),0,Personalplanung!H58/Monatsplanung!$E58*Monatsplanung!$I58)</f>
        <v>0</v>
      </c>
      <c r="F266" s="168">
        <f t="shared" si="60"/>
        <v>0</v>
      </c>
      <c r="G266" s="168">
        <f t="shared" si="61"/>
        <v>27.700831024930746</v>
      </c>
      <c r="H266" s="168">
        <f t="shared" si="62"/>
        <v>0</v>
      </c>
      <c r="I266" s="168">
        <f t="shared" si="63"/>
        <v>30</v>
      </c>
      <c r="J266" s="739"/>
      <c r="K266" s="168">
        <f>IF(J266&lt;&gt;"",J266,IF(ISERROR(Personalplanung!AB58/Monatsplanung!$E58*Monatsplanung!$I58),0,Personalplanung!AB58/Monatsplanung!$E58*Monatsplanung!$I58))</f>
        <v>0</v>
      </c>
      <c r="L266" s="740"/>
      <c r="M266" s="739"/>
      <c r="N266" s="168">
        <f>IF(M266&lt;&gt;"",M266,IF(ISERROR(Personalplanung!AC58/Monatsplanung!$E58*Monatsplanung!$I58),0,Personalplanung!AC58/Monatsplanung!$E58*Monatsplanung!$I58))</f>
        <v>0</v>
      </c>
      <c r="O266" s="740"/>
      <c r="P266" s="739"/>
      <c r="Q266" s="168">
        <f>IF(P266&lt;&gt;"",P266,IF(ISERROR(Personalplanung!AD58/Monatsplanung!$E58*Monatsplanung!$I58),0,Personalplanung!AD58/Monatsplanung!$E58*Monatsplanung!$I58))</f>
        <v>0</v>
      </c>
      <c r="R266" s="740"/>
      <c r="S266" s="739"/>
      <c r="T266" s="168">
        <f>IF(S266&lt;&gt;"",S266,IF(ISERROR(Personalplanung!AE58/Monatsplanung!$E58*Monatsplanung!$I58),0,Personalplanung!AE58/Monatsplanung!$E58*Monatsplanung!$I58))</f>
        <v>0</v>
      </c>
      <c r="U266" s="740"/>
      <c r="V266" s="168">
        <f t="shared" si="64"/>
        <v>0</v>
      </c>
      <c r="W266" s="168">
        <f>IF(ISERROR(Personalplanung!P58/Monatsplanung!$E58*Monatsplanung!$I58),0,Personalplanung!P58/Monatsplanung!$E58*Monatsplanung!$I58)</f>
        <v>0</v>
      </c>
      <c r="X266" s="168">
        <f>IF(ISERROR(Personalplanung!Q58/Monatsplanung!$E58*Monatsplanung!$I58),0,Personalplanung!Q58/Monatsplanung!$E58*Monatsplanung!$I58)</f>
        <v>0</v>
      </c>
      <c r="Y266" s="168">
        <f>IF(ISERROR(Personalplanung!R58/T1306*Stundencontrolling!T266),0,Personalplanung!R58/T1306*Stundencontrolling!T266)</f>
        <v>0</v>
      </c>
      <c r="Z266" s="168">
        <f>IF(ISERROR(Personalplanung!S58/Monatsplanung!$E58*Monatsplanung!$I58),0,Personalplanung!S58/Monatsplanung!$E58*Monatsplanung!$I58)</f>
        <v>0</v>
      </c>
      <c r="AA266" s="80">
        <f t="shared" si="65"/>
        <v>0</v>
      </c>
      <c r="AB266" s="102">
        <f t="shared" si="66"/>
        <v>0.1</v>
      </c>
      <c r="AC266" s="103">
        <f t="shared" si="67"/>
        <v>0</v>
      </c>
      <c r="AD266" s="103">
        <f t="shared" si="68"/>
        <v>0</v>
      </c>
      <c r="AE266" s="81">
        <f t="shared" si="69"/>
        <v>0</v>
      </c>
      <c r="AF266" s="539"/>
      <c r="AG266" s="104">
        <f t="shared" si="70"/>
        <v>1</v>
      </c>
      <c r="AH266" s="7">
        <f t="shared" si="71"/>
        <v>0</v>
      </c>
      <c r="AI266" s="6">
        <f t="shared" si="72"/>
        <v>0</v>
      </c>
      <c r="AJ266" s="73">
        <f t="shared" si="73"/>
        <v>0</v>
      </c>
      <c r="AK266" s="539"/>
      <c r="AL266" s="748"/>
      <c r="AM266" s="748"/>
    </row>
    <row r="267" spans="2:39" x14ac:dyDescent="0.2">
      <c r="B267" s="101" t="str">
        <f t="shared" si="58"/>
        <v/>
      </c>
      <c r="C267" s="168">
        <f>IF(ISERROR(Personalplanung!F59/Monatsplanung!$E59*Monatsplanung!$I59),0,Personalplanung!F59/Monatsplanung!$E59*Monatsplanung!$I59)</f>
        <v>0</v>
      </c>
      <c r="D267" s="168">
        <f t="shared" si="59"/>
        <v>0</v>
      </c>
      <c r="E267" s="168">
        <f>IF(ISERROR(Personalplanung!H59/Monatsplanung!$E59*Monatsplanung!$I59),0,Personalplanung!H59/Monatsplanung!$E59*Monatsplanung!$I59)</f>
        <v>0</v>
      </c>
      <c r="F267" s="168">
        <f t="shared" si="60"/>
        <v>0</v>
      </c>
      <c r="G267" s="168">
        <f t="shared" si="61"/>
        <v>27.700831024930746</v>
      </c>
      <c r="H267" s="168">
        <f t="shared" si="62"/>
        <v>0</v>
      </c>
      <c r="I267" s="168">
        <f t="shared" si="63"/>
        <v>30</v>
      </c>
      <c r="J267" s="739"/>
      <c r="K267" s="168">
        <f>IF(J267&lt;&gt;"",J267,IF(ISERROR(Personalplanung!AB59/Monatsplanung!$E59*Monatsplanung!$I59),0,Personalplanung!AB59/Monatsplanung!$E59*Monatsplanung!$I59))</f>
        <v>0</v>
      </c>
      <c r="L267" s="740"/>
      <c r="M267" s="739"/>
      <c r="N267" s="168">
        <f>IF(M267&lt;&gt;"",M267,IF(ISERROR(Personalplanung!AC59/Monatsplanung!$E59*Monatsplanung!$I59),0,Personalplanung!AC59/Monatsplanung!$E59*Monatsplanung!$I59))</f>
        <v>0</v>
      </c>
      <c r="O267" s="740"/>
      <c r="P267" s="739"/>
      <c r="Q267" s="168">
        <f>IF(P267&lt;&gt;"",P267,IF(ISERROR(Personalplanung!AD59/Monatsplanung!$E59*Monatsplanung!$I59),0,Personalplanung!AD59/Monatsplanung!$E59*Monatsplanung!$I59))</f>
        <v>0</v>
      </c>
      <c r="R267" s="740"/>
      <c r="S267" s="739"/>
      <c r="T267" s="168">
        <f>IF(S267&lt;&gt;"",S267,IF(ISERROR(Personalplanung!AE59/Monatsplanung!$E59*Monatsplanung!$I59),0,Personalplanung!AE59/Monatsplanung!$E59*Monatsplanung!$I59))</f>
        <v>0</v>
      </c>
      <c r="U267" s="740"/>
      <c r="V267" s="168">
        <f t="shared" si="64"/>
        <v>0</v>
      </c>
      <c r="W267" s="168">
        <f>IF(ISERROR(Personalplanung!P59/Monatsplanung!$E59*Monatsplanung!$I59),0,Personalplanung!P59/Monatsplanung!$E59*Monatsplanung!$I59)</f>
        <v>0</v>
      </c>
      <c r="X267" s="168">
        <f>IF(ISERROR(Personalplanung!Q59/Monatsplanung!$E59*Monatsplanung!$I59),0,Personalplanung!Q59/Monatsplanung!$E59*Monatsplanung!$I59)</f>
        <v>0</v>
      </c>
      <c r="Y267" s="168">
        <f>IF(ISERROR(Personalplanung!R59/T1307*Stundencontrolling!T267),0,Personalplanung!R59/T1307*Stundencontrolling!T267)</f>
        <v>0</v>
      </c>
      <c r="Z267" s="168">
        <f>IF(ISERROR(Personalplanung!S59/Monatsplanung!$E59*Monatsplanung!$I59),0,Personalplanung!S59/Monatsplanung!$E59*Monatsplanung!$I59)</f>
        <v>0</v>
      </c>
      <c r="AA267" s="80">
        <f t="shared" si="65"/>
        <v>0</v>
      </c>
      <c r="AB267" s="102">
        <f t="shared" si="66"/>
        <v>0.1</v>
      </c>
      <c r="AC267" s="103">
        <f t="shared" si="67"/>
        <v>0</v>
      </c>
      <c r="AD267" s="103">
        <f t="shared" si="68"/>
        <v>0</v>
      </c>
      <c r="AE267" s="81">
        <f t="shared" si="69"/>
        <v>0</v>
      </c>
      <c r="AF267" s="539"/>
      <c r="AG267" s="104">
        <f t="shared" si="70"/>
        <v>1</v>
      </c>
      <c r="AH267" s="7">
        <f t="shared" si="71"/>
        <v>0</v>
      </c>
      <c r="AI267" s="6">
        <f t="shared" si="72"/>
        <v>0</v>
      </c>
      <c r="AJ267" s="73">
        <f t="shared" si="73"/>
        <v>0</v>
      </c>
      <c r="AK267" s="539"/>
      <c r="AL267" s="748"/>
      <c r="AM267" s="748"/>
    </row>
    <row r="268" spans="2:39" x14ac:dyDescent="0.2">
      <c r="B268" s="101" t="str">
        <f t="shared" si="58"/>
        <v/>
      </c>
      <c r="C268" s="168">
        <f>IF(ISERROR(Personalplanung!F60/Monatsplanung!$E60*Monatsplanung!$I60),0,Personalplanung!F60/Monatsplanung!$E60*Monatsplanung!$I60)</f>
        <v>0</v>
      </c>
      <c r="D268" s="168">
        <f t="shared" si="59"/>
        <v>0</v>
      </c>
      <c r="E268" s="168">
        <f>IF(ISERROR(Personalplanung!H60/Monatsplanung!$E60*Monatsplanung!$I60),0,Personalplanung!H60/Monatsplanung!$E60*Monatsplanung!$I60)</f>
        <v>0</v>
      </c>
      <c r="F268" s="168">
        <f t="shared" si="60"/>
        <v>0</v>
      </c>
      <c r="G268" s="168">
        <f t="shared" si="61"/>
        <v>27.700831024930746</v>
      </c>
      <c r="H268" s="168">
        <f t="shared" si="62"/>
        <v>0</v>
      </c>
      <c r="I268" s="168">
        <f t="shared" si="63"/>
        <v>30</v>
      </c>
      <c r="J268" s="739"/>
      <c r="K268" s="168">
        <f>IF(J268&lt;&gt;"",J268,IF(ISERROR(Personalplanung!AB60/Monatsplanung!$E60*Monatsplanung!$I60),0,Personalplanung!AB60/Monatsplanung!$E60*Monatsplanung!$I60))</f>
        <v>0</v>
      </c>
      <c r="L268" s="740"/>
      <c r="M268" s="739"/>
      <c r="N268" s="168">
        <f>IF(M268&lt;&gt;"",M268,IF(ISERROR(Personalplanung!AC60/Monatsplanung!$E60*Monatsplanung!$I60),0,Personalplanung!AC60/Monatsplanung!$E60*Monatsplanung!$I60))</f>
        <v>0</v>
      </c>
      <c r="O268" s="740"/>
      <c r="P268" s="739"/>
      <c r="Q268" s="168">
        <f>IF(P268&lt;&gt;"",P268,IF(ISERROR(Personalplanung!AD60/Monatsplanung!$E60*Monatsplanung!$I60),0,Personalplanung!AD60/Monatsplanung!$E60*Monatsplanung!$I60))</f>
        <v>0</v>
      </c>
      <c r="R268" s="740"/>
      <c r="S268" s="739"/>
      <c r="T268" s="168">
        <f>IF(S268&lt;&gt;"",S268,IF(ISERROR(Personalplanung!AE60/Monatsplanung!$E60*Monatsplanung!$I60),0,Personalplanung!AE60/Monatsplanung!$E60*Monatsplanung!$I60))</f>
        <v>0</v>
      </c>
      <c r="U268" s="740"/>
      <c r="V268" s="168">
        <f t="shared" si="64"/>
        <v>0</v>
      </c>
      <c r="W268" s="168">
        <f>IF(ISERROR(Personalplanung!P60/Monatsplanung!$E60*Monatsplanung!$I60),0,Personalplanung!P60/Monatsplanung!$E60*Monatsplanung!$I60)</f>
        <v>0</v>
      </c>
      <c r="X268" s="168">
        <f>IF(ISERROR(Personalplanung!Q60/Monatsplanung!$E60*Monatsplanung!$I60),0,Personalplanung!Q60/Monatsplanung!$E60*Monatsplanung!$I60)</f>
        <v>0</v>
      </c>
      <c r="Y268" s="168">
        <f>IF(ISERROR(Personalplanung!R60/T1308*Stundencontrolling!T268),0,Personalplanung!R60/T1308*Stundencontrolling!T268)</f>
        <v>0</v>
      </c>
      <c r="Z268" s="168">
        <f>IF(ISERROR(Personalplanung!S60/Monatsplanung!$E60*Monatsplanung!$I60),0,Personalplanung!S60/Monatsplanung!$E60*Monatsplanung!$I60)</f>
        <v>0</v>
      </c>
      <c r="AA268" s="80">
        <f t="shared" si="65"/>
        <v>0</v>
      </c>
      <c r="AB268" s="102">
        <f t="shared" si="66"/>
        <v>0.1</v>
      </c>
      <c r="AC268" s="103">
        <f t="shared" si="67"/>
        <v>0</v>
      </c>
      <c r="AD268" s="103">
        <f t="shared" si="68"/>
        <v>0</v>
      </c>
      <c r="AE268" s="81">
        <f t="shared" si="69"/>
        <v>0</v>
      </c>
      <c r="AF268" s="539"/>
      <c r="AG268" s="104">
        <f t="shared" si="70"/>
        <v>1</v>
      </c>
      <c r="AH268" s="7">
        <f t="shared" si="71"/>
        <v>0</v>
      </c>
      <c r="AI268" s="6">
        <f t="shared" si="72"/>
        <v>0</v>
      </c>
      <c r="AJ268" s="73">
        <f t="shared" si="73"/>
        <v>0</v>
      </c>
      <c r="AK268" s="539"/>
      <c r="AL268" s="748"/>
      <c r="AM268" s="748"/>
    </row>
    <row r="269" spans="2:39" x14ac:dyDescent="0.2">
      <c r="B269" s="101" t="str">
        <f t="shared" si="58"/>
        <v/>
      </c>
      <c r="C269" s="168">
        <f>IF(ISERROR(Personalplanung!F61/Monatsplanung!$E61*Monatsplanung!$I61),0,Personalplanung!F61/Monatsplanung!$E61*Monatsplanung!$I61)</f>
        <v>0</v>
      </c>
      <c r="D269" s="168">
        <f t="shared" si="59"/>
        <v>0</v>
      </c>
      <c r="E269" s="168">
        <f>IF(ISERROR(Personalplanung!H61/Monatsplanung!$E61*Monatsplanung!$I61),0,Personalplanung!H61/Monatsplanung!$E61*Monatsplanung!$I61)</f>
        <v>0</v>
      </c>
      <c r="F269" s="168">
        <f t="shared" si="60"/>
        <v>0</v>
      </c>
      <c r="G269" s="168">
        <f t="shared" si="61"/>
        <v>27.700831024930746</v>
      </c>
      <c r="H269" s="168">
        <f t="shared" si="62"/>
        <v>0</v>
      </c>
      <c r="I269" s="168">
        <f t="shared" si="63"/>
        <v>30</v>
      </c>
      <c r="J269" s="739"/>
      <c r="K269" s="168">
        <f>IF(J269&lt;&gt;"",J269,IF(ISERROR(Personalplanung!AB61/Monatsplanung!$E61*Monatsplanung!$I61),0,Personalplanung!AB61/Monatsplanung!$E61*Monatsplanung!$I61))</f>
        <v>0</v>
      </c>
      <c r="L269" s="740"/>
      <c r="M269" s="739"/>
      <c r="N269" s="168">
        <f>IF(M269&lt;&gt;"",M269,IF(ISERROR(Personalplanung!AC61/Monatsplanung!$E61*Monatsplanung!$I61),0,Personalplanung!AC61/Monatsplanung!$E61*Monatsplanung!$I61))</f>
        <v>0</v>
      </c>
      <c r="O269" s="740"/>
      <c r="P269" s="739"/>
      <c r="Q269" s="168">
        <f>IF(P269&lt;&gt;"",P269,IF(ISERROR(Personalplanung!AD61/Monatsplanung!$E61*Monatsplanung!$I61),0,Personalplanung!AD61/Monatsplanung!$E61*Monatsplanung!$I61))</f>
        <v>0</v>
      </c>
      <c r="R269" s="740"/>
      <c r="S269" s="739"/>
      <c r="T269" s="168">
        <f>IF(S269&lt;&gt;"",S269,IF(ISERROR(Personalplanung!AE61/Monatsplanung!$E61*Monatsplanung!$I61),0,Personalplanung!AE61/Monatsplanung!$E61*Monatsplanung!$I61))</f>
        <v>0</v>
      </c>
      <c r="U269" s="740"/>
      <c r="V269" s="168">
        <f t="shared" si="64"/>
        <v>0</v>
      </c>
      <c r="W269" s="168">
        <f>IF(ISERROR(Personalplanung!P61/Monatsplanung!$E61*Monatsplanung!$I61),0,Personalplanung!P61/Monatsplanung!$E61*Monatsplanung!$I61)</f>
        <v>0</v>
      </c>
      <c r="X269" s="168">
        <f>IF(ISERROR(Personalplanung!Q61/Monatsplanung!$E61*Monatsplanung!$I61),0,Personalplanung!Q61/Monatsplanung!$E61*Monatsplanung!$I61)</f>
        <v>0</v>
      </c>
      <c r="Y269" s="168">
        <f>IF(ISERROR(Personalplanung!R61/T1309*Stundencontrolling!T269),0,Personalplanung!R61/T1309*Stundencontrolling!T269)</f>
        <v>0</v>
      </c>
      <c r="Z269" s="168">
        <f>IF(ISERROR(Personalplanung!S61/Monatsplanung!$E61*Monatsplanung!$I61),0,Personalplanung!S61/Monatsplanung!$E61*Monatsplanung!$I61)</f>
        <v>0</v>
      </c>
      <c r="AA269" s="80">
        <f t="shared" si="65"/>
        <v>0</v>
      </c>
      <c r="AB269" s="102">
        <f t="shared" si="66"/>
        <v>0.1</v>
      </c>
      <c r="AC269" s="103">
        <f t="shared" si="67"/>
        <v>0</v>
      </c>
      <c r="AD269" s="103">
        <f t="shared" si="68"/>
        <v>0</v>
      </c>
      <c r="AE269" s="81">
        <f t="shared" si="69"/>
        <v>0</v>
      </c>
      <c r="AF269" s="539"/>
      <c r="AG269" s="104">
        <f t="shared" si="70"/>
        <v>1</v>
      </c>
      <c r="AH269" s="7">
        <f t="shared" si="71"/>
        <v>0</v>
      </c>
      <c r="AI269" s="6">
        <f t="shared" si="72"/>
        <v>0</v>
      </c>
      <c r="AJ269" s="73">
        <f t="shared" si="73"/>
        <v>0</v>
      </c>
      <c r="AK269" s="539"/>
      <c r="AL269" s="748"/>
      <c r="AM269" s="748"/>
    </row>
    <row r="270" spans="2:39" x14ac:dyDescent="0.2">
      <c r="B270" s="101" t="str">
        <f t="shared" si="58"/>
        <v/>
      </c>
      <c r="C270" s="168">
        <f>IF(ISERROR(Personalplanung!F62/Monatsplanung!$E62*Monatsplanung!$I62),0,Personalplanung!F62/Monatsplanung!$E62*Monatsplanung!$I62)</f>
        <v>0</v>
      </c>
      <c r="D270" s="168">
        <f t="shared" si="59"/>
        <v>0</v>
      </c>
      <c r="E270" s="168">
        <f>IF(ISERROR(Personalplanung!H62/Monatsplanung!$E62*Monatsplanung!$I62),0,Personalplanung!H62/Monatsplanung!$E62*Monatsplanung!$I62)</f>
        <v>0</v>
      </c>
      <c r="F270" s="168">
        <f t="shared" si="60"/>
        <v>0</v>
      </c>
      <c r="G270" s="168">
        <f t="shared" si="61"/>
        <v>27.700831024930746</v>
      </c>
      <c r="H270" s="168">
        <f t="shared" si="62"/>
        <v>0</v>
      </c>
      <c r="I270" s="168">
        <f t="shared" si="63"/>
        <v>30</v>
      </c>
      <c r="J270" s="739"/>
      <c r="K270" s="168">
        <f>IF(J270&lt;&gt;"",J270,IF(ISERROR(Personalplanung!AB62/Monatsplanung!$E62*Monatsplanung!$I62),0,Personalplanung!AB62/Monatsplanung!$E62*Monatsplanung!$I62))</f>
        <v>0</v>
      </c>
      <c r="L270" s="740"/>
      <c r="M270" s="739"/>
      <c r="N270" s="168">
        <f>IF(M270&lt;&gt;"",M270,IF(ISERROR(Personalplanung!AC62/Monatsplanung!$E62*Monatsplanung!$I62),0,Personalplanung!AC62/Monatsplanung!$E62*Monatsplanung!$I62))</f>
        <v>0</v>
      </c>
      <c r="O270" s="740"/>
      <c r="P270" s="739"/>
      <c r="Q270" s="168">
        <f>IF(P270&lt;&gt;"",P270,IF(ISERROR(Personalplanung!AD62/Monatsplanung!$E62*Monatsplanung!$I62),0,Personalplanung!AD62/Monatsplanung!$E62*Monatsplanung!$I62))</f>
        <v>0</v>
      </c>
      <c r="R270" s="740"/>
      <c r="S270" s="739"/>
      <c r="T270" s="168">
        <f>IF(S270&lt;&gt;"",S270,IF(ISERROR(Personalplanung!AE62/Monatsplanung!$E62*Monatsplanung!$I62),0,Personalplanung!AE62/Monatsplanung!$E62*Monatsplanung!$I62))</f>
        <v>0</v>
      </c>
      <c r="U270" s="740"/>
      <c r="V270" s="168">
        <f t="shared" si="64"/>
        <v>0</v>
      </c>
      <c r="W270" s="168">
        <f>IF(ISERROR(Personalplanung!P62/Monatsplanung!$E62*Monatsplanung!$I62),0,Personalplanung!P62/Monatsplanung!$E62*Monatsplanung!$I62)</f>
        <v>0</v>
      </c>
      <c r="X270" s="168">
        <f>IF(ISERROR(Personalplanung!Q62/Monatsplanung!$E62*Monatsplanung!$I62),0,Personalplanung!Q62/Monatsplanung!$E62*Monatsplanung!$I62)</f>
        <v>0</v>
      </c>
      <c r="Y270" s="168">
        <f>IF(ISERROR(Personalplanung!R62/T1310*Stundencontrolling!T270),0,Personalplanung!R62/T1310*Stundencontrolling!T270)</f>
        <v>0</v>
      </c>
      <c r="Z270" s="168">
        <f>IF(ISERROR(Personalplanung!S62/Monatsplanung!$E62*Monatsplanung!$I62),0,Personalplanung!S62/Monatsplanung!$E62*Monatsplanung!$I62)</f>
        <v>0</v>
      </c>
      <c r="AA270" s="80">
        <f t="shared" si="65"/>
        <v>0</v>
      </c>
      <c r="AB270" s="102">
        <f t="shared" si="66"/>
        <v>0.1</v>
      </c>
      <c r="AC270" s="103">
        <f t="shared" si="67"/>
        <v>0</v>
      </c>
      <c r="AD270" s="103">
        <f t="shared" si="68"/>
        <v>0</v>
      </c>
      <c r="AE270" s="81">
        <f t="shared" si="69"/>
        <v>0</v>
      </c>
      <c r="AF270" s="539"/>
      <c r="AG270" s="104">
        <f t="shared" si="70"/>
        <v>1</v>
      </c>
      <c r="AH270" s="7">
        <f t="shared" si="71"/>
        <v>0</v>
      </c>
      <c r="AI270" s="6">
        <f t="shared" si="72"/>
        <v>0</v>
      </c>
      <c r="AJ270" s="73">
        <f t="shared" si="73"/>
        <v>0</v>
      </c>
      <c r="AK270" s="539"/>
      <c r="AL270" s="748"/>
      <c r="AM270" s="748"/>
    </row>
    <row r="271" spans="2:39" x14ac:dyDescent="0.2">
      <c r="B271" s="101" t="str">
        <f t="shared" si="58"/>
        <v/>
      </c>
      <c r="C271" s="168">
        <f>IF(ISERROR(Personalplanung!F63/Monatsplanung!$E63*Monatsplanung!$I63),0,Personalplanung!F63/Monatsplanung!$E63*Monatsplanung!$I63)</f>
        <v>0</v>
      </c>
      <c r="D271" s="168">
        <f t="shared" si="59"/>
        <v>0</v>
      </c>
      <c r="E271" s="168">
        <f>IF(ISERROR(Personalplanung!H63/Monatsplanung!$E63*Monatsplanung!$I63),0,Personalplanung!H63/Monatsplanung!$E63*Monatsplanung!$I63)</f>
        <v>0</v>
      </c>
      <c r="F271" s="168">
        <f t="shared" si="60"/>
        <v>0</v>
      </c>
      <c r="G271" s="168">
        <f t="shared" si="61"/>
        <v>27.700831024930746</v>
      </c>
      <c r="H271" s="168">
        <f t="shared" si="62"/>
        <v>0</v>
      </c>
      <c r="I271" s="168">
        <f t="shared" si="63"/>
        <v>30</v>
      </c>
      <c r="J271" s="739"/>
      <c r="K271" s="168">
        <f>IF(J271&lt;&gt;"",J271,IF(ISERROR(Personalplanung!AB63/Monatsplanung!$E63*Monatsplanung!$I63),0,Personalplanung!AB63/Monatsplanung!$E63*Monatsplanung!$I63))</f>
        <v>0</v>
      </c>
      <c r="L271" s="740"/>
      <c r="M271" s="739"/>
      <c r="N271" s="168">
        <f>IF(M271&lt;&gt;"",M271,IF(ISERROR(Personalplanung!AC63/Monatsplanung!$E63*Monatsplanung!$I63),0,Personalplanung!AC63/Monatsplanung!$E63*Monatsplanung!$I63))</f>
        <v>0</v>
      </c>
      <c r="O271" s="740"/>
      <c r="P271" s="739"/>
      <c r="Q271" s="168">
        <f>IF(P271&lt;&gt;"",P271,IF(ISERROR(Personalplanung!AD63/Monatsplanung!$E63*Monatsplanung!$I63),0,Personalplanung!AD63/Monatsplanung!$E63*Monatsplanung!$I63))</f>
        <v>0</v>
      </c>
      <c r="R271" s="740"/>
      <c r="S271" s="739"/>
      <c r="T271" s="168">
        <f>IF(S271&lt;&gt;"",S271,IF(ISERROR(Personalplanung!AE63/Monatsplanung!$E63*Monatsplanung!$I63),0,Personalplanung!AE63/Monatsplanung!$E63*Monatsplanung!$I63))</f>
        <v>0</v>
      </c>
      <c r="U271" s="740"/>
      <c r="V271" s="168">
        <f t="shared" si="64"/>
        <v>0</v>
      </c>
      <c r="W271" s="168">
        <f>IF(ISERROR(Personalplanung!P63/Monatsplanung!$E63*Monatsplanung!$I63),0,Personalplanung!P63/Monatsplanung!$E63*Monatsplanung!$I63)</f>
        <v>0</v>
      </c>
      <c r="X271" s="168">
        <f>IF(ISERROR(Personalplanung!Q63/Monatsplanung!$E63*Monatsplanung!$I63),0,Personalplanung!Q63/Monatsplanung!$E63*Monatsplanung!$I63)</f>
        <v>0</v>
      </c>
      <c r="Y271" s="168">
        <f>IF(ISERROR(Personalplanung!R63/T1311*Stundencontrolling!T271),0,Personalplanung!R63/T1311*Stundencontrolling!T271)</f>
        <v>0</v>
      </c>
      <c r="Z271" s="168">
        <f>IF(ISERROR(Personalplanung!S63/Monatsplanung!$E63*Monatsplanung!$I63),0,Personalplanung!S63/Monatsplanung!$E63*Monatsplanung!$I63)</f>
        <v>0</v>
      </c>
      <c r="AA271" s="80">
        <f t="shared" si="65"/>
        <v>0</v>
      </c>
      <c r="AB271" s="102">
        <f t="shared" si="66"/>
        <v>0.1</v>
      </c>
      <c r="AC271" s="103">
        <f t="shared" si="67"/>
        <v>0</v>
      </c>
      <c r="AD271" s="103">
        <f t="shared" si="68"/>
        <v>0</v>
      </c>
      <c r="AE271" s="81">
        <f t="shared" si="69"/>
        <v>0</v>
      </c>
      <c r="AF271" s="539"/>
      <c r="AG271" s="104">
        <f t="shared" si="70"/>
        <v>1</v>
      </c>
      <c r="AH271" s="7">
        <f t="shared" si="71"/>
        <v>0</v>
      </c>
      <c r="AI271" s="6">
        <f t="shared" si="72"/>
        <v>0</v>
      </c>
      <c r="AJ271" s="73">
        <f t="shared" si="73"/>
        <v>0</v>
      </c>
      <c r="AK271" s="539"/>
      <c r="AL271" s="748"/>
      <c r="AM271" s="748"/>
    </row>
    <row r="272" spans="2:39" x14ac:dyDescent="0.2">
      <c r="B272" s="101" t="str">
        <f t="shared" si="58"/>
        <v/>
      </c>
      <c r="C272" s="168">
        <f>IF(ISERROR(Personalplanung!F64/Monatsplanung!$E64*Monatsplanung!$I64),0,Personalplanung!F64/Monatsplanung!$E64*Monatsplanung!$I64)</f>
        <v>0</v>
      </c>
      <c r="D272" s="168">
        <f t="shared" si="59"/>
        <v>0</v>
      </c>
      <c r="E272" s="168">
        <f>IF(ISERROR(Personalplanung!H64/Monatsplanung!$E64*Monatsplanung!$I64),0,Personalplanung!H64/Monatsplanung!$E64*Monatsplanung!$I64)</f>
        <v>0</v>
      </c>
      <c r="F272" s="168">
        <f t="shared" si="60"/>
        <v>0</v>
      </c>
      <c r="G272" s="168">
        <f t="shared" si="61"/>
        <v>27.700831024930746</v>
      </c>
      <c r="H272" s="168">
        <f t="shared" si="62"/>
        <v>0</v>
      </c>
      <c r="I272" s="168">
        <f t="shared" si="63"/>
        <v>30</v>
      </c>
      <c r="J272" s="739"/>
      <c r="K272" s="168">
        <f>IF(J272&lt;&gt;"",J272,IF(ISERROR(Personalplanung!AB64/Monatsplanung!$E64*Monatsplanung!$I64),0,Personalplanung!AB64/Monatsplanung!$E64*Monatsplanung!$I64))</f>
        <v>0</v>
      </c>
      <c r="L272" s="740"/>
      <c r="M272" s="739"/>
      <c r="N272" s="168">
        <f>IF(M272&lt;&gt;"",M272,IF(ISERROR(Personalplanung!AC64/Monatsplanung!$E64*Monatsplanung!$I64),0,Personalplanung!AC64/Monatsplanung!$E64*Monatsplanung!$I64))</f>
        <v>0</v>
      </c>
      <c r="O272" s="740"/>
      <c r="P272" s="739"/>
      <c r="Q272" s="168">
        <f>IF(P272&lt;&gt;"",P272,IF(ISERROR(Personalplanung!AD64/Monatsplanung!$E64*Monatsplanung!$I64),0,Personalplanung!AD64/Monatsplanung!$E64*Monatsplanung!$I64))</f>
        <v>0</v>
      </c>
      <c r="R272" s="740"/>
      <c r="S272" s="739"/>
      <c r="T272" s="168">
        <f>IF(S272&lt;&gt;"",S272,IF(ISERROR(Personalplanung!AE64/Monatsplanung!$E64*Monatsplanung!$I64),0,Personalplanung!AE64/Monatsplanung!$E64*Monatsplanung!$I64))</f>
        <v>0</v>
      </c>
      <c r="U272" s="740"/>
      <c r="V272" s="168">
        <f t="shared" si="64"/>
        <v>0</v>
      </c>
      <c r="W272" s="168">
        <f>IF(ISERROR(Personalplanung!P64/Monatsplanung!$E64*Monatsplanung!$I64),0,Personalplanung!P64/Monatsplanung!$E64*Monatsplanung!$I64)</f>
        <v>0</v>
      </c>
      <c r="X272" s="168">
        <f>IF(ISERROR(Personalplanung!Q64/Monatsplanung!$E64*Monatsplanung!$I64),0,Personalplanung!Q64/Monatsplanung!$E64*Monatsplanung!$I64)</f>
        <v>0</v>
      </c>
      <c r="Y272" s="168">
        <f>IF(ISERROR(Personalplanung!R64/T1312*Stundencontrolling!T272),0,Personalplanung!R64/T1312*Stundencontrolling!T272)</f>
        <v>0</v>
      </c>
      <c r="Z272" s="168">
        <f>IF(ISERROR(Personalplanung!S64/Monatsplanung!$E64*Monatsplanung!$I64),0,Personalplanung!S64/Monatsplanung!$E64*Monatsplanung!$I64)</f>
        <v>0</v>
      </c>
      <c r="AA272" s="80">
        <f t="shared" si="65"/>
        <v>0</v>
      </c>
      <c r="AB272" s="102">
        <f t="shared" si="66"/>
        <v>0.1</v>
      </c>
      <c r="AC272" s="103">
        <f t="shared" si="67"/>
        <v>0</v>
      </c>
      <c r="AD272" s="103">
        <f t="shared" si="68"/>
        <v>0</v>
      </c>
      <c r="AE272" s="81">
        <f t="shared" si="69"/>
        <v>0</v>
      </c>
      <c r="AF272" s="539"/>
      <c r="AG272" s="104">
        <f t="shared" si="70"/>
        <v>1</v>
      </c>
      <c r="AH272" s="7">
        <f t="shared" si="71"/>
        <v>0</v>
      </c>
      <c r="AI272" s="6">
        <f t="shared" si="72"/>
        <v>0</v>
      </c>
      <c r="AJ272" s="73">
        <f t="shared" si="73"/>
        <v>0</v>
      </c>
      <c r="AK272" s="539"/>
      <c r="AL272" s="748"/>
      <c r="AM272" s="748"/>
    </row>
    <row r="273" spans="2:39" x14ac:dyDescent="0.2">
      <c r="B273" s="101" t="str">
        <f t="shared" si="58"/>
        <v/>
      </c>
      <c r="C273" s="168">
        <f>IF(ISERROR(Personalplanung!F65/Monatsplanung!$E65*Monatsplanung!$I65),0,Personalplanung!F65/Monatsplanung!$E65*Monatsplanung!$I65)</f>
        <v>0</v>
      </c>
      <c r="D273" s="168">
        <f t="shared" si="59"/>
        <v>0</v>
      </c>
      <c r="E273" s="168">
        <f>IF(ISERROR(Personalplanung!H65/Monatsplanung!$E65*Monatsplanung!$I65),0,Personalplanung!H65/Monatsplanung!$E65*Monatsplanung!$I65)</f>
        <v>0</v>
      </c>
      <c r="F273" s="168">
        <f t="shared" si="60"/>
        <v>0</v>
      </c>
      <c r="G273" s="168">
        <f t="shared" si="61"/>
        <v>27.700831024930746</v>
      </c>
      <c r="H273" s="168">
        <f t="shared" si="62"/>
        <v>0</v>
      </c>
      <c r="I273" s="168">
        <f t="shared" si="63"/>
        <v>30</v>
      </c>
      <c r="J273" s="739"/>
      <c r="K273" s="168">
        <f>IF(J273&lt;&gt;"",J273,IF(ISERROR(Personalplanung!AB65/Monatsplanung!$E65*Monatsplanung!$I65),0,Personalplanung!AB65/Monatsplanung!$E65*Monatsplanung!$I65))</f>
        <v>0</v>
      </c>
      <c r="L273" s="740"/>
      <c r="M273" s="739"/>
      <c r="N273" s="168">
        <f>IF(M273&lt;&gt;"",M273,IF(ISERROR(Personalplanung!AC65/Monatsplanung!$E65*Monatsplanung!$I65),0,Personalplanung!AC65/Monatsplanung!$E65*Monatsplanung!$I65))</f>
        <v>0</v>
      </c>
      <c r="O273" s="740"/>
      <c r="P273" s="739"/>
      <c r="Q273" s="168">
        <f>IF(P273&lt;&gt;"",P273,IF(ISERROR(Personalplanung!AD65/Monatsplanung!$E65*Monatsplanung!$I65),0,Personalplanung!AD65/Monatsplanung!$E65*Monatsplanung!$I65))</f>
        <v>0</v>
      </c>
      <c r="R273" s="740"/>
      <c r="S273" s="739"/>
      <c r="T273" s="168">
        <f>IF(S273&lt;&gt;"",S273,IF(ISERROR(Personalplanung!AE65/Monatsplanung!$E65*Monatsplanung!$I65),0,Personalplanung!AE65/Monatsplanung!$E65*Monatsplanung!$I65))</f>
        <v>0</v>
      </c>
      <c r="U273" s="740"/>
      <c r="V273" s="168">
        <f t="shared" si="64"/>
        <v>0</v>
      </c>
      <c r="W273" s="168">
        <f>IF(ISERROR(Personalplanung!P65/Monatsplanung!$E65*Monatsplanung!$I65),0,Personalplanung!P65/Monatsplanung!$E65*Monatsplanung!$I65)</f>
        <v>0</v>
      </c>
      <c r="X273" s="168">
        <f>IF(ISERROR(Personalplanung!Q65/Monatsplanung!$E65*Monatsplanung!$I65),0,Personalplanung!Q65/Monatsplanung!$E65*Monatsplanung!$I65)</f>
        <v>0</v>
      </c>
      <c r="Y273" s="168">
        <f>IF(ISERROR(Personalplanung!R65/T1313*Stundencontrolling!T273),0,Personalplanung!R65/T1313*Stundencontrolling!T273)</f>
        <v>0</v>
      </c>
      <c r="Z273" s="168">
        <f>IF(ISERROR(Personalplanung!S65/Monatsplanung!$E65*Monatsplanung!$I65),0,Personalplanung!S65/Monatsplanung!$E65*Monatsplanung!$I65)</f>
        <v>0</v>
      </c>
      <c r="AA273" s="80">
        <f t="shared" si="65"/>
        <v>0</v>
      </c>
      <c r="AB273" s="102">
        <f t="shared" si="66"/>
        <v>0.1</v>
      </c>
      <c r="AC273" s="103">
        <f t="shared" si="67"/>
        <v>0</v>
      </c>
      <c r="AD273" s="103">
        <f t="shared" si="68"/>
        <v>0</v>
      </c>
      <c r="AE273" s="81">
        <f t="shared" si="69"/>
        <v>0</v>
      </c>
      <c r="AF273" s="539"/>
      <c r="AG273" s="104">
        <f t="shared" si="70"/>
        <v>1</v>
      </c>
      <c r="AH273" s="7">
        <f t="shared" si="71"/>
        <v>0</v>
      </c>
      <c r="AI273" s="6">
        <f t="shared" si="72"/>
        <v>0</v>
      </c>
      <c r="AJ273" s="73">
        <f t="shared" si="73"/>
        <v>0</v>
      </c>
      <c r="AK273" s="539"/>
      <c r="AL273" s="748"/>
      <c r="AM273" s="748"/>
    </row>
    <row r="274" spans="2:39" x14ac:dyDescent="0.2">
      <c r="B274" s="101" t="str">
        <f t="shared" si="58"/>
        <v/>
      </c>
      <c r="C274" s="168">
        <f>IF(ISERROR(Personalplanung!F66/Monatsplanung!$E66*Monatsplanung!$I66),0,Personalplanung!F66/Monatsplanung!$E66*Monatsplanung!$I66)</f>
        <v>0</v>
      </c>
      <c r="D274" s="168">
        <f t="shared" si="59"/>
        <v>0</v>
      </c>
      <c r="E274" s="168">
        <f>IF(ISERROR(Personalplanung!H66/Monatsplanung!$E66*Monatsplanung!$I66),0,Personalplanung!H66/Monatsplanung!$E66*Monatsplanung!$I66)</f>
        <v>0</v>
      </c>
      <c r="F274" s="168">
        <f t="shared" si="60"/>
        <v>0</v>
      </c>
      <c r="G274" s="168">
        <f t="shared" si="61"/>
        <v>27.700831024930746</v>
      </c>
      <c r="H274" s="168">
        <f t="shared" si="62"/>
        <v>0</v>
      </c>
      <c r="I274" s="168">
        <f t="shared" si="63"/>
        <v>30</v>
      </c>
      <c r="J274" s="739"/>
      <c r="K274" s="168">
        <f>IF(J274&lt;&gt;"",J274,IF(ISERROR(Personalplanung!AB66/Monatsplanung!$E66*Monatsplanung!$I66),0,Personalplanung!AB66/Monatsplanung!$E66*Monatsplanung!$I66))</f>
        <v>0</v>
      </c>
      <c r="L274" s="740"/>
      <c r="M274" s="739"/>
      <c r="N274" s="168">
        <f>IF(M274&lt;&gt;"",M274,IF(ISERROR(Personalplanung!AC66/Monatsplanung!$E66*Monatsplanung!$I66),0,Personalplanung!AC66/Monatsplanung!$E66*Monatsplanung!$I66))</f>
        <v>0</v>
      </c>
      <c r="O274" s="740"/>
      <c r="P274" s="739"/>
      <c r="Q274" s="168">
        <f>IF(P274&lt;&gt;"",P274,IF(ISERROR(Personalplanung!AD66/Monatsplanung!$E66*Monatsplanung!$I66),0,Personalplanung!AD66/Monatsplanung!$E66*Monatsplanung!$I66))</f>
        <v>0</v>
      </c>
      <c r="R274" s="740"/>
      <c r="S274" s="739"/>
      <c r="T274" s="168">
        <f>IF(S274&lt;&gt;"",S274,IF(ISERROR(Personalplanung!AE66/Monatsplanung!$E66*Monatsplanung!$I66),0,Personalplanung!AE66/Monatsplanung!$E66*Monatsplanung!$I66))</f>
        <v>0</v>
      </c>
      <c r="U274" s="740"/>
      <c r="V274" s="168">
        <f t="shared" si="64"/>
        <v>0</v>
      </c>
      <c r="W274" s="168">
        <f>IF(ISERROR(Personalplanung!P66/Monatsplanung!$E66*Monatsplanung!$I66),0,Personalplanung!P66/Monatsplanung!$E66*Monatsplanung!$I66)</f>
        <v>0</v>
      </c>
      <c r="X274" s="168">
        <f>IF(ISERROR(Personalplanung!Q66/Monatsplanung!$E66*Monatsplanung!$I66),0,Personalplanung!Q66/Monatsplanung!$E66*Monatsplanung!$I66)</f>
        <v>0</v>
      </c>
      <c r="Y274" s="168">
        <f>IF(ISERROR(Personalplanung!R66/T1314*Stundencontrolling!T274),0,Personalplanung!R66/T1314*Stundencontrolling!T274)</f>
        <v>0</v>
      </c>
      <c r="Z274" s="168">
        <f>IF(ISERROR(Personalplanung!S66/Monatsplanung!$E66*Monatsplanung!$I66),0,Personalplanung!S66/Monatsplanung!$E66*Monatsplanung!$I66)</f>
        <v>0</v>
      </c>
      <c r="AA274" s="80">
        <f t="shared" si="65"/>
        <v>0</v>
      </c>
      <c r="AB274" s="102">
        <f t="shared" si="66"/>
        <v>0.1</v>
      </c>
      <c r="AC274" s="103">
        <f t="shared" si="67"/>
        <v>0</v>
      </c>
      <c r="AD274" s="103">
        <f t="shared" si="68"/>
        <v>0</v>
      </c>
      <c r="AE274" s="81">
        <f t="shared" si="69"/>
        <v>0</v>
      </c>
      <c r="AF274" s="539"/>
      <c r="AG274" s="104">
        <f t="shared" si="70"/>
        <v>1</v>
      </c>
      <c r="AH274" s="7">
        <f t="shared" si="71"/>
        <v>0</v>
      </c>
      <c r="AI274" s="6">
        <f t="shared" si="72"/>
        <v>0</v>
      </c>
      <c r="AJ274" s="73">
        <f t="shared" si="73"/>
        <v>0</v>
      </c>
      <c r="AK274" s="539"/>
      <c r="AL274" s="748"/>
      <c r="AM274" s="748"/>
    </row>
    <row r="275" spans="2:39" x14ac:dyDescent="0.2">
      <c r="B275" s="101" t="str">
        <f t="shared" si="58"/>
        <v/>
      </c>
      <c r="C275" s="168">
        <f>IF(ISERROR(Personalplanung!F67/Monatsplanung!$E67*Monatsplanung!$I67),0,Personalplanung!F67/Monatsplanung!$E67*Monatsplanung!$I67)</f>
        <v>0</v>
      </c>
      <c r="D275" s="168">
        <f t="shared" si="59"/>
        <v>0</v>
      </c>
      <c r="E275" s="168">
        <f>IF(ISERROR(Personalplanung!H67/Monatsplanung!$E67*Monatsplanung!$I67),0,Personalplanung!H67/Monatsplanung!$E67*Monatsplanung!$I67)</f>
        <v>0</v>
      </c>
      <c r="F275" s="168">
        <f t="shared" si="60"/>
        <v>0</v>
      </c>
      <c r="G275" s="168">
        <f t="shared" si="61"/>
        <v>27.700831024930746</v>
      </c>
      <c r="H275" s="168">
        <f t="shared" si="62"/>
        <v>0</v>
      </c>
      <c r="I275" s="168">
        <f t="shared" si="63"/>
        <v>30</v>
      </c>
      <c r="J275" s="739"/>
      <c r="K275" s="168">
        <f>IF(J275&lt;&gt;"",J275,IF(ISERROR(Personalplanung!AB67/Monatsplanung!$E67*Monatsplanung!$I67),0,Personalplanung!AB67/Monatsplanung!$E67*Monatsplanung!$I67))</f>
        <v>0</v>
      </c>
      <c r="L275" s="740"/>
      <c r="M275" s="739"/>
      <c r="N275" s="168">
        <f>IF(M275&lt;&gt;"",M275,IF(ISERROR(Personalplanung!AC67/Monatsplanung!$E67*Monatsplanung!$I67),0,Personalplanung!AC67/Monatsplanung!$E67*Monatsplanung!$I67))</f>
        <v>0</v>
      </c>
      <c r="O275" s="740"/>
      <c r="P275" s="739"/>
      <c r="Q275" s="168">
        <f>IF(P275&lt;&gt;"",P275,IF(ISERROR(Personalplanung!AD67/Monatsplanung!$E67*Monatsplanung!$I67),0,Personalplanung!AD67/Monatsplanung!$E67*Monatsplanung!$I67))</f>
        <v>0</v>
      </c>
      <c r="R275" s="740"/>
      <c r="S275" s="739"/>
      <c r="T275" s="168">
        <f>IF(S275&lt;&gt;"",S275,IF(ISERROR(Personalplanung!AE67/Monatsplanung!$E67*Monatsplanung!$I67),0,Personalplanung!AE67/Monatsplanung!$E67*Monatsplanung!$I67))</f>
        <v>0</v>
      </c>
      <c r="U275" s="740"/>
      <c r="V275" s="168">
        <f t="shared" si="64"/>
        <v>0</v>
      </c>
      <c r="W275" s="168">
        <f>IF(ISERROR(Personalplanung!P67/Monatsplanung!$E67*Monatsplanung!$I67),0,Personalplanung!P67/Monatsplanung!$E67*Monatsplanung!$I67)</f>
        <v>0</v>
      </c>
      <c r="X275" s="168">
        <f>IF(ISERROR(Personalplanung!Q67/Monatsplanung!$E67*Monatsplanung!$I67),0,Personalplanung!Q67/Monatsplanung!$E67*Monatsplanung!$I67)</f>
        <v>0</v>
      </c>
      <c r="Y275" s="168">
        <f>IF(ISERROR(Personalplanung!R67/T1315*Stundencontrolling!T275),0,Personalplanung!R67/T1315*Stundencontrolling!T275)</f>
        <v>0</v>
      </c>
      <c r="Z275" s="168">
        <f>IF(ISERROR(Personalplanung!S67/Monatsplanung!$E67*Monatsplanung!$I67),0,Personalplanung!S67/Monatsplanung!$E67*Monatsplanung!$I67)</f>
        <v>0</v>
      </c>
      <c r="AA275" s="80">
        <f t="shared" si="65"/>
        <v>0</v>
      </c>
      <c r="AB275" s="102">
        <f t="shared" si="66"/>
        <v>0.1</v>
      </c>
      <c r="AC275" s="103">
        <f t="shared" si="67"/>
        <v>0</v>
      </c>
      <c r="AD275" s="103">
        <f t="shared" si="68"/>
        <v>0</v>
      </c>
      <c r="AE275" s="81">
        <f t="shared" si="69"/>
        <v>0</v>
      </c>
      <c r="AF275" s="539"/>
      <c r="AG275" s="104">
        <f t="shared" si="70"/>
        <v>1</v>
      </c>
      <c r="AH275" s="7">
        <f t="shared" si="71"/>
        <v>0</v>
      </c>
      <c r="AI275" s="6">
        <f t="shared" si="72"/>
        <v>0</v>
      </c>
      <c r="AJ275" s="73">
        <f t="shared" si="73"/>
        <v>0</v>
      </c>
      <c r="AK275" s="539"/>
      <c r="AL275" s="748"/>
      <c r="AM275" s="748"/>
    </row>
    <row r="276" spans="2:39" x14ac:dyDescent="0.2">
      <c r="B276" s="101" t="str">
        <f t="shared" si="58"/>
        <v/>
      </c>
      <c r="C276" s="168">
        <f>IF(ISERROR(Personalplanung!F68/Monatsplanung!$E68*Monatsplanung!$I68),0,Personalplanung!F68/Monatsplanung!$E68*Monatsplanung!$I68)</f>
        <v>0</v>
      </c>
      <c r="D276" s="168">
        <f t="shared" si="59"/>
        <v>0</v>
      </c>
      <c r="E276" s="168">
        <f>IF(ISERROR(Personalplanung!H68/Monatsplanung!$E68*Monatsplanung!$I68),0,Personalplanung!H68/Monatsplanung!$E68*Monatsplanung!$I68)</f>
        <v>0</v>
      </c>
      <c r="F276" s="168">
        <f t="shared" si="60"/>
        <v>0</v>
      </c>
      <c r="G276" s="168">
        <f t="shared" si="61"/>
        <v>27.700831024930746</v>
      </c>
      <c r="H276" s="168">
        <f t="shared" si="62"/>
        <v>0</v>
      </c>
      <c r="I276" s="168">
        <f t="shared" si="63"/>
        <v>30</v>
      </c>
      <c r="J276" s="739"/>
      <c r="K276" s="168">
        <f>IF(J276&lt;&gt;"",J276,IF(ISERROR(Personalplanung!AB68/Monatsplanung!$E68*Monatsplanung!$I68),0,Personalplanung!AB68/Monatsplanung!$E68*Monatsplanung!$I68))</f>
        <v>0</v>
      </c>
      <c r="L276" s="740"/>
      <c r="M276" s="739"/>
      <c r="N276" s="168">
        <f>IF(M276&lt;&gt;"",M276,IF(ISERROR(Personalplanung!AC68/Monatsplanung!$E68*Monatsplanung!$I68),0,Personalplanung!AC68/Monatsplanung!$E68*Monatsplanung!$I68))</f>
        <v>0</v>
      </c>
      <c r="O276" s="740"/>
      <c r="P276" s="739"/>
      <c r="Q276" s="168">
        <f>IF(P276&lt;&gt;"",P276,IF(ISERROR(Personalplanung!AD68/Monatsplanung!$E68*Monatsplanung!$I68),0,Personalplanung!AD68/Monatsplanung!$E68*Monatsplanung!$I68))</f>
        <v>0</v>
      </c>
      <c r="R276" s="740"/>
      <c r="S276" s="739"/>
      <c r="T276" s="168">
        <f>IF(S276&lt;&gt;"",S276,IF(ISERROR(Personalplanung!AE68/Monatsplanung!$E68*Monatsplanung!$I68),0,Personalplanung!AE68/Monatsplanung!$E68*Monatsplanung!$I68))</f>
        <v>0</v>
      </c>
      <c r="U276" s="740"/>
      <c r="V276" s="168">
        <f t="shared" si="64"/>
        <v>0</v>
      </c>
      <c r="W276" s="168">
        <f>IF(ISERROR(Personalplanung!P68/Monatsplanung!$E68*Monatsplanung!$I68),0,Personalplanung!P68/Monatsplanung!$E68*Monatsplanung!$I68)</f>
        <v>0</v>
      </c>
      <c r="X276" s="168">
        <f>IF(ISERROR(Personalplanung!Q68/Monatsplanung!$E68*Monatsplanung!$I68),0,Personalplanung!Q68/Monatsplanung!$E68*Monatsplanung!$I68)</f>
        <v>0</v>
      </c>
      <c r="Y276" s="168">
        <f>IF(ISERROR(Personalplanung!R68/T1316*Stundencontrolling!T276),0,Personalplanung!R68/T1316*Stundencontrolling!T276)</f>
        <v>0</v>
      </c>
      <c r="Z276" s="168">
        <f>IF(ISERROR(Personalplanung!S68/Monatsplanung!$E68*Monatsplanung!$I68),0,Personalplanung!S68/Monatsplanung!$E68*Monatsplanung!$I68)</f>
        <v>0</v>
      </c>
      <c r="AA276" s="80">
        <f t="shared" si="65"/>
        <v>0</v>
      </c>
      <c r="AB276" s="102">
        <f t="shared" si="66"/>
        <v>0.1</v>
      </c>
      <c r="AC276" s="103">
        <f t="shared" si="67"/>
        <v>0</v>
      </c>
      <c r="AD276" s="103">
        <f t="shared" si="68"/>
        <v>0</v>
      </c>
      <c r="AE276" s="81">
        <f t="shared" si="69"/>
        <v>0</v>
      </c>
      <c r="AF276" s="539"/>
      <c r="AG276" s="104">
        <f t="shared" si="70"/>
        <v>1</v>
      </c>
      <c r="AH276" s="7">
        <f t="shared" si="71"/>
        <v>0</v>
      </c>
      <c r="AI276" s="6">
        <f t="shared" si="72"/>
        <v>0</v>
      </c>
      <c r="AJ276" s="73">
        <f t="shared" si="73"/>
        <v>0</v>
      </c>
      <c r="AK276" s="539"/>
      <c r="AL276" s="748"/>
      <c r="AM276" s="748"/>
    </row>
    <row r="277" spans="2:39" x14ac:dyDescent="0.2">
      <c r="B277" s="101" t="str">
        <f t="shared" si="58"/>
        <v/>
      </c>
      <c r="C277" s="168">
        <f>IF(ISERROR(Personalplanung!F69/Monatsplanung!$E69*Monatsplanung!$I69),0,Personalplanung!F69/Monatsplanung!$E69*Monatsplanung!$I69)</f>
        <v>0</v>
      </c>
      <c r="D277" s="168">
        <f t="shared" si="59"/>
        <v>0</v>
      </c>
      <c r="E277" s="168">
        <f>IF(ISERROR(Personalplanung!H69/Monatsplanung!$E69*Monatsplanung!$I69),0,Personalplanung!H69/Monatsplanung!$E69*Monatsplanung!$I69)</f>
        <v>0</v>
      </c>
      <c r="F277" s="168">
        <f t="shared" si="60"/>
        <v>0</v>
      </c>
      <c r="G277" s="168">
        <f t="shared" si="61"/>
        <v>27.700831024930746</v>
      </c>
      <c r="H277" s="168">
        <f t="shared" si="62"/>
        <v>0</v>
      </c>
      <c r="I277" s="168">
        <f t="shared" si="63"/>
        <v>30</v>
      </c>
      <c r="J277" s="739"/>
      <c r="K277" s="168">
        <f>IF(J277&lt;&gt;"",J277,IF(ISERROR(Personalplanung!AB69/Monatsplanung!$E69*Monatsplanung!$I69),0,Personalplanung!AB69/Monatsplanung!$E69*Monatsplanung!$I69))</f>
        <v>0</v>
      </c>
      <c r="L277" s="740"/>
      <c r="M277" s="739"/>
      <c r="N277" s="168">
        <f>IF(M277&lt;&gt;"",M277,IF(ISERROR(Personalplanung!AC69/Monatsplanung!$E69*Monatsplanung!$I69),0,Personalplanung!AC69/Monatsplanung!$E69*Monatsplanung!$I69))</f>
        <v>0</v>
      </c>
      <c r="O277" s="740"/>
      <c r="P277" s="739"/>
      <c r="Q277" s="168">
        <f>IF(P277&lt;&gt;"",P277,IF(ISERROR(Personalplanung!AD69/Monatsplanung!$E69*Monatsplanung!$I69),0,Personalplanung!AD69/Monatsplanung!$E69*Monatsplanung!$I69))</f>
        <v>0</v>
      </c>
      <c r="R277" s="740"/>
      <c r="S277" s="739"/>
      <c r="T277" s="168">
        <f>IF(S277&lt;&gt;"",S277,IF(ISERROR(Personalplanung!AE69/Monatsplanung!$E69*Monatsplanung!$I69),0,Personalplanung!AE69/Monatsplanung!$E69*Monatsplanung!$I69))</f>
        <v>0</v>
      </c>
      <c r="U277" s="740"/>
      <c r="V277" s="168">
        <f t="shared" si="64"/>
        <v>0</v>
      </c>
      <c r="W277" s="168">
        <f>IF(ISERROR(Personalplanung!P69/Monatsplanung!$E69*Monatsplanung!$I69),0,Personalplanung!P69/Monatsplanung!$E69*Monatsplanung!$I69)</f>
        <v>0</v>
      </c>
      <c r="X277" s="168">
        <f>IF(ISERROR(Personalplanung!Q69/Monatsplanung!$E69*Monatsplanung!$I69),0,Personalplanung!Q69/Monatsplanung!$E69*Monatsplanung!$I69)</f>
        <v>0</v>
      </c>
      <c r="Y277" s="168">
        <f>IF(ISERROR(Personalplanung!R69/T1317*Stundencontrolling!T277),0,Personalplanung!R69/T1317*Stundencontrolling!T277)</f>
        <v>0</v>
      </c>
      <c r="Z277" s="168">
        <f>IF(ISERROR(Personalplanung!S69/Monatsplanung!$E69*Monatsplanung!$I69),0,Personalplanung!S69/Monatsplanung!$E69*Monatsplanung!$I69)</f>
        <v>0</v>
      </c>
      <c r="AA277" s="80">
        <f t="shared" si="65"/>
        <v>0</v>
      </c>
      <c r="AB277" s="102">
        <f t="shared" si="66"/>
        <v>0.1</v>
      </c>
      <c r="AC277" s="103">
        <f t="shared" si="67"/>
        <v>0</v>
      </c>
      <c r="AD277" s="103">
        <f t="shared" si="68"/>
        <v>0</v>
      </c>
      <c r="AE277" s="81">
        <f t="shared" si="69"/>
        <v>0</v>
      </c>
      <c r="AF277" s="539"/>
      <c r="AG277" s="104">
        <f t="shared" si="70"/>
        <v>1</v>
      </c>
      <c r="AH277" s="7">
        <f t="shared" si="71"/>
        <v>0</v>
      </c>
      <c r="AI277" s="6">
        <f t="shared" si="72"/>
        <v>0</v>
      </c>
      <c r="AJ277" s="73">
        <f t="shared" si="73"/>
        <v>0</v>
      </c>
      <c r="AK277" s="539"/>
      <c r="AL277" s="748"/>
      <c r="AM277" s="748"/>
    </row>
    <row r="278" spans="2:39" x14ac:dyDescent="0.2">
      <c r="B278" s="101" t="str">
        <f t="shared" si="58"/>
        <v/>
      </c>
      <c r="C278" s="168">
        <f>IF(ISERROR(Personalplanung!F70/Monatsplanung!$E70*Monatsplanung!$I70),0,Personalplanung!F70/Monatsplanung!$E70*Monatsplanung!$I70)</f>
        <v>0</v>
      </c>
      <c r="D278" s="168">
        <f t="shared" si="59"/>
        <v>0</v>
      </c>
      <c r="E278" s="168">
        <f>IF(ISERROR(Personalplanung!H70/Monatsplanung!$E70*Monatsplanung!$I70),0,Personalplanung!H70/Monatsplanung!$E70*Monatsplanung!$I70)</f>
        <v>0</v>
      </c>
      <c r="F278" s="168">
        <f t="shared" si="60"/>
        <v>0</v>
      </c>
      <c r="G278" s="168">
        <f t="shared" si="61"/>
        <v>27.700831024930746</v>
      </c>
      <c r="H278" s="168">
        <f t="shared" si="62"/>
        <v>0</v>
      </c>
      <c r="I278" s="168">
        <f t="shared" si="63"/>
        <v>30</v>
      </c>
      <c r="J278" s="739"/>
      <c r="K278" s="168">
        <f>IF(J278&lt;&gt;"",J278,IF(ISERROR(Personalplanung!AB70/Monatsplanung!$E70*Monatsplanung!$I70),0,Personalplanung!AB70/Monatsplanung!$E70*Monatsplanung!$I70))</f>
        <v>0</v>
      </c>
      <c r="L278" s="740"/>
      <c r="M278" s="739"/>
      <c r="N278" s="168">
        <f>IF(M278&lt;&gt;"",M278,IF(ISERROR(Personalplanung!AC70/Monatsplanung!$E70*Monatsplanung!$I70),0,Personalplanung!AC70/Monatsplanung!$E70*Monatsplanung!$I70))</f>
        <v>0</v>
      </c>
      <c r="O278" s="740"/>
      <c r="P278" s="739"/>
      <c r="Q278" s="168">
        <f>IF(P278&lt;&gt;"",P278,IF(ISERROR(Personalplanung!AD70/Monatsplanung!$E70*Monatsplanung!$I70),0,Personalplanung!AD70/Monatsplanung!$E70*Monatsplanung!$I70))</f>
        <v>0</v>
      </c>
      <c r="R278" s="740"/>
      <c r="S278" s="739"/>
      <c r="T278" s="168">
        <f>IF(S278&lt;&gt;"",S278,IF(ISERROR(Personalplanung!AE70/Monatsplanung!$E70*Monatsplanung!$I70),0,Personalplanung!AE70/Monatsplanung!$E70*Monatsplanung!$I70))</f>
        <v>0</v>
      </c>
      <c r="U278" s="740"/>
      <c r="V278" s="168">
        <f t="shared" si="64"/>
        <v>0</v>
      </c>
      <c r="W278" s="168">
        <f>IF(ISERROR(Personalplanung!P70/Monatsplanung!$E70*Monatsplanung!$I70),0,Personalplanung!P70/Monatsplanung!$E70*Monatsplanung!$I70)</f>
        <v>0</v>
      </c>
      <c r="X278" s="168">
        <f>IF(ISERROR(Personalplanung!Q70/Monatsplanung!$E70*Monatsplanung!$I70),0,Personalplanung!Q70/Monatsplanung!$E70*Monatsplanung!$I70)</f>
        <v>0</v>
      </c>
      <c r="Y278" s="168">
        <f>IF(ISERROR(Personalplanung!R70/T1318*Stundencontrolling!T278),0,Personalplanung!R70/T1318*Stundencontrolling!T278)</f>
        <v>0</v>
      </c>
      <c r="Z278" s="168">
        <f>IF(ISERROR(Personalplanung!S70/Monatsplanung!$E70*Monatsplanung!$I70),0,Personalplanung!S70/Monatsplanung!$E70*Monatsplanung!$I70)</f>
        <v>0</v>
      </c>
      <c r="AA278" s="80">
        <f t="shared" si="65"/>
        <v>0</v>
      </c>
      <c r="AB278" s="102">
        <f t="shared" si="66"/>
        <v>0.1</v>
      </c>
      <c r="AC278" s="103">
        <f t="shared" si="67"/>
        <v>0</v>
      </c>
      <c r="AD278" s="103">
        <f t="shared" si="68"/>
        <v>0</v>
      </c>
      <c r="AE278" s="81">
        <f t="shared" si="69"/>
        <v>0</v>
      </c>
      <c r="AF278" s="539"/>
      <c r="AG278" s="104">
        <f t="shared" si="70"/>
        <v>1</v>
      </c>
      <c r="AH278" s="7">
        <f t="shared" si="71"/>
        <v>0</v>
      </c>
      <c r="AI278" s="6">
        <f t="shared" si="72"/>
        <v>0</v>
      </c>
      <c r="AJ278" s="73">
        <f t="shared" si="73"/>
        <v>0</v>
      </c>
      <c r="AK278" s="539"/>
      <c r="AL278" s="748"/>
      <c r="AM278" s="748"/>
    </row>
    <row r="279" spans="2:39" x14ac:dyDescent="0.2">
      <c r="B279" s="101" t="str">
        <f t="shared" ref="B279:B314" si="74">$B175</f>
        <v/>
      </c>
      <c r="C279" s="168">
        <f>IF(ISERROR(Personalplanung!F71/Monatsplanung!$E71*Monatsplanung!$I71),0,Personalplanung!F71/Monatsplanung!$E71*Monatsplanung!$I71)</f>
        <v>0</v>
      </c>
      <c r="D279" s="168">
        <f t="shared" ref="D279:D314" si="75">$D175</f>
        <v>0</v>
      </c>
      <c r="E279" s="168">
        <f>IF(ISERROR(Personalplanung!H71/Monatsplanung!$E71*Monatsplanung!$I71),0,Personalplanung!H71/Monatsplanung!$E71*Monatsplanung!$I71)</f>
        <v>0</v>
      </c>
      <c r="F279" s="168">
        <f t="shared" ref="F279:F314" si="76">+C279+E279</f>
        <v>0</v>
      </c>
      <c r="G279" s="168">
        <f t="shared" ref="G279:G314" si="77">$G$6</f>
        <v>27.700831024930746</v>
      </c>
      <c r="H279" s="168">
        <f t="shared" ref="H279:H314" si="78">+F279*G279</f>
        <v>0</v>
      </c>
      <c r="I279" s="168">
        <f t="shared" ref="I279:I314" si="79">$I$6</f>
        <v>30</v>
      </c>
      <c r="J279" s="739"/>
      <c r="K279" s="168">
        <f>IF(J279&lt;&gt;"",J279,IF(ISERROR(Personalplanung!AB71/Monatsplanung!$E71*Monatsplanung!$I71),0,Personalplanung!AB71/Monatsplanung!$E71*Monatsplanung!$I71))</f>
        <v>0</v>
      </c>
      <c r="L279" s="740"/>
      <c r="M279" s="739"/>
      <c r="N279" s="168">
        <f>IF(M279&lt;&gt;"",M279,IF(ISERROR(Personalplanung!AC71/Monatsplanung!$E71*Monatsplanung!$I71),0,Personalplanung!AC71/Monatsplanung!$E71*Monatsplanung!$I71))</f>
        <v>0</v>
      </c>
      <c r="O279" s="740"/>
      <c r="P279" s="739"/>
      <c r="Q279" s="168">
        <f>IF(P279&lt;&gt;"",P279,IF(ISERROR(Personalplanung!AD71/Monatsplanung!$E71*Monatsplanung!$I71),0,Personalplanung!AD71/Monatsplanung!$E71*Monatsplanung!$I71))</f>
        <v>0</v>
      </c>
      <c r="R279" s="740"/>
      <c r="S279" s="739"/>
      <c r="T279" s="168">
        <f>IF(S279&lt;&gt;"",S279,IF(ISERROR(Personalplanung!AE71/Monatsplanung!$E71*Monatsplanung!$I71),0,Personalplanung!AE71/Monatsplanung!$E71*Monatsplanung!$I71))</f>
        <v>0</v>
      </c>
      <c r="U279" s="740"/>
      <c r="V279" s="168">
        <f t="shared" ref="V279:V314" si="80">K279+N279+Q279+T279</f>
        <v>0</v>
      </c>
      <c r="W279" s="168">
        <f>IF(ISERROR(Personalplanung!P71/Monatsplanung!$E71*Monatsplanung!$I71),0,Personalplanung!P71/Monatsplanung!$E71*Monatsplanung!$I71)</f>
        <v>0</v>
      </c>
      <c r="X279" s="168">
        <f>IF(ISERROR(Personalplanung!Q71/Monatsplanung!$E71*Monatsplanung!$I71),0,Personalplanung!Q71/Monatsplanung!$E71*Monatsplanung!$I71)</f>
        <v>0</v>
      </c>
      <c r="Y279" s="168">
        <f>IF(ISERROR(Personalplanung!R71/T1319*Stundencontrolling!T279),0,Personalplanung!R71/T1319*Stundencontrolling!T279)</f>
        <v>0</v>
      </c>
      <c r="Z279" s="168">
        <f>IF(ISERROR(Personalplanung!S71/Monatsplanung!$E71*Monatsplanung!$I71),0,Personalplanung!S71/Monatsplanung!$E71*Monatsplanung!$I71)</f>
        <v>0</v>
      </c>
      <c r="AA279" s="80">
        <f t="shared" ref="AA279:AA314" si="81">+F279*G279*(1+I279)+SUM(W279:Z279)</f>
        <v>0</v>
      </c>
      <c r="AB279" s="102">
        <f t="shared" ref="AB279:AB314" si="82">$AB$6</f>
        <v>0.1</v>
      </c>
      <c r="AC279" s="103">
        <f t="shared" ref="AC279:AC314" si="83">AB279*AA279</f>
        <v>0</v>
      </c>
      <c r="AD279" s="103">
        <f t="shared" ref="AD279:AD314" si="84">AA279-AC279</f>
        <v>0</v>
      </c>
      <c r="AE279" s="81">
        <f t="shared" ref="AE279:AE314" si="85">(F279-(V279*$D279))*AB279</f>
        <v>0</v>
      </c>
      <c r="AF279" s="539"/>
      <c r="AG279" s="104">
        <f t="shared" ref="AG279:AG314" si="86">$AG$6</f>
        <v>1</v>
      </c>
      <c r="AH279" s="7">
        <f t="shared" ref="AH279:AH314" si="87">IF(ISERROR(AK279/AF279),0,AK279/AF279)</f>
        <v>0</v>
      </c>
      <c r="AI279" s="6">
        <f t="shared" ref="AI279:AI314" si="88">AE279*AG279</f>
        <v>0</v>
      </c>
      <c r="AJ279" s="73">
        <f t="shared" ref="AJ279:AJ314" si="89">IF(ISERROR(+AC279/AI279),0,+AC279/AI279)</f>
        <v>0</v>
      </c>
      <c r="AK279" s="539"/>
      <c r="AL279" s="748"/>
      <c r="AM279" s="748"/>
    </row>
    <row r="280" spans="2:39" x14ac:dyDescent="0.2">
      <c r="B280" s="101" t="str">
        <f t="shared" si="74"/>
        <v/>
      </c>
      <c r="C280" s="168">
        <f>IF(ISERROR(Personalplanung!F72/Monatsplanung!$E72*Monatsplanung!$I72),0,Personalplanung!F72/Monatsplanung!$E72*Monatsplanung!$I72)</f>
        <v>0</v>
      </c>
      <c r="D280" s="168">
        <f t="shared" si="75"/>
        <v>0</v>
      </c>
      <c r="E280" s="168">
        <f>IF(ISERROR(Personalplanung!H72/Monatsplanung!$E72*Monatsplanung!$I72),0,Personalplanung!H72/Monatsplanung!$E72*Monatsplanung!$I72)</f>
        <v>0</v>
      </c>
      <c r="F280" s="168">
        <f t="shared" si="76"/>
        <v>0</v>
      </c>
      <c r="G280" s="168">
        <f t="shared" si="77"/>
        <v>27.700831024930746</v>
      </c>
      <c r="H280" s="168">
        <f t="shared" si="78"/>
        <v>0</v>
      </c>
      <c r="I280" s="168">
        <f t="shared" si="79"/>
        <v>30</v>
      </c>
      <c r="J280" s="739"/>
      <c r="K280" s="168">
        <f>IF(J280&lt;&gt;"",J280,IF(ISERROR(Personalplanung!AB72/Monatsplanung!$E72*Monatsplanung!$I72),0,Personalplanung!AB72/Monatsplanung!$E72*Monatsplanung!$I72))</f>
        <v>0</v>
      </c>
      <c r="L280" s="740"/>
      <c r="M280" s="739"/>
      <c r="N280" s="168">
        <f>IF(M280&lt;&gt;"",M280,IF(ISERROR(Personalplanung!AC72/Monatsplanung!$E72*Monatsplanung!$I72),0,Personalplanung!AC72/Monatsplanung!$E72*Monatsplanung!$I72))</f>
        <v>0</v>
      </c>
      <c r="O280" s="740"/>
      <c r="P280" s="739"/>
      <c r="Q280" s="168">
        <f>IF(P280&lt;&gt;"",P280,IF(ISERROR(Personalplanung!AD72/Monatsplanung!$E72*Monatsplanung!$I72),0,Personalplanung!AD72/Monatsplanung!$E72*Monatsplanung!$I72))</f>
        <v>0</v>
      </c>
      <c r="R280" s="740"/>
      <c r="S280" s="739"/>
      <c r="T280" s="168">
        <f>IF(S280&lt;&gt;"",S280,IF(ISERROR(Personalplanung!AE72/Monatsplanung!$E72*Monatsplanung!$I72),0,Personalplanung!AE72/Monatsplanung!$E72*Monatsplanung!$I72))</f>
        <v>0</v>
      </c>
      <c r="U280" s="740"/>
      <c r="V280" s="168">
        <f t="shared" si="80"/>
        <v>0</v>
      </c>
      <c r="W280" s="168">
        <f>IF(ISERROR(Personalplanung!P72/Monatsplanung!$E72*Monatsplanung!$I72),0,Personalplanung!P72/Monatsplanung!$E72*Monatsplanung!$I72)</f>
        <v>0</v>
      </c>
      <c r="X280" s="168">
        <f>IF(ISERROR(Personalplanung!Q72/Monatsplanung!$E72*Monatsplanung!$I72),0,Personalplanung!Q72/Monatsplanung!$E72*Monatsplanung!$I72)</f>
        <v>0</v>
      </c>
      <c r="Y280" s="168">
        <f>IF(ISERROR(Personalplanung!R72/T1320*Stundencontrolling!T280),0,Personalplanung!R72/T1320*Stundencontrolling!T280)</f>
        <v>0</v>
      </c>
      <c r="Z280" s="168">
        <f>IF(ISERROR(Personalplanung!S72/Monatsplanung!$E72*Monatsplanung!$I72),0,Personalplanung!S72/Monatsplanung!$E72*Monatsplanung!$I72)</f>
        <v>0</v>
      </c>
      <c r="AA280" s="80">
        <f t="shared" si="81"/>
        <v>0</v>
      </c>
      <c r="AB280" s="102">
        <f t="shared" si="82"/>
        <v>0.1</v>
      </c>
      <c r="AC280" s="103">
        <f t="shared" si="83"/>
        <v>0</v>
      </c>
      <c r="AD280" s="103">
        <f t="shared" si="84"/>
        <v>0</v>
      </c>
      <c r="AE280" s="81">
        <f t="shared" si="85"/>
        <v>0</v>
      </c>
      <c r="AF280" s="539"/>
      <c r="AG280" s="104">
        <f t="shared" si="86"/>
        <v>1</v>
      </c>
      <c r="AH280" s="7">
        <f t="shared" si="87"/>
        <v>0</v>
      </c>
      <c r="AI280" s="6">
        <f t="shared" si="88"/>
        <v>0</v>
      </c>
      <c r="AJ280" s="73">
        <f t="shared" si="89"/>
        <v>0</v>
      </c>
      <c r="AK280" s="539"/>
      <c r="AL280" s="748"/>
      <c r="AM280" s="748"/>
    </row>
    <row r="281" spans="2:39" x14ac:dyDescent="0.2">
      <c r="B281" s="101" t="str">
        <f t="shared" si="74"/>
        <v/>
      </c>
      <c r="C281" s="168">
        <f>IF(ISERROR(Personalplanung!F73/Monatsplanung!$E73*Monatsplanung!$I73),0,Personalplanung!F73/Monatsplanung!$E73*Monatsplanung!$I73)</f>
        <v>0</v>
      </c>
      <c r="D281" s="168">
        <f t="shared" si="75"/>
        <v>0</v>
      </c>
      <c r="E281" s="168">
        <f>IF(ISERROR(Personalplanung!H73/Monatsplanung!$E73*Monatsplanung!$I73),0,Personalplanung!H73/Monatsplanung!$E73*Monatsplanung!$I73)</f>
        <v>0</v>
      </c>
      <c r="F281" s="168">
        <f t="shared" si="76"/>
        <v>0</v>
      </c>
      <c r="G281" s="168">
        <f t="shared" si="77"/>
        <v>27.700831024930746</v>
      </c>
      <c r="H281" s="168">
        <f t="shared" si="78"/>
        <v>0</v>
      </c>
      <c r="I281" s="168">
        <f t="shared" si="79"/>
        <v>30</v>
      </c>
      <c r="J281" s="739"/>
      <c r="K281" s="168">
        <f>IF(J281&lt;&gt;"",J281,IF(ISERROR(Personalplanung!AB73/Monatsplanung!$E73*Monatsplanung!$I73),0,Personalplanung!AB73/Monatsplanung!$E73*Monatsplanung!$I73))</f>
        <v>0</v>
      </c>
      <c r="L281" s="740"/>
      <c r="M281" s="739"/>
      <c r="N281" s="168">
        <f>IF(M281&lt;&gt;"",M281,IF(ISERROR(Personalplanung!AC73/Monatsplanung!$E73*Monatsplanung!$I73),0,Personalplanung!AC73/Monatsplanung!$E73*Monatsplanung!$I73))</f>
        <v>0</v>
      </c>
      <c r="O281" s="740"/>
      <c r="P281" s="739"/>
      <c r="Q281" s="168">
        <f>IF(P281&lt;&gt;"",P281,IF(ISERROR(Personalplanung!AD73/Monatsplanung!$E73*Monatsplanung!$I73),0,Personalplanung!AD73/Monatsplanung!$E73*Monatsplanung!$I73))</f>
        <v>0</v>
      </c>
      <c r="R281" s="740"/>
      <c r="S281" s="739"/>
      <c r="T281" s="168">
        <f>IF(S281&lt;&gt;"",S281,IF(ISERROR(Personalplanung!AE73/Monatsplanung!$E73*Monatsplanung!$I73),0,Personalplanung!AE73/Monatsplanung!$E73*Monatsplanung!$I73))</f>
        <v>0</v>
      </c>
      <c r="U281" s="740"/>
      <c r="V281" s="168">
        <f t="shared" si="80"/>
        <v>0</v>
      </c>
      <c r="W281" s="168">
        <f>IF(ISERROR(Personalplanung!P73/Monatsplanung!$E73*Monatsplanung!$I73),0,Personalplanung!P73/Monatsplanung!$E73*Monatsplanung!$I73)</f>
        <v>0</v>
      </c>
      <c r="X281" s="168">
        <f>IF(ISERROR(Personalplanung!Q73/Monatsplanung!$E73*Monatsplanung!$I73),0,Personalplanung!Q73/Monatsplanung!$E73*Monatsplanung!$I73)</f>
        <v>0</v>
      </c>
      <c r="Y281" s="168">
        <f>IF(ISERROR(Personalplanung!R73/T1321*Stundencontrolling!T281),0,Personalplanung!R73/T1321*Stundencontrolling!T281)</f>
        <v>0</v>
      </c>
      <c r="Z281" s="168">
        <f>IF(ISERROR(Personalplanung!S73/Monatsplanung!$E73*Monatsplanung!$I73),0,Personalplanung!S73/Monatsplanung!$E73*Monatsplanung!$I73)</f>
        <v>0</v>
      </c>
      <c r="AA281" s="80">
        <f t="shared" si="81"/>
        <v>0</v>
      </c>
      <c r="AB281" s="102">
        <f t="shared" si="82"/>
        <v>0.1</v>
      </c>
      <c r="AC281" s="103">
        <f t="shared" si="83"/>
        <v>0</v>
      </c>
      <c r="AD281" s="103">
        <f t="shared" si="84"/>
        <v>0</v>
      </c>
      <c r="AE281" s="81">
        <f t="shared" si="85"/>
        <v>0</v>
      </c>
      <c r="AF281" s="539"/>
      <c r="AG281" s="104">
        <f t="shared" si="86"/>
        <v>1</v>
      </c>
      <c r="AH281" s="7">
        <f t="shared" si="87"/>
        <v>0</v>
      </c>
      <c r="AI281" s="6">
        <f t="shared" si="88"/>
        <v>0</v>
      </c>
      <c r="AJ281" s="73">
        <f t="shared" si="89"/>
        <v>0</v>
      </c>
      <c r="AK281" s="539"/>
      <c r="AL281" s="748"/>
      <c r="AM281" s="748"/>
    </row>
    <row r="282" spans="2:39" x14ac:dyDescent="0.2">
      <c r="B282" s="101" t="str">
        <f t="shared" si="74"/>
        <v/>
      </c>
      <c r="C282" s="168">
        <f>IF(ISERROR(Personalplanung!F74/Monatsplanung!$E74*Monatsplanung!$I74),0,Personalplanung!F74/Monatsplanung!$E74*Monatsplanung!$I74)</f>
        <v>0</v>
      </c>
      <c r="D282" s="168">
        <f t="shared" si="75"/>
        <v>0</v>
      </c>
      <c r="E282" s="168">
        <f>IF(ISERROR(Personalplanung!H74/Monatsplanung!$E74*Monatsplanung!$I74),0,Personalplanung!H74/Monatsplanung!$E74*Monatsplanung!$I74)</f>
        <v>0</v>
      </c>
      <c r="F282" s="168">
        <f t="shared" si="76"/>
        <v>0</v>
      </c>
      <c r="G282" s="168">
        <f t="shared" si="77"/>
        <v>27.700831024930746</v>
      </c>
      <c r="H282" s="168">
        <f t="shared" si="78"/>
        <v>0</v>
      </c>
      <c r="I282" s="168">
        <f t="shared" si="79"/>
        <v>30</v>
      </c>
      <c r="J282" s="739"/>
      <c r="K282" s="168">
        <f>IF(J282&lt;&gt;"",J282,IF(ISERROR(Personalplanung!AB74/Monatsplanung!$E74*Monatsplanung!$I74),0,Personalplanung!AB74/Monatsplanung!$E74*Monatsplanung!$I74))</f>
        <v>0</v>
      </c>
      <c r="L282" s="740"/>
      <c r="M282" s="739"/>
      <c r="N282" s="168">
        <f>IF(M282&lt;&gt;"",M282,IF(ISERROR(Personalplanung!AC74/Monatsplanung!$E74*Monatsplanung!$I74),0,Personalplanung!AC74/Monatsplanung!$E74*Monatsplanung!$I74))</f>
        <v>0</v>
      </c>
      <c r="O282" s="740"/>
      <c r="P282" s="739"/>
      <c r="Q282" s="168">
        <f>IF(P282&lt;&gt;"",P282,IF(ISERROR(Personalplanung!AD74/Monatsplanung!$E74*Monatsplanung!$I74),0,Personalplanung!AD74/Monatsplanung!$E74*Monatsplanung!$I74))</f>
        <v>0</v>
      </c>
      <c r="R282" s="740"/>
      <c r="S282" s="739"/>
      <c r="T282" s="168">
        <f>IF(S282&lt;&gt;"",S282,IF(ISERROR(Personalplanung!AE74/Monatsplanung!$E74*Monatsplanung!$I74),0,Personalplanung!AE74/Monatsplanung!$E74*Monatsplanung!$I74))</f>
        <v>0</v>
      </c>
      <c r="U282" s="740"/>
      <c r="V282" s="168">
        <f t="shared" si="80"/>
        <v>0</v>
      </c>
      <c r="W282" s="168">
        <f>IF(ISERROR(Personalplanung!P74/Monatsplanung!$E74*Monatsplanung!$I74),0,Personalplanung!P74/Monatsplanung!$E74*Monatsplanung!$I74)</f>
        <v>0</v>
      </c>
      <c r="X282" s="168">
        <f>IF(ISERROR(Personalplanung!Q74/Monatsplanung!$E74*Monatsplanung!$I74),0,Personalplanung!Q74/Monatsplanung!$E74*Monatsplanung!$I74)</f>
        <v>0</v>
      </c>
      <c r="Y282" s="168">
        <f>IF(ISERROR(Personalplanung!R74/T1322*Stundencontrolling!T282),0,Personalplanung!R74/T1322*Stundencontrolling!T282)</f>
        <v>0</v>
      </c>
      <c r="Z282" s="168">
        <f>IF(ISERROR(Personalplanung!S74/Monatsplanung!$E74*Monatsplanung!$I74),0,Personalplanung!S74/Monatsplanung!$E74*Monatsplanung!$I74)</f>
        <v>0</v>
      </c>
      <c r="AA282" s="80">
        <f t="shared" si="81"/>
        <v>0</v>
      </c>
      <c r="AB282" s="102">
        <f t="shared" si="82"/>
        <v>0.1</v>
      </c>
      <c r="AC282" s="103">
        <f t="shared" si="83"/>
        <v>0</v>
      </c>
      <c r="AD282" s="103">
        <f t="shared" si="84"/>
        <v>0</v>
      </c>
      <c r="AE282" s="81">
        <f t="shared" si="85"/>
        <v>0</v>
      </c>
      <c r="AF282" s="539"/>
      <c r="AG282" s="104">
        <f t="shared" si="86"/>
        <v>1</v>
      </c>
      <c r="AH282" s="7">
        <f t="shared" si="87"/>
        <v>0</v>
      </c>
      <c r="AI282" s="6">
        <f t="shared" si="88"/>
        <v>0</v>
      </c>
      <c r="AJ282" s="73">
        <f t="shared" si="89"/>
        <v>0</v>
      </c>
      <c r="AK282" s="539"/>
      <c r="AL282" s="748"/>
      <c r="AM282" s="748"/>
    </row>
    <row r="283" spans="2:39" x14ac:dyDescent="0.2">
      <c r="B283" s="101" t="str">
        <f t="shared" si="74"/>
        <v/>
      </c>
      <c r="C283" s="168">
        <f>IF(ISERROR(Personalplanung!F75/Monatsplanung!$E75*Monatsplanung!$I75),0,Personalplanung!F75/Monatsplanung!$E75*Monatsplanung!$I75)</f>
        <v>0</v>
      </c>
      <c r="D283" s="168">
        <f t="shared" si="75"/>
        <v>0</v>
      </c>
      <c r="E283" s="168">
        <f>IF(ISERROR(Personalplanung!H75/Monatsplanung!$E75*Monatsplanung!$I75),0,Personalplanung!H75/Monatsplanung!$E75*Monatsplanung!$I75)</f>
        <v>0</v>
      </c>
      <c r="F283" s="168">
        <f t="shared" si="76"/>
        <v>0</v>
      </c>
      <c r="G283" s="168">
        <f t="shared" si="77"/>
        <v>27.700831024930746</v>
      </c>
      <c r="H283" s="168">
        <f t="shared" si="78"/>
        <v>0</v>
      </c>
      <c r="I283" s="168">
        <f t="shared" si="79"/>
        <v>30</v>
      </c>
      <c r="J283" s="739"/>
      <c r="K283" s="168">
        <f>IF(J283&lt;&gt;"",J283,IF(ISERROR(Personalplanung!AB75/Monatsplanung!$E75*Monatsplanung!$I75),0,Personalplanung!AB75/Monatsplanung!$E75*Monatsplanung!$I75))</f>
        <v>0</v>
      </c>
      <c r="L283" s="740"/>
      <c r="M283" s="739"/>
      <c r="N283" s="168">
        <f>IF(M283&lt;&gt;"",M283,IF(ISERROR(Personalplanung!AC75/Monatsplanung!$E75*Monatsplanung!$I75),0,Personalplanung!AC75/Monatsplanung!$E75*Monatsplanung!$I75))</f>
        <v>0</v>
      </c>
      <c r="O283" s="740"/>
      <c r="P283" s="739"/>
      <c r="Q283" s="168">
        <f>IF(P283&lt;&gt;"",P283,IF(ISERROR(Personalplanung!AD75/Monatsplanung!$E75*Monatsplanung!$I75),0,Personalplanung!AD75/Monatsplanung!$E75*Monatsplanung!$I75))</f>
        <v>0</v>
      </c>
      <c r="R283" s="740"/>
      <c r="S283" s="739"/>
      <c r="T283" s="168">
        <f>IF(S283&lt;&gt;"",S283,IF(ISERROR(Personalplanung!AE75/Monatsplanung!$E75*Monatsplanung!$I75),0,Personalplanung!AE75/Monatsplanung!$E75*Monatsplanung!$I75))</f>
        <v>0</v>
      </c>
      <c r="U283" s="740"/>
      <c r="V283" s="168">
        <f t="shared" si="80"/>
        <v>0</v>
      </c>
      <c r="W283" s="168">
        <f>IF(ISERROR(Personalplanung!P75/Monatsplanung!$E75*Monatsplanung!$I75),0,Personalplanung!P75/Monatsplanung!$E75*Monatsplanung!$I75)</f>
        <v>0</v>
      </c>
      <c r="X283" s="168">
        <f>IF(ISERROR(Personalplanung!Q75/Monatsplanung!$E75*Monatsplanung!$I75),0,Personalplanung!Q75/Monatsplanung!$E75*Monatsplanung!$I75)</f>
        <v>0</v>
      </c>
      <c r="Y283" s="168">
        <f>IF(ISERROR(Personalplanung!R75/T1323*Stundencontrolling!T283),0,Personalplanung!R75/T1323*Stundencontrolling!T283)</f>
        <v>0</v>
      </c>
      <c r="Z283" s="168">
        <f>IF(ISERROR(Personalplanung!S75/Monatsplanung!$E75*Monatsplanung!$I75),0,Personalplanung!S75/Monatsplanung!$E75*Monatsplanung!$I75)</f>
        <v>0</v>
      </c>
      <c r="AA283" s="80">
        <f t="shared" si="81"/>
        <v>0</v>
      </c>
      <c r="AB283" s="102">
        <f t="shared" si="82"/>
        <v>0.1</v>
      </c>
      <c r="AC283" s="103">
        <f t="shared" si="83"/>
        <v>0</v>
      </c>
      <c r="AD283" s="103">
        <f t="shared" si="84"/>
        <v>0</v>
      </c>
      <c r="AE283" s="81">
        <f t="shared" si="85"/>
        <v>0</v>
      </c>
      <c r="AF283" s="539"/>
      <c r="AG283" s="104">
        <f t="shared" si="86"/>
        <v>1</v>
      </c>
      <c r="AH283" s="7">
        <f t="shared" si="87"/>
        <v>0</v>
      </c>
      <c r="AI283" s="6">
        <f t="shared" si="88"/>
        <v>0</v>
      </c>
      <c r="AJ283" s="73">
        <f t="shared" si="89"/>
        <v>0</v>
      </c>
      <c r="AK283" s="539"/>
      <c r="AL283" s="748"/>
      <c r="AM283" s="748"/>
    </row>
    <row r="284" spans="2:39" x14ac:dyDescent="0.2">
      <c r="B284" s="101" t="str">
        <f t="shared" si="74"/>
        <v/>
      </c>
      <c r="C284" s="168">
        <f>IF(ISERROR(Personalplanung!F76/Monatsplanung!$E76*Monatsplanung!$I76),0,Personalplanung!F76/Monatsplanung!$E76*Monatsplanung!$I76)</f>
        <v>0</v>
      </c>
      <c r="D284" s="168">
        <f t="shared" si="75"/>
        <v>0</v>
      </c>
      <c r="E284" s="168">
        <f>IF(ISERROR(Personalplanung!H76/Monatsplanung!$E76*Monatsplanung!$I76),0,Personalplanung!H76/Monatsplanung!$E76*Monatsplanung!$I76)</f>
        <v>0</v>
      </c>
      <c r="F284" s="168">
        <f t="shared" si="76"/>
        <v>0</v>
      </c>
      <c r="G284" s="168">
        <f t="shared" si="77"/>
        <v>27.700831024930746</v>
      </c>
      <c r="H284" s="168">
        <f t="shared" si="78"/>
        <v>0</v>
      </c>
      <c r="I284" s="168">
        <f t="shared" si="79"/>
        <v>30</v>
      </c>
      <c r="J284" s="739"/>
      <c r="K284" s="168">
        <f>IF(J284&lt;&gt;"",J284,IF(ISERROR(Personalplanung!AB76/Monatsplanung!$E76*Monatsplanung!$I76),0,Personalplanung!AB76/Monatsplanung!$E76*Monatsplanung!$I76))</f>
        <v>0</v>
      </c>
      <c r="L284" s="740"/>
      <c r="M284" s="739"/>
      <c r="N284" s="168">
        <f>IF(M284&lt;&gt;"",M284,IF(ISERROR(Personalplanung!AC76/Monatsplanung!$E76*Monatsplanung!$I76),0,Personalplanung!AC76/Monatsplanung!$E76*Monatsplanung!$I76))</f>
        <v>0</v>
      </c>
      <c r="O284" s="740"/>
      <c r="P284" s="739"/>
      <c r="Q284" s="168">
        <f>IF(P284&lt;&gt;"",P284,IF(ISERROR(Personalplanung!AD76/Monatsplanung!$E76*Monatsplanung!$I76),0,Personalplanung!AD76/Monatsplanung!$E76*Monatsplanung!$I76))</f>
        <v>0</v>
      </c>
      <c r="R284" s="740"/>
      <c r="S284" s="739"/>
      <c r="T284" s="168">
        <f>IF(S284&lt;&gt;"",S284,IF(ISERROR(Personalplanung!AE76/Monatsplanung!$E76*Monatsplanung!$I76),0,Personalplanung!AE76/Monatsplanung!$E76*Monatsplanung!$I76))</f>
        <v>0</v>
      </c>
      <c r="U284" s="740"/>
      <c r="V284" s="168">
        <f t="shared" si="80"/>
        <v>0</v>
      </c>
      <c r="W284" s="168">
        <f>IF(ISERROR(Personalplanung!P76/Monatsplanung!$E76*Monatsplanung!$I76),0,Personalplanung!P76/Monatsplanung!$E76*Monatsplanung!$I76)</f>
        <v>0</v>
      </c>
      <c r="X284" s="168">
        <f>IF(ISERROR(Personalplanung!Q76/Monatsplanung!$E76*Monatsplanung!$I76),0,Personalplanung!Q76/Monatsplanung!$E76*Monatsplanung!$I76)</f>
        <v>0</v>
      </c>
      <c r="Y284" s="168">
        <f>IF(ISERROR(Personalplanung!R76/T1324*Stundencontrolling!T284),0,Personalplanung!R76/T1324*Stundencontrolling!T284)</f>
        <v>0</v>
      </c>
      <c r="Z284" s="168">
        <f>IF(ISERROR(Personalplanung!S76/Monatsplanung!$E76*Monatsplanung!$I76),0,Personalplanung!S76/Monatsplanung!$E76*Monatsplanung!$I76)</f>
        <v>0</v>
      </c>
      <c r="AA284" s="80">
        <f t="shared" si="81"/>
        <v>0</v>
      </c>
      <c r="AB284" s="102">
        <f t="shared" si="82"/>
        <v>0.1</v>
      </c>
      <c r="AC284" s="103">
        <f t="shared" si="83"/>
        <v>0</v>
      </c>
      <c r="AD284" s="103">
        <f t="shared" si="84"/>
        <v>0</v>
      </c>
      <c r="AE284" s="81">
        <f t="shared" si="85"/>
        <v>0</v>
      </c>
      <c r="AF284" s="539"/>
      <c r="AG284" s="104">
        <f t="shared" si="86"/>
        <v>1</v>
      </c>
      <c r="AH284" s="7">
        <f t="shared" si="87"/>
        <v>0</v>
      </c>
      <c r="AI284" s="6">
        <f t="shared" si="88"/>
        <v>0</v>
      </c>
      <c r="AJ284" s="73">
        <f t="shared" si="89"/>
        <v>0</v>
      </c>
      <c r="AK284" s="539"/>
      <c r="AL284" s="748"/>
      <c r="AM284" s="748"/>
    </row>
    <row r="285" spans="2:39" x14ac:dyDescent="0.2">
      <c r="B285" s="101" t="str">
        <f t="shared" si="74"/>
        <v/>
      </c>
      <c r="C285" s="168">
        <f>IF(ISERROR(Personalplanung!F77/Monatsplanung!$E77*Monatsplanung!$I77),0,Personalplanung!F77/Monatsplanung!$E77*Monatsplanung!$I77)</f>
        <v>0</v>
      </c>
      <c r="D285" s="168">
        <f t="shared" si="75"/>
        <v>0</v>
      </c>
      <c r="E285" s="168">
        <f>IF(ISERROR(Personalplanung!H77/Monatsplanung!$E77*Monatsplanung!$I77),0,Personalplanung!H77/Monatsplanung!$E77*Monatsplanung!$I77)</f>
        <v>0</v>
      </c>
      <c r="F285" s="168">
        <f t="shared" si="76"/>
        <v>0</v>
      </c>
      <c r="G285" s="168">
        <f t="shared" si="77"/>
        <v>27.700831024930746</v>
      </c>
      <c r="H285" s="168">
        <f t="shared" si="78"/>
        <v>0</v>
      </c>
      <c r="I285" s="168">
        <f t="shared" si="79"/>
        <v>30</v>
      </c>
      <c r="J285" s="739"/>
      <c r="K285" s="168">
        <f>IF(J285&lt;&gt;"",J285,IF(ISERROR(Personalplanung!AB77/Monatsplanung!$E77*Monatsplanung!$I77),0,Personalplanung!AB77/Monatsplanung!$E77*Monatsplanung!$I77))</f>
        <v>0</v>
      </c>
      <c r="L285" s="740"/>
      <c r="M285" s="739"/>
      <c r="N285" s="168">
        <f>IF(M285&lt;&gt;"",M285,IF(ISERROR(Personalplanung!AC77/Monatsplanung!$E77*Monatsplanung!$I77),0,Personalplanung!AC77/Monatsplanung!$E77*Monatsplanung!$I77))</f>
        <v>0</v>
      </c>
      <c r="O285" s="740"/>
      <c r="P285" s="739"/>
      <c r="Q285" s="168">
        <f>IF(P285&lt;&gt;"",P285,IF(ISERROR(Personalplanung!AD77/Monatsplanung!$E77*Monatsplanung!$I77),0,Personalplanung!AD77/Monatsplanung!$E77*Monatsplanung!$I77))</f>
        <v>0</v>
      </c>
      <c r="R285" s="740"/>
      <c r="S285" s="739"/>
      <c r="T285" s="168">
        <f>IF(S285&lt;&gt;"",S285,IF(ISERROR(Personalplanung!AE77/Monatsplanung!$E77*Monatsplanung!$I77),0,Personalplanung!AE77/Monatsplanung!$E77*Monatsplanung!$I77))</f>
        <v>0</v>
      </c>
      <c r="U285" s="740"/>
      <c r="V285" s="168">
        <f t="shared" si="80"/>
        <v>0</v>
      </c>
      <c r="W285" s="168">
        <f>IF(ISERROR(Personalplanung!P77/Monatsplanung!$E77*Monatsplanung!$I77),0,Personalplanung!P77/Monatsplanung!$E77*Monatsplanung!$I77)</f>
        <v>0</v>
      </c>
      <c r="X285" s="168">
        <f>IF(ISERROR(Personalplanung!Q77/Monatsplanung!$E77*Monatsplanung!$I77),0,Personalplanung!Q77/Monatsplanung!$E77*Monatsplanung!$I77)</f>
        <v>0</v>
      </c>
      <c r="Y285" s="168">
        <f>IF(ISERROR(Personalplanung!R77/T1325*Stundencontrolling!T285),0,Personalplanung!R77/T1325*Stundencontrolling!T285)</f>
        <v>0</v>
      </c>
      <c r="Z285" s="168">
        <f>IF(ISERROR(Personalplanung!S77/Monatsplanung!$E77*Monatsplanung!$I77),0,Personalplanung!S77/Monatsplanung!$E77*Monatsplanung!$I77)</f>
        <v>0</v>
      </c>
      <c r="AA285" s="80">
        <f t="shared" si="81"/>
        <v>0</v>
      </c>
      <c r="AB285" s="102">
        <f t="shared" si="82"/>
        <v>0.1</v>
      </c>
      <c r="AC285" s="103">
        <f t="shared" si="83"/>
        <v>0</v>
      </c>
      <c r="AD285" s="103">
        <f t="shared" si="84"/>
        <v>0</v>
      </c>
      <c r="AE285" s="81">
        <f t="shared" si="85"/>
        <v>0</v>
      </c>
      <c r="AF285" s="539"/>
      <c r="AG285" s="104">
        <f t="shared" si="86"/>
        <v>1</v>
      </c>
      <c r="AH285" s="7">
        <f t="shared" si="87"/>
        <v>0</v>
      </c>
      <c r="AI285" s="6">
        <f t="shared" si="88"/>
        <v>0</v>
      </c>
      <c r="AJ285" s="73">
        <f t="shared" si="89"/>
        <v>0</v>
      </c>
      <c r="AK285" s="539"/>
      <c r="AL285" s="748"/>
      <c r="AM285" s="748"/>
    </row>
    <row r="286" spans="2:39" x14ac:dyDescent="0.2">
      <c r="B286" s="101" t="str">
        <f t="shared" si="74"/>
        <v/>
      </c>
      <c r="C286" s="168">
        <f>IF(ISERROR(Personalplanung!F78/Monatsplanung!$E78*Monatsplanung!$I78),0,Personalplanung!F78/Monatsplanung!$E78*Monatsplanung!$I78)</f>
        <v>0</v>
      </c>
      <c r="D286" s="168">
        <f t="shared" si="75"/>
        <v>0</v>
      </c>
      <c r="E286" s="168">
        <f>IF(ISERROR(Personalplanung!H78/Monatsplanung!$E78*Monatsplanung!$I78),0,Personalplanung!H78/Monatsplanung!$E78*Monatsplanung!$I78)</f>
        <v>0</v>
      </c>
      <c r="F286" s="168">
        <f t="shared" si="76"/>
        <v>0</v>
      </c>
      <c r="G286" s="168">
        <f t="shared" si="77"/>
        <v>27.700831024930746</v>
      </c>
      <c r="H286" s="168">
        <f t="shared" si="78"/>
        <v>0</v>
      </c>
      <c r="I286" s="168">
        <f t="shared" si="79"/>
        <v>30</v>
      </c>
      <c r="J286" s="739"/>
      <c r="K286" s="168">
        <f>IF(J286&lt;&gt;"",J286,IF(ISERROR(Personalplanung!AB78/Monatsplanung!$E78*Monatsplanung!$I78),0,Personalplanung!AB78/Monatsplanung!$E78*Monatsplanung!$I78))</f>
        <v>0</v>
      </c>
      <c r="L286" s="740"/>
      <c r="M286" s="739"/>
      <c r="N286" s="168">
        <f>IF(M286&lt;&gt;"",M286,IF(ISERROR(Personalplanung!AC78/Monatsplanung!$E78*Monatsplanung!$I78),0,Personalplanung!AC78/Monatsplanung!$E78*Monatsplanung!$I78))</f>
        <v>0</v>
      </c>
      <c r="O286" s="740"/>
      <c r="P286" s="739"/>
      <c r="Q286" s="168">
        <f>IF(P286&lt;&gt;"",P286,IF(ISERROR(Personalplanung!AD78/Monatsplanung!$E78*Monatsplanung!$I78),0,Personalplanung!AD78/Monatsplanung!$E78*Monatsplanung!$I78))</f>
        <v>0</v>
      </c>
      <c r="R286" s="740"/>
      <c r="S286" s="739"/>
      <c r="T286" s="168">
        <f>IF(S286&lt;&gt;"",S286,IF(ISERROR(Personalplanung!AE78/Monatsplanung!$E78*Monatsplanung!$I78),0,Personalplanung!AE78/Monatsplanung!$E78*Monatsplanung!$I78))</f>
        <v>0</v>
      </c>
      <c r="U286" s="740"/>
      <c r="V286" s="168">
        <f t="shared" si="80"/>
        <v>0</v>
      </c>
      <c r="W286" s="168">
        <f>IF(ISERROR(Personalplanung!P78/Monatsplanung!$E78*Monatsplanung!$I78),0,Personalplanung!P78/Monatsplanung!$E78*Monatsplanung!$I78)</f>
        <v>0</v>
      </c>
      <c r="X286" s="168">
        <f>IF(ISERROR(Personalplanung!Q78/Monatsplanung!$E78*Monatsplanung!$I78),0,Personalplanung!Q78/Monatsplanung!$E78*Monatsplanung!$I78)</f>
        <v>0</v>
      </c>
      <c r="Y286" s="168">
        <f>IF(ISERROR(Personalplanung!R78/T1326*Stundencontrolling!T286),0,Personalplanung!R78/T1326*Stundencontrolling!T286)</f>
        <v>0</v>
      </c>
      <c r="Z286" s="168">
        <f>IF(ISERROR(Personalplanung!S78/Monatsplanung!$E78*Monatsplanung!$I78),0,Personalplanung!S78/Monatsplanung!$E78*Monatsplanung!$I78)</f>
        <v>0</v>
      </c>
      <c r="AA286" s="80">
        <f t="shared" si="81"/>
        <v>0</v>
      </c>
      <c r="AB286" s="102">
        <f t="shared" si="82"/>
        <v>0.1</v>
      </c>
      <c r="AC286" s="103">
        <f t="shared" si="83"/>
        <v>0</v>
      </c>
      <c r="AD286" s="103">
        <f t="shared" si="84"/>
        <v>0</v>
      </c>
      <c r="AE286" s="81">
        <f t="shared" si="85"/>
        <v>0</v>
      </c>
      <c r="AF286" s="539"/>
      <c r="AG286" s="104">
        <f t="shared" si="86"/>
        <v>1</v>
      </c>
      <c r="AH286" s="7">
        <f t="shared" si="87"/>
        <v>0</v>
      </c>
      <c r="AI286" s="6">
        <f t="shared" si="88"/>
        <v>0</v>
      </c>
      <c r="AJ286" s="73">
        <f t="shared" si="89"/>
        <v>0</v>
      </c>
      <c r="AK286" s="539"/>
      <c r="AL286" s="748"/>
      <c r="AM286" s="748"/>
    </row>
    <row r="287" spans="2:39" x14ac:dyDescent="0.2">
      <c r="B287" s="101" t="str">
        <f t="shared" si="74"/>
        <v/>
      </c>
      <c r="C287" s="168">
        <f>IF(ISERROR(Personalplanung!F79/Monatsplanung!$E79*Monatsplanung!$I79),0,Personalplanung!F79/Monatsplanung!$E79*Monatsplanung!$I79)</f>
        <v>0</v>
      </c>
      <c r="D287" s="168">
        <f t="shared" si="75"/>
        <v>0</v>
      </c>
      <c r="E287" s="168">
        <f>IF(ISERROR(Personalplanung!H79/Monatsplanung!$E79*Monatsplanung!$I79),0,Personalplanung!H79/Monatsplanung!$E79*Monatsplanung!$I79)</f>
        <v>0</v>
      </c>
      <c r="F287" s="168">
        <f t="shared" si="76"/>
        <v>0</v>
      </c>
      <c r="G287" s="168">
        <f t="shared" si="77"/>
        <v>27.700831024930746</v>
      </c>
      <c r="H287" s="168">
        <f t="shared" si="78"/>
        <v>0</v>
      </c>
      <c r="I287" s="168">
        <f t="shared" si="79"/>
        <v>30</v>
      </c>
      <c r="J287" s="739"/>
      <c r="K287" s="168">
        <f>IF(J287&lt;&gt;"",J287,IF(ISERROR(Personalplanung!AB79/Monatsplanung!$E79*Monatsplanung!$I79),0,Personalplanung!AB79/Monatsplanung!$E79*Monatsplanung!$I79))</f>
        <v>0</v>
      </c>
      <c r="L287" s="740"/>
      <c r="M287" s="739"/>
      <c r="N287" s="168">
        <f>IF(M287&lt;&gt;"",M287,IF(ISERROR(Personalplanung!AC79/Monatsplanung!$E79*Monatsplanung!$I79),0,Personalplanung!AC79/Monatsplanung!$E79*Monatsplanung!$I79))</f>
        <v>0</v>
      </c>
      <c r="O287" s="740"/>
      <c r="P287" s="739"/>
      <c r="Q287" s="168">
        <f>IF(P287&lt;&gt;"",P287,IF(ISERROR(Personalplanung!AD79/Monatsplanung!$E79*Monatsplanung!$I79),0,Personalplanung!AD79/Monatsplanung!$E79*Monatsplanung!$I79))</f>
        <v>0</v>
      </c>
      <c r="R287" s="740"/>
      <c r="S287" s="739"/>
      <c r="T287" s="168">
        <f>IF(S287&lt;&gt;"",S287,IF(ISERROR(Personalplanung!AE79/Monatsplanung!$E79*Monatsplanung!$I79),0,Personalplanung!AE79/Monatsplanung!$E79*Monatsplanung!$I79))</f>
        <v>0</v>
      </c>
      <c r="U287" s="740"/>
      <c r="V287" s="168">
        <f t="shared" si="80"/>
        <v>0</v>
      </c>
      <c r="W287" s="168">
        <f>IF(ISERROR(Personalplanung!P79/Monatsplanung!$E79*Monatsplanung!$I79),0,Personalplanung!P79/Monatsplanung!$E79*Monatsplanung!$I79)</f>
        <v>0</v>
      </c>
      <c r="X287" s="168">
        <f>IF(ISERROR(Personalplanung!Q79/Monatsplanung!$E79*Monatsplanung!$I79),0,Personalplanung!Q79/Monatsplanung!$E79*Monatsplanung!$I79)</f>
        <v>0</v>
      </c>
      <c r="Y287" s="168">
        <f>IF(ISERROR(Personalplanung!R79/T1327*Stundencontrolling!T287),0,Personalplanung!R79/T1327*Stundencontrolling!T287)</f>
        <v>0</v>
      </c>
      <c r="Z287" s="168">
        <f>IF(ISERROR(Personalplanung!S79/Monatsplanung!$E79*Monatsplanung!$I79),0,Personalplanung!S79/Monatsplanung!$E79*Monatsplanung!$I79)</f>
        <v>0</v>
      </c>
      <c r="AA287" s="80">
        <f t="shared" si="81"/>
        <v>0</v>
      </c>
      <c r="AB287" s="102">
        <f t="shared" si="82"/>
        <v>0.1</v>
      </c>
      <c r="AC287" s="103">
        <f t="shared" si="83"/>
        <v>0</v>
      </c>
      <c r="AD287" s="103">
        <f t="shared" si="84"/>
        <v>0</v>
      </c>
      <c r="AE287" s="81">
        <f t="shared" si="85"/>
        <v>0</v>
      </c>
      <c r="AF287" s="539"/>
      <c r="AG287" s="104">
        <f t="shared" si="86"/>
        <v>1</v>
      </c>
      <c r="AH287" s="7">
        <f t="shared" si="87"/>
        <v>0</v>
      </c>
      <c r="AI287" s="6">
        <f t="shared" si="88"/>
        <v>0</v>
      </c>
      <c r="AJ287" s="73">
        <f t="shared" si="89"/>
        <v>0</v>
      </c>
      <c r="AK287" s="539"/>
      <c r="AL287" s="748"/>
      <c r="AM287" s="748"/>
    </row>
    <row r="288" spans="2:39" x14ac:dyDescent="0.2">
      <c r="B288" s="101" t="str">
        <f t="shared" si="74"/>
        <v/>
      </c>
      <c r="C288" s="168">
        <f>IF(ISERROR(Personalplanung!F80/Monatsplanung!$E80*Monatsplanung!$I80),0,Personalplanung!F80/Monatsplanung!$E80*Monatsplanung!$I80)</f>
        <v>0</v>
      </c>
      <c r="D288" s="168">
        <f t="shared" si="75"/>
        <v>0</v>
      </c>
      <c r="E288" s="168">
        <f>IF(ISERROR(Personalplanung!H80/Monatsplanung!$E80*Monatsplanung!$I80),0,Personalplanung!H80/Monatsplanung!$E80*Monatsplanung!$I80)</f>
        <v>0</v>
      </c>
      <c r="F288" s="168">
        <f t="shared" si="76"/>
        <v>0</v>
      </c>
      <c r="G288" s="168">
        <f t="shared" si="77"/>
        <v>27.700831024930746</v>
      </c>
      <c r="H288" s="168">
        <f t="shared" si="78"/>
        <v>0</v>
      </c>
      <c r="I288" s="168">
        <f t="shared" si="79"/>
        <v>30</v>
      </c>
      <c r="J288" s="739"/>
      <c r="K288" s="168">
        <f>IF(J288&lt;&gt;"",J288,IF(ISERROR(Personalplanung!AB80/Monatsplanung!$E80*Monatsplanung!$I80),0,Personalplanung!AB80/Monatsplanung!$E80*Monatsplanung!$I80))</f>
        <v>0</v>
      </c>
      <c r="L288" s="740"/>
      <c r="M288" s="739"/>
      <c r="N288" s="168">
        <f>IF(M288&lt;&gt;"",M288,IF(ISERROR(Personalplanung!AC80/Monatsplanung!$E80*Monatsplanung!$I80),0,Personalplanung!AC80/Monatsplanung!$E80*Monatsplanung!$I80))</f>
        <v>0</v>
      </c>
      <c r="O288" s="740"/>
      <c r="P288" s="739"/>
      <c r="Q288" s="168">
        <f>IF(P288&lt;&gt;"",P288,IF(ISERROR(Personalplanung!AD80/Monatsplanung!$E80*Monatsplanung!$I80),0,Personalplanung!AD80/Monatsplanung!$E80*Monatsplanung!$I80))</f>
        <v>0</v>
      </c>
      <c r="R288" s="740"/>
      <c r="S288" s="739"/>
      <c r="T288" s="168">
        <f>IF(S288&lt;&gt;"",S288,IF(ISERROR(Personalplanung!AE80/Monatsplanung!$E80*Monatsplanung!$I80),0,Personalplanung!AE80/Monatsplanung!$E80*Monatsplanung!$I80))</f>
        <v>0</v>
      </c>
      <c r="U288" s="740"/>
      <c r="V288" s="168">
        <f t="shared" si="80"/>
        <v>0</v>
      </c>
      <c r="W288" s="168">
        <f>IF(ISERROR(Personalplanung!P80/Monatsplanung!$E80*Monatsplanung!$I80),0,Personalplanung!P80/Monatsplanung!$E80*Monatsplanung!$I80)</f>
        <v>0</v>
      </c>
      <c r="X288" s="168">
        <f>IF(ISERROR(Personalplanung!Q80/Monatsplanung!$E80*Monatsplanung!$I80),0,Personalplanung!Q80/Monatsplanung!$E80*Monatsplanung!$I80)</f>
        <v>0</v>
      </c>
      <c r="Y288" s="168">
        <f>IF(ISERROR(Personalplanung!R80/T1328*Stundencontrolling!T288),0,Personalplanung!R80/T1328*Stundencontrolling!T288)</f>
        <v>0</v>
      </c>
      <c r="Z288" s="168">
        <f>IF(ISERROR(Personalplanung!S80/Monatsplanung!$E80*Monatsplanung!$I80),0,Personalplanung!S80/Monatsplanung!$E80*Monatsplanung!$I80)</f>
        <v>0</v>
      </c>
      <c r="AA288" s="80">
        <f t="shared" si="81"/>
        <v>0</v>
      </c>
      <c r="AB288" s="102">
        <f t="shared" si="82"/>
        <v>0.1</v>
      </c>
      <c r="AC288" s="103">
        <f t="shared" si="83"/>
        <v>0</v>
      </c>
      <c r="AD288" s="103">
        <f t="shared" si="84"/>
        <v>0</v>
      </c>
      <c r="AE288" s="81">
        <f t="shared" si="85"/>
        <v>0</v>
      </c>
      <c r="AF288" s="539"/>
      <c r="AG288" s="104">
        <f t="shared" si="86"/>
        <v>1</v>
      </c>
      <c r="AH288" s="7">
        <f t="shared" si="87"/>
        <v>0</v>
      </c>
      <c r="AI288" s="6">
        <f t="shared" si="88"/>
        <v>0</v>
      </c>
      <c r="AJ288" s="73">
        <f t="shared" si="89"/>
        <v>0</v>
      </c>
      <c r="AK288" s="539"/>
      <c r="AL288" s="748"/>
      <c r="AM288" s="748"/>
    </row>
    <row r="289" spans="2:39" x14ac:dyDescent="0.2">
      <c r="B289" s="101" t="str">
        <f t="shared" si="74"/>
        <v/>
      </c>
      <c r="C289" s="168">
        <f>IF(ISERROR(Personalplanung!F81/Monatsplanung!$E81*Monatsplanung!$I81),0,Personalplanung!F81/Monatsplanung!$E81*Monatsplanung!$I81)</f>
        <v>0</v>
      </c>
      <c r="D289" s="168">
        <f t="shared" si="75"/>
        <v>0</v>
      </c>
      <c r="E289" s="168">
        <f>IF(ISERROR(Personalplanung!H81/Monatsplanung!$E81*Monatsplanung!$I81),0,Personalplanung!H81/Monatsplanung!$E81*Monatsplanung!$I81)</f>
        <v>0</v>
      </c>
      <c r="F289" s="168">
        <f t="shared" si="76"/>
        <v>0</v>
      </c>
      <c r="G289" s="168">
        <f t="shared" si="77"/>
        <v>27.700831024930746</v>
      </c>
      <c r="H289" s="168">
        <f t="shared" si="78"/>
        <v>0</v>
      </c>
      <c r="I289" s="168">
        <f t="shared" si="79"/>
        <v>30</v>
      </c>
      <c r="J289" s="739"/>
      <c r="K289" s="168">
        <f>IF(J289&lt;&gt;"",J289,IF(ISERROR(Personalplanung!AB81/Monatsplanung!$E81*Monatsplanung!$I81),0,Personalplanung!AB81/Monatsplanung!$E81*Monatsplanung!$I81))</f>
        <v>0</v>
      </c>
      <c r="L289" s="740"/>
      <c r="M289" s="739"/>
      <c r="N289" s="168">
        <f>IF(M289&lt;&gt;"",M289,IF(ISERROR(Personalplanung!AC81/Monatsplanung!$E81*Monatsplanung!$I81),0,Personalplanung!AC81/Monatsplanung!$E81*Monatsplanung!$I81))</f>
        <v>0</v>
      </c>
      <c r="O289" s="740"/>
      <c r="P289" s="739"/>
      <c r="Q289" s="168">
        <f>IF(P289&lt;&gt;"",P289,IF(ISERROR(Personalplanung!AD81/Monatsplanung!$E81*Monatsplanung!$I81),0,Personalplanung!AD81/Monatsplanung!$E81*Monatsplanung!$I81))</f>
        <v>0</v>
      </c>
      <c r="R289" s="740"/>
      <c r="S289" s="739"/>
      <c r="T289" s="168">
        <f>IF(S289&lt;&gt;"",S289,IF(ISERROR(Personalplanung!AE81/Monatsplanung!$E81*Monatsplanung!$I81),0,Personalplanung!AE81/Monatsplanung!$E81*Monatsplanung!$I81))</f>
        <v>0</v>
      </c>
      <c r="U289" s="740"/>
      <c r="V289" s="168">
        <f t="shared" si="80"/>
        <v>0</v>
      </c>
      <c r="W289" s="168">
        <f>IF(ISERROR(Personalplanung!P81/Monatsplanung!$E81*Monatsplanung!$I81),0,Personalplanung!P81/Monatsplanung!$E81*Monatsplanung!$I81)</f>
        <v>0</v>
      </c>
      <c r="X289" s="168">
        <f>IF(ISERROR(Personalplanung!Q81/Monatsplanung!$E81*Monatsplanung!$I81),0,Personalplanung!Q81/Monatsplanung!$E81*Monatsplanung!$I81)</f>
        <v>0</v>
      </c>
      <c r="Y289" s="168">
        <f>IF(ISERROR(Personalplanung!R81/T1329*Stundencontrolling!T289),0,Personalplanung!R81/T1329*Stundencontrolling!T289)</f>
        <v>0</v>
      </c>
      <c r="Z289" s="168">
        <f>IF(ISERROR(Personalplanung!S81/Monatsplanung!$E81*Monatsplanung!$I81),0,Personalplanung!S81/Monatsplanung!$E81*Monatsplanung!$I81)</f>
        <v>0</v>
      </c>
      <c r="AA289" s="80">
        <f t="shared" si="81"/>
        <v>0</v>
      </c>
      <c r="AB289" s="102">
        <f t="shared" si="82"/>
        <v>0.1</v>
      </c>
      <c r="AC289" s="103">
        <f t="shared" si="83"/>
        <v>0</v>
      </c>
      <c r="AD289" s="103">
        <f t="shared" si="84"/>
        <v>0</v>
      </c>
      <c r="AE289" s="81">
        <f t="shared" si="85"/>
        <v>0</v>
      </c>
      <c r="AF289" s="539"/>
      <c r="AG289" s="104">
        <f t="shared" si="86"/>
        <v>1</v>
      </c>
      <c r="AH289" s="7">
        <f t="shared" si="87"/>
        <v>0</v>
      </c>
      <c r="AI289" s="6">
        <f t="shared" si="88"/>
        <v>0</v>
      </c>
      <c r="AJ289" s="73">
        <f t="shared" si="89"/>
        <v>0</v>
      </c>
      <c r="AK289" s="539"/>
      <c r="AL289" s="748"/>
      <c r="AM289" s="748"/>
    </row>
    <row r="290" spans="2:39" x14ac:dyDescent="0.2">
      <c r="B290" s="101" t="str">
        <f t="shared" si="74"/>
        <v/>
      </c>
      <c r="C290" s="168">
        <f>IF(ISERROR(Personalplanung!F82/Monatsplanung!$E82*Monatsplanung!$I82),0,Personalplanung!F82/Monatsplanung!$E82*Monatsplanung!$I82)</f>
        <v>0</v>
      </c>
      <c r="D290" s="168">
        <f t="shared" si="75"/>
        <v>0</v>
      </c>
      <c r="E290" s="168">
        <f>IF(ISERROR(Personalplanung!H82/Monatsplanung!$E82*Monatsplanung!$I82),0,Personalplanung!H82/Monatsplanung!$E82*Monatsplanung!$I82)</f>
        <v>0</v>
      </c>
      <c r="F290" s="168">
        <f t="shared" si="76"/>
        <v>0</v>
      </c>
      <c r="G290" s="168">
        <f t="shared" si="77"/>
        <v>27.700831024930746</v>
      </c>
      <c r="H290" s="168">
        <f t="shared" si="78"/>
        <v>0</v>
      </c>
      <c r="I290" s="168">
        <f t="shared" si="79"/>
        <v>30</v>
      </c>
      <c r="J290" s="739"/>
      <c r="K290" s="168">
        <f>IF(J290&lt;&gt;"",J290,IF(ISERROR(Personalplanung!AB82/Monatsplanung!$E82*Monatsplanung!$I82),0,Personalplanung!AB82/Monatsplanung!$E82*Monatsplanung!$I82))</f>
        <v>0</v>
      </c>
      <c r="L290" s="740"/>
      <c r="M290" s="739"/>
      <c r="N290" s="168">
        <f>IF(M290&lt;&gt;"",M290,IF(ISERROR(Personalplanung!AC82/Monatsplanung!$E82*Monatsplanung!$I82),0,Personalplanung!AC82/Monatsplanung!$E82*Monatsplanung!$I82))</f>
        <v>0</v>
      </c>
      <c r="O290" s="740"/>
      <c r="P290" s="739"/>
      <c r="Q290" s="168">
        <f>IF(P290&lt;&gt;"",P290,IF(ISERROR(Personalplanung!AD82/Monatsplanung!$E82*Monatsplanung!$I82),0,Personalplanung!AD82/Monatsplanung!$E82*Monatsplanung!$I82))</f>
        <v>0</v>
      </c>
      <c r="R290" s="740"/>
      <c r="S290" s="739"/>
      <c r="T290" s="168">
        <f>IF(S290&lt;&gt;"",S290,IF(ISERROR(Personalplanung!AE82/Monatsplanung!$E82*Monatsplanung!$I82),0,Personalplanung!AE82/Monatsplanung!$E82*Monatsplanung!$I82))</f>
        <v>0</v>
      </c>
      <c r="U290" s="740"/>
      <c r="V290" s="168">
        <f t="shared" si="80"/>
        <v>0</v>
      </c>
      <c r="W290" s="168">
        <f>IF(ISERROR(Personalplanung!P82/Monatsplanung!$E82*Monatsplanung!$I82),0,Personalplanung!P82/Monatsplanung!$E82*Monatsplanung!$I82)</f>
        <v>0</v>
      </c>
      <c r="X290" s="168">
        <f>IF(ISERROR(Personalplanung!Q82/Monatsplanung!$E82*Monatsplanung!$I82),0,Personalplanung!Q82/Monatsplanung!$E82*Monatsplanung!$I82)</f>
        <v>0</v>
      </c>
      <c r="Y290" s="168">
        <f>IF(ISERROR(Personalplanung!R82/T1330*Stundencontrolling!T290),0,Personalplanung!R82/T1330*Stundencontrolling!T290)</f>
        <v>0</v>
      </c>
      <c r="Z290" s="168">
        <f>IF(ISERROR(Personalplanung!S82/Monatsplanung!$E82*Monatsplanung!$I82),0,Personalplanung!S82/Monatsplanung!$E82*Monatsplanung!$I82)</f>
        <v>0</v>
      </c>
      <c r="AA290" s="80">
        <f t="shared" si="81"/>
        <v>0</v>
      </c>
      <c r="AB290" s="102">
        <f t="shared" si="82"/>
        <v>0.1</v>
      </c>
      <c r="AC290" s="103">
        <f t="shared" si="83"/>
        <v>0</v>
      </c>
      <c r="AD290" s="103">
        <f t="shared" si="84"/>
        <v>0</v>
      </c>
      <c r="AE290" s="81">
        <f t="shared" si="85"/>
        <v>0</v>
      </c>
      <c r="AF290" s="539"/>
      <c r="AG290" s="104">
        <f t="shared" si="86"/>
        <v>1</v>
      </c>
      <c r="AH290" s="7">
        <f t="shared" si="87"/>
        <v>0</v>
      </c>
      <c r="AI290" s="6">
        <f t="shared" si="88"/>
        <v>0</v>
      </c>
      <c r="AJ290" s="73">
        <f t="shared" si="89"/>
        <v>0</v>
      </c>
      <c r="AK290" s="539"/>
      <c r="AL290" s="748"/>
      <c r="AM290" s="748"/>
    </row>
    <row r="291" spans="2:39" x14ac:dyDescent="0.2">
      <c r="B291" s="101" t="str">
        <f t="shared" si="74"/>
        <v/>
      </c>
      <c r="C291" s="168">
        <f>IF(ISERROR(Personalplanung!F83/Monatsplanung!$E83*Monatsplanung!$I83),0,Personalplanung!F83/Monatsplanung!$E83*Monatsplanung!$I83)</f>
        <v>0</v>
      </c>
      <c r="D291" s="168">
        <f t="shared" si="75"/>
        <v>0</v>
      </c>
      <c r="E291" s="168">
        <f>IF(ISERROR(Personalplanung!H83/Monatsplanung!$E83*Monatsplanung!$I83),0,Personalplanung!H83/Monatsplanung!$E83*Monatsplanung!$I83)</f>
        <v>0</v>
      </c>
      <c r="F291" s="168">
        <f t="shared" si="76"/>
        <v>0</v>
      </c>
      <c r="G291" s="168">
        <f t="shared" si="77"/>
        <v>27.700831024930746</v>
      </c>
      <c r="H291" s="168">
        <f t="shared" si="78"/>
        <v>0</v>
      </c>
      <c r="I291" s="168">
        <f t="shared" si="79"/>
        <v>30</v>
      </c>
      <c r="J291" s="739"/>
      <c r="K291" s="168">
        <f>IF(J291&lt;&gt;"",J291,IF(ISERROR(Personalplanung!AB83/Monatsplanung!$E83*Monatsplanung!$I83),0,Personalplanung!AB83/Monatsplanung!$E83*Monatsplanung!$I83))</f>
        <v>0</v>
      </c>
      <c r="L291" s="740"/>
      <c r="M291" s="739"/>
      <c r="N291" s="168">
        <f>IF(M291&lt;&gt;"",M291,IF(ISERROR(Personalplanung!AC83/Monatsplanung!$E83*Monatsplanung!$I83),0,Personalplanung!AC83/Monatsplanung!$E83*Monatsplanung!$I83))</f>
        <v>0</v>
      </c>
      <c r="O291" s="740"/>
      <c r="P291" s="739"/>
      <c r="Q291" s="168">
        <f>IF(P291&lt;&gt;"",P291,IF(ISERROR(Personalplanung!AD83/Monatsplanung!$E83*Monatsplanung!$I83),0,Personalplanung!AD83/Monatsplanung!$E83*Monatsplanung!$I83))</f>
        <v>0</v>
      </c>
      <c r="R291" s="740"/>
      <c r="S291" s="739"/>
      <c r="T291" s="168">
        <f>IF(S291&lt;&gt;"",S291,IF(ISERROR(Personalplanung!AE83/Monatsplanung!$E83*Monatsplanung!$I83),0,Personalplanung!AE83/Monatsplanung!$E83*Monatsplanung!$I83))</f>
        <v>0</v>
      </c>
      <c r="U291" s="740"/>
      <c r="V291" s="168">
        <f t="shared" si="80"/>
        <v>0</v>
      </c>
      <c r="W291" s="168">
        <f>IF(ISERROR(Personalplanung!P83/Monatsplanung!$E83*Monatsplanung!$I83),0,Personalplanung!P83/Monatsplanung!$E83*Monatsplanung!$I83)</f>
        <v>0</v>
      </c>
      <c r="X291" s="168">
        <f>IF(ISERROR(Personalplanung!Q83/Monatsplanung!$E83*Monatsplanung!$I83),0,Personalplanung!Q83/Monatsplanung!$E83*Monatsplanung!$I83)</f>
        <v>0</v>
      </c>
      <c r="Y291" s="168">
        <f>IF(ISERROR(Personalplanung!R83/T1331*Stundencontrolling!T291),0,Personalplanung!R83/T1331*Stundencontrolling!T291)</f>
        <v>0</v>
      </c>
      <c r="Z291" s="168">
        <f>IF(ISERROR(Personalplanung!S83/Monatsplanung!$E83*Monatsplanung!$I83),0,Personalplanung!S83/Monatsplanung!$E83*Monatsplanung!$I83)</f>
        <v>0</v>
      </c>
      <c r="AA291" s="80">
        <f t="shared" si="81"/>
        <v>0</v>
      </c>
      <c r="AB291" s="102">
        <f t="shared" si="82"/>
        <v>0.1</v>
      </c>
      <c r="AC291" s="103">
        <f t="shared" si="83"/>
        <v>0</v>
      </c>
      <c r="AD291" s="103">
        <f t="shared" si="84"/>
        <v>0</v>
      </c>
      <c r="AE291" s="81">
        <f t="shared" si="85"/>
        <v>0</v>
      </c>
      <c r="AF291" s="539"/>
      <c r="AG291" s="104">
        <f t="shared" si="86"/>
        <v>1</v>
      </c>
      <c r="AH291" s="7">
        <f t="shared" si="87"/>
        <v>0</v>
      </c>
      <c r="AI291" s="6">
        <f t="shared" si="88"/>
        <v>0</v>
      </c>
      <c r="AJ291" s="73">
        <f t="shared" si="89"/>
        <v>0</v>
      </c>
      <c r="AK291" s="539"/>
      <c r="AL291" s="748"/>
      <c r="AM291" s="748"/>
    </row>
    <row r="292" spans="2:39" x14ac:dyDescent="0.2">
      <c r="B292" s="101" t="str">
        <f t="shared" si="74"/>
        <v/>
      </c>
      <c r="C292" s="168">
        <f>IF(ISERROR(Personalplanung!F84/Monatsplanung!$E84*Monatsplanung!$I84),0,Personalplanung!F84/Monatsplanung!$E84*Monatsplanung!$I84)</f>
        <v>0</v>
      </c>
      <c r="D292" s="168">
        <f t="shared" si="75"/>
        <v>0</v>
      </c>
      <c r="E292" s="168">
        <f>IF(ISERROR(Personalplanung!H84/Monatsplanung!$E84*Monatsplanung!$I84),0,Personalplanung!H84/Monatsplanung!$E84*Monatsplanung!$I84)</f>
        <v>0</v>
      </c>
      <c r="F292" s="168">
        <f t="shared" si="76"/>
        <v>0</v>
      </c>
      <c r="G292" s="168">
        <f t="shared" si="77"/>
        <v>27.700831024930746</v>
      </c>
      <c r="H292" s="168">
        <f t="shared" si="78"/>
        <v>0</v>
      </c>
      <c r="I292" s="168">
        <f t="shared" si="79"/>
        <v>30</v>
      </c>
      <c r="J292" s="739"/>
      <c r="K292" s="168">
        <f>IF(J292&lt;&gt;"",J292,IF(ISERROR(Personalplanung!AB84/Monatsplanung!$E84*Monatsplanung!$I84),0,Personalplanung!AB84/Monatsplanung!$E84*Monatsplanung!$I84))</f>
        <v>0</v>
      </c>
      <c r="L292" s="740"/>
      <c r="M292" s="739"/>
      <c r="N292" s="168">
        <f>IF(M292&lt;&gt;"",M292,IF(ISERROR(Personalplanung!AC84/Monatsplanung!$E84*Monatsplanung!$I84),0,Personalplanung!AC84/Monatsplanung!$E84*Monatsplanung!$I84))</f>
        <v>0</v>
      </c>
      <c r="O292" s="740"/>
      <c r="P292" s="739"/>
      <c r="Q292" s="168">
        <f>IF(P292&lt;&gt;"",P292,IF(ISERROR(Personalplanung!AD84/Monatsplanung!$E84*Monatsplanung!$I84),0,Personalplanung!AD84/Monatsplanung!$E84*Monatsplanung!$I84))</f>
        <v>0</v>
      </c>
      <c r="R292" s="740"/>
      <c r="S292" s="739"/>
      <c r="T292" s="168">
        <f>IF(S292&lt;&gt;"",S292,IF(ISERROR(Personalplanung!AE84/Monatsplanung!$E84*Monatsplanung!$I84),0,Personalplanung!AE84/Monatsplanung!$E84*Monatsplanung!$I84))</f>
        <v>0</v>
      </c>
      <c r="U292" s="740"/>
      <c r="V292" s="168">
        <f t="shared" si="80"/>
        <v>0</v>
      </c>
      <c r="W292" s="168">
        <f>IF(ISERROR(Personalplanung!P84/Monatsplanung!$E84*Monatsplanung!$I84),0,Personalplanung!P84/Monatsplanung!$E84*Monatsplanung!$I84)</f>
        <v>0</v>
      </c>
      <c r="X292" s="168">
        <f>IF(ISERROR(Personalplanung!Q84/Monatsplanung!$E84*Monatsplanung!$I84),0,Personalplanung!Q84/Monatsplanung!$E84*Monatsplanung!$I84)</f>
        <v>0</v>
      </c>
      <c r="Y292" s="168">
        <f>IF(ISERROR(Personalplanung!R84/T1332*Stundencontrolling!T292),0,Personalplanung!R84/T1332*Stundencontrolling!T292)</f>
        <v>0</v>
      </c>
      <c r="Z292" s="168">
        <f>IF(ISERROR(Personalplanung!S84/Monatsplanung!$E84*Monatsplanung!$I84),0,Personalplanung!S84/Monatsplanung!$E84*Monatsplanung!$I84)</f>
        <v>0</v>
      </c>
      <c r="AA292" s="80">
        <f t="shared" si="81"/>
        <v>0</v>
      </c>
      <c r="AB292" s="102">
        <f t="shared" si="82"/>
        <v>0.1</v>
      </c>
      <c r="AC292" s="103">
        <f t="shared" si="83"/>
        <v>0</v>
      </c>
      <c r="AD292" s="103">
        <f t="shared" si="84"/>
        <v>0</v>
      </c>
      <c r="AE292" s="81">
        <f t="shared" si="85"/>
        <v>0</v>
      </c>
      <c r="AF292" s="539"/>
      <c r="AG292" s="104">
        <f t="shared" si="86"/>
        <v>1</v>
      </c>
      <c r="AH292" s="7">
        <f t="shared" si="87"/>
        <v>0</v>
      </c>
      <c r="AI292" s="6">
        <f t="shared" si="88"/>
        <v>0</v>
      </c>
      <c r="AJ292" s="73">
        <f t="shared" si="89"/>
        <v>0</v>
      </c>
      <c r="AK292" s="539"/>
      <c r="AL292" s="748"/>
      <c r="AM292" s="748"/>
    </row>
    <row r="293" spans="2:39" x14ac:dyDescent="0.2">
      <c r="B293" s="101" t="str">
        <f t="shared" si="74"/>
        <v/>
      </c>
      <c r="C293" s="168">
        <f>IF(ISERROR(Personalplanung!F85/Monatsplanung!$E85*Monatsplanung!$I85),0,Personalplanung!F85/Monatsplanung!$E85*Monatsplanung!$I85)</f>
        <v>0</v>
      </c>
      <c r="D293" s="168">
        <f t="shared" si="75"/>
        <v>0</v>
      </c>
      <c r="E293" s="168">
        <f>IF(ISERROR(Personalplanung!H85/Monatsplanung!$E85*Monatsplanung!$I85),0,Personalplanung!H85/Monatsplanung!$E85*Monatsplanung!$I85)</f>
        <v>0</v>
      </c>
      <c r="F293" s="168">
        <f t="shared" si="76"/>
        <v>0</v>
      </c>
      <c r="G293" s="168">
        <f t="shared" si="77"/>
        <v>27.700831024930746</v>
      </c>
      <c r="H293" s="168">
        <f t="shared" si="78"/>
        <v>0</v>
      </c>
      <c r="I293" s="168">
        <f t="shared" si="79"/>
        <v>30</v>
      </c>
      <c r="J293" s="739"/>
      <c r="K293" s="168">
        <f>IF(J293&lt;&gt;"",J293,IF(ISERROR(Personalplanung!AB85/Monatsplanung!$E85*Monatsplanung!$I85),0,Personalplanung!AB85/Monatsplanung!$E85*Monatsplanung!$I85))</f>
        <v>0</v>
      </c>
      <c r="L293" s="740"/>
      <c r="M293" s="739"/>
      <c r="N293" s="168">
        <f>IF(M293&lt;&gt;"",M293,IF(ISERROR(Personalplanung!AC85/Monatsplanung!$E85*Monatsplanung!$I85),0,Personalplanung!AC85/Monatsplanung!$E85*Monatsplanung!$I85))</f>
        <v>0</v>
      </c>
      <c r="O293" s="740"/>
      <c r="P293" s="739"/>
      <c r="Q293" s="168">
        <f>IF(P293&lt;&gt;"",P293,IF(ISERROR(Personalplanung!AD85/Monatsplanung!$E85*Monatsplanung!$I85),0,Personalplanung!AD85/Monatsplanung!$E85*Monatsplanung!$I85))</f>
        <v>0</v>
      </c>
      <c r="R293" s="740"/>
      <c r="S293" s="739"/>
      <c r="T293" s="168">
        <f>IF(S293&lt;&gt;"",S293,IF(ISERROR(Personalplanung!AE85/Monatsplanung!$E85*Monatsplanung!$I85),0,Personalplanung!AE85/Monatsplanung!$E85*Monatsplanung!$I85))</f>
        <v>0</v>
      </c>
      <c r="U293" s="740"/>
      <c r="V293" s="168">
        <f t="shared" si="80"/>
        <v>0</v>
      </c>
      <c r="W293" s="168">
        <f>IF(ISERROR(Personalplanung!P85/Monatsplanung!$E85*Monatsplanung!$I85),0,Personalplanung!P85/Monatsplanung!$E85*Monatsplanung!$I85)</f>
        <v>0</v>
      </c>
      <c r="X293" s="168">
        <f>IF(ISERROR(Personalplanung!Q85/Monatsplanung!$E85*Monatsplanung!$I85),0,Personalplanung!Q85/Monatsplanung!$E85*Monatsplanung!$I85)</f>
        <v>0</v>
      </c>
      <c r="Y293" s="168">
        <f>IF(ISERROR(Personalplanung!R85/T1333*Stundencontrolling!T293),0,Personalplanung!R85/T1333*Stundencontrolling!T293)</f>
        <v>0</v>
      </c>
      <c r="Z293" s="168">
        <f>IF(ISERROR(Personalplanung!S85/Monatsplanung!$E85*Monatsplanung!$I85),0,Personalplanung!S85/Monatsplanung!$E85*Monatsplanung!$I85)</f>
        <v>0</v>
      </c>
      <c r="AA293" s="80">
        <f t="shared" si="81"/>
        <v>0</v>
      </c>
      <c r="AB293" s="102">
        <f t="shared" si="82"/>
        <v>0.1</v>
      </c>
      <c r="AC293" s="103">
        <f t="shared" si="83"/>
        <v>0</v>
      </c>
      <c r="AD293" s="103">
        <f t="shared" si="84"/>
        <v>0</v>
      </c>
      <c r="AE293" s="81">
        <f t="shared" si="85"/>
        <v>0</v>
      </c>
      <c r="AF293" s="539"/>
      <c r="AG293" s="104">
        <f t="shared" si="86"/>
        <v>1</v>
      </c>
      <c r="AH293" s="7">
        <f t="shared" si="87"/>
        <v>0</v>
      </c>
      <c r="AI293" s="6">
        <f t="shared" si="88"/>
        <v>0</v>
      </c>
      <c r="AJ293" s="73">
        <f t="shared" si="89"/>
        <v>0</v>
      </c>
      <c r="AK293" s="539"/>
      <c r="AL293" s="748"/>
      <c r="AM293" s="748"/>
    </row>
    <row r="294" spans="2:39" x14ac:dyDescent="0.2">
      <c r="B294" s="101" t="str">
        <f t="shared" si="74"/>
        <v/>
      </c>
      <c r="C294" s="168">
        <f>IF(ISERROR(Personalplanung!F86/Monatsplanung!$E86*Monatsplanung!$I86),0,Personalplanung!F86/Monatsplanung!$E86*Monatsplanung!$I86)</f>
        <v>0</v>
      </c>
      <c r="D294" s="168">
        <f t="shared" si="75"/>
        <v>0</v>
      </c>
      <c r="E294" s="168">
        <f>IF(ISERROR(Personalplanung!H86/Monatsplanung!$E86*Monatsplanung!$I86),0,Personalplanung!H86/Monatsplanung!$E86*Monatsplanung!$I86)</f>
        <v>0</v>
      </c>
      <c r="F294" s="168">
        <f t="shared" si="76"/>
        <v>0</v>
      </c>
      <c r="G294" s="168">
        <f t="shared" si="77"/>
        <v>27.700831024930746</v>
      </c>
      <c r="H294" s="168">
        <f t="shared" si="78"/>
        <v>0</v>
      </c>
      <c r="I294" s="168">
        <f t="shared" si="79"/>
        <v>30</v>
      </c>
      <c r="J294" s="739"/>
      <c r="K294" s="168">
        <f>IF(J294&lt;&gt;"",J294,IF(ISERROR(Personalplanung!AB86/Monatsplanung!$E86*Monatsplanung!$I86),0,Personalplanung!AB86/Monatsplanung!$E86*Monatsplanung!$I86))</f>
        <v>0</v>
      </c>
      <c r="L294" s="740"/>
      <c r="M294" s="739"/>
      <c r="N294" s="168">
        <f>IF(M294&lt;&gt;"",M294,IF(ISERROR(Personalplanung!AC86/Monatsplanung!$E86*Monatsplanung!$I86),0,Personalplanung!AC86/Monatsplanung!$E86*Monatsplanung!$I86))</f>
        <v>0</v>
      </c>
      <c r="O294" s="740"/>
      <c r="P294" s="739"/>
      <c r="Q294" s="168">
        <f>IF(P294&lt;&gt;"",P294,IF(ISERROR(Personalplanung!AD86/Monatsplanung!$E86*Monatsplanung!$I86),0,Personalplanung!AD86/Monatsplanung!$E86*Monatsplanung!$I86))</f>
        <v>0</v>
      </c>
      <c r="R294" s="740"/>
      <c r="S294" s="739"/>
      <c r="T294" s="168">
        <f>IF(S294&lt;&gt;"",S294,IF(ISERROR(Personalplanung!AE86/Monatsplanung!$E86*Monatsplanung!$I86),0,Personalplanung!AE86/Monatsplanung!$E86*Monatsplanung!$I86))</f>
        <v>0</v>
      </c>
      <c r="U294" s="740"/>
      <c r="V294" s="168">
        <f t="shared" si="80"/>
        <v>0</v>
      </c>
      <c r="W294" s="168">
        <f>IF(ISERROR(Personalplanung!P86/Monatsplanung!$E86*Monatsplanung!$I86),0,Personalplanung!P86/Monatsplanung!$E86*Monatsplanung!$I86)</f>
        <v>0</v>
      </c>
      <c r="X294" s="168">
        <f>IF(ISERROR(Personalplanung!Q86/Monatsplanung!$E86*Monatsplanung!$I86),0,Personalplanung!Q86/Monatsplanung!$E86*Monatsplanung!$I86)</f>
        <v>0</v>
      </c>
      <c r="Y294" s="168">
        <f>IF(ISERROR(Personalplanung!R86/T1334*Stundencontrolling!T294),0,Personalplanung!R86/T1334*Stundencontrolling!T294)</f>
        <v>0</v>
      </c>
      <c r="Z294" s="168">
        <f>IF(ISERROR(Personalplanung!S86/Monatsplanung!$E86*Monatsplanung!$I86),0,Personalplanung!S86/Monatsplanung!$E86*Monatsplanung!$I86)</f>
        <v>0</v>
      </c>
      <c r="AA294" s="80">
        <f t="shared" si="81"/>
        <v>0</v>
      </c>
      <c r="AB294" s="102">
        <f t="shared" si="82"/>
        <v>0.1</v>
      </c>
      <c r="AC294" s="103">
        <f t="shared" si="83"/>
        <v>0</v>
      </c>
      <c r="AD294" s="103">
        <f t="shared" si="84"/>
        <v>0</v>
      </c>
      <c r="AE294" s="81">
        <f t="shared" si="85"/>
        <v>0</v>
      </c>
      <c r="AF294" s="539"/>
      <c r="AG294" s="104">
        <f t="shared" si="86"/>
        <v>1</v>
      </c>
      <c r="AH294" s="7">
        <f t="shared" si="87"/>
        <v>0</v>
      </c>
      <c r="AI294" s="6">
        <f t="shared" si="88"/>
        <v>0</v>
      </c>
      <c r="AJ294" s="73">
        <f t="shared" si="89"/>
        <v>0</v>
      </c>
      <c r="AK294" s="539"/>
      <c r="AL294" s="748"/>
      <c r="AM294" s="748"/>
    </row>
    <row r="295" spans="2:39" x14ac:dyDescent="0.2">
      <c r="B295" s="101" t="str">
        <f t="shared" si="74"/>
        <v/>
      </c>
      <c r="C295" s="168">
        <f>IF(ISERROR(Personalplanung!F87/Monatsplanung!$E87*Monatsplanung!$I87),0,Personalplanung!F87/Monatsplanung!$E87*Monatsplanung!$I87)</f>
        <v>0</v>
      </c>
      <c r="D295" s="168">
        <f t="shared" si="75"/>
        <v>0</v>
      </c>
      <c r="E295" s="168">
        <f>IF(ISERROR(Personalplanung!H87/Monatsplanung!$E87*Monatsplanung!$I87),0,Personalplanung!H87/Monatsplanung!$E87*Monatsplanung!$I87)</f>
        <v>0</v>
      </c>
      <c r="F295" s="168">
        <f t="shared" si="76"/>
        <v>0</v>
      </c>
      <c r="G295" s="168">
        <f t="shared" si="77"/>
        <v>27.700831024930746</v>
      </c>
      <c r="H295" s="168">
        <f t="shared" si="78"/>
        <v>0</v>
      </c>
      <c r="I295" s="168">
        <f t="shared" si="79"/>
        <v>30</v>
      </c>
      <c r="J295" s="739"/>
      <c r="K295" s="168">
        <f>IF(J295&lt;&gt;"",J295,IF(ISERROR(Personalplanung!AB87/Monatsplanung!$E87*Monatsplanung!$I87),0,Personalplanung!AB87/Monatsplanung!$E87*Monatsplanung!$I87))</f>
        <v>0</v>
      </c>
      <c r="L295" s="740"/>
      <c r="M295" s="739"/>
      <c r="N295" s="168">
        <f>IF(M295&lt;&gt;"",M295,IF(ISERROR(Personalplanung!AC87/Monatsplanung!$E87*Monatsplanung!$I87),0,Personalplanung!AC87/Monatsplanung!$E87*Monatsplanung!$I87))</f>
        <v>0</v>
      </c>
      <c r="O295" s="740"/>
      <c r="P295" s="739"/>
      <c r="Q295" s="168">
        <f>IF(P295&lt;&gt;"",P295,IF(ISERROR(Personalplanung!AD87/Monatsplanung!$E87*Monatsplanung!$I87),0,Personalplanung!AD87/Monatsplanung!$E87*Monatsplanung!$I87))</f>
        <v>0</v>
      </c>
      <c r="R295" s="740"/>
      <c r="S295" s="739"/>
      <c r="T295" s="168">
        <f>IF(S295&lt;&gt;"",S295,IF(ISERROR(Personalplanung!AE87/Monatsplanung!$E87*Monatsplanung!$I87),0,Personalplanung!AE87/Monatsplanung!$E87*Monatsplanung!$I87))</f>
        <v>0</v>
      </c>
      <c r="U295" s="740"/>
      <c r="V295" s="168">
        <f t="shared" si="80"/>
        <v>0</v>
      </c>
      <c r="W295" s="168">
        <f>IF(ISERROR(Personalplanung!P87/Monatsplanung!$E87*Monatsplanung!$I87),0,Personalplanung!P87/Monatsplanung!$E87*Monatsplanung!$I87)</f>
        <v>0</v>
      </c>
      <c r="X295" s="168">
        <f>IF(ISERROR(Personalplanung!Q87/Monatsplanung!$E87*Monatsplanung!$I87),0,Personalplanung!Q87/Monatsplanung!$E87*Monatsplanung!$I87)</f>
        <v>0</v>
      </c>
      <c r="Y295" s="168">
        <f>IF(ISERROR(Personalplanung!R87/T1335*Stundencontrolling!T295),0,Personalplanung!R87/T1335*Stundencontrolling!T295)</f>
        <v>0</v>
      </c>
      <c r="Z295" s="168">
        <f>IF(ISERROR(Personalplanung!S87/Monatsplanung!$E87*Monatsplanung!$I87),0,Personalplanung!S87/Monatsplanung!$E87*Monatsplanung!$I87)</f>
        <v>0</v>
      </c>
      <c r="AA295" s="80">
        <f t="shared" si="81"/>
        <v>0</v>
      </c>
      <c r="AB295" s="102">
        <f t="shared" si="82"/>
        <v>0.1</v>
      </c>
      <c r="AC295" s="103">
        <f t="shared" si="83"/>
        <v>0</v>
      </c>
      <c r="AD295" s="103">
        <f t="shared" si="84"/>
        <v>0</v>
      </c>
      <c r="AE295" s="81">
        <f t="shared" si="85"/>
        <v>0</v>
      </c>
      <c r="AF295" s="539"/>
      <c r="AG295" s="104">
        <f t="shared" si="86"/>
        <v>1</v>
      </c>
      <c r="AH295" s="7">
        <f t="shared" si="87"/>
        <v>0</v>
      </c>
      <c r="AI295" s="6">
        <f t="shared" si="88"/>
        <v>0</v>
      </c>
      <c r="AJ295" s="73">
        <f t="shared" si="89"/>
        <v>0</v>
      </c>
      <c r="AK295" s="539"/>
      <c r="AL295" s="748"/>
      <c r="AM295" s="748"/>
    </row>
    <row r="296" spans="2:39" x14ac:dyDescent="0.2">
      <c r="B296" s="101" t="str">
        <f t="shared" si="74"/>
        <v/>
      </c>
      <c r="C296" s="168">
        <f>IF(ISERROR(Personalplanung!F88/Monatsplanung!$E88*Monatsplanung!$I88),0,Personalplanung!F88/Monatsplanung!$E88*Monatsplanung!$I88)</f>
        <v>0</v>
      </c>
      <c r="D296" s="168">
        <f t="shared" si="75"/>
        <v>0</v>
      </c>
      <c r="E296" s="168">
        <f>IF(ISERROR(Personalplanung!H88/Monatsplanung!$E88*Monatsplanung!$I88),0,Personalplanung!H88/Monatsplanung!$E88*Monatsplanung!$I88)</f>
        <v>0</v>
      </c>
      <c r="F296" s="168">
        <f t="shared" si="76"/>
        <v>0</v>
      </c>
      <c r="G296" s="168">
        <f t="shared" si="77"/>
        <v>27.700831024930746</v>
      </c>
      <c r="H296" s="168">
        <f t="shared" si="78"/>
        <v>0</v>
      </c>
      <c r="I296" s="168">
        <f t="shared" si="79"/>
        <v>30</v>
      </c>
      <c r="J296" s="739"/>
      <c r="K296" s="168">
        <f>IF(J296&lt;&gt;"",J296,IF(ISERROR(Personalplanung!AB88/Monatsplanung!$E88*Monatsplanung!$I88),0,Personalplanung!AB88/Monatsplanung!$E88*Monatsplanung!$I88))</f>
        <v>0</v>
      </c>
      <c r="L296" s="740"/>
      <c r="M296" s="739"/>
      <c r="N296" s="168">
        <f>IF(M296&lt;&gt;"",M296,IF(ISERROR(Personalplanung!AC88/Monatsplanung!$E88*Monatsplanung!$I88),0,Personalplanung!AC88/Monatsplanung!$E88*Monatsplanung!$I88))</f>
        <v>0</v>
      </c>
      <c r="O296" s="740"/>
      <c r="P296" s="739"/>
      <c r="Q296" s="168">
        <f>IF(P296&lt;&gt;"",P296,IF(ISERROR(Personalplanung!AD88/Monatsplanung!$E88*Monatsplanung!$I88),0,Personalplanung!AD88/Monatsplanung!$E88*Monatsplanung!$I88))</f>
        <v>0</v>
      </c>
      <c r="R296" s="740"/>
      <c r="S296" s="739"/>
      <c r="T296" s="168">
        <f>IF(S296&lt;&gt;"",S296,IF(ISERROR(Personalplanung!AE88/Monatsplanung!$E88*Monatsplanung!$I88),0,Personalplanung!AE88/Monatsplanung!$E88*Monatsplanung!$I88))</f>
        <v>0</v>
      </c>
      <c r="U296" s="740"/>
      <c r="V296" s="168">
        <f t="shared" si="80"/>
        <v>0</v>
      </c>
      <c r="W296" s="168">
        <f>IF(ISERROR(Personalplanung!P88/Monatsplanung!$E88*Monatsplanung!$I88),0,Personalplanung!P88/Monatsplanung!$E88*Monatsplanung!$I88)</f>
        <v>0</v>
      </c>
      <c r="X296" s="168">
        <f>IF(ISERROR(Personalplanung!Q88/Monatsplanung!$E88*Monatsplanung!$I88),0,Personalplanung!Q88/Monatsplanung!$E88*Monatsplanung!$I88)</f>
        <v>0</v>
      </c>
      <c r="Y296" s="168">
        <f>IF(ISERROR(Personalplanung!R88/T1336*Stundencontrolling!T296),0,Personalplanung!R88/T1336*Stundencontrolling!T296)</f>
        <v>0</v>
      </c>
      <c r="Z296" s="168">
        <f>IF(ISERROR(Personalplanung!S88/Monatsplanung!$E88*Monatsplanung!$I88),0,Personalplanung!S88/Monatsplanung!$E88*Monatsplanung!$I88)</f>
        <v>0</v>
      </c>
      <c r="AA296" s="80">
        <f t="shared" si="81"/>
        <v>0</v>
      </c>
      <c r="AB296" s="102">
        <f t="shared" si="82"/>
        <v>0.1</v>
      </c>
      <c r="AC296" s="103">
        <f t="shared" si="83"/>
        <v>0</v>
      </c>
      <c r="AD296" s="103">
        <f t="shared" si="84"/>
        <v>0</v>
      </c>
      <c r="AE296" s="81">
        <f t="shared" si="85"/>
        <v>0</v>
      </c>
      <c r="AF296" s="539"/>
      <c r="AG296" s="104">
        <f t="shared" si="86"/>
        <v>1</v>
      </c>
      <c r="AH296" s="7">
        <f t="shared" si="87"/>
        <v>0</v>
      </c>
      <c r="AI296" s="6">
        <f t="shared" si="88"/>
        <v>0</v>
      </c>
      <c r="AJ296" s="73">
        <f t="shared" si="89"/>
        <v>0</v>
      </c>
      <c r="AK296" s="539"/>
      <c r="AL296" s="748"/>
      <c r="AM296" s="748"/>
    </row>
    <row r="297" spans="2:39" x14ac:dyDescent="0.2">
      <c r="B297" s="101" t="str">
        <f t="shared" si="74"/>
        <v/>
      </c>
      <c r="C297" s="168">
        <f>IF(ISERROR(Personalplanung!F89/Monatsplanung!$E89*Monatsplanung!$I89),0,Personalplanung!F89/Monatsplanung!$E89*Monatsplanung!$I89)</f>
        <v>0</v>
      </c>
      <c r="D297" s="168">
        <f t="shared" si="75"/>
        <v>0</v>
      </c>
      <c r="E297" s="168">
        <f>IF(ISERROR(Personalplanung!H89/Monatsplanung!$E89*Monatsplanung!$I89),0,Personalplanung!H89/Monatsplanung!$E89*Monatsplanung!$I89)</f>
        <v>0</v>
      </c>
      <c r="F297" s="168">
        <f t="shared" si="76"/>
        <v>0</v>
      </c>
      <c r="G297" s="168">
        <f t="shared" si="77"/>
        <v>27.700831024930746</v>
      </c>
      <c r="H297" s="168">
        <f t="shared" si="78"/>
        <v>0</v>
      </c>
      <c r="I297" s="168">
        <f t="shared" si="79"/>
        <v>30</v>
      </c>
      <c r="J297" s="739"/>
      <c r="K297" s="168">
        <f>IF(J297&lt;&gt;"",J297,IF(ISERROR(Personalplanung!AB89/Monatsplanung!$E89*Monatsplanung!$I89),0,Personalplanung!AB89/Monatsplanung!$E89*Monatsplanung!$I89))</f>
        <v>0</v>
      </c>
      <c r="L297" s="740"/>
      <c r="M297" s="739"/>
      <c r="N297" s="168">
        <f>IF(M297&lt;&gt;"",M297,IF(ISERROR(Personalplanung!AC89/Monatsplanung!$E89*Monatsplanung!$I89),0,Personalplanung!AC89/Monatsplanung!$E89*Monatsplanung!$I89))</f>
        <v>0</v>
      </c>
      <c r="O297" s="740"/>
      <c r="P297" s="739"/>
      <c r="Q297" s="168">
        <f>IF(P297&lt;&gt;"",P297,IF(ISERROR(Personalplanung!AD89/Monatsplanung!$E89*Monatsplanung!$I89),0,Personalplanung!AD89/Monatsplanung!$E89*Monatsplanung!$I89))</f>
        <v>0</v>
      </c>
      <c r="R297" s="740"/>
      <c r="S297" s="739"/>
      <c r="T297" s="168">
        <f>IF(S297&lt;&gt;"",S297,IF(ISERROR(Personalplanung!AE89/Monatsplanung!$E89*Monatsplanung!$I89),0,Personalplanung!AE89/Monatsplanung!$E89*Monatsplanung!$I89))</f>
        <v>0</v>
      </c>
      <c r="U297" s="740"/>
      <c r="V297" s="168">
        <f t="shared" si="80"/>
        <v>0</v>
      </c>
      <c r="W297" s="168">
        <f>IF(ISERROR(Personalplanung!P89/Monatsplanung!$E89*Monatsplanung!$I89),0,Personalplanung!P89/Monatsplanung!$E89*Monatsplanung!$I89)</f>
        <v>0</v>
      </c>
      <c r="X297" s="168">
        <f>IF(ISERROR(Personalplanung!Q89/Monatsplanung!$E89*Monatsplanung!$I89),0,Personalplanung!Q89/Monatsplanung!$E89*Monatsplanung!$I89)</f>
        <v>0</v>
      </c>
      <c r="Y297" s="168">
        <f>IF(ISERROR(Personalplanung!R89/T1337*Stundencontrolling!T297),0,Personalplanung!R89/T1337*Stundencontrolling!T297)</f>
        <v>0</v>
      </c>
      <c r="Z297" s="168">
        <f>IF(ISERROR(Personalplanung!S89/Monatsplanung!$E89*Monatsplanung!$I89),0,Personalplanung!S89/Monatsplanung!$E89*Monatsplanung!$I89)</f>
        <v>0</v>
      </c>
      <c r="AA297" s="80">
        <f t="shared" si="81"/>
        <v>0</v>
      </c>
      <c r="AB297" s="102">
        <f t="shared" si="82"/>
        <v>0.1</v>
      </c>
      <c r="AC297" s="103">
        <f t="shared" si="83"/>
        <v>0</v>
      </c>
      <c r="AD297" s="103">
        <f t="shared" si="84"/>
        <v>0</v>
      </c>
      <c r="AE297" s="81">
        <f t="shared" si="85"/>
        <v>0</v>
      </c>
      <c r="AF297" s="539"/>
      <c r="AG297" s="104">
        <f t="shared" si="86"/>
        <v>1</v>
      </c>
      <c r="AH297" s="7">
        <f t="shared" si="87"/>
        <v>0</v>
      </c>
      <c r="AI297" s="6">
        <f t="shared" si="88"/>
        <v>0</v>
      </c>
      <c r="AJ297" s="73">
        <f t="shared" si="89"/>
        <v>0</v>
      </c>
      <c r="AK297" s="539"/>
      <c r="AL297" s="748"/>
      <c r="AM297" s="748"/>
    </row>
    <row r="298" spans="2:39" x14ac:dyDescent="0.2">
      <c r="B298" s="101" t="str">
        <f t="shared" si="74"/>
        <v/>
      </c>
      <c r="C298" s="168">
        <f>IF(ISERROR(Personalplanung!F90/Monatsplanung!$E90*Monatsplanung!$I90),0,Personalplanung!F90/Monatsplanung!$E90*Monatsplanung!$I90)</f>
        <v>0</v>
      </c>
      <c r="D298" s="168">
        <f t="shared" si="75"/>
        <v>0</v>
      </c>
      <c r="E298" s="168">
        <f>IF(ISERROR(Personalplanung!H90/Monatsplanung!$E90*Monatsplanung!$I90),0,Personalplanung!H90/Monatsplanung!$E90*Monatsplanung!$I90)</f>
        <v>0</v>
      </c>
      <c r="F298" s="168">
        <f t="shared" si="76"/>
        <v>0</v>
      </c>
      <c r="G298" s="168">
        <f t="shared" si="77"/>
        <v>27.700831024930746</v>
      </c>
      <c r="H298" s="168">
        <f t="shared" si="78"/>
        <v>0</v>
      </c>
      <c r="I298" s="168">
        <f t="shared" si="79"/>
        <v>30</v>
      </c>
      <c r="J298" s="739"/>
      <c r="K298" s="168">
        <f>IF(J298&lt;&gt;"",J298,IF(ISERROR(Personalplanung!AB90/Monatsplanung!$E90*Monatsplanung!$I90),0,Personalplanung!AB90/Monatsplanung!$E90*Monatsplanung!$I90))</f>
        <v>0</v>
      </c>
      <c r="L298" s="740"/>
      <c r="M298" s="739"/>
      <c r="N298" s="168">
        <f>IF(M298&lt;&gt;"",M298,IF(ISERROR(Personalplanung!AC90/Monatsplanung!$E90*Monatsplanung!$I90),0,Personalplanung!AC90/Monatsplanung!$E90*Monatsplanung!$I90))</f>
        <v>0</v>
      </c>
      <c r="O298" s="740"/>
      <c r="P298" s="739"/>
      <c r="Q298" s="168">
        <f>IF(P298&lt;&gt;"",P298,IF(ISERROR(Personalplanung!AD90/Monatsplanung!$E90*Monatsplanung!$I90),0,Personalplanung!AD90/Monatsplanung!$E90*Monatsplanung!$I90))</f>
        <v>0</v>
      </c>
      <c r="R298" s="740"/>
      <c r="S298" s="739"/>
      <c r="T298" s="168">
        <f>IF(S298&lt;&gt;"",S298,IF(ISERROR(Personalplanung!AE90/Monatsplanung!$E90*Monatsplanung!$I90),0,Personalplanung!AE90/Monatsplanung!$E90*Monatsplanung!$I90))</f>
        <v>0</v>
      </c>
      <c r="U298" s="740"/>
      <c r="V298" s="168">
        <f t="shared" si="80"/>
        <v>0</v>
      </c>
      <c r="W298" s="168">
        <f>IF(ISERROR(Personalplanung!P90/Monatsplanung!$E90*Monatsplanung!$I90),0,Personalplanung!P90/Monatsplanung!$E90*Monatsplanung!$I90)</f>
        <v>0</v>
      </c>
      <c r="X298" s="168">
        <f>IF(ISERROR(Personalplanung!Q90/Monatsplanung!$E90*Monatsplanung!$I90),0,Personalplanung!Q90/Monatsplanung!$E90*Monatsplanung!$I90)</f>
        <v>0</v>
      </c>
      <c r="Y298" s="168">
        <f>IF(ISERROR(Personalplanung!R90/T1338*Stundencontrolling!T298),0,Personalplanung!R90/T1338*Stundencontrolling!T298)</f>
        <v>0</v>
      </c>
      <c r="Z298" s="168">
        <f>IF(ISERROR(Personalplanung!S90/Monatsplanung!$E90*Monatsplanung!$I90),0,Personalplanung!S90/Monatsplanung!$E90*Monatsplanung!$I90)</f>
        <v>0</v>
      </c>
      <c r="AA298" s="80">
        <f t="shared" si="81"/>
        <v>0</v>
      </c>
      <c r="AB298" s="102">
        <f t="shared" si="82"/>
        <v>0.1</v>
      </c>
      <c r="AC298" s="103">
        <f t="shared" si="83"/>
        <v>0</v>
      </c>
      <c r="AD298" s="103">
        <f t="shared" si="84"/>
        <v>0</v>
      </c>
      <c r="AE298" s="81">
        <f t="shared" si="85"/>
        <v>0</v>
      </c>
      <c r="AF298" s="539"/>
      <c r="AG298" s="104">
        <f t="shared" si="86"/>
        <v>1</v>
      </c>
      <c r="AH298" s="7">
        <f t="shared" si="87"/>
        <v>0</v>
      </c>
      <c r="AI298" s="6">
        <f t="shared" si="88"/>
        <v>0</v>
      </c>
      <c r="AJ298" s="73">
        <f t="shared" si="89"/>
        <v>0</v>
      </c>
      <c r="AK298" s="539"/>
      <c r="AL298" s="748"/>
      <c r="AM298" s="748"/>
    </row>
    <row r="299" spans="2:39" x14ac:dyDescent="0.2">
      <c r="B299" s="101" t="str">
        <f t="shared" si="74"/>
        <v/>
      </c>
      <c r="C299" s="168">
        <f>IF(ISERROR(Personalplanung!F91/Monatsplanung!$E91*Monatsplanung!$I91),0,Personalplanung!F91/Monatsplanung!$E91*Monatsplanung!$I91)</f>
        <v>0</v>
      </c>
      <c r="D299" s="168">
        <f t="shared" si="75"/>
        <v>0</v>
      </c>
      <c r="E299" s="168">
        <f>IF(ISERROR(Personalplanung!H91/Monatsplanung!$E91*Monatsplanung!$I91),0,Personalplanung!H91/Monatsplanung!$E91*Monatsplanung!$I91)</f>
        <v>0</v>
      </c>
      <c r="F299" s="168">
        <f t="shared" si="76"/>
        <v>0</v>
      </c>
      <c r="G299" s="168">
        <f t="shared" si="77"/>
        <v>27.700831024930746</v>
      </c>
      <c r="H299" s="168">
        <f t="shared" si="78"/>
        <v>0</v>
      </c>
      <c r="I299" s="168">
        <f t="shared" si="79"/>
        <v>30</v>
      </c>
      <c r="J299" s="739"/>
      <c r="K299" s="168">
        <f>IF(J299&lt;&gt;"",J299,IF(ISERROR(Personalplanung!AB91/Monatsplanung!$E91*Monatsplanung!$I91),0,Personalplanung!AB91/Monatsplanung!$E91*Monatsplanung!$I91))</f>
        <v>0</v>
      </c>
      <c r="L299" s="740"/>
      <c r="M299" s="739"/>
      <c r="N299" s="168">
        <f>IF(M299&lt;&gt;"",M299,IF(ISERROR(Personalplanung!AC91/Monatsplanung!$E91*Monatsplanung!$I91),0,Personalplanung!AC91/Monatsplanung!$E91*Monatsplanung!$I91))</f>
        <v>0</v>
      </c>
      <c r="O299" s="740"/>
      <c r="P299" s="739"/>
      <c r="Q299" s="168">
        <f>IF(P299&lt;&gt;"",P299,IF(ISERROR(Personalplanung!AD91/Monatsplanung!$E91*Monatsplanung!$I91),0,Personalplanung!AD91/Monatsplanung!$E91*Monatsplanung!$I91))</f>
        <v>0</v>
      </c>
      <c r="R299" s="740"/>
      <c r="S299" s="739"/>
      <c r="T299" s="168">
        <f>IF(S299&lt;&gt;"",S299,IF(ISERROR(Personalplanung!AE91/Monatsplanung!$E91*Monatsplanung!$I91),0,Personalplanung!AE91/Monatsplanung!$E91*Monatsplanung!$I91))</f>
        <v>0</v>
      </c>
      <c r="U299" s="740"/>
      <c r="V299" s="168">
        <f t="shared" si="80"/>
        <v>0</v>
      </c>
      <c r="W299" s="168">
        <f>IF(ISERROR(Personalplanung!P91/Monatsplanung!$E91*Monatsplanung!$I91),0,Personalplanung!P91/Monatsplanung!$E91*Monatsplanung!$I91)</f>
        <v>0</v>
      </c>
      <c r="X299" s="168">
        <f>IF(ISERROR(Personalplanung!Q91/Monatsplanung!$E91*Monatsplanung!$I91),0,Personalplanung!Q91/Monatsplanung!$E91*Monatsplanung!$I91)</f>
        <v>0</v>
      </c>
      <c r="Y299" s="168">
        <f>IF(ISERROR(Personalplanung!R91/T1339*Stundencontrolling!T299),0,Personalplanung!R91/T1339*Stundencontrolling!T299)</f>
        <v>0</v>
      </c>
      <c r="Z299" s="168">
        <f>IF(ISERROR(Personalplanung!S91/Monatsplanung!$E91*Monatsplanung!$I91),0,Personalplanung!S91/Monatsplanung!$E91*Monatsplanung!$I91)</f>
        <v>0</v>
      </c>
      <c r="AA299" s="80">
        <f t="shared" si="81"/>
        <v>0</v>
      </c>
      <c r="AB299" s="102">
        <f t="shared" si="82"/>
        <v>0.1</v>
      </c>
      <c r="AC299" s="103">
        <f t="shared" si="83"/>
        <v>0</v>
      </c>
      <c r="AD299" s="103">
        <f t="shared" si="84"/>
        <v>0</v>
      </c>
      <c r="AE299" s="81">
        <f t="shared" si="85"/>
        <v>0</v>
      </c>
      <c r="AF299" s="539"/>
      <c r="AG299" s="104">
        <f t="shared" si="86"/>
        <v>1</v>
      </c>
      <c r="AH299" s="7">
        <f t="shared" si="87"/>
        <v>0</v>
      </c>
      <c r="AI299" s="6">
        <f t="shared" si="88"/>
        <v>0</v>
      </c>
      <c r="AJ299" s="73">
        <f t="shared" si="89"/>
        <v>0</v>
      </c>
      <c r="AK299" s="539"/>
      <c r="AL299" s="748"/>
      <c r="AM299" s="748"/>
    </row>
    <row r="300" spans="2:39" x14ac:dyDescent="0.2">
      <c r="B300" s="101" t="str">
        <f t="shared" si="74"/>
        <v/>
      </c>
      <c r="C300" s="168">
        <f>IF(ISERROR(Personalplanung!F92/Monatsplanung!$E92*Monatsplanung!$I92),0,Personalplanung!F92/Monatsplanung!$E92*Monatsplanung!$I92)</f>
        <v>0</v>
      </c>
      <c r="D300" s="168">
        <f t="shared" si="75"/>
        <v>0</v>
      </c>
      <c r="E300" s="168">
        <f>IF(ISERROR(Personalplanung!H92/Monatsplanung!$E92*Monatsplanung!$I92),0,Personalplanung!H92/Monatsplanung!$E92*Monatsplanung!$I92)</f>
        <v>0</v>
      </c>
      <c r="F300" s="168">
        <f t="shared" si="76"/>
        <v>0</v>
      </c>
      <c r="G300" s="168">
        <f t="shared" si="77"/>
        <v>27.700831024930746</v>
      </c>
      <c r="H300" s="168">
        <f t="shared" si="78"/>
        <v>0</v>
      </c>
      <c r="I300" s="168">
        <f t="shared" si="79"/>
        <v>30</v>
      </c>
      <c r="J300" s="739"/>
      <c r="K300" s="168">
        <f>IF(J300&lt;&gt;"",J300,IF(ISERROR(Personalplanung!AB92/Monatsplanung!$E92*Monatsplanung!$I92),0,Personalplanung!AB92/Monatsplanung!$E92*Monatsplanung!$I92))</f>
        <v>0</v>
      </c>
      <c r="L300" s="740"/>
      <c r="M300" s="739"/>
      <c r="N300" s="168">
        <f>IF(M300&lt;&gt;"",M300,IF(ISERROR(Personalplanung!AC92/Monatsplanung!$E92*Monatsplanung!$I92),0,Personalplanung!AC92/Monatsplanung!$E92*Monatsplanung!$I92))</f>
        <v>0</v>
      </c>
      <c r="O300" s="740"/>
      <c r="P300" s="739"/>
      <c r="Q300" s="168">
        <f>IF(P300&lt;&gt;"",P300,IF(ISERROR(Personalplanung!AD92/Monatsplanung!$E92*Monatsplanung!$I92),0,Personalplanung!AD92/Monatsplanung!$E92*Monatsplanung!$I92))</f>
        <v>0</v>
      </c>
      <c r="R300" s="740"/>
      <c r="S300" s="739"/>
      <c r="T300" s="168">
        <f>IF(S300&lt;&gt;"",S300,IF(ISERROR(Personalplanung!AE92/Monatsplanung!$E92*Monatsplanung!$I92),0,Personalplanung!AE92/Monatsplanung!$E92*Monatsplanung!$I92))</f>
        <v>0</v>
      </c>
      <c r="U300" s="740"/>
      <c r="V300" s="168">
        <f t="shared" si="80"/>
        <v>0</v>
      </c>
      <c r="W300" s="168">
        <f>IF(ISERROR(Personalplanung!P92/Monatsplanung!$E92*Monatsplanung!$I92),0,Personalplanung!P92/Monatsplanung!$E92*Monatsplanung!$I92)</f>
        <v>0</v>
      </c>
      <c r="X300" s="168">
        <f>IF(ISERROR(Personalplanung!Q92/Monatsplanung!$E92*Monatsplanung!$I92),0,Personalplanung!Q92/Monatsplanung!$E92*Monatsplanung!$I92)</f>
        <v>0</v>
      </c>
      <c r="Y300" s="168">
        <f>IF(ISERROR(Personalplanung!R92/T1340*Stundencontrolling!T300),0,Personalplanung!R92/T1340*Stundencontrolling!T300)</f>
        <v>0</v>
      </c>
      <c r="Z300" s="168">
        <f>IF(ISERROR(Personalplanung!S92/Monatsplanung!$E92*Monatsplanung!$I92),0,Personalplanung!S92/Monatsplanung!$E92*Monatsplanung!$I92)</f>
        <v>0</v>
      </c>
      <c r="AA300" s="80">
        <f t="shared" si="81"/>
        <v>0</v>
      </c>
      <c r="AB300" s="102">
        <f t="shared" si="82"/>
        <v>0.1</v>
      </c>
      <c r="AC300" s="103">
        <f t="shared" si="83"/>
        <v>0</v>
      </c>
      <c r="AD300" s="103">
        <f t="shared" si="84"/>
        <v>0</v>
      </c>
      <c r="AE300" s="81">
        <f t="shared" si="85"/>
        <v>0</v>
      </c>
      <c r="AF300" s="539"/>
      <c r="AG300" s="104">
        <f t="shared" si="86"/>
        <v>1</v>
      </c>
      <c r="AH300" s="7">
        <f t="shared" si="87"/>
        <v>0</v>
      </c>
      <c r="AI300" s="6">
        <f t="shared" si="88"/>
        <v>0</v>
      </c>
      <c r="AJ300" s="73">
        <f t="shared" si="89"/>
        <v>0</v>
      </c>
      <c r="AK300" s="539"/>
      <c r="AL300" s="748"/>
      <c r="AM300" s="748"/>
    </row>
    <row r="301" spans="2:39" x14ac:dyDescent="0.2">
      <c r="B301" s="101" t="str">
        <f t="shared" si="74"/>
        <v/>
      </c>
      <c r="C301" s="168">
        <f>IF(ISERROR(Personalplanung!F93/Monatsplanung!$E93*Monatsplanung!$I93),0,Personalplanung!F93/Monatsplanung!$E93*Monatsplanung!$I93)</f>
        <v>0</v>
      </c>
      <c r="D301" s="168">
        <f t="shared" si="75"/>
        <v>0</v>
      </c>
      <c r="E301" s="168">
        <f>IF(ISERROR(Personalplanung!H93/Monatsplanung!$E93*Monatsplanung!$I93),0,Personalplanung!H93/Monatsplanung!$E93*Monatsplanung!$I93)</f>
        <v>0</v>
      </c>
      <c r="F301" s="168">
        <f t="shared" si="76"/>
        <v>0</v>
      </c>
      <c r="G301" s="168">
        <f t="shared" si="77"/>
        <v>27.700831024930746</v>
      </c>
      <c r="H301" s="168">
        <f t="shared" si="78"/>
        <v>0</v>
      </c>
      <c r="I301" s="168">
        <f t="shared" si="79"/>
        <v>30</v>
      </c>
      <c r="J301" s="739"/>
      <c r="K301" s="168">
        <f>IF(J301&lt;&gt;"",J301,IF(ISERROR(Personalplanung!AB93/Monatsplanung!$E93*Monatsplanung!$I93),0,Personalplanung!AB93/Monatsplanung!$E93*Monatsplanung!$I93))</f>
        <v>0</v>
      </c>
      <c r="L301" s="740"/>
      <c r="M301" s="739"/>
      <c r="N301" s="168">
        <f>IF(M301&lt;&gt;"",M301,IF(ISERROR(Personalplanung!AC93/Monatsplanung!$E93*Monatsplanung!$I93),0,Personalplanung!AC93/Monatsplanung!$E93*Monatsplanung!$I93))</f>
        <v>0</v>
      </c>
      <c r="O301" s="740"/>
      <c r="P301" s="739"/>
      <c r="Q301" s="168">
        <f>IF(P301&lt;&gt;"",P301,IF(ISERROR(Personalplanung!AD93/Monatsplanung!$E93*Monatsplanung!$I93),0,Personalplanung!AD93/Monatsplanung!$E93*Monatsplanung!$I93))</f>
        <v>0</v>
      </c>
      <c r="R301" s="740"/>
      <c r="S301" s="739"/>
      <c r="T301" s="168">
        <f>IF(S301&lt;&gt;"",S301,IF(ISERROR(Personalplanung!AE93/Monatsplanung!$E93*Monatsplanung!$I93),0,Personalplanung!AE93/Monatsplanung!$E93*Monatsplanung!$I93))</f>
        <v>0</v>
      </c>
      <c r="U301" s="740"/>
      <c r="V301" s="168">
        <f t="shared" si="80"/>
        <v>0</v>
      </c>
      <c r="W301" s="168">
        <f>IF(ISERROR(Personalplanung!P93/Monatsplanung!$E93*Monatsplanung!$I93),0,Personalplanung!P93/Monatsplanung!$E93*Monatsplanung!$I93)</f>
        <v>0</v>
      </c>
      <c r="X301" s="168">
        <f>IF(ISERROR(Personalplanung!Q93/Monatsplanung!$E93*Monatsplanung!$I93),0,Personalplanung!Q93/Monatsplanung!$E93*Monatsplanung!$I93)</f>
        <v>0</v>
      </c>
      <c r="Y301" s="168">
        <f>IF(ISERROR(Personalplanung!R93/T1341*Stundencontrolling!T301),0,Personalplanung!R93/T1341*Stundencontrolling!T301)</f>
        <v>0</v>
      </c>
      <c r="Z301" s="168">
        <f>IF(ISERROR(Personalplanung!S93/Monatsplanung!$E93*Monatsplanung!$I93),0,Personalplanung!S93/Monatsplanung!$E93*Monatsplanung!$I93)</f>
        <v>0</v>
      </c>
      <c r="AA301" s="80">
        <f t="shared" si="81"/>
        <v>0</v>
      </c>
      <c r="AB301" s="102">
        <f t="shared" si="82"/>
        <v>0.1</v>
      </c>
      <c r="AC301" s="103">
        <f t="shared" si="83"/>
        <v>0</v>
      </c>
      <c r="AD301" s="103">
        <f t="shared" si="84"/>
        <v>0</v>
      </c>
      <c r="AE301" s="81">
        <f t="shared" si="85"/>
        <v>0</v>
      </c>
      <c r="AF301" s="539"/>
      <c r="AG301" s="104">
        <f t="shared" si="86"/>
        <v>1</v>
      </c>
      <c r="AH301" s="7">
        <f t="shared" si="87"/>
        <v>0</v>
      </c>
      <c r="AI301" s="6">
        <f t="shared" si="88"/>
        <v>0</v>
      </c>
      <c r="AJ301" s="73">
        <f t="shared" si="89"/>
        <v>0</v>
      </c>
      <c r="AK301" s="539"/>
      <c r="AL301" s="748"/>
      <c r="AM301" s="748"/>
    </row>
    <row r="302" spans="2:39" x14ac:dyDescent="0.2">
      <c r="B302" s="101" t="str">
        <f t="shared" si="74"/>
        <v/>
      </c>
      <c r="C302" s="168">
        <f>IF(ISERROR(Personalplanung!F94/Monatsplanung!$E94*Monatsplanung!$I94),0,Personalplanung!F94/Monatsplanung!$E94*Monatsplanung!$I94)</f>
        <v>0</v>
      </c>
      <c r="D302" s="168">
        <f t="shared" si="75"/>
        <v>0</v>
      </c>
      <c r="E302" s="168">
        <f>IF(ISERROR(Personalplanung!H94/Monatsplanung!$E94*Monatsplanung!$I94),0,Personalplanung!H94/Monatsplanung!$E94*Monatsplanung!$I94)</f>
        <v>0</v>
      </c>
      <c r="F302" s="168">
        <f t="shared" si="76"/>
        <v>0</v>
      </c>
      <c r="G302" s="168">
        <f t="shared" si="77"/>
        <v>27.700831024930746</v>
      </c>
      <c r="H302" s="168">
        <f t="shared" si="78"/>
        <v>0</v>
      </c>
      <c r="I302" s="168">
        <f t="shared" si="79"/>
        <v>30</v>
      </c>
      <c r="J302" s="739"/>
      <c r="K302" s="168">
        <f>IF(J302&lt;&gt;"",J302,IF(ISERROR(Personalplanung!AB94/Monatsplanung!$E94*Monatsplanung!$I94),0,Personalplanung!AB94/Monatsplanung!$E94*Monatsplanung!$I94))</f>
        <v>0</v>
      </c>
      <c r="L302" s="740"/>
      <c r="M302" s="739"/>
      <c r="N302" s="168">
        <f>IF(M302&lt;&gt;"",M302,IF(ISERROR(Personalplanung!AC94/Monatsplanung!$E94*Monatsplanung!$I94),0,Personalplanung!AC94/Monatsplanung!$E94*Monatsplanung!$I94))</f>
        <v>0</v>
      </c>
      <c r="O302" s="740"/>
      <c r="P302" s="739"/>
      <c r="Q302" s="168">
        <f>IF(P302&lt;&gt;"",P302,IF(ISERROR(Personalplanung!AD94/Monatsplanung!$E94*Monatsplanung!$I94),0,Personalplanung!AD94/Monatsplanung!$E94*Monatsplanung!$I94))</f>
        <v>0</v>
      </c>
      <c r="R302" s="740"/>
      <c r="S302" s="739"/>
      <c r="T302" s="168">
        <f>IF(S302&lt;&gt;"",S302,IF(ISERROR(Personalplanung!AE94/Monatsplanung!$E94*Monatsplanung!$I94),0,Personalplanung!AE94/Monatsplanung!$E94*Monatsplanung!$I94))</f>
        <v>0</v>
      </c>
      <c r="U302" s="740"/>
      <c r="V302" s="168">
        <f t="shared" si="80"/>
        <v>0</v>
      </c>
      <c r="W302" s="168">
        <f>IF(ISERROR(Personalplanung!P94/Monatsplanung!$E94*Monatsplanung!$I94),0,Personalplanung!P94/Monatsplanung!$E94*Monatsplanung!$I94)</f>
        <v>0</v>
      </c>
      <c r="X302" s="168">
        <f>IF(ISERROR(Personalplanung!Q94/Monatsplanung!$E94*Monatsplanung!$I94),0,Personalplanung!Q94/Monatsplanung!$E94*Monatsplanung!$I94)</f>
        <v>0</v>
      </c>
      <c r="Y302" s="168">
        <f>IF(ISERROR(Personalplanung!R94/T1342*Stundencontrolling!T302),0,Personalplanung!R94/T1342*Stundencontrolling!T302)</f>
        <v>0</v>
      </c>
      <c r="Z302" s="168">
        <f>IF(ISERROR(Personalplanung!S94/Monatsplanung!$E94*Monatsplanung!$I94),0,Personalplanung!S94/Monatsplanung!$E94*Monatsplanung!$I94)</f>
        <v>0</v>
      </c>
      <c r="AA302" s="80">
        <f t="shared" si="81"/>
        <v>0</v>
      </c>
      <c r="AB302" s="102">
        <f t="shared" si="82"/>
        <v>0.1</v>
      </c>
      <c r="AC302" s="103">
        <f t="shared" si="83"/>
        <v>0</v>
      </c>
      <c r="AD302" s="103">
        <f t="shared" si="84"/>
        <v>0</v>
      </c>
      <c r="AE302" s="81">
        <f t="shared" si="85"/>
        <v>0</v>
      </c>
      <c r="AF302" s="539"/>
      <c r="AG302" s="104">
        <f t="shared" si="86"/>
        <v>1</v>
      </c>
      <c r="AH302" s="7">
        <f t="shared" si="87"/>
        <v>0</v>
      </c>
      <c r="AI302" s="6">
        <f t="shared" si="88"/>
        <v>0</v>
      </c>
      <c r="AJ302" s="73">
        <f t="shared" si="89"/>
        <v>0</v>
      </c>
      <c r="AK302" s="539"/>
      <c r="AL302" s="748"/>
      <c r="AM302" s="748"/>
    </row>
    <row r="303" spans="2:39" x14ac:dyDescent="0.2">
      <c r="B303" s="101" t="str">
        <f t="shared" si="74"/>
        <v/>
      </c>
      <c r="C303" s="168">
        <f>IF(ISERROR(Personalplanung!F95/Monatsplanung!$E95*Monatsplanung!$I95),0,Personalplanung!F95/Monatsplanung!$E95*Monatsplanung!$I95)</f>
        <v>0</v>
      </c>
      <c r="D303" s="168">
        <f t="shared" si="75"/>
        <v>0</v>
      </c>
      <c r="E303" s="168">
        <f>IF(ISERROR(Personalplanung!H95/Monatsplanung!$E95*Monatsplanung!$I95),0,Personalplanung!H95/Monatsplanung!$E95*Monatsplanung!$I95)</f>
        <v>0</v>
      </c>
      <c r="F303" s="168">
        <f t="shared" si="76"/>
        <v>0</v>
      </c>
      <c r="G303" s="168">
        <f t="shared" si="77"/>
        <v>27.700831024930746</v>
      </c>
      <c r="H303" s="168">
        <f t="shared" si="78"/>
        <v>0</v>
      </c>
      <c r="I303" s="168">
        <f t="shared" si="79"/>
        <v>30</v>
      </c>
      <c r="J303" s="739"/>
      <c r="K303" s="168">
        <f>IF(J303&lt;&gt;"",J303,IF(ISERROR(Personalplanung!AB95/Monatsplanung!$E95*Monatsplanung!$I95),0,Personalplanung!AB95/Monatsplanung!$E95*Monatsplanung!$I95))</f>
        <v>0</v>
      </c>
      <c r="L303" s="740"/>
      <c r="M303" s="739"/>
      <c r="N303" s="168">
        <f>IF(M303&lt;&gt;"",M303,IF(ISERROR(Personalplanung!AC95/Monatsplanung!$E95*Monatsplanung!$I95),0,Personalplanung!AC95/Monatsplanung!$E95*Monatsplanung!$I95))</f>
        <v>0</v>
      </c>
      <c r="O303" s="740"/>
      <c r="P303" s="739"/>
      <c r="Q303" s="168">
        <f>IF(P303&lt;&gt;"",P303,IF(ISERROR(Personalplanung!AD95/Monatsplanung!$E95*Monatsplanung!$I95),0,Personalplanung!AD95/Monatsplanung!$E95*Monatsplanung!$I95))</f>
        <v>0</v>
      </c>
      <c r="R303" s="740"/>
      <c r="S303" s="739"/>
      <c r="T303" s="168">
        <f>IF(S303&lt;&gt;"",S303,IF(ISERROR(Personalplanung!AE95/Monatsplanung!$E95*Monatsplanung!$I95),0,Personalplanung!AE95/Monatsplanung!$E95*Monatsplanung!$I95))</f>
        <v>0</v>
      </c>
      <c r="U303" s="740"/>
      <c r="V303" s="168">
        <f t="shared" si="80"/>
        <v>0</v>
      </c>
      <c r="W303" s="168">
        <f>IF(ISERROR(Personalplanung!P95/Monatsplanung!$E95*Monatsplanung!$I95),0,Personalplanung!P95/Monatsplanung!$E95*Monatsplanung!$I95)</f>
        <v>0</v>
      </c>
      <c r="X303" s="168">
        <f>IF(ISERROR(Personalplanung!Q95/Monatsplanung!$E95*Monatsplanung!$I95),0,Personalplanung!Q95/Monatsplanung!$E95*Monatsplanung!$I95)</f>
        <v>0</v>
      </c>
      <c r="Y303" s="168">
        <f>IF(ISERROR(Personalplanung!R95/T1343*Stundencontrolling!T303),0,Personalplanung!R95/T1343*Stundencontrolling!T303)</f>
        <v>0</v>
      </c>
      <c r="Z303" s="168">
        <f>IF(ISERROR(Personalplanung!S95/Monatsplanung!$E95*Monatsplanung!$I95),0,Personalplanung!S95/Monatsplanung!$E95*Monatsplanung!$I95)</f>
        <v>0</v>
      </c>
      <c r="AA303" s="80">
        <f t="shared" si="81"/>
        <v>0</v>
      </c>
      <c r="AB303" s="102">
        <f t="shared" si="82"/>
        <v>0.1</v>
      </c>
      <c r="AC303" s="103">
        <f t="shared" si="83"/>
        <v>0</v>
      </c>
      <c r="AD303" s="103">
        <f t="shared" si="84"/>
        <v>0</v>
      </c>
      <c r="AE303" s="81">
        <f t="shared" si="85"/>
        <v>0</v>
      </c>
      <c r="AF303" s="539"/>
      <c r="AG303" s="104">
        <f t="shared" si="86"/>
        <v>1</v>
      </c>
      <c r="AH303" s="7">
        <f t="shared" si="87"/>
        <v>0</v>
      </c>
      <c r="AI303" s="6">
        <f t="shared" si="88"/>
        <v>0</v>
      </c>
      <c r="AJ303" s="73">
        <f t="shared" si="89"/>
        <v>0</v>
      </c>
      <c r="AK303" s="539"/>
      <c r="AL303" s="748"/>
      <c r="AM303" s="748"/>
    </row>
    <row r="304" spans="2:39" x14ac:dyDescent="0.2">
      <c r="B304" s="101" t="str">
        <f t="shared" si="74"/>
        <v/>
      </c>
      <c r="C304" s="168">
        <f>IF(ISERROR(Personalplanung!F96/Monatsplanung!$E96*Monatsplanung!$I96),0,Personalplanung!F96/Monatsplanung!$E96*Monatsplanung!$I96)</f>
        <v>0</v>
      </c>
      <c r="D304" s="168">
        <f t="shared" si="75"/>
        <v>0</v>
      </c>
      <c r="E304" s="168">
        <f>IF(ISERROR(Personalplanung!H96/Monatsplanung!$E96*Monatsplanung!$I96),0,Personalplanung!H96/Monatsplanung!$E96*Monatsplanung!$I96)</f>
        <v>0</v>
      </c>
      <c r="F304" s="168">
        <f t="shared" si="76"/>
        <v>0</v>
      </c>
      <c r="G304" s="168">
        <f t="shared" si="77"/>
        <v>27.700831024930746</v>
      </c>
      <c r="H304" s="168">
        <f t="shared" si="78"/>
        <v>0</v>
      </c>
      <c r="I304" s="168">
        <f t="shared" si="79"/>
        <v>30</v>
      </c>
      <c r="J304" s="739"/>
      <c r="K304" s="168">
        <f>IF(J304&lt;&gt;"",J304,IF(ISERROR(Personalplanung!AB96/Monatsplanung!$E96*Monatsplanung!$I96),0,Personalplanung!AB96/Monatsplanung!$E96*Monatsplanung!$I96))</f>
        <v>0</v>
      </c>
      <c r="L304" s="740"/>
      <c r="M304" s="739"/>
      <c r="N304" s="168">
        <f>IF(M304&lt;&gt;"",M304,IF(ISERROR(Personalplanung!AC96/Monatsplanung!$E96*Monatsplanung!$I96),0,Personalplanung!AC96/Monatsplanung!$E96*Monatsplanung!$I96))</f>
        <v>0</v>
      </c>
      <c r="O304" s="740"/>
      <c r="P304" s="739"/>
      <c r="Q304" s="168">
        <f>IF(P304&lt;&gt;"",P304,IF(ISERROR(Personalplanung!AD96/Monatsplanung!$E96*Monatsplanung!$I96),0,Personalplanung!AD96/Monatsplanung!$E96*Monatsplanung!$I96))</f>
        <v>0</v>
      </c>
      <c r="R304" s="740"/>
      <c r="S304" s="739"/>
      <c r="T304" s="168">
        <f>IF(S304&lt;&gt;"",S304,IF(ISERROR(Personalplanung!AE96/Monatsplanung!$E96*Monatsplanung!$I96),0,Personalplanung!AE96/Monatsplanung!$E96*Monatsplanung!$I96))</f>
        <v>0</v>
      </c>
      <c r="U304" s="740"/>
      <c r="V304" s="168">
        <f t="shared" si="80"/>
        <v>0</v>
      </c>
      <c r="W304" s="168">
        <f>IF(ISERROR(Personalplanung!P96/Monatsplanung!$E96*Monatsplanung!$I96),0,Personalplanung!P96/Monatsplanung!$E96*Monatsplanung!$I96)</f>
        <v>0</v>
      </c>
      <c r="X304" s="168">
        <f>IF(ISERROR(Personalplanung!Q96/Monatsplanung!$E96*Monatsplanung!$I96),0,Personalplanung!Q96/Monatsplanung!$E96*Monatsplanung!$I96)</f>
        <v>0</v>
      </c>
      <c r="Y304" s="168">
        <f>IF(ISERROR(Personalplanung!R96/T1344*Stundencontrolling!T304),0,Personalplanung!R96/T1344*Stundencontrolling!T304)</f>
        <v>0</v>
      </c>
      <c r="Z304" s="168">
        <f>IF(ISERROR(Personalplanung!S96/Monatsplanung!$E96*Monatsplanung!$I96),0,Personalplanung!S96/Monatsplanung!$E96*Monatsplanung!$I96)</f>
        <v>0</v>
      </c>
      <c r="AA304" s="80">
        <f t="shared" si="81"/>
        <v>0</v>
      </c>
      <c r="AB304" s="102">
        <f t="shared" si="82"/>
        <v>0.1</v>
      </c>
      <c r="AC304" s="103">
        <f t="shared" si="83"/>
        <v>0</v>
      </c>
      <c r="AD304" s="103">
        <f t="shared" si="84"/>
        <v>0</v>
      </c>
      <c r="AE304" s="81">
        <f t="shared" si="85"/>
        <v>0</v>
      </c>
      <c r="AF304" s="539"/>
      <c r="AG304" s="104">
        <f t="shared" si="86"/>
        <v>1</v>
      </c>
      <c r="AH304" s="7">
        <f t="shared" si="87"/>
        <v>0</v>
      </c>
      <c r="AI304" s="6">
        <f t="shared" si="88"/>
        <v>0</v>
      </c>
      <c r="AJ304" s="73">
        <f t="shared" si="89"/>
        <v>0</v>
      </c>
      <c r="AK304" s="539"/>
      <c r="AL304" s="748"/>
      <c r="AM304" s="748"/>
    </row>
    <row r="305" spans="2:39" x14ac:dyDescent="0.2">
      <c r="B305" s="101" t="str">
        <f t="shared" si="74"/>
        <v/>
      </c>
      <c r="C305" s="168">
        <f>IF(ISERROR(Personalplanung!F97/Monatsplanung!$E97*Monatsplanung!$I97),0,Personalplanung!F97/Monatsplanung!$E97*Monatsplanung!$I97)</f>
        <v>0</v>
      </c>
      <c r="D305" s="168">
        <f t="shared" si="75"/>
        <v>0</v>
      </c>
      <c r="E305" s="168">
        <f>IF(ISERROR(Personalplanung!H97/Monatsplanung!$E97*Monatsplanung!$I97),0,Personalplanung!H97/Monatsplanung!$E97*Monatsplanung!$I97)</f>
        <v>0</v>
      </c>
      <c r="F305" s="168">
        <f t="shared" si="76"/>
        <v>0</v>
      </c>
      <c r="G305" s="168">
        <f t="shared" si="77"/>
        <v>27.700831024930746</v>
      </c>
      <c r="H305" s="168">
        <f t="shared" si="78"/>
        <v>0</v>
      </c>
      <c r="I305" s="168">
        <f t="shared" si="79"/>
        <v>30</v>
      </c>
      <c r="J305" s="739"/>
      <c r="K305" s="168">
        <f>IF(J305&lt;&gt;"",J305,IF(ISERROR(Personalplanung!AB97/Monatsplanung!$E97*Monatsplanung!$I97),0,Personalplanung!AB97/Monatsplanung!$E97*Monatsplanung!$I97))</f>
        <v>0</v>
      </c>
      <c r="L305" s="740"/>
      <c r="M305" s="739"/>
      <c r="N305" s="168">
        <f>IF(M305&lt;&gt;"",M305,IF(ISERROR(Personalplanung!AC97/Monatsplanung!$E97*Monatsplanung!$I97),0,Personalplanung!AC97/Monatsplanung!$E97*Monatsplanung!$I97))</f>
        <v>0</v>
      </c>
      <c r="O305" s="740"/>
      <c r="P305" s="739"/>
      <c r="Q305" s="168">
        <f>IF(P305&lt;&gt;"",P305,IF(ISERROR(Personalplanung!AD97/Monatsplanung!$E97*Monatsplanung!$I97),0,Personalplanung!AD97/Monatsplanung!$E97*Monatsplanung!$I97))</f>
        <v>0</v>
      </c>
      <c r="R305" s="740"/>
      <c r="S305" s="739"/>
      <c r="T305" s="168">
        <f>IF(S305&lt;&gt;"",S305,IF(ISERROR(Personalplanung!AE97/Monatsplanung!$E97*Monatsplanung!$I97),0,Personalplanung!AE97/Monatsplanung!$E97*Monatsplanung!$I97))</f>
        <v>0</v>
      </c>
      <c r="U305" s="740"/>
      <c r="V305" s="168">
        <f t="shared" si="80"/>
        <v>0</v>
      </c>
      <c r="W305" s="168">
        <f>IF(ISERROR(Personalplanung!P97/Monatsplanung!$E97*Monatsplanung!$I97),0,Personalplanung!P97/Monatsplanung!$E97*Monatsplanung!$I97)</f>
        <v>0</v>
      </c>
      <c r="X305" s="168">
        <f>IF(ISERROR(Personalplanung!Q97/Monatsplanung!$E97*Monatsplanung!$I97),0,Personalplanung!Q97/Monatsplanung!$E97*Monatsplanung!$I97)</f>
        <v>0</v>
      </c>
      <c r="Y305" s="168">
        <f>IF(ISERROR(Personalplanung!R97/T1345*Stundencontrolling!T305),0,Personalplanung!R97/T1345*Stundencontrolling!T305)</f>
        <v>0</v>
      </c>
      <c r="Z305" s="168">
        <f>IF(ISERROR(Personalplanung!S97/Monatsplanung!$E97*Monatsplanung!$I97),0,Personalplanung!S97/Monatsplanung!$E97*Monatsplanung!$I97)</f>
        <v>0</v>
      </c>
      <c r="AA305" s="80">
        <f t="shared" si="81"/>
        <v>0</v>
      </c>
      <c r="AB305" s="102">
        <f t="shared" si="82"/>
        <v>0.1</v>
      </c>
      <c r="AC305" s="103">
        <f t="shared" si="83"/>
        <v>0</v>
      </c>
      <c r="AD305" s="103">
        <f t="shared" si="84"/>
        <v>0</v>
      </c>
      <c r="AE305" s="81">
        <f t="shared" si="85"/>
        <v>0</v>
      </c>
      <c r="AF305" s="539"/>
      <c r="AG305" s="104">
        <f t="shared" si="86"/>
        <v>1</v>
      </c>
      <c r="AH305" s="7">
        <f t="shared" si="87"/>
        <v>0</v>
      </c>
      <c r="AI305" s="6">
        <f t="shared" si="88"/>
        <v>0</v>
      </c>
      <c r="AJ305" s="73">
        <f t="shared" si="89"/>
        <v>0</v>
      </c>
      <c r="AK305" s="539"/>
      <c r="AL305" s="748"/>
      <c r="AM305" s="748"/>
    </row>
    <row r="306" spans="2:39" x14ac:dyDescent="0.2">
      <c r="B306" s="101" t="str">
        <f t="shared" si="74"/>
        <v/>
      </c>
      <c r="C306" s="168">
        <f>IF(ISERROR(Personalplanung!F98/Monatsplanung!$E98*Monatsplanung!$I98),0,Personalplanung!F98/Monatsplanung!$E98*Monatsplanung!$I98)</f>
        <v>0</v>
      </c>
      <c r="D306" s="168">
        <f t="shared" si="75"/>
        <v>0</v>
      </c>
      <c r="E306" s="168">
        <f>IF(ISERROR(Personalplanung!H98/Monatsplanung!$E98*Monatsplanung!$I98),0,Personalplanung!H98/Monatsplanung!$E98*Monatsplanung!$I98)</f>
        <v>0</v>
      </c>
      <c r="F306" s="168">
        <f t="shared" si="76"/>
        <v>0</v>
      </c>
      <c r="G306" s="168">
        <f t="shared" si="77"/>
        <v>27.700831024930746</v>
      </c>
      <c r="H306" s="168">
        <f t="shared" si="78"/>
        <v>0</v>
      </c>
      <c r="I306" s="168">
        <f t="shared" si="79"/>
        <v>30</v>
      </c>
      <c r="J306" s="739"/>
      <c r="K306" s="168">
        <f>IF(J306&lt;&gt;"",J306,IF(ISERROR(Personalplanung!AB98/Monatsplanung!$E98*Monatsplanung!$I98),0,Personalplanung!AB98/Monatsplanung!$E98*Monatsplanung!$I98))</f>
        <v>0</v>
      </c>
      <c r="L306" s="740"/>
      <c r="M306" s="739"/>
      <c r="N306" s="168">
        <f>IF(M306&lt;&gt;"",M306,IF(ISERROR(Personalplanung!AC98/Monatsplanung!$E98*Monatsplanung!$I98),0,Personalplanung!AC98/Monatsplanung!$E98*Monatsplanung!$I98))</f>
        <v>0</v>
      </c>
      <c r="O306" s="740"/>
      <c r="P306" s="739"/>
      <c r="Q306" s="168">
        <f>IF(P306&lt;&gt;"",P306,IF(ISERROR(Personalplanung!AD98/Monatsplanung!$E98*Monatsplanung!$I98),0,Personalplanung!AD98/Monatsplanung!$E98*Monatsplanung!$I98))</f>
        <v>0</v>
      </c>
      <c r="R306" s="740"/>
      <c r="S306" s="739"/>
      <c r="T306" s="168">
        <f>IF(S306&lt;&gt;"",S306,IF(ISERROR(Personalplanung!AE98/Monatsplanung!$E98*Monatsplanung!$I98),0,Personalplanung!AE98/Monatsplanung!$E98*Monatsplanung!$I98))</f>
        <v>0</v>
      </c>
      <c r="U306" s="740"/>
      <c r="V306" s="168">
        <f t="shared" si="80"/>
        <v>0</v>
      </c>
      <c r="W306" s="168">
        <f>IF(ISERROR(Personalplanung!P98/Monatsplanung!$E98*Monatsplanung!$I98),0,Personalplanung!P98/Monatsplanung!$E98*Monatsplanung!$I98)</f>
        <v>0</v>
      </c>
      <c r="X306" s="168">
        <f>IF(ISERROR(Personalplanung!Q98/Monatsplanung!$E98*Monatsplanung!$I98),0,Personalplanung!Q98/Monatsplanung!$E98*Monatsplanung!$I98)</f>
        <v>0</v>
      </c>
      <c r="Y306" s="168">
        <f>IF(ISERROR(Personalplanung!R98/T1346*Stundencontrolling!T306),0,Personalplanung!R98/T1346*Stundencontrolling!T306)</f>
        <v>0</v>
      </c>
      <c r="Z306" s="168">
        <f>IF(ISERROR(Personalplanung!S98/Monatsplanung!$E98*Monatsplanung!$I98),0,Personalplanung!S98/Monatsplanung!$E98*Monatsplanung!$I98)</f>
        <v>0</v>
      </c>
      <c r="AA306" s="80">
        <f t="shared" si="81"/>
        <v>0</v>
      </c>
      <c r="AB306" s="102">
        <f t="shared" si="82"/>
        <v>0.1</v>
      </c>
      <c r="AC306" s="103">
        <f t="shared" si="83"/>
        <v>0</v>
      </c>
      <c r="AD306" s="103">
        <f t="shared" si="84"/>
        <v>0</v>
      </c>
      <c r="AE306" s="81">
        <f t="shared" si="85"/>
        <v>0</v>
      </c>
      <c r="AF306" s="539"/>
      <c r="AG306" s="104">
        <f t="shared" si="86"/>
        <v>1</v>
      </c>
      <c r="AH306" s="7">
        <f t="shared" si="87"/>
        <v>0</v>
      </c>
      <c r="AI306" s="6">
        <f t="shared" si="88"/>
        <v>0</v>
      </c>
      <c r="AJ306" s="73">
        <f t="shared" si="89"/>
        <v>0</v>
      </c>
      <c r="AK306" s="539"/>
      <c r="AL306" s="748"/>
      <c r="AM306" s="748"/>
    </row>
    <row r="307" spans="2:39" x14ac:dyDescent="0.2">
      <c r="B307" s="101" t="str">
        <f t="shared" si="74"/>
        <v/>
      </c>
      <c r="C307" s="168">
        <f>IF(ISERROR(Personalplanung!F99/Monatsplanung!$E99*Monatsplanung!$I99),0,Personalplanung!F99/Monatsplanung!$E99*Monatsplanung!$I99)</f>
        <v>0</v>
      </c>
      <c r="D307" s="168">
        <f t="shared" si="75"/>
        <v>0</v>
      </c>
      <c r="E307" s="168">
        <f>IF(ISERROR(Personalplanung!H99/Monatsplanung!$E99*Monatsplanung!$I99),0,Personalplanung!H99/Monatsplanung!$E99*Monatsplanung!$I99)</f>
        <v>0</v>
      </c>
      <c r="F307" s="168">
        <f t="shared" si="76"/>
        <v>0</v>
      </c>
      <c r="G307" s="168">
        <f t="shared" si="77"/>
        <v>27.700831024930746</v>
      </c>
      <c r="H307" s="168">
        <f t="shared" si="78"/>
        <v>0</v>
      </c>
      <c r="I307" s="168">
        <f t="shared" si="79"/>
        <v>30</v>
      </c>
      <c r="J307" s="739"/>
      <c r="K307" s="168">
        <f>IF(J307&lt;&gt;"",J307,IF(ISERROR(Personalplanung!AB99/Monatsplanung!$E99*Monatsplanung!$I99),0,Personalplanung!AB99/Monatsplanung!$E99*Monatsplanung!$I99))</f>
        <v>0</v>
      </c>
      <c r="L307" s="740"/>
      <c r="M307" s="739"/>
      <c r="N307" s="168">
        <f>IF(M307&lt;&gt;"",M307,IF(ISERROR(Personalplanung!AC99/Monatsplanung!$E99*Monatsplanung!$I99),0,Personalplanung!AC99/Monatsplanung!$E99*Monatsplanung!$I99))</f>
        <v>0</v>
      </c>
      <c r="O307" s="740"/>
      <c r="P307" s="739"/>
      <c r="Q307" s="168">
        <f>IF(P307&lt;&gt;"",P307,IF(ISERROR(Personalplanung!AD99/Monatsplanung!$E99*Monatsplanung!$I99),0,Personalplanung!AD99/Monatsplanung!$E99*Monatsplanung!$I99))</f>
        <v>0</v>
      </c>
      <c r="R307" s="740"/>
      <c r="S307" s="739"/>
      <c r="T307" s="168">
        <f>IF(S307&lt;&gt;"",S307,IF(ISERROR(Personalplanung!AE99/Monatsplanung!$E99*Monatsplanung!$I99),0,Personalplanung!AE99/Monatsplanung!$E99*Monatsplanung!$I99))</f>
        <v>0</v>
      </c>
      <c r="U307" s="740"/>
      <c r="V307" s="168">
        <f t="shared" si="80"/>
        <v>0</v>
      </c>
      <c r="W307" s="168">
        <f>IF(ISERROR(Personalplanung!P99/Monatsplanung!$E99*Monatsplanung!$I99),0,Personalplanung!P99/Monatsplanung!$E99*Monatsplanung!$I99)</f>
        <v>0</v>
      </c>
      <c r="X307" s="168">
        <f>IF(ISERROR(Personalplanung!Q99/Monatsplanung!$E99*Monatsplanung!$I99),0,Personalplanung!Q99/Monatsplanung!$E99*Monatsplanung!$I99)</f>
        <v>0</v>
      </c>
      <c r="Y307" s="168">
        <f>IF(ISERROR(Personalplanung!R99/T1347*Stundencontrolling!T307),0,Personalplanung!R99/T1347*Stundencontrolling!T307)</f>
        <v>0</v>
      </c>
      <c r="Z307" s="168">
        <f>IF(ISERROR(Personalplanung!S99/Monatsplanung!$E99*Monatsplanung!$I99),0,Personalplanung!S99/Monatsplanung!$E99*Monatsplanung!$I99)</f>
        <v>0</v>
      </c>
      <c r="AA307" s="80">
        <f t="shared" si="81"/>
        <v>0</v>
      </c>
      <c r="AB307" s="102">
        <f t="shared" si="82"/>
        <v>0.1</v>
      </c>
      <c r="AC307" s="103">
        <f t="shared" si="83"/>
        <v>0</v>
      </c>
      <c r="AD307" s="103">
        <f t="shared" si="84"/>
        <v>0</v>
      </c>
      <c r="AE307" s="81">
        <f t="shared" si="85"/>
        <v>0</v>
      </c>
      <c r="AF307" s="539"/>
      <c r="AG307" s="104">
        <f t="shared" si="86"/>
        <v>1</v>
      </c>
      <c r="AH307" s="7">
        <f t="shared" si="87"/>
        <v>0</v>
      </c>
      <c r="AI307" s="6">
        <f t="shared" si="88"/>
        <v>0</v>
      </c>
      <c r="AJ307" s="73">
        <f t="shared" si="89"/>
        <v>0</v>
      </c>
      <c r="AK307" s="539"/>
      <c r="AL307" s="748"/>
      <c r="AM307" s="748"/>
    </row>
    <row r="308" spans="2:39" x14ac:dyDescent="0.2">
      <c r="B308" s="101" t="str">
        <f t="shared" si="74"/>
        <v/>
      </c>
      <c r="C308" s="168">
        <f>IF(ISERROR(Personalplanung!F100/Monatsplanung!$E100*Monatsplanung!$I100),0,Personalplanung!F100/Monatsplanung!$E100*Monatsplanung!$I100)</f>
        <v>0</v>
      </c>
      <c r="D308" s="168">
        <f t="shared" si="75"/>
        <v>0</v>
      </c>
      <c r="E308" s="168">
        <f>IF(ISERROR(Personalplanung!H100/Monatsplanung!$E100*Monatsplanung!$I100),0,Personalplanung!H100/Monatsplanung!$E100*Monatsplanung!$I100)</f>
        <v>0</v>
      </c>
      <c r="F308" s="168">
        <f t="shared" si="76"/>
        <v>0</v>
      </c>
      <c r="G308" s="168">
        <f t="shared" si="77"/>
        <v>27.700831024930746</v>
      </c>
      <c r="H308" s="168">
        <f t="shared" si="78"/>
        <v>0</v>
      </c>
      <c r="I308" s="168">
        <f t="shared" si="79"/>
        <v>30</v>
      </c>
      <c r="J308" s="739"/>
      <c r="K308" s="168">
        <f>IF(J308&lt;&gt;"",J308,IF(ISERROR(Personalplanung!AB100/Monatsplanung!$E100*Monatsplanung!$I100),0,Personalplanung!AB100/Monatsplanung!$E100*Monatsplanung!$I100))</f>
        <v>0</v>
      </c>
      <c r="L308" s="740"/>
      <c r="M308" s="739"/>
      <c r="N308" s="168">
        <f>IF(M308&lt;&gt;"",M308,IF(ISERROR(Personalplanung!AC100/Monatsplanung!$E100*Monatsplanung!$I100),0,Personalplanung!AC100/Monatsplanung!$E100*Monatsplanung!$I100))</f>
        <v>0</v>
      </c>
      <c r="O308" s="740"/>
      <c r="P308" s="739"/>
      <c r="Q308" s="168">
        <f>IF(P308&lt;&gt;"",P308,IF(ISERROR(Personalplanung!AD100/Monatsplanung!$E100*Monatsplanung!$I100),0,Personalplanung!AD100/Monatsplanung!$E100*Monatsplanung!$I100))</f>
        <v>0</v>
      </c>
      <c r="R308" s="740"/>
      <c r="S308" s="739"/>
      <c r="T308" s="168">
        <f>IF(S308&lt;&gt;"",S308,IF(ISERROR(Personalplanung!AE100/Monatsplanung!$E100*Monatsplanung!$I100),0,Personalplanung!AE100/Monatsplanung!$E100*Monatsplanung!$I100))</f>
        <v>0</v>
      </c>
      <c r="U308" s="740"/>
      <c r="V308" s="168">
        <f t="shared" si="80"/>
        <v>0</v>
      </c>
      <c r="W308" s="168">
        <f>IF(ISERROR(Personalplanung!P100/Monatsplanung!$E100*Monatsplanung!$I100),0,Personalplanung!P100/Monatsplanung!$E100*Monatsplanung!$I100)</f>
        <v>0</v>
      </c>
      <c r="X308" s="168">
        <f>IF(ISERROR(Personalplanung!Q100/Monatsplanung!$E100*Monatsplanung!$I100),0,Personalplanung!Q100/Monatsplanung!$E100*Monatsplanung!$I100)</f>
        <v>0</v>
      </c>
      <c r="Y308" s="168">
        <f>IF(ISERROR(Personalplanung!R100/T1348*Stundencontrolling!T308),0,Personalplanung!R100/T1348*Stundencontrolling!T308)</f>
        <v>0</v>
      </c>
      <c r="Z308" s="168">
        <f>IF(ISERROR(Personalplanung!S100/Monatsplanung!$E100*Monatsplanung!$I100),0,Personalplanung!S100/Monatsplanung!$E100*Monatsplanung!$I100)</f>
        <v>0</v>
      </c>
      <c r="AA308" s="80">
        <f t="shared" si="81"/>
        <v>0</v>
      </c>
      <c r="AB308" s="102">
        <f t="shared" si="82"/>
        <v>0.1</v>
      </c>
      <c r="AC308" s="103">
        <f t="shared" si="83"/>
        <v>0</v>
      </c>
      <c r="AD308" s="103">
        <f t="shared" si="84"/>
        <v>0</v>
      </c>
      <c r="AE308" s="81">
        <f t="shared" si="85"/>
        <v>0</v>
      </c>
      <c r="AF308" s="539"/>
      <c r="AG308" s="104">
        <f t="shared" si="86"/>
        <v>1</v>
      </c>
      <c r="AH308" s="7">
        <f t="shared" si="87"/>
        <v>0</v>
      </c>
      <c r="AI308" s="6">
        <f t="shared" si="88"/>
        <v>0</v>
      </c>
      <c r="AJ308" s="73">
        <f t="shared" si="89"/>
        <v>0</v>
      </c>
      <c r="AK308" s="539"/>
      <c r="AL308" s="748"/>
      <c r="AM308" s="748"/>
    </row>
    <row r="309" spans="2:39" x14ac:dyDescent="0.2">
      <c r="B309" s="101" t="str">
        <f t="shared" si="74"/>
        <v/>
      </c>
      <c r="C309" s="168">
        <f>IF(ISERROR(Personalplanung!F101/Monatsplanung!$E101*Monatsplanung!$I101),0,Personalplanung!F101/Monatsplanung!$E101*Monatsplanung!$I101)</f>
        <v>0</v>
      </c>
      <c r="D309" s="168">
        <f t="shared" si="75"/>
        <v>0</v>
      </c>
      <c r="E309" s="168">
        <f>IF(ISERROR(Personalplanung!H101/Monatsplanung!$E101*Monatsplanung!$I101),0,Personalplanung!H101/Monatsplanung!$E101*Monatsplanung!$I101)</f>
        <v>0</v>
      </c>
      <c r="F309" s="168">
        <f t="shared" si="76"/>
        <v>0</v>
      </c>
      <c r="G309" s="168">
        <f t="shared" si="77"/>
        <v>27.700831024930746</v>
      </c>
      <c r="H309" s="168">
        <f t="shared" si="78"/>
        <v>0</v>
      </c>
      <c r="I309" s="168">
        <f t="shared" si="79"/>
        <v>30</v>
      </c>
      <c r="J309" s="739"/>
      <c r="K309" s="168">
        <f>IF(J309&lt;&gt;"",J309,IF(ISERROR(Personalplanung!AB101/Monatsplanung!$E101*Monatsplanung!$I101),0,Personalplanung!AB101/Monatsplanung!$E101*Monatsplanung!$I101))</f>
        <v>0</v>
      </c>
      <c r="L309" s="740"/>
      <c r="M309" s="739"/>
      <c r="N309" s="168">
        <f>IF(M309&lt;&gt;"",M309,IF(ISERROR(Personalplanung!AC101/Monatsplanung!$E101*Monatsplanung!$I101),0,Personalplanung!AC101/Monatsplanung!$E101*Monatsplanung!$I101))</f>
        <v>0</v>
      </c>
      <c r="O309" s="740"/>
      <c r="P309" s="739"/>
      <c r="Q309" s="168">
        <f>IF(P309&lt;&gt;"",P309,IF(ISERROR(Personalplanung!AD101/Monatsplanung!$E101*Monatsplanung!$I101),0,Personalplanung!AD101/Monatsplanung!$E101*Monatsplanung!$I101))</f>
        <v>0</v>
      </c>
      <c r="R309" s="740"/>
      <c r="S309" s="739"/>
      <c r="T309" s="168">
        <f>IF(S309&lt;&gt;"",S309,IF(ISERROR(Personalplanung!AE101/Monatsplanung!$E101*Monatsplanung!$I101),0,Personalplanung!AE101/Monatsplanung!$E101*Monatsplanung!$I101))</f>
        <v>0</v>
      </c>
      <c r="U309" s="740"/>
      <c r="V309" s="168">
        <f t="shared" si="80"/>
        <v>0</v>
      </c>
      <c r="W309" s="168">
        <f>IF(ISERROR(Personalplanung!P101/Monatsplanung!$E101*Monatsplanung!$I101),0,Personalplanung!P101/Monatsplanung!$E101*Monatsplanung!$I101)</f>
        <v>0</v>
      </c>
      <c r="X309" s="168">
        <f>IF(ISERROR(Personalplanung!Q101/Monatsplanung!$E101*Monatsplanung!$I101),0,Personalplanung!Q101/Monatsplanung!$E101*Monatsplanung!$I101)</f>
        <v>0</v>
      </c>
      <c r="Y309" s="168">
        <f>IF(ISERROR(Personalplanung!R101/T1349*Stundencontrolling!T309),0,Personalplanung!R101/T1349*Stundencontrolling!T309)</f>
        <v>0</v>
      </c>
      <c r="Z309" s="168">
        <f>IF(ISERROR(Personalplanung!S101/Monatsplanung!$E101*Monatsplanung!$I101),0,Personalplanung!S101/Monatsplanung!$E101*Monatsplanung!$I101)</f>
        <v>0</v>
      </c>
      <c r="AA309" s="80">
        <f t="shared" si="81"/>
        <v>0</v>
      </c>
      <c r="AB309" s="102">
        <f t="shared" si="82"/>
        <v>0.1</v>
      </c>
      <c r="AC309" s="103">
        <f t="shared" si="83"/>
        <v>0</v>
      </c>
      <c r="AD309" s="103">
        <f t="shared" si="84"/>
        <v>0</v>
      </c>
      <c r="AE309" s="81">
        <f t="shared" si="85"/>
        <v>0</v>
      </c>
      <c r="AF309" s="539"/>
      <c r="AG309" s="104">
        <f t="shared" si="86"/>
        <v>1</v>
      </c>
      <c r="AH309" s="7">
        <f t="shared" si="87"/>
        <v>0</v>
      </c>
      <c r="AI309" s="6">
        <f t="shared" si="88"/>
        <v>0</v>
      </c>
      <c r="AJ309" s="73">
        <f t="shared" si="89"/>
        <v>0</v>
      </c>
      <c r="AK309" s="539"/>
      <c r="AL309" s="748"/>
      <c r="AM309" s="748"/>
    </row>
    <row r="310" spans="2:39" x14ac:dyDescent="0.2">
      <c r="B310" s="101" t="str">
        <f t="shared" si="74"/>
        <v/>
      </c>
      <c r="C310" s="168">
        <f>IF(ISERROR(Personalplanung!F102/Monatsplanung!$E102*Monatsplanung!$I102),0,Personalplanung!F102/Monatsplanung!$E102*Monatsplanung!$I102)</f>
        <v>0</v>
      </c>
      <c r="D310" s="168">
        <f t="shared" si="75"/>
        <v>0</v>
      </c>
      <c r="E310" s="168">
        <f>IF(ISERROR(Personalplanung!H102/Monatsplanung!$E102*Monatsplanung!$I102),0,Personalplanung!H102/Monatsplanung!$E102*Monatsplanung!$I102)</f>
        <v>0</v>
      </c>
      <c r="F310" s="168">
        <f t="shared" si="76"/>
        <v>0</v>
      </c>
      <c r="G310" s="168">
        <f t="shared" si="77"/>
        <v>27.700831024930746</v>
      </c>
      <c r="H310" s="168">
        <f t="shared" si="78"/>
        <v>0</v>
      </c>
      <c r="I310" s="168">
        <f t="shared" si="79"/>
        <v>30</v>
      </c>
      <c r="J310" s="739"/>
      <c r="K310" s="168">
        <f>IF(J310&lt;&gt;"",J310,IF(ISERROR(Personalplanung!AB102/Monatsplanung!$E102*Monatsplanung!$I102),0,Personalplanung!AB102/Monatsplanung!$E102*Monatsplanung!$I102))</f>
        <v>0</v>
      </c>
      <c r="L310" s="740"/>
      <c r="M310" s="739"/>
      <c r="N310" s="168">
        <f>IF(M310&lt;&gt;"",M310,IF(ISERROR(Personalplanung!AC102/Monatsplanung!$E102*Monatsplanung!$I102),0,Personalplanung!AC102/Monatsplanung!$E102*Monatsplanung!$I102))</f>
        <v>0</v>
      </c>
      <c r="O310" s="740"/>
      <c r="P310" s="739"/>
      <c r="Q310" s="168">
        <f>IF(P310&lt;&gt;"",P310,IF(ISERROR(Personalplanung!AD102/Monatsplanung!$E102*Monatsplanung!$I102),0,Personalplanung!AD102/Monatsplanung!$E102*Monatsplanung!$I102))</f>
        <v>0</v>
      </c>
      <c r="R310" s="740"/>
      <c r="S310" s="739"/>
      <c r="T310" s="168">
        <f>IF(S310&lt;&gt;"",S310,IF(ISERROR(Personalplanung!AE102/Monatsplanung!$E102*Monatsplanung!$I102),0,Personalplanung!AE102/Monatsplanung!$E102*Monatsplanung!$I102))</f>
        <v>0</v>
      </c>
      <c r="U310" s="740"/>
      <c r="V310" s="168">
        <f t="shared" si="80"/>
        <v>0</v>
      </c>
      <c r="W310" s="168">
        <f>IF(ISERROR(Personalplanung!P102/Monatsplanung!$E102*Monatsplanung!$I102),0,Personalplanung!P102/Monatsplanung!$E102*Monatsplanung!$I102)</f>
        <v>0</v>
      </c>
      <c r="X310" s="168">
        <f>IF(ISERROR(Personalplanung!Q102/Monatsplanung!$E102*Monatsplanung!$I102),0,Personalplanung!Q102/Monatsplanung!$E102*Monatsplanung!$I102)</f>
        <v>0</v>
      </c>
      <c r="Y310" s="168">
        <f>IF(ISERROR(Personalplanung!R102/T1350*Stundencontrolling!T310),0,Personalplanung!R102/T1350*Stundencontrolling!T310)</f>
        <v>0</v>
      </c>
      <c r="Z310" s="168">
        <f>IF(ISERROR(Personalplanung!S102/Monatsplanung!$E102*Monatsplanung!$I102),0,Personalplanung!S102/Monatsplanung!$E102*Monatsplanung!$I102)</f>
        <v>0</v>
      </c>
      <c r="AA310" s="80">
        <f t="shared" si="81"/>
        <v>0</v>
      </c>
      <c r="AB310" s="102">
        <f t="shared" si="82"/>
        <v>0.1</v>
      </c>
      <c r="AC310" s="103">
        <f t="shared" si="83"/>
        <v>0</v>
      </c>
      <c r="AD310" s="103">
        <f t="shared" si="84"/>
        <v>0</v>
      </c>
      <c r="AE310" s="81">
        <f t="shared" si="85"/>
        <v>0</v>
      </c>
      <c r="AF310" s="539"/>
      <c r="AG310" s="104">
        <f t="shared" si="86"/>
        <v>1</v>
      </c>
      <c r="AH310" s="7">
        <f t="shared" si="87"/>
        <v>0</v>
      </c>
      <c r="AI310" s="6">
        <f t="shared" si="88"/>
        <v>0</v>
      </c>
      <c r="AJ310" s="73">
        <f t="shared" si="89"/>
        <v>0</v>
      </c>
      <c r="AK310" s="539"/>
      <c r="AL310" s="748"/>
      <c r="AM310" s="748"/>
    </row>
    <row r="311" spans="2:39" x14ac:dyDescent="0.2">
      <c r="B311" s="101" t="str">
        <f t="shared" si="74"/>
        <v/>
      </c>
      <c r="C311" s="168">
        <f>IF(ISERROR(Personalplanung!F103/Monatsplanung!$E103*Monatsplanung!$I103),0,Personalplanung!F103/Monatsplanung!$E103*Monatsplanung!$I103)</f>
        <v>0</v>
      </c>
      <c r="D311" s="168">
        <f t="shared" si="75"/>
        <v>0</v>
      </c>
      <c r="E311" s="168">
        <f>IF(ISERROR(Personalplanung!H103/Monatsplanung!$E103*Monatsplanung!$I103),0,Personalplanung!H103/Monatsplanung!$E103*Monatsplanung!$I103)</f>
        <v>0</v>
      </c>
      <c r="F311" s="168">
        <f t="shared" si="76"/>
        <v>0</v>
      </c>
      <c r="G311" s="168">
        <f t="shared" si="77"/>
        <v>27.700831024930746</v>
      </c>
      <c r="H311" s="168">
        <f t="shared" si="78"/>
        <v>0</v>
      </c>
      <c r="I311" s="168">
        <f t="shared" si="79"/>
        <v>30</v>
      </c>
      <c r="J311" s="739"/>
      <c r="K311" s="168">
        <f>IF(J311&lt;&gt;"",J311,IF(ISERROR(Personalplanung!AB103/Monatsplanung!$E103*Monatsplanung!$I103),0,Personalplanung!AB103/Monatsplanung!$E103*Monatsplanung!$I103))</f>
        <v>0</v>
      </c>
      <c r="L311" s="740"/>
      <c r="M311" s="739"/>
      <c r="N311" s="168">
        <f>IF(M311&lt;&gt;"",M311,IF(ISERROR(Personalplanung!AC103/Monatsplanung!$E103*Monatsplanung!$I103),0,Personalplanung!AC103/Monatsplanung!$E103*Monatsplanung!$I103))</f>
        <v>0</v>
      </c>
      <c r="O311" s="740"/>
      <c r="P311" s="739"/>
      <c r="Q311" s="168">
        <f>IF(P311&lt;&gt;"",P311,IF(ISERROR(Personalplanung!AD103/Monatsplanung!$E103*Monatsplanung!$I103),0,Personalplanung!AD103/Monatsplanung!$E103*Monatsplanung!$I103))</f>
        <v>0</v>
      </c>
      <c r="R311" s="740"/>
      <c r="S311" s="739"/>
      <c r="T311" s="168">
        <f>IF(S311&lt;&gt;"",S311,IF(ISERROR(Personalplanung!AE103/Monatsplanung!$E103*Monatsplanung!$I103),0,Personalplanung!AE103/Monatsplanung!$E103*Monatsplanung!$I103))</f>
        <v>0</v>
      </c>
      <c r="U311" s="740"/>
      <c r="V311" s="168">
        <f t="shared" si="80"/>
        <v>0</v>
      </c>
      <c r="W311" s="168">
        <f>IF(ISERROR(Personalplanung!P103/Monatsplanung!$E103*Monatsplanung!$I103),0,Personalplanung!P103/Monatsplanung!$E103*Monatsplanung!$I103)</f>
        <v>0</v>
      </c>
      <c r="X311" s="168">
        <f>IF(ISERROR(Personalplanung!Q103/Monatsplanung!$E103*Monatsplanung!$I103),0,Personalplanung!Q103/Monatsplanung!$E103*Monatsplanung!$I103)</f>
        <v>0</v>
      </c>
      <c r="Y311" s="168">
        <f>IF(ISERROR(Personalplanung!R103/T1351*Stundencontrolling!T311),0,Personalplanung!R103/T1351*Stundencontrolling!T311)</f>
        <v>0</v>
      </c>
      <c r="Z311" s="168">
        <f>IF(ISERROR(Personalplanung!S103/Monatsplanung!$E103*Monatsplanung!$I103),0,Personalplanung!S103/Monatsplanung!$E103*Monatsplanung!$I103)</f>
        <v>0</v>
      </c>
      <c r="AA311" s="80">
        <f t="shared" si="81"/>
        <v>0</v>
      </c>
      <c r="AB311" s="102">
        <f t="shared" si="82"/>
        <v>0.1</v>
      </c>
      <c r="AC311" s="103">
        <f t="shared" si="83"/>
        <v>0</v>
      </c>
      <c r="AD311" s="103">
        <f t="shared" si="84"/>
        <v>0</v>
      </c>
      <c r="AE311" s="81">
        <f t="shared" si="85"/>
        <v>0</v>
      </c>
      <c r="AF311" s="539"/>
      <c r="AG311" s="104">
        <f t="shared" si="86"/>
        <v>1</v>
      </c>
      <c r="AH311" s="7">
        <f t="shared" si="87"/>
        <v>0</v>
      </c>
      <c r="AI311" s="6">
        <f t="shared" si="88"/>
        <v>0</v>
      </c>
      <c r="AJ311" s="73">
        <f t="shared" si="89"/>
        <v>0</v>
      </c>
      <c r="AK311" s="539"/>
      <c r="AL311" s="748"/>
      <c r="AM311" s="748"/>
    </row>
    <row r="312" spans="2:39" x14ac:dyDescent="0.2">
      <c r="B312" s="101" t="str">
        <f t="shared" si="74"/>
        <v/>
      </c>
      <c r="C312" s="168">
        <f>IF(ISERROR(Personalplanung!F104/Monatsplanung!$E104*Monatsplanung!$I104),0,Personalplanung!F104/Monatsplanung!$E104*Monatsplanung!$I104)</f>
        <v>0</v>
      </c>
      <c r="D312" s="168">
        <f t="shared" si="75"/>
        <v>0</v>
      </c>
      <c r="E312" s="168">
        <f>IF(ISERROR(Personalplanung!H104/Monatsplanung!$E104*Monatsplanung!$I104),0,Personalplanung!H104/Monatsplanung!$E104*Monatsplanung!$I104)</f>
        <v>0</v>
      </c>
      <c r="F312" s="168">
        <f t="shared" si="76"/>
        <v>0</v>
      </c>
      <c r="G312" s="168">
        <f t="shared" si="77"/>
        <v>27.700831024930746</v>
      </c>
      <c r="H312" s="168">
        <f t="shared" si="78"/>
        <v>0</v>
      </c>
      <c r="I312" s="168">
        <f t="shared" si="79"/>
        <v>30</v>
      </c>
      <c r="J312" s="739"/>
      <c r="K312" s="168">
        <f>IF(J312&lt;&gt;"",J312,IF(ISERROR(Personalplanung!AB104/Monatsplanung!$E104*Monatsplanung!$I104),0,Personalplanung!AB104/Monatsplanung!$E104*Monatsplanung!$I104))</f>
        <v>0</v>
      </c>
      <c r="L312" s="740"/>
      <c r="M312" s="739"/>
      <c r="N312" s="168">
        <f>IF(M312&lt;&gt;"",M312,IF(ISERROR(Personalplanung!AC104/Monatsplanung!$E104*Monatsplanung!$I104),0,Personalplanung!AC104/Monatsplanung!$E104*Monatsplanung!$I104))</f>
        <v>0</v>
      </c>
      <c r="O312" s="740"/>
      <c r="P312" s="739"/>
      <c r="Q312" s="168">
        <f>IF(P312&lt;&gt;"",P312,IF(ISERROR(Personalplanung!AD104/Monatsplanung!$E104*Monatsplanung!$I104),0,Personalplanung!AD104/Monatsplanung!$E104*Monatsplanung!$I104))</f>
        <v>0</v>
      </c>
      <c r="R312" s="740"/>
      <c r="S312" s="739"/>
      <c r="T312" s="168">
        <f>IF(S312&lt;&gt;"",S312,IF(ISERROR(Personalplanung!AE104/Monatsplanung!$E104*Monatsplanung!$I104),0,Personalplanung!AE104/Monatsplanung!$E104*Monatsplanung!$I104))</f>
        <v>0</v>
      </c>
      <c r="U312" s="740"/>
      <c r="V312" s="168">
        <f t="shared" si="80"/>
        <v>0</v>
      </c>
      <c r="W312" s="168">
        <f>IF(ISERROR(Personalplanung!P104/Monatsplanung!$E104*Monatsplanung!$I104),0,Personalplanung!P104/Monatsplanung!$E104*Monatsplanung!$I104)</f>
        <v>0</v>
      </c>
      <c r="X312" s="168">
        <f>IF(ISERROR(Personalplanung!Q104/Monatsplanung!$E104*Monatsplanung!$I104),0,Personalplanung!Q104/Monatsplanung!$E104*Monatsplanung!$I104)</f>
        <v>0</v>
      </c>
      <c r="Y312" s="168">
        <f>IF(ISERROR(Personalplanung!R104/T1352*Stundencontrolling!T312),0,Personalplanung!R104/T1352*Stundencontrolling!T312)</f>
        <v>0</v>
      </c>
      <c r="Z312" s="168">
        <f>IF(ISERROR(Personalplanung!S104/Monatsplanung!$E104*Monatsplanung!$I104),0,Personalplanung!S104/Monatsplanung!$E104*Monatsplanung!$I104)</f>
        <v>0</v>
      </c>
      <c r="AA312" s="80">
        <f t="shared" si="81"/>
        <v>0</v>
      </c>
      <c r="AB312" s="102">
        <f t="shared" si="82"/>
        <v>0.1</v>
      </c>
      <c r="AC312" s="103">
        <f t="shared" si="83"/>
        <v>0</v>
      </c>
      <c r="AD312" s="103">
        <f t="shared" si="84"/>
        <v>0</v>
      </c>
      <c r="AE312" s="81">
        <f t="shared" si="85"/>
        <v>0</v>
      </c>
      <c r="AF312" s="539"/>
      <c r="AG312" s="104">
        <f t="shared" si="86"/>
        <v>1</v>
      </c>
      <c r="AH312" s="7">
        <f t="shared" si="87"/>
        <v>0</v>
      </c>
      <c r="AI312" s="6">
        <f t="shared" si="88"/>
        <v>0</v>
      </c>
      <c r="AJ312" s="73">
        <f t="shared" si="89"/>
        <v>0</v>
      </c>
      <c r="AK312" s="539"/>
      <c r="AL312" s="748"/>
      <c r="AM312" s="748"/>
    </row>
    <row r="313" spans="2:39" x14ac:dyDescent="0.2">
      <c r="B313" s="101" t="str">
        <f t="shared" si="74"/>
        <v/>
      </c>
      <c r="C313" s="168">
        <f>IF(ISERROR(Personalplanung!F105/Monatsplanung!$E105*Monatsplanung!$I105),0,Personalplanung!F105/Monatsplanung!$E105*Monatsplanung!$I105)</f>
        <v>0</v>
      </c>
      <c r="D313" s="168">
        <f t="shared" si="75"/>
        <v>0</v>
      </c>
      <c r="E313" s="168">
        <f>IF(ISERROR(Personalplanung!H105/Monatsplanung!$E105*Monatsplanung!$I105),0,Personalplanung!H105/Monatsplanung!$E105*Monatsplanung!$I105)</f>
        <v>0</v>
      </c>
      <c r="F313" s="168">
        <f t="shared" si="76"/>
        <v>0</v>
      </c>
      <c r="G313" s="168">
        <f t="shared" si="77"/>
        <v>27.700831024930746</v>
      </c>
      <c r="H313" s="168">
        <f t="shared" si="78"/>
        <v>0</v>
      </c>
      <c r="I313" s="168">
        <f t="shared" si="79"/>
        <v>30</v>
      </c>
      <c r="J313" s="739"/>
      <c r="K313" s="168">
        <f>IF(J313&lt;&gt;"",J313,IF(ISERROR(Personalplanung!AB105/Monatsplanung!$E105*Monatsplanung!$I105),0,Personalplanung!AB105/Monatsplanung!$E105*Monatsplanung!$I105))</f>
        <v>0</v>
      </c>
      <c r="L313" s="740"/>
      <c r="M313" s="739"/>
      <c r="N313" s="168">
        <f>IF(M313&lt;&gt;"",M313,IF(ISERROR(Personalplanung!AC105/Monatsplanung!$E105*Monatsplanung!$I105),0,Personalplanung!AC105/Monatsplanung!$E105*Monatsplanung!$I105))</f>
        <v>0</v>
      </c>
      <c r="O313" s="740"/>
      <c r="P313" s="739"/>
      <c r="Q313" s="168">
        <f>IF(P313&lt;&gt;"",P313,IF(ISERROR(Personalplanung!AD105/Monatsplanung!$E105*Monatsplanung!$I105),0,Personalplanung!AD105/Monatsplanung!$E105*Monatsplanung!$I105))</f>
        <v>0</v>
      </c>
      <c r="R313" s="740"/>
      <c r="S313" s="739"/>
      <c r="T313" s="168">
        <f>IF(S313&lt;&gt;"",S313,IF(ISERROR(Personalplanung!AE105/Monatsplanung!$E105*Monatsplanung!$I105),0,Personalplanung!AE105/Monatsplanung!$E105*Monatsplanung!$I105))</f>
        <v>0</v>
      </c>
      <c r="U313" s="740"/>
      <c r="V313" s="168">
        <f t="shared" si="80"/>
        <v>0</v>
      </c>
      <c r="W313" s="168">
        <f>IF(ISERROR(Personalplanung!P105/Monatsplanung!$E105*Monatsplanung!$I105),0,Personalplanung!P105/Monatsplanung!$E105*Monatsplanung!$I105)</f>
        <v>0</v>
      </c>
      <c r="X313" s="168">
        <f>IF(ISERROR(Personalplanung!Q105/Monatsplanung!$E105*Monatsplanung!$I105),0,Personalplanung!Q105/Monatsplanung!$E105*Monatsplanung!$I105)</f>
        <v>0</v>
      </c>
      <c r="Y313" s="168">
        <f>IF(ISERROR(Personalplanung!R105/T1353*Stundencontrolling!T313),0,Personalplanung!R105/T1353*Stundencontrolling!T313)</f>
        <v>0</v>
      </c>
      <c r="Z313" s="168">
        <f>IF(ISERROR(Personalplanung!S105/Monatsplanung!$E105*Monatsplanung!$I105),0,Personalplanung!S105/Monatsplanung!$E105*Monatsplanung!$I105)</f>
        <v>0</v>
      </c>
      <c r="AA313" s="80">
        <f t="shared" si="81"/>
        <v>0</v>
      </c>
      <c r="AB313" s="102">
        <f t="shared" si="82"/>
        <v>0.1</v>
      </c>
      <c r="AC313" s="103">
        <f t="shared" si="83"/>
        <v>0</v>
      </c>
      <c r="AD313" s="103">
        <f t="shared" si="84"/>
        <v>0</v>
      </c>
      <c r="AE313" s="81">
        <f t="shared" si="85"/>
        <v>0</v>
      </c>
      <c r="AF313" s="539"/>
      <c r="AG313" s="104">
        <f t="shared" si="86"/>
        <v>1</v>
      </c>
      <c r="AH313" s="7">
        <f t="shared" si="87"/>
        <v>0</v>
      </c>
      <c r="AI313" s="6">
        <f t="shared" si="88"/>
        <v>0</v>
      </c>
      <c r="AJ313" s="73">
        <f t="shared" si="89"/>
        <v>0</v>
      </c>
      <c r="AK313" s="539"/>
      <c r="AL313" s="748"/>
      <c r="AM313" s="748"/>
    </row>
    <row r="314" spans="2:39" x14ac:dyDescent="0.2">
      <c r="B314" s="101" t="str">
        <f t="shared" si="74"/>
        <v/>
      </c>
      <c r="C314" s="168">
        <f>IF(ISERROR(Personalplanung!F106/Monatsplanung!$E106*Monatsplanung!$I106),0,Personalplanung!F106/Monatsplanung!$E106*Monatsplanung!$I106)</f>
        <v>0</v>
      </c>
      <c r="D314" s="168">
        <f t="shared" si="75"/>
        <v>0</v>
      </c>
      <c r="E314" s="168">
        <f>IF(ISERROR(Personalplanung!H106/Monatsplanung!$E106*Monatsplanung!$I106),0,Personalplanung!H106/Monatsplanung!$E106*Monatsplanung!$I106)</f>
        <v>0</v>
      </c>
      <c r="F314" s="168">
        <f t="shared" si="76"/>
        <v>0</v>
      </c>
      <c r="G314" s="168">
        <f t="shared" si="77"/>
        <v>27.700831024930746</v>
      </c>
      <c r="H314" s="168">
        <f t="shared" si="78"/>
        <v>0</v>
      </c>
      <c r="I314" s="168">
        <f t="shared" si="79"/>
        <v>30</v>
      </c>
      <c r="J314" s="739"/>
      <c r="K314" s="168">
        <f>IF(J314&lt;&gt;"",J314,IF(ISERROR(Personalplanung!AB106/Monatsplanung!$E106*Monatsplanung!$I106),0,Personalplanung!AB106/Monatsplanung!$E106*Monatsplanung!$I106))</f>
        <v>0</v>
      </c>
      <c r="L314" s="740"/>
      <c r="M314" s="739"/>
      <c r="N314" s="168">
        <f>IF(M314&lt;&gt;"",M314,IF(ISERROR(Personalplanung!AC106/Monatsplanung!$E106*Monatsplanung!$I106),0,Personalplanung!AC106/Monatsplanung!$E106*Monatsplanung!$I106))</f>
        <v>0</v>
      </c>
      <c r="O314" s="740"/>
      <c r="P314" s="739"/>
      <c r="Q314" s="168">
        <f>IF(P314&lt;&gt;"",P314,IF(ISERROR(Personalplanung!AD106/Monatsplanung!$E106*Monatsplanung!$I106),0,Personalplanung!AD106/Monatsplanung!$E106*Monatsplanung!$I106))</f>
        <v>0</v>
      </c>
      <c r="R314" s="740"/>
      <c r="S314" s="739"/>
      <c r="T314" s="168">
        <f>IF(S314&lt;&gt;"",S314,IF(ISERROR(Personalplanung!AE106/Monatsplanung!$E106*Monatsplanung!$I106),0,Personalplanung!AE106/Monatsplanung!$E106*Monatsplanung!$I106))</f>
        <v>0</v>
      </c>
      <c r="U314" s="740"/>
      <c r="V314" s="168">
        <f t="shared" si="80"/>
        <v>0</v>
      </c>
      <c r="W314" s="168">
        <f>IF(ISERROR(Personalplanung!P106/Monatsplanung!$E106*Monatsplanung!$I106),0,Personalplanung!P106/Monatsplanung!$E106*Monatsplanung!$I106)</f>
        <v>0</v>
      </c>
      <c r="X314" s="168">
        <f>IF(ISERROR(Personalplanung!Q106/Monatsplanung!$E106*Monatsplanung!$I106),0,Personalplanung!Q106/Monatsplanung!$E106*Monatsplanung!$I106)</f>
        <v>0</v>
      </c>
      <c r="Y314" s="168">
        <f>IF(ISERROR(Personalplanung!R106/T1354*Stundencontrolling!T314),0,Personalplanung!R106/T1354*Stundencontrolling!T314)</f>
        <v>0</v>
      </c>
      <c r="Z314" s="168">
        <f>IF(ISERROR(Personalplanung!S106/Monatsplanung!$E106*Monatsplanung!$I106),0,Personalplanung!S106/Monatsplanung!$E106*Monatsplanung!$I106)</f>
        <v>0</v>
      </c>
      <c r="AA314" s="80">
        <f t="shared" si="81"/>
        <v>0</v>
      </c>
      <c r="AB314" s="102">
        <f t="shared" si="82"/>
        <v>0.1</v>
      </c>
      <c r="AC314" s="103">
        <f t="shared" si="83"/>
        <v>0</v>
      </c>
      <c r="AD314" s="103">
        <f t="shared" si="84"/>
        <v>0</v>
      </c>
      <c r="AE314" s="81">
        <f t="shared" si="85"/>
        <v>0</v>
      </c>
      <c r="AF314" s="539"/>
      <c r="AG314" s="104">
        <f t="shared" si="86"/>
        <v>1</v>
      </c>
      <c r="AH314" s="7">
        <f t="shared" si="87"/>
        <v>0</v>
      </c>
      <c r="AI314" s="6">
        <f t="shared" si="88"/>
        <v>0</v>
      </c>
      <c r="AJ314" s="73">
        <f t="shared" si="89"/>
        <v>0</v>
      </c>
      <c r="AK314" s="539"/>
      <c r="AL314" s="748"/>
      <c r="AM314" s="748"/>
    </row>
    <row r="315" spans="2:39" x14ac:dyDescent="0.2">
      <c r="B315" s="500" t="s">
        <v>134</v>
      </c>
      <c r="C315" s="501">
        <f>+SUM(C214:C314)</f>
        <v>2488.1999999999998</v>
      </c>
      <c r="D315" s="501"/>
      <c r="E315" s="501">
        <f>+SUM(E214:E314)</f>
        <v>120.00000000000001</v>
      </c>
      <c r="F315" s="501">
        <f>+SUM(F214:F314)</f>
        <v>2608.1999999999998</v>
      </c>
      <c r="G315" s="501">
        <f>IF(ISERROR(+H315/F315),0,+H315/F315)</f>
        <v>27.700831024930746</v>
      </c>
      <c r="H315" s="501">
        <f>+SUM(H214:H314)</f>
        <v>72249.307479224371</v>
      </c>
      <c r="I315" s="501"/>
      <c r="J315" s="501"/>
      <c r="K315" s="501">
        <f t="shared" ref="K315:V315" si="90">+SUM(K214:K314)</f>
        <v>10.516666666666666</v>
      </c>
      <c r="L315" s="501"/>
      <c r="M315" s="501"/>
      <c r="N315" s="501">
        <f>+SUM(N214:N314)</f>
        <v>1.25</v>
      </c>
      <c r="O315" s="501"/>
      <c r="P315" s="501"/>
      <c r="Q315" s="501">
        <f>+SUM(Q214:Q314)</f>
        <v>3.2166666666666663</v>
      </c>
      <c r="R315" s="501"/>
      <c r="S315" s="501"/>
      <c r="T315" s="501">
        <f>+SUM(T214:T314)</f>
        <v>34.616666666666667</v>
      </c>
      <c r="U315" s="501"/>
      <c r="V315" s="501">
        <f t="shared" si="90"/>
        <v>49.6</v>
      </c>
      <c r="W315" s="501">
        <f>+SUM(W214:W314)</f>
        <v>0</v>
      </c>
      <c r="X315" s="501">
        <f>+SUM(X214:X314)</f>
        <v>166.66666666666666</v>
      </c>
      <c r="Y315" s="501">
        <f>+SUM(Y214:Y314)</f>
        <v>66.666666666666657</v>
      </c>
      <c r="Z315" s="501">
        <f>+SUM(Z214:Z314)</f>
        <v>50</v>
      </c>
      <c r="AA315" s="503">
        <f>SUM(AA214:AA314)</f>
        <v>2240011.8651892892</v>
      </c>
      <c r="AB315" s="502">
        <f>+AC315/AA315</f>
        <v>9.9999999999999978E-2</v>
      </c>
      <c r="AC315" s="503">
        <f>SUM(AC214:AC314)</f>
        <v>224001.18651892888</v>
      </c>
      <c r="AD315" s="503">
        <f>SUM(AD214:AD314)</f>
        <v>2016010.6786703593</v>
      </c>
      <c r="AE315" s="504">
        <f>SUM(AE214:AE314)</f>
        <v>222.49333333333334</v>
      </c>
      <c r="AF315" s="504">
        <f>SUM(AF214:AF314)</f>
        <v>0</v>
      </c>
      <c r="AG315" s="505">
        <f>AI315/AE315</f>
        <v>1</v>
      </c>
      <c r="AH315" s="505">
        <f t="shared" si="56"/>
        <v>0</v>
      </c>
      <c r="AI315" s="504">
        <f>SUM(AI214:AI314)</f>
        <v>222.49333333333334</v>
      </c>
      <c r="AJ315" s="506">
        <f t="shared" si="57"/>
        <v>1006.777071308184</v>
      </c>
      <c r="AK315" s="504">
        <f>SUM(AK214:AK314)</f>
        <v>0</v>
      </c>
      <c r="AL315" s="747"/>
      <c r="AM315" s="506">
        <f>$AM$107</f>
        <v>75.851340181839646</v>
      </c>
    </row>
    <row r="316" spans="2:39" x14ac:dyDescent="0.2">
      <c r="B316" s="5"/>
      <c r="C316" s="5"/>
      <c r="D316" s="5"/>
      <c r="E316" s="5"/>
      <c r="F316" s="5"/>
      <c r="G316" s="5"/>
      <c r="H316" s="5"/>
      <c r="I316" s="736"/>
      <c r="J316" s="736"/>
      <c r="K316" s="5"/>
      <c r="L316" s="5"/>
      <c r="M316" s="736"/>
      <c r="N316" s="5"/>
      <c r="O316" s="5"/>
      <c r="P316" s="736"/>
      <c r="Q316" s="5"/>
      <c r="R316" s="5"/>
      <c r="S316" s="736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6"/>
      <c r="AF316" s="6"/>
      <c r="AG316" s="7"/>
      <c r="AH316" s="7"/>
      <c r="AI316" s="6"/>
      <c r="AJ316" s="6"/>
      <c r="AK316" s="6"/>
      <c r="AL316" s="6"/>
      <c r="AM316" s="73"/>
    </row>
    <row r="317" spans="2:39" x14ac:dyDescent="0.2">
      <c r="B317" s="500" t="s">
        <v>45</v>
      </c>
      <c r="C317" s="501"/>
      <c r="D317" s="501"/>
      <c r="E317" s="501"/>
      <c r="F317" s="501"/>
      <c r="G317" s="501"/>
      <c r="H317" s="501"/>
      <c r="I317" s="501"/>
      <c r="J317" s="501"/>
      <c r="K317" s="501"/>
      <c r="L317" s="501"/>
      <c r="M317" s="501"/>
      <c r="N317" s="501"/>
      <c r="O317" s="501"/>
      <c r="P317" s="501"/>
      <c r="Q317" s="501"/>
      <c r="R317" s="501"/>
      <c r="S317" s="501"/>
      <c r="T317" s="501"/>
      <c r="U317" s="501"/>
      <c r="V317" s="501"/>
      <c r="W317" s="501"/>
      <c r="X317" s="501"/>
      <c r="Y317" s="501"/>
      <c r="Z317" s="501"/>
      <c r="AA317" s="503"/>
      <c r="AB317" s="502"/>
      <c r="AC317" s="503"/>
      <c r="AD317" s="503"/>
      <c r="AE317" s="504"/>
      <c r="AF317" s="504"/>
      <c r="AG317" s="505"/>
      <c r="AH317" s="505"/>
      <c r="AI317" s="504"/>
      <c r="AJ317" s="506"/>
      <c r="AK317" s="504"/>
      <c r="AL317" s="504"/>
      <c r="AM317" s="506"/>
    </row>
    <row r="318" spans="2:39" x14ac:dyDescent="0.2">
      <c r="B318" s="101" t="str">
        <f>$B214</f>
        <v>Maxdivers Mustermann</v>
      </c>
      <c r="C318" s="168">
        <f>IF(ISERROR(Personalplanung!F6/Monatsplanung!$E6*Monatsplanung!$J6),0,Personalplanung!F6/Monatsplanung!$E6*Monatsplanung!$J6)</f>
        <v>174</v>
      </c>
      <c r="D318" s="168">
        <f>$D214</f>
        <v>8</v>
      </c>
      <c r="E318" s="168">
        <f>IF(ISERROR(Personalplanung!H6/Monatsplanung!$E6*Monatsplanung!$J6),0,Personalplanung!H6/Monatsplanung!$E6*Monatsplanung!$J6)</f>
        <v>66.666666666666671</v>
      </c>
      <c r="F318" s="168">
        <f>+C318+E318</f>
        <v>240.66666666666669</v>
      </c>
      <c r="G318" s="168">
        <f>$G$6</f>
        <v>27.700831024930746</v>
      </c>
      <c r="H318" s="168">
        <f>+F318*G318</f>
        <v>6666.666666666667</v>
      </c>
      <c r="I318" s="168">
        <f>$I$6</f>
        <v>30</v>
      </c>
      <c r="J318" s="739"/>
      <c r="K318" s="168">
        <f>IF(J318&lt;&gt;"",J318,IF(ISERROR(Personalplanung!AB6/Monatsplanung!$E6*Monatsplanung!$J6),0,Personalplanung!AB6/Monatsplanung!$E6*Monatsplanung!$J6))</f>
        <v>0.66666666666666663</v>
      </c>
      <c r="L318" s="740"/>
      <c r="M318" s="739"/>
      <c r="N318" s="168">
        <f>IF(M318&lt;&gt;"",M318,IF(ISERROR(Personalplanung!AC6/Monatsplanung!$E6*Monatsplanung!$J6),0,Personalplanung!AC6/Monatsplanung!$E6*Monatsplanung!$J6))</f>
        <v>0</v>
      </c>
      <c r="O318" s="740"/>
      <c r="P318" s="739"/>
      <c r="Q318" s="168">
        <f>IF(P318&lt;&gt;"",P318,IF(ISERROR(Personalplanung!AD6/Monatsplanung!$E6*Monatsplanung!$J6),0,Personalplanung!AD6/Monatsplanung!$E6*Monatsplanung!$J6))</f>
        <v>0.16666666666666666</v>
      </c>
      <c r="R318" s="740"/>
      <c r="S318" s="739"/>
      <c r="T318" s="168">
        <f>IF(S318&lt;&gt;"",S318,IF(ISERROR(Personalplanung!AE6/Monatsplanung!$E6*Monatsplanung!$J6),0,Personalplanung!AE6/Monatsplanung!$E6*Monatsplanung!$J6))</f>
        <v>1.25</v>
      </c>
      <c r="U318" s="740"/>
      <c r="V318" s="168">
        <f>K318+N318+Q318+T318</f>
        <v>2.083333333333333</v>
      </c>
      <c r="W318" s="168">
        <f>IF(ISERROR(Personalplanung!P6/Monatsplanung!$E6*Monatsplanung!$J6),0,Personalplanung!P6/Monatsplanung!$E6*Monatsplanung!$J6)</f>
        <v>0</v>
      </c>
      <c r="X318" s="168">
        <f>IF(ISERROR(Personalplanung!Q6/Monatsplanung!$E6*Monatsplanung!$J6),0,Personalplanung!Q6/Monatsplanung!$E6*Monatsplanung!$J6)</f>
        <v>0</v>
      </c>
      <c r="Y318" s="168">
        <f>IF(ISERROR(Personalplanung!R6/T1254*Stundencontrolling!T318),0,Personalplanung!R6/T1254*Stundencontrolling!T318)</f>
        <v>0</v>
      </c>
      <c r="Z318" s="168">
        <f>IF(ISERROR(Personalplanung!S6/Monatsplanung!$E6*Monatsplanung!$J6),0,Personalplanung!S6/Monatsplanung!$E6*Monatsplanung!$J6)</f>
        <v>0</v>
      </c>
      <c r="AA318" s="80">
        <f>+F318*G318*(1+I318)+SUM(W318:Z318)</f>
        <v>206666.66666666669</v>
      </c>
      <c r="AB318" s="102">
        <f>$AB$6</f>
        <v>0.1</v>
      </c>
      <c r="AC318" s="103">
        <f>AB318*AA318</f>
        <v>20666.666666666672</v>
      </c>
      <c r="AD318" s="103">
        <f>AA318-AC318</f>
        <v>186000</v>
      </c>
      <c r="AE318" s="81">
        <f>(F318-(V318*$D318))*AB318</f>
        <v>22.400000000000006</v>
      </c>
      <c r="AF318" s="539"/>
      <c r="AG318" s="104">
        <f>$AG$6</f>
        <v>1</v>
      </c>
      <c r="AH318" s="7">
        <f t="shared" ref="AH318:AH419" si="91">IF(ISERROR(AK318/AF318),0,AK318/AF318)</f>
        <v>0</v>
      </c>
      <c r="AI318" s="6">
        <f>AE318*AG318</f>
        <v>22.400000000000006</v>
      </c>
      <c r="AJ318" s="73">
        <f t="shared" ref="AJ318:AJ419" si="92">IF(ISERROR(+AC318/AI318),0,+AC318/AI318)</f>
        <v>922.61904761904759</v>
      </c>
      <c r="AK318" s="539"/>
      <c r="AL318" s="748"/>
      <c r="AM318" s="748"/>
    </row>
    <row r="319" spans="2:39" x14ac:dyDescent="0.2">
      <c r="B319" s="101" t="str">
        <f t="shared" ref="B319:B382" si="93">$B215</f>
        <v>Egon Kaufmann</v>
      </c>
      <c r="C319" s="168">
        <f>IF(ISERROR(Personalplanung!F7/Monatsplanung!$E7*Monatsplanung!$J7),0,Personalplanung!F7/Monatsplanung!$E7*Monatsplanung!$J7)</f>
        <v>174</v>
      </c>
      <c r="D319" s="168">
        <f t="shared" ref="D319:D382" si="94">$D215</f>
        <v>8</v>
      </c>
      <c r="E319" s="168">
        <f>IF(ISERROR(Personalplanung!H7/Monatsplanung!$E7*Monatsplanung!$J7),0,Personalplanung!H7/Monatsplanung!$E7*Monatsplanung!$J7)</f>
        <v>26.666666666666668</v>
      </c>
      <c r="F319" s="168">
        <f t="shared" ref="F319:F382" si="95">+C319+E319</f>
        <v>200.66666666666666</v>
      </c>
      <c r="G319" s="168">
        <f t="shared" ref="G319:G382" si="96">$G$6</f>
        <v>27.700831024930746</v>
      </c>
      <c r="H319" s="168">
        <f t="shared" ref="H319:H382" si="97">+F319*G319</f>
        <v>5558.6334256694363</v>
      </c>
      <c r="I319" s="168">
        <f t="shared" ref="I319:I382" si="98">$I$6</f>
        <v>30</v>
      </c>
      <c r="J319" s="739"/>
      <c r="K319" s="168">
        <f>IF(J319&lt;&gt;"",J319,IF(ISERROR(Personalplanung!AB7/Monatsplanung!$E7*Monatsplanung!$J7),0,Personalplanung!AB7/Monatsplanung!$E7*Monatsplanung!$J7))</f>
        <v>0.66666666666666663</v>
      </c>
      <c r="L319" s="740"/>
      <c r="M319" s="739"/>
      <c r="N319" s="168">
        <f>IF(M319&lt;&gt;"",M319,IF(ISERROR(Personalplanung!AC7/Monatsplanung!$E7*Monatsplanung!$J7),0,Personalplanung!AC7/Monatsplanung!$E7*Monatsplanung!$J7))</f>
        <v>0</v>
      </c>
      <c r="O319" s="740"/>
      <c r="P319" s="739"/>
      <c r="Q319" s="168">
        <f>IF(P319&lt;&gt;"",P319,IF(ISERROR(Personalplanung!AD7/Monatsplanung!$E7*Monatsplanung!$J7),0,Personalplanung!AD7/Monatsplanung!$E7*Monatsplanung!$J7))</f>
        <v>0.16666666666666666</v>
      </c>
      <c r="R319" s="740"/>
      <c r="S319" s="739"/>
      <c r="T319" s="168">
        <f>IF(S319&lt;&gt;"",S319,IF(ISERROR(Personalplanung!AE7/Monatsplanung!$E7*Monatsplanung!$J7),0,Personalplanung!AE7/Monatsplanung!$E7*Monatsplanung!$J7))</f>
        <v>2.1666666666666665</v>
      </c>
      <c r="U319" s="740"/>
      <c r="V319" s="168">
        <f t="shared" ref="V319:V382" si="99">K319+N319+Q319+T319</f>
        <v>3</v>
      </c>
      <c r="W319" s="168">
        <f>IF(ISERROR(Personalplanung!P7/Monatsplanung!$E7*Monatsplanung!$J7),0,Personalplanung!P7/Monatsplanung!$E7*Monatsplanung!$J7)</f>
        <v>0</v>
      </c>
      <c r="X319" s="168">
        <f>IF(ISERROR(Personalplanung!Q7/Monatsplanung!$E7*Monatsplanung!$J7),0,Personalplanung!Q7/Monatsplanung!$E7*Monatsplanung!$J7)</f>
        <v>0</v>
      </c>
      <c r="Y319" s="168">
        <f>IF(ISERROR(Personalplanung!R7/T1255*Stundencontrolling!T319),0,Personalplanung!R7/T1255*Stundencontrolling!T319)</f>
        <v>0</v>
      </c>
      <c r="Z319" s="168">
        <f>IF(ISERROR(Personalplanung!S7/Monatsplanung!$E7*Monatsplanung!$J7),0,Personalplanung!S7/Monatsplanung!$E7*Monatsplanung!$J7)</f>
        <v>0</v>
      </c>
      <c r="AA319" s="80">
        <f t="shared" ref="AA319:AA382" si="100">+F319*G319*(1+I319)+SUM(W319:Z319)</f>
        <v>172317.63619575254</v>
      </c>
      <c r="AB319" s="102">
        <f t="shared" ref="AB319:AB382" si="101">$AB$6</f>
        <v>0.1</v>
      </c>
      <c r="AC319" s="103">
        <f t="shared" ref="AC319:AC382" si="102">AB319*AA319</f>
        <v>17231.763619575253</v>
      </c>
      <c r="AD319" s="103">
        <f t="shared" ref="AD319:AD382" si="103">AA319-AC319</f>
        <v>155085.87257617729</v>
      </c>
      <c r="AE319" s="81">
        <f t="shared" ref="AE319:AE382" si="104">(F319-(V319*$D319))*AB319</f>
        <v>17.666666666666668</v>
      </c>
      <c r="AF319" s="539"/>
      <c r="AG319" s="104">
        <f t="shared" ref="AG319:AG382" si="105">$AG$6</f>
        <v>1</v>
      </c>
      <c r="AH319" s="7">
        <f t="shared" ref="AH319:AH382" si="106">IF(ISERROR(AK319/AF319),0,AK319/AF319)</f>
        <v>0</v>
      </c>
      <c r="AI319" s="6">
        <f t="shared" ref="AI319:AI382" si="107">AE319*AG319</f>
        <v>17.666666666666668</v>
      </c>
      <c r="AJ319" s="73">
        <f t="shared" ref="AJ319:AJ382" si="108">IF(ISERROR(+AC319/AI319),0,+AC319/AI319)</f>
        <v>975.382846391052</v>
      </c>
      <c r="AK319" s="539"/>
      <c r="AL319" s="748"/>
      <c r="AM319" s="748"/>
    </row>
    <row r="320" spans="2:39" x14ac:dyDescent="0.2">
      <c r="B320" s="101" t="str">
        <f t="shared" si="93"/>
        <v>Walter Meister</v>
      </c>
      <c r="C320" s="168">
        <f>IF(ISERROR(Personalplanung!F8/Monatsplanung!$E8*Monatsplanung!$J8),0,Personalplanung!F8/Monatsplanung!$E8*Monatsplanung!$J8)</f>
        <v>174</v>
      </c>
      <c r="D320" s="168">
        <f t="shared" si="94"/>
        <v>8</v>
      </c>
      <c r="E320" s="168">
        <f>IF(ISERROR(Personalplanung!H8/Monatsplanung!$E8*Monatsplanung!$J8),0,Personalplanung!H8/Monatsplanung!$E8*Monatsplanung!$J8)</f>
        <v>26.666666666666668</v>
      </c>
      <c r="F320" s="168">
        <f t="shared" si="95"/>
        <v>200.66666666666666</v>
      </c>
      <c r="G320" s="168">
        <f t="shared" si="96"/>
        <v>27.700831024930746</v>
      </c>
      <c r="H320" s="168">
        <f t="shared" si="97"/>
        <v>5558.6334256694363</v>
      </c>
      <c r="I320" s="168">
        <f t="shared" si="98"/>
        <v>30</v>
      </c>
      <c r="J320" s="739"/>
      <c r="K320" s="168">
        <f>IF(J320&lt;&gt;"",J320,IF(ISERROR(Personalplanung!AB8/Monatsplanung!$E8*Monatsplanung!$J8),0,Personalplanung!AB8/Monatsplanung!$E8*Monatsplanung!$J8))</f>
        <v>0.66666666666666663</v>
      </c>
      <c r="L320" s="740"/>
      <c r="M320" s="739"/>
      <c r="N320" s="168">
        <f>IF(M320&lt;&gt;"",M320,IF(ISERROR(Personalplanung!AC8/Monatsplanung!$E8*Monatsplanung!$J8),0,Personalplanung!AC8/Monatsplanung!$E8*Monatsplanung!$J8))</f>
        <v>8.3333333333333329E-2</v>
      </c>
      <c r="O320" s="740"/>
      <c r="P320" s="739"/>
      <c r="Q320" s="168">
        <f>IF(P320&lt;&gt;"",P320,IF(ISERROR(Personalplanung!AD8/Monatsplanung!$E8*Monatsplanung!$J8),0,Personalplanung!AD8/Monatsplanung!$E8*Monatsplanung!$J8))</f>
        <v>0.16666666666666666</v>
      </c>
      <c r="R320" s="740"/>
      <c r="S320" s="739"/>
      <c r="T320" s="168">
        <f>IF(S320&lt;&gt;"",S320,IF(ISERROR(Personalplanung!AE8/Monatsplanung!$E8*Monatsplanung!$J8),0,Personalplanung!AE8/Monatsplanung!$E8*Monatsplanung!$J8))</f>
        <v>2.1666666666666665</v>
      </c>
      <c r="U320" s="740"/>
      <c r="V320" s="168">
        <f t="shared" si="99"/>
        <v>3.083333333333333</v>
      </c>
      <c r="W320" s="168">
        <f>IF(ISERROR(Personalplanung!P8/Monatsplanung!$E8*Monatsplanung!$J8),0,Personalplanung!P8/Monatsplanung!$E8*Monatsplanung!$J8)</f>
        <v>0</v>
      </c>
      <c r="X320" s="168">
        <f>IF(ISERROR(Personalplanung!Q8/Monatsplanung!$E8*Monatsplanung!$J8),0,Personalplanung!Q8/Monatsplanung!$E8*Monatsplanung!$J8)</f>
        <v>0</v>
      </c>
      <c r="Y320" s="168">
        <f>IF(ISERROR(Personalplanung!R8/T1256*Stundencontrolling!T320),0,Personalplanung!R8/T1256*Stundencontrolling!T320)</f>
        <v>0</v>
      </c>
      <c r="Z320" s="168">
        <f>IF(ISERROR(Personalplanung!S8/Monatsplanung!$E8*Monatsplanung!$J8),0,Personalplanung!S8/Monatsplanung!$E8*Monatsplanung!$J8)</f>
        <v>0</v>
      </c>
      <c r="AA320" s="80">
        <f t="shared" si="100"/>
        <v>172317.63619575254</v>
      </c>
      <c r="AB320" s="102">
        <f t="shared" si="101"/>
        <v>0.1</v>
      </c>
      <c r="AC320" s="103">
        <f t="shared" si="102"/>
        <v>17231.763619575253</v>
      </c>
      <c r="AD320" s="103">
        <f t="shared" si="103"/>
        <v>155085.87257617729</v>
      </c>
      <c r="AE320" s="81">
        <f t="shared" si="104"/>
        <v>17.600000000000001</v>
      </c>
      <c r="AF320" s="539"/>
      <c r="AG320" s="104">
        <f t="shared" si="105"/>
        <v>1</v>
      </c>
      <c r="AH320" s="7">
        <f t="shared" si="106"/>
        <v>0</v>
      </c>
      <c r="AI320" s="6">
        <f t="shared" si="107"/>
        <v>17.600000000000001</v>
      </c>
      <c r="AJ320" s="73">
        <f t="shared" si="108"/>
        <v>979.07747838495743</v>
      </c>
      <c r="AK320" s="539"/>
      <c r="AL320" s="748"/>
      <c r="AM320" s="748"/>
    </row>
    <row r="321" spans="2:39" x14ac:dyDescent="0.2">
      <c r="B321" s="101" t="str">
        <f t="shared" si="93"/>
        <v>Tom in Technik</v>
      </c>
      <c r="C321" s="168">
        <f>IF(ISERROR(Personalplanung!F9/Monatsplanung!$E9*Monatsplanung!$J9),0,Personalplanung!F9/Monatsplanung!$E9*Monatsplanung!$J9)</f>
        <v>174</v>
      </c>
      <c r="D321" s="168">
        <f t="shared" si="94"/>
        <v>8</v>
      </c>
      <c r="E321" s="168">
        <f>IF(ISERROR(Personalplanung!H9/Monatsplanung!$E9*Monatsplanung!$J9),0,Personalplanung!H9/Monatsplanung!$E9*Monatsplanung!$J9)</f>
        <v>0</v>
      </c>
      <c r="F321" s="168">
        <f t="shared" si="95"/>
        <v>174</v>
      </c>
      <c r="G321" s="168">
        <f t="shared" si="96"/>
        <v>27.700831024930746</v>
      </c>
      <c r="H321" s="168">
        <f t="shared" si="97"/>
        <v>4819.9445983379501</v>
      </c>
      <c r="I321" s="168">
        <f t="shared" si="98"/>
        <v>30</v>
      </c>
      <c r="J321" s="739"/>
      <c r="K321" s="168">
        <f>IF(J321&lt;&gt;"",J321,IF(ISERROR(Personalplanung!AB9/Monatsplanung!$E9*Monatsplanung!$J9),0,Personalplanung!AB9/Monatsplanung!$E9*Monatsplanung!$J9))</f>
        <v>0.66666666666666663</v>
      </c>
      <c r="L321" s="740"/>
      <c r="M321" s="739"/>
      <c r="N321" s="168">
        <f>IF(M321&lt;&gt;"",M321,IF(ISERROR(Personalplanung!AC9/Monatsplanung!$E9*Monatsplanung!$J9),0,Personalplanung!AC9/Monatsplanung!$E9*Monatsplanung!$J9))</f>
        <v>0.16666666666666666</v>
      </c>
      <c r="O321" s="740"/>
      <c r="P321" s="739"/>
      <c r="Q321" s="168">
        <f>IF(P321&lt;&gt;"",P321,IF(ISERROR(Personalplanung!AD9/Monatsplanung!$E9*Monatsplanung!$J9),0,Personalplanung!AD9/Monatsplanung!$E9*Monatsplanung!$J9))</f>
        <v>0.16666666666666666</v>
      </c>
      <c r="R321" s="740"/>
      <c r="S321" s="739"/>
      <c r="T321" s="168">
        <f>IF(S321&lt;&gt;"",S321,IF(ISERROR(Personalplanung!AE9/Monatsplanung!$E9*Monatsplanung!$J9),0,Personalplanung!AE9/Monatsplanung!$E9*Monatsplanung!$J9))</f>
        <v>2.1666666666666665</v>
      </c>
      <c r="U321" s="740"/>
      <c r="V321" s="168">
        <f t="shared" si="99"/>
        <v>3.1666666666666665</v>
      </c>
      <c r="W321" s="168">
        <f>IF(ISERROR(Personalplanung!P9/Monatsplanung!$E9*Monatsplanung!$J9),0,Personalplanung!P9/Monatsplanung!$E9*Monatsplanung!$J9)</f>
        <v>0</v>
      </c>
      <c r="X321" s="168">
        <f>IF(ISERROR(Personalplanung!Q9/Monatsplanung!$E9*Monatsplanung!$J9),0,Personalplanung!Q9/Monatsplanung!$E9*Monatsplanung!$J9)</f>
        <v>0</v>
      </c>
      <c r="Y321" s="168">
        <f>IF(ISERROR(Personalplanung!R9/T1257*Stundencontrolling!T321),0,Personalplanung!R9/T1257*Stundencontrolling!T321)</f>
        <v>0</v>
      </c>
      <c r="Z321" s="168">
        <f>IF(ISERROR(Personalplanung!S9/Monatsplanung!$E9*Monatsplanung!$J9),0,Personalplanung!S9/Monatsplanung!$E9*Monatsplanung!$J9)</f>
        <v>0</v>
      </c>
      <c r="AA321" s="80">
        <f t="shared" si="100"/>
        <v>149418.28254847645</v>
      </c>
      <c r="AB321" s="102">
        <f t="shared" si="101"/>
        <v>0.1</v>
      </c>
      <c r="AC321" s="103">
        <f t="shared" si="102"/>
        <v>14941.828254847645</v>
      </c>
      <c r="AD321" s="103">
        <f t="shared" si="103"/>
        <v>134476.45429362881</v>
      </c>
      <c r="AE321" s="81">
        <f t="shared" si="104"/>
        <v>14.866666666666667</v>
      </c>
      <c r="AF321" s="539"/>
      <c r="AG321" s="104">
        <f t="shared" si="105"/>
        <v>1</v>
      </c>
      <c r="AH321" s="7">
        <f t="shared" si="106"/>
        <v>0</v>
      </c>
      <c r="AI321" s="6">
        <f t="shared" si="107"/>
        <v>14.866666666666667</v>
      </c>
      <c r="AJ321" s="73">
        <f t="shared" si="108"/>
        <v>1005.0557122094829</v>
      </c>
      <c r="AK321" s="539"/>
      <c r="AL321" s="748"/>
      <c r="AM321" s="748"/>
    </row>
    <row r="322" spans="2:39" x14ac:dyDescent="0.2">
      <c r="B322" s="101" t="str">
        <f t="shared" si="93"/>
        <v>Lola Rennt</v>
      </c>
      <c r="C322" s="168">
        <f>IF(ISERROR(Personalplanung!F10/Monatsplanung!$E10*Monatsplanung!$J10),0,Personalplanung!F10/Monatsplanung!$E10*Monatsplanung!$J10)</f>
        <v>174</v>
      </c>
      <c r="D322" s="168">
        <f t="shared" si="94"/>
        <v>8</v>
      </c>
      <c r="E322" s="168">
        <f>IF(ISERROR(Personalplanung!H10/Monatsplanung!$E10*Monatsplanung!$J10),0,Personalplanung!H10/Monatsplanung!$E10*Monatsplanung!$J10)</f>
        <v>0</v>
      </c>
      <c r="F322" s="168">
        <f t="shared" si="95"/>
        <v>174</v>
      </c>
      <c r="G322" s="168">
        <f t="shared" si="96"/>
        <v>27.700831024930746</v>
      </c>
      <c r="H322" s="168">
        <f t="shared" si="97"/>
        <v>4819.9445983379501</v>
      </c>
      <c r="I322" s="168">
        <f t="shared" si="98"/>
        <v>30</v>
      </c>
      <c r="J322" s="739"/>
      <c r="K322" s="168">
        <f>IF(J322&lt;&gt;"",J322,IF(ISERROR(Personalplanung!AB10/Monatsplanung!$E10*Monatsplanung!$J10),0,Personalplanung!AB10/Monatsplanung!$E10*Monatsplanung!$J10))</f>
        <v>0.66666666666666663</v>
      </c>
      <c r="L322" s="740"/>
      <c r="M322" s="739"/>
      <c r="N322" s="168">
        <f>IF(M322&lt;&gt;"",M322,IF(ISERROR(Personalplanung!AC10/Monatsplanung!$E10*Monatsplanung!$J10),0,Personalplanung!AC10/Monatsplanung!$E10*Monatsplanung!$J10))</f>
        <v>0</v>
      </c>
      <c r="O322" s="740"/>
      <c r="P322" s="739"/>
      <c r="Q322" s="168">
        <f>IF(P322&lt;&gt;"",P322,IF(ISERROR(Personalplanung!AD10/Monatsplanung!$E10*Monatsplanung!$J10),0,Personalplanung!AD10/Monatsplanung!$E10*Monatsplanung!$J10))</f>
        <v>0.16666666666666666</v>
      </c>
      <c r="R322" s="740"/>
      <c r="S322" s="739"/>
      <c r="T322" s="168">
        <f>IF(S322&lt;&gt;"",S322,IF(ISERROR(Personalplanung!AE10/Monatsplanung!$E10*Monatsplanung!$J10),0,Personalplanung!AE10/Monatsplanung!$E10*Monatsplanung!$J10))</f>
        <v>2.1666666666666665</v>
      </c>
      <c r="U322" s="740"/>
      <c r="V322" s="168">
        <f t="shared" si="99"/>
        <v>3</v>
      </c>
      <c r="W322" s="168">
        <f>IF(ISERROR(Personalplanung!P10/Monatsplanung!$E10*Monatsplanung!$J10),0,Personalplanung!P10/Monatsplanung!$E10*Monatsplanung!$J10)</f>
        <v>0</v>
      </c>
      <c r="X322" s="168">
        <f>IF(ISERROR(Personalplanung!Q10/Monatsplanung!$E10*Monatsplanung!$J10),0,Personalplanung!Q10/Monatsplanung!$E10*Monatsplanung!$J10)</f>
        <v>0</v>
      </c>
      <c r="Y322" s="168">
        <f>IF(ISERROR(Personalplanung!R10/T1258*Stundencontrolling!T322),0,Personalplanung!R10/T1258*Stundencontrolling!T322)</f>
        <v>0</v>
      </c>
      <c r="Z322" s="168">
        <f>IF(ISERROR(Personalplanung!S10/Monatsplanung!$E10*Monatsplanung!$J10),0,Personalplanung!S10/Monatsplanung!$E10*Monatsplanung!$J10)</f>
        <v>0</v>
      </c>
      <c r="AA322" s="80">
        <f t="shared" si="100"/>
        <v>149418.28254847645</v>
      </c>
      <c r="AB322" s="102">
        <f t="shared" si="101"/>
        <v>0.1</v>
      </c>
      <c r="AC322" s="103">
        <f t="shared" si="102"/>
        <v>14941.828254847645</v>
      </c>
      <c r="AD322" s="103">
        <f t="shared" si="103"/>
        <v>134476.45429362881</v>
      </c>
      <c r="AE322" s="81">
        <f t="shared" si="104"/>
        <v>15</v>
      </c>
      <c r="AF322" s="539"/>
      <c r="AG322" s="104">
        <f t="shared" si="105"/>
        <v>1</v>
      </c>
      <c r="AH322" s="7">
        <f t="shared" si="106"/>
        <v>0</v>
      </c>
      <c r="AI322" s="6">
        <f t="shared" si="107"/>
        <v>15</v>
      </c>
      <c r="AJ322" s="73">
        <f t="shared" si="108"/>
        <v>996.12188365650968</v>
      </c>
      <c r="AK322" s="539"/>
      <c r="AL322" s="748"/>
      <c r="AM322" s="748"/>
    </row>
    <row r="323" spans="2:39" x14ac:dyDescent="0.2">
      <c r="B323" s="101" t="str">
        <f t="shared" si="93"/>
        <v>Bier Lager</v>
      </c>
      <c r="C323" s="168">
        <f>IF(ISERROR(Personalplanung!F11/Monatsplanung!$E11*Monatsplanung!$J11),0,Personalplanung!F11/Monatsplanung!$E11*Monatsplanung!$J11)</f>
        <v>174</v>
      </c>
      <c r="D323" s="168">
        <f t="shared" si="94"/>
        <v>8</v>
      </c>
      <c r="E323" s="168">
        <f>IF(ISERROR(Personalplanung!H11/Monatsplanung!$E11*Monatsplanung!$J11),0,Personalplanung!H11/Monatsplanung!$E11*Monatsplanung!$J11)</f>
        <v>0</v>
      </c>
      <c r="F323" s="168">
        <f t="shared" si="95"/>
        <v>174</v>
      </c>
      <c r="G323" s="168">
        <f t="shared" si="96"/>
        <v>27.700831024930746</v>
      </c>
      <c r="H323" s="168">
        <f t="shared" si="97"/>
        <v>4819.9445983379501</v>
      </c>
      <c r="I323" s="168">
        <f t="shared" si="98"/>
        <v>30</v>
      </c>
      <c r="J323" s="739"/>
      <c r="K323" s="168">
        <f>IF(J323&lt;&gt;"",J323,IF(ISERROR(Personalplanung!AB11/Monatsplanung!$E11*Monatsplanung!$J11),0,Personalplanung!AB11/Monatsplanung!$E11*Monatsplanung!$J11))</f>
        <v>0.66666666666666663</v>
      </c>
      <c r="L323" s="740"/>
      <c r="M323" s="739"/>
      <c r="N323" s="168">
        <f>IF(M323&lt;&gt;"",M323,IF(ISERROR(Personalplanung!AC11/Monatsplanung!$E11*Monatsplanung!$J11),0,Personalplanung!AC11/Monatsplanung!$E11*Monatsplanung!$J11))</f>
        <v>0</v>
      </c>
      <c r="O323" s="740"/>
      <c r="P323" s="739"/>
      <c r="Q323" s="168">
        <f>IF(P323&lt;&gt;"",P323,IF(ISERROR(Personalplanung!AD11/Monatsplanung!$E11*Monatsplanung!$J11),0,Personalplanung!AD11/Monatsplanung!$E11*Monatsplanung!$J11))</f>
        <v>0.16666666666666666</v>
      </c>
      <c r="R323" s="740"/>
      <c r="S323" s="739"/>
      <c r="T323" s="168">
        <f>IF(S323&lt;&gt;"",S323,IF(ISERROR(Personalplanung!AE11/Monatsplanung!$E11*Monatsplanung!$J11),0,Personalplanung!AE11/Monatsplanung!$E11*Monatsplanung!$J11))</f>
        <v>2.1666666666666665</v>
      </c>
      <c r="U323" s="740"/>
      <c r="V323" s="168">
        <f t="shared" si="99"/>
        <v>3</v>
      </c>
      <c r="W323" s="168">
        <f>IF(ISERROR(Personalplanung!P11/Monatsplanung!$E11*Monatsplanung!$J11),0,Personalplanung!P11/Monatsplanung!$E11*Monatsplanung!$J11)</f>
        <v>0</v>
      </c>
      <c r="X323" s="168">
        <f>IF(ISERROR(Personalplanung!Q11/Monatsplanung!$E11*Monatsplanung!$J11),0,Personalplanung!Q11/Monatsplanung!$E11*Monatsplanung!$J11)</f>
        <v>0</v>
      </c>
      <c r="Y323" s="168">
        <f>IF(ISERROR(Personalplanung!R11/T1259*Stundencontrolling!T323),0,Personalplanung!R11/T1259*Stundencontrolling!T323)</f>
        <v>0</v>
      </c>
      <c r="Z323" s="168">
        <f>IF(ISERROR(Personalplanung!S11/Monatsplanung!$E11*Monatsplanung!$J11),0,Personalplanung!S11/Monatsplanung!$E11*Monatsplanung!$J11)</f>
        <v>0</v>
      </c>
      <c r="AA323" s="80">
        <f t="shared" si="100"/>
        <v>149418.28254847645</v>
      </c>
      <c r="AB323" s="102">
        <f t="shared" si="101"/>
        <v>0.1</v>
      </c>
      <c r="AC323" s="103">
        <f t="shared" si="102"/>
        <v>14941.828254847645</v>
      </c>
      <c r="AD323" s="103">
        <f t="shared" si="103"/>
        <v>134476.45429362881</v>
      </c>
      <c r="AE323" s="81">
        <f t="shared" si="104"/>
        <v>15</v>
      </c>
      <c r="AF323" s="539"/>
      <c r="AG323" s="104">
        <f t="shared" si="105"/>
        <v>1</v>
      </c>
      <c r="AH323" s="7">
        <f t="shared" si="106"/>
        <v>0</v>
      </c>
      <c r="AI323" s="6">
        <f t="shared" si="107"/>
        <v>15</v>
      </c>
      <c r="AJ323" s="73">
        <f t="shared" si="108"/>
        <v>996.12188365650968</v>
      </c>
      <c r="AK323" s="539"/>
      <c r="AL323" s="748"/>
      <c r="AM323" s="748"/>
    </row>
    <row r="324" spans="2:39" x14ac:dyDescent="0.2">
      <c r="B324" s="101" t="str">
        <f t="shared" si="93"/>
        <v>Heinrich vor Arbeit</v>
      </c>
      <c r="C324" s="168">
        <f>IF(ISERROR(Personalplanung!F12/Monatsplanung!$E12*Monatsplanung!$J12),0,Personalplanung!F12/Monatsplanung!$E12*Monatsplanung!$J12)</f>
        <v>174</v>
      </c>
      <c r="D324" s="168">
        <f t="shared" si="94"/>
        <v>8</v>
      </c>
      <c r="E324" s="168">
        <f>IF(ISERROR(Personalplanung!H12/Monatsplanung!$E12*Monatsplanung!$J12),0,Personalplanung!H12/Monatsplanung!$E12*Monatsplanung!$J12)</f>
        <v>0</v>
      </c>
      <c r="F324" s="168">
        <f t="shared" si="95"/>
        <v>174</v>
      </c>
      <c r="G324" s="168">
        <f t="shared" si="96"/>
        <v>27.700831024930746</v>
      </c>
      <c r="H324" s="168">
        <f t="shared" si="97"/>
        <v>4819.9445983379501</v>
      </c>
      <c r="I324" s="168">
        <f t="shared" si="98"/>
        <v>30</v>
      </c>
      <c r="J324" s="739"/>
      <c r="K324" s="168">
        <f>IF(J324&lt;&gt;"",J324,IF(ISERROR(Personalplanung!AB12/Monatsplanung!$E12*Monatsplanung!$J12),0,Personalplanung!AB12/Monatsplanung!$E12*Monatsplanung!$J12))</f>
        <v>0.66666666666666663</v>
      </c>
      <c r="L324" s="740"/>
      <c r="M324" s="739"/>
      <c r="N324" s="168">
        <f>IF(M324&lt;&gt;"",M324,IF(ISERROR(Personalplanung!AC12/Monatsplanung!$E12*Monatsplanung!$J12),0,Personalplanung!AC12/Monatsplanung!$E12*Monatsplanung!$J12))</f>
        <v>0</v>
      </c>
      <c r="O324" s="740"/>
      <c r="P324" s="739"/>
      <c r="Q324" s="168">
        <f>IF(P324&lt;&gt;"",P324,IF(ISERROR(Personalplanung!AD12/Monatsplanung!$E12*Monatsplanung!$J12),0,Personalplanung!AD12/Monatsplanung!$E12*Monatsplanung!$J12))</f>
        <v>0.16666666666666666</v>
      </c>
      <c r="R324" s="740"/>
      <c r="S324" s="739"/>
      <c r="T324" s="168">
        <f>IF(S324&lt;&gt;"",S324,IF(ISERROR(Personalplanung!AE12/Monatsplanung!$E12*Monatsplanung!$J12),0,Personalplanung!AE12/Monatsplanung!$E12*Monatsplanung!$J12))</f>
        <v>2.1666666666666665</v>
      </c>
      <c r="U324" s="740"/>
      <c r="V324" s="168">
        <f t="shared" si="99"/>
        <v>3</v>
      </c>
      <c r="W324" s="168">
        <f>IF(ISERROR(Personalplanung!P12/Monatsplanung!$E12*Monatsplanung!$J12),0,Personalplanung!P12/Monatsplanung!$E12*Monatsplanung!$J12)</f>
        <v>0</v>
      </c>
      <c r="X324" s="168">
        <f>IF(ISERROR(Personalplanung!Q12/Monatsplanung!$E12*Monatsplanung!$J12),0,Personalplanung!Q12/Monatsplanung!$E12*Monatsplanung!$J12)</f>
        <v>0</v>
      </c>
      <c r="Y324" s="168">
        <f>IF(ISERROR(Personalplanung!R12/T1260*Stundencontrolling!T324),0,Personalplanung!R12/T1260*Stundencontrolling!T324)</f>
        <v>0</v>
      </c>
      <c r="Z324" s="168">
        <f>IF(ISERROR(Personalplanung!S12/Monatsplanung!$E12*Monatsplanung!$J12),0,Personalplanung!S12/Monatsplanung!$E12*Monatsplanung!$J12)</f>
        <v>0</v>
      </c>
      <c r="AA324" s="80">
        <f t="shared" si="100"/>
        <v>149418.28254847645</v>
      </c>
      <c r="AB324" s="102">
        <f t="shared" si="101"/>
        <v>0.1</v>
      </c>
      <c r="AC324" s="103">
        <f t="shared" si="102"/>
        <v>14941.828254847645</v>
      </c>
      <c r="AD324" s="103">
        <f t="shared" si="103"/>
        <v>134476.45429362881</v>
      </c>
      <c r="AE324" s="81">
        <f t="shared" si="104"/>
        <v>15</v>
      </c>
      <c r="AF324" s="539"/>
      <c r="AG324" s="104">
        <f t="shared" si="105"/>
        <v>1</v>
      </c>
      <c r="AH324" s="7">
        <f t="shared" si="106"/>
        <v>0</v>
      </c>
      <c r="AI324" s="6">
        <f t="shared" si="107"/>
        <v>15</v>
      </c>
      <c r="AJ324" s="73">
        <f t="shared" si="108"/>
        <v>996.12188365650968</v>
      </c>
      <c r="AK324" s="539"/>
      <c r="AL324" s="748"/>
      <c r="AM324" s="748"/>
    </row>
    <row r="325" spans="2:39" x14ac:dyDescent="0.2">
      <c r="B325" s="101" t="str">
        <f t="shared" si="93"/>
        <v>Voller Geselle</v>
      </c>
      <c r="C325" s="168">
        <f>IF(ISERROR(Personalplanung!F13/Monatsplanung!$E13*Monatsplanung!$J13),0,Personalplanung!F13/Monatsplanung!$E13*Monatsplanung!$J13)</f>
        <v>174</v>
      </c>
      <c r="D325" s="168">
        <f t="shared" si="94"/>
        <v>8</v>
      </c>
      <c r="E325" s="168">
        <f>IF(ISERROR(Personalplanung!H13/Monatsplanung!$E13*Monatsplanung!$J13),0,Personalplanung!H13/Monatsplanung!$E13*Monatsplanung!$J13)</f>
        <v>0</v>
      </c>
      <c r="F325" s="168">
        <f t="shared" si="95"/>
        <v>174</v>
      </c>
      <c r="G325" s="168">
        <f t="shared" si="96"/>
        <v>27.700831024930746</v>
      </c>
      <c r="H325" s="168">
        <f t="shared" si="97"/>
        <v>4819.9445983379501</v>
      </c>
      <c r="I325" s="168">
        <f t="shared" si="98"/>
        <v>30</v>
      </c>
      <c r="J325" s="739"/>
      <c r="K325" s="168">
        <f>IF(J325&lt;&gt;"",J325,IF(ISERROR(Personalplanung!AB13/Monatsplanung!$E13*Monatsplanung!$J13),0,Personalplanung!AB13/Monatsplanung!$E13*Monatsplanung!$J13))</f>
        <v>0.66666666666666663</v>
      </c>
      <c r="L325" s="740"/>
      <c r="M325" s="739"/>
      <c r="N325" s="168">
        <f>IF(M325&lt;&gt;"",M325,IF(ISERROR(Personalplanung!AC13/Monatsplanung!$E13*Monatsplanung!$J13),0,Personalplanung!AC13/Monatsplanung!$E13*Monatsplanung!$J13))</f>
        <v>0.25</v>
      </c>
      <c r="O325" s="740"/>
      <c r="P325" s="739"/>
      <c r="Q325" s="168">
        <f>IF(P325&lt;&gt;"",P325,IF(ISERROR(Personalplanung!AD13/Monatsplanung!$E13*Monatsplanung!$J13),0,Personalplanung!AD13/Monatsplanung!$E13*Monatsplanung!$J13))</f>
        <v>0.16666666666666666</v>
      </c>
      <c r="R325" s="740"/>
      <c r="S325" s="739"/>
      <c r="T325" s="168">
        <f>IF(S325&lt;&gt;"",S325,IF(ISERROR(Personalplanung!AE13/Monatsplanung!$E13*Monatsplanung!$J13),0,Personalplanung!AE13/Monatsplanung!$E13*Monatsplanung!$J13))</f>
        <v>2.1666666666666665</v>
      </c>
      <c r="U325" s="740"/>
      <c r="V325" s="168">
        <f t="shared" si="99"/>
        <v>3.25</v>
      </c>
      <c r="W325" s="168">
        <f>IF(ISERROR(Personalplanung!P13/Monatsplanung!$E13*Monatsplanung!$J13),0,Personalplanung!P13/Monatsplanung!$E13*Monatsplanung!$J13)</f>
        <v>0</v>
      </c>
      <c r="X325" s="168">
        <f>IF(ISERROR(Personalplanung!Q13/Monatsplanung!$E13*Monatsplanung!$J13),0,Personalplanung!Q13/Monatsplanung!$E13*Monatsplanung!$J13)</f>
        <v>0</v>
      </c>
      <c r="Y325" s="168">
        <f>IF(ISERROR(Personalplanung!R13/T1261*Stundencontrolling!T325),0,Personalplanung!R13/T1261*Stundencontrolling!T325)</f>
        <v>0</v>
      </c>
      <c r="Z325" s="168">
        <f>IF(ISERROR(Personalplanung!S13/Monatsplanung!$E13*Monatsplanung!$J13),0,Personalplanung!S13/Monatsplanung!$E13*Monatsplanung!$J13)</f>
        <v>0</v>
      </c>
      <c r="AA325" s="80">
        <f t="shared" si="100"/>
        <v>149418.28254847645</v>
      </c>
      <c r="AB325" s="102">
        <f t="shared" si="101"/>
        <v>0.1</v>
      </c>
      <c r="AC325" s="103">
        <f t="shared" si="102"/>
        <v>14941.828254847645</v>
      </c>
      <c r="AD325" s="103">
        <f t="shared" si="103"/>
        <v>134476.45429362881</v>
      </c>
      <c r="AE325" s="81">
        <f t="shared" si="104"/>
        <v>14.8</v>
      </c>
      <c r="AF325" s="539"/>
      <c r="AG325" s="104">
        <f t="shared" si="105"/>
        <v>1</v>
      </c>
      <c r="AH325" s="7">
        <f t="shared" si="106"/>
        <v>0</v>
      </c>
      <c r="AI325" s="6">
        <f t="shared" si="107"/>
        <v>14.8</v>
      </c>
      <c r="AJ325" s="73">
        <f t="shared" si="108"/>
        <v>1009.5829901924084</v>
      </c>
      <c r="AK325" s="539"/>
      <c r="AL325" s="748"/>
      <c r="AM325" s="748"/>
    </row>
    <row r="326" spans="2:39" x14ac:dyDescent="0.2">
      <c r="B326" s="101" t="str">
        <f t="shared" si="93"/>
        <v>Thomas Fleißig</v>
      </c>
      <c r="C326" s="168">
        <f>IF(ISERROR(Personalplanung!F14/Monatsplanung!$E14*Monatsplanung!$J14),0,Personalplanung!F14/Monatsplanung!$E14*Monatsplanung!$J14)</f>
        <v>174</v>
      </c>
      <c r="D326" s="168">
        <f t="shared" si="94"/>
        <v>8</v>
      </c>
      <c r="E326" s="168">
        <f>IF(ISERROR(Personalplanung!H14/Monatsplanung!$E14*Monatsplanung!$J14),0,Personalplanung!H14/Monatsplanung!$E14*Monatsplanung!$J14)</f>
        <v>0</v>
      </c>
      <c r="F326" s="168">
        <f t="shared" si="95"/>
        <v>174</v>
      </c>
      <c r="G326" s="168">
        <f t="shared" si="96"/>
        <v>27.700831024930746</v>
      </c>
      <c r="H326" s="168">
        <f t="shared" si="97"/>
        <v>4819.9445983379501</v>
      </c>
      <c r="I326" s="168">
        <f t="shared" si="98"/>
        <v>30</v>
      </c>
      <c r="J326" s="739"/>
      <c r="K326" s="168">
        <f>IF(J326&lt;&gt;"",J326,IF(ISERROR(Personalplanung!AB14/Monatsplanung!$E14*Monatsplanung!$J14),0,Personalplanung!AB14/Monatsplanung!$E14*Monatsplanung!$J14))</f>
        <v>0.66666666666666663</v>
      </c>
      <c r="L326" s="740"/>
      <c r="M326" s="739"/>
      <c r="N326" s="168">
        <f>IF(M326&lt;&gt;"",M326,IF(ISERROR(Personalplanung!AC14/Monatsplanung!$E14*Monatsplanung!$J14),0,Personalplanung!AC14/Monatsplanung!$E14*Monatsplanung!$J14))</f>
        <v>0</v>
      </c>
      <c r="O326" s="740"/>
      <c r="P326" s="739"/>
      <c r="Q326" s="168">
        <f>IF(P326&lt;&gt;"",P326,IF(ISERROR(Personalplanung!AD14/Monatsplanung!$E14*Monatsplanung!$J14),0,Personalplanung!AD14/Monatsplanung!$E14*Monatsplanung!$J14))</f>
        <v>0.16666666666666666</v>
      </c>
      <c r="R326" s="740"/>
      <c r="S326" s="739"/>
      <c r="T326" s="168">
        <f>IF(S326&lt;&gt;"",S326,IF(ISERROR(Personalplanung!AE14/Monatsplanung!$E14*Monatsplanung!$J14),0,Personalplanung!AE14/Monatsplanung!$E14*Monatsplanung!$J14))</f>
        <v>2.1666666666666665</v>
      </c>
      <c r="U326" s="740"/>
      <c r="V326" s="168">
        <f t="shared" si="99"/>
        <v>3</v>
      </c>
      <c r="W326" s="168">
        <f>IF(ISERROR(Personalplanung!P14/Monatsplanung!$E14*Monatsplanung!$J14),0,Personalplanung!P14/Monatsplanung!$E14*Monatsplanung!$J14)</f>
        <v>0</v>
      </c>
      <c r="X326" s="168">
        <f>IF(ISERROR(Personalplanung!Q14/Monatsplanung!$E14*Monatsplanung!$J14),0,Personalplanung!Q14/Monatsplanung!$E14*Monatsplanung!$J14)</f>
        <v>166.66666666666666</v>
      </c>
      <c r="Y326" s="168">
        <f>IF(ISERROR(Personalplanung!R14/T1262*Stundencontrolling!T326),0,Personalplanung!R14/T1262*Stundencontrolling!T326)</f>
        <v>66.666666666666657</v>
      </c>
      <c r="Z326" s="168">
        <f>IF(ISERROR(Personalplanung!S14/Monatsplanung!$E14*Monatsplanung!$J14),0,Personalplanung!S14/Monatsplanung!$E14*Monatsplanung!$J14)</f>
        <v>50</v>
      </c>
      <c r="AA326" s="80">
        <f t="shared" si="100"/>
        <v>149701.61588180979</v>
      </c>
      <c r="AB326" s="102">
        <f t="shared" si="101"/>
        <v>0.1</v>
      </c>
      <c r="AC326" s="103">
        <f t="shared" si="102"/>
        <v>14970.161588180979</v>
      </c>
      <c r="AD326" s="103">
        <f t="shared" si="103"/>
        <v>134731.45429362881</v>
      </c>
      <c r="AE326" s="81">
        <f t="shared" si="104"/>
        <v>15</v>
      </c>
      <c r="AF326" s="539"/>
      <c r="AG326" s="104">
        <f t="shared" si="105"/>
        <v>1</v>
      </c>
      <c r="AH326" s="7">
        <f t="shared" si="106"/>
        <v>0</v>
      </c>
      <c r="AI326" s="6">
        <f t="shared" si="107"/>
        <v>15</v>
      </c>
      <c r="AJ326" s="73">
        <f t="shared" si="108"/>
        <v>998.01077254539859</v>
      </c>
      <c r="AK326" s="539"/>
      <c r="AL326" s="748"/>
      <c r="AM326" s="748"/>
    </row>
    <row r="327" spans="2:39" x14ac:dyDescent="0.2">
      <c r="B327" s="101" t="str">
        <f t="shared" si="93"/>
        <v>Facharbeiter</v>
      </c>
      <c r="C327" s="168">
        <f>IF(ISERROR(Personalplanung!F15/Monatsplanung!$E15*Monatsplanung!$J15),0,Personalplanung!F15/Monatsplanung!$E15*Monatsplanung!$J15)</f>
        <v>174</v>
      </c>
      <c r="D327" s="168">
        <f t="shared" si="94"/>
        <v>8</v>
      </c>
      <c r="E327" s="168">
        <f>IF(ISERROR(Personalplanung!H15/Monatsplanung!$E15*Monatsplanung!$J15),0,Personalplanung!H15/Monatsplanung!$E15*Monatsplanung!$J15)</f>
        <v>0</v>
      </c>
      <c r="F327" s="168">
        <f t="shared" si="95"/>
        <v>174</v>
      </c>
      <c r="G327" s="168">
        <f t="shared" si="96"/>
        <v>27.700831024930746</v>
      </c>
      <c r="H327" s="168">
        <f t="shared" si="97"/>
        <v>4819.9445983379501</v>
      </c>
      <c r="I327" s="168">
        <f t="shared" si="98"/>
        <v>30</v>
      </c>
      <c r="J327" s="739"/>
      <c r="K327" s="168">
        <f>IF(J327&lt;&gt;"",J327,IF(ISERROR(Personalplanung!AB15/Monatsplanung!$E15*Monatsplanung!$J15),0,Personalplanung!AB15/Monatsplanung!$E15*Monatsplanung!$J15))</f>
        <v>0.66666666666666663</v>
      </c>
      <c r="L327" s="740"/>
      <c r="M327" s="739"/>
      <c r="N327" s="168">
        <f>IF(M327&lt;&gt;"",M327,IF(ISERROR(Personalplanung!AC15/Monatsplanung!$E15*Monatsplanung!$J15),0,Personalplanung!AC15/Monatsplanung!$E15*Monatsplanung!$J15))</f>
        <v>0.16666666666666666</v>
      </c>
      <c r="O327" s="740"/>
      <c r="P327" s="739"/>
      <c r="Q327" s="168">
        <f>IF(P327&lt;&gt;"",P327,IF(ISERROR(Personalplanung!AD15/Monatsplanung!$E15*Monatsplanung!$J15),0,Personalplanung!AD15/Monatsplanung!$E15*Monatsplanung!$J15))</f>
        <v>0.41666666666666669</v>
      </c>
      <c r="R327" s="740"/>
      <c r="S327" s="739"/>
      <c r="T327" s="168">
        <f>IF(S327&lt;&gt;"",S327,IF(ISERROR(Personalplanung!AE15/Monatsplanung!$E15*Monatsplanung!$J15),0,Personalplanung!AE15/Monatsplanung!$E15*Monatsplanung!$J15))</f>
        <v>2.1666666666666665</v>
      </c>
      <c r="U327" s="740"/>
      <c r="V327" s="168">
        <f t="shared" si="99"/>
        <v>3.4166666666666665</v>
      </c>
      <c r="W327" s="168">
        <f>IF(ISERROR(Personalplanung!P15/Monatsplanung!$E15*Monatsplanung!$J15),0,Personalplanung!P15/Monatsplanung!$E15*Monatsplanung!$J15)</f>
        <v>0</v>
      </c>
      <c r="X327" s="168">
        <f>IF(ISERROR(Personalplanung!Q15/Monatsplanung!$E15*Monatsplanung!$J15),0,Personalplanung!Q15/Monatsplanung!$E15*Monatsplanung!$J15)</f>
        <v>0</v>
      </c>
      <c r="Y327" s="168">
        <f>IF(ISERROR(Personalplanung!R15/T1263*Stundencontrolling!T327),0,Personalplanung!R15/T1263*Stundencontrolling!T327)</f>
        <v>0</v>
      </c>
      <c r="Z327" s="168">
        <f>IF(ISERROR(Personalplanung!S15/Monatsplanung!$E15*Monatsplanung!$J15),0,Personalplanung!S15/Monatsplanung!$E15*Monatsplanung!$J15)</f>
        <v>0</v>
      </c>
      <c r="AA327" s="80">
        <f t="shared" si="100"/>
        <v>149418.28254847645</v>
      </c>
      <c r="AB327" s="102">
        <f t="shared" si="101"/>
        <v>0.1</v>
      </c>
      <c r="AC327" s="103">
        <f t="shared" si="102"/>
        <v>14941.828254847645</v>
      </c>
      <c r="AD327" s="103">
        <f t="shared" si="103"/>
        <v>134476.45429362881</v>
      </c>
      <c r="AE327" s="81">
        <f t="shared" si="104"/>
        <v>14.666666666666666</v>
      </c>
      <c r="AF327" s="539"/>
      <c r="AG327" s="104">
        <f t="shared" si="105"/>
        <v>1</v>
      </c>
      <c r="AH327" s="7">
        <f t="shared" si="106"/>
        <v>0</v>
      </c>
      <c r="AI327" s="6">
        <f t="shared" si="107"/>
        <v>14.666666666666666</v>
      </c>
      <c r="AJ327" s="73">
        <f t="shared" si="108"/>
        <v>1018.7610173759758</v>
      </c>
      <c r="AK327" s="539"/>
      <c r="AL327" s="748"/>
      <c r="AM327" s="748"/>
    </row>
    <row r="328" spans="2:39" x14ac:dyDescent="0.2">
      <c r="B328" s="101" t="str">
        <f t="shared" si="93"/>
        <v>Abgänger</v>
      </c>
      <c r="C328" s="168">
        <f>IF(ISERROR(Personalplanung!F16/Monatsplanung!$E16*Monatsplanung!$J16),0,Personalplanung!F16/Monatsplanung!$E16*Monatsplanung!$J16)</f>
        <v>174</v>
      </c>
      <c r="D328" s="168">
        <f t="shared" si="94"/>
        <v>8</v>
      </c>
      <c r="E328" s="168">
        <f>IF(ISERROR(Personalplanung!H16/Monatsplanung!$E16*Monatsplanung!$J16),0,Personalplanung!H16/Monatsplanung!$E16*Monatsplanung!$J16)</f>
        <v>0</v>
      </c>
      <c r="F328" s="168">
        <f t="shared" si="95"/>
        <v>174</v>
      </c>
      <c r="G328" s="168">
        <f t="shared" si="96"/>
        <v>27.700831024930746</v>
      </c>
      <c r="H328" s="168">
        <f t="shared" si="97"/>
        <v>4819.9445983379501</v>
      </c>
      <c r="I328" s="168">
        <f t="shared" si="98"/>
        <v>30</v>
      </c>
      <c r="J328" s="739"/>
      <c r="K328" s="168">
        <f>IF(J328&lt;&gt;"",J328,IF(ISERROR(Personalplanung!AB16/Monatsplanung!$E16*Monatsplanung!$J16),0,Personalplanung!AB16/Monatsplanung!$E16*Monatsplanung!$J16))</f>
        <v>1.6</v>
      </c>
      <c r="L328" s="740"/>
      <c r="M328" s="739"/>
      <c r="N328" s="168">
        <f>IF(M328&lt;&gt;"",M328,IF(ISERROR(Personalplanung!AC16/Monatsplanung!$E16*Monatsplanung!$J16),0,Personalplanung!AC16/Monatsplanung!$E16*Monatsplanung!$J16))</f>
        <v>0</v>
      </c>
      <c r="O328" s="740"/>
      <c r="P328" s="739"/>
      <c r="Q328" s="168">
        <f>IF(P328&lt;&gt;"",P328,IF(ISERROR(Personalplanung!AD16/Monatsplanung!$E16*Monatsplanung!$J16),0,Personalplanung!AD16/Monatsplanung!$E16*Monatsplanung!$J16))</f>
        <v>0.8</v>
      </c>
      <c r="R328" s="740"/>
      <c r="S328" s="739"/>
      <c r="T328" s="168">
        <f>IF(S328&lt;&gt;"",S328,IF(ISERROR(Personalplanung!AE16/Monatsplanung!$E16*Monatsplanung!$J16),0,Personalplanung!AE16/Monatsplanung!$E16*Monatsplanung!$J16))</f>
        <v>5.2</v>
      </c>
      <c r="U328" s="740"/>
      <c r="V328" s="168">
        <f t="shared" si="99"/>
        <v>7.6000000000000005</v>
      </c>
      <c r="W328" s="168">
        <f>IF(ISERROR(Personalplanung!P16/Monatsplanung!$E16*Monatsplanung!$J16),0,Personalplanung!P16/Monatsplanung!$E16*Monatsplanung!$J16)</f>
        <v>0</v>
      </c>
      <c r="X328" s="168">
        <f>IF(ISERROR(Personalplanung!Q16/Monatsplanung!$E16*Monatsplanung!$J16),0,Personalplanung!Q16/Monatsplanung!$E16*Monatsplanung!$J16)</f>
        <v>0</v>
      </c>
      <c r="Y328" s="168">
        <f>IF(ISERROR(Personalplanung!R16/T1264*Stundencontrolling!T328),0,Personalplanung!R16/T1264*Stundencontrolling!T328)</f>
        <v>0</v>
      </c>
      <c r="Z328" s="168">
        <f>IF(ISERROR(Personalplanung!S16/Monatsplanung!$E16*Monatsplanung!$J16),0,Personalplanung!S16/Monatsplanung!$E16*Monatsplanung!$J16)</f>
        <v>0</v>
      </c>
      <c r="AA328" s="80">
        <f t="shared" si="100"/>
        <v>149418.28254847645</v>
      </c>
      <c r="AB328" s="102">
        <f t="shared" si="101"/>
        <v>0.1</v>
      </c>
      <c r="AC328" s="103">
        <f t="shared" si="102"/>
        <v>14941.828254847645</v>
      </c>
      <c r="AD328" s="103">
        <f t="shared" si="103"/>
        <v>134476.45429362881</v>
      </c>
      <c r="AE328" s="81">
        <f t="shared" si="104"/>
        <v>11.32</v>
      </c>
      <c r="AF328" s="539"/>
      <c r="AG328" s="104">
        <f t="shared" si="105"/>
        <v>1</v>
      </c>
      <c r="AH328" s="7">
        <f t="shared" si="106"/>
        <v>0</v>
      </c>
      <c r="AI328" s="6">
        <f t="shared" si="107"/>
        <v>11.32</v>
      </c>
      <c r="AJ328" s="73">
        <f t="shared" si="108"/>
        <v>1319.9494924777071</v>
      </c>
      <c r="AK328" s="539"/>
      <c r="AL328" s="748"/>
      <c r="AM328" s="748"/>
    </row>
    <row r="329" spans="2:39" x14ac:dyDescent="0.2">
      <c r="B329" s="101" t="str">
        <f t="shared" si="93"/>
        <v>Facharbeiter</v>
      </c>
      <c r="C329" s="168">
        <f>IF(ISERROR(Personalplanung!F17/Monatsplanung!$E17*Monatsplanung!$J17),0,Personalplanung!F17/Monatsplanung!$E17*Monatsplanung!$J17)</f>
        <v>174</v>
      </c>
      <c r="D329" s="168">
        <f t="shared" si="94"/>
        <v>8</v>
      </c>
      <c r="E329" s="168">
        <f>IF(ISERROR(Personalplanung!H17/Monatsplanung!$E17*Monatsplanung!$J17),0,Personalplanung!H17/Monatsplanung!$E17*Monatsplanung!$J17)</f>
        <v>0</v>
      </c>
      <c r="F329" s="168">
        <f t="shared" si="95"/>
        <v>174</v>
      </c>
      <c r="G329" s="168">
        <f t="shared" si="96"/>
        <v>27.700831024930746</v>
      </c>
      <c r="H329" s="168">
        <f t="shared" si="97"/>
        <v>4819.9445983379501</v>
      </c>
      <c r="I329" s="168">
        <f t="shared" si="98"/>
        <v>30</v>
      </c>
      <c r="J329" s="739"/>
      <c r="K329" s="168">
        <f>IF(J329&lt;&gt;"",J329,IF(ISERROR(Personalplanung!AB17/Monatsplanung!$E17*Monatsplanung!$J17),0,Personalplanung!AB17/Monatsplanung!$E17*Monatsplanung!$J17))</f>
        <v>0.66666666666666663</v>
      </c>
      <c r="L329" s="740"/>
      <c r="M329" s="739"/>
      <c r="N329" s="168">
        <f>IF(M329&lt;&gt;"",M329,IF(ISERROR(Personalplanung!AC17/Monatsplanung!$E17*Monatsplanung!$J17),0,Personalplanung!AC17/Monatsplanung!$E17*Monatsplanung!$J17))</f>
        <v>0</v>
      </c>
      <c r="O329" s="740"/>
      <c r="P329" s="739"/>
      <c r="Q329" s="168">
        <f>IF(P329&lt;&gt;"",P329,IF(ISERROR(Personalplanung!AD17/Monatsplanung!$E17*Monatsplanung!$J17),0,Personalplanung!AD17/Monatsplanung!$E17*Monatsplanung!$J17))</f>
        <v>0.16666666666666666</v>
      </c>
      <c r="R329" s="740"/>
      <c r="S329" s="739"/>
      <c r="T329" s="168">
        <f>IF(S329&lt;&gt;"",S329,IF(ISERROR(Personalplanung!AE17/Monatsplanung!$E17*Monatsplanung!$J17),0,Personalplanung!AE17/Monatsplanung!$E17*Monatsplanung!$J17))</f>
        <v>2.1666666666666665</v>
      </c>
      <c r="U329" s="740"/>
      <c r="V329" s="168">
        <f t="shared" si="99"/>
        <v>3</v>
      </c>
      <c r="W329" s="168">
        <f>IF(ISERROR(Personalplanung!P17/Monatsplanung!$E17*Monatsplanung!$J17),0,Personalplanung!P17/Monatsplanung!$E17*Monatsplanung!$J17)</f>
        <v>0</v>
      </c>
      <c r="X329" s="168">
        <f>IF(ISERROR(Personalplanung!Q17/Monatsplanung!$E17*Monatsplanung!$J17),0,Personalplanung!Q17/Monatsplanung!$E17*Monatsplanung!$J17)</f>
        <v>0</v>
      </c>
      <c r="Y329" s="168">
        <f>IF(ISERROR(Personalplanung!R17/T1265*Stundencontrolling!T329),0,Personalplanung!R17/T1265*Stundencontrolling!T329)</f>
        <v>0</v>
      </c>
      <c r="Z329" s="168">
        <f>IF(ISERROR(Personalplanung!S17/Monatsplanung!$E17*Monatsplanung!$J17),0,Personalplanung!S17/Monatsplanung!$E17*Monatsplanung!$J17)</f>
        <v>0</v>
      </c>
      <c r="AA329" s="80">
        <f t="shared" si="100"/>
        <v>149418.28254847645</v>
      </c>
      <c r="AB329" s="102">
        <f t="shared" si="101"/>
        <v>0.1</v>
      </c>
      <c r="AC329" s="103">
        <f t="shared" si="102"/>
        <v>14941.828254847645</v>
      </c>
      <c r="AD329" s="103">
        <f t="shared" si="103"/>
        <v>134476.45429362881</v>
      </c>
      <c r="AE329" s="81">
        <f t="shared" si="104"/>
        <v>15</v>
      </c>
      <c r="AF329" s="539"/>
      <c r="AG329" s="104">
        <f t="shared" si="105"/>
        <v>1</v>
      </c>
      <c r="AH329" s="7">
        <f t="shared" si="106"/>
        <v>0</v>
      </c>
      <c r="AI329" s="6">
        <f t="shared" si="107"/>
        <v>15</v>
      </c>
      <c r="AJ329" s="73">
        <f t="shared" si="108"/>
        <v>996.12188365650968</v>
      </c>
      <c r="AK329" s="539"/>
      <c r="AL329" s="748"/>
      <c r="AM329" s="748"/>
    </row>
    <row r="330" spans="2:39" x14ac:dyDescent="0.2">
      <c r="B330" s="101" t="str">
        <f t="shared" si="93"/>
        <v>Facharbeiter</v>
      </c>
      <c r="C330" s="168">
        <f>IF(ISERROR(Personalplanung!F18/Monatsplanung!$E18*Monatsplanung!$J18),0,Personalplanung!F18/Monatsplanung!$E18*Monatsplanung!$J18)</f>
        <v>174</v>
      </c>
      <c r="D330" s="168">
        <f t="shared" si="94"/>
        <v>8</v>
      </c>
      <c r="E330" s="168">
        <f>IF(ISERROR(Personalplanung!H18/Monatsplanung!$E18*Monatsplanung!$J18),0,Personalplanung!H18/Monatsplanung!$E18*Monatsplanung!$J18)</f>
        <v>0</v>
      </c>
      <c r="F330" s="168">
        <f t="shared" si="95"/>
        <v>174</v>
      </c>
      <c r="G330" s="168">
        <f t="shared" si="96"/>
        <v>27.700831024930746</v>
      </c>
      <c r="H330" s="168">
        <f t="shared" si="97"/>
        <v>4819.9445983379501</v>
      </c>
      <c r="I330" s="168">
        <f t="shared" si="98"/>
        <v>30</v>
      </c>
      <c r="J330" s="739"/>
      <c r="K330" s="168">
        <f>IF(J330&lt;&gt;"",J330,IF(ISERROR(Personalplanung!AB18/Monatsplanung!$E18*Monatsplanung!$J18),0,Personalplanung!AB18/Monatsplanung!$E18*Monatsplanung!$J18))</f>
        <v>0.66666666666666663</v>
      </c>
      <c r="L330" s="740"/>
      <c r="M330" s="739"/>
      <c r="N330" s="168">
        <f>IF(M330&lt;&gt;"",M330,IF(ISERROR(Personalplanung!AC18/Monatsplanung!$E18*Monatsplanung!$J18),0,Personalplanung!AC18/Monatsplanung!$E18*Monatsplanung!$J18))</f>
        <v>0.33333333333333331</v>
      </c>
      <c r="O330" s="740"/>
      <c r="P330" s="739"/>
      <c r="Q330" s="168">
        <f>IF(P330&lt;&gt;"",P330,IF(ISERROR(Personalplanung!AD18/Monatsplanung!$E18*Monatsplanung!$J18),0,Personalplanung!AD18/Monatsplanung!$E18*Monatsplanung!$J18))</f>
        <v>0.16666666666666666</v>
      </c>
      <c r="R330" s="740"/>
      <c r="S330" s="739"/>
      <c r="T330" s="168">
        <f>IF(S330&lt;&gt;"",S330,IF(ISERROR(Personalplanung!AE18/Monatsplanung!$E18*Monatsplanung!$J18),0,Personalplanung!AE18/Monatsplanung!$E18*Monatsplanung!$J18))</f>
        <v>2.1666666666666665</v>
      </c>
      <c r="U330" s="740"/>
      <c r="V330" s="168">
        <f t="shared" si="99"/>
        <v>3.333333333333333</v>
      </c>
      <c r="W330" s="168">
        <f>IF(ISERROR(Personalplanung!P18/Monatsplanung!$E18*Monatsplanung!$J18),0,Personalplanung!P18/Monatsplanung!$E18*Monatsplanung!$J18)</f>
        <v>0</v>
      </c>
      <c r="X330" s="168">
        <f>IF(ISERROR(Personalplanung!Q18/Monatsplanung!$E18*Monatsplanung!$J18),0,Personalplanung!Q18/Monatsplanung!$E18*Monatsplanung!$J18)</f>
        <v>0</v>
      </c>
      <c r="Y330" s="168">
        <f>IF(ISERROR(Personalplanung!R18/T1266*Stundencontrolling!T330),0,Personalplanung!R18/T1266*Stundencontrolling!T330)</f>
        <v>0</v>
      </c>
      <c r="Z330" s="168">
        <f>IF(ISERROR(Personalplanung!S18/Monatsplanung!$E18*Monatsplanung!$J18),0,Personalplanung!S18/Monatsplanung!$E18*Monatsplanung!$J18)</f>
        <v>0</v>
      </c>
      <c r="AA330" s="80">
        <f t="shared" si="100"/>
        <v>149418.28254847645</v>
      </c>
      <c r="AB330" s="102">
        <f t="shared" si="101"/>
        <v>0.1</v>
      </c>
      <c r="AC330" s="103">
        <f t="shared" si="102"/>
        <v>14941.828254847645</v>
      </c>
      <c r="AD330" s="103">
        <f t="shared" si="103"/>
        <v>134476.45429362881</v>
      </c>
      <c r="AE330" s="81">
        <f t="shared" si="104"/>
        <v>14.733333333333334</v>
      </c>
      <c r="AF330" s="539"/>
      <c r="AG330" s="104">
        <f t="shared" si="105"/>
        <v>1</v>
      </c>
      <c r="AH330" s="7">
        <f t="shared" si="106"/>
        <v>0</v>
      </c>
      <c r="AI330" s="6">
        <f t="shared" si="107"/>
        <v>14.733333333333334</v>
      </c>
      <c r="AJ330" s="73">
        <f t="shared" si="108"/>
        <v>1014.1512390168084</v>
      </c>
      <c r="AK330" s="539"/>
      <c r="AL330" s="748"/>
      <c r="AM330" s="748"/>
    </row>
    <row r="331" spans="2:39" x14ac:dyDescent="0.2">
      <c r="B331" s="101" t="str">
        <f t="shared" si="93"/>
        <v>Elternzeit Geselle</v>
      </c>
      <c r="C331" s="168">
        <f>IF(ISERROR(Personalplanung!F19/Monatsplanung!$E19*Monatsplanung!$J19),0,Personalplanung!F19/Monatsplanung!$E19*Monatsplanung!$J19)</f>
        <v>0</v>
      </c>
      <c r="D331" s="168">
        <f t="shared" si="94"/>
        <v>6</v>
      </c>
      <c r="E331" s="168">
        <f>IF(ISERROR(Personalplanung!H19/Monatsplanung!$E19*Monatsplanung!$J19),0,Personalplanung!H19/Monatsplanung!$E19*Monatsplanung!$J19)</f>
        <v>0</v>
      </c>
      <c r="F331" s="168">
        <f t="shared" si="95"/>
        <v>0</v>
      </c>
      <c r="G331" s="168">
        <f t="shared" si="96"/>
        <v>27.700831024930746</v>
      </c>
      <c r="H331" s="168">
        <f t="shared" si="97"/>
        <v>0</v>
      </c>
      <c r="I331" s="168">
        <f t="shared" si="98"/>
        <v>30</v>
      </c>
      <c r="J331" s="739"/>
      <c r="K331" s="168">
        <f>IF(J331&lt;&gt;"",J331,IF(ISERROR(Personalplanung!AB19/Monatsplanung!$E19*Monatsplanung!$J19),0,Personalplanung!AB19/Monatsplanung!$E19*Monatsplanung!$J19))</f>
        <v>0</v>
      </c>
      <c r="L331" s="740"/>
      <c r="M331" s="739"/>
      <c r="N331" s="168">
        <f>IF(M331&lt;&gt;"",M331,IF(ISERROR(Personalplanung!AC19/Monatsplanung!$E19*Monatsplanung!$J19),0,Personalplanung!AC19/Monatsplanung!$E19*Monatsplanung!$J19))</f>
        <v>0</v>
      </c>
      <c r="O331" s="740"/>
      <c r="P331" s="739"/>
      <c r="Q331" s="168">
        <f>IF(P331&lt;&gt;"",P331,IF(ISERROR(Personalplanung!AD19/Monatsplanung!$E19*Monatsplanung!$J19),0,Personalplanung!AD19/Monatsplanung!$E19*Monatsplanung!$J19))</f>
        <v>0</v>
      </c>
      <c r="R331" s="740"/>
      <c r="S331" s="739"/>
      <c r="T331" s="168">
        <f>IF(S331&lt;&gt;"",S331,IF(ISERROR(Personalplanung!AE19/Monatsplanung!$E19*Monatsplanung!$J19),0,Personalplanung!AE19/Monatsplanung!$E19*Monatsplanung!$J19))</f>
        <v>0</v>
      </c>
      <c r="U331" s="740"/>
      <c r="V331" s="168">
        <f t="shared" si="99"/>
        <v>0</v>
      </c>
      <c r="W331" s="168">
        <f>IF(ISERROR(Personalplanung!P19/Monatsplanung!$E19*Monatsplanung!$J19),0,Personalplanung!P19/Monatsplanung!$E19*Monatsplanung!$J19)</f>
        <v>0</v>
      </c>
      <c r="X331" s="168">
        <f>IF(ISERROR(Personalplanung!Q19/Monatsplanung!$E19*Monatsplanung!$J19),0,Personalplanung!Q19/Monatsplanung!$E19*Monatsplanung!$J19)</f>
        <v>0</v>
      </c>
      <c r="Y331" s="168">
        <f>IF(ISERROR(Personalplanung!R19/T1267*Stundencontrolling!T331),0,Personalplanung!R19/T1267*Stundencontrolling!T331)</f>
        <v>0</v>
      </c>
      <c r="Z331" s="168">
        <f>IF(ISERROR(Personalplanung!S19/Monatsplanung!$E19*Monatsplanung!$J19),0,Personalplanung!S19/Monatsplanung!$E19*Monatsplanung!$J19)</f>
        <v>0</v>
      </c>
      <c r="AA331" s="80">
        <f t="shared" si="100"/>
        <v>0</v>
      </c>
      <c r="AB331" s="102">
        <f t="shared" si="101"/>
        <v>0.1</v>
      </c>
      <c r="AC331" s="103">
        <f t="shared" si="102"/>
        <v>0</v>
      </c>
      <c r="AD331" s="103">
        <f t="shared" si="103"/>
        <v>0</v>
      </c>
      <c r="AE331" s="81">
        <f t="shared" si="104"/>
        <v>0</v>
      </c>
      <c r="AF331" s="539"/>
      <c r="AG331" s="104">
        <f t="shared" si="105"/>
        <v>1</v>
      </c>
      <c r="AH331" s="7">
        <f t="shared" si="106"/>
        <v>0</v>
      </c>
      <c r="AI331" s="6">
        <f t="shared" si="107"/>
        <v>0</v>
      </c>
      <c r="AJ331" s="73">
        <f t="shared" si="108"/>
        <v>0</v>
      </c>
      <c r="AK331" s="539"/>
      <c r="AL331" s="748"/>
      <c r="AM331" s="748"/>
    </row>
    <row r="332" spans="2:39" x14ac:dyDescent="0.2">
      <c r="B332" s="101" t="str">
        <f t="shared" si="93"/>
        <v>A. Zubi</v>
      </c>
      <c r="C332" s="168">
        <f>IF(ISERROR(Personalplanung!F20/Monatsplanung!$E20*Monatsplanung!$J20),0,Personalplanung!F20/Monatsplanung!$E20*Monatsplanung!$J20)</f>
        <v>174</v>
      </c>
      <c r="D332" s="168">
        <f t="shared" si="94"/>
        <v>8</v>
      </c>
      <c r="E332" s="168">
        <f>IF(ISERROR(Personalplanung!H20/Monatsplanung!$E20*Monatsplanung!$J20),0,Personalplanung!H20/Monatsplanung!$E20*Monatsplanung!$J20)</f>
        <v>0</v>
      </c>
      <c r="F332" s="168">
        <f t="shared" si="95"/>
        <v>174</v>
      </c>
      <c r="G332" s="168">
        <f t="shared" si="96"/>
        <v>27.700831024930746</v>
      </c>
      <c r="H332" s="168">
        <f t="shared" si="97"/>
        <v>4819.9445983379501</v>
      </c>
      <c r="I332" s="168">
        <f t="shared" si="98"/>
        <v>30</v>
      </c>
      <c r="J332" s="739"/>
      <c r="K332" s="168">
        <f>IF(J332&lt;&gt;"",J332,IF(ISERROR(Personalplanung!AB20/Monatsplanung!$E20*Monatsplanung!$J20),0,Personalplanung!AB20/Monatsplanung!$E20*Monatsplanung!$J20))</f>
        <v>0.66666666666666663</v>
      </c>
      <c r="L332" s="740"/>
      <c r="M332" s="739"/>
      <c r="N332" s="168">
        <f>IF(M332&lt;&gt;"",M332,IF(ISERROR(Personalplanung!AC20/Monatsplanung!$E20*Monatsplanung!$J20),0,Personalplanung!AC20/Monatsplanung!$E20*Monatsplanung!$J20))</f>
        <v>0.25</v>
      </c>
      <c r="O332" s="740"/>
      <c r="P332" s="739"/>
      <c r="Q332" s="168">
        <f>IF(P332&lt;&gt;"",P332,IF(ISERROR(Personalplanung!AD20/Monatsplanung!$E20*Monatsplanung!$J20),0,Personalplanung!AD20/Monatsplanung!$E20*Monatsplanung!$J20))</f>
        <v>0.16666666666666666</v>
      </c>
      <c r="R332" s="740"/>
      <c r="S332" s="739"/>
      <c r="T332" s="168">
        <f>IF(S332&lt;&gt;"",S332,IF(ISERROR(Personalplanung!AE20/Monatsplanung!$E20*Monatsplanung!$J20),0,Personalplanung!AE20/Monatsplanung!$E20*Monatsplanung!$J20))</f>
        <v>2.1666666666666665</v>
      </c>
      <c r="U332" s="740"/>
      <c r="V332" s="168">
        <f t="shared" si="99"/>
        <v>3.25</v>
      </c>
      <c r="W332" s="168">
        <f>IF(ISERROR(Personalplanung!P20/Monatsplanung!$E20*Monatsplanung!$J20),0,Personalplanung!P20/Monatsplanung!$E20*Monatsplanung!$J20)</f>
        <v>0</v>
      </c>
      <c r="X332" s="168">
        <f>IF(ISERROR(Personalplanung!Q20/Monatsplanung!$E20*Monatsplanung!$J20),0,Personalplanung!Q20/Monatsplanung!$E20*Monatsplanung!$J20)</f>
        <v>0</v>
      </c>
      <c r="Y332" s="168">
        <f>IF(ISERROR(Personalplanung!R20/T1268*Stundencontrolling!T332),0,Personalplanung!R20/T1268*Stundencontrolling!T332)</f>
        <v>0</v>
      </c>
      <c r="Z332" s="168">
        <f>IF(ISERROR(Personalplanung!S20/Monatsplanung!$E20*Monatsplanung!$J20),0,Personalplanung!S20/Monatsplanung!$E20*Monatsplanung!$J20)</f>
        <v>0</v>
      </c>
      <c r="AA332" s="80">
        <f t="shared" si="100"/>
        <v>149418.28254847645</v>
      </c>
      <c r="AB332" s="102">
        <f t="shared" si="101"/>
        <v>0.1</v>
      </c>
      <c r="AC332" s="103">
        <f t="shared" si="102"/>
        <v>14941.828254847645</v>
      </c>
      <c r="AD332" s="103">
        <f t="shared" si="103"/>
        <v>134476.45429362881</v>
      </c>
      <c r="AE332" s="81">
        <f t="shared" si="104"/>
        <v>14.8</v>
      </c>
      <c r="AF332" s="539"/>
      <c r="AG332" s="104">
        <f t="shared" si="105"/>
        <v>1</v>
      </c>
      <c r="AH332" s="7">
        <f t="shared" si="106"/>
        <v>0</v>
      </c>
      <c r="AI332" s="6">
        <f t="shared" si="107"/>
        <v>14.8</v>
      </c>
      <c r="AJ332" s="73">
        <f t="shared" si="108"/>
        <v>1009.5829901924084</v>
      </c>
      <c r="AK332" s="539"/>
      <c r="AL332" s="748"/>
      <c r="AM332" s="748"/>
    </row>
    <row r="333" spans="2:39" x14ac:dyDescent="0.2">
      <c r="B333" s="101" t="str">
        <f t="shared" si="93"/>
        <v>Zur Ausbildung</v>
      </c>
      <c r="C333" s="168">
        <f>IF(ISERROR(Personalplanung!F21/Monatsplanung!$E21*Monatsplanung!$J21),0,Personalplanung!F21/Monatsplanung!$E21*Monatsplanung!$J21)</f>
        <v>0</v>
      </c>
      <c r="D333" s="168">
        <f t="shared" si="94"/>
        <v>8</v>
      </c>
      <c r="E333" s="168">
        <f>IF(ISERROR(Personalplanung!H21/Monatsplanung!$E21*Monatsplanung!$J21),0,Personalplanung!H21/Monatsplanung!$E21*Monatsplanung!$J21)</f>
        <v>0</v>
      </c>
      <c r="F333" s="168">
        <f t="shared" si="95"/>
        <v>0</v>
      </c>
      <c r="G333" s="168">
        <f t="shared" si="96"/>
        <v>27.700831024930746</v>
      </c>
      <c r="H333" s="168">
        <f t="shared" si="97"/>
        <v>0</v>
      </c>
      <c r="I333" s="168">
        <f t="shared" si="98"/>
        <v>30</v>
      </c>
      <c r="J333" s="739"/>
      <c r="K333" s="168">
        <f>IF(J333&lt;&gt;"",J333,IF(ISERROR(Personalplanung!AB21/Monatsplanung!$E21*Monatsplanung!$J21),0,Personalplanung!AB21/Monatsplanung!$E21*Monatsplanung!$J21))</f>
        <v>0</v>
      </c>
      <c r="L333" s="740"/>
      <c r="M333" s="739"/>
      <c r="N333" s="168">
        <f>IF(M333&lt;&gt;"",M333,IF(ISERROR(Personalplanung!AC21/Monatsplanung!$E21*Monatsplanung!$J21),0,Personalplanung!AC21/Monatsplanung!$E21*Monatsplanung!$J21))</f>
        <v>0</v>
      </c>
      <c r="O333" s="740"/>
      <c r="P333" s="739"/>
      <c r="Q333" s="168">
        <f>IF(P333&lt;&gt;"",P333,IF(ISERROR(Personalplanung!AD21/Monatsplanung!$E21*Monatsplanung!$J21),0,Personalplanung!AD21/Monatsplanung!$E21*Monatsplanung!$J21))</f>
        <v>0</v>
      </c>
      <c r="R333" s="740"/>
      <c r="S333" s="739"/>
      <c r="T333" s="168">
        <f>IF(S333&lt;&gt;"",S333,IF(ISERROR(Personalplanung!AE21/Monatsplanung!$E21*Monatsplanung!$J21),0,Personalplanung!AE21/Monatsplanung!$E21*Monatsplanung!$J21))</f>
        <v>0</v>
      </c>
      <c r="U333" s="740"/>
      <c r="V333" s="168">
        <f t="shared" si="99"/>
        <v>0</v>
      </c>
      <c r="W333" s="168">
        <f>IF(ISERROR(Personalplanung!P21/Monatsplanung!$E21*Monatsplanung!$J21),0,Personalplanung!P21/Monatsplanung!$E21*Monatsplanung!$J21)</f>
        <v>0</v>
      </c>
      <c r="X333" s="168">
        <f>IF(ISERROR(Personalplanung!Q21/Monatsplanung!$E21*Monatsplanung!$J21),0,Personalplanung!Q21/Monatsplanung!$E21*Monatsplanung!$J21)</f>
        <v>0</v>
      </c>
      <c r="Y333" s="168">
        <f>IF(ISERROR(Personalplanung!R21/T1269*Stundencontrolling!T333),0,Personalplanung!R21/T1269*Stundencontrolling!T333)</f>
        <v>0</v>
      </c>
      <c r="Z333" s="168">
        <f>IF(ISERROR(Personalplanung!S21/Monatsplanung!$E21*Monatsplanung!$J21),0,Personalplanung!S21/Monatsplanung!$E21*Monatsplanung!$J21)</f>
        <v>0</v>
      </c>
      <c r="AA333" s="80">
        <f t="shared" si="100"/>
        <v>0</v>
      </c>
      <c r="AB333" s="102">
        <f t="shared" si="101"/>
        <v>0.1</v>
      </c>
      <c r="AC333" s="103">
        <f t="shared" si="102"/>
        <v>0</v>
      </c>
      <c r="AD333" s="103">
        <f t="shared" si="103"/>
        <v>0</v>
      </c>
      <c r="AE333" s="81">
        <f t="shared" si="104"/>
        <v>0</v>
      </c>
      <c r="AF333" s="539"/>
      <c r="AG333" s="104">
        <f t="shared" si="105"/>
        <v>1</v>
      </c>
      <c r="AH333" s="7">
        <f t="shared" si="106"/>
        <v>0</v>
      </c>
      <c r="AI333" s="6">
        <f t="shared" si="107"/>
        <v>0</v>
      </c>
      <c r="AJ333" s="73">
        <f t="shared" si="108"/>
        <v>0</v>
      </c>
      <c r="AK333" s="539"/>
      <c r="AL333" s="748"/>
      <c r="AM333" s="748"/>
    </row>
    <row r="334" spans="2:39" x14ac:dyDescent="0.2">
      <c r="B334" s="101" t="str">
        <f t="shared" si="93"/>
        <v>Reine Putze</v>
      </c>
      <c r="C334" s="168">
        <f>IF(ISERROR(Personalplanung!F22/Monatsplanung!$E22*Monatsplanung!$J22),0,Personalplanung!F22/Monatsplanung!$E22*Monatsplanung!$J22)</f>
        <v>52.199999999999996</v>
      </c>
      <c r="D334" s="168">
        <f t="shared" si="94"/>
        <v>2.4</v>
      </c>
      <c r="E334" s="168">
        <f>IF(ISERROR(Personalplanung!H22/Monatsplanung!$E22*Monatsplanung!$J22),0,Personalplanung!H22/Monatsplanung!$E22*Monatsplanung!$J22)</f>
        <v>0</v>
      </c>
      <c r="F334" s="168">
        <f t="shared" si="95"/>
        <v>52.199999999999996</v>
      </c>
      <c r="G334" s="168">
        <f t="shared" si="96"/>
        <v>27.700831024930746</v>
      </c>
      <c r="H334" s="168">
        <f t="shared" si="97"/>
        <v>1445.9833795013849</v>
      </c>
      <c r="I334" s="168">
        <f t="shared" si="98"/>
        <v>30</v>
      </c>
      <c r="J334" s="739"/>
      <c r="K334" s="168">
        <f>IF(J334&lt;&gt;"",J334,IF(ISERROR(Personalplanung!AB22/Monatsplanung!$E22*Monatsplanung!$J22),0,Personalplanung!AB22/Monatsplanung!$E22*Monatsplanung!$J22))</f>
        <v>0.25</v>
      </c>
      <c r="L334" s="740"/>
      <c r="M334" s="739"/>
      <c r="N334" s="168">
        <f>IF(M334&lt;&gt;"",M334,IF(ISERROR(Personalplanung!AC22/Monatsplanung!$E22*Monatsplanung!$J22),0,Personalplanung!AC22/Monatsplanung!$E22*Monatsplanung!$J22))</f>
        <v>0</v>
      </c>
      <c r="O334" s="740"/>
      <c r="P334" s="739"/>
      <c r="Q334" s="168">
        <f>IF(P334&lt;&gt;"",P334,IF(ISERROR(Personalplanung!AD22/Monatsplanung!$E22*Monatsplanung!$J22),0,Personalplanung!AD22/Monatsplanung!$E22*Monatsplanung!$J22))</f>
        <v>0</v>
      </c>
      <c r="R334" s="740"/>
      <c r="S334" s="739"/>
      <c r="T334" s="168">
        <f>IF(S334&lt;&gt;"",S334,IF(ISERROR(Personalplanung!AE22/Monatsplanung!$E22*Monatsplanung!$J22),0,Personalplanung!AE22/Monatsplanung!$E22*Monatsplanung!$J22))</f>
        <v>2.1666666666666665</v>
      </c>
      <c r="U334" s="740"/>
      <c r="V334" s="168">
        <f t="shared" si="99"/>
        <v>2.4166666666666665</v>
      </c>
      <c r="W334" s="168">
        <f>IF(ISERROR(Personalplanung!P22/Monatsplanung!$E22*Monatsplanung!$J22),0,Personalplanung!P22/Monatsplanung!$E22*Monatsplanung!$J22)</f>
        <v>0</v>
      </c>
      <c r="X334" s="168">
        <f>IF(ISERROR(Personalplanung!Q22/Monatsplanung!$E22*Monatsplanung!$J22),0,Personalplanung!Q22/Monatsplanung!$E22*Monatsplanung!$J22)</f>
        <v>0</v>
      </c>
      <c r="Y334" s="168">
        <f>IF(ISERROR(Personalplanung!R22/T1270*Stundencontrolling!T334),0,Personalplanung!R22/T1270*Stundencontrolling!T334)</f>
        <v>0</v>
      </c>
      <c r="Z334" s="168">
        <f>IF(ISERROR(Personalplanung!S22/Monatsplanung!$E22*Monatsplanung!$J22),0,Personalplanung!S22/Monatsplanung!$E22*Monatsplanung!$J22)</f>
        <v>0</v>
      </c>
      <c r="AA334" s="80">
        <f t="shared" si="100"/>
        <v>44825.484764542933</v>
      </c>
      <c r="AB334" s="102">
        <f t="shared" si="101"/>
        <v>0.1</v>
      </c>
      <c r="AC334" s="103">
        <f t="shared" si="102"/>
        <v>4482.5484764542934</v>
      </c>
      <c r="AD334" s="103">
        <f t="shared" si="103"/>
        <v>40342.93628808864</v>
      </c>
      <c r="AE334" s="81">
        <f t="shared" si="104"/>
        <v>4.6399999999999997</v>
      </c>
      <c r="AF334" s="539"/>
      <c r="AG334" s="104">
        <f t="shared" si="105"/>
        <v>1</v>
      </c>
      <c r="AH334" s="7">
        <f t="shared" si="106"/>
        <v>0</v>
      </c>
      <c r="AI334" s="6">
        <f t="shared" si="107"/>
        <v>4.6399999999999997</v>
      </c>
      <c r="AJ334" s="73">
        <f t="shared" si="108"/>
        <v>966.06648199445988</v>
      </c>
      <c r="AK334" s="539"/>
      <c r="AL334" s="748"/>
      <c r="AM334" s="748"/>
    </row>
    <row r="335" spans="2:39" x14ac:dyDescent="0.2">
      <c r="B335" s="101" t="str">
        <f t="shared" si="93"/>
        <v/>
      </c>
      <c r="C335" s="168">
        <f>IF(ISERROR(Personalplanung!F23/Monatsplanung!$E23*Monatsplanung!$J23),0,Personalplanung!F23/Monatsplanung!$E23*Monatsplanung!$J23)</f>
        <v>0</v>
      </c>
      <c r="D335" s="168">
        <f t="shared" si="94"/>
        <v>0</v>
      </c>
      <c r="E335" s="168">
        <f>IF(ISERROR(Personalplanung!H23/Monatsplanung!$E23*Monatsplanung!$J23),0,Personalplanung!H23/Monatsplanung!$E23*Monatsplanung!$J23)</f>
        <v>0</v>
      </c>
      <c r="F335" s="168">
        <f t="shared" si="95"/>
        <v>0</v>
      </c>
      <c r="G335" s="168">
        <f t="shared" si="96"/>
        <v>27.700831024930746</v>
      </c>
      <c r="H335" s="168">
        <f t="shared" si="97"/>
        <v>0</v>
      </c>
      <c r="I335" s="168">
        <f t="shared" si="98"/>
        <v>30</v>
      </c>
      <c r="J335" s="739"/>
      <c r="K335" s="168">
        <f>IF(J335&lt;&gt;"",J335,IF(ISERROR(Personalplanung!AB23/Monatsplanung!$E23*Monatsplanung!$J23),0,Personalplanung!AB23/Monatsplanung!$E23*Monatsplanung!$J23))</f>
        <v>0</v>
      </c>
      <c r="L335" s="740"/>
      <c r="M335" s="739"/>
      <c r="N335" s="168">
        <f>IF(M335&lt;&gt;"",M335,IF(ISERROR(Personalplanung!AC23/Monatsplanung!$E23*Monatsplanung!$J23),0,Personalplanung!AC23/Monatsplanung!$E23*Monatsplanung!$J23))</f>
        <v>0</v>
      </c>
      <c r="O335" s="740"/>
      <c r="P335" s="739"/>
      <c r="Q335" s="168">
        <f>IF(P335&lt;&gt;"",P335,IF(ISERROR(Personalplanung!AD23/Monatsplanung!$E23*Monatsplanung!$J23),0,Personalplanung!AD23/Monatsplanung!$E23*Monatsplanung!$J23))</f>
        <v>0</v>
      </c>
      <c r="R335" s="740"/>
      <c r="S335" s="739"/>
      <c r="T335" s="168">
        <f>IF(S335&lt;&gt;"",S335,IF(ISERROR(Personalplanung!AE23/Monatsplanung!$E23*Monatsplanung!$J23),0,Personalplanung!AE23/Monatsplanung!$E23*Monatsplanung!$J23))</f>
        <v>0</v>
      </c>
      <c r="U335" s="740"/>
      <c r="V335" s="168">
        <f t="shared" si="99"/>
        <v>0</v>
      </c>
      <c r="W335" s="168">
        <f>IF(ISERROR(Personalplanung!P23/Monatsplanung!$E23*Monatsplanung!$J23),0,Personalplanung!P23/Monatsplanung!$E23*Monatsplanung!$J23)</f>
        <v>0</v>
      </c>
      <c r="X335" s="168">
        <f>IF(ISERROR(Personalplanung!Q23/Monatsplanung!$E23*Monatsplanung!$J23),0,Personalplanung!Q23/Monatsplanung!$E23*Monatsplanung!$J23)</f>
        <v>0</v>
      </c>
      <c r="Y335" s="168">
        <f>IF(ISERROR(Personalplanung!R23/T1271*Stundencontrolling!T335),0,Personalplanung!R23/T1271*Stundencontrolling!T335)</f>
        <v>0</v>
      </c>
      <c r="Z335" s="168">
        <f>IF(ISERROR(Personalplanung!S23/Monatsplanung!$E23*Monatsplanung!$J23),0,Personalplanung!S23/Monatsplanung!$E23*Monatsplanung!$J23)</f>
        <v>0</v>
      </c>
      <c r="AA335" s="80">
        <f t="shared" si="100"/>
        <v>0</v>
      </c>
      <c r="AB335" s="102">
        <f t="shared" si="101"/>
        <v>0.1</v>
      </c>
      <c r="AC335" s="103">
        <f t="shared" si="102"/>
        <v>0</v>
      </c>
      <c r="AD335" s="103">
        <f t="shared" si="103"/>
        <v>0</v>
      </c>
      <c r="AE335" s="81">
        <f t="shared" si="104"/>
        <v>0</v>
      </c>
      <c r="AF335" s="539"/>
      <c r="AG335" s="104">
        <f t="shared" si="105"/>
        <v>1</v>
      </c>
      <c r="AH335" s="7">
        <f t="shared" si="106"/>
        <v>0</v>
      </c>
      <c r="AI335" s="6">
        <f t="shared" si="107"/>
        <v>0</v>
      </c>
      <c r="AJ335" s="73">
        <f t="shared" si="108"/>
        <v>0</v>
      </c>
      <c r="AK335" s="539"/>
      <c r="AL335" s="748"/>
      <c r="AM335" s="748"/>
    </row>
    <row r="336" spans="2:39" x14ac:dyDescent="0.2">
      <c r="B336" s="101" t="str">
        <f t="shared" si="93"/>
        <v/>
      </c>
      <c r="C336" s="168">
        <f>IF(ISERROR(Personalplanung!F24/Monatsplanung!$E24*Monatsplanung!$J24),0,Personalplanung!F24/Monatsplanung!$E24*Monatsplanung!$J24)</f>
        <v>0</v>
      </c>
      <c r="D336" s="168">
        <f t="shared" si="94"/>
        <v>0</v>
      </c>
      <c r="E336" s="168">
        <f>IF(ISERROR(Personalplanung!H24/Monatsplanung!$E24*Monatsplanung!$J24),0,Personalplanung!H24/Monatsplanung!$E24*Monatsplanung!$J24)</f>
        <v>0</v>
      </c>
      <c r="F336" s="168">
        <f t="shared" si="95"/>
        <v>0</v>
      </c>
      <c r="G336" s="168">
        <f t="shared" si="96"/>
        <v>27.700831024930746</v>
      </c>
      <c r="H336" s="168">
        <f t="shared" si="97"/>
        <v>0</v>
      </c>
      <c r="I336" s="168">
        <f t="shared" si="98"/>
        <v>30</v>
      </c>
      <c r="J336" s="739"/>
      <c r="K336" s="168">
        <f>IF(J336&lt;&gt;"",J336,IF(ISERROR(Personalplanung!AB24/Monatsplanung!$E24*Monatsplanung!$J24),0,Personalplanung!AB24/Monatsplanung!$E24*Monatsplanung!$J24))</f>
        <v>0</v>
      </c>
      <c r="L336" s="740"/>
      <c r="M336" s="739"/>
      <c r="N336" s="168">
        <f>IF(M336&lt;&gt;"",M336,IF(ISERROR(Personalplanung!AC24/Monatsplanung!$E24*Monatsplanung!$J24),0,Personalplanung!AC24/Monatsplanung!$E24*Monatsplanung!$J24))</f>
        <v>0</v>
      </c>
      <c r="O336" s="740"/>
      <c r="P336" s="739"/>
      <c r="Q336" s="168">
        <f>IF(P336&lt;&gt;"",P336,IF(ISERROR(Personalplanung!AD24/Monatsplanung!$E24*Monatsplanung!$J24),0,Personalplanung!AD24/Monatsplanung!$E24*Monatsplanung!$J24))</f>
        <v>0</v>
      </c>
      <c r="R336" s="740"/>
      <c r="S336" s="739"/>
      <c r="T336" s="168">
        <f>IF(S336&lt;&gt;"",S336,IF(ISERROR(Personalplanung!AE24/Monatsplanung!$E24*Monatsplanung!$J24),0,Personalplanung!AE24/Monatsplanung!$E24*Monatsplanung!$J24))</f>
        <v>0</v>
      </c>
      <c r="U336" s="740"/>
      <c r="V336" s="168">
        <f t="shared" si="99"/>
        <v>0</v>
      </c>
      <c r="W336" s="168">
        <f>IF(ISERROR(Personalplanung!P24/Monatsplanung!$E24*Monatsplanung!$J24),0,Personalplanung!P24/Monatsplanung!$E24*Monatsplanung!$J24)</f>
        <v>0</v>
      </c>
      <c r="X336" s="168">
        <f>IF(ISERROR(Personalplanung!Q24/Monatsplanung!$E24*Monatsplanung!$J24),0,Personalplanung!Q24/Monatsplanung!$E24*Monatsplanung!$J24)</f>
        <v>0</v>
      </c>
      <c r="Y336" s="168">
        <f>IF(ISERROR(Personalplanung!R24/T1272*Stundencontrolling!T336),0,Personalplanung!R24/T1272*Stundencontrolling!T336)</f>
        <v>0</v>
      </c>
      <c r="Z336" s="168">
        <f>IF(ISERROR(Personalplanung!S24/Monatsplanung!$E24*Monatsplanung!$J24),0,Personalplanung!S24/Monatsplanung!$E24*Monatsplanung!$J24)</f>
        <v>0</v>
      </c>
      <c r="AA336" s="80">
        <f t="shared" si="100"/>
        <v>0</v>
      </c>
      <c r="AB336" s="102">
        <f t="shared" si="101"/>
        <v>0.1</v>
      </c>
      <c r="AC336" s="103">
        <f t="shared" si="102"/>
        <v>0</v>
      </c>
      <c r="AD336" s="103">
        <f t="shared" si="103"/>
        <v>0</v>
      </c>
      <c r="AE336" s="81">
        <f t="shared" si="104"/>
        <v>0</v>
      </c>
      <c r="AF336" s="539"/>
      <c r="AG336" s="104">
        <f t="shared" si="105"/>
        <v>1</v>
      </c>
      <c r="AH336" s="7">
        <f t="shared" si="106"/>
        <v>0</v>
      </c>
      <c r="AI336" s="6">
        <f t="shared" si="107"/>
        <v>0</v>
      </c>
      <c r="AJ336" s="73">
        <f t="shared" si="108"/>
        <v>0</v>
      </c>
      <c r="AK336" s="539"/>
      <c r="AL336" s="748"/>
      <c r="AM336" s="748"/>
    </row>
    <row r="337" spans="2:39" x14ac:dyDescent="0.2">
      <c r="B337" s="101" t="str">
        <f t="shared" si="93"/>
        <v/>
      </c>
      <c r="C337" s="168">
        <f>IF(ISERROR(Personalplanung!F25/Monatsplanung!$E25*Monatsplanung!$J25),0,Personalplanung!F25/Monatsplanung!$E25*Monatsplanung!$J25)</f>
        <v>0</v>
      </c>
      <c r="D337" s="168">
        <f t="shared" si="94"/>
        <v>0</v>
      </c>
      <c r="E337" s="168">
        <f>IF(ISERROR(Personalplanung!H25/Monatsplanung!$E25*Monatsplanung!$J25),0,Personalplanung!H25/Monatsplanung!$E25*Monatsplanung!$J25)</f>
        <v>0</v>
      </c>
      <c r="F337" s="168">
        <f t="shared" si="95"/>
        <v>0</v>
      </c>
      <c r="G337" s="168">
        <f t="shared" si="96"/>
        <v>27.700831024930746</v>
      </c>
      <c r="H337" s="168">
        <f t="shared" si="97"/>
        <v>0</v>
      </c>
      <c r="I337" s="168">
        <f t="shared" si="98"/>
        <v>30</v>
      </c>
      <c r="J337" s="739"/>
      <c r="K337" s="168">
        <f>IF(J337&lt;&gt;"",J337,IF(ISERROR(Personalplanung!AB25/Monatsplanung!$E25*Monatsplanung!$J25),0,Personalplanung!AB25/Monatsplanung!$E25*Monatsplanung!$J25))</f>
        <v>0</v>
      </c>
      <c r="L337" s="740"/>
      <c r="M337" s="739"/>
      <c r="N337" s="168">
        <f>IF(M337&lt;&gt;"",M337,IF(ISERROR(Personalplanung!AC25/Monatsplanung!$E25*Monatsplanung!$J25),0,Personalplanung!AC25/Monatsplanung!$E25*Monatsplanung!$J25))</f>
        <v>0</v>
      </c>
      <c r="O337" s="740"/>
      <c r="P337" s="739"/>
      <c r="Q337" s="168">
        <f>IF(P337&lt;&gt;"",P337,IF(ISERROR(Personalplanung!AD25/Monatsplanung!$E25*Monatsplanung!$J25),0,Personalplanung!AD25/Monatsplanung!$E25*Monatsplanung!$J25))</f>
        <v>0</v>
      </c>
      <c r="R337" s="740"/>
      <c r="S337" s="739"/>
      <c r="T337" s="168">
        <f>IF(S337&lt;&gt;"",S337,IF(ISERROR(Personalplanung!AE25/Monatsplanung!$E25*Monatsplanung!$J25),0,Personalplanung!AE25/Monatsplanung!$E25*Monatsplanung!$J25))</f>
        <v>0</v>
      </c>
      <c r="U337" s="740"/>
      <c r="V337" s="168">
        <f t="shared" si="99"/>
        <v>0</v>
      </c>
      <c r="W337" s="168">
        <f>IF(ISERROR(Personalplanung!P25/Monatsplanung!$E25*Monatsplanung!$J25),0,Personalplanung!P25/Monatsplanung!$E25*Monatsplanung!$J25)</f>
        <v>0</v>
      </c>
      <c r="X337" s="168">
        <f>IF(ISERROR(Personalplanung!Q25/Monatsplanung!$E25*Monatsplanung!$J25),0,Personalplanung!Q25/Monatsplanung!$E25*Monatsplanung!$J25)</f>
        <v>0</v>
      </c>
      <c r="Y337" s="168">
        <f>IF(ISERROR(Personalplanung!R25/T1273*Stundencontrolling!T337),0,Personalplanung!R25/T1273*Stundencontrolling!T337)</f>
        <v>0</v>
      </c>
      <c r="Z337" s="168">
        <f>IF(ISERROR(Personalplanung!S25/Monatsplanung!$E25*Monatsplanung!$J25),0,Personalplanung!S25/Monatsplanung!$E25*Monatsplanung!$J25)</f>
        <v>0</v>
      </c>
      <c r="AA337" s="80">
        <f t="shared" si="100"/>
        <v>0</v>
      </c>
      <c r="AB337" s="102">
        <f t="shared" si="101"/>
        <v>0.1</v>
      </c>
      <c r="AC337" s="103">
        <f t="shared" si="102"/>
        <v>0</v>
      </c>
      <c r="AD337" s="103">
        <f t="shared" si="103"/>
        <v>0</v>
      </c>
      <c r="AE337" s="81">
        <f t="shared" si="104"/>
        <v>0</v>
      </c>
      <c r="AF337" s="539"/>
      <c r="AG337" s="104">
        <f t="shared" si="105"/>
        <v>1</v>
      </c>
      <c r="AH337" s="7">
        <f t="shared" si="106"/>
        <v>0</v>
      </c>
      <c r="AI337" s="6">
        <f t="shared" si="107"/>
        <v>0</v>
      </c>
      <c r="AJ337" s="73">
        <f t="shared" si="108"/>
        <v>0</v>
      </c>
      <c r="AK337" s="539"/>
      <c r="AL337" s="748"/>
      <c r="AM337" s="748"/>
    </row>
    <row r="338" spans="2:39" x14ac:dyDescent="0.2">
      <c r="B338" s="101" t="str">
        <f t="shared" si="93"/>
        <v/>
      </c>
      <c r="C338" s="168">
        <f>IF(ISERROR(Personalplanung!F26/Monatsplanung!$E26*Monatsplanung!$J26),0,Personalplanung!F26/Monatsplanung!$E26*Monatsplanung!$J26)</f>
        <v>0</v>
      </c>
      <c r="D338" s="168">
        <f t="shared" si="94"/>
        <v>0</v>
      </c>
      <c r="E338" s="168">
        <f>IF(ISERROR(Personalplanung!H26/Monatsplanung!$E26*Monatsplanung!$J26),0,Personalplanung!H26/Monatsplanung!$E26*Monatsplanung!$J26)</f>
        <v>0</v>
      </c>
      <c r="F338" s="168">
        <f t="shared" si="95"/>
        <v>0</v>
      </c>
      <c r="G338" s="168">
        <f t="shared" si="96"/>
        <v>27.700831024930746</v>
      </c>
      <c r="H338" s="168">
        <f t="shared" si="97"/>
        <v>0</v>
      </c>
      <c r="I338" s="168">
        <f t="shared" si="98"/>
        <v>30</v>
      </c>
      <c r="J338" s="739"/>
      <c r="K338" s="168">
        <f>IF(J338&lt;&gt;"",J338,IF(ISERROR(Personalplanung!AB26/Monatsplanung!$E26*Monatsplanung!$J26),0,Personalplanung!AB26/Monatsplanung!$E26*Monatsplanung!$J26))</f>
        <v>0</v>
      </c>
      <c r="L338" s="740"/>
      <c r="M338" s="739"/>
      <c r="N338" s="168">
        <f>IF(M338&lt;&gt;"",M338,IF(ISERROR(Personalplanung!AC26/Monatsplanung!$E26*Monatsplanung!$J26),0,Personalplanung!AC26/Monatsplanung!$E26*Monatsplanung!$J26))</f>
        <v>0</v>
      </c>
      <c r="O338" s="740"/>
      <c r="P338" s="739"/>
      <c r="Q338" s="168">
        <f>IF(P338&lt;&gt;"",P338,IF(ISERROR(Personalplanung!AD26/Monatsplanung!$E26*Monatsplanung!$J26),0,Personalplanung!AD26/Monatsplanung!$E26*Monatsplanung!$J26))</f>
        <v>0</v>
      </c>
      <c r="R338" s="740"/>
      <c r="S338" s="739"/>
      <c r="T338" s="168">
        <f>IF(S338&lt;&gt;"",S338,IF(ISERROR(Personalplanung!AE26/Monatsplanung!$E26*Monatsplanung!$J26),0,Personalplanung!AE26/Monatsplanung!$E26*Monatsplanung!$J26))</f>
        <v>0</v>
      </c>
      <c r="U338" s="740"/>
      <c r="V338" s="168">
        <f t="shared" si="99"/>
        <v>0</v>
      </c>
      <c r="W338" s="168">
        <f>IF(ISERROR(Personalplanung!P26/Monatsplanung!$E26*Monatsplanung!$J26),0,Personalplanung!P26/Monatsplanung!$E26*Monatsplanung!$J26)</f>
        <v>0</v>
      </c>
      <c r="X338" s="168">
        <f>IF(ISERROR(Personalplanung!Q26/Monatsplanung!$E26*Monatsplanung!$J26),0,Personalplanung!Q26/Monatsplanung!$E26*Monatsplanung!$J26)</f>
        <v>0</v>
      </c>
      <c r="Y338" s="168">
        <f>IF(ISERROR(Personalplanung!R26/T1274*Stundencontrolling!T338),0,Personalplanung!R26/T1274*Stundencontrolling!T338)</f>
        <v>0</v>
      </c>
      <c r="Z338" s="168">
        <f>IF(ISERROR(Personalplanung!S26/Monatsplanung!$E26*Monatsplanung!$J26),0,Personalplanung!S26/Monatsplanung!$E26*Monatsplanung!$J26)</f>
        <v>0</v>
      </c>
      <c r="AA338" s="80">
        <f t="shared" si="100"/>
        <v>0</v>
      </c>
      <c r="AB338" s="102">
        <f t="shared" si="101"/>
        <v>0.1</v>
      </c>
      <c r="AC338" s="103">
        <f t="shared" si="102"/>
        <v>0</v>
      </c>
      <c r="AD338" s="103">
        <f t="shared" si="103"/>
        <v>0</v>
      </c>
      <c r="AE338" s="81">
        <f t="shared" si="104"/>
        <v>0</v>
      </c>
      <c r="AF338" s="539"/>
      <c r="AG338" s="104">
        <f t="shared" si="105"/>
        <v>1</v>
      </c>
      <c r="AH338" s="7">
        <f t="shared" si="106"/>
        <v>0</v>
      </c>
      <c r="AI338" s="6">
        <f t="shared" si="107"/>
        <v>0</v>
      </c>
      <c r="AJ338" s="73">
        <f t="shared" si="108"/>
        <v>0</v>
      </c>
      <c r="AK338" s="539"/>
      <c r="AL338" s="748"/>
      <c r="AM338" s="748"/>
    </row>
    <row r="339" spans="2:39" x14ac:dyDescent="0.2">
      <c r="B339" s="101" t="str">
        <f t="shared" si="93"/>
        <v/>
      </c>
      <c r="C339" s="168">
        <f>IF(ISERROR(Personalplanung!F27/Monatsplanung!$E27*Monatsplanung!$J27),0,Personalplanung!F27/Monatsplanung!$E27*Monatsplanung!$J27)</f>
        <v>0</v>
      </c>
      <c r="D339" s="168">
        <f t="shared" si="94"/>
        <v>0</v>
      </c>
      <c r="E339" s="168">
        <f>IF(ISERROR(Personalplanung!H27/Monatsplanung!$E27*Monatsplanung!$J27),0,Personalplanung!H27/Monatsplanung!$E27*Monatsplanung!$J27)</f>
        <v>0</v>
      </c>
      <c r="F339" s="168">
        <f t="shared" si="95"/>
        <v>0</v>
      </c>
      <c r="G339" s="168">
        <f t="shared" si="96"/>
        <v>27.700831024930746</v>
      </c>
      <c r="H339" s="168">
        <f t="shared" si="97"/>
        <v>0</v>
      </c>
      <c r="I339" s="168">
        <f t="shared" si="98"/>
        <v>30</v>
      </c>
      <c r="J339" s="739"/>
      <c r="K339" s="168">
        <f>IF(J339&lt;&gt;"",J339,IF(ISERROR(Personalplanung!AB27/Monatsplanung!$E27*Monatsplanung!$J27),0,Personalplanung!AB27/Monatsplanung!$E27*Monatsplanung!$J27))</f>
        <v>0</v>
      </c>
      <c r="L339" s="740"/>
      <c r="M339" s="739"/>
      <c r="N339" s="168">
        <f>IF(M339&lt;&gt;"",M339,IF(ISERROR(Personalplanung!AC27/Monatsplanung!$E27*Monatsplanung!$J27),0,Personalplanung!AC27/Monatsplanung!$E27*Monatsplanung!$J27))</f>
        <v>0</v>
      </c>
      <c r="O339" s="740"/>
      <c r="P339" s="739"/>
      <c r="Q339" s="168">
        <f>IF(P339&lt;&gt;"",P339,IF(ISERROR(Personalplanung!AD27/Monatsplanung!$E27*Monatsplanung!$J27),0,Personalplanung!AD27/Monatsplanung!$E27*Monatsplanung!$J27))</f>
        <v>0</v>
      </c>
      <c r="R339" s="740"/>
      <c r="S339" s="739"/>
      <c r="T339" s="168">
        <f>IF(S339&lt;&gt;"",S339,IF(ISERROR(Personalplanung!AE27/Monatsplanung!$E27*Monatsplanung!$J27),0,Personalplanung!AE27/Monatsplanung!$E27*Monatsplanung!$J27))</f>
        <v>0</v>
      </c>
      <c r="U339" s="740"/>
      <c r="V339" s="168">
        <f t="shared" si="99"/>
        <v>0</v>
      </c>
      <c r="W339" s="168">
        <f>IF(ISERROR(Personalplanung!P27/Monatsplanung!$E27*Monatsplanung!$J27),0,Personalplanung!P27/Monatsplanung!$E27*Monatsplanung!$J27)</f>
        <v>0</v>
      </c>
      <c r="X339" s="168">
        <f>IF(ISERROR(Personalplanung!Q27/Monatsplanung!$E27*Monatsplanung!$J27),0,Personalplanung!Q27/Monatsplanung!$E27*Monatsplanung!$J27)</f>
        <v>0</v>
      </c>
      <c r="Y339" s="168">
        <f>IF(ISERROR(Personalplanung!R27/T1275*Stundencontrolling!T339),0,Personalplanung!R27/T1275*Stundencontrolling!T339)</f>
        <v>0</v>
      </c>
      <c r="Z339" s="168">
        <f>IF(ISERROR(Personalplanung!S27/Monatsplanung!$E27*Monatsplanung!$J27),0,Personalplanung!S27/Monatsplanung!$E27*Monatsplanung!$J27)</f>
        <v>0</v>
      </c>
      <c r="AA339" s="80">
        <f t="shared" si="100"/>
        <v>0</v>
      </c>
      <c r="AB339" s="102">
        <f t="shared" si="101"/>
        <v>0.1</v>
      </c>
      <c r="AC339" s="103">
        <f t="shared" si="102"/>
        <v>0</v>
      </c>
      <c r="AD339" s="103">
        <f t="shared" si="103"/>
        <v>0</v>
      </c>
      <c r="AE339" s="81">
        <f t="shared" si="104"/>
        <v>0</v>
      </c>
      <c r="AF339" s="539"/>
      <c r="AG339" s="104">
        <f t="shared" si="105"/>
        <v>1</v>
      </c>
      <c r="AH339" s="7">
        <f t="shared" si="106"/>
        <v>0</v>
      </c>
      <c r="AI339" s="6">
        <f t="shared" si="107"/>
        <v>0</v>
      </c>
      <c r="AJ339" s="73">
        <f t="shared" si="108"/>
        <v>0</v>
      </c>
      <c r="AK339" s="539"/>
      <c r="AL339" s="748"/>
      <c r="AM339" s="748"/>
    </row>
    <row r="340" spans="2:39" x14ac:dyDescent="0.2">
      <c r="B340" s="101" t="str">
        <f t="shared" si="93"/>
        <v/>
      </c>
      <c r="C340" s="168">
        <f>IF(ISERROR(Personalplanung!F28/Monatsplanung!$E28*Monatsplanung!$J28),0,Personalplanung!F28/Monatsplanung!$E28*Monatsplanung!$J28)</f>
        <v>0</v>
      </c>
      <c r="D340" s="168">
        <f t="shared" si="94"/>
        <v>0</v>
      </c>
      <c r="E340" s="168">
        <f>IF(ISERROR(Personalplanung!H28/Monatsplanung!$E28*Monatsplanung!$J28),0,Personalplanung!H28/Monatsplanung!$E28*Monatsplanung!$J28)</f>
        <v>0</v>
      </c>
      <c r="F340" s="168">
        <f t="shared" si="95"/>
        <v>0</v>
      </c>
      <c r="G340" s="168">
        <f t="shared" si="96"/>
        <v>27.700831024930746</v>
      </c>
      <c r="H340" s="168">
        <f t="shared" si="97"/>
        <v>0</v>
      </c>
      <c r="I340" s="168">
        <f t="shared" si="98"/>
        <v>30</v>
      </c>
      <c r="J340" s="739"/>
      <c r="K340" s="168">
        <f>IF(J340&lt;&gt;"",J340,IF(ISERROR(Personalplanung!AB28/Monatsplanung!$E28*Monatsplanung!$J28),0,Personalplanung!AB28/Monatsplanung!$E28*Monatsplanung!$J28))</f>
        <v>0</v>
      </c>
      <c r="L340" s="740"/>
      <c r="M340" s="739"/>
      <c r="N340" s="168">
        <f>IF(M340&lt;&gt;"",M340,IF(ISERROR(Personalplanung!AC28/Monatsplanung!$E28*Monatsplanung!$J28),0,Personalplanung!AC28/Monatsplanung!$E28*Monatsplanung!$J28))</f>
        <v>0</v>
      </c>
      <c r="O340" s="740"/>
      <c r="P340" s="739"/>
      <c r="Q340" s="168">
        <f>IF(P340&lt;&gt;"",P340,IF(ISERROR(Personalplanung!AD28/Monatsplanung!$E28*Monatsplanung!$J28),0,Personalplanung!AD28/Monatsplanung!$E28*Monatsplanung!$J28))</f>
        <v>0</v>
      </c>
      <c r="R340" s="740"/>
      <c r="S340" s="739"/>
      <c r="T340" s="168">
        <f>IF(S340&lt;&gt;"",S340,IF(ISERROR(Personalplanung!AE28/Monatsplanung!$E28*Monatsplanung!$J28),0,Personalplanung!AE28/Monatsplanung!$E28*Monatsplanung!$J28))</f>
        <v>0</v>
      </c>
      <c r="U340" s="740"/>
      <c r="V340" s="168">
        <f t="shared" si="99"/>
        <v>0</v>
      </c>
      <c r="W340" s="168">
        <f>IF(ISERROR(Personalplanung!P28/Monatsplanung!$E28*Monatsplanung!$J28),0,Personalplanung!P28/Monatsplanung!$E28*Monatsplanung!$J28)</f>
        <v>0</v>
      </c>
      <c r="X340" s="168">
        <f>IF(ISERROR(Personalplanung!Q28/Monatsplanung!$E28*Monatsplanung!$J28),0,Personalplanung!Q28/Monatsplanung!$E28*Monatsplanung!$J28)</f>
        <v>0</v>
      </c>
      <c r="Y340" s="168">
        <f>IF(ISERROR(Personalplanung!R28/T1276*Stundencontrolling!T340),0,Personalplanung!R28/T1276*Stundencontrolling!T340)</f>
        <v>0</v>
      </c>
      <c r="Z340" s="168">
        <f>IF(ISERROR(Personalplanung!S28/Monatsplanung!$E28*Monatsplanung!$J28),0,Personalplanung!S28/Monatsplanung!$E28*Monatsplanung!$J28)</f>
        <v>0</v>
      </c>
      <c r="AA340" s="80">
        <f t="shared" si="100"/>
        <v>0</v>
      </c>
      <c r="AB340" s="102">
        <f t="shared" si="101"/>
        <v>0.1</v>
      </c>
      <c r="AC340" s="103">
        <f t="shared" si="102"/>
        <v>0</v>
      </c>
      <c r="AD340" s="103">
        <f t="shared" si="103"/>
        <v>0</v>
      </c>
      <c r="AE340" s="81">
        <f t="shared" si="104"/>
        <v>0</v>
      </c>
      <c r="AF340" s="539"/>
      <c r="AG340" s="104">
        <f t="shared" si="105"/>
        <v>1</v>
      </c>
      <c r="AH340" s="7">
        <f t="shared" si="106"/>
        <v>0</v>
      </c>
      <c r="AI340" s="6">
        <f t="shared" si="107"/>
        <v>0</v>
      </c>
      <c r="AJ340" s="73">
        <f t="shared" si="108"/>
        <v>0</v>
      </c>
      <c r="AK340" s="539"/>
      <c r="AL340" s="748"/>
      <c r="AM340" s="748"/>
    </row>
    <row r="341" spans="2:39" x14ac:dyDescent="0.2">
      <c r="B341" s="101" t="str">
        <f t="shared" si="93"/>
        <v/>
      </c>
      <c r="C341" s="168">
        <f>IF(ISERROR(Personalplanung!F29/Monatsplanung!$E29*Monatsplanung!$J29),0,Personalplanung!F29/Monatsplanung!$E29*Monatsplanung!$J29)</f>
        <v>0</v>
      </c>
      <c r="D341" s="168">
        <f t="shared" si="94"/>
        <v>0</v>
      </c>
      <c r="E341" s="168">
        <f>IF(ISERROR(Personalplanung!H29/Monatsplanung!$E29*Monatsplanung!$J29),0,Personalplanung!H29/Monatsplanung!$E29*Monatsplanung!$J29)</f>
        <v>0</v>
      </c>
      <c r="F341" s="168">
        <f t="shared" si="95"/>
        <v>0</v>
      </c>
      <c r="G341" s="168">
        <f t="shared" si="96"/>
        <v>27.700831024930746</v>
      </c>
      <c r="H341" s="168">
        <f t="shared" si="97"/>
        <v>0</v>
      </c>
      <c r="I341" s="168">
        <f t="shared" si="98"/>
        <v>30</v>
      </c>
      <c r="J341" s="739"/>
      <c r="K341" s="168">
        <f>IF(J341&lt;&gt;"",J341,IF(ISERROR(Personalplanung!AB29/Monatsplanung!$E29*Monatsplanung!$J29),0,Personalplanung!AB29/Monatsplanung!$E29*Monatsplanung!$J29))</f>
        <v>0</v>
      </c>
      <c r="L341" s="740"/>
      <c r="M341" s="739"/>
      <c r="N341" s="168">
        <f>IF(M341&lt;&gt;"",M341,IF(ISERROR(Personalplanung!AC29/Monatsplanung!$E29*Monatsplanung!$J29),0,Personalplanung!AC29/Monatsplanung!$E29*Monatsplanung!$J29))</f>
        <v>0</v>
      </c>
      <c r="O341" s="740"/>
      <c r="P341" s="739"/>
      <c r="Q341" s="168">
        <f>IF(P341&lt;&gt;"",P341,IF(ISERROR(Personalplanung!AD29/Monatsplanung!$E29*Monatsplanung!$J29),0,Personalplanung!AD29/Monatsplanung!$E29*Monatsplanung!$J29))</f>
        <v>0</v>
      </c>
      <c r="R341" s="740"/>
      <c r="S341" s="739"/>
      <c r="T341" s="168">
        <f>IF(S341&lt;&gt;"",S341,IF(ISERROR(Personalplanung!AE29/Monatsplanung!$E29*Monatsplanung!$J29),0,Personalplanung!AE29/Monatsplanung!$E29*Monatsplanung!$J29))</f>
        <v>0</v>
      </c>
      <c r="U341" s="740"/>
      <c r="V341" s="168">
        <f t="shared" si="99"/>
        <v>0</v>
      </c>
      <c r="W341" s="168">
        <f>IF(ISERROR(Personalplanung!P29/Monatsplanung!$E29*Monatsplanung!$J29),0,Personalplanung!P29/Monatsplanung!$E29*Monatsplanung!$J29)</f>
        <v>0</v>
      </c>
      <c r="X341" s="168">
        <f>IF(ISERROR(Personalplanung!Q29/Monatsplanung!$E29*Monatsplanung!$J29),0,Personalplanung!Q29/Monatsplanung!$E29*Monatsplanung!$J29)</f>
        <v>0</v>
      </c>
      <c r="Y341" s="168">
        <f>IF(ISERROR(Personalplanung!R29/T1277*Stundencontrolling!T341),0,Personalplanung!R29/T1277*Stundencontrolling!T341)</f>
        <v>0</v>
      </c>
      <c r="Z341" s="168">
        <f>IF(ISERROR(Personalplanung!S29/Monatsplanung!$E29*Monatsplanung!$J29),0,Personalplanung!S29/Monatsplanung!$E29*Monatsplanung!$J29)</f>
        <v>0</v>
      </c>
      <c r="AA341" s="80">
        <f t="shared" si="100"/>
        <v>0</v>
      </c>
      <c r="AB341" s="102">
        <f t="shared" si="101"/>
        <v>0.1</v>
      </c>
      <c r="AC341" s="103">
        <f t="shared" si="102"/>
        <v>0</v>
      </c>
      <c r="AD341" s="103">
        <f t="shared" si="103"/>
        <v>0</v>
      </c>
      <c r="AE341" s="81">
        <f t="shared" si="104"/>
        <v>0</v>
      </c>
      <c r="AF341" s="539"/>
      <c r="AG341" s="104">
        <f t="shared" si="105"/>
        <v>1</v>
      </c>
      <c r="AH341" s="7">
        <f t="shared" si="106"/>
        <v>0</v>
      </c>
      <c r="AI341" s="6">
        <f t="shared" si="107"/>
        <v>0</v>
      </c>
      <c r="AJ341" s="73">
        <f t="shared" si="108"/>
        <v>0</v>
      </c>
      <c r="AK341" s="539"/>
      <c r="AL341" s="748"/>
      <c r="AM341" s="748"/>
    </row>
    <row r="342" spans="2:39" x14ac:dyDescent="0.2">
      <c r="B342" s="101" t="str">
        <f t="shared" si="93"/>
        <v/>
      </c>
      <c r="C342" s="168">
        <f>IF(ISERROR(Personalplanung!F30/Monatsplanung!$E30*Monatsplanung!$J30),0,Personalplanung!F30/Monatsplanung!$E30*Monatsplanung!$J30)</f>
        <v>0</v>
      </c>
      <c r="D342" s="168">
        <f t="shared" si="94"/>
        <v>0</v>
      </c>
      <c r="E342" s="168">
        <f>IF(ISERROR(Personalplanung!H30/Monatsplanung!$E30*Monatsplanung!$J30),0,Personalplanung!H30/Monatsplanung!$E30*Monatsplanung!$J30)</f>
        <v>0</v>
      </c>
      <c r="F342" s="168">
        <f t="shared" si="95"/>
        <v>0</v>
      </c>
      <c r="G342" s="168">
        <f t="shared" si="96"/>
        <v>27.700831024930746</v>
      </c>
      <c r="H342" s="168">
        <f t="shared" si="97"/>
        <v>0</v>
      </c>
      <c r="I342" s="168">
        <f t="shared" si="98"/>
        <v>30</v>
      </c>
      <c r="J342" s="739"/>
      <c r="K342" s="168">
        <f>IF(J342&lt;&gt;"",J342,IF(ISERROR(Personalplanung!AB30/Monatsplanung!$E30*Monatsplanung!$J30),0,Personalplanung!AB30/Monatsplanung!$E30*Monatsplanung!$J30))</f>
        <v>0</v>
      </c>
      <c r="L342" s="740"/>
      <c r="M342" s="739"/>
      <c r="N342" s="168">
        <f>IF(M342&lt;&gt;"",M342,IF(ISERROR(Personalplanung!AC30/Monatsplanung!$E30*Monatsplanung!$J30),0,Personalplanung!AC30/Monatsplanung!$E30*Monatsplanung!$J30))</f>
        <v>0</v>
      </c>
      <c r="O342" s="740"/>
      <c r="P342" s="739"/>
      <c r="Q342" s="168">
        <f>IF(P342&lt;&gt;"",P342,IF(ISERROR(Personalplanung!AD30/Monatsplanung!$E30*Monatsplanung!$J30),0,Personalplanung!AD30/Monatsplanung!$E30*Monatsplanung!$J30))</f>
        <v>0</v>
      </c>
      <c r="R342" s="740"/>
      <c r="S342" s="739"/>
      <c r="T342" s="168">
        <f>IF(S342&lt;&gt;"",S342,IF(ISERROR(Personalplanung!AE30/Monatsplanung!$E30*Monatsplanung!$J30),0,Personalplanung!AE30/Monatsplanung!$E30*Monatsplanung!$J30))</f>
        <v>0</v>
      </c>
      <c r="U342" s="740"/>
      <c r="V342" s="168">
        <f t="shared" si="99"/>
        <v>0</v>
      </c>
      <c r="W342" s="168">
        <f>IF(ISERROR(Personalplanung!P30/Monatsplanung!$E30*Monatsplanung!$J30),0,Personalplanung!P30/Monatsplanung!$E30*Monatsplanung!$J30)</f>
        <v>0</v>
      </c>
      <c r="X342" s="168">
        <f>IF(ISERROR(Personalplanung!Q30/Monatsplanung!$E30*Monatsplanung!$J30),0,Personalplanung!Q30/Monatsplanung!$E30*Monatsplanung!$J30)</f>
        <v>0</v>
      </c>
      <c r="Y342" s="168">
        <f>IF(ISERROR(Personalplanung!R30/T1278*Stundencontrolling!T342),0,Personalplanung!R30/T1278*Stundencontrolling!T342)</f>
        <v>0</v>
      </c>
      <c r="Z342" s="168">
        <f>IF(ISERROR(Personalplanung!S30/Monatsplanung!$E30*Monatsplanung!$J30),0,Personalplanung!S30/Monatsplanung!$E30*Monatsplanung!$J30)</f>
        <v>0</v>
      </c>
      <c r="AA342" s="80">
        <f t="shared" si="100"/>
        <v>0</v>
      </c>
      <c r="AB342" s="102">
        <f t="shared" si="101"/>
        <v>0.1</v>
      </c>
      <c r="AC342" s="103">
        <f t="shared" si="102"/>
        <v>0</v>
      </c>
      <c r="AD342" s="103">
        <f t="shared" si="103"/>
        <v>0</v>
      </c>
      <c r="AE342" s="81">
        <f t="shared" si="104"/>
        <v>0</v>
      </c>
      <c r="AF342" s="539"/>
      <c r="AG342" s="104">
        <f t="shared" si="105"/>
        <v>1</v>
      </c>
      <c r="AH342" s="7">
        <f t="shared" si="106"/>
        <v>0</v>
      </c>
      <c r="AI342" s="6">
        <f t="shared" si="107"/>
        <v>0</v>
      </c>
      <c r="AJ342" s="73">
        <f t="shared" si="108"/>
        <v>0</v>
      </c>
      <c r="AK342" s="539"/>
      <c r="AL342" s="748"/>
      <c r="AM342" s="748"/>
    </row>
    <row r="343" spans="2:39" x14ac:dyDescent="0.2">
      <c r="B343" s="101" t="str">
        <f t="shared" si="93"/>
        <v/>
      </c>
      <c r="C343" s="168">
        <f>IF(ISERROR(Personalplanung!F31/Monatsplanung!$E31*Monatsplanung!$J31),0,Personalplanung!F31/Monatsplanung!$E31*Monatsplanung!$J31)</f>
        <v>0</v>
      </c>
      <c r="D343" s="168">
        <f t="shared" si="94"/>
        <v>0</v>
      </c>
      <c r="E343" s="168">
        <f>IF(ISERROR(Personalplanung!H31/Monatsplanung!$E31*Monatsplanung!$J31),0,Personalplanung!H31/Monatsplanung!$E31*Monatsplanung!$J31)</f>
        <v>0</v>
      </c>
      <c r="F343" s="168">
        <f t="shared" si="95"/>
        <v>0</v>
      </c>
      <c r="G343" s="168">
        <f t="shared" si="96"/>
        <v>27.700831024930746</v>
      </c>
      <c r="H343" s="168">
        <f t="shared" si="97"/>
        <v>0</v>
      </c>
      <c r="I343" s="168">
        <f t="shared" si="98"/>
        <v>30</v>
      </c>
      <c r="J343" s="739"/>
      <c r="K343" s="168">
        <f>IF(J343&lt;&gt;"",J343,IF(ISERROR(Personalplanung!AB31/Monatsplanung!$E31*Monatsplanung!$J31),0,Personalplanung!AB31/Monatsplanung!$E31*Monatsplanung!$J31))</f>
        <v>0</v>
      </c>
      <c r="L343" s="740"/>
      <c r="M343" s="739"/>
      <c r="N343" s="168">
        <f>IF(M343&lt;&gt;"",M343,IF(ISERROR(Personalplanung!AC31/Monatsplanung!$E31*Monatsplanung!$J31),0,Personalplanung!AC31/Monatsplanung!$E31*Monatsplanung!$J31))</f>
        <v>0</v>
      </c>
      <c r="O343" s="740"/>
      <c r="P343" s="739"/>
      <c r="Q343" s="168">
        <f>IF(P343&lt;&gt;"",P343,IF(ISERROR(Personalplanung!AD31/Monatsplanung!$E31*Monatsplanung!$J31),0,Personalplanung!AD31/Monatsplanung!$E31*Monatsplanung!$J31))</f>
        <v>0</v>
      </c>
      <c r="R343" s="740"/>
      <c r="S343" s="739"/>
      <c r="T343" s="168">
        <f>IF(S343&lt;&gt;"",S343,IF(ISERROR(Personalplanung!AE31/Monatsplanung!$E31*Monatsplanung!$J31),0,Personalplanung!AE31/Monatsplanung!$E31*Monatsplanung!$J31))</f>
        <v>0</v>
      </c>
      <c r="U343" s="740"/>
      <c r="V343" s="168">
        <f t="shared" si="99"/>
        <v>0</v>
      </c>
      <c r="W343" s="168">
        <f>IF(ISERROR(Personalplanung!P31/Monatsplanung!$E31*Monatsplanung!$J31),0,Personalplanung!P31/Monatsplanung!$E31*Monatsplanung!$J31)</f>
        <v>0</v>
      </c>
      <c r="X343" s="168">
        <f>IF(ISERROR(Personalplanung!Q31/Monatsplanung!$E31*Monatsplanung!$J31),0,Personalplanung!Q31/Monatsplanung!$E31*Monatsplanung!$J31)</f>
        <v>0</v>
      </c>
      <c r="Y343" s="168">
        <f>IF(ISERROR(Personalplanung!R31/T1279*Stundencontrolling!T343),0,Personalplanung!R31/T1279*Stundencontrolling!T343)</f>
        <v>0</v>
      </c>
      <c r="Z343" s="168">
        <f>IF(ISERROR(Personalplanung!S31/Monatsplanung!$E31*Monatsplanung!$J31),0,Personalplanung!S31/Monatsplanung!$E31*Monatsplanung!$J31)</f>
        <v>0</v>
      </c>
      <c r="AA343" s="80">
        <f t="shared" si="100"/>
        <v>0</v>
      </c>
      <c r="AB343" s="102">
        <f t="shared" si="101"/>
        <v>0.1</v>
      </c>
      <c r="AC343" s="103">
        <f t="shared" si="102"/>
        <v>0</v>
      </c>
      <c r="AD343" s="103">
        <f t="shared" si="103"/>
        <v>0</v>
      </c>
      <c r="AE343" s="81">
        <f t="shared" si="104"/>
        <v>0</v>
      </c>
      <c r="AF343" s="539"/>
      <c r="AG343" s="104">
        <f t="shared" si="105"/>
        <v>1</v>
      </c>
      <c r="AH343" s="7">
        <f t="shared" si="106"/>
        <v>0</v>
      </c>
      <c r="AI343" s="6">
        <f t="shared" si="107"/>
        <v>0</v>
      </c>
      <c r="AJ343" s="73">
        <f t="shared" si="108"/>
        <v>0</v>
      </c>
      <c r="AK343" s="539"/>
      <c r="AL343" s="748"/>
      <c r="AM343" s="748"/>
    </row>
    <row r="344" spans="2:39" x14ac:dyDescent="0.2">
      <c r="B344" s="101" t="str">
        <f t="shared" si="93"/>
        <v/>
      </c>
      <c r="C344" s="168">
        <f>IF(ISERROR(Personalplanung!F32/Monatsplanung!$E32*Monatsplanung!$J32),0,Personalplanung!F32/Monatsplanung!$E32*Monatsplanung!$J32)</f>
        <v>0</v>
      </c>
      <c r="D344" s="168">
        <f t="shared" si="94"/>
        <v>0</v>
      </c>
      <c r="E344" s="168">
        <f>IF(ISERROR(Personalplanung!H32/Monatsplanung!$E32*Monatsplanung!$J32),0,Personalplanung!H32/Monatsplanung!$E32*Monatsplanung!$J32)</f>
        <v>0</v>
      </c>
      <c r="F344" s="168">
        <f t="shared" si="95"/>
        <v>0</v>
      </c>
      <c r="G344" s="168">
        <f t="shared" si="96"/>
        <v>27.700831024930746</v>
      </c>
      <c r="H344" s="168">
        <f t="shared" si="97"/>
        <v>0</v>
      </c>
      <c r="I344" s="168">
        <f t="shared" si="98"/>
        <v>30</v>
      </c>
      <c r="J344" s="739"/>
      <c r="K344" s="168">
        <f>IF(J344&lt;&gt;"",J344,IF(ISERROR(Personalplanung!AB32/Monatsplanung!$E32*Monatsplanung!$J32),0,Personalplanung!AB32/Monatsplanung!$E32*Monatsplanung!$J32))</f>
        <v>0</v>
      </c>
      <c r="L344" s="740"/>
      <c r="M344" s="739"/>
      <c r="N344" s="168">
        <f>IF(M344&lt;&gt;"",M344,IF(ISERROR(Personalplanung!AC32/Monatsplanung!$E32*Monatsplanung!$J32),0,Personalplanung!AC32/Monatsplanung!$E32*Monatsplanung!$J32))</f>
        <v>0</v>
      </c>
      <c r="O344" s="740"/>
      <c r="P344" s="739"/>
      <c r="Q344" s="168">
        <f>IF(P344&lt;&gt;"",P344,IF(ISERROR(Personalplanung!AD32/Monatsplanung!$E32*Monatsplanung!$J32),0,Personalplanung!AD32/Monatsplanung!$E32*Monatsplanung!$J32))</f>
        <v>0</v>
      </c>
      <c r="R344" s="740"/>
      <c r="S344" s="739"/>
      <c r="T344" s="168">
        <f>IF(S344&lt;&gt;"",S344,IF(ISERROR(Personalplanung!AE32/Monatsplanung!$E32*Monatsplanung!$J32),0,Personalplanung!AE32/Monatsplanung!$E32*Monatsplanung!$J32))</f>
        <v>0</v>
      </c>
      <c r="U344" s="740"/>
      <c r="V344" s="168">
        <f t="shared" si="99"/>
        <v>0</v>
      </c>
      <c r="W344" s="168">
        <f>IF(ISERROR(Personalplanung!P32/Monatsplanung!$E32*Monatsplanung!$J32),0,Personalplanung!P32/Monatsplanung!$E32*Monatsplanung!$J32)</f>
        <v>0</v>
      </c>
      <c r="X344" s="168">
        <f>IF(ISERROR(Personalplanung!Q32/Monatsplanung!$E32*Monatsplanung!$J32),0,Personalplanung!Q32/Monatsplanung!$E32*Monatsplanung!$J32)</f>
        <v>0</v>
      </c>
      <c r="Y344" s="168">
        <f>IF(ISERROR(Personalplanung!R32/T1280*Stundencontrolling!T344),0,Personalplanung!R32/T1280*Stundencontrolling!T344)</f>
        <v>0</v>
      </c>
      <c r="Z344" s="168">
        <f>IF(ISERROR(Personalplanung!S32/Monatsplanung!$E32*Monatsplanung!$J32),0,Personalplanung!S32/Monatsplanung!$E32*Monatsplanung!$J32)</f>
        <v>0</v>
      </c>
      <c r="AA344" s="80">
        <f t="shared" si="100"/>
        <v>0</v>
      </c>
      <c r="AB344" s="102">
        <f t="shared" si="101"/>
        <v>0.1</v>
      </c>
      <c r="AC344" s="103">
        <f t="shared" si="102"/>
        <v>0</v>
      </c>
      <c r="AD344" s="103">
        <f t="shared" si="103"/>
        <v>0</v>
      </c>
      <c r="AE344" s="81">
        <f t="shared" si="104"/>
        <v>0</v>
      </c>
      <c r="AF344" s="539"/>
      <c r="AG344" s="104">
        <f t="shared" si="105"/>
        <v>1</v>
      </c>
      <c r="AH344" s="7">
        <f t="shared" si="106"/>
        <v>0</v>
      </c>
      <c r="AI344" s="6">
        <f t="shared" si="107"/>
        <v>0</v>
      </c>
      <c r="AJ344" s="73">
        <f t="shared" si="108"/>
        <v>0</v>
      </c>
      <c r="AK344" s="539"/>
      <c r="AL344" s="748"/>
      <c r="AM344" s="748"/>
    </row>
    <row r="345" spans="2:39" x14ac:dyDescent="0.2">
      <c r="B345" s="101" t="str">
        <f t="shared" si="93"/>
        <v/>
      </c>
      <c r="C345" s="168">
        <f>IF(ISERROR(Personalplanung!F33/Monatsplanung!$E33*Monatsplanung!$J33),0,Personalplanung!F33/Monatsplanung!$E33*Monatsplanung!$J33)</f>
        <v>0</v>
      </c>
      <c r="D345" s="168">
        <f t="shared" si="94"/>
        <v>0</v>
      </c>
      <c r="E345" s="168">
        <f>IF(ISERROR(Personalplanung!H33/Monatsplanung!$E33*Monatsplanung!$J33),0,Personalplanung!H33/Monatsplanung!$E33*Monatsplanung!$J33)</f>
        <v>0</v>
      </c>
      <c r="F345" s="168">
        <f t="shared" si="95"/>
        <v>0</v>
      </c>
      <c r="G345" s="168">
        <f t="shared" si="96"/>
        <v>27.700831024930746</v>
      </c>
      <c r="H345" s="168">
        <f t="shared" si="97"/>
        <v>0</v>
      </c>
      <c r="I345" s="168">
        <f t="shared" si="98"/>
        <v>30</v>
      </c>
      <c r="J345" s="739"/>
      <c r="K345" s="168">
        <f>IF(J345&lt;&gt;"",J345,IF(ISERROR(Personalplanung!AB33/Monatsplanung!$E33*Monatsplanung!$J33),0,Personalplanung!AB33/Monatsplanung!$E33*Monatsplanung!$J33))</f>
        <v>0</v>
      </c>
      <c r="L345" s="740"/>
      <c r="M345" s="739"/>
      <c r="N345" s="168">
        <f>IF(M345&lt;&gt;"",M345,IF(ISERROR(Personalplanung!AC33/Monatsplanung!$E33*Monatsplanung!$J33),0,Personalplanung!AC33/Monatsplanung!$E33*Monatsplanung!$J33))</f>
        <v>0</v>
      </c>
      <c r="O345" s="740"/>
      <c r="P345" s="739"/>
      <c r="Q345" s="168">
        <f>IF(P345&lt;&gt;"",P345,IF(ISERROR(Personalplanung!AD33/Monatsplanung!$E33*Monatsplanung!$J33),0,Personalplanung!AD33/Monatsplanung!$E33*Monatsplanung!$J33))</f>
        <v>0</v>
      </c>
      <c r="R345" s="740"/>
      <c r="S345" s="739"/>
      <c r="T345" s="168">
        <f>IF(S345&lt;&gt;"",S345,IF(ISERROR(Personalplanung!AE33/Monatsplanung!$E33*Monatsplanung!$J33),0,Personalplanung!AE33/Monatsplanung!$E33*Monatsplanung!$J33))</f>
        <v>0</v>
      </c>
      <c r="U345" s="740"/>
      <c r="V345" s="168">
        <f t="shared" si="99"/>
        <v>0</v>
      </c>
      <c r="W345" s="168">
        <f>IF(ISERROR(Personalplanung!P33/Monatsplanung!$E33*Monatsplanung!$J33),0,Personalplanung!P33/Monatsplanung!$E33*Monatsplanung!$J33)</f>
        <v>0</v>
      </c>
      <c r="X345" s="168">
        <f>IF(ISERROR(Personalplanung!Q33/Monatsplanung!$E33*Monatsplanung!$J33),0,Personalplanung!Q33/Monatsplanung!$E33*Monatsplanung!$J33)</f>
        <v>0</v>
      </c>
      <c r="Y345" s="168">
        <f>IF(ISERROR(Personalplanung!R33/T1281*Stundencontrolling!T345),0,Personalplanung!R33/T1281*Stundencontrolling!T345)</f>
        <v>0</v>
      </c>
      <c r="Z345" s="168">
        <f>IF(ISERROR(Personalplanung!S33/Monatsplanung!$E33*Monatsplanung!$J33),0,Personalplanung!S33/Monatsplanung!$E33*Monatsplanung!$J33)</f>
        <v>0</v>
      </c>
      <c r="AA345" s="80">
        <f t="shared" si="100"/>
        <v>0</v>
      </c>
      <c r="AB345" s="102">
        <f t="shared" si="101"/>
        <v>0.1</v>
      </c>
      <c r="AC345" s="103">
        <f t="shared" si="102"/>
        <v>0</v>
      </c>
      <c r="AD345" s="103">
        <f t="shared" si="103"/>
        <v>0</v>
      </c>
      <c r="AE345" s="81">
        <f t="shared" si="104"/>
        <v>0</v>
      </c>
      <c r="AF345" s="539"/>
      <c r="AG345" s="104">
        <f t="shared" si="105"/>
        <v>1</v>
      </c>
      <c r="AH345" s="7">
        <f t="shared" si="106"/>
        <v>0</v>
      </c>
      <c r="AI345" s="6">
        <f t="shared" si="107"/>
        <v>0</v>
      </c>
      <c r="AJ345" s="73">
        <f t="shared" si="108"/>
        <v>0</v>
      </c>
      <c r="AK345" s="539"/>
      <c r="AL345" s="748"/>
      <c r="AM345" s="748"/>
    </row>
    <row r="346" spans="2:39" x14ac:dyDescent="0.2">
      <c r="B346" s="101" t="str">
        <f t="shared" si="93"/>
        <v/>
      </c>
      <c r="C346" s="168">
        <f>IF(ISERROR(Personalplanung!F34/Monatsplanung!$E34*Monatsplanung!$J34),0,Personalplanung!F34/Monatsplanung!$E34*Monatsplanung!$J34)</f>
        <v>0</v>
      </c>
      <c r="D346" s="168">
        <f t="shared" si="94"/>
        <v>0</v>
      </c>
      <c r="E346" s="168">
        <f>IF(ISERROR(Personalplanung!H34/Monatsplanung!$E34*Monatsplanung!$J34),0,Personalplanung!H34/Monatsplanung!$E34*Monatsplanung!$J34)</f>
        <v>0</v>
      </c>
      <c r="F346" s="168">
        <f t="shared" si="95"/>
        <v>0</v>
      </c>
      <c r="G346" s="168">
        <f t="shared" si="96"/>
        <v>27.700831024930746</v>
      </c>
      <c r="H346" s="168">
        <f t="shared" si="97"/>
        <v>0</v>
      </c>
      <c r="I346" s="168">
        <f t="shared" si="98"/>
        <v>30</v>
      </c>
      <c r="J346" s="739"/>
      <c r="K346" s="168">
        <f>IF(J346&lt;&gt;"",J346,IF(ISERROR(Personalplanung!AB34/Monatsplanung!$E34*Monatsplanung!$J34),0,Personalplanung!AB34/Monatsplanung!$E34*Monatsplanung!$J34))</f>
        <v>0</v>
      </c>
      <c r="L346" s="740"/>
      <c r="M346" s="739"/>
      <c r="N346" s="168">
        <f>IF(M346&lt;&gt;"",M346,IF(ISERROR(Personalplanung!AC34/Monatsplanung!$E34*Monatsplanung!$J34),0,Personalplanung!AC34/Monatsplanung!$E34*Monatsplanung!$J34))</f>
        <v>0</v>
      </c>
      <c r="O346" s="740"/>
      <c r="P346" s="739"/>
      <c r="Q346" s="168">
        <f>IF(P346&lt;&gt;"",P346,IF(ISERROR(Personalplanung!AD34/Monatsplanung!$E34*Monatsplanung!$J34),0,Personalplanung!AD34/Monatsplanung!$E34*Monatsplanung!$J34))</f>
        <v>0</v>
      </c>
      <c r="R346" s="740"/>
      <c r="S346" s="739"/>
      <c r="T346" s="168">
        <f>IF(S346&lt;&gt;"",S346,IF(ISERROR(Personalplanung!AE34/Monatsplanung!$E34*Monatsplanung!$J34),0,Personalplanung!AE34/Monatsplanung!$E34*Monatsplanung!$J34))</f>
        <v>0</v>
      </c>
      <c r="U346" s="740"/>
      <c r="V346" s="168">
        <f t="shared" si="99"/>
        <v>0</v>
      </c>
      <c r="W346" s="168">
        <f>IF(ISERROR(Personalplanung!P34/Monatsplanung!$E34*Monatsplanung!$J34),0,Personalplanung!P34/Monatsplanung!$E34*Monatsplanung!$J34)</f>
        <v>0</v>
      </c>
      <c r="X346" s="168">
        <f>IF(ISERROR(Personalplanung!Q34/Monatsplanung!$E34*Monatsplanung!$J34),0,Personalplanung!Q34/Monatsplanung!$E34*Monatsplanung!$J34)</f>
        <v>0</v>
      </c>
      <c r="Y346" s="168">
        <f>IF(ISERROR(Personalplanung!R34/T1282*Stundencontrolling!T346),0,Personalplanung!R34/T1282*Stundencontrolling!T346)</f>
        <v>0</v>
      </c>
      <c r="Z346" s="168">
        <f>IF(ISERROR(Personalplanung!S34/Monatsplanung!$E34*Monatsplanung!$J34),0,Personalplanung!S34/Monatsplanung!$E34*Monatsplanung!$J34)</f>
        <v>0</v>
      </c>
      <c r="AA346" s="80">
        <f t="shared" si="100"/>
        <v>0</v>
      </c>
      <c r="AB346" s="102">
        <f t="shared" si="101"/>
        <v>0.1</v>
      </c>
      <c r="AC346" s="103">
        <f t="shared" si="102"/>
        <v>0</v>
      </c>
      <c r="AD346" s="103">
        <f t="shared" si="103"/>
        <v>0</v>
      </c>
      <c r="AE346" s="81">
        <f t="shared" si="104"/>
        <v>0</v>
      </c>
      <c r="AF346" s="539"/>
      <c r="AG346" s="104">
        <f t="shared" si="105"/>
        <v>1</v>
      </c>
      <c r="AH346" s="7">
        <f t="shared" si="106"/>
        <v>0</v>
      </c>
      <c r="AI346" s="6">
        <f t="shared" si="107"/>
        <v>0</v>
      </c>
      <c r="AJ346" s="73">
        <f t="shared" si="108"/>
        <v>0</v>
      </c>
      <c r="AK346" s="539"/>
      <c r="AL346" s="748"/>
      <c r="AM346" s="748"/>
    </row>
    <row r="347" spans="2:39" x14ac:dyDescent="0.2">
      <c r="B347" s="101" t="str">
        <f t="shared" si="93"/>
        <v/>
      </c>
      <c r="C347" s="168">
        <f>IF(ISERROR(Personalplanung!F35/Monatsplanung!$E35*Monatsplanung!$J35),0,Personalplanung!F35/Monatsplanung!$E35*Monatsplanung!$J35)</f>
        <v>0</v>
      </c>
      <c r="D347" s="168">
        <f t="shared" si="94"/>
        <v>0</v>
      </c>
      <c r="E347" s="168">
        <f>IF(ISERROR(Personalplanung!H35/Monatsplanung!$E35*Monatsplanung!$J35),0,Personalplanung!H35/Monatsplanung!$E35*Monatsplanung!$J35)</f>
        <v>0</v>
      </c>
      <c r="F347" s="168">
        <f t="shared" si="95"/>
        <v>0</v>
      </c>
      <c r="G347" s="168">
        <f t="shared" si="96"/>
        <v>27.700831024930746</v>
      </c>
      <c r="H347" s="168">
        <f t="shared" si="97"/>
        <v>0</v>
      </c>
      <c r="I347" s="168">
        <f t="shared" si="98"/>
        <v>30</v>
      </c>
      <c r="J347" s="739"/>
      <c r="K347" s="168">
        <f>IF(J347&lt;&gt;"",J347,IF(ISERROR(Personalplanung!AB35/Monatsplanung!$E35*Monatsplanung!$J35),0,Personalplanung!AB35/Monatsplanung!$E35*Monatsplanung!$J35))</f>
        <v>0</v>
      </c>
      <c r="L347" s="740"/>
      <c r="M347" s="739"/>
      <c r="N347" s="168">
        <f>IF(M347&lt;&gt;"",M347,IF(ISERROR(Personalplanung!AC35/Monatsplanung!$E35*Monatsplanung!$J35),0,Personalplanung!AC35/Monatsplanung!$E35*Monatsplanung!$J35))</f>
        <v>0</v>
      </c>
      <c r="O347" s="740"/>
      <c r="P347" s="739"/>
      <c r="Q347" s="168">
        <f>IF(P347&lt;&gt;"",P347,IF(ISERROR(Personalplanung!AD35/Monatsplanung!$E35*Monatsplanung!$J35),0,Personalplanung!AD35/Monatsplanung!$E35*Monatsplanung!$J35))</f>
        <v>0</v>
      </c>
      <c r="R347" s="740"/>
      <c r="S347" s="739"/>
      <c r="T347" s="168">
        <f>IF(S347&lt;&gt;"",S347,IF(ISERROR(Personalplanung!AE35/Monatsplanung!$E35*Monatsplanung!$J35),0,Personalplanung!AE35/Monatsplanung!$E35*Monatsplanung!$J35))</f>
        <v>0</v>
      </c>
      <c r="U347" s="740"/>
      <c r="V347" s="168">
        <f t="shared" si="99"/>
        <v>0</v>
      </c>
      <c r="W347" s="168">
        <f>IF(ISERROR(Personalplanung!P35/Monatsplanung!$E35*Monatsplanung!$J35),0,Personalplanung!P35/Monatsplanung!$E35*Monatsplanung!$J35)</f>
        <v>0</v>
      </c>
      <c r="X347" s="168">
        <f>IF(ISERROR(Personalplanung!Q35/Monatsplanung!$E35*Monatsplanung!$J35),0,Personalplanung!Q35/Monatsplanung!$E35*Monatsplanung!$J35)</f>
        <v>0</v>
      </c>
      <c r="Y347" s="168">
        <f>IF(ISERROR(Personalplanung!R35/T1283*Stundencontrolling!T347),0,Personalplanung!R35/T1283*Stundencontrolling!T347)</f>
        <v>0</v>
      </c>
      <c r="Z347" s="168">
        <f>IF(ISERROR(Personalplanung!S35/Monatsplanung!$E35*Monatsplanung!$J35),0,Personalplanung!S35/Monatsplanung!$E35*Monatsplanung!$J35)</f>
        <v>0</v>
      </c>
      <c r="AA347" s="80">
        <f t="shared" si="100"/>
        <v>0</v>
      </c>
      <c r="AB347" s="102">
        <f t="shared" si="101"/>
        <v>0.1</v>
      </c>
      <c r="AC347" s="103">
        <f t="shared" si="102"/>
        <v>0</v>
      </c>
      <c r="AD347" s="103">
        <f t="shared" si="103"/>
        <v>0</v>
      </c>
      <c r="AE347" s="81">
        <f t="shared" si="104"/>
        <v>0</v>
      </c>
      <c r="AF347" s="539"/>
      <c r="AG347" s="104">
        <f t="shared" si="105"/>
        <v>1</v>
      </c>
      <c r="AH347" s="7">
        <f t="shared" si="106"/>
        <v>0</v>
      </c>
      <c r="AI347" s="6">
        <f t="shared" si="107"/>
        <v>0</v>
      </c>
      <c r="AJ347" s="73">
        <f t="shared" si="108"/>
        <v>0</v>
      </c>
      <c r="AK347" s="539"/>
      <c r="AL347" s="748"/>
      <c r="AM347" s="748"/>
    </row>
    <row r="348" spans="2:39" x14ac:dyDescent="0.2">
      <c r="B348" s="101" t="str">
        <f t="shared" si="93"/>
        <v/>
      </c>
      <c r="C348" s="168">
        <f>IF(ISERROR(Personalplanung!F36/Monatsplanung!$E36*Monatsplanung!$J36),0,Personalplanung!F36/Monatsplanung!$E36*Monatsplanung!$J36)</f>
        <v>0</v>
      </c>
      <c r="D348" s="168">
        <f t="shared" si="94"/>
        <v>0</v>
      </c>
      <c r="E348" s="168">
        <f>IF(ISERROR(Personalplanung!H36/Monatsplanung!$E36*Monatsplanung!$J36),0,Personalplanung!H36/Monatsplanung!$E36*Monatsplanung!$J36)</f>
        <v>0</v>
      </c>
      <c r="F348" s="168">
        <f t="shared" si="95"/>
        <v>0</v>
      </c>
      <c r="G348" s="168">
        <f t="shared" si="96"/>
        <v>27.700831024930746</v>
      </c>
      <c r="H348" s="168">
        <f t="shared" si="97"/>
        <v>0</v>
      </c>
      <c r="I348" s="168">
        <f t="shared" si="98"/>
        <v>30</v>
      </c>
      <c r="J348" s="739"/>
      <c r="K348" s="168">
        <f>IF(J348&lt;&gt;"",J348,IF(ISERROR(Personalplanung!AB36/Monatsplanung!$E36*Monatsplanung!$J36),0,Personalplanung!AB36/Monatsplanung!$E36*Monatsplanung!$J36))</f>
        <v>0</v>
      </c>
      <c r="L348" s="740"/>
      <c r="M348" s="739"/>
      <c r="N348" s="168">
        <f>IF(M348&lt;&gt;"",M348,IF(ISERROR(Personalplanung!AC36/Monatsplanung!$E36*Monatsplanung!$J36),0,Personalplanung!AC36/Monatsplanung!$E36*Monatsplanung!$J36))</f>
        <v>0</v>
      </c>
      <c r="O348" s="740"/>
      <c r="P348" s="739"/>
      <c r="Q348" s="168">
        <f>IF(P348&lt;&gt;"",P348,IF(ISERROR(Personalplanung!AD36/Monatsplanung!$E36*Monatsplanung!$J36),0,Personalplanung!AD36/Monatsplanung!$E36*Monatsplanung!$J36))</f>
        <v>0</v>
      </c>
      <c r="R348" s="740"/>
      <c r="S348" s="739"/>
      <c r="T348" s="168">
        <f>IF(S348&lt;&gt;"",S348,IF(ISERROR(Personalplanung!AE36/Monatsplanung!$E36*Monatsplanung!$J36),0,Personalplanung!AE36/Monatsplanung!$E36*Monatsplanung!$J36))</f>
        <v>0</v>
      </c>
      <c r="U348" s="740"/>
      <c r="V348" s="168">
        <f t="shared" si="99"/>
        <v>0</v>
      </c>
      <c r="W348" s="168">
        <f>IF(ISERROR(Personalplanung!P36/Monatsplanung!$E36*Monatsplanung!$J36),0,Personalplanung!P36/Monatsplanung!$E36*Monatsplanung!$J36)</f>
        <v>0</v>
      </c>
      <c r="X348" s="168">
        <f>IF(ISERROR(Personalplanung!Q36/Monatsplanung!$E36*Monatsplanung!$J36),0,Personalplanung!Q36/Monatsplanung!$E36*Monatsplanung!$J36)</f>
        <v>0</v>
      </c>
      <c r="Y348" s="168">
        <f>IF(ISERROR(Personalplanung!R36/T1284*Stundencontrolling!T348),0,Personalplanung!R36/T1284*Stundencontrolling!T348)</f>
        <v>0</v>
      </c>
      <c r="Z348" s="168">
        <f>IF(ISERROR(Personalplanung!S36/Monatsplanung!$E36*Monatsplanung!$J36),0,Personalplanung!S36/Monatsplanung!$E36*Monatsplanung!$J36)</f>
        <v>0</v>
      </c>
      <c r="AA348" s="80">
        <f t="shared" si="100"/>
        <v>0</v>
      </c>
      <c r="AB348" s="102">
        <f t="shared" si="101"/>
        <v>0.1</v>
      </c>
      <c r="AC348" s="103">
        <f t="shared" si="102"/>
        <v>0</v>
      </c>
      <c r="AD348" s="103">
        <f t="shared" si="103"/>
        <v>0</v>
      </c>
      <c r="AE348" s="81">
        <f t="shared" si="104"/>
        <v>0</v>
      </c>
      <c r="AF348" s="539"/>
      <c r="AG348" s="104">
        <f t="shared" si="105"/>
        <v>1</v>
      </c>
      <c r="AH348" s="7">
        <f t="shared" si="106"/>
        <v>0</v>
      </c>
      <c r="AI348" s="6">
        <f t="shared" si="107"/>
        <v>0</v>
      </c>
      <c r="AJ348" s="73">
        <f t="shared" si="108"/>
        <v>0</v>
      </c>
      <c r="AK348" s="539"/>
      <c r="AL348" s="748"/>
      <c r="AM348" s="748"/>
    </row>
    <row r="349" spans="2:39" x14ac:dyDescent="0.2">
      <c r="B349" s="101" t="str">
        <f t="shared" si="93"/>
        <v/>
      </c>
      <c r="C349" s="168">
        <f>IF(ISERROR(Personalplanung!F37/Monatsplanung!$E37*Monatsplanung!$J37),0,Personalplanung!F37/Monatsplanung!$E37*Monatsplanung!$J37)</f>
        <v>0</v>
      </c>
      <c r="D349" s="168">
        <f t="shared" si="94"/>
        <v>0</v>
      </c>
      <c r="E349" s="168">
        <f>IF(ISERROR(Personalplanung!H37/Monatsplanung!$E37*Monatsplanung!$J37),0,Personalplanung!H37/Monatsplanung!$E37*Monatsplanung!$J37)</f>
        <v>0</v>
      </c>
      <c r="F349" s="168">
        <f t="shared" si="95"/>
        <v>0</v>
      </c>
      <c r="G349" s="168">
        <f t="shared" si="96"/>
        <v>27.700831024930746</v>
      </c>
      <c r="H349" s="168">
        <f t="shared" si="97"/>
        <v>0</v>
      </c>
      <c r="I349" s="168">
        <f t="shared" si="98"/>
        <v>30</v>
      </c>
      <c r="J349" s="739"/>
      <c r="K349" s="168">
        <f>IF(J349&lt;&gt;"",J349,IF(ISERROR(Personalplanung!AB37/Monatsplanung!$E37*Monatsplanung!$J37),0,Personalplanung!AB37/Monatsplanung!$E37*Monatsplanung!$J37))</f>
        <v>0</v>
      </c>
      <c r="L349" s="740"/>
      <c r="M349" s="739"/>
      <c r="N349" s="168">
        <f>IF(M349&lt;&gt;"",M349,IF(ISERROR(Personalplanung!AC37/Monatsplanung!$E37*Monatsplanung!$J37),0,Personalplanung!AC37/Monatsplanung!$E37*Monatsplanung!$J37))</f>
        <v>0</v>
      </c>
      <c r="O349" s="740"/>
      <c r="P349" s="739"/>
      <c r="Q349" s="168">
        <f>IF(P349&lt;&gt;"",P349,IF(ISERROR(Personalplanung!AD37/Monatsplanung!$E37*Monatsplanung!$J37),0,Personalplanung!AD37/Monatsplanung!$E37*Monatsplanung!$J37))</f>
        <v>0</v>
      </c>
      <c r="R349" s="740"/>
      <c r="S349" s="739"/>
      <c r="T349" s="168">
        <f>IF(S349&lt;&gt;"",S349,IF(ISERROR(Personalplanung!AE37/Monatsplanung!$E37*Monatsplanung!$J37),0,Personalplanung!AE37/Monatsplanung!$E37*Monatsplanung!$J37))</f>
        <v>0</v>
      </c>
      <c r="U349" s="740"/>
      <c r="V349" s="168">
        <f t="shared" si="99"/>
        <v>0</v>
      </c>
      <c r="W349" s="168">
        <f>IF(ISERROR(Personalplanung!P37/Monatsplanung!$E37*Monatsplanung!$J37),0,Personalplanung!P37/Monatsplanung!$E37*Monatsplanung!$J37)</f>
        <v>0</v>
      </c>
      <c r="X349" s="168">
        <f>IF(ISERROR(Personalplanung!Q37/Monatsplanung!$E37*Monatsplanung!$J37),0,Personalplanung!Q37/Monatsplanung!$E37*Monatsplanung!$J37)</f>
        <v>0</v>
      </c>
      <c r="Y349" s="168">
        <f>IF(ISERROR(Personalplanung!R37/T1285*Stundencontrolling!T349),0,Personalplanung!R37/T1285*Stundencontrolling!T349)</f>
        <v>0</v>
      </c>
      <c r="Z349" s="168">
        <f>IF(ISERROR(Personalplanung!S37/Monatsplanung!$E37*Monatsplanung!$J37),0,Personalplanung!S37/Monatsplanung!$E37*Monatsplanung!$J37)</f>
        <v>0</v>
      </c>
      <c r="AA349" s="80">
        <f t="shared" si="100"/>
        <v>0</v>
      </c>
      <c r="AB349" s="102">
        <f t="shared" si="101"/>
        <v>0.1</v>
      </c>
      <c r="AC349" s="103">
        <f t="shared" si="102"/>
        <v>0</v>
      </c>
      <c r="AD349" s="103">
        <f t="shared" si="103"/>
        <v>0</v>
      </c>
      <c r="AE349" s="81">
        <f t="shared" si="104"/>
        <v>0</v>
      </c>
      <c r="AF349" s="539"/>
      <c r="AG349" s="104">
        <f t="shared" si="105"/>
        <v>1</v>
      </c>
      <c r="AH349" s="7">
        <f t="shared" si="106"/>
        <v>0</v>
      </c>
      <c r="AI349" s="6">
        <f t="shared" si="107"/>
        <v>0</v>
      </c>
      <c r="AJ349" s="73">
        <f t="shared" si="108"/>
        <v>0</v>
      </c>
      <c r="AK349" s="539"/>
      <c r="AL349" s="748"/>
      <c r="AM349" s="748"/>
    </row>
    <row r="350" spans="2:39" x14ac:dyDescent="0.2">
      <c r="B350" s="101" t="str">
        <f t="shared" si="93"/>
        <v/>
      </c>
      <c r="C350" s="168">
        <f>IF(ISERROR(Personalplanung!F38/Monatsplanung!$E38*Monatsplanung!$J38),0,Personalplanung!F38/Monatsplanung!$E38*Monatsplanung!$J38)</f>
        <v>0</v>
      </c>
      <c r="D350" s="168">
        <f t="shared" si="94"/>
        <v>0</v>
      </c>
      <c r="E350" s="168">
        <f>IF(ISERROR(Personalplanung!H38/Monatsplanung!$E38*Monatsplanung!$J38),0,Personalplanung!H38/Monatsplanung!$E38*Monatsplanung!$J38)</f>
        <v>0</v>
      </c>
      <c r="F350" s="168">
        <f t="shared" si="95"/>
        <v>0</v>
      </c>
      <c r="G350" s="168">
        <f t="shared" si="96"/>
        <v>27.700831024930746</v>
      </c>
      <c r="H350" s="168">
        <f t="shared" si="97"/>
        <v>0</v>
      </c>
      <c r="I350" s="168">
        <f t="shared" si="98"/>
        <v>30</v>
      </c>
      <c r="J350" s="739"/>
      <c r="K350" s="168">
        <f>IF(J350&lt;&gt;"",J350,IF(ISERROR(Personalplanung!AB38/Monatsplanung!$E38*Monatsplanung!$J38),0,Personalplanung!AB38/Monatsplanung!$E38*Monatsplanung!$J38))</f>
        <v>0</v>
      </c>
      <c r="L350" s="740"/>
      <c r="M350" s="739"/>
      <c r="N350" s="168">
        <f>IF(M350&lt;&gt;"",M350,IF(ISERROR(Personalplanung!AC38/Monatsplanung!$E38*Monatsplanung!$J38),0,Personalplanung!AC38/Monatsplanung!$E38*Monatsplanung!$J38))</f>
        <v>0</v>
      </c>
      <c r="O350" s="740"/>
      <c r="P350" s="739"/>
      <c r="Q350" s="168">
        <f>IF(P350&lt;&gt;"",P350,IF(ISERROR(Personalplanung!AD38/Monatsplanung!$E38*Monatsplanung!$J38),0,Personalplanung!AD38/Monatsplanung!$E38*Monatsplanung!$J38))</f>
        <v>0</v>
      </c>
      <c r="R350" s="740"/>
      <c r="S350" s="739"/>
      <c r="T350" s="168">
        <f>IF(S350&lt;&gt;"",S350,IF(ISERROR(Personalplanung!AE38/Monatsplanung!$E38*Monatsplanung!$J38),0,Personalplanung!AE38/Monatsplanung!$E38*Monatsplanung!$J38))</f>
        <v>0</v>
      </c>
      <c r="U350" s="740"/>
      <c r="V350" s="168">
        <f t="shared" si="99"/>
        <v>0</v>
      </c>
      <c r="W350" s="168">
        <f>IF(ISERROR(Personalplanung!P38/Monatsplanung!$E38*Monatsplanung!$J38),0,Personalplanung!P38/Monatsplanung!$E38*Monatsplanung!$J38)</f>
        <v>0</v>
      </c>
      <c r="X350" s="168">
        <f>IF(ISERROR(Personalplanung!Q38/Monatsplanung!$E38*Monatsplanung!$J38),0,Personalplanung!Q38/Monatsplanung!$E38*Monatsplanung!$J38)</f>
        <v>0</v>
      </c>
      <c r="Y350" s="168">
        <f>IF(ISERROR(Personalplanung!R38/T1286*Stundencontrolling!T350),0,Personalplanung!R38/T1286*Stundencontrolling!T350)</f>
        <v>0</v>
      </c>
      <c r="Z350" s="168">
        <f>IF(ISERROR(Personalplanung!S38/Monatsplanung!$E38*Monatsplanung!$J38),0,Personalplanung!S38/Monatsplanung!$E38*Monatsplanung!$J38)</f>
        <v>0</v>
      </c>
      <c r="AA350" s="80">
        <f t="shared" si="100"/>
        <v>0</v>
      </c>
      <c r="AB350" s="102">
        <f t="shared" si="101"/>
        <v>0.1</v>
      </c>
      <c r="AC350" s="103">
        <f t="shared" si="102"/>
        <v>0</v>
      </c>
      <c r="AD350" s="103">
        <f t="shared" si="103"/>
        <v>0</v>
      </c>
      <c r="AE350" s="81">
        <f t="shared" si="104"/>
        <v>0</v>
      </c>
      <c r="AF350" s="539"/>
      <c r="AG350" s="104">
        <f t="shared" si="105"/>
        <v>1</v>
      </c>
      <c r="AH350" s="7">
        <f t="shared" si="106"/>
        <v>0</v>
      </c>
      <c r="AI350" s="6">
        <f t="shared" si="107"/>
        <v>0</v>
      </c>
      <c r="AJ350" s="73">
        <f t="shared" si="108"/>
        <v>0</v>
      </c>
      <c r="AK350" s="539"/>
      <c r="AL350" s="748"/>
      <c r="AM350" s="748"/>
    </row>
    <row r="351" spans="2:39" x14ac:dyDescent="0.2">
      <c r="B351" s="101" t="str">
        <f t="shared" si="93"/>
        <v/>
      </c>
      <c r="C351" s="168">
        <f>IF(ISERROR(Personalplanung!F39/Monatsplanung!$E39*Monatsplanung!$J39),0,Personalplanung!F39/Monatsplanung!$E39*Monatsplanung!$J39)</f>
        <v>0</v>
      </c>
      <c r="D351" s="168">
        <f t="shared" si="94"/>
        <v>0</v>
      </c>
      <c r="E351" s="168">
        <f>IF(ISERROR(Personalplanung!H39/Monatsplanung!$E39*Monatsplanung!$J39),0,Personalplanung!H39/Monatsplanung!$E39*Monatsplanung!$J39)</f>
        <v>0</v>
      </c>
      <c r="F351" s="168">
        <f t="shared" si="95"/>
        <v>0</v>
      </c>
      <c r="G351" s="168">
        <f t="shared" si="96"/>
        <v>27.700831024930746</v>
      </c>
      <c r="H351" s="168">
        <f t="shared" si="97"/>
        <v>0</v>
      </c>
      <c r="I351" s="168">
        <f t="shared" si="98"/>
        <v>30</v>
      </c>
      <c r="J351" s="739"/>
      <c r="K351" s="168">
        <f>IF(J351&lt;&gt;"",J351,IF(ISERROR(Personalplanung!AB39/Monatsplanung!$E39*Monatsplanung!$J39),0,Personalplanung!AB39/Monatsplanung!$E39*Monatsplanung!$J39))</f>
        <v>0</v>
      </c>
      <c r="L351" s="740"/>
      <c r="M351" s="739"/>
      <c r="N351" s="168">
        <f>IF(M351&lt;&gt;"",M351,IF(ISERROR(Personalplanung!AC39/Monatsplanung!$E39*Monatsplanung!$J39),0,Personalplanung!AC39/Monatsplanung!$E39*Monatsplanung!$J39))</f>
        <v>0</v>
      </c>
      <c r="O351" s="740"/>
      <c r="P351" s="739"/>
      <c r="Q351" s="168">
        <f>IF(P351&lt;&gt;"",P351,IF(ISERROR(Personalplanung!AD39/Monatsplanung!$E39*Monatsplanung!$J39),0,Personalplanung!AD39/Monatsplanung!$E39*Monatsplanung!$J39))</f>
        <v>0</v>
      </c>
      <c r="R351" s="740"/>
      <c r="S351" s="739"/>
      <c r="T351" s="168">
        <f>IF(S351&lt;&gt;"",S351,IF(ISERROR(Personalplanung!AE39/Monatsplanung!$E39*Monatsplanung!$J39),0,Personalplanung!AE39/Monatsplanung!$E39*Monatsplanung!$J39))</f>
        <v>0</v>
      </c>
      <c r="U351" s="740"/>
      <c r="V351" s="168">
        <f t="shared" si="99"/>
        <v>0</v>
      </c>
      <c r="W351" s="168">
        <f>IF(ISERROR(Personalplanung!P39/Monatsplanung!$E39*Monatsplanung!$J39),0,Personalplanung!P39/Monatsplanung!$E39*Monatsplanung!$J39)</f>
        <v>0</v>
      </c>
      <c r="X351" s="168">
        <f>IF(ISERROR(Personalplanung!Q39/Monatsplanung!$E39*Monatsplanung!$J39),0,Personalplanung!Q39/Monatsplanung!$E39*Monatsplanung!$J39)</f>
        <v>0</v>
      </c>
      <c r="Y351" s="168">
        <f>IF(ISERROR(Personalplanung!R39/T1287*Stundencontrolling!T351),0,Personalplanung!R39/T1287*Stundencontrolling!T351)</f>
        <v>0</v>
      </c>
      <c r="Z351" s="168">
        <f>IF(ISERROR(Personalplanung!S39/Monatsplanung!$E39*Monatsplanung!$J39),0,Personalplanung!S39/Monatsplanung!$E39*Monatsplanung!$J39)</f>
        <v>0</v>
      </c>
      <c r="AA351" s="80">
        <f t="shared" si="100"/>
        <v>0</v>
      </c>
      <c r="AB351" s="102">
        <f t="shared" si="101"/>
        <v>0.1</v>
      </c>
      <c r="AC351" s="103">
        <f t="shared" si="102"/>
        <v>0</v>
      </c>
      <c r="AD351" s="103">
        <f t="shared" si="103"/>
        <v>0</v>
      </c>
      <c r="AE351" s="81">
        <f t="shared" si="104"/>
        <v>0</v>
      </c>
      <c r="AF351" s="539"/>
      <c r="AG351" s="104">
        <f t="shared" si="105"/>
        <v>1</v>
      </c>
      <c r="AH351" s="7">
        <f t="shared" si="106"/>
        <v>0</v>
      </c>
      <c r="AI351" s="6">
        <f t="shared" si="107"/>
        <v>0</v>
      </c>
      <c r="AJ351" s="73">
        <f t="shared" si="108"/>
        <v>0</v>
      </c>
      <c r="AK351" s="539"/>
      <c r="AL351" s="748"/>
      <c r="AM351" s="748"/>
    </row>
    <row r="352" spans="2:39" x14ac:dyDescent="0.2">
      <c r="B352" s="101" t="str">
        <f t="shared" si="93"/>
        <v/>
      </c>
      <c r="C352" s="168">
        <f>IF(ISERROR(Personalplanung!F40/Monatsplanung!$E40*Monatsplanung!$J40),0,Personalplanung!F40/Monatsplanung!$E40*Monatsplanung!$J40)</f>
        <v>0</v>
      </c>
      <c r="D352" s="168">
        <f t="shared" si="94"/>
        <v>0</v>
      </c>
      <c r="E352" s="168">
        <f>IF(ISERROR(Personalplanung!H40/Monatsplanung!$E40*Monatsplanung!$J40),0,Personalplanung!H40/Monatsplanung!$E40*Monatsplanung!$J40)</f>
        <v>0</v>
      </c>
      <c r="F352" s="168">
        <f t="shared" si="95"/>
        <v>0</v>
      </c>
      <c r="G352" s="168">
        <f t="shared" si="96"/>
        <v>27.700831024930746</v>
      </c>
      <c r="H352" s="168">
        <f t="shared" si="97"/>
        <v>0</v>
      </c>
      <c r="I352" s="168">
        <f t="shared" si="98"/>
        <v>30</v>
      </c>
      <c r="J352" s="739"/>
      <c r="K352" s="168">
        <f>IF(J352&lt;&gt;"",J352,IF(ISERROR(Personalplanung!AB40/Monatsplanung!$E40*Monatsplanung!$J40),0,Personalplanung!AB40/Monatsplanung!$E40*Monatsplanung!$J40))</f>
        <v>0</v>
      </c>
      <c r="L352" s="740"/>
      <c r="M352" s="739"/>
      <c r="N352" s="168">
        <f>IF(M352&lt;&gt;"",M352,IF(ISERROR(Personalplanung!AC40/Monatsplanung!$E40*Monatsplanung!$J40),0,Personalplanung!AC40/Monatsplanung!$E40*Monatsplanung!$J40))</f>
        <v>0</v>
      </c>
      <c r="O352" s="740"/>
      <c r="P352" s="739"/>
      <c r="Q352" s="168">
        <f>IF(P352&lt;&gt;"",P352,IF(ISERROR(Personalplanung!AD40/Monatsplanung!$E40*Monatsplanung!$J40),0,Personalplanung!AD40/Monatsplanung!$E40*Monatsplanung!$J40))</f>
        <v>0</v>
      </c>
      <c r="R352" s="740"/>
      <c r="S352" s="739"/>
      <c r="T352" s="168">
        <f>IF(S352&lt;&gt;"",S352,IF(ISERROR(Personalplanung!AE40/Monatsplanung!$E40*Monatsplanung!$J40),0,Personalplanung!AE40/Monatsplanung!$E40*Monatsplanung!$J40))</f>
        <v>0</v>
      </c>
      <c r="U352" s="740"/>
      <c r="V352" s="168">
        <f t="shared" si="99"/>
        <v>0</v>
      </c>
      <c r="W352" s="168">
        <f>IF(ISERROR(Personalplanung!P40/Monatsplanung!$E40*Monatsplanung!$J40),0,Personalplanung!P40/Monatsplanung!$E40*Monatsplanung!$J40)</f>
        <v>0</v>
      </c>
      <c r="X352" s="168">
        <f>IF(ISERROR(Personalplanung!Q40/Monatsplanung!$E40*Monatsplanung!$J40),0,Personalplanung!Q40/Monatsplanung!$E40*Monatsplanung!$J40)</f>
        <v>0</v>
      </c>
      <c r="Y352" s="168">
        <f>IF(ISERROR(Personalplanung!R40/T1288*Stundencontrolling!T352),0,Personalplanung!R40/T1288*Stundencontrolling!T352)</f>
        <v>0</v>
      </c>
      <c r="Z352" s="168">
        <f>IF(ISERROR(Personalplanung!S40/Monatsplanung!$E40*Monatsplanung!$J40),0,Personalplanung!S40/Monatsplanung!$E40*Monatsplanung!$J40)</f>
        <v>0</v>
      </c>
      <c r="AA352" s="80">
        <f t="shared" si="100"/>
        <v>0</v>
      </c>
      <c r="AB352" s="102">
        <f t="shared" si="101"/>
        <v>0.1</v>
      </c>
      <c r="AC352" s="103">
        <f t="shared" si="102"/>
        <v>0</v>
      </c>
      <c r="AD352" s="103">
        <f t="shared" si="103"/>
        <v>0</v>
      </c>
      <c r="AE352" s="81">
        <f t="shared" si="104"/>
        <v>0</v>
      </c>
      <c r="AF352" s="539"/>
      <c r="AG352" s="104">
        <f t="shared" si="105"/>
        <v>1</v>
      </c>
      <c r="AH352" s="7">
        <f t="shared" si="106"/>
        <v>0</v>
      </c>
      <c r="AI352" s="6">
        <f t="shared" si="107"/>
        <v>0</v>
      </c>
      <c r="AJ352" s="73">
        <f t="shared" si="108"/>
        <v>0</v>
      </c>
      <c r="AK352" s="539"/>
      <c r="AL352" s="748"/>
      <c r="AM352" s="748"/>
    </row>
    <row r="353" spans="2:39" x14ac:dyDescent="0.2">
      <c r="B353" s="101" t="str">
        <f t="shared" si="93"/>
        <v/>
      </c>
      <c r="C353" s="168">
        <f>IF(ISERROR(Personalplanung!F41/Monatsplanung!$E41*Monatsplanung!$J41),0,Personalplanung!F41/Monatsplanung!$E41*Monatsplanung!$J41)</f>
        <v>0</v>
      </c>
      <c r="D353" s="168">
        <f t="shared" si="94"/>
        <v>0</v>
      </c>
      <c r="E353" s="168">
        <f>IF(ISERROR(Personalplanung!H41/Monatsplanung!$E41*Monatsplanung!$J41),0,Personalplanung!H41/Monatsplanung!$E41*Monatsplanung!$J41)</f>
        <v>0</v>
      </c>
      <c r="F353" s="168">
        <f t="shared" si="95"/>
        <v>0</v>
      </c>
      <c r="G353" s="168">
        <f t="shared" si="96"/>
        <v>27.700831024930746</v>
      </c>
      <c r="H353" s="168">
        <f t="shared" si="97"/>
        <v>0</v>
      </c>
      <c r="I353" s="168">
        <f t="shared" si="98"/>
        <v>30</v>
      </c>
      <c r="J353" s="739"/>
      <c r="K353" s="168">
        <f>IF(J353&lt;&gt;"",J353,IF(ISERROR(Personalplanung!AB41/Monatsplanung!$E41*Monatsplanung!$J41),0,Personalplanung!AB41/Monatsplanung!$E41*Monatsplanung!$J41))</f>
        <v>0</v>
      </c>
      <c r="L353" s="740"/>
      <c r="M353" s="739"/>
      <c r="N353" s="168">
        <f>IF(M353&lt;&gt;"",M353,IF(ISERROR(Personalplanung!AC41/Monatsplanung!$E41*Monatsplanung!$J41),0,Personalplanung!AC41/Monatsplanung!$E41*Monatsplanung!$J41))</f>
        <v>0</v>
      </c>
      <c r="O353" s="740"/>
      <c r="P353" s="739"/>
      <c r="Q353" s="168">
        <f>IF(P353&lt;&gt;"",P353,IF(ISERROR(Personalplanung!AD41/Monatsplanung!$E41*Monatsplanung!$J41),0,Personalplanung!AD41/Monatsplanung!$E41*Monatsplanung!$J41))</f>
        <v>0</v>
      </c>
      <c r="R353" s="740"/>
      <c r="S353" s="739"/>
      <c r="T353" s="168">
        <f>IF(S353&lt;&gt;"",S353,IF(ISERROR(Personalplanung!AE41/Monatsplanung!$E41*Monatsplanung!$J41),0,Personalplanung!AE41/Monatsplanung!$E41*Monatsplanung!$J41))</f>
        <v>0</v>
      </c>
      <c r="U353" s="740"/>
      <c r="V353" s="168">
        <f t="shared" si="99"/>
        <v>0</v>
      </c>
      <c r="W353" s="168">
        <f>IF(ISERROR(Personalplanung!P41/Monatsplanung!$E41*Monatsplanung!$J41),0,Personalplanung!P41/Monatsplanung!$E41*Monatsplanung!$J41)</f>
        <v>0</v>
      </c>
      <c r="X353" s="168">
        <f>IF(ISERROR(Personalplanung!Q41/Monatsplanung!$E41*Monatsplanung!$J41),0,Personalplanung!Q41/Monatsplanung!$E41*Monatsplanung!$J41)</f>
        <v>0</v>
      </c>
      <c r="Y353" s="168">
        <f>IF(ISERROR(Personalplanung!R41/T1289*Stundencontrolling!T353),0,Personalplanung!R41/T1289*Stundencontrolling!T353)</f>
        <v>0</v>
      </c>
      <c r="Z353" s="168">
        <f>IF(ISERROR(Personalplanung!S41/Monatsplanung!$E41*Monatsplanung!$J41),0,Personalplanung!S41/Monatsplanung!$E41*Monatsplanung!$J41)</f>
        <v>0</v>
      </c>
      <c r="AA353" s="80">
        <f t="shared" si="100"/>
        <v>0</v>
      </c>
      <c r="AB353" s="102">
        <f t="shared" si="101"/>
        <v>0.1</v>
      </c>
      <c r="AC353" s="103">
        <f t="shared" si="102"/>
        <v>0</v>
      </c>
      <c r="AD353" s="103">
        <f t="shared" si="103"/>
        <v>0</v>
      </c>
      <c r="AE353" s="81">
        <f t="shared" si="104"/>
        <v>0</v>
      </c>
      <c r="AF353" s="539"/>
      <c r="AG353" s="104">
        <f t="shared" si="105"/>
        <v>1</v>
      </c>
      <c r="AH353" s="7">
        <f t="shared" si="106"/>
        <v>0</v>
      </c>
      <c r="AI353" s="6">
        <f t="shared" si="107"/>
        <v>0</v>
      </c>
      <c r="AJ353" s="73">
        <f t="shared" si="108"/>
        <v>0</v>
      </c>
      <c r="AK353" s="539"/>
      <c r="AL353" s="748"/>
      <c r="AM353" s="748"/>
    </row>
    <row r="354" spans="2:39" x14ac:dyDescent="0.2">
      <c r="B354" s="101" t="str">
        <f t="shared" si="93"/>
        <v/>
      </c>
      <c r="C354" s="168">
        <f>IF(ISERROR(Personalplanung!F42/Monatsplanung!$E42*Monatsplanung!$J42),0,Personalplanung!F42/Monatsplanung!$E42*Monatsplanung!$J42)</f>
        <v>0</v>
      </c>
      <c r="D354" s="168">
        <f t="shared" si="94"/>
        <v>0</v>
      </c>
      <c r="E354" s="168">
        <f>IF(ISERROR(Personalplanung!H42/Monatsplanung!$E42*Monatsplanung!$J42),0,Personalplanung!H42/Monatsplanung!$E42*Monatsplanung!$J42)</f>
        <v>0</v>
      </c>
      <c r="F354" s="168">
        <f t="shared" si="95"/>
        <v>0</v>
      </c>
      <c r="G354" s="168">
        <f t="shared" si="96"/>
        <v>27.700831024930746</v>
      </c>
      <c r="H354" s="168">
        <f t="shared" si="97"/>
        <v>0</v>
      </c>
      <c r="I354" s="168">
        <f t="shared" si="98"/>
        <v>30</v>
      </c>
      <c r="J354" s="739"/>
      <c r="K354" s="168">
        <f>IF(J354&lt;&gt;"",J354,IF(ISERROR(Personalplanung!AB42/Monatsplanung!$E42*Monatsplanung!$J42),0,Personalplanung!AB42/Monatsplanung!$E42*Monatsplanung!$J42))</f>
        <v>0</v>
      </c>
      <c r="L354" s="740"/>
      <c r="M354" s="739"/>
      <c r="N354" s="168">
        <f>IF(M354&lt;&gt;"",M354,IF(ISERROR(Personalplanung!AC42/Monatsplanung!$E42*Monatsplanung!$J42),0,Personalplanung!AC42/Monatsplanung!$E42*Monatsplanung!$J42))</f>
        <v>0</v>
      </c>
      <c r="O354" s="740"/>
      <c r="P354" s="739"/>
      <c r="Q354" s="168">
        <f>IF(P354&lt;&gt;"",P354,IF(ISERROR(Personalplanung!AD42/Monatsplanung!$E42*Monatsplanung!$J42),0,Personalplanung!AD42/Monatsplanung!$E42*Monatsplanung!$J42))</f>
        <v>0</v>
      </c>
      <c r="R354" s="740"/>
      <c r="S354" s="739"/>
      <c r="T354" s="168">
        <f>IF(S354&lt;&gt;"",S354,IF(ISERROR(Personalplanung!AE42/Monatsplanung!$E42*Monatsplanung!$J42),0,Personalplanung!AE42/Monatsplanung!$E42*Monatsplanung!$J42))</f>
        <v>0</v>
      </c>
      <c r="U354" s="740"/>
      <c r="V354" s="168">
        <f t="shared" si="99"/>
        <v>0</v>
      </c>
      <c r="W354" s="168">
        <f>IF(ISERROR(Personalplanung!P42/Monatsplanung!$E42*Monatsplanung!$J42),0,Personalplanung!P42/Monatsplanung!$E42*Monatsplanung!$J42)</f>
        <v>0</v>
      </c>
      <c r="X354" s="168">
        <f>IF(ISERROR(Personalplanung!Q42/Monatsplanung!$E42*Monatsplanung!$J42),0,Personalplanung!Q42/Monatsplanung!$E42*Monatsplanung!$J42)</f>
        <v>0</v>
      </c>
      <c r="Y354" s="168">
        <f>IF(ISERROR(Personalplanung!R42/T1290*Stundencontrolling!T354),0,Personalplanung!R42/T1290*Stundencontrolling!T354)</f>
        <v>0</v>
      </c>
      <c r="Z354" s="168">
        <f>IF(ISERROR(Personalplanung!S42/Monatsplanung!$E42*Monatsplanung!$J42),0,Personalplanung!S42/Monatsplanung!$E42*Monatsplanung!$J42)</f>
        <v>0</v>
      </c>
      <c r="AA354" s="80">
        <f t="shared" si="100"/>
        <v>0</v>
      </c>
      <c r="AB354" s="102">
        <f t="shared" si="101"/>
        <v>0.1</v>
      </c>
      <c r="AC354" s="103">
        <f t="shared" si="102"/>
        <v>0</v>
      </c>
      <c r="AD354" s="103">
        <f t="shared" si="103"/>
        <v>0</v>
      </c>
      <c r="AE354" s="81">
        <f t="shared" si="104"/>
        <v>0</v>
      </c>
      <c r="AF354" s="539"/>
      <c r="AG354" s="104">
        <f t="shared" si="105"/>
        <v>1</v>
      </c>
      <c r="AH354" s="7">
        <f t="shared" si="106"/>
        <v>0</v>
      </c>
      <c r="AI354" s="6">
        <f t="shared" si="107"/>
        <v>0</v>
      </c>
      <c r="AJ354" s="73">
        <f t="shared" si="108"/>
        <v>0</v>
      </c>
      <c r="AK354" s="539"/>
      <c r="AL354" s="748"/>
      <c r="AM354" s="748"/>
    </row>
    <row r="355" spans="2:39" x14ac:dyDescent="0.2">
      <c r="B355" s="101" t="str">
        <f t="shared" si="93"/>
        <v/>
      </c>
      <c r="C355" s="168">
        <f>IF(ISERROR(Personalplanung!F43/Monatsplanung!$E43*Monatsplanung!$J43),0,Personalplanung!F43/Monatsplanung!$E43*Monatsplanung!$J43)</f>
        <v>0</v>
      </c>
      <c r="D355" s="168">
        <f t="shared" si="94"/>
        <v>0</v>
      </c>
      <c r="E355" s="168">
        <f>IF(ISERROR(Personalplanung!H43/Monatsplanung!$E43*Monatsplanung!$J43),0,Personalplanung!H43/Monatsplanung!$E43*Monatsplanung!$J43)</f>
        <v>0</v>
      </c>
      <c r="F355" s="168">
        <f t="shared" si="95"/>
        <v>0</v>
      </c>
      <c r="G355" s="168">
        <f t="shared" si="96"/>
        <v>27.700831024930746</v>
      </c>
      <c r="H355" s="168">
        <f t="shared" si="97"/>
        <v>0</v>
      </c>
      <c r="I355" s="168">
        <f t="shared" si="98"/>
        <v>30</v>
      </c>
      <c r="J355" s="739"/>
      <c r="K355" s="168">
        <f>IF(J355&lt;&gt;"",J355,IF(ISERROR(Personalplanung!AB43/Monatsplanung!$E43*Monatsplanung!$J43),0,Personalplanung!AB43/Monatsplanung!$E43*Monatsplanung!$J43))</f>
        <v>0</v>
      </c>
      <c r="L355" s="740"/>
      <c r="M355" s="739"/>
      <c r="N355" s="168">
        <f>IF(M355&lt;&gt;"",M355,IF(ISERROR(Personalplanung!AC43/Monatsplanung!$E43*Monatsplanung!$J43),0,Personalplanung!AC43/Monatsplanung!$E43*Monatsplanung!$J43))</f>
        <v>0</v>
      </c>
      <c r="O355" s="740"/>
      <c r="P355" s="739"/>
      <c r="Q355" s="168">
        <f>IF(P355&lt;&gt;"",P355,IF(ISERROR(Personalplanung!AD43/Monatsplanung!$E43*Monatsplanung!$J43),0,Personalplanung!AD43/Monatsplanung!$E43*Monatsplanung!$J43))</f>
        <v>0</v>
      </c>
      <c r="R355" s="740"/>
      <c r="S355" s="739"/>
      <c r="T355" s="168">
        <f>IF(S355&lt;&gt;"",S355,IF(ISERROR(Personalplanung!AE43/Monatsplanung!$E43*Monatsplanung!$J43),0,Personalplanung!AE43/Monatsplanung!$E43*Monatsplanung!$J43))</f>
        <v>0</v>
      </c>
      <c r="U355" s="740"/>
      <c r="V355" s="168">
        <f t="shared" si="99"/>
        <v>0</v>
      </c>
      <c r="W355" s="168">
        <f>IF(ISERROR(Personalplanung!P43/Monatsplanung!$E43*Monatsplanung!$J43),0,Personalplanung!P43/Monatsplanung!$E43*Monatsplanung!$J43)</f>
        <v>0</v>
      </c>
      <c r="X355" s="168">
        <f>IF(ISERROR(Personalplanung!Q43/Monatsplanung!$E43*Monatsplanung!$J43),0,Personalplanung!Q43/Monatsplanung!$E43*Monatsplanung!$J43)</f>
        <v>0</v>
      </c>
      <c r="Y355" s="168">
        <f>IF(ISERROR(Personalplanung!R43/T1291*Stundencontrolling!T355),0,Personalplanung!R43/T1291*Stundencontrolling!T355)</f>
        <v>0</v>
      </c>
      <c r="Z355" s="168">
        <f>IF(ISERROR(Personalplanung!S43/Monatsplanung!$E43*Monatsplanung!$J43),0,Personalplanung!S43/Monatsplanung!$E43*Monatsplanung!$J43)</f>
        <v>0</v>
      </c>
      <c r="AA355" s="80">
        <f t="shared" si="100"/>
        <v>0</v>
      </c>
      <c r="AB355" s="102">
        <f t="shared" si="101"/>
        <v>0.1</v>
      </c>
      <c r="AC355" s="103">
        <f t="shared" si="102"/>
        <v>0</v>
      </c>
      <c r="AD355" s="103">
        <f t="shared" si="103"/>
        <v>0</v>
      </c>
      <c r="AE355" s="81">
        <f t="shared" si="104"/>
        <v>0</v>
      </c>
      <c r="AF355" s="539"/>
      <c r="AG355" s="104">
        <f t="shared" si="105"/>
        <v>1</v>
      </c>
      <c r="AH355" s="7">
        <f t="shared" si="106"/>
        <v>0</v>
      </c>
      <c r="AI355" s="6">
        <f t="shared" si="107"/>
        <v>0</v>
      </c>
      <c r="AJ355" s="73">
        <f t="shared" si="108"/>
        <v>0</v>
      </c>
      <c r="AK355" s="539"/>
      <c r="AL355" s="748"/>
      <c r="AM355" s="748"/>
    </row>
    <row r="356" spans="2:39" x14ac:dyDescent="0.2">
      <c r="B356" s="101" t="str">
        <f t="shared" si="93"/>
        <v/>
      </c>
      <c r="C356" s="168">
        <f>IF(ISERROR(Personalplanung!F44/Monatsplanung!$E44*Monatsplanung!$J44),0,Personalplanung!F44/Monatsplanung!$E44*Monatsplanung!$J44)</f>
        <v>0</v>
      </c>
      <c r="D356" s="168">
        <f t="shared" si="94"/>
        <v>0</v>
      </c>
      <c r="E356" s="168">
        <f>IF(ISERROR(Personalplanung!H44/Monatsplanung!$E44*Monatsplanung!$J44),0,Personalplanung!H44/Monatsplanung!$E44*Monatsplanung!$J44)</f>
        <v>0</v>
      </c>
      <c r="F356" s="168">
        <f t="shared" si="95"/>
        <v>0</v>
      </c>
      <c r="G356" s="168">
        <f t="shared" si="96"/>
        <v>27.700831024930746</v>
      </c>
      <c r="H356" s="168">
        <f t="shared" si="97"/>
        <v>0</v>
      </c>
      <c r="I356" s="168">
        <f t="shared" si="98"/>
        <v>30</v>
      </c>
      <c r="J356" s="739"/>
      <c r="K356" s="168">
        <f>IF(J356&lt;&gt;"",J356,IF(ISERROR(Personalplanung!AB44/Monatsplanung!$E44*Monatsplanung!$J44),0,Personalplanung!AB44/Monatsplanung!$E44*Monatsplanung!$J44))</f>
        <v>0</v>
      </c>
      <c r="L356" s="740"/>
      <c r="M356" s="739"/>
      <c r="N356" s="168">
        <f>IF(M356&lt;&gt;"",M356,IF(ISERROR(Personalplanung!AC44/Monatsplanung!$E44*Monatsplanung!$J44),0,Personalplanung!AC44/Monatsplanung!$E44*Monatsplanung!$J44))</f>
        <v>0</v>
      </c>
      <c r="O356" s="740"/>
      <c r="P356" s="739"/>
      <c r="Q356" s="168">
        <f>IF(P356&lt;&gt;"",P356,IF(ISERROR(Personalplanung!AD44/Monatsplanung!$E44*Monatsplanung!$J44),0,Personalplanung!AD44/Monatsplanung!$E44*Monatsplanung!$J44))</f>
        <v>0</v>
      </c>
      <c r="R356" s="740"/>
      <c r="S356" s="739"/>
      <c r="T356" s="168">
        <f>IF(S356&lt;&gt;"",S356,IF(ISERROR(Personalplanung!AE44/Monatsplanung!$E44*Monatsplanung!$J44),0,Personalplanung!AE44/Monatsplanung!$E44*Monatsplanung!$J44))</f>
        <v>0</v>
      </c>
      <c r="U356" s="740"/>
      <c r="V356" s="168">
        <f t="shared" si="99"/>
        <v>0</v>
      </c>
      <c r="W356" s="168">
        <f>IF(ISERROR(Personalplanung!P44/Monatsplanung!$E44*Monatsplanung!$J44),0,Personalplanung!P44/Monatsplanung!$E44*Monatsplanung!$J44)</f>
        <v>0</v>
      </c>
      <c r="X356" s="168">
        <f>IF(ISERROR(Personalplanung!Q44/Monatsplanung!$E44*Monatsplanung!$J44),0,Personalplanung!Q44/Monatsplanung!$E44*Monatsplanung!$J44)</f>
        <v>0</v>
      </c>
      <c r="Y356" s="168">
        <f>IF(ISERROR(Personalplanung!R44/T1292*Stundencontrolling!T356),0,Personalplanung!R44/T1292*Stundencontrolling!T356)</f>
        <v>0</v>
      </c>
      <c r="Z356" s="168">
        <f>IF(ISERROR(Personalplanung!S44/Monatsplanung!$E44*Monatsplanung!$J44),0,Personalplanung!S44/Monatsplanung!$E44*Monatsplanung!$J44)</f>
        <v>0</v>
      </c>
      <c r="AA356" s="80">
        <f t="shared" si="100"/>
        <v>0</v>
      </c>
      <c r="AB356" s="102">
        <f t="shared" si="101"/>
        <v>0.1</v>
      </c>
      <c r="AC356" s="103">
        <f t="shared" si="102"/>
        <v>0</v>
      </c>
      <c r="AD356" s="103">
        <f t="shared" si="103"/>
        <v>0</v>
      </c>
      <c r="AE356" s="81">
        <f t="shared" si="104"/>
        <v>0</v>
      </c>
      <c r="AF356" s="539"/>
      <c r="AG356" s="104">
        <f t="shared" si="105"/>
        <v>1</v>
      </c>
      <c r="AH356" s="7">
        <f t="shared" si="106"/>
        <v>0</v>
      </c>
      <c r="AI356" s="6">
        <f t="shared" si="107"/>
        <v>0</v>
      </c>
      <c r="AJ356" s="73">
        <f t="shared" si="108"/>
        <v>0</v>
      </c>
      <c r="AK356" s="539"/>
      <c r="AL356" s="748"/>
      <c r="AM356" s="748"/>
    </row>
    <row r="357" spans="2:39" x14ac:dyDescent="0.2">
      <c r="B357" s="101" t="str">
        <f t="shared" si="93"/>
        <v/>
      </c>
      <c r="C357" s="168">
        <f>IF(ISERROR(Personalplanung!F45/Monatsplanung!$E45*Monatsplanung!$J45),0,Personalplanung!F45/Monatsplanung!$E45*Monatsplanung!$J45)</f>
        <v>0</v>
      </c>
      <c r="D357" s="168">
        <f t="shared" si="94"/>
        <v>0</v>
      </c>
      <c r="E357" s="168">
        <f>IF(ISERROR(Personalplanung!H45/Monatsplanung!$E45*Monatsplanung!$J45),0,Personalplanung!H45/Monatsplanung!$E45*Monatsplanung!$J45)</f>
        <v>0</v>
      </c>
      <c r="F357" s="168">
        <f t="shared" si="95"/>
        <v>0</v>
      </c>
      <c r="G357" s="168">
        <f t="shared" si="96"/>
        <v>27.700831024930746</v>
      </c>
      <c r="H357" s="168">
        <f t="shared" si="97"/>
        <v>0</v>
      </c>
      <c r="I357" s="168">
        <f t="shared" si="98"/>
        <v>30</v>
      </c>
      <c r="J357" s="739"/>
      <c r="K357" s="168">
        <f>IF(J357&lt;&gt;"",J357,IF(ISERROR(Personalplanung!AB45/Monatsplanung!$E45*Monatsplanung!$J45),0,Personalplanung!AB45/Monatsplanung!$E45*Monatsplanung!$J45))</f>
        <v>0</v>
      </c>
      <c r="L357" s="740"/>
      <c r="M357" s="739"/>
      <c r="N357" s="168">
        <f>IF(M357&lt;&gt;"",M357,IF(ISERROR(Personalplanung!AC45/Monatsplanung!$E45*Monatsplanung!$J45),0,Personalplanung!AC45/Monatsplanung!$E45*Monatsplanung!$J45))</f>
        <v>0</v>
      </c>
      <c r="O357" s="740"/>
      <c r="P357" s="739"/>
      <c r="Q357" s="168">
        <f>IF(P357&lt;&gt;"",P357,IF(ISERROR(Personalplanung!AD45/Monatsplanung!$E45*Monatsplanung!$J45),0,Personalplanung!AD45/Monatsplanung!$E45*Monatsplanung!$J45))</f>
        <v>0</v>
      </c>
      <c r="R357" s="740"/>
      <c r="S357" s="739"/>
      <c r="T357" s="168">
        <f>IF(S357&lt;&gt;"",S357,IF(ISERROR(Personalplanung!AE45/Monatsplanung!$E45*Monatsplanung!$J45),0,Personalplanung!AE45/Monatsplanung!$E45*Monatsplanung!$J45))</f>
        <v>0</v>
      </c>
      <c r="U357" s="740"/>
      <c r="V357" s="168">
        <f t="shared" si="99"/>
        <v>0</v>
      </c>
      <c r="W357" s="168">
        <f>IF(ISERROR(Personalplanung!P45/Monatsplanung!$E45*Monatsplanung!$J45),0,Personalplanung!P45/Monatsplanung!$E45*Monatsplanung!$J45)</f>
        <v>0</v>
      </c>
      <c r="X357" s="168">
        <f>IF(ISERROR(Personalplanung!Q45/Monatsplanung!$E45*Monatsplanung!$J45),0,Personalplanung!Q45/Monatsplanung!$E45*Monatsplanung!$J45)</f>
        <v>0</v>
      </c>
      <c r="Y357" s="168">
        <f>IF(ISERROR(Personalplanung!R45/T1293*Stundencontrolling!T357),0,Personalplanung!R45/T1293*Stundencontrolling!T357)</f>
        <v>0</v>
      </c>
      <c r="Z357" s="168">
        <f>IF(ISERROR(Personalplanung!S45/Monatsplanung!$E45*Monatsplanung!$J45),0,Personalplanung!S45/Monatsplanung!$E45*Monatsplanung!$J45)</f>
        <v>0</v>
      </c>
      <c r="AA357" s="80">
        <f t="shared" si="100"/>
        <v>0</v>
      </c>
      <c r="AB357" s="102">
        <f t="shared" si="101"/>
        <v>0.1</v>
      </c>
      <c r="AC357" s="103">
        <f t="shared" si="102"/>
        <v>0</v>
      </c>
      <c r="AD357" s="103">
        <f t="shared" si="103"/>
        <v>0</v>
      </c>
      <c r="AE357" s="81">
        <f t="shared" si="104"/>
        <v>0</v>
      </c>
      <c r="AF357" s="539"/>
      <c r="AG357" s="104">
        <f t="shared" si="105"/>
        <v>1</v>
      </c>
      <c r="AH357" s="7">
        <f t="shared" si="106"/>
        <v>0</v>
      </c>
      <c r="AI357" s="6">
        <f t="shared" si="107"/>
        <v>0</v>
      </c>
      <c r="AJ357" s="73">
        <f t="shared" si="108"/>
        <v>0</v>
      </c>
      <c r="AK357" s="539"/>
      <c r="AL357" s="748"/>
      <c r="AM357" s="748"/>
    </row>
    <row r="358" spans="2:39" x14ac:dyDescent="0.2">
      <c r="B358" s="101" t="str">
        <f t="shared" si="93"/>
        <v/>
      </c>
      <c r="C358" s="168">
        <f>IF(ISERROR(Personalplanung!F46/Monatsplanung!$E46*Monatsplanung!$J46),0,Personalplanung!F46/Monatsplanung!$E46*Monatsplanung!$J46)</f>
        <v>0</v>
      </c>
      <c r="D358" s="168">
        <f t="shared" si="94"/>
        <v>0</v>
      </c>
      <c r="E358" s="168">
        <f>IF(ISERROR(Personalplanung!H46/Monatsplanung!$E46*Monatsplanung!$J46),0,Personalplanung!H46/Monatsplanung!$E46*Monatsplanung!$J46)</f>
        <v>0</v>
      </c>
      <c r="F358" s="168">
        <f t="shared" si="95"/>
        <v>0</v>
      </c>
      <c r="G358" s="168">
        <f t="shared" si="96"/>
        <v>27.700831024930746</v>
      </c>
      <c r="H358" s="168">
        <f t="shared" si="97"/>
        <v>0</v>
      </c>
      <c r="I358" s="168">
        <f t="shared" si="98"/>
        <v>30</v>
      </c>
      <c r="J358" s="739"/>
      <c r="K358" s="168">
        <f>IF(J358&lt;&gt;"",J358,IF(ISERROR(Personalplanung!AB46/Monatsplanung!$E46*Monatsplanung!$J46),0,Personalplanung!AB46/Monatsplanung!$E46*Monatsplanung!$J46))</f>
        <v>0</v>
      </c>
      <c r="L358" s="740"/>
      <c r="M358" s="739"/>
      <c r="N358" s="168">
        <f>IF(M358&lt;&gt;"",M358,IF(ISERROR(Personalplanung!AC46/Monatsplanung!$E46*Monatsplanung!$J46),0,Personalplanung!AC46/Monatsplanung!$E46*Monatsplanung!$J46))</f>
        <v>0</v>
      </c>
      <c r="O358" s="740"/>
      <c r="P358" s="739"/>
      <c r="Q358" s="168">
        <f>IF(P358&lt;&gt;"",P358,IF(ISERROR(Personalplanung!AD46/Monatsplanung!$E46*Monatsplanung!$J46),0,Personalplanung!AD46/Monatsplanung!$E46*Monatsplanung!$J46))</f>
        <v>0</v>
      </c>
      <c r="R358" s="740"/>
      <c r="S358" s="739"/>
      <c r="T358" s="168">
        <f>IF(S358&lt;&gt;"",S358,IF(ISERROR(Personalplanung!AE46/Monatsplanung!$E46*Monatsplanung!$J46),0,Personalplanung!AE46/Monatsplanung!$E46*Monatsplanung!$J46))</f>
        <v>0</v>
      </c>
      <c r="U358" s="740"/>
      <c r="V358" s="168">
        <f t="shared" si="99"/>
        <v>0</v>
      </c>
      <c r="W358" s="168">
        <f>IF(ISERROR(Personalplanung!P46/Monatsplanung!$E46*Monatsplanung!$J46),0,Personalplanung!P46/Monatsplanung!$E46*Monatsplanung!$J46)</f>
        <v>0</v>
      </c>
      <c r="X358" s="168">
        <f>IF(ISERROR(Personalplanung!Q46/Monatsplanung!$E46*Monatsplanung!$J46),0,Personalplanung!Q46/Monatsplanung!$E46*Monatsplanung!$J46)</f>
        <v>0</v>
      </c>
      <c r="Y358" s="168">
        <f>IF(ISERROR(Personalplanung!R46/T1294*Stundencontrolling!T358),0,Personalplanung!R46/T1294*Stundencontrolling!T358)</f>
        <v>0</v>
      </c>
      <c r="Z358" s="168">
        <f>IF(ISERROR(Personalplanung!S46/Monatsplanung!$E46*Monatsplanung!$J46),0,Personalplanung!S46/Monatsplanung!$E46*Monatsplanung!$J46)</f>
        <v>0</v>
      </c>
      <c r="AA358" s="80">
        <f t="shared" si="100"/>
        <v>0</v>
      </c>
      <c r="AB358" s="102">
        <f t="shared" si="101"/>
        <v>0.1</v>
      </c>
      <c r="AC358" s="103">
        <f t="shared" si="102"/>
        <v>0</v>
      </c>
      <c r="AD358" s="103">
        <f t="shared" si="103"/>
        <v>0</v>
      </c>
      <c r="AE358" s="81">
        <f t="shared" si="104"/>
        <v>0</v>
      </c>
      <c r="AF358" s="539"/>
      <c r="AG358" s="104">
        <f t="shared" si="105"/>
        <v>1</v>
      </c>
      <c r="AH358" s="7">
        <f t="shared" si="106"/>
        <v>0</v>
      </c>
      <c r="AI358" s="6">
        <f t="shared" si="107"/>
        <v>0</v>
      </c>
      <c r="AJ358" s="73">
        <f t="shared" si="108"/>
        <v>0</v>
      </c>
      <c r="AK358" s="539"/>
      <c r="AL358" s="748"/>
      <c r="AM358" s="748"/>
    </row>
    <row r="359" spans="2:39" x14ac:dyDescent="0.2">
      <c r="B359" s="101" t="str">
        <f t="shared" si="93"/>
        <v/>
      </c>
      <c r="C359" s="168">
        <f>IF(ISERROR(Personalplanung!F47/Monatsplanung!$E47*Monatsplanung!$J47),0,Personalplanung!F47/Monatsplanung!$E47*Monatsplanung!$J47)</f>
        <v>0</v>
      </c>
      <c r="D359" s="168">
        <f t="shared" si="94"/>
        <v>0</v>
      </c>
      <c r="E359" s="168">
        <f>IF(ISERROR(Personalplanung!H47/Monatsplanung!$E47*Monatsplanung!$J47),0,Personalplanung!H47/Monatsplanung!$E47*Monatsplanung!$J47)</f>
        <v>0</v>
      </c>
      <c r="F359" s="168">
        <f t="shared" si="95"/>
        <v>0</v>
      </c>
      <c r="G359" s="168">
        <f t="shared" si="96"/>
        <v>27.700831024930746</v>
      </c>
      <c r="H359" s="168">
        <f t="shared" si="97"/>
        <v>0</v>
      </c>
      <c r="I359" s="168">
        <f t="shared" si="98"/>
        <v>30</v>
      </c>
      <c r="J359" s="739"/>
      <c r="K359" s="168">
        <f>IF(J359&lt;&gt;"",J359,IF(ISERROR(Personalplanung!AB47/Monatsplanung!$E47*Monatsplanung!$J47),0,Personalplanung!AB47/Monatsplanung!$E47*Monatsplanung!$J47))</f>
        <v>0</v>
      </c>
      <c r="L359" s="740"/>
      <c r="M359" s="739"/>
      <c r="N359" s="168">
        <f>IF(M359&lt;&gt;"",M359,IF(ISERROR(Personalplanung!AC47/Monatsplanung!$E47*Monatsplanung!$J47),0,Personalplanung!AC47/Monatsplanung!$E47*Monatsplanung!$J47))</f>
        <v>0</v>
      </c>
      <c r="O359" s="740"/>
      <c r="P359" s="739"/>
      <c r="Q359" s="168">
        <f>IF(P359&lt;&gt;"",P359,IF(ISERROR(Personalplanung!AD47/Monatsplanung!$E47*Monatsplanung!$J47),0,Personalplanung!AD47/Monatsplanung!$E47*Monatsplanung!$J47))</f>
        <v>0</v>
      </c>
      <c r="R359" s="740"/>
      <c r="S359" s="739"/>
      <c r="T359" s="168">
        <f>IF(S359&lt;&gt;"",S359,IF(ISERROR(Personalplanung!AE47/Monatsplanung!$E47*Monatsplanung!$J47),0,Personalplanung!AE47/Monatsplanung!$E47*Monatsplanung!$J47))</f>
        <v>0</v>
      </c>
      <c r="U359" s="740"/>
      <c r="V359" s="168">
        <f t="shared" si="99"/>
        <v>0</v>
      </c>
      <c r="W359" s="168">
        <f>IF(ISERROR(Personalplanung!P47/Monatsplanung!$E47*Monatsplanung!$J47),0,Personalplanung!P47/Monatsplanung!$E47*Monatsplanung!$J47)</f>
        <v>0</v>
      </c>
      <c r="X359" s="168">
        <f>IF(ISERROR(Personalplanung!Q47/Monatsplanung!$E47*Monatsplanung!$J47),0,Personalplanung!Q47/Monatsplanung!$E47*Monatsplanung!$J47)</f>
        <v>0</v>
      </c>
      <c r="Y359" s="168">
        <f>IF(ISERROR(Personalplanung!R47/T1295*Stundencontrolling!T359),0,Personalplanung!R47/T1295*Stundencontrolling!T359)</f>
        <v>0</v>
      </c>
      <c r="Z359" s="168">
        <f>IF(ISERROR(Personalplanung!S47/Monatsplanung!$E47*Monatsplanung!$J47),0,Personalplanung!S47/Monatsplanung!$E47*Monatsplanung!$J47)</f>
        <v>0</v>
      </c>
      <c r="AA359" s="80">
        <f t="shared" si="100"/>
        <v>0</v>
      </c>
      <c r="AB359" s="102">
        <f t="shared" si="101"/>
        <v>0.1</v>
      </c>
      <c r="AC359" s="103">
        <f t="shared" si="102"/>
        <v>0</v>
      </c>
      <c r="AD359" s="103">
        <f t="shared" si="103"/>
        <v>0</v>
      </c>
      <c r="AE359" s="81">
        <f t="shared" si="104"/>
        <v>0</v>
      </c>
      <c r="AF359" s="539"/>
      <c r="AG359" s="104">
        <f t="shared" si="105"/>
        <v>1</v>
      </c>
      <c r="AH359" s="7">
        <f t="shared" si="106"/>
        <v>0</v>
      </c>
      <c r="AI359" s="6">
        <f t="shared" si="107"/>
        <v>0</v>
      </c>
      <c r="AJ359" s="73">
        <f t="shared" si="108"/>
        <v>0</v>
      </c>
      <c r="AK359" s="539"/>
      <c r="AL359" s="748"/>
      <c r="AM359" s="748"/>
    </row>
    <row r="360" spans="2:39" x14ac:dyDescent="0.2">
      <c r="B360" s="101" t="str">
        <f t="shared" si="93"/>
        <v/>
      </c>
      <c r="C360" s="168">
        <f>IF(ISERROR(Personalplanung!F48/Monatsplanung!$E48*Monatsplanung!$J48),0,Personalplanung!F48/Monatsplanung!$E48*Monatsplanung!$J48)</f>
        <v>0</v>
      </c>
      <c r="D360" s="168">
        <f t="shared" si="94"/>
        <v>0</v>
      </c>
      <c r="E360" s="168">
        <f>IF(ISERROR(Personalplanung!H48/Monatsplanung!$E48*Monatsplanung!$J48),0,Personalplanung!H48/Monatsplanung!$E48*Monatsplanung!$J48)</f>
        <v>0</v>
      </c>
      <c r="F360" s="168">
        <f t="shared" si="95"/>
        <v>0</v>
      </c>
      <c r="G360" s="168">
        <f t="shared" si="96"/>
        <v>27.700831024930746</v>
      </c>
      <c r="H360" s="168">
        <f t="shared" si="97"/>
        <v>0</v>
      </c>
      <c r="I360" s="168">
        <f t="shared" si="98"/>
        <v>30</v>
      </c>
      <c r="J360" s="739"/>
      <c r="K360" s="168">
        <f>IF(J360&lt;&gt;"",J360,IF(ISERROR(Personalplanung!AB48/Monatsplanung!$E48*Monatsplanung!$J48),0,Personalplanung!AB48/Monatsplanung!$E48*Monatsplanung!$J48))</f>
        <v>0</v>
      </c>
      <c r="L360" s="740"/>
      <c r="M360" s="739"/>
      <c r="N360" s="168">
        <f>IF(M360&lt;&gt;"",M360,IF(ISERROR(Personalplanung!AC48/Monatsplanung!$E48*Monatsplanung!$J48),0,Personalplanung!AC48/Monatsplanung!$E48*Monatsplanung!$J48))</f>
        <v>0</v>
      </c>
      <c r="O360" s="740"/>
      <c r="P360" s="739"/>
      <c r="Q360" s="168">
        <f>IF(P360&lt;&gt;"",P360,IF(ISERROR(Personalplanung!AD48/Monatsplanung!$E48*Monatsplanung!$J48),0,Personalplanung!AD48/Monatsplanung!$E48*Monatsplanung!$J48))</f>
        <v>0</v>
      </c>
      <c r="R360" s="740"/>
      <c r="S360" s="739"/>
      <c r="T360" s="168">
        <f>IF(S360&lt;&gt;"",S360,IF(ISERROR(Personalplanung!AE48/Monatsplanung!$E48*Monatsplanung!$J48),0,Personalplanung!AE48/Monatsplanung!$E48*Monatsplanung!$J48))</f>
        <v>0</v>
      </c>
      <c r="U360" s="740"/>
      <c r="V360" s="168">
        <f t="shared" si="99"/>
        <v>0</v>
      </c>
      <c r="W360" s="168">
        <f>IF(ISERROR(Personalplanung!P48/Monatsplanung!$E48*Monatsplanung!$J48),0,Personalplanung!P48/Monatsplanung!$E48*Monatsplanung!$J48)</f>
        <v>0</v>
      </c>
      <c r="X360" s="168">
        <f>IF(ISERROR(Personalplanung!Q48/Monatsplanung!$E48*Monatsplanung!$J48),0,Personalplanung!Q48/Monatsplanung!$E48*Monatsplanung!$J48)</f>
        <v>0</v>
      </c>
      <c r="Y360" s="168">
        <f>IF(ISERROR(Personalplanung!R48/T1296*Stundencontrolling!T360),0,Personalplanung!R48/T1296*Stundencontrolling!T360)</f>
        <v>0</v>
      </c>
      <c r="Z360" s="168">
        <f>IF(ISERROR(Personalplanung!S48/Monatsplanung!$E48*Monatsplanung!$J48),0,Personalplanung!S48/Monatsplanung!$E48*Monatsplanung!$J48)</f>
        <v>0</v>
      </c>
      <c r="AA360" s="80">
        <f t="shared" si="100"/>
        <v>0</v>
      </c>
      <c r="AB360" s="102">
        <f t="shared" si="101"/>
        <v>0.1</v>
      </c>
      <c r="AC360" s="103">
        <f t="shared" si="102"/>
        <v>0</v>
      </c>
      <c r="AD360" s="103">
        <f t="shared" si="103"/>
        <v>0</v>
      </c>
      <c r="AE360" s="81">
        <f t="shared" si="104"/>
        <v>0</v>
      </c>
      <c r="AF360" s="539"/>
      <c r="AG360" s="104">
        <f t="shared" si="105"/>
        <v>1</v>
      </c>
      <c r="AH360" s="7">
        <f t="shared" si="106"/>
        <v>0</v>
      </c>
      <c r="AI360" s="6">
        <f t="shared" si="107"/>
        <v>0</v>
      </c>
      <c r="AJ360" s="73">
        <f t="shared" si="108"/>
        <v>0</v>
      </c>
      <c r="AK360" s="539"/>
      <c r="AL360" s="748"/>
      <c r="AM360" s="748"/>
    </row>
    <row r="361" spans="2:39" x14ac:dyDescent="0.2">
      <c r="B361" s="101" t="str">
        <f t="shared" si="93"/>
        <v/>
      </c>
      <c r="C361" s="168">
        <f>IF(ISERROR(Personalplanung!F49/Monatsplanung!$E49*Monatsplanung!$J49),0,Personalplanung!F49/Monatsplanung!$E49*Monatsplanung!$J49)</f>
        <v>0</v>
      </c>
      <c r="D361" s="168">
        <f t="shared" si="94"/>
        <v>0</v>
      </c>
      <c r="E361" s="168">
        <f>IF(ISERROR(Personalplanung!H49/Monatsplanung!$E49*Monatsplanung!$J49),0,Personalplanung!H49/Monatsplanung!$E49*Monatsplanung!$J49)</f>
        <v>0</v>
      </c>
      <c r="F361" s="168">
        <f t="shared" si="95"/>
        <v>0</v>
      </c>
      <c r="G361" s="168">
        <f t="shared" si="96"/>
        <v>27.700831024930746</v>
      </c>
      <c r="H361" s="168">
        <f t="shared" si="97"/>
        <v>0</v>
      </c>
      <c r="I361" s="168">
        <f t="shared" si="98"/>
        <v>30</v>
      </c>
      <c r="J361" s="739"/>
      <c r="K361" s="168">
        <f>IF(J361&lt;&gt;"",J361,IF(ISERROR(Personalplanung!AB49/Monatsplanung!$E49*Monatsplanung!$J49),0,Personalplanung!AB49/Monatsplanung!$E49*Monatsplanung!$J49))</f>
        <v>0</v>
      </c>
      <c r="L361" s="740"/>
      <c r="M361" s="739"/>
      <c r="N361" s="168">
        <f>IF(M361&lt;&gt;"",M361,IF(ISERROR(Personalplanung!AC49/Monatsplanung!$E49*Monatsplanung!$J49),0,Personalplanung!AC49/Monatsplanung!$E49*Monatsplanung!$J49))</f>
        <v>0</v>
      </c>
      <c r="O361" s="740"/>
      <c r="P361" s="739"/>
      <c r="Q361" s="168">
        <f>IF(P361&lt;&gt;"",P361,IF(ISERROR(Personalplanung!AD49/Monatsplanung!$E49*Monatsplanung!$J49),0,Personalplanung!AD49/Monatsplanung!$E49*Monatsplanung!$J49))</f>
        <v>0</v>
      </c>
      <c r="R361" s="740"/>
      <c r="S361" s="739"/>
      <c r="T361" s="168">
        <f>IF(S361&lt;&gt;"",S361,IF(ISERROR(Personalplanung!AE49/Monatsplanung!$E49*Monatsplanung!$J49),0,Personalplanung!AE49/Monatsplanung!$E49*Monatsplanung!$J49))</f>
        <v>0</v>
      </c>
      <c r="U361" s="740"/>
      <c r="V361" s="168">
        <f t="shared" si="99"/>
        <v>0</v>
      </c>
      <c r="W361" s="168">
        <f>IF(ISERROR(Personalplanung!P49/Monatsplanung!$E49*Monatsplanung!$J49),0,Personalplanung!P49/Monatsplanung!$E49*Monatsplanung!$J49)</f>
        <v>0</v>
      </c>
      <c r="X361" s="168">
        <f>IF(ISERROR(Personalplanung!Q49/Monatsplanung!$E49*Monatsplanung!$J49),0,Personalplanung!Q49/Monatsplanung!$E49*Monatsplanung!$J49)</f>
        <v>0</v>
      </c>
      <c r="Y361" s="168">
        <f>IF(ISERROR(Personalplanung!R49/T1297*Stundencontrolling!T361),0,Personalplanung!R49/T1297*Stundencontrolling!T361)</f>
        <v>0</v>
      </c>
      <c r="Z361" s="168">
        <f>IF(ISERROR(Personalplanung!S49/Monatsplanung!$E49*Monatsplanung!$J49),0,Personalplanung!S49/Monatsplanung!$E49*Monatsplanung!$J49)</f>
        <v>0</v>
      </c>
      <c r="AA361" s="80">
        <f t="shared" si="100"/>
        <v>0</v>
      </c>
      <c r="AB361" s="102">
        <f t="shared" si="101"/>
        <v>0.1</v>
      </c>
      <c r="AC361" s="103">
        <f t="shared" si="102"/>
        <v>0</v>
      </c>
      <c r="AD361" s="103">
        <f t="shared" si="103"/>
        <v>0</v>
      </c>
      <c r="AE361" s="81">
        <f t="shared" si="104"/>
        <v>0</v>
      </c>
      <c r="AF361" s="539"/>
      <c r="AG361" s="104">
        <f t="shared" si="105"/>
        <v>1</v>
      </c>
      <c r="AH361" s="7">
        <f t="shared" si="106"/>
        <v>0</v>
      </c>
      <c r="AI361" s="6">
        <f t="shared" si="107"/>
        <v>0</v>
      </c>
      <c r="AJ361" s="73">
        <f t="shared" si="108"/>
        <v>0</v>
      </c>
      <c r="AK361" s="539"/>
      <c r="AL361" s="748"/>
      <c r="AM361" s="748"/>
    </row>
    <row r="362" spans="2:39" x14ac:dyDescent="0.2">
      <c r="B362" s="101" t="str">
        <f t="shared" si="93"/>
        <v/>
      </c>
      <c r="C362" s="168">
        <f>IF(ISERROR(Personalplanung!F50/Monatsplanung!$E50*Monatsplanung!$J50),0,Personalplanung!F50/Monatsplanung!$E50*Monatsplanung!$J50)</f>
        <v>0</v>
      </c>
      <c r="D362" s="168">
        <f t="shared" si="94"/>
        <v>0</v>
      </c>
      <c r="E362" s="168">
        <f>IF(ISERROR(Personalplanung!H50/Monatsplanung!$E50*Monatsplanung!$J50),0,Personalplanung!H50/Monatsplanung!$E50*Monatsplanung!$J50)</f>
        <v>0</v>
      </c>
      <c r="F362" s="168">
        <f t="shared" si="95"/>
        <v>0</v>
      </c>
      <c r="G362" s="168">
        <f t="shared" si="96"/>
        <v>27.700831024930746</v>
      </c>
      <c r="H362" s="168">
        <f t="shared" si="97"/>
        <v>0</v>
      </c>
      <c r="I362" s="168">
        <f t="shared" si="98"/>
        <v>30</v>
      </c>
      <c r="J362" s="739"/>
      <c r="K362" s="168">
        <f>IF(J362&lt;&gt;"",J362,IF(ISERROR(Personalplanung!AB50/Monatsplanung!$E50*Monatsplanung!$J50),0,Personalplanung!AB50/Monatsplanung!$E50*Monatsplanung!$J50))</f>
        <v>0</v>
      </c>
      <c r="L362" s="740"/>
      <c r="M362" s="739"/>
      <c r="N362" s="168">
        <f>IF(M362&lt;&gt;"",M362,IF(ISERROR(Personalplanung!AC50/Monatsplanung!$E50*Monatsplanung!$J50),0,Personalplanung!AC50/Monatsplanung!$E50*Monatsplanung!$J50))</f>
        <v>0</v>
      </c>
      <c r="O362" s="740"/>
      <c r="P362" s="739"/>
      <c r="Q362" s="168">
        <f>IF(P362&lt;&gt;"",P362,IF(ISERROR(Personalplanung!AD50/Monatsplanung!$E50*Monatsplanung!$J50),0,Personalplanung!AD50/Monatsplanung!$E50*Monatsplanung!$J50))</f>
        <v>0</v>
      </c>
      <c r="R362" s="740"/>
      <c r="S362" s="739"/>
      <c r="T362" s="168">
        <f>IF(S362&lt;&gt;"",S362,IF(ISERROR(Personalplanung!AE50/Monatsplanung!$E50*Monatsplanung!$J50),0,Personalplanung!AE50/Monatsplanung!$E50*Monatsplanung!$J50))</f>
        <v>0</v>
      </c>
      <c r="U362" s="740"/>
      <c r="V362" s="168">
        <f t="shared" si="99"/>
        <v>0</v>
      </c>
      <c r="W362" s="168">
        <f>IF(ISERROR(Personalplanung!P50/Monatsplanung!$E50*Monatsplanung!$J50),0,Personalplanung!P50/Monatsplanung!$E50*Monatsplanung!$J50)</f>
        <v>0</v>
      </c>
      <c r="X362" s="168">
        <f>IF(ISERROR(Personalplanung!Q50/Monatsplanung!$E50*Monatsplanung!$J50),0,Personalplanung!Q50/Monatsplanung!$E50*Monatsplanung!$J50)</f>
        <v>0</v>
      </c>
      <c r="Y362" s="168">
        <f>IF(ISERROR(Personalplanung!R50/T1298*Stundencontrolling!T362),0,Personalplanung!R50/T1298*Stundencontrolling!T362)</f>
        <v>0</v>
      </c>
      <c r="Z362" s="168">
        <f>IF(ISERROR(Personalplanung!S50/Monatsplanung!$E50*Monatsplanung!$J50),0,Personalplanung!S50/Monatsplanung!$E50*Monatsplanung!$J50)</f>
        <v>0</v>
      </c>
      <c r="AA362" s="80">
        <f t="shared" si="100"/>
        <v>0</v>
      </c>
      <c r="AB362" s="102">
        <f t="shared" si="101"/>
        <v>0.1</v>
      </c>
      <c r="AC362" s="103">
        <f t="shared" si="102"/>
        <v>0</v>
      </c>
      <c r="AD362" s="103">
        <f t="shared" si="103"/>
        <v>0</v>
      </c>
      <c r="AE362" s="81">
        <f t="shared" si="104"/>
        <v>0</v>
      </c>
      <c r="AF362" s="539"/>
      <c r="AG362" s="104">
        <f t="shared" si="105"/>
        <v>1</v>
      </c>
      <c r="AH362" s="7">
        <f t="shared" si="106"/>
        <v>0</v>
      </c>
      <c r="AI362" s="6">
        <f t="shared" si="107"/>
        <v>0</v>
      </c>
      <c r="AJ362" s="73">
        <f t="shared" si="108"/>
        <v>0</v>
      </c>
      <c r="AK362" s="539"/>
      <c r="AL362" s="748"/>
      <c r="AM362" s="748"/>
    </row>
    <row r="363" spans="2:39" x14ac:dyDescent="0.2">
      <c r="B363" s="101" t="str">
        <f t="shared" si="93"/>
        <v/>
      </c>
      <c r="C363" s="168">
        <f>IF(ISERROR(Personalplanung!F51/Monatsplanung!$E51*Monatsplanung!$J51),0,Personalplanung!F51/Monatsplanung!$E51*Monatsplanung!$J51)</f>
        <v>0</v>
      </c>
      <c r="D363" s="168">
        <f t="shared" si="94"/>
        <v>0</v>
      </c>
      <c r="E363" s="168">
        <f>IF(ISERROR(Personalplanung!H51/Monatsplanung!$E51*Monatsplanung!$J51),0,Personalplanung!H51/Monatsplanung!$E51*Monatsplanung!$J51)</f>
        <v>0</v>
      </c>
      <c r="F363" s="168">
        <f t="shared" si="95"/>
        <v>0</v>
      </c>
      <c r="G363" s="168">
        <f t="shared" si="96"/>
        <v>27.700831024930746</v>
      </c>
      <c r="H363" s="168">
        <f t="shared" si="97"/>
        <v>0</v>
      </c>
      <c r="I363" s="168">
        <f t="shared" si="98"/>
        <v>30</v>
      </c>
      <c r="J363" s="739"/>
      <c r="K363" s="168">
        <f>IF(J363&lt;&gt;"",J363,IF(ISERROR(Personalplanung!AB51/Monatsplanung!$E51*Monatsplanung!$J51),0,Personalplanung!AB51/Monatsplanung!$E51*Monatsplanung!$J51))</f>
        <v>0</v>
      </c>
      <c r="L363" s="740"/>
      <c r="M363" s="739"/>
      <c r="N363" s="168">
        <f>IF(M363&lt;&gt;"",M363,IF(ISERROR(Personalplanung!AC51/Monatsplanung!$E51*Monatsplanung!$J51),0,Personalplanung!AC51/Monatsplanung!$E51*Monatsplanung!$J51))</f>
        <v>0</v>
      </c>
      <c r="O363" s="740"/>
      <c r="P363" s="739"/>
      <c r="Q363" s="168">
        <f>IF(P363&lt;&gt;"",P363,IF(ISERROR(Personalplanung!AD51/Monatsplanung!$E51*Monatsplanung!$J51),0,Personalplanung!AD51/Monatsplanung!$E51*Monatsplanung!$J51))</f>
        <v>0</v>
      </c>
      <c r="R363" s="740"/>
      <c r="S363" s="739"/>
      <c r="T363" s="168">
        <f>IF(S363&lt;&gt;"",S363,IF(ISERROR(Personalplanung!AE51/Monatsplanung!$E51*Monatsplanung!$J51),0,Personalplanung!AE51/Monatsplanung!$E51*Monatsplanung!$J51))</f>
        <v>0</v>
      </c>
      <c r="U363" s="740"/>
      <c r="V363" s="168">
        <f t="shared" si="99"/>
        <v>0</v>
      </c>
      <c r="W363" s="168">
        <f>IF(ISERROR(Personalplanung!P51/Monatsplanung!$E51*Monatsplanung!$J51),0,Personalplanung!P51/Monatsplanung!$E51*Monatsplanung!$J51)</f>
        <v>0</v>
      </c>
      <c r="X363" s="168">
        <f>IF(ISERROR(Personalplanung!Q51/Monatsplanung!$E51*Monatsplanung!$J51),0,Personalplanung!Q51/Monatsplanung!$E51*Monatsplanung!$J51)</f>
        <v>0</v>
      </c>
      <c r="Y363" s="168">
        <f>IF(ISERROR(Personalplanung!R51/T1299*Stundencontrolling!T363),0,Personalplanung!R51/T1299*Stundencontrolling!T363)</f>
        <v>0</v>
      </c>
      <c r="Z363" s="168">
        <f>IF(ISERROR(Personalplanung!S51/Monatsplanung!$E51*Monatsplanung!$J51),0,Personalplanung!S51/Monatsplanung!$E51*Monatsplanung!$J51)</f>
        <v>0</v>
      </c>
      <c r="AA363" s="80">
        <f t="shared" si="100"/>
        <v>0</v>
      </c>
      <c r="AB363" s="102">
        <f t="shared" si="101"/>
        <v>0.1</v>
      </c>
      <c r="AC363" s="103">
        <f t="shared" si="102"/>
        <v>0</v>
      </c>
      <c r="AD363" s="103">
        <f t="shared" si="103"/>
        <v>0</v>
      </c>
      <c r="AE363" s="81">
        <f t="shared" si="104"/>
        <v>0</v>
      </c>
      <c r="AF363" s="539"/>
      <c r="AG363" s="104">
        <f t="shared" si="105"/>
        <v>1</v>
      </c>
      <c r="AH363" s="7">
        <f t="shared" si="106"/>
        <v>0</v>
      </c>
      <c r="AI363" s="6">
        <f t="shared" si="107"/>
        <v>0</v>
      </c>
      <c r="AJ363" s="73">
        <f t="shared" si="108"/>
        <v>0</v>
      </c>
      <c r="AK363" s="539"/>
      <c r="AL363" s="748"/>
      <c r="AM363" s="748"/>
    </row>
    <row r="364" spans="2:39" x14ac:dyDescent="0.2">
      <c r="B364" s="101" t="str">
        <f t="shared" si="93"/>
        <v/>
      </c>
      <c r="C364" s="168">
        <f>IF(ISERROR(Personalplanung!F52/Monatsplanung!$E52*Monatsplanung!$J52),0,Personalplanung!F52/Monatsplanung!$E52*Monatsplanung!$J52)</f>
        <v>0</v>
      </c>
      <c r="D364" s="168">
        <f t="shared" si="94"/>
        <v>0</v>
      </c>
      <c r="E364" s="168">
        <f>IF(ISERROR(Personalplanung!H52/Monatsplanung!$E52*Monatsplanung!$J52),0,Personalplanung!H52/Monatsplanung!$E52*Monatsplanung!$J52)</f>
        <v>0</v>
      </c>
      <c r="F364" s="168">
        <f t="shared" si="95"/>
        <v>0</v>
      </c>
      <c r="G364" s="168">
        <f t="shared" si="96"/>
        <v>27.700831024930746</v>
      </c>
      <c r="H364" s="168">
        <f t="shared" si="97"/>
        <v>0</v>
      </c>
      <c r="I364" s="168">
        <f t="shared" si="98"/>
        <v>30</v>
      </c>
      <c r="J364" s="739"/>
      <c r="K364" s="168">
        <f>IF(J364&lt;&gt;"",J364,IF(ISERROR(Personalplanung!AB52/Monatsplanung!$E52*Monatsplanung!$J52),0,Personalplanung!AB52/Monatsplanung!$E52*Monatsplanung!$J52))</f>
        <v>0</v>
      </c>
      <c r="L364" s="740"/>
      <c r="M364" s="739"/>
      <c r="N364" s="168">
        <f>IF(M364&lt;&gt;"",M364,IF(ISERROR(Personalplanung!AC52/Monatsplanung!$E52*Monatsplanung!$J52),0,Personalplanung!AC52/Monatsplanung!$E52*Monatsplanung!$J52))</f>
        <v>0</v>
      </c>
      <c r="O364" s="740"/>
      <c r="P364" s="739"/>
      <c r="Q364" s="168">
        <f>IF(P364&lt;&gt;"",P364,IF(ISERROR(Personalplanung!AD52/Monatsplanung!$E52*Monatsplanung!$J52),0,Personalplanung!AD52/Monatsplanung!$E52*Monatsplanung!$J52))</f>
        <v>0</v>
      </c>
      <c r="R364" s="740"/>
      <c r="S364" s="739"/>
      <c r="T364" s="168">
        <f>IF(S364&lt;&gt;"",S364,IF(ISERROR(Personalplanung!AE52/Monatsplanung!$E52*Monatsplanung!$J52),0,Personalplanung!AE52/Monatsplanung!$E52*Monatsplanung!$J52))</f>
        <v>0</v>
      </c>
      <c r="U364" s="740"/>
      <c r="V364" s="168">
        <f t="shared" si="99"/>
        <v>0</v>
      </c>
      <c r="W364" s="168">
        <f>IF(ISERROR(Personalplanung!P52/Monatsplanung!$E52*Monatsplanung!$J52),0,Personalplanung!P52/Monatsplanung!$E52*Monatsplanung!$J52)</f>
        <v>0</v>
      </c>
      <c r="X364" s="168">
        <f>IF(ISERROR(Personalplanung!Q52/Monatsplanung!$E52*Monatsplanung!$J52),0,Personalplanung!Q52/Monatsplanung!$E52*Monatsplanung!$J52)</f>
        <v>0</v>
      </c>
      <c r="Y364" s="168">
        <f>IF(ISERROR(Personalplanung!R52/T1300*Stundencontrolling!T364),0,Personalplanung!R52/T1300*Stundencontrolling!T364)</f>
        <v>0</v>
      </c>
      <c r="Z364" s="168">
        <f>IF(ISERROR(Personalplanung!S52/Monatsplanung!$E52*Monatsplanung!$J52),0,Personalplanung!S52/Monatsplanung!$E52*Monatsplanung!$J52)</f>
        <v>0</v>
      </c>
      <c r="AA364" s="80">
        <f t="shared" si="100"/>
        <v>0</v>
      </c>
      <c r="AB364" s="102">
        <f t="shared" si="101"/>
        <v>0.1</v>
      </c>
      <c r="AC364" s="103">
        <f t="shared" si="102"/>
        <v>0</v>
      </c>
      <c r="AD364" s="103">
        <f t="shared" si="103"/>
        <v>0</v>
      </c>
      <c r="AE364" s="81">
        <f t="shared" si="104"/>
        <v>0</v>
      </c>
      <c r="AF364" s="539"/>
      <c r="AG364" s="104">
        <f t="shared" si="105"/>
        <v>1</v>
      </c>
      <c r="AH364" s="7">
        <f t="shared" si="106"/>
        <v>0</v>
      </c>
      <c r="AI364" s="6">
        <f t="shared" si="107"/>
        <v>0</v>
      </c>
      <c r="AJ364" s="73">
        <f t="shared" si="108"/>
        <v>0</v>
      </c>
      <c r="AK364" s="539"/>
      <c r="AL364" s="748"/>
      <c r="AM364" s="748"/>
    </row>
    <row r="365" spans="2:39" x14ac:dyDescent="0.2">
      <c r="B365" s="101" t="str">
        <f t="shared" si="93"/>
        <v/>
      </c>
      <c r="C365" s="168">
        <f>IF(ISERROR(Personalplanung!F53/Monatsplanung!$E53*Monatsplanung!$J53),0,Personalplanung!F53/Monatsplanung!$E53*Monatsplanung!$J53)</f>
        <v>0</v>
      </c>
      <c r="D365" s="168">
        <f t="shared" si="94"/>
        <v>0</v>
      </c>
      <c r="E365" s="168">
        <f>IF(ISERROR(Personalplanung!H53/Monatsplanung!$E53*Monatsplanung!$J53),0,Personalplanung!H53/Monatsplanung!$E53*Monatsplanung!$J53)</f>
        <v>0</v>
      </c>
      <c r="F365" s="168">
        <f t="shared" si="95"/>
        <v>0</v>
      </c>
      <c r="G365" s="168">
        <f t="shared" si="96"/>
        <v>27.700831024930746</v>
      </c>
      <c r="H365" s="168">
        <f t="shared" si="97"/>
        <v>0</v>
      </c>
      <c r="I365" s="168">
        <f t="shared" si="98"/>
        <v>30</v>
      </c>
      <c r="J365" s="739"/>
      <c r="K365" s="168">
        <f>IF(J365&lt;&gt;"",J365,IF(ISERROR(Personalplanung!AB53/Monatsplanung!$E53*Monatsplanung!$J53),0,Personalplanung!AB53/Monatsplanung!$E53*Monatsplanung!$J53))</f>
        <v>0</v>
      </c>
      <c r="L365" s="740"/>
      <c r="M365" s="739"/>
      <c r="N365" s="168">
        <f>IF(M365&lt;&gt;"",M365,IF(ISERROR(Personalplanung!AC53/Monatsplanung!$E53*Monatsplanung!$J53),0,Personalplanung!AC53/Monatsplanung!$E53*Monatsplanung!$J53))</f>
        <v>0</v>
      </c>
      <c r="O365" s="740"/>
      <c r="P365" s="739"/>
      <c r="Q365" s="168">
        <f>IF(P365&lt;&gt;"",P365,IF(ISERROR(Personalplanung!AD53/Monatsplanung!$E53*Monatsplanung!$J53),0,Personalplanung!AD53/Monatsplanung!$E53*Monatsplanung!$J53))</f>
        <v>0</v>
      </c>
      <c r="R365" s="740"/>
      <c r="S365" s="739"/>
      <c r="T365" s="168">
        <f>IF(S365&lt;&gt;"",S365,IF(ISERROR(Personalplanung!AE53/Monatsplanung!$E53*Monatsplanung!$J53),0,Personalplanung!AE53/Monatsplanung!$E53*Monatsplanung!$J53))</f>
        <v>0</v>
      </c>
      <c r="U365" s="740"/>
      <c r="V365" s="168">
        <f t="shared" si="99"/>
        <v>0</v>
      </c>
      <c r="W365" s="168">
        <f>IF(ISERROR(Personalplanung!P53/Monatsplanung!$E53*Monatsplanung!$J53),0,Personalplanung!P53/Monatsplanung!$E53*Monatsplanung!$J53)</f>
        <v>0</v>
      </c>
      <c r="X365" s="168">
        <f>IF(ISERROR(Personalplanung!Q53/Monatsplanung!$E53*Monatsplanung!$J53),0,Personalplanung!Q53/Monatsplanung!$E53*Monatsplanung!$J53)</f>
        <v>0</v>
      </c>
      <c r="Y365" s="168">
        <f>IF(ISERROR(Personalplanung!R53/T1301*Stundencontrolling!T365),0,Personalplanung!R53/T1301*Stundencontrolling!T365)</f>
        <v>0</v>
      </c>
      <c r="Z365" s="168">
        <f>IF(ISERROR(Personalplanung!S53/Monatsplanung!$E53*Monatsplanung!$J53),0,Personalplanung!S53/Monatsplanung!$E53*Monatsplanung!$J53)</f>
        <v>0</v>
      </c>
      <c r="AA365" s="80">
        <f t="shared" si="100"/>
        <v>0</v>
      </c>
      <c r="AB365" s="102">
        <f t="shared" si="101"/>
        <v>0.1</v>
      </c>
      <c r="AC365" s="103">
        <f t="shared" si="102"/>
        <v>0</v>
      </c>
      <c r="AD365" s="103">
        <f t="shared" si="103"/>
        <v>0</v>
      </c>
      <c r="AE365" s="81">
        <f t="shared" si="104"/>
        <v>0</v>
      </c>
      <c r="AF365" s="539"/>
      <c r="AG365" s="104">
        <f t="shared" si="105"/>
        <v>1</v>
      </c>
      <c r="AH365" s="7">
        <f t="shared" si="106"/>
        <v>0</v>
      </c>
      <c r="AI365" s="6">
        <f t="shared" si="107"/>
        <v>0</v>
      </c>
      <c r="AJ365" s="73">
        <f t="shared" si="108"/>
        <v>0</v>
      </c>
      <c r="AK365" s="539"/>
      <c r="AL365" s="748"/>
      <c r="AM365" s="748"/>
    </row>
    <row r="366" spans="2:39" x14ac:dyDescent="0.2">
      <c r="B366" s="101" t="str">
        <f t="shared" si="93"/>
        <v/>
      </c>
      <c r="C366" s="168">
        <f>IF(ISERROR(Personalplanung!F54/Monatsplanung!$E54*Monatsplanung!$J54),0,Personalplanung!F54/Monatsplanung!$E54*Monatsplanung!$J54)</f>
        <v>0</v>
      </c>
      <c r="D366" s="168">
        <f t="shared" si="94"/>
        <v>0</v>
      </c>
      <c r="E366" s="168">
        <f>IF(ISERROR(Personalplanung!H54/Monatsplanung!$E54*Monatsplanung!$J54),0,Personalplanung!H54/Monatsplanung!$E54*Monatsplanung!$J54)</f>
        <v>0</v>
      </c>
      <c r="F366" s="168">
        <f t="shared" si="95"/>
        <v>0</v>
      </c>
      <c r="G366" s="168">
        <f t="shared" si="96"/>
        <v>27.700831024930746</v>
      </c>
      <c r="H366" s="168">
        <f t="shared" si="97"/>
        <v>0</v>
      </c>
      <c r="I366" s="168">
        <f t="shared" si="98"/>
        <v>30</v>
      </c>
      <c r="J366" s="739"/>
      <c r="K366" s="168">
        <f>IF(J366&lt;&gt;"",J366,IF(ISERROR(Personalplanung!AB54/Monatsplanung!$E54*Monatsplanung!$J54),0,Personalplanung!AB54/Monatsplanung!$E54*Monatsplanung!$J54))</f>
        <v>0</v>
      </c>
      <c r="L366" s="740"/>
      <c r="M366" s="739"/>
      <c r="N366" s="168">
        <f>IF(M366&lt;&gt;"",M366,IF(ISERROR(Personalplanung!AC54/Monatsplanung!$E54*Monatsplanung!$J54),0,Personalplanung!AC54/Monatsplanung!$E54*Monatsplanung!$J54))</f>
        <v>0</v>
      </c>
      <c r="O366" s="740"/>
      <c r="P366" s="739"/>
      <c r="Q366" s="168">
        <f>IF(P366&lt;&gt;"",P366,IF(ISERROR(Personalplanung!AD54/Monatsplanung!$E54*Monatsplanung!$J54),0,Personalplanung!AD54/Monatsplanung!$E54*Monatsplanung!$J54))</f>
        <v>0</v>
      </c>
      <c r="R366" s="740"/>
      <c r="S366" s="739"/>
      <c r="T366" s="168">
        <f>IF(S366&lt;&gt;"",S366,IF(ISERROR(Personalplanung!AE54/Monatsplanung!$E54*Monatsplanung!$J54),0,Personalplanung!AE54/Monatsplanung!$E54*Monatsplanung!$J54))</f>
        <v>0</v>
      </c>
      <c r="U366" s="740"/>
      <c r="V366" s="168">
        <f t="shared" si="99"/>
        <v>0</v>
      </c>
      <c r="W366" s="168">
        <f>IF(ISERROR(Personalplanung!P54/Monatsplanung!$E54*Monatsplanung!$J54),0,Personalplanung!P54/Monatsplanung!$E54*Monatsplanung!$J54)</f>
        <v>0</v>
      </c>
      <c r="X366" s="168">
        <f>IF(ISERROR(Personalplanung!Q54/Monatsplanung!$E54*Monatsplanung!$J54),0,Personalplanung!Q54/Monatsplanung!$E54*Monatsplanung!$J54)</f>
        <v>0</v>
      </c>
      <c r="Y366" s="168">
        <f>IF(ISERROR(Personalplanung!R54/T1302*Stundencontrolling!T366),0,Personalplanung!R54/T1302*Stundencontrolling!T366)</f>
        <v>0</v>
      </c>
      <c r="Z366" s="168">
        <f>IF(ISERROR(Personalplanung!S54/Monatsplanung!$E54*Monatsplanung!$J54),0,Personalplanung!S54/Monatsplanung!$E54*Monatsplanung!$J54)</f>
        <v>0</v>
      </c>
      <c r="AA366" s="80">
        <f t="shared" si="100"/>
        <v>0</v>
      </c>
      <c r="AB366" s="102">
        <f t="shared" si="101"/>
        <v>0.1</v>
      </c>
      <c r="AC366" s="103">
        <f t="shared" si="102"/>
        <v>0</v>
      </c>
      <c r="AD366" s="103">
        <f t="shared" si="103"/>
        <v>0</v>
      </c>
      <c r="AE366" s="81">
        <f t="shared" si="104"/>
        <v>0</v>
      </c>
      <c r="AF366" s="539"/>
      <c r="AG366" s="104">
        <f t="shared" si="105"/>
        <v>1</v>
      </c>
      <c r="AH366" s="7">
        <f t="shared" si="106"/>
        <v>0</v>
      </c>
      <c r="AI366" s="6">
        <f t="shared" si="107"/>
        <v>0</v>
      </c>
      <c r="AJ366" s="73">
        <f t="shared" si="108"/>
        <v>0</v>
      </c>
      <c r="AK366" s="539"/>
      <c r="AL366" s="748"/>
      <c r="AM366" s="748"/>
    </row>
    <row r="367" spans="2:39" x14ac:dyDescent="0.2">
      <c r="B367" s="101" t="str">
        <f t="shared" si="93"/>
        <v/>
      </c>
      <c r="C367" s="168">
        <f>IF(ISERROR(Personalplanung!F55/Monatsplanung!$E55*Monatsplanung!$J55),0,Personalplanung!F55/Monatsplanung!$E55*Monatsplanung!$J55)</f>
        <v>0</v>
      </c>
      <c r="D367" s="168">
        <f t="shared" si="94"/>
        <v>0</v>
      </c>
      <c r="E367" s="168">
        <f>IF(ISERROR(Personalplanung!H55/Monatsplanung!$E55*Monatsplanung!$J55),0,Personalplanung!H55/Monatsplanung!$E55*Monatsplanung!$J55)</f>
        <v>0</v>
      </c>
      <c r="F367" s="168">
        <f t="shared" si="95"/>
        <v>0</v>
      </c>
      <c r="G367" s="168">
        <f t="shared" si="96"/>
        <v>27.700831024930746</v>
      </c>
      <c r="H367" s="168">
        <f t="shared" si="97"/>
        <v>0</v>
      </c>
      <c r="I367" s="168">
        <f t="shared" si="98"/>
        <v>30</v>
      </c>
      <c r="J367" s="739"/>
      <c r="K367" s="168">
        <f>IF(J367&lt;&gt;"",J367,IF(ISERROR(Personalplanung!AB55/Monatsplanung!$E55*Monatsplanung!$J55),0,Personalplanung!AB55/Monatsplanung!$E55*Monatsplanung!$J55))</f>
        <v>0</v>
      </c>
      <c r="L367" s="740"/>
      <c r="M367" s="739"/>
      <c r="N367" s="168">
        <f>IF(M367&lt;&gt;"",M367,IF(ISERROR(Personalplanung!AC55/Monatsplanung!$E55*Monatsplanung!$J55),0,Personalplanung!AC55/Monatsplanung!$E55*Monatsplanung!$J55))</f>
        <v>0</v>
      </c>
      <c r="O367" s="740"/>
      <c r="P367" s="739"/>
      <c r="Q367" s="168">
        <f>IF(P367&lt;&gt;"",P367,IF(ISERROR(Personalplanung!AD55/Monatsplanung!$E55*Monatsplanung!$J55),0,Personalplanung!AD55/Monatsplanung!$E55*Monatsplanung!$J55))</f>
        <v>0</v>
      </c>
      <c r="R367" s="740"/>
      <c r="S367" s="739"/>
      <c r="T367" s="168">
        <f>IF(S367&lt;&gt;"",S367,IF(ISERROR(Personalplanung!AE55/Monatsplanung!$E55*Monatsplanung!$J55),0,Personalplanung!AE55/Monatsplanung!$E55*Monatsplanung!$J55))</f>
        <v>0</v>
      </c>
      <c r="U367" s="740"/>
      <c r="V367" s="168">
        <f t="shared" si="99"/>
        <v>0</v>
      </c>
      <c r="W367" s="168">
        <f>IF(ISERROR(Personalplanung!P55/Monatsplanung!$E55*Monatsplanung!$J55),0,Personalplanung!P55/Monatsplanung!$E55*Monatsplanung!$J55)</f>
        <v>0</v>
      </c>
      <c r="X367" s="168">
        <f>IF(ISERROR(Personalplanung!Q55/Monatsplanung!$E55*Monatsplanung!$J55),0,Personalplanung!Q55/Monatsplanung!$E55*Monatsplanung!$J55)</f>
        <v>0</v>
      </c>
      <c r="Y367" s="168">
        <f>IF(ISERROR(Personalplanung!R55/T1303*Stundencontrolling!T367),0,Personalplanung!R55/T1303*Stundencontrolling!T367)</f>
        <v>0</v>
      </c>
      <c r="Z367" s="168">
        <f>IF(ISERROR(Personalplanung!S55/Monatsplanung!$E55*Monatsplanung!$J55),0,Personalplanung!S55/Monatsplanung!$E55*Monatsplanung!$J55)</f>
        <v>0</v>
      </c>
      <c r="AA367" s="80">
        <f t="shared" si="100"/>
        <v>0</v>
      </c>
      <c r="AB367" s="102">
        <f t="shared" si="101"/>
        <v>0.1</v>
      </c>
      <c r="AC367" s="103">
        <f t="shared" si="102"/>
        <v>0</v>
      </c>
      <c r="AD367" s="103">
        <f t="shared" si="103"/>
        <v>0</v>
      </c>
      <c r="AE367" s="81">
        <f t="shared" si="104"/>
        <v>0</v>
      </c>
      <c r="AF367" s="539"/>
      <c r="AG367" s="104">
        <f t="shared" si="105"/>
        <v>1</v>
      </c>
      <c r="AH367" s="7">
        <f t="shared" si="106"/>
        <v>0</v>
      </c>
      <c r="AI367" s="6">
        <f t="shared" si="107"/>
        <v>0</v>
      </c>
      <c r="AJ367" s="73">
        <f t="shared" si="108"/>
        <v>0</v>
      </c>
      <c r="AK367" s="539"/>
      <c r="AL367" s="748"/>
      <c r="AM367" s="748"/>
    </row>
    <row r="368" spans="2:39" x14ac:dyDescent="0.2">
      <c r="B368" s="101" t="str">
        <f t="shared" si="93"/>
        <v/>
      </c>
      <c r="C368" s="168">
        <f>IF(ISERROR(Personalplanung!F56/Monatsplanung!$E56*Monatsplanung!$J56),0,Personalplanung!F56/Monatsplanung!$E56*Monatsplanung!$J56)</f>
        <v>0</v>
      </c>
      <c r="D368" s="168">
        <f t="shared" si="94"/>
        <v>0</v>
      </c>
      <c r="E368" s="168">
        <f>IF(ISERROR(Personalplanung!H56/Monatsplanung!$E56*Monatsplanung!$J56),0,Personalplanung!H56/Monatsplanung!$E56*Monatsplanung!$J56)</f>
        <v>0</v>
      </c>
      <c r="F368" s="168">
        <f t="shared" si="95"/>
        <v>0</v>
      </c>
      <c r="G368" s="168">
        <f t="shared" si="96"/>
        <v>27.700831024930746</v>
      </c>
      <c r="H368" s="168">
        <f t="shared" si="97"/>
        <v>0</v>
      </c>
      <c r="I368" s="168">
        <f t="shared" si="98"/>
        <v>30</v>
      </c>
      <c r="J368" s="739"/>
      <c r="K368" s="168">
        <f>IF(J368&lt;&gt;"",J368,IF(ISERROR(Personalplanung!AB56/Monatsplanung!$E56*Monatsplanung!$J56),0,Personalplanung!AB56/Monatsplanung!$E56*Monatsplanung!$J56))</f>
        <v>0</v>
      </c>
      <c r="L368" s="740"/>
      <c r="M368" s="739"/>
      <c r="N368" s="168">
        <f>IF(M368&lt;&gt;"",M368,IF(ISERROR(Personalplanung!AC56/Monatsplanung!$E56*Monatsplanung!$J56),0,Personalplanung!AC56/Monatsplanung!$E56*Monatsplanung!$J56))</f>
        <v>0</v>
      </c>
      <c r="O368" s="740"/>
      <c r="P368" s="739"/>
      <c r="Q368" s="168">
        <f>IF(P368&lt;&gt;"",P368,IF(ISERROR(Personalplanung!AD56/Monatsplanung!$E56*Monatsplanung!$J56),0,Personalplanung!AD56/Monatsplanung!$E56*Monatsplanung!$J56))</f>
        <v>0</v>
      </c>
      <c r="R368" s="740"/>
      <c r="S368" s="739"/>
      <c r="T368" s="168">
        <f>IF(S368&lt;&gt;"",S368,IF(ISERROR(Personalplanung!AE56/Monatsplanung!$E56*Monatsplanung!$J56),0,Personalplanung!AE56/Monatsplanung!$E56*Monatsplanung!$J56))</f>
        <v>0</v>
      </c>
      <c r="U368" s="740"/>
      <c r="V368" s="168">
        <f t="shared" si="99"/>
        <v>0</v>
      </c>
      <c r="W368" s="168">
        <f>IF(ISERROR(Personalplanung!P56/Monatsplanung!$E56*Monatsplanung!$J56),0,Personalplanung!P56/Monatsplanung!$E56*Monatsplanung!$J56)</f>
        <v>0</v>
      </c>
      <c r="X368" s="168">
        <f>IF(ISERROR(Personalplanung!Q56/Monatsplanung!$E56*Monatsplanung!$J56),0,Personalplanung!Q56/Monatsplanung!$E56*Monatsplanung!$J56)</f>
        <v>0</v>
      </c>
      <c r="Y368" s="168">
        <f>IF(ISERROR(Personalplanung!R56/T1304*Stundencontrolling!T368),0,Personalplanung!R56/T1304*Stundencontrolling!T368)</f>
        <v>0</v>
      </c>
      <c r="Z368" s="168">
        <f>IF(ISERROR(Personalplanung!S56/Monatsplanung!$E56*Monatsplanung!$J56),0,Personalplanung!S56/Monatsplanung!$E56*Monatsplanung!$J56)</f>
        <v>0</v>
      </c>
      <c r="AA368" s="80">
        <f t="shared" si="100"/>
        <v>0</v>
      </c>
      <c r="AB368" s="102">
        <f t="shared" si="101"/>
        <v>0.1</v>
      </c>
      <c r="AC368" s="103">
        <f t="shared" si="102"/>
        <v>0</v>
      </c>
      <c r="AD368" s="103">
        <f t="shared" si="103"/>
        <v>0</v>
      </c>
      <c r="AE368" s="81">
        <f t="shared" si="104"/>
        <v>0</v>
      </c>
      <c r="AF368" s="539"/>
      <c r="AG368" s="104">
        <f t="shared" si="105"/>
        <v>1</v>
      </c>
      <c r="AH368" s="7">
        <f t="shared" si="106"/>
        <v>0</v>
      </c>
      <c r="AI368" s="6">
        <f t="shared" si="107"/>
        <v>0</v>
      </c>
      <c r="AJ368" s="73">
        <f t="shared" si="108"/>
        <v>0</v>
      </c>
      <c r="AK368" s="539"/>
      <c r="AL368" s="748"/>
      <c r="AM368" s="748"/>
    </row>
    <row r="369" spans="2:39" x14ac:dyDescent="0.2">
      <c r="B369" s="101" t="str">
        <f t="shared" si="93"/>
        <v/>
      </c>
      <c r="C369" s="168">
        <f>IF(ISERROR(Personalplanung!F57/Monatsplanung!$E57*Monatsplanung!$J57),0,Personalplanung!F57/Monatsplanung!$E57*Monatsplanung!$J57)</f>
        <v>0</v>
      </c>
      <c r="D369" s="168">
        <f t="shared" si="94"/>
        <v>0</v>
      </c>
      <c r="E369" s="168">
        <f>IF(ISERROR(Personalplanung!H57/Monatsplanung!$E57*Monatsplanung!$J57),0,Personalplanung!H57/Monatsplanung!$E57*Monatsplanung!$J57)</f>
        <v>0</v>
      </c>
      <c r="F369" s="168">
        <f t="shared" si="95"/>
        <v>0</v>
      </c>
      <c r="G369" s="168">
        <f t="shared" si="96"/>
        <v>27.700831024930746</v>
      </c>
      <c r="H369" s="168">
        <f t="shared" si="97"/>
        <v>0</v>
      </c>
      <c r="I369" s="168">
        <f t="shared" si="98"/>
        <v>30</v>
      </c>
      <c r="J369" s="739"/>
      <c r="K369" s="168">
        <f>IF(J369&lt;&gt;"",J369,IF(ISERROR(Personalplanung!AB57/Monatsplanung!$E57*Monatsplanung!$J57),0,Personalplanung!AB57/Monatsplanung!$E57*Monatsplanung!$J57))</f>
        <v>0</v>
      </c>
      <c r="L369" s="740"/>
      <c r="M369" s="739"/>
      <c r="N369" s="168">
        <f>IF(M369&lt;&gt;"",M369,IF(ISERROR(Personalplanung!AC57/Monatsplanung!$E57*Monatsplanung!$J57),0,Personalplanung!AC57/Monatsplanung!$E57*Monatsplanung!$J57))</f>
        <v>0</v>
      </c>
      <c r="O369" s="740"/>
      <c r="P369" s="739"/>
      <c r="Q369" s="168">
        <f>IF(P369&lt;&gt;"",P369,IF(ISERROR(Personalplanung!AD57/Monatsplanung!$E57*Monatsplanung!$J57),0,Personalplanung!AD57/Monatsplanung!$E57*Monatsplanung!$J57))</f>
        <v>0</v>
      </c>
      <c r="R369" s="740"/>
      <c r="S369" s="739"/>
      <c r="T369" s="168">
        <f>IF(S369&lt;&gt;"",S369,IF(ISERROR(Personalplanung!AE57/Monatsplanung!$E57*Monatsplanung!$J57),0,Personalplanung!AE57/Monatsplanung!$E57*Monatsplanung!$J57))</f>
        <v>0</v>
      </c>
      <c r="U369" s="740"/>
      <c r="V369" s="168">
        <f t="shared" si="99"/>
        <v>0</v>
      </c>
      <c r="W369" s="168">
        <f>IF(ISERROR(Personalplanung!P57/Monatsplanung!$E57*Monatsplanung!$J57),0,Personalplanung!P57/Monatsplanung!$E57*Monatsplanung!$J57)</f>
        <v>0</v>
      </c>
      <c r="X369" s="168">
        <f>IF(ISERROR(Personalplanung!Q57/Monatsplanung!$E57*Monatsplanung!$J57),0,Personalplanung!Q57/Monatsplanung!$E57*Monatsplanung!$J57)</f>
        <v>0</v>
      </c>
      <c r="Y369" s="168">
        <f>IF(ISERROR(Personalplanung!R57/T1305*Stundencontrolling!T369),0,Personalplanung!R57/T1305*Stundencontrolling!T369)</f>
        <v>0</v>
      </c>
      <c r="Z369" s="168">
        <f>IF(ISERROR(Personalplanung!S57/Monatsplanung!$E57*Monatsplanung!$J57),0,Personalplanung!S57/Monatsplanung!$E57*Monatsplanung!$J57)</f>
        <v>0</v>
      </c>
      <c r="AA369" s="80">
        <f t="shared" si="100"/>
        <v>0</v>
      </c>
      <c r="AB369" s="102">
        <f t="shared" si="101"/>
        <v>0.1</v>
      </c>
      <c r="AC369" s="103">
        <f t="shared" si="102"/>
        <v>0</v>
      </c>
      <c r="AD369" s="103">
        <f t="shared" si="103"/>
        <v>0</v>
      </c>
      <c r="AE369" s="81">
        <f t="shared" si="104"/>
        <v>0</v>
      </c>
      <c r="AF369" s="539"/>
      <c r="AG369" s="104">
        <f t="shared" si="105"/>
        <v>1</v>
      </c>
      <c r="AH369" s="7">
        <f t="shared" si="106"/>
        <v>0</v>
      </c>
      <c r="AI369" s="6">
        <f t="shared" si="107"/>
        <v>0</v>
      </c>
      <c r="AJ369" s="73">
        <f t="shared" si="108"/>
        <v>0</v>
      </c>
      <c r="AK369" s="539"/>
      <c r="AL369" s="748"/>
      <c r="AM369" s="748"/>
    </row>
    <row r="370" spans="2:39" x14ac:dyDescent="0.2">
      <c r="B370" s="101" t="str">
        <f t="shared" si="93"/>
        <v/>
      </c>
      <c r="C370" s="168">
        <f>IF(ISERROR(Personalplanung!F58/Monatsplanung!$E58*Monatsplanung!$J58),0,Personalplanung!F58/Monatsplanung!$E58*Monatsplanung!$J58)</f>
        <v>0</v>
      </c>
      <c r="D370" s="168">
        <f t="shared" si="94"/>
        <v>0</v>
      </c>
      <c r="E370" s="168">
        <f>IF(ISERROR(Personalplanung!H58/Monatsplanung!$E58*Monatsplanung!$J58),0,Personalplanung!H58/Monatsplanung!$E58*Monatsplanung!$J58)</f>
        <v>0</v>
      </c>
      <c r="F370" s="168">
        <f t="shared" si="95"/>
        <v>0</v>
      </c>
      <c r="G370" s="168">
        <f t="shared" si="96"/>
        <v>27.700831024930746</v>
      </c>
      <c r="H370" s="168">
        <f t="shared" si="97"/>
        <v>0</v>
      </c>
      <c r="I370" s="168">
        <f t="shared" si="98"/>
        <v>30</v>
      </c>
      <c r="J370" s="739"/>
      <c r="K370" s="168">
        <f>IF(J370&lt;&gt;"",J370,IF(ISERROR(Personalplanung!AB58/Monatsplanung!$E58*Monatsplanung!$J58),0,Personalplanung!AB58/Monatsplanung!$E58*Monatsplanung!$J58))</f>
        <v>0</v>
      </c>
      <c r="L370" s="740"/>
      <c r="M370" s="739"/>
      <c r="N370" s="168">
        <f>IF(M370&lt;&gt;"",M370,IF(ISERROR(Personalplanung!AC58/Monatsplanung!$E58*Monatsplanung!$J58),0,Personalplanung!AC58/Monatsplanung!$E58*Monatsplanung!$J58))</f>
        <v>0</v>
      </c>
      <c r="O370" s="740"/>
      <c r="P370" s="739"/>
      <c r="Q370" s="168">
        <f>IF(P370&lt;&gt;"",P370,IF(ISERROR(Personalplanung!AD58/Monatsplanung!$E58*Monatsplanung!$J58),0,Personalplanung!AD58/Monatsplanung!$E58*Monatsplanung!$J58))</f>
        <v>0</v>
      </c>
      <c r="R370" s="740"/>
      <c r="S370" s="739"/>
      <c r="T370" s="168">
        <f>IF(S370&lt;&gt;"",S370,IF(ISERROR(Personalplanung!AE58/Monatsplanung!$E58*Monatsplanung!$J58),0,Personalplanung!AE58/Monatsplanung!$E58*Monatsplanung!$J58))</f>
        <v>0</v>
      </c>
      <c r="U370" s="740"/>
      <c r="V370" s="168">
        <f t="shared" si="99"/>
        <v>0</v>
      </c>
      <c r="W370" s="168">
        <f>IF(ISERROR(Personalplanung!P58/Monatsplanung!$E58*Monatsplanung!$J58),0,Personalplanung!P58/Monatsplanung!$E58*Monatsplanung!$J58)</f>
        <v>0</v>
      </c>
      <c r="X370" s="168">
        <f>IF(ISERROR(Personalplanung!Q58/Monatsplanung!$E58*Monatsplanung!$J58),0,Personalplanung!Q58/Monatsplanung!$E58*Monatsplanung!$J58)</f>
        <v>0</v>
      </c>
      <c r="Y370" s="168">
        <f>IF(ISERROR(Personalplanung!R58/T1306*Stundencontrolling!T370),0,Personalplanung!R58/T1306*Stundencontrolling!T370)</f>
        <v>0</v>
      </c>
      <c r="Z370" s="168">
        <f>IF(ISERROR(Personalplanung!S58/Monatsplanung!$E58*Monatsplanung!$J58),0,Personalplanung!S58/Monatsplanung!$E58*Monatsplanung!$J58)</f>
        <v>0</v>
      </c>
      <c r="AA370" s="80">
        <f t="shared" si="100"/>
        <v>0</v>
      </c>
      <c r="AB370" s="102">
        <f t="shared" si="101"/>
        <v>0.1</v>
      </c>
      <c r="AC370" s="103">
        <f t="shared" si="102"/>
        <v>0</v>
      </c>
      <c r="AD370" s="103">
        <f t="shared" si="103"/>
        <v>0</v>
      </c>
      <c r="AE370" s="81">
        <f t="shared" si="104"/>
        <v>0</v>
      </c>
      <c r="AF370" s="539"/>
      <c r="AG370" s="104">
        <f t="shared" si="105"/>
        <v>1</v>
      </c>
      <c r="AH370" s="7">
        <f t="shared" si="106"/>
        <v>0</v>
      </c>
      <c r="AI370" s="6">
        <f t="shared" si="107"/>
        <v>0</v>
      </c>
      <c r="AJ370" s="73">
        <f t="shared" si="108"/>
        <v>0</v>
      </c>
      <c r="AK370" s="539"/>
      <c r="AL370" s="748"/>
      <c r="AM370" s="748"/>
    </row>
    <row r="371" spans="2:39" x14ac:dyDescent="0.2">
      <c r="B371" s="101" t="str">
        <f t="shared" si="93"/>
        <v/>
      </c>
      <c r="C371" s="168">
        <f>IF(ISERROR(Personalplanung!F59/Monatsplanung!$E59*Monatsplanung!$J59),0,Personalplanung!F59/Monatsplanung!$E59*Monatsplanung!$J59)</f>
        <v>0</v>
      </c>
      <c r="D371" s="168">
        <f t="shared" si="94"/>
        <v>0</v>
      </c>
      <c r="E371" s="168">
        <f>IF(ISERROR(Personalplanung!H59/Monatsplanung!$E59*Monatsplanung!$J59),0,Personalplanung!H59/Monatsplanung!$E59*Monatsplanung!$J59)</f>
        <v>0</v>
      </c>
      <c r="F371" s="168">
        <f t="shared" si="95"/>
        <v>0</v>
      </c>
      <c r="G371" s="168">
        <f t="shared" si="96"/>
        <v>27.700831024930746</v>
      </c>
      <c r="H371" s="168">
        <f t="shared" si="97"/>
        <v>0</v>
      </c>
      <c r="I371" s="168">
        <f t="shared" si="98"/>
        <v>30</v>
      </c>
      <c r="J371" s="739"/>
      <c r="K371" s="168">
        <f>IF(J371&lt;&gt;"",J371,IF(ISERROR(Personalplanung!AB59/Monatsplanung!$E59*Monatsplanung!$J59),0,Personalplanung!AB59/Monatsplanung!$E59*Monatsplanung!$J59))</f>
        <v>0</v>
      </c>
      <c r="L371" s="740"/>
      <c r="M371" s="739"/>
      <c r="N371" s="168">
        <f>IF(M371&lt;&gt;"",M371,IF(ISERROR(Personalplanung!AC59/Monatsplanung!$E59*Monatsplanung!$J59),0,Personalplanung!AC59/Monatsplanung!$E59*Monatsplanung!$J59))</f>
        <v>0</v>
      </c>
      <c r="O371" s="740"/>
      <c r="P371" s="739"/>
      <c r="Q371" s="168">
        <f>IF(P371&lt;&gt;"",P371,IF(ISERROR(Personalplanung!AD59/Monatsplanung!$E59*Monatsplanung!$J59),0,Personalplanung!AD59/Monatsplanung!$E59*Monatsplanung!$J59))</f>
        <v>0</v>
      </c>
      <c r="R371" s="740"/>
      <c r="S371" s="739"/>
      <c r="T371" s="168">
        <f>IF(S371&lt;&gt;"",S371,IF(ISERROR(Personalplanung!AE59/Monatsplanung!$E59*Monatsplanung!$J59),0,Personalplanung!AE59/Monatsplanung!$E59*Monatsplanung!$J59))</f>
        <v>0</v>
      </c>
      <c r="U371" s="740"/>
      <c r="V371" s="168">
        <f t="shared" si="99"/>
        <v>0</v>
      </c>
      <c r="W371" s="168">
        <f>IF(ISERROR(Personalplanung!P59/Monatsplanung!$E59*Monatsplanung!$J59),0,Personalplanung!P59/Monatsplanung!$E59*Monatsplanung!$J59)</f>
        <v>0</v>
      </c>
      <c r="X371" s="168">
        <f>IF(ISERROR(Personalplanung!Q59/Monatsplanung!$E59*Monatsplanung!$J59),0,Personalplanung!Q59/Monatsplanung!$E59*Monatsplanung!$J59)</f>
        <v>0</v>
      </c>
      <c r="Y371" s="168">
        <f>IF(ISERROR(Personalplanung!R59/T1307*Stundencontrolling!T371),0,Personalplanung!R59/T1307*Stundencontrolling!T371)</f>
        <v>0</v>
      </c>
      <c r="Z371" s="168">
        <f>IF(ISERROR(Personalplanung!S59/Monatsplanung!$E59*Monatsplanung!$J59),0,Personalplanung!S59/Monatsplanung!$E59*Monatsplanung!$J59)</f>
        <v>0</v>
      </c>
      <c r="AA371" s="80">
        <f t="shared" si="100"/>
        <v>0</v>
      </c>
      <c r="AB371" s="102">
        <f t="shared" si="101"/>
        <v>0.1</v>
      </c>
      <c r="AC371" s="103">
        <f t="shared" si="102"/>
        <v>0</v>
      </c>
      <c r="AD371" s="103">
        <f t="shared" si="103"/>
        <v>0</v>
      </c>
      <c r="AE371" s="81">
        <f t="shared" si="104"/>
        <v>0</v>
      </c>
      <c r="AF371" s="539"/>
      <c r="AG371" s="104">
        <f t="shared" si="105"/>
        <v>1</v>
      </c>
      <c r="AH371" s="7">
        <f t="shared" si="106"/>
        <v>0</v>
      </c>
      <c r="AI371" s="6">
        <f t="shared" si="107"/>
        <v>0</v>
      </c>
      <c r="AJ371" s="73">
        <f t="shared" si="108"/>
        <v>0</v>
      </c>
      <c r="AK371" s="539"/>
      <c r="AL371" s="748"/>
      <c r="AM371" s="748"/>
    </row>
    <row r="372" spans="2:39" x14ac:dyDescent="0.2">
      <c r="B372" s="101" t="str">
        <f t="shared" si="93"/>
        <v/>
      </c>
      <c r="C372" s="168">
        <f>IF(ISERROR(Personalplanung!F60/Monatsplanung!$E60*Monatsplanung!$J60),0,Personalplanung!F60/Monatsplanung!$E60*Monatsplanung!$J60)</f>
        <v>0</v>
      </c>
      <c r="D372" s="168">
        <f t="shared" si="94"/>
        <v>0</v>
      </c>
      <c r="E372" s="168">
        <f>IF(ISERROR(Personalplanung!H60/Monatsplanung!$E60*Monatsplanung!$J60),0,Personalplanung!H60/Monatsplanung!$E60*Monatsplanung!$J60)</f>
        <v>0</v>
      </c>
      <c r="F372" s="168">
        <f t="shared" si="95"/>
        <v>0</v>
      </c>
      <c r="G372" s="168">
        <f t="shared" si="96"/>
        <v>27.700831024930746</v>
      </c>
      <c r="H372" s="168">
        <f t="shared" si="97"/>
        <v>0</v>
      </c>
      <c r="I372" s="168">
        <f t="shared" si="98"/>
        <v>30</v>
      </c>
      <c r="J372" s="739"/>
      <c r="K372" s="168">
        <f>IF(J372&lt;&gt;"",J372,IF(ISERROR(Personalplanung!AB60/Monatsplanung!$E60*Monatsplanung!$J60),0,Personalplanung!AB60/Monatsplanung!$E60*Monatsplanung!$J60))</f>
        <v>0</v>
      </c>
      <c r="L372" s="740"/>
      <c r="M372" s="739"/>
      <c r="N372" s="168">
        <f>IF(M372&lt;&gt;"",M372,IF(ISERROR(Personalplanung!AC60/Monatsplanung!$E60*Monatsplanung!$J60),0,Personalplanung!AC60/Monatsplanung!$E60*Monatsplanung!$J60))</f>
        <v>0</v>
      </c>
      <c r="O372" s="740"/>
      <c r="P372" s="739"/>
      <c r="Q372" s="168">
        <f>IF(P372&lt;&gt;"",P372,IF(ISERROR(Personalplanung!AD60/Monatsplanung!$E60*Monatsplanung!$J60),0,Personalplanung!AD60/Monatsplanung!$E60*Monatsplanung!$J60))</f>
        <v>0</v>
      </c>
      <c r="R372" s="740"/>
      <c r="S372" s="739"/>
      <c r="T372" s="168">
        <f>IF(S372&lt;&gt;"",S372,IF(ISERROR(Personalplanung!AE60/Monatsplanung!$E60*Monatsplanung!$J60),0,Personalplanung!AE60/Monatsplanung!$E60*Monatsplanung!$J60))</f>
        <v>0</v>
      </c>
      <c r="U372" s="740"/>
      <c r="V372" s="168">
        <f t="shared" si="99"/>
        <v>0</v>
      </c>
      <c r="W372" s="168">
        <f>IF(ISERROR(Personalplanung!P60/Monatsplanung!$E60*Monatsplanung!$J60),0,Personalplanung!P60/Monatsplanung!$E60*Monatsplanung!$J60)</f>
        <v>0</v>
      </c>
      <c r="X372" s="168">
        <f>IF(ISERROR(Personalplanung!Q60/Monatsplanung!$E60*Monatsplanung!$J60),0,Personalplanung!Q60/Monatsplanung!$E60*Monatsplanung!$J60)</f>
        <v>0</v>
      </c>
      <c r="Y372" s="168">
        <f>IF(ISERROR(Personalplanung!R60/T1308*Stundencontrolling!T372),0,Personalplanung!R60/T1308*Stundencontrolling!T372)</f>
        <v>0</v>
      </c>
      <c r="Z372" s="168">
        <f>IF(ISERROR(Personalplanung!S60/Monatsplanung!$E60*Monatsplanung!$J60),0,Personalplanung!S60/Monatsplanung!$E60*Monatsplanung!$J60)</f>
        <v>0</v>
      </c>
      <c r="AA372" s="80">
        <f t="shared" si="100"/>
        <v>0</v>
      </c>
      <c r="AB372" s="102">
        <f t="shared" si="101"/>
        <v>0.1</v>
      </c>
      <c r="AC372" s="103">
        <f t="shared" si="102"/>
        <v>0</v>
      </c>
      <c r="AD372" s="103">
        <f t="shared" si="103"/>
        <v>0</v>
      </c>
      <c r="AE372" s="81">
        <f t="shared" si="104"/>
        <v>0</v>
      </c>
      <c r="AF372" s="539"/>
      <c r="AG372" s="104">
        <f t="shared" si="105"/>
        <v>1</v>
      </c>
      <c r="AH372" s="7">
        <f t="shared" si="106"/>
        <v>0</v>
      </c>
      <c r="AI372" s="6">
        <f t="shared" si="107"/>
        <v>0</v>
      </c>
      <c r="AJ372" s="73">
        <f t="shared" si="108"/>
        <v>0</v>
      </c>
      <c r="AK372" s="539"/>
      <c r="AL372" s="748"/>
      <c r="AM372" s="748"/>
    </row>
    <row r="373" spans="2:39" x14ac:dyDescent="0.2">
      <c r="B373" s="101" t="str">
        <f t="shared" si="93"/>
        <v/>
      </c>
      <c r="C373" s="168">
        <f>IF(ISERROR(Personalplanung!F61/Monatsplanung!$E61*Monatsplanung!$J61),0,Personalplanung!F61/Monatsplanung!$E61*Monatsplanung!$J61)</f>
        <v>0</v>
      </c>
      <c r="D373" s="168">
        <f t="shared" si="94"/>
        <v>0</v>
      </c>
      <c r="E373" s="168">
        <f>IF(ISERROR(Personalplanung!H61/Monatsplanung!$E61*Monatsplanung!$J61),0,Personalplanung!H61/Monatsplanung!$E61*Monatsplanung!$J61)</f>
        <v>0</v>
      </c>
      <c r="F373" s="168">
        <f t="shared" si="95"/>
        <v>0</v>
      </c>
      <c r="G373" s="168">
        <f t="shared" si="96"/>
        <v>27.700831024930746</v>
      </c>
      <c r="H373" s="168">
        <f t="shared" si="97"/>
        <v>0</v>
      </c>
      <c r="I373" s="168">
        <f t="shared" si="98"/>
        <v>30</v>
      </c>
      <c r="J373" s="739"/>
      <c r="K373" s="168">
        <f>IF(J373&lt;&gt;"",J373,IF(ISERROR(Personalplanung!AB61/Monatsplanung!$E61*Monatsplanung!$J61),0,Personalplanung!AB61/Monatsplanung!$E61*Monatsplanung!$J61))</f>
        <v>0</v>
      </c>
      <c r="L373" s="740"/>
      <c r="M373" s="739"/>
      <c r="N373" s="168">
        <f>IF(M373&lt;&gt;"",M373,IF(ISERROR(Personalplanung!AC61/Monatsplanung!$E61*Monatsplanung!$J61),0,Personalplanung!AC61/Monatsplanung!$E61*Monatsplanung!$J61))</f>
        <v>0</v>
      </c>
      <c r="O373" s="740"/>
      <c r="P373" s="739"/>
      <c r="Q373" s="168">
        <f>IF(P373&lt;&gt;"",P373,IF(ISERROR(Personalplanung!AD61/Monatsplanung!$E61*Monatsplanung!$J61),0,Personalplanung!AD61/Monatsplanung!$E61*Monatsplanung!$J61))</f>
        <v>0</v>
      </c>
      <c r="R373" s="740"/>
      <c r="S373" s="739"/>
      <c r="T373" s="168">
        <f>IF(S373&lt;&gt;"",S373,IF(ISERROR(Personalplanung!AE61/Monatsplanung!$E61*Monatsplanung!$J61),0,Personalplanung!AE61/Monatsplanung!$E61*Monatsplanung!$J61))</f>
        <v>0</v>
      </c>
      <c r="U373" s="740"/>
      <c r="V373" s="168">
        <f t="shared" si="99"/>
        <v>0</v>
      </c>
      <c r="W373" s="168">
        <f>IF(ISERROR(Personalplanung!P61/Monatsplanung!$E61*Monatsplanung!$J61),0,Personalplanung!P61/Monatsplanung!$E61*Monatsplanung!$J61)</f>
        <v>0</v>
      </c>
      <c r="X373" s="168">
        <f>IF(ISERROR(Personalplanung!Q61/Monatsplanung!$E61*Monatsplanung!$J61),0,Personalplanung!Q61/Monatsplanung!$E61*Monatsplanung!$J61)</f>
        <v>0</v>
      </c>
      <c r="Y373" s="168">
        <f>IF(ISERROR(Personalplanung!R61/T1309*Stundencontrolling!T373),0,Personalplanung!R61/T1309*Stundencontrolling!T373)</f>
        <v>0</v>
      </c>
      <c r="Z373" s="168">
        <f>IF(ISERROR(Personalplanung!S61/Monatsplanung!$E61*Monatsplanung!$J61),0,Personalplanung!S61/Monatsplanung!$E61*Monatsplanung!$J61)</f>
        <v>0</v>
      </c>
      <c r="AA373" s="80">
        <f t="shared" si="100"/>
        <v>0</v>
      </c>
      <c r="AB373" s="102">
        <f t="shared" si="101"/>
        <v>0.1</v>
      </c>
      <c r="AC373" s="103">
        <f t="shared" si="102"/>
        <v>0</v>
      </c>
      <c r="AD373" s="103">
        <f t="shared" si="103"/>
        <v>0</v>
      </c>
      <c r="AE373" s="81">
        <f t="shared" si="104"/>
        <v>0</v>
      </c>
      <c r="AF373" s="539"/>
      <c r="AG373" s="104">
        <f t="shared" si="105"/>
        <v>1</v>
      </c>
      <c r="AH373" s="7">
        <f t="shared" si="106"/>
        <v>0</v>
      </c>
      <c r="AI373" s="6">
        <f t="shared" si="107"/>
        <v>0</v>
      </c>
      <c r="AJ373" s="73">
        <f t="shared" si="108"/>
        <v>0</v>
      </c>
      <c r="AK373" s="539"/>
      <c r="AL373" s="748"/>
      <c r="AM373" s="748"/>
    </row>
    <row r="374" spans="2:39" x14ac:dyDescent="0.2">
      <c r="B374" s="101" t="str">
        <f t="shared" si="93"/>
        <v/>
      </c>
      <c r="C374" s="168">
        <f>IF(ISERROR(Personalplanung!F62/Monatsplanung!$E62*Monatsplanung!$J62),0,Personalplanung!F62/Monatsplanung!$E62*Monatsplanung!$J62)</f>
        <v>0</v>
      </c>
      <c r="D374" s="168">
        <f t="shared" si="94"/>
        <v>0</v>
      </c>
      <c r="E374" s="168">
        <f>IF(ISERROR(Personalplanung!H62/Monatsplanung!$E62*Monatsplanung!$J62),0,Personalplanung!H62/Monatsplanung!$E62*Monatsplanung!$J62)</f>
        <v>0</v>
      </c>
      <c r="F374" s="168">
        <f t="shared" si="95"/>
        <v>0</v>
      </c>
      <c r="G374" s="168">
        <f t="shared" si="96"/>
        <v>27.700831024930746</v>
      </c>
      <c r="H374" s="168">
        <f t="shared" si="97"/>
        <v>0</v>
      </c>
      <c r="I374" s="168">
        <f t="shared" si="98"/>
        <v>30</v>
      </c>
      <c r="J374" s="739"/>
      <c r="K374" s="168">
        <f>IF(J374&lt;&gt;"",J374,IF(ISERROR(Personalplanung!AB62/Monatsplanung!$E62*Monatsplanung!$J62),0,Personalplanung!AB62/Monatsplanung!$E62*Monatsplanung!$J62))</f>
        <v>0</v>
      </c>
      <c r="L374" s="740"/>
      <c r="M374" s="739"/>
      <c r="N374" s="168">
        <f>IF(M374&lt;&gt;"",M374,IF(ISERROR(Personalplanung!AC62/Monatsplanung!$E62*Monatsplanung!$J62),0,Personalplanung!AC62/Monatsplanung!$E62*Monatsplanung!$J62))</f>
        <v>0</v>
      </c>
      <c r="O374" s="740"/>
      <c r="P374" s="739"/>
      <c r="Q374" s="168">
        <f>IF(P374&lt;&gt;"",P374,IF(ISERROR(Personalplanung!AD62/Monatsplanung!$E62*Monatsplanung!$J62),0,Personalplanung!AD62/Monatsplanung!$E62*Monatsplanung!$J62))</f>
        <v>0</v>
      </c>
      <c r="R374" s="740"/>
      <c r="S374" s="739"/>
      <c r="T374" s="168">
        <f>IF(S374&lt;&gt;"",S374,IF(ISERROR(Personalplanung!AE62/Monatsplanung!$E62*Monatsplanung!$J62),0,Personalplanung!AE62/Monatsplanung!$E62*Monatsplanung!$J62))</f>
        <v>0</v>
      </c>
      <c r="U374" s="740"/>
      <c r="V374" s="168">
        <f t="shared" si="99"/>
        <v>0</v>
      </c>
      <c r="W374" s="168">
        <f>IF(ISERROR(Personalplanung!P62/Monatsplanung!$E62*Monatsplanung!$J62),0,Personalplanung!P62/Monatsplanung!$E62*Monatsplanung!$J62)</f>
        <v>0</v>
      </c>
      <c r="X374" s="168">
        <f>IF(ISERROR(Personalplanung!Q62/Monatsplanung!$E62*Monatsplanung!$J62),0,Personalplanung!Q62/Monatsplanung!$E62*Monatsplanung!$J62)</f>
        <v>0</v>
      </c>
      <c r="Y374" s="168">
        <f>IF(ISERROR(Personalplanung!R62/T1310*Stundencontrolling!T374),0,Personalplanung!R62/T1310*Stundencontrolling!T374)</f>
        <v>0</v>
      </c>
      <c r="Z374" s="168">
        <f>IF(ISERROR(Personalplanung!S62/Monatsplanung!$E62*Monatsplanung!$J62),0,Personalplanung!S62/Monatsplanung!$E62*Monatsplanung!$J62)</f>
        <v>0</v>
      </c>
      <c r="AA374" s="80">
        <f t="shared" si="100"/>
        <v>0</v>
      </c>
      <c r="AB374" s="102">
        <f t="shared" si="101"/>
        <v>0.1</v>
      </c>
      <c r="AC374" s="103">
        <f t="shared" si="102"/>
        <v>0</v>
      </c>
      <c r="AD374" s="103">
        <f t="shared" si="103"/>
        <v>0</v>
      </c>
      <c r="AE374" s="81">
        <f t="shared" si="104"/>
        <v>0</v>
      </c>
      <c r="AF374" s="539"/>
      <c r="AG374" s="104">
        <f t="shared" si="105"/>
        <v>1</v>
      </c>
      <c r="AH374" s="7">
        <f t="shared" si="106"/>
        <v>0</v>
      </c>
      <c r="AI374" s="6">
        <f t="shared" si="107"/>
        <v>0</v>
      </c>
      <c r="AJ374" s="73">
        <f t="shared" si="108"/>
        <v>0</v>
      </c>
      <c r="AK374" s="539"/>
      <c r="AL374" s="748"/>
      <c r="AM374" s="748"/>
    </row>
    <row r="375" spans="2:39" x14ac:dyDescent="0.2">
      <c r="B375" s="101" t="str">
        <f t="shared" si="93"/>
        <v/>
      </c>
      <c r="C375" s="168">
        <f>IF(ISERROR(Personalplanung!F63/Monatsplanung!$E63*Monatsplanung!$J63),0,Personalplanung!F63/Monatsplanung!$E63*Monatsplanung!$J63)</f>
        <v>0</v>
      </c>
      <c r="D375" s="168">
        <f t="shared" si="94"/>
        <v>0</v>
      </c>
      <c r="E375" s="168">
        <f>IF(ISERROR(Personalplanung!H63/Monatsplanung!$E63*Monatsplanung!$J63),0,Personalplanung!H63/Monatsplanung!$E63*Monatsplanung!$J63)</f>
        <v>0</v>
      </c>
      <c r="F375" s="168">
        <f t="shared" si="95"/>
        <v>0</v>
      </c>
      <c r="G375" s="168">
        <f t="shared" si="96"/>
        <v>27.700831024930746</v>
      </c>
      <c r="H375" s="168">
        <f t="shared" si="97"/>
        <v>0</v>
      </c>
      <c r="I375" s="168">
        <f t="shared" si="98"/>
        <v>30</v>
      </c>
      <c r="J375" s="739"/>
      <c r="K375" s="168">
        <f>IF(J375&lt;&gt;"",J375,IF(ISERROR(Personalplanung!AB63/Monatsplanung!$E63*Monatsplanung!$J63),0,Personalplanung!AB63/Monatsplanung!$E63*Monatsplanung!$J63))</f>
        <v>0</v>
      </c>
      <c r="L375" s="740"/>
      <c r="M375" s="739"/>
      <c r="N375" s="168">
        <f>IF(M375&lt;&gt;"",M375,IF(ISERROR(Personalplanung!AC63/Monatsplanung!$E63*Monatsplanung!$J63),0,Personalplanung!AC63/Monatsplanung!$E63*Monatsplanung!$J63))</f>
        <v>0</v>
      </c>
      <c r="O375" s="740"/>
      <c r="P375" s="739"/>
      <c r="Q375" s="168">
        <f>IF(P375&lt;&gt;"",P375,IF(ISERROR(Personalplanung!AD63/Monatsplanung!$E63*Monatsplanung!$J63),0,Personalplanung!AD63/Monatsplanung!$E63*Monatsplanung!$J63))</f>
        <v>0</v>
      </c>
      <c r="R375" s="740"/>
      <c r="S375" s="739"/>
      <c r="T375" s="168">
        <f>IF(S375&lt;&gt;"",S375,IF(ISERROR(Personalplanung!AE63/Monatsplanung!$E63*Monatsplanung!$J63),0,Personalplanung!AE63/Monatsplanung!$E63*Monatsplanung!$J63))</f>
        <v>0</v>
      </c>
      <c r="U375" s="740"/>
      <c r="V375" s="168">
        <f t="shared" si="99"/>
        <v>0</v>
      </c>
      <c r="W375" s="168">
        <f>IF(ISERROR(Personalplanung!P63/Monatsplanung!$E63*Monatsplanung!$J63),0,Personalplanung!P63/Monatsplanung!$E63*Monatsplanung!$J63)</f>
        <v>0</v>
      </c>
      <c r="X375" s="168">
        <f>IF(ISERROR(Personalplanung!Q63/Monatsplanung!$E63*Monatsplanung!$J63),0,Personalplanung!Q63/Monatsplanung!$E63*Monatsplanung!$J63)</f>
        <v>0</v>
      </c>
      <c r="Y375" s="168">
        <f>IF(ISERROR(Personalplanung!R63/T1311*Stundencontrolling!T375),0,Personalplanung!R63/T1311*Stundencontrolling!T375)</f>
        <v>0</v>
      </c>
      <c r="Z375" s="168">
        <f>IF(ISERROR(Personalplanung!S63/Monatsplanung!$E63*Monatsplanung!$J63),0,Personalplanung!S63/Monatsplanung!$E63*Monatsplanung!$J63)</f>
        <v>0</v>
      </c>
      <c r="AA375" s="80">
        <f t="shared" si="100"/>
        <v>0</v>
      </c>
      <c r="AB375" s="102">
        <f t="shared" si="101"/>
        <v>0.1</v>
      </c>
      <c r="AC375" s="103">
        <f t="shared" si="102"/>
        <v>0</v>
      </c>
      <c r="AD375" s="103">
        <f t="shared" si="103"/>
        <v>0</v>
      </c>
      <c r="AE375" s="81">
        <f t="shared" si="104"/>
        <v>0</v>
      </c>
      <c r="AF375" s="539"/>
      <c r="AG375" s="104">
        <f t="shared" si="105"/>
        <v>1</v>
      </c>
      <c r="AH375" s="7">
        <f t="shared" si="106"/>
        <v>0</v>
      </c>
      <c r="AI375" s="6">
        <f t="shared" si="107"/>
        <v>0</v>
      </c>
      <c r="AJ375" s="73">
        <f t="shared" si="108"/>
        <v>0</v>
      </c>
      <c r="AK375" s="539"/>
      <c r="AL375" s="748"/>
      <c r="AM375" s="748"/>
    </row>
    <row r="376" spans="2:39" x14ac:dyDescent="0.2">
      <c r="B376" s="101" t="str">
        <f t="shared" si="93"/>
        <v/>
      </c>
      <c r="C376" s="168">
        <f>IF(ISERROR(Personalplanung!F64/Monatsplanung!$E64*Monatsplanung!$J64),0,Personalplanung!F64/Monatsplanung!$E64*Monatsplanung!$J64)</f>
        <v>0</v>
      </c>
      <c r="D376" s="168">
        <f t="shared" si="94"/>
        <v>0</v>
      </c>
      <c r="E376" s="168">
        <f>IF(ISERROR(Personalplanung!H64/Monatsplanung!$E64*Monatsplanung!$J64),0,Personalplanung!H64/Monatsplanung!$E64*Monatsplanung!$J64)</f>
        <v>0</v>
      </c>
      <c r="F376" s="168">
        <f t="shared" si="95"/>
        <v>0</v>
      </c>
      <c r="G376" s="168">
        <f t="shared" si="96"/>
        <v>27.700831024930746</v>
      </c>
      <c r="H376" s="168">
        <f t="shared" si="97"/>
        <v>0</v>
      </c>
      <c r="I376" s="168">
        <f t="shared" si="98"/>
        <v>30</v>
      </c>
      <c r="J376" s="739"/>
      <c r="K376" s="168">
        <f>IF(J376&lt;&gt;"",J376,IF(ISERROR(Personalplanung!AB64/Monatsplanung!$E64*Monatsplanung!$J64),0,Personalplanung!AB64/Monatsplanung!$E64*Monatsplanung!$J64))</f>
        <v>0</v>
      </c>
      <c r="L376" s="740"/>
      <c r="M376" s="739"/>
      <c r="N376" s="168">
        <f>IF(M376&lt;&gt;"",M376,IF(ISERROR(Personalplanung!AC64/Monatsplanung!$E64*Monatsplanung!$J64),0,Personalplanung!AC64/Monatsplanung!$E64*Monatsplanung!$J64))</f>
        <v>0</v>
      </c>
      <c r="O376" s="740"/>
      <c r="P376" s="739"/>
      <c r="Q376" s="168">
        <f>IF(P376&lt;&gt;"",P376,IF(ISERROR(Personalplanung!AD64/Monatsplanung!$E64*Monatsplanung!$J64),0,Personalplanung!AD64/Monatsplanung!$E64*Monatsplanung!$J64))</f>
        <v>0</v>
      </c>
      <c r="R376" s="740"/>
      <c r="S376" s="739"/>
      <c r="T376" s="168">
        <f>IF(S376&lt;&gt;"",S376,IF(ISERROR(Personalplanung!AE64/Monatsplanung!$E64*Monatsplanung!$J64),0,Personalplanung!AE64/Monatsplanung!$E64*Monatsplanung!$J64))</f>
        <v>0</v>
      </c>
      <c r="U376" s="740"/>
      <c r="V376" s="168">
        <f t="shared" si="99"/>
        <v>0</v>
      </c>
      <c r="W376" s="168">
        <f>IF(ISERROR(Personalplanung!P64/Monatsplanung!$E64*Monatsplanung!$J64),0,Personalplanung!P64/Monatsplanung!$E64*Monatsplanung!$J64)</f>
        <v>0</v>
      </c>
      <c r="X376" s="168">
        <f>IF(ISERROR(Personalplanung!Q64/Monatsplanung!$E64*Monatsplanung!$J64),0,Personalplanung!Q64/Monatsplanung!$E64*Monatsplanung!$J64)</f>
        <v>0</v>
      </c>
      <c r="Y376" s="168">
        <f>IF(ISERROR(Personalplanung!R64/T1312*Stundencontrolling!T376),0,Personalplanung!R64/T1312*Stundencontrolling!T376)</f>
        <v>0</v>
      </c>
      <c r="Z376" s="168">
        <f>IF(ISERROR(Personalplanung!S64/Monatsplanung!$E64*Monatsplanung!$J64),0,Personalplanung!S64/Monatsplanung!$E64*Monatsplanung!$J64)</f>
        <v>0</v>
      </c>
      <c r="AA376" s="80">
        <f t="shared" si="100"/>
        <v>0</v>
      </c>
      <c r="AB376" s="102">
        <f t="shared" si="101"/>
        <v>0.1</v>
      </c>
      <c r="AC376" s="103">
        <f t="shared" si="102"/>
        <v>0</v>
      </c>
      <c r="AD376" s="103">
        <f t="shared" si="103"/>
        <v>0</v>
      </c>
      <c r="AE376" s="81">
        <f t="shared" si="104"/>
        <v>0</v>
      </c>
      <c r="AF376" s="539"/>
      <c r="AG376" s="104">
        <f t="shared" si="105"/>
        <v>1</v>
      </c>
      <c r="AH376" s="7">
        <f t="shared" si="106"/>
        <v>0</v>
      </c>
      <c r="AI376" s="6">
        <f t="shared" si="107"/>
        <v>0</v>
      </c>
      <c r="AJ376" s="73">
        <f t="shared" si="108"/>
        <v>0</v>
      </c>
      <c r="AK376" s="539"/>
      <c r="AL376" s="748"/>
      <c r="AM376" s="748"/>
    </row>
    <row r="377" spans="2:39" x14ac:dyDescent="0.2">
      <c r="B377" s="101" t="str">
        <f t="shared" si="93"/>
        <v/>
      </c>
      <c r="C377" s="168">
        <f>IF(ISERROR(Personalplanung!F65/Monatsplanung!$E65*Monatsplanung!$J65),0,Personalplanung!F65/Monatsplanung!$E65*Monatsplanung!$J65)</f>
        <v>0</v>
      </c>
      <c r="D377" s="168">
        <f t="shared" si="94"/>
        <v>0</v>
      </c>
      <c r="E377" s="168">
        <f>IF(ISERROR(Personalplanung!H65/Monatsplanung!$E65*Monatsplanung!$J65),0,Personalplanung!H65/Monatsplanung!$E65*Monatsplanung!$J65)</f>
        <v>0</v>
      </c>
      <c r="F377" s="168">
        <f t="shared" si="95"/>
        <v>0</v>
      </c>
      <c r="G377" s="168">
        <f t="shared" si="96"/>
        <v>27.700831024930746</v>
      </c>
      <c r="H377" s="168">
        <f t="shared" si="97"/>
        <v>0</v>
      </c>
      <c r="I377" s="168">
        <f t="shared" si="98"/>
        <v>30</v>
      </c>
      <c r="J377" s="739"/>
      <c r="K377" s="168">
        <f>IF(J377&lt;&gt;"",J377,IF(ISERROR(Personalplanung!AB65/Monatsplanung!$E65*Monatsplanung!$J65),0,Personalplanung!AB65/Monatsplanung!$E65*Monatsplanung!$J65))</f>
        <v>0</v>
      </c>
      <c r="L377" s="740"/>
      <c r="M377" s="739"/>
      <c r="N377" s="168">
        <f>IF(M377&lt;&gt;"",M377,IF(ISERROR(Personalplanung!AC65/Monatsplanung!$E65*Monatsplanung!$J65),0,Personalplanung!AC65/Monatsplanung!$E65*Monatsplanung!$J65))</f>
        <v>0</v>
      </c>
      <c r="O377" s="740"/>
      <c r="P377" s="739"/>
      <c r="Q377" s="168">
        <f>IF(P377&lt;&gt;"",P377,IF(ISERROR(Personalplanung!AD65/Monatsplanung!$E65*Monatsplanung!$J65),0,Personalplanung!AD65/Monatsplanung!$E65*Monatsplanung!$J65))</f>
        <v>0</v>
      </c>
      <c r="R377" s="740"/>
      <c r="S377" s="739"/>
      <c r="T377" s="168">
        <f>IF(S377&lt;&gt;"",S377,IF(ISERROR(Personalplanung!AE65/Monatsplanung!$E65*Monatsplanung!$J65),0,Personalplanung!AE65/Monatsplanung!$E65*Monatsplanung!$J65))</f>
        <v>0</v>
      </c>
      <c r="U377" s="740"/>
      <c r="V377" s="168">
        <f t="shared" si="99"/>
        <v>0</v>
      </c>
      <c r="W377" s="168">
        <f>IF(ISERROR(Personalplanung!P65/Monatsplanung!$E65*Monatsplanung!$J65),0,Personalplanung!P65/Monatsplanung!$E65*Monatsplanung!$J65)</f>
        <v>0</v>
      </c>
      <c r="X377" s="168">
        <f>IF(ISERROR(Personalplanung!Q65/Monatsplanung!$E65*Monatsplanung!$J65),0,Personalplanung!Q65/Monatsplanung!$E65*Monatsplanung!$J65)</f>
        <v>0</v>
      </c>
      <c r="Y377" s="168">
        <f>IF(ISERROR(Personalplanung!R65/T1313*Stundencontrolling!T377),0,Personalplanung!R65/T1313*Stundencontrolling!T377)</f>
        <v>0</v>
      </c>
      <c r="Z377" s="168">
        <f>IF(ISERROR(Personalplanung!S65/Monatsplanung!$E65*Monatsplanung!$J65),0,Personalplanung!S65/Monatsplanung!$E65*Monatsplanung!$J65)</f>
        <v>0</v>
      </c>
      <c r="AA377" s="80">
        <f t="shared" si="100"/>
        <v>0</v>
      </c>
      <c r="AB377" s="102">
        <f t="shared" si="101"/>
        <v>0.1</v>
      </c>
      <c r="AC377" s="103">
        <f t="shared" si="102"/>
        <v>0</v>
      </c>
      <c r="AD377" s="103">
        <f t="shared" si="103"/>
        <v>0</v>
      </c>
      <c r="AE377" s="81">
        <f t="shared" si="104"/>
        <v>0</v>
      </c>
      <c r="AF377" s="539"/>
      <c r="AG377" s="104">
        <f t="shared" si="105"/>
        <v>1</v>
      </c>
      <c r="AH377" s="7">
        <f t="shared" si="106"/>
        <v>0</v>
      </c>
      <c r="AI377" s="6">
        <f t="shared" si="107"/>
        <v>0</v>
      </c>
      <c r="AJ377" s="73">
        <f t="shared" si="108"/>
        <v>0</v>
      </c>
      <c r="AK377" s="539"/>
      <c r="AL377" s="748"/>
      <c r="AM377" s="748"/>
    </row>
    <row r="378" spans="2:39" x14ac:dyDescent="0.2">
      <c r="B378" s="101" t="str">
        <f t="shared" si="93"/>
        <v/>
      </c>
      <c r="C378" s="168">
        <f>IF(ISERROR(Personalplanung!F66/Monatsplanung!$E66*Monatsplanung!$J66),0,Personalplanung!F66/Monatsplanung!$E66*Monatsplanung!$J66)</f>
        <v>0</v>
      </c>
      <c r="D378" s="168">
        <f t="shared" si="94"/>
        <v>0</v>
      </c>
      <c r="E378" s="168">
        <f>IF(ISERROR(Personalplanung!H66/Monatsplanung!$E66*Monatsplanung!$J66),0,Personalplanung!H66/Monatsplanung!$E66*Monatsplanung!$J66)</f>
        <v>0</v>
      </c>
      <c r="F378" s="168">
        <f t="shared" si="95"/>
        <v>0</v>
      </c>
      <c r="G378" s="168">
        <f t="shared" si="96"/>
        <v>27.700831024930746</v>
      </c>
      <c r="H378" s="168">
        <f t="shared" si="97"/>
        <v>0</v>
      </c>
      <c r="I378" s="168">
        <f t="shared" si="98"/>
        <v>30</v>
      </c>
      <c r="J378" s="739"/>
      <c r="K378" s="168">
        <f>IF(J378&lt;&gt;"",J378,IF(ISERROR(Personalplanung!AB66/Monatsplanung!$E66*Monatsplanung!$J66),0,Personalplanung!AB66/Monatsplanung!$E66*Monatsplanung!$J66))</f>
        <v>0</v>
      </c>
      <c r="L378" s="740"/>
      <c r="M378" s="739"/>
      <c r="N378" s="168">
        <f>IF(M378&lt;&gt;"",M378,IF(ISERROR(Personalplanung!AC66/Monatsplanung!$E66*Monatsplanung!$J66),0,Personalplanung!AC66/Monatsplanung!$E66*Monatsplanung!$J66))</f>
        <v>0</v>
      </c>
      <c r="O378" s="740"/>
      <c r="P378" s="739"/>
      <c r="Q378" s="168">
        <f>IF(P378&lt;&gt;"",P378,IF(ISERROR(Personalplanung!AD66/Monatsplanung!$E66*Monatsplanung!$J66),0,Personalplanung!AD66/Monatsplanung!$E66*Monatsplanung!$J66))</f>
        <v>0</v>
      </c>
      <c r="R378" s="740"/>
      <c r="S378" s="739"/>
      <c r="T378" s="168">
        <f>IF(S378&lt;&gt;"",S378,IF(ISERROR(Personalplanung!AE66/Monatsplanung!$E66*Monatsplanung!$J66),0,Personalplanung!AE66/Monatsplanung!$E66*Monatsplanung!$J66))</f>
        <v>0</v>
      </c>
      <c r="U378" s="740"/>
      <c r="V378" s="168">
        <f t="shared" si="99"/>
        <v>0</v>
      </c>
      <c r="W378" s="168">
        <f>IF(ISERROR(Personalplanung!P66/Monatsplanung!$E66*Monatsplanung!$J66),0,Personalplanung!P66/Monatsplanung!$E66*Monatsplanung!$J66)</f>
        <v>0</v>
      </c>
      <c r="X378" s="168">
        <f>IF(ISERROR(Personalplanung!Q66/Monatsplanung!$E66*Monatsplanung!$J66),0,Personalplanung!Q66/Monatsplanung!$E66*Monatsplanung!$J66)</f>
        <v>0</v>
      </c>
      <c r="Y378" s="168">
        <f>IF(ISERROR(Personalplanung!R66/T1314*Stundencontrolling!T378),0,Personalplanung!R66/T1314*Stundencontrolling!T378)</f>
        <v>0</v>
      </c>
      <c r="Z378" s="168">
        <f>IF(ISERROR(Personalplanung!S66/Monatsplanung!$E66*Monatsplanung!$J66),0,Personalplanung!S66/Monatsplanung!$E66*Monatsplanung!$J66)</f>
        <v>0</v>
      </c>
      <c r="AA378" s="80">
        <f t="shared" si="100"/>
        <v>0</v>
      </c>
      <c r="AB378" s="102">
        <f t="shared" si="101"/>
        <v>0.1</v>
      </c>
      <c r="AC378" s="103">
        <f t="shared" si="102"/>
        <v>0</v>
      </c>
      <c r="AD378" s="103">
        <f t="shared" si="103"/>
        <v>0</v>
      </c>
      <c r="AE378" s="81">
        <f t="shared" si="104"/>
        <v>0</v>
      </c>
      <c r="AF378" s="539"/>
      <c r="AG378" s="104">
        <f t="shared" si="105"/>
        <v>1</v>
      </c>
      <c r="AH378" s="7">
        <f t="shared" si="106"/>
        <v>0</v>
      </c>
      <c r="AI378" s="6">
        <f t="shared" si="107"/>
        <v>0</v>
      </c>
      <c r="AJ378" s="73">
        <f t="shared" si="108"/>
        <v>0</v>
      </c>
      <c r="AK378" s="539"/>
      <c r="AL378" s="748"/>
      <c r="AM378" s="748"/>
    </row>
    <row r="379" spans="2:39" x14ac:dyDescent="0.2">
      <c r="B379" s="101" t="str">
        <f t="shared" si="93"/>
        <v/>
      </c>
      <c r="C379" s="168">
        <f>IF(ISERROR(Personalplanung!F67/Monatsplanung!$E67*Monatsplanung!$J67),0,Personalplanung!F67/Monatsplanung!$E67*Monatsplanung!$J67)</f>
        <v>0</v>
      </c>
      <c r="D379" s="168">
        <f t="shared" si="94"/>
        <v>0</v>
      </c>
      <c r="E379" s="168">
        <f>IF(ISERROR(Personalplanung!H67/Monatsplanung!$E67*Monatsplanung!$J67),0,Personalplanung!H67/Monatsplanung!$E67*Monatsplanung!$J67)</f>
        <v>0</v>
      </c>
      <c r="F379" s="168">
        <f t="shared" si="95"/>
        <v>0</v>
      </c>
      <c r="G379" s="168">
        <f t="shared" si="96"/>
        <v>27.700831024930746</v>
      </c>
      <c r="H379" s="168">
        <f t="shared" si="97"/>
        <v>0</v>
      </c>
      <c r="I379" s="168">
        <f t="shared" si="98"/>
        <v>30</v>
      </c>
      <c r="J379" s="739"/>
      <c r="K379" s="168">
        <f>IF(J379&lt;&gt;"",J379,IF(ISERROR(Personalplanung!AB67/Monatsplanung!$E67*Monatsplanung!$J67),0,Personalplanung!AB67/Monatsplanung!$E67*Monatsplanung!$J67))</f>
        <v>0</v>
      </c>
      <c r="L379" s="740"/>
      <c r="M379" s="739"/>
      <c r="N379" s="168">
        <f>IF(M379&lt;&gt;"",M379,IF(ISERROR(Personalplanung!AC67/Monatsplanung!$E67*Monatsplanung!$J67),0,Personalplanung!AC67/Monatsplanung!$E67*Monatsplanung!$J67))</f>
        <v>0</v>
      </c>
      <c r="O379" s="740"/>
      <c r="P379" s="739"/>
      <c r="Q379" s="168">
        <f>IF(P379&lt;&gt;"",P379,IF(ISERROR(Personalplanung!AD67/Monatsplanung!$E67*Monatsplanung!$J67),0,Personalplanung!AD67/Monatsplanung!$E67*Monatsplanung!$J67))</f>
        <v>0</v>
      </c>
      <c r="R379" s="740"/>
      <c r="S379" s="739"/>
      <c r="T379" s="168">
        <f>IF(S379&lt;&gt;"",S379,IF(ISERROR(Personalplanung!AE67/Monatsplanung!$E67*Monatsplanung!$J67),0,Personalplanung!AE67/Monatsplanung!$E67*Monatsplanung!$J67))</f>
        <v>0</v>
      </c>
      <c r="U379" s="740"/>
      <c r="V379" s="168">
        <f t="shared" si="99"/>
        <v>0</v>
      </c>
      <c r="W379" s="168">
        <f>IF(ISERROR(Personalplanung!P67/Monatsplanung!$E67*Monatsplanung!$J67),0,Personalplanung!P67/Monatsplanung!$E67*Monatsplanung!$J67)</f>
        <v>0</v>
      </c>
      <c r="X379" s="168">
        <f>IF(ISERROR(Personalplanung!Q67/Monatsplanung!$E67*Monatsplanung!$J67),0,Personalplanung!Q67/Monatsplanung!$E67*Monatsplanung!$J67)</f>
        <v>0</v>
      </c>
      <c r="Y379" s="168">
        <f>IF(ISERROR(Personalplanung!R67/T1315*Stundencontrolling!T379),0,Personalplanung!R67/T1315*Stundencontrolling!T379)</f>
        <v>0</v>
      </c>
      <c r="Z379" s="168">
        <f>IF(ISERROR(Personalplanung!S67/Monatsplanung!$E67*Monatsplanung!$J67),0,Personalplanung!S67/Monatsplanung!$E67*Monatsplanung!$J67)</f>
        <v>0</v>
      </c>
      <c r="AA379" s="80">
        <f t="shared" si="100"/>
        <v>0</v>
      </c>
      <c r="AB379" s="102">
        <f t="shared" si="101"/>
        <v>0.1</v>
      </c>
      <c r="AC379" s="103">
        <f t="shared" si="102"/>
        <v>0</v>
      </c>
      <c r="AD379" s="103">
        <f t="shared" si="103"/>
        <v>0</v>
      </c>
      <c r="AE379" s="81">
        <f t="shared" si="104"/>
        <v>0</v>
      </c>
      <c r="AF379" s="539"/>
      <c r="AG379" s="104">
        <f t="shared" si="105"/>
        <v>1</v>
      </c>
      <c r="AH379" s="7">
        <f t="shared" si="106"/>
        <v>0</v>
      </c>
      <c r="AI379" s="6">
        <f t="shared" si="107"/>
        <v>0</v>
      </c>
      <c r="AJ379" s="73">
        <f t="shared" si="108"/>
        <v>0</v>
      </c>
      <c r="AK379" s="539"/>
      <c r="AL379" s="748"/>
      <c r="AM379" s="748"/>
    </row>
    <row r="380" spans="2:39" x14ac:dyDescent="0.2">
      <c r="B380" s="101" t="str">
        <f t="shared" si="93"/>
        <v/>
      </c>
      <c r="C380" s="168">
        <f>IF(ISERROR(Personalplanung!F68/Monatsplanung!$E68*Monatsplanung!$J68),0,Personalplanung!F68/Monatsplanung!$E68*Monatsplanung!$J68)</f>
        <v>0</v>
      </c>
      <c r="D380" s="168">
        <f t="shared" si="94"/>
        <v>0</v>
      </c>
      <c r="E380" s="168">
        <f>IF(ISERROR(Personalplanung!H68/Monatsplanung!$E68*Monatsplanung!$J68),0,Personalplanung!H68/Monatsplanung!$E68*Monatsplanung!$J68)</f>
        <v>0</v>
      </c>
      <c r="F380" s="168">
        <f t="shared" si="95"/>
        <v>0</v>
      </c>
      <c r="G380" s="168">
        <f t="shared" si="96"/>
        <v>27.700831024930746</v>
      </c>
      <c r="H380" s="168">
        <f t="shared" si="97"/>
        <v>0</v>
      </c>
      <c r="I380" s="168">
        <f t="shared" si="98"/>
        <v>30</v>
      </c>
      <c r="J380" s="739"/>
      <c r="K380" s="168">
        <f>IF(J380&lt;&gt;"",J380,IF(ISERROR(Personalplanung!AB68/Monatsplanung!$E68*Monatsplanung!$J68),0,Personalplanung!AB68/Monatsplanung!$E68*Monatsplanung!$J68))</f>
        <v>0</v>
      </c>
      <c r="L380" s="740"/>
      <c r="M380" s="739"/>
      <c r="N380" s="168">
        <f>IF(M380&lt;&gt;"",M380,IF(ISERROR(Personalplanung!AC68/Monatsplanung!$E68*Monatsplanung!$J68),0,Personalplanung!AC68/Monatsplanung!$E68*Monatsplanung!$J68))</f>
        <v>0</v>
      </c>
      <c r="O380" s="740"/>
      <c r="P380" s="739"/>
      <c r="Q380" s="168">
        <f>IF(P380&lt;&gt;"",P380,IF(ISERROR(Personalplanung!AD68/Monatsplanung!$E68*Monatsplanung!$J68),0,Personalplanung!AD68/Monatsplanung!$E68*Monatsplanung!$J68))</f>
        <v>0</v>
      </c>
      <c r="R380" s="740"/>
      <c r="S380" s="739"/>
      <c r="T380" s="168">
        <f>IF(S380&lt;&gt;"",S380,IF(ISERROR(Personalplanung!AE68/Monatsplanung!$E68*Monatsplanung!$J68),0,Personalplanung!AE68/Monatsplanung!$E68*Monatsplanung!$J68))</f>
        <v>0</v>
      </c>
      <c r="U380" s="740"/>
      <c r="V380" s="168">
        <f t="shared" si="99"/>
        <v>0</v>
      </c>
      <c r="W380" s="168">
        <f>IF(ISERROR(Personalplanung!P68/Monatsplanung!$E68*Monatsplanung!$J68),0,Personalplanung!P68/Monatsplanung!$E68*Monatsplanung!$J68)</f>
        <v>0</v>
      </c>
      <c r="X380" s="168">
        <f>IF(ISERROR(Personalplanung!Q68/Monatsplanung!$E68*Monatsplanung!$J68),0,Personalplanung!Q68/Monatsplanung!$E68*Monatsplanung!$J68)</f>
        <v>0</v>
      </c>
      <c r="Y380" s="168">
        <f>IF(ISERROR(Personalplanung!R68/T1316*Stundencontrolling!T380),0,Personalplanung!R68/T1316*Stundencontrolling!T380)</f>
        <v>0</v>
      </c>
      <c r="Z380" s="168">
        <f>IF(ISERROR(Personalplanung!S68/Monatsplanung!$E68*Monatsplanung!$J68),0,Personalplanung!S68/Monatsplanung!$E68*Monatsplanung!$J68)</f>
        <v>0</v>
      </c>
      <c r="AA380" s="80">
        <f t="shared" si="100"/>
        <v>0</v>
      </c>
      <c r="AB380" s="102">
        <f t="shared" si="101"/>
        <v>0.1</v>
      </c>
      <c r="AC380" s="103">
        <f t="shared" si="102"/>
        <v>0</v>
      </c>
      <c r="AD380" s="103">
        <f t="shared" si="103"/>
        <v>0</v>
      </c>
      <c r="AE380" s="81">
        <f t="shared" si="104"/>
        <v>0</v>
      </c>
      <c r="AF380" s="539"/>
      <c r="AG380" s="104">
        <f t="shared" si="105"/>
        <v>1</v>
      </c>
      <c r="AH380" s="7">
        <f t="shared" si="106"/>
        <v>0</v>
      </c>
      <c r="AI380" s="6">
        <f t="shared" si="107"/>
        <v>0</v>
      </c>
      <c r="AJ380" s="73">
        <f t="shared" si="108"/>
        <v>0</v>
      </c>
      <c r="AK380" s="539"/>
      <c r="AL380" s="748"/>
      <c r="AM380" s="748"/>
    </row>
    <row r="381" spans="2:39" x14ac:dyDescent="0.2">
      <c r="B381" s="101" t="str">
        <f t="shared" si="93"/>
        <v/>
      </c>
      <c r="C381" s="168">
        <f>IF(ISERROR(Personalplanung!F69/Monatsplanung!$E69*Monatsplanung!$J69),0,Personalplanung!F69/Monatsplanung!$E69*Monatsplanung!$J69)</f>
        <v>0</v>
      </c>
      <c r="D381" s="168">
        <f t="shared" si="94"/>
        <v>0</v>
      </c>
      <c r="E381" s="168">
        <f>IF(ISERROR(Personalplanung!H69/Monatsplanung!$E69*Monatsplanung!$J69),0,Personalplanung!H69/Monatsplanung!$E69*Monatsplanung!$J69)</f>
        <v>0</v>
      </c>
      <c r="F381" s="168">
        <f t="shared" si="95"/>
        <v>0</v>
      </c>
      <c r="G381" s="168">
        <f t="shared" si="96"/>
        <v>27.700831024930746</v>
      </c>
      <c r="H381" s="168">
        <f t="shared" si="97"/>
        <v>0</v>
      </c>
      <c r="I381" s="168">
        <f t="shared" si="98"/>
        <v>30</v>
      </c>
      <c r="J381" s="739"/>
      <c r="K381" s="168">
        <f>IF(J381&lt;&gt;"",J381,IF(ISERROR(Personalplanung!AB69/Monatsplanung!$E69*Monatsplanung!$J69),0,Personalplanung!AB69/Monatsplanung!$E69*Monatsplanung!$J69))</f>
        <v>0</v>
      </c>
      <c r="L381" s="740"/>
      <c r="M381" s="739"/>
      <c r="N381" s="168">
        <f>IF(M381&lt;&gt;"",M381,IF(ISERROR(Personalplanung!AC69/Monatsplanung!$E69*Monatsplanung!$J69),0,Personalplanung!AC69/Monatsplanung!$E69*Monatsplanung!$J69))</f>
        <v>0</v>
      </c>
      <c r="O381" s="740"/>
      <c r="P381" s="739"/>
      <c r="Q381" s="168">
        <f>IF(P381&lt;&gt;"",P381,IF(ISERROR(Personalplanung!AD69/Monatsplanung!$E69*Monatsplanung!$J69),0,Personalplanung!AD69/Monatsplanung!$E69*Monatsplanung!$J69))</f>
        <v>0</v>
      </c>
      <c r="R381" s="740"/>
      <c r="S381" s="739"/>
      <c r="T381" s="168">
        <f>IF(S381&lt;&gt;"",S381,IF(ISERROR(Personalplanung!AE69/Monatsplanung!$E69*Monatsplanung!$J69),0,Personalplanung!AE69/Monatsplanung!$E69*Monatsplanung!$J69))</f>
        <v>0</v>
      </c>
      <c r="U381" s="740"/>
      <c r="V381" s="168">
        <f t="shared" si="99"/>
        <v>0</v>
      </c>
      <c r="W381" s="168">
        <f>IF(ISERROR(Personalplanung!P69/Monatsplanung!$E69*Monatsplanung!$J69),0,Personalplanung!P69/Monatsplanung!$E69*Monatsplanung!$J69)</f>
        <v>0</v>
      </c>
      <c r="X381" s="168">
        <f>IF(ISERROR(Personalplanung!Q69/Monatsplanung!$E69*Monatsplanung!$J69),0,Personalplanung!Q69/Monatsplanung!$E69*Monatsplanung!$J69)</f>
        <v>0</v>
      </c>
      <c r="Y381" s="168">
        <f>IF(ISERROR(Personalplanung!R69/T1317*Stundencontrolling!T381),0,Personalplanung!R69/T1317*Stundencontrolling!T381)</f>
        <v>0</v>
      </c>
      <c r="Z381" s="168">
        <f>IF(ISERROR(Personalplanung!S69/Monatsplanung!$E69*Monatsplanung!$J69),0,Personalplanung!S69/Monatsplanung!$E69*Monatsplanung!$J69)</f>
        <v>0</v>
      </c>
      <c r="AA381" s="80">
        <f t="shared" si="100"/>
        <v>0</v>
      </c>
      <c r="AB381" s="102">
        <f t="shared" si="101"/>
        <v>0.1</v>
      </c>
      <c r="AC381" s="103">
        <f t="shared" si="102"/>
        <v>0</v>
      </c>
      <c r="AD381" s="103">
        <f t="shared" si="103"/>
        <v>0</v>
      </c>
      <c r="AE381" s="81">
        <f t="shared" si="104"/>
        <v>0</v>
      </c>
      <c r="AF381" s="539"/>
      <c r="AG381" s="104">
        <f t="shared" si="105"/>
        <v>1</v>
      </c>
      <c r="AH381" s="7">
        <f t="shared" si="106"/>
        <v>0</v>
      </c>
      <c r="AI381" s="6">
        <f t="shared" si="107"/>
        <v>0</v>
      </c>
      <c r="AJ381" s="73">
        <f t="shared" si="108"/>
        <v>0</v>
      </c>
      <c r="AK381" s="539"/>
      <c r="AL381" s="748"/>
      <c r="AM381" s="748"/>
    </row>
    <row r="382" spans="2:39" x14ac:dyDescent="0.2">
      <c r="B382" s="101" t="str">
        <f t="shared" si="93"/>
        <v/>
      </c>
      <c r="C382" s="168">
        <f>IF(ISERROR(Personalplanung!F70/Monatsplanung!$E70*Monatsplanung!$J70),0,Personalplanung!F70/Monatsplanung!$E70*Monatsplanung!$J70)</f>
        <v>0</v>
      </c>
      <c r="D382" s="168">
        <f t="shared" si="94"/>
        <v>0</v>
      </c>
      <c r="E382" s="168">
        <f>IF(ISERROR(Personalplanung!H70/Monatsplanung!$E70*Monatsplanung!$J70),0,Personalplanung!H70/Monatsplanung!$E70*Monatsplanung!$J70)</f>
        <v>0</v>
      </c>
      <c r="F382" s="168">
        <f t="shared" si="95"/>
        <v>0</v>
      </c>
      <c r="G382" s="168">
        <f t="shared" si="96"/>
        <v>27.700831024930746</v>
      </c>
      <c r="H382" s="168">
        <f t="shared" si="97"/>
        <v>0</v>
      </c>
      <c r="I382" s="168">
        <f t="shared" si="98"/>
        <v>30</v>
      </c>
      <c r="J382" s="739"/>
      <c r="K382" s="168">
        <f>IF(J382&lt;&gt;"",J382,IF(ISERROR(Personalplanung!AB70/Monatsplanung!$E70*Monatsplanung!$J70),0,Personalplanung!AB70/Monatsplanung!$E70*Monatsplanung!$J70))</f>
        <v>0</v>
      </c>
      <c r="L382" s="740"/>
      <c r="M382" s="739"/>
      <c r="N382" s="168">
        <f>IF(M382&lt;&gt;"",M382,IF(ISERROR(Personalplanung!AC70/Monatsplanung!$E70*Monatsplanung!$J70),0,Personalplanung!AC70/Monatsplanung!$E70*Monatsplanung!$J70))</f>
        <v>0</v>
      </c>
      <c r="O382" s="740"/>
      <c r="P382" s="739"/>
      <c r="Q382" s="168">
        <f>IF(P382&lt;&gt;"",P382,IF(ISERROR(Personalplanung!AD70/Monatsplanung!$E70*Monatsplanung!$J70),0,Personalplanung!AD70/Monatsplanung!$E70*Monatsplanung!$J70))</f>
        <v>0</v>
      </c>
      <c r="R382" s="740"/>
      <c r="S382" s="739"/>
      <c r="T382" s="168">
        <f>IF(S382&lt;&gt;"",S382,IF(ISERROR(Personalplanung!AE70/Monatsplanung!$E70*Monatsplanung!$J70),0,Personalplanung!AE70/Monatsplanung!$E70*Monatsplanung!$J70))</f>
        <v>0</v>
      </c>
      <c r="U382" s="740"/>
      <c r="V382" s="168">
        <f t="shared" si="99"/>
        <v>0</v>
      </c>
      <c r="W382" s="168">
        <f>IF(ISERROR(Personalplanung!P70/Monatsplanung!$E70*Monatsplanung!$J70),0,Personalplanung!P70/Monatsplanung!$E70*Monatsplanung!$J70)</f>
        <v>0</v>
      </c>
      <c r="X382" s="168">
        <f>IF(ISERROR(Personalplanung!Q70/Monatsplanung!$E70*Monatsplanung!$J70),0,Personalplanung!Q70/Monatsplanung!$E70*Monatsplanung!$J70)</f>
        <v>0</v>
      </c>
      <c r="Y382" s="168">
        <f>IF(ISERROR(Personalplanung!R70/T1318*Stundencontrolling!T382),0,Personalplanung!R70/T1318*Stundencontrolling!T382)</f>
        <v>0</v>
      </c>
      <c r="Z382" s="168">
        <f>IF(ISERROR(Personalplanung!S70/Monatsplanung!$E70*Monatsplanung!$J70),0,Personalplanung!S70/Monatsplanung!$E70*Monatsplanung!$J70)</f>
        <v>0</v>
      </c>
      <c r="AA382" s="80">
        <f t="shared" si="100"/>
        <v>0</v>
      </c>
      <c r="AB382" s="102">
        <f t="shared" si="101"/>
        <v>0.1</v>
      </c>
      <c r="AC382" s="103">
        <f t="shared" si="102"/>
        <v>0</v>
      </c>
      <c r="AD382" s="103">
        <f t="shared" si="103"/>
        <v>0</v>
      </c>
      <c r="AE382" s="81">
        <f t="shared" si="104"/>
        <v>0</v>
      </c>
      <c r="AF382" s="539"/>
      <c r="AG382" s="104">
        <f t="shared" si="105"/>
        <v>1</v>
      </c>
      <c r="AH382" s="7">
        <f t="shared" si="106"/>
        <v>0</v>
      </c>
      <c r="AI382" s="6">
        <f t="shared" si="107"/>
        <v>0</v>
      </c>
      <c r="AJ382" s="73">
        <f t="shared" si="108"/>
        <v>0</v>
      </c>
      <c r="AK382" s="539"/>
      <c r="AL382" s="748"/>
      <c r="AM382" s="748"/>
    </row>
    <row r="383" spans="2:39" x14ac:dyDescent="0.2">
      <c r="B383" s="101" t="str">
        <f t="shared" ref="B383:B418" si="109">$B279</f>
        <v/>
      </c>
      <c r="C383" s="168">
        <f>IF(ISERROR(Personalplanung!F71/Monatsplanung!$E71*Monatsplanung!$J71),0,Personalplanung!F71/Monatsplanung!$E71*Monatsplanung!$J71)</f>
        <v>0</v>
      </c>
      <c r="D383" s="168">
        <f t="shared" ref="D383:D418" si="110">$D279</f>
        <v>0</v>
      </c>
      <c r="E383" s="168">
        <f>IF(ISERROR(Personalplanung!H71/Monatsplanung!$E71*Monatsplanung!$J71),0,Personalplanung!H71/Monatsplanung!$E71*Monatsplanung!$J71)</f>
        <v>0</v>
      </c>
      <c r="F383" s="168">
        <f t="shared" ref="F383:F418" si="111">+C383+E383</f>
        <v>0</v>
      </c>
      <c r="G383" s="168">
        <f t="shared" ref="G383:G418" si="112">$G$6</f>
        <v>27.700831024930746</v>
      </c>
      <c r="H383" s="168">
        <f t="shared" ref="H383:H418" si="113">+F383*G383</f>
        <v>0</v>
      </c>
      <c r="I383" s="168">
        <f t="shared" ref="I383:I418" si="114">$I$6</f>
        <v>30</v>
      </c>
      <c r="J383" s="739"/>
      <c r="K383" s="168">
        <f>IF(J383&lt;&gt;"",J383,IF(ISERROR(Personalplanung!AB71/Monatsplanung!$E71*Monatsplanung!$J71),0,Personalplanung!AB71/Monatsplanung!$E71*Monatsplanung!$J71))</f>
        <v>0</v>
      </c>
      <c r="L383" s="740"/>
      <c r="M383" s="739"/>
      <c r="N383" s="168">
        <f>IF(M383&lt;&gt;"",M383,IF(ISERROR(Personalplanung!AC71/Monatsplanung!$E71*Monatsplanung!$J71),0,Personalplanung!AC71/Monatsplanung!$E71*Monatsplanung!$J71))</f>
        <v>0</v>
      </c>
      <c r="O383" s="740"/>
      <c r="P383" s="739"/>
      <c r="Q383" s="168">
        <f>IF(P383&lt;&gt;"",P383,IF(ISERROR(Personalplanung!AD71/Monatsplanung!$E71*Monatsplanung!$J71),0,Personalplanung!AD71/Monatsplanung!$E71*Monatsplanung!$J71))</f>
        <v>0</v>
      </c>
      <c r="R383" s="740"/>
      <c r="S383" s="739"/>
      <c r="T383" s="168">
        <f>IF(S383&lt;&gt;"",S383,IF(ISERROR(Personalplanung!AE71/Monatsplanung!$E71*Monatsplanung!$J71),0,Personalplanung!AE71/Monatsplanung!$E71*Monatsplanung!$J71))</f>
        <v>0</v>
      </c>
      <c r="U383" s="740"/>
      <c r="V383" s="168">
        <f t="shared" ref="V383:V418" si="115">K383+N383+Q383+T383</f>
        <v>0</v>
      </c>
      <c r="W383" s="168">
        <f>IF(ISERROR(Personalplanung!P71/Monatsplanung!$E71*Monatsplanung!$J71),0,Personalplanung!P71/Monatsplanung!$E71*Monatsplanung!$J71)</f>
        <v>0</v>
      </c>
      <c r="X383" s="168">
        <f>IF(ISERROR(Personalplanung!Q71/Monatsplanung!$E71*Monatsplanung!$J71),0,Personalplanung!Q71/Monatsplanung!$E71*Monatsplanung!$J71)</f>
        <v>0</v>
      </c>
      <c r="Y383" s="168">
        <f>IF(ISERROR(Personalplanung!R71/T1319*Stundencontrolling!T383),0,Personalplanung!R71/T1319*Stundencontrolling!T383)</f>
        <v>0</v>
      </c>
      <c r="Z383" s="168">
        <f>IF(ISERROR(Personalplanung!S71/Monatsplanung!$E71*Monatsplanung!$J71),0,Personalplanung!S71/Monatsplanung!$E71*Monatsplanung!$J71)</f>
        <v>0</v>
      </c>
      <c r="AA383" s="80">
        <f t="shared" ref="AA383:AA418" si="116">+F383*G383*(1+I383)+SUM(W383:Z383)</f>
        <v>0</v>
      </c>
      <c r="AB383" s="102">
        <f t="shared" ref="AB383:AB418" si="117">$AB$6</f>
        <v>0.1</v>
      </c>
      <c r="AC383" s="103">
        <f t="shared" ref="AC383:AC418" si="118">AB383*AA383</f>
        <v>0</v>
      </c>
      <c r="AD383" s="103">
        <f t="shared" ref="AD383:AD418" si="119">AA383-AC383</f>
        <v>0</v>
      </c>
      <c r="AE383" s="81">
        <f t="shared" ref="AE383:AE418" si="120">(F383-(V383*$D383))*AB383</f>
        <v>0</v>
      </c>
      <c r="AF383" s="539"/>
      <c r="AG383" s="104">
        <f t="shared" ref="AG383:AG418" si="121">$AG$6</f>
        <v>1</v>
      </c>
      <c r="AH383" s="7">
        <f t="shared" ref="AH383:AH418" si="122">IF(ISERROR(AK383/AF383),0,AK383/AF383)</f>
        <v>0</v>
      </c>
      <c r="AI383" s="6">
        <f t="shared" ref="AI383:AI418" si="123">AE383*AG383</f>
        <v>0</v>
      </c>
      <c r="AJ383" s="73">
        <f t="shared" ref="AJ383:AJ418" si="124">IF(ISERROR(+AC383/AI383),0,+AC383/AI383)</f>
        <v>0</v>
      </c>
      <c r="AK383" s="539"/>
      <c r="AL383" s="748"/>
      <c r="AM383" s="748"/>
    </row>
    <row r="384" spans="2:39" x14ac:dyDescent="0.2">
      <c r="B384" s="101" t="str">
        <f t="shared" si="109"/>
        <v/>
      </c>
      <c r="C384" s="168">
        <f>IF(ISERROR(Personalplanung!F72/Monatsplanung!$E72*Monatsplanung!$J72),0,Personalplanung!F72/Monatsplanung!$E72*Monatsplanung!$J72)</f>
        <v>0</v>
      </c>
      <c r="D384" s="168">
        <f t="shared" si="110"/>
        <v>0</v>
      </c>
      <c r="E384" s="168">
        <f>IF(ISERROR(Personalplanung!H72/Monatsplanung!$E72*Monatsplanung!$J72),0,Personalplanung!H72/Monatsplanung!$E72*Monatsplanung!$J72)</f>
        <v>0</v>
      </c>
      <c r="F384" s="168">
        <f t="shared" si="111"/>
        <v>0</v>
      </c>
      <c r="G384" s="168">
        <f t="shared" si="112"/>
        <v>27.700831024930746</v>
      </c>
      <c r="H384" s="168">
        <f t="shared" si="113"/>
        <v>0</v>
      </c>
      <c r="I384" s="168">
        <f t="shared" si="114"/>
        <v>30</v>
      </c>
      <c r="J384" s="739"/>
      <c r="K384" s="168">
        <f>IF(J384&lt;&gt;"",J384,IF(ISERROR(Personalplanung!AB72/Monatsplanung!$E72*Monatsplanung!$J72),0,Personalplanung!AB72/Monatsplanung!$E72*Monatsplanung!$J72))</f>
        <v>0</v>
      </c>
      <c r="L384" s="740"/>
      <c r="M384" s="739"/>
      <c r="N384" s="168">
        <f>IF(M384&lt;&gt;"",M384,IF(ISERROR(Personalplanung!AC72/Monatsplanung!$E72*Monatsplanung!$J72),0,Personalplanung!AC72/Monatsplanung!$E72*Monatsplanung!$J72))</f>
        <v>0</v>
      </c>
      <c r="O384" s="740"/>
      <c r="P384" s="739"/>
      <c r="Q384" s="168">
        <f>IF(P384&lt;&gt;"",P384,IF(ISERROR(Personalplanung!AD72/Monatsplanung!$E72*Monatsplanung!$J72),0,Personalplanung!AD72/Monatsplanung!$E72*Monatsplanung!$J72))</f>
        <v>0</v>
      </c>
      <c r="R384" s="740"/>
      <c r="S384" s="739"/>
      <c r="T384" s="168">
        <f>IF(S384&lt;&gt;"",S384,IF(ISERROR(Personalplanung!AE72/Monatsplanung!$E72*Monatsplanung!$J72),0,Personalplanung!AE72/Monatsplanung!$E72*Monatsplanung!$J72))</f>
        <v>0</v>
      </c>
      <c r="U384" s="740"/>
      <c r="V384" s="168">
        <f t="shared" si="115"/>
        <v>0</v>
      </c>
      <c r="W384" s="168">
        <f>IF(ISERROR(Personalplanung!P72/Monatsplanung!$E72*Monatsplanung!$J72),0,Personalplanung!P72/Monatsplanung!$E72*Monatsplanung!$J72)</f>
        <v>0</v>
      </c>
      <c r="X384" s="168">
        <f>IF(ISERROR(Personalplanung!Q72/Monatsplanung!$E72*Monatsplanung!$J72),0,Personalplanung!Q72/Monatsplanung!$E72*Monatsplanung!$J72)</f>
        <v>0</v>
      </c>
      <c r="Y384" s="168">
        <f>IF(ISERROR(Personalplanung!R72/T1320*Stundencontrolling!T384),0,Personalplanung!R72/T1320*Stundencontrolling!T384)</f>
        <v>0</v>
      </c>
      <c r="Z384" s="168">
        <f>IF(ISERROR(Personalplanung!S72/Monatsplanung!$E72*Monatsplanung!$J72),0,Personalplanung!S72/Monatsplanung!$E72*Monatsplanung!$J72)</f>
        <v>0</v>
      </c>
      <c r="AA384" s="80">
        <f t="shared" si="116"/>
        <v>0</v>
      </c>
      <c r="AB384" s="102">
        <f t="shared" si="117"/>
        <v>0.1</v>
      </c>
      <c r="AC384" s="103">
        <f t="shared" si="118"/>
        <v>0</v>
      </c>
      <c r="AD384" s="103">
        <f t="shared" si="119"/>
        <v>0</v>
      </c>
      <c r="AE384" s="81">
        <f t="shared" si="120"/>
        <v>0</v>
      </c>
      <c r="AF384" s="539"/>
      <c r="AG384" s="104">
        <f t="shared" si="121"/>
        <v>1</v>
      </c>
      <c r="AH384" s="7">
        <f t="shared" si="122"/>
        <v>0</v>
      </c>
      <c r="AI384" s="6">
        <f t="shared" si="123"/>
        <v>0</v>
      </c>
      <c r="AJ384" s="73">
        <f t="shared" si="124"/>
        <v>0</v>
      </c>
      <c r="AK384" s="539"/>
      <c r="AL384" s="748"/>
      <c r="AM384" s="748"/>
    </row>
    <row r="385" spans="2:39" x14ac:dyDescent="0.2">
      <c r="B385" s="101" t="str">
        <f t="shared" si="109"/>
        <v/>
      </c>
      <c r="C385" s="168">
        <f>IF(ISERROR(Personalplanung!F73/Monatsplanung!$E73*Monatsplanung!$J73),0,Personalplanung!F73/Monatsplanung!$E73*Monatsplanung!$J73)</f>
        <v>0</v>
      </c>
      <c r="D385" s="168">
        <f t="shared" si="110"/>
        <v>0</v>
      </c>
      <c r="E385" s="168">
        <f>IF(ISERROR(Personalplanung!H73/Monatsplanung!$E73*Monatsplanung!$J73),0,Personalplanung!H73/Monatsplanung!$E73*Monatsplanung!$J73)</f>
        <v>0</v>
      </c>
      <c r="F385" s="168">
        <f t="shared" si="111"/>
        <v>0</v>
      </c>
      <c r="G385" s="168">
        <f t="shared" si="112"/>
        <v>27.700831024930746</v>
      </c>
      <c r="H385" s="168">
        <f t="shared" si="113"/>
        <v>0</v>
      </c>
      <c r="I385" s="168">
        <f t="shared" si="114"/>
        <v>30</v>
      </c>
      <c r="J385" s="739"/>
      <c r="K385" s="168">
        <f>IF(J385&lt;&gt;"",J385,IF(ISERROR(Personalplanung!AB73/Monatsplanung!$E73*Monatsplanung!$J73),0,Personalplanung!AB73/Monatsplanung!$E73*Monatsplanung!$J73))</f>
        <v>0</v>
      </c>
      <c r="L385" s="740"/>
      <c r="M385" s="739"/>
      <c r="N385" s="168">
        <f>IF(M385&lt;&gt;"",M385,IF(ISERROR(Personalplanung!AC73/Monatsplanung!$E73*Monatsplanung!$J73),0,Personalplanung!AC73/Monatsplanung!$E73*Monatsplanung!$J73))</f>
        <v>0</v>
      </c>
      <c r="O385" s="740"/>
      <c r="P385" s="739"/>
      <c r="Q385" s="168">
        <f>IF(P385&lt;&gt;"",P385,IF(ISERROR(Personalplanung!AD73/Monatsplanung!$E73*Monatsplanung!$J73),0,Personalplanung!AD73/Monatsplanung!$E73*Monatsplanung!$J73))</f>
        <v>0</v>
      </c>
      <c r="R385" s="740"/>
      <c r="S385" s="739"/>
      <c r="T385" s="168">
        <f>IF(S385&lt;&gt;"",S385,IF(ISERROR(Personalplanung!AE73/Monatsplanung!$E73*Monatsplanung!$J73),0,Personalplanung!AE73/Monatsplanung!$E73*Monatsplanung!$J73))</f>
        <v>0</v>
      </c>
      <c r="U385" s="740"/>
      <c r="V385" s="168">
        <f t="shared" si="115"/>
        <v>0</v>
      </c>
      <c r="W385" s="168">
        <f>IF(ISERROR(Personalplanung!P73/Monatsplanung!$E73*Monatsplanung!$J73),0,Personalplanung!P73/Monatsplanung!$E73*Monatsplanung!$J73)</f>
        <v>0</v>
      </c>
      <c r="X385" s="168">
        <f>IF(ISERROR(Personalplanung!Q73/Monatsplanung!$E73*Monatsplanung!$J73),0,Personalplanung!Q73/Monatsplanung!$E73*Monatsplanung!$J73)</f>
        <v>0</v>
      </c>
      <c r="Y385" s="168">
        <f>IF(ISERROR(Personalplanung!R73/T1321*Stundencontrolling!T385),0,Personalplanung!R73/T1321*Stundencontrolling!T385)</f>
        <v>0</v>
      </c>
      <c r="Z385" s="168">
        <f>IF(ISERROR(Personalplanung!S73/Monatsplanung!$E73*Monatsplanung!$J73),0,Personalplanung!S73/Monatsplanung!$E73*Monatsplanung!$J73)</f>
        <v>0</v>
      </c>
      <c r="AA385" s="80">
        <f t="shared" si="116"/>
        <v>0</v>
      </c>
      <c r="AB385" s="102">
        <f t="shared" si="117"/>
        <v>0.1</v>
      </c>
      <c r="AC385" s="103">
        <f t="shared" si="118"/>
        <v>0</v>
      </c>
      <c r="AD385" s="103">
        <f t="shared" si="119"/>
        <v>0</v>
      </c>
      <c r="AE385" s="81">
        <f t="shared" si="120"/>
        <v>0</v>
      </c>
      <c r="AF385" s="539"/>
      <c r="AG385" s="104">
        <f t="shared" si="121"/>
        <v>1</v>
      </c>
      <c r="AH385" s="7">
        <f t="shared" si="122"/>
        <v>0</v>
      </c>
      <c r="AI385" s="6">
        <f t="shared" si="123"/>
        <v>0</v>
      </c>
      <c r="AJ385" s="73">
        <f t="shared" si="124"/>
        <v>0</v>
      </c>
      <c r="AK385" s="539"/>
      <c r="AL385" s="748"/>
      <c r="AM385" s="748"/>
    </row>
    <row r="386" spans="2:39" x14ac:dyDescent="0.2">
      <c r="B386" s="101" t="str">
        <f t="shared" si="109"/>
        <v/>
      </c>
      <c r="C386" s="168">
        <f>IF(ISERROR(Personalplanung!F74/Monatsplanung!$E74*Monatsplanung!$J74),0,Personalplanung!F74/Monatsplanung!$E74*Monatsplanung!$J74)</f>
        <v>0</v>
      </c>
      <c r="D386" s="168">
        <f t="shared" si="110"/>
        <v>0</v>
      </c>
      <c r="E386" s="168">
        <f>IF(ISERROR(Personalplanung!H74/Monatsplanung!$E74*Monatsplanung!$J74),0,Personalplanung!H74/Monatsplanung!$E74*Monatsplanung!$J74)</f>
        <v>0</v>
      </c>
      <c r="F386" s="168">
        <f t="shared" si="111"/>
        <v>0</v>
      </c>
      <c r="G386" s="168">
        <f t="shared" si="112"/>
        <v>27.700831024930746</v>
      </c>
      <c r="H386" s="168">
        <f t="shared" si="113"/>
        <v>0</v>
      </c>
      <c r="I386" s="168">
        <f t="shared" si="114"/>
        <v>30</v>
      </c>
      <c r="J386" s="739"/>
      <c r="K386" s="168">
        <f>IF(J386&lt;&gt;"",J386,IF(ISERROR(Personalplanung!AB74/Monatsplanung!$E74*Monatsplanung!$J74),0,Personalplanung!AB74/Monatsplanung!$E74*Monatsplanung!$J74))</f>
        <v>0</v>
      </c>
      <c r="L386" s="740"/>
      <c r="M386" s="739"/>
      <c r="N386" s="168">
        <f>IF(M386&lt;&gt;"",M386,IF(ISERROR(Personalplanung!AC74/Monatsplanung!$E74*Monatsplanung!$J74),0,Personalplanung!AC74/Monatsplanung!$E74*Monatsplanung!$J74))</f>
        <v>0</v>
      </c>
      <c r="O386" s="740"/>
      <c r="P386" s="739"/>
      <c r="Q386" s="168">
        <f>IF(P386&lt;&gt;"",P386,IF(ISERROR(Personalplanung!AD74/Monatsplanung!$E74*Monatsplanung!$J74),0,Personalplanung!AD74/Monatsplanung!$E74*Monatsplanung!$J74))</f>
        <v>0</v>
      </c>
      <c r="R386" s="740"/>
      <c r="S386" s="739"/>
      <c r="T386" s="168">
        <f>IF(S386&lt;&gt;"",S386,IF(ISERROR(Personalplanung!AE74/Monatsplanung!$E74*Monatsplanung!$J74),0,Personalplanung!AE74/Monatsplanung!$E74*Monatsplanung!$J74))</f>
        <v>0</v>
      </c>
      <c r="U386" s="740"/>
      <c r="V386" s="168">
        <f t="shared" si="115"/>
        <v>0</v>
      </c>
      <c r="W386" s="168">
        <f>IF(ISERROR(Personalplanung!P74/Monatsplanung!$E74*Monatsplanung!$J74),0,Personalplanung!P74/Monatsplanung!$E74*Monatsplanung!$J74)</f>
        <v>0</v>
      </c>
      <c r="X386" s="168">
        <f>IF(ISERROR(Personalplanung!Q74/Monatsplanung!$E74*Monatsplanung!$J74),0,Personalplanung!Q74/Monatsplanung!$E74*Monatsplanung!$J74)</f>
        <v>0</v>
      </c>
      <c r="Y386" s="168">
        <f>IF(ISERROR(Personalplanung!R74/T1322*Stundencontrolling!T386),0,Personalplanung!R74/T1322*Stundencontrolling!T386)</f>
        <v>0</v>
      </c>
      <c r="Z386" s="168">
        <f>IF(ISERROR(Personalplanung!S74/Monatsplanung!$E74*Monatsplanung!$J74),0,Personalplanung!S74/Monatsplanung!$E74*Monatsplanung!$J74)</f>
        <v>0</v>
      </c>
      <c r="AA386" s="80">
        <f t="shared" si="116"/>
        <v>0</v>
      </c>
      <c r="AB386" s="102">
        <f t="shared" si="117"/>
        <v>0.1</v>
      </c>
      <c r="AC386" s="103">
        <f t="shared" si="118"/>
        <v>0</v>
      </c>
      <c r="AD386" s="103">
        <f t="shared" si="119"/>
        <v>0</v>
      </c>
      <c r="AE386" s="81">
        <f t="shared" si="120"/>
        <v>0</v>
      </c>
      <c r="AF386" s="539"/>
      <c r="AG386" s="104">
        <f t="shared" si="121"/>
        <v>1</v>
      </c>
      <c r="AH386" s="7">
        <f t="shared" si="122"/>
        <v>0</v>
      </c>
      <c r="AI386" s="6">
        <f t="shared" si="123"/>
        <v>0</v>
      </c>
      <c r="AJ386" s="73">
        <f t="shared" si="124"/>
        <v>0</v>
      </c>
      <c r="AK386" s="539"/>
      <c r="AL386" s="748"/>
      <c r="AM386" s="748"/>
    </row>
    <row r="387" spans="2:39" x14ac:dyDescent="0.2">
      <c r="B387" s="101" t="str">
        <f t="shared" si="109"/>
        <v/>
      </c>
      <c r="C387" s="168">
        <f>IF(ISERROR(Personalplanung!F75/Monatsplanung!$E75*Monatsplanung!$J75),0,Personalplanung!F75/Monatsplanung!$E75*Monatsplanung!$J75)</f>
        <v>0</v>
      </c>
      <c r="D387" s="168">
        <f t="shared" si="110"/>
        <v>0</v>
      </c>
      <c r="E387" s="168">
        <f>IF(ISERROR(Personalplanung!H75/Monatsplanung!$E75*Monatsplanung!$J75),0,Personalplanung!H75/Monatsplanung!$E75*Monatsplanung!$J75)</f>
        <v>0</v>
      </c>
      <c r="F387" s="168">
        <f t="shared" si="111"/>
        <v>0</v>
      </c>
      <c r="G387" s="168">
        <f t="shared" si="112"/>
        <v>27.700831024930746</v>
      </c>
      <c r="H387" s="168">
        <f t="shared" si="113"/>
        <v>0</v>
      </c>
      <c r="I387" s="168">
        <f t="shared" si="114"/>
        <v>30</v>
      </c>
      <c r="J387" s="739"/>
      <c r="K387" s="168">
        <f>IF(J387&lt;&gt;"",J387,IF(ISERROR(Personalplanung!AB75/Monatsplanung!$E75*Monatsplanung!$J75),0,Personalplanung!AB75/Monatsplanung!$E75*Monatsplanung!$J75))</f>
        <v>0</v>
      </c>
      <c r="L387" s="740"/>
      <c r="M387" s="739"/>
      <c r="N387" s="168">
        <f>IF(M387&lt;&gt;"",M387,IF(ISERROR(Personalplanung!AC75/Monatsplanung!$E75*Monatsplanung!$J75),0,Personalplanung!AC75/Monatsplanung!$E75*Monatsplanung!$J75))</f>
        <v>0</v>
      </c>
      <c r="O387" s="740"/>
      <c r="P387" s="739"/>
      <c r="Q387" s="168">
        <f>IF(P387&lt;&gt;"",P387,IF(ISERROR(Personalplanung!AD75/Monatsplanung!$E75*Monatsplanung!$J75),0,Personalplanung!AD75/Monatsplanung!$E75*Monatsplanung!$J75))</f>
        <v>0</v>
      </c>
      <c r="R387" s="740"/>
      <c r="S387" s="739"/>
      <c r="T387" s="168">
        <f>IF(S387&lt;&gt;"",S387,IF(ISERROR(Personalplanung!AE75/Monatsplanung!$E75*Monatsplanung!$J75),0,Personalplanung!AE75/Monatsplanung!$E75*Monatsplanung!$J75))</f>
        <v>0</v>
      </c>
      <c r="U387" s="740"/>
      <c r="V387" s="168">
        <f t="shared" si="115"/>
        <v>0</v>
      </c>
      <c r="W387" s="168">
        <f>IF(ISERROR(Personalplanung!P75/Monatsplanung!$E75*Monatsplanung!$J75),0,Personalplanung!P75/Monatsplanung!$E75*Monatsplanung!$J75)</f>
        <v>0</v>
      </c>
      <c r="X387" s="168">
        <f>IF(ISERROR(Personalplanung!Q75/Monatsplanung!$E75*Monatsplanung!$J75),0,Personalplanung!Q75/Monatsplanung!$E75*Monatsplanung!$J75)</f>
        <v>0</v>
      </c>
      <c r="Y387" s="168">
        <f>IF(ISERROR(Personalplanung!R75/T1323*Stundencontrolling!T387),0,Personalplanung!R75/T1323*Stundencontrolling!T387)</f>
        <v>0</v>
      </c>
      <c r="Z387" s="168">
        <f>IF(ISERROR(Personalplanung!S75/Monatsplanung!$E75*Monatsplanung!$J75),0,Personalplanung!S75/Monatsplanung!$E75*Monatsplanung!$J75)</f>
        <v>0</v>
      </c>
      <c r="AA387" s="80">
        <f t="shared" si="116"/>
        <v>0</v>
      </c>
      <c r="AB387" s="102">
        <f t="shared" si="117"/>
        <v>0.1</v>
      </c>
      <c r="AC387" s="103">
        <f t="shared" si="118"/>
        <v>0</v>
      </c>
      <c r="AD387" s="103">
        <f t="shared" si="119"/>
        <v>0</v>
      </c>
      <c r="AE387" s="81">
        <f t="shared" si="120"/>
        <v>0</v>
      </c>
      <c r="AF387" s="539"/>
      <c r="AG387" s="104">
        <f t="shared" si="121"/>
        <v>1</v>
      </c>
      <c r="AH387" s="7">
        <f t="shared" si="122"/>
        <v>0</v>
      </c>
      <c r="AI387" s="6">
        <f t="shared" si="123"/>
        <v>0</v>
      </c>
      <c r="AJ387" s="73">
        <f t="shared" si="124"/>
        <v>0</v>
      </c>
      <c r="AK387" s="539"/>
      <c r="AL387" s="748"/>
      <c r="AM387" s="748"/>
    </row>
    <row r="388" spans="2:39" x14ac:dyDescent="0.2">
      <c r="B388" s="101" t="str">
        <f t="shared" si="109"/>
        <v/>
      </c>
      <c r="C388" s="168">
        <f>IF(ISERROR(Personalplanung!F76/Monatsplanung!$E76*Monatsplanung!$J76),0,Personalplanung!F76/Monatsplanung!$E76*Monatsplanung!$J76)</f>
        <v>0</v>
      </c>
      <c r="D388" s="168">
        <f t="shared" si="110"/>
        <v>0</v>
      </c>
      <c r="E388" s="168">
        <f>IF(ISERROR(Personalplanung!H76/Monatsplanung!$E76*Monatsplanung!$J76),0,Personalplanung!H76/Monatsplanung!$E76*Monatsplanung!$J76)</f>
        <v>0</v>
      </c>
      <c r="F388" s="168">
        <f t="shared" si="111"/>
        <v>0</v>
      </c>
      <c r="G388" s="168">
        <f t="shared" si="112"/>
        <v>27.700831024930746</v>
      </c>
      <c r="H388" s="168">
        <f t="shared" si="113"/>
        <v>0</v>
      </c>
      <c r="I388" s="168">
        <f t="shared" si="114"/>
        <v>30</v>
      </c>
      <c r="J388" s="739"/>
      <c r="K388" s="168">
        <f>IF(J388&lt;&gt;"",J388,IF(ISERROR(Personalplanung!AB76/Monatsplanung!$E76*Monatsplanung!$J76),0,Personalplanung!AB76/Monatsplanung!$E76*Monatsplanung!$J76))</f>
        <v>0</v>
      </c>
      <c r="L388" s="740"/>
      <c r="M388" s="739"/>
      <c r="N388" s="168">
        <f>IF(M388&lt;&gt;"",M388,IF(ISERROR(Personalplanung!AC76/Monatsplanung!$E76*Monatsplanung!$J76),0,Personalplanung!AC76/Monatsplanung!$E76*Monatsplanung!$J76))</f>
        <v>0</v>
      </c>
      <c r="O388" s="740"/>
      <c r="P388" s="739"/>
      <c r="Q388" s="168">
        <f>IF(P388&lt;&gt;"",P388,IF(ISERROR(Personalplanung!AD76/Monatsplanung!$E76*Monatsplanung!$J76),0,Personalplanung!AD76/Monatsplanung!$E76*Monatsplanung!$J76))</f>
        <v>0</v>
      </c>
      <c r="R388" s="740"/>
      <c r="S388" s="739"/>
      <c r="T388" s="168">
        <f>IF(S388&lt;&gt;"",S388,IF(ISERROR(Personalplanung!AE76/Monatsplanung!$E76*Monatsplanung!$J76),0,Personalplanung!AE76/Monatsplanung!$E76*Monatsplanung!$J76))</f>
        <v>0</v>
      </c>
      <c r="U388" s="740"/>
      <c r="V388" s="168">
        <f t="shared" si="115"/>
        <v>0</v>
      </c>
      <c r="W388" s="168">
        <f>IF(ISERROR(Personalplanung!P76/Monatsplanung!$E76*Monatsplanung!$J76),0,Personalplanung!P76/Monatsplanung!$E76*Monatsplanung!$J76)</f>
        <v>0</v>
      </c>
      <c r="X388" s="168">
        <f>IF(ISERROR(Personalplanung!Q76/Monatsplanung!$E76*Monatsplanung!$J76),0,Personalplanung!Q76/Monatsplanung!$E76*Monatsplanung!$J76)</f>
        <v>0</v>
      </c>
      <c r="Y388" s="168">
        <f>IF(ISERROR(Personalplanung!R76/T1324*Stundencontrolling!T388),0,Personalplanung!R76/T1324*Stundencontrolling!T388)</f>
        <v>0</v>
      </c>
      <c r="Z388" s="168">
        <f>IF(ISERROR(Personalplanung!S76/Monatsplanung!$E76*Monatsplanung!$J76),0,Personalplanung!S76/Monatsplanung!$E76*Monatsplanung!$J76)</f>
        <v>0</v>
      </c>
      <c r="AA388" s="80">
        <f t="shared" si="116"/>
        <v>0</v>
      </c>
      <c r="AB388" s="102">
        <f t="shared" si="117"/>
        <v>0.1</v>
      </c>
      <c r="AC388" s="103">
        <f t="shared" si="118"/>
        <v>0</v>
      </c>
      <c r="AD388" s="103">
        <f t="shared" si="119"/>
        <v>0</v>
      </c>
      <c r="AE388" s="81">
        <f t="shared" si="120"/>
        <v>0</v>
      </c>
      <c r="AF388" s="539"/>
      <c r="AG388" s="104">
        <f t="shared" si="121"/>
        <v>1</v>
      </c>
      <c r="AH388" s="7">
        <f t="shared" si="122"/>
        <v>0</v>
      </c>
      <c r="AI388" s="6">
        <f t="shared" si="123"/>
        <v>0</v>
      </c>
      <c r="AJ388" s="73">
        <f t="shared" si="124"/>
        <v>0</v>
      </c>
      <c r="AK388" s="539"/>
      <c r="AL388" s="748"/>
      <c r="AM388" s="748"/>
    </row>
    <row r="389" spans="2:39" x14ac:dyDescent="0.2">
      <c r="B389" s="101" t="str">
        <f t="shared" si="109"/>
        <v/>
      </c>
      <c r="C389" s="168">
        <f>IF(ISERROR(Personalplanung!F77/Monatsplanung!$E77*Monatsplanung!$J77),0,Personalplanung!F77/Monatsplanung!$E77*Monatsplanung!$J77)</f>
        <v>0</v>
      </c>
      <c r="D389" s="168">
        <f t="shared" si="110"/>
        <v>0</v>
      </c>
      <c r="E389" s="168">
        <f>IF(ISERROR(Personalplanung!H77/Monatsplanung!$E77*Monatsplanung!$J77),0,Personalplanung!H77/Monatsplanung!$E77*Monatsplanung!$J77)</f>
        <v>0</v>
      </c>
      <c r="F389" s="168">
        <f t="shared" si="111"/>
        <v>0</v>
      </c>
      <c r="G389" s="168">
        <f t="shared" si="112"/>
        <v>27.700831024930746</v>
      </c>
      <c r="H389" s="168">
        <f t="shared" si="113"/>
        <v>0</v>
      </c>
      <c r="I389" s="168">
        <f t="shared" si="114"/>
        <v>30</v>
      </c>
      <c r="J389" s="739"/>
      <c r="K389" s="168">
        <f>IF(J389&lt;&gt;"",J389,IF(ISERROR(Personalplanung!AB77/Monatsplanung!$E77*Monatsplanung!$J77),0,Personalplanung!AB77/Monatsplanung!$E77*Monatsplanung!$J77))</f>
        <v>0</v>
      </c>
      <c r="L389" s="740"/>
      <c r="M389" s="739"/>
      <c r="N389" s="168">
        <f>IF(M389&lt;&gt;"",M389,IF(ISERROR(Personalplanung!AC77/Monatsplanung!$E77*Monatsplanung!$J77),0,Personalplanung!AC77/Monatsplanung!$E77*Monatsplanung!$J77))</f>
        <v>0</v>
      </c>
      <c r="O389" s="740"/>
      <c r="P389" s="739"/>
      <c r="Q389" s="168">
        <f>IF(P389&lt;&gt;"",P389,IF(ISERROR(Personalplanung!AD77/Monatsplanung!$E77*Monatsplanung!$J77),0,Personalplanung!AD77/Monatsplanung!$E77*Monatsplanung!$J77))</f>
        <v>0</v>
      </c>
      <c r="R389" s="740"/>
      <c r="S389" s="739"/>
      <c r="T389" s="168">
        <f>IF(S389&lt;&gt;"",S389,IF(ISERROR(Personalplanung!AE77/Monatsplanung!$E77*Monatsplanung!$J77),0,Personalplanung!AE77/Monatsplanung!$E77*Monatsplanung!$J77))</f>
        <v>0</v>
      </c>
      <c r="U389" s="740"/>
      <c r="V389" s="168">
        <f t="shared" si="115"/>
        <v>0</v>
      </c>
      <c r="W389" s="168">
        <f>IF(ISERROR(Personalplanung!P77/Monatsplanung!$E77*Monatsplanung!$J77),0,Personalplanung!P77/Monatsplanung!$E77*Monatsplanung!$J77)</f>
        <v>0</v>
      </c>
      <c r="X389" s="168">
        <f>IF(ISERROR(Personalplanung!Q77/Monatsplanung!$E77*Monatsplanung!$J77),0,Personalplanung!Q77/Monatsplanung!$E77*Monatsplanung!$J77)</f>
        <v>0</v>
      </c>
      <c r="Y389" s="168">
        <f>IF(ISERROR(Personalplanung!R77/T1325*Stundencontrolling!T389),0,Personalplanung!R77/T1325*Stundencontrolling!T389)</f>
        <v>0</v>
      </c>
      <c r="Z389" s="168">
        <f>IF(ISERROR(Personalplanung!S77/Monatsplanung!$E77*Monatsplanung!$J77),0,Personalplanung!S77/Monatsplanung!$E77*Monatsplanung!$J77)</f>
        <v>0</v>
      </c>
      <c r="AA389" s="80">
        <f t="shared" si="116"/>
        <v>0</v>
      </c>
      <c r="AB389" s="102">
        <f t="shared" si="117"/>
        <v>0.1</v>
      </c>
      <c r="AC389" s="103">
        <f t="shared" si="118"/>
        <v>0</v>
      </c>
      <c r="AD389" s="103">
        <f t="shared" si="119"/>
        <v>0</v>
      </c>
      <c r="AE389" s="81">
        <f t="shared" si="120"/>
        <v>0</v>
      </c>
      <c r="AF389" s="539"/>
      <c r="AG389" s="104">
        <f t="shared" si="121"/>
        <v>1</v>
      </c>
      <c r="AH389" s="7">
        <f t="shared" si="122"/>
        <v>0</v>
      </c>
      <c r="AI389" s="6">
        <f t="shared" si="123"/>
        <v>0</v>
      </c>
      <c r="AJ389" s="73">
        <f t="shared" si="124"/>
        <v>0</v>
      </c>
      <c r="AK389" s="539"/>
      <c r="AL389" s="748"/>
      <c r="AM389" s="748"/>
    </row>
    <row r="390" spans="2:39" x14ac:dyDescent="0.2">
      <c r="B390" s="101" t="str">
        <f t="shared" si="109"/>
        <v/>
      </c>
      <c r="C390" s="168">
        <f>IF(ISERROR(Personalplanung!F78/Monatsplanung!$E78*Monatsplanung!$J78),0,Personalplanung!F78/Monatsplanung!$E78*Monatsplanung!$J78)</f>
        <v>0</v>
      </c>
      <c r="D390" s="168">
        <f t="shared" si="110"/>
        <v>0</v>
      </c>
      <c r="E390" s="168">
        <f>IF(ISERROR(Personalplanung!H78/Monatsplanung!$E78*Monatsplanung!$J78),0,Personalplanung!H78/Monatsplanung!$E78*Monatsplanung!$J78)</f>
        <v>0</v>
      </c>
      <c r="F390" s="168">
        <f t="shared" si="111"/>
        <v>0</v>
      </c>
      <c r="G390" s="168">
        <f t="shared" si="112"/>
        <v>27.700831024930746</v>
      </c>
      <c r="H390" s="168">
        <f t="shared" si="113"/>
        <v>0</v>
      </c>
      <c r="I390" s="168">
        <f t="shared" si="114"/>
        <v>30</v>
      </c>
      <c r="J390" s="739"/>
      <c r="K390" s="168">
        <f>IF(J390&lt;&gt;"",J390,IF(ISERROR(Personalplanung!AB78/Monatsplanung!$E78*Monatsplanung!$J78),0,Personalplanung!AB78/Monatsplanung!$E78*Monatsplanung!$J78))</f>
        <v>0</v>
      </c>
      <c r="L390" s="740"/>
      <c r="M390" s="739"/>
      <c r="N390" s="168">
        <f>IF(M390&lt;&gt;"",M390,IF(ISERROR(Personalplanung!AC78/Monatsplanung!$E78*Monatsplanung!$J78),0,Personalplanung!AC78/Monatsplanung!$E78*Monatsplanung!$J78))</f>
        <v>0</v>
      </c>
      <c r="O390" s="740"/>
      <c r="P390" s="739"/>
      <c r="Q390" s="168">
        <f>IF(P390&lt;&gt;"",P390,IF(ISERROR(Personalplanung!AD78/Monatsplanung!$E78*Monatsplanung!$J78),0,Personalplanung!AD78/Monatsplanung!$E78*Monatsplanung!$J78))</f>
        <v>0</v>
      </c>
      <c r="R390" s="740"/>
      <c r="S390" s="739"/>
      <c r="T390" s="168">
        <f>IF(S390&lt;&gt;"",S390,IF(ISERROR(Personalplanung!AE78/Monatsplanung!$E78*Monatsplanung!$J78),0,Personalplanung!AE78/Monatsplanung!$E78*Monatsplanung!$J78))</f>
        <v>0</v>
      </c>
      <c r="U390" s="740"/>
      <c r="V390" s="168">
        <f t="shared" si="115"/>
        <v>0</v>
      </c>
      <c r="W390" s="168">
        <f>IF(ISERROR(Personalplanung!P78/Monatsplanung!$E78*Monatsplanung!$J78),0,Personalplanung!P78/Monatsplanung!$E78*Monatsplanung!$J78)</f>
        <v>0</v>
      </c>
      <c r="X390" s="168">
        <f>IF(ISERROR(Personalplanung!Q78/Monatsplanung!$E78*Monatsplanung!$J78),0,Personalplanung!Q78/Monatsplanung!$E78*Monatsplanung!$J78)</f>
        <v>0</v>
      </c>
      <c r="Y390" s="168">
        <f>IF(ISERROR(Personalplanung!R78/T1326*Stundencontrolling!T390),0,Personalplanung!R78/T1326*Stundencontrolling!T390)</f>
        <v>0</v>
      </c>
      <c r="Z390" s="168">
        <f>IF(ISERROR(Personalplanung!S78/Monatsplanung!$E78*Monatsplanung!$J78),0,Personalplanung!S78/Monatsplanung!$E78*Monatsplanung!$J78)</f>
        <v>0</v>
      </c>
      <c r="AA390" s="80">
        <f t="shared" si="116"/>
        <v>0</v>
      </c>
      <c r="AB390" s="102">
        <f t="shared" si="117"/>
        <v>0.1</v>
      </c>
      <c r="AC390" s="103">
        <f t="shared" si="118"/>
        <v>0</v>
      </c>
      <c r="AD390" s="103">
        <f t="shared" si="119"/>
        <v>0</v>
      </c>
      <c r="AE390" s="81">
        <f t="shared" si="120"/>
        <v>0</v>
      </c>
      <c r="AF390" s="539"/>
      <c r="AG390" s="104">
        <f t="shared" si="121"/>
        <v>1</v>
      </c>
      <c r="AH390" s="7">
        <f t="shared" si="122"/>
        <v>0</v>
      </c>
      <c r="AI390" s="6">
        <f t="shared" si="123"/>
        <v>0</v>
      </c>
      <c r="AJ390" s="73">
        <f t="shared" si="124"/>
        <v>0</v>
      </c>
      <c r="AK390" s="539"/>
      <c r="AL390" s="748"/>
      <c r="AM390" s="748"/>
    </row>
    <row r="391" spans="2:39" x14ac:dyDescent="0.2">
      <c r="B391" s="101" t="str">
        <f t="shared" si="109"/>
        <v/>
      </c>
      <c r="C391" s="168">
        <f>IF(ISERROR(Personalplanung!F79/Monatsplanung!$E79*Monatsplanung!$J79),0,Personalplanung!F79/Monatsplanung!$E79*Monatsplanung!$J79)</f>
        <v>0</v>
      </c>
      <c r="D391" s="168">
        <f t="shared" si="110"/>
        <v>0</v>
      </c>
      <c r="E391" s="168">
        <f>IF(ISERROR(Personalplanung!H79/Monatsplanung!$E79*Monatsplanung!$J79),0,Personalplanung!H79/Monatsplanung!$E79*Monatsplanung!$J79)</f>
        <v>0</v>
      </c>
      <c r="F391" s="168">
        <f t="shared" si="111"/>
        <v>0</v>
      </c>
      <c r="G391" s="168">
        <f t="shared" si="112"/>
        <v>27.700831024930746</v>
      </c>
      <c r="H391" s="168">
        <f t="shared" si="113"/>
        <v>0</v>
      </c>
      <c r="I391" s="168">
        <f t="shared" si="114"/>
        <v>30</v>
      </c>
      <c r="J391" s="739"/>
      <c r="K391" s="168">
        <f>IF(J391&lt;&gt;"",J391,IF(ISERROR(Personalplanung!AB79/Monatsplanung!$E79*Monatsplanung!$J79),0,Personalplanung!AB79/Monatsplanung!$E79*Monatsplanung!$J79))</f>
        <v>0</v>
      </c>
      <c r="L391" s="740"/>
      <c r="M391" s="739"/>
      <c r="N391" s="168">
        <f>IF(M391&lt;&gt;"",M391,IF(ISERROR(Personalplanung!AC79/Monatsplanung!$E79*Monatsplanung!$J79),0,Personalplanung!AC79/Monatsplanung!$E79*Monatsplanung!$J79))</f>
        <v>0</v>
      </c>
      <c r="O391" s="740"/>
      <c r="P391" s="739"/>
      <c r="Q391" s="168">
        <f>IF(P391&lt;&gt;"",P391,IF(ISERROR(Personalplanung!AD79/Monatsplanung!$E79*Monatsplanung!$J79),0,Personalplanung!AD79/Monatsplanung!$E79*Monatsplanung!$J79))</f>
        <v>0</v>
      </c>
      <c r="R391" s="740"/>
      <c r="S391" s="739"/>
      <c r="T391" s="168">
        <f>IF(S391&lt;&gt;"",S391,IF(ISERROR(Personalplanung!AE79/Monatsplanung!$E79*Monatsplanung!$J79),0,Personalplanung!AE79/Monatsplanung!$E79*Monatsplanung!$J79))</f>
        <v>0</v>
      </c>
      <c r="U391" s="740"/>
      <c r="V391" s="168">
        <f t="shared" si="115"/>
        <v>0</v>
      </c>
      <c r="W391" s="168">
        <f>IF(ISERROR(Personalplanung!P79/Monatsplanung!$E79*Monatsplanung!$J79),0,Personalplanung!P79/Monatsplanung!$E79*Monatsplanung!$J79)</f>
        <v>0</v>
      </c>
      <c r="X391" s="168">
        <f>IF(ISERROR(Personalplanung!Q79/Monatsplanung!$E79*Monatsplanung!$J79),0,Personalplanung!Q79/Monatsplanung!$E79*Monatsplanung!$J79)</f>
        <v>0</v>
      </c>
      <c r="Y391" s="168">
        <f>IF(ISERROR(Personalplanung!R79/T1327*Stundencontrolling!T391),0,Personalplanung!R79/T1327*Stundencontrolling!T391)</f>
        <v>0</v>
      </c>
      <c r="Z391" s="168">
        <f>IF(ISERROR(Personalplanung!S79/Monatsplanung!$E79*Monatsplanung!$J79),0,Personalplanung!S79/Monatsplanung!$E79*Monatsplanung!$J79)</f>
        <v>0</v>
      </c>
      <c r="AA391" s="80">
        <f t="shared" si="116"/>
        <v>0</v>
      </c>
      <c r="AB391" s="102">
        <f t="shared" si="117"/>
        <v>0.1</v>
      </c>
      <c r="AC391" s="103">
        <f t="shared" si="118"/>
        <v>0</v>
      </c>
      <c r="AD391" s="103">
        <f t="shared" si="119"/>
        <v>0</v>
      </c>
      <c r="AE391" s="81">
        <f t="shared" si="120"/>
        <v>0</v>
      </c>
      <c r="AF391" s="539"/>
      <c r="AG391" s="104">
        <f t="shared" si="121"/>
        <v>1</v>
      </c>
      <c r="AH391" s="7">
        <f t="shared" si="122"/>
        <v>0</v>
      </c>
      <c r="AI391" s="6">
        <f t="shared" si="123"/>
        <v>0</v>
      </c>
      <c r="AJ391" s="73">
        <f t="shared" si="124"/>
        <v>0</v>
      </c>
      <c r="AK391" s="539"/>
      <c r="AL391" s="748"/>
      <c r="AM391" s="748"/>
    </row>
    <row r="392" spans="2:39" x14ac:dyDescent="0.2">
      <c r="B392" s="101" t="str">
        <f t="shared" si="109"/>
        <v/>
      </c>
      <c r="C392" s="168">
        <f>IF(ISERROR(Personalplanung!F80/Monatsplanung!$E80*Monatsplanung!$J80),0,Personalplanung!F80/Monatsplanung!$E80*Monatsplanung!$J80)</f>
        <v>0</v>
      </c>
      <c r="D392" s="168">
        <f t="shared" si="110"/>
        <v>0</v>
      </c>
      <c r="E392" s="168">
        <f>IF(ISERROR(Personalplanung!H80/Monatsplanung!$E80*Monatsplanung!$J80),0,Personalplanung!H80/Monatsplanung!$E80*Monatsplanung!$J80)</f>
        <v>0</v>
      </c>
      <c r="F392" s="168">
        <f t="shared" si="111"/>
        <v>0</v>
      </c>
      <c r="G392" s="168">
        <f t="shared" si="112"/>
        <v>27.700831024930746</v>
      </c>
      <c r="H392" s="168">
        <f t="shared" si="113"/>
        <v>0</v>
      </c>
      <c r="I392" s="168">
        <f t="shared" si="114"/>
        <v>30</v>
      </c>
      <c r="J392" s="739"/>
      <c r="K392" s="168">
        <f>IF(J392&lt;&gt;"",J392,IF(ISERROR(Personalplanung!AB80/Monatsplanung!$E80*Monatsplanung!$J80),0,Personalplanung!AB80/Monatsplanung!$E80*Monatsplanung!$J80))</f>
        <v>0</v>
      </c>
      <c r="L392" s="740"/>
      <c r="M392" s="739"/>
      <c r="N392" s="168">
        <f>IF(M392&lt;&gt;"",M392,IF(ISERROR(Personalplanung!AC80/Monatsplanung!$E80*Monatsplanung!$J80),0,Personalplanung!AC80/Monatsplanung!$E80*Monatsplanung!$J80))</f>
        <v>0</v>
      </c>
      <c r="O392" s="740"/>
      <c r="P392" s="739"/>
      <c r="Q392" s="168">
        <f>IF(P392&lt;&gt;"",P392,IF(ISERROR(Personalplanung!AD80/Monatsplanung!$E80*Monatsplanung!$J80),0,Personalplanung!AD80/Monatsplanung!$E80*Monatsplanung!$J80))</f>
        <v>0</v>
      </c>
      <c r="R392" s="740"/>
      <c r="S392" s="739"/>
      <c r="T392" s="168">
        <f>IF(S392&lt;&gt;"",S392,IF(ISERROR(Personalplanung!AE80/Monatsplanung!$E80*Monatsplanung!$J80),0,Personalplanung!AE80/Monatsplanung!$E80*Monatsplanung!$J80))</f>
        <v>0</v>
      </c>
      <c r="U392" s="740"/>
      <c r="V392" s="168">
        <f t="shared" si="115"/>
        <v>0</v>
      </c>
      <c r="W392" s="168">
        <f>IF(ISERROR(Personalplanung!P80/Monatsplanung!$E80*Monatsplanung!$J80),0,Personalplanung!P80/Monatsplanung!$E80*Monatsplanung!$J80)</f>
        <v>0</v>
      </c>
      <c r="X392" s="168">
        <f>IF(ISERROR(Personalplanung!Q80/Monatsplanung!$E80*Monatsplanung!$J80),0,Personalplanung!Q80/Monatsplanung!$E80*Monatsplanung!$J80)</f>
        <v>0</v>
      </c>
      <c r="Y392" s="168">
        <f>IF(ISERROR(Personalplanung!R80/T1328*Stundencontrolling!T392),0,Personalplanung!R80/T1328*Stundencontrolling!T392)</f>
        <v>0</v>
      </c>
      <c r="Z392" s="168">
        <f>IF(ISERROR(Personalplanung!S80/Monatsplanung!$E80*Monatsplanung!$J80),0,Personalplanung!S80/Monatsplanung!$E80*Monatsplanung!$J80)</f>
        <v>0</v>
      </c>
      <c r="AA392" s="80">
        <f t="shared" si="116"/>
        <v>0</v>
      </c>
      <c r="AB392" s="102">
        <f t="shared" si="117"/>
        <v>0.1</v>
      </c>
      <c r="AC392" s="103">
        <f t="shared" si="118"/>
        <v>0</v>
      </c>
      <c r="AD392" s="103">
        <f t="shared" si="119"/>
        <v>0</v>
      </c>
      <c r="AE392" s="81">
        <f t="shared" si="120"/>
        <v>0</v>
      </c>
      <c r="AF392" s="539"/>
      <c r="AG392" s="104">
        <f t="shared" si="121"/>
        <v>1</v>
      </c>
      <c r="AH392" s="7">
        <f t="shared" si="122"/>
        <v>0</v>
      </c>
      <c r="AI392" s="6">
        <f t="shared" si="123"/>
        <v>0</v>
      </c>
      <c r="AJ392" s="73">
        <f t="shared" si="124"/>
        <v>0</v>
      </c>
      <c r="AK392" s="539"/>
      <c r="AL392" s="748"/>
      <c r="AM392" s="748"/>
    </row>
    <row r="393" spans="2:39" x14ac:dyDescent="0.2">
      <c r="B393" s="101" t="str">
        <f t="shared" si="109"/>
        <v/>
      </c>
      <c r="C393" s="168">
        <f>IF(ISERROR(Personalplanung!F81/Monatsplanung!$E81*Monatsplanung!$J81),0,Personalplanung!F81/Monatsplanung!$E81*Monatsplanung!$J81)</f>
        <v>0</v>
      </c>
      <c r="D393" s="168">
        <f t="shared" si="110"/>
        <v>0</v>
      </c>
      <c r="E393" s="168">
        <f>IF(ISERROR(Personalplanung!H81/Monatsplanung!$E81*Monatsplanung!$J81),0,Personalplanung!H81/Monatsplanung!$E81*Monatsplanung!$J81)</f>
        <v>0</v>
      </c>
      <c r="F393" s="168">
        <f t="shared" si="111"/>
        <v>0</v>
      </c>
      <c r="G393" s="168">
        <f t="shared" si="112"/>
        <v>27.700831024930746</v>
      </c>
      <c r="H393" s="168">
        <f t="shared" si="113"/>
        <v>0</v>
      </c>
      <c r="I393" s="168">
        <f t="shared" si="114"/>
        <v>30</v>
      </c>
      <c r="J393" s="739"/>
      <c r="K393" s="168">
        <f>IF(J393&lt;&gt;"",J393,IF(ISERROR(Personalplanung!AB81/Monatsplanung!$E81*Monatsplanung!$J81),0,Personalplanung!AB81/Monatsplanung!$E81*Monatsplanung!$J81))</f>
        <v>0</v>
      </c>
      <c r="L393" s="740"/>
      <c r="M393" s="739"/>
      <c r="N393" s="168">
        <f>IF(M393&lt;&gt;"",M393,IF(ISERROR(Personalplanung!AC81/Monatsplanung!$E81*Monatsplanung!$J81),0,Personalplanung!AC81/Monatsplanung!$E81*Monatsplanung!$J81))</f>
        <v>0</v>
      </c>
      <c r="O393" s="740"/>
      <c r="P393" s="739"/>
      <c r="Q393" s="168">
        <f>IF(P393&lt;&gt;"",P393,IF(ISERROR(Personalplanung!AD81/Monatsplanung!$E81*Monatsplanung!$J81),0,Personalplanung!AD81/Monatsplanung!$E81*Monatsplanung!$J81))</f>
        <v>0</v>
      </c>
      <c r="R393" s="740"/>
      <c r="S393" s="739"/>
      <c r="T393" s="168">
        <f>IF(S393&lt;&gt;"",S393,IF(ISERROR(Personalplanung!AE81/Monatsplanung!$E81*Monatsplanung!$J81),0,Personalplanung!AE81/Monatsplanung!$E81*Monatsplanung!$J81))</f>
        <v>0</v>
      </c>
      <c r="U393" s="740"/>
      <c r="V393" s="168">
        <f t="shared" si="115"/>
        <v>0</v>
      </c>
      <c r="W393" s="168">
        <f>IF(ISERROR(Personalplanung!P81/Monatsplanung!$E81*Monatsplanung!$J81),0,Personalplanung!P81/Monatsplanung!$E81*Monatsplanung!$J81)</f>
        <v>0</v>
      </c>
      <c r="X393" s="168">
        <f>IF(ISERROR(Personalplanung!Q81/Monatsplanung!$E81*Monatsplanung!$J81),0,Personalplanung!Q81/Monatsplanung!$E81*Monatsplanung!$J81)</f>
        <v>0</v>
      </c>
      <c r="Y393" s="168">
        <f>IF(ISERROR(Personalplanung!R81/T1329*Stundencontrolling!T393),0,Personalplanung!R81/T1329*Stundencontrolling!T393)</f>
        <v>0</v>
      </c>
      <c r="Z393" s="168">
        <f>IF(ISERROR(Personalplanung!S81/Monatsplanung!$E81*Monatsplanung!$J81),0,Personalplanung!S81/Monatsplanung!$E81*Monatsplanung!$J81)</f>
        <v>0</v>
      </c>
      <c r="AA393" s="80">
        <f t="shared" si="116"/>
        <v>0</v>
      </c>
      <c r="AB393" s="102">
        <f t="shared" si="117"/>
        <v>0.1</v>
      </c>
      <c r="AC393" s="103">
        <f t="shared" si="118"/>
        <v>0</v>
      </c>
      <c r="AD393" s="103">
        <f t="shared" si="119"/>
        <v>0</v>
      </c>
      <c r="AE393" s="81">
        <f t="shared" si="120"/>
        <v>0</v>
      </c>
      <c r="AF393" s="539"/>
      <c r="AG393" s="104">
        <f t="shared" si="121"/>
        <v>1</v>
      </c>
      <c r="AH393" s="7">
        <f t="shared" si="122"/>
        <v>0</v>
      </c>
      <c r="AI393" s="6">
        <f t="shared" si="123"/>
        <v>0</v>
      </c>
      <c r="AJ393" s="73">
        <f t="shared" si="124"/>
        <v>0</v>
      </c>
      <c r="AK393" s="539"/>
      <c r="AL393" s="748"/>
      <c r="AM393" s="748"/>
    </row>
    <row r="394" spans="2:39" x14ac:dyDescent="0.2">
      <c r="B394" s="101" t="str">
        <f t="shared" si="109"/>
        <v/>
      </c>
      <c r="C394" s="168">
        <f>IF(ISERROR(Personalplanung!F82/Monatsplanung!$E82*Monatsplanung!$J82),0,Personalplanung!F82/Monatsplanung!$E82*Monatsplanung!$J82)</f>
        <v>0</v>
      </c>
      <c r="D394" s="168">
        <f t="shared" si="110"/>
        <v>0</v>
      </c>
      <c r="E394" s="168">
        <f>IF(ISERROR(Personalplanung!H82/Monatsplanung!$E82*Monatsplanung!$J82),0,Personalplanung!H82/Monatsplanung!$E82*Monatsplanung!$J82)</f>
        <v>0</v>
      </c>
      <c r="F394" s="168">
        <f t="shared" si="111"/>
        <v>0</v>
      </c>
      <c r="G394" s="168">
        <f t="shared" si="112"/>
        <v>27.700831024930746</v>
      </c>
      <c r="H394" s="168">
        <f t="shared" si="113"/>
        <v>0</v>
      </c>
      <c r="I394" s="168">
        <f t="shared" si="114"/>
        <v>30</v>
      </c>
      <c r="J394" s="739"/>
      <c r="K394" s="168">
        <f>IF(J394&lt;&gt;"",J394,IF(ISERROR(Personalplanung!AB82/Monatsplanung!$E82*Monatsplanung!$J82),0,Personalplanung!AB82/Monatsplanung!$E82*Monatsplanung!$J82))</f>
        <v>0</v>
      </c>
      <c r="L394" s="740"/>
      <c r="M394" s="739"/>
      <c r="N394" s="168">
        <f>IF(M394&lt;&gt;"",M394,IF(ISERROR(Personalplanung!AC82/Monatsplanung!$E82*Monatsplanung!$J82),0,Personalplanung!AC82/Monatsplanung!$E82*Monatsplanung!$J82))</f>
        <v>0</v>
      </c>
      <c r="O394" s="740"/>
      <c r="P394" s="739"/>
      <c r="Q394" s="168">
        <f>IF(P394&lt;&gt;"",P394,IF(ISERROR(Personalplanung!AD82/Monatsplanung!$E82*Monatsplanung!$J82),0,Personalplanung!AD82/Monatsplanung!$E82*Monatsplanung!$J82))</f>
        <v>0</v>
      </c>
      <c r="R394" s="740"/>
      <c r="S394" s="739"/>
      <c r="T394" s="168">
        <f>IF(S394&lt;&gt;"",S394,IF(ISERROR(Personalplanung!AE82/Monatsplanung!$E82*Monatsplanung!$J82),0,Personalplanung!AE82/Monatsplanung!$E82*Monatsplanung!$J82))</f>
        <v>0</v>
      </c>
      <c r="U394" s="740"/>
      <c r="V394" s="168">
        <f t="shared" si="115"/>
        <v>0</v>
      </c>
      <c r="W394" s="168">
        <f>IF(ISERROR(Personalplanung!P82/Monatsplanung!$E82*Monatsplanung!$J82),0,Personalplanung!P82/Monatsplanung!$E82*Monatsplanung!$J82)</f>
        <v>0</v>
      </c>
      <c r="X394" s="168">
        <f>IF(ISERROR(Personalplanung!Q82/Monatsplanung!$E82*Monatsplanung!$J82),0,Personalplanung!Q82/Monatsplanung!$E82*Monatsplanung!$J82)</f>
        <v>0</v>
      </c>
      <c r="Y394" s="168">
        <f>IF(ISERROR(Personalplanung!R82/T1330*Stundencontrolling!T394),0,Personalplanung!R82/T1330*Stundencontrolling!T394)</f>
        <v>0</v>
      </c>
      <c r="Z394" s="168">
        <f>IF(ISERROR(Personalplanung!S82/Monatsplanung!$E82*Monatsplanung!$J82),0,Personalplanung!S82/Monatsplanung!$E82*Monatsplanung!$J82)</f>
        <v>0</v>
      </c>
      <c r="AA394" s="80">
        <f t="shared" si="116"/>
        <v>0</v>
      </c>
      <c r="AB394" s="102">
        <f t="shared" si="117"/>
        <v>0.1</v>
      </c>
      <c r="AC394" s="103">
        <f t="shared" si="118"/>
        <v>0</v>
      </c>
      <c r="AD394" s="103">
        <f t="shared" si="119"/>
        <v>0</v>
      </c>
      <c r="AE394" s="81">
        <f t="shared" si="120"/>
        <v>0</v>
      </c>
      <c r="AF394" s="539"/>
      <c r="AG394" s="104">
        <f t="shared" si="121"/>
        <v>1</v>
      </c>
      <c r="AH394" s="7">
        <f t="shared" si="122"/>
        <v>0</v>
      </c>
      <c r="AI394" s="6">
        <f t="shared" si="123"/>
        <v>0</v>
      </c>
      <c r="AJ394" s="73">
        <f t="shared" si="124"/>
        <v>0</v>
      </c>
      <c r="AK394" s="539"/>
      <c r="AL394" s="748"/>
      <c r="AM394" s="748"/>
    </row>
    <row r="395" spans="2:39" x14ac:dyDescent="0.2">
      <c r="B395" s="101" t="str">
        <f t="shared" si="109"/>
        <v/>
      </c>
      <c r="C395" s="168">
        <f>IF(ISERROR(Personalplanung!F83/Monatsplanung!$E83*Monatsplanung!$J83),0,Personalplanung!F83/Monatsplanung!$E83*Monatsplanung!$J83)</f>
        <v>0</v>
      </c>
      <c r="D395" s="168">
        <f t="shared" si="110"/>
        <v>0</v>
      </c>
      <c r="E395" s="168">
        <f>IF(ISERROR(Personalplanung!H83/Monatsplanung!$E83*Monatsplanung!$J83),0,Personalplanung!H83/Monatsplanung!$E83*Monatsplanung!$J83)</f>
        <v>0</v>
      </c>
      <c r="F395" s="168">
        <f t="shared" si="111"/>
        <v>0</v>
      </c>
      <c r="G395" s="168">
        <f t="shared" si="112"/>
        <v>27.700831024930746</v>
      </c>
      <c r="H395" s="168">
        <f t="shared" si="113"/>
        <v>0</v>
      </c>
      <c r="I395" s="168">
        <f t="shared" si="114"/>
        <v>30</v>
      </c>
      <c r="J395" s="739"/>
      <c r="K395" s="168">
        <f>IF(J395&lt;&gt;"",J395,IF(ISERROR(Personalplanung!AB83/Monatsplanung!$E83*Monatsplanung!$J83),0,Personalplanung!AB83/Monatsplanung!$E83*Monatsplanung!$J83))</f>
        <v>0</v>
      </c>
      <c r="L395" s="740"/>
      <c r="M395" s="739"/>
      <c r="N395" s="168">
        <f>IF(M395&lt;&gt;"",M395,IF(ISERROR(Personalplanung!AC83/Monatsplanung!$E83*Monatsplanung!$J83),0,Personalplanung!AC83/Monatsplanung!$E83*Monatsplanung!$J83))</f>
        <v>0</v>
      </c>
      <c r="O395" s="740"/>
      <c r="P395" s="739"/>
      <c r="Q395" s="168">
        <f>IF(P395&lt;&gt;"",P395,IF(ISERROR(Personalplanung!AD83/Monatsplanung!$E83*Monatsplanung!$J83),0,Personalplanung!AD83/Monatsplanung!$E83*Monatsplanung!$J83))</f>
        <v>0</v>
      </c>
      <c r="R395" s="740"/>
      <c r="S395" s="739"/>
      <c r="T395" s="168">
        <f>IF(S395&lt;&gt;"",S395,IF(ISERROR(Personalplanung!AE83/Monatsplanung!$E83*Monatsplanung!$J83),0,Personalplanung!AE83/Monatsplanung!$E83*Monatsplanung!$J83))</f>
        <v>0</v>
      </c>
      <c r="U395" s="740"/>
      <c r="V395" s="168">
        <f t="shared" si="115"/>
        <v>0</v>
      </c>
      <c r="W395" s="168">
        <f>IF(ISERROR(Personalplanung!P83/Monatsplanung!$E83*Monatsplanung!$J83),0,Personalplanung!P83/Monatsplanung!$E83*Monatsplanung!$J83)</f>
        <v>0</v>
      </c>
      <c r="X395" s="168">
        <f>IF(ISERROR(Personalplanung!Q83/Monatsplanung!$E83*Monatsplanung!$J83),0,Personalplanung!Q83/Monatsplanung!$E83*Monatsplanung!$J83)</f>
        <v>0</v>
      </c>
      <c r="Y395" s="168">
        <f>IF(ISERROR(Personalplanung!R83/T1331*Stundencontrolling!T395),0,Personalplanung!R83/T1331*Stundencontrolling!T395)</f>
        <v>0</v>
      </c>
      <c r="Z395" s="168">
        <f>IF(ISERROR(Personalplanung!S83/Monatsplanung!$E83*Monatsplanung!$J83),0,Personalplanung!S83/Monatsplanung!$E83*Monatsplanung!$J83)</f>
        <v>0</v>
      </c>
      <c r="AA395" s="80">
        <f t="shared" si="116"/>
        <v>0</v>
      </c>
      <c r="AB395" s="102">
        <f t="shared" si="117"/>
        <v>0.1</v>
      </c>
      <c r="AC395" s="103">
        <f t="shared" si="118"/>
        <v>0</v>
      </c>
      <c r="AD395" s="103">
        <f t="shared" si="119"/>
        <v>0</v>
      </c>
      <c r="AE395" s="81">
        <f t="shared" si="120"/>
        <v>0</v>
      </c>
      <c r="AF395" s="539"/>
      <c r="AG395" s="104">
        <f t="shared" si="121"/>
        <v>1</v>
      </c>
      <c r="AH395" s="7">
        <f t="shared" si="122"/>
        <v>0</v>
      </c>
      <c r="AI395" s="6">
        <f t="shared" si="123"/>
        <v>0</v>
      </c>
      <c r="AJ395" s="73">
        <f t="shared" si="124"/>
        <v>0</v>
      </c>
      <c r="AK395" s="539"/>
      <c r="AL395" s="748"/>
      <c r="AM395" s="748"/>
    </row>
    <row r="396" spans="2:39" x14ac:dyDescent="0.2">
      <c r="B396" s="101" t="str">
        <f t="shared" si="109"/>
        <v/>
      </c>
      <c r="C396" s="168">
        <f>IF(ISERROR(Personalplanung!F84/Monatsplanung!$E84*Monatsplanung!$J84),0,Personalplanung!F84/Monatsplanung!$E84*Monatsplanung!$J84)</f>
        <v>0</v>
      </c>
      <c r="D396" s="168">
        <f t="shared" si="110"/>
        <v>0</v>
      </c>
      <c r="E396" s="168">
        <f>IF(ISERROR(Personalplanung!H84/Monatsplanung!$E84*Monatsplanung!$J84),0,Personalplanung!H84/Monatsplanung!$E84*Monatsplanung!$J84)</f>
        <v>0</v>
      </c>
      <c r="F396" s="168">
        <f t="shared" si="111"/>
        <v>0</v>
      </c>
      <c r="G396" s="168">
        <f t="shared" si="112"/>
        <v>27.700831024930746</v>
      </c>
      <c r="H396" s="168">
        <f t="shared" si="113"/>
        <v>0</v>
      </c>
      <c r="I396" s="168">
        <f t="shared" si="114"/>
        <v>30</v>
      </c>
      <c r="J396" s="739"/>
      <c r="K396" s="168">
        <f>IF(J396&lt;&gt;"",J396,IF(ISERROR(Personalplanung!AB84/Monatsplanung!$E84*Monatsplanung!$J84),0,Personalplanung!AB84/Monatsplanung!$E84*Monatsplanung!$J84))</f>
        <v>0</v>
      </c>
      <c r="L396" s="740"/>
      <c r="M396" s="739"/>
      <c r="N396" s="168">
        <f>IF(M396&lt;&gt;"",M396,IF(ISERROR(Personalplanung!AC84/Monatsplanung!$E84*Monatsplanung!$J84),0,Personalplanung!AC84/Monatsplanung!$E84*Monatsplanung!$J84))</f>
        <v>0</v>
      </c>
      <c r="O396" s="740"/>
      <c r="P396" s="739"/>
      <c r="Q396" s="168">
        <f>IF(P396&lt;&gt;"",P396,IF(ISERROR(Personalplanung!AD84/Monatsplanung!$E84*Monatsplanung!$J84),0,Personalplanung!AD84/Monatsplanung!$E84*Monatsplanung!$J84))</f>
        <v>0</v>
      </c>
      <c r="R396" s="740"/>
      <c r="S396" s="739"/>
      <c r="T396" s="168">
        <f>IF(S396&lt;&gt;"",S396,IF(ISERROR(Personalplanung!AE84/Monatsplanung!$E84*Monatsplanung!$J84),0,Personalplanung!AE84/Monatsplanung!$E84*Monatsplanung!$J84))</f>
        <v>0</v>
      </c>
      <c r="U396" s="740"/>
      <c r="V396" s="168">
        <f t="shared" si="115"/>
        <v>0</v>
      </c>
      <c r="W396" s="168">
        <f>IF(ISERROR(Personalplanung!P84/Monatsplanung!$E84*Monatsplanung!$J84),0,Personalplanung!P84/Monatsplanung!$E84*Monatsplanung!$J84)</f>
        <v>0</v>
      </c>
      <c r="X396" s="168">
        <f>IF(ISERROR(Personalplanung!Q84/Monatsplanung!$E84*Monatsplanung!$J84),0,Personalplanung!Q84/Monatsplanung!$E84*Monatsplanung!$J84)</f>
        <v>0</v>
      </c>
      <c r="Y396" s="168">
        <f>IF(ISERROR(Personalplanung!R84/T1332*Stundencontrolling!T396),0,Personalplanung!R84/T1332*Stundencontrolling!T396)</f>
        <v>0</v>
      </c>
      <c r="Z396" s="168">
        <f>IF(ISERROR(Personalplanung!S84/Monatsplanung!$E84*Monatsplanung!$J84),0,Personalplanung!S84/Monatsplanung!$E84*Monatsplanung!$J84)</f>
        <v>0</v>
      </c>
      <c r="AA396" s="80">
        <f t="shared" si="116"/>
        <v>0</v>
      </c>
      <c r="AB396" s="102">
        <f t="shared" si="117"/>
        <v>0.1</v>
      </c>
      <c r="AC396" s="103">
        <f t="shared" si="118"/>
        <v>0</v>
      </c>
      <c r="AD396" s="103">
        <f t="shared" si="119"/>
        <v>0</v>
      </c>
      <c r="AE396" s="81">
        <f t="shared" si="120"/>
        <v>0</v>
      </c>
      <c r="AF396" s="539"/>
      <c r="AG396" s="104">
        <f t="shared" si="121"/>
        <v>1</v>
      </c>
      <c r="AH396" s="7">
        <f t="shared" si="122"/>
        <v>0</v>
      </c>
      <c r="AI396" s="6">
        <f t="shared" si="123"/>
        <v>0</v>
      </c>
      <c r="AJ396" s="73">
        <f t="shared" si="124"/>
        <v>0</v>
      </c>
      <c r="AK396" s="539"/>
      <c r="AL396" s="748"/>
      <c r="AM396" s="748"/>
    </row>
    <row r="397" spans="2:39" x14ac:dyDescent="0.2">
      <c r="B397" s="101" t="str">
        <f t="shared" si="109"/>
        <v/>
      </c>
      <c r="C397" s="168">
        <f>IF(ISERROR(Personalplanung!F85/Monatsplanung!$E85*Monatsplanung!$J85),0,Personalplanung!F85/Monatsplanung!$E85*Monatsplanung!$J85)</f>
        <v>0</v>
      </c>
      <c r="D397" s="168">
        <f t="shared" si="110"/>
        <v>0</v>
      </c>
      <c r="E397" s="168">
        <f>IF(ISERROR(Personalplanung!H85/Monatsplanung!$E85*Monatsplanung!$J85),0,Personalplanung!H85/Monatsplanung!$E85*Monatsplanung!$J85)</f>
        <v>0</v>
      </c>
      <c r="F397" s="168">
        <f t="shared" si="111"/>
        <v>0</v>
      </c>
      <c r="G397" s="168">
        <f t="shared" si="112"/>
        <v>27.700831024930746</v>
      </c>
      <c r="H397" s="168">
        <f t="shared" si="113"/>
        <v>0</v>
      </c>
      <c r="I397" s="168">
        <f t="shared" si="114"/>
        <v>30</v>
      </c>
      <c r="J397" s="739"/>
      <c r="K397" s="168">
        <f>IF(J397&lt;&gt;"",J397,IF(ISERROR(Personalplanung!AB85/Monatsplanung!$E85*Monatsplanung!$J85),0,Personalplanung!AB85/Monatsplanung!$E85*Monatsplanung!$J85))</f>
        <v>0</v>
      </c>
      <c r="L397" s="740"/>
      <c r="M397" s="739"/>
      <c r="N397" s="168">
        <f>IF(M397&lt;&gt;"",M397,IF(ISERROR(Personalplanung!AC85/Monatsplanung!$E85*Monatsplanung!$J85),0,Personalplanung!AC85/Monatsplanung!$E85*Monatsplanung!$J85))</f>
        <v>0</v>
      </c>
      <c r="O397" s="740"/>
      <c r="P397" s="739"/>
      <c r="Q397" s="168">
        <f>IF(P397&lt;&gt;"",P397,IF(ISERROR(Personalplanung!AD85/Monatsplanung!$E85*Monatsplanung!$J85),0,Personalplanung!AD85/Monatsplanung!$E85*Monatsplanung!$J85))</f>
        <v>0</v>
      </c>
      <c r="R397" s="740"/>
      <c r="S397" s="739"/>
      <c r="T397" s="168">
        <f>IF(S397&lt;&gt;"",S397,IF(ISERROR(Personalplanung!AE85/Monatsplanung!$E85*Monatsplanung!$J85),0,Personalplanung!AE85/Monatsplanung!$E85*Monatsplanung!$J85))</f>
        <v>0</v>
      </c>
      <c r="U397" s="740"/>
      <c r="V397" s="168">
        <f t="shared" si="115"/>
        <v>0</v>
      </c>
      <c r="W397" s="168">
        <f>IF(ISERROR(Personalplanung!P85/Monatsplanung!$E85*Monatsplanung!$J85),0,Personalplanung!P85/Monatsplanung!$E85*Monatsplanung!$J85)</f>
        <v>0</v>
      </c>
      <c r="X397" s="168">
        <f>IF(ISERROR(Personalplanung!Q85/Monatsplanung!$E85*Monatsplanung!$J85),0,Personalplanung!Q85/Monatsplanung!$E85*Monatsplanung!$J85)</f>
        <v>0</v>
      </c>
      <c r="Y397" s="168">
        <f>IF(ISERROR(Personalplanung!R85/T1333*Stundencontrolling!T397),0,Personalplanung!R85/T1333*Stundencontrolling!T397)</f>
        <v>0</v>
      </c>
      <c r="Z397" s="168">
        <f>IF(ISERROR(Personalplanung!S85/Monatsplanung!$E85*Monatsplanung!$J85),0,Personalplanung!S85/Monatsplanung!$E85*Monatsplanung!$J85)</f>
        <v>0</v>
      </c>
      <c r="AA397" s="80">
        <f t="shared" si="116"/>
        <v>0</v>
      </c>
      <c r="AB397" s="102">
        <f t="shared" si="117"/>
        <v>0.1</v>
      </c>
      <c r="AC397" s="103">
        <f t="shared" si="118"/>
        <v>0</v>
      </c>
      <c r="AD397" s="103">
        <f t="shared" si="119"/>
        <v>0</v>
      </c>
      <c r="AE397" s="81">
        <f t="shared" si="120"/>
        <v>0</v>
      </c>
      <c r="AF397" s="539"/>
      <c r="AG397" s="104">
        <f t="shared" si="121"/>
        <v>1</v>
      </c>
      <c r="AH397" s="7">
        <f t="shared" si="122"/>
        <v>0</v>
      </c>
      <c r="AI397" s="6">
        <f t="shared" si="123"/>
        <v>0</v>
      </c>
      <c r="AJ397" s="73">
        <f t="shared" si="124"/>
        <v>0</v>
      </c>
      <c r="AK397" s="539"/>
      <c r="AL397" s="748"/>
      <c r="AM397" s="748"/>
    </row>
    <row r="398" spans="2:39" x14ac:dyDescent="0.2">
      <c r="B398" s="101" t="str">
        <f t="shared" si="109"/>
        <v/>
      </c>
      <c r="C398" s="168">
        <f>IF(ISERROR(Personalplanung!F86/Monatsplanung!$E86*Monatsplanung!$J86),0,Personalplanung!F86/Monatsplanung!$E86*Monatsplanung!$J86)</f>
        <v>0</v>
      </c>
      <c r="D398" s="168">
        <f t="shared" si="110"/>
        <v>0</v>
      </c>
      <c r="E398" s="168">
        <f>IF(ISERROR(Personalplanung!H86/Monatsplanung!$E86*Monatsplanung!$J86),0,Personalplanung!H86/Monatsplanung!$E86*Monatsplanung!$J86)</f>
        <v>0</v>
      </c>
      <c r="F398" s="168">
        <f t="shared" si="111"/>
        <v>0</v>
      </c>
      <c r="G398" s="168">
        <f t="shared" si="112"/>
        <v>27.700831024930746</v>
      </c>
      <c r="H398" s="168">
        <f t="shared" si="113"/>
        <v>0</v>
      </c>
      <c r="I398" s="168">
        <f t="shared" si="114"/>
        <v>30</v>
      </c>
      <c r="J398" s="739"/>
      <c r="K398" s="168">
        <f>IF(J398&lt;&gt;"",J398,IF(ISERROR(Personalplanung!AB86/Monatsplanung!$E86*Monatsplanung!$J86),0,Personalplanung!AB86/Monatsplanung!$E86*Monatsplanung!$J86))</f>
        <v>0</v>
      </c>
      <c r="L398" s="740"/>
      <c r="M398" s="739"/>
      <c r="N398" s="168">
        <f>IF(M398&lt;&gt;"",M398,IF(ISERROR(Personalplanung!AC86/Monatsplanung!$E86*Monatsplanung!$J86),0,Personalplanung!AC86/Monatsplanung!$E86*Monatsplanung!$J86))</f>
        <v>0</v>
      </c>
      <c r="O398" s="740"/>
      <c r="P398" s="739"/>
      <c r="Q398" s="168">
        <f>IF(P398&lt;&gt;"",P398,IF(ISERROR(Personalplanung!AD86/Monatsplanung!$E86*Monatsplanung!$J86),0,Personalplanung!AD86/Monatsplanung!$E86*Monatsplanung!$J86))</f>
        <v>0</v>
      </c>
      <c r="R398" s="740"/>
      <c r="S398" s="739"/>
      <c r="T398" s="168">
        <f>IF(S398&lt;&gt;"",S398,IF(ISERROR(Personalplanung!AE86/Monatsplanung!$E86*Monatsplanung!$J86),0,Personalplanung!AE86/Monatsplanung!$E86*Monatsplanung!$J86))</f>
        <v>0</v>
      </c>
      <c r="U398" s="740"/>
      <c r="V398" s="168">
        <f t="shared" si="115"/>
        <v>0</v>
      </c>
      <c r="W398" s="168">
        <f>IF(ISERROR(Personalplanung!P86/Monatsplanung!$E86*Monatsplanung!$J86),0,Personalplanung!P86/Monatsplanung!$E86*Monatsplanung!$J86)</f>
        <v>0</v>
      </c>
      <c r="X398" s="168">
        <f>IF(ISERROR(Personalplanung!Q86/Monatsplanung!$E86*Monatsplanung!$J86),0,Personalplanung!Q86/Monatsplanung!$E86*Monatsplanung!$J86)</f>
        <v>0</v>
      </c>
      <c r="Y398" s="168">
        <f>IF(ISERROR(Personalplanung!R86/T1334*Stundencontrolling!T398),0,Personalplanung!R86/T1334*Stundencontrolling!T398)</f>
        <v>0</v>
      </c>
      <c r="Z398" s="168">
        <f>IF(ISERROR(Personalplanung!S86/Monatsplanung!$E86*Monatsplanung!$J86),0,Personalplanung!S86/Monatsplanung!$E86*Monatsplanung!$J86)</f>
        <v>0</v>
      </c>
      <c r="AA398" s="80">
        <f t="shared" si="116"/>
        <v>0</v>
      </c>
      <c r="AB398" s="102">
        <f t="shared" si="117"/>
        <v>0.1</v>
      </c>
      <c r="AC398" s="103">
        <f t="shared" si="118"/>
        <v>0</v>
      </c>
      <c r="AD398" s="103">
        <f t="shared" si="119"/>
        <v>0</v>
      </c>
      <c r="AE398" s="81">
        <f t="shared" si="120"/>
        <v>0</v>
      </c>
      <c r="AF398" s="539"/>
      <c r="AG398" s="104">
        <f t="shared" si="121"/>
        <v>1</v>
      </c>
      <c r="AH398" s="7">
        <f t="shared" si="122"/>
        <v>0</v>
      </c>
      <c r="AI398" s="6">
        <f t="shared" si="123"/>
        <v>0</v>
      </c>
      <c r="AJ398" s="73">
        <f t="shared" si="124"/>
        <v>0</v>
      </c>
      <c r="AK398" s="539"/>
      <c r="AL398" s="748"/>
      <c r="AM398" s="748"/>
    </row>
    <row r="399" spans="2:39" x14ac:dyDescent="0.2">
      <c r="B399" s="101" t="str">
        <f t="shared" si="109"/>
        <v/>
      </c>
      <c r="C399" s="168">
        <f>IF(ISERROR(Personalplanung!F87/Monatsplanung!$E87*Monatsplanung!$J87),0,Personalplanung!F87/Monatsplanung!$E87*Monatsplanung!$J87)</f>
        <v>0</v>
      </c>
      <c r="D399" s="168">
        <f t="shared" si="110"/>
        <v>0</v>
      </c>
      <c r="E399" s="168">
        <f>IF(ISERROR(Personalplanung!H87/Monatsplanung!$E87*Monatsplanung!$J87),0,Personalplanung!H87/Monatsplanung!$E87*Monatsplanung!$J87)</f>
        <v>0</v>
      </c>
      <c r="F399" s="168">
        <f t="shared" si="111"/>
        <v>0</v>
      </c>
      <c r="G399" s="168">
        <f t="shared" si="112"/>
        <v>27.700831024930746</v>
      </c>
      <c r="H399" s="168">
        <f t="shared" si="113"/>
        <v>0</v>
      </c>
      <c r="I399" s="168">
        <f t="shared" si="114"/>
        <v>30</v>
      </c>
      <c r="J399" s="739"/>
      <c r="K399" s="168">
        <f>IF(J399&lt;&gt;"",J399,IF(ISERROR(Personalplanung!AB87/Monatsplanung!$E87*Monatsplanung!$J87),0,Personalplanung!AB87/Monatsplanung!$E87*Monatsplanung!$J87))</f>
        <v>0</v>
      </c>
      <c r="L399" s="740"/>
      <c r="M399" s="739"/>
      <c r="N399" s="168">
        <f>IF(M399&lt;&gt;"",M399,IF(ISERROR(Personalplanung!AC87/Monatsplanung!$E87*Monatsplanung!$J87),0,Personalplanung!AC87/Monatsplanung!$E87*Monatsplanung!$J87))</f>
        <v>0</v>
      </c>
      <c r="O399" s="740"/>
      <c r="P399" s="739"/>
      <c r="Q399" s="168">
        <f>IF(P399&lt;&gt;"",P399,IF(ISERROR(Personalplanung!AD87/Monatsplanung!$E87*Monatsplanung!$J87),0,Personalplanung!AD87/Monatsplanung!$E87*Monatsplanung!$J87))</f>
        <v>0</v>
      </c>
      <c r="R399" s="740"/>
      <c r="S399" s="739"/>
      <c r="T399" s="168">
        <f>IF(S399&lt;&gt;"",S399,IF(ISERROR(Personalplanung!AE87/Monatsplanung!$E87*Monatsplanung!$J87),0,Personalplanung!AE87/Monatsplanung!$E87*Monatsplanung!$J87))</f>
        <v>0</v>
      </c>
      <c r="U399" s="740"/>
      <c r="V399" s="168">
        <f t="shared" si="115"/>
        <v>0</v>
      </c>
      <c r="W399" s="168">
        <f>IF(ISERROR(Personalplanung!P87/Monatsplanung!$E87*Monatsplanung!$J87),0,Personalplanung!P87/Monatsplanung!$E87*Monatsplanung!$J87)</f>
        <v>0</v>
      </c>
      <c r="X399" s="168">
        <f>IF(ISERROR(Personalplanung!Q87/Monatsplanung!$E87*Monatsplanung!$J87),0,Personalplanung!Q87/Monatsplanung!$E87*Monatsplanung!$J87)</f>
        <v>0</v>
      </c>
      <c r="Y399" s="168">
        <f>IF(ISERROR(Personalplanung!R87/T1335*Stundencontrolling!T399),0,Personalplanung!R87/T1335*Stundencontrolling!T399)</f>
        <v>0</v>
      </c>
      <c r="Z399" s="168">
        <f>IF(ISERROR(Personalplanung!S87/Monatsplanung!$E87*Monatsplanung!$J87),0,Personalplanung!S87/Monatsplanung!$E87*Monatsplanung!$J87)</f>
        <v>0</v>
      </c>
      <c r="AA399" s="80">
        <f t="shared" si="116"/>
        <v>0</v>
      </c>
      <c r="AB399" s="102">
        <f t="shared" si="117"/>
        <v>0.1</v>
      </c>
      <c r="AC399" s="103">
        <f t="shared" si="118"/>
        <v>0</v>
      </c>
      <c r="AD399" s="103">
        <f t="shared" si="119"/>
        <v>0</v>
      </c>
      <c r="AE399" s="81">
        <f t="shared" si="120"/>
        <v>0</v>
      </c>
      <c r="AF399" s="539"/>
      <c r="AG399" s="104">
        <f t="shared" si="121"/>
        <v>1</v>
      </c>
      <c r="AH399" s="7">
        <f t="shared" si="122"/>
        <v>0</v>
      </c>
      <c r="AI399" s="6">
        <f t="shared" si="123"/>
        <v>0</v>
      </c>
      <c r="AJ399" s="73">
        <f t="shared" si="124"/>
        <v>0</v>
      </c>
      <c r="AK399" s="539"/>
      <c r="AL399" s="748"/>
      <c r="AM399" s="748"/>
    </row>
    <row r="400" spans="2:39" x14ac:dyDescent="0.2">
      <c r="B400" s="101" t="str">
        <f t="shared" si="109"/>
        <v/>
      </c>
      <c r="C400" s="168">
        <f>IF(ISERROR(Personalplanung!F88/Monatsplanung!$E88*Monatsplanung!$J88),0,Personalplanung!F88/Monatsplanung!$E88*Monatsplanung!$J88)</f>
        <v>0</v>
      </c>
      <c r="D400" s="168">
        <f t="shared" si="110"/>
        <v>0</v>
      </c>
      <c r="E400" s="168">
        <f>IF(ISERROR(Personalplanung!H88/Monatsplanung!$E88*Monatsplanung!$J88),0,Personalplanung!H88/Monatsplanung!$E88*Monatsplanung!$J88)</f>
        <v>0</v>
      </c>
      <c r="F400" s="168">
        <f t="shared" si="111"/>
        <v>0</v>
      </c>
      <c r="G400" s="168">
        <f t="shared" si="112"/>
        <v>27.700831024930746</v>
      </c>
      <c r="H400" s="168">
        <f t="shared" si="113"/>
        <v>0</v>
      </c>
      <c r="I400" s="168">
        <f t="shared" si="114"/>
        <v>30</v>
      </c>
      <c r="J400" s="739"/>
      <c r="K400" s="168">
        <f>IF(J400&lt;&gt;"",J400,IF(ISERROR(Personalplanung!AB88/Monatsplanung!$E88*Monatsplanung!$J88),0,Personalplanung!AB88/Monatsplanung!$E88*Monatsplanung!$J88))</f>
        <v>0</v>
      </c>
      <c r="L400" s="740"/>
      <c r="M400" s="739"/>
      <c r="N400" s="168">
        <f>IF(M400&lt;&gt;"",M400,IF(ISERROR(Personalplanung!AC88/Monatsplanung!$E88*Monatsplanung!$J88),0,Personalplanung!AC88/Monatsplanung!$E88*Monatsplanung!$J88))</f>
        <v>0</v>
      </c>
      <c r="O400" s="740"/>
      <c r="P400" s="739"/>
      <c r="Q400" s="168">
        <f>IF(P400&lt;&gt;"",P400,IF(ISERROR(Personalplanung!AD88/Monatsplanung!$E88*Monatsplanung!$J88),0,Personalplanung!AD88/Monatsplanung!$E88*Monatsplanung!$J88))</f>
        <v>0</v>
      </c>
      <c r="R400" s="740"/>
      <c r="S400" s="739"/>
      <c r="T400" s="168">
        <f>IF(S400&lt;&gt;"",S400,IF(ISERROR(Personalplanung!AE88/Monatsplanung!$E88*Monatsplanung!$J88),0,Personalplanung!AE88/Monatsplanung!$E88*Monatsplanung!$J88))</f>
        <v>0</v>
      </c>
      <c r="U400" s="740"/>
      <c r="V400" s="168">
        <f t="shared" si="115"/>
        <v>0</v>
      </c>
      <c r="W400" s="168">
        <f>IF(ISERROR(Personalplanung!P88/Monatsplanung!$E88*Monatsplanung!$J88),0,Personalplanung!P88/Monatsplanung!$E88*Monatsplanung!$J88)</f>
        <v>0</v>
      </c>
      <c r="X400" s="168">
        <f>IF(ISERROR(Personalplanung!Q88/Monatsplanung!$E88*Monatsplanung!$J88),0,Personalplanung!Q88/Monatsplanung!$E88*Monatsplanung!$J88)</f>
        <v>0</v>
      </c>
      <c r="Y400" s="168">
        <f>IF(ISERROR(Personalplanung!R88/T1336*Stundencontrolling!T400),0,Personalplanung!R88/T1336*Stundencontrolling!T400)</f>
        <v>0</v>
      </c>
      <c r="Z400" s="168">
        <f>IF(ISERROR(Personalplanung!S88/Monatsplanung!$E88*Monatsplanung!$J88),0,Personalplanung!S88/Monatsplanung!$E88*Monatsplanung!$J88)</f>
        <v>0</v>
      </c>
      <c r="AA400" s="80">
        <f t="shared" si="116"/>
        <v>0</v>
      </c>
      <c r="AB400" s="102">
        <f t="shared" si="117"/>
        <v>0.1</v>
      </c>
      <c r="AC400" s="103">
        <f t="shared" si="118"/>
        <v>0</v>
      </c>
      <c r="AD400" s="103">
        <f t="shared" si="119"/>
        <v>0</v>
      </c>
      <c r="AE400" s="81">
        <f t="shared" si="120"/>
        <v>0</v>
      </c>
      <c r="AF400" s="539"/>
      <c r="AG400" s="104">
        <f t="shared" si="121"/>
        <v>1</v>
      </c>
      <c r="AH400" s="7">
        <f t="shared" si="122"/>
        <v>0</v>
      </c>
      <c r="AI400" s="6">
        <f t="shared" si="123"/>
        <v>0</v>
      </c>
      <c r="AJ400" s="73">
        <f t="shared" si="124"/>
        <v>0</v>
      </c>
      <c r="AK400" s="539"/>
      <c r="AL400" s="748"/>
      <c r="AM400" s="748"/>
    </row>
    <row r="401" spans="2:39" x14ac:dyDescent="0.2">
      <c r="B401" s="101" t="str">
        <f t="shared" si="109"/>
        <v/>
      </c>
      <c r="C401" s="168">
        <f>IF(ISERROR(Personalplanung!F89/Monatsplanung!$E89*Monatsplanung!$J89),0,Personalplanung!F89/Monatsplanung!$E89*Monatsplanung!$J89)</f>
        <v>0</v>
      </c>
      <c r="D401" s="168">
        <f t="shared" si="110"/>
        <v>0</v>
      </c>
      <c r="E401" s="168">
        <f>IF(ISERROR(Personalplanung!H89/Monatsplanung!$E89*Monatsplanung!$J89),0,Personalplanung!H89/Monatsplanung!$E89*Monatsplanung!$J89)</f>
        <v>0</v>
      </c>
      <c r="F401" s="168">
        <f t="shared" si="111"/>
        <v>0</v>
      </c>
      <c r="G401" s="168">
        <f t="shared" si="112"/>
        <v>27.700831024930746</v>
      </c>
      <c r="H401" s="168">
        <f t="shared" si="113"/>
        <v>0</v>
      </c>
      <c r="I401" s="168">
        <f t="shared" si="114"/>
        <v>30</v>
      </c>
      <c r="J401" s="739"/>
      <c r="K401" s="168">
        <f>IF(J401&lt;&gt;"",J401,IF(ISERROR(Personalplanung!AB89/Monatsplanung!$E89*Monatsplanung!$J89),0,Personalplanung!AB89/Monatsplanung!$E89*Monatsplanung!$J89))</f>
        <v>0</v>
      </c>
      <c r="L401" s="740"/>
      <c r="M401" s="739"/>
      <c r="N401" s="168">
        <f>IF(M401&lt;&gt;"",M401,IF(ISERROR(Personalplanung!AC89/Monatsplanung!$E89*Monatsplanung!$J89),0,Personalplanung!AC89/Monatsplanung!$E89*Monatsplanung!$J89))</f>
        <v>0</v>
      </c>
      <c r="O401" s="740"/>
      <c r="P401" s="739"/>
      <c r="Q401" s="168">
        <f>IF(P401&lt;&gt;"",P401,IF(ISERROR(Personalplanung!AD89/Monatsplanung!$E89*Monatsplanung!$J89),0,Personalplanung!AD89/Monatsplanung!$E89*Monatsplanung!$J89))</f>
        <v>0</v>
      </c>
      <c r="R401" s="740"/>
      <c r="S401" s="739"/>
      <c r="T401" s="168">
        <f>IF(S401&lt;&gt;"",S401,IF(ISERROR(Personalplanung!AE89/Monatsplanung!$E89*Monatsplanung!$J89),0,Personalplanung!AE89/Monatsplanung!$E89*Monatsplanung!$J89))</f>
        <v>0</v>
      </c>
      <c r="U401" s="740"/>
      <c r="V401" s="168">
        <f t="shared" si="115"/>
        <v>0</v>
      </c>
      <c r="W401" s="168">
        <f>IF(ISERROR(Personalplanung!P89/Monatsplanung!$E89*Monatsplanung!$J89),0,Personalplanung!P89/Monatsplanung!$E89*Monatsplanung!$J89)</f>
        <v>0</v>
      </c>
      <c r="X401" s="168">
        <f>IF(ISERROR(Personalplanung!Q89/Monatsplanung!$E89*Monatsplanung!$J89),0,Personalplanung!Q89/Monatsplanung!$E89*Monatsplanung!$J89)</f>
        <v>0</v>
      </c>
      <c r="Y401" s="168">
        <f>IF(ISERROR(Personalplanung!R89/T1337*Stundencontrolling!T401),0,Personalplanung!R89/T1337*Stundencontrolling!T401)</f>
        <v>0</v>
      </c>
      <c r="Z401" s="168">
        <f>IF(ISERROR(Personalplanung!S89/Monatsplanung!$E89*Monatsplanung!$J89),0,Personalplanung!S89/Monatsplanung!$E89*Monatsplanung!$J89)</f>
        <v>0</v>
      </c>
      <c r="AA401" s="80">
        <f t="shared" si="116"/>
        <v>0</v>
      </c>
      <c r="AB401" s="102">
        <f t="shared" si="117"/>
        <v>0.1</v>
      </c>
      <c r="AC401" s="103">
        <f t="shared" si="118"/>
        <v>0</v>
      </c>
      <c r="AD401" s="103">
        <f t="shared" si="119"/>
        <v>0</v>
      </c>
      <c r="AE401" s="81">
        <f t="shared" si="120"/>
        <v>0</v>
      </c>
      <c r="AF401" s="539"/>
      <c r="AG401" s="104">
        <f t="shared" si="121"/>
        <v>1</v>
      </c>
      <c r="AH401" s="7">
        <f t="shared" si="122"/>
        <v>0</v>
      </c>
      <c r="AI401" s="6">
        <f t="shared" si="123"/>
        <v>0</v>
      </c>
      <c r="AJ401" s="73">
        <f t="shared" si="124"/>
        <v>0</v>
      </c>
      <c r="AK401" s="539"/>
      <c r="AL401" s="748"/>
      <c r="AM401" s="748"/>
    </row>
    <row r="402" spans="2:39" x14ac:dyDescent="0.2">
      <c r="B402" s="101" t="str">
        <f t="shared" si="109"/>
        <v/>
      </c>
      <c r="C402" s="168">
        <f>IF(ISERROR(Personalplanung!F90/Monatsplanung!$E90*Monatsplanung!$J90),0,Personalplanung!F90/Monatsplanung!$E90*Monatsplanung!$J90)</f>
        <v>0</v>
      </c>
      <c r="D402" s="168">
        <f t="shared" si="110"/>
        <v>0</v>
      </c>
      <c r="E402" s="168">
        <f>IF(ISERROR(Personalplanung!H90/Monatsplanung!$E90*Monatsplanung!$J90),0,Personalplanung!H90/Monatsplanung!$E90*Monatsplanung!$J90)</f>
        <v>0</v>
      </c>
      <c r="F402" s="168">
        <f t="shared" si="111"/>
        <v>0</v>
      </c>
      <c r="G402" s="168">
        <f t="shared" si="112"/>
        <v>27.700831024930746</v>
      </c>
      <c r="H402" s="168">
        <f t="shared" si="113"/>
        <v>0</v>
      </c>
      <c r="I402" s="168">
        <f t="shared" si="114"/>
        <v>30</v>
      </c>
      <c r="J402" s="739"/>
      <c r="K402" s="168">
        <f>IF(J402&lt;&gt;"",J402,IF(ISERROR(Personalplanung!AB90/Monatsplanung!$E90*Monatsplanung!$J90),0,Personalplanung!AB90/Monatsplanung!$E90*Monatsplanung!$J90))</f>
        <v>0</v>
      </c>
      <c r="L402" s="740"/>
      <c r="M402" s="739"/>
      <c r="N402" s="168">
        <f>IF(M402&lt;&gt;"",M402,IF(ISERROR(Personalplanung!AC90/Monatsplanung!$E90*Monatsplanung!$J90),0,Personalplanung!AC90/Monatsplanung!$E90*Monatsplanung!$J90))</f>
        <v>0</v>
      </c>
      <c r="O402" s="740"/>
      <c r="P402" s="739"/>
      <c r="Q402" s="168">
        <f>IF(P402&lt;&gt;"",P402,IF(ISERROR(Personalplanung!AD90/Monatsplanung!$E90*Monatsplanung!$J90),0,Personalplanung!AD90/Monatsplanung!$E90*Monatsplanung!$J90))</f>
        <v>0</v>
      </c>
      <c r="R402" s="740"/>
      <c r="S402" s="739"/>
      <c r="T402" s="168">
        <f>IF(S402&lt;&gt;"",S402,IF(ISERROR(Personalplanung!AE90/Monatsplanung!$E90*Monatsplanung!$J90),0,Personalplanung!AE90/Monatsplanung!$E90*Monatsplanung!$J90))</f>
        <v>0</v>
      </c>
      <c r="U402" s="740"/>
      <c r="V402" s="168">
        <f t="shared" si="115"/>
        <v>0</v>
      </c>
      <c r="W402" s="168">
        <f>IF(ISERROR(Personalplanung!P90/Monatsplanung!$E90*Monatsplanung!$J90),0,Personalplanung!P90/Monatsplanung!$E90*Monatsplanung!$J90)</f>
        <v>0</v>
      </c>
      <c r="X402" s="168">
        <f>IF(ISERROR(Personalplanung!Q90/Monatsplanung!$E90*Monatsplanung!$J90),0,Personalplanung!Q90/Monatsplanung!$E90*Monatsplanung!$J90)</f>
        <v>0</v>
      </c>
      <c r="Y402" s="168">
        <f>IF(ISERROR(Personalplanung!R90/T1338*Stundencontrolling!T402),0,Personalplanung!R90/T1338*Stundencontrolling!T402)</f>
        <v>0</v>
      </c>
      <c r="Z402" s="168">
        <f>IF(ISERROR(Personalplanung!S90/Monatsplanung!$E90*Monatsplanung!$J90),0,Personalplanung!S90/Monatsplanung!$E90*Monatsplanung!$J90)</f>
        <v>0</v>
      </c>
      <c r="AA402" s="80">
        <f t="shared" si="116"/>
        <v>0</v>
      </c>
      <c r="AB402" s="102">
        <f t="shared" si="117"/>
        <v>0.1</v>
      </c>
      <c r="AC402" s="103">
        <f t="shared" si="118"/>
        <v>0</v>
      </c>
      <c r="AD402" s="103">
        <f t="shared" si="119"/>
        <v>0</v>
      </c>
      <c r="AE402" s="81">
        <f t="shared" si="120"/>
        <v>0</v>
      </c>
      <c r="AF402" s="539"/>
      <c r="AG402" s="104">
        <f t="shared" si="121"/>
        <v>1</v>
      </c>
      <c r="AH402" s="7">
        <f t="shared" si="122"/>
        <v>0</v>
      </c>
      <c r="AI402" s="6">
        <f t="shared" si="123"/>
        <v>0</v>
      </c>
      <c r="AJ402" s="73">
        <f t="shared" si="124"/>
        <v>0</v>
      </c>
      <c r="AK402" s="539"/>
      <c r="AL402" s="748"/>
      <c r="AM402" s="748"/>
    </row>
    <row r="403" spans="2:39" x14ac:dyDescent="0.2">
      <c r="B403" s="101" t="str">
        <f t="shared" si="109"/>
        <v/>
      </c>
      <c r="C403" s="168">
        <f>IF(ISERROR(Personalplanung!F91/Monatsplanung!$E91*Monatsplanung!$J91),0,Personalplanung!F91/Monatsplanung!$E91*Monatsplanung!$J91)</f>
        <v>0</v>
      </c>
      <c r="D403" s="168">
        <f t="shared" si="110"/>
        <v>0</v>
      </c>
      <c r="E403" s="168">
        <f>IF(ISERROR(Personalplanung!H91/Monatsplanung!$E91*Monatsplanung!$J91),0,Personalplanung!H91/Monatsplanung!$E91*Monatsplanung!$J91)</f>
        <v>0</v>
      </c>
      <c r="F403" s="168">
        <f t="shared" si="111"/>
        <v>0</v>
      </c>
      <c r="G403" s="168">
        <f t="shared" si="112"/>
        <v>27.700831024930746</v>
      </c>
      <c r="H403" s="168">
        <f t="shared" si="113"/>
        <v>0</v>
      </c>
      <c r="I403" s="168">
        <f t="shared" si="114"/>
        <v>30</v>
      </c>
      <c r="J403" s="739"/>
      <c r="K403" s="168">
        <f>IF(J403&lt;&gt;"",J403,IF(ISERROR(Personalplanung!AB91/Monatsplanung!$E91*Monatsplanung!$J91),0,Personalplanung!AB91/Monatsplanung!$E91*Monatsplanung!$J91))</f>
        <v>0</v>
      </c>
      <c r="L403" s="740"/>
      <c r="M403" s="739"/>
      <c r="N403" s="168">
        <f>IF(M403&lt;&gt;"",M403,IF(ISERROR(Personalplanung!AC91/Monatsplanung!$E91*Monatsplanung!$J91),0,Personalplanung!AC91/Monatsplanung!$E91*Monatsplanung!$J91))</f>
        <v>0</v>
      </c>
      <c r="O403" s="740"/>
      <c r="P403" s="739"/>
      <c r="Q403" s="168">
        <f>IF(P403&lt;&gt;"",P403,IF(ISERROR(Personalplanung!AD91/Monatsplanung!$E91*Monatsplanung!$J91),0,Personalplanung!AD91/Monatsplanung!$E91*Monatsplanung!$J91))</f>
        <v>0</v>
      </c>
      <c r="R403" s="740"/>
      <c r="S403" s="739"/>
      <c r="T403" s="168">
        <f>IF(S403&lt;&gt;"",S403,IF(ISERROR(Personalplanung!AE91/Monatsplanung!$E91*Monatsplanung!$J91),0,Personalplanung!AE91/Monatsplanung!$E91*Monatsplanung!$J91))</f>
        <v>0</v>
      </c>
      <c r="U403" s="740"/>
      <c r="V403" s="168">
        <f t="shared" si="115"/>
        <v>0</v>
      </c>
      <c r="W403" s="168">
        <f>IF(ISERROR(Personalplanung!P91/Monatsplanung!$E91*Monatsplanung!$J91),0,Personalplanung!P91/Monatsplanung!$E91*Monatsplanung!$J91)</f>
        <v>0</v>
      </c>
      <c r="X403" s="168">
        <f>IF(ISERROR(Personalplanung!Q91/Monatsplanung!$E91*Monatsplanung!$J91),0,Personalplanung!Q91/Monatsplanung!$E91*Monatsplanung!$J91)</f>
        <v>0</v>
      </c>
      <c r="Y403" s="168">
        <f>IF(ISERROR(Personalplanung!R91/T1339*Stundencontrolling!T403),0,Personalplanung!R91/T1339*Stundencontrolling!T403)</f>
        <v>0</v>
      </c>
      <c r="Z403" s="168">
        <f>IF(ISERROR(Personalplanung!S91/Monatsplanung!$E91*Monatsplanung!$J91),0,Personalplanung!S91/Monatsplanung!$E91*Monatsplanung!$J91)</f>
        <v>0</v>
      </c>
      <c r="AA403" s="80">
        <f t="shared" si="116"/>
        <v>0</v>
      </c>
      <c r="AB403" s="102">
        <f t="shared" si="117"/>
        <v>0.1</v>
      </c>
      <c r="AC403" s="103">
        <f t="shared" si="118"/>
        <v>0</v>
      </c>
      <c r="AD403" s="103">
        <f t="shared" si="119"/>
        <v>0</v>
      </c>
      <c r="AE403" s="81">
        <f t="shared" si="120"/>
        <v>0</v>
      </c>
      <c r="AF403" s="539"/>
      <c r="AG403" s="104">
        <f t="shared" si="121"/>
        <v>1</v>
      </c>
      <c r="AH403" s="7">
        <f t="shared" si="122"/>
        <v>0</v>
      </c>
      <c r="AI403" s="6">
        <f t="shared" si="123"/>
        <v>0</v>
      </c>
      <c r="AJ403" s="73">
        <f t="shared" si="124"/>
        <v>0</v>
      </c>
      <c r="AK403" s="539"/>
      <c r="AL403" s="748"/>
      <c r="AM403" s="748"/>
    </row>
    <row r="404" spans="2:39" x14ac:dyDescent="0.2">
      <c r="B404" s="101" t="str">
        <f t="shared" si="109"/>
        <v/>
      </c>
      <c r="C404" s="168">
        <f>IF(ISERROR(Personalplanung!F92/Monatsplanung!$E92*Monatsplanung!$J92),0,Personalplanung!F92/Monatsplanung!$E92*Monatsplanung!$J92)</f>
        <v>0</v>
      </c>
      <c r="D404" s="168">
        <f t="shared" si="110"/>
        <v>0</v>
      </c>
      <c r="E404" s="168">
        <f>IF(ISERROR(Personalplanung!H92/Monatsplanung!$E92*Monatsplanung!$J92),0,Personalplanung!H92/Monatsplanung!$E92*Monatsplanung!$J92)</f>
        <v>0</v>
      </c>
      <c r="F404" s="168">
        <f t="shared" si="111"/>
        <v>0</v>
      </c>
      <c r="G404" s="168">
        <f t="shared" si="112"/>
        <v>27.700831024930746</v>
      </c>
      <c r="H404" s="168">
        <f t="shared" si="113"/>
        <v>0</v>
      </c>
      <c r="I404" s="168">
        <f t="shared" si="114"/>
        <v>30</v>
      </c>
      <c r="J404" s="739"/>
      <c r="K404" s="168">
        <f>IF(J404&lt;&gt;"",J404,IF(ISERROR(Personalplanung!AB92/Monatsplanung!$E92*Monatsplanung!$J92),0,Personalplanung!AB92/Monatsplanung!$E92*Monatsplanung!$J92))</f>
        <v>0</v>
      </c>
      <c r="L404" s="740"/>
      <c r="M404" s="739"/>
      <c r="N404" s="168">
        <f>IF(M404&lt;&gt;"",M404,IF(ISERROR(Personalplanung!AC92/Monatsplanung!$E92*Monatsplanung!$J92),0,Personalplanung!AC92/Monatsplanung!$E92*Monatsplanung!$J92))</f>
        <v>0</v>
      </c>
      <c r="O404" s="740"/>
      <c r="P404" s="739"/>
      <c r="Q404" s="168">
        <f>IF(P404&lt;&gt;"",P404,IF(ISERROR(Personalplanung!AD92/Monatsplanung!$E92*Monatsplanung!$J92),0,Personalplanung!AD92/Monatsplanung!$E92*Monatsplanung!$J92))</f>
        <v>0</v>
      </c>
      <c r="R404" s="740"/>
      <c r="S404" s="739"/>
      <c r="T404" s="168">
        <f>IF(S404&lt;&gt;"",S404,IF(ISERROR(Personalplanung!AE92/Monatsplanung!$E92*Monatsplanung!$J92),0,Personalplanung!AE92/Monatsplanung!$E92*Monatsplanung!$J92))</f>
        <v>0</v>
      </c>
      <c r="U404" s="740"/>
      <c r="V404" s="168">
        <f t="shared" si="115"/>
        <v>0</v>
      </c>
      <c r="W404" s="168">
        <f>IF(ISERROR(Personalplanung!P92/Monatsplanung!$E92*Monatsplanung!$J92),0,Personalplanung!P92/Monatsplanung!$E92*Monatsplanung!$J92)</f>
        <v>0</v>
      </c>
      <c r="X404" s="168">
        <f>IF(ISERROR(Personalplanung!Q92/Monatsplanung!$E92*Monatsplanung!$J92),0,Personalplanung!Q92/Monatsplanung!$E92*Monatsplanung!$J92)</f>
        <v>0</v>
      </c>
      <c r="Y404" s="168">
        <f>IF(ISERROR(Personalplanung!R92/T1340*Stundencontrolling!T404),0,Personalplanung!R92/T1340*Stundencontrolling!T404)</f>
        <v>0</v>
      </c>
      <c r="Z404" s="168">
        <f>IF(ISERROR(Personalplanung!S92/Monatsplanung!$E92*Monatsplanung!$J92),0,Personalplanung!S92/Monatsplanung!$E92*Monatsplanung!$J92)</f>
        <v>0</v>
      </c>
      <c r="AA404" s="80">
        <f t="shared" si="116"/>
        <v>0</v>
      </c>
      <c r="AB404" s="102">
        <f t="shared" si="117"/>
        <v>0.1</v>
      </c>
      <c r="AC404" s="103">
        <f t="shared" si="118"/>
        <v>0</v>
      </c>
      <c r="AD404" s="103">
        <f t="shared" si="119"/>
        <v>0</v>
      </c>
      <c r="AE404" s="81">
        <f t="shared" si="120"/>
        <v>0</v>
      </c>
      <c r="AF404" s="539"/>
      <c r="AG404" s="104">
        <f t="shared" si="121"/>
        <v>1</v>
      </c>
      <c r="AH404" s="7">
        <f t="shared" si="122"/>
        <v>0</v>
      </c>
      <c r="AI404" s="6">
        <f t="shared" si="123"/>
        <v>0</v>
      </c>
      <c r="AJ404" s="73">
        <f t="shared" si="124"/>
        <v>0</v>
      </c>
      <c r="AK404" s="539"/>
      <c r="AL404" s="748"/>
      <c r="AM404" s="748"/>
    </row>
    <row r="405" spans="2:39" x14ac:dyDescent="0.2">
      <c r="B405" s="101" t="str">
        <f t="shared" si="109"/>
        <v/>
      </c>
      <c r="C405" s="168">
        <f>IF(ISERROR(Personalplanung!F93/Monatsplanung!$E93*Monatsplanung!$J93),0,Personalplanung!F93/Monatsplanung!$E93*Monatsplanung!$J93)</f>
        <v>0</v>
      </c>
      <c r="D405" s="168">
        <f t="shared" si="110"/>
        <v>0</v>
      </c>
      <c r="E405" s="168">
        <f>IF(ISERROR(Personalplanung!H93/Monatsplanung!$E93*Monatsplanung!$J93),0,Personalplanung!H93/Monatsplanung!$E93*Monatsplanung!$J93)</f>
        <v>0</v>
      </c>
      <c r="F405" s="168">
        <f t="shared" si="111"/>
        <v>0</v>
      </c>
      <c r="G405" s="168">
        <f t="shared" si="112"/>
        <v>27.700831024930746</v>
      </c>
      <c r="H405" s="168">
        <f t="shared" si="113"/>
        <v>0</v>
      </c>
      <c r="I405" s="168">
        <f t="shared" si="114"/>
        <v>30</v>
      </c>
      <c r="J405" s="739"/>
      <c r="K405" s="168">
        <f>IF(J405&lt;&gt;"",J405,IF(ISERROR(Personalplanung!AB93/Monatsplanung!$E93*Monatsplanung!$J93),0,Personalplanung!AB93/Monatsplanung!$E93*Monatsplanung!$J93))</f>
        <v>0</v>
      </c>
      <c r="L405" s="740"/>
      <c r="M405" s="739"/>
      <c r="N405" s="168">
        <f>IF(M405&lt;&gt;"",M405,IF(ISERROR(Personalplanung!AC93/Monatsplanung!$E93*Monatsplanung!$J93),0,Personalplanung!AC93/Monatsplanung!$E93*Monatsplanung!$J93))</f>
        <v>0</v>
      </c>
      <c r="O405" s="740"/>
      <c r="P405" s="739"/>
      <c r="Q405" s="168">
        <f>IF(P405&lt;&gt;"",P405,IF(ISERROR(Personalplanung!AD93/Monatsplanung!$E93*Monatsplanung!$J93),0,Personalplanung!AD93/Monatsplanung!$E93*Monatsplanung!$J93))</f>
        <v>0</v>
      </c>
      <c r="R405" s="740"/>
      <c r="S405" s="739"/>
      <c r="T405" s="168">
        <f>IF(S405&lt;&gt;"",S405,IF(ISERROR(Personalplanung!AE93/Monatsplanung!$E93*Monatsplanung!$J93),0,Personalplanung!AE93/Monatsplanung!$E93*Monatsplanung!$J93))</f>
        <v>0</v>
      </c>
      <c r="U405" s="740"/>
      <c r="V405" s="168">
        <f t="shared" si="115"/>
        <v>0</v>
      </c>
      <c r="W405" s="168">
        <f>IF(ISERROR(Personalplanung!P93/Monatsplanung!$E93*Monatsplanung!$J93),0,Personalplanung!P93/Monatsplanung!$E93*Monatsplanung!$J93)</f>
        <v>0</v>
      </c>
      <c r="X405" s="168">
        <f>IF(ISERROR(Personalplanung!Q93/Monatsplanung!$E93*Monatsplanung!$J93),0,Personalplanung!Q93/Monatsplanung!$E93*Monatsplanung!$J93)</f>
        <v>0</v>
      </c>
      <c r="Y405" s="168">
        <f>IF(ISERROR(Personalplanung!R93/T1341*Stundencontrolling!T405),0,Personalplanung!R93/T1341*Stundencontrolling!T405)</f>
        <v>0</v>
      </c>
      <c r="Z405" s="168">
        <f>IF(ISERROR(Personalplanung!S93/Monatsplanung!$E93*Monatsplanung!$J93),0,Personalplanung!S93/Monatsplanung!$E93*Monatsplanung!$J93)</f>
        <v>0</v>
      </c>
      <c r="AA405" s="80">
        <f t="shared" si="116"/>
        <v>0</v>
      </c>
      <c r="AB405" s="102">
        <f t="shared" si="117"/>
        <v>0.1</v>
      </c>
      <c r="AC405" s="103">
        <f t="shared" si="118"/>
        <v>0</v>
      </c>
      <c r="AD405" s="103">
        <f t="shared" si="119"/>
        <v>0</v>
      </c>
      <c r="AE405" s="81">
        <f t="shared" si="120"/>
        <v>0</v>
      </c>
      <c r="AF405" s="539"/>
      <c r="AG405" s="104">
        <f t="shared" si="121"/>
        <v>1</v>
      </c>
      <c r="AH405" s="7">
        <f t="shared" si="122"/>
        <v>0</v>
      </c>
      <c r="AI405" s="6">
        <f t="shared" si="123"/>
        <v>0</v>
      </c>
      <c r="AJ405" s="73">
        <f t="shared" si="124"/>
        <v>0</v>
      </c>
      <c r="AK405" s="539"/>
      <c r="AL405" s="748"/>
      <c r="AM405" s="748"/>
    </row>
    <row r="406" spans="2:39" x14ac:dyDescent="0.2">
      <c r="B406" s="101" t="str">
        <f t="shared" si="109"/>
        <v/>
      </c>
      <c r="C406" s="168">
        <f>IF(ISERROR(Personalplanung!F94/Monatsplanung!$E94*Monatsplanung!$J94),0,Personalplanung!F94/Monatsplanung!$E94*Monatsplanung!$J94)</f>
        <v>0</v>
      </c>
      <c r="D406" s="168">
        <f t="shared" si="110"/>
        <v>0</v>
      </c>
      <c r="E406" s="168">
        <f>IF(ISERROR(Personalplanung!H94/Monatsplanung!$E94*Monatsplanung!$J94),0,Personalplanung!H94/Monatsplanung!$E94*Monatsplanung!$J94)</f>
        <v>0</v>
      </c>
      <c r="F406" s="168">
        <f t="shared" si="111"/>
        <v>0</v>
      </c>
      <c r="G406" s="168">
        <f t="shared" si="112"/>
        <v>27.700831024930746</v>
      </c>
      <c r="H406" s="168">
        <f t="shared" si="113"/>
        <v>0</v>
      </c>
      <c r="I406" s="168">
        <f t="shared" si="114"/>
        <v>30</v>
      </c>
      <c r="J406" s="739"/>
      <c r="K406" s="168">
        <f>IF(J406&lt;&gt;"",J406,IF(ISERROR(Personalplanung!AB94/Monatsplanung!$E94*Monatsplanung!$J94),0,Personalplanung!AB94/Monatsplanung!$E94*Monatsplanung!$J94))</f>
        <v>0</v>
      </c>
      <c r="L406" s="740"/>
      <c r="M406" s="739"/>
      <c r="N406" s="168">
        <f>IF(M406&lt;&gt;"",M406,IF(ISERROR(Personalplanung!AC94/Monatsplanung!$E94*Monatsplanung!$J94),0,Personalplanung!AC94/Monatsplanung!$E94*Monatsplanung!$J94))</f>
        <v>0</v>
      </c>
      <c r="O406" s="740"/>
      <c r="P406" s="739"/>
      <c r="Q406" s="168">
        <f>IF(P406&lt;&gt;"",P406,IF(ISERROR(Personalplanung!AD94/Monatsplanung!$E94*Monatsplanung!$J94),0,Personalplanung!AD94/Monatsplanung!$E94*Monatsplanung!$J94))</f>
        <v>0</v>
      </c>
      <c r="R406" s="740"/>
      <c r="S406" s="739"/>
      <c r="T406" s="168">
        <f>IF(S406&lt;&gt;"",S406,IF(ISERROR(Personalplanung!AE94/Monatsplanung!$E94*Monatsplanung!$J94),0,Personalplanung!AE94/Monatsplanung!$E94*Monatsplanung!$J94))</f>
        <v>0</v>
      </c>
      <c r="U406" s="740"/>
      <c r="V406" s="168">
        <f t="shared" si="115"/>
        <v>0</v>
      </c>
      <c r="W406" s="168">
        <f>IF(ISERROR(Personalplanung!P94/Monatsplanung!$E94*Monatsplanung!$J94),0,Personalplanung!P94/Monatsplanung!$E94*Monatsplanung!$J94)</f>
        <v>0</v>
      </c>
      <c r="X406" s="168">
        <f>IF(ISERROR(Personalplanung!Q94/Monatsplanung!$E94*Monatsplanung!$J94),0,Personalplanung!Q94/Monatsplanung!$E94*Monatsplanung!$J94)</f>
        <v>0</v>
      </c>
      <c r="Y406" s="168">
        <f>IF(ISERROR(Personalplanung!R94/T1342*Stundencontrolling!T406),0,Personalplanung!R94/T1342*Stundencontrolling!T406)</f>
        <v>0</v>
      </c>
      <c r="Z406" s="168">
        <f>IF(ISERROR(Personalplanung!S94/Monatsplanung!$E94*Monatsplanung!$J94),0,Personalplanung!S94/Monatsplanung!$E94*Monatsplanung!$J94)</f>
        <v>0</v>
      </c>
      <c r="AA406" s="80">
        <f t="shared" si="116"/>
        <v>0</v>
      </c>
      <c r="AB406" s="102">
        <f t="shared" si="117"/>
        <v>0.1</v>
      </c>
      <c r="AC406" s="103">
        <f t="shared" si="118"/>
        <v>0</v>
      </c>
      <c r="AD406" s="103">
        <f t="shared" si="119"/>
        <v>0</v>
      </c>
      <c r="AE406" s="81">
        <f t="shared" si="120"/>
        <v>0</v>
      </c>
      <c r="AF406" s="539"/>
      <c r="AG406" s="104">
        <f t="shared" si="121"/>
        <v>1</v>
      </c>
      <c r="AH406" s="7">
        <f t="shared" si="122"/>
        <v>0</v>
      </c>
      <c r="AI406" s="6">
        <f t="shared" si="123"/>
        <v>0</v>
      </c>
      <c r="AJ406" s="73">
        <f t="shared" si="124"/>
        <v>0</v>
      </c>
      <c r="AK406" s="539"/>
      <c r="AL406" s="748"/>
      <c r="AM406" s="748"/>
    </row>
    <row r="407" spans="2:39" x14ac:dyDescent="0.2">
      <c r="B407" s="101" t="str">
        <f t="shared" si="109"/>
        <v/>
      </c>
      <c r="C407" s="168">
        <f>IF(ISERROR(Personalplanung!F95/Monatsplanung!$E95*Monatsplanung!$J95),0,Personalplanung!F95/Monatsplanung!$E95*Monatsplanung!$J95)</f>
        <v>0</v>
      </c>
      <c r="D407" s="168">
        <f t="shared" si="110"/>
        <v>0</v>
      </c>
      <c r="E407" s="168">
        <f>IF(ISERROR(Personalplanung!H95/Monatsplanung!$E95*Monatsplanung!$J95),0,Personalplanung!H95/Monatsplanung!$E95*Monatsplanung!$J95)</f>
        <v>0</v>
      </c>
      <c r="F407" s="168">
        <f t="shared" si="111"/>
        <v>0</v>
      </c>
      <c r="G407" s="168">
        <f t="shared" si="112"/>
        <v>27.700831024930746</v>
      </c>
      <c r="H407" s="168">
        <f t="shared" si="113"/>
        <v>0</v>
      </c>
      <c r="I407" s="168">
        <f t="shared" si="114"/>
        <v>30</v>
      </c>
      <c r="J407" s="739"/>
      <c r="K407" s="168">
        <f>IF(J407&lt;&gt;"",J407,IF(ISERROR(Personalplanung!AB95/Monatsplanung!$E95*Monatsplanung!$J95),0,Personalplanung!AB95/Monatsplanung!$E95*Monatsplanung!$J95))</f>
        <v>0</v>
      </c>
      <c r="L407" s="740"/>
      <c r="M407" s="739"/>
      <c r="N407" s="168">
        <f>IF(M407&lt;&gt;"",M407,IF(ISERROR(Personalplanung!AC95/Monatsplanung!$E95*Monatsplanung!$J95),0,Personalplanung!AC95/Monatsplanung!$E95*Monatsplanung!$J95))</f>
        <v>0</v>
      </c>
      <c r="O407" s="740"/>
      <c r="P407" s="739"/>
      <c r="Q407" s="168">
        <f>IF(P407&lt;&gt;"",P407,IF(ISERROR(Personalplanung!AD95/Monatsplanung!$E95*Monatsplanung!$J95),0,Personalplanung!AD95/Monatsplanung!$E95*Monatsplanung!$J95))</f>
        <v>0</v>
      </c>
      <c r="R407" s="740"/>
      <c r="S407" s="739"/>
      <c r="T407" s="168">
        <f>IF(S407&lt;&gt;"",S407,IF(ISERROR(Personalplanung!AE95/Monatsplanung!$E95*Monatsplanung!$J95),0,Personalplanung!AE95/Monatsplanung!$E95*Monatsplanung!$J95))</f>
        <v>0</v>
      </c>
      <c r="U407" s="740"/>
      <c r="V407" s="168">
        <f t="shared" si="115"/>
        <v>0</v>
      </c>
      <c r="W407" s="168">
        <f>IF(ISERROR(Personalplanung!P95/Monatsplanung!$E95*Monatsplanung!$J95),0,Personalplanung!P95/Monatsplanung!$E95*Monatsplanung!$J95)</f>
        <v>0</v>
      </c>
      <c r="X407" s="168">
        <f>IF(ISERROR(Personalplanung!Q95/Monatsplanung!$E95*Monatsplanung!$J95),0,Personalplanung!Q95/Monatsplanung!$E95*Monatsplanung!$J95)</f>
        <v>0</v>
      </c>
      <c r="Y407" s="168">
        <f>IF(ISERROR(Personalplanung!R95/T1343*Stundencontrolling!T407),0,Personalplanung!R95/T1343*Stundencontrolling!T407)</f>
        <v>0</v>
      </c>
      <c r="Z407" s="168">
        <f>IF(ISERROR(Personalplanung!S95/Monatsplanung!$E95*Monatsplanung!$J95),0,Personalplanung!S95/Monatsplanung!$E95*Monatsplanung!$J95)</f>
        <v>0</v>
      </c>
      <c r="AA407" s="80">
        <f t="shared" si="116"/>
        <v>0</v>
      </c>
      <c r="AB407" s="102">
        <f t="shared" si="117"/>
        <v>0.1</v>
      </c>
      <c r="AC407" s="103">
        <f t="shared" si="118"/>
        <v>0</v>
      </c>
      <c r="AD407" s="103">
        <f t="shared" si="119"/>
        <v>0</v>
      </c>
      <c r="AE407" s="81">
        <f t="shared" si="120"/>
        <v>0</v>
      </c>
      <c r="AF407" s="539"/>
      <c r="AG407" s="104">
        <f t="shared" si="121"/>
        <v>1</v>
      </c>
      <c r="AH407" s="7">
        <f t="shared" si="122"/>
        <v>0</v>
      </c>
      <c r="AI407" s="6">
        <f t="shared" si="123"/>
        <v>0</v>
      </c>
      <c r="AJ407" s="73">
        <f t="shared" si="124"/>
        <v>0</v>
      </c>
      <c r="AK407" s="539"/>
      <c r="AL407" s="748"/>
      <c r="AM407" s="748"/>
    </row>
    <row r="408" spans="2:39" x14ac:dyDescent="0.2">
      <c r="B408" s="101" t="str">
        <f t="shared" si="109"/>
        <v/>
      </c>
      <c r="C408" s="168">
        <f>IF(ISERROR(Personalplanung!F96/Monatsplanung!$E96*Monatsplanung!$J96),0,Personalplanung!F96/Monatsplanung!$E96*Monatsplanung!$J96)</f>
        <v>0</v>
      </c>
      <c r="D408" s="168">
        <f t="shared" si="110"/>
        <v>0</v>
      </c>
      <c r="E408" s="168">
        <f>IF(ISERROR(Personalplanung!H96/Monatsplanung!$E96*Monatsplanung!$J96),0,Personalplanung!H96/Monatsplanung!$E96*Monatsplanung!$J96)</f>
        <v>0</v>
      </c>
      <c r="F408" s="168">
        <f t="shared" si="111"/>
        <v>0</v>
      </c>
      <c r="G408" s="168">
        <f t="shared" si="112"/>
        <v>27.700831024930746</v>
      </c>
      <c r="H408" s="168">
        <f t="shared" si="113"/>
        <v>0</v>
      </c>
      <c r="I408" s="168">
        <f t="shared" si="114"/>
        <v>30</v>
      </c>
      <c r="J408" s="739"/>
      <c r="K408" s="168">
        <f>IF(J408&lt;&gt;"",J408,IF(ISERROR(Personalplanung!AB96/Monatsplanung!$E96*Monatsplanung!$J96),0,Personalplanung!AB96/Monatsplanung!$E96*Monatsplanung!$J96))</f>
        <v>0</v>
      </c>
      <c r="L408" s="740"/>
      <c r="M408" s="739"/>
      <c r="N408" s="168">
        <f>IF(M408&lt;&gt;"",M408,IF(ISERROR(Personalplanung!AC96/Monatsplanung!$E96*Monatsplanung!$J96),0,Personalplanung!AC96/Monatsplanung!$E96*Monatsplanung!$J96))</f>
        <v>0</v>
      </c>
      <c r="O408" s="740"/>
      <c r="P408" s="739"/>
      <c r="Q408" s="168">
        <f>IF(P408&lt;&gt;"",P408,IF(ISERROR(Personalplanung!AD96/Monatsplanung!$E96*Monatsplanung!$J96),0,Personalplanung!AD96/Monatsplanung!$E96*Monatsplanung!$J96))</f>
        <v>0</v>
      </c>
      <c r="R408" s="740"/>
      <c r="S408" s="739"/>
      <c r="T408" s="168">
        <f>IF(S408&lt;&gt;"",S408,IF(ISERROR(Personalplanung!AE96/Monatsplanung!$E96*Monatsplanung!$J96),0,Personalplanung!AE96/Monatsplanung!$E96*Monatsplanung!$J96))</f>
        <v>0</v>
      </c>
      <c r="U408" s="740"/>
      <c r="V408" s="168">
        <f t="shared" si="115"/>
        <v>0</v>
      </c>
      <c r="W408" s="168">
        <f>IF(ISERROR(Personalplanung!P96/Monatsplanung!$E96*Monatsplanung!$J96),0,Personalplanung!P96/Monatsplanung!$E96*Monatsplanung!$J96)</f>
        <v>0</v>
      </c>
      <c r="X408" s="168">
        <f>IF(ISERROR(Personalplanung!Q96/Monatsplanung!$E96*Monatsplanung!$J96),0,Personalplanung!Q96/Monatsplanung!$E96*Monatsplanung!$J96)</f>
        <v>0</v>
      </c>
      <c r="Y408" s="168">
        <f>IF(ISERROR(Personalplanung!R96/T1344*Stundencontrolling!T408),0,Personalplanung!R96/T1344*Stundencontrolling!T408)</f>
        <v>0</v>
      </c>
      <c r="Z408" s="168">
        <f>IF(ISERROR(Personalplanung!S96/Monatsplanung!$E96*Monatsplanung!$J96),0,Personalplanung!S96/Monatsplanung!$E96*Monatsplanung!$J96)</f>
        <v>0</v>
      </c>
      <c r="AA408" s="80">
        <f t="shared" si="116"/>
        <v>0</v>
      </c>
      <c r="AB408" s="102">
        <f t="shared" si="117"/>
        <v>0.1</v>
      </c>
      <c r="AC408" s="103">
        <f t="shared" si="118"/>
        <v>0</v>
      </c>
      <c r="AD408" s="103">
        <f t="shared" si="119"/>
        <v>0</v>
      </c>
      <c r="AE408" s="81">
        <f t="shared" si="120"/>
        <v>0</v>
      </c>
      <c r="AF408" s="539"/>
      <c r="AG408" s="104">
        <f t="shared" si="121"/>
        <v>1</v>
      </c>
      <c r="AH408" s="7">
        <f t="shared" si="122"/>
        <v>0</v>
      </c>
      <c r="AI408" s="6">
        <f t="shared" si="123"/>
        <v>0</v>
      </c>
      <c r="AJ408" s="73">
        <f t="shared" si="124"/>
        <v>0</v>
      </c>
      <c r="AK408" s="539"/>
      <c r="AL408" s="748"/>
      <c r="AM408" s="748"/>
    </row>
    <row r="409" spans="2:39" x14ac:dyDescent="0.2">
      <c r="B409" s="101" t="str">
        <f t="shared" si="109"/>
        <v/>
      </c>
      <c r="C409" s="168">
        <f>IF(ISERROR(Personalplanung!F97/Monatsplanung!$E97*Monatsplanung!$J97),0,Personalplanung!F97/Monatsplanung!$E97*Monatsplanung!$J97)</f>
        <v>0</v>
      </c>
      <c r="D409" s="168">
        <f t="shared" si="110"/>
        <v>0</v>
      </c>
      <c r="E409" s="168">
        <f>IF(ISERROR(Personalplanung!H97/Monatsplanung!$E97*Monatsplanung!$J97),0,Personalplanung!H97/Monatsplanung!$E97*Monatsplanung!$J97)</f>
        <v>0</v>
      </c>
      <c r="F409" s="168">
        <f t="shared" si="111"/>
        <v>0</v>
      </c>
      <c r="G409" s="168">
        <f t="shared" si="112"/>
        <v>27.700831024930746</v>
      </c>
      <c r="H409" s="168">
        <f t="shared" si="113"/>
        <v>0</v>
      </c>
      <c r="I409" s="168">
        <f t="shared" si="114"/>
        <v>30</v>
      </c>
      <c r="J409" s="739"/>
      <c r="K409" s="168">
        <f>IF(J409&lt;&gt;"",J409,IF(ISERROR(Personalplanung!AB97/Monatsplanung!$E97*Monatsplanung!$J97),0,Personalplanung!AB97/Monatsplanung!$E97*Monatsplanung!$J97))</f>
        <v>0</v>
      </c>
      <c r="L409" s="740"/>
      <c r="M409" s="739"/>
      <c r="N409" s="168">
        <f>IF(M409&lt;&gt;"",M409,IF(ISERROR(Personalplanung!AC97/Monatsplanung!$E97*Monatsplanung!$J97),0,Personalplanung!AC97/Monatsplanung!$E97*Monatsplanung!$J97))</f>
        <v>0</v>
      </c>
      <c r="O409" s="740"/>
      <c r="P409" s="739"/>
      <c r="Q409" s="168">
        <f>IF(P409&lt;&gt;"",P409,IF(ISERROR(Personalplanung!AD97/Monatsplanung!$E97*Monatsplanung!$J97),0,Personalplanung!AD97/Monatsplanung!$E97*Monatsplanung!$J97))</f>
        <v>0</v>
      </c>
      <c r="R409" s="740"/>
      <c r="S409" s="739"/>
      <c r="T409" s="168">
        <f>IF(S409&lt;&gt;"",S409,IF(ISERROR(Personalplanung!AE97/Monatsplanung!$E97*Monatsplanung!$J97),0,Personalplanung!AE97/Monatsplanung!$E97*Monatsplanung!$J97))</f>
        <v>0</v>
      </c>
      <c r="U409" s="740"/>
      <c r="V409" s="168">
        <f t="shared" si="115"/>
        <v>0</v>
      </c>
      <c r="W409" s="168">
        <f>IF(ISERROR(Personalplanung!P97/Monatsplanung!$E97*Monatsplanung!$J97),0,Personalplanung!P97/Monatsplanung!$E97*Monatsplanung!$J97)</f>
        <v>0</v>
      </c>
      <c r="X409" s="168">
        <f>IF(ISERROR(Personalplanung!Q97/Monatsplanung!$E97*Monatsplanung!$J97),0,Personalplanung!Q97/Monatsplanung!$E97*Monatsplanung!$J97)</f>
        <v>0</v>
      </c>
      <c r="Y409" s="168">
        <f>IF(ISERROR(Personalplanung!R97/T1345*Stundencontrolling!T409),0,Personalplanung!R97/T1345*Stundencontrolling!T409)</f>
        <v>0</v>
      </c>
      <c r="Z409" s="168">
        <f>IF(ISERROR(Personalplanung!S97/Monatsplanung!$E97*Monatsplanung!$J97),0,Personalplanung!S97/Monatsplanung!$E97*Monatsplanung!$J97)</f>
        <v>0</v>
      </c>
      <c r="AA409" s="80">
        <f t="shared" si="116"/>
        <v>0</v>
      </c>
      <c r="AB409" s="102">
        <f t="shared" si="117"/>
        <v>0.1</v>
      </c>
      <c r="AC409" s="103">
        <f t="shared" si="118"/>
        <v>0</v>
      </c>
      <c r="AD409" s="103">
        <f t="shared" si="119"/>
        <v>0</v>
      </c>
      <c r="AE409" s="81">
        <f t="shared" si="120"/>
        <v>0</v>
      </c>
      <c r="AF409" s="539"/>
      <c r="AG409" s="104">
        <f t="shared" si="121"/>
        <v>1</v>
      </c>
      <c r="AH409" s="7">
        <f t="shared" si="122"/>
        <v>0</v>
      </c>
      <c r="AI409" s="6">
        <f t="shared" si="123"/>
        <v>0</v>
      </c>
      <c r="AJ409" s="73">
        <f t="shared" si="124"/>
        <v>0</v>
      </c>
      <c r="AK409" s="539"/>
      <c r="AL409" s="748"/>
      <c r="AM409" s="748"/>
    </row>
    <row r="410" spans="2:39" x14ac:dyDescent="0.2">
      <c r="B410" s="101" t="str">
        <f t="shared" si="109"/>
        <v/>
      </c>
      <c r="C410" s="168">
        <f>IF(ISERROR(Personalplanung!F98/Monatsplanung!$E98*Monatsplanung!$J98),0,Personalplanung!F98/Monatsplanung!$E98*Monatsplanung!$J98)</f>
        <v>0</v>
      </c>
      <c r="D410" s="168">
        <f t="shared" si="110"/>
        <v>0</v>
      </c>
      <c r="E410" s="168">
        <f>IF(ISERROR(Personalplanung!H98/Monatsplanung!$E98*Monatsplanung!$J98),0,Personalplanung!H98/Monatsplanung!$E98*Monatsplanung!$J98)</f>
        <v>0</v>
      </c>
      <c r="F410" s="168">
        <f t="shared" si="111"/>
        <v>0</v>
      </c>
      <c r="G410" s="168">
        <f t="shared" si="112"/>
        <v>27.700831024930746</v>
      </c>
      <c r="H410" s="168">
        <f t="shared" si="113"/>
        <v>0</v>
      </c>
      <c r="I410" s="168">
        <f t="shared" si="114"/>
        <v>30</v>
      </c>
      <c r="J410" s="739"/>
      <c r="K410" s="168">
        <f>IF(J410&lt;&gt;"",J410,IF(ISERROR(Personalplanung!AB98/Monatsplanung!$E98*Monatsplanung!$J98),0,Personalplanung!AB98/Monatsplanung!$E98*Monatsplanung!$J98))</f>
        <v>0</v>
      </c>
      <c r="L410" s="740"/>
      <c r="M410" s="739"/>
      <c r="N410" s="168">
        <f>IF(M410&lt;&gt;"",M410,IF(ISERROR(Personalplanung!AC98/Monatsplanung!$E98*Monatsplanung!$J98),0,Personalplanung!AC98/Monatsplanung!$E98*Monatsplanung!$J98))</f>
        <v>0</v>
      </c>
      <c r="O410" s="740"/>
      <c r="P410" s="739"/>
      <c r="Q410" s="168">
        <f>IF(P410&lt;&gt;"",P410,IF(ISERROR(Personalplanung!AD98/Monatsplanung!$E98*Monatsplanung!$J98),0,Personalplanung!AD98/Monatsplanung!$E98*Monatsplanung!$J98))</f>
        <v>0</v>
      </c>
      <c r="R410" s="740"/>
      <c r="S410" s="739"/>
      <c r="T410" s="168">
        <f>IF(S410&lt;&gt;"",S410,IF(ISERROR(Personalplanung!AE98/Monatsplanung!$E98*Monatsplanung!$J98),0,Personalplanung!AE98/Monatsplanung!$E98*Monatsplanung!$J98))</f>
        <v>0</v>
      </c>
      <c r="U410" s="740"/>
      <c r="V410" s="168">
        <f t="shared" si="115"/>
        <v>0</v>
      </c>
      <c r="W410" s="168">
        <f>IF(ISERROR(Personalplanung!P98/Monatsplanung!$E98*Monatsplanung!$J98),0,Personalplanung!P98/Monatsplanung!$E98*Monatsplanung!$J98)</f>
        <v>0</v>
      </c>
      <c r="X410" s="168">
        <f>IF(ISERROR(Personalplanung!Q98/Monatsplanung!$E98*Monatsplanung!$J98),0,Personalplanung!Q98/Monatsplanung!$E98*Monatsplanung!$J98)</f>
        <v>0</v>
      </c>
      <c r="Y410" s="168">
        <f>IF(ISERROR(Personalplanung!R98/T1346*Stundencontrolling!T410),0,Personalplanung!R98/T1346*Stundencontrolling!T410)</f>
        <v>0</v>
      </c>
      <c r="Z410" s="168">
        <f>IF(ISERROR(Personalplanung!S98/Monatsplanung!$E98*Monatsplanung!$J98),0,Personalplanung!S98/Monatsplanung!$E98*Monatsplanung!$J98)</f>
        <v>0</v>
      </c>
      <c r="AA410" s="80">
        <f t="shared" si="116"/>
        <v>0</v>
      </c>
      <c r="AB410" s="102">
        <f t="shared" si="117"/>
        <v>0.1</v>
      </c>
      <c r="AC410" s="103">
        <f t="shared" si="118"/>
        <v>0</v>
      </c>
      <c r="AD410" s="103">
        <f t="shared" si="119"/>
        <v>0</v>
      </c>
      <c r="AE410" s="81">
        <f t="shared" si="120"/>
        <v>0</v>
      </c>
      <c r="AF410" s="539"/>
      <c r="AG410" s="104">
        <f t="shared" si="121"/>
        <v>1</v>
      </c>
      <c r="AH410" s="7">
        <f t="shared" si="122"/>
        <v>0</v>
      </c>
      <c r="AI410" s="6">
        <f t="shared" si="123"/>
        <v>0</v>
      </c>
      <c r="AJ410" s="73">
        <f t="shared" si="124"/>
        <v>0</v>
      </c>
      <c r="AK410" s="539"/>
      <c r="AL410" s="748"/>
      <c r="AM410" s="748"/>
    </row>
    <row r="411" spans="2:39" x14ac:dyDescent="0.2">
      <c r="B411" s="101" t="str">
        <f t="shared" si="109"/>
        <v/>
      </c>
      <c r="C411" s="168">
        <f>IF(ISERROR(Personalplanung!F99/Monatsplanung!$E99*Monatsplanung!$J99),0,Personalplanung!F99/Monatsplanung!$E99*Monatsplanung!$J99)</f>
        <v>0</v>
      </c>
      <c r="D411" s="168">
        <f t="shared" si="110"/>
        <v>0</v>
      </c>
      <c r="E411" s="168">
        <f>IF(ISERROR(Personalplanung!H99/Monatsplanung!$E99*Monatsplanung!$J99),0,Personalplanung!H99/Monatsplanung!$E99*Monatsplanung!$J99)</f>
        <v>0</v>
      </c>
      <c r="F411" s="168">
        <f t="shared" si="111"/>
        <v>0</v>
      </c>
      <c r="G411" s="168">
        <f t="shared" si="112"/>
        <v>27.700831024930746</v>
      </c>
      <c r="H411" s="168">
        <f t="shared" si="113"/>
        <v>0</v>
      </c>
      <c r="I411" s="168">
        <f t="shared" si="114"/>
        <v>30</v>
      </c>
      <c r="J411" s="739"/>
      <c r="K411" s="168">
        <f>IF(J411&lt;&gt;"",J411,IF(ISERROR(Personalplanung!AB99/Monatsplanung!$E99*Monatsplanung!$J99),0,Personalplanung!AB99/Monatsplanung!$E99*Monatsplanung!$J99))</f>
        <v>0</v>
      </c>
      <c r="L411" s="740"/>
      <c r="M411" s="739"/>
      <c r="N411" s="168">
        <f>IF(M411&lt;&gt;"",M411,IF(ISERROR(Personalplanung!AC99/Monatsplanung!$E99*Monatsplanung!$J99),0,Personalplanung!AC99/Monatsplanung!$E99*Monatsplanung!$J99))</f>
        <v>0</v>
      </c>
      <c r="O411" s="740"/>
      <c r="P411" s="739"/>
      <c r="Q411" s="168">
        <f>IF(P411&lt;&gt;"",P411,IF(ISERROR(Personalplanung!AD99/Monatsplanung!$E99*Monatsplanung!$J99),0,Personalplanung!AD99/Monatsplanung!$E99*Monatsplanung!$J99))</f>
        <v>0</v>
      </c>
      <c r="R411" s="740"/>
      <c r="S411" s="739"/>
      <c r="T411" s="168">
        <f>IF(S411&lt;&gt;"",S411,IF(ISERROR(Personalplanung!AE99/Monatsplanung!$E99*Monatsplanung!$J99),0,Personalplanung!AE99/Monatsplanung!$E99*Monatsplanung!$J99))</f>
        <v>0</v>
      </c>
      <c r="U411" s="740"/>
      <c r="V411" s="168">
        <f t="shared" si="115"/>
        <v>0</v>
      </c>
      <c r="W411" s="168">
        <f>IF(ISERROR(Personalplanung!P99/Monatsplanung!$E99*Monatsplanung!$J99),0,Personalplanung!P99/Monatsplanung!$E99*Monatsplanung!$J99)</f>
        <v>0</v>
      </c>
      <c r="X411" s="168">
        <f>IF(ISERROR(Personalplanung!Q99/Monatsplanung!$E99*Monatsplanung!$J99),0,Personalplanung!Q99/Monatsplanung!$E99*Monatsplanung!$J99)</f>
        <v>0</v>
      </c>
      <c r="Y411" s="168">
        <f>IF(ISERROR(Personalplanung!R99/T1347*Stundencontrolling!T411),0,Personalplanung!R99/T1347*Stundencontrolling!T411)</f>
        <v>0</v>
      </c>
      <c r="Z411" s="168">
        <f>IF(ISERROR(Personalplanung!S99/Monatsplanung!$E99*Monatsplanung!$J99),0,Personalplanung!S99/Monatsplanung!$E99*Monatsplanung!$J99)</f>
        <v>0</v>
      </c>
      <c r="AA411" s="80">
        <f t="shared" si="116"/>
        <v>0</v>
      </c>
      <c r="AB411" s="102">
        <f t="shared" si="117"/>
        <v>0.1</v>
      </c>
      <c r="AC411" s="103">
        <f t="shared" si="118"/>
        <v>0</v>
      </c>
      <c r="AD411" s="103">
        <f t="shared" si="119"/>
        <v>0</v>
      </c>
      <c r="AE411" s="81">
        <f t="shared" si="120"/>
        <v>0</v>
      </c>
      <c r="AF411" s="539"/>
      <c r="AG411" s="104">
        <f t="shared" si="121"/>
        <v>1</v>
      </c>
      <c r="AH411" s="7">
        <f t="shared" si="122"/>
        <v>0</v>
      </c>
      <c r="AI411" s="6">
        <f t="shared" si="123"/>
        <v>0</v>
      </c>
      <c r="AJ411" s="73">
        <f t="shared" si="124"/>
        <v>0</v>
      </c>
      <c r="AK411" s="539"/>
      <c r="AL411" s="748"/>
      <c r="AM411" s="748"/>
    </row>
    <row r="412" spans="2:39" x14ac:dyDescent="0.2">
      <c r="B412" s="101" t="str">
        <f t="shared" si="109"/>
        <v/>
      </c>
      <c r="C412" s="168">
        <f>IF(ISERROR(Personalplanung!F100/Monatsplanung!$E100*Monatsplanung!$J100),0,Personalplanung!F100/Monatsplanung!$E100*Monatsplanung!$J100)</f>
        <v>0</v>
      </c>
      <c r="D412" s="168">
        <f t="shared" si="110"/>
        <v>0</v>
      </c>
      <c r="E412" s="168">
        <f>IF(ISERROR(Personalplanung!H100/Monatsplanung!$E100*Monatsplanung!$J100),0,Personalplanung!H100/Monatsplanung!$E100*Monatsplanung!$J100)</f>
        <v>0</v>
      </c>
      <c r="F412" s="168">
        <f t="shared" si="111"/>
        <v>0</v>
      </c>
      <c r="G412" s="168">
        <f t="shared" si="112"/>
        <v>27.700831024930746</v>
      </c>
      <c r="H412" s="168">
        <f t="shared" si="113"/>
        <v>0</v>
      </c>
      <c r="I412" s="168">
        <f t="shared" si="114"/>
        <v>30</v>
      </c>
      <c r="J412" s="739"/>
      <c r="K412" s="168">
        <f>IF(J412&lt;&gt;"",J412,IF(ISERROR(Personalplanung!AB100/Monatsplanung!$E100*Monatsplanung!$J100),0,Personalplanung!AB100/Monatsplanung!$E100*Monatsplanung!$J100))</f>
        <v>0</v>
      </c>
      <c r="L412" s="740"/>
      <c r="M412" s="739"/>
      <c r="N412" s="168">
        <f>IF(M412&lt;&gt;"",M412,IF(ISERROR(Personalplanung!AC100/Monatsplanung!$E100*Monatsplanung!$J100),0,Personalplanung!AC100/Monatsplanung!$E100*Monatsplanung!$J100))</f>
        <v>0</v>
      </c>
      <c r="O412" s="740"/>
      <c r="P412" s="739"/>
      <c r="Q412" s="168">
        <f>IF(P412&lt;&gt;"",P412,IF(ISERROR(Personalplanung!AD100/Monatsplanung!$E100*Monatsplanung!$J100),0,Personalplanung!AD100/Monatsplanung!$E100*Monatsplanung!$J100))</f>
        <v>0</v>
      </c>
      <c r="R412" s="740"/>
      <c r="S412" s="739"/>
      <c r="T412" s="168">
        <f>IF(S412&lt;&gt;"",S412,IF(ISERROR(Personalplanung!AE100/Monatsplanung!$E100*Monatsplanung!$J100),0,Personalplanung!AE100/Monatsplanung!$E100*Monatsplanung!$J100))</f>
        <v>0</v>
      </c>
      <c r="U412" s="740"/>
      <c r="V412" s="168">
        <f t="shared" si="115"/>
        <v>0</v>
      </c>
      <c r="W412" s="168">
        <f>IF(ISERROR(Personalplanung!P100/Monatsplanung!$E100*Monatsplanung!$J100),0,Personalplanung!P100/Monatsplanung!$E100*Monatsplanung!$J100)</f>
        <v>0</v>
      </c>
      <c r="X412" s="168">
        <f>IF(ISERROR(Personalplanung!Q100/Monatsplanung!$E100*Monatsplanung!$J100),0,Personalplanung!Q100/Monatsplanung!$E100*Monatsplanung!$J100)</f>
        <v>0</v>
      </c>
      <c r="Y412" s="168">
        <f>IF(ISERROR(Personalplanung!R100/T1348*Stundencontrolling!T412),0,Personalplanung!R100/T1348*Stundencontrolling!T412)</f>
        <v>0</v>
      </c>
      <c r="Z412" s="168">
        <f>IF(ISERROR(Personalplanung!S100/Monatsplanung!$E100*Monatsplanung!$J100),0,Personalplanung!S100/Monatsplanung!$E100*Monatsplanung!$J100)</f>
        <v>0</v>
      </c>
      <c r="AA412" s="80">
        <f t="shared" si="116"/>
        <v>0</v>
      </c>
      <c r="AB412" s="102">
        <f t="shared" si="117"/>
        <v>0.1</v>
      </c>
      <c r="AC412" s="103">
        <f t="shared" si="118"/>
        <v>0</v>
      </c>
      <c r="AD412" s="103">
        <f t="shared" si="119"/>
        <v>0</v>
      </c>
      <c r="AE412" s="81">
        <f t="shared" si="120"/>
        <v>0</v>
      </c>
      <c r="AF412" s="539"/>
      <c r="AG412" s="104">
        <f t="shared" si="121"/>
        <v>1</v>
      </c>
      <c r="AH412" s="7">
        <f t="shared" si="122"/>
        <v>0</v>
      </c>
      <c r="AI412" s="6">
        <f t="shared" si="123"/>
        <v>0</v>
      </c>
      <c r="AJ412" s="73">
        <f t="shared" si="124"/>
        <v>0</v>
      </c>
      <c r="AK412" s="539"/>
      <c r="AL412" s="748"/>
      <c r="AM412" s="748"/>
    </row>
    <row r="413" spans="2:39" x14ac:dyDescent="0.2">
      <c r="B413" s="101" t="str">
        <f t="shared" si="109"/>
        <v/>
      </c>
      <c r="C413" s="168">
        <f>IF(ISERROR(Personalplanung!F101/Monatsplanung!$E101*Monatsplanung!$J101),0,Personalplanung!F101/Monatsplanung!$E101*Monatsplanung!$J101)</f>
        <v>0</v>
      </c>
      <c r="D413" s="168">
        <f t="shared" si="110"/>
        <v>0</v>
      </c>
      <c r="E413" s="168">
        <f>IF(ISERROR(Personalplanung!H101/Monatsplanung!$E101*Monatsplanung!$J101),0,Personalplanung!H101/Monatsplanung!$E101*Monatsplanung!$J101)</f>
        <v>0</v>
      </c>
      <c r="F413" s="168">
        <f t="shared" si="111"/>
        <v>0</v>
      </c>
      <c r="G413" s="168">
        <f t="shared" si="112"/>
        <v>27.700831024930746</v>
      </c>
      <c r="H413" s="168">
        <f t="shared" si="113"/>
        <v>0</v>
      </c>
      <c r="I413" s="168">
        <f t="shared" si="114"/>
        <v>30</v>
      </c>
      <c r="J413" s="739"/>
      <c r="K413" s="168">
        <f>IF(J413&lt;&gt;"",J413,IF(ISERROR(Personalplanung!AB101/Monatsplanung!$E101*Monatsplanung!$J101),0,Personalplanung!AB101/Monatsplanung!$E101*Monatsplanung!$J101))</f>
        <v>0</v>
      </c>
      <c r="L413" s="740"/>
      <c r="M413" s="739"/>
      <c r="N413" s="168">
        <f>IF(M413&lt;&gt;"",M413,IF(ISERROR(Personalplanung!AC101/Monatsplanung!$E101*Monatsplanung!$J101),0,Personalplanung!AC101/Monatsplanung!$E101*Monatsplanung!$J101))</f>
        <v>0</v>
      </c>
      <c r="O413" s="740"/>
      <c r="P413" s="739"/>
      <c r="Q413" s="168">
        <f>IF(P413&lt;&gt;"",P413,IF(ISERROR(Personalplanung!AD101/Monatsplanung!$E101*Monatsplanung!$J101),0,Personalplanung!AD101/Monatsplanung!$E101*Monatsplanung!$J101))</f>
        <v>0</v>
      </c>
      <c r="R413" s="740"/>
      <c r="S413" s="739"/>
      <c r="T413" s="168">
        <f>IF(S413&lt;&gt;"",S413,IF(ISERROR(Personalplanung!AE101/Monatsplanung!$E101*Monatsplanung!$J101),0,Personalplanung!AE101/Monatsplanung!$E101*Monatsplanung!$J101))</f>
        <v>0</v>
      </c>
      <c r="U413" s="740"/>
      <c r="V413" s="168">
        <f t="shared" si="115"/>
        <v>0</v>
      </c>
      <c r="W413" s="168">
        <f>IF(ISERROR(Personalplanung!P101/Monatsplanung!$E101*Monatsplanung!$J101),0,Personalplanung!P101/Monatsplanung!$E101*Monatsplanung!$J101)</f>
        <v>0</v>
      </c>
      <c r="X413" s="168">
        <f>IF(ISERROR(Personalplanung!Q101/Monatsplanung!$E101*Monatsplanung!$J101),0,Personalplanung!Q101/Monatsplanung!$E101*Monatsplanung!$J101)</f>
        <v>0</v>
      </c>
      <c r="Y413" s="168">
        <f>IF(ISERROR(Personalplanung!R101/T1349*Stundencontrolling!T413),0,Personalplanung!R101/T1349*Stundencontrolling!T413)</f>
        <v>0</v>
      </c>
      <c r="Z413" s="168">
        <f>IF(ISERROR(Personalplanung!S101/Monatsplanung!$E101*Monatsplanung!$J101),0,Personalplanung!S101/Monatsplanung!$E101*Monatsplanung!$J101)</f>
        <v>0</v>
      </c>
      <c r="AA413" s="80">
        <f t="shared" si="116"/>
        <v>0</v>
      </c>
      <c r="AB413" s="102">
        <f t="shared" si="117"/>
        <v>0.1</v>
      </c>
      <c r="AC413" s="103">
        <f t="shared" si="118"/>
        <v>0</v>
      </c>
      <c r="AD413" s="103">
        <f t="shared" si="119"/>
        <v>0</v>
      </c>
      <c r="AE413" s="81">
        <f t="shared" si="120"/>
        <v>0</v>
      </c>
      <c r="AF413" s="539"/>
      <c r="AG413" s="104">
        <f t="shared" si="121"/>
        <v>1</v>
      </c>
      <c r="AH413" s="7">
        <f t="shared" si="122"/>
        <v>0</v>
      </c>
      <c r="AI413" s="6">
        <f t="shared" si="123"/>
        <v>0</v>
      </c>
      <c r="AJ413" s="73">
        <f t="shared" si="124"/>
        <v>0</v>
      </c>
      <c r="AK413" s="539"/>
      <c r="AL413" s="748"/>
      <c r="AM413" s="748"/>
    </row>
    <row r="414" spans="2:39" x14ac:dyDescent="0.2">
      <c r="B414" s="101" t="str">
        <f t="shared" si="109"/>
        <v/>
      </c>
      <c r="C414" s="168">
        <f>IF(ISERROR(Personalplanung!F102/Monatsplanung!$E102*Monatsplanung!$J102),0,Personalplanung!F102/Monatsplanung!$E102*Monatsplanung!$J102)</f>
        <v>0</v>
      </c>
      <c r="D414" s="168">
        <f t="shared" si="110"/>
        <v>0</v>
      </c>
      <c r="E414" s="168">
        <f>IF(ISERROR(Personalplanung!H102/Monatsplanung!$E102*Monatsplanung!$J102),0,Personalplanung!H102/Monatsplanung!$E102*Monatsplanung!$J102)</f>
        <v>0</v>
      </c>
      <c r="F414" s="168">
        <f t="shared" si="111"/>
        <v>0</v>
      </c>
      <c r="G414" s="168">
        <f t="shared" si="112"/>
        <v>27.700831024930746</v>
      </c>
      <c r="H414" s="168">
        <f t="shared" si="113"/>
        <v>0</v>
      </c>
      <c r="I414" s="168">
        <f t="shared" si="114"/>
        <v>30</v>
      </c>
      <c r="J414" s="739"/>
      <c r="K414" s="168">
        <f>IF(J414&lt;&gt;"",J414,IF(ISERROR(Personalplanung!AB102/Monatsplanung!$E102*Monatsplanung!$J102),0,Personalplanung!AB102/Monatsplanung!$E102*Monatsplanung!$J102))</f>
        <v>0</v>
      </c>
      <c r="L414" s="740"/>
      <c r="M414" s="739"/>
      <c r="N414" s="168">
        <f>IF(M414&lt;&gt;"",M414,IF(ISERROR(Personalplanung!AC102/Monatsplanung!$E102*Monatsplanung!$J102),0,Personalplanung!AC102/Monatsplanung!$E102*Monatsplanung!$J102))</f>
        <v>0</v>
      </c>
      <c r="O414" s="740"/>
      <c r="P414" s="739"/>
      <c r="Q414" s="168">
        <f>IF(P414&lt;&gt;"",P414,IF(ISERROR(Personalplanung!AD102/Monatsplanung!$E102*Monatsplanung!$J102),0,Personalplanung!AD102/Monatsplanung!$E102*Monatsplanung!$J102))</f>
        <v>0</v>
      </c>
      <c r="R414" s="740"/>
      <c r="S414" s="739"/>
      <c r="T414" s="168">
        <f>IF(S414&lt;&gt;"",S414,IF(ISERROR(Personalplanung!AE102/Monatsplanung!$E102*Monatsplanung!$J102),0,Personalplanung!AE102/Monatsplanung!$E102*Monatsplanung!$J102))</f>
        <v>0</v>
      </c>
      <c r="U414" s="740"/>
      <c r="V414" s="168">
        <f t="shared" si="115"/>
        <v>0</v>
      </c>
      <c r="W414" s="168">
        <f>IF(ISERROR(Personalplanung!P102/Monatsplanung!$E102*Monatsplanung!$J102),0,Personalplanung!P102/Monatsplanung!$E102*Monatsplanung!$J102)</f>
        <v>0</v>
      </c>
      <c r="X414" s="168">
        <f>IF(ISERROR(Personalplanung!Q102/Monatsplanung!$E102*Monatsplanung!$J102),0,Personalplanung!Q102/Monatsplanung!$E102*Monatsplanung!$J102)</f>
        <v>0</v>
      </c>
      <c r="Y414" s="168">
        <f>IF(ISERROR(Personalplanung!R102/T1350*Stundencontrolling!T414),0,Personalplanung!R102/T1350*Stundencontrolling!T414)</f>
        <v>0</v>
      </c>
      <c r="Z414" s="168">
        <f>IF(ISERROR(Personalplanung!S102/Monatsplanung!$E102*Monatsplanung!$J102),0,Personalplanung!S102/Monatsplanung!$E102*Monatsplanung!$J102)</f>
        <v>0</v>
      </c>
      <c r="AA414" s="80">
        <f t="shared" si="116"/>
        <v>0</v>
      </c>
      <c r="AB414" s="102">
        <f t="shared" si="117"/>
        <v>0.1</v>
      </c>
      <c r="AC414" s="103">
        <f t="shared" si="118"/>
        <v>0</v>
      </c>
      <c r="AD414" s="103">
        <f t="shared" si="119"/>
        <v>0</v>
      </c>
      <c r="AE414" s="81">
        <f t="shared" si="120"/>
        <v>0</v>
      </c>
      <c r="AF414" s="539"/>
      <c r="AG414" s="104">
        <f t="shared" si="121"/>
        <v>1</v>
      </c>
      <c r="AH414" s="7">
        <f t="shared" si="122"/>
        <v>0</v>
      </c>
      <c r="AI414" s="6">
        <f t="shared" si="123"/>
        <v>0</v>
      </c>
      <c r="AJ414" s="73">
        <f t="shared" si="124"/>
        <v>0</v>
      </c>
      <c r="AK414" s="539"/>
      <c r="AL414" s="748"/>
      <c r="AM414" s="748"/>
    </row>
    <row r="415" spans="2:39" x14ac:dyDescent="0.2">
      <c r="B415" s="101" t="str">
        <f t="shared" si="109"/>
        <v/>
      </c>
      <c r="C415" s="168">
        <f>IF(ISERROR(Personalplanung!F103/Monatsplanung!$E103*Monatsplanung!$J103),0,Personalplanung!F103/Monatsplanung!$E103*Monatsplanung!$J103)</f>
        <v>0</v>
      </c>
      <c r="D415" s="168">
        <f t="shared" si="110"/>
        <v>0</v>
      </c>
      <c r="E415" s="168">
        <f>IF(ISERROR(Personalplanung!H103/Monatsplanung!$E103*Monatsplanung!$J103),0,Personalplanung!H103/Monatsplanung!$E103*Monatsplanung!$J103)</f>
        <v>0</v>
      </c>
      <c r="F415" s="168">
        <f t="shared" si="111"/>
        <v>0</v>
      </c>
      <c r="G415" s="168">
        <f t="shared" si="112"/>
        <v>27.700831024930746</v>
      </c>
      <c r="H415" s="168">
        <f t="shared" si="113"/>
        <v>0</v>
      </c>
      <c r="I415" s="168">
        <f t="shared" si="114"/>
        <v>30</v>
      </c>
      <c r="J415" s="739"/>
      <c r="K415" s="168">
        <f>IF(J415&lt;&gt;"",J415,IF(ISERROR(Personalplanung!AB103/Monatsplanung!$E103*Monatsplanung!$J103),0,Personalplanung!AB103/Monatsplanung!$E103*Monatsplanung!$J103))</f>
        <v>0</v>
      </c>
      <c r="L415" s="740"/>
      <c r="M415" s="739"/>
      <c r="N415" s="168">
        <f>IF(M415&lt;&gt;"",M415,IF(ISERROR(Personalplanung!AC103/Monatsplanung!$E103*Monatsplanung!$J103),0,Personalplanung!AC103/Monatsplanung!$E103*Monatsplanung!$J103))</f>
        <v>0</v>
      </c>
      <c r="O415" s="740"/>
      <c r="P415" s="739"/>
      <c r="Q415" s="168">
        <f>IF(P415&lt;&gt;"",P415,IF(ISERROR(Personalplanung!AD103/Monatsplanung!$E103*Monatsplanung!$J103),0,Personalplanung!AD103/Monatsplanung!$E103*Monatsplanung!$J103))</f>
        <v>0</v>
      </c>
      <c r="R415" s="740"/>
      <c r="S415" s="739"/>
      <c r="T415" s="168">
        <f>IF(S415&lt;&gt;"",S415,IF(ISERROR(Personalplanung!AE103/Monatsplanung!$E103*Monatsplanung!$J103),0,Personalplanung!AE103/Monatsplanung!$E103*Monatsplanung!$J103))</f>
        <v>0</v>
      </c>
      <c r="U415" s="740"/>
      <c r="V415" s="168">
        <f t="shared" si="115"/>
        <v>0</v>
      </c>
      <c r="W415" s="168">
        <f>IF(ISERROR(Personalplanung!P103/Monatsplanung!$E103*Monatsplanung!$J103),0,Personalplanung!P103/Monatsplanung!$E103*Monatsplanung!$J103)</f>
        <v>0</v>
      </c>
      <c r="X415" s="168">
        <f>IF(ISERROR(Personalplanung!Q103/Monatsplanung!$E103*Monatsplanung!$J103),0,Personalplanung!Q103/Monatsplanung!$E103*Monatsplanung!$J103)</f>
        <v>0</v>
      </c>
      <c r="Y415" s="168">
        <f>IF(ISERROR(Personalplanung!R103/T1351*Stundencontrolling!T415),0,Personalplanung!R103/T1351*Stundencontrolling!T415)</f>
        <v>0</v>
      </c>
      <c r="Z415" s="168">
        <f>IF(ISERROR(Personalplanung!S103/Monatsplanung!$E103*Monatsplanung!$J103),0,Personalplanung!S103/Monatsplanung!$E103*Monatsplanung!$J103)</f>
        <v>0</v>
      </c>
      <c r="AA415" s="80">
        <f t="shared" si="116"/>
        <v>0</v>
      </c>
      <c r="AB415" s="102">
        <f t="shared" si="117"/>
        <v>0.1</v>
      </c>
      <c r="AC415" s="103">
        <f t="shared" si="118"/>
        <v>0</v>
      </c>
      <c r="AD415" s="103">
        <f t="shared" si="119"/>
        <v>0</v>
      </c>
      <c r="AE415" s="81">
        <f t="shared" si="120"/>
        <v>0</v>
      </c>
      <c r="AF415" s="539"/>
      <c r="AG415" s="104">
        <f t="shared" si="121"/>
        <v>1</v>
      </c>
      <c r="AH415" s="7">
        <f t="shared" si="122"/>
        <v>0</v>
      </c>
      <c r="AI415" s="6">
        <f t="shared" si="123"/>
        <v>0</v>
      </c>
      <c r="AJ415" s="73">
        <f t="shared" si="124"/>
        <v>0</v>
      </c>
      <c r="AK415" s="539"/>
      <c r="AL415" s="748"/>
      <c r="AM415" s="748"/>
    </row>
    <row r="416" spans="2:39" x14ac:dyDescent="0.2">
      <c r="B416" s="101" t="str">
        <f t="shared" si="109"/>
        <v/>
      </c>
      <c r="C416" s="168">
        <f>IF(ISERROR(Personalplanung!F104/Monatsplanung!$E104*Monatsplanung!$J104),0,Personalplanung!F104/Monatsplanung!$E104*Monatsplanung!$J104)</f>
        <v>0</v>
      </c>
      <c r="D416" s="168">
        <f t="shared" si="110"/>
        <v>0</v>
      </c>
      <c r="E416" s="168">
        <f>IF(ISERROR(Personalplanung!H104/Monatsplanung!$E104*Monatsplanung!$J104),0,Personalplanung!H104/Monatsplanung!$E104*Monatsplanung!$J104)</f>
        <v>0</v>
      </c>
      <c r="F416" s="168">
        <f t="shared" si="111"/>
        <v>0</v>
      </c>
      <c r="G416" s="168">
        <f t="shared" si="112"/>
        <v>27.700831024930746</v>
      </c>
      <c r="H416" s="168">
        <f t="shared" si="113"/>
        <v>0</v>
      </c>
      <c r="I416" s="168">
        <f t="shared" si="114"/>
        <v>30</v>
      </c>
      <c r="J416" s="739"/>
      <c r="K416" s="168">
        <f>IF(J416&lt;&gt;"",J416,IF(ISERROR(Personalplanung!AB104/Monatsplanung!$E104*Monatsplanung!$J104),0,Personalplanung!AB104/Monatsplanung!$E104*Monatsplanung!$J104))</f>
        <v>0</v>
      </c>
      <c r="L416" s="740"/>
      <c r="M416" s="739"/>
      <c r="N416" s="168">
        <f>IF(M416&lt;&gt;"",M416,IF(ISERROR(Personalplanung!AC104/Monatsplanung!$E104*Monatsplanung!$J104),0,Personalplanung!AC104/Monatsplanung!$E104*Monatsplanung!$J104))</f>
        <v>0</v>
      </c>
      <c r="O416" s="740"/>
      <c r="P416" s="739"/>
      <c r="Q416" s="168">
        <f>IF(P416&lt;&gt;"",P416,IF(ISERROR(Personalplanung!AD104/Monatsplanung!$E104*Monatsplanung!$J104),0,Personalplanung!AD104/Monatsplanung!$E104*Monatsplanung!$J104))</f>
        <v>0</v>
      </c>
      <c r="R416" s="740"/>
      <c r="S416" s="739"/>
      <c r="T416" s="168">
        <f>IF(S416&lt;&gt;"",S416,IF(ISERROR(Personalplanung!AE104/Monatsplanung!$E104*Monatsplanung!$J104),0,Personalplanung!AE104/Monatsplanung!$E104*Monatsplanung!$J104))</f>
        <v>0</v>
      </c>
      <c r="U416" s="740"/>
      <c r="V416" s="168">
        <f t="shared" si="115"/>
        <v>0</v>
      </c>
      <c r="W416" s="168">
        <f>IF(ISERROR(Personalplanung!P104/Monatsplanung!$E104*Monatsplanung!$J104),0,Personalplanung!P104/Monatsplanung!$E104*Monatsplanung!$J104)</f>
        <v>0</v>
      </c>
      <c r="X416" s="168">
        <f>IF(ISERROR(Personalplanung!Q104/Monatsplanung!$E104*Monatsplanung!$J104),0,Personalplanung!Q104/Monatsplanung!$E104*Monatsplanung!$J104)</f>
        <v>0</v>
      </c>
      <c r="Y416" s="168">
        <f>IF(ISERROR(Personalplanung!R104/T1352*Stundencontrolling!T416),0,Personalplanung!R104/T1352*Stundencontrolling!T416)</f>
        <v>0</v>
      </c>
      <c r="Z416" s="168">
        <f>IF(ISERROR(Personalplanung!S104/Monatsplanung!$E104*Monatsplanung!$J104),0,Personalplanung!S104/Monatsplanung!$E104*Monatsplanung!$J104)</f>
        <v>0</v>
      </c>
      <c r="AA416" s="80">
        <f t="shared" si="116"/>
        <v>0</v>
      </c>
      <c r="AB416" s="102">
        <f t="shared" si="117"/>
        <v>0.1</v>
      </c>
      <c r="AC416" s="103">
        <f t="shared" si="118"/>
        <v>0</v>
      </c>
      <c r="AD416" s="103">
        <f t="shared" si="119"/>
        <v>0</v>
      </c>
      <c r="AE416" s="81">
        <f t="shared" si="120"/>
        <v>0</v>
      </c>
      <c r="AF416" s="539"/>
      <c r="AG416" s="104">
        <f t="shared" si="121"/>
        <v>1</v>
      </c>
      <c r="AH416" s="7">
        <f t="shared" si="122"/>
        <v>0</v>
      </c>
      <c r="AI416" s="6">
        <f t="shared" si="123"/>
        <v>0</v>
      </c>
      <c r="AJ416" s="73">
        <f t="shared" si="124"/>
        <v>0</v>
      </c>
      <c r="AK416" s="539"/>
      <c r="AL416" s="748"/>
      <c r="AM416" s="748"/>
    </row>
    <row r="417" spans="1:39" x14ac:dyDescent="0.2">
      <c r="B417" s="101" t="str">
        <f t="shared" si="109"/>
        <v/>
      </c>
      <c r="C417" s="168">
        <f>IF(ISERROR(Personalplanung!F105/Monatsplanung!$E105*Monatsplanung!$J105),0,Personalplanung!F105/Monatsplanung!$E105*Monatsplanung!$J105)</f>
        <v>0</v>
      </c>
      <c r="D417" s="168">
        <f t="shared" si="110"/>
        <v>0</v>
      </c>
      <c r="E417" s="168">
        <f>IF(ISERROR(Personalplanung!H105/Monatsplanung!$E105*Monatsplanung!$J105),0,Personalplanung!H105/Monatsplanung!$E105*Monatsplanung!$J105)</f>
        <v>0</v>
      </c>
      <c r="F417" s="168">
        <f t="shared" si="111"/>
        <v>0</v>
      </c>
      <c r="G417" s="168">
        <f t="shared" si="112"/>
        <v>27.700831024930746</v>
      </c>
      <c r="H417" s="168">
        <f t="shared" si="113"/>
        <v>0</v>
      </c>
      <c r="I417" s="168">
        <f t="shared" si="114"/>
        <v>30</v>
      </c>
      <c r="J417" s="739"/>
      <c r="K417" s="168">
        <f>IF(J417&lt;&gt;"",J417,IF(ISERROR(Personalplanung!AB105/Monatsplanung!$E105*Monatsplanung!$J105),0,Personalplanung!AB105/Monatsplanung!$E105*Monatsplanung!$J105))</f>
        <v>0</v>
      </c>
      <c r="L417" s="740"/>
      <c r="M417" s="739"/>
      <c r="N417" s="168">
        <f>IF(M417&lt;&gt;"",M417,IF(ISERROR(Personalplanung!AC105/Monatsplanung!$E105*Monatsplanung!$J105),0,Personalplanung!AC105/Monatsplanung!$E105*Monatsplanung!$J105))</f>
        <v>0</v>
      </c>
      <c r="O417" s="740"/>
      <c r="P417" s="739"/>
      <c r="Q417" s="168">
        <f>IF(P417&lt;&gt;"",P417,IF(ISERROR(Personalplanung!AD105/Monatsplanung!$E105*Monatsplanung!$J105),0,Personalplanung!AD105/Monatsplanung!$E105*Monatsplanung!$J105))</f>
        <v>0</v>
      </c>
      <c r="R417" s="740"/>
      <c r="S417" s="739"/>
      <c r="T417" s="168">
        <f>IF(S417&lt;&gt;"",S417,IF(ISERROR(Personalplanung!AE105/Monatsplanung!$E105*Monatsplanung!$J105),0,Personalplanung!AE105/Monatsplanung!$E105*Monatsplanung!$J105))</f>
        <v>0</v>
      </c>
      <c r="U417" s="740"/>
      <c r="V417" s="168">
        <f t="shared" si="115"/>
        <v>0</v>
      </c>
      <c r="W417" s="168">
        <f>IF(ISERROR(Personalplanung!P105/Monatsplanung!$E105*Monatsplanung!$J105),0,Personalplanung!P105/Monatsplanung!$E105*Monatsplanung!$J105)</f>
        <v>0</v>
      </c>
      <c r="X417" s="168">
        <f>IF(ISERROR(Personalplanung!Q105/Monatsplanung!$E105*Monatsplanung!$J105),0,Personalplanung!Q105/Monatsplanung!$E105*Monatsplanung!$J105)</f>
        <v>0</v>
      </c>
      <c r="Y417" s="168">
        <f>IF(ISERROR(Personalplanung!R105/T1353*Stundencontrolling!T417),0,Personalplanung!R105/T1353*Stundencontrolling!T417)</f>
        <v>0</v>
      </c>
      <c r="Z417" s="168">
        <f>IF(ISERROR(Personalplanung!S105/Monatsplanung!$E105*Monatsplanung!$J105),0,Personalplanung!S105/Monatsplanung!$E105*Monatsplanung!$J105)</f>
        <v>0</v>
      </c>
      <c r="AA417" s="80">
        <f t="shared" si="116"/>
        <v>0</v>
      </c>
      <c r="AB417" s="102">
        <f t="shared" si="117"/>
        <v>0.1</v>
      </c>
      <c r="AC417" s="103">
        <f t="shared" si="118"/>
        <v>0</v>
      </c>
      <c r="AD417" s="103">
        <f t="shared" si="119"/>
        <v>0</v>
      </c>
      <c r="AE417" s="81">
        <f t="shared" si="120"/>
        <v>0</v>
      </c>
      <c r="AF417" s="539"/>
      <c r="AG417" s="104">
        <f t="shared" si="121"/>
        <v>1</v>
      </c>
      <c r="AH417" s="7">
        <f t="shared" si="122"/>
        <v>0</v>
      </c>
      <c r="AI417" s="6">
        <f t="shared" si="123"/>
        <v>0</v>
      </c>
      <c r="AJ417" s="73">
        <f t="shared" si="124"/>
        <v>0</v>
      </c>
      <c r="AK417" s="539"/>
      <c r="AL417" s="748"/>
      <c r="AM417" s="748"/>
    </row>
    <row r="418" spans="1:39" x14ac:dyDescent="0.2">
      <c r="B418" s="101" t="str">
        <f t="shared" si="109"/>
        <v/>
      </c>
      <c r="C418" s="168">
        <f>IF(ISERROR(Personalplanung!F106/Monatsplanung!$E106*Monatsplanung!$J106),0,Personalplanung!F106/Monatsplanung!$E106*Monatsplanung!$J106)</f>
        <v>0</v>
      </c>
      <c r="D418" s="168">
        <f t="shared" si="110"/>
        <v>0</v>
      </c>
      <c r="E418" s="168">
        <f>IF(ISERROR(Personalplanung!H106/Monatsplanung!$E106*Monatsplanung!$J106),0,Personalplanung!H106/Monatsplanung!$E106*Monatsplanung!$J106)</f>
        <v>0</v>
      </c>
      <c r="F418" s="168">
        <f t="shared" si="111"/>
        <v>0</v>
      </c>
      <c r="G418" s="168">
        <f t="shared" si="112"/>
        <v>27.700831024930746</v>
      </c>
      <c r="H418" s="168">
        <f t="shared" si="113"/>
        <v>0</v>
      </c>
      <c r="I418" s="168">
        <f t="shared" si="114"/>
        <v>30</v>
      </c>
      <c r="J418" s="739"/>
      <c r="K418" s="168">
        <f>IF(J418&lt;&gt;"",J418,IF(ISERROR(Personalplanung!AB106/Monatsplanung!$E106*Monatsplanung!$J106),0,Personalplanung!AB106/Monatsplanung!$E106*Monatsplanung!$J106))</f>
        <v>0</v>
      </c>
      <c r="L418" s="740"/>
      <c r="M418" s="739"/>
      <c r="N418" s="168">
        <f>IF(M418&lt;&gt;"",M418,IF(ISERROR(Personalplanung!AC106/Monatsplanung!$E106*Monatsplanung!$J106),0,Personalplanung!AC106/Monatsplanung!$E106*Monatsplanung!$J106))</f>
        <v>0</v>
      </c>
      <c r="O418" s="740"/>
      <c r="P418" s="739"/>
      <c r="Q418" s="168">
        <f>IF(P418&lt;&gt;"",P418,IF(ISERROR(Personalplanung!AD106/Monatsplanung!$E106*Monatsplanung!$J106),0,Personalplanung!AD106/Monatsplanung!$E106*Monatsplanung!$J106))</f>
        <v>0</v>
      </c>
      <c r="R418" s="740"/>
      <c r="S418" s="739"/>
      <c r="T418" s="168">
        <f>IF(S418&lt;&gt;"",S418,IF(ISERROR(Personalplanung!AE106/Monatsplanung!$E106*Monatsplanung!$J106),0,Personalplanung!AE106/Monatsplanung!$E106*Monatsplanung!$J106))</f>
        <v>0</v>
      </c>
      <c r="U418" s="740"/>
      <c r="V418" s="168">
        <f t="shared" si="115"/>
        <v>0</v>
      </c>
      <c r="W418" s="168">
        <f>IF(ISERROR(Personalplanung!P106/Monatsplanung!$E106*Monatsplanung!$J106),0,Personalplanung!P106/Monatsplanung!$E106*Monatsplanung!$J106)</f>
        <v>0</v>
      </c>
      <c r="X418" s="168">
        <f>IF(ISERROR(Personalplanung!Q106/Monatsplanung!$E106*Monatsplanung!$J106),0,Personalplanung!Q106/Monatsplanung!$E106*Monatsplanung!$J106)</f>
        <v>0</v>
      </c>
      <c r="Y418" s="168">
        <f>IF(ISERROR(Personalplanung!R106/T1354*Stundencontrolling!T418),0,Personalplanung!R106/T1354*Stundencontrolling!T418)</f>
        <v>0</v>
      </c>
      <c r="Z418" s="168">
        <f>IF(ISERROR(Personalplanung!S106/Monatsplanung!$E106*Monatsplanung!$J106),0,Personalplanung!S106/Monatsplanung!$E106*Monatsplanung!$J106)</f>
        <v>0</v>
      </c>
      <c r="AA418" s="80">
        <f t="shared" si="116"/>
        <v>0</v>
      </c>
      <c r="AB418" s="102">
        <f t="shared" si="117"/>
        <v>0.1</v>
      </c>
      <c r="AC418" s="103">
        <f t="shared" si="118"/>
        <v>0</v>
      </c>
      <c r="AD418" s="103">
        <f t="shared" si="119"/>
        <v>0</v>
      </c>
      <c r="AE418" s="81">
        <f t="shared" si="120"/>
        <v>0</v>
      </c>
      <c r="AF418" s="539"/>
      <c r="AG418" s="104">
        <f t="shared" si="121"/>
        <v>1</v>
      </c>
      <c r="AH418" s="7">
        <f t="shared" si="122"/>
        <v>0</v>
      </c>
      <c r="AI418" s="6">
        <f t="shared" si="123"/>
        <v>0</v>
      </c>
      <c r="AJ418" s="73">
        <f t="shared" si="124"/>
        <v>0</v>
      </c>
      <c r="AK418" s="539"/>
      <c r="AL418" s="748"/>
      <c r="AM418" s="748"/>
    </row>
    <row r="419" spans="1:39" x14ac:dyDescent="0.2">
      <c r="B419" s="500" t="s">
        <v>134</v>
      </c>
      <c r="C419" s="501">
        <f>+SUM(C318:C418)</f>
        <v>2488.1999999999998</v>
      </c>
      <c r="D419" s="501"/>
      <c r="E419" s="501">
        <f>+SUM(E318:E418)</f>
        <v>120.00000000000001</v>
      </c>
      <c r="F419" s="501">
        <f>+SUM(F318:F418)</f>
        <v>2608.1999999999998</v>
      </c>
      <c r="G419" s="501">
        <f>IF(ISERROR(+H419/F419),0,+H419/F419)</f>
        <v>27.700831024930746</v>
      </c>
      <c r="H419" s="501">
        <f>+SUM(H318:H418)</f>
        <v>72249.307479224371</v>
      </c>
      <c r="I419" s="501"/>
      <c r="J419" s="501"/>
      <c r="K419" s="501">
        <f t="shared" ref="K419:V419" si="125">+SUM(K318:K418)</f>
        <v>10.516666666666666</v>
      </c>
      <c r="L419" s="501"/>
      <c r="M419" s="501"/>
      <c r="N419" s="501">
        <f>+SUM(N318:N418)</f>
        <v>1.25</v>
      </c>
      <c r="O419" s="501"/>
      <c r="P419" s="501"/>
      <c r="Q419" s="501">
        <f>+SUM(Q318:Q418)</f>
        <v>3.2166666666666663</v>
      </c>
      <c r="R419" s="501"/>
      <c r="S419" s="501"/>
      <c r="T419" s="501">
        <f>+SUM(T318:T418)</f>
        <v>34.616666666666667</v>
      </c>
      <c r="U419" s="501"/>
      <c r="V419" s="501">
        <f t="shared" si="125"/>
        <v>49.6</v>
      </c>
      <c r="W419" s="501">
        <f>+SUM(W318:W418)</f>
        <v>0</v>
      </c>
      <c r="X419" s="501">
        <f>+SUM(X318:X418)</f>
        <v>166.66666666666666</v>
      </c>
      <c r="Y419" s="501">
        <f>+SUM(Y318:Y418)</f>
        <v>66.666666666666657</v>
      </c>
      <c r="Z419" s="501">
        <f>+SUM(Z318:Z418)</f>
        <v>50</v>
      </c>
      <c r="AA419" s="503">
        <f>SUM(AA318:AA418)</f>
        <v>2240011.8651892892</v>
      </c>
      <c r="AB419" s="502">
        <f>+AC419/AA419</f>
        <v>9.9999999999999978E-2</v>
      </c>
      <c r="AC419" s="503">
        <f>SUM(AC318:AC418)</f>
        <v>224001.18651892888</v>
      </c>
      <c r="AD419" s="503">
        <f>SUM(AD318:AD418)</f>
        <v>2016010.6786703593</v>
      </c>
      <c r="AE419" s="504">
        <f>SUM(AE318:AE418)</f>
        <v>222.49333333333334</v>
      </c>
      <c r="AF419" s="504">
        <f>SUM(AF318:AF418)</f>
        <v>0</v>
      </c>
      <c r="AG419" s="505">
        <f>AI419/AE419</f>
        <v>1</v>
      </c>
      <c r="AH419" s="505">
        <f t="shared" si="91"/>
        <v>0</v>
      </c>
      <c r="AI419" s="504">
        <f>SUM(AI318:AI418)</f>
        <v>222.49333333333334</v>
      </c>
      <c r="AJ419" s="506">
        <f t="shared" si="92"/>
        <v>1006.777071308184</v>
      </c>
      <c r="AK419" s="504">
        <f>SUM(AK318:AK418)</f>
        <v>0</v>
      </c>
      <c r="AL419" s="747"/>
      <c r="AM419" s="506">
        <f>$AM$107</f>
        <v>75.851340181839646</v>
      </c>
    </row>
    <row r="420" spans="1:39" x14ac:dyDescent="0.2">
      <c r="A420" s="11"/>
      <c r="B420" s="741"/>
      <c r="C420" s="255"/>
      <c r="D420" s="255"/>
      <c r="E420" s="5"/>
      <c r="F420" s="742"/>
      <c r="G420" s="741"/>
      <c r="H420" s="741"/>
      <c r="I420" s="743"/>
      <c r="J420" s="743"/>
      <c r="K420" s="741"/>
      <c r="L420" s="741"/>
      <c r="M420" s="743"/>
      <c r="N420" s="741"/>
      <c r="O420" s="741"/>
      <c r="P420" s="743"/>
      <c r="Q420" s="741"/>
      <c r="R420" s="741"/>
      <c r="S420" s="743"/>
      <c r="T420" s="741"/>
      <c r="U420" s="741"/>
      <c r="V420" s="741"/>
      <c r="W420" s="741"/>
      <c r="X420" s="741"/>
      <c r="Y420" s="741"/>
      <c r="Z420" s="741"/>
      <c r="AA420" s="741"/>
      <c r="AB420" s="741"/>
      <c r="AC420" s="255"/>
      <c r="AD420" s="5"/>
      <c r="AE420" s="6"/>
      <c r="AF420" s="6"/>
      <c r="AG420" s="7"/>
      <c r="AH420" s="7"/>
      <c r="AI420" s="6"/>
      <c r="AJ420" s="6"/>
      <c r="AK420" s="6"/>
      <c r="AL420" s="6"/>
      <c r="AM420" s="73"/>
    </row>
    <row r="421" spans="1:39" x14ac:dyDescent="0.2">
      <c r="B421" s="500" t="s">
        <v>47</v>
      </c>
      <c r="C421" s="501"/>
      <c r="D421" s="501"/>
      <c r="E421" s="501"/>
      <c r="F421" s="501"/>
      <c r="G421" s="501"/>
      <c r="H421" s="501"/>
      <c r="I421" s="501"/>
      <c r="J421" s="501"/>
      <c r="K421" s="501"/>
      <c r="L421" s="501"/>
      <c r="M421" s="501"/>
      <c r="N421" s="501"/>
      <c r="O421" s="501"/>
      <c r="P421" s="501"/>
      <c r="Q421" s="501"/>
      <c r="R421" s="501"/>
      <c r="S421" s="501"/>
      <c r="T421" s="501"/>
      <c r="U421" s="501"/>
      <c r="V421" s="501"/>
      <c r="W421" s="501"/>
      <c r="X421" s="501"/>
      <c r="Y421" s="501"/>
      <c r="Z421" s="501"/>
      <c r="AA421" s="503"/>
      <c r="AB421" s="502"/>
      <c r="AC421" s="503"/>
      <c r="AD421" s="503"/>
      <c r="AE421" s="504"/>
      <c r="AF421" s="504"/>
      <c r="AG421" s="505"/>
      <c r="AH421" s="505"/>
      <c r="AI421" s="504"/>
      <c r="AJ421" s="506"/>
      <c r="AK421" s="504"/>
      <c r="AL421" s="504"/>
      <c r="AM421" s="506"/>
    </row>
    <row r="422" spans="1:39" x14ac:dyDescent="0.2">
      <c r="B422" s="101" t="str">
        <f>$B318</f>
        <v>Maxdivers Mustermann</v>
      </c>
      <c r="C422" s="168">
        <f>IF(ISERROR(Personalplanung!F6/Monatsplanung!$E6*Monatsplanung!$K6),0,Personalplanung!F6/Monatsplanung!$E6*Monatsplanung!$K6)</f>
        <v>174</v>
      </c>
      <c r="D422" s="168">
        <f>$D318</f>
        <v>8</v>
      </c>
      <c r="E422" s="168">
        <f>IF(ISERROR(Personalplanung!H6/Monatsplanung!$E6*Monatsplanung!$K6),0,Personalplanung!H6/Monatsplanung!$E6*Monatsplanung!$K6)</f>
        <v>66.666666666666671</v>
      </c>
      <c r="F422" s="168">
        <f>+C422+E422</f>
        <v>240.66666666666669</v>
      </c>
      <c r="G422" s="168">
        <f>$G$6</f>
        <v>27.700831024930746</v>
      </c>
      <c r="H422" s="168">
        <f>+F422*G422</f>
        <v>6666.666666666667</v>
      </c>
      <c r="I422" s="168">
        <f>$I$6</f>
        <v>30</v>
      </c>
      <c r="J422" s="739"/>
      <c r="K422" s="168">
        <f>IF(J422&lt;&gt;"",J422,IF(ISERROR(Personalplanung!AB6/Monatsplanung!$E6*Monatsplanung!$K6),0,Personalplanung!AB6/Monatsplanung!$E6*Monatsplanung!$K6))</f>
        <v>0.66666666666666663</v>
      </c>
      <c r="L422" s="740"/>
      <c r="M422" s="739"/>
      <c r="N422" s="168">
        <f>IF(M422&lt;&gt;"",M422,IF(ISERROR(Personalplanung!AC6/Monatsplanung!$E6*Monatsplanung!$K6),0,Personalplanung!AC6/Monatsplanung!$E6*Monatsplanung!$K6))</f>
        <v>0</v>
      </c>
      <c r="O422" s="740"/>
      <c r="P422" s="739"/>
      <c r="Q422" s="168">
        <f>IF(P422&lt;&gt;"",P422,IF(ISERROR(Personalplanung!AD6/Monatsplanung!$E6*Monatsplanung!$K6),0,Personalplanung!AD6/Monatsplanung!$E6*Monatsplanung!$K6))</f>
        <v>0.16666666666666666</v>
      </c>
      <c r="R422" s="740"/>
      <c r="S422" s="739"/>
      <c r="T422" s="168">
        <f>IF(S422&lt;&gt;"",S422,IF(ISERROR(Personalplanung!AE6/Monatsplanung!$E6*Monatsplanung!$K6),0,Personalplanung!AE6/Monatsplanung!$E6*Monatsplanung!$K6))</f>
        <v>1.25</v>
      </c>
      <c r="U422" s="740"/>
      <c r="V422" s="168">
        <f>K422+N422+Q422+T422</f>
        <v>2.083333333333333</v>
      </c>
      <c r="W422" s="168">
        <f>IF(ISERROR(Personalplanung!P6/Monatsplanung!$E6*Monatsplanung!$K6),0,Personalplanung!P6/Monatsplanung!$E6*Monatsplanung!$K6)</f>
        <v>0</v>
      </c>
      <c r="X422" s="168">
        <f>IF(ISERROR(Personalplanung!Q6/Monatsplanung!$E6*Monatsplanung!$K6),0,Personalplanung!Q6/Monatsplanung!$E6*Monatsplanung!$K6)</f>
        <v>0</v>
      </c>
      <c r="Y422" s="168">
        <f>IF(ISERROR(Personalplanung!R6/T1254*Stundencontrolling!T422),0,Personalplanung!R6/T1254*Stundencontrolling!T422)</f>
        <v>0</v>
      </c>
      <c r="Z422" s="168">
        <f>IF(ISERROR(Personalplanung!S6/Monatsplanung!$E6*Monatsplanung!$K6),0,Personalplanung!S6/Monatsplanung!$E6*Monatsplanung!$K6)</f>
        <v>0</v>
      </c>
      <c r="AA422" s="80">
        <f>+F422*G422*(1+I422)+SUM(W422:Z422)</f>
        <v>206666.66666666669</v>
      </c>
      <c r="AB422" s="102">
        <f>$AB$6</f>
        <v>0.1</v>
      </c>
      <c r="AC422" s="103">
        <f>AB422*AA422</f>
        <v>20666.666666666672</v>
      </c>
      <c r="AD422" s="103">
        <f>AA422-AC422</f>
        <v>186000</v>
      </c>
      <c r="AE422" s="81">
        <f>(F422-(V422*$D422))*AB422</f>
        <v>22.400000000000006</v>
      </c>
      <c r="AF422" s="539"/>
      <c r="AG422" s="104">
        <f>$AG$6</f>
        <v>1</v>
      </c>
      <c r="AH422" s="7">
        <f t="shared" ref="AH422:AH523" si="126">IF(ISERROR(AK422/AF422),0,AK422/AF422)</f>
        <v>0</v>
      </c>
      <c r="AI422" s="6">
        <f>AE422*AG422</f>
        <v>22.400000000000006</v>
      </c>
      <c r="AJ422" s="73">
        <f t="shared" ref="AJ422:AJ523" si="127">IF(ISERROR(+AC422/AI422),0,+AC422/AI422)</f>
        <v>922.61904761904759</v>
      </c>
      <c r="AK422" s="539"/>
      <c r="AL422" s="748"/>
      <c r="AM422" s="748"/>
    </row>
    <row r="423" spans="1:39" x14ac:dyDescent="0.2">
      <c r="B423" s="101" t="str">
        <f t="shared" ref="B423:B486" si="128">$B319</f>
        <v>Egon Kaufmann</v>
      </c>
      <c r="C423" s="168">
        <f>IF(ISERROR(Personalplanung!F7/Monatsplanung!$E7*Monatsplanung!$K7),0,Personalplanung!F7/Monatsplanung!$E7*Monatsplanung!$K7)</f>
        <v>174</v>
      </c>
      <c r="D423" s="168">
        <f t="shared" ref="D423:D486" si="129">$D319</f>
        <v>8</v>
      </c>
      <c r="E423" s="168">
        <f>IF(ISERROR(Personalplanung!H7/Monatsplanung!$E7*Monatsplanung!$K7),0,Personalplanung!H7/Monatsplanung!$E7*Monatsplanung!$K7)</f>
        <v>26.666666666666668</v>
      </c>
      <c r="F423" s="168">
        <f t="shared" ref="F423:F486" si="130">+C423+E423</f>
        <v>200.66666666666666</v>
      </c>
      <c r="G423" s="168">
        <f t="shared" ref="G423:G486" si="131">$G$6</f>
        <v>27.700831024930746</v>
      </c>
      <c r="H423" s="168">
        <f t="shared" ref="H423:H486" si="132">+F423*G423</f>
        <v>5558.6334256694363</v>
      </c>
      <c r="I423" s="168">
        <f t="shared" ref="I423:I486" si="133">$I$6</f>
        <v>30</v>
      </c>
      <c r="J423" s="739"/>
      <c r="K423" s="168">
        <f>IF(J423&lt;&gt;"",J423,IF(ISERROR(Personalplanung!AB7/Monatsplanung!$E7*Monatsplanung!$K7),0,Personalplanung!AB7/Monatsplanung!$E7*Monatsplanung!$K7))</f>
        <v>0.66666666666666663</v>
      </c>
      <c r="L423" s="740"/>
      <c r="M423" s="739"/>
      <c r="N423" s="168">
        <f>IF(M423&lt;&gt;"",M423,IF(ISERROR(Personalplanung!AC7/Monatsplanung!$E7*Monatsplanung!$K7),0,Personalplanung!AC7/Monatsplanung!$E7*Monatsplanung!$K7))</f>
        <v>0</v>
      </c>
      <c r="O423" s="740"/>
      <c r="P423" s="739"/>
      <c r="Q423" s="168">
        <f>IF(P423&lt;&gt;"",P423,IF(ISERROR(Personalplanung!AD7/Monatsplanung!$E7*Monatsplanung!$K7),0,Personalplanung!AD7/Monatsplanung!$E7*Monatsplanung!$K7))</f>
        <v>0.16666666666666666</v>
      </c>
      <c r="R423" s="740"/>
      <c r="S423" s="739"/>
      <c r="T423" s="168">
        <f>IF(S423&lt;&gt;"",S423,IF(ISERROR(Personalplanung!AE7/Monatsplanung!$E7*Monatsplanung!$K7),0,Personalplanung!AE7/Monatsplanung!$E7*Monatsplanung!$K7))</f>
        <v>2.1666666666666665</v>
      </c>
      <c r="U423" s="740"/>
      <c r="V423" s="168">
        <f t="shared" ref="V423:V486" si="134">K423+N423+Q423+T423</f>
        <v>3</v>
      </c>
      <c r="W423" s="168">
        <f>IF(ISERROR(Personalplanung!P7/Monatsplanung!$E7*Monatsplanung!$K7),0,Personalplanung!P7/Monatsplanung!$E7*Monatsplanung!$K7)</f>
        <v>0</v>
      </c>
      <c r="X423" s="168">
        <f>IF(ISERROR(Personalplanung!Q7/Monatsplanung!$E7*Monatsplanung!$K7),0,Personalplanung!Q7/Monatsplanung!$E7*Monatsplanung!$K7)</f>
        <v>0</v>
      </c>
      <c r="Y423" s="168">
        <f>IF(ISERROR(Personalplanung!R7/T1255*Stundencontrolling!T423),0,Personalplanung!R7/T1255*Stundencontrolling!T423)</f>
        <v>0</v>
      </c>
      <c r="Z423" s="168">
        <f>IF(ISERROR(Personalplanung!S7/Monatsplanung!$E7*Monatsplanung!$K7),0,Personalplanung!S7/Monatsplanung!$E7*Monatsplanung!$K7)</f>
        <v>0</v>
      </c>
      <c r="AA423" s="80">
        <f t="shared" ref="AA423:AA486" si="135">+F423*G423*(1+I423)+SUM(W423:Z423)</f>
        <v>172317.63619575254</v>
      </c>
      <c r="AB423" s="102">
        <f t="shared" ref="AB423:AB486" si="136">$AB$6</f>
        <v>0.1</v>
      </c>
      <c r="AC423" s="103">
        <f t="shared" ref="AC423:AC486" si="137">AB423*AA423</f>
        <v>17231.763619575253</v>
      </c>
      <c r="AD423" s="103">
        <f t="shared" ref="AD423:AD486" si="138">AA423-AC423</f>
        <v>155085.87257617729</v>
      </c>
      <c r="AE423" s="81">
        <f t="shared" ref="AE423:AE486" si="139">(F423-(V423*$D423))*AB423</f>
        <v>17.666666666666668</v>
      </c>
      <c r="AF423" s="539"/>
      <c r="AG423" s="104">
        <f t="shared" ref="AG423:AG486" si="140">$AG$6</f>
        <v>1</v>
      </c>
      <c r="AH423" s="7">
        <f t="shared" ref="AH423:AH486" si="141">IF(ISERROR(AK423/AF423),0,AK423/AF423)</f>
        <v>0</v>
      </c>
      <c r="AI423" s="6">
        <f t="shared" ref="AI423:AI486" si="142">AE423*AG423</f>
        <v>17.666666666666668</v>
      </c>
      <c r="AJ423" s="73">
        <f t="shared" ref="AJ423:AJ486" si="143">IF(ISERROR(+AC423/AI423),0,+AC423/AI423)</f>
        <v>975.382846391052</v>
      </c>
      <c r="AK423" s="539"/>
      <c r="AL423" s="748"/>
      <c r="AM423" s="748"/>
    </row>
    <row r="424" spans="1:39" x14ac:dyDescent="0.2">
      <c r="B424" s="101" t="str">
        <f t="shared" si="128"/>
        <v>Walter Meister</v>
      </c>
      <c r="C424" s="168">
        <f>IF(ISERROR(Personalplanung!F8/Monatsplanung!$E8*Monatsplanung!$K8),0,Personalplanung!F8/Monatsplanung!$E8*Monatsplanung!$K8)</f>
        <v>174</v>
      </c>
      <c r="D424" s="168">
        <f t="shared" si="129"/>
        <v>8</v>
      </c>
      <c r="E424" s="168">
        <f>IF(ISERROR(Personalplanung!H8/Monatsplanung!$E8*Monatsplanung!$K8),0,Personalplanung!H8/Monatsplanung!$E8*Monatsplanung!$K8)</f>
        <v>26.666666666666668</v>
      </c>
      <c r="F424" s="168">
        <f t="shared" si="130"/>
        <v>200.66666666666666</v>
      </c>
      <c r="G424" s="168">
        <f t="shared" si="131"/>
        <v>27.700831024930746</v>
      </c>
      <c r="H424" s="168">
        <f t="shared" si="132"/>
        <v>5558.6334256694363</v>
      </c>
      <c r="I424" s="168">
        <f t="shared" si="133"/>
        <v>30</v>
      </c>
      <c r="J424" s="739"/>
      <c r="K424" s="168">
        <f>IF(J424&lt;&gt;"",J424,IF(ISERROR(Personalplanung!AB8/Monatsplanung!$E8*Monatsplanung!$K8),0,Personalplanung!AB8/Monatsplanung!$E8*Monatsplanung!$K8))</f>
        <v>0.66666666666666663</v>
      </c>
      <c r="L424" s="740"/>
      <c r="M424" s="739"/>
      <c r="N424" s="168">
        <f>IF(M424&lt;&gt;"",M424,IF(ISERROR(Personalplanung!AC8/Monatsplanung!$E8*Monatsplanung!$K8),0,Personalplanung!AC8/Monatsplanung!$E8*Monatsplanung!$K8))</f>
        <v>8.3333333333333329E-2</v>
      </c>
      <c r="O424" s="740"/>
      <c r="P424" s="739"/>
      <c r="Q424" s="168">
        <f>IF(P424&lt;&gt;"",P424,IF(ISERROR(Personalplanung!AD8/Monatsplanung!$E8*Monatsplanung!$K8),0,Personalplanung!AD8/Monatsplanung!$E8*Monatsplanung!$K8))</f>
        <v>0.16666666666666666</v>
      </c>
      <c r="R424" s="740"/>
      <c r="S424" s="739"/>
      <c r="T424" s="168">
        <f>IF(S424&lt;&gt;"",S424,IF(ISERROR(Personalplanung!AE8/Monatsplanung!$E8*Monatsplanung!$K8),0,Personalplanung!AE8/Monatsplanung!$E8*Monatsplanung!$K8))</f>
        <v>2.1666666666666665</v>
      </c>
      <c r="U424" s="740"/>
      <c r="V424" s="168">
        <f t="shared" si="134"/>
        <v>3.083333333333333</v>
      </c>
      <c r="W424" s="168">
        <f>IF(ISERROR(Personalplanung!P8/Monatsplanung!$E8*Monatsplanung!$K8),0,Personalplanung!P8/Monatsplanung!$E8*Monatsplanung!$K8)</f>
        <v>0</v>
      </c>
      <c r="X424" s="168">
        <f>IF(ISERROR(Personalplanung!Q8/Monatsplanung!$E8*Monatsplanung!$K8),0,Personalplanung!Q8/Monatsplanung!$E8*Monatsplanung!$K8)</f>
        <v>0</v>
      </c>
      <c r="Y424" s="168">
        <f>IF(ISERROR(Personalplanung!R8/T1256*Stundencontrolling!T424),0,Personalplanung!R8/T1256*Stundencontrolling!T424)</f>
        <v>0</v>
      </c>
      <c r="Z424" s="168">
        <f>IF(ISERROR(Personalplanung!S8/Monatsplanung!$E8*Monatsplanung!$K8),0,Personalplanung!S8/Monatsplanung!$E8*Monatsplanung!$K8)</f>
        <v>0</v>
      </c>
      <c r="AA424" s="80">
        <f t="shared" si="135"/>
        <v>172317.63619575254</v>
      </c>
      <c r="AB424" s="102">
        <f t="shared" si="136"/>
        <v>0.1</v>
      </c>
      <c r="AC424" s="103">
        <f t="shared" si="137"/>
        <v>17231.763619575253</v>
      </c>
      <c r="AD424" s="103">
        <f t="shared" si="138"/>
        <v>155085.87257617729</v>
      </c>
      <c r="AE424" s="81">
        <f t="shared" si="139"/>
        <v>17.600000000000001</v>
      </c>
      <c r="AF424" s="539"/>
      <c r="AG424" s="104">
        <f t="shared" si="140"/>
        <v>1</v>
      </c>
      <c r="AH424" s="7">
        <f t="shared" si="141"/>
        <v>0</v>
      </c>
      <c r="AI424" s="6">
        <f t="shared" si="142"/>
        <v>17.600000000000001</v>
      </c>
      <c r="AJ424" s="73">
        <f t="shared" si="143"/>
        <v>979.07747838495743</v>
      </c>
      <c r="AK424" s="539"/>
      <c r="AL424" s="748"/>
      <c r="AM424" s="748"/>
    </row>
    <row r="425" spans="1:39" x14ac:dyDescent="0.2">
      <c r="B425" s="101" t="str">
        <f t="shared" si="128"/>
        <v>Tom in Technik</v>
      </c>
      <c r="C425" s="168">
        <f>IF(ISERROR(Personalplanung!F9/Monatsplanung!$E9*Monatsplanung!$K9),0,Personalplanung!F9/Monatsplanung!$E9*Monatsplanung!$K9)</f>
        <v>174</v>
      </c>
      <c r="D425" s="168">
        <f t="shared" si="129"/>
        <v>8</v>
      </c>
      <c r="E425" s="168">
        <f>IF(ISERROR(Personalplanung!H9/Monatsplanung!$E9*Monatsplanung!$K9),0,Personalplanung!H9/Monatsplanung!$E9*Monatsplanung!$K9)</f>
        <v>0</v>
      </c>
      <c r="F425" s="168">
        <f t="shared" si="130"/>
        <v>174</v>
      </c>
      <c r="G425" s="168">
        <f t="shared" si="131"/>
        <v>27.700831024930746</v>
      </c>
      <c r="H425" s="168">
        <f t="shared" si="132"/>
        <v>4819.9445983379501</v>
      </c>
      <c r="I425" s="168">
        <f t="shared" si="133"/>
        <v>30</v>
      </c>
      <c r="J425" s="739"/>
      <c r="K425" s="168">
        <f>IF(J425&lt;&gt;"",J425,IF(ISERROR(Personalplanung!AB9/Monatsplanung!$E9*Monatsplanung!$K9),0,Personalplanung!AB9/Monatsplanung!$E9*Monatsplanung!$K9))</f>
        <v>0.66666666666666663</v>
      </c>
      <c r="L425" s="740"/>
      <c r="M425" s="739"/>
      <c r="N425" s="168">
        <f>IF(M425&lt;&gt;"",M425,IF(ISERROR(Personalplanung!AC9/Monatsplanung!$E9*Monatsplanung!$K9),0,Personalplanung!AC9/Monatsplanung!$E9*Monatsplanung!$K9))</f>
        <v>0.16666666666666666</v>
      </c>
      <c r="O425" s="740"/>
      <c r="P425" s="739"/>
      <c r="Q425" s="168">
        <f>IF(P425&lt;&gt;"",P425,IF(ISERROR(Personalplanung!AD9/Monatsplanung!$E9*Monatsplanung!$K9),0,Personalplanung!AD9/Monatsplanung!$E9*Monatsplanung!$K9))</f>
        <v>0.16666666666666666</v>
      </c>
      <c r="R425" s="740"/>
      <c r="S425" s="739"/>
      <c r="T425" s="168">
        <f>IF(S425&lt;&gt;"",S425,IF(ISERROR(Personalplanung!AE9/Monatsplanung!$E9*Monatsplanung!$K9),0,Personalplanung!AE9/Monatsplanung!$E9*Monatsplanung!$K9))</f>
        <v>2.1666666666666665</v>
      </c>
      <c r="U425" s="740"/>
      <c r="V425" s="168">
        <f t="shared" si="134"/>
        <v>3.1666666666666665</v>
      </c>
      <c r="W425" s="168">
        <f>IF(ISERROR(Personalplanung!P9/Monatsplanung!$E9*Monatsplanung!$K9),0,Personalplanung!P9/Monatsplanung!$E9*Monatsplanung!$K9)</f>
        <v>0</v>
      </c>
      <c r="X425" s="168">
        <f>IF(ISERROR(Personalplanung!Q9/Monatsplanung!$E9*Monatsplanung!$K9),0,Personalplanung!Q9/Monatsplanung!$E9*Monatsplanung!$K9)</f>
        <v>0</v>
      </c>
      <c r="Y425" s="168">
        <f>IF(ISERROR(Personalplanung!R9/T1257*Stundencontrolling!T425),0,Personalplanung!R9/T1257*Stundencontrolling!T425)</f>
        <v>0</v>
      </c>
      <c r="Z425" s="168">
        <f>IF(ISERROR(Personalplanung!S9/Monatsplanung!$E9*Monatsplanung!$K9),0,Personalplanung!S9/Monatsplanung!$E9*Monatsplanung!$K9)</f>
        <v>0</v>
      </c>
      <c r="AA425" s="80">
        <f t="shared" si="135"/>
        <v>149418.28254847645</v>
      </c>
      <c r="AB425" s="102">
        <f t="shared" si="136"/>
        <v>0.1</v>
      </c>
      <c r="AC425" s="103">
        <f t="shared" si="137"/>
        <v>14941.828254847645</v>
      </c>
      <c r="AD425" s="103">
        <f t="shared" si="138"/>
        <v>134476.45429362881</v>
      </c>
      <c r="AE425" s="81">
        <f t="shared" si="139"/>
        <v>14.866666666666667</v>
      </c>
      <c r="AF425" s="539"/>
      <c r="AG425" s="104">
        <f t="shared" si="140"/>
        <v>1</v>
      </c>
      <c r="AH425" s="7">
        <f t="shared" si="141"/>
        <v>0</v>
      </c>
      <c r="AI425" s="6">
        <f t="shared" si="142"/>
        <v>14.866666666666667</v>
      </c>
      <c r="AJ425" s="73">
        <f t="shared" si="143"/>
        <v>1005.0557122094829</v>
      </c>
      <c r="AK425" s="539"/>
      <c r="AL425" s="748"/>
      <c r="AM425" s="748"/>
    </row>
    <row r="426" spans="1:39" x14ac:dyDescent="0.2">
      <c r="B426" s="101" t="str">
        <f t="shared" si="128"/>
        <v>Lola Rennt</v>
      </c>
      <c r="C426" s="168">
        <f>IF(ISERROR(Personalplanung!F10/Monatsplanung!$E10*Monatsplanung!$K10),0,Personalplanung!F10/Monatsplanung!$E10*Monatsplanung!$K10)</f>
        <v>174</v>
      </c>
      <c r="D426" s="168">
        <f t="shared" si="129"/>
        <v>8</v>
      </c>
      <c r="E426" s="168">
        <f>IF(ISERROR(Personalplanung!H10/Monatsplanung!$E10*Monatsplanung!$K10),0,Personalplanung!H10/Monatsplanung!$E10*Monatsplanung!$K10)</f>
        <v>0</v>
      </c>
      <c r="F426" s="168">
        <f t="shared" si="130"/>
        <v>174</v>
      </c>
      <c r="G426" s="168">
        <f t="shared" si="131"/>
        <v>27.700831024930746</v>
      </c>
      <c r="H426" s="168">
        <f t="shared" si="132"/>
        <v>4819.9445983379501</v>
      </c>
      <c r="I426" s="168">
        <f t="shared" si="133"/>
        <v>30</v>
      </c>
      <c r="J426" s="739"/>
      <c r="K426" s="168">
        <f>IF(J426&lt;&gt;"",J426,IF(ISERROR(Personalplanung!AB10/Monatsplanung!$E10*Monatsplanung!$K10),0,Personalplanung!AB10/Monatsplanung!$E10*Monatsplanung!$K10))</f>
        <v>0.66666666666666663</v>
      </c>
      <c r="L426" s="740"/>
      <c r="M426" s="739"/>
      <c r="N426" s="168">
        <f>IF(M426&lt;&gt;"",M426,IF(ISERROR(Personalplanung!AC10/Monatsplanung!$E10*Monatsplanung!$K10),0,Personalplanung!AC10/Monatsplanung!$E10*Monatsplanung!$K10))</f>
        <v>0</v>
      </c>
      <c r="O426" s="740"/>
      <c r="P426" s="739"/>
      <c r="Q426" s="168">
        <f>IF(P426&lt;&gt;"",P426,IF(ISERROR(Personalplanung!AD10/Monatsplanung!$E10*Monatsplanung!$K10),0,Personalplanung!AD10/Monatsplanung!$E10*Monatsplanung!$K10))</f>
        <v>0.16666666666666666</v>
      </c>
      <c r="R426" s="740"/>
      <c r="S426" s="739"/>
      <c r="T426" s="168">
        <f>IF(S426&lt;&gt;"",S426,IF(ISERROR(Personalplanung!AE10/Monatsplanung!$E10*Monatsplanung!$K10),0,Personalplanung!AE10/Monatsplanung!$E10*Monatsplanung!$K10))</f>
        <v>2.1666666666666665</v>
      </c>
      <c r="U426" s="740"/>
      <c r="V426" s="168">
        <f t="shared" si="134"/>
        <v>3</v>
      </c>
      <c r="W426" s="168">
        <f>IF(ISERROR(Personalplanung!P10/Monatsplanung!$E10*Monatsplanung!$K10),0,Personalplanung!P10/Monatsplanung!$E10*Monatsplanung!$K10)</f>
        <v>0</v>
      </c>
      <c r="X426" s="168">
        <f>IF(ISERROR(Personalplanung!Q10/Monatsplanung!$E10*Monatsplanung!$K10),0,Personalplanung!Q10/Monatsplanung!$E10*Monatsplanung!$K10)</f>
        <v>0</v>
      </c>
      <c r="Y426" s="168">
        <f>IF(ISERROR(Personalplanung!R10/T1258*Stundencontrolling!T426),0,Personalplanung!R10/T1258*Stundencontrolling!T426)</f>
        <v>0</v>
      </c>
      <c r="Z426" s="168">
        <f>IF(ISERROR(Personalplanung!S10/Monatsplanung!$E10*Monatsplanung!$K10),0,Personalplanung!S10/Monatsplanung!$E10*Monatsplanung!$K10)</f>
        <v>0</v>
      </c>
      <c r="AA426" s="80">
        <f t="shared" si="135"/>
        <v>149418.28254847645</v>
      </c>
      <c r="AB426" s="102">
        <f t="shared" si="136"/>
        <v>0.1</v>
      </c>
      <c r="AC426" s="103">
        <f t="shared" si="137"/>
        <v>14941.828254847645</v>
      </c>
      <c r="AD426" s="103">
        <f t="shared" si="138"/>
        <v>134476.45429362881</v>
      </c>
      <c r="AE426" s="81">
        <f t="shared" si="139"/>
        <v>15</v>
      </c>
      <c r="AF426" s="539"/>
      <c r="AG426" s="104">
        <f t="shared" si="140"/>
        <v>1</v>
      </c>
      <c r="AH426" s="7">
        <f t="shared" si="141"/>
        <v>0</v>
      </c>
      <c r="AI426" s="6">
        <f t="shared" si="142"/>
        <v>15</v>
      </c>
      <c r="AJ426" s="73">
        <f t="shared" si="143"/>
        <v>996.12188365650968</v>
      </c>
      <c r="AK426" s="539"/>
      <c r="AL426" s="748"/>
      <c r="AM426" s="748"/>
    </row>
    <row r="427" spans="1:39" x14ac:dyDescent="0.2">
      <c r="B427" s="101" t="str">
        <f t="shared" si="128"/>
        <v>Bier Lager</v>
      </c>
      <c r="C427" s="168">
        <f>IF(ISERROR(Personalplanung!F11/Monatsplanung!$E11*Monatsplanung!$K11),0,Personalplanung!F11/Monatsplanung!$E11*Monatsplanung!$K11)</f>
        <v>174</v>
      </c>
      <c r="D427" s="168">
        <f t="shared" si="129"/>
        <v>8</v>
      </c>
      <c r="E427" s="168">
        <f>IF(ISERROR(Personalplanung!H11/Monatsplanung!$E11*Monatsplanung!$K11),0,Personalplanung!H11/Monatsplanung!$E11*Monatsplanung!$K11)</f>
        <v>0</v>
      </c>
      <c r="F427" s="168">
        <f t="shared" si="130"/>
        <v>174</v>
      </c>
      <c r="G427" s="168">
        <f t="shared" si="131"/>
        <v>27.700831024930746</v>
      </c>
      <c r="H427" s="168">
        <f t="shared" si="132"/>
        <v>4819.9445983379501</v>
      </c>
      <c r="I427" s="168">
        <f t="shared" si="133"/>
        <v>30</v>
      </c>
      <c r="J427" s="739"/>
      <c r="K427" s="168">
        <f>IF(J427&lt;&gt;"",J427,IF(ISERROR(Personalplanung!AB11/Monatsplanung!$E11*Monatsplanung!$K11),0,Personalplanung!AB11/Monatsplanung!$E11*Monatsplanung!$K11))</f>
        <v>0.66666666666666663</v>
      </c>
      <c r="L427" s="740"/>
      <c r="M427" s="739"/>
      <c r="N427" s="168">
        <f>IF(M427&lt;&gt;"",M427,IF(ISERROR(Personalplanung!AC11/Monatsplanung!$E11*Monatsplanung!$K11),0,Personalplanung!AC11/Monatsplanung!$E11*Monatsplanung!$K11))</f>
        <v>0</v>
      </c>
      <c r="O427" s="740"/>
      <c r="P427" s="739"/>
      <c r="Q427" s="168">
        <f>IF(P427&lt;&gt;"",P427,IF(ISERROR(Personalplanung!AD11/Monatsplanung!$E11*Monatsplanung!$K11),0,Personalplanung!AD11/Monatsplanung!$E11*Monatsplanung!$K11))</f>
        <v>0.16666666666666666</v>
      </c>
      <c r="R427" s="740"/>
      <c r="S427" s="739"/>
      <c r="T427" s="168">
        <f>IF(S427&lt;&gt;"",S427,IF(ISERROR(Personalplanung!AE11/Monatsplanung!$E11*Monatsplanung!$K11),0,Personalplanung!AE11/Monatsplanung!$E11*Monatsplanung!$K11))</f>
        <v>2.1666666666666665</v>
      </c>
      <c r="U427" s="740"/>
      <c r="V427" s="168">
        <f t="shared" si="134"/>
        <v>3</v>
      </c>
      <c r="W427" s="168">
        <f>IF(ISERROR(Personalplanung!P11/Monatsplanung!$E11*Monatsplanung!$K11),0,Personalplanung!P11/Monatsplanung!$E11*Monatsplanung!$K11)</f>
        <v>0</v>
      </c>
      <c r="X427" s="168">
        <f>IF(ISERROR(Personalplanung!Q11/Monatsplanung!$E11*Monatsplanung!$K11),0,Personalplanung!Q11/Monatsplanung!$E11*Monatsplanung!$K11)</f>
        <v>0</v>
      </c>
      <c r="Y427" s="168">
        <f>IF(ISERROR(Personalplanung!R11/T1259*Stundencontrolling!T427),0,Personalplanung!R11/T1259*Stundencontrolling!T427)</f>
        <v>0</v>
      </c>
      <c r="Z427" s="168">
        <f>IF(ISERROR(Personalplanung!S11/Monatsplanung!$E11*Monatsplanung!$K11),0,Personalplanung!S11/Monatsplanung!$E11*Monatsplanung!$K11)</f>
        <v>0</v>
      </c>
      <c r="AA427" s="80">
        <f t="shared" si="135"/>
        <v>149418.28254847645</v>
      </c>
      <c r="AB427" s="102">
        <f t="shared" si="136"/>
        <v>0.1</v>
      </c>
      <c r="AC427" s="103">
        <f t="shared" si="137"/>
        <v>14941.828254847645</v>
      </c>
      <c r="AD427" s="103">
        <f t="shared" si="138"/>
        <v>134476.45429362881</v>
      </c>
      <c r="AE427" s="81">
        <f t="shared" si="139"/>
        <v>15</v>
      </c>
      <c r="AF427" s="539"/>
      <c r="AG427" s="104">
        <f t="shared" si="140"/>
        <v>1</v>
      </c>
      <c r="AH427" s="7">
        <f t="shared" si="141"/>
        <v>0</v>
      </c>
      <c r="AI427" s="6">
        <f t="shared" si="142"/>
        <v>15</v>
      </c>
      <c r="AJ427" s="73">
        <f t="shared" si="143"/>
        <v>996.12188365650968</v>
      </c>
      <c r="AK427" s="539"/>
      <c r="AL427" s="748"/>
      <c r="AM427" s="748"/>
    </row>
    <row r="428" spans="1:39" x14ac:dyDescent="0.2">
      <c r="B428" s="101" t="str">
        <f t="shared" si="128"/>
        <v>Heinrich vor Arbeit</v>
      </c>
      <c r="C428" s="168">
        <f>IF(ISERROR(Personalplanung!F12/Monatsplanung!$E12*Monatsplanung!$K12),0,Personalplanung!F12/Monatsplanung!$E12*Monatsplanung!$K12)</f>
        <v>174</v>
      </c>
      <c r="D428" s="168">
        <f t="shared" si="129"/>
        <v>8</v>
      </c>
      <c r="E428" s="168">
        <f>IF(ISERROR(Personalplanung!H12/Monatsplanung!$E12*Monatsplanung!$K12),0,Personalplanung!H12/Monatsplanung!$E12*Monatsplanung!$K12)</f>
        <v>0</v>
      </c>
      <c r="F428" s="168">
        <f t="shared" si="130"/>
        <v>174</v>
      </c>
      <c r="G428" s="168">
        <f t="shared" si="131"/>
        <v>27.700831024930746</v>
      </c>
      <c r="H428" s="168">
        <f t="shared" si="132"/>
        <v>4819.9445983379501</v>
      </c>
      <c r="I428" s="168">
        <f t="shared" si="133"/>
        <v>30</v>
      </c>
      <c r="J428" s="739"/>
      <c r="K428" s="168">
        <f>IF(J428&lt;&gt;"",J428,IF(ISERROR(Personalplanung!AB12/Monatsplanung!$E12*Monatsplanung!$K12),0,Personalplanung!AB12/Monatsplanung!$E12*Monatsplanung!$K12))</f>
        <v>0.66666666666666663</v>
      </c>
      <c r="L428" s="740"/>
      <c r="M428" s="739"/>
      <c r="N428" s="168">
        <f>IF(M428&lt;&gt;"",M428,IF(ISERROR(Personalplanung!AC12/Monatsplanung!$E12*Monatsplanung!$K12),0,Personalplanung!AC12/Monatsplanung!$E12*Monatsplanung!$K12))</f>
        <v>0</v>
      </c>
      <c r="O428" s="740"/>
      <c r="P428" s="739"/>
      <c r="Q428" s="168">
        <f>IF(P428&lt;&gt;"",P428,IF(ISERROR(Personalplanung!AD12/Monatsplanung!$E12*Monatsplanung!$K12),0,Personalplanung!AD12/Monatsplanung!$E12*Monatsplanung!$K12))</f>
        <v>0.16666666666666666</v>
      </c>
      <c r="R428" s="740"/>
      <c r="S428" s="739"/>
      <c r="T428" s="168">
        <f>IF(S428&lt;&gt;"",S428,IF(ISERROR(Personalplanung!AE12/Monatsplanung!$E12*Monatsplanung!$K12),0,Personalplanung!AE12/Monatsplanung!$E12*Monatsplanung!$K12))</f>
        <v>2.1666666666666665</v>
      </c>
      <c r="U428" s="740"/>
      <c r="V428" s="168">
        <f t="shared" si="134"/>
        <v>3</v>
      </c>
      <c r="W428" s="168">
        <f>IF(ISERROR(Personalplanung!P12/Monatsplanung!$E12*Monatsplanung!$K12),0,Personalplanung!P12/Monatsplanung!$E12*Monatsplanung!$K12)</f>
        <v>0</v>
      </c>
      <c r="X428" s="168">
        <f>IF(ISERROR(Personalplanung!Q12/Monatsplanung!$E12*Monatsplanung!$K12),0,Personalplanung!Q12/Monatsplanung!$E12*Monatsplanung!$K12)</f>
        <v>0</v>
      </c>
      <c r="Y428" s="168">
        <f>IF(ISERROR(Personalplanung!R12/T1260*Stundencontrolling!T428),0,Personalplanung!R12/T1260*Stundencontrolling!T428)</f>
        <v>0</v>
      </c>
      <c r="Z428" s="168">
        <f>IF(ISERROR(Personalplanung!S12/Monatsplanung!$E12*Monatsplanung!$K12),0,Personalplanung!S12/Monatsplanung!$E12*Monatsplanung!$K12)</f>
        <v>0</v>
      </c>
      <c r="AA428" s="80">
        <f t="shared" si="135"/>
        <v>149418.28254847645</v>
      </c>
      <c r="AB428" s="102">
        <f t="shared" si="136"/>
        <v>0.1</v>
      </c>
      <c r="AC428" s="103">
        <f t="shared" si="137"/>
        <v>14941.828254847645</v>
      </c>
      <c r="AD428" s="103">
        <f t="shared" si="138"/>
        <v>134476.45429362881</v>
      </c>
      <c r="AE428" s="81">
        <f t="shared" si="139"/>
        <v>15</v>
      </c>
      <c r="AF428" s="539"/>
      <c r="AG428" s="104">
        <f t="shared" si="140"/>
        <v>1</v>
      </c>
      <c r="AH428" s="7">
        <f t="shared" si="141"/>
        <v>0</v>
      </c>
      <c r="AI428" s="6">
        <f t="shared" si="142"/>
        <v>15</v>
      </c>
      <c r="AJ428" s="73">
        <f t="shared" si="143"/>
        <v>996.12188365650968</v>
      </c>
      <c r="AK428" s="539"/>
      <c r="AL428" s="748"/>
      <c r="AM428" s="748"/>
    </row>
    <row r="429" spans="1:39" x14ac:dyDescent="0.2">
      <c r="B429" s="101" t="str">
        <f t="shared" si="128"/>
        <v>Voller Geselle</v>
      </c>
      <c r="C429" s="168">
        <f>IF(ISERROR(Personalplanung!F13/Monatsplanung!$E13*Monatsplanung!$K13),0,Personalplanung!F13/Monatsplanung!$E13*Monatsplanung!$K13)</f>
        <v>174</v>
      </c>
      <c r="D429" s="168">
        <f t="shared" si="129"/>
        <v>8</v>
      </c>
      <c r="E429" s="168">
        <f>IF(ISERROR(Personalplanung!H13/Monatsplanung!$E13*Monatsplanung!$K13),0,Personalplanung!H13/Monatsplanung!$E13*Monatsplanung!$K13)</f>
        <v>0</v>
      </c>
      <c r="F429" s="168">
        <f t="shared" si="130"/>
        <v>174</v>
      </c>
      <c r="G429" s="168">
        <f t="shared" si="131"/>
        <v>27.700831024930746</v>
      </c>
      <c r="H429" s="168">
        <f t="shared" si="132"/>
        <v>4819.9445983379501</v>
      </c>
      <c r="I429" s="168">
        <f t="shared" si="133"/>
        <v>30</v>
      </c>
      <c r="J429" s="739"/>
      <c r="K429" s="168">
        <f>IF(J429&lt;&gt;"",J429,IF(ISERROR(Personalplanung!AB13/Monatsplanung!$E13*Monatsplanung!$K13),0,Personalplanung!AB13/Monatsplanung!$E13*Monatsplanung!$K13))</f>
        <v>0.66666666666666663</v>
      </c>
      <c r="L429" s="740"/>
      <c r="M429" s="739"/>
      <c r="N429" s="168">
        <f>IF(M429&lt;&gt;"",M429,IF(ISERROR(Personalplanung!AC13/Monatsplanung!$E13*Monatsplanung!$K13),0,Personalplanung!AC13/Monatsplanung!$E13*Monatsplanung!$K13))</f>
        <v>0.25</v>
      </c>
      <c r="O429" s="740"/>
      <c r="P429" s="739"/>
      <c r="Q429" s="168">
        <f>IF(P429&lt;&gt;"",P429,IF(ISERROR(Personalplanung!AD13/Monatsplanung!$E13*Monatsplanung!$K13),0,Personalplanung!AD13/Monatsplanung!$E13*Monatsplanung!$K13))</f>
        <v>0.16666666666666666</v>
      </c>
      <c r="R429" s="740"/>
      <c r="S429" s="739"/>
      <c r="T429" s="168">
        <f>IF(S429&lt;&gt;"",S429,IF(ISERROR(Personalplanung!AE13/Monatsplanung!$E13*Monatsplanung!$K13),0,Personalplanung!AE13/Monatsplanung!$E13*Monatsplanung!$K13))</f>
        <v>2.1666666666666665</v>
      </c>
      <c r="U429" s="740"/>
      <c r="V429" s="168">
        <f t="shared" si="134"/>
        <v>3.25</v>
      </c>
      <c r="W429" s="168">
        <f>IF(ISERROR(Personalplanung!P13/Monatsplanung!$E13*Monatsplanung!$K13),0,Personalplanung!P13/Monatsplanung!$E13*Monatsplanung!$K13)</f>
        <v>0</v>
      </c>
      <c r="X429" s="168">
        <f>IF(ISERROR(Personalplanung!Q13/Monatsplanung!$E13*Monatsplanung!$K13),0,Personalplanung!Q13/Monatsplanung!$E13*Monatsplanung!$K13)</f>
        <v>0</v>
      </c>
      <c r="Y429" s="168">
        <f>IF(ISERROR(Personalplanung!R13/T1261*Stundencontrolling!T429),0,Personalplanung!R13/T1261*Stundencontrolling!T429)</f>
        <v>0</v>
      </c>
      <c r="Z429" s="168">
        <f>IF(ISERROR(Personalplanung!S13/Monatsplanung!$E13*Monatsplanung!$K13),0,Personalplanung!S13/Monatsplanung!$E13*Monatsplanung!$K13)</f>
        <v>0</v>
      </c>
      <c r="AA429" s="80">
        <f t="shared" si="135"/>
        <v>149418.28254847645</v>
      </c>
      <c r="AB429" s="102">
        <f t="shared" si="136"/>
        <v>0.1</v>
      </c>
      <c r="AC429" s="103">
        <f t="shared" si="137"/>
        <v>14941.828254847645</v>
      </c>
      <c r="AD429" s="103">
        <f t="shared" si="138"/>
        <v>134476.45429362881</v>
      </c>
      <c r="AE429" s="81">
        <f t="shared" si="139"/>
        <v>14.8</v>
      </c>
      <c r="AF429" s="539"/>
      <c r="AG429" s="104">
        <f t="shared" si="140"/>
        <v>1</v>
      </c>
      <c r="AH429" s="7">
        <f t="shared" si="141"/>
        <v>0</v>
      </c>
      <c r="AI429" s="6">
        <f t="shared" si="142"/>
        <v>14.8</v>
      </c>
      <c r="AJ429" s="73">
        <f t="shared" si="143"/>
        <v>1009.5829901924084</v>
      </c>
      <c r="AK429" s="539"/>
      <c r="AL429" s="748"/>
      <c r="AM429" s="748"/>
    </row>
    <row r="430" spans="1:39" x14ac:dyDescent="0.2">
      <c r="B430" s="101" t="str">
        <f t="shared" si="128"/>
        <v>Thomas Fleißig</v>
      </c>
      <c r="C430" s="168">
        <f>IF(ISERROR(Personalplanung!F14/Monatsplanung!$E14*Monatsplanung!$K14),0,Personalplanung!F14/Monatsplanung!$E14*Monatsplanung!$K14)</f>
        <v>174</v>
      </c>
      <c r="D430" s="168">
        <f t="shared" si="129"/>
        <v>8</v>
      </c>
      <c r="E430" s="168">
        <f>IF(ISERROR(Personalplanung!H14/Monatsplanung!$E14*Monatsplanung!$K14),0,Personalplanung!H14/Monatsplanung!$E14*Monatsplanung!$K14)</f>
        <v>0</v>
      </c>
      <c r="F430" s="168">
        <f t="shared" si="130"/>
        <v>174</v>
      </c>
      <c r="G430" s="168">
        <f t="shared" si="131"/>
        <v>27.700831024930746</v>
      </c>
      <c r="H430" s="168">
        <f t="shared" si="132"/>
        <v>4819.9445983379501</v>
      </c>
      <c r="I430" s="168">
        <f t="shared" si="133"/>
        <v>30</v>
      </c>
      <c r="J430" s="739"/>
      <c r="K430" s="168">
        <f>IF(J430&lt;&gt;"",J430,IF(ISERROR(Personalplanung!AB14/Monatsplanung!$E14*Monatsplanung!$K14),0,Personalplanung!AB14/Monatsplanung!$E14*Monatsplanung!$K14))</f>
        <v>0.66666666666666663</v>
      </c>
      <c r="L430" s="740"/>
      <c r="M430" s="739"/>
      <c r="N430" s="168">
        <f>IF(M430&lt;&gt;"",M430,IF(ISERROR(Personalplanung!AC14/Monatsplanung!$E14*Monatsplanung!$K14),0,Personalplanung!AC14/Monatsplanung!$E14*Monatsplanung!$K14))</f>
        <v>0</v>
      </c>
      <c r="O430" s="740"/>
      <c r="P430" s="739"/>
      <c r="Q430" s="168">
        <f>IF(P430&lt;&gt;"",P430,IF(ISERROR(Personalplanung!AD14/Monatsplanung!$E14*Monatsplanung!$K14),0,Personalplanung!AD14/Monatsplanung!$E14*Monatsplanung!$K14))</f>
        <v>0.16666666666666666</v>
      </c>
      <c r="R430" s="740"/>
      <c r="S430" s="739"/>
      <c r="T430" s="168">
        <f>IF(S430&lt;&gt;"",S430,IF(ISERROR(Personalplanung!AE14/Monatsplanung!$E14*Monatsplanung!$K14),0,Personalplanung!AE14/Monatsplanung!$E14*Monatsplanung!$K14))</f>
        <v>2.1666666666666665</v>
      </c>
      <c r="U430" s="740"/>
      <c r="V430" s="168">
        <f t="shared" si="134"/>
        <v>3</v>
      </c>
      <c r="W430" s="168">
        <f>IF(ISERROR(Personalplanung!P14/Monatsplanung!$E14*Monatsplanung!$K14),0,Personalplanung!P14/Monatsplanung!$E14*Monatsplanung!$K14)</f>
        <v>0</v>
      </c>
      <c r="X430" s="168">
        <f>IF(ISERROR(Personalplanung!Q14/Monatsplanung!$E14*Monatsplanung!$K14),0,Personalplanung!Q14/Monatsplanung!$E14*Monatsplanung!$K14)</f>
        <v>166.66666666666666</v>
      </c>
      <c r="Y430" s="168">
        <f>IF(ISERROR(Personalplanung!R14/T1262*Stundencontrolling!T430),0,Personalplanung!R14/T1262*Stundencontrolling!T430)</f>
        <v>66.666666666666657</v>
      </c>
      <c r="Z430" s="168">
        <f>IF(ISERROR(Personalplanung!S14/Monatsplanung!$E14*Monatsplanung!$K14),0,Personalplanung!S14/Monatsplanung!$E14*Monatsplanung!$K14)</f>
        <v>50</v>
      </c>
      <c r="AA430" s="80">
        <f t="shared" si="135"/>
        <v>149701.61588180979</v>
      </c>
      <c r="AB430" s="102">
        <f t="shared" si="136"/>
        <v>0.1</v>
      </c>
      <c r="AC430" s="103">
        <f t="shared" si="137"/>
        <v>14970.161588180979</v>
      </c>
      <c r="AD430" s="103">
        <f t="shared" si="138"/>
        <v>134731.45429362881</v>
      </c>
      <c r="AE430" s="81">
        <f t="shared" si="139"/>
        <v>15</v>
      </c>
      <c r="AF430" s="539"/>
      <c r="AG430" s="104">
        <f t="shared" si="140"/>
        <v>1</v>
      </c>
      <c r="AH430" s="7">
        <f t="shared" si="141"/>
        <v>0</v>
      </c>
      <c r="AI430" s="6">
        <f t="shared" si="142"/>
        <v>15</v>
      </c>
      <c r="AJ430" s="73">
        <f t="shared" si="143"/>
        <v>998.01077254539859</v>
      </c>
      <c r="AK430" s="539"/>
      <c r="AL430" s="748"/>
      <c r="AM430" s="748"/>
    </row>
    <row r="431" spans="1:39" x14ac:dyDescent="0.2">
      <c r="B431" s="101" t="str">
        <f t="shared" si="128"/>
        <v>Facharbeiter</v>
      </c>
      <c r="C431" s="168">
        <f>IF(ISERROR(Personalplanung!F15/Monatsplanung!$E15*Monatsplanung!$K15),0,Personalplanung!F15/Monatsplanung!$E15*Monatsplanung!$K15)</f>
        <v>174</v>
      </c>
      <c r="D431" s="168">
        <f t="shared" si="129"/>
        <v>8</v>
      </c>
      <c r="E431" s="168">
        <f>IF(ISERROR(Personalplanung!H15/Monatsplanung!$E15*Monatsplanung!$K15),0,Personalplanung!H15/Monatsplanung!$E15*Monatsplanung!$K15)</f>
        <v>0</v>
      </c>
      <c r="F431" s="168">
        <f t="shared" si="130"/>
        <v>174</v>
      </c>
      <c r="G431" s="168">
        <f t="shared" si="131"/>
        <v>27.700831024930746</v>
      </c>
      <c r="H431" s="168">
        <f t="shared" si="132"/>
        <v>4819.9445983379501</v>
      </c>
      <c r="I431" s="168">
        <f t="shared" si="133"/>
        <v>30</v>
      </c>
      <c r="J431" s="739"/>
      <c r="K431" s="168">
        <f>IF(J431&lt;&gt;"",J431,IF(ISERROR(Personalplanung!AB15/Monatsplanung!$E15*Monatsplanung!$K15),0,Personalplanung!AB15/Monatsplanung!$E15*Monatsplanung!$K15))</f>
        <v>0.66666666666666663</v>
      </c>
      <c r="L431" s="740"/>
      <c r="M431" s="739"/>
      <c r="N431" s="168">
        <f>IF(M431&lt;&gt;"",M431,IF(ISERROR(Personalplanung!AC15/Monatsplanung!$E15*Monatsplanung!$K15),0,Personalplanung!AC15/Monatsplanung!$E15*Monatsplanung!$K15))</f>
        <v>0.16666666666666666</v>
      </c>
      <c r="O431" s="740"/>
      <c r="P431" s="739"/>
      <c r="Q431" s="168">
        <f>IF(P431&lt;&gt;"",P431,IF(ISERROR(Personalplanung!AD15/Monatsplanung!$E15*Monatsplanung!$K15),0,Personalplanung!AD15/Monatsplanung!$E15*Monatsplanung!$K15))</f>
        <v>0.41666666666666669</v>
      </c>
      <c r="R431" s="740"/>
      <c r="S431" s="739"/>
      <c r="T431" s="168">
        <f>IF(S431&lt;&gt;"",S431,IF(ISERROR(Personalplanung!AE15/Monatsplanung!$E15*Monatsplanung!$K15),0,Personalplanung!AE15/Monatsplanung!$E15*Monatsplanung!$K15))</f>
        <v>2.1666666666666665</v>
      </c>
      <c r="U431" s="740"/>
      <c r="V431" s="168">
        <f t="shared" si="134"/>
        <v>3.4166666666666665</v>
      </c>
      <c r="W431" s="168">
        <f>IF(ISERROR(Personalplanung!P15/Monatsplanung!$E15*Monatsplanung!$K15),0,Personalplanung!P15/Monatsplanung!$E15*Monatsplanung!$K15)</f>
        <v>0</v>
      </c>
      <c r="X431" s="168">
        <f>IF(ISERROR(Personalplanung!Q15/Monatsplanung!$E15*Monatsplanung!$K15),0,Personalplanung!Q15/Monatsplanung!$E15*Monatsplanung!$K15)</f>
        <v>0</v>
      </c>
      <c r="Y431" s="168">
        <f>IF(ISERROR(Personalplanung!R15/T1263*Stundencontrolling!T431),0,Personalplanung!R15/T1263*Stundencontrolling!T431)</f>
        <v>0</v>
      </c>
      <c r="Z431" s="168">
        <f>IF(ISERROR(Personalplanung!S15/Monatsplanung!$E15*Monatsplanung!$K15),0,Personalplanung!S15/Monatsplanung!$E15*Monatsplanung!$K15)</f>
        <v>0</v>
      </c>
      <c r="AA431" s="80">
        <f t="shared" si="135"/>
        <v>149418.28254847645</v>
      </c>
      <c r="AB431" s="102">
        <f t="shared" si="136"/>
        <v>0.1</v>
      </c>
      <c r="AC431" s="103">
        <f t="shared" si="137"/>
        <v>14941.828254847645</v>
      </c>
      <c r="AD431" s="103">
        <f t="shared" si="138"/>
        <v>134476.45429362881</v>
      </c>
      <c r="AE431" s="81">
        <f t="shared" si="139"/>
        <v>14.666666666666666</v>
      </c>
      <c r="AF431" s="539"/>
      <c r="AG431" s="104">
        <f t="shared" si="140"/>
        <v>1</v>
      </c>
      <c r="AH431" s="7">
        <f t="shared" si="141"/>
        <v>0</v>
      </c>
      <c r="AI431" s="6">
        <f t="shared" si="142"/>
        <v>14.666666666666666</v>
      </c>
      <c r="AJ431" s="73">
        <f t="shared" si="143"/>
        <v>1018.7610173759758</v>
      </c>
      <c r="AK431" s="539"/>
      <c r="AL431" s="748"/>
      <c r="AM431" s="748"/>
    </row>
    <row r="432" spans="1:39" x14ac:dyDescent="0.2">
      <c r="B432" s="101" t="str">
        <f t="shared" si="128"/>
        <v>Abgänger</v>
      </c>
      <c r="C432" s="168">
        <f>IF(ISERROR(Personalplanung!F16/Monatsplanung!$E16*Monatsplanung!$K16),0,Personalplanung!F16/Monatsplanung!$E16*Monatsplanung!$K16)</f>
        <v>174</v>
      </c>
      <c r="D432" s="168">
        <f t="shared" si="129"/>
        <v>8</v>
      </c>
      <c r="E432" s="168">
        <f>IF(ISERROR(Personalplanung!H16/Monatsplanung!$E16*Monatsplanung!$K16),0,Personalplanung!H16/Monatsplanung!$E16*Monatsplanung!$K16)</f>
        <v>0</v>
      </c>
      <c r="F432" s="168">
        <f t="shared" si="130"/>
        <v>174</v>
      </c>
      <c r="G432" s="168">
        <f t="shared" si="131"/>
        <v>27.700831024930746</v>
      </c>
      <c r="H432" s="168">
        <f t="shared" si="132"/>
        <v>4819.9445983379501</v>
      </c>
      <c r="I432" s="168">
        <f t="shared" si="133"/>
        <v>30</v>
      </c>
      <c r="J432" s="739"/>
      <c r="K432" s="168">
        <f>IF(J432&lt;&gt;"",J432,IF(ISERROR(Personalplanung!AB16/Monatsplanung!$E16*Monatsplanung!$K16),0,Personalplanung!AB16/Monatsplanung!$E16*Monatsplanung!$K16))</f>
        <v>1.6</v>
      </c>
      <c r="L432" s="740"/>
      <c r="M432" s="739"/>
      <c r="N432" s="168">
        <f>IF(M432&lt;&gt;"",M432,IF(ISERROR(Personalplanung!AC16/Monatsplanung!$E16*Monatsplanung!$K16),0,Personalplanung!AC16/Monatsplanung!$E16*Monatsplanung!$K16))</f>
        <v>0</v>
      </c>
      <c r="O432" s="740"/>
      <c r="P432" s="739"/>
      <c r="Q432" s="168">
        <f>IF(P432&lt;&gt;"",P432,IF(ISERROR(Personalplanung!AD16/Monatsplanung!$E16*Monatsplanung!$K16),0,Personalplanung!AD16/Monatsplanung!$E16*Monatsplanung!$K16))</f>
        <v>0.8</v>
      </c>
      <c r="R432" s="740"/>
      <c r="S432" s="739"/>
      <c r="T432" s="168">
        <f>IF(S432&lt;&gt;"",S432,IF(ISERROR(Personalplanung!AE16/Monatsplanung!$E16*Monatsplanung!$K16),0,Personalplanung!AE16/Monatsplanung!$E16*Monatsplanung!$K16))</f>
        <v>5.2</v>
      </c>
      <c r="U432" s="740"/>
      <c r="V432" s="168">
        <f t="shared" si="134"/>
        <v>7.6000000000000005</v>
      </c>
      <c r="W432" s="168">
        <f>IF(ISERROR(Personalplanung!P16/Monatsplanung!$E16*Monatsplanung!$K16),0,Personalplanung!P16/Monatsplanung!$E16*Monatsplanung!$K16)</f>
        <v>0</v>
      </c>
      <c r="X432" s="168">
        <f>IF(ISERROR(Personalplanung!Q16/Monatsplanung!$E16*Monatsplanung!$K16),0,Personalplanung!Q16/Monatsplanung!$E16*Monatsplanung!$K16)</f>
        <v>0</v>
      </c>
      <c r="Y432" s="168">
        <f>IF(ISERROR(Personalplanung!R16/T1264*Stundencontrolling!T432),0,Personalplanung!R16/T1264*Stundencontrolling!T432)</f>
        <v>0</v>
      </c>
      <c r="Z432" s="168">
        <f>IF(ISERROR(Personalplanung!S16/Monatsplanung!$E16*Monatsplanung!$K16),0,Personalplanung!S16/Monatsplanung!$E16*Monatsplanung!$K16)</f>
        <v>0</v>
      </c>
      <c r="AA432" s="80">
        <f t="shared" si="135"/>
        <v>149418.28254847645</v>
      </c>
      <c r="AB432" s="102">
        <f t="shared" si="136"/>
        <v>0.1</v>
      </c>
      <c r="AC432" s="103">
        <f t="shared" si="137"/>
        <v>14941.828254847645</v>
      </c>
      <c r="AD432" s="103">
        <f t="shared" si="138"/>
        <v>134476.45429362881</v>
      </c>
      <c r="AE432" s="81">
        <f t="shared" si="139"/>
        <v>11.32</v>
      </c>
      <c r="AF432" s="539"/>
      <c r="AG432" s="104">
        <f t="shared" si="140"/>
        <v>1</v>
      </c>
      <c r="AH432" s="7">
        <f t="shared" si="141"/>
        <v>0</v>
      </c>
      <c r="AI432" s="6">
        <f t="shared" si="142"/>
        <v>11.32</v>
      </c>
      <c r="AJ432" s="73">
        <f t="shared" si="143"/>
        <v>1319.9494924777071</v>
      </c>
      <c r="AK432" s="539"/>
      <c r="AL432" s="748"/>
      <c r="AM432" s="748"/>
    </row>
    <row r="433" spans="2:39" x14ac:dyDescent="0.2">
      <c r="B433" s="101" t="str">
        <f t="shared" si="128"/>
        <v>Facharbeiter</v>
      </c>
      <c r="C433" s="168">
        <f>IF(ISERROR(Personalplanung!F17/Monatsplanung!$E17*Monatsplanung!$K17),0,Personalplanung!F17/Monatsplanung!$E17*Monatsplanung!$K17)</f>
        <v>174</v>
      </c>
      <c r="D433" s="168">
        <f t="shared" si="129"/>
        <v>8</v>
      </c>
      <c r="E433" s="168">
        <f>IF(ISERROR(Personalplanung!H17/Monatsplanung!$E17*Monatsplanung!$K17),0,Personalplanung!H17/Monatsplanung!$E17*Monatsplanung!$K17)</f>
        <v>0</v>
      </c>
      <c r="F433" s="168">
        <f t="shared" si="130"/>
        <v>174</v>
      </c>
      <c r="G433" s="168">
        <f t="shared" si="131"/>
        <v>27.700831024930746</v>
      </c>
      <c r="H433" s="168">
        <f t="shared" si="132"/>
        <v>4819.9445983379501</v>
      </c>
      <c r="I433" s="168">
        <f t="shared" si="133"/>
        <v>30</v>
      </c>
      <c r="J433" s="739"/>
      <c r="K433" s="168">
        <f>IF(J433&lt;&gt;"",J433,IF(ISERROR(Personalplanung!AB17/Monatsplanung!$E17*Monatsplanung!$K17),0,Personalplanung!AB17/Monatsplanung!$E17*Monatsplanung!$K17))</f>
        <v>0.66666666666666663</v>
      </c>
      <c r="L433" s="740"/>
      <c r="M433" s="739"/>
      <c r="N433" s="168">
        <f>IF(M433&lt;&gt;"",M433,IF(ISERROR(Personalplanung!AC17/Monatsplanung!$E17*Monatsplanung!$K17),0,Personalplanung!AC17/Monatsplanung!$E17*Monatsplanung!$K17))</f>
        <v>0</v>
      </c>
      <c r="O433" s="740"/>
      <c r="P433" s="739"/>
      <c r="Q433" s="168">
        <f>IF(P433&lt;&gt;"",P433,IF(ISERROR(Personalplanung!AD17/Monatsplanung!$E17*Monatsplanung!$K17),0,Personalplanung!AD17/Monatsplanung!$E17*Monatsplanung!$K17))</f>
        <v>0.16666666666666666</v>
      </c>
      <c r="R433" s="740"/>
      <c r="S433" s="739"/>
      <c r="T433" s="168">
        <f>IF(S433&lt;&gt;"",S433,IF(ISERROR(Personalplanung!AE17/Monatsplanung!$E17*Monatsplanung!$K17),0,Personalplanung!AE17/Monatsplanung!$E17*Monatsplanung!$K17))</f>
        <v>2.1666666666666665</v>
      </c>
      <c r="U433" s="740"/>
      <c r="V433" s="168">
        <f t="shared" si="134"/>
        <v>3</v>
      </c>
      <c r="W433" s="168">
        <f>IF(ISERROR(Personalplanung!P17/Monatsplanung!$E17*Monatsplanung!$K17),0,Personalplanung!P17/Monatsplanung!$E17*Monatsplanung!$K17)</f>
        <v>0</v>
      </c>
      <c r="X433" s="168">
        <f>IF(ISERROR(Personalplanung!Q17/Monatsplanung!$E17*Monatsplanung!$K17),0,Personalplanung!Q17/Monatsplanung!$E17*Monatsplanung!$K17)</f>
        <v>0</v>
      </c>
      <c r="Y433" s="168">
        <f>IF(ISERROR(Personalplanung!R17/T1265*Stundencontrolling!T433),0,Personalplanung!R17/T1265*Stundencontrolling!T433)</f>
        <v>0</v>
      </c>
      <c r="Z433" s="168">
        <f>IF(ISERROR(Personalplanung!S17/Monatsplanung!$E17*Monatsplanung!$K17),0,Personalplanung!S17/Monatsplanung!$E17*Monatsplanung!$K17)</f>
        <v>0</v>
      </c>
      <c r="AA433" s="80">
        <f t="shared" si="135"/>
        <v>149418.28254847645</v>
      </c>
      <c r="AB433" s="102">
        <f t="shared" si="136"/>
        <v>0.1</v>
      </c>
      <c r="AC433" s="103">
        <f t="shared" si="137"/>
        <v>14941.828254847645</v>
      </c>
      <c r="AD433" s="103">
        <f t="shared" si="138"/>
        <v>134476.45429362881</v>
      </c>
      <c r="AE433" s="81">
        <f t="shared" si="139"/>
        <v>15</v>
      </c>
      <c r="AF433" s="539"/>
      <c r="AG433" s="104">
        <f t="shared" si="140"/>
        <v>1</v>
      </c>
      <c r="AH433" s="7">
        <f t="shared" si="141"/>
        <v>0</v>
      </c>
      <c r="AI433" s="6">
        <f t="shared" si="142"/>
        <v>15</v>
      </c>
      <c r="AJ433" s="73">
        <f t="shared" si="143"/>
        <v>996.12188365650968</v>
      </c>
      <c r="AK433" s="539"/>
      <c r="AL433" s="748"/>
      <c r="AM433" s="748"/>
    </row>
    <row r="434" spans="2:39" x14ac:dyDescent="0.2">
      <c r="B434" s="101" t="str">
        <f t="shared" si="128"/>
        <v>Facharbeiter</v>
      </c>
      <c r="C434" s="168">
        <f>IF(ISERROR(Personalplanung!F18/Monatsplanung!$E18*Monatsplanung!$K18),0,Personalplanung!F18/Monatsplanung!$E18*Monatsplanung!$K18)</f>
        <v>174</v>
      </c>
      <c r="D434" s="168">
        <f t="shared" si="129"/>
        <v>8</v>
      </c>
      <c r="E434" s="168">
        <f>IF(ISERROR(Personalplanung!H18/Monatsplanung!$E18*Monatsplanung!$K18),0,Personalplanung!H18/Monatsplanung!$E18*Monatsplanung!$K18)</f>
        <v>0</v>
      </c>
      <c r="F434" s="168">
        <f t="shared" si="130"/>
        <v>174</v>
      </c>
      <c r="G434" s="168">
        <f t="shared" si="131"/>
        <v>27.700831024930746</v>
      </c>
      <c r="H434" s="168">
        <f t="shared" si="132"/>
        <v>4819.9445983379501</v>
      </c>
      <c r="I434" s="168">
        <f t="shared" si="133"/>
        <v>30</v>
      </c>
      <c r="J434" s="739"/>
      <c r="K434" s="168">
        <f>IF(J434&lt;&gt;"",J434,IF(ISERROR(Personalplanung!AB18/Monatsplanung!$E18*Monatsplanung!$K18),0,Personalplanung!AB18/Monatsplanung!$E18*Monatsplanung!$K18))</f>
        <v>0.66666666666666663</v>
      </c>
      <c r="L434" s="740"/>
      <c r="M434" s="739"/>
      <c r="N434" s="168">
        <f>IF(M434&lt;&gt;"",M434,IF(ISERROR(Personalplanung!AC18/Monatsplanung!$E18*Monatsplanung!$K18),0,Personalplanung!AC18/Monatsplanung!$E18*Monatsplanung!$K18))</f>
        <v>0.33333333333333331</v>
      </c>
      <c r="O434" s="740"/>
      <c r="P434" s="739"/>
      <c r="Q434" s="168">
        <f>IF(P434&lt;&gt;"",P434,IF(ISERROR(Personalplanung!AD18/Monatsplanung!$E18*Monatsplanung!$K18),0,Personalplanung!AD18/Monatsplanung!$E18*Monatsplanung!$K18))</f>
        <v>0.16666666666666666</v>
      </c>
      <c r="R434" s="740"/>
      <c r="S434" s="739"/>
      <c r="T434" s="168">
        <f>IF(S434&lt;&gt;"",S434,IF(ISERROR(Personalplanung!AE18/Monatsplanung!$E18*Monatsplanung!$K18),0,Personalplanung!AE18/Monatsplanung!$E18*Monatsplanung!$K18))</f>
        <v>2.1666666666666665</v>
      </c>
      <c r="U434" s="740"/>
      <c r="V434" s="168">
        <f t="shared" si="134"/>
        <v>3.333333333333333</v>
      </c>
      <c r="W434" s="168">
        <f>IF(ISERROR(Personalplanung!P18/Monatsplanung!$E18*Monatsplanung!$K18),0,Personalplanung!P18/Monatsplanung!$E18*Monatsplanung!$K18)</f>
        <v>0</v>
      </c>
      <c r="X434" s="168">
        <f>IF(ISERROR(Personalplanung!Q18/Monatsplanung!$E18*Monatsplanung!$K18),0,Personalplanung!Q18/Monatsplanung!$E18*Monatsplanung!$K18)</f>
        <v>0</v>
      </c>
      <c r="Y434" s="168">
        <f>IF(ISERROR(Personalplanung!R18/T1266*Stundencontrolling!T434),0,Personalplanung!R18/T1266*Stundencontrolling!T434)</f>
        <v>0</v>
      </c>
      <c r="Z434" s="168">
        <f>IF(ISERROR(Personalplanung!S18/Monatsplanung!$E18*Monatsplanung!$K18),0,Personalplanung!S18/Monatsplanung!$E18*Monatsplanung!$K18)</f>
        <v>0</v>
      </c>
      <c r="AA434" s="80">
        <f t="shared" si="135"/>
        <v>149418.28254847645</v>
      </c>
      <c r="AB434" s="102">
        <f t="shared" si="136"/>
        <v>0.1</v>
      </c>
      <c r="AC434" s="103">
        <f t="shared" si="137"/>
        <v>14941.828254847645</v>
      </c>
      <c r="AD434" s="103">
        <f t="shared" si="138"/>
        <v>134476.45429362881</v>
      </c>
      <c r="AE434" s="81">
        <f t="shared" si="139"/>
        <v>14.733333333333334</v>
      </c>
      <c r="AF434" s="539"/>
      <c r="AG434" s="104">
        <f t="shared" si="140"/>
        <v>1</v>
      </c>
      <c r="AH434" s="7">
        <f t="shared" si="141"/>
        <v>0</v>
      </c>
      <c r="AI434" s="6">
        <f t="shared" si="142"/>
        <v>14.733333333333334</v>
      </c>
      <c r="AJ434" s="73">
        <f t="shared" si="143"/>
        <v>1014.1512390168084</v>
      </c>
      <c r="AK434" s="539"/>
      <c r="AL434" s="748"/>
      <c r="AM434" s="748"/>
    </row>
    <row r="435" spans="2:39" x14ac:dyDescent="0.2">
      <c r="B435" s="101" t="str">
        <f t="shared" si="128"/>
        <v>Elternzeit Geselle</v>
      </c>
      <c r="C435" s="168">
        <f>IF(ISERROR(Personalplanung!F19/Monatsplanung!$E19*Monatsplanung!$K19),0,Personalplanung!F19/Monatsplanung!$E19*Monatsplanung!$K19)</f>
        <v>130.5</v>
      </c>
      <c r="D435" s="168">
        <f t="shared" si="129"/>
        <v>6</v>
      </c>
      <c r="E435" s="168">
        <f>IF(ISERROR(Personalplanung!H19/Monatsplanung!$E19*Monatsplanung!$K19),0,Personalplanung!H19/Monatsplanung!$E19*Monatsplanung!$K19)</f>
        <v>0</v>
      </c>
      <c r="F435" s="168">
        <f t="shared" si="130"/>
        <v>130.5</v>
      </c>
      <c r="G435" s="168">
        <f t="shared" si="131"/>
        <v>27.700831024930746</v>
      </c>
      <c r="H435" s="168">
        <f t="shared" si="132"/>
        <v>3614.9584487534626</v>
      </c>
      <c r="I435" s="168">
        <f t="shared" si="133"/>
        <v>30</v>
      </c>
      <c r="J435" s="739"/>
      <c r="K435" s="168">
        <f>IF(J435&lt;&gt;"",J435,IF(ISERROR(Personalplanung!AB19/Monatsplanung!$E19*Monatsplanung!$K19),0,Personalplanung!AB19/Monatsplanung!$E19*Monatsplanung!$K19))</f>
        <v>1</v>
      </c>
      <c r="L435" s="740"/>
      <c r="M435" s="739"/>
      <c r="N435" s="168">
        <f>IF(M435&lt;&gt;"",M435,IF(ISERROR(Personalplanung!AC19/Monatsplanung!$E19*Monatsplanung!$K19),0,Personalplanung!AC19/Monatsplanung!$E19*Monatsplanung!$K19))</f>
        <v>0</v>
      </c>
      <c r="O435" s="740"/>
      <c r="P435" s="739"/>
      <c r="Q435" s="168">
        <f>IF(P435&lt;&gt;"",P435,IF(ISERROR(Personalplanung!AD19/Monatsplanung!$E19*Monatsplanung!$K19),0,Personalplanung!AD19/Monatsplanung!$E19*Monatsplanung!$K19))</f>
        <v>0.25</v>
      </c>
      <c r="R435" s="740"/>
      <c r="S435" s="739"/>
      <c r="T435" s="168">
        <f>IF(S435&lt;&gt;"",S435,IF(ISERROR(Personalplanung!AE19/Monatsplanung!$E19*Monatsplanung!$K19),0,Personalplanung!AE19/Monatsplanung!$E19*Monatsplanung!$K19))</f>
        <v>3.25</v>
      </c>
      <c r="U435" s="740"/>
      <c r="V435" s="168">
        <f t="shared" si="134"/>
        <v>4.5</v>
      </c>
      <c r="W435" s="168">
        <f>IF(ISERROR(Personalplanung!P19/Monatsplanung!$E19*Monatsplanung!$K19),0,Personalplanung!P19/Monatsplanung!$E19*Monatsplanung!$K19)</f>
        <v>0</v>
      </c>
      <c r="X435" s="168">
        <f>IF(ISERROR(Personalplanung!Q19/Monatsplanung!$E19*Monatsplanung!$K19),0,Personalplanung!Q19/Monatsplanung!$E19*Monatsplanung!$K19)</f>
        <v>0</v>
      </c>
      <c r="Y435" s="168">
        <f>IF(ISERROR(Personalplanung!R19/T1267*Stundencontrolling!T435),0,Personalplanung!R19/T1267*Stundencontrolling!T435)</f>
        <v>0</v>
      </c>
      <c r="Z435" s="168">
        <f>IF(ISERROR(Personalplanung!S19/Monatsplanung!$E19*Monatsplanung!$K19),0,Personalplanung!S19/Monatsplanung!$E19*Monatsplanung!$K19)</f>
        <v>0</v>
      </c>
      <c r="AA435" s="80">
        <f t="shared" si="135"/>
        <v>112063.71191135734</v>
      </c>
      <c r="AB435" s="102">
        <f t="shared" si="136"/>
        <v>0.1</v>
      </c>
      <c r="AC435" s="103">
        <f t="shared" si="137"/>
        <v>11206.371191135735</v>
      </c>
      <c r="AD435" s="103">
        <f t="shared" si="138"/>
        <v>100857.3407202216</v>
      </c>
      <c r="AE435" s="81">
        <f t="shared" si="139"/>
        <v>10.350000000000001</v>
      </c>
      <c r="AF435" s="539"/>
      <c r="AG435" s="104">
        <f t="shared" si="140"/>
        <v>1</v>
      </c>
      <c r="AH435" s="7">
        <f t="shared" si="141"/>
        <v>0</v>
      </c>
      <c r="AI435" s="6">
        <f t="shared" si="142"/>
        <v>10.350000000000001</v>
      </c>
      <c r="AJ435" s="73">
        <f t="shared" si="143"/>
        <v>1082.7411778875105</v>
      </c>
      <c r="AK435" s="539"/>
      <c r="AL435" s="748"/>
      <c r="AM435" s="748"/>
    </row>
    <row r="436" spans="2:39" x14ac:dyDescent="0.2">
      <c r="B436" s="101" t="str">
        <f t="shared" si="128"/>
        <v>A. Zubi</v>
      </c>
      <c r="C436" s="168">
        <f>IF(ISERROR(Personalplanung!F20/Monatsplanung!$E20*Monatsplanung!$K20),0,Personalplanung!F20/Monatsplanung!$E20*Monatsplanung!$K20)</f>
        <v>174</v>
      </c>
      <c r="D436" s="168">
        <f t="shared" si="129"/>
        <v>8</v>
      </c>
      <c r="E436" s="168">
        <f>IF(ISERROR(Personalplanung!H20/Monatsplanung!$E20*Monatsplanung!$K20),0,Personalplanung!H20/Monatsplanung!$E20*Monatsplanung!$K20)</f>
        <v>0</v>
      </c>
      <c r="F436" s="168">
        <f t="shared" si="130"/>
        <v>174</v>
      </c>
      <c r="G436" s="168">
        <f t="shared" si="131"/>
        <v>27.700831024930746</v>
      </c>
      <c r="H436" s="168">
        <f t="shared" si="132"/>
        <v>4819.9445983379501</v>
      </c>
      <c r="I436" s="168">
        <f t="shared" si="133"/>
        <v>30</v>
      </c>
      <c r="J436" s="739"/>
      <c r="K436" s="168">
        <f>IF(J436&lt;&gt;"",J436,IF(ISERROR(Personalplanung!AB20/Monatsplanung!$E20*Monatsplanung!$K20),0,Personalplanung!AB20/Monatsplanung!$E20*Monatsplanung!$K20))</f>
        <v>0.66666666666666663</v>
      </c>
      <c r="L436" s="740"/>
      <c r="M436" s="739"/>
      <c r="N436" s="168">
        <f>IF(M436&lt;&gt;"",M436,IF(ISERROR(Personalplanung!AC20/Monatsplanung!$E20*Monatsplanung!$K20),0,Personalplanung!AC20/Monatsplanung!$E20*Monatsplanung!$K20))</f>
        <v>0.25</v>
      </c>
      <c r="O436" s="740"/>
      <c r="P436" s="739"/>
      <c r="Q436" s="168">
        <f>IF(P436&lt;&gt;"",P436,IF(ISERROR(Personalplanung!AD20/Monatsplanung!$E20*Monatsplanung!$K20),0,Personalplanung!AD20/Monatsplanung!$E20*Monatsplanung!$K20))</f>
        <v>0.16666666666666666</v>
      </c>
      <c r="R436" s="740"/>
      <c r="S436" s="739"/>
      <c r="T436" s="168">
        <f>IF(S436&lt;&gt;"",S436,IF(ISERROR(Personalplanung!AE20/Monatsplanung!$E20*Monatsplanung!$K20),0,Personalplanung!AE20/Monatsplanung!$E20*Monatsplanung!$K20))</f>
        <v>2.1666666666666665</v>
      </c>
      <c r="U436" s="740"/>
      <c r="V436" s="168">
        <f t="shared" si="134"/>
        <v>3.25</v>
      </c>
      <c r="W436" s="168">
        <f>IF(ISERROR(Personalplanung!P20/Monatsplanung!$E20*Monatsplanung!$K20),0,Personalplanung!P20/Monatsplanung!$E20*Monatsplanung!$K20)</f>
        <v>0</v>
      </c>
      <c r="X436" s="168">
        <f>IF(ISERROR(Personalplanung!Q20/Monatsplanung!$E20*Monatsplanung!$K20),0,Personalplanung!Q20/Monatsplanung!$E20*Monatsplanung!$K20)</f>
        <v>0</v>
      </c>
      <c r="Y436" s="168">
        <f>IF(ISERROR(Personalplanung!R20/T1268*Stundencontrolling!T436),0,Personalplanung!R20/T1268*Stundencontrolling!T436)</f>
        <v>0</v>
      </c>
      <c r="Z436" s="168">
        <f>IF(ISERROR(Personalplanung!S20/Monatsplanung!$E20*Monatsplanung!$K20),0,Personalplanung!S20/Monatsplanung!$E20*Monatsplanung!$K20)</f>
        <v>0</v>
      </c>
      <c r="AA436" s="80">
        <f t="shared" si="135"/>
        <v>149418.28254847645</v>
      </c>
      <c r="AB436" s="102">
        <f t="shared" si="136"/>
        <v>0.1</v>
      </c>
      <c r="AC436" s="103">
        <f t="shared" si="137"/>
        <v>14941.828254847645</v>
      </c>
      <c r="AD436" s="103">
        <f t="shared" si="138"/>
        <v>134476.45429362881</v>
      </c>
      <c r="AE436" s="81">
        <f t="shared" si="139"/>
        <v>14.8</v>
      </c>
      <c r="AF436" s="539"/>
      <c r="AG436" s="104">
        <f t="shared" si="140"/>
        <v>1</v>
      </c>
      <c r="AH436" s="7">
        <f t="shared" si="141"/>
        <v>0</v>
      </c>
      <c r="AI436" s="6">
        <f t="shared" si="142"/>
        <v>14.8</v>
      </c>
      <c r="AJ436" s="73">
        <f t="shared" si="143"/>
        <v>1009.5829901924084</v>
      </c>
      <c r="AK436" s="539"/>
      <c r="AL436" s="748"/>
      <c r="AM436" s="748"/>
    </row>
    <row r="437" spans="2:39" x14ac:dyDescent="0.2">
      <c r="B437" s="101" t="str">
        <f t="shared" si="128"/>
        <v>Zur Ausbildung</v>
      </c>
      <c r="C437" s="168">
        <f>IF(ISERROR(Personalplanung!F21/Monatsplanung!$E21*Monatsplanung!$K21),0,Personalplanung!F21/Monatsplanung!$E21*Monatsplanung!$K21)</f>
        <v>0</v>
      </c>
      <c r="D437" s="168">
        <f t="shared" si="129"/>
        <v>8</v>
      </c>
      <c r="E437" s="168">
        <f>IF(ISERROR(Personalplanung!H21/Monatsplanung!$E21*Monatsplanung!$K21),0,Personalplanung!H21/Monatsplanung!$E21*Monatsplanung!$K21)</f>
        <v>0</v>
      </c>
      <c r="F437" s="168">
        <f t="shared" si="130"/>
        <v>0</v>
      </c>
      <c r="G437" s="168">
        <f t="shared" si="131"/>
        <v>27.700831024930746</v>
      </c>
      <c r="H437" s="168">
        <f t="shared" si="132"/>
        <v>0</v>
      </c>
      <c r="I437" s="168">
        <f t="shared" si="133"/>
        <v>30</v>
      </c>
      <c r="J437" s="739"/>
      <c r="K437" s="168">
        <f>IF(J437&lt;&gt;"",J437,IF(ISERROR(Personalplanung!AB21/Monatsplanung!$E21*Monatsplanung!$K21),0,Personalplanung!AB21/Monatsplanung!$E21*Monatsplanung!$K21))</f>
        <v>0</v>
      </c>
      <c r="L437" s="740"/>
      <c r="M437" s="739"/>
      <c r="N437" s="168">
        <f>IF(M437&lt;&gt;"",M437,IF(ISERROR(Personalplanung!AC21/Monatsplanung!$E21*Monatsplanung!$K21),0,Personalplanung!AC21/Monatsplanung!$E21*Monatsplanung!$K21))</f>
        <v>0</v>
      </c>
      <c r="O437" s="740"/>
      <c r="P437" s="739"/>
      <c r="Q437" s="168">
        <f>IF(P437&lt;&gt;"",P437,IF(ISERROR(Personalplanung!AD21/Monatsplanung!$E21*Monatsplanung!$K21),0,Personalplanung!AD21/Monatsplanung!$E21*Monatsplanung!$K21))</f>
        <v>0</v>
      </c>
      <c r="R437" s="740"/>
      <c r="S437" s="739"/>
      <c r="T437" s="168">
        <f>IF(S437&lt;&gt;"",S437,IF(ISERROR(Personalplanung!AE21/Monatsplanung!$E21*Monatsplanung!$K21),0,Personalplanung!AE21/Monatsplanung!$E21*Monatsplanung!$K21))</f>
        <v>0</v>
      </c>
      <c r="U437" s="740"/>
      <c r="V437" s="168">
        <f t="shared" si="134"/>
        <v>0</v>
      </c>
      <c r="W437" s="168">
        <f>IF(ISERROR(Personalplanung!P21/Monatsplanung!$E21*Monatsplanung!$K21),0,Personalplanung!P21/Monatsplanung!$E21*Monatsplanung!$K21)</f>
        <v>0</v>
      </c>
      <c r="X437" s="168">
        <f>IF(ISERROR(Personalplanung!Q21/Monatsplanung!$E21*Monatsplanung!$K21),0,Personalplanung!Q21/Monatsplanung!$E21*Monatsplanung!$K21)</f>
        <v>0</v>
      </c>
      <c r="Y437" s="168">
        <f>IF(ISERROR(Personalplanung!R21/T1269*Stundencontrolling!T437),0,Personalplanung!R21/T1269*Stundencontrolling!T437)</f>
        <v>0</v>
      </c>
      <c r="Z437" s="168">
        <f>IF(ISERROR(Personalplanung!S21/Monatsplanung!$E21*Monatsplanung!$K21),0,Personalplanung!S21/Monatsplanung!$E21*Monatsplanung!$K21)</f>
        <v>0</v>
      </c>
      <c r="AA437" s="80">
        <f t="shared" si="135"/>
        <v>0</v>
      </c>
      <c r="AB437" s="102">
        <f t="shared" si="136"/>
        <v>0.1</v>
      </c>
      <c r="AC437" s="103">
        <f t="shared" si="137"/>
        <v>0</v>
      </c>
      <c r="AD437" s="103">
        <f t="shared" si="138"/>
        <v>0</v>
      </c>
      <c r="AE437" s="81">
        <f t="shared" si="139"/>
        <v>0</v>
      </c>
      <c r="AF437" s="539"/>
      <c r="AG437" s="104">
        <f t="shared" si="140"/>
        <v>1</v>
      </c>
      <c r="AH437" s="7">
        <f t="shared" si="141"/>
        <v>0</v>
      </c>
      <c r="AI437" s="6">
        <f t="shared" si="142"/>
        <v>0</v>
      </c>
      <c r="AJ437" s="73">
        <f t="shared" si="143"/>
        <v>0</v>
      </c>
      <c r="AK437" s="539"/>
      <c r="AL437" s="748"/>
      <c r="AM437" s="748"/>
    </row>
    <row r="438" spans="2:39" x14ac:dyDescent="0.2">
      <c r="B438" s="101" t="str">
        <f t="shared" si="128"/>
        <v>Reine Putze</v>
      </c>
      <c r="C438" s="168">
        <f>IF(ISERROR(Personalplanung!F22/Monatsplanung!$E22*Monatsplanung!$K22),0,Personalplanung!F22/Monatsplanung!$E22*Monatsplanung!$K22)</f>
        <v>52.199999999999996</v>
      </c>
      <c r="D438" s="168">
        <f t="shared" si="129"/>
        <v>2.4</v>
      </c>
      <c r="E438" s="168">
        <f>IF(ISERROR(Personalplanung!H22/Monatsplanung!$E22*Monatsplanung!$K22),0,Personalplanung!H22/Monatsplanung!$E22*Monatsplanung!$K22)</f>
        <v>0</v>
      </c>
      <c r="F438" s="168">
        <f t="shared" si="130"/>
        <v>52.199999999999996</v>
      </c>
      <c r="G438" s="168">
        <f t="shared" si="131"/>
        <v>27.700831024930746</v>
      </c>
      <c r="H438" s="168">
        <f t="shared" si="132"/>
        <v>1445.9833795013849</v>
      </c>
      <c r="I438" s="168">
        <f t="shared" si="133"/>
        <v>30</v>
      </c>
      <c r="J438" s="739"/>
      <c r="K438" s="168">
        <f>IF(J438&lt;&gt;"",J438,IF(ISERROR(Personalplanung!AB22/Monatsplanung!$E22*Monatsplanung!$K22),0,Personalplanung!AB22/Monatsplanung!$E22*Monatsplanung!$K22))</f>
        <v>0.25</v>
      </c>
      <c r="L438" s="740"/>
      <c r="M438" s="739"/>
      <c r="N438" s="168">
        <f>IF(M438&lt;&gt;"",M438,IF(ISERROR(Personalplanung!AC22/Monatsplanung!$E22*Monatsplanung!$K22),0,Personalplanung!AC22/Monatsplanung!$E22*Monatsplanung!$K22))</f>
        <v>0</v>
      </c>
      <c r="O438" s="740"/>
      <c r="P438" s="739"/>
      <c r="Q438" s="168">
        <f>IF(P438&lt;&gt;"",P438,IF(ISERROR(Personalplanung!AD22/Monatsplanung!$E22*Monatsplanung!$K22),0,Personalplanung!AD22/Monatsplanung!$E22*Monatsplanung!$K22))</f>
        <v>0</v>
      </c>
      <c r="R438" s="740"/>
      <c r="S438" s="739"/>
      <c r="T438" s="168">
        <f>IF(S438&lt;&gt;"",S438,IF(ISERROR(Personalplanung!AE22/Monatsplanung!$E22*Monatsplanung!$K22),0,Personalplanung!AE22/Monatsplanung!$E22*Monatsplanung!$K22))</f>
        <v>2.1666666666666665</v>
      </c>
      <c r="U438" s="740"/>
      <c r="V438" s="168">
        <f t="shared" si="134"/>
        <v>2.4166666666666665</v>
      </c>
      <c r="W438" s="168">
        <f>IF(ISERROR(Personalplanung!P22/Monatsplanung!$E22*Monatsplanung!$K22),0,Personalplanung!P22/Monatsplanung!$E22*Monatsplanung!$K22)</f>
        <v>0</v>
      </c>
      <c r="X438" s="168">
        <f>IF(ISERROR(Personalplanung!Q22/Monatsplanung!$E22*Monatsplanung!$K22),0,Personalplanung!Q22/Monatsplanung!$E22*Monatsplanung!$K22)</f>
        <v>0</v>
      </c>
      <c r="Y438" s="168">
        <f>IF(ISERROR(Personalplanung!R22/T1270*Stundencontrolling!T438),0,Personalplanung!R22/T1270*Stundencontrolling!T438)</f>
        <v>0</v>
      </c>
      <c r="Z438" s="168">
        <f>IF(ISERROR(Personalplanung!S22/Monatsplanung!$E22*Monatsplanung!$K22),0,Personalplanung!S22/Monatsplanung!$E22*Monatsplanung!$K22)</f>
        <v>0</v>
      </c>
      <c r="AA438" s="80">
        <f t="shared" si="135"/>
        <v>44825.484764542933</v>
      </c>
      <c r="AB438" s="102">
        <f t="shared" si="136"/>
        <v>0.1</v>
      </c>
      <c r="AC438" s="103">
        <f t="shared" si="137"/>
        <v>4482.5484764542934</v>
      </c>
      <c r="AD438" s="103">
        <f t="shared" si="138"/>
        <v>40342.93628808864</v>
      </c>
      <c r="AE438" s="81">
        <f t="shared" si="139"/>
        <v>4.6399999999999997</v>
      </c>
      <c r="AF438" s="539"/>
      <c r="AG438" s="104">
        <f t="shared" si="140"/>
        <v>1</v>
      </c>
      <c r="AH438" s="7">
        <f t="shared" si="141"/>
        <v>0</v>
      </c>
      <c r="AI438" s="6">
        <f t="shared" si="142"/>
        <v>4.6399999999999997</v>
      </c>
      <c r="AJ438" s="73">
        <f t="shared" si="143"/>
        <v>966.06648199445988</v>
      </c>
      <c r="AK438" s="539"/>
      <c r="AL438" s="748"/>
      <c r="AM438" s="748"/>
    </row>
    <row r="439" spans="2:39" x14ac:dyDescent="0.2">
      <c r="B439" s="101" t="str">
        <f t="shared" si="128"/>
        <v/>
      </c>
      <c r="C439" s="168">
        <f>IF(ISERROR(Personalplanung!F23/Monatsplanung!$E23*Monatsplanung!$K23),0,Personalplanung!F23/Monatsplanung!$E23*Monatsplanung!$K23)</f>
        <v>0</v>
      </c>
      <c r="D439" s="168">
        <f t="shared" si="129"/>
        <v>0</v>
      </c>
      <c r="E439" s="168">
        <f>IF(ISERROR(Personalplanung!H23/Monatsplanung!$E23*Monatsplanung!$K23),0,Personalplanung!H23/Monatsplanung!$E23*Monatsplanung!$K23)</f>
        <v>0</v>
      </c>
      <c r="F439" s="168">
        <f t="shared" si="130"/>
        <v>0</v>
      </c>
      <c r="G439" s="168">
        <f t="shared" si="131"/>
        <v>27.700831024930746</v>
      </c>
      <c r="H439" s="168">
        <f t="shared" si="132"/>
        <v>0</v>
      </c>
      <c r="I439" s="168">
        <f t="shared" si="133"/>
        <v>30</v>
      </c>
      <c r="J439" s="739"/>
      <c r="K439" s="168">
        <f>IF(J439&lt;&gt;"",J439,IF(ISERROR(Personalplanung!AB23/Monatsplanung!$E23*Monatsplanung!$K23),0,Personalplanung!AB23/Monatsplanung!$E23*Monatsplanung!$K23))</f>
        <v>0</v>
      </c>
      <c r="L439" s="740"/>
      <c r="M439" s="739"/>
      <c r="N439" s="168">
        <f>IF(M439&lt;&gt;"",M439,IF(ISERROR(Personalplanung!AC23/Monatsplanung!$E23*Monatsplanung!$K23),0,Personalplanung!AC23/Monatsplanung!$E23*Monatsplanung!$K23))</f>
        <v>0</v>
      </c>
      <c r="O439" s="740"/>
      <c r="P439" s="739"/>
      <c r="Q439" s="168">
        <f>IF(P439&lt;&gt;"",P439,IF(ISERROR(Personalplanung!AD23/Monatsplanung!$E23*Monatsplanung!$K23),0,Personalplanung!AD23/Monatsplanung!$E23*Monatsplanung!$K23))</f>
        <v>0</v>
      </c>
      <c r="R439" s="740"/>
      <c r="S439" s="739"/>
      <c r="T439" s="168">
        <f>IF(S439&lt;&gt;"",S439,IF(ISERROR(Personalplanung!AE23/Monatsplanung!$E23*Monatsplanung!$K23),0,Personalplanung!AE23/Monatsplanung!$E23*Monatsplanung!$K23))</f>
        <v>0</v>
      </c>
      <c r="U439" s="740"/>
      <c r="V439" s="168">
        <f t="shared" si="134"/>
        <v>0</v>
      </c>
      <c r="W439" s="168">
        <f>IF(ISERROR(Personalplanung!P23/Monatsplanung!$E23*Monatsplanung!$K23),0,Personalplanung!P23/Monatsplanung!$E23*Monatsplanung!$K23)</f>
        <v>0</v>
      </c>
      <c r="X439" s="168">
        <f>IF(ISERROR(Personalplanung!Q23/Monatsplanung!$E23*Monatsplanung!$K23),0,Personalplanung!Q23/Monatsplanung!$E23*Monatsplanung!$K23)</f>
        <v>0</v>
      </c>
      <c r="Y439" s="168">
        <f>IF(ISERROR(Personalplanung!R23/T1271*Stundencontrolling!T439),0,Personalplanung!R23/T1271*Stundencontrolling!T439)</f>
        <v>0</v>
      </c>
      <c r="Z439" s="168">
        <f>IF(ISERROR(Personalplanung!S23/Monatsplanung!$E23*Monatsplanung!$K23),0,Personalplanung!S23/Monatsplanung!$E23*Monatsplanung!$K23)</f>
        <v>0</v>
      </c>
      <c r="AA439" s="80">
        <f t="shared" si="135"/>
        <v>0</v>
      </c>
      <c r="AB439" s="102">
        <f t="shared" si="136"/>
        <v>0.1</v>
      </c>
      <c r="AC439" s="103">
        <f t="shared" si="137"/>
        <v>0</v>
      </c>
      <c r="AD439" s="103">
        <f t="shared" si="138"/>
        <v>0</v>
      </c>
      <c r="AE439" s="81">
        <f t="shared" si="139"/>
        <v>0</v>
      </c>
      <c r="AF439" s="539"/>
      <c r="AG439" s="104">
        <f t="shared" si="140"/>
        <v>1</v>
      </c>
      <c r="AH439" s="7">
        <f t="shared" si="141"/>
        <v>0</v>
      </c>
      <c r="AI439" s="6">
        <f t="shared" si="142"/>
        <v>0</v>
      </c>
      <c r="AJ439" s="73">
        <f t="shared" si="143"/>
        <v>0</v>
      </c>
      <c r="AK439" s="539"/>
      <c r="AL439" s="748"/>
      <c r="AM439" s="748"/>
    </row>
    <row r="440" spans="2:39" x14ac:dyDescent="0.2">
      <c r="B440" s="101" t="str">
        <f t="shared" si="128"/>
        <v/>
      </c>
      <c r="C440" s="168">
        <f>IF(ISERROR(Personalplanung!F24/Monatsplanung!$E24*Monatsplanung!$K24),0,Personalplanung!F24/Monatsplanung!$E24*Monatsplanung!$K24)</f>
        <v>0</v>
      </c>
      <c r="D440" s="168">
        <f t="shared" si="129"/>
        <v>0</v>
      </c>
      <c r="E440" s="168">
        <f>IF(ISERROR(Personalplanung!H24/Monatsplanung!$E24*Monatsplanung!$K24),0,Personalplanung!H24/Monatsplanung!$E24*Monatsplanung!$K24)</f>
        <v>0</v>
      </c>
      <c r="F440" s="168">
        <f t="shared" si="130"/>
        <v>0</v>
      </c>
      <c r="G440" s="168">
        <f t="shared" si="131"/>
        <v>27.700831024930746</v>
      </c>
      <c r="H440" s="168">
        <f t="shared" si="132"/>
        <v>0</v>
      </c>
      <c r="I440" s="168">
        <f t="shared" si="133"/>
        <v>30</v>
      </c>
      <c r="J440" s="739"/>
      <c r="K440" s="168">
        <f>IF(J440&lt;&gt;"",J440,IF(ISERROR(Personalplanung!AB24/Monatsplanung!$E24*Monatsplanung!$K24),0,Personalplanung!AB24/Monatsplanung!$E24*Monatsplanung!$K24))</f>
        <v>0</v>
      </c>
      <c r="L440" s="740"/>
      <c r="M440" s="739"/>
      <c r="N440" s="168">
        <f>IF(M440&lt;&gt;"",M440,IF(ISERROR(Personalplanung!AC24/Monatsplanung!$E24*Monatsplanung!$K24),0,Personalplanung!AC24/Monatsplanung!$E24*Monatsplanung!$K24))</f>
        <v>0</v>
      </c>
      <c r="O440" s="740"/>
      <c r="P440" s="739"/>
      <c r="Q440" s="168">
        <f>IF(P440&lt;&gt;"",P440,IF(ISERROR(Personalplanung!AD24/Monatsplanung!$E24*Monatsplanung!$K24),0,Personalplanung!AD24/Monatsplanung!$E24*Monatsplanung!$K24))</f>
        <v>0</v>
      </c>
      <c r="R440" s="740"/>
      <c r="S440" s="739"/>
      <c r="T440" s="168">
        <f>IF(S440&lt;&gt;"",S440,IF(ISERROR(Personalplanung!AE24/Monatsplanung!$E24*Monatsplanung!$K24),0,Personalplanung!AE24/Monatsplanung!$E24*Monatsplanung!$K24))</f>
        <v>0</v>
      </c>
      <c r="U440" s="740"/>
      <c r="V440" s="168">
        <f t="shared" si="134"/>
        <v>0</v>
      </c>
      <c r="W440" s="168">
        <f>IF(ISERROR(Personalplanung!P24/Monatsplanung!$E24*Monatsplanung!$K24),0,Personalplanung!P24/Monatsplanung!$E24*Monatsplanung!$K24)</f>
        <v>0</v>
      </c>
      <c r="X440" s="168">
        <f>IF(ISERROR(Personalplanung!Q24/Monatsplanung!$E24*Monatsplanung!$K24),0,Personalplanung!Q24/Monatsplanung!$E24*Monatsplanung!$K24)</f>
        <v>0</v>
      </c>
      <c r="Y440" s="168">
        <f>IF(ISERROR(Personalplanung!R24/T1272*Stundencontrolling!T440),0,Personalplanung!R24/T1272*Stundencontrolling!T440)</f>
        <v>0</v>
      </c>
      <c r="Z440" s="168">
        <f>IF(ISERROR(Personalplanung!S24/Monatsplanung!$E24*Monatsplanung!$K24),0,Personalplanung!S24/Monatsplanung!$E24*Monatsplanung!$K24)</f>
        <v>0</v>
      </c>
      <c r="AA440" s="80">
        <f t="shared" si="135"/>
        <v>0</v>
      </c>
      <c r="AB440" s="102">
        <f t="shared" si="136"/>
        <v>0.1</v>
      </c>
      <c r="AC440" s="103">
        <f t="shared" si="137"/>
        <v>0</v>
      </c>
      <c r="AD440" s="103">
        <f t="shared" si="138"/>
        <v>0</v>
      </c>
      <c r="AE440" s="81">
        <f t="shared" si="139"/>
        <v>0</v>
      </c>
      <c r="AF440" s="539"/>
      <c r="AG440" s="104">
        <f t="shared" si="140"/>
        <v>1</v>
      </c>
      <c r="AH440" s="7">
        <f t="shared" si="141"/>
        <v>0</v>
      </c>
      <c r="AI440" s="6">
        <f t="shared" si="142"/>
        <v>0</v>
      </c>
      <c r="AJ440" s="73">
        <f t="shared" si="143"/>
        <v>0</v>
      </c>
      <c r="AK440" s="539"/>
      <c r="AL440" s="748"/>
      <c r="AM440" s="748"/>
    </row>
    <row r="441" spans="2:39" x14ac:dyDescent="0.2">
      <c r="B441" s="101" t="str">
        <f t="shared" si="128"/>
        <v/>
      </c>
      <c r="C441" s="168">
        <f>IF(ISERROR(Personalplanung!F25/Monatsplanung!$E25*Monatsplanung!$K25),0,Personalplanung!F25/Monatsplanung!$E25*Monatsplanung!$K25)</f>
        <v>0</v>
      </c>
      <c r="D441" s="168">
        <f t="shared" si="129"/>
        <v>0</v>
      </c>
      <c r="E441" s="168">
        <f>IF(ISERROR(Personalplanung!H25/Monatsplanung!$E25*Monatsplanung!$K25),0,Personalplanung!H25/Monatsplanung!$E25*Monatsplanung!$K25)</f>
        <v>0</v>
      </c>
      <c r="F441" s="168">
        <f t="shared" si="130"/>
        <v>0</v>
      </c>
      <c r="G441" s="168">
        <f t="shared" si="131"/>
        <v>27.700831024930746</v>
      </c>
      <c r="H441" s="168">
        <f t="shared" si="132"/>
        <v>0</v>
      </c>
      <c r="I441" s="168">
        <f t="shared" si="133"/>
        <v>30</v>
      </c>
      <c r="J441" s="739"/>
      <c r="K441" s="168">
        <f>IF(J441&lt;&gt;"",J441,IF(ISERROR(Personalplanung!AB25/Monatsplanung!$E25*Monatsplanung!$K25),0,Personalplanung!AB25/Monatsplanung!$E25*Monatsplanung!$K25))</f>
        <v>0</v>
      </c>
      <c r="L441" s="740"/>
      <c r="M441" s="739"/>
      <c r="N441" s="168">
        <f>IF(M441&lt;&gt;"",M441,IF(ISERROR(Personalplanung!AC25/Monatsplanung!$E25*Monatsplanung!$K25),0,Personalplanung!AC25/Monatsplanung!$E25*Monatsplanung!$K25))</f>
        <v>0</v>
      </c>
      <c r="O441" s="740"/>
      <c r="P441" s="739"/>
      <c r="Q441" s="168">
        <f>IF(P441&lt;&gt;"",P441,IF(ISERROR(Personalplanung!AD25/Monatsplanung!$E25*Monatsplanung!$K25),0,Personalplanung!AD25/Monatsplanung!$E25*Monatsplanung!$K25))</f>
        <v>0</v>
      </c>
      <c r="R441" s="740"/>
      <c r="S441" s="739"/>
      <c r="T441" s="168">
        <f>IF(S441&lt;&gt;"",S441,IF(ISERROR(Personalplanung!AE25/Monatsplanung!$E25*Monatsplanung!$K25),0,Personalplanung!AE25/Monatsplanung!$E25*Monatsplanung!$K25))</f>
        <v>0</v>
      </c>
      <c r="U441" s="740"/>
      <c r="V441" s="168">
        <f t="shared" si="134"/>
        <v>0</v>
      </c>
      <c r="W441" s="168">
        <f>IF(ISERROR(Personalplanung!P25/Monatsplanung!$E25*Monatsplanung!$K25),0,Personalplanung!P25/Monatsplanung!$E25*Monatsplanung!$K25)</f>
        <v>0</v>
      </c>
      <c r="X441" s="168">
        <f>IF(ISERROR(Personalplanung!Q25/Monatsplanung!$E25*Monatsplanung!$K25),0,Personalplanung!Q25/Monatsplanung!$E25*Monatsplanung!$K25)</f>
        <v>0</v>
      </c>
      <c r="Y441" s="168">
        <f>IF(ISERROR(Personalplanung!R25/T1273*Stundencontrolling!T441),0,Personalplanung!R25/T1273*Stundencontrolling!T441)</f>
        <v>0</v>
      </c>
      <c r="Z441" s="168">
        <f>IF(ISERROR(Personalplanung!S25/Monatsplanung!$E25*Monatsplanung!$K25),0,Personalplanung!S25/Monatsplanung!$E25*Monatsplanung!$K25)</f>
        <v>0</v>
      </c>
      <c r="AA441" s="80">
        <f t="shared" si="135"/>
        <v>0</v>
      </c>
      <c r="AB441" s="102">
        <f t="shared" si="136"/>
        <v>0.1</v>
      </c>
      <c r="AC441" s="103">
        <f t="shared" si="137"/>
        <v>0</v>
      </c>
      <c r="AD441" s="103">
        <f t="shared" si="138"/>
        <v>0</v>
      </c>
      <c r="AE441" s="81">
        <f t="shared" si="139"/>
        <v>0</v>
      </c>
      <c r="AF441" s="539"/>
      <c r="AG441" s="104">
        <f t="shared" si="140"/>
        <v>1</v>
      </c>
      <c r="AH441" s="7">
        <f t="shared" si="141"/>
        <v>0</v>
      </c>
      <c r="AI441" s="6">
        <f t="shared" si="142"/>
        <v>0</v>
      </c>
      <c r="AJ441" s="73">
        <f t="shared" si="143"/>
        <v>0</v>
      </c>
      <c r="AK441" s="539"/>
      <c r="AL441" s="748"/>
      <c r="AM441" s="748"/>
    </row>
    <row r="442" spans="2:39" x14ac:dyDescent="0.2">
      <c r="B442" s="101" t="str">
        <f t="shared" si="128"/>
        <v/>
      </c>
      <c r="C442" s="168">
        <f>IF(ISERROR(Personalplanung!F26/Monatsplanung!$E26*Monatsplanung!$K26),0,Personalplanung!F26/Monatsplanung!$E26*Monatsplanung!$K26)</f>
        <v>0</v>
      </c>
      <c r="D442" s="168">
        <f t="shared" si="129"/>
        <v>0</v>
      </c>
      <c r="E442" s="168">
        <f>IF(ISERROR(Personalplanung!H26/Monatsplanung!$E26*Monatsplanung!$K26),0,Personalplanung!H26/Monatsplanung!$E26*Monatsplanung!$K26)</f>
        <v>0</v>
      </c>
      <c r="F442" s="168">
        <f t="shared" si="130"/>
        <v>0</v>
      </c>
      <c r="G442" s="168">
        <f t="shared" si="131"/>
        <v>27.700831024930746</v>
      </c>
      <c r="H442" s="168">
        <f t="shared" si="132"/>
        <v>0</v>
      </c>
      <c r="I442" s="168">
        <f t="shared" si="133"/>
        <v>30</v>
      </c>
      <c r="J442" s="739"/>
      <c r="K442" s="168">
        <f>IF(J442&lt;&gt;"",J442,IF(ISERROR(Personalplanung!AB26/Monatsplanung!$E26*Monatsplanung!$K26),0,Personalplanung!AB26/Monatsplanung!$E26*Monatsplanung!$K26))</f>
        <v>0</v>
      </c>
      <c r="L442" s="740"/>
      <c r="M442" s="739"/>
      <c r="N442" s="168">
        <f>IF(M442&lt;&gt;"",M442,IF(ISERROR(Personalplanung!AC26/Monatsplanung!$E26*Monatsplanung!$K26),0,Personalplanung!AC26/Monatsplanung!$E26*Monatsplanung!$K26))</f>
        <v>0</v>
      </c>
      <c r="O442" s="740"/>
      <c r="P442" s="739"/>
      <c r="Q442" s="168">
        <f>IF(P442&lt;&gt;"",P442,IF(ISERROR(Personalplanung!AD26/Monatsplanung!$E26*Monatsplanung!$K26),0,Personalplanung!AD26/Monatsplanung!$E26*Monatsplanung!$K26))</f>
        <v>0</v>
      </c>
      <c r="R442" s="740"/>
      <c r="S442" s="739"/>
      <c r="T442" s="168">
        <f>IF(S442&lt;&gt;"",S442,IF(ISERROR(Personalplanung!AE26/Monatsplanung!$E26*Monatsplanung!$K26),0,Personalplanung!AE26/Monatsplanung!$E26*Monatsplanung!$K26))</f>
        <v>0</v>
      </c>
      <c r="U442" s="740"/>
      <c r="V442" s="168">
        <f t="shared" si="134"/>
        <v>0</v>
      </c>
      <c r="W442" s="168">
        <f>IF(ISERROR(Personalplanung!P26/Monatsplanung!$E26*Monatsplanung!$K26),0,Personalplanung!P26/Monatsplanung!$E26*Monatsplanung!$K26)</f>
        <v>0</v>
      </c>
      <c r="X442" s="168">
        <f>IF(ISERROR(Personalplanung!Q26/Monatsplanung!$E26*Monatsplanung!$K26),0,Personalplanung!Q26/Monatsplanung!$E26*Monatsplanung!$K26)</f>
        <v>0</v>
      </c>
      <c r="Y442" s="168">
        <f>IF(ISERROR(Personalplanung!R26/T1274*Stundencontrolling!T442),0,Personalplanung!R26/T1274*Stundencontrolling!T442)</f>
        <v>0</v>
      </c>
      <c r="Z442" s="168">
        <f>IF(ISERROR(Personalplanung!S26/Monatsplanung!$E26*Monatsplanung!$K26),0,Personalplanung!S26/Monatsplanung!$E26*Monatsplanung!$K26)</f>
        <v>0</v>
      </c>
      <c r="AA442" s="80">
        <f t="shared" si="135"/>
        <v>0</v>
      </c>
      <c r="AB442" s="102">
        <f t="shared" si="136"/>
        <v>0.1</v>
      </c>
      <c r="AC442" s="103">
        <f t="shared" si="137"/>
        <v>0</v>
      </c>
      <c r="AD442" s="103">
        <f t="shared" si="138"/>
        <v>0</v>
      </c>
      <c r="AE442" s="81">
        <f t="shared" si="139"/>
        <v>0</v>
      </c>
      <c r="AF442" s="539"/>
      <c r="AG442" s="104">
        <f t="shared" si="140"/>
        <v>1</v>
      </c>
      <c r="AH442" s="7">
        <f t="shared" si="141"/>
        <v>0</v>
      </c>
      <c r="AI442" s="6">
        <f t="shared" si="142"/>
        <v>0</v>
      </c>
      <c r="AJ442" s="73">
        <f t="shared" si="143"/>
        <v>0</v>
      </c>
      <c r="AK442" s="539"/>
      <c r="AL442" s="748"/>
      <c r="AM442" s="748"/>
    </row>
    <row r="443" spans="2:39" x14ac:dyDescent="0.2">
      <c r="B443" s="101" t="str">
        <f t="shared" si="128"/>
        <v/>
      </c>
      <c r="C443" s="168">
        <f>IF(ISERROR(Personalplanung!F27/Monatsplanung!$E27*Monatsplanung!$K27),0,Personalplanung!F27/Monatsplanung!$E27*Monatsplanung!$K27)</f>
        <v>0</v>
      </c>
      <c r="D443" s="168">
        <f t="shared" si="129"/>
        <v>0</v>
      </c>
      <c r="E443" s="168">
        <f>IF(ISERROR(Personalplanung!H27/Monatsplanung!$E27*Monatsplanung!$K27),0,Personalplanung!H27/Monatsplanung!$E27*Monatsplanung!$K27)</f>
        <v>0</v>
      </c>
      <c r="F443" s="168">
        <f t="shared" si="130"/>
        <v>0</v>
      </c>
      <c r="G443" s="168">
        <f t="shared" si="131"/>
        <v>27.700831024930746</v>
      </c>
      <c r="H443" s="168">
        <f t="shared" si="132"/>
        <v>0</v>
      </c>
      <c r="I443" s="168">
        <f t="shared" si="133"/>
        <v>30</v>
      </c>
      <c r="J443" s="739"/>
      <c r="K443" s="168">
        <f>IF(J443&lt;&gt;"",J443,IF(ISERROR(Personalplanung!AB27/Monatsplanung!$E27*Monatsplanung!$K27),0,Personalplanung!AB27/Monatsplanung!$E27*Monatsplanung!$K27))</f>
        <v>0</v>
      </c>
      <c r="L443" s="740"/>
      <c r="M443" s="739"/>
      <c r="N443" s="168">
        <f>IF(M443&lt;&gt;"",M443,IF(ISERROR(Personalplanung!AC27/Monatsplanung!$E27*Monatsplanung!$K27),0,Personalplanung!AC27/Monatsplanung!$E27*Monatsplanung!$K27))</f>
        <v>0</v>
      </c>
      <c r="O443" s="740"/>
      <c r="P443" s="739"/>
      <c r="Q443" s="168">
        <f>IF(P443&lt;&gt;"",P443,IF(ISERROR(Personalplanung!AD27/Monatsplanung!$E27*Monatsplanung!$K27),0,Personalplanung!AD27/Monatsplanung!$E27*Monatsplanung!$K27))</f>
        <v>0</v>
      </c>
      <c r="R443" s="740"/>
      <c r="S443" s="739"/>
      <c r="T443" s="168">
        <f>IF(S443&lt;&gt;"",S443,IF(ISERROR(Personalplanung!AE27/Monatsplanung!$E27*Monatsplanung!$K27),0,Personalplanung!AE27/Monatsplanung!$E27*Monatsplanung!$K27))</f>
        <v>0</v>
      </c>
      <c r="U443" s="740"/>
      <c r="V443" s="168">
        <f t="shared" si="134"/>
        <v>0</v>
      </c>
      <c r="W443" s="168">
        <f>IF(ISERROR(Personalplanung!P27/Monatsplanung!$E27*Monatsplanung!$K27),0,Personalplanung!P27/Monatsplanung!$E27*Monatsplanung!$K27)</f>
        <v>0</v>
      </c>
      <c r="X443" s="168">
        <f>IF(ISERROR(Personalplanung!Q27/Monatsplanung!$E27*Monatsplanung!$K27),0,Personalplanung!Q27/Monatsplanung!$E27*Monatsplanung!$K27)</f>
        <v>0</v>
      </c>
      <c r="Y443" s="168">
        <f>IF(ISERROR(Personalplanung!R27/T1275*Stundencontrolling!T443),0,Personalplanung!R27/T1275*Stundencontrolling!T443)</f>
        <v>0</v>
      </c>
      <c r="Z443" s="168">
        <f>IF(ISERROR(Personalplanung!S27/Monatsplanung!$E27*Monatsplanung!$K27),0,Personalplanung!S27/Monatsplanung!$E27*Monatsplanung!$K27)</f>
        <v>0</v>
      </c>
      <c r="AA443" s="80">
        <f t="shared" si="135"/>
        <v>0</v>
      </c>
      <c r="AB443" s="102">
        <f t="shared" si="136"/>
        <v>0.1</v>
      </c>
      <c r="AC443" s="103">
        <f t="shared" si="137"/>
        <v>0</v>
      </c>
      <c r="AD443" s="103">
        <f t="shared" si="138"/>
        <v>0</v>
      </c>
      <c r="AE443" s="81">
        <f t="shared" si="139"/>
        <v>0</v>
      </c>
      <c r="AF443" s="539"/>
      <c r="AG443" s="104">
        <f t="shared" si="140"/>
        <v>1</v>
      </c>
      <c r="AH443" s="7">
        <f t="shared" si="141"/>
        <v>0</v>
      </c>
      <c r="AI443" s="6">
        <f t="shared" si="142"/>
        <v>0</v>
      </c>
      <c r="AJ443" s="73">
        <f t="shared" si="143"/>
        <v>0</v>
      </c>
      <c r="AK443" s="539"/>
      <c r="AL443" s="748"/>
      <c r="AM443" s="748"/>
    </row>
    <row r="444" spans="2:39" x14ac:dyDescent="0.2">
      <c r="B444" s="101" t="str">
        <f t="shared" si="128"/>
        <v/>
      </c>
      <c r="C444" s="168">
        <f>IF(ISERROR(Personalplanung!F28/Monatsplanung!$E28*Monatsplanung!$K28),0,Personalplanung!F28/Monatsplanung!$E28*Monatsplanung!$K28)</f>
        <v>0</v>
      </c>
      <c r="D444" s="168">
        <f t="shared" si="129"/>
        <v>0</v>
      </c>
      <c r="E444" s="168">
        <f>IF(ISERROR(Personalplanung!H28/Monatsplanung!$E28*Monatsplanung!$K28),0,Personalplanung!H28/Monatsplanung!$E28*Monatsplanung!$K28)</f>
        <v>0</v>
      </c>
      <c r="F444" s="168">
        <f t="shared" si="130"/>
        <v>0</v>
      </c>
      <c r="G444" s="168">
        <f t="shared" si="131"/>
        <v>27.700831024930746</v>
      </c>
      <c r="H444" s="168">
        <f t="shared" si="132"/>
        <v>0</v>
      </c>
      <c r="I444" s="168">
        <f t="shared" si="133"/>
        <v>30</v>
      </c>
      <c r="J444" s="739"/>
      <c r="K444" s="168">
        <f>IF(J444&lt;&gt;"",J444,IF(ISERROR(Personalplanung!AB28/Monatsplanung!$E28*Monatsplanung!$K28),0,Personalplanung!AB28/Monatsplanung!$E28*Monatsplanung!$K28))</f>
        <v>0</v>
      </c>
      <c r="L444" s="740"/>
      <c r="M444" s="739"/>
      <c r="N444" s="168">
        <f>IF(M444&lt;&gt;"",M444,IF(ISERROR(Personalplanung!AC28/Monatsplanung!$E28*Monatsplanung!$K28),0,Personalplanung!AC28/Monatsplanung!$E28*Monatsplanung!$K28))</f>
        <v>0</v>
      </c>
      <c r="O444" s="740"/>
      <c r="P444" s="739"/>
      <c r="Q444" s="168">
        <f>IF(P444&lt;&gt;"",P444,IF(ISERROR(Personalplanung!AD28/Monatsplanung!$E28*Monatsplanung!$K28),0,Personalplanung!AD28/Monatsplanung!$E28*Monatsplanung!$K28))</f>
        <v>0</v>
      </c>
      <c r="R444" s="740"/>
      <c r="S444" s="739"/>
      <c r="T444" s="168">
        <f>IF(S444&lt;&gt;"",S444,IF(ISERROR(Personalplanung!AE28/Monatsplanung!$E28*Monatsplanung!$K28),0,Personalplanung!AE28/Monatsplanung!$E28*Monatsplanung!$K28))</f>
        <v>0</v>
      </c>
      <c r="U444" s="740"/>
      <c r="V444" s="168">
        <f t="shared" si="134"/>
        <v>0</v>
      </c>
      <c r="W444" s="168">
        <f>IF(ISERROR(Personalplanung!P28/Monatsplanung!$E28*Monatsplanung!$K28),0,Personalplanung!P28/Monatsplanung!$E28*Monatsplanung!$K28)</f>
        <v>0</v>
      </c>
      <c r="X444" s="168">
        <f>IF(ISERROR(Personalplanung!Q28/Monatsplanung!$E28*Monatsplanung!$K28),0,Personalplanung!Q28/Monatsplanung!$E28*Monatsplanung!$K28)</f>
        <v>0</v>
      </c>
      <c r="Y444" s="168">
        <f>IF(ISERROR(Personalplanung!R28/T1276*Stundencontrolling!T444),0,Personalplanung!R28/T1276*Stundencontrolling!T444)</f>
        <v>0</v>
      </c>
      <c r="Z444" s="168">
        <f>IF(ISERROR(Personalplanung!S28/Monatsplanung!$E28*Monatsplanung!$K28),0,Personalplanung!S28/Monatsplanung!$E28*Monatsplanung!$K28)</f>
        <v>0</v>
      </c>
      <c r="AA444" s="80">
        <f t="shared" si="135"/>
        <v>0</v>
      </c>
      <c r="AB444" s="102">
        <f t="shared" si="136"/>
        <v>0.1</v>
      </c>
      <c r="AC444" s="103">
        <f t="shared" si="137"/>
        <v>0</v>
      </c>
      <c r="AD444" s="103">
        <f t="shared" si="138"/>
        <v>0</v>
      </c>
      <c r="AE444" s="81">
        <f t="shared" si="139"/>
        <v>0</v>
      </c>
      <c r="AF444" s="539"/>
      <c r="AG444" s="104">
        <f t="shared" si="140"/>
        <v>1</v>
      </c>
      <c r="AH444" s="7">
        <f t="shared" si="141"/>
        <v>0</v>
      </c>
      <c r="AI444" s="6">
        <f t="shared" si="142"/>
        <v>0</v>
      </c>
      <c r="AJ444" s="73">
        <f t="shared" si="143"/>
        <v>0</v>
      </c>
      <c r="AK444" s="539"/>
      <c r="AL444" s="748"/>
      <c r="AM444" s="748"/>
    </row>
    <row r="445" spans="2:39" x14ac:dyDescent="0.2">
      <c r="B445" s="101" t="str">
        <f t="shared" si="128"/>
        <v/>
      </c>
      <c r="C445" s="168">
        <f>IF(ISERROR(Personalplanung!F29/Monatsplanung!$E29*Monatsplanung!$K29),0,Personalplanung!F29/Monatsplanung!$E29*Monatsplanung!$K29)</f>
        <v>0</v>
      </c>
      <c r="D445" s="168">
        <f t="shared" si="129"/>
        <v>0</v>
      </c>
      <c r="E445" s="168">
        <f>IF(ISERROR(Personalplanung!H29/Monatsplanung!$E29*Monatsplanung!$K29),0,Personalplanung!H29/Monatsplanung!$E29*Monatsplanung!$K29)</f>
        <v>0</v>
      </c>
      <c r="F445" s="168">
        <f t="shared" si="130"/>
        <v>0</v>
      </c>
      <c r="G445" s="168">
        <f t="shared" si="131"/>
        <v>27.700831024930746</v>
      </c>
      <c r="H445" s="168">
        <f t="shared" si="132"/>
        <v>0</v>
      </c>
      <c r="I445" s="168">
        <f t="shared" si="133"/>
        <v>30</v>
      </c>
      <c r="J445" s="739"/>
      <c r="K445" s="168">
        <f>IF(J445&lt;&gt;"",J445,IF(ISERROR(Personalplanung!AB29/Monatsplanung!$E29*Monatsplanung!$K29),0,Personalplanung!AB29/Monatsplanung!$E29*Monatsplanung!$K29))</f>
        <v>0</v>
      </c>
      <c r="L445" s="740"/>
      <c r="M445" s="739"/>
      <c r="N445" s="168">
        <f>IF(M445&lt;&gt;"",M445,IF(ISERROR(Personalplanung!AC29/Monatsplanung!$E29*Monatsplanung!$K29),0,Personalplanung!AC29/Monatsplanung!$E29*Monatsplanung!$K29))</f>
        <v>0</v>
      </c>
      <c r="O445" s="740"/>
      <c r="P445" s="739"/>
      <c r="Q445" s="168">
        <f>IF(P445&lt;&gt;"",P445,IF(ISERROR(Personalplanung!AD29/Monatsplanung!$E29*Monatsplanung!$K29),0,Personalplanung!AD29/Monatsplanung!$E29*Monatsplanung!$K29))</f>
        <v>0</v>
      </c>
      <c r="R445" s="740"/>
      <c r="S445" s="739"/>
      <c r="T445" s="168">
        <f>IF(S445&lt;&gt;"",S445,IF(ISERROR(Personalplanung!AE29/Monatsplanung!$E29*Monatsplanung!$K29),0,Personalplanung!AE29/Monatsplanung!$E29*Monatsplanung!$K29))</f>
        <v>0</v>
      </c>
      <c r="U445" s="740"/>
      <c r="V445" s="168">
        <f t="shared" si="134"/>
        <v>0</v>
      </c>
      <c r="W445" s="168">
        <f>IF(ISERROR(Personalplanung!P29/Monatsplanung!$E29*Monatsplanung!$K29),0,Personalplanung!P29/Monatsplanung!$E29*Monatsplanung!$K29)</f>
        <v>0</v>
      </c>
      <c r="X445" s="168">
        <f>IF(ISERROR(Personalplanung!Q29/Monatsplanung!$E29*Monatsplanung!$K29),0,Personalplanung!Q29/Monatsplanung!$E29*Monatsplanung!$K29)</f>
        <v>0</v>
      </c>
      <c r="Y445" s="168">
        <f>IF(ISERROR(Personalplanung!R29/T1277*Stundencontrolling!T445),0,Personalplanung!R29/T1277*Stundencontrolling!T445)</f>
        <v>0</v>
      </c>
      <c r="Z445" s="168">
        <f>IF(ISERROR(Personalplanung!S29/Monatsplanung!$E29*Monatsplanung!$K29),0,Personalplanung!S29/Monatsplanung!$E29*Monatsplanung!$K29)</f>
        <v>0</v>
      </c>
      <c r="AA445" s="80">
        <f t="shared" si="135"/>
        <v>0</v>
      </c>
      <c r="AB445" s="102">
        <f t="shared" si="136"/>
        <v>0.1</v>
      </c>
      <c r="AC445" s="103">
        <f t="shared" si="137"/>
        <v>0</v>
      </c>
      <c r="AD445" s="103">
        <f t="shared" si="138"/>
        <v>0</v>
      </c>
      <c r="AE445" s="81">
        <f t="shared" si="139"/>
        <v>0</v>
      </c>
      <c r="AF445" s="539"/>
      <c r="AG445" s="104">
        <f t="shared" si="140"/>
        <v>1</v>
      </c>
      <c r="AH445" s="7">
        <f t="shared" si="141"/>
        <v>0</v>
      </c>
      <c r="AI445" s="6">
        <f t="shared" si="142"/>
        <v>0</v>
      </c>
      <c r="AJ445" s="73">
        <f t="shared" si="143"/>
        <v>0</v>
      </c>
      <c r="AK445" s="539"/>
      <c r="AL445" s="748"/>
      <c r="AM445" s="748"/>
    </row>
    <row r="446" spans="2:39" x14ac:dyDescent="0.2">
      <c r="B446" s="101" t="str">
        <f t="shared" si="128"/>
        <v/>
      </c>
      <c r="C446" s="168">
        <f>IF(ISERROR(Personalplanung!F30/Monatsplanung!$E30*Monatsplanung!$K30),0,Personalplanung!F30/Monatsplanung!$E30*Monatsplanung!$K30)</f>
        <v>0</v>
      </c>
      <c r="D446" s="168">
        <f t="shared" si="129"/>
        <v>0</v>
      </c>
      <c r="E446" s="168">
        <f>IF(ISERROR(Personalplanung!H30/Monatsplanung!$E30*Monatsplanung!$K30),0,Personalplanung!H30/Monatsplanung!$E30*Monatsplanung!$K30)</f>
        <v>0</v>
      </c>
      <c r="F446" s="168">
        <f t="shared" si="130"/>
        <v>0</v>
      </c>
      <c r="G446" s="168">
        <f t="shared" si="131"/>
        <v>27.700831024930746</v>
      </c>
      <c r="H446" s="168">
        <f t="shared" si="132"/>
        <v>0</v>
      </c>
      <c r="I446" s="168">
        <f t="shared" si="133"/>
        <v>30</v>
      </c>
      <c r="J446" s="739"/>
      <c r="K446" s="168">
        <f>IF(J446&lt;&gt;"",J446,IF(ISERROR(Personalplanung!AB30/Monatsplanung!$E30*Monatsplanung!$K30),0,Personalplanung!AB30/Monatsplanung!$E30*Monatsplanung!$K30))</f>
        <v>0</v>
      </c>
      <c r="L446" s="740"/>
      <c r="M446" s="739"/>
      <c r="N446" s="168">
        <f>IF(M446&lt;&gt;"",M446,IF(ISERROR(Personalplanung!AC30/Monatsplanung!$E30*Monatsplanung!$K30),0,Personalplanung!AC30/Monatsplanung!$E30*Monatsplanung!$K30))</f>
        <v>0</v>
      </c>
      <c r="O446" s="740"/>
      <c r="P446" s="739"/>
      <c r="Q446" s="168">
        <f>IF(P446&lt;&gt;"",P446,IF(ISERROR(Personalplanung!AD30/Monatsplanung!$E30*Monatsplanung!$K30),0,Personalplanung!AD30/Monatsplanung!$E30*Monatsplanung!$K30))</f>
        <v>0</v>
      </c>
      <c r="R446" s="740"/>
      <c r="S446" s="739"/>
      <c r="T446" s="168">
        <f>IF(S446&lt;&gt;"",S446,IF(ISERROR(Personalplanung!AE30/Monatsplanung!$E30*Monatsplanung!$K30),0,Personalplanung!AE30/Monatsplanung!$E30*Monatsplanung!$K30))</f>
        <v>0</v>
      </c>
      <c r="U446" s="740"/>
      <c r="V446" s="168">
        <f t="shared" si="134"/>
        <v>0</v>
      </c>
      <c r="W446" s="168">
        <f>IF(ISERROR(Personalplanung!P30/Monatsplanung!$E30*Monatsplanung!$K30),0,Personalplanung!P30/Monatsplanung!$E30*Monatsplanung!$K30)</f>
        <v>0</v>
      </c>
      <c r="X446" s="168">
        <f>IF(ISERROR(Personalplanung!Q30/Monatsplanung!$E30*Monatsplanung!$K30),0,Personalplanung!Q30/Monatsplanung!$E30*Monatsplanung!$K30)</f>
        <v>0</v>
      </c>
      <c r="Y446" s="168">
        <f>IF(ISERROR(Personalplanung!R30/T1278*Stundencontrolling!T446),0,Personalplanung!R30/T1278*Stundencontrolling!T446)</f>
        <v>0</v>
      </c>
      <c r="Z446" s="168">
        <f>IF(ISERROR(Personalplanung!S30/Monatsplanung!$E30*Monatsplanung!$K30),0,Personalplanung!S30/Monatsplanung!$E30*Monatsplanung!$K30)</f>
        <v>0</v>
      </c>
      <c r="AA446" s="80">
        <f t="shared" si="135"/>
        <v>0</v>
      </c>
      <c r="AB446" s="102">
        <f t="shared" si="136"/>
        <v>0.1</v>
      </c>
      <c r="AC446" s="103">
        <f t="shared" si="137"/>
        <v>0</v>
      </c>
      <c r="AD446" s="103">
        <f t="shared" si="138"/>
        <v>0</v>
      </c>
      <c r="AE446" s="81">
        <f t="shared" si="139"/>
        <v>0</v>
      </c>
      <c r="AF446" s="539"/>
      <c r="AG446" s="104">
        <f t="shared" si="140"/>
        <v>1</v>
      </c>
      <c r="AH446" s="7">
        <f t="shared" si="141"/>
        <v>0</v>
      </c>
      <c r="AI446" s="6">
        <f t="shared" si="142"/>
        <v>0</v>
      </c>
      <c r="AJ446" s="73">
        <f t="shared" si="143"/>
        <v>0</v>
      </c>
      <c r="AK446" s="539"/>
      <c r="AL446" s="748"/>
      <c r="AM446" s="748"/>
    </row>
    <row r="447" spans="2:39" x14ac:dyDescent="0.2">
      <c r="B447" s="101" t="str">
        <f t="shared" si="128"/>
        <v/>
      </c>
      <c r="C447" s="168">
        <f>IF(ISERROR(Personalplanung!F31/Monatsplanung!$E31*Monatsplanung!$K31),0,Personalplanung!F31/Monatsplanung!$E31*Monatsplanung!$K31)</f>
        <v>0</v>
      </c>
      <c r="D447" s="168">
        <f t="shared" si="129"/>
        <v>0</v>
      </c>
      <c r="E447" s="168">
        <f>IF(ISERROR(Personalplanung!H31/Monatsplanung!$E31*Monatsplanung!$K31),0,Personalplanung!H31/Monatsplanung!$E31*Monatsplanung!$K31)</f>
        <v>0</v>
      </c>
      <c r="F447" s="168">
        <f t="shared" si="130"/>
        <v>0</v>
      </c>
      <c r="G447" s="168">
        <f t="shared" si="131"/>
        <v>27.700831024930746</v>
      </c>
      <c r="H447" s="168">
        <f t="shared" si="132"/>
        <v>0</v>
      </c>
      <c r="I447" s="168">
        <f t="shared" si="133"/>
        <v>30</v>
      </c>
      <c r="J447" s="739"/>
      <c r="K447" s="168">
        <f>IF(J447&lt;&gt;"",J447,IF(ISERROR(Personalplanung!AB31/Monatsplanung!$E31*Monatsplanung!$K31),0,Personalplanung!AB31/Monatsplanung!$E31*Monatsplanung!$K31))</f>
        <v>0</v>
      </c>
      <c r="L447" s="740"/>
      <c r="M447" s="739"/>
      <c r="N447" s="168">
        <f>IF(M447&lt;&gt;"",M447,IF(ISERROR(Personalplanung!AC31/Monatsplanung!$E31*Monatsplanung!$K31),0,Personalplanung!AC31/Monatsplanung!$E31*Monatsplanung!$K31))</f>
        <v>0</v>
      </c>
      <c r="O447" s="740"/>
      <c r="P447" s="739"/>
      <c r="Q447" s="168">
        <f>IF(P447&lt;&gt;"",P447,IF(ISERROR(Personalplanung!AD31/Monatsplanung!$E31*Monatsplanung!$K31),0,Personalplanung!AD31/Monatsplanung!$E31*Monatsplanung!$K31))</f>
        <v>0</v>
      </c>
      <c r="R447" s="740"/>
      <c r="S447" s="739"/>
      <c r="T447" s="168">
        <f>IF(S447&lt;&gt;"",S447,IF(ISERROR(Personalplanung!AE31/Monatsplanung!$E31*Monatsplanung!$K31),0,Personalplanung!AE31/Monatsplanung!$E31*Monatsplanung!$K31))</f>
        <v>0</v>
      </c>
      <c r="U447" s="740"/>
      <c r="V447" s="168">
        <f t="shared" si="134"/>
        <v>0</v>
      </c>
      <c r="W447" s="168">
        <f>IF(ISERROR(Personalplanung!P31/Monatsplanung!$E31*Monatsplanung!$K31),0,Personalplanung!P31/Monatsplanung!$E31*Monatsplanung!$K31)</f>
        <v>0</v>
      </c>
      <c r="X447" s="168">
        <f>IF(ISERROR(Personalplanung!Q31/Monatsplanung!$E31*Monatsplanung!$K31),0,Personalplanung!Q31/Monatsplanung!$E31*Monatsplanung!$K31)</f>
        <v>0</v>
      </c>
      <c r="Y447" s="168">
        <f>IF(ISERROR(Personalplanung!R31/T1279*Stundencontrolling!T447),0,Personalplanung!R31/T1279*Stundencontrolling!T447)</f>
        <v>0</v>
      </c>
      <c r="Z447" s="168">
        <f>IF(ISERROR(Personalplanung!S31/Monatsplanung!$E31*Monatsplanung!$K31),0,Personalplanung!S31/Monatsplanung!$E31*Monatsplanung!$K31)</f>
        <v>0</v>
      </c>
      <c r="AA447" s="80">
        <f t="shared" si="135"/>
        <v>0</v>
      </c>
      <c r="AB447" s="102">
        <f t="shared" si="136"/>
        <v>0.1</v>
      </c>
      <c r="AC447" s="103">
        <f t="shared" si="137"/>
        <v>0</v>
      </c>
      <c r="AD447" s="103">
        <f t="shared" si="138"/>
        <v>0</v>
      </c>
      <c r="AE447" s="81">
        <f t="shared" si="139"/>
        <v>0</v>
      </c>
      <c r="AF447" s="539"/>
      <c r="AG447" s="104">
        <f t="shared" si="140"/>
        <v>1</v>
      </c>
      <c r="AH447" s="7">
        <f t="shared" si="141"/>
        <v>0</v>
      </c>
      <c r="AI447" s="6">
        <f t="shared" si="142"/>
        <v>0</v>
      </c>
      <c r="AJ447" s="73">
        <f t="shared" si="143"/>
        <v>0</v>
      </c>
      <c r="AK447" s="539"/>
      <c r="AL447" s="748"/>
      <c r="AM447" s="748"/>
    </row>
    <row r="448" spans="2:39" x14ac:dyDescent="0.2">
      <c r="B448" s="101" t="str">
        <f t="shared" si="128"/>
        <v/>
      </c>
      <c r="C448" s="168">
        <f>IF(ISERROR(Personalplanung!F32/Monatsplanung!$E32*Monatsplanung!$K32),0,Personalplanung!F32/Monatsplanung!$E32*Monatsplanung!$K32)</f>
        <v>0</v>
      </c>
      <c r="D448" s="168">
        <f t="shared" si="129"/>
        <v>0</v>
      </c>
      <c r="E448" s="168">
        <f>IF(ISERROR(Personalplanung!H32/Monatsplanung!$E32*Monatsplanung!$K32),0,Personalplanung!H32/Monatsplanung!$E32*Monatsplanung!$K32)</f>
        <v>0</v>
      </c>
      <c r="F448" s="168">
        <f t="shared" si="130"/>
        <v>0</v>
      </c>
      <c r="G448" s="168">
        <f t="shared" si="131"/>
        <v>27.700831024930746</v>
      </c>
      <c r="H448" s="168">
        <f t="shared" si="132"/>
        <v>0</v>
      </c>
      <c r="I448" s="168">
        <f t="shared" si="133"/>
        <v>30</v>
      </c>
      <c r="J448" s="739"/>
      <c r="K448" s="168">
        <f>IF(J448&lt;&gt;"",J448,IF(ISERROR(Personalplanung!AB32/Monatsplanung!$E32*Monatsplanung!$K32),0,Personalplanung!AB32/Monatsplanung!$E32*Monatsplanung!$K32))</f>
        <v>0</v>
      </c>
      <c r="L448" s="740"/>
      <c r="M448" s="739"/>
      <c r="N448" s="168">
        <f>IF(M448&lt;&gt;"",M448,IF(ISERROR(Personalplanung!AC32/Monatsplanung!$E32*Monatsplanung!$K32),0,Personalplanung!AC32/Monatsplanung!$E32*Monatsplanung!$K32))</f>
        <v>0</v>
      </c>
      <c r="O448" s="740"/>
      <c r="P448" s="739"/>
      <c r="Q448" s="168">
        <f>IF(P448&lt;&gt;"",P448,IF(ISERROR(Personalplanung!AD32/Monatsplanung!$E32*Monatsplanung!$K32),0,Personalplanung!AD32/Monatsplanung!$E32*Monatsplanung!$K32))</f>
        <v>0</v>
      </c>
      <c r="R448" s="740"/>
      <c r="S448" s="739"/>
      <c r="T448" s="168">
        <f>IF(S448&lt;&gt;"",S448,IF(ISERROR(Personalplanung!AE32/Monatsplanung!$E32*Monatsplanung!$K32),0,Personalplanung!AE32/Monatsplanung!$E32*Monatsplanung!$K32))</f>
        <v>0</v>
      </c>
      <c r="U448" s="740"/>
      <c r="V448" s="168">
        <f t="shared" si="134"/>
        <v>0</v>
      </c>
      <c r="W448" s="168">
        <f>IF(ISERROR(Personalplanung!P32/Monatsplanung!$E32*Monatsplanung!$K32),0,Personalplanung!P32/Monatsplanung!$E32*Monatsplanung!$K32)</f>
        <v>0</v>
      </c>
      <c r="X448" s="168">
        <f>IF(ISERROR(Personalplanung!Q32/Monatsplanung!$E32*Monatsplanung!$K32),0,Personalplanung!Q32/Monatsplanung!$E32*Monatsplanung!$K32)</f>
        <v>0</v>
      </c>
      <c r="Y448" s="168">
        <f>IF(ISERROR(Personalplanung!R32/T1280*Stundencontrolling!T448),0,Personalplanung!R32/T1280*Stundencontrolling!T448)</f>
        <v>0</v>
      </c>
      <c r="Z448" s="168">
        <f>IF(ISERROR(Personalplanung!S32/Monatsplanung!$E32*Monatsplanung!$K32),0,Personalplanung!S32/Monatsplanung!$E32*Monatsplanung!$K32)</f>
        <v>0</v>
      </c>
      <c r="AA448" s="80">
        <f t="shared" si="135"/>
        <v>0</v>
      </c>
      <c r="AB448" s="102">
        <f t="shared" si="136"/>
        <v>0.1</v>
      </c>
      <c r="AC448" s="103">
        <f t="shared" si="137"/>
        <v>0</v>
      </c>
      <c r="AD448" s="103">
        <f t="shared" si="138"/>
        <v>0</v>
      </c>
      <c r="AE448" s="81">
        <f t="shared" si="139"/>
        <v>0</v>
      </c>
      <c r="AF448" s="539"/>
      <c r="AG448" s="104">
        <f t="shared" si="140"/>
        <v>1</v>
      </c>
      <c r="AH448" s="7">
        <f t="shared" si="141"/>
        <v>0</v>
      </c>
      <c r="AI448" s="6">
        <f t="shared" si="142"/>
        <v>0</v>
      </c>
      <c r="AJ448" s="73">
        <f t="shared" si="143"/>
        <v>0</v>
      </c>
      <c r="AK448" s="539"/>
      <c r="AL448" s="748"/>
      <c r="AM448" s="748"/>
    </row>
    <row r="449" spans="2:39" x14ac:dyDescent="0.2">
      <c r="B449" s="101" t="str">
        <f t="shared" si="128"/>
        <v/>
      </c>
      <c r="C449" s="168">
        <f>IF(ISERROR(Personalplanung!F33/Monatsplanung!$E33*Monatsplanung!$K33),0,Personalplanung!F33/Monatsplanung!$E33*Monatsplanung!$K33)</f>
        <v>0</v>
      </c>
      <c r="D449" s="168">
        <f t="shared" si="129"/>
        <v>0</v>
      </c>
      <c r="E449" s="168">
        <f>IF(ISERROR(Personalplanung!H33/Monatsplanung!$E33*Monatsplanung!$K33),0,Personalplanung!H33/Monatsplanung!$E33*Monatsplanung!$K33)</f>
        <v>0</v>
      </c>
      <c r="F449" s="168">
        <f t="shared" si="130"/>
        <v>0</v>
      </c>
      <c r="G449" s="168">
        <f t="shared" si="131"/>
        <v>27.700831024930746</v>
      </c>
      <c r="H449" s="168">
        <f t="shared" si="132"/>
        <v>0</v>
      </c>
      <c r="I449" s="168">
        <f t="shared" si="133"/>
        <v>30</v>
      </c>
      <c r="J449" s="739"/>
      <c r="K449" s="168">
        <f>IF(J449&lt;&gt;"",J449,IF(ISERROR(Personalplanung!AB33/Monatsplanung!$E33*Monatsplanung!$K33),0,Personalplanung!AB33/Monatsplanung!$E33*Monatsplanung!$K33))</f>
        <v>0</v>
      </c>
      <c r="L449" s="740"/>
      <c r="M449" s="739"/>
      <c r="N449" s="168">
        <f>IF(M449&lt;&gt;"",M449,IF(ISERROR(Personalplanung!AC33/Monatsplanung!$E33*Monatsplanung!$K33),0,Personalplanung!AC33/Monatsplanung!$E33*Monatsplanung!$K33))</f>
        <v>0</v>
      </c>
      <c r="O449" s="740"/>
      <c r="P449" s="739"/>
      <c r="Q449" s="168">
        <f>IF(P449&lt;&gt;"",P449,IF(ISERROR(Personalplanung!AD33/Monatsplanung!$E33*Monatsplanung!$K33),0,Personalplanung!AD33/Monatsplanung!$E33*Monatsplanung!$K33))</f>
        <v>0</v>
      </c>
      <c r="R449" s="740"/>
      <c r="S449" s="739"/>
      <c r="T449" s="168">
        <f>IF(S449&lt;&gt;"",S449,IF(ISERROR(Personalplanung!AE33/Monatsplanung!$E33*Monatsplanung!$K33),0,Personalplanung!AE33/Monatsplanung!$E33*Monatsplanung!$K33))</f>
        <v>0</v>
      </c>
      <c r="U449" s="740"/>
      <c r="V449" s="168">
        <f t="shared" si="134"/>
        <v>0</v>
      </c>
      <c r="W449" s="168">
        <f>IF(ISERROR(Personalplanung!P33/Monatsplanung!$E33*Monatsplanung!$K33),0,Personalplanung!P33/Monatsplanung!$E33*Monatsplanung!$K33)</f>
        <v>0</v>
      </c>
      <c r="X449" s="168">
        <f>IF(ISERROR(Personalplanung!Q33/Monatsplanung!$E33*Monatsplanung!$K33),0,Personalplanung!Q33/Monatsplanung!$E33*Monatsplanung!$K33)</f>
        <v>0</v>
      </c>
      <c r="Y449" s="168">
        <f>IF(ISERROR(Personalplanung!R33/T1281*Stundencontrolling!T449),0,Personalplanung!R33/T1281*Stundencontrolling!T449)</f>
        <v>0</v>
      </c>
      <c r="Z449" s="168">
        <f>IF(ISERROR(Personalplanung!S33/Monatsplanung!$E33*Monatsplanung!$K33),0,Personalplanung!S33/Monatsplanung!$E33*Monatsplanung!$K33)</f>
        <v>0</v>
      </c>
      <c r="AA449" s="80">
        <f t="shared" si="135"/>
        <v>0</v>
      </c>
      <c r="AB449" s="102">
        <f t="shared" si="136"/>
        <v>0.1</v>
      </c>
      <c r="AC449" s="103">
        <f t="shared" si="137"/>
        <v>0</v>
      </c>
      <c r="AD449" s="103">
        <f t="shared" si="138"/>
        <v>0</v>
      </c>
      <c r="AE449" s="81">
        <f t="shared" si="139"/>
        <v>0</v>
      </c>
      <c r="AF449" s="539"/>
      <c r="AG449" s="104">
        <f t="shared" si="140"/>
        <v>1</v>
      </c>
      <c r="AH449" s="7">
        <f t="shared" si="141"/>
        <v>0</v>
      </c>
      <c r="AI449" s="6">
        <f t="shared" si="142"/>
        <v>0</v>
      </c>
      <c r="AJ449" s="73">
        <f t="shared" si="143"/>
        <v>0</v>
      </c>
      <c r="AK449" s="539"/>
      <c r="AL449" s="748"/>
      <c r="AM449" s="748"/>
    </row>
    <row r="450" spans="2:39" x14ac:dyDescent="0.2">
      <c r="B450" s="101" t="str">
        <f t="shared" si="128"/>
        <v/>
      </c>
      <c r="C450" s="168">
        <f>IF(ISERROR(Personalplanung!F34/Monatsplanung!$E34*Monatsplanung!$K34),0,Personalplanung!F34/Monatsplanung!$E34*Monatsplanung!$K34)</f>
        <v>0</v>
      </c>
      <c r="D450" s="168">
        <f t="shared" si="129"/>
        <v>0</v>
      </c>
      <c r="E450" s="168">
        <f>IF(ISERROR(Personalplanung!H34/Monatsplanung!$E34*Monatsplanung!$K34),0,Personalplanung!H34/Monatsplanung!$E34*Monatsplanung!$K34)</f>
        <v>0</v>
      </c>
      <c r="F450" s="168">
        <f t="shared" si="130"/>
        <v>0</v>
      </c>
      <c r="G450" s="168">
        <f t="shared" si="131"/>
        <v>27.700831024930746</v>
      </c>
      <c r="H450" s="168">
        <f t="shared" si="132"/>
        <v>0</v>
      </c>
      <c r="I450" s="168">
        <f t="shared" si="133"/>
        <v>30</v>
      </c>
      <c r="J450" s="739"/>
      <c r="K450" s="168">
        <f>IF(J450&lt;&gt;"",J450,IF(ISERROR(Personalplanung!AB34/Monatsplanung!$E34*Monatsplanung!$K34),0,Personalplanung!AB34/Monatsplanung!$E34*Monatsplanung!$K34))</f>
        <v>0</v>
      </c>
      <c r="L450" s="740"/>
      <c r="M450" s="739"/>
      <c r="N450" s="168">
        <f>IF(M450&lt;&gt;"",M450,IF(ISERROR(Personalplanung!AC34/Monatsplanung!$E34*Monatsplanung!$K34),0,Personalplanung!AC34/Monatsplanung!$E34*Monatsplanung!$K34))</f>
        <v>0</v>
      </c>
      <c r="O450" s="740"/>
      <c r="P450" s="739"/>
      <c r="Q450" s="168">
        <f>IF(P450&lt;&gt;"",P450,IF(ISERROR(Personalplanung!AD34/Monatsplanung!$E34*Monatsplanung!$K34),0,Personalplanung!AD34/Monatsplanung!$E34*Monatsplanung!$K34))</f>
        <v>0</v>
      </c>
      <c r="R450" s="740"/>
      <c r="S450" s="739"/>
      <c r="T450" s="168">
        <f>IF(S450&lt;&gt;"",S450,IF(ISERROR(Personalplanung!AE34/Monatsplanung!$E34*Monatsplanung!$K34),0,Personalplanung!AE34/Monatsplanung!$E34*Monatsplanung!$K34))</f>
        <v>0</v>
      </c>
      <c r="U450" s="740"/>
      <c r="V450" s="168">
        <f t="shared" si="134"/>
        <v>0</v>
      </c>
      <c r="W450" s="168">
        <f>IF(ISERROR(Personalplanung!P34/Monatsplanung!$E34*Monatsplanung!$K34),0,Personalplanung!P34/Monatsplanung!$E34*Monatsplanung!$K34)</f>
        <v>0</v>
      </c>
      <c r="X450" s="168">
        <f>IF(ISERROR(Personalplanung!Q34/Monatsplanung!$E34*Monatsplanung!$K34),0,Personalplanung!Q34/Monatsplanung!$E34*Monatsplanung!$K34)</f>
        <v>0</v>
      </c>
      <c r="Y450" s="168">
        <f>IF(ISERROR(Personalplanung!R34/T1282*Stundencontrolling!T450),0,Personalplanung!R34/T1282*Stundencontrolling!T450)</f>
        <v>0</v>
      </c>
      <c r="Z450" s="168">
        <f>IF(ISERROR(Personalplanung!S34/Monatsplanung!$E34*Monatsplanung!$K34),0,Personalplanung!S34/Monatsplanung!$E34*Monatsplanung!$K34)</f>
        <v>0</v>
      </c>
      <c r="AA450" s="80">
        <f t="shared" si="135"/>
        <v>0</v>
      </c>
      <c r="AB450" s="102">
        <f t="shared" si="136"/>
        <v>0.1</v>
      </c>
      <c r="AC450" s="103">
        <f t="shared" si="137"/>
        <v>0</v>
      </c>
      <c r="AD450" s="103">
        <f t="shared" si="138"/>
        <v>0</v>
      </c>
      <c r="AE450" s="81">
        <f t="shared" si="139"/>
        <v>0</v>
      </c>
      <c r="AF450" s="539"/>
      <c r="AG450" s="104">
        <f t="shared" si="140"/>
        <v>1</v>
      </c>
      <c r="AH450" s="7">
        <f t="shared" si="141"/>
        <v>0</v>
      </c>
      <c r="AI450" s="6">
        <f t="shared" si="142"/>
        <v>0</v>
      </c>
      <c r="AJ450" s="73">
        <f t="shared" si="143"/>
        <v>0</v>
      </c>
      <c r="AK450" s="539"/>
      <c r="AL450" s="748"/>
      <c r="AM450" s="748"/>
    </row>
    <row r="451" spans="2:39" x14ac:dyDescent="0.2">
      <c r="B451" s="101" t="str">
        <f t="shared" si="128"/>
        <v/>
      </c>
      <c r="C451" s="168">
        <f>IF(ISERROR(Personalplanung!F35/Monatsplanung!$E35*Monatsplanung!$K35),0,Personalplanung!F35/Monatsplanung!$E35*Monatsplanung!$K35)</f>
        <v>0</v>
      </c>
      <c r="D451" s="168">
        <f t="shared" si="129"/>
        <v>0</v>
      </c>
      <c r="E451" s="168">
        <f>IF(ISERROR(Personalplanung!H35/Monatsplanung!$E35*Monatsplanung!$K35),0,Personalplanung!H35/Monatsplanung!$E35*Monatsplanung!$K35)</f>
        <v>0</v>
      </c>
      <c r="F451" s="168">
        <f t="shared" si="130"/>
        <v>0</v>
      </c>
      <c r="G451" s="168">
        <f t="shared" si="131"/>
        <v>27.700831024930746</v>
      </c>
      <c r="H451" s="168">
        <f t="shared" si="132"/>
        <v>0</v>
      </c>
      <c r="I451" s="168">
        <f t="shared" si="133"/>
        <v>30</v>
      </c>
      <c r="J451" s="739"/>
      <c r="K451" s="168">
        <f>IF(J451&lt;&gt;"",J451,IF(ISERROR(Personalplanung!AB35/Monatsplanung!$E35*Monatsplanung!$K35),0,Personalplanung!AB35/Monatsplanung!$E35*Monatsplanung!$K35))</f>
        <v>0</v>
      </c>
      <c r="L451" s="740"/>
      <c r="M451" s="739"/>
      <c r="N451" s="168">
        <f>IF(M451&lt;&gt;"",M451,IF(ISERROR(Personalplanung!AC35/Monatsplanung!$E35*Monatsplanung!$K35),0,Personalplanung!AC35/Monatsplanung!$E35*Monatsplanung!$K35))</f>
        <v>0</v>
      </c>
      <c r="O451" s="740"/>
      <c r="P451" s="739"/>
      <c r="Q451" s="168">
        <f>IF(P451&lt;&gt;"",P451,IF(ISERROR(Personalplanung!AD35/Monatsplanung!$E35*Monatsplanung!$K35),0,Personalplanung!AD35/Monatsplanung!$E35*Monatsplanung!$K35))</f>
        <v>0</v>
      </c>
      <c r="R451" s="740"/>
      <c r="S451" s="739"/>
      <c r="T451" s="168">
        <f>IF(S451&lt;&gt;"",S451,IF(ISERROR(Personalplanung!AE35/Monatsplanung!$E35*Monatsplanung!$K35),0,Personalplanung!AE35/Monatsplanung!$E35*Monatsplanung!$K35))</f>
        <v>0</v>
      </c>
      <c r="U451" s="740"/>
      <c r="V451" s="168">
        <f t="shared" si="134"/>
        <v>0</v>
      </c>
      <c r="W451" s="168">
        <f>IF(ISERROR(Personalplanung!P35/Monatsplanung!$E35*Monatsplanung!$K35),0,Personalplanung!P35/Monatsplanung!$E35*Monatsplanung!$K35)</f>
        <v>0</v>
      </c>
      <c r="X451" s="168">
        <f>IF(ISERROR(Personalplanung!Q35/Monatsplanung!$E35*Monatsplanung!$K35),0,Personalplanung!Q35/Monatsplanung!$E35*Monatsplanung!$K35)</f>
        <v>0</v>
      </c>
      <c r="Y451" s="168">
        <f>IF(ISERROR(Personalplanung!R35/T1283*Stundencontrolling!T451),0,Personalplanung!R35/T1283*Stundencontrolling!T451)</f>
        <v>0</v>
      </c>
      <c r="Z451" s="168">
        <f>IF(ISERROR(Personalplanung!S35/Monatsplanung!$E35*Monatsplanung!$K35),0,Personalplanung!S35/Monatsplanung!$E35*Monatsplanung!$K35)</f>
        <v>0</v>
      </c>
      <c r="AA451" s="80">
        <f t="shared" si="135"/>
        <v>0</v>
      </c>
      <c r="AB451" s="102">
        <f t="shared" si="136"/>
        <v>0.1</v>
      </c>
      <c r="AC451" s="103">
        <f t="shared" si="137"/>
        <v>0</v>
      </c>
      <c r="AD451" s="103">
        <f t="shared" si="138"/>
        <v>0</v>
      </c>
      <c r="AE451" s="81">
        <f t="shared" si="139"/>
        <v>0</v>
      </c>
      <c r="AF451" s="539"/>
      <c r="AG451" s="104">
        <f t="shared" si="140"/>
        <v>1</v>
      </c>
      <c r="AH451" s="7">
        <f t="shared" si="141"/>
        <v>0</v>
      </c>
      <c r="AI451" s="6">
        <f t="shared" si="142"/>
        <v>0</v>
      </c>
      <c r="AJ451" s="73">
        <f t="shared" si="143"/>
        <v>0</v>
      </c>
      <c r="AK451" s="539"/>
      <c r="AL451" s="748"/>
      <c r="AM451" s="748"/>
    </row>
    <row r="452" spans="2:39" x14ac:dyDescent="0.2">
      <c r="B452" s="101" t="str">
        <f t="shared" si="128"/>
        <v/>
      </c>
      <c r="C452" s="168">
        <f>IF(ISERROR(Personalplanung!F36/Monatsplanung!$E36*Monatsplanung!$K36),0,Personalplanung!F36/Monatsplanung!$E36*Monatsplanung!$K36)</f>
        <v>0</v>
      </c>
      <c r="D452" s="168">
        <f t="shared" si="129"/>
        <v>0</v>
      </c>
      <c r="E452" s="168">
        <f>IF(ISERROR(Personalplanung!H36/Monatsplanung!$E36*Monatsplanung!$K36),0,Personalplanung!H36/Monatsplanung!$E36*Monatsplanung!$K36)</f>
        <v>0</v>
      </c>
      <c r="F452" s="168">
        <f t="shared" si="130"/>
        <v>0</v>
      </c>
      <c r="G452" s="168">
        <f t="shared" si="131"/>
        <v>27.700831024930746</v>
      </c>
      <c r="H452" s="168">
        <f t="shared" si="132"/>
        <v>0</v>
      </c>
      <c r="I452" s="168">
        <f t="shared" si="133"/>
        <v>30</v>
      </c>
      <c r="J452" s="739"/>
      <c r="K452" s="168">
        <f>IF(J452&lt;&gt;"",J452,IF(ISERROR(Personalplanung!AB36/Monatsplanung!$E36*Monatsplanung!$K36),0,Personalplanung!AB36/Monatsplanung!$E36*Monatsplanung!$K36))</f>
        <v>0</v>
      </c>
      <c r="L452" s="740"/>
      <c r="M452" s="739"/>
      <c r="N452" s="168">
        <f>IF(M452&lt;&gt;"",M452,IF(ISERROR(Personalplanung!AC36/Monatsplanung!$E36*Monatsplanung!$K36),0,Personalplanung!AC36/Monatsplanung!$E36*Monatsplanung!$K36))</f>
        <v>0</v>
      </c>
      <c r="O452" s="740"/>
      <c r="P452" s="739"/>
      <c r="Q452" s="168">
        <f>IF(P452&lt;&gt;"",P452,IF(ISERROR(Personalplanung!AD36/Monatsplanung!$E36*Monatsplanung!$K36),0,Personalplanung!AD36/Monatsplanung!$E36*Monatsplanung!$K36))</f>
        <v>0</v>
      </c>
      <c r="R452" s="740"/>
      <c r="S452" s="739"/>
      <c r="T452" s="168">
        <f>IF(S452&lt;&gt;"",S452,IF(ISERROR(Personalplanung!AE36/Monatsplanung!$E36*Monatsplanung!$K36),0,Personalplanung!AE36/Monatsplanung!$E36*Monatsplanung!$K36))</f>
        <v>0</v>
      </c>
      <c r="U452" s="740"/>
      <c r="V452" s="168">
        <f t="shared" si="134"/>
        <v>0</v>
      </c>
      <c r="W452" s="168">
        <f>IF(ISERROR(Personalplanung!P36/Monatsplanung!$E36*Monatsplanung!$K36),0,Personalplanung!P36/Monatsplanung!$E36*Monatsplanung!$K36)</f>
        <v>0</v>
      </c>
      <c r="X452" s="168">
        <f>IF(ISERROR(Personalplanung!Q36/Monatsplanung!$E36*Monatsplanung!$K36),0,Personalplanung!Q36/Monatsplanung!$E36*Monatsplanung!$K36)</f>
        <v>0</v>
      </c>
      <c r="Y452" s="168">
        <f>IF(ISERROR(Personalplanung!R36/T1284*Stundencontrolling!T452),0,Personalplanung!R36/T1284*Stundencontrolling!T452)</f>
        <v>0</v>
      </c>
      <c r="Z452" s="168">
        <f>IF(ISERROR(Personalplanung!S36/Monatsplanung!$E36*Monatsplanung!$K36),0,Personalplanung!S36/Monatsplanung!$E36*Monatsplanung!$K36)</f>
        <v>0</v>
      </c>
      <c r="AA452" s="80">
        <f t="shared" si="135"/>
        <v>0</v>
      </c>
      <c r="AB452" s="102">
        <f t="shared" si="136"/>
        <v>0.1</v>
      </c>
      <c r="AC452" s="103">
        <f t="shared" si="137"/>
        <v>0</v>
      </c>
      <c r="AD452" s="103">
        <f t="shared" si="138"/>
        <v>0</v>
      </c>
      <c r="AE452" s="81">
        <f t="shared" si="139"/>
        <v>0</v>
      </c>
      <c r="AF452" s="539"/>
      <c r="AG452" s="104">
        <f t="shared" si="140"/>
        <v>1</v>
      </c>
      <c r="AH452" s="7">
        <f t="shared" si="141"/>
        <v>0</v>
      </c>
      <c r="AI452" s="6">
        <f t="shared" si="142"/>
        <v>0</v>
      </c>
      <c r="AJ452" s="73">
        <f t="shared" si="143"/>
        <v>0</v>
      </c>
      <c r="AK452" s="539"/>
      <c r="AL452" s="748"/>
      <c r="AM452" s="748"/>
    </row>
    <row r="453" spans="2:39" x14ac:dyDescent="0.2">
      <c r="B453" s="101" t="str">
        <f t="shared" si="128"/>
        <v/>
      </c>
      <c r="C453" s="168">
        <f>IF(ISERROR(Personalplanung!F37/Monatsplanung!$E37*Monatsplanung!$K37),0,Personalplanung!F37/Monatsplanung!$E37*Monatsplanung!$K37)</f>
        <v>0</v>
      </c>
      <c r="D453" s="168">
        <f t="shared" si="129"/>
        <v>0</v>
      </c>
      <c r="E453" s="168">
        <f>IF(ISERROR(Personalplanung!H37/Monatsplanung!$E37*Monatsplanung!$K37),0,Personalplanung!H37/Monatsplanung!$E37*Monatsplanung!$K37)</f>
        <v>0</v>
      </c>
      <c r="F453" s="168">
        <f t="shared" si="130"/>
        <v>0</v>
      </c>
      <c r="G453" s="168">
        <f t="shared" si="131"/>
        <v>27.700831024930746</v>
      </c>
      <c r="H453" s="168">
        <f t="shared" si="132"/>
        <v>0</v>
      </c>
      <c r="I453" s="168">
        <f t="shared" si="133"/>
        <v>30</v>
      </c>
      <c r="J453" s="739"/>
      <c r="K453" s="168">
        <f>IF(J453&lt;&gt;"",J453,IF(ISERROR(Personalplanung!AB37/Monatsplanung!$E37*Monatsplanung!$K37),0,Personalplanung!AB37/Monatsplanung!$E37*Monatsplanung!$K37))</f>
        <v>0</v>
      </c>
      <c r="L453" s="740"/>
      <c r="M453" s="739"/>
      <c r="N453" s="168">
        <f>IF(M453&lt;&gt;"",M453,IF(ISERROR(Personalplanung!AC37/Monatsplanung!$E37*Monatsplanung!$K37),0,Personalplanung!AC37/Monatsplanung!$E37*Monatsplanung!$K37))</f>
        <v>0</v>
      </c>
      <c r="O453" s="740"/>
      <c r="P453" s="739"/>
      <c r="Q453" s="168">
        <f>IF(P453&lt;&gt;"",P453,IF(ISERROR(Personalplanung!AD37/Monatsplanung!$E37*Monatsplanung!$K37),0,Personalplanung!AD37/Monatsplanung!$E37*Monatsplanung!$K37))</f>
        <v>0</v>
      </c>
      <c r="R453" s="740"/>
      <c r="S453" s="739"/>
      <c r="T453" s="168">
        <f>IF(S453&lt;&gt;"",S453,IF(ISERROR(Personalplanung!AE37/Monatsplanung!$E37*Monatsplanung!$K37),0,Personalplanung!AE37/Monatsplanung!$E37*Monatsplanung!$K37))</f>
        <v>0</v>
      </c>
      <c r="U453" s="740"/>
      <c r="V453" s="168">
        <f t="shared" si="134"/>
        <v>0</v>
      </c>
      <c r="W453" s="168">
        <f>IF(ISERROR(Personalplanung!P37/Monatsplanung!$E37*Monatsplanung!$K37),0,Personalplanung!P37/Monatsplanung!$E37*Monatsplanung!$K37)</f>
        <v>0</v>
      </c>
      <c r="X453" s="168">
        <f>IF(ISERROR(Personalplanung!Q37/Monatsplanung!$E37*Monatsplanung!$K37),0,Personalplanung!Q37/Monatsplanung!$E37*Monatsplanung!$K37)</f>
        <v>0</v>
      </c>
      <c r="Y453" s="168">
        <f>IF(ISERROR(Personalplanung!R37/T1285*Stundencontrolling!T453),0,Personalplanung!R37/T1285*Stundencontrolling!T453)</f>
        <v>0</v>
      </c>
      <c r="Z453" s="168">
        <f>IF(ISERROR(Personalplanung!S37/Monatsplanung!$E37*Monatsplanung!$K37),0,Personalplanung!S37/Monatsplanung!$E37*Monatsplanung!$K37)</f>
        <v>0</v>
      </c>
      <c r="AA453" s="80">
        <f t="shared" si="135"/>
        <v>0</v>
      </c>
      <c r="AB453" s="102">
        <f t="shared" si="136"/>
        <v>0.1</v>
      </c>
      <c r="AC453" s="103">
        <f t="shared" si="137"/>
        <v>0</v>
      </c>
      <c r="AD453" s="103">
        <f t="shared" si="138"/>
        <v>0</v>
      </c>
      <c r="AE453" s="81">
        <f t="shared" si="139"/>
        <v>0</v>
      </c>
      <c r="AF453" s="539"/>
      <c r="AG453" s="104">
        <f t="shared" si="140"/>
        <v>1</v>
      </c>
      <c r="AH453" s="7">
        <f t="shared" si="141"/>
        <v>0</v>
      </c>
      <c r="AI453" s="6">
        <f t="shared" si="142"/>
        <v>0</v>
      </c>
      <c r="AJ453" s="73">
        <f t="shared" si="143"/>
        <v>0</v>
      </c>
      <c r="AK453" s="539"/>
      <c r="AL453" s="748"/>
      <c r="AM453" s="748"/>
    </row>
    <row r="454" spans="2:39" x14ac:dyDescent="0.2">
      <c r="B454" s="101" t="str">
        <f t="shared" si="128"/>
        <v/>
      </c>
      <c r="C454" s="168">
        <f>IF(ISERROR(Personalplanung!F38/Monatsplanung!$E38*Monatsplanung!$K38),0,Personalplanung!F38/Monatsplanung!$E38*Monatsplanung!$K38)</f>
        <v>0</v>
      </c>
      <c r="D454" s="168">
        <f t="shared" si="129"/>
        <v>0</v>
      </c>
      <c r="E454" s="168">
        <f>IF(ISERROR(Personalplanung!H38/Monatsplanung!$E38*Monatsplanung!$K38),0,Personalplanung!H38/Monatsplanung!$E38*Monatsplanung!$K38)</f>
        <v>0</v>
      </c>
      <c r="F454" s="168">
        <f t="shared" si="130"/>
        <v>0</v>
      </c>
      <c r="G454" s="168">
        <f t="shared" si="131"/>
        <v>27.700831024930746</v>
      </c>
      <c r="H454" s="168">
        <f t="shared" si="132"/>
        <v>0</v>
      </c>
      <c r="I454" s="168">
        <f t="shared" si="133"/>
        <v>30</v>
      </c>
      <c r="J454" s="739"/>
      <c r="K454" s="168">
        <f>IF(J454&lt;&gt;"",J454,IF(ISERROR(Personalplanung!AB38/Monatsplanung!$E38*Monatsplanung!$K38),0,Personalplanung!AB38/Monatsplanung!$E38*Monatsplanung!$K38))</f>
        <v>0</v>
      </c>
      <c r="L454" s="740"/>
      <c r="M454" s="739"/>
      <c r="N454" s="168">
        <f>IF(M454&lt;&gt;"",M454,IF(ISERROR(Personalplanung!AC38/Monatsplanung!$E38*Monatsplanung!$K38),0,Personalplanung!AC38/Monatsplanung!$E38*Monatsplanung!$K38))</f>
        <v>0</v>
      </c>
      <c r="O454" s="740"/>
      <c r="P454" s="739"/>
      <c r="Q454" s="168">
        <f>IF(P454&lt;&gt;"",P454,IF(ISERROR(Personalplanung!AD38/Monatsplanung!$E38*Monatsplanung!$K38),0,Personalplanung!AD38/Monatsplanung!$E38*Monatsplanung!$K38))</f>
        <v>0</v>
      </c>
      <c r="R454" s="740"/>
      <c r="S454" s="739"/>
      <c r="T454" s="168">
        <f>IF(S454&lt;&gt;"",S454,IF(ISERROR(Personalplanung!AE38/Monatsplanung!$E38*Monatsplanung!$K38),0,Personalplanung!AE38/Monatsplanung!$E38*Monatsplanung!$K38))</f>
        <v>0</v>
      </c>
      <c r="U454" s="740"/>
      <c r="V454" s="168">
        <f t="shared" si="134"/>
        <v>0</v>
      </c>
      <c r="W454" s="168">
        <f>IF(ISERROR(Personalplanung!P38/Monatsplanung!$E38*Monatsplanung!$K38),0,Personalplanung!P38/Monatsplanung!$E38*Monatsplanung!$K38)</f>
        <v>0</v>
      </c>
      <c r="X454" s="168">
        <f>IF(ISERROR(Personalplanung!Q38/Monatsplanung!$E38*Monatsplanung!$K38),0,Personalplanung!Q38/Monatsplanung!$E38*Monatsplanung!$K38)</f>
        <v>0</v>
      </c>
      <c r="Y454" s="168">
        <f>IF(ISERROR(Personalplanung!R38/T1286*Stundencontrolling!T454),0,Personalplanung!R38/T1286*Stundencontrolling!T454)</f>
        <v>0</v>
      </c>
      <c r="Z454" s="168">
        <f>IF(ISERROR(Personalplanung!S38/Monatsplanung!$E38*Monatsplanung!$K38),0,Personalplanung!S38/Monatsplanung!$E38*Monatsplanung!$K38)</f>
        <v>0</v>
      </c>
      <c r="AA454" s="80">
        <f t="shared" si="135"/>
        <v>0</v>
      </c>
      <c r="AB454" s="102">
        <f t="shared" si="136"/>
        <v>0.1</v>
      </c>
      <c r="AC454" s="103">
        <f t="shared" si="137"/>
        <v>0</v>
      </c>
      <c r="AD454" s="103">
        <f t="shared" si="138"/>
        <v>0</v>
      </c>
      <c r="AE454" s="81">
        <f t="shared" si="139"/>
        <v>0</v>
      </c>
      <c r="AF454" s="539"/>
      <c r="AG454" s="104">
        <f t="shared" si="140"/>
        <v>1</v>
      </c>
      <c r="AH454" s="7">
        <f t="shared" si="141"/>
        <v>0</v>
      </c>
      <c r="AI454" s="6">
        <f t="shared" si="142"/>
        <v>0</v>
      </c>
      <c r="AJ454" s="73">
        <f t="shared" si="143"/>
        <v>0</v>
      </c>
      <c r="AK454" s="539"/>
      <c r="AL454" s="748"/>
      <c r="AM454" s="748"/>
    </row>
    <row r="455" spans="2:39" x14ac:dyDescent="0.2">
      <c r="B455" s="101" t="str">
        <f t="shared" si="128"/>
        <v/>
      </c>
      <c r="C455" s="168">
        <f>IF(ISERROR(Personalplanung!F39/Monatsplanung!$E39*Monatsplanung!$K39),0,Personalplanung!F39/Monatsplanung!$E39*Monatsplanung!$K39)</f>
        <v>0</v>
      </c>
      <c r="D455" s="168">
        <f t="shared" si="129"/>
        <v>0</v>
      </c>
      <c r="E455" s="168">
        <f>IF(ISERROR(Personalplanung!H39/Monatsplanung!$E39*Monatsplanung!$K39),0,Personalplanung!H39/Monatsplanung!$E39*Monatsplanung!$K39)</f>
        <v>0</v>
      </c>
      <c r="F455" s="168">
        <f t="shared" si="130"/>
        <v>0</v>
      </c>
      <c r="G455" s="168">
        <f t="shared" si="131"/>
        <v>27.700831024930746</v>
      </c>
      <c r="H455" s="168">
        <f t="shared" si="132"/>
        <v>0</v>
      </c>
      <c r="I455" s="168">
        <f t="shared" si="133"/>
        <v>30</v>
      </c>
      <c r="J455" s="739"/>
      <c r="K455" s="168">
        <f>IF(J455&lt;&gt;"",J455,IF(ISERROR(Personalplanung!AB39/Monatsplanung!$E39*Monatsplanung!$K39),0,Personalplanung!AB39/Monatsplanung!$E39*Monatsplanung!$K39))</f>
        <v>0</v>
      </c>
      <c r="L455" s="740"/>
      <c r="M455" s="739"/>
      <c r="N455" s="168">
        <f>IF(M455&lt;&gt;"",M455,IF(ISERROR(Personalplanung!AC39/Monatsplanung!$E39*Monatsplanung!$K39),0,Personalplanung!AC39/Monatsplanung!$E39*Monatsplanung!$K39))</f>
        <v>0</v>
      </c>
      <c r="O455" s="740"/>
      <c r="P455" s="739"/>
      <c r="Q455" s="168">
        <f>IF(P455&lt;&gt;"",P455,IF(ISERROR(Personalplanung!AD39/Monatsplanung!$E39*Monatsplanung!$K39),0,Personalplanung!AD39/Monatsplanung!$E39*Monatsplanung!$K39))</f>
        <v>0</v>
      </c>
      <c r="R455" s="740"/>
      <c r="S455" s="739"/>
      <c r="T455" s="168">
        <f>IF(S455&lt;&gt;"",S455,IF(ISERROR(Personalplanung!AE39/Monatsplanung!$E39*Monatsplanung!$K39),0,Personalplanung!AE39/Monatsplanung!$E39*Monatsplanung!$K39))</f>
        <v>0</v>
      </c>
      <c r="U455" s="740"/>
      <c r="V455" s="168">
        <f t="shared" si="134"/>
        <v>0</v>
      </c>
      <c r="W455" s="168">
        <f>IF(ISERROR(Personalplanung!P39/Monatsplanung!$E39*Monatsplanung!$K39),0,Personalplanung!P39/Monatsplanung!$E39*Monatsplanung!$K39)</f>
        <v>0</v>
      </c>
      <c r="X455" s="168">
        <f>IF(ISERROR(Personalplanung!Q39/Monatsplanung!$E39*Monatsplanung!$K39),0,Personalplanung!Q39/Monatsplanung!$E39*Monatsplanung!$K39)</f>
        <v>0</v>
      </c>
      <c r="Y455" s="168">
        <f>IF(ISERROR(Personalplanung!R39/T1287*Stundencontrolling!T455),0,Personalplanung!R39/T1287*Stundencontrolling!T455)</f>
        <v>0</v>
      </c>
      <c r="Z455" s="168">
        <f>IF(ISERROR(Personalplanung!S39/Monatsplanung!$E39*Monatsplanung!$K39),0,Personalplanung!S39/Monatsplanung!$E39*Monatsplanung!$K39)</f>
        <v>0</v>
      </c>
      <c r="AA455" s="80">
        <f t="shared" si="135"/>
        <v>0</v>
      </c>
      <c r="AB455" s="102">
        <f t="shared" si="136"/>
        <v>0.1</v>
      </c>
      <c r="AC455" s="103">
        <f t="shared" si="137"/>
        <v>0</v>
      </c>
      <c r="AD455" s="103">
        <f t="shared" si="138"/>
        <v>0</v>
      </c>
      <c r="AE455" s="81">
        <f t="shared" si="139"/>
        <v>0</v>
      </c>
      <c r="AF455" s="539"/>
      <c r="AG455" s="104">
        <f t="shared" si="140"/>
        <v>1</v>
      </c>
      <c r="AH455" s="7">
        <f t="shared" si="141"/>
        <v>0</v>
      </c>
      <c r="AI455" s="6">
        <f t="shared" si="142"/>
        <v>0</v>
      </c>
      <c r="AJ455" s="73">
        <f t="shared" si="143"/>
        <v>0</v>
      </c>
      <c r="AK455" s="539"/>
      <c r="AL455" s="748"/>
      <c r="AM455" s="748"/>
    </row>
    <row r="456" spans="2:39" x14ac:dyDescent="0.2">
      <c r="B456" s="101" t="str">
        <f t="shared" si="128"/>
        <v/>
      </c>
      <c r="C456" s="168">
        <f>IF(ISERROR(Personalplanung!F40/Monatsplanung!$E40*Monatsplanung!$K40),0,Personalplanung!F40/Monatsplanung!$E40*Monatsplanung!$K40)</f>
        <v>0</v>
      </c>
      <c r="D456" s="168">
        <f t="shared" si="129"/>
        <v>0</v>
      </c>
      <c r="E456" s="168">
        <f>IF(ISERROR(Personalplanung!H40/Monatsplanung!$E40*Monatsplanung!$K40),0,Personalplanung!H40/Monatsplanung!$E40*Monatsplanung!$K40)</f>
        <v>0</v>
      </c>
      <c r="F456" s="168">
        <f t="shared" si="130"/>
        <v>0</v>
      </c>
      <c r="G456" s="168">
        <f t="shared" si="131"/>
        <v>27.700831024930746</v>
      </c>
      <c r="H456" s="168">
        <f t="shared" si="132"/>
        <v>0</v>
      </c>
      <c r="I456" s="168">
        <f t="shared" si="133"/>
        <v>30</v>
      </c>
      <c r="J456" s="739"/>
      <c r="K456" s="168">
        <f>IF(J456&lt;&gt;"",J456,IF(ISERROR(Personalplanung!AB40/Monatsplanung!$E40*Monatsplanung!$K40),0,Personalplanung!AB40/Monatsplanung!$E40*Monatsplanung!$K40))</f>
        <v>0</v>
      </c>
      <c r="L456" s="740"/>
      <c r="M456" s="739"/>
      <c r="N456" s="168">
        <f>IF(M456&lt;&gt;"",M456,IF(ISERROR(Personalplanung!AC40/Monatsplanung!$E40*Monatsplanung!$K40),0,Personalplanung!AC40/Monatsplanung!$E40*Monatsplanung!$K40))</f>
        <v>0</v>
      </c>
      <c r="O456" s="740"/>
      <c r="P456" s="739"/>
      <c r="Q456" s="168">
        <f>IF(P456&lt;&gt;"",P456,IF(ISERROR(Personalplanung!AD40/Monatsplanung!$E40*Monatsplanung!$K40),0,Personalplanung!AD40/Monatsplanung!$E40*Monatsplanung!$K40))</f>
        <v>0</v>
      </c>
      <c r="R456" s="740"/>
      <c r="S456" s="739"/>
      <c r="T456" s="168">
        <f>IF(S456&lt;&gt;"",S456,IF(ISERROR(Personalplanung!AE40/Monatsplanung!$E40*Monatsplanung!$K40),0,Personalplanung!AE40/Monatsplanung!$E40*Monatsplanung!$K40))</f>
        <v>0</v>
      </c>
      <c r="U456" s="740"/>
      <c r="V456" s="168">
        <f t="shared" si="134"/>
        <v>0</v>
      </c>
      <c r="W456" s="168">
        <f>IF(ISERROR(Personalplanung!P40/Monatsplanung!$E40*Monatsplanung!$K40),0,Personalplanung!P40/Monatsplanung!$E40*Monatsplanung!$K40)</f>
        <v>0</v>
      </c>
      <c r="X456" s="168">
        <f>IF(ISERROR(Personalplanung!Q40/Monatsplanung!$E40*Monatsplanung!$K40),0,Personalplanung!Q40/Monatsplanung!$E40*Monatsplanung!$K40)</f>
        <v>0</v>
      </c>
      <c r="Y456" s="168">
        <f>IF(ISERROR(Personalplanung!R40/T1288*Stundencontrolling!T456),0,Personalplanung!R40/T1288*Stundencontrolling!T456)</f>
        <v>0</v>
      </c>
      <c r="Z456" s="168">
        <f>IF(ISERROR(Personalplanung!S40/Monatsplanung!$E40*Monatsplanung!$K40),0,Personalplanung!S40/Monatsplanung!$E40*Monatsplanung!$K40)</f>
        <v>0</v>
      </c>
      <c r="AA456" s="80">
        <f t="shared" si="135"/>
        <v>0</v>
      </c>
      <c r="AB456" s="102">
        <f t="shared" si="136"/>
        <v>0.1</v>
      </c>
      <c r="AC456" s="103">
        <f t="shared" si="137"/>
        <v>0</v>
      </c>
      <c r="AD456" s="103">
        <f t="shared" si="138"/>
        <v>0</v>
      </c>
      <c r="AE456" s="81">
        <f t="shared" si="139"/>
        <v>0</v>
      </c>
      <c r="AF456" s="539"/>
      <c r="AG456" s="104">
        <f t="shared" si="140"/>
        <v>1</v>
      </c>
      <c r="AH456" s="7">
        <f t="shared" si="141"/>
        <v>0</v>
      </c>
      <c r="AI456" s="6">
        <f t="shared" si="142"/>
        <v>0</v>
      </c>
      <c r="AJ456" s="73">
        <f t="shared" si="143"/>
        <v>0</v>
      </c>
      <c r="AK456" s="539"/>
      <c r="AL456" s="748"/>
      <c r="AM456" s="748"/>
    </row>
    <row r="457" spans="2:39" x14ac:dyDescent="0.2">
      <c r="B457" s="101" t="str">
        <f t="shared" si="128"/>
        <v/>
      </c>
      <c r="C457" s="168">
        <f>IF(ISERROR(Personalplanung!F41/Monatsplanung!$E41*Monatsplanung!$K41),0,Personalplanung!F41/Monatsplanung!$E41*Monatsplanung!$K41)</f>
        <v>0</v>
      </c>
      <c r="D457" s="168">
        <f t="shared" si="129"/>
        <v>0</v>
      </c>
      <c r="E457" s="168">
        <f>IF(ISERROR(Personalplanung!H41/Monatsplanung!$E41*Monatsplanung!$K41),0,Personalplanung!H41/Monatsplanung!$E41*Monatsplanung!$K41)</f>
        <v>0</v>
      </c>
      <c r="F457" s="168">
        <f t="shared" si="130"/>
        <v>0</v>
      </c>
      <c r="G457" s="168">
        <f t="shared" si="131"/>
        <v>27.700831024930746</v>
      </c>
      <c r="H457" s="168">
        <f t="shared" si="132"/>
        <v>0</v>
      </c>
      <c r="I457" s="168">
        <f t="shared" si="133"/>
        <v>30</v>
      </c>
      <c r="J457" s="739"/>
      <c r="K457" s="168">
        <f>IF(J457&lt;&gt;"",J457,IF(ISERROR(Personalplanung!AB41/Monatsplanung!$E41*Monatsplanung!$K41),0,Personalplanung!AB41/Monatsplanung!$E41*Monatsplanung!$K41))</f>
        <v>0</v>
      </c>
      <c r="L457" s="740"/>
      <c r="M457" s="739"/>
      <c r="N457" s="168">
        <f>IF(M457&lt;&gt;"",M457,IF(ISERROR(Personalplanung!AC41/Monatsplanung!$E41*Monatsplanung!$K41),0,Personalplanung!AC41/Monatsplanung!$E41*Monatsplanung!$K41))</f>
        <v>0</v>
      </c>
      <c r="O457" s="740"/>
      <c r="P457" s="739"/>
      <c r="Q457" s="168">
        <f>IF(P457&lt;&gt;"",P457,IF(ISERROR(Personalplanung!AD41/Monatsplanung!$E41*Monatsplanung!$K41),0,Personalplanung!AD41/Monatsplanung!$E41*Monatsplanung!$K41))</f>
        <v>0</v>
      </c>
      <c r="R457" s="740"/>
      <c r="S457" s="739"/>
      <c r="T457" s="168">
        <f>IF(S457&lt;&gt;"",S457,IF(ISERROR(Personalplanung!AE41/Monatsplanung!$E41*Monatsplanung!$K41),0,Personalplanung!AE41/Monatsplanung!$E41*Monatsplanung!$K41))</f>
        <v>0</v>
      </c>
      <c r="U457" s="740"/>
      <c r="V457" s="168">
        <f t="shared" si="134"/>
        <v>0</v>
      </c>
      <c r="W457" s="168">
        <f>IF(ISERROR(Personalplanung!P41/Monatsplanung!$E41*Monatsplanung!$K41),0,Personalplanung!P41/Monatsplanung!$E41*Monatsplanung!$K41)</f>
        <v>0</v>
      </c>
      <c r="X457" s="168">
        <f>IF(ISERROR(Personalplanung!Q41/Monatsplanung!$E41*Monatsplanung!$K41),0,Personalplanung!Q41/Monatsplanung!$E41*Monatsplanung!$K41)</f>
        <v>0</v>
      </c>
      <c r="Y457" s="168">
        <f>IF(ISERROR(Personalplanung!R41/T1289*Stundencontrolling!T457),0,Personalplanung!R41/T1289*Stundencontrolling!T457)</f>
        <v>0</v>
      </c>
      <c r="Z457" s="168">
        <f>IF(ISERROR(Personalplanung!S41/Monatsplanung!$E41*Monatsplanung!$K41),0,Personalplanung!S41/Monatsplanung!$E41*Monatsplanung!$K41)</f>
        <v>0</v>
      </c>
      <c r="AA457" s="80">
        <f t="shared" si="135"/>
        <v>0</v>
      </c>
      <c r="AB457" s="102">
        <f t="shared" si="136"/>
        <v>0.1</v>
      </c>
      <c r="AC457" s="103">
        <f t="shared" si="137"/>
        <v>0</v>
      </c>
      <c r="AD457" s="103">
        <f t="shared" si="138"/>
        <v>0</v>
      </c>
      <c r="AE457" s="81">
        <f t="shared" si="139"/>
        <v>0</v>
      </c>
      <c r="AF457" s="539"/>
      <c r="AG457" s="104">
        <f t="shared" si="140"/>
        <v>1</v>
      </c>
      <c r="AH457" s="7">
        <f t="shared" si="141"/>
        <v>0</v>
      </c>
      <c r="AI457" s="6">
        <f t="shared" si="142"/>
        <v>0</v>
      </c>
      <c r="AJ457" s="73">
        <f t="shared" si="143"/>
        <v>0</v>
      </c>
      <c r="AK457" s="539"/>
      <c r="AL457" s="748"/>
      <c r="AM457" s="748"/>
    </row>
    <row r="458" spans="2:39" x14ac:dyDescent="0.2">
      <c r="B458" s="101" t="str">
        <f t="shared" si="128"/>
        <v/>
      </c>
      <c r="C458" s="168">
        <f>IF(ISERROR(Personalplanung!F42/Monatsplanung!$E42*Monatsplanung!$K42),0,Personalplanung!F42/Monatsplanung!$E42*Monatsplanung!$K42)</f>
        <v>0</v>
      </c>
      <c r="D458" s="168">
        <f t="shared" si="129"/>
        <v>0</v>
      </c>
      <c r="E458" s="168">
        <f>IF(ISERROR(Personalplanung!H42/Monatsplanung!$E42*Monatsplanung!$K42),0,Personalplanung!H42/Monatsplanung!$E42*Monatsplanung!$K42)</f>
        <v>0</v>
      </c>
      <c r="F458" s="168">
        <f t="shared" si="130"/>
        <v>0</v>
      </c>
      <c r="G458" s="168">
        <f t="shared" si="131"/>
        <v>27.700831024930746</v>
      </c>
      <c r="H458" s="168">
        <f t="shared" si="132"/>
        <v>0</v>
      </c>
      <c r="I458" s="168">
        <f t="shared" si="133"/>
        <v>30</v>
      </c>
      <c r="J458" s="739"/>
      <c r="K458" s="168">
        <f>IF(J458&lt;&gt;"",J458,IF(ISERROR(Personalplanung!AB42/Monatsplanung!$E42*Monatsplanung!$K42),0,Personalplanung!AB42/Monatsplanung!$E42*Monatsplanung!$K42))</f>
        <v>0</v>
      </c>
      <c r="L458" s="740"/>
      <c r="M458" s="739"/>
      <c r="N458" s="168">
        <f>IF(M458&lt;&gt;"",M458,IF(ISERROR(Personalplanung!AC42/Monatsplanung!$E42*Monatsplanung!$K42),0,Personalplanung!AC42/Monatsplanung!$E42*Monatsplanung!$K42))</f>
        <v>0</v>
      </c>
      <c r="O458" s="740"/>
      <c r="P458" s="739"/>
      <c r="Q458" s="168">
        <f>IF(P458&lt;&gt;"",P458,IF(ISERROR(Personalplanung!AD42/Monatsplanung!$E42*Monatsplanung!$K42),0,Personalplanung!AD42/Monatsplanung!$E42*Monatsplanung!$K42))</f>
        <v>0</v>
      </c>
      <c r="R458" s="740"/>
      <c r="S458" s="739"/>
      <c r="T458" s="168">
        <f>IF(S458&lt;&gt;"",S458,IF(ISERROR(Personalplanung!AE42/Monatsplanung!$E42*Monatsplanung!$K42),0,Personalplanung!AE42/Monatsplanung!$E42*Monatsplanung!$K42))</f>
        <v>0</v>
      </c>
      <c r="U458" s="740"/>
      <c r="V458" s="168">
        <f t="shared" si="134"/>
        <v>0</v>
      </c>
      <c r="W458" s="168">
        <f>IF(ISERROR(Personalplanung!P42/Monatsplanung!$E42*Monatsplanung!$K42),0,Personalplanung!P42/Monatsplanung!$E42*Monatsplanung!$K42)</f>
        <v>0</v>
      </c>
      <c r="X458" s="168">
        <f>IF(ISERROR(Personalplanung!Q42/Monatsplanung!$E42*Monatsplanung!$K42),0,Personalplanung!Q42/Monatsplanung!$E42*Monatsplanung!$K42)</f>
        <v>0</v>
      </c>
      <c r="Y458" s="168">
        <f>IF(ISERROR(Personalplanung!R42/T1290*Stundencontrolling!T458),0,Personalplanung!R42/T1290*Stundencontrolling!T458)</f>
        <v>0</v>
      </c>
      <c r="Z458" s="168">
        <f>IF(ISERROR(Personalplanung!S42/Monatsplanung!$E42*Monatsplanung!$K42),0,Personalplanung!S42/Monatsplanung!$E42*Monatsplanung!$K42)</f>
        <v>0</v>
      </c>
      <c r="AA458" s="80">
        <f t="shared" si="135"/>
        <v>0</v>
      </c>
      <c r="AB458" s="102">
        <f t="shared" si="136"/>
        <v>0.1</v>
      </c>
      <c r="AC458" s="103">
        <f t="shared" si="137"/>
        <v>0</v>
      </c>
      <c r="AD458" s="103">
        <f t="shared" si="138"/>
        <v>0</v>
      </c>
      <c r="AE458" s="81">
        <f t="shared" si="139"/>
        <v>0</v>
      </c>
      <c r="AF458" s="539"/>
      <c r="AG458" s="104">
        <f t="shared" si="140"/>
        <v>1</v>
      </c>
      <c r="AH458" s="7">
        <f t="shared" si="141"/>
        <v>0</v>
      </c>
      <c r="AI458" s="6">
        <f t="shared" si="142"/>
        <v>0</v>
      </c>
      <c r="AJ458" s="73">
        <f t="shared" si="143"/>
        <v>0</v>
      </c>
      <c r="AK458" s="539"/>
      <c r="AL458" s="748"/>
      <c r="AM458" s="748"/>
    </row>
    <row r="459" spans="2:39" x14ac:dyDescent="0.2">
      <c r="B459" s="101" t="str">
        <f t="shared" si="128"/>
        <v/>
      </c>
      <c r="C459" s="168">
        <f>IF(ISERROR(Personalplanung!F43/Monatsplanung!$E43*Monatsplanung!$K43),0,Personalplanung!F43/Monatsplanung!$E43*Monatsplanung!$K43)</f>
        <v>0</v>
      </c>
      <c r="D459" s="168">
        <f t="shared" si="129"/>
        <v>0</v>
      </c>
      <c r="E459" s="168">
        <f>IF(ISERROR(Personalplanung!H43/Monatsplanung!$E43*Monatsplanung!$K43),0,Personalplanung!H43/Monatsplanung!$E43*Monatsplanung!$K43)</f>
        <v>0</v>
      </c>
      <c r="F459" s="168">
        <f t="shared" si="130"/>
        <v>0</v>
      </c>
      <c r="G459" s="168">
        <f t="shared" si="131"/>
        <v>27.700831024930746</v>
      </c>
      <c r="H459" s="168">
        <f t="shared" si="132"/>
        <v>0</v>
      </c>
      <c r="I459" s="168">
        <f t="shared" si="133"/>
        <v>30</v>
      </c>
      <c r="J459" s="739"/>
      <c r="K459" s="168">
        <f>IF(J459&lt;&gt;"",J459,IF(ISERROR(Personalplanung!AB43/Monatsplanung!$E43*Monatsplanung!$K43),0,Personalplanung!AB43/Monatsplanung!$E43*Monatsplanung!$K43))</f>
        <v>0</v>
      </c>
      <c r="L459" s="740"/>
      <c r="M459" s="739"/>
      <c r="N459" s="168">
        <f>IF(M459&lt;&gt;"",M459,IF(ISERROR(Personalplanung!AC43/Monatsplanung!$E43*Monatsplanung!$K43),0,Personalplanung!AC43/Monatsplanung!$E43*Monatsplanung!$K43))</f>
        <v>0</v>
      </c>
      <c r="O459" s="740"/>
      <c r="P459" s="739"/>
      <c r="Q459" s="168">
        <f>IF(P459&lt;&gt;"",P459,IF(ISERROR(Personalplanung!AD43/Monatsplanung!$E43*Monatsplanung!$K43),0,Personalplanung!AD43/Monatsplanung!$E43*Monatsplanung!$K43))</f>
        <v>0</v>
      </c>
      <c r="R459" s="740"/>
      <c r="S459" s="739"/>
      <c r="T459" s="168">
        <f>IF(S459&lt;&gt;"",S459,IF(ISERROR(Personalplanung!AE43/Monatsplanung!$E43*Monatsplanung!$K43),0,Personalplanung!AE43/Monatsplanung!$E43*Monatsplanung!$K43))</f>
        <v>0</v>
      </c>
      <c r="U459" s="740"/>
      <c r="V459" s="168">
        <f t="shared" si="134"/>
        <v>0</v>
      </c>
      <c r="W459" s="168">
        <f>IF(ISERROR(Personalplanung!P43/Monatsplanung!$E43*Monatsplanung!$K43),0,Personalplanung!P43/Monatsplanung!$E43*Monatsplanung!$K43)</f>
        <v>0</v>
      </c>
      <c r="X459" s="168">
        <f>IF(ISERROR(Personalplanung!Q43/Monatsplanung!$E43*Monatsplanung!$K43),0,Personalplanung!Q43/Monatsplanung!$E43*Monatsplanung!$K43)</f>
        <v>0</v>
      </c>
      <c r="Y459" s="168">
        <f>IF(ISERROR(Personalplanung!R43/T1291*Stundencontrolling!T459),0,Personalplanung!R43/T1291*Stundencontrolling!T459)</f>
        <v>0</v>
      </c>
      <c r="Z459" s="168">
        <f>IF(ISERROR(Personalplanung!S43/Monatsplanung!$E43*Monatsplanung!$K43),0,Personalplanung!S43/Monatsplanung!$E43*Monatsplanung!$K43)</f>
        <v>0</v>
      </c>
      <c r="AA459" s="80">
        <f t="shared" si="135"/>
        <v>0</v>
      </c>
      <c r="AB459" s="102">
        <f t="shared" si="136"/>
        <v>0.1</v>
      </c>
      <c r="AC459" s="103">
        <f t="shared" si="137"/>
        <v>0</v>
      </c>
      <c r="AD459" s="103">
        <f t="shared" si="138"/>
        <v>0</v>
      </c>
      <c r="AE459" s="81">
        <f t="shared" si="139"/>
        <v>0</v>
      </c>
      <c r="AF459" s="539"/>
      <c r="AG459" s="104">
        <f t="shared" si="140"/>
        <v>1</v>
      </c>
      <c r="AH459" s="7">
        <f t="shared" si="141"/>
        <v>0</v>
      </c>
      <c r="AI459" s="6">
        <f t="shared" si="142"/>
        <v>0</v>
      </c>
      <c r="AJ459" s="73">
        <f t="shared" si="143"/>
        <v>0</v>
      </c>
      <c r="AK459" s="539"/>
      <c r="AL459" s="748"/>
      <c r="AM459" s="748"/>
    </row>
    <row r="460" spans="2:39" x14ac:dyDescent="0.2">
      <c r="B460" s="101" t="str">
        <f t="shared" si="128"/>
        <v/>
      </c>
      <c r="C460" s="168">
        <f>IF(ISERROR(Personalplanung!F44/Monatsplanung!$E44*Monatsplanung!$K44),0,Personalplanung!F44/Monatsplanung!$E44*Monatsplanung!$K44)</f>
        <v>0</v>
      </c>
      <c r="D460" s="168">
        <f t="shared" si="129"/>
        <v>0</v>
      </c>
      <c r="E460" s="168">
        <f>IF(ISERROR(Personalplanung!H44/Monatsplanung!$E44*Monatsplanung!$K44),0,Personalplanung!H44/Monatsplanung!$E44*Monatsplanung!$K44)</f>
        <v>0</v>
      </c>
      <c r="F460" s="168">
        <f t="shared" si="130"/>
        <v>0</v>
      </c>
      <c r="G460" s="168">
        <f t="shared" si="131"/>
        <v>27.700831024930746</v>
      </c>
      <c r="H460" s="168">
        <f t="shared" si="132"/>
        <v>0</v>
      </c>
      <c r="I460" s="168">
        <f t="shared" si="133"/>
        <v>30</v>
      </c>
      <c r="J460" s="739"/>
      <c r="K460" s="168">
        <f>IF(J460&lt;&gt;"",J460,IF(ISERROR(Personalplanung!AB44/Monatsplanung!$E44*Monatsplanung!$K44),0,Personalplanung!AB44/Monatsplanung!$E44*Monatsplanung!$K44))</f>
        <v>0</v>
      </c>
      <c r="L460" s="740"/>
      <c r="M460" s="739"/>
      <c r="N460" s="168">
        <f>IF(M460&lt;&gt;"",M460,IF(ISERROR(Personalplanung!AC44/Monatsplanung!$E44*Monatsplanung!$K44),0,Personalplanung!AC44/Monatsplanung!$E44*Monatsplanung!$K44))</f>
        <v>0</v>
      </c>
      <c r="O460" s="740"/>
      <c r="P460" s="739"/>
      <c r="Q460" s="168">
        <f>IF(P460&lt;&gt;"",P460,IF(ISERROR(Personalplanung!AD44/Monatsplanung!$E44*Monatsplanung!$K44),0,Personalplanung!AD44/Monatsplanung!$E44*Monatsplanung!$K44))</f>
        <v>0</v>
      </c>
      <c r="R460" s="740"/>
      <c r="S460" s="739"/>
      <c r="T460" s="168">
        <f>IF(S460&lt;&gt;"",S460,IF(ISERROR(Personalplanung!AE44/Monatsplanung!$E44*Monatsplanung!$K44),0,Personalplanung!AE44/Monatsplanung!$E44*Monatsplanung!$K44))</f>
        <v>0</v>
      </c>
      <c r="U460" s="740"/>
      <c r="V460" s="168">
        <f t="shared" si="134"/>
        <v>0</v>
      </c>
      <c r="W460" s="168">
        <f>IF(ISERROR(Personalplanung!P44/Monatsplanung!$E44*Monatsplanung!$K44),0,Personalplanung!P44/Monatsplanung!$E44*Monatsplanung!$K44)</f>
        <v>0</v>
      </c>
      <c r="X460" s="168">
        <f>IF(ISERROR(Personalplanung!Q44/Monatsplanung!$E44*Monatsplanung!$K44),0,Personalplanung!Q44/Monatsplanung!$E44*Monatsplanung!$K44)</f>
        <v>0</v>
      </c>
      <c r="Y460" s="168">
        <f>IF(ISERROR(Personalplanung!R44/T1292*Stundencontrolling!T460),0,Personalplanung!R44/T1292*Stundencontrolling!T460)</f>
        <v>0</v>
      </c>
      <c r="Z460" s="168">
        <f>IF(ISERROR(Personalplanung!S44/Monatsplanung!$E44*Monatsplanung!$K44),0,Personalplanung!S44/Monatsplanung!$E44*Monatsplanung!$K44)</f>
        <v>0</v>
      </c>
      <c r="AA460" s="80">
        <f t="shared" si="135"/>
        <v>0</v>
      </c>
      <c r="AB460" s="102">
        <f t="shared" si="136"/>
        <v>0.1</v>
      </c>
      <c r="AC460" s="103">
        <f t="shared" si="137"/>
        <v>0</v>
      </c>
      <c r="AD460" s="103">
        <f t="shared" si="138"/>
        <v>0</v>
      </c>
      <c r="AE460" s="81">
        <f t="shared" si="139"/>
        <v>0</v>
      </c>
      <c r="AF460" s="539"/>
      <c r="AG460" s="104">
        <f t="shared" si="140"/>
        <v>1</v>
      </c>
      <c r="AH460" s="7">
        <f t="shared" si="141"/>
        <v>0</v>
      </c>
      <c r="AI460" s="6">
        <f t="shared" si="142"/>
        <v>0</v>
      </c>
      <c r="AJ460" s="73">
        <f t="shared" si="143"/>
        <v>0</v>
      </c>
      <c r="AK460" s="539"/>
      <c r="AL460" s="748"/>
      <c r="AM460" s="748"/>
    </row>
    <row r="461" spans="2:39" x14ac:dyDescent="0.2">
      <c r="B461" s="101" t="str">
        <f t="shared" si="128"/>
        <v/>
      </c>
      <c r="C461" s="168">
        <f>IF(ISERROR(Personalplanung!F45/Monatsplanung!$E45*Monatsplanung!$K45),0,Personalplanung!F45/Monatsplanung!$E45*Monatsplanung!$K45)</f>
        <v>0</v>
      </c>
      <c r="D461" s="168">
        <f t="shared" si="129"/>
        <v>0</v>
      </c>
      <c r="E461" s="168">
        <f>IF(ISERROR(Personalplanung!H45/Monatsplanung!$E45*Monatsplanung!$K45),0,Personalplanung!H45/Monatsplanung!$E45*Monatsplanung!$K45)</f>
        <v>0</v>
      </c>
      <c r="F461" s="168">
        <f t="shared" si="130"/>
        <v>0</v>
      </c>
      <c r="G461" s="168">
        <f t="shared" si="131"/>
        <v>27.700831024930746</v>
      </c>
      <c r="H461" s="168">
        <f t="shared" si="132"/>
        <v>0</v>
      </c>
      <c r="I461" s="168">
        <f t="shared" si="133"/>
        <v>30</v>
      </c>
      <c r="J461" s="739"/>
      <c r="K461" s="168">
        <f>IF(J461&lt;&gt;"",J461,IF(ISERROR(Personalplanung!AB45/Monatsplanung!$E45*Monatsplanung!$K45),0,Personalplanung!AB45/Monatsplanung!$E45*Monatsplanung!$K45))</f>
        <v>0</v>
      </c>
      <c r="L461" s="740"/>
      <c r="M461" s="739"/>
      <c r="N461" s="168">
        <f>IF(M461&lt;&gt;"",M461,IF(ISERROR(Personalplanung!AC45/Monatsplanung!$E45*Monatsplanung!$K45),0,Personalplanung!AC45/Monatsplanung!$E45*Monatsplanung!$K45))</f>
        <v>0</v>
      </c>
      <c r="O461" s="740"/>
      <c r="P461" s="739"/>
      <c r="Q461" s="168">
        <f>IF(P461&lt;&gt;"",P461,IF(ISERROR(Personalplanung!AD45/Monatsplanung!$E45*Monatsplanung!$K45),0,Personalplanung!AD45/Monatsplanung!$E45*Monatsplanung!$K45))</f>
        <v>0</v>
      </c>
      <c r="R461" s="740"/>
      <c r="S461" s="739"/>
      <c r="T461" s="168">
        <f>IF(S461&lt;&gt;"",S461,IF(ISERROR(Personalplanung!AE45/Monatsplanung!$E45*Monatsplanung!$K45),0,Personalplanung!AE45/Monatsplanung!$E45*Monatsplanung!$K45))</f>
        <v>0</v>
      </c>
      <c r="U461" s="740"/>
      <c r="V461" s="168">
        <f t="shared" si="134"/>
        <v>0</v>
      </c>
      <c r="W461" s="168">
        <f>IF(ISERROR(Personalplanung!P45/Monatsplanung!$E45*Monatsplanung!$K45),0,Personalplanung!P45/Monatsplanung!$E45*Monatsplanung!$K45)</f>
        <v>0</v>
      </c>
      <c r="X461" s="168">
        <f>IF(ISERROR(Personalplanung!Q45/Monatsplanung!$E45*Monatsplanung!$K45),0,Personalplanung!Q45/Monatsplanung!$E45*Monatsplanung!$K45)</f>
        <v>0</v>
      </c>
      <c r="Y461" s="168">
        <f>IF(ISERROR(Personalplanung!R45/T1293*Stundencontrolling!T461),0,Personalplanung!R45/T1293*Stundencontrolling!T461)</f>
        <v>0</v>
      </c>
      <c r="Z461" s="168">
        <f>IF(ISERROR(Personalplanung!S45/Monatsplanung!$E45*Monatsplanung!$K45),0,Personalplanung!S45/Monatsplanung!$E45*Monatsplanung!$K45)</f>
        <v>0</v>
      </c>
      <c r="AA461" s="80">
        <f t="shared" si="135"/>
        <v>0</v>
      </c>
      <c r="AB461" s="102">
        <f t="shared" si="136"/>
        <v>0.1</v>
      </c>
      <c r="AC461" s="103">
        <f t="shared" si="137"/>
        <v>0</v>
      </c>
      <c r="AD461" s="103">
        <f t="shared" si="138"/>
        <v>0</v>
      </c>
      <c r="AE461" s="81">
        <f t="shared" si="139"/>
        <v>0</v>
      </c>
      <c r="AF461" s="539"/>
      <c r="AG461" s="104">
        <f t="shared" si="140"/>
        <v>1</v>
      </c>
      <c r="AH461" s="7">
        <f t="shared" si="141"/>
        <v>0</v>
      </c>
      <c r="AI461" s="6">
        <f t="shared" si="142"/>
        <v>0</v>
      </c>
      <c r="AJ461" s="73">
        <f t="shared" si="143"/>
        <v>0</v>
      </c>
      <c r="AK461" s="539"/>
      <c r="AL461" s="748"/>
      <c r="AM461" s="748"/>
    </row>
    <row r="462" spans="2:39" x14ac:dyDescent="0.2">
      <c r="B462" s="101" t="str">
        <f t="shared" si="128"/>
        <v/>
      </c>
      <c r="C462" s="168">
        <f>IF(ISERROR(Personalplanung!F46/Monatsplanung!$E46*Monatsplanung!$K46),0,Personalplanung!F46/Monatsplanung!$E46*Monatsplanung!$K46)</f>
        <v>0</v>
      </c>
      <c r="D462" s="168">
        <f t="shared" si="129"/>
        <v>0</v>
      </c>
      <c r="E462" s="168">
        <f>IF(ISERROR(Personalplanung!H46/Monatsplanung!$E46*Monatsplanung!$K46),0,Personalplanung!H46/Monatsplanung!$E46*Monatsplanung!$K46)</f>
        <v>0</v>
      </c>
      <c r="F462" s="168">
        <f t="shared" si="130"/>
        <v>0</v>
      </c>
      <c r="G462" s="168">
        <f t="shared" si="131"/>
        <v>27.700831024930746</v>
      </c>
      <c r="H462" s="168">
        <f t="shared" si="132"/>
        <v>0</v>
      </c>
      <c r="I462" s="168">
        <f t="shared" si="133"/>
        <v>30</v>
      </c>
      <c r="J462" s="739"/>
      <c r="K462" s="168">
        <f>IF(J462&lt;&gt;"",J462,IF(ISERROR(Personalplanung!AB46/Monatsplanung!$E46*Monatsplanung!$K46),0,Personalplanung!AB46/Monatsplanung!$E46*Monatsplanung!$K46))</f>
        <v>0</v>
      </c>
      <c r="L462" s="740"/>
      <c r="M462" s="739"/>
      <c r="N462" s="168">
        <f>IF(M462&lt;&gt;"",M462,IF(ISERROR(Personalplanung!AC46/Monatsplanung!$E46*Monatsplanung!$K46),0,Personalplanung!AC46/Monatsplanung!$E46*Monatsplanung!$K46))</f>
        <v>0</v>
      </c>
      <c r="O462" s="740"/>
      <c r="P462" s="739"/>
      <c r="Q462" s="168">
        <f>IF(P462&lt;&gt;"",P462,IF(ISERROR(Personalplanung!AD46/Monatsplanung!$E46*Monatsplanung!$K46),0,Personalplanung!AD46/Monatsplanung!$E46*Monatsplanung!$K46))</f>
        <v>0</v>
      </c>
      <c r="R462" s="740"/>
      <c r="S462" s="739"/>
      <c r="T462" s="168">
        <f>IF(S462&lt;&gt;"",S462,IF(ISERROR(Personalplanung!AE46/Monatsplanung!$E46*Monatsplanung!$K46),0,Personalplanung!AE46/Monatsplanung!$E46*Monatsplanung!$K46))</f>
        <v>0</v>
      </c>
      <c r="U462" s="740"/>
      <c r="V462" s="168">
        <f t="shared" si="134"/>
        <v>0</v>
      </c>
      <c r="W462" s="168">
        <f>IF(ISERROR(Personalplanung!P46/Monatsplanung!$E46*Monatsplanung!$K46),0,Personalplanung!P46/Monatsplanung!$E46*Monatsplanung!$K46)</f>
        <v>0</v>
      </c>
      <c r="X462" s="168">
        <f>IF(ISERROR(Personalplanung!Q46/Monatsplanung!$E46*Monatsplanung!$K46),0,Personalplanung!Q46/Monatsplanung!$E46*Monatsplanung!$K46)</f>
        <v>0</v>
      </c>
      <c r="Y462" s="168">
        <f>IF(ISERROR(Personalplanung!R46/T1294*Stundencontrolling!T462),0,Personalplanung!R46/T1294*Stundencontrolling!T462)</f>
        <v>0</v>
      </c>
      <c r="Z462" s="168">
        <f>IF(ISERROR(Personalplanung!S46/Monatsplanung!$E46*Monatsplanung!$K46),0,Personalplanung!S46/Monatsplanung!$E46*Monatsplanung!$K46)</f>
        <v>0</v>
      </c>
      <c r="AA462" s="80">
        <f t="shared" si="135"/>
        <v>0</v>
      </c>
      <c r="AB462" s="102">
        <f t="shared" si="136"/>
        <v>0.1</v>
      </c>
      <c r="AC462" s="103">
        <f t="shared" si="137"/>
        <v>0</v>
      </c>
      <c r="AD462" s="103">
        <f t="shared" si="138"/>
        <v>0</v>
      </c>
      <c r="AE462" s="81">
        <f t="shared" si="139"/>
        <v>0</v>
      </c>
      <c r="AF462" s="539"/>
      <c r="AG462" s="104">
        <f t="shared" si="140"/>
        <v>1</v>
      </c>
      <c r="AH462" s="7">
        <f t="shared" si="141"/>
        <v>0</v>
      </c>
      <c r="AI462" s="6">
        <f t="shared" si="142"/>
        <v>0</v>
      </c>
      <c r="AJ462" s="73">
        <f t="shared" si="143"/>
        <v>0</v>
      </c>
      <c r="AK462" s="539"/>
      <c r="AL462" s="748"/>
      <c r="AM462" s="748"/>
    </row>
    <row r="463" spans="2:39" x14ac:dyDescent="0.2">
      <c r="B463" s="101" t="str">
        <f t="shared" si="128"/>
        <v/>
      </c>
      <c r="C463" s="168">
        <f>IF(ISERROR(Personalplanung!F47/Monatsplanung!$E47*Monatsplanung!$K47),0,Personalplanung!F47/Monatsplanung!$E47*Monatsplanung!$K47)</f>
        <v>0</v>
      </c>
      <c r="D463" s="168">
        <f t="shared" si="129"/>
        <v>0</v>
      </c>
      <c r="E463" s="168">
        <f>IF(ISERROR(Personalplanung!H47/Monatsplanung!$E47*Monatsplanung!$K47),0,Personalplanung!H47/Monatsplanung!$E47*Monatsplanung!$K47)</f>
        <v>0</v>
      </c>
      <c r="F463" s="168">
        <f t="shared" si="130"/>
        <v>0</v>
      </c>
      <c r="G463" s="168">
        <f t="shared" si="131"/>
        <v>27.700831024930746</v>
      </c>
      <c r="H463" s="168">
        <f t="shared" si="132"/>
        <v>0</v>
      </c>
      <c r="I463" s="168">
        <f t="shared" si="133"/>
        <v>30</v>
      </c>
      <c r="J463" s="739"/>
      <c r="K463" s="168">
        <f>IF(J463&lt;&gt;"",J463,IF(ISERROR(Personalplanung!AB47/Monatsplanung!$E47*Monatsplanung!$K47),0,Personalplanung!AB47/Monatsplanung!$E47*Monatsplanung!$K47))</f>
        <v>0</v>
      </c>
      <c r="L463" s="740"/>
      <c r="M463" s="739"/>
      <c r="N463" s="168">
        <f>IF(M463&lt;&gt;"",M463,IF(ISERROR(Personalplanung!AC47/Monatsplanung!$E47*Monatsplanung!$K47),0,Personalplanung!AC47/Monatsplanung!$E47*Monatsplanung!$K47))</f>
        <v>0</v>
      </c>
      <c r="O463" s="740"/>
      <c r="P463" s="739"/>
      <c r="Q463" s="168">
        <f>IF(P463&lt;&gt;"",P463,IF(ISERROR(Personalplanung!AD47/Monatsplanung!$E47*Monatsplanung!$K47),0,Personalplanung!AD47/Monatsplanung!$E47*Monatsplanung!$K47))</f>
        <v>0</v>
      </c>
      <c r="R463" s="740"/>
      <c r="S463" s="739"/>
      <c r="T463" s="168">
        <f>IF(S463&lt;&gt;"",S463,IF(ISERROR(Personalplanung!AE47/Monatsplanung!$E47*Monatsplanung!$K47),0,Personalplanung!AE47/Monatsplanung!$E47*Monatsplanung!$K47))</f>
        <v>0</v>
      </c>
      <c r="U463" s="740"/>
      <c r="V463" s="168">
        <f t="shared" si="134"/>
        <v>0</v>
      </c>
      <c r="W463" s="168">
        <f>IF(ISERROR(Personalplanung!P47/Monatsplanung!$E47*Monatsplanung!$K47),0,Personalplanung!P47/Monatsplanung!$E47*Monatsplanung!$K47)</f>
        <v>0</v>
      </c>
      <c r="X463" s="168">
        <f>IF(ISERROR(Personalplanung!Q47/Monatsplanung!$E47*Monatsplanung!$K47),0,Personalplanung!Q47/Monatsplanung!$E47*Monatsplanung!$K47)</f>
        <v>0</v>
      </c>
      <c r="Y463" s="168">
        <f>IF(ISERROR(Personalplanung!R47/T1295*Stundencontrolling!T463),0,Personalplanung!R47/T1295*Stundencontrolling!T463)</f>
        <v>0</v>
      </c>
      <c r="Z463" s="168">
        <f>IF(ISERROR(Personalplanung!S47/Monatsplanung!$E47*Monatsplanung!$K47),0,Personalplanung!S47/Monatsplanung!$E47*Monatsplanung!$K47)</f>
        <v>0</v>
      </c>
      <c r="AA463" s="80">
        <f t="shared" si="135"/>
        <v>0</v>
      </c>
      <c r="AB463" s="102">
        <f t="shared" si="136"/>
        <v>0.1</v>
      </c>
      <c r="AC463" s="103">
        <f t="shared" si="137"/>
        <v>0</v>
      </c>
      <c r="AD463" s="103">
        <f t="shared" si="138"/>
        <v>0</v>
      </c>
      <c r="AE463" s="81">
        <f t="shared" si="139"/>
        <v>0</v>
      </c>
      <c r="AF463" s="539"/>
      <c r="AG463" s="104">
        <f t="shared" si="140"/>
        <v>1</v>
      </c>
      <c r="AH463" s="7">
        <f t="shared" si="141"/>
        <v>0</v>
      </c>
      <c r="AI463" s="6">
        <f t="shared" si="142"/>
        <v>0</v>
      </c>
      <c r="AJ463" s="73">
        <f t="shared" si="143"/>
        <v>0</v>
      </c>
      <c r="AK463" s="539"/>
      <c r="AL463" s="748"/>
      <c r="AM463" s="748"/>
    </row>
    <row r="464" spans="2:39" x14ac:dyDescent="0.2">
      <c r="B464" s="101" t="str">
        <f t="shared" si="128"/>
        <v/>
      </c>
      <c r="C464" s="168">
        <f>IF(ISERROR(Personalplanung!F48/Monatsplanung!$E48*Monatsplanung!$K48),0,Personalplanung!F48/Monatsplanung!$E48*Monatsplanung!$K48)</f>
        <v>0</v>
      </c>
      <c r="D464" s="168">
        <f t="shared" si="129"/>
        <v>0</v>
      </c>
      <c r="E464" s="168">
        <f>IF(ISERROR(Personalplanung!H48/Monatsplanung!$E48*Monatsplanung!$K48),0,Personalplanung!H48/Monatsplanung!$E48*Monatsplanung!$K48)</f>
        <v>0</v>
      </c>
      <c r="F464" s="168">
        <f t="shared" si="130"/>
        <v>0</v>
      </c>
      <c r="G464" s="168">
        <f t="shared" si="131"/>
        <v>27.700831024930746</v>
      </c>
      <c r="H464" s="168">
        <f t="shared" si="132"/>
        <v>0</v>
      </c>
      <c r="I464" s="168">
        <f t="shared" si="133"/>
        <v>30</v>
      </c>
      <c r="J464" s="739"/>
      <c r="K464" s="168">
        <f>IF(J464&lt;&gt;"",J464,IF(ISERROR(Personalplanung!AB48/Monatsplanung!$E48*Monatsplanung!$K48),0,Personalplanung!AB48/Monatsplanung!$E48*Monatsplanung!$K48))</f>
        <v>0</v>
      </c>
      <c r="L464" s="740"/>
      <c r="M464" s="739"/>
      <c r="N464" s="168">
        <f>IF(M464&lt;&gt;"",M464,IF(ISERROR(Personalplanung!AC48/Monatsplanung!$E48*Monatsplanung!$K48),0,Personalplanung!AC48/Monatsplanung!$E48*Monatsplanung!$K48))</f>
        <v>0</v>
      </c>
      <c r="O464" s="740"/>
      <c r="P464" s="739"/>
      <c r="Q464" s="168">
        <f>IF(P464&lt;&gt;"",P464,IF(ISERROR(Personalplanung!AD48/Monatsplanung!$E48*Monatsplanung!$K48),0,Personalplanung!AD48/Monatsplanung!$E48*Monatsplanung!$K48))</f>
        <v>0</v>
      </c>
      <c r="R464" s="740"/>
      <c r="S464" s="739"/>
      <c r="T464" s="168">
        <f>IF(S464&lt;&gt;"",S464,IF(ISERROR(Personalplanung!AE48/Monatsplanung!$E48*Monatsplanung!$K48),0,Personalplanung!AE48/Monatsplanung!$E48*Monatsplanung!$K48))</f>
        <v>0</v>
      </c>
      <c r="U464" s="740"/>
      <c r="V464" s="168">
        <f t="shared" si="134"/>
        <v>0</v>
      </c>
      <c r="W464" s="168">
        <f>IF(ISERROR(Personalplanung!P48/Monatsplanung!$E48*Monatsplanung!$K48),0,Personalplanung!P48/Monatsplanung!$E48*Monatsplanung!$K48)</f>
        <v>0</v>
      </c>
      <c r="X464" s="168">
        <f>IF(ISERROR(Personalplanung!Q48/Monatsplanung!$E48*Monatsplanung!$K48),0,Personalplanung!Q48/Monatsplanung!$E48*Monatsplanung!$K48)</f>
        <v>0</v>
      </c>
      <c r="Y464" s="168">
        <f>IF(ISERROR(Personalplanung!R48/T1296*Stundencontrolling!T464),0,Personalplanung!R48/T1296*Stundencontrolling!T464)</f>
        <v>0</v>
      </c>
      <c r="Z464" s="168">
        <f>IF(ISERROR(Personalplanung!S48/Monatsplanung!$E48*Monatsplanung!$K48),0,Personalplanung!S48/Monatsplanung!$E48*Monatsplanung!$K48)</f>
        <v>0</v>
      </c>
      <c r="AA464" s="80">
        <f t="shared" si="135"/>
        <v>0</v>
      </c>
      <c r="AB464" s="102">
        <f t="shared" si="136"/>
        <v>0.1</v>
      </c>
      <c r="AC464" s="103">
        <f t="shared" si="137"/>
        <v>0</v>
      </c>
      <c r="AD464" s="103">
        <f t="shared" si="138"/>
        <v>0</v>
      </c>
      <c r="AE464" s="81">
        <f t="shared" si="139"/>
        <v>0</v>
      </c>
      <c r="AF464" s="539"/>
      <c r="AG464" s="104">
        <f t="shared" si="140"/>
        <v>1</v>
      </c>
      <c r="AH464" s="7">
        <f t="shared" si="141"/>
        <v>0</v>
      </c>
      <c r="AI464" s="6">
        <f t="shared" si="142"/>
        <v>0</v>
      </c>
      <c r="AJ464" s="73">
        <f t="shared" si="143"/>
        <v>0</v>
      </c>
      <c r="AK464" s="539"/>
      <c r="AL464" s="748"/>
      <c r="AM464" s="748"/>
    </row>
    <row r="465" spans="2:39" x14ac:dyDescent="0.2">
      <c r="B465" s="101" t="str">
        <f t="shared" si="128"/>
        <v/>
      </c>
      <c r="C465" s="168">
        <f>IF(ISERROR(Personalplanung!F49/Monatsplanung!$E49*Monatsplanung!$K49),0,Personalplanung!F49/Monatsplanung!$E49*Monatsplanung!$K49)</f>
        <v>0</v>
      </c>
      <c r="D465" s="168">
        <f t="shared" si="129"/>
        <v>0</v>
      </c>
      <c r="E465" s="168">
        <f>IF(ISERROR(Personalplanung!H49/Monatsplanung!$E49*Monatsplanung!$K49),0,Personalplanung!H49/Monatsplanung!$E49*Monatsplanung!$K49)</f>
        <v>0</v>
      </c>
      <c r="F465" s="168">
        <f t="shared" si="130"/>
        <v>0</v>
      </c>
      <c r="G465" s="168">
        <f t="shared" si="131"/>
        <v>27.700831024930746</v>
      </c>
      <c r="H465" s="168">
        <f t="shared" si="132"/>
        <v>0</v>
      </c>
      <c r="I465" s="168">
        <f t="shared" si="133"/>
        <v>30</v>
      </c>
      <c r="J465" s="739"/>
      <c r="K465" s="168">
        <f>IF(J465&lt;&gt;"",J465,IF(ISERROR(Personalplanung!AB49/Monatsplanung!$E49*Monatsplanung!$K49),0,Personalplanung!AB49/Monatsplanung!$E49*Monatsplanung!$K49))</f>
        <v>0</v>
      </c>
      <c r="L465" s="740"/>
      <c r="M465" s="739"/>
      <c r="N465" s="168">
        <f>IF(M465&lt;&gt;"",M465,IF(ISERROR(Personalplanung!AC49/Monatsplanung!$E49*Monatsplanung!$K49),0,Personalplanung!AC49/Monatsplanung!$E49*Monatsplanung!$K49))</f>
        <v>0</v>
      </c>
      <c r="O465" s="740"/>
      <c r="P465" s="739"/>
      <c r="Q465" s="168">
        <f>IF(P465&lt;&gt;"",P465,IF(ISERROR(Personalplanung!AD49/Monatsplanung!$E49*Monatsplanung!$K49),0,Personalplanung!AD49/Monatsplanung!$E49*Monatsplanung!$K49))</f>
        <v>0</v>
      </c>
      <c r="R465" s="740"/>
      <c r="S465" s="739"/>
      <c r="T465" s="168">
        <f>IF(S465&lt;&gt;"",S465,IF(ISERROR(Personalplanung!AE49/Monatsplanung!$E49*Monatsplanung!$K49),0,Personalplanung!AE49/Monatsplanung!$E49*Monatsplanung!$K49))</f>
        <v>0</v>
      </c>
      <c r="U465" s="740"/>
      <c r="V465" s="168">
        <f t="shared" si="134"/>
        <v>0</v>
      </c>
      <c r="W465" s="168">
        <f>IF(ISERROR(Personalplanung!P49/Monatsplanung!$E49*Monatsplanung!$K49),0,Personalplanung!P49/Monatsplanung!$E49*Monatsplanung!$K49)</f>
        <v>0</v>
      </c>
      <c r="X465" s="168">
        <f>IF(ISERROR(Personalplanung!Q49/Monatsplanung!$E49*Monatsplanung!$K49),0,Personalplanung!Q49/Monatsplanung!$E49*Monatsplanung!$K49)</f>
        <v>0</v>
      </c>
      <c r="Y465" s="168">
        <f>IF(ISERROR(Personalplanung!R49/T1297*Stundencontrolling!T465),0,Personalplanung!R49/T1297*Stundencontrolling!T465)</f>
        <v>0</v>
      </c>
      <c r="Z465" s="168">
        <f>IF(ISERROR(Personalplanung!S49/Monatsplanung!$E49*Monatsplanung!$K49),0,Personalplanung!S49/Monatsplanung!$E49*Monatsplanung!$K49)</f>
        <v>0</v>
      </c>
      <c r="AA465" s="80">
        <f t="shared" si="135"/>
        <v>0</v>
      </c>
      <c r="AB465" s="102">
        <f t="shared" si="136"/>
        <v>0.1</v>
      </c>
      <c r="AC465" s="103">
        <f t="shared" si="137"/>
        <v>0</v>
      </c>
      <c r="AD465" s="103">
        <f t="shared" si="138"/>
        <v>0</v>
      </c>
      <c r="AE465" s="81">
        <f t="shared" si="139"/>
        <v>0</v>
      </c>
      <c r="AF465" s="539"/>
      <c r="AG465" s="104">
        <f t="shared" si="140"/>
        <v>1</v>
      </c>
      <c r="AH465" s="7">
        <f t="shared" si="141"/>
        <v>0</v>
      </c>
      <c r="AI465" s="6">
        <f t="shared" si="142"/>
        <v>0</v>
      </c>
      <c r="AJ465" s="73">
        <f t="shared" si="143"/>
        <v>0</v>
      </c>
      <c r="AK465" s="539"/>
      <c r="AL465" s="748"/>
      <c r="AM465" s="748"/>
    </row>
    <row r="466" spans="2:39" x14ac:dyDescent="0.2">
      <c r="B466" s="101" t="str">
        <f t="shared" si="128"/>
        <v/>
      </c>
      <c r="C466" s="168">
        <f>IF(ISERROR(Personalplanung!F50/Monatsplanung!$E50*Monatsplanung!$K50),0,Personalplanung!F50/Monatsplanung!$E50*Monatsplanung!$K50)</f>
        <v>0</v>
      </c>
      <c r="D466" s="168">
        <f t="shared" si="129"/>
        <v>0</v>
      </c>
      <c r="E466" s="168">
        <f>IF(ISERROR(Personalplanung!H50/Monatsplanung!$E50*Monatsplanung!$K50),0,Personalplanung!H50/Monatsplanung!$E50*Monatsplanung!$K50)</f>
        <v>0</v>
      </c>
      <c r="F466" s="168">
        <f t="shared" si="130"/>
        <v>0</v>
      </c>
      <c r="G466" s="168">
        <f t="shared" si="131"/>
        <v>27.700831024930746</v>
      </c>
      <c r="H466" s="168">
        <f t="shared" si="132"/>
        <v>0</v>
      </c>
      <c r="I466" s="168">
        <f t="shared" si="133"/>
        <v>30</v>
      </c>
      <c r="J466" s="739"/>
      <c r="K466" s="168">
        <f>IF(J466&lt;&gt;"",J466,IF(ISERROR(Personalplanung!AB50/Monatsplanung!$E50*Monatsplanung!$K50),0,Personalplanung!AB50/Monatsplanung!$E50*Monatsplanung!$K50))</f>
        <v>0</v>
      </c>
      <c r="L466" s="740"/>
      <c r="M466" s="739"/>
      <c r="N466" s="168">
        <f>IF(M466&lt;&gt;"",M466,IF(ISERROR(Personalplanung!AC50/Monatsplanung!$E50*Monatsplanung!$K50),0,Personalplanung!AC50/Monatsplanung!$E50*Monatsplanung!$K50))</f>
        <v>0</v>
      </c>
      <c r="O466" s="740"/>
      <c r="P466" s="739"/>
      <c r="Q466" s="168">
        <f>IF(P466&lt;&gt;"",P466,IF(ISERROR(Personalplanung!AD50/Monatsplanung!$E50*Monatsplanung!$K50),0,Personalplanung!AD50/Monatsplanung!$E50*Monatsplanung!$K50))</f>
        <v>0</v>
      </c>
      <c r="R466" s="740"/>
      <c r="S466" s="739"/>
      <c r="T466" s="168">
        <f>IF(S466&lt;&gt;"",S466,IF(ISERROR(Personalplanung!AE50/Monatsplanung!$E50*Monatsplanung!$K50),0,Personalplanung!AE50/Monatsplanung!$E50*Monatsplanung!$K50))</f>
        <v>0</v>
      </c>
      <c r="U466" s="740"/>
      <c r="V466" s="168">
        <f t="shared" si="134"/>
        <v>0</v>
      </c>
      <c r="W466" s="168">
        <f>IF(ISERROR(Personalplanung!P50/Monatsplanung!$E50*Monatsplanung!$K50),0,Personalplanung!P50/Monatsplanung!$E50*Monatsplanung!$K50)</f>
        <v>0</v>
      </c>
      <c r="X466" s="168">
        <f>IF(ISERROR(Personalplanung!Q50/Monatsplanung!$E50*Monatsplanung!$K50),0,Personalplanung!Q50/Monatsplanung!$E50*Monatsplanung!$K50)</f>
        <v>0</v>
      </c>
      <c r="Y466" s="168">
        <f>IF(ISERROR(Personalplanung!R50/T1298*Stundencontrolling!T466),0,Personalplanung!R50/T1298*Stundencontrolling!T466)</f>
        <v>0</v>
      </c>
      <c r="Z466" s="168">
        <f>IF(ISERROR(Personalplanung!S50/Monatsplanung!$E50*Monatsplanung!$K50),0,Personalplanung!S50/Monatsplanung!$E50*Monatsplanung!$K50)</f>
        <v>0</v>
      </c>
      <c r="AA466" s="80">
        <f t="shared" si="135"/>
        <v>0</v>
      </c>
      <c r="AB466" s="102">
        <f t="shared" si="136"/>
        <v>0.1</v>
      </c>
      <c r="AC466" s="103">
        <f t="shared" si="137"/>
        <v>0</v>
      </c>
      <c r="AD466" s="103">
        <f t="shared" si="138"/>
        <v>0</v>
      </c>
      <c r="AE466" s="81">
        <f t="shared" si="139"/>
        <v>0</v>
      </c>
      <c r="AF466" s="539"/>
      <c r="AG466" s="104">
        <f t="shared" si="140"/>
        <v>1</v>
      </c>
      <c r="AH466" s="7">
        <f t="shared" si="141"/>
        <v>0</v>
      </c>
      <c r="AI466" s="6">
        <f t="shared" si="142"/>
        <v>0</v>
      </c>
      <c r="AJ466" s="73">
        <f t="shared" si="143"/>
        <v>0</v>
      </c>
      <c r="AK466" s="539"/>
      <c r="AL466" s="748"/>
      <c r="AM466" s="748"/>
    </row>
    <row r="467" spans="2:39" x14ac:dyDescent="0.2">
      <c r="B467" s="101" t="str">
        <f t="shared" si="128"/>
        <v/>
      </c>
      <c r="C467" s="168">
        <f>IF(ISERROR(Personalplanung!F51/Monatsplanung!$E51*Monatsplanung!$K51),0,Personalplanung!F51/Monatsplanung!$E51*Monatsplanung!$K51)</f>
        <v>0</v>
      </c>
      <c r="D467" s="168">
        <f t="shared" si="129"/>
        <v>0</v>
      </c>
      <c r="E467" s="168">
        <f>IF(ISERROR(Personalplanung!H51/Monatsplanung!$E51*Monatsplanung!$K51),0,Personalplanung!H51/Monatsplanung!$E51*Monatsplanung!$K51)</f>
        <v>0</v>
      </c>
      <c r="F467" s="168">
        <f t="shared" si="130"/>
        <v>0</v>
      </c>
      <c r="G467" s="168">
        <f t="shared" si="131"/>
        <v>27.700831024930746</v>
      </c>
      <c r="H467" s="168">
        <f t="shared" si="132"/>
        <v>0</v>
      </c>
      <c r="I467" s="168">
        <f t="shared" si="133"/>
        <v>30</v>
      </c>
      <c r="J467" s="739"/>
      <c r="K467" s="168">
        <f>IF(J467&lt;&gt;"",J467,IF(ISERROR(Personalplanung!AB51/Monatsplanung!$E51*Monatsplanung!$K51),0,Personalplanung!AB51/Monatsplanung!$E51*Monatsplanung!$K51))</f>
        <v>0</v>
      </c>
      <c r="L467" s="740"/>
      <c r="M467" s="739"/>
      <c r="N467" s="168">
        <f>IF(M467&lt;&gt;"",M467,IF(ISERROR(Personalplanung!AC51/Monatsplanung!$E51*Monatsplanung!$K51),0,Personalplanung!AC51/Monatsplanung!$E51*Monatsplanung!$K51))</f>
        <v>0</v>
      </c>
      <c r="O467" s="740"/>
      <c r="P467" s="739"/>
      <c r="Q467" s="168">
        <f>IF(P467&lt;&gt;"",P467,IF(ISERROR(Personalplanung!AD51/Monatsplanung!$E51*Monatsplanung!$K51),0,Personalplanung!AD51/Monatsplanung!$E51*Monatsplanung!$K51))</f>
        <v>0</v>
      </c>
      <c r="R467" s="740"/>
      <c r="S467" s="739"/>
      <c r="T467" s="168">
        <f>IF(S467&lt;&gt;"",S467,IF(ISERROR(Personalplanung!AE51/Monatsplanung!$E51*Monatsplanung!$K51),0,Personalplanung!AE51/Monatsplanung!$E51*Monatsplanung!$K51))</f>
        <v>0</v>
      </c>
      <c r="U467" s="740"/>
      <c r="V467" s="168">
        <f t="shared" si="134"/>
        <v>0</v>
      </c>
      <c r="W467" s="168">
        <f>IF(ISERROR(Personalplanung!P51/Monatsplanung!$E51*Monatsplanung!$K51),0,Personalplanung!P51/Monatsplanung!$E51*Monatsplanung!$K51)</f>
        <v>0</v>
      </c>
      <c r="X467" s="168">
        <f>IF(ISERROR(Personalplanung!Q51/Monatsplanung!$E51*Monatsplanung!$K51),0,Personalplanung!Q51/Monatsplanung!$E51*Monatsplanung!$K51)</f>
        <v>0</v>
      </c>
      <c r="Y467" s="168">
        <f>IF(ISERROR(Personalplanung!R51/T1299*Stundencontrolling!T467),0,Personalplanung!R51/T1299*Stundencontrolling!T467)</f>
        <v>0</v>
      </c>
      <c r="Z467" s="168">
        <f>IF(ISERROR(Personalplanung!S51/Monatsplanung!$E51*Monatsplanung!$K51),0,Personalplanung!S51/Monatsplanung!$E51*Monatsplanung!$K51)</f>
        <v>0</v>
      </c>
      <c r="AA467" s="80">
        <f t="shared" si="135"/>
        <v>0</v>
      </c>
      <c r="AB467" s="102">
        <f t="shared" si="136"/>
        <v>0.1</v>
      </c>
      <c r="AC467" s="103">
        <f t="shared" si="137"/>
        <v>0</v>
      </c>
      <c r="AD467" s="103">
        <f t="shared" si="138"/>
        <v>0</v>
      </c>
      <c r="AE467" s="81">
        <f t="shared" si="139"/>
        <v>0</v>
      </c>
      <c r="AF467" s="539"/>
      <c r="AG467" s="104">
        <f t="shared" si="140"/>
        <v>1</v>
      </c>
      <c r="AH467" s="7">
        <f t="shared" si="141"/>
        <v>0</v>
      </c>
      <c r="AI467" s="6">
        <f t="shared" si="142"/>
        <v>0</v>
      </c>
      <c r="AJ467" s="73">
        <f t="shared" si="143"/>
        <v>0</v>
      </c>
      <c r="AK467" s="539"/>
      <c r="AL467" s="748"/>
      <c r="AM467" s="748"/>
    </row>
    <row r="468" spans="2:39" x14ac:dyDescent="0.2">
      <c r="B468" s="101" t="str">
        <f t="shared" si="128"/>
        <v/>
      </c>
      <c r="C468" s="168">
        <f>IF(ISERROR(Personalplanung!F52/Monatsplanung!$E52*Monatsplanung!$K52),0,Personalplanung!F52/Monatsplanung!$E52*Monatsplanung!$K52)</f>
        <v>0</v>
      </c>
      <c r="D468" s="168">
        <f t="shared" si="129"/>
        <v>0</v>
      </c>
      <c r="E468" s="168">
        <f>IF(ISERROR(Personalplanung!H52/Monatsplanung!$E52*Monatsplanung!$K52),0,Personalplanung!H52/Monatsplanung!$E52*Monatsplanung!$K52)</f>
        <v>0</v>
      </c>
      <c r="F468" s="168">
        <f t="shared" si="130"/>
        <v>0</v>
      </c>
      <c r="G468" s="168">
        <f t="shared" si="131"/>
        <v>27.700831024930746</v>
      </c>
      <c r="H468" s="168">
        <f t="shared" si="132"/>
        <v>0</v>
      </c>
      <c r="I468" s="168">
        <f t="shared" si="133"/>
        <v>30</v>
      </c>
      <c r="J468" s="739"/>
      <c r="K468" s="168">
        <f>IF(J468&lt;&gt;"",J468,IF(ISERROR(Personalplanung!AB52/Monatsplanung!$E52*Monatsplanung!$K52),0,Personalplanung!AB52/Monatsplanung!$E52*Monatsplanung!$K52))</f>
        <v>0</v>
      </c>
      <c r="L468" s="740"/>
      <c r="M468" s="739"/>
      <c r="N468" s="168">
        <f>IF(M468&lt;&gt;"",M468,IF(ISERROR(Personalplanung!AC52/Monatsplanung!$E52*Monatsplanung!$K52),0,Personalplanung!AC52/Monatsplanung!$E52*Monatsplanung!$K52))</f>
        <v>0</v>
      </c>
      <c r="O468" s="740"/>
      <c r="P468" s="739"/>
      <c r="Q468" s="168">
        <f>IF(P468&lt;&gt;"",P468,IF(ISERROR(Personalplanung!AD52/Monatsplanung!$E52*Monatsplanung!$K52),0,Personalplanung!AD52/Monatsplanung!$E52*Monatsplanung!$K52))</f>
        <v>0</v>
      </c>
      <c r="R468" s="740"/>
      <c r="S468" s="739"/>
      <c r="T468" s="168">
        <f>IF(S468&lt;&gt;"",S468,IF(ISERROR(Personalplanung!AE52/Monatsplanung!$E52*Monatsplanung!$K52),0,Personalplanung!AE52/Monatsplanung!$E52*Monatsplanung!$K52))</f>
        <v>0</v>
      </c>
      <c r="U468" s="740"/>
      <c r="V468" s="168">
        <f t="shared" si="134"/>
        <v>0</v>
      </c>
      <c r="W468" s="168">
        <f>IF(ISERROR(Personalplanung!P52/Monatsplanung!$E52*Monatsplanung!$K52),0,Personalplanung!P52/Monatsplanung!$E52*Monatsplanung!$K52)</f>
        <v>0</v>
      </c>
      <c r="X468" s="168">
        <f>IF(ISERROR(Personalplanung!Q52/Monatsplanung!$E52*Monatsplanung!$K52),0,Personalplanung!Q52/Monatsplanung!$E52*Monatsplanung!$K52)</f>
        <v>0</v>
      </c>
      <c r="Y468" s="168">
        <f>IF(ISERROR(Personalplanung!R52/T1300*Stundencontrolling!T468),0,Personalplanung!R52/T1300*Stundencontrolling!T468)</f>
        <v>0</v>
      </c>
      <c r="Z468" s="168">
        <f>IF(ISERROR(Personalplanung!S52/Monatsplanung!$E52*Monatsplanung!$K52),0,Personalplanung!S52/Monatsplanung!$E52*Monatsplanung!$K52)</f>
        <v>0</v>
      </c>
      <c r="AA468" s="80">
        <f t="shared" si="135"/>
        <v>0</v>
      </c>
      <c r="AB468" s="102">
        <f t="shared" si="136"/>
        <v>0.1</v>
      </c>
      <c r="AC468" s="103">
        <f t="shared" si="137"/>
        <v>0</v>
      </c>
      <c r="AD468" s="103">
        <f t="shared" si="138"/>
        <v>0</v>
      </c>
      <c r="AE468" s="81">
        <f t="shared" si="139"/>
        <v>0</v>
      </c>
      <c r="AF468" s="539"/>
      <c r="AG468" s="104">
        <f t="shared" si="140"/>
        <v>1</v>
      </c>
      <c r="AH468" s="7">
        <f t="shared" si="141"/>
        <v>0</v>
      </c>
      <c r="AI468" s="6">
        <f t="shared" si="142"/>
        <v>0</v>
      </c>
      <c r="AJ468" s="73">
        <f t="shared" si="143"/>
        <v>0</v>
      </c>
      <c r="AK468" s="539"/>
      <c r="AL468" s="748"/>
      <c r="AM468" s="748"/>
    </row>
    <row r="469" spans="2:39" x14ac:dyDescent="0.2">
      <c r="B469" s="101" t="str">
        <f t="shared" si="128"/>
        <v/>
      </c>
      <c r="C469" s="168">
        <f>IF(ISERROR(Personalplanung!F53/Monatsplanung!$E53*Monatsplanung!$K53),0,Personalplanung!F53/Monatsplanung!$E53*Monatsplanung!$K53)</f>
        <v>0</v>
      </c>
      <c r="D469" s="168">
        <f t="shared" si="129"/>
        <v>0</v>
      </c>
      <c r="E469" s="168">
        <f>IF(ISERROR(Personalplanung!H53/Monatsplanung!$E53*Monatsplanung!$K53),0,Personalplanung!H53/Monatsplanung!$E53*Monatsplanung!$K53)</f>
        <v>0</v>
      </c>
      <c r="F469" s="168">
        <f t="shared" si="130"/>
        <v>0</v>
      </c>
      <c r="G469" s="168">
        <f t="shared" si="131"/>
        <v>27.700831024930746</v>
      </c>
      <c r="H469" s="168">
        <f t="shared" si="132"/>
        <v>0</v>
      </c>
      <c r="I469" s="168">
        <f t="shared" si="133"/>
        <v>30</v>
      </c>
      <c r="J469" s="739"/>
      <c r="K469" s="168">
        <f>IF(J469&lt;&gt;"",J469,IF(ISERROR(Personalplanung!AB53/Monatsplanung!$E53*Monatsplanung!$K53),0,Personalplanung!AB53/Monatsplanung!$E53*Monatsplanung!$K53))</f>
        <v>0</v>
      </c>
      <c r="L469" s="740"/>
      <c r="M469" s="739"/>
      <c r="N469" s="168">
        <f>IF(M469&lt;&gt;"",M469,IF(ISERROR(Personalplanung!AC53/Monatsplanung!$E53*Monatsplanung!$K53),0,Personalplanung!AC53/Monatsplanung!$E53*Monatsplanung!$K53))</f>
        <v>0</v>
      </c>
      <c r="O469" s="740"/>
      <c r="P469" s="739"/>
      <c r="Q469" s="168">
        <f>IF(P469&lt;&gt;"",P469,IF(ISERROR(Personalplanung!AD53/Monatsplanung!$E53*Monatsplanung!$K53),0,Personalplanung!AD53/Monatsplanung!$E53*Monatsplanung!$K53))</f>
        <v>0</v>
      </c>
      <c r="R469" s="740"/>
      <c r="S469" s="739"/>
      <c r="T469" s="168">
        <f>IF(S469&lt;&gt;"",S469,IF(ISERROR(Personalplanung!AE53/Monatsplanung!$E53*Monatsplanung!$K53),0,Personalplanung!AE53/Monatsplanung!$E53*Monatsplanung!$K53))</f>
        <v>0</v>
      </c>
      <c r="U469" s="740"/>
      <c r="V469" s="168">
        <f t="shared" si="134"/>
        <v>0</v>
      </c>
      <c r="W469" s="168">
        <f>IF(ISERROR(Personalplanung!P53/Monatsplanung!$E53*Monatsplanung!$K53),0,Personalplanung!P53/Monatsplanung!$E53*Monatsplanung!$K53)</f>
        <v>0</v>
      </c>
      <c r="X469" s="168">
        <f>IF(ISERROR(Personalplanung!Q53/Monatsplanung!$E53*Monatsplanung!$K53),0,Personalplanung!Q53/Monatsplanung!$E53*Monatsplanung!$K53)</f>
        <v>0</v>
      </c>
      <c r="Y469" s="168">
        <f>IF(ISERROR(Personalplanung!R53/T1301*Stundencontrolling!T469),0,Personalplanung!R53/T1301*Stundencontrolling!T469)</f>
        <v>0</v>
      </c>
      <c r="Z469" s="168">
        <f>IF(ISERROR(Personalplanung!S53/Monatsplanung!$E53*Monatsplanung!$K53),0,Personalplanung!S53/Monatsplanung!$E53*Monatsplanung!$K53)</f>
        <v>0</v>
      </c>
      <c r="AA469" s="80">
        <f t="shared" si="135"/>
        <v>0</v>
      </c>
      <c r="AB469" s="102">
        <f t="shared" si="136"/>
        <v>0.1</v>
      </c>
      <c r="AC469" s="103">
        <f t="shared" si="137"/>
        <v>0</v>
      </c>
      <c r="AD469" s="103">
        <f t="shared" si="138"/>
        <v>0</v>
      </c>
      <c r="AE469" s="81">
        <f t="shared" si="139"/>
        <v>0</v>
      </c>
      <c r="AF469" s="539"/>
      <c r="AG469" s="104">
        <f t="shared" si="140"/>
        <v>1</v>
      </c>
      <c r="AH469" s="7">
        <f t="shared" si="141"/>
        <v>0</v>
      </c>
      <c r="AI469" s="6">
        <f t="shared" si="142"/>
        <v>0</v>
      </c>
      <c r="AJ469" s="73">
        <f t="shared" si="143"/>
        <v>0</v>
      </c>
      <c r="AK469" s="539"/>
      <c r="AL469" s="748"/>
      <c r="AM469" s="748"/>
    </row>
    <row r="470" spans="2:39" x14ac:dyDescent="0.2">
      <c r="B470" s="101" t="str">
        <f t="shared" si="128"/>
        <v/>
      </c>
      <c r="C470" s="168">
        <f>IF(ISERROR(Personalplanung!F54/Monatsplanung!$E54*Monatsplanung!$K54),0,Personalplanung!F54/Monatsplanung!$E54*Monatsplanung!$K54)</f>
        <v>0</v>
      </c>
      <c r="D470" s="168">
        <f t="shared" si="129"/>
        <v>0</v>
      </c>
      <c r="E470" s="168">
        <f>IF(ISERROR(Personalplanung!H54/Monatsplanung!$E54*Monatsplanung!$K54),0,Personalplanung!H54/Monatsplanung!$E54*Monatsplanung!$K54)</f>
        <v>0</v>
      </c>
      <c r="F470" s="168">
        <f t="shared" si="130"/>
        <v>0</v>
      </c>
      <c r="G470" s="168">
        <f t="shared" si="131"/>
        <v>27.700831024930746</v>
      </c>
      <c r="H470" s="168">
        <f t="shared" si="132"/>
        <v>0</v>
      </c>
      <c r="I470" s="168">
        <f t="shared" si="133"/>
        <v>30</v>
      </c>
      <c r="J470" s="739"/>
      <c r="K470" s="168">
        <f>IF(J470&lt;&gt;"",J470,IF(ISERROR(Personalplanung!AB54/Monatsplanung!$E54*Monatsplanung!$K54),0,Personalplanung!AB54/Monatsplanung!$E54*Monatsplanung!$K54))</f>
        <v>0</v>
      </c>
      <c r="L470" s="740"/>
      <c r="M470" s="739"/>
      <c r="N470" s="168">
        <f>IF(M470&lt;&gt;"",M470,IF(ISERROR(Personalplanung!AC54/Monatsplanung!$E54*Monatsplanung!$K54),0,Personalplanung!AC54/Monatsplanung!$E54*Monatsplanung!$K54))</f>
        <v>0</v>
      </c>
      <c r="O470" s="740"/>
      <c r="P470" s="739"/>
      <c r="Q470" s="168">
        <f>IF(P470&lt;&gt;"",P470,IF(ISERROR(Personalplanung!AD54/Monatsplanung!$E54*Monatsplanung!$K54),0,Personalplanung!AD54/Monatsplanung!$E54*Monatsplanung!$K54))</f>
        <v>0</v>
      </c>
      <c r="R470" s="740"/>
      <c r="S470" s="739"/>
      <c r="T470" s="168">
        <f>IF(S470&lt;&gt;"",S470,IF(ISERROR(Personalplanung!AE54/Monatsplanung!$E54*Monatsplanung!$K54),0,Personalplanung!AE54/Monatsplanung!$E54*Monatsplanung!$K54))</f>
        <v>0</v>
      </c>
      <c r="U470" s="740"/>
      <c r="V470" s="168">
        <f t="shared" si="134"/>
        <v>0</v>
      </c>
      <c r="W470" s="168">
        <f>IF(ISERROR(Personalplanung!P54/Monatsplanung!$E54*Monatsplanung!$K54),0,Personalplanung!P54/Monatsplanung!$E54*Monatsplanung!$K54)</f>
        <v>0</v>
      </c>
      <c r="X470" s="168">
        <f>IF(ISERROR(Personalplanung!Q54/Monatsplanung!$E54*Monatsplanung!$K54),0,Personalplanung!Q54/Monatsplanung!$E54*Monatsplanung!$K54)</f>
        <v>0</v>
      </c>
      <c r="Y470" s="168">
        <f>IF(ISERROR(Personalplanung!R54/T1302*Stundencontrolling!T470),0,Personalplanung!R54/T1302*Stundencontrolling!T470)</f>
        <v>0</v>
      </c>
      <c r="Z470" s="168">
        <f>IF(ISERROR(Personalplanung!S54/Monatsplanung!$E54*Monatsplanung!$K54),0,Personalplanung!S54/Monatsplanung!$E54*Monatsplanung!$K54)</f>
        <v>0</v>
      </c>
      <c r="AA470" s="80">
        <f t="shared" si="135"/>
        <v>0</v>
      </c>
      <c r="AB470" s="102">
        <f t="shared" si="136"/>
        <v>0.1</v>
      </c>
      <c r="AC470" s="103">
        <f t="shared" si="137"/>
        <v>0</v>
      </c>
      <c r="AD470" s="103">
        <f t="shared" si="138"/>
        <v>0</v>
      </c>
      <c r="AE470" s="81">
        <f t="shared" si="139"/>
        <v>0</v>
      </c>
      <c r="AF470" s="539"/>
      <c r="AG470" s="104">
        <f t="shared" si="140"/>
        <v>1</v>
      </c>
      <c r="AH470" s="7">
        <f t="shared" si="141"/>
        <v>0</v>
      </c>
      <c r="AI470" s="6">
        <f t="shared" si="142"/>
        <v>0</v>
      </c>
      <c r="AJ470" s="73">
        <f t="shared" si="143"/>
        <v>0</v>
      </c>
      <c r="AK470" s="539"/>
      <c r="AL470" s="748"/>
      <c r="AM470" s="748"/>
    </row>
    <row r="471" spans="2:39" x14ac:dyDescent="0.2">
      <c r="B471" s="101" t="str">
        <f t="shared" si="128"/>
        <v/>
      </c>
      <c r="C471" s="168">
        <f>IF(ISERROR(Personalplanung!F55/Monatsplanung!$E55*Monatsplanung!$K55),0,Personalplanung!F55/Monatsplanung!$E55*Monatsplanung!$K55)</f>
        <v>0</v>
      </c>
      <c r="D471" s="168">
        <f t="shared" si="129"/>
        <v>0</v>
      </c>
      <c r="E471" s="168">
        <f>IF(ISERROR(Personalplanung!H55/Monatsplanung!$E55*Monatsplanung!$K55),0,Personalplanung!H55/Monatsplanung!$E55*Monatsplanung!$K55)</f>
        <v>0</v>
      </c>
      <c r="F471" s="168">
        <f t="shared" si="130"/>
        <v>0</v>
      </c>
      <c r="G471" s="168">
        <f t="shared" si="131"/>
        <v>27.700831024930746</v>
      </c>
      <c r="H471" s="168">
        <f t="shared" si="132"/>
        <v>0</v>
      </c>
      <c r="I471" s="168">
        <f t="shared" si="133"/>
        <v>30</v>
      </c>
      <c r="J471" s="739"/>
      <c r="K471" s="168">
        <f>IF(J471&lt;&gt;"",J471,IF(ISERROR(Personalplanung!AB55/Monatsplanung!$E55*Monatsplanung!$K55),0,Personalplanung!AB55/Monatsplanung!$E55*Monatsplanung!$K55))</f>
        <v>0</v>
      </c>
      <c r="L471" s="740"/>
      <c r="M471" s="739"/>
      <c r="N471" s="168">
        <f>IF(M471&lt;&gt;"",M471,IF(ISERROR(Personalplanung!AC55/Monatsplanung!$E55*Monatsplanung!$K55),0,Personalplanung!AC55/Monatsplanung!$E55*Monatsplanung!$K55))</f>
        <v>0</v>
      </c>
      <c r="O471" s="740"/>
      <c r="P471" s="739"/>
      <c r="Q471" s="168">
        <f>IF(P471&lt;&gt;"",P471,IF(ISERROR(Personalplanung!AD55/Monatsplanung!$E55*Monatsplanung!$K55),0,Personalplanung!AD55/Monatsplanung!$E55*Monatsplanung!$K55))</f>
        <v>0</v>
      </c>
      <c r="R471" s="740"/>
      <c r="S471" s="739"/>
      <c r="T471" s="168">
        <f>IF(S471&lt;&gt;"",S471,IF(ISERROR(Personalplanung!AE55/Monatsplanung!$E55*Monatsplanung!$K55),0,Personalplanung!AE55/Monatsplanung!$E55*Monatsplanung!$K55))</f>
        <v>0</v>
      </c>
      <c r="U471" s="740"/>
      <c r="V471" s="168">
        <f t="shared" si="134"/>
        <v>0</v>
      </c>
      <c r="W471" s="168">
        <f>IF(ISERROR(Personalplanung!P55/Monatsplanung!$E55*Monatsplanung!$K55),0,Personalplanung!P55/Monatsplanung!$E55*Monatsplanung!$K55)</f>
        <v>0</v>
      </c>
      <c r="X471" s="168">
        <f>IF(ISERROR(Personalplanung!Q55/Monatsplanung!$E55*Monatsplanung!$K55),0,Personalplanung!Q55/Monatsplanung!$E55*Monatsplanung!$K55)</f>
        <v>0</v>
      </c>
      <c r="Y471" s="168">
        <f>IF(ISERROR(Personalplanung!R55/T1303*Stundencontrolling!T471),0,Personalplanung!R55/T1303*Stundencontrolling!T471)</f>
        <v>0</v>
      </c>
      <c r="Z471" s="168">
        <f>IF(ISERROR(Personalplanung!S55/Monatsplanung!$E55*Monatsplanung!$K55),0,Personalplanung!S55/Monatsplanung!$E55*Monatsplanung!$K55)</f>
        <v>0</v>
      </c>
      <c r="AA471" s="80">
        <f t="shared" si="135"/>
        <v>0</v>
      </c>
      <c r="AB471" s="102">
        <f t="shared" si="136"/>
        <v>0.1</v>
      </c>
      <c r="AC471" s="103">
        <f t="shared" si="137"/>
        <v>0</v>
      </c>
      <c r="AD471" s="103">
        <f t="shared" si="138"/>
        <v>0</v>
      </c>
      <c r="AE471" s="81">
        <f t="shared" si="139"/>
        <v>0</v>
      </c>
      <c r="AF471" s="539"/>
      <c r="AG471" s="104">
        <f t="shared" si="140"/>
        <v>1</v>
      </c>
      <c r="AH471" s="7">
        <f t="shared" si="141"/>
        <v>0</v>
      </c>
      <c r="AI471" s="6">
        <f t="shared" si="142"/>
        <v>0</v>
      </c>
      <c r="AJ471" s="73">
        <f t="shared" si="143"/>
        <v>0</v>
      </c>
      <c r="AK471" s="539"/>
      <c r="AL471" s="748"/>
      <c r="AM471" s="748"/>
    </row>
    <row r="472" spans="2:39" x14ac:dyDescent="0.2">
      <c r="B472" s="101" t="str">
        <f t="shared" si="128"/>
        <v/>
      </c>
      <c r="C472" s="168">
        <f>IF(ISERROR(Personalplanung!F56/Monatsplanung!$E56*Monatsplanung!$K56),0,Personalplanung!F56/Monatsplanung!$E56*Monatsplanung!$K56)</f>
        <v>0</v>
      </c>
      <c r="D472" s="168">
        <f t="shared" si="129"/>
        <v>0</v>
      </c>
      <c r="E472" s="168">
        <f>IF(ISERROR(Personalplanung!H56/Monatsplanung!$E56*Monatsplanung!$K56),0,Personalplanung!H56/Monatsplanung!$E56*Monatsplanung!$K56)</f>
        <v>0</v>
      </c>
      <c r="F472" s="168">
        <f t="shared" si="130"/>
        <v>0</v>
      </c>
      <c r="G472" s="168">
        <f t="shared" si="131"/>
        <v>27.700831024930746</v>
      </c>
      <c r="H472" s="168">
        <f t="shared" si="132"/>
        <v>0</v>
      </c>
      <c r="I472" s="168">
        <f t="shared" si="133"/>
        <v>30</v>
      </c>
      <c r="J472" s="739"/>
      <c r="K472" s="168">
        <f>IF(J472&lt;&gt;"",J472,IF(ISERROR(Personalplanung!AB56/Monatsplanung!$E56*Monatsplanung!$K56),0,Personalplanung!AB56/Monatsplanung!$E56*Monatsplanung!$K56))</f>
        <v>0</v>
      </c>
      <c r="L472" s="740"/>
      <c r="M472" s="739"/>
      <c r="N472" s="168">
        <f>IF(M472&lt;&gt;"",M472,IF(ISERROR(Personalplanung!AC56/Monatsplanung!$E56*Monatsplanung!$K56),0,Personalplanung!AC56/Monatsplanung!$E56*Monatsplanung!$K56))</f>
        <v>0</v>
      </c>
      <c r="O472" s="740"/>
      <c r="P472" s="739"/>
      <c r="Q472" s="168">
        <f>IF(P472&lt;&gt;"",P472,IF(ISERROR(Personalplanung!AD56/Monatsplanung!$E56*Monatsplanung!$K56),0,Personalplanung!AD56/Monatsplanung!$E56*Monatsplanung!$K56))</f>
        <v>0</v>
      </c>
      <c r="R472" s="740"/>
      <c r="S472" s="739"/>
      <c r="T472" s="168">
        <f>IF(S472&lt;&gt;"",S472,IF(ISERROR(Personalplanung!AE56/Monatsplanung!$E56*Monatsplanung!$K56),0,Personalplanung!AE56/Monatsplanung!$E56*Monatsplanung!$K56))</f>
        <v>0</v>
      </c>
      <c r="U472" s="740"/>
      <c r="V472" s="168">
        <f t="shared" si="134"/>
        <v>0</v>
      </c>
      <c r="W472" s="168">
        <f>IF(ISERROR(Personalplanung!P56/Monatsplanung!$E56*Monatsplanung!$K56),0,Personalplanung!P56/Monatsplanung!$E56*Monatsplanung!$K56)</f>
        <v>0</v>
      </c>
      <c r="X472" s="168">
        <f>IF(ISERROR(Personalplanung!Q56/Monatsplanung!$E56*Monatsplanung!$K56),0,Personalplanung!Q56/Monatsplanung!$E56*Monatsplanung!$K56)</f>
        <v>0</v>
      </c>
      <c r="Y472" s="168">
        <f>IF(ISERROR(Personalplanung!R56/T1304*Stundencontrolling!T472),0,Personalplanung!R56/T1304*Stundencontrolling!T472)</f>
        <v>0</v>
      </c>
      <c r="Z472" s="168">
        <f>IF(ISERROR(Personalplanung!S56/Monatsplanung!$E56*Monatsplanung!$K56),0,Personalplanung!S56/Monatsplanung!$E56*Monatsplanung!$K56)</f>
        <v>0</v>
      </c>
      <c r="AA472" s="80">
        <f t="shared" si="135"/>
        <v>0</v>
      </c>
      <c r="AB472" s="102">
        <f t="shared" si="136"/>
        <v>0.1</v>
      </c>
      <c r="AC472" s="103">
        <f t="shared" si="137"/>
        <v>0</v>
      </c>
      <c r="AD472" s="103">
        <f t="shared" si="138"/>
        <v>0</v>
      </c>
      <c r="AE472" s="81">
        <f t="shared" si="139"/>
        <v>0</v>
      </c>
      <c r="AF472" s="539"/>
      <c r="AG472" s="104">
        <f t="shared" si="140"/>
        <v>1</v>
      </c>
      <c r="AH472" s="7">
        <f t="shared" si="141"/>
        <v>0</v>
      </c>
      <c r="AI472" s="6">
        <f t="shared" si="142"/>
        <v>0</v>
      </c>
      <c r="AJ472" s="73">
        <f t="shared" si="143"/>
        <v>0</v>
      </c>
      <c r="AK472" s="539"/>
      <c r="AL472" s="748"/>
      <c r="AM472" s="748"/>
    </row>
    <row r="473" spans="2:39" x14ac:dyDescent="0.2">
      <c r="B473" s="101" t="str">
        <f t="shared" si="128"/>
        <v/>
      </c>
      <c r="C473" s="168">
        <f>IF(ISERROR(Personalplanung!F57/Monatsplanung!$E57*Monatsplanung!$K57),0,Personalplanung!F57/Monatsplanung!$E57*Monatsplanung!$K57)</f>
        <v>0</v>
      </c>
      <c r="D473" s="168">
        <f t="shared" si="129"/>
        <v>0</v>
      </c>
      <c r="E473" s="168">
        <f>IF(ISERROR(Personalplanung!H57/Monatsplanung!$E57*Monatsplanung!$K57),0,Personalplanung!H57/Monatsplanung!$E57*Monatsplanung!$K57)</f>
        <v>0</v>
      </c>
      <c r="F473" s="168">
        <f t="shared" si="130"/>
        <v>0</v>
      </c>
      <c r="G473" s="168">
        <f t="shared" si="131"/>
        <v>27.700831024930746</v>
      </c>
      <c r="H473" s="168">
        <f t="shared" si="132"/>
        <v>0</v>
      </c>
      <c r="I473" s="168">
        <f t="shared" si="133"/>
        <v>30</v>
      </c>
      <c r="J473" s="739"/>
      <c r="K473" s="168">
        <f>IF(J473&lt;&gt;"",J473,IF(ISERROR(Personalplanung!AB57/Monatsplanung!$E57*Monatsplanung!$K57),0,Personalplanung!AB57/Monatsplanung!$E57*Monatsplanung!$K57))</f>
        <v>0</v>
      </c>
      <c r="L473" s="740"/>
      <c r="M473" s="739"/>
      <c r="N473" s="168">
        <f>IF(M473&lt;&gt;"",M473,IF(ISERROR(Personalplanung!AC57/Monatsplanung!$E57*Monatsplanung!$K57),0,Personalplanung!AC57/Monatsplanung!$E57*Monatsplanung!$K57))</f>
        <v>0</v>
      </c>
      <c r="O473" s="740"/>
      <c r="P473" s="739"/>
      <c r="Q473" s="168">
        <f>IF(P473&lt;&gt;"",P473,IF(ISERROR(Personalplanung!AD57/Monatsplanung!$E57*Monatsplanung!$K57),0,Personalplanung!AD57/Monatsplanung!$E57*Monatsplanung!$K57))</f>
        <v>0</v>
      </c>
      <c r="R473" s="740"/>
      <c r="S473" s="739"/>
      <c r="T473" s="168">
        <f>IF(S473&lt;&gt;"",S473,IF(ISERROR(Personalplanung!AE57/Monatsplanung!$E57*Monatsplanung!$K57),0,Personalplanung!AE57/Monatsplanung!$E57*Monatsplanung!$K57))</f>
        <v>0</v>
      </c>
      <c r="U473" s="740"/>
      <c r="V473" s="168">
        <f t="shared" si="134"/>
        <v>0</v>
      </c>
      <c r="W473" s="168">
        <f>IF(ISERROR(Personalplanung!P57/Monatsplanung!$E57*Monatsplanung!$K57),0,Personalplanung!P57/Monatsplanung!$E57*Monatsplanung!$K57)</f>
        <v>0</v>
      </c>
      <c r="X473" s="168">
        <f>IF(ISERROR(Personalplanung!Q57/Monatsplanung!$E57*Monatsplanung!$K57),0,Personalplanung!Q57/Monatsplanung!$E57*Monatsplanung!$K57)</f>
        <v>0</v>
      </c>
      <c r="Y473" s="168">
        <f>IF(ISERROR(Personalplanung!R57/T1305*Stundencontrolling!T473),0,Personalplanung!R57/T1305*Stundencontrolling!T473)</f>
        <v>0</v>
      </c>
      <c r="Z473" s="168">
        <f>IF(ISERROR(Personalplanung!S57/Monatsplanung!$E57*Monatsplanung!$K57),0,Personalplanung!S57/Monatsplanung!$E57*Monatsplanung!$K57)</f>
        <v>0</v>
      </c>
      <c r="AA473" s="80">
        <f t="shared" si="135"/>
        <v>0</v>
      </c>
      <c r="AB473" s="102">
        <f t="shared" si="136"/>
        <v>0.1</v>
      </c>
      <c r="AC473" s="103">
        <f t="shared" si="137"/>
        <v>0</v>
      </c>
      <c r="AD473" s="103">
        <f t="shared" si="138"/>
        <v>0</v>
      </c>
      <c r="AE473" s="81">
        <f t="shared" si="139"/>
        <v>0</v>
      </c>
      <c r="AF473" s="539"/>
      <c r="AG473" s="104">
        <f t="shared" si="140"/>
        <v>1</v>
      </c>
      <c r="AH473" s="7">
        <f t="shared" si="141"/>
        <v>0</v>
      </c>
      <c r="AI473" s="6">
        <f t="shared" si="142"/>
        <v>0</v>
      </c>
      <c r="AJ473" s="73">
        <f t="shared" si="143"/>
        <v>0</v>
      </c>
      <c r="AK473" s="539"/>
      <c r="AL473" s="748"/>
      <c r="AM473" s="748"/>
    </row>
    <row r="474" spans="2:39" x14ac:dyDescent="0.2">
      <c r="B474" s="101" t="str">
        <f t="shared" si="128"/>
        <v/>
      </c>
      <c r="C474" s="168">
        <f>IF(ISERROR(Personalplanung!F58/Monatsplanung!$E58*Monatsplanung!$K58),0,Personalplanung!F58/Monatsplanung!$E58*Monatsplanung!$K58)</f>
        <v>0</v>
      </c>
      <c r="D474" s="168">
        <f t="shared" si="129"/>
        <v>0</v>
      </c>
      <c r="E474" s="168">
        <f>IF(ISERROR(Personalplanung!H58/Monatsplanung!$E58*Monatsplanung!$K58),0,Personalplanung!H58/Monatsplanung!$E58*Monatsplanung!$K58)</f>
        <v>0</v>
      </c>
      <c r="F474" s="168">
        <f t="shared" si="130"/>
        <v>0</v>
      </c>
      <c r="G474" s="168">
        <f t="shared" si="131"/>
        <v>27.700831024930746</v>
      </c>
      <c r="H474" s="168">
        <f t="shared" si="132"/>
        <v>0</v>
      </c>
      <c r="I474" s="168">
        <f t="shared" si="133"/>
        <v>30</v>
      </c>
      <c r="J474" s="739"/>
      <c r="K474" s="168">
        <f>IF(J474&lt;&gt;"",J474,IF(ISERROR(Personalplanung!AB58/Monatsplanung!$E58*Monatsplanung!$K58),0,Personalplanung!AB58/Monatsplanung!$E58*Monatsplanung!$K58))</f>
        <v>0</v>
      </c>
      <c r="L474" s="740"/>
      <c r="M474" s="739"/>
      <c r="N474" s="168">
        <f>IF(M474&lt;&gt;"",M474,IF(ISERROR(Personalplanung!AC58/Monatsplanung!$E58*Monatsplanung!$K58),0,Personalplanung!AC58/Monatsplanung!$E58*Monatsplanung!$K58))</f>
        <v>0</v>
      </c>
      <c r="O474" s="740"/>
      <c r="P474" s="739"/>
      <c r="Q474" s="168">
        <f>IF(P474&lt;&gt;"",P474,IF(ISERROR(Personalplanung!AD58/Monatsplanung!$E58*Monatsplanung!$K58),0,Personalplanung!AD58/Monatsplanung!$E58*Monatsplanung!$K58))</f>
        <v>0</v>
      </c>
      <c r="R474" s="740"/>
      <c r="S474" s="739"/>
      <c r="T474" s="168">
        <f>IF(S474&lt;&gt;"",S474,IF(ISERROR(Personalplanung!AE58/Monatsplanung!$E58*Monatsplanung!$K58),0,Personalplanung!AE58/Monatsplanung!$E58*Monatsplanung!$K58))</f>
        <v>0</v>
      </c>
      <c r="U474" s="740"/>
      <c r="V474" s="168">
        <f t="shared" si="134"/>
        <v>0</v>
      </c>
      <c r="W474" s="168">
        <f>IF(ISERROR(Personalplanung!P58/Monatsplanung!$E58*Monatsplanung!$K58),0,Personalplanung!P58/Monatsplanung!$E58*Monatsplanung!$K58)</f>
        <v>0</v>
      </c>
      <c r="X474" s="168">
        <f>IF(ISERROR(Personalplanung!Q58/Monatsplanung!$E58*Monatsplanung!$K58),0,Personalplanung!Q58/Monatsplanung!$E58*Monatsplanung!$K58)</f>
        <v>0</v>
      </c>
      <c r="Y474" s="168">
        <f>IF(ISERROR(Personalplanung!R58/T1306*Stundencontrolling!T474),0,Personalplanung!R58/T1306*Stundencontrolling!T474)</f>
        <v>0</v>
      </c>
      <c r="Z474" s="168">
        <f>IF(ISERROR(Personalplanung!S58/Monatsplanung!$E58*Monatsplanung!$K58),0,Personalplanung!S58/Monatsplanung!$E58*Monatsplanung!$K58)</f>
        <v>0</v>
      </c>
      <c r="AA474" s="80">
        <f t="shared" si="135"/>
        <v>0</v>
      </c>
      <c r="AB474" s="102">
        <f t="shared" si="136"/>
        <v>0.1</v>
      </c>
      <c r="AC474" s="103">
        <f t="shared" si="137"/>
        <v>0</v>
      </c>
      <c r="AD474" s="103">
        <f t="shared" si="138"/>
        <v>0</v>
      </c>
      <c r="AE474" s="81">
        <f t="shared" si="139"/>
        <v>0</v>
      </c>
      <c r="AF474" s="539"/>
      <c r="AG474" s="104">
        <f t="shared" si="140"/>
        <v>1</v>
      </c>
      <c r="AH474" s="7">
        <f t="shared" si="141"/>
        <v>0</v>
      </c>
      <c r="AI474" s="6">
        <f t="shared" si="142"/>
        <v>0</v>
      </c>
      <c r="AJ474" s="73">
        <f t="shared" si="143"/>
        <v>0</v>
      </c>
      <c r="AK474" s="539"/>
      <c r="AL474" s="748"/>
      <c r="AM474" s="748"/>
    </row>
    <row r="475" spans="2:39" x14ac:dyDescent="0.2">
      <c r="B475" s="101" t="str">
        <f t="shared" si="128"/>
        <v/>
      </c>
      <c r="C475" s="168">
        <f>IF(ISERROR(Personalplanung!F59/Monatsplanung!$E59*Monatsplanung!$K59),0,Personalplanung!F59/Monatsplanung!$E59*Monatsplanung!$K59)</f>
        <v>0</v>
      </c>
      <c r="D475" s="168">
        <f t="shared" si="129"/>
        <v>0</v>
      </c>
      <c r="E475" s="168">
        <f>IF(ISERROR(Personalplanung!H59/Monatsplanung!$E59*Monatsplanung!$K59),0,Personalplanung!H59/Monatsplanung!$E59*Monatsplanung!$K59)</f>
        <v>0</v>
      </c>
      <c r="F475" s="168">
        <f t="shared" si="130"/>
        <v>0</v>
      </c>
      <c r="G475" s="168">
        <f t="shared" si="131"/>
        <v>27.700831024930746</v>
      </c>
      <c r="H475" s="168">
        <f t="shared" si="132"/>
        <v>0</v>
      </c>
      <c r="I475" s="168">
        <f t="shared" si="133"/>
        <v>30</v>
      </c>
      <c r="J475" s="739"/>
      <c r="K475" s="168">
        <f>IF(J475&lt;&gt;"",J475,IF(ISERROR(Personalplanung!AB59/Monatsplanung!$E59*Monatsplanung!$K59),0,Personalplanung!AB59/Monatsplanung!$E59*Monatsplanung!$K59))</f>
        <v>0</v>
      </c>
      <c r="L475" s="740"/>
      <c r="M475" s="739"/>
      <c r="N475" s="168">
        <f>IF(M475&lt;&gt;"",M475,IF(ISERROR(Personalplanung!AC59/Monatsplanung!$E59*Monatsplanung!$K59),0,Personalplanung!AC59/Monatsplanung!$E59*Monatsplanung!$K59))</f>
        <v>0</v>
      </c>
      <c r="O475" s="740"/>
      <c r="P475" s="739"/>
      <c r="Q475" s="168">
        <f>IF(P475&lt;&gt;"",P475,IF(ISERROR(Personalplanung!AD59/Monatsplanung!$E59*Monatsplanung!$K59),0,Personalplanung!AD59/Monatsplanung!$E59*Monatsplanung!$K59))</f>
        <v>0</v>
      </c>
      <c r="R475" s="740"/>
      <c r="S475" s="739"/>
      <c r="T475" s="168">
        <f>IF(S475&lt;&gt;"",S475,IF(ISERROR(Personalplanung!AE59/Monatsplanung!$E59*Monatsplanung!$K59),0,Personalplanung!AE59/Monatsplanung!$E59*Monatsplanung!$K59))</f>
        <v>0</v>
      </c>
      <c r="U475" s="740"/>
      <c r="V475" s="168">
        <f t="shared" si="134"/>
        <v>0</v>
      </c>
      <c r="W475" s="168">
        <f>IF(ISERROR(Personalplanung!P59/Monatsplanung!$E59*Monatsplanung!$K59),0,Personalplanung!P59/Monatsplanung!$E59*Monatsplanung!$K59)</f>
        <v>0</v>
      </c>
      <c r="X475" s="168">
        <f>IF(ISERROR(Personalplanung!Q59/Monatsplanung!$E59*Monatsplanung!$K59),0,Personalplanung!Q59/Monatsplanung!$E59*Monatsplanung!$K59)</f>
        <v>0</v>
      </c>
      <c r="Y475" s="168">
        <f>IF(ISERROR(Personalplanung!R59/T1307*Stundencontrolling!T475),0,Personalplanung!R59/T1307*Stundencontrolling!T475)</f>
        <v>0</v>
      </c>
      <c r="Z475" s="168">
        <f>IF(ISERROR(Personalplanung!S59/Monatsplanung!$E59*Monatsplanung!$K59),0,Personalplanung!S59/Monatsplanung!$E59*Monatsplanung!$K59)</f>
        <v>0</v>
      </c>
      <c r="AA475" s="80">
        <f t="shared" si="135"/>
        <v>0</v>
      </c>
      <c r="AB475" s="102">
        <f t="shared" si="136"/>
        <v>0.1</v>
      </c>
      <c r="AC475" s="103">
        <f t="shared" si="137"/>
        <v>0</v>
      </c>
      <c r="AD475" s="103">
        <f t="shared" si="138"/>
        <v>0</v>
      </c>
      <c r="AE475" s="81">
        <f t="shared" si="139"/>
        <v>0</v>
      </c>
      <c r="AF475" s="539"/>
      <c r="AG475" s="104">
        <f t="shared" si="140"/>
        <v>1</v>
      </c>
      <c r="AH475" s="7">
        <f t="shared" si="141"/>
        <v>0</v>
      </c>
      <c r="AI475" s="6">
        <f t="shared" si="142"/>
        <v>0</v>
      </c>
      <c r="AJ475" s="73">
        <f t="shared" si="143"/>
        <v>0</v>
      </c>
      <c r="AK475" s="539"/>
      <c r="AL475" s="748"/>
      <c r="AM475" s="748"/>
    </row>
    <row r="476" spans="2:39" x14ac:dyDescent="0.2">
      <c r="B476" s="101" t="str">
        <f t="shared" si="128"/>
        <v/>
      </c>
      <c r="C476" s="168">
        <f>IF(ISERROR(Personalplanung!F60/Monatsplanung!$E60*Monatsplanung!$K60),0,Personalplanung!F60/Monatsplanung!$E60*Monatsplanung!$K60)</f>
        <v>0</v>
      </c>
      <c r="D476" s="168">
        <f t="shared" si="129"/>
        <v>0</v>
      </c>
      <c r="E476" s="168">
        <f>IF(ISERROR(Personalplanung!H60/Monatsplanung!$E60*Monatsplanung!$K60),0,Personalplanung!H60/Monatsplanung!$E60*Monatsplanung!$K60)</f>
        <v>0</v>
      </c>
      <c r="F476" s="168">
        <f t="shared" si="130"/>
        <v>0</v>
      </c>
      <c r="G476" s="168">
        <f t="shared" si="131"/>
        <v>27.700831024930746</v>
      </c>
      <c r="H476" s="168">
        <f t="shared" si="132"/>
        <v>0</v>
      </c>
      <c r="I476" s="168">
        <f t="shared" si="133"/>
        <v>30</v>
      </c>
      <c r="J476" s="739"/>
      <c r="K476" s="168">
        <f>IF(J476&lt;&gt;"",J476,IF(ISERROR(Personalplanung!AB60/Monatsplanung!$E60*Monatsplanung!$K60),0,Personalplanung!AB60/Monatsplanung!$E60*Monatsplanung!$K60))</f>
        <v>0</v>
      </c>
      <c r="L476" s="740"/>
      <c r="M476" s="739"/>
      <c r="N476" s="168">
        <f>IF(M476&lt;&gt;"",M476,IF(ISERROR(Personalplanung!AC60/Monatsplanung!$E60*Monatsplanung!$K60),0,Personalplanung!AC60/Monatsplanung!$E60*Monatsplanung!$K60))</f>
        <v>0</v>
      </c>
      <c r="O476" s="740"/>
      <c r="P476" s="739"/>
      <c r="Q476" s="168">
        <f>IF(P476&lt;&gt;"",P476,IF(ISERROR(Personalplanung!AD60/Monatsplanung!$E60*Monatsplanung!$K60),0,Personalplanung!AD60/Monatsplanung!$E60*Monatsplanung!$K60))</f>
        <v>0</v>
      </c>
      <c r="R476" s="740"/>
      <c r="S476" s="739"/>
      <c r="T476" s="168">
        <f>IF(S476&lt;&gt;"",S476,IF(ISERROR(Personalplanung!AE60/Monatsplanung!$E60*Monatsplanung!$K60),0,Personalplanung!AE60/Monatsplanung!$E60*Monatsplanung!$K60))</f>
        <v>0</v>
      </c>
      <c r="U476" s="740"/>
      <c r="V476" s="168">
        <f t="shared" si="134"/>
        <v>0</v>
      </c>
      <c r="W476" s="168">
        <f>IF(ISERROR(Personalplanung!P60/Monatsplanung!$E60*Monatsplanung!$K60),0,Personalplanung!P60/Monatsplanung!$E60*Monatsplanung!$K60)</f>
        <v>0</v>
      </c>
      <c r="X476" s="168">
        <f>IF(ISERROR(Personalplanung!Q60/Monatsplanung!$E60*Monatsplanung!$K60),0,Personalplanung!Q60/Monatsplanung!$E60*Monatsplanung!$K60)</f>
        <v>0</v>
      </c>
      <c r="Y476" s="168">
        <f>IF(ISERROR(Personalplanung!R60/T1308*Stundencontrolling!T476),0,Personalplanung!R60/T1308*Stundencontrolling!T476)</f>
        <v>0</v>
      </c>
      <c r="Z476" s="168">
        <f>IF(ISERROR(Personalplanung!S60/Monatsplanung!$E60*Monatsplanung!$K60),0,Personalplanung!S60/Monatsplanung!$E60*Monatsplanung!$K60)</f>
        <v>0</v>
      </c>
      <c r="AA476" s="80">
        <f t="shared" si="135"/>
        <v>0</v>
      </c>
      <c r="AB476" s="102">
        <f t="shared" si="136"/>
        <v>0.1</v>
      </c>
      <c r="AC476" s="103">
        <f t="shared" si="137"/>
        <v>0</v>
      </c>
      <c r="AD476" s="103">
        <f t="shared" si="138"/>
        <v>0</v>
      </c>
      <c r="AE476" s="81">
        <f t="shared" si="139"/>
        <v>0</v>
      </c>
      <c r="AF476" s="539"/>
      <c r="AG476" s="104">
        <f t="shared" si="140"/>
        <v>1</v>
      </c>
      <c r="AH476" s="7">
        <f t="shared" si="141"/>
        <v>0</v>
      </c>
      <c r="AI476" s="6">
        <f t="shared" si="142"/>
        <v>0</v>
      </c>
      <c r="AJ476" s="73">
        <f t="shared" si="143"/>
        <v>0</v>
      </c>
      <c r="AK476" s="539"/>
      <c r="AL476" s="748"/>
      <c r="AM476" s="748"/>
    </row>
    <row r="477" spans="2:39" x14ac:dyDescent="0.2">
      <c r="B477" s="101" t="str">
        <f t="shared" si="128"/>
        <v/>
      </c>
      <c r="C477" s="168">
        <f>IF(ISERROR(Personalplanung!F61/Monatsplanung!$E61*Monatsplanung!$K61),0,Personalplanung!F61/Monatsplanung!$E61*Monatsplanung!$K61)</f>
        <v>0</v>
      </c>
      <c r="D477" s="168">
        <f t="shared" si="129"/>
        <v>0</v>
      </c>
      <c r="E477" s="168">
        <f>IF(ISERROR(Personalplanung!H61/Monatsplanung!$E61*Monatsplanung!$K61),0,Personalplanung!H61/Monatsplanung!$E61*Monatsplanung!$K61)</f>
        <v>0</v>
      </c>
      <c r="F477" s="168">
        <f t="shared" si="130"/>
        <v>0</v>
      </c>
      <c r="G477" s="168">
        <f t="shared" si="131"/>
        <v>27.700831024930746</v>
      </c>
      <c r="H477" s="168">
        <f t="shared" si="132"/>
        <v>0</v>
      </c>
      <c r="I477" s="168">
        <f t="shared" si="133"/>
        <v>30</v>
      </c>
      <c r="J477" s="739"/>
      <c r="K477" s="168">
        <f>IF(J477&lt;&gt;"",J477,IF(ISERROR(Personalplanung!AB61/Monatsplanung!$E61*Monatsplanung!$K61),0,Personalplanung!AB61/Monatsplanung!$E61*Monatsplanung!$K61))</f>
        <v>0</v>
      </c>
      <c r="L477" s="740"/>
      <c r="M477" s="739"/>
      <c r="N477" s="168">
        <f>IF(M477&lt;&gt;"",M477,IF(ISERROR(Personalplanung!AC61/Monatsplanung!$E61*Monatsplanung!$K61),0,Personalplanung!AC61/Monatsplanung!$E61*Monatsplanung!$K61))</f>
        <v>0</v>
      </c>
      <c r="O477" s="740"/>
      <c r="P477" s="739"/>
      <c r="Q477" s="168">
        <f>IF(P477&lt;&gt;"",P477,IF(ISERROR(Personalplanung!AD61/Monatsplanung!$E61*Monatsplanung!$K61),0,Personalplanung!AD61/Monatsplanung!$E61*Monatsplanung!$K61))</f>
        <v>0</v>
      </c>
      <c r="R477" s="740"/>
      <c r="S477" s="739"/>
      <c r="T477" s="168">
        <f>IF(S477&lt;&gt;"",S477,IF(ISERROR(Personalplanung!AE61/Monatsplanung!$E61*Monatsplanung!$K61),0,Personalplanung!AE61/Monatsplanung!$E61*Monatsplanung!$K61))</f>
        <v>0</v>
      </c>
      <c r="U477" s="740"/>
      <c r="V477" s="168">
        <f t="shared" si="134"/>
        <v>0</v>
      </c>
      <c r="W477" s="168">
        <f>IF(ISERROR(Personalplanung!P61/Monatsplanung!$E61*Monatsplanung!$K61),0,Personalplanung!P61/Monatsplanung!$E61*Monatsplanung!$K61)</f>
        <v>0</v>
      </c>
      <c r="X477" s="168">
        <f>IF(ISERROR(Personalplanung!Q61/Monatsplanung!$E61*Monatsplanung!$K61),0,Personalplanung!Q61/Monatsplanung!$E61*Monatsplanung!$K61)</f>
        <v>0</v>
      </c>
      <c r="Y477" s="168">
        <f>IF(ISERROR(Personalplanung!R61/T1309*Stundencontrolling!T477),0,Personalplanung!R61/T1309*Stundencontrolling!T477)</f>
        <v>0</v>
      </c>
      <c r="Z477" s="168">
        <f>IF(ISERROR(Personalplanung!S61/Monatsplanung!$E61*Monatsplanung!$K61),0,Personalplanung!S61/Monatsplanung!$E61*Monatsplanung!$K61)</f>
        <v>0</v>
      </c>
      <c r="AA477" s="80">
        <f t="shared" si="135"/>
        <v>0</v>
      </c>
      <c r="AB477" s="102">
        <f t="shared" si="136"/>
        <v>0.1</v>
      </c>
      <c r="AC477" s="103">
        <f t="shared" si="137"/>
        <v>0</v>
      </c>
      <c r="AD477" s="103">
        <f t="shared" si="138"/>
        <v>0</v>
      </c>
      <c r="AE477" s="81">
        <f t="shared" si="139"/>
        <v>0</v>
      </c>
      <c r="AF477" s="539"/>
      <c r="AG477" s="104">
        <f t="shared" si="140"/>
        <v>1</v>
      </c>
      <c r="AH477" s="7">
        <f t="shared" si="141"/>
        <v>0</v>
      </c>
      <c r="AI477" s="6">
        <f t="shared" si="142"/>
        <v>0</v>
      </c>
      <c r="AJ477" s="73">
        <f t="shared" si="143"/>
        <v>0</v>
      </c>
      <c r="AK477" s="539"/>
      <c r="AL477" s="748"/>
      <c r="AM477" s="748"/>
    </row>
    <row r="478" spans="2:39" x14ac:dyDescent="0.2">
      <c r="B478" s="101" t="str">
        <f t="shared" si="128"/>
        <v/>
      </c>
      <c r="C478" s="168">
        <f>IF(ISERROR(Personalplanung!F62/Monatsplanung!$E62*Monatsplanung!$K62),0,Personalplanung!F62/Monatsplanung!$E62*Monatsplanung!$K62)</f>
        <v>0</v>
      </c>
      <c r="D478" s="168">
        <f t="shared" si="129"/>
        <v>0</v>
      </c>
      <c r="E478" s="168">
        <f>IF(ISERROR(Personalplanung!H62/Monatsplanung!$E62*Monatsplanung!$K62),0,Personalplanung!H62/Monatsplanung!$E62*Monatsplanung!$K62)</f>
        <v>0</v>
      </c>
      <c r="F478" s="168">
        <f t="shared" si="130"/>
        <v>0</v>
      </c>
      <c r="G478" s="168">
        <f t="shared" si="131"/>
        <v>27.700831024930746</v>
      </c>
      <c r="H478" s="168">
        <f t="shared" si="132"/>
        <v>0</v>
      </c>
      <c r="I478" s="168">
        <f t="shared" si="133"/>
        <v>30</v>
      </c>
      <c r="J478" s="739"/>
      <c r="K478" s="168">
        <f>IF(J478&lt;&gt;"",J478,IF(ISERROR(Personalplanung!AB62/Monatsplanung!$E62*Monatsplanung!$K62),0,Personalplanung!AB62/Monatsplanung!$E62*Monatsplanung!$K62))</f>
        <v>0</v>
      </c>
      <c r="L478" s="740"/>
      <c r="M478" s="739"/>
      <c r="N478" s="168">
        <f>IF(M478&lt;&gt;"",M478,IF(ISERROR(Personalplanung!AC62/Monatsplanung!$E62*Monatsplanung!$K62),0,Personalplanung!AC62/Monatsplanung!$E62*Monatsplanung!$K62))</f>
        <v>0</v>
      </c>
      <c r="O478" s="740"/>
      <c r="P478" s="739"/>
      <c r="Q478" s="168">
        <f>IF(P478&lt;&gt;"",P478,IF(ISERROR(Personalplanung!AD62/Monatsplanung!$E62*Monatsplanung!$K62),0,Personalplanung!AD62/Monatsplanung!$E62*Monatsplanung!$K62))</f>
        <v>0</v>
      </c>
      <c r="R478" s="740"/>
      <c r="S478" s="739"/>
      <c r="T478" s="168">
        <f>IF(S478&lt;&gt;"",S478,IF(ISERROR(Personalplanung!AE62/Monatsplanung!$E62*Monatsplanung!$K62),0,Personalplanung!AE62/Monatsplanung!$E62*Monatsplanung!$K62))</f>
        <v>0</v>
      </c>
      <c r="U478" s="740"/>
      <c r="V478" s="168">
        <f t="shared" si="134"/>
        <v>0</v>
      </c>
      <c r="W478" s="168">
        <f>IF(ISERROR(Personalplanung!P62/Monatsplanung!$E62*Monatsplanung!$K62),0,Personalplanung!P62/Monatsplanung!$E62*Monatsplanung!$K62)</f>
        <v>0</v>
      </c>
      <c r="X478" s="168">
        <f>IF(ISERROR(Personalplanung!Q62/Monatsplanung!$E62*Monatsplanung!$K62),0,Personalplanung!Q62/Monatsplanung!$E62*Monatsplanung!$K62)</f>
        <v>0</v>
      </c>
      <c r="Y478" s="168">
        <f>IF(ISERROR(Personalplanung!R62/T1310*Stundencontrolling!T478),0,Personalplanung!R62/T1310*Stundencontrolling!T478)</f>
        <v>0</v>
      </c>
      <c r="Z478" s="168">
        <f>IF(ISERROR(Personalplanung!S62/Monatsplanung!$E62*Monatsplanung!$K62),0,Personalplanung!S62/Monatsplanung!$E62*Monatsplanung!$K62)</f>
        <v>0</v>
      </c>
      <c r="AA478" s="80">
        <f t="shared" si="135"/>
        <v>0</v>
      </c>
      <c r="AB478" s="102">
        <f t="shared" si="136"/>
        <v>0.1</v>
      </c>
      <c r="AC478" s="103">
        <f t="shared" si="137"/>
        <v>0</v>
      </c>
      <c r="AD478" s="103">
        <f t="shared" si="138"/>
        <v>0</v>
      </c>
      <c r="AE478" s="81">
        <f t="shared" si="139"/>
        <v>0</v>
      </c>
      <c r="AF478" s="539"/>
      <c r="AG478" s="104">
        <f t="shared" si="140"/>
        <v>1</v>
      </c>
      <c r="AH478" s="7">
        <f t="shared" si="141"/>
        <v>0</v>
      </c>
      <c r="AI478" s="6">
        <f t="shared" si="142"/>
        <v>0</v>
      </c>
      <c r="AJ478" s="73">
        <f t="shared" si="143"/>
        <v>0</v>
      </c>
      <c r="AK478" s="539"/>
      <c r="AL478" s="748"/>
      <c r="AM478" s="748"/>
    </row>
    <row r="479" spans="2:39" x14ac:dyDescent="0.2">
      <c r="B479" s="101" t="str">
        <f t="shared" si="128"/>
        <v/>
      </c>
      <c r="C479" s="168">
        <f>IF(ISERROR(Personalplanung!F63/Monatsplanung!$E63*Monatsplanung!$K63),0,Personalplanung!F63/Monatsplanung!$E63*Monatsplanung!$K63)</f>
        <v>0</v>
      </c>
      <c r="D479" s="168">
        <f t="shared" si="129"/>
        <v>0</v>
      </c>
      <c r="E479" s="168">
        <f>IF(ISERROR(Personalplanung!H63/Monatsplanung!$E63*Monatsplanung!$K63),0,Personalplanung!H63/Monatsplanung!$E63*Monatsplanung!$K63)</f>
        <v>0</v>
      </c>
      <c r="F479" s="168">
        <f t="shared" si="130"/>
        <v>0</v>
      </c>
      <c r="G479" s="168">
        <f t="shared" si="131"/>
        <v>27.700831024930746</v>
      </c>
      <c r="H479" s="168">
        <f t="shared" si="132"/>
        <v>0</v>
      </c>
      <c r="I479" s="168">
        <f t="shared" si="133"/>
        <v>30</v>
      </c>
      <c r="J479" s="739"/>
      <c r="K479" s="168">
        <f>IF(J479&lt;&gt;"",J479,IF(ISERROR(Personalplanung!AB63/Monatsplanung!$E63*Monatsplanung!$K63),0,Personalplanung!AB63/Monatsplanung!$E63*Monatsplanung!$K63))</f>
        <v>0</v>
      </c>
      <c r="L479" s="740"/>
      <c r="M479" s="739"/>
      <c r="N479" s="168">
        <f>IF(M479&lt;&gt;"",M479,IF(ISERROR(Personalplanung!AC63/Monatsplanung!$E63*Monatsplanung!$K63),0,Personalplanung!AC63/Monatsplanung!$E63*Monatsplanung!$K63))</f>
        <v>0</v>
      </c>
      <c r="O479" s="740"/>
      <c r="P479" s="739"/>
      <c r="Q479" s="168">
        <f>IF(P479&lt;&gt;"",P479,IF(ISERROR(Personalplanung!AD63/Monatsplanung!$E63*Monatsplanung!$K63),0,Personalplanung!AD63/Monatsplanung!$E63*Monatsplanung!$K63))</f>
        <v>0</v>
      </c>
      <c r="R479" s="740"/>
      <c r="S479" s="739"/>
      <c r="T479" s="168">
        <f>IF(S479&lt;&gt;"",S479,IF(ISERROR(Personalplanung!AE63/Monatsplanung!$E63*Monatsplanung!$K63),0,Personalplanung!AE63/Monatsplanung!$E63*Monatsplanung!$K63))</f>
        <v>0</v>
      </c>
      <c r="U479" s="740"/>
      <c r="V479" s="168">
        <f t="shared" si="134"/>
        <v>0</v>
      </c>
      <c r="W479" s="168">
        <f>IF(ISERROR(Personalplanung!P63/Monatsplanung!$E63*Monatsplanung!$K63),0,Personalplanung!P63/Monatsplanung!$E63*Monatsplanung!$K63)</f>
        <v>0</v>
      </c>
      <c r="X479" s="168">
        <f>IF(ISERROR(Personalplanung!Q63/Monatsplanung!$E63*Monatsplanung!$K63),0,Personalplanung!Q63/Monatsplanung!$E63*Monatsplanung!$K63)</f>
        <v>0</v>
      </c>
      <c r="Y479" s="168">
        <f>IF(ISERROR(Personalplanung!R63/T1311*Stundencontrolling!T479),0,Personalplanung!R63/T1311*Stundencontrolling!T479)</f>
        <v>0</v>
      </c>
      <c r="Z479" s="168">
        <f>IF(ISERROR(Personalplanung!S63/Monatsplanung!$E63*Monatsplanung!$K63),0,Personalplanung!S63/Monatsplanung!$E63*Monatsplanung!$K63)</f>
        <v>0</v>
      </c>
      <c r="AA479" s="80">
        <f t="shared" si="135"/>
        <v>0</v>
      </c>
      <c r="AB479" s="102">
        <f t="shared" si="136"/>
        <v>0.1</v>
      </c>
      <c r="AC479" s="103">
        <f t="shared" si="137"/>
        <v>0</v>
      </c>
      <c r="AD479" s="103">
        <f t="shared" si="138"/>
        <v>0</v>
      </c>
      <c r="AE479" s="81">
        <f t="shared" si="139"/>
        <v>0</v>
      </c>
      <c r="AF479" s="539"/>
      <c r="AG479" s="104">
        <f t="shared" si="140"/>
        <v>1</v>
      </c>
      <c r="AH479" s="7">
        <f t="shared" si="141"/>
        <v>0</v>
      </c>
      <c r="AI479" s="6">
        <f t="shared" si="142"/>
        <v>0</v>
      </c>
      <c r="AJ479" s="73">
        <f t="shared" si="143"/>
        <v>0</v>
      </c>
      <c r="AK479" s="539"/>
      <c r="AL479" s="748"/>
      <c r="AM479" s="748"/>
    </row>
    <row r="480" spans="2:39" x14ac:dyDescent="0.2">
      <c r="B480" s="101" t="str">
        <f t="shared" si="128"/>
        <v/>
      </c>
      <c r="C480" s="168">
        <f>IF(ISERROR(Personalplanung!F64/Monatsplanung!$E64*Monatsplanung!$K64),0,Personalplanung!F64/Monatsplanung!$E64*Monatsplanung!$K64)</f>
        <v>0</v>
      </c>
      <c r="D480" s="168">
        <f t="shared" si="129"/>
        <v>0</v>
      </c>
      <c r="E480" s="168">
        <f>IF(ISERROR(Personalplanung!H64/Monatsplanung!$E64*Monatsplanung!$K64),0,Personalplanung!H64/Monatsplanung!$E64*Monatsplanung!$K64)</f>
        <v>0</v>
      </c>
      <c r="F480" s="168">
        <f t="shared" si="130"/>
        <v>0</v>
      </c>
      <c r="G480" s="168">
        <f t="shared" si="131"/>
        <v>27.700831024930746</v>
      </c>
      <c r="H480" s="168">
        <f t="shared" si="132"/>
        <v>0</v>
      </c>
      <c r="I480" s="168">
        <f t="shared" si="133"/>
        <v>30</v>
      </c>
      <c r="J480" s="739"/>
      <c r="K480" s="168">
        <f>IF(J480&lt;&gt;"",J480,IF(ISERROR(Personalplanung!AB64/Monatsplanung!$E64*Monatsplanung!$K64),0,Personalplanung!AB64/Monatsplanung!$E64*Monatsplanung!$K64))</f>
        <v>0</v>
      </c>
      <c r="L480" s="740"/>
      <c r="M480" s="739"/>
      <c r="N480" s="168">
        <f>IF(M480&lt;&gt;"",M480,IF(ISERROR(Personalplanung!AC64/Monatsplanung!$E64*Monatsplanung!$K64),0,Personalplanung!AC64/Monatsplanung!$E64*Monatsplanung!$K64))</f>
        <v>0</v>
      </c>
      <c r="O480" s="740"/>
      <c r="P480" s="739"/>
      <c r="Q480" s="168">
        <f>IF(P480&lt;&gt;"",P480,IF(ISERROR(Personalplanung!AD64/Monatsplanung!$E64*Monatsplanung!$K64),0,Personalplanung!AD64/Monatsplanung!$E64*Monatsplanung!$K64))</f>
        <v>0</v>
      </c>
      <c r="R480" s="740"/>
      <c r="S480" s="739"/>
      <c r="T480" s="168">
        <f>IF(S480&lt;&gt;"",S480,IF(ISERROR(Personalplanung!AE64/Monatsplanung!$E64*Monatsplanung!$K64),0,Personalplanung!AE64/Monatsplanung!$E64*Monatsplanung!$K64))</f>
        <v>0</v>
      </c>
      <c r="U480" s="740"/>
      <c r="V480" s="168">
        <f t="shared" si="134"/>
        <v>0</v>
      </c>
      <c r="W480" s="168">
        <f>IF(ISERROR(Personalplanung!P64/Monatsplanung!$E64*Monatsplanung!$K64),0,Personalplanung!P64/Monatsplanung!$E64*Monatsplanung!$K64)</f>
        <v>0</v>
      </c>
      <c r="X480" s="168">
        <f>IF(ISERROR(Personalplanung!Q64/Monatsplanung!$E64*Monatsplanung!$K64),0,Personalplanung!Q64/Monatsplanung!$E64*Monatsplanung!$K64)</f>
        <v>0</v>
      </c>
      <c r="Y480" s="168">
        <f>IF(ISERROR(Personalplanung!R64/T1312*Stundencontrolling!T480),0,Personalplanung!R64/T1312*Stundencontrolling!T480)</f>
        <v>0</v>
      </c>
      <c r="Z480" s="168">
        <f>IF(ISERROR(Personalplanung!S64/Monatsplanung!$E64*Monatsplanung!$K64),0,Personalplanung!S64/Monatsplanung!$E64*Monatsplanung!$K64)</f>
        <v>0</v>
      </c>
      <c r="AA480" s="80">
        <f t="shared" si="135"/>
        <v>0</v>
      </c>
      <c r="AB480" s="102">
        <f t="shared" si="136"/>
        <v>0.1</v>
      </c>
      <c r="AC480" s="103">
        <f t="shared" si="137"/>
        <v>0</v>
      </c>
      <c r="AD480" s="103">
        <f t="shared" si="138"/>
        <v>0</v>
      </c>
      <c r="AE480" s="81">
        <f t="shared" si="139"/>
        <v>0</v>
      </c>
      <c r="AF480" s="539"/>
      <c r="AG480" s="104">
        <f t="shared" si="140"/>
        <v>1</v>
      </c>
      <c r="AH480" s="7">
        <f t="shared" si="141"/>
        <v>0</v>
      </c>
      <c r="AI480" s="6">
        <f t="shared" si="142"/>
        <v>0</v>
      </c>
      <c r="AJ480" s="73">
        <f t="shared" si="143"/>
        <v>0</v>
      </c>
      <c r="AK480" s="539"/>
      <c r="AL480" s="748"/>
      <c r="AM480" s="748"/>
    </row>
    <row r="481" spans="2:39" x14ac:dyDescent="0.2">
      <c r="B481" s="101" t="str">
        <f t="shared" si="128"/>
        <v/>
      </c>
      <c r="C481" s="168">
        <f>IF(ISERROR(Personalplanung!F65/Monatsplanung!$E65*Monatsplanung!$K65),0,Personalplanung!F65/Monatsplanung!$E65*Monatsplanung!$K65)</f>
        <v>0</v>
      </c>
      <c r="D481" s="168">
        <f t="shared" si="129"/>
        <v>0</v>
      </c>
      <c r="E481" s="168">
        <f>IF(ISERROR(Personalplanung!H65/Monatsplanung!$E65*Monatsplanung!$K65),0,Personalplanung!H65/Monatsplanung!$E65*Monatsplanung!$K65)</f>
        <v>0</v>
      </c>
      <c r="F481" s="168">
        <f t="shared" si="130"/>
        <v>0</v>
      </c>
      <c r="G481" s="168">
        <f t="shared" si="131"/>
        <v>27.700831024930746</v>
      </c>
      <c r="H481" s="168">
        <f t="shared" si="132"/>
        <v>0</v>
      </c>
      <c r="I481" s="168">
        <f t="shared" si="133"/>
        <v>30</v>
      </c>
      <c r="J481" s="739"/>
      <c r="K481" s="168">
        <f>IF(J481&lt;&gt;"",J481,IF(ISERROR(Personalplanung!AB65/Monatsplanung!$E65*Monatsplanung!$K65),0,Personalplanung!AB65/Monatsplanung!$E65*Monatsplanung!$K65))</f>
        <v>0</v>
      </c>
      <c r="L481" s="740"/>
      <c r="M481" s="739"/>
      <c r="N481" s="168">
        <f>IF(M481&lt;&gt;"",M481,IF(ISERROR(Personalplanung!AC65/Monatsplanung!$E65*Monatsplanung!$K65),0,Personalplanung!AC65/Monatsplanung!$E65*Monatsplanung!$K65))</f>
        <v>0</v>
      </c>
      <c r="O481" s="740"/>
      <c r="P481" s="739"/>
      <c r="Q481" s="168">
        <f>IF(P481&lt;&gt;"",P481,IF(ISERROR(Personalplanung!AD65/Monatsplanung!$E65*Monatsplanung!$K65),0,Personalplanung!AD65/Monatsplanung!$E65*Monatsplanung!$K65))</f>
        <v>0</v>
      </c>
      <c r="R481" s="740"/>
      <c r="S481" s="739"/>
      <c r="T481" s="168">
        <f>IF(S481&lt;&gt;"",S481,IF(ISERROR(Personalplanung!AE65/Monatsplanung!$E65*Monatsplanung!$K65),0,Personalplanung!AE65/Monatsplanung!$E65*Monatsplanung!$K65))</f>
        <v>0</v>
      </c>
      <c r="U481" s="740"/>
      <c r="V481" s="168">
        <f t="shared" si="134"/>
        <v>0</v>
      </c>
      <c r="W481" s="168">
        <f>IF(ISERROR(Personalplanung!P65/Monatsplanung!$E65*Monatsplanung!$K65),0,Personalplanung!P65/Monatsplanung!$E65*Monatsplanung!$K65)</f>
        <v>0</v>
      </c>
      <c r="X481" s="168">
        <f>IF(ISERROR(Personalplanung!Q65/Monatsplanung!$E65*Monatsplanung!$K65),0,Personalplanung!Q65/Monatsplanung!$E65*Monatsplanung!$K65)</f>
        <v>0</v>
      </c>
      <c r="Y481" s="168">
        <f>IF(ISERROR(Personalplanung!R65/T1313*Stundencontrolling!T481),0,Personalplanung!R65/T1313*Stundencontrolling!T481)</f>
        <v>0</v>
      </c>
      <c r="Z481" s="168">
        <f>IF(ISERROR(Personalplanung!S65/Monatsplanung!$E65*Monatsplanung!$K65),0,Personalplanung!S65/Monatsplanung!$E65*Monatsplanung!$K65)</f>
        <v>0</v>
      </c>
      <c r="AA481" s="80">
        <f t="shared" si="135"/>
        <v>0</v>
      </c>
      <c r="AB481" s="102">
        <f t="shared" si="136"/>
        <v>0.1</v>
      </c>
      <c r="AC481" s="103">
        <f t="shared" si="137"/>
        <v>0</v>
      </c>
      <c r="AD481" s="103">
        <f t="shared" si="138"/>
        <v>0</v>
      </c>
      <c r="AE481" s="81">
        <f t="shared" si="139"/>
        <v>0</v>
      </c>
      <c r="AF481" s="539"/>
      <c r="AG481" s="104">
        <f t="shared" si="140"/>
        <v>1</v>
      </c>
      <c r="AH481" s="7">
        <f t="shared" si="141"/>
        <v>0</v>
      </c>
      <c r="AI481" s="6">
        <f t="shared" si="142"/>
        <v>0</v>
      </c>
      <c r="AJ481" s="73">
        <f t="shared" si="143"/>
        <v>0</v>
      </c>
      <c r="AK481" s="539"/>
      <c r="AL481" s="748"/>
      <c r="AM481" s="748"/>
    </row>
    <row r="482" spans="2:39" x14ac:dyDescent="0.2">
      <c r="B482" s="101" t="str">
        <f t="shared" si="128"/>
        <v/>
      </c>
      <c r="C482" s="168">
        <f>IF(ISERROR(Personalplanung!F66/Monatsplanung!$E66*Monatsplanung!$K66),0,Personalplanung!F66/Monatsplanung!$E66*Monatsplanung!$K66)</f>
        <v>0</v>
      </c>
      <c r="D482" s="168">
        <f t="shared" si="129"/>
        <v>0</v>
      </c>
      <c r="E482" s="168">
        <f>IF(ISERROR(Personalplanung!H66/Monatsplanung!$E66*Monatsplanung!$K66),0,Personalplanung!H66/Monatsplanung!$E66*Monatsplanung!$K66)</f>
        <v>0</v>
      </c>
      <c r="F482" s="168">
        <f t="shared" si="130"/>
        <v>0</v>
      </c>
      <c r="G482" s="168">
        <f t="shared" si="131"/>
        <v>27.700831024930746</v>
      </c>
      <c r="H482" s="168">
        <f t="shared" si="132"/>
        <v>0</v>
      </c>
      <c r="I482" s="168">
        <f t="shared" si="133"/>
        <v>30</v>
      </c>
      <c r="J482" s="739"/>
      <c r="K482" s="168">
        <f>IF(J482&lt;&gt;"",J482,IF(ISERROR(Personalplanung!AB66/Monatsplanung!$E66*Monatsplanung!$K66),0,Personalplanung!AB66/Monatsplanung!$E66*Monatsplanung!$K66))</f>
        <v>0</v>
      </c>
      <c r="L482" s="740"/>
      <c r="M482" s="739"/>
      <c r="N482" s="168">
        <f>IF(M482&lt;&gt;"",M482,IF(ISERROR(Personalplanung!AC66/Monatsplanung!$E66*Monatsplanung!$K66),0,Personalplanung!AC66/Monatsplanung!$E66*Monatsplanung!$K66))</f>
        <v>0</v>
      </c>
      <c r="O482" s="740"/>
      <c r="P482" s="739"/>
      <c r="Q482" s="168">
        <f>IF(P482&lt;&gt;"",P482,IF(ISERROR(Personalplanung!AD66/Monatsplanung!$E66*Monatsplanung!$K66),0,Personalplanung!AD66/Monatsplanung!$E66*Monatsplanung!$K66))</f>
        <v>0</v>
      </c>
      <c r="R482" s="740"/>
      <c r="S482" s="739"/>
      <c r="T482" s="168">
        <f>IF(S482&lt;&gt;"",S482,IF(ISERROR(Personalplanung!AE66/Monatsplanung!$E66*Monatsplanung!$K66),0,Personalplanung!AE66/Monatsplanung!$E66*Monatsplanung!$K66))</f>
        <v>0</v>
      </c>
      <c r="U482" s="740"/>
      <c r="V482" s="168">
        <f t="shared" si="134"/>
        <v>0</v>
      </c>
      <c r="W482" s="168">
        <f>IF(ISERROR(Personalplanung!P66/Monatsplanung!$E66*Monatsplanung!$K66),0,Personalplanung!P66/Monatsplanung!$E66*Monatsplanung!$K66)</f>
        <v>0</v>
      </c>
      <c r="X482" s="168">
        <f>IF(ISERROR(Personalplanung!Q66/Monatsplanung!$E66*Monatsplanung!$K66),0,Personalplanung!Q66/Monatsplanung!$E66*Monatsplanung!$K66)</f>
        <v>0</v>
      </c>
      <c r="Y482" s="168">
        <f>IF(ISERROR(Personalplanung!R66/T1314*Stundencontrolling!T482),0,Personalplanung!R66/T1314*Stundencontrolling!T482)</f>
        <v>0</v>
      </c>
      <c r="Z482" s="168">
        <f>IF(ISERROR(Personalplanung!S66/Monatsplanung!$E66*Monatsplanung!$K66),0,Personalplanung!S66/Monatsplanung!$E66*Monatsplanung!$K66)</f>
        <v>0</v>
      </c>
      <c r="AA482" s="80">
        <f t="shared" si="135"/>
        <v>0</v>
      </c>
      <c r="AB482" s="102">
        <f t="shared" si="136"/>
        <v>0.1</v>
      </c>
      <c r="AC482" s="103">
        <f t="shared" si="137"/>
        <v>0</v>
      </c>
      <c r="AD482" s="103">
        <f t="shared" si="138"/>
        <v>0</v>
      </c>
      <c r="AE482" s="81">
        <f t="shared" si="139"/>
        <v>0</v>
      </c>
      <c r="AF482" s="539"/>
      <c r="AG482" s="104">
        <f t="shared" si="140"/>
        <v>1</v>
      </c>
      <c r="AH482" s="7">
        <f t="shared" si="141"/>
        <v>0</v>
      </c>
      <c r="AI482" s="6">
        <f t="shared" si="142"/>
        <v>0</v>
      </c>
      <c r="AJ482" s="73">
        <f t="shared" si="143"/>
        <v>0</v>
      </c>
      <c r="AK482" s="539"/>
      <c r="AL482" s="748"/>
      <c r="AM482" s="748"/>
    </row>
    <row r="483" spans="2:39" x14ac:dyDescent="0.2">
      <c r="B483" s="101" t="str">
        <f t="shared" si="128"/>
        <v/>
      </c>
      <c r="C483" s="168">
        <f>IF(ISERROR(Personalplanung!F67/Monatsplanung!$E67*Monatsplanung!$K67),0,Personalplanung!F67/Monatsplanung!$E67*Monatsplanung!$K67)</f>
        <v>0</v>
      </c>
      <c r="D483" s="168">
        <f t="shared" si="129"/>
        <v>0</v>
      </c>
      <c r="E483" s="168">
        <f>IF(ISERROR(Personalplanung!H67/Monatsplanung!$E67*Monatsplanung!$K67),0,Personalplanung!H67/Monatsplanung!$E67*Monatsplanung!$K67)</f>
        <v>0</v>
      </c>
      <c r="F483" s="168">
        <f t="shared" si="130"/>
        <v>0</v>
      </c>
      <c r="G483" s="168">
        <f t="shared" si="131"/>
        <v>27.700831024930746</v>
      </c>
      <c r="H483" s="168">
        <f t="shared" si="132"/>
        <v>0</v>
      </c>
      <c r="I483" s="168">
        <f t="shared" si="133"/>
        <v>30</v>
      </c>
      <c r="J483" s="739"/>
      <c r="K483" s="168">
        <f>IF(J483&lt;&gt;"",J483,IF(ISERROR(Personalplanung!AB67/Monatsplanung!$E67*Monatsplanung!$K67),0,Personalplanung!AB67/Monatsplanung!$E67*Monatsplanung!$K67))</f>
        <v>0</v>
      </c>
      <c r="L483" s="740"/>
      <c r="M483" s="739"/>
      <c r="N483" s="168">
        <f>IF(M483&lt;&gt;"",M483,IF(ISERROR(Personalplanung!AC67/Monatsplanung!$E67*Monatsplanung!$K67),0,Personalplanung!AC67/Monatsplanung!$E67*Monatsplanung!$K67))</f>
        <v>0</v>
      </c>
      <c r="O483" s="740"/>
      <c r="P483" s="739"/>
      <c r="Q483" s="168">
        <f>IF(P483&lt;&gt;"",P483,IF(ISERROR(Personalplanung!AD67/Monatsplanung!$E67*Monatsplanung!$K67),0,Personalplanung!AD67/Monatsplanung!$E67*Monatsplanung!$K67))</f>
        <v>0</v>
      </c>
      <c r="R483" s="740"/>
      <c r="S483" s="739"/>
      <c r="T483" s="168">
        <f>IF(S483&lt;&gt;"",S483,IF(ISERROR(Personalplanung!AE67/Monatsplanung!$E67*Monatsplanung!$K67),0,Personalplanung!AE67/Monatsplanung!$E67*Monatsplanung!$K67))</f>
        <v>0</v>
      </c>
      <c r="U483" s="740"/>
      <c r="V483" s="168">
        <f t="shared" si="134"/>
        <v>0</v>
      </c>
      <c r="W483" s="168">
        <f>IF(ISERROR(Personalplanung!P67/Monatsplanung!$E67*Monatsplanung!$K67),0,Personalplanung!P67/Monatsplanung!$E67*Monatsplanung!$K67)</f>
        <v>0</v>
      </c>
      <c r="X483" s="168">
        <f>IF(ISERROR(Personalplanung!Q67/Monatsplanung!$E67*Monatsplanung!$K67),0,Personalplanung!Q67/Monatsplanung!$E67*Monatsplanung!$K67)</f>
        <v>0</v>
      </c>
      <c r="Y483" s="168">
        <f>IF(ISERROR(Personalplanung!R67/T1315*Stundencontrolling!T483),0,Personalplanung!R67/T1315*Stundencontrolling!T483)</f>
        <v>0</v>
      </c>
      <c r="Z483" s="168">
        <f>IF(ISERROR(Personalplanung!S67/Monatsplanung!$E67*Monatsplanung!$K67),0,Personalplanung!S67/Monatsplanung!$E67*Monatsplanung!$K67)</f>
        <v>0</v>
      </c>
      <c r="AA483" s="80">
        <f t="shared" si="135"/>
        <v>0</v>
      </c>
      <c r="AB483" s="102">
        <f t="shared" si="136"/>
        <v>0.1</v>
      </c>
      <c r="AC483" s="103">
        <f t="shared" si="137"/>
        <v>0</v>
      </c>
      <c r="AD483" s="103">
        <f t="shared" si="138"/>
        <v>0</v>
      </c>
      <c r="AE483" s="81">
        <f t="shared" si="139"/>
        <v>0</v>
      </c>
      <c r="AF483" s="539"/>
      <c r="AG483" s="104">
        <f t="shared" si="140"/>
        <v>1</v>
      </c>
      <c r="AH483" s="7">
        <f t="shared" si="141"/>
        <v>0</v>
      </c>
      <c r="AI483" s="6">
        <f t="shared" si="142"/>
        <v>0</v>
      </c>
      <c r="AJ483" s="73">
        <f t="shared" si="143"/>
        <v>0</v>
      </c>
      <c r="AK483" s="539"/>
      <c r="AL483" s="748"/>
      <c r="AM483" s="748"/>
    </row>
    <row r="484" spans="2:39" x14ac:dyDescent="0.2">
      <c r="B484" s="101" t="str">
        <f t="shared" si="128"/>
        <v/>
      </c>
      <c r="C484" s="168">
        <f>IF(ISERROR(Personalplanung!F68/Monatsplanung!$E68*Monatsplanung!$K68),0,Personalplanung!F68/Monatsplanung!$E68*Monatsplanung!$K68)</f>
        <v>0</v>
      </c>
      <c r="D484" s="168">
        <f t="shared" si="129"/>
        <v>0</v>
      </c>
      <c r="E484" s="168">
        <f>IF(ISERROR(Personalplanung!H68/Monatsplanung!$E68*Monatsplanung!$K68),0,Personalplanung!H68/Monatsplanung!$E68*Monatsplanung!$K68)</f>
        <v>0</v>
      </c>
      <c r="F484" s="168">
        <f t="shared" si="130"/>
        <v>0</v>
      </c>
      <c r="G484" s="168">
        <f t="shared" si="131"/>
        <v>27.700831024930746</v>
      </c>
      <c r="H484" s="168">
        <f t="shared" si="132"/>
        <v>0</v>
      </c>
      <c r="I484" s="168">
        <f t="shared" si="133"/>
        <v>30</v>
      </c>
      <c r="J484" s="739"/>
      <c r="K484" s="168">
        <f>IF(J484&lt;&gt;"",J484,IF(ISERROR(Personalplanung!AB68/Monatsplanung!$E68*Monatsplanung!$K68),0,Personalplanung!AB68/Monatsplanung!$E68*Monatsplanung!$K68))</f>
        <v>0</v>
      </c>
      <c r="L484" s="740"/>
      <c r="M484" s="739"/>
      <c r="N484" s="168">
        <f>IF(M484&lt;&gt;"",M484,IF(ISERROR(Personalplanung!AC68/Monatsplanung!$E68*Monatsplanung!$K68),0,Personalplanung!AC68/Monatsplanung!$E68*Monatsplanung!$K68))</f>
        <v>0</v>
      </c>
      <c r="O484" s="740"/>
      <c r="P484" s="739"/>
      <c r="Q484" s="168">
        <f>IF(P484&lt;&gt;"",P484,IF(ISERROR(Personalplanung!AD68/Monatsplanung!$E68*Monatsplanung!$K68),0,Personalplanung!AD68/Monatsplanung!$E68*Monatsplanung!$K68))</f>
        <v>0</v>
      </c>
      <c r="R484" s="740"/>
      <c r="S484" s="739"/>
      <c r="T484" s="168">
        <f>IF(S484&lt;&gt;"",S484,IF(ISERROR(Personalplanung!AE68/Monatsplanung!$E68*Monatsplanung!$K68),0,Personalplanung!AE68/Monatsplanung!$E68*Monatsplanung!$K68))</f>
        <v>0</v>
      </c>
      <c r="U484" s="740"/>
      <c r="V484" s="168">
        <f t="shared" si="134"/>
        <v>0</v>
      </c>
      <c r="W484" s="168">
        <f>IF(ISERROR(Personalplanung!P68/Monatsplanung!$E68*Monatsplanung!$K68),0,Personalplanung!P68/Monatsplanung!$E68*Monatsplanung!$K68)</f>
        <v>0</v>
      </c>
      <c r="X484" s="168">
        <f>IF(ISERROR(Personalplanung!Q68/Monatsplanung!$E68*Monatsplanung!$K68),0,Personalplanung!Q68/Monatsplanung!$E68*Monatsplanung!$K68)</f>
        <v>0</v>
      </c>
      <c r="Y484" s="168">
        <f>IF(ISERROR(Personalplanung!R68/T1316*Stundencontrolling!T484),0,Personalplanung!R68/T1316*Stundencontrolling!T484)</f>
        <v>0</v>
      </c>
      <c r="Z484" s="168">
        <f>IF(ISERROR(Personalplanung!S68/Monatsplanung!$E68*Monatsplanung!$K68),0,Personalplanung!S68/Monatsplanung!$E68*Monatsplanung!$K68)</f>
        <v>0</v>
      </c>
      <c r="AA484" s="80">
        <f t="shared" si="135"/>
        <v>0</v>
      </c>
      <c r="AB484" s="102">
        <f t="shared" si="136"/>
        <v>0.1</v>
      </c>
      <c r="AC484" s="103">
        <f t="shared" si="137"/>
        <v>0</v>
      </c>
      <c r="AD484" s="103">
        <f t="shared" si="138"/>
        <v>0</v>
      </c>
      <c r="AE484" s="81">
        <f t="shared" si="139"/>
        <v>0</v>
      </c>
      <c r="AF484" s="539"/>
      <c r="AG484" s="104">
        <f t="shared" si="140"/>
        <v>1</v>
      </c>
      <c r="AH484" s="7">
        <f t="shared" si="141"/>
        <v>0</v>
      </c>
      <c r="AI484" s="6">
        <f t="shared" si="142"/>
        <v>0</v>
      </c>
      <c r="AJ484" s="73">
        <f t="shared" si="143"/>
        <v>0</v>
      </c>
      <c r="AK484" s="539"/>
      <c r="AL484" s="748"/>
      <c r="AM484" s="748"/>
    </row>
    <row r="485" spans="2:39" x14ac:dyDescent="0.2">
      <c r="B485" s="101" t="str">
        <f t="shared" si="128"/>
        <v/>
      </c>
      <c r="C485" s="168">
        <f>IF(ISERROR(Personalplanung!F69/Monatsplanung!$E69*Monatsplanung!$K69),0,Personalplanung!F69/Monatsplanung!$E69*Monatsplanung!$K69)</f>
        <v>0</v>
      </c>
      <c r="D485" s="168">
        <f t="shared" si="129"/>
        <v>0</v>
      </c>
      <c r="E485" s="168">
        <f>IF(ISERROR(Personalplanung!H69/Monatsplanung!$E69*Monatsplanung!$K69),0,Personalplanung!H69/Monatsplanung!$E69*Monatsplanung!$K69)</f>
        <v>0</v>
      </c>
      <c r="F485" s="168">
        <f t="shared" si="130"/>
        <v>0</v>
      </c>
      <c r="G485" s="168">
        <f t="shared" si="131"/>
        <v>27.700831024930746</v>
      </c>
      <c r="H485" s="168">
        <f t="shared" si="132"/>
        <v>0</v>
      </c>
      <c r="I485" s="168">
        <f t="shared" si="133"/>
        <v>30</v>
      </c>
      <c r="J485" s="739"/>
      <c r="K485" s="168">
        <f>IF(J485&lt;&gt;"",J485,IF(ISERROR(Personalplanung!AB69/Monatsplanung!$E69*Monatsplanung!$K69),0,Personalplanung!AB69/Monatsplanung!$E69*Monatsplanung!$K69))</f>
        <v>0</v>
      </c>
      <c r="L485" s="740"/>
      <c r="M485" s="739"/>
      <c r="N485" s="168">
        <f>IF(M485&lt;&gt;"",M485,IF(ISERROR(Personalplanung!AC69/Monatsplanung!$E69*Monatsplanung!$K69),0,Personalplanung!AC69/Monatsplanung!$E69*Monatsplanung!$K69))</f>
        <v>0</v>
      </c>
      <c r="O485" s="740"/>
      <c r="P485" s="739"/>
      <c r="Q485" s="168">
        <f>IF(P485&lt;&gt;"",P485,IF(ISERROR(Personalplanung!AD69/Monatsplanung!$E69*Monatsplanung!$K69),0,Personalplanung!AD69/Monatsplanung!$E69*Monatsplanung!$K69))</f>
        <v>0</v>
      </c>
      <c r="R485" s="740"/>
      <c r="S485" s="739"/>
      <c r="T485" s="168">
        <f>IF(S485&lt;&gt;"",S485,IF(ISERROR(Personalplanung!AE69/Monatsplanung!$E69*Monatsplanung!$K69),0,Personalplanung!AE69/Monatsplanung!$E69*Monatsplanung!$K69))</f>
        <v>0</v>
      </c>
      <c r="U485" s="740"/>
      <c r="V485" s="168">
        <f t="shared" si="134"/>
        <v>0</v>
      </c>
      <c r="W485" s="168">
        <f>IF(ISERROR(Personalplanung!P69/Monatsplanung!$E69*Monatsplanung!$K69),0,Personalplanung!P69/Monatsplanung!$E69*Monatsplanung!$K69)</f>
        <v>0</v>
      </c>
      <c r="X485" s="168">
        <f>IF(ISERROR(Personalplanung!Q69/Monatsplanung!$E69*Monatsplanung!$K69),0,Personalplanung!Q69/Monatsplanung!$E69*Monatsplanung!$K69)</f>
        <v>0</v>
      </c>
      <c r="Y485" s="168">
        <f>IF(ISERROR(Personalplanung!R69/T1317*Stundencontrolling!T485),0,Personalplanung!R69/T1317*Stundencontrolling!T485)</f>
        <v>0</v>
      </c>
      <c r="Z485" s="168">
        <f>IF(ISERROR(Personalplanung!S69/Monatsplanung!$E69*Monatsplanung!$K69),0,Personalplanung!S69/Monatsplanung!$E69*Monatsplanung!$K69)</f>
        <v>0</v>
      </c>
      <c r="AA485" s="80">
        <f t="shared" si="135"/>
        <v>0</v>
      </c>
      <c r="AB485" s="102">
        <f t="shared" si="136"/>
        <v>0.1</v>
      </c>
      <c r="AC485" s="103">
        <f t="shared" si="137"/>
        <v>0</v>
      </c>
      <c r="AD485" s="103">
        <f t="shared" si="138"/>
        <v>0</v>
      </c>
      <c r="AE485" s="81">
        <f t="shared" si="139"/>
        <v>0</v>
      </c>
      <c r="AF485" s="539"/>
      <c r="AG485" s="104">
        <f t="shared" si="140"/>
        <v>1</v>
      </c>
      <c r="AH485" s="7">
        <f t="shared" si="141"/>
        <v>0</v>
      </c>
      <c r="AI485" s="6">
        <f t="shared" si="142"/>
        <v>0</v>
      </c>
      <c r="AJ485" s="73">
        <f t="shared" si="143"/>
        <v>0</v>
      </c>
      <c r="AK485" s="539"/>
      <c r="AL485" s="748"/>
      <c r="AM485" s="748"/>
    </row>
    <row r="486" spans="2:39" x14ac:dyDescent="0.2">
      <c r="B486" s="101" t="str">
        <f t="shared" si="128"/>
        <v/>
      </c>
      <c r="C486" s="168">
        <f>IF(ISERROR(Personalplanung!F70/Monatsplanung!$E70*Monatsplanung!$K70),0,Personalplanung!F70/Monatsplanung!$E70*Monatsplanung!$K70)</f>
        <v>0</v>
      </c>
      <c r="D486" s="168">
        <f t="shared" si="129"/>
        <v>0</v>
      </c>
      <c r="E486" s="168">
        <f>IF(ISERROR(Personalplanung!H70/Monatsplanung!$E70*Monatsplanung!$K70),0,Personalplanung!H70/Monatsplanung!$E70*Monatsplanung!$K70)</f>
        <v>0</v>
      </c>
      <c r="F486" s="168">
        <f t="shared" si="130"/>
        <v>0</v>
      </c>
      <c r="G486" s="168">
        <f t="shared" si="131"/>
        <v>27.700831024930746</v>
      </c>
      <c r="H486" s="168">
        <f t="shared" si="132"/>
        <v>0</v>
      </c>
      <c r="I486" s="168">
        <f t="shared" si="133"/>
        <v>30</v>
      </c>
      <c r="J486" s="739"/>
      <c r="K486" s="168">
        <f>IF(J486&lt;&gt;"",J486,IF(ISERROR(Personalplanung!AB70/Monatsplanung!$E70*Monatsplanung!$K70),0,Personalplanung!AB70/Monatsplanung!$E70*Monatsplanung!$K70))</f>
        <v>0</v>
      </c>
      <c r="L486" s="740"/>
      <c r="M486" s="739"/>
      <c r="N486" s="168">
        <f>IF(M486&lt;&gt;"",M486,IF(ISERROR(Personalplanung!AC70/Monatsplanung!$E70*Monatsplanung!$K70),0,Personalplanung!AC70/Monatsplanung!$E70*Monatsplanung!$K70))</f>
        <v>0</v>
      </c>
      <c r="O486" s="740"/>
      <c r="P486" s="739"/>
      <c r="Q486" s="168">
        <f>IF(P486&lt;&gt;"",P486,IF(ISERROR(Personalplanung!AD70/Monatsplanung!$E70*Monatsplanung!$K70),0,Personalplanung!AD70/Monatsplanung!$E70*Monatsplanung!$K70))</f>
        <v>0</v>
      </c>
      <c r="R486" s="740"/>
      <c r="S486" s="739"/>
      <c r="T486" s="168">
        <f>IF(S486&lt;&gt;"",S486,IF(ISERROR(Personalplanung!AE70/Monatsplanung!$E70*Monatsplanung!$K70),0,Personalplanung!AE70/Monatsplanung!$E70*Monatsplanung!$K70))</f>
        <v>0</v>
      </c>
      <c r="U486" s="740"/>
      <c r="V486" s="168">
        <f t="shared" si="134"/>
        <v>0</v>
      </c>
      <c r="W486" s="168">
        <f>IF(ISERROR(Personalplanung!P70/Monatsplanung!$E70*Monatsplanung!$K70),0,Personalplanung!P70/Monatsplanung!$E70*Monatsplanung!$K70)</f>
        <v>0</v>
      </c>
      <c r="X486" s="168">
        <f>IF(ISERROR(Personalplanung!Q70/Monatsplanung!$E70*Monatsplanung!$K70),0,Personalplanung!Q70/Monatsplanung!$E70*Monatsplanung!$K70)</f>
        <v>0</v>
      </c>
      <c r="Y486" s="168">
        <f>IF(ISERROR(Personalplanung!R70/T1318*Stundencontrolling!T486),0,Personalplanung!R70/T1318*Stundencontrolling!T486)</f>
        <v>0</v>
      </c>
      <c r="Z486" s="168">
        <f>IF(ISERROR(Personalplanung!S70/Monatsplanung!$E70*Monatsplanung!$K70),0,Personalplanung!S70/Monatsplanung!$E70*Monatsplanung!$K70)</f>
        <v>0</v>
      </c>
      <c r="AA486" s="80">
        <f t="shared" si="135"/>
        <v>0</v>
      </c>
      <c r="AB486" s="102">
        <f t="shared" si="136"/>
        <v>0.1</v>
      </c>
      <c r="AC486" s="103">
        <f t="shared" si="137"/>
        <v>0</v>
      </c>
      <c r="AD486" s="103">
        <f t="shared" si="138"/>
        <v>0</v>
      </c>
      <c r="AE486" s="81">
        <f t="shared" si="139"/>
        <v>0</v>
      </c>
      <c r="AF486" s="539"/>
      <c r="AG486" s="104">
        <f t="shared" si="140"/>
        <v>1</v>
      </c>
      <c r="AH486" s="7">
        <f t="shared" si="141"/>
        <v>0</v>
      </c>
      <c r="AI486" s="6">
        <f t="shared" si="142"/>
        <v>0</v>
      </c>
      <c r="AJ486" s="73">
        <f t="shared" si="143"/>
        <v>0</v>
      </c>
      <c r="AK486" s="539"/>
      <c r="AL486" s="748"/>
      <c r="AM486" s="748"/>
    </row>
    <row r="487" spans="2:39" x14ac:dyDescent="0.2">
      <c r="B487" s="101" t="str">
        <f t="shared" ref="B487:B522" si="144">$B383</f>
        <v/>
      </c>
      <c r="C487" s="168">
        <f>IF(ISERROR(Personalplanung!F71/Monatsplanung!$E71*Monatsplanung!$K71),0,Personalplanung!F71/Monatsplanung!$E71*Monatsplanung!$K71)</f>
        <v>0</v>
      </c>
      <c r="D487" s="168">
        <f t="shared" ref="D487:D522" si="145">$D383</f>
        <v>0</v>
      </c>
      <c r="E487" s="168">
        <f>IF(ISERROR(Personalplanung!H71/Monatsplanung!$E71*Monatsplanung!$K71),0,Personalplanung!H71/Monatsplanung!$E71*Monatsplanung!$K71)</f>
        <v>0</v>
      </c>
      <c r="F487" s="168">
        <f t="shared" ref="F487:F522" si="146">+C487+E487</f>
        <v>0</v>
      </c>
      <c r="G487" s="168">
        <f t="shared" ref="G487:G522" si="147">$G$6</f>
        <v>27.700831024930746</v>
      </c>
      <c r="H487" s="168">
        <f t="shared" ref="H487:H522" si="148">+F487*G487</f>
        <v>0</v>
      </c>
      <c r="I487" s="168">
        <f t="shared" ref="I487:I522" si="149">$I$6</f>
        <v>30</v>
      </c>
      <c r="J487" s="739"/>
      <c r="K487" s="168">
        <f>IF(J487&lt;&gt;"",J487,IF(ISERROR(Personalplanung!AB71/Monatsplanung!$E71*Monatsplanung!$K71),0,Personalplanung!AB71/Monatsplanung!$E71*Monatsplanung!$K71))</f>
        <v>0</v>
      </c>
      <c r="L487" s="740"/>
      <c r="M487" s="739"/>
      <c r="N487" s="168">
        <f>IF(M487&lt;&gt;"",M487,IF(ISERROR(Personalplanung!AC71/Monatsplanung!$E71*Monatsplanung!$K71),0,Personalplanung!AC71/Monatsplanung!$E71*Monatsplanung!$K71))</f>
        <v>0</v>
      </c>
      <c r="O487" s="740"/>
      <c r="P487" s="739"/>
      <c r="Q487" s="168">
        <f>IF(P487&lt;&gt;"",P487,IF(ISERROR(Personalplanung!AD71/Monatsplanung!$E71*Monatsplanung!$K71),0,Personalplanung!AD71/Monatsplanung!$E71*Monatsplanung!$K71))</f>
        <v>0</v>
      </c>
      <c r="R487" s="740"/>
      <c r="S487" s="739"/>
      <c r="T487" s="168">
        <f>IF(S487&lt;&gt;"",S487,IF(ISERROR(Personalplanung!AE71/Monatsplanung!$E71*Monatsplanung!$K71),0,Personalplanung!AE71/Monatsplanung!$E71*Monatsplanung!$K71))</f>
        <v>0</v>
      </c>
      <c r="U487" s="740"/>
      <c r="V487" s="168">
        <f t="shared" ref="V487:V522" si="150">K487+N487+Q487+T487</f>
        <v>0</v>
      </c>
      <c r="W487" s="168">
        <f>IF(ISERROR(Personalplanung!P71/Monatsplanung!$E71*Monatsplanung!$K71),0,Personalplanung!P71/Monatsplanung!$E71*Monatsplanung!$K71)</f>
        <v>0</v>
      </c>
      <c r="X487" s="168">
        <f>IF(ISERROR(Personalplanung!Q71/Monatsplanung!$E71*Monatsplanung!$K71),0,Personalplanung!Q71/Monatsplanung!$E71*Monatsplanung!$K71)</f>
        <v>0</v>
      </c>
      <c r="Y487" s="168">
        <f>IF(ISERROR(Personalplanung!R71/T1319*Stundencontrolling!T487),0,Personalplanung!R71/T1319*Stundencontrolling!T487)</f>
        <v>0</v>
      </c>
      <c r="Z487" s="168">
        <f>IF(ISERROR(Personalplanung!S71/Monatsplanung!$E71*Monatsplanung!$K71),0,Personalplanung!S71/Monatsplanung!$E71*Monatsplanung!$K71)</f>
        <v>0</v>
      </c>
      <c r="AA487" s="80">
        <f t="shared" ref="AA487:AA522" si="151">+F487*G487*(1+I487)+SUM(W487:Z487)</f>
        <v>0</v>
      </c>
      <c r="AB487" s="102">
        <f t="shared" ref="AB487:AB522" si="152">$AB$6</f>
        <v>0.1</v>
      </c>
      <c r="AC487" s="103">
        <f t="shared" ref="AC487:AC522" si="153">AB487*AA487</f>
        <v>0</v>
      </c>
      <c r="AD487" s="103">
        <f t="shared" ref="AD487:AD522" si="154">AA487-AC487</f>
        <v>0</v>
      </c>
      <c r="AE487" s="81">
        <f t="shared" ref="AE487:AE522" si="155">(F487-(V487*$D487))*AB487</f>
        <v>0</v>
      </c>
      <c r="AF487" s="539"/>
      <c r="AG487" s="104">
        <f t="shared" ref="AG487:AG522" si="156">$AG$6</f>
        <v>1</v>
      </c>
      <c r="AH487" s="7">
        <f t="shared" ref="AH487:AH522" si="157">IF(ISERROR(AK487/AF487),0,AK487/AF487)</f>
        <v>0</v>
      </c>
      <c r="AI487" s="6">
        <f t="shared" ref="AI487:AI522" si="158">AE487*AG487</f>
        <v>0</v>
      </c>
      <c r="AJ487" s="73">
        <f t="shared" ref="AJ487:AJ522" si="159">IF(ISERROR(+AC487/AI487),0,+AC487/AI487)</f>
        <v>0</v>
      </c>
      <c r="AK487" s="539"/>
      <c r="AL487" s="748"/>
      <c r="AM487" s="748"/>
    </row>
    <row r="488" spans="2:39" x14ac:dyDescent="0.2">
      <c r="B488" s="101" t="str">
        <f t="shared" si="144"/>
        <v/>
      </c>
      <c r="C488" s="168">
        <f>IF(ISERROR(Personalplanung!F72/Monatsplanung!$E72*Monatsplanung!$K72),0,Personalplanung!F72/Monatsplanung!$E72*Monatsplanung!$K72)</f>
        <v>0</v>
      </c>
      <c r="D488" s="168">
        <f t="shared" si="145"/>
        <v>0</v>
      </c>
      <c r="E488" s="168">
        <f>IF(ISERROR(Personalplanung!H72/Monatsplanung!$E72*Monatsplanung!$K72),0,Personalplanung!H72/Monatsplanung!$E72*Monatsplanung!$K72)</f>
        <v>0</v>
      </c>
      <c r="F488" s="168">
        <f t="shared" si="146"/>
        <v>0</v>
      </c>
      <c r="G488" s="168">
        <f t="shared" si="147"/>
        <v>27.700831024930746</v>
      </c>
      <c r="H488" s="168">
        <f t="shared" si="148"/>
        <v>0</v>
      </c>
      <c r="I488" s="168">
        <f t="shared" si="149"/>
        <v>30</v>
      </c>
      <c r="J488" s="739"/>
      <c r="K488" s="168">
        <f>IF(J488&lt;&gt;"",J488,IF(ISERROR(Personalplanung!AB72/Monatsplanung!$E72*Monatsplanung!$K72),0,Personalplanung!AB72/Monatsplanung!$E72*Monatsplanung!$K72))</f>
        <v>0</v>
      </c>
      <c r="L488" s="740"/>
      <c r="M488" s="739"/>
      <c r="N488" s="168">
        <f>IF(M488&lt;&gt;"",M488,IF(ISERROR(Personalplanung!AC72/Monatsplanung!$E72*Monatsplanung!$K72),0,Personalplanung!AC72/Monatsplanung!$E72*Monatsplanung!$K72))</f>
        <v>0</v>
      </c>
      <c r="O488" s="740"/>
      <c r="P488" s="739"/>
      <c r="Q488" s="168">
        <f>IF(P488&lt;&gt;"",P488,IF(ISERROR(Personalplanung!AD72/Monatsplanung!$E72*Monatsplanung!$K72),0,Personalplanung!AD72/Monatsplanung!$E72*Monatsplanung!$K72))</f>
        <v>0</v>
      </c>
      <c r="R488" s="740"/>
      <c r="S488" s="739"/>
      <c r="T488" s="168">
        <f>IF(S488&lt;&gt;"",S488,IF(ISERROR(Personalplanung!AE72/Monatsplanung!$E72*Monatsplanung!$K72),0,Personalplanung!AE72/Monatsplanung!$E72*Monatsplanung!$K72))</f>
        <v>0</v>
      </c>
      <c r="U488" s="740"/>
      <c r="V488" s="168">
        <f t="shared" si="150"/>
        <v>0</v>
      </c>
      <c r="W488" s="168">
        <f>IF(ISERROR(Personalplanung!P72/Monatsplanung!$E72*Monatsplanung!$K72),0,Personalplanung!P72/Monatsplanung!$E72*Monatsplanung!$K72)</f>
        <v>0</v>
      </c>
      <c r="X488" s="168">
        <f>IF(ISERROR(Personalplanung!Q72/Monatsplanung!$E72*Monatsplanung!$K72),0,Personalplanung!Q72/Monatsplanung!$E72*Monatsplanung!$K72)</f>
        <v>0</v>
      </c>
      <c r="Y488" s="168">
        <f>IF(ISERROR(Personalplanung!R72/T1320*Stundencontrolling!T488),0,Personalplanung!R72/T1320*Stundencontrolling!T488)</f>
        <v>0</v>
      </c>
      <c r="Z488" s="168">
        <f>IF(ISERROR(Personalplanung!S72/Monatsplanung!$E72*Monatsplanung!$K72),0,Personalplanung!S72/Monatsplanung!$E72*Monatsplanung!$K72)</f>
        <v>0</v>
      </c>
      <c r="AA488" s="80">
        <f t="shared" si="151"/>
        <v>0</v>
      </c>
      <c r="AB488" s="102">
        <f t="shared" si="152"/>
        <v>0.1</v>
      </c>
      <c r="AC488" s="103">
        <f t="shared" si="153"/>
        <v>0</v>
      </c>
      <c r="AD488" s="103">
        <f t="shared" si="154"/>
        <v>0</v>
      </c>
      <c r="AE488" s="81">
        <f t="shared" si="155"/>
        <v>0</v>
      </c>
      <c r="AF488" s="539"/>
      <c r="AG488" s="104">
        <f t="shared" si="156"/>
        <v>1</v>
      </c>
      <c r="AH488" s="7">
        <f t="shared" si="157"/>
        <v>0</v>
      </c>
      <c r="AI488" s="6">
        <f t="shared" si="158"/>
        <v>0</v>
      </c>
      <c r="AJ488" s="73">
        <f t="shared" si="159"/>
        <v>0</v>
      </c>
      <c r="AK488" s="539"/>
      <c r="AL488" s="748"/>
      <c r="AM488" s="748"/>
    </row>
    <row r="489" spans="2:39" x14ac:dyDescent="0.2">
      <c r="B489" s="101" t="str">
        <f t="shared" si="144"/>
        <v/>
      </c>
      <c r="C489" s="168">
        <f>IF(ISERROR(Personalplanung!F73/Monatsplanung!$E73*Monatsplanung!$K73),0,Personalplanung!F73/Monatsplanung!$E73*Monatsplanung!$K73)</f>
        <v>0</v>
      </c>
      <c r="D489" s="168">
        <f t="shared" si="145"/>
        <v>0</v>
      </c>
      <c r="E489" s="168">
        <f>IF(ISERROR(Personalplanung!H73/Monatsplanung!$E73*Monatsplanung!$K73),0,Personalplanung!H73/Monatsplanung!$E73*Monatsplanung!$K73)</f>
        <v>0</v>
      </c>
      <c r="F489" s="168">
        <f t="shared" si="146"/>
        <v>0</v>
      </c>
      <c r="G489" s="168">
        <f t="shared" si="147"/>
        <v>27.700831024930746</v>
      </c>
      <c r="H489" s="168">
        <f t="shared" si="148"/>
        <v>0</v>
      </c>
      <c r="I489" s="168">
        <f t="shared" si="149"/>
        <v>30</v>
      </c>
      <c r="J489" s="739"/>
      <c r="K489" s="168">
        <f>IF(J489&lt;&gt;"",J489,IF(ISERROR(Personalplanung!AB73/Monatsplanung!$E73*Monatsplanung!$K73),0,Personalplanung!AB73/Monatsplanung!$E73*Monatsplanung!$K73))</f>
        <v>0</v>
      </c>
      <c r="L489" s="740"/>
      <c r="M489" s="739"/>
      <c r="N489" s="168">
        <f>IF(M489&lt;&gt;"",M489,IF(ISERROR(Personalplanung!AC73/Monatsplanung!$E73*Monatsplanung!$K73),0,Personalplanung!AC73/Monatsplanung!$E73*Monatsplanung!$K73))</f>
        <v>0</v>
      </c>
      <c r="O489" s="740"/>
      <c r="P489" s="739"/>
      <c r="Q489" s="168">
        <f>IF(P489&lt;&gt;"",P489,IF(ISERROR(Personalplanung!AD73/Monatsplanung!$E73*Monatsplanung!$K73),0,Personalplanung!AD73/Monatsplanung!$E73*Monatsplanung!$K73))</f>
        <v>0</v>
      </c>
      <c r="R489" s="740"/>
      <c r="S489" s="739"/>
      <c r="T489" s="168">
        <f>IF(S489&lt;&gt;"",S489,IF(ISERROR(Personalplanung!AE73/Monatsplanung!$E73*Monatsplanung!$K73),0,Personalplanung!AE73/Monatsplanung!$E73*Monatsplanung!$K73))</f>
        <v>0</v>
      </c>
      <c r="U489" s="740"/>
      <c r="V489" s="168">
        <f t="shared" si="150"/>
        <v>0</v>
      </c>
      <c r="W489" s="168">
        <f>IF(ISERROR(Personalplanung!P73/Monatsplanung!$E73*Monatsplanung!$K73),0,Personalplanung!P73/Monatsplanung!$E73*Monatsplanung!$K73)</f>
        <v>0</v>
      </c>
      <c r="X489" s="168">
        <f>IF(ISERROR(Personalplanung!Q73/Monatsplanung!$E73*Monatsplanung!$K73),0,Personalplanung!Q73/Monatsplanung!$E73*Monatsplanung!$K73)</f>
        <v>0</v>
      </c>
      <c r="Y489" s="168">
        <f>IF(ISERROR(Personalplanung!R73/T1321*Stundencontrolling!T489),0,Personalplanung!R73/T1321*Stundencontrolling!T489)</f>
        <v>0</v>
      </c>
      <c r="Z489" s="168">
        <f>IF(ISERROR(Personalplanung!S73/Monatsplanung!$E73*Monatsplanung!$K73),0,Personalplanung!S73/Monatsplanung!$E73*Monatsplanung!$K73)</f>
        <v>0</v>
      </c>
      <c r="AA489" s="80">
        <f t="shared" si="151"/>
        <v>0</v>
      </c>
      <c r="AB489" s="102">
        <f t="shared" si="152"/>
        <v>0.1</v>
      </c>
      <c r="AC489" s="103">
        <f t="shared" si="153"/>
        <v>0</v>
      </c>
      <c r="AD489" s="103">
        <f t="shared" si="154"/>
        <v>0</v>
      </c>
      <c r="AE489" s="81">
        <f t="shared" si="155"/>
        <v>0</v>
      </c>
      <c r="AF489" s="539"/>
      <c r="AG489" s="104">
        <f t="shared" si="156"/>
        <v>1</v>
      </c>
      <c r="AH489" s="7">
        <f t="shared" si="157"/>
        <v>0</v>
      </c>
      <c r="AI489" s="6">
        <f t="shared" si="158"/>
        <v>0</v>
      </c>
      <c r="AJ489" s="73">
        <f t="shared" si="159"/>
        <v>0</v>
      </c>
      <c r="AK489" s="539"/>
      <c r="AL489" s="748"/>
      <c r="AM489" s="748"/>
    </row>
    <row r="490" spans="2:39" x14ac:dyDescent="0.2">
      <c r="B490" s="101" t="str">
        <f t="shared" si="144"/>
        <v/>
      </c>
      <c r="C490" s="168">
        <f>IF(ISERROR(Personalplanung!F74/Monatsplanung!$E74*Monatsplanung!$K74),0,Personalplanung!F74/Monatsplanung!$E74*Monatsplanung!$K74)</f>
        <v>0</v>
      </c>
      <c r="D490" s="168">
        <f t="shared" si="145"/>
        <v>0</v>
      </c>
      <c r="E490" s="168">
        <f>IF(ISERROR(Personalplanung!H74/Monatsplanung!$E74*Monatsplanung!$K74),0,Personalplanung!H74/Monatsplanung!$E74*Monatsplanung!$K74)</f>
        <v>0</v>
      </c>
      <c r="F490" s="168">
        <f t="shared" si="146"/>
        <v>0</v>
      </c>
      <c r="G490" s="168">
        <f t="shared" si="147"/>
        <v>27.700831024930746</v>
      </c>
      <c r="H490" s="168">
        <f t="shared" si="148"/>
        <v>0</v>
      </c>
      <c r="I490" s="168">
        <f t="shared" si="149"/>
        <v>30</v>
      </c>
      <c r="J490" s="739"/>
      <c r="K490" s="168">
        <f>IF(J490&lt;&gt;"",J490,IF(ISERROR(Personalplanung!AB74/Monatsplanung!$E74*Monatsplanung!$K74),0,Personalplanung!AB74/Monatsplanung!$E74*Monatsplanung!$K74))</f>
        <v>0</v>
      </c>
      <c r="L490" s="740"/>
      <c r="M490" s="739"/>
      <c r="N490" s="168">
        <f>IF(M490&lt;&gt;"",M490,IF(ISERROR(Personalplanung!AC74/Monatsplanung!$E74*Monatsplanung!$K74),0,Personalplanung!AC74/Monatsplanung!$E74*Monatsplanung!$K74))</f>
        <v>0</v>
      </c>
      <c r="O490" s="740"/>
      <c r="P490" s="739"/>
      <c r="Q490" s="168">
        <f>IF(P490&lt;&gt;"",P490,IF(ISERROR(Personalplanung!AD74/Monatsplanung!$E74*Monatsplanung!$K74),0,Personalplanung!AD74/Monatsplanung!$E74*Monatsplanung!$K74))</f>
        <v>0</v>
      </c>
      <c r="R490" s="740"/>
      <c r="S490" s="739"/>
      <c r="T490" s="168">
        <f>IF(S490&lt;&gt;"",S490,IF(ISERROR(Personalplanung!AE74/Monatsplanung!$E74*Monatsplanung!$K74),0,Personalplanung!AE74/Monatsplanung!$E74*Monatsplanung!$K74))</f>
        <v>0</v>
      </c>
      <c r="U490" s="740"/>
      <c r="V490" s="168">
        <f t="shared" si="150"/>
        <v>0</v>
      </c>
      <c r="W490" s="168">
        <f>IF(ISERROR(Personalplanung!P74/Monatsplanung!$E74*Monatsplanung!$K74),0,Personalplanung!P74/Monatsplanung!$E74*Monatsplanung!$K74)</f>
        <v>0</v>
      </c>
      <c r="X490" s="168">
        <f>IF(ISERROR(Personalplanung!Q74/Monatsplanung!$E74*Monatsplanung!$K74),0,Personalplanung!Q74/Monatsplanung!$E74*Monatsplanung!$K74)</f>
        <v>0</v>
      </c>
      <c r="Y490" s="168">
        <f>IF(ISERROR(Personalplanung!R74/T1322*Stundencontrolling!T490),0,Personalplanung!R74/T1322*Stundencontrolling!T490)</f>
        <v>0</v>
      </c>
      <c r="Z490" s="168">
        <f>IF(ISERROR(Personalplanung!S74/Monatsplanung!$E74*Monatsplanung!$K74),0,Personalplanung!S74/Monatsplanung!$E74*Monatsplanung!$K74)</f>
        <v>0</v>
      </c>
      <c r="AA490" s="80">
        <f t="shared" si="151"/>
        <v>0</v>
      </c>
      <c r="AB490" s="102">
        <f t="shared" si="152"/>
        <v>0.1</v>
      </c>
      <c r="AC490" s="103">
        <f t="shared" si="153"/>
        <v>0</v>
      </c>
      <c r="AD490" s="103">
        <f t="shared" si="154"/>
        <v>0</v>
      </c>
      <c r="AE490" s="81">
        <f t="shared" si="155"/>
        <v>0</v>
      </c>
      <c r="AF490" s="539"/>
      <c r="AG490" s="104">
        <f t="shared" si="156"/>
        <v>1</v>
      </c>
      <c r="AH490" s="7">
        <f t="shared" si="157"/>
        <v>0</v>
      </c>
      <c r="AI490" s="6">
        <f t="shared" si="158"/>
        <v>0</v>
      </c>
      <c r="AJ490" s="73">
        <f t="shared" si="159"/>
        <v>0</v>
      </c>
      <c r="AK490" s="539"/>
      <c r="AL490" s="748"/>
      <c r="AM490" s="748"/>
    </row>
    <row r="491" spans="2:39" x14ac:dyDescent="0.2">
      <c r="B491" s="101" t="str">
        <f t="shared" si="144"/>
        <v/>
      </c>
      <c r="C491" s="168">
        <f>IF(ISERROR(Personalplanung!F75/Monatsplanung!$E75*Monatsplanung!$K75),0,Personalplanung!F75/Monatsplanung!$E75*Monatsplanung!$K75)</f>
        <v>0</v>
      </c>
      <c r="D491" s="168">
        <f t="shared" si="145"/>
        <v>0</v>
      </c>
      <c r="E491" s="168">
        <f>IF(ISERROR(Personalplanung!H75/Monatsplanung!$E75*Monatsplanung!$K75),0,Personalplanung!H75/Monatsplanung!$E75*Monatsplanung!$K75)</f>
        <v>0</v>
      </c>
      <c r="F491" s="168">
        <f t="shared" si="146"/>
        <v>0</v>
      </c>
      <c r="G491" s="168">
        <f t="shared" si="147"/>
        <v>27.700831024930746</v>
      </c>
      <c r="H491" s="168">
        <f t="shared" si="148"/>
        <v>0</v>
      </c>
      <c r="I491" s="168">
        <f t="shared" si="149"/>
        <v>30</v>
      </c>
      <c r="J491" s="739"/>
      <c r="K491" s="168">
        <f>IF(J491&lt;&gt;"",J491,IF(ISERROR(Personalplanung!AB75/Monatsplanung!$E75*Monatsplanung!$K75),0,Personalplanung!AB75/Monatsplanung!$E75*Monatsplanung!$K75))</f>
        <v>0</v>
      </c>
      <c r="L491" s="740"/>
      <c r="M491" s="739"/>
      <c r="N491" s="168">
        <f>IF(M491&lt;&gt;"",M491,IF(ISERROR(Personalplanung!AC75/Monatsplanung!$E75*Monatsplanung!$K75),0,Personalplanung!AC75/Monatsplanung!$E75*Monatsplanung!$K75))</f>
        <v>0</v>
      </c>
      <c r="O491" s="740"/>
      <c r="P491" s="739"/>
      <c r="Q491" s="168">
        <f>IF(P491&lt;&gt;"",P491,IF(ISERROR(Personalplanung!AD75/Monatsplanung!$E75*Monatsplanung!$K75),0,Personalplanung!AD75/Monatsplanung!$E75*Monatsplanung!$K75))</f>
        <v>0</v>
      </c>
      <c r="R491" s="740"/>
      <c r="S491" s="739"/>
      <c r="T491" s="168">
        <f>IF(S491&lt;&gt;"",S491,IF(ISERROR(Personalplanung!AE75/Monatsplanung!$E75*Monatsplanung!$K75),0,Personalplanung!AE75/Monatsplanung!$E75*Monatsplanung!$K75))</f>
        <v>0</v>
      </c>
      <c r="U491" s="740"/>
      <c r="V491" s="168">
        <f t="shared" si="150"/>
        <v>0</v>
      </c>
      <c r="W491" s="168">
        <f>IF(ISERROR(Personalplanung!P75/Monatsplanung!$E75*Monatsplanung!$K75),0,Personalplanung!P75/Monatsplanung!$E75*Monatsplanung!$K75)</f>
        <v>0</v>
      </c>
      <c r="X491" s="168">
        <f>IF(ISERROR(Personalplanung!Q75/Monatsplanung!$E75*Monatsplanung!$K75),0,Personalplanung!Q75/Monatsplanung!$E75*Monatsplanung!$K75)</f>
        <v>0</v>
      </c>
      <c r="Y491" s="168">
        <f>IF(ISERROR(Personalplanung!R75/T1323*Stundencontrolling!T491),0,Personalplanung!R75/T1323*Stundencontrolling!T491)</f>
        <v>0</v>
      </c>
      <c r="Z491" s="168">
        <f>IF(ISERROR(Personalplanung!S75/Monatsplanung!$E75*Monatsplanung!$K75),0,Personalplanung!S75/Monatsplanung!$E75*Monatsplanung!$K75)</f>
        <v>0</v>
      </c>
      <c r="AA491" s="80">
        <f t="shared" si="151"/>
        <v>0</v>
      </c>
      <c r="AB491" s="102">
        <f t="shared" si="152"/>
        <v>0.1</v>
      </c>
      <c r="AC491" s="103">
        <f t="shared" si="153"/>
        <v>0</v>
      </c>
      <c r="AD491" s="103">
        <f t="shared" si="154"/>
        <v>0</v>
      </c>
      <c r="AE491" s="81">
        <f t="shared" si="155"/>
        <v>0</v>
      </c>
      <c r="AF491" s="539"/>
      <c r="AG491" s="104">
        <f t="shared" si="156"/>
        <v>1</v>
      </c>
      <c r="AH491" s="7">
        <f t="shared" si="157"/>
        <v>0</v>
      </c>
      <c r="AI491" s="6">
        <f t="shared" si="158"/>
        <v>0</v>
      </c>
      <c r="AJ491" s="73">
        <f t="shared" si="159"/>
        <v>0</v>
      </c>
      <c r="AK491" s="539"/>
      <c r="AL491" s="748"/>
      <c r="AM491" s="748"/>
    </row>
    <row r="492" spans="2:39" x14ac:dyDescent="0.2">
      <c r="B492" s="101" t="str">
        <f t="shared" si="144"/>
        <v/>
      </c>
      <c r="C492" s="168">
        <f>IF(ISERROR(Personalplanung!F76/Monatsplanung!$E76*Monatsplanung!$K76),0,Personalplanung!F76/Monatsplanung!$E76*Monatsplanung!$K76)</f>
        <v>0</v>
      </c>
      <c r="D492" s="168">
        <f t="shared" si="145"/>
        <v>0</v>
      </c>
      <c r="E492" s="168">
        <f>IF(ISERROR(Personalplanung!H76/Monatsplanung!$E76*Monatsplanung!$K76),0,Personalplanung!H76/Monatsplanung!$E76*Monatsplanung!$K76)</f>
        <v>0</v>
      </c>
      <c r="F492" s="168">
        <f t="shared" si="146"/>
        <v>0</v>
      </c>
      <c r="G492" s="168">
        <f t="shared" si="147"/>
        <v>27.700831024930746</v>
      </c>
      <c r="H492" s="168">
        <f t="shared" si="148"/>
        <v>0</v>
      </c>
      <c r="I492" s="168">
        <f t="shared" si="149"/>
        <v>30</v>
      </c>
      <c r="J492" s="739"/>
      <c r="K492" s="168">
        <f>IF(J492&lt;&gt;"",J492,IF(ISERROR(Personalplanung!AB76/Monatsplanung!$E76*Monatsplanung!$K76),0,Personalplanung!AB76/Monatsplanung!$E76*Monatsplanung!$K76))</f>
        <v>0</v>
      </c>
      <c r="L492" s="740"/>
      <c r="M492" s="739"/>
      <c r="N492" s="168">
        <f>IF(M492&lt;&gt;"",M492,IF(ISERROR(Personalplanung!AC76/Monatsplanung!$E76*Monatsplanung!$K76),0,Personalplanung!AC76/Monatsplanung!$E76*Monatsplanung!$K76))</f>
        <v>0</v>
      </c>
      <c r="O492" s="740"/>
      <c r="P492" s="739"/>
      <c r="Q492" s="168">
        <f>IF(P492&lt;&gt;"",P492,IF(ISERROR(Personalplanung!AD76/Monatsplanung!$E76*Monatsplanung!$K76),0,Personalplanung!AD76/Monatsplanung!$E76*Monatsplanung!$K76))</f>
        <v>0</v>
      </c>
      <c r="R492" s="740"/>
      <c r="S492" s="739"/>
      <c r="T492" s="168">
        <f>IF(S492&lt;&gt;"",S492,IF(ISERROR(Personalplanung!AE76/Monatsplanung!$E76*Monatsplanung!$K76),0,Personalplanung!AE76/Monatsplanung!$E76*Monatsplanung!$K76))</f>
        <v>0</v>
      </c>
      <c r="U492" s="740"/>
      <c r="V492" s="168">
        <f t="shared" si="150"/>
        <v>0</v>
      </c>
      <c r="W492" s="168">
        <f>IF(ISERROR(Personalplanung!P76/Monatsplanung!$E76*Monatsplanung!$K76),0,Personalplanung!P76/Monatsplanung!$E76*Monatsplanung!$K76)</f>
        <v>0</v>
      </c>
      <c r="X492" s="168">
        <f>IF(ISERROR(Personalplanung!Q76/Monatsplanung!$E76*Monatsplanung!$K76),0,Personalplanung!Q76/Monatsplanung!$E76*Monatsplanung!$K76)</f>
        <v>0</v>
      </c>
      <c r="Y492" s="168">
        <f>IF(ISERROR(Personalplanung!R76/T1324*Stundencontrolling!T492),0,Personalplanung!R76/T1324*Stundencontrolling!T492)</f>
        <v>0</v>
      </c>
      <c r="Z492" s="168">
        <f>IF(ISERROR(Personalplanung!S76/Monatsplanung!$E76*Monatsplanung!$K76),0,Personalplanung!S76/Monatsplanung!$E76*Monatsplanung!$K76)</f>
        <v>0</v>
      </c>
      <c r="AA492" s="80">
        <f t="shared" si="151"/>
        <v>0</v>
      </c>
      <c r="AB492" s="102">
        <f t="shared" si="152"/>
        <v>0.1</v>
      </c>
      <c r="AC492" s="103">
        <f t="shared" si="153"/>
        <v>0</v>
      </c>
      <c r="AD492" s="103">
        <f t="shared" si="154"/>
        <v>0</v>
      </c>
      <c r="AE492" s="81">
        <f t="shared" si="155"/>
        <v>0</v>
      </c>
      <c r="AF492" s="539"/>
      <c r="AG492" s="104">
        <f t="shared" si="156"/>
        <v>1</v>
      </c>
      <c r="AH492" s="7">
        <f t="shared" si="157"/>
        <v>0</v>
      </c>
      <c r="AI492" s="6">
        <f t="shared" si="158"/>
        <v>0</v>
      </c>
      <c r="AJ492" s="73">
        <f t="shared" si="159"/>
        <v>0</v>
      </c>
      <c r="AK492" s="539"/>
      <c r="AL492" s="748"/>
      <c r="AM492" s="748"/>
    </row>
    <row r="493" spans="2:39" x14ac:dyDescent="0.2">
      <c r="B493" s="101" t="str">
        <f t="shared" si="144"/>
        <v/>
      </c>
      <c r="C493" s="168">
        <f>IF(ISERROR(Personalplanung!F77/Monatsplanung!$E77*Monatsplanung!$K77),0,Personalplanung!F77/Monatsplanung!$E77*Monatsplanung!$K77)</f>
        <v>0</v>
      </c>
      <c r="D493" s="168">
        <f t="shared" si="145"/>
        <v>0</v>
      </c>
      <c r="E493" s="168">
        <f>IF(ISERROR(Personalplanung!H77/Monatsplanung!$E77*Monatsplanung!$K77),0,Personalplanung!H77/Monatsplanung!$E77*Monatsplanung!$K77)</f>
        <v>0</v>
      </c>
      <c r="F493" s="168">
        <f t="shared" si="146"/>
        <v>0</v>
      </c>
      <c r="G493" s="168">
        <f t="shared" si="147"/>
        <v>27.700831024930746</v>
      </c>
      <c r="H493" s="168">
        <f t="shared" si="148"/>
        <v>0</v>
      </c>
      <c r="I493" s="168">
        <f t="shared" si="149"/>
        <v>30</v>
      </c>
      <c r="J493" s="739"/>
      <c r="K493" s="168">
        <f>IF(J493&lt;&gt;"",J493,IF(ISERROR(Personalplanung!AB77/Monatsplanung!$E77*Monatsplanung!$K77),0,Personalplanung!AB77/Monatsplanung!$E77*Monatsplanung!$K77))</f>
        <v>0</v>
      </c>
      <c r="L493" s="740"/>
      <c r="M493" s="739"/>
      <c r="N493" s="168">
        <f>IF(M493&lt;&gt;"",M493,IF(ISERROR(Personalplanung!AC77/Monatsplanung!$E77*Monatsplanung!$K77),0,Personalplanung!AC77/Monatsplanung!$E77*Monatsplanung!$K77))</f>
        <v>0</v>
      </c>
      <c r="O493" s="740"/>
      <c r="P493" s="739"/>
      <c r="Q493" s="168">
        <f>IF(P493&lt;&gt;"",P493,IF(ISERROR(Personalplanung!AD77/Monatsplanung!$E77*Monatsplanung!$K77),0,Personalplanung!AD77/Monatsplanung!$E77*Monatsplanung!$K77))</f>
        <v>0</v>
      </c>
      <c r="R493" s="740"/>
      <c r="S493" s="739"/>
      <c r="T493" s="168">
        <f>IF(S493&lt;&gt;"",S493,IF(ISERROR(Personalplanung!AE77/Monatsplanung!$E77*Monatsplanung!$K77),0,Personalplanung!AE77/Monatsplanung!$E77*Monatsplanung!$K77))</f>
        <v>0</v>
      </c>
      <c r="U493" s="740"/>
      <c r="V493" s="168">
        <f t="shared" si="150"/>
        <v>0</v>
      </c>
      <c r="W493" s="168">
        <f>IF(ISERROR(Personalplanung!P77/Monatsplanung!$E77*Monatsplanung!$K77),0,Personalplanung!P77/Monatsplanung!$E77*Monatsplanung!$K77)</f>
        <v>0</v>
      </c>
      <c r="X493" s="168">
        <f>IF(ISERROR(Personalplanung!Q77/Monatsplanung!$E77*Monatsplanung!$K77),0,Personalplanung!Q77/Monatsplanung!$E77*Monatsplanung!$K77)</f>
        <v>0</v>
      </c>
      <c r="Y493" s="168">
        <f>IF(ISERROR(Personalplanung!R77/T1325*Stundencontrolling!T493),0,Personalplanung!R77/T1325*Stundencontrolling!T493)</f>
        <v>0</v>
      </c>
      <c r="Z493" s="168">
        <f>IF(ISERROR(Personalplanung!S77/Monatsplanung!$E77*Monatsplanung!$K77),0,Personalplanung!S77/Monatsplanung!$E77*Monatsplanung!$K77)</f>
        <v>0</v>
      </c>
      <c r="AA493" s="80">
        <f t="shared" si="151"/>
        <v>0</v>
      </c>
      <c r="AB493" s="102">
        <f t="shared" si="152"/>
        <v>0.1</v>
      </c>
      <c r="AC493" s="103">
        <f t="shared" si="153"/>
        <v>0</v>
      </c>
      <c r="AD493" s="103">
        <f t="shared" si="154"/>
        <v>0</v>
      </c>
      <c r="AE493" s="81">
        <f t="shared" si="155"/>
        <v>0</v>
      </c>
      <c r="AF493" s="539"/>
      <c r="AG493" s="104">
        <f t="shared" si="156"/>
        <v>1</v>
      </c>
      <c r="AH493" s="7">
        <f t="shared" si="157"/>
        <v>0</v>
      </c>
      <c r="AI493" s="6">
        <f t="shared" si="158"/>
        <v>0</v>
      </c>
      <c r="AJ493" s="73">
        <f t="shared" si="159"/>
        <v>0</v>
      </c>
      <c r="AK493" s="539"/>
      <c r="AL493" s="748"/>
      <c r="AM493" s="748"/>
    </row>
    <row r="494" spans="2:39" x14ac:dyDescent="0.2">
      <c r="B494" s="101" t="str">
        <f t="shared" si="144"/>
        <v/>
      </c>
      <c r="C494" s="168">
        <f>IF(ISERROR(Personalplanung!F78/Monatsplanung!$E78*Monatsplanung!$K78),0,Personalplanung!F78/Monatsplanung!$E78*Monatsplanung!$K78)</f>
        <v>0</v>
      </c>
      <c r="D494" s="168">
        <f t="shared" si="145"/>
        <v>0</v>
      </c>
      <c r="E494" s="168">
        <f>IF(ISERROR(Personalplanung!H78/Monatsplanung!$E78*Monatsplanung!$K78),0,Personalplanung!H78/Monatsplanung!$E78*Monatsplanung!$K78)</f>
        <v>0</v>
      </c>
      <c r="F494" s="168">
        <f t="shared" si="146"/>
        <v>0</v>
      </c>
      <c r="G494" s="168">
        <f t="shared" si="147"/>
        <v>27.700831024930746</v>
      </c>
      <c r="H494" s="168">
        <f t="shared" si="148"/>
        <v>0</v>
      </c>
      <c r="I494" s="168">
        <f t="shared" si="149"/>
        <v>30</v>
      </c>
      <c r="J494" s="739"/>
      <c r="K494" s="168">
        <f>IF(J494&lt;&gt;"",J494,IF(ISERROR(Personalplanung!AB78/Monatsplanung!$E78*Monatsplanung!$K78),0,Personalplanung!AB78/Monatsplanung!$E78*Monatsplanung!$K78))</f>
        <v>0</v>
      </c>
      <c r="L494" s="740"/>
      <c r="M494" s="739"/>
      <c r="N494" s="168">
        <f>IF(M494&lt;&gt;"",M494,IF(ISERROR(Personalplanung!AC78/Monatsplanung!$E78*Monatsplanung!$K78),0,Personalplanung!AC78/Monatsplanung!$E78*Monatsplanung!$K78))</f>
        <v>0</v>
      </c>
      <c r="O494" s="740"/>
      <c r="P494" s="739"/>
      <c r="Q494" s="168">
        <f>IF(P494&lt;&gt;"",P494,IF(ISERROR(Personalplanung!AD78/Monatsplanung!$E78*Monatsplanung!$K78),0,Personalplanung!AD78/Monatsplanung!$E78*Monatsplanung!$K78))</f>
        <v>0</v>
      </c>
      <c r="R494" s="740"/>
      <c r="S494" s="739"/>
      <c r="T494" s="168">
        <f>IF(S494&lt;&gt;"",S494,IF(ISERROR(Personalplanung!AE78/Monatsplanung!$E78*Monatsplanung!$K78),0,Personalplanung!AE78/Monatsplanung!$E78*Monatsplanung!$K78))</f>
        <v>0</v>
      </c>
      <c r="U494" s="740"/>
      <c r="V494" s="168">
        <f t="shared" si="150"/>
        <v>0</v>
      </c>
      <c r="W494" s="168">
        <f>IF(ISERROR(Personalplanung!P78/Monatsplanung!$E78*Monatsplanung!$K78),0,Personalplanung!P78/Monatsplanung!$E78*Monatsplanung!$K78)</f>
        <v>0</v>
      </c>
      <c r="X494" s="168">
        <f>IF(ISERROR(Personalplanung!Q78/Monatsplanung!$E78*Monatsplanung!$K78),0,Personalplanung!Q78/Monatsplanung!$E78*Monatsplanung!$K78)</f>
        <v>0</v>
      </c>
      <c r="Y494" s="168">
        <f>IF(ISERROR(Personalplanung!R78/T1326*Stundencontrolling!T494),0,Personalplanung!R78/T1326*Stundencontrolling!T494)</f>
        <v>0</v>
      </c>
      <c r="Z494" s="168">
        <f>IF(ISERROR(Personalplanung!S78/Monatsplanung!$E78*Monatsplanung!$K78),0,Personalplanung!S78/Monatsplanung!$E78*Monatsplanung!$K78)</f>
        <v>0</v>
      </c>
      <c r="AA494" s="80">
        <f t="shared" si="151"/>
        <v>0</v>
      </c>
      <c r="AB494" s="102">
        <f t="shared" si="152"/>
        <v>0.1</v>
      </c>
      <c r="AC494" s="103">
        <f t="shared" si="153"/>
        <v>0</v>
      </c>
      <c r="AD494" s="103">
        <f t="shared" si="154"/>
        <v>0</v>
      </c>
      <c r="AE494" s="81">
        <f t="shared" si="155"/>
        <v>0</v>
      </c>
      <c r="AF494" s="539"/>
      <c r="AG494" s="104">
        <f t="shared" si="156"/>
        <v>1</v>
      </c>
      <c r="AH494" s="7">
        <f t="shared" si="157"/>
        <v>0</v>
      </c>
      <c r="AI494" s="6">
        <f t="shared" si="158"/>
        <v>0</v>
      </c>
      <c r="AJ494" s="73">
        <f t="shared" si="159"/>
        <v>0</v>
      </c>
      <c r="AK494" s="539"/>
      <c r="AL494" s="748"/>
      <c r="AM494" s="748"/>
    </row>
    <row r="495" spans="2:39" x14ac:dyDescent="0.2">
      <c r="B495" s="101" t="str">
        <f t="shared" si="144"/>
        <v/>
      </c>
      <c r="C495" s="168">
        <f>IF(ISERROR(Personalplanung!F79/Monatsplanung!$E79*Monatsplanung!$K79),0,Personalplanung!F79/Monatsplanung!$E79*Monatsplanung!$K79)</f>
        <v>0</v>
      </c>
      <c r="D495" s="168">
        <f t="shared" si="145"/>
        <v>0</v>
      </c>
      <c r="E495" s="168">
        <f>IF(ISERROR(Personalplanung!H79/Monatsplanung!$E79*Monatsplanung!$K79),0,Personalplanung!H79/Monatsplanung!$E79*Monatsplanung!$K79)</f>
        <v>0</v>
      </c>
      <c r="F495" s="168">
        <f t="shared" si="146"/>
        <v>0</v>
      </c>
      <c r="G495" s="168">
        <f t="shared" si="147"/>
        <v>27.700831024930746</v>
      </c>
      <c r="H495" s="168">
        <f t="shared" si="148"/>
        <v>0</v>
      </c>
      <c r="I495" s="168">
        <f t="shared" si="149"/>
        <v>30</v>
      </c>
      <c r="J495" s="739"/>
      <c r="K495" s="168">
        <f>IF(J495&lt;&gt;"",J495,IF(ISERROR(Personalplanung!AB79/Monatsplanung!$E79*Monatsplanung!$K79),0,Personalplanung!AB79/Monatsplanung!$E79*Monatsplanung!$K79))</f>
        <v>0</v>
      </c>
      <c r="L495" s="740"/>
      <c r="M495" s="739"/>
      <c r="N495" s="168">
        <f>IF(M495&lt;&gt;"",M495,IF(ISERROR(Personalplanung!AC79/Monatsplanung!$E79*Monatsplanung!$K79),0,Personalplanung!AC79/Monatsplanung!$E79*Monatsplanung!$K79))</f>
        <v>0</v>
      </c>
      <c r="O495" s="740"/>
      <c r="P495" s="739"/>
      <c r="Q495" s="168">
        <f>IF(P495&lt;&gt;"",P495,IF(ISERROR(Personalplanung!AD79/Monatsplanung!$E79*Monatsplanung!$K79),0,Personalplanung!AD79/Monatsplanung!$E79*Monatsplanung!$K79))</f>
        <v>0</v>
      </c>
      <c r="R495" s="740"/>
      <c r="S495" s="739"/>
      <c r="T495" s="168">
        <f>IF(S495&lt;&gt;"",S495,IF(ISERROR(Personalplanung!AE79/Monatsplanung!$E79*Monatsplanung!$K79),0,Personalplanung!AE79/Monatsplanung!$E79*Monatsplanung!$K79))</f>
        <v>0</v>
      </c>
      <c r="U495" s="740"/>
      <c r="V495" s="168">
        <f t="shared" si="150"/>
        <v>0</v>
      </c>
      <c r="W495" s="168">
        <f>IF(ISERROR(Personalplanung!P79/Monatsplanung!$E79*Monatsplanung!$K79),0,Personalplanung!P79/Monatsplanung!$E79*Monatsplanung!$K79)</f>
        <v>0</v>
      </c>
      <c r="X495" s="168">
        <f>IF(ISERROR(Personalplanung!Q79/Monatsplanung!$E79*Monatsplanung!$K79),0,Personalplanung!Q79/Monatsplanung!$E79*Monatsplanung!$K79)</f>
        <v>0</v>
      </c>
      <c r="Y495" s="168">
        <f>IF(ISERROR(Personalplanung!R79/T1327*Stundencontrolling!T495),0,Personalplanung!R79/T1327*Stundencontrolling!T495)</f>
        <v>0</v>
      </c>
      <c r="Z495" s="168">
        <f>IF(ISERROR(Personalplanung!S79/Monatsplanung!$E79*Monatsplanung!$K79),0,Personalplanung!S79/Monatsplanung!$E79*Monatsplanung!$K79)</f>
        <v>0</v>
      </c>
      <c r="AA495" s="80">
        <f t="shared" si="151"/>
        <v>0</v>
      </c>
      <c r="AB495" s="102">
        <f t="shared" si="152"/>
        <v>0.1</v>
      </c>
      <c r="AC495" s="103">
        <f t="shared" si="153"/>
        <v>0</v>
      </c>
      <c r="AD495" s="103">
        <f t="shared" si="154"/>
        <v>0</v>
      </c>
      <c r="AE495" s="81">
        <f t="shared" si="155"/>
        <v>0</v>
      </c>
      <c r="AF495" s="539"/>
      <c r="AG495" s="104">
        <f t="shared" si="156"/>
        <v>1</v>
      </c>
      <c r="AH495" s="7">
        <f t="shared" si="157"/>
        <v>0</v>
      </c>
      <c r="AI495" s="6">
        <f t="shared" si="158"/>
        <v>0</v>
      </c>
      <c r="AJ495" s="73">
        <f t="shared" si="159"/>
        <v>0</v>
      </c>
      <c r="AK495" s="539"/>
      <c r="AL495" s="748"/>
      <c r="AM495" s="748"/>
    </row>
    <row r="496" spans="2:39" x14ac:dyDescent="0.2">
      <c r="B496" s="101" t="str">
        <f t="shared" si="144"/>
        <v/>
      </c>
      <c r="C496" s="168">
        <f>IF(ISERROR(Personalplanung!F80/Monatsplanung!$E80*Monatsplanung!$K80),0,Personalplanung!F80/Monatsplanung!$E80*Monatsplanung!$K80)</f>
        <v>0</v>
      </c>
      <c r="D496" s="168">
        <f t="shared" si="145"/>
        <v>0</v>
      </c>
      <c r="E496" s="168">
        <f>IF(ISERROR(Personalplanung!H80/Monatsplanung!$E80*Monatsplanung!$K80),0,Personalplanung!H80/Monatsplanung!$E80*Monatsplanung!$K80)</f>
        <v>0</v>
      </c>
      <c r="F496" s="168">
        <f t="shared" si="146"/>
        <v>0</v>
      </c>
      <c r="G496" s="168">
        <f t="shared" si="147"/>
        <v>27.700831024930746</v>
      </c>
      <c r="H496" s="168">
        <f t="shared" si="148"/>
        <v>0</v>
      </c>
      <c r="I496" s="168">
        <f t="shared" si="149"/>
        <v>30</v>
      </c>
      <c r="J496" s="739"/>
      <c r="K496" s="168">
        <f>IF(J496&lt;&gt;"",J496,IF(ISERROR(Personalplanung!AB80/Monatsplanung!$E80*Monatsplanung!$K80),0,Personalplanung!AB80/Monatsplanung!$E80*Monatsplanung!$K80))</f>
        <v>0</v>
      </c>
      <c r="L496" s="740"/>
      <c r="M496" s="739"/>
      <c r="N496" s="168">
        <f>IF(M496&lt;&gt;"",M496,IF(ISERROR(Personalplanung!AC80/Monatsplanung!$E80*Monatsplanung!$K80),0,Personalplanung!AC80/Monatsplanung!$E80*Monatsplanung!$K80))</f>
        <v>0</v>
      </c>
      <c r="O496" s="740"/>
      <c r="P496" s="739"/>
      <c r="Q496" s="168">
        <f>IF(P496&lt;&gt;"",P496,IF(ISERROR(Personalplanung!AD80/Monatsplanung!$E80*Monatsplanung!$K80),0,Personalplanung!AD80/Monatsplanung!$E80*Monatsplanung!$K80))</f>
        <v>0</v>
      </c>
      <c r="R496" s="740"/>
      <c r="S496" s="739"/>
      <c r="T496" s="168">
        <f>IF(S496&lt;&gt;"",S496,IF(ISERROR(Personalplanung!AE80/Monatsplanung!$E80*Monatsplanung!$K80),0,Personalplanung!AE80/Monatsplanung!$E80*Monatsplanung!$K80))</f>
        <v>0</v>
      </c>
      <c r="U496" s="740"/>
      <c r="V496" s="168">
        <f t="shared" si="150"/>
        <v>0</v>
      </c>
      <c r="W496" s="168">
        <f>IF(ISERROR(Personalplanung!P80/Monatsplanung!$E80*Monatsplanung!$K80),0,Personalplanung!P80/Monatsplanung!$E80*Monatsplanung!$K80)</f>
        <v>0</v>
      </c>
      <c r="X496" s="168">
        <f>IF(ISERROR(Personalplanung!Q80/Monatsplanung!$E80*Monatsplanung!$K80),0,Personalplanung!Q80/Monatsplanung!$E80*Monatsplanung!$K80)</f>
        <v>0</v>
      </c>
      <c r="Y496" s="168">
        <f>IF(ISERROR(Personalplanung!R80/T1328*Stundencontrolling!T496),0,Personalplanung!R80/T1328*Stundencontrolling!T496)</f>
        <v>0</v>
      </c>
      <c r="Z496" s="168">
        <f>IF(ISERROR(Personalplanung!S80/Monatsplanung!$E80*Monatsplanung!$K80),0,Personalplanung!S80/Monatsplanung!$E80*Monatsplanung!$K80)</f>
        <v>0</v>
      </c>
      <c r="AA496" s="80">
        <f t="shared" si="151"/>
        <v>0</v>
      </c>
      <c r="AB496" s="102">
        <f t="shared" si="152"/>
        <v>0.1</v>
      </c>
      <c r="AC496" s="103">
        <f t="shared" si="153"/>
        <v>0</v>
      </c>
      <c r="AD496" s="103">
        <f t="shared" si="154"/>
        <v>0</v>
      </c>
      <c r="AE496" s="81">
        <f t="shared" si="155"/>
        <v>0</v>
      </c>
      <c r="AF496" s="539"/>
      <c r="AG496" s="104">
        <f t="shared" si="156"/>
        <v>1</v>
      </c>
      <c r="AH496" s="7">
        <f t="shared" si="157"/>
        <v>0</v>
      </c>
      <c r="AI496" s="6">
        <f t="shared" si="158"/>
        <v>0</v>
      </c>
      <c r="AJ496" s="73">
        <f t="shared" si="159"/>
        <v>0</v>
      </c>
      <c r="AK496" s="539"/>
      <c r="AL496" s="748"/>
      <c r="AM496" s="748"/>
    </row>
    <row r="497" spans="2:39" x14ac:dyDescent="0.2">
      <c r="B497" s="101" t="str">
        <f t="shared" si="144"/>
        <v/>
      </c>
      <c r="C497" s="168">
        <f>IF(ISERROR(Personalplanung!F81/Monatsplanung!$E81*Monatsplanung!$K81),0,Personalplanung!F81/Monatsplanung!$E81*Monatsplanung!$K81)</f>
        <v>0</v>
      </c>
      <c r="D497" s="168">
        <f t="shared" si="145"/>
        <v>0</v>
      </c>
      <c r="E497" s="168">
        <f>IF(ISERROR(Personalplanung!H81/Monatsplanung!$E81*Monatsplanung!$K81),0,Personalplanung!H81/Monatsplanung!$E81*Monatsplanung!$K81)</f>
        <v>0</v>
      </c>
      <c r="F497" s="168">
        <f t="shared" si="146"/>
        <v>0</v>
      </c>
      <c r="G497" s="168">
        <f t="shared" si="147"/>
        <v>27.700831024930746</v>
      </c>
      <c r="H497" s="168">
        <f t="shared" si="148"/>
        <v>0</v>
      </c>
      <c r="I497" s="168">
        <f t="shared" si="149"/>
        <v>30</v>
      </c>
      <c r="J497" s="739"/>
      <c r="K497" s="168">
        <f>IF(J497&lt;&gt;"",J497,IF(ISERROR(Personalplanung!AB81/Monatsplanung!$E81*Monatsplanung!$K81),0,Personalplanung!AB81/Monatsplanung!$E81*Monatsplanung!$K81))</f>
        <v>0</v>
      </c>
      <c r="L497" s="740"/>
      <c r="M497" s="739"/>
      <c r="N497" s="168">
        <f>IF(M497&lt;&gt;"",M497,IF(ISERROR(Personalplanung!AC81/Monatsplanung!$E81*Monatsplanung!$K81),0,Personalplanung!AC81/Monatsplanung!$E81*Monatsplanung!$K81))</f>
        <v>0</v>
      </c>
      <c r="O497" s="740"/>
      <c r="P497" s="739"/>
      <c r="Q497" s="168">
        <f>IF(P497&lt;&gt;"",P497,IF(ISERROR(Personalplanung!AD81/Monatsplanung!$E81*Monatsplanung!$K81),0,Personalplanung!AD81/Monatsplanung!$E81*Monatsplanung!$K81))</f>
        <v>0</v>
      </c>
      <c r="R497" s="740"/>
      <c r="S497" s="739"/>
      <c r="T497" s="168">
        <f>IF(S497&lt;&gt;"",S497,IF(ISERROR(Personalplanung!AE81/Monatsplanung!$E81*Monatsplanung!$K81),0,Personalplanung!AE81/Monatsplanung!$E81*Monatsplanung!$K81))</f>
        <v>0</v>
      </c>
      <c r="U497" s="740"/>
      <c r="V497" s="168">
        <f t="shared" si="150"/>
        <v>0</v>
      </c>
      <c r="W497" s="168">
        <f>IF(ISERROR(Personalplanung!P81/Monatsplanung!$E81*Monatsplanung!$K81),0,Personalplanung!P81/Monatsplanung!$E81*Monatsplanung!$K81)</f>
        <v>0</v>
      </c>
      <c r="X497" s="168">
        <f>IF(ISERROR(Personalplanung!Q81/Monatsplanung!$E81*Monatsplanung!$K81),0,Personalplanung!Q81/Monatsplanung!$E81*Monatsplanung!$K81)</f>
        <v>0</v>
      </c>
      <c r="Y497" s="168">
        <f>IF(ISERROR(Personalplanung!R81/T1329*Stundencontrolling!T497),0,Personalplanung!R81/T1329*Stundencontrolling!T497)</f>
        <v>0</v>
      </c>
      <c r="Z497" s="168">
        <f>IF(ISERROR(Personalplanung!S81/Monatsplanung!$E81*Monatsplanung!$K81),0,Personalplanung!S81/Monatsplanung!$E81*Monatsplanung!$K81)</f>
        <v>0</v>
      </c>
      <c r="AA497" s="80">
        <f t="shared" si="151"/>
        <v>0</v>
      </c>
      <c r="AB497" s="102">
        <f t="shared" si="152"/>
        <v>0.1</v>
      </c>
      <c r="AC497" s="103">
        <f t="shared" si="153"/>
        <v>0</v>
      </c>
      <c r="AD497" s="103">
        <f t="shared" si="154"/>
        <v>0</v>
      </c>
      <c r="AE497" s="81">
        <f t="shared" si="155"/>
        <v>0</v>
      </c>
      <c r="AF497" s="539"/>
      <c r="AG497" s="104">
        <f t="shared" si="156"/>
        <v>1</v>
      </c>
      <c r="AH497" s="7">
        <f t="shared" si="157"/>
        <v>0</v>
      </c>
      <c r="AI497" s="6">
        <f t="shared" si="158"/>
        <v>0</v>
      </c>
      <c r="AJ497" s="73">
        <f t="shared" si="159"/>
        <v>0</v>
      </c>
      <c r="AK497" s="539"/>
      <c r="AL497" s="748"/>
      <c r="AM497" s="748"/>
    </row>
    <row r="498" spans="2:39" x14ac:dyDescent="0.2">
      <c r="B498" s="101" t="str">
        <f t="shared" si="144"/>
        <v/>
      </c>
      <c r="C498" s="168">
        <f>IF(ISERROR(Personalplanung!F82/Monatsplanung!$E82*Monatsplanung!$K82),0,Personalplanung!F82/Monatsplanung!$E82*Monatsplanung!$K82)</f>
        <v>0</v>
      </c>
      <c r="D498" s="168">
        <f t="shared" si="145"/>
        <v>0</v>
      </c>
      <c r="E498" s="168">
        <f>IF(ISERROR(Personalplanung!H82/Monatsplanung!$E82*Monatsplanung!$K82),0,Personalplanung!H82/Monatsplanung!$E82*Monatsplanung!$K82)</f>
        <v>0</v>
      </c>
      <c r="F498" s="168">
        <f t="shared" si="146"/>
        <v>0</v>
      </c>
      <c r="G498" s="168">
        <f t="shared" si="147"/>
        <v>27.700831024930746</v>
      </c>
      <c r="H498" s="168">
        <f t="shared" si="148"/>
        <v>0</v>
      </c>
      <c r="I498" s="168">
        <f t="shared" si="149"/>
        <v>30</v>
      </c>
      <c r="J498" s="739"/>
      <c r="K498" s="168">
        <f>IF(J498&lt;&gt;"",J498,IF(ISERROR(Personalplanung!AB82/Monatsplanung!$E82*Monatsplanung!$K82),0,Personalplanung!AB82/Monatsplanung!$E82*Monatsplanung!$K82))</f>
        <v>0</v>
      </c>
      <c r="L498" s="740"/>
      <c r="M498" s="739"/>
      <c r="N498" s="168">
        <f>IF(M498&lt;&gt;"",M498,IF(ISERROR(Personalplanung!AC82/Monatsplanung!$E82*Monatsplanung!$K82),0,Personalplanung!AC82/Monatsplanung!$E82*Monatsplanung!$K82))</f>
        <v>0</v>
      </c>
      <c r="O498" s="740"/>
      <c r="P498" s="739"/>
      <c r="Q498" s="168">
        <f>IF(P498&lt;&gt;"",P498,IF(ISERROR(Personalplanung!AD82/Monatsplanung!$E82*Monatsplanung!$K82),0,Personalplanung!AD82/Monatsplanung!$E82*Monatsplanung!$K82))</f>
        <v>0</v>
      </c>
      <c r="R498" s="740"/>
      <c r="S498" s="739"/>
      <c r="T498" s="168">
        <f>IF(S498&lt;&gt;"",S498,IF(ISERROR(Personalplanung!AE82/Monatsplanung!$E82*Monatsplanung!$K82),0,Personalplanung!AE82/Monatsplanung!$E82*Monatsplanung!$K82))</f>
        <v>0</v>
      </c>
      <c r="U498" s="740"/>
      <c r="V498" s="168">
        <f t="shared" si="150"/>
        <v>0</v>
      </c>
      <c r="W498" s="168">
        <f>IF(ISERROR(Personalplanung!P82/Monatsplanung!$E82*Monatsplanung!$K82),0,Personalplanung!P82/Monatsplanung!$E82*Monatsplanung!$K82)</f>
        <v>0</v>
      </c>
      <c r="X498" s="168">
        <f>IF(ISERROR(Personalplanung!Q82/Monatsplanung!$E82*Monatsplanung!$K82),0,Personalplanung!Q82/Monatsplanung!$E82*Monatsplanung!$K82)</f>
        <v>0</v>
      </c>
      <c r="Y498" s="168">
        <f>IF(ISERROR(Personalplanung!R82/T1330*Stundencontrolling!T498),0,Personalplanung!R82/T1330*Stundencontrolling!T498)</f>
        <v>0</v>
      </c>
      <c r="Z498" s="168">
        <f>IF(ISERROR(Personalplanung!S82/Monatsplanung!$E82*Monatsplanung!$K82),0,Personalplanung!S82/Monatsplanung!$E82*Monatsplanung!$K82)</f>
        <v>0</v>
      </c>
      <c r="AA498" s="80">
        <f t="shared" si="151"/>
        <v>0</v>
      </c>
      <c r="AB498" s="102">
        <f t="shared" si="152"/>
        <v>0.1</v>
      </c>
      <c r="AC498" s="103">
        <f t="shared" si="153"/>
        <v>0</v>
      </c>
      <c r="AD498" s="103">
        <f t="shared" si="154"/>
        <v>0</v>
      </c>
      <c r="AE498" s="81">
        <f t="shared" si="155"/>
        <v>0</v>
      </c>
      <c r="AF498" s="539"/>
      <c r="AG498" s="104">
        <f t="shared" si="156"/>
        <v>1</v>
      </c>
      <c r="AH498" s="7">
        <f t="shared" si="157"/>
        <v>0</v>
      </c>
      <c r="AI498" s="6">
        <f t="shared" si="158"/>
        <v>0</v>
      </c>
      <c r="AJ498" s="73">
        <f t="shared" si="159"/>
        <v>0</v>
      </c>
      <c r="AK498" s="539"/>
      <c r="AL498" s="748"/>
      <c r="AM498" s="748"/>
    </row>
    <row r="499" spans="2:39" x14ac:dyDescent="0.2">
      <c r="B499" s="101" t="str">
        <f t="shared" si="144"/>
        <v/>
      </c>
      <c r="C499" s="168">
        <f>IF(ISERROR(Personalplanung!F83/Monatsplanung!$E83*Monatsplanung!$K83),0,Personalplanung!F83/Monatsplanung!$E83*Monatsplanung!$K83)</f>
        <v>0</v>
      </c>
      <c r="D499" s="168">
        <f t="shared" si="145"/>
        <v>0</v>
      </c>
      <c r="E499" s="168">
        <f>IF(ISERROR(Personalplanung!H83/Monatsplanung!$E83*Monatsplanung!$K83),0,Personalplanung!H83/Monatsplanung!$E83*Monatsplanung!$K83)</f>
        <v>0</v>
      </c>
      <c r="F499" s="168">
        <f t="shared" si="146"/>
        <v>0</v>
      </c>
      <c r="G499" s="168">
        <f t="shared" si="147"/>
        <v>27.700831024930746</v>
      </c>
      <c r="H499" s="168">
        <f t="shared" si="148"/>
        <v>0</v>
      </c>
      <c r="I499" s="168">
        <f t="shared" si="149"/>
        <v>30</v>
      </c>
      <c r="J499" s="739"/>
      <c r="K499" s="168">
        <f>IF(J499&lt;&gt;"",J499,IF(ISERROR(Personalplanung!AB83/Monatsplanung!$E83*Monatsplanung!$K83),0,Personalplanung!AB83/Monatsplanung!$E83*Monatsplanung!$K83))</f>
        <v>0</v>
      </c>
      <c r="L499" s="740"/>
      <c r="M499" s="739"/>
      <c r="N499" s="168">
        <f>IF(M499&lt;&gt;"",M499,IF(ISERROR(Personalplanung!AC83/Monatsplanung!$E83*Monatsplanung!$K83),0,Personalplanung!AC83/Monatsplanung!$E83*Monatsplanung!$K83))</f>
        <v>0</v>
      </c>
      <c r="O499" s="740"/>
      <c r="P499" s="739"/>
      <c r="Q499" s="168">
        <f>IF(P499&lt;&gt;"",P499,IF(ISERROR(Personalplanung!AD83/Monatsplanung!$E83*Monatsplanung!$K83),0,Personalplanung!AD83/Monatsplanung!$E83*Monatsplanung!$K83))</f>
        <v>0</v>
      </c>
      <c r="R499" s="740"/>
      <c r="S499" s="739"/>
      <c r="T499" s="168">
        <f>IF(S499&lt;&gt;"",S499,IF(ISERROR(Personalplanung!AE83/Monatsplanung!$E83*Monatsplanung!$K83),0,Personalplanung!AE83/Monatsplanung!$E83*Monatsplanung!$K83))</f>
        <v>0</v>
      </c>
      <c r="U499" s="740"/>
      <c r="V499" s="168">
        <f t="shared" si="150"/>
        <v>0</v>
      </c>
      <c r="W499" s="168">
        <f>IF(ISERROR(Personalplanung!P83/Monatsplanung!$E83*Monatsplanung!$K83),0,Personalplanung!P83/Monatsplanung!$E83*Monatsplanung!$K83)</f>
        <v>0</v>
      </c>
      <c r="X499" s="168">
        <f>IF(ISERROR(Personalplanung!Q83/Monatsplanung!$E83*Monatsplanung!$K83),0,Personalplanung!Q83/Monatsplanung!$E83*Monatsplanung!$K83)</f>
        <v>0</v>
      </c>
      <c r="Y499" s="168">
        <f>IF(ISERROR(Personalplanung!R83/T1331*Stundencontrolling!T499),0,Personalplanung!R83/T1331*Stundencontrolling!T499)</f>
        <v>0</v>
      </c>
      <c r="Z499" s="168">
        <f>IF(ISERROR(Personalplanung!S83/Monatsplanung!$E83*Monatsplanung!$K83),0,Personalplanung!S83/Monatsplanung!$E83*Monatsplanung!$K83)</f>
        <v>0</v>
      </c>
      <c r="AA499" s="80">
        <f t="shared" si="151"/>
        <v>0</v>
      </c>
      <c r="AB499" s="102">
        <f t="shared" si="152"/>
        <v>0.1</v>
      </c>
      <c r="AC499" s="103">
        <f t="shared" si="153"/>
        <v>0</v>
      </c>
      <c r="AD499" s="103">
        <f t="shared" si="154"/>
        <v>0</v>
      </c>
      <c r="AE499" s="81">
        <f t="shared" si="155"/>
        <v>0</v>
      </c>
      <c r="AF499" s="539"/>
      <c r="AG499" s="104">
        <f t="shared" si="156"/>
        <v>1</v>
      </c>
      <c r="AH499" s="7">
        <f t="shared" si="157"/>
        <v>0</v>
      </c>
      <c r="AI499" s="6">
        <f t="shared" si="158"/>
        <v>0</v>
      </c>
      <c r="AJ499" s="73">
        <f t="shared" si="159"/>
        <v>0</v>
      </c>
      <c r="AK499" s="539"/>
      <c r="AL499" s="748"/>
      <c r="AM499" s="748"/>
    </row>
    <row r="500" spans="2:39" x14ac:dyDescent="0.2">
      <c r="B500" s="101" t="str">
        <f t="shared" si="144"/>
        <v/>
      </c>
      <c r="C500" s="168">
        <f>IF(ISERROR(Personalplanung!F84/Monatsplanung!$E84*Monatsplanung!$K84),0,Personalplanung!F84/Monatsplanung!$E84*Monatsplanung!$K84)</f>
        <v>0</v>
      </c>
      <c r="D500" s="168">
        <f t="shared" si="145"/>
        <v>0</v>
      </c>
      <c r="E500" s="168">
        <f>IF(ISERROR(Personalplanung!H84/Monatsplanung!$E84*Monatsplanung!$K84),0,Personalplanung!H84/Monatsplanung!$E84*Monatsplanung!$K84)</f>
        <v>0</v>
      </c>
      <c r="F500" s="168">
        <f t="shared" si="146"/>
        <v>0</v>
      </c>
      <c r="G500" s="168">
        <f t="shared" si="147"/>
        <v>27.700831024930746</v>
      </c>
      <c r="H500" s="168">
        <f t="shared" si="148"/>
        <v>0</v>
      </c>
      <c r="I500" s="168">
        <f t="shared" si="149"/>
        <v>30</v>
      </c>
      <c r="J500" s="739"/>
      <c r="K500" s="168">
        <f>IF(J500&lt;&gt;"",J500,IF(ISERROR(Personalplanung!AB84/Monatsplanung!$E84*Monatsplanung!$K84),0,Personalplanung!AB84/Monatsplanung!$E84*Monatsplanung!$K84))</f>
        <v>0</v>
      </c>
      <c r="L500" s="740"/>
      <c r="M500" s="739"/>
      <c r="N500" s="168">
        <f>IF(M500&lt;&gt;"",M500,IF(ISERROR(Personalplanung!AC84/Monatsplanung!$E84*Monatsplanung!$K84),0,Personalplanung!AC84/Monatsplanung!$E84*Monatsplanung!$K84))</f>
        <v>0</v>
      </c>
      <c r="O500" s="740"/>
      <c r="P500" s="739"/>
      <c r="Q500" s="168">
        <f>IF(P500&lt;&gt;"",P500,IF(ISERROR(Personalplanung!AD84/Monatsplanung!$E84*Monatsplanung!$K84),0,Personalplanung!AD84/Monatsplanung!$E84*Monatsplanung!$K84))</f>
        <v>0</v>
      </c>
      <c r="R500" s="740"/>
      <c r="S500" s="739"/>
      <c r="T500" s="168">
        <f>IF(S500&lt;&gt;"",S500,IF(ISERROR(Personalplanung!AE84/Monatsplanung!$E84*Monatsplanung!$K84),0,Personalplanung!AE84/Monatsplanung!$E84*Monatsplanung!$K84))</f>
        <v>0</v>
      </c>
      <c r="U500" s="740"/>
      <c r="V500" s="168">
        <f t="shared" si="150"/>
        <v>0</v>
      </c>
      <c r="W500" s="168">
        <f>IF(ISERROR(Personalplanung!P84/Monatsplanung!$E84*Monatsplanung!$K84),0,Personalplanung!P84/Monatsplanung!$E84*Monatsplanung!$K84)</f>
        <v>0</v>
      </c>
      <c r="X500" s="168">
        <f>IF(ISERROR(Personalplanung!Q84/Monatsplanung!$E84*Monatsplanung!$K84),0,Personalplanung!Q84/Monatsplanung!$E84*Monatsplanung!$K84)</f>
        <v>0</v>
      </c>
      <c r="Y500" s="168">
        <f>IF(ISERROR(Personalplanung!R84/T1332*Stundencontrolling!T500),0,Personalplanung!R84/T1332*Stundencontrolling!T500)</f>
        <v>0</v>
      </c>
      <c r="Z500" s="168">
        <f>IF(ISERROR(Personalplanung!S84/Monatsplanung!$E84*Monatsplanung!$K84),0,Personalplanung!S84/Monatsplanung!$E84*Monatsplanung!$K84)</f>
        <v>0</v>
      </c>
      <c r="AA500" s="80">
        <f t="shared" si="151"/>
        <v>0</v>
      </c>
      <c r="AB500" s="102">
        <f t="shared" si="152"/>
        <v>0.1</v>
      </c>
      <c r="AC500" s="103">
        <f t="shared" si="153"/>
        <v>0</v>
      </c>
      <c r="AD500" s="103">
        <f t="shared" si="154"/>
        <v>0</v>
      </c>
      <c r="AE500" s="81">
        <f t="shared" si="155"/>
        <v>0</v>
      </c>
      <c r="AF500" s="539"/>
      <c r="AG500" s="104">
        <f t="shared" si="156"/>
        <v>1</v>
      </c>
      <c r="AH500" s="7">
        <f t="shared" si="157"/>
        <v>0</v>
      </c>
      <c r="AI500" s="6">
        <f t="shared" si="158"/>
        <v>0</v>
      </c>
      <c r="AJ500" s="73">
        <f t="shared" si="159"/>
        <v>0</v>
      </c>
      <c r="AK500" s="539"/>
      <c r="AL500" s="748"/>
      <c r="AM500" s="748"/>
    </row>
    <row r="501" spans="2:39" x14ac:dyDescent="0.2">
      <c r="B501" s="101" t="str">
        <f t="shared" si="144"/>
        <v/>
      </c>
      <c r="C501" s="168">
        <f>IF(ISERROR(Personalplanung!F85/Monatsplanung!$E85*Monatsplanung!$K85),0,Personalplanung!F85/Monatsplanung!$E85*Monatsplanung!$K85)</f>
        <v>0</v>
      </c>
      <c r="D501" s="168">
        <f t="shared" si="145"/>
        <v>0</v>
      </c>
      <c r="E501" s="168">
        <f>IF(ISERROR(Personalplanung!H85/Monatsplanung!$E85*Monatsplanung!$K85),0,Personalplanung!H85/Monatsplanung!$E85*Monatsplanung!$K85)</f>
        <v>0</v>
      </c>
      <c r="F501" s="168">
        <f t="shared" si="146"/>
        <v>0</v>
      </c>
      <c r="G501" s="168">
        <f t="shared" si="147"/>
        <v>27.700831024930746</v>
      </c>
      <c r="H501" s="168">
        <f t="shared" si="148"/>
        <v>0</v>
      </c>
      <c r="I501" s="168">
        <f t="shared" si="149"/>
        <v>30</v>
      </c>
      <c r="J501" s="739"/>
      <c r="K501" s="168">
        <f>IF(J501&lt;&gt;"",J501,IF(ISERROR(Personalplanung!AB85/Monatsplanung!$E85*Monatsplanung!$K85),0,Personalplanung!AB85/Monatsplanung!$E85*Monatsplanung!$K85))</f>
        <v>0</v>
      </c>
      <c r="L501" s="740"/>
      <c r="M501" s="739"/>
      <c r="N501" s="168">
        <f>IF(M501&lt;&gt;"",M501,IF(ISERROR(Personalplanung!AC85/Monatsplanung!$E85*Monatsplanung!$K85),0,Personalplanung!AC85/Monatsplanung!$E85*Monatsplanung!$K85))</f>
        <v>0</v>
      </c>
      <c r="O501" s="740"/>
      <c r="P501" s="739"/>
      <c r="Q501" s="168">
        <f>IF(P501&lt;&gt;"",P501,IF(ISERROR(Personalplanung!AD85/Monatsplanung!$E85*Monatsplanung!$K85),0,Personalplanung!AD85/Monatsplanung!$E85*Monatsplanung!$K85))</f>
        <v>0</v>
      </c>
      <c r="R501" s="740"/>
      <c r="S501" s="739"/>
      <c r="T501" s="168">
        <f>IF(S501&lt;&gt;"",S501,IF(ISERROR(Personalplanung!AE85/Monatsplanung!$E85*Monatsplanung!$K85),0,Personalplanung!AE85/Monatsplanung!$E85*Monatsplanung!$K85))</f>
        <v>0</v>
      </c>
      <c r="U501" s="740"/>
      <c r="V501" s="168">
        <f t="shared" si="150"/>
        <v>0</v>
      </c>
      <c r="W501" s="168">
        <f>IF(ISERROR(Personalplanung!P85/Monatsplanung!$E85*Monatsplanung!$K85),0,Personalplanung!P85/Monatsplanung!$E85*Monatsplanung!$K85)</f>
        <v>0</v>
      </c>
      <c r="X501" s="168">
        <f>IF(ISERROR(Personalplanung!Q85/Monatsplanung!$E85*Monatsplanung!$K85),0,Personalplanung!Q85/Monatsplanung!$E85*Monatsplanung!$K85)</f>
        <v>0</v>
      </c>
      <c r="Y501" s="168">
        <f>IF(ISERROR(Personalplanung!R85/T1333*Stundencontrolling!T501),0,Personalplanung!R85/T1333*Stundencontrolling!T501)</f>
        <v>0</v>
      </c>
      <c r="Z501" s="168">
        <f>IF(ISERROR(Personalplanung!S85/Monatsplanung!$E85*Monatsplanung!$K85),0,Personalplanung!S85/Monatsplanung!$E85*Monatsplanung!$K85)</f>
        <v>0</v>
      </c>
      <c r="AA501" s="80">
        <f t="shared" si="151"/>
        <v>0</v>
      </c>
      <c r="AB501" s="102">
        <f t="shared" si="152"/>
        <v>0.1</v>
      </c>
      <c r="AC501" s="103">
        <f t="shared" si="153"/>
        <v>0</v>
      </c>
      <c r="AD501" s="103">
        <f t="shared" si="154"/>
        <v>0</v>
      </c>
      <c r="AE501" s="81">
        <f t="shared" si="155"/>
        <v>0</v>
      </c>
      <c r="AF501" s="539"/>
      <c r="AG501" s="104">
        <f t="shared" si="156"/>
        <v>1</v>
      </c>
      <c r="AH501" s="7">
        <f t="shared" si="157"/>
        <v>0</v>
      </c>
      <c r="AI501" s="6">
        <f t="shared" si="158"/>
        <v>0</v>
      </c>
      <c r="AJ501" s="73">
        <f t="shared" si="159"/>
        <v>0</v>
      </c>
      <c r="AK501" s="539"/>
      <c r="AL501" s="748"/>
      <c r="AM501" s="748"/>
    </row>
    <row r="502" spans="2:39" x14ac:dyDescent="0.2">
      <c r="B502" s="101" t="str">
        <f t="shared" si="144"/>
        <v/>
      </c>
      <c r="C502" s="168">
        <f>IF(ISERROR(Personalplanung!F86/Monatsplanung!$E86*Monatsplanung!$K86),0,Personalplanung!F86/Monatsplanung!$E86*Monatsplanung!$K86)</f>
        <v>0</v>
      </c>
      <c r="D502" s="168">
        <f t="shared" si="145"/>
        <v>0</v>
      </c>
      <c r="E502" s="168">
        <f>IF(ISERROR(Personalplanung!H86/Monatsplanung!$E86*Monatsplanung!$K86),0,Personalplanung!H86/Monatsplanung!$E86*Monatsplanung!$K86)</f>
        <v>0</v>
      </c>
      <c r="F502" s="168">
        <f t="shared" si="146"/>
        <v>0</v>
      </c>
      <c r="G502" s="168">
        <f t="shared" si="147"/>
        <v>27.700831024930746</v>
      </c>
      <c r="H502" s="168">
        <f t="shared" si="148"/>
        <v>0</v>
      </c>
      <c r="I502" s="168">
        <f t="shared" si="149"/>
        <v>30</v>
      </c>
      <c r="J502" s="739"/>
      <c r="K502" s="168">
        <f>IF(J502&lt;&gt;"",J502,IF(ISERROR(Personalplanung!AB86/Monatsplanung!$E86*Monatsplanung!$K86),0,Personalplanung!AB86/Monatsplanung!$E86*Monatsplanung!$K86))</f>
        <v>0</v>
      </c>
      <c r="L502" s="740"/>
      <c r="M502" s="739"/>
      <c r="N502" s="168">
        <f>IF(M502&lt;&gt;"",M502,IF(ISERROR(Personalplanung!AC86/Monatsplanung!$E86*Monatsplanung!$K86),0,Personalplanung!AC86/Monatsplanung!$E86*Monatsplanung!$K86))</f>
        <v>0</v>
      </c>
      <c r="O502" s="740"/>
      <c r="P502" s="739"/>
      <c r="Q502" s="168">
        <f>IF(P502&lt;&gt;"",P502,IF(ISERROR(Personalplanung!AD86/Monatsplanung!$E86*Monatsplanung!$K86),0,Personalplanung!AD86/Monatsplanung!$E86*Monatsplanung!$K86))</f>
        <v>0</v>
      </c>
      <c r="R502" s="740"/>
      <c r="S502" s="739"/>
      <c r="T502" s="168">
        <f>IF(S502&lt;&gt;"",S502,IF(ISERROR(Personalplanung!AE86/Monatsplanung!$E86*Monatsplanung!$K86),0,Personalplanung!AE86/Monatsplanung!$E86*Monatsplanung!$K86))</f>
        <v>0</v>
      </c>
      <c r="U502" s="740"/>
      <c r="V502" s="168">
        <f t="shared" si="150"/>
        <v>0</v>
      </c>
      <c r="W502" s="168">
        <f>IF(ISERROR(Personalplanung!P86/Monatsplanung!$E86*Monatsplanung!$K86),0,Personalplanung!P86/Monatsplanung!$E86*Monatsplanung!$K86)</f>
        <v>0</v>
      </c>
      <c r="X502" s="168">
        <f>IF(ISERROR(Personalplanung!Q86/Monatsplanung!$E86*Monatsplanung!$K86),0,Personalplanung!Q86/Monatsplanung!$E86*Monatsplanung!$K86)</f>
        <v>0</v>
      </c>
      <c r="Y502" s="168">
        <f>IF(ISERROR(Personalplanung!R86/T1334*Stundencontrolling!T502),0,Personalplanung!R86/T1334*Stundencontrolling!T502)</f>
        <v>0</v>
      </c>
      <c r="Z502" s="168">
        <f>IF(ISERROR(Personalplanung!S86/Monatsplanung!$E86*Monatsplanung!$K86),0,Personalplanung!S86/Monatsplanung!$E86*Monatsplanung!$K86)</f>
        <v>0</v>
      </c>
      <c r="AA502" s="80">
        <f t="shared" si="151"/>
        <v>0</v>
      </c>
      <c r="AB502" s="102">
        <f t="shared" si="152"/>
        <v>0.1</v>
      </c>
      <c r="AC502" s="103">
        <f t="shared" si="153"/>
        <v>0</v>
      </c>
      <c r="AD502" s="103">
        <f t="shared" si="154"/>
        <v>0</v>
      </c>
      <c r="AE502" s="81">
        <f t="shared" si="155"/>
        <v>0</v>
      </c>
      <c r="AF502" s="539"/>
      <c r="AG502" s="104">
        <f t="shared" si="156"/>
        <v>1</v>
      </c>
      <c r="AH502" s="7">
        <f t="shared" si="157"/>
        <v>0</v>
      </c>
      <c r="AI502" s="6">
        <f t="shared" si="158"/>
        <v>0</v>
      </c>
      <c r="AJ502" s="73">
        <f t="shared" si="159"/>
        <v>0</v>
      </c>
      <c r="AK502" s="539"/>
      <c r="AL502" s="748"/>
      <c r="AM502" s="748"/>
    </row>
    <row r="503" spans="2:39" x14ac:dyDescent="0.2">
      <c r="B503" s="101" t="str">
        <f t="shared" si="144"/>
        <v/>
      </c>
      <c r="C503" s="168">
        <f>IF(ISERROR(Personalplanung!F87/Monatsplanung!$E87*Monatsplanung!$K87),0,Personalplanung!F87/Monatsplanung!$E87*Monatsplanung!$K87)</f>
        <v>0</v>
      </c>
      <c r="D503" s="168">
        <f t="shared" si="145"/>
        <v>0</v>
      </c>
      <c r="E503" s="168">
        <f>IF(ISERROR(Personalplanung!H87/Monatsplanung!$E87*Monatsplanung!$K87),0,Personalplanung!H87/Monatsplanung!$E87*Monatsplanung!$K87)</f>
        <v>0</v>
      </c>
      <c r="F503" s="168">
        <f t="shared" si="146"/>
        <v>0</v>
      </c>
      <c r="G503" s="168">
        <f t="shared" si="147"/>
        <v>27.700831024930746</v>
      </c>
      <c r="H503" s="168">
        <f t="shared" si="148"/>
        <v>0</v>
      </c>
      <c r="I503" s="168">
        <f t="shared" si="149"/>
        <v>30</v>
      </c>
      <c r="J503" s="739"/>
      <c r="K503" s="168">
        <f>IF(J503&lt;&gt;"",J503,IF(ISERROR(Personalplanung!AB87/Monatsplanung!$E87*Monatsplanung!$K87),0,Personalplanung!AB87/Monatsplanung!$E87*Monatsplanung!$K87))</f>
        <v>0</v>
      </c>
      <c r="L503" s="740"/>
      <c r="M503" s="739"/>
      <c r="N503" s="168">
        <f>IF(M503&lt;&gt;"",M503,IF(ISERROR(Personalplanung!AC87/Monatsplanung!$E87*Monatsplanung!$K87),0,Personalplanung!AC87/Monatsplanung!$E87*Monatsplanung!$K87))</f>
        <v>0</v>
      </c>
      <c r="O503" s="740"/>
      <c r="P503" s="739"/>
      <c r="Q503" s="168">
        <f>IF(P503&lt;&gt;"",P503,IF(ISERROR(Personalplanung!AD87/Monatsplanung!$E87*Monatsplanung!$K87),0,Personalplanung!AD87/Monatsplanung!$E87*Monatsplanung!$K87))</f>
        <v>0</v>
      </c>
      <c r="R503" s="740"/>
      <c r="S503" s="739"/>
      <c r="T503" s="168">
        <f>IF(S503&lt;&gt;"",S503,IF(ISERROR(Personalplanung!AE87/Monatsplanung!$E87*Monatsplanung!$K87),0,Personalplanung!AE87/Monatsplanung!$E87*Monatsplanung!$K87))</f>
        <v>0</v>
      </c>
      <c r="U503" s="740"/>
      <c r="V503" s="168">
        <f t="shared" si="150"/>
        <v>0</v>
      </c>
      <c r="W503" s="168">
        <f>IF(ISERROR(Personalplanung!P87/Monatsplanung!$E87*Monatsplanung!$K87),0,Personalplanung!P87/Monatsplanung!$E87*Monatsplanung!$K87)</f>
        <v>0</v>
      </c>
      <c r="X503" s="168">
        <f>IF(ISERROR(Personalplanung!Q87/Monatsplanung!$E87*Monatsplanung!$K87),0,Personalplanung!Q87/Monatsplanung!$E87*Monatsplanung!$K87)</f>
        <v>0</v>
      </c>
      <c r="Y503" s="168">
        <f>IF(ISERROR(Personalplanung!R87/T1335*Stundencontrolling!T503),0,Personalplanung!R87/T1335*Stundencontrolling!T503)</f>
        <v>0</v>
      </c>
      <c r="Z503" s="168">
        <f>IF(ISERROR(Personalplanung!S87/Monatsplanung!$E87*Monatsplanung!$K87),0,Personalplanung!S87/Monatsplanung!$E87*Monatsplanung!$K87)</f>
        <v>0</v>
      </c>
      <c r="AA503" s="80">
        <f t="shared" si="151"/>
        <v>0</v>
      </c>
      <c r="AB503" s="102">
        <f t="shared" si="152"/>
        <v>0.1</v>
      </c>
      <c r="AC503" s="103">
        <f t="shared" si="153"/>
        <v>0</v>
      </c>
      <c r="AD503" s="103">
        <f t="shared" si="154"/>
        <v>0</v>
      </c>
      <c r="AE503" s="81">
        <f t="shared" si="155"/>
        <v>0</v>
      </c>
      <c r="AF503" s="539"/>
      <c r="AG503" s="104">
        <f t="shared" si="156"/>
        <v>1</v>
      </c>
      <c r="AH503" s="7">
        <f t="shared" si="157"/>
        <v>0</v>
      </c>
      <c r="AI503" s="6">
        <f t="shared" si="158"/>
        <v>0</v>
      </c>
      <c r="AJ503" s="73">
        <f t="shared" si="159"/>
        <v>0</v>
      </c>
      <c r="AK503" s="539"/>
      <c r="AL503" s="748"/>
      <c r="AM503" s="748"/>
    </row>
    <row r="504" spans="2:39" x14ac:dyDescent="0.2">
      <c r="B504" s="101" t="str">
        <f t="shared" si="144"/>
        <v/>
      </c>
      <c r="C504" s="168">
        <f>IF(ISERROR(Personalplanung!F88/Monatsplanung!$E88*Monatsplanung!$K88),0,Personalplanung!F88/Monatsplanung!$E88*Monatsplanung!$K88)</f>
        <v>0</v>
      </c>
      <c r="D504" s="168">
        <f t="shared" si="145"/>
        <v>0</v>
      </c>
      <c r="E504" s="168">
        <f>IF(ISERROR(Personalplanung!H88/Monatsplanung!$E88*Monatsplanung!$K88),0,Personalplanung!H88/Monatsplanung!$E88*Monatsplanung!$K88)</f>
        <v>0</v>
      </c>
      <c r="F504" s="168">
        <f t="shared" si="146"/>
        <v>0</v>
      </c>
      <c r="G504" s="168">
        <f t="shared" si="147"/>
        <v>27.700831024930746</v>
      </c>
      <c r="H504" s="168">
        <f t="shared" si="148"/>
        <v>0</v>
      </c>
      <c r="I504" s="168">
        <f t="shared" si="149"/>
        <v>30</v>
      </c>
      <c r="J504" s="739"/>
      <c r="K504" s="168">
        <f>IF(J504&lt;&gt;"",J504,IF(ISERROR(Personalplanung!AB88/Monatsplanung!$E88*Monatsplanung!$K88),0,Personalplanung!AB88/Monatsplanung!$E88*Monatsplanung!$K88))</f>
        <v>0</v>
      </c>
      <c r="L504" s="740"/>
      <c r="M504" s="739"/>
      <c r="N504" s="168">
        <f>IF(M504&lt;&gt;"",M504,IF(ISERROR(Personalplanung!AC88/Monatsplanung!$E88*Monatsplanung!$K88),0,Personalplanung!AC88/Monatsplanung!$E88*Monatsplanung!$K88))</f>
        <v>0</v>
      </c>
      <c r="O504" s="740"/>
      <c r="P504" s="739"/>
      <c r="Q504" s="168">
        <f>IF(P504&lt;&gt;"",P504,IF(ISERROR(Personalplanung!AD88/Monatsplanung!$E88*Monatsplanung!$K88),0,Personalplanung!AD88/Monatsplanung!$E88*Monatsplanung!$K88))</f>
        <v>0</v>
      </c>
      <c r="R504" s="740"/>
      <c r="S504" s="739"/>
      <c r="T504" s="168">
        <f>IF(S504&lt;&gt;"",S504,IF(ISERROR(Personalplanung!AE88/Monatsplanung!$E88*Monatsplanung!$K88),0,Personalplanung!AE88/Monatsplanung!$E88*Monatsplanung!$K88))</f>
        <v>0</v>
      </c>
      <c r="U504" s="740"/>
      <c r="V504" s="168">
        <f t="shared" si="150"/>
        <v>0</v>
      </c>
      <c r="W504" s="168">
        <f>IF(ISERROR(Personalplanung!P88/Monatsplanung!$E88*Monatsplanung!$K88),0,Personalplanung!P88/Monatsplanung!$E88*Monatsplanung!$K88)</f>
        <v>0</v>
      </c>
      <c r="X504" s="168">
        <f>IF(ISERROR(Personalplanung!Q88/Monatsplanung!$E88*Monatsplanung!$K88),0,Personalplanung!Q88/Monatsplanung!$E88*Monatsplanung!$K88)</f>
        <v>0</v>
      </c>
      <c r="Y504" s="168">
        <f>IF(ISERROR(Personalplanung!R88/T1336*Stundencontrolling!T504),0,Personalplanung!R88/T1336*Stundencontrolling!T504)</f>
        <v>0</v>
      </c>
      <c r="Z504" s="168">
        <f>IF(ISERROR(Personalplanung!S88/Monatsplanung!$E88*Monatsplanung!$K88),0,Personalplanung!S88/Monatsplanung!$E88*Monatsplanung!$K88)</f>
        <v>0</v>
      </c>
      <c r="AA504" s="80">
        <f t="shared" si="151"/>
        <v>0</v>
      </c>
      <c r="AB504" s="102">
        <f t="shared" si="152"/>
        <v>0.1</v>
      </c>
      <c r="AC504" s="103">
        <f t="shared" si="153"/>
        <v>0</v>
      </c>
      <c r="AD504" s="103">
        <f t="shared" si="154"/>
        <v>0</v>
      </c>
      <c r="AE504" s="81">
        <f t="shared" si="155"/>
        <v>0</v>
      </c>
      <c r="AF504" s="539"/>
      <c r="AG504" s="104">
        <f t="shared" si="156"/>
        <v>1</v>
      </c>
      <c r="AH504" s="7">
        <f t="shared" si="157"/>
        <v>0</v>
      </c>
      <c r="AI504" s="6">
        <f t="shared" si="158"/>
        <v>0</v>
      </c>
      <c r="AJ504" s="73">
        <f t="shared" si="159"/>
        <v>0</v>
      </c>
      <c r="AK504" s="539"/>
      <c r="AL504" s="748"/>
      <c r="AM504" s="748"/>
    </row>
    <row r="505" spans="2:39" x14ac:dyDescent="0.2">
      <c r="B505" s="101" t="str">
        <f t="shared" si="144"/>
        <v/>
      </c>
      <c r="C505" s="168">
        <f>IF(ISERROR(Personalplanung!F89/Monatsplanung!$E89*Monatsplanung!$K89),0,Personalplanung!F89/Monatsplanung!$E89*Monatsplanung!$K89)</f>
        <v>0</v>
      </c>
      <c r="D505" s="168">
        <f t="shared" si="145"/>
        <v>0</v>
      </c>
      <c r="E505" s="168">
        <f>IF(ISERROR(Personalplanung!H89/Monatsplanung!$E89*Monatsplanung!$K89),0,Personalplanung!H89/Monatsplanung!$E89*Monatsplanung!$K89)</f>
        <v>0</v>
      </c>
      <c r="F505" s="168">
        <f t="shared" si="146"/>
        <v>0</v>
      </c>
      <c r="G505" s="168">
        <f t="shared" si="147"/>
        <v>27.700831024930746</v>
      </c>
      <c r="H505" s="168">
        <f t="shared" si="148"/>
        <v>0</v>
      </c>
      <c r="I505" s="168">
        <f t="shared" si="149"/>
        <v>30</v>
      </c>
      <c r="J505" s="739"/>
      <c r="K505" s="168">
        <f>IF(J505&lt;&gt;"",J505,IF(ISERROR(Personalplanung!AB89/Monatsplanung!$E89*Monatsplanung!$K89),0,Personalplanung!AB89/Monatsplanung!$E89*Monatsplanung!$K89))</f>
        <v>0</v>
      </c>
      <c r="L505" s="740"/>
      <c r="M505" s="739"/>
      <c r="N505" s="168">
        <f>IF(M505&lt;&gt;"",M505,IF(ISERROR(Personalplanung!AC89/Monatsplanung!$E89*Monatsplanung!$K89),0,Personalplanung!AC89/Monatsplanung!$E89*Monatsplanung!$K89))</f>
        <v>0</v>
      </c>
      <c r="O505" s="740"/>
      <c r="P505" s="739"/>
      <c r="Q505" s="168">
        <f>IF(P505&lt;&gt;"",P505,IF(ISERROR(Personalplanung!AD89/Monatsplanung!$E89*Monatsplanung!$K89),0,Personalplanung!AD89/Monatsplanung!$E89*Monatsplanung!$K89))</f>
        <v>0</v>
      </c>
      <c r="R505" s="740"/>
      <c r="S505" s="739"/>
      <c r="T505" s="168">
        <f>IF(S505&lt;&gt;"",S505,IF(ISERROR(Personalplanung!AE89/Monatsplanung!$E89*Monatsplanung!$K89),0,Personalplanung!AE89/Monatsplanung!$E89*Monatsplanung!$K89))</f>
        <v>0</v>
      </c>
      <c r="U505" s="740"/>
      <c r="V505" s="168">
        <f t="shared" si="150"/>
        <v>0</v>
      </c>
      <c r="W505" s="168">
        <f>IF(ISERROR(Personalplanung!P89/Monatsplanung!$E89*Monatsplanung!$K89),0,Personalplanung!P89/Monatsplanung!$E89*Monatsplanung!$K89)</f>
        <v>0</v>
      </c>
      <c r="X505" s="168">
        <f>IF(ISERROR(Personalplanung!Q89/Monatsplanung!$E89*Monatsplanung!$K89),0,Personalplanung!Q89/Monatsplanung!$E89*Monatsplanung!$K89)</f>
        <v>0</v>
      </c>
      <c r="Y505" s="168">
        <f>IF(ISERROR(Personalplanung!R89/T1337*Stundencontrolling!T505),0,Personalplanung!R89/T1337*Stundencontrolling!T505)</f>
        <v>0</v>
      </c>
      <c r="Z505" s="168">
        <f>IF(ISERROR(Personalplanung!S89/Monatsplanung!$E89*Monatsplanung!$K89),0,Personalplanung!S89/Monatsplanung!$E89*Monatsplanung!$K89)</f>
        <v>0</v>
      </c>
      <c r="AA505" s="80">
        <f t="shared" si="151"/>
        <v>0</v>
      </c>
      <c r="AB505" s="102">
        <f t="shared" si="152"/>
        <v>0.1</v>
      </c>
      <c r="AC505" s="103">
        <f t="shared" si="153"/>
        <v>0</v>
      </c>
      <c r="AD505" s="103">
        <f t="shared" si="154"/>
        <v>0</v>
      </c>
      <c r="AE505" s="81">
        <f t="shared" si="155"/>
        <v>0</v>
      </c>
      <c r="AF505" s="539"/>
      <c r="AG505" s="104">
        <f t="shared" si="156"/>
        <v>1</v>
      </c>
      <c r="AH505" s="7">
        <f t="shared" si="157"/>
        <v>0</v>
      </c>
      <c r="AI505" s="6">
        <f t="shared" si="158"/>
        <v>0</v>
      </c>
      <c r="AJ505" s="73">
        <f t="shared" si="159"/>
        <v>0</v>
      </c>
      <c r="AK505" s="539"/>
      <c r="AL505" s="748"/>
      <c r="AM505" s="748"/>
    </row>
    <row r="506" spans="2:39" x14ac:dyDescent="0.2">
      <c r="B506" s="101" t="str">
        <f t="shared" si="144"/>
        <v/>
      </c>
      <c r="C506" s="168">
        <f>IF(ISERROR(Personalplanung!F90/Monatsplanung!$E90*Monatsplanung!$K90),0,Personalplanung!F90/Monatsplanung!$E90*Monatsplanung!$K90)</f>
        <v>0</v>
      </c>
      <c r="D506" s="168">
        <f t="shared" si="145"/>
        <v>0</v>
      </c>
      <c r="E506" s="168">
        <f>IF(ISERROR(Personalplanung!H90/Monatsplanung!$E90*Monatsplanung!$K90),0,Personalplanung!H90/Monatsplanung!$E90*Monatsplanung!$K90)</f>
        <v>0</v>
      </c>
      <c r="F506" s="168">
        <f t="shared" si="146"/>
        <v>0</v>
      </c>
      <c r="G506" s="168">
        <f t="shared" si="147"/>
        <v>27.700831024930746</v>
      </c>
      <c r="H506" s="168">
        <f t="shared" si="148"/>
        <v>0</v>
      </c>
      <c r="I506" s="168">
        <f t="shared" si="149"/>
        <v>30</v>
      </c>
      <c r="J506" s="739"/>
      <c r="K506" s="168">
        <f>IF(J506&lt;&gt;"",J506,IF(ISERROR(Personalplanung!AB90/Monatsplanung!$E90*Monatsplanung!$K90),0,Personalplanung!AB90/Monatsplanung!$E90*Monatsplanung!$K90))</f>
        <v>0</v>
      </c>
      <c r="L506" s="740"/>
      <c r="M506" s="739"/>
      <c r="N506" s="168">
        <f>IF(M506&lt;&gt;"",M506,IF(ISERROR(Personalplanung!AC90/Monatsplanung!$E90*Monatsplanung!$K90),0,Personalplanung!AC90/Monatsplanung!$E90*Monatsplanung!$K90))</f>
        <v>0</v>
      </c>
      <c r="O506" s="740"/>
      <c r="P506" s="739"/>
      <c r="Q506" s="168">
        <f>IF(P506&lt;&gt;"",P506,IF(ISERROR(Personalplanung!AD90/Monatsplanung!$E90*Monatsplanung!$K90),0,Personalplanung!AD90/Monatsplanung!$E90*Monatsplanung!$K90))</f>
        <v>0</v>
      </c>
      <c r="R506" s="740"/>
      <c r="S506" s="739"/>
      <c r="T506" s="168">
        <f>IF(S506&lt;&gt;"",S506,IF(ISERROR(Personalplanung!AE90/Monatsplanung!$E90*Monatsplanung!$K90),0,Personalplanung!AE90/Monatsplanung!$E90*Monatsplanung!$K90))</f>
        <v>0</v>
      </c>
      <c r="U506" s="740"/>
      <c r="V506" s="168">
        <f t="shared" si="150"/>
        <v>0</v>
      </c>
      <c r="W506" s="168">
        <f>IF(ISERROR(Personalplanung!P90/Monatsplanung!$E90*Monatsplanung!$K90),0,Personalplanung!P90/Monatsplanung!$E90*Monatsplanung!$K90)</f>
        <v>0</v>
      </c>
      <c r="X506" s="168">
        <f>IF(ISERROR(Personalplanung!Q90/Monatsplanung!$E90*Monatsplanung!$K90),0,Personalplanung!Q90/Monatsplanung!$E90*Monatsplanung!$K90)</f>
        <v>0</v>
      </c>
      <c r="Y506" s="168">
        <f>IF(ISERROR(Personalplanung!R90/T1338*Stundencontrolling!T506),0,Personalplanung!R90/T1338*Stundencontrolling!T506)</f>
        <v>0</v>
      </c>
      <c r="Z506" s="168">
        <f>IF(ISERROR(Personalplanung!S90/Monatsplanung!$E90*Monatsplanung!$K90),0,Personalplanung!S90/Monatsplanung!$E90*Monatsplanung!$K90)</f>
        <v>0</v>
      </c>
      <c r="AA506" s="80">
        <f t="shared" si="151"/>
        <v>0</v>
      </c>
      <c r="AB506" s="102">
        <f t="shared" si="152"/>
        <v>0.1</v>
      </c>
      <c r="AC506" s="103">
        <f t="shared" si="153"/>
        <v>0</v>
      </c>
      <c r="AD506" s="103">
        <f t="shared" si="154"/>
        <v>0</v>
      </c>
      <c r="AE506" s="81">
        <f t="shared" si="155"/>
        <v>0</v>
      </c>
      <c r="AF506" s="539"/>
      <c r="AG506" s="104">
        <f t="shared" si="156"/>
        <v>1</v>
      </c>
      <c r="AH506" s="7">
        <f t="shared" si="157"/>
        <v>0</v>
      </c>
      <c r="AI506" s="6">
        <f t="shared" si="158"/>
        <v>0</v>
      </c>
      <c r="AJ506" s="73">
        <f t="shared" si="159"/>
        <v>0</v>
      </c>
      <c r="AK506" s="539"/>
      <c r="AL506" s="748"/>
      <c r="AM506" s="748"/>
    </row>
    <row r="507" spans="2:39" x14ac:dyDescent="0.2">
      <c r="B507" s="101" t="str">
        <f t="shared" si="144"/>
        <v/>
      </c>
      <c r="C507" s="168">
        <f>IF(ISERROR(Personalplanung!F91/Monatsplanung!$E91*Monatsplanung!$K91),0,Personalplanung!F91/Monatsplanung!$E91*Monatsplanung!$K91)</f>
        <v>0</v>
      </c>
      <c r="D507" s="168">
        <f t="shared" si="145"/>
        <v>0</v>
      </c>
      <c r="E507" s="168">
        <f>IF(ISERROR(Personalplanung!H91/Monatsplanung!$E91*Monatsplanung!$K91),0,Personalplanung!H91/Monatsplanung!$E91*Monatsplanung!$K91)</f>
        <v>0</v>
      </c>
      <c r="F507" s="168">
        <f t="shared" si="146"/>
        <v>0</v>
      </c>
      <c r="G507" s="168">
        <f t="shared" si="147"/>
        <v>27.700831024930746</v>
      </c>
      <c r="H507" s="168">
        <f t="shared" si="148"/>
        <v>0</v>
      </c>
      <c r="I507" s="168">
        <f t="shared" si="149"/>
        <v>30</v>
      </c>
      <c r="J507" s="739"/>
      <c r="K507" s="168">
        <f>IF(J507&lt;&gt;"",J507,IF(ISERROR(Personalplanung!AB91/Monatsplanung!$E91*Monatsplanung!$K91),0,Personalplanung!AB91/Monatsplanung!$E91*Monatsplanung!$K91))</f>
        <v>0</v>
      </c>
      <c r="L507" s="740"/>
      <c r="M507" s="739"/>
      <c r="N507" s="168">
        <f>IF(M507&lt;&gt;"",M507,IF(ISERROR(Personalplanung!AC91/Monatsplanung!$E91*Monatsplanung!$K91),0,Personalplanung!AC91/Monatsplanung!$E91*Monatsplanung!$K91))</f>
        <v>0</v>
      </c>
      <c r="O507" s="740"/>
      <c r="P507" s="739"/>
      <c r="Q507" s="168">
        <f>IF(P507&lt;&gt;"",P507,IF(ISERROR(Personalplanung!AD91/Monatsplanung!$E91*Monatsplanung!$K91),0,Personalplanung!AD91/Monatsplanung!$E91*Monatsplanung!$K91))</f>
        <v>0</v>
      </c>
      <c r="R507" s="740"/>
      <c r="S507" s="739"/>
      <c r="T507" s="168">
        <f>IF(S507&lt;&gt;"",S507,IF(ISERROR(Personalplanung!AE91/Monatsplanung!$E91*Monatsplanung!$K91),0,Personalplanung!AE91/Monatsplanung!$E91*Monatsplanung!$K91))</f>
        <v>0</v>
      </c>
      <c r="U507" s="740"/>
      <c r="V507" s="168">
        <f t="shared" si="150"/>
        <v>0</v>
      </c>
      <c r="W507" s="168">
        <f>IF(ISERROR(Personalplanung!P91/Monatsplanung!$E91*Monatsplanung!$K91),0,Personalplanung!P91/Monatsplanung!$E91*Monatsplanung!$K91)</f>
        <v>0</v>
      </c>
      <c r="X507" s="168">
        <f>IF(ISERROR(Personalplanung!Q91/Monatsplanung!$E91*Monatsplanung!$K91),0,Personalplanung!Q91/Monatsplanung!$E91*Monatsplanung!$K91)</f>
        <v>0</v>
      </c>
      <c r="Y507" s="168">
        <f>IF(ISERROR(Personalplanung!R91/T1339*Stundencontrolling!T507),0,Personalplanung!R91/T1339*Stundencontrolling!T507)</f>
        <v>0</v>
      </c>
      <c r="Z507" s="168">
        <f>IF(ISERROR(Personalplanung!S91/Monatsplanung!$E91*Monatsplanung!$K91),0,Personalplanung!S91/Monatsplanung!$E91*Monatsplanung!$K91)</f>
        <v>0</v>
      </c>
      <c r="AA507" s="80">
        <f t="shared" si="151"/>
        <v>0</v>
      </c>
      <c r="AB507" s="102">
        <f t="shared" si="152"/>
        <v>0.1</v>
      </c>
      <c r="AC507" s="103">
        <f t="shared" si="153"/>
        <v>0</v>
      </c>
      <c r="AD507" s="103">
        <f t="shared" si="154"/>
        <v>0</v>
      </c>
      <c r="AE507" s="81">
        <f t="shared" si="155"/>
        <v>0</v>
      </c>
      <c r="AF507" s="539"/>
      <c r="AG507" s="104">
        <f t="shared" si="156"/>
        <v>1</v>
      </c>
      <c r="AH507" s="7">
        <f t="shared" si="157"/>
        <v>0</v>
      </c>
      <c r="AI507" s="6">
        <f t="shared" si="158"/>
        <v>0</v>
      </c>
      <c r="AJ507" s="73">
        <f t="shared" si="159"/>
        <v>0</v>
      </c>
      <c r="AK507" s="539"/>
      <c r="AL507" s="748"/>
      <c r="AM507" s="748"/>
    </row>
    <row r="508" spans="2:39" x14ac:dyDescent="0.2">
      <c r="B508" s="101" t="str">
        <f t="shared" si="144"/>
        <v/>
      </c>
      <c r="C508" s="168">
        <f>IF(ISERROR(Personalplanung!F92/Monatsplanung!$E92*Monatsplanung!$K92),0,Personalplanung!F92/Monatsplanung!$E92*Monatsplanung!$K92)</f>
        <v>0</v>
      </c>
      <c r="D508" s="168">
        <f t="shared" si="145"/>
        <v>0</v>
      </c>
      <c r="E508" s="168">
        <f>IF(ISERROR(Personalplanung!H92/Monatsplanung!$E92*Monatsplanung!$K92),0,Personalplanung!H92/Monatsplanung!$E92*Monatsplanung!$K92)</f>
        <v>0</v>
      </c>
      <c r="F508" s="168">
        <f t="shared" si="146"/>
        <v>0</v>
      </c>
      <c r="G508" s="168">
        <f t="shared" si="147"/>
        <v>27.700831024930746</v>
      </c>
      <c r="H508" s="168">
        <f t="shared" si="148"/>
        <v>0</v>
      </c>
      <c r="I508" s="168">
        <f t="shared" si="149"/>
        <v>30</v>
      </c>
      <c r="J508" s="739"/>
      <c r="K508" s="168">
        <f>IF(J508&lt;&gt;"",J508,IF(ISERROR(Personalplanung!AB92/Monatsplanung!$E92*Monatsplanung!$K92),0,Personalplanung!AB92/Monatsplanung!$E92*Monatsplanung!$K92))</f>
        <v>0</v>
      </c>
      <c r="L508" s="740"/>
      <c r="M508" s="739"/>
      <c r="N508" s="168">
        <f>IF(M508&lt;&gt;"",M508,IF(ISERROR(Personalplanung!AC92/Monatsplanung!$E92*Monatsplanung!$K92),0,Personalplanung!AC92/Monatsplanung!$E92*Monatsplanung!$K92))</f>
        <v>0</v>
      </c>
      <c r="O508" s="740"/>
      <c r="P508" s="739"/>
      <c r="Q508" s="168">
        <f>IF(P508&lt;&gt;"",P508,IF(ISERROR(Personalplanung!AD92/Monatsplanung!$E92*Monatsplanung!$K92),0,Personalplanung!AD92/Monatsplanung!$E92*Monatsplanung!$K92))</f>
        <v>0</v>
      </c>
      <c r="R508" s="740"/>
      <c r="S508" s="739"/>
      <c r="T508" s="168">
        <f>IF(S508&lt;&gt;"",S508,IF(ISERROR(Personalplanung!AE92/Monatsplanung!$E92*Monatsplanung!$K92),0,Personalplanung!AE92/Monatsplanung!$E92*Monatsplanung!$K92))</f>
        <v>0</v>
      </c>
      <c r="U508" s="740"/>
      <c r="V508" s="168">
        <f t="shared" si="150"/>
        <v>0</v>
      </c>
      <c r="W508" s="168">
        <f>IF(ISERROR(Personalplanung!P92/Monatsplanung!$E92*Monatsplanung!$K92),0,Personalplanung!P92/Monatsplanung!$E92*Monatsplanung!$K92)</f>
        <v>0</v>
      </c>
      <c r="X508" s="168">
        <f>IF(ISERROR(Personalplanung!Q92/Monatsplanung!$E92*Monatsplanung!$K92),0,Personalplanung!Q92/Monatsplanung!$E92*Monatsplanung!$K92)</f>
        <v>0</v>
      </c>
      <c r="Y508" s="168">
        <f>IF(ISERROR(Personalplanung!R92/T1340*Stundencontrolling!T508),0,Personalplanung!R92/T1340*Stundencontrolling!T508)</f>
        <v>0</v>
      </c>
      <c r="Z508" s="168">
        <f>IF(ISERROR(Personalplanung!S92/Monatsplanung!$E92*Monatsplanung!$K92),0,Personalplanung!S92/Monatsplanung!$E92*Monatsplanung!$K92)</f>
        <v>0</v>
      </c>
      <c r="AA508" s="80">
        <f t="shared" si="151"/>
        <v>0</v>
      </c>
      <c r="AB508" s="102">
        <f t="shared" si="152"/>
        <v>0.1</v>
      </c>
      <c r="AC508" s="103">
        <f t="shared" si="153"/>
        <v>0</v>
      </c>
      <c r="AD508" s="103">
        <f t="shared" si="154"/>
        <v>0</v>
      </c>
      <c r="AE508" s="81">
        <f t="shared" si="155"/>
        <v>0</v>
      </c>
      <c r="AF508" s="539"/>
      <c r="AG508" s="104">
        <f t="shared" si="156"/>
        <v>1</v>
      </c>
      <c r="AH508" s="7">
        <f t="shared" si="157"/>
        <v>0</v>
      </c>
      <c r="AI508" s="6">
        <f t="shared" si="158"/>
        <v>0</v>
      </c>
      <c r="AJ508" s="73">
        <f t="shared" si="159"/>
        <v>0</v>
      </c>
      <c r="AK508" s="539"/>
      <c r="AL508" s="748"/>
      <c r="AM508" s="748"/>
    </row>
    <row r="509" spans="2:39" x14ac:dyDescent="0.2">
      <c r="B509" s="101" t="str">
        <f t="shared" si="144"/>
        <v/>
      </c>
      <c r="C509" s="168">
        <f>IF(ISERROR(Personalplanung!F93/Monatsplanung!$E93*Monatsplanung!$K93),0,Personalplanung!F93/Monatsplanung!$E93*Monatsplanung!$K93)</f>
        <v>0</v>
      </c>
      <c r="D509" s="168">
        <f t="shared" si="145"/>
        <v>0</v>
      </c>
      <c r="E509" s="168">
        <f>IF(ISERROR(Personalplanung!H93/Monatsplanung!$E93*Monatsplanung!$K93),0,Personalplanung!H93/Monatsplanung!$E93*Monatsplanung!$K93)</f>
        <v>0</v>
      </c>
      <c r="F509" s="168">
        <f t="shared" si="146"/>
        <v>0</v>
      </c>
      <c r="G509" s="168">
        <f t="shared" si="147"/>
        <v>27.700831024930746</v>
      </c>
      <c r="H509" s="168">
        <f t="shared" si="148"/>
        <v>0</v>
      </c>
      <c r="I509" s="168">
        <f t="shared" si="149"/>
        <v>30</v>
      </c>
      <c r="J509" s="739"/>
      <c r="K509" s="168">
        <f>IF(J509&lt;&gt;"",J509,IF(ISERROR(Personalplanung!AB93/Monatsplanung!$E93*Monatsplanung!$K93),0,Personalplanung!AB93/Monatsplanung!$E93*Monatsplanung!$K93))</f>
        <v>0</v>
      </c>
      <c r="L509" s="740"/>
      <c r="M509" s="739"/>
      <c r="N509" s="168">
        <f>IF(M509&lt;&gt;"",M509,IF(ISERROR(Personalplanung!AC93/Monatsplanung!$E93*Monatsplanung!$K93),0,Personalplanung!AC93/Monatsplanung!$E93*Monatsplanung!$K93))</f>
        <v>0</v>
      </c>
      <c r="O509" s="740"/>
      <c r="P509" s="739"/>
      <c r="Q509" s="168">
        <f>IF(P509&lt;&gt;"",P509,IF(ISERROR(Personalplanung!AD93/Monatsplanung!$E93*Monatsplanung!$K93),0,Personalplanung!AD93/Monatsplanung!$E93*Monatsplanung!$K93))</f>
        <v>0</v>
      </c>
      <c r="R509" s="740"/>
      <c r="S509" s="739"/>
      <c r="T509" s="168">
        <f>IF(S509&lt;&gt;"",S509,IF(ISERROR(Personalplanung!AE93/Monatsplanung!$E93*Monatsplanung!$K93),0,Personalplanung!AE93/Monatsplanung!$E93*Monatsplanung!$K93))</f>
        <v>0</v>
      </c>
      <c r="U509" s="740"/>
      <c r="V509" s="168">
        <f t="shared" si="150"/>
        <v>0</v>
      </c>
      <c r="W509" s="168">
        <f>IF(ISERROR(Personalplanung!P93/Monatsplanung!$E93*Monatsplanung!$K93),0,Personalplanung!P93/Monatsplanung!$E93*Monatsplanung!$K93)</f>
        <v>0</v>
      </c>
      <c r="X509" s="168">
        <f>IF(ISERROR(Personalplanung!Q93/Monatsplanung!$E93*Monatsplanung!$K93),0,Personalplanung!Q93/Monatsplanung!$E93*Monatsplanung!$K93)</f>
        <v>0</v>
      </c>
      <c r="Y509" s="168">
        <f>IF(ISERROR(Personalplanung!R93/T1341*Stundencontrolling!T509),0,Personalplanung!R93/T1341*Stundencontrolling!T509)</f>
        <v>0</v>
      </c>
      <c r="Z509" s="168">
        <f>IF(ISERROR(Personalplanung!S93/Monatsplanung!$E93*Monatsplanung!$K93),0,Personalplanung!S93/Monatsplanung!$E93*Monatsplanung!$K93)</f>
        <v>0</v>
      </c>
      <c r="AA509" s="80">
        <f t="shared" si="151"/>
        <v>0</v>
      </c>
      <c r="AB509" s="102">
        <f t="shared" si="152"/>
        <v>0.1</v>
      </c>
      <c r="AC509" s="103">
        <f t="shared" si="153"/>
        <v>0</v>
      </c>
      <c r="AD509" s="103">
        <f t="shared" si="154"/>
        <v>0</v>
      </c>
      <c r="AE509" s="81">
        <f t="shared" si="155"/>
        <v>0</v>
      </c>
      <c r="AF509" s="539"/>
      <c r="AG509" s="104">
        <f t="shared" si="156"/>
        <v>1</v>
      </c>
      <c r="AH509" s="7">
        <f t="shared" si="157"/>
        <v>0</v>
      </c>
      <c r="AI509" s="6">
        <f t="shared" si="158"/>
        <v>0</v>
      </c>
      <c r="AJ509" s="73">
        <f t="shared" si="159"/>
        <v>0</v>
      </c>
      <c r="AK509" s="539"/>
      <c r="AL509" s="748"/>
      <c r="AM509" s="748"/>
    </row>
    <row r="510" spans="2:39" x14ac:dyDescent="0.2">
      <c r="B510" s="101" t="str">
        <f t="shared" si="144"/>
        <v/>
      </c>
      <c r="C510" s="168">
        <f>IF(ISERROR(Personalplanung!F94/Monatsplanung!$E94*Monatsplanung!$K94),0,Personalplanung!F94/Monatsplanung!$E94*Monatsplanung!$K94)</f>
        <v>0</v>
      </c>
      <c r="D510" s="168">
        <f t="shared" si="145"/>
        <v>0</v>
      </c>
      <c r="E510" s="168">
        <f>IF(ISERROR(Personalplanung!H94/Monatsplanung!$E94*Monatsplanung!$K94),0,Personalplanung!H94/Monatsplanung!$E94*Monatsplanung!$K94)</f>
        <v>0</v>
      </c>
      <c r="F510" s="168">
        <f t="shared" si="146"/>
        <v>0</v>
      </c>
      <c r="G510" s="168">
        <f t="shared" si="147"/>
        <v>27.700831024930746</v>
      </c>
      <c r="H510" s="168">
        <f t="shared" si="148"/>
        <v>0</v>
      </c>
      <c r="I510" s="168">
        <f t="shared" si="149"/>
        <v>30</v>
      </c>
      <c r="J510" s="739"/>
      <c r="K510" s="168">
        <f>IF(J510&lt;&gt;"",J510,IF(ISERROR(Personalplanung!AB94/Monatsplanung!$E94*Monatsplanung!$K94),0,Personalplanung!AB94/Monatsplanung!$E94*Monatsplanung!$K94))</f>
        <v>0</v>
      </c>
      <c r="L510" s="740"/>
      <c r="M510" s="739"/>
      <c r="N510" s="168">
        <f>IF(M510&lt;&gt;"",M510,IF(ISERROR(Personalplanung!AC94/Monatsplanung!$E94*Monatsplanung!$K94),0,Personalplanung!AC94/Monatsplanung!$E94*Monatsplanung!$K94))</f>
        <v>0</v>
      </c>
      <c r="O510" s="740"/>
      <c r="P510" s="739"/>
      <c r="Q510" s="168">
        <f>IF(P510&lt;&gt;"",P510,IF(ISERROR(Personalplanung!AD94/Monatsplanung!$E94*Monatsplanung!$K94),0,Personalplanung!AD94/Monatsplanung!$E94*Monatsplanung!$K94))</f>
        <v>0</v>
      </c>
      <c r="R510" s="740"/>
      <c r="S510" s="739"/>
      <c r="T510" s="168">
        <f>IF(S510&lt;&gt;"",S510,IF(ISERROR(Personalplanung!AE94/Monatsplanung!$E94*Monatsplanung!$K94),0,Personalplanung!AE94/Monatsplanung!$E94*Monatsplanung!$K94))</f>
        <v>0</v>
      </c>
      <c r="U510" s="740"/>
      <c r="V510" s="168">
        <f t="shared" si="150"/>
        <v>0</v>
      </c>
      <c r="W510" s="168">
        <f>IF(ISERROR(Personalplanung!P94/Monatsplanung!$E94*Monatsplanung!$K94),0,Personalplanung!P94/Monatsplanung!$E94*Monatsplanung!$K94)</f>
        <v>0</v>
      </c>
      <c r="X510" s="168">
        <f>IF(ISERROR(Personalplanung!Q94/Monatsplanung!$E94*Monatsplanung!$K94),0,Personalplanung!Q94/Monatsplanung!$E94*Monatsplanung!$K94)</f>
        <v>0</v>
      </c>
      <c r="Y510" s="168">
        <f>IF(ISERROR(Personalplanung!R94/T1342*Stundencontrolling!T510),0,Personalplanung!R94/T1342*Stundencontrolling!T510)</f>
        <v>0</v>
      </c>
      <c r="Z510" s="168">
        <f>IF(ISERROR(Personalplanung!S94/Monatsplanung!$E94*Monatsplanung!$K94),0,Personalplanung!S94/Monatsplanung!$E94*Monatsplanung!$K94)</f>
        <v>0</v>
      </c>
      <c r="AA510" s="80">
        <f t="shared" si="151"/>
        <v>0</v>
      </c>
      <c r="AB510" s="102">
        <f t="shared" si="152"/>
        <v>0.1</v>
      </c>
      <c r="AC510" s="103">
        <f t="shared" si="153"/>
        <v>0</v>
      </c>
      <c r="AD510" s="103">
        <f t="shared" si="154"/>
        <v>0</v>
      </c>
      <c r="AE510" s="81">
        <f t="shared" si="155"/>
        <v>0</v>
      </c>
      <c r="AF510" s="539"/>
      <c r="AG510" s="104">
        <f t="shared" si="156"/>
        <v>1</v>
      </c>
      <c r="AH510" s="7">
        <f t="shared" si="157"/>
        <v>0</v>
      </c>
      <c r="AI510" s="6">
        <f t="shared" si="158"/>
        <v>0</v>
      </c>
      <c r="AJ510" s="73">
        <f t="shared" si="159"/>
        <v>0</v>
      </c>
      <c r="AK510" s="539"/>
      <c r="AL510" s="748"/>
      <c r="AM510" s="748"/>
    </row>
    <row r="511" spans="2:39" x14ac:dyDescent="0.2">
      <c r="B511" s="101" t="str">
        <f t="shared" si="144"/>
        <v/>
      </c>
      <c r="C511" s="168">
        <f>IF(ISERROR(Personalplanung!F95/Monatsplanung!$E95*Monatsplanung!$K95),0,Personalplanung!F95/Monatsplanung!$E95*Monatsplanung!$K95)</f>
        <v>0</v>
      </c>
      <c r="D511" s="168">
        <f t="shared" si="145"/>
        <v>0</v>
      </c>
      <c r="E511" s="168">
        <f>IF(ISERROR(Personalplanung!H95/Monatsplanung!$E95*Monatsplanung!$K95),0,Personalplanung!H95/Monatsplanung!$E95*Monatsplanung!$K95)</f>
        <v>0</v>
      </c>
      <c r="F511" s="168">
        <f t="shared" si="146"/>
        <v>0</v>
      </c>
      <c r="G511" s="168">
        <f t="shared" si="147"/>
        <v>27.700831024930746</v>
      </c>
      <c r="H511" s="168">
        <f t="shared" si="148"/>
        <v>0</v>
      </c>
      <c r="I511" s="168">
        <f t="shared" si="149"/>
        <v>30</v>
      </c>
      <c r="J511" s="739"/>
      <c r="K511" s="168">
        <f>IF(J511&lt;&gt;"",J511,IF(ISERROR(Personalplanung!AB95/Monatsplanung!$E95*Monatsplanung!$K95),0,Personalplanung!AB95/Monatsplanung!$E95*Monatsplanung!$K95))</f>
        <v>0</v>
      </c>
      <c r="L511" s="740"/>
      <c r="M511" s="739"/>
      <c r="N511" s="168">
        <f>IF(M511&lt;&gt;"",M511,IF(ISERROR(Personalplanung!AC95/Monatsplanung!$E95*Monatsplanung!$K95),0,Personalplanung!AC95/Monatsplanung!$E95*Monatsplanung!$K95))</f>
        <v>0</v>
      </c>
      <c r="O511" s="740"/>
      <c r="P511" s="739"/>
      <c r="Q511" s="168">
        <f>IF(P511&lt;&gt;"",P511,IF(ISERROR(Personalplanung!AD95/Monatsplanung!$E95*Monatsplanung!$K95),0,Personalplanung!AD95/Monatsplanung!$E95*Monatsplanung!$K95))</f>
        <v>0</v>
      </c>
      <c r="R511" s="740"/>
      <c r="S511" s="739"/>
      <c r="T511" s="168">
        <f>IF(S511&lt;&gt;"",S511,IF(ISERROR(Personalplanung!AE95/Monatsplanung!$E95*Monatsplanung!$K95),0,Personalplanung!AE95/Monatsplanung!$E95*Monatsplanung!$K95))</f>
        <v>0</v>
      </c>
      <c r="U511" s="740"/>
      <c r="V511" s="168">
        <f t="shared" si="150"/>
        <v>0</v>
      </c>
      <c r="W511" s="168">
        <f>IF(ISERROR(Personalplanung!P95/Monatsplanung!$E95*Monatsplanung!$K95),0,Personalplanung!P95/Monatsplanung!$E95*Monatsplanung!$K95)</f>
        <v>0</v>
      </c>
      <c r="X511" s="168">
        <f>IF(ISERROR(Personalplanung!Q95/Monatsplanung!$E95*Monatsplanung!$K95),0,Personalplanung!Q95/Monatsplanung!$E95*Monatsplanung!$K95)</f>
        <v>0</v>
      </c>
      <c r="Y511" s="168">
        <f>IF(ISERROR(Personalplanung!R95/T1343*Stundencontrolling!T511),0,Personalplanung!R95/T1343*Stundencontrolling!T511)</f>
        <v>0</v>
      </c>
      <c r="Z511" s="168">
        <f>IF(ISERROR(Personalplanung!S95/Monatsplanung!$E95*Monatsplanung!$K95),0,Personalplanung!S95/Monatsplanung!$E95*Monatsplanung!$K95)</f>
        <v>0</v>
      </c>
      <c r="AA511" s="80">
        <f t="shared" si="151"/>
        <v>0</v>
      </c>
      <c r="AB511" s="102">
        <f t="shared" si="152"/>
        <v>0.1</v>
      </c>
      <c r="AC511" s="103">
        <f t="shared" si="153"/>
        <v>0</v>
      </c>
      <c r="AD511" s="103">
        <f t="shared" si="154"/>
        <v>0</v>
      </c>
      <c r="AE511" s="81">
        <f t="shared" si="155"/>
        <v>0</v>
      </c>
      <c r="AF511" s="539"/>
      <c r="AG511" s="104">
        <f t="shared" si="156"/>
        <v>1</v>
      </c>
      <c r="AH511" s="7">
        <f t="shared" si="157"/>
        <v>0</v>
      </c>
      <c r="AI511" s="6">
        <f t="shared" si="158"/>
        <v>0</v>
      </c>
      <c r="AJ511" s="73">
        <f t="shared" si="159"/>
        <v>0</v>
      </c>
      <c r="AK511" s="539"/>
      <c r="AL511" s="748"/>
      <c r="AM511" s="748"/>
    </row>
    <row r="512" spans="2:39" x14ac:dyDescent="0.2">
      <c r="B512" s="101" t="str">
        <f t="shared" si="144"/>
        <v/>
      </c>
      <c r="C512" s="168">
        <f>IF(ISERROR(Personalplanung!F96/Monatsplanung!$E96*Monatsplanung!$K96),0,Personalplanung!F96/Monatsplanung!$E96*Monatsplanung!$K96)</f>
        <v>0</v>
      </c>
      <c r="D512" s="168">
        <f t="shared" si="145"/>
        <v>0</v>
      </c>
      <c r="E512" s="168">
        <f>IF(ISERROR(Personalplanung!H96/Monatsplanung!$E96*Monatsplanung!$K96),0,Personalplanung!H96/Monatsplanung!$E96*Monatsplanung!$K96)</f>
        <v>0</v>
      </c>
      <c r="F512" s="168">
        <f t="shared" si="146"/>
        <v>0</v>
      </c>
      <c r="G512" s="168">
        <f t="shared" si="147"/>
        <v>27.700831024930746</v>
      </c>
      <c r="H512" s="168">
        <f t="shared" si="148"/>
        <v>0</v>
      </c>
      <c r="I512" s="168">
        <f t="shared" si="149"/>
        <v>30</v>
      </c>
      <c r="J512" s="739"/>
      <c r="K512" s="168">
        <f>IF(J512&lt;&gt;"",J512,IF(ISERROR(Personalplanung!AB96/Monatsplanung!$E96*Monatsplanung!$K96),0,Personalplanung!AB96/Monatsplanung!$E96*Monatsplanung!$K96))</f>
        <v>0</v>
      </c>
      <c r="L512" s="740"/>
      <c r="M512" s="739"/>
      <c r="N512" s="168">
        <f>IF(M512&lt;&gt;"",M512,IF(ISERROR(Personalplanung!AC96/Monatsplanung!$E96*Monatsplanung!$K96),0,Personalplanung!AC96/Monatsplanung!$E96*Monatsplanung!$K96))</f>
        <v>0</v>
      </c>
      <c r="O512" s="740"/>
      <c r="P512" s="739"/>
      <c r="Q512" s="168">
        <f>IF(P512&lt;&gt;"",P512,IF(ISERROR(Personalplanung!AD96/Monatsplanung!$E96*Monatsplanung!$K96),0,Personalplanung!AD96/Monatsplanung!$E96*Monatsplanung!$K96))</f>
        <v>0</v>
      </c>
      <c r="R512" s="740"/>
      <c r="S512" s="739"/>
      <c r="T512" s="168">
        <f>IF(S512&lt;&gt;"",S512,IF(ISERROR(Personalplanung!AE96/Monatsplanung!$E96*Monatsplanung!$K96),0,Personalplanung!AE96/Monatsplanung!$E96*Monatsplanung!$K96))</f>
        <v>0</v>
      </c>
      <c r="U512" s="740"/>
      <c r="V512" s="168">
        <f t="shared" si="150"/>
        <v>0</v>
      </c>
      <c r="W512" s="168">
        <f>IF(ISERROR(Personalplanung!P96/Monatsplanung!$E96*Monatsplanung!$K96),0,Personalplanung!P96/Monatsplanung!$E96*Monatsplanung!$K96)</f>
        <v>0</v>
      </c>
      <c r="X512" s="168">
        <f>IF(ISERROR(Personalplanung!Q96/Monatsplanung!$E96*Monatsplanung!$K96),0,Personalplanung!Q96/Monatsplanung!$E96*Monatsplanung!$K96)</f>
        <v>0</v>
      </c>
      <c r="Y512" s="168">
        <f>IF(ISERROR(Personalplanung!R96/T1344*Stundencontrolling!T512),0,Personalplanung!R96/T1344*Stundencontrolling!T512)</f>
        <v>0</v>
      </c>
      <c r="Z512" s="168">
        <f>IF(ISERROR(Personalplanung!S96/Monatsplanung!$E96*Monatsplanung!$K96),0,Personalplanung!S96/Monatsplanung!$E96*Monatsplanung!$K96)</f>
        <v>0</v>
      </c>
      <c r="AA512" s="80">
        <f t="shared" si="151"/>
        <v>0</v>
      </c>
      <c r="AB512" s="102">
        <f t="shared" si="152"/>
        <v>0.1</v>
      </c>
      <c r="AC512" s="103">
        <f t="shared" si="153"/>
        <v>0</v>
      </c>
      <c r="AD512" s="103">
        <f t="shared" si="154"/>
        <v>0</v>
      </c>
      <c r="AE512" s="81">
        <f t="shared" si="155"/>
        <v>0</v>
      </c>
      <c r="AF512" s="539"/>
      <c r="AG512" s="104">
        <f t="shared" si="156"/>
        <v>1</v>
      </c>
      <c r="AH512" s="7">
        <f t="shared" si="157"/>
        <v>0</v>
      </c>
      <c r="AI512" s="6">
        <f t="shared" si="158"/>
        <v>0</v>
      </c>
      <c r="AJ512" s="73">
        <f t="shared" si="159"/>
        <v>0</v>
      </c>
      <c r="AK512" s="539"/>
      <c r="AL512" s="748"/>
      <c r="AM512" s="748"/>
    </row>
    <row r="513" spans="2:39" x14ac:dyDescent="0.2">
      <c r="B513" s="101" t="str">
        <f t="shared" si="144"/>
        <v/>
      </c>
      <c r="C513" s="168">
        <f>IF(ISERROR(Personalplanung!F97/Monatsplanung!$E97*Monatsplanung!$K97),0,Personalplanung!F97/Monatsplanung!$E97*Monatsplanung!$K97)</f>
        <v>0</v>
      </c>
      <c r="D513" s="168">
        <f t="shared" si="145"/>
        <v>0</v>
      </c>
      <c r="E513" s="168">
        <f>IF(ISERROR(Personalplanung!H97/Monatsplanung!$E97*Monatsplanung!$K97),0,Personalplanung!H97/Monatsplanung!$E97*Monatsplanung!$K97)</f>
        <v>0</v>
      </c>
      <c r="F513" s="168">
        <f t="shared" si="146"/>
        <v>0</v>
      </c>
      <c r="G513" s="168">
        <f t="shared" si="147"/>
        <v>27.700831024930746</v>
      </c>
      <c r="H513" s="168">
        <f t="shared" si="148"/>
        <v>0</v>
      </c>
      <c r="I513" s="168">
        <f t="shared" si="149"/>
        <v>30</v>
      </c>
      <c r="J513" s="739"/>
      <c r="K513" s="168">
        <f>IF(J513&lt;&gt;"",J513,IF(ISERROR(Personalplanung!AB97/Monatsplanung!$E97*Monatsplanung!$K97),0,Personalplanung!AB97/Monatsplanung!$E97*Monatsplanung!$K97))</f>
        <v>0</v>
      </c>
      <c r="L513" s="740"/>
      <c r="M513" s="739"/>
      <c r="N513" s="168">
        <f>IF(M513&lt;&gt;"",M513,IF(ISERROR(Personalplanung!AC97/Monatsplanung!$E97*Monatsplanung!$K97),0,Personalplanung!AC97/Monatsplanung!$E97*Monatsplanung!$K97))</f>
        <v>0</v>
      </c>
      <c r="O513" s="740"/>
      <c r="P513" s="739"/>
      <c r="Q513" s="168">
        <f>IF(P513&lt;&gt;"",P513,IF(ISERROR(Personalplanung!AD97/Monatsplanung!$E97*Monatsplanung!$K97),0,Personalplanung!AD97/Monatsplanung!$E97*Monatsplanung!$K97))</f>
        <v>0</v>
      </c>
      <c r="R513" s="740"/>
      <c r="S513" s="739"/>
      <c r="T513" s="168">
        <f>IF(S513&lt;&gt;"",S513,IF(ISERROR(Personalplanung!AE97/Monatsplanung!$E97*Monatsplanung!$K97),0,Personalplanung!AE97/Monatsplanung!$E97*Monatsplanung!$K97))</f>
        <v>0</v>
      </c>
      <c r="U513" s="740"/>
      <c r="V513" s="168">
        <f t="shared" si="150"/>
        <v>0</v>
      </c>
      <c r="W513" s="168">
        <f>IF(ISERROR(Personalplanung!P97/Monatsplanung!$E97*Monatsplanung!$K97),0,Personalplanung!P97/Monatsplanung!$E97*Monatsplanung!$K97)</f>
        <v>0</v>
      </c>
      <c r="X513" s="168">
        <f>IF(ISERROR(Personalplanung!Q97/Monatsplanung!$E97*Monatsplanung!$K97),0,Personalplanung!Q97/Monatsplanung!$E97*Monatsplanung!$K97)</f>
        <v>0</v>
      </c>
      <c r="Y513" s="168">
        <f>IF(ISERROR(Personalplanung!R97/T1345*Stundencontrolling!T513),0,Personalplanung!R97/T1345*Stundencontrolling!T513)</f>
        <v>0</v>
      </c>
      <c r="Z513" s="168">
        <f>IF(ISERROR(Personalplanung!S97/Monatsplanung!$E97*Monatsplanung!$K97),0,Personalplanung!S97/Monatsplanung!$E97*Monatsplanung!$K97)</f>
        <v>0</v>
      </c>
      <c r="AA513" s="80">
        <f t="shared" si="151"/>
        <v>0</v>
      </c>
      <c r="AB513" s="102">
        <f t="shared" si="152"/>
        <v>0.1</v>
      </c>
      <c r="AC513" s="103">
        <f t="shared" si="153"/>
        <v>0</v>
      </c>
      <c r="AD513" s="103">
        <f t="shared" si="154"/>
        <v>0</v>
      </c>
      <c r="AE513" s="81">
        <f t="shared" si="155"/>
        <v>0</v>
      </c>
      <c r="AF513" s="539"/>
      <c r="AG513" s="104">
        <f t="shared" si="156"/>
        <v>1</v>
      </c>
      <c r="AH513" s="7">
        <f t="shared" si="157"/>
        <v>0</v>
      </c>
      <c r="AI513" s="6">
        <f t="shared" si="158"/>
        <v>0</v>
      </c>
      <c r="AJ513" s="73">
        <f t="shared" si="159"/>
        <v>0</v>
      </c>
      <c r="AK513" s="539"/>
      <c r="AL513" s="748"/>
      <c r="AM513" s="748"/>
    </row>
    <row r="514" spans="2:39" x14ac:dyDescent="0.2">
      <c r="B514" s="101" t="str">
        <f t="shared" si="144"/>
        <v/>
      </c>
      <c r="C514" s="168">
        <f>IF(ISERROR(Personalplanung!F98/Monatsplanung!$E98*Monatsplanung!$K98),0,Personalplanung!F98/Monatsplanung!$E98*Monatsplanung!$K98)</f>
        <v>0</v>
      </c>
      <c r="D514" s="168">
        <f t="shared" si="145"/>
        <v>0</v>
      </c>
      <c r="E514" s="168">
        <f>IF(ISERROR(Personalplanung!H98/Monatsplanung!$E98*Monatsplanung!$K98),0,Personalplanung!H98/Monatsplanung!$E98*Monatsplanung!$K98)</f>
        <v>0</v>
      </c>
      <c r="F514" s="168">
        <f t="shared" si="146"/>
        <v>0</v>
      </c>
      <c r="G514" s="168">
        <f t="shared" si="147"/>
        <v>27.700831024930746</v>
      </c>
      <c r="H514" s="168">
        <f t="shared" si="148"/>
        <v>0</v>
      </c>
      <c r="I514" s="168">
        <f t="shared" si="149"/>
        <v>30</v>
      </c>
      <c r="J514" s="739"/>
      <c r="K514" s="168">
        <f>IF(J514&lt;&gt;"",J514,IF(ISERROR(Personalplanung!AB98/Monatsplanung!$E98*Monatsplanung!$K98),0,Personalplanung!AB98/Monatsplanung!$E98*Monatsplanung!$K98))</f>
        <v>0</v>
      </c>
      <c r="L514" s="740"/>
      <c r="M514" s="739"/>
      <c r="N514" s="168">
        <f>IF(M514&lt;&gt;"",M514,IF(ISERROR(Personalplanung!AC98/Monatsplanung!$E98*Monatsplanung!$K98),0,Personalplanung!AC98/Monatsplanung!$E98*Monatsplanung!$K98))</f>
        <v>0</v>
      </c>
      <c r="O514" s="740"/>
      <c r="P514" s="739"/>
      <c r="Q514" s="168">
        <f>IF(P514&lt;&gt;"",P514,IF(ISERROR(Personalplanung!AD98/Monatsplanung!$E98*Monatsplanung!$K98),0,Personalplanung!AD98/Monatsplanung!$E98*Monatsplanung!$K98))</f>
        <v>0</v>
      </c>
      <c r="R514" s="740"/>
      <c r="S514" s="739"/>
      <c r="T514" s="168">
        <f>IF(S514&lt;&gt;"",S514,IF(ISERROR(Personalplanung!AE98/Monatsplanung!$E98*Monatsplanung!$K98),0,Personalplanung!AE98/Monatsplanung!$E98*Monatsplanung!$K98))</f>
        <v>0</v>
      </c>
      <c r="U514" s="740"/>
      <c r="V514" s="168">
        <f t="shared" si="150"/>
        <v>0</v>
      </c>
      <c r="W514" s="168">
        <f>IF(ISERROR(Personalplanung!P98/Monatsplanung!$E98*Monatsplanung!$K98),0,Personalplanung!P98/Monatsplanung!$E98*Monatsplanung!$K98)</f>
        <v>0</v>
      </c>
      <c r="X514" s="168">
        <f>IF(ISERROR(Personalplanung!Q98/Monatsplanung!$E98*Monatsplanung!$K98),0,Personalplanung!Q98/Monatsplanung!$E98*Monatsplanung!$K98)</f>
        <v>0</v>
      </c>
      <c r="Y514" s="168">
        <f>IF(ISERROR(Personalplanung!R98/T1346*Stundencontrolling!T514),0,Personalplanung!R98/T1346*Stundencontrolling!T514)</f>
        <v>0</v>
      </c>
      <c r="Z514" s="168">
        <f>IF(ISERROR(Personalplanung!S98/Monatsplanung!$E98*Monatsplanung!$K98),0,Personalplanung!S98/Monatsplanung!$E98*Monatsplanung!$K98)</f>
        <v>0</v>
      </c>
      <c r="AA514" s="80">
        <f t="shared" si="151"/>
        <v>0</v>
      </c>
      <c r="AB514" s="102">
        <f t="shared" si="152"/>
        <v>0.1</v>
      </c>
      <c r="AC514" s="103">
        <f t="shared" si="153"/>
        <v>0</v>
      </c>
      <c r="AD514" s="103">
        <f t="shared" si="154"/>
        <v>0</v>
      </c>
      <c r="AE514" s="81">
        <f t="shared" si="155"/>
        <v>0</v>
      </c>
      <c r="AF514" s="539"/>
      <c r="AG514" s="104">
        <f t="shared" si="156"/>
        <v>1</v>
      </c>
      <c r="AH514" s="7">
        <f t="shared" si="157"/>
        <v>0</v>
      </c>
      <c r="AI514" s="6">
        <f t="shared" si="158"/>
        <v>0</v>
      </c>
      <c r="AJ514" s="73">
        <f t="shared" si="159"/>
        <v>0</v>
      </c>
      <c r="AK514" s="539"/>
      <c r="AL514" s="748"/>
      <c r="AM514" s="748"/>
    </row>
    <row r="515" spans="2:39" x14ac:dyDescent="0.2">
      <c r="B515" s="101" t="str">
        <f t="shared" si="144"/>
        <v/>
      </c>
      <c r="C515" s="168">
        <f>IF(ISERROR(Personalplanung!F99/Monatsplanung!$E99*Monatsplanung!$K99),0,Personalplanung!F99/Monatsplanung!$E99*Monatsplanung!$K99)</f>
        <v>0</v>
      </c>
      <c r="D515" s="168">
        <f t="shared" si="145"/>
        <v>0</v>
      </c>
      <c r="E515" s="168">
        <f>IF(ISERROR(Personalplanung!H99/Monatsplanung!$E99*Monatsplanung!$K99),0,Personalplanung!H99/Monatsplanung!$E99*Monatsplanung!$K99)</f>
        <v>0</v>
      </c>
      <c r="F515" s="168">
        <f t="shared" si="146"/>
        <v>0</v>
      </c>
      <c r="G515" s="168">
        <f t="shared" si="147"/>
        <v>27.700831024930746</v>
      </c>
      <c r="H515" s="168">
        <f t="shared" si="148"/>
        <v>0</v>
      </c>
      <c r="I515" s="168">
        <f t="shared" si="149"/>
        <v>30</v>
      </c>
      <c r="J515" s="739"/>
      <c r="K515" s="168">
        <f>IF(J515&lt;&gt;"",J515,IF(ISERROR(Personalplanung!AB99/Monatsplanung!$E99*Monatsplanung!$K99),0,Personalplanung!AB99/Monatsplanung!$E99*Monatsplanung!$K99))</f>
        <v>0</v>
      </c>
      <c r="L515" s="740"/>
      <c r="M515" s="739"/>
      <c r="N515" s="168">
        <f>IF(M515&lt;&gt;"",M515,IF(ISERROR(Personalplanung!AC99/Monatsplanung!$E99*Monatsplanung!$K99),0,Personalplanung!AC99/Monatsplanung!$E99*Monatsplanung!$K99))</f>
        <v>0</v>
      </c>
      <c r="O515" s="740"/>
      <c r="P515" s="739"/>
      <c r="Q515" s="168">
        <f>IF(P515&lt;&gt;"",P515,IF(ISERROR(Personalplanung!AD99/Monatsplanung!$E99*Monatsplanung!$K99),0,Personalplanung!AD99/Monatsplanung!$E99*Monatsplanung!$K99))</f>
        <v>0</v>
      </c>
      <c r="R515" s="740"/>
      <c r="S515" s="739"/>
      <c r="T515" s="168">
        <f>IF(S515&lt;&gt;"",S515,IF(ISERROR(Personalplanung!AE99/Monatsplanung!$E99*Monatsplanung!$K99),0,Personalplanung!AE99/Monatsplanung!$E99*Monatsplanung!$K99))</f>
        <v>0</v>
      </c>
      <c r="U515" s="740"/>
      <c r="V515" s="168">
        <f t="shared" si="150"/>
        <v>0</v>
      </c>
      <c r="W515" s="168">
        <f>IF(ISERROR(Personalplanung!P99/Monatsplanung!$E99*Monatsplanung!$K99),0,Personalplanung!P99/Monatsplanung!$E99*Monatsplanung!$K99)</f>
        <v>0</v>
      </c>
      <c r="X515" s="168">
        <f>IF(ISERROR(Personalplanung!Q99/Monatsplanung!$E99*Monatsplanung!$K99),0,Personalplanung!Q99/Monatsplanung!$E99*Monatsplanung!$K99)</f>
        <v>0</v>
      </c>
      <c r="Y515" s="168">
        <f>IF(ISERROR(Personalplanung!R99/T1347*Stundencontrolling!T515),0,Personalplanung!R99/T1347*Stundencontrolling!T515)</f>
        <v>0</v>
      </c>
      <c r="Z515" s="168">
        <f>IF(ISERROR(Personalplanung!S99/Monatsplanung!$E99*Monatsplanung!$K99),0,Personalplanung!S99/Monatsplanung!$E99*Monatsplanung!$K99)</f>
        <v>0</v>
      </c>
      <c r="AA515" s="80">
        <f t="shared" si="151"/>
        <v>0</v>
      </c>
      <c r="AB515" s="102">
        <f t="shared" si="152"/>
        <v>0.1</v>
      </c>
      <c r="AC515" s="103">
        <f t="shared" si="153"/>
        <v>0</v>
      </c>
      <c r="AD515" s="103">
        <f t="shared" si="154"/>
        <v>0</v>
      </c>
      <c r="AE515" s="81">
        <f t="shared" si="155"/>
        <v>0</v>
      </c>
      <c r="AF515" s="539"/>
      <c r="AG515" s="104">
        <f t="shared" si="156"/>
        <v>1</v>
      </c>
      <c r="AH515" s="7">
        <f t="shared" si="157"/>
        <v>0</v>
      </c>
      <c r="AI515" s="6">
        <f t="shared" si="158"/>
        <v>0</v>
      </c>
      <c r="AJ515" s="73">
        <f t="shared" si="159"/>
        <v>0</v>
      </c>
      <c r="AK515" s="539"/>
      <c r="AL515" s="748"/>
      <c r="AM515" s="748"/>
    </row>
    <row r="516" spans="2:39" x14ac:dyDescent="0.2">
      <c r="B516" s="101" t="str">
        <f t="shared" si="144"/>
        <v/>
      </c>
      <c r="C516" s="168">
        <f>IF(ISERROR(Personalplanung!F100/Monatsplanung!$E100*Monatsplanung!$K100),0,Personalplanung!F100/Monatsplanung!$E100*Monatsplanung!$K100)</f>
        <v>0</v>
      </c>
      <c r="D516" s="168">
        <f t="shared" si="145"/>
        <v>0</v>
      </c>
      <c r="E516" s="168">
        <f>IF(ISERROR(Personalplanung!H100/Monatsplanung!$E100*Monatsplanung!$K100),0,Personalplanung!H100/Monatsplanung!$E100*Monatsplanung!$K100)</f>
        <v>0</v>
      </c>
      <c r="F516" s="168">
        <f t="shared" si="146"/>
        <v>0</v>
      </c>
      <c r="G516" s="168">
        <f t="shared" si="147"/>
        <v>27.700831024930746</v>
      </c>
      <c r="H516" s="168">
        <f t="shared" si="148"/>
        <v>0</v>
      </c>
      <c r="I516" s="168">
        <f t="shared" si="149"/>
        <v>30</v>
      </c>
      <c r="J516" s="739"/>
      <c r="K516" s="168">
        <f>IF(J516&lt;&gt;"",J516,IF(ISERROR(Personalplanung!AB100/Monatsplanung!$E100*Monatsplanung!$K100),0,Personalplanung!AB100/Monatsplanung!$E100*Monatsplanung!$K100))</f>
        <v>0</v>
      </c>
      <c r="L516" s="740"/>
      <c r="M516" s="739"/>
      <c r="N516" s="168">
        <f>IF(M516&lt;&gt;"",M516,IF(ISERROR(Personalplanung!AC100/Monatsplanung!$E100*Monatsplanung!$K100),0,Personalplanung!AC100/Monatsplanung!$E100*Monatsplanung!$K100))</f>
        <v>0</v>
      </c>
      <c r="O516" s="740"/>
      <c r="P516" s="739"/>
      <c r="Q516" s="168">
        <f>IF(P516&lt;&gt;"",P516,IF(ISERROR(Personalplanung!AD100/Monatsplanung!$E100*Monatsplanung!$K100),0,Personalplanung!AD100/Monatsplanung!$E100*Monatsplanung!$K100))</f>
        <v>0</v>
      </c>
      <c r="R516" s="740"/>
      <c r="S516" s="739"/>
      <c r="T516" s="168">
        <f>IF(S516&lt;&gt;"",S516,IF(ISERROR(Personalplanung!AE100/Monatsplanung!$E100*Monatsplanung!$K100),0,Personalplanung!AE100/Monatsplanung!$E100*Monatsplanung!$K100))</f>
        <v>0</v>
      </c>
      <c r="U516" s="740"/>
      <c r="V516" s="168">
        <f t="shared" si="150"/>
        <v>0</v>
      </c>
      <c r="W516" s="168">
        <f>IF(ISERROR(Personalplanung!P100/Monatsplanung!$E100*Monatsplanung!$K100),0,Personalplanung!P100/Monatsplanung!$E100*Monatsplanung!$K100)</f>
        <v>0</v>
      </c>
      <c r="X516" s="168">
        <f>IF(ISERROR(Personalplanung!Q100/Monatsplanung!$E100*Monatsplanung!$K100),0,Personalplanung!Q100/Monatsplanung!$E100*Monatsplanung!$K100)</f>
        <v>0</v>
      </c>
      <c r="Y516" s="168">
        <f>IF(ISERROR(Personalplanung!R100/T1348*Stundencontrolling!T516),0,Personalplanung!R100/T1348*Stundencontrolling!T516)</f>
        <v>0</v>
      </c>
      <c r="Z516" s="168">
        <f>IF(ISERROR(Personalplanung!S100/Monatsplanung!$E100*Monatsplanung!$K100),0,Personalplanung!S100/Monatsplanung!$E100*Monatsplanung!$K100)</f>
        <v>0</v>
      </c>
      <c r="AA516" s="80">
        <f t="shared" si="151"/>
        <v>0</v>
      </c>
      <c r="AB516" s="102">
        <f t="shared" si="152"/>
        <v>0.1</v>
      </c>
      <c r="AC516" s="103">
        <f t="shared" si="153"/>
        <v>0</v>
      </c>
      <c r="AD516" s="103">
        <f t="shared" si="154"/>
        <v>0</v>
      </c>
      <c r="AE516" s="81">
        <f t="shared" si="155"/>
        <v>0</v>
      </c>
      <c r="AF516" s="539"/>
      <c r="AG516" s="104">
        <f t="shared" si="156"/>
        <v>1</v>
      </c>
      <c r="AH516" s="7">
        <f t="shared" si="157"/>
        <v>0</v>
      </c>
      <c r="AI516" s="6">
        <f t="shared" si="158"/>
        <v>0</v>
      </c>
      <c r="AJ516" s="73">
        <f t="shared" si="159"/>
        <v>0</v>
      </c>
      <c r="AK516" s="539"/>
      <c r="AL516" s="748"/>
      <c r="AM516" s="748"/>
    </row>
    <row r="517" spans="2:39" x14ac:dyDescent="0.2">
      <c r="B517" s="101" t="str">
        <f t="shared" si="144"/>
        <v/>
      </c>
      <c r="C517" s="168">
        <f>IF(ISERROR(Personalplanung!F101/Monatsplanung!$E101*Monatsplanung!$K101),0,Personalplanung!F101/Monatsplanung!$E101*Monatsplanung!$K101)</f>
        <v>0</v>
      </c>
      <c r="D517" s="168">
        <f t="shared" si="145"/>
        <v>0</v>
      </c>
      <c r="E517" s="168">
        <f>IF(ISERROR(Personalplanung!H101/Monatsplanung!$E101*Monatsplanung!$K101),0,Personalplanung!H101/Monatsplanung!$E101*Monatsplanung!$K101)</f>
        <v>0</v>
      </c>
      <c r="F517" s="168">
        <f t="shared" si="146"/>
        <v>0</v>
      </c>
      <c r="G517" s="168">
        <f t="shared" si="147"/>
        <v>27.700831024930746</v>
      </c>
      <c r="H517" s="168">
        <f t="shared" si="148"/>
        <v>0</v>
      </c>
      <c r="I517" s="168">
        <f t="shared" si="149"/>
        <v>30</v>
      </c>
      <c r="J517" s="739"/>
      <c r="K517" s="168">
        <f>IF(J517&lt;&gt;"",J517,IF(ISERROR(Personalplanung!AB101/Monatsplanung!$E101*Monatsplanung!$K101),0,Personalplanung!AB101/Monatsplanung!$E101*Monatsplanung!$K101))</f>
        <v>0</v>
      </c>
      <c r="L517" s="740"/>
      <c r="M517" s="739"/>
      <c r="N517" s="168">
        <f>IF(M517&lt;&gt;"",M517,IF(ISERROR(Personalplanung!AC101/Monatsplanung!$E101*Monatsplanung!$K101),0,Personalplanung!AC101/Monatsplanung!$E101*Monatsplanung!$K101))</f>
        <v>0</v>
      </c>
      <c r="O517" s="740"/>
      <c r="P517" s="739"/>
      <c r="Q517" s="168">
        <f>IF(P517&lt;&gt;"",P517,IF(ISERROR(Personalplanung!AD101/Monatsplanung!$E101*Monatsplanung!$K101),0,Personalplanung!AD101/Monatsplanung!$E101*Monatsplanung!$K101))</f>
        <v>0</v>
      </c>
      <c r="R517" s="740"/>
      <c r="S517" s="739"/>
      <c r="T517" s="168">
        <f>IF(S517&lt;&gt;"",S517,IF(ISERROR(Personalplanung!AE101/Monatsplanung!$E101*Monatsplanung!$K101),0,Personalplanung!AE101/Monatsplanung!$E101*Monatsplanung!$K101))</f>
        <v>0</v>
      </c>
      <c r="U517" s="740"/>
      <c r="V517" s="168">
        <f t="shared" si="150"/>
        <v>0</v>
      </c>
      <c r="W517" s="168">
        <f>IF(ISERROR(Personalplanung!P101/Monatsplanung!$E101*Monatsplanung!$K101),0,Personalplanung!P101/Monatsplanung!$E101*Monatsplanung!$K101)</f>
        <v>0</v>
      </c>
      <c r="X517" s="168">
        <f>IF(ISERROR(Personalplanung!Q101/Monatsplanung!$E101*Monatsplanung!$K101),0,Personalplanung!Q101/Monatsplanung!$E101*Monatsplanung!$K101)</f>
        <v>0</v>
      </c>
      <c r="Y517" s="168">
        <f>IF(ISERROR(Personalplanung!R101/T1349*Stundencontrolling!T517),0,Personalplanung!R101/T1349*Stundencontrolling!T517)</f>
        <v>0</v>
      </c>
      <c r="Z517" s="168">
        <f>IF(ISERROR(Personalplanung!S101/Monatsplanung!$E101*Monatsplanung!$K101),0,Personalplanung!S101/Monatsplanung!$E101*Monatsplanung!$K101)</f>
        <v>0</v>
      </c>
      <c r="AA517" s="80">
        <f t="shared" si="151"/>
        <v>0</v>
      </c>
      <c r="AB517" s="102">
        <f t="shared" si="152"/>
        <v>0.1</v>
      </c>
      <c r="AC517" s="103">
        <f t="shared" si="153"/>
        <v>0</v>
      </c>
      <c r="AD517" s="103">
        <f t="shared" si="154"/>
        <v>0</v>
      </c>
      <c r="AE517" s="81">
        <f t="shared" si="155"/>
        <v>0</v>
      </c>
      <c r="AF517" s="539"/>
      <c r="AG517" s="104">
        <f t="shared" si="156"/>
        <v>1</v>
      </c>
      <c r="AH517" s="7">
        <f t="shared" si="157"/>
        <v>0</v>
      </c>
      <c r="AI517" s="6">
        <f t="shared" si="158"/>
        <v>0</v>
      </c>
      <c r="AJ517" s="73">
        <f t="shared" si="159"/>
        <v>0</v>
      </c>
      <c r="AK517" s="539"/>
      <c r="AL517" s="748"/>
      <c r="AM517" s="748"/>
    </row>
    <row r="518" spans="2:39" x14ac:dyDescent="0.2">
      <c r="B518" s="101" t="str">
        <f t="shared" si="144"/>
        <v/>
      </c>
      <c r="C518" s="168">
        <f>IF(ISERROR(Personalplanung!F102/Monatsplanung!$E102*Monatsplanung!$K102),0,Personalplanung!F102/Monatsplanung!$E102*Monatsplanung!$K102)</f>
        <v>0</v>
      </c>
      <c r="D518" s="168">
        <f t="shared" si="145"/>
        <v>0</v>
      </c>
      <c r="E518" s="168">
        <f>IF(ISERROR(Personalplanung!H102/Monatsplanung!$E102*Monatsplanung!$K102),0,Personalplanung!H102/Monatsplanung!$E102*Monatsplanung!$K102)</f>
        <v>0</v>
      </c>
      <c r="F518" s="168">
        <f t="shared" si="146"/>
        <v>0</v>
      </c>
      <c r="G518" s="168">
        <f t="shared" si="147"/>
        <v>27.700831024930746</v>
      </c>
      <c r="H518" s="168">
        <f t="shared" si="148"/>
        <v>0</v>
      </c>
      <c r="I518" s="168">
        <f t="shared" si="149"/>
        <v>30</v>
      </c>
      <c r="J518" s="739"/>
      <c r="K518" s="168">
        <f>IF(J518&lt;&gt;"",J518,IF(ISERROR(Personalplanung!AB102/Monatsplanung!$E102*Monatsplanung!$K102),0,Personalplanung!AB102/Monatsplanung!$E102*Monatsplanung!$K102))</f>
        <v>0</v>
      </c>
      <c r="L518" s="740"/>
      <c r="M518" s="739"/>
      <c r="N518" s="168">
        <f>IF(M518&lt;&gt;"",M518,IF(ISERROR(Personalplanung!AC102/Monatsplanung!$E102*Monatsplanung!$K102),0,Personalplanung!AC102/Monatsplanung!$E102*Monatsplanung!$K102))</f>
        <v>0</v>
      </c>
      <c r="O518" s="740"/>
      <c r="P518" s="739"/>
      <c r="Q518" s="168">
        <f>IF(P518&lt;&gt;"",P518,IF(ISERROR(Personalplanung!AD102/Monatsplanung!$E102*Monatsplanung!$K102),0,Personalplanung!AD102/Monatsplanung!$E102*Monatsplanung!$K102))</f>
        <v>0</v>
      </c>
      <c r="R518" s="740"/>
      <c r="S518" s="739"/>
      <c r="T518" s="168">
        <f>IF(S518&lt;&gt;"",S518,IF(ISERROR(Personalplanung!AE102/Monatsplanung!$E102*Monatsplanung!$K102),0,Personalplanung!AE102/Monatsplanung!$E102*Monatsplanung!$K102))</f>
        <v>0</v>
      </c>
      <c r="U518" s="740"/>
      <c r="V518" s="168">
        <f t="shared" si="150"/>
        <v>0</v>
      </c>
      <c r="W518" s="168">
        <f>IF(ISERROR(Personalplanung!P102/Monatsplanung!$E102*Monatsplanung!$K102),0,Personalplanung!P102/Monatsplanung!$E102*Monatsplanung!$K102)</f>
        <v>0</v>
      </c>
      <c r="X518" s="168">
        <f>IF(ISERROR(Personalplanung!Q102/Monatsplanung!$E102*Monatsplanung!$K102),0,Personalplanung!Q102/Monatsplanung!$E102*Monatsplanung!$K102)</f>
        <v>0</v>
      </c>
      <c r="Y518" s="168">
        <f>IF(ISERROR(Personalplanung!R102/T1350*Stundencontrolling!T518),0,Personalplanung!R102/T1350*Stundencontrolling!T518)</f>
        <v>0</v>
      </c>
      <c r="Z518" s="168">
        <f>IF(ISERROR(Personalplanung!S102/Monatsplanung!$E102*Monatsplanung!$K102),0,Personalplanung!S102/Monatsplanung!$E102*Monatsplanung!$K102)</f>
        <v>0</v>
      </c>
      <c r="AA518" s="80">
        <f t="shared" si="151"/>
        <v>0</v>
      </c>
      <c r="AB518" s="102">
        <f t="shared" si="152"/>
        <v>0.1</v>
      </c>
      <c r="AC518" s="103">
        <f t="shared" si="153"/>
        <v>0</v>
      </c>
      <c r="AD518" s="103">
        <f t="shared" si="154"/>
        <v>0</v>
      </c>
      <c r="AE518" s="81">
        <f t="shared" si="155"/>
        <v>0</v>
      </c>
      <c r="AF518" s="539"/>
      <c r="AG518" s="104">
        <f t="shared" si="156"/>
        <v>1</v>
      </c>
      <c r="AH518" s="7">
        <f t="shared" si="157"/>
        <v>0</v>
      </c>
      <c r="AI518" s="6">
        <f t="shared" si="158"/>
        <v>0</v>
      </c>
      <c r="AJ518" s="73">
        <f t="shared" si="159"/>
        <v>0</v>
      </c>
      <c r="AK518" s="539"/>
      <c r="AL518" s="748"/>
      <c r="AM518" s="748"/>
    </row>
    <row r="519" spans="2:39" x14ac:dyDescent="0.2">
      <c r="B519" s="101" t="str">
        <f t="shared" si="144"/>
        <v/>
      </c>
      <c r="C519" s="168">
        <f>IF(ISERROR(Personalplanung!F103/Monatsplanung!$E103*Monatsplanung!$K103),0,Personalplanung!F103/Monatsplanung!$E103*Monatsplanung!$K103)</f>
        <v>0</v>
      </c>
      <c r="D519" s="168">
        <f t="shared" si="145"/>
        <v>0</v>
      </c>
      <c r="E519" s="168">
        <f>IF(ISERROR(Personalplanung!H103/Monatsplanung!$E103*Monatsplanung!$K103),0,Personalplanung!H103/Monatsplanung!$E103*Monatsplanung!$K103)</f>
        <v>0</v>
      </c>
      <c r="F519" s="168">
        <f t="shared" si="146"/>
        <v>0</v>
      </c>
      <c r="G519" s="168">
        <f t="shared" si="147"/>
        <v>27.700831024930746</v>
      </c>
      <c r="H519" s="168">
        <f t="shared" si="148"/>
        <v>0</v>
      </c>
      <c r="I519" s="168">
        <f t="shared" si="149"/>
        <v>30</v>
      </c>
      <c r="J519" s="739"/>
      <c r="K519" s="168">
        <f>IF(J519&lt;&gt;"",J519,IF(ISERROR(Personalplanung!AB103/Monatsplanung!$E103*Monatsplanung!$K103),0,Personalplanung!AB103/Monatsplanung!$E103*Monatsplanung!$K103))</f>
        <v>0</v>
      </c>
      <c r="L519" s="740"/>
      <c r="M519" s="739"/>
      <c r="N519" s="168">
        <f>IF(M519&lt;&gt;"",M519,IF(ISERROR(Personalplanung!AC103/Monatsplanung!$E103*Monatsplanung!$K103),0,Personalplanung!AC103/Monatsplanung!$E103*Monatsplanung!$K103))</f>
        <v>0</v>
      </c>
      <c r="O519" s="740"/>
      <c r="P519" s="739"/>
      <c r="Q519" s="168">
        <f>IF(P519&lt;&gt;"",P519,IF(ISERROR(Personalplanung!AD103/Monatsplanung!$E103*Monatsplanung!$K103),0,Personalplanung!AD103/Monatsplanung!$E103*Monatsplanung!$K103))</f>
        <v>0</v>
      </c>
      <c r="R519" s="740"/>
      <c r="S519" s="739"/>
      <c r="T519" s="168">
        <f>IF(S519&lt;&gt;"",S519,IF(ISERROR(Personalplanung!AE103/Monatsplanung!$E103*Monatsplanung!$K103),0,Personalplanung!AE103/Monatsplanung!$E103*Monatsplanung!$K103))</f>
        <v>0</v>
      </c>
      <c r="U519" s="740"/>
      <c r="V519" s="168">
        <f t="shared" si="150"/>
        <v>0</v>
      </c>
      <c r="W519" s="168">
        <f>IF(ISERROR(Personalplanung!P103/Monatsplanung!$E103*Monatsplanung!$K103),0,Personalplanung!P103/Monatsplanung!$E103*Monatsplanung!$K103)</f>
        <v>0</v>
      </c>
      <c r="X519" s="168">
        <f>IF(ISERROR(Personalplanung!Q103/Monatsplanung!$E103*Monatsplanung!$K103),0,Personalplanung!Q103/Monatsplanung!$E103*Monatsplanung!$K103)</f>
        <v>0</v>
      </c>
      <c r="Y519" s="168">
        <f>IF(ISERROR(Personalplanung!R103/T1351*Stundencontrolling!T519),0,Personalplanung!R103/T1351*Stundencontrolling!T519)</f>
        <v>0</v>
      </c>
      <c r="Z519" s="168">
        <f>IF(ISERROR(Personalplanung!S103/Monatsplanung!$E103*Monatsplanung!$K103),0,Personalplanung!S103/Monatsplanung!$E103*Monatsplanung!$K103)</f>
        <v>0</v>
      </c>
      <c r="AA519" s="80">
        <f t="shared" si="151"/>
        <v>0</v>
      </c>
      <c r="AB519" s="102">
        <f t="shared" si="152"/>
        <v>0.1</v>
      </c>
      <c r="AC519" s="103">
        <f t="shared" si="153"/>
        <v>0</v>
      </c>
      <c r="AD519" s="103">
        <f t="shared" si="154"/>
        <v>0</v>
      </c>
      <c r="AE519" s="81">
        <f t="shared" si="155"/>
        <v>0</v>
      </c>
      <c r="AF519" s="539"/>
      <c r="AG519" s="104">
        <f t="shared" si="156"/>
        <v>1</v>
      </c>
      <c r="AH519" s="7">
        <f t="shared" si="157"/>
        <v>0</v>
      </c>
      <c r="AI519" s="6">
        <f t="shared" si="158"/>
        <v>0</v>
      </c>
      <c r="AJ519" s="73">
        <f t="shared" si="159"/>
        <v>0</v>
      </c>
      <c r="AK519" s="539"/>
      <c r="AL519" s="748"/>
      <c r="AM519" s="748"/>
    </row>
    <row r="520" spans="2:39" x14ac:dyDescent="0.2">
      <c r="B520" s="101" t="str">
        <f t="shared" si="144"/>
        <v/>
      </c>
      <c r="C520" s="168">
        <f>IF(ISERROR(Personalplanung!F104/Monatsplanung!$E104*Monatsplanung!$K104),0,Personalplanung!F104/Monatsplanung!$E104*Monatsplanung!$K104)</f>
        <v>0</v>
      </c>
      <c r="D520" s="168">
        <f t="shared" si="145"/>
        <v>0</v>
      </c>
      <c r="E520" s="168">
        <f>IF(ISERROR(Personalplanung!H104/Monatsplanung!$E104*Monatsplanung!$K104),0,Personalplanung!H104/Monatsplanung!$E104*Monatsplanung!$K104)</f>
        <v>0</v>
      </c>
      <c r="F520" s="168">
        <f t="shared" si="146"/>
        <v>0</v>
      </c>
      <c r="G520" s="168">
        <f t="shared" si="147"/>
        <v>27.700831024930746</v>
      </c>
      <c r="H520" s="168">
        <f t="shared" si="148"/>
        <v>0</v>
      </c>
      <c r="I520" s="168">
        <f t="shared" si="149"/>
        <v>30</v>
      </c>
      <c r="J520" s="739"/>
      <c r="K520" s="168">
        <f>IF(J520&lt;&gt;"",J520,IF(ISERROR(Personalplanung!AB104/Monatsplanung!$E104*Monatsplanung!$K104),0,Personalplanung!AB104/Monatsplanung!$E104*Monatsplanung!$K104))</f>
        <v>0</v>
      </c>
      <c r="L520" s="740"/>
      <c r="M520" s="739"/>
      <c r="N520" s="168">
        <f>IF(M520&lt;&gt;"",M520,IF(ISERROR(Personalplanung!AC104/Monatsplanung!$E104*Monatsplanung!$K104),0,Personalplanung!AC104/Monatsplanung!$E104*Monatsplanung!$K104))</f>
        <v>0</v>
      </c>
      <c r="O520" s="740"/>
      <c r="P520" s="739"/>
      <c r="Q520" s="168">
        <f>IF(P520&lt;&gt;"",P520,IF(ISERROR(Personalplanung!AD104/Monatsplanung!$E104*Monatsplanung!$K104),0,Personalplanung!AD104/Monatsplanung!$E104*Monatsplanung!$K104))</f>
        <v>0</v>
      </c>
      <c r="R520" s="740"/>
      <c r="S520" s="739"/>
      <c r="T520" s="168">
        <f>IF(S520&lt;&gt;"",S520,IF(ISERROR(Personalplanung!AE104/Monatsplanung!$E104*Monatsplanung!$K104),0,Personalplanung!AE104/Monatsplanung!$E104*Monatsplanung!$K104))</f>
        <v>0</v>
      </c>
      <c r="U520" s="740"/>
      <c r="V520" s="168">
        <f t="shared" si="150"/>
        <v>0</v>
      </c>
      <c r="W520" s="168">
        <f>IF(ISERROR(Personalplanung!P104/Monatsplanung!$E104*Monatsplanung!$K104),0,Personalplanung!P104/Monatsplanung!$E104*Monatsplanung!$K104)</f>
        <v>0</v>
      </c>
      <c r="X520" s="168">
        <f>IF(ISERROR(Personalplanung!Q104/Monatsplanung!$E104*Monatsplanung!$K104),0,Personalplanung!Q104/Monatsplanung!$E104*Monatsplanung!$K104)</f>
        <v>0</v>
      </c>
      <c r="Y520" s="168">
        <f>IF(ISERROR(Personalplanung!R104/T1352*Stundencontrolling!T520),0,Personalplanung!R104/T1352*Stundencontrolling!T520)</f>
        <v>0</v>
      </c>
      <c r="Z520" s="168">
        <f>IF(ISERROR(Personalplanung!S104/Monatsplanung!$E104*Monatsplanung!$K104),0,Personalplanung!S104/Monatsplanung!$E104*Monatsplanung!$K104)</f>
        <v>0</v>
      </c>
      <c r="AA520" s="80">
        <f t="shared" si="151"/>
        <v>0</v>
      </c>
      <c r="AB520" s="102">
        <f t="shared" si="152"/>
        <v>0.1</v>
      </c>
      <c r="AC520" s="103">
        <f t="shared" si="153"/>
        <v>0</v>
      </c>
      <c r="AD520" s="103">
        <f t="shared" si="154"/>
        <v>0</v>
      </c>
      <c r="AE520" s="81">
        <f t="shared" si="155"/>
        <v>0</v>
      </c>
      <c r="AF520" s="539"/>
      <c r="AG520" s="104">
        <f t="shared" si="156"/>
        <v>1</v>
      </c>
      <c r="AH520" s="7">
        <f t="shared" si="157"/>
        <v>0</v>
      </c>
      <c r="AI520" s="6">
        <f t="shared" si="158"/>
        <v>0</v>
      </c>
      <c r="AJ520" s="73">
        <f t="shared" si="159"/>
        <v>0</v>
      </c>
      <c r="AK520" s="539"/>
      <c r="AL520" s="748"/>
      <c r="AM520" s="748"/>
    </row>
    <row r="521" spans="2:39" x14ac:dyDescent="0.2">
      <c r="B521" s="101" t="str">
        <f t="shared" si="144"/>
        <v/>
      </c>
      <c r="C521" s="168">
        <f>IF(ISERROR(Personalplanung!F105/Monatsplanung!$E105*Monatsplanung!$K105),0,Personalplanung!F105/Monatsplanung!$E105*Monatsplanung!$K105)</f>
        <v>0</v>
      </c>
      <c r="D521" s="168">
        <f t="shared" si="145"/>
        <v>0</v>
      </c>
      <c r="E521" s="168">
        <f>IF(ISERROR(Personalplanung!H105/Monatsplanung!$E105*Monatsplanung!$K105),0,Personalplanung!H105/Monatsplanung!$E105*Monatsplanung!$K105)</f>
        <v>0</v>
      </c>
      <c r="F521" s="168">
        <f t="shared" si="146"/>
        <v>0</v>
      </c>
      <c r="G521" s="168">
        <f t="shared" si="147"/>
        <v>27.700831024930746</v>
      </c>
      <c r="H521" s="168">
        <f t="shared" si="148"/>
        <v>0</v>
      </c>
      <c r="I521" s="168">
        <f t="shared" si="149"/>
        <v>30</v>
      </c>
      <c r="J521" s="739"/>
      <c r="K521" s="168">
        <f>IF(J521&lt;&gt;"",J521,IF(ISERROR(Personalplanung!AB105/Monatsplanung!$E105*Monatsplanung!$K105),0,Personalplanung!AB105/Monatsplanung!$E105*Monatsplanung!$K105))</f>
        <v>0</v>
      </c>
      <c r="L521" s="740"/>
      <c r="M521" s="739"/>
      <c r="N521" s="168">
        <f>IF(M521&lt;&gt;"",M521,IF(ISERROR(Personalplanung!AC105/Monatsplanung!$E105*Monatsplanung!$K105),0,Personalplanung!AC105/Monatsplanung!$E105*Monatsplanung!$K105))</f>
        <v>0</v>
      </c>
      <c r="O521" s="740"/>
      <c r="P521" s="739"/>
      <c r="Q521" s="168">
        <f>IF(P521&lt;&gt;"",P521,IF(ISERROR(Personalplanung!AD105/Monatsplanung!$E105*Monatsplanung!$K105),0,Personalplanung!AD105/Monatsplanung!$E105*Monatsplanung!$K105))</f>
        <v>0</v>
      </c>
      <c r="R521" s="740"/>
      <c r="S521" s="739"/>
      <c r="T521" s="168">
        <f>IF(S521&lt;&gt;"",S521,IF(ISERROR(Personalplanung!AE105/Monatsplanung!$E105*Monatsplanung!$K105),0,Personalplanung!AE105/Monatsplanung!$E105*Monatsplanung!$K105))</f>
        <v>0</v>
      </c>
      <c r="U521" s="740"/>
      <c r="V521" s="168">
        <f t="shared" si="150"/>
        <v>0</v>
      </c>
      <c r="W521" s="168">
        <f>IF(ISERROR(Personalplanung!P105/Monatsplanung!$E105*Monatsplanung!$K105),0,Personalplanung!P105/Monatsplanung!$E105*Monatsplanung!$K105)</f>
        <v>0</v>
      </c>
      <c r="X521" s="168">
        <f>IF(ISERROR(Personalplanung!Q105/Monatsplanung!$E105*Monatsplanung!$K105),0,Personalplanung!Q105/Monatsplanung!$E105*Monatsplanung!$K105)</f>
        <v>0</v>
      </c>
      <c r="Y521" s="168">
        <f>IF(ISERROR(Personalplanung!R105/T1353*Stundencontrolling!T521),0,Personalplanung!R105/T1353*Stundencontrolling!T521)</f>
        <v>0</v>
      </c>
      <c r="Z521" s="168">
        <f>IF(ISERROR(Personalplanung!S105/Monatsplanung!$E105*Monatsplanung!$K105),0,Personalplanung!S105/Monatsplanung!$E105*Monatsplanung!$K105)</f>
        <v>0</v>
      </c>
      <c r="AA521" s="80">
        <f t="shared" si="151"/>
        <v>0</v>
      </c>
      <c r="AB521" s="102">
        <f t="shared" si="152"/>
        <v>0.1</v>
      </c>
      <c r="AC521" s="103">
        <f t="shared" si="153"/>
        <v>0</v>
      </c>
      <c r="AD521" s="103">
        <f t="shared" si="154"/>
        <v>0</v>
      </c>
      <c r="AE521" s="81">
        <f t="shared" si="155"/>
        <v>0</v>
      </c>
      <c r="AF521" s="539"/>
      <c r="AG521" s="104">
        <f t="shared" si="156"/>
        <v>1</v>
      </c>
      <c r="AH521" s="7">
        <f t="shared" si="157"/>
        <v>0</v>
      </c>
      <c r="AI521" s="6">
        <f t="shared" si="158"/>
        <v>0</v>
      </c>
      <c r="AJ521" s="73">
        <f t="shared" si="159"/>
        <v>0</v>
      </c>
      <c r="AK521" s="539"/>
      <c r="AL521" s="748"/>
      <c r="AM521" s="748"/>
    </row>
    <row r="522" spans="2:39" x14ac:dyDescent="0.2">
      <c r="B522" s="101" t="str">
        <f t="shared" si="144"/>
        <v/>
      </c>
      <c r="C522" s="168">
        <f>IF(ISERROR(Personalplanung!F106/Monatsplanung!$E106*Monatsplanung!$K106),0,Personalplanung!F106/Monatsplanung!$E106*Monatsplanung!$K106)</f>
        <v>0</v>
      </c>
      <c r="D522" s="168">
        <f t="shared" si="145"/>
        <v>0</v>
      </c>
      <c r="E522" s="168">
        <f>IF(ISERROR(Personalplanung!H106/Monatsplanung!$E106*Monatsplanung!$K106),0,Personalplanung!H106/Monatsplanung!$E106*Monatsplanung!$K106)</f>
        <v>0</v>
      </c>
      <c r="F522" s="168">
        <f t="shared" si="146"/>
        <v>0</v>
      </c>
      <c r="G522" s="168">
        <f t="shared" si="147"/>
        <v>27.700831024930746</v>
      </c>
      <c r="H522" s="168">
        <f t="shared" si="148"/>
        <v>0</v>
      </c>
      <c r="I522" s="168">
        <f t="shared" si="149"/>
        <v>30</v>
      </c>
      <c r="J522" s="739"/>
      <c r="K522" s="168">
        <f>IF(J522&lt;&gt;"",J522,IF(ISERROR(Personalplanung!AB106/Monatsplanung!$E106*Monatsplanung!$K106),0,Personalplanung!AB106/Monatsplanung!$E106*Monatsplanung!$K106))</f>
        <v>0</v>
      </c>
      <c r="L522" s="740"/>
      <c r="M522" s="739"/>
      <c r="N522" s="168">
        <f>IF(M522&lt;&gt;"",M522,IF(ISERROR(Personalplanung!AC106/Monatsplanung!$E106*Monatsplanung!$K106),0,Personalplanung!AC106/Monatsplanung!$E106*Monatsplanung!$K106))</f>
        <v>0</v>
      </c>
      <c r="O522" s="740"/>
      <c r="P522" s="739"/>
      <c r="Q522" s="168">
        <f>IF(P522&lt;&gt;"",P522,IF(ISERROR(Personalplanung!AD106/Monatsplanung!$E106*Monatsplanung!$K106),0,Personalplanung!AD106/Monatsplanung!$E106*Monatsplanung!$K106))</f>
        <v>0</v>
      </c>
      <c r="R522" s="740"/>
      <c r="S522" s="739"/>
      <c r="T522" s="168">
        <f>IF(S522&lt;&gt;"",S522,IF(ISERROR(Personalplanung!AE106/Monatsplanung!$E106*Monatsplanung!$K106),0,Personalplanung!AE106/Monatsplanung!$E106*Monatsplanung!$K106))</f>
        <v>0</v>
      </c>
      <c r="U522" s="740"/>
      <c r="V522" s="168">
        <f t="shared" si="150"/>
        <v>0</v>
      </c>
      <c r="W522" s="168">
        <f>IF(ISERROR(Personalplanung!P106/Monatsplanung!$E106*Monatsplanung!$K106),0,Personalplanung!P106/Monatsplanung!$E106*Monatsplanung!$K106)</f>
        <v>0</v>
      </c>
      <c r="X522" s="168">
        <f>IF(ISERROR(Personalplanung!Q106/Monatsplanung!$E106*Monatsplanung!$K106),0,Personalplanung!Q106/Monatsplanung!$E106*Monatsplanung!$K106)</f>
        <v>0</v>
      </c>
      <c r="Y522" s="168">
        <f>IF(ISERROR(Personalplanung!R106/T1354*Stundencontrolling!T522),0,Personalplanung!R106/T1354*Stundencontrolling!T522)</f>
        <v>0</v>
      </c>
      <c r="Z522" s="168">
        <f>IF(ISERROR(Personalplanung!S106/Monatsplanung!$E106*Monatsplanung!$K106),0,Personalplanung!S106/Monatsplanung!$E106*Monatsplanung!$K106)</f>
        <v>0</v>
      </c>
      <c r="AA522" s="80">
        <f t="shared" si="151"/>
        <v>0</v>
      </c>
      <c r="AB522" s="102">
        <f t="shared" si="152"/>
        <v>0.1</v>
      </c>
      <c r="AC522" s="103">
        <f t="shared" si="153"/>
        <v>0</v>
      </c>
      <c r="AD522" s="103">
        <f t="shared" si="154"/>
        <v>0</v>
      </c>
      <c r="AE522" s="81">
        <f t="shared" si="155"/>
        <v>0</v>
      </c>
      <c r="AF522" s="539"/>
      <c r="AG522" s="104">
        <f t="shared" si="156"/>
        <v>1</v>
      </c>
      <c r="AH522" s="7">
        <f t="shared" si="157"/>
        <v>0</v>
      </c>
      <c r="AI522" s="6">
        <f t="shared" si="158"/>
        <v>0</v>
      </c>
      <c r="AJ522" s="73">
        <f t="shared" si="159"/>
        <v>0</v>
      </c>
      <c r="AK522" s="539"/>
      <c r="AL522" s="748"/>
      <c r="AM522" s="748"/>
    </row>
    <row r="523" spans="2:39" x14ac:dyDescent="0.2">
      <c r="B523" s="500" t="s">
        <v>134</v>
      </c>
      <c r="C523" s="501">
        <f>+SUM(C422:C522)</f>
        <v>2618.6999999999998</v>
      </c>
      <c r="D523" s="501"/>
      <c r="E523" s="501">
        <f>+SUM(E422:E522)</f>
        <v>120.00000000000001</v>
      </c>
      <c r="F523" s="501">
        <f>+SUM(F422:F522)</f>
        <v>2738.7</v>
      </c>
      <c r="G523" s="501">
        <f>IF(ISERROR(+H523/F523),0,+H523/F523)</f>
        <v>27.700831024930746</v>
      </c>
      <c r="H523" s="501">
        <f>+SUM(H422:H522)</f>
        <v>75864.265927977831</v>
      </c>
      <c r="I523" s="501"/>
      <c r="J523" s="501"/>
      <c r="K523" s="501">
        <f t="shared" ref="K523:V523" si="160">+SUM(K422:K522)</f>
        <v>11.516666666666666</v>
      </c>
      <c r="L523" s="501"/>
      <c r="M523" s="501"/>
      <c r="N523" s="501">
        <f>+SUM(N422:N522)</f>
        <v>1.25</v>
      </c>
      <c r="O523" s="501"/>
      <c r="P523" s="501"/>
      <c r="Q523" s="501">
        <f>+SUM(Q422:Q522)</f>
        <v>3.4666666666666663</v>
      </c>
      <c r="R523" s="501"/>
      <c r="S523" s="501"/>
      <c r="T523" s="501">
        <f>+SUM(T422:T522)</f>
        <v>37.86666666666666</v>
      </c>
      <c r="U523" s="501"/>
      <c r="V523" s="501">
        <f t="shared" si="160"/>
        <v>54.1</v>
      </c>
      <c r="W523" s="501">
        <f>+SUM(W422:W522)</f>
        <v>0</v>
      </c>
      <c r="X523" s="501">
        <f>+SUM(X422:X522)</f>
        <v>166.66666666666666</v>
      </c>
      <c r="Y523" s="501">
        <f>+SUM(Y422:Y522)</f>
        <v>66.666666666666657</v>
      </c>
      <c r="Z523" s="501">
        <f>+SUM(Z422:Z522)</f>
        <v>50</v>
      </c>
      <c r="AA523" s="503">
        <f>SUM(AA422:AA522)</f>
        <v>2352075.5771006467</v>
      </c>
      <c r="AB523" s="502">
        <f>+AC523/AA523</f>
        <v>9.9999999999999978E-2</v>
      </c>
      <c r="AC523" s="503">
        <f>SUM(AC422:AC522)</f>
        <v>235207.5577100646</v>
      </c>
      <c r="AD523" s="503">
        <f>SUM(AD422:AD522)</f>
        <v>2116868.0193905812</v>
      </c>
      <c r="AE523" s="504">
        <f>SUM(AE422:AE522)</f>
        <v>232.84333333333333</v>
      </c>
      <c r="AF523" s="504">
        <f>SUM(AF422:AF522)</f>
        <v>0</v>
      </c>
      <c r="AG523" s="505">
        <f>AI523/AE523</f>
        <v>1</v>
      </c>
      <c r="AH523" s="505">
        <f t="shared" si="126"/>
        <v>0</v>
      </c>
      <c r="AI523" s="504">
        <f>SUM(AI422:AI522)</f>
        <v>232.84333333333333</v>
      </c>
      <c r="AJ523" s="506">
        <f t="shared" si="127"/>
        <v>1010.153712983256</v>
      </c>
      <c r="AK523" s="504">
        <f>SUM(AK422:AK522)</f>
        <v>0</v>
      </c>
      <c r="AL523" s="747"/>
      <c r="AM523" s="506">
        <f>$AM$107</f>
        <v>75.851340181839646</v>
      </c>
    </row>
    <row r="524" spans="2:39" x14ac:dyDescent="0.2">
      <c r="B524" s="8"/>
      <c r="C524" s="8"/>
      <c r="D524" s="8"/>
      <c r="E524" s="8"/>
      <c r="F524" s="8"/>
      <c r="G524" s="8"/>
      <c r="H524" s="8"/>
      <c r="I524" s="737"/>
      <c r="J524" s="737"/>
      <c r="K524" s="8"/>
      <c r="L524" s="8"/>
      <c r="M524" s="737"/>
      <c r="N524" s="8"/>
      <c r="O524" s="8"/>
      <c r="P524" s="737"/>
      <c r="Q524" s="8"/>
      <c r="R524" s="8"/>
      <c r="S524" s="737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6"/>
      <c r="AF524" s="10"/>
      <c r="AG524" s="9"/>
      <c r="AH524" s="9"/>
      <c r="AI524" s="6"/>
      <c r="AJ524" s="10"/>
      <c r="AK524" s="10"/>
      <c r="AL524" s="10"/>
      <c r="AM524" s="74"/>
    </row>
    <row r="525" spans="2:39" x14ac:dyDescent="0.2">
      <c r="B525" s="500" t="s">
        <v>49</v>
      </c>
      <c r="C525" s="501"/>
      <c r="D525" s="501"/>
      <c r="E525" s="501"/>
      <c r="F525" s="501"/>
      <c r="G525" s="501"/>
      <c r="H525" s="501"/>
      <c r="I525" s="501"/>
      <c r="J525" s="501"/>
      <c r="K525" s="501"/>
      <c r="L525" s="501"/>
      <c r="M525" s="501"/>
      <c r="N525" s="501"/>
      <c r="O525" s="501"/>
      <c r="P525" s="501"/>
      <c r="Q525" s="501"/>
      <c r="R525" s="501"/>
      <c r="S525" s="501"/>
      <c r="T525" s="501"/>
      <c r="U525" s="501"/>
      <c r="V525" s="501"/>
      <c r="W525" s="501"/>
      <c r="X525" s="501"/>
      <c r="Y525" s="501"/>
      <c r="Z525" s="501"/>
      <c r="AA525" s="503"/>
      <c r="AB525" s="502"/>
      <c r="AC525" s="503"/>
      <c r="AD525" s="503"/>
      <c r="AE525" s="504"/>
      <c r="AF525" s="504"/>
      <c r="AG525" s="505"/>
      <c r="AH525" s="505"/>
      <c r="AI525" s="504"/>
      <c r="AJ525" s="506"/>
      <c r="AK525" s="504"/>
      <c r="AL525" s="504"/>
      <c r="AM525" s="506"/>
    </row>
    <row r="526" spans="2:39" x14ac:dyDescent="0.2">
      <c r="B526" s="101" t="str">
        <f>$B422</f>
        <v>Maxdivers Mustermann</v>
      </c>
      <c r="C526" s="168">
        <f>IF(ISERROR(Personalplanung!F6/Monatsplanung!$E6*Monatsplanung!$L6),0,Personalplanung!F6/Monatsplanung!$E6*Monatsplanung!$L6)</f>
        <v>174</v>
      </c>
      <c r="D526" s="168">
        <f>$D422</f>
        <v>8</v>
      </c>
      <c r="E526" s="168">
        <f>IF(ISERROR(Personalplanung!H6/Monatsplanung!$E6*Monatsplanung!$L6),0,Personalplanung!H6/Monatsplanung!$E6*Monatsplanung!$L6)</f>
        <v>66.666666666666671</v>
      </c>
      <c r="F526" s="168">
        <f>+C526+E526</f>
        <v>240.66666666666669</v>
      </c>
      <c r="G526" s="168">
        <f>$G$6</f>
        <v>27.700831024930746</v>
      </c>
      <c r="H526" s="168">
        <f>+F526*G526</f>
        <v>6666.666666666667</v>
      </c>
      <c r="I526" s="168">
        <f>$I$6</f>
        <v>30</v>
      </c>
      <c r="J526" s="739"/>
      <c r="K526" s="168">
        <f>IF(J526&lt;&gt;"",J526,IF(ISERROR(Personalplanung!AB6/Monatsplanung!$E6*Monatsplanung!$L6),0,Personalplanung!AB6/Monatsplanung!$E6*Monatsplanung!$L6))</f>
        <v>0.66666666666666663</v>
      </c>
      <c r="L526" s="740"/>
      <c r="M526" s="739"/>
      <c r="N526" s="168">
        <f>IF(M526&lt;&gt;"",M526,IF(ISERROR(Personalplanung!AC6/Monatsplanung!$E6*Monatsplanung!$L6),0,Personalplanung!AC6/Monatsplanung!$E6*Monatsplanung!$L6))</f>
        <v>0</v>
      </c>
      <c r="O526" s="740"/>
      <c r="P526" s="739"/>
      <c r="Q526" s="168">
        <f>IF(P526&lt;&gt;"",P526,IF(ISERROR(Personalplanung!AD6/Monatsplanung!$E6*Monatsplanung!$L6),0,Personalplanung!AD6/Monatsplanung!$E6*Monatsplanung!$L6))</f>
        <v>0.16666666666666666</v>
      </c>
      <c r="R526" s="740"/>
      <c r="S526" s="739"/>
      <c r="T526" s="168">
        <f>IF(S526&lt;&gt;"",S526,IF(ISERROR(Personalplanung!AE6/Monatsplanung!$E6*Monatsplanung!$L6),0,Personalplanung!AE6/Monatsplanung!$E6*Monatsplanung!$L6))</f>
        <v>1.25</v>
      </c>
      <c r="U526" s="740"/>
      <c r="V526" s="168">
        <f>K526+N526+Q526+T526</f>
        <v>2.083333333333333</v>
      </c>
      <c r="W526" s="168">
        <f>IF(ISERROR(Personalplanung!P6/Monatsplanung!$E6*Monatsplanung!$L6),0,Personalplanung!P6/Monatsplanung!$E6*Monatsplanung!$L6)</f>
        <v>0</v>
      </c>
      <c r="X526" s="168">
        <f>IF(ISERROR(Personalplanung!Q6/Monatsplanung!$E6*Monatsplanung!$L6),0,Personalplanung!Q6/Monatsplanung!$E6*Monatsplanung!$L6)</f>
        <v>0</v>
      </c>
      <c r="Y526" s="168">
        <f>IF(ISERROR(Personalplanung!R6/T1254*Stundencontrolling!T526),0,Personalplanung!R6/T1254*Stundencontrolling!T526)</f>
        <v>0</v>
      </c>
      <c r="Z526" s="168">
        <f>IF(ISERROR(Personalplanung!S6/Monatsplanung!$E6*Monatsplanung!$L6),0,Personalplanung!S6/Monatsplanung!$E6*Monatsplanung!$L6)</f>
        <v>0</v>
      </c>
      <c r="AA526" s="80">
        <f>+F526*G526*(1+I526)+SUM(W526:Z526)</f>
        <v>206666.66666666669</v>
      </c>
      <c r="AB526" s="102">
        <f>$AB$6</f>
        <v>0.1</v>
      </c>
      <c r="AC526" s="103">
        <f>AB526*AA526</f>
        <v>20666.666666666672</v>
      </c>
      <c r="AD526" s="103">
        <f>AA526-AC526</f>
        <v>186000</v>
      </c>
      <c r="AE526" s="81">
        <f>(F526-(V526*$D526))*AB526</f>
        <v>22.400000000000006</v>
      </c>
      <c r="AF526" s="539"/>
      <c r="AG526" s="104">
        <f>$AG$6</f>
        <v>1</v>
      </c>
      <c r="AH526" s="7">
        <f t="shared" ref="AH526:AH627" si="161">IF(ISERROR(AK526/AF526),0,AK526/AF526)</f>
        <v>0</v>
      </c>
      <c r="AI526" s="6">
        <f>AE526*AG526</f>
        <v>22.400000000000006</v>
      </c>
      <c r="AJ526" s="73">
        <f t="shared" ref="AJ526:AJ627" si="162">IF(ISERROR(+AC526/AI526),0,+AC526/AI526)</f>
        <v>922.61904761904759</v>
      </c>
      <c r="AK526" s="539"/>
      <c r="AL526" s="748"/>
      <c r="AM526" s="748"/>
    </row>
    <row r="527" spans="2:39" x14ac:dyDescent="0.2">
      <c r="B527" s="101" t="str">
        <f t="shared" ref="B527:B590" si="163">$B423</f>
        <v>Egon Kaufmann</v>
      </c>
      <c r="C527" s="168">
        <f>IF(ISERROR(Personalplanung!F7/Monatsplanung!$E7*Monatsplanung!$L7),0,Personalplanung!F7/Monatsplanung!$E7*Monatsplanung!$L7)</f>
        <v>174</v>
      </c>
      <c r="D527" s="168">
        <f t="shared" ref="D527:D590" si="164">$D423</f>
        <v>8</v>
      </c>
      <c r="E527" s="168">
        <f>IF(ISERROR(Personalplanung!H7/Monatsplanung!$E7*Monatsplanung!$L7),0,Personalplanung!H7/Monatsplanung!$E7*Monatsplanung!$L7)</f>
        <v>26.666666666666668</v>
      </c>
      <c r="F527" s="168">
        <f t="shared" ref="F527:F590" si="165">+C527+E527</f>
        <v>200.66666666666666</v>
      </c>
      <c r="G527" s="168">
        <f t="shared" ref="G527:G590" si="166">$G$6</f>
        <v>27.700831024930746</v>
      </c>
      <c r="H527" s="168">
        <f t="shared" ref="H527:H590" si="167">+F527*G527</f>
        <v>5558.6334256694363</v>
      </c>
      <c r="I527" s="168">
        <f t="shared" ref="I527:I590" si="168">$I$6</f>
        <v>30</v>
      </c>
      <c r="J527" s="739"/>
      <c r="K527" s="168">
        <f>IF(J527&lt;&gt;"",J527,IF(ISERROR(Personalplanung!AB7/Monatsplanung!$E7*Monatsplanung!$L7),0,Personalplanung!AB7/Monatsplanung!$E7*Monatsplanung!$L7))</f>
        <v>0.66666666666666663</v>
      </c>
      <c r="L527" s="740"/>
      <c r="M527" s="739"/>
      <c r="N527" s="168">
        <f>IF(M527&lt;&gt;"",M527,IF(ISERROR(Personalplanung!AC7/Monatsplanung!$E7*Monatsplanung!$L7),0,Personalplanung!AC7/Monatsplanung!$E7*Monatsplanung!$L7))</f>
        <v>0</v>
      </c>
      <c r="O527" s="740"/>
      <c r="P527" s="739"/>
      <c r="Q527" s="168">
        <f>IF(P527&lt;&gt;"",P527,IF(ISERROR(Personalplanung!AD7/Monatsplanung!$E7*Monatsplanung!$L7),0,Personalplanung!AD7/Monatsplanung!$E7*Monatsplanung!$L7))</f>
        <v>0.16666666666666666</v>
      </c>
      <c r="R527" s="740"/>
      <c r="S527" s="739"/>
      <c r="T527" s="168">
        <f>IF(S527&lt;&gt;"",S527,IF(ISERROR(Personalplanung!AE7/Monatsplanung!$E7*Monatsplanung!$L7),0,Personalplanung!AE7/Monatsplanung!$E7*Monatsplanung!$L7))</f>
        <v>2.1666666666666665</v>
      </c>
      <c r="U527" s="740"/>
      <c r="V527" s="168">
        <f t="shared" ref="V527:V590" si="169">K527+N527+Q527+T527</f>
        <v>3</v>
      </c>
      <c r="W527" s="168">
        <f>IF(ISERROR(Personalplanung!P7/Monatsplanung!$E7*Monatsplanung!$L7),0,Personalplanung!P7/Monatsplanung!$E7*Monatsplanung!$L7)</f>
        <v>0</v>
      </c>
      <c r="X527" s="168">
        <f>IF(ISERROR(Personalplanung!Q7/Monatsplanung!$E7*Monatsplanung!$L7),0,Personalplanung!Q7/Monatsplanung!$E7*Monatsplanung!$L7)</f>
        <v>0</v>
      </c>
      <c r="Y527" s="168">
        <f>IF(ISERROR(Personalplanung!R7/T1255*Stundencontrolling!T527),0,Personalplanung!R7/T1255*Stundencontrolling!T527)</f>
        <v>0</v>
      </c>
      <c r="Z527" s="168">
        <f>IF(ISERROR(Personalplanung!S7/Monatsplanung!$E7*Monatsplanung!$L7),0,Personalplanung!S7/Monatsplanung!$E7*Monatsplanung!$L7)</f>
        <v>0</v>
      </c>
      <c r="AA527" s="80">
        <f t="shared" ref="AA527:AA590" si="170">+F527*G527*(1+I527)+SUM(W527:Z527)</f>
        <v>172317.63619575254</v>
      </c>
      <c r="AB527" s="102">
        <f t="shared" ref="AB527:AB590" si="171">$AB$6</f>
        <v>0.1</v>
      </c>
      <c r="AC527" s="103">
        <f t="shared" ref="AC527:AC590" si="172">AB527*AA527</f>
        <v>17231.763619575253</v>
      </c>
      <c r="AD527" s="103">
        <f t="shared" ref="AD527:AD590" si="173">AA527-AC527</f>
        <v>155085.87257617729</v>
      </c>
      <c r="AE527" s="81">
        <f t="shared" ref="AE527:AE590" si="174">(F527-(V527*$D527))*AB527</f>
        <v>17.666666666666668</v>
      </c>
      <c r="AF527" s="539"/>
      <c r="AG527" s="104">
        <f t="shared" ref="AG527:AG590" si="175">$AG$6</f>
        <v>1</v>
      </c>
      <c r="AH527" s="7">
        <f t="shared" ref="AH527:AH590" si="176">IF(ISERROR(AK527/AF527),0,AK527/AF527)</f>
        <v>0</v>
      </c>
      <c r="AI527" s="6">
        <f t="shared" ref="AI527:AI590" si="177">AE527*AG527</f>
        <v>17.666666666666668</v>
      </c>
      <c r="AJ527" s="73">
        <f t="shared" ref="AJ527:AJ590" si="178">IF(ISERROR(+AC527/AI527),0,+AC527/AI527)</f>
        <v>975.382846391052</v>
      </c>
      <c r="AK527" s="539"/>
      <c r="AL527" s="748"/>
      <c r="AM527" s="748"/>
    </row>
    <row r="528" spans="2:39" x14ac:dyDescent="0.2">
      <c r="B528" s="101" t="str">
        <f t="shared" si="163"/>
        <v>Walter Meister</v>
      </c>
      <c r="C528" s="168">
        <f>IF(ISERROR(Personalplanung!F8/Monatsplanung!$E8*Monatsplanung!$L8),0,Personalplanung!F8/Monatsplanung!$E8*Monatsplanung!$L8)</f>
        <v>174</v>
      </c>
      <c r="D528" s="168">
        <f t="shared" si="164"/>
        <v>8</v>
      </c>
      <c r="E528" s="168">
        <f>IF(ISERROR(Personalplanung!H8/Monatsplanung!$E8*Monatsplanung!$L8),0,Personalplanung!H8/Monatsplanung!$E8*Monatsplanung!$L8)</f>
        <v>26.666666666666668</v>
      </c>
      <c r="F528" s="168">
        <f t="shared" si="165"/>
        <v>200.66666666666666</v>
      </c>
      <c r="G528" s="168">
        <f t="shared" si="166"/>
        <v>27.700831024930746</v>
      </c>
      <c r="H528" s="168">
        <f t="shared" si="167"/>
        <v>5558.6334256694363</v>
      </c>
      <c r="I528" s="168">
        <f t="shared" si="168"/>
        <v>30</v>
      </c>
      <c r="J528" s="739"/>
      <c r="K528" s="168">
        <f>IF(J528&lt;&gt;"",J528,IF(ISERROR(Personalplanung!AB8/Monatsplanung!$E8*Monatsplanung!$L8),0,Personalplanung!AB8/Monatsplanung!$E8*Monatsplanung!$L8))</f>
        <v>0.66666666666666663</v>
      </c>
      <c r="L528" s="740"/>
      <c r="M528" s="739"/>
      <c r="N528" s="168">
        <f>IF(M528&lt;&gt;"",M528,IF(ISERROR(Personalplanung!AC8/Monatsplanung!$E8*Monatsplanung!$L8),0,Personalplanung!AC8/Monatsplanung!$E8*Monatsplanung!$L8))</f>
        <v>8.3333333333333329E-2</v>
      </c>
      <c r="O528" s="740"/>
      <c r="P528" s="739"/>
      <c r="Q528" s="168">
        <f>IF(P528&lt;&gt;"",P528,IF(ISERROR(Personalplanung!AD8/Monatsplanung!$E8*Monatsplanung!$L8),0,Personalplanung!AD8/Monatsplanung!$E8*Monatsplanung!$L8))</f>
        <v>0.16666666666666666</v>
      </c>
      <c r="R528" s="740"/>
      <c r="S528" s="739"/>
      <c r="T528" s="168">
        <f>IF(S528&lt;&gt;"",S528,IF(ISERROR(Personalplanung!AE8/Monatsplanung!$E8*Monatsplanung!$L8),0,Personalplanung!AE8/Monatsplanung!$E8*Monatsplanung!$L8))</f>
        <v>2.1666666666666665</v>
      </c>
      <c r="U528" s="740"/>
      <c r="V528" s="168">
        <f t="shared" si="169"/>
        <v>3.083333333333333</v>
      </c>
      <c r="W528" s="168">
        <f>IF(ISERROR(Personalplanung!P8/Monatsplanung!$E8*Monatsplanung!$L8),0,Personalplanung!P8/Monatsplanung!$E8*Monatsplanung!$L8)</f>
        <v>0</v>
      </c>
      <c r="X528" s="168">
        <f>IF(ISERROR(Personalplanung!Q8/Monatsplanung!$E8*Monatsplanung!$L8),0,Personalplanung!Q8/Monatsplanung!$E8*Monatsplanung!$L8)</f>
        <v>0</v>
      </c>
      <c r="Y528" s="168">
        <f>IF(ISERROR(Personalplanung!R8/T1256*Stundencontrolling!T528),0,Personalplanung!R8/T1256*Stundencontrolling!T528)</f>
        <v>0</v>
      </c>
      <c r="Z528" s="168">
        <f>IF(ISERROR(Personalplanung!S8/Monatsplanung!$E8*Monatsplanung!$L8),0,Personalplanung!S8/Monatsplanung!$E8*Monatsplanung!$L8)</f>
        <v>0</v>
      </c>
      <c r="AA528" s="80">
        <f t="shared" si="170"/>
        <v>172317.63619575254</v>
      </c>
      <c r="AB528" s="102">
        <f t="shared" si="171"/>
        <v>0.1</v>
      </c>
      <c r="AC528" s="103">
        <f t="shared" si="172"/>
        <v>17231.763619575253</v>
      </c>
      <c r="AD528" s="103">
        <f t="shared" si="173"/>
        <v>155085.87257617729</v>
      </c>
      <c r="AE528" s="81">
        <f t="shared" si="174"/>
        <v>17.600000000000001</v>
      </c>
      <c r="AF528" s="539"/>
      <c r="AG528" s="104">
        <f t="shared" si="175"/>
        <v>1</v>
      </c>
      <c r="AH528" s="7">
        <f t="shared" si="176"/>
        <v>0</v>
      </c>
      <c r="AI528" s="6">
        <f t="shared" si="177"/>
        <v>17.600000000000001</v>
      </c>
      <c r="AJ528" s="73">
        <f t="shared" si="178"/>
        <v>979.07747838495743</v>
      </c>
      <c r="AK528" s="539"/>
      <c r="AL528" s="748"/>
      <c r="AM528" s="748"/>
    </row>
    <row r="529" spans="2:39" x14ac:dyDescent="0.2">
      <c r="B529" s="101" t="str">
        <f t="shared" si="163"/>
        <v>Tom in Technik</v>
      </c>
      <c r="C529" s="168">
        <f>IF(ISERROR(Personalplanung!F9/Monatsplanung!$E9*Monatsplanung!$L9),0,Personalplanung!F9/Monatsplanung!$E9*Monatsplanung!$L9)</f>
        <v>174</v>
      </c>
      <c r="D529" s="168">
        <f t="shared" si="164"/>
        <v>8</v>
      </c>
      <c r="E529" s="168">
        <f>IF(ISERROR(Personalplanung!H9/Monatsplanung!$E9*Monatsplanung!$L9),0,Personalplanung!H9/Monatsplanung!$E9*Monatsplanung!$L9)</f>
        <v>0</v>
      </c>
      <c r="F529" s="168">
        <f t="shared" si="165"/>
        <v>174</v>
      </c>
      <c r="G529" s="168">
        <f t="shared" si="166"/>
        <v>27.700831024930746</v>
      </c>
      <c r="H529" s="168">
        <f t="shared" si="167"/>
        <v>4819.9445983379501</v>
      </c>
      <c r="I529" s="168">
        <f t="shared" si="168"/>
        <v>30</v>
      </c>
      <c r="J529" s="739"/>
      <c r="K529" s="168">
        <f>IF(J529&lt;&gt;"",J529,IF(ISERROR(Personalplanung!AB9/Monatsplanung!$E9*Monatsplanung!$L9),0,Personalplanung!AB9/Monatsplanung!$E9*Monatsplanung!$L9))</f>
        <v>0.66666666666666663</v>
      </c>
      <c r="L529" s="740"/>
      <c r="M529" s="739"/>
      <c r="N529" s="168">
        <f>IF(M529&lt;&gt;"",M529,IF(ISERROR(Personalplanung!AC9/Monatsplanung!$E9*Monatsplanung!$L9),0,Personalplanung!AC9/Monatsplanung!$E9*Monatsplanung!$L9))</f>
        <v>0.16666666666666666</v>
      </c>
      <c r="O529" s="740"/>
      <c r="P529" s="739"/>
      <c r="Q529" s="168">
        <f>IF(P529&lt;&gt;"",P529,IF(ISERROR(Personalplanung!AD9/Monatsplanung!$E9*Monatsplanung!$L9),0,Personalplanung!AD9/Monatsplanung!$E9*Monatsplanung!$L9))</f>
        <v>0.16666666666666666</v>
      </c>
      <c r="R529" s="740"/>
      <c r="S529" s="739"/>
      <c r="T529" s="168">
        <f>IF(S529&lt;&gt;"",S529,IF(ISERROR(Personalplanung!AE9/Monatsplanung!$E9*Monatsplanung!$L9),0,Personalplanung!AE9/Monatsplanung!$E9*Monatsplanung!$L9))</f>
        <v>2.1666666666666665</v>
      </c>
      <c r="U529" s="740"/>
      <c r="V529" s="168">
        <f t="shared" si="169"/>
        <v>3.1666666666666665</v>
      </c>
      <c r="W529" s="168">
        <f>IF(ISERROR(Personalplanung!P9/Monatsplanung!$E9*Monatsplanung!$L9),0,Personalplanung!P9/Monatsplanung!$E9*Monatsplanung!$L9)</f>
        <v>0</v>
      </c>
      <c r="X529" s="168">
        <f>IF(ISERROR(Personalplanung!Q9/Monatsplanung!$E9*Monatsplanung!$L9),0,Personalplanung!Q9/Monatsplanung!$E9*Monatsplanung!$L9)</f>
        <v>0</v>
      </c>
      <c r="Y529" s="168">
        <f>IF(ISERROR(Personalplanung!R9/T1257*Stundencontrolling!T529),0,Personalplanung!R9/T1257*Stundencontrolling!T529)</f>
        <v>0</v>
      </c>
      <c r="Z529" s="168">
        <f>IF(ISERROR(Personalplanung!S9/Monatsplanung!$E9*Monatsplanung!$L9),0,Personalplanung!S9/Monatsplanung!$E9*Monatsplanung!$L9)</f>
        <v>0</v>
      </c>
      <c r="AA529" s="80">
        <f t="shared" si="170"/>
        <v>149418.28254847645</v>
      </c>
      <c r="AB529" s="102">
        <f t="shared" si="171"/>
        <v>0.1</v>
      </c>
      <c r="AC529" s="103">
        <f t="shared" si="172"/>
        <v>14941.828254847645</v>
      </c>
      <c r="AD529" s="103">
        <f t="shared" si="173"/>
        <v>134476.45429362881</v>
      </c>
      <c r="AE529" s="81">
        <f t="shared" si="174"/>
        <v>14.866666666666667</v>
      </c>
      <c r="AF529" s="539"/>
      <c r="AG529" s="104">
        <f t="shared" si="175"/>
        <v>1</v>
      </c>
      <c r="AH529" s="7">
        <f t="shared" si="176"/>
        <v>0</v>
      </c>
      <c r="AI529" s="6">
        <f t="shared" si="177"/>
        <v>14.866666666666667</v>
      </c>
      <c r="AJ529" s="73">
        <f t="shared" si="178"/>
        <v>1005.0557122094829</v>
      </c>
      <c r="AK529" s="539"/>
      <c r="AL529" s="748"/>
      <c r="AM529" s="748"/>
    </row>
    <row r="530" spans="2:39" x14ac:dyDescent="0.2">
      <c r="B530" s="101" t="str">
        <f t="shared" si="163"/>
        <v>Lola Rennt</v>
      </c>
      <c r="C530" s="168">
        <f>IF(ISERROR(Personalplanung!F10/Monatsplanung!$E10*Monatsplanung!$L10),0,Personalplanung!F10/Monatsplanung!$E10*Monatsplanung!$L10)</f>
        <v>174</v>
      </c>
      <c r="D530" s="168">
        <f t="shared" si="164"/>
        <v>8</v>
      </c>
      <c r="E530" s="168">
        <f>IF(ISERROR(Personalplanung!H10/Monatsplanung!$E10*Monatsplanung!$L10),0,Personalplanung!H10/Monatsplanung!$E10*Monatsplanung!$L10)</f>
        <v>0</v>
      </c>
      <c r="F530" s="168">
        <f t="shared" si="165"/>
        <v>174</v>
      </c>
      <c r="G530" s="168">
        <f t="shared" si="166"/>
        <v>27.700831024930746</v>
      </c>
      <c r="H530" s="168">
        <f t="shared" si="167"/>
        <v>4819.9445983379501</v>
      </c>
      <c r="I530" s="168">
        <f t="shared" si="168"/>
        <v>30</v>
      </c>
      <c r="J530" s="739"/>
      <c r="K530" s="168">
        <f>IF(J530&lt;&gt;"",J530,IF(ISERROR(Personalplanung!AB10/Monatsplanung!$E10*Monatsplanung!$L10),0,Personalplanung!AB10/Monatsplanung!$E10*Monatsplanung!$L10))</f>
        <v>0.66666666666666663</v>
      </c>
      <c r="L530" s="740"/>
      <c r="M530" s="739"/>
      <c r="N530" s="168">
        <f>IF(M530&lt;&gt;"",M530,IF(ISERROR(Personalplanung!AC10/Monatsplanung!$E10*Monatsplanung!$L10),0,Personalplanung!AC10/Monatsplanung!$E10*Monatsplanung!$L10))</f>
        <v>0</v>
      </c>
      <c r="O530" s="740"/>
      <c r="P530" s="739"/>
      <c r="Q530" s="168">
        <f>IF(P530&lt;&gt;"",P530,IF(ISERROR(Personalplanung!AD10/Monatsplanung!$E10*Monatsplanung!$L10),0,Personalplanung!AD10/Monatsplanung!$E10*Monatsplanung!$L10))</f>
        <v>0.16666666666666666</v>
      </c>
      <c r="R530" s="740"/>
      <c r="S530" s="739"/>
      <c r="T530" s="168">
        <f>IF(S530&lt;&gt;"",S530,IF(ISERROR(Personalplanung!AE10/Monatsplanung!$E10*Monatsplanung!$L10),0,Personalplanung!AE10/Monatsplanung!$E10*Monatsplanung!$L10))</f>
        <v>2.1666666666666665</v>
      </c>
      <c r="U530" s="740"/>
      <c r="V530" s="168">
        <f t="shared" si="169"/>
        <v>3</v>
      </c>
      <c r="W530" s="168">
        <f>IF(ISERROR(Personalplanung!P10/Monatsplanung!$E10*Monatsplanung!$L10),0,Personalplanung!P10/Monatsplanung!$E10*Monatsplanung!$L10)</f>
        <v>0</v>
      </c>
      <c r="X530" s="168">
        <f>IF(ISERROR(Personalplanung!Q10/Monatsplanung!$E10*Monatsplanung!$L10),0,Personalplanung!Q10/Monatsplanung!$E10*Monatsplanung!$L10)</f>
        <v>0</v>
      </c>
      <c r="Y530" s="168">
        <f>IF(ISERROR(Personalplanung!R10/T1258*Stundencontrolling!T530),0,Personalplanung!R10/T1258*Stundencontrolling!T530)</f>
        <v>0</v>
      </c>
      <c r="Z530" s="168">
        <f>IF(ISERROR(Personalplanung!S10/Monatsplanung!$E10*Monatsplanung!$L10),0,Personalplanung!S10/Monatsplanung!$E10*Monatsplanung!$L10)</f>
        <v>0</v>
      </c>
      <c r="AA530" s="80">
        <f t="shared" si="170"/>
        <v>149418.28254847645</v>
      </c>
      <c r="AB530" s="102">
        <f t="shared" si="171"/>
        <v>0.1</v>
      </c>
      <c r="AC530" s="103">
        <f t="shared" si="172"/>
        <v>14941.828254847645</v>
      </c>
      <c r="AD530" s="103">
        <f t="shared" si="173"/>
        <v>134476.45429362881</v>
      </c>
      <c r="AE530" s="81">
        <f t="shared" si="174"/>
        <v>15</v>
      </c>
      <c r="AF530" s="539"/>
      <c r="AG530" s="104">
        <f t="shared" si="175"/>
        <v>1</v>
      </c>
      <c r="AH530" s="7">
        <f t="shared" si="176"/>
        <v>0</v>
      </c>
      <c r="AI530" s="6">
        <f t="shared" si="177"/>
        <v>15</v>
      </c>
      <c r="AJ530" s="73">
        <f t="shared" si="178"/>
        <v>996.12188365650968</v>
      </c>
      <c r="AK530" s="539"/>
      <c r="AL530" s="748"/>
      <c r="AM530" s="748"/>
    </row>
    <row r="531" spans="2:39" x14ac:dyDescent="0.2">
      <c r="B531" s="101" t="str">
        <f t="shared" si="163"/>
        <v>Bier Lager</v>
      </c>
      <c r="C531" s="168">
        <f>IF(ISERROR(Personalplanung!F11/Monatsplanung!$E11*Monatsplanung!$L11),0,Personalplanung!F11/Monatsplanung!$E11*Monatsplanung!$L11)</f>
        <v>174</v>
      </c>
      <c r="D531" s="168">
        <f t="shared" si="164"/>
        <v>8</v>
      </c>
      <c r="E531" s="168">
        <f>IF(ISERROR(Personalplanung!H11/Monatsplanung!$E11*Monatsplanung!$L11),0,Personalplanung!H11/Monatsplanung!$E11*Monatsplanung!$L11)</f>
        <v>0</v>
      </c>
      <c r="F531" s="168">
        <f t="shared" si="165"/>
        <v>174</v>
      </c>
      <c r="G531" s="168">
        <f t="shared" si="166"/>
        <v>27.700831024930746</v>
      </c>
      <c r="H531" s="168">
        <f t="shared" si="167"/>
        <v>4819.9445983379501</v>
      </c>
      <c r="I531" s="168">
        <f t="shared" si="168"/>
        <v>30</v>
      </c>
      <c r="J531" s="739"/>
      <c r="K531" s="168">
        <f>IF(J531&lt;&gt;"",J531,IF(ISERROR(Personalplanung!AB11/Monatsplanung!$E11*Monatsplanung!$L11),0,Personalplanung!AB11/Monatsplanung!$E11*Monatsplanung!$L11))</f>
        <v>0.66666666666666663</v>
      </c>
      <c r="L531" s="740"/>
      <c r="M531" s="739"/>
      <c r="N531" s="168">
        <f>IF(M531&lt;&gt;"",M531,IF(ISERROR(Personalplanung!AC11/Monatsplanung!$E11*Monatsplanung!$L11),0,Personalplanung!AC11/Monatsplanung!$E11*Monatsplanung!$L11))</f>
        <v>0</v>
      </c>
      <c r="O531" s="740"/>
      <c r="P531" s="739"/>
      <c r="Q531" s="168">
        <f>IF(P531&lt;&gt;"",P531,IF(ISERROR(Personalplanung!AD11/Monatsplanung!$E11*Monatsplanung!$L11),0,Personalplanung!AD11/Monatsplanung!$E11*Monatsplanung!$L11))</f>
        <v>0.16666666666666666</v>
      </c>
      <c r="R531" s="740"/>
      <c r="S531" s="739"/>
      <c r="T531" s="168">
        <f>IF(S531&lt;&gt;"",S531,IF(ISERROR(Personalplanung!AE11/Monatsplanung!$E11*Monatsplanung!$L11),0,Personalplanung!AE11/Monatsplanung!$E11*Monatsplanung!$L11))</f>
        <v>2.1666666666666665</v>
      </c>
      <c r="U531" s="740"/>
      <c r="V531" s="168">
        <f t="shared" si="169"/>
        <v>3</v>
      </c>
      <c r="W531" s="168">
        <f>IF(ISERROR(Personalplanung!P11/Monatsplanung!$E11*Monatsplanung!$L11),0,Personalplanung!P11/Monatsplanung!$E11*Monatsplanung!$L11)</f>
        <v>0</v>
      </c>
      <c r="X531" s="168">
        <f>IF(ISERROR(Personalplanung!Q11/Monatsplanung!$E11*Monatsplanung!$L11),0,Personalplanung!Q11/Monatsplanung!$E11*Monatsplanung!$L11)</f>
        <v>0</v>
      </c>
      <c r="Y531" s="168">
        <f>IF(ISERROR(Personalplanung!R11/T1259*Stundencontrolling!T531),0,Personalplanung!R11/T1259*Stundencontrolling!T531)</f>
        <v>0</v>
      </c>
      <c r="Z531" s="168">
        <f>IF(ISERROR(Personalplanung!S11/Monatsplanung!$E11*Monatsplanung!$L11),0,Personalplanung!S11/Monatsplanung!$E11*Monatsplanung!$L11)</f>
        <v>0</v>
      </c>
      <c r="AA531" s="80">
        <f t="shared" si="170"/>
        <v>149418.28254847645</v>
      </c>
      <c r="AB531" s="102">
        <f t="shared" si="171"/>
        <v>0.1</v>
      </c>
      <c r="AC531" s="103">
        <f t="shared" si="172"/>
        <v>14941.828254847645</v>
      </c>
      <c r="AD531" s="103">
        <f t="shared" si="173"/>
        <v>134476.45429362881</v>
      </c>
      <c r="AE531" s="81">
        <f t="shared" si="174"/>
        <v>15</v>
      </c>
      <c r="AF531" s="539"/>
      <c r="AG531" s="104">
        <f t="shared" si="175"/>
        <v>1</v>
      </c>
      <c r="AH531" s="7">
        <f t="shared" si="176"/>
        <v>0</v>
      </c>
      <c r="AI531" s="6">
        <f t="shared" si="177"/>
        <v>15</v>
      </c>
      <c r="AJ531" s="73">
        <f t="shared" si="178"/>
        <v>996.12188365650968</v>
      </c>
      <c r="AK531" s="539"/>
      <c r="AL531" s="748"/>
      <c r="AM531" s="748"/>
    </row>
    <row r="532" spans="2:39" x14ac:dyDescent="0.2">
      <c r="B532" s="101" t="str">
        <f t="shared" si="163"/>
        <v>Heinrich vor Arbeit</v>
      </c>
      <c r="C532" s="168">
        <f>IF(ISERROR(Personalplanung!F12/Monatsplanung!$E12*Monatsplanung!$L12),0,Personalplanung!F12/Monatsplanung!$E12*Monatsplanung!$L12)</f>
        <v>174</v>
      </c>
      <c r="D532" s="168">
        <f t="shared" si="164"/>
        <v>8</v>
      </c>
      <c r="E532" s="168">
        <f>IF(ISERROR(Personalplanung!H12/Monatsplanung!$E12*Monatsplanung!$L12),0,Personalplanung!H12/Monatsplanung!$E12*Monatsplanung!$L12)</f>
        <v>0</v>
      </c>
      <c r="F532" s="168">
        <f t="shared" si="165"/>
        <v>174</v>
      </c>
      <c r="G532" s="168">
        <f t="shared" si="166"/>
        <v>27.700831024930746</v>
      </c>
      <c r="H532" s="168">
        <f t="shared" si="167"/>
        <v>4819.9445983379501</v>
      </c>
      <c r="I532" s="168">
        <f t="shared" si="168"/>
        <v>30</v>
      </c>
      <c r="J532" s="739"/>
      <c r="K532" s="168">
        <f>IF(J532&lt;&gt;"",J532,IF(ISERROR(Personalplanung!AB12/Monatsplanung!$E12*Monatsplanung!$L12),0,Personalplanung!AB12/Monatsplanung!$E12*Monatsplanung!$L12))</f>
        <v>0.66666666666666663</v>
      </c>
      <c r="L532" s="740"/>
      <c r="M532" s="739"/>
      <c r="N532" s="168">
        <f>IF(M532&lt;&gt;"",M532,IF(ISERROR(Personalplanung!AC12/Monatsplanung!$E12*Monatsplanung!$L12),0,Personalplanung!AC12/Monatsplanung!$E12*Monatsplanung!$L12))</f>
        <v>0</v>
      </c>
      <c r="O532" s="740"/>
      <c r="P532" s="739"/>
      <c r="Q532" s="168">
        <f>IF(P532&lt;&gt;"",P532,IF(ISERROR(Personalplanung!AD12/Monatsplanung!$E12*Monatsplanung!$L12),0,Personalplanung!AD12/Monatsplanung!$E12*Monatsplanung!$L12))</f>
        <v>0.16666666666666666</v>
      </c>
      <c r="R532" s="740"/>
      <c r="S532" s="739"/>
      <c r="T532" s="168">
        <f>IF(S532&lt;&gt;"",S532,IF(ISERROR(Personalplanung!AE12/Monatsplanung!$E12*Monatsplanung!$L12),0,Personalplanung!AE12/Monatsplanung!$E12*Monatsplanung!$L12))</f>
        <v>2.1666666666666665</v>
      </c>
      <c r="U532" s="740"/>
      <c r="V532" s="168">
        <f t="shared" si="169"/>
        <v>3</v>
      </c>
      <c r="W532" s="168">
        <f>IF(ISERROR(Personalplanung!P12/Monatsplanung!$E12*Monatsplanung!$L12),0,Personalplanung!P12/Monatsplanung!$E12*Monatsplanung!$L12)</f>
        <v>0</v>
      </c>
      <c r="X532" s="168">
        <f>IF(ISERROR(Personalplanung!Q12/Monatsplanung!$E12*Monatsplanung!$L12),0,Personalplanung!Q12/Monatsplanung!$E12*Monatsplanung!$L12)</f>
        <v>0</v>
      </c>
      <c r="Y532" s="168">
        <f>IF(ISERROR(Personalplanung!R12/T1260*Stundencontrolling!T532),0,Personalplanung!R12/T1260*Stundencontrolling!T532)</f>
        <v>0</v>
      </c>
      <c r="Z532" s="168">
        <f>IF(ISERROR(Personalplanung!S12/Monatsplanung!$E12*Monatsplanung!$L12),0,Personalplanung!S12/Monatsplanung!$E12*Monatsplanung!$L12)</f>
        <v>0</v>
      </c>
      <c r="AA532" s="80">
        <f t="shared" si="170"/>
        <v>149418.28254847645</v>
      </c>
      <c r="AB532" s="102">
        <f t="shared" si="171"/>
        <v>0.1</v>
      </c>
      <c r="AC532" s="103">
        <f t="shared" si="172"/>
        <v>14941.828254847645</v>
      </c>
      <c r="AD532" s="103">
        <f t="shared" si="173"/>
        <v>134476.45429362881</v>
      </c>
      <c r="AE532" s="81">
        <f t="shared" si="174"/>
        <v>15</v>
      </c>
      <c r="AF532" s="539"/>
      <c r="AG532" s="104">
        <f t="shared" si="175"/>
        <v>1</v>
      </c>
      <c r="AH532" s="7">
        <f t="shared" si="176"/>
        <v>0</v>
      </c>
      <c r="AI532" s="6">
        <f t="shared" si="177"/>
        <v>15</v>
      </c>
      <c r="AJ532" s="73">
        <f t="shared" si="178"/>
        <v>996.12188365650968</v>
      </c>
      <c r="AK532" s="539"/>
      <c r="AL532" s="748"/>
      <c r="AM532" s="748"/>
    </row>
    <row r="533" spans="2:39" x14ac:dyDescent="0.2">
      <c r="B533" s="101" t="str">
        <f t="shared" si="163"/>
        <v>Voller Geselle</v>
      </c>
      <c r="C533" s="168">
        <f>IF(ISERROR(Personalplanung!F13/Monatsplanung!$E13*Monatsplanung!$L13),0,Personalplanung!F13/Monatsplanung!$E13*Monatsplanung!$L13)</f>
        <v>174</v>
      </c>
      <c r="D533" s="168">
        <f t="shared" si="164"/>
        <v>8</v>
      </c>
      <c r="E533" s="168">
        <f>IF(ISERROR(Personalplanung!H13/Monatsplanung!$E13*Monatsplanung!$L13),0,Personalplanung!H13/Monatsplanung!$E13*Monatsplanung!$L13)</f>
        <v>0</v>
      </c>
      <c r="F533" s="168">
        <f t="shared" si="165"/>
        <v>174</v>
      </c>
      <c r="G533" s="168">
        <f t="shared" si="166"/>
        <v>27.700831024930746</v>
      </c>
      <c r="H533" s="168">
        <f t="shared" si="167"/>
        <v>4819.9445983379501</v>
      </c>
      <c r="I533" s="168">
        <f t="shared" si="168"/>
        <v>30</v>
      </c>
      <c r="J533" s="739"/>
      <c r="K533" s="168">
        <f>IF(J533&lt;&gt;"",J533,IF(ISERROR(Personalplanung!AB13/Monatsplanung!$E13*Monatsplanung!$L13),0,Personalplanung!AB13/Monatsplanung!$E13*Monatsplanung!$L13))</f>
        <v>0.66666666666666663</v>
      </c>
      <c r="L533" s="740"/>
      <c r="M533" s="739"/>
      <c r="N533" s="168">
        <f>IF(M533&lt;&gt;"",M533,IF(ISERROR(Personalplanung!AC13/Monatsplanung!$E13*Monatsplanung!$L13),0,Personalplanung!AC13/Monatsplanung!$E13*Monatsplanung!$L13))</f>
        <v>0.25</v>
      </c>
      <c r="O533" s="740"/>
      <c r="P533" s="739"/>
      <c r="Q533" s="168">
        <f>IF(P533&lt;&gt;"",P533,IF(ISERROR(Personalplanung!AD13/Monatsplanung!$E13*Monatsplanung!$L13),0,Personalplanung!AD13/Monatsplanung!$E13*Monatsplanung!$L13))</f>
        <v>0.16666666666666666</v>
      </c>
      <c r="R533" s="740"/>
      <c r="S533" s="739"/>
      <c r="T533" s="168">
        <f>IF(S533&lt;&gt;"",S533,IF(ISERROR(Personalplanung!AE13/Monatsplanung!$E13*Monatsplanung!$L13),0,Personalplanung!AE13/Monatsplanung!$E13*Monatsplanung!$L13))</f>
        <v>2.1666666666666665</v>
      </c>
      <c r="U533" s="740"/>
      <c r="V533" s="168">
        <f t="shared" si="169"/>
        <v>3.25</v>
      </c>
      <c r="W533" s="168">
        <f>IF(ISERROR(Personalplanung!P13/Monatsplanung!$E13*Monatsplanung!$L13),0,Personalplanung!P13/Monatsplanung!$E13*Monatsplanung!$L13)</f>
        <v>0</v>
      </c>
      <c r="X533" s="168">
        <f>IF(ISERROR(Personalplanung!Q13/Monatsplanung!$E13*Monatsplanung!$L13),0,Personalplanung!Q13/Monatsplanung!$E13*Monatsplanung!$L13)</f>
        <v>0</v>
      </c>
      <c r="Y533" s="168">
        <f>IF(ISERROR(Personalplanung!R13/T1261*Stundencontrolling!T533),0,Personalplanung!R13/T1261*Stundencontrolling!T533)</f>
        <v>0</v>
      </c>
      <c r="Z533" s="168">
        <f>IF(ISERROR(Personalplanung!S13/Monatsplanung!$E13*Monatsplanung!$L13),0,Personalplanung!S13/Monatsplanung!$E13*Monatsplanung!$L13)</f>
        <v>0</v>
      </c>
      <c r="AA533" s="80">
        <f t="shared" si="170"/>
        <v>149418.28254847645</v>
      </c>
      <c r="AB533" s="102">
        <f t="shared" si="171"/>
        <v>0.1</v>
      </c>
      <c r="AC533" s="103">
        <f t="shared" si="172"/>
        <v>14941.828254847645</v>
      </c>
      <c r="AD533" s="103">
        <f t="shared" si="173"/>
        <v>134476.45429362881</v>
      </c>
      <c r="AE533" s="81">
        <f t="shared" si="174"/>
        <v>14.8</v>
      </c>
      <c r="AF533" s="539"/>
      <c r="AG533" s="104">
        <f t="shared" si="175"/>
        <v>1</v>
      </c>
      <c r="AH533" s="7">
        <f t="shared" si="176"/>
        <v>0</v>
      </c>
      <c r="AI533" s="6">
        <f t="shared" si="177"/>
        <v>14.8</v>
      </c>
      <c r="AJ533" s="73">
        <f t="shared" si="178"/>
        <v>1009.5829901924084</v>
      </c>
      <c r="AK533" s="539"/>
      <c r="AL533" s="748"/>
      <c r="AM533" s="748"/>
    </row>
    <row r="534" spans="2:39" x14ac:dyDescent="0.2">
      <c r="B534" s="101" t="str">
        <f t="shared" si="163"/>
        <v>Thomas Fleißig</v>
      </c>
      <c r="C534" s="168">
        <f>IF(ISERROR(Personalplanung!F14/Monatsplanung!$E14*Monatsplanung!$L14),0,Personalplanung!F14/Monatsplanung!$E14*Monatsplanung!$L14)</f>
        <v>174</v>
      </c>
      <c r="D534" s="168">
        <f t="shared" si="164"/>
        <v>8</v>
      </c>
      <c r="E534" s="168">
        <f>IF(ISERROR(Personalplanung!H14/Monatsplanung!$E14*Monatsplanung!$L14),0,Personalplanung!H14/Monatsplanung!$E14*Monatsplanung!$L14)</f>
        <v>0</v>
      </c>
      <c r="F534" s="168">
        <f t="shared" si="165"/>
        <v>174</v>
      </c>
      <c r="G534" s="168">
        <f t="shared" si="166"/>
        <v>27.700831024930746</v>
      </c>
      <c r="H534" s="168">
        <f t="shared" si="167"/>
        <v>4819.9445983379501</v>
      </c>
      <c r="I534" s="168">
        <f t="shared" si="168"/>
        <v>30</v>
      </c>
      <c r="J534" s="739"/>
      <c r="K534" s="168">
        <f>IF(J534&lt;&gt;"",J534,IF(ISERROR(Personalplanung!AB14/Monatsplanung!$E14*Monatsplanung!$L14),0,Personalplanung!AB14/Monatsplanung!$E14*Monatsplanung!$L14))</f>
        <v>0.66666666666666663</v>
      </c>
      <c r="L534" s="740"/>
      <c r="M534" s="739"/>
      <c r="N534" s="168">
        <f>IF(M534&lt;&gt;"",M534,IF(ISERROR(Personalplanung!AC14/Monatsplanung!$E14*Monatsplanung!$L14),0,Personalplanung!AC14/Monatsplanung!$E14*Monatsplanung!$L14))</f>
        <v>0</v>
      </c>
      <c r="O534" s="740"/>
      <c r="P534" s="739"/>
      <c r="Q534" s="168">
        <f>IF(P534&lt;&gt;"",P534,IF(ISERROR(Personalplanung!AD14/Monatsplanung!$E14*Monatsplanung!$L14),0,Personalplanung!AD14/Monatsplanung!$E14*Monatsplanung!$L14))</f>
        <v>0.16666666666666666</v>
      </c>
      <c r="R534" s="740"/>
      <c r="S534" s="739"/>
      <c r="T534" s="168">
        <f>IF(S534&lt;&gt;"",S534,IF(ISERROR(Personalplanung!AE14/Monatsplanung!$E14*Monatsplanung!$L14),0,Personalplanung!AE14/Monatsplanung!$E14*Monatsplanung!$L14))</f>
        <v>2.1666666666666665</v>
      </c>
      <c r="U534" s="740"/>
      <c r="V534" s="168">
        <f t="shared" si="169"/>
        <v>3</v>
      </c>
      <c r="W534" s="168">
        <f>IF(ISERROR(Personalplanung!P14/Monatsplanung!$E14*Monatsplanung!$L14),0,Personalplanung!P14/Monatsplanung!$E14*Monatsplanung!$L14)</f>
        <v>0</v>
      </c>
      <c r="X534" s="168">
        <f>IF(ISERROR(Personalplanung!Q14/Monatsplanung!$E14*Monatsplanung!$L14),0,Personalplanung!Q14/Monatsplanung!$E14*Monatsplanung!$L14)</f>
        <v>166.66666666666666</v>
      </c>
      <c r="Y534" s="168">
        <f>IF(ISERROR(Personalplanung!R14/T1262*Stundencontrolling!T534),0,Personalplanung!R14/T1262*Stundencontrolling!T534)</f>
        <v>66.666666666666657</v>
      </c>
      <c r="Z534" s="168">
        <f>IF(ISERROR(Personalplanung!S14/Monatsplanung!$E14*Monatsplanung!$L14),0,Personalplanung!S14/Monatsplanung!$E14*Monatsplanung!$L14)</f>
        <v>50</v>
      </c>
      <c r="AA534" s="80">
        <f t="shared" si="170"/>
        <v>149701.61588180979</v>
      </c>
      <c r="AB534" s="102">
        <f t="shared" si="171"/>
        <v>0.1</v>
      </c>
      <c r="AC534" s="103">
        <f t="shared" si="172"/>
        <v>14970.161588180979</v>
      </c>
      <c r="AD534" s="103">
        <f t="shared" si="173"/>
        <v>134731.45429362881</v>
      </c>
      <c r="AE534" s="81">
        <f t="shared" si="174"/>
        <v>15</v>
      </c>
      <c r="AF534" s="539"/>
      <c r="AG534" s="104">
        <f t="shared" si="175"/>
        <v>1</v>
      </c>
      <c r="AH534" s="7">
        <f t="shared" si="176"/>
        <v>0</v>
      </c>
      <c r="AI534" s="6">
        <f t="shared" si="177"/>
        <v>15</v>
      </c>
      <c r="AJ534" s="73">
        <f t="shared" si="178"/>
        <v>998.01077254539859</v>
      </c>
      <c r="AK534" s="539"/>
      <c r="AL534" s="748"/>
      <c r="AM534" s="748"/>
    </row>
    <row r="535" spans="2:39" x14ac:dyDescent="0.2">
      <c r="B535" s="101" t="str">
        <f t="shared" si="163"/>
        <v>Facharbeiter</v>
      </c>
      <c r="C535" s="168">
        <f>IF(ISERROR(Personalplanung!F15/Monatsplanung!$E15*Monatsplanung!$L15),0,Personalplanung!F15/Monatsplanung!$E15*Monatsplanung!$L15)</f>
        <v>174</v>
      </c>
      <c r="D535" s="168">
        <f t="shared" si="164"/>
        <v>8</v>
      </c>
      <c r="E535" s="168">
        <f>IF(ISERROR(Personalplanung!H15/Monatsplanung!$E15*Monatsplanung!$L15),0,Personalplanung!H15/Monatsplanung!$E15*Monatsplanung!$L15)</f>
        <v>0</v>
      </c>
      <c r="F535" s="168">
        <f t="shared" si="165"/>
        <v>174</v>
      </c>
      <c r="G535" s="168">
        <f t="shared" si="166"/>
        <v>27.700831024930746</v>
      </c>
      <c r="H535" s="168">
        <f t="shared" si="167"/>
        <v>4819.9445983379501</v>
      </c>
      <c r="I535" s="168">
        <f t="shared" si="168"/>
        <v>30</v>
      </c>
      <c r="J535" s="739"/>
      <c r="K535" s="168">
        <f>IF(J535&lt;&gt;"",J535,IF(ISERROR(Personalplanung!AB15/Monatsplanung!$E15*Monatsplanung!$L15),0,Personalplanung!AB15/Monatsplanung!$E15*Monatsplanung!$L15))</f>
        <v>0.66666666666666663</v>
      </c>
      <c r="L535" s="740"/>
      <c r="M535" s="739"/>
      <c r="N535" s="168">
        <f>IF(M535&lt;&gt;"",M535,IF(ISERROR(Personalplanung!AC15/Monatsplanung!$E15*Monatsplanung!$L15),0,Personalplanung!AC15/Monatsplanung!$E15*Monatsplanung!$L15))</f>
        <v>0.16666666666666666</v>
      </c>
      <c r="O535" s="740"/>
      <c r="P535" s="739"/>
      <c r="Q535" s="168">
        <f>IF(P535&lt;&gt;"",P535,IF(ISERROR(Personalplanung!AD15/Monatsplanung!$E15*Monatsplanung!$L15),0,Personalplanung!AD15/Monatsplanung!$E15*Monatsplanung!$L15))</f>
        <v>0.41666666666666669</v>
      </c>
      <c r="R535" s="740"/>
      <c r="S535" s="739"/>
      <c r="T535" s="168">
        <f>IF(S535&lt;&gt;"",S535,IF(ISERROR(Personalplanung!AE15/Monatsplanung!$E15*Monatsplanung!$L15),0,Personalplanung!AE15/Monatsplanung!$E15*Monatsplanung!$L15))</f>
        <v>2.1666666666666665</v>
      </c>
      <c r="U535" s="740"/>
      <c r="V535" s="168">
        <f t="shared" si="169"/>
        <v>3.4166666666666665</v>
      </c>
      <c r="W535" s="168">
        <f>IF(ISERROR(Personalplanung!P15/Monatsplanung!$E15*Monatsplanung!$L15),0,Personalplanung!P15/Monatsplanung!$E15*Monatsplanung!$L15)</f>
        <v>0</v>
      </c>
      <c r="X535" s="168">
        <f>IF(ISERROR(Personalplanung!Q15/Monatsplanung!$E15*Monatsplanung!$L15),0,Personalplanung!Q15/Monatsplanung!$E15*Monatsplanung!$L15)</f>
        <v>0</v>
      </c>
      <c r="Y535" s="168">
        <f>IF(ISERROR(Personalplanung!R15/T1263*Stundencontrolling!T535),0,Personalplanung!R15/T1263*Stundencontrolling!T535)</f>
        <v>0</v>
      </c>
      <c r="Z535" s="168">
        <f>IF(ISERROR(Personalplanung!S15/Monatsplanung!$E15*Monatsplanung!$L15),0,Personalplanung!S15/Monatsplanung!$E15*Monatsplanung!$L15)</f>
        <v>0</v>
      </c>
      <c r="AA535" s="80">
        <f t="shared" si="170"/>
        <v>149418.28254847645</v>
      </c>
      <c r="AB535" s="102">
        <f t="shared" si="171"/>
        <v>0.1</v>
      </c>
      <c r="AC535" s="103">
        <f t="shared" si="172"/>
        <v>14941.828254847645</v>
      </c>
      <c r="AD535" s="103">
        <f t="shared" si="173"/>
        <v>134476.45429362881</v>
      </c>
      <c r="AE535" s="81">
        <f t="shared" si="174"/>
        <v>14.666666666666666</v>
      </c>
      <c r="AF535" s="539"/>
      <c r="AG535" s="104">
        <f t="shared" si="175"/>
        <v>1</v>
      </c>
      <c r="AH535" s="7">
        <f t="shared" si="176"/>
        <v>0</v>
      </c>
      <c r="AI535" s="6">
        <f t="shared" si="177"/>
        <v>14.666666666666666</v>
      </c>
      <c r="AJ535" s="73">
        <f t="shared" si="178"/>
        <v>1018.7610173759758</v>
      </c>
      <c r="AK535" s="539"/>
      <c r="AL535" s="748"/>
      <c r="AM535" s="748"/>
    </row>
    <row r="536" spans="2:39" x14ac:dyDescent="0.2">
      <c r="B536" s="101" t="str">
        <f t="shared" si="163"/>
        <v>Abgänger</v>
      </c>
      <c r="C536" s="168">
        <f>IF(ISERROR(Personalplanung!F16/Monatsplanung!$E16*Monatsplanung!$L16),0,Personalplanung!F16/Monatsplanung!$E16*Monatsplanung!$L16)</f>
        <v>0</v>
      </c>
      <c r="D536" s="168">
        <f t="shared" si="164"/>
        <v>8</v>
      </c>
      <c r="E536" s="168">
        <f>IF(ISERROR(Personalplanung!H16/Monatsplanung!$E16*Monatsplanung!$L16),0,Personalplanung!H16/Monatsplanung!$E16*Monatsplanung!$L16)</f>
        <v>0</v>
      </c>
      <c r="F536" s="168">
        <f t="shared" si="165"/>
        <v>0</v>
      </c>
      <c r="G536" s="168">
        <f t="shared" si="166"/>
        <v>27.700831024930746</v>
      </c>
      <c r="H536" s="168">
        <f t="shared" si="167"/>
        <v>0</v>
      </c>
      <c r="I536" s="168">
        <f t="shared" si="168"/>
        <v>30</v>
      </c>
      <c r="J536" s="739"/>
      <c r="K536" s="168">
        <f>IF(J536&lt;&gt;"",J536,IF(ISERROR(Personalplanung!AB16/Monatsplanung!$E16*Monatsplanung!$L16),0,Personalplanung!AB16/Monatsplanung!$E16*Monatsplanung!$L16))</f>
        <v>0</v>
      </c>
      <c r="L536" s="740"/>
      <c r="M536" s="739"/>
      <c r="N536" s="168">
        <f>IF(M536&lt;&gt;"",M536,IF(ISERROR(Personalplanung!AC16/Monatsplanung!$E16*Monatsplanung!$L16),0,Personalplanung!AC16/Monatsplanung!$E16*Monatsplanung!$L16))</f>
        <v>0</v>
      </c>
      <c r="O536" s="740"/>
      <c r="P536" s="739"/>
      <c r="Q536" s="168">
        <f>IF(P536&lt;&gt;"",P536,IF(ISERROR(Personalplanung!AD16/Monatsplanung!$E16*Monatsplanung!$L16),0,Personalplanung!AD16/Monatsplanung!$E16*Monatsplanung!$L16))</f>
        <v>0</v>
      </c>
      <c r="R536" s="740"/>
      <c r="S536" s="739"/>
      <c r="T536" s="168">
        <f>IF(S536&lt;&gt;"",S536,IF(ISERROR(Personalplanung!AE16/Monatsplanung!$E16*Monatsplanung!$L16),0,Personalplanung!AE16/Monatsplanung!$E16*Monatsplanung!$L16))</f>
        <v>0</v>
      </c>
      <c r="U536" s="740"/>
      <c r="V536" s="168">
        <f t="shared" si="169"/>
        <v>0</v>
      </c>
      <c r="W536" s="168">
        <f>IF(ISERROR(Personalplanung!P16/Monatsplanung!$E16*Monatsplanung!$L16),0,Personalplanung!P16/Monatsplanung!$E16*Monatsplanung!$L16)</f>
        <v>0</v>
      </c>
      <c r="X536" s="168">
        <f>IF(ISERROR(Personalplanung!Q16/Monatsplanung!$E16*Monatsplanung!$L16),0,Personalplanung!Q16/Monatsplanung!$E16*Monatsplanung!$L16)</f>
        <v>0</v>
      </c>
      <c r="Y536" s="168">
        <f>IF(ISERROR(Personalplanung!R16/T1264*Stundencontrolling!T536),0,Personalplanung!R16/T1264*Stundencontrolling!T536)</f>
        <v>0</v>
      </c>
      <c r="Z536" s="168">
        <f>IF(ISERROR(Personalplanung!S16/Monatsplanung!$E16*Monatsplanung!$L16),0,Personalplanung!S16/Monatsplanung!$E16*Monatsplanung!$L16)</f>
        <v>0</v>
      </c>
      <c r="AA536" s="80">
        <f t="shared" si="170"/>
        <v>0</v>
      </c>
      <c r="AB536" s="102">
        <f t="shared" si="171"/>
        <v>0.1</v>
      </c>
      <c r="AC536" s="103">
        <f t="shared" si="172"/>
        <v>0</v>
      </c>
      <c r="AD536" s="103">
        <f t="shared" si="173"/>
        <v>0</v>
      </c>
      <c r="AE536" s="81">
        <f t="shared" si="174"/>
        <v>0</v>
      </c>
      <c r="AF536" s="539"/>
      <c r="AG536" s="104">
        <f t="shared" si="175"/>
        <v>1</v>
      </c>
      <c r="AH536" s="7">
        <f t="shared" si="176"/>
        <v>0</v>
      </c>
      <c r="AI536" s="6">
        <f t="shared" si="177"/>
        <v>0</v>
      </c>
      <c r="AJ536" s="73">
        <f t="shared" si="178"/>
        <v>0</v>
      </c>
      <c r="AK536" s="539"/>
      <c r="AL536" s="748"/>
      <c r="AM536" s="748"/>
    </row>
    <row r="537" spans="2:39" x14ac:dyDescent="0.2">
      <c r="B537" s="101" t="str">
        <f t="shared" si="163"/>
        <v>Facharbeiter</v>
      </c>
      <c r="C537" s="168">
        <f>IF(ISERROR(Personalplanung!F17/Monatsplanung!$E17*Monatsplanung!$L17),0,Personalplanung!F17/Monatsplanung!$E17*Monatsplanung!$L17)</f>
        <v>174</v>
      </c>
      <c r="D537" s="168">
        <f t="shared" si="164"/>
        <v>8</v>
      </c>
      <c r="E537" s="168">
        <f>IF(ISERROR(Personalplanung!H17/Monatsplanung!$E17*Monatsplanung!$L17),0,Personalplanung!H17/Monatsplanung!$E17*Monatsplanung!$L17)</f>
        <v>0</v>
      </c>
      <c r="F537" s="168">
        <f t="shared" si="165"/>
        <v>174</v>
      </c>
      <c r="G537" s="168">
        <f t="shared" si="166"/>
        <v>27.700831024930746</v>
      </c>
      <c r="H537" s="168">
        <f t="shared" si="167"/>
        <v>4819.9445983379501</v>
      </c>
      <c r="I537" s="168">
        <f t="shared" si="168"/>
        <v>30</v>
      </c>
      <c r="J537" s="739"/>
      <c r="K537" s="168">
        <f>IF(J537&lt;&gt;"",J537,IF(ISERROR(Personalplanung!AB17/Monatsplanung!$E17*Monatsplanung!$L17),0,Personalplanung!AB17/Monatsplanung!$E17*Monatsplanung!$L17))</f>
        <v>0.66666666666666663</v>
      </c>
      <c r="L537" s="740"/>
      <c r="M537" s="739"/>
      <c r="N537" s="168">
        <f>IF(M537&lt;&gt;"",M537,IF(ISERROR(Personalplanung!AC17/Monatsplanung!$E17*Monatsplanung!$L17),0,Personalplanung!AC17/Monatsplanung!$E17*Monatsplanung!$L17))</f>
        <v>0</v>
      </c>
      <c r="O537" s="740"/>
      <c r="P537" s="739"/>
      <c r="Q537" s="168">
        <f>IF(P537&lt;&gt;"",P537,IF(ISERROR(Personalplanung!AD17/Monatsplanung!$E17*Monatsplanung!$L17),0,Personalplanung!AD17/Monatsplanung!$E17*Monatsplanung!$L17))</f>
        <v>0.16666666666666666</v>
      </c>
      <c r="R537" s="740"/>
      <c r="S537" s="739"/>
      <c r="T537" s="168">
        <f>IF(S537&lt;&gt;"",S537,IF(ISERROR(Personalplanung!AE17/Monatsplanung!$E17*Monatsplanung!$L17),0,Personalplanung!AE17/Monatsplanung!$E17*Monatsplanung!$L17))</f>
        <v>2.1666666666666665</v>
      </c>
      <c r="U537" s="740"/>
      <c r="V537" s="168">
        <f t="shared" si="169"/>
        <v>3</v>
      </c>
      <c r="W537" s="168">
        <f>IF(ISERROR(Personalplanung!P17/Monatsplanung!$E17*Monatsplanung!$L17),0,Personalplanung!P17/Monatsplanung!$E17*Monatsplanung!$L17)</f>
        <v>0</v>
      </c>
      <c r="X537" s="168">
        <f>IF(ISERROR(Personalplanung!Q17/Monatsplanung!$E17*Monatsplanung!$L17),0,Personalplanung!Q17/Monatsplanung!$E17*Monatsplanung!$L17)</f>
        <v>0</v>
      </c>
      <c r="Y537" s="168">
        <f>IF(ISERROR(Personalplanung!R17/T1265*Stundencontrolling!T537),0,Personalplanung!R17/T1265*Stundencontrolling!T537)</f>
        <v>0</v>
      </c>
      <c r="Z537" s="168">
        <f>IF(ISERROR(Personalplanung!S17/Monatsplanung!$E17*Monatsplanung!$L17),0,Personalplanung!S17/Monatsplanung!$E17*Monatsplanung!$L17)</f>
        <v>0</v>
      </c>
      <c r="AA537" s="80">
        <f t="shared" si="170"/>
        <v>149418.28254847645</v>
      </c>
      <c r="AB537" s="102">
        <f t="shared" si="171"/>
        <v>0.1</v>
      </c>
      <c r="AC537" s="103">
        <f t="shared" si="172"/>
        <v>14941.828254847645</v>
      </c>
      <c r="AD537" s="103">
        <f t="shared" si="173"/>
        <v>134476.45429362881</v>
      </c>
      <c r="AE537" s="81">
        <f t="shared" si="174"/>
        <v>15</v>
      </c>
      <c r="AF537" s="539"/>
      <c r="AG537" s="104">
        <f t="shared" si="175"/>
        <v>1</v>
      </c>
      <c r="AH537" s="7">
        <f t="shared" si="176"/>
        <v>0</v>
      </c>
      <c r="AI537" s="6">
        <f t="shared" si="177"/>
        <v>15</v>
      </c>
      <c r="AJ537" s="73">
        <f t="shared" si="178"/>
        <v>996.12188365650968</v>
      </c>
      <c r="AK537" s="539"/>
      <c r="AL537" s="748"/>
      <c r="AM537" s="748"/>
    </row>
    <row r="538" spans="2:39" x14ac:dyDescent="0.2">
      <c r="B538" s="101" t="str">
        <f t="shared" si="163"/>
        <v>Facharbeiter</v>
      </c>
      <c r="C538" s="168">
        <f>IF(ISERROR(Personalplanung!F18/Monatsplanung!$E18*Monatsplanung!$L18),0,Personalplanung!F18/Monatsplanung!$E18*Monatsplanung!$L18)</f>
        <v>174</v>
      </c>
      <c r="D538" s="168">
        <f t="shared" si="164"/>
        <v>8</v>
      </c>
      <c r="E538" s="168">
        <f>IF(ISERROR(Personalplanung!H18/Monatsplanung!$E18*Monatsplanung!$L18),0,Personalplanung!H18/Monatsplanung!$E18*Monatsplanung!$L18)</f>
        <v>0</v>
      </c>
      <c r="F538" s="168">
        <f t="shared" si="165"/>
        <v>174</v>
      </c>
      <c r="G538" s="168">
        <f t="shared" si="166"/>
        <v>27.700831024930746</v>
      </c>
      <c r="H538" s="168">
        <f t="shared" si="167"/>
        <v>4819.9445983379501</v>
      </c>
      <c r="I538" s="168">
        <f t="shared" si="168"/>
        <v>30</v>
      </c>
      <c r="J538" s="739"/>
      <c r="K538" s="168">
        <f>IF(J538&lt;&gt;"",J538,IF(ISERROR(Personalplanung!AB18/Monatsplanung!$E18*Monatsplanung!$L18),0,Personalplanung!AB18/Monatsplanung!$E18*Monatsplanung!$L18))</f>
        <v>0.66666666666666663</v>
      </c>
      <c r="L538" s="740"/>
      <c r="M538" s="739"/>
      <c r="N538" s="168">
        <f>IF(M538&lt;&gt;"",M538,IF(ISERROR(Personalplanung!AC18/Monatsplanung!$E18*Monatsplanung!$L18),0,Personalplanung!AC18/Monatsplanung!$E18*Monatsplanung!$L18))</f>
        <v>0.33333333333333331</v>
      </c>
      <c r="O538" s="740"/>
      <c r="P538" s="739"/>
      <c r="Q538" s="168">
        <f>IF(P538&lt;&gt;"",P538,IF(ISERROR(Personalplanung!AD18/Monatsplanung!$E18*Monatsplanung!$L18),0,Personalplanung!AD18/Monatsplanung!$E18*Monatsplanung!$L18))</f>
        <v>0.16666666666666666</v>
      </c>
      <c r="R538" s="740"/>
      <c r="S538" s="739"/>
      <c r="T538" s="168">
        <f>IF(S538&lt;&gt;"",S538,IF(ISERROR(Personalplanung!AE18/Monatsplanung!$E18*Monatsplanung!$L18),0,Personalplanung!AE18/Monatsplanung!$E18*Monatsplanung!$L18))</f>
        <v>2.1666666666666665</v>
      </c>
      <c r="U538" s="740"/>
      <c r="V538" s="168">
        <f t="shared" si="169"/>
        <v>3.333333333333333</v>
      </c>
      <c r="W538" s="168">
        <f>IF(ISERROR(Personalplanung!P18/Monatsplanung!$E18*Monatsplanung!$L18),0,Personalplanung!P18/Monatsplanung!$E18*Monatsplanung!$L18)</f>
        <v>0</v>
      </c>
      <c r="X538" s="168">
        <f>IF(ISERROR(Personalplanung!Q18/Monatsplanung!$E18*Monatsplanung!$L18),0,Personalplanung!Q18/Monatsplanung!$E18*Monatsplanung!$L18)</f>
        <v>0</v>
      </c>
      <c r="Y538" s="168">
        <f>IF(ISERROR(Personalplanung!R18/T1266*Stundencontrolling!T538),0,Personalplanung!R18/T1266*Stundencontrolling!T538)</f>
        <v>0</v>
      </c>
      <c r="Z538" s="168">
        <f>IF(ISERROR(Personalplanung!S18/Monatsplanung!$E18*Monatsplanung!$L18),0,Personalplanung!S18/Monatsplanung!$E18*Monatsplanung!$L18)</f>
        <v>0</v>
      </c>
      <c r="AA538" s="80">
        <f t="shared" si="170"/>
        <v>149418.28254847645</v>
      </c>
      <c r="AB538" s="102">
        <f t="shared" si="171"/>
        <v>0.1</v>
      </c>
      <c r="AC538" s="103">
        <f t="shared" si="172"/>
        <v>14941.828254847645</v>
      </c>
      <c r="AD538" s="103">
        <f t="shared" si="173"/>
        <v>134476.45429362881</v>
      </c>
      <c r="AE538" s="81">
        <f t="shared" si="174"/>
        <v>14.733333333333334</v>
      </c>
      <c r="AF538" s="539"/>
      <c r="AG538" s="104">
        <f t="shared" si="175"/>
        <v>1</v>
      </c>
      <c r="AH538" s="7">
        <f t="shared" si="176"/>
        <v>0</v>
      </c>
      <c r="AI538" s="6">
        <f t="shared" si="177"/>
        <v>14.733333333333334</v>
      </c>
      <c r="AJ538" s="73">
        <f t="shared" si="178"/>
        <v>1014.1512390168084</v>
      </c>
      <c r="AK538" s="539"/>
      <c r="AL538" s="748"/>
      <c r="AM538" s="748"/>
    </row>
    <row r="539" spans="2:39" x14ac:dyDescent="0.2">
      <c r="B539" s="101" t="str">
        <f t="shared" si="163"/>
        <v>Elternzeit Geselle</v>
      </c>
      <c r="C539" s="168">
        <f>IF(ISERROR(Personalplanung!F19/Monatsplanung!$E19*Monatsplanung!$L19),0,Personalplanung!F19/Monatsplanung!$E19*Monatsplanung!$L19)</f>
        <v>130.5</v>
      </c>
      <c r="D539" s="168">
        <f t="shared" si="164"/>
        <v>6</v>
      </c>
      <c r="E539" s="168">
        <f>IF(ISERROR(Personalplanung!H19/Monatsplanung!$E19*Monatsplanung!$L19),0,Personalplanung!H19/Monatsplanung!$E19*Monatsplanung!$L19)</f>
        <v>0</v>
      </c>
      <c r="F539" s="168">
        <f t="shared" si="165"/>
        <v>130.5</v>
      </c>
      <c r="G539" s="168">
        <f t="shared" si="166"/>
        <v>27.700831024930746</v>
      </c>
      <c r="H539" s="168">
        <f t="shared" si="167"/>
        <v>3614.9584487534626</v>
      </c>
      <c r="I539" s="168">
        <f t="shared" si="168"/>
        <v>30</v>
      </c>
      <c r="J539" s="739"/>
      <c r="K539" s="168">
        <f>IF(J539&lt;&gt;"",J539,IF(ISERROR(Personalplanung!AB19/Monatsplanung!$E19*Monatsplanung!$L19),0,Personalplanung!AB19/Monatsplanung!$E19*Monatsplanung!$L19))</f>
        <v>1</v>
      </c>
      <c r="L539" s="740"/>
      <c r="M539" s="739"/>
      <c r="N539" s="168">
        <f>IF(M539&lt;&gt;"",M539,IF(ISERROR(Personalplanung!AC19/Monatsplanung!$E19*Monatsplanung!$L19),0,Personalplanung!AC19/Monatsplanung!$E19*Monatsplanung!$L19))</f>
        <v>0</v>
      </c>
      <c r="O539" s="740"/>
      <c r="P539" s="739"/>
      <c r="Q539" s="168">
        <f>IF(P539&lt;&gt;"",P539,IF(ISERROR(Personalplanung!AD19/Monatsplanung!$E19*Monatsplanung!$L19),0,Personalplanung!AD19/Monatsplanung!$E19*Monatsplanung!$L19))</f>
        <v>0.25</v>
      </c>
      <c r="R539" s="740"/>
      <c r="S539" s="739"/>
      <c r="T539" s="168">
        <f>IF(S539&lt;&gt;"",S539,IF(ISERROR(Personalplanung!AE19/Monatsplanung!$E19*Monatsplanung!$L19),0,Personalplanung!AE19/Monatsplanung!$E19*Monatsplanung!$L19))</f>
        <v>3.25</v>
      </c>
      <c r="U539" s="740"/>
      <c r="V539" s="168">
        <f t="shared" si="169"/>
        <v>4.5</v>
      </c>
      <c r="W539" s="168">
        <f>IF(ISERROR(Personalplanung!P19/Monatsplanung!$E19*Monatsplanung!$L19),0,Personalplanung!P19/Monatsplanung!$E19*Monatsplanung!$L19)</f>
        <v>0</v>
      </c>
      <c r="X539" s="168">
        <f>IF(ISERROR(Personalplanung!Q19/Monatsplanung!$E19*Monatsplanung!$L19),0,Personalplanung!Q19/Monatsplanung!$E19*Monatsplanung!$L19)</f>
        <v>0</v>
      </c>
      <c r="Y539" s="168">
        <f>IF(ISERROR(Personalplanung!R19/T1267*Stundencontrolling!T539),0,Personalplanung!R19/T1267*Stundencontrolling!T539)</f>
        <v>0</v>
      </c>
      <c r="Z539" s="168">
        <f>IF(ISERROR(Personalplanung!S19/Monatsplanung!$E19*Monatsplanung!$L19),0,Personalplanung!S19/Monatsplanung!$E19*Monatsplanung!$L19)</f>
        <v>0</v>
      </c>
      <c r="AA539" s="80">
        <f t="shared" si="170"/>
        <v>112063.71191135734</v>
      </c>
      <c r="AB539" s="102">
        <f t="shared" si="171"/>
        <v>0.1</v>
      </c>
      <c r="AC539" s="103">
        <f t="shared" si="172"/>
        <v>11206.371191135735</v>
      </c>
      <c r="AD539" s="103">
        <f t="shared" si="173"/>
        <v>100857.3407202216</v>
      </c>
      <c r="AE539" s="81">
        <f t="shared" si="174"/>
        <v>10.350000000000001</v>
      </c>
      <c r="AF539" s="539"/>
      <c r="AG539" s="104">
        <f t="shared" si="175"/>
        <v>1</v>
      </c>
      <c r="AH539" s="7">
        <f t="shared" si="176"/>
        <v>0</v>
      </c>
      <c r="AI539" s="6">
        <f t="shared" si="177"/>
        <v>10.350000000000001</v>
      </c>
      <c r="AJ539" s="73">
        <f t="shared" si="178"/>
        <v>1082.7411778875105</v>
      </c>
      <c r="AK539" s="539"/>
      <c r="AL539" s="748"/>
      <c r="AM539" s="748"/>
    </row>
    <row r="540" spans="2:39" x14ac:dyDescent="0.2">
      <c r="B540" s="101" t="str">
        <f t="shared" si="163"/>
        <v>A. Zubi</v>
      </c>
      <c r="C540" s="168">
        <f>IF(ISERROR(Personalplanung!F20/Monatsplanung!$E20*Monatsplanung!$L20),0,Personalplanung!F20/Monatsplanung!$E20*Monatsplanung!$L20)</f>
        <v>174</v>
      </c>
      <c r="D540" s="168">
        <f t="shared" si="164"/>
        <v>8</v>
      </c>
      <c r="E540" s="168">
        <f>IF(ISERROR(Personalplanung!H20/Monatsplanung!$E20*Monatsplanung!$L20),0,Personalplanung!H20/Monatsplanung!$E20*Monatsplanung!$L20)</f>
        <v>0</v>
      </c>
      <c r="F540" s="168">
        <f t="shared" si="165"/>
        <v>174</v>
      </c>
      <c r="G540" s="168">
        <f t="shared" si="166"/>
        <v>27.700831024930746</v>
      </c>
      <c r="H540" s="168">
        <f t="shared" si="167"/>
        <v>4819.9445983379501</v>
      </c>
      <c r="I540" s="168">
        <f t="shared" si="168"/>
        <v>30</v>
      </c>
      <c r="J540" s="739"/>
      <c r="K540" s="168">
        <f>IF(J540&lt;&gt;"",J540,IF(ISERROR(Personalplanung!AB20/Monatsplanung!$E20*Monatsplanung!$L20),0,Personalplanung!AB20/Monatsplanung!$E20*Monatsplanung!$L20))</f>
        <v>0.66666666666666663</v>
      </c>
      <c r="L540" s="740"/>
      <c r="M540" s="739"/>
      <c r="N540" s="168">
        <f>IF(M540&lt;&gt;"",M540,IF(ISERROR(Personalplanung!AC20/Monatsplanung!$E20*Monatsplanung!$L20),0,Personalplanung!AC20/Monatsplanung!$E20*Monatsplanung!$L20))</f>
        <v>0.25</v>
      </c>
      <c r="O540" s="740"/>
      <c r="P540" s="739"/>
      <c r="Q540" s="168">
        <f>IF(P540&lt;&gt;"",P540,IF(ISERROR(Personalplanung!AD20/Monatsplanung!$E20*Monatsplanung!$L20),0,Personalplanung!AD20/Monatsplanung!$E20*Monatsplanung!$L20))</f>
        <v>0.16666666666666666</v>
      </c>
      <c r="R540" s="740"/>
      <c r="S540" s="739"/>
      <c r="T540" s="168">
        <f>IF(S540&lt;&gt;"",S540,IF(ISERROR(Personalplanung!AE20/Monatsplanung!$E20*Monatsplanung!$L20),0,Personalplanung!AE20/Monatsplanung!$E20*Monatsplanung!$L20))</f>
        <v>2.1666666666666665</v>
      </c>
      <c r="U540" s="740"/>
      <c r="V540" s="168">
        <f t="shared" si="169"/>
        <v>3.25</v>
      </c>
      <c r="W540" s="168">
        <f>IF(ISERROR(Personalplanung!P20/Monatsplanung!$E20*Monatsplanung!$L20),0,Personalplanung!P20/Monatsplanung!$E20*Monatsplanung!$L20)</f>
        <v>0</v>
      </c>
      <c r="X540" s="168">
        <f>IF(ISERROR(Personalplanung!Q20/Monatsplanung!$E20*Monatsplanung!$L20),0,Personalplanung!Q20/Monatsplanung!$E20*Monatsplanung!$L20)</f>
        <v>0</v>
      </c>
      <c r="Y540" s="168">
        <f>IF(ISERROR(Personalplanung!R20/T1268*Stundencontrolling!T540),0,Personalplanung!R20/T1268*Stundencontrolling!T540)</f>
        <v>0</v>
      </c>
      <c r="Z540" s="168">
        <f>IF(ISERROR(Personalplanung!S20/Monatsplanung!$E20*Monatsplanung!$L20),0,Personalplanung!S20/Monatsplanung!$E20*Monatsplanung!$L20)</f>
        <v>0</v>
      </c>
      <c r="AA540" s="80">
        <f t="shared" si="170"/>
        <v>149418.28254847645</v>
      </c>
      <c r="AB540" s="102">
        <f t="shared" si="171"/>
        <v>0.1</v>
      </c>
      <c r="AC540" s="103">
        <f t="shared" si="172"/>
        <v>14941.828254847645</v>
      </c>
      <c r="AD540" s="103">
        <f t="shared" si="173"/>
        <v>134476.45429362881</v>
      </c>
      <c r="AE540" s="81">
        <f t="shared" si="174"/>
        <v>14.8</v>
      </c>
      <c r="AF540" s="539"/>
      <c r="AG540" s="104">
        <f t="shared" si="175"/>
        <v>1</v>
      </c>
      <c r="AH540" s="7">
        <f t="shared" si="176"/>
        <v>0</v>
      </c>
      <c r="AI540" s="6">
        <f t="shared" si="177"/>
        <v>14.8</v>
      </c>
      <c r="AJ540" s="73">
        <f t="shared" si="178"/>
        <v>1009.5829901924084</v>
      </c>
      <c r="AK540" s="539"/>
      <c r="AL540" s="748"/>
      <c r="AM540" s="748"/>
    </row>
    <row r="541" spans="2:39" x14ac:dyDescent="0.2">
      <c r="B541" s="101" t="str">
        <f t="shared" si="163"/>
        <v>Zur Ausbildung</v>
      </c>
      <c r="C541" s="168">
        <f>IF(ISERROR(Personalplanung!F21/Monatsplanung!$E21*Monatsplanung!$L21),0,Personalplanung!F21/Monatsplanung!$E21*Monatsplanung!$L21)</f>
        <v>0</v>
      </c>
      <c r="D541" s="168">
        <f t="shared" si="164"/>
        <v>8</v>
      </c>
      <c r="E541" s="168">
        <f>IF(ISERROR(Personalplanung!H21/Monatsplanung!$E21*Monatsplanung!$L21),0,Personalplanung!H21/Monatsplanung!$E21*Monatsplanung!$L21)</f>
        <v>0</v>
      </c>
      <c r="F541" s="168">
        <f t="shared" si="165"/>
        <v>0</v>
      </c>
      <c r="G541" s="168">
        <f t="shared" si="166"/>
        <v>27.700831024930746</v>
      </c>
      <c r="H541" s="168">
        <f t="shared" si="167"/>
        <v>0</v>
      </c>
      <c r="I541" s="168">
        <f t="shared" si="168"/>
        <v>30</v>
      </c>
      <c r="J541" s="739"/>
      <c r="K541" s="168">
        <f>IF(J541&lt;&gt;"",J541,IF(ISERROR(Personalplanung!AB21/Monatsplanung!$E21*Monatsplanung!$L21),0,Personalplanung!AB21/Monatsplanung!$E21*Monatsplanung!$L21))</f>
        <v>0</v>
      </c>
      <c r="L541" s="740"/>
      <c r="M541" s="739"/>
      <c r="N541" s="168">
        <f>IF(M541&lt;&gt;"",M541,IF(ISERROR(Personalplanung!AC21/Monatsplanung!$E21*Monatsplanung!$L21),0,Personalplanung!AC21/Monatsplanung!$E21*Monatsplanung!$L21))</f>
        <v>0</v>
      </c>
      <c r="O541" s="740"/>
      <c r="P541" s="739"/>
      <c r="Q541" s="168">
        <f>IF(P541&lt;&gt;"",P541,IF(ISERROR(Personalplanung!AD21/Monatsplanung!$E21*Monatsplanung!$L21),0,Personalplanung!AD21/Monatsplanung!$E21*Monatsplanung!$L21))</f>
        <v>0</v>
      </c>
      <c r="R541" s="740"/>
      <c r="S541" s="739"/>
      <c r="T541" s="168">
        <f>IF(S541&lt;&gt;"",S541,IF(ISERROR(Personalplanung!AE21/Monatsplanung!$E21*Monatsplanung!$L21),0,Personalplanung!AE21/Monatsplanung!$E21*Monatsplanung!$L21))</f>
        <v>0</v>
      </c>
      <c r="U541" s="740"/>
      <c r="V541" s="168">
        <f t="shared" si="169"/>
        <v>0</v>
      </c>
      <c r="W541" s="168">
        <f>IF(ISERROR(Personalplanung!P21/Monatsplanung!$E21*Monatsplanung!$L21),0,Personalplanung!P21/Monatsplanung!$E21*Monatsplanung!$L21)</f>
        <v>0</v>
      </c>
      <c r="X541" s="168">
        <f>IF(ISERROR(Personalplanung!Q21/Monatsplanung!$E21*Monatsplanung!$L21),0,Personalplanung!Q21/Monatsplanung!$E21*Monatsplanung!$L21)</f>
        <v>0</v>
      </c>
      <c r="Y541" s="168">
        <f>IF(ISERROR(Personalplanung!R21/T1269*Stundencontrolling!T541),0,Personalplanung!R21/T1269*Stundencontrolling!T541)</f>
        <v>0</v>
      </c>
      <c r="Z541" s="168">
        <f>IF(ISERROR(Personalplanung!S21/Monatsplanung!$E21*Monatsplanung!$L21),0,Personalplanung!S21/Monatsplanung!$E21*Monatsplanung!$L21)</f>
        <v>0</v>
      </c>
      <c r="AA541" s="80">
        <f t="shared" si="170"/>
        <v>0</v>
      </c>
      <c r="AB541" s="102">
        <f t="shared" si="171"/>
        <v>0.1</v>
      </c>
      <c r="AC541" s="103">
        <f t="shared" si="172"/>
        <v>0</v>
      </c>
      <c r="AD541" s="103">
        <f t="shared" si="173"/>
        <v>0</v>
      </c>
      <c r="AE541" s="81">
        <f t="shared" si="174"/>
        <v>0</v>
      </c>
      <c r="AF541" s="539"/>
      <c r="AG541" s="104">
        <f t="shared" si="175"/>
        <v>1</v>
      </c>
      <c r="AH541" s="7">
        <f t="shared" si="176"/>
        <v>0</v>
      </c>
      <c r="AI541" s="6">
        <f t="shared" si="177"/>
        <v>0</v>
      </c>
      <c r="AJ541" s="73">
        <f t="shared" si="178"/>
        <v>0</v>
      </c>
      <c r="AK541" s="539"/>
      <c r="AL541" s="748"/>
      <c r="AM541" s="748"/>
    </row>
    <row r="542" spans="2:39" x14ac:dyDescent="0.2">
      <c r="B542" s="101" t="str">
        <f t="shared" si="163"/>
        <v>Reine Putze</v>
      </c>
      <c r="C542" s="168">
        <f>IF(ISERROR(Personalplanung!F22/Monatsplanung!$E22*Monatsplanung!$L22),0,Personalplanung!F22/Monatsplanung!$E22*Monatsplanung!$L22)</f>
        <v>52.199999999999996</v>
      </c>
      <c r="D542" s="168">
        <f t="shared" si="164"/>
        <v>2.4</v>
      </c>
      <c r="E542" s="168">
        <f>IF(ISERROR(Personalplanung!H22/Monatsplanung!$E22*Monatsplanung!$L22),0,Personalplanung!H22/Monatsplanung!$E22*Monatsplanung!$L22)</f>
        <v>0</v>
      </c>
      <c r="F542" s="168">
        <f t="shared" si="165"/>
        <v>52.199999999999996</v>
      </c>
      <c r="G542" s="168">
        <f t="shared" si="166"/>
        <v>27.700831024930746</v>
      </c>
      <c r="H542" s="168">
        <f t="shared" si="167"/>
        <v>1445.9833795013849</v>
      </c>
      <c r="I542" s="168">
        <f t="shared" si="168"/>
        <v>30</v>
      </c>
      <c r="J542" s="739"/>
      <c r="K542" s="168">
        <f>IF(J542&lt;&gt;"",J542,IF(ISERROR(Personalplanung!AB22/Monatsplanung!$E22*Monatsplanung!$L22),0,Personalplanung!AB22/Monatsplanung!$E22*Monatsplanung!$L22))</f>
        <v>0.25</v>
      </c>
      <c r="L542" s="740"/>
      <c r="M542" s="739"/>
      <c r="N542" s="168">
        <f>IF(M542&lt;&gt;"",M542,IF(ISERROR(Personalplanung!AC22/Monatsplanung!$E22*Monatsplanung!$L22),0,Personalplanung!AC22/Monatsplanung!$E22*Monatsplanung!$L22))</f>
        <v>0</v>
      </c>
      <c r="O542" s="740"/>
      <c r="P542" s="739"/>
      <c r="Q542" s="168">
        <f>IF(P542&lt;&gt;"",P542,IF(ISERROR(Personalplanung!AD22/Monatsplanung!$E22*Monatsplanung!$L22),0,Personalplanung!AD22/Monatsplanung!$E22*Monatsplanung!$L22))</f>
        <v>0</v>
      </c>
      <c r="R542" s="740"/>
      <c r="S542" s="739"/>
      <c r="T542" s="168">
        <f>IF(S542&lt;&gt;"",S542,IF(ISERROR(Personalplanung!AE22/Monatsplanung!$E22*Monatsplanung!$L22),0,Personalplanung!AE22/Monatsplanung!$E22*Monatsplanung!$L22))</f>
        <v>2.1666666666666665</v>
      </c>
      <c r="U542" s="740"/>
      <c r="V542" s="168">
        <f t="shared" si="169"/>
        <v>2.4166666666666665</v>
      </c>
      <c r="W542" s="168">
        <f>IF(ISERROR(Personalplanung!P22/Monatsplanung!$E22*Monatsplanung!$L22),0,Personalplanung!P22/Monatsplanung!$E22*Monatsplanung!$L22)</f>
        <v>0</v>
      </c>
      <c r="X542" s="168">
        <f>IF(ISERROR(Personalplanung!Q22/Monatsplanung!$E22*Monatsplanung!$L22),0,Personalplanung!Q22/Monatsplanung!$E22*Monatsplanung!$L22)</f>
        <v>0</v>
      </c>
      <c r="Y542" s="168">
        <f>IF(ISERROR(Personalplanung!R22/T1270*Stundencontrolling!T542),0,Personalplanung!R22/T1270*Stundencontrolling!T542)</f>
        <v>0</v>
      </c>
      <c r="Z542" s="168">
        <f>IF(ISERROR(Personalplanung!S22/Monatsplanung!$E22*Monatsplanung!$L22),0,Personalplanung!S22/Monatsplanung!$E22*Monatsplanung!$L22)</f>
        <v>0</v>
      </c>
      <c r="AA542" s="80">
        <f t="shared" si="170"/>
        <v>44825.484764542933</v>
      </c>
      <c r="AB542" s="102">
        <f t="shared" si="171"/>
        <v>0.1</v>
      </c>
      <c r="AC542" s="103">
        <f t="shared" si="172"/>
        <v>4482.5484764542934</v>
      </c>
      <c r="AD542" s="103">
        <f t="shared" si="173"/>
        <v>40342.93628808864</v>
      </c>
      <c r="AE542" s="81">
        <f t="shared" si="174"/>
        <v>4.6399999999999997</v>
      </c>
      <c r="AF542" s="539"/>
      <c r="AG542" s="104">
        <f t="shared" si="175"/>
        <v>1</v>
      </c>
      <c r="AH542" s="7">
        <f t="shared" si="176"/>
        <v>0</v>
      </c>
      <c r="AI542" s="6">
        <f t="shared" si="177"/>
        <v>4.6399999999999997</v>
      </c>
      <c r="AJ542" s="73">
        <f t="shared" si="178"/>
        <v>966.06648199445988</v>
      </c>
      <c r="AK542" s="539"/>
      <c r="AL542" s="748"/>
      <c r="AM542" s="748"/>
    </row>
    <row r="543" spans="2:39" x14ac:dyDescent="0.2">
      <c r="B543" s="101" t="str">
        <f t="shared" si="163"/>
        <v/>
      </c>
      <c r="C543" s="168">
        <f>IF(ISERROR(Personalplanung!F23/Monatsplanung!$E23*Monatsplanung!$L23),0,Personalplanung!F23/Monatsplanung!$E23*Monatsplanung!$L23)</f>
        <v>0</v>
      </c>
      <c r="D543" s="168">
        <f t="shared" si="164"/>
        <v>0</v>
      </c>
      <c r="E543" s="168">
        <f>IF(ISERROR(Personalplanung!H23/Monatsplanung!$E23*Monatsplanung!$L23),0,Personalplanung!H23/Monatsplanung!$E23*Monatsplanung!$L23)</f>
        <v>0</v>
      </c>
      <c r="F543" s="168">
        <f t="shared" si="165"/>
        <v>0</v>
      </c>
      <c r="G543" s="168">
        <f t="shared" si="166"/>
        <v>27.700831024930746</v>
      </c>
      <c r="H543" s="168">
        <f t="shared" si="167"/>
        <v>0</v>
      </c>
      <c r="I543" s="168">
        <f t="shared" si="168"/>
        <v>30</v>
      </c>
      <c r="J543" s="739"/>
      <c r="K543" s="168">
        <f>IF(J543&lt;&gt;"",J543,IF(ISERROR(Personalplanung!AB23/Monatsplanung!$E23*Monatsplanung!$L23),0,Personalplanung!AB23/Monatsplanung!$E23*Monatsplanung!$L23))</f>
        <v>0</v>
      </c>
      <c r="L543" s="740"/>
      <c r="M543" s="739"/>
      <c r="N543" s="168">
        <f>IF(M543&lt;&gt;"",M543,IF(ISERROR(Personalplanung!AC23/Monatsplanung!$E23*Monatsplanung!$L23),0,Personalplanung!AC23/Monatsplanung!$E23*Monatsplanung!$L23))</f>
        <v>0</v>
      </c>
      <c r="O543" s="740"/>
      <c r="P543" s="739"/>
      <c r="Q543" s="168">
        <f>IF(P543&lt;&gt;"",P543,IF(ISERROR(Personalplanung!AD23/Monatsplanung!$E23*Monatsplanung!$L23),0,Personalplanung!AD23/Monatsplanung!$E23*Monatsplanung!$L23))</f>
        <v>0</v>
      </c>
      <c r="R543" s="740"/>
      <c r="S543" s="739"/>
      <c r="T543" s="168">
        <f>IF(S543&lt;&gt;"",S543,IF(ISERROR(Personalplanung!AE23/Monatsplanung!$E23*Monatsplanung!$L23),0,Personalplanung!AE23/Monatsplanung!$E23*Monatsplanung!$L23))</f>
        <v>0</v>
      </c>
      <c r="U543" s="740"/>
      <c r="V543" s="168">
        <f t="shared" si="169"/>
        <v>0</v>
      </c>
      <c r="W543" s="168">
        <f>IF(ISERROR(Personalplanung!P23/Monatsplanung!$E23*Monatsplanung!$L23),0,Personalplanung!P23/Monatsplanung!$E23*Monatsplanung!$L23)</f>
        <v>0</v>
      </c>
      <c r="X543" s="168">
        <f>IF(ISERROR(Personalplanung!Q23/Monatsplanung!$E23*Monatsplanung!$L23),0,Personalplanung!Q23/Monatsplanung!$E23*Monatsplanung!$L23)</f>
        <v>0</v>
      </c>
      <c r="Y543" s="168">
        <f>IF(ISERROR(Personalplanung!R23/T1271*Stundencontrolling!T543),0,Personalplanung!R23/T1271*Stundencontrolling!T543)</f>
        <v>0</v>
      </c>
      <c r="Z543" s="168">
        <f>IF(ISERROR(Personalplanung!S23/Monatsplanung!$E23*Monatsplanung!$L23),0,Personalplanung!S23/Monatsplanung!$E23*Monatsplanung!$L23)</f>
        <v>0</v>
      </c>
      <c r="AA543" s="80">
        <f t="shared" si="170"/>
        <v>0</v>
      </c>
      <c r="AB543" s="102">
        <f t="shared" si="171"/>
        <v>0.1</v>
      </c>
      <c r="AC543" s="103">
        <f t="shared" si="172"/>
        <v>0</v>
      </c>
      <c r="AD543" s="103">
        <f t="shared" si="173"/>
        <v>0</v>
      </c>
      <c r="AE543" s="81">
        <f t="shared" si="174"/>
        <v>0</v>
      </c>
      <c r="AF543" s="539"/>
      <c r="AG543" s="104">
        <f t="shared" si="175"/>
        <v>1</v>
      </c>
      <c r="AH543" s="7">
        <f t="shared" si="176"/>
        <v>0</v>
      </c>
      <c r="AI543" s="6">
        <f t="shared" si="177"/>
        <v>0</v>
      </c>
      <c r="AJ543" s="73">
        <f t="shared" si="178"/>
        <v>0</v>
      </c>
      <c r="AK543" s="539"/>
      <c r="AL543" s="748"/>
      <c r="AM543" s="748"/>
    </row>
    <row r="544" spans="2:39" x14ac:dyDescent="0.2">
      <c r="B544" s="101" t="str">
        <f t="shared" si="163"/>
        <v/>
      </c>
      <c r="C544" s="168">
        <f>IF(ISERROR(Personalplanung!F24/Monatsplanung!$E24*Monatsplanung!$L24),0,Personalplanung!F24/Monatsplanung!$E24*Monatsplanung!$L24)</f>
        <v>0</v>
      </c>
      <c r="D544" s="168">
        <f t="shared" si="164"/>
        <v>0</v>
      </c>
      <c r="E544" s="168">
        <f>IF(ISERROR(Personalplanung!H24/Monatsplanung!$E24*Monatsplanung!$L24),0,Personalplanung!H24/Monatsplanung!$E24*Monatsplanung!$L24)</f>
        <v>0</v>
      </c>
      <c r="F544" s="168">
        <f t="shared" si="165"/>
        <v>0</v>
      </c>
      <c r="G544" s="168">
        <f t="shared" si="166"/>
        <v>27.700831024930746</v>
      </c>
      <c r="H544" s="168">
        <f t="shared" si="167"/>
        <v>0</v>
      </c>
      <c r="I544" s="168">
        <f t="shared" si="168"/>
        <v>30</v>
      </c>
      <c r="J544" s="739"/>
      <c r="K544" s="168">
        <f>IF(J544&lt;&gt;"",J544,IF(ISERROR(Personalplanung!AB24/Monatsplanung!$E24*Monatsplanung!$L24),0,Personalplanung!AB24/Monatsplanung!$E24*Monatsplanung!$L24))</f>
        <v>0</v>
      </c>
      <c r="L544" s="740"/>
      <c r="M544" s="739"/>
      <c r="N544" s="168">
        <f>IF(M544&lt;&gt;"",M544,IF(ISERROR(Personalplanung!AC24/Monatsplanung!$E24*Monatsplanung!$L24),0,Personalplanung!AC24/Monatsplanung!$E24*Monatsplanung!$L24))</f>
        <v>0</v>
      </c>
      <c r="O544" s="740"/>
      <c r="P544" s="739"/>
      <c r="Q544" s="168">
        <f>IF(P544&lt;&gt;"",P544,IF(ISERROR(Personalplanung!AD24/Monatsplanung!$E24*Monatsplanung!$L24),0,Personalplanung!AD24/Monatsplanung!$E24*Monatsplanung!$L24))</f>
        <v>0</v>
      </c>
      <c r="R544" s="740"/>
      <c r="S544" s="739"/>
      <c r="T544" s="168">
        <f>IF(S544&lt;&gt;"",S544,IF(ISERROR(Personalplanung!AE24/Monatsplanung!$E24*Monatsplanung!$L24),0,Personalplanung!AE24/Monatsplanung!$E24*Monatsplanung!$L24))</f>
        <v>0</v>
      </c>
      <c r="U544" s="740"/>
      <c r="V544" s="168">
        <f t="shared" si="169"/>
        <v>0</v>
      </c>
      <c r="W544" s="168">
        <f>IF(ISERROR(Personalplanung!P24/Monatsplanung!$E24*Monatsplanung!$L24),0,Personalplanung!P24/Monatsplanung!$E24*Monatsplanung!$L24)</f>
        <v>0</v>
      </c>
      <c r="X544" s="168">
        <f>IF(ISERROR(Personalplanung!Q24/Monatsplanung!$E24*Monatsplanung!$L24),0,Personalplanung!Q24/Monatsplanung!$E24*Monatsplanung!$L24)</f>
        <v>0</v>
      </c>
      <c r="Y544" s="168">
        <f>IF(ISERROR(Personalplanung!R24/T1272*Stundencontrolling!T544),0,Personalplanung!R24/T1272*Stundencontrolling!T544)</f>
        <v>0</v>
      </c>
      <c r="Z544" s="168">
        <f>IF(ISERROR(Personalplanung!S24/Monatsplanung!$E24*Monatsplanung!$L24),0,Personalplanung!S24/Monatsplanung!$E24*Monatsplanung!$L24)</f>
        <v>0</v>
      </c>
      <c r="AA544" s="80">
        <f t="shared" si="170"/>
        <v>0</v>
      </c>
      <c r="AB544" s="102">
        <f t="shared" si="171"/>
        <v>0.1</v>
      </c>
      <c r="AC544" s="103">
        <f t="shared" si="172"/>
        <v>0</v>
      </c>
      <c r="AD544" s="103">
        <f t="shared" si="173"/>
        <v>0</v>
      </c>
      <c r="AE544" s="81">
        <f t="shared" si="174"/>
        <v>0</v>
      </c>
      <c r="AF544" s="539"/>
      <c r="AG544" s="104">
        <f t="shared" si="175"/>
        <v>1</v>
      </c>
      <c r="AH544" s="7">
        <f t="shared" si="176"/>
        <v>0</v>
      </c>
      <c r="AI544" s="6">
        <f t="shared" si="177"/>
        <v>0</v>
      </c>
      <c r="AJ544" s="73">
        <f t="shared" si="178"/>
        <v>0</v>
      </c>
      <c r="AK544" s="539"/>
      <c r="AL544" s="748"/>
      <c r="AM544" s="748"/>
    </row>
    <row r="545" spans="2:39" x14ac:dyDescent="0.2">
      <c r="B545" s="101" t="str">
        <f t="shared" si="163"/>
        <v/>
      </c>
      <c r="C545" s="168">
        <f>IF(ISERROR(Personalplanung!F25/Monatsplanung!$E25*Monatsplanung!$L25),0,Personalplanung!F25/Monatsplanung!$E25*Monatsplanung!$L25)</f>
        <v>0</v>
      </c>
      <c r="D545" s="168">
        <f t="shared" si="164"/>
        <v>0</v>
      </c>
      <c r="E545" s="168">
        <f>IF(ISERROR(Personalplanung!H25/Monatsplanung!$E25*Monatsplanung!$L25),0,Personalplanung!H25/Monatsplanung!$E25*Monatsplanung!$L25)</f>
        <v>0</v>
      </c>
      <c r="F545" s="168">
        <f t="shared" si="165"/>
        <v>0</v>
      </c>
      <c r="G545" s="168">
        <f t="shared" si="166"/>
        <v>27.700831024930746</v>
      </c>
      <c r="H545" s="168">
        <f t="shared" si="167"/>
        <v>0</v>
      </c>
      <c r="I545" s="168">
        <f t="shared" si="168"/>
        <v>30</v>
      </c>
      <c r="J545" s="739"/>
      <c r="K545" s="168">
        <f>IF(J545&lt;&gt;"",J545,IF(ISERROR(Personalplanung!AB25/Monatsplanung!$E25*Monatsplanung!$L25),0,Personalplanung!AB25/Monatsplanung!$E25*Monatsplanung!$L25))</f>
        <v>0</v>
      </c>
      <c r="L545" s="740"/>
      <c r="M545" s="739"/>
      <c r="N545" s="168">
        <f>IF(M545&lt;&gt;"",M545,IF(ISERROR(Personalplanung!AC25/Monatsplanung!$E25*Monatsplanung!$L25),0,Personalplanung!AC25/Monatsplanung!$E25*Monatsplanung!$L25))</f>
        <v>0</v>
      </c>
      <c r="O545" s="740"/>
      <c r="P545" s="739"/>
      <c r="Q545" s="168">
        <f>IF(P545&lt;&gt;"",P545,IF(ISERROR(Personalplanung!AD25/Monatsplanung!$E25*Monatsplanung!$L25),0,Personalplanung!AD25/Monatsplanung!$E25*Monatsplanung!$L25))</f>
        <v>0</v>
      </c>
      <c r="R545" s="740"/>
      <c r="S545" s="739"/>
      <c r="T545" s="168">
        <f>IF(S545&lt;&gt;"",S545,IF(ISERROR(Personalplanung!AE25/Monatsplanung!$E25*Monatsplanung!$L25),0,Personalplanung!AE25/Monatsplanung!$E25*Monatsplanung!$L25))</f>
        <v>0</v>
      </c>
      <c r="U545" s="740"/>
      <c r="V545" s="168">
        <f t="shared" si="169"/>
        <v>0</v>
      </c>
      <c r="W545" s="168">
        <f>IF(ISERROR(Personalplanung!P25/Monatsplanung!$E25*Monatsplanung!$L25),0,Personalplanung!P25/Monatsplanung!$E25*Monatsplanung!$L25)</f>
        <v>0</v>
      </c>
      <c r="X545" s="168">
        <f>IF(ISERROR(Personalplanung!Q25/Monatsplanung!$E25*Monatsplanung!$L25),0,Personalplanung!Q25/Monatsplanung!$E25*Monatsplanung!$L25)</f>
        <v>0</v>
      </c>
      <c r="Y545" s="168">
        <f>IF(ISERROR(Personalplanung!R25/T1273*Stundencontrolling!T545),0,Personalplanung!R25/T1273*Stundencontrolling!T545)</f>
        <v>0</v>
      </c>
      <c r="Z545" s="168">
        <f>IF(ISERROR(Personalplanung!S25/Monatsplanung!$E25*Monatsplanung!$L25),0,Personalplanung!S25/Monatsplanung!$E25*Monatsplanung!$L25)</f>
        <v>0</v>
      </c>
      <c r="AA545" s="80">
        <f t="shared" si="170"/>
        <v>0</v>
      </c>
      <c r="AB545" s="102">
        <f t="shared" si="171"/>
        <v>0.1</v>
      </c>
      <c r="AC545" s="103">
        <f t="shared" si="172"/>
        <v>0</v>
      </c>
      <c r="AD545" s="103">
        <f t="shared" si="173"/>
        <v>0</v>
      </c>
      <c r="AE545" s="81">
        <f t="shared" si="174"/>
        <v>0</v>
      </c>
      <c r="AF545" s="539"/>
      <c r="AG545" s="104">
        <f t="shared" si="175"/>
        <v>1</v>
      </c>
      <c r="AH545" s="7">
        <f t="shared" si="176"/>
        <v>0</v>
      </c>
      <c r="AI545" s="6">
        <f t="shared" si="177"/>
        <v>0</v>
      </c>
      <c r="AJ545" s="73">
        <f t="shared" si="178"/>
        <v>0</v>
      </c>
      <c r="AK545" s="539"/>
      <c r="AL545" s="748"/>
      <c r="AM545" s="748"/>
    </row>
    <row r="546" spans="2:39" x14ac:dyDescent="0.2">
      <c r="B546" s="101" t="str">
        <f t="shared" si="163"/>
        <v/>
      </c>
      <c r="C546" s="168">
        <f>IF(ISERROR(Personalplanung!F26/Monatsplanung!$E26*Monatsplanung!$L26),0,Personalplanung!F26/Monatsplanung!$E26*Monatsplanung!$L26)</f>
        <v>0</v>
      </c>
      <c r="D546" s="168">
        <f t="shared" si="164"/>
        <v>0</v>
      </c>
      <c r="E546" s="168">
        <f>IF(ISERROR(Personalplanung!H26/Monatsplanung!$E26*Monatsplanung!$L26),0,Personalplanung!H26/Monatsplanung!$E26*Monatsplanung!$L26)</f>
        <v>0</v>
      </c>
      <c r="F546" s="168">
        <f t="shared" si="165"/>
        <v>0</v>
      </c>
      <c r="G546" s="168">
        <f t="shared" si="166"/>
        <v>27.700831024930746</v>
      </c>
      <c r="H546" s="168">
        <f t="shared" si="167"/>
        <v>0</v>
      </c>
      <c r="I546" s="168">
        <f t="shared" si="168"/>
        <v>30</v>
      </c>
      <c r="J546" s="739"/>
      <c r="K546" s="168">
        <f>IF(J546&lt;&gt;"",J546,IF(ISERROR(Personalplanung!AB26/Monatsplanung!$E26*Monatsplanung!$L26),0,Personalplanung!AB26/Monatsplanung!$E26*Monatsplanung!$L26))</f>
        <v>0</v>
      </c>
      <c r="L546" s="740"/>
      <c r="M546" s="739"/>
      <c r="N546" s="168">
        <f>IF(M546&lt;&gt;"",M546,IF(ISERROR(Personalplanung!AC26/Monatsplanung!$E26*Monatsplanung!$L26),0,Personalplanung!AC26/Monatsplanung!$E26*Monatsplanung!$L26))</f>
        <v>0</v>
      </c>
      <c r="O546" s="740"/>
      <c r="P546" s="739"/>
      <c r="Q546" s="168">
        <f>IF(P546&lt;&gt;"",P546,IF(ISERROR(Personalplanung!AD26/Monatsplanung!$E26*Monatsplanung!$L26),0,Personalplanung!AD26/Monatsplanung!$E26*Monatsplanung!$L26))</f>
        <v>0</v>
      </c>
      <c r="R546" s="740"/>
      <c r="S546" s="739"/>
      <c r="T546" s="168">
        <f>IF(S546&lt;&gt;"",S546,IF(ISERROR(Personalplanung!AE26/Monatsplanung!$E26*Monatsplanung!$L26),0,Personalplanung!AE26/Monatsplanung!$E26*Monatsplanung!$L26))</f>
        <v>0</v>
      </c>
      <c r="U546" s="740"/>
      <c r="V546" s="168">
        <f t="shared" si="169"/>
        <v>0</v>
      </c>
      <c r="W546" s="168">
        <f>IF(ISERROR(Personalplanung!P26/Monatsplanung!$E26*Monatsplanung!$L26),0,Personalplanung!P26/Monatsplanung!$E26*Monatsplanung!$L26)</f>
        <v>0</v>
      </c>
      <c r="X546" s="168">
        <f>IF(ISERROR(Personalplanung!Q26/Monatsplanung!$E26*Monatsplanung!$L26),0,Personalplanung!Q26/Monatsplanung!$E26*Monatsplanung!$L26)</f>
        <v>0</v>
      </c>
      <c r="Y546" s="168">
        <f>IF(ISERROR(Personalplanung!R26/T1274*Stundencontrolling!T546),0,Personalplanung!R26/T1274*Stundencontrolling!T546)</f>
        <v>0</v>
      </c>
      <c r="Z546" s="168">
        <f>IF(ISERROR(Personalplanung!S26/Monatsplanung!$E26*Monatsplanung!$L26),0,Personalplanung!S26/Monatsplanung!$E26*Monatsplanung!$L26)</f>
        <v>0</v>
      </c>
      <c r="AA546" s="80">
        <f t="shared" si="170"/>
        <v>0</v>
      </c>
      <c r="AB546" s="102">
        <f t="shared" si="171"/>
        <v>0.1</v>
      </c>
      <c r="AC546" s="103">
        <f t="shared" si="172"/>
        <v>0</v>
      </c>
      <c r="AD546" s="103">
        <f t="shared" si="173"/>
        <v>0</v>
      </c>
      <c r="AE546" s="81">
        <f t="shared" si="174"/>
        <v>0</v>
      </c>
      <c r="AF546" s="539"/>
      <c r="AG546" s="104">
        <f t="shared" si="175"/>
        <v>1</v>
      </c>
      <c r="AH546" s="7">
        <f t="shared" si="176"/>
        <v>0</v>
      </c>
      <c r="AI546" s="6">
        <f t="shared" si="177"/>
        <v>0</v>
      </c>
      <c r="AJ546" s="73">
        <f t="shared" si="178"/>
        <v>0</v>
      </c>
      <c r="AK546" s="539"/>
      <c r="AL546" s="748"/>
      <c r="AM546" s="748"/>
    </row>
    <row r="547" spans="2:39" x14ac:dyDescent="0.2">
      <c r="B547" s="101" t="str">
        <f t="shared" si="163"/>
        <v/>
      </c>
      <c r="C547" s="168">
        <f>IF(ISERROR(Personalplanung!F27/Monatsplanung!$E27*Monatsplanung!$L27),0,Personalplanung!F27/Monatsplanung!$E27*Monatsplanung!$L27)</f>
        <v>0</v>
      </c>
      <c r="D547" s="168">
        <f t="shared" si="164"/>
        <v>0</v>
      </c>
      <c r="E547" s="168">
        <f>IF(ISERROR(Personalplanung!H27/Monatsplanung!$E27*Monatsplanung!$L27),0,Personalplanung!H27/Monatsplanung!$E27*Monatsplanung!$L27)</f>
        <v>0</v>
      </c>
      <c r="F547" s="168">
        <f t="shared" si="165"/>
        <v>0</v>
      </c>
      <c r="G547" s="168">
        <f t="shared" si="166"/>
        <v>27.700831024930746</v>
      </c>
      <c r="H547" s="168">
        <f t="shared" si="167"/>
        <v>0</v>
      </c>
      <c r="I547" s="168">
        <f t="shared" si="168"/>
        <v>30</v>
      </c>
      <c r="J547" s="739"/>
      <c r="K547" s="168">
        <f>IF(J547&lt;&gt;"",J547,IF(ISERROR(Personalplanung!AB27/Monatsplanung!$E27*Monatsplanung!$L27),0,Personalplanung!AB27/Monatsplanung!$E27*Monatsplanung!$L27))</f>
        <v>0</v>
      </c>
      <c r="L547" s="740"/>
      <c r="M547" s="739"/>
      <c r="N547" s="168">
        <f>IF(M547&lt;&gt;"",M547,IF(ISERROR(Personalplanung!AC27/Monatsplanung!$E27*Monatsplanung!$L27),0,Personalplanung!AC27/Monatsplanung!$E27*Monatsplanung!$L27))</f>
        <v>0</v>
      </c>
      <c r="O547" s="740"/>
      <c r="P547" s="739"/>
      <c r="Q547" s="168">
        <f>IF(P547&lt;&gt;"",P547,IF(ISERROR(Personalplanung!AD27/Monatsplanung!$E27*Monatsplanung!$L27),0,Personalplanung!AD27/Monatsplanung!$E27*Monatsplanung!$L27))</f>
        <v>0</v>
      </c>
      <c r="R547" s="740"/>
      <c r="S547" s="739"/>
      <c r="T547" s="168">
        <f>IF(S547&lt;&gt;"",S547,IF(ISERROR(Personalplanung!AE27/Monatsplanung!$E27*Monatsplanung!$L27),0,Personalplanung!AE27/Monatsplanung!$E27*Monatsplanung!$L27))</f>
        <v>0</v>
      </c>
      <c r="U547" s="740"/>
      <c r="V547" s="168">
        <f t="shared" si="169"/>
        <v>0</v>
      </c>
      <c r="W547" s="168">
        <f>IF(ISERROR(Personalplanung!P27/Monatsplanung!$E27*Monatsplanung!$L27),0,Personalplanung!P27/Monatsplanung!$E27*Monatsplanung!$L27)</f>
        <v>0</v>
      </c>
      <c r="X547" s="168">
        <f>IF(ISERROR(Personalplanung!Q27/Monatsplanung!$E27*Monatsplanung!$L27),0,Personalplanung!Q27/Monatsplanung!$E27*Monatsplanung!$L27)</f>
        <v>0</v>
      </c>
      <c r="Y547" s="168">
        <f>IF(ISERROR(Personalplanung!R27/T1275*Stundencontrolling!T547),0,Personalplanung!R27/T1275*Stundencontrolling!T547)</f>
        <v>0</v>
      </c>
      <c r="Z547" s="168">
        <f>IF(ISERROR(Personalplanung!S27/Monatsplanung!$E27*Monatsplanung!$L27),0,Personalplanung!S27/Monatsplanung!$E27*Monatsplanung!$L27)</f>
        <v>0</v>
      </c>
      <c r="AA547" s="80">
        <f t="shared" si="170"/>
        <v>0</v>
      </c>
      <c r="AB547" s="102">
        <f t="shared" si="171"/>
        <v>0.1</v>
      </c>
      <c r="AC547" s="103">
        <f t="shared" si="172"/>
        <v>0</v>
      </c>
      <c r="AD547" s="103">
        <f t="shared" si="173"/>
        <v>0</v>
      </c>
      <c r="AE547" s="81">
        <f t="shared" si="174"/>
        <v>0</v>
      </c>
      <c r="AF547" s="539"/>
      <c r="AG547" s="104">
        <f t="shared" si="175"/>
        <v>1</v>
      </c>
      <c r="AH547" s="7">
        <f t="shared" si="176"/>
        <v>0</v>
      </c>
      <c r="AI547" s="6">
        <f t="shared" si="177"/>
        <v>0</v>
      </c>
      <c r="AJ547" s="73">
        <f t="shared" si="178"/>
        <v>0</v>
      </c>
      <c r="AK547" s="539"/>
      <c r="AL547" s="748"/>
      <c r="AM547" s="748"/>
    </row>
    <row r="548" spans="2:39" x14ac:dyDescent="0.2">
      <c r="B548" s="101" t="str">
        <f t="shared" si="163"/>
        <v/>
      </c>
      <c r="C548" s="168">
        <f>IF(ISERROR(Personalplanung!F28/Monatsplanung!$E28*Monatsplanung!$L28),0,Personalplanung!F28/Monatsplanung!$E28*Monatsplanung!$L28)</f>
        <v>0</v>
      </c>
      <c r="D548" s="168">
        <f t="shared" si="164"/>
        <v>0</v>
      </c>
      <c r="E548" s="168">
        <f>IF(ISERROR(Personalplanung!H28/Monatsplanung!$E28*Monatsplanung!$L28),0,Personalplanung!H28/Monatsplanung!$E28*Monatsplanung!$L28)</f>
        <v>0</v>
      </c>
      <c r="F548" s="168">
        <f t="shared" si="165"/>
        <v>0</v>
      </c>
      <c r="G548" s="168">
        <f t="shared" si="166"/>
        <v>27.700831024930746</v>
      </c>
      <c r="H548" s="168">
        <f t="shared" si="167"/>
        <v>0</v>
      </c>
      <c r="I548" s="168">
        <f t="shared" si="168"/>
        <v>30</v>
      </c>
      <c r="J548" s="739"/>
      <c r="K548" s="168">
        <f>IF(J548&lt;&gt;"",J548,IF(ISERROR(Personalplanung!AB28/Monatsplanung!$E28*Monatsplanung!$L28),0,Personalplanung!AB28/Monatsplanung!$E28*Monatsplanung!$L28))</f>
        <v>0</v>
      </c>
      <c r="L548" s="740"/>
      <c r="M548" s="739"/>
      <c r="N548" s="168">
        <f>IF(M548&lt;&gt;"",M548,IF(ISERROR(Personalplanung!AC28/Monatsplanung!$E28*Monatsplanung!$L28),0,Personalplanung!AC28/Monatsplanung!$E28*Monatsplanung!$L28))</f>
        <v>0</v>
      </c>
      <c r="O548" s="740"/>
      <c r="P548" s="739"/>
      <c r="Q548" s="168">
        <f>IF(P548&lt;&gt;"",P548,IF(ISERROR(Personalplanung!AD28/Monatsplanung!$E28*Monatsplanung!$L28),0,Personalplanung!AD28/Monatsplanung!$E28*Monatsplanung!$L28))</f>
        <v>0</v>
      </c>
      <c r="R548" s="740"/>
      <c r="S548" s="739"/>
      <c r="T548" s="168">
        <f>IF(S548&lt;&gt;"",S548,IF(ISERROR(Personalplanung!AE28/Monatsplanung!$E28*Monatsplanung!$L28),0,Personalplanung!AE28/Monatsplanung!$E28*Monatsplanung!$L28))</f>
        <v>0</v>
      </c>
      <c r="U548" s="740"/>
      <c r="V548" s="168">
        <f t="shared" si="169"/>
        <v>0</v>
      </c>
      <c r="W548" s="168">
        <f>IF(ISERROR(Personalplanung!P28/Monatsplanung!$E28*Monatsplanung!$L28),0,Personalplanung!P28/Monatsplanung!$E28*Monatsplanung!$L28)</f>
        <v>0</v>
      </c>
      <c r="X548" s="168">
        <f>IF(ISERROR(Personalplanung!Q28/Monatsplanung!$E28*Monatsplanung!$L28),0,Personalplanung!Q28/Monatsplanung!$E28*Monatsplanung!$L28)</f>
        <v>0</v>
      </c>
      <c r="Y548" s="168">
        <f>IF(ISERROR(Personalplanung!R28/T1276*Stundencontrolling!T548),0,Personalplanung!R28/T1276*Stundencontrolling!T548)</f>
        <v>0</v>
      </c>
      <c r="Z548" s="168">
        <f>IF(ISERROR(Personalplanung!S28/Monatsplanung!$E28*Monatsplanung!$L28),0,Personalplanung!S28/Monatsplanung!$E28*Monatsplanung!$L28)</f>
        <v>0</v>
      </c>
      <c r="AA548" s="80">
        <f t="shared" si="170"/>
        <v>0</v>
      </c>
      <c r="AB548" s="102">
        <f t="shared" si="171"/>
        <v>0.1</v>
      </c>
      <c r="AC548" s="103">
        <f t="shared" si="172"/>
        <v>0</v>
      </c>
      <c r="AD548" s="103">
        <f t="shared" si="173"/>
        <v>0</v>
      </c>
      <c r="AE548" s="81">
        <f t="shared" si="174"/>
        <v>0</v>
      </c>
      <c r="AF548" s="539"/>
      <c r="AG548" s="104">
        <f t="shared" si="175"/>
        <v>1</v>
      </c>
      <c r="AH548" s="7">
        <f t="shared" si="176"/>
        <v>0</v>
      </c>
      <c r="AI548" s="6">
        <f t="shared" si="177"/>
        <v>0</v>
      </c>
      <c r="AJ548" s="73">
        <f t="shared" si="178"/>
        <v>0</v>
      </c>
      <c r="AK548" s="539"/>
      <c r="AL548" s="748"/>
      <c r="AM548" s="748"/>
    </row>
    <row r="549" spans="2:39" x14ac:dyDescent="0.2">
      <c r="B549" s="101" t="str">
        <f t="shared" si="163"/>
        <v/>
      </c>
      <c r="C549" s="168">
        <f>IF(ISERROR(Personalplanung!F29/Monatsplanung!$E29*Monatsplanung!$L29),0,Personalplanung!F29/Monatsplanung!$E29*Monatsplanung!$L29)</f>
        <v>0</v>
      </c>
      <c r="D549" s="168">
        <f t="shared" si="164"/>
        <v>0</v>
      </c>
      <c r="E549" s="168">
        <f>IF(ISERROR(Personalplanung!H29/Monatsplanung!$E29*Monatsplanung!$L29),0,Personalplanung!H29/Monatsplanung!$E29*Monatsplanung!$L29)</f>
        <v>0</v>
      </c>
      <c r="F549" s="168">
        <f t="shared" si="165"/>
        <v>0</v>
      </c>
      <c r="G549" s="168">
        <f t="shared" si="166"/>
        <v>27.700831024930746</v>
      </c>
      <c r="H549" s="168">
        <f t="shared" si="167"/>
        <v>0</v>
      </c>
      <c r="I549" s="168">
        <f t="shared" si="168"/>
        <v>30</v>
      </c>
      <c r="J549" s="739"/>
      <c r="K549" s="168">
        <f>IF(J549&lt;&gt;"",J549,IF(ISERROR(Personalplanung!AB29/Monatsplanung!$E29*Monatsplanung!$L29),0,Personalplanung!AB29/Monatsplanung!$E29*Monatsplanung!$L29))</f>
        <v>0</v>
      </c>
      <c r="L549" s="740"/>
      <c r="M549" s="739"/>
      <c r="N549" s="168">
        <f>IF(M549&lt;&gt;"",M549,IF(ISERROR(Personalplanung!AC29/Monatsplanung!$E29*Monatsplanung!$L29),0,Personalplanung!AC29/Monatsplanung!$E29*Monatsplanung!$L29))</f>
        <v>0</v>
      </c>
      <c r="O549" s="740"/>
      <c r="P549" s="739"/>
      <c r="Q549" s="168">
        <f>IF(P549&lt;&gt;"",P549,IF(ISERROR(Personalplanung!AD29/Monatsplanung!$E29*Monatsplanung!$L29),0,Personalplanung!AD29/Monatsplanung!$E29*Monatsplanung!$L29))</f>
        <v>0</v>
      </c>
      <c r="R549" s="740"/>
      <c r="S549" s="739"/>
      <c r="T549" s="168">
        <f>IF(S549&lt;&gt;"",S549,IF(ISERROR(Personalplanung!AE29/Monatsplanung!$E29*Monatsplanung!$L29),0,Personalplanung!AE29/Monatsplanung!$E29*Monatsplanung!$L29))</f>
        <v>0</v>
      </c>
      <c r="U549" s="740"/>
      <c r="V549" s="168">
        <f t="shared" si="169"/>
        <v>0</v>
      </c>
      <c r="W549" s="168">
        <f>IF(ISERROR(Personalplanung!P29/Monatsplanung!$E29*Monatsplanung!$L29),0,Personalplanung!P29/Monatsplanung!$E29*Monatsplanung!$L29)</f>
        <v>0</v>
      </c>
      <c r="X549" s="168">
        <f>IF(ISERROR(Personalplanung!Q29/Monatsplanung!$E29*Monatsplanung!$L29),0,Personalplanung!Q29/Monatsplanung!$E29*Monatsplanung!$L29)</f>
        <v>0</v>
      </c>
      <c r="Y549" s="168">
        <f>IF(ISERROR(Personalplanung!R29/T1277*Stundencontrolling!T549),0,Personalplanung!R29/T1277*Stundencontrolling!T549)</f>
        <v>0</v>
      </c>
      <c r="Z549" s="168">
        <f>IF(ISERROR(Personalplanung!S29/Monatsplanung!$E29*Monatsplanung!$L29),0,Personalplanung!S29/Monatsplanung!$E29*Monatsplanung!$L29)</f>
        <v>0</v>
      </c>
      <c r="AA549" s="80">
        <f t="shared" si="170"/>
        <v>0</v>
      </c>
      <c r="AB549" s="102">
        <f t="shared" si="171"/>
        <v>0.1</v>
      </c>
      <c r="AC549" s="103">
        <f t="shared" si="172"/>
        <v>0</v>
      </c>
      <c r="AD549" s="103">
        <f t="shared" si="173"/>
        <v>0</v>
      </c>
      <c r="AE549" s="81">
        <f t="shared" si="174"/>
        <v>0</v>
      </c>
      <c r="AF549" s="539"/>
      <c r="AG549" s="104">
        <f t="shared" si="175"/>
        <v>1</v>
      </c>
      <c r="AH549" s="7">
        <f t="shared" si="176"/>
        <v>0</v>
      </c>
      <c r="AI549" s="6">
        <f t="shared" si="177"/>
        <v>0</v>
      </c>
      <c r="AJ549" s="73">
        <f t="shared" si="178"/>
        <v>0</v>
      </c>
      <c r="AK549" s="539"/>
      <c r="AL549" s="748"/>
      <c r="AM549" s="748"/>
    </row>
    <row r="550" spans="2:39" x14ac:dyDescent="0.2">
      <c r="B550" s="101" t="str">
        <f t="shared" si="163"/>
        <v/>
      </c>
      <c r="C550" s="168">
        <f>IF(ISERROR(Personalplanung!F30/Monatsplanung!$E30*Monatsplanung!$L30),0,Personalplanung!F30/Monatsplanung!$E30*Monatsplanung!$L30)</f>
        <v>0</v>
      </c>
      <c r="D550" s="168">
        <f t="shared" si="164"/>
        <v>0</v>
      </c>
      <c r="E550" s="168">
        <f>IF(ISERROR(Personalplanung!H30/Monatsplanung!$E30*Monatsplanung!$L30),0,Personalplanung!H30/Monatsplanung!$E30*Monatsplanung!$L30)</f>
        <v>0</v>
      </c>
      <c r="F550" s="168">
        <f t="shared" si="165"/>
        <v>0</v>
      </c>
      <c r="G550" s="168">
        <f t="shared" si="166"/>
        <v>27.700831024930746</v>
      </c>
      <c r="H550" s="168">
        <f t="shared" si="167"/>
        <v>0</v>
      </c>
      <c r="I550" s="168">
        <f t="shared" si="168"/>
        <v>30</v>
      </c>
      <c r="J550" s="739"/>
      <c r="K550" s="168">
        <f>IF(J550&lt;&gt;"",J550,IF(ISERROR(Personalplanung!AB30/Monatsplanung!$E30*Monatsplanung!$L30),0,Personalplanung!AB30/Monatsplanung!$E30*Monatsplanung!$L30))</f>
        <v>0</v>
      </c>
      <c r="L550" s="740"/>
      <c r="M550" s="739"/>
      <c r="N550" s="168">
        <f>IF(M550&lt;&gt;"",M550,IF(ISERROR(Personalplanung!AC30/Monatsplanung!$E30*Monatsplanung!$L30),0,Personalplanung!AC30/Monatsplanung!$E30*Monatsplanung!$L30))</f>
        <v>0</v>
      </c>
      <c r="O550" s="740"/>
      <c r="P550" s="739"/>
      <c r="Q550" s="168">
        <f>IF(P550&lt;&gt;"",P550,IF(ISERROR(Personalplanung!AD30/Monatsplanung!$E30*Monatsplanung!$L30),0,Personalplanung!AD30/Monatsplanung!$E30*Monatsplanung!$L30))</f>
        <v>0</v>
      </c>
      <c r="R550" s="740"/>
      <c r="S550" s="739"/>
      <c r="T550" s="168">
        <f>IF(S550&lt;&gt;"",S550,IF(ISERROR(Personalplanung!AE30/Monatsplanung!$E30*Monatsplanung!$L30),0,Personalplanung!AE30/Monatsplanung!$E30*Monatsplanung!$L30))</f>
        <v>0</v>
      </c>
      <c r="U550" s="740"/>
      <c r="V550" s="168">
        <f t="shared" si="169"/>
        <v>0</v>
      </c>
      <c r="W550" s="168">
        <f>IF(ISERROR(Personalplanung!P30/Monatsplanung!$E30*Monatsplanung!$L30),0,Personalplanung!P30/Monatsplanung!$E30*Monatsplanung!$L30)</f>
        <v>0</v>
      </c>
      <c r="X550" s="168">
        <f>IF(ISERROR(Personalplanung!Q30/Monatsplanung!$E30*Monatsplanung!$L30),0,Personalplanung!Q30/Monatsplanung!$E30*Monatsplanung!$L30)</f>
        <v>0</v>
      </c>
      <c r="Y550" s="168">
        <f>IF(ISERROR(Personalplanung!R30/T1278*Stundencontrolling!T550),0,Personalplanung!R30/T1278*Stundencontrolling!T550)</f>
        <v>0</v>
      </c>
      <c r="Z550" s="168">
        <f>IF(ISERROR(Personalplanung!S30/Monatsplanung!$E30*Monatsplanung!$L30),0,Personalplanung!S30/Monatsplanung!$E30*Monatsplanung!$L30)</f>
        <v>0</v>
      </c>
      <c r="AA550" s="80">
        <f t="shared" si="170"/>
        <v>0</v>
      </c>
      <c r="AB550" s="102">
        <f t="shared" si="171"/>
        <v>0.1</v>
      </c>
      <c r="AC550" s="103">
        <f t="shared" si="172"/>
        <v>0</v>
      </c>
      <c r="AD550" s="103">
        <f t="shared" si="173"/>
        <v>0</v>
      </c>
      <c r="AE550" s="81">
        <f t="shared" si="174"/>
        <v>0</v>
      </c>
      <c r="AF550" s="539"/>
      <c r="AG550" s="104">
        <f t="shared" si="175"/>
        <v>1</v>
      </c>
      <c r="AH550" s="7">
        <f t="shared" si="176"/>
        <v>0</v>
      </c>
      <c r="AI550" s="6">
        <f t="shared" si="177"/>
        <v>0</v>
      </c>
      <c r="AJ550" s="73">
        <f t="shared" si="178"/>
        <v>0</v>
      </c>
      <c r="AK550" s="539"/>
      <c r="AL550" s="748"/>
      <c r="AM550" s="748"/>
    </row>
    <row r="551" spans="2:39" x14ac:dyDescent="0.2">
      <c r="B551" s="101" t="str">
        <f t="shared" si="163"/>
        <v/>
      </c>
      <c r="C551" s="168">
        <f>IF(ISERROR(Personalplanung!F31/Monatsplanung!$E31*Monatsplanung!$L31),0,Personalplanung!F31/Monatsplanung!$E31*Monatsplanung!$L31)</f>
        <v>0</v>
      </c>
      <c r="D551" s="168">
        <f t="shared" si="164"/>
        <v>0</v>
      </c>
      <c r="E551" s="168">
        <f>IF(ISERROR(Personalplanung!H31/Monatsplanung!$E31*Monatsplanung!$L31),0,Personalplanung!H31/Monatsplanung!$E31*Monatsplanung!$L31)</f>
        <v>0</v>
      </c>
      <c r="F551" s="168">
        <f t="shared" si="165"/>
        <v>0</v>
      </c>
      <c r="G551" s="168">
        <f t="shared" si="166"/>
        <v>27.700831024930746</v>
      </c>
      <c r="H551" s="168">
        <f t="shared" si="167"/>
        <v>0</v>
      </c>
      <c r="I551" s="168">
        <f t="shared" si="168"/>
        <v>30</v>
      </c>
      <c r="J551" s="739"/>
      <c r="K551" s="168">
        <f>IF(J551&lt;&gt;"",J551,IF(ISERROR(Personalplanung!AB31/Monatsplanung!$E31*Monatsplanung!$L31),0,Personalplanung!AB31/Monatsplanung!$E31*Monatsplanung!$L31))</f>
        <v>0</v>
      </c>
      <c r="L551" s="740"/>
      <c r="M551" s="739"/>
      <c r="N551" s="168">
        <f>IF(M551&lt;&gt;"",M551,IF(ISERROR(Personalplanung!AC31/Monatsplanung!$E31*Monatsplanung!$L31),0,Personalplanung!AC31/Monatsplanung!$E31*Monatsplanung!$L31))</f>
        <v>0</v>
      </c>
      <c r="O551" s="740"/>
      <c r="P551" s="739"/>
      <c r="Q551" s="168">
        <f>IF(P551&lt;&gt;"",P551,IF(ISERROR(Personalplanung!AD31/Monatsplanung!$E31*Monatsplanung!$L31),0,Personalplanung!AD31/Monatsplanung!$E31*Monatsplanung!$L31))</f>
        <v>0</v>
      </c>
      <c r="R551" s="740"/>
      <c r="S551" s="739"/>
      <c r="T551" s="168">
        <f>IF(S551&lt;&gt;"",S551,IF(ISERROR(Personalplanung!AE31/Monatsplanung!$E31*Monatsplanung!$L31),0,Personalplanung!AE31/Monatsplanung!$E31*Monatsplanung!$L31))</f>
        <v>0</v>
      </c>
      <c r="U551" s="740"/>
      <c r="V551" s="168">
        <f t="shared" si="169"/>
        <v>0</v>
      </c>
      <c r="W551" s="168">
        <f>IF(ISERROR(Personalplanung!P31/Monatsplanung!$E31*Monatsplanung!$L31),0,Personalplanung!P31/Monatsplanung!$E31*Monatsplanung!$L31)</f>
        <v>0</v>
      </c>
      <c r="X551" s="168">
        <f>IF(ISERROR(Personalplanung!Q31/Monatsplanung!$E31*Monatsplanung!$L31),0,Personalplanung!Q31/Monatsplanung!$E31*Monatsplanung!$L31)</f>
        <v>0</v>
      </c>
      <c r="Y551" s="168">
        <f>IF(ISERROR(Personalplanung!R31/T1279*Stundencontrolling!T551),0,Personalplanung!R31/T1279*Stundencontrolling!T551)</f>
        <v>0</v>
      </c>
      <c r="Z551" s="168">
        <f>IF(ISERROR(Personalplanung!S31/Monatsplanung!$E31*Monatsplanung!$L31),0,Personalplanung!S31/Monatsplanung!$E31*Monatsplanung!$L31)</f>
        <v>0</v>
      </c>
      <c r="AA551" s="80">
        <f t="shared" si="170"/>
        <v>0</v>
      </c>
      <c r="AB551" s="102">
        <f t="shared" si="171"/>
        <v>0.1</v>
      </c>
      <c r="AC551" s="103">
        <f t="shared" si="172"/>
        <v>0</v>
      </c>
      <c r="AD551" s="103">
        <f t="shared" si="173"/>
        <v>0</v>
      </c>
      <c r="AE551" s="81">
        <f t="shared" si="174"/>
        <v>0</v>
      </c>
      <c r="AF551" s="539"/>
      <c r="AG551" s="104">
        <f t="shared" si="175"/>
        <v>1</v>
      </c>
      <c r="AH551" s="7">
        <f t="shared" si="176"/>
        <v>0</v>
      </c>
      <c r="AI551" s="6">
        <f t="shared" si="177"/>
        <v>0</v>
      </c>
      <c r="AJ551" s="73">
        <f t="shared" si="178"/>
        <v>0</v>
      </c>
      <c r="AK551" s="539"/>
      <c r="AL551" s="748"/>
      <c r="AM551" s="748"/>
    </row>
    <row r="552" spans="2:39" x14ac:dyDescent="0.2">
      <c r="B552" s="101" t="str">
        <f t="shared" si="163"/>
        <v/>
      </c>
      <c r="C552" s="168">
        <f>IF(ISERROR(Personalplanung!F32/Monatsplanung!$E32*Monatsplanung!$L32),0,Personalplanung!F32/Monatsplanung!$E32*Monatsplanung!$L32)</f>
        <v>0</v>
      </c>
      <c r="D552" s="168">
        <f t="shared" si="164"/>
        <v>0</v>
      </c>
      <c r="E552" s="168">
        <f>IF(ISERROR(Personalplanung!H32/Monatsplanung!$E32*Monatsplanung!$L32),0,Personalplanung!H32/Monatsplanung!$E32*Monatsplanung!$L32)</f>
        <v>0</v>
      </c>
      <c r="F552" s="168">
        <f t="shared" si="165"/>
        <v>0</v>
      </c>
      <c r="G552" s="168">
        <f t="shared" si="166"/>
        <v>27.700831024930746</v>
      </c>
      <c r="H552" s="168">
        <f t="shared" si="167"/>
        <v>0</v>
      </c>
      <c r="I552" s="168">
        <f t="shared" si="168"/>
        <v>30</v>
      </c>
      <c r="J552" s="739"/>
      <c r="K552" s="168">
        <f>IF(J552&lt;&gt;"",J552,IF(ISERROR(Personalplanung!AB32/Monatsplanung!$E32*Monatsplanung!$L32),0,Personalplanung!AB32/Monatsplanung!$E32*Monatsplanung!$L32))</f>
        <v>0</v>
      </c>
      <c r="L552" s="740"/>
      <c r="M552" s="739"/>
      <c r="N552" s="168">
        <f>IF(M552&lt;&gt;"",M552,IF(ISERROR(Personalplanung!AC32/Monatsplanung!$E32*Monatsplanung!$L32),0,Personalplanung!AC32/Monatsplanung!$E32*Monatsplanung!$L32))</f>
        <v>0</v>
      </c>
      <c r="O552" s="740"/>
      <c r="P552" s="739"/>
      <c r="Q552" s="168">
        <f>IF(P552&lt;&gt;"",P552,IF(ISERROR(Personalplanung!AD32/Monatsplanung!$E32*Monatsplanung!$L32),0,Personalplanung!AD32/Monatsplanung!$E32*Monatsplanung!$L32))</f>
        <v>0</v>
      </c>
      <c r="R552" s="740"/>
      <c r="S552" s="739"/>
      <c r="T552" s="168">
        <f>IF(S552&lt;&gt;"",S552,IF(ISERROR(Personalplanung!AE32/Monatsplanung!$E32*Monatsplanung!$L32),0,Personalplanung!AE32/Monatsplanung!$E32*Monatsplanung!$L32))</f>
        <v>0</v>
      </c>
      <c r="U552" s="740"/>
      <c r="V552" s="168">
        <f t="shared" si="169"/>
        <v>0</v>
      </c>
      <c r="W552" s="168">
        <f>IF(ISERROR(Personalplanung!P32/Monatsplanung!$E32*Monatsplanung!$L32),0,Personalplanung!P32/Monatsplanung!$E32*Monatsplanung!$L32)</f>
        <v>0</v>
      </c>
      <c r="X552" s="168">
        <f>IF(ISERROR(Personalplanung!Q32/Monatsplanung!$E32*Monatsplanung!$L32),0,Personalplanung!Q32/Monatsplanung!$E32*Monatsplanung!$L32)</f>
        <v>0</v>
      </c>
      <c r="Y552" s="168">
        <f>IF(ISERROR(Personalplanung!R32/T1280*Stundencontrolling!T552),0,Personalplanung!R32/T1280*Stundencontrolling!T552)</f>
        <v>0</v>
      </c>
      <c r="Z552" s="168">
        <f>IF(ISERROR(Personalplanung!S32/Monatsplanung!$E32*Monatsplanung!$L32),0,Personalplanung!S32/Monatsplanung!$E32*Monatsplanung!$L32)</f>
        <v>0</v>
      </c>
      <c r="AA552" s="80">
        <f t="shared" si="170"/>
        <v>0</v>
      </c>
      <c r="AB552" s="102">
        <f t="shared" si="171"/>
        <v>0.1</v>
      </c>
      <c r="AC552" s="103">
        <f t="shared" si="172"/>
        <v>0</v>
      </c>
      <c r="AD552" s="103">
        <f t="shared" si="173"/>
        <v>0</v>
      </c>
      <c r="AE552" s="81">
        <f t="shared" si="174"/>
        <v>0</v>
      </c>
      <c r="AF552" s="539"/>
      <c r="AG552" s="104">
        <f t="shared" si="175"/>
        <v>1</v>
      </c>
      <c r="AH552" s="7">
        <f t="shared" si="176"/>
        <v>0</v>
      </c>
      <c r="AI552" s="6">
        <f t="shared" si="177"/>
        <v>0</v>
      </c>
      <c r="AJ552" s="73">
        <f t="shared" si="178"/>
        <v>0</v>
      </c>
      <c r="AK552" s="539"/>
      <c r="AL552" s="748"/>
      <c r="AM552" s="748"/>
    </row>
    <row r="553" spans="2:39" x14ac:dyDescent="0.2">
      <c r="B553" s="101" t="str">
        <f t="shared" si="163"/>
        <v/>
      </c>
      <c r="C553" s="168">
        <f>IF(ISERROR(Personalplanung!F33/Monatsplanung!$E33*Monatsplanung!$L33),0,Personalplanung!F33/Monatsplanung!$E33*Monatsplanung!$L33)</f>
        <v>0</v>
      </c>
      <c r="D553" s="168">
        <f t="shared" si="164"/>
        <v>0</v>
      </c>
      <c r="E553" s="168">
        <f>IF(ISERROR(Personalplanung!H33/Monatsplanung!$E33*Monatsplanung!$L33),0,Personalplanung!H33/Monatsplanung!$E33*Monatsplanung!$L33)</f>
        <v>0</v>
      </c>
      <c r="F553" s="168">
        <f t="shared" si="165"/>
        <v>0</v>
      </c>
      <c r="G553" s="168">
        <f t="shared" si="166"/>
        <v>27.700831024930746</v>
      </c>
      <c r="H553" s="168">
        <f t="shared" si="167"/>
        <v>0</v>
      </c>
      <c r="I553" s="168">
        <f t="shared" si="168"/>
        <v>30</v>
      </c>
      <c r="J553" s="739"/>
      <c r="K553" s="168">
        <f>IF(J553&lt;&gt;"",J553,IF(ISERROR(Personalplanung!AB33/Monatsplanung!$E33*Monatsplanung!$L33),0,Personalplanung!AB33/Monatsplanung!$E33*Monatsplanung!$L33))</f>
        <v>0</v>
      </c>
      <c r="L553" s="740"/>
      <c r="M553" s="739"/>
      <c r="N553" s="168">
        <f>IF(M553&lt;&gt;"",M553,IF(ISERROR(Personalplanung!AC33/Monatsplanung!$E33*Monatsplanung!$L33),0,Personalplanung!AC33/Monatsplanung!$E33*Monatsplanung!$L33))</f>
        <v>0</v>
      </c>
      <c r="O553" s="740"/>
      <c r="P553" s="739"/>
      <c r="Q553" s="168">
        <f>IF(P553&lt;&gt;"",P553,IF(ISERROR(Personalplanung!AD33/Monatsplanung!$E33*Monatsplanung!$L33),0,Personalplanung!AD33/Monatsplanung!$E33*Monatsplanung!$L33))</f>
        <v>0</v>
      </c>
      <c r="R553" s="740"/>
      <c r="S553" s="739"/>
      <c r="T553" s="168">
        <f>IF(S553&lt;&gt;"",S553,IF(ISERROR(Personalplanung!AE33/Monatsplanung!$E33*Monatsplanung!$L33),0,Personalplanung!AE33/Monatsplanung!$E33*Monatsplanung!$L33))</f>
        <v>0</v>
      </c>
      <c r="U553" s="740"/>
      <c r="V553" s="168">
        <f t="shared" si="169"/>
        <v>0</v>
      </c>
      <c r="W553" s="168">
        <f>IF(ISERROR(Personalplanung!P33/Monatsplanung!$E33*Monatsplanung!$L33),0,Personalplanung!P33/Monatsplanung!$E33*Monatsplanung!$L33)</f>
        <v>0</v>
      </c>
      <c r="X553" s="168">
        <f>IF(ISERROR(Personalplanung!Q33/Monatsplanung!$E33*Monatsplanung!$L33),0,Personalplanung!Q33/Monatsplanung!$E33*Monatsplanung!$L33)</f>
        <v>0</v>
      </c>
      <c r="Y553" s="168">
        <f>IF(ISERROR(Personalplanung!R33/T1281*Stundencontrolling!T553),0,Personalplanung!R33/T1281*Stundencontrolling!T553)</f>
        <v>0</v>
      </c>
      <c r="Z553" s="168">
        <f>IF(ISERROR(Personalplanung!S33/Monatsplanung!$E33*Monatsplanung!$L33),0,Personalplanung!S33/Monatsplanung!$E33*Monatsplanung!$L33)</f>
        <v>0</v>
      </c>
      <c r="AA553" s="80">
        <f t="shared" si="170"/>
        <v>0</v>
      </c>
      <c r="AB553" s="102">
        <f t="shared" si="171"/>
        <v>0.1</v>
      </c>
      <c r="AC553" s="103">
        <f t="shared" si="172"/>
        <v>0</v>
      </c>
      <c r="AD553" s="103">
        <f t="shared" si="173"/>
        <v>0</v>
      </c>
      <c r="AE553" s="81">
        <f t="shared" si="174"/>
        <v>0</v>
      </c>
      <c r="AF553" s="539"/>
      <c r="AG553" s="104">
        <f t="shared" si="175"/>
        <v>1</v>
      </c>
      <c r="AH553" s="7">
        <f t="shared" si="176"/>
        <v>0</v>
      </c>
      <c r="AI553" s="6">
        <f t="shared" si="177"/>
        <v>0</v>
      </c>
      <c r="AJ553" s="73">
        <f t="shared" si="178"/>
        <v>0</v>
      </c>
      <c r="AK553" s="539"/>
      <c r="AL553" s="748"/>
      <c r="AM553" s="748"/>
    </row>
    <row r="554" spans="2:39" x14ac:dyDescent="0.2">
      <c r="B554" s="101" t="str">
        <f t="shared" si="163"/>
        <v/>
      </c>
      <c r="C554" s="168">
        <f>IF(ISERROR(Personalplanung!F34/Monatsplanung!$E34*Monatsplanung!$L34),0,Personalplanung!F34/Monatsplanung!$E34*Monatsplanung!$L34)</f>
        <v>0</v>
      </c>
      <c r="D554" s="168">
        <f t="shared" si="164"/>
        <v>0</v>
      </c>
      <c r="E554" s="168">
        <f>IF(ISERROR(Personalplanung!H34/Monatsplanung!$E34*Monatsplanung!$L34),0,Personalplanung!H34/Monatsplanung!$E34*Monatsplanung!$L34)</f>
        <v>0</v>
      </c>
      <c r="F554" s="168">
        <f t="shared" si="165"/>
        <v>0</v>
      </c>
      <c r="G554" s="168">
        <f t="shared" si="166"/>
        <v>27.700831024930746</v>
      </c>
      <c r="H554" s="168">
        <f t="shared" si="167"/>
        <v>0</v>
      </c>
      <c r="I554" s="168">
        <f t="shared" si="168"/>
        <v>30</v>
      </c>
      <c r="J554" s="739"/>
      <c r="K554" s="168">
        <f>IF(J554&lt;&gt;"",J554,IF(ISERROR(Personalplanung!AB34/Monatsplanung!$E34*Monatsplanung!$L34),0,Personalplanung!AB34/Monatsplanung!$E34*Monatsplanung!$L34))</f>
        <v>0</v>
      </c>
      <c r="L554" s="740"/>
      <c r="M554" s="739"/>
      <c r="N554" s="168">
        <f>IF(M554&lt;&gt;"",M554,IF(ISERROR(Personalplanung!AC34/Monatsplanung!$E34*Monatsplanung!$L34),0,Personalplanung!AC34/Monatsplanung!$E34*Monatsplanung!$L34))</f>
        <v>0</v>
      </c>
      <c r="O554" s="740"/>
      <c r="P554" s="739"/>
      <c r="Q554" s="168">
        <f>IF(P554&lt;&gt;"",P554,IF(ISERROR(Personalplanung!AD34/Monatsplanung!$E34*Monatsplanung!$L34),0,Personalplanung!AD34/Monatsplanung!$E34*Monatsplanung!$L34))</f>
        <v>0</v>
      </c>
      <c r="R554" s="740"/>
      <c r="S554" s="739"/>
      <c r="T554" s="168">
        <f>IF(S554&lt;&gt;"",S554,IF(ISERROR(Personalplanung!AE34/Monatsplanung!$E34*Monatsplanung!$L34),0,Personalplanung!AE34/Monatsplanung!$E34*Monatsplanung!$L34))</f>
        <v>0</v>
      </c>
      <c r="U554" s="740"/>
      <c r="V554" s="168">
        <f t="shared" si="169"/>
        <v>0</v>
      </c>
      <c r="W554" s="168">
        <f>IF(ISERROR(Personalplanung!P34/Monatsplanung!$E34*Monatsplanung!$L34),0,Personalplanung!P34/Monatsplanung!$E34*Monatsplanung!$L34)</f>
        <v>0</v>
      </c>
      <c r="X554" s="168">
        <f>IF(ISERROR(Personalplanung!Q34/Monatsplanung!$E34*Monatsplanung!$L34),0,Personalplanung!Q34/Monatsplanung!$E34*Monatsplanung!$L34)</f>
        <v>0</v>
      </c>
      <c r="Y554" s="168">
        <f>IF(ISERROR(Personalplanung!R34/T1282*Stundencontrolling!T554),0,Personalplanung!R34/T1282*Stundencontrolling!T554)</f>
        <v>0</v>
      </c>
      <c r="Z554" s="168">
        <f>IF(ISERROR(Personalplanung!S34/Monatsplanung!$E34*Monatsplanung!$L34),0,Personalplanung!S34/Monatsplanung!$E34*Monatsplanung!$L34)</f>
        <v>0</v>
      </c>
      <c r="AA554" s="80">
        <f t="shared" si="170"/>
        <v>0</v>
      </c>
      <c r="AB554" s="102">
        <f t="shared" si="171"/>
        <v>0.1</v>
      </c>
      <c r="AC554" s="103">
        <f t="shared" si="172"/>
        <v>0</v>
      </c>
      <c r="AD554" s="103">
        <f t="shared" si="173"/>
        <v>0</v>
      </c>
      <c r="AE554" s="81">
        <f t="shared" si="174"/>
        <v>0</v>
      </c>
      <c r="AF554" s="539"/>
      <c r="AG554" s="104">
        <f t="shared" si="175"/>
        <v>1</v>
      </c>
      <c r="AH554" s="7">
        <f t="shared" si="176"/>
        <v>0</v>
      </c>
      <c r="AI554" s="6">
        <f t="shared" si="177"/>
        <v>0</v>
      </c>
      <c r="AJ554" s="73">
        <f t="shared" si="178"/>
        <v>0</v>
      </c>
      <c r="AK554" s="539"/>
      <c r="AL554" s="748"/>
      <c r="AM554" s="748"/>
    </row>
    <row r="555" spans="2:39" x14ac:dyDescent="0.2">
      <c r="B555" s="101" t="str">
        <f t="shared" si="163"/>
        <v/>
      </c>
      <c r="C555" s="168">
        <f>IF(ISERROR(Personalplanung!F35/Monatsplanung!$E35*Monatsplanung!$L35),0,Personalplanung!F35/Monatsplanung!$E35*Monatsplanung!$L35)</f>
        <v>0</v>
      </c>
      <c r="D555" s="168">
        <f t="shared" si="164"/>
        <v>0</v>
      </c>
      <c r="E555" s="168">
        <f>IF(ISERROR(Personalplanung!H35/Monatsplanung!$E35*Monatsplanung!$L35),0,Personalplanung!H35/Monatsplanung!$E35*Monatsplanung!$L35)</f>
        <v>0</v>
      </c>
      <c r="F555" s="168">
        <f t="shared" si="165"/>
        <v>0</v>
      </c>
      <c r="G555" s="168">
        <f t="shared" si="166"/>
        <v>27.700831024930746</v>
      </c>
      <c r="H555" s="168">
        <f t="shared" si="167"/>
        <v>0</v>
      </c>
      <c r="I555" s="168">
        <f t="shared" si="168"/>
        <v>30</v>
      </c>
      <c r="J555" s="739"/>
      <c r="K555" s="168">
        <f>IF(J555&lt;&gt;"",J555,IF(ISERROR(Personalplanung!AB35/Monatsplanung!$E35*Monatsplanung!$L35),0,Personalplanung!AB35/Monatsplanung!$E35*Monatsplanung!$L35))</f>
        <v>0</v>
      </c>
      <c r="L555" s="740"/>
      <c r="M555" s="739"/>
      <c r="N555" s="168">
        <f>IF(M555&lt;&gt;"",M555,IF(ISERROR(Personalplanung!AC35/Monatsplanung!$E35*Monatsplanung!$L35),0,Personalplanung!AC35/Monatsplanung!$E35*Monatsplanung!$L35))</f>
        <v>0</v>
      </c>
      <c r="O555" s="740"/>
      <c r="P555" s="739"/>
      <c r="Q555" s="168">
        <f>IF(P555&lt;&gt;"",P555,IF(ISERROR(Personalplanung!AD35/Monatsplanung!$E35*Monatsplanung!$L35),0,Personalplanung!AD35/Monatsplanung!$E35*Monatsplanung!$L35))</f>
        <v>0</v>
      </c>
      <c r="R555" s="740"/>
      <c r="S555" s="739"/>
      <c r="T555" s="168">
        <f>IF(S555&lt;&gt;"",S555,IF(ISERROR(Personalplanung!AE35/Monatsplanung!$E35*Monatsplanung!$L35),0,Personalplanung!AE35/Monatsplanung!$E35*Monatsplanung!$L35))</f>
        <v>0</v>
      </c>
      <c r="U555" s="740"/>
      <c r="V555" s="168">
        <f t="shared" si="169"/>
        <v>0</v>
      </c>
      <c r="W555" s="168">
        <f>IF(ISERROR(Personalplanung!P35/Monatsplanung!$E35*Monatsplanung!$L35),0,Personalplanung!P35/Monatsplanung!$E35*Monatsplanung!$L35)</f>
        <v>0</v>
      </c>
      <c r="X555" s="168">
        <f>IF(ISERROR(Personalplanung!Q35/Monatsplanung!$E35*Monatsplanung!$L35),0,Personalplanung!Q35/Monatsplanung!$E35*Monatsplanung!$L35)</f>
        <v>0</v>
      </c>
      <c r="Y555" s="168">
        <f>IF(ISERROR(Personalplanung!R35/T1283*Stundencontrolling!T555),0,Personalplanung!R35/T1283*Stundencontrolling!T555)</f>
        <v>0</v>
      </c>
      <c r="Z555" s="168">
        <f>IF(ISERROR(Personalplanung!S35/Monatsplanung!$E35*Monatsplanung!$L35),0,Personalplanung!S35/Monatsplanung!$E35*Monatsplanung!$L35)</f>
        <v>0</v>
      </c>
      <c r="AA555" s="80">
        <f t="shared" si="170"/>
        <v>0</v>
      </c>
      <c r="AB555" s="102">
        <f t="shared" si="171"/>
        <v>0.1</v>
      </c>
      <c r="AC555" s="103">
        <f t="shared" si="172"/>
        <v>0</v>
      </c>
      <c r="AD555" s="103">
        <f t="shared" si="173"/>
        <v>0</v>
      </c>
      <c r="AE555" s="81">
        <f t="shared" si="174"/>
        <v>0</v>
      </c>
      <c r="AF555" s="539"/>
      <c r="AG555" s="104">
        <f t="shared" si="175"/>
        <v>1</v>
      </c>
      <c r="AH555" s="7">
        <f t="shared" si="176"/>
        <v>0</v>
      </c>
      <c r="AI555" s="6">
        <f t="shared" si="177"/>
        <v>0</v>
      </c>
      <c r="AJ555" s="73">
        <f t="shared" si="178"/>
        <v>0</v>
      </c>
      <c r="AK555" s="539"/>
      <c r="AL555" s="748"/>
      <c r="AM555" s="748"/>
    </row>
    <row r="556" spans="2:39" x14ac:dyDescent="0.2">
      <c r="B556" s="101" t="str">
        <f t="shared" si="163"/>
        <v/>
      </c>
      <c r="C556" s="168">
        <f>IF(ISERROR(Personalplanung!F36/Monatsplanung!$E36*Monatsplanung!$L36),0,Personalplanung!F36/Monatsplanung!$E36*Monatsplanung!$L36)</f>
        <v>0</v>
      </c>
      <c r="D556" s="168">
        <f t="shared" si="164"/>
        <v>0</v>
      </c>
      <c r="E556" s="168">
        <f>IF(ISERROR(Personalplanung!H36/Monatsplanung!$E36*Monatsplanung!$L36),0,Personalplanung!H36/Monatsplanung!$E36*Monatsplanung!$L36)</f>
        <v>0</v>
      </c>
      <c r="F556" s="168">
        <f t="shared" si="165"/>
        <v>0</v>
      </c>
      <c r="G556" s="168">
        <f t="shared" si="166"/>
        <v>27.700831024930746</v>
      </c>
      <c r="H556" s="168">
        <f t="shared" si="167"/>
        <v>0</v>
      </c>
      <c r="I556" s="168">
        <f t="shared" si="168"/>
        <v>30</v>
      </c>
      <c r="J556" s="739"/>
      <c r="K556" s="168">
        <f>IF(J556&lt;&gt;"",J556,IF(ISERROR(Personalplanung!AB36/Monatsplanung!$E36*Monatsplanung!$L36),0,Personalplanung!AB36/Monatsplanung!$E36*Monatsplanung!$L36))</f>
        <v>0</v>
      </c>
      <c r="L556" s="740"/>
      <c r="M556" s="739"/>
      <c r="N556" s="168">
        <f>IF(M556&lt;&gt;"",M556,IF(ISERROR(Personalplanung!AC36/Monatsplanung!$E36*Monatsplanung!$L36),0,Personalplanung!AC36/Monatsplanung!$E36*Monatsplanung!$L36))</f>
        <v>0</v>
      </c>
      <c r="O556" s="740"/>
      <c r="P556" s="739"/>
      <c r="Q556" s="168">
        <f>IF(P556&lt;&gt;"",P556,IF(ISERROR(Personalplanung!AD36/Monatsplanung!$E36*Monatsplanung!$L36),0,Personalplanung!AD36/Monatsplanung!$E36*Monatsplanung!$L36))</f>
        <v>0</v>
      </c>
      <c r="R556" s="740"/>
      <c r="S556" s="739"/>
      <c r="T556" s="168">
        <f>IF(S556&lt;&gt;"",S556,IF(ISERROR(Personalplanung!AE36/Monatsplanung!$E36*Monatsplanung!$L36),0,Personalplanung!AE36/Monatsplanung!$E36*Monatsplanung!$L36))</f>
        <v>0</v>
      </c>
      <c r="U556" s="740"/>
      <c r="V556" s="168">
        <f t="shared" si="169"/>
        <v>0</v>
      </c>
      <c r="W556" s="168">
        <f>IF(ISERROR(Personalplanung!P36/Monatsplanung!$E36*Monatsplanung!$L36),0,Personalplanung!P36/Monatsplanung!$E36*Monatsplanung!$L36)</f>
        <v>0</v>
      </c>
      <c r="X556" s="168">
        <f>IF(ISERROR(Personalplanung!Q36/Monatsplanung!$E36*Monatsplanung!$L36),0,Personalplanung!Q36/Monatsplanung!$E36*Monatsplanung!$L36)</f>
        <v>0</v>
      </c>
      <c r="Y556" s="168">
        <f>IF(ISERROR(Personalplanung!R36/T1284*Stundencontrolling!T556),0,Personalplanung!R36/T1284*Stundencontrolling!T556)</f>
        <v>0</v>
      </c>
      <c r="Z556" s="168">
        <f>IF(ISERROR(Personalplanung!S36/Monatsplanung!$E36*Monatsplanung!$L36),0,Personalplanung!S36/Monatsplanung!$E36*Monatsplanung!$L36)</f>
        <v>0</v>
      </c>
      <c r="AA556" s="80">
        <f t="shared" si="170"/>
        <v>0</v>
      </c>
      <c r="AB556" s="102">
        <f t="shared" si="171"/>
        <v>0.1</v>
      </c>
      <c r="AC556" s="103">
        <f t="shared" si="172"/>
        <v>0</v>
      </c>
      <c r="AD556" s="103">
        <f t="shared" si="173"/>
        <v>0</v>
      </c>
      <c r="AE556" s="81">
        <f t="shared" si="174"/>
        <v>0</v>
      </c>
      <c r="AF556" s="539"/>
      <c r="AG556" s="104">
        <f t="shared" si="175"/>
        <v>1</v>
      </c>
      <c r="AH556" s="7">
        <f t="shared" si="176"/>
        <v>0</v>
      </c>
      <c r="AI556" s="6">
        <f t="shared" si="177"/>
        <v>0</v>
      </c>
      <c r="AJ556" s="73">
        <f t="shared" si="178"/>
        <v>0</v>
      </c>
      <c r="AK556" s="539"/>
      <c r="AL556" s="748"/>
      <c r="AM556" s="748"/>
    </row>
    <row r="557" spans="2:39" x14ac:dyDescent="0.2">
      <c r="B557" s="101" t="str">
        <f t="shared" si="163"/>
        <v/>
      </c>
      <c r="C557" s="168">
        <f>IF(ISERROR(Personalplanung!F37/Monatsplanung!$E37*Monatsplanung!$L37),0,Personalplanung!F37/Monatsplanung!$E37*Monatsplanung!$L37)</f>
        <v>0</v>
      </c>
      <c r="D557" s="168">
        <f t="shared" si="164"/>
        <v>0</v>
      </c>
      <c r="E557" s="168">
        <f>IF(ISERROR(Personalplanung!H37/Monatsplanung!$E37*Monatsplanung!$L37),0,Personalplanung!H37/Monatsplanung!$E37*Monatsplanung!$L37)</f>
        <v>0</v>
      </c>
      <c r="F557" s="168">
        <f t="shared" si="165"/>
        <v>0</v>
      </c>
      <c r="G557" s="168">
        <f t="shared" si="166"/>
        <v>27.700831024930746</v>
      </c>
      <c r="H557" s="168">
        <f t="shared" si="167"/>
        <v>0</v>
      </c>
      <c r="I557" s="168">
        <f t="shared" si="168"/>
        <v>30</v>
      </c>
      <c r="J557" s="739"/>
      <c r="K557" s="168">
        <f>IF(J557&lt;&gt;"",J557,IF(ISERROR(Personalplanung!AB37/Monatsplanung!$E37*Monatsplanung!$L37),0,Personalplanung!AB37/Monatsplanung!$E37*Monatsplanung!$L37))</f>
        <v>0</v>
      </c>
      <c r="L557" s="740"/>
      <c r="M557" s="739"/>
      <c r="N557" s="168">
        <f>IF(M557&lt;&gt;"",M557,IF(ISERROR(Personalplanung!AC37/Monatsplanung!$E37*Monatsplanung!$L37),0,Personalplanung!AC37/Monatsplanung!$E37*Monatsplanung!$L37))</f>
        <v>0</v>
      </c>
      <c r="O557" s="740"/>
      <c r="P557" s="739"/>
      <c r="Q557" s="168">
        <f>IF(P557&lt;&gt;"",P557,IF(ISERROR(Personalplanung!AD37/Monatsplanung!$E37*Monatsplanung!$L37),0,Personalplanung!AD37/Monatsplanung!$E37*Monatsplanung!$L37))</f>
        <v>0</v>
      </c>
      <c r="R557" s="740"/>
      <c r="S557" s="739"/>
      <c r="T557" s="168">
        <f>IF(S557&lt;&gt;"",S557,IF(ISERROR(Personalplanung!AE37/Monatsplanung!$E37*Monatsplanung!$L37),0,Personalplanung!AE37/Monatsplanung!$E37*Monatsplanung!$L37))</f>
        <v>0</v>
      </c>
      <c r="U557" s="740"/>
      <c r="V557" s="168">
        <f t="shared" si="169"/>
        <v>0</v>
      </c>
      <c r="W557" s="168">
        <f>IF(ISERROR(Personalplanung!P37/Monatsplanung!$E37*Monatsplanung!$L37),0,Personalplanung!P37/Monatsplanung!$E37*Monatsplanung!$L37)</f>
        <v>0</v>
      </c>
      <c r="X557" s="168">
        <f>IF(ISERROR(Personalplanung!Q37/Monatsplanung!$E37*Monatsplanung!$L37),0,Personalplanung!Q37/Monatsplanung!$E37*Monatsplanung!$L37)</f>
        <v>0</v>
      </c>
      <c r="Y557" s="168">
        <f>IF(ISERROR(Personalplanung!R37/T1285*Stundencontrolling!T557),0,Personalplanung!R37/T1285*Stundencontrolling!T557)</f>
        <v>0</v>
      </c>
      <c r="Z557" s="168">
        <f>IF(ISERROR(Personalplanung!S37/Monatsplanung!$E37*Monatsplanung!$L37),0,Personalplanung!S37/Monatsplanung!$E37*Monatsplanung!$L37)</f>
        <v>0</v>
      </c>
      <c r="AA557" s="80">
        <f t="shared" si="170"/>
        <v>0</v>
      </c>
      <c r="AB557" s="102">
        <f t="shared" si="171"/>
        <v>0.1</v>
      </c>
      <c r="AC557" s="103">
        <f t="shared" si="172"/>
        <v>0</v>
      </c>
      <c r="AD557" s="103">
        <f t="shared" si="173"/>
        <v>0</v>
      </c>
      <c r="AE557" s="81">
        <f t="shared" si="174"/>
        <v>0</v>
      </c>
      <c r="AF557" s="539"/>
      <c r="AG557" s="104">
        <f t="shared" si="175"/>
        <v>1</v>
      </c>
      <c r="AH557" s="7">
        <f t="shared" si="176"/>
        <v>0</v>
      </c>
      <c r="AI557" s="6">
        <f t="shared" si="177"/>
        <v>0</v>
      </c>
      <c r="AJ557" s="73">
        <f t="shared" si="178"/>
        <v>0</v>
      </c>
      <c r="AK557" s="539"/>
      <c r="AL557" s="748"/>
      <c r="AM557" s="748"/>
    </row>
    <row r="558" spans="2:39" x14ac:dyDescent="0.2">
      <c r="B558" s="101" t="str">
        <f t="shared" si="163"/>
        <v/>
      </c>
      <c r="C558" s="168">
        <f>IF(ISERROR(Personalplanung!F38/Monatsplanung!$E38*Monatsplanung!$L38),0,Personalplanung!F38/Monatsplanung!$E38*Monatsplanung!$L38)</f>
        <v>0</v>
      </c>
      <c r="D558" s="168">
        <f t="shared" si="164"/>
        <v>0</v>
      </c>
      <c r="E558" s="168">
        <f>IF(ISERROR(Personalplanung!H38/Monatsplanung!$E38*Monatsplanung!$L38),0,Personalplanung!H38/Monatsplanung!$E38*Monatsplanung!$L38)</f>
        <v>0</v>
      </c>
      <c r="F558" s="168">
        <f t="shared" si="165"/>
        <v>0</v>
      </c>
      <c r="G558" s="168">
        <f t="shared" si="166"/>
        <v>27.700831024930746</v>
      </c>
      <c r="H558" s="168">
        <f t="shared" si="167"/>
        <v>0</v>
      </c>
      <c r="I558" s="168">
        <f t="shared" si="168"/>
        <v>30</v>
      </c>
      <c r="J558" s="739"/>
      <c r="K558" s="168">
        <f>IF(J558&lt;&gt;"",J558,IF(ISERROR(Personalplanung!AB38/Monatsplanung!$E38*Monatsplanung!$L38),0,Personalplanung!AB38/Monatsplanung!$E38*Monatsplanung!$L38))</f>
        <v>0</v>
      </c>
      <c r="L558" s="740"/>
      <c r="M558" s="739"/>
      <c r="N558" s="168">
        <f>IF(M558&lt;&gt;"",M558,IF(ISERROR(Personalplanung!AC38/Monatsplanung!$E38*Monatsplanung!$L38),0,Personalplanung!AC38/Monatsplanung!$E38*Monatsplanung!$L38))</f>
        <v>0</v>
      </c>
      <c r="O558" s="740"/>
      <c r="P558" s="739"/>
      <c r="Q558" s="168">
        <f>IF(P558&lt;&gt;"",P558,IF(ISERROR(Personalplanung!AD38/Monatsplanung!$E38*Monatsplanung!$L38),0,Personalplanung!AD38/Monatsplanung!$E38*Monatsplanung!$L38))</f>
        <v>0</v>
      </c>
      <c r="R558" s="740"/>
      <c r="S558" s="739"/>
      <c r="T558" s="168">
        <f>IF(S558&lt;&gt;"",S558,IF(ISERROR(Personalplanung!AE38/Monatsplanung!$E38*Monatsplanung!$L38),0,Personalplanung!AE38/Monatsplanung!$E38*Monatsplanung!$L38))</f>
        <v>0</v>
      </c>
      <c r="U558" s="740"/>
      <c r="V558" s="168">
        <f t="shared" si="169"/>
        <v>0</v>
      </c>
      <c r="W558" s="168">
        <f>IF(ISERROR(Personalplanung!P38/Monatsplanung!$E38*Monatsplanung!$L38),0,Personalplanung!P38/Monatsplanung!$E38*Monatsplanung!$L38)</f>
        <v>0</v>
      </c>
      <c r="X558" s="168">
        <f>IF(ISERROR(Personalplanung!Q38/Monatsplanung!$E38*Monatsplanung!$L38),0,Personalplanung!Q38/Monatsplanung!$E38*Monatsplanung!$L38)</f>
        <v>0</v>
      </c>
      <c r="Y558" s="168">
        <f>IF(ISERROR(Personalplanung!R38/T1286*Stundencontrolling!T558),0,Personalplanung!R38/T1286*Stundencontrolling!T558)</f>
        <v>0</v>
      </c>
      <c r="Z558" s="168">
        <f>IF(ISERROR(Personalplanung!S38/Monatsplanung!$E38*Monatsplanung!$L38),0,Personalplanung!S38/Monatsplanung!$E38*Monatsplanung!$L38)</f>
        <v>0</v>
      </c>
      <c r="AA558" s="80">
        <f t="shared" si="170"/>
        <v>0</v>
      </c>
      <c r="AB558" s="102">
        <f t="shared" si="171"/>
        <v>0.1</v>
      </c>
      <c r="AC558" s="103">
        <f t="shared" si="172"/>
        <v>0</v>
      </c>
      <c r="AD558" s="103">
        <f t="shared" si="173"/>
        <v>0</v>
      </c>
      <c r="AE558" s="81">
        <f t="shared" si="174"/>
        <v>0</v>
      </c>
      <c r="AF558" s="539"/>
      <c r="AG558" s="104">
        <f t="shared" si="175"/>
        <v>1</v>
      </c>
      <c r="AH558" s="7">
        <f t="shared" si="176"/>
        <v>0</v>
      </c>
      <c r="AI558" s="6">
        <f t="shared" si="177"/>
        <v>0</v>
      </c>
      <c r="AJ558" s="73">
        <f t="shared" si="178"/>
        <v>0</v>
      </c>
      <c r="AK558" s="539"/>
      <c r="AL558" s="748"/>
      <c r="AM558" s="748"/>
    </row>
    <row r="559" spans="2:39" x14ac:dyDescent="0.2">
      <c r="B559" s="101" t="str">
        <f t="shared" si="163"/>
        <v/>
      </c>
      <c r="C559" s="168">
        <f>IF(ISERROR(Personalplanung!F39/Monatsplanung!$E39*Monatsplanung!$L39),0,Personalplanung!F39/Monatsplanung!$E39*Monatsplanung!$L39)</f>
        <v>0</v>
      </c>
      <c r="D559" s="168">
        <f t="shared" si="164"/>
        <v>0</v>
      </c>
      <c r="E559" s="168">
        <f>IF(ISERROR(Personalplanung!H39/Monatsplanung!$E39*Monatsplanung!$L39),0,Personalplanung!H39/Monatsplanung!$E39*Monatsplanung!$L39)</f>
        <v>0</v>
      </c>
      <c r="F559" s="168">
        <f t="shared" si="165"/>
        <v>0</v>
      </c>
      <c r="G559" s="168">
        <f t="shared" si="166"/>
        <v>27.700831024930746</v>
      </c>
      <c r="H559" s="168">
        <f t="shared" si="167"/>
        <v>0</v>
      </c>
      <c r="I559" s="168">
        <f t="shared" si="168"/>
        <v>30</v>
      </c>
      <c r="J559" s="739"/>
      <c r="K559" s="168">
        <f>IF(J559&lt;&gt;"",J559,IF(ISERROR(Personalplanung!AB39/Monatsplanung!$E39*Monatsplanung!$L39),0,Personalplanung!AB39/Monatsplanung!$E39*Monatsplanung!$L39))</f>
        <v>0</v>
      </c>
      <c r="L559" s="740"/>
      <c r="M559" s="739"/>
      <c r="N559" s="168">
        <f>IF(M559&lt;&gt;"",M559,IF(ISERROR(Personalplanung!AC39/Monatsplanung!$E39*Monatsplanung!$L39),0,Personalplanung!AC39/Monatsplanung!$E39*Monatsplanung!$L39))</f>
        <v>0</v>
      </c>
      <c r="O559" s="740"/>
      <c r="P559" s="739"/>
      <c r="Q559" s="168">
        <f>IF(P559&lt;&gt;"",P559,IF(ISERROR(Personalplanung!AD39/Monatsplanung!$E39*Monatsplanung!$L39),0,Personalplanung!AD39/Monatsplanung!$E39*Monatsplanung!$L39))</f>
        <v>0</v>
      </c>
      <c r="R559" s="740"/>
      <c r="S559" s="739"/>
      <c r="T559" s="168">
        <f>IF(S559&lt;&gt;"",S559,IF(ISERROR(Personalplanung!AE39/Monatsplanung!$E39*Monatsplanung!$L39),0,Personalplanung!AE39/Monatsplanung!$E39*Monatsplanung!$L39))</f>
        <v>0</v>
      </c>
      <c r="U559" s="740"/>
      <c r="V559" s="168">
        <f t="shared" si="169"/>
        <v>0</v>
      </c>
      <c r="W559" s="168">
        <f>IF(ISERROR(Personalplanung!P39/Monatsplanung!$E39*Monatsplanung!$L39),0,Personalplanung!P39/Monatsplanung!$E39*Monatsplanung!$L39)</f>
        <v>0</v>
      </c>
      <c r="X559" s="168">
        <f>IF(ISERROR(Personalplanung!Q39/Monatsplanung!$E39*Monatsplanung!$L39),0,Personalplanung!Q39/Monatsplanung!$E39*Monatsplanung!$L39)</f>
        <v>0</v>
      </c>
      <c r="Y559" s="168">
        <f>IF(ISERROR(Personalplanung!R39/T1287*Stundencontrolling!T559),0,Personalplanung!R39/T1287*Stundencontrolling!T559)</f>
        <v>0</v>
      </c>
      <c r="Z559" s="168">
        <f>IF(ISERROR(Personalplanung!S39/Monatsplanung!$E39*Monatsplanung!$L39),0,Personalplanung!S39/Monatsplanung!$E39*Monatsplanung!$L39)</f>
        <v>0</v>
      </c>
      <c r="AA559" s="80">
        <f t="shared" si="170"/>
        <v>0</v>
      </c>
      <c r="AB559" s="102">
        <f t="shared" si="171"/>
        <v>0.1</v>
      </c>
      <c r="AC559" s="103">
        <f t="shared" si="172"/>
        <v>0</v>
      </c>
      <c r="AD559" s="103">
        <f t="shared" si="173"/>
        <v>0</v>
      </c>
      <c r="AE559" s="81">
        <f t="shared" si="174"/>
        <v>0</v>
      </c>
      <c r="AF559" s="539"/>
      <c r="AG559" s="104">
        <f t="shared" si="175"/>
        <v>1</v>
      </c>
      <c r="AH559" s="7">
        <f t="shared" si="176"/>
        <v>0</v>
      </c>
      <c r="AI559" s="6">
        <f t="shared" si="177"/>
        <v>0</v>
      </c>
      <c r="AJ559" s="73">
        <f t="shared" si="178"/>
        <v>0</v>
      </c>
      <c r="AK559" s="539"/>
      <c r="AL559" s="748"/>
      <c r="AM559" s="748"/>
    </row>
    <row r="560" spans="2:39" x14ac:dyDescent="0.2">
      <c r="B560" s="101" t="str">
        <f t="shared" si="163"/>
        <v/>
      </c>
      <c r="C560" s="168">
        <f>IF(ISERROR(Personalplanung!F40/Monatsplanung!$E40*Monatsplanung!$L40),0,Personalplanung!F40/Monatsplanung!$E40*Monatsplanung!$L40)</f>
        <v>0</v>
      </c>
      <c r="D560" s="168">
        <f t="shared" si="164"/>
        <v>0</v>
      </c>
      <c r="E560" s="168">
        <f>IF(ISERROR(Personalplanung!H40/Monatsplanung!$E40*Monatsplanung!$L40),0,Personalplanung!H40/Monatsplanung!$E40*Monatsplanung!$L40)</f>
        <v>0</v>
      </c>
      <c r="F560" s="168">
        <f t="shared" si="165"/>
        <v>0</v>
      </c>
      <c r="G560" s="168">
        <f t="shared" si="166"/>
        <v>27.700831024930746</v>
      </c>
      <c r="H560" s="168">
        <f t="shared" si="167"/>
        <v>0</v>
      </c>
      <c r="I560" s="168">
        <f t="shared" si="168"/>
        <v>30</v>
      </c>
      <c r="J560" s="739"/>
      <c r="K560" s="168">
        <f>IF(J560&lt;&gt;"",J560,IF(ISERROR(Personalplanung!AB40/Monatsplanung!$E40*Monatsplanung!$L40),0,Personalplanung!AB40/Monatsplanung!$E40*Monatsplanung!$L40))</f>
        <v>0</v>
      </c>
      <c r="L560" s="740"/>
      <c r="M560" s="739"/>
      <c r="N560" s="168">
        <f>IF(M560&lt;&gt;"",M560,IF(ISERROR(Personalplanung!AC40/Monatsplanung!$E40*Monatsplanung!$L40),0,Personalplanung!AC40/Monatsplanung!$E40*Monatsplanung!$L40))</f>
        <v>0</v>
      </c>
      <c r="O560" s="740"/>
      <c r="P560" s="739"/>
      <c r="Q560" s="168">
        <f>IF(P560&lt;&gt;"",P560,IF(ISERROR(Personalplanung!AD40/Monatsplanung!$E40*Monatsplanung!$L40),0,Personalplanung!AD40/Monatsplanung!$E40*Monatsplanung!$L40))</f>
        <v>0</v>
      </c>
      <c r="R560" s="740"/>
      <c r="S560" s="739"/>
      <c r="T560" s="168">
        <f>IF(S560&lt;&gt;"",S560,IF(ISERROR(Personalplanung!AE40/Monatsplanung!$E40*Monatsplanung!$L40),0,Personalplanung!AE40/Monatsplanung!$E40*Monatsplanung!$L40))</f>
        <v>0</v>
      </c>
      <c r="U560" s="740"/>
      <c r="V560" s="168">
        <f t="shared" si="169"/>
        <v>0</v>
      </c>
      <c r="W560" s="168">
        <f>IF(ISERROR(Personalplanung!P40/Monatsplanung!$E40*Monatsplanung!$L40),0,Personalplanung!P40/Monatsplanung!$E40*Monatsplanung!$L40)</f>
        <v>0</v>
      </c>
      <c r="X560" s="168">
        <f>IF(ISERROR(Personalplanung!Q40/Monatsplanung!$E40*Monatsplanung!$L40),0,Personalplanung!Q40/Monatsplanung!$E40*Monatsplanung!$L40)</f>
        <v>0</v>
      </c>
      <c r="Y560" s="168">
        <f>IF(ISERROR(Personalplanung!R40/T1288*Stundencontrolling!T560),0,Personalplanung!R40/T1288*Stundencontrolling!T560)</f>
        <v>0</v>
      </c>
      <c r="Z560" s="168">
        <f>IF(ISERROR(Personalplanung!S40/Monatsplanung!$E40*Monatsplanung!$L40),0,Personalplanung!S40/Monatsplanung!$E40*Monatsplanung!$L40)</f>
        <v>0</v>
      </c>
      <c r="AA560" s="80">
        <f t="shared" si="170"/>
        <v>0</v>
      </c>
      <c r="AB560" s="102">
        <f t="shared" si="171"/>
        <v>0.1</v>
      </c>
      <c r="AC560" s="103">
        <f t="shared" si="172"/>
        <v>0</v>
      </c>
      <c r="AD560" s="103">
        <f t="shared" si="173"/>
        <v>0</v>
      </c>
      <c r="AE560" s="81">
        <f t="shared" si="174"/>
        <v>0</v>
      </c>
      <c r="AF560" s="539"/>
      <c r="AG560" s="104">
        <f t="shared" si="175"/>
        <v>1</v>
      </c>
      <c r="AH560" s="7">
        <f t="shared" si="176"/>
        <v>0</v>
      </c>
      <c r="AI560" s="6">
        <f t="shared" si="177"/>
        <v>0</v>
      </c>
      <c r="AJ560" s="73">
        <f t="shared" si="178"/>
        <v>0</v>
      </c>
      <c r="AK560" s="539"/>
      <c r="AL560" s="748"/>
      <c r="AM560" s="748"/>
    </row>
    <row r="561" spans="2:39" x14ac:dyDescent="0.2">
      <c r="B561" s="101" t="str">
        <f t="shared" si="163"/>
        <v/>
      </c>
      <c r="C561" s="168">
        <f>IF(ISERROR(Personalplanung!F41/Monatsplanung!$E41*Monatsplanung!$L41),0,Personalplanung!F41/Monatsplanung!$E41*Monatsplanung!$L41)</f>
        <v>0</v>
      </c>
      <c r="D561" s="168">
        <f t="shared" si="164"/>
        <v>0</v>
      </c>
      <c r="E561" s="168">
        <f>IF(ISERROR(Personalplanung!H41/Monatsplanung!$E41*Monatsplanung!$L41),0,Personalplanung!H41/Monatsplanung!$E41*Monatsplanung!$L41)</f>
        <v>0</v>
      </c>
      <c r="F561" s="168">
        <f t="shared" si="165"/>
        <v>0</v>
      </c>
      <c r="G561" s="168">
        <f t="shared" si="166"/>
        <v>27.700831024930746</v>
      </c>
      <c r="H561" s="168">
        <f t="shared" si="167"/>
        <v>0</v>
      </c>
      <c r="I561" s="168">
        <f t="shared" si="168"/>
        <v>30</v>
      </c>
      <c r="J561" s="739"/>
      <c r="K561" s="168">
        <f>IF(J561&lt;&gt;"",J561,IF(ISERROR(Personalplanung!AB41/Monatsplanung!$E41*Monatsplanung!$L41),0,Personalplanung!AB41/Monatsplanung!$E41*Monatsplanung!$L41))</f>
        <v>0</v>
      </c>
      <c r="L561" s="740"/>
      <c r="M561" s="739"/>
      <c r="N561" s="168">
        <f>IF(M561&lt;&gt;"",M561,IF(ISERROR(Personalplanung!AC41/Monatsplanung!$E41*Monatsplanung!$L41),0,Personalplanung!AC41/Monatsplanung!$E41*Monatsplanung!$L41))</f>
        <v>0</v>
      </c>
      <c r="O561" s="740"/>
      <c r="P561" s="739"/>
      <c r="Q561" s="168">
        <f>IF(P561&lt;&gt;"",P561,IF(ISERROR(Personalplanung!AD41/Monatsplanung!$E41*Monatsplanung!$L41),0,Personalplanung!AD41/Monatsplanung!$E41*Monatsplanung!$L41))</f>
        <v>0</v>
      </c>
      <c r="R561" s="740"/>
      <c r="S561" s="739"/>
      <c r="T561" s="168">
        <f>IF(S561&lt;&gt;"",S561,IF(ISERROR(Personalplanung!AE41/Monatsplanung!$E41*Monatsplanung!$L41),0,Personalplanung!AE41/Monatsplanung!$E41*Monatsplanung!$L41))</f>
        <v>0</v>
      </c>
      <c r="U561" s="740"/>
      <c r="V561" s="168">
        <f t="shared" si="169"/>
        <v>0</v>
      </c>
      <c r="W561" s="168">
        <f>IF(ISERROR(Personalplanung!P41/Monatsplanung!$E41*Monatsplanung!$L41),0,Personalplanung!P41/Monatsplanung!$E41*Monatsplanung!$L41)</f>
        <v>0</v>
      </c>
      <c r="X561" s="168">
        <f>IF(ISERROR(Personalplanung!Q41/Monatsplanung!$E41*Monatsplanung!$L41),0,Personalplanung!Q41/Monatsplanung!$E41*Monatsplanung!$L41)</f>
        <v>0</v>
      </c>
      <c r="Y561" s="168">
        <f>IF(ISERROR(Personalplanung!R41/T1289*Stundencontrolling!T561),0,Personalplanung!R41/T1289*Stundencontrolling!T561)</f>
        <v>0</v>
      </c>
      <c r="Z561" s="168">
        <f>IF(ISERROR(Personalplanung!S41/Monatsplanung!$E41*Monatsplanung!$L41),0,Personalplanung!S41/Monatsplanung!$E41*Monatsplanung!$L41)</f>
        <v>0</v>
      </c>
      <c r="AA561" s="80">
        <f t="shared" si="170"/>
        <v>0</v>
      </c>
      <c r="AB561" s="102">
        <f t="shared" si="171"/>
        <v>0.1</v>
      </c>
      <c r="AC561" s="103">
        <f t="shared" si="172"/>
        <v>0</v>
      </c>
      <c r="AD561" s="103">
        <f t="shared" si="173"/>
        <v>0</v>
      </c>
      <c r="AE561" s="81">
        <f t="shared" si="174"/>
        <v>0</v>
      </c>
      <c r="AF561" s="539"/>
      <c r="AG561" s="104">
        <f t="shared" si="175"/>
        <v>1</v>
      </c>
      <c r="AH561" s="7">
        <f t="shared" si="176"/>
        <v>0</v>
      </c>
      <c r="AI561" s="6">
        <f t="shared" si="177"/>
        <v>0</v>
      </c>
      <c r="AJ561" s="73">
        <f t="shared" si="178"/>
        <v>0</v>
      </c>
      <c r="AK561" s="539"/>
      <c r="AL561" s="748"/>
      <c r="AM561" s="748"/>
    </row>
    <row r="562" spans="2:39" x14ac:dyDescent="0.2">
      <c r="B562" s="101" t="str">
        <f t="shared" si="163"/>
        <v/>
      </c>
      <c r="C562" s="168">
        <f>IF(ISERROR(Personalplanung!F42/Monatsplanung!$E42*Monatsplanung!$L42),0,Personalplanung!F42/Monatsplanung!$E42*Monatsplanung!$L42)</f>
        <v>0</v>
      </c>
      <c r="D562" s="168">
        <f t="shared" si="164"/>
        <v>0</v>
      </c>
      <c r="E562" s="168">
        <f>IF(ISERROR(Personalplanung!H42/Monatsplanung!$E42*Monatsplanung!$L42),0,Personalplanung!H42/Monatsplanung!$E42*Monatsplanung!$L42)</f>
        <v>0</v>
      </c>
      <c r="F562" s="168">
        <f t="shared" si="165"/>
        <v>0</v>
      </c>
      <c r="G562" s="168">
        <f t="shared" si="166"/>
        <v>27.700831024930746</v>
      </c>
      <c r="H562" s="168">
        <f t="shared" si="167"/>
        <v>0</v>
      </c>
      <c r="I562" s="168">
        <f t="shared" si="168"/>
        <v>30</v>
      </c>
      <c r="J562" s="739"/>
      <c r="K562" s="168">
        <f>IF(J562&lt;&gt;"",J562,IF(ISERROR(Personalplanung!AB42/Monatsplanung!$E42*Monatsplanung!$L42),0,Personalplanung!AB42/Monatsplanung!$E42*Monatsplanung!$L42))</f>
        <v>0</v>
      </c>
      <c r="L562" s="740"/>
      <c r="M562" s="739"/>
      <c r="N562" s="168">
        <f>IF(M562&lt;&gt;"",M562,IF(ISERROR(Personalplanung!AC42/Monatsplanung!$E42*Monatsplanung!$L42),0,Personalplanung!AC42/Monatsplanung!$E42*Monatsplanung!$L42))</f>
        <v>0</v>
      </c>
      <c r="O562" s="740"/>
      <c r="P562" s="739"/>
      <c r="Q562" s="168">
        <f>IF(P562&lt;&gt;"",P562,IF(ISERROR(Personalplanung!AD42/Monatsplanung!$E42*Monatsplanung!$L42),0,Personalplanung!AD42/Monatsplanung!$E42*Monatsplanung!$L42))</f>
        <v>0</v>
      </c>
      <c r="R562" s="740"/>
      <c r="S562" s="739"/>
      <c r="T562" s="168">
        <f>IF(S562&lt;&gt;"",S562,IF(ISERROR(Personalplanung!AE42/Monatsplanung!$E42*Monatsplanung!$L42),0,Personalplanung!AE42/Monatsplanung!$E42*Monatsplanung!$L42))</f>
        <v>0</v>
      </c>
      <c r="U562" s="740"/>
      <c r="V562" s="168">
        <f t="shared" si="169"/>
        <v>0</v>
      </c>
      <c r="W562" s="168">
        <f>IF(ISERROR(Personalplanung!P42/Monatsplanung!$E42*Monatsplanung!$L42),0,Personalplanung!P42/Monatsplanung!$E42*Monatsplanung!$L42)</f>
        <v>0</v>
      </c>
      <c r="X562" s="168">
        <f>IF(ISERROR(Personalplanung!Q42/Monatsplanung!$E42*Monatsplanung!$L42),0,Personalplanung!Q42/Monatsplanung!$E42*Monatsplanung!$L42)</f>
        <v>0</v>
      </c>
      <c r="Y562" s="168">
        <f>IF(ISERROR(Personalplanung!R42/T1290*Stundencontrolling!T562),0,Personalplanung!R42/T1290*Stundencontrolling!T562)</f>
        <v>0</v>
      </c>
      <c r="Z562" s="168">
        <f>IF(ISERROR(Personalplanung!S42/Monatsplanung!$E42*Monatsplanung!$L42),0,Personalplanung!S42/Monatsplanung!$E42*Monatsplanung!$L42)</f>
        <v>0</v>
      </c>
      <c r="AA562" s="80">
        <f t="shared" si="170"/>
        <v>0</v>
      </c>
      <c r="AB562" s="102">
        <f t="shared" si="171"/>
        <v>0.1</v>
      </c>
      <c r="AC562" s="103">
        <f t="shared" si="172"/>
        <v>0</v>
      </c>
      <c r="AD562" s="103">
        <f t="shared" si="173"/>
        <v>0</v>
      </c>
      <c r="AE562" s="81">
        <f t="shared" si="174"/>
        <v>0</v>
      </c>
      <c r="AF562" s="539"/>
      <c r="AG562" s="104">
        <f t="shared" si="175"/>
        <v>1</v>
      </c>
      <c r="AH562" s="7">
        <f t="shared" si="176"/>
        <v>0</v>
      </c>
      <c r="AI562" s="6">
        <f t="shared" si="177"/>
        <v>0</v>
      </c>
      <c r="AJ562" s="73">
        <f t="shared" si="178"/>
        <v>0</v>
      </c>
      <c r="AK562" s="539"/>
      <c r="AL562" s="748"/>
      <c r="AM562" s="748"/>
    </row>
    <row r="563" spans="2:39" x14ac:dyDescent="0.2">
      <c r="B563" s="101" t="str">
        <f t="shared" si="163"/>
        <v/>
      </c>
      <c r="C563" s="168">
        <f>IF(ISERROR(Personalplanung!F43/Monatsplanung!$E43*Monatsplanung!$L43),0,Personalplanung!F43/Monatsplanung!$E43*Monatsplanung!$L43)</f>
        <v>0</v>
      </c>
      <c r="D563" s="168">
        <f t="shared" si="164"/>
        <v>0</v>
      </c>
      <c r="E563" s="168">
        <f>IF(ISERROR(Personalplanung!H43/Monatsplanung!$E43*Monatsplanung!$L43),0,Personalplanung!H43/Monatsplanung!$E43*Monatsplanung!$L43)</f>
        <v>0</v>
      </c>
      <c r="F563" s="168">
        <f t="shared" si="165"/>
        <v>0</v>
      </c>
      <c r="G563" s="168">
        <f t="shared" si="166"/>
        <v>27.700831024930746</v>
      </c>
      <c r="H563" s="168">
        <f t="shared" si="167"/>
        <v>0</v>
      </c>
      <c r="I563" s="168">
        <f t="shared" si="168"/>
        <v>30</v>
      </c>
      <c r="J563" s="739"/>
      <c r="K563" s="168">
        <f>IF(J563&lt;&gt;"",J563,IF(ISERROR(Personalplanung!AB43/Monatsplanung!$E43*Monatsplanung!$L43),0,Personalplanung!AB43/Monatsplanung!$E43*Monatsplanung!$L43))</f>
        <v>0</v>
      </c>
      <c r="L563" s="740"/>
      <c r="M563" s="739"/>
      <c r="N563" s="168">
        <f>IF(M563&lt;&gt;"",M563,IF(ISERROR(Personalplanung!AC43/Monatsplanung!$E43*Monatsplanung!$L43),0,Personalplanung!AC43/Monatsplanung!$E43*Monatsplanung!$L43))</f>
        <v>0</v>
      </c>
      <c r="O563" s="740"/>
      <c r="P563" s="739"/>
      <c r="Q563" s="168">
        <f>IF(P563&lt;&gt;"",P563,IF(ISERROR(Personalplanung!AD43/Monatsplanung!$E43*Monatsplanung!$L43),0,Personalplanung!AD43/Monatsplanung!$E43*Monatsplanung!$L43))</f>
        <v>0</v>
      </c>
      <c r="R563" s="740"/>
      <c r="S563" s="739"/>
      <c r="T563" s="168">
        <f>IF(S563&lt;&gt;"",S563,IF(ISERROR(Personalplanung!AE43/Monatsplanung!$E43*Monatsplanung!$L43),0,Personalplanung!AE43/Monatsplanung!$E43*Monatsplanung!$L43))</f>
        <v>0</v>
      </c>
      <c r="U563" s="740"/>
      <c r="V563" s="168">
        <f t="shared" si="169"/>
        <v>0</v>
      </c>
      <c r="W563" s="168">
        <f>IF(ISERROR(Personalplanung!P43/Monatsplanung!$E43*Monatsplanung!$L43),0,Personalplanung!P43/Monatsplanung!$E43*Monatsplanung!$L43)</f>
        <v>0</v>
      </c>
      <c r="X563" s="168">
        <f>IF(ISERROR(Personalplanung!Q43/Monatsplanung!$E43*Monatsplanung!$L43),0,Personalplanung!Q43/Monatsplanung!$E43*Monatsplanung!$L43)</f>
        <v>0</v>
      </c>
      <c r="Y563" s="168">
        <f>IF(ISERROR(Personalplanung!R43/T1291*Stundencontrolling!T563),0,Personalplanung!R43/T1291*Stundencontrolling!T563)</f>
        <v>0</v>
      </c>
      <c r="Z563" s="168">
        <f>IF(ISERROR(Personalplanung!S43/Monatsplanung!$E43*Monatsplanung!$L43),0,Personalplanung!S43/Monatsplanung!$E43*Monatsplanung!$L43)</f>
        <v>0</v>
      </c>
      <c r="AA563" s="80">
        <f t="shared" si="170"/>
        <v>0</v>
      </c>
      <c r="AB563" s="102">
        <f t="shared" si="171"/>
        <v>0.1</v>
      </c>
      <c r="AC563" s="103">
        <f t="shared" si="172"/>
        <v>0</v>
      </c>
      <c r="AD563" s="103">
        <f t="shared" si="173"/>
        <v>0</v>
      </c>
      <c r="AE563" s="81">
        <f t="shared" si="174"/>
        <v>0</v>
      </c>
      <c r="AF563" s="539"/>
      <c r="AG563" s="104">
        <f t="shared" si="175"/>
        <v>1</v>
      </c>
      <c r="AH563" s="7">
        <f t="shared" si="176"/>
        <v>0</v>
      </c>
      <c r="AI563" s="6">
        <f t="shared" si="177"/>
        <v>0</v>
      </c>
      <c r="AJ563" s="73">
        <f t="shared" si="178"/>
        <v>0</v>
      </c>
      <c r="AK563" s="539"/>
      <c r="AL563" s="748"/>
      <c r="AM563" s="748"/>
    </row>
    <row r="564" spans="2:39" x14ac:dyDescent="0.2">
      <c r="B564" s="101" t="str">
        <f t="shared" si="163"/>
        <v/>
      </c>
      <c r="C564" s="168">
        <f>IF(ISERROR(Personalplanung!F44/Monatsplanung!$E44*Monatsplanung!$L44),0,Personalplanung!F44/Monatsplanung!$E44*Monatsplanung!$L44)</f>
        <v>0</v>
      </c>
      <c r="D564" s="168">
        <f t="shared" si="164"/>
        <v>0</v>
      </c>
      <c r="E564" s="168">
        <f>IF(ISERROR(Personalplanung!H44/Monatsplanung!$E44*Monatsplanung!$L44),0,Personalplanung!H44/Monatsplanung!$E44*Monatsplanung!$L44)</f>
        <v>0</v>
      </c>
      <c r="F564" s="168">
        <f t="shared" si="165"/>
        <v>0</v>
      </c>
      <c r="G564" s="168">
        <f t="shared" si="166"/>
        <v>27.700831024930746</v>
      </c>
      <c r="H564" s="168">
        <f t="shared" si="167"/>
        <v>0</v>
      </c>
      <c r="I564" s="168">
        <f t="shared" si="168"/>
        <v>30</v>
      </c>
      <c r="J564" s="739"/>
      <c r="K564" s="168">
        <f>IF(J564&lt;&gt;"",J564,IF(ISERROR(Personalplanung!AB44/Monatsplanung!$E44*Monatsplanung!$L44),0,Personalplanung!AB44/Monatsplanung!$E44*Monatsplanung!$L44))</f>
        <v>0</v>
      </c>
      <c r="L564" s="740"/>
      <c r="M564" s="739"/>
      <c r="N564" s="168">
        <f>IF(M564&lt;&gt;"",M564,IF(ISERROR(Personalplanung!AC44/Monatsplanung!$E44*Monatsplanung!$L44),0,Personalplanung!AC44/Monatsplanung!$E44*Monatsplanung!$L44))</f>
        <v>0</v>
      </c>
      <c r="O564" s="740"/>
      <c r="P564" s="739"/>
      <c r="Q564" s="168">
        <f>IF(P564&lt;&gt;"",P564,IF(ISERROR(Personalplanung!AD44/Monatsplanung!$E44*Monatsplanung!$L44),0,Personalplanung!AD44/Monatsplanung!$E44*Monatsplanung!$L44))</f>
        <v>0</v>
      </c>
      <c r="R564" s="740"/>
      <c r="S564" s="739"/>
      <c r="T564" s="168">
        <f>IF(S564&lt;&gt;"",S564,IF(ISERROR(Personalplanung!AE44/Monatsplanung!$E44*Monatsplanung!$L44),0,Personalplanung!AE44/Monatsplanung!$E44*Monatsplanung!$L44))</f>
        <v>0</v>
      </c>
      <c r="U564" s="740"/>
      <c r="V564" s="168">
        <f t="shared" si="169"/>
        <v>0</v>
      </c>
      <c r="W564" s="168">
        <f>IF(ISERROR(Personalplanung!P44/Monatsplanung!$E44*Monatsplanung!$L44),0,Personalplanung!P44/Monatsplanung!$E44*Monatsplanung!$L44)</f>
        <v>0</v>
      </c>
      <c r="X564" s="168">
        <f>IF(ISERROR(Personalplanung!Q44/Monatsplanung!$E44*Monatsplanung!$L44),0,Personalplanung!Q44/Monatsplanung!$E44*Monatsplanung!$L44)</f>
        <v>0</v>
      </c>
      <c r="Y564" s="168">
        <f>IF(ISERROR(Personalplanung!R44/T1292*Stundencontrolling!T564),0,Personalplanung!R44/T1292*Stundencontrolling!T564)</f>
        <v>0</v>
      </c>
      <c r="Z564" s="168">
        <f>IF(ISERROR(Personalplanung!S44/Monatsplanung!$E44*Monatsplanung!$L44),0,Personalplanung!S44/Monatsplanung!$E44*Monatsplanung!$L44)</f>
        <v>0</v>
      </c>
      <c r="AA564" s="80">
        <f t="shared" si="170"/>
        <v>0</v>
      </c>
      <c r="AB564" s="102">
        <f t="shared" si="171"/>
        <v>0.1</v>
      </c>
      <c r="AC564" s="103">
        <f t="shared" si="172"/>
        <v>0</v>
      </c>
      <c r="AD564" s="103">
        <f t="shared" si="173"/>
        <v>0</v>
      </c>
      <c r="AE564" s="81">
        <f t="shared" si="174"/>
        <v>0</v>
      </c>
      <c r="AF564" s="539"/>
      <c r="AG564" s="104">
        <f t="shared" si="175"/>
        <v>1</v>
      </c>
      <c r="AH564" s="7">
        <f t="shared" si="176"/>
        <v>0</v>
      </c>
      <c r="AI564" s="6">
        <f t="shared" si="177"/>
        <v>0</v>
      </c>
      <c r="AJ564" s="73">
        <f t="shared" si="178"/>
        <v>0</v>
      </c>
      <c r="AK564" s="539"/>
      <c r="AL564" s="748"/>
      <c r="AM564" s="748"/>
    </row>
    <row r="565" spans="2:39" x14ac:dyDescent="0.2">
      <c r="B565" s="101" t="str">
        <f t="shared" si="163"/>
        <v/>
      </c>
      <c r="C565" s="168">
        <f>IF(ISERROR(Personalplanung!F45/Monatsplanung!$E45*Monatsplanung!$L45),0,Personalplanung!F45/Monatsplanung!$E45*Monatsplanung!$L45)</f>
        <v>0</v>
      </c>
      <c r="D565" s="168">
        <f t="shared" si="164"/>
        <v>0</v>
      </c>
      <c r="E565" s="168">
        <f>IF(ISERROR(Personalplanung!H45/Monatsplanung!$E45*Monatsplanung!$L45),0,Personalplanung!H45/Monatsplanung!$E45*Monatsplanung!$L45)</f>
        <v>0</v>
      </c>
      <c r="F565" s="168">
        <f t="shared" si="165"/>
        <v>0</v>
      </c>
      <c r="G565" s="168">
        <f t="shared" si="166"/>
        <v>27.700831024930746</v>
      </c>
      <c r="H565" s="168">
        <f t="shared" si="167"/>
        <v>0</v>
      </c>
      <c r="I565" s="168">
        <f t="shared" si="168"/>
        <v>30</v>
      </c>
      <c r="J565" s="739"/>
      <c r="K565" s="168">
        <f>IF(J565&lt;&gt;"",J565,IF(ISERROR(Personalplanung!AB45/Monatsplanung!$E45*Monatsplanung!$L45),0,Personalplanung!AB45/Monatsplanung!$E45*Monatsplanung!$L45))</f>
        <v>0</v>
      </c>
      <c r="L565" s="740"/>
      <c r="M565" s="739"/>
      <c r="N565" s="168">
        <f>IF(M565&lt;&gt;"",M565,IF(ISERROR(Personalplanung!AC45/Monatsplanung!$E45*Monatsplanung!$L45),0,Personalplanung!AC45/Monatsplanung!$E45*Monatsplanung!$L45))</f>
        <v>0</v>
      </c>
      <c r="O565" s="740"/>
      <c r="P565" s="739"/>
      <c r="Q565" s="168">
        <f>IF(P565&lt;&gt;"",P565,IF(ISERROR(Personalplanung!AD45/Monatsplanung!$E45*Monatsplanung!$L45),0,Personalplanung!AD45/Monatsplanung!$E45*Monatsplanung!$L45))</f>
        <v>0</v>
      </c>
      <c r="R565" s="740"/>
      <c r="S565" s="739"/>
      <c r="T565" s="168">
        <f>IF(S565&lt;&gt;"",S565,IF(ISERROR(Personalplanung!AE45/Monatsplanung!$E45*Monatsplanung!$L45),0,Personalplanung!AE45/Monatsplanung!$E45*Monatsplanung!$L45))</f>
        <v>0</v>
      </c>
      <c r="U565" s="740"/>
      <c r="V565" s="168">
        <f t="shared" si="169"/>
        <v>0</v>
      </c>
      <c r="W565" s="168">
        <f>IF(ISERROR(Personalplanung!P45/Monatsplanung!$E45*Monatsplanung!$L45),0,Personalplanung!P45/Monatsplanung!$E45*Monatsplanung!$L45)</f>
        <v>0</v>
      </c>
      <c r="X565" s="168">
        <f>IF(ISERROR(Personalplanung!Q45/Monatsplanung!$E45*Monatsplanung!$L45),0,Personalplanung!Q45/Monatsplanung!$E45*Monatsplanung!$L45)</f>
        <v>0</v>
      </c>
      <c r="Y565" s="168">
        <f>IF(ISERROR(Personalplanung!R45/T1293*Stundencontrolling!T565),0,Personalplanung!R45/T1293*Stundencontrolling!T565)</f>
        <v>0</v>
      </c>
      <c r="Z565" s="168">
        <f>IF(ISERROR(Personalplanung!S45/Monatsplanung!$E45*Monatsplanung!$L45),0,Personalplanung!S45/Monatsplanung!$E45*Monatsplanung!$L45)</f>
        <v>0</v>
      </c>
      <c r="AA565" s="80">
        <f t="shared" si="170"/>
        <v>0</v>
      </c>
      <c r="AB565" s="102">
        <f t="shared" si="171"/>
        <v>0.1</v>
      </c>
      <c r="AC565" s="103">
        <f t="shared" si="172"/>
        <v>0</v>
      </c>
      <c r="AD565" s="103">
        <f t="shared" si="173"/>
        <v>0</v>
      </c>
      <c r="AE565" s="81">
        <f t="shared" si="174"/>
        <v>0</v>
      </c>
      <c r="AF565" s="539"/>
      <c r="AG565" s="104">
        <f t="shared" si="175"/>
        <v>1</v>
      </c>
      <c r="AH565" s="7">
        <f t="shared" si="176"/>
        <v>0</v>
      </c>
      <c r="AI565" s="6">
        <f t="shared" si="177"/>
        <v>0</v>
      </c>
      <c r="AJ565" s="73">
        <f t="shared" si="178"/>
        <v>0</v>
      </c>
      <c r="AK565" s="539"/>
      <c r="AL565" s="748"/>
      <c r="AM565" s="748"/>
    </row>
    <row r="566" spans="2:39" x14ac:dyDescent="0.2">
      <c r="B566" s="101" t="str">
        <f t="shared" si="163"/>
        <v/>
      </c>
      <c r="C566" s="168">
        <f>IF(ISERROR(Personalplanung!F46/Monatsplanung!$E46*Monatsplanung!$L46),0,Personalplanung!F46/Monatsplanung!$E46*Monatsplanung!$L46)</f>
        <v>0</v>
      </c>
      <c r="D566" s="168">
        <f t="shared" si="164"/>
        <v>0</v>
      </c>
      <c r="E566" s="168">
        <f>IF(ISERROR(Personalplanung!H46/Monatsplanung!$E46*Monatsplanung!$L46),0,Personalplanung!H46/Monatsplanung!$E46*Monatsplanung!$L46)</f>
        <v>0</v>
      </c>
      <c r="F566" s="168">
        <f t="shared" si="165"/>
        <v>0</v>
      </c>
      <c r="G566" s="168">
        <f t="shared" si="166"/>
        <v>27.700831024930746</v>
      </c>
      <c r="H566" s="168">
        <f t="shared" si="167"/>
        <v>0</v>
      </c>
      <c r="I566" s="168">
        <f t="shared" si="168"/>
        <v>30</v>
      </c>
      <c r="J566" s="739"/>
      <c r="K566" s="168">
        <f>IF(J566&lt;&gt;"",J566,IF(ISERROR(Personalplanung!AB46/Monatsplanung!$E46*Monatsplanung!$L46),0,Personalplanung!AB46/Monatsplanung!$E46*Monatsplanung!$L46))</f>
        <v>0</v>
      </c>
      <c r="L566" s="740"/>
      <c r="M566" s="739"/>
      <c r="N566" s="168">
        <f>IF(M566&lt;&gt;"",M566,IF(ISERROR(Personalplanung!AC46/Monatsplanung!$E46*Monatsplanung!$L46),0,Personalplanung!AC46/Monatsplanung!$E46*Monatsplanung!$L46))</f>
        <v>0</v>
      </c>
      <c r="O566" s="740"/>
      <c r="P566" s="739"/>
      <c r="Q566" s="168">
        <f>IF(P566&lt;&gt;"",P566,IF(ISERROR(Personalplanung!AD46/Monatsplanung!$E46*Monatsplanung!$L46),0,Personalplanung!AD46/Monatsplanung!$E46*Monatsplanung!$L46))</f>
        <v>0</v>
      </c>
      <c r="R566" s="740"/>
      <c r="S566" s="739"/>
      <c r="T566" s="168">
        <f>IF(S566&lt;&gt;"",S566,IF(ISERROR(Personalplanung!AE46/Monatsplanung!$E46*Monatsplanung!$L46),0,Personalplanung!AE46/Monatsplanung!$E46*Monatsplanung!$L46))</f>
        <v>0</v>
      </c>
      <c r="U566" s="740"/>
      <c r="V566" s="168">
        <f t="shared" si="169"/>
        <v>0</v>
      </c>
      <c r="W566" s="168">
        <f>IF(ISERROR(Personalplanung!P46/Monatsplanung!$E46*Monatsplanung!$L46),0,Personalplanung!P46/Monatsplanung!$E46*Monatsplanung!$L46)</f>
        <v>0</v>
      </c>
      <c r="X566" s="168">
        <f>IF(ISERROR(Personalplanung!Q46/Monatsplanung!$E46*Monatsplanung!$L46),0,Personalplanung!Q46/Monatsplanung!$E46*Monatsplanung!$L46)</f>
        <v>0</v>
      </c>
      <c r="Y566" s="168">
        <f>IF(ISERROR(Personalplanung!R46/T1294*Stundencontrolling!T566),0,Personalplanung!R46/T1294*Stundencontrolling!T566)</f>
        <v>0</v>
      </c>
      <c r="Z566" s="168">
        <f>IF(ISERROR(Personalplanung!S46/Monatsplanung!$E46*Monatsplanung!$L46),0,Personalplanung!S46/Monatsplanung!$E46*Monatsplanung!$L46)</f>
        <v>0</v>
      </c>
      <c r="AA566" s="80">
        <f t="shared" si="170"/>
        <v>0</v>
      </c>
      <c r="AB566" s="102">
        <f t="shared" si="171"/>
        <v>0.1</v>
      </c>
      <c r="AC566" s="103">
        <f t="shared" si="172"/>
        <v>0</v>
      </c>
      <c r="AD566" s="103">
        <f t="shared" si="173"/>
        <v>0</v>
      </c>
      <c r="AE566" s="81">
        <f t="shared" si="174"/>
        <v>0</v>
      </c>
      <c r="AF566" s="539"/>
      <c r="AG566" s="104">
        <f t="shared" si="175"/>
        <v>1</v>
      </c>
      <c r="AH566" s="7">
        <f t="shared" si="176"/>
        <v>0</v>
      </c>
      <c r="AI566" s="6">
        <f t="shared" si="177"/>
        <v>0</v>
      </c>
      <c r="AJ566" s="73">
        <f t="shared" si="178"/>
        <v>0</v>
      </c>
      <c r="AK566" s="539"/>
      <c r="AL566" s="748"/>
      <c r="AM566" s="748"/>
    </row>
    <row r="567" spans="2:39" x14ac:dyDescent="0.2">
      <c r="B567" s="101" t="str">
        <f t="shared" si="163"/>
        <v/>
      </c>
      <c r="C567" s="168">
        <f>IF(ISERROR(Personalplanung!F47/Monatsplanung!$E47*Monatsplanung!$L47),0,Personalplanung!F47/Monatsplanung!$E47*Monatsplanung!$L47)</f>
        <v>0</v>
      </c>
      <c r="D567" s="168">
        <f t="shared" si="164"/>
        <v>0</v>
      </c>
      <c r="E567" s="168">
        <f>IF(ISERROR(Personalplanung!H47/Monatsplanung!$E47*Monatsplanung!$L47),0,Personalplanung!H47/Monatsplanung!$E47*Monatsplanung!$L47)</f>
        <v>0</v>
      </c>
      <c r="F567" s="168">
        <f t="shared" si="165"/>
        <v>0</v>
      </c>
      <c r="G567" s="168">
        <f t="shared" si="166"/>
        <v>27.700831024930746</v>
      </c>
      <c r="H567" s="168">
        <f t="shared" si="167"/>
        <v>0</v>
      </c>
      <c r="I567" s="168">
        <f t="shared" si="168"/>
        <v>30</v>
      </c>
      <c r="J567" s="739"/>
      <c r="K567" s="168">
        <f>IF(J567&lt;&gt;"",J567,IF(ISERROR(Personalplanung!AB47/Monatsplanung!$E47*Monatsplanung!$L47),0,Personalplanung!AB47/Monatsplanung!$E47*Monatsplanung!$L47))</f>
        <v>0</v>
      </c>
      <c r="L567" s="740"/>
      <c r="M567" s="739"/>
      <c r="N567" s="168">
        <f>IF(M567&lt;&gt;"",M567,IF(ISERROR(Personalplanung!AC47/Monatsplanung!$E47*Monatsplanung!$L47),0,Personalplanung!AC47/Monatsplanung!$E47*Monatsplanung!$L47))</f>
        <v>0</v>
      </c>
      <c r="O567" s="740"/>
      <c r="P567" s="739"/>
      <c r="Q567" s="168">
        <f>IF(P567&lt;&gt;"",P567,IF(ISERROR(Personalplanung!AD47/Monatsplanung!$E47*Monatsplanung!$L47),0,Personalplanung!AD47/Monatsplanung!$E47*Monatsplanung!$L47))</f>
        <v>0</v>
      </c>
      <c r="R567" s="740"/>
      <c r="S567" s="739"/>
      <c r="T567" s="168">
        <f>IF(S567&lt;&gt;"",S567,IF(ISERROR(Personalplanung!AE47/Monatsplanung!$E47*Monatsplanung!$L47),0,Personalplanung!AE47/Monatsplanung!$E47*Monatsplanung!$L47))</f>
        <v>0</v>
      </c>
      <c r="U567" s="740"/>
      <c r="V567" s="168">
        <f t="shared" si="169"/>
        <v>0</v>
      </c>
      <c r="W567" s="168">
        <f>IF(ISERROR(Personalplanung!P47/Monatsplanung!$E47*Monatsplanung!$L47),0,Personalplanung!P47/Monatsplanung!$E47*Monatsplanung!$L47)</f>
        <v>0</v>
      </c>
      <c r="X567" s="168">
        <f>IF(ISERROR(Personalplanung!Q47/Monatsplanung!$E47*Monatsplanung!$L47),0,Personalplanung!Q47/Monatsplanung!$E47*Monatsplanung!$L47)</f>
        <v>0</v>
      </c>
      <c r="Y567" s="168">
        <f>IF(ISERROR(Personalplanung!R47/T1295*Stundencontrolling!T567),0,Personalplanung!R47/T1295*Stundencontrolling!T567)</f>
        <v>0</v>
      </c>
      <c r="Z567" s="168">
        <f>IF(ISERROR(Personalplanung!S47/Monatsplanung!$E47*Monatsplanung!$L47),0,Personalplanung!S47/Monatsplanung!$E47*Monatsplanung!$L47)</f>
        <v>0</v>
      </c>
      <c r="AA567" s="80">
        <f t="shared" si="170"/>
        <v>0</v>
      </c>
      <c r="AB567" s="102">
        <f t="shared" si="171"/>
        <v>0.1</v>
      </c>
      <c r="AC567" s="103">
        <f t="shared" si="172"/>
        <v>0</v>
      </c>
      <c r="AD567" s="103">
        <f t="shared" si="173"/>
        <v>0</v>
      </c>
      <c r="AE567" s="81">
        <f t="shared" si="174"/>
        <v>0</v>
      </c>
      <c r="AF567" s="539"/>
      <c r="AG567" s="104">
        <f t="shared" si="175"/>
        <v>1</v>
      </c>
      <c r="AH567" s="7">
        <f t="shared" si="176"/>
        <v>0</v>
      </c>
      <c r="AI567" s="6">
        <f t="shared" si="177"/>
        <v>0</v>
      </c>
      <c r="AJ567" s="73">
        <f t="shared" si="178"/>
        <v>0</v>
      </c>
      <c r="AK567" s="539"/>
      <c r="AL567" s="748"/>
      <c r="AM567" s="748"/>
    </row>
    <row r="568" spans="2:39" x14ac:dyDescent="0.2">
      <c r="B568" s="101" t="str">
        <f t="shared" si="163"/>
        <v/>
      </c>
      <c r="C568" s="168">
        <f>IF(ISERROR(Personalplanung!F48/Monatsplanung!$E48*Monatsplanung!$L48),0,Personalplanung!F48/Monatsplanung!$E48*Monatsplanung!$L48)</f>
        <v>0</v>
      </c>
      <c r="D568" s="168">
        <f t="shared" si="164"/>
        <v>0</v>
      </c>
      <c r="E568" s="168">
        <f>IF(ISERROR(Personalplanung!H48/Monatsplanung!$E48*Monatsplanung!$L48),0,Personalplanung!H48/Monatsplanung!$E48*Monatsplanung!$L48)</f>
        <v>0</v>
      </c>
      <c r="F568" s="168">
        <f t="shared" si="165"/>
        <v>0</v>
      </c>
      <c r="G568" s="168">
        <f t="shared" si="166"/>
        <v>27.700831024930746</v>
      </c>
      <c r="H568" s="168">
        <f t="shared" si="167"/>
        <v>0</v>
      </c>
      <c r="I568" s="168">
        <f t="shared" si="168"/>
        <v>30</v>
      </c>
      <c r="J568" s="739"/>
      <c r="K568" s="168">
        <f>IF(J568&lt;&gt;"",J568,IF(ISERROR(Personalplanung!AB48/Monatsplanung!$E48*Monatsplanung!$L48),0,Personalplanung!AB48/Monatsplanung!$E48*Monatsplanung!$L48))</f>
        <v>0</v>
      </c>
      <c r="L568" s="740"/>
      <c r="M568" s="739"/>
      <c r="N568" s="168">
        <f>IF(M568&lt;&gt;"",M568,IF(ISERROR(Personalplanung!AC48/Monatsplanung!$E48*Monatsplanung!$L48),0,Personalplanung!AC48/Monatsplanung!$E48*Monatsplanung!$L48))</f>
        <v>0</v>
      </c>
      <c r="O568" s="740"/>
      <c r="P568" s="739"/>
      <c r="Q568" s="168">
        <f>IF(P568&lt;&gt;"",P568,IF(ISERROR(Personalplanung!AD48/Monatsplanung!$E48*Monatsplanung!$L48),0,Personalplanung!AD48/Monatsplanung!$E48*Monatsplanung!$L48))</f>
        <v>0</v>
      </c>
      <c r="R568" s="740"/>
      <c r="S568" s="739"/>
      <c r="T568" s="168">
        <f>IF(S568&lt;&gt;"",S568,IF(ISERROR(Personalplanung!AE48/Monatsplanung!$E48*Monatsplanung!$L48),0,Personalplanung!AE48/Monatsplanung!$E48*Monatsplanung!$L48))</f>
        <v>0</v>
      </c>
      <c r="U568" s="740"/>
      <c r="V568" s="168">
        <f t="shared" si="169"/>
        <v>0</v>
      </c>
      <c r="W568" s="168">
        <f>IF(ISERROR(Personalplanung!P48/Monatsplanung!$E48*Monatsplanung!$L48),0,Personalplanung!P48/Monatsplanung!$E48*Monatsplanung!$L48)</f>
        <v>0</v>
      </c>
      <c r="X568" s="168">
        <f>IF(ISERROR(Personalplanung!Q48/Monatsplanung!$E48*Monatsplanung!$L48),0,Personalplanung!Q48/Monatsplanung!$E48*Monatsplanung!$L48)</f>
        <v>0</v>
      </c>
      <c r="Y568" s="168">
        <f>IF(ISERROR(Personalplanung!R48/T1296*Stundencontrolling!T568),0,Personalplanung!R48/T1296*Stundencontrolling!T568)</f>
        <v>0</v>
      </c>
      <c r="Z568" s="168">
        <f>IF(ISERROR(Personalplanung!S48/Monatsplanung!$E48*Monatsplanung!$L48),0,Personalplanung!S48/Monatsplanung!$E48*Monatsplanung!$L48)</f>
        <v>0</v>
      </c>
      <c r="AA568" s="80">
        <f t="shared" si="170"/>
        <v>0</v>
      </c>
      <c r="AB568" s="102">
        <f t="shared" si="171"/>
        <v>0.1</v>
      </c>
      <c r="AC568" s="103">
        <f t="shared" si="172"/>
        <v>0</v>
      </c>
      <c r="AD568" s="103">
        <f t="shared" si="173"/>
        <v>0</v>
      </c>
      <c r="AE568" s="81">
        <f t="shared" si="174"/>
        <v>0</v>
      </c>
      <c r="AF568" s="539"/>
      <c r="AG568" s="104">
        <f t="shared" si="175"/>
        <v>1</v>
      </c>
      <c r="AH568" s="7">
        <f t="shared" si="176"/>
        <v>0</v>
      </c>
      <c r="AI568" s="6">
        <f t="shared" si="177"/>
        <v>0</v>
      </c>
      <c r="AJ568" s="73">
        <f t="shared" si="178"/>
        <v>0</v>
      </c>
      <c r="AK568" s="539"/>
      <c r="AL568" s="748"/>
      <c r="AM568" s="748"/>
    </row>
    <row r="569" spans="2:39" x14ac:dyDescent="0.2">
      <c r="B569" s="101" t="str">
        <f t="shared" si="163"/>
        <v/>
      </c>
      <c r="C569" s="168">
        <f>IF(ISERROR(Personalplanung!F49/Monatsplanung!$E49*Monatsplanung!$L49),0,Personalplanung!F49/Monatsplanung!$E49*Monatsplanung!$L49)</f>
        <v>0</v>
      </c>
      <c r="D569" s="168">
        <f t="shared" si="164"/>
        <v>0</v>
      </c>
      <c r="E569" s="168">
        <f>IF(ISERROR(Personalplanung!H49/Monatsplanung!$E49*Monatsplanung!$L49),0,Personalplanung!H49/Monatsplanung!$E49*Monatsplanung!$L49)</f>
        <v>0</v>
      </c>
      <c r="F569" s="168">
        <f t="shared" si="165"/>
        <v>0</v>
      </c>
      <c r="G569" s="168">
        <f t="shared" si="166"/>
        <v>27.700831024930746</v>
      </c>
      <c r="H569" s="168">
        <f t="shared" si="167"/>
        <v>0</v>
      </c>
      <c r="I569" s="168">
        <f t="shared" si="168"/>
        <v>30</v>
      </c>
      <c r="J569" s="739"/>
      <c r="K569" s="168">
        <f>IF(J569&lt;&gt;"",J569,IF(ISERROR(Personalplanung!AB49/Monatsplanung!$E49*Monatsplanung!$L49),0,Personalplanung!AB49/Monatsplanung!$E49*Monatsplanung!$L49))</f>
        <v>0</v>
      </c>
      <c r="L569" s="740"/>
      <c r="M569" s="739"/>
      <c r="N569" s="168">
        <f>IF(M569&lt;&gt;"",M569,IF(ISERROR(Personalplanung!AC49/Monatsplanung!$E49*Monatsplanung!$L49),0,Personalplanung!AC49/Monatsplanung!$E49*Monatsplanung!$L49))</f>
        <v>0</v>
      </c>
      <c r="O569" s="740"/>
      <c r="P569" s="739"/>
      <c r="Q569" s="168">
        <f>IF(P569&lt;&gt;"",P569,IF(ISERROR(Personalplanung!AD49/Monatsplanung!$E49*Monatsplanung!$L49),0,Personalplanung!AD49/Monatsplanung!$E49*Monatsplanung!$L49))</f>
        <v>0</v>
      </c>
      <c r="R569" s="740"/>
      <c r="S569" s="739"/>
      <c r="T569" s="168">
        <f>IF(S569&lt;&gt;"",S569,IF(ISERROR(Personalplanung!AE49/Monatsplanung!$E49*Monatsplanung!$L49),0,Personalplanung!AE49/Monatsplanung!$E49*Monatsplanung!$L49))</f>
        <v>0</v>
      </c>
      <c r="U569" s="740"/>
      <c r="V569" s="168">
        <f t="shared" si="169"/>
        <v>0</v>
      </c>
      <c r="W569" s="168">
        <f>IF(ISERROR(Personalplanung!P49/Monatsplanung!$E49*Monatsplanung!$L49),0,Personalplanung!P49/Monatsplanung!$E49*Monatsplanung!$L49)</f>
        <v>0</v>
      </c>
      <c r="X569" s="168">
        <f>IF(ISERROR(Personalplanung!Q49/Monatsplanung!$E49*Monatsplanung!$L49),0,Personalplanung!Q49/Monatsplanung!$E49*Monatsplanung!$L49)</f>
        <v>0</v>
      </c>
      <c r="Y569" s="168">
        <f>IF(ISERROR(Personalplanung!R49/T1297*Stundencontrolling!T569),0,Personalplanung!R49/T1297*Stundencontrolling!T569)</f>
        <v>0</v>
      </c>
      <c r="Z569" s="168">
        <f>IF(ISERROR(Personalplanung!S49/Monatsplanung!$E49*Monatsplanung!$L49),0,Personalplanung!S49/Monatsplanung!$E49*Monatsplanung!$L49)</f>
        <v>0</v>
      </c>
      <c r="AA569" s="80">
        <f t="shared" si="170"/>
        <v>0</v>
      </c>
      <c r="AB569" s="102">
        <f t="shared" si="171"/>
        <v>0.1</v>
      </c>
      <c r="AC569" s="103">
        <f t="shared" si="172"/>
        <v>0</v>
      </c>
      <c r="AD569" s="103">
        <f t="shared" si="173"/>
        <v>0</v>
      </c>
      <c r="AE569" s="81">
        <f t="shared" si="174"/>
        <v>0</v>
      </c>
      <c r="AF569" s="539"/>
      <c r="AG569" s="104">
        <f t="shared" si="175"/>
        <v>1</v>
      </c>
      <c r="AH569" s="7">
        <f t="shared" si="176"/>
        <v>0</v>
      </c>
      <c r="AI569" s="6">
        <f t="shared" si="177"/>
        <v>0</v>
      </c>
      <c r="AJ569" s="73">
        <f t="shared" si="178"/>
        <v>0</v>
      </c>
      <c r="AK569" s="539"/>
      <c r="AL569" s="748"/>
      <c r="AM569" s="748"/>
    </row>
    <row r="570" spans="2:39" x14ac:dyDescent="0.2">
      <c r="B570" s="101" t="str">
        <f t="shared" si="163"/>
        <v/>
      </c>
      <c r="C570" s="168">
        <f>IF(ISERROR(Personalplanung!F50/Monatsplanung!$E50*Monatsplanung!$L50),0,Personalplanung!F50/Monatsplanung!$E50*Monatsplanung!$L50)</f>
        <v>0</v>
      </c>
      <c r="D570" s="168">
        <f t="shared" si="164"/>
        <v>0</v>
      </c>
      <c r="E570" s="168">
        <f>IF(ISERROR(Personalplanung!H50/Monatsplanung!$E50*Monatsplanung!$L50),0,Personalplanung!H50/Monatsplanung!$E50*Monatsplanung!$L50)</f>
        <v>0</v>
      </c>
      <c r="F570" s="168">
        <f t="shared" si="165"/>
        <v>0</v>
      </c>
      <c r="G570" s="168">
        <f t="shared" si="166"/>
        <v>27.700831024930746</v>
      </c>
      <c r="H570" s="168">
        <f t="shared" si="167"/>
        <v>0</v>
      </c>
      <c r="I570" s="168">
        <f t="shared" si="168"/>
        <v>30</v>
      </c>
      <c r="J570" s="739"/>
      <c r="K570" s="168">
        <f>IF(J570&lt;&gt;"",J570,IF(ISERROR(Personalplanung!AB50/Monatsplanung!$E50*Monatsplanung!$L50),0,Personalplanung!AB50/Monatsplanung!$E50*Monatsplanung!$L50))</f>
        <v>0</v>
      </c>
      <c r="L570" s="740"/>
      <c r="M570" s="739"/>
      <c r="N570" s="168">
        <f>IF(M570&lt;&gt;"",M570,IF(ISERROR(Personalplanung!AC50/Monatsplanung!$E50*Monatsplanung!$L50),0,Personalplanung!AC50/Monatsplanung!$E50*Monatsplanung!$L50))</f>
        <v>0</v>
      </c>
      <c r="O570" s="740"/>
      <c r="P570" s="739"/>
      <c r="Q570" s="168">
        <f>IF(P570&lt;&gt;"",P570,IF(ISERROR(Personalplanung!AD50/Monatsplanung!$E50*Monatsplanung!$L50),0,Personalplanung!AD50/Monatsplanung!$E50*Monatsplanung!$L50))</f>
        <v>0</v>
      </c>
      <c r="R570" s="740"/>
      <c r="S570" s="739"/>
      <c r="T570" s="168">
        <f>IF(S570&lt;&gt;"",S570,IF(ISERROR(Personalplanung!AE50/Monatsplanung!$E50*Monatsplanung!$L50),0,Personalplanung!AE50/Monatsplanung!$E50*Monatsplanung!$L50))</f>
        <v>0</v>
      </c>
      <c r="U570" s="740"/>
      <c r="V570" s="168">
        <f t="shared" si="169"/>
        <v>0</v>
      </c>
      <c r="W570" s="168">
        <f>IF(ISERROR(Personalplanung!P50/Monatsplanung!$E50*Monatsplanung!$L50),0,Personalplanung!P50/Monatsplanung!$E50*Monatsplanung!$L50)</f>
        <v>0</v>
      </c>
      <c r="X570" s="168">
        <f>IF(ISERROR(Personalplanung!Q50/Monatsplanung!$E50*Monatsplanung!$L50),0,Personalplanung!Q50/Monatsplanung!$E50*Monatsplanung!$L50)</f>
        <v>0</v>
      </c>
      <c r="Y570" s="168">
        <f>IF(ISERROR(Personalplanung!R50/T1298*Stundencontrolling!T570),0,Personalplanung!R50/T1298*Stundencontrolling!T570)</f>
        <v>0</v>
      </c>
      <c r="Z570" s="168">
        <f>IF(ISERROR(Personalplanung!S50/Monatsplanung!$E50*Monatsplanung!$L50),0,Personalplanung!S50/Monatsplanung!$E50*Monatsplanung!$L50)</f>
        <v>0</v>
      </c>
      <c r="AA570" s="80">
        <f t="shared" si="170"/>
        <v>0</v>
      </c>
      <c r="AB570" s="102">
        <f t="shared" si="171"/>
        <v>0.1</v>
      </c>
      <c r="AC570" s="103">
        <f t="shared" si="172"/>
        <v>0</v>
      </c>
      <c r="AD570" s="103">
        <f t="shared" si="173"/>
        <v>0</v>
      </c>
      <c r="AE570" s="81">
        <f t="shared" si="174"/>
        <v>0</v>
      </c>
      <c r="AF570" s="539"/>
      <c r="AG570" s="104">
        <f t="shared" si="175"/>
        <v>1</v>
      </c>
      <c r="AH570" s="7">
        <f t="shared" si="176"/>
        <v>0</v>
      </c>
      <c r="AI570" s="6">
        <f t="shared" si="177"/>
        <v>0</v>
      </c>
      <c r="AJ570" s="73">
        <f t="shared" si="178"/>
        <v>0</v>
      </c>
      <c r="AK570" s="539"/>
      <c r="AL570" s="748"/>
      <c r="AM570" s="748"/>
    </row>
    <row r="571" spans="2:39" x14ac:dyDescent="0.2">
      <c r="B571" s="101" t="str">
        <f t="shared" si="163"/>
        <v/>
      </c>
      <c r="C571" s="168">
        <f>IF(ISERROR(Personalplanung!F51/Monatsplanung!$E51*Monatsplanung!$L51),0,Personalplanung!F51/Monatsplanung!$E51*Monatsplanung!$L51)</f>
        <v>0</v>
      </c>
      <c r="D571" s="168">
        <f t="shared" si="164"/>
        <v>0</v>
      </c>
      <c r="E571" s="168">
        <f>IF(ISERROR(Personalplanung!H51/Monatsplanung!$E51*Monatsplanung!$L51),0,Personalplanung!H51/Monatsplanung!$E51*Monatsplanung!$L51)</f>
        <v>0</v>
      </c>
      <c r="F571" s="168">
        <f t="shared" si="165"/>
        <v>0</v>
      </c>
      <c r="G571" s="168">
        <f t="shared" si="166"/>
        <v>27.700831024930746</v>
      </c>
      <c r="H571" s="168">
        <f t="shared" si="167"/>
        <v>0</v>
      </c>
      <c r="I571" s="168">
        <f t="shared" si="168"/>
        <v>30</v>
      </c>
      <c r="J571" s="739"/>
      <c r="K571" s="168">
        <f>IF(J571&lt;&gt;"",J571,IF(ISERROR(Personalplanung!AB51/Monatsplanung!$E51*Monatsplanung!$L51),0,Personalplanung!AB51/Monatsplanung!$E51*Monatsplanung!$L51))</f>
        <v>0</v>
      </c>
      <c r="L571" s="740"/>
      <c r="M571" s="739"/>
      <c r="N571" s="168">
        <f>IF(M571&lt;&gt;"",M571,IF(ISERROR(Personalplanung!AC51/Monatsplanung!$E51*Monatsplanung!$L51),0,Personalplanung!AC51/Monatsplanung!$E51*Monatsplanung!$L51))</f>
        <v>0</v>
      </c>
      <c r="O571" s="740"/>
      <c r="P571" s="739"/>
      <c r="Q571" s="168">
        <f>IF(P571&lt;&gt;"",P571,IF(ISERROR(Personalplanung!AD51/Monatsplanung!$E51*Monatsplanung!$L51),0,Personalplanung!AD51/Monatsplanung!$E51*Monatsplanung!$L51))</f>
        <v>0</v>
      </c>
      <c r="R571" s="740"/>
      <c r="S571" s="739"/>
      <c r="T571" s="168">
        <f>IF(S571&lt;&gt;"",S571,IF(ISERROR(Personalplanung!AE51/Monatsplanung!$E51*Monatsplanung!$L51),0,Personalplanung!AE51/Monatsplanung!$E51*Monatsplanung!$L51))</f>
        <v>0</v>
      </c>
      <c r="U571" s="740"/>
      <c r="V571" s="168">
        <f t="shared" si="169"/>
        <v>0</v>
      </c>
      <c r="W571" s="168">
        <f>IF(ISERROR(Personalplanung!P51/Monatsplanung!$E51*Monatsplanung!$L51),0,Personalplanung!P51/Monatsplanung!$E51*Monatsplanung!$L51)</f>
        <v>0</v>
      </c>
      <c r="X571" s="168">
        <f>IF(ISERROR(Personalplanung!Q51/Monatsplanung!$E51*Monatsplanung!$L51),0,Personalplanung!Q51/Monatsplanung!$E51*Monatsplanung!$L51)</f>
        <v>0</v>
      </c>
      <c r="Y571" s="168">
        <f>IF(ISERROR(Personalplanung!R51/T1299*Stundencontrolling!T571),0,Personalplanung!R51/T1299*Stundencontrolling!T571)</f>
        <v>0</v>
      </c>
      <c r="Z571" s="168">
        <f>IF(ISERROR(Personalplanung!S51/Monatsplanung!$E51*Monatsplanung!$L51),0,Personalplanung!S51/Monatsplanung!$E51*Monatsplanung!$L51)</f>
        <v>0</v>
      </c>
      <c r="AA571" s="80">
        <f t="shared" si="170"/>
        <v>0</v>
      </c>
      <c r="AB571" s="102">
        <f t="shared" si="171"/>
        <v>0.1</v>
      </c>
      <c r="AC571" s="103">
        <f t="shared" si="172"/>
        <v>0</v>
      </c>
      <c r="AD571" s="103">
        <f t="shared" si="173"/>
        <v>0</v>
      </c>
      <c r="AE571" s="81">
        <f t="shared" si="174"/>
        <v>0</v>
      </c>
      <c r="AF571" s="539"/>
      <c r="AG571" s="104">
        <f t="shared" si="175"/>
        <v>1</v>
      </c>
      <c r="AH571" s="7">
        <f t="shared" si="176"/>
        <v>0</v>
      </c>
      <c r="AI571" s="6">
        <f t="shared" si="177"/>
        <v>0</v>
      </c>
      <c r="AJ571" s="73">
        <f t="shared" si="178"/>
        <v>0</v>
      </c>
      <c r="AK571" s="539"/>
      <c r="AL571" s="748"/>
      <c r="AM571" s="748"/>
    </row>
    <row r="572" spans="2:39" x14ac:dyDescent="0.2">
      <c r="B572" s="101" t="str">
        <f t="shared" si="163"/>
        <v/>
      </c>
      <c r="C572" s="168">
        <f>IF(ISERROR(Personalplanung!F52/Monatsplanung!$E52*Monatsplanung!$L52),0,Personalplanung!F52/Monatsplanung!$E52*Monatsplanung!$L52)</f>
        <v>0</v>
      </c>
      <c r="D572" s="168">
        <f t="shared" si="164"/>
        <v>0</v>
      </c>
      <c r="E572" s="168">
        <f>IF(ISERROR(Personalplanung!H52/Monatsplanung!$E52*Monatsplanung!$L52),0,Personalplanung!H52/Monatsplanung!$E52*Monatsplanung!$L52)</f>
        <v>0</v>
      </c>
      <c r="F572" s="168">
        <f t="shared" si="165"/>
        <v>0</v>
      </c>
      <c r="G572" s="168">
        <f t="shared" si="166"/>
        <v>27.700831024930746</v>
      </c>
      <c r="H572" s="168">
        <f t="shared" si="167"/>
        <v>0</v>
      </c>
      <c r="I572" s="168">
        <f t="shared" si="168"/>
        <v>30</v>
      </c>
      <c r="J572" s="739"/>
      <c r="K572" s="168">
        <f>IF(J572&lt;&gt;"",J572,IF(ISERROR(Personalplanung!AB52/Monatsplanung!$E52*Monatsplanung!$L52),0,Personalplanung!AB52/Monatsplanung!$E52*Monatsplanung!$L52))</f>
        <v>0</v>
      </c>
      <c r="L572" s="740"/>
      <c r="M572" s="739"/>
      <c r="N572" s="168">
        <f>IF(M572&lt;&gt;"",M572,IF(ISERROR(Personalplanung!AC52/Monatsplanung!$E52*Monatsplanung!$L52),0,Personalplanung!AC52/Monatsplanung!$E52*Monatsplanung!$L52))</f>
        <v>0</v>
      </c>
      <c r="O572" s="740"/>
      <c r="P572" s="739"/>
      <c r="Q572" s="168">
        <f>IF(P572&lt;&gt;"",P572,IF(ISERROR(Personalplanung!AD52/Monatsplanung!$E52*Monatsplanung!$L52),0,Personalplanung!AD52/Monatsplanung!$E52*Monatsplanung!$L52))</f>
        <v>0</v>
      </c>
      <c r="R572" s="740"/>
      <c r="S572" s="739"/>
      <c r="T572" s="168">
        <f>IF(S572&lt;&gt;"",S572,IF(ISERROR(Personalplanung!AE52/Monatsplanung!$E52*Monatsplanung!$L52),0,Personalplanung!AE52/Monatsplanung!$E52*Monatsplanung!$L52))</f>
        <v>0</v>
      </c>
      <c r="U572" s="740"/>
      <c r="V572" s="168">
        <f t="shared" si="169"/>
        <v>0</v>
      </c>
      <c r="W572" s="168">
        <f>IF(ISERROR(Personalplanung!P52/Monatsplanung!$E52*Monatsplanung!$L52),0,Personalplanung!P52/Monatsplanung!$E52*Monatsplanung!$L52)</f>
        <v>0</v>
      </c>
      <c r="X572" s="168">
        <f>IF(ISERROR(Personalplanung!Q52/Monatsplanung!$E52*Monatsplanung!$L52),0,Personalplanung!Q52/Monatsplanung!$E52*Monatsplanung!$L52)</f>
        <v>0</v>
      </c>
      <c r="Y572" s="168">
        <f>IF(ISERROR(Personalplanung!R52/T1300*Stundencontrolling!T572),0,Personalplanung!R52/T1300*Stundencontrolling!T572)</f>
        <v>0</v>
      </c>
      <c r="Z572" s="168">
        <f>IF(ISERROR(Personalplanung!S52/Monatsplanung!$E52*Monatsplanung!$L52),0,Personalplanung!S52/Monatsplanung!$E52*Monatsplanung!$L52)</f>
        <v>0</v>
      </c>
      <c r="AA572" s="80">
        <f t="shared" si="170"/>
        <v>0</v>
      </c>
      <c r="AB572" s="102">
        <f t="shared" si="171"/>
        <v>0.1</v>
      </c>
      <c r="AC572" s="103">
        <f t="shared" si="172"/>
        <v>0</v>
      </c>
      <c r="AD572" s="103">
        <f t="shared" si="173"/>
        <v>0</v>
      </c>
      <c r="AE572" s="81">
        <f t="shared" si="174"/>
        <v>0</v>
      </c>
      <c r="AF572" s="539"/>
      <c r="AG572" s="104">
        <f t="shared" si="175"/>
        <v>1</v>
      </c>
      <c r="AH572" s="7">
        <f t="shared" si="176"/>
        <v>0</v>
      </c>
      <c r="AI572" s="6">
        <f t="shared" si="177"/>
        <v>0</v>
      </c>
      <c r="AJ572" s="73">
        <f t="shared" si="178"/>
        <v>0</v>
      </c>
      <c r="AK572" s="539"/>
      <c r="AL572" s="748"/>
      <c r="AM572" s="748"/>
    </row>
    <row r="573" spans="2:39" x14ac:dyDescent="0.2">
      <c r="B573" s="101" t="str">
        <f t="shared" si="163"/>
        <v/>
      </c>
      <c r="C573" s="168">
        <f>IF(ISERROR(Personalplanung!F53/Monatsplanung!$E53*Monatsplanung!$L53),0,Personalplanung!F53/Monatsplanung!$E53*Monatsplanung!$L53)</f>
        <v>0</v>
      </c>
      <c r="D573" s="168">
        <f t="shared" si="164"/>
        <v>0</v>
      </c>
      <c r="E573" s="168">
        <f>IF(ISERROR(Personalplanung!H53/Monatsplanung!$E53*Monatsplanung!$L53),0,Personalplanung!H53/Monatsplanung!$E53*Monatsplanung!$L53)</f>
        <v>0</v>
      </c>
      <c r="F573" s="168">
        <f t="shared" si="165"/>
        <v>0</v>
      </c>
      <c r="G573" s="168">
        <f t="shared" si="166"/>
        <v>27.700831024930746</v>
      </c>
      <c r="H573" s="168">
        <f t="shared" si="167"/>
        <v>0</v>
      </c>
      <c r="I573" s="168">
        <f t="shared" si="168"/>
        <v>30</v>
      </c>
      <c r="J573" s="739"/>
      <c r="K573" s="168">
        <f>IF(J573&lt;&gt;"",J573,IF(ISERROR(Personalplanung!AB53/Monatsplanung!$E53*Monatsplanung!$L53),0,Personalplanung!AB53/Monatsplanung!$E53*Monatsplanung!$L53))</f>
        <v>0</v>
      </c>
      <c r="L573" s="740"/>
      <c r="M573" s="739"/>
      <c r="N573" s="168">
        <f>IF(M573&lt;&gt;"",M573,IF(ISERROR(Personalplanung!AC53/Monatsplanung!$E53*Monatsplanung!$L53),0,Personalplanung!AC53/Monatsplanung!$E53*Monatsplanung!$L53))</f>
        <v>0</v>
      </c>
      <c r="O573" s="740"/>
      <c r="P573" s="739"/>
      <c r="Q573" s="168">
        <f>IF(P573&lt;&gt;"",P573,IF(ISERROR(Personalplanung!AD53/Monatsplanung!$E53*Monatsplanung!$L53),0,Personalplanung!AD53/Monatsplanung!$E53*Monatsplanung!$L53))</f>
        <v>0</v>
      </c>
      <c r="R573" s="740"/>
      <c r="S573" s="739"/>
      <c r="T573" s="168">
        <f>IF(S573&lt;&gt;"",S573,IF(ISERROR(Personalplanung!AE53/Monatsplanung!$E53*Monatsplanung!$L53),0,Personalplanung!AE53/Monatsplanung!$E53*Monatsplanung!$L53))</f>
        <v>0</v>
      </c>
      <c r="U573" s="740"/>
      <c r="V573" s="168">
        <f t="shared" si="169"/>
        <v>0</v>
      </c>
      <c r="W573" s="168">
        <f>IF(ISERROR(Personalplanung!P53/Monatsplanung!$E53*Monatsplanung!$L53),0,Personalplanung!P53/Monatsplanung!$E53*Monatsplanung!$L53)</f>
        <v>0</v>
      </c>
      <c r="X573" s="168">
        <f>IF(ISERROR(Personalplanung!Q53/Monatsplanung!$E53*Monatsplanung!$L53),0,Personalplanung!Q53/Monatsplanung!$E53*Monatsplanung!$L53)</f>
        <v>0</v>
      </c>
      <c r="Y573" s="168">
        <f>IF(ISERROR(Personalplanung!R53/T1301*Stundencontrolling!T573),0,Personalplanung!R53/T1301*Stundencontrolling!T573)</f>
        <v>0</v>
      </c>
      <c r="Z573" s="168">
        <f>IF(ISERROR(Personalplanung!S53/Monatsplanung!$E53*Monatsplanung!$L53),0,Personalplanung!S53/Monatsplanung!$E53*Monatsplanung!$L53)</f>
        <v>0</v>
      </c>
      <c r="AA573" s="80">
        <f t="shared" si="170"/>
        <v>0</v>
      </c>
      <c r="AB573" s="102">
        <f t="shared" si="171"/>
        <v>0.1</v>
      </c>
      <c r="AC573" s="103">
        <f t="shared" si="172"/>
        <v>0</v>
      </c>
      <c r="AD573" s="103">
        <f t="shared" si="173"/>
        <v>0</v>
      </c>
      <c r="AE573" s="81">
        <f t="shared" si="174"/>
        <v>0</v>
      </c>
      <c r="AF573" s="539"/>
      <c r="AG573" s="104">
        <f t="shared" si="175"/>
        <v>1</v>
      </c>
      <c r="AH573" s="7">
        <f t="shared" si="176"/>
        <v>0</v>
      </c>
      <c r="AI573" s="6">
        <f t="shared" si="177"/>
        <v>0</v>
      </c>
      <c r="AJ573" s="73">
        <f t="shared" si="178"/>
        <v>0</v>
      </c>
      <c r="AK573" s="539"/>
      <c r="AL573" s="748"/>
      <c r="AM573" s="748"/>
    </row>
    <row r="574" spans="2:39" x14ac:dyDescent="0.2">
      <c r="B574" s="101" t="str">
        <f t="shared" si="163"/>
        <v/>
      </c>
      <c r="C574" s="168">
        <f>IF(ISERROR(Personalplanung!F54/Monatsplanung!$E54*Monatsplanung!$L54),0,Personalplanung!F54/Monatsplanung!$E54*Monatsplanung!$L54)</f>
        <v>0</v>
      </c>
      <c r="D574" s="168">
        <f t="shared" si="164"/>
        <v>0</v>
      </c>
      <c r="E574" s="168">
        <f>IF(ISERROR(Personalplanung!H54/Monatsplanung!$E54*Monatsplanung!$L54),0,Personalplanung!H54/Monatsplanung!$E54*Monatsplanung!$L54)</f>
        <v>0</v>
      </c>
      <c r="F574" s="168">
        <f t="shared" si="165"/>
        <v>0</v>
      </c>
      <c r="G574" s="168">
        <f t="shared" si="166"/>
        <v>27.700831024930746</v>
      </c>
      <c r="H574" s="168">
        <f t="shared" si="167"/>
        <v>0</v>
      </c>
      <c r="I574" s="168">
        <f t="shared" si="168"/>
        <v>30</v>
      </c>
      <c r="J574" s="739"/>
      <c r="K574" s="168">
        <f>IF(J574&lt;&gt;"",J574,IF(ISERROR(Personalplanung!AB54/Monatsplanung!$E54*Monatsplanung!$L54),0,Personalplanung!AB54/Monatsplanung!$E54*Monatsplanung!$L54))</f>
        <v>0</v>
      </c>
      <c r="L574" s="740"/>
      <c r="M574" s="739"/>
      <c r="N574" s="168">
        <f>IF(M574&lt;&gt;"",M574,IF(ISERROR(Personalplanung!AC54/Monatsplanung!$E54*Monatsplanung!$L54),0,Personalplanung!AC54/Monatsplanung!$E54*Monatsplanung!$L54))</f>
        <v>0</v>
      </c>
      <c r="O574" s="740"/>
      <c r="P574" s="739"/>
      <c r="Q574" s="168">
        <f>IF(P574&lt;&gt;"",P574,IF(ISERROR(Personalplanung!AD54/Monatsplanung!$E54*Monatsplanung!$L54),0,Personalplanung!AD54/Monatsplanung!$E54*Monatsplanung!$L54))</f>
        <v>0</v>
      </c>
      <c r="R574" s="740"/>
      <c r="S574" s="739"/>
      <c r="T574" s="168">
        <f>IF(S574&lt;&gt;"",S574,IF(ISERROR(Personalplanung!AE54/Monatsplanung!$E54*Monatsplanung!$L54),0,Personalplanung!AE54/Monatsplanung!$E54*Monatsplanung!$L54))</f>
        <v>0</v>
      </c>
      <c r="U574" s="740"/>
      <c r="V574" s="168">
        <f t="shared" si="169"/>
        <v>0</v>
      </c>
      <c r="W574" s="168">
        <f>IF(ISERROR(Personalplanung!P54/Monatsplanung!$E54*Monatsplanung!$L54),0,Personalplanung!P54/Monatsplanung!$E54*Monatsplanung!$L54)</f>
        <v>0</v>
      </c>
      <c r="X574" s="168">
        <f>IF(ISERROR(Personalplanung!Q54/Monatsplanung!$E54*Monatsplanung!$L54),0,Personalplanung!Q54/Monatsplanung!$E54*Monatsplanung!$L54)</f>
        <v>0</v>
      </c>
      <c r="Y574" s="168">
        <f>IF(ISERROR(Personalplanung!R54/T1302*Stundencontrolling!T574),0,Personalplanung!R54/T1302*Stundencontrolling!T574)</f>
        <v>0</v>
      </c>
      <c r="Z574" s="168">
        <f>IF(ISERROR(Personalplanung!S54/Monatsplanung!$E54*Monatsplanung!$L54),0,Personalplanung!S54/Monatsplanung!$E54*Monatsplanung!$L54)</f>
        <v>0</v>
      </c>
      <c r="AA574" s="80">
        <f t="shared" si="170"/>
        <v>0</v>
      </c>
      <c r="AB574" s="102">
        <f t="shared" si="171"/>
        <v>0.1</v>
      </c>
      <c r="AC574" s="103">
        <f t="shared" si="172"/>
        <v>0</v>
      </c>
      <c r="AD574" s="103">
        <f t="shared" si="173"/>
        <v>0</v>
      </c>
      <c r="AE574" s="81">
        <f t="shared" si="174"/>
        <v>0</v>
      </c>
      <c r="AF574" s="539"/>
      <c r="AG574" s="104">
        <f t="shared" si="175"/>
        <v>1</v>
      </c>
      <c r="AH574" s="7">
        <f t="shared" si="176"/>
        <v>0</v>
      </c>
      <c r="AI574" s="6">
        <f t="shared" si="177"/>
        <v>0</v>
      </c>
      <c r="AJ574" s="73">
        <f t="shared" si="178"/>
        <v>0</v>
      </c>
      <c r="AK574" s="539"/>
      <c r="AL574" s="748"/>
      <c r="AM574" s="748"/>
    </row>
    <row r="575" spans="2:39" x14ac:dyDescent="0.2">
      <c r="B575" s="101" t="str">
        <f t="shared" si="163"/>
        <v/>
      </c>
      <c r="C575" s="168">
        <f>IF(ISERROR(Personalplanung!F55/Monatsplanung!$E55*Monatsplanung!$L55),0,Personalplanung!F55/Monatsplanung!$E55*Monatsplanung!$L55)</f>
        <v>0</v>
      </c>
      <c r="D575" s="168">
        <f t="shared" si="164"/>
        <v>0</v>
      </c>
      <c r="E575" s="168">
        <f>IF(ISERROR(Personalplanung!H55/Monatsplanung!$E55*Monatsplanung!$L55),0,Personalplanung!H55/Monatsplanung!$E55*Monatsplanung!$L55)</f>
        <v>0</v>
      </c>
      <c r="F575" s="168">
        <f t="shared" si="165"/>
        <v>0</v>
      </c>
      <c r="G575" s="168">
        <f t="shared" si="166"/>
        <v>27.700831024930746</v>
      </c>
      <c r="H575" s="168">
        <f t="shared" si="167"/>
        <v>0</v>
      </c>
      <c r="I575" s="168">
        <f t="shared" si="168"/>
        <v>30</v>
      </c>
      <c r="J575" s="739"/>
      <c r="K575" s="168">
        <f>IF(J575&lt;&gt;"",J575,IF(ISERROR(Personalplanung!AB55/Monatsplanung!$E55*Monatsplanung!$L55),0,Personalplanung!AB55/Monatsplanung!$E55*Monatsplanung!$L55))</f>
        <v>0</v>
      </c>
      <c r="L575" s="740"/>
      <c r="M575" s="739"/>
      <c r="N575" s="168">
        <f>IF(M575&lt;&gt;"",M575,IF(ISERROR(Personalplanung!AC55/Monatsplanung!$E55*Monatsplanung!$L55),0,Personalplanung!AC55/Monatsplanung!$E55*Monatsplanung!$L55))</f>
        <v>0</v>
      </c>
      <c r="O575" s="740"/>
      <c r="P575" s="739"/>
      <c r="Q575" s="168">
        <f>IF(P575&lt;&gt;"",P575,IF(ISERROR(Personalplanung!AD55/Monatsplanung!$E55*Monatsplanung!$L55),0,Personalplanung!AD55/Monatsplanung!$E55*Monatsplanung!$L55))</f>
        <v>0</v>
      </c>
      <c r="R575" s="740"/>
      <c r="S575" s="739"/>
      <c r="T575" s="168">
        <f>IF(S575&lt;&gt;"",S575,IF(ISERROR(Personalplanung!AE55/Monatsplanung!$E55*Monatsplanung!$L55),0,Personalplanung!AE55/Monatsplanung!$E55*Monatsplanung!$L55))</f>
        <v>0</v>
      </c>
      <c r="U575" s="740"/>
      <c r="V575" s="168">
        <f t="shared" si="169"/>
        <v>0</v>
      </c>
      <c r="W575" s="168">
        <f>IF(ISERROR(Personalplanung!P55/Monatsplanung!$E55*Monatsplanung!$L55),0,Personalplanung!P55/Monatsplanung!$E55*Monatsplanung!$L55)</f>
        <v>0</v>
      </c>
      <c r="X575" s="168">
        <f>IF(ISERROR(Personalplanung!Q55/Monatsplanung!$E55*Monatsplanung!$L55),0,Personalplanung!Q55/Monatsplanung!$E55*Monatsplanung!$L55)</f>
        <v>0</v>
      </c>
      <c r="Y575" s="168">
        <f>IF(ISERROR(Personalplanung!R55/T1303*Stundencontrolling!T575),0,Personalplanung!R55/T1303*Stundencontrolling!T575)</f>
        <v>0</v>
      </c>
      <c r="Z575" s="168">
        <f>IF(ISERROR(Personalplanung!S55/Monatsplanung!$E55*Monatsplanung!$L55),0,Personalplanung!S55/Monatsplanung!$E55*Monatsplanung!$L55)</f>
        <v>0</v>
      </c>
      <c r="AA575" s="80">
        <f t="shared" si="170"/>
        <v>0</v>
      </c>
      <c r="AB575" s="102">
        <f t="shared" si="171"/>
        <v>0.1</v>
      </c>
      <c r="AC575" s="103">
        <f t="shared" si="172"/>
        <v>0</v>
      </c>
      <c r="AD575" s="103">
        <f t="shared" si="173"/>
        <v>0</v>
      </c>
      <c r="AE575" s="81">
        <f t="shared" si="174"/>
        <v>0</v>
      </c>
      <c r="AF575" s="539"/>
      <c r="AG575" s="104">
        <f t="shared" si="175"/>
        <v>1</v>
      </c>
      <c r="AH575" s="7">
        <f t="shared" si="176"/>
        <v>0</v>
      </c>
      <c r="AI575" s="6">
        <f t="shared" si="177"/>
        <v>0</v>
      </c>
      <c r="AJ575" s="73">
        <f t="shared" si="178"/>
        <v>0</v>
      </c>
      <c r="AK575" s="539"/>
      <c r="AL575" s="748"/>
      <c r="AM575" s="748"/>
    </row>
    <row r="576" spans="2:39" x14ac:dyDescent="0.2">
      <c r="B576" s="101" t="str">
        <f t="shared" si="163"/>
        <v/>
      </c>
      <c r="C576" s="168">
        <f>IF(ISERROR(Personalplanung!F56/Monatsplanung!$E56*Monatsplanung!$L56),0,Personalplanung!F56/Monatsplanung!$E56*Monatsplanung!$L56)</f>
        <v>0</v>
      </c>
      <c r="D576" s="168">
        <f t="shared" si="164"/>
        <v>0</v>
      </c>
      <c r="E576" s="168">
        <f>IF(ISERROR(Personalplanung!H56/Monatsplanung!$E56*Monatsplanung!$L56),0,Personalplanung!H56/Monatsplanung!$E56*Monatsplanung!$L56)</f>
        <v>0</v>
      </c>
      <c r="F576" s="168">
        <f t="shared" si="165"/>
        <v>0</v>
      </c>
      <c r="G576" s="168">
        <f t="shared" si="166"/>
        <v>27.700831024930746</v>
      </c>
      <c r="H576" s="168">
        <f t="shared" si="167"/>
        <v>0</v>
      </c>
      <c r="I576" s="168">
        <f t="shared" si="168"/>
        <v>30</v>
      </c>
      <c r="J576" s="739"/>
      <c r="K576" s="168">
        <f>IF(J576&lt;&gt;"",J576,IF(ISERROR(Personalplanung!AB56/Monatsplanung!$E56*Monatsplanung!$L56),0,Personalplanung!AB56/Monatsplanung!$E56*Monatsplanung!$L56))</f>
        <v>0</v>
      </c>
      <c r="L576" s="740"/>
      <c r="M576" s="739"/>
      <c r="N576" s="168">
        <f>IF(M576&lt;&gt;"",M576,IF(ISERROR(Personalplanung!AC56/Monatsplanung!$E56*Monatsplanung!$L56),0,Personalplanung!AC56/Monatsplanung!$E56*Monatsplanung!$L56))</f>
        <v>0</v>
      </c>
      <c r="O576" s="740"/>
      <c r="P576" s="739"/>
      <c r="Q576" s="168">
        <f>IF(P576&lt;&gt;"",P576,IF(ISERROR(Personalplanung!AD56/Monatsplanung!$E56*Monatsplanung!$L56),0,Personalplanung!AD56/Monatsplanung!$E56*Monatsplanung!$L56))</f>
        <v>0</v>
      </c>
      <c r="R576" s="740"/>
      <c r="S576" s="739"/>
      <c r="T576" s="168">
        <f>IF(S576&lt;&gt;"",S576,IF(ISERROR(Personalplanung!AE56/Monatsplanung!$E56*Monatsplanung!$L56),0,Personalplanung!AE56/Monatsplanung!$E56*Monatsplanung!$L56))</f>
        <v>0</v>
      </c>
      <c r="U576" s="740"/>
      <c r="V576" s="168">
        <f t="shared" si="169"/>
        <v>0</v>
      </c>
      <c r="W576" s="168">
        <f>IF(ISERROR(Personalplanung!P56/Monatsplanung!$E56*Monatsplanung!$L56),0,Personalplanung!P56/Monatsplanung!$E56*Monatsplanung!$L56)</f>
        <v>0</v>
      </c>
      <c r="X576" s="168">
        <f>IF(ISERROR(Personalplanung!Q56/Monatsplanung!$E56*Monatsplanung!$L56),0,Personalplanung!Q56/Monatsplanung!$E56*Monatsplanung!$L56)</f>
        <v>0</v>
      </c>
      <c r="Y576" s="168">
        <f>IF(ISERROR(Personalplanung!R56/T1304*Stundencontrolling!T576),0,Personalplanung!R56/T1304*Stundencontrolling!T576)</f>
        <v>0</v>
      </c>
      <c r="Z576" s="168">
        <f>IF(ISERROR(Personalplanung!S56/Monatsplanung!$E56*Monatsplanung!$L56),0,Personalplanung!S56/Monatsplanung!$E56*Monatsplanung!$L56)</f>
        <v>0</v>
      </c>
      <c r="AA576" s="80">
        <f t="shared" si="170"/>
        <v>0</v>
      </c>
      <c r="AB576" s="102">
        <f t="shared" si="171"/>
        <v>0.1</v>
      </c>
      <c r="AC576" s="103">
        <f t="shared" si="172"/>
        <v>0</v>
      </c>
      <c r="AD576" s="103">
        <f t="shared" si="173"/>
        <v>0</v>
      </c>
      <c r="AE576" s="81">
        <f t="shared" si="174"/>
        <v>0</v>
      </c>
      <c r="AF576" s="539"/>
      <c r="AG576" s="104">
        <f t="shared" si="175"/>
        <v>1</v>
      </c>
      <c r="AH576" s="7">
        <f t="shared" si="176"/>
        <v>0</v>
      </c>
      <c r="AI576" s="6">
        <f t="shared" si="177"/>
        <v>0</v>
      </c>
      <c r="AJ576" s="73">
        <f t="shared" si="178"/>
        <v>0</v>
      </c>
      <c r="AK576" s="539"/>
      <c r="AL576" s="748"/>
      <c r="AM576" s="748"/>
    </row>
    <row r="577" spans="2:39" x14ac:dyDescent="0.2">
      <c r="B577" s="101" t="str">
        <f t="shared" si="163"/>
        <v/>
      </c>
      <c r="C577" s="168">
        <f>IF(ISERROR(Personalplanung!F57/Monatsplanung!$E57*Monatsplanung!$L57),0,Personalplanung!F57/Monatsplanung!$E57*Monatsplanung!$L57)</f>
        <v>0</v>
      </c>
      <c r="D577" s="168">
        <f t="shared" si="164"/>
        <v>0</v>
      </c>
      <c r="E577" s="168">
        <f>IF(ISERROR(Personalplanung!H57/Monatsplanung!$E57*Monatsplanung!$L57),0,Personalplanung!H57/Monatsplanung!$E57*Monatsplanung!$L57)</f>
        <v>0</v>
      </c>
      <c r="F577" s="168">
        <f t="shared" si="165"/>
        <v>0</v>
      </c>
      <c r="G577" s="168">
        <f t="shared" si="166"/>
        <v>27.700831024930746</v>
      </c>
      <c r="H577" s="168">
        <f t="shared" si="167"/>
        <v>0</v>
      </c>
      <c r="I577" s="168">
        <f t="shared" si="168"/>
        <v>30</v>
      </c>
      <c r="J577" s="739"/>
      <c r="K577" s="168">
        <f>IF(J577&lt;&gt;"",J577,IF(ISERROR(Personalplanung!AB57/Monatsplanung!$E57*Monatsplanung!$L57),0,Personalplanung!AB57/Monatsplanung!$E57*Monatsplanung!$L57))</f>
        <v>0</v>
      </c>
      <c r="L577" s="740"/>
      <c r="M577" s="739"/>
      <c r="N577" s="168">
        <f>IF(M577&lt;&gt;"",M577,IF(ISERROR(Personalplanung!AC57/Monatsplanung!$E57*Monatsplanung!$L57),0,Personalplanung!AC57/Monatsplanung!$E57*Monatsplanung!$L57))</f>
        <v>0</v>
      </c>
      <c r="O577" s="740"/>
      <c r="P577" s="739"/>
      <c r="Q577" s="168">
        <f>IF(P577&lt;&gt;"",P577,IF(ISERROR(Personalplanung!AD57/Monatsplanung!$E57*Monatsplanung!$L57),0,Personalplanung!AD57/Monatsplanung!$E57*Monatsplanung!$L57))</f>
        <v>0</v>
      </c>
      <c r="R577" s="740"/>
      <c r="S577" s="739"/>
      <c r="T577" s="168">
        <f>IF(S577&lt;&gt;"",S577,IF(ISERROR(Personalplanung!AE57/Monatsplanung!$E57*Monatsplanung!$L57),0,Personalplanung!AE57/Monatsplanung!$E57*Monatsplanung!$L57))</f>
        <v>0</v>
      </c>
      <c r="U577" s="740"/>
      <c r="V577" s="168">
        <f t="shared" si="169"/>
        <v>0</v>
      </c>
      <c r="W577" s="168">
        <f>IF(ISERROR(Personalplanung!P57/Monatsplanung!$E57*Monatsplanung!$L57),0,Personalplanung!P57/Monatsplanung!$E57*Monatsplanung!$L57)</f>
        <v>0</v>
      </c>
      <c r="X577" s="168">
        <f>IF(ISERROR(Personalplanung!Q57/Monatsplanung!$E57*Monatsplanung!$L57),0,Personalplanung!Q57/Monatsplanung!$E57*Monatsplanung!$L57)</f>
        <v>0</v>
      </c>
      <c r="Y577" s="168">
        <f>IF(ISERROR(Personalplanung!R57/T1305*Stundencontrolling!T577),0,Personalplanung!R57/T1305*Stundencontrolling!T577)</f>
        <v>0</v>
      </c>
      <c r="Z577" s="168">
        <f>IF(ISERROR(Personalplanung!S57/Monatsplanung!$E57*Monatsplanung!$L57),0,Personalplanung!S57/Monatsplanung!$E57*Monatsplanung!$L57)</f>
        <v>0</v>
      </c>
      <c r="AA577" s="80">
        <f t="shared" si="170"/>
        <v>0</v>
      </c>
      <c r="AB577" s="102">
        <f t="shared" si="171"/>
        <v>0.1</v>
      </c>
      <c r="AC577" s="103">
        <f t="shared" si="172"/>
        <v>0</v>
      </c>
      <c r="AD577" s="103">
        <f t="shared" si="173"/>
        <v>0</v>
      </c>
      <c r="AE577" s="81">
        <f t="shared" si="174"/>
        <v>0</v>
      </c>
      <c r="AF577" s="539"/>
      <c r="AG577" s="104">
        <f t="shared" si="175"/>
        <v>1</v>
      </c>
      <c r="AH577" s="7">
        <f t="shared" si="176"/>
        <v>0</v>
      </c>
      <c r="AI577" s="6">
        <f t="shared" si="177"/>
        <v>0</v>
      </c>
      <c r="AJ577" s="73">
        <f t="shared" si="178"/>
        <v>0</v>
      </c>
      <c r="AK577" s="539"/>
      <c r="AL577" s="748"/>
      <c r="AM577" s="748"/>
    </row>
    <row r="578" spans="2:39" x14ac:dyDescent="0.2">
      <c r="B578" s="101" t="str">
        <f t="shared" si="163"/>
        <v/>
      </c>
      <c r="C578" s="168">
        <f>IF(ISERROR(Personalplanung!F58/Monatsplanung!$E58*Monatsplanung!$L58),0,Personalplanung!F58/Monatsplanung!$E58*Monatsplanung!$L58)</f>
        <v>0</v>
      </c>
      <c r="D578" s="168">
        <f t="shared" si="164"/>
        <v>0</v>
      </c>
      <c r="E578" s="168">
        <f>IF(ISERROR(Personalplanung!H58/Monatsplanung!$E58*Monatsplanung!$L58),0,Personalplanung!H58/Monatsplanung!$E58*Monatsplanung!$L58)</f>
        <v>0</v>
      </c>
      <c r="F578" s="168">
        <f t="shared" si="165"/>
        <v>0</v>
      </c>
      <c r="G578" s="168">
        <f t="shared" si="166"/>
        <v>27.700831024930746</v>
      </c>
      <c r="H578" s="168">
        <f t="shared" si="167"/>
        <v>0</v>
      </c>
      <c r="I578" s="168">
        <f t="shared" si="168"/>
        <v>30</v>
      </c>
      <c r="J578" s="739"/>
      <c r="K578" s="168">
        <f>IF(J578&lt;&gt;"",J578,IF(ISERROR(Personalplanung!AB58/Monatsplanung!$E58*Monatsplanung!$L58),0,Personalplanung!AB58/Monatsplanung!$E58*Monatsplanung!$L58))</f>
        <v>0</v>
      </c>
      <c r="L578" s="740"/>
      <c r="M578" s="739"/>
      <c r="N578" s="168">
        <f>IF(M578&lt;&gt;"",M578,IF(ISERROR(Personalplanung!AC58/Monatsplanung!$E58*Monatsplanung!$L58),0,Personalplanung!AC58/Monatsplanung!$E58*Monatsplanung!$L58))</f>
        <v>0</v>
      </c>
      <c r="O578" s="740"/>
      <c r="P578" s="739"/>
      <c r="Q578" s="168">
        <f>IF(P578&lt;&gt;"",P578,IF(ISERROR(Personalplanung!AD58/Monatsplanung!$E58*Monatsplanung!$L58),0,Personalplanung!AD58/Monatsplanung!$E58*Monatsplanung!$L58))</f>
        <v>0</v>
      </c>
      <c r="R578" s="740"/>
      <c r="S578" s="739"/>
      <c r="T578" s="168">
        <f>IF(S578&lt;&gt;"",S578,IF(ISERROR(Personalplanung!AE58/Monatsplanung!$E58*Monatsplanung!$L58),0,Personalplanung!AE58/Monatsplanung!$E58*Monatsplanung!$L58))</f>
        <v>0</v>
      </c>
      <c r="U578" s="740"/>
      <c r="V578" s="168">
        <f t="shared" si="169"/>
        <v>0</v>
      </c>
      <c r="W578" s="168">
        <f>IF(ISERROR(Personalplanung!P58/Monatsplanung!$E58*Monatsplanung!$L58),0,Personalplanung!P58/Monatsplanung!$E58*Monatsplanung!$L58)</f>
        <v>0</v>
      </c>
      <c r="X578" s="168">
        <f>IF(ISERROR(Personalplanung!Q58/Monatsplanung!$E58*Monatsplanung!$L58),0,Personalplanung!Q58/Monatsplanung!$E58*Monatsplanung!$L58)</f>
        <v>0</v>
      </c>
      <c r="Y578" s="168">
        <f>IF(ISERROR(Personalplanung!R58/T1306*Stundencontrolling!T578),0,Personalplanung!R58/T1306*Stundencontrolling!T578)</f>
        <v>0</v>
      </c>
      <c r="Z578" s="168">
        <f>IF(ISERROR(Personalplanung!S58/Monatsplanung!$E58*Monatsplanung!$L58),0,Personalplanung!S58/Monatsplanung!$E58*Monatsplanung!$L58)</f>
        <v>0</v>
      </c>
      <c r="AA578" s="80">
        <f t="shared" si="170"/>
        <v>0</v>
      </c>
      <c r="AB578" s="102">
        <f t="shared" si="171"/>
        <v>0.1</v>
      </c>
      <c r="AC578" s="103">
        <f t="shared" si="172"/>
        <v>0</v>
      </c>
      <c r="AD578" s="103">
        <f t="shared" si="173"/>
        <v>0</v>
      </c>
      <c r="AE578" s="81">
        <f t="shared" si="174"/>
        <v>0</v>
      </c>
      <c r="AF578" s="539"/>
      <c r="AG578" s="104">
        <f t="shared" si="175"/>
        <v>1</v>
      </c>
      <c r="AH578" s="7">
        <f t="shared" si="176"/>
        <v>0</v>
      </c>
      <c r="AI578" s="6">
        <f t="shared" si="177"/>
        <v>0</v>
      </c>
      <c r="AJ578" s="73">
        <f t="shared" si="178"/>
        <v>0</v>
      </c>
      <c r="AK578" s="539"/>
      <c r="AL578" s="748"/>
      <c r="AM578" s="748"/>
    </row>
    <row r="579" spans="2:39" x14ac:dyDescent="0.2">
      <c r="B579" s="101" t="str">
        <f t="shared" si="163"/>
        <v/>
      </c>
      <c r="C579" s="168">
        <f>IF(ISERROR(Personalplanung!F59/Monatsplanung!$E59*Monatsplanung!$L59),0,Personalplanung!F59/Monatsplanung!$E59*Monatsplanung!$L59)</f>
        <v>0</v>
      </c>
      <c r="D579" s="168">
        <f t="shared" si="164"/>
        <v>0</v>
      </c>
      <c r="E579" s="168">
        <f>IF(ISERROR(Personalplanung!H59/Monatsplanung!$E59*Monatsplanung!$L59),0,Personalplanung!H59/Monatsplanung!$E59*Monatsplanung!$L59)</f>
        <v>0</v>
      </c>
      <c r="F579" s="168">
        <f t="shared" si="165"/>
        <v>0</v>
      </c>
      <c r="G579" s="168">
        <f t="shared" si="166"/>
        <v>27.700831024930746</v>
      </c>
      <c r="H579" s="168">
        <f t="shared" si="167"/>
        <v>0</v>
      </c>
      <c r="I579" s="168">
        <f t="shared" si="168"/>
        <v>30</v>
      </c>
      <c r="J579" s="739"/>
      <c r="K579" s="168">
        <f>IF(J579&lt;&gt;"",J579,IF(ISERROR(Personalplanung!AB59/Monatsplanung!$E59*Monatsplanung!$L59),0,Personalplanung!AB59/Monatsplanung!$E59*Monatsplanung!$L59))</f>
        <v>0</v>
      </c>
      <c r="L579" s="740"/>
      <c r="M579" s="739"/>
      <c r="N579" s="168">
        <f>IF(M579&lt;&gt;"",M579,IF(ISERROR(Personalplanung!AC59/Monatsplanung!$E59*Monatsplanung!$L59),0,Personalplanung!AC59/Monatsplanung!$E59*Monatsplanung!$L59))</f>
        <v>0</v>
      </c>
      <c r="O579" s="740"/>
      <c r="P579" s="739"/>
      <c r="Q579" s="168">
        <f>IF(P579&lt;&gt;"",P579,IF(ISERROR(Personalplanung!AD59/Monatsplanung!$E59*Monatsplanung!$L59),0,Personalplanung!AD59/Monatsplanung!$E59*Monatsplanung!$L59))</f>
        <v>0</v>
      </c>
      <c r="R579" s="740"/>
      <c r="S579" s="739"/>
      <c r="T579" s="168">
        <f>IF(S579&lt;&gt;"",S579,IF(ISERROR(Personalplanung!AE59/Monatsplanung!$E59*Monatsplanung!$L59),0,Personalplanung!AE59/Monatsplanung!$E59*Monatsplanung!$L59))</f>
        <v>0</v>
      </c>
      <c r="U579" s="740"/>
      <c r="V579" s="168">
        <f t="shared" si="169"/>
        <v>0</v>
      </c>
      <c r="W579" s="168">
        <f>IF(ISERROR(Personalplanung!P59/Monatsplanung!$E59*Monatsplanung!$L59),0,Personalplanung!P59/Monatsplanung!$E59*Monatsplanung!$L59)</f>
        <v>0</v>
      </c>
      <c r="X579" s="168">
        <f>IF(ISERROR(Personalplanung!Q59/Monatsplanung!$E59*Monatsplanung!$L59),0,Personalplanung!Q59/Monatsplanung!$E59*Monatsplanung!$L59)</f>
        <v>0</v>
      </c>
      <c r="Y579" s="168">
        <f>IF(ISERROR(Personalplanung!R59/T1307*Stundencontrolling!T579),0,Personalplanung!R59/T1307*Stundencontrolling!T579)</f>
        <v>0</v>
      </c>
      <c r="Z579" s="168">
        <f>IF(ISERROR(Personalplanung!S59/Monatsplanung!$E59*Monatsplanung!$L59),0,Personalplanung!S59/Monatsplanung!$E59*Monatsplanung!$L59)</f>
        <v>0</v>
      </c>
      <c r="AA579" s="80">
        <f t="shared" si="170"/>
        <v>0</v>
      </c>
      <c r="AB579" s="102">
        <f t="shared" si="171"/>
        <v>0.1</v>
      </c>
      <c r="AC579" s="103">
        <f t="shared" si="172"/>
        <v>0</v>
      </c>
      <c r="AD579" s="103">
        <f t="shared" si="173"/>
        <v>0</v>
      </c>
      <c r="AE579" s="81">
        <f t="shared" si="174"/>
        <v>0</v>
      </c>
      <c r="AF579" s="539"/>
      <c r="AG579" s="104">
        <f t="shared" si="175"/>
        <v>1</v>
      </c>
      <c r="AH579" s="7">
        <f t="shared" si="176"/>
        <v>0</v>
      </c>
      <c r="AI579" s="6">
        <f t="shared" si="177"/>
        <v>0</v>
      </c>
      <c r="AJ579" s="73">
        <f t="shared" si="178"/>
        <v>0</v>
      </c>
      <c r="AK579" s="539"/>
      <c r="AL579" s="748"/>
      <c r="AM579" s="748"/>
    </row>
    <row r="580" spans="2:39" x14ac:dyDescent="0.2">
      <c r="B580" s="101" t="str">
        <f t="shared" si="163"/>
        <v/>
      </c>
      <c r="C580" s="168">
        <f>IF(ISERROR(Personalplanung!F60/Monatsplanung!$E60*Monatsplanung!$L60),0,Personalplanung!F60/Monatsplanung!$E60*Monatsplanung!$L60)</f>
        <v>0</v>
      </c>
      <c r="D580" s="168">
        <f t="shared" si="164"/>
        <v>0</v>
      </c>
      <c r="E580" s="168">
        <f>IF(ISERROR(Personalplanung!H60/Monatsplanung!$E60*Monatsplanung!$L60),0,Personalplanung!H60/Monatsplanung!$E60*Monatsplanung!$L60)</f>
        <v>0</v>
      </c>
      <c r="F580" s="168">
        <f t="shared" si="165"/>
        <v>0</v>
      </c>
      <c r="G580" s="168">
        <f t="shared" si="166"/>
        <v>27.700831024930746</v>
      </c>
      <c r="H580" s="168">
        <f t="shared" si="167"/>
        <v>0</v>
      </c>
      <c r="I580" s="168">
        <f t="shared" si="168"/>
        <v>30</v>
      </c>
      <c r="J580" s="739"/>
      <c r="K580" s="168">
        <f>IF(J580&lt;&gt;"",J580,IF(ISERROR(Personalplanung!AB60/Monatsplanung!$E60*Monatsplanung!$L60),0,Personalplanung!AB60/Monatsplanung!$E60*Monatsplanung!$L60))</f>
        <v>0</v>
      </c>
      <c r="L580" s="740"/>
      <c r="M580" s="739"/>
      <c r="N580" s="168">
        <f>IF(M580&lt;&gt;"",M580,IF(ISERROR(Personalplanung!AC60/Monatsplanung!$E60*Monatsplanung!$L60),0,Personalplanung!AC60/Monatsplanung!$E60*Monatsplanung!$L60))</f>
        <v>0</v>
      </c>
      <c r="O580" s="740"/>
      <c r="P580" s="739"/>
      <c r="Q580" s="168">
        <f>IF(P580&lt;&gt;"",P580,IF(ISERROR(Personalplanung!AD60/Monatsplanung!$E60*Monatsplanung!$L60),0,Personalplanung!AD60/Monatsplanung!$E60*Monatsplanung!$L60))</f>
        <v>0</v>
      </c>
      <c r="R580" s="740"/>
      <c r="S580" s="739"/>
      <c r="T580" s="168">
        <f>IF(S580&lt;&gt;"",S580,IF(ISERROR(Personalplanung!AE60/Monatsplanung!$E60*Monatsplanung!$L60),0,Personalplanung!AE60/Monatsplanung!$E60*Monatsplanung!$L60))</f>
        <v>0</v>
      </c>
      <c r="U580" s="740"/>
      <c r="V580" s="168">
        <f t="shared" si="169"/>
        <v>0</v>
      </c>
      <c r="W580" s="168">
        <f>IF(ISERROR(Personalplanung!P60/Monatsplanung!$E60*Monatsplanung!$L60),0,Personalplanung!P60/Monatsplanung!$E60*Monatsplanung!$L60)</f>
        <v>0</v>
      </c>
      <c r="X580" s="168">
        <f>IF(ISERROR(Personalplanung!Q60/Monatsplanung!$E60*Monatsplanung!$L60),0,Personalplanung!Q60/Monatsplanung!$E60*Monatsplanung!$L60)</f>
        <v>0</v>
      </c>
      <c r="Y580" s="168">
        <f>IF(ISERROR(Personalplanung!R60/T1308*Stundencontrolling!T580),0,Personalplanung!R60/T1308*Stundencontrolling!T580)</f>
        <v>0</v>
      </c>
      <c r="Z580" s="168">
        <f>IF(ISERROR(Personalplanung!S60/Monatsplanung!$E60*Monatsplanung!$L60),0,Personalplanung!S60/Monatsplanung!$E60*Monatsplanung!$L60)</f>
        <v>0</v>
      </c>
      <c r="AA580" s="80">
        <f t="shared" si="170"/>
        <v>0</v>
      </c>
      <c r="AB580" s="102">
        <f t="shared" si="171"/>
        <v>0.1</v>
      </c>
      <c r="AC580" s="103">
        <f t="shared" si="172"/>
        <v>0</v>
      </c>
      <c r="AD580" s="103">
        <f t="shared" si="173"/>
        <v>0</v>
      </c>
      <c r="AE580" s="81">
        <f t="shared" si="174"/>
        <v>0</v>
      </c>
      <c r="AF580" s="539"/>
      <c r="AG580" s="104">
        <f t="shared" si="175"/>
        <v>1</v>
      </c>
      <c r="AH580" s="7">
        <f t="shared" si="176"/>
        <v>0</v>
      </c>
      <c r="AI580" s="6">
        <f t="shared" si="177"/>
        <v>0</v>
      </c>
      <c r="AJ580" s="73">
        <f t="shared" si="178"/>
        <v>0</v>
      </c>
      <c r="AK580" s="539"/>
      <c r="AL580" s="748"/>
      <c r="AM580" s="748"/>
    </row>
    <row r="581" spans="2:39" x14ac:dyDescent="0.2">
      <c r="B581" s="101" t="str">
        <f t="shared" si="163"/>
        <v/>
      </c>
      <c r="C581" s="168">
        <f>IF(ISERROR(Personalplanung!F61/Monatsplanung!$E61*Monatsplanung!$L61),0,Personalplanung!F61/Monatsplanung!$E61*Monatsplanung!$L61)</f>
        <v>0</v>
      </c>
      <c r="D581" s="168">
        <f t="shared" si="164"/>
        <v>0</v>
      </c>
      <c r="E581" s="168">
        <f>IF(ISERROR(Personalplanung!H61/Monatsplanung!$E61*Monatsplanung!$L61),0,Personalplanung!H61/Monatsplanung!$E61*Monatsplanung!$L61)</f>
        <v>0</v>
      </c>
      <c r="F581" s="168">
        <f t="shared" si="165"/>
        <v>0</v>
      </c>
      <c r="G581" s="168">
        <f t="shared" si="166"/>
        <v>27.700831024930746</v>
      </c>
      <c r="H581" s="168">
        <f t="shared" si="167"/>
        <v>0</v>
      </c>
      <c r="I581" s="168">
        <f t="shared" si="168"/>
        <v>30</v>
      </c>
      <c r="J581" s="739"/>
      <c r="K581" s="168">
        <f>IF(J581&lt;&gt;"",J581,IF(ISERROR(Personalplanung!AB61/Monatsplanung!$E61*Monatsplanung!$L61),0,Personalplanung!AB61/Monatsplanung!$E61*Monatsplanung!$L61))</f>
        <v>0</v>
      </c>
      <c r="L581" s="740"/>
      <c r="M581" s="739"/>
      <c r="N581" s="168">
        <f>IF(M581&lt;&gt;"",M581,IF(ISERROR(Personalplanung!AC61/Monatsplanung!$E61*Monatsplanung!$L61),0,Personalplanung!AC61/Monatsplanung!$E61*Monatsplanung!$L61))</f>
        <v>0</v>
      </c>
      <c r="O581" s="740"/>
      <c r="P581" s="739"/>
      <c r="Q581" s="168">
        <f>IF(P581&lt;&gt;"",P581,IF(ISERROR(Personalplanung!AD61/Monatsplanung!$E61*Monatsplanung!$L61),0,Personalplanung!AD61/Monatsplanung!$E61*Monatsplanung!$L61))</f>
        <v>0</v>
      </c>
      <c r="R581" s="740"/>
      <c r="S581" s="739"/>
      <c r="T581" s="168">
        <f>IF(S581&lt;&gt;"",S581,IF(ISERROR(Personalplanung!AE61/Monatsplanung!$E61*Monatsplanung!$L61),0,Personalplanung!AE61/Monatsplanung!$E61*Monatsplanung!$L61))</f>
        <v>0</v>
      </c>
      <c r="U581" s="740"/>
      <c r="V581" s="168">
        <f t="shared" si="169"/>
        <v>0</v>
      </c>
      <c r="W581" s="168">
        <f>IF(ISERROR(Personalplanung!P61/Monatsplanung!$E61*Monatsplanung!$L61),0,Personalplanung!P61/Monatsplanung!$E61*Monatsplanung!$L61)</f>
        <v>0</v>
      </c>
      <c r="X581" s="168">
        <f>IF(ISERROR(Personalplanung!Q61/Monatsplanung!$E61*Monatsplanung!$L61),0,Personalplanung!Q61/Monatsplanung!$E61*Monatsplanung!$L61)</f>
        <v>0</v>
      </c>
      <c r="Y581" s="168">
        <f>IF(ISERROR(Personalplanung!R61/T1309*Stundencontrolling!T581),0,Personalplanung!R61/T1309*Stundencontrolling!T581)</f>
        <v>0</v>
      </c>
      <c r="Z581" s="168">
        <f>IF(ISERROR(Personalplanung!S61/Monatsplanung!$E61*Monatsplanung!$L61),0,Personalplanung!S61/Monatsplanung!$E61*Monatsplanung!$L61)</f>
        <v>0</v>
      </c>
      <c r="AA581" s="80">
        <f t="shared" si="170"/>
        <v>0</v>
      </c>
      <c r="AB581" s="102">
        <f t="shared" si="171"/>
        <v>0.1</v>
      </c>
      <c r="AC581" s="103">
        <f t="shared" si="172"/>
        <v>0</v>
      </c>
      <c r="AD581" s="103">
        <f t="shared" si="173"/>
        <v>0</v>
      </c>
      <c r="AE581" s="81">
        <f t="shared" si="174"/>
        <v>0</v>
      </c>
      <c r="AF581" s="539"/>
      <c r="AG581" s="104">
        <f t="shared" si="175"/>
        <v>1</v>
      </c>
      <c r="AH581" s="7">
        <f t="shared" si="176"/>
        <v>0</v>
      </c>
      <c r="AI581" s="6">
        <f t="shared" si="177"/>
        <v>0</v>
      </c>
      <c r="AJ581" s="73">
        <f t="shared" si="178"/>
        <v>0</v>
      </c>
      <c r="AK581" s="539"/>
      <c r="AL581" s="748"/>
      <c r="AM581" s="748"/>
    </row>
    <row r="582" spans="2:39" x14ac:dyDescent="0.2">
      <c r="B582" s="101" t="str">
        <f t="shared" si="163"/>
        <v/>
      </c>
      <c r="C582" s="168">
        <f>IF(ISERROR(Personalplanung!F62/Monatsplanung!$E62*Monatsplanung!$L62),0,Personalplanung!F62/Monatsplanung!$E62*Monatsplanung!$L62)</f>
        <v>0</v>
      </c>
      <c r="D582" s="168">
        <f t="shared" si="164"/>
        <v>0</v>
      </c>
      <c r="E582" s="168">
        <f>IF(ISERROR(Personalplanung!H62/Monatsplanung!$E62*Monatsplanung!$L62),0,Personalplanung!H62/Monatsplanung!$E62*Monatsplanung!$L62)</f>
        <v>0</v>
      </c>
      <c r="F582" s="168">
        <f t="shared" si="165"/>
        <v>0</v>
      </c>
      <c r="G582" s="168">
        <f t="shared" si="166"/>
        <v>27.700831024930746</v>
      </c>
      <c r="H582" s="168">
        <f t="shared" si="167"/>
        <v>0</v>
      </c>
      <c r="I582" s="168">
        <f t="shared" si="168"/>
        <v>30</v>
      </c>
      <c r="J582" s="739"/>
      <c r="K582" s="168">
        <f>IF(J582&lt;&gt;"",J582,IF(ISERROR(Personalplanung!AB62/Monatsplanung!$E62*Monatsplanung!$L62),0,Personalplanung!AB62/Monatsplanung!$E62*Monatsplanung!$L62))</f>
        <v>0</v>
      </c>
      <c r="L582" s="740"/>
      <c r="M582" s="739"/>
      <c r="N582" s="168">
        <f>IF(M582&lt;&gt;"",M582,IF(ISERROR(Personalplanung!AC62/Monatsplanung!$E62*Monatsplanung!$L62),0,Personalplanung!AC62/Monatsplanung!$E62*Monatsplanung!$L62))</f>
        <v>0</v>
      </c>
      <c r="O582" s="740"/>
      <c r="P582" s="739"/>
      <c r="Q582" s="168">
        <f>IF(P582&lt;&gt;"",P582,IF(ISERROR(Personalplanung!AD62/Monatsplanung!$E62*Monatsplanung!$L62),0,Personalplanung!AD62/Monatsplanung!$E62*Monatsplanung!$L62))</f>
        <v>0</v>
      </c>
      <c r="R582" s="740"/>
      <c r="S582" s="739"/>
      <c r="T582" s="168">
        <f>IF(S582&lt;&gt;"",S582,IF(ISERROR(Personalplanung!AE62/Monatsplanung!$E62*Monatsplanung!$L62),0,Personalplanung!AE62/Monatsplanung!$E62*Monatsplanung!$L62))</f>
        <v>0</v>
      </c>
      <c r="U582" s="740"/>
      <c r="V582" s="168">
        <f t="shared" si="169"/>
        <v>0</v>
      </c>
      <c r="W582" s="168">
        <f>IF(ISERROR(Personalplanung!P62/Monatsplanung!$E62*Monatsplanung!$L62),0,Personalplanung!P62/Monatsplanung!$E62*Monatsplanung!$L62)</f>
        <v>0</v>
      </c>
      <c r="X582" s="168">
        <f>IF(ISERROR(Personalplanung!Q62/Monatsplanung!$E62*Monatsplanung!$L62),0,Personalplanung!Q62/Monatsplanung!$E62*Monatsplanung!$L62)</f>
        <v>0</v>
      </c>
      <c r="Y582" s="168">
        <f>IF(ISERROR(Personalplanung!R62/T1310*Stundencontrolling!T582),0,Personalplanung!R62/T1310*Stundencontrolling!T582)</f>
        <v>0</v>
      </c>
      <c r="Z582" s="168">
        <f>IF(ISERROR(Personalplanung!S62/Monatsplanung!$E62*Monatsplanung!$L62),0,Personalplanung!S62/Monatsplanung!$E62*Monatsplanung!$L62)</f>
        <v>0</v>
      </c>
      <c r="AA582" s="80">
        <f t="shared" si="170"/>
        <v>0</v>
      </c>
      <c r="AB582" s="102">
        <f t="shared" si="171"/>
        <v>0.1</v>
      </c>
      <c r="AC582" s="103">
        <f t="shared" si="172"/>
        <v>0</v>
      </c>
      <c r="AD582" s="103">
        <f t="shared" si="173"/>
        <v>0</v>
      </c>
      <c r="AE582" s="81">
        <f t="shared" si="174"/>
        <v>0</v>
      </c>
      <c r="AF582" s="539"/>
      <c r="AG582" s="104">
        <f t="shared" si="175"/>
        <v>1</v>
      </c>
      <c r="AH582" s="7">
        <f t="shared" si="176"/>
        <v>0</v>
      </c>
      <c r="AI582" s="6">
        <f t="shared" si="177"/>
        <v>0</v>
      </c>
      <c r="AJ582" s="73">
        <f t="shared" si="178"/>
        <v>0</v>
      </c>
      <c r="AK582" s="539"/>
      <c r="AL582" s="748"/>
      <c r="AM582" s="748"/>
    </row>
    <row r="583" spans="2:39" x14ac:dyDescent="0.2">
      <c r="B583" s="101" t="str">
        <f t="shared" si="163"/>
        <v/>
      </c>
      <c r="C583" s="168">
        <f>IF(ISERROR(Personalplanung!F63/Monatsplanung!$E63*Monatsplanung!$L63),0,Personalplanung!F63/Monatsplanung!$E63*Monatsplanung!$L63)</f>
        <v>0</v>
      </c>
      <c r="D583" s="168">
        <f t="shared" si="164"/>
        <v>0</v>
      </c>
      <c r="E583" s="168">
        <f>IF(ISERROR(Personalplanung!H63/Monatsplanung!$E63*Monatsplanung!$L63),0,Personalplanung!H63/Monatsplanung!$E63*Monatsplanung!$L63)</f>
        <v>0</v>
      </c>
      <c r="F583" s="168">
        <f t="shared" si="165"/>
        <v>0</v>
      </c>
      <c r="G583" s="168">
        <f t="shared" si="166"/>
        <v>27.700831024930746</v>
      </c>
      <c r="H583" s="168">
        <f t="shared" si="167"/>
        <v>0</v>
      </c>
      <c r="I583" s="168">
        <f t="shared" si="168"/>
        <v>30</v>
      </c>
      <c r="J583" s="739"/>
      <c r="K583" s="168">
        <f>IF(J583&lt;&gt;"",J583,IF(ISERROR(Personalplanung!AB63/Monatsplanung!$E63*Monatsplanung!$L63),0,Personalplanung!AB63/Monatsplanung!$E63*Monatsplanung!$L63))</f>
        <v>0</v>
      </c>
      <c r="L583" s="740"/>
      <c r="M583" s="739"/>
      <c r="N583" s="168">
        <f>IF(M583&lt;&gt;"",M583,IF(ISERROR(Personalplanung!AC63/Monatsplanung!$E63*Monatsplanung!$L63),0,Personalplanung!AC63/Monatsplanung!$E63*Monatsplanung!$L63))</f>
        <v>0</v>
      </c>
      <c r="O583" s="740"/>
      <c r="P583" s="739"/>
      <c r="Q583" s="168">
        <f>IF(P583&lt;&gt;"",P583,IF(ISERROR(Personalplanung!AD63/Monatsplanung!$E63*Monatsplanung!$L63),0,Personalplanung!AD63/Monatsplanung!$E63*Monatsplanung!$L63))</f>
        <v>0</v>
      </c>
      <c r="R583" s="740"/>
      <c r="S583" s="739"/>
      <c r="T583" s="168">
        <f>IF(S583&lt;&gt;"",S583,IF(ISERROR(Personalplanung!AE63/Monatsplanung!$E63*Monatsplanung!$L63),0,Personalplanung!AE63/Monatsplanung!$E63*Monatsplanung!$L63))</f>
        <v>0</v>
      </c>
      <c r="U583" s="740"/>
      <c r="V583" s="168">
        <f t="shared" si="169"/>
        <v>0</v>
      </c>
      <c r="W583" s="168">
        <f>IF(ISERROR(Personalplanung!P63/Monatsplanung!$E63*Monatsplanung!$L63),0,Personalplanung!P63/Monatsplanung!$E63*Monatsplanung!$L63)</f>
        <v>0</v>
      </c>
      <c r="X583" s="168">
        <f>IF(ISERROR(Personalplanung!Q63/Monatsplanung!$E63*Monatsplanung!$L63),0,Personalplanung!Q63/Monatsplanung!$E63*Monatsplanung!$L63)</f>
        <v>0</v>
      </c>
      <c r="Y583" s="168">
        <f>IF(ISERROR(Personalplanung!R63/T1311*Stundencontrolling!T583),0,Personalplanung!R63/T1311*Stundencontrolling!T583)</f>
        <v>0</v>
      </c>
      <c r="Z583" s="168">
        <f>IF(ISERROR(Personalplanung!S63/Monatsplanung!$E63*Monatsplanung!$L63),0,Personalplanung!S63/Monatsplanung!$E63*Monatsplanung!$L63)</f>
        <v>0</v>
      </c>
      <c r="AA583" s="80">
        <f t="shared" si="170"/>
        <v>0</v>
      </c>
      <c r="AB583" s="102">
        <f t="shared" si="171"/>
        <v>0.1</v>
      </c>
      <c r="AC583" s="103">
        <f t="shared" si="172"/>
        <v>0</v>
      </c>
      <c r="AD583" s="103">
        <f t="shared" si="173"/>
        <v>0</v>
      </c>
      <c r="AE583" s="81">
        <f t="shared" si="174"/>
        <v>0</v>
      </c>
      <c r="AF583" s="539"/>
      <c r="AG583" s="104">
        <f t="shared" si="175"/>
        <v>1</v>
      </c>
      <c r="AH583" s="7">
        <f t="shared" si="176"/>
        <v>0</v>
      </c>
      <c r="AI583" s="6">
        <f t="shared" si="177"/>
        <v>0</v>
      </c>
      <c r="AJ583" s="73">
        <f t="shared" si="178"/>
        <v>0</v>
      </c>
      <c r="AK583" s="539"/>
      <c r="AL583" s="748"/>
      <c r="AM583" s="748"/>
    </row>
    <row r="584" spans="2:39" x14ac:dyDescent="0.2">
      <c r="B584" s="101" t="str">
        <f t="shared" si="163"/>
        <v/>
      </c>
      <c r="C584" s="168">
        <f>IF(ISERROR(Personalplanung!F64/Monatsplanung!$E64*Monatsplanung!$L64),0,Personalplanung!F64/Monatsplanung!$E64*Monatsplanung!$L64)</f>
        <v>0</v>
      </c>
      <c r="D584" s="168">
        <f t="shared" si="164"/>
        <v>0</v>
      </c>
      <c r="E584" s="168">
        <f>IF(ISERROR(Personalplanung!H64/Monatsplanung!$E64*Monatsplanung!$L64),0,Personalplanung!H64/Monatsplanung!$E64*Monatsplanung!$L64)</f>
        <v>0</v>
      </c>
      <c r="F584" s="168">
        <f t="shared" si="165"/>
        <v>0</v>
      </c>
      <c r="G584" s="168">
        <f t="shared" si="166"/>
        <v>27.700831024930746</v>
      </c>
      <c r="H584" s="168">
        <f t="shared" si="167"/>
        <v>0</v>
      </c>
      <c r="I584" s="168">
        <f t="shared" si="168"/>
        <v>30</v>
      </c>
      <c r="J584" s="739"/>
      <c r="K584" s="168">
        <f>IF(J584&lt;&gt;"",J584,IF(ISERROR(Personalplanung!AB64/Monatsplanung!$E64*Monatsplanung!$L64),0,Personalplanung!AB64/Monatsplanung!$E64*Monatsplanung!$L64))</f>
        <v>0</v>
      </c>
      <c r="L584" s="740"/>
      <c r="M584" s="739"/>
      <c r="N584" s="168">
        <f>IF(M584&lt;&gt;"",M584,IF(ISERROR(Personalplanung!AC64/Monatsplanung!$E64*Monatsplanung!$L64),0,Personalplanung!AC64/Monatsplanung!$E64*Monatsplanung!$L64))</f>
        <v>0</v>
      </c>
      <c r="O584" s="740"/>
      <c r="P584" s="739"/>
      <c r="Q584" s="168">
        <f>IF(P584&lt;&gt;"",P584,IF(ISERROR(Personalplanung!AD64/Monatsplanung!$E64*Monatsplanung!$L64),0,Personalplanung!AD64/Monatsplanung!$E64*Monatsplanung!$L64))</f>
        <v>0</v>
      </c>
      <c r="R584" s="740"/>
      <c r="S584" s="739"/>
      <c r="T584" s="168">
        <f>IF(S584&lt;&gt;"",S584,IF(ISERROR(Personalplanung!AE64/Monatsplanung!$E64*Monatsplanung!$L64),0,Personalplanung!AE64/Monatsplanung!$E64*Monatsplanung!$L64))</f>
        <v>0</v>
      </c>
      <c r="U584" s="740"/>
      <c r="V584" s="168">
        <f t="shared" si="169"/>
        <v>0</v>
      </c>
      <c r="W584" s="168">
        <f>IF(ISERROR(Personalplanung!P64/Monatsplanung!$E64*Monatsplanung!$L64),0,Personalplanung!P64/Monatsplanung!$E64*Monatsplanung!$L64)</f>
        <v>0</v>
      </c>
      <c r="X584" s="168">
        <f>IF(ISERROR(Personalplanung!Q64/Monatsplanung!$E64*Monatsplanung!$L64),0,Personalplanung!Q64/Monatsplanung!$E64*Monatsplanung!$L64)</f>
        <v>0</v>
      </c>
      <c r="Y584" s="168">
        <f>IF(ISERROR(Personalplanung!R64/T1312*Stundencontrolling!T584),0,Personalplanung!R64/T1312*Stundencontrolling!T584)</f>
        <v>0</v>
      </c>
      <c r="Z584" s="168">
        <f>IF(ISERROR(Personalplanung!S64/Monatsplanung!$E64*Monatsplanung!$L64),0,Personalplanung!S64/Monatsplanung!$E64*Monatsplanung!$L64)</f>
        <v>0</v>
      </c>
      <c r="AA584" s="80">
        <f t="shared" si="170"/>
        <v>0</v>
      </c>
      <c r="AB584" s="102">
        <f t="shared" si="171"/>
        <v>0.1</v>
      </c>
      <c r="AC584" s="103">
        <f t="shared" si="172"/>
        <v>0</v>
      </c>
      <c r="AD584" s="103">
        <f t="shared" si="173"/>
        <v>0</v>
      </c>
      <c r="AE584" s="81">
        <f t="shared" si="174"/>
        <v>0</v>
      </c>
      <c r="AF584" s="539"/>
      <c r="AG584" s="104">
        <f t="shared" si="175"/>
        <v>1</v>
      </c>
      <c r="AH584" s="7">
        <f t="shared" si="176"/>
        <v>0</v>
      </c>
      <c r="AI584" s="6">
        <f t="shared" si="177"/>
        <v>0</v>
      </c>
      <c r="AJ584" s="73">
        <f t="shared" si="178"/>
        <v>0</v>
      </c>
      <c r="AK584" s="539"/>
      <c r="AL584" s="748"/>
      <c r="AM584" s="748"/>
    </row>
    <row r="585" spans="2:39" x14ac:dyDescent="0.2">
      <c r="B585" s="101" t="str">
        <f t="shared" si="163"/>
        <v/>
      </c>
      <c r="C585" s="168">
        <f>IF(ISERROR(Personalplanung!F65/Monatsplanung!$E65*Monatsplanung!$L65),0,Personalplanung!F65/Monatsplanung!$E65*Monatsplanung!$L65)</f>
        <v>0</v>
      </c>
      <c r="D585" s="168">
        <f t="shared" si="164"/>
        <v>0</v>
      </c>
      <c r="E585" s="168">
        <f>IF(ISERROR(Personalplanung!H65/Monatsplanung!$E65*Monatsplanung!$L65),0,Personalplanung!H65/Monatsplanung!$E65*Monatsplanung!$L65)</f>
        <v>0</v>
      </c>
      <c r="F585" s="168">
        <f t="shared" si="165"/>
        <v>0</v>
      </c>
      <c r="G585" s="168">
        <f t="shared" si="166"/>
        <v>27.700831024930746</v>
      </c>
      <c r="H585" s="168">
        <f t="shared" si="167"/>
        <v>0</v>
      </c>
      <c r="I585" s="168">
        <f t="shared" si="168"/>
        <v>30</v>
      </c>
      <c r="J585" s="739"/>
      <c r="K585" s="168">
        <f>IF(J585&lt;&gt;"",J585,IF(ISERROR(Personalplanung!AB65/Monatsplanung!$E65*Monatsplanung!$L65),0,Personalplanung!AB65/Monatsplanung!$E65*Monatsplanung!$L65))</f>
        <v>0</v>
      </c>
      <c r="L585" s="740"/>
      <c r="M585" s="739"/>
      <c r="N585" s="168">
        <f>IF(M585&lt;&gt;"",M585,IF(ISERROR(Personalplanung!AC65/Monatsplanung!$E65*Monatsplanung!$L65),0,Personalplanung!AC65/Monatsplanung!$E65*Monatsplanung!$L65))</f>
        <v>0</v>
      </c>
      <c r="O585" s="740"/>
      <c r="P585" s="739"/>
      <c r="Q585" s="168">
        <f>IF(P585&lt;&gt;"",P585,IF(ISERROR(Personalplanung!AD65/Monatsplanung!$E65*Monatsplanung!$L65),0,Personalplanung!AD65/Monatsplanung!$E65*Monatsplanung!$L65))</f>
        <v>0</v>
      </c>
      <c r="R585" s="740"/>
      <c r="S585" s="739"/>
      <c r="T585" s="168">
        <f>IF(S585&lt;&gt;"",S585,IF(ISERROR(Personalplanung!AE65/Monatsplanung!$E65*Monatsplanung!$L65),0,Personalplanung!AE65/Monatsplanung!$E65*Monatsplanung!$L65))</f>
        <v>0</v>
      </c>
      <c r="U585" s="740"/>
      <c r="V585" s="168">
        <f t="shared" si="169"/>
        <v>0</v>
      </c>
      <c r="W585" s="168">
        <f>IF(ISERROR(Personalplanung!P65/Monatsplanung!$E65*Monatsplanung!$L65),0,Personalplanung!P65/Monatsplanung!$E65*Monatsplanung!$L65)</f>
        <v>0</v>
      </c>
      <c r="X585" s="168">
        <f>IF(ISERROR(Personalplanung!Q65/Monatsplanung!$E65*Monatsplanung!$L65),0,Personalplanung!Q65/Monatsplanung!$E65*Monatsplanung!$L65)</f>
        <v>0</v>
      </c>
      <c r="Y585" s="168">
        <f>IF(ISERROR(Personalplanung!R65/T1313*Stundencontrolling!T585),0,Personalplanung!R65/T1313*Stundencontrolling!T585)</f>
        <v>0</v>
      </c>
      <c r="Z585" s="168">
        <f>IF(ISERROR(Personalplanung!S65/Monatsplanung!$E65*Monatsplanung!$L65),0,Personalplanung!S65/Monatsplanung!$E65*Monatsplanung!$L65)</f>
        <v>0</v>
      </c>
      <c r="AA585" s="80">
        <f t="shared" si="170"/>
        <v>0</v>
      </c>
      <c r="AB585" s="102">
        <f t="shared" si="171"/>
        <v>0.1</v>
      </c>
      <c r="AC585" s="103">
        <f t="shared" si="172"/>
        <v>0</v>
      </c>
      <c r="AD585" s="103">
        <f t="shared" si="173"/>
        <v>0</v>
      </c>
      <c r="AE585" s="81">
        <f t="shared" si="174"/>
        <v>0</v>
      </c>
      <c r="AF585" s="539"/>
      <c r="AG585" s="104">
        <f t="shared" si="175"/>
        <v>1</v>
      </c>
      <c r="AH585" s="7">
        <f t="shared" si="176"/>
        <v>0</v>
      </c>
      <c r="AI585" s="6">
        <f t="shared" si="177"/>
        <v>0</v>
      </c>
      <c r="AJ585" s="73">
        <f t="shared" si="178"/>
        <v>0</v>
      </c>
      <c r="AK585" s="539"/>
      <c r="AL585" s="748"/>
      <c r="AM585" s="748"/>
    </row>
    <row r="586" spans="2:39" x14ac:dyDescent="0.2">
      <c r="B586" s="101" t="str">
        <f t="shared" si="163"/>
        <v/>
      </c>
      <c r="C586" s="168">
        <f>IF(ISERROR(Personalplanung!F66/Monatsplanung!$E66*Monatsplanung!$L66),0,Personalplanung!F66/Monatsplanung!$E66*Monatsplanung!$L66)</f>
        <v>0</v>
      </c>
      <c r="D586" s="168">
        <f t="shared" si="164"/>
        <v>0</v>
      </c>
      <c r="E586" s="168">
        <f>IF(ISERROR(Personalplanung!H66/Monatsplanung!$E66*Monatsplanung!$L66),0,Personalplanung!H66/Monatsplanung!$E66*Monatsplanung!$L66)</f>
        <v>0</v>
      </c>
      <c r="F586" s="168">
        <f t="shared" si="165"/>
        <v>0</v>
      </c>
      <c r="G586" s="168">
        <f t="shared" si="166"/>
        <v>27.700831024930746</v>
      </c>
      <c r="H586" s="168">
        <f t="shared" si="167"/>
        <v>0</v>
      </c>
      <c r="I586" s="168">
        <f t="shared" si="168"/>
        <v>30</v>
      </c>
      <c r="J586" s="739"/>
      <c r="K586" s="168">
        <f>IF(J586&lt;&gt;"",J586,IF(ISERROR(Personalplanung!AB66/Monatsplanung!$E66*Monatsplanung!$L66),0,Personalplanung!AB66/Monatsplanung!$E66*Monatsplanung!$L66))</f>
        <v>0</v>
      </c>
      <c r="L586" s="740"/>
      <c r="M586" s="739"/>
      <c r="N586" s="168">
        <f>IF(M586&lt;&gt;"",M586,IF(ISERROR(Personalplanung!AC66/Monatsplanung!$E66*Monatsplanung!$L66),0,Personalplanung!AC66/Monatsplanung!$E66*Monatsplanung!$L66))</f>
        <v>0</v>
      </c>
      <c r="O586" s="740"/>
      <c r="P586" s="739"/>
      <c r="Q586" s="168">
        <f>IF(P586&lt;&gt;"",P586,IF(ISERROR(Personalplanung!AD66/Monatsplanung!$E66*Monatsplanung!$L66),0,Personalplanung!AD66/Monatsplanung!$E66*Monatsplanung!$L66))</f>
        <v>0</v>
      </c>
      <c r="R586" s="740"/>
      <c r="S586" s="739"/>
      <c r="T586" s="168">
        <f>IF(S586&lt;&gt;"",S586,IF(ISERROR(Personalplanung!AE66/Monatsplanung!$E66*Monatsplanung!$L66),0,Personalplanung!AE66/Monatsplanung!$E66*Monatsplanung!$L66))</f>
        <v>0</v>
      </c>
      <c r="U586" s="740"/>
      <c r="V586" s="168">
        <f t="shared" si="169"/>
        <v>0</v>
      </c>
      <c r="W586" s="168">
        <f>IF(ISERROR(Personalplanung!P66/Monatsplanung!$E66*Monatsplanung!$L66),0,Personalplanung!P66/Monatsplanung!$E66*Monatsplanung!$L66)</f>
        <v>0</v>
      </c>
      <c r="X586" s="168">
        <f>IF(ISERROR(Personalplanung!Q66/Monatsplanung!$E66*Monatsplanung!$L66),0,Personalplanung!Q66/Monatsplanung!$E66*Monatsplanung!$L66)</f>
        <v>0</v>
      </c>
      <c r="Y586" s="168">
        <f>IF(ISERROR(Personalplanung!R66/T1314*Stundencontrolling!T586),0,Personalplanung!R66/T1314*Stundencontrolling!T586)</f>
        <v>0</v>
      </c>
      <c r="Z586" s="168">
        <f>IF(ISERROR(Personalplanung!S66/Monatsplanung!$E66*Monatsplanung!$L66),0,Personalplanung!S66/Monatsplanung!$E66*Monatsplanung!$L66)</f>
        <v>0</v>
      </c>
      <c r="AA586" s="80">
        <f t="shared" si="170"/>
        <v>0</v>
      </c>
      <c r="AB586" s="102">
        <f t="shared" si="171"/>
        <v>0.1</v>
      </c>
      <c r="AC586" s="103">
        <f t="shared" si="172"/>
        <v>0</v>
      </c>
      <c r="AD586" s="103">
        <f t="shared" si="173"/>
        <v>0</v>
      </c>
      <c r="AE586" s="81">
        <f t="shared" si="174"/>
        <v>0</v>
      </c>
      <c r="AF586" s="539"/>
      <c r="AG586" s="104">
        <f t="shared" si="175"/>
        <v>1</v>
      </c>
      <c r="AH586" s="7">
        <f t="shared" si="176"/>
        <v>0</v>
      </c>
      <c r="AI586" s="6">
        <f t="shared" si="177"/>
        <v>0</v>
      </c>
      <c r="AJ586" s="73">
        <f t="shared" si="178"/>
        <v>0</v>
      </c>
      <c r="AK586" s="539"/>
      <c r="AL586" s="748"/>
      <c r="AM586" s="748"/>
    </row>
    <row r="587" spans="2:39" x14ac:dyDescent="0.2">
      <c r="B587" s="101" t="str">
        <f t="shared" si="163"/>
        <v/>
      </c>
      <c r="C587" s="168">
        <f>IF(ISERROR(Personalplanung!F67/Monatsplanung!$E67*Monatsplanung!$L67),0,Personalplanung!F67/Monatsplanung!$E67*Monatsplanung!$L67)</f>
        <v>0</v>
      </c>
      <c r="D587" s="168">
        <f t="shared" si="164"/>
        <v>0</v>
      </c>
      <c r="E587" s="168">
        <f>IF(ISERROR(Personalplanung!H67/Monatsplanung!$E67*Monatsplanung!$L67),0,Personalplanung!H67/Monatsplanung!$E67*Monatsplanung!$L67)</f>
        <v>0</v>
      </c>
      <c r="F587" s="168">
        <f t="shared" si="165"/>
        <v>0</v>
      </c>
      <c r="G587" s="168">
        <f t="shared" si="166"/>
        <v>27.700831024930746</v>
      </c>
      <c r="H587" s="168">
        <f t="shared" si="167"/>
        <v>0</v>
      </c>
      <c r="I587" s="168">
        <f t="shared" si="168"/>
        <v>30</v>
      </c>
      <c r="J587" s="739"/>
      <c r="K587" s="168">
        <f>IF(J587&lt;&gt;"",J587,IF(ISERROR(Personalplanung!AB67/Monatsplanung!$E67*Monatsplanung!$L67),0,Personalplanung!AB67/Monatsplanung!$E67*Monatsplanung!$L67))</f>
        <v>0</v>
      </c>
      <c r="L587" s="740"/>
      <c r="M587" s="739"/>
      <c r="N587" s="168">
        <f>IF(M587&lt;&gt;"",M587,IF(ISERROR(Personalplanung!AC67/Monatsplanung!$E67*Monatsplanung!$L67),0,Personalplanung!AC67/Monatsplanung!$E67*Monatsplanung!$L67))</f>
        <v>0</v>
      </c>
      <c r="O587" s="740"/>
      <c r="P587" s="739"/>
      <c r="Q587" s="168">
        <f>IF(P587&lt;&gt;"",P587,IF(ISERROR(Personalplanung!AD67/Monatsplanung!$E67*Monatsplanung!$L67),0,Personalplanung!AD67/Monatsplanung!$E67*Monatsplanung!$L67))</f>
        <v>0</v>
      </c>
      <c r="R587" s="740"/>
      <c r="S587" s="739"/>
      <c r="T587" s="168">
        <f>IF(S587&lt;&gt;"",S587,IF(ISERROR(Personalplanung!AE67/Monatsplanung!$E67*Monatsplanung!$L67),0,Personalplanung!AE67/Monatsplanung!$E67*Monatsplanung!$L67))</f>
        <v>0</v>
      </c>
      <c r="U587" s="740"/>
      <c r="V587" s="168">
        <f t="shared" si="169"/>
        <v>0</v>
      </c>
      <c r="W587" s="168">
        <f>IF(ISERROR(Personalplanung!P67/Monatsplanung!$E67*Monatsplanung!$L67),0,Personalplanung!P67/Monatsplanung!$E67*Monatsplanung!$L67)</f>
        <v>0</v>
      </c>
      <c r="X587" s="168">
        <f>IF(ISERROR(Personalplanung!Q67/Monatsplanung!$E67*Monatsplanung!$L67),0,Personalplanung!Q67/Monatsplanung!$E67*Monatsplanung!$L67)</f>
        <v>0</v>
      </c>
      <c r="Y587" s="168">
        <f>IF(ISERROR(Personalplanung!R67/T1315*Stundencontrolling!T587),0,Personalplanung!R67/T1315*Stundencontrolling!T587)</f>
        <v>0</v>
      </c>
      <c r="Z587" s="168">
        <f>IF(ISERROR(Personalplanung!S67/Monatsplanung!$E67*Monatsplanung!$L67),0,Personalplanung!S67/Monatsplanung!$E67*Monatsplanung!$L67)</f>
        <v>0</v>
      </c>
      <c r="AA587" s="80">
        <f t="shared" si="170"/>
        <v>0</v>
      </c>
      <c r="AB587" s="102">
        <f t="shared" si="171"/>
        <v>0.1</v>
      </c>
      <c r="AC587" s="103">
        <f t="shared" si="172"/>
        <v>0</v>
      </c>
      <c r="AD587" s="103">
        <f t="shared" si="173"/>
        <v>0</v>
      </c>
      <c r="AE587" s="81">
        <f t="shared" si="174"/>
        <v>0</v>
      </c>
      <c r="AF587" s="539"/>
      <c r="AG587" s="104">
        <f t="shared" si="175"/>
        <v>1</v>
      </c>
      <c r="AH587" s="7">
        <f t="shared" si="176"/>
        <v>0</v>
      </c>
      <c r="AI587" s="6">
        <f t="shared" si="177"/>
        <v>0</v>
      </c>
      <c r="AJ587" s="73">
        <f t="shared" si="178"/>
        <v>0</v>
      </c>
      <c r="AK587" s="539"/>
      <c r="AL587" s="748"/>
      <c r="AM587" s="748"/>
    </row>
    <row r="588" spans="2:39" x14ac:dyDescent="0.2">
      <c r="B588" s="101" t="str">
        <f t="shared" si="163"/>
        <v/>
      </c>
      <c r="C588" s="168">
        <f>IF(ISERROR(Personalplanung!F68/Monatsplanung!$E68*Monatsplanung!$L68),0,Personalplanung!F68/Monatsplanung!$E68*Monatsplanung!$L68)</f>
        <v>0</v>
      </c>
      <c r="D588" s="168">
        <f t="shared" si="164"/>
        <v>0</v>
      </c>
      <c r="E588" s="168">
        <f>IF(ISERROR(Personalplanung!H68/Monatsplanung!$E68*Monatsplanung!$L68),0,Personalplanung!H68/Monatsplanung!$E68*Monatsplanung!$L68)</f>
        <v>0</v>
      </c>
      <c r="F588" s="168">
        <f t="shared" si="165"/>
        <v>0</v>
      </c>
      <c r="G588" s="168">
        <f t="shared" si="166"/>
        <v>27.700831024930746</v>
      </c>
      <c r="H588" s="168">
        <f t="shared" si="167"/>
        <v>0</v>
      </c>
      <c r="I588" s="168">
        <f t="shared" si="168"/>
        <v>30</v>
      </c>
      <c r="J588" s="739"/>
      <c r="K588" s="168">
        <f>IF(J588&lt;&gt;"",J588,IF(ISERROR(Personalplanung!AB68/Monatsplanung!$E68*Monatsplanung!$L68),0,Personalplanung!AB68/Monatsplanung!$E68*Monatsplanung!$L68))</f>
        <v>0</v>
      </c>
      <c r="L588" s="740"/>
      <c r="M588" s="739"/>
      <c r="N588" s="168">
        <f>IF(M588&lt;&gt;"",M588,IF(ISERROR(Personalplanung!AC68/Monatsplanung!$E68*Monatsplanung!$L68),0,Personalplanung!AC68/Monatsplanung!$E68*Monatsplanung!$L68))</f>
        <v>0</v>
      </c>
      <c r="O588" s="740"/>
      <c r="P588" s="739"/>
      <c r="Q588" s="168">
        <f>IF(P588&lt;&gt;"",P588,IF(ISERROR(Personalplanung!AD68/Monatsplanung!$E68*Monatsplanung!$L68),0,Personalplanung!AD68/Monatsplanung!$E68*Monatsplanung!$L68))</f>
        <v>0</v>
      </c>
      <c r="R588" s="740"/>
      <c r="S588" s="739"/>
      <c r="T588" s="168">
        <f>IF(S588&lt;&gt;"",S588,IF(ISERROR(Personalplanung!AE68/Monatsplanung!$E68*Monatsplanung!$L68),0,Personalplanung!AE68/Monatsplanung!$E68*Monatsplanung!$L68))</f>
        <v>0</v>
      </c>
      <c r="U588" s="740"/>
      <c r="V588" s="168">
        <f t="shared" si="169"/>
        <v>0</v>
      </c>
      <c r="W588" s="168">
        <f>IF(ISERROR(Personalplanung!P68/Monatsplanung!$E68*Monatsplanung!$L68),0,Personalplanung!P68/Monatsplanung!$E68*Monatsplanung!$L68)</f>
        <v>0</v>
      </c>
      <c r="X588" s="168">
        <f>IF(ISERROR(Personalplanung!Q68/Monatsplanung!$E68*Monatsplanung!$L68),0,Personalplanung!Q68/Monatsplanung!$E68*Monatsplanung!$L68)</f>
        <v>0</v>
      </c>
      <c r="Y588" s="168">
        <f>IF(ISERROR(Personalplanung!R68/T1316*Stundencontrolling!T588),0,Personalplanung!R68/T1316*Stundencontrolling!T588)</f>
        <v>0</v>
      </c>
      <c r="Z588" s="168">
        <f>IF(ISERROR(Personalplanung!S68/Monatsplanung!$E68*Monatsplanung!$L68),0,Personalplanung!S68/Monatsplanung!$E68*Monatsplanung!$L68)</f>
        <v>0</v>
      </c>
      <c r="AA588" s="80">
        <f t="shared" si="170"/>
        <v>0</v>
      </c>
      <c r="AB588" s="102">
        <f t="shared" si="171"/>
        <v>0.1</v>
      </c>
      <c r="AC588" s="103">
        <f t="shared" si="172"/>
        <v>0</v>
      </c>
      <c r="AD588" s="103">
        <f t="shared" si="173"/>
        <v>0</v>
      </c>
      <c r="AE588" s="81">
        <f t="shared" si="174"/>
        <v>0</v>
      </c>
      <c r="AF588" s="539"/>
      <c r="AG588" s="104">
        <f t="shared" si="175"/>
        <v>1</v>
      </c>
      <c r="AH588" s="7">
        <f t="shared" si="176"/>
        <v>0</v>
      </c>
      <c r="AI588" s="6">
        <f t="shared" si="177"/>
        <v>0</v>
      </c>
      <c r="AJ588" s="73">
        <f t="shared" si="178"/>
        <v>0</v>
      </c>
      <c r="AK588" s="539"/>
      <c r="AL588" s="748"/>
      <c r="AM588" s="748"/>
    </row>
    <row r="589" spans="2:39" x14ac:dyDescent="0.2">
      <c r="B589" s="101" t="str">
        <f t="shared" si="163"/>
        <v/>
      </c>
      <c r="C589" s="168">
        <f>IF(ISERROR(Personalplanung!F69/Monatsplanung!$E69*Monatsplanung!$L69),0,Personalplanung!F69/Monatsplanung!$E69*Monatsplanung!$L69)</f>
        <v>0</v>
      </c>
      <c r="D589" s="168">
        <f t="shared" si="164"/>
        <v>0</v>
      </c>
      <c r="E589" s="168">
        <f>IF(ISERROR(Personalplanung!H69/Monatsplanung!$E69*Monatsplanung!$L69),0,Personalplanung!H69/Monatsplanung!$E69*Monatsplanung!$L69)</f>
        <v>0</v>
      </c>
      <c r="F589" s="168">
        <f t="shared" si="165"/>
        <v>0</v>
      </c>
      <c r="G589" s="168">
        <f t="shared" si="166"/>
        <v>27.700831024930746</v>
      </c>
      <c r="H589" s="168">
        <f t="shared" si="167"/>
        <v>0</v>
      </c>
      <c r="I589" s="168">
        <f t="shared" si="168"/>
        <v>30</v>
      </c>
      <c r="J589" s="739"/>
      <c r="K589" s="168">
        <f>IF(J589&lt;&gt;"",J589,IF(ISERROR(Personalplanung!AB69/Monatsplanung!$E69*Monatsplanung!$L69),0,Personalplanung!AB69/Monatsplanung!$E69*Monatsplanung!$L69))</f>
        <v>0</v>
      </c>
      <c r="L589" s="740"/>
      <c r="M589" s="739"/>
      <c r="N589" s="168">
        <f>IF(M589&lt;&gt;"",M589,IF(ISERROR(Personalplanung!AC69/Monatsplanung!$E69*Monatsplanung!$L69),0,Personalplanung!AC69/Monatsplanung!$E69*Monatsplanung!$L69))</f>
        <v>0</v>
      </c>
      <c r="O589" s="740"/>
      <c r="P589" s="739"/>
      <c r="Q589" s="168">
        <f>IF(P589&lt;&gt;"",P589,IF(ISERROR(Personalplanung!AD69/Monatsplanung!$E69*Monatsplanung!$L69),0,Personalplanung!AD69/Monatsplanung!$E69*Monatsplanung!$L69))</f>
        <v>0</v>
      </c>
      <c r="R589" s="740"/>
      <c r="S589" s="739"/>
      <c r="T589" s="168">
        <f>IF(S589&lt;&gt;"",S589,IF(ISERROR(Personalplanung!AE69/Monatsplanung!$E69*Monatsplanung!$L69),0,Personalplanung!AE69/Monatsplanung!$E69*Monatsplanung!$L69))</f>
        <v>0</v>
      </c>
      <c r="U589" s="740"/>
      <c r="V589" s="168">
        <f t="shared" si="169"/>
        <v>0</v>
      </c>
      <c r="W589" s="168">
        <f>IF(ISERROR(Personalplanung!P69/Monatsplanung!$E69*Monatsplanung!$L69),0,Personalplanung!P69/Monatsplanung!$E69*Monatsplanung!$L69)</f>
        <v>0</v>
      </c>
      <c r="X589" s="168">
        <f>IF(ISERROR(Personalplanung!Q69/Monatsplanung!$E69*Monatsplanung!$L69),0,Personalplanung!Q69/Monatsplanung!$E69*Monatsplanung!$L69)</f>
        <v>0</v>
      </c>
      <c r="Y589" s="168">
        <f>IF(ISERROR(Personalplanung!R69/T1317*Stundencontrolling!T589),0,Personalplanung!R69/T1317*Stundencontrolling!T589)</f>
        <v>0</v>
      </c>
      <c r="Z589" s="168">
        <f>IF(ISERROR(Personalplanung!S69/Monatsplanung!$E69*Monatsplanung!$L69),0,Personalplanung!S69/Monatsplanung!$E69*Monatsplanung!$L69)</f>
        <v>0</v>
      </c>
      <c r="AA589" s="80">
        <f t="shared" si="170"/>
        <v>0</v>
      </c>
      <c r="AB589" s="102">
        <f t="shared" si="171"/>
        <v>0.1</v>
      </c>
      <c r="AC589" s="103">
        <f t="shared" si="172"/>
        <v>0</v>
      </c>
      <c r="AD589" s="103">
        <f t="shared" si="173"/>
        <v>0</v>
      </c>
      <c r="AE589" s="81">
        <f t="shared" si="174"/>
        <v>0</v>
      </c>
      <c r="AF589" s="539"/>
      <c r="AG589" s="104">
        <f t="shared" si="175"/>
        <v>1</v>
      </c>
      <c r="AH589" s="7">
        <f t="shared" si="176"/>
        <v>0</v>
      </c>
      <c r="AI589" s="6">
        <f t="shared" si="177"/>
        <v>0</v>
      </c>
      <c r="AJ589" s="73">
        <f t="shared" si="178"/>
        <v>0</v>
      </c>
      <c r="AK589" s="539"/>
      <c r="AL589" s="748"/>
      <c r="AM589" s="748"/>
    </row>
    <row r="590" spans="2:39" x14ac:dyDescent="0.2">
      <c r="B590" s="101" t="str">
        <f t="shared" si="163"/>
        <v/>
      </c>
      <c r="C590" s="168">
        <f>IF(ISERROR(Personalplanung!F70/Monatsplanung!$E70*Monatsplanung!$L70),0,Personalplanung!F70/Monatsplanung!$E70*Monatsplanung!$L70)</f>
        <v>0</v>
      </c>
      <c r="D590" s="168">
        <f t="shared" si="164"/>
        <v>0</v>
      </c>
      <c r="E590" s="168">
        <f>IF(ISERROR(Personalplanung!H70/Monatsplanung!$E70*Monatsplanung!$L70),0,Personalplanung!H70/Monatsplanung!$E70*Monatsplanung!$L70)</f>
        <v>0</v>
      </c>
      <c r="F590" s="168">
        <f t="shared" si="165"/>
        <v>0</v>
      </c>
      <c r="G590" s="168">
        <f t="shared" si="166"/>
        <v>27.700831024930746</v>
      </c>
      <c r="H590" s="168">
        <f t="shared" si="167"/>
        <v>0</v>
      </c>
      <c r="I590" s="168">
        <f t="shared" si="168"/>
        <v>30</v>
      </c>
      <c r="J590" s="739"/>
      <c r="K590" s="168">
        <f>IF(J590&lt;&gt;"",J590,IF(ISERROR(Personalplanung!AB70/Monatsplanung!$E70*Monatsplanung!$L70),0,Personalplanung!AB70/Monatsplanung!$E70*Monatsplanung!$L70))</f>
        <v>0</v>
      </c>
      <c r="L590" s="740"/>
      <c r="M590" s="739"/>
      <c r="N590" s="168">
        <f>IF(M590&lt;&gt;"",M590,IF(ISERROR(Personalplanung!AC70/Monatsplanung!$E70*Monatsplanung!$L70),0,Personalplanung!AC70/Monatsplanung!$E70*Monatsplanung!$L70))</f>
        <v>0</v>
      </c>
      <c r="O590" s="740"/>
      <c r="P590" s="739"/>
      <c r="Q590" s="168">
        <f>IF(P590&lt;&gt;"",P590,IF(ISERROR(Personalplanung!AD70/Monatsplanung!$E70*Monatsplanung!$L70),0,Personalplanung!AD70/Monatsplanung!$E70*Monatsplanung!$L70))</f>
        <v>0</v>
      </c>
      <c r="R590" s="740"/>
      <c r="S590" s="739"/>
      <c r="T590" s="168">
        <f>IF(S590&lt;&gt;"",S590,IF(ISERROR(Personalplanung!AE70/Monatsplanung!$E70*Monatsplanung!$L70),0,Personalplanung!AE70/Monatsplanung!$E70*Monatsplanung!$L70))</f>
        <v>0</v>
      </c>
      <c r="U590" s="740"/>
      <c r="V590" s="168">
        <f t="shared" si="169"/>
        <v>0</v>
      </c>
      <c r="W590" s="168">
        <f>IF(ISERROR(Personalplanung!P70/Monatsplanung!$E70*Monatsplanung!$L70),0,Personalplanung!P70/Monatsplanung!$E70*Monatsplanung!$L70)</f>
        <v>0</v>
      </c>
      <c r="X590" s="168">
        <f>IF(ISERROR(Personalplanung!Q70/Monatsplanung!$E70*Monatsplanung!$L70),0,Personalplanung!Q70/Monatsplanung!$E70*Monatsplanung!$L70)</f>
        <v>0</v>
      </c>
      <c r="Y590" s="168">
        <f>IF(ISERROR(Personalplanung!R70/T1318*Stundencontrolling!T590),0,Personalplanung!R70/T1318*Stundencontrolling!T590)</f>
        <v>0</v>
      </c>
      <c r="Z590" s="168">
        <f>IF(ISERROR(Personalplanung!S70/Monatsplanung!$E70*Monatsplanung!$L70),0,Personalplanung!S70/Monatsplanung!$E70*Monatsplanung!$L70)</f>
        <v>0</v>
      </c>
      <c r="AA590" s="80">
        <f t="shared" si="170"/>
        <v>0</v>
      </c>
      <c r="AB590" s="102">
        <f t="shared" si="171"/>
        <v>0.1</v>
      </c>
      <c r="AC590" s="103">
        <f t="shared" si="172"/>
        <v>0</v>
      </c>
      <c r="AD590" s="103">
        <f t="shared" si="173"/>
        <v>0</v>
      </c>
      <c r="AE590" s="81">
        <f t="shared" si="174"/>
        <v>0</v>
      </c>
      <c r="AF590" s="539"/>
      <c r="AG590" s="104">
        <f t="shared" si="175"/>
        <v>1</v>
      </c>
      <c r="AH590" s="7">
        <f t="shared" si="176"/>
        <v>0</v>
      </c>
      <c r="AI590" s="6">
        <f t="shared" si="177"/>
        <v>0</v>
      </c>
      <c r="AJ590" s="73">
        <f t="shared" si="178"/>
        <v>0</v>
      </c>
      <c r="AK590" s="539"/>
      <c r="AL590" s="748"/>
      <c r="AM590" s="748"/>
    </row>
    <row r="591" spans="2:39" x14ac:dyDescent="0.2">
      <c r="B591" s="101" t="str">
        <f t="shared" ref="B591:B626" si="179">$B487</f>
        <v/>
      </c>
      <c r="C591" s="168">
        <f>IF(ISERROR(Personalplanung!F71/Monatsplanung!$E71*Monatsplanung!$L71),0,Personalplanung!F71/Monatsplanung!$E71*Monatsplanung!$L71)</f>
        <v>0</v>
      </c>
      <c r="D591" s="168">
        <f t="shared" ref="D591:D626" si="180">$D487</f>
        <v>0</v>
      </c>
      <c r="E591" s="168">
        <f>IF(ISERROR(Personalplanung!H71/Monatsplanung!$E71*Monatsplanung!$L71),0,Personalplanung!H71/Monatsplanung!$E71*Monatsplanung!$L71)</f>
        <v>0</v>
      </c>
      <c r="F591" s="168">
        <f t="shared" ref="F591:F626" si="181">+C591+E591</f>
        <v>0</v>
      </c>
      <c r="G591" s="168">
        <f t="shared" ref="G591:G626" si="182">$G$6</f>
        <v>27.700831024930746</v>
      </c>
      <c r="H591" s="168">
        <f t="shared" ref="H591:H626" si="183">+F591*G591</f>
        <v>0</v>
      </c>
      <c r="I591" s="168">
        <f t="shared" ref="I591:I626" si="184">$I$6</f>
        <v>30</v>
      </c>
      <c r="J591" s="739"/>
      <c r="K591" s="168">
        <f>IF(J591&lt;&gt;"",J591,IF(ISERROR(Personalplanung!AB71/Monatsplanung!$E71*Monatsplanung!$L71),0,Personalplanung!AB71/Monatsplanung!$E71*Monatsplanung!$L71))</f>
        <v>0</v>
      </c>
      <c r="L591" s="740"/>
      <c r="M591" s="739"/>
      <c r="N591" s="168">
        <f>IF(M591&lt;&gt;"",M591,IF(ISERROR(Personalplanung!AC71/Monatsplanung!$E71*Monatsplanung!$L71),0,Personalplanung!AC71/Monatsplanung!$E71*Monatsplanung!$L71))</f>
        <v>0</v>
      </c>
      <c r="O591" s="740"/>
      <c r="P591" s="739"/>
      <c r="Q591" s="168">
        <f>IF(P591&lt;&gt;"",P591,IF(ISERROR(Personalplanung!AD71/Monatsplanung!$E71*Monatsplanung!$L71),0,Personalplanung!AD71/Monatsplanung!$E71*Monatsplanung!$L71))</f>
        <v>0</v>
      </c>
      <c r="R591" s="740"/>
      <c r="S591" s="739"/>
      <c r="T591" s="168">
        <f>IF(S591&lt;&gt;"",S591,IF(ISERROR(Personalplanung!AE71/Monatsplanung!$E71*Monatsplanung!$L71),0,Personalplanung!AE71/Monatsplanung!$E71*Monatsplanung!$L71))</f>
        <v>0</v>
      </c>
      <c r="U591" s="740"/>
      <c r="V591" s="168">
        <f t="shared" ref="V591:V626" si="185">K591+N591+Q591+T591</f>
        <v>0</v>
      </c>
      <c r="W591" s="168">
        <f>IF(ISERROR(Personalplanung!P71/Monatsplanung!$E71*Monatsplanung!$L71),0,Personalplanung!P71/Monatsplanung!$E71*Monatsplanung!$L71)</f>
        <v>0</v>
      </c>
      <c r="X591" s="168">
        <f>IF(ISERROR(Personalplanung!Q71/Monatsplanung!$E71*Monatsplanung!$L71),0,Personalplanung!Q71/Monatsplanung!$E71*Monatsplanung!$L71)</f>
        <v>0</v>
      </c>
      <c r="Y591" s="168">
        <f>IF(ISERROR(Personalplanung!R71/T1319*Stundencontrolling!T591),0,Personalplanung!R71/T1319*Stundencontrolling!T591)</f>
        <v>0</v>
      </c>
      <c r="Z591" s="168">
        <f>IF(ISERROR(Personalplanung!S71/Monatsplanung!$E71*Monatsplanung!$L71),0,Personalplanung!S71/Monatsplanung!$E71*Monatsplanung!$L71)</f>
        <v>0</v>
      </c>
      <c r="AA591" s="80">
        <f t="shared" ref="AA591:AA626" si="186">+F591*G591*(1+I591)+SUM(W591:Z591)</f>
        <v>0</v>
      </c>
      <c r="AB591" s="102">
        <f t="shared" ref="AB591:AB626" si="187">$AB$6</f>
        <v>0.1</v>
      </c>
      <c r="AC591" s="103">
        <f t="shared" ref="AC591:AC626" si="188">AB591*AA591</f>
        <v>0</v>
      </c>
      <c r="AD591" s="103">
        <f t="shared" ref="AD591:AD626" si="189">AA591-AC591</f>
        <v>0</v>
      </c>
      <c r="AE591" s="81">
        <f t="shared" ref="AE591:AE626" si="190">(F591-(V591*$D591))*AB591</f>
        <v>0</v>
      </c>
      <c r="AF591" s="539"/>
      <c r="AG591" s="104">
        <f t="shared" ref="AG591:AG626" si="191">$AG$6</f>
        <v>1</v>
      </c>
      <c r="AH591" s="7">
        <f t="shared" ref="AH591:AH626" si="192">IF(ISERROR(AK591/AF591),0,AK591/AF591)</f>
        <v>0</v>
      </c>
      <c r="AI591" s="6">
        <f t="shared" ref="AI591:AI626" si="193">AE591*AG591</f>
        <v>0</v>
      </c>
      <c r="AJ591" s="73">
        <f t="shared" ref="AJ591:AJ626" si="194">IF(ISERROR(+AC591/AI591),0,+AC591/AI591)</f>
        <v>0</v>
      </c>
      <c r="AK591" s="539"/>
      <c r="AL591" s="748"/>
      <c r="AM591" s="748"/>
    </row>
    <row r="592" spans="2:39" x14ac:dyDescent="0.2">
      <c r="B592" s="101" t="str">
        <f t="shared" si="179"/>
        <v/>
      </c>
      <c r="C592" s="168">
        <f>IF(ISERROR(Personalplanung!F72/Monatsplanung!$E72*Monatsplanung!$L72),0,Personalplanung!F72/Monatsplanung!$E72*Monatsplanung!$L72)</f>
        <v>0</v>
      </c>
      <c r="D592" s="168">
        <f t="shared" si="180"/>
        <v>0</v>
      </c>
      <c r="E592" s="168">
        <f>IF(ISERROR(Personalplanung!H72/Monatsplanung!$E72*Monatsplanung!$L72),0,Personalplanung!H72/Monatsplanung!$E72*Monatsplanung!$L72)</f>
        <v>0</v>
      </c>
      <c r="F592" s="168">
        <f t="shared" si="181"/>
        <v>0</v>
      </c>
      <c r="G592" s="168">
        <f t="shared" si="182"/>
        <v>27.700831024930746</v>
      </c>
      <c r="H592" s="168">
        <f t="shared" si="183"/>
        <v>0</v>
      </c>
      <c r="I592" s="168">
        <f t="shared" si="184"/>
        <v>30</v>
      </c>
      <c r="J592" s="739"/>
      <c r="K592" s="168">
        <f>IF(J592&lt;&gt;"",J592,IF(ISERROR(Personalplanung!AB72/Monatsplanung!$E72*Monatsplanung!$L72),0,Personalplanung!AB72/Monatsplanung!$E72*Monatsplanung!$L72))</f>
        <v>0</v>
      </c>
      <c r="L592" s="740"/>
      <c r="M592" s="739"/>
      <c r="N592" s="168">
        <f>IF(M592&lt;&gt;"",M592,IF(ISERROR(Personalplanung!AC72/Monatsplanung!$E72*Monatsplanung!$L72),0,Personalplanung!AC72/Monatsplanung!$E72*Monatsplanung!$L72))</f>
        <v>0</v>
      </c>
      <c r="O592" s="740"/>
      <c r="P592" s="739"/>
      <c r="Q592" s="168">
        <f>IF(P592&lt;&gt;"",P592,IF(ISERROR(Personalplanung!AD72/Monatsplanung!$E72*Monatsplanung!$L72),0,Personalplanung!AD72/Monatsplanung!$E72*Monatsplanung!$L72))</f>
        <v>0</v>
      </c>
      <c r="R592" s="740"/>
      <c r="S592" s="739"/>
      <c r="T592" s="168">
        <f>IF(S592&lt;&gt;"",S592,IF(ISERROR(Personalplanung!AE72/Monatsplanung!$E72*Monatsplanung!$L72),0,Personalplanung!AE72/Monatsplanung!$E72*Monatsplanung!$L72))</f>
        <v>0</v>
      </c>
      <c r="U592" s="740"/>
      <c r="V592" s="168">
        <f t="shared" si="185"/>
        <v>0</v>
      </c>
      <c r="W592" s="168">
        <f>IF(ISERROR(Personalplanung!P72/Monatsplanung!$E72*Monatsplanung!$L72),0,Personalplanung!P72/Monatsplanung!$E72*Monatsplanung!$L72)</f>
        <v>0</v>
      </c>
      <c r="X592" s="168">
        <f>IF(ISERROR(Personalplanung!Q72/Monatsplanung!$E72*Monatsplanung!$L72),0,Personalplanung!Q72/Monatsplanung!$E72*Monatsplanung!$L72)</f>
        <v>0</v>
      </c>
      <c r="Y592" s="168">
        <f>IF(ISERROR(Personalplanung!R72/T1320*Stundencontrolling!T592),0,Personalplanung!R72/T1320*Stundencontrolling!T592)</f>
        <v>0</v>
      </c>
      <c r="Z592" s="168">
        <f>IF(ISERROR(Personalplanung!S72/Monatsplanung!$E72*Monatsplanung!$L72),0,Personalplanung!S72/Monatsplanung!$E72*Monatsplanung!$L72)</f>
        <v>0</v>
      </c>
      <c r="AA592" s="80">
        <f t="shared" si="186"/>
        <v>0</v>
      </c>
      <c r="AB592" s="102">
        <f t="shared" si="187"/>
        <v>0.1</v>
      </c>
      <c r="AC592" s="103">
        <f t="shared" si="188"/>
        <v>0</v>
      </c>
      <c r="AD592" s="103">
        <f t="shared" si="189"/>
        <v>0</v>
      </c>
      <c r="AE592" s="81">
        <f t="shared" si="190"/>
        <v>0</v>
      </c>
      <c r="AF592" s="539"/>
      <c r="AG592" s="104">
        <f t="shared" si="191"/>
        <v>1</v>
      </c>
      <c r="AH592" s="7">
        <f t="shared" si="192"/>
        <v>0</v>
      </c>
      <c r="AI592" s="6">
        <f t="shared" si="193"/>
        <v>0</v>
      </c>
      <c r="AJ592" s="73">
        <f t="shared" si="194"/>
        <v>0</v>
      </c>
      <c r="AK592" s="539"/>
      <c r="AL592" s="748"/>
      <c r="AM592" s="748"/>
    </row>
    <row r="593" spans="2:39" x14ac:dyDescent="0.2">
      <c r="B593" s="101" t="str">
        <f t="shared" si="179"/>
        <v/>
      </c>
      <c r="C593" s="168">
        <f>IF(ISERROR(Personalplanung!F73/Monatsplanung!$E73*Monatsplanung!$L73),0,Personalplanung!F73/Monatsplanung!$E73*Monatsplanung!$L73)</f>
        <v>0</v>
      </c>
      <c r="D593" s="168">
        <f t="shared" si="180"/>
        <v>0</v>
      </c>
      <c r="E593" s="168">
        <f>IF(ISERROR(Personalplanung!H73/Monatsplanung!$E73*Monatsplanung!$L73),0,Personalplanung!H73/Monatsplanung!$E73*Monatsplanung!$L73)</f>
        <v>0</v>
      </c>
      <c r="F593" s="168">
        <f t="shared" si="181"/>
        <v>0</v>
      </c>
      <c r="G593" s="168">
        <f t="shared" si="182"/>
        <v>27.700831024930746</v>
      </c>
      <c r="H593" s="168">
        <f t="shared" si="183"/>
        <v>0</v>
      </c>
      <c r="I593" s="168">
        <f t="shared" si="184"/>
        <v>30</v>
      </c>
      <c r="J593" s="739"/>
      <c r="K593" s="168">
        <f>IF(J593&lt;&gt;"",J593,IF(ISERROR(Personalplanung!AB73/Monatsplanung!$E73*Monatsplanung!$L73),0,Personalplanung!AB73/Monatsplanung!$E73*Monatsplanung!$L73))</f>
        <v>0</v>
      </c>
      <c r="L593" s="740"/>
      <c r="M593" s="739"/>
      <c r="N593" s="168">
        <f>IF(M593&lt;&gt;"",M593,IF(ISERROR(Personalplanung!AC73/Monatsplanung!$E73*Monatsplanung!$L73),0,Personalplanung!AC73/Monatsplanung!$E73*Monatsplanung!$L73))</f>
        <v>0</v>
      </c>
      <c r="O593" s="740"/>
      <c r="P593" s="739"/>
      <c r="Q593" s="168">
        <f>IF(P593&lt;&gt;"",P593,IF(ISERROR(Personalplanung!AD73/Monatsplanung!$E73*Monatsplanung!$L73),0,Personalplanung!AD73/Monatsplanung!$E73*Monatsplanung!$L73))</f>
        <v>0</v>
      </c>
      <c r="R593" s="740"/>
      <c r="S593" s="739"/>
      <c r="T593" s="168">
        <f>IF(S593&lt;&gt;"",S593,IF(ISERROR(Personalplanung!AE73/Monatsplanung!$E73*Monatsplanung!$L73),0,Personalplanung!AE73/Monatsplanung!$E73*Monatsplanung!$L73))</f>
        <v>0</v>
      </c>
      <c r="U593" s="740"/>
      <c r="V593" s="168">
        <f t="shared" si="185"/>
        <v>0</v>
      </c>
      <c r="W593" s="168">
        <f>IF(ISERROR(Personalplanung!P73/Monatsplanung!$E73*Monatsplanung!$L73),0,Personalplanung!P73/Monatsplanung!$E73*Monatsplanung!$L73)</f>
        <v>0</v>
      </c>
      <c r="X593" s="168">
        <f>IF(ISERROR(Personalplanung!Q73/Monatsplanung!$E73*Monatsplanung!$L73),0,Personalplanung!Q73/Monatsplanung!$E73*Monatsplanung!$L73)</f>
        <v>0</v>
      </c>
      <c r="Y593" s="168">
        <f>IF(ISERROR(Personalplanung!R73/T1321*Stundencontrolling!T593),0,Personalplanung!R73/T1321*Stundencontrolling!T593)</f>
        <v>0</v>
      </c>
      <c r="Z593" s="168">
        <f>IF(ISERROR(Personalplanung!S73/Monatsplanung!$E73*Monatsplanung!$L73),0,Personalplanung!S73/Monatsplanung!$E73*Monatsplanung!$L73)</f>
        <v>0</v>
      </c>
      <c r="AA593" s="80">
        <f t="shared" si="186"/>
        <v>0</v>
      </c>
      <c r="AB593" s="102">
        <f t="shared" si="187"/>
        <v>0.1</v>
      </c>
      <c r="AC593" s="103">
        <f t="shared" si="188"/>
        <v>0</v>
      </c>
      <c r="AD593" s="103">
        <f t="shared" si="189"/>
        <v>0</v>
      </c>
      <c r="AE593" s="81">
        <f t="shared" si="190"/>
        <v>0</v>
      </c>
      <c r="AF593" s="539"/>
      <c r="AG593" s="104">
        <f t="shared" si="191"/>
        <v>1</v>
      </c>
      <c r="AH593" s="7">
        <f t="shared" si="192"/>
        <v>0</v>
      </c>
      <c r="AI593" s="6">
        <f t="shared" si="193"/>
        <v>0</v>
      </c>
      <c r="AJ593" s="73">
        <f t="shared" si="194"/>
        <v>0</v>
      </c>
      <c r="AK593" s="539"/>
      <c r="AL593" s="748"/>
      <c r="AM593" s="748"/>
    </row>
    <row r="594" spans="2:39" x14ac:dyDescent="0.2">
      <c r="B594" s="101" t="str">
        <f t="shared" si="179"/>
        <v/>
      </c>
      <c r="C594" s="168">
        <f>IF(ISERROR(Personalplanung!F74/Monatsplanung!$E74*Monatsplanung!$L74),0,Personalplanung!F74/Monatsplanung!$E74*Monatsplanung!$L74)</f>
        <v>0</v>
      </c>
      <c r="D594" s="168">
        <f t="shared" si="180"/>
        <v>0</v>
      </c>
      <c r="E594" s="168">
        <f>IF(ISERROR(Personalplanung!H74/Monatsplanung!$E74*Monatsplanung!$L74),0,Personalplanung!H74/Monatsplanung!$E74*Monatsplanung!$L74)</f>
        <v>0</v>
      </c>
      <c r="F594" s="168">
        <f t="shared" si="181"/>
        <v>0</v>
      </c>
      <c r="G594" s="168">
        <f t="shared" si="182"/>
        <v>27.700831024930746</v>
      </c>
      <c r="H594" s="168">
        <f t="shared" si="183"/>
        <v>0</v>
      </c>
      <c r="I594" s="168">
        <f t="shared" si="184"/>
        <v>30</v>
      </c>
      <c r="J594" s="739"/>
      <c r="K594" s="168">
        <f>IF(J594&lt;&gt;"",J594,IF(ISERROR(Personalplanung!AB74/Monatsplanung!$E74*Monatsplanung!$L74),0,Personalplanung!AB74/Monatsplanung!$E74*Monatsplanung!$L74))</f>
        <v>0</v>
      </c>
      <c r="L594" s="740"/>
      <c r="M594" s="739"/>
      <c r="N594" s="168">
        <f>IF(M594&lt;&gt;"",M594,IF(ISERROR(Personalplanung!AC74/Monatsplanung!$E74*Monatsplanung!$L74),0,Personalplanung!AC74/Monatsplanung!$E74*Monatsplanung!$L74))</f>
        <v>0</v>
      </c>
      <c r="O594" s="740"/>
      <c r="P594" s="739"/>
      <c r="Q594" s="168">
        <f>IF(P594&lt;&gt;"",P594,IF(ISERROR(Personalplanung!AD74/Monatsplanung!$E74*Monatsplanung!$L74),0,Personalplanung!AD74/Monatsplanung!$E74*Monatsplanung!$L74))</f>
        <v>0</v>
      </c>
      <c r="R594" s="740"/>
      <c r="S594" s="739"/>
      <c r="T594" s="168">
        <f>IF(S594&lt;&gt;"",S594,IF(ISERROR(Personalplanung!AE74/Monatsplanung!$E74*Monatsplanung!$L74),0,Personalplanung!AE74/Monatsplanung!$E74*Monatsplanung!$L74))</f>
        <v>0</v>
      </c>
      <c r="U594" s="740"/>
      <c r="V594" s="168">
        <f t="shared" si="185"/>
        <v>0</v>
      </c>
      <c r="W594" s="168">
        <f>IF(ISERROR(Personalplanung!P74/Monatsplanung!$E74*Monatsplanung!$L74),0,Personalplanung!P74/Monatsplanung!$E74*Monatsplanung!$L74)</f>
        <v>0</v>
      </c>
      <c r="X594" s="168">
        <f>IF(ISERROR(Personalplanung!Q74/Monatsplanung!$E74*Monatsplanung!$L74),0,Personalplanung!Q74/Monatsplanung!$E74*Monatsplanung!$L74)</f>
        <v>0</v>
      </c>
      <c r="Y594" s="168">
        <f>IF(ISERROR(Personalplanung!R74/T1322*Stundencontrolling!T594),0,Personalplanung!R74/T1322*Stundencontrolling!T594)</f>
        <v>0</v>
      </c>
      <c r="Z594" s="168">
        <f>IF(ISERROR(Personalplanung!S74/Monatsplanung!$E74*Monatsplanung!$L74),0,Personalplanung!S74/Monatsplanung!$E74*Monatsplanung!$L74)</f>
        <v>0</v>
      </c>
      <c r="AA594" s="80">
        <f t="shared" si="186"/>
        <v>0</v>
      </c>
      <c r="AB594" s="102">
        <f t="shared" si="187"/>
        <v>0.1</v>
      </c>
      <c r="AC594" s="103">
        <f t="shared" si="188"/>
        <v>0</v>
      </c>
      <c r="AD594" s="103">
        <f t="shared" si="189"/>
        <v>0</v>
      </c>
      <c r="AE594" s="81">
        <f t="shared" si="190"/>
        <v>0</v>
      </c>
      <c r="AF594" s="539"/>
      <c r="AG594" s="104">
        <f t="shared" si="191"/>
        <v>1</v>
      </c>
      <c r="AH594" s="7">
        <f t="shared" si="192"/>
        <v>0</v>
      </c>
      <c r="AI594" s="6">
        <f t="shared" si="193"/>
        <v>0</v>
      </c>
      <c r="AJ594" s="73">
        <f t="shared" si="194"/>
        <v>0</v>
      </c>
      <c r="AK594" s="539"/>
      <c r="AL594" s="748"/>
      <c r="AM594" s="748"/>
    </row>
    <row r="595" spans="2:39" x14ac:dyDescent="0.2">
      <c r="B595" s="101" t="str">
        <f t="shared" si="179"/>
        <v/>
      </c>
      <c r="C595" s="168">
        <f>IF(ISERROR(Personalplanung!F75/Monatsplanung!$E75*Monatsplanung!$L75),0,Personalplanung!F75/Monatsplanung!$E75*Monatsplanung!$L75)</f>
        <v>0</v>
      </c>
      <c r="D595" s="168">
        <f t="shared" si="180"/>
        <v>0</v>
      </c>
      <c r="E595" s="168">
        <f>IF(ISERROR(Personalplanung!H75/Monatsplanung!$E75*Monatsplanung!$L75),0,Personalplanung!H75/Monatsplanung!$E75*Monatsplanung!$L75)</f>
        <v>0</v>
      </c>
      <c r="F595" s="168">
        <f t="shared" si="181"/>
        <v>0</v>
      </c>
      <c r="G595" s="168">
        <f t="shared" si="182"/>
        <v>27.700831024930746</v>
      </c>
      <c r="H595" s="168">
        <f t="shared" si="183"/>
        <v>0</v>
      </c>
      <c r="I595" s="168">
        <f t="shared" si="184"/>
        <v>30</v>
      </c>
      <c r="J595" s="739"/>
      <c r="K595" s="168">
        <f>IF(J595&lt;&gt;"",J595,IF(ISERROR(Personalplanung!AB75/Monatsplanung!$E75*Monatsplanung!$L75),0,Personalplanung!AB75/Monatsplanung!$E75*Monatsplanung!$L75))</f>
        <v>0</v>
      </c>
      <c r="L595" s="740"/>
      <c r="M595" s="739"/>
      <c r="N595" s="168">
        <f>IF(M595&lt;&gt;"",M595,IF(ISERROR(Personalplanung!AC75/Monatsplanung!$E75*Monatsplanung!$L75),0,Personalplanung!AC75/Monatsplanung!$E75*Monatsplanung!$L75))</f>
        <v>0</v>
      </c>
      <c r="O595" s="740"/>
      <c r="P595" s="739"/>
      <c r="Q595" s="168">
        <f>IF(P595&lt;&gt;"",P595,IF(ISERROR(Personalplanung!AD75/Monatsplanung!$E75*Monatsplanung!$L75),0,Personalplanung!AD75/Monatsplanung!$E75*Monatsplanung!$L75))</f>
        <v>0</v>
      </c>
      <c r="R595" s="740"/>
      <c r="S595" s="739"/>
      <c r="T595" s="168">
        <f>IF(S595&lt;&gt;"",S595,IF(ISERROR(Personalplanung!AE75/Monatsplanung!$E75*Monatsplanung!$L75),0,Personalplanung!AE75/Monatsplanung!$E75*Monatsplanung!$L75))</f>
        <v>0</v>
      </c>
      <c r="U595" s="740"/>
      <c r="V595" s="168">
        <f t="shared" si="185"/>
        <v>0</v>
      </c>
      <c r="W595" s="168">
        <f>IF(ISERROR(Personalplanung!P75/Monatsplanung!$E75*Monatsplanung!$L75),0,Personalplanung!P75/Monatsplanung!$E75*Monatsplanung!$L75)</f>
        <v>0</v>
      </c>
      <c r="X595" s="168">
        <f>IF(ISERROR(Personalplanung!Q75/Monatsplanung!$E75*Monatsplanung!$L75),0,Personalplanung!Q75/Monatsplanung!$E75*Monatsplanung!$L75)</f>
        <v>0</v>
      </c>
      <c r="Y595" s="168">
        <f>IF(ISERROR(Personalplanung!R75/T1323*Stundencontrolling!T595),0,Personalplanung!R75/T1323*Stundencontrolling!T595)</f>
        <v>0</v>
      </c>
      <c r="Z595" s="168">
        <f>IF(ISERROR(Personalplanung!S75/Monatsplanung!$E75*Monatsplanung!$L75),0,Personalplanung!S75/Monatsplanung!$E75*Monatsplanung!$L75)</f>
        <v>0</v>
      </c>
      <c r="AA595" s="80">
        <f t="shared" si="186"/>
        <v>0</v>
      </c>
      <c r="AB595" s="102">
        <f t="shared" si="187"/>
        <v>0.1</v>
      </c>
      <c r="AC595" s="103">
        <f t="shared" si="188"/>
        <v>0</v>
      </c>
      <c r="AD595" s="103">
        <f t="shared" si="189"/>
        <v>0</v>
      </c>
      <c r="AE595" s="81">
        <f t="shared" si="190"/>
        <v>0</v>
      </c>
      <c r="AF595" s="539"/>
      <c r="AG595" s="104">
        <f t="shared" si="191"/>
        <v>1</v>
      </c>
      <c r="AH595" s="7">
        <f t="shared" si="192"/>
        <v>0</v>
      </c>
      <c r="AI595" s="6">
        <f t="shared" si="193"/>
        <v>0</v>
      </c>
      <c r="AJ595" s="73">
        <f t="shared" si="194"/>
        <v>0</v>
      </c>
      <c r="AK595" s="539"/>
      <c r="AL595" s="748"/>
      <c r="AM595" s="748"/>
    </row>
    <row r="596" spans="2:39" x14ac:dyDescent="0.2">
      <c r="B596" s="101" t="str">
        <f t="shared" si="179"/>
        <v/>
      </c>
      <c r="C596" s="168">
        <f>IF(ISERROR(Personalplanung!F76/Monatsplanung!$E76*Monatsplanung!$L76),0,Personalplanung!F76/Monatsplanung!$E76*Monatsplanung!$L76)</f>
        <v>0</v>
      </c>
      <c r="D596" s="168">
        <f t="shared" si="180"/>
        <v>0</v>
      </c>
      <c r="E596" s="168">
        <f>IF(ISERROR(Personalplanung!H76/Monatsplanung!$E76*Monatsplanung!$L76),0,Personalplanung!H76/Monatsplanung!$E76*Monatsplanung!$L76)</f>
        <v>0</v>
      </c>
      <c r="F596" s="168">
        <f t="shared" si="181"/>
        <v>0</v>
      </c>
      <c r="G596" s="168">
        <f t="shared" si="182"/>
        <v>27.700831024930746</v>
      </c>
      <c r="H596" s="168">
        <f t="shared" si="183"/>
        <v>0</v>
      </c>
      <c r="I596" s="168">
        <f t="shared" si="184"/>
        <v>30</v>
      </c>
      <c r="J596" s="739"/>
      <c r="K596" s="168">
        <f>IF(J596&lt;&gt;"",J596,IF(ISERROR(Personalplanung!AB76/Monatsplanung!$E76*Monatsplanung!$L76),0,Personalplanung!AB76/Monatsplanung!$E76*Monatsplanung!$L76))</f>
        <v>0</v>
      </c>
      <c r="L596" s="740"/>
      <c r="M596" s="739"/>
      <c r="N596" s="168">
        <f>IF(M596&lt;&gt;"",M596,IF(ISERROR(Personalplanung!AC76/Monatsplanung!$E76*Monatsplanung!$L76),0,Personalplanung!AC76/Monatsplanung!$E76*Monatsplanung!$L76))</f>
        <v>0</v>
      </c>
      <c r="O596" s="740"/>
      <c r="P596" s="739"/>
      <c r="Q596" s="168">
        <f>IF(P596&lt;&gt;"",P596,IF(ISERROR(Personalplanung!AD76/Monatsplanung!$E76*Monatsplanung!$L76),0,Personalplanung!AD76/Monatsplanung!$E76*Monatsplanung!$L76))</f>
        <v>0</v>
      </c>
      <c r="R596" s="740"/>
      <c r="S596" s="739"/>
      <c r="T596" s="168">
        <f>IF(S596&lt;&gt;"",S596,IF(ISERROR(Personalplanung!AE76/Monatsplanung!$E76*Monatsplanung!$L76),0,Personalplanung!AE76/Monatsplanung!$E76*Monatsplanung!$L76))</f>
        <v>0</v>
      </c>
      <c r="U596" s="740"/>
      <c r="V596" s="168">
        <f t="shared" si="185"/>
        <v>0</v>
      </c>
      <c r="W596" s="168">
        <f>IF(ISERROR(Personalplanung!P76/Monatsplanung!$E76*Monatsplanung!$L76),0,Personalplanung!P76/Monatsplanung!$E76*Monatsplanung!$L76)</f>
        <v>0</v>
      </c>
      <c r="X596" s="168">
        <f>IF(ISERROR(Personalplanung!Q76/Monatsplanung!$E76*Monatsplanung!$L76),0,Personalplanung!Q76/Monatsplanung!$E76*Monatsplanung!$L76)</f>
        <v>0</v>
      </c>
      <c r="Y596" s="168">
        <f>IF(ISERROR(Personalplanung!R76/T1324*Stundencontrolling!T596),0,Personalplanung!R76/T1324*Stundencontrolling!T596)</f>
        <v>0</v>
      </c>
      <c r="Z596" s="168">
        <f>IF(ISERROR(Personalplanung!S76/Monatsplanung!$E76*Monatsplanung!$L76),0,Personalplanung!S76/Monatsplanung!$E76*Monatsplanung!$L76)</f>
        <v>0</v>
      </c>
      <c r="AA596" s="80">
        <f t="shared" si="186"/>
        <v>0</v>
      </c>
      <c r="AB596" s="102">
        <f t="shared" si="187"/>
        <v>0.1</v>
      </c>
      <c r="AC596" s="103">
        <f t="shared" si="188"/>
        <v>0</v>
      </c>
      <c r="AD596" s="103">
        <f t="shared" si="189"/>
        <v>0</v>
      </c>
      <c r="AE596" s="81">
        <f t="shared" si="190"/>
        <v>0</v>
      </c>
      <c r="AF596" s="539"/>
      <c r="AG596" s="104">
        <f t="shared" si="191"/>
        <v>1</v>
      </c>
      <c r="AH596" s="7">
        <f t="shared" si="192"/>
        <v>0</v>
      </c>
      <c r="AI596" s="6">
        <f t="shared" si="193"/>
        <v>0</v>
      </c>
      <c r="AJ596" s="73">
        <f t="shared" si="194"/>
        <v>0</v>
      </c>
      <c r="AK596" s="539"/>
      <c r="AL596" s="748"/>
      <c r="AM596" s="748"/>
    </row>
    <row r="597" spans="2:39" x14ac:dyDescent="0.2">
      <c r="B597" s="101" t="str">
        <f t="shared" si="179"/>
        <v/>
      </c>
      <c r="C597" s="168">
        <f>IF(ISERROR(Personalplanung!F77/Monatsplanung!$E77*Monatsplanung!$L77),0,Personalplanung!F77/Monatsplanung!$E77*Monatsplanung!$L77)</f>
        <v>0</v>
      </c>
      <c r="D597" s="168">
        <f t="shared" si="180"/>
        <v>0</v>
      </c>
      <c r="E597" s="168">
        <f>IF(ISERROR(Personalplanung!H77/Monatsplanung!$E77*Monatsplanung!$L77),0,Personalplanung!H77/Monatsplanung!$E77*Monatsplanung!$L77)</f>
        <v>0</v>
      </c>
      <c r="F597" s="168">
        <f t="shared" si="181"/>
        <v>0</v>
      </c>
      <c r="G597" s="168">
        <f t="shared" si="182"/>
        <v>27.700831024930746</v>
      </c>
      <c r="H597" s="168">
        <f t="shared" si="183"/>
        <v>0</v>
      </c>
      <c r="I597" s="168">
        <f t="shared" si="184"/>
        <v>30</v>
      </c>
      <c r="J597" s="739"/>
      <c r="K597" s="168">
        <f>IF(J597&lt;&gt;"",J597,IF(ISERROR(Personalplanung!AB77/Monatsplanung!$E77*Monatsplanung!$L77),0,Personalplanung!AB77/Monatsplanung!$E77*Monatsplanung!$L77))</f>
        <v>0</v>
      </c>
      <c r="L597" s="740"/>
      <c r="M597" s="739"/>
      <c r="N597" s="168">
        <f>IF(M597&lt;&gt;"",M597,IF(ISERROR(Personalplanung!AC77/Monatsplanung!$E77*Monatsplanung!$L77),0,Personalplanung!AC77/Monatsplanung!$E77*Monatsplanung!$L77))</f>
        <v>0</v>
      </c>
      <c r="O597" s="740"/>
      <c r="P597" s="739"/>
      <c r="Q597" s="168">
        <f>IF(P597&lt;&gt;"",P597,IF(ISERROR(Personalplanung!AD77/Monatsplanung!$E77*Monatsplanung!$L77),0,Personalplanung!AD77/Monatsplanung!$E77*Monatsplanung!$L77))</f>
        <v>0</v>
      </c>
      <c r="R597" s="740"/>
      <c r="S597" s="739"/>
      <c r="T597" s="168">
        <f>IF(S597&lt;&gt;"",S597,IF(ISERROR(Personalplanung!AE77/Monatsplanung!$E77*Monatsplanung!$L77),0,Personalplanung!AE77/Monatsplanung!$E77*Monatsplanung!$L77))</f>
        <v>0</v>
      </c>
      <c r="U597" s="740"/>
      <c r="V597" s="168">
        <f t="shared" si="185"/>
        <v>0</v>
      </c>
      <c r="W597" s="168">
        <f>IF(ISERROR(Personalplanung!P77/Monatsplanung!$E77*Monatsplanung!$L77),0,Personalplanung!P77/Monatsplanung!$E77*Monatsplanung!$L77)</f>
        <v>0</v>
      </c>
      <c r="X597" s="168">
        <f>IF(ISERROR(Personalplanung!Q77/Monatsplanung!$E77*Monatsplanung!$L77),0,Personalplanung!Q77/Monatsplanung!$E77*Monatsplanung!$L77)</f>
        <v>0</v>
      </c>
      <c r="Y597" s="168">
        <f>IF(ISERROR(Personalplanung!R77/T1325*Stundencontrolling!T597),0,Personalplanung!R77/T1325*Stundencontrolling!T597)</f>
        <v>0</v>
      </c>
      <c r="Z597" s="168">
        <f>IF(ISERROR(Personalplanung!S77/Monatsplanung!$E77*Monatsplanung!$L77),0,Personalplanung!S77/Monatsplanung!$E77*Monatsplanung!$L77)</f>
        <v>0</v>
      </c>
      <c r="AA597" s="80">
        <f t="shared" si="186"/>
        <v>0</v>
      </c>
      <c r="AB597" s="102">
        <f t="shared" si="187"/>
        <v>0.1</v>
      </c>
      <c r="AC597" s="103">
        <f t="shared" si="188"/>
        <v>0</v>
      </c>
      <c r="AD597" s="103">
        <f t="shared" si="189"/>
        <v>0</v>
      </c>
      <c r="AE597" s="81">
        <f t="shared" si="190"/>
        <v>0</v>
      </c>
      <c r="AF597" s="539"/>
      <c r="AG597" s="104">
        <f t="shared" si="191"/>
        <v>1</v>
      </c>
      <c r="AH597" s="7">
        <f t="shared" si="192"/>
        <v>0</v>
      </c>
      <c r="AI597" s="6">
        <f t="shared" si="193"/>
        <v>0</v>
      </c>
      <c r="AJ597" s="73">
        <f t="shared" si="194"/>
        <v>0</v>
      </c>
      <c r="AK597" s="539"/>
      <c r="AL597" s="748"/>
      <c r="AM597" s="748"/>
    </row>
    <row r="598" spans="2:39" x14ac:dyDescent="0.2">
      <c r="B598" s="101" t="str">
        <f t="shared" si="179"/>
        <v/>
      </c>
      <c r="C598" s="168">
        <f>IF(ISERROR(Personalplanung!F78/Monatsplanung!$E78*Monatsplanung!$L78),0,Personalplanung!F78/Monatsplanung!$E78*Monatsplanung!$L78)</f>
        <v>0</v>
      </c>
      <c r="D598" s="168">
        <f t="shared" si="180"/>
        <v>0</v>
      </c>
      <c r="E598" s="168">
        <f>IF(ISERROR(Personalplanung!H78/Monatsplanung!$E78*Monatsplanung!$L78),0,Personalplanung!H78/Monatsplanung!$E78*Monatsplanung!$L78)</f>
        <v>0</v>
      </c>
      <c r="F598" s="168">
        <f t="shared" si="181"/>
        <v>0</v>
      </c>
      <c r="G598" s="168">
        <f t="shared" si="182"/>
        <v>27.700831024930746</v>
      </c>
      <c r="H598" s="168">
        <f t="shared" si="183"/>
        <v>0</v>
      </c>
      <c r="I598" s="168">
        <f t="shared" si="184"/>
        <v>30</v>
      </c>
      <c r="J598" s="739"/>
      <c r="K598" s="168">
        <f>IF(J598&lt;&gt;"",J598,IF(ISERROR(Personalplanung!AB78/Monatsplanung!$E78*Monatsplanung!$L78),0,Personalplanung!AB78/Monatsplanung!$E78*Monatsplanung!$L78))</f>
        <v>0</v>
      </c>
      <c r="L598" s="740"/>
      <c r="M598" s="739"/>
      <c r="N598" s="168">
        <f>IF(M598&lt;&gt;"",M598,IF(ISERROR(Personalplanung!AC78/Monatsplanung!$E78*Monatsplanung!$L78),0,Personalplanung!AC78/Monatsplanung!$E78*Monatsplanung!$L78))</f>
        <v>0</v>
      </c>
      <c r="O598" s="740"/>
      <c r="P598" s="739"/>
      <c r="Q598" s="168">
        <f>IF(P598&lt;&gt;"",P598,IF(ISERROR(Personalplanung!AD78/Monatsplanung!$E78*Monatsplanung!$L78),0,Personalplanung!AD78/Monatsplanung!$E78*Monatsplanung!$L78))</f>
        <v>0</v>
      </c>
      <c r="R598" s="740"/>
      <c r="S598" s="739"/>
      <c r="T598" s="168">
        <f>IF(S598&lt;&gt;"",S598,IF(ISERROR(Personalplanung!AE78/Monatsplanung!$E78*Monatsplanung!$L78),0,Personalplanung!AE78/Monatsplanung!$E78*Monatsplanung!$L78))</f>
        <v>0</v>
      </c>
      <c r="U598" s="740"/>
      <c r="V598" s="168">
        <f t="shared" si="185"/>
        <v>0</v>
      </c>
      <c r="W598" s="168">
        <f>IF(ISERROR(Personalplanung!P78/Monatsplanung!$E78*Monatsplanung!$L78),0,Personalplanung!P78/Monatsplanung!$E78*Monatsplanung!$L78)</f>
        <v>0</v>
      </c>
      <c r="X598" s="168">
        <f>IF(ISERROR(Personalplanung!Q78/Monatsplanung!$E78*Monatsplanung!$L78),0,Personalplanung!Q78/Monatsplanung!$E78*Monatsplanung!$L78)</f>
        <v>0</v>
      </c>
      <c r="Y598" s="168">
        <f>IF(ISERROR(Personalplanung!R78/T1326*Stundencontrolling!T598),0,Personalplanung!R78/T1326*Stundencontrolling!T598)</f>
        <v>0</v>
      </c>
      <c r="Z598" s="168">
        <f>IF(ISERROR(Personalplanung!S78/Monatsplanung!$E78*Monatsplanung!$L78),0,Personalplanung!S78/Monatsplanung!$E78*Monatsplanung!$L78)</f>
        <v>0</v>
      </c>
      <c r="AA598" s="80">
        <f t="shared" si="186"/>
        <v>0</v>
      </c>
      <c r="AB598" s="102">
        <f t="shared" si="187"/>
        <v>0.1</v>
      </c>
      <c r="AC598" s="103">
        <f t="shared" si="188"/>
        <v>0</v>
      </c>
      <c r="AD598" s="103">
        <f t="shared" si="189"/>
        <v>0</v>
      </c>
      <c r="AE598" s="81">
        <f t="shared" si="190"/>
        <v>0</v>
      </c>
      <c r="AF598" s="539"/>
      <c r="AG598" s="104">
        <f t="shared" si="191"/>
        <v>1</v>
      </c>
      <c r="AH598" s="7">
        <f t="shared" si="192"/>
        <v>0</v>
      </c>
      <c r="AI598" s="6">
        <f t="shared" si="193"/>
        <v>0</v>
      </c>
      <c r="AJ598" s="73">
        <f t="shared" si="194"/>
        <v>0</v>
      </c>
      <c r="AK598" s="539"/>
      <c r="AL598" s="748"/>
      <c r="AM598" s="748"/>
    </row>
    <row r="599" spans="2:39" x14ac:dyDescent="0.2">
      <c r="B599" s="101" t="str">
        <f t="shared" si="179"/>
        <v/>
      </c>
      <c r="C599" s="168">
        <f>IF(ISERROR(Personalplanung!F79/Monatsplanung!$E79*Monatsplanung!$L79),0,Personalplanung!F79/Monatsplanung!$E79*Monatsplanung!$L79)</f>
        <v>0</v>
      </c>
      <c r="D599" s="168">
        <f t="shared" si="180"/>
        <v>0</v>
      </c>
      <c r="E599" s="168">
        <f>IF(ISERROR(Personalplanung!H79/Monatsplanung!$E79*Monatsplanung!$L79),0,Personalplanung!H79/Monatsplanung!$E79*Monatsplanung!$L79)</f>
        <v>0</v>
      </c>
      <c r="F599" s="168">
        <f t="shared" si="181"/>
        <v>0</v>
      </c>
      <c r="G599" s="168">
        <f t="shared" si="182"/>
        <v>27.700831024930746</v>
      </c>
      <c r="H599" s="168">
        <f t="shared" si="183"/>
        <v>0</v>
      </c>
      <c r="I599" s="168">
        <f t="shared" si="184"/>
        <v>30</v>
      </c>
      <c r="J599" s="739"/>
      <c r="K599" s="168">
        <f>IF(J599&lt;&gt;"",J599,IF(ISERROR(Personalplanung!AB79/Monatsplanung!$E79*Monatsplanung!$L79),0,Personalplanung!AB79/Monatsplanung!$E79*Monatsplanung!$L79))</f>
        <v>0</v>
      </c>
      <c r="L599" s="740"/>
      <c r="M599" s="739"/>
      <c r="N599" s="168">
        <f>IF(M599&lt;&gt;"",M599,IF(ISERROR(Personalplanung!AC79/Monatsplanung!$E79*Monatsplanung!$L79),0,Personalplanung!AC79/Monatsplanung!$E79*Monatsplanung!$L79))</f>
        <v>0</v>
      </c>
      <c r="O599" s="740"/>
      <c r="P599" s="739"/>
      <c r="Q599" s="168">
        <f>IF(P599&lt;&gt;"",P599,IF(ISERROR(Personalplanung!AD79/Monatsplanung!$E79*Monatsplanung!$L79),0,Personalplanung!AD79/Monatsplanung!$E79*Monatsplanung!$L79))</f>
        <v>0</v>
      </c>
      <c r="R599" s="740"/>
      <c r="S599" s="739"/>
      <c r="T599" s="168">
        <f>IF(S599&lt;&gt;"",S599,IF(ISERROR(Personalplanung!AE79/Monatsplanung!$E79*Monatsplanung!$L79),0,Personalplanung!AE79/Monatsplanung!$E79*Monatsplanung!$L79))</f>
        <v>0</v>
      </c>
      <c r="U599" s="740"/>
      <c r="V599" s="168">
        <f t="shared" si="185"/>
        <v>0</v>
      </c>
      <c r="W599" s="168">
        <f>IF(ISERROR(Personalplanung!P79/Monatsplanung!$E79*Monatsplanung!$L79),0,Personalplanung!P79/Monatsplanung!$E79*Monatsplanung!$L79)</f>
        <v>0</v>
      </c>
      <c r="X599" s="168">
        <f>IF(ISERROR(Personalplanung!Q79/Monatsplanung!$E79*Monatsplanung!$L79),0,Personalplanung!Q79/Monatsplanung!$E79*Monatsplanung!$L79)</f>
        <v>0</v>
      </c>
      <c r="Y599" s="168">
        <f>IF(ISERROR(Personalplanung!R79/T1327*Stundencontrolling!T599),0,Personalplanung!R79/T1327*Stundencontrolling!T599)</f>
        <v>0</v>
      </c>
      <c r="Z599" s="168">
        <f>IF(ISERROR(Personalplanung!S79/Monatsplanung!$E79*Monatsplanung!$L79),0,Personalplanung!S79/Monatsplanung!$E79*Monatsplanung!$L79)</f>
        <v>0</v>
      </c>
      <c r="AA599" s="80">
        <f t="shared" si="186"/>
        <v>0</v>
      </c>
      <c r="AB599" s="102">
        <f t="shared" si="187"/>
        <v>0.1</v>
      </c>
      <c r="AC599" s="103">
        <f t="shared" si="188"/>
        <v>0</v>
      </c>
      <c r="AD599" s="103">
        <f t="shared" si="189"/>
        <v>0</v>
      </c>
      <c r="AE599" s="81">
        <f t="shared" si="190"/>
        <v>0</v>
      </c>
      <c r="AF599" s="539"/>
      <c r="AG599" s="104">
        <f t="shared" si="191"/>
        <v>1</v>
      </c>
      <c r="AH599" s="7">
        <f t="shared" si="192"/>
        <v>0</v>
      </c>
      <c r="AI599" s="6">
        <f t="shared" si="193"/>
        <v>0</v>
      </c>
      <c r="AJ599" s="73">
        <f t="shared" si="194"/>
        <v>0</v>
      </c>
      <c r="AK599" s="539"/>
      <c r="AL599" s="748"/>
      <c r="AM599" s="748"/>
    </row>
    <row r="600" spans="2:39" x14ac:dyDescent="0.2">
      <c r="B600" s="101" t="str">
        <f t="shared" si="179"/>
        <v/>
      </c>
      <c r="C600" s="168">
        <f>IF(ISERROR(Personalplanung!F80/Monatsplanung!$E80*Monatsplanung!$L80),0,Personalplanung!F80/Monatsplanung!$E80*Monatsplanung!$L80)</f>
        <v>0</v>
      </c>
      <c r="D600" s="168">
        <f t="shared" si="180"/>
        <v>0</v>
      </c>
      <c r="E600" s="168">
        <f>IF(ISERROR(Personalplanung!H80/Monatsplanung!$E80*Monatsplanung!$L80),0,Personalplanung!H80/Monatsplanung!$E80*Monatsplanung!$L80)</f>
        <v>0</v>
      </c>
      <c r="F600" s="168">
        <f t="shared" si="181"/>
        <v>0</v>
      </c>
      <c r="G600" s="168">
        <f t="shared" si="182"/>
        <v>27.700831024930746</v>
      </c>
      <c r="H600" s="168">
        <f t="shared" si="183"/>
        <v>0</v>
      </c>
      <c r="I600" s="168">
        <f t="shared" si="184"/>
        <v>30</v>
      </c>
      <c r="J600" s="739"/>
      <c r="K600" s="168">
        <f>IF(J600&lt;&gt;"",J600,IF(ISERROR(Personalplanung!AB80/Monatsplanung!$E80*Monatsplanung!$L80),0,Personalplanung!AB80/Monatsplanung!$E80*Monatsplanung!$L80))</f>
        <v>0</v>
      </c>
      <c r="L600" s="740"/>
      <c r="M600" s="739"/>
      <c r="N600" s="168">
        <f>IF(M600&lt;&gt;"",M600,IF(ISERROR(Personalplanung!AC80/Monatsplanung!$E80*Monatsplanung!$L80),0,Personalplanung!AC80/Monatsplanung!$E80*Monatsplanung!$L80))</f>
        <v>0</v>
      </c>
      <c r="O600" s="740"/>
      <c r="P600" s="739"/>
      <c r="Q600" s="168">
        <f>IF(P600&lt;&gt;"",P600,IF(ISERROR(Personalplanung!AD80/Monatsplanung!$E80*Monatsplanung!$L80),0,Personalplanung!AD80/Monatsplanung!$E80*Monatsplanung!$L80))</f>
        <v>0</v>
      </c>
      <c r="R600" s="740"/>
      <c r="S600" s="739"/>
      <c r="T600" s="168">
        <f>IF(S600&lt;&gt;"",S600,IF(ISERROR(Personalplanung!AE80/Monatsplanung!$E80*Monatsplanung!$L80),0,Personalplanung!AE80/Monatsplanung!$E80*Monatsplanung!$L80))</f>
        <v>0</v>
      </c>
      <c r="U600" s="740"/>
      <c r="V600" s="168">
        <f t="shared" si="185"/>
        <v>0</v>
      </c>
      <c r="W600" s="168">
        <f>IF(ISERROR(Personalplanung!P80/Monatsplanung!$E80*Monatsplanung!$L80),0,Personalplanung!P80/Monatsplanung!$E80*Monatsplanung!$L80)</f>
        <v>0</v>
      </c>
      <c r="X600" s="168">
        <f>IF(ISERROR(Personalplanung!Q80/Monatsplanung!$E80*Monatsplanung!$L80),0,Personalplanung!Q80/Monatsplanung!$E80*Monatsplanung!$L80)</f>
        <v>0</v>
      </c>
      <c r="Y600" s="168">
        <f>IF(ISERROR(Personalplanung!R80/T1328*Stundencontrolling!T600),0,Personalplanung!R80/T1328*Stundencontrolling!T600)</f>
        <v>0</v>
      </c>
      <c r="Z600" s="168">
        <f>IF(ISERROR(Personalplanung!S80/Monatsplanung!$E80*Monatsplanung!$L80),0,Personalplanung!S80/Monatsplanung!$E80*Monatsplanung!$L80)</f>
        <v>0</v>
      </c>
      <c r="AA600" s="80">
        <f t="shared" si="186"/>
        <v>0</v>
      </c>
      <c r="AB600" s="102">
        <f t="shared" si="187"/>
        <v>0.1</v>
      </c>
      <c r="AC600" s="103">
        <f t="shared" si="188"/>
        <v>0</v>
      </c>
      <c r="AD600" s="103">
        <f t="shared" si="189"/>
        <v>0</v>
      </c>
      <c r="AE600" s="81">
        <f t="shared" si="190"/>
        <v>0</v>
      </c>
      <c r="AF600" s="539"/>
      <c r="AG600" s="104">
        <f t="shared" si="191"/>
        <v>1</v>
      </c>
      <c r="AH600" s="7">
        <f t="shared" si="192"/>
        <v>0</v>
      </c>
      <c r="AI600" s="6">
        <f t="shared" si="193"/>
        <v>0</v>
      </c>
      <c r="AJ600" s="73">
        <f t="shared" si="194"/>
        <v>0</v>
      </c>
      <c r="AK600" s="539"/>
      <c r="AL600" s="748"/>
      <c r="AM600" s="748"/>
    </row>
    <row r="601" spans="2:39" x14ac:dyDescent="0.2">
      <c r="B601" s="101" t="str">
        <f t="shared" si="179"/>
        <v/>
      </c>
      <c r="C601" s="168">
        <f>IF(ISERROR(Personalplanung!F81/Monatsplanung!$E81*Monatsplanung!$L81),0,Personalplanung!F81/Monatsplanung!$E81*Monatsplanung!$L81)</f>
        <v>0</v>
      </c>
      <c r="D601" s="168">
        <f t="shared" si="180"/>
        <v>0</v>
      </c>
      <c r="E601" s="168">
        <f>IF(ISERROR(Personalplanung!H81/Monatsplanung!$E81*Monatsplanung!$L81),0,Personalplanung!H81/Monatsplanung!$E81*Monatsplanung!$L81)</f>
        <v>0</v>
      </c>
      <c r="F601" s="168">
        <f t="shared" si="181"/>
        <v>0</v>
      </c>
      <c r="G601" s="168">
        <f t="shared" si="182"/>
        <v>27.700831024930746</v>
      </c>
      <c r="H601" s="168">
        <f t="shared" si="183"/>
        <v>0</v>
      </c>
      <c r="I601" s="168">
        <f t="shared" si="184"/>
        <v>30</v>
      </c>
      <c r="J601" s="739"/>
      <c r="K601" s="168">
        <f>IF(J601&lt;&gt;"",J601,IF(ISERROR(Personalplanung!AB81/Monatsplanung!$E81*Monatsplanung!$L81),0,Personalplanung!AB81/Monatsplanung!$E81*Monatsplanung!$L81))</f>
        <v>0</v>
      </c>
      <c r="L601" s="740"/>
      <c r="M601" s="739"/>
      <c r="N601" s="168">
        <f>IF(M601&lt;&gt;"",M601,IF(ISERROR(Personalplanung!AC81/Monatsplanung!$E81*Monatsplanung!$L81),0,Personalplanung!AC81/Monatsplanung!$E81*Monatsplanung!$L81))</f>
        <v>0</v>
      </c>
      <c r="O601" s="740"/>
      <c r="P601" s="739"/>
      <c r="Q601" s="168">
        <f>IF(P601&lt;&gt;"",P601,IF(ISERROR(Personalplanung!AD81/Monatsplanung!$E81*Monatsplanung!$L81),0,Personalplanung!AD81/Monatsplanung!$E81*Monatsplanung!$L81))</f>
        <v>0</v>
      </c>
      <c r="R601" s="740"/>
      <c r="S601" s="739"/>
      <c r="T601" s="168">
        <f>IF(S601&lt;&gt;"",S601,IF(ISERROR(Personalplanung!AE81/Monatsplanung!$E81*Monatsplanung!$L81),0,Personalplanung!AE81/Monatsplanung!$E81*Monatsplanung!$L81))</f>
        <v>0</v>
      </c>
      <c r="U601" s="740"/>
      <c r="V601" s="168">
        <f t="shared" si="185"/>
        <v>0</v>
      </c>
      <c r="W601" s="168">
        <f>IF(ISERROR(Personalplanung!P81/Monatsplanung!$E81*Monatsplanung!$L81),0,Personalplanung!P81/Monatsplanung!$E81*Monatsplanung!$L81)</f>
        <v>0</v>
      </c>
      <c r="X601" s="168">
        <f>IF(ISERROR(Personalplanung!Q81/Monatsplanung!$E81*Monatsplanung!$L81),0,Personalplanung!Q81/Monatsplanung!$E81*Monatsplanung!$L81)</f>
        <v>0</v>
      </c>
      <c r="Y601" s="168">
        <f>IF(ISERROR(Personalplanung!R81/T1329*Stundencontrolling!T601),0,Personalplanung!R81/T1329*Stundencontrolling!T601)</f>
        <v>0</v>
      </c>
      <c r="Z601" s="168">
        <f>IF(ISERROR(Personalplanung!S81/Monatsplanung!$E81*Monatsplanung!$L81),0,Personalplanung!S81/Monatsplanung!$E81*Monatsplanung!$L81)</f>
        <v>0</v>
      </c>
      <c r="AA601" s="80">
        <f t="shared" si="186"/>
        <v>0</v>
      </c>
      <c r="AB601" s="102">
        <f t="shared" si="187"/>
        <v>0.1</v>
      </c>
      <c r="AC601" s="103">
        <f t="shared" si="188"/>
        <v>0</v>
      </c>
      <c r="AD601" s="103">
        <f t="shared" si="189"/>
        <v>0</v>
      </c>
      <c r="AE601" s="81">
        <f t="shared" si="190"/>
        <v>0</v>
      </c>
      <c r="AF601" s="539"/>
      <c r="AG601" s="104">
        <f t="shared" si="191"/>
        <v>1</v>
      </c>
      <c r="AH601" s="7">
        <f t="shared" si="192"/>
        <v>0</v>
      </c>
      <c r="AI601" s="6">
        <f t="shared" si="193"/>
        <v>0</v>
      </c>
      <c r="AJ601" s="73">
        <f t="shared" si="194"/>
        <v>0</v>
      </c>
      <c r="AK601" s="539"/>
      <c r="AL601" s="748"/>
      <c r="AM601" s="748"/>
    </row>
    <row r="602" spans="2:39" x14ac:dyDescent="0.2">
      <c r="B602" s="101" t="str">
        <f t="shared" si="179"/>
        <v/>
      </c>
      <c r="C602" s="168">
        <f>IF(ISERROR(Personalplanung!F82/Monatsplanung!$E82*Monatsplanung!$L82),0,Personalplanung!F82/Monatsplanung!$E82*Monatsplanung!$L82)</f>
        <v>0</v>
      </c>
      <c r="D602" s="168">
        <f t="shared" si="180"/>
        <v>0</v>
      </c>
      <c r="E602" s="168">
        <f>IF(ISERROR(Personalplanung!H82/Monatsplanung!$E82*Monatsplanung!$L82),0,Personalplanung!H82/Monatsplanung!$E82*Monatsplanung!$L82)</f>
        <v>0</v>
      </c>
      <c r="F602" s="168">
        <f t="shared" si="181"/>
        <v>0</v>
      </c>
      <c r="G602" s="168">
        <f t="shared" si="182"/>
        <v>27.700831024930746</v>
      </c>
      <c r="H602" s="168">
        <f t="shared" si="183"/>
        <v>0</v>
      </c>
      <c r="I602" s="168">
        <f t="shared" si="184"/>
        <v>30</v>
      </c>
      <c r="J602" s="739"/>
      <c r="K602" s="168">
        <f>IF(J602&lt;&gt;"",J602,IF(ISERROR(Personalplanung!AB82/Monatsplanung!$E82*Monatsplanung!$L82),0,Personalplanung!AB82/Monatsplanung!$E82*Monatsplanung!$L82))</f>
        <v>0</v>
      </c>
      <c r="L602" s="740"/>
      <c r="M602" s="739"/>
      <c r="N602" s="168">
        <f>IF(M602&lt;&gt;"",M602,IF(ISERROR(Personalplanung!AC82/Monatsplanung!$E82*Monatsplanung!$L82),0,Personalplanung!AC82/Monatsplanung!$E82*Monatsplanung!$L82))</f>
        <v>0</v>
      </c>
      <c r="O602" s="740"/>
      <c r="P602" s="739"/>
      <c r="Q602" s="168">
        <f>IF(P602&lt;&gt;"",P602,IF(ISERROR(Personalplanung!AD82/Monatsplanung!$E82*Monatsplanung!$L82),0,Personalplanung!AD82/Monatsplanung!$E82*Monatsplanung!$L82))</f>
        <v>0</v>
      </c>
      <c r="R602" s="740"/>
      <c r="S602" s="739"/>
      <c r="T602" s="168">
        <f>IF(S602&lt;&gt;"",S602,IF(ISERROR(Personalplanung!AE82/Monatsplanung!$E82*Monatsplanung!$L82),0,Personalplanung!AE82/Monatsplanung!$E82*Monatsplanung!$L82))</f>
        <v>0</v>
      </c>
      <c r="U602" s="740"/>
      <c r="V602" s="168">
        <f t="shared" si="185"/>
        <v>0</v>
      </c>
      <c r="W602" s="168">
        <f>IF(ISERROR(Personalplanung!P82/Monatsplanung!$E82*Monatsplanung!$L82),0,Personalplanung!P82/Monatsplanung!$E82*Monatsplanung!$L82)</f>
        <v>0</v>
      </c>
      <c r="X602" s="168">
        <f>IF(ISERROR(Personalplanung!Q82/Monatsplanung!$E82*Monatsplanung!$L82),0,Personalplanung!Q82/Monatsplanung!$E82*Monatsplanung!$L82)</f>
        <v>0</v>
      </c>
      <c r="Y602" s="168">
        <f>IF(ISERROR(Personalplanung!R82/T1330*Stundencontrolling!T602),0,Personalplanung!R82/T1330*Stundencontrolling!T602)</f>
        <v>0</v>
      </c>
      <c r="Z602" s="168">
        <f>IF(ISERROR(Personalplanung!S82/Monatsplanung!$E82*Monatsplanung!$L82),0,Personalplanung!S82/Monatsplanung!$E82*Monatsplanung!$L82)</f>
        <v>0</v>
      </c>
      <c r="AA602" s="80">
        <f t="shared" si="186"/>
        <v>0</v>
      </c>
      <c r="AB602" s="102">
        <f t="shared" si="187"/>
        <v>0.1</v>
      </c>
      <c r="AC602" s="103">
        <f t="shared" si="188"/>
        <v>0</v>
      </c>
      <c r="AD602" s="103">
        <f t="shared" si="189"/>
        <v>0</v>
      </c>
      <c r="AE602" s="81">
        <f t="shared" si="190"/>
        <v>0</v>
      </c>
      <c r="AF602" s="539"/>
      <c r="AG602" s="104">
        <f t="shared" si="191"/>
        <v>1</v>
      </c>
      <c r="AH602" s="7">
        <f t="shared" si="192"/>
        <v>0</v>
      </c>
      <c r="AI602" s="6">
        <f t="shared" si="193"/>
        <v>0</v>
      </c>
      <c r="AJ602" s="73">
        <f t="shared" si="194"/>
        <v>0</v>
      </c>
      <c r="AK602" s="539"/>
      <c r="AL602" s="748"/>
      <c r="AM602" s="748"/>
    </row>
    <row r="603" spans="2:39" x14ac:dyDescent="0.2">
      <c r="B603" s="101" t="str">
        <f t="shared" si="179"/>
        <v/>
      </c>
      <c r="C603" s="168">
        <f>IF(ISERROR(Personalplanung!F83/Monatsplanung!$E83*Monatsplanung!$L83),0,Personalplanung!F83/Monatsplanung!$E83*Monatsplanung!$L83)</f>
        <v>0</v>
      </c>
      <c r="D603" s="168">
        <f t="shared" si="180"/>
        <v>0</v>
      </c>
      <c r="E603" s="168">
        <f>IF(ISERROR(Personalplanung!H83/Monatsplanung!$E83*Monatsplanung!$L83),0,Personalplanung!H83/Monatsplanung!$E83*Monatsplanung!$L83)</f>
        <v>0</v>
      </c>
      <c r="F603" s="168">
        <f t="shared" si="181"/>
        <v>0</v>
      </c>
      <c r="G603" s="168">
        <f t="shared" si="182"/>
        <v>27.700831024930746</v>
      </c>
      <c r="H603" s="168">
        <f t="shared" si="183"/>
        <v>0</v>
      </c>
      <c r="I603" s="168">
        <f t="shared" si="184"/>
        <v>30</v>
      </c>
      <c r="J603" s="739"/>
      <c r="K603" s="168">
        <f>IF(J603&lt;&gt;"",J603,IF(ISERROR(Personalplanung!AB83/Monatsplanung!$E83*Monatsplanung!$L83),0,Personalplanung!AB83/Monatsplanung!$E83*Monatsplanung!$L83))</f>
        <v>0</v>
      </c>
      <c r="L603" s="740"/>
      <c r="M603" s="739"/>
      <c r="N603" s="168">
        <f>IF(M603&lt;&gt;"",M603,IF(ISERROR(Personalplanung!AC83/Monatsplanung!$E83*Monatsplanung!$L83),0,Personalplanung!AC83/Monatsplanung!$E83*Monatsplanung!$L83))</f>
        <v>0</v>
      </c>
      <c r="O603" s="740"/>
      <c r="P603" s="739"/>
      <c r="Q603" s="168">
        <f>IF(P603&lt;&gt;"",P603,IF(ISERROR(Personalplanung!AD83/Monatsplanung!$E83*Monatsplanung!$L83),0,Personalplanung!AD83/Monatsplanung!$E83*Monatsplanung!$L83))</f>
        <v>0</v>
      </c>
      <c r="R603" s="740"/>
      <c r="S603" s="739"/>
      <c r="T603" s="168">
        <f>IF(S603&lt;&gt;"",S603,IF(ISERROR(Personalplanung!AE83/Monatsplanung!$E83*Monatsplanung!$L83),0,Personalplanung!AE83/Monatsplanung!$E83*Monatsplanung!$L83))</f>
        <v>0</v>
      </c>
      <c r="U603" s="740"/>
      <c r="V603" s="168">
        <f t="shared" si="185"/>
        <v>0</v>
      </c>
      <c r="W603" s="168">
        <f>IF(ISERROR(Personalplanung!P83/Monatsplanung!$E83*Monatsplanung!$L83),0,Personalplanung!P83/Monatsplanung!$E83*Monatsplanung!$L83)</f>
        <v>0</v>
      </c>
      <c r="X603" s="168">
        <f>IF(ISERROR(Personalplanung!Q83/Monatsplanung!$E83*Monatsplanung!$L83),0,Personalplanung!Q83/Monatsplanung!$E83*Monatsplanung!$L83)</f>
        <v>0</v>
      </c>
      <c r="Y603" s="168">
        <f>IF(ISERROR(Personalplanung!R83/T1331*Stundencontrolling!T603),0,Personalplanung!R83/T1331*Stundencontrolling!T603)</f>
        <v>0</v>
      </c>
      <c r="Z603" s="168">
        <f>IF(ISERROR(Personalplanung!S83/Monatsplanung!$E83*Monatsplanung!$L83),0,Personalplanung!S83/Monatsplanung!$E83*Monatsplanung!$L83)</f>
        <v>0</v>
      </c>
      <c r="AA603" s="80">
        <f t="shared" si="186"/>
        <v>0</v>
      </c>
      <c r="AB603" s="102">
        <f t="shared" si="187"/>
        <v>0.1</v>
      </c>
      <c r="AC603" s="103">
        <f t="shared" si="188"/>
        <v>0</v>
      </c>
      <c r="AD603" s="103">
        <f t="shared" si="189"/>
        <v>0</v>
      </c>
      <c r="AE603" s="81">
        <f t="shared" si="190"/>
        <v>0</v>
      </c>
      <c r="AF603" s="539"/>
      <c r="AG603" s="104">
        <f t="shared" si="191"/>
        <v>1</v>
      </c>
      <c r="AH603" s="7">
        <f t="shared" si="192"/>
        <v>0</v>
      </c>
      <c r="AI603" s="6">
        <f t="shared" si="193"/>
        <v>0</v>
      </c>
      <c r="AJ603" s="73">
        <f t="shared" si="194"/>
        <v>0</v>
      </c>
      <c r="AK603" s="539"/>
      <c r="AL603" s="748"/>
      <c r="AM603" s="748"/>
    </row>
    <row r="604" spans="2:39" x14ac:dyDescent="0.2">
      <c r="B604" s="101" t="str">
        <f t="shared" si="179"/>
        <v/>
      </c>
      <c r="C604" s="168">
        <f>IF(ISERROR(Personalplanung!F84/Monatsplanung!$E84*Monatsplanung!$L84),0,Personalplanung!F84/Monatsplanung!$E84*Monatsplanung!$L84)</f>
        <v>0</v>
      </c>
      <c r="D604" s="168">
        <f t="shared" si="180"/>
        <v>0</v>
      </c>
      <c r="E604" s="168">
        <f>IF(ISERROR(Personalplanung!H84/Monatsplanung!$E84*Monatsplanung!$L84),0,Personalplanung!H84/Monatsplanung!$E84*Monatsplanung!$L84)</f>
        <v>0</v>
      </c>
      <c r="F604" s="168">
        <f t="shared" si="181"/>
        <v>0</v>
      </c>
      <c r="G604" s="168">
        <f t="shared" si="182"/>
        <v>27.700831024930746</v>
      </c>
      <c r="H604" s="168">
        <f t="shared" si="183"/>
        <v>0</v>
      </c>
      <c r="I604" s="168">
        <f t="shared" si="184"/>
        <v>30</v>
      </c>
      <c r="J604" s="739"/>
      <c r="K604" s="168">
        <f>IF(J604&lt;&gt;"",J604,IF(ISERROR(Personalplanung!AB84/Monatsplanung!$E84*Monatsplanung!$L84),0,Personalplanung!AB84/Monatsplanung!$E84*Monatsplanung!$L84))</f>
        <v>0</v>
      </c>
      <c r="L604" s="740"/>
      <c r="M604" s="739"/>
      <c r="N604" s="168">
        <f>IF(M604&lt;&gt;"",M604,IF(ISERROR(Personalplanung!AC84/Monatsplanung!$E84*Monatsplanung!$L84),0,Personalplanung!AC84/Monatsplanung!$E84*Monatsplanung!$L84))</f>
        <v>0</v>
      </c>
      <c r="O604" s="740"/>
      <c r="P604" s="739"/>
      <c r="Q604" s="168">
        <f>IF(P604&lt;&gt;"",P604,IF(ISERROR(Personalplanung!AD84/Monatsplanung!$E84*Monatsplanung!$L84),0,Personalplanung!AD84/Monatsplanung!$E84*Monatsplanung!$L84))</f>
        <v>0</v>
      </c>
      <c r="R604" s="740"/>
      <c r="S604" s="739"/>
      <c r="T604" s="168">
        <f>IF(S604&lt;&gt;"",S604,IF(ISERROR(Personalplanung!AE84/Monatsplanung!$E84*Monatsplanung!$L84),0,Personalplanung!AE84/Monatsplanung!$E84*Monatsplanung!$L84))</f>
        <v>0</v>
      </c>
      <c r="U604" s="740"/>
      <c r="V604" s="168">
        <f t="shared" si="185"/>
        <v>0</v>
      </c>
      <c r="W604" s="168">
        <f>IF(ISERROR(Personalplanung!P84/Monatsplanung!$E84*Monatsplanung!$L84),0,Personalplanung!P84/Monatsplanung!$E84*Monatsplanung!$L84)</f>
        <v>0</v>
      </c>
      <c r="X604" s="168">
        <f>IF(ISERROR(Personalplanung!Q84/Monatsplanung!$E84*Monatsplanung!$L84),0,Personalplanung!Q84/Monatsplanung!$E84*Monatsplanung!$L84)</f>
        <v>0</v>
      </c>
      <c r="Y604" s="168">
        <f>IF(ISERROR(Personalplanung!R84/T1332*Stundencontrolling!T604),0,Personalplanung!R84/T1332*Stundencontrolling!T604)</f>
        <v>0</v>
      </c>
      <c r="Z604" s="168">
        <f>IF(ISERROR(Personalplanung!S84/Monatsplanung!$E84*Monatsplanung!$L84),0,Personalplanung!S84/Monatsplanung!$E84*Monatsplanung!$L84)</f>
        <v>0</v>
      </c>
      <c r="AA604" s="80">
        <f t="shared" si="186"/>
        <v>0</v>
      </c>
      <c r="AB604" s="102">
        <f t="shared" si="187"/>
        <v>0.1</v>
      </c>
      <c r="AC604" s="103">
        <f t="shared" si="188"/>
        <v>0</v>
      </c>
      <c r="AD604" s="103">
        <f t="shared" si="189"/>
        <v>0</v>
      </c>
      <c r="AE604" s="81">
        <f t="shared" si="190"/>
        <v>0</v>
      </c>
      <c r="AF604" s="539"/>
      <c r="AG604" s="104">
        <f t="shared" si="191"/>
        <v>1</v>
      </c>
      <c r="AH604" s="7">
        <f t="shared" si="192"/>
        <v>0</v>
      </c>
      <c r="AI604" s="6">
        <f t="shared" si="193"/>
        <v>0</v>
      </c>
      <c r="AJ604" s="73">
        <f t="shared" si="194"/>
        <v>0</v>
      </c>
      <c r="AK604" s="539"/>
      <c r="AL604" s="748"/>
      <c r="AM604" s="748"/>
    </row>
    <row r="605" spans="2:39" x14ac:dyDescent="0.2">
      <c r="B605" s="101" t="str">
        <f t="shared" si="179"/>
        <v/>
      </c>
      <c r="C605" s="168">
        <f>IF(ISERROR(Personalplanung!F85/Monatsplanung!$E85*Monatsplanung!$L85),0,Personalplanung!F85/Monatsplanung!$E85*Monatsplanung!$L85)</f>
        <v>0</v>
      </c>
      <c r="D605" s="168">
        <f t="shared" si="180"/>
        <v>0</v>
      </c>
      <c r="E605" s="168">
        <f>IF(ISERROR(Personalplanung!H85/Monatsplanung!$E85*Monatsplanung!$L85),0,Personalplanung!H85/Monatsplanung!$E85*Monatsplanung!$L85)</f>
        <v>0</v>
      </c>
      <c r="F605" s="168">
        <f t="shared" si="181"/>
        <v>0</v>
      </c>
      <c r="G605" s="168">
        <f t="shared" si="182"/>
        <v>27.700831024930746</v>
      </c>
      <c r="H605" s="168">
        <f t="shared" si="183"/>
        <v>0</v>
      </c>
      <c r="I605" s="168">
        <f t="shared" si="184"/>
        <v>30</v>
      </c>
      <c r="J605" s="739"/>
      <c r="K605" s="168">
        <f>IF(J605&lt;&gt;"",J605,IF(ISERROR(Personalplanung!AB85/Monatsplanung!$E85*Monatsplanung!$L85),0,Personalplanung!AB85/Monatsplanung!$E85*Monatsplanung!$L85))</f>
        <v>0</v>
      </c>
      <c r="L605" s="740"/>
      <c r="M605" s="739"/>
      <c r="N605" s="168">
        <f>IF(M605&lt;&gt;"",M605,IF(ISERROR(Personalplanung!AC85/Monatsplanung!$E85*Monatsplanung!$L85),0,Personalplanung!AC85/Monatsplanung!$E85*Monatsplanung!$L85))</f>
        <v>0</v>
      </c>
      <c r="O605" s="740"/>
      <c r="P605" s="739"/>
      <c r="Q605" s="168">
        <f>IF(P605&lt;&gt;"",P605,IF(ISERROR(Personalplanung!AD85/Monatsplanung!$E85*Monatsplanung!$L85),0,Personalplanung!AD85/Monatsplanung!$E85*Monatsplanung!$L85))</f>
        <v>0</v>
      </c>
      <c r="R605" s="740"/>
      <c r="S605" s="739"/>
      <c r="T605" s="168">
        <f>IF(S605&lt;&gt;"",S605,IF(ISERROR(Personalplanung!AE85/Monatsplanung!$E85*Monatsplanung!$L85),0,Personalplanung!AE85/Monatsplanung!$E85*Monatsplanung!$L85))</f>
        <v>0</v>
      </c>
      <c r="U605" s="740"/>
      <c r="V605" s="168">
        <f t="shared" si="185"/>
        <v>0</v>
      </c>
      <c r="W605" s="168">
        <f>IF(ISERROR(Personalplanung!P85/Monatsplanung!$E85*Monatsplanung!$L85),0,Personalplanung!P85/Monatsplanung!$E85*Monatsplanung!$L85)</f>
        <v>0</v>
      </c>
      <c r="X605" s="168">
        <f>IF(ISERROR(Personalplanung!Q85/Monatsplanung!$E85*Monatsplanung!$L85),0,Personalplanung!Q85/Monatsplanung!$E85*Monatsplanung!$L85)</f>
        <v>0</v>
      </c>
      <c r="Y605" s="168">
        <f>IF(ISERROR(Personalplanung!R85/T1333*Stundencontrolling!T605),0,Personalplanung!R85/T1333*Stundencontrolling!T605)</f>
        <v>0</v>
      </c>
      <c r="Z605" s="168">
        <f>IF(ISERROR(Personalplanung!S85/Monatsplanung!$E85*Monatsplanung!$L85),0,Personalplanung!S85/Monatsplanung!$E85*Monatsplanung!$L85)</f>
        <v>0</v>
      </c>
      <c r="AA605" s="80">
        <f t="shared" si="186"/>
        <v>0</v>
      </c>
      <c r="AB605" s="102">
        <f t="shared" si="187"/>
        <v>0.1</v>
      </c>
      <c r="AC605" s="103">
        <f t="shared" si="188"/>
        <v>0</v>
      </c>
      <c r="AD605" s="103">
        <f t="shared" si="189"/>
        <v>0</v>
      </c>
      <c r="AE605" s="81">
        <f t="shared" si="190"/>
        <v>0</v>
      </c>
      <c r="AF605" s="539"/>
      <c r="AG605" s="104">
        <f t="shared" si="191"/>
        <v>1</v>
      </c>
      <c r="AH605" s="7">
        <f t="shared" si="192"/>
        <v>0</v>
      </c>
      <c r="AI605" s="6">
        <f t="shared" si="193"/>
        <v>0</v>
      </c>
      <c r="AJ605" s="73">
        <f t="shared" si="194"/>
        <v>0</v>
      </c>
      <c r="AK605" s="539"/>
      <c r="AL605" s="748"/>
      <c r="AM605" s="748"/>
    </row>
    <row r="606" spans="2:39" x14ac:dyDescent="0.2">
      <c r="B606" s="101" t="str">
        <f t="shared" si="179"/>
        <v/>
      </c>
      <c r="C606" s="168">
        <f>IF(ISERROR(Personalplanung!F86/Monatsplanung!$E86*Monatsplanung!$L86),0,Personalplanung!F86/Monatsplanung!$E86*Monatsplanung!$L86)</f>
        <v>0</v>
      </c>
      <c r="D606" s="168">
        <f t="shared" si="180"/>
        <v>0</v>
      </c>
      <c r="E606" s="168">
        <f>IF(ISERROR(Personalplanung!H86/Monatsplanung!$E86*Monatsplanung!$L86),0,Personalplanung!H86/Monatsplanung!$E86*Monatsplanung!$L86)</f>
        <v>0</v>
      </c>
      <c r="F606" s="168">
        <f t="shared" si="181"/>
        <v>0</v>
      </c>
      <c r="G606" s="168">
        <f t="shared" si="182"/>
        <v>27.700831024930746</v>
      </c>
      <c r="H606" s="168">
        <f t="shared" si="183"/>
        <v>0</v>
      </c>
      <c r="I606" s="168">
        <f t="shared" si="184"/>
        <v>30</v>
      </c>
      <c r="J606" s="739"/>
      <c r="K606" s="168">
        <f>IF(J606&lt;&gt;"",J606,IF(ISERROR(Personalplanung!AB86/Monatsplanung!$E86*Monatsplanung!$L86),0,Personalplanung!AB86/Monatsplanung!$E86*Monatsplanung!$L86))</f>
        <v>0</v>
      </c>
      <c r="L606" s="740"/>
      <c r="M606" s="739"/>
      <c r="N606" s="168">
        <f>IF(M606&lt;&gt;"",M606,IF(ISERROR(Personalplanung!AC86/Monatsplanung!$E86*Monatsplanung!$L86),0,Personalplanung!AC86/Monatsplanung!$E86*Monatsplanung!$L86))</f>
        <v>0</v>
      </c>
      <c r="O606" s="740"/>
      <c r="P606" s="739"/>
      <c r="Q606" s="168">
        <f>IF(P606&lt;&gt;"",P606,IF(ISERROR(Personalplanung!AD86/Monatsplanung!$E86*Monatsplanung!$L86),0,Personalplanung!AD86/Monatsplanung!$E86*Monatsplanung!$L86))</f>
        <v>0</v>
      </c>
      <c r="R606" s="740"/>
      <c r="S606" s="739"/>
      <c r="T606" s="168">
        <f>IF(S606&lt;&gt;"",S606,IF(ISERROR(Personalplanung!AE86/Monatsplanung!$E86*Monatsplanung!$L86),0,Personalplanung!AE86/Monatsplanung!$E86*Monatsplanung!$L86))</f>
        <v>0</v>
      </c>
      <c r="U606" s="740"/>
      <c r="V606" s="168">
        <f t="shared" si="185"/>
        <v>0</v>
      </c>
      <c r="W606" s="168">
        <f>IF(ISERROR(Personalplanung!P86/Monatsplanung!$E86*Monatsplanung!$L86),0,Personalplanung!P86/Monatsplanung!$E86*Monatsplanung!$L86)</f>
        <v>0</v>
      </c>
      <c r="X606" s="168">
        <f>IF(ISERROR(Personalplanung!Q86/Monatsplanung!$E86*Monatsplanung!$L86),0,Personalplanung!Q86/Monatsplanung!$E86*Monatsplanung!$L86)</f>
        <v>0</v>
      </c>
      <c r="Y606" s="168">
        <f>IF(ISERROR(Personalplanung!R86/T1334*Stundencontrolling!T606),0,Personalplanung!R86/T1334*Stundencontrolling!T606)</f>
        <v>0</v>
      </c>
      <c r="Z606" s="168">
        <f>IF(ISERROR(Personalplanung!S86/Monatsplanung!$E86*Monatsplanung!$L86),0,Personalplanung!S86/Monatsplanung!$E86*Monatsplanung!$L86)</f>
        <v>0</v>
      </c>
      <c r="AA606" s="80">
        <f t="shared" si="186"/>
        <v>0</v>
      </c>
      <c r="AB606" s="102">
        <f t="shared" si="187"/>
        <v>0.1</v>
      </c>
      <c r="AC606" s="103">
        <f t="shared" si="188"/>
        <v>0</v>
      </c>
      <c r="AD606" s="103">
        <f t="shared" si="189"/>
        <v>0</v>
      </c>
      <c r="AE606" s="81">
        <f t="shared" si="190"/>
        <v>0</v>
      </c>
      <c r="AF606" s="539"/>
      <c r="AG606" s="104">
        <f t="shared" si="191"/>
        <v>1</v>
      </c>
      <c r="AH606" s="7">
        <f t="shared" si="192"/>
        <v>0</v>
      </c>
      <c r="AI606" s="6">
        <f t="shared" si="193"/>
        <v>0</v>
      </c>
      <c r="AJ606" s="73">
        <f t="shared" si="194"/>
        <v>0</v>
      </c>
      <c r="AK606" s="539"/>
      <c r="AL606" s="748"/>
      <c r="AM606" s="748"/>
    </row>
    <row r="607" spans="2:39" x14ac:dyDescent="0.2">
      <c r="B607" s="101" t="str">
        <f t="shared" si="179"/>
        <v/>
      </c>
      <c r="C607" s="168">
        <f>IF(ISERROR(Personalplanung!F87/Monatsplanung!$E87*Monatsplanung!$L87),0,Personalplanung!F87/Monatsplanung!$E87*Monatsplanung!$L87)</f>
        <v>0</v>
      </c>
      <c r="D607" s="168">
        <f t="shared" si="180"/>
        <v>0</v>
      </c>
      <c r="E607" s="168">
        <f>IF(ISERROR(Personalplanung!H87/Monatsplanung!$E87*Monatsplanung!$L87),0,Personalplanung!H87/Monatsplanung!$E87*Monatsplanung!$L87)</f>
        <v>0</v>
      </c>
      <c r="F607" s="168">
        <f t="shared" si="181"/>
        <v>0</v>
      </c>
      <c r="G607" s="168">
        <f t="shared" si="182"/>
        <v>27.700831024930746</v>
      </c>
      <c r="H607" s="168">
        <f t="shared" si="183"/>
        <v>0</v>
      </c>
      <c r="I607" s="168">
        <f t="shared" si="184"/>
        <v>30</v>
      </c>
      <c r="J607" s="739"/>
      <c r="K607" s="168">
        <f>IF(J607&lt;&gt;"",J607,IF(ISERROR(Personalplanung!AB87/Monatsplanung!$E87*Monatsplanung!$L87),0,Personalplanung!AB87/Monatsplanung!$E87*Monatsplanung!$L87))</f>
        <v>0</v>
      </c>
      <c r="L607" s="740"/>
      <c r="M607" s="739"/>
      <c r="N607" s="168">
        <f>IF(M607&lt;&gt;"",M607,IF(ISERROR(Personalplanung!AC87/Monatsplanung!$E87*Monatsplanung!$L87),0,Personalplanung!AC87/Monatsplanung!$E87*Monatsplanung!$L87))</f>
        <v>0</v>
      </c>
      <c r="O607" s="740"/>
      <c r="P607" s="739"/>
      <c r="Q607" s="168">
        <f>IF(P607&lt;&gt;"",P607,IF(ISERROR(Personalplanung!AD87/Monatsplanung!$E87*Monatsplanung!$L87),0,Personalplanung!AD87/Monatsplanung!$E87*Monatsplanung!$L87))</f>
        <v>0</v>
      </c>
      <c r="R607" s="740"/>
      <c r="S607" s="739"/>
      <c r="T607" s="168">
        <f>IF(S607&lt;&gt;"",S607,IF(ISERROR(Personalplanung!AE87/Monatsplanung!$E87*Monatsplanung!$L87),0,Personalplanung!AE87/Monatsplanung!$E87*Monatsplanung!$L87))</f>
        <v>0</v>
      </c>
      <c r="U607" s="740"/>
      <c r="V607" s="168">
        <f t="shared" si="185"/>
        <v>0</v>
      </c>
      <c r="W607" s="168">
        <f>IF(ISERROR(Personalplanung!P87/Monatsplanung!$E87*Monatsplanung!$L87),0,Personalplanung!P87/Monatsplanung!$E87*Monatsplanung!$L87)</f>
        <v>0</v>
      </c>
      <c r="X607" s="168">
        <f>IF(ISERROR(Personalplanung!Q87/Monatsplanung!$E87*Monatsplanung!$L87),0,Personalplanung!Q87/Monatsplanung!$E87*Monatsplanung!$L87)</f>
        <v>0</v>
      </c>
      <c r="Y607" s="168">
        <f>IF(ISERROR(Personalplanung!R87/T1335*Stundencontrolling!T607),0,Personalplanung!R87/T1335*Stundencontrolling!T607)</f>
        <v>0</v>
      </c>
      <c r="Z607" s="168">
        <f>IF(ISERROR(Personalplanung!S87/Monatsplanung!$E87*Monatsplanung!$L87),0,Personalplanung!S87/Monatsplanung!$E87*Monatsplanung!$L87)</f>
        <v>0</v>
      </c>
      <c r="AA607" s="80">
        <f t="shared" si="186"/>
        <v>0</v>
      </c>
      <c r="AB607" s="102">
        <f t="shared" si="187"/>
        <v>0.1</v>
      </c>
      <c r="AC607" s="103">
        <f t="shared" si="188"/>
        <v>0</v>
      </c>
      <c r="AD607" s="103">
        <f t="shared" si="189"/>
        <v>0</v>
      </c>
      <c r="AE607" s="81">
        <f t="shared" si="190"/>
        <v>0</v>
      </c>
      <c r="AF607" s="539"/>
      <c r="AG607" s="104">
        <f t="shared" si="191"/>
        <v>1</v>
      </c>
      <c r="AH607" s="7">
        <f t="shared" si="192"/>
        <v>0</v>
      </c>
      <c r="AI607" s="6">
        <f t="shared" si="193"/>
        <v>0</v>
      </c>
      <c r="AJ607" s="73">
        <f t="shared" si="194"/>
        <v>0</v>
      </c>
      <c r="AK607" s="539"/>
      <c r="AL607" s="748"/>
      <c r="AM607" s="748"/>
    </row>
    <row r="608" spans="2:39" x14ac:dyDescent="0.2">
      <c r="B608" s="101" t="str">
        <f t="shared" si="179"/>
        <v/>
      </c>
      <c r="C608" s="168">
        <f>IF(ISERROR(Personalplanung!F88/Monatsplanung!$E88*Monatsplanung!$L88),0,Personalplanung!F88/Monatsplanung!$E88*Monatsplanung!$L88)</f>
        <v>0</v>
      </c>
      <c r="D608" s="168">
        <f t="shared" si="180"/>
        <v>0</v>
      </c>
      <c r="E608" s="168">
        <f>IF(ISERROR(Personalplanung!H88/Monatsplanung!$E88*Monatsplanung!$L88),0,Personalplanung!H88/Monatsplanung!$E88*Monatsplanung!$L88)</f>
        <v>0</v>
      </c>
      <c r="F608" s="168">
        <f t="shared" si="181"/>
        <v>0</v>
      </c>
      <c r="G608" s="168">
        <f t="shared" si="182"/>
        <v>27.700831024930746</v>
      </c>
      <c r="H608" s="168">
        <f t="shared" si="183"/>
        <v>0</v>
      </c>
      <c r="I608" s="168">
        <f t="shared" si="184"/>
        <v>30</v>
      </c>
      <c r="J608" s="739"/>
      <c r="K608" s="168">
        <f>IF(J608&lt;&gt;"",J608,IF(ISERROR(Personalplanung!AB88/Monatsplanung!$E88*Monatsplanung!$L88),0,Personalplanung!AB88/Monatsplanung!$E88*Monatsplanung!$L88))</f>
        <v>0</v>
      </c>
      <c r="L608" s="740"/>
      <c r="M608" s="739"/>
      <c r="N608" s="168">
        <f>IF(M608&lt;&gt;"",M608,IF(ISERROR(Personalplanung!AC88/Monatsplanung!$E88*Monatsplanung!$L88),0,Personalplanung!AC88/Monatsplanung!$E88*Monatsplanung!$L88))</f>
        <v>0</v>
      </c>
      <c r="O608" s="740"/>
      <c r="P608" s="739"/>
      <c r="Q608" s="168">
        <f>IF(P608&lt;&gt;"",P608,IF(ISERROR(Personalplanung!AD88/Monatsplanung!$E88*Monatsplanung!$L88),0,Personalplanung!AD88/Monatsplanung!$E88*Monatsplanung!$L88))</f>
        <v>0</v>
      </c>
      <c r="R608" s="740"/>
      <c r="S608" s="739"/>
      <c r="T608" s="168">
        <f>IF(S608&lt;&gt;"",S608,IF(ISERROR(Personalplanung!AE88/Monatsplanung!$E88*Monatsplanung!$L88),0,Personalplanung!AE88/Monatsplanung!$E88*Monatsplanung!$L88))</f>
        <v>0</v>
      </c>
      <c r="U608" s="740"/>
      <c r="V608" s="168">
        <f t="shared" si="185"/>
        <v>0</v>
      </c>
      <c r="W608" s="168">
        <f>IF(ISERROR(Personalplanung!P88/Monatsplanung!$E88*Monatsplanung!$L88),0,Personalplanung!P88/Monatsplanung!$E88*Monatsplanung!$L88)</f>
        <v>0</v>
      </c>
      <c r="X608" s="168">
        <f>IF(ISERROR(Personalplanung!Q88/Monatsplanung!$E88*Monatsplanung!$L88),0,Personalplanung!Q88/Monatsplanung!$E88*Monatsplanung!$L88)</f>
        <v>0</v>
      </c>
      <c r="Y608" s="168">
        <f>IF(ISERROR(Personalplanung!R88/T1336*Stundencontrolling!T608),0,Personalplanung!R88/T1336*Stundencontrolling!T608)</f>
        <v>0</v>
      </c>
      <c r="Z608" s="168">
        <f>IF(ISERROR(Personalplanung!S88/Monatsplanung!$E88*Monatsplanung!$L88),0,Personalplanung!S88/Monatsplanung!$E88*Monatsplanung!$L88)</f>
        <v>0</v>
      </c>
      <c r="AA608" s="80">
        <f t="shared" si="186"/>
        <v>0</v>
      </c>
      <c r="AB608" s="102">
        <f t="shared" si="187"/>
        <v>0.1</v>
      </c>
      <c r="AC608" s="103">
        <f t="shared" si="188"/>
        <v>0</v>
      </c>
      <c r="AD608" s="103">
        <f t="shared" si="189"/>
        <v>0</v>
      </c>
      <c r="AE608" s="81">
        <f t="shared" si="190"/>
        <v>0</v>
      </c>
      <c r="AF608" s="539"/>
      <c r="AG608" s="104">
        <f t="shared" si="191"/>
        <v>1</v>
      </c>
      <c r="AH608" s="7">
        <f t="shared" si="192"/>
        <v>0</v>
      </c>
      <c r="AI608" s="6">
        <f t="shared" si="193"/>
        <v>0</v>
      </c>
      <c r="AJ608" s="73">
        <f t="shared" si="194"/>
        <v>0</v>
      </c>
      <c r="AK608" s="539"/>
      <c r="AL608" s="748"/>
      <c r="AM608" s="748"/>
    </row>
    <row r="609" spans="2:39" x14ac:dyDescent="0.2">
      <c r="B609" s="101" t="str">
        <f t="shared" si="179"/>
        <v/>
      </c>
      <c r="C609" s="168">
        <f>IF(ISERROR(Personalplanung!F89/Monatsplanung!$E89*Monatsplanung!$L89),0,Personalplanung!F89/Monatsplanung!$E89*Monatsplanung!$L89)</f>
        <v>0</v>
      </c>
      <c r="D609" s="168">
        <f t="shared" si="180"/>
        <v>0</v>
      </c>
      <c r="E609" s="168">
        <f>IF(ISERROR(Personalplanung!H89/Monatsplanung!$E89*Monatsplanung!$L89),0,Personalplanung!H89/Monatsplanung!$E89*Monatsplanung!$L89)</f>
        <v>0</v>
      </c>
      <c r="F609" s="168">
        <f t="shared" si="181"/>
        <v>0</v>
      </c>
      <c r="G609" s="168">
        <f t="shared" si="182"/>
        <v>27.700831024930746</v>
      </c>
      <c r="H609" s="168">
        <f t="shared" si="183"/>
        <v>0</v>
      </c>
      <c r="I609" s="168">
        <f t="shared" si="184"/>
        <v>30</v>
      </c>
      <c r="J609" s="739"/>
      <c r="K609" s="168">
        <f>IF(J609&lt;&gt;"",J609,IF(ISERROR(Personalplanung!AB89/Monatsplanung!$E89*Monatsplanung!$L89),0,Personalplanung!AB89/Monatsplanung!$E89*Monatsplanung!$L89))</f>
        <v>0</v>
      </c>
      <c r="L609" s="740"/>
      <c r="M609" s="739"/>
      <c r="N609" s="168">
        <f>IF(M609&lt;&gt;"",M609,IF(ISERROR(Personalplanung!AC89/Monatsplanung!$E89*Monatsplanung!$L89),0,Personalplanung!AC89/Monatsplanung!$E89*Monatsplanung!$L89))</f>
        <v>0</v>
      </c>
      <c r="O609" s="740"/>
      <c r="P609" s="739"/>
      <c r="Q609" s="168">
        <f>IF(P609&lt;&gt;"",P609,IF(ISERROR(Personalplanung!AD89/Monatsplanung!$E89*Monatsplanung!$L89),0,Personalplanung!AD89/Monatsplanung!$E89*Monatsplanung!$L89))</f>
        <v>0</v>
      </c>
      <c r="R609" s="740"/>
      <c r="S609" s="739"/>
      <c r="T609" s="168">
        <f>IF(S609&lt;&gt;"",S609,IF(ISERROR(Personalplanung!AE89/Monatsplanung!$E89*Monatsplanung!$L89),0,Personalplanung!AE89/Monatsplanung!$E89*Monatsplanung!$L89))</f>
        <v>0</v>
      </c>
      <c r="U609" s="740"/>
      <c r="V609" s="168">
        <f t="shared" si="185"/>
        <v>0</v>
      </c>
      <c r="W609" s="168">
        <f>IF(ISERROR(Personalplanung!P89/Monatsplanung!$E89*Monatsplanung!$L89),0,Personalplanung!P89/Monatsplanung!$E89*Monatsplanung!$L89)</f>
        <v>0</v>
      </c>
      <c r="X609" s="168">
        <f>IF(ISERROR(Personalplanung!Q89/Monatsplanung!$E89*Monatsplanung!$L89),0,Personalplanung!Q89/Monatsplanung!$E89*Monatsplanung!$L89)</f>
        <v>0</v>
      </c>
      <c r="Y609" s="168">
        <f>IF(ISERROR(Personalplanung!R89/T1337*Stundencontrolling!T609),0,Personalplanung!R89/T1337*Stundencontrolling!T609)</f>
        <v>0</v>
      </c>
      <c r="Z609" s="168">
        <f>IF(ISERROR(Personalplanung!S89/Monatsplanung!$E89*Monatsplanung!$L89),0,Personalplanung!S89/Monatsplanung!$E89*Monatsplanung!$L89)</f>
        <v>0</v>
      </c>
      <c r="AA609" s="80">
        <f t="shared" si="186"/>
        <v>0</v>
      </c>
      <c r="AB609" s="102">
        <f t="shared" si="187"/>
        <v>0.1</v>
      </c>
      <c r="AC609" s="103">
        <f t="shared" si="188"/>
        <v>0</v>
      </c>
      <c r="AD609" s="103">
        <f t="shared" si="189"/>
        <v>0</v>
      </c>
      <c r="AE609" s="81">
        <f t="shared" si="190"/>
        <v>0</v>
      </c>
      <c r="AF609" s="539"/>
      <c r="AG609" s="104">
        <f t="shared" si="191"/>
        <v>1</v>
      </c>
      <c r="AH609" s="7">
        <f t="shared" si="192"/>
        <v>0</v>
      </c>
      <c r="AI609" s="6">
        <f t="shared" si="193"/>
        <v>0</v>
      </c>
      <c r="AJ609" s="73">
        <f t="shared" si="194"/>
        <v>0</v>
      </c>
      <c r="AK609" s="539"/>
      <c r="AL609" s="748"/>
      <c r="AM609" s="748"/>
    </row>
    <row r="610" spans="2:39" x14ac:dyDescent="0.2">
      <c r="B610" s="101" t="str">
        <f t="shared" si="179"/>
        <v/>
      </c>
      <c r="C610" s="168">
        <f>IF(ISERROR(Personalplanung!F90/Monatsplanung!$E90*Monatsplanung!$L90),0,Personalplanung!F90/Monatsplanung!$E90*Monatsplanung!$L90)</f>
        <v>0</v>
      </c>
      <c r="D610" s="168">
        <f t="shared" si="180"/>
        <v>0</v>
      </c>
      <c r="E610" s="168">
        <f>IF(ISERROR(Personalplanung!H90/Monatsplanung!$E90*Monatsplanung!$L90),0,Personalplanung!H90/Monatsplanung!$E90*Monatsplanung!$L90)</f>
        <v>0</v>
      </c>
      <c r="F610" s="168">
        <f t="shared" si="181"/>
        <v>0</v>
      </c>
      <c r="G610" s="168">
        <f t="shared" si="182"/>
        <v>27.700831024930746</v>
      </c>
      <c r="H610" s="168">
        <f t="shared" si="183"/>
        <v>0</v>
      </c>
      <c r="I610" s="168">
        <f t="shared" si="184"/>
        <v>30</v>
      </c>
      <c r="J610" s="739"/>
      <c r="K610" s="168">
        <f>IF(J610&lt;&gt;"",J610,IF(ISERROR(Personalplanung!AB90/Monatsplanung!$E90*Monatsplanung!$L90),0,Personalplanung!AB90/Monatsplanung!$E90*Monatsplanung!$L90))</f>
        <v>0</v>
      </c>
      <c r="L610" s="740"/>
      <c r="M610" s="739"/>
      <c r="N610" s="168">
        <f>IF(M610&lt;&gt;"",M610,IF(ISERROR(Personalplanung!AC90/Monatsplanung!$E90*Monatsplanung!$L90),0,Personalplanung!AC90/Monatsplanung!$E90*Monatsplanung!$L90))</f>
        <v>0</v>
      </c>
      <c r="O610" s="740"/>
      <c r="P610" s="739"/>
      <c r="Q610" s="168">
        <f>IF(P610&lt;&gt;"",P610,IF(ISERROR(Personalplanung!AD90/Monatsplanung!$E90*Monatsplanung!$L90),0,Personalplanung!AD90/Monatsplanung!$E90*Monatsplanung!$L90))</f>
        <v>0</v>
      </c>
      <c r="R610" s="740"/>
      <c r="S610" s="739"/>
      <c r="T610" s="168">
        <f>IF(S610&lt;&gt;"",S610,IF(ISERROR(Personalplanung!AE90/Monatsplanung!$E90*Monatsplanung!$L90),0,Personalplanung!AE90/Monatsplanung!$E90*Monatsplanung!$L90))</f>
        <v>0</v>
      </c>
      <c r="U610" s="740"/>
      <c r="V610" s="168">
        <f t="shared" si="185"/>
        <v>0</v>
      </c>
      <c r="W610" s="168">
        <f>IF(ISERROR(Personalplanung!P90/Monatsplanung!$E90*Monatsplanung!$L90),0,Personalplanung!P90/Monatsplanung!$E90*Monatsplanung!$L90)</f>
        <v>0</v>
      </c>
      <c r="X610" s="168">
        <f>IF(ISERROR(Personalplanung!Q90/Monatsplanung!$E90*Monatsplanung!$L90),0,Personalplanung!Q90/Monatsplanung!$E90*Monatsplanung!$L90)</f>
        <v>0</v>
      </c>
      <c r="Y610" s="168">
        <f>IF(ISERROR(Personalplanung!R90/T1338*Stundencontrolling!T610),0,Personalplanung!R90/T1338*Stundencontrolling!T610)</f>
        <v>0</v>
      </c>
      <c r="Z610" s="168">
        <f>IF(ISERROR(Personalplanung!S90/Monatsplanung!$E90*Monatsplanung!$L90),0,Personalplanung!S90/Monatsplanung!$E90*Monatsplanung!$L90)</f>
        <v>0</v>
      </c>
      <c r="AA610" s="80">
        <f t="shared" si="186"/>
        <v>0</v>
      </c>
      <c r="AB610" s="102">
        <f t="shared" si="187"/>
        <v>0.1</v>
      </c>
      <c r="AC610" s="103">
        <f t="shared" si="188"/>
        <v>0</v>
      </c>
      <c r="AD610" s="103">
        <f t="shared" si="189"/>
        <v>0</v>
      </c>
      <c r="AE610" s="81">
        <f t="shared" si="190"/>
        <v>0</v>
      </c>
      <c r="AF610" s="539"/>
      <c r="AG610" s="104">
        <f t="shared" si="191"/>
        <v>1</v>
      </c>
      <c r="AH610" s="7">
        <f t="shared" si="192"/>
        <v>0</v>
      </c>
      <c r="AI610" s="6">
        <f t="shared" si="193"/>
        <v>0</v>
      </c>
      <c r="AJ610" s="73">
        <f t="shared" si="194"/>
        <v>0</v>
      </c>
      <c r="AK610" s="539"/>
      <c r="AL610" s="748"/>
      <c r="AM610" s="748"/>
    </row>
    <row r="611" spans="2:39" x14ac:dyDescent="0.2">
      <c r="B611" s="101" t="str">
        <f t="shared" si="179"/>
        <v/>
      </c>
      <c r="C611" s="168">
        <f>IF(ISERROR(Personalplanung!F91/Monatsplanung!$E91*Monatsplanung!$L91),0,Personalplanung!F91/Monatsplanung!$E91*Monatsplanung!$L91)</f>
        <v>0</v>
      </c>
      <c r="D611" s="168">
        <f t="shared" si="180"/>
        <v>0</v>
      </c>
      <c r="E611" s="168">
        <f>IF(ISERROR(Personalplanung!H91/Monatsplanung!$E91*Monatsplanung!$L91),0,Personalplanung!H91/Monatsplanung!$E91*Monatsplanung!$L91)</f>
        <v>0</v>
      </c>
      <c r="F611" s="168">
        <f t="shared" si="181"/>
        <v>0</v>
      </c>
      <c r="G611" s="168">
        <f t="shared" si="182"/>
        <v>27.700831024930746</v>
      </c>
      <c r="H611" s="168">
        <f t="shared" si="183"/>
        <v>0</v>
      </c>
      <c r="I611" s="168">
        <f t="shared" si="184"/>
        <v>30</v>
      </c>
      <c r="J611" s="739"/>
      <c r="K611" s="168">
        <f>IF(J611&lt;&gt;"",J611,IF(ISERROR(Personalplanung!AB91/Monatsplanung!$E91*Monatsplanung!$L91),0,Personalplanung!AB91/Monatsplanung!$E91*Monatsplanung!$L91))</f>
        <v>0</v>
      </c>
      <c r="L611" s="740"/>
      <c r="M611" s="739"/>
      <c r="N611" s="168">
        <f>IF(M611&lt;&gt;"",M611,IF(ISERROR(Personalplanung!AC91/Monatsplanung!$E91*Monatsplanung!$L91),0,Personalplanung!AC91/Monatsplanung!$E91*Monatsplanung!$L91))</f>
        <v>0</v>
      </c>
      <c r="O611" s="740"/>
      <c r="P611" s="739"/>
      <c r="Q611" s="168">
        <f>IF(P611&lt;&gt;"",P611,IF(ISERROR(Personalplanung!AD91/Monatsplanung!$E91*Monatsplanung!$L91),0,Personalplanung!AD91/Monatsplanung!$E91*Monatsplanung!$L91))</f>
        <v>0</v>
      </c>
      <c r="R611" s="740"/>
      <c r="S611" s="739"/>
      <c r="T611" s="168">
        <f>IF(S611&lt;&gt;"",S611,IF(ISERROR(Personalplanung!AE91/Monatsplanung!$E91*Monatsplanung!$L91),0,Personalplanung!AE91/Monatsplanung!$E91*Monatsplanung!$L91))</f>
        <v>0</v>
      </c>
      <c r="U611" s="740"/>
      <c r="V611" s="168">
        <f t="shared" si="185"/>
        <v>0</v>
      </c>
      <c r="W611" s="168">
        <f>IF(ISERROR(Personalplanung!P91/Monatsplanung!$E91*Monatsplanung!$L91),0,Personalplanung!P91/Monatsplanung!$E91*Monatsplanung!$L91)</f>
        <v>0</v>
      </c>
      <c r="X611" s="168">
        <f>IF(ISERROR(Personalplanung!Q91/Monatsplanung!$E91*Monatsplanung!$L91),0,Personalplanung!Q91/Monatsplanung!$E91*Monatsplanung!$L91)</f>
        <v>0</v>
      </c>
      <c r="Y611" s="168">
        <f>IF(ISERROR(Personalplanung!R91/T1339*Stundencontrolling!T611),0,Personalplanung!R91/T1339*Stundencontrolling!T611)</f>
        <v>0</v>
      </c>
      <c r="Z611" s="168">
        <f>IF(ISERROR(Personalplanung!S91/Monatsplanung!$E91*Monatsplanung!$L91),0,Personalplanung!S91/Monatsplanung!$E91*Monatsplanung!$L91)</f>
        <v>0</v>
      </c>
      <c r="AA611" s="80">
        <f t="shared" si="186"/>
        <v>0</v>
      </c>
      <c r="AB611" s="102">
        <f t="shared" si="187"/>
        <v>0.1</v>
      </c>
      <c r="AC611" s="103">
        <f t="shared" si="188"/>
        <v>0</v>
      </c>
      <c r="AD611" s="103">
        <f t="shared" si="189"/>
        <v>0</v>
      </c>
      <c r="AE611" s="81">
        <f t="shared" si="190"/>
        <v>0</v>
      </c>
      <c r="AF611" s="539"/>
      <c r="AG611" s="104">
        <f t="shared" si="191"/>
        <v>1</v>
      </c>
      <c r="AH611" s="7">
        <f t="shared" si="192"/>
        <v>0</v>
      </c>
      <c r="AI611" s="6">
        <f t="shared" si="193"/>
        <v>0</v>
      </c>
      <c r="AJ611" s="73">
        <f t="shared" si="194"/>
        <v>0</v>
      </c>
      <c r="AK611" s="539"/>
      <c r="AL611" s="748"/>
      <c r="AM611" s="748"/>
    </row>
    <row r="612" spans="2:39" x14ac:dyDescent="0.2">
      <c r="B612" s="101" t="str">
        <f t="shared" si="179"/>
        <v/>
      </c>
      <c r="C612" s="168">
        <f>IF(ISERROR(Personalplanung!F92/Monatsplanung!$E92*Monatsplanung!$L92),0,Personalplanung!F92/Monatsplanung!$E92*Monatsplanung!$L92)</f>
        <v>0</v>
      </c>
      <c r="D612" s="168">
        <f t="shared" si="180"/>
        <v>0</v>
      </c>
      <c r="E612" s="168">
        <f>IF(ISERROR(Personalplanung!H92/Monatsplanung!$E92*Monatsplanung!$L92),0,Personalplanung!H92/Monatsplanung!$E92*Monatsplanung!$L92)</f>
        <v>0</v>
      </c>
      <c r="F612" s="168">
        <f t="shared" si="181"/>
        <v>0</v>
      </c>
      <c r="G612" s="168">
        <f t="shared" si="182"/>
        <v>27.700831024930746</v>
      </c>
      <c r="H612" s="168">
        <f t="shared" si="183"/>
        <v>0</v>
      </c>
      <c r="I612" s="168">
        <f t="shared" si="184"/>
        <v>30</v>
      </c>
      <c r="J612" s="739"/>
      <c r="K612" s="168">
        <f>IF(J612&lt;&gt;"",J612,IF(ISERROR(Personalplanung!AB92/Monatsplanung!$E92*Monatsplanung!$L92),0,Personalplanung!AB92/Monatsplanung!$E92*Monatsplanung!$L92))</f>
        <v>0</v>
      </c>
      <c r="L612" s="740"/>
      <c r="M612" s="739"/>
      <c r="N612" s="168">
        <f>IF(M612&lt;&gt;"",M612,IF(ISERROR(Personalplanung!AC92/Monatsplanung!$E92*Monatsplanung!$L92),0,Personalplanung!AC92/Monatsplanung!$E92*Monatsplanung!$L92))</f>
        <v>0</v>
      </c>
      <c r="O612" s="740"/>
      <c r="P612" s="739"/>
      <c r="Q612" s="168">
        <f>IF(P612&lt;&gt;"",P612,IF(ISERROR(Personalplanung!AD92/Monatsplanung!$E92*Monatsplanung!$L92),0,Personalplanung!AD92/Monatsplanung!$E92*Monatsplanung!$L92))</f>
        <v>0</v>
      </c>
      <c r="R612" s="740"/>
      <c r="S612" s="739"/>
      <c r="T612" s="168">
        <f>IF(S612&lt;&gt;"",S612,IF(ISERROR(Personalplanung!AE92/Monatsplanung!$E92*Monatsplanung!$L92),0,Personalplanung!AE92/Monatsplanung!$E92*Monatsplanung!$L92))</f>
        <v>0</v>
      </c>
      <c r="U612" s="740"/>
      <c r="V612" s="168">
        <f t="shared" si="185"/>
        <v>0</v>
      </c>
      <c r="W612" s="168">
        <f>IF(ISERROR(Personalplanung!P92/Monatsplanung!$E92*Monatsplanung!$L92),0,Personalplanung!P92/Monatsplanung!$E92*Monatsplanung!$L92)</f>
        <v>0</v>
      </c>
      <c r="X612" s="168">
        <f>IF(ISERROR(Personalplanung!Q92/Monatsplanung!$E92*Monatsplanung!$L92),0,Personalplanung!Q92/Monatsplanung!$E92*Monatsplanung!$L92)</f>
        <v>0</v>
      </c>
      <c r="Y612" s="168">
        <f>IF(ISERROR(Personalplanung!R92/T1340*Stundencontrolling!T612),0,Personalplanung!R92/T1340*Stundencontrolling!T612)</f>
        <v>0</v>
      </c>
      <c r="Z612" s="168">
        <f>IF(ISERROR(Personalplanung!S92/Monatsplanung!$E92*Monatsplanung!$L92),0,Personalplanung!S92/Monatsplanung!$E92*Monatsplanung!$L92)</f>
        <v>0</v>
      </c>
      <c r="AA612" s="80">
        <f t="shared" si="186"/>
        <v>0</v>
      </c>
      <c r="AB612" s="102">
        <f t="shared" si="187"/>
        <v>0.1</v>
      </c>
      <c r="AC612" s="103">
        <f t="shared" si="188"/>
        <v>0</v>
      </c>
      <c r="AD612" s="103">
        <f t="shared" si="189"/>
        <v>0</v>
      </c>
      <c r="AE612" s="81">
        <f t="shared" si="190"/>
        <v>0</v>
      </c>
      <c r="AF612" s="539"/>
      <c r="AG612" s="104">
        <f t="shared" si="191"/>
        <v>1</v>
      </c>
      <c r="AH612" s="7">
        <f t="shared" si="192"/>
        <v>0</v>
      </c>
      <c r="AI612" s="6">
        <f t="shared" si="193"/>
        <v>0</v>
      </c>
      <c r="AJ612" s="73">
        <f t="shared" si="194"/>
        <v>0</v>
      </c>
      <c r="AK612" s="539"/>
      <c r="AL612" s="748"/>
      <c r="AM612" s="748"/>
    </row>
    <row r="613" spans="2:39" x14ac:dyDescent="0.2">
      <c r="B613" s="101" t="str">
        <f t="shared" si="179"/>
        <v/>
      </c>
      <c r="C613" s="168">
        <f>IF(ISERROR(Personalplanung!F93/Monatsplanung!$E93*Monatsplanung!$L93),0,Personalplanung!F93/Monatsplanung!$E93*Monatsplanung!$L93)</f>
        <v>0</v>
      </c>
      <c r="D613" s="168">
        <f t="shared" si="180"/>
        <v>0</v>
      </c>
      <c r="E613" s="168">
        <f>IF(ISERROR(Personalplanung!H93/Monatsplanung!$E93*Monatsplanung!$L93),0,Personalplanung!H93/Monatsplanung!$E93*Monatsplanung!$L93)</f>
        <v>0</v>
      </c>
      <c r="F613" s="168">
        <f t="shared" si="181"/>
        <v>0</v>
      </c>
      <c r="G613" s="168">
        <f t="shared" si="182"/>
        <v>27.700831024930746</v>
      </c>
      <c r="H613" s="168">
        <f t="shared" si="183"/>
        <v>0</v>
      </c>
      <c r="I613" s="168">
        <f t="shared" si="184"/>
        <v>30</v>
      </c>
      <c r="J613" s="739"/>
      <c r="K613" s="168">
        <f>IF(J613&lt;&gt;"",J613,IF(ISERROR(Personalplanung!AB93/Monatsplanung!$E93*Monatsplanung!$L93),0,Personalplanung!AB93/Monatsplanung!$E93*Monatsplanung!$L93))</f>
        <v>0</v>
      </c>
      <c r="L613" s="740"/>
      <c r="M613" s="739"/>
      <c r="N613" s="168">
        <f>IF(M613&lt;&gt;"",M613,IF(ISERROR(Personalplanung!AC93/Monatsplanung!$E93*Monatsplanung!$L93),0,Personalplanung!AC93/Monatsplanung!$E93*Monatsplanung!$L93))</f>
        <v>0</v>
      </c>
      <c r="O613" s="740"/>
      <c r="P613" s="739"/>
      <c r="Q613" s="168">
        <f>IF(P613&lt;&gt;"",P613,IF(ISERROR(Personalplanung!AD93/Monatsplanung!$E93*Monatsplanung!$L93),0,Personalplanung!AD93/Monatsplanung!$E93*Monatsplanung!$L93))</f>
        <v>0</v>
      </c>
      <c r="R613" s="740"/>
      <c r="S613" s="739"/>
      <c r="T613" s="168">
        <f>IF(S613&lt;&gt;"",S613,IF(ISERROR(Personalplanung!AE93/Monatsplanung!$E93*Monatsplanung!$L93),0,Personalplanung!AE93/Monatsplanung!$E93*Monatsplanung!$L93))</f>
        <v>0</v>
      </c>
      <c r="U613" s="740"/>
      <c r="V613" s="168">
        <f t="shared" si="185"/>
        <v>0</v>
      </c>
      <c r="W613" s="168">
        <f>IF(ISERROR(Personalplanung!P93/Monatsplanung!$E93*Monatsplanung!$L93),0,Personalplanung!P93/Monatsplanung!$E93*Monatsplanung!$L93)</f>
        <v>0</v>
      </c>
      <c r="X613" s="168">
        <f>IF(ISERROR(Personalplanung!Q93/Monatsplanung!$E93*Monatsplanung!$L93),0,Personalplanung!Q93/Monatsplanung!$E93*Monatsplanung!$L93)</f>
        <v>0</v>
      </c>
      <c r="Y613" s="168">
        <f>IF(ISERROR(Personalplanung!R93/T1341*Stundencontrolling!T613),0,Personalplanung!R93/T1341*Stundencontrolling!T613)</f>
        <v>0</v>
      </c>
      <c r="Z613" s="168">
        <f>IF(ISERROR(Personalplanung!S93/Monatsplanung!$E93*Monatsplanung!$L93),0,Personalplanung!S93/Monatsplanung!$E93*Monatsplanung!$L93)</f>
        <v>0</v>
      </c>
      <c r="AA613" s="80">
        <f t="shared" si="186"/>
        <v>0</v>
      </c>
      <c r="AB613" s="102">
        <f t="shared" si="187"/>
        <v>0.1</v>
      </c>
      <c r="AC613" s="103">
        <f t="shared" si="188"/>
        <v>0</v>
      </c>
      <c r="AD613" s="103">
        <f t="shared" si="189"/>
        <v>0</v>
      </c>
      <c r="AE613" s="81">
        <f t="shared" si="190"/>
        <v>0</v>
      </c>
      <c r="AF613" s="539"/>
      <c r="AG613" s="104">
        <f t="shared" si="191"/>
        <v>1</v>
      </c>
      <c r="AH613" s="7">
        <f t="shared" si="192"/>
        <v>0</v>
      </c>
      <c r="AI613" s="6">
        <f t="shared" si="193"/>
        <v>0</v>
      </c>
      <c r="AJ613" s="73">
        <f t="shared" si="194"/>
        <v>0</v>
      </c>
      <c r="AK613" s="539"/>
      <c r="AL613" s="748"/>
      <c r="AM613" s="748"/>
    </row>
    <row r="614" spans="2:39" x14ac:dyDescent="0.2">
      <c r="B614" s="101" t="str">
        <f t="shared" si="179"/>
        <v/>
      </c>
      <c r="C614" s="168">
        <f>IF(ISERROR(Personalplanung!F94/Monatsplanung!$E94*Monatsplanung!$L94),0,Personalplanung!F94/Monatsplanung!$E94*Monatsplanung!$L94)</f>
        <v>0</v>
      </c>
      <c r="D614" s="168">
        <f t="shared" si="180"/>
        <v>0</v>
      </c>
      <c r="E614" s="168">
        <f>IF(ISERROR(Personalplanung!H94/Monatsplanung!$E94*Monatsplanung!$L94),0,Personalplanung!H94/Monatsplanung!$E94*Monatsplanung!$L94)</f>
        <v>0</v>
      </c>
      <c r="F614" s="168">
        <f t="shared" si="181"/>
        <v>0</v>
      </c>
      <c r="G614" s="168">
        <f t="shared" si="182"/>
        <v>27.700831024930746</v>
      </c>
      <c r="H614" s="168">
        <f t="shared" si="183"/>
        <v>0</v>
      </c>
      <c r="I614" s="168">
        <f t="shared" si="184"/>
        <v>30</v>
      </c>
      <c r="J614" s="739"/>
      <c r="K614" s="168">
        <f>IF(J614&lt;&gt;"",J614,IF(ISERROR(Personalplanung!AB94/Monatsplanung!$E94*Monatsplanung!$L94),0,Personalplanung!AB94/Monatsplanung!$E94*Monatsplanung!$L94))</f>
        <v>0</v>
      </c>
      <c r="L614" s="740"/>
      <c r="M614" s="739"/>
      <c r="N614" s="168">
        <f>IF(M614&lt;&gt;"",M614,IF(ISERROR(Personalplanung!AC94/Monatsplanung!$E94*Monatsplanung!$L94),0,Personalplanung!AC94/Monatsplanung!$E94*Monatsplanung!$L94))</f>
        <v>0</v>
      </c>
      <c r="O614" s="740"/>
      <c r="P614" s="739"/>
      <c r="Q614" s="168">
        <f>IF(P614&lt;&gt;"",P614,IF(ISERROR(Personalplanung!AD94/Monatsplanung!$E94*Monatsplanung!$L94),0,Personalplanung!AD94/Monatsplanung!$E94*Monatsplanung!$L94))</f>
        <v>0</v>
      </c>
      <c r="R614" s="740"/>
      <c r="S614" s="739"/>
      <c r="T614" s="168">
        <f>IF(S614&lt;&gt;"",S614,IF(ISERROR(Personalplanung!AE94/Monatsplanung!$E94*Monatsplanung!$L94),0,Personalplanung!AE94/Monatsplanung!$E94*Monatsplanung!$L94))</f>
        <v>0</v>
      </c>
      <c r="U614" s="740"/>
      <c r="V614" s="168">
        <f t="shared" si="185"/>
        <v>0</v>
      </c>
      <c r="W614" s="168">
        <f>IF(ISERROR(Personalplanung!P94/Monatsplanung!$E94*Monatsplanung!$L94),0,Personalplanung!P94/Monatsplanung!$E94*Monatsplanung!$L94)</f>
        <v>0</v>
      </c>
      <c r="X614" s="168">
        <f>IF(ISERROR(Personalplanung!Q94/Monatsplanung!$E94*Monatsplanung!$L94),0,Personalplanung!Q94/Monatsplanung!$E94*Monatsplanung!$L94)</f>
        <v>0</v>
      </c>
      <c r="Y614" s="168">
        <f>IF(ISERROR(Personalplanung!R94/T1342*Stundencontrolling!T614),0,Personalplanung!R94/T1342*Stundencontrolling!T614)</f>
        <v>0</v>
      </c>
      <c r="Z614" s="168">
        <f>IF(ISERROR(Personalplanung!S94/Monatsplanung!$E94*Monatsplanung!$L94),0,Personalplanung!S94/Monatsplanung!$E94*Monatsplanung!$L94)</f>
        <v>0</v>
      </c>
      <c r="AA614" s="80">
        <f t="shared" si="186"/>
        <v>0</v>
      </c>
      <c r="AB614" s="102">
        <f t="shared" si="187"/>
        <v>0.1</v>
      </c>
      <c r="AC614" s="103">
        <f t="shared" si="188"/>
        <v>0</v>
      </c>
      <c r="AD614" s="103">
        <f t="shared" si="189"/>
        <v>0</v>
      </c>
      <c r="AE614" s="81">
        <f t="shared" si="190"/>
        <v>0</v>
      </c>
      <c r="AF614" s="539"/>
      <c r="AG614" s="104">
        <f t="shared" si="191"/>
        <v>1</v>
      </c>
      <c r="AH614" s="7">
        <f t="shared" si="192"/>
        <v>0</v>
      </c>
      <c r="AI614" s="6">
        <f t="shared" si="193"/>
        <v>0</v>
      </c>
      <c r="AJ614" s="73">
        <f t="shared" si="194"/>
        <v>0</v>
      </c>
      <c r="AK614" s="539"/>
      <c r="AL614" s="748"/>
      <c r="AM614" s="748"/>
    </row>
    <row r="615" spans="2:39" x14ac:dyDescent="0.2">
      <c r="B615" s="101" t="str">
        <f t="shared" si="179"/>
        <v/>
      </c>
      <c r="C615" s="168">
        <f>IF(ISERROR(Personalplanung!F95/Monatsplanung!$E95*Monatsplanung!$L95),0,Personalplanung!F95/Monatsplanung!$E95*Monatsplanung!$L95)</f>
        <v>0</v>
      </c>
      <c r="D615" s="168">
        <f t="shared" si="180"/>
        <v>0</v>
      </c>
      <c r="E615" s="168">
        <f>IF(ISERROR(Personalplanung!H95/Monatsplanung!$E95*Monatsplanung!$L95),0,Personalplanung!H95/Monatsplanung!$E95*Monatsplanung!$L95)</f>
        <v>0</v>
      </c>
      <c r="F615" s="168">
        <f t="shared" si="181"/>
        <v>0</v>
      </c>
      <c r="G615" s="168">
        <f t="shared" si="182"/>
        <v>27.700831024930746</v>
      </c>
      <c r="H615" s="168">
        <f t="shared" si="183"/>
        <v>0</v>
      </c>
      <c r="I615" s="168">
        <f t="shared" si="184"/>
        <v>30</v>
      </c>
      <c r="J615" s="739"/>
      <c r="K615" s="168">
        <f>IF(J615&lt;&gt;"",J615,IF(ISERROR(Personalplanung!AB95/Monatsplanung!$E95*Monatsplanung!$L95),0,Personalplanung!AB95/Monatsplanung!$E95*Monatsplanung!$L95))</f>
        <v>0</v>
      </c>
      <c r="L615" s="740"/>
      <c r="M615" s="739"/>
      <c r="N615" s="168">
        <f>IF(M615&lt;&gt;"",M615,IF(ISERROR(Personalplanung!AC95/Monatsplanung!$E95*Monatsplanung!$L95),0,Personalplanung!AC95/Monatsplanung!$E95*Monatsplanung!$L95))</f>
        <v>0</v>
      </c>
      <c r="O615" s="740"/>
      <c r="P615" s="739"/>
      <c r="Q615" s="168">
        <f>IF(P615&lt;&gt;"",P615,IF(ISERROR(Personalplanung!AD95/Monatsplanung!$E95*Monatsplanung!$L95),0,Personalplanung!AD95/Monatsplanung!$E95*Monatsplanung!$L95))</f>
        <v>0</v>
      </c>
      <c r="R615" s="740"/>
      <c r="S615" s="739"/>
      <c r="T615" s="168">
        <f>IF(S615&lt;&gt;"",S615,IF(ISERROR(Personalplanung!AE95/Monatsplanung!$E95*Monatsplanung!$L95),0,Personalplanung!AE95/Monatsplanung!$E95*Monatsplanung!$L95))</f>
        <v>0</v>
      </c>
      <c r="U615" s="740"/>
      <c r="V615" s="168">
        <f t="shared" si="185"/>
        <v>0</v>
      </c>
      <c r="W615" s="168">
        <f>IF(ISERROR(Personalplanung!P95/Monatsplanung!$E95*Monatsplanung!$L95),0,Personalplanung!P95/Monatsplanung!$E95*Monatsplanung!$L95)</f>
        <v>0</v>
      </c>
      <c r="X615" s="168">
        <f>IF(ISERROR(Personalplanung!Q95/Monatsplanung!$E95*Monatsplanung!$L95),0,Personalplanung!Q95/Monatsplanung!$E95*Monatsplanung!$L95)</f>
        <v>0</v>
      </c>
      <c r="Y615" s="168">
        <f>IF(ISERROR(Personalplanung!R95/T1343*Stundencontrolling!T615),0,Personalplanung!R95/T1343*Stundencontrolling!T615)</f>
        <v>0</v>
      </c>
      <c r="Z615" s="168">
        <f>IF(ISERROR(Personalplanung!S95/Monatsplanung!$E95*Monatsplanung!$L95),0,Personalplanung!S95/Monatsplanung!$E95*Monatsplanung!$L95)</f>
        <v>0</v>
      </c>
      <c r="AA615" s="80">
        <f t="shared" si="186"/>
        <v>0</v>
      </c>
      <c r="AB615" s="102">
        <f t="shared" si="187"/>
        <v>0.1</v>
      </c>
      <c r="AC615" s="103">
        <f t="shared" si="188"/>
        <v>0</v>
      </c>
      <c r="AD615" s="103">
        <f t="shared" si="189"/>
        <v>0</v>
      </c>
      <c r="AE615" s="81">
        <f t="shared" si="190"/>
        <v>0</v>
      </c>
      <c r="AF615" s="539"/>
      <c r="AG615" s="104">
        <f t="shared" si="191"/>
        <v>1</v>
      </c>
      <c r="AH615" s="7">
        <f t="shared" si="192"/>
        <v>0</v>
      </c>
      <c r="AI615" s="6">
        <f t="shared" si="193"/>
        <v>0</v>
      </c>
      <c r="AJ615" s="73">
        <f t="shared" si="194"/>
        <v>0</v>
      </c>
      <c r="AK615" s="539"/>
      <c r="AL615" s="748"/>
      <c r="AM615" s="748"/>
    </row>
    <row r="616" spans="2:39" x14ac:dyDescent="0.2">
      <c r="B616" s="101" t="str">
        <f t="shared" si="179"/>
        <v/>
      </c>
      <c r="C616" s="168">
        <f>IF(ISERROR(Personalplanung!F96/Monatsplanung!$E96*Monatsplanung!$L96),0,Personalplanung!F96/Monatsplanung!$E96*Monatsplanung!$L96)</f>
        <v>0</v>
      </c>
      <c r="D616" s="168">
        <f t="shared" si="180"/>
        <v>0</v>
      </c>
      <c r="E616" s="168">
        <f>IF(ISERROR(Personalplanung!H96/Monatsplanung!$E96*Monatsplanung!$L96),0,Personalplanung!H96/Monatsplanung!$E96*Monatsplanung!$L96)</f>
        <v>0</v>
      </c>
      <c r="F616" s="168">
        <f t="shared" si="181"/>
        <v>0</v>
      </c>
      <c r="G616" s="168">
        <f t="shared" si="182"/>
        <v>27.700831024930746</v>
      </c>
      <c r="H616" s="168">
        <f t="shared" si="183"/>
        <v>0</v>
      </c>
      <c r="I616" s="168">
        <f t="shared" si="184"/>
        <v>30</v>
      </c>
      <c r="J616" s="739"/>
      <c r="K616" s="168">
        <f>IF(J616&lt;&gt;"",J616,IF(ISERROR(Personalplanung!AB96/Monatsplanung!$E96*Monatsplanung!$L96),0,Personalplanung!AB96/Monatsplanung!$E96*Monatsplanung!$L96))</f>
        <v>0</v>
      </c>
      <c r="L616" s="740"/>
      <c r="M616" s="739"/>
      <c r="N616" s="168">
        <f>IF(M616&lt;&gt;"",M616,IF(ISERROR(Personalplanung!AC96/Monatsplanung!$E96*Monatsplanung!$L96),0,Personalplanung!AC96/Monatsplanung!$E96*Monatsplanung!$L96))</f>
        <v>0</v>
      </c>
      <c r="O616" s="740"/>
      <c r="P616" s="739"/>
      <c r="Q616" s="168">
        <f>IF(P616&lt;&gt;"",P616,IF(ISERROR(Personalplanung!AD96/Monatsplanung!$E96*Monatsplanung!$L96),0,Personalplanung!AD96/Monatsplanung!$E96*Monatsplanung!$L96))</f>
        <v>0</v>
      </c>
      <c r="R616" s="740"/>
      <c r="S616" s="739"/>
      <c r="T616" s="168">
        <f>IF(S616&lt;&gt;"",S616,IF(ISERROR(Personalplanung!AE96/Monatsplanung!$E96*Monatsplanung!$L96),0,Personalplanung!AE96/Monatsplanung!$E96*Monatsplanung!$L96))</f>
        <v>0</v>
      </c>
      <c r="U616" s="740"/>
      <c r="V616" s="168">
        <f t="shared" si="185"/>
        <v>0</v>
      </c>
      <c r="W616" s="168">
        <f>IF(ISERROR(Personalplanung!P96/Monatsplanung!$E96*Monatsplanung!$L96),0,Personalplanung!P96/Monatsplanung!$E96*Monatsplanung!$L96)</f>
        <v>0</v>
      </c>
      <c r="X616" s="168">
        <f>IF(ISERROR(Personalplanung!Q96/Monatsplanung!$E96*Monatsplanung!$L96),0,Personalplanung!Q96/Monatsplanung!$E96*Monatsplanung!$L96)</f>
        <v>0</v>
      </c>
      <c r="Y616" s="168">
        <f>IF(ISERROR(Personalplanung!R96/T1344*Stundencontrolling!T616),0,Personalplanung!R96/T1344*Stundencontrolling!T616)</f>
        <v>0</v>
      </c>
      <c r="Z616" s="168">
        <f>IF(ISERROR(Personalplanung!S96/Monatsplanung!$E96*Monatsplanung!$L96),0,Personalplanung!S96/Monatsplanung!$E96*Monatsplanung!$L96)</f>
        <v>0</v>
      </c>
      <c r="AA616" s="80">
        <f t="shared" si="186"/>
        <v>0</v>
      </c>
      <c r="AB616" s="102">
        <f t="shared" si="187"/>
        <v>0.1</v>
      </c>
      <c r="AC616" s="103">
        <f t="shared" si="188"/>
        <v>0</v>
      </c>
      <c r="AD616" s="103">
        <f t="shared" si="189"/>
        <v>0</v>
      </c>
      <c r="AE616" s="81">
        <f t="shared" si="190"/>
        <v>0</v>
      </c>
      <c r="AF616" s="539"/>
      <c r="AG616" s="104">
        <f t="shared" si="191"/>
        <v>1</v>
      </c>
      <c r="AH616" s="7">
        <f t="shared" si="192"/>
        <v>0</v>
      </c>
      <c r="AI616" s="6">
        <f t="shared" si="193"/>
        <v>0</v>
      </c>
      <c r="AJ616" s="73">
        <f t="shared" si="194"/>
        <v>0</v>
      </c>
      <c r="AK616" s="539"/>
      <c r="AL616" s="748"/>
      <c r="AM616" s="748"/>
    </row>
    <row r="617" spans="2:39" x14ac:dyDescent="0.2">
      <c r="B617" s="101" t="str">
        <f t="shared" si="179"/>
        <v/>
      </c>
      <c r="C617" s="168">
        <f>IF(ISERROR(Personalplanung!F97/Monatsplanung!$E97*Monatsplanung!$L97),0,Personalplanung!F97/Monatsplanung!$E97*Monatsplanung!$L97)</f>
        <v>0</v>
      </c>
      <c r="D617" s="168">
        <f t="shared" si="180"/>
        <v>0</v>
      </c>
      <c r="E617" s="168">
        <f>IF(ISERROR(Personalplanung!H97/Monatsplanung!$E97*Monatsplanung!$L97),0,Personalplanung!H97/Monatsplanung!$E97*Monatsplanung!$L97)</f>
        <v>0</v>
      </c>
      <c r="F617" s="168">
        <f t="shared" si="181"/>
        <v>0</v>
      </c>
      <c r="G617" s="168">
        <f t="shared" si="182"/>
        <v>27.700831024930746</v>
      </c>
      <c r="H617" s="168">
        <f t="shared" si="183"/>
        <v>0</v>
      </c>
      <c r="I617" s="168">
        <f t="shared" si="184"/>
        <v>30</v>
      </c>
      <c r="J617" s="739"/>
      <c r="K617" s="168">
        <f>IF(J617&lt;&gt;"",J617,IF(ISERROR(Personalplanung!AB97/Monatsplanung!$E97*Monatsplanung!$L97),0,Personalplanung!AB97/Monatsplanung!$E97*Monatsplanung!$L97))</f>
        <v>0</v>
      </c>
      <c r="L617" s="740"/>
      <c r="M617" s="739"/>
      <c r="N617" s="168">
        <f>IF(M617&lt;&gt;"",M617,IF(ISERROR(Personalplanung!AC97/Monatsplanung!$E97*Monatsplanung!$L97),0,Personalplanung!AC97/Monatsplanung!$E97*Monatsplanung!$L97))</f>
        <v>0</v>
      </c>
      <c r="O617" s="740"/>
      <c r="P617" s="739"/>
      <c r="Q617" s="168">
        <f>IF(P617&lt;&gt;"",P617,IF(ISERROR(Personalplanung!AD97/Monatsplanung!$E97*Monatsplanung!$L97),0,Personalplanung!AD97/Monatsplanung!$E97*Monatsplanung!$L97))</f>
        <v>0</v>
      </c>
      <c r="R617" s="740"/>
      <c r="S617" s="739"/>
      <c r="T617" s="168">
        <f>IF(S617&lt;&gt;"",S617,IF(ISERROR(Personalplanung!AE97/Monatsplanung!$E97*Monatsplanung!$L97),0,Personalplanung!AE97/Monatsplanung!$E97*Monatsplanung!$L97))</f>
        <v>0</v>
      </c>
      <c r="U617" s="740"/>
      <c r="V617" s="168">
        <f t="shared" si="185"/>
        <v>0</v>
      </c>
      <c r="W617" s="168">
        <f>IF(ISERROR(Personalplanung!P97/Monatsplanung!$E97*Monatsplanung!$L97),0,Personalplanung!P97/Monatsplanung!$E97*Monatsplanung!$L97)</f>
        <v>0</v>
      </c>
      <c r="X617" s="168">
        <f>IF(ISERROR(Personalplanung!Q97/Monatsplanung!$E97*Monatsplanung!$L97),0,Personalplanung!Q97/Monatsplanung!$E97*Monatsplanung!$L97)</f>
        <v>0</v>
      </c>
      <c r="Y617" s="168">
        <f>IF(ISERROR(Personalplanung!R97/T1345*Stundencontrolling!T617),0,Personalplanung!R97/T1345*Stundencontrolling!T617)</f>
        <v>0</v>
      </c>
      <c r="Z617" s="168">
        <f>IF(ISERROR(Personalplanung!S97/Monatsplanung!$E97*Monatsplanung!$L97),0,Personalplanung!S97/Monatsplanung!$E97*Monatsplanung!$L97)</f>
        <v>0</v>
      </c>
      <c r="AA617" s="80">
        <f t="shared" si="186"/>
        <v>0</v>
      </c>
      <c r="AB617" s="102">
        <f t="shared" si="187"/>
        <v>0.1</v>
      </c>
      <c r="AC617" s="103">
        <f t="shared" si="188"/>
        <v>0</v>
      </c>
      <c r="AD617" s="103">
        <f t="shared" si="189"/>
        <v>0</v>
      </c>
      <c r="AE617" s="81">
        <f t="shared" si="190"/>
        <v>0</v>
      </c>
      <c r="AF617" s="539"/>
      <c r="AG617" s="104">
        <f t="shared" si="191"/>
        <v>1</v>
      </c>
      <c r="AH617" s="7">
        <f t="shared" si="192"/>
        <v>0</v>
      </c>
      <c r="AI617" s="6">
        <f t="shared" si="193"/>
        <v>0</v>
      </c>
      <c r="AJ617" s="73">
        <f t="shared" si="194"/>
        <v>0</v>
      </c>
      <c r="AK617" s="539"/>
      <c r="AL617" s="748"/>
      <c r="AM617" s="748"/>
    </row>
    <row r="618" spans="2:39" x14ac:dyDescent="0.2">
      <c r="B618" s="101" t="str">
        <f t="shared" si="179"/>
        <v/>
      </c>
      <c r="C618" s="168">
        <f>IF(ISERROR(Personalplanung!F98/Monatsplanung!$E98*Monatsplanung!$L98),0,Personalplanung!F98/Monatsplanung!$E98*Monatsplanung!$L98)</f>
        <v>0</v>
      </c>
      <c r="D618" s="168">
        <f t="shared" si="180"/>
        <v>0</v>
      </c>
      <c r="E618" s="168">
        <f>IF(ISERROR(Personalplanung!H98/Monatsplanung!$E98*Monatsplanung!$L98),0,Personalplanung!H98/Monatsplanung!$E98*Monatsplanung!$L98)</f>
        <v>0</v>
      </c>
      <c r="F618" s="168">
        <f t="shared" si="181"/>
        <v>0</v>
      </c>
      <c r="G618" s="168">
        <f t="shared" si="182"/>
        <v>27.700831024930746</v>
      </c>
      <c r="H618" s="168">
        <f t="shared" si="183"/>
        <v>0</v>
      </c>
      <c r="I618" s="168">
        <f t="shared" si="184"/>
        <v>30</v>
      </c>
      <c r="J618" s="739"/>
      <c r="K618" s="168">
        <f>IF(J618&lt;&gt;"",J618,IF(ISERROR(Personalplanung!AB98/Monatsplanung!$E98*Monatsplanung!$L98),0,Personalplanung!AB98/Monatsplanung!$E98*Monatsplanung!$L98))</f>
        <v>0</v>
      </c>
      <c r="L618" s="740"/>
      <c r="M618" s="739"/>
      <c r="N618" s="168">
        <f>IF(M618&lt;&gt;"",M618,IF(ISERROR(Personalplanung!AC98/Monatsplanung!$E98*Monatsplanung!$L98),0,Personalplanung!AC98/Monatsplanung!$E98*Monatsplanung!$L98))</f>
        <v>0</v>
      </c>
      <c r="O618" s="740"/>
      <c r="P618" s="739"/>
      <c r="Q618" s="168">
        <f>IF(P618&lt;&gt;"",P618,IF(ISERROR(Personalplanung!AD98/Monatsplanung!$E98*Monatsplanung!$L98),0,Personalplanung!AD98/Monatsplanung!$E98*Monatsplanung!$L98))</f>
        <v>0</v>
      </c>
      <c r="R618" s="740"/>
      <c r="S618" s="739"/>
      <c r="T618" s="168">
        <f>IF(S618&lt;&gt;"",S618,IF(ISERROR(Personalplanung!AE98/Monatsplanung!$E98*Monatsplanung!$L98),0,Personalplanung!AE98/Monatsplanung!$E98*Monatsplanung!$L98))</f>
        <v>0</v>
      </c>
      <c r="U618" s="740"/>
      <c r="V618" s="168">
        <f t="shared" si="185"/>
        <v>0</v>
      </c>
      <c r="W618" s="168">
        <f>IF(ISERROR(Personalplanung!P98/Monatsplanung!$E98*Monatsplanung!$L98),0,Personalplanung!P98/Monatsplanung!$E98*Monatsplanung!$L98)</f>
        <v>0</v>
      </c>
      <c r="X618" s="168">
        <f>IF(ISERROR(Personalplanung!Q98/Monatsplanung!$E98*Monatsplanung!$L98),0,Personalplanung!Q98/Monatsplanung!$E98*Monatsplanung!$L98)</f>
        <v>0</v>
      </c>
      <c r="Y618" s="168">
        <f>IF(ISERROR(Personalplanung!R98/T1346*Stundencontrolling!T618),0,Personalplanung!R98/T1346*Stundencontrolling!T618)</f>
        <v>0</v>
      </c>
      <c r="Z618" s="168">
        <f>IF(ISERROR(Personalplanung!S98/Monatsplanung!$E98*Monatsplanung!$L98),0,Personalplanung!S98/Monatsplanung!$E98*Monatsplanung!$L98)</f>
        <v>0</v>
      </c>
      <c r="AA618" s="80">
        <f t="shared" si="186"/>
        <v>0</v>
      </c>
      <c r="AB618" s="102">
        <f t="shared" si="187"/>
        <v>0.1</v>
      </c>
      <c r="AC618" s="103">
        <f t="shared" si="188"/>
        <v>0</v>
      </c>
      <c r="AD618" s="103">
        <f t="shared" si="189"/>
        <v>0</v>
      </c>
      <c r="AE618" s="81">
        <f t="shared" si="190"/>
        <v>0</v>
      </c>
      <c r="AF618" s="539"/>
      <c r="AG618" s="104">
        <f t="shared" si="191"/>
        <v>1</v>
      </c>
      <c r="AH618" s="7">
        <f t="shared" si="192"/>
        <v>0</v>
      </c>
      <c r="AI618" s="6">
        <f t="shared" si="193"/>
        <v>0</v>
      </c>
      <c r="AJ618" s="73">
        <f t="shared" si="194"/>
        <v>0</v>
      </c>
      <c r="AK618" s="539"/>
      <c r="AL618" s="748"/>
      <c r="AM618" s="748"/>
    </row>
    <row r="619" spans="2:39" x14ac:dyDescent="0.2">
      <c r="B619" s="101" t="str">
        <f t="shared" si="179"/>
        <v/>
      </c>
      <c r="C619" s="168">
        <f>IF(ISERROR(Personalplanung!F99/Monatsplanung!$E99*Monatsplanung!$L99),0,Personalplanung!F99/Monatsplanung!$E99*Monatsplanung!$L99)</f>
        <v>0</v>
      </c>
      <c r="D619" s="168">
        <f t="shared" si="180"/>
        <v>0</v>
      </c>
      <c r="E619" s="168">
        <f>IF(ISERROR(Personalplanung!H99/Monatsplanung!$E99*Monatsplanung!$L99),0,Personalplanung!H99/Monatsplanung!$E99*Monatsplanung!$L99)</f>
        <v>0</v>
      </c>
      <c r="F619" s="168">
        <f t="shared" si="181"/>
        <v>0</v>
      </c>
      <c r="G619" s="168">
        <f t="shared" si="182"/>
        <v>27.700831024930746</v>
      </c>
      <c r="H619" s="168">
        <f t="shared" si="183"/>
        <v>0</v>
      </c>
      <c r="I619" s="168">
        <f t="shared" si="184"/>
        <v>30</v>
      </c>
      <c r="J619" s="739"/>
      <c r="K619" s="168">
        <f>IF(J619&lt;&gt;"",J619,IF(ISERROR(Personalplanung!AB99/Monatsplanung!$E99*Monatsplanung!$L99),0,Personalplanung!AB99/Monatsplanung!$E99*Monatsplanung!$L99))</f>
        <v>0</v>
      </c>
      <c r="L619" s="740"/>
      <c r="M619" s="739"/>
      <c r="N619" s="168">
        <f>IF(M619&lt;&gt;"",M619,IF(ISERROR(Personalplanung!AC99/Monatsplanung!$E99*Monatsplanung!$L99),0,Personalplanung!AC99/Monatsplanung!$E99*Monatsplanung!$L99))</f>
        <v>0</v>
      </c>
      <c r="O619" s="740"/>
      <c r="P619" s="739"/>
      <c r="Q619" s="168">
        <f>IF(P619&lt;&gt;"",P619,IF(ISERROR(Personalplanung!AD99/Monatsplanung!$E99*Monatsplanung!$L99),0,Personalplanung!AD99/Monatsplanung!$E99*Monatsplanung!$L99))</f>
        <v>0</v>
      </c>
      <c r="R619" s="740"/>
      <c r="S619" s="739"/>
      <c r="T619" s="168">
        <f>IF(S619&lt;&gt;"",S619,IF(ISERROR(Personalplanung!AE99/Monatsplanung!$E99*Monatsplanung!$L99),0,Personalplanung!AE99/Monatsplanung!$E99*Monatsplanung!$L99))</f>
        <v>0</v>
      </c>
      <c r="U619" s="740"/>
      <c r="V619" s="168">
        <f t="shared" si="185"/>
        <v>0</v>
      </c>
      <c r="W619" s="168">
        <f>IF(ISERROR(Personalplanung!P99/Monatsplanung!$E99*Monatsplanung!$L99),0,Personalplanung!P99/Monatsplanung!$E99*Monatsplanung!$L99)</f>
        <v>0</v>
      </c>
      <c r="X619" s="168">
        <f>IF(ISERROR(Personalplanung!Q99/Monatsplanung!$E99*Monatsplanung!$L99),0,Personalplanung!Q99/Monatsplanung!$E99*Monatsplanung!$L99)</f>
        <v>0</v>
      </c>
      <c r="Y619" s="168">
        <f>IF(ISERROR(Personalplanung!R99/T1347*Stundencontrolling!T619),0,Personalplanung!R99/T1347*Stundencontrolling!T619)</f>
        <v>0</v>
      </c>
      <c r="Z619" s="168">
        <f>IF(ISERROR(Personalplanung!S99/Monatsplanung!$E99*Monatsplanung!$L99),0,Personalplanung!S99/Monatsplanung!$E99*Monatsplanung!$L99)</f>
        <v>0</v>
      </c>
      <c r="AA619" s="80">
        <f t="shared" si="186"/>
        <v>0</v>
      </c>
      <c r="AB619" s="102">
        <f t="shared" si="187"/>
        <v>0.1</v>
      </c>
      <c r="AC619" s="103">
        <f t="shared" si="188"/>
        <v>0</v>
      </c>
      <c r="AD619" s="103">
        <f t="shared" si="189"/>
        <v>0</v>
      </c>
      <c r="AE619" s="81">
        <f t="shared" si="190"/>
        <v>0</v>
      </c>
      <c r="AF619" s="539"/>
      <c r="AG619" s="104">
        <f t="shared" si="191"/>
        <v>1</v>
      </c>
      <c r="AH619" s="7">
        <f t="shared" si="192"/>
        <v>0</v>
      </c>
      <c r="AI619" s="6">
        <f t="shared" si="193"/>
        <v>0</v>
      </c>
      <c r="AJ619" s="73">
        <f t="shared" si="194"/>
        <v>0</v>
      </c>
      <c r="AK619" s="539"/>
      <c r="AL619" s="748"/>
      <c r="AM619" s="748"/>
    </row>
    <row r="620" spans="2:39" x14ac:dyDescent="0.2">
      <c r="B620" s="101" t="str">
        <f t="shared" si="179"/>
        <v/>
      </c>
      <c r="C620" s="168">
        <f>IF(ISERROR(Personalplanung!F100/Monatsplanung!$E100*Monatsplanung!$L100),0,Personalplanung!F100/Monatsplanung!$E100*Monatsplanung!$L100)</f>
        <v>0</v>
      </c>
      <c r="D620" s="168">
        <f t="shared" si="180"/>
        <v>0</v>
      </c>
      <c r="E620" s="168">
        <f>IF(ISERROR(Personalplanung!H100/Monatsplanung!$E100*Monatsplanung!$L100),0,Personalplanung!H100/Monatsplanung!$E100*Monatsplanung!$L100)</f>
        <v>0</v>
      </c>
      <c r="F620" s="168">
        <f t="shared" si="181"/>
        <v>0</v>
      </c>
      <c r="G620" s="168">
        <f t="shared" si="182"/>
        <v>27.700831024930746</v>
      </c>
      <c r="H620" s="168">
        <f t="shared" si="183"/>
        <v>0</v>
      </c>
      <c r="I620" s="168">
        <f t="shared" si="184"/>
        <v>30</v>
      </c>
      <c r="J620" s="739"/>
      <c r="K620" s="168">
        <f>IF(J620&lt;&gt;"",J620,IF(ISERROR(Personalplanung!AB100/Monatsplanung!$E100*Monatsplanung!$L100),0,Personalplanung!AB100/Monatsplanung!$E100*Monatsplanung!$L100))</f>
        <v>0</v>
      </c>
      <c r="L620" s="740"/>
      <c r="M620" s="739"/>
      <c r="N620" s="168">
        <f>IF(M620&lt;&gt;"",M620,IF(ISERROR(Personalplanung!AC100/Monatsplanung!$E100*Monatsplanung!$L100),0,Personalplanung!AC100/Monatsplanung!$E100*Monatsplanung!$L100))</f>
        <v>0</v>
      </c>
      <c r="O620" s="740"/>
      <c r="P620" s="739"/>
      <c r="Q620" s="168">
        <f>IF(P620&lt;&gt;"",P620,IF(ISERROR(Personalplanung!AD100/Monatsplanung!$E100*Monatsplanung!$L100),0,Personalplanung!AD100/Monatsplanung!$E100*Monatsplanung!$L100))</f>
        <v>0</v>
      </c>
      <c r="R620" s="740"/>
      <c r="S620" s="739"/>
      <c r="T620" s="168">
        <f>IF(S620&lt;&gt;"",S620,IF(ISERROR(Personalplanung!AE100/Monatsplanung!$E100*Monatsplanung!$L100),0,Personalplanung!AE100/Monatsplanung!$E100*Monatsplanung!$L100))</f>
        <v>0</v>
      </c>
      <c r="U620" s="740"/>
      <c r="V620" s="168">
        <f t="shared" si="185"/>
        <v>0</v>
      </c>
      <c r="W620" s="168">
        <f>IF(ISERROR(Personalplanung!P100/Monatsplanung!$E100*Monatsplanung!$L100),0,Personalplanung!P100/Monatsplanung!$E100*Monatsplanung!$L100)</f>
        <v>0</v>
      </c>
      <c r="X620" s="168">
        <f>IF(ISERROR(Personalplanung!Q100/Monatsplanung!$E100*Monatsplanung!$L100),0,Personalplanung!Q100/Monatsplanung!$E100*Monatsplanung!$L100)</f>
        <v>0</v>
      </c>
      <c r="Y620" s="168">
        <f>IF(ISERROR(Personalplanung!R100/T1348*Stundencontrolling!T620),0,Personalplanung!R100/T1348*Stundencontrolling!T620)</f>
        <v>0</v>
      </c>
      <c r="Z620" s="168">
        <f>IF(ISERROR(Personalplanung!S100/Monatsplanung!$E100*Monatsplanung!$L100),0,Personalplanung!S100/Monatsplanung!$E100*Monatsplanung!$L100)</f>
        <v>0</v>
      </c>
      <c r="AA620" s="80">
        <f t="shared" si="186"/>
        <v>0</v>
      </c>
      <c r="AB620" s="102">
        <f t="shared" si="187"/>
        <v>0.1</v>
      </c>
      <c r="AC620" s="103">
        <f t="shared" si="188"/>
        <v>0</v>
      </c>
      <c r="AD620" s="103">
        <f t="shared" si="189"/>
        <v>0</v>
      </c>
      <c r="AE620" s="81">
        <f t="shared" si="190"/>
        <v>0</v>
      </c>
      <c r="AF620" s="539"/>
      <c r="AG620" s="104">
        <f t="shared" si="191"/>
        <v>1</v>
      </c>
      <c r="AH620" s="7">
        <f t="shared" si="192"/>
        <v>0</v>
      </c>
      <c r="AI620" s="6">
        <f t="shared" si="193"/>
        <v>0</v>
      </c>
      <c r="AJ620" s="73">
        <f t="shared" si="194"/>
        <v>0</v>
      </c>
      <c r="AK620" s="539"/>
      <c r="AL620" s="748"/>
      <c r="AM620" s="748"/>
    </row>
    <row r="621" spans="2:39" x14ac:dyDescent="0.2">
      <c r="B621" s="101" t="str">
        <f t="shared" si="179"/>
        <v/>
      </c>
      <c r="C621" s="168">
        <f>IF(ISERROR(Personalplanung!F101/Monatsplanung!$E101*Monatsplanung!$L101),0,Personalplanung!F101/Monatsplanung!$E101*Monatsplanung!$L101)</f>
        <v>0</v>
      </c>
      <c r="D621" s="168">
        <f t="shared" si="180"/>
        <v>0</v>
      </c>
      <c r="E621" s="168">
        <f>IF(ISERROR(Personalplanung!H101/Monatsplanung!$E101*Monatsplanung!$L101),0,Personalplanung!H101/Monatsplanung!$E101*Monatsplanung!$L101)</f>
        <v>0</v>
      </c>
      <c r="F621" s="168">
        <f t="shared" si="181"/>
        <v>0</v>
      </c>
      <c r="G621" s="168">
        <f t="shared" si="182"/>
        <v>27.700831024930746</v>
      </c>
      <c r="H621" s="168">
        <f t="shared" si="183"/>
        <v>0</v>
      </c>
      <c r="I621" s="168">
        <f t="shared" si="184"/>
        <v>30</v>
      </c>
      <c r="J621" s="739"/>
      <c r="K621" s="168">
        <f>IF(J621&lt;&gt;"",J621,IF(ISERROR(Personalplanung!AB101/Monatsplanung!$E101*Monatsplanung!$L101),0,Personalplanung!AB101/Monatsplanung!$E101*Monatsplanung!$L101))</f>
        <v>0</v>
      </c>
      <c r="L621" s="740"/>
      <c r="M621" s="739"/>
      <c r="N621" s="168">
        <f>IF(M621&lt;&gt;"",M621,IF(ISERROR(Personalplanung!AC101/Monatsplanung!$E101*Monatsplanung!$L101),0,Personalplanung!AC101/Monatsplanung!$E101*Monatsplanung!$L101))</f>
        <v>0</v>
      </c>
      <c r="O621" s="740"/>
      <c r="P621" s="739"/>
      <c r="Q621" s="168">
        <f>IF(P621&lt;&gt;"",P621,IF(ISERROR(Personalplanung!AD101/Monatsplanung!$E101*Monatsplanung!$L101),0,Personalplanung!AD101/Monatsplanung!$E101*Monatsplanung!$L101))</f>
        <v>0</v>
      </c>
      <c r="R621" s="740"/>
      <c r="S621" s="739"/>
      <c r="T621" s="168">
        <f>IF(S621&lt;&gt;"",S621,IF(ISERROR(Personalplanung!AE101/Monatsplanung!$E101*Monatsplanung!$L101),0,Personalplanung!AE101/Monatsplanung!$E101*Monatsplanung!$L101))</f>
        <v>0</v>
      </c>
      <c r="U621" s="740"/>
      <c r="V621" s="168">
        <f t="shared" si="185"/>
        <v>0</v>
      </c>
      <c r="W621" s="168">
        <f>IF(ISERROR(Personalplanung!P101/Monatsplanung!$E101*Monatsplanung!$L101),0,Personalplanung!P101/Monatsplanung!$E101*Monatsplanung!$L101)</f>
        <v>0</v>
      </c>
      <c r="X621" s="168">
        <f>IF(ISERROR(Personalplanung!Q101/Monatsplanung!$E101*Monatsplanung!$L101),0,Personalplanung!Q101/Monatsplanung!$E101*Monatsplanung!$L101)</f>
        <v>0</v>
      </c>
      <c r="Y621" s="168">
        <f>IF(ISERROR(Personalplanung!R101/T1349*Stundencontrolling!T621),0,Personalplanung!R101/T1349*Stundencontrolling!T621)</f>
        <v>0</v>
      </c>
      <c r="Z621" s="168">
        <f>IF(ISERROR(Personalplanung!S101/Monatsplanung!$E101*Monatsplanung!$L101),0,Personalplanung!S101/Monatsplanung!$E101*Monatsplanung!$L101)</f>
        <v>0</v>
      </c>
      <c r="AA621" s="80">
        <f t="shared" si="186"/>
        <v>0</v>
      </c>
      <c r="AB621" s="102">
        <f t="shared" si="187"/>
        <v>0.1</v>
      </c>
      <c r="AC621" s="103">
        <f t="shared" si="188"/>
        <v>0</v>
      </c>
      <c r="AD621" s="103">
        <f t="shared" si="189"/>
        <v>0</v>
      </c>
      <c r="AE621" s="81">
        <f t="shared" si="190"/>
        <v>0</v>
      </c>
      <c r="AF621" s="539"/>
      <c r="AG621" s="104">
        <f t="shared" si="191"/>
        <v>1</v>
      </c>
      <c r="AH621" s="7">
        <f t="shared" si="192"/>
        <v>0</v>
      </c>
      <c r="AI621" s="6">
        <f t="shared" si="193"/>
        <v>0</v>
      </c>
      <c r="AJ621" s="73">
        <f t="shared" si="194"/>
        <v>0</v>
      </c>
      <c r="AK621" s="539"/>
      <c r="AL621" s="748"/>
      <c r="AM621" s="748"/>
    </row>
    <row r="622" spans="2:39" x14ac:dyDescent="0.2">
      <c r="B622" s="101" t="str">
        <f t="shared" si="179"/>
        <v/>
      </c>
      <c r="C622" s="168">
        <f>IF(ISERROR(Personalplanung!F102/Monatsplanung!$E102*Monatsplanung!$L102),0,Personalplanung!F102/Monatsplanung!$E102*Monatsplanung!$L102)</f>
        <v>0</v>
      </c>
      <c r="D622" s="168">
        <f t="shared" si="180"/>
        <v>0</v>
      </c>
      <c r="E622" s="168">
        <f>IF(ISERROR(Personalplanung!H102/Monatsplanung!$E102*Monatsplanung!$L102),0,Personalplanung!H102/Monatsplanung!$E102*Monatsplanung!$L102)</f>
        <v>0</v>
      </c>
      <c r="F622" s="168">
        <f t="shared" si="181"/>
        <v>0</v>
      </c>
      <c r="G622" s="168">
        <f t="shared" si="182"/>
        <v>27.700831024930746</v>
      </c>
      <c r="H622" s="168">
        <f t="shared" si="183"/>
        <v>0</v>
      </c>
      <c r="I622" s="168">
        <f t="shared" si="184"/>
        <v>30</v>
      </c>
      <c r="J622" s="739"/>
      <c r="K622" s="168">
        <f>IF(J622&lt;&gt;"",J622,IF(ISERROR(Personalplanung!AB102/Monatsplanung!$E102*Monatsplanung!$L102),0,Personalplanung!AB102/Monatsplanung!$E102*Monatsplanung!$L102))</f>
        <v>0</v>
      </c>
      <c r="L622" s="740"/>
      <c r="M622" s="739"/>
      <c r="N622" s="168">
        <f>IF(M622&lt;&gt;"",M622,IF(ISERROR(Personalplanung!AC102/Monatsplanung!$E102*Monatsplanung!$L102),0,Personalplanung!AC102/Monatsplanung!$E102*Monatsplanung!$L102))</f>
        <v>0</v>
      </c>
      <c r="O622" s="740"/>
      <c r="P622" s="739"/>
      <c r="Q622" s="168">
        <f>IF(P622&lt;&gt;"",P622,IF(ISERROR(Personalplanung!AD102/Monatsplanung!$E102*Monatsplanung!$L102),0,Personalplanung!AD102/Monatsplanung!$E102*Monatsplanung!$L102))</f>
        <v>0</v>
      </c>
      <c r="R622" s="740"/>
      <c r="S622" s="739"/>
      <c r="T622" s="168">
        <f>IF(S622&lt;&gt;"",S622,IF(ISERROR(Personalplanung!AE102/Monatsplanung!$E102*Monatsplanung!$L102),0,Personalplanung!AE102/Monatsplanung!$E102*Monatsplanung!$L102))</f>
        <v>0</v>
      </c>
      <c r="U622" s="740"/>
      <c r="V622" s="168">
        <f t="shared" si="185"/>
        <v>0</v>
      </c>
      <c r="W622" s="168">
        <f>IF(ISERROR(Personalplanung!P102/Monatsplanung!$E102*Monatsplanung!$L102),0,Personalplanung!P102/Monatsplanung!$E102*Monatsplanung!$L102)</f>
        <v>0</v>
      </c>
      <c r="X622" s="168">
        <f>IF(ISERROR(Personalplanung!Q102/Monatsplanung!$E102*Monatsplanung!$L102),0,Personalplanung!Q102/Monatsplanung!$E102*Monatsplanung!$L102)</f>
        <v>0</v>
      </c>
      <c r="Y622" s="168">
        <f>IF(ISERROR(Personalplanung!R102/T1350*Stundencontrolling!T622),0,Personalplanung!R102/T1350*Stundencontrolling!T622)</f>
        <v>0</v>
      </c>
      <c r="Z622" s="168">
        <f>IF(ISERROR(Personalplanung!S102/Monatsplanung!$E102*Monatsplanung!$L102),0,Personalplanung!S102/Monatsplanung!$E102*Monatsplanung!$L102)</f>
        <v>0</v>
      </c>
      <c r="AA622" s="80">
        <f t="shared" si="186"/>
        <v>0</v>
      </c>
      <c r="AB622" s="102">
        <f t="shared" si="187"/>
        <v>0.1</v>
      </c>
      <c r="AC622" s="103">
        <f t="shared" si="188"/>
        <v>0</v>
      </c>
      <c r="AD622" s="103">
        <f t="shared" si="189"/>
        <v>0</v>
      </c>
      <c r="AE622" s="81">
        <f t="shared" si="190"/>
        <v>0</v>
      </c>
      <c r="AF622" s="539"/>
      <c r="AG622" s="104">
        <f t="shared" si="191"/>
        <v>1</v>
      </c>
      <c r="AH622" s="7">
        <f t="shared" si="192"/>
        <v>0</v>
      </c>
      <c r="AI622" s="6">
        <f t="shared" si="193"/>
        <v>0</v>
      </c>
      <c r="AJ622" s="73">
        <f t="shared" si="194"/>
        <v>0</v>
      </c>
      <c r="AK622" s="539"/>
      <c r="AL622" s="748"/>
      <c r="AM622" s="748"/>
    </row>
    <row r="623" spans="2:39" x14ac:dyDescent="0.2">
      <c r="B623" s="101" t="str">
        <f t="shared" si="179"/>
        <v/>
      </c>
      <c r="C623" s="168">
        <f>IF(ISERROR(Personalplanung!F103/Monatsplanung!$E103*Monatsplanung!$L103),0,Personalplanung!F103/Monatsplanung!$E103*Monatsplanung!$L103)</f>
        <v>0</v>
      </c>
      <c r="D623" s="168">
        <f t="shared" si="180"/>
        <v>0</v>
      </c>
      <c r="E623" s="168">
        <f>IF(ISERROR(Personalplanung!H103/Monatsplanung!$E103*Monatsplanung!$L103),0,Personalplanung!H103/Monatsplanung!$E103*Monatsplanung!$L103)</f>
        <v>0</v>
      </c>
      <c r="F623" s="168">
        <f t="shared" si="181"/>
        <v>0</v>
      </c>
      <c r="G623" s="168">
        <f t="shared" si="182"/>
        <v>27.700831024930746</v>
      </c>
      <c r="H623" s="168">
        <f t="shared" si="183"/>
        <v>0</v>
      </c>
      <c r="I623" s="168">
        <f t="shared" si="184"/>
        <v>30</v>
      </c>
      <c r="J623" s="739"/>
      <c r="K623" s="168">
        <f>IF(J623&lt;&gt;"",J623,IF(ISERROR(Personalplanung!AB103/Monatsplanung!$E103*Monatsplanung!$L103),0,Personalplanung!AB103/Monatsplanung!$E103*Monatsplanung!$L103))</f>
        <v>0</v>
      </c>
      <c r="L623" s="740"/>
      <c r="M623" s="739"/>
      <c r="N623" s="168">
        <f>IF(M623&lt;&gt;"",M623,IF(ISERROR(Personalplanung!AC103/Monatsplanung!$E103*Monatsplanung!$L103),0,Personalplanung!AC103/Monatsplanung!$E103*Monatsplanung!$L103))</f>
        <v>0</v>
      </c>
      <c r="O623" s="740"/>
      <c r="P623" s="739"/>
      <c r="Q623" s="168">
        <f>IF(P623&lt;&gt;"",P623,IF(ISERROR(Personalplanung!AD103/Monatsplanung!$E103*Monatsplanung!$L103),0,Personalplanung!AD103/Monatsplanung!$E103*Monatsplanung!$L103))</f>
        <v>0</v>
      </c>
      <c r="R623" s="740"/>
      <c r="S623" s="739"/>
      <c r="T623" s="168">
        <f>IF(S623&lt;&gt;"",S623,IF(ISERROR(Personalplanung!AE103/Monatsplanung!$E103*Monatsplanung!$L103),0,Personalplanung!AE103/Monatsplanung!$E103*Monatsplanung!$L103))</f>
        <v>0</v>
      </c>
      <c r="U623" s="740"/>
      <c r="V623" s="168">
        <f t="shared" si="185"/>
        <v>0</v>
      </c>
      <c r="W623" s="168">
        <f>IF(ISERROR(Personalplanung!P103/Monatsplanung!$E103*Monatsplanung!$L103),0,Personalplanung!P103/Monatsplanung!$E103*Monatsplanung!$L103)</f>
        <v>0</v>
      </c>
      <c r="X623" s="168">
        <f>IF(ISERROR(Personalplanung!Q103/Monatsplanung!$E103*Monatsplanung!$L103),0,Personalplanung!Q103/Monatsplanung!$E103*Monatsplanung!$L103)</f>
        <v>0</v>
      </c>
      <c r="Y623" s="168">
        <f>IF(ISERROR(Personalplanung!R103/T1351*Stundencontrolling!T623),0,Personalplanung!R103/T1351*Stundencontrolling!T623)</f>
        <v>0</v>
      </c>
      <c r="Z623" s="168">
        <f>IF(ISERROR(Personalplanung!S103/Monatsplanung!$E103*Monatsplanung!$L103),0,Personalplanung!S103/Monatsplanung!$E103*Monatsplanung!$L103)</f>
        <v>0</v>
      </c>
      <c r="AA623" s="80">
        <f t="shared" si="186"/>
        <v>0</v>
      </c>
      <c r="AB623" s="102">
        <f t="shared" si="187"/>
        <v>0.1</v>
      </c>
      <c r="AC623" s="103">
        <f t="shared" si="188"/>
        <v>0</v>
      </c>
      <c r="AD623" s="103">
        <f t="shared" si="189"/>
        <v>0</v>
      </c>
      <c r="AE623" s="81">
        <f t="shared" si="190"/>
        <v>0</v>
      </c>
      <c r="AF623" s="539"/>
      <c r="AG623" s="104">
        <f t="shared" si="191"/>
        <v>1</v>
      </c>
      <c r="AH623" s="7">
        <f t="shared" si="192"/>
        <v>0</v>
      </c>
      <c r="AI623" s="6">
        <f t="shared" si="193"/>
        <v>0</v>
      </c>
      <c r="AJ623" s="73">
        <f t="shared" si="194"/>
        <v>0</v>
      </c>
      <c r="AK623" s="539"/>
      <c r="AL623" s="748"/>
      <c r="AM623" s="748"/>
    </row>
    <row r="624" spans="2:39" x14ac:dyDescent="0.2">
      <c r="B624" s="101" t="str">
        <f t="shared" si="179"/>
        <v/>
      </c>
      <c r="C624" s="168">
        <f>IF(ISERROR(Personalplanung!F104/Monatsplanung!$E104*Monatsplanung!$L104),0,Personalplanung!F104/Monatsplanung!$E104*Monatsplanung!$L104)</f>
        <v>0</v>
      </c>
      <c r="D624" s="168">
        <f t="shared" si="180"/>
        <v>0</v>
      </c>
      <c r="E624" s="168">
        <f>IF(ISERROR(Personalplanung!H104/Monatsplanung!$E104*Monatsplanung!$L104),0,Personalplanung!H104/Monatsplanung!$E104*Monatsplanung!$L104)</f>
        <v>0</v>
      </c>
      <c r="F624" s="168">
        <f t="shared" si="181"/>
        <v>0</v>
      </c>
      <c r="G624" s="168">
        <f t="shared" si="182"/>
        <v>27.700831024930746</v>
      </c>
      <c r="H624" s="168">
        <f t="shared" si="183"/>
        <v>0</v>
      </c>
      <c r="I624" s="168">
        <f t="shared" si="184"/>
        <v>30</v>
      </c>
      <c r="J624" s="739"/>
      <c r="K624" s="168">
        <f>IF(J624&lt;&gt;"",J624,IF(ISERROR(Personalplanung!AB104/Monatsplanung!$E104*Monatsplanung!$L104),0,Personalplanung!AB104/Monatsplanung!$E104*Monatsplanung!$L104))</f>
        <v>0</v>
      </c>
      <c r="L624" s="740"/>
      <c r="M624" s="739"/>
      <c r="N624" s="168">
        <f>IF(M624&lt;&gt;"",M624,IF(ISERROR(Personalplanung!AC104/Monatsplanung!$E104*Monatsplanung!$L104),0,Personalplanung!AC104/Monatsplanung!$E104*Monatsplanung!$L104))</f>
        <v>0</v>
      </c>
      <c r="O624" s="740"/>
      <c r="P624" s="739"/>
      <c r="Q624" s="168">
        <f>IF(P624&lt;&gt;"",P624,IF(ISERROR(Personalplanung!AD104/Monatsplanung!$E104*Monatsplanung!$L104),0,Personalplanung!AD104/Monatsplanung!$E104*Monatsplanung!$L104))</f>
        <v>0</v>
      </c>
      <c r="R624" s="740"/>
      <c r="S624" s="739"/>
      <c r="T624" s="168">
        <f>IF(S624&lt;&gt;"",S624,IF(ISERROR(Personalplanung!AE104/Monatsplanung!$E104*Monatsplanung!$L104),0,Personalplanung!AE104/Monatsplanung!$E104*Monatsplanung!$L104))</f>
        <v>0</v>
      </c>
      <c r="U624" s="740"/>
      <c r="V624" s="168">
        <f t="shared" si="185"/>
        <v>0</v>
      </c>
      <c r="W624" s="168">
        <f>IF(ISERROR(Personalplanung!P104/Monatsplanung!$E104*Monatsplanung!$L104),0,Personalplanung!P104/Monatsplanung!$E104*Monatsplanung!$L104)</f>
        <v>0</v>
      </c>
      <c r="X624" s="168">
        <f>IF(ISERROR(Personalplanung!Q104/Monatsplanung!$E104*Monatsplanung!$L104),0,Personalplanung!Q104/Monatsplanung!$E104*Monatsplanung!$L104)</f>
        <v>0</v>
      </c>
      <c r="Y624" s="168">
        <f>IF(ISERROR(Personalplanung!R104/T1352*Stundencontrolling!T624),0,Personalplanung!R104/T1352*Stundencontrolling!T624)</f>
        <v>0</v>
      </c>
      <c r="Z624" s="168">
        <f>IF(ISERROR(Personalplanung!S104/Monatsplanung!$E104*Monatsplanung!$L104),0,Personalplanung!S104/Monatsplanung!$E104*Monatsplanung!$L104)</f>
        <v>0</v>
      </c>
      <c r="AA624" s="80">
        <f t="shared" si="186"/>
        <v>0</v>
      </c>
      <c r="AB624" s="102">
        <f t="shared" si="187"/>
        <v>0.1</v>
      </c>
      <c r="AC624" s="103">
        <f t="shared" si="188"/>
        <v>0</v>
      </c>
      <c r="AD624" s="103">
        <f t="shared" si="189"/>
        <v>0</v>
      </c>
      <c r="AE624" s="81">
        <f t="shared" si="190"/>
        <v>0</v>
      </c>
      <c r="AF624" s="539"/>
      <c r="AG624" s="104">
        <f t="shared" si="191"/>
        <v>1</v>
      </c>
      <c r="AH624" s="7">
        <f t="shared" si="192"/>
        <v>0</v>
      </c>
      <c r="AI624" s="6">
        <f t="shared" si="193"/>
        <v>0</v>
      </c>
      <c r="AJ624" s="73">
        <f t="shared" si="194"/>
        <v>0</v>
      </c>
      <c r="AK624" s="539"/>
      <c r="AL624" s="748"/>
      <c r="AM624" s="748"/>
    </row>
    <row r="625" spans="2:39" x14ac:dyDescent="0.2">
      <c r="B625" s="101" t="str">
        <f t="shared" si="179"/>
        <v/>
      </c>
      <c r="C625" s="168">
        <f>IF(ISERROR(Personalplanung!F105/Monatsplanung!$E105*Monatsplanung!$L105),0,Personalplanung!F105/Monatsplanung!$E105*Monatsplanung!$L105)</f>
        <v>0</v>
      </c>
      <c r="D625" s="168">
        <f t="shared" si="180"/>
        <v>0</v>
      </c>
      <c r="E625" s="168">
        <f>IF(ISERROR(Personalplanung!H105/Monatsplanung!$E105*Monatsplanung!$L105),0,Personalplanung!H105/Monatsplanung!$E105*Monatsplanung!$L105)</f>
        <v>0</v>
      </c>
      <c r="F625" s="168">
        <f t="shared" si="181"/>
        <v>0</v>
      </c>
      <c r="G625" s="168">
        <f t="shared" si="182"/>
        <v>27.700831024930746</v>
      </c>
      <c r="H625" s="168">
        <f t="shared" si="183"/>
        <v>0</v>
      </c>
      <c r="I625" s="168">
        <f t="shared" si="184"/>
        <v>30</v>
      </c>
      <c r="J625" s="739"/>
      <c r="K625" s="168">
        <f>IF(J625&lt;&gt;"",J625,IF(ISERROR(Personalplanung!AB105/Monatsplanung!$E105*Monatsplanung!$L105),0,Personalplanung!AB105/Monatsplanung!$E105*Monatsplanung!$L105))</f>
        <v>0</v>
      </c>
      <c r="L625" s="740"/>
      <c r="M625" s="739"/>
      <c r="N625" s="168">
        <f>IF(M625&lt;&gt;"",M625,IF(ISERROR(Personalplanung!AC105/Monatsplanung!$E105*Monatsplanung!$L105),0,Personalplanung!AC105/Monatsplanung!$E105*Monatsplanung!$L105))</f>
        <v>0</v>
      </c>
      <c r="O625" s="740"/>
      <c r="P625" s="739"/>
      <c r="Q625" s="168">
        <f>IF(P625&lt;&gt;"",P625,IF(ISERROR(Personalplanung!AD105/Monatsplanung!$E105*Monatsplanung!$L105),0,Personalplanung!AD105/Monatsplanung!$E105*Monatsplanung!$L105))</f>
        <v>0</v>
      </c>
      <c r="R625" s="740"/>
      <c r="S625" s="739"/>
      <c r="T625" s="168">
        <f>IF(S625&lt;&gt;"",S625,IF(ISERROR(Personalplanung!AE105/Monatsplanung!$E105*Monatsplanung!$L105),0,Personalplanung!AE105/Monatsplanung!$E105*Monatsplanung!$L105))</f>
        <v>0</v>
      </c>
      <c r="U625" s="740"/>
      <c r="V625" s="168">
        <f t="shared" si="185"/>
        <v>0</v>
      </c>
      <c r="W625" s="168">
        <f>IF(ISERROR(Personalplanung!P105/Monatsplanung!$E105*Monatsplanung!$L105),0,Personalplanung!P105/Monatsplanung!$E105*Monatsplanung!$L105)</f>
        <v>0</v>
      </c>
      <c r="X625" s="168">
        <f>IF(ISERROR(Personalplanung!Q105/Monatsplanung!$E105*Monatsplanung!$L105),0,Personalplanung!Q105/Monatsplanung!$E105*Monatsplanung!$L105)</f>
        <v>0</v>
      </c>
      <c r="Y625" s="168">
        <f>IF(ISERROR(Personalplanung!R105/T1353*Stundencontrolling!T625),0,Personalplanung!R105/T1353*Stundencontrolling!T625)</f>
        <v>0</v>
      </c>
      <c r="Z625" s="168">
        <f>IF(ISERROR(Personalplanung!S105/Monatsplanung!$E105*Monatsplanung!$L105),0,Personalplanung!S105/Monatsplanung!$E105*Monatsplanung!$L105)</f>
        <v>0</v>
      </c>
      <c r="AA625" s="80">
        <f t="shared" si="186"/>
        <v>0</v>
      </c>
      <c r="AB625" s="102">
        <f t="shared" si="187"/>
        <v>0.1</v>
      </c>
      <c r="AC625" s="103">
        <f t="shared" si="188"/>
        <v>0</v>
      </c>
      <c r="AD625" s="103">
        <f t="shared" si="189"/>
        <v>0</v>
      </c>
      <c r="AE625" s="81">
        <f t="shared" si="190"/>
        <v>0</v>
      </c>
      <c r="AF625" s="539"/>
      <c r="AG625" s="104">
        <f t="shared" si="191"/>
        <v>1</v>
      </c>
      <c r="AH625" s="7">
        <f t="shared" si="192"/>
        <v>0</v>
      </c>
      <c r="AI625" s="6">
        <f t="shared" si="193"/>
        <v>0</v>
      </c>
      <c r="AJ625" s="73">
        <f t="shared" si="194"/>
        <v>0</v>
      </c>
      <c r="AK625" s="539"/>
      <c r="AL625" s="748"/>
      <c r="AM625" s="748"/>
    </row>
    <row r="626" spans="2:39" x14ac:dyDescent="0.2">
      <c r="B626" s="101" t="str">
        <f t="shared" si="179"/>
        <v/>
      </c>
      <c r="C626" s="168">
        <f>IF(ISERROR(Personalplanung!F106/Monatsplanung!$E106*Monatsplanung!$L106),0,Personalplanung!F106/Monatsplanung!$E106*Monatsplanung!$L106)</f>
        <v>0</v>
      </c>
      <c r="D626" s="168">
        <f t="shared" si="180"/>
        <v>0</v>
      </c>
      <c r="E626" s="168">
        <f>IF(ISERROR(Personalplanung!H106/Monatsplanung!$E106*Monatsplanung!$L106),0,Personalplanung!H106/Monatsplanung!$E106*Monatsplanung!$L106)</f>
        <v>0</v>
      </c>
      <c r="F626" s="168">
        <f t="shared" si="181"/>
        <v>0</v>
      </c>
      <c r="G626" s="168">
        <f t="shared" si="182"/>
        <v>27.700831024930746</v>
      </c>
      <c r="H626" s="168">
        <f t="shared" si="183"/>
        <v>0</v>
      </c>
      <c r="I626" s="168">
        <f t="shared" si="184"/>
        <v>30</v>
      </c>
      <c r="J626" s="739"/>
      <c r="K626" s="168">
        <f>IF(J626&lt;&gt;"",J626,IF(ISERROR(Personalplanung!AB106/Monatsplanung!$E106*Monatsplanung!$L106),0,Personalplanung!AB106/Monatsplanung!$E106*Monatsplanung!$L106))</f>
        <v>0</v>
      </c>
      <c r="L626" s="740"/>
      <c r="M626" s="739"/>
      <c r="N626" s="168">
        <f>IF(M626&lt;&gt;"",M626,IF(ISERROR(Personalplanung!AC106/Monatsplanung!$E106*Monatsplanung!$L106),0,Personalplanung!AC106/Monatsplanung!$E106*Monatsplanung!$L106))</f>
        <v>0</v>
      </c>
      <c r="O626" s="740"/>
      <c r="P626" s="739"/>
      <c r="Q626" s="168">
        <f>IF(P626&lt;&gt;"",P626,IF(ISERROR(Personalplanung!AD106/Monatsplanung!$E106*Monatsplanung!$L106),0,Personalplanung!AD106/Monatsplanung!$E106*Monatsplanung!$L106))</f>
        <v>0</v>
      </c>
      <c r="R626" s="740"/>
      <c r="S626" s="739"/>
      <c r="T626" s="168">
        <f>IF(S626&lt;&gt;"",S626,IF(ISERROR(Personalplanung!AE106/Monatsplanung!$E106*Monatsplanung!$L106),0,Personalplanung!AE106/Monatsplanung!$E106*Monatsplanung!$L106))</f>
        <v>0</v>
      </c>
      <c r="U626" s="740"/>
      <c r="V626" s="168">
        <f t="shared" si="185"/>
        <v>0</v>
      </c>
      <c r="W626" s="168">
        <f>IF(ISERROR(Personalplanung!P106/Monatsplanung!$E106*Monatsplanung!$L106),0,Personalplanung!P106/Monatsplanung!$E106*Monatsplanung!$L106)</f>
        <v>0</v>
      </c>
      <c r="X626" s="168">
        <f>IF(ISERROR(Personalplanung!Q106/Monatsplanung!$E106*Monatsplanung!$L106),0,Personalplanung!Q106/Monatsplanung!$E106*Monatsplanung!$L106)</f>
        <v>0</v>
      </c>
      <c r="Y626" s="168">
        <f>IF(ISERROR(Personalplanung!R106/T1354*Stundencontrolling!T626),0,Personalplanung!R106/T1354*Stundencontrolling!T626)</f>
        <v>0</v>
      </c>
      <c r="Z626" s="168">
        <f>IF(ISERROR(Personalplanung!S106/Monatsplanung!$E106*Monatsplanung!$L106),0,Personalplanung!S106/Monatsplanung!$E106*Monatsplanung!$L106)</f>
        <v>0</v>
      </c>
      <c r="AA626" s="80">
        <f t="shared" si="186"/>
        <v>0</v>
      </c>
      <c r="AB626" s="102">
        <f t="shared" si="187"/>
        <v>0.1</v>
      </c>
      <c r="AC626" s="103">
        <f t="shared" si="188"/>
        <v>0</v>
      </c>
      <c r="AD626" s="103">
        <f t="shared" si="189"/>
        <v>0</v>
      </c>
      <c r="AE626" s="81">
        <f t="shared" si="190"/>
        <v>0</v>
      </c>
      <c r="AF626" s="539"/>
      <c r="AG626" s="104">
        <f t="shared" si="191"/>
        <v>1</v>
      </c>
      <c r="AH626" s="7">
        <f t="shared" si="192"/>
        <v>0</v>
      </c>
      <c r="AI626" s="6">
        <f t="shared" si="193"/>
        <v>0</v>
      </c>
      <c r="AJ626" s="73">
        <f t="shared" si="194"/>
        <v>0</v>
      </c>
      <c r="AK626" s="539"/>
      <c r="AL626" s="748"/>
      <c r="AM626" s="748"/>
    </row>
    <row r="627" spans="2:39" x14ac:dyDescent="0.2">
      <c r="B627" s="500" t="s">
        <v>134</v>
      </c>
      <c r="C627" s="501">
        <f>+SUM(C526:C626)</f>
        <v>2444.6999999999998</v>
      </c>
      <c r="D627" s="501"/>
      <c r="E627" s="501">
        <f>+SUM(E526:E626)</f>
        <v>120.00000000000001</v>
      </c>
      <c r="F627" s="501">
        <f>+SUM(F526:F626)</f>
        <v>2564.6999999999998</v>
      </c>
      <c r="G627" s="501">
        <f>IF(ISERROR(+H627/F627),0,+H627/F627)</f>
        <v>27.700831024930743</v>
      </c>
      <c r="H627" s="501">
        <f>+SUM(H526:H626)</f>
        <v>71044.321329639875</v>
      </c>
      <c r="I627" s="501"/>
      <c r="J627" s="501"/>
      <c r="K627" s="501">
        <f t="shared" ref="K627:V627" si="195">+SUM(K526:K626)</f>
        <v>9.9166666666666661</v>
      </c>
      <c r="L627" s="501"/>
      <c r="M627" s="501"/>
      <c r="N627" s="501">
        <f>+SUM(N526:N626)</f>
        <v>1.25</v>
      </c>
      <c r="O627" s="501"/>
      <c r="P627" s="501"/>
      <c r="Q627" s="501">
        <f>+SUM(Q526:Q626)</f>
        <v>2.6666666666666665</v>
      </c>
      <c r="R627" s="501"/>
      <c r="S627" s="501"/>
      <c r="T627" s="501">
        <f>+SUM(T526:T626)</f>
        <v>32.666666666666671</v>
      </c>
      <c r="U627" s="501"/>
      <c r="V627" s="501">
        <f t="shared" si="195"/>
        <v>46.5</v>
      </c>
      <c r="W627" s="501">
        <f>+SUM(W526:W626)</f>
        <v>0</v>
      </c>
      <c r="X627" s="501">
        <f>+SUM(X526:X626)</f>
        <v>166.66666666666666</v>
      </c>
      <c r="Y627" s="501">
        <f>+SUM(Y526:Y626)</f>
        <v>66.666666666666657</v>
      </c>
      <c r="Z627" s="501">
        <f>+SUM(Z526:Z626)</f>
        <v>50</v>
      </c>
      <c r="AA627" s="503">
        <f>SUM(AA526:AA626)</f>
        <v>2202657.2945521697</v>
      </c>
      <c r="AB627" s="502">
        <f>+AC627/AA627</f>
        <v>9.9999999999999992E-2</v>
      </c>
      <c r="AC627" s="503">
        <f>SUM(AC526:AC626)</f>
        <v>220265.72945521696</v>
      </c>
      <c r="AD627" s="503">
        <f>SUM(AD526:AD626)</f>
        <v>1982391.5650969525</v>
      </c>
      <c r="AE627" s="504">
        <f>SUM(AE526:AE626)</f>
        <v>221.52333333333334</v>
      </c>
      <c r="AF627" s="504">
        <f>SUM(AF526:AF626)</f>
        <v>0</v>
      </c>
      <c r="AG627" s="505">
        <f>AI627/AE627</f>
        <v>1</v>
      </c>
      <c r="AH627" s="505">
        <f t="shared" si="161"/>
        <v>0</v>
      </c>
      <c r="AI627" s="504">
        <f>SUM(AI526:AI626)</f>
        <v>221.52333333333334</v>
      </c>
      <c r="AJ627" s="506">
        <f t="shared" si="162"/>
        <v>994.32292815753169</v>
      </c>
      <c r="AK627" s="504">
        <f>SUM(AK526:AK626)</f>
        <v>0</v>
      </c>
      <c r="AL627" s="747"/>
      <c r="AM627" s="506">
        <f>$AM$107</f>
        <v>75.851340181839646</v>
      </c>
    </row>
    <row r="628" spans="2:39" x14ac:dyDescent="0.2">
      <c r="B628" s="8"/>
      <c r="C628" s="8"/>
      <c r="D628" s="8"/>
      <c r="E628" s="8"/>
      <c r="F628" s="8"/>
      <c r="G628" s="8"/>
      <c r="H628" s="8"/>
      <c r="I628" s="737"/>
      <c r="J628" s="737"/>
      <c r="K628" s="8"/>
      <c r="L628" s="8"/>
      <c r="M628" s="737"/>
      <c r="N628" s="8"/>
      <c r="O628" s="8"/>
      <c r="P628" s="737"/>
      <c r="Q628" s="8"/>
      <c r="R628" s="8"/>
      <c r="S628" s="737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6"/>
      <c r="AF628" s="10"/>
      <c r="AG628" s="9"/>
      <c r="AH628" s="9"/>
      <c r="AI628" s="6"/>
      <c r="AJ628" s="10"/>
      <c r="AK628" s="10"/>
      <c r="AL628" s="10"/>
      <c r="AM628" s="74"/>
    </row>
    <row r="629" spans="2:39" x14ac:dyDescent="0.2">
      <c r="B629" s="500" t="s">
        <v>51</v>
      </c>
      <c r="C629" s="501"/>
      <c r="D629" s="501"/>
      <c r="E629" s="501"/>
      <c r="F629" s="501"/>
      <c r="G629" s="501"/>
      <c r="H629" s="501"/>
      <c r="I629" s="501"/>
      <c r="J629" s="501"/>
      <c r="K629" s="501"/>
      <c r="L629" s="501"/>
      <c r="M629" s="501"/>
      <c r="N629" s="501"/>
      <c r="O629" s="501"/>
      <c r="P629" s="501"/>
      <c r="Q629" s="501"/>
      <c r="R629" s="501"/>
      <c r="S629" s="501"/>
      <c r="T629" s="501"/>
      <c r="U629" s="501"/>
      <c r="V629" s="501"/>
      <c r="W629" s="501"/>
      <c r="X629" s="501"/>
      <c r="Y629" s="501"/>
      <c r="Z629" s="501"/>
      <c r="AA629" s="503"/>
      <c r="AB629" s="502"/>
      <c r="AC629" s="503"/>
      <c r="AD629" s="503"/>
      <c r="AE629" s="504"/>
      <c r="AF629" s="504"/>
      <c r="AG629" s="505"/>
      <c r="AH629" s="505"/>
      <c r="AI629" s="504"/>
      <c r="AJ629" s="506"/>
      <c r="AK629" s="504"/>
      <c r="AL629" s="504"/>
      <c r="AM629" s="506"/>
    </row>
    <row r="630" spans="2:39" x14ac:dyDescent="0.2">
      <c r="B630" s="101" t="str">
        <f>$B526</f>
        <v>Maxdivers Mustermann</v>
      </c>
      <c r="C630" s="168">
        <f>IF(ISERROR(Personalplanung!F6/Monatsplanung!$E6*Monatsplanung!$M6),0,Personalplanung!F6/Monatsplanung!$E6*Monatsplanung!$M6)</f>
        <v>174</v>
      </c>
      <c r="D630" s="168">
        <f>$D526</f>
        <v>8</v>
      </c>
      <c r="E630" s="168">
        <f>IF(ISERROR(Personalplanung!H6/Monatsplanung!$E6*Monatsplanung!$M6),0,Personalplanung!H6/Monatsplanung!$E6*Monatsplanung!$M6)</f>
        <v>66.666666666666671</v>
      </c>
      <c r="F630" s="168">
        <f>+C630+E630</f>
        <v>240.66666666666669</v>
      </c>
      <c r="G630" s="168">
        <f>$G$6</f>
        <v>27.700831024930746</v>
      </c>
      <c r="H630" s="168">
        <f>+F630*G630</f>
        <v>6666.666666666667</v>
      </c>
      <c r="I630" s="168">
        <f>$I$6</f>
        <v>30</v>
      </c>
      <c r="J630" s="739"/>
      <c r="K630" s="168">
        <f>IF(J630&lt;&gt;"",J630,IF(ISERROR(Personalplanung!AB6/Monatsplanung!$E6*Monatsplanung!$M6),0,Personalplanung!AB6/Monatsplanung!$E6*Monatsplanung!$M6))</f>
        <v>0.66666666666666663</v>
      </c>
      <c r="L630" s="740"/>
      <c r="M630" s="739"/>
      <c r="N630" s="168">
        <f>IF(M630&lt;&gt;"",M630,IF(ISERROR(Personalplanung!AC6/Monatsplanung!$E6*Monatsplanung!$M6),0,Personalplanung!AC6/Monatsplanung!$E6*Monatsplanung!$M6))</f>
        <v>0</v>
      </c>
      <c r="O630" s="740"/>
      <c r="P630" s="739"/>
      <c r="Q630" s="168">
        <f>IF(P630&lt;&gt;"",P630,IF(ISERROR(Personalplanung!AD6/Monatsplanung!$E6*Monatsplanung!$M6),0,Personalplanung!AD6/Monatsplanung!$E6*Monatsplanung!$M6))</f>
        <v>0.16666666666666666</v>
      </c>
      <c r="R630" s="740"/>
      <c r="S630" s="739"/>
      <c r="T630" s="168">
        <f>IF(S630&lt;&gt;"",S630,IF(ISERROR(Personalplanung!AE6/Monatsplanung!$E6*Monatsplanung!$M6),0,Personalplanung!AE6/Monatsplanung!$E6*Monatsplanung!$M6))</f>
        <v>1.25</v>
      </c>
      <c r="U630" s="740"/>
      <c r="V630" s="168">
        <f>K630+N630+Q630+T630</f>
        <v>2.083333333333333</v>
      </c>
      <c r="W630" s="168">
        <f>IF(ISERROR(Personalplanung!P6/Monatsplanung!$E6*Monatsplanung!$M6),0,Personalplanung!P6/Monatsplanung!$E6*Monatsplanung!$M6)</f>
        <v>0</v>
      </c>
      <c r="X630" s="168">
        <f>IF(ISERROR(Personalplanung!Q6/Monatsplanung!$E6*Monatsplanung!$M6),0,Personalplanung!Q6/Monatsplanung!$E6*Monatsplanung!$M6)</f>
        <v>0</v>
      </c>
      <c r="Y630" s="168">
        <f>IF(ISERROR(Personalplanung!R6/T1254*Stundencontrolling!T630),0,Personalplanung!R6/T1254*Stundencontrolling!T630)</f>
        <v>0</v>
      </c>
      <c r="Z630" s="168">
        <f>IF(ISERROR(Personalplanung!S6/Monatsplanung!$E6*Monatsplanung!$M6),0,Personalplanung!S6/Monatsplanung!$E6*Monatsplanung!$M6)</f>
        <v>0</v>
      </c>
      <c r="AA630" s="80">
        <f>+F630*G630*(1+I630)+SUM(W630:Z630)</f>
        <v>206666.66666666669</v>
      </c>
      <c r="AB630" s="102">
        <f>$AB$6</f>
        <v>0.1</v>
      </c>
      <c r="AC630" s="103">
        <f>AB630*AA630</f>
        <v>20666.666666666672</v>
      </c>
      <c r="AD630" s="103">
        <f>AA630-AC630</f>
        <v>186000</v>
      </c>
      <c r="AE630" s="81">
        <f>(F630-(V630*$D630))*AB630</f>
        <v>22.400000000000006</v>
      </c>
      <c r="AF630" s="539"/>
      <c r="AG630" s="104">
        <f>$AG$6</f>
        <v>1</v>
      </c>
      <c r="AH630" s="7">
        <f t="shared" ref="AH630:AH731" si="196">IF(ISERROR(AK630/AF630),0,AK630/AF630)</f>
        <v>0</v>
      </c>
      <c r="AI630" s="6">
        <f>AE630*AG630</f>
        <v>22.400000000000006</v>
      </c>
      <c r="AJ630" s="73">
        <f t="shared" ref="AJ630:AJ731" si="197">IF(ISERROR(+AC630/AI630),0,+AC630/AI630)</f>
        <v>922.61904761904759</v>
      </c>
      <c r="AK630" s="539"/>
      <c r="AL630" s="748"/>
      <c r="AM630" s="748"/>
    </row>
    <row r="631" spans="2:39" x14ac:dyDescent="0.2">
      <c r="B631" s="101" t="str">
        <f t="shared" ref="B631:B694" si="198">$B527</f>
        <v>Egon Kaufmann</v>
      </c>
      <c r="C631" s="168">
        <f>IF(ISERROR(Personalplanung!F7/Monatsplanung!$E7*Monatsplanung!$M7),0,Personalplanung!F7/Monatsplanung!$E7*Monatsplanung!$M7)</f>
        <v>174</v>
      </c>
      <c r="D631" s="168">
        <f t="shared" ref="D631:D694" si="199">$D527</f>
        <v>8</v>
      </c>
      <c r="E631" s="168">
        <f>IF(ISERROR(Personalplanung!H7/Monatsplanung!$E7*Monatsplanung!$M7),0,Personalplanung!H7/Monatsplanung!$E7*Monatsplanung!$M7)</f>
        <v>26.666666666666668</v>
      </c>
      <c r="F631" s="168">
        <f t="shared" ref="F631:F694" si="200">+C631+E631</f>
        <v>200.66666666666666</v>
      </c>
      <c r="G631" s="168">
        <f t="shared" ref="G631:G694" si="201">$G$6</f>
        <v>27.700831024930746</v>
      </c>
      <c r="H631" s="168">
        <f t="shared" ref="H631:H694" si="202">+F631*G631</f>
        <v>5558.6334256694363</v>
      </c>
      <c r="I631" s="168">
        <f t="shared" ref="I631:I694" si="203">$I$6</f>
        <v>30</v>
      </c>
      <c r="J631" s="739"/>
      <c r="K631" s="168">
        <f>IF(J631&lt;&gt;"",J631,IF(ISERROR(Personalplanung!AB7/Monatsplanung!$E7*Monatsplanung!$M7),0,Personalplanung!AB7/Monatsplanung!$E7*Monatsplanung!$M7))</f>
        <v>0.66666666666666663</v>
      </c>
      <c r="L631" s="740"/>
      <c r="M631" s="739"/>
      <c r="N631" s="168">
        <f>IF(M631&lt;&gt;"",M631,IF(ISERROR(Personalplanung!AC7/Monatsplanung!$E7*Monatsplanung!$M7),0,Personalplanung!AC7/Monatsplanung!$E7*Monatsplanung!$M7))</f>
        <v>0</v>
      </c>
      <c r="O631" s="740"/>
      <c r="P631" s="739"/>
      <c r="Q631" s="168">
        <f>IF(P631&lt;&gt;"",P631,IF(ISERROR(Personalplanung!AD7/Monatsplanung!$E7*Monatsplanung!$M7),0,Personalplanung!AD7/Monatsplanung!$E7*Monatsplanung!$M7))</f>
        <v>0.16666666666666666</v>
      </c>
      <c r="R631" s="740"/>
      <c r="S631" s="739"/>
      <c r="T631" s="168">
        <f>IF(S631&lt;&gt;"",S631,IF(ISERROR(Personalplanung!AE7/Monatsplanung!$E7*Monatsplanung!$M7),0,Personalplanung!AE7/Monatsplanung!$E7*Monatsplanung!$M7))</f>
        <v>2.1666666666666665</v>
      </c>
      <c r="U631" s="740"/>
      <c r="V631" s="168">
        <f t="shared" ref="V631:V694" si="204">K631+N631+Q631+T631</f>
        <v>3</v>
      </c>
      <c r="W631" s="168">
        <f>IF(ISERROR(Personalplanung!P7/Monatsplanung!$E7*Monatsplanung!$M7),0,Personalplanung!P7/Monatsplanung!$E7*Monatsplanung!$M7)</f>
        <v>0</v>
      </c>
      <c r="X631" s="168">
        <f>IF(ISERROR(Personalplanung!Q7/Monatsplanung!$E7*Monatsplanung!$M7),0,Personalplanung!Q7/Monatsplanung!$E7*Monatsplanung!$M7)</f>
        <v>0</v>
      </c>
      <c r="Y631" s="168">
        <f>IF(ISERROR(Personalplanung!R7/T1255*Stundencontrolling!T631),0,Personalplanung!R7/T1255*Stundencontrolling!T631)</f>
        <v>0</v>
      </c>
      <c r="Z631" s="168">
        <f>IF(ISERROR(Personalplanung!S7/Monatsplanung!$E7*Monatsplanung!$M7),0,Personalplanung!S7/Monatsplanung!$E7*Monatsplanung!$M7)</f>
        <v>0</v>
      </c>
      <c r="AA631" s="80">
        <f t="shared" ref="AA631:AA694" si="205">+F631*G631*(1+I631)+SUM(W631:Z631)</f>
        <v>172317.63619575254</v>
      </c>
      <c r="AB631" s="102">
        <f t="shared" ref="AB631:AB694" si="206">$AB$6</f>
        <v>0.1</v>
      </c>
      <c r="AC631" s="103">
        <f t="shared" ref="AC631:AC694" si="207">AB631*AA631</f>
        <v>17231.763619575253</v>
      </c>
      <c r="AD631" s="103">
        <f t="shared" ref="AD631:AD694" si="208">AA631-AC631</f>
        <v>155085.87257617729</v>
      </c>
      <c r="AE631" s="81">
        <f t="shared" ref="AE631:AE694" si="209">(F631-(V631*$D631))*AB631</f>
        <v>17.666666666666668</v>
      </c>
      <c r="AF631" s="539"/>
      <c r="AG631" s="104">
        <f t="shared" ref="AG631:AG694" si="210">$AG$6</f>
        <v>1</v>
      </c>
      <c r="AH631" s="7">
        <f t="shared" ref="AH631:AH694" si="211">IF(ISERROR(AK631/AF631),0,AK631/AF631)</f>
        <v>0</v>
      </c>
      <c r="AI631" s="6">
        <f t="shared" ref="AI631:AI694" si="212">AE631*AG631</f>
        <v>17.666666666666668</v>
      </c>
      <c r="AJ631" s="73">
        <f t="shared" ref="AJ631:AJ694" si="213">IF(ISERROR(+AC631/AI631),0,+AC631/AI631)</f>
        <v>975.382846391052</v>
      </c>
      <c r="AK631" s="539"/>
      <c r="AL631" s="748"/>
      <c r="AM631" s="748"/>
    </row>
    <row r="632" spans="2:39" x14ac:dyDescent="0.2">
      <c r="B632" s="101" t="str">
        <f t="shared" si="198"/>
        <v>Walter Meister</v>
      </c>
      <c r="C632" s="168">
        <f>IF(ISERROR(Personalplanung!F8/Monatsplanung!$E8*Monatsplanung!$M8),0,Personalplanung!F8/Monatsplanung!$E8*Monatsplanung!$M8)</f>
        <v>174</v>
      </c>
      <c r="D632" s="168">
        <f t="shared" si="199"/>
        <v>8</v>
      </c>
      <c r="E632" s="168">
        <f>IF(ISERROR(Personalplanung!H8/Monatsplanung!$E8*Monatsplanung!$M8),0,Personalplanung!H8/Monatsplanung!$E8*Monatsplanung!$M8)</f>
        <v>26.666666666666668</v>
      </c>
      <c r="F632" s="168">
        <f t="shared" si="200"/>
        <v>200.66666666666666</v>
      </c>
      <c r="G632" s="168">
        <f t="shared" si="201"/>
        <v>27.700831024930746</v>
      </c>
      <c r="H632" s="168">
        <f t="shared" si="202"/>
        <v>5558.6334256694363</v>
      </c>
      <c r="I632" s="168">
        <f t="shared" si="203"/>
        <v>30</v>
      </c>
      <c r="J632" s="739"/>
      <c r="K632" s="168">
        <f>IF(J632&lt;&gt;"",J632,IF(ISERROR(Personalplanung!AB8/Monatsplanung!$E8*Monatsplanung!$M8),0,Personalplanung!AB8/Monatsplanung!$E8*Monatsplanung!$M8))</f>
        <v>0.66666666666666663</v>
      </c>
      <c r="L632" s="740"/>
      <c r="M632" s="739"/>
      <c r="N632" s="168">
        <f>IF(M632&lt;&gt;"",M632,IF(ISERROR(Personalplanung!AC8/Monatsplanung!$E8*Monatsplanung!$M8),0,Personalplanung!AC8/Monatsplanung!$E8*Monatsplanung!$M8))</f>
        <v>8.3333333333333329E-2</v>
      </c>
      <c r="O632" s="740"/>
      <c r="P632" s="739"/>
      <c r="Q632" s="168">
        <f>IF(P632&lt;&gt;"",P632,IF(ISERROR(Personalplanung!AD8/Monatsplanung!$E8*Monatsplanung!$M8),0,Personalplanung!AD8/Monatsplanung!$E8*Monatsplanung!$M8))</f>
        <v>0.16666666666666666</v>
      </c>
      <c r="R632" s="740"/>
      <c r="S632" s="739"/>
      <c r="T632" s="168">
        <f>IF(S632&lt;&gt;"",S632,IF(ISERROR(Personalplanung!AE8/Monatsplanung!$E8*Monatsplanung!$M8),0,Personalplanung!AE8/Monatsplanung!$E8*Monatsplanung!$M8))</f>
        <v>2.1666666666666665</v>
      </c>
      <c r="U632" s="740"/>
      <c r="V632" s="168">
        <f t="shared" si="204"/>
        <v>3.083333333333333</v>
      </c>
      <c r="W632" s="168">
        <f>IF(ISERROR(Personalplanung!P8/Monatsplanung!$E8*Monatsplanung!$M8),0,Personalplanung!P8/Monatsplanung!$E8*Monatsplanung!$M8)</f>
        <v>0</v>
      </c>
      <c r="X632" s="168">
        <f>IF(ISERROR(Personalplanung!Q8/Monatsplanung!$E8*Monatsplanung!$M8),0,Personalplanung!Q8/Monatsplanung!$E8*Monatsplanung!$M8)</f>
        <v>0</v>
      </c>
      <c r="Y632" s="168">
        <f>IF(ISERROR(Personalplanung!R8/T1256*Stundencontrolling!T632),0,Personalplanung!R8/T1256*Stundencontrolling!T632)</f>
        <v>0</v>
      </c>
      <c r="Z632" s="168">
        <f>IF(ISERROR(Personalplanung!S8/Monatsplanung!$E8*Monatsplanung!$M8),0,Personalplanung!S8/Monatsplanung!$E8*Monatsplanung!$M8)</f>
        <v>0</v>
      </c>
      <c r="AA632" s="80">
        <f t="shared" si="205"/>
        <v>172317.63619575254</v>
      </c>
      <c r="AB632" s="102">
        <f t="shared" si="206"/>
        <v>0.1</v>
      </c>
      <c r="AC632" s="103">
        <f t="shared" si="207"/>
        <v>17231.763619575253</v>
      </c>
      <c r="AD632" s="103">
        <f t="shared" si="208"/>
        <v>155085.87257617729</v>
      </c>
      <c r="AE632" s="81">
        <f t="shared" si="209"/>
        <v>17.600000000000001</v>
      </c>
      <c r="AF632" s="539"/>
      <c r="AG632" s="104">
        <f t="shared" si="210"/>
        <v>1</v>
      </c>
      <c r="AH632" s="7">
        <f t="shared" si="211"/>
        <v>0</v>
      </c>
      <c r="AI632" s="6">
        <f t="shared" si="212"/>
        <v>17.600000000000001</v>
      </c>
      <c r="AJ632" s="73">
        <f t="shared" si="213"/>
        <v>979.07747838495743</v>
      </c>
      <c r="AK632" s="539"/>
      <c r="AL632" s="748"/>
      <c r="AM632" s="748"/>
    </row>
    <row r="633" spans="2:39" x14ac:dyDescent="0.2">
      <c r="B633" s="101" t="str">
        <f t="shared" si="198"/>
        <v>Tom in Technik</v>
      </c>
      <c r="C633" s="168">
        <f>IF(ISERROR(Personalplanung!F9/Monatsplanung!$E9*Monatsplanung!$M9),0,Personalplanung!F9/Monatsplanung!$E9*Monatsplanung!$M9)</f>
        <v>174</v>
      </c>
      <c r="D633" s="168">
        <f t="shared" si="199"/>
        <v>8</v>
      </c>
      <c r="E633" s="168">
        <f>IF(ISERROR(Personalplanung!H9/Monatsplanung!$E9*Monatsplanung!$M9),0,Personalplanung!H9/Monatsplanung!$E9*Monatsplanung!$M9)</f>
        <v>0</v>
      </c>
      <c r="F633" s="168">
        <f t="shared" si="200"/>
        <v>174</v>
      </c>
      <c r="G633" s="168">
        <f t="shared" si="201"/>
        <v>27.700831024930746</v>
      </c>
      <c r="H633" s="168">
        <f t="shared" si="202"/>
        <v>4819.9445983379501</v>
      </c>
      <c r="I633" s="168">
        <f t="shared" si="203"/>
        <v>30</v>
      </c>
      <c r="J633" s="739"/>
      <c r="K633" s="168">
        <f>IF(J633&lt;&gt;"",J633,IF(ISERROR(Personalplanung!AB9/Monatsplanung!$E9*Monatsplanung!$M9),0,Personalplanung!AB9/Monatsplanung!$E9*Monatsplanung!$M9))</f>
        <v>0.66666666666666663</v>
      </c>
      <c r="L633" s="740"/>
      <c r="M633" s="739"/>
      <c r="N633" s="168">
        <f>IF(M633&lt;&gt;"",M633,IF(ISERROR(Personalplanung!AC9/Monatsplanung!$E9*Monatsplanung!$M9),0,Personalplanung!AC9/Monatsplanung!$E9*Monatsplanung!$M9))</f>
        <v>0.16666666666666666</v>
      </c>
      <c r="O633" s="740"/>
      <c r="P633" s="739"/>
      <c r="Q633" s="168">
        <f>IF(P633&lt;&gt;"",P633,IF(ISERROR(Personalplanung!AD9/Monatsplanung!$E9*Monatsplanung!$M9),0,Personalplanung!AD9/Monatsplanung!$E9*Monatsplanung!$M9))</f>
        <v>0.16666666666666666</v>
      </c>
      <c r="R633" s="740"/>
      <c r="S633" s="739"/>
      <c r="T633" s="168">
        <f>IF(S633&lt;&gt;"",S633,IF(ISERROR(Personalplanung!AE9/Monatsplanung!$E9*Monatsplanung!$M9),0,Personalplanung!AE9/Monatsplanung!$E9*Monatsplanung!$M9))</f>
        <v>2.1666666666666665</v>
      </c>
      <c r="U633" s="740"/>
      <c r="V633" s="168">
        <f t="shared" si="204"/>
        <v>3.1666666666666665</v>
      </c>
      <c r="W633" s="168">
        <f>IF(ISERROR(Personalplanung!P9/Monatsplanung!$E9*Monatsplanung!$M9),0,Personalplanung!P9/Monatsplanung!$E9*Monatsplanung!$M9)</f>
        <v>0</v>
      </c>
      <c r="X633" s="168">
        <f>IF(ISERROR(Personalplanung!Q9/Monatsplanung!$E9*Monatsplanung!$M9),0,Personalplanung!Q9/Monatsplanung!$E9*Monatsplanung!$M9)</f>
        <v>0</v>
      </c>
      <c r="Y633" s="168">
        <f>IF(ISERROR(Personalplanung!R9/T1257*Stundencontrolling!T633),0,Personalplanung!R9/T1257*Stundencontrolling!T633)</f>
        <v>0</v>
      </c>
      <c r="Z633" s="168">
        <f>IF(ISERROR(Personalplanung!S9/Monatsplanung!$E9*Monatsplanung!$M9),0,Personalplanung!S9/Monatsplanung!$E9*Monatsplanung!$M9)</f>
        <v>0</v>
      </c>
      <c r="AA633" s="80">
        <f t="shared" si="205"/>
        <v>149418.28254847645</v>
      </c>
      <c r="AB633" s="102">
        <f t="shared" si="206"/>
        <v>0.1</v>
      </c>
      <c r="AC633" s="103">
        <f t="shared" si="207"/>
        <v>14941.828254847645</v>
      </c>
      <c r="AD633" s="103">
        <f t="shared" si="208"/>
        <v>134476.45429362881</v>
      </c>
      <c r="AE633" s="81">
        <f t="shared" si="209"/>
        <v>14.866666666666667</v>
      </c>
      <c r="AF633" s="539"/>
      <c r="AG633" s="104">
        <f t="shared" si="210"/>
        <v>1</v>
      </c>
      <c r="AH633" s="7">
        <f t="shared" si="211"/>
        <v>0</v>
      </c>
      <c r="AI633" s="6">
        <f t="shared" si="212"/>
        <v>14.866666666666667</v>
      </c>
      <c r="AJ633" s="73">
        <f t="shared" si="213"/>
        <v>1005.0557122094829</v>
      </c>
      <c r="AK633" s="539"/>
      <c r="AL633" s="748"/>
      <c r="AM633" s="748"/>
    </row>
    <row r="634" spans="2:39" x14ac:dyDescent="0.2">
      <c r="B634" s="101" t="str">
        <f t="shared" si="198"/>
        <v>Lola Rennt</v>
      </c>
      <c r="C634" s="168">
        <f>IF(ISERROR(Personalplanung!F10/Monatsplanung!$E10*Monatsplanung!$M10),0,Personalplanung!F10/Monatsplanung!$E10*Monatsplanung!$M10)</f>
        <v>174</v>
      </c>
      <c r="D634" s="168">
        <f t="shared" si="199"/>
        <v>8</v>
      </c>
      <c r="E634" s="168">
        <f>IF(ISERROR(Personalplanung!H10/Monatsplanung!$E10*Monatsplanung!$M10),0,Personalplanung!H10/Monatsplanung!$E10*Monatsplanung!$M10)</f>
        <v>0</v>
      </c>
      <c r="F634" s="168">
        <f t="shared" si="200"/>
        <v>174</v>
      </c>
      <c r="G634" s="168">
        <f t="shared" si="201"/>
        <v>27.700831024930746</v>
      </c>
      <c r="H634" s="168">
        <f t="shared" si="202"/>
        <v>4819.9445983379501</v>
      </c>
      <c r="I634" s="168">
        <f t="shared" si="203"/>
        <v>30</v>
      </c>
      <c r="J634" s="739"/>
      <c r="K634" s="168">
        <f>IF(J634&lt;&gt;"",J634,IF(ISERROR(Personalplanung!AB10/Monatsplanung!$E10*Monatsplanung!$M10),0,Personalplanung!AB10/Monatsplanung!$E10*Monatsplanung!$M10))</f>
        <v>0.66666666666666663</v>
      </c>
      <c r="L634" s="740"/>
      <c r="M634" s="739"/>
      <c r="N634" s="168">
        <f>IF(M634&lt;&gt;"",M634,IF(ISERROR(Personalplanung!AC10/Monatsplanung!$E10*Monatsplanung!$M10),0,Personalplanung!AC10/Monatsplanung!$E10*Monatsplanung!$M10))</f>
        <v>0</v>
      </c>
      <c r="O634" s="740"/>
      <c r="P634" s="739"/>
      <c r="Q634" s="168">
        <f>IF(P634&lt;&gt;"",P634,IF(ISERROR(Personalplanung!AD10/Monatsplanung!$E10*Monatsplanung!$M10),0,Personalplanung!AD10/Monatsplanung!$E10*Monatsplanung!$M10))</f>
        <v>0.16666666666666666</v>
      </c>
      <c r="R634" s="740"/>
      <c r="S634" s="739"/>
      <c r="T634" s="168">
        <f>IF(S634&lt;&gt;"",S634,IF(ISERROR(Personalplanung!AE10/Monatsplanung!$E10*Monatsplanung!$M10),0,Personalplanung!AE10/Monatsplanung!$E10*Monatsplanung!$M10))</f>
        <v>2.1666666666666665</v>
      </c>
      <c r="U634" s="740"/>
      <c r="V634" s="168">
        <f t="shared" si="204"/>
        <v>3</v>
      </c>
      <c r="W634" s="168">
        <f>IF(ISERROR(Personalplanung!P10/Monatsplanung!$E10*Monatsplanung!$M10),0,Personalplanung!P10/Monatsplanung!$E10*Monatsplanung!$M10)</f>
        <v>0</v>
      </c>
      <c r="X634" s="168">
        <f>IF(ISERROR(Personalplanung!Q10/Monatsplanung!$E10*Monatsplanung!$M10),0,Personalplanung!Q10/Monatsplanung!$E10*Monatsplanung!$M10)</f>
        <v>0</v>
      </c>
      <c r="Y634" s="168">
        <f>IF(ISERROR(Personalplanung!R10/T1258*Stundencontrolling!T634),0,Personalplanung!R10/T1258*Stundencontrolling!T634)</f>
        <v>0</v>
      </c>
      <c r="Z634" s="168">
        <f>IF(ISERROR(Personalplanung!S10/Monatsplanung!$E10*Monatsplanung!$M10),0,Personalplanung!S10/Monatsplanung!$E10*Monatsplanung!$M10)</f>
        <v>0</v>
      </c>
      <c r="AA634" s="80">
        <f t="shared" si="205"/>
        <v>149418.28254847645</v>
      </c>
      <c r="AB634" s="102">
        <f t="shared" si="206"/>
        <v>0.1</v>
      </c>
      <c r="AC634" s="103">
        <f t="shared" si="207"/>
        <v>14941.828254847645</v>
      </c>
      <c r="AD634" s="103">
        <f t="shared" si="208"/>
        <v>134476.45429362881</v>
      </c>
      <c r="AE634" s="81">
        <f t="shared" si="209"/>
        <v>15</v>
      </c>
      <c r="AF634" s="539"/>
      <c r="AG634" s="104">
        <f t="shared" si="210"/>
        <v>1</v>
      </c>
      <c r="AH634" s="7">
        <f t="shared" si="211"/>
        <v>0</v>
      </c>
      <c r="AI634" s="6">
        <f t="shared" si="212"/>
        <v>15</v>
      </c>
      <c r="AJ634" s="73">
        <f t="shared" si="213"/>
        <v>996.12188365650968</v>
      </c>
      <c r="AK634" s="539"/>
      <c r="AL634" s="748"/>
      <c r="AM634" s="748"/>
    </row>
    <row r="635" spans="2:39" x14ac:dyDescent="0.2">
      <c r="B635" s="101" t="str">
        <f t="shared" si="198"/>
        <v>Bier Lager</v>
      </c>
      <c r="C635" s="168">
        <f>IF(ISERROR(Personalplanung!F11/Monatsplanung!$E11*Monatsplanung!$M11),0,Personalplanung!F11/Monatsplanung!$E11*Monatsplanung!$M11)</f>
        <v>174</v>
      </c>
      <c r="D635" s="168">
        <f t="shared" si="199"/>
        <v>8</v>
      </c>
      <c r="E635" s="168">
        <f>IF(ISERROR(Personalplanung!H11/Monatsplanung!$E11*Monatsplanung!$M11),0,Personalplanung!H11/Monatsplanung!$E11*Monatsplanung!$M11)</f>
        <v>0</v>
      </c>
      <c r="F635" s="168">
        <f t="shared" si="200"/>
        <v>174</v>
      </c>
      <c r="G635" s="168">
        <f t="shared" si="201"/>
        <v>27.700831024930746</v>
      </c>
      <c r="H635" s="168">
        <f t="shared" si="202"/>
        <v>4819.9445983379501</v>
      </c>
      <c r="I635" s="168">
        <f t="shared" si="203"/>
        <v>30</v>
      </c>
      <c r="J635" s="739"/>
      <c r="K635" s="168">
        <f>IF(J635&lt;&gt;"",J635,IF(ISERROR(Personalplanung!AB11/Monatsplanung!$E11*Monatsplanung!$M11),0,Personalplanung!AB11/Monatsplanung!$E11*Monatsplanung!$M11))</f>
        <v>0.66666666666666663</v>
      </c>
      <c r="L635" s="740"/>
      <c r="M635" s="739"/>
      <c r="N635" s="168">
        <f>IF(M635&lt;&gt;"",M635,IF(ISERROR(Personalplanung!AC11/Monatsplanung!$E11*Monatsplanung!$M11),0,Personalplanung!AC11/Monatsplanung!$E11*Monatsplanung!$M11))</f>
        <v>0</v>
      </c>
      <c r="O635" s="740"/>
      <c r="P635" s="739"/>
      <c r="Q635" s="168">
        <f>IF(P635&lt;&gt;"",P635,IF(ISERROR(Personalplanung!AD11/Monatsplanung!$E11*Monatsplanung!$M11),0,Personalplanung!AD11/Monatsplanung!$E11*Monatsplanung!$M11))</f>
        <v>0.16666666666666666</v>
      </c>
      <c r="R635" s="740"/>
      <c r="S635" s="739"/>
      <c r="T635" s="168">
        <f>IF(S635&lt;&gt;"",S635,IF(ISERROR(Personalplanung!AE11/Monatsplanung!$E11*Monatsplanung!$M11),0,Personalplanung!AE11/Monatsplanung!$E11*Monatsplanung!$M11))</f>
        <v>2.1666666666666665</v>
      </c>
      <c r="U635" s="740"/>
      <c r="V635" s="168">
        <f t="shared" si="204"/>
        <v>3</v>
      </c>
      <c r="W635" s="168">
        <f>IF(ISERROR(Personalplanung!P11/Monatsplanung!$E11*Monatsplanung!$M11),0,Personalplanung!P11/Monatsplanung!$E11*Monatsplanung!$M11)</f>
        <v>0</v>
      </c>
      <c r="X635" s="168">
        <f>IF(ISERROR(Personalplanung!Q11/Monatsplanung!$E11*Monatsplanung!$M11),0,Personalplanung!Q11/Monatsplanung!$E11*Monatsplanung!$M11)</f>
        <v>0</v>
      </c>
      <c r="Y635" s="168">
        <f>IF(ISERROR(Personalplanung!R11/T1259*Stundencontrolling!T635),0,Personalplanung!R11/T1259*Stundencontrolling!T635)</f>
        <v>0</v>
      </c>
      <c r="Z635" s="168">
        <f>IF(ISERROR(Personalplanung!S11/Monatsplanung!$E11*Monatsplanung!$M11),0,Personalplanung!S11/Monatsplanung!$E11*Monatsplanung!$M11)</f>
        <v>0</v>
      </c>
      <c r="AA635" s="80">
        <f t="shared" si="205"/>
        <v>149418.28254847645</v>
      </c>
      <c r="AB635" s="102">
        <f t="shared" si="206"/>
        <v>0.1</v>
      </c>
      <c r="AC635" s="103">
        <f t="shared" si="207"/>
        <v>14941.828254847645</v>
      </c>
      <c r="AD635" s="103">
        <f t="shared" si="208"/>
        <v>134476.45429362881</v>
      </c>
      <c r="AE635" s="81">
        <f t="shared" si="209"/>
        <v>15</v>
      </c>
      <c r="AF635" s="539"/>
      <c r="AG635" s="104">
        <f t="shared" si="210"/>
        <v>1</v>
      </c>
      <c r="AH635" s="7">
        <f t="shared" si="211"/>
        <v>0</v>
      </c>
      <c r="AI635" s="6">
        <f t="shared" si="212"/>
        <v>15</v>
      </c>
      <c r="AJ635" s="73">
        <f t="shared" si="213"/>
        <v>996.12188365650968</v>
      </c>
      <c r="AK635" s="539"/>
      <c r="AL635" s="748"/>
      <c r="AM635" s="748"/>
    </row>
    <row r="636" spans="2:39" x14ac:dyDescent="0.2">
      <c r="B636" s="101" t="str">
        <f t="shared" si="198"/>
        <v>Heinrich vor Arbeit</v>
      </c>
      <c r="C636" s="168">
        <f>IF(ISERROR(Personalplanung!F12/Monatsplanung!$E12*Monatsplanung!$M12),0,Personalplanung!F12/Monatsplanung!$E12*Monatsplanung!$M12)</f>
        <v>174</v>
      </c>
      <c r="D636" s="168">
        <f t="shared" si="199"/>
        <v>8</v>
      </c>
      <c r="E636" s="168">
        <f>IF(ISERROR(Personalplanung!H12/Monatsplanung!$E12*Monatsplanung!$M12),0,Personalplanung!H12/Monatsplanung!$E12*Monatsplanung!$M12)</f>
        <v>0</v>
      </c>
      <c r="F636" s="168">
        <f t="shared" si="200"/>
        <v>174</v>
      </c>
      <c r="G636" s="168">
        <f t="shared" si="201"/>
        <v>27.700831024930746</v>
      </c>
      <c r="H636" s="168">
        <f t="shared" si="202"/>
        <v>4819.9445983379501</v>
      </c>
      <c r="I636" s="168">
        <f t="shared" si="203"/>
        <v>30</v>
      </c>
      <c r="J636" s="739"/>
      <c r="K636" s="168">
        <f>IF(J636&lt;&gt;"",J636,IF(ISERROR(Personalplanung!AB12/Monatsplanung!$E12*Monatsplanung!$M12),0,Personalplanung!AB12/Monatsplanung!$E12*Monatsplanung!$M12))</f>
        <v>0.66666666666666663</v>
      </c>
      <c r="L636" s="740"/>
      <c r="M636" s="739"/>
      <c r="N636" s="168">
        <f>IF(M636&lt;&gt;"",M636,IF(ISERROR(Personalplanung!AC12/Monatsplanung!$E12*Monatsplanung!$M12),0,Personalplanung!AC12/Monatsplanung!$E12*Monatsplanung!$M12))</f>
        <v>0</v>
      </c>
      <c r="O636" s="740"/>
      <c r="P636" s="739"/>
      <c r="Q636" s="168">
        <f>IF(P636&lt;&gt;"",P636,IF(ISERROR(Personalplanung!AD12/Monatsplanung!$E12*Monatsplanung!$M12),0,Personalplanung!AD12/Monatsplanung!$E12*Monatsplanung!$M12))</f>
        <v>0.16666666666666666</v>
      </c>
      <c r="R636" s="740"/>
      <c r="S636" s="739"/>
      <c r="T636" s="168">
        <f>IF(S636&lt;&gt;"",S636,IF(ISERROR(Personalplanung!AE12/Monatsplanung!$E12*Monatsplanung!$M12),0,Personalplanung!AE12/Monatsplanung!$E12*Monatsplanung!$M12))</f>
        <v>2.1666666666666665</v>
      </c>
      <c r="U636" s="740"/>
      <c r="V636" s="168">
        <f t="shared" si="204"/>
        <v>3</v>
      </c>
      <c r="W636" s="168">
        <f>IF(ISERROR(Personalplanung!P12/Monatsplanung!$E12*Monatsplanung!$M12),0,Personalplanung!P12/Monatsplanung!$E12*Monatsplanung!$M12)</f>
        <v>0</v>
      </c>
      <c r="X636" s="168">
        <f>IF(ISERROR(Personalplanung!Q12/Monatsplanung!$E12*Monatsplanung!$M12),0,Personalplanung!Q12/Monatsplanung!$E12*Monatsplanung!$M12)</f>
        <v>0</v>
      </c>
      <c r="Y636" s="168">
        <f>IF(ISERROR(Personalplanung!R12/T1260*Stundencontrolling!T636),0,Personalplanung!R12/T1260*Stundencontrolling!T636)</f>
        <v>0</v>
      </c>
      <c r="Z636" s="168">
        <f>IF(ISERROR(Personalplanung!S12/Monatsplanung!$E12*Monatsplanung!$M12),0,Personalplanung!S12/Monatsplanung!$E12*Monatsplanung!$M12)</f>
        <v>0</v>
      </c>
      <c r="AA636" s="80">
        <f t="shared" si="205"/>
        <v>149418.28254847645</v>
      </c>
      <c r="AB636" s="102">
        <f t="shared" si="206"/>
        <v>0.1</v>
      </c>
      <c r="AC636" s="103">
        <f t="shared" si="207"/>
        <v>14941.828254847645</v>
      </c>
      <c r="AD636" s="103">
        <f t="shared" si="208"/>
        <v>134476.45429362881</v>
      </c>
      <c r="AE636" s="81">
        <f t="shared" si="209"/>
        <v>15</v>
      </c>
      <c r="AF636" s="539"/>
      <c r="AG636" s="104">
        <f t="shared" si="210"/>
        <v>1</v>
      </c>
      <c r="AH636" s="7">
        <f t="shared" si="211"/>
        <v>0</v>
      </c>
      <c r="AI636" s="6">
        <f t="shared" si="212"/>
        <v>15</v>
      </c>
      <c r="AJ636" s="73">
        <f t="shared" si="213"/>
        <v>996.12188365650968</v>
      </c>
      <c r="AK636" s="539"/>
      <c r="AL636" s="748"/>
      <c r="AM636" s="748"/>
    </row>
    <row r="637" spans="2:39" x14ac:dyDescent="0.2">
      <c r="B637" s="101" t="str">
        <f t="shared" si="198"/>
        <v>Voller Geselle</v>
      </c>
      <c r="C637" s="168">
        <f>IF(ISERROR(Personalplanung!F13/Monatsplanung!$E13*Monatsplanung!$M13),0,Personalplanung!F13/Monatsplanung!$E13*Monatsplanung!$M13)</f>
        <v>174</v>
      </c>
      <c r="D637" s="168">
        <f t="shared" si="199"/>
        <v>8</v>
      </c>
      <c r="E637" s="168">
        <f>IF(ISERROR(Personalplanung!H13/Monatsplanung!$E13*Monatsplanung!$M13),0,Personalplanung!H13/Monatsplanung!$E13*Monatsplanung!$M13)</f>
        <v>0</v>
      </c>
      <c r="F637" s="168">
        <f t="shared" si="200"/>
        <v>174</v>
      </c>
      <c r="G637" s="168">
        <f t="shared" si="201"/>
        <v>27.700831024930746</v>
      </c>
      <c r="H637" s="168">
        <f t="shared" si="202"/>
        <v>4819.9445983379501</v>
      </c>
      <c r="I637" s="168">
        <f t="shared" si="203"/>
        <v>30</v>
      </c>
      <c r="J637" s="739"/>
      <c r="K637" s="168">
        <f>IF(J637&lt;&gt;"",J637,IF(ISERROR(Personalplanung!AB13/Monatsplanung!$E13*Monatsplanung!$M13),0,Personalplanung!AB13/Monatsplanung!$E13*Monatsplanung!$M13))</f>
        <v>0.66666666666666663</v>
      </c>
      <c r="L637" s="740"/>
      <c r="M637" s="739"/>
      <c r="N637" s="168">
        <f>IF(M637&lt;&gt;"",M637,IF(ISERROR(Personalplanung!AC13/Monatsplanung!$E13*Monatsplanung!$M13),0,Personalplanung!AC13/Monatsplanung!$E13*Monatsplanung!$M13))</f>
        <v>0.25</v>
      </c>
      <c r="O637" s="740"/>
      <c r="P637" s="739"/>
      <c r="Q637" s="168">
        <f>IF(P637&lt;&gt;"",P637,IF(ISERROR(Personalplanung!AD13/Monatsplanung!$E13*Monatsplanung!$M13),0,Personalplanung!AD13/Monatsplanung!$E13*Monatsplanung!$M13))</f>
        <v>0.16666666666666666</v>
      </c>
      <c r="R637" s="740"/>
      <c r="S637" s="739"/>
      <c r="T637" s="168">
        <f>IF(S637&lt;&gt;"",S637,IF(ISERROR(Personalplanung!AE13/Monatsplanung!$E13*Monatsplanung!$M13),0,Personalplanung!AE13/Monatsplanung!$E13*Monatsplanung!$M13))</f>
        <v>2.1666666666666665</v>
      </c>
      <c r="U637" s="740"/>
      <c r="V637" s="168">
        <f t="shared" si="204"/>
        <v>3.25</v>
      </c>
      <c r="W637" s="168">
        <f>IF(ISERROR(Personalplanung!P13/Monatsplanung!$E13*Monatsplanung!$M13),0,Personalplanung!P13/Monatsplanung!$E13*Monatsplanung!$M13)</f>
        <v>0</v>
      </c>
      <c r="X637" s="168">
        <f>IF(ISERROR(Personalplanung!Q13/Monatsplanung!$E13*Monatsplanung!$M13),0,Personalplanung!Q13/Monatsplanung!$E13*Monatsplanung!$M13)</f>
        <v>0</v>
      </c>
      <c r="Y637" s="168">
        <f>IF(ISERROR(Personalplanung!R13/T1261*Stundencontrolling!T637),0,Personalplanung!R13/T1261*Stundencontrolling!T637)</f>
        <v>0</v>
      </c>
      <c r="Z637" s="168">
        <f>IF(ISERROR(Personalplanung!S13/Monatsplanung!$E13*Monatsplanung!$M13),0,Personalplanung!S13/Monatsplanung!$E13*Monatsplanung!$M13)</f>
        <v>0</v>
      </c>
      <c r="AA637" s="80">
        <f t="shared" si="205"/>
        <v>149418.28254847645</v>
      </c>
      <c r="AB637" s="102">
        <f t="shared" si="206"/>
        <v>0.1</v>
      </c>
      <c r="AC637" s="103">
        <f t="shared" si="207"/>
        <v>14941.828254847645</v>
      </c>
      <c r="AD637" s="103">
        <f t="shared" si="208"/>
        <v>134476.45429362881</v>
      </c>
      <c r="AE637" s="81">
        <f t="shared" si="209"/>
        <v>14.8</v>
      </c>
      <c r="AF637" s="539"/>
      <c r="AG637" s="104">
        <f t="shared" si="210"/>
        <v>1</v>
      </c>
      <c r="AH637" s="7">
        <f t="shared" si="211"/>
        <v>0</v>
      </c>
      <c r="AI637" s="6">
        <f t="shared" si="212"/>
        <v>14.8</v>
      </c>
      <c r="AJ637" s="73">
        <f t="shared" si="213"/>
        <v>1009.5829901924084</v>
      </c>
      <c r="AK637" s="539"/>
      <c r="AL637" s="748"/>
      <c r="AM637" s="748"/>
    </row>
    <row r="638" spans="2:39" x14ac:dyDescent="0.2">
      <c r="B638" s="101" t="str">
        <f t="shared" si="198"/>
        <v>Thomas Fleißig</v>
      </c>
      <c r="C638" s="168">
        <f>IF(ISERROR(Personalplanung!F14/Monatsplanung!$E14*Monatsplanung!$M14),0,Personalplanung!F14/Monatsplanung!$E14*Monatsplanung!$M14)</f>
        <v>174</v>
      </c>
      <c r="D638" s="168">
        <f t="shared" si="199"/>
        <v>8</v>
      </c>
      <c r="E638" s="168">
        <f>IF(ISERROR(Personalplanung!H14/Monatsplanung!$E14*Monatsplanung!$M14),0,Personalplanung!H14/Monatsplanung!$E14*Monatsplanung!$M14)</f>
        <v>0</v>
      </c>
      <c r="F638" s="168">
        <f t="shared" si="200"/>
        <v>174</v>
      </c>
      <c r="G638" s="168">
        <f t="shared" si="201"/>
        <v>27.700831024930746</v>
      </c>
      <c r="H638" s="168">
        <f t="shared" si="202"/>
        <v>4819.9445983379501</v>
      </c>
      <c r="I638" s="168">
        <f t="shared" si="203"/>
        <v>30</v>
      </c>
      <c r="J638" s="739"/>
      <c r="K638" s="168">
        <f>IF(J638&lt;&gt;"",J638,IF(ISERROR(Personalplanung!AB14/Monatsplanung!$E14*Monatsplanung!$M14),0,Personalplanung!AB14/Monatsplanung!$E14*Monatsplanung!$M14))</f>
        <v>0.66666666666666663</v>
      </c>
      <c r="L638" s="740"/>
      <c r="M638" s="739"/>
      <c r="N638" s="168">
        <f>IF(M638&lt;&gt;"",M638,IF(ISERROR(Personalplanung!AC14/Monatsplanung!$E14*Monatsplanung!$M14),0,Personalplanung!AC14/Monatsplanung!$E14*Monatsplanung!$M14))</f>
        <v>0</v>
      </c>
      <c r="O638" s="740"/>
      <c r="P638" s="739"/>
      <c r="Q638" s="168">
        <f>IF(P638&lt;&gt;"",P638,IF(ISERROR(Personalplanung!AD14/Monatsplanung!$E14*Monatsplanung!$M14),0,Personalplanung!AD14/Monatsplanung!$E14*Monatsplanung!$M14))</f>
        <v>0.16666666666666666</v>
      </c>
      <c r="R638" s="740"/>
      <c r="S638" s="739"/>
      <c r="T638" s="168">
        <f>IF(S638&lt;&gt;"",S638,IF(ISERROR(Personalplanung!AE14/Monatsplanung!$E14*Monatsplanung!$M14),0,Personalplanung!AE14/Monatsplanung!$E14*Monatsplanung!$M14))</f>
        <v>2.1666666666666665</v>
      </c>
      <c r="U638" s="740"/>
      <c r="V638" s="168">
        <f t="shared" si="204"/>
        <v>3</v>
      </c>
      <c r="W638" s="168">
        <f>IF(ISERROR(Personalplanung!P14/Monatsplanung!$E14*Monatsplanung!$M14),0,Personalplanung!P14/Monatsplanung!$E14*Monatsplanung!$M14)</f>
        <v>0</v>
      </c>
      <c r="X638" s="168">
        <f>IF(ISERROR(Personalplanung!Q14/Monatsplanung!$E14*Monatsplanung!$M14),0,Personalplanung!Q14/Monatsplanung!$E14*Monatsplanung!$M14)</f>
        <v>166.66666666666666</v>
      </c>
      <c r="Y638" s="168">
        <f>IF(ISERROR(Personalplanung!R14/T1262*Stundencontrolling!T638),0,Personalplanung!R14/T1262*Stundencontrolling!T638)</f>
        <v>66.666666666666657</v>
      </c>
      <c r="Z638" s="168">
        <f>IF(ISERROR(Personalplanung!S14/Monatsplanung!$E14*Monatsplanung!$M14),0,Personalplanung!S14/Monatsplanung!$E14*Monatsplanung!$M14)</f>
        <v>50</v>
      </c>
      <c r="AA638" s="80">
        <f t="shared" si="205"/>
        <v>149701.61588180979</v>
      </c>
      <c r="AB638" s="102">
        <f t="shared" si="206"/>
        <v>0.1</v>
      </c>
      <c r="AC638" s="103">
        <f t="shared" si="207"/>
        <v>14970.161588180979</v>
      </c>
      <c r="AD638" s="103">
        <f t="shared" si="208"/>
        <v>134731.45429362881</v>
      </c>
      <c r="AE638" s="81">
        <f t="shared" si="209"/>
        <v>15</v>
      </c>
      <c r="AF638" s="539"/>
      <c r="AG638" s="104">
        <f t="shared" si="210"/>
        <v>1</v>
      </c>
      <c r="AH638" s="7">
        <f t="shared" si="211"/>
        <v>0</v>
      </c>
      <c r="AI638" s="6">
        <f t="shared" si="212"/>
        <v>15</v>
      </c>
      <c r="AJ638" s="73">
        <f t="shared" si="213"/>
        <v>998.01077254539859</v>
      </c>
      <c r="AK638" s="539"/>
      <c r="AL638" s="748"/>
      <c r="AM638" s="748"/>
    </row>
    <row r="639" spans="2:39" x14ac:dyDescent="0.2">
      <c r="B639" s="101" t="str">
        <f t="shared" si="198"/>
        <v>Facharbeiter</v>
      </c>
      <c r="C639" s="168">
        <f>IF(ISERROR(Personalplanung!F15/Monatsplanung!$E15*Monatsplanung!$M15),0,Personalplanung!F15/Monatsplanung!$E15*Monatsplanung!$M15)</f>
        <v>174</v>
      </c>
      <c r="D639" s="168">
        <f t="shared" si="199"/>
        <v>8</v>
      </c>
      <c r="E639" s="168">
        <f>IF(ISERROR(Personalplanung!H15/Monatsplanung!$E15*Monatsplanung!$M15),0,Personalplanung!H15/Monatsplanung!$E15*Monatsplanung!$M15)</f>
        <v>0</v>
      </c>
      <c r="F639" s="168">
        <f t="shared" si="200"/>
        <v>174</v>
      </c>
      <c r="G639" s="168">
        <f t="shared" si="201"/>
        <v>27.700831024930746</v>
      </c>
      <c r="H639" s="168">
        <f t="shared" si="202"/>
        <v>4819.9445983379501</v>
      </c>
      <c r="I639" s="168">
        <f t="shared" si="203"/>
        <v>30</v>
      </c>
      <c r="J639" s="739"/>
      <c r="K639" s="168">
        <f>IF(J639&lt;&gt;"",J639,IF(ISERROR(Personalplanung!AB15/Monatsplanung!$E15*Monatsplanung!$M15),0,Personalplanung!AB15/Monatsplanung!$E15*Monatsplanung!$M15))</f>
        <v>0.66666666666666663</v>
      </c>
      <c r="L639" s="740"/>
      <c r="M639" s="739"/>
      <c r="N639" s="168">
        <f>IF(M639&lt;&gt;"",M639,IF(ISERROR(Personalplanung!AC15/Monatsplanung!$E15*Monatsplanung!$M15),0,Personalplanung!AC15/Monatsplanung!$E15*Monatsplanung!$M15))</f>
        <v>0.16666666666666666</v>
      </c>
      <c r="O639" s="740"/>
      <c r="P639" s="739"/>
      <c r="Q639" s="168">
        <f>IF(P639&lt;&gt;"",P639,IF(ISERROR(Personalplanung!AD15/Monatsplanung!$E15*Monatsplanung!$M15),0,Personalplanung!AD15/Monatsplanung!$E15*Monatsplanung!$M15))</f>
        <v>0.41666666666666669</v>
      </c>
      <c r="R639" s="740"/>
      <c r="S639" s="739"/>
      <c r="T639" s="168">
        <f>IF(S639&lt;&gt;"",S639,IF(ISERROR(Personalplanung!AE15/Monatsplanung!$E15*Monatsplanung!$M15),0,Personalplanung!AE15/Monatsplanung!$E15*Monatsplanung!$M15))</f>
        <v>2.1666666666666665</v>
      </c>
      <c r="U639" s="740"/>
      <c r="V639" s="168">
        <f t="shared" si="204"/>
        <v>3.4166666666666665</v>
      </c>
      <c r="W639" s="168">
        <f>IF(ISERROR(Personalplanung!P15/Monatsplanung!$E15*Monatsplanung!$M15),0,Personalplanung!P15/Monatsplanung!$E15*Monatsplanung!$M15)</f>
        <v>0</v>
      </c>
      <c r="X639" s="168">
        <f>IF(ISERROR(Personalplanung!Q15/Monatsplanung!$E15*Monatsplanung!$M15),0,Personalplanung!Q15/Monatsplanung!$E15*Monatsplanung!$M15)</f>
        <v>0</v>
      </c>
      <c r="Y639" s="168">
        <f>IF(ISERROR(Personalplanung!R15/T1263*Stundencontrolling!T639),0,Personalplanung!R15/T1263*Stundencontrolling!T639)</f>
        <v>0</v>
      </c>
      <c r="Z639" s="168">
        <f>IF(ISERROR(Personalplanung!S15/Monatsplanung!$E15*Monatsplanung!$M15),0,Personalplanung!S15/Monatsplanung!$E15*Monatsplanung!$M15)</f>
        <v>0</v>
      </c>
      <c r="AA639" s="80">
        <f t="shared" si="205"/>
        <v>149418.28254847645</v>
      </c>
      <c r="AB639" s="102">
        <f t="shared" si="206"/>
        <v>0.1</v>
      </c>
      <c r="AC639" s="103">
        <f t="shared" si="207"/>
        <v>14941.828254847645</v>
      </c>
      <c r="AD639" s="103">
        <f t="shared" si="208"/>
        <v>134476.45429362881</v>
      </c>
      <c r="AE639" s="81">
        <f t="shared" si="209"/>
        <v>14.666666666666666</v>
      </c>
      <c r="AF639" s="539"/>
      <c r="AG639" s="104">
        <f t="shared" si="210"/>
        <v>1</v>
      </c>
      <c r="AH639" s="7">
        <f t="shared" si="211"/>
        <v>0</v>
      </c>
      <c r="AI639" s="6">
        <f t="shared" si="212"/>
        <v>14.666666666666666</v>
      </c>
      <c r="AJ639" s="73">
        <f t="shared" si="213"/>
        <v>1018.7610173759758</v>
      </c>
      <c r="AK639" s="539"/>
      <c r="AL639" s="748"/>
      <c r="AM639" s="748"/>
    </row>
    <row r="640" spans="2:39" x14ac:dyDescent="0.2">
      <c r="B640" s="101" t="str">
        <f t="shared" si="198"/>
        <v>Abgänger</v>
      </c>
      <c r="C640" s="168">
        <f>IF(ISERROR(Personalplanung!F16/Monatsplanung!$E16*Monatsplanung!$M16),0,Personalplanung!F16/Monatsplanung!$E16*Monatsplanung!$M16)</f>
        <v>0</v>
      </c>
      <c r="D640" s="168">
        <f t="shared" si="199"/>
        <v>8</v>
      </c>
      <c r="E640" s="168">
        <f>IF(ISERROR(Personalplanung!H16/Monatsplanung!$E16*Monatsplanung!$M16),0,Personalplanung!H16/Monatsplanung!$E16*Monatsplanung!$M16)</f>
        <v>0</v>
      </c>
      <c r="F640" s="168">
        <f t="shared" si="200"/>
        <v>0</v>
      </c>
      <c r="G640" s="168">
        <f t="shared" si="201"/>
        <v>27.700831024930746</v>
      </c>
      <c r="H640" s="168">
        <f t="shared" si="202"/>
        <v>0</v>
      </c>
      <c r="I640" s="168">
        <f t="shared" si="203"/>
        <v>30</v>
      </c>
      <c r="J640" s="739"/>
      <c r="K640" s="168">
        <f>IF(J640&lt;&gt;"",J640,IF(ISERROR(Personalplanung!AB16/Monatsplanung!$E16*Monatsplanung!$M16),0,Personalplanung!AB16/Monatsplanung!$E16*Monatsplanung!$M16))</f>
        <v>0</v>
      </c>
      <c r="L640" s="740"/>
      <c r="M640" s="739"/>
      <c r="N640" s="168">
        <f>IF(M640&lt;&gt;"",M640,IF(ISERROR(Personalplanung!AC16/Monatsplanung!$E16*Monatsplanung!$M16),0,Personalplanung!AC16/Monatsplanung!$E16*Monatsplanung!$M16))</f>
        <v>0</v>
      </c>
      <c r="O640" s="740"/>
      <c r="P640" s="739"/>
      <c r="Q640" s="168">
        <f>IF(P640&lt;&gt;"",P640,IF(ISERROR(Personalplanung!AD16/Monatsplanung!$E16*Monatsplanung!$M16),0,Personalplanung!AD16/Monatsplanung!$E16*Monatsplanung!$M16))</f>
        <v>0</v>
      </c>
      <c r="R640" s="740"/>
      <c r="S640" s="739"/>
      <c r="T640" s="168">
        <f>IF(S640&lt;&gt;"",S640,IF(ISERROR(Personalplanung!AE16/Monatsplanung!$E16*Monatsplanung!$M16),0,Personalplanung!AE16/Monatsplanung!$E16*Monatsplanung!$M16))</f>
        <v>0</v>
      </c>
      <c r="U640" s="740"/>
      <c r="V640" s="168">
        <f t="shared" si="204"/>
        <v>0</v>
      </c>
      <c r="W640" s="168">
        <f>IF(ISERROR(Personalplanung!P16/Monatsplanung!$E16*Monatsplanung!$M16),0,Personalplanung!P16/Monatsplanung!$E16*Monatsplanung!$M16)</f>
        <v>0</v>
      </c>
      <c r="X640" s="168">
        <f>IF(ISERROR(Personalplanung!Q16/Monatsplanung!$E16*Monatsplanung!$M16),0,Personalplanung!Q16/Monatsplanung!$E16*Monatsplanung!$M16)</f>
        <v>0</v>
      </c>
      <c r="Y640" s="168">
        <f>IF(ISERROR(Personalplanung!R16/T1264*Stundencontrolling!T640),0,Personalplanung!R16/T1264*Stundencontrolling!T640)</f>
        <v>0</v>
      </c>
      <c r="Z640" s="168">
        <f>IF(ISERROR(Personalplanung!S16/Monatsplanung!$E16*Monatsplanung!$M16),0,Personalplanung!S16/Monatsplanung!$E16*Monatsplanung!$M16)</f>
        <v>0</v>
      </c>
      <c r="AA640" s="80">
        <f t="shared" si="205"/>
        <v>0</v>
      </c>
      <c r="AB640" s="102">
        <f t="shared" si="206"/>
        <v>0.1</v>
      </c>
      <c r="AC640" s="103">
        <f t="shared" si="207"/>
        <v>0</v>
      </c>
      <c r="AD640" s="103">
        <f t="shared" si="208"/>
        <v>0</v>
      </c>
      <c r="AE640" s="81">
        <f t="shared" si="209"/>
        <v>0</v>
      </c>
      <c r="AF640" s="539"/>
      <c r="AG640" s="104">
        <f t="shared" si="210"/>
        <v>1</v>
      </c>
      <c r="AH640" s="7">
        <f t="shared" si="211"/>
        <v>0</v>
      </c>
      <c r="AI640" s="6">
        <f t="shared" si="212"/>
        <v>0</v>
      </c>
      <c r="AJ640" s="73">
        <f t="shared" si="213"/>
        <v>0</v>
      </c>
      <c r="AK640" s="539"/>
      <c r="AL640" s="748"/>
      <c r="AM640" s="748"/>
    </row>
    <row r="641" spans="2:39" x14ac:dyDescent="0.2">
      <c r="B641" s="101" t="str">
        <f t="shared" si="198"/>
        <v>Facharbeiter</v>
      </c>
      <c r="C641" s="168">
        <f>IF(ISERROR(Personalplanung!F17/Monatsplanung!$E17*Monatsplanung!$M17),0,Personalplanung!F17/Monatsplanung!$E17*Monatsplanung!$M17)</f>
        <v>174</v>
      </c>
      <c r="D641" s="168">
        <f t="shared" si="199"/>
        <v>8</v>
      </c>
      <c r="E641" s="168">
        <f>IF(ISERROR(Personalplanung!H17/Monatsplanung!$E17*Monatsplanung!$M17),0,Personalplanung!H17/Monatsplanung!$E17*Monatsplanung!$M17)</f>
        <v>0</v>
      </c>
      <c r="F641" s="168">
        <f t="shared" si="200"/>
        <v>174</v>
      </c>
      <c r="G641" s="168">
        <f t="shared" si="201"/>
        <v>27.700831024930746</v>
      </c>
      <c r="H641" s="168">
        <f t="shared" si="202"/>
        <v>4819.9445983379501</v>
      </c>
      <c r="I641" s="168">
        <f t="shared" si="203"/>
        <v>30</v>
      </c>
      <c r="J641" s="739"/>
      <c r="K641" s="168">
        <f>IF(J641&lt;&gt;"",J641,IF(ISERROR(Personalplanung!AB17/Monatsplanung!$E17*Monatsplanung!$M17),0,Personalplanung!AB17/Monatsplanung!$E17*Monatsplanung!$M17))</f>
        <v>0.66666666666666663</v>
      </c>
      <c r="L641" s="740"/>
      <c r="M641" s="739"/>
      <c r="N641" s="168">
        <f>IF(M641&lt;&gt;"",M641,IF(ISERROR(Personalplanung!AC17/Monatsplanung!$E17*Monatsplanung!$M17),0,Personalplanung!AC17/Monatsplanung!$E17*Monatsplanung!$M17))</f>
        <v>0</v>
      </c>
      <c r="O641" s="740"/>
      <c r="P641" s="739"/>
      <c r="Q641" s="168">
        <f>IF(P641&lt;&gt;"",P641,IF(ISERROR(Personalplanung!AD17/Monatsplanung!$E17*Monatsplanung!$M17),0,Personalplanung!AD17/Monatsplanung!$E17*Monatsplanung!$M17))</f>
        <v>0.16666666666666666</v>
      </c>
      <c r="R641" s="740"/>
      <c r="S641" s="739"/>
      <c r="T641" s="168">
        <f>IF(S641&lt;&gt;"",S641,IF(ISERROR(Personalplanung!AE17/Monatsplanung!$E17*Monatsplanung!$M17),0,Personalplanung!AE17/Monatsplanung!$E17*Monatsplanung!$M17))</f>
        <v>2.1666666666666665</v>
      </c>
      <c r="U641" s="740"/>
      <c r="V641" s="168">
        <f t="shared" si="204"/>
        <v>3</v>
      </c>
      <c r="W641" s="168">
        <f>IF(ISERROR(Personalplanung!P17/Monatsplanung!$E17*Monatsplanung!$M17),0,Personalplanung!P17/Monatsplanung!$E17*Monatsplanung!$M17)</f>
        <v>0</v>
      </c>
      <c r="X641" s="168">
        <f>IF(ISERROR(Personalplanung!Q17/Monatsplanung!$E17*Monatsplanung!$M17),0,Personalplanung!Q17/Monatsplanung!$E17*Monatsplanung!$M17)</f>
        <v>0</v>
      </c>
      <c r="Y641" s="168">
        <f>IF(ISERROR(Personalplanung!R17/T1265*Stundencontrolling!T641),0,Personalplanung!R17/T1265*Stundencontrolling!T641)</f>
        <v>0</v>
      </c>
      <c r="Z641" s="168">
        <f>IF(ISERROR(Personalplanung!S17/Monatsplanung!$E17*Monatsplanung!$M17),0,Personalplanung!S17/Monatsplanung!$E17*Monatsplanung!$M17)</f>
        <v>0</v>
      </c>
      <c r="AA641" s="80">
        <f t="shared" si="205"/>
        <v>149418.28254847645</v>
      </c>
      <c r="AB641" s="102">
        <f t="shared" si="206"/>
        <v>0.1</v>
      </c>
      <c r="AC641" s="103">
        <f t="shared" si="207"/>
        <v>14941.828254847645</v>
      </c>
      <c r="AD641" s="103">
        <f t="shared" si="208"/>
        <v>134476.45429362881</v>
      </c>
      <c r="AE641" s="81">
        <f t="shared" si="209"/>
        <v>15</v>
      </c>
      <c r="AF641" s="539"/>
      <c r="AG641" s="104">
        <f t="shared" si="210"/>
        <v>1</v>
      </c>
      <c r="AH641" s="7">
        <f t="shared" si="211"/>
        <v>0</v>
      </c>
      <c r="AI641" s="6">
        <f t="shared" si="212"/>
        <v>15</v>
      </c>
      <c r="AJ641" s="73">
        <f t="shared" si="213"/>
        <v>996.12188365650968</v>
      </c>
      <c r="AK641" s="539"/>
      <c r="AL641" s="748"/>
      <c r="AM641" s="748"/>
    </row>
    <row r="642" spans="2:39" x14ac:dyDescent="0.2">
      <c r="B642" s="101" t="str">
        <f t="shared" si="198"/>
        <v>Facharbeiter</v>
      </c>
      <c r="C642" s="168">
        <f>IF(ISERROR(Personalplanung!F18/Monatsplanung!$E18*Monatsplanung!$M18),0,Personalplanung!F18/Monatsplanung!$E18*Monatsplanung!$M18)</f>
        <v>174</v>
      </c>
      <c r="D642" s="168">
        <f t="shared" si="199"/>
        <v>8</v>
      </c>
      <c r="E642" s="168">
        <f>IF(ISERROR(Personalplanung!H18/Monatsplanung!$E18*Monatsplanung!$M18),0,Personalplanung!H18/Monatsplanung!$E18*Monatsplanung!$M18)</f>
        <v>0</v>
      </c>
      <c r="F642" s="168">
        <f t="shared" si="200"/>
        <v>174</v>
      </c>
      <c r="G642" s="168">
        <f t="shared" si="201"/>
        <v>27.700831024930746</v>
      </c>
      <c r="H642" s="168">
        <f t="shared" si="202"/>
        <v>4819.9445983379501</v>
      </c>
      <c r="I642" s="168">
        <f t="shared" si="203"/>
        <v>30</v>
      </c>
      <c r="J642" s="739"/>
      <c r="K642" s="168">
        <f>IF(J642&lt;&gt;"",J642,IF(ISERROR(Personalplanung!AB18/Monatsplanung!$E18*Monatsplanung!$M18),0,Personalplanung!AB18/Monatsplanung!$E18*Monatsplanung!$M18))</f>
        <v>0.66666666666666663</v>
      </c>
      <c r="L642" s="740"/>
      <c r="M642" s="739"/>
      <c r="N642" s="168">
        <f>IF(M642&lt;&gt;"",M642,IF(ISERROR(Personalplanung!AC18/Monatsplanung!$E18*Monatsplanung!$M18),0,Personalplanung!AC18/Monatsplanung!$E18*Monatsplanung!$M18))</f>
        <v>0.33333333333333331</v>
      </c>
      <c r="O642" s="740"/>
      <c r="P642" s="739"/>
      <c r="Q642" s="168">
        <f>IF(P642&lt;&gt;"",P642,IF(ISERROR(Personalplanung!AD18/Monatsplanung!$E18*Monatsplanung!$M18),0,Personalplanung!AD18/Monatsplanung!$E18*Monatsplanung!$M18))</f>
        <v>0.16666666666666666</v>
      </c>
      <c r="R642" s="740"/>
      <c r="S642" s="739"/>
      <c r="T642" s="168">
        <f>IF(S642&lt;&gt;"",S642,IF(ISERROR(Personalplanung!AE18/Monatsplanung!$E18*Monatsplanung!$M18),0,Personalplanung!AE18/Monatsplanung!$E18*Monatsplanung!$M18))</f>
        <v>2.1666666666666665</v>
      </c>
      <c r="U642" s="740"/>
      <c r="V642" s="168">
        <f t="shared" si="204"/>
        <v>3.333333333333333</v>
      </c>
      <c r="W642" s="168">
        <f>IF(ISERROR(Personalplanung!P18/Monatsplanung!$E18*Monatsplanung!$M18),0,Personalplanung!P18/Monatsplanung!$E18*Monatsplanung!$M18)</f>
        <v>0</v>
      </c>
      <c r="X642" s="168">
        <f>IF(ISERROR(Personalplanung!Q18/Monatsplanung!$E18*Monatsplanung!$M18),0,Personalplanung!Q18/Monatsplanung!$E18*Monatsplanung!$M18)</f>
        <v>0</v>
      </c>
      <c r="Y642" s="168">
        <f>IF(ISERROR(Personalplanung!R18/T1266*Stundencontrolling!T642),0,Personalplanung!R18/T1266*Stundencontrolling!T642)</f>
        <v>0</v>
      </c>
      <c r="Z642" s="168">
        <f>IF(ISERROR(Personalplanung!S18/Monatsplanung!$E18*Monatsplanung!$M18),0,Personalplanung!S18/Monatsplanung!$E18*Monatsplanung!$M18)</f>
        <v>0</v>
      </c>
      <c r="AA642" s="80">
        <f t="shared" si="205"/>
        <v>149418.28254847645</v>
      </c>
      <c r="AB642" s="102">
        <f t="shared" si="206"/>
        <v>0.1</v>
      </c>
      <c r="AC642" s="103">
        <f t="shared" si="207"/>
        <v>14941.828254847645</v>
      </c>
      <c r="AD642" s="103">
        <f t="shared" si="208"/>
        <v>134476.45429362881</v>
      </c>
      <c r="AE642" s="81">
        <f t="shared" si="209"/>
        <v>14.733333333333334</v>
      </c>
      <c r="AF642" s="539"/>
      <c r="AG642" s="104">
        <f t="shared" si="210"/>
        <v>1</v>
      </c>
      <c r="AH642" s="7">
        <f t="shared" si="211"/>
        <v>0</v>
      </c>
      <c r="AI642" s="6">
        <f t="shared" si="212"/>
        <v>14.733333333333334</v>
      </c>
      <c r="AJ642" s="73">
        <f t="shared" si="213"/>
        <v>1014.1512390168084</v>
      </c>
      <c r="AK642" s="539"/>
      <c r="AL642" s="748"/>
      <c r="AM642" s="748"/>
    </row>
    <row r="643" spans="2:39" x14ac:dyDescent="0.2">
      <c r="B643" s="101" t="str">
        <f t="shared" si="198"/>
        <v>Elternzeit Geselle</v>
      </c>
      <c r="C643" s="168">
        <f>IF(ISERROR(Personalplanung!F19/Monatsplanung!$E19*Monatsplanung!$M19),0,Personalplanung!F19/Monatsplanung!$E19*Monatsplanung!$M19)</f>
        <v>130.5</v>
      </c>
      <c r="D643" s="168">
        <f t="shared" si="199"/>
        <v>6</v>
      </c>
      <c r="E643" s="168">
        <f>IF(ISERROR(Personalplanung!H19/Monatsplanung!$E19*Monatsplanung!$M19),0,Personalplanung!H19/Monatsplanung!$E19*Monatsplanung!$M19)</f>
        <v>0</v>
      </c>
      <c r="F643" s="168">
        <f t="shared" si="200"/>
        <v>130.5</v>
      </c>
      <c r="G643" s="168">
        <f t="shared" si="201"/>
        <v>27.700831024930746</v>
      </c>
      <c r="H643" s="168">
        <f t="shared" si="202"/>
        <v>3614.9584487534626</v>
      </c>
      <c r="I643" s="168">
        <f t="shared" si="203"/>
        <v>30</v>
      </c>
      <c r="J643" s="739"/>
      <c r="K643" s="168">
        <f>IF(J643&lt;&gt;"",J643,IF(ISERROR(Personalplanung!AB19/Monatsplanung!$E19*Monatsplanung!$M19),0,Personalplanung!AB19/Monatsplanung!$E19*Monatsplanung!$M19))</f>
        <v>1</v>
      </c>
      <c r="L643" s="740"/>
      <c r="M643" s="739"/>
      <c r="N643" s="168">
        <f>IF(M643&lt;&gt;"",M643,IF(ISERROR(Personalplanung!AC19/Monatsplanung!$E19*Monatsplanung!$M19),0,Personalplanung!AC19/Monatsplanung!$E19*Monatsplanung!$M19))</f>
        <v>0</v>
      </c>
      <c r="O643" s="740"/>
      <c r="P643" s="739"/>
      <c r="Q643" s="168">
        <f>IF(P643&lt;&gt;"",P643,IF(ISERROR(Personalplanung!AD19/Monatsplanung!$E19*Monatsplanung!$M19),0,Personalplanung!AD19/Monatsplanung!$E19*Monatsplanung!$M19))</f>
        <v>0.25</v>
      </c>
      <c r="R643" s="740"/>
      <c r="S643" s="739"/>
      <c r="T643" s="168">
        <f>IF(S643&lt;&gt;"",S643,IF(ISERROR(Personalplanung!AE19/Monatsplanung!$E19*Monatsplanung!$M19),0,Personalplanung!AE19/Monatsplanung!$E19*Monatsplanung!$M19))</f>
        <v>3.25</v>
      </c>
      <c r="U643" s="740"/>
      <c r="V643" s="168">
        <f t="shared" si="204"/>
        <v>4.5</v>
      </c>
      <c r="W643" s="168">
        <f>IF(ISERROR(Personalplanung!P19/Monatsplanung!$E19*Monatsplanung!$M19),0,Personalplanung!P19/Monatsplanung!$E19*Monatsplanung!$M19)</f>
        <v>0</v>
      </c>
      <c r="X643" s="168">
        <f>IF(ISERROR(Personalplanung!Q19/Monatsplanung!$E19*Monatsplanung!$M19),0,Personalplanung!Q19/Monatsplanung!$E19*Monatsplanung!$M19)</f>
        <v>0</v>
      </c>
      <c r="Y643" s="168">
        <f>IF(ISERROR(Personalplanung!R19/T1267*Stundencontrolling!T643),0,Personalplanung!R19/T1267*Stundencontrolling!T643)</f>
        <v>0</v>
      </c>
      <c r="Z643" s="168">
        <f>IF(ISERROR(Personalplanung!S19/Monatsplanung!$E19*Monatsplanung!$M19),0,Personalplanung!S19/Monatsplanung!$E19*Monatsplanung!$M19)</f>
        <v>0</v>
      </c>
      <c r="AA643" s="80">
        <f t="shared" si="205"/>
        <v>112063.71191135734</v>
      </c>
      <c r="AB643" s="102">
        <f t="shared" si="206"/>
        <v>0.1</v>
      </c>
      <c r="AC643" s="103">
        <f t="shared" si="207"/>
        <v>11206.371191135735</v>
      </c>
      <c r="AD643" s="103">
        <f t="shared" si="208"/>
        <v>100857.3407202216</v>
      </c>
      <c r="AE643" s="81">
        <f t="shared" si="209"/>
        <v>10.350000000000001</v>
      </c>
      <c r="AF643" s="539"/>
      <c r="AG643" s="104">
        <f t="shared" si="210"/>
        <v>1</v>
      </c>
      <c r="AH643" s="7">
        <f t="shared" si="211"/>
        <v>0</v>
      </c>
      <c r="AI643" s="6">
        <f t="shared" si="212"/>
        <v>10.350000000000001</v>
      </c>
      <c r="AJ643" s="73">
        <f t="shared" si="213"/>
        <v>1082.7411778875105</v>
      </c>
      <c r="AK643" s="539"/>
      <c r="AL643" s="748"/>
      <c r="AM643" s="748"/>
    </row>
    <row r="644" spans="2:39" x14ac:dyDescent="0.2">
      <c r="B644" s="101" t="str">
        <f t="shared" si="198"/>
        <v>A. Zubi</v>
      </c>
      <c r="C644" s="168">
        <f>IF(ISERROR(Personalplanung!F20/Monatsplanung!$E20*Monatsplanung!$M20),0,Personalplanung!F20/Monatsplanung!$E20*Monatsplanung!$M20)</f>
        <v>174</v>
      </c>
      <c r="D644" s="168">
        <f t="shared" si="199"/>
        <v>8</v>
      </c>
      <c r="E644" s="168">
        <f>IF(ISERROR(Personalplanung!H20/Monatsplanung!$E20*Monatsplanung!$M20),0,Personalplanung!H20/Monatsplanung!$E20*Monatsplanung!$M20)</f>
        <v>0</v>
      </c>
      <c r="F644" s="168">
        <f t="shared" si="200"/>
        <v>174</v>
      </c>
      <c r="G644" s="168">
        <f t="shared" si="201"/>
        <v>27.700831024930746</v>
      </c>
      <c r="H644" s="168">
        <f t="shared" si="202"/>
        <v>4819.9445983379501</v>
      </c>
      <c r="I644" s="168">
        <f t="shared" si="203"/>
        <v>30</v>
      </c>
      <c r="J644" s="739"/>
      <c r="K644" s="168">
        <f>IF(J644&lt;&gt;"",J644,IF(ISERROR(Personalplanung!AB20/Monatsplanung!$E20*Monatsplanung!$M20),0,Personalplanung!AB20/Monatsplanung!$E20*Monatsplanung!$M20))</f>
        <v>0.66666666666666663</v>
      </c>
      <c r="L644" s="740"/>
      <c r="M644" s="739"/>
      <c r="N644" s="168">
        <f>IF(M644&lt;&gt;"",M644,IF(ISERROR(Personalplanung!AC20/Monatsplanung!$E20*Monatsplanung!$M20),0,Personalplanung!AC20/Monatsplanung!$E20*Monatsplanung!$M20))</f>
        <v>0.25</v>
      </c>
      <c r="O644" s="740"/>
      <c r="P644" s="739"/>
      <c r="Q644" s="168">
        <f>IF(P644&lt;&gt;"",P644,IF(ISERROR(Personalplanung!AD20/Monatsplanung!$E20*Monatsplanung!$M20),0,Personalplanung!AD20/Monatsplanung!$E20*Monatsplanung!$M20))</f>
        <v>0.16666666666666666</v>
      </c>
      <c r="R644" s="740"/>
      <c r="S644" s="739"/>
      <c r="T644" s="168">
        <f>IF(S644&lt;&gt;"",S644,IF(ISERROR(Personalplanung!AE20/Monatsplanung!$E20*Monatsplanung!$M20),0,Personalplanung!AE20/Monatsplanung!$E20*Monatsplanung!$M20))</f>
        <v>2.1666666666666665</v>
      </c>
      <c r="U644" s="740"/>
      <c r="V644" s="168">
        <f t="shared" si="204"/>
        <v>3.25</v>
      </c>
      <c r="W644" s="168">
        <f>IF(ISERROR(Personalplanung!P20/Monatsplanung!$E20*Monatsplanung!$M20),0,Personalplanung!P20/Monatsplanung!$E20*Monatsplanung!$M20)</f>
        <v>0</v>
      </c>
      <c r="X644" s="168">
        <f>IF(ISERROR(Personalplanung!Q20/Monatsplanung!$E20*Monatsplanung!$M20),0,Personalplanung!Q20/Monatsplanung!$E20*Monatsplanung!$M20)</f>
        <v>0</v>
      </c>
      <c r="Y644" s="168">
        <f>IF(ISERROR(Personalplanung!R20/T1268*Stundencontrolling!T644),0,Personalplanung!R20/T1268*Stundencontrolling!T644)</f>
        <v>0</v>
      </c>
      <c r="Z644" s="168">
        <f>IF(ISERROR(Personalplanung!S20/Monatsplanung!$E20*Monatsplanung!$M20),0,Personalplanung!S20/Monatsplanung!$E20*Monatsplanung!$M20)</f>
        <v>0</v>
      </c>
      <c r="AA644" s="80">
        <f t="shared" si="205"/>
        <v>149418.28254847645</v>
      </c>
      <c r="AB644" s="102">
        <f t="shared" si="206"/>
        <v>0.1</v>
      </c>
      <c r="AC644" s="103">
        <f t="shared" si="207"/>
        <v>14941.828254847645</v>
      </c>
      <c r="AD644" s="103">
        <f t="shared" si="208"/>
        <v>134476.45429362881</v>
      </c>
      <c r="AE644" s="81">
        <f t="shared" si="209"/>
        <v>14.8</v>
      </c>
      <c r="AF644" s="539"/>
      <c r="AG644" s="104">
        <f t="shared" si="210"/>
        <v>1</v>
      </c>
      <c r="AH644" s="7">
        <f t="shared" si="211"/>
        <v>0</v>
      </c>
      <c r="AI644" s="6">
        <f t="shared" si="212"/>
        <v>14.8</v>
      </c>
      <c r="AJ644" s="73">
        <f t="shared" si="213"/>
        <v>1009.5829901924084</v>
      </c>
      <c r="AK644" s="539"/>
      <c r="AL644" s="748"/>
      <c r="AM644" s="748"/>
    </row>
    <row r="645" spans="2:39" x14ac:dyDescent="0.2">
      <c r="B645" s="101" t="str">
        <f t="shared" si="198"/>
        <v>Zur Ausbildung</v>
      </c>
      <c r="C645" s="168">
        <f>IF(ISERROR(Personalplanung!F21/Monatsplanung!$E21*Monatsplanung!$M21),0,Personalplanung!F21/Monatsplanung!$E21*Monatsplanung!$M21)</f>
        <v>0</v>
      </c>
      <c r="D645" s="168">
        <f t="shared" si="199"/>
        <v>8</v>
      </c>
      <c r="E645" s="168">
        <f>IF(ISERROR(Personalplanung!H21/Monatsplanung!$E21*Monatsplanung!$M21),0,Personalplanung!H21/Monatsplanung!$E21*Monatsplanung!$M21)</f>
        <v>0</v>
      </c>
      <c r="F645" s="168">
        <f t="shared" si="200"/>
        <v>0</v>
      </c>
      <c r="G645" s="168">
        <f t="shared" si="201"/>
        <v>27.700831024930746</v>
      </c>
      <c r="H645" s="168">
        <f t="shared" si="202"/>
        <v>0</v>
      </c>
      <c r="I645" s="168">
        <f t="shared" si="203"/>
        <v>30</v>
      </c>
      <c r="J645" s="739"/>
      <c r="K645" s="168">
        <f>IF(J645&lt;&gt;"",J645,IF(ISERROR(Personalplanung!AB21/Monatsplanung!$E21*Monatsplanung!$M21),0,Personalplanung!AB21/Monatsplanung!$E21*Monatsplanung!$M21))</f>
        <v>0</v>
      </c>
      <c r="L645" s="740"/>
      <c r="M645" s="739"/>
      <c r="N645" s="168">
        <f>IF(M645&lt;&gt;"",M645,IF(ISERROR(Personalplanung!AC21/Monatsplanung!$E21*Monatsplanung!$M21),0,Personalplanung!AC21/Monatsplanung!$E21*Monatsplanung!$M21))</f>
        <v>0</v>
      </c>
      <c r="O645" s="740"/>
      <c r="P645" s="739"/>
      <c r="Q645" s="168">
        <f>IF(P645&lt;&gt;"",P645,IF(ISERROR(Personalplanung!AD21/Monatsplanung!$E21*Monatsplanung!$M21),0,Personalplanung!AD21/Monatsplanung!$E21*Monatsplanung!$M21))</f>
        <v>0</v>
      </c>
      <c r="R645" s="740"/>
      <c r="S645" s="739"/>
      <c r="T645" s="168">
        <f>IF(S645&lt;&gt;"",S645,IF(ISERROR(Personalplanung!AE21/Monatsplanung!$E21*Monatsplanung!$M21),0,Personalplanung!AE21/Monatsplanung!$E21*Monatsplanung!$M21))</f>
        <v>0</v>
      </c>
      <c r="U645" s="740"/>
      <c r="V645" s="168">
        <f t="shared" si="204"/>
        <v>0</v>
      </c>
      <c r="W645" s="168">
        <f>IF(ISERROR(Personalplanung!P21/Monatsplanung!$E21*Monatsplanung!$M21),0,Personalplanung!P21/Monatsplanung!$E21*Monatsplanung!$M21)</f>
        <v>0</v>
      </c>
      <c r="X645" s="168">
        <f>IF(ISERROR(Personalplanung!Q21/Monatsplanung!$E21*Monatsplanung!$M21),0,Personalplanung!Q21/Monatsplanung!$E21*Monatsplanung!$M21)</f>
        <v>0</v>
      </c>
      <c r="Y645" s="168">
        <f>IF(ISERROR(Personalplanung!R21/T1269*Stundencontrolling!T645),0,Personalplanung!R21/T1269*Stundencontrolling!T645)</f>
        <v>0</v>
      </c>
      <c r="Z645" s="168">
        <f>IF(ISERROR(Personalplanung!S21/Monatsplanung!$E21*Monatsplanung!$M21),0,Personalplanung!S21/Monatsplanung!$E21*Monatsplanung!$M21)</f>
        <v>0</v>
      </c>
      <c r="AA645" s="80">
        <f t="shared" si="205"/>
        <v>0</v>
      </c>
      <c r="AB645" s="102">
        <f t="shared" si="206"/>
        <v>0.1</v>
      </c>
      <c r="AC645" s="103">
        <f t="shared" si="207"/>
        <v>0</v>
      </c>
      <c r="AD645" s="103">
        <f t="shared" si="208"/>
        <v>0</v>
      </c>
      <c r="AE645" s="81">
        <f t="shared" si="209"/>
        <v>0</v>
      </c>
      <c r="AF645" s="539"/>
      <c r="AG645" s="104">
        <f t="shared" si="210"/>
        <v>1</v>
      </c>
      <c r="AH645" s="7">
        <f t="shared" si="211"/>
        <v>0</v>
      </c>
      <c r="AI645" s="6">
        <f t="shared" si="212"/>
        <v>0</v>
      </c>
      <c r="AJ645" s="73">
        <f t="shared" si="213"/>
        <v>0</v>
      </c>
      <c r="AK645" s="539"/>
      <c r="AL645" s="748"/>
      <c r="AM645" s="748"/>
    </row>
    <row r="646" spans="2:39" x14ac:dyDescent="0.2">
      <c r="B646" s="101" t="str">
        <f t="shared" si="198"/>
        <v>Reine Putze</v>
      </c>
      <c r="C646" s="168">
        <f>IF(ISERROR(Personalplanung!F22/Monatsplanung!$E22*Monatsplanung!$M22),0,Personalplanung!F22/Monatsplanung!$E22*Monatsplanung!$M22)</f>
        <v>52.199999999999996</v>
      </c>
      <c r="D646" s="168">
        <f t="shared" si="199"/>
        <v>2.4</v>
      </c>
      <c r="E646" s="168">
        <f>IF(ISERROR(Personalplanung!H22/Monatsplanung!$E22*Monatsplanung!$M22),0,Personalplanung!H22/Monatsplanung!$E22*Monatsplanung!$M22)</f>
        <v>0</v>
      </c>
      <c r="F646" s="168">
        <f t="shared" si="200"/>
        <v>52.199999999999996</v>
      </c>
      <c r="G646" s="168">
        <f t="shared" si="201"/>
        <v>27.700831024930746</v>
      </c>
      <c r="H646" s="168">
        <f t="shared" si="202"/>
        <v>1445.9833795013849</v>
      </c>
      <c r="I646" s="168">
        <f t="shared" si="203"/>
        <v>30</v>
      </c>
      <c r="J646" s="739"/>
      <c r="K646" s="168">
        <f>IF(J646&lt;&gt;"",J646,IF(ISERROR(Personalplanung!AB22/Monatsplanung!$E22*Monatsplanung!$M22),0,Personalplanung!AB22/Monatsplanung!$E22*Monatsplanung!$M22))</f>
        <v>0.25</v>
      </c>
      <c r="L646" s="740"/>
      <c r="M646" s="739"/>
      <c r="N646" s="168">
        <f>IF(M646&lt;&gt;"",M646,IF(ISERROR(Personalplanung!AC22/Monatsplanung!$E22*Monatsplanung!$M22),0,Personalplanung!AC22/Monatsplanung!$E22*Monatsplanung!$M22))</f>
        <v>0</v>
      </c>
      <c r="O646" s="740"/>
      <c r="P646" s="739"/>
      <c r="Q646" s="168">
        <f>IF(P646&lt;&gt;"",P646,IF(ISERROR(Personalplanung!AD22/Monatsplanung!$E22*Monatsplanung!$M22),0,Personalplanung!AD22/Monatsplanung!$E22*Monatsplanung!$M22))</f>
        <v>0</v>
      </c>
      <c r="R646" s="740"/>
      <c r="S646" s="739"/>
      <c r="T646" s="168">
        <f>IF(S646&lt;&gt;"",S646,IF(ISERROR(Personalplanung!AE22/Monatsplanung!$E22*Monatsplanung!$M22),0,Personalplanung!AE22/Monatsplanung!$E22*Monatsplanung!$M22))</f>
        <v>2.1666666666666665</v>
      </c>
      <c r="U646" s="740"/>
      <c r="V646" s="168">
        <f t="shared" si="204"/>
        <v>2.4166666666666665</v>
      </c>
      <c r="W646" s="168">
        <f>IF(ISERROR(Personalplanung!P22/Monatsplanung!$E22*Monatsplanung!$M22),0,Personalplanung!P22/Monatsplanung!$E22*Monatsplanung!$M22)</f>
        <v>0</v>
      </c>
      <c r="X646" s="168">
        <f>IF(ISERROR(Personalplanung!Q22/Monatsplanung!$E22*Monatsplanung!$M22),0,Personalplanung!Q22/Monatsplanung!$E22*Monatsplanung!$M22)</f>
        <v>0</v>
      </c>
      <c r="Y646" s="168">
        <f>IF(ISERROR(Personalplanung!R22/T1270*Stundencontrolling!T646),0,Personalplanung!R22/T1270*Stundencontrolling!T646)</f>
        <v>0</v>
      </c>
      <c r="Z646" s="168">
        <f>IF(ISERROR(Personalplanung!S22/Monatsplanung!$E22*Monatsplanung!$M22),0,Personalplanung!S22/Monatsplanung!$E22*Monatsplanung!$M22)</f>
        <v>0</v>
      </c>
      <c r="AA646" s="80">
        <f t="shared" si="205"/>
        <v>44825.484764542933</v>
      </c>
      <c r="AB646" s="102">
        <f t="shared" si="206"/>
        <v>0.1</v>
      </c>
      <c r="AC646" s="103">
        <f t="shared" si="207"/>
        <v>4482.5484764542934</v>
      </c>
      <c r="AD646" s="103">
        <f t="shared" si="208"/>
        <v>40342.93628808864</v>
      </c>
      <c r="AE646" s="81">
        <f t="shared" si="209"/>
        <v>4.6399999999999997</v>
      </c>
      <c r="AF646" s="539"/>
      <c r="AG646" s="104">
        <f t="shared" si="210"/>
        <v>1</v>
      </c>
      <c r="AH646" s="7">
        <f t="shared" si="211"/>
        <v>0</v>
      </c>
      <c r="AI646" s="6">
        <f t="shared" si="212"/>
        <v>4.6399999999999997</v>
      </c>
      <c r="AJ646" s="73">
        <f t="shared" si="213"/>
        <v>966.06648199445988</v>
      </c>
      <c r="AK646" s="539"/>
      <c r="AL646" s="748"/>
      <c r="AM646" s="748"/>
    </row>
    <row r="647" spans="2:39" x14ac:dyDescent="0.2">
      <c r="B647" s="101" t="str">
        <f t="shared" si="198"/>
        <v/>
      </c>
      <c r="C647" s="168">
        <f>IF(ISERROR(Personalplanung!F23/Monatsplanung!$E23*Monatsplanung!$M23),0,Personalplanung!F23/Monatsplanung!$E23*Monatsplanung!$M23)</f>
        <v>0</v>
      </c>
      <c r="D647" s="168">
        <f t="shared" si="199"/>
        <v>0</v>
      </c>
      <c r="E647" s="168">
        <f>IF(ISERROR(Personalplanung!H23/Monatsplanung!$E23*Monatsplanung!$M23),0,Personalplanung!H23/Monatsplanung!$E23*Monatsplanung!$M23)</f>
        <v>0</v>
      </c>
      <c r="F647" s="168">
        <f t="shared" si="200"/>
        <v>0</v>
      </c>
      <c r="G647" s="168">
        <f t="shared" si="201"/>
        <v>27.700831024930746</v>
      </c>
      <c r="H647" s="168">
        <f t="shared" si="202"/>
        <v>0</v>
      </c>
      <c r="I647" s="168">
        <f t="shared" si="203"/>
        <v>30</v>
      </c>
      <c r="J647" s="739"/>
      <c r="K647" s="168">
        <f>IF(J647&lt;&gt;"",J647,IF(ISERROR(Personalplanung!AB23/Monatsplanung!$E23*Monatsplanung!$M23),0,Personalplanung!AB23/Monatsplanung!$E23*Monatsplanung!$M23))</f>
        <v>0</v>
      </c>
      <c r="L647" s="740"/>
      <c r="M647" s="739"/>
      <c r="N647" s="168">
        <f>IF(M647&lt;&gt;"",M647,IF(ISERROR(Personalplanung!AC23/Monatsplanung!$E23*Monatsplanung!$M23),0,Personalplanung!AC23/Monatsplanung!$E23*Monatsplanung!$M23))</f>
        <v>0</v>
      </c>
      <c r="O647" s="740"/>
      <c r="P647" s="739"/>
      <c r="Q647" s="168">
        <f>IF(P647&lt;&gt;"",P647,IF(ISERROR(Personalplanung!AD23/Monatsplanung!$E23*Monatsplanung!$M23),0,Personalplanung!AD23/Monatsplanung!$E23*Monatsplanung!$M23))</f>
        <v>0</v>
      </c>
      <c r="R647" s="740"/>
      <c r="S647" s="739"/>
      <c r="T647" s="168">
        <f>IF(S647&lt;&gt;"",S647,IF(ISERROR(Personalplanung!AE23/Monatsplanung!$E23*Monatsplanung!$M23),0,Personalplanung!AE23/Monatsplanung!$E23*Monatsplanung!$M23))</f>
        <v>0</v>
      </c>
      <c r="U647" s="740"/>
      <c r="V647" s="168">
        <f t="shared" si="204"/>
        <v>0</v>
      </c>
      <c r="W647" s="168">
        <f>IF(ISERROR(Personalplanung!P23/Monatsplanung!$E23*Monatsplanung!$M23),0,Personalplanung!P23/Monatsplanung!$E23*Monatsplanung!$M23)</f>
        <v>0</v>
      </c>
      <c r="X647" s="168">
        <f>IF(ISERROR(Personalplanung!Q23/Monatsplanung!$E23*Monatsplanung!$M23),0,Personalplanung!Q23/Monatsplanung!$E23*Monatsplanung!$M23)</f>
        <v>0</v>
      </c>
      <c r="Y647" s="168">
        <f>IF(ISERROR(Personalplanung!R23/T1271*Stundencontrolling!T647),0,Personalplanung!R23/T1271*Stundencontrolling!T647)</f>
        <v>0</v>
      </c>
      <c r="Z647" s="168">
        <f>IF(ISERROR(Personalplanung!S23/Monatsplanung!$E23*Monatsplanung!$M23),0,Personalplanung!S23/Monatsplanung!$E23*Monatsplanung!$M23)</f>
        <v>0</v>
      </c>
      <c r="AA647" s="80">
        <f t="shared" si="205"/>
        <v>0</v>
      </c>
      <c r="AB647" s="102">
        <f t="shared" si="206"/>
        <v>0.1</v>
      </c>
      <c r="AC647" s="103">
        <f t="shared" si="207"/>
        <v>0</v>
      </c>
      <c r="AD647" s="103">
        <f t="shared" si="208"/>
        <v>0</v>
      </c>
      <c r="AE647" s="81">
        <f t="shared" si="209"/>
        <v>0</v>
      </c>
      <c r="AF647" s="539"/>
      <c r="AG647" s="104">
        <f t="shared" si="210"/>
        <v>1</v>
      </c>
      <c r="AH647" s="7">
        <f t="shared" si="211"/>
        <v>0</v>
      </c>
      <c r="AI647" s="6">
        <f t="shared" si="212"/>
        <v>0</v>
      </c>
      <c r="AJ647" s="73">
        <f t="shared" si="213"/>
        <v>0</v>
      </c>
      <c r="AK647" s="539"/>
      <c r="AL647" s="748"/>
      <c r="AM647" s="748"/>
    </row>
    <row r="648" spans="2:39" x14ac:dyDescent="0.2">
      <c r="B648" s="101" t="str">
        <f t="shared" si="198"/>
        <v/>
      </c>
      <c r="C648" s="168">
        <f>IF(ISERROR(Personalplanung!F24/Monatsplanung!$E24*Monatsplanung!$M24),0,Personalplanung!F24/Monatsplanung!$E24*Monatsplanung!$M24)</f>
        <v>0</v>
      </c>
      <c r="D648" s="168">
        <f t="shared" si="199"/>
        <v>0</v>
      </c>
      <c r="E648" s="168">
        <f>IF(ISERROR(Personalplanung!H24/Monatsplanung!$E24*Monatsplanung!$M24),0,Personalplanung!H24/Monatsplanung!$E24*Monatsplanung!$M24)</f>
        <v>0</v>
      </c>
      <c r="F648" s="168">
        <f t="shared" si="200"/>
        <v>0</v>
      </c>
      <c r="G648" s="168">
        <f t="shared" si="201"/>
        <v>27.700831024930746</v>
      </c>
      <c r="H648" s="168">
        <f t="shared" si="202"/>
        <v>0</v>
      </c>
      <c r="I648" s="168">
        <f t="shared" si="203"/>
        <v>30</v>
      </c>
      <c r="J648" s="739"/>
      <c r="K648" s="168">
        <f>IF(J648&lt;&gt;"",J648,IF(ISERROR(Personalplanung!AB24/Monatsplanung!$E24*Monatsplanung!$M24),0,Personalplanung!AB24/Monatsplanung!$E24*Monatsplanung!$M24))</f>
        <v>0</v>
      </c>
      <c r="L648" s="740"/>
      <c r="M648" s="739"/>
      <c r="N648" s="168">
        <f>IF(M648&lt;&gt;"",M648,IF(ISERROR(Personalplanung!AC24/Monatsplanung!$E24*Monatsplanung!$M24),0,Personalplanung!AC24/Monatsplanung!$E24*Monatsplanung!$M24))</f>
        <v>0</v>
      </c>
      <c r="O648" s="740"/>
      <c r="P648" s="739"/>
      <c r="Q648" s="168">
        <f>IF(P648&lt;&gt;"",P648,IF(ISERROR(Personalplanung!AD24/Monatsplanung!$E24*Monatsplanung!$M24),0,Personalplanung!AD24/Monatsplanung!$E24*Monatsplanung!$M24))</f>
        <v>0</v>
      </c>
      <c r="R648" s="740"/>
      <c r="S648" s="739"/>
      <c r="T648" s="168">
        <f>IF(S648&lt;&gt;"",S648,IF(ISERROR(Personalplanung!AE24/Monatsplanung!$E24*Monatsplanung!$M24),0,Personalplanung!AE24/Monatsplanung!$E24*Monatsplanung!$M24))</f>
        <v>0</v>
      </c>
      <c r="U648" s="740"/>
      <c r="V648" s="168">
        <f t="shared" si="204"/>
        <v>0</v>
      </c>
      <c r="W648" s="168">
        <f>IF(ISERROR(Personalplanung!P24/Monatsplanung!$E24*Monatsplanung!$M24),0,Personalplanung!P24/Monatsplanung!$E24*Monatsplanung!$M24)</f>
        <v>0</v>
      </c>
      <c r="X648" s="168">
        <f>IF(ISERROR(Personalplanung!Q24/Monatsplanung!$E24*Monatsplanung!$M24),0,Personalplanung!Q24/Monatsplanung!$E24*Monatsplanung!$M24)</f>
        <v>0</v>
      </c>
      <c r="Y648" s="168">
        <f>IF(ISERROR(Personalplanung!R24/T1272*Stundencontrolling!T648),0,Personalplanung!R24/T1272*Stundencontrolling!T648)</f>
        <v>0</v>
      </c>
      <c r="Z648" s="168">
        <f>IF(ISERROR(Personalplanung!S24/Monatsplanung!$E24*Monatsplanung!$M24),0,Personalplanung!S24/Monatsplanung!$E24*Monatsplanung!$M24)</f>
        <v>0</v>
      </c>
      <c r="AA648" s="80">
        <f t="shared" si="205"/>
        <v>0</v>
      </c>
      <c r="AB648" s="102">
        <f t="shared" si="206"/>
        <v>0.1</v>
      </c>
      <c r="AC648" s="103">
        <f t="shared" si="207"/>
        <v>0</v>
      </c>
      <c r="AD648" s="103">
        <f t="shared" si="208"/>
        <v>0</v>
      </c>
      <c r="AE648" s="81">
        <f t="shared" si="209"/>
        <v>0</v>
      </c>
      <c r="AF648" s="539"/>
      <c r="AG648" s="104">
        <f t="shared" si="210"/>
        <v>1</v>
      </c>
      <c r="AH648" s="7">
        <f t="shared" si="211"/>
        <v>0</v>
      </c>
      <c r="AI648" s="6">
        <f t="shared" si="212"/>
        <v>0</v>
      </c>
      <c r="AJ648" s="73">
        <f t="shared" si="213"/>
        <v>0</v>
      </c>
      <c r="AK648" s="539"/>
      <c r="AL648" s="748"/>
      <c r="AM648" s="748"/>
    </row>
    <row r="649" spans="2:39" x14ac:dyDescent="0.2">
      <c r="B649" s="101" t="str">
        <f t="shared" si="198"/>
        <v/>
      </c>
      <c r="C649" s="168">
        <f>IF(ISERROR(Personalplanung!F25/Monatsplanung!$E25*Monatsplanung!$M25),0,Personalplanung!F25/Monatsplanung!$E25*Monatsplanung!$M25)</f>
        <v>0</v>
      </c>
      <c r="D649" s="168">
        <f t="shared" si="199"/>
        <v>0</v>
      </c>
      <c r="E649" s="168">
        <f>IF(ISERROR(Personalplanung!H25/Monatsplanung!$E25*Monatsplanung!$M25),0,Personalplanung!H25/Monatsplanung!$E25*Monatsplanung!$M25)</f>
        <v>0</v>
      </c>
      <c r="F649" s="168">
        <f t="shared" si="200"/>
        <v>0</v>
      </c>
      <c r="G649" s="168">
        <f t="shared" si="201"/>
        <v>27.700831024930746</v>
      </c>
      <c r="H649" s="168">
        <f t="shared" si="202"/>
        <v>0</v>
      </c>
      <c r="I649" s="168">
        <f t="shared" si="203"/>
        <v>30</v>
      </c>
      <c r="J649" s="739"/>
      <c r="K649" s="168">
        <f>IF(J649&lt;&gt;"",J649,IF(ISERROR(Personalplanung!AB25/Monatsplanung!$E25*Monatsplanung!$M25),0,Personalplanung!AB25/Monatsplanung!$E25*Monatsplanung!$M25))</f>
        <v>0</v>
      </c>
      <c r="L649" s="740"/>
      <c r="M649" s="739"/>
      <c r="N649" s="168">
        <f>IF(M649&lt;&gt;"",M649,IF(ISERROR(Personalplanung!AC25/Monatsplanung!$E25*Monatsplanung!$M25),0,Personalplanung!AC25/Monatsplanung!$E25*Monatsplanung!$M25))</f>
        <v>0</v>
      </c>
      <c r="O649" s="740"/>
      <c r="P649" s="739"/>
      <c r="Q649" s="168">
        <f>IF(P649&lt;&gt;"",P649,IF(ISERROR(Personalplanung!AD25/Monatsplanung!$E25*Monatsplanung!$M25),0,Personalplanung!AD25/Monatsplanung!$E25*Monatsplanung!$M25))</f>
        <v>0</v>
      </c>
      <c r="R649" s="740"/>
      <c r="S649" s="739"/>
      <c r="T649" s="168">
        <f>IF(S649&lt;&gt;"",S649,IF(ISERROR(Personalplanung!AE25/Monatsplanung!$E25*Monatsplanung!$M25),0,Personalplanung!AE25/Monatsplanung!$E25*Monatsplanung!$M25))</f>
        <v>0</v>
      </c>
      <c r="U649" s="740"/>
      <c r="V649" s="168">
        <f t="shared" si="204"/>
        <v>0</v>
      </c>
      <c r="W649" s="168">
        <f>IF(ISERROR(Personalplanung!P25/Monatsplanung!$E25*Monatsplanung!$M25),0,Personalplanung!P25/Monatsplanung!$E25*Monatsplanung!$M25)</f>
        <v>0</v>
      </c>
      <c r="X649" s="168">
        <f>IF(ISERROR(Personalplanung!Q25/Monatsplanung!$E25*Monatsplanung!$M25),0,Personalplanung!Q25/Monatsplanung!$E25*Monatsplanung!$M25)</f>
        <v>0</v>
      </c>
      <c r="Y649" s="168">
        <f>IF(ISERROR(Personalplanung!R25/T1273*Stundencontrolling!T649),0,Personalplanung!R25/T1273*Stundencontrolling!T649)</f>
        <v>0</v>
      </c>
      <c r="Z649" s="168">
        <f>IF(ISERROR(Personalplanung!S25/Monatsplanung!$E25*Monatsplanung!$M25),0,Personalplanung!S25/Monatsplanung!$E25*Monatsplanung!$M25)</f>
        <v>0</v>
      </c>
      <c r="AA649" s="80">
        <f t="shared" si="205"/>
        <v>0</v>
      </c>
      <c r="AB649" s="102">
        <f t="shared" si="206"/>
        <v>0.1</v>
      </c>
      <c r="AC649" s="103">
        <f t="shared" si="207"/>
        <v>0</v>
      </c>
      <c r="AD649" s="103">
        <f t="shared" si="208"/>
        <v>0</v>
      </c>
      <c r="AE649" s="81">
        <f t="shared" si="209"/>
        <v>0</v>
      </c>
      <c r="AF649" s="539"/>
      <c r="AG649" s="104">
        <f t="shared" si="210"/>
        <v>1</v>
      </c>
      <c r="AH649" s="7">
        <f t="shared" si="211"/>
        <v>0</v>
      </c>
      <c r="AI649" s="6">
        <f t="shared" si="212"/>
        <v>0</v>
      </c>
      <c r="AJ649" s="73">
        <f t="shared" si="213"/>
        <v>0</v>
      </c>
      <c r="AK649" s="539"/>
      <c r="AL649" s="748"/>
      <c r="AM649" s="748"/>
    </row>
    <row r="650" spans="2:39" x14ac:dyDescent="0.2">
      <c r="B650" s="101" t="str">
        <f t="shared" si="198"/>
        <v/>
      </c>
      <c r="C650" s="168">
        <f>IF(ISERROR(Personalplanung!F26/Monatsplanung!$E26*Monatsplanung!$M26),0,Personalplanung!F26/Monatsplanung!$E26*Monatsplanung!$M26)</f>
        <v>0</v>
      </c>
      <c r="D650" s="168">
        <f t="shared" si="199"/>
        <v>0</v>
      </c>
      <c r="E650" s="168">
        <f>IF(ISERROR(Personalplanung!H26/Monatsplanung!$E26*Monatsplanung!$M26),0,Personalplanung!H26/Monatsplanung!$E26*Monatsplanung!$M26)</f>
        <v>0</v>
      </c>
      <c r="F650" s="168">
        <f t="shared" si="200"/>
        <v>0</v>
      </c>
      <c r="G650" s="168">
        <f t="shared" si="201"/>
        <v>27.700831024930746</v>
      </c>
      <c r="H650" s="168">
        <f t="shared" si="202"/>
        <v>0</v>
      </c>
      <c r="I650" s="168">
        <f t="shared" si="203"/>
        <v>30</v>
      </c>
      <c r="J650" s="739"/>
      <c r="K650" s="168">
        <f>IF(J650&lt;&gt;"",J650,IF(ISERROR(Personalplanung!AB26/Monatsplanung!$E26*Monatsplanung!$M26),0,Personalplanung!AB26/Monatsplanung!$E26*Monatsplanung!$M26))</f>
        <v>0</v>
      </c>
      <c r="L650" s="740"/>
      <c r="M650" s="739"/>
      <c r="N650" s="168">
        <f>IF(M650&lt;&gt;"",M650,IF(ISERROR(Personalplanung!AC26/Monatsplanung!$E26*Monatsplanung!$M26),0,Personalplanung!AC26/Monatsplanung!$E26*Monatsplanung!$M26))</f>
        <v>0</v>
      </c>
      <c r="O650" s="740"/>
      <c r="P650" s="739"/>
      <c r="Q650" s="168">
        <f>IF(P650&lt;&gt;"",P650,IF(ISERROR(Personalplanung!AD26/Monatsplanung!$E26*Monatsplanung!$M26),0,Personalplanung!AD26/Monatsplanung!$E26*Monatsplanung!$M26))</f>
        <v>0</v>
      </c>
      <c r="R650" s="740"/>
      <c r="S650" s="739"/>
      <c r="T650" s="168">
        <f>IF(S650&lt;&gt;"",S650,IF(ISERROR(Personalplanung!AE26/Monatsplanung!$E26*Monatsplanung!$M26),0,Personalplanung!AE26/Monatsplanung!$E26*Monatsplanung!$M26))</f>
        <v>0</v>
      </c>
      <c r="U650" s="740"/>
      <c r="V650" s="168">
        <f t="shared" si="204"/>
        <v>0</v>
      </c>
      <c r="W650" s="168">
        <f>IF(ISERROR(Personalplanung!P26/Monatsplanung!$E26*Monatsplanung!$M26),0,Personalplanung!P26/Monatsplanung!$E26*Monatsplanung!$M26)</f>
        <v>0</v>
      </c>
      <c r="X650" s="168">
        <f>IF(ISERROR(Personalplanung!Q26/Monatsplanung!$E26*Monatsplanung!$M26),0,Personalplanung!Q26/Monatsplanung!$E26*Monatsplanung!$M26)</f>
        <v>0</v>
      </c>
      <c r="Y650" s="168">
        <f>IF(ISERROR(Personalplanung!R26/T1274*Stundencontrolling!T650),0,Personalplanung!R26/T1274*Stundencontrolling!T650)</f>
        <v>0</v>
      </c>
      <c r="Z650" s="168">
        <f>IF(ISERROR(Personalplanung!S26/Monatsplanung!$E26*Monatsplanung!$M26),0,Personalplanung!S26/Monatsplanung!$E26*Monatsplanung!$M26)</f>
        <v>0</v>
      </c>
      <c r="AA650" s="80">
        <f t="shared" si="205"/>
        <v>0</v>
      </c>
      <c r="AB650" s="102">
        <f t="shared" si="206"/>
        <v>0.1</v>
      </c>
      <c r="AC650" s="103">
        <f t="shared" si="207"/>
        <v>0</v>
      </c>
      <c r="AD650" s="103">
        <f t="shared" si="208"/>
        <v>0</v>
      </c>
      <c r="AE650" s="81">
        <f t="shared" si="209"/>
        <v>0</v>
      </c>
      <c r="AF650" s="539"/>
      <c r="AG650" s="104">
        <f t="shared" si="210"/>
        <v>1</v>
      </c>
      <c r="AH650" s="7">
        <f t="shared" si="211"/>
        <v>0</v>
      </c>
      <c r="AI650" s="6">
        <f t="shared" si="212"/>
        <v>0</v>
      </c>
      <c r="AJ650" s="73">
        <f t="shared" si="213"/>
        <v>0</v>
      </c>
      <c r="AK650" s="539"/>
      <c r="AL650" s="748"/>
      <c r="AM650" s="748"/>
    </row>
    <row r="651" spans="2:39" x14ac:dyDescent="0.2">
      <c r="B651" s="101" t="str">
        <f t="shared" si="198"/>
        <v/>
      </c>
      <c r="C651" s="168">
        <f>IF(ISERROR(Personalplanung!F27/Monatsplanung!$E27*Monatsplanung!$M27),0,Personalplanung!F27/Monatsplanung!$E27*Monatsplanung!$M27)</f>
        <v>0</v>
      </c>
      <c r="D651" s="168">
        <f t="shared" si="199"/>
        <v>0</v>
      </c>
      <c r="E651" s="168">
        <f>IF(ISERROR(Personalplanung!H27/Monatsplanung!$E27*Monatsplanung!$M27),0,Personalplanung!H27/Monatsplanung!$E27*Monatsplanung!$M27)</f>
        <v>0</v>
      </c>
      <c r="F651" s="168">
        <f t="shared" si="200"/>
        <v>0</v>
      </c>
      <c r="G651" s="168">
        <f t="shared" si="201"/>
        <v>27.700831024930746</v>
      </c>
      <c r="H651" s="168">
        <f t="shared" si="202"/>
        <v>0</v>
      </c>
      <c r="I651" s="168">
        <f t="shared" si="203"/>
        <v>30</v>
      </c>
      <c r="J651" s="739"/>
      <c r="K651" s="168">
        <f>IF(J651&lt;&gt;"",J651,IF(ISERROR(Personalplanung!AB27/Monatsplanung!$E27*Monatsplanung!$M27),0,Personalplanung!AB27/Monatsplanung!$E27*Monatsplanung!$M27))</f>
        <v>0</v>
      </c>
      <c r="L651" s="740"/>
      <c r="M651" s="739"/>
      <c r="N651" s="168">
        <f>IF(M651&lt;&gt;"",M651,IF(ISERROR(Personalplanung!AC27/Monatsplanung!$E27*Monatsplanung!$M27),0,Personalplanung!AC27/Monatsplanung!$E27*Monatsplanung!$M27))</f>
        <v>0</v>
      </c>
      <c r="O651" s="740"/>
      <c r="P651" s="739"/>
      <c r="Q651" s="168">
        <f>IF(P651&lt;&gt;"",P651,IF(ISERROR(Personalplanung!AD27/Monatsplanung!$E27*Monatsplanung!$M27),0,Personalplanung!AD27/Monatsplanung!$E27*Monatsplanung!$M27))</f>
        <v>0</v>
      </c>
      <c r="R651" s="740"/>
      <c r="S651" s="739"/>
      <c r="T651" s="168">
        <f>IF(S651&lt;&gt;"",S651,IF(ISERROR(Personalplanung!AE27/Monatsplanung!$E27*Monatsplanung!$M27),0,Personalplanung!AE27/Monatsplanung!$E27*Monatsplanung!$M27))</f>
        <v>0</v>
      </c>
      <c r="U651" s="740"/>
      <c r="V651" s="168">
        <f t="shared" si="204"/>
        <v>0</v>
      </c>
      <c r="W651" s="168">
        <f>IF(ISERROR(Personalplanung!P27/Monatsplanung!$E27*Monatsplanung!$M27),0,Personalplanung!P27/Monatsplanung!$E27*Monatsplanung!$M27)</f>
        <v>0</v>
      </c>
      <c r="X651" s="168">
        <f>IF(ISERROR(Personalplanung!Q27/Monatsplanung!$E27*Monatsplanung!$M27),0,Personalplanung!Q27/Monatsplanung!$E27*Monatsplanung!$M27)</f>
        <v>0</v>
      </c>
      <c r="Y651" s="168">
        <f>IF(ISERROR(Personalplanung!R27/T1275*Stundencontrolling!T651),0,Personalplanung!R27/T1275*Stundencontrolling!T651)</f>
        <v>0</v>
      </c>
      <c r="Z651" s="168">
        <f>IF(ISERROR(Personalplanung!S27/Monatsplanung!$E27*Monatsplanung!$M27),0,Personalplanung!S27/Monatsplanung!$E27*Monatsplanung!$M27)</f>
        <v>0</v>
      </c>
      <c r="AA651" s="80">
        <f t="shared" si="205"/>
        <v>0</v>
      </c>
      <c r="AB651" s="102">
        <f t="shared" si="206"/>
        <v>0.1</v>
      </c>
      <c r="AC651" s="103">
        <f t="shared" si="207"/>
        <v>0</v>
      </c>
      <c r="AD651" s="103">
        <f t="shared" si="208"/>
        <v>0</v>
      </c>
      <c r="AE651" s="81">
        <f t="shared" si="209"/>
        <v>0</v>
      </c>
      <c r="AF651" s="539"/>
      <c r="AG651" s="104">
        <f t="shared" si="210"/>
        <v>1</v>
      </c>
      <c r="AH651" s="7">
        <f t="shared" si="211"/>
        <v>0</v>
      </c>
      <c r="AI651" s="6">
        <f t="shared" si="212"/>
        <v>0</v>
      </c>
      <c r="AJ651" s="73">
        <f t="shared" si="213"/>
        <v>0</v>
      </c>
      <c r="AK651" s="539"/>
      <c r="AL651" s="748"/>
      <c r="AM651" s="748"/>
    </row>
    <row r="652" spans="2:39" x14ac:dyDescent="0.2">
      <c r="B652" s="101" t="str">
        <f t="shared" si="198"/>
        <v/>
      </c>
      <c r="C652" s="168">
        <f>IF(ISERROR(Personalplanung!F28/Monatsplanung!$E28*Monatsplanung!$M28),0,Personalplanung!F28/Monatsplanung!$E28*Monatsplanung!$M28)</f>
        <v>0</v>
      </c>
      <c r="D652" s="168">
        <f t="shared" si="199"/>
        <v>0</v>
      </c>
      <c r="E652" s="168">
        <f>IF(ISERROR(Personalplanung!H28/Monatsplanung!$E28*Monatsplanung!$M28),0,Personalplanung!H28/Monatsplanung!$E28*Monatsplanung!$M28)</f>
        <v>0</v>
      </c>
      <c r="F652" s="168">
        <f t="shared" si="200"/>
        <v>0</v>
      </c>
      <c r="G652" s="168">
        <f t="shared" si="201"/>
        <v>27.700831024930746</v>
      </c>
      <c r="H652" s="168">
        <f t="shared" si="202"/>
        <v>0</v>
      </c>
      <c r="I652" s="168">
        <f t="shared" si="203"/>
        <v>30</v>
      </c>
      <c r="J652" s="739"/>
      <c r="K652" s="168">
        <f>IF(J652&lt;&gt;"",J652,IF(ISERROR(Personalplanung!AB28/Monatsplanung!$E28*Monatsplanung!$M28),0,Personalplanung!AB28/Monatsplanung!$E28*Monatsplanung!$M28))</f>
        <v>0</v>
      </c>
      <c r="L652" s="740"/>
      <c r="M652" s="739"/>
      <c r="N652" s="168">
        <f>IF(M652&lt;&gt;"",M652,IF(ISERROR(Personalplanung!AC28/Monatsplanung!$E28*Monatsplanung!$M28),0,Personalplanung!AC28/Monatsplanung!$E28*Monatsplanung!$M28))</f>
        <v>0</v>
      </c>
      <c r="O652" s="740"/>
      <c r="P652" s="739"/>
      <c r="Q652" s="168">
        <f>IF(P652&lt;&gt;"",P652,IF(ISERROR(Personalplanung!AD28/Monatsplanung!$E28*Monatsplanung!$M28),0,Personalplanung!AD28/Monatsplanung!$E28*Monatsplanung!$M28))</f>
        <v>0</v>
      </c>
      <c r="R652" s="740"/>
      <c r="S652" s="739"/>
      <c r="T652" s="168">
        <f>IF(S652&lt;&gt;"",S652,IF(ISERROR(Personalplanung!AE28/Monatsplanung!$E28*Monatsplanung!$M28),0,Personalplanung!AE28/Monatsplanung!$E28*Monatsplanung!$M28))</f>
        <v>0</v>
      </c>
      <c r="U652" s="740"/>
      <c r="V652" s="168">
        <f t="shared" si="204"/>
        <v>0</v>
      </c>
      <c r="W652" s="168">
        <f>IF(ISERROR(Personalplanung!P28/Monatsplanung!$E28*Monatsplanung!$M28),0,Personalplanung!P28/Monatsplanung!$E28*Monatsplanung!$M28)</f>
        <v>0</v>
      </c>
      <c r="X652" s="168">
        <f>IF(ISERROR(Personalplanung!Q28/Monatsplanung!$E28*Monatsplanung!$M28),0,Personalplanung!Q28/Monatsplanung!$E28*Monatsplanung!$M28)</f>
        <v>0</v>
      </c>
      <c r="Y652" s="168">
        <f>IF(ISERROR(Personalplanung!R28/T1276*Stundencontrolling!T652),0,Personalplanung!R28/T1276*Stundencontrolling!T652)</f>
        <v>0</v>
      </c>
      <c r="Z652" s="168">
        <f>IF(ISERROR(Personalplanung!S28/Monatsplanung!$E28*Monatsplanung!$M28),0,Personalplanung!S28/Monatsplanung!$E28*Monatsplanung!$M28)</f>
        <v>0</v>
      </c>
      <c r="AA652" s="80">
        <f t="shared" si="205"/>
        <v>0</v>
      </c>
      <c r="AB652" s="102">
        <f t="shared" si="206"/>
        <v>0.1</v>
      </c>
      <c r="AC652" s="103">
        <f t="shared" si="207"/>
        <v>0</v>
      </c>
      <c r="AD652" s="103">
        <f t="shared" si="208"/>
        <v>0</v>
      </c>
      <c r="AE652" s="81">
        <f t="shared" si="209"/>
        <v>0</v>
      </c>
      <c r="AF652" s="539"/>
      <c r="AG652" s="104">
        <f t="shared" si="210"/>
        <v>1</v>
      </c>
      <c r="AH652" s="7">
        <f t="shared" si="211"/>
        <v>0</v>
      </c>
      <c r="AI652" s="6">
        <f t="shared" si="212"/>
        <v>0</v>
      </c>
      <c r="AJ652" s="73">
        <f t="shared" si="213"/>
        <v>0</v>
      </c>
      <c r="AK652" s="539"/>
      <c r="AL652" s="748"/>
      <c r="AM652" s="748"/>
    </row>
    <row r="653" spans="2:39" x14ac:dyDescent="0.2">
      <c r="B653" s="101" t="str">
        <f t="shared" si="198"/>
        <v/>
      </c>
      <c r="C653" s="168">
        <f>IF(ISERROR(Personalplanung!F29/Monatsplanung!$E29*Monatsplanung!$M29),0,Personalplanung!F29/Monatsplanung!$E29*Monatsplanung!$M29)</f>
        <v>0</v>
      </c>
      <c r="D653" s="168">
        <f t="shared" si="199"/>
        <v>0</v>
      </c>
      <c r="E653" s="168">
        <f>IF(ISERROR(Personalplanung!H29/Monatsplanung!$E29*Monatsplanung!$M29),0,Personalplanung!H29/Monatsplanung!$E29*Monatsplanung!$M29)</f>
        <v>0</v>
      </c>
      <c r="F653" s="168">
        <f t="shared" si="200"/>
        <v>0</v>
      </c>
      <c r="G653" s="168">
        <f t="shared" si="201"/>
        <v>27.700831024930746</v>
      </c>
      <c r="H653" s="168">
        <f t="shared" si="202"/>
        <v>0</v>
      </c>
      <c r="I653" s="168">
        <f t="shared" si="203"/>
        <v>30</v>
      </c>
      <c r="J653" s="739"/>
      <c r="K653" s="168">
        <f>IF(J653&lt;&gt;"",J653,IF(ISERROR(Personalplanung!AB29/Monatsplanung!$E29*Monatsplanung!$M29),0,Personalplanung!AB29/Monatsplanung!$E29*Monatsplanung!$M29))</f>
        <v>0</v>
      </c>
      <c r="L653" s="740"/>
      <c r="M653" s="739"/>
      <c r="N653" s="168">
        <f>IF(M653&lt;&gt;"",M653,IF(ISERROR(Personalplanung!AC29/Monatsplanung!$E29*Monatsplanung!$M29),0,Personalplanung!AC29/Monatsplanung!$E29*Monatsplanung!$M29))</f>
        <v>0</v>
      </c>
      <c r="O653" s="740"/>
      <c r="P653" s="739"/>
      <c r="Q653" s="168">
        <f>IF(P653&lt;&gt;"",P653,IF(ISERROR(Personalplanung!AD29/Monatsplanung!$E29*Monatsplanung!$M29),0,Personalplanung!AD29/Monatsplanung!$E29*Monatsplanung!$M29))</f>
        <v>0</v>
      </c>
      <c r="R653" s="740"/>
      <c r="S653" s="739"/>
      <c r="T653" s="168">
        <f>IF(S653&lt;&gt;"",S653,IF(ISERROR(Personalplanung!AE29/Monatsplanung!$E29*Monatsplanung!$M29),0,Personalplanung!AE29/Monatsplanung!$E29*Monatsplanung!$M29))</f>
        <v>0</v>
      </c>
      <c r="U653" s="740"/>
      <c r="V653" s="168">
        <f t="shared" si="204"/>
        <v>0</v>
      </c>
      <c r="W653" s="168">
        <f>IF(ISERROR(Personalplanung!P29/Monatsplanung!$E29*Monatsplanung!$M29),0,Personalplanung!P29/Monatsplanung!$E29*Monatsplanung!$M29)</f>
        <v>0</v>
      </c>
      <c r="X653" s="168">
        <f>IF(ISERROR(Personalplanung!Q29/Monatsplanung!$E29*Monatsplanung!$M29),0,Personalplanung!Q29/Monatsplanung!$E29*Monatsplanung!$M29)</f>
        <v>0</v>
      </c>
      <c r="Y653" s="168">
        <f>IF(ISERROR(Personalplanung!R29/T1277*Stundencontrolling!T653),0,Personalplanung!R29/T1277*Stundencontrolling!T653)</f>
        <v>0</v>
      </c>
      <c r="Z653" s="168">
        <f>IF(ISERROR(Personalplanung!S29/Monatsplanung!$E29*Monatsplanung!$M29),0,Personalplanung!S29/Monatsplanung!$E29*Monatsplanung!$M29)</f>
        <v>0</v>
      </c>
      <c r="AA653" s="80">
        <f t="shared" si="205"/>
        <v>0</v>
      </c>
      <c r="AB653" s="102">
        <f t="shared" si="206"/>
        <v>0.1</v>
      </c>
      <c r="AC653" s="103">
        <f t="shared" si="207"/>
        <v>0</v>
      </c>
      <c r="AD653" s="103">
        <f t="shared" si="208"/>
        <v>0</v>
      </c>
      <c r="AE653" s="81">
        <f t="shared" si="209"/>
        <v>0</v>
      </c>
      <c r="AF653" s="539"/>
      <c r="AG653" s="104">
        <f t="shared" si="210"/>
        <v>1</v>
      </c>
      <c r="AH653" s="7">
        <f t="shared" si="211"/>
        <v>0</v>
      </c>
      <c r="AI653" s="6">
        <f t="shared" si="212"/>
        <v>0</v>
      </c>
      <c r="AJ653" s="73">
        <f t="shared" si="213"/>
        <v>0</v>
      </c>
      <c r="AK653" s="539"/>
      <c r="AL653" s="748"/>
      <c r="AM653" s="748"/>
    </row>
    <row r="654" spans="2:39" x14ac:dyDescent="0.2">
      <c r="B654" s="101" t="str">
        <f t="shared" si="198"/>
        <v/>
      </c>
      <c r="C654" s="168">
        <f>IF(ISERROR(Personalplanung!F30/Monatsplanung!$E30*Monatsplanung!$M30),0,Personalplanung!F30/Monatsplanung!$E30*Monatsplanung!$M30)</f>
        <v>0</v>
      </c>
      <c r="D654" s="168">
        <f t="shared" si="199"/>
        <v>0</v>
      </c>
      <c r="E654" s="168">
        <f>IF(ISERROR(Personalplanung!H30/Monatsplanung!$E30*Monatsplanung!$M30),0,Personalplanung!H30/Monatsplanung!$E30*Monatsplanung!$M30)</f>
        <v>0</v>
      </c>
      <c r="F654" s="168">
        <f t="shared" si="200"/>
        <v>0</v>
      </c>
      <c r="G654" s="168">
        <f t="shared" si="201"/>
        <v>27.700831024930746</v>
      </c>
      <c r="H654" s="168">
        <f t="shared" si="202"/>
        <v>0</v>
      </c>
      <c r="I654" s="168">
        <f t="shared" si="203"/>
        <v>30</v>
      </c>
      <c r="J654" s="739"/>
      <c r="K654" s="168">
        <f>IF(J654&lt;&gt;"",J654,IF(ISERROR(Personalplanung!AB30/Monatsplanung!$E30*Monatsplanung!$M30),0,Personalplanung!AB30/Monatsplanung!$E30*Monatsplanung!$M30))</f>
        <v>0</v>
      </c>
      <c r="L654" s="740"/>
      <c r="M654" s="739"/>
      <c r="N654" s="168">
        <f>IF(M654&lt;&gt;"",M654,IF(ISERROR(Personalplanung!AC30/Monatsplanung!$E30*Monatsplanung!$M30),0,Personalplanung!AC30/Monatsplanung!$E30*Monatsplanung!$M30))</f>
        <v>0</v>
      </c>
      <c r="O654" s="740"/>
      <c r="P654" s="739"/>
      <c r="Q654" s="168">
        <f>IF(P654&lt;&gt;"",P654,IF(ISERROR(Personalplanung!AD30/Monatsplanung!$E30*Monatsplanung!$M30),0,Personalplanung!AD30/Monatsplanung!$E30*Monatsplanung!$M30))</f>
        <v>0</v>
      </c>
      <c r="R654" s="740"/>
      <c r="S654" s="739"/>
      <c r="T654" s="168">
        <f>IF(S654&lt;&gt;"",S654,IF(ISERROR(Personalplanung!AE30/Monatsplanung!$E30*Monatsplanung!$M30),0,Personalplanung!AE30/Monatsplanung!$E30*Monatsplanung!$M30))</f>
        <v>0</v>
      </c>
      <c r="U654" s="740"/>
      <c r="V654" s="168">
        <f t="shared" si="204"/>
        <v>0</v>
      </c>
      <c r="W654" s="168">
        <f>IF(ISERROR(Personalplanung!P30/Monatsplanung!$E30*Monatsplanung!$M30),0,Personalplanung!P30/Monatsplanung!$E30*Monatsplanung!$M30)</f>
        <v>0</v>
      </c>
      <c r="X654" s="168">
        <f>IF(ISERROR(Personalplanung!Q30/Monatsplanung!$E30*Monatsplanung!$M30),0,Personalplanung!Q30/Monatsplanung!$E30*Monatsplanung!$M30)</f>
        <v>0</v>
      </c>
      <c r="Y654" s="168">
        <f>IF(ISERROR(Personalplanung!R30/T1278*Stundencontrolling!T654),0,Personalplanung!R30/T1278*Stundencontrolling!T654)</f>
        <v>0</v>
      </c>
      <c r="Z654" s="168">
        <f>IF(ISERROR(Personalplanung!S30/Monatsplanung!$E30*Monatsplanung!$M30),0,Personalplanung!S30/Monatsplanung!$E30*Monatsplanung!$M30)</f>
        <v>0</v>
      </c>
      <c r="AA654" s="80">
        <f t="shared" si="205"/>
        <v>0</v>
      </c>
      <c r="AB654" s="102">
        <f t="shared" si="206"/>
        <v>0.1</v>
      </c>
      <c r="AC654" s="103">
        <f t="shared" si="207"/>
        <v>0</v>
      </c>
      <c r="AD654" s="103">
        <f t="shared" si="208"/>
        <v>0</v>
      </c>
      <c r="AE654" s="81">
        <f t="shared" si="209"/>
        <v>0</v>
      </c>
      <c r="AF654" s="539"/>
      <c r="AG654" s="104">
        <f t="shared" si="210"/>
        <v>1</v>
      </c>
      <c r="AH654" s="7">
        <f t="shared" si="211"/>
        <v>0</v>
      </c>
      <c r="AI654" s="6">
        <f t="shared" si="212"/>
        <v>0</v>
      </c>
      <c r="AJ654" s="73">
        <f t="shared" si="213"/>
        <v>0</v>
      </c>
      <c r="AK654" s="539"/>
      <c r="AL654" s="748"/>
      <c r="AM654" s="748"/>
    </row>
    <row r="655" spans="2:39" x14ac:dyDescent="0.2">
      <c r="B655" s="101" t="str">
        <f t="shared" si="198"/>
        <v/>
      </c>
      <c r="C655" s="168">
        <f>IF(ISERROR(Personalplanung!F31/Monatsplanung!$E31*Monatsplanung!$M31),0,Personalplanung!F31/Monatsplanung!$E31*Monatsplanung!$M31)</f>
        <v>0</v>
      </c>
      <c r="D655" s="168">
        <f t="shared" si="199"/>
        <v>0</v>
      </c>
      <c r="E655" s="168">
        <f>IF(ISERROR(Personalplanung!H31/Monatsplanung!$E31*Monatsplanung!$M31),0,Personalplanung!H31/Monatsplanung!$E31*Monatsplanung!$M31)</f>
        <v>0</v>
      </c>
      <c r="F655" s="168">
        <f t="shared" si="200"/>
        <v>0</v>
      </c>
      <c r="G655" s="168">
        <f t="shared" si="201"/>
        <v>27.700831024930746</v>
      </c>
      <c r="H655" s="168">
        <f t="shared" si="202"/>
        <v>0</v>
      </c>
      <c r="I655" s="168">
        <f t="shared" si="203"/>
        <v>30</v>
      </c>
      <c r="J655" s="739"/>
      <c r="K655" s="168">
        <f>IF(J655&lt;&gt;"",J655,IF(ISERROR(Personalplanung!AB31/Monatsplanung!$E31*Monatsplanung!$M31),0,Personalplanung!AB31/Monatsplanung!$E31*Monatsplanung!$M31))</f>
        <v>0</v>
      </c>
      <c r="L655" s="740"/>
      <c r="M655" s="739"/>
      <c r="N655" s="168">
        <f>IF(M655&lt;&gt;"",M655,IF(ISERROR(Personalplanung!AC31/Monatsplanung!$E31*Monatsplanung!$M31),0,Personalplanung!AC31/Monatsplanung!$E31*Monatsplanung!$M31))</f>
        <v>0</v>
      </c>
      <c r="O655" s="740"/>
      <c r="P655" s="739"/>
      <c r="Q655" s="168">
        <f>IF(P655&lt;&gt;"",P655,IF(ISERROR(Personalplanung!AD31/Monatsplanung!$E31*Monatsplanung!$M31),0,Personalplanung!AD31/Monatsplanung!$E31*Monatsplanung!$M31))</f>
        <v>0</v>
      </c>
      <c r="R655" s="740"/>
      <c r="S655" s="739"/>
      <c r="T655" s="168">
        <f>IF(S655&lt;&gt;"",S655,IF(ISERROR(Personalplanung!AE31/Monatsplanung!$E31*Monatsplanung!$M31),0,Personalplanung!AE31/Monatsplanung!$E31*Monatsplanung!$M31))</f>
        <v>0</v>
      </c>
      <c r="U655" s="740"/>
      <c r="V655" s="168">
        <f t="shared" si="204"/>
        <v>0</v>
      </c>
      <c r="W655" s="168">
        <f>IF(ISERROR(Personalplanung!P31/Monatsplanung!$E31*Monatsplanung!$M31),0,Personalplanung!P31/Monatsplanung!$E31*Monatsplanung!$M31)</f>
        <v>0</v>
      </c>
      <c r="X655" s="168">
        <f>IF(ISERROR(Personalplanung!Q31/Monatsplanung!$E31*Monatsplanung!$M31),0,Personalplanung!Q31/Monatsplanung!$E31*Monatsplanung!$M31)</f>
        <v>0</v>
      </c>
      <c r="Y655" s="168">
        <f>IF(ISERROR(Personalplanung!R31/T1279*Stundencontrolling!T655),0,Personalplanung!R31/T1279*Stundencontrolling!T655)</f>
        <v>0</v>
      </c>
      <c r="Z655" s="168">
        <f>IF(ISERROR(Personalplanung!S31/Monatsplanung!$E31*Monatsplanung!$M31),0,Personalplanung!S31/Monatsplanung!$E31*Monatsplanung!$M31)</f>
        <v>0</v>
      </c>
      <c r="AA655" s="80">
        <f t="shared" si="205"/>
        <v>0</v>
      </c>
      <c r="AB655" s="102">
        <f t="shared" si="206"/>
        <v>0.1</v>
      </c>
      <c r="AC655" s="103">
        <f t="shared" si="207"/>
        <v>0</v>
      </c>
      <c r="AD655" s="103">
        <f t="shared" si="208"/>
        <v>0</v>
      </c>
      <c r="AE655" s="81">
        <f t="shared" si="209"/>
        <v>0</v>
      </c>
      <c r="AF655" s="539"/>
      <c r="AG655" s="104">
        <f t="shared" si="210"/>
        <v>1</v>
      </c>
      <c r="AH655" s="7">
        <f t="shared" si="211"/>
        <v>0</v>
      </c>
      <c r="AI655" s="6">
        <f t="shared" si="212"/>
        <v>0</v>
      </c>
      <c r="AJ655" s="73">
        <f t="shared" si="213"/>
        <v>0</v>
      </c>
      <c r="AK655" s="539"/>
      <c r="AL655" s="748"/>
      <c r="AM655" s="748"/>
    </row>
    <row r="656" spans="2:39" x14ac:dyDescent="0.2">
      <c r="B656" s="101" t="str">
        <f t="shared" si="198"/>
        <v/>
      </c>
      <c r="C656" s="168">
        <f>IF(ISERROR(Personalplanung!F32/Monatsplanung!$E32*Monatsplanung!$M32),0,Personalplanung!F32/Monatsplanung!$E32*Monatsplanung!$M32)</f>
        <v>0</v>
      </c>
      <c r="D656" s="168">
        <f t="shared" si="199"/>
        <v>0</v>
      </c>
      <c r="E656" s="168">
        <f>IF(ISERROR(Personalplanung!H32/Monatsplanung!$E32*Monatsplanung!$M32),0,Personalplanung!H32/Monatsplanung!$E32*Monatsplanung!$M32)</f>
        <v>0</v>
      </c>
      <c r="F656" s="168">
        <f t="shared" si="200"/>
        <v>0</v>
      </c>
      <c r="G656" s="168">
        <f t="shared" si="201"/>
        <v>27.700831024930746</v>
      </c>
      <c r="H656" s="168">
        <f t="shared" si="202"/>
        <v>0</v>
      </c>
      <c r="I656" s="168">
        <f t="shared" si="203"/>
        <v>30</v>
      </c>
      <c r="J656" s="739"/>
      <c r="K656" s="168">
        <f>IF(J656&lt;&gt;"",J656,IF(ISERROR(Personalplanung!AB32/Monatsplanung!$E32*Monatsplanung!$M32),0,Personalplanung!AB32/Monatsplanung!$E32*Monatsplanung!$M32))</f>
        <v>0</v>
      </c>
      <c r="L656" s="740"/>
      <c r="M656" s="739"/>
      <c r="N656" s="168">
        <f>IF(M656&lt;&gt;"",M656,IF(ISERROR(Personalplanung!AC32/Monatsplanung!$E32*Monatsplanung!$M32),0,Personalplanung!AC32/Monatsplanung!$E32*Monatsplanung!$M32))</f>
        <v>0</v>
      </c>
      <c r="O656" s="740"/>
      <c r="P656" s="739"/>
      <c r="Q656" s="168">
        <f>IF(P656&lt;&gt;"",P656,IF(ISERROR(Personalplanung!AD32/Monatsplanung!$E32*Monatsplanung!$M32),0,Personalplanung!AD32/Monatsplanung!$E32*Monatsplanung!$M32))</f>
        <v>0</v>
      </c>
      <c r="R656" s="740"/>
      <c r="S656" s="739"/>
      <c r="T656" s="168">
        <f>IF(S656&lt;&gt;"",S656,IF(ISERROR(Personalplanung!AE32/Monatsplanung!$E32*Monatsplanung!$M32),0,Personalplanung!AE32/Monatsplanung!$E32*Monatsplanung!$M32))</f>
        <v>0</v>
      </c>
      <c r="U656" s="740"/>
      <c r="V656" s="168">
        <f t="shared" si="204"/>
        <v>0</v>
      </c>
      <c r="W656" s="168">
        <f>IF(ISERROR(Personalplanung!P32/Monatsplanung!$E32*Monatsplanung!$M32),0,Personalplanung!P32/Monatsplanung!$E32*Monatsplanung!$M32)</f>
        <v>0</v>
      </c>
      <c r="X656" s="168">
        <f>IF(ISERROR(Personalplanung!Q32/Monatsplanung!$E32*Monatsplanung!$M32),0,Personalplanung!Q32/Monatsplanung!$E32*Monatsplanung!$M32)</f>
        <v>0</v>
      </c>
      <c r="Y656" s="168">
        <f>IF(ISERROR(Personalplanung!R32/T1280*Stundencontrolling!T656),0,Personalplanung!R32/T1280*Stundencontrolling!T656)</f>
        <v>0</v>
      </c>
      <c r="Z656" s="168">
        <f>IF(ISERROR(Personalplanung!S32/Monatsplanung!$E32*Monatsplanung!$M32),0,Personalplanung!S32/Monatsplanung!$E32*Monatsplanung!$M32)</f>
        <v>0</v>
      </c>
      <c r="AA656" s="80">
        <f t="shared" si="205"/>
        <v>0</v>
      </c>
      <c r="AB656" s="102">
        <f t="shared" si="206"/>
        <v>0.1</v>
      </c>
      <c r="AC656" s="103">
        <f t="shared" si="207"/>
        <v>0</v>
      </c>
      <c r="AD656" s="103">
        <f t="shared" si="208"/>
        <v>0</v>
      </c>
      <c r="AE656" s="81">
        <f t="shared" si="209"/>
        <v>0</v>
      </c>
      <c r="AF656" s="539"/>
      <c r="AG656" s="104">
        <f t="shared" si="210"/>
        <v>1</v>
      </c>
      <c r="AH656" s="7">
        <f t="shared" si="211"/>
        <v>0</v>
      </c>
      <c r="AI656" s="6">
        <f t="shared" si="212"/>
        <v>0</v>
      </c>
      <c r="AJ656" s="73">
        <f t="shared" si="213"/>
        <v>0</v>
      </c>
      <c r="AK656" s="539"/>
      <c r="AL656" s="748"/>
      <c r="AM656" s="748"/>
    </row>
    <row r="657" spans="2:39" x14ac:dyDescent="0.2">
      <c r="B657" s="101" t="str">
        <f t="shared" si="198"/>
        <v/>
      </c>
      <c r="C657" s="168">
        <f>IF(ISERROR(Personalplanung!F33/Monatsplanung!$E33*Monatsplanung!$M33),0,Personalplanung!F33/Monatsplanung!$E33*Monatsplanung!$M33)</f>
        <v>0</v>
      </c>
      <c r="D657" s="168">
        <f t="shared" si="199"/>
        <v>0</v>
      </c>
      <c r="E657" s="168">
        <f>IF(ISERROR(Personalplanung!H33/Monatsplanung!$E33*Monatsplanung!$M33),0,Personalplanung!H33/Monatsplanung!$E33*Monatsplanung!$M33)</f>
        <v>0</v>
      </c>
      <c r="F657" s="168">
        <f t="shared" si="200"/>
        <v>0</v>
      </c>
      <c r="G657" s="168">
        <f t="shared" si="201"/>
        <v>27.700831024930746</v>
      </c>
      <c r="H657" s="168">
        <f t="shared" si="202"/>
        <v>0</v>
      </c>
      <c r="I657" s="168">
        <f t="shared" si="203"/>
        <v>30</v>
      </c>
      <c r="J657" s="739"/>
      <c r="K657" s="168">
        <f>IF(J657&lt;&gt;"",J657,IF(ISERROR(Personalplanung!AB33/Monatsplanung!$E33*Monatsplanung!$M33),0,Personalplanung!AB33/Monatsplanung!$E33*Monatsplanung!$M33))</f>
        <v>0</v>
      </c>
      <c r="L657" s="740"/>
      <c r="M657" s="739"/>
      <c r="N657" s="168">
        <f>IF(M657&lt;&gt;"",M657,IF(ISERROR(Personalplanung!AC33/Monatsplanung!$E33*Monatsplanung!$M33),0,Personalplanung!AC33/Monatsplanung!$E33*Monatsplanung!$M33))</f>
        <v>0</v>
      </c>
      <c r="O657" s="740"/>
      <c r="P657" s="739"/>
      <c r="Q657" s="168">
        <f>IF(P657&lt;&gt;"",P657,IF(ISERROR(Personalplanung!AD33/Monatsplanung!$E33*Monatsplanung!$M33),0,Personalplanung!AD33/Monatsplanung!$E33*Monatsplanung!$M33))</f>
        <v>0</v>
      </c>
      <c r="R657" s="740"/>
      <c r="S657" s="739"/>
      <c r="T657" s="168">
        <f>IF(S657&lt;&gt;"",S657,IF(ISERROR(Personalplanung!AE33/Monatsplanung!$E33*Monatsplanung!$M33),0,Personalplanung!AE33/Monatsplanung!$E33*Monatsplanung!$M33))</f>
        <v>0</v>
      </c>
      <c r="U657" s="740"/>
      <c r="V657" s="168">
        <f t="shared" si="204"/>
        <v>0</v>
      </c>
      <c r="W657" s="168">
        <f>IF(ISERROR(Personalplanung!P33/Monatsplanung!$E33*Monatsplanung!$M33),0,Personalplanung!P33/Monatsplanung!$E33*Monatsplanung!$M33)</f>
        <v>0</v>
      </c>
      <c r="X657" s="168">
        <f>IF(ISERROR(Personalplanung!Q33/Monatsplanung!$E33*Monatsplanung!$M33),0,Personalplanung!Q33/Monatsplanung!$E33*Monatsplanung!$M33)</f>
        <v>0</v>
      </c>
      <c r="Y657" s="168">
        <f>IF(ISERROR(Personalplanung!R33/T1281*Stundencontrolling!T657),0,Personalplanung!R33/T1281*Stundencontrolling!T657)</f>
        <v>0</v>
      </c>
      <c r="Z657" s="168">
        <f>IF(ISERROR(Personalplanung!S33/Monatsplanung!$E33*Monatsplanung!$M33),0,Personalplanung!S33/Monatsplanung!$E33*Monatsplanung!$M33)</f>
        <v>0</v>
      </c>
      <c r="AA657" s="80">
        <f t="shared" si="205"/>
        <v>0</v>
      </c>
      <c r="AB657" s="102">
        <f t="shared" si="206"/>
        <v>0.1</v>
      </c>
      <c r="AC657" s="103">
        <f t="shared" si="207"/>
        <v>0</v>
      </c>
      <c r="AD657" s="103">
        <f t="shared" si="208"/>
        <v>0</v>
      </c>
      <c r="AE657" s="81">
        <f t="shared" si="209"/>
        <v>0</v>
      </c>
      <c r="AF657" s="539"/>
      <c r="AG657" s="104">
        <f t="shared" si="210"/>
        <v>1</v>
      </c>
      <c r="AH657" s="7">
        <f t="shared" si="211"/>
        <v>0</v>
      </c>
      <c r="AI657" s="6">
        <f t="shared" si="212"/>
        <v>0</v>
      </c>
      <c r="AJ657" s="73">
        <f t="shared" si="213"/>
        <v>0</v>
      </c>
      <c r="AK657" s="539"/>
      <c r="AL657" s="748"/>
      <c r="AM657" s="748"/>
    </row>
    <row r="658" spans="2:39" x14ac:dyDescent="0.2">
      <c r="B658" s="101" t="str">
        <f t="shared" si="198"/>
        <v/>
      </c>
      <c r="C658" s="168">
        <f>IF(ISERROR(Personalplanung!F34/Monatsplanung!$E34*Monatsplanung!$M34),0,Personalplanung!F34/Monatsplanung!$E34*Monatsplanung!$M34)</f>
        <v>0</v>
      </c>
      <c r="D658" s="168">
        <f t="shared" si="199"/>
        <v>0</v>
      </c>
      <c r="E658" s="168">
        <f>IF(ISERROR(Personalplanung!H34/Monatsplanung!$E34*Monatsplanung!$M34),0,Personalplanung!H34/Monatsplanung!$E34*Monatsplanung!$M34)</f>
        <v>0</v>
      </c>
      <c r="F658" s="168">
        <f t="shared" si="200"/>
        <v>0</v>
      </c>
      <c r="G658" s="168">
        <f t="shared" si="201"/>
        <v>27.700831024930746</v>
      </c>
      <c r="H658" s="168">
        <f t="shared" si="202"/>
        <v>0</v>
      </c>
      <c r="I658" s="168">
        <f t="shared" si="203"/>
        <v>30</v>
      </c>
      <c r="J658" s="739"/>
      <c r="K658" s="168">
        <f>IF(J658&lt;&gt;"",J658,IF(ISERROR(Personalplanung!AB34/Monatsplanung!$E34*Monatsplanung!$M34),0,Personalplanung!AB34/Monatsplanung!$E34*Monatsplanung!$M34))</f>
        <v>0</v>
      </c>
      <c r="L658" s="740"/>
      <c r="M658" s="739"/>
      <c r="N658" s="168">
        <f>IF(M658&lt;&gt;"",M658,IF(ISERROR(Personalplanung!AC34/Monatsplanung!$E34*Monatsplanung!$M34),0,Personalplanung!AC34/Monatsplanung!$E34*Monatsplanung!$M34))</f>
        <v>0</v>
      </c>
      <c r="O658" s="740"/>
      <c r="P658" s="739"/>
      <c r="Q658" s="168">
        <f>IF(P658&lt;&gt;"",P658,IF(ISERROR(Personalplanung!AD34/Monatsplanung!$E34*Monatsplanung!$M34),0,Personalplanung!AD34/Monatsplanung!$E34*Monatsplanung!$M34))</f>
        <v>0</v>
      </c>
      <c r="R658" s="740"/>
      <c r="S658" s="739"/>
      <c r="T658" s="168">
        <f>IF(S658&lt;&gt;"",S658,IF(ISERROR(Personalplanung!AE34/Monatsplanung!$E34*Monatsplanung!$M34),0,Personalplanung!AE34/Monatsplanung!$E34*Monatsplanung!$M34))</f>
        <v>0</v>
      </c>
      <c r="U658" s="740"/>
      <c r="V658" s="168">
        <f t="shared" si="204"/>
        <v>0</v>
      </c>
      <c r="W658" s="168">
        <f>IF(ISERROR(Personalplanung!P34/Monatsplanung!$E34*Monatsplanung!$M34),0,Personalplanung!P34/Monatsplanung!$E34*Monatsplanung!$M34)</f>
        <v>0</v>
      </c>
      <c r="X658" s="168">
        <f>IF(ISERROR(Personalplanung!Q34/Monatsplanung!$E34*Monatsplanung!$M34),0,Personalplanung!Q34/Monatsplanung!$E34*Monatsplanung!$M34)</f>
        <v>0</v>
      </c>
      <c r="Y658" s="168">
        <f>IF(ISERROR(Personalplanung!R34/T1282*Stundencontrolling!T658),0,Personalplanung!R34/T1282*Stundencontrolling!T658)</f>
        <v>0</v>
      </c>
      <c r="Z658" s="168">
        <f>IF(ISERROR(Personalplanung!S34/Monatsplanung!$E34*Monatsplanung!$M34),0,Personalplanung!S34/Monatsplanung!$E34*Monatsplanung!$M34)</f>
        <v>0</v>
      </c>
      <c r="AA658" s="80">
        <f t="shared" si="205"/>
        <v>0</v>
      </c>
      <c r="AB658" s="102">
        <f t="shared" si="206"/>
        <v>0.1</v>
      </c>
      <c r="AC658" s="103">
        <f t="shared" si="207"/>
        <v>0</v>
      </c>
      <c r="AD658" s="103">
        <f t="shared" si="208"/>
        <v>0</v>
      </c>
      <c r="AE658" s="81">
        <f t="shared" si="209"/>
        <v>0</v>
      </c>
      <c r="AF658" s="539"/>
      <c r="AG658" s="104">
        <f t="shared" si="210"/>
        <v>1</v>
      </c>
      <c r="AH658" s="7">
        <f t="shared" si="211"/>
        <v>0</v>
      </c>
      <c r="AI658" s="6">
        <f t="shared" si="212"/>
        <v>0</v>
      </c>
      <c r="AJ658" s="73">
        <f t="shared" si="213"/>
        <v>0</v>
      </c>
      <c r="AK658" s="539"/>
      <c r="AL658" s="748"/>
      <c r="AM658" s="748"/>
    </row>
    <row r="659" spans="2:39" x14ac:dyDescent="0.2">
      <c r="B659" s="101" t="str">
        <f t="shared" si="198"/>
        <v/>
      </c>
      <c r="C659" s="168">
        <f>IF(ISERROR(Personalplanung!F35/Monatsplanung!$E35*Monatsplanung!$M35),0,Personalplanung!F35/Monatsplanung!$E35*Monatsplanung!$M35)</f>
        <v>0</v>
      </c>
      <c r="D659" s="168">
        <f t="shared" si="199"/>
        <v>0</v>
      </c>
      <c r="E659" s="168">
        <f>IF(ISERROR(Personalplanung!H35/Monatsplanung!$E35*Monatsplanung!$M35),0,Personalplanung!H35/Monatsplanung!$E35*Monatsplanung!$M35)</f>
        <v>0</v>
      </c>
      <c r="F659" s="168">
        <f t="shared" si="200"/>
        <v>0</v>
      </c>
      <c r="G659" s="168">
        <f t="shared" si="201"/>
        <v>27.700831024930746</v>
      </c>
      <c r="H659" s="168">
        <f t="shared" si="202"/>
        <v>0</v>
      </c>
      <c r="I659" s="168">
        <f t="shared" si="203"/>
        <v>30</v>
      </c>
      <c r="J659" s="739"/>
      <c r="K659" s="168">
        <f>IF(J659&lt;&gt;"",J659,IF(ISERROR(Personalplanung!AB35/Monatsplanung!$E35*Monatsplanung!$M35),0,Personalplanung!AB35/Monatsplanung!$E35*Monatsplanung!$M35))</f>
        <v>0</v>
      </c>
      <c r="L659" s="740"/>
      <c r="M659" s="739"/>
      <c r="N659" s="168">
        <f>IF(M659&lt;&gt;"",M659,IF(ISERROR(Personalplanung!AC35/Monatsplanung!$E35*Monatsplanung!$M35),0,Personalplanung!AC35/Monatsplanung!$E35*Monatsplanung!$M35))</f>
        <v>0</v>
      </c>
      <c r="O659" s="740"/>
      <c r="P659" s="739"/>
      <c r="Q659" s="168">
        <f>IF(P659&lt;&gt;"",P659,IF(ISERROR(Personalplanung!AD35/Monatsplanung!$E35*Monatsplanung!$M35),0,Personalplanung!AD35/Monatsplanung!$E35*Monatsplanung!$M35))</f>
        <v>0</v>
      </c>
      <c r="R659" s="740"/>
      <c r="S659" s="739"/>
      <c r="T659" s="168">
        <f>IF(S659&lt;&gt;"",S659,IF(ISERROR(Personalplanung!AE35/Monatsplanung!$E35*Monatsplanung!$M35),0,Personalplanung!AE35/Monatsplanung!$E35*Monatsplanung!$M35))</f>
        <v>0</v>
      </c>
      <c r="U659" s="740"/>
      <c r="V659" s="168">
        <f t="shared" si="204"/>
        <v>0</v>
      </c>
      <c r="W659" s="168">
        <f>IF(ISERROR(Personalplanung!P35/Monatsplanung!$E35*Monatsplanung!$M35),0,Personalplanung!P35/Monatsplanung!$E35*Monatsplanung!$M35)</f>
        <v>0</v>
      </c>
      <c r="X659" s="168">
        <f>IF(ISERROR(Personalplanung!Q35/Monatsplanung!$E35*Monatsplanung!$M35),0,Personalplanung!Q35/Monatsplanung!$E35*Monatsplanung!$M35)</f>
        <v>0</v>
      </c>
      <c r="Y659" s="168">
        <f>IF(ISERROR(Personalplanung!R35/T1283*Stundencontrolling!T659),0,Personalplanung!R35/T1283*Stundencontrolling!T659)</f>
        <v>0</v>
      </c>
      <c r="Z659" s="168">
        <f>IF(ISERROR(Personalplanung!S35/Monatsplanung!$E35*Monatsplanung!$M35),0,Personalplanung!S35/Monatsplanung!$E35*Monatsplanung!$M35)</f>
        <v>0</v>
      </c>
      <c r="AA659" s="80">
        <f t="shared" si="205"/>
        <v>0</v>
      </c>
      <c r="AB659" s="102">
        <f t="shared" si="206"/>
        <v>0.1</v>
      </c>
      <c r="AC659" s="103">
        <f t="shared" si="207"/>
        <v>0</v>
      </c>
      <c r="AD659" s="103">
        <f t="shared" si="208"/>
        <v>0</v>
      </c>
      <c r="AE659" s="81">
        <f t="shared" si="209"/>
        <v>0</v>
      </c>
      <c r="AF659" s="539"/>
      <c r="AG659" s="104">
        <f t="shared" si="210"/>
        <v>1</v>
      </c>
      <c r="AH659" s="7">
        <f t="shared" si="211"/>
        <v>0</v>
      </c>
      <c r="AI659" s="6">
        <f t="shared" si="212"/>
        <v>0</v>
      </c>
      <c r="AJ659" s="73">
        <f t="shared" si="213"/>
        <v>0</v>
      </c>
      <c r="AK659" s="539"/>
      <c r="AL659" s="748"/>
      <c r="AM659" s="748"/>
    </row>
    <row r="660" spans="2:39" x14ac:dyDescent="0.2">
      <c r="B660" s="101" t="str">
        <f t="shared" si="198"/>
        <v/>
      </c>
      <c r="C660" s="168">
        <f>IF(ISERROR(Personalplanung!F36/Monatsplanung!$E36*Monatsplanung!$M36),0,Personalplanung!F36/Monatsplanung!$E36*Monatsplanung!$M36)</f>
        <v>0</v>
      </c>
      <c r="D660" s="168">
        <f t="shared" si="199"/>
        <v>0</v>
      </c>
      <c r="E660" s="168">
        <f>IF(ISERROR(Personalplanung!H36/Monatsplanung!$E36*Monatsplanung!$M36),0,Personalplanung!H36/Monatsplanung!$E36*Monatsplanung!$M36)</f>
        <v>0</v>
      </c>
      <c r="F660" s="168">
        <f t="shared" si="200"/>
        <v>0</v>
      </c>
      <c r="G660" s="168">
        <f t="shared" si="201"/>
        <v>27.700831024930746</v>
      </c>
      <c r="H660" s="168">
        <f t="shared" si="202"/>
        <v>0</v>
      </c>
      <c r="I660" s="168">
        <f t="shared" si="203"/>
        <v>30</v>
      </c>
      <c r="J660" s="739"/>
      <c r="K660" s="168">
        <f>IF(J660&lt;&gt;"",J660,IF(ISERROR(Personalplanung!AB36/Monatsplanung!$E36*Monatsplanung!$M36),0,Personalplanung!AB36/Monatsplanung!$E36*Monatsplanung!$M36))</f>
        <v>0</v>
      </c>
      <c r="L660" s="740"/>
      <c r="M660" s="739"/>
      <c r="N660" s="168">
        <f>IF(M660&lt;&gt;"",M660,IF(ISERROR(Personalplanung!AC36/Monatsplanung!$E36*Monatsplanung!$M36),0,Personalplanung!AC36/Monatsplanung!$E36*Monatsplanung!$M36))</f>
        <v>0</v>
      </c>
      <c r="O660" s="740"/>
      <c r="P660" s="739"/>
      <c r="Q660" s="168">
        <f>IF(P660&lt;&gt;"",P660,IF(ISERROR(Personalplanung!AD36/Monatsplanung!$E36*Monatsplanung!$M36),0,Personalplanung!AD36/Monatsplanung!$E36*Monatsplanung!$M36))</f>
        <v>0</v>
      </c>
      <c r="R660" s="740"/>
      <c r="S660" s="739"/>
      <c r="T660" s="168">
        <f>IF(S660&lt;&gt;"",S660,IF(ISERROR(Personalplanung!AE36/Monatsplanung!$E36*Monatsplanung!$M36),0,Personalplanung!AE36/Monatsplanung!$E36*Monatsplanung!$M36))</f>
        <v>0</v>
      </c>
      <c r="U660" s="740"/>
      <c r="V660" s="168">
        <f t="shared" si="204"/>
        <v>0</v>
      </c>
      <c r="W660" s="168">
        <f>IF(ISERROR(Personalplanung!P36/Monatsplanung!$E36*Monatsplanung!$M36),0,Personalplanung!P36/Monatsplanung!$E36*Monatsplanung!$M36)</f>
        <v>0</v>
      </c>
      <c r="X660" s="168">
        <f>IF(ISERROR(Personalplanung!Q36/Monatsplanung!$E36*Monatsplanung!$M36),0,Personalplanung!Q36/Monatsplanung!$E36*Monatsplanung!$M36)</f>
        <v>0</v>
      </c>
      <c r="Y660" s="168">
        <f>IF(ISERROR(Personalplanung!R36/T1284*Stundencontrolling!T660),0,Personalplanung!R36/T1284*Stundencontrolling!T660)</f>
        <v>0</v>
      </c>
      <c r="Z660" s="168">
        <f>IF(ISERROR(Personalplanung!S36/Monatsplanung!$E36*Monatsplanung!$M36),0,Personalplanung!S36/Monatsplanung!$E36*Monatsplanung!$M36)</f>
        <v>0</v>
      </c>
      <c r="AA660" s="80">
        <f t="shared" si="205"/>
        <v>0</v>
      </c>
      <c r="AB660" s="102">
        <f t="shared" si="206"/>
        <v>0.1</v>
      </c>
      <c r="AC660" s="103">
        <f t="shared" si="207"/>
        <v>0</v>
      </c>
      <c r="AD660" s="103">
        <f t="shared" si="208"/>
        <v>0</v>
      </c>
      <c r="AE660" s="81">
        <f t="shared" si="209"/>
        <v>0</v>
      </c>
      <c r="AF660" s="539"/>
      <c r="AG660" s="104">
        <f t="shared" si="210"/>
        <v>1</v>
      </c>
      <c r="AH660" s="7">
        <f t="shared" si="211"/>
        <v>0</v>
      </c>
      <c r="AI660" s="6">
        <f t="shared" si="212"/>
        <v>0</v>
      </c>
      <c r="AJ660" s="73">
        <f t="shared" si="213"/>
        <v>0</v>
      </c>
      <c r="AK660" s="539"/>
      <c r="AL660" s="748"/>
      <c r="AM660" s="748"/>
    </row>
    <row r="661" spans="2:39" x14ac:dyDescent="0.2">
      <c r="B661" s="101" t="str">
        <f t="shared" si="198"/>
        <v/>
      </c>
      <c r="C661" s="168">
        <f>IF(ISERROR(Personalplanung!F37/Monatsplanung!$E37*Monatsplanung!$M37),0,Personalplanung!F37/Monatsplanung!$E37*Monatsplanung!$M37)</f>
        <v>0</v>
      </c>
      <c r="D661" s="168">
        <f t="shared" si="199"/>
        <v>0</v>
      </c>
      <c r="E661" s="168">
        <f>IF(ISERROR(Personalplanung!H37/Monatsplanung!$E37*Monatsplanung!$M37),0,Personalplanung!H37/Monatsplanung!$E37*Monatsplanung!$M37)</f>
        <v>0</v>
      </c>
      <c r="F661" s="168">
        <f t="shared" si="200"/>
        <v>0</v>
      </c>
      <c r="G661" s="168">
        <f t="shared" si="201"/>
        <v>27.700831024930746</v>
      </c>
      <c r="H661" s="168">
        <f t="shared" si="202"/>
        <v>0</v>
      </c>
      <c r="I661" s="168">
        <f t="shared" si="203"/>
        <v>30</v>
      </c>
      <c r="J661" s="739"/>
      <c r="K661" s="168">
        <f>IF(J661&lt;&gt;"",J661,IF(ISERROR(Personalplanung!AB37/Monatsplanung!$E37*Monatsplanung!$M37),0,Personalplanung!AB37/Monatsplanung!$E37*Monatsplanung!$M37))</f>
        <v>0</v>
      </c>
      <c r="L661" s="740"/>
      <c r="M661" s="739"/>
      <c r="N661" s="168">
        <f>IF(M661&lt;&gt;"",M661,IF(ISERROR(Personalplanung!AC37/Monatsplanung!$E37*Monatsplanung!$M37),0,Personalplanung!AC37/Monatsplanung!$E37*Monatsplanung!$M37))</f>
        <v>0</v>
      </c>
      <c r="O661" s="740"/>
      <c r="P661" s="739"/>
      <c r="Q661" s="168">
        <f>IF(P661&lt;&gt;"",P661,IF(ISERROR(Personalplanung!AD37/Monatsplanung!$E37*Monatsplanung!$M37),0,Personalplanung!AD37/Monatsplanung!$E37*Monatsplanung!$M37))</f>
        <v>0</v>
      </c>
      <c r="R661" s="740"/>
      <c r="S661" s="739"/>
      <c r="T661" s="168">
        <f>IF(S661&lt;&gt;"",S661,IF(ISERROR(Personalplanung!AE37/Monatsplanung!$E37*Monatsplanung!$M37),0,Personalplanung!AE37/Monatsplanung!$E37*Monatsplanung!$M37))</f>
        <v>0</v>
      </c>
      <c r="U661" s="740"/>
      <c r="V661" s="168">
        <f t="shared" si="204"/>
        <v>0</v>
      </c>
      <c r="W661" s="168">
        <f>IF(ISERROR(Personalplanung!P37/Monatsplanung!$E37*Monatsplanung!$M37),0,Personalplanung!P37/Monatsplanung!$E37*Monatsplanung!$M37)</f>
        <v>0</v>
      </c>
      <c r="X661" s="168">
        <f>IF(ISERROR(Personalplanung!Q37/Monatsplanung!$E37*Monatsplanung!$M37),0,Personalplanung!Q37/Monatsplanung!$E37*Monatsplanung!$M37)</f>
        <v>0</v>
      </c>
      <c r="Y661" s="168">
        <f>IF(ISERROR(Personalplanung!R37/T1285*Stundencontrolling!T661),0,Personalplanung!R37/T1285*Stundencontrolling!T661)</f>
        <v>0</v>
      </c>
      <c r="Z661" s="168">
        <f>IF(ISERROR(Personalplanung!S37/Monatsplanung!$E37*Monatsplanung!$M37),0,Personalplanung!S37/Monatsplanung!$E37*Monatsplanung!$M37)</f>
        <v>0</v>
      </c>
      <c r="AA661" s="80">
        <f t="shared" si="205"/>
        <v>0</v>
      </c>
      <c r="AB661" s="102">
        <f t="shared" si="206"/>
        <v>0.1</v>
      </c>
      <c r="AC661" s="103">
        <f t="shared" si="207"/>
        <v>0</v>
      </c>
      <c r="AD661" s="103">
        <f t="shared" si="208"/>
        <v>0</v>
      </c>
      <c r="AE661" s="81">
        <f t="shared" si="209"/>
        <v>0</v>
      </c>
      <c r="AF661" s="539"/>
      <c r="AG661" s="104">
        <f t="shared" si="210"/>
        <v>1</v>
      </c>
      <c r="AH661" s="7">
        <f t="shared" si="211"/>
        <v>0</v>
      </c>
      <c r="AI661" s="6">
        <f t="shared" si="212"/>
        <v>0</v>
      </c>
      <c r="AJ661" s="73">
        <f t="shared" si="213"/>
        <v>0</v>
      </c>
      <c r="AK661" s="539"/>
      <c r="AL661" s="748"/>
      <c r="AM661" s="748"/>
    </row>
    <row r="662" spans="2:39" x14ac:dyDescent="0.2">
      <c r="B662" s="101" t="str">
        <f t="shared" si="198"/>
        <v/>
      </c>
      <c r="C662" s="168">
        <f>IF(ISERROR(Personalplanung!F38/Monatsplanung!$E38*Monatsplanung!$M38),0,Personalplanung!F38/Monatsplanung!$E38*Monatsplanung!$M38)</f>
        <v>0</v>
      </c>
      <c r="D662" s="168">
        <f t="shared" si="199"/>
        <v>0</v>
      </c>
      <c r="E662" s="168">
        <f>IF(ISERROR(Personalplanung!H38/Monatsplanung!$E38*Monatsplanung!$M38),0,Personalplanung!H38/Monatsplanung!$E38*Monatsplanung!$M38)</f>
        <v>0</v>
      </c>
      <c r="F662" s="168">
        <f t="shared" si="200"/>
        <v>0</v>
      </c>
      <c r="G662" s="168">
        <f t="shared" si="201"/>
        <v>27.700831024930746</v>
      </c>
      <c r="H662" s="168">
        <f t="shared" si="202"/>
        <v>0</v>
      </c>
      <c r="I662" s="168">
        <f t="shared" si="203"/>
        <v>30</v>
      </c>
      <c r="J662" s="739"/>
      <c r="K662" s="168">
        <f>IF(J662&lt;&gt;"",J662,IF(ISERROR(Personalplanung!AB38/Monatsplanung!$E38*Monatsplanung!$M38),0,Personalplanung!AB38/Monatsplanung!$E38*Monatsplanung!$M38))</f>
        <v>0</v>
      </c>
      <c r="L662" s="740"/>
      <c r="M662" s="739"/>
      <c r="N662" s="168">
        <f>IF(M662&lt;&gt;"",M662,IF(ISERROR(Personalplanung!AC38/Monatsplanung!$E38*Monatsplanung!$M38),0,Personalplanung!AC38/Monatsplanung!$E38*Monatsplanung!$M38))</f>
        <v>0</v>
      </c>
      <c r="O662" s="740"/>
      <c r="P662" s="739"/>
      <c r="Q662" s="168">
        <f>IF(P662&lt;&gt;"",P662,IF(ISERROR(Personalplanung!AD38/Monatsplanung!$E38*Monatsplanung!$M38),0,Personalplanung!AD38/Monatsplanung!$E38*Monatsplanung!$M38))</f>
        <v>0</v>
      </c>
      <c r="R662" s="740"/>
      <c r="S662" s="739"/>
      <c r="T662" s="168">
        <f>IF(S662&lt;&gt;"",S662,IF(ISERROR(Personalplanung!AE38/Monatsplanung!$E38*Monatsplanung!$M38),0,Personalplanung!AE38/Monatsplanung!$E38*Monatsplanung!$M38))</f>
        <v>0</v>
      </c>
      <c r="U662" s="740"/>
      <c r="V662" s="168">
        <f t="shared" si="204"/>
        <v>0</v>
      </c>
      <c r="W662" s="168">
        <f>IF(ISERROR(Personalplanung!P38/Monatsplanung!$E38*Monatsplanung!$M38),0,Personalplanung!P38/Monatsplanung!$E38*Monatsplanung!$M38)</f>
        <v>0</v>
      </c>
      <c r="X662" s="168">
        <f>IF(ISERROR(Personalplanung!Q38/Monatsplanung!$E38*Monatsplanung!$M38),0,Personalplanung!Q38/Monatsplanung!$E38*Monatsplanung!$M38)</f>
        <v>0</v>
      </c>
      <c r="Y662" s="168">
        <f>IF(ISERROR(Personalplanung!R38/T1286*Stundencontrolling!T662),0,Personalplanung!R38/T1286*Stundencontrolling!T662)</f>
        <v>0</v>
      </c>
      <c r="Z662" s="168">
        <f>IF(ISERROR(Personalplanung!S38/Monatsplanung!$E38*Monatsplanung!$M38),0,Personalplanung!S38/Monatsplanung!$E38*Monatsplanung!$M38)</f>
        <v>0</v>
      </c>
      <c r="AA662" s="80">
        <f t="shared" si="205"/>
        <v>0</v>
      </c>
      <c r="AB662" s="102">
        <f t="shared" si="206"/>
        <v>0.1</v>
      </c>
      <c r="AC662" s="103">
        <f t="shared" si="207"/>
        <v>0</v>
      </c>
      <c r="AD662" s="103">
        <f t="shared" si="208"/>
        <v>0</v>
      </c>
      <c r="AE662" s="81">
        <f t="shared" si="209"/>
        <v>0</v>
      </c>
      <c r="AF662" s="539"/>
      <c r="AG662" s="104">
        <f t="shared" si="210"/>
        <v>1</v>
      </c>
      <c r="AH662" s="7">
        <f t="shared" si="211"/>
        <v>0</v>
      </c>
      <c r="AI662" s="6">
        <f t="shared" si="212"/>
        <v>0</v>
      </c>
      <c r="AJ662" s="73">
        <f t="shared" si="213"/>
        <v>0</v>
      </c>
      <c r="AK662" s="539"/>
      <c r="AL662" s="748"/>
      <c r="AM662" s="748"/>
    </row>
    <row r="663" spans="2:39" x14ac:dyDescent="0.2">
      <c r="B663" s="101" t="str">
        <f t="shared" si="198"/>
        <v/>
      </c>
      <c r="C663" s="168">
        <f>IF(ISERROR(Personalplanung!F39/Monatsplanung!$E39*Monatsplanung!$M39),0,Personalplanung!F39/Monatsplanung!$E39*Monatsplanung!$M39)</f>
        <v>0</v>
      </c>
      <c r="D663" s="168">
        <f t="shared" si="199"/>
        <v>0</v>
      </c>
      <c r="E663" s="168">
        <f>IF(ISERROR(Personalplanung!H39/Monatsplanung!$E39*Monatsplanung!$M39),0,Personalplanung!H39/Monatsplanung!$E39*Monatsplanung!$M39)</f>
        <v>0</v>
      </c>
      <c r="F663" s="168">
        <f t="shared" si="200"/>
        <v>0</v>
      </c>
      <c r="G663" s="168">
        <f t="shared" si="201"/>
        <v>27.700831024930746</v>
      </c>
      <c r="H663" s="168">
        <f t="shared" si="202"/>
        <v>0</v>
      </c>
      <c r="I663" s="168">
        <f t="shared" si="203"/>
        <v>30</v>
      </c>
      <c r="J663" s="739"/>
      <c r="K663" s="168">
        <f>IF(J663&lt;&gt;"",J663,IF(ISERROR(Personalplanung!AB39/Monatsplanung!$E39*Monatsplanung!$M39),0,Personalplanung!AB39/Monatsplanung!$E39*Monatsplanung!$M39))</f>
        <v>0</v>
      </c>
      <c r="L663" s="740"/>
      <c r="M663" s="739"/>
      <c r="N663" s="168">
        <f>IF(M663&lt;&gt;"",M663,IF(ISERROR(Personalplanung!AC39/Monatsplanung!$E39*Monatsplanung!$M39),0,Personalplanung!AC39/Monatsplanung!$E39*Monatsplanung!$M39))</f>
        <v>0</v>
      </c>
      <c r="O663" s="740"/>
      <c r="P663" s="739"/>
      <c r="Q663" s="168">
        <f>IF(P663&lt;&gt;"",P663,IF(ISERROR(Personalplanung!AD39/Monatsplanung!$E39*Monatsplanung!$M39),0,Personalplanung!AD39/Monatsplanung!$E39*Monatsplanung!$M39))</f>
        <v>0</v>
      </c>
      <c r="R663" s="740"/>
      <c r="S663" s="739"/>
      <c r="T663" s="168">
        <f>IF(S663&lt;&gt;"",S663,IF(ISERROR(Personalplanung!AE39/Monatsplanung!$E39*Monatsplanung!$M39),0,Personalplanung!AE39/Monatsplanung!$E39*Monatsplanung!$M39))</f>
        <v>0</v>
      </c>
      <c r="U663" s="740"/>
      <c r="V663" s="168">
        <f t="shared" si="204"/>
        <v>0</v>
      </c>
      <c r="W663" s="168">
        <f>IF(ISERROR(Personalplanung!P39/Monatsplanung!$E39*Monatsplanung!$M39),0,Personalplanung!P39/Monatsplanung!$E39*Monatsplanung!$M39)</f>
        <v>0</v>
      </c>
      <c r="X663" s="168">
        <f>IF(ISERROR(Personalplanung!Q39/Monatsplanung!$E39*Monatsplanung!$M39),0,Personalplanung!Q39/Monatsplanung!$E39*Monatsplanung!$M39)</f>
        <v>0</v>
      </c>
      <c r="Y663" s="168">
        <f>IF(ISERROR(Personalplanung!R39/T1287*Stundencontrolling!T663),0,Personalplanung!R39/T1287*Stundencontrolling!T663)</f>
        <v>0</v>
      </c>
      <c r="Z663" s="168">
        <f>IF(ISERROR(Personalplanung!S39/Monatsplanung!$E39*Monatsplanung!$M39),0,Personalplanung!S39/Monatsplanung!$E39*Monatsplanung!$M39)</f>
        <v>0</v>
      </c>
      <c r="AA663" s="80">
        <f t="shared" si="205"/>
        <v>0</v>
      </c>
      <c r="AB663" s="102">
        <f t="shared" si="206"/>
        <v>0.1</v>
      </c>
      <c r="AC663" s="103">
        <f t="shared" si="207"/>
        <v>0</v>
      </c>
      <c r="AD663" s="103">
        <f t="shared" si="208"/>
        <v>0</v>
      </c>
      <c r="AE663" s="81">
        <f t="shared" si="209"/>
        <v>0</v>
      </c>
      <c r="AF663" s="539"/>
      <c r="AG663" s="104">
        <f t="shared" si="210"/>
        <v>1</v>
      </c>
      <c r="AH663" s="7">
        <f t="shared" si="211"/>
        <v>0</v>
      </c>
      <c r="AI663" s="6">
        <f t="shared" si="212"/>
        <v>0</v>
      </c>
      <c r="AJ663" s="73">
        <f t="shared" si="213"/>
        <v>0</v>
      </c>
      <c r="AK663" s="539"/>
      <c r="AL663" s="748"/>
      <c r="AM663" s="748"/>
    </row>
    <row r="664" spans="2:39" x14ac:dyDescent="0.2">
      <c r="B664" s="101" t="str">
        <f t="shared" si="198"/>
        <v/>
      </c>
      <c r="C664" s="168">
        <f>IF(ISERROR(Personalplanung!F40/Monatsplanung!$E40*Monatsplanung!$M40),0,Personalplanung!F40/Monatsplanung!$E40*Monatsplanung!$M40)</f>
        <v>0</v>
      </c>
      <c r="D664" s="168">
        <f t="shared" si="199"/>
        <v>0</v>
      </c>
      <c r="E664" s="168">
        <f>IF(ISERROR(Personalplanung!H40/Monatsplanung!$E40*Monatsplanung!$M40),0,Personalplanung!H40/Monatsplanung!$E40*Monatsplanung!$M40)</f>
        <v>0</v>
      </c>
      <c r="F664" s="168">
        <f t="shared" si="200"/>
        <v>0</v>
      </c>
      <c r="G664" s="168">
        <f t="shared" si="201"/>
        <v>27.700831024930746</v>
      </c>
      <c r="H664" s="168">
        <f t="shared" si="202"/>
        <v>0</v>
      </c>
      <c r="I664" s="168">
        <f t="shared" si="203"/>
        <v>30</v>
      </c>
      <c r="J664" s="739"/>
      <c r="K664" s="168">
        <f>IF(J664&lt;&gt;"",J664,IF(ISERROR(Personalplanung!AB40/Monatsplanung!$E40*Monatsplanung!$M40),0,Personalplanung!AB40/Monatsplanung!$E40*Monatsplanung!$M40))</f>
        <v>0</v>
      </c>
      <c r="L664" s="740"/>
      <c r="M664" s="739"/>
      <c r="N664" s="168">
        <f>IF(M664&lt;&gt;"",M664,IF(ISERROR(Personalplanung!AC40/Monatsplanung!$E40*Monatsplanung!$M40),0,Personalplanung!AC40/Monatsplanung!$E40*Monatsplanung!$M40))</f>
        <v>0</v>
      </c>
      <c r="O664" s="740"/>
      <c r="P664" s="739"/>
      <c r="Q664" s="168">
        <f>IF(P664&lt;&gt;"",P664,IF(ISERROR(Personalplanung!AD40/Monatsplanung!$E40*Monatsplanung!$M40),0,Personalplanung!AD40/Monatsplanung!$E40*Monatsplanung!$M40))</f>
        <v>0</v>
      </c>
      <c r="R664" s="740"/>
      <c r="S664" s="739"/>
      <c r="T664" s="168">
        <f>IF(S664&lt;&gt;"",S664,IF(ISERROR(Personalplanung!AE40/Monatsplanung!$E40*Monatsplanung!$M40),0,Personalplanung!AE40/Monatsplanung!$E40*Monatsplanung!$M40))</f>
        <v>0</v>
      </c>
      <c r="U664" s="740"/>
      <c r="V664" s="168">
        <f t="shared" si="204"/>
        <v>0</v>
      </c>
      <c r="W664" s="168">
        <f>IF(ISERROR(Personalplanung!P40/Monatsplanung!$E40*Monatsplanung!$M40),0,Personalplanung!P40/Monatsplanung!$E40*Monatsplanung!$M40)</f>
        <v>0</v>
      </c>
      <c r="X664" s="168">
        <f>IF(ISERROR(Personalplanung!Q40/Monatsplanung!$E40*Monatsplanung!$M40),0,Personalplanung!Q40/Monatsplanung!$E40*Monatsplanung!$M40)</f>
        <v>0</v>
      </c>
      <c r="Y664" s="168">
        <f>IF(ISERROR(Personalplanung!R40/T1288*Stundencontrolling!T664),0,Personalplanung!R40/T1288*Stundencontrolling!T664)</f>
        <v>0</v>
      </c>
      <c r="Z664" s="168">
        <f>IF(ISERROR(Personalplanung!S40/Monatsplanung!$E40*Monatsplanung!$M40),0,Personalplanung!S40/Monatsplanung!$E40*Monatsplanung!$M40)</f>
        <v>0</v>
      </c>
      <c r="AA664" s="80">
        <f t="shared" si="205"/>
        <v>0</v>
      </c>
      <c r="AB664" s="102">
        <f t="shared" si="206"/>
        <v>0.1</v>
      </c>
      <c r="AC664" s="103">
        <f t="shared" si="207"/>
        <v>0</v>
      </c>
      <c r="AD664" s="103">
        <f t="shared" si="208"/>
        <v>0</v>
      </c>
      <c r="AE664" s="81">
        <f t="shared" si="209"/>
        <v>0</v>
      </c>
      <c r="AF664" s="539"/>
      <c r="AG664" s="104">
        <f t="shared" si="210"/>
        <v>1</v>
      </c>
      <c r="AH664" s="7">
        <f t="shared" si="211"/>
        <v>0</v>
      </c>
      <c r="AI664" s="6">
        <f t="shared" si="212"/>
        <v>0</v>
      </c>
      <c r="AJ664" s="73">
        <f t="shared" si="213"/>
        <v>0</v>
      </c>
      <c r="AK664" s="539"/>
      <c r="AL664" s="748"/>
      <c r="AM664" s="748"/>
    </row>
    <row r="665" spans="2:39" x14ac:dyDescent="0.2">
      <c r="B665" s="101" t="str">
        <f t="shared" si="198"/>
        <v/>
      </c>
      <c r="C665" s="168">
        <f>IF(ISERROR(Personalplanung!F41/Monatsplanung!$E41*Monatsplanung!$M41),0,Personalplanung!F41/Monatsplanung!$E41*Monatsplanung!$M41)</f>
        <v>0</v>
      </c>
      <c r="D665" s="168">
        <f t="shared" si="199"/>
        <v>0</v>
      </c>
      <c r="E665" s="168">
        <f>IF(ISERROR(Personalplanung!H41/Monatsplanung!$E41*Monatsplanung!$M41),0,Personalplanung!H41/Monatsplanung!$E41*Monatsplanung!$M41)</f>
        <v>0</v>
      </c>
      <c r="F665" s="168">
        <f t="shared" si="200"/>
        <v>0</v>
      </c>
      <c r="G665" s="168">
        <f t="shared" si="201"/>
        <v>27.700831024930746</v>
      </c>
      <c r="H665" s="168">
        <f t="shared" si="202"/>
        <v>0</v>
      </c>
      <c r="I665" s="168">
        <f t="shared" si="203"/>
        <v>30</v>
      </c>
      <c r="J665" s="739"/>
      <c r="K665" s="168">
        <f>IF(J665&lt;&gt;"",J665,IF(ISERROR(Personalplanung!AB41/Monatsplanung!$E41*Monatsplanung!$M41),0,Personalplanung!AB41/Monatsplanung!$E41*Monatsplanung!$M41))</f>
        <v>0</v>
      </c>
      <c r="L665" s="740"/>
      <c r="M665" s="739"/>
      <c r="N665" s="168">
        <f>IF(M665&lt;&gt;"",M665,IF(ISERROR(Personalplanung!AC41/Monatsplanung!$E41*Monatsplanung!$M41),0,Personalplanung!AC41/Monatsplanung!$E41*Monatsplanung!$M41))</f>
        <v>0</v>
      </c>
      <c r="O665" s="740"/>
      <c r="P665" s="739"/>
      <c r="Q665" s="168">
        <f>IF(P665&lt;&gt;"",P665,IF(ISERROR(Personalplanung!AD41/Monatsplanung!$E41*Monatsplanung!$M41),0,Personalplanung!AD41/Monatsplanung!$E41*Monatsplanung!$M41))</f>
        <v>0</v>
      </c>
      <c r="R665" s="740"/>
      <c r="S665" s="739"/>
      <c r="T665" s="168">
        <f>IF(S665&lt;&gt;"",S665,IF(ISERROR(Personalplanung!AE41/Monatsplanung!$E41*Monatsplanung!$M41),0,Personalplanung!AE41/Monatsplanung!$E41*Monatsplanung!$M41))</f>
        <v>0</v>
      </c>
      <c r="U665" s="740"/>
      <c r="V665" s="168">
        <f t="shared" si="204"/>
        <v>0</v>
      </c>
      <c r="W665" s="168">
        <f>IF(ISERROR(Personalplanung!P41/Monatsplanung!$E41*Monatsplanung!$M41),0,Personalplanung!P41/Monatsplanung!$E41*Monatsplanung!$M41)</f>
        <v>0</v>
      </c>
      <c r="X665" s="168">
        <f>IF(ISERROR(Personalplanung!Q41/Monatsplanung!$E41*Monatsplanung!$M41),0,Personalplanung!Q41/Monatsplanung!$E41*Monatsplanung!$M41)</f>
        <v>0</v>
      </c>
      <c r="Y665" s="168">
        <f>IF(ISERROR(Personalplanung!R41/T1289*Stundencontrolling!T665),0,Personalplanung!R41/T1289*Stundencontrolling!T665)</f>
        <v>0</v>
      </c>
      <c r="Z665" s="168">
        <f>IF(ISERROR(Personalplanung!S41/Monatsplanung!$E41*Monatsplanung!$M41),0,Personalplanung!S41/Monatsplanung!$E41*Monatsplanung!$M41)</f>
        <v>0</v>
      </c>
      <c r="AA665" s="80">
        <f t="shared" si="205"/>
        <v>0</v>
      </c>
      <c r="AB665" s="102">
        <f t="shared" si="206"/>
        <v>0.1</v>
      </c>
      <c r="AC665" s="103">
        <f t="shared" si="207"/>
        <v>0</v>
      </c>
      <c r="AD665" s="103">
        <f t="shared" si="208"/>
        <v>0</v>
      </c>
      <c r="AE665" s="81">
        <f t="shared" si="209"/>
        <v>0</v>
      </c>
      <c r="AF665" s="539"/>
      <c r="AG665" s="104">
        <f t="shared" si="210"/>
        <v>1</v>
      </c>
      <c r="AH665" s="7">
        <f t="shared" si="211"/>
        <v>0</v>
      </c>
      <c r="AI665" s="6">
        <f t="shared" si="212"/>
        <v>0</v>
      </c>
      <c r="AJ665" s="73">
        <f t="shared" si="213"/>
        <v>0</v>
      </c>
      <c r="AK665" s="539"/>
      <c r="AL665" s="748"/>
      <c r="AM665" s="748"/>
    </row>
    <row r="666" spans="2:39" x14ac:dyDescent="0.2">
      <c r="B666" s="101" t="str">
        <f t="shared" si="198"/>
        <v/>
      </c>
      <c r="C666" s="168">
        <f>IF(ISERROR(Personalplanung!F42/Monatsplanung!$E42*Monatsplanung!$M42),0,Personalplanung!F42/Monatsplanung!$E42*Monatsplanung!$M42)</f>
        <v>0</v>
      </c>
      <c r="D666" s="168">
        <f t="shared" si="199"/>
        <v>0</v>
      </c>
      <c r="E666" s="168">
        <f>IF(ISERROR(Personalplanung!H42/Monatsplanung!$E42*Monatsplanung!$M42),0,Personalplanung!H42/Monatsplanung!$E42*Monatsplanung!$M42)</f>
        <v>0</v>
      </c>
      <c r="F666" s="168">
        <f t="shared" si="200"/>
        <v>0</v>
      </c>
      <c r="G666" s="168">
        <f t="shared" si="201"/>
        <v>27.700831024930746</v>
      </c>
      <c r="H666" s="168">
        <f t="shared" si="202"/>
        <v>0</v>
      </c>
      <c r="I666" s="168">
        <f t="shared" si="203"/>
        <v>30</v>
      </c>
      <c r="J666" s="739"/>
      <c r="K666" s="168">
        <f>IF(J666&lt;&gt;"",J666,IF(ISERROR(Personalplanung!AB42/Monatsplanung!$E42*Monatsplanung!$M42),0,Personalplanung!AB42/Monatsplanung!$E42*Monatsplanung!$M42))</f>
        <v>0</v>
      </c>
      <c r="L666" s="740"/>
      <c r="M666" s="739"/>
      <c r="N666" s="168">
        <f>IF(M666&lt;&gt;"",M666,IF(ISERROR(Personalplanung!AC42/Monatsplanung!$E42*Monatsplanung!$M42),0,Personalplanung!AC42/Monatsplanung!$E42*Monatsplanung!$M42))</f>
        <v>0</v>
      </c>
      <c r="O666" s="740"/>
      <c r="P666" s="739"/>
      <c r="Q666" s="168">
        <f>IF(P666&lt;&gt;"",P666,IF(ISERROR(Personalplanung!AD42/Monatsplanung!$E42*Monatsplanung!$M42),0,Personalplanung!AD42/Monatsplanung!$E42*Monatsplanung!$M42))</f>
        <v>0</v>
      </c>
      <c r="R666" s="740"/>
      <c r="S666" s="739"/>
      <c r="T666" s="168">
        <f>IF(S666&lt;&gt;"",S666,IF(ISERROR(Personalplanung!AE42/Monatsplanung!$E42*Monatsplanung!$M42),0,Personalplanung!AE42/Monatsplanung!$E42*Monatsplanung!$M42))</f>
        <v>0</v>
      </c>
      <c r="U666" s="740"/>
      <c r="V666" s="168">
        <f t="shared" si="204"/>
        <v>0</v>
      </c>
      <c r="W666" s="168">
        <f>IF(ISERROR(Personalplanung!P42/Monatsplanung!$E42*Monatsplanung!$M42),0,Personalplanung!P42/Monatsplanung!$E42*Monatsplanung!$M42)</f>
        <v>0</v>
      </c>
      <c r="X666" s="168">
        <f>IF(ISERROR(Personalplanung!Q42/Monatsplanung!$E42*Monatsplanung!$M42),0,Personalplanung!Q42/Monatsplanung!$E42*Monatsplanung!$M42)</f>
        <v>0</v>
      </c>
      <c r="Y666" s="168">
        <f>IF(ISERROR(Personalplanung!R42/T1290*Stundencontrolling!T666),0,Personalplanung!R42/T1290*Stundencontrolling!T666)</f>
        <v>0</v>
      </c>
      <c r="Z666" s="168">
        <f>IF(ISERROR(Personalplanung!S42/Monatsplanung!$E42*Monatsplanung!$M42),0,Personalplanung!S42/Monatsplanung!$E42*Monatsplanung!$M42)</f>
        <v>0</v>
      </c>
      <c r="AA666" s="80">
        <f t="shared" si="205"/>
        <v>0</v>
      </c>
      <c r="AB666" s="102">
        <f t="shared" si="206"/>
        <v>0.1</v>
      </c>
      <c r="AC666" s="103">
        <f t="shared" si="207"/>
        <v>0</v>
      </c>
      <c r="AD666" s="103">
        <f t="shared" si="208"/>
        <v>0</v>
      </c>
      <c r="AE666" s="81">
        <f t="shared" si="209"/>
        <v>0</v>
      </c>
      <c r="AF666" s="539"/>
      <c r="AG666" s="104">
        <f t="shared" si="210"/>
        <v>1</v>
      </c>
      <c r="AH666" s="7">
        <f t="shared" si="211"/>
        <v>0</v>
      </c>
      <c r="AI666" s="6">
        <f t="shared" si="212"/>
        <v>0</v>
      </c>
      <c r="AJ666" s="73">
        <f t="shared" si="213"/>
        <v>0</v>
      </c>
      <c r="AK666" s="539"/>
      <c r="AL666" s="748"/>
      <c r="AM666" s="748"/>
    </row>
    <row r="667" spans="2:39" x14ac:dyDescent="0.2">
      <c r="B667" s="101" t="str">
        <f t="shared" si="198"/>
        <v/>
      </c>
      <c r="C667" s="168">
        <f>IF(ISERROR(Personalplanung!F43/Monatsplanung!$E43*Monatsplanung!$M43),0,Personalplanung!F43/Monatsplanung!$E43*Monatsplanung!$M43)</f>
        <v>0</v>
      </c>
      <c r="D667" s="168">
        <f t="shared" si="199"/>
        <v>0</v>
      </c>
      <c r="E667" s="168">
        <f>IF(ISERROR(Personalplanung!H43/Monatsplanung!$E43*Monatsplanung!$M43),0,Personalplanung!H43/Monatsplanung!$E43*Monatsplanung!$M43)</f>
        <v>0</v>
      </c>
      <c r="F667" s="168">
        <f t="shared" si="200"/>
        <v>0</v>
      </c>
      <c r="G667" s="168">
        <f t="shared" si="201"/>
        <v>27.700831024930746</v>
      </c>
      <c r="H667" s="168">
        <f t="shared" si="202"/>
        <v>0</v>
      </c>
      <c r="I667" s="168">
        <f t="shared" si="203"/>
        <v>30</v>
      </c>
      <c r="J667" s="739"/>
      <c r="K667" s="168">
        <f>IF(J667&lt;&gt;"",J667,IF(ISERROR(Personalplanung!AB43/Monatsplanung!$E43*Monatsplanung!$M43),0,Personalplanung!AB43/Monatsplanung!$E43*Monatsplanung!$M43))</f>
        <v>0</v>
      </c>
      <c r="L667" s="740"/>
      <c r="M667" s="739"/>
      <c r="N667" s="168">
        <f>IF(M667&lt;&gt;"",M667,IF(ISERROR(Personalplanung!AC43/Monatsplanung!$E43*Monatsplanung!$M43),0,Personalplanung!AC43/Monatsplanung!$E43*Monatsplanung!$M43))</f>
        <v>0</v>
      </c>
      <c r="O667" s="740"/>
      <c r="P667" s="739"/>
      <c r="Q667" s="168">
        <f>IF(P667&lt;&gt;"",P667,IF(ISERROR(Personalplanung!AD43/Monatsplanung!$E43*Monatsplanung!$M43),0,Personalplanung!AD43/Monatsplanung!$E43*Monatsplanung!$M43))</f>
        <v>0</v>
      </c>
      <c r="R667" s="740"/>
      <c r="S667" s="739"/>
      <c r="T667" s="168">
        <f>IF(S667&lt;&gt;"",S667,IF(ISERROR(Personalplanung!AE43/Monatsplanung!$E43*Monatsplanung!$M43),0,Personalplanung!AE43/Monatsplanung!$E43*Monatsplanung!$M43))</f>
        <v>0</v>
      </c>
      <c r="U667" s="740"/>
      <c r="V667" s="168">
        <f t="shared" si="204"/>
        <v>0</v>
      </c>
      <c r="W667" s="168">
        <f>IF(ISERROR(Personalplanung!P43/Monatsplanung!$E43*Monatsplanung!$M43),0,Personalplanung!P43/Monatsplanung!$E43*Monatsplanung!$M43)</f>
        <v>0</v>
      </c>
      <c r="X667" s="168">
        <f>IF(ISERROR(Personalplanung!Q43/Monatsplanung!$E43*Monatsplanung!$M43),0,Personalplanung!Q43/Monatsplanung!$E43*Monatsplanung!$M43)</f>
        <v>0</v>
      </c>
      <c r="Y667" s="168">
        <f>IF(ISERROR(Personalplanung!R43/T1291*Stundencontrolling!T667),0,Personalplanung!R43/T1291*Stundencontrolling!T667)</f>
        <v>0</v>
      </c>
      <c r="Z667" s="168">
        <f>IF(ISERROR(Personalplanung!S43/Monatsplanung!$E43*Monatsplanung!$M43),0,Personalplanung!S43/Monatsplanung!$E43*Monatsplanung!$M43)</f>
        <v>0</v>
      </c>
      <c r="AA667" s="80">
        <f t="shared" si="205"/>
        <v>0</v>
      </c>
      <c r="AB667" s="102">
        <f t="shared" si="206"/>
        <v>0.1</v>
      </c>
      <c r="AC667" s="103">
        <f t="shared" si="207"/>
        <v>0</v>
      </c>
      <c r="AD667" s="103">
        <f t="shared" si="208"/>
        <v>0</v>
      </c>
      <c r="AE667" s="81">
        <f t="shared" si="209"/>
        <v>0</v>
      </c>
      <c r="AF667" s="539"/>
      <c r="AG667" s="104">
        <f t="shared" si="210"/>
        <v>1</v>
      </c>
      <c r="AH667" s="7">
        <f t="shared" si="211"/>
        <v>0</v>
      </c>
      <c r="AI667" s="6">
        <f t="shared" si="212"/>
        <v>0</v>
      </c>
      <c r="AJ667" s="73">
        <f t="shared" si="213"/>
        <v>0</v>
      </c>
      <c r="AK667" s="539"/>
      <c r="AL667" s="748"/>
      <c r="AM667" s="748"/>
    </row>
    <row r="668" spans="2:39" x14ac:dyDescent="0.2">
      <c r="B668" s="101" t="str">
        <f t="shared" si="198"/>
        <v/>
      </c>
      <c r="C668" s="168">
        <f>IF(ISERROR(Personalplanung!F44/Monatsplanung!$E44*Monatsplanung!$M44),0,Personalplanung!F44/Monatsplanung!$E44*Monatsplanung!$M44)</f>
        <v>0</v>
      </c>
      <c r="D668" s="168">
        <f t="shared" si="199"/>
        <v>0</v>
      </c>
      <c r="E668" s="168">
        <f>IF(ISERROR(Personalplanung!H44/Monatsplanung!$E44*Monatsplanung!$M44),0,Personalplanung!H44/Monatsplanung!$E44*Monatsplanung!$M44)</f>
        <v>0</v>
      </c>
      <c r="F668" s="168">
        <f t="shared" si="200"/>
        <v>0</v>
      </c>
      <c r="G668" s="168">
        <f t="shared" si="201"/>
        <v>27.700831024930746</v>
      </c>
      <c r="H668" s="168">
        <f t="shared" si="202"/>
        <v>0</v>
      </c>
      <c r="I668" s="168">
        <f t="shared" si="203"/>
        <v>30</v>
      </c>
      <c r="J668" s="739"/>
      <c r="K668" s="168">
        <f>IF(J668&lt;&gt;"",J668,IF(ISERROR(Personalplanung!AB44/Monatsplanung!$E44*Monatsplanung!$M44),0,Personalplanung!AB44/Monatsplanung!$E44*Monatsplanung!$M44))</f>
        <v>0</v>
      </c>
      <c r="L668" s="740"/>
      <c r="M668" s="739"/>
      <c r="N668" s="168">
        <f>IF(M668&lt;&gt;"",M668,IF(ISERROR(Personalplanung!AC44/Monatsplanung!$E44*Monatsplanung!$M44),0,Personalplanung!AC44/Monatsplanung!$E44*Monatsplanung!$M44))</f>
        <v>0</v>
      </c>
      <c r="O668" s="740"/>
      <c r="P668" s="739"/>
      <c r="Q668" s="168">
        <f>IF(P668&lt;&gt;"",P668,IF(ISERROR(Personalplanung!AD44/Monatsplanung!$E44*Monatsplanung!$M44),0,Personalplanung!AD44/Monatsplanung!$E44*Monatsplanung!$M44))</f>
        <v>0</v>
      </c>
      <c r="R668" s="740"/>
      <c r="S668" s="739"/>
      <c r="T668" s="168">
        <f>IF(S668&lt;&gt;"",S668,IF(ISERROR(Personalplanung!AE44/Monatsplanung!$E44*Monatsplanung!$M44),0,Personalplanung!AE44/Monatsplanung!$E44*Monatsplanung!$M44))</f>
        <v>0</v>
      </c>
      <c r="U668" s="740"/>
      <c r="V668" s="168">
        <f t="shared" si="204"/>
        <v>0</v>
      </c>
      <c r="W668" s="168">
        <f>IF(ISERROR(Personalplanung!P44/Monatsplanung!$E44*Monatsplanung!$M44),0,Personalplanung!P44/Monatsplanung!$E44*Monatsplanung!$M44)</f>
        <v>0</v>
      </c>
      <c r="X668" s="168">
        <f>IF(ISERROR(Personalplanung!Q44/Monatsplanung!$E44*Monatsplanung!$M44),0,Personalplanung!Q44/Monatsplanung!$E44*Monatsplanung!$M44)</f>
        <v>0</v>
      </c>
      <c r="Y668" s="168">
        <f>IF(ISERROR(Personalplanung!R44/T1292*Stundencontrolling!T668),0,Personalplanung!R44/T1292*Stundencontrolling!T668)</f>
        <v>0</v>
      </c>
      <c r="Z668" s="168">
        <f>IF(ISERROR(Personalplanung!S44/Monatsplanung!$E44*Monatsplanung!$M44),0,Personalplanung!S44/Monatsplanung!$E44*Monatsplanung!$M44)</f>
        <v>0</v>
      </c>
      <c r="AA668" s="80">
        <f t="shared" si="205"/>
        <v>0</v>
      </c>
      <c r="AB668" s="102">
        <f t="shared" si="206"/>
        <v>0.1</v>
      </c>
      <c r="AC668" s="103">
        <f t="shared" si="207"/>
        <v>0</v>
      </c>
      <c r="AD668" s="103">
        <f t="shared" si="208"/>
        <v>0</v>
      </c>
      <c r="AE668" s="81">
        <f t="shared" si="209"/>
        <v>0</v>
      </c>
      <c r="AF668" s="539"/>
      <c r="AG668" s="104">
        <f t="shared" si="210"/>
        <v>1</v>
      </c>
      <c r="AH668" s="7">
        <f t="shared" si="211"/>
        <v>0</v>
      </c>
      <c r="AI668" s="6">
        <f t="shared" si="212"/>
        <v>0</v>
      </c>
      <c r="AJ668" s="73">
        <f t="shared" si="213"/>
        <v>0</v>
      </c>
      <c r="AK668" s="539"/>
      <c r="AL668" s="748"/>
      <c r="AM668" s="748"/>
    </row>
    <row r="669" spans="2:39" x14ac:dyDescent="0.2">
      <c r="B669" s="101" t="str">
        <f t="shared" si="198"/>
        <v/>
      </c>
      <c r="C669" s="168">
        <f>IF(ISERROR(Personalplanung!F45/Monatsplanung!$E45*Monatsplanung!$M45),0,Personalplanung!F45/Monatsplanung!$E45*Monatsplanung!$M45)</f>
        <v>0</v>
      </c>
      <c r="D669" s="168">
        <f t="shared" si="199"/>
        <v>0</v>
      </c>
      <c r="E669" s="168">
        <f>IF(ISERROR(Personalplanung!H45/Monatsplanung!$E45*Monatsplanung!$M45),0,Personalplanung!H45/Monatsplanung!$E45*Monatsplanung!$M45)</f>
        <v>0</v>
      </c>
      <c r="F669" s="168">
        <f t="shared" si="200"/>
        <v>0</v>
      </c>
      <c r="G669" s="168">
        <f t="shared" si="201"/>
        <v>27.700831024930746</v>
      </c>
      <c r="H669" s="168">
        <f t="shared" si="202"/>
        <v>0</v>
      </c>
      <c r="I669" s="168">
        <f t="shared" si="203"/>
        <v>30</v>
      </c>
      <c r="J669" s="739"/>
      <c r="K669" s="168">
        <f>IF(J669&lt;&gt;"",J669,IF(ISERROR(Personalplanung!AB45/Monatsplanung!$E45*Monatsplanung!$M45),0,Personalplanung!AB45/Monatsplanung!$E45*Monatsplanung!$M45))</f>
        <v>0</v>
      </c>
      <c r="L669" s="740"/>
      <c r="M669" s="739"/>
      <c r="N669" s="168">
        <f>IF(M669&lt;&gt;"",M669,IF(ISERROR(Personalplanung!AC45/Monatsplanung!$E45*Monatsplanung!$M45),0,Personalplanung!AC45/Monatsplanung!$E45*Monatsplanung!$M45))</f>
        <v>0</v>
      </c>
      <c r="O669" s="740"/>
      <c r="P669" s="739"/>
      <c r="Q669" s="168">
        <f>IF(P669&lt;&gt;"",P669,IF(ISERROR(Personalplanung!AD45/Monatsplanung!$E45*Monatsplanung!$M45),0,Personalplanung!AD45/Monatsplanung!$E45*Monatsplanung!$M45))</f>
        <v>0</v>
      </c>
      <c r="R669" s="740"/>
      <c r="S669" s="739"/>
      <c r="T669" s="168">
        <f>IF(S669&lt;&gt;"",S669,IF(ISERROR(Personalplanung!AE45/Monatsplanung!$E45*Monatsplanung!$M45),0,Personalplanung!AE45/Monatsplanung!$E45*Monatsplanung!$M45))</f>
        <v>0</v>
      </c>
      <c r="U669" s="740"/>
      <c r="V669" s="168">
        <f t="shared" si="204"/>
        <v>0</v>
      </c>
      <c r="W669" s="168">
        <f>IF(ISERROR(Personalplanung!P45/Monatsplanung!$E45*Monatsplanung!$M45),0,Personalplanung!P45/Monatsplanung!$E45*Monatsplanung!$M45)</f>
        <v>0</v>
      </c>
      <c r="X669" s="168">
        <f>IF(ISERROR(Personalplanung!Q45/Monatsplanung!$E45*Monatsplanung!$M45),0,Personalplanung!Q45/Monatsplanung!$E45*Monatsplanung!$M45)</f>
        <v>0</v>
      </c>
      <c r="Y669" s="168">
        <f>IF(ISERROR(Personalplanung!R45/T1293*Stundencontrolling!T669),0,Personalplanung!R45/T1293*Stundencontrolling!T669)</f>
        <v>0</v>
      </c>
      <c r="Z669" s="168">
        <f>IF(ISERROR(Personalplanung!S45/Monatsplanung!$E45*Monatsplanung!$M45),0,Personalplanung!S45/Monatsplanung!$E45*Monatsplanung!$M45)</f>
        <v>0</v>
      </c>
      <c r="AA669" s="80">
        <f t="shared" si="205"/>
        <v>0</v>
      </c>
      <c r="AB669" s="102">
        <f t="shared" si="206"/>
        <v>0.1</v>
      </c>
      <c r="AC669" s="103">
        <f t="shared" si="207"/>
        <v>0</v>
      </c>
      <c r="AD669" s="103">
        <f t="shared" si="208"/>
        <v>0</v>
      </c>
      <c r="AE669" s="81">
        <f t="shared" si="209"/>
        <v>0</v>
      </c>
      <c r="AF669" s="539"/>
      <c r="AG669" s="104">
        <f t="shared" si="210"/>
        <v>1</v>
      </c>
      <c r="AH669" s="7">
        <f t="shared" si="211"/>
        <v>0</v>
      </c>
      <c r="AI669" s="6">
        <f t="shared" si="212"/>
        <v>0</v>
      </c>
      <c r="AJ669" s="73">
        <f t="shared" si="213"/>
        <v>0</v>
      </c>
      <c r="AK669" s="539"/>
      <c r="AL669" s="748"/>
      <c r="AM669" s="748"/>
    </row>
    <row r="670" spans="2:39" x14ac:dyDescent="0.2">
      <c r="B670" s="101" t="str">
        <f t="shared" si="198"/>
        <v/>
      </c>
      <c r="C670" s="168">
        <f>IF(ISERROR(Personalplanung!F46/Monatsplanung!$E46*Monatsplanung!$M46),0,Personalplanung!F46/Monatsplanung!$E46*Monatsplanung!$M46)</f>
        <v>0</v>
      </c>
      <c r="D670" s="168">
        <f t="shared" si="199"/>
        <v>0</v>
      </c>
      <c r="E670" s="168">
        <f>IF(ISERROR(Personalplanung!H46/Monatsplanung!$E46*Monatsplanung!$M46),0,Personalplanung!H46/Monatsplanung!$E46*Monatsplanung!$M46)</f>
        <v>0</v>
      </c>
      <c r="F670" s="168">
        <f t="shared" si="200"/>
        <v>0</v>
      </c>
      <c r="G670" s="168">
        <f t="shared" si="201"/>
        <v>27.700831024930746</v>
      </c>
      <c r="H670" s="168">
        <f t="shared" si="202"/>
        <v>0</v>
      </c>
      <c r="I670" s="168">
        <f t="shared" si="203"/>
        <v>30</v>
      </c>
      <c r="J670" s="739"/>
      <c r="K670" s="168">
        <f>IF(J670&lt;&gt;"",J670,IF(ISERROR(Personalplanung!AB46/Monatsplanung!$E46*Monatsplanung!$M46),0,Personalplanung!AB46/Monatsplanung!$E46*Monatsplanung!$M46))</f>
        <v>0</v>
      </c>
      <c r="L670" s="740"/>
      <c r="M670" s="739"/>
      <c r="N670" s="168">
        <f>IF(M670&lt;&gt;"",M670,IF(ISERROR(Personalplanung!AC46/Monatsplanung!$E46*Monatsplanung!$M46),0,Personalplanung!AC46/Monatsplanung!$E46*Monatsplanung!$M46))</f>
        <v>0</v>
      </c>
      <c r="O670" s="740"/>
      <c r="P670" s="739"/>
      <c r="Q670" s="168">
        <f>IF(P670&lt;&gt;"",P670,IF(ISERROR(Personalplanung!AD46/Monatsplanung!$E46*Monatsplanung!$M46),0,Personalplanung!AD46/Monatsplanung!$E46*Monatsplanung!$M46))</f>
        <v>0</v>
      </c>
      <c r="R670" s="740"/>
      <c r="S670" s="739"/>
      <c r="T670" s="168">
        <f>IF(S670&lt;&gt;"",S670,IF(ISERROR(Personalplanung!AE46/Monatsplanung!$E46*Monatsplanung!$M46),0,Personalplanung!AE46/Monatsplanung!$E46*Monatsplanung!$M46))</f>
        <v>0</v>
      </c>
      <c r="U670" s="740"/>
      <c r="V670" s="168">
        <f t="shared" si="204"/>
        <v>0</v>
      </c>
      <c r="W670" s="168">
        <f>IF(ISERROR(Personalplanung!P46/Monatsplanung!$E46*Monatsplanung!$M46),0,Personalplanung!P46/Monatsplanung!$E46*Monatsplanung!$M46)</f>
        <v>0</v>
      </c>
      <c r="X670" s="168">
        <f>IF(ISERROR(Personalplanung!Q46/Monatsplanung!$E46*Monatsplanung!$M46),0,Personalplanung!Q46/Monatsplanung!$E46*Monatsplanung!$M46)</f>
        <v>0</v>
      </c>
      <c r="Y670" s="168">
        <f>IF(ISERROR(Personalplanung!R46/T1294*Stundencontrolling!T670),0,Personalplanung!R46/T1294*Stundencontrolling!T670)</f>
        <v>0</v>
      </c>
      <c r="Z670" s="168">
        <f>IF(ISERROR(Personalplanung!S46/Monatsplanung!$E46*Monatsplanung!$M46),0,Personalplanung!S46/Monatsplanung!$E46*Monatsplanung!$M46)</f>
        <v>0</v>
      </c>
      <c r="AA670" s="80">
        <f t="shared" si="205"/>
        <v>0</v>
      </c>
      <c r="AB670" s="102">
        <f t="shared" si="206"/>
        <v>0.1</v>
      </c>
      <c r="AC670" s="103">
        <f t="shared" si="207"/>
        <v>0</v>
      </c>
      <c r="AD670" s="103">
        <f t="shared" si="208"/>
        <v>0</v>
      </c>
      <c r="AE670" s="81">
        <f t="shared" si="209"/>
        <v>0</v>
      </c>
      <c r="AF670" s="539"/>
      <c r="AG670" s="104">
        <f t="shared" si="210"/>
        <v>1</v>
      </c>
      <c r="AH670" s="7">
        <f t="shared" si="211"/>
        <v>0</v>
      </c>
      <c r="AI670" s="6">
        <f t="shared" si="212"/>
        <v>0</v>
      </c>
      <c r="AJ670" s="73">
        <f t="shared" si="213"/>
        <v>0</v>
      </c>
      <c r="AK670" s="539"/>
      <c r="AL670" s="748"/>
      <c r="AM670" s="748"/>
    </row>
    <row r="671" spans="2:39" x14ac:dyDescent="0.2">
      <c r="B671" s="101" t="str">
        <f t="shared" si="198"/>
        <v/>
      </c>
      <c r="C671" s="168">
        <f>IF(ISERROR(Personalplanung!F47/Monatsplanung!$E47*Monatsplanung!$M47),0,Personalplanung!F47/Monatsplanung!$E47*Monatsplanung!$M47)</f>
        <v>0</v>
      </c>
      <c r="D671" s="168">
        <f t="shared" si="199"/>
        <v>0</v>
      </c>
      <c r="E671" s="168">
        <f>IF(ISERROR(Personalplanung!H47/Monatsplanung!$E47*Monatsplanung!$M47),0,Personalplanung!H47/Monatsplanung!$E47*Monatsplanung!$M47)</f>
        <v>0</v>
      </c>
      <c r="F671" s="168">
        <f t="shared" si="200"/>
        <v>0</v>
      </c>
      <c r="G671" s="168">
        <f t="shared" si="201"/>
        <v>27.700831024930746</v>
      </c>
      <c r="H671" s="168">
        <f t="shared" si="202"/>
        <v>0</v>
      </c>
      <c r="I671" s="168">
        <f t="shared" si="203"/>
        <v>30</v>
      </c>
      <c r="J671" s="739"/>
      <c r="K671" s="168">
        <f>IF(J671&lt;&gt;"",J671,IF(ISERROR(Personalplanung!AB47/Monatsplanung!$E47*Monatsplanung!$M47),0,Personalplanung!AB47/Monatsplanung!$E47*Monatsplanung!$M47))</f>
        <v>0</v>
      </c>
      <c r="L671" s="740"/>
      <c r="M671" s="739"/>
      <c r="N671" s="168">
        <f>IF(M671&lt;&gt;"",M671,IF(ISERROR(Personalplanung!AC47/Monatsplanung!$E47*Monatsplanung!$M47),0,Personalplanung!AC47/Monatsplanung!$E47*Monatsplanung!$M47))</f>
        <v>0</v>
      </c>
      <c r="O671" s="740"/>
      <c r="P671" s="739"/>
      <c r="Q671" s="168">
        <f>IF(P671&lt;&gt;"",P671,IF(ISERROR(Personalplanung!AD47/Monatsplanung!$E47*Monatsplanung!$M47),0,Personalplanung!AD47/Monatsplanung!$E47*Monatsplanung!$M47))</f>
        <v>0</v>
      </c>
      <c r="R671" s="740"/>
      <c r="S671" s="739"/>
      <c r="T671" s="168">
        <f>IF(S671&lt;&gt;"",S671,IF(ISERROR(Personalplanung!AE47/Monatsplanung!$E47*Monatsplanung!$M47),0,Personalplanung!AE47/Monatsplanung!$E47*Monatsplanung!$M47))</f>
        <v>0</v>
      </c>
      <c r="U671" s="740"/>
      <c r="V671" s="168">
        <f t="shared" si="204"/>
        <v>0</v>
      </c>
      <c r="W671" s="168">
        <f>IF(ISERROR(Personalplanung!P47/Monatsplanung!$E47*Monatsplanung!$M47),0,Personalplanung!P47/Monatsplanung!$E47*Monatsplanung!$M47)</f>
        <v>0</v>
      </c>
      <c r="X671" s="168">
        <f>IF(ISERROR(Personalplanung!Q47/Monatsplanung!$E47*Monatsplanung!$M47),0,Personalplanung!Q47/Monatsplanung!$E47*Monatsplanung!$M47)</f>
        <v>0</v>
      </c>
      <c r="Y671" s="168">
        <f>IF(ISERROR(Personalplanung!R47/T1295*Stundencontrolling!T671),0,Personalplanung!R47/T1295*Stundencontrolling!T671)</f>
        <v>0</v>
      </c>
      <c r="Z671" s="168">
        <f>IF(ISERROR(Personalplanung!S47/Monatsplanung!$E47*Monatsplanung!$M47),0,Personalplanung!S47/Monatsplanung!$E47*Monatsplanung!$M47)</f>
        <v>0</v>
      </c>
      <c r="AA671" s="80">
        <f t="shared" si="205"/>
        <v>0</v>
      </c>
      <c r="AB671" s="102">
        <f t="shared" si="206"/>
        <v>0.1</v>
      </c>
      <c r="AC671" s="103">
        <f t="shared" si="207"/>
        <v>0</v>
      </c>
      <c r="AD671" s="103">
        <f t="shared" si="208"/>
        <v>0</v>
      </c>
      <c r="AE671" s="81">
        <f t="shared" si="209"/>
        <v>0</v>
      </c>
      <c r="AF671" s="539"/>
      <c r="AG671" s="104">
        <f t="shared" si="210"/>
        <v>1</v>
      </c>
      <c r="AH671" s="7">
        <f t="shared" si="211"/>
        <v>0</v>
      </c>
      <c r="AI671" s="6">
        <f t="shared" si="212"/>
        <v>0</v>
      </c>
      <c r="AJ671" s="73">
        <f t="shared" si="213"/>
        <v>0</v>
      </c>
      <c r="AK671" s="539"/>
      <c r="AL671" s="748"/>
      <c r="AM671" s="748"/>
    </row>
    <row r="672" spans="2:39" x14ac:dyDescent="0.2">
      <c r="B672" s="101" t="str">
        <f t="shared" si="198"/>
        <v/>
      </c>
      <c r="C672" s="168">
        <f>IF(ISERROR(Personalplanung!F48/Monatsplanung!$E48*Monatsplanung!$M48),0,Personalplanung!F48/Monatsplanung!$E48*Monatsplanung!$M48)</f>
        <v>0</v>
      </c>
      <c r="D672" s="168">
        <f t="shared" si="199"/>
        <v>0</v>
      </c>
      <c r="E672" s="168">
        <f>IF(ISERROR(Personalplanung!H48/Monatsplanung!$E48*Monatsplanung!$M48),0,Personalplanung!H48/Monatsplanung!$E48*Monatsplanung!$M48)</f>
        <v>0</v>
      </c>
      <c r="F672" s="168">
        <f t="shared" si="200"/>
        <v>0</v>
      </c>
      <c r="G672" s="168">
        <f t="shared" si="201"/>
        <v>27.700831024930746</v>
      </c>
      <c r="H672" s="168">
        <f t="shared" si="202"/>
        <v>0</v>
      </c>
      <c r="I672" s="168">
        <f t="shared" si="203"/>
        <v>30</v>
      </c>
      <c r="J672" s="739"/>
      <c r="K672" s="168">
        <f>IF(J672&lt;&gt;"",J672,IF(ISERROR(Personalplanung!AB48/Monatsplanung!$E48*Monatsplanung!$M48),0,Personalplanung!AB48/Monatsplanung!$E48*Monatsplanung!$M48))</f>
        <v>0</v>
      </c>
      <c r="L672" s="740"/>
      <c r="M672" s="739"/>
      <c r="N672" s="168">
        <f>IF(M672&lt;&gt;"",M672,IF(ISERROR(Personalplanung!AC48/Monatsplanung!$E48*Monatsplanung!$M48),0,Personalplanung!AC48/Monatsplanung!$E48*Monatsplanung!$M48))</f>
        <v>0</v>
      </c>
      <c r="O672" s="740"/>
      <c r="P672" s="739"/>
      <c r="Q672" s="168">
        <f>IF(P672&lt;&gt;"",P672,IF(ISERROR(Personalplanung!AD48/Monatsplanung!$E48*Monatsplanung!$M48),0,Personalplanung!AD48/Monatsplanung!$E48*Monatsplanung!$M48))</f>
        <v>0</v>
      </c>
      <c r="R672" s="740"/>
      <c r="S672" s="739"/>
      <c r="T672" s="168">
        <f>IF(S672&lt;&gt;"",S672,IF(ISERROR(Personalplanung!AE48/Monatsplanung!$E48*Monatsplanung!$M48),0,Personalplanung!AE48/Monatsplanung!$E48*Monatsplanung!$M48))</f>
        <v>0</v>
      </c>
      <c r="U672" s="740"/>
      <c r="V672" s="168">
        <f t="shared" si="204"/>
        <v>0</v>
      </c>
      <c r="W672" s="168">
        <f>IF(ISERROR(Personalplanung!P48/Monatsplanung!$E48*Monatsplanung!$M48),0,Personalplanung!P48/Monatsplanung!$E48*Monatsplanung!$M48)</f>
        <v>0</v>
      </c>
      <c r="X672" s="168">
        <f>IF(ISERROR(Personalplanung!Q48/Monatsplanung!$E48*Monatsplanung!$M48),0,Personalplanung!Q48/Monatsplanung!$E48*Monatsplanung!$M48)</f>
        <v>0</v>
      </c>
      <c r="Y672" s="168">
        <f>IF(ISERROR(Personalplanung!R48/T1296*Stundencontrolling!T672),0,Personalplanung!R48/T1296*Stundencontrolling!T672)</f>
        <v>0</v>
      </c>
      <c r="Z672" s="168">
        <f>IF(ISERROR(Personalplanung!S48/Monatsplanung!$E48*Monatsplanung!$M48),0,Personalplanung!S48/Monatsplanung!$E48*Monatsplanung!$M48)</f>
        <v>0</v>
      </c>
      <c r="AA672" s="80">
        <f t="shared" si="205"/>
        <v>0</v>
      </c>
      <c r="AB672" s="102">
        <f t="shared" si="206"/>
        <v>0.1</v>
      </c>
      <c r="AC672" s="103">
        <f t="shared" si="207"/>
        <v>0</v>
      </c>
      <c r="AD672" s="103">
        <f t="shared" si="208"/>
        <v>0</v>
      </c>
      <c r="AE672" s="81">
        <f t="shared" si="209"/>
        <v>0</v>
      </c>
      <c r="AF672" s="539"/>
      <c r="AG672" s="104">
        <f t="shared" si="210"/>
        <v>1</v>
      </c>
      <c r="AH672" s="7">
        <f t="shared" si="211"/>
        <v>0</v>
      </c>
      <c r="AI672" s="6">
        <f t="shared" si="212"/>
        <v>0</v>
      </c>
      <c r="AJ672" s="73">
        <f t="shared" si="213"/>
        <v>0</v>
      </c>
      <c r="AK672" s="539"/>
      <c r="AL672" s="748"/>
      <c r="AM672" s="748"/>
    </row>
    <row r="673" spans="2:39" x14ac:dyDescent="0.2">
      <c r="B673" s="101" t="str">
        <f t="shared" si="198"/>
        <v/>
      </c>
      <c r="C673" s="168">
        <f>IF(ISERROR(Personalplanung!F49/Monatsplanung!$E49*Monatsplanung!$M49),0,Personalplanung!F49/Monatsplanung!$E49*Monatsplanung!$M49)</f>
        <v>0</v>
      </c>
      <c r="D673" s="168">
        <f t="shared" si="199"/>
        <v>0</v>
      </c>
      <c r="E673" s="168">
        <f>IF(ISERROR(Personalplanung!H49/Monatsplanung!$E49*Monatsplanung!$M49),0,Personalplanung!H49/Monatsplanung!$E49*Monatsplanung!$M49)</f>
        <v>0</v>
      </c>
      <c r="F673" s="168">
        <f t="shared" si="200"/>
        <v>0</v>
      </c>
      <c r="G673" s="168">
        <f t="shared" si="201"/>
        <v>27.700831024930746</v>
      </c>
      <c r="H673" s="168">
        <f t="shared" si="202"/>
        <v>0</v>
      </c>
      <c r="I673" s="168">
        <f t="shared" si="203"/>
        <v>30</v>
      </c>
      <c r="J673" s="739"/>
      <c r="K673" s="168">
        <f>IF(J673&lt;&gt;"",J673,IF(ISERROR(Personalplanung!AB49/Monatsplanung!$E49*Monatsplanung!$M49),0,Personalplanung!AB49/Monatsplanung!$E49*Monatsplanung!$M49))</f>
        <v>0</v>
      </c>
      <c r="L673" s="740"/>
      <c r="M673" s="739"/>
      <c r="N673" s="168">
        <f>IF(M673&lt;&gt;"",M673,IF(ISERROR(Personalplanung!AC49/Monatsplanung!$E49*Monatsplanung!$M49),0,Personalplanung!AC49/Monatsplanung!$E49*Monatsplanung!$M49))</f>
        <v>0</v>
      </c>
      <c r="O673" s="740"/>
      <c r="P673" s="739"/>
      <c r="Q673" s="168">
        <f>IF(P673&lt;&gt;"",P673,IF(ISERROR(Personalplanung!AD49/Monatsplanung!$E49*Monatsplanung!$M49),0,Personalplanung!AD49/Monatsplanung!$E49*Monatsplanung!$M49))</f>
        <v>0</v>
      </c>
      <c r="R673" s="740"/>
      <c r="S673" s="739"/>
      <c r="T673" s="168">
        <f>IF(S673&lt;&gt;"",S673,IF(ISERROR(Personalplanung!AE49/Monatsplanung!$E49*Monatsplanung!$M49),0,Personalplanung!AE49/Monatsplanung!$E49*Monatsplanung!$M49))</f>
        <v>0</v>
      </c>
      <c r="U673" s="740"/>
      <c r="V673" s="168">
        <f t="shared" si="204"/>
        <v>0</v>
      </c>
      <c r="W673" s="168">
        <f>IF(ISERROR(Personalplanung!P49/Monatsplanung!$E49*Monatsplanung!$M49),0,Personalplanung!P49/Monatsplanung!$E49*Monatsplanung!$M49)</f>
        <v>0</v>
      </c>
      <c r="X673" s="168">
        <f>IF(ISERROR(Personalplanung!Q49/Monatsplanung!$E49*Monatsplanung!$M49),0,Personalplanung!Q49/Monatsplanung!$E49*Monatsplanung!$M49)</f>
        <v>0</v>
      </c>
      <c r="Y673" s="168">
        <f>IF(ISERROR(Personalplanung!R49/T1297*Stundencontrolling!T673),0,Personalplanung!R49/T1297*Stundencontrolling!T673)</f>
        <v>0</v>
      </c>
      <c r="Z673" s="168">
        <f>IF(ISERROR(Personalplanung!S49/Monatsplanung!$E49*Monatsplanung!$M49),0,Personalplanung!S49/Monatsplanung!$E49*Monatsplanung!$M49)</f>
        <v>0</v>
      </c>
      <c r="AA673" s="80">
        <f t="shared" si="205"/>
        <v>0</v>
      </c>
      <c r="AB673" s="102">
        <f t="shared" si="206"/>
        <v>0.1</v>
      </c>
      <c r="AC673" s="103">
        <f t="shared" si="207"/>
        <v>0</v>
      </c>
      <c r="AD673" s="103">
        <f t="shared" si="208"/>
        <v>0</v>
      </c>
      <c r="AE673" s="81">
        <f t="shared" si="209"/>
        <v>0</v>
      </c>
      <c r="AF673" s="539"/>
      <c r="AG673" s="104">
        <f t="shared" si="210"/>
        <v>1</v>
      </c>
      <c r="AH673" s="7">
        <f t="shared" si="211"/>
        <v>0</v>
      </c>
      <c r="AI673" s="6">
        <f t="shared" si="212"/>
        <v>0</v>
      </c>
      <c r="AJ673" s="73">
        <f t="shared" si="213"/>
        <v>0</v>
      </c>
      <c r="AK673" s="539"/>
      <c r="AL673" s="748"/>
      <c r="AM673" s="748"/>
    </row>
    <row r="674" spans="2:39" x14ac:dyDescent="0.2">
      <c r="B674" s="101" t="str">
        <f t="shared" si="198"/>
        <v/>
      </c>
      <c r="C674" s="168">
        <f>IF(ISERROR(Personalplanung!F50/Monatsplanung!$E50*Monatsplanung!$M50),0,Personalplanung!F50/Monatsplanung!$E50*Monatsplanung!$M50)</f>
        <v>0</v>
      </c>
      <c r="D674" s="168">
        <f t="shared" si="199"/>
        <v>0</v>
      </c>
      <c r="E674" s="168">
        <f>IF(ISERROR(Personalplanung!H50/Monatsplanung!$E50*Monatsplanung!$M50),0,Personalplanung!H50/Monatsplanung!$E50*Monatsplanung!$M50)</f>
        <v>0</v>
      </c>
      <c r="F674" s="168">
        <f t="shared" si="200"/>
        <v>0</v>
      </c>
      <c r="G674" s="168">
        <f t="shared" si="201"/>
        <v>27.700831024930746</v>
      </c>
      <c r="H674" s="168">
        <f t="shared" si="202"/>
        <v>0</v>
      </c>
      <c r="I674" s="168">
        <f t="shared" si="203"/>
        <v>30</v>
      </c>
      <c r="J674" s="739"/>
      <c r="K674" s="168">
        <f>IF(J674&lt;&gt;"",J674,IF(ISERROR(Personalplanung!AB50/Monatsplanung!$E50*Monatsplanung!$M50),0,Personalplanung!AB50/Monatsplanung!$E50*Monatsplanung!$M50))</f>
        <v>0</v>
      </c>
      <c r="L674" s="740"/>
      <c r="M674" s="739"/>
      <c r="N674" s="168">
        <f>IF(M674&lt;&gt;"",M674,IF(ISERROR(Personalplanung!AC50/Monatsplanung!$E50*Monatsplanung!$M50),0,Personalplanung!AC50/Monatsplanung!$E50*Monatsplanung!$M50))</f>
        <v>0</v>
      </c>
      <c r="O674" s="740"/>
      <c r="P674" s="739"/>
      <c r="Q674" s="168">
        <f>IF(P674&lt;&gt;"",P674,IF(ISERROR(Personalplanung!AD50/Monatsplanung!$E50*Monatsplanung!$M50),0,Personalplanung!AD50/Monatsplanung!$E50*Monatsplanung!$M50))</f>
        <v>0</v>
      </c>
      <c r="R674" s="740"/>
      <c r="S674" s="739"/>
      <c r="T674" s="168">
        <f>IF(S674&lt;&gt;"",S674,IF(ISERROR(Personalplanung!AE50/Monatsplanung!$E50*Monatsplanung!$M50),0,Personalplanung!AE50/Monatsplanung!$E50*Monatsplanung!$M50))</f>
        <v>0</v>
      </c>
      <c r="U674" s="740"/>
      <c r="V674" s="168">
        <f t="shared" si="204"/>
        <v>0</v>
      </c>
      <c r="W674" s="168">
        <f>IF(ISERROR(Personalplanung!P50/Monatsplanung!$E50*Monatsplanung!$M50),0,Personalplanung!P50/Monatsplanung!$E50*Monatsplanung!$M50)</f>
        <v>0</v>
      </c>
      <c r="X674" s="168">
        <f>IF(ISERROR(Personalplanung!Q50/Monatsplanung!$E50*Monatsplanung!$M50),0,Personalplanung!Q50/Monatsplanung!$E50*Monatsplanung!$M50)</f>
        <v>0</v>
      </c>
      <c r="Y674" s="168">
        <f>IF(ISERROR(Personalplanung!R50/T1298*Stundencontrolling!T674),0,Personalplanung!R50/T1298*Stundencontrolling!T674)</f>
        <v>0</v>
      </c>
      <c r="Z674" s="168">
        <f>IF(ISERROR(Personalplanung!S50/Monatsplanung!$E50*Monatsplanung!$M50),0,Personalplanung!S50/Monatsplanung!$E50*Monatsplanung!$M50)</f>
        <v>0</v>
      </c>
      <c r="AA674" s="80">
        <f t="shared" si="205"/>
        <v>0</v>
      </c>
      <c r="AB674" s="102">
        <f t="shared" si="206"/>
        <v>0.1</v>
      </c>
      <c r="AC674" s="103">
        <f t="shared" si="207"/>
        <v>0</v>
      </c>
      <c r="AD674" s="103">
        <f t="shared" si="208"/>
        <v>0</v>
      </c>
      <c r="AE674" s="81">
        <f t="shared" si="209"/>
        <v>0</v>
      </c>
      <c r="AF674" s="539"/>
      <c r="AG674" s="104">
        <f t="shared" si="210"/>
        <v>1</v>
      </c>
      <c r="AH674" s="7">
        <f t="shared" si="211"/>
        <v>0</v>
      </c>
      <c r="AI674" s="6">
        <f t="shared" si="212"/>
        <v>0</v>
      </c>
      <c r="AJ674" s="73">
        <f t="shared" si="213"/>
        <v>0</v>
      </c>
      <c r="AK674" s="539"/>
      <c r="AL674" s="748"/>
      <c r="AM674" s="748"/>
    </row>
    <row r="675" spans="2:39" x14ac:dyDescent="0.2">
      <c r="B675" s="101" t="str">
        <f t="shared" si="198"/>
        <v/>
      </c>
      <c r="C675" s="168">
        <f>IF(ISERROR(Personalplanung!F51/Monatsplanung!$E51*Monatsplanung!$M51),0,Personalplanung!F51/Monatsplanung!$E51*Monatsplanung!$M51)</f>
        <v>0</v>
      </c>
      <c r="D675" s="168">
        <f t="shared" si="199"/>
        <v>0</v>
      </c>
      <c r="E675" s="168">
        <f>IF(ISERROR(Personalplanung!H51/Monatsplanung!$E51*Monatsplanung!$M51),0,Personalplanung!H51/Monatsplanung!$E51*Monatsplanung!$M51)</f>
        <v>0</v>
      </c>
      <c r="F675" s="168">
        <f t="shared" si="200"/>
        <v>0</v>
      </c>
      <c r="G675" s="168">
        <f t="shared" si="201"/>
        <v>27.700831024930746</v>
      </c>
      <c r="H675" s="168">
        <f t="shared" si="202"/>
        <v>0</v>
      </c>
      <c r="I675" s="168">
        <f t="shared" si="203"/>
        <v>30</v>
      </c>
      <c r="J675" s="739"/>
      <c r="K675" s="168">
        <f>IF(J675&lt;&gt;"",J675,IF(ISERROR(Personalplanung!AB51/Monatsplanung!$E51*Monatsplanung!$M51),0,Personalplanung!AB51/Monatsplanung!$E51*Monatsplanung!$M51))</f>
        <v>0</v>
      </c>
      <c r="L675" s="740"/>
      <c r="M675" s="739"/>
      <c r="N675" s="168">
        <f>IF(M675&lt;&gt;"",M675,IF(ISERROR(Personalplanung!AC51/Monatsplanung!$E51*Monatsplanung!$M51),0,Personalplanung!AC51/Monatsplanung!$E51*Monatsplanung!$M51))</f>
        <v>0</v>
      </c>
      <c r="O675" s="740"/>
      <c r="P675" s="739"/>
      <c r="Q675" s="168">
        <f>IF(P675&lt;&gt;"",P675,IF(ISERROR(Personalplanung!AD51/Monatsplanung!$E51*Monatsplanung!$M51),0,Personalplanung!AD51/Monatsplanung!$E51*Monatsplanung!$M51))</f>
        <v>0</v>
      </c>
      <c r="R675" s="740"/>
      <c r="S675" s="739"/>
      <c r="T675" s="168">
        <f>IF(S675&lt;&gt;"",S675,IF(ISERROR(Personalplanung!AE51/Monatsplanung!$E51*Monatsplanung!$M51),0,Personalplanung!AE51/Monatsplanung!$E51*Monatsplanung!$M51))</f>
        <v>0</v>
      </c>
      <c r="U675" s="740"/>
      <c r="V675" s="168">
        <f t="shared" si="204"/>
        <v>0</v>
      </c>
      <c r="W675" s="168">
        <f>IF(ISERROR(Personalplanung!P51/Monatsplanung!$E51*Monatsplanung!$M51),0,Personalplanung!P51/Monatsplanung!$E51*Monatsplanung!$M51)</f>
        <v>0</v>
      </c>
      <c r="X675" s="168">
        <f>IF(ISERROR(Personalplanung!Q51/Monatsplanung!$E51*Monatsplanung!$M51),0,Personalplanung!Q51/Monatsplanung!$E51*Monatsplanung!$M51)</f>
        <v>0</v>
      </c>
      <c r="Y675" s="168">
        <f>IF(ISERROR(Personalplanung!R51/T1299*Stundencontrolling!T675),0,Personalplanung!R51/T1299*Stundencontrolling!T675)</f>
        <v>0</v>
      </c>
      <c r="Z675" s="168">
        <f>IF(ISERROR(Personalplanung!S51/Monatsplanung!$E51*Monatsplanung!$M51),0,Personalplanung!S51/Monatsplanung!$E51*Monatsplanung!$M51)</f>
        <v>0</v>
      </c>
      <c r="AA675" s="80">
        <f t="shared" si="205"/>
        <v>0</v>
      </c>
      <c r="AB675" s="102">
        <f t="shared" si="206"/>
        <v>0.1</v>
      </c>
      <c r="AC675" s="103">
        <f t="shared" si="207"/>
        <v>0</v>
      </c>
      <c r="AD675" s="103">
        <f t="shared" si="208"/>
        <v>0</v>
      </c>
      <c r="AE675" s="81">
        <f t="shared" si="209"/>
        <v>0</v>
      </c>
      <c r="AF675" s="539"/>
      <c r="AG675" s="104">
        <f t="shared" si="210"/>
        <v>1</v>
      </c>
      <c r="AH675" s="7">
        <f t="shared" si="211"/>
        <v>0</v>
      </c>
      <c r="AI675" s="6">
        <f t="shared" si="212"/>
        <v>0</v>
      </c>
      <c r="AJ675" s="73">
        <f t="shared" si="213"/>
        <v>0</v>
      </c>
      <c r="AK675" s="539"/>
      <c r="AL675" s="748"/>
      <c r="AM675" s="748"/>
    </row>
    <row r="676" spans="2:39" x14ac:dyDescent="0.2">
      <c r="B676" s="101" t="str">
        <f t="shared" si="198"/>
        <v/>
      </c>
      <c r="C676" s="168">
        <f>IF(ISERROR(Personalplanung!F52/Monatsplanung!$E52*Monatsplanung!$M52),0,Personalplanung!F52/Monatsplanung!$E52*Monatsplanung!$M52)</f>
        <v>0</v>
      </c>
      <c r="D676" s="168">
        <f t="shared" si="199"/>
        <v>0</v>
      </c>
      <c r="E676" s="168">
        <f>IF(ISERROR(Personalplanung!H52/Monatsplanung!$E52*Monatsplanung!$M52),0,Personalplanung!H52/Monatsplanung!$E52*Monatsplanung!$M52)</f>
        <v>0</v>
      </c>
      <c r="F676" s="168">
        <f t="shared" si="200"/>
        <v>0</v>
      </c>
      <c r="G676" s="168">
        <f t="shared" si="201"/>
        <v>27.700831024930746</v>
      </c>
      <c r="H676" s="168">
        <f t="shared" si="202"/>
        <v>0</v>
      </c>
      <c r="I676" s="168">
        <f t="shared" si="203"/>
        <v>30</v>
      </c>
      <c r="J676" s="739"/>
      <c r="K676" s="168">
        <f>IF(J676&lt;&gt;"",J676,IF(ISERROR(Personalplanung!AB52/Monatsplanung!$E52*Monatsplanung!$M52),0,Personalplanung!AB52/Monatsplanung!$E52*Monatsplanung!$M52))</f>
        <v>0</v>
      </c>
      <c r="L676" s="740"/>
      <c r="M676" s="739"/>
      <c r="N676" s="168">
        <f>IF(M676&lt;&gt;"",M676,IF(ISERROR(Personalplanung!AC52/Monatsplanung!$E52*Monatsplanung!$M52),0,Personalplanung!AC52/Monatsplanung!$E52*Monatsplanung!$M52))</f>
        <v>0</v>
      </c>
      <c r="O676" s="740"/>
      <c r="P676" s="739"/>
      <c r="Q676" s="168">
        <f>IF(P676&lt;&gt;"",P676,IF(ISERROR(Personalplanung!AD52/Monatsplanung!$E52*Monatsplanung!$M52),0,Personalplanung!AD52/Monatsplanung!$E52*Monatsplanung!$M52))</f>
        <v>0</v>
      </c>
      <c r="R676" s="740"/>
      <c r="S676" s="739"/>
      <c r="T676" s="168">
        <f>IF(S676&lt;&gt;"",S676,IF(ISERROR(Personalplanung!AE52/Monatsplanung!$E52*Monatsplanung!$M52),0,Personalplanung!AE52/Monatsplanung!$E52*Monatsplanung!$M52))</f>
        <v>0</v>
      </c>
      <c r="U676" s="740"/>
      <c r="V676" s="168">
        <f t="shared" si="204"/>
        <v>0</v>
      </c>
      <c r="W676" s="168">
        <f>IF(ISERROR(Personalplanung!P52/Monatsplanung!$E52*Monatsplanung!$M52),0,Personalplanung!P52/Monatsplanung!$E52*Monatsplanung!$M52)</f>
        <v>0</v>
      </c>
      <c r="X676" s="168">
        <f>IF(ISERROR(Personalplanung!Q52/Monatsplanung!$E52*Monatsplanung!$M52),0,Personalplanung!Q52/Monatsplanung!$E52*Monatsplanung!$M52)</f>
        <v>0</v>
      </c>
      <c r="Y676" s="168">
        <f>IF(ISERROR(Personalplanung!R52/T1300*Stundencontrolling!T676),0,Personalplanung!R52/T1300*Stundencontrolling!T676)</f>
        <v>0</v>
      </c>
      <c r="Z676" s="168">
        <f>IF(ISERROR(Personalplanung!S52/Monatsplanung!$E52*Monatsplanung!$M52),0,Personalplanung!S52/Monatsplanung!$E52*Monatsplanung!$M52)</f>
        <v>0</v>
      </c>
      <c r="AA676" s="80">
        <f t="shared" si="205"/>
        <v>0</v>
      </c>
      <c r="AB676" s="102">
        <f t="shared" si="206"/>
        <v>0.1</v>
      </c>
      <c r="AC676" s="103">
        <f t="shared" si="207"/>
        <v>0</v>
      </c>
      <c r="AD676" s="103">
        <f t="shared" si="208"/>
        <v>0</v>
      </c>
      <c r="AE676" s="81">
        <f t="shared" si="209"/>
        <v>0</v>
      </c>
      <c r="AF676" s="539"/>
      <c r="AG676" s="104">
        <f t="shared" si="210"/>
        <v>1</v>
      </c>
      <c r="AH676" s="7">
        <f t="shared" si="211"/>
        <v>0</v>
      </c>
      <c r="AI676" s="6">
        <f t="shared" si="212"/>
        <v>0</v>
      </c>
      <c r="AJ676" s="73">
        <f t="shared" si="213"/>
        <v>0</v>
      </c>
      <c r="AK676" s="539"/>
      <c r="AL676" s="748"/>
      <c r="AM676" s="748"/>
    </row>
    <row r="677" spans="2:39" x14ac:dyDescent="0.2">
      <c r="B677" s="101" t="str">
        <f t="shared" si="198"/>
        <v/>
      </c>
      <c r="C677" s="168">
        <f>IF(ISERROR(Personalplanung!F53/Monatsplanung!$E53*Monatsplanung!$M53),0,Personalplanung!F53/Monatsplanung!$E53*Monatsplanung!$M53)</f>
        <v>0</v>
      </c>
      <c r="D677" s="168">
        <f t="shared" si="199"/>
        <v>0</v>
      </c>
      <c r="E677" s="168">
        <f>IF(ISERROR(Personalplanung!H53/Monatsplanung!$E53*Monatsplanung!$M53),0,Personalplanung!H53/Monatsplanung!$E53*Monatsplanung!$M53)</f>
        <v>0</v>
      </c>
      <c r="F677" s="168">
        <f t="shared" si="200"/>
        <v>0</v>
      </c>
      <c r="G677" s="168">
        <f t="shared" si="201"/>
        <v>27.700831024930746</v>
      </c>
      <c r="H677" s="168">
        <f t="shared" si="202"/>
        <v>0</v>
      </c>
      <c r="I677" s="168">
        <f t="shared" si="203"/>
        <v>30</v>
      </c>
      <c r="J677" s="739"/>
      <c r="K677" s="168">
        <f>IF(J677&lt;&gt;"",J677,IF(ISERROR(Personalplanung!AB53/Monatsplanung!$E53*Monatsplanung!$M53),0,Personalplanung!AB53/Monatsplanung!$E53*Monatsplanung!$M53))</f>
        <v>0</v>
      </c>
      <c r="L677" s="740"/>
      <c r="M677" s="739"/>
      <c r="N677" s="168">
        <f>IF(M677&lt;&gt;"",M677,IF(ISERROR(Personalplanung!AC53/Monatsplanung!$E53*Monatsplanung!$M53),0,Personalplanung!AC53/Monatsplanung!$E53*Monatsplanung!$M53))</f>
        <v>0</v>
      </c>
      <c r="O677" s="740"/>
      <c r="P677" s="739"/>
      <c r="Q677" s="168">
        <f>IF(P677&lt;&gt;"",P677,IF(ISERROR(Personalplanung!AD53/Monatsplanung!$E53*Monatsplanung!$M53),0,Personalplanung!AD53/Monatsplanung!$E53*Monatsplanung!$M53))</f>
        <v>0</v>
      </c>
      <c r="R677" s="740"/>
      <c r="S677" s="739"/>
      <c r="T677" s="168">
        <f>IF(S677&lt;&gt;"",S677,IF(ISERROR(Personalplanung!AE53/Monatsplanung!$E53*Monatsplanung!$M53),0,Personalplanung!AE53/Monatsplanung!$E53*Monatsplanung!$M53))</f>
        <v>0</v>
      </c>
      <c r="U677" s="740"/>
      <c r="V677" s="168">
        <f t="shared" si="204"/>
        <v>0</v>
      </c>
      <c r="W677" s="168">
        <f>IF(ISERROR(Personalplanung!P53/Monatsplanung!$E53*Monatsplanung!$M53),0,Personalplanung!P53/Monatsplanung!$E53*Monatsplanung!$M53)</f>
        <v>0</v>
      </c>
      <c r="X677" s="168">
        <f>IF(ISERROR(Personalplanung!Q53/Monatsplanung!$E53*Monatsplanung!$M53),0,Personalplanung!Q53/Monatsplanung!$E53*Monatsplanung!$M53)</f>
        <v>0</v>
      </c>
      <c r="Y677" s="168">
        <f>IF(ISERROR(Personalplanung!R53/T1301*Stundencontrolling!T677),0,Personalplanung!R53/T1301*Stundencontrolling!T677)</f>
        <v>0</v>
      </c>
      <c r="Z677" s="168">
        <f>IF(ISERROR(Personalplanung!S53/Monatsplanung!$E53*Monatsplanung!$M53),0,Personalplanung!S53/Monatsplanung!$E53*Monatsplanung!$M53)</f>
        <v>0</v>
      </c>
      <c r="AA677" s="80">
        <f t="shared" si="205"/>
        <v>0</v>
      </c>
      <c r="AB677" s="102">
        <f t="shared" si="206"/>
        <v>0.1</v>
      </c>
      <c r="AC677" s="103">
        <f t="shared" si="207"/>
        <v>0</v>
      </c>
      <c r="AD677" s="103">
        <f t="shared" si="208"/>
        <v>0</v>
      </c>
      <c r="AE677" s="81">
        <f t="shared" si="209"/>
        <v>0</v>
      </c>
      <c r="AF677" s="539"/>
      <c r="AG677" s="104">
        <f t="shared" si="210"/>
        <v>1</v>
      </c>
      <c r="AH677" s="7">
        <f t="shared" si="211"/>
        <v>0</v>
      </c>
      <c r="AI677" s="6">
        <f t="shared" si="212"/>
        <v>0</v>
      </c>
      <c r="AJ677" s="73">
        <f t="shared" si="213"/>
        <v>0</v>
      </c>
      <c r="AK677" s="539"/>
      <c r="AL677" s="748"/>
      <c r="AM677" s="748"/>
    </row>
    <row r="678" spans="2:39" x14ac:dyDescent="0.2">
      <c r="B678" s="101" t="str">
        <f t="shared" si="198"/>
        <v/>
      </c>
      <c r="C678" s="168">
        <f>IF(ISERROR(Personalplanung!F54/Monatsplanung!$E54*Monatsplanung!$M54),0,Personalplanung!F54/Monatsplanung!$E54*Monatsplanung!$M54)</f>
        <v>0</v>
      </c>
      <c r="D678" s="168">
        <f t="shared" si="199"/>
        <v>0</v>
      </c>
      <c r="E678" s="168">
        <f>IF(ISERROR(Personalplanung!H54/Monatsplanung!$E54*Monatsplanung!$M54),0,Personalplanung!H54/Monatsplanung!$E54*Monatsplanung!$M54)</f>
        <v>0</v>
      </c>
      <c r="F678" s="168">
        <f t="shared" si="200"/>
        <v>0</v>
      </c>
      <c r="G678" s="168">
        <f t="shared" si="201"/>
        <v>27.700831024930746</v>
      </c>
      <c r="H678" s="168">
        <f t="shared" si="202"/>
        <v>0</v>
      </c>
      <c r="I678" s="168">
        <f t="shared" si="203"/>
        <v>30</v>
      </c>
      <c r="J678" s="739"/>
      <c r="K678" s="168">
        <f>IF(J678&lt;&gt;"",J678,IF(ISERROR(Personalplanung!AB54/Monatsplanung!$E54*Monatsplanung!$M54),0,Personalplanung!AB54/Monatsplanung!$E54*Monatsplanung!$M54))</f>
        <v>0</v>
      </c>
      <c r="L678" s="740"/>
      <c r="M678" s="739"/>
      <c r="N678" s="168">
        <f>IF(M678&lt;&gt;"",M678,IF(ISERROR(Personalplanung!AC54/Monatsplanung!$E54*Monatsplanung!$M54),0,Personalplanung!AC54/Monatsplanung!$E54*Monatsplanung!$M54))</f>
        <v>0</v>
      </c>
      <c r="O678" s="740"/>
      <c r="P678" s="739"/>
      <c r="Q678" s="168">
        <f>IF(P678&lt;&gt;"",P678,IF(ISERROR(Personalplanung!AD54/Monatsplanung!$E54*Monatsplanung!$M54),0,Personalplanung!AD54/Monatsplanung!$E54*Monatsplanung!$M54))</f>
        <v>0</v>
      </c>
      <c r="R678" s="740"/>
      <c r="S678" s="739"/>
      <c r="T678" s="168">
        <f>IF(S678&lt;&gt;"",S678,IF(ISERROR(Personalplanung!AE54/Monatsplanung!$E54*Monatsplanung!$M54),0,Personalplanung!AE54/Monatsplanung!$E54*Monatsplanung!$M54))</f>
        <v>0</v>
      </c>
      <c r="U678" s="740"/>
      <c r="V678" s="168">
        <f t="shared" si="204"/>
        <v>0</v>
      </c>
      <c r="W678" s="168">
        <f>IF(ISERROR(Personalplanung!P54/Monatsplanung!$E54*Monatsplanung!$M54),0,Personalplanung!P54/Monatsplanung!$E54*Monatsplanung!$M54)</f>
        <v>0</v>
      </c>
      <c r="X678" s="168">
        <f>IF(ISERROR(Personalplanung!Q54/Monatsplanung!$E54*Monatsplanung!$M54),0,Personalplanung!Q54/Monatsplanung!$E54*Monatsplanung!$M54)</f>
        <v>0</v>
      </c>
      <c r="Y678" s="168">
        <f>IF(ISERROR(Personalplanung!R54/T1302*Stundencontrolling!T678),0,Personalplanung!R54/T1302*Stundencontrolling!T678)</f>
        <v>0</v>
      </c>
      <c r="Z678" s="168">
        <f>IF(ISERROR(Personalplanung!S54/Monatsplanung!$E54*Monatsplanung!$M54),0,Personalplanung!S54/Monatsplanung!$E54*Monatsplanung!$M54)</f>
        <v>0</v>
      </c>
      <c r="AA678" s="80">
        <f t="shared" si="205"/>
        <v>0</v>
      </c>
      <c r="AB678" s="102">
        <f t="shared" si="206"/>
        <v>0.1</v>
      </c>
      <c r="AC678" s="103">
        <f t="shared" si="207"/>
        <v>0</v>
      </c>
      <c r="AD678" s="103">
        <f t="shared" si="208"/>
        <v>0</v>
      </c>
      <c r="AE678" s="81">
        <f t="shared" si="209"/>
        <v>0</v>
      </c>
      <c r="AF678" s="539"/>
      <c r="AG678" s="104">
        <f t="shared" si="210"/>
        <v>1</v>
      </c>
      <c r="AH678" s="7">
        <f t="shared" si="211"/>
        <v>0</v>
      </c>
      <c r="AI678" s="6">
        <f t="shared" si="212"/>
        <v>0</v>
      </c>
      <c r="AJ678" s="73">
        <f t="shared" si="213"/>
        <v>0</v>
      </c>
      <c r="AK678" s="539"/>
      <c r="AL678" s="748"/>
      <c r="AM678" s="748"/>
    </row>
    <row r="679" spans="2:39" x14ac:dyDescent="0.2">
      <c r="B679" s="101" t="str">
        <f t="shared" si="198"/>
        <v/>
      </c>
      <c r="C679" s="168">
        <f>IF(ISERROR(Personalplanung!F55/Monatsplanung!$E55*Monatsplanung!$M55),0,Personalplanung!F55/Monatsplanung!$E55*Monatsplanung!$M55)</f>
        <v>0</v>
      </c>
      <c r="D679" s="168">
        <f t="shared" si="199"/>
        <v>0</v>
      </c>
      <c r="E679" s="168">
        <f>IF(ISERROR(Personalplanung!H55/Monatsplanung!$E55*Monatsplanung!$M55),0,Personalplanung!H55/Monatsplanung!$E55*Monatsplanung!$M55)</f>
        <v>0</v>
      </c>
      <c r="F679" s="168">
        <f t="shared" si="200"/>
        <v>0</v>
      </c>
      <c r="G679" s="168">
        <f t="shared" si="201"/>
        <v>27.700831024930746</v>
      </c>
      <c r="H679" s="168">
        <f t="shared" si="202"/>
        <v>0</v>
      </c>
      <c r="I679" s="168">
        <f t="shared" si="203"/>
        <v>30</v>
      </c>
      <c r="J679" s="739"/>
      <c r="K679" s="168">
        <f>IF(J679&lt;&gt;"",J679,IF(ISERROR(Personalplanung!AB55/Monatsplanung!$E55*Monatsplanung!$M55),0,Personalplanung!AB55/Monatsplanung!$E55*Monatsplanung!$M55))</f>
        <v>0</v>
      </c>
      <c r="L679" s="740"/>
      <c r="M679" s="739"/>
      <c r="N679" s="168">
        <f>IF(M679&lt;&gt;"",M679,IF(ISERROR(Personalplanung!AC55/Monatsplanung!$E55*Monatsplanung!$M55),0,Personalplanung!AC55/Monatsplanung!$E55*Monatsplanung!$M55))</f>
        <v>0</v>
      </c>
      <c r="O679" s="740"/>
      <c r="P679" s="739"/>
      <c r="Q679" s="168">
        <f>IF(P679&lt;&gt;"",P679,IF(ISERROR(Personalplanung!AD55/Monatsplanung!$E55*Monatsplanung!$M55),0,Personalplanung!AD55/Monatsplanung!$E55*Monatsplanung!$M55))</f>
        <v>0</v>
      </c>
      <c r="R679" s="740"/>
      <c r="S679" s="739"/>
      <c r="T679" s="168">
        <f>IF(S679&lt;&gt;"",S679,IF(ISERROR(Personalplanung!AE55/Monatsplanung!$E55*Monatsplanung!$M55),0,Personalplanung!AE55/Monatsplanung!$E55*Monatsplanung!$M55))</f>
        <v>0</v>
      </c>
      <c r="U679" s="740"/>
      <c r="V679" s="168">
        <f t="shared" si="204"/>
        <v>0</v>
      </c>
      <c r="W679" s="168">
        <f>IF(ISERROR(Personalplanung!P55/Monatsplanung!$E55*Monatsplanung!$M55),0,Personalplanung!P55/Monatsplanung!$E55*Monatsplanung!$M55)</f>
        <v>0</v>
      </c>
      <c r="X679" s="168">
        <f>IF(ISERROR(Personalplanung!Q55/Monatsplanung!$E55*Monatsplanung!$M55),0,Personalplanung!Q55/Monatsplanung!$E55*Monatsplanung!$M55)</f>
        <v>0</v>
      </c>
      <c r="Y679" s="168">
        <f>IF(ISERROR(Personalplanung!R55/T1303*Stundencontrolling!T679),0,Personalplanung!R55/T1303*Stundencontrolling!T679)</f>
        <v>0</v>
      </c>
      <c r="Z679" s="168">
        <f>IF(ISERROR(Personalplanung!S55/Monatsplanung!$E55*Monatsplanung!$M55),0,Personalplanung!S55/Monatsplanung!$E55*Monatsplanung!$M55)</f>
        <v>0</v>
      </c>
      <c r="AA679" s="80">
        <f t="shared" si="205"/>
        <v>0</v>
      </c>
      <c r="AB679" s="102">
        <f t="shared" si="206"/>
        <v>0.1</v>
      </c>
      <c r="AC679" s="103">
        <f t="shared" si="207"/>
        <v>0</v>
      </c>
      <c r="AD679" s="103">
        <f t="shared" si="208"/>
        <v>0</v>
      </c>
      <c r="AE679" s="81">
        <f t="shared" si="209"/>
        <v>0</v>
      </c>
      <c r="AF679" s="539"/>
      <c r="AG679" s="104">
        <f t="shared" si="210"/>
        <v>1</v>
      </c>
      <c r="AH679" s="7">
        <f t="shared" si="211"/>
        <v>0</v>
      </c>
      <c r="AI679" s="6">
        <f t="shared" si="212"/>
        <v>0</v>
      </c>
      <c r="AJ679" s="73">
        <f t="shared" si="213"/>
        <v>0</v>
      </c>
      <c r="AK679" s="539"/>
      <c r="AL679" s="748"/>
      <c r="AM679" s="748"/>
    </row>
    <row r="680" spans="2:39" x14ac:dyDescent="0.2">
      <c r="B680" s="101" t="str">
        <f t="shared" si="198"/>
        <v/>
      </c>
      <c r="C680" s="168">
        <f>IF(ISERROR(Personalplanung!F56/Monatsplanung!$E56*Monatsplanung!$M56),0,Personalplanung!F56/Monatsplanung!$E56*Monatsplanung!$M56)</f>
        <v>0</v>
      </c>
      <c r="D680" s="168">
        <f t="shared" si="199"/>
        <v>0</v>
      </c>
      <c r="E680" s="168">
        <f>IF(ISERROR(Personalplanung!H56/Monatsplanung!$E56*Monatsplanung!$M56),0,Personalplanung!H56/Monatsplanung!$E56*Monatsplanung!$M56)</f>
        <v>0</v>
      </c>
      <c r="F680" s="168">
        <f t="shared" si="200"/>
        <v>0</v>
      </c>
      <c r="G680" s="168">
        <f t="shared" si="201"/>
        <v>27.700831024930746</v>
      </c>
      <c r="H680" s="168">
        <f t="shared" si="202"/>
        <v>0</v>
      </c>
      <c r="I680" s="168">
        <f t="shared" si="203"/>
        <v>30</v>
      </c>
      <c r="J680" s="739"/>
      <c r="K680" s="168">
        <f>IF(J680&lt;&gt;"",J680,IF(ISERROR(Personalplanung!AB56/Monatsplanung!$E56*Monatsplanung!$M56),0,Personalplanung!AB56/Monatsplanung!$E56*Monatsplanung!$M56))</f>
        <v>0</v>
      </c>
      <c r="L680" s="740"/>
      <c r="M680" s="739"/>
      <c r="N680" s="168">
        <f>IF(M680&lt;&gt;"",M680,IF(ISERROR(Personalplanung!AC56/Monatsplanung!$E56*Monatsplanung!$M56),0,Personalplanung!AC56/Monatsplanung!$E56*Monatsplanung!$M56))</f>
        <v>0</v>
      </c>
      <c r="O680" s="740"/>
      <c r="P680" s="739"/>
      <c r="Q680" s="168">
        <f>IF(P680&lt;&gt;"",P680,IF(ISERROR(Personalplanung!AD56/Monatsplanung!$E56*Monatsplanung!$M56),0,Personalplanung!AD56/Monatsplanung!$E56*Monatsplanung!$M56))</f>
        <v>0</v>
      </c>
      <c r="R680" s="740"/>
      <c r="S680" s="739"/>
      <c r="T680" s="168">
        <f>IF(S680&lt;&gt;"",S680,IF(ISERROR(Personalplanung!AE56/Monatsplanung!$E56*Monatsplanung!$M56),0,Personalplanung!AE56/Monatsplanung!$E56*Monatsplanung!$M56))</f>
        <v>0</v>
      </c>
      <c r="U680" s="740"/>
      <c r="V680" s="168">
        <f t="shared" si="204"/>
        <v>0</v>
      </c>
      <c r="W680" s="168">
        <f>IF(ISERROR(Personalplanung!P56/Monatsplanung!$E56*Monatsplanung!$M56),0,Personalplanung!P56/Monatsplanung!$E56*Monatsplanung!$M56)</f>
        <v>0</v>
      </c>
      <c r="X680" s="168">
        <f>IF(ISERROR(Personalplanung!Q56/Monatsplanung!$E56*Monatsplanung!$M56),0,Personalplanung!Q56/Monatsplanung!$E56*Monatsplanung!$M56)</f>
        <v>0</v>
      </c>
      <c r="Y680" s="168">
        <f>IF(ISERROR(Personalplanung!R56/T1304*Stundencontrolling!T680),0,Personalplanung!R56/T1304*Stundencontrolling!T680)</f>
        <v>0</v>
      </c>
      <c r="Z680" s="168">
        <f>IF(ISERROR(Personalplanung!S56/Monatsplanung!$E56*Monatsplanung!$M56),0,Personalplanung!S56/Monatsplanung!$E56*Monatsplanung!$M56)</f>
        <v>0</v>
      </c>
      <c r="AA680" s="80">
        <f t="shared" si="205"/>
        <v>0</v>
      </c>
      <c r="AB680" s="102">
        <f t="shared" si="206"/>
        <v>0.1</v>
      </c>
      <c r="AC680" s="103">
        <f t="shared" si="207"/>
        <v>0</v>
      </c>
      <c r="AD680" s="103">
        <f t="shared" si="208"/>
        <v>0</v>
      </c>
      <c r="AE680" s="81">
        <f t="shared" si="209"/>
        <v>0</v>
      </c>
      <c r="AF680" s="539"/>
      <c r="AG680" s="104">
        <f t="shared" si="210"/>
        <v>1</v>
      </c>
      <c r="AH680" s="7">
        <f t="shared" si="211"/>
        <v>0</v>
      </c>
      <c r="AI680" s="6">
        <f t="shared" si="212"/>
        <v>0</v>
      </c>
      <c r="AJ680" s="73">
        <f t="shared" si="213"/>
        <v>0</v>
      </c>
      <c r="AK680" s="539"/>
      <c r="AL680" s="748"/>
      <c r="AM680" s="748"/>
    </row>
    <row r="681" spans="2:39" x14ac:dyDescent="0.2">
      <c r="B681" s="101" t="str">
        <f t="shared" si="198"/>
        <v/>
      </c>
      <c r="C681" s="168">
        <f>IF(ISERROR(Personalplanung!F57/Monatsplanung!$E57*Monatsplanung!$M57),0,Personalplanung!F57/Monatsplanung!$E57*Monatsplanung!$M57)</f>
        <v>0</v>
      </c>
      <c r="D681" s="168">
        <f t="shared" si="199"/>
        <v>0</v>
      </c>
      <c r="E681" s="168">
        <f>IF(ISERROR(Personalplanung!H57/Monatsplanung!$E57*Monatsplanung!$M57),0,Personalplanung!H57/Monatsplanung!$E57*Monatsplanung!$M57)</f>
        <v>0</v>
      </c>
      <c r="F681" s="168">
        <f t="shared" si="200"/>
        <v>0</v>
      </c>
      <c r="G681" s="168">
        <f t="shared" si="201"/>
        <v>27.700831024930746</v>
      </c>
      <c r="H681" s="168">
        <f t="shared" si="202"/>
        <v>0</v>
      </c>
      <c r="I681" s="168">
        <f t="shared" si="203"/>
        <v>30</v>
      </c>
      <c r="J681" s="739"/>
      <c r="K681" s="168">
        <f>IF(J681&lt;&gt;"",J681,IF(ISERROR(Personalplanung!AB57/Monatsplanung!$E57*Monatsplanung!$M57),0,Personalplanung!AB57/Monatsplanung!$E57*Monatsplanung!$M57))</f>
        <v>0</v>
      </c>
      <c r="L681" s="740"/>
      <c r="M681" s="739"/>
      <c r="N681" s="168">
        <f>IF(M681&lt;&gt;"",M681,IF(ISERROR(Personalplanung!AC57/Monatsplanung!$E57*Monatsplanung!$M57),0,Personalplanung!AC57/Monatsplanung!$E57*Monatsplanung!$M57))</f>
        <v>0</v>
      </c>
      <c r="O681" s="740"/>
      <c r="P681" s="739"/>
      <c r="Q681" s="168">
        <f>IF(P681&lt;&gt;"",P681,IF(ISERROR(Personalplanung!AD57/Monatsplanung!$E57*Monatsplanung!$M57),0,Personalplanung!AD57/Monatsplanung!$E57*Monatsplanung!$M57))</f>
        <v>0</v>
      </c>
      <c r="R681" s="740"/>
      <c r="S681" s="739"/>
      <c r="T681" s="168">
        <f>IF(S681&lt;&gt;"",S681,IF(ISERROR(Personalplanung!AE57/Monatsplanung!$E57*Monatsplanung!$M57),0,Personalplanung!AE57/Monatsplanung!$E57*Monatsplanung!$M57))</f>
        <v>0</v>
      </c>
      <c r="U681" s="740"/>
      <c r="V681" s="168">
        <f t="shared" si="204"/>
        <v>0</v>
      </c>
      <c r="W681" s="168">
        <f>IF(ISERROR(Personalplanung!P57/Monatsplanung!$E57*Monatsplanung!$M57),0,Personalplanung!P57/Monatsplanung!$E57*Monatsplanung!$M57)</f>
        <v>0</v>
      </c>
      <c r="X681" s="168">
        <f>IF(ISERROR(Personalplanung!Q57/Monatsplanung!$E57*Monatsplanung!$M57),0,Personalplanung!Q57/Monatsplanung!$E57*Monatsplanung!$M57)</f>
        <v>0</v>
      </c>
      <c r="Y681" s="168">
        <f>IF(ISERROR(Personalplanung!R57/T1305*Stundencontrolling!T681),0,Personalplanung!R57/T1305*Stundencontrolling!T681)</f>
        <v>0</v>
      </c>
      <c r="Z681" s="168">
        <f>IF(ISERROR(Personalplanung!S57/Monatsplanung!$E57*Monatsplanung!$M57),0,Personalplanung!S57/Monatsplanung!$E57*Monatsplanung!$M57)</f>
        <v>0</v>
      </c>
      <c r="AA681" s="80">
        <f t="shared" si="205"/>
        <v>0</v>
      </c>
      <c r="AB681" s="102">
        <f t="shared" si="206"/>
        <v>0.1</v>
      </c>
      <c r="AC681" s="103">
        <f t="shared" si="207"/>
        <v>0</v>
      </c>
      <c r="AD681" s="103">
        <f t="shared" si="208"/>
        <v>0</v>
      </c>
      <c r="AE681" s="81">
        <f t="shared" si="209"/>
        <v>0</v>
      </c>
      <c r="AF681" s="539"/>
      <c r="AG681" s="104">
        <f t="shared" si="210"/>
        <v>1</v>
      </c>
      <c r="AH681" s="7">
        <f t="shared" si="211"/>
        <v>0</v>
      </c>
      <c r="AI681" s="6">
        <f t="shared" si="212"/>
        <v>0</v>
      </c>
      <c r="AJ681" s="73">
        <f t="shared" si="213"/>
        <v>0</v>
      </c>
      <c r="AK681" s="539"/>
      <c r="AL681" s="748"/>
      <c r="AM681" s="748"/>
    </row>
    <row r="682" spans="2:39" x14ac:dyDescent="0.2">
      <c r="B682" s="101" t="str">
        <f t="shared" si="198"/>
        <v/>
      </c>
      <c r="C682" s="168">
        <f>IF(ISERROR(Personalplanung!F58/Monatsplanung!$E58*Monatsplanung!$M58),0,Personalplanung!F58/Monatsplanung!$E58*Monatsplanung!$M58)</f>
        <v>0</v>
      </c>
      <c r="D682" s="168">
        <f t="shared" si="199"/>
        <v>0</v>
      </c>
      <c r="E682" s="168">
        <f>IF(ISERROR(Personalplanung!H58/Monatsplanung!$E58*Monatsplanung!$M58),0,Personalplanung!H58/Monatsplanung!$E58*Monatsplanung!$M58)</f>
        <v>0</v>
      </c>
      <c r="F682" s="168">
        <f t="shared" si="200"/>
        <v>0</v>
      </c>
      <c r="G682" s="168">
        <f t="shared" si="201"/>
        <v>27.700831024930746</v>
      </c>
      <c r="H682" s="168">
        <f t="shared" si="202"/>
        <v>0</v>
      </c>
      <c r="I682" s="168">
        <f t="shared" si="203"/>
        <v>30</v>
      </c>
      <c r="J682" s="739"/>
      <c r="K682" s="168">
        <f>IF(J682&lt;&gt;"",J682,IF(ISERROR(Personalplanung!AB58/Monatsplanung!$E58*Monatsplanung!$M58),0,Personalplanung!AB58/Monatsplanung!$E58*Monatsplanung!$M58))</f>
        <v>0</v>
      </c>
      <c r="L682" s="740"/>
      <c r="M682" s="739"/>
      <c r="N682" s="168">
        <f>IF(M682&lt;&gt;"",M682,IF(ISERROR(Personalplanung!AC58/Monatsplanung!$E58*Monatsplanung!$M58),0,Personalplanung!AC58/Monatsplanung!$E58*Monatsplanung!$M58))</f>
        <v>0</v>
      </c>
      <c r="O682" s="740"/>
      <c r="P682" s="739"/>
      <c r="Q682" s="168">
        <f>IF(P682&lt;&gt;"",P682,IF(ISERROR(Personalplanung!AD58/Monatsplanung!$E58*Monatsplanung!$M58),0,Personalplanung!AD58/Monatsplanung!$E58*Monatsplanung!$M58))</f>
        <v>0</v>
      </c>
      <c r="R682" s="740"/>
      <c r="S682" s="739"/>
      <c r="T682" s="168">
        <f>IF(S682&lt;&gt;"",S682,IF(ISERROR(Personalplanung!AE58/Monatsplanung!$E58*Monatsplanung!$M58),0,Personalplanung!AE58/Monatsplanung!$E58*Monatsplanung!$M58))</f>
        <v>0</v>
      </c>
      <c r="U682" s="740"/>
      <c r="V682" s="168">
        <f t="shared" si="204"/>
        <v>0</v>
      </c>
      <c r="W682" s="168">
        <f>IF(ISERROR(Personalplanung!P58/Monatsplanung!$E58*Monatsplanung!$M58),0,Personalplanung!P58/Monatsplanung!$E58*Monatsplanung!$M58)</f>
        <v>0</v>
      </c>
      <c r="X682" s="168">
        <f>IF(ISERROR(Personalplanung!Q58/Monatsplanung!$E58*Monatsplanung!$M58),0,Personalplanung!Q58/Monatsplanung!$E58*Monatsplanung!$M58)</f>
        <v>0</v>
      </c>
      <c r="Y682" s="168">
        <f>IF(ISERROR(Personalplanung!R58/T1306*Stundencontrolling!T682),0,Personalplanung!R58/T1306*Stundencontrolling!T682)</f>
        <v>0</v>
      </c>
      <c r="Z682" s="168">
        <f>IF(ISERROR(Personalplanung!S58/Monatsplanung!$E58*Monatsplanung!$M58),0,Personalplanung!S58/Monatsplanung!$E58*Monatsplanung!$M58)</f>
        <v>0</v>
      </c>
      <c r="AA682" s="80">
        <f t="shared" si="205"/>
        <v>0</v>
      </c>
      <c r="AB682" s="102">
        <f t="shared" si="206"/>
        <v>0.1</v>
      </c>
      <c r="AC682" s="103">
        <f t="shared" si="207"/>
        <v>0</v>
      </c>
      <c r="AD682" s="103">
        <f t="shared" si="208"/>
        <v>0</v>
      </c>
      <c r="AE682" s="81">
        <f t="shared" si="209"/>
        <v>0</v>
      </c>
      <c r="AF682" s="539"/>
      <c r="AG682" s="104">
        <f t="shared" si="210"/>
        <v>1</v>
      </c>
      <c r="AH682" s="7">
        <f t="shared" si="211"/>
        <v>0</v>
      </c>
      <c r="AI682" s="6">
        <f t="shared" si="212"/>
        <v>0</v>
      </c>
      <c r="AJ682" s="73">
        <f t="shared" si="213"/>
        <v>0</v>
      </c>
      <c r="AK682" s="539"/>
      <c r="AL682" s="748"/>
      <c r="AM682" s="748"/>
    </row>
    <row r="683" spans="2:39" x14ac:dyDescent="0.2">
      <c r="B683" s="101" t="str">
        <f t="shared" si="198"/>
        <v/>
      </c>
      <c r="C683" s="168">
        <f>IF(ISERROR(Personalplanung!F59/Monatsplanung!$E59*Monatsplanung!$M59),0,Personalplanung!F59/Monatsplanung!$E59*Monatsplanung!$M59)</f>
        <v>0</v>
      </c>
      <c r="D683" s="168">
        <f t="shared" si="199"/>
        <v>0</v>
      </c>
      <c r="E683" s="168">
        <f>IF(ISERROR(Personalplanung!H59/Monatsplanung!$E59*Monatsplanung!$M59),0,Personalplanung!H59/Monatsplanung!$E59*Monatsplanung!$M59)</f>
        <v>0</v>
      </c>
      <c r="F683" s="168">
        <f t="shared" si="200"/>
        <v>0</v>
      </c>
      <c r="G683" s="168">
        <f t="shared" si="201"/>
        <v>27.700831024930746</v>
      </c>
      <c r="H683" s="168">
        <f t="shared" si="202"/>
        <v>0</v>
      </c>
      <c r="I683" s="168">
        <f t="shared" si="203"/>
        <v>30</v>
      </c>
      <c r="J683" s="739"/>
      <c r="K683" s="168">
        <f>IF(J683&lt;&gt;"",J683,IF(ISERROR(Personalplanung!AB59/Monatsplanung!$E59*Monatsplanung!$M59),0,Personalplanung!AB59/Monatsplanung!$E59*Monatsplanung!$M59))</f>
        <v>0</v>
      </c>
      <c r="L683" s="740"/>
      <c r="M683" s="739"/>
      <c r="N683" s="168">
        <f>IF(M683&lt;&gt;"",M683,IF(ISERROR(Personalplanung!AC59/Monatsplanung!$E59*Monatsplanung!$M59),0,Personalplanung!AC59/Monatsplanung!$E59*Monatsplanung!$M59))</f>
        <v>0</v>
      </c>
      <c r="O683" s="740"/>
      <c r="P683" s="739"/>
      <c r="Q683" s="168">
        <f>IF(P683&lt;&gt;"",P683,IF(ISERROR(Personalplanung!AD59/Monatsplanung!$E59*Monatsplanung!$M59),0,Personalplanung!AD59/Monatsplanung!$E59*Monatsplanung!$M59))</f>
        <v>0</v>
      </c>
      <c r="R683" s="740"/>
      <c r="S683" s="739"/>
      <c r="T683" s="168">
        <f>IF(S683&lt;&gt;"",S683,IF(ISERROR(Personalplanung!AE59/Monatsplanung!$E59*Monatsplanung!$M59),0,Personalplanung!AE59/Monatsplanung!$E59*Monatsplanung!$M59))</f>
        <v>0</v>
      </c>
      <c r="U683" s="740"/>
      <c r="V683" s="168">
        <f t="shared" si="204"/>
        <v>0</v>
      </c>
      <c r="W683" s="168">
        <f>IF(ISERROR(Personalplanung!P59/Monatsplanung!$E59*Monatsplanung!$M59),0,Personalplanung!P59/Monatsplanung!$E59*Monatsplanung!$M59)</f>
        <v>0</v>
      </c>
      <c r="X683" s="168">
        <f>IF(ISERROR(Personalplanung!Q59/Monatsplanung!$E59*Monatsplanung!$M59),0,Personalplanung!Q59/Monatsplanung!$E59*Monatsplanung!$M59)</f>
        <v>0</v>
      </c>
      <c r="Y683" s="168">
        <f>IF(ISERROR(Personalplanung!R59/T1307*Stundencontrolling!T683),0,Personalplanung!R59/T1307*Stundencontrolling!T683)</f>
        <v>0</v>
      </c>
      <c r="Z683" s="168">
        <f>IF(ISERROR(Personalplanung!S59/Monatsplanung!$E59*Monatsplanung!$M59),0,Personalplanung!S59/Monatsplanung!$E59*Monatsplanung!$M59)</f>
        <v>0</v>
      </c>
      <c r="AA683" s="80">
        <f t="shared" si="205"/>
        <v>0</v>
      </c>
      <c r="AB683" s="102">
        <f t="shared" si="206"/>
        <v>0.1</v>
      </c>
      <c r="AC683" s="103">
        <f t="shared" si="207"/>
        <v>0</v>
      </c>
      <c r="AD683" s="103">
        <f t="shared" si="208"/>
        <v>0</v>
      </c>
      <c r="AE683" s="81">
        <f t="shared" si="209"/>
        <v>0</v>
      </c>
      <c r="AF683" s="539"/>
      <c r="AG683" s="104">
        <f t="shared" si="210"/>
        <v>1</v>
      </c>
      <c r="AH683" s="7">
        <f t="shared" si="211"/>
        <v>0</v>
      </c>
      <c r="AI683" s="6">
        <f t="shared" si="212"/>
        <v>0</v>
      </c>
      <c r="AJ683" s="73">
        <f t="shared" si="213"/>
        <v>0</v>
      </c>
      <c r="AK683" s="539"/>
      <c r="AL683" s="748"/>
      <c r="AM683" s="748"/>
    </row>
    <row r="684" spans="2:39" x14ac:dyDescent="0.2">
      <c r="B684" s="101" t="str">
        <f t="shared" si="198"/>
        <v/>
      </c>
      <c r="C684" s="168">
        <f>IF(ISERROR(Personalplanung!F60/Monatsplanung!$E60*Monatsplanung!$M60),0,Personalplanung!F60/Monatsplanung!$E60*Monatsplanung!$M60)</f>
        <v>0</v>
      </c>
      <c r="D684" s="168">
        <f t="shared" si="199"/>
        <v>0</v>
      </c>
      <c r="E684" s="168">
        <f>IF(ISERROR(Personalplanung!H60/Monatsplanung!$E60*Monatsplanung!$M60),0,Personalplanung!H60/Monatsplanung!$E60*Monatsplanung!$M60)</f>
        <v>0</v>
      </c>
      <c r="F684" s="168">
        <f t="shared" si="200"/>
        <v>0</v>
      </c>
      <c r="G684" s="168">
        <f t="shared" si="201"/>
        <v>27.700831024930746</v>
      </c>
      <c r="H684" s="168">
        <f t="shared" si="202"/>
        <v>0</v>
      </c>
      <c r="I684" s="168">
        <f t="shared" si="203"/>
        <v>30</v>
      </c>
      <c r="J684" s="739"/>
      <c r="K684" s="168">
        <f>IF(J684&lt;&gt;"",J684,IF(ISERROR(Personalplanung!AB60/Monatsplanung!$E60*Monatsplanung!$M60),0,Personalplanung!AB60/Monatsplanung!$E60*Monatsplanung!$M60))</f>
        <v>0</v>
      </c>
      <c r="L684" s="740"/>
      <c r="M684" s="739"/>
      <c r="N684" s="168">
        <f>IF(M684&lt;&gt;"",M684,IF(ISERROR(Personalplanung!AC60/Monatsplanung!$E60*Monatsplanung!$M60),0,Personalplanung!AC60/Monatsplanung!$E60*Monatsplanung!$M60))</f>
        <v>0</v>
      </c>
      <c r="O684" s="740"/>
      <c r="P684" s="739"/>
      <c r="Q684" s="168">
        <f>IF(P684&lt;&gt;"",P684,IF(ISERROR(Personalplanung!AD60/Monatsplanung!$E60*Monatsplanung!$M60),0,Personalplanung!AD60/Monatsplanung!$E60*Monatsplanung!$M60))</f>
        <v>0</v>
      </c>
      <c r="R684" s="740"/>
      <c r="S684" s="739"/>
      <c r="T684" s="168">
        <f>IF(S684&lt;&gt;"",S684,IF(ISERROR(Personalplanung!AE60/Monatsplanung!$E60*Monatsplanung!$M60),0,Personalplanung!AE60/Monatsplanung!$E60*Monatsplanung!$M60))</f>
        <v>0</v>
      </c>
      <c r="U684" s="740"/>
      <c r="V684" s="168">
        <f t="shared" si="204"/>
        <v>0</v>
      </c>
      <c r="W684" s="168">
        <f>IF(ISERROR(Personalplanung!P60/Monatsplanung!$E60*Monatsplanung!$M60),0,Personalplanung!P60/Monatsplanung!$E60*Monatsplanung!$M60)</f>
        <v>0</v>
      </c>
      <c r="X684" s="168">
        <f>IF(ISERROR(Personalplanung!Q60/Monatsplanung!$E60*Monatsplanung!$M60),0,Personalplanung!Q60/Monatsplanung!$E60*Monatsplanung!$M60)</f>
        <v>0</v>
      </c>
      <c r="Y684" s="168">
        <f>IF(ISERROR(Personalplanung!R60/T1308*Stundencontrolling!T684),0,Personalplanung!R60/T1308*Stundencontrolling!T684)</f>
        <v>0</v>
      </c>
      <c r="Z684" s="168">
        <f>IF(ISERROR(Personalplanung!S60/Monatsplanung!$E60*Monatsplanung!$M60),0,Personalplanung!S60/Monatsplanung!$E60*Monatsplanung!$M60)</f>
        <v>0</v>
      </c>
      <c r="AA684" s="80">
        <f t="shared" si="205"/>
        <v>0</v>
      </c>
      <c r="AB684" s="102">
        <f t="shared" si="206"/>
        <v>0.1</v>
      </c>
      <c r="AC684" s="103">
        <f t="shared" si="207"/>
        <v>0</v>
      </c>
      <c r="AD684" s="103">
        <f t="shared" si="208"/>
        <v>0</v>
      </c>
      <c r="AE684" s="81">
        <f t="shared" si="209"/>
        <v>0</v>
      </c>
      <c r="AF684" s="539"/>
      <c r="AG684" s="104">
        <f t="shared" si="210"/>
        <v>1</v>
      </c>
      <c r="AH684" s="7">
        <f t="shared" si="211"/>
        <v>0</v>
      </c>
      <c r="AI684" s="6">
        <f t="shared" si="212"/>
        <v>0</v>
      </c>
      <c r="AJ684" s="73">
        <f t="shared" si="213"/>
        <v>0</v>
      </c>
      <c r="AK684" s="539"/>
      <c r="AL684" s="748"/>
      <c r="AM684" s="748"/>
    </row>
    <row r="685" spans="2:39" x14ac:dyDescent="0.2">
      <c r="B685" s="101" t="str">
        <f t="shared" si="198"/>
        <v/>
      </c>
      <c r="C685" s="168">
        <f>IF(ISERROR(Personalplanung!F61/Monatsplanung!$E61*Monatsplanung!$M61),0,Personalplanung!F61/Monatsplanung!$E61*Monatsplanung!$M61)</f>
        <v>0</v>
      </c>
      <c r="D685" s="168">
        <f t="shared" si="199"/>
        <v>0</v>
      </c>
      <c r="E685" s="168">
        <f>IF(ISERROR(Personalplanung!H61/Monatsplanung!$E61*Monatsplanung!$M61),0,Personalplanung!H61/Monatsplanung!$E61*Monatsplanung!$M61)</f>
        <v>0</v>
      </c>
      <c r="F685" s="168">
        <f t="shared" si="200"/>
        <v>0</v>
      </c>
      <c r="G685" s="168">
        <f t="shared" si="201"/>
        <v>27.700831024930746</v>
      </c>
      <c r="H685" s="168">
        <f t="shared" si="202"/>
        <v>0</v>
      </c>
      <c r="I685" s="168">
        <f t="shared" si="203"/>
        <v>30</v>
      </c>
      <c r="J685" s="739"/>
      <c r="K685" s="168">
        <f>IF(J685&lt;&gt;"",J685,IF(ISERROR(Personalplanung!AB61/Monatsplanung!$E61*Monatsplanung!$M61),0,Personalplanung!AB61/Monatsplanung!$E61*Monatsplanung!$M61))</f>
        <v>0</v>
      </c>
      <c r="L685" s="740"/>
      <c r="M685" s="739"/>
      <c r="N685" s="168">
        <f>IF(M685&lt;&gt;"",M685,IF(ISERROR(Personalplanung!AC61/Monatsplanung!$E61*Monatsplanung!$M61),0,Personalplanung!AC61/Monatsplanung!$E61*Monatsplanung!$M61))</f>
        <v>0</v>
      </c>
      <c r="O685" s="740"/>
      <c r="P685" s="739"/>
      <c r="Q685" s="168">
        <f>IF(P685&lt;&gt;"",P685,IF(ISERROR(Personalplanung!AD61/Monatsplanung!$E61*Monatsplanung!$M61),0,Personalplanung!AD61/Monatsplanung!$E61*Monatsplanung!$M61))</f>
        <v>0</v>
      </c>
      <c r="R685" s="740"/>
      <c r="S685" s="739"/>
      <c r="T685" s="168">
        <f>IF(S685&lt;&gt;"",S685,IF(ISERROR(Personalplanung!AE61/Monatsplanung!$E61*Monatsplanung!$M61),0,Personalplanung!AE61/Monatsplanung!$E61*Monatsplanung!$M61))</f>
        <v>0</v>
      </c>
      <c r="U685" s="740"/>
      <c r="V685" s="168">
        <f t="shared" si="204"/>
        <v>0</v>
      </c>
      <c r="W685" s="168">
        <f>IF(ISERROR(Personalplanung!P61/Monatsplanung!$E61*Monatsplanung!$M61),0,Personalplanung!P61/Monatsplanung!$E61*Monatsplanung!$M61)</f>
        <v>0</v>
      </c>
      <c r="X685" s="168">
        <f>IF(ISERROR(Personalplanung!Q61/Monatsplanung!$E61*Monatsplanung!$M61),0,Personalplanung!Q61/Monatsplanung!$E61*Monatsplanung!$M61)</f>
        <v>0</v>
      </c>
      <c r="Y685" s="168">
        <f>IF(ISERROR(Personalplanung!R61/T1309*Stundencontrolling!T685),0,Personalplanung!R61/T1309*Stundencontrolling!T685)</f>
        <v>0</v>
      </c>
      <c r="Z685" s="168">
        <f>IF(ISERROR(Personalplanung!S61/Monatsplanung!$E61*Monatsplanung!$M61),0,Personalplanung!S61/Monatsplanung!$E61*Monatsplanung!$M61)</f>
        <v>0</v>
      </c>
      <c r="AA685" s="80">
        <f t="shared" si="205"/>
        <v>0</v>
      </c>
      <c r="AB685" s="102">
        <f t="shared" si="206"/>
        <v>0.1</v>
      </c>
      <c r="AC685" s="103">
        <f t="shared" si="207"/>
        <v>0</v>
      </c>
      <c r="AD685" s="103">
        <f t="shared" si="208"/>
        <v>0</v>
      </c>
      <c r="AE685" s="81">
        <f t="shared" si="209"/>
        <v>0</v>
      </c>
      <c r="AF685" s="539"/>
      <c r="AG685" s="104">
        <f t="shared" si="210"/>
        <v>1</v>
      </c>
      <c r="AH685" s="7">
        <f t="shared" si="211"/>
        <v>0</v>
      </c>
      <c r="AI685" s="6">
        <f t="shared" si="212"/>
        <v>0</v>
      </c>
      <c r="AJ685" s="73">
        <f t="shared" si="213"/>
        <v>0</v>
      </c>
      <c r="AK685" s="539"/>
      <c r="AL685" s="748"/>
      <c r="AM685" s="748"/>
    </row>
    <row r="686" spans="2:39" x14ac:dyDescent="0.2">
      <c r="B686" s="101" t="str">
        <f t="shared" si="198"/>
        <v/>
      </c>
      <c r="C686" s="168">
        <f>IF(ISERROR(Personalplanung!F62/Monatsplanung!$E62*Monatsplanung!$M62),0,Personalplanung!F62/Monatsplanung!$E62*Monatsplanung!$M62)</f>
        <v>0</v>
      </c>
      <c r="D686" s="168">
        <f t="shared" si="199"/>
        <v>0</v>
      </c>
      <c r="E686" s="168">
        <f>IF(ISERROR(Personalplanung!H62/Monatsplanung!$E62*Monatsplanung!$M62),0,Personalplanung!H62/Monatsplanung!$E62*Monatsplanung!$M62)</f>
        <v>0</v>
      </c>
      <c r="F686" s="168">
        <f t="shared" si="200"/>
        <v>0</v>
      </c>
      <c r="G686" s="168">
        <f t="shared" si="201"/>
        <v>27.700831024930746</v>
      </c>
      <c r="H686" s="168">
        <f t="shared" si="202"/>
        <v>0</v>
      </c>
      <c r="I686" s="168">
        <f t="shared" si="203"/>
        <v>30</v>
      </c>
      <c r="J686" s="739"/>
      <c r="K686" s="168">
        <f>IF(J686&lt;&gt;"",J686,IF(ISERROR(Personalplanung!AB62/Monatsplanung!$E62*Monatsplanung!$M62),0,Personalplanung!AB62/Monatsplanung!$E62*Monatsplanung!$M62))</f>
        <v>0</v>
      </c>
      <c r="L686" s="740"/>
      <c r="M686" s="739"/>
      <c r="N686" s="168">
        <f>IF(M686&lt;&gt;"",M686,IF(ISERROR(Personalplanung!AC62/Monatsplanung!$E62*Monatsplanung!$M62),0,Personalplanung!AC62/Monatsplanung!$E62*Monatsplanung!$M62))</f>
        <v>0</v>
      </c>
      <c r="O686" s="740"/>
      <c r="P686" s="739"/>
      <c r="Q686" s="168">
        <f>IF(P686&lt;&gt;"",P686,IF(ISERROR(Personalplanung!AD62/Monatsplanung!$E62*Monatsplanung!$M62),0,Personalplanung!AD62/Monatsplanung!$E62*Monatsplanung!$M62))</f>
        <v>0</v>
      </c>
      <c r="R686" s="740"/>
      <c r="S686" s="739"/>
      <c r="T686" s="168">
        <f>IF(S686&lt;&gt;"",S686,IF(ISERROR(Personalplanung!AE62/Monatsplanung!$E62*Monatsplanung!$M62),0,Personalplanung!AE62/Monatsplanung!$E62*Monatsplanung!$M62))</f>
        <v>0</v>
      </c>
      <c r="U686" s="740"/>
      <c r="V686" s="168">
        <f t="shared" si="204"/>
        <v>0</v>
      </c>
      <c r="W686" s="168">
        <f>IF(ISERROR(Personalplanung!P62/Monatsplanung!$E62*Monatsplanung!$M62),0,Personalplanung!P62/Monatsplanung!$E62*Monatsplanung!$M62)</f>
        <v>0</v>
      </c>
      <c r="X686" s="168">
        <f>IF(ISERROR(Personalplanung!Q62/Monatsplanung!$E62*Monatsplanung!$M62),0,Personalplanung!Q62/Monatsplanung!$E62*Monatsplanung!$M62)</f>
        <v>0</v>
      </c>
      <c r="Y686" s="168">
        <f>IF(ISERROR(Personalplanung!R62/T1310*Stundencontrolling!T686),0,Personalplanung!R62/T1310*Stundencontrolling!T686)</f>
        <v>0</v>
      </c>
      <c r="Z686" s="168">
        <f>IF(ISERROR(Personalplanung!S62/Monatsplanung!$E62*Monatsplanung!$M62),0,Personalplanung!S62/Monatsplanung!$E62*Monatsplanung!$M62)</f>
        <v>0</v>
      </c>
      <c r="AA686" s="80">
        <f t="shared" si="205"/>
        <v>0</v>
      </c>
      <c r="AB686" s="102">
        <f t="shared" si="206"/>
        <v>0.1</v>
      </c>
      <c r="AC686" s="103">
        <f t="shared" si="207"/>
        <v>0</v>
      </c>
      <c r="AD686" s="103">
        <f t="shared" si="208"/>
        <v>0</v>
      </c>
      <c r="AE686" s="81">
        <f t="shared" si="209"/>
        <v>0</v>
      </c>
      <c r="AF686" s="539"/>
      <c r="AG686" s="104">
        <f t="shared" si="210"/>
        <v>1</v>
      </c>
      <c r="AH686" s="7">
        <f t="shared" si="211"/>
        <v>0</v>
      </c>
      <c r="AI686" s="6">
        <f t="shared" si="212"/>
        <v>0</v>
      </c>
      <c r="AJ686" s="73">
        <f t="shared" si="213"/>
        <v>0</v>
      </c>
      <c r="AK686" s="539"/>
      <c r="AL686" s="748"/>
      <c r="AM686" s="748"/>
    </row>
    <row r="687" spans="2:39" x14ac:dyDescent="0.2">
      <c r="B687" s="101" t="str">
        <f t="shared" si="198"/>
        <v/>
      </c>
      <c r="C687" s="168">
        <f>IF(ISERROR(Personalplanung!F63/Monatsplanung!$E63*Monatsplanung!$M63),0,Personalplanung!F63/Monatsplanung!$E63*Monatsplanung!$M63)</f>
        <v>0</v>
      </c>
      <c r="D687" s="168">
        <f t="shared" si="199"/>
        <v>0</v>
      </c>
      <c r="E687" s="168">
        <f>IF(ISERROR(Personalplanung!H63/Monatsplanung!$E63*Monatsplanung!$M63),0,Personalplanung!H63/Monatsplanung!$E63*Monatsplanung!$M63)</f>
        <v>0</v>
      </c>
      <c r="F687" s="168">
        <f t="shared" si="200"/>
        <v>0</v>
      </c>
      <c r="G687" s="168">
        <f t="shared" si="201"/>
        <v>27.700831024930746</v>
      </c>
      <c r="H687" s="168">
        <f t="shared" si="202"/>
        <v>0</v>
      </c>
      <c r="I687" s="168">
        <f t="shared" si="203"/>
        <v>30</v>
      </c>
      <c r="J687" s="739"/>
      <c r="K687" s="168">
        <f>IF(J687&lt;&gt;"",J687,IF(ISERROR(Personalplanung!AB63/Monatsplanung!$E63*Monatsplanung!$M63),0,Personalplanung!AB63/Monatsplanung!$E63*Monatsplanung!$M63))</f>
        <v>0</v>
      </c>
      <c r="L687" s="740"/>
      <c r="M687" s="739"/>
      <c r="N687" s="168">
        <f>IF(M687&lt;&gt;"",M687,IF(ISERROR(Personalplanung!AC63/Monatsplanung!$E63*Monatsplanung!$M63),0,Personalplanung!AC63/Monatsplanung!$E63*Monatsplanung!$M63))</f>
        <v>0</v>
      </c>
      <c r="O687" s="740"/>
      <c r="P687" s="739"/>
      <c r="Q687" s="168">
        <f>IF(P687&lt;&gt;"",P687,IF(ISERROR(Personalplanung!AD63/Monatsplanung!$E63*Monatsplanung!$M63),0,Personalplanung!AD63/Monatsplanung!$E63*Monatsplanung!$M63))</f>
        <v>0</v>
      </c>
      <c r="R687" s="740"/>
      <c r="S687" s="739"/>
      <c r="T687" s="168">
        <f>IF(S687&lt;&gt;"",S687,IF(ISERROR(Personalplanung!AE63/Monatsplanung!$E63*Monatsplanung!$M63),0,Personalplanung!AE63/Monatsplanung!$E63*Monatsplanung!$M63))</f>
        <v>0</v>
      </c>
      <c r="U687" s="740"/>
      <c r="V687" s="168">
        <f t="shared" si="204"/>
        <v>0</v>
      </c>
      <c r="W687" s="168">
        <f>IF(ISERROR(Personalplanung!P63/Monatsplanung!$E63*Monatsplanung!$M63),0,Personalplanung!P63/Monatsplanung!$E63*Monatsplanung!$M63)</f>
        <v>0</v>
      </c>
      <c r="X687" s="168">
        <f>IF(ISERROR(Personalplanung!Q63/Monatsplanung!$E63*Monatsplanung!$M63),0,Personalplanung!Q63/Monatsplanung!$E63*Monatsplanung!$M63)</f>
        <v>0</v>
      </c>
      <c r="Y687" s="168">
        <f>IF(ISERROR(Personalplanung!R63/T1311*Stundencontrolling!T687),0,Personalplanung!R63/T1311*Stundencontrolling!T687)</f>
        <v>0</v>
      </c>
      <c r="Z687" s="168">
        <f>IF(ISERROR(Personalplanung!S63/Monatsplanung!$E63*Monatsplanung!$M63),0,Personalplanung!S63/Monatsplanung!$E63*Monatsplanung!$M63)</f>
        <v>0</v>
      </c>
      <c r="AA687" s="80">
        <f t="shared" si="205"/>
        <v>0</v>
      </c>
      <c r="AB687" s="102">
        <f t="shared" si="206"/>
        <v>0.1</v>
      </c>
      <c r="AC687" s="103">
        <f t="shared" si="207"/>
        <v>0</v>
      </c>
      <c r="AD687" s="103">
        <f t="shared" si="208"/>
        <v>0</v>
      </c>
      <c r="AE687" s="81">
        <f t="shared" si="209"/>
        <v>0</v>
      </c>
      <c r="AF687" s="539"/>
      <c r="AG687" s="104">
        <f t="shared" si="210"/>
        <v>1</v>
      </c>
      <c r="AH687" s="7">
        <f t="shared" si="211"/>
        <v>0</v>
      </c>
      <c r="AI687" s="6">
        <f t="shared" si="212"/>
        <v>0</v>
      </c>
      <c r="AJ687" s="73">
        <f t="shared" si="213"/>
        <v>0</v>
      </c>
      <c r="AK687" s="539"/>
      <c r="AL687" s="748"/>
      <c r="AM687" s="748"/>
    </row>
    <row r="688" spans="2:39" x14ac:dyDescent="0.2">
      <c r="B688" s="101" t="str">
        <f t="shared" si="198"/>
        <v/>
      </c>
      <c r="C688" s="168">
        <f>IF(ISERROR(Personalplanung!F64/Monatsplanung!$E64*Monatsplanung!$M64),0,Personalplanung!F64/Monatsplanung!$E64*Monatsplanung!$M64)</f>
        <v>0</v>
      </c>
      <c r="D688" s="168">
        <f t="shared" si="199"/>
        <v>0</v>
      </c>
      <c r="E688" s="168">
        <f>IF(ISERROR(Personalplanung!H64/Monatsplanung!$E64*Monatsplanung!$M64),0,Personalplanung!H64/Monatsplanung!$E64*Monatsplanung!$M64)</f>
        <v>0</v>
      </c>
      <c r="F688" s="168">
        <f t="shared" si="200"/>
        <v>0</v>
      </c>
      <c r="G688" s="168">
        <f t="shared" si="201"/>
        <v>27.700831024930746</v>
      </c>
      <c r="H688" s="168">
        <f t="shared" si="202"/>
        <v>0</v>
      </c>
      <c r="I688" s="168">
        <f t="shared" si="203"/>
        <v>30</v>
      </c>
      <c r="J688" s="739"/>
      <c r="K688" s="168">
        <f>IF(J688&lt;&gt;"",J688,IF(ISERROR(Personalplanung!AB64/Monatsplanung!$E64*Monatsplanung!$M64),0,Personalplanung!AB64/Monatsplanung!$E64*Monatsplanung!$M64))</f>
        <v>0</v>
      </c>
      <c r="L688" s="740"/>
      <c r="M688" s="739"/>
      <c r="N688" s="168">
        <f>IF(M688&lt;&gt;"",M688,IF(ISERROR(Personalplanung!AC64/Monatsplanung!$E64*Monatsplanung!$M64),0,Personalplanung!AC64/Monatsplanung!$E64*Monatsplanung!$M64))</f>
        <v>0</v>
      </c>
      <c r="O688" s="740"/>
      <c r="P688" s="739"/>
      <c r="Q688" s="168">
        <f>IF(P688&lt;&gt;"",P688,IF(ISERROR(Personalplanung!AD64/Monatsplanung!$E64*Monatsplanung!$M64),0,Personalplanung!AD64/Monatsplanung!$E64*Monatsplanung!$M64))</f>
        <v>0</v>
      </c>
      <c r="R688" s="740"/>
      <c r="S688" s="739"/>
      <c r="T688" s="168">
        <f>IF(S688&lt;&gt;"",S688,IF(ISERROR(Personalplanung!AE64/Monatsplanung!$E64*Monatsplanung!$M64),0,Personalplanung!AE64/Monatsplanung!$E64*Monatsplanung!$M64))</f>
        <v>0</v>
      </c>
      <c r="U688" s="740"/>
      <c r="V688" s="168">
        <f t="shared" si="204"/>
        <v>0</v>
      </c>
      <c r="W688" s="168">
        <f>IF(ISERROR(Personalplanung!P64/Monatsplanung!$E64*Monatsplanung!$M64),0,Personalplanung!P64/Monatsplanung!$E64*Monatsplanung!$M64)</f>
        <v>0</v>
      </c>
      <c r="X688" s="168">
        <f>IF(ISERROR(Personalplanung!Q64/Monatsplanung!$E64*Monatsplanung!$M64),0,Personalplanung!Q64/Monatsplanung!$E64*Monatsplanung!$M64)</f>
        <v>0</v>
      </c>
      <c r="Y688" s="168">
        <f>IF(ISERROR(Personalplanung!R64/T1312*Stundencontrolling!T688),0,Personalplanung!R64/T1312*Stundencontrolling!T688)</f>
        <v>0</v>
      </c>
      <c r="Z688" s="168">
        <f>IF(ISERROR(Personalplanung!S64/Monatsplanung!$E64*Monatsplanung!$M64),0,Personalplanung!S64/Monatsplanung!$E64*Monatsplanung!$M64)</f>
        <v>0</v>
      </c>
      <c r="AA688" s="80">
        <f t="shared" si="205"/>
        <v>0</v>
      </c>
      <c r="AB688" s="102">
        <f t="shared" si="206"/>
        <v>0.1</v>
      </c>
      <c r="AC688" s="103">
        <f t="shared" si="207"/>
        <v>0</v>
      </c>
      <c r="AD688" s="103">
        <f t="shared" si="208"/>
        <v>0</v>
      </c>
      <c r="AE688" s="81">
        <f t="shared" si="209"/>
        <v>0</v>
      </c>
      <c r="AF688" s="539"/>
      <c r="AG688" s="104">
        <f t="shared" si="210"/>
        <v>1</v>
      </c>
      <c r="AH688" s="7">
        <f t="shared" si="211"/>
        <v>0</v>
      </c>
      <c r="AI688" s="6">
        <f t="shared" si="212"/>
        <v>0</v>
      </c>
      <c r="AJ688" s="73">
        <f t="shared" si="213"/>
        <v>0</v>
      </c>
      <c r="AK688" s="539"/>
      <c r="AL688" s="748"/>
      <c r="AM688" s="748"/>
    </row>
    <row r="689" spans="2:39" x14ac:dyDescent="0.2">
      <c r="B689" s="101" t="str">
        <f t="shared" si="198"/>
        <v/>
      </c>
      <c r="C689" s="168">
        <f>IF(ISERROR(Personalplanung!F65/Monatsplanung!$E65*Monatsplanung!$M65),0,Personalplanung!F65/Monatsplanung!$E65*Monatsplanung!$M65)</f>
        <v>0</v>
      </c>
      <c r="D689" s="168">
        <f t="shared" si="199"/>
        <v>0</v>
      </c>
      <c r="E689" s="168">
        <f>IF(ISERROR(Personalplanung!H65/Monatsplanung!$E65*Monatsplanung!$M65),0,Personalplanung!H65/Monatsplanung!$E65*Monatsplanung!$M65)</f>
        <v>0</v>
      </c>
      <c r="F689" s="168">
        <f t="shared" si="200"/>
        <v>0</v>
      </c>
      <c r="G689" s="168">
        <f t="shared" si="201"/>
        <v>27.700831024930746</v>
      </c>
      <c r="H689" s="168">
        <f t="shared" si="202"/>
        <v>0</v>
      </c>
      <c r="I689" s="168">
        <f t="shared" si="203"/>
        <v>30</v>
      </c>
      <c r="J689" s="739"/>
      <c r="K689" s="168">
        <f>IF(J689&lt;&gt;"",J689,IF(ISERROR(Personalplanung!AB65/Monatsplanung!$E65*Monatsplanung!$M65),0,Personalplanung!AB65/Monatsplanung!$E65*Monatsplanung!$M65))</f>
        <v>0</v>
      </c>
      <c r="L689" s="740"/>
      <c r="M689" s="739"/>
      <c r="N689" s="168">
        <f>IF(M689&lt;&gt;"",M689,IF(ISERROR(Personalplanung!AC65/Monatsplanung!$E65*Monatsplanung!$M65),0,Personalplanung!AC65/Monatsplanung!$E65*Monatsplanung!$M65))</f>
        <v>0</v>
      </c>
      <c r="O689" s="740"/>
      <c r="P689" s="739"/>
      <c r="Q689" s="168">
        <f>IF(P689&lt;&gt;"",P689,IF(ISERROR(Personalplanung!AD65/Monatsplanung!$E65*Monatsplanung!$M65),0,Personalplanung!AD65/Monatsplanung!$E65*Monatsplanung!$M65))</f>
        <v>0</v>
      </c>
      <c r="R689" s="740"/>
      <c r="S689" s="739"/>
      <c r="T689" s="168">
        <f>IF(S689&lt;&gt;"",S689,IF(ISERROR(Personalplanung!AE65/Monatsplanung!$E65*Monatsplanung!$M65),0,Personalplanung!AE65/Monatsplanung!$E65*Monatsplanung!$M65))</f>
        <v>0</v>
      </c>
      <c r="U689" s="740"/>
      <c r="V689" s="168">
        <f t="shared" si="204"/>
        <v>0</v>
      </c>
      <c r="W689" s="168">
        <f>IF(ISERROR(Personalplanung!P65/Monatsplanung!$E65*Monatsplanung!$M65),0,Personalplanung!P65/Monatsplanung!$E65*Monatsplanung!$M65)</f>
        <v>0</v>
      </c>
      <c r="X689" s="168">
        <f>IF(ISERROR(Personalplanung!Q65/Monatsplanung!$E65*Monatsplanung!$M65),0,Personalplanung!Q65/Monatsplanung!$E65*Monatsplanung!$M65)</f>
        <v>0</v>
      </c>
      <c r="Y689" s="168">
        <f>IF(ISERROR(Personalplanung!R65/T1313*Stundencontrolling!T689),0,Personalplanung!R65/T1313*Stundencontrolling!T689)</f>
        <v>0</v>
      </c>
      <c r="Z689" s="168">
        <f>IF(ISERROR(Personalplanung!S65/Monatsplanung!$E65*Monatsplanung!$M65),0,Personalplanung!S65/Monatsplanung!$E65*Monatsplanung!$M65)</f>
        <v>0</v>
      </c>
      <c r="AA689" s="80">
        <f t="shared" si="205"/>
        <v>0</v>
      </c>
      <c r="AB689" s="102">
        <f t="shared" si="206"/>
        <v>0.1</v>
      </c>
      <c r="AC689" s="103">
        <f t="shared" si="207"/>
        <v>0</v>
      </c>
      <c r="AD689" s="103">
        <f t="shared" si="208"/>
        <v>0</v>
      </c>
      <c r="AE689" s="81">
        <f t="shared" si="209"/>
        <v>0</v>
      </c>
      <c r="AF689" s="539"/>
      <c r="AG689" s="104">
        <f t="shared" si="210"/>
        <v>1</v>
      </c>
      <c r="AH689" s="7">
        <f t="shared" si="211"/>
        <v>0</v>
      </c>
      <c r="AI689" s="6">
        <f t="shared" si="212"/>
        <v>0</v>
      </c>
      <c r="AJ689" s="73">
        <f t="shared" si="213"/>
        <v>0</v>
      </c>
      <c r="AK689" s="539"/>
      <c r="AL689" s="748"/>
      <c r="AM689" s="748"/>
    </row>
    <row r="690" spans="2:39" x14ac:dyDescent="0.2">
      <c r="B690" s="101" t="str">
        <f t="shared" si="198"/>
        <v/>
      </c>
      <c r="C690" s="168">
        <f>IF(ISERROR(Personalplanung!F66/Monatsplanung!$E66*Monatsplanung!$M66),0,Personalplanung!F66/Monatsplanung!$E66*Monatsplanung!$M66)</f>
        <v>0</v>
      </c>
      <c r="D690" s="168">
        <f t="shared" si="199"/>
        <v>0</v>
      </c>
      <c r="E690" s="168">
        <f>IF(ISERROR(Personalplanung!H66/Monatsplanung!$E66*Monatsplanung!$M66),0,Personalplanung!H66/Monatsplanung!$E66*Monatsplanung!$M66)</f>
        <v>0</v>
      </c>
      <c r="F690" s="168">
        <f t="shared" si="200"/>
        <v>0</v>
      </c>
      <c r="G690" s="168">
        <f t="shared" si="201"/>
        <v>27.700831024930746</v>
      </c>
      <c r="H690" s="168">
        <f t="shared" si="202"/>
        <v>0</v>
      </c>
      <c r="I690" s="168">
        <f t="shared" si="203"/>
        <v>30</v>
      </c>
      <c r="J690" s="739"/>
      <c r="K690" s="168">
        <f>IF(J690&lt;&gt;"",J690,IF(ISERROR(Personalplanung!AB66/Monatsplanung!$E66*Monatsplanung!$M66),0,Personalplanung!AB66/Monatsplanung!$E66*Monatsplanung!$M66))</f>
        <v>0</v>
      </c>
      <c r="L690" s="740"/>
      <c r="M690" s="739"/>
      <c r="N690" s="168">
        <f>IF(M690&lt;&gt;"",M690,IF(ISERROR(Personalplanung!AC66/Monatsplanung!$E66*Monatsplanung!$M66),0,Personalplanung!AC66/Monatsplanung!$E66*Monatsplanung!$M66))</f>
        <v>0</v>
      </c>
      <c r="O690" s="740"/>
      <c r="P690" s="739"/>
      <c r="Q690" s="168">
        <f>IF(P690&lt;&gt;"",P690,IF(ISERROR(Personalplanung!AD66/Monatsplanung!$E66*Monatsplanung!$M66),0,Personalplanung!AD66/Monatsplanung!$E66*Monatsplanung!$M66))</f>
        <v>0</v>
      </c>
      <c r="R690" s="740"/>
      <c r="S690" s="739"/>
      <c r="T690" s="168">
        <f>IF(S690&lt;&gt;"",S690,IF(ISERROR(Personalplanung!AE66/Monatsplanung!$E66*Monatsplanung!$M66),0,Personalplanung!AE66/Monatsplanung!$E66*Monatsplanung!$M66))</f>
        <v>0</v>
      </c>
      <c r="U690" s="740"/>
      <c r="V690" s="168">
        <f t="shared" si="204"/>
        <v>0</v>
      </c>
      <c r="W690" s="168">
        <f>IF(ISERROR(Personalplanung!P66/Monatsplanung!$E66*Monatsplanung!$M66),0,Personalplanung!P66/Monatsplanung!$E66*Monatsplanung!$M66)</f>
        <v>0</v>
      </c>
      <c r="X690" s="168">
        <f>IF(ISERROR(Personalplanung!Q66/Monatsplanung!$E66*Monatsplanung!$M66),0,Personalplanung!Q66/Monatsplanung!$E66*Monatsplanung!$M66)</f>
        <v>0</v>
      </c>
      <c r="Y690" s="168">
        <f>IF(ISERROR(Personalplanung!R66/T1314*Stundencontrolling!T690),0,Personalplanung!R66/T1314*Stundencontrolling!T690)</f>
        <v>0</v>
      </c>
      <c r="Z690" s="168">
        <f>IF(ISERROR(Personalplanung!S66/Monatsplanung!$E66*Monatsplanung!$M66),0,Personalplanung!S66/Monatsplanung!$E66*Monatsplanung!$M66)</f>
        <v>0</v>
      </c>
      <c r="AA690" s="80">
        <f t="shared" si="205"/>
        <v>0</v>
      </c>
      <c r="AB690" s="102">
        <f t="shared" si="206"/>
        <v>0.1</v>
      </c>
      <c r="AC690" s="103">
        <f t="shared" si="207"/>
        <v>0</v>
      </c>
      <c r="AD690" s="103">
        <f t="shared" si="208"/>
        <v>0</v>
      </c>
      <c r="AE690" s="81">
        <f t="shared" si="209"/>
        <v>0</v>
      </c>
      <c r="AF690" s="539"/>
      <c r="AG690" s="104">
        <f t="shared" si="210"/>
        <v>1</v>
      </c>
      <c r="AH690" s="7">
        <f t="shared" si="211"/>
        <v>0</v>
      </c>
      <c r="AI690" s="6">
        <f t="shared" si="212"/>
        <v>0</v>
      </c>
      <c r="AJ690" s="73">
        <f t="shared" si="213"/>
        <v>0</v>
      </c>
      <c r="AK690" s="539"/>
      <c r="AL690" s="748"/>
      <c r="AM690" s="748"/>
    </row>
    <row r="691" spans="2:39" x14ac:dyDescent="0.2">
      <c r="B691" s="101" t="str">
        <f t="shared" si="198"/>
        <v/>
      </c>
      <c r="C691" s="168">
        <f>IF(ISERROR(Personalplanung!F67/Monatsplanung!$E67*Monatsplanung!$M67),0,Personalplanung!F67/Monatsplanung!$E67*Monatsplanung!$M67)</f>
        <v>0</v>
      </c>
      <c r="D691" s="168">
        <f t="shared" si="199"/>
        <v>0</v>
      </c>
      <c r="E691" s="168">
        <f>IF(ISERROR(Personalplanung!H67/Monatsplanung!$E67*Monatsplanung!$M67),0,Personalplanung!H67/Monatsplanung!$E67*Monatsplanung!$M67)</f>
        <v>0</v>
      </c>
      <c r="F691" s="168">
        <f t="shared" si="200"/>
        <v>0</v>
      </c>
      <c r="G691" s="168">
        <f t="shared" si="201"/>
        <v>27.700831024930746</v>
      </c>
      <c r="H691" s="168">
        <f t="shared" si="202"/>
        <v>0</v>
      </c>
      <c r="I691" s="168">
        <f t="shared" si="203"/>
        <v>30</v>
      </c>
      <c r="J691" s="739"/>
      <c r="K691" s="168">
        <f>IF(J691&lt;&gt;"",J691,IF(ISERROR(Personalplanung!AB67/Monatsplanung!$E67*Monatsplanung!$M67),0,Personalplanung!AB67/Monatsplanung!$E67*Monatsplanung!$M67))</f>
        <v>0</v>
      </c>
      <c r="L691" s="740"/>
      <c r="M691" s="739"/>
      <c r="N691" s="168">
        <f>IF(M691&lt;&gt;"",M691,IF(ISERROR(Personalplanung!AC67/Monatsplanung!$E67*Monatsplanung!$M67),0,Personalplanung!AC67/Monatsplanung!$E67*Monatsplanung!$M67))</f>
        <v>0</v>
      </c>
      <c r="O691" s="740"/>
      <c r="P691" s="739"/>
      <c r="Q691" s="168">
        <f>IF(P691&lt;&gt;"",P691,IF(ISERROR(Personalplanung!AD67/Monatsplanung!$E67*Monatsplanung!$M67),0,Personalplanung!AD67/Monatsplanung!$E67*Monatsplanung!$M67))</f>
        <v>0</v>
      </c>
      <c r="R691" s="740"/>
      <c r="S691" s="739"/>
      <c r="T691" s="168">
        <f>IF(S691&lt;&gt;"",S691,IF(ISERROR(Personalplanung!AE67/Monatsplanung!$E67*Monatsplanung!$M67),0,Personalplanung!AE67/Monatsplanung!$E67*Monatsplanung!$M67))</f>
        <v>0</v>
      </c>
      <c r="U691" s="740"/>
      <c r="V691" s="168">
        <f t="shared" si="204"/>
        <v>0</v>
      </c>
      <c r="W691" s="168">
        <f>IF(ISERROR(Personalplanung!P67/Monatsplanung!$E67*Monatsplanung!$M67),0,Personalplanung!P67/Monatsplanung!$E67*Monatsplanung!$M67)</f>
        <v>0</v>
      </c>
      <c r="X691" s="168">
        <f>IF(ISERROR(Personalplanung!Q67/Monatsplanung!$E67*Monatsplanung!$M67),0,Personalplanung!Q67/Monatsplanung!$E67*Monatsplanung!$M67)</f>
        <v>0</v>
      </c>
      <c r="Y691" s="168">
        <f>IF(ISERROR(Personalplanung!R67/T1315*Stundencontrolling!T691),0,Personalplanung!R67/T1315*Stundencontrolling!T691)</f>
        <v>0</v>
      </c>
      <c r="Z691" s="168">
        <f>IF(ISERROR(Personalplanung!S67/Monatsplanung!$E67*Monatsplanung!$M67),0,Personalplanung!S67/Monatsplanung!$E67*Monatsplanung!$M67)</f>
        <v>0</v>
      </c>
      <c r="AA691" s="80">
        <f t="shared" si="205"/>
        <v>0</v>
      </c>
      <c r="AB691" s="102">
        <f t="shared" si="206"/>
        <v>0.1</v>
      </c>
      <c r="AC691" s="103">
        <f t="shared" si="207"/>
        <v>0</v>
      </c>
      <c r="AD691" s="103">
        <f t="shared" si="208"/>
        <v>0</v>
      </c>
      <c r="AE691" s="81">
        <f t="shared" si="209"/>
        <v>0</v>
      </c>
      <c r="AF691" s="539"/>
      <c r="AG691" s="104">
        <f t="shared" si="210"/>
        <v>1</v>
      </c>
      <c r="AH691" s="7">
        <f t="shared" si="211"/>
        <v>0</v>
      </c>
      <c r="AI691" s="6">
        <f t="shared" si="212"/>
        <v>0</v>
      </c>
      <c r="AJ691" s="73">
        <f t="shared" si="213"/>
        <v>0</v>
      </c>
      <c r="AK691" s="539"/>
      <c r="AL691" s="748"/>
      <c r="AM691" s="748"/>
    </row>
    <row r="692" spans="2:39" x14ac:dyDescent="0.2">
      <c r="B692" s="101" t="str">
        <f t="shared" si="198"/>
        <v/>
      </c>
      <c r="C692" s="168">
        <f>IF(ISERROR(Personalplanung!F68/Monatsplanung!$E68*Monatsplanung!$M68),0,Personalplanung!F68/Monatsplanung!$E68*Monatsplanung!$M68)</f>
        <v>0</v>
      </c>
      <c r="D692" s="168">
        <f t="shared" si="199"/>
        <v>0</v>
      </c>
      <c r="E692" s="168">
        <f>IF(ISERROR(Personalplanung!H68/Monatsplanung!$E68*Monatsplanung!$M68),0,Personalplanung!H68/Monatsplanung!$E68*Monatsplanung!$M68)</f>
        <v>0</v>
      </c>
      <c r="F692" s="168">
        <f t="shared" si="200"/>
        <v>0</v>
      </c>
      <c r="G692" s="168">
        <f t="shared" si="201"/>
        <v>27.700831024930746</v>
      </c>
      <c r="H692" s="168">
        <f t="shared" si="202"/>
        <v>0</v>
      </c>
      <c r="I692" s="168">
        <f t="shared" si="203"/>
        <v>30</v>
      </c>
      <c r="J692" s="739"/>
      <c r="K692" s="168">
        <f>IF(J692&lt;&gt;"",J692,IF(ISERROR(Personalplanung!AB68/Monatsplanung!$E68*Monatsplanung!$M68),0,Personalplanung!AB68/Monatsplanung!$E68*Monatsplanung!$M68))</f>
        <v>0</v>
      </c>
      <c r="L692" s="740"/>
      <c r="M692" s="739"/>
      <c r="N692" s="168">
        <f>IF(M692&lt;&gt;"",M692,IF(ISERROR(Personalplanung!AC68/Monatsplanung!$E68*Monatsplanung!$M68),0,Personalplanung!AC68/Monatsplanung!$E68*Monatsplanung!$M68))</f>
        <v>0</v>
      </c>
      <c r="O692" s="740"/>
      <c r="P692" s="739"/>
      <c r="Q692" s="168">
        <f>IF(P692&lt;&gt;"",P692,IF(ISERROR(Personalplanung!AD68/Monatsplanung!$E68*Monatsplanung!$M68),0,Personalplanung!AD68/Monatsplanung!$E68*Monatsplanung!$M68))</f>
        <v>0</v>
      </c>
      <c r="R692" s="740"/>
      <c r="S692" s="739"/>
      <c r="T692" s="168">
        <f>IF(S692&lt;&gt;"",S692,IF(ISERROR(Personalplanung!AE68/Monatsplanung!$E68*Monatsplanung!$M68),0,Personalplanung!AE68/Monatsplanung!$E68*Monatsplanung!$M68))</f>
        <v>0</v>
      </c>
      <c r="U692" s="740"/>
      <c r="V692" s="168">
        <f t="shared" si="204"/>
        <v>0</v>
      </c>
      <c r="W692" s="168">
        <f>IF(ISERROR(Personalplanung!P68/Monatsplanung!$E68*Monatsplanung!$M68),0,Personalplanung!P68/Monatsplanung!$E68*Monatsplanung!$M68)</f>
        <v>0</v>
      </c>
      <c r="X692" s="168">
        <f>IF(ISERROR(Personalplanung!Q68/Monatsplanung!$E68*Monatsplanung!$M68),0,Personalplanung!Q68/Monatsplanung!$E68*Monatsplanung!$M68)</f>
        <v>0</v>
      </c>
      <c r="Y692" s="168">
        <f>IF(ISERROR(Personalplanung!R68/T1316*Stundencontrolling!T692),0,Personalplanung!R68/T1316*Stundencontrolling!T692)</f>
        <v>0</v>
      </c>
      <c r="Z692" s="168">
        <f>IF(ISERROR(Personalplanung!S68/Monatsplanung!$E68*Monatsplanung!$M68),0,Personalplanung!S68/Monatsplanung!$E68*Monatsplanung!$M68)</f>
        <v>0</v>
      </c>
      <c r="AA692" s="80">
        <f t="shared" si="205"/>
        <v>0</v>
      </c>
      <c r="AB692" s="102">
        <f t="shared" si="206"/>
        <v>0.1</v>
      </c>
      <c r="AC692" s="103">
        <f t="shared" si="207"/>
        <v>0</v>
      </c>
      <c r="AD692" s="103">
        <f t="shared" si="208"/>
        <v>0</v>
      </c>
      <c r="AE692" s="81">
        <f t="shared" si="209"/>
        <v>0</v>
      </c>
      <c r="AF692" s="539"/>
      <c r="AG692" s="104">
        <f t="shared" si="210"/>
        <v>1</v>
      </c>
      <c r="AH692" s="7">
        <f t="shared" si="211"/>
        <v>0</v>
      </c>
      <c r="AI692" s="6">
        <f t="shared" si="212"/>
        <v>0</v>
      </c>
      <c r="AJ692" s="73">
        <f t="shared" si="213"/>
        <v>0</v>
      </c>
      <c r="AK692" s="539"/>
      <c r="AL692" s="748"/>
      <c r="AM692" s="748"/>
    </row>
    <row r="693" spans="2:39" x14ac:dyDescent="0.2">
      <c r="B693" s="101" t="str">
        <f t="shared" si="198"/>
        <v/>
      </c>
      <c r="C693" s="168">
        <f>IF(ISERROR(Personalplanung!F69/Monatsplanung!$E69*Monatsplanung!$M69),0,Personalplanung!F69/Monatsplanung!$E69*Monatsplanung!$M69)</f>
        <v>0</v>
      </c>
      <c r="D693" s="168">
        <f t="shared" si="199"/>
        <v>0</v>
      </c>
      <c r="E693" s="168">
        <f>IF(ISERROR(Personalplanung!H69/Monatsplanung!$E69*Monatsplanung!$M69),0,Personalplanung!H69/Monatsplanung!$E69*Monatsplanung!$M69)</f>
        <v>0</v>
      </c>
      <c r="F693" s="168">
        <f t="shared" si="200"/>
        <v>0</v>
      </c>
      <c r="G693" s="168">
        <f t="shared" si="201"/>
        <v>27.700831024930746</v>
      </c>
      <c r="H693" s="168">
        <f t="shared" si="202"/>
        <v>0</v>
      </c>
      <c r="I693" s="168">
        <f t="shared" si="203"/>
        <v>30</v>
      </c>
      <c r="J693" s="739"/>
      <c r="K693" s="168">
        <f>IF(J693&lt;&gt;"",J693,IF(ISERROR(Personalplanung!AB69/Monatsplanung!$E69*Monatsplanung!$M69),0,Personalplanung!AB69/Monatsplanung!$E69*Monatsplanung!$M69))</f>
        <v>0</v>
      </c>
      <c r="L693" s="740"/>
      <c r="M693" s="739"/>
      <c r="N693" s="168">
        <f>IF(M693&lt;&gt;"",M693,IF(ISERROR(Personalplanung!AC69/Monatsplanung!$E69*Monatsplanung!$M69),0,Personalplanung!AC69/Monatsplanung!$E69*Monatsplanung!$M69))</f>
        <v>0</v>
      </c>
      <c r="O693" s="740"/>
      <c r="P693" s="739"/>
      <c r="Q693" s="168">
        <f>IF(P693&lt;&gt;"",P693,IF(ISERROR(Personalplanung!AD69/Monatsplanung!$E69*Monatsplanung!$M69),0,Personalplanung!AD69/Monatsplanung!$E69*Monatsplanung!$M69))</f>
        <v>0</v>
      </c>
      <c r="R693" s="740"/>
      <c r="S693" s="739"/>
      <c r="T693" s="168">
        <f>IF(S693&lt;&gt;"",S693,IF(ISERROR(Personalplanung!AE69/Monatsplanung!$E69*Monatsplanung!$M69),0,Personalplanung!AE69/Monatsplanung!$E69*Monatsplanung!$M69))</f>
        <v>0</v>
      </c>
      <c r="U693" s="740"/>
      <c r="V693" s="168">
        <f t="shared" si="204"/>
        <v>0</v>
      </c>
      <c r="W693" s="168">
        <f>IF(ISERROR(Personalplanung!P69/Monatsplanung!$E69*Monatsplanung!$M69),0,Personalplanung!P69/Monatsplanung!$E69*Monatsplanung!$M69)</f>
        <v>0</v>
      </c>
      <c r="X693" s="168">
        <f>IF(ISERROR(Personalplanung!Q69/Monatsplanung!$E69*Monatsplanung!$M69),0,Personalplanung!Q69/Monatsplanung!$E69*Monatsplanung!$M69)</f>
        <v>0</v>
      </c>
      <c r="Y693" s="168">
        <f>IF(ISERROR(Personalplanung!R69/T1317*Stundencontrolling!T693),0,Personalplanung!R69/T1317*Stundencontrolling!T693)</f>
        <v>0</v>
      </c>
      <c r="Z693" s="168">
        <f>IF(ISERROR(Personalplanung!S69/Monatsplanung!$E69*Monatsplanung!$M69),0,Personalplanung!S69/Monatsplanung!$E69*Monatsplanung!$M69)</f>
        <v>0</v>
      </c>
      <c r="AA693" s="80">
        <f t="shared" si="205"/>
        <v>0</v>
      </c>
      <c r="AB693" s="102">
        <f t="shared" si="206"/>
        <v>0.1</v>
      </c>
      <c r="AC693" s="103">
        <f t="shared" si="207"/>
        <v>0</v>
      </c>
      <c r="AD693" s="103">
        <f t="shared" si="208"/>
        <v>0</v>
      </c>
      <c r="AE693" s="81">
        <f t="shared" si="209"/>
        <v>0</v>
      </c>
      <c r="AF693" s="539"/>
      <c r="AG693" s="104">
        <f t="shared" si="210"/>
        <v>1</v>
      </c>
      <c r="AH693" s="7">
        <f t="shared" si="211"/>
        <v>0</v>
      </c>
      <c r="AI693" s="6">
        <f t="shared" si="212"/>
        <v>0</v>
      </c>
      <c r="AJ693" s="73">
        <f t="shared" si="213"/>
        <v>0</v>
      </c>
      <c r="AK693" s="539"/>
      <c r="AL693" s="748"/>
      <c r="AM693" s="748"/>
    </row>
    <row r="694" spans="2:39" x14ac:dyDescent="0.2">
      <c r="B694" s="101" t="str">
        <f t="shared" si="198"/>
        <v/>
      </c>
      <c r="C694" s="168">
        <f>IF(ISERROR(Personalplanung!F70/Monatsplanung!$E70*Monatsplanung!$M70),0,Personalplanung!F70/Monatsplanung!$E70*Monatsplanung!$M70)</f>
        <v>0</v>
      </c>
      <c r="D694" s="168">
        <f t="shared" si="199"/>
        <v>0</v>
      </c>
      <c r="E694" s="168">
        <f>IF(ISERROR(Personalplanung!H70/Monatsplanung!$E70*Monatsplanung!$M70),0,Personalplanung!H70/Monatsplanung!$E70*Monatsplanung!$M70)</f>
        <v>0</v>
      </c>
      <c r="F694" s="168">
        <f t="shared" si="200"/>
        <v>0</v>
      </c>
      <c r="G694" s="168">
        <f t="shared" si="201"/>
        <v>27.700831024930746</v>
      </c>
      <c r="H694" s="168">
        <f t="shared" si="202"/>
        <v>0</v>
      </c>
      <c r="I694" s="168">
        <f t="shared" si="203"/>
        <v>30</v>
      </c>
      <c r="J694" s="739"/>
      <c r="K694" s="168">
        <f>IF(J694&lt;&gt;"",J694,IF(ISERROR(Personalplanung!AB70/Monatsplanung!$E70*Monatsplanung!$M70),0,Personalplanung!AB70/Monatsplanung!$E70*Monatsplanung!$M70))</f>
        <v>0</v>
      </c>
      <c r="L694" s="740"/>
      <c r="M694" s="739"/>
      <c r="N694" s="168">
        <f>IF(M694&lt;&gt;"",M694,IF(ISERROR(Personalplanung!AC70/Monatsplanung!$E70*Monatsplanung!$M70),0,Personalplanung!AC70/Monatsplanung!$E70*Monatsplanung!$M70))</f>
        <v>0</v>
      </c>
      <c r="O694" s="740"/>
      <c r="P694" s="739"/>
      <c r="Q694" s="168">
        <f>IF(P694&lt;&gt;"",P694,IF(ISERROR(Personalplanung!AD70/Monatsplanung!$E70*Monatsplanung!$M70),0,Personalplanung!AD70/Monatsplanung!$E70*Monatsplanung!$M70))</f>
        <v>0</v>
      </c>
      <c r="R694" s="740"/>
      <c r="S694" s="739"/>
      <c r="T694" s="168">
        <f>IF(S694&lt;&gt;"",S694,IF(ISERROR(Personalplanung!AE70/Monatsplanung!$E70*Monatsplanung!$M70),0,Personalplanung!AE70/Monatsplanung!$E70*Monatsplanung!$M70))</f>
        <v>0</v>
      </c>
      <c r="U694" s="740"/>
      <c r="V694" s="168">
        <f t="shared" si="204"/>
        <v>0</v>
      </c>
      <c r="W694" s="168">
        <f>IF(ISERROR(Personalplanung!P70/Monatsplanung!$E70*Monatsplanung!$M70),0,Personalplanung!P70/Monatsplanung!$E70*Monatsplanung!$M70)</f>
        <v>0</v>
      </c>
      <c r="X694" s="168">
        <f>IF(ISERROR(Personalplanung!Q70/Monatsplanung!$E70*Monatsplanung!$M70),0,Personalplanung!Q70/Monatsplanung!$E70*Monatsplanung!$M70)</f>
        <v>0</v>
      </c>
      <c r="Y694" s="168">
        <f>IF(ISERROR(Personalplanung!R70/T1318*Stundencontrolling!T694),0,Personalplanung!R70/T1318*Stundencontrolling!T694)</f>
        <v>0</v>
      </c>
      <c r="Z694" s="168">
        <f>IF(ISERROR(Personalplanung!S70/Monatsplanung!$E70*Monatsplanung!$M70),0,Personalplanung!S70/Monatsplanung!$E70*Monatsplanung!$M70)</f>
        <v>0</v>
      </c>
      <c r="AA694" s="80">
        <f t="shared" si="205"/>
        <v>0</v>
      </c>
      <c r="AB694" s="102">
        <f t="shared" si="206"/>
        <v>0.1</v>
      </c>
      <c r="AC694" s="103">
        <f t="shared" si="207"/>
        <v>0</v>
      </c>
      <c r="AD694" s="103">
        <f t="shared" si="208"/>
        <v>0</v>
      </c>
      <c r="AE694" s="81">
        <f t="shared" si="209"/>
        <v>0</v>
      </c>
      <c r="AF694" s="539"/>
      <c r="AG694" s="104">
        <f t="shared" si="210"/>
        <v>1</v>
      </c>
      <c r="AH694" s="7">
        <f t="shared" si="211"/>
        <v>0</v>
      </c>
      <c r="AI694" s="6">
        <f t="shared" si="212"/>
        <v>0</v>
      </c>
      <c r="AJ694" s="73">
        <f t="shared" si="213"/>
        <v>0</v>
      </c>
      <c r="AK694" s="539"/>
      <c r="AL694" s="748"/>
      <c r="AM694" s="748"/>
    </row>
    <row r="695" spans="2:39" x14ac:dyDescent="0.2">
      <c r="B695" s="101" t="str">
        <f t="shared" ref="B695:B730" si="214">$B591</f>
        <v/>
      </c>
      <c r="C695" s="168">
        <f>IF(ISERROR(Personalplanung!F71/Monatsplanung!$E71*Monatsplanung!$M71),0,Personalplanung!F71/Monatsplanung!$E71*Monatsplanung!$M71)</f>
        <v>0</v>
      </c>
      <c r="D695" s="168">
        <f t="shared" ref="D695:D730" si="215">$D591</f>
        <v>0</v>
      </c>
      <c r="E695" s="168">
        <f>IF(ISERROR(Personalplanung!H71/Monatsplanung!$E71*Monatsplanung!$M71),0,Personalplanung!H71/Monatsplanung!$E71*Monatsplanung!$M71)</f>
        <v>0</v>
      </c>
      <c r="F695" s="168">
        <f t="shared" ref="F695:F730" si="216">+C695+E695</f>
        <v>0</v>
      </c>
      <c r="G695" s="168">
        <f t="shared" ref="G695:G730" si="217">$G$6</f>
        <v>27.700831024930746</v>
      </c>
      <c r="H695" s="168">
        <f t="shared" ref="H695:H730" si="218">+F695*G695</f>
        <v>0</v>
      </c>
      <c r="I695" s="168">
        <f t="shared" ref="I695:I730" si="219">$I$6</f>
        <v>30</v>
      </c>
      <c r="J695" s="739"/>
      <c r="K695" s="168">
        <f>IF(J695&lt;&gt;"",J695,IF(ISERROR(Personalplanung!AB71/Monatsplanung!$E71*Monatsplanung!$M71),0,Personalplanung!AB71/Monatsplanung!$E71*Monatsplanung!$M71))</f>
        <v>0</v>
      </c>
      <c r="L695" s="740"/>
      <c r="M695" s="739"/>
      <c r="N695" s="168">
        <f>IF(M695&lt;&gt;"",M695,IF(ISERROR(Personalplanung!AC71/Monatsplanung!$E71*Monatsplanung!$M71),0,Personalplanung!AC71/Monatsplanung!$E71*Monatsplanung!$M71))</f>
        <v>0</v>
      </c>
      <c r="O695" s="740"/>
      <c r="P695" s="739"/>
      <c r="Q695" s="168">
        <f>IF(P695&lt;&gt;"",P695,IF(ISERROR(Personalplanung!AD71/Monatsplanung!$E71*Monatsplanung!$M71),0,Personalplanung!AD71/Monatsplanung!$E71*Monatsplanung!$M71))</f>
        <v>0</v>
      </c>
      <c r="R695" s="740"/>
      <c r="S695" s="739"/>
      <c r="T695" s="168">
        <f>IF(S695&lt;&gt;"",S695,IF(ISERROR(Personalplanung!AE71/Monatsplanung!$E71*Monatsplanung!$M71),0,Personalplanung!AE71/Monatsplanung!$E71*Monatsplanung!$M71))</f>
        <v>0</v>
      </c>
      <c r="U695" s="740"/>
      <c r="V695" s="168">
        <f t="shared" ref="V695:V730" si="220">K695+N695+Q695+T695</f>
        <v>0</v>
      </c>
      <c r="W695" s="168">
        <f>IF(ISERROR(Personalplanung!P71/Monatsplanung!$E71*Monatsplanung!$M71),0,Personalplanung!P71/Monatsplanung!$E71*Monatsplanung!$M71)</f>
        <v>0</v>
      </c>
      <c r="X695" s="168">
        <f>IF(ISERROR(Personalplanung!Q71/Monatsplanung!$E71*Monatsplanung!$M71),0,Personalplanung!Q71/Monatsplanung!$E71*Monatsplanung!$M71)</f>
        <v>0</v>
      </c>
      <c r="Y695" s="168">
        <f>IF(ISERROR(Personalplanung!R71/T1319*Stundencontrolling!T695),0,Personalplanung!R71/T1319*Stundencontrolling!T695)</f>
        <v>0</v>
      </c>
      <c r="Z695" s="168">
        <f>IF(ISERROR(Personalplanung!S71/Monatsplanung!$E71*Monatsplanung!$M71),0,Personalplanung!S71/Monatsplanung!$E71*Monatsplanung!$M71)</f>
        <v>0</v>
      </c>
      <c r="AA695" s="80">
        <f t="shared" ref="AA695:AA730" si="221">+F695*G695*(1+I695)+SUM(W695:Z695)</f>
        <v>0</v>
      </c>
      <c r="AB695" s="102">
        <f t="shared" ref="AB695:AB730" si="222">$AB$6</f>
        <v>0.1</v>
      </c>
      <c r="AC695" s="103">
        <f t="shared" ref="AC695:AC730" si="223">AB695*AA695</f>
        <v>0</v>
      </c>
      <c r="AD695" s="103">
        <f t="shared" ref="AD695:AD730" si="224">AA695-AC695</f>
        <v>0</v>
      </c>
      <c r="AE695" s="81">
        <f t="shared" ref="AE695:AE730" si="225">(F695-(V695*$D695))*AB695</f>
        <v>0</v>
      </c>
      <c r="AF695" s="539"/>
      <c r="AG695" s="104">
        <f t="shared" ref="AG695:AG730" si="226">$AG$6</f>
        <v>1</v>
      </c>
      <c r="AH695" s="7">
        <f t="shared" ref="AH695:AH730" si="227">IF(ISERROR(AK695/AF695),0,AK695/AF695)</f>
        <v>0</v>
      </c>
      <c r="AI695" s="6">
        <f t="shared" ref="AI695:AI730" si="228">AE695*AG695</f>
        <v>0</v>
      </c>
      <c r="AJ695" s="73">
        <f t="shared" ref="AJ695:AJ730" si="229">IF(ISERROR(+AC695/AI695),0,+AC695/AI695)</f>
        <v>0</v>
      </c>
      <c r="AK695" s="539"/>
      <c r="AL695" s="748"/>
      <c r="AM695" s="748"/>
    </row>
    <row r="696" spans="2:39" x14ac:dyDescent="0.2">
      <c r="B696" s="101" t="str">
        <f t="shared" si="214"/>
        <v/>
      </c>
      <c r="C696" s="168">
        <f>IF(ISERROR(Personalplanung!F72/Monatsplanung!$E72*Monatsplanung!$M72),0,Personalplanung!F72/Monatsplanung!$E72*Monatsplanung!$M72)</f>
        <v>0</v>
      </c>
      <c r="D696" s="168">
        <f t="shared" si="215"/>
        <v>0</v>
      </c>
      <c r="E696" s="168">
        <f>IF(ISERROR(Personalplanung!H72/Monatsplanung!$E72*Monatsplanung!$M72),0,Personalplanung!H72/Monatsplanung!$E72*Monatsplanung!$M72)</f>
        <v>0</v>
      </c>
      <c r="F696" s="168">
        <f t="shared" si="216"/>
        <v>0</v>
      </c>
      <c r="G696" s="168">
        <f t="shared" si="217"/>
        <v>27.700831024930746</v>
      </c>
      <c r="H696" s="168">
        <f t="shared" si="218"/>
        <v>0</v>
      </c>
      <c r="I696" s="168">
        <f t="shared" si="219"/>
        <v>30</v>
      </c>
      <c r="J696" s="739"/>
      <c r="K696" s="168">
        <f>IF(J696&lt;&gt;"",J696,IF(ISERROR(Personalplanung!AB72/Monatsplanung!$E72*Monatsplanung!$M72),0,Personalplanung!AB72/Monatsplanung!$E72*Monatsplanung!$M72))</f>
        <v>0</v>
      </c>
      <c r="L696" s="740"/>
      <c r="M696" s="739"/>
      <c r="N696" s="168">
        <f>IF(M696&lt;&gt;"",M696,IF(ISERROR(Personalplanung!AC72/Monatsplanung!$E72*Monatsplanung!$M72),0,Personalplanung!AC72/Monatsplanung!$E72*Monatsplanung!$M72))</f>
        <v>0</v>
      </c>
      <c r="O696" s="740"/>
      <c r="P696" s="739"/>
      <c r="Q696" s="168">
        <f>IF(P696&lt;&gt;"",P696,IF(ISERROR(Personalplanung!AD72/Monatsplanung!$E72*Monatsplanung!$M72),0,Personalplanung!AD72/Monatsplanung!$E72*Monatsplanung!$M72))</f>
        <v>0</v>
      </c>
      <c r="R696" s="740"/>
      <c r="S696" s="739"/>
      <c r="T696" s="168">
        <f>IF(S696&lt;&gt;"",S696,IF(ISERROR(Personalplanung!AE72/Monatsplanung!$E72*Monatsplanung!$M72),0,Personalplanung!AE72/Monatsplanung!$E72*Monatsplanung!$M72))</f>
        <v>0</v>
      </c>
      <c r="U696" s="740"/>
      <c r="V696" s="168">
        <f t="shared" si="220"/>
        <v>0</v>
      </c>
      <c r="W696" s="168">
        <f>IF(ISERROR(Personalplanung!P72/Monatsplanung!$E72*Monatsplanung!$M72),0,Personalplanung!P72/Monatsplanung!$E72*Monatsplanung!$M72)</f>
        <v>0</v>
      </c>
      <c r="X696" s="168">
        <f>IF(ISERROR(Personalplanung!Q72/Monatsplanung!$E72*Monatsplanung!$M72),0,Personalplanung!Q72/Monatsplanung!$E72*Monatsplanung!$M72)</f>
        <v>0</v>
      </c>
      <c r="Y696" s="168">
        <f>IF(ISERROR(Personalplanung!R72/T1320*Stundencontrolling!T696),0,Personalplanung!R72/T1320*Stundencontrolling!T696)</f>
        <v>0</v>
      </c>
      <c r="Z696" s="168">
        <f>IF(ISERROR(Personalplanung!S72/Monatsplanung!$E72*Monatsplanung!$M72),0,Personalplanung!S72/Monatsplanung!$E72*Monatsplanung!$M72)</f>
        <v>0</v>
      </c>
      <c r="AA696" s="80">
        <f t="shared" si="221"/>
        <v>0</v>
      </c>
      <c r="AB696" s="102">
        <f t="shared" si="222"/>
        <v>0.1</v>
      </c>
      <c r="AC696" s="103">
        <f t="shared" si="223"/>
        <v>0</v>
      </c>
      <c r="AD696" s="103">
        <f t="shared" si="224"/>
        <v>0</v>
      </c>
      <c r="AE696" s="81">
        <f t="shared" si="225"/>
        <v>0</v>
      </c>
      <c r="AF696" s="539"/>
      <c r="AG696" s="104">
        <f t="shared" si="226"/>
        <v>1</v>
      </c>
      <c r="AH696" s="7">
        <f t="shared" si="227"/>
        <v>0</v>
      </c>
      <c r="AI696" s="6">
        <f t="shared" si="228"/>
        <v>0</v>
      </c>
      <c r="AJ696" s="73">
        <f t="shared" si="229"/>
        <v>0</v>
      </c>
      <c r="AK696" s="539"/>
      <c r="AL696" s="748"/>
      <c r="AM696" s="748"/>
    </row>
    <row r="697" spans="2:39" x14ac:dyDescent="0.2">
      <c r="B697" s="101" t="str">
        <f t="shared" si="214"/>
        <v/>
      </c>
      <c r="C697" s="168">
        <f>IF(ISERROR(Personalplanung!F73/Monatsplanung!$E73*Monatsplanung!$M73),0,Personalplanung!F73/Monatsplanung!$E73*Monatsplanung!$M73)</f>
        <v>0</v>
      </c>
      <c r="D697" s="168">
        <f t="shared" si="215"/>
        <v>0</v>
      </c>
      <c r="E697" s="168">
        <f>IF(ISERROR(Personalplanung!H73/Monatsplanung!$E73*Monatsplanung!$M73),0,Personalplanung!H73/Monatsplanung!$E73*Monatsplanung!$M73)</f>
        <v>0</v>
      </c>
      <c r="F697" s="168">
        <f t="shared" si="216"/>
        <v>0</v>
      </c>
      <c r="G697" s="168">
        <f t="shared" si="217"/>
        <v>27.700831024930746</v>
      </c>
      <c r="H697" s="168">
        <f t="shared" si="218"/>
        <v>0</v>
      </c>
      <c r="I697" s="168">
        <f t="shared" si="219"/>
        <v>30</v>
      </c>
      <c r="J697" s="739"/>
      <c r="K697" s="168">
        <f>IF(J697&lt;&gt;"",J697,IF(ISERROR(Personalplanung!AB73/Monatsplanung!$E73*Monatsplanung!$M73),0,Personalplanung!AB73/Monatsplanung!$E73*Monatsplanung!$M73))</f>
        <v>0</v>
      </c>
      <c r="L697" s="740"/>
      <c r="M697" s="739"/>
      <c r="N697" s="168">
        <f>IF(M697&lt;&gt;"",M697,IF(ISERROR(Personalplanung!AC73/Monatsplanung!$E73*Monatsplanung!$M73),0,Personalplanung!AC73/Monatsplanung!$E73*Monatsplanung!$M73))</f>
        <v>0</v>
      </c>
      <c r="O697" s="740"/>
      <c r="P697" s="739"/>
      <c r="Q697" s="168">
        <f>IF(P697&lt;&gt;"",P697,IF(ISERROR(Personalplanung!AD73/Monatsplanung!$E73*Monatsplanung!$M73),0,Personalplanung!AD73/Monatsplanung!$E73*Monatsplanung!$M73))</f>
        <v>0</v>
      </c>
      <c r="R697" s="740"/>
      <c r="S697" s="739"/>
      <c r="T697" s="168">
        <f>IF(S697&lt;&gt;"",S697,IF(ISERROR(Personalplanung!AE73/Monatsplanung!$E73*Monatsplanung!$M73),0,Personalplanung!AE73/Monatsplanung!$E73*Monatsplanung!$M73))</f>
        <v>0</v>
      </c>
      <c r="U697" s="740"/>
      <c r="V697" s="168">
        <f t="shared" si="220"/>
        <v>0</v>
      </c>
      <c r="W697" s="168">
        <f>IF(ISERROR(Personalplanung!P73/Monatsplanung!$E73*Monatsplanung!$M73),0,Personalplanung!P73/Monatsplanung!$E73*Monatsplanung!$M73)</f>
        <v>0</v>
      </c>
      <c r="X697" s="168">
        <f>IF(ISERROR(Personalplanung!Q73/Monatsplanung!$E73*Monatsplanung!$M73),0,Personalplanung!Q73/Monatsplanung!$E73*Monatsplanung!$M73)</f>
        <v>0</v>
      </c>
      <c r="Y697" s="168">
        <f>IF(ISERROR(Personalplanung!R73/T1321*Stundencontrolling!T697),0,Personalplanung!R73/T1321*Stundencontrolling!T697)</f>
        <v>0</v>
      </c>
      <c r="Z697" s="168">
        <f>IF(ISERROR(Personalplanung!S73/Monatsplanung!$E73*Monatsplanung!$M73),0,Personalplanung!S73/Monatsplanung!$E73*Monatsplanung!$M73)</f>
        <v>0</v>
      </c>
      <c r="AA697" s="80">
        <f t="shared" si="221"/>
        <v>0</v>
      </c>
      <c r="AB697" s="102">
        <f t="shared" si="222"/>
        <v>0.1</v>
      </c>
      <c r="AC697" s="103">
        <f t="shared" si="223"/>
        <v>0</v>
      </c>
      <c r="AD697" s="103">
        <f t="shared" si="224"/>
        <v>0</v>
      </c>
      <c r="AE697" s="81">
        <f t="shared" si="225"/>
        <v>0</v>
      </c>
      <c r="AF697" s="539"/>
      <c r="AG697" s="104">
        <f t="shared" si="226"/>
        <v>1</v>
      </c>
      <c r="AH697" s="7">
        <f t="shared" si="227"/>
        <v>0</v>
      </c>
      <c r="AI697" s="6">
        <f t="shared" si="228"/>
        <v>0</v>
      </c>
      <c r="AJ697" s="73">
        <f t="shared" si="229"/>
        <v>0</v>
      </c>
      <c r="AK697" s="539"/>
      <c r="AL697" s="748"/>
      <c r="AM697" s="748"/>
    </row>
    <row r="698" spans="2:39" x14ac:dyDescent="0.2">
      <c r="B698" s="101" t="str">
        <f t="shared" si="214"/>
        <v/>
      </c>
      <c r="C698" s="168">
        <f>IF(ISERROR(Personalplanung!F74/Monatsplanung!$E74*Monatsplanung!$M74),0,Personalplanung!F74/Monatsplanung!$E74*Monatsplanung!$M74)</f>
        <v>0</v>
      </c>
      <c r="D698" s="168">
        <f t="shared" si="215"/>
        <v>0</v>
      </c>
      <c r="E698" s="168">
        <f>IF(ISERROR(Personalplanung!H74/Monatsplanung!$E74*Monatsplanung!$M74),0,Personalplanung!H74/Monatsplanung!$E74*Monatsplanung!$M74)</f>
        <v>0</v>
      </c>
      <c r="F698" s="168">
        <f t="shared" si="216"/>
        <v>0</v>
      </c>
      <c r="G698" s="168">
        <f t="shared" si="217"/>
        <v>27.700831024930746</v>
      </c>
      <c r="H698" s="168">
        <f t="shared" si="218"/>
        <v>0</v>
      </c>
      <c r="I698" s="168">
        <f t="shared" si="219"/>
        <v>30</v>
      </c>
      <c r="J698" s="739"/>
      <c r="K698" s="168">
        <f>IF(J698&lt;&gt;"",J698,IF(ISERROR(Personalplanung!AB74/Monatsplanung!$E74*Monatsplanung!$M74),0,Personalplanung!AB74/Monatsplanung!$E74*Monatsplanung!$M74))</f>
        <v>0</v>
      </c>
      <c r="L698" s="740"/>
      <c r="M698" s="739"/>
      <c r="N698" s="168">
        <f>IF(M698&lt;&gt;"",M698,IF(ISERROR(Personalplanung!AC74/Monatsplanung!$E74*Monatsplanung!$M74),0,Personalplanung!AC74/Monatsplanung!$E74*Monatsplanung!$M74))</f>
        <v>0</v>
      </c>
      <c r="O698" s="740"/>
      <c r="P698" s="739"/>
      <c r="Q698" s="168">
        <f>IF(P698&lt;&gt;"",P698,IF(ISERROR(Personalplanung!AD74/Monatsplanung!$E74*Monatsplanung!$M74),0,Personalplanung!AD74/Monatsplanung!$E74*Monatsplanung!$M74))</f>
        <v>0</v>
      </c>
      <c r="R698" s="740"/>
      <c r="S698" s="739"/>
      <c r="T698" s="168">
        <f>IF(S698&lt;&gt;"",S698,IF(ISERROR(Personalplanung!AE74/Monatsplanung!$E74*Monatsplanung!$M74),0,Personalplanung!AE74/Monatsplanung!$E74*Monatsplanung!$M74))</f>
        <v>0</v>
      </c>
      <c r="U698" s="740"/>
      <c r="V698" s="168">
        <f t="shared" si="220"/>
        <v>0</v>
      </c>
      <c r="W698" s="168">
        <f>IF(ISERROR(Personalplanung!P74/Monatsplanung!$E74*Monatsplanung!$M74),0,Personalplanung!P74/Monatsplanung!$E74*Monatsplanung!$M74)</f>
        <v>0</v>
      </c>
      <c r="X698" s="168">
        <f>IF(ISERROR(Personalplanung!Q74/Monatsplanung!$E74*Monatsplanung!$M74),0,Personalplanung!Q74/Monatsplanung!$E74*Monatsplanung!$M74)</f>
        <v>0</v>
      </c>
      <c r="Y698" s="168">
        <f>IF(ISERROR(Personalplanung!R74/T1322*Stundencontrolling!T698),0,Personalplanung!R74/T1322*Stundencontrolling!T698)</f>
        <v>0</v>
      </c>
      <c r="Z698" s="168">
        <f>IF(ISERROR(Personalplanung!S74/Monatsplanung!$E74*Monatsplanung!$M74),0,Personalplanung!S74/Monatsplanung!$E74*Monatsplanung!$M74)</f>
        <v>0</v>
      </c>
      <c r="AA698" s="80">
        <f t="shared" si="221"/>
        <v>0</v>
      </c>
      <c r="AB698" s="102">
        <f t="shared" si="222"/>
        <v>0.1</v>
      </c>
      <c r="AC698" s="103">
        <f t="shared" si="223"/>
        <v>0</v>
      </c>
      <c r="AD698" s="103">
        <f t="shared" si="224"/>
        <v>0</v>
      </c>
      <c r="AE698" s="81">
        <f t="shared" si="225"/>
        <v>0</v>
      </c>
      <c r="AF698" s="539"/>
      <c r="AG698" s="104">
        <f t="shared" si="226"/>
        <v>1</v>
      </c>
      <c r="AH698" s="7">
        <f t="shared" si="227"/>
        <v>0</v>
      </c>
      <c r="AI698" s="6">
        <f t="shared" si="228"/>
        <v>0</v>
      </c>
      <c r="AJ698" s="73">
        <f t="shared" si="229"/>
        <v>0</v>
      </c>
      <c r="AK698" s="539"/>
      <c r="AL698" s="748"/>
      <c r="AM698" s="748"/>
    </row>
    <row r="699" spans="2:39" x14ac:dyDescent="0.2">
      <c r="B699" s="101" t="str">
        <f t="shared" si="214"/>
        <v/>
      </c>
      <c r="C699" s="168">
        <f>IF(ISERROR(Personalplanung!F75/Monatsplanung!$E75*Monatsplanung!$M75),0,Personalplanung!F75/Monatsplanung!$E75*Monatsplanung!$M75)</f>
        <v>0</v>
      </c>
      <c r="D699" s="168">
        <f t="shared" si="215"/>
        <v>0</v>
      </c>
      <c r="E699" s="168">
        <f>IF(ISERROR(Personalplanung!H75/Monatsplanung!$E75*Monatsplanung!$M75),0,Personalplanung!H75/Monatsplanung!$E75*Monatsplanung!$M75)</f>
        <v>0</v>
      </c>
      <c r="F699" s="168">
        <f t="shared" si="216"/>
        <v>0</v>
      </c>
      <c r="G699" s="168">
        <f t="shared" si="217"/>
        <v>27.700831024930746</v>
      </c>
      <c r="H699" s="168">
        <f t="shared" si="218"/>
        <v>0</v>
      </c>
      <c r="I699" s="168">
        <f t="shared" si="219"/>
        <v>30</v>
      </c>
      <c r="J699" s="739"/>
      <c r="K699" s="168">
        <f>IF(J699&lt;&gt;"",J699,IF(ISERROR(Personalplanung!AB75/Monatsplanung!$E75*Monatsplanung!$M75),0,Personalplanung!AB75/Monatsplanung!$E75*Monatsplanung!$M75))</f>
        <v>0</v>
      </c>
      <c r="L699" s="740"/>
      <c r="M699" s="739"/>
      <c r="N699" s="168">
        <f>IF(M699&lt;&gt;"",M699,IF(ISERROR(Personalplanung!AC75/Monatsplanung!$E75*Monatsplanung!$M75),0,Personalplanung!AC75/Monatsplanung!$E75*Monatsplanung!$M75))</f>
        <v>0</v>
      </c>
      <c r="O699" s="740"/>
      <c r="P699" s="739"/>
      <c r="Q699" s="168">
        <f>IF(P699&lt;&gt;"",P699,IF(ISERROR(Personalplanung!AD75/Monatsplanung!$E75*Monatsplanung!$M75),0,Personalplanung!AD75/Monatsplanung!$E75*Monatsplanung!$M75))</f>
        <v>0</v>
      </c>
      <c r="R699" s="740"/>
      <c r="S699" s="739"/>
      <c r="T699" s="168">
        <f>IF(S699&lt;&gt;"",S699,IF(ISERROR(Personalplanung!AE75/Monatsplanung!$E75*Monatsplanung!$M75),0,Personalplanung!AE75/Monatsplanung!$E75*Monatsplanung!$M75))</f>
        <v>0</v>
      </c>
      <c r="U699" s="740"/>
      <c r="V699" s="168">
        <f t="shared" si="220"/>
        <v>0</v>
      </c>
      <c r="W699" s="168">
        <f>IF(ISERROR(Personalplanung!P75/Monatsplanung!$E75*Monatsplanung!$M75),0,Personalplanung!P75/Monatsplanung!$E75*Monatsplanung!$M75)</f>
        <v>0</v>
      </c>
      <c r="X699" s="168">
        <f>IF(ISERROR(Personalplanung!Q75/Monatsplanung!$E75*Monatsplanung!$M75),0,Personalplanung!Q75/Monatsplanung!$E75*Monatsplanung!$M75)</f>
        <v>0</v>
      </c>
      <c r="Y699" s="168">
        <f>IF(ISERROR(Personalplanung!R75/T1323*Stundencontrolling!T699),0,Personalplanung!R75/T1323*Stundencontrolling!T699)</f>
        <v>0</v>
      </c>
      <c r="Z699" s="168">
        <f>IF(ISERROR(Personalplanung!S75/Monatsplanung!$E75*Monatsplanung!$M75),0,Personalplanung!S75/Monatsplanung!$E75*Monatsplanung!$M75)</f>
        <v>0</v>
      </c>
      <c r="AA699" s="80">
        <f t="shared" si="221"/>
        <v>0</v>
      </c>
      <c r="AB699" s="102">
        <f t="shared" si="222"/>
        <v>0.1</v>
      </c>
      <c r="AC699" s="103">
        <f t="shared" si="223"/>
        <v>0</v>
      </c>
      <c r="AD699" s="103">
        <f t="shared" si="224"/>
        <v>0</v>
      </c>
      <c r="AE699" s="81">
        <f t="shared" si="225"/>
        <v>0</v>
      </c>
      <c r="AF699" s="539"/>
      <c r="AG699" s="104">
        <f t="shared" si="226"/>
        <v>1</v>
      </c>
      <c r="AH699" s="7">
        <f t="shared" si="227"/>
        <v>0</v>
      </c>
      <c r="AI699" s="6">
        <f t="shared" si="228"/>
        <v>0</v>
      </c>
      <c r="AJ699" s="73">
        <f t="shared" si="229"/>
        <v>0</v>
      </c>
      <c r="AK699" s="539"/>
      <c r="AL699" s="748"/>
      <c r="AM699" s="748"/>
    </row>
    <row r="700" spans="2:39" x14ac:dyDescent="0.2">
      <c r="B700" s="101" t="str">
        <f t="shared" si="214"/>
        <v/>
      </c>
      <c r="C700" s="168">
        <f>IF(ISERROR(Personalplanung!F76/Monatsplanung!$E76*Monatsplanung!$M76),0,Personalplanung!F76/Monatsplanung!$E76*Monatsplanung!$M76)</f>
        <v>0</v>
      </c>
      <c r="D700" s="168">
        <f t="shared" si="215"/>
        <v>0</v>
      </c>
      <c r="E700" s="168">
        <f>IF(ISERROR(Personalplanung!H76/Monatsplanung!$E76*Monatsplanung!$M76),0,Personalplanung!H76/Monatsplanung!$E76*Monatsplanung!$M76)</f>
        <v>0</v>
      </c>
      <c r="F700" s="168">
        <f t="shared" si="216"/>
        <v>0</v>
      </c>
      <c r="G700" s="168">
        <f t="shared" si="217"/>
        <v>27.700831024930746</v>
      </c>
      <c r="H700" s="168">
        <f t="shared" si="218"/>
        <v>0</v>
      </c>
      <c r="I700" s="168">
        <f t="shared" si="219"/>
        <v>30</v>
      </c>
      <c r="J700" s="739"/>
      <c r="K700" s="168">
        <f>IF(J700&lt;&gt;"",J700,IF(ISERROR(Personalplanung!AB76/Monatsplanung!$E76*Monatsplanung!$M76),0,Personalplanung!AB76/Monatsplanung!$E76*Monatsplanung!$M76))</f>
        <v>0</v>
      </c>
      <c r="L700" s="740"/>
      <c r="M700" s="739"/>
      <c r="N700" s="168">
        <f>IF(M700&lt;&gt;"",M700,IF(ISERROR(Personalplanung!AC76/Monatsplanung!$E76*Monatsplanung!$M76),0,Personalplanung!AC76/Monatsplanung!$E76*Monatsplanung!$M76))</f>
        <v>0</v>
      </c>
      <c r="O700" s="740"/>
      <c r="P700" s="739"/>
      <c r="Q700" s="168">
        <f>IF(P700&lt;&gt;"",P700,IF(ISERROR(Personalplanung!AD76/Monatsplanung!$E76*Monatsplanung!$M76),0,Personalplanung!AD76/Monatsplanung!$E76*Monatsplanung!$M76))</f>
        <v>0</v>
      </c>
      <c r="R700" s="740"/>
      <c r="S700" s="739"/>
      <c r="T700" s="168">
        <f>IF(S700&lt;&gt;"",S700,IF(ISERROR(Personalplanung!AE76/Monatsplanung!$E76*Monatsplanung!$M76),0,Personalplanung!AE76/Monatsplanung!$E76*Monatsplanung!$M76))</f>
        <v>0</v>
      </c>
      <c r="U700" s="740"/>
      <c r="V700" s="168">
        <f t="shared" si="220"/>
        <v>0</v>
      </c>
      <c r="W700" s="168">
        <f>IF(ISERROR(Personalplanung!P76/Monatsplanung!$E76*Monatsplanung!$M76),0,Personalplanung!P76/Monatsplanung!$E76*Monatsplanung!$M76)</f>
        <v>0</v>
      </c>
      <c r="X700" s="168">
        <f>IF(ISERROR(Personalplanung!Q76/Monatsplanung!$E76*Monatsplanung!$M76),0,Personalplanung!Q76/Monatsplanung!$E76*Monatsplanung!$M76)</f>
        <v>0</v>
      </c>
      <c r="Y700" s="168">
        <f>IF(ISERROR(Personalplanung!R76/T1324*Stundencontrolling!T700),0,Personalplanung!R76/T1324*Stundencontrolling!T700)</f>
        <v>0</v>
      </c>
      <c r="Z700" s="168">
        <f>IF(ISERROR(Personalplanung!S76/Monatsplanung!$E76*Monatsplanung!$M76),0,Personalplanung!S76/Monatsplanung!$E76*Monatsplanung!$M76)</f>
        <v>0</v>
      </c>
      <c r="AA700" s="80">
        <f t="shared" si="221"/>
        <v>0</v>
      </c>
      <c r="AB700" s="102">
        <f t="shared" si="222"/>
        <v>0.1</v>
      </c>
      <c r="AC700" s="103">
        <f t="shared" si="223"/>
        <v>0</v>
      </c>
      <c r="AD700" s="103">
        <f t="shared" si="224"/>
        <v>0</v>
      </c>
      <c r="AE700" s="81">
        <f t="shared" si="225"/>
        <v>0</v>
      </c>
      <c r="AF700" s="539"/>
      <c r="AG700" s="104">
        <f t="shared" si="226"/>
        <v>1</v>
      </c>
      <c r="AH700" s="7">
        <f t="shared" si="227"/>
        <v>0</v>
      </c>
      <c r="AI700" s="6">
        <f t="shared" si="228"/>
        <v>0</v>
      </c>
      <c r="AJ700" s="73">
        <f t="shared" si="229"/>
        <v>0</v>
      </c>
      <c r="AK700" s="539"/>
      <c r="AL700" s="748"/>
      <c r="AM700" s="748"/>
    </row>
    <row r="701" spans="2:39" x14ac:dyDescent="0.2">
      <c r="B701" s="101" t="str">
        <f t="shared" si="214"/>
        <v/>
      </c>
      <c r="C701" s="168">
        <f>IF(ISERROR(Personalplanung!F77/Monatsplanung!$E77*Monatsplanung!$M77),0,Personalplanung!F77/Monatsplanung!$E77*Monatsplanung!$M77)</f>
        <v>0</v>
      </c>
      <c r="D701" s="168">
        <f t="shared" si="215"/>
        <v>0</v>
      </c>
      <c r="E701" s="168">
        <f>IF(ISERROR(Personalplanung!H77/Monatsplanung!$E77*Monatsplanung!$M77),0,Personalplanung!H77/Monatsplanung!$E77*Monatsplanung!$M77)</f>
        <v>0</v>
      </c>
      <c r="F701" s="168">
        <f t="shared" si="216"/>
        <v>0</v>
      </c>
      <c r="G701" s="168">
        <f t="shared" si="217"/>
        <v>27.700831024930746</v>
      </c>
      <c r="H701" s="168">
        <f t="shared" si="218"/>
        <v>0</v>
      </c>
      <c r="I701" s="168">
        <f t="shared" si="219"/>
        <v>30</v>
      </c>
      <c r="J701" s="739"/>
      <c r="K701" s="168">
        <f>IF(J701&lt;&gt;"",J701,IF(ISERROR(Personalplanung!AB77/Monatsplanung!$E77*Monatsplanung!$M77),0,Personalplanung!AB77/Monatsplanung!$E77*Monatsplanung!$M77))</f>
        <v>0</v>
      </c>
      <c r="L701" s="740"/>
      <c r="M701" s="739"/>
      <c r="N701" s="168">
        <f>IF(M701&lt;&gt;"",M701,IF(ISERROR(Personalplanung!AC77/Monatsplanung!$E77*Monatsplanung!$M77),0,Personalplanung!AC77/Monatsplanung!$E77*Monatsplanung!$M77))</f>
        <v>0</v>
      </c>
      <c r="O701" s="740"/>
      <c r="P701" s="739"/>
      <c r="Q701" s="168">
        <f>IF(P701&lt;&gt;"",P701,IF(ISERROR(Personalplanung!AD77/Monatsplanung!$E77*Monatsplanung!$M77),0,Personalplanung!AD77/Monatsplanung!$E77*Monatsplanung!$M77))</f>
        <v>0</v>
      </c>
      <c r="R701" s="740"/>
      <c r="S701" s="739"/>
      <c r="T701" s="168">
        <f>IF(S701&lt;&gt;"",S701,IF(ISERROR(Personalplanung!AE77/Monatsplanung!$E77*Monatsplanung!$M77),0,Personalplanung!AE77/Monatsplanung!$E77*Monatsplanung!$M77))</f>
        <v>0</v>
      </c>
      <c r="U701" s="740"/>
      <c r="V701" s="168">
        <f t="shared" si="220"/>
        <v>0</v>
      </c>
      <c r="W701" s="168">
        <f>IF(ISERROR(Personalplanung!P77/Monatsplanung!$E77*Monatsplanung!$M77),0,Personalplanung!P77/Monatsplanung!$E77*Monatsplanung!$M77)</f>
        <v>0</v>
      </c>
      <c r="X701" s="168">
        <f>IF(ISERROR(Personalplanung!Q77/Monatsplanung!$E77*Monatsplanung!$M77),0,Personalplanung!Q77/Monatsplanung!$E77*Monatsplanung!$M77)</f>
        <v>0</v>
      </c>
      <c r="Y701" s="168">
        <f>IF(ISERROR(Personalplanung!R77/T1325*Stundencontrolling!T701),0,Personalplanung!R77/T1325*Stundencontrolling!T701)</f>
        <v>0</v>
      </c>
      <c r="Z701" s="168">
        <f>IF(ISERROR(Personalplanung!S77/Monatsplanung!$E77*Monatsplanung!$M77),0,Personalplanung!S77/Monatsplanung!$E77*Monatsplanung!$M77)</f>
        <v>0</v>
      </c>
      <c r="AA701" s="80">
        <f t="shared" si="221"/>
        <v>0</v>
      </c>
      <c r="AB701" s="102">
        <f t="shared" si="222"/>
        <v>0.1</v>
      </c>
      <c r="AC701" s="103">
        <f t="shared" si="223"/>
        <v>0</v>
      </c>
      <c r="AD701" s="103">
        <f t="shared" si="224"/>
        <v>0</v>
      </c>
      <c r="AE701" s="81">
        <f t="shared" si="225"/>
        <v>0</v>
      </c>
      <c r="AF701" s="539"/>
      <c r="AG701" s="104">
        <f t="shared" si="226"/>
        <v>1</v>
      </c>
      <c r="AH701" s="7">
        <f t="shared" si="227"/>
        <v>0</v>
      </c>
      <c r="AI701" s="6">
        <f t="shared" si="228"/>
        <v>0</v>
      </c>
      <c r="AJ701" s="73">
        <f t="shared" si="229"/>
        <v>0</v>
      </c>
      <c r="AK701" s="539"/>
      <c r="AL701" s="748"/>
      <c r="AM701" s="748"/>
    </row>
    <row r="702" spans="2:39" x14ac:dyDescent="0.2">
      <c r="B702" s="101" t="str">
        <f t="shared" si="214"/>
        <v/>
      </c>
      <c r="C702" s="168">
        <f>IF(ISERROR(Personalplanung!F78/Monatsplanung!$E78*Monatsplanung!$M78),0,Personalplanung!F78/Monatsplanung!$E78*Monatsplanung!$M78)</f>
        <v>0</v>
      </c>
      <c r="D702" s="168">
        <f t="shared" si="215"/>
        <v>0</v>
      </c>
      <c r="E702" s="168">
        <f>IF(ISERROR(Personalplanung!H78/Monatsplanung!$E78*Monatsplanung!$M78),0,Personalplanung!H78/Monatsplanung!$E78*Monatsplanung!$M78)</f>
        <v>0</v>
      </c>
      <c r="F702" s="168">
        <f t="shared" si="216"/>
        <v>0</v>
      </c>
      <c r="G702" s="168">
        <f t="shared" si="217"/>
        <v>27.700831024930746</v>
      </c>
      <c r="H702" s="168">
        <f t="shared" si="218"/>
        <v>0</v>
      </c>
      <c r="I702" s="168">
        <f t="shared" si="219"/>
        <v>30</v>
      </c>
      <c r="J702" s="739"/>
      <c r="K702" s="168">
        <f>IF(J702&lt;&gt;"",J702,IF(ISERROR(Personalplanung!AB78/Monatsplanung!$E78*Monatsplanung!$M78),0,Personalplanung!AB78/Monatsplanung!$E78*Monatsplanung!$M78))</f>
        <v>0</v>
      </c>
      <c r="L702" s="740"/>
      <c r="M702" s="739"/>
      <c r="N702" s="168">
        <f>IF(M702&lt;&gt;"",M702,IF(ISERROR(Personalplanung!AC78/Monatsplanung!$E78*Monatsplanung!$M78),0,Personalplanung!AC78/Monatsplanung!$E78*Monatsplanung!$M78))</f>
        <v>0</v>
      </c>
      <c r="O702" s="740"/>
      <c r="P702" s="739"/>
      <c r="Q702" s="168">
        <f>IF(P702&lt;&gt;"",P702,IF(ISERROR(Personalplanung!AD78/Monatsplanung!$E78*Monatsplanung!$M78),0,Personalplanung!AD78/Monatsplanung!$E78*Monatsplanung!$M78))</f>
        <v>0</v>
      </c>
      <c r="R702" s="740"/>
      <c r="S702" s="739"/>
      <c r="T702" s="168">
        <f>IF(S702&lt;&gt;"",S702,IF(ISERROR(Personalplanung!AE78/Monatsplanung!$E78*Monatsplanung!$M78),0,Personalplanung!AE78/Monatsplanung!$E78*Monatsplanung!$M78))</f>
        <v>0</v>
      </c>
      <c r="U702" s="740"/>
      <c r="V702" s="168">
        <f t="shared" si="220"/>
        <v>0</v>
      </c>
      <c r="W702" s="168">
        <f>IF(ISERROR(Personalplanung!P78/Monatsplanung!$E78*Monatsplanung!$M78),0,Personalplanung!P78/Monatsplanung!$E78*Monatsplanung!$M78)</f>
        <v>0</v>
      </c>
      <c r="X702" s="168">
        <f>IF(ISERROR(Personalplanung!Q78/Monatsplanung!$E78*Monatsplanung!$M78),0,Personalplanung!Q78/Monatsplanung!$E78*Monatsplanung!$M78)</f>
        <v>0</v>
      </c>
      <c r="Y702" s="168">
        <f>IF(ISERROR(Personalplanung!R78/T1326*Stundencontrolling!T702),0,Personalplanung!R78/T1326*Stundencontrolling!T702)</f>
        <v>0</v>
      </c>
      <c r="Z702" s="168">
        <f>IF(ISERROR(Personalplanung!S78/Monatsplanung!$E78*Monatsplanung!$M78),0,Personalplanung!S78/Monatsplanung!$E78*Monatsplanung!$M78)</f>
        <v>0</v>
      </c>
      <c r="AA702" s="80">
        <f t="shared" si="221"/>
        <v>0</v>
      </c>
      <c r="AB702" s="102">
        <f t="shared" si="222"/>
        <v>0.1</v>
      </c>
      <c r="AC702" s="103">
        <f t="shared" si="223"/>
        <v>0</v>
      </c>
      <c r="AD702" s="103">
        <f t="shared" si="224"/>
        <v>0</v>
      </c>
      <c r="AE702" s="81">
        <f t="shared" si="225"/>
        <v>0</v>
      </c>
      <c r="AF702" s="539"/>
      <c r="AG702" s="104">
        <f t="shared" si="226"/>
        <v>1</v>
      </c>
      <c r="AH702" s="7">
        <f t="shared" si="227"/>
        <v>0</v>
      </c>
      <c r="AI702" s="6">
        <f t="shared" si="228"/>
        <v>0</v>
      </c>
      <c r="AJ702" s="73">
        <f t="shared" si="229"/>
        <v>0</v>
      </c>
      <c r="AK702" s="539"/>
      <c r="AL702" s="748"/>
      <c r="AM702" s="748"/>
    </row>
    <row r="703" spans="2:39" x14ac:dyDescent="0.2">
      <c r="B703" s="101" t="str">
        <f t="shared" si="214"/>
        <v/>
      </c>
      <c r="C703" s="168">
        <f>IF(ISERROR(Personalplanung!F79/Monatsplanung!$E79*Monatsplanung!$M79),0,Personalplanung!F79/Monatsplanung!$E79*Monatsplanung!$M79)</f>
        <v>0</v>
      </c>
      <c r="D703" s="168">
        <f t="shared" si="215"/>
        <v>0</v>
      </c>
      <c r="E703" s="168">
        <f>IF(ISERROR(Personalplanung!H79/Monatsplanung!$E79*Monatsplanung!$M79),0,Personalplanung!H79/Monatsplanung!$E79*Monatsplanung!$M79)</f>
        <v>0</v>
      </c>
      <c r="F703" s="168">
        <f t="shared" si="216"/>
        <v>0</v>
      </c>
      <c r="G703" s="168">
        <f t="shared" si="217"/>
        <v>27.700831024930746</v>
      </c>
      <c r="H703" s="168">
        <f t="shared" si="218"/>
        <v>0</v>
      </c>
      <c r="I703" s="168">
        <f t="shared" si="219"/>
        <v>30</v>
      </c>
      <c r="J703" s="739"/>
      <c r="K703" s="168">
        <f>IF(J703&lt;&gt;"",J703,IF(ISERROR(Personalplanung!AB79/Monatsplanung!$E79*Monatsplanung!$M79),0,Personalplanung!AB79/Monatsplanung!$E79*Monatsplanung!$M79))</f>
        <v>0</v>
      </c>
      <c r="L703" s="740"/>
      <c r="M703" s="739"/>
      <c r="N703" s="168">
        <f>IF(M703&lt;&gt;"",M703,IF(ISERROR(Personalplanung!AC79/Monatsplanung!$E79*Monatsplanung!$M79),0,Personalplanung!AC79/Monatsplanung!$E79*Monatsplanung!$M79))</f>
        <v>0</v>
      </c>
      <c r="O703" s="740"/>
      <c r="P703" s="739"/>
      <c r="Q703" s="168">
        <f>IF(P703&lt;&gt;"",P703,IF(ISERROR(Personalplanung!AD79/Monatsplanung!$E79*Monatsplanung!$M79),0,Personalplanung!AD79/Monatsplanung!$E79*Monatsplanung!$M79))</f>
        <v>0</v>
      </c>
      <c r="R703" s="740"/>
      <c r="S703" s="739"/>
      <c r="T703" s="168">
        <f>IF(S703&lt;&gt;"",S703,IF(ISERROR(Personalplanung!AE79/Monatsplanung!$E79*Monatsplanung!$M79),0,Personalplanung!AE79/Monatsplanung!$E79*Monatsplanung!$M79))</f>
        <v>0</v>
      </c>
      <c r="U703" s="740"/>
      <c r="V703" s="168">
        <f t="shared" si="220"/>
        <v>0</v>
      </c>
      <c r="W703" s="168">
        <f>IF(ISERROR(Personalplanung!P79/Monatsplanung!$E79*Monatsplanung!$M79),0,Personalplanung!P79/Monatsplanung!$E79*Monatsplanung!$M79)</f>
        <v>0</v>
      </c>
      <c r="X703" s="168">
        <f>IF(ISERROR(Personalplanung!Q79/Monatsplanung!$E79*Monatsplanung!$M79),0,Personalplanung!Q79/Monatsplanung!$E79*Monatsplanung!$M79)</f>
        <v>0</v>
      </c>
      <c r="Y703" s="168">
        <f>IF(ISERROR(Personalplanung!R79/T1327*Stundencontrolling!T703),0,Personalplanung!R79/T1327*Stundencontrolling!T703)</f>
        <v>0</v>
      </c>
      <c r="Z703" s="168">
        <f>IF(ISERROR(Personalplanung!S79/Monatsplanung!$E79*Monatsplanung!$M79),0,Personalplanung!S79/Monatsplanung!$E79*Monatsplanung!$M79)</f>
        <v>0</v>
      </c>
      <c r="AA703" s="80">
        <f t="shared" si="221"/>
        <v>0</v>
      </c>
      <c r="AB703" s="102">
        <f t="shared" si="222"/>
        <v>0.1</v>
      </c>
      <c r="AC703" s="103">
        <f t="shared" si="223"/>
        <v>0</v>
      </c>
      <c r="AD703" s="103">
        <f t="shared" si="224"/>
        <v>0</v>
      </c>
      <c r="AE703" s="81">
        <f t="shared" si="225"/>
        <v>0</v>
      </c>
      <c r="AF703" s="539"/>
      <c r="AG703" s="104">
        <f t="shared" si="226"/>
        <v>1</v>
      </c>
      <c r="AH703" s="7">
        <f t="shared" si="227"/>
        <v>0</v>
      </c>
      <c r="AI703" s="6">
        <f t="shared" si="228"/>
        <v>0</v>
      </c>
      <c r="AJ703" s="73">
        <f t="shared" si="229"/>
        <v>0</v>
      </c>
      <c r="AK703" s="539"/>
      <c r="AL703" s="748"/>
      <c r="AM703" s="748"/>
    </row>
    <row r="704" spans="2:39" x14ac:dyDescent="0.2">
      <c r="B704" s="101" t="str">
        <f t="shared" si="214"/>
        <v/>
      </c>
      <c r="C704" s="168">
        <f>IF(ISERROR(Personalplanung!F80/Monatsplanung!$E80*Monatsplanung!$M80),0,Personalplanung!F80/Monatsplanung!$E80*Monatsplanung!$M80)</f>
        <v>0</v>
      </c>
      <c r="D704" s="168">
        <f t="shared" si="215"/>
        <v>0</v>
      </c>
      <c r="E704" s="168">
        <f>IF(ISERROR(Personalplanung!H80/Monatsplanung!$E80*Monatsplanung!$M80),0,Personalplanung!H80/Monatsplanung!$E80*Monatsplanung!$M80)</f>
        <v>0</v>
      </c>
      <c r="F704" s="168">
        <f t="shared" si="216"/>
        <v>0</v>
      </c>
      <c r="G704" s="168">
        <f t="shared" si="217"/>
        <v>27.700831024930746</v>
      </c>
      <c r="H704" s="168">
        <f t="shared" si="218"/>
        <v>0</v>
      </c>
      <c r="I704" s="168">
        <f t="shared" si="219"/>
        <v>30</v>
      </c>
      <c r="J704" s="739"/>
      <c r="K704" s="168">
        <f>IF(J704&lt;&gt;"",J704,IF(ISERROR(Personalplanung!AB80/Monatsplanung!$E80*Monatsplanung!$M80),0,Personalplanung!AB80/Monatsplanung!$E80*Monatsplanung!$M80))</f>
        <v>0</v>
      </c>
      <c r="L704" s="740"/>
      <c r="M704" s="739"/>
      <c r="N704" s="168">
        <f>IF(M704&lt;&gt;"",M704,IF(ISERROR(Personalplanung!AC80/Monatsplanung!$E80*Monatsplanung!$M80),0,Personalplanung!AC80/Monatsplanung!$E80*Monatsplanung!$M80))</f>
        <v>0</v>
      </c>
      <c r="O704" s="740"/>
      <c r="P704" s="739"/>
      <c r="Q704" s="168">
        <f>IF(P704&lt;&gt;"",P704,IF(ISERROR(Personalplanung!AD80/Monatsplanung!$E80*Monatsplanung!$M80),0,Personalplanung!AD80/Monatsplanung!$E80*Monatsplanung!$M80))</f>
        <v>0</v>
      </c>
      <c r="R704" s="740"/>
      <c r="S704" s="739"/>
      <c r="T704" s="168">
        <f>IF(S704&lt;&gt;"",S704,IF(ISERROR(Personalplanung!AE80/Monatsplanung!$E80*Monatsplanung!$M80),0,Personalplanung!AE80/Monatsplanung!$E80*Monatsplanung!$M80))</f>
        <v>0</v>
      </c>
      <c r="U704" s="740"/>
      <c r="V704" s="168">
        <f t="shared" si="220"/>
        <v>0</v>
      </c>
      <c r="W704" s="168">
        <f>IF(ISERROR(Personalplanung!P80/Monatsplanung!$E80*Monatsplanung!$M80),0,Personalplanung!P80/Monatsplanung!$E80*Monatsplanung!$M80)</f>
        <v>0</v>
      </c>
      <c r="X704" s="168">
        <f>IF(ISERROR(Personalplanung!Q80/Monatsplanung!$E80*Monatsplanung!$M80),0,Personalplanung!Q80/Monatsplanung!$E80*Monatsplanung!$M80)</f>
        <v>0</v>
      </c>
      <c r="Y704" s="168">
        <f>IF(ISERROR(Personalplanung!R80/T1328*Stundencontrolling!T704),0,Personalplanung!R80/T1328*Stundencontrolling!T704)</f>
        <v>0</v>
      </c>
      <c r="Z704" s="168">
        <f>IF(ISERROR(Personalplanung!S80/Monatsplanung!$E80*Monatsplanung!$M80),0,Personalplanung!S80/Monatsplanung!$E80*Monatsplanung!$M80)</f>
        <v>0</v>
      </c>
      <c r="AA704" s="80">
        <f t="shared" si="221"/>
        <v>0</v>
      </c>
      <c r="AB704" s="102">
        <f t="shared" si="222"/>
        <v>0.1</v>
      </c>
      <c r="AC704" s="103">
        <f t="shared" si="223"/>
        <v>0</v>
      </c>
      <c r="AD704" s="103">
        <f t="shared" si="224"/>
        <v>0</v>
      </c>
      <c r="AE704" s="81">
        <f t="shared" si="225"/>
        <v>0</v>
      </c>
      <c r="AF704" s="539"/>
      <c r="AG704" s="104">
        <f t="shared" si="226"/>
        <v>1</v>
      </c>
      <c r="AH704" s="7">
        <f t="shared" si="227"/>
        <v>0</v>
      </c>
      <c r="AI704" s="6">
        <f t="shared" si="228"/>
        <v>0</v>
      </c>
      <c r="AJ704" s="73">
        <f t="shared" si="229"/>
        <v>0</v>
      </c>
      <c r="AK704" s="539"/>
      <c r="AL704" s="748"/>
      <c r="AM704" s="748"/>
    </row>
    <row r="705" spans="2:39" x14ac:dyDescent="0.2">
      <c r="B705" s="101" t="str">
        <f t="shared" si="214"/>
        <v/>
      </c>
      <c r="C705" s="168">
        <f>IF(ISERROR(Personalplanung!F81/Monatsplanung!$E81*Monatsplanung!$M81),0,Personalplanung!F81/Monatsplanung!$E81*Monatsplanung!$M81)</f>
        <v>0</v>
      </c>
      <c r="D705" s="168">
        <f t="shared" si="215"/>
        <v>0</v>
      </c>
      <c r="E705" s="168">
        <f>IF(ISERROR(Personalplanung!H81/Monatsplanung!$E81*Monatsplanung!$M81),0,Personalplanung!H81/Monatsplanung!$E81*Monatsplanung!$M81)</f>
        <v>0</v>
      </c>
      <c r="F705" s="168">
        <f t="shared" si="216"/>
        <v>0</v>
      </c>
      <c r="G705" s="168">
        <f t="shared" si="217"/>
        <v>27.700831024930746</v>
      </c>
      <c r="H705" s="168">
        <f t="shared" si="218"/>
        <v>0</v>
      </c>
      <c r="I705" s="168">
        <f t="shared" si="219"/>
        <v>30</v>
      </c>
      <c r="J705" s="739"/>
      <c r="K705" s="168">
        <f>IF(J705&lt;&gt;"",J705,IF(ISERROR(Personalplanung!AB81/Monatsplanung!$E81*Monatsplanung!$M81),0,Personalplanung!AB81/Monatsplanung!$E81*Monatsplanung!$M81))</f>
        <v>0</v>
      </c>
      <c r="L705" s="740"/>
      <c r="M705" s="739"/>
      <c r="N705" s="168">
        <f>IF(M705&lt;&gt;"",M705,IF(ISERROR(Personalplanung!AC81/Monatsplanung!$E81*Monatsplanung!$M81),0,Personalplanung!AC81/Monatsplanung!$E81*Monatsplanung!$M81))</f>
        <v>0</v>
      </c>
      <c r="O705" s="740"/>
      <c r="P705" s="739"/>
      <c r="Q705" s="168">
        <f>IF(P705&lt;&gt;"",P705,IF(ISERROR(Personalplanung!AD81/Monatsplanung!$E81*Monatsplanung!$M81),0,Personalplanung!AD81/Monatsplanung!$E81*Monatsplanung!$M81))</f>
        <v>0</v>
      </c>
      <c r="R705" s="740"/>
      <c r="S705" s="739"/>
      <c r="T705" s="168">
        <f>IF(S705&lt;&gt;"",S705,IF(ISERROR(Personalplanung!AE81/Monatsplanung!$E81*Monatsplanung!$M81),0,Personalplanung!AE81/Monatsplanung!$E81*Monatsplanung!$M81))</f>
        <v>0</v>
      </c>
      <c r="U705" s="740"/>
      <c r="V705" s="168">
        <f t="shared" si="220"/>
        <v>0</v>
      </c>
      <c r="W705" s="168">
        <f>IF(ISERROR(Personalplanung!P81/Monatsplanung!$E81*Monatsplanung!$M81),0,Personalplanung!P81/Monatsplanung!$E81*Monatsplanung!$M81)</f>
        <v>0</v>
      </c>
      <c r="X705" s="168">
        <f>IF(ISERROR(Personalplanung!Q81/Monatsplanung!$E81*Monatsplanung!$M81),0,Personalplanung!Q81/Monatsplanung!$E81*Monatsplanung!$M81)</f>
        <v>0</v>
      </c>
      <c r="Y705" s="168">
        <f>IF(ISERROR(Personalplanung!R81/T1329*Stundencontrolling!T705),0,Personalplanung!R81/T1329*Stundencontrolling!T705)</f>
        <v>0</v>
      </c>
      <c r="Z705" s="168">
        <f>IF(ISERROR(Personalplanung!S81/Monatsplanung!$E81*Monatsplanung!$M81),0,Personalplanung!S81/Monatsplanung!$E81*Monatsplanung!$M81)</f>
        <v>0</v>
      </c>
      <c r="AA705" s="80">
        <f t="shared" si="221"/>
        <v>0</v>
      </c>
      <c r="AB705" s="102">
        <f t="shared" si="222"/>
        <v>0.1</v>
      </c>
      <c r="AC705" s="103">
        <f t="shared" si="223"/>
        <v>0</v>
      </c>
      <c r="AD705" s="103">
        <f t="shared" si="224"/>
        <v>0</v>
      </c>
      <c r="AE705" s="81">
        <f t="shared" si="225"/>
        <v>0</v>
      </c>
      <c r="AF705" s="539"/>
      <c r="AG705" s="104">
        <f t="shared" si="226"/>
        <v>1</v>
      </c>
      <c r="AH705" s="7">
        <f t="shared" si="227"/>
        <v>0</v>
      </c>
      <c r="AI705" s="6">
        <f t="shared" si="228"/>
        <v>0</v>
      </c>
      <c r="AJ705" s="73">
        <f t="shared" si="229"/>
        <v>0</v>
      </c>
      <c r="AK705" s="539"/>
      <c r="AL705" s="748"/>
      <c r="AM705" s="748"/>
    </row>
    <row r="706" spans="2:39" x14ac:dyDescent="0.2">
      <c r="B706" s="101" t="str">
        <f t="shared" si="214"/>
        <v/>
      </c>
      <c r="C706" s="168">
        <f>IF(ISERROR(Personalplanung!F82/Monatsplanung!$E82*Monatsplanung!$M82),0,Personalplanung!F82/Monatsplanung!$E82*Monatsplanung!$M82)</f>
        <v>0</v>
      </c>
      <c r="D706" s="168">
        <f t="shared" si="215"/>
        <v>0</v>
      </c>
      <c r="E706" s="168">
        <f>IF(ISERROR(Personalplanung!H82/Monatsplanung!$E82*Monatsplanung!$M82),0,Personalplanung!H82/Monatsplanung!$E82*Monatsplanung!$M82)</f>
        <v>0</v>
      </c>
      <c r="F706" s="168">
        <f t="shared" si="216"/>
        <v>0</v>
      </c>
      <c r="G706" s="168">
        <f t="shared" si="217"/>
        <v>27.700831024930746</v>
      </c>
      <c r="H706" s="168">
        <f t="shared" si="218"/>
        <v>0</v>
      </c>
      <c r="I706" s="168">
        <f t="shared" si="219"/>
        <v>30</v>
      </c>
      <c r="J706" s="739"/>
      <c r="K706" s="168">
        <f>IF(J706&lt;&gt;"",J706,IF(ISERROR(Personalplanung!AB82/Monatsplanung!$E82*Monatsplanung!$M82),0,Personalplanung!AB82/Monatsplanung!$E82*Monatsplanung!$M82))</f>
        <v>0</v>
      </c>
      <c r="L706" s="740"/>
      <c r="M706" s="739"/>
      <c r="N706" s="168">
        <f>IF(M706&lt;&gt;"",M706,IF(ISERROR(Personalplanung!AC82/Monatsplanung!$E82*Monatsplanung!$M82),0,Personalplanung!AC82/Monatsplanung!$E82*Monatsplanung!$M82))</f>
        <v>0</v>
      </c>
      <c r="O706" s="740"/>
      <c r="P706" s="739"/>
      <c r="Q706" s="168">
        <f>IF(P706&lt;&gt;"",P706,IF(ISERROR(Personalplanung!AD82/Monatsplanung!$E82*Monatsplanung!$M82),0,Personalplanung!AD82/Monatsplanung!$E82*Monatsplanung!$M82))</f>
        <v>0</v>
      </c>
      <c r="R706" s="740"/>
      <c r="S706" s="739"/>
      <c r="T706" s="168">
        <f>IF(S706&lt;&gt;"",S706,IF(ISERROR(Personalplanung!AE82/Monatsplanung!$E82*Monatsplanung!$M82),0,Personalplanung!AE82/Monatsplanung!$E82*Monatsplanung!$M82))</f>
        <v>0</v>
      </c>
      <c r="U706" s="740"/>
      <c r="V706" s="168">
        <f t="shared" si="220"/>
        <v>0</v>
      </c>
      <c r="W706" s="168">
        <f>IF(ISERROR(Personalplanung!P82/Monatsplanung!$E82*Monatsplanung!$M82),0,Personalplanung!P82/Monatsplanung!$E82*Monatsplanung!$M82)</f>
        <v>0</v>
      </c>
      <c r="X706" s="168">
        <f>IF(ISERROR(Personalplanung!Q82/Monatsplanung!$E82*Monatsplanung!$M82),0,Personalplanung!Q82/Monatsplanung!$E82*Monatsplanung!$M82)</f>
        <v>0</v>
      </c>
      <c r="Y706" s="168">
        <f>IF(ISERROR(Personalplanung!R82/T1330*Stundencontrolling!T706),0,Personalplanung!R82/T1330*Stundencontrolling!T706)</f>
        <v>0</v>
      </c>
      <c r="Z706" s="168">
        <f>IF(ISERROR(Personalplanung!S82/Monatsplanung!$E82*Monatsplanung!$M82),0,Personalplanung!S82/Monatsplanung!$E82*Monatsplanung!$M82)</f>
        <v>0</v>
      </c>
      <c r="AA706" s="80">
        <f t="shared" si="221"/>
        <v>0</v>
      </c>
      <c r="AB706" s="102">
        <f t="shared" si="222"/>
        <v>0.1</v>
      </c>
      <c r="AC706" s="103">
        <f t="shared" si="223"/>
        <v>0</v>
      </c>
      <c r="AD706" s="103">
        <f t="shared" si="224"/>
        <v>0</v>
      </c>
      <c r="AE706" s="81">
        <f t="shared" si="225"/>
        <v>0</v>
      </c>
      <c r="AF706" s="539"/>
      <c r="AG706" s="104">
        <f t="shared" si="226"/>
        <v>1</v>
      </c>
      <c r="AH706" s="7">
        <f t="shared" si="227"/>
        <v>0</v>
      </c>
      <c r="AI706" s="6">
        <f t="shared" si="228"/>
        <v>0</v>
      </c>
      <c r="AJ706" s="73">
        <f t="shared" si="229"/>
        <v>0</v>
      </c>
      <c r="AK706" s="539"/>
      <c r="AL706" s="748"/>
      <c r="AM706" s="748"/>
    </row>
    <row r="707" spans="2:39" x14ac:dyDescent="0.2">
      <c r="B707" s="101" t="str">
        <f t="shared" si="214"/>
        <v/>
      </c>
      <c r="C707" s="168">
        <f>IF(ISERROR(Personalplanung!F83/Monatsplanung!$E83*Monatsplanung!$M83),0,Personalplanung!F83/Monatsplanung!$E83*Monatsplanung!$M83)</f>
        <v>0</v>
      </c>
      <c r="D707" s="168">
        <f t="shared" si="215"/>
        <v>0</v>
      </c>
      <c r="E707" s="168">
        <f>IF(ISERROR(Personalplanung!H83/Monatsplanung!$E83*Monatsplanung!$M83),0,Personalplanung!H83/Monatsplanung!$E83*Monatsplanung!$M83)</f>
        <v>0</v>
      </c>
      <c r="F707" s="168">
        <f t="shared" si="216"/>
        <v>0</v>
      </c>
      <c r="G707" s="168">
        <f t="shared" si="217"/>
        <v>27.700831024930746</v>
      </c>
      <c r="H707" s="168">
        <f t="shared" si="218"/>
        <v>0</v>
      </c>
      <c r="I707" s="168">
        <f t="shared" si="219"/>
        <v>30</v>
      </c>
      <c r="J707" s="739"/>
      <c r="K707" s="168">
        <f>IF(J707&lt;&gt;"",J707,IF(ISERROR(Personalplanung!AB83/Monatsplanung!$E83*Monatsplanung!$M83),0,Personalplanung!AB83/Monatsplanung!$E83*Monatsplanung!$M83))</f>
        <v>0</v>
      </c>
      <c r="L707" s="740"/>
      <c r="M707" s="739"/>
      <c r="N707" s="168">
        <f>IF(M707&lt;&gt;"",M707,IF(ISERROR(Personalplanung!AC83/Monatsplanung!$E83*Monatsplanung!$M83),0,Personalplanung!AC83/Monatsplanung!$E83*Monatsplanung!$M83))</f>
        <v>0</v>
      </c>
      <c r="O707" s="740"/>
      <c r="P707" s="739"/>
      <c r="Q707" s="168">
        <f>IF(P707&lt;&gt;"",P707,IF(ISERROR(Personalplanung!AD83/Monatsplanung!$E83*Monatsplanung!$M83),0,Personalplanung!AD83/Monatsplanung!$E83*Monatsplanung!$M83))</f>
        <v>0</v>
      </c>
      <c r="R707" s="740"/>
      <c r="S707" s="739"/>
      <c r="T707" s="168">
        <f>IF(S707&lt;&gt;"",S707,IF(ISERROR(Personalplanung!AE83/Monatsplanung!$E83*Monatsplanung!$M83),0,Personalplanung!AE83/Monatsplanung!$E83*Monatsplanung!$M83))</f>
        <v>0</v>
      </c>
      <c r="U707" s="740"/>
      <c r="V707" s="168">
        <f t="shared" si="220"/>
        <v>0</v>
      </c>
      <c r="W707" s="168">
        <f>IF(ISERROR(Personalplanung!P83/Monatsplanung!$E83*Monatsplanung!$M83),0,Personalplanung!P83/Monatsplanung!$E83*Monatsplanung!$M83)</f>
        <v>0</v>
      </c>
      <c r="X707" s="168">
        <f>IF(ISERROR(Personalplanung!Q83/Monatsplanung!$E83*Monatsplanung!$M83),0,Personalplanung!Q83/Monatsplanung!$E83*Monatsplanung!$M83)</f>
        <v>0</v>
      </c>
      <c r="Y707" s="168">
        <f>IF(ISERROR(Personalplanung!R83/T1331*Stundencontrolling!T707),0,Personalplanung!R83/T1331*Stundencontrolling!T707)</f>
        <v>0</v>
      </c>
      <c r="Z707" s="168">
        <f>IF(ISERROR(Personalplanung!S83/Monatsplanung!$E83*Monatsplanung!$M83),0,Personalplanung!S83/Monatsplanung!$E83*Monatsplanung!$M83)</f>
        <v>0</v>
      </c>
      <c r="AA707" s="80">
        <f t="shared" si="221"/>
        <v>0</v>
      </c>
      <c r="AB707" s="102">
        <f t="shared" si="222"/>
        <v>0.1</v>
      </c>
      <c r="AC707" s="103">
        <f t="shared" si="223"/>
        <v>0</v>
      </c>
      <c r="AD707" s="103">
        <f t="shared" si="224"/>
        <v>0</v>
      </c>
      <c r="AE707" s="81">
        <f t="shared" si="225"/>
        <v>0</v>
      </c>
      <c r="AF707" s="539"/>
      <c r="AG707" s="104">
        <f t="shared" si="226"/>
        <v>1</v>
      </c>
      <c r="AH707" s="7">
        <f t="shared" si="227"/>
        <v>0</v>
      </c>
      <c r="AI707" s="6">
        <f t="shared" si="228"/>
        <v>0</v>
      </c>
      <c r="AJ707" s="73">
        <f t="shared" si="229"/>
        <v>0</v>
      </c>
      <c r="AK707" s="539"/>
      <c r="AL707" s="748"/>
      <c r="AM707" s="748"/>
    </row>
    <row r="708" spans="2:39" x14ac:dyDescent="0.2">
      <c r="B708" s="101" t="str">
        <f t="shared" si="214"/>
        <v/>
      </c>
      <c r="C708" s="168">
        <f>IF(ISERROR(Personalplanung!F84/Monatsplanung!$E84*Monatsplanung!$M84),0,Personalplanung!F84/Monatsplanung!$E84*Monatsplanung!$M84)</f>
        <v>0</v>
      </c>
      <c r="D708" s="168">
        <f t="shared" si="215"/>
        <v>0</v>
      </c>
      <c r="E708" s="168">
        <f>IF(ISERROR(Personalplanung!H84/Monatsplanung!$E84*Monatsplanung!$M84),0,Personalplanung!H84/Monatsplanung!$E84*Monatsplanung!$M84)</f>
        <v>0</v>
      </c>
      <c r="F708" s="168">
        <f t="shared" si="216"/>
        <v>0</v>
      </c>
      <c r="G708" s="168">
        <f t="shared" si="217"/>
        <v>27.700831024930746</v>
      </c>
      <c r="H708" s="168">
        <f t="shared" si="218"/>
        <v>0</v>
      </c>
      <c r="I708" s="168">
        <f t="shared" si="219"/>
        <v>30</v>
      </c>
      <c r="J708" s="739"/>
      <c r="K708" s="168">
        <f>IF(J708&lt;&gt;"",J708,IF(ISERROR(Personalplanung!AB84/Monatsplanung!$E84*Monatsplanung!$M84),0,Personalplanung!AB84/Monatsplanung!$E84*Monatsplanung!$M84))</f>
        <v>0</v>
      </c>
      <c r="L708" s="740"/>
      <c r="M708" s="739"/>
      <c r="N708" s="168">
        <f>IF(M708&lt;&gt;"",M708,IF(ISERROR(Personalplanung!AC84/Monatsplanung!$E84*Monatsplanung!$M84),0,Personalplanung!AC84/Monatsplanung!$E84*Monatsplanung!$M84))</f>
        <v>0</v>
      </c>
      <c r="O708" s="740"/>
      <c r="P708" s="739"/>
      <c r="Q708" s="168">
        <f>IF(P708&lt;&gt;"",P708,IF(ISERROR(Personalplanung!AD84/Monatsplanung!$E84*Monatsplanung!$M84),0,Personalplanung!AD84/Monatsplanung!$E84*Monatsplanung!$M84))</f>
        <v>0</v>
      </c>
      <c r="R708" s="740"/>
      <c r="S708" s="739"/>
      <c r="T708" s="168">
        <f>IF(S708&lt;&gt;"",S708,IF(ISERROR(Personalplanung!AE84/Monatsplanung!$E84*Monatsplanung!$M84),0,Personalplanung!AE84/Monatsplanung!$E84*Monatsplanung!$M84))</f>
        <v>0</v>
      </c>
      <c r="U708" s="740"/>
      <c r="V708" s="168">
        <f t="shared" si="220"/>
        <v>0</v>
      </c>
      <c r="W708" s="168">
        <f>IF(ISERROR(Personalplanung!P84/Monatsplanung!$E84*Monatsplanung!$M84),0,Personalplanung!P84/Monatsplanung!$E84*Monatsplanung!$M84)</f>
        <v>0</v>
      </c>
      <c r="X708" s="168">
        <f>IF(ISERROR(Personalplanung!Q84/Monatsplanung!$E84*Monatsplanung!$M84),0,Personalplanung!Q84/Monatsplanung!$E84*Monatsplanung!$M84)</f>
        <v>0</v>
      </c>
      <c r="Y708" s="168">
        <f>IF(ISERROR(Personalplanung!R84/T1332*Stundencontrolling!T708),0,Personalplanung!R84/T1332*Stundencontrolling!T708)</f>
        <v>0</v>
      </c>
      <c r="Z708" s="168">
        <f>IF(ISERROR(Personalplanung!S84/Monatsplanung!$E84*Monatsplanung!$M84),0,Personalplanung!S84/Monatsplanung!$E84*Monatsplanung!$M84)</f>
        <v>0</v>
      </c>
      <c r="AA708" s="80">
        <f t="shared" si="221"/>
        <v>0</v>
      </c>
      <c r="AB708" s="102">
        <f t="shared" si="222"/>
        <v>0.1</v>
      </c>
      <c r="AC708" s="103">
        <f t="shared" si="223"/>
        <v>0</v>
      </c>
      <c r="AD708" s="103">
        <f t="shared" si="224"/>
        <v>0</v>
      </c>
      <c r="AE708" s="81">
        <f t="shared" si="225"/>
        <v>0</v>
      </c>
      <c r="AF708" s="539"/>
      <c r="AG708" s="104">
        <f t="shared" si="226"/>
        <v>1</v>
      </c>
      <c r="AH708" s="7">
        <f t="shared" si="227"/>
        <v>0</v>
      </c>
      <c r="AI708" s="6">
        <f t="shared" si="228"/>
        <v>0</v>
      </c>
      <c r="AJ708" s="73">
        <f t="shared" si="229"/>
        <v>0</v>
      </c>
      <c r="AK708" s="539"/>
      <c r="AL708" s="748"/>
      <c r="AM708" s="748"/>
    </row>
    <row r="709" spans="2:39" x14ac:dyDescent="0.2">
      <c r="B709" s="101" t="str">
        <f t="shared" si="214"/>
        <v/>
      </c>
      <c r="C709" s="168">
        <f>IF(ISERROR(Personalplanung!F85/Monatsplanung!$E85*Monatsplanung!$M85),0,Personalplanung!F85/Monatsplanung!$E85*Monatsplanung!$M85)</f>
        <v>0</v>
      </c>
      <c r="D709" s="168">
        <f t="shared" si="215"/>
        <v>0</v>
      </c>
      <c r="E709" s="168">
        <f>IF(ISERROR(Personalplanung!H85/Monatsplanung!$E85*Monatsplanung!$M85),0,Personalplanung!H85/Monatsplanung!$E85*Monatsplanung!$M85)</f>
        <v>0</v>
      </c>
      <c r="F709" s="168">
        <f t="shared" si="216"/>
        <v>0</v>
      </c>
      <c r="G709" s="168">
        <f t="shared" si="217"/>
        <v>27.700831024930746</v>
      </c>
      <c r="H709" s="168">
        <f t="shared" si="218"/>
        <v>0</v>
      </c>
      <c r="I709" s="168">
        <f t="shared" si="219"/>
        <v>30</v>
      </c>
      <c r="J709" s="739"/>
      <c r="K709" s="168">
        <f>IF(J709&lt;&gt;"",J709,IF(ISERROR(Personalplanung!AB85/Monatsplanung!$E85*Monatsplanung!$M85),0,Personalplanung!AB85/Monatsplanung!$E85*Monatsplanung!$M85))</f>
        <v>0</v>
      </c>
      <c r="L709" s="740"/>
      <c r="M709" s="739"/>
      <c r="N709" s="168">
        <f>IF(M709&lt;&gt;"",M709,IF(ISERROR(Personalplanung!AC85/Monatsplanung!$E85*Monatsplanung!$M85),0,Personalplanung!AC85/Monatsplanung!$E85*Monatsplanung!$M85))</f>
        <v>0</v>
      </c>
      <c r="O709" s="740"/>
      <c r="P709" s="739"/>
      <c r="Q709" s="168">
        <f>IF(P709&lt;&gt;"",P709,IF(ISERROR(Personalplanung!AD85/Monatsplanung!$E85*Monatsplanung!$M85),0,Personalplanung!AD85/Monatsplanung!$E85*Monatsplanung!$M85))</f>
        <v>0</v>
      </c>
      <c r="R709" s="740"/>
      <c r="S709" s="739"/>
      <c r="T709" s="168">
        <f>IF(S709&lt;&gt;"",S709,IF(ISERROR(Personalplanung!AE85/Monatsplanung!$E85*Monatsplanung!$M85),0,Personalplanung!AE85/Monatsplanung!$E85*Monatsplanung!$M85))</f>
        <v>0</v>
      </c>
      <c r="U709" s="740"/>
      <c r="V709" s="168">
        <f t="shared" si="220"/>
        <v>0</v>
      </c>
      <c r="W709" s="168">
        <f>IF(ISERROR(Personalplanung!P85/Monatsplanung!$E85*Monatsplanung!$M85),0,Personalplanung!P85/Monatsplanung!$E85*Monatsplanung!$M85)</f>
        <v>0</v>
      </c>
      <c r="X709" s="168">
        <f>IF(ISERROR(Personalplanung!Q85/Monatsplanung!$E85*Monatsplanung!$M85),0,Personalplanung!Q85/Monatsplanung!$E85*Monatsplanung!$M85)</f>
        <v>0</v>
      </c>
      <c r="Y709" s="168">
        <f>IF(ISERROR(Personalplanung!R85/T1333*Stundencontrolling!T709),0,Personalplanung!R85/T1333*Stundencontrolling!T709)</f>
        <v>0</v>
      </c>
      <c r="Z709" s="168">
        <f>IF(ISERROR(Personalplanung!S85/Monatsplanung!$E85*Monatsplanung!$M85),0,Personalplanung!S85/Monatsplanung!$E85*Monatsplanung!$M85)</f>
        <v>0</v>
      </c>
      <c r="AA709" s="80">
        <f t="shared" si="221"/>
        <v>0</v>
      </c>
      <c r="AB709" s="102">
        <f t="shared" si="222"/>
        <v>0.1</v>
      </c>
      <c r="AC709" s="103">
        <f t="shared" si="223"/>
        <v>0</v>
      </c>
      <c r="AD709" s="103">
        <f t="shared" si="224"/>
        <v>0</v>
      </c>
      <c r="AE709" s="81">
        <f t="shared" si="225"/>
        <v>0</v>
      </c>
      <c r="AF709" s="539"/>
      <c r="AG709" s="104">
        <f t="shared" si="226"/>
        <v>1</v>
      </c>
      <c r="AH709" s="7">
        <f t="shared" si="227"/>
        <v>0</v>
      </c>
      <c r="AI709" s="6">
        <f t="shared" si="228"/>
        <v>0</v>
      </c>
      <c r="AJ709" s="73">
        <f t="shared" si="229"/>
        <v>0</v>
      </c>
      <c r="AK709" s="539"/>
      <c r="AL709" s="748"/>
      <c r="AM709" s="748"/>
    </row>
    <row r="710" spans="2:39" x14ac:dyDescent="0.2">
      <c r="B710" s="101" t="str">
        <f t="shared" si="214"/>
        <v/>
      </c>
      <c r="C710" s="168">
        <f>IF(ISERROR(Personalplanung!F86/Monatsplanung!$E86*Monatsplanung!$M86),0,Personalplanung!F86/Monatsplanung!$E86*Monatsplanung!$M86)</f>
        <v>0</v>
      </c>
      <c r="D710" s="168">
        <f t="shared" si="215"/>
        <v>0</v>
      </c>
      <c r="E710" s="168">
        <f>IF(ISERROR(Personalplanung!H86/Monatsplanung!$E86*Monatsplanung!$M86),0,Personalplanung!H86/Monatsplanung!$E86*Monatsplanung!$M86)</f>
        <v>0</v>
      </c>
      <c r="F710" s="168">
        <f t="shared" si="216"/>
        <v>0</v>
      </c>
      <c r="G710" s="168">
        <f t="shared" si="217"/>
        <v>27.700831024930746</v>
      </c>
      <c r="H710" s="168">
        <f t="shared" si="218"/>
        <v>0</v>
      </c>
      <c r="I710" s="168">
        <f t="shared" si="219"/>
        <v>30</v>
      </c>
      <c r="J710" s="739"/>
      <c r="K710" s="168">
        <f>IF(J710&lt;&gt;"",J710,IF(ISERROR(Personalplanung!AB86/Monatsplanung!$E86*Monatsplanung!$M86),0,Personalplanung!AB86/Monatsplanung!$E86*Monatsplanung!$M86))</f>
        <v>0</v>
      </c>
      <c r="L710" s="740"/>
      <c r="M710" s="739"/>
      <c r="N710" s="168">
        <f>IF(M710&lt;&gt;"",M710,IF(ISERROR(Personalplanung!AC86/Monatsplanung!$E86*Monatsplanung!$M86),0,Personalplanung!AC86/Monatsplanung!$E86*Monatsplanung!$M86))</f>
        <v>0</v>
      </c>
      <c r="O710" s="740"/>
      <c r="P710" s="739"/>
      <c r="Q710" s="168">
        <f>IF(P710&lt;&gt;"",P710,IF(ISERROR(Personalplanung!AD86/Monatsplanung!$E86*Monatsplanung!$M86),0,Personalplanung!AD86/Monatsplanung!$E86*Monatsplanung!$M86))</f>
        <v>0</v>
      </c>
      <c r="R710" s="740"/>
      <c r="S710" s="739"/>
      <c r="T710" s="168">
        <f>IF(S710&lt;&gt;"",S710,IF(ISERROR(Personalplanung!AE86/Monatsplanung!$E86*Monatsplanung!$M86),0,Personalplanung!AE86/Monatsplanung!$E86*Monatsplanung!$M86))</f>
        <v>0</v>
      </c>
      <c r="U710" s="740"/>
      <c r="V710" s="168">
        <f t="shared" si="220"/>
        <v>0</v>
      </c>
      <c r="W710" s="168">
        <f>IF(ISERROR(Personalplanung!P86/Monatsplanung!$E86*Monatsplanung!$M86),0,Personalplanung!P86/Monatsplanung!$E86*Monatsplanung!$M86)</f>
        <v>0</v>
      </c>
      <c r="X710" s="168">
        <f>IF(ISERROR(Personalplanung!Q86/Monatsplanung!$E86*Monatsplanung!$M86),0,Personalplanung!Q86/Monatsplanung!$E86*Monatsplanung!$M86)</f>
        <v>0</v>
      </c>
      <c r="Y710" s="168">
        <f>IF(ISERROR(Personalplanung!R86/T1334*Stundencontrolling!T710),0,Personalplanung!R86/T1334*Stundencontrolling!T710)</f>
        <v>0</v>
      </c>
      <c r="Z710" s="168">
        <f>IF(ISERROR(Personalplanung!S86/Monatsplanung!$E86*Monatsplanung!$M86),0,Personalplanung!S86/Monatsplanung!$E86*Monatsplanung!$M86)</f>
        <v>0</v>
      </c>
      <c r="AA710" s="80">
        <f t="shared" si="221"/>
        <v>0</v>
      </c>
      <c r="AB710" s="102">
        <f t="shared" si="222"/>
        <v>0.1</v>
      </c>
      <c r="AC710" s="103">
        <f t="shared" si="223"/>
        <v>0</v>
      </c>
      <c r="AD710" s="103">
        <f t="shared" si="224"/>
        <v>0</v>
      </c>
      <c r="AE710" s="81">
        <f t="shared" si="225"/>
        <v>0</v>
      </c>
      <c r="AF710" s="539"/>
      <c r="AG710" s="104">
        <f t="shared" si="226"/>
        <v>1</v>
      </c>
      <c r="AH710" s="7">
        <f t="shared" si="227"/>
        <v>0</v>
      </c>
      <c r="AI710" s="6">
        <f t="shared" si="228"/>
        <v>0</v>
      </c>
      <c r="AJ710" s="73">
        <f t="shared" si="229"/>
        <v>0</v>
      </c>
      <c r="AK710" s="539"/>
      <c r="AL710" s="748"/>
      <c r="AM710" s="748"/>
    </row>
    <row r="711" spans="2:39" x14ac:dyDescent="0.2">
      <c r="B711" s="101" t="str">
        <f t="shared" si="214"/>
        <v/>
      </c>
      <c r="C711" s="168">
        <f>IF(ISERROR(Personalplanung!F87/Monatsplanung!$E87*Monatsplanung!$M87),0,Personalplanung!F87/Monatsplanung!$E87*Monatsplanung!$M87)</f>
        <v>0</v>
      </c>
      <c r="D711" s="168">
        <f t="shared" si="215"/>
        <v>0</v>
      </c>
      <c r="E711" s="168">
        <f>IF(ISERROR(Personalplanung!H87/Monatsplanung!$E87*Monatsplanung!$M87),0,Personalplanung!H87/Monatsplanung!$E87*Monatsplanung!$M87)</f>
        <v>0</v>
      </c>
      <c r="F711" s="168">
        <f t="shared" si="216"/>
        <v>0</v>
      </c>
      <c r="G711" s="168">
        <f t="shared" si="217"/>
        <v>27.700831024930746</v>
      </c>
      <c r="H711" s="168">
        <f t="shared" si="218"/>
        <v>0</v>
      </c>
      <c r="I711" s="168">
        <f t="shared" si="219"/>
        <v>30</v>
      </c>
      <c r="J711" s="739"/>
      <c r="K711" s="168">
        <f>IF(J711&lt;&gt;"",J711,IF(ISERROR(Personalplanung!AB87/Monatsplanung!$E87*Monatsplanung!$M87),0,Personalplanung!AB87/Monatsplanung!$E87*Monatsplanung!$M87))</f>
        <v>0</v>
      </c>
      <c r="L711" s="740"/>
      <c r="M711" s="739"/>
      <c r="N711" s="168">
        <f>IF(M711&lt;&gt;"",M711,IF(ISERROR(Personalplanung!AC87/Monatsplanung!$E87*Monatsplanung!$M87),0,Personalplanung!AC87/Monatsplanung!$E87*Monatsplanung!$M87))</f>
        <v>0</v>
      </c>
      <c r="O711" s="740"/>
      <c r="P711" s="739"/>
      <c r="Q711" s="168">
        <f>IF(P711&lt;&gt;"",P711,IF(ISERROR(Personalplanung!AD87/Monatsplanung!$E87*Monatsplanung!$M87),0,Personalplanung!AD87/Monatsplanung!$E87*Monatsplanung!$M87))</f>
        <v>0</v>
      </c>
      <c r="R711" s="740"/>
      <c r="S711" s="739"/>
      <c r="T711" s="168">
        <f>IF(S711&lt;&gt;"",S711,IF(ISERROR(Personalplanung!AE87/Monatsplanung!$E87*Monatsplanung!$M87),0,Personalplanung!AE87/Monatsplanung!$E87*Monatsplanung!$M87))</f>
        <v>0</v>
      </c>
      <c r="U711" s="740"/>
      <c r="V711" s="168">
        <f t="shared" si="220"/>
        <v>0</v>
      </c>
      <c r="W711" s="168">
        <f>IF(ISERROR(Personalplanung!P87/Monatsplanung!$E87*Monatsplanung!$M87),0,Personalplanung!P87/Monatsplanung!$E87*Monatsplanung!$M87)</f>
        <v>0</v>
      </c>
      <c r="X711" s="168">
        <f>IF(ISERROR(Personalplanung!Q87/Monatsplanung!$E87*Monatsplanung!$M87),0,Personalplanung!Q87/Monatsplanung!$E87*Monatsplanung!$M87)</f>
        <v>0</v>
      </c>
      <c r="Y711" s="168">
        <f>IF(ISERROR(Personalplanung!R87/T1335*Stundencontrolling!T711),0,Personalplanung!R87/T1335*Stundencontrolling!T711)</f>
        <v>0</v>
      </c>
      <c r="Z711" s="168">
        <f>IF(ISERROR(Personalplanung!S87/Monatsplanung!$E87*Monatsplanung!$M87),0,Personalplanung!S87/Monatsplanung!$E87*Monatsplanung!$M87)</f>
        <v>0</v>
      </c>
      <c r="AA711" s="80">
        <f t="shared" si="221"/>
        <v>0</v>
      </c>
      <c r="AB711" s="102">
        <f t="shared" si="222"/>
        <v>0.1</v>
      </c>
      <c r="AC711" s="103">
        <f t="shared" si="223"/>
        <v>0</v>
      </c>
      <c r="AD711" s="103">
        <f t="shared" si="224"/>
        <v>0</v>
      </c>
      <c r="AE711" s="81">
        <f t="shared" si="225"/>
        <v>0</v>
      </c>
      <c r="AF711" s="539"/>
      <c r="AG711" s="104">
        <f t="shared" si="226"/>
        <v>1</v>
      </c>
      <c r="AH711" s="7">
        <f t="shared" si="227"/>
        <v>0</v>
      </c>
      <c r="AI711" s="6">
        <f t="shared" si="228"/>
        <v>0</v>
      </c>
      <c r="AJ711" s="73">
        <f t="shared" si="229"/>
        <v>0</v>
      </c>
      <c r="AK711" s="539"/>
      <c r="AL711" s="748"/>
      <c r="AM711" s="748"/>
    </row>
    <row r="712" spans="2:39" x14ac:dyDescent="0.2">
      <c r="B712" s="101" t="str">
        <f t="shared" si="214"/>
        <v/>
      </c>
      <c r="C712" s="168">
        <f>IF(ISERROR(Personalplanung!F88/Monatsplanung!$E88*Monatsplanung!$M88),0,Personalplanung!F88/Monatsplanung!$E88*Monatsplanung!$M88)</f>
        <v>0</v>
      </c>
      <c r="D712" s="168">
        <f t="shared" si="215"/>
        <v>0</v>
      </c>
      <c r="E712" s="168">
        <f>IF(ISERROR(Personalplanung!H88/Monatsplanung!$E88*Monatsplanung!$M88),0,Personalplanung!H88/Monatsplanung!$E88*Monatsplanung!$M88)</f>
        <v>0</v>
      </c>
      <c r="F712" s="168">
        <f t="shared" si="216"/>
        <v>0</v>
      </c>
      <c r="G712" s="168">
        <f t="shared" si="217"/>
        <v>27.700831024930746</v>
      </c>
      <c r="H712" s="168">
        <f t="shared" si="218"/>
        <v>0</v>
      </c>
      <c r="I712" s="168">
        <f t="shared" si="219"/>
        <v>30</v>
      </c>
      <c r="J712" s="739"/>
      <c r="K712" s="168">
        <f>IF(J712&lt;&gt;"",J712,IF(ISERROR(Personalplanung!AB88/Monatsplanung!$E88*Monatsplanung!$M88),0,Personalplanung!AB88/Monatsplanung!$E88*Monatsplanung!$M88))</f>
        <v>0</v>
      </c>
      <c r="L712" s="740"/>
      <c r="M712" s="739"/>
      <c r="N712" s="168">
        <f>IF(M712&lt;&gt;"",M712,IF(ISERROR(Personalplanung!AC88/Monatsplanung!$E88*Monatsplanung!$M88),0,Personalplanung!AC88/Monatsplanung!$E88*Monatsplanung!$M88))</f>
        <v>0</v>
      </c>
      <c r="O712" s="740"/>
      <c r="P712" s="739"/>
      <c r="Q712" s="168">
        <f>IF(P712&lt;&gt;"",P712,IF(ISERROR(Personalplanung!AD88/Monatsplanung!$E88*Monatsplanung!$M88),0,Personalplanung!AD88/Monatsplanung!$E88*Monatsplanung!$M88))</f>
        <v>0</v>
      </c>
      <c r="R712" s="740"/>
      <c r="S712" s="739"/>
      <c r="T712" s="168">
        <f>IF(S712&lt;&gt;"",S712,IF(ISERROR(Personalplanung!AE88/Monatsplanung!$E88*Monatsplanung!$M88),0,Personalplanung!AE88/Monatsplanung!$E88*Monatsplanung!$M88))</f>
        <v>0</v>
      </c>
      <c r="U712" s="740"/>
      <c r="V712" s="168">
        <f t="shared" si="220"/>
        <v>0</v>
      </c>
      <c r="W712" s="168">
        <f>IF(ISERROR(Personalplanung!P88/Monatsplanung!$E88*Monatsplanung!$M88),0,Personalplanung!P88/Monatsplanung!$E88*Monatsplanung!$M88)</f>
        <v>0</v>
      </c>
      <c r="X712" s="168">
        <f>IF(ISERROR(Personalplanung!Q88/Monatsplanung!$E88*Monatsplanung!$M88),0,Personalplanung!Q88/Monatsplanung!$E88*Monatsplanung!$M88)</f>
        <v>0</v>
      </c>
      <c r="Y712" s="168">
        <f>IF(ISERROR(Personalplanung!R88/T1336*Stundencontrolling!T712),0,Personalplanung!R88/T1336*Stundencontrolling!T712)</f>
        <v>0</v>
      </c>
      <c r="Z712" s="168">
        <f>IF(ISERROR(Personalplanung!S88/Monatsplanung!$E88*Monatsplanung!$M88),0,Personalplanung!S88/Monatsplanung!$E88*Monatsplanung!$M88)</f>
        <v>0</v>
      </c>
      <c r="AA712" s="80">
        <f t="shared" si="221"/>
        <v>0</v>
      </c>
      <c r="AB712" s="102">
        <f t="shared" si="222"/>
        <v>0.1</v>
      </c>
      <c r="AC712" s="103">
        <f t="shared" si="223"/>
        <v>0</v>
      </c>
      <c r="AD712" s="103">
        <f t="shared" si="224"/>
        <v>0</v>
      </c>
      <c r="AE712" s="81">
        <f t="shared" si="225"/>
        <v>0</v>
      </c>
      <c r="AF712" s="539"/>
      <c r="AG712" s="104">
        <f t="shared" si="226"/>
        <v>1</v>
      </c>
      <c r="AH712" s="7">
        <f t="shared" si="227"/>
        <v>0</v>
      </c>
      <c r="AI712" s="6">
        <f t="shared" si="228"/>
        <v>0</v>
      </c>
      <c r="AJ712" s="73">
        <f t="shared" si="229"/>
        <v>0</v>
      </c>
      <c r="AK712" s="539"/>
      <c r="AL712" s="748"/>
      <c r="AM712" s="748"/>
    </row>
    <row r="713" spans="2:39" x14ac:dyDescent="0.2">
      <c r="B713" s="101" t="str">
        <f t="shared" si="214"/>
        <v/>
      </c>
      <c r="C713" s="168">
        <f>IF(ISERROR(Personalplanung!F89/Monatsplanung!$E89*Monatsplanung!$M89),0,Personalplanung!F89/Monatsplanung!$E89*Monatsplanung!$M89)</f>
        <v>0</v>
      </c>
      <c r="D713" s="168">
        <f t="shared" si="215"/>
        <v>0</v>
      </c>
      <c r="E713" s="168">
        <f>IF(ISERROR(Personalplanung!H89/Monatsplanung!$E89*Monatsplanung!$M89),0,Personalplanung!H89/Monatsplanung!$E89*Monatsplanung!$M89)</f>
        <v>0</v>
      </c>
      <c r="F713" s="168">
        <f t="shared" si="216"/>
        <v>0</v>
      </c>
      <c r="G713" s="168">
        <f t="shared" si="217"/>
        <v>27.700831024930746</v>
      </c>
      <c r="H713" s="168">
        <f t="shared" si="218"/>
        <v>0</v>
      </c>
      <c r="I713" s="168">
        <f t="shared" si="219"/>
        <v>30</v>
      </c>
      <c r="J713" s="739"/>
      <c r="K713" s="168">
        <f>IF(J713&lt;&gt;"",J713,IF(ISERROR(Personalplanung!AB89/Monatsplanung!$E89*Monatsplanung!$M89),0,Personalplanung!AB89/Monatsplanung!$E89*Monatsplanung!$M89))</f>
        <v>0</v>
      </c>
      <c r="L713" s="740"/>
      <c r="M713" s="739"/>
      <c r="N713" s="168">
        <f>IF(M713&lt;&gt;"",M713,IF(ISERROR(Personalplanung!AC89/Monatsplanung!$E89*Monatsplanung!$M89),0,Personalplanung!AC89/Monatsplanung!$E89*Monatsplanung!$M89))</f>
        <v>0</v>
      </c>
      <c r="O713" s="740"/>
      <c r="P713" s="739"/>
      <c r="Q713" s="168">
        <f>IF(P713&lt;&gt;"",P713,IF(ISERROR(Personalplanung!AD89/Monatsplanung!$E89*Monatsplanung!$M89),0,Personalplanung!AD89/Monatsplanung!$E89*Monatsplanung!$M89))</f>
        <v>0</v>
      </c>
      <c r="R713" s="740"/>
      <c r="S713" s="739"/>
      <c r="T713" s="168">
        <f>IF(S713&lt;&gt;"",S713,IF(ISERROR(Personalplanung!AE89/Monatsplanung!$E89*Monatsplanung!$M89),0,Personalplanung!AE89/Monatsplanung!$E89*Monatsplanung!$M89))</f>
        <v>0</v>
      </c>
      <c r="U713" s="740"/>
      <c r="V713" s="168">
        <f t="shared" si="220"/>
        <v>0</v>
      </c>
      <c r="W713" s="168">
        <f>IF(ISERROR(Personalplanung!P89/Monatsplanung!$E89*Monatsplanung!$M89),0,Personalplanung!P89/Monatsplanung!$E89*Monatsplanung!$M89)</f>
        <v>0</v>
      </c>
      <c r="X713" s="168">
        <f>IF(ISERROR(Personalplanung!Q89/Monatsplanung!$E89*Monatsplanung!$M89),0,Personalplanung!Q89/Monatsplanung!$E89*Monatsplanung!$M89)</f>
        <v>0</v>
      </c>
      <c r="Y713" s="168">
        <f>IF(ISERROR(Personalplanung!R89/T1337*Stundencontrolling!T713),0,Personalplanung!R89/T1337*Stundencontrolling!T713)</f>
        <v>0</v>
      </c>
      <c r="Z713" s="168">
        <f>IF(ISERROR(Personalplanung!S89/Monatsplanung!$E89*Monatsplanung!$M89),0,Personalplanung!S89/Monatsplanung!$E89*Monatsplanung!$M89)</f>
        <v>0</v>
      </c>
      <c r="AA713" s="80">
        <f t="shared" si="221"/>
        <v>0</v>
      </c>
      <c r="AB713" s="102">
        <f t="shared" si="222"/>
        <v>0.1</v>
      </c>
      <c r="AC713" s="103">
        <f t="shared" si="223"/>
        <v>0</v>
      </c>
      <c r="AD713" s="103">
        <f t="shared" si="224"/>
        <v>0</v>
      </c>
      <c r="AE713" s="81">
        <f t="shared" si="225"/>
        <v>0</v>
      </c>
      <c r="AF713" s="539"/>
      <c r="AG713" s="104">
        <f t="shared" si="226"/>
        <v>1</v>
      </c>
      <c r="AH713" s="7">
        <f t="shared" si="227"/>
        <v>0</v>
      </c>
      <c r="AI713" s="6">
        <f t="shared" si="228"/>
        <v>0</v>
      </c>
      <c r="AJ713" s="73">
        <f t="shared" si="229"/>
        <v>0</v>
      </c>
      <c r="AK713" s="539"/>
      <c r="AL713" s="748"/>
      <c r="AM713" s="748"/>
    </row>
    <row r="714" spans="2:39" x14ac:dyDescent="0.2">
      <c r="B714" s="101" t="str">
        <f t="shared" si="214"/>
        <v/>
      </c>
      <c r="C714" s="168">
        <f>IF(ISERROR(Personalplanung!F90/Monatsplanung!$E90*Monatsplanung!$M90),0,Personalplanung!F90/Monatsplanung!$E90*Monatsplanung!$M90)</f>
        <v>0</v>
      </c>
      <c r="D714" s="168">
        <f t="shared" si="215"/>
        <v>0</v>
      </c>
      <c r="E714" s="168">
        <f>IF(ISERROR(Personalplanung!H90/Monatsplanung!$E90*Monatsplanung!$M90),0,Personalplanung!H90/Monatsplanung!$E90*Monatsplanung!$M90)</f>
        <v>0</v>
      </c>
      <c r="F714" s="168">
        <f t="shared" si="216"/>
        <v>0</v>
      </c>
      <c r="G714" s="168">
        <f t="shared" si="217"/>
        <v>27.700831024930746</v>
      </c>
      <c r="H714" s="168">
        <f t="shared" si="218"/>
        <v>0</v>
      </c>
      <c r="I714" s="168">
        <f t="shared" si="219"/>
        <v>30</v>
      </c>
      <c r="J714" s="739"/>
      <c r="K714" s="168">
        <f>IF(J714&lt;&gt;"",J714,IF(ISERROR(Personalplanung!AB90/Monatsplanung!$E90*Monatsplanung!$M90),0,Personalplanung!AB90/Monatsplanung!$E90*Monatsplanung!$M90))</f>
        <v>0</v>
      </c>
      <c r="L714" s="740"/>
      <c r="M714" s="739"/>
      <c r="N714" s="168">
        <f>IF(M714&lt;&gt;"",M714,IF(ISERROR(Personalplanung!AC90/Monatsplanung!$E90*Monatsplanung!$M90),0,Personalplanung!AC90/Monatsplanung!$E90*Monatsplanung!$M90))</f>
        <v>0</v>
      </c>
      <c r="O714" s="740"/>
      <c r="P714" s="739"/>
      <c r="Q714" s="168">
        <f>IF(P714&lt;&gt;"",P714,IF(ISERROR(Personalplanung!AD90/Monatsplanung!$E90*Monatsplanung!$M90),0,Personalplanung!AD90/Monatsplanung!$E90*Monatsplanung!$M90))</f>
        <v>0</v>
      </c>
      <c r="R714" s="740"/>
      <c r="S714" s="739"/>
      <c r="T714" s="168">
        <f>IF(S714&lt;&gt;"",S714,IF(ISERROR(Personalplanung!AE90/Monatsplanung!$E90*Monatsplanung!$M90),0,Personalplanung!AE90/Monatsplanung!$E90*Monatsplanung!$M90))</f>
        <v>0</v>
      </c>
      <c r="U714" s="740"/>
      <c r="V714" s="168">
        <f t="shared" si="220"/>
        <v>0</v>
      </c>
      <c r="W714" s="168">
        <f>IF(ISERROR(Personalplanung!P90/Monatsplanung!$E90*Monatsplanung!$M90),0,Personalplanung!P90/Monatsplanung!$E90*Monatsplanung!$M90)</f>
        <v>0</v>
      </c>
      <c r="X714" s="168">
        <f>IF(ISERROR(Personalplanung!Q90/Monatsplanung!$E90*Monatsplanung!$M90),0,Personalplanung!Q90/Monatsplanung!$E90*Monatsplanung!$M90)</f>
        <v>0</v>
      </c>
      <c r="Y714" s="168">
        <f>IF(ISERROR(Personalplanung!R90/T1338*Stundencontrolling!T714),0,Personalplanung!R90/T1338*Stundencontrolling!T714)</f>
        <v>0</v>
      </c>
      <c r="Z714" s="168">
        <f>IF(ISERROR(Personalplanung!S90/Monatsplanung!$E90*Monatsplanung!$M90),0,Personalplanung!S90/Monatsplanung!$E90*Monatsplanung!$M90)</f>
        <v>0</v>
      </c>
      <c r="AA714" s="80">
        <f t="shared" si="221"/>
        <v>0</v>
      </c>
      <c r="AB714" s="102">
        <f t="shared" si="222"/>
        <v>0.1</v>
      </c>
      <c r="AC714" s="103">
        <f t="shared" si="223"/>
        <v>0</v>
      </c>
      <c r="AD714" s="103">
        <f t="shared" si="224"/>
        <v>0</v>
      </c>
      <c r="AE714" s="81">
        <f t="shared" si="225"/>
        <v>0</v>
      </c>
      <c r="AF714" s="539"/>
      <c r="AG714" s="104">
        <f t="shared" si="226"/>
        <v>1</v>
      </c>
      <c r="AH714" s="7">
        <f t="shared" si="227"/>
        <v>0</v>
      </c>
      <c r="AI714" s="6">
        <f t="shared" si="228"/>
        <v>0</v>
      </c>
      <c r="AJ714" s="73">
        <f t="shared" si="229"/>
        <v>0</v>
      </c>
      <c r="AK714" s="539"/>
      <c r="AL714" s="748"/>
      <c r="AM714" s="748"/>
    </row>
    <row r="715" spans="2:39" x14ac:dyDescent="0.2">
      <c r="B715" s="101" t="str">
        <f t="shared" si="214"/>
        <v/>
      </c>
      <c r="C715" s="168">
        <f>IF(ISERROR(Personalplanung!F91/Monatsplanung!$E91*Monatsplanung!$M91),0,Personalplanung!F91/Monatsplanung!$E91*Monatsplanung!$M91)</f>
        <v>0</v>
      </c>
      <c r="D715" s="168">
        <f t="shared" si="215"/>
        <v>0</v>
      </c>
      <c r="E715" s="168">
        <f>IF(ISERROR(Personalplanung!H91/Monatsplanung!$E91*Monatsplanung!$M91),0,Personalplanung!H91/Monatsplanung!$E91*Monatsplanung!$M91)</f>
        <v>0</v>
      </c>
      <c r="F715" s="168">
        <f t="shared" si="216"/>
        <v>0</v>
      </c>
      <c r="G715" s="168">
        <f t="shared" si="217"/>
        <v>27.700831024930746</v>
      </c>
      <c r="H715" s="168">
        <f t="shared" si="218"/>
        <v>0</v>
      </c>
      <c r="I715" s="168">
        <f t="shared" si="219"/>
        <v>30</v>
      </c>
      <c r="J715" s="739"/>
      <c r="K715" s="168">
        <f>IF(J715&lt;&gt;"",J715,IF(ISERROR(Personalplanung!AB91/Monatsplanung!$E91*Monatsplanung!$M91),0,Personalplanung!AB91/Monatsplanung!$E91*Monatsplanung!$M91))</f>
        <v>0</v>
      </c>
      <c r="L715" s="740"/>
      <c r="M715" s="739"/>
      <c r="N715" s="168">
        <f>IF(M715&lt;&gt;"",M715,IF(ISERROR(Personalplanung!AC91/Monatsplanung!$E91*Monatsplanung!$M91),0,Personalplanung!AC91/Monatsplanung!$E91*Monatsplanung!$M91))</f>
        <v>0</v>
      </c>
      <c r="O715" s="740"/>
      <c r="P715" s="739"/>
      <c r="Q715" s="168">
        <f>IF(P715&lt;&gt;"",P715,IF(ISERROR(Personalplanung!AD91/Monatsplanung!$E91*Monatsplanung!$M91),0,Personalplanung!AD91/Monatsplanung!$E91*Monatsplanung!$M91))</f>
        <v>0</v>
      </c>
      <c r="R715" s="740"/>
      <c r="S715" s="739"/>
      <c r="T715" s="168">
        <f>IF(S715&lt;&gt;"",S715,IF(ISERROR(Personalplanung!AE91/Monatsplanung!$E91*Monatsplanung!$M91),0,Personalplanung!AE91/Monatsplanung!$E91*Monatsplanung!$M91))</f>
        <v>0</v>
      </c>
      <c r="U715" s="740"/>
      <c r="V715" s="168">
        <f t="shared" si="220"/>
        <v>0</v>
      </c>
      <c r="W715" s="168">
        <f>IF(ISERROR(Personalplanung!P91/Monatsplanung!$E91*Monatsplanung!$M91),0,Personalplanung!P91/Monatsplanung!$E91*Monatsplanung!$M91)</f>
        <v>0</v>
      </c>
      <c r="X715" s="168">
        <f>IF(ISERROR(Personalplanung!Q91/Monatsplanung!$E91*Monatsplanung!$M91),0,Personalplanung!Q91/Monatsplanung!$E91*Monatsplanung!$M91)</f>
        <v>0</v>
      </c>
      <c r="Y715" s="168">
        <f>IF(ISERROR(Personalplanung!R91/T1339*Stundencontrolling!T715),0,Personalplanung!R91/T1339*Stundencontrolling!T715)</f>
        <v>0</v>
      </c>
      <c r="Z715" s="168">
        <f>IF(ISERROR(Personalplanung!S91/Monatsplanung!$E91*Monatsplanung!$M91),0,Personalplanung!S91/Monatsplanung!$E91*Monatsplanung!$M91)</f>
        <v>0</v>
      </c>
      <c r="AA715" s="80">
        <f t="shared" si="221"/>
        <v>0</v>
      </c>
      <c r="AB715" s="102">
        <f t="shared" si="222"/>
        <v>0.1</v>
      </c>
      <c r="AC715" s="103">
        <f t="shared" si="223"/>
        <v>0</v>
      </c>
      <c r="AD715" s="103">
        <f t="shared" si="224"/>
        <v>0</v>
      </c>
      <c r="AE715" s="81">
        <f t="shared" si="225"/>
        <v>0</v>
      </c>
      <c r="AF715" s="539"/>
      <c r="AG715" s="104">
        <f t="shared" si="226"/>
        <v>1</v>
      </c>
      <c r="AH715" s="7">
        <f t="shared" si="227"/>
        <v>0</v>
      </c>
      <c r="AI715" s="6">
        <f t="shared" si="228"/>
        <v>0</v>
      </c>
      <c r="AJ715" s="73">
        <f t="shared" si="229"/>
        <v>0</v>
      </c>
      <c r="AK715" s="539"/>
      <c r="AL715" s="748"/>
      <c r="AM715" s="748"/>
    </row>
    <row r="716" spans="2:39" x14ac:dyDescent="0.2">
      <c r="B716" s="101" t="str">
        <f t="shared" si="214"/>
        <v/>
      </c>
      <c r="C716" s="168">
        <f>IF(ISERROR(Personalplanung!F92/Monatsplanung!$E92*Monatsplanung!$M92),0,Personalplanung!F92/Monatsplanung!$E92*Monatsplanung!$M92)</f>
        <v>0</v>
      </c>
      <c r="D716" s="168">
        <f t="shared" si="215"/>
        <v>0</v>
      </c>
      <c r="E716" s="168">
        <f>IF(ISERROR(Personalplanung!H92/Monatsplanung!$E92*Monatsplanung!$M92),0,Personalplanung!H92/Monatsplanung!$E92*Monatsplanung!$M92)</f>
        <v>0</v>
      </c>
      <c r="F716" s="168">
        <f t="shared" si="216"/>
        <v>0</v>
      </c>
      <c r="G716" s="168">
        <f t="shared" si="217"/>
        <v>27.700831024930746</v>
      </c>
      <c r="H716" s="168">
        <f t="shared" si="218"/>
        <v>0</v>
      </c>
      <c r="I716" s="168">
        <f t="shared" si="219"/>
        <v>30</v>
      </c>
      <c r="J716" s="739"/>
      <c r="K716" s="168">
        <f>IF(J716&lt;&gt;"",J716,IF(ISERROR(Personalplanung!AB92/Monatsplanung!$E92*Monatsplanung!$M92),0,Personalplanung!AB92/Monatsplanung!$E92*Monatsplanung!$M92))</f>
        <v>0</v>
      </c>
      <c r="L716" s="740"/>
      <c r="M716" s="739"/>
      <c r="N716" s="168">
        <f>IF(M716&lt;&gt;"",M716,IF(ISERROR(Personalplanung!AC92/Monatsplanung!$E92*Monatsplanung!$M92),0,Personalplanung!AC92/Monatsplanung!$E92*Monatsplanung!$M92))</f>
        <v>0</v>
      </c>
      <c r="O716" s="740"/>
      <c r="P716" s="739"/>
      <c r="Q716" s="168">
        <f>IF(P716&lt;&gt;"",P716,IF(ISERROR(Personalplanung!AD92/Monatsplanung!$E92*Monatsplanung!$M92),0,Personalplanung!AD92/Monatsplanung!$E92*Monatsplanung!$M92))</f>
        <v>0</v>
      </c>
      <c r="R716" s="740"/>
      <c r="S716" s="739"/>
      <c r="T716" s="168">
        <f>IF(S716&lt;&gt;"",S716,IF(ISERROR(Personalplanung!AE92/Monatsplanung!$E92*Monatsplanung!$M92),0,Personalplanung!AE92/Monatsplanung!$E92*Monatsplanung!$M92))</f>
        <v>0</v>
      </c>
      <c r="U716" s="740"/>
      <c r="V716" s="168">
        <f t="shared" si="220"/>
        <v>0</v>
      </c>
      <c r="W716" s="168">
        <f>IF(ISERROR(Personalplanung!P92/Monatsplanung!$E92*Monatsplanung!$M92),0,Personalplanung!P92/Monatsplanung!$E92*Monatsplanung!$M92)</f>
        <v>0</v>
      </c>
      <c r="X716" s="168">
        <f>IF(ISERROR(Personalplanung!Q92/Monatsplanung!$E92*Monatsplanung!$M92),0,Personalplanung!Q92/Monatsplanung!$E92*Monatsplanung!$M92)</f>
        <v>0</v>
      </c>
      <c r="Y716" s="168">
        <f>IF(ISERROR(Personalplanung!R92/T1340*Stundencontrolling!T716),0,Personalplanung!R92/T1340*Stundencontrolling!T716)</f>
        <v>0</v>
      </c>
      <c r="Z716" s="168">
        <f>IF(ISERROR(Personalplanung!S92/Monatsplanung!$E92*Monatsplanung!$M92),0,Personalplanung!S92/Monatsplanung!$E92*Monatsplanung!$M92)</f>
        <v>0</v>
      </c>
      <c r="AA716" s="80">
        <f t="shared" si="221"/>
        <v>0</v>
      </c>
      <c r="AB716" s="102">
        <f t="shared" si="222"/>
        <v>0.1</v>
      </c>
      <c r="AC716" s="103">
        <f t="shared" si="223"/>
        <v>0</v>
      </c>
      <c r="AD716" s="103">
        <f t="shared" si="224"/>
        <v>0</v>
      </c>
      <c r="AE716" s="81">
        <f t="shared" si="225"/>
        <v>0</v>
      </c>
      <c r="AF716" s="539"/>
      <c r="AG716" s="104">
        <f t="shared" si="226"/>
        <v>1</v>
      </c>
      <c r="AH716" s="7">
        <f t="shared" si="227"/>
        <v>0</v>
      </c>
      <c r="AI716" s="6">
        <f t="shared" si="228"/>
        <v>0</v>
      </c>
      <c r="AJ716" s="73">
        <f t="shared" si="229"/>
        <v>0</v>
      </c>
      <c r="AK716" s="539"/>
      <c r="AL716" s="748"/>
      <c r="AM716" s="748"/>
    </row>
    <row r="717" spans="2:39" x14ac:dyDescent="0.2">
      <c r="B717" s="101" t="str">
        <f t="shared" si="214"/>
        <v/>
      </c>
      <c r="C717" s="168">
        <f>IF(ISERROR(Personalplanung!F93/Monatsplanung!$E93*Monatsplanung!$M93),0,Personalplanung!F93/Monatsplanung!$E93*Monatsplanung!$M93)</f>
        <v>0</v>
      </c>
      <c r="D717" s="168">
        <f t="shared" si="215"/>
        <v>0</v>
      </c>
      <c r="E717" s="168">
        <f>IF(ISERROR(Personalplanung!H93/Monatsplanung!$E93*Monatsplanung!$M93),0,Personalplanung!H93/Monatsplanung!$E93*Monatsplanung!$M93)</f>
        <v>0</v>
      </c>
      <c r="F717" s="168">
        <f t="shared" si="216"/>
        <v>0</v>
      </c>
      <c r="G717" s="168">
        <f t="shared" si="217"/>
        <v>27.700831024930746</v>
      </c>
      <c r="H717" s="168">
        <f t="shared" si="218"/>
        <v>0</v>
      </c>
      <c r="I717" s="168">
        <f t="shared" si="219"/>
        <v>30</v>
      </c>
      <c r="J717" s="739"/>
      <c r="K717" s="168">
        <f>IF(J717&lt;&gt;"",J717,IF(ISERROR(Personalplanung!AB93/Monatsplanung!$E93*Monatsplanung!$M93),0,Personalplanung!AB93/Monatsplanung!$E93*Monatsplanung!$M93))</f>
        <v>0</v>
      </c>
      <c r="L717" s="740"/>
      <c r="M717" s="739"/>
      <c r="N717" s="168">
        <f>IF(M717&lt;&gt;"",M717,IF(ISERROR(Personalplanung!AC93/Monatsplanung!$E93*Monatsplanung!$M93),0,Personalplanung!AC93/Monatsplanung!$E93*Monatsplanung!$M93))</f>
        <v>0</v>
      </c>
      <c r="O717" s="740"/>
      <c r="P717" s="739"/>
      <c r="Q717" s="168">
        <f>IF(P717&lt;&gt;"",P717,IF(ISERROR(Personalplanung!AD93/Monatsplanung!$E93*Monatsplanung!$M93),0,Personalplanung!AD93/Monatsplanung!$E93*Monatsplanung!$M93))</f>
        <v>0</v>
      </c>
      <c r="R717" s="740"/>
      <c r="S717" s="739"/>
      <c r="T717" s="168">
        <f>IF(S717&lt;&gt;"",S717,IF(ISERROR(Personalplanung!AE93/Monatsplanung!$E93*Monatsplanung!$M93),0,Personalplanung!AE93/Monatsplanung!$E93*Monatsplanung!$M93))</f>
        <v>0</v>
      </c>
      <c r="U717" s="740"/>
      <c r="V717" s="168">
        <f t="shared" si="220"/>
        <v>0</v>
      </c>
      <c r="W717" s="168">
        <f>IF(ISERROR(Personalplanung!P93/Monatsplanung!$E93*Monatsplanung!$M93),0,Personalplanung!P93/Monatsplanung!$E93*Monatsplanung!$M93)</f>
        <v>0</v>
      </c>
      <c r="X717" s="168">
        <f>IF(ISERROR(Personalplanung!Q93/Monatsplanung!$E93*Monatsplanung!$M93),0,Personalplanung!Q93/Monatsplanung!$E93*Monatsplanung!$M93)</f>
        <v>0</v>
      </c>
      <c r="Y717" s="168">
        <f>IF(ISERROR(Personalplanung!R93/T1341*Stundencontrolling!T717),0,Personalplanung!R93/T1341*Stundencontrolling!T717)</f>
        <v>0</v>
      </c>
      <c r="Z717" s="168">
        <f>IF(ISERROR(Personalplanung!S93/Monatsplanung!$E93*Monatsplanung!$M93),0,Personalplanung!S93/Monatsplanung!$E93*Monatsplanung!$M93)</f>
        <v>0</v>
      </c>
      <c r="AA717" s="80">
        <f t="shared" si="221"/>
        <v>0</v>
      </c>
      <c r="AB717" s="102">
        <f t="shared" si="222"/>
        <v>0.1</v>
      </c>
      <c r="AC717" s="103">
        <f t="shared" si="223"/>
        <v>0</v>
      </c>
      <c r="AD717" s="103">
        <f t="shared" si="224"/>
        <v>0</v>
      </c>
      <c r="AE717" s="81">
        <f t="shared" si="225"/>
        <v>0</v>
      </c>
      <c r="AF717" s="539"/>
      <c r="AG717" s="104">
        <f t="shared" si="226"/>
        <v>1</v>
      </c>
      <c r="AH717" s="7">
        <f t="shared" si="227"/>
        <v>0</v>
      </c>
      <c r="AI717" s="6">
        <f t="shared" si="228"/>
        <v>0</v>
      </c>
      <c r="AJ717" s="73">
        <f t="shared" si="229"/>
        <v>0</v>
      </c>
      <c r="AK717" s="539"/>
      <c r="AL717" s="748"/>
      <c r="AM717" s="748"/>
    </row>
    <row r="718" spans="2:39" x14ac:dyDescent="0.2">
      <c r="B718" s="101" t="str">
        <f t="shared" si="214"/>
        <v/>
      </c>
      <c r="C718" s="168">
        <f>IF(ISERROR(Personalplanung!F94/Monatsplanung!$E94*Monatsplanung!$M94),0,Personalplanung!F94/Monatsplanung!$E94*Monatsplanung!$M94)</f>
        <v>0</v>
      </c>
      <c r="D718" s="168">
        <f t="shared" si="215"/>
        <v>0</v>
      </c>
      <c r="E718" s="168">
        <f>IF(ISERROR(Personalplanung!H94/Monatsplanung!$E94*Monatsplanung!$M94),0,Personalplanung!H94/Monatsplanung!$E94*Monatsplanung!$M94)</f>
        <v>0</v>
      </c>
      <c r="F718" s="168">
        <f t="shared" si="216"/>
        <v>0</v>
      </c>
      <c r="G718" s="168">
        <f t="shared" si="217"/>
        <v>27.700831024930746</v>
      </c>
      <c r="H718" s="168">
        <f t="shared" si="218"/>
        <v>0</v>
      </c>
      <c r="I718" s="168">
        <f t="shared" si="219"/>
        <v>30</v>
      </c>
      <c r="J718" s="739"/>
      <c r="K718" s="168">
        <f>IF(J718&lt;&gt;"",J718,IF(ISERROR(Personalplanung!AB94/Monatsplanung!$E94*Monatsplanung!$M94),0,Personalplanung!AB94/Monatsplanung!$E94*Monatsplanung!$M94))</f>
        <v>0</v>
      </c>
      <c r="L718" s="740"/>
      <c r="M718" s="739"/>
      <c r="N718" s="168">
        <f>IF(M718&lt;&gt;"",M718,IF(ISERROR(Personalplanung!AC94/Monatsplanung!$E94*Monatsplanung!$M94),0,Personalplanung!AC94/Monatsplanung!$E94*Monatsplanung!$M94))</f>
        <v>0</v>
      </c>
      <c r="O718" s="740"/>
      <c r="P718" s="739"/>
      <c r="Q718" s="168">
        <f>IF(P718&lt;&gt;"",P718,IF(ISERROR(Personalplanung!AD94/Monatsplanung!$E94*Monatsplanung!$M94),0,Personalplanung!AD94/Monatsplanung!$E94*Monatsplanung!$M94))</f>
        <v>0</v>
      </c>
      <c r="R718" s="740"/>
      <c r="S718" s="739"/>
      <c r="T718" s="168">
        <f>IF(S718&lt;&gt;"",S718,IF(ISERROR(Personalplanung!AE94/Monatsplanung!$E94*Monatsplanung!$M94),0,Personalplanung!AE94/Monatsplanung!$E94*Monatsplanung!$M94))</f>
        <v>0</v>
      </c>
      <c r="U718" s="740"/>
      <c r="V718" s="168">
        <f t="shared" si="220"/>
        <v>0</v>
      </c>
      <c r="W718" s="168">
        <f>IF(ISERROR(Personalplanung!P94/Monatsplanung!$E94*Monatsplanung!$M94),0,Personalplanung!P94/Monatsplanung!$E94*Monatsplanung!$M94)</f>
        <v>0</v>
      </c>
      <c r="X718" s="168">
        <f>IF(ISERROR(Personalplanung!Q94/Monatsplanung!$E94*Monatsplanung!$M94),0,Personalplanung!Q94/Monatsplanung!$E94*Monatsplanung!$M94)</f>
        <v>0</v>
      </c>
      <c r="Y718" s="168">
        <f>IF(ISERROR(Personalplanung!R94/T1342*Stundencontrolling!T718),0,Personalplanung!R94/T1342*Stundencontrolling!T718)</f>
        <v>0</v>
      </c>
      <c r="Z718" s="168">
        <f>IF(ISERROR(Personalplanung!S94/Monatsplanung!$E94*Monatsplanung!$M94),0,Personalplanung!S94/Monatsplanung!$E94*Monatsplanung!$M94)</f>
        <v>0</v>
      </c>
      <c r="AA718" s="80">
        <f t="shared" si="221"/>
        <v>0</v>
      </c>
      <c r="AB718" s="102">
        <f t="shared" si="222"/>
        <v>0.1</v>
      </c>
      <c r="AC718" s="103">
        <f t="shared" si="223"/>
        <v>0</v>
      </c>
      <c r="AD718" s="103">
        <f t="shared" si="224"/>
        <v>0</v>
      </c>
      <c r="AE718" s="81">
        <f t="shared" si="225"/>
        <v>0</v>
      </c>
      <c r="AF718" s="539"/>
      <c r="AG718" s="104">
        <f t="shared" si="226"/>
        <v>1</v>
      </c>
      <c r="AH718" s="7">
        <f t="shared" si="227"/>
        <v>0</v>
      </c>
      <c r="AI718" s="6">
        <f t="shared" si="228"/>
        <v>0</v>
      </c>
      <c r="AJ718" s="73">
        <f t="shared" si="229"/>
        <v>0</v>
      </c>
      <c r="AK718" s="539"/>
      <c r="AL718" s="748"/>
      <c r="AM718" s="748"/>
    </row>
    <row r="719" spans="2:39" x14ac:dyDescent="0.2">
      <c r="B719" s="101" t="str">
        <f t="shared" si="214"/>
        <v/>
      </c>
      <c r="C719" s="168">
        <f>IF(ISERROR(Personalplanung!F95/Monatsplanung!$E95*Monatsplanung!$M95),0,Personalplanung!F95/Monatsplanung!$E95*Monatsplanung!$M95)</f>
        <v>0</v>
      </c>
      <c r="D719" s="168">
        <f t="shared" si="215"/>
        <v>0</v>
      </c>
      <c r="E719" s="168">
        <f>IF(ISERROR(Personalplanung!H95/Monatsplanung!$E95*Monatsplanung!$M95),0,Personalplanung!H95/Monatsplanung!$E95*Monatsplanung!$M95)</f>
        <v>0</v>
      </c>
      <c r="F719" s="168">
        <f t="shared" si="216"/>
        <v>0</v>
      </c>
      <c r="G719" s="168">
        <f t="shared" si="217"/>
        <v>27.700831024930746</v>
      </c>
      <c r="H719" s="168">
        <f t="shared" si="218"/>
        <v>0</v>
      </c>
      <c r="I719" s="168">
        <f t="shared" si="219"/>
        <v>30</v>
      </c>
      <c r="J719" s="739"/>
      <c r="K719" s="168">
        <f>IF(J719&lt;&gt;"",J719,IF(ISERROR(Personalplanung!AB95/Monatsplanung!$E95*Monatsplanung!$M95),0,Personalplanung!AB95/Monatsplanung!$E95*Monatsplanung!$M95))</f>
        <v>0</v>
      </c>
      <c r="L719" s="740"/>
      <c r="M719" s="739"/>
      <c r="N719" s="168">
        <f>IF(M719&lt;&gt;"",M719,IF(ISERROR(Personalplanung!AC95/Monatsplanung!$E95*Monatsplanung!$M95),0,Personalplanung!AC95/Monatsplanung!$E95*Monatsplanung!$M95))</f>
        <v>0</v>
      </c>
      <c r="O719" s="740"/>
      <c r="P719" s="739"/>
      <c r="Q719" s="168">
        <f>IF(P719&lt;&gt;"",P719,IF(ISERROR(Personalplanung!AD95/Monatsplanung!$E95*Monatsplanung!$M95),0,Personalplanung!AD95/Monatsplanung!$E95*Monatsplanung!$M95))</f>
        <v>0</v>
      </c>
      <c r="R719" s="740"/>
      <c r="S719" s="739"/>
      <c r="T719" s="168">
        <f>IF(S719&lt;&gt;"",S719,IF(ISERROR(Personalplanung!AE95/Monatsplanung!$E95*Monatsplanung!$M95),0,Personalplanung!AE95/Monatsplanung!$E95*Monatsplanung!$M95))</f>
        <v>0</v>
      </c>
      <c r="U719" s="740"/>
      <c r="V719" s="168">
        <f t="shared" si="220"/>
        <v>0</v>
      </c>
      <c r="W719" s="168">
        <f>IF(ISERROR(Personalplanung!P95/Monatsplanung!$E95*Monatsplanung!$M95),0,Personalplanung!P95/Monatsplanung!$E95*Monatsplanung!$M95)</f>
        <v>0</v>
      </c>
      <c r="X719" s="168">
        <f>IF(ISERROR(Personalplanung!Q95/Monatsplanung!$E95*Monatsplanung!$M95),0,Personalplanung!Q95/Monatsplanung!$E95*Monatsplanung!$M95)</f>
        <v>0</v>
      </c>
      <c r="Y719" s="168">
        <f>IF(ISERROR(Personalplanung!R95/T1343*Stundencontrolling!T719),0,Personalplanung!R95/T1343*Stundencontrolling!T719)</f>
        <v>0</v>
      </c>
      <c r="Z719" s="168">
        <f>IF(ISERROR(Personalplanung!S95/Monatsplanung!$E95*Monatsplanung!$M95),0,Personalplanung!S95/Monatsplanung!$E95*Monatsplanung!$M95)</f>
        <v>0</v>
      </c>
      <c r="AA719" s="80">
        <f t="shared" si="221"/>
        <v>0</v>
      </c>
      <c r="AB719" s="102">
        <f t="shared" si="222"/>
        <v>0.1</v>
      </c>
      <c r="AC719" s="103">
        <f t="shared" si="223"/>
        <v>0</v>
      </c>
      <c r="AD719" s="103">
        <f t="shared" si="224"/>
        <v>0</v>
      </c>
      <c r="AE719" s="81">
        <f t="shared" si="225"/>
        <v>0</v>
      </c>
      <c r="AF719" s="539"/>
      <c r="AG719" s="104">
        <f t="shared" si="226"/>
        <v>1</v>
      </c>
      <c r="AH719" s="7">
        <f t="shared" si="227"/>
        <v>0</v>
      </c>
      <c r="AI719" s="6">
        <f t="shared" si="228"/>
        <v>0</v>
      </c>
      <c r="AJ719" s="73">
        <f t="shared" si="229"/>
        <v>0</v>
      </c>
      <c r="AK719" s="539"/>
      <c r="AL719" s="748"/>
      <c r="AM719" s="748"/>
    </row>
    <row r="720" spans="2:39" x14ac:dyDescent="0.2">
      <c r="B720" s="101" t="str">
        <f t="shared" si="214"/>
        <v/>
      </c>
      <c r="C720" s="168">
        <f>IF(ISERROR(Personalplanung!F96/Monatsplanung!$E96*Monatsplanung!$M96),0,Personalplanung!F96/Monatsplanung!$E96*Monatsplanung!$M96)</f>
        <v>0</v>
      </c>
      <c r="D720" s="168">
        <f t="shared" si="215"/>
        <v>0</v>
      </c>
      <c r="E720" s="168">
        <f>IF(ISERROR(Personalplanung!H96/Monatsplanung!$E96*Monatsplanung!$M96),0,Personalplanung!H96/Monatsplanung!$E96*Monatsplanung!$M96)</f>
        <v>0</v>
      </c>
      <c r="F720" s="168">
        <f t="shared" si="216"/>
        <v>0</v>
      </c>
      <c r="G720" s="168">
        <f t="shared" si="217"/>
        <v>27.700831024930746</v>
      </c>
      <c r="H720" s="168">
        <f t="shared" si="218"/>
        <v>0</v>
      </c>
      <c r="I720" s="168">
        <f t="shared" si="219"/>
        <v>30</v>
      </c>
      <c r="J720" s="739"/>
      <c r="K720" s="168">
        <f>IF(J720&lt;&gt;"",J720,IF(ISERROR(Personalplanung!AB96/Monatsplanung!$E96*Monatsplanung!$M96),0,Personalplanung!AB96/Monatsplanung!$E96*Monatsplanung!$M96))</f>
        <v>0</v>
      </c>
      <c r="L720" s="740"/>
      <c r="M720" s="739"/>
      <c r="N720" s="168">
        <f>IF(M720&lt;&gt;"",M720,IF(ISERROR(Personalplanung!AC96/Monatsplanung!$E96*Monatsplanung!$M96),0,Personalplanung!AC96/Monatsplanung!$E96*Monatsplanung!$M96))</f>
        <v>0</v>
      </c>
      <c r="O720" s="740"/>
      <c r="P720" s="739"/>
      <c r="Q720" s="168">
        <f>IF(P720&lt;&gt;"",P720,IF(ISERROR(Personalplanung!AD96/Monatsplanung!$E96*Monatsplanung!$M96),0,Personalplanung!AD96/Monatsplanung!$E96*Monatsplanung!$M96))</f>
        <v>0</v>
      </c>
      <c r="R720" s="740"/>
      <c r="S720" s="739"/>
      <c r="T720" s="168">
        <f>IF(S720&lt;&gt;"",S720,IF(ISERROR(Personalplanung!AE96/Monatsplanung!$E96*Monatsplanung!$M96),0,Personalplanung!AE96/Monatsplanung!$E96*Monatsplanung!$M96))</f>
        <v>0</v>
      </c>
      <c r="U720" s="740"/>
      <c r="V720" s="168">
        <f t="shared" si="220"/>
        <v>0</v>
      </c>
      <c r="W720" s="168">
        <f>IF(ISERROR(Personalplanung!P96/Monatsplanung!$E96*Monatsplanung!$M96),0,Personalplanung!P96/Monatsplanung!$E96*Monatsplanung!$M96)</f>
        <v>0</v>
      </c>
      <c r="X720" s="168">
        <f>IF(ISERROR(Personalplanung!Q96/Monatsplanung!$E96*Monatsplanung!$M96),0,Personalplanung!Q96/Monatsplanung!$E96*Monatsplanung!$M96)</f>
        <v>0</v>
      </c>
      <c r="Y720" s="168">
        <f>IF(ISERROR(Personalplanung!R96/T1344*Stundencontrolling!T720),0,Personalplanung!R96/T1344*Stundencontrolling!T720)</f>
        <v>0</v>
      </c>
      <c r="Z720" s="168">
        <f>IF(ISERROR(Personalplanung!S96/Monatsplanung!$E96*Monatsplanung!$M96),0,Personalplanung!S96/Monatsplanung!$E96*Monatsplanung!$M96)</f>
        <v>0</v>
      </c>
      <c r="AA720" s="80">
        <f t="shared" si="221"/>
        <v>0</v>
      </c>
      <c r="AB720" s="102">
        <f t="shared" si="222"/>
        <v>0.1</v>
      </c>
      <c r="AC720" s="103">
        <f t="shared" si="223"/>
        <v>0</v>
      </c>
      <c r="AD720" s="103">
        <f t="shared" si="224"/>
        <v>0</v>
      </c>
      <c r="AE720" s="81">
        <f t="shared" si="225"/>
        <v>0</v>
      </c>
      <c r="AF720" s="539"/>
      <c r="AG720" s="104">
        <f t="shared" si="226"/>
        <v>1</v>
      </c>
      <c r="AH720" s="7">
        <f t="shared" si="227"/>
        <v>0</v>
      </c>
      <c r="AI720" s="6">
        <f t="shared" si="228"/>
        <v>0</v>
      </c>
      <c r="AJ720" s="73">
        <f t="shared" si="229"/>
        <v>0</v>
      </c>
      <c r="AK720" s="539"/>
      <c r="AL720" s="748"/>
      <c r="AM720" s="748"/>
    </row>
    <row r="721" spans="2:39" x14ac:dyDescent="0.2">
      <c r="B721" s="101" t="str">
        <f t="shared" si="214"/>
        <v/>
      </c>
      <c r="C721" s="168">
        <f>IF(ISERROR(Personalplanung!F97/Monatsplanung!$E97*Monatsplanung!$M97),0,Personalplanung!F97/Monatsplanung!$E97*Monatsplanung!$M97)</f>
        <v>0</v>
      </c>
      <c r="D721" s="168">
        <f t="shared" si="215"/>
        <v>0</v>
      </c>
      <c r="E721" s="168">
        <f>IF(ISERROR(Personalplanung!H97/Monatsplanung!$E97*Monatsplanung!$M97),0,Personalplanung!H97/Monatsplanung!$E97*Monatsplanung!$M97)</f>
        <v>0</v>
      </c>
      <c r="F721" s="168">
        <f t="shared" si="216"/>
        <v>0</v>
      </c>
      <c r="G721" s="168">
        <f t="shared" si="217"/>
        <v>27.700831024930746</v>
      </c>
      <c r="H721" s="168">
        <f t="shared" si="218"/>
        <v>0</v>
      </c>
      <c r="I721" s="168">
        <f t="shared" si="219"/>
        <v>30</v>
      </c>
      <c r="J721" s="739"/>
      <c r="K721" s="168">
        <f>IF(J721&lt;&gt;"",J721,IF(ISERROR(Personalplanung!AB97/Monatsplanung!$E97*Monatsplanung!$M97),0,Personalplanung!AB97/Monatsplanung!$E97*Monatsplanung!$M97))</f>
        <v>0</v>
      </c>
      <c r="L721" s="740"/>
      <c r="M721" s="739"/>
      <c r="N721" s="168">
        <f>IF(M721&lt;&gt;"",M721,IF(ISERROR(Personalplanung!AC97/Monatsplanung!$E97*Monatsplanung!$M97),0,Personalplanung!AC97/Monatsplanung!$E97*Monatsplanung!$M97))</f>
        <v>0</v>
      </c>
      <c r="O721" s="740"/>
      <c r="P721" s="739"/>
      <c r="Q721" s="168">
        <f>IF(P721&lt;&gt;"",P721,IF(ISERROR(Personalplanung!AD97/Monatsplanung!$E97*Monatsplanung!$M97),0,Personalplanung!AD97/Monatsplanung!$E97*Monatsplanung!$M97))</f>
        <v>0</v>
      </c>
      <c r="R721" s="740"/>
      <c r="S721" s="739"/>
      <c r="T721" s="168">
        <f>IF(S721&lt;&gt;"",S721,IF(ISERROR(Personalplanung!AE97/Monatsplanung!$E97*Monatsplanung!$M97),0,Personalplanung!AE97/Monatsplanung!$E97*Monatsplanung!$M97))</f>
        <v>0</v>
      </c>
      <c r="U721" s="740"/>
      <c r="V721" s="168">
        <f t="shared" si="220"/>
        <v>0</v>
      </c>
      <c r="W721" s="168">
        <f>IF(ISERROR(Personalplanung!P97/Monatsplanung!$E97*Monatsplanung!$M97),0,Personalplanung!P97/Monatsplanung!$E97*Monatsplanung!$M97)</f>
        <v>0</v>
      </c>
      <c r="X721" s="168">
        <f>IF(ISERROR(Personalplanung!Q97/Monatsplanung!$E97*Monatsplanung!$M97),0,Personalplanung!Q97/Monatsplanung!$E97*Monatsplanung!$M97)</f>
        <v>0</v>
      </c>
      <c r="Y721" s="168">
        <f>IF(ISERROR(Personalplanung!R97/T1345*Stundencontrolling!T721),0,Personalplanung!R97/T1345*Stundencontrolling!T721)</f>
        <v>0</v>
      </c>
      <c r="Z721" s="168">
        <f>IF(ISERROR(Personalplanung!S97/Monatsplanung!$E97*Monatsplanung!$M97),0,Personalplanung!S97/Monatsplanung!$E97*Monatsplanung!$M97)</f>
        <v>0</v>
      </c>
      <c r="AA721" s="80">
        <f t="shared" si="221"/>
        <v>0</v>
      </c>
      <c r="AB721" s="102">
        <f t="shared" si="222"/>
        <v>0.1</v>
      </c>
      <c r="AC721" s="103">
        <f t="shared" si="223"/>
        <v>0</v>
      </c>
      <c r="AD721" s="103">
        <f t="shared" si="224"/>
        <v>0</v>
      </c>
      <c r="AE721" s="81">
        <f t="shared" si="225"/>
        <v>0</v>
      </c>
      <c r="AF721" s="539"/>
      <c r="AG721" s="104">
        <f t="shared" si="226"/>
        <v>1</v>
      </c>
      <c r="AH721" s="7">
        <f t="shared" si="227"/>
        <v>0</v>
      </c>
      <c r="AI721" s="6">
        <f t="shared" si="228"/>
        <v>0</v>
      </c>
      <c r="AJ721" s="73">
        <f t="shared" si="229"/>
        <v>0</v>
      </c>
      <c r="AK721" s="539"/>
      <c r="AL721" s="748"/>
      <c r="AM721" s="748"/>
    </row>
    <row r="722" spans="2:39" x14ac:dyDescent="0.2">
      <c r="B722" s="101" t="str">
        <f t="shared" si="214"/>
        <v/>
      </c>
      <c r="C722" s="168">
        <f>IF(ISERROR(Personalplanung!F98/Monatsplanung!$E98*Monatsplanung!$M98),0,Personalplanung!F98/Monatsplanung!$E98*Monatsplanung!$M98)</f>
        <v>0</v>
      </c>
      <c r="D722" s="168">
        <f t="shared" si="215"/>
        <v>0</v>
      </c>
      <c r="E722" s="168">
        <f>IF(ISERROR(Personalplanung!H98/Monatsplanung!$E98*Monatsplanung!$M98),0,Personalplanung!H98/Monatsplanung!$E98*Monatsplanung!$M98)</f>
        <v>0</v>
      </c>
      <c r="F722" s="168">
        <f t="shared" si="216"/>
        <v>0</v>
      </c>
      <c r="G722" s="168">
        <f t="shared" si="217"/>
        <v>27.700831024930746</v>
      </c>
      <c r="H722" s="168">
        <f t="shared" si="218"/>
        <v>0</v>
      </c>
      <c r="I722" s="168">
        <f t="shared" si="219"/>
        <v>30</v>
      </c>
      <c r="J722" s="739"/>
      <c r="K722" s="168">
        <f>IF(J722&lt;&gt;"",J722,IF(ISERROR(Personalplanung!AB98/Monatsplanung!$E98*Monatsplanung!$M98),0,Personalplanung!AB98/Monatsplanung!$E98*Monatsplanung!$M98))</f>
        <v>0</v>
      </c>
      <c r="L722" s="740"/>
      <c r="M722" s="739"/>
      <c r="N722" s="168">
        <f>IF(M722&lt;&gt;"",M722,IF(ISERROR(Personalplanung!AC98/Monatsplanung!$E98*Monatsplanung!$M98),0,Personalplanung!AC98/Monatsplanung!$E98*Monatsplanung!$M98))</f>
        <v>0</v>
      </c>
      <c r="O722" s="740"/>
      <c r="P722" s="739"/>
      <c r="Q722" s="168">
        <f>IF(P722&lt;&gt;"",P722,IF(ISERROR(Personalplanung!AD98/Monatsplanung!$E98*Monatsplanung!$M98),0,Personalplanung!AD98/Monatsplanung!$E98*Monatsplanung!$M98))</f>
        <v>0</v>
      </c>
      <c r="R722" s="740"/>
      <c r="S722" s="739"/>
      <c r="T722" s="168">
        <f>IF(S722&lt;&gt;"",S722,IF(ISERROR(Personalplanung!AE98/Monatsplanung!$E98*Monatsplanung!$M98),0,Personalplanung!AE98/Monatsplanung!$E98*Monatsplanung!$M98))</f>
        <v>0</v>
      </c>
      <c r="U722" s="740"/>
      <c r="V722" s="168">
        <f t="shared" si="220"/>
        <v>0</v>
      </c>
      <c r="W722" s="168">
        <f>IF(ISERROR(Personalplanung!P98/Monatsplanung!$E98*Monatsplanung!$M98),0,Personalplanung!P98/Monatsplanung!$E98*Monatsplanung!$M98)</f>
        <v>0</v>
      </c>
      <c r="X722" s="168">
        <f>IF(ISERROR(Personalplanung!Q98/Monatsplanung!$E98*Monatsplanung!$M98),0,Personalplanung!Q98/Monatsplanung!$E98*Monatsplanung!$M98)</f>
        <v>0</v>
      </c>
      <c r="Y722" s="168">
        <f>IF(ISERROR(Personalplanung!R98/T1346*Stundencontrolling!T722),0,Personalplanung!R98/T1346*Stundencontrolling!T722)</f>
        <v>0</v>
      </c>
      <c r="Z722" s="168">
        <f>IF(ISERROR(Personalplanung!S98/Monatsplanung!$E98*Monatsplanung!$M98),0,Personalplanung!S98/Monatsplanung!$E98*Monatsplanung!$M98)</f>
        <v>0</v>
      </c>
      <c r="AA722" s="80">
        <f t="shared" si="221"/>
        <v>0</v>
      </c>
      <c r="AB722" s="102">
        <f t="shared" si="222"/>
        <v>0.1</v>
      </c>
      <c r="AC722" s="103">
        <f t="shared" si="223"/>
        <v>0</v>
      </c>
      <c r="AD722" s="103">
        <f t="shared" si="224"/>
        <v>0</v>
      </c>
      <c r="AE722" s="81">
        <f t="shared" si="225"/>
        <v>0</v>
      </c>
      <c r="AF722" s="539"/>
      <c r="AG722" s="104">
        <f t="shared" si="226"/>
        <v>1</v>
      </c>
      <c r="AH722" s="7">
        <f t="shared" si="227"/>
        <v>0</v>
      </c>
      <c r="AI722" s="6">
        <f t="shared" si="228"/>
        <v>0</v>
      </c>
      <c r="AJ722" s="73">
        <f t="shared" si="229"/>
        <v>0</v>
      </c>
      <c r="AK722" s="539"/>
      <c r="AL722" s="748"/>
      <c r="AM722" s="748"/>
    </row>
    <row r="723" spans="2:39" x14ac:dyDescent="0.2">
      <c r="B723" s="101" t="str">
        <f t="shared" si="214"/>
        <v/>
      </c>
      <c r="C723" s="168">
        <f>IF(ISERROR(Personalplanung!F99/Monatsplanung!$E99*Monatsplanung!$M99),0,Personalplanung!F99/Monatsplanung!$E99*Monatsplanung!$M99)</f>
        <v>0</v>
      </c>
      <c r="D723" s="168">
        <f t="shared" si="215"/>
        <v>0</v>
      </c>
      <c r="E723" s="168">
        <f>IF(ISERROR(Personalplanung!H99/Monatsplanung!$E99*Monatsplanung!$M99),0,Personalplanung!H99/Monatsplanung!$E99*Monatsplanung!$M99)</f>
        <v>0</v>
      </c>
      <c r="F723" s="168">
        <f t="shared" si="216"/>
        <v>0</v>
      </c>
      <c r="G723" s="168">
        <f t="shared" si="217"/>
        <v>27.700831024930746</v>
      </c>
      <c r="H723" s="168">
        <f t="shared" si="218"/>
        <v>0</v>
      </c>
      <c r="I723" s="168">
        <f t="shared" si="219"/>
        <v>30</v>
      </c>
      <c r="J723" s="739"/>
      <c r="K723" s="168">
        <f>IF(J723&lt;&gt;"",J723,IF(ISERROR(Personalplanung!AB99/Monatsplanung!$E99*Monatsplanung!$M99),0,Personalplanung!AB99/Monatsplanung!$E99*Monatsplanung!$M99))</f>
        <v>0</v>
      </c>
      <c r="L723" s="740"/>
      <c r="M723" s="739"/>
      <c r="N723" s="168">
        <f>IF(M723&lt;&gt;"",M723,IF(ISERROR(Personalplanung!AC99/Monatsplanung!$E99*Monatsplanung!$M99),0,Personalplanung!AC99/Monatsplanung!$E99*Monatsplanung!$M99))</f>
        <v>0</v>
      </c>
      <c r="O723" s="740"/>
      <c r="P723" s="739"/>
      <c r="Q723" s="168">
        <f>IF(P723&lt;&gt;"",P723,IF(ISERROR(Personalplanung!AD99/Monatsplanung!$E99*Monatsplanung!$M99),0,Personalplanung!AD99/Monatsplanung!$E99*Monatsplanung!$M99))</f>
        <v>0</v>
      </c>
      <c r="R723" s="740"/>
      <c r="S723" s="739"/>
      <c r="T723" s="168">
        <f>IF(S723&lt;&gt;"",S723,IF(ISERROR(Personalplanung!AE99/Monatsplanung!$E99*Monatsplanung!$M99),0,Personalplanung!AE99/Monatsplanung!$E99*Monatsplanung!$M99))</f>
        <v>0</v>
      </c>
      <c r="U723" s="740"/>
      <c r="V723" s="168">
        <f t="shared" si="220"/>
        <v>0</v>
      </c>
      <c r="W723" s="168">
        <f>IF(ISERROR(Personalplanung!P99/Monatsplanung!$E99*Monatsplanung!$M99),0,Personalplanung!P99/Monatsplanung!$E99*Monatsplanung!$M99)</f>
        <v>0</v>
      </c>
      <c r="X723" s="168">
        <f>IF(ISERROR(Personalplanung!Q99/Monatsplanung!$E99*Monatsplanung!$M99),0,Personalplanung!Q99/Monatsplanung!$E99*Monatsplanung!$M99)</f>
        <v>0</v>
      </c>
      <c r="Y723" s="168">
        <f>IF(ISERROR(Personalplanung!R99/T1347*Stundencontrolling!T723),0,Personalplanung!R99/T1347*Stundencontrolling!T723)</f>
        <v>0</v>
      </c>
      <c r="Z723" s="168">
        <f>IF(ISERROR(Personalplanung!S99/Monatsplanung!$E99*Monatsplanung!$M99),0,Personalplanung!S99/Monatsplanung!$E99*Monatsplanung!$M99)</f>
        <v>0</v>
      </c>
      <c r="AA723" s="80">
        <f t="shared" si="221"/>
        <v>0</v>
      </c>
      <c r="AB723" s="102">
        <f t="shared" si="222"/>
        <v>0.1</v>
      </c>
      <c r="AC723" s="103">
        <f t="shared" si="223"/>
        <v>0</v>
      </c>
      <c r="AD723" s="103">
        <f t="shared" si="224"/>
        <v>0</v>
      </c>
      <c r="AE723" s="81">
        <f t="shared" si="225"/>
        <v>0</v>
      </c>
      <c r="AF723" s="539"/>
      <c r="AG723" s="104">
        <f t="shared" si="226"/>
        <v>1</v>
      </c>
      <c r="AH723" s="7">
        <f t="shared" si="227"/>
        <v>0</v>
      </c>
      <c r="AI723" s="6">
        <f t="shared" si="228"/>
        <v>0</v>
      </c>
      <c r="AJ723" s="73">
        <f t="shared" si="229"/>
        <v>0</v>
      </c>
      <c r="AK723" s="539"/>
      <c r="AL723" s="748"/>
      <c r="AM723" s="748"/>
    </row>
    <row r="724" spans="2:39" x14ac:dyDescent="0.2">
      <c r="B724" s="101" t="str">
        <f t="shared" si="214"/>
        <v/>
      </c>
      <c r="C724" s="168">
        <f>IF(ISERROR(Personalplanung!F100/Monatsplanung!$E100*Monatsplanung!$M100),0,Personalplanung!F100/Monatsplanung!$E100*Monatsplanung!$M100)</f>
        <v>0</v>
      </c>
      <c r="D724" s="168">
        <f t="shared" si="215"/>
        <v>0</v>
      </c>
      <c r="E724" s="168">
        <f>IF(ISERROR(Personalplanung!H100/Monatsplanung!$E100*Monatsplanung!$M100),0,Personalplanung!H100/Monatsplanung!$E100*Monatsplanung!$M100)</f>
        <v>0</v>
      </c>
      <c r="F724" s="168">
        <f t="shared" si="216"/>
        <v>0</v>
      </c>
      <c r="G724" s="168">
        <f t="shared" si="217"/>
        <v>27.700831024930746</v>
      </c>
      <c r="H724" s="168">
        <f t="shared" si="218"/>
        <v>0</v>
      </c>
      <c r="I724" s="168">
        <f t="shared" si="219"/>
        <v>30</v>
      </c>
      <c r="J724" s="739"/>
      <c r="K724" s="168">
        <f>IF(J724&lt;&gt;"",J724,IF(ISERROR(Personalplanung!AB100/Monatsplanung!$E100*Monatsplanung!$M100),0,Personalplanung!AB100/Monatsplanung!$E100*Monatsplanung!$M100))</f>
        <v>0</v>
      </c>
      <c r="L724" s="740"/>
      <c r="M724" s="739"/>
      <c r="N724" s="168">
        <f>IF(M724&lt;&gt;"",M724,IF(ISERROR(Personalplanung!AC100/Monatsplanung!$E100*Monatsplanung!$M100),0,Personalplanung!AC100/Monatsplanung!$E100*Monatsplanung!$M100))</f>
        <v>0</v>
      </c>
      <c r="O724" s="740"/>
      <c r="P724" s="739"/>
      <c r="Q724" s="168">
        <f>IF(P724&lt;&gt;"",P724,IF(ISERROR(Personalplanung!AD100/Monatsplanung!$E100*Monatsplanung!$M100),0,Personalplanung!AD100/Monatsplanung!$E100*Monatsplanung!$M100))</f>
        <v>0</v>
      </c>
      <c r="R724" s="740"/>
      <c r="S724" s="739"/>
      <c r="T724" s="168">
        <f>IF(S724&lt;&gt;"",S724,IF(ISERROR(Personalplanung!AE100/Monatsplanung!$E100*Monatsplanung!$M100),0,Personalplanung!AE100/Monatsplanung!$E100*Monatsplanung!$M100))</f>
        <v>0</v>
      </c>
      <c r="U724" s="740"/>
      <c r="V724" s="168">
        <f t="shared" si="220"/>
        <v>0</v>
      </c>
      <c r="W724" s="168">
        <f>IF(ISERROR(Personalplanung!P100/Monatsplanung!$E100*Monatsplanung!$M100),0,Personalplanung!P100/Monatsplanung!$E100*Monatsplanung!$M100)</f>
        <v>0</v>
      </c>
      <c r="X724" s="168">
        <f>IF(ISERROR(Personalplanung!Q100/Monatsplanung!$E100*Monatsplanung!$M100),0,Personalplanung!Q100/Monatsplanung!$E100*Monatsplanung!$M100)</f>
        <v>0</v>
      </c>
      <c r="Y724" s="168">
        <f>IF(ISERROR(Personalplanung!R100/T1348*Stundencontrolling!T724),0,Personalplanung!R100/T1348*Stundencontrolling!T724)</f>
        <v>0</v>
      </c>
      <c r="Z724" s="168">
        <f>IF(ISERROR(Personalplanung!S100/Monatsplanung!$E100*Monatsplanung!$M100),0,Personalplanung!S100/Monatsplanung!$E100*Monatsplanung!$M100)</f>
        <v>0</v>
      </c>
      <c r="AA724" s="80">
        <f t="shared" si="221"/>
        <v>0</v>
      </c>
      <c r="AB724" s="102">
        <f t="shared" si="222"/>
        <v>0.1</v>
      </c>
      <c r="AC724" s="103">
        <f t="shared" si="223"/>
        <v>0</v>
      </c>
      <c r="AD724" s="103">
        <f t="shared" si="224"/>
        <v>0</v>
      </c>
      <c r="AE724" s="81">
        <f t="shared" si="225"/>
        <v>0</v>
      </c>
      <c r="AF724" s="539"/>
      <c r="AG724" s="104">
        <f t="shared" si="226"/>
        <v>1</v>
      </c>
      <c r="AH724" s="7">
        <f t="shared" si="227"/>
        <v>0</v>
      </c>
      <c r="AI724" s="6">
        <f t="shared" si="228"/>
        <v>0</v>
      </c>
      <c r="AJ724" s="73">
        <f t="shared" si="229"/>
        <v>0</v>
      </c>
      <c r="AK724" s="539"/>
      <c r="AL724" s="748"/>
      <c r="AM724" s="748"/>
    </row>
    <row r="725" spans="2:39" x14ac:dyDescent="0.2">
      <c r="B725" s="101" t="str">
        <f t="shared" si="214"/>
        <v/>
      </c>
      <c r="C725" s="168">
        <f>IF(ISERROR(Personalplanung!F101/Monatsplanung!$E101*Monatsplanung!$M101),0,Personalplanung!F101/Monatsplanung!$E101*Monatsplanung!$M101)</f>
        <v>0</v>
      </c>
      <c r="D725" s="168">
        <f t="shared" si="215"/>
        <v>0</v>
      </c>
      <c r="E725" s="168">
        <f>IF(ISERROR(Personalplanung!H101/Monatsplanung!$E101*Monatsplanung!$M101),0,Personalplanung!H101/Monatsplanung!$E101*Monatsplanung!$M101)</f>
        <v>0</v>
      </c>
      <c r="F725" s="168">
        <f t="shared" si="216"/>
        <v>0</v>
      </c>
      <c r="G725" s="168">
        <f t="shared" si="217"/>
        <v>27.700831024930746</v>
      </c>
      <c r="H725" s="168">
        <f t="shared" si="218"/>
        <v>0</v>
      </c>
      <c r="I725" s="168">
        <f t="shared" si="219"/>
        <v>30</v>
      </c>
      <c r="J725" s="739"/>
      <c r="K725" s="168">
        <f>IF(J725&lt;&gt;"",J725,IF(ISERROR(Personalplanung!AB101/Monatsplanung!$E101*Monatsplanung!$M101),0,Personalplanung!AB101/Monatsplanung!$E101*Monatsplanung!$M101))</f>
        <v>0</v>
      </c>
      <c r="L725" s="740"/>
      <c r="M725" s="739"/>
      <c r="N725" s="168">
        <f>IF(M725&lt;&gt;"",M725,IF(ISERROR(Personalplanung!AC101/Monatsplanung!$E101*Monatsplanung!$M101),0,Personalplanung!AC101/Monatsplanung!$E101*Monatsplanung!$M101))</f>
        <v>0</v>
      </c>
      <c r="O725" s="740"/>
      <c r="P725" s="739"/>
      <c r="Q725" s="168">
        <f>IF(P725&lt;&gt;"",P725,IF(ISERROR(Personalplanung!AD101/Monatsplanung!$E101*Monatsplanung!$M101),0,Personalplanung!AD101/Monatsplanung!$E101*Monatsplanung!$M101))</f>
        <v>0</v>
      </c>
      <c r="R725" s="740"/>
      <c r="S725" s="739"/>
      <c r="T725" s="168">
        <f>IF(S725&lt;&gt;"",S725,IF(ISERROR(Personalplanung!AE101/Monatsplanung!$E101*Monatsplanung!$M101),0,Personalplanung!AE101/Monatsplanung!$E101*Monatsplanung!$M101))</f>
        <v>0</v>
      </c>
      <c r="U725" s="740"/>
      <c r="V725" s="168">
        <f t="shared" si="220"/>
        <v>0</v>
      </c>
      <c r="W725" s="168">
        <f>IF(ISERROR(Personalplanung!P101/Monatsplanung!$E101*Monatsplanung!$M101),0,Personalplanung!P101/Monatsplanung!$E101*Monatsplanung!$M101)</f>
        <v>0</v>
      </c>
      <c r="X725" s="168">
        <f>IF(ISERROR(Personalplanung!Q101/Monatsplanung!$E101*Monatsplanung!$M101),0,Personalplanung!Q101/Monatsplanung!$E101*Monatsplanung!$M101)</f>
        <v>0</v>
      </c>
      <c r="Y725" s="168">
        <f>IF(ISERROR(Personalplanung!R101/T1349*Stundencontrolling!T725),0,Personalplanung!R101/T1349*Stundencontrolling!T725)</f>
        <v>0</v>
      </c>
      <c r="Z725" s="168">
        <f>IF(ISERROR(Personalplanung!S101/Monatsplanung!$E101*Monatsplanung!$M101),0,Personalplanung!S101/Monatsplanung!$E101*Monatsplanung!$M101)</f>
        <v>0</v>
      </c>
      <c r="AA725" s="80">
        <f t="shared" si="221"/>
        <v>0</v>
      </c>
      <c r="AB725" s="102">
        <f t="shared" si="222"/>
        <v>0.1</v>
      </c>
      <c r="AC725" s="103">
        <f t="shared" si="223"/>
        <v>0</v>
      </c>
      <c r="AD725" s="103">
        <f t="shared" si="224"/>
        <v>0</v>
      </c>
      <c r="AE725" s="81">
        <f t="shared" si="225"/>
        <v>0</v>
      </c>
      <c r="AF725" s="539"/>
      <c r="AG725" s="104">
        <f t="shared" si="226"/>
        <v>1</v>
      </c>
      <c r="AH725" s="7">
        <f t="shared" si="227"/>
        <v>0</v>
      </c>
      <c r="AI725" s="6">
        <f t="shared" si="228"/>
        <v>0</v>
      </c>
      <c r="AJ725" s="73">
        <f t="shared" si="229"/>
        <v>0</v>
      </c>
      <c r="AK725" s="539"/>
      <c r="AL725" s="748"/>
      <c r="AM725" s="748"/>
    </row>
    <row r="726" spans="2:39" x14ac:dyDescent="0.2">
      <c r="B726" s="101" t="str">
        <f t="shared" si="214"/>
        <v/>
      </c>
      <c r="C726" s="168">
        <f>IF(ISERROR(Personalplanung!F102/Monatsplanung!$E102*Monatsplanung!$M102),0,Personalplanung!F102/Monatsplanung!$E102*Monatsplanung!$M102)</f>
        <v>0</v>
      </c>
      <c r="D726" s="168">
        <f t="shared" si="215"/>
        <v>0</v>
      </c>
      <c r="E726" s="168">
        <f>IF(ISERROR(Personalplanung!H102/Monatsplanung!$E102*Monatsplanung!$M102),0,Personalplanung!H102/Monatsplanung!$E102*Monatsplanung!$M102)</f>
        <v>0</v>
      </c>
      <c r="F726" s="168">
        <f t="shared" si="216"/>
        <v>0</v>
      </c>
      <c r="G726" s="168">
        <f t="shared" si="217"/>
        <v>27.700831024930746</v>
      </c>
      <c r="H726" s="168">
        <f t="shared" si="218"/>
        <v>0</v>
      </c>
      <c r="I726" s="168">
        <f t="shared" si="219"/>
        <v>30</v>
      </c>
      <c r="J726" s="739"/>
      <c r="K726" s="168">
        <f>IF(J726&lt;&gt;"",J726,IF(ISERROR(Personalplanung!AB102/Monatsplanung!$E102*Monatsplanung!$M102),0,Personalplanung!AB102/Monatsplanung!$E102*Monatsplanung!$M102))</f>
        <v>0</v>
      </c>
      <c r="L726" s="740"/>
      <c r="M726" s="739"/>
      <c r="N726" s="168">
        <f>IF(M726&lt;&gt;"",M726,IF(ISERROR(Personalplanung!AC102/Monatsplanung!$E102*Monatsplanung!$M102),0,Personalplanung!AC102/Monatsplanung!$E102*Monatsplanung!$M102))</f>
        <v>0</v>
      </c>
      <c r="O726" s="740"/>
      <c r="P726" s="739"/>
      <c r="Q726" s="168">
        <f>IF(P726&lt;&gt;"",P726,IF(ISERROR(Personalplanung!AD102/Monatsplanung!$E102*Monatsplanung!$M102),0,Personalplanung!AD102/Monatsplanung!$E102*Monatsplanung!$M102))</f>
        <v>0</v>
      </c>
      <c r="R726" s="740"/>
      <c r="S726" s="739"/>
      <c r="T726" s="168">
        <f>IF(S726&lt;&gt;"",S726,IF(ISERROR(Personalplanung!AE102/Monatsplanung!$E102*Monatsplanung!$M102),0,Personalplanung!AE102/Monatsplanung!$E102*Monatsplanung!$M102))</f>
        <v>0</v>
      </c>
      <c r="U726" s="740"/>
      <c r="V726" s="168">
        <f t="shared" si="220"/>
        <v>0</v>
      </c>
      <c r="W726" s="168">
        <f>IF(ISERROR(Personalplanung!P102/Monatsplanung!$E102*Monatsplanung!$M102),0,Personalplanung!P102/Monatsplanung!$E102*Monatsplanung!$M102)</f>
        <v>0</v>
      </c>
      <c r="X726" s="168">
        <f>IF(ISERROR(Personalplanung!Q102/Monatsplanung!$E102*Monatsplanung!$M102),0,Personalplanung!Q102/Monatsplanung!$E102*Monatsplanung!$M102)</f>
        <v>0</v>
      </c>
      <c r="Y726" s="168">
        <f>IF(ISERROR(Personalplanung!R102/T1350*Stundencontrolling!T726),0,Personalplanung!R102/T1350*Stundencontrolling!T726)</f>
        <v>0</v>
      </c>
      <c r="Z726" s="168">
        <f>IF(ISERROR(Personalplanung!S102/Monatsplanung!$E102*Monatsplanung!$M102),0,Personalplanung!S102/Monatsplanung!$E102*Monatsplanung!$M102)</f>
        <v>0</v>
      </c>
      <c r="AA726" s="80">
        <f t="shared" si="221"/>
        <v>0</v>
      </c>
      <c r="AB726" s="102">
        <f t="shared" si="222"/>
        <v>0.1</v>
      </c>
      <c r="AC726" s="103">
        <f t="shared" si="223"/>
        <v>0</v>
      </c>
      <c r="AD726" s="103">
        <f t="shared" si="224"/>
        <v>0</v>
      </c>
      <c r="AE726" s="81">
        <f t="shared" si="225"/>
        <v>0</v>
      </c>
      <c r="AF726" s="539"/>
      <c r="AG726" s="104">
        <f t="shared" si="226"/>
        <v>1</v>
      </c>
      <c r="AH726" s="7">
        <f t="shared" si="227"/>
        <v>0</v>
      </c>
      <c r="AI726" s="6">
        <f t="shared" si="228"/>
        <v>0</v>
      </c>
      <c r="AJ726" s="73">
        <f t="shared" si="229"/>
        <v>0</v>
      </c>
      <c r="AK726" s="539"/>
      <c r="AL726" s="748"/>
      <c r="AM726" s="748"/>
    </row>
    <row r="727" spans="2:39" x14ac:dyDescent="0.2">
      <c r="B727" s="101" t="str">
        <f t="shared" si="214"/>
        <v/>
      </c>
      <c r="C727" s="168">
        <f>IF(ISERROR(Personalplanung!F103/Monatsplanung!$E103*Monatsplanung!$M103),0,Personalplanung!F103/Monatsplanung!$E103*Monatsplanung!$M103)</f>
        <v>0</v>
      </c>
      <c r="D727" s="168">
        <f t="shared" si="215"/>
        <v>0</v>
      </c>
      <c r="E727" s="168">
        <f>IF(ISERROR(Personalplanung!H103/Monatsplanung!$E103*Monatsplanung!$M103),0,Personalplanung!H103/Monatsplanung!$E103*Monatsplanung!$M103)</f>
        <v>0</v>
      </c>
      <c r="F727" s="168">
        <f t="shared" si="216"/>
        <v>0</v>
      </c>
      <c r="G727" s="168">
        <f t="shared" si="217"/>
        <v>27.700831024930746</v>
      </c>
      <c r="H727" s="168">
        <f t="shared" si="218"/>
        <v>0</v>
      </c>
      <c r="I727" s="168">
        <f t="shared" si="219"/>
        <v>30</v>
      </c>
      <c r="J727" s="739"/>
      <c r="K727" s="168">
        <f>IF(J727&lt;&gt;"",J727,IF(ISERROR(Personalplanung!AB103/Monatsplanung!$E103*Monatsplanung!$M103),0,Personalplanung!AB103/Monatsplanung!$E103*Monatsplanung!$M103))</f>
        <v>0</v>
      </c>
      <c r="L727" s="740"/>
      <c r="M727" s="739"/>
      <c r="N727" s="168">
        <f>IF(M727&lt;&gt;"",M727,IF(ISERROR(Personalplanung!AC103/Monatsplanung!$E103*Monatsplanung!$M103),0,Personalplanung!AC103/Monatsplanung!$E103*Monatsplanung!$M103))</f>
        <v>0</v>
      </c>
      <c r="O727" s="740"/>
      <c r="P727" s="739"/>
      <c r="Q727" s="168">
        <f>IF(P727&lt;&gt;"",P727,IF(ISERROR(Personalplanung!AD103/Monatsplanung!$E103*Monatsplanung!$M103),0,Personalplanung!AD103/Monatsplanung!$E103*Monatsplanung!$M103))</f>
        <v>0</v>
      </c>
      <c r="R727" s="740"/>
      <c r="S727" s="739"/>
      <c r="T727" s="168">
        <f>IF(S727&lt;&gt;"",S727,IF(ISERROR(Personalplanung!AE103/Monatsplanung!$E103*Monatsplanung!$M103),0,Personalplanung!AE103/Monatsplanung!$E103*Monatsplanung!$M103))</f>
        <v>0</v>
      </c>
      <c r="U727" s="740"/>
      <c r="V727" s="168">
        <f t="shared" si="220"/>
        <v>0</v>
      </c>
      <c r="W727" s="168">
        <f>IF(ISERROR(Personalplanung!P103/Monatsplanung!$E103*Monatsplanung!$M103),0,Personalplanung!P103/Monatsplanung!$E103*Monatsplanung!$M103)</f>
        <v>0</v>
      </c>
      <c r="X727" s="168">
        <f>IF(ISERROR(Personalplanung!Q103/Monatsplanung!$E103*Monatsplanung!$M103),0,Personalplanung!Q103/Monatsplanung!$E103*Monatsplanung!$M103)</f>
        <v>0</v>
      </c>
      <c r="Y727" s="168">
        <f>IF(ISERROR(Personalplanung!R103/T1351*Stundencontrolling!T727),0,Personalplanung!R103/T1351*Stundencontrolling!T727)</f>
        <v>0</v>
      </c>
      <c r="Z727" s="168">
        <f>IF(ISERROR(Personalplanung!S103/Monatsplanung!$E103*Monatsplanung!$M103),0,Personalplanung!S103/Monatsplanung!$E103*Monatsplanung!$M103)</f>
        <v>0</v>
      </c>
      <c r="AA727" s="80">
        <f t="shared" si="221"/>
        <v>0</v>
      </c>
      <c r="AB727" s="102">
        <f t="shared" si="222"/>
        <v>0.1</v>
      </c>
      <c r="AC727" s="103">
        <f t="shared" si="223"/>
        <v>0</v>
      </c>
      <c r="AD727" s="103">
        <f t="shared" si="224"/>
        <v>0</v>
      </c>
      <c r="AE727" s="81">
        <f t="shared" si="225"/>
        <v>0</v>
      </c>
      <c r="AF727" s="539"/>
      <c r="AG727" s="104">
        <f t="shared" si="226"/>
        <v>1</v>
      </c>
      <c r="AH727" s="7">
        <f t="shared" si="227"/>
        <v>0</v>
      </c>
      <c r="AI727" s="6">
        <f t="shared" si="228"/>
        <v>0</v>
      </c>
      <c r="AJ727" s="73">
        <f t="shared" si="229"/>
        <v>0</v>
      </c>
      <c r="AK727" s="539"/>
      <c r="AL727" s="748"/>
      <c r="AM727" s="748"/>
    </row>
    <row r="728" spans="2:39" x14ac:dyDescent="0.2">
      <c r="B728" s="101" t="str">
        <f t="shared" si="214"/>
        <v/>
      </c>
      <c r="C728" s="168">
        <f>IF(ISERROR(Personalplanung!F104/Monatsplanung!$E104*Monatsplanung!$M104),0,Personalplanung!F104/Monatsplanung!$E104*Monatsplanung!$M104)</f>
        <v>0</v>
      </c>
      <c r="D728" s="168">
        <f t="shared" si="215"/>
        <v>0</v>
      </c>
      <c r="E728" s="168">
        <f>IF(ISERROR(Personalplanung!H104/Monatsplanung!$E104*Monatsplanung!$M104),0,Personalplanung!H104/Monatsplanung!$E104*Monatsplanung!$M104)</f>
        <v>0</v>
      </c>
      <c r="F728" s="168">
        <f t="shared" si="216"/>
        <v>0</v>
      </c>
      <c r="G728" s="168">
        <f t="shared" si="217"/>
        <v>27.700831024930746</v>
      </c>
      <c r="H728" s="168">
        <f t="shared" si="218"/>
        <v>0</v>
      </c>
      <c r="I728" s="168">
        <f t="shared" si="219"/>
        <v>30</v>
      </c>
      <c r="J728" s="739"/>
      <c r="K728" s="168">
        <f>IF(J728&lt;&gt;"",J728,IF(ISERROR(Personalplanung!AB104/Monatsplanung!$E104*Monatsplanung!$M104),0,Personalplanung!AB104/Monatsplanung!$E104*Monatsplanung!$M104))</f>
        <v>0</v>
      </c>
      <c r="L728" s="740"/>
      <c r="M728" s="739"/>
      <c r="N728" s="168">
        <f>IF(M728&lt;&gt;"",M728,IF(ISERROR(Personalplanung!AC104/Monatsplanung!$E104*Monatsplanung!$M104),0,Personalplanung!AC104/Monatsplanung!$E104*Monatsplanung!$M104))</f>
        <v>0</v>
      </c>
      <c r="O728" s="740"/>
      <c r="P728" s="739"/>
      <c r="Q728" s="168">
        <f>IF(P728&lt;&gt;"",P728,IF(ISERROR(Personalplanung!AD104/Monatsplanung!$E104*Monatsplanung!$M104),0,Personalplanung!AD104/Monatsplanung!$E104*Monatsplanung!$M104))</f>
        <v>0</v>
      </c>
      <c r="R728" s="740"/>
      <c r="S728" s="739"/>
      <c r="T728" s="168">
        <f>IF(S728&lt;&gt;"",S728,IF(ISERROR(Personalplanung!AE104/Monatsplanung!$E104*Monatsplanung!$M104),0,Personalplanung!AE104/Monatsplanung!$E104*Monatsplanung!$M104))</f>
        <v>0</v>
      </c>
      <c r="U728" s="740"/>
      <c r="V728" s="168">
        <f t="shared" si="220"/>
        <v>0</v>
      </c>
      <c r="W728" s="168">
        <f>IF(ISERROR(Personalplanung!P104/Monatsplanung!$E104*Monatsplanung!$M104),0,Personalplanung!P104/Monatsplanung!$E104*Monatsplanung!$M104)</f>
        <v>0</v>
      </c>
      <c r="X728" s="168">
        <f>IF(ISERROR(Personalplanung!Q104/Monatsplanung!$E104*Monatsplanung!$M104),0,Personalplanung!Q104/Monatsplanung!$E104*Monatsplanung!$M104)</f>
        <v>0</v>
      </c>
      <c r="Y728" s="168">
        <f>IF(ISERROR(Personalplanung!R104/T1352*Stundencontrolling!T728),0,Personalplanung!R104/T1352*Stundencontrolling!T728)</f>
        <v>0</v>
      </c>
      <c r="Z728" s="168">
        <f>IF(ISERROR(Personalplanung!S104/Monatsplanung!$E104*Monatsplanung!$M104),0,Personalplanung!S104/Monatsplanung!$E104*Monatsplanung!$M104)</f>
        <v>0</v>
      </c>
      <c r="AA728" s="80">
        <f t="shared" si="221"/>
        <v>0</v>
      </c>
      <c r="AB728" s="102">
        <f t="shared" si="222"/>
        <v>0.1</v>
      </c>
      <c r="AC728" s="103">
        <f t="shared" si="223"/>
        <v>0</v>
      </c>
      <c r="AD728" s="103">
        <f t="shared" si="224"/>
        <v>0</v>
      </c>
      <c r="AE728" s="81">
        <f t="shared" si="225"/>
        <v>0</v>
      </c>
      <c r="AF728" s="539"/>
      <c r="AG728" s="104">
        <f t="shared" si="226"/>
        <v>1</v>
      </c>
      <c r="AH728" s="7">
        <f t="shared" si="227"/>
        <v>0</v>
      </c>
      <c r="AI728" s="6">
        <f t="shared" si="228"/>
        <v>0</v>
      </c>
      <c r="AJ728" s="73">
        <f t="shared" si="229"/>
        <v>0</v>
      </c>
      <c r="AK728" s="539"/>
      <c r="AL728" s="748"/>
      <c r="AM728" s="748"/>
    </row>
    <row r="729" spans="2:39" x14ac:dyDescent="0.2">
      <c r="B729" s="101" t="str">
        <f t="shared" si="214"/>
        <v/>
      </c>
      <c r="C729" s="168">
        <f>IF(ISERROR(Personalplanung!F105/Monatsplanung!$E105*Monatsplanung!$M105),0,Personalplanung!F105/Monatsplanung!$E105*Monatsplanung!$M105)</f>
        <v>0</v>
      </c>
      <c r="D729" s="168">
        <f t="shared" si="215"/>
        <v>0</v>
      </c>
      <c r="E729" s="168">
        <f>IF(ISERROR(Personalplanung!H105/Monatsplanung!$E105*Monatsplanung!$M105),0,Personalplanung!H105/Monatsplanung!$E105*Monatsplanung!$M105)</f>
        <v>0</v>
      </c>
      <c r="F729" s="168">
        <f t="shared" si="216"/>
        <v>0</v>
      </c>
      <c r="G729" s="168">
        <f t="shared" si="217"/>
        <v>27.700831024930746</v>
      </c>
      <c r="H729" s="168">
        <f t="shared" si="218"/>
        <v>0</v>
      </c>
      <c r="I729" s="168">
        <f t="shared" si="219"/>
        <v>30</v>
      </c>
      <c r="J729" s="739"/>
      <c r="K729" s="168">
        <f>IF(J729&lt;&gt;"",J729,IF(ISERROR(Personalplanung!AB105/Monatsplanung!$E105*Monatsplanung!$M105),0,Personalplanung!AB105/Monatsplanung!$E105*Monatsplanung!$M105))</f>
        <v>0</v>
      </c>
      <c r="L729" s="740"/>
      <c r="M729" s="739"/>
      <c r="N729" s="168">
        <f>IF(M729&lt;&gt;"",M729,IF(ISERROR(Personalplanung!AC105/Monatsplanung!$E105*Monatsplanung!$M105),0,Personalplanung!AC105/Monatsplanung!$E105*Monatsplanung!$M105))</f>
        <v>0</v>
      </c>
      <c r="O729" s="740"/>
      <c r="P729" s="739"/>
      <c r="Q729" s="168">
        <f>IF(P729&lt;&gt;"",P729,IF(ISERROR(Personalplanung!AD105/Monatsplanung!$E105*Monatsplanung!$M105),0,Personalplanung!AD105/Monatsplanung!$E105*Monatsplanung!$M105))</f>
        <v>0</v>
      </c>
      <c r="R729" s="740"/>
      <c r="S729" s="739"/>
      <c r="T729" s="168">
        <f>IF(S729&lt;&gt;"",S729,IF(ISERROR(Personalplanung!AE105/Monatsplanung!$E105*Monatsplanung!$M105),0,Personalplanung!AE105/Monatsplanung!$E105*Monatsplanung!$M105))</f>
        <v>0</v>
      </c>
      <c r="U729" s="740"/>
      <c r="V729" s="168">
        <f t="shared" si="220"/>
        <v>0</v>
      </c>
      <c r="W729" s="168">
        <f>IF(ISERROR(Personalplanung!P105/Monatsplanung!$E105*Monatsplanung!$M105),0,Personalplanung!P105/Monatsplanung!$E105*Monatsplanung!$M105)</f>
        <v>0</v>
      </c>
      <c r="X729" s="168">
        <f>IF(ISERROR(Personalplanung!Q105/Monatsplanung!$E105*Monatsplanung!$M105),0,Personalplanung!Q105/Monatsplanung!$E105*Monatsplanung!$M105)</f>
        <v>0</v>
      </c>
      <c r="Y729" s="168">
        <f>IF(ISERROR(Personalplanung!R105/T1353*Stundencontrolling!T729),0,Personalplanung!R105/T1353*Stundencontrolling!T729)</f>
        <v>0</v>
      </c>
      <c r="Z729" s="168">
        <f>IF(ISERROR(Personalplanung!S105/Monatsplanung!$E105*Monatsplanung!$M105),0,Personalplanung!S105/Monatsplanung!$E105*Monatsplanung!$M105)</f>
        <v>0</v>
      </c>
      <c r="AA729" s="80">
        <f t="shared" si="221"/>
        <v>0</v>
      </c>
      <c r="AB729" s="102">
        <f t="shared" si="222"/>
        <v>0.1</v>
      </c>
      <c r="AC729" s="103">
        <f t="shared" si="223"/>
        <v>0</v>
      </c>
      <c r="AD729" s="103">
        <f t="shared" si="224"/>
        <v>0</v>
      </c>
      <c r="AE729" s="81">
        <f t="shared" si="225"/>
        <v>0</v>
      </c>
      <c r="AF729" s="539"/>
      <c r="AG729" s="104">
        <f t="shared" si="226"/>
        <v>1</v>
      </c>
      <c r="AH729" s="7">
        <f t="shared" si="227"/>
        <v>0</v>
      </c>
      <c r="AI729" s="6">
        <f t="shared" si="228"/>
        <v>0</v>
      </c>
      <c r="AJ729" s="73">
        <f t="shared" si="229"/>
        <v>0</v>
      </c>
      <c r="AK729" s="539"/>
      <c r="AL729" s="748"/>
      <c r="AM729" s="748"/>
    </row>
    <row r="730" spans="2:39" x14ac:dyDescent="0.2">
      <c r="B730" s="101" t="str">
        <f t="shared" si="214"/>
        <v/>
      </c>
      <c r="C730" s="168">
        <f>IF(ISERROR(Personalplanung!F106/Monatsplanung!$E106*Monatsplanung!$M106),0,Personalplanung!F106/Monatsplanung!$E106*Monatsplanung!$M106)</f>
        <v>0</v>
      </c>
      <c r="D730" s="168">
        <f t="shared" si="215"/>
        <v>0</v>
      </c>
      <c r="E730" s="168">
        <f>IF(ISERROR(Personalplanung!H106/Monatsplanung!$E106*Monatsplanung!$M106),0,Personalplanung!H106/Monatsplanung!$E106*Monatsplanung!$M106)</f>
        <v>0</v>
      </c>
      <c r="F730" s="168">
        <f t="shared" si="216"/>
        <v>0</v>
      </c>
      <c r="G730" s="168">
        <f t="shared" si="217"/>
        <v>27.700831024930746</v>
      </c>
      <c r="H730" s="168">
        <f t="shared" si="218"/>
        <v>0</v>
      </c>
      <c r="I730" s="168">
        <f t="shared" si="219"/>
        <v>30</v>
      </c>
      <c r="J730" s="739"/>
      <c r="K730" s="168">
        <f>IF(J730&lt;&gt;"",J730,IF(ISERROR(Personalplanung!AB106/Monatsplanung!$E106*Monatsplanung!$M106),0,Personalplanung!AB106/Monatsplanung!$E106*Monatsplanung!$M106))</f>
        <v>0</v>
      </c>
      <c r="L730" s="740"/>
      <c r="M730" s="739"/>
      <c r="N730" s="168">
        <f>IF(M730&lt;&gt;"",M730,IF(ISERROR(Personalplanung!AC106/Monatsplanung!$E106*Monatsplanung!$M106),0,Personalplanung!AC106/Monatsplanung!$E106*Monatsplanung!$M106))</f>
        <v>0</v>
      </c>
      <c r="O730" s="740"/>
      <c r="P730" s="739"/>
      <c r="Q730" s="168">
        <f>IF(P730&lt;&gt;"",P730,IF(ISERROR(Personalplanung!AD106/Monatsplanung!$E106*Monatsplanung!$M106),0,Personalplanung!AD106/Monatsplanung!$E106*Monatsplanung!$M106))</f>
        <v>0</v>
      </c>
      <c r="R730" s="740"/>
      <c r="S730" s="739"/>
      <c r="T730" s="168">
        <f>IF(S730&lt;&gt;"",S730,IF(ISERROR(Personalplanung!AE106/Monatsplanung!$E106*Monatsplanung!$M106),0,Personalplanung!AE106/Monatsplanung!$E106*Monatsplanung!$M106))</f>
        <v>0</v>
      </c>
      <c r="U730" s="740"/>
      <c r="V730" s="168">
        <f t="shared" si="220"/>
        <v>0</v>
      </c>
      <c r="W730" s="168">
        <f>IF(ISERROR(Personalplanung!P106/Monatsplanung!$E106*Monatsplanung!$M106),0,Personalplanung!P106/Monatsplanung!$E106*Monatsplanung!$M106)</f>
        <v>0</v>
      </c>
      <c r="X730" s="168">
        <f>IF(ISERROR(Personalplanung!Q106/Monatsplanung!$E106*Monatsplanung!$M106),0,Personalplanung!Q106/Monatsplanung!$E106*Monatsplanung!$M106)</f>
        <v>0</v>
      </c>
      <c r="Y730" s="168">
        <f>IF(ISERROR(Personalplanung!R106/T1354*Stundencontrolling!T730),0,Personalplanung!R106/T1354*Stundencontrolling!T730)</f>
        <v>0</v>
      </c>
      <c r="Z730" s="168">
        <f>IF(ISERROR(Personalplanung!S106/Monatsplanung!$E106*Monatsplanung!$M106),0,Personalplanung!S106/Monatsplanung!$E106*Monatsplanung!$M106)</f>
        <v>0</v>
      </c>
      <c r="AA730" s="80">
        <f t="shared" si="221"/>
        <v>0</v>
      </c>
      <c r="AB730" s="102">
        <f t="shared" si="222"/>
        <v>0.1</v>
      </c>
      <c r="AC730" s="103">
        <f t="shared" si="223"/>
        <v>0</v>
      </c>
      <c r="AD730" s="103">
        <f t="shared" si="224"/>
        <v>0</v>
      </c>
      <c r="AE730" s="81">
        <f t="shared" si="225"/>
        <v>0</v>
      </c>
      <c r="AF730" s="539"/>
      <c r="AG730" s="104">
        <f t="shared" si="226"/>
        <v>1</v>
      </c>
      <c r="AH730" s="7">
        <f t="shared" si="227"/>
        <v>0</v>
      </c>
      <c r="AI730" s="6">
        <f t="shared" si="228"/>
        <v>0</v>
      </c>
      <c r="AJ730" s="73">
        <f t="shared" si="229"/>
        <v>0</v>
      </c>
      <c r="AK730" s="539"/>
      <c r="AL730" s="748"/>
      <c r="AM730" s="748"/>
    </row>
    <row r="731" spans="2:39" x14ac:dyDescent="0.2">
      <c r="B731" s="500" t="s">
        <v>134</v>
      </c>
      <c r="C731" s="501">
        <f>+SUM(C630:C730)</f>
        <v>2444.6999999999998</v>
      </c>
      <c r="D731" s="501"/>
      <c r="E731" s="501">
        <f>+SUM(E630:E730)</f>
        <v>120.00000000000001</v>
      </c>
      <c r="F731" s="501">
        <f>+SUM(F630:F730)</f>
        <v>2564.6999999999998</v>
      </c>
      <c r="G731" s="501">
        <f>IF(ISERROR(+H731/F731),0,+H731/F731)</f>
        <v>27.700831024930743</v>
      </c>
      <c r="H731" s="501">
        <f>+SUM(H630:H730)</f>
        <v>71044.321329639875</v>
      </c>
      <c r="I731" s="501"/>
      <c r="J731" s="501"/>
      <c r="K731" s="501">
        <f t="shared" ref="K731:V731" si="230">+SUM(K630:K730)</f>
        <v>9.9166666666666661</v>
      </c>
      <c r="L731" s="501"/>
      <c r="M731" s="501"/>
      <c r="N731" s="501">
        <f>+SUM(N630:N730)</f>
        <v>1.25</v>
      </c>
      <c r="O731" s="501"/>
      <c r="P731" s="501"/>
      <c r="Q731" s="501">
        <f>+SUM(Q630:Q730)</f>
        <v>2.6666666666666665</v>
      </c>
      <c r="R731" s="501"/>
      <c r="S731" s="501"/>
      <c r="T731" s="501">
        <f>+SUM(T630:T730)</f>
        <v>32.666666666666671</v>
      </c>
      <c r="U731" s="501"/>
      <c r="V731" s="501">
        <f t="shared" si="230"/>
        <v>46.5</v>
      </c>
      <c r="W731" s="501">
        <f>+SUM(W630:W730)</f>
        <v>0</v>
      </c>
      <c r="X731" s="501">
        <f>+SUM(X630:X730)</f>
        <v>166.66666666666666</v>
      </c>
      <c r="Y731" s="501">
        <f>+SUM(Y630:Y730)</f>
        <v>66.666666666666657</v>
      </c>
      <c r="Z731" s="501">
        <f>+SUM(Z630:Z730)</f>
        <v>50</v>
      </c>
      <c r="AA731" s="503">
        <f>SUM(AA630:AA730)</f>
        <v>2202657.2945521697</v>
      </c>
      <c r="AB731" s="502">
        <f>+AC731/AA731</f>
        <v>9.9999999999999992E-2</v>
      </c>
      <c r="AC731" s="503">
        <f>SUM(AC630:AC730)</f>
        <v>220265.72945521696</v>
      </c>
      <c r="AD731" s="503">
        <f>SUM(AD630:AD730)</f>
        <v>1982391.5650969525</v>
      </c>
      <c r="AE731" s="504">
        <f>SUM(AE630:AE730)</f>
        <v>221.52333333333334</v>
      </c>
      <c r="AF731" s="504">
        <f>SUM(AF630:AF730)</f>
        <v>0</v>
      </c>
      <c r="AG731" s="505">
        <f>AI731/AE731</f>
        <v>1</v>
      </c>
      <c r="AH731" s="505">
        <f t="shared" si="196"/>
        <v>0</v>
      </c>
      <c r="AI731" s="504">
        <f>SUM(AI630:AI730)</f>
        <v>221.52333333333334</v>
      </c>
      <c r="AJ731" s="506">
        <f t="shared" si="197"/>
        <v>994.32292815753169</v>
      </c>
      <c r="AK731" s="504">
        <f>SUM(AK630:AK730)</f>
        <v>0</v>
      </c>
      <c r="AL731" s="747"/>
      <c r="AM731" s="506">
        <f>$AM$107</f>
        <v>75.851340181839646</v>
      </c>
    </row>
    <row r="732" spans="2:39" x14ac:dyDescent="0.2">
      <c r="B732" s="8"/>
      <c r="C732" s="8"/>
      <c r="D732" s="8"/>
      <c r="E732" s="8"/>
      <c r="F732" s="8"/>
      <c r="G732" s="8"/>
      <c r="H732" s="8"/>
      <c r="I732" s="737"/>
      <c r="J732" s="737"/>
      <c r="K732" s="8"/>
      <c r="L732" s="8"/>
      <c r="M732" s="737"/>
      <c r="N732" s="8"/>
      <c r="O732" s="8"/>
      <c r="P732" s="737"/>
      <c r="Q732" s="8"/>
      <c r="R732" s="8"/>
      <c r="S732" s="737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6"/>
      <c r="AF732" s="10"/>
      <c r="AG732" s="9"/>
      <c r="AH732" s="9"/>
      <c r="AI732" s="6"/>
      <c r="AJ732" s="10"/>
      <c r="AK732" s="10"/>
      <c r="AL732" s="10"/>
      <c r="AM732" s="74"/>
    </row>
    <row r="733" spans="2:39" x14ac:dyDescent="0.2">
      <c r="B733" s="500" t="s">
        <v>52</v>
      </c>
      <c r="C733" s="501"/>
      <c r="D733" s="501"/>
      <c r="E733" s="501"/>
      <c r="F733" s="501"/>
      <c r="G733" s="501"/>
      <c r="H733" s="501"/>
      <c r="I733" s="501"/>
      <c r="J733" s="501"/>
      <c r="K733" s="501"/>
      <c r="L733" s="501"/>
      <c r="M733" s="501"/>
      <c r="N733" s="501"/>
      <c r="O733" s="501"/>
      <c r="P733" s="501"/>
      <c r="Q733" s="501"/>
      <c r="R733" s="501"/>
      <c r="S733" s="501"/>
      <c r="T733" s="501"/>
      <c r="U733" s="501"/>
      <c r="V733" s="501"/>
      <c r="W733" s="501"/>
      <c r="X733" s="501"/>
      <c r="Y733" s="501"/>
      <c r="Z733" s="501"/>
      <c r="AA733" s="503"/>
      <c r="AB733" s="502"/>
      <c r="AC733" s="503"/>
      <c r="AD733" s="503"/>
      <c r="AE733" s="504"/>
      <c r="AF733" s="504"/>
      <c r="AG733" s="505"/>
      <c r="AH733" s="505"/>
      <c r="AI733" s="504"/>
      <c r="AJ733" s="506"/>
      <c r="AK733" s="504"/>
      <c r="AL733" s="504"/>
      <c r="AM733" s="506"/>
    </row>
    <row r="734" spans="2:39" x14ac:dyDescent="0.2">
      <c r="B734" s="101" t="str">
        <f>$B630</f>
        <v>Maxdivers Mustermann</v>
      </c>
      <c r="C734" s="168">
        <f>IF(ISERROR(Personalplanung!F6/Monatsplanung!$E6*Monatsplanung!$N6),0,Personalplanung!F6/Monatsplanung!$E6*Monatsplanung!$N6)</f>
        <v>174</v>
      </c>
      <c r="D734" s="168">
        <f>$D630</f>
        <v>8</v>
      </c>
      <c r="E734" s="168">
        <f>IF(ISERROR(Personalplanung!H6/Monatsplanung!$E6*Monatsplanung!$N6),0,Personalplanung!H6/Monatsplanung!$E6*Monatsplanung!$N6)</f>
        <v>66.666666666666671</v>
      </c>
      <c r="F734" s="168">
        <f>+C734+E734</f>
        <v>240.66666666666669</v>
      </c>
      <c r="G734" s="168">
        <f>$G$6</f>
        <v>27.700831024930746</v>
      </c>
      <c r="H734" s="168">
        <f>+F734*G734</f>
        <v>6666.666666666667</v>
      </c>
      <c r="I734" s="168">
        <f>$I$6</f>
        <v>30</v>
      </c>
      <c r="J734" s="739"/>
      <c r="K734" s="168">
        <f>IF(J734&lt;&gt;"",J734,IF(ISERROR(Personalplanung!AB6/Monatsplanung!$E6*Monatsplanung!$N6),0,Personalplanung!AB6/Monatsplanung!$E6*Monatsplanung!$N6))</f>
        <v>0.66666666666666663</v>
      </c>
      <c r="L734" s="740"/>
      <c r="M734" s="739"/>
      <c r="N734" s="168">
        <f>IF(M734&lt;&gt;"",M734,IF(ISERROR(Personalplanung!AC6/Monatsplanung!$E6*Monatsplanung!$N6),0,Personalplanung!AC6/Monatsplanung!$E6*Monatsplanung!$N6))</f>
        <v>0</v>
      </c>
      <c r="O734" s="740"/>
      <c r="P734" s="739"/>
      <c r="Q734" s="168">
        <f>IF(P734&lt;&gt;"",P734,IF(ISERROR(Personalplanung!AD6/Monatsplanung!$E6*Monatsplanung!$N6),0,Personalplanung!AD6/Monatsplanung!$E6*Monatsplanung!$N6))</f>
        <v>0.16666666666666666</v>
      </c>
      <c r="R734" s="740"/>
      <c r="S734" s="739"/>
      <c r="T734" s="168">
        <f>IF(S734&lt;&gt;"",S734,IF(ISERROR(Personalplanung!AE6/Monatsplanung!$E6*Monatsplanung!$N6),0,Personalplanung!AE6/Monatsplanung!$E6*Monatsplanung!$N6))</f>
        <v>1.25</v>
      </c>
      <c r="U734" s="740"/>
      <c r="V734" s="168">
        <f>K734+N734+Q734+T734</f>
        <v>2.083333333333333</v>
      </c>
      <c r="W734" s="168">
        <f>IF(ISERROR(Personalplanung!P6/Monatsplanung!$E6*Monatsplanung!$N6),0,Personalplanung!P6/Monatsplanung!$E6*Monatsplanung!$N6)</f>
        <v>0</v>
      </c>
      <c r="X734" s="168">
        <f>IF(ISERROR(Personalplanung!Q6/Monatsplanung!$E6*Monatsplanung!$N6),0,Personalplanung!Q6/Monatsplanung!$E6*Monatsplanung!$N6)</f>
        <v>0</v>
      </c>
      <c r="Y734" s="168">
        <f>IF(ISERROR(Personalplanung!R6/T1254*Stundencontrolling!T734),0,Personalplanung!R6/T1254*Stundencontrolling!T734)</f>
        <v>0</v>
      </c>
      <c r="Z734" s="168">
        <f>IF(ISERROR(Personalplanung!S6/Monatsplanung!$E6*Monatsplanung!$N6),0,Personalplanung!S6/Monatsplanung!$E6*Monatsplanung!$N6)</f>
        <v>0</v>
      </c>
      <c r="AA734" s="80">
        <f>+F734*G734*(1+I734)+SUM(W734:Z734)</f>
        <v>206666.66666666669</v>
      </c>
      <c r="AB734" s="102">
        <f>$AB$6</f>
        <v>0.1</v>
      </c>
      <c r="AC734" s="103">
        <f>AB734*AA734</f>
        <v>20666.666666666672</v>
      </c>
      <c r="AD734" s="103">
        <f>AA734-AC734</f>
        <v>186000</v>
      </c>
      <c r="AE734" s="81">
        <f>(F734-(V734*$D734))*AB734</f>
        <v>22.400000000000006</v>
      </c>
      <c r="AF734" s="539"/>
      <c r="AG734" s="104">
        <f>$AG$6</f>
        <v>1</v>
      </c>
      <c r="AH734" s="7">
        <f t="shared" ref="AH734:AH835" si="231">IF(ISERROR(AK734/AF734),0,AK734/AF734)</f>
        <v>0</v>
      </c>
      <c r="AI734" s="6">
        <f>AE734*AG734</f>
        <v>22.400000000000006</v>
      </c>
      <c r="AJ734" s="73">
        <f t="shared" ref="AJ734:AJ835" si="232">IF(ISERROR(+AC734/AI734),0,+AC734/AI734)</f>
        <v>922.61904761904759</v>
      </c>
      <c r="AK734" s="539"/>
      <c r="AL734" s="748"/>
      <c r="AM734" s="748"/>
    </row>
    <row r="735" spans="2:39" x14ac:dyDescent="0.2">
      <c r="B735" s="101" t="str">
        <f t="shared" ref="B735:B798" si="233">$B631</f>
        <v>Egon Kaufmann</v>
      </c>
      <c r="C735" s="168">
        <f>IF(ISERROR(Personalplanung!F7/Monatsplanung!$E7*Monatsplanung!$N7),0,Personalplanung!F7/Monatsplanung!$E7*Monatsplanung!$N7)</f>
        <v>174</v>
      </c>
      <c r="D735" s="168">
        <f t="shared" ref="D735:D798" si="234">$D631</f>
        <v>8</v>
      </c>
      <c r="E735" s="168">
        <f>IF(ISERROR(Personalplanung!H7/Monatsplanung!$E7*Monatsplanung!$N7),0,Personalplanung!H7/Monatsplanung!$E7*Monatsplanung!$N7)</f>
        <v>26.666666666666668</v>
      </c>
      <c r="F735" s="168">
        <f t="shared" ref="F735:F798" si="235">+C735+E735</f>
        <v>200.66666666666666</v>
      </c>
      <c r="G735" s="168">
        <f t="shared" ref="G735:G798" si="236">$G$6</f>
        <v>27.700831024930746</v>
      </c>
      <c r="H735" s="168">
        <f t="shared" ref="H735:H798" si="237">+F735*G735</f>
        <v>5558.6334256694363</v>
      </c>
      <c r="I735" s="168">
        <f t="shared" ref="I735:I798" si="238">$I$6</f>
        <v>30</v>
      </c>
      <c r="J735" s="739"/>
      <c r="K735" s="168">
        <f>IF(J735&lt;&gt;"",J735,IF(ISERROR(Personalplanung!AB7/Monatsplanung!$E7*Monatsplanung!$N7),0,Personalplanung!AB7/Monatsplanung!$E7*Monatsplanung!$N7))</f>
        <v>0.66666666666666663</v>
      </c>
      <c r="L735" s="740"/>
      <c r="M735" s="739"/>
      <c r="N735" s="168">
        <f>IF(M735&lt;&gt;"",M735,IF(ISERROR(Personalplanung!AC7/Monatsplanung!$E7*Monatsplanung!$N7),0,Personalplanung!AC7/Monatsplanung!$E7*Monatsplanung!$N7))</f>
        <v>0</v>
      </c>
      <c r="O735" s="740"/>
      <c r="P735" s="739"/>
      <c r="Q735" s="168">
        <f>IF(P735&lt;&gt;"",P735,IF(ISERROR(Personalplanung!AD7/Monatsplanung!$E7*Monatsplanung!$N7),0,Personalplanung!AD7/Monatsplanung!$E7*Monatsplanung!$N7))</f>
        <v>0.16666666666666666</v>
      </c>
      <c r="R735" s="740"/>
      <c r="S735" s="739"/>
      <c r="T735" s="168">
        <f>IF(S735&lt;&gt;"",S735,IF(ISERROR(Personalplanung!AE7/Monatsplanung!$E7*Monatsplanung!$N7),0,Personalplanung!AE7/Monatsplanung!$E7*Monatsplanung!$N7))</f>
        <v>2.1666666666666665</v>
      </c>
      <c r="U735" s="740"/>
      <c r="V735" s="168">
        <f t="shared" ref="V735:V798" si="239">K735+N735+Q735+T735</f>
        <v>3</v>
      </c>
      <c r="W735" s="168">
        <f>IF(ISERROR(Personalplanung!P7/Monatsplanung!$E7*Monatsplanung!$N7),0,Personalplanung!P7/Monatsplanung!$E7*Monatsplanung!$N7)</f>
        <v>0</v>
      </c>
      <c r="X735" s="168">
        <f>IF(ISERROR(Personalplanung!Q7/Monatsplanung!$E7*Monatsplanung!$N7),0,Personalplanung!Q7/Monatsplanung!$E7*Monatsplanung!$N7)</f>
        <v>0</v>
      </c>
      <c r="Y735" s="168">
        <f>IF(ISERROR(Personalplanung!R7/T1255*Stundencontrolling!T735),0,Personalplanung!R7/T1255*Stundencontrolling!T735)</f>
        <v>0</v>
      </c>
      <c r="Z735" s="168">
        <f>IF(ISERROR(Personalplanung!S7/Monatsplanung!$E7*Monatsplanung!$N7),0,Personalplanung!S7/Monatsplanung!$E7*Monatsplanung!$N7)</f>
        <v>0</v>
      </c>
      <c r="AA735" s="80">
        <f t="shared" ref="AA735:AA798" si="240">+F735*G735*(1+I735)+SUM(W735:Z735)</f>
        <v>172317.63619575254</v>
      </c>
      <c r="AB735" s="102">
        <f t="shared" ref="AB735:AB798" si="241">$AB$6</f>
        <v>0.1</v>
      </c>
      <c r="AC735" s="103">
        <f t="shared" ref="AC735:AC798" si="242">AB735*AA735</f>
        <v>17231.763619575253</v>
      </c>
      <c r="AD735" s="103">
        <f t="shared" ref="AD735:AD798" si="243">AA735-AC735</f>
        <v>155085.87257617729</v>
      </c>
      <c r="AE735" s="81">
        <f t="shared" ref="AE735:AE798" si="244">(F735-(V735*$D735))*AB735</f>
        <v>17.666666666666668</v>
      </c>
      <c r="AF735" s="539"/>
      <c r="AG735" s="104">
        <f t="shared" ref="AG735:AG798" si="245">$AG$6</f>
        <v>1</v>
      </c>
      <c r="AH735" s="7">
        <f t="shared" ref="AH735:AH798" si="246">IF(ISERROR(AK735/AF735),0,AK735/AF735)</f>
        <v>0</v>
      </c>
      <c r="AI735" s="6">
        <f t="shared" ref="AI735:AI798" si="247">AE735*AG735</f>
        <v>17.666666666666668</v>
      </c>
      <c r="AJ735" s="73">
        <f t="shared" ref="AJ735:AJ798" si="248">IF(ISERROR(+AC735/AI735),0,+AC735/AI735)</f>
        <v>975.382846391052</v>
      </c>
      <c r="AK735" s="539"/>
      <c r="AL735" s="748"/>
      <c r="AM735" s="748"/>
    </row>
    <row r="736" spans="2:39" x14ac:dyDescent="0.2">
      <c r="B736" s="101" t="str">
        <f t="shared" si="233"/>
        <v>Walter Meister</v>
      </c>
      <c r="C736" s="168">
        <f>IF(ISERROR(Personalplanung!F8/Monatsplanung!$E8*Monatsplanung!$N8),0,Personalplanung!F8/Monatsplanung!$E8*Monatsplanung!$N8)</f>
        <v>174</v>
      </c>
      <c r="D736" s="168">
        <f t="shared" si="234"/>
        <v>8</v>
      </c>
      <c r="E736" s="168">
        <f>IF(ISERROR(Personalplanung!H8/Monatsplanung!$E8*Monatsplanung!$N8),0,Personalplanung!H8/Monatsplanung!$E8*Monatsplanung!$N8)</f>
        <v>26.666666666666668</v>
      </c>
      <c r="F736" s="168">
        <f t="shared" si="235"/>
        <v>200.66666666666666</v>
      </c>
      <c r="G736" s="168">
        <f t="shared" si="236"/>
        <v>27.700831024930746</v>
      </c>
      <c r="H736" s="168">
        <f t="shared" si="237"/>
        <v>5558.6334256694363</v>
      </c>
      <c r="I736" s="168">
        <f t="shared" si="238"/>
        <v>30</v>
      </c>
      <c r="J736" s="739"/>
      <c r="K736" s="168">
        <f>IF(J736&lt;&gt;"",J736,IF(ISERROR(Personalplanung!AB8/Monatsplanung!$E8*Monatsplanung!$N8),0,Personalplanung!AB8/Monatsplanung!$E8*Monatsplanung!$N8))</f>
        <v>0.66666666666666663</v>
      </c>
      <c r="L736" s="740"/>
      <c r="M736" s="739"/>
      <c r="N736" s="168">
        <f>IF(M736&lt;&gt;"",M736,IF(ISERROR(Personalplanung!AC8/Monatsplanung!$E8*Monatsplanung!$N8),0,Personalplanung!AC8/Monatsplanung!$E8*Monatsplanung!$N8))</f>
        <v>8.3333333333333329E-2</v>
      </c>
      <c r="O736" s="740"/>
      <c r="P736" s="739"/>
      <c r="Q736" s="168">
        <f>IF(P736&lt;&gt;"",P736,IF(ISERROR(Personalplanung!AD8/Monatsplanung!$E8*Monatsplanung!$N8),0,Personalplanung!AD8/Monatsplanung!$E8*Monatsplanung!$N8))</f>
        <v>0.16666666666666666</v>
      </c>
      <c r="R736" s="740"/>
      <c r="S736" s="739"/>
      <c r="T736" s="168">
        <f>IF(S736&lt;&gt;"",S736,IF(ISERROR(Personalplanung!AE8/Monatsplanung!$E8*Monatsplanung!$N8),0,Personalplanung!AE8/Monatsplanung!$E8*Monatsplanung!$N8))</f>
        <v>2.1666666666666665</v>
      </c>
      <c r="U736" s="740"/>
      <c r="V736" s="168">
        <f t="shared" si="239"/>
        <v>3.083333333333333</v>
      </c>
      <c r="W736" s="168">
        <f>IF(ISERROR(Personalplanung!P8/Monatsplanung!$E8*Monatsplanung!$N8),0,Personalplanung!P8/Monatsplanung!$E8*Monatsplanung!$N8)</f>
        <v>0</v>
      </c>
      <c r="X736" s="168">
        <f>IF(ISERROR(Personalplanung!Q8/Monatsplanung!$E8*Monatsplanung!$N8),0,Personalplanung!Q8/Monatsplanung!$E8*Monatsplanung!$N8)</f>
        <v>0</v>
      </c>
      <c r="Y736" s="168">
        <f>IF(ISERROR(Personalplanung!R8/T1256*Stundencontrolling!T736),0,Personalplanung!R8/T1256*Stundencontrolling!T736)</f>
        <v>0</v>
      </c>
      <c r="Z736" s="168">
        <f>IF(ISERROR(Personalplanung!S8/Monatsplanung!$E8*Monatsplanung!$N8),0,Personalplanung!S8/Monatsplanung!$E8*Monatsplanung!$N8)</f>
        <v>0</v>
      </c>
      <c r="AA736" s="80">
        <f t="shared" si="240"/>
        <v>172317.63619575254</v>
      </c>
      <c r="AB736" s="102">
        <f t="shared" si="241"/>
        <v>0.1</v>
      </c>
      <c r="AC736" s="103">
        <f t="shared" si="242"/>
        <v>17231.763619575253</v>
      </c>
      <c r="AD736" s="103">
        <f t="shared" si="243"/>
        <v>155085.87257617729</v>
      </c>
      <c r="AE736" s="81">
        <f t="shared" si="244"/>
        <v>17.600000000000001</v>
      </c>
      <c r="AF736" s="539"/>
      <c r="AG736" s="104">
        <f t="shared" si="245"/>
        <v>1</v>
      </c>
      <c r="AH736" s="7">
        <f t="shared" si="246"/>
        <v>0</v>
      </c>
      <c r="AI736" s="6">
        <f t="shared" si="247"/>
        <v>17.600000000000001</v>
      </c>
      <c r="AJ736" s="73">
        <f t="shared" si="248"/>
        <v>979.07747838495743</v>
      </c>
      <c r="AK736" s="539"/>
      <c r="AL736" s="748"/>
      <c r="AM736" s="748"/>
    </row>
    <row r="737" spans="2:39" x14ac:dyDescent="0.2">
      <c r="B737" s="101" t="str">
        <f t="shared" si="233"/>
        <v>Tom in Technik</v>
      </c>
      <c r="C737" s="168">
        <f>IF(ISERROR(Personalplanung!F9/Monatsplanung!$E9*Monatsplanung!$N9),0,Personalplanung!F9/Monatsplanung!$E9*Monatsplanung!$N9)</f>
        <v>174</v>
      </c>
      <c r="D737" s="168">
        <f t="shared" si="234"/>
        <v>8</v>
      </c>
      <c r="E737" s="168">
        <f>IF(ISERROR(Personalplanung!H9/Monatsplanung!$E9*Monatsplanung!$N9),0,Personalplanung!H9/Monatsplanung!$E9*Monatsplanung!$N9)</f>
        <v>0</v>
      </c>
      <c r="F737" s="168">
        <f t="shared" si="235"/>
        <v>174</v>
      </c>
      <c r="G737" s="168">
        <f t="shared" si="236"/>
        <v>27.700831024930746</v>
      </c>
      <c r="H737" s="168">
        <f t="shared" si="237"/>
        <v>4819.9445983379501</v>
      </c>
      <c r="I737" s="168">
        <f t="shared" si="238"/>
        <v>30</v>
      </c>
      <c r="J737" s="739"/>
      <c r="K737" s="168">
        <f>IF(J737&lt;&gt;"",J737,IF(ISERROR(Personalplanung!AB9/Monatsplanung!$E9*Monatsplanung!$N9),0,Personalplanung!AB9/Monatsplanung!$E9*Monatsplanung!$N9))</f>
        <v>0.66666666666666663</v>
      </c>
      <c r="L737" s="740"/>
      <c r="M737" s="739"/>
      <c r="N737" s="168">
        <f>IF(M737&lt;&gt;"",M737,IF(ISERROR(Personalplanung!AC9/Monatsplanung!$E9*Monatsplanung!$N9),0,Personalplanung!AC9/Monatsplanung!$E9*Monatsplanung!$N9))</f>
        <v>0.16666666666666666</v>
      </c>
      <c r="O737" s="740"/>
      <c r="P737" s="739"/>
      <c r="Q737" s="168">
        <f>IF(P737&lt;&gt;"",P737,IF(ISERROR(Personalplanung!AD9/Monatsplanung!$E9*Monatsplanung!$N9),0,Personalplanung!AD9/Monatsplanung!$E9*Monatsplanung!$N9))</f>
        <v>0.16666666666666666</v>
      </c>
      <c r="R737" s="740"/>
      <c r="S737" s="739"/>
      <c r="T737" s="168">
        <f>IF(S737&lt;&gt;"",S737,IF(ISERROR(Personalplanung!AE9/Monatsplanung!$E9*Monatsplanung!$N9),0,Personalplanung!AE9/Monatsplanung!$E9*Monatsplanung!$N9))</f>
        <v>2.1666666666666665</v>
      </c>
      <c r="U737" s="740"/>
      <c r="V737" s="168">
        <f t="shared" si="239"/>
        <v>3.1666666666666665</v>
      </c>
      <c r="W737" s="168">
        <f>IF(ISERROR(Personalplanung!P9/Monatsplanung!$E9*Monatsplanung!$N9),0,Personalplanung!P9/Monatsplanung!$E9*Monatsplanung!$N9)</f>
        <v>0</v>
      </c>
      <c r="X737" s="168">
        <f>IF(ISERROR(Personalplanung!Q9/Monatsplanung!$E9*Monatsplanung!$N9),0,Personalplanung!Q9/Monatsplanung!$E9*Monatsplanung!$N9)</f>
        <v>0</v>
      </c>
      <c r="Y737" s="168">
        <f>IF(ISERROR(Personalplanung!R9/T1257*Stundencontrolling!T737),0,Personalplanung!R9/T1257*Stundencontrolling!T737)</f>
        <v>0</v>
      </c>
      <c r="Z737" s="168">
        <f>IF(ISERROR(Personalplanung!S9/Monatsplanung!$E9*Monatsplanung!$N9),0,Personalplanung!S9/Monatsplanung!$E9*Monatsplanung!$N9)</f>
        <v>0</v>
      </c>
      <c r="AA737" s="80">
        <f t="shared" si="240"/>
        <v>149418.28254847645</v>
      </c>
      <c r="AB737" s="102">
        <f t="shared" si="241"/>
        <v>0.1</v>
      </c>
      <c r="AC737" s="103">
        <f t="shared" si="242"/>
        <v>14941.828254847645</v>
      </c>
      <c r="AD737" s="103">
        <f t="shared" si="243"/>
        <v>134476.45429362881</v>
      </c>
      <c r="AE737" s="81">
        <f t="shared" si="244"/>
        <v>14.866666666666667</v>
      </c>
      <c r="AF737" s="539"/>
      <c r="AG737" s="104">
        <f t="shared" si="245"/>
        <v>1</v>
      </c>
      <c r="AH737" s="7">
        <f t="shared" si="246"/>
        <v>0</v>
      </c>
      <c r="AI737" s="6">
        <f t="shared" si="247"/>
        <v>14.866666666666667</v>
      </c>
      <c r="AJ737" s="73">
        <f t="shared" si="248"/>
        <v>1005.0557122094829</v>
      </c>
      <c r="AK737" s="539"/>
      <c r="AL737" s="748"/>
      <c r="AM737" s="748"/>
    </row>
    <row r="738" spans="2:39" x14ac:dyDescent="0.2">
      <c r="B738" s="101" t="str">
        <f t="shared" si="233"/>
        <v>Lola Rennt</v>
      </c>
      <c r="C738" s="168">
        <f>IF(ISERROR(Personalplanung!F10/Monatsplanung!$E10*Monatsplanung!$N10),0,Personalplanung!F10/Monatsplanung!$E10*Monatsplanung!$N10)</f>
        <v>174</v>
      </c>
      <c r="D738" s="168">
        <f t="shared" si="234"/>
        <v>8</v>
      </c>
      <c r="E738" s="168">
        <f>IF(ISERROR(Personalplanung!H10/Monatsplanung!$E10*Monatsplanung!$N10),0,Personalplanung!H10/Monatsplanung!$E10*Monatsplanung!$N10)</f>
        <v>0</v>
      </c>
      <c r="F738" s="168">
        <f t="shared" si="235"/>
        <v>174</v>
      </c>
      <c r="G738" s="168">
        <f t="shared" si="236"/>
        <v>27.700831024930746</v>
      </c>
      <c r="H738" s="168">
        <f t="shared" si="237"/>
        <v>4819.9445983379501</v>
      </c>
      <c r="I738" s="168">
        <f t="shared" si="238"/>
        <v>30</v>
      </c>
      <c r="J738" s="739"/>
      <c r="K738" s="168">
        <f>IF(J738&lt;&gt;"",J738,IF(ISERROR(Personalplanung!AB10/Monatsplanung!$E10*Monatsplanung!$N10),0,Personalplanung!AB10/Monatsplanung!$E10*Monatsplanung!$N10))</f>
        <v>0.66666666666666663</v>
      </c>
      <c r="L738" s="740"/>
      <c r="M738" s="739"/>
      <c r="N738" s="168">
        <f>IF(M738&lt;&gt;"",M738,IF(ISERROR(Personalplanung!AC10/Monatsplanung!$E10*Monatsplanung!$N10),0,Personalplanung!AC10/Monatsplanung!$E10*Monatsplanung!$N10))</f>
        <v>0</v>
      </c>
      <c r="O738" s="740"/>
      <c r="P738" s="739"/>
      <c r="Q738" s="168">
        <f>IF(P738&lt;&gt;"",P738,IF(ISERROR(Personalplanung!AD10/Monatsplanung!$E10*Monatsplanung!$N10),0,Personalplanung!AD10/Monatsplanung!$E10*Monatsplanung!$N10))</f>
        <v>0.16666666666666666</v>
      </c>
      <c r="R738" s="740"/>
      <c r="S738" s="739"/>
      <c r="T738" s="168">
        <f>IF(S738&lt;&gt;"",S738,IF(ISERROR(Personalplanung!AE10/Monatsplanung!$E10*Monatsplanung!$N10),0,Personalplanung!AE10/Monatsplanung!$E10*Monatsplanung!$N10))</f>
        <v>2.1666666666666665</v>
      </c>
      <c r="U738" s="740"/>
      <c r="V738" s="168">
        <f t="shared" si="239"/>
        <v>3</v>
      </c>
      <c r="W738" s="168">
        <f>IF(ISERROR(Personalplanung!P10/Monatsplanung!$E10*Monatsplanung!$N10),0,Personalplanung!P10/Monatsplanung!$E10*Monatsplanung!$N10)</f>
        <v>0</v>
      </c>
      <c r="X738" s="168">
        <f>IF(ISERROR(Personalplanung!Q10/Monatsplanung!$E10*Monatsplanung!$N10),0,Personalplanung!Q10/Monatsplanung!$E10*Monatsplanung!$N10)</f>
        <v>0</v>
      </c>
      <c r="Y738" s="168">
        <f>IF(ISERROR(Personalplanung!R10/T1258*Stundencontrolling!T738),0,Personalplanung!R10/T1258*Stundencontrolling!T738)</f>
        <v>0</v>
      </c>
      <c r="Z738" s="168">
        <f>IF(ISERROR(Personalplanung!S10/Monatsplanung!$E10*Monatsplanung!$N10),0,Personalplanung!S10/Monatsplanung!$E10*Monatsplanung!$N10)</f>
        <v>0</v>
      </c>
      <c r="AA738" s="80">
        <f t="shared" si="240"/>
        <v>149418.28254847645</v>
      </c>
      <c r="AB738" s="102">
        <f t="shared" si="241"/>
        <v>0.1</v>
      </c>
      <c r="AC738" s="103">
        <f t="shared" si="242"/>
        <v>14941.828254847645</v>
      </c>
      <c r="AD738" s="103">
        <f t="shared" si="243"/>
        <v>134476.45429362881</v>
      </c>
      <c r="AE738" s="81">
        <f t="shared" si="244"/>
        <v>15</v>
      </c>
      <c r="AF738" s="539"/>
      <c r="AG738" s="104">
        <f t="shared" si="245"/>
        <v>1</v>
      </c>
      <c r="AH738" s="7">
        <f t="shared" si="246"/>
        <v>0</v>
      </c>
      <c r="AI738" s="6">
        <f t="shared" si="247"/>
        <v>15</v>
      </c>
      <c r="AJ738" s="73">
        <f t="shared" si="248"/>
        <v>996.12188365650968</v>
      </c>
      <c r="AK738" s="539"/>
      <c r="AL738" s="748"/>
      <c r="AM738" s="748"/>
    </row>
    <row r="739" spans="2:39" x14ac:dyDescent="0.2">
      <c r="B739" s="101" t="str">
        <f t="shared" si="233"/>
        <v>Bier Lager</v>
      </c>
      <c r="C739" s="168">
        <f>IF(ISERROR(Personalplanung!F11/Monatsplanung!$E11*Monatsplanung!$N11),0,Personalplanung!F11/Monatsplanung!$E11*Monatsplanung!$N11)</f>
        <v>174</v>
      </c>
      <c r="D739" s="168">
        <f t="shared" si="234"/>
        <v>8</v>
      </c>
      <c r="E739" s="168">
        <f>IF(ISERROR(Personalplanung!H11/Monatsplanung!$E11*Monatsplanung!$N11),0,Personalplanung!H11/Monatsplanung!$E11*Monatsplanung!$N11)</f>
        <v>0</v>
      </c>
      <c r="F739" s="168">
        <f t="shared" si="235"/>
        <v>174</v>
      </c>
      <c r="G739" s="168">
        <f t="shared" si="236"/>
        <v>27.700831024930746</v>
      </c>
      <c r="H739" s="168">
        <f t="shared" si="237"/>
        <v>4819.9445983379501</v>
      </c>
      <c r="I739" s="168">
        <f t="shared" si="238"/>
        <v>30</v>
      </c>
      <c r="J739" s="739"/>
      <c r="K739" s="168">
        <f>IF(J739&lt;&gt;"",J739,IF(ISERROR(Personalplanung!AB11/Monatsplanung!$E11*Monatsplanung!$N11),0,Personalplanung!AB11/Monatsplanung!$E11*Monatsplanung!$N11))</f>
        <v>0.66666666666666663</v>
      </c>
      <c r="L739" s="740"/>
      <c r="M739" s="739"/>
      <c r="N739" s="168">
        <f>IF(M739&lt;&gt;"",M739,IF(ISERROR(Personalplanung!AC11/Monatsplanung!$E11*Monatsplanung!$N11),0,Personalplanung!AC11/Monatsplanung!$E11*Monatsplanung!$N11))</f>
        <v>0</v>
      </c>
      <c r="O739" s="740"/>
      <c r="P739" s="739"/>
      <c r="Q739" s="168">
        <f>IF(P739&lt;&gt;"",P739,IF(ISERROR(Personalplanung!AD11/Monatsplanung!$E11*Monatsplanung!$N11),0,Personalplanung!AD11/Monatsplanung!$E11*Monatsplanung!$N11))</f>
        <v>0.16666666666666666</v>
      </c>
      <c r="R739" s="740"/>
      <c r="S739" s="739"/>
      <c r="T739" s="168">
        <f>IF(S739&lt;&gt;"",S739,IF(ISERROR(Personalplanung!AE11/Monatsplanung!$E11*Monatsplanung!$N11),0,Personalplanung!AE11/Monatsplanung!$E11*Monatsplanung!$N11))</f>
        <v>2.1666666666666665</v>
      </c>
      <c r="U739" s="740"/>
      <c r="V739" s="168">
        <f t="shared" si="239"/>
        <v>3</v>
      </c>
      <c r="W739" s="168">
        <f>IF(ISERROR(Personalplanung!P11/Monatsplanung!$E11*Monatsplanung!$N11),0,Personalplanung!P11/Monatsplanung!$E11*Monatsplanung!$N11)</f>
        <v>0</v>
      </c>
      <c r="X739" s="168">
        <f>IF(ISERROR(Personalplanung!Q11/Monatsplanung!$E11*Monatsplanung!$N11),0,Personalplanung!Q11/Monatsplanung!$E11*Monatsplanung!$N11)</f>
        <v>0</v>
      </c>
      <c r="Y739" s="168">
        <f>IF(ISERROR(Personalplanung!R11/T1259*Stundencontrolling!T739),0,Personalplanung!R11/T1259*Stundencontrolling!T739)</f>
        <v>0</v>
      </c>
      <c r="Z739" s="168">
        <f>IF(ISERROR(Personalplanung!S11/Monatsplanung!$E11*Monatsplanung!$N11),0,Personalplanung!S11/Monatsplanung!$E11*Monatsplanung!$N11)</f>
        <v>0</v>
      </c>
      <c r="AA739" s="80">
        <f t="shared" si="240"/>
        <v>149418.28254847645</v>
      </c>
      <c r="AB739" s="102">
        <f t="shared" si="241"/>
        <v>0.1</v>
      </c>
      <c r="AC739" s="103">
        <f t="shared" si="242"/>
        <v>14941.828254847645</v>
      </c>
      <c r="AD739" s="103">
        <f t="shared" si="243"/>
        <v>134476.45429362881</v>
      </c>
      <c r="AE739" s="81">
        <f t="shared" si="244"/>
        <v>15</v>
      </c>
      <c r="AF739" s="539"/>
      <c r="AG739" s="104">
        <f t="shared" si="245"/>
        <v>1</v>
      </c>
      <c r="AH739" s="7">
        <f t="shared" si="246"/>
        <v>0</v>
      </c>
      <c r="AI739" s="6">
        <f t="shared" si="247"/>
        <v>15</v>
      </c>
      <c r="AJ739" s="73">
        <f t="shared" si="248"/>
        <v>996.12188365650968</v>
      </c>
      <c r="AK739" s="539"/>
      <c r="AL739" s="748"/>
      <c r="AM739" s="748"/>
    </row>
    <row r="740" spans="2:39" x14ac:dyDescent="0.2">
      <c r="B740" s="101" t="str">
        <f t="shared" si="233"/>
        <v>Heinrich vor Arbeit</v>
      </c>
      <c r="C740" s="168">
        <f>IF(ISERROR(Personalplanung!F12/Monatsplanung!$E12*Monatsplanung!$N12),0,Personalplanung!F12/Monatsplanung!$E12*Monatsplanung!$N12)</f>
        <v>174</v>
      </c>
      <c r="D740" s="168">
        <f t="shared" si="234"/>
        <v>8</v>
      </c>
      <c r="E740" s="168">
        <f>IF(ISERROR(Personalplanung!H12/Monatsplanung!$E12*Monatsplanung!$N12),0,Personalplanung!H12/Monatsplanung!$E12*Monatsplanung!$N12)</f>
        <v>0</v>
      </c>
      <c r="F740" s="168">
        <f t="shared" si="235"/>
        <v>174</v>
      </c>
      <c r="G740" s="168">
        <f t="shared" si="236"/>
        <v>27.700831024930746</v>
      </c>
      <c r="H740" s="168">
        <f t="shared" si="237"/>
        <v>4819.9445983379501</v>
      </c>
      <c r="I740" s="168">
        <f t="shared" si="238"/>
        <v>30</v>
      </c>
      <c r="J740" s="739"/>
      <c r="K740" s="168">
        <f>IF(J740&lt;&gt;"",J740,IF(ISERROR(Personalplanung!AB12/Monatsplanung!$E12*Monatsplanung!$N12),0,Personalplanung!AB12/Monatsplanung!$E12*Monatsplanung!$N12))</f>
        <v>0.66666666666666663</v>
      </c>
      <c r="L740" s="740"/>
      <c r="M740" s="739"/>
      <c r="N740" s="168">
        <f>IF(M740&lt;&gt;"",M740,IF(ISERROR(Personalplanung!AC12/Monatsplanung!$E12*Monatsplanung!$N12),0,Personalplanung!AC12/Monatsplanung!$E12*Monatsplanung!$N12))</f>
        <v>0</v>
      </c>
      <c r="O740" s="740"/>
      <c r="P740" s="739"/>
      <c r="Q740" s="168">
        <f>IF(P740&lt;&gt;"",P740,IF(ISERROR(Personalplanung!AD12/Monatsplanung!$E12*Monatsplanung!$N12),0,Personalplanung!AD12/Monatsplanung!$E12*Monatsplanung!$N12))</f>
        <v>0.16666666666666666</v>
      </c>
      <c r="R740" s="740"/>
      <c r="S740" s="739"/>
      <c r="T740" s="168">
        <f>IF(S740&lt;&gt;"",S740,IF(ISERROR(Personalplanung!AE12/Monatsplanung!$E12*Monatsplanung!$N12),0,Personalplanung!AE12/Monatsplanung!$E12*Monatsplanung!$N12))</f>
        <v>2.1666666666666665</v>
      </c>
      <c r="U740" s="740"/>
      <c r="V740" s="168">
        <f t="shared" si="239"/>
        <v>3</v>
      </c>
      <c r="W740" s="168">
        <f>IF(ISERROR(Personalplanung!P12/Monatsplanung!$E12*Monatsplanung!$N12),0,Personalplanung!P12/Monatsplanung!$E12*Monatsplanung!$N12)</f>
        <v>0</v>
      </c>
      <c r="X740" s="168">
        <f>IF(ISERROR(Personalplanung!Q12/Monatsplanung!$E12*Monatsplanung!$N12),0,Personalplanung!Q12/Monatsplanung!$E12*Monatsplanung!$N12)</f>
        <v>0</v>
      </c>
      <c r="Y740" s="168">
        <f>IF(ISERROR(Personalplanung!R12/T1260*Stundencontrolling!T740),0,Personalplanung!R12/T1260*Stundencontrolling!T740)</f>
        <v>0</v>
      </c>
      <c r="Z740" s="168">
        <f>IF(ISERROR(Personalplanung!S12/Monatsplanung!$E12*Monatsplanung!$N12),0,Personalplanung!S12/Monatsplanung!$E12*Monatsplanung!$N12)</f>
        <v>0</v>
      </c>
      <c r="AA740" s="80">
        <f t="shared" si="240"/>
        <v>149418.28254847645</v>
      </c>
      <c r="AB740" s="102">
        <f t="shared" si="241"/>
        <v>0.1</v>
      </c>
      <c r="AC740" s="103">
        <f t="shared" si="242"/>
        <v>14941.828254847645</v>
      </c>
      <c r="AD740" s="103">
        <f t="shared" si="243"/>
        <v>134476.45429362881</v>
      </c>
      <c r="AE740" s="81">
        <f t="shared" si="244"/>
        <v>15</v>
      </c>
      <c r="AF740" s="539"/>
      <c r="AG740" s="104">
        <f t="shared" si="245"/>
        <v>1</v>
      </c>
      <c r="AH740" s="7">
        <f t="shared" si="246"/>
        <v>0</v>
      </c>
      <c r="AI740" s="6">
        <f t="shared" si="247"/>
        <v>15</v>
      </c>
      <c r="AJ740" s="73">
        <f t="shared" si="248"/>
        <v>996.12188365650968</v>
      </c>
      <c r="AK740" s="539"/>
      <c r="AL740" s="748"/>
      <c r="AM740" s="748"/>
    </row>
    <row r="741" spans="2:39" x14ac:dyDescent="0.2">
      <c r="B741" s="101" t="str">
        <f t="shared" si="233"/>
        <v>Voller Geselle</v>
      </c>
      <c r="C741" s="168">
        <f>IF(ISERROR(Personalplanung!F13/Monatsplanung!$E13*Monatsplanung!$N13),0,Personalplanung!F13/Monatsplanung!$E13*Monatsplanung!$N13)</f>
        <v>174</v>
      </c>
      <c r="D741" s="168">
        <f t="shared" si="234"/>
        <v>8</v>
      </c>
      <c r="E741" s="168">
        <f>IF(ISERROR(Personalplanung!H13/Monatsplanung!$E13*Monatsplanung!$N13),0,Personalplanung!H13/Monatsplanung!$E13*Monatsplanung!$N13)</f>
        <v>0</v>
      </c>
      <c r="F741" s="168">
        <f t="shared" si="235"/>
        <v>174</v>
      </c>
      <c r="G741" s="168">
        <f t="shared" si="236"/>
        <v>27.700831024930746</v>
      </c>
      <c r="H741" s="168">
        <f t="shared" si="237"/>
        <v>4819.9445983379501</v>
      </c>
      <c r="I741" s="168">
        <f t="shared" si="238"/>
        <v>30</v>
      </c>
      <c r="J741" s="739"/>
      <c r="K741" s="168">
        <f>IF(J741&lt;&gt;"",J741,IF(ISERROR(Personalplanung!AB13/Monatsplanung!$E13*Monatsplanung!$N13),0,Personalplanung!AB13/Monatsplanung!$E13*Monatsplanung!$N13))</f>
        <v>0.66666666666666663</v>
      </c>
      <c r="L741" s="740"/>
      <c r="M741" s="739"/>
      <c r="N741" s="168">
        <f>IF(M741&lt;&gt;"",M741,IF(ISERROR(Personalplanung!AC13/Monatsplanung!$E13*Monatsplanung!$N13),0,Personalplanung!AC13/Monatsplanung!$E13*Monatsplanung!$N13))</f>
        <v>0.25</v>
      </c>
      <c r="O741" s="740"/>
      <c r="P741" s="739"/>
      <c r="Q741" s="168">
        <f>IF(P741&lt;&gt;"",P741,IF(ISERROR(Personalplanung!AD13/Monatsplanung!$E13*Monatsplanung!$N13),0,Personalplanung!AD13/Monatsplanung!$E13*Monatsplanung!$N13))</f>
        <v>0.16666666666666666</v>
      </c>
      <c r="R741" s="740"/>
      <c r="S741" s="739"/>
      <c r="T741" s="168">
        <f>IF(S741&lt;&gt;"",S741,IF(ISERROR(Personalplanung!AE13/Monatsplanung!$E13*Monatsplanung!$N13),0,Personalplanung!AE13/Monatsplanung!$E13*Monatsplanung!$N13))</f>
        <v>2.1666666666666665</v>
      </c>
      <c r="U741" s="740"/>
      <c r="V741" s="168">
        <f t="shared" si="239"/>
        <v>3.25</v>
      </c>
      <c r="W741" s="168">
        <f>IF(ISERROR(Personalplanung!P13/Monatsplanung!$E13*Monatsplanung!$N13),0,Personalplanung!P13/Monatsplanung!$E13*Monatsplanung!$N13)</f>
        <v>0</v>
      </c>
      <c r="X741" s="168">
        <f>IF(ISERROR(Personalplanung!Q13/Monatsplanung!$E13*Monatsplanung!$N13),0,Personalplanung!Q13/Monatsplanung!$E13*Monatsplanung!$N13)</f>
        <v>0</v>
      </c>
      <c r="Y741" s="168">
        <f>IF(ISERROR(Personalplanung!R13/T1261*Stundencontrolling!T741),0,Personalplanung!R13/T1261*Stundencontrolling!T741)</f>
        <v>0</v>
      </c>
      <c r="Z741" s="168">
        <f>IF(ISERROR(Personalplanung!S13/Monatsplanung!$E13*Monatsplanung!$N13),0,Personalplanung!S13/Monatsplanung!$E13*Monatsplanung!$N13)</f>
        <v>0</v>
      </c>
      <c r="AA741" s="80">
        <f t="shared" si="240"/>
        <v>149418.28254847645</v>
      </c>
      <c r="AB741" s="102">
        <f t="shared" si="241"/>
        <v>0.1</v>
      </c>
      <c r="AC741" s="103">
        <f t="shared" si="242"/>
        <v>14941.828254847645</v>
      </c>
      <c r="AD741" s="103">
        <f t="shared" si="243"/>
        <v>134476.45429362881</v>
      </c>
      <c r="AE741" s="81">
        <f t="shared" si="244"/>
        <v>14.8</v>
      </c>
      <c r="AF741" s="539"/>
      <c r="AG741" s="104">
        <f t="shared" si="245"/>
        <v>1</v>
      </c>
      <c r="AH741" s="7">
        <f t="shared" si="246"/>
        <v>0</v>
      </c>
      <c r="AI741" s="6">
        <f t="shared" si="247"/>
        <v>14.8</v>
      </c>
      <c r="AJ741" s="73">
        <f t="shared" si="248"/>
        <v>1009.5829901924084</v>
      </c>
      <c r="AK741" s="539"/>
      <c r="AL741" s="748"/>
      <c r="AM741" s="748"/>
    </row>
    <row r="742" spans="2:39" x14ac:dyDescent="0.2">
      <c r="B742" s="101" t="str">
        <f t="shared" si="233"/>
        <v>Thomas Fleißig</v>
      </c>
      <c r="C742" s="168">
        <f>IF(ISERROR(Personalplanung!F14/Monatsplanung!$E14*Monatsplanung!$N14),0,Personalplanung!F14/Monatsplanung!$E14*Monatsplanung!$N14)</f>
        <v>174</v>
      </c>
      <c r="D742" s="168">
        <f t="shared" si="234"/>
        <v>8</v>
      </c>
      <c r="E742" s="168">
        <f>IF(ISERROR(Personalplanung!H14/Monatsplanung!$E14*Monatsplanung!$N14),0,Personalplanung!H14/Monatsplanung!$E14*Monatsplanung!$N14)</f>
        <v>0</v>
      </c>
      <c r="F742" s="168">
        <f t="shared" si="235"/>
        <v>174</v>
      </c>
      <c r="G742" s="168">
        <f t="shared" si="236"/>
        <v>27.700831024930746</v>
      </c>
      <c r="H742" s="168">
        <f t="shared" si="237"/>
        <v>4819.9445983379501</v>
      </c>
      <c r="I742" s="168">
        <f t="shared" si="238"/>
        <v>30</v>
      </c>
      <c r="J742" s="739"/>
      <c r="K742" s="168">
        <f>IF(J742&lt;&gt;"",J742,IF(ISERROR(Personalplanung!AB14/Monatsplanung!$E14*Monatsplanung!$N14),0,Personalplanung!AB14/Monatsplanung!$E14*Monatsplanung!$N14))</f>
        <v>0.66666666666666663</v>
      </c>
      <c r="L742" s="740"/>
      <c r="M742" s="739"/>
      <c r="N742" s="168">
        <f>IF(M742&lt;&gt;"",M742,IF(ISERROR(Personalplanung!AC14/Monatsplanung!$E14*Monatsplanung!$N14),0,Personalplanung!AC14/Monatsplanung!$E14*Monatsplanung!$N14))</f>
        <v>0</v>
      </c>
      <c r="O742" s="740"/>
      <c r="P742" s="739"/>
      <c r="Q742" s="168">
        <f>IF(P742&lt;&gt;"",P742,IF(ISERROR(Personalplanung!AD14/Monatsplanung!$E14*Monatsplanung!$N14),0,Personalplanung!AD14/Monatsplanung!$E14*Monatsplanung!$N14))</f>
        <v>0.16666666666666666</v>
      </c>
      <c r="R742" s="740"/>
      <c r="S742" s="739"/>
      <c r="T742" s="168">
        <f>IF(S742&lt;&gt;"",S742,IF(ISERROR(Personalplanung!AE14/Monatsplanung!$E14*Monatsplanung!$N14),0,Personalplanung!AE14/Monatsplanung!$E14*Monatsplanung!$N14))</f>
        <v>2.1666666666666665</v>
      </c>
      <c r="U742" s="740"/>
      <c r="V742" s="168">
        <f t="shared" si="239"/>
        <v>3</v>
      </c>
      <c r="W742" s="168">
        <f>IF(ISERROR(Personalplanung!P14/Monatsplanung!$E14*Monatsplanung!$N14),0,Personalplanung!P14/Monatsplanung!$E14*Monatsplanung!$N14)</f>
        <v>0</v>
      </c>
      <c r="X742" s="168">
        <f>IF(ISERROR(Personalplanung!Q14/Monatsplanung!$E14*Monatsplanung!$N14),0,Personalplanung!Q14/Monatsplanung!$E14*Monatsplanung!$N14)</f>
        <v>166.66666666666666</v>
      </c>
      <c r="Y742" s="168">
        <f>IF(ISERROR(Personalplanung!R14/T1262*Stundencontrolling!T742),0,Personalplanung!R14/T1262*Stundencontrolling!T742)</f>
        <v>66.666666666666657</v>
      </c>
      <c r="Z742" s="168">
        <f>IF(ISERROR(Personalplanung!S14/Monatsplanung!$E14*Monatsplanung!$N14),0,Personalplanung!S14/Monatsplanung!$E14*Monatsplanung!$N14)</f>
        <v>50</v>
      </c>
      <c r="AA742" s="80">
        <f t="shared" si="240"/>
        <v>149701.61588180979</v>
      </c>
      <c r="AB742" s="102">
        <f t="shared" si="241"/>
        <v>0.1</v>
      </c>
      <c r="AC742" s="103">
        <f t="shared" si="242"/>
        <v>14970.161588180979</v>
      </c>
      <c r="AD742" s="103">
        <f t="shared" si="243"/>
        <v>134731.45429362881</v>
      </c>
      <c r="AE742" s="81">
        <f t="shared" si="244"/>
        <v>15</v>
      </c>
      <c r="AF742" s="539"/>
      <c r="AG742" s="104">
        <f t="shared" si="245"/>
        <v>1</v>
      </c>
      <c r="AH742" s="7">
        <f t="shared" si="246"/>
        <v>0</v>
      </c>
      <c r="AI742" s="6">
        <f t="shared" si="247"/>
        <v>15</v>
      </c>
      <c r="AJ742" s="73">
        <f t="shared" si="248"/>
        <v>998.01077254539859</v>
      </c>
      <c r="AK742" s="539"/>
      <c r="AL742" s="748"/>
      <c r="AM742" s="748"/>
    </row>
    <row r="743" spans="2:39" x14ac:dyDescent="0.2">
      <c r="B743" s="101" t="str">
        <f t="shared" si="233"/>
        <v>Facharbeiter</v>
      </c>
      <c r="C743" s="168">
        <f>IF(ISERROR(Personalplanung!F15/Monatsplanung!$E15*Monatsplanung!$N15),0,Personalplanung!F15/Monatsplanung!$E15*Monatsplanung!$N15)</f>
        <v>174</v>
      </c>
      <c r="D743" s="168">
        <f t="shared" si="234"/>
        <v>8</v>
      </c>
      <c r="E743" s="168">
        <f>IF(ISERROR(Personalplanung!H15/Monatsplanung!$E15*Monatsplanung!$N15),0,Personalplanung!H15/Monatsplanung!$E15*Monatsplanung!$N15)</f>
        <v>0</v>
      </c>
      <c r="F743" s="168">
        <f t="shared" si="235"/>
        <v>174</v>
      </c>
      <c r="G743" s="168">
        <f t="shared" si="236"/>
        <v>27.700831024930746</v>
      </c>
      <c r="H743" s="168">
        <f t="shared" si="237"/>
        <v>4819.9445983379501</v>
      </c>
      <c r="I743" s="168">
        <f t="shared" si="238"/>
        <v>30</v>
      </c>
      <c r="J743" s="739"/>
      <c r="K743" s="168">
        <f>IF(J743&lt;&gt;"",J743,IF(ISERROR(Personalplanung!AB15/Monatsplanung!$E15*Monatsplanung!$N15),0,Personalplanung!AB15/Monatsplanung!$E15*Monatsplanung!$N15))</f>
        <v>0.66666666666666663</v>
      </c>
      <c r="L743" s="740"/>
      <c r="M743" s="739"/>
      <c r="N743" s="168">
        <f>IF(M743&lt;&gt;"",M743,IF(ISERROR(Personalplanung!AC15/Monatsplanung!$E15*Monatsplanung!$N15),0,Personalplanung!AC15/Monatsplanung!$E15*Monatsplanung!$N15))</f>
        <v>0.16666666666666666</v>
      </c>
      <c r="O743" s="740"/>
      <c r="P743" s="739"/>
      <c r="Q743" s="168">
        <f>IF(P743&lt;&gt;"",P743,IF(ISERROR(Personalplanung!AD15/Monatsplanung!$E15*Monatsplanung!$N15),0,Personalplanung!AD15/Monatsplanung!$E15*Monatsplanung!$N15))</f>
        <v>0.41666666666666669</v>
      </c>
      <c r="R743" s="740"/>
      <c r="S743" s="739"/>
      <c r="T743" s="168">
        <f>IF(S743&lt;&gt;"",S743,IF(ISERROR(Personalplanung!AE15/Monatsplanung!$E15*Monatsplanung!$N15),0,Personalplanung!AE15/Monatsplanung!$E15*Monatsplanung!$N15))</f>
        <v>2.1666666666666665</v>
      </c>
      <c r="U743" s="740"/>
      <c r="V743" s="168">
        <f t="shared" si="239"/>
        <v>3.4166666666666665</v>
      </c>
      <c r="W743" s="168">
        <f>IF(ISERROR(Personalplanung!P15/Monatsplanung!$E15*Monatsplanung!$N15),0,Personalplanung!P15/Monatsplanung!$E15*Monatsplanung!$N15)</f>
        <v>0</v>
      </c>
      <c r="X743" s="168">
        <f>IF(ISERROR(Personalplanung!Q15/Monatsplanung!$E15*Monatsplanung!$N15),0,Personalplanung!Q15/Monatsplanung!$E15*Monatsplanung!$N15)</f>
        <v>0</v>
      </c>
      <c r="Y743" s="168">
        <f>IF(ISERROR(Personalplanung!R15/T1263*Stundencontrolling!T743),0,Personalplanung!R15/T1263*Stundencontrolling!T743)</f>
        <v>0</v>
      </c>
      <c r="Z743" s="168">
        <f>IF(ISERROR(Personalplanung!S15/Monatsplanung!$E15*Monatsplanung!$N15),0,Personalplanung!S15/Monatsplanung!$E15*Monatsplanung!$N15)</f>
        <v>0</v>
      </c>
      <c r="AA743" s="80">
        <f t="shared" si="240"/>
        <v>149418.28254847645</v>
      </c>
      <c r="AB743" s="102">
        <f t="shared" si="241"/>
        <v>0.1</v>
      </c>
      <c r="AC743" s="103">
        <f t="shared" si="242"/>
        <v>14941.828254847645</v>
      </c>
      <c r="AD743" s="103">
        <f t="shared" si="243"/>
        <v>134476.45429362881</v>
      </c>
      <c r="AE743" s="81">
        <f t="shared" si="244"/>
        <v>14.666666666666666</v>
      </c>
      <c r="AF743" s="539"/>
      <c r="AG743" s="104">
        <f t="shared" si="245"/>
        <v>1</v>
      </c>
      <c r="AH743" s="7">
        <f t="shared" si="246"/>
        <v>0</v>
      </c>
      <c r="AI743" s="6">
        <f t="shared" si="247"/>
        <v>14.666666666666666</v>
      </c>
      <c r="AJ743" s="73">
        <f t="shared" si="248"/>
        <v>1018.7610173759758</v>
      </c>
      <c r="AK743" s="539"/>
      <c r="AL743" s="748"/>
      <c r="AM743" s="748"/>
    </row>
    <row r="744" spans="2:39" x14ac:dyDescent="0.2">
      <c r="B744" s="101" t="str">
        <f t="shared" si="233"/>
        <v>Abgänger</v>
      </c>
      <c r="C744" s="168">
        <f>IF(ISERROR(Personalplanung!F16/Monatsplanung!$E16*Monatsplanung!$N16),0,Personalplanung!F16/Monatsplanung!$E16*Monatsplanung!$N16)</f>
        <v>0</v>
      </c>
      <c r="D744" s="168">
        <f t="shared" si="234"/>
        <v>8</v>
      </c>
      <c r="E744" s="168">
        <f>IF(ISERROR(Personalplanung!H16/Monatsplanung!$E16*Monatsplanung!$N16),0,Personalplanung!H16/Monatsplanung!$E16*Monatsplanung!$N16)</f>
        <v>0</v>
      </c>
      <c r="F744" s="168">
        <f t="shared" si="235"/>
        <v>0</v>
      </c>
      <c r="G744" s="168">
        <f t="shared" si="236"/>
        <v>27.700831024930746</v>
      </c>
      <c r="H744" s="168">
        <f t="shared" si="237"/>
        <v>0</v>
      </c>
      <c r="I744" s="168">
        <f t="shared" si="238"/>
        <v>30</v>
      </c>
      <c r="J744" s="739"/>
      <c r="K744" s="168">
        <f>IF(J744&lt;&gt;"",J744,IF(ISERROR(Personalplanung!AB16/Monatsplanung!$E16*Monatsplanung!$N16),0,Personalplanung!AB16/Monatsplanung!$E16*Monatsplanung!$N16))</f>
        <v>0</v>
      </c>
      <c r="L744" s="740"/>
      <c r="M744" s="739"/>
      <c r="N744" s="168">
        <f>IF(M744&lt;&gt;"",M744,IF(ISERROR(Personalplanung!AC16/Monatsplanung!$E16*Monatsplanung!$N16),0,Personalplanung!AC16/Monatsplanung!$E16*Monatsplanung!$N16))</f>
        <v>0</v>
      </c>
      <c r="O744" s="740"/>
      <c r="P744" s="739"/>
      <c r="Q744" s="168">
        <f>IF(P744&lt;&gt;"",P744,IF(ISERROR(Personalplanung!AD16/Monatsplanung!$E16*Monatsplanung!$N16),0,Personalplanung!AD16/Monatsplanung!$E16*Monatsplanung!$N16))</f>
        <v>0</v>
      </c>
      <c r="R744" s="740"/>
      <c r="S744" s="739"/>
      <c r="T744" s="168">
        <f>IF(S744&lt;&gt;"",S744,IF(ISERROR(Personalplanung!AE16/Monatsplanung!$E16*Monatsplanung!$N16),0,Personalplanung!AE16/Monatsplanung!$E16*Monatsplanung!$N16))</f>
        <v>0</v>
      </c>
      <c r="U744" s="740"/>
      <c r="V744" s="168">
        <f t="shared" si="239"/>
        <v>0</v>
      </c>
      <c r="W744" s="168">
        <f>IF(ISERROR(Personalplanung!P16/Monatsplanung!$E16*Monatsplanung!$N16),0,Personalplanung!P16/Monatsplanung!$E16*Monatsplanung!$N16)</f>
        <v>0</v>
      </c>
      <c r="X744" s="168">
        <f>IF(ISERROR(Personalplanung!Q16/Monatsplanung!$E16*Monatsplanung!$N16),0,Personalplanung!Q16/Monatsplanung!$E16*Monatsplanung!$N16)</f>
        <v>0</v>
      </c>
      <c r="Y744" s="168">
        <f>IF(ISERROR(Personalplanung!R16/T1264*Stundencontrolling!T744),0,Personalplanung!R16/T1264*Stundencontrolling!T744)</f>
        <v>0</v>
      </c>
      <c r="Z744" s="168">
        <f>IF(ISERROR(Personalplanung!S16/Monatsplanung!$E16*Monatsplanung!$N16),0,Personalplanung!S16/Monatsplanung!$E16*Monatsplanung!$N16)</f>
        <v>0</v>
      </c>
      <c r="AA744" s="80">
        <f t="shared" si="240"/>
        <v>0</v>
      </c>
      <c r="AB744" s="102">
        <f t="shared" si="241"/>
        <v>0.1</v>
      </c>
      <c r="AC744" s="103">
        <f t="shared" si="242"/>
        <v>0</v>
      </c>
      <c r="AD744" s="103">
        <f t="shared" si="243"/>
        <v>0</v>
      </c>
      <c r="AE744" s="81">
        <f t="shared" si="244"/>
        <v>0</v>
      </c>
      <c r="AF744" s="539"/>
      <c r="AG744" s="104">
        <f t="shared" si="245"/>
        <v>1</v>
      </c>
      <c r="AH744" s="7">
        <f t="shared" si="246"/>
        <v>0</v>
      </c>
      <c r="AI744" s="6">
        <f t="shared" si="247"/>
        <v>0</v>
      </c>
      <c r="AJ744" s="73">
        <f t="shared" si="248"/>
        <v>0</v>
      </c>
      <c r="AK744" s="539"/>
      <c r="AL744" s="748"/>
      <c r="AM744" s="748"/>
    </row>
    <row r="745" spans="2:39" x14ac:dyDescent="0.2">
      <c r="B745" s="101" t="str">
        <f t="shared" si="233"/>
        <v>Facharbeiter</v>
      </c>
      <c r="C745" s="168">
        <f>IF(ISERROR(Personalplanung!F17/Monatsplanung!$E17*Monatsplanung!$N17),0,Personalplanung!F17/Monatsplanung!$E17*Monatsplanung!$N17)</f>
        <v>174</v>
      </c>
      <c r="D745" s="168">
        <f t="shared" si="234"/>
        <v>8</v>
      </c>
      <c r="E745" s="168">
        <f>IF(ISERROR(Personalplanung!H17/Monatsplanung!$E17*Monatsplanung!$N17),0,Personalplanung!H17/Monatsplanung!$E17*Monatsplanung!$N17)</f>
        <v>0</v>
      </c>
      <c r="F745" s="168">
        <f t="shared" si="235"/>
        <v>174</v>
      </c>
      <c r="G745" s="168">
        <f t="shared" si="236"/>
        <v>27.700831024930746</v>
      </c>
      <c r="H745" s="168">
        <f t="shared" si="237"/>
        <v>4819.9445983379501</v>
      </c>
      <c r="I745" s="168">
        <f t="shared" si="238"/>
        <v>30</v>
      </c>
      <c r="J745" s="739"/>
      <c r="K745" s="168">
        <f>IF(J745&lt;&gt;"",J745,IF(ISERROR(Personalplanung!AB17/Monatsplanung!$E17*Monatsplanung!$N17),0,Personalplanung!AB17/Monatsplanung!$E17*Monatsplanung!$N17))</f>
        <v>0.66666666666666663</v>
      </c>
      <c r="L745" s="740"/>
      <c r="M745" s="739"/>
      <c r="N745" s="168">
        <f>IF(M745&lt;&gt;"",M745,IF(ISERROR(Personalplanung!AC17/Monatsplanung!$E17*Monatsplanung!$N17),0,Personalplanung!AC17/Monatsplanung!$E17*Monatsplanung!$N17))</f>
        <v>0</v>
      </c>
      <c r="O745" s="740"/>
      <c r="P745" s="739"/>
      <c r="Q745" s="168">
        <f>IF(P745&lt;&gt;"",P745,IF(ISERROR(Personalplanung!AD17/Monatsplanung!$E17*Monatsplanung!$N17),0,Personalplanung!AD17/Monatsplanung!$E17*Monatsplanung!$N17))</f>
        <v>0.16666666666666666</v>
      </c>
      <c r="R745" s="740"/>
      <c r="S745" s="739"/>
      <c r="T745" s="168">
        <f>IF(S745&lt;&gt;"",S745,IF(ISERROR(Personalplanung!AE17/Monatsplanung!$E17*Monatsplanung!$N17),0,Personalplanung!AE17/Monatsplanung!$E17*Monatsplanung!$N17))</f>
        <v>2.1666666666666665</v>
      </c>
      <c r="U745" s="740"/>
      <c r="V745" s="168">
        <f t="shared" si="239"/>
        <v>3</v>
      </c>
      <c r="W745" s="168">
        <f>IF(ISERROR(Personalplanung!P17/Monatsplanung!$E17*Monatsplanung!$N17),0,Personalplanung!P17/Monatsplanung!$E17*Monatsplanung!$N17)</f>
        <v>0</v>
      </c>
      <c r="X745" s="168">
        <f>IF(ISERROR(Personalplanung!Q17/Monatsplanung!$E17*Monatsplanung!$N17),0,Personalplanung!Q17/Monatsplanung!$E17*Monatsplanung!$N17)</f>
        <v>0</v>
      </c>
      <c r="Y745" s="168">
        <f>IF(ISERROR(Personalplanung!R17/T1265*Stundencontrolling!T745),0,Personalplanung!R17/T1265*Stundencontrolling!T745)</f>
        <v>0</v>
      </c>
      <c r="Z745" s="168">
        <f>IF(ISERROR(Personalplanung!S17/Monatsplanung!$E17*Monatsplanung!$N17),0,Personalplanung!S17/Monatsplanung!$E17*Monatsplanung!$N17)</f>
        <v>0</v>
      </c>
      <c r="AA745" s="80">
        <f t="shared" si="240"/>
        <v>149418.28254847645</v>
      </c>
      <c r="AB745" s="102">
        <f t="shared" si="241"/>
        <v>0.1</v>
      </c>
      <c r="AC745" s="103">
        <f t="shared" si="242"/>
        <v>14941.828254847645</v>
      </c>
      <c r="AD745" s="103">
        <f t="shared" si="243"/>
        <v>134476.45429362881</v>
      </c>
      <c r="AE745" s="81">
        <f t="shared" si="244"/>
        <v>15</v>
      </c>
      <c r="AF745" s="539"/>
      <c r="AG745" s="104">
        <f t="shared" si="245"/>
        <v>1</v>
      </c>
      <c r="AH745" s="7">
        <f t="shared" si="246"/>
        <v>0</v>
      </c>
      <c r="AI745" s="6">
        <f t="shared" si="247"/>
        <v>15</v>
      </c>
      <c r="AJ745" s="73">
        <f t="shared" si="248"/>
        <v>996.12188365650968</v>
      </c>
      <c r="AK745" s="539"/>
      <c r="AL745" s="748"/>
      <c r="AM745" s="748"/>
    </row>
    <row r="746" spans="2:39" x14ac:dyDescent="0.2">
      <c r="B746" s="101" t="str">
        <f t="shared" si="233"/>
        <v>Facharbeiter</v>
      </c>
      <c r="C746" s="168">
        <f>IF(ISERROR(Personalplanung!F18/Monatsplanung!$E18*Monatsplanung!$N18),0,Personalplanung!F18/Monatsplanung!$E18*Monatsplanung!$N18)</f>
        <v>174</v>
      </c>
      <c r="D746" s="168">
        <f t="shared" si="234"/>
        <v>8</v>
      </c>
      <c r="E746" s="168">
        <f>IF(ISERROR(Personalplanung!H18/Monatsplanung!$E18*Monatsplanung!$N18),0,Personalplanung!H18/Monatsplanung!$E18*Monatsplanung!$N18)</f>
        <v>0</v>
      </c>
      <c r="F746" s="168">
        <f t="shared" si="235"/>
        <v>174</v>
      </c>
      <c r="G746" s="168">
        <f t="shared" si="236"/>
        <v>27.700831024930746</v>
      </c>
      <c r="H746" s="168">
        <f t="shared" si="237"/>
        <v>4819.9445983379501</v>
      </c>
      <c r="I746" s="168">
        <f t="shared" si="238"/>
        <v>30</v>
      </c>
      <c r="J746" s="739"/>
      <c r="K746" s="168">
        <f>IF(J746&lt;&gt;"",J746,IF(ISERROR(Personalplanung!AB18/Monatsplanung!$E18*Monatsplanung!$N18),0,Personalplanung!AB18/Monatsplanung!$E18*Monatsplanung!$N18))</f>
        <v>0.66666666666666663</v>
      </c>
      <c r="L746" s="740"/>
      <c r="M746" s="739"/>
      <c r="N746" s="168">
        <f>IF(M746&lt;&gt;"",M746,IF(ISERROR(Personalplanung!AC18/Monatsplanung!$E18*Monatsplanung!$N18),0,Personalplanung!AC18/Monatsplanung!$E18*Monatsplanung!$N18))</f>
        <v>0.33333333333333331</v>
      </c>
      <c r="O746" s="740"/>
      <c r="P746" s="739"/>
      <c r="Q746" s="168">
        <f>IF(P746&lt;&gt;"",P746,IF(ISERROR(Personalplanung!AD18/Monatsplanung!$E18*Monatsplanung!$N18),0,Personalplanung!AD18/Monatsplanung!$E18*Monatsplanung!$N18))</f>
        <v>0.16666666666666666</v>
      </c>
      <c r="R746" s="740"/>
      <c r="S746" s="739"/>
      <c r="T746" s="168">
        <f>IF(S746&lt;&gt;"",S746,IF(ISERROR(Personalplanung!AE18/Monatsplanung!$E18*Monatsplanung!$N18),0,Personalplanung!AE18/Monatsplanung!$E18*Monatsplanung!$N18))</f>
        <v>2.1666666666666665</v>
      </c>
      <c r="U746" s="740"/>
      <c r="V746" s="168">
        <f t="shared" si="239"/>
        <v>3.333333333333333</v>
      </c>
      <c r="W746" s="168">
        <f>IF(ISERROR(Personalplanung!P18/Monatsplanung!$E18*Monatsplanung!$N18),0,Personalplanung!P18/Monatsplanung!$E18*Monatsplanung!$N18)</f>
        <v>0</v>
      </c>
      <c r="X746" s="168">
        <f>IF(ISERROR(Personalplanung!Q18/Monatsplanung!$E18*Monatsplanung!$N18),0,Personalplanung!Q18/Monatsplanung!$E18*Monatsplanung!$N18)</f>
        <v>0</v>
      </c>
      <c r="Y746" s="168">
        <f>IF(ISERROR(Personalplanung!R18/T1266*Stundencontrolling!T746),0,Personalplanung!R18/T1266*Stundencontrolling!T746)</f>
        <v>0</v>
      </c>
      <c r="Z746" s="168">
        <f>IF(ISERROR(Personalplanung!S18/Monatsplanung!$E18*Monatsplanung!$N18),0,Personalplanung!S18/Monatsplanung!$E18*Monatsplanung!$N18)</f>
        <v>0</v>
      </c>
      <c r="AA746" s="80">
        <f t="shared" si="240"/>
        <v>149418.28254847645</v>
      </c>
      <c r="AB746" s="102">
        <f t="shared" si="241"/>
        <v>0.1</v>
      </c>
      <c r="AC746" s="103">
        <f t="shared" si="242"/>
        <v>14941.828254847645</v>
      </c>
      <c r="AD746" s="103">
        <f t="shared" si="243"/>
        <v>134476.45429362881</v>
      </c>
      <c r="AE746" s="81">
        <f t="shared" si="244"/>
        <v>14.733333333333334</v>
      </c>
      <c r="AF746" s="539"/>
      <c r="AG746" s="104">
        <f t="shared" si="245"/>
        <v>1</v>
      </c>
      <c r="AH746" s="7">
        <f t="shared" si="246"/>
        <v>0</v>
      </c>
      <c r="AI746" s="6">
        <f t="shared" si="247"/>
        <v>14.733333333333334</v>
      </c>
      <c r="AJ746" s="73">
        <f t="shared" si="248"/>
        <v>1014.1512390168084</v>
      </c>
      <c r="AK746" s="539"/>
      <c r="AL746" s="748"/>
      <c r="AM746" s="748"/>
    </row>
    <row r="747" spans="2:39" x14ac:dyDescent="0.2">
      <c r="B747" s="101" t="str">
        <f t="shared" si="233"/>
        <v>Elternzeit Geselle</v>
      </c>
      <c r="C747" s="168">
        <f>IF(ISERROR(Personalplanung!F19/Monatsplanung!$E19*Monatsplanung!$N19),0,Personalplanung!F19/Monatsplanung!$E19*Monatsplanung!$N19)</f>
        <v>130.5</v>
      </c>
      <c r="D747" s="168">
        <f t="shared" si="234"/>
        <v>6</v>
      </c>
      <c r="E747" s="168">
        <f>IF(ISERROR(Personalplanung!H19/Monatsplanung!$E19*Monatsplanung!$N19),0,Personalplanung!H19/Monatsplanung!$E19*Monatsplanung!$N19)</f>
        <v>0</v>
      </c>
      <c r="F747" s="168">
        <f t="shared" si="235"/>
        <v>130.5</v>
      </c>
      <c r="G747" s="168">
        <f t="shared" si="236"/>
        <v>27.700831024930746</v>
      </c>
      <c r="H747" s="168">
        <f t="shared" si="237"/>
        <v>3614.9584487534626</v>
      </c>
      <c r="I747" s="168">
        <f t="shared" si="238"/>
        <v>30</v>
      </c>
      <c r="J747" s="739"/>
      <c r="K747" s="168">
        <f>IF(J747&lt;&gt;"",J747,IF(ISERROR(Personalplanung!AB19/Monatsplanung!$E19*Monatsplanung!$N19),0,Personalplanung!AB19/Monatsplanung!$E19*Monatsplanung!$N19))</f>
        <v>1</v>
      </c>
      <c r="L747" s="740"/>
      <c r="M747" s="739"/>
      <c r="N747" s="168">
        <f>IF(M747&lt;&gt;"",M747,IF(ISERROR(Personalplanung!AC19/Monatsplanung!$E19*Monatsplanung!$N19),0,Personalplanung!AC19/Monatsplanung!$E19*Monatsplanung!$N19))</f>
        <v>0</v>
      </c>
      <c r="O747" s="740"/>
      <c r="P747" s="739"/>
      <c r="Q747" s="168">
        <f>IF(P747&lt;&gt;"",P747,IF(ISERROR(Personalplanung!AD19/Monatsplanung!$E19*Monatsplanung!$N19),0,Personalplanung!AD19/Monatsplanung!$E19*Monatsplanung!$N19))</f>
        <v>0.25</v>
      </c>
      <c r="R747" s="740"/>
      <c r="S747" s="739"/>
      <c r="T747" s="168">
        <f>IF(S747&lt;&gt;"",S747,IF(ISERROR(Personalplanung!AE19/Monatsplanung!$E19*Monatsplanung!$N19),0,Personalplanung!AE19/Monatsplanung!$E19*Monatsplanung!$N19))</f>
        <v>3.25</v>
      </c>
      <c r="U747" s="740"/>
      <c r="V747" s="168">
        <f t="shared" si="239"/>
        <v>4.5</v>
      </c>
      <c r="W747" s="168">
        <f>IF(ISERROR(Personalplanung!P19/Monatsplanung!$E19*Monatsplanung!$N19),0,Personalplanung!P19/Monatsplanung!$E19*Monatsplanung!$N19)</f>
        <v>0</v>
      </c>
      <c r="X747" s="168">
        <f>IF(ISERROR(Personalplanung!Q19/Monatsplanung!$E19*Monatsplanung!$N19),0,Personalplanung!Q19/Monatsplanung!$E19*Monatsplanung!$N19)</f>
        <v>0</v>
      </c>
      <c r="Y747" s="168">
        <f>IF(ISERROR(Personalplanung!R19/T1267*Stundencontrolling!T747),0,Personalplanung!R19/T1267*Stundencontrolling!T747)</f>
        <v>0</v>
      </c>
      <c r="Z747" s="168">
        <f>IF(ISERROR(Personalplanung!S19/Monatsplanung!$E19*Monatsplanung!$N19),0,Personalplanung!S19/Monatsplanung!$E19*Monatsplanung!$N19)</f>
        <v>0</v>
      </c>
      <c r="AA747" s="80">
        <f t="shared" si="240"/>
        <v>112063.71191135734</v>
      </c>
      <c r="AB747" s="102">
        <f t="shared" si="241"/>
        <v>0.1</v>
      </c>
      <c r="AC747" s="103">
        <f t="shared" si="242"/>
        <v>11206.371191135735</v>
      </c>
      <c r="AD747" s="103">
        <f t="shared" si="243"/>
        <v>100857.3407202216</v>
      </c>
      <c r="AE747" s="81">
        <f t="shared" si="244"/>
        <v>10.350000000000001</v>
      </c>
      <c r="AF747" s="539"/>
      <c r="AG747" s="104">
        <f t="shared" si="245"/>
        <v>1</v>
      </c>
      <c r="AH747" s="7">
        <f t="shared" si="246"/>
        <v>0</v>
      </c>
      <c r="AI747" s="6">
        <f t="shared" si="247"/>
        <v>10.350000000000001</v>
      </c>
      <c r="AJ747" s="73">
        <f t="shared" si="248"/>
        <v>1082.7411778875105</v>
      </c>
      <c r="AK747" s="539"/>
      <c r="AL747" s="748"/>
      <c r="AM747" s="748"/>
    </row>
    <row r="748" spans="2:39" x14ac:dyDescent="0.2">
      <c r="B748" s="101" t="str">
        <f t="shared" si="233"/>
        <v>A. Zubi</v>
      </c>
      <c r="C748" s="168">
        <f>IF(ISERROR(Personalplanung!F20/Monatsplanung!$E20*Monatsplanung!$N20),0,Personalplanung!F20/Monatsplanung!$E20*Monatsplanung!$N20)</f>
        <v>174</v>
      </c>
      <c r="D748" s="168">
        <f t="shared" si="234"/>
        <v>8</v>
      </c>
      <c r="E748" s="168">
        <f>IF(ISERROR(Personalplanung!H20/Monatsplanung!$E20*Monatsplanung!$N20),0,Personalplanung!H20/Monatsplanung!$E20*Monatsplanung!$N20)</f>
        <v>0</v>
      </c>
      <c r="F748" s="168">
        <f t="shared" si="235"/>
        <v>174</v>
      </c>
      <c r="G748" s="168">
        <f t="shared" si="236"/>
        <v>27.700831024930746</v>
      </c>
      <c r="H748" s="168">
        <f t="shared" si="237"/>
        <v>4819.9445983379501</v>
      </c>
      <c r="I748" s="168">
        <f t="shared" si="238"/>
        <v>30</v>
      </c>
      <c r="J748" s="739"/>
      <c r="K748" s="168">
        <f>IF(J748&lt;&gt;"",J748,IF(ISERROR(Personalplanung!AB20/Monatsplanung!$E20*Monatsplanung!$N20),0,Personalplanung!AB20/Monatsplanung!$E20*Monatsplanung!$N20))</f>
        <v>0.66666666666666663</v>
      </c>
      <c r="L748" s="740"/>
      <c r="M748" s="739"/>
      <c r="N748" s="168">
        <f>IF(M748&lt;&gt;"",M748,IF(ISERROR(Personalplanung!AC20/Monatsplanung!$E20*Monatsplanung!$N20),0,Personalplanung!AC20/Monatsplanung!$E20*Monatsplanung!$N20))</f>
        <v>0.25</v>
      </c>
      <c r="O748" s="740"/>
      <c r="P748" s="739"/>
      <c r="Q748" s="168">
        <f>IF(P748&lt;&gt;"",P748,IF(ISERROR(Personalplanung!AD20/Monatsplanung!$E20*Monatsplanung!$N20),0,Personalplanung!AD20/Monatsplanung!$E20*Monatsplanung!$N20))</f>
        <v>0.16666666666666666</v>
      </c>
      <c r="R748" s="740"/>
      <c r="S748" s="739"/>
      <c r="T748" s="168">
        <f>IF(S748&lt;&gt;"",S748,IF(ISERROR(Personalplanung!AE20/Monatsplanung!$E20*Monatsplanung!$N20),0,Personalplanung!AE20/Monatsplanung!$E20*Monatsplanung!$N20))</f>
        <v>2.1666666666666665</v>
      </c>
      <c r="U748" s="740"/>
      <c r="V748" s="168">
        <f t="shared" si="239"/>
        <v>3.25</v>
      </c>
      <c r="W748" s="168">
        <f>IF(ISERROR(Personalplanung!P20/Monatsplanung!$E20*Monatsplanung!$N20),0,Personalplanung!P20/Monatsplanung!$E20*Monatsplanung!$N20)</f>
        <v>0</v>
      </c>
      <c r="X748" s="168">
        <f>IF(ISERROR(Personalplanung!Q20/Monatsplanung!$E20*Monatsplanung!$N20),0,Personalplanung!Q20/Monatsplanung!$E20*Monatsplanung!$N20)</f>
        <v>0</v>
      </c>
      <c r="Y748" s="168">
        <f>IF(ISERROR(Personalplanung!R20/T1268*Stundencontrolling!T748),0,Personalplanung!R20/T1268*Stundencontrolling!T748)</f>
        <v>0</v>
      </c>
      <c r="Z748" s="168">
        <f>IF(ISERROR(Personalplanung!S20/Monatsplanung!$E20*Monatsplanung!$N20),0,Personalplanung!S20/Monatsplanung!$E20*Monatsplanung!$N20)</f>
        <v>0</v>
      </c>
      <c r="AA748" s="80">
        <f t="shared" si="240"/>
        <v>149418.28254847645</v>
      </c>
      <c r="AB748" s="102">
        <f t="shared" si="241"/>
        <v>0.1</v>
      </c>
      <c r="AC748" s="103">
        <f t="shared" si="242"/>
        <v>14941.828254847645</v>
      </c>
      <c r="AD748" s="103">
        <f t="shared" si="243"/>
        <v>134476.45429362881</v>
      </c>
      <c r="AE748" s="81">
        <f t="shared" si="244"/>
        <v>14.8</v>
      </c>
      <c r="AF748" s="539"/>
      <c r="AG748" s="104">
        <f t="shared" si="245"/>
        <v>1</v>
      </c>
      <c r="AH748" s="7">
        <f t="shared" si="246"/>
        <v>0</v>
      </c>
      <c r="AI748" s="6">
        <f t="shared" si="247"/>
        <v>14.8</v>
      </c>
      <c r="AJ748" s="73">
        <f t="shared" si="248"/>
        <v>1009.5829901924084</v>
      </c>
      <c r="AK748" s="539"/>
      <c r="AL748" s="748"/>
      <c r="AM748" s="748"/>
    </row>
    <row r="749" spans="2:39" x14ac:dyDescent="0.2">
      <c r="B749" s="101" t="str">
        <f t="shared" si="233"/>
        <v>Zur Ausbildung</v>
      </c>
      <c r="C749" s="168">
        <f>IF(ISERROR(Personalplanung!F21/Monatsplanung!$E21*Monatsplanung!$N21),0,Personalplanung!F21/Monatsplanung!$E21*Monatsplanung!$N21)</f>
        <v>174</v>
      </c>
      <c r="D749" s="168">
        <f t="shared" si="234"/>
        <v>8</v>
      </c>
      <c r="E749" s="168">
        <f>IF(ISERROR(Personalplanung!H21/Monatsplanung!$E21*Monatsplanung!$N21),0,Personalplanung!H21/Monatsplanung!$E21*Monatsplanung!$N21)</f>
        <v>0</v>
      </c>
      <c r="F749" s="168">
        <f t="shared" si="235"/>
        <v>174</v>
      </c>
      <c r="G749" s="168">
        <f t="shared" si="236"/>
        <v>27.700831024930746</v>
      </c>
      <c r="H749" s="168">
        <f t="shared" si="237"/>
        <v>4819.9445983379501</v>
      </c>
      <c r="I749" s="168">
        <f t="shared" si="238"/>
        <v>30</v>
      </c>
      <c r="J749" s="739"/>
      <c r="K749" s="168">
        <f>IF(J749&lt;&gt;"",J749,IF(ISERROR(Personalplanung!AB21/Monatsplanung!$E21*Monatsplanung!$N21),0,Personalplanung!AB21/Monatsplanung!$E21*Monatsplanung!$N21))</f>
        <v>1.6</v>
      </c>
      <c r="L749" s="740"/>
      <c r="M749" s="739"/>
      <c r="N749" s="168">
        <f>IF(M749&lt;&gt;"",M749,IF(ISERROR(Personalplanung!AC21/Monatsplanung!$E21*Monatsplanung!$N21),0,Personalplanung!AC21/Monatsplanung!$E21*Monatsplanung!$N21))</f>
        <v>0</v>
      </c>
      <c r="O749" s="740"/>
      <c r="P749" s="739"/>
      <c r="Q749" s="168">
        <f>IF(P749&lt;&gt;"",P749,IF(ISERROR(Personalplanung!AD21/Monatsplanung!$E21*Monatsplanung!$N21),0,Personalplanung!AD21/Monatsplanung!$E21*Monatsplanung!$N21))</f>
        <v>0.4</v>
      </c>
      <c r="R749" s="740"/>
      <c r="S749" s="739"/>
      <c r="T749" s="168">
        <f>IF(S749&lt;&gt;"",S749,IF(ISERROR(Personalplanung!AE21/Monatsplanung!$E21*Monatsplanung!$N21),0,Personalplanung!AE21/Monatsplanung!$E21*Monatsplanung!$N21))</f>
        <v>5.2</v>
      </c>
      <c r="U749" s="740"/>
      <c r="V749" s="168">
        <f t="shared" si="239"/>
        <v>7.2</v>
      </c>
      <c r="W749" s="168">
        <f>IF(ISERROR(Personalplanung!P21/Monatsplanung!$E21*Monatsplanung!$N21),0,Personalplanung!P21/Monatsplanung!$E21*Monatsplanung!$N21)</f>
        <v>12</v>
      </c>
      <c r="X749" s="168">
        <f>IF(ISERROR(Personalplanung!Q21/Monatsplanung!$E21*Monatsplanung!$N21),0,Personalplanung!Q21/Monatsplanung!$E21*Monatsplanung!$N21)</f>
        <v>0</v>
      </c>
      <c r="Y749" s="168">
        <f>IF(ISERROR(Personalplanung!R21/T1269*Stundencontrolling!T749),0,Personalplanung!R21/T1269*Stundencontrolling!T749)</f>
        <v>0</v>
      </c>
      <c r="Z749" s="168">
        <f>IF(ISERROR(Personalplanung!S21/Monatsplanung!$E21*Monatsplanung!$N21),0,Personalplanung!S21/Monatsplanung!$E21*Monatsplanung!$N21)</f>
        <v>0</v>
      </c>
      <c r="AA749" s="80">
        <f t="shared" si="240"/>
        <v>149430.28254847645</v>
      </c>
      <c r="AB749" s="102">
        <f t="shared" si="241"/>
        <v>0.1</v>
      </c>
      <c r="AC749" s="103">
        <f t="shared" si="242"/>
        <v>14943.028254847646</v>
      </c>
      <c r="AD749" s="103">
        <f t="shared" si="243"/>
        <v>134487.25429362879</v>
      </c>
      <c r="AE749" s="81">
        <f t="shared" si="244"/>
        <v>11.64</v>
      </c>
      <c r="AF749" s="539"/>
      <c r="AG749" s="104">
        <f t="shared" si="245"/>
        <v>1</v>
      </c>
      <c r="AH749" s="7">
        <f t="shared" si="246"/>
        <v>0</v>
      </c>
      <c r="AI749" s="6">
        <f t="shared" si="247"/>
        <v>11.64</v>
      </c>
      <c r="AJ749" s="73">
        <f t="shared" si="248"/>
        <v>1283.7653139903475</v>
      </c>
      <c r="AK749" s="539"/>
      <c r="AL749" s="748"/>
      <c r="AM749" s="748"/>
    </row>
    <row r="750" spans="2:39" x14ac:dyDescent="0.2">
      <c r="B750" s="101" t="str">
        <f t="shared" si="233"/>
        <v>Reine Putze</v>
      </c>
      <c r="C750" s="168">
        <f>IF(ISERROR(Personalplanung!F22/Monatsplanung!$E22*Monatsplanung!$N22),0,Personalplanung!F22/Monatsplanung!$E22*Monatsplanung!$N22)</f>
        <v>52.199999999999996</v>
      </c>
      <c r="D750" s="168">
        <f t="shared" si="234"/>
        <v>2.4</v>
      </c>
      <c r="E750" s="168">
        <f>IF(ISERROR(Personalplanung!H22/Monatsplanung!$E22*Monatsplanung!$N22),0,Personalplanung!H22/Monatsplanung!$E22*Monatsplanung!$N22)</f>
        <v>0</v>
      </c>
      <c r="F750" s="168">
        <f t="shared" si="235"/>
        <v>52.199999999999996</v>
      </c>
      <c r="G750" s="168">
        <f t="shared" si="236"/>
        <v>27.700831024930746</v>
      </c>
      <c r="H750" s="168">
        <f t="shared" si="237"/>
        <v>1445.9833795013849</v>
      </c>
      <c r="I750" s="168">
        <f t="shared" si="238"/>
        <v>30</v>
      </c>
      <c r="J750" s="739"/>
      <c r="K750" s="168">
        <f>IF(J750&lt;&gt;"",J750,IF(ISERROR(Personalplanung!AB22/Monatsplanung!$E22*Monatsplanung!$N22),0,Personalplanung!AB22/Monatsplanung!$E22*Monatsplanung!$N22))</f>
        <v>0.25</v>
      </c>
      <c r="L750" s="740"/>
      <c r="M750" s="739"/>
      <c r="N750" s="168">
        <f>IF(M750&lt;&gt;"",M750,IF(ISERROR(Personalplanung!AC22/Monatsplanung!$E22*Monatsplanung!$N22),0,Personalplanung!AC22/Monatsplanung!$E22*Monatsplanung!$N22))</f>
        <v>0</v>
      </c>
      <c r="O750" s="740"/>
      <c r="P750" s="739"/>
      <c r="Q750" s="168">
        <f>IF(P750&lt;&gt;"",P750,IF(ISERROR(Personalplanung!AD22/Monatsplanung!$E22*Monatsplanung!$N22),0,Personalplanung!AD22/Monatsplanung!$E22*Monatsplanung!$N22))</f>
        <v>0</v>
      </c>
      <c r="R750" s="740"/>
      <c r="S750" s="739"/>
      <c r="T750" s="168">
        <f>IF(S750&lt;&gt;"",S750,IF(ISERROR(Personalplanung!AE22/Monatsplanung!$E22*Monatsplanung!$N22),0,Personalplanung!AE22/Monatsplanung!$E22*Monatsplanung!$N22))</f>
        <v>2.1666666666666665</v>
      </c>
      <c r="U750" s="740"/>
      <c r="V750" s="168">
        <f t="shared" si="239"/>
        <v>2.4166666666666665</v>
      </c>
      <c r="W750" s="168">
        <f>IF(ISERROR(Personalplanung!P22/Monatsplanung!$E22*Monatsplanung!$N22),0,Personalplanung!P22/Monatsplanung!$E22*Monatsplanung!$N22)</f>
        <v>0</v>
      </c>
      <c r="X750" s="168">
        <f>IF(ISERROR(Personalplanung!Q22/Monatsplanung!$E22*Monatsplanung!$N22),0,Personalplanung!Q22/Monatsplanung!$E22*Monatsplanung!$N22)</f>
        <v>0</v>
      </c>
      <c r="Y750" s="168">
        <f>IF(ISERROR(Personalplanung!R22/T1270*Stundencontrolling!T750),0,Personalplanung!R22/T1270*Stundencontrolling!T750)</f>
        <v>0</v>
      </c>
      <c r="Z750" s="168">
        <f>IF(ISERROR(Personalplanung!S22/Monatsplanung!$E22*Monatsplanung!$N22),0,Personalplanung!S22/Monatsplanung!$E22*Monatsplanung!$N22)</f>
        <v>0</v>
      </c>
      <c r="AA750" s="80">
        <f t="shared" si="240"/>
        <v>44825.484764542933</v>
      </c>
      <c r="AB750" s="102">
        <f t="shared" si="241"/>
        <v>0.1</v>
      </c>
      <c r="AC750" s="103">
        <f t="shared" si="242"/>
        <v>4482.5484764542934</v>
      </c>
      <c r="AD750" s="103">
        <f t="shared" si="243"/>
        <v>40342.93628808864</v>
      </c>
      <c r="AE750" s="81">
        <f t="shared" si="244"/>
        <v>4.6399999999999997</v>
      </c>
      <c r="AF750" s="539"/>
      <c r="AG750" s="104">
        <f t="shared" si="245"/>
        <v>1</v>
      </c>
      <c r="AH750" s="7">
        <f t="shared" si="246"/>
        <v>0</v>
      </c>
      <c r="AI750" s="6">
        <f t="shared" si="247"/>
        <v>4.6399999999999997</v>
      </c>
      <c r="AJ750" s="73">
        <f t="shared" si="248"/>
        <v>966.06648199445988</v>
      </c>
      <c r="AK750" s="539"/>
      <c r="AL750" s="748"/>
      <c r="AM750" s="748"/>
    </row>
    <row r="751" spans="2:39" x14ac:dyDescent="0.2">
      <c r="B751" s="101" t="str">
        <f t="shared" si="233"/>
        <v/>
      </c>
      <c r="C751" s="168">
        <f>IF(ISERROR(Personalplanung!F23/Monatsplanung!$E23*Monatsplanung!$N23),0,Personalplanung!F23/Monatsplanung!$E23*Monatsplanung!$N23)</f>
        <v>0</v>
      </c>
      <c r="D751" s="168">
        <f t="shared" si="234"/>
        <v>0</v>
      </c>
      <c r="E751" s="168">
        <f>IF(ISERROR(Personalplanung!H23/Monatsplanung!$E23*Monatsplanung!$N23),0,Personalplanung!H23/Monatsplanung!$E23*Monatsplanung!$N23)</f>
        <v>0</v>
      </c>
      <c r="F751" s="168">
        <f t="shared" si="235"/>
        <v>0</v>
      </c>
      <c r="G751" s="168">
        <f t="shared" si="236"/>
        <v>27.700831024930746</v>
      </c>
      <c r="H751" s="168">
        <f t="shared" si="237"/>
        <v>0</v>
      </c>
      <c r="I751" s="168">
        <f t="shared" si="238"/>
        <v>30</v>
      </c>
      <c r="J751" s="739"/>
      <c r="K751" s="168">
        <f>IF(J751&lt;&gt;"",J751,IF(ISERROR(Personalplanung!AB23/Monatsplanung!$E23*Monatsplanung!$N23),0,Personalplanung!AB23/Monatsplanung!$E23*Monatsplanung!$N23))</f>
        <v>0</v>
      </c>
      <c r="L751" s="740"/>
      <c r="M751" s="739"/>
      <c r="N751" s="168">
        <f>IF(M751&lt;&gt;"",M751,IF(ISERROR(Personalplanung!AC23/Monatsplanung!$E23*Monatsplanung!$N23),0,Personalplanung!AC23/Monatsplanung!$E23*Monatsplanung!$N23))</f>
        <v>0</v>
      </c>
      <c r="O751" s="740"/>
      <c r="P751" s="739"/>
      <c r="Q751" s="168">
        <f>IF(P751&lt;&gt;"",P751,IF(ISERROR(Personalplanung!AD23/Monatsplanung!$E23*Monatsplanung!$N23),0,Personalplanung!AD23/Monatsplanung!$E23*Monatsplanung!$N23))</f>
        <v>0</v>
      </c>
      <c r="R751" s="740"/>
      <c r="S751" s="739"/>
      <c r="T751" s="168">
        <f>IF(S751&lt;&gt;"",S751,IF(ISERROR(Personalplanung!AE23/Monatsplanung!$E23*Monatsplanung!$N23),0,Personalplanung!AE23/Monatsplanung!$E23*Monatsplanung!$N23))</f>
        <v>0</v>
      </c>
      <c r="U751" s="740"/>
      <c r="V751" s="168">
        <f t="shared" si="239"/>
        <v>0</v>
      </c>
      <c r="W751" s="168">
        <f>IF(ISERROR(Personalplanung!P23/Monatsplanung!$E23*Monatsplanung!$N23),0,Personalplanung!P23/Monatsplanung!$E23*Monatsplanung!$N23)</f>
        <v>0</v>
      </c>
      <c r="X751" s="168">
        <f>IF(ISERROR(Personalplanung!Q23/Monatsplanung!$E23*Monatsplanung!$N23),0,Personalplanung!Q23/Monatsplanung!$E23*Monatsplanung!$N23)</f>
        <v>0</v>
      </c>
      <c r="Y751" s="168">
        <f>IF(ISERROR(Personalplanung!R23/T1271*Stundencontrolling!T751),0,Personalplanung!R23/T1271*Stundencontrolling!T751)</f>
        <v>0</v>
      </c>
      <c r="Z751" s="168">
        <f>IF(ISERROR(Personalplanung!S23/Monatsplanung!$E23*Monatsplanung!$N23),0,Personalplanung!S23/Monatsplanung!$E23*Monatsplanung!$N23)</f>
        <v>0</v>
      </c>
      <c r="AA751" s="80">
        <f t="shared" si="240"/>
        <v>0</v>
      </c>
      <c r="AB751" s="102">
        <f t="shared" si="241"/>
        <v>0.1</v>
      </c>
      <c r="AC751" s="103">
        <f t="shared" si="242"/>
        <v>0</v>
      </c>
      <c r="AD751" s="103">
        <f t="shared" si="243"/>
        <v>0</v>
      </c>
      <c r="AE751" s="81">
        <f t="shared" si="244"/>
        <v>0</v>
      </c>
      <c r="AF751" s="539"/>
      <c r="AG751" s="104">
        <f t="shared" si="245"/>
        <v>1</v>
      </c>
      <c r="AH751" s="7">
        <f t="shared" si="246"/>
        <v>0</v>
      </c>
      <c r="AI751" s="6">
        <f t="shared" si="247"/>
        <v>0</v>
      </c>
      <c r="AJ751" s="73">
        <f t="shared" si="248"/>
        <v>0</v>
      </c>
      <c r="AK751" s="539"/>
      <c r="AL751" s="748"/>
      <c r="AM751" s="748"/>
    </row>
    <row r="752" spans="2:39" x14ac:dyDescent="0.2">
      <c r="B752" s="101" t="str">
        <f t="shared" si="233"/>
        <v/>
      </c>
      <c r="C752" s="168">
        <f>IF(ISERROR(Personalplanung!F24/Monatsplanung!$E24*Monatsplanung!$N24),0,Personalplanung!F24/Monatsplanung!$E24*Monatsplanung!$N24)</f>
        <v>0</v>
      </c>
      <c r="D752" s="168">
        <f t="shared" si="234"/>
        <v>0</v>
      </c>
      <c r="E752" s="168">
        <f>IF(ISERROR(Personalplanung!H24/Monatsplanung!$E24*Monatsplanung!$N24),0,Personalplanung!H24/Monatsplanung!$E24*Monatsplanung!$N24)</f>
        <v>0</v>
      </c>
      <c r="F752" s="168">
        <f t="shared" si="235"/>
        <v>0</v>
      </c>
      <c r="G752" s="168">
        <f t="shared" si="236"/>
        <v>27.700831024930746</v>
      </c>
      <c r="H752" s="168">
        <f t="shared" si="237"/>
        <v>0</v>
      </c>
      <c r="I752" s="168">
        <f t="shared" si="238"/>
        <v>30</v>
      </c>
      <c r="J752" s="739"/>
      <c r="K752" s="168">
        <f>IF(J752&lt;&gt;"",J752,IF(ISERROR(Personalplanung!AB24/Monatsplanung!$E24*Monatsplanung!$N24),0,Personalplanung!AB24/Monatsplanung!$E24*Monatsplanung!$N24))</f>
        <v>0</v>
      </c>
      <c r="L752" s="740"/>
      <c r="M752" s="739"/>
      <c r="N752" s="168">
        <f>IF(M752&lt;&gt;"",M752,IF(ISERROR(Personalplanung!AC24/Monatsplanung!$E24*Monatsplanung!$N24),0,Personalplanung!AC24/Monatsplanung!$E24*Monatsplanung!$N24))</f>
        <v>0</v>
      </c>
      <c r="O752" s="740"/>
      <c r="P752" s="739"/>
      <c r="Q752" s="168">
        <f>IF(P752&lt;&gt;"",P752,IF(ISERROR(Personalplanung!AD24/Monatsplanung!$E24*Monatsplanung!$N24),0,Personalplanung!AD24/Monatsplanung!$E24*Monatsplanung!$N24))</f>
        <v>0</v>
      </c>
      <c r="R752" s="740"/>
      <c r="S752" s="739"/>
      <c r="T752" s="168">
        <f>IF(S752&lt;&gt;"",S752,IF(ISERROR(Personalplanung!AE24/Monatsplanung!$E24*Monatsplanung!$N24),0,Personalplanung!AE24/Monatsplanung!$E24*Monatsplanung!$N24))</f>
        <v>0</v>
      </c>
      <c r="U752" s="740"/>
      <c r="V752" s="168">
        <f t="shared" si="239"/>
        <v>0</v>
      </c>
      <c r="W752" s="168">
        <f>IF(ISERROR(Personalplanung!P24/Monatsplanung!$E24*Monatsplanung!$N24),0,Personalplanung!P24/Monatsplanung!$E24*Monatsplanung!$N24)</f>
        <v>0</v>
      </c>
      <c r="X752" s="168">
        <f>IF(ISERROR(Personalplanung!Q24/Monatsplanung!$E24*Monatsplanung!$N24),0,Personalplanung!Q24/Monatsplanung!$E24*Monatsplanung!$N24)</f>
        <v>0</v>
      </c>
      <c r="Y752" s="168">
        <f>IF(ISERROR(Personalplanung!R24/T1272*Stundencontrolling!T752),0,Personalplanung!R24/T1272*Stundencontrolling!T752)</f>
        <v>0</v>
      </c>
      <c r="Z752" s="168">
        <f>IF(ISERROR(Personalplanung!S24/Monatsplanung!$E24*Monatsplanung!$N24),0,Personalplanung!S24/Monatsplanung!$E24*Monatsplanung!$N24)</f>
        <v>0</v>
      </c>
      <c r="AA752" s="80">
        <f t="shared" si="240"/>
        <v>0</v>
      </c>
      <c r="AB752" s="102">
        <f t="shared" si="241"/>
        <v>0.1</v>
      </c>
      <c r="AC752" s="103">
        <f t="shared" si="242"/>
        <v>0</v>
      </c>
      <c r="AD752" s="103">
        <f t="shared" si="243"/>
        <v>0</v>
      </c>
      <c r="AE752" s="81">
        <f t="shared" si="244"/>
        <v>0</v>
      </c>
      <c r="AF752" s="539"/>
      <c r="AG752" s="104">
        <f t="shared" si="245"/>
        <v>1</v>
      </c>
      <c r="AH752" s="7">
        <f t="shared" si="246"/>
        <v>0</v>
      </c>
      <c r="AI752" s="6">
        <f t="shared" si="247"/>
        <v>0</v>
      </c>
      <c r="AJ752" s="73">
        <f t="shared" si="248"/>
        <v>0</v>
      </c>
      <c r="AK752" s="539"/>
      <c r="AL752" s="748"/>
      <c r="AM752" s="748"/>
    </row>
    <row r="753" spans="2:39" x14ac:dyDescent="0.2">
      <c r="B753" s="101" t="str">
        <f t="shared" si="233"/>
        <v/>
      </c>
      <c r="C753" s="168">
        <f>IF(ISERROR(Personalplanung!F25/Monatsplanung!$E25*Monatsplanung!$N25),0,Personalplanung!F25/Monatsplanung!$E25*Monatsplanung!$N25)</f>
        <v>0</v>
      </c>
      <c r="D753" s="168">
        <f t="shared" si="234"/>
        <v>0</v>
      </c>
      <c r="E753" s="168">
        <f>IF(ISERROR(Personalplanung!H25/Monatsplanung!$E25*Monatsplanung!$N25),0,Personalplanung!H25/Monatsplanung!$E25*Monatsplanung!$N25)</f>
        <v>0</v>
      </c>
      <c r="F753" s="168">
        <f t="shared" si="235"/>
        <v>0</v>
      </c>
      <c r="G753" s="168">
        <f t="shared" si="236"/>
        <v>27.700831024930746</v>
      </c>
      <c r="H753" s="168">
        <f t="shared" si="237"/>
        <v>0</v>
      </c>
      <c r="I753" s="168">
        <f t="shared" si="238"/>
        <v>30</v>
      </c>
      <c r="J753" s="739"/>
      <c r="K753" s="168">
        <f>IF(J753&lt;&gt;"",J753,IF(ISERROR(Personalplanung!AB25/Monatsplanung!$E25*Monatsplanung!$N25),0,Personalplanung!AB25/Monatsplanung!$E25*Monatsplanung!$N25))</f>
        <v>0</v>
      </c>
      <c r="L753" s="740"/>
      <c r="M753" s="739"/>
      <c r="N753" s="168">
        <f>IF(M753&lt;&gt;"",M753,IF(ISERROR(Personalplanung!AC25/Monatsplanung!$E25*Monatsplanung!$N25),0,Personalplanung!AC25/Monatsplanung!$E25*Monatsplanung!$N25))</f>
        <v>0</v>
      </c>
      <c r="O753" s="740"/>
      <c r="P753" s="739"/>
      <c r="Q753" s="168">
        <f>IF(P753&lt;&gt;"",P753,IF(ISERROR(Personalplanung!AD25/Monatsplanung!$E25*Monatsplanung!$N25),0,Personalplanung!AD25/Monatsplanung!$E25*Monatsplanung!$N25))</f>
        <v>0</v>
      </c>
      <c r="R753" s="740"/>
      <c r="S753" s="739"/>
      <c r="T753" s="168">
        <f>IF(S753&lt;&gt;"",S753,IF(ISERROR(Personalplanung!AE25/Monatsplanung!$E25*Monatsplanung!$N25),0,Personalplanung!AE25/Monatsplanung!$E25*Monatsplanung!$N25))</f>
        <v>0</v>
      </c>
      <c r="U753" s="740"/>
      <c r="V753" s="168">
        <f t="shared" si="239"/>
        <v>0</v>
      </c>
      <c r="W753" s="168">
        <f>IF(ISERROR(Personalplanung!P25/Monatsplanung!$E25*Monatsplanung!$N25),0,Personalplanung!P25/Monatsplanung!$E25*Monatsplanung!$N25)</f>
        <v>0</v>
      </c>
      <c r="X753" s="168">
        <f>IF(ISERROR(Personalplanung!Q25/Monatsplanung!$E25*Monatsplanung!$N25),0,Personalplanung!Q25/Monatsplanung!$E25*Monatsplanung!$N25)</f>
        <v>0</v>
      </c>
      <c r="Y753" s="168">
        <f>IF(ISERROR(Personalplanung!R25/T1273*Stundencontrolling!T753),0,Personalplanung!R25/T1273*Stundencontrolling!T753)</f>
        <v>0</v>
      </c>
      <c r="Z753" s="168">
        <f>IF(ISERROR(Personalplanung!S25/Monatsplanung!$E25*Monatsplanung!$N25),0,Personalplanung!S25/Monatsplanung!$E25*Monatsplanung!$N25)</f>
        <v>0</v>
      </c>
      <c r="AA753" s="80">
        <f t="shared" si="240"/>
        <v>0</v>
      </c>
      <c r="AB753" s="102">
        <f t="shared" si="241"/>
        <v>0.1</v>
      </c>
      <c r="AC753" s="103">
        <f t="shared" si="242"/>
        <v>0</v>
      </c>
      <c r="AD753" s="103">
        <f t="shared" si="243"/>
        <v>0</v>
      </c>
      <c r="AE753" s="81">
        <f t="shared" si="244"/>
        <v>0</v>
      </c>
      <c r="AF753" s="539"/>
      <c r="AG753" s="104">
        <f t="shared" si="245"/>
        <v>1</v>
      </c>
      <c r="AH753" s="7">
        <f t="shared" si="246"/>
        <v>0</v>
      </c>
      <c r="AI753" s="6">
        <f t="shared" si="247"/>
        <v>0</v>
      </c>
      <c r="AJ753" s="73">
        <f t="shared" si="248"/>
        <v>0</v>
      </c>
      <c r="AK753" s="539"/>
      <c r="AL753" s="748"/>
      <c r="AM753" s="748"/>
    </row>
    <row r="754" spans="2:39" x14ac:dyDescent="0.2">
      <c r="B754" s="101" t="str">
        <f t="shared" si="233"/>
        <v/>
      </c>
      <c r="C754" s="168">
        <f>IF(ISERROR(Personalplanung!F26/Monatsplanung!$E26*Monatsplanung!$N26),0,Personalplanung!F26/Monatsplanung!$E26*Monatsplanung!$N26)</f>
        <v>0</v>
      </c>
      <c r="D754" s="168">
        <f t="shared" si="234"/>
        <v>0</v>
      </c>
      <c r="E754" s="168">
        <f>IF(ISERROR(Personalplanung!H26/Monatsplanung!$E26*Monatsplanung!$N26),0,Personalplanung!H26/Monatsplanung!$E26*Monatsplanung!$N26)</f>
        <v>0</v>
      </c>
      <c r="F754" s="168">
        <f t="shared" si="235"/>
        <v>0</v>
      </c>
      <c r="G754" s="168">
        <f t="shared" si="236"/>
        <v>27.700831024930746</v>
      </c>
      <c r="H754" s="168">
        <f t="shared" si="237"/>
        <v>0</v>
      </c>
      <c r="I754" s="168">
        <f t="shared" si="238"/>
        <v>30</v>
      </c>
      <c r="J754" s="739"/>
      <c r="K754" s="168">
        <f>IF(J754&lt;&gt;"",J754,IF(ISERROR(Personalplanung!AB26/Monatsplanung!$E26*Monatsplanung!$N26),0,Personalplanung!AB26/Monatsplanung!$E26*Monatsplanung!$N26))</f>
        <v>0</v>
      </c>
      <c r="L754" s="740"/>
      <c r="M754" s="739"/>
      <c r="N754" s="168">
        <f>IF(M754&lt;&gt;"",M754,IF(ISERROR(Personalplanung!AC26/Monatsplanung!$E26*Monatsplanung!$N26),0,Personalplanung!AC26/Monatsplanung!$E26*Monatsplanung!$N26))</f>
        <v>0</v>
      </c>
      <c r="O754" s="740"/>
      <c r="P754" s="739"/>
      <c r="Q754" s="168">
        <f>IF(P754&lt;&gt;"",P754,IF(ISERROR(Personalplanung!AD26/Monatsplanung!$E26*Monatsplanung!$N26),0,Personalplanung!AD26/Monatsplanung!$E26*Monatsplanung!$N26))</f>
        <v>0</v>
      </c>
      <c r="R754" s="740"/>
      <c r="S754" s="739"/>
      <c r="T754" s="168">
        <f>IF(S754&lt;&gt;"",S754,IF(ISERROR(Personalplanung!AE26/Monatsplanung!$E26*Monatsplanung!$N26),0,Personalplanung!AE26/Monatsplanung!$E26*Monatsplanung!$N26))</f>
        <v>0</v>
      </c>
      <c r="U754" s="740"/>
      <c r="V754" s="168">
        <f t="shared" si="239"/>
        <v>0</v>
      </c>
      <c r="W754" s="168">
        <f>IF(ISERROR(Personalplanung!P26/Monatsplanung!$E26*Monatsplanung!$N26),0,Personalplanung!P26/Monatsplanung!$E26*Monatsplanung!$N26)</f>
        <v>0</v>
      </c>
      <c r="X754" s="168">
        <f>IF(ISERROR(Personalplanung!Q26/Monatsplanung!$E26*Monatsplanung!$N26),0,Personalplanung!Q26/Monatsplanung!$E26*Monatsplanung!$N26)</f>
        <v>0</v>
      </c>
      <c r="Y754" s="168">
        <f>IF(ISERROR(Personalplanung!R26/T1274*Stundencontrolling!T754),0,Personalplanung!R26/T1274*Stundencontrolling!T754)</f>
        <v>0</v>
      </c>
      <c r="Z754" s="168">
        <f>IF(ISERROR(Personalplanung!S26/Monatsplanung!$E26*Monatsplanung!$N26),0,Personalplanung!S26/Monatsplanung!$E26*Monatsplanung!$N26)</f>
        <v>0</v>
      </c>
      <c r="AA754" s="80">
        <f t="shared" si="240"/>
        <v>0</v>
      </c>
      <c r="AB754" s="102">
        <f t="shared" si="241"/>
        <v>0.1</v>
      </c>
      <c r="AC754" s="103">
        <f t="shared" si="242"/>
        <v>0</v>
      </c>
      <c r="AD754" s="103">
        <f t="shared" si="243"/>
        <v>0</v>
      </c>
      <c r="AE754" s="81">
        <f t="shared" si="244"/>
        <v>0</v>
      </c>
      <c r="AF754" s="539"/>
      <c r="AG754" s="104">
        <f t="shared" si="245"/>
        <v>1</v>
      </c>
      <c r="AH754" s="7">
        <f t="shared" si="246"/>
        <v>0</v>
      </c>
      <c r="AI754" s="6">
        <f t="shared" si="247"/>
        <v>0</v>
      </c>
      <c r="AJ754" s="73">
        <f t="shared" si="248"/>
        <v>0</v>
      </c>
      <c r="AK754" s="539"/>
      <c r="AL754" s="748"/>
      <c r="AM754" s="748"/>
    </row>
    <row r="755" spans="2:39" x14ac:dyDescent="0.2">
      <c r="B755" s="101" t="str">
        <f t="shared" si="233"/>
        <v/>
      </c>
      <c r="C755" s="168">
        <f>IF(ISERROR(Personalplanung!F27/Monatsplanung!$E27*Monatsplanung!$N27),0,Personalplanung!F27/Monatsplanung!$E27*Monatsplanung!$N27)</f>
        <v>0</v>
      </c>
      <c r="D755" s="168">
        <f t="shared" si="234"/>
        <v>0</v>
      </c>
      <c r="E755" s="168">
        <f>IF(ISERROR(Personalplanung!H27/Monatsplanung!$E27*Monatsplanung!$N27),0,Personalplanung!H27/Monatsplanung!$E27*Monatsplanung!$N27)</f>
        <v>0</v>
      </c>
      <c r="F755" s="168">
        <f t="shared" si="235"/>
        <v>0</v>
      </c>
      <c r="G755" s="168">
        <f t="shared" si="236"/>
        <v>27.700831024930746</v>
      </c>
      <c r="H755" s="168">
        <f t="shared" si="237"/>
        <v>0</v>
      </c>
      <c r="I755" s="168">
        <f t="shared" si="238"/>
        <v>30</v>
      </c>
      <c r="J755" s="739"/>
      <c r="K755" s="168">
        <f>IF(J755&lt;&gt;"",J755,IF(ISERROR(Personalplanung!AB27/Monatsplanung!$E27*Monatsplanung!$N27),0,Personalplanung!AB27/Monatsplanung!$E27*Monatsplanung!$N27))</f>
        <v>0</v>
      </c>
      <c r="L755" s="740"/>
      <c r="M755" s="739"/>
      <c r="N755" s="168">
        <f>IF(M755&lt;&gt;"",M755,IF(ISERROR(Personalplanung!AC27/Monatsplanung!$E27*Monatsplanung!$N27),0,Personalplanung!AC27/Monatsplanung!$E27*Monatsplanung!$N27))</f>
        <v>0</v>
      </c>
      <c r="O755" s="740"/>
      <c r="P755" s="739"/>
      <c r="Q755" s="168">
        <f>IF(P755&lt;&gt;"",P755,IF(ISERROR(Personalplanung!AD27/Monatsplanung!$E27*Monatsplanung!$N27),0,Personalplanung!AD27/Monatsplanung!$E27*Monatsplanung!$N27))</f>
        <v>0</v>
      </c>
      <c r="R755" s="740"/>
      <c r="S755" s="739"/>
      <c r="T755" s="168">
        <f>IF(S755&lt;&gt;"",S755,IF(ISERROR(Personalplanung!AE27/Monatsplanung!$E27*Monatsplanung!$N27),0,Personalplanung!AE27/Monatsplanung!$E27*Monatsplanung!$N27))</f>
        <v>0</v>
      </c>
      <c r="U755" s="740"/>
      <c r="V755" s="168">
        <f t="shared" si="239"/>
        <v>0</v>
      </c>
      <c r="W755" s="168">
        <f>IF(ISERROR(Personalplanung!P27/Monatsplanung!$E27*Monatsplanung!$N27),0,Personalplanung!P27/Monatsplanung!$E27*Monatsplanung!$N27)</f>
        <v>0</v>
      </c>
      <c r="X755" s="168">
        <f>IF(ISERROR(Personalplanung!Q27/Monatsplanung!$E27*Monatsplanung!$N27),0,Personalplanung!Q27/Monatsplanung!$E27*Monatsplanung!$N27)</f>
        <v>0</v>
      </c>
      <c r="Y755" s="168">
        <f>IF(ISERROR(Personalplanung!R27/T1275*Stundencontrolling!T755),0,Personalplanung!R27/T1275*Stundencontrolling!T755)</f>
        <v>0</v>
      </c>
      <c r="Z755" s="168">
        <f>IF(ISERROR(Personalplanung!S27/Monatsplanung!$E27*Monatsplanung!$N27),0,Personalplanung!S27/Monatsplanung!$E27*Monatsplanung!$N27)</f>
        <v>0</v>
      </c>
      <c r="AA755" s="80">
        <f t="shared" si="240"/>
        <v>0</v>
      </c>
      <c r="AB755" s="102">
        <f t="shared" si="241"/>
        <v>0.1</v>
      </c>
      <c r="AC755" s="103">
        <f t="shared" si="242"/>
        <v>0</v>
      </c>
      <c r="AD755" s="103">
        <f t="shared" si="243"/>
        <v>0</v>
      </c>
      <c r="AE755" s="81">
        <f t="shared" si="244"/>
        <v>0</v>
      </c>
      <c r="AF755" s="539"/>
      <c r="AG755" s="104">
        <f t="shared" si="245"/>
        <v>1</v>
      </c>
      <c r="AH755" s="7">
        <f t="shared" si="246"/>
        <v>0</v>
      </c>
      <c r="AI755" s="6">
        <f t="shared" si="247"/>
        <v>0</v>
      </c>
      <c r="AJ755" s="73">
        <f t="shared" si="248"/>
        <v>0</v>
      </c>
      <c r="AK755" s="539"/>
      <c r="AL755" s="748"/>
      <c r="AM755" s="748"/>
    </row>
    <row r="756" spans="2:39" x14ac:dyDescent="0.2">
      <c r="B756" s="101" t="str">
        <f t="shared" si="233"/>
        <v/>
      </c>
      <c r="C756" s="168">
        <f>IF(ISERROR(Personalplanung!F28/Monatsplanung!$E28*Monatsplanung!$N28),0,Personalplanung!F28/Monatsplanung!$E28*Monatsplanung!$N28)</f>
        <v>0</v>
      </c>
      <c r="D756" s="168">
        <f t="shared" si="234"/>
        <v>0</v>
      </c>
      <c r="E756" s="168">
        <f>IF(ISERROR(Personalplanung!H28/Monatsplanung!$E28*Monatsplanung!$N28),0,Personalplanung!H28/Monatsplanung!$E28*Monatsplanung!$N28)</f>
        <v>0</v>
      </c>
      <c r="F756" s="168">
        <f t="shared" si="235"/>
        <v>0</v>
      </c>
      <c r="G756" s="168">
        <f t="shared" si="236"/>
        <v>27.700831024930746</v>
      </c>
      <c r="H756" s="168">
        <f t="shared" si="237"/>
        <v>0</v>
      </c>
      <c r="I756" s="168">
        <f t="shared" si="238"/>
        <v>30</v>
      </c>
      <c r="J756" s="739"/>
      <c r="K756" s="168">
        <f>IF(J756&lt;&gt;"",J756,IF(ISERROR(Personalplanung!AB28/Monatsplanung!$E28*Monatsplanung!$N28),0,Personalplanung!AB28/Monatsplanung!$E28*Monatsplanung!$N28))</f>
        <v>0</v>
      </c>
      <c r="L756" s="740"/>
      <c r="M756" s="739"/>
      <c r="N756" s="168">
        <f>IF(M756&lt;&gt;"",M756,IF(ISERROR(Personalplanung!AC28/Monatsplanung!$E28*Monatsplanung!$N28),0,Personalplanung!AC28/Monatsplanung!$E28*Monatsplanung!$N28))</f>
        <v>0</v>
      </c>
      <c r="O756" s="740"/>
      <c r="P756" s="739"/>
      <c r="Q756" s="168">
        <f>IF(P756&lt;&gt;"",P756,IF(ISERROR(Personalplanung!AD28/Monatsplanung!$E28*Monatsplanung!$N28),0,Personalplanung!AD28/Monatsplanung!$E28*Monatsplanung!$N28))</f>
        <v>0</v>
      </c>
      <c r="R756" s="740"/>
      <c r="S756" s="739"/>
      <c r="T756" s="168">
        <f>IF(S756&lt;&gt;"",S756,IF(ISERROR(Personalplanung!AE28/Monatsplanung!$E28*Monatsplanung!$N28),0,Personalplanung!AE28/Monatsplanung!$E28*Monatsplanung!$N28))</f>
        <v>0</v>
      </c>
      <c r="U756" s="740"/>
      <c r="V756" s="168">
        <f t="shared" si="239"/>
        <v>0</v>
      </c>
      <c r="W756" s="168">
        <f>IF(ISERROR(Personalplanung!P28/Monatsplanung!$E28*Monatsplanung!$N28),0,Personalplanung!P28/Monatsplanung!$E28*Monatsplanung!$N28)</f>
        <v>0</v>
      </c>
      <c r="X756" s="168">
        <f>IF(ISERROR(Personalplanung!Q28/Monatsplanung!$E28*Monatsplanung!$N28),0,Personalplanung!Q28/Monatsplanung!$E28*Monatsplanung!$N28)</f>
        <v>0</v>
      </c>
      <c r="Y756" s="168">
        <f>IF(ISERROR(Personalplanung!R28/T1276*Stundencontrolling!T756),0,Personalplanung!R28/T1276*Stundencontrolling!T756)</f>
        <v>0</v>
      </c>
      <c r="Z756" s="168">
        <f>IF(ISERROR(Personalplanung!S28/Monatsplanung!$E28*Monatsplanung!$N28),0,Personalplanung!S28/Monatsplanung!$E28*Monatsplanung!$N28)</f>
        <v>0</v>
      </c>
      <c r="AA756" s="80">
        <f t="shared" si="240"/>
        <v>0</v>
      </c>
      <c r="AB756" s="102">
        <f t="shared" si="241"/>
        <v>0.1</v>
      </c>
      <c r="AC756" s="103">
        <f t="shared" si="242"/>
        <v>0</v>
      </c>
      <c r="AD756" s="103">
        <f t="shared" si="243"/>
        <v>0</v>
      </c>
      <c r="AE756" s="81">
        <f t="shared" si="244"/>
        <v>0</v>
      </c>
      <c r="AF756" s="539"/>
      <c r="AG756" s="104">
        <f t="shared" si="245"/>
        <v>1</v>
      </c>
      <c r="AH756" s="7">
        <f t="shared" si="246"/>
        <v>0</v>
      </c>
      <c r="AI756" s="6">
        <f t="shared" si="247"/>
        <v>0</v>
      </c>
      <c r="AJ756" s="73">
        <f t="shared" si="248"/>
        <v>0</v>
      </c>
      <c r="AK756" s="539"/>
      <c r="AL756" s="748"/>
      <c r="AM756" s="748"/>
    </row>
    <row r="757" spans="2:39" x14ac:dyDescent="0.2">
      <c r="B757" s="101" t="str">
        <f t="shared" si="233"/>
        <v/>
      </c>
      <c r="C757" s="168">
        <f>IF(ISERROR(Personalplanung!F29/Monatsplanung!$E29*Monatsplanung!$N29),0,Personalplanung!F29/Monatsplanung!$E29*Monatsplanung!$N29)</f>
        <v>0</v>
      </c>
      <c r="D757" s="168">
        <f t="shared" si="234"/>
        <v>0</v>
      </c>
      <c r="E757" s="168">
        <f>IF(ISERROR(Personalplanung!H29/Monatsplanung!$E29*Monatsplanung!$N29),0,Personalplanung!H29/Monatsplanung!$E29*Monatsplanung!$N29)</f>
        <v>0</v>
      </c>
      <c r="F757" s="168">
        <f t="shared" si="235"/>
        <v>0</v>
      </c>
      <c r="G757" s="168">
        <f t="shared" si="236"/>
        <v>27.700831024930746</v>
      </c>
      <c r="H757" s="168">
        <f t="shared" si="237"/>
        <v>0</v>
      </c>
      <c r="I757" s="168">
        <f t="shared" si="238"/>
        <v>30</v>
      </c>
      <c r="J757" s="739"/>
      <c r="K757" s="168">
        <f>IF(J757&lt;&gt;"",J757,IF(ISERROR(Personalplanung!AB29/Monatsplanung!$E29*Monatsplanung!$N29),0,Personalplanung!AB29/Monatsplanung!$E29*Monatsplanung!$N29))</f>
        <v>0</v>
      </c>
      <c r="L757" s="740"/>
      <c r="M757" s="739"/>
      <c r="N757" s="168">
        <f>IF(M757&lt;&gt;"",M757,IF(ISERROR(Personalplanung!AC29/Monatsplanung!$E29*Monatsplanung!$N29),0,Personalplanung!AC29/Monatsplanung!$E29*Monatsplanung!$N29))</f>
        <v>0</v>
      </c>
      <c r="O757" s="740"/>
      <c r="P757" s="739"/>
      <c r="Q757" s="168">
        <f>IF(P757&lt;&gt;"",P757,IF(ISERROR(Personalplanung!AD29/Monatsplanung!$E29*Monatsplanung!$N29),0,Personalplanung!AD29/Monatsplanung!$E29*Monatsplanung!$N29))</f>
        <v>0</v>
      </c>
      <c r="R757" s="740"/>
      <c r="S757" s="739"/>
      <c r="T757" s="168">
        <f>IF(S757&lt;&gt;"",S757,IF(ISERROR(Personalplanung!AE29/Monatsplanung!$E29*Monatsplanung!$N29),0,Personalplanung!AE29/Monatsplanung!$E29*Monatsplanung!$N29))</f>
        <v>0</v>
      </c>
      <c r="U757" s="740"/>
      <c r="V757" s="168">
        <f t="shared" si="239"/>
        <v>0</v>
      </c>
      <c r="W757" s="168">
        <f>IF(ISERROR(Personalplanung!P29/Monatsplanung!$E29*Monatsplanung!$N29),0,Personalplanung!P29/Monatsplanung!$E29*Monatsplanung!$N29)</f>
        <v>0</v>
      </c>
      <c r="X757" s="168">
        <f>IF(ISERROR(Personalplanung!Q29/Monatsplanung!$E29*Monatsplanung!$N29),0,Personalplanung!Q29/Monatsplanung!$E29*Monatsplanung!$N29)</f>
        <v>0</v>
      </c>
      <c r="Y757" s="168">
        <f>IF(ISERROR(Personalplanung!R29/T1277*Stundencontrolling!T757),0,Personalplanung!R29/T1277*Stundencontrolling!T757)</f>
        <v>0</v>
      </c>
      <c r="Z757" s="168">
        <f>IF(ISERROR(Personalplanung!S29/Monatsplanung!$E29*Monatsplanung!$N29),0,Personalplanung!S29/Monatsplanung!$E29*Monatsplanung!$N29)</f>
        <v>0</v>
      </c>
      <c r="AA757" s="80">
        <f t="shared" si="240"/>
        <v>0</v>
      </c>
      <c r="AB757" s="102">
        <f t="shared" si="241"/>
        <v>0.1</v>
      </c>
      <c r="AC757" s="103">
        <f t="shared" si="242"/>
        <v>0</v>
      </c>
      <c r="AD757" s="103">
        <f t="shared" si="243"/>
        <v>0</v>
      </c>
      <c r="AE757" s="81">
        <f t="shared" si="244"/>
        <v>0</v>
      </c>
      <c r="AF757" s="539"/>
      <c r="AG757" s="104">
        <f t="shared" si="245"/>
        <v>1</v>
      </c>
      <c r="AH757" s="7">
        <f t="shared" si="246"/>
        <v>0</v>
      </c>
      <c r="AI757" s="6">
        <f t="shared" si="247"/>
        <v>0</v>
      </c>
      <c r="AJ757" s="73">
        <f t="shared" si="248"/>
        <v>0</v>
      </c>
      <c r="AK757" s="539"/>
      <c r="AL757" s="748"/>
      <c r="AM757" s="748"/>
    </row>
    <row r="758" spans="2:39" x14ac:dyDescent="0.2">
      <c r="B758" s="101" t="str">
        <f t="shared" si="233"/>
        <v/>
      </c>
      <c r="C758" s="168">
        <f>IF(ISERROR(Personalplanung!F30/Monatsplanung!$E30*Monatsplanung!$N30),0,Personalplanung!F30/Monatsplanung!$E30*Monatsplanung!$N30)</f>
        <v>0</v>
      </c>
      <c r="D758" s="168">
        <f t="shared" si="234"/>
        <v>0</v>
      </c>
      <c r="E758" s="168">
        <f>IF(ISERROR(Personalplanung!H30/Monatsplanung!$E30*Monatsplanung!$N30),0,Personalplanung!H30/Monatsplanung!$E30*Monatsplanung!$N30)</f>
        <v>0</v>
      </c>
      <c r="F758" s="168">
        <f t="shared" si="235"/>
        <v>0</v>
      </c>
      <c r="G758" s="168">
        <f t="shared" si="236"/>
        <v>27.700831024930746</v>
      </c>
      <c r="H758" s="168">
        <f t="shared" si="237"/>
        <v>0</v>
      </c>
      <c r="I758" s="168">
        <f t="shared" si="238"/>
        <v>30</v>
      </c>
      <c r="J758" s="739"/>
      <c r="K758" s="168">
        <f>IF(J758&lt;&gt;"",J758,IF(ISERROR(Personalplanung!AB30/Monatsplanung!$E30*Monatsplanung!$N30),0,Personalplanung!AB30/Monatsplanung!$E30*Monatsplanung!$N30))</f>
        <v>0</v>
      </c>
      <c r="L758" s="740"/>
      <c r="M758" s="739"/>
      <c r="N758" s="168">
        <f>IF(M758&lt;&gt;"",M758,IF(ISERROR(Personalplanung!AC30/Monatsplanung!$E30*Monatsplanung!$N30),0,Personalplanung!AC30/Monatsplanung!$E30*Monatsplanung!$N30))</f>
        <v>0</v>
      </c>
      <c r="O758" s="740"/>
      <c r="P758" s="739"/>
      <c r="Q758" s="168">
        <f>IF(P758&lt;&gt;"",P758,IF(ISERROR(Personalplanung!AD30/Monatsplanung!$E30*Monatsplanung!$N30),0,Personalplanung!AD30/Monatsplanung!$E30*Monatsplanung!$N30))</f>
        <v>0</v>
      </c>
      <c r="R758" s="740"/>
      <c r="S758" s="739"/>
      <c r="T758" s="168">
        <f>IF(S758&lt;&gt;"",S758,IF(ISERROR(Personalplanung!AE30/Monatsplanung!$E30*Monatsplanung!$N30),0,Personalplanung!AE30/Monatsplanung!$E30*Monatsplanung!$N30))</f>
        <v>0</v>
      </c>
      <c r="U758" s="740"/>
      <c r="V758" s="168">
        <f t="shared" si="239"/>
        <v>0</v>
      </c>
      <c r="W758" s="168">
        <f>IF(ISERROR(Personalplanung!P30/Monatsplanung!$E30*Monatsplanung!$N30),0,Personalplanung!P30/Monatsplanung!$E30*Monatsplanung!$N30)</f>
        <v>0</v>
      </c>
      <c r="X758" s="168">
        <f>IF(ISERROR(Personalplanung!Q30/Monatsplanung!$E30*Monatsplanung!$N30),0,Personalplanung!Q30/Monatsplanung!$E30*Monatsplanung!$N30)</f>
        <v>0</v>
      </c>
      <c r="Y758" s="168">
        <f>IF(ISERROR(Personalplanung!R30/T1278*Stundencontrolling!T758),0,Personalplanung!R30/T1278*Stundencontrolling!T758)</f>
        <v>0</v>
      </c>
      <c r="Z758" s="168">
        <f>IF(ISERROR(Personalplanung!S30/Monatsplanung!$E30*Monatsplanung!$N30),0,Personalplanung!S30/Monatsplanung!$E30*Monatsplanung!$N30)</f>
        <v>0</v>
      </c>
      <c r="AA758" s="80">
        <f t="shared" si="240"/>
        <v>0</v>
      </c>
      <c r="AB758" s="102">
        <f t="shared" si="241"/>
        <v>0.1</v>
      </c>
      <c r="AC758" s="103">
        <f t="shared" si="242"/>
        <v>0</v>
      </c>
      <c r="AD758" s="103">
        <f t="shared" si="243"/>
        <v>0</v>
      </c>
      <c r="AE758" s="81">
        <f t="shared" si="244"/>
        <v>0</v>
      </c>
      <c r="AF758" s="539"/>
      <c r="AG758" s="104">
        <f t="shared" si="245"/>
        <v>1</v>
      </c>
      <c r="AH758" s="7">
        <f t="shared" si="246"/>
        <v>0</v>
      </c>
      <c r="AI758" s="6">
        <f t="shared" si="247"/>
        <v>0</v>
      </c>
      <c r="AJ758" s="73">
        <f t="shared" si="248"/>
        <v>0</v>
      </c>
      <c r="AK758" s="539"/>
      <c r="AL758" s="748"/>
      <c r="AM758" s="748"/>
    </row>
    <row r="759" spans="2:39" x14ac:dyDescent="0.2">
      <c r="B759" s="101" t="str">
        <f t="shared" si="233"/>
        <v/>
      </c>
      <c r="C759" s="168">
        <f>IF(ISERROR(Personalplanung!F31/Monatsplanung!$E31*Monatsplanung!$N31),0,Personalplanung!F31/Monatsplanung!$E31*Monatsplanung!$N31)</f>
        <v>0</v>
      </c>
      <c r="D759" s="168">
        <f t="shared" si="234"/>
        <v>0</v>
      </c>
      <c r="E759" s="168">
        <f>IF(ISERROR(Personalplanung!H31/Monatsplanung!$E31*Monatsplanung!$N31),0,Personalplanung!H31/Monatsplanung!$E31*Monatsplanung!$N31)</f>
        <v>0</v>
      </c>
      <c r="F759" s="168">
        <f t="shared" si="235"/>
        <v>0</v>
      </c>
      <c r="G759" s="168">
        <f t="shared" si="236"/>
        <v>27.700831024930746</v>
      </c>
      <c r="H759" s="168">
        <f t="shared" si="237"/>
        <v>0</v>
      </c>
      <c r="I759" s="168">
        <f t="shared" si="238"/>
        <v>30</v>
      </c>
      <c r="J759" s="739"/>
      <c r="K759" s="168">
        <f>IF(J759&lt;&gt;"",J759,IF(ISERROR(Personalplanung!AB31/Monatsplanung!$E31*Monatsplanung!$N31),0,Personalplanung!AB31/Monatsplanung!$E31*Monatsplanung!$N31))</f>
        <v>0</v>
      </c>
      <c r="L759" s="740"/>
      <c r="M759" s="739"/>
      <c r="N759" s="168">
        <f>IF(M759&lt;&gt;"",M759,IF(ISERROR(Personalplanung!AC31/Monatsplanung!$E31*Monatsplanung!$N31),0,Personalplanung!AC31/Monatsplanung!$E31*Monatsplanung!$N31))</f>
        <v>0</v>
      </c>
      <c r="O759" s="740"/>
      <c r="P759" s="739"/>
      <c r="Q759" s="168">
        <f>IF(P759&lt;&gt;"",P759,IF(ISERROR(Personalplanung!AD31/Monatsplanung!$E31*Monatsplanung!$N31),0,Personalplanung!AD31/Monatsplanung!$E31*Monatsplanung!$N31))</f>
        <v>0</v>
      </c>
      <c r="R759" s="740"/>
      <c r="S759" s="739"/>
      <c r="T759" s="168">
        <f>IF(S759&lt;&gt;"",S759,IF(ISERROR(Personalplanung!AE31/Monatsplanung!$E31*Monatsplanung!$N31),0,Personalplanung!AE31/Monatsplanung!$E31*Monatsplanung!$N31))</f>
        <v>0</v>
      </c>
      <c r="U759" s="740"/>
      <c r="V759" s="168">
        <f t="shared" si="239"/>
        <v>0</v>
      </c>
      <c r="W759" s="168">
        <f>IF(ISERROR(Personalplanung!P31/Monatsplanung!$E31*Monatsplanung!$N31),0,Personalplanung!P31/Monatsplanung!$E31*Monatsplanung!$N31)</f>
        <v>0</v>
      </c>
      <c r="X759" s="168">
        <f>IF(ISERROR(Personalplanung!Q31/Monatsplanung!$E31*Monatsplanung!$N31),0,Personalplanung!Q31/Monatsplanung!$E31*Monatsplanung!$N31)</f>
        <v>0</v>
      </c>
      <c r="Y759" s="168">
        <f>IF(ISERROR(Personalplanung!R31/T1279*Stundencontrolling!T759),0,Personalplanung!R31/T1279*Stundencontrolling!T759)</f>
        <v>0</v>
      </c>
      <c r="Z759" s="168">
        <f>IF(ISERROR(Personalplanung!S31/Monatsplanung!$E31*Monatsplanung!$N31),0,Personalplanung!S31/Monatsplanung!$E31*Monatsplanung!$N31)</f>
        <v>0</v>
      </c>
      <c r="AA759" s="80">
        <f t="shared" si="240"/>
        <v>0</v>
      </c>
      <c r="AB759" s="102">
        <f t="shared" si="241"/>
        <v>0.1</v>
      </c>
      <c r="AC759" s="103">
        <f t="shared" si="242"/>
        <v>0</v>
      </c>
      <c r="AD759" s="103">
        <f t="shared" si="243"/>
        <v>0</v>
      </c>
      <c r="AE759" s="81">
        <f t="shared" si="244"/>
        <v>0</v>
      </c>
      <c r="AF759" s="539"/>
      <c r="AG759" s="104">
        <f t="shared" si="245"/>
        <v>1</v>
      </c>
      <c r="AH759" s="7">
        <f t="shared" si="246"/>
        <v>0</v>
      </c>
      <c r="AI759" s="6">
        <f t="shared" si="247"/>
        <v>0</v>
      </c>
      <c r="AJ759" s="73">
        <f t="shared" si="248"/>
        <v>0</v>
      </c>
      <c r="AK759" s="539"/>
      <c r="AL759" s="748"/>
      <c r="AM759" s="748"/>
    </row>
    <row r="760" spans="2:39" x14ac:dyDescent="0.2">
      <c r="B760" s="101" t="str">
        <f t="shared" si="233"/>
        <v/>
      </c>
      <c r="C760" s="168">
        <f>IF(ISERROR(Personalplanung!F32/Monatsplanung!$E32*Monatsplanung!$N32),0,Personalplanung!F32/Monatsplanung!$E32*Monatsplanung!$N32)</f>
        <v>0</v>
      </c>
      <c r="D760" s="168">
        <f t="shared" si="234"/>
        <v>0</v>
      </c>
      <c r="E760" s="168">
        <f>IF(ISERROR(Personalplanung!H32/Monatsplanung!$E32*Monatsplanung!$N32),0,Personalplanung!H32/Monatsplanung!$E32*Monatsplanung!$N32)</f>
        <v>0</v>
      </c>
      <c r="F760" s="168">
        <f t="shared" si="235"/>
        <v>0</v>
      </c>
      <c r="G760" s="168">
        <f t="shared" si="236"/>
        <v>27.700831024930746</v>
      </c>
      <c r="H760" s="168">
        <f t="shared" si="237"/>
        <v>0</v>
      </c>
      <c r="I760" s="168">
        <f t="shared" si="238"/>
        <v>30</v>
      </c>
      <c r="J760" s="739"/>
      <c r="K760" s="168">
        <f>IF(J760&lt;&gt;"",J760,IF(ISERROR(Personalplanung!AB32/Monatsplanung!$E32*Monatsplanung!$N32),0,Personalplanung!AB32/Monatsplanung!$E32*Monatsplanung!$N32))</f>
        <v>0</v>
      </c>
      <c r="L760" s="740"/>
      <c r="M760" s="739"/>
      <c r="N760" s="168">
        <f>IF(M760&lt;&gt;"",M760,IF(ISERROR(Personalplanung!AC32/Monatsplanung!$E32*Monatsplanung!$N32),0,Personalplanung!AC32/Monatsplanung!$E32*Monatsplanung!$N32))</f>
        <v>0</v>
      </c>
      <c r="O760" s="740"/>
      <c r="P760" s="739"/>
      <c r="Q760" s="168">
        <f>IF(P760&lt;&gt;"",P760,IF(ISERROR(Personalplanung!AD32/Monatsplanung!$E32*Monatsplanung!$N32),0,Personalplanung!AD32/Monatsplanung!$E32*Monatsplanung!$N32))</f>
        <v>0</v>
      </c>
      <c r="R760" s="740"/>
      <c r="S760" s="739"/>
      <c r="T760" s="168">
        <f>IF(S760&lt;&gt;"",S760,IF(ISERROR(Personalplanung!AE32/Monatsplanung!$E32*Monatsplanung!$N32),0,Personalplanung!AE32/Monatsplanung!$E32*Monatsplanung!$N32))</f>
        <v>0</v>
      </c>
      <c r="U760" s="740"/>
      <c r="V760" s="168">
        <f t="shared" si="239"/>
        <v>0</v>
      </c>
      <c r="W760" s="168">
        <f>IF(ISERROR(Personalplanung!P32/Monatsplanung!$E32*Monatsplanung!$N32),0,Personalplanung!P32/Monatsplanung!$E32*Monatsplanung!$N32)</f>
        <v>0</v>
      </c>
      <c r="X760" s="168">
        <f>IF(ISERROR(Personalplanung!Q32/Monatsplanung!$E32*Monatsplanung!$N32),0,Personalplanung!Q32/Monatsplanung!$E32*Monatsplanung!$N32)</f>
        <v>0</v>
      </c>
      <c r="Y760" s="168">
        <f>IF(ISERROR(Personalplanung!R32/T1280*Stundencontrolling!T760),0,Personalplanung!R32/T1280*Stundencontrolling!T760)</f>
        <v>0</v>
      </c>
      <c r="Z760" s="168">
        <f>IF(ISERROR(Personalplanung!S32/Monatsplanung!$E32*Monatsplanung!$N32),0,Personalplanung!S32/Monatsplanung!$E32*Monatsplanung!$N32)</f>
        <v>0</v>
      </c>
      <c r="AA760" s="80">
        <f t="shared" si="240"/>
        <v>0</v>
      </c>
      <c r="AB760" s="102">
        <f t="shared" si="241"/>
        <v>0.1</v>
      </c>
      <c r="AC760" s="103">
        <f t="shared" si="242"/>
        <v>0</v>
      </c>
      <c r="AD760" s="103">
        <f t="shared" si="243"/>
        <v>0</v>
      </c>
      <c r="AE760" s="81">
        <f t="shared" si="244"/>
        <v>0</v>
      </c>
      <c r="AF760" s="539"/>
      <c r="AG760" s="104">
        <f t="shared" si="245"/>
        <v>1</v>
      </c>
      <c r="AH760" s="7">
        <f t="shared" si="246"/>
        <v>0</v>
      </c>
      <c r="AI760" s="6">
        <f t="shared" si="247"/>
        <v>0</v>
      </c>
      <c r="AJ760" s="73">
        <f t="shared" si="248"/>
        <v>0</v>
      </c>
      <c r="AK760" s="539"/>
      <c r="AL760" s="748"/>
      <c r="AM760" s="748"/>
    </row>
    <row r="761" spans="2:39" x14ac:dyDescent="0.2">
      <c r="B761" s="101" t="str">
        <f t="shared" si="233"/>
        <v/>
      </c>
      <c r="C761" s="168">
        <f>IF(ISERROR(Personalplanung!F33/Monatsplanung!$E33*Monatsplanung!$N33),0,Personalplanung!F33/Monatsplanung!$E33*Monatsplanung!$N33)</f>
        <v>0</v>
      </c>
      <c r="D761" s="168">
        <f t="shared" si="234"/>
        <v>0</v>
      </c>
      <c r="E761" s="168">
        <f>IF(ISERROR(Personalplanung!H33/Monatsplanung!$E33*Monatsplanung!$N33),0,Personalplanung!H33/Monatsplanung!$E33*Monatsplanung!$N33)</f>
        <v>0</v>
      </c>
      <c r="F761" s="168">
        <f t="shared" si="235"/>
        <v>0</v>
      </c>
      <c r="G761" s="168">
        <f t="shared" si="236"/>
        <v>27.700831024930746</v>
      </c>
      <c r="H761" s="168">
        <f t="shared" si="237"/>
        <v>0</v>
      </c>
      <c r="I761" s="168">
        <f t="shared" si="238"/>
        <v>30</v>
      </c>
      <c r="J761" s="739"/>
      <c r="K761" s="168">
        <f>IF(J761&lt;&gt;"",J761,IF(ISERROR(Personalplanung!AB33/Monatsplanung!$E33*Monatsplanung!$N33),0,Personalplanung!AB33/Monatsplanung!$E33*Monatsplanung!$N33))</f>
        <v>0</v>
      </c>
      <c r="L761" s="740"/>
      <c r="M761" s="739"/>
      <c r="N761" s="168">
        <f>IF(M761&lt;&gt;"",M761,IF(ISERROR(Personalplanung!AC33/Monatsplanung!$E33*Monatsplanung!$N33),0,Personalplanung!AC33/Monatsplanung!$E33*Monatsplanung!$N33))</f>
        <v>0</v>
      </c>
      <c r="O761" s="740"/>
      <c r="P761" s="739"/>
      <c r="Q761" s="168">
        <f>IF(P761&lt;&gt;"",P761,IF(ISERROR(Personalplanung!AD33/Monatsplanung!$E33*Monatsplanung!$N33),0,Personalplanung!AD33/Monatsplanung!$E33*Monatsplanung!$N33))</f>
        <v>0</v>
      </c>
      <c r="R761" s="740"/>
      <c r="S761" s="739"/>
      <c r="T761" s="168">
        <f>IF(S761&lt;&gt;"",S761,IF(ISERROR(Personalplanung!AE33/Monatsplanung!$E33*Monatsplanung!$N33),0,Personalplanung!AE33/Monatsplanung!$E33*Monatsplanung!$N33))</f>
        <v>0</v>
      </c>
      <c r="U761" s="740"/>
      <c r="V761" s="168">
        <f t="shared" si="239"/>
        <v>0</v>
      </c>
      <c r="W761" s="168">
        <f>IF(ISERROR(Personalplanung!P33/Monatsplanung!$E33*Monatsplanung!$N33),0,Personalplanung!P33/Monatsplanung!$E33*Monatsplanung!$N33)</f>
        <v>0</v>
      </c>
      <c r="X761" s="168">
        <f>IF(ISERROR(Personalplanung!Q33/Monatsplanung!$E33*Monatsplanung!$N33),0,Personalplanung!Q33/Monatsplanung!$E33*Monatsplanung!$N33)</f>
        <v>0</v>
      </c>
      <c r="Y761" s="168">
        <f>IF(ISERROR(Personalplanung!R33/T1281*Stundencontrolling!T761),0,Personalplanung!R33/T1281*Stundencontrolling!T761)</f>
        <v>0</v>
      </c>
      <c r="Z761" s="168">
        <f>IF(ISERROR(Personalplanung!S33/Monatsplanung!$E33*Monatsplanung!$N33),0,Personalplanung!S33/Monatsplanung!$E33*Monatsplanung!$N33)</f>
        <v>0</v>
      </c>
      <c r="AA761" s="80">
        <f t="shared" si="240"/>
        <v>0</v>
      </c>
      <c r="AB761" s="102">
        <f t="shared" si="241"/>
        <v>0.1</v>
      </c>
      <c r="AC761" s="103">
        <f t="shared" si="242"/>
        <v>0</v>
      </c>
      <c r="AD761" s="103">
        <f t="shared" si="243"/>
        <v>0</v>
      </c>
      <c r="AE761" s="81">
        <f t="shared" si="244"/>
        <v>0</v>
      </c>
      <c r="AF761" s="539"/>
      <c r="AG761" s="104">
        <f t="shared" si="245"/>
        <v>1</v>
      </c>
      <c r="AH761" s="7">
        <f t="shared" si="246"/>
        <v>0</v>
      </c>
      <c r="AI761" s="6">
        <f t="shared" si="247"/>
        <v>0</v>
      </c>
      <c r="AJ761" s="73">
        <f t="shared" si="248"/>
        <v>0</v>
      </c>
      <c r="AK761" s="539"/>
      <c r="AL761" s="748"/>
      <c r="AM761" s="748"/>
    </row>
    <row r="762" spans="2:39" x14ac:dyDescent="0.2">
      <c r="B762" s="101" t="str">
        <f t="shared" si="233"/>
        <v/>
      </c>
      <c r="C762" s="168">
        <f>IF(ISERROR(Personalplanung!F34/Monatsplanung!$E34*Monatsplanung!$N34),0,Personalplanung!F34/Monatsplanung!$E34*Monatsplanung!$N34)</f>
        <v>0</v>
      </c>
      <c r="D762" s="168">
        <f t="shared" si="234"/>
        <v>0</v>
      </c>
      <c r="E762" s="168">
        <f>IF(ISERROR(Personalplanung!H34/Monatsplanung!$E34*Monatsplanung!$N34),0,Personalplanung!H34/Monatsplanung!$E34*Monatsplanung!$N34)</f>
        <v>0</v>
      </c>
      <c r="F762" s="168">
        <f t="shared" si="235"/>
        <v>0</v>
      </c>
      <c r="G762" s="168">
        <f t="shared" si="236"/>
        <v>27.700831024930746</v>
      </c>
      <c r="H762" s="168">
        <f t="shared" si="237"/>
        <v>0</v>
      </c>
      <c r="I762" s="168">
        <f t="shared" si="238"/>
        <v>30</v>
      </c>
      <c r="J762" s="739"/>
      <c r="K762" s="168">
        <f>IF(J762&lt;&gt;"",J762,IF(ISERROR(Personalplanung!AB34/Monatsplanung!$E34*Monatsplanung!$N34),0,Personalplanung!AB34/Monatsplanung!$E34*Monatsplanung!$N34))</f>
        <v>0</v>
      </c>
      <c r="L762" s="740"/>
      <c r="M762" s="739"/>
      <c r="N762" s="168">
        <f>IF(M762&lt;&gt;"",M762,IF(ISERROR(Personalplanung!AC34/Monatsplanung!$E34*Monatsplanung!$N34),0,Personalplanung!AC34/Monatsplanung!$E34*Monatsplanung!$N34))</f>
        <v>0</v>
      </c>
      <c r="O762" s="740"/>
      <c r="P762" s="739"/>
      <c r="Q762" s="168">
        <f>IF(P762&lt;&gt;"",P762,IF(ISERROR(Personalplanung!AD34/Monatsplanung!$E34*Monatsplanung!$N34),0,Personalplanung!AD34/Monatsplanung!$E34*Monatsplanung!$N34))</f>
        <v>0</v>
      </c>
      <c r="R762" s="740"/>
      <c r="S762" s="739"/>
      <c r="T762" s="168">
        <f>IF(S762&lt;&gt;"",S762,IF(ISERROR(Personalplanung!AE34/Monatsplanung!$E34*Monatsplanung!$N34),0,Personalplanung!AE34/Monatsplanung!$E34*Monatsplanung!$N34))</f>
        <v>0</v>
      </c>
      <c r="U762" s="740"/>
      <c r="V762" s="168">
        <f t="shared" si="239"/>
        <v>0</v>
      </c>
      <c r="W762" s="168">
        <f>IF(ISERROR(Personalplanung!P34/Monatsplanung!$E34*Monatsplanung!$N34),0,Personalplanung!P34/Monatsplanung!$E34*Monatsplanung!$N34)</f>
        <v>0</v>
      </c>
      <c r="X762" s="168">
        <f>IF(ISERROR(Personalplanung!Q34/Monatsplanung!$E34*Monatsplanung!$N34),0,Personalplanung!Q34/Monatsplanung!$E34*Monatsplanung!$N34)</f>
        <v>0</v>
      </c>
      <c r="Y762" s="168">
        <f>IF(ISERROR(Personalplanung!R34/T1282*Stundencontrolling!T762),0,Personalplanung!R34/T1282*Stundencontrolling!T762)</f>
        <v>0</v>
      </c>
      <c r="Z762" s="168">
        <f>IF(ISERROR(Personalplanung!S34/Monatsplanung!$E34*Monatsplanung!$N34),0,Personalplanung!S34/Monatsplanung!$E34*Monatsplanung!$N34)</f>
        <v>0</v>
      </c>
      <c r="AA762" s="80">
        <f t="shared" si="240"/>
        <v>0</v>
      </c>
      <c r="AB762" s="102">
        <f t="shared" si="241"/>
        <v>0.1</v>
      </c>
      <c r="AC762" s="103">
        <f t="shared" si="242"/>
        <v>0</v>
      </c>
      <c r="AD762" s="103">
        <f t="shared" si="243"/>
        <v>0</v>
      </c>
      <c r="AE762" s="81">
        <f t="shared" si="244"/>
        <v>0</v>
      </c>
      <c r="AF762" s="539"/>
      <c r="AG762" s="104">
        <f t="shared" si="245"/>
        <v>1</v>
      </c>
      <c r="AH762" s="7">
        <f t="shared" si="246"/>
        <v>0</v>
      </c>
      <c r="AI762" s="6">
        <f t="shared" si="247"/>
        <v>0</v>
      </c>
      <c r="AJ762" s="73">
        <f t="shared" si="248"/>
        <v>0</v>
      </c>
      <c r="AK762" s="539"/>
      <c r="AL762" s="748"/>
      <c r="AM762" s="748"/>
    </row>
    <row r="763" spans="2:39" x14ac:dyDescent="0.2">
      <c r="B763" s="101" t="str">
        <f t="shared" si="233"/>
        <v/>
      </c>
      <c r="C763" s="168">
        <f>IF(ISERROR(Personalplanung!F35/Monatsplanung!$E35*Monatsplanung!$N35),0,Personalplanung!F35/Monatsplanung!$E35*Monatsplanung!$N35)</f>
        <v>0</v>
      </c>
      <c r="D763" s="168">
        <f t="shared" si="234"/>
        <v>0</v>
      </c>
      <c r="E763" s="168">
        <f>IF(ISERROR(Personalplanung!H35/Monatsplanung!$E35*Monatsplanung!$N35),0,Personalplanung!H35/Monatsplanung!$E35*Monatsplanung!$N35)</f>
        <v>0</v>
      </c>
      <c r="F763" s="168">
        <f t="shared" si="235"/>
        <v>0</v>
      </c>
      <c r="G763" s="168">
        <f t="shared" si="236"/>
        <v>27.700831024930746</v>
      </c>
      <c r="H763" s="168">
        <f t="shared" si="237"/>
        <v>0</v>
      </c>
      <c r="I763" s="168">
        <f t="shared" si="238"/>
        <v>30</v>
      </c>
      <c r="J763" s="739"/>
      <c r="K763" s="168">
        <f>IF(J763&lt;&gt;"",J763,IF(ISERROR(Personalplanung!AB35/Monatsplanung!$E35*Monatsplanung!$N35),0,Personalplanung!AB35/Monatsplanung!$E35*Monatsplanung!$N35))</f>
        <v>0</v>
      </c>
      <c r="L763" s="740"/>
      <c r="M763" s="739"/>
      <c r="N763" s="168">
        <f>IF(M763&lt;&gt;"",M763,IF(ISERROR(Personalplanung!AC35/Monatsplanung!$E35*Monatsplanung!$N35),0,Personalplanung!AC35/Monatsplanung!$E35*Monatsplanung!$N35))</f>
        <v>0</v>
      </c>
      <c r="O763" s="740"/>
      <c r="P763" s="739"/>
      <c r="Q763" s="168">
        <f>IF(P763&lt;&gt;"",P763,IF(ISERROR(Personalplanung!AD35/Monatsplanung!$E35*Monatsplanung!$N35),0,Personalplanung!AD35/Monatsplanung!$E35*Monatsplanung!$N35))</f>
        <v>0</v>
      </c>
      <c r="R763" s="740"/>
      <c r="S763" s="739"/>
      <c r="T763" s="168">
        <f>IF(S763&lt;&gt;"",S763,IF(ISERROR(Personalplanung!AE35/Monatsplanung!$E35*Monatsplanung!$N35),0,Personalplanung!AE35/Monatsplanung!$E35*Monatsplanung!$N35))</f>
        <v>0</v>
      </c>
      <c r="U763" s="740"/>
      <c r="V763" s="168">
        <f t="shared" si="239"/>
        <v>0</v>
      </c>
      <c r="W763" s="168">
        <f>IF(ISERROR(Personalplanung!P35/Monatsplanung!$E35*Monatsplanung!$N35),0,Personalplanung!P35/Monatsplanung!$E35*Monatsplanung!$N35)</f>
        <v>0</v>
      </c>
      <c r="X763" s="168">
        <f>IF(ISERROR(Personalplanung!Q35/Monatsplanung!$E35*Monatsplanung!$N35),0,Personalplanung!Q35/Monatsplanung!$E35*Monatsplanung!$N35)</f>
        <v>0</v>
      </c>
      <c r="Y763" s="168">
        <f>IF(ISERROR(Personalplanung!R35/T1283*Stundencontrolling!T763),0,Personalplanung!R35/T1283*Stundencontrolling!T763)</f>
        <v>0</v>
      </c>
      <c r="Z763" s="168">
        <f>IF(ISERROR(Personalplanung!S35/Monatsplanung!$E35*Monatsplanung!$N35),0,Personalplanung!S35/Monatsplanung!$E35*Monatsplanung!$N35)</f>
        <v>0</v>
      </c>
      <c r="AA763" s="80">
        <f t="shared" si="240"/>
        <v>0</v>
      </c>
      <c r="AB763" s="102">
        <f t="shared" si="241"/>
        <v>0.1</v>
      </c>
      <c r="AC763" s="103">
        <f t="shared" si="242"/>
        <v>0</v>
      </c>
      <c r="AD763" s="103">
        <f t="shared" si="243"/>
        <v>0</v>
      </c>
      <c r="AE763" s="81">
        <f t="shared" si="244"/>
        <v>0</v>
      </c>
      <c r="AF763" s="539"/>
      <c r="AG763" s="104">
        <f t="shared" si="245"/>
        <v>1</v>
      </c>
      <c r="AH763" s="7">
        <f t="shared" si="246"/>
        <v>0</v>
      </c>
      <c r="AI763" s="6">
        <f t="shared" si="247"/>
        <v>0</v>
      </c>
      <c r="AJ763" s="73">
        <f t="shared" si="248"/>
        <v>0</v>
      </c>
      <c r="AK763" s="539"/>
      <c r="AL763" s="748"/>
      <c r="AM763" s="748"/>
    </row>
    <row r="764" spans="2:39" x14ac:dyDescent="0.2">
      <c r="B764" s="101" t="str">
        <f t="shared" si="233"/>
        <v/>
      </c>
      <c r="C764" s="168">
        <f>IF(ISERROR(Personalplanung!F36/Monatsplanung!$E36*Monatsplanung!$N36),0,Personalplanung!F36/Monatsplanung!$E36*Monatsplanung!$N36)</f>
        <v>0</v>
      </c>
      <c r="D764" s="168">
        <f t="shared" si="234"/>
        <v>0</v>
      </c>
      <c r="E764" s="168">
        <f>IF(ISERROR(Personalplanung!H36/Monatsplanung!$E36*Monatsplanung!$N36),0,Personalplanung!H36/Monatsplanung!$E36*Monatsplanung!$N36)</f>
        <v>0</v>
      </c>
      <c r="F764" s="168">
        <f t="shared" si="235"/>
        <v>0</v>
      </c>
      <c r="G764" s="168">
        <f t="shared" si="236"/>
        <v>27.700831024930746</v>
      </c>
      <c r="H764" s="168">
        <f t="shared" si="237"/>
        <v>0</v>
      </c>
      <c r="I764" s="168">
        <f t="shared" si="238"/>
        <v>30</v>
      </c>
      <c r="J764" s="739"/>
      <c r="K764" s="168">
        <f>IF(J764&lt;&gt;"",J764,IF(ISERROR(Personalplanung!AB36/Monatsplanung!$E36*Monatsplanung!$N36),0,Personalplanung!AB36/Monatsplanung!$E36*Monatsplanung!$N36))</f>
        <v>0</v>
      </c>
      <c r="L764" s="740"/>
      <c r="M764" s="739"/>
      <c r="N764" s="168">
        <f>IF(M764&lt;&gt;"",M764,IF(ISERROR(Personalplanung!AC36/Monatsplanung!$E36*Monatsplanung!$N36),0,Personalplanung!AC36/Monatsplanung!$E36*Monatsplanung!$N36))</f>
        <v>0</v>
      </c>
      <c r="O764" s="740"/>
      <c r="P764" s="739"/>
      <c r="Q764" s="168">
        <f>IF(P764&lt;&gt;"",P764,IF(ISERROR(Personalplanung!AD36/Monatsplanung!$E36*Monatsplanung!$N36),0,Personalplanung!AD36/Monatsplanung!$E36*Monatsplanung!$N36))</f>
        <v>0</v>
      </c>
      <c r="R764" s="740"/>
      <c r="S764" s="739"/>
      <c r="T764" s="168">
        <f>IF(S764&lt;&gt;"",S764,IF(ISERROR(Personalplanung!AE36/Monatsplanung!$E36*Monatsplanung!$N36),0,Personalplanung!AE36/Monatsplanung!$E36*Monatsplanung!$N36))</f>
        <v>0</v>
      </c>
      <c r="U764" s="740"/>
      <c r="V764" s="168">
        <f t="shared" si="239"/>
        <v>0</v>
      </c>
      <c r="W764" s="168">
        <f>IF(ISERROR(Personalplanung!P36/Monatsplanung!$E36*Monatsplanung!$N36),0,Personalplanung!P36/Monatsplanung!$E36*Monatsplanung!$N36)</f>
        <v>0</v>
      </c>
      <c r="X764" s="168">
        <f>IF(ISERROR(Personalplanung!Q36/Monatsplanung!$E36*Monatsplanung!$N36),0,Personalplanung!Q36/Monatsplanung!$E36*Monatsplanung!$N36)</f>
        <v>0</v>
      </c>
      <c r="Y764" s="168">
        <f>IF(ISERROR(Personalplanung!R36/T1284*Stundencontrolling!T764),0,Personalplanung!R36/T1284*Stundencontrolling!T764)</f>
        <v>0</v>
      </c>
      <c r="Z764" s="168">
        <f>IF(ISERROR(Personalplanung!S36/Monatsplanung!$E36*Monatsplanung!$N36),0,Personalplanung!S36/Monatsplanung!$E36*Monatsplanung!$N36)</f>
        <v>0</v>
      </c>
      <c r="AA764" s="80">
        <f t="shared" si="240"/>
        <v>0</v>
      </c>
      <c r="AB764" s="102">
        <f t="shared" si="241"/>
        <v>0.1</v>
      </c>
      <c r="AC764" s="103">
        <f t="shared" si="242"/>
        <v>0</v>
      </c>
      <c r="AD764" s="103">
        <f t="shared" si="243"/>
        <v>0</v>
      </c>
      <c r="AE764" s="81">
        <f t="shared" si="244"/>
        <v>0</v>
      </c>
      <c r="AF764" s="539"/>
      <c r="AG764" s="104">
        <f t="shared" si="245"/>
        <v>1</v>
      </c>
      <c r="AH764" s="7">
        <f t="shared" si="246"/>
        <v>0</v>
      </c>
      <c r="AI764" s="6">
        <f t="shared" si="247"/>
        <v>0</v>
      </c>
      <c r="AJ764" s="73">
        <f t="shared" si="248"/>
        <v>0</v>
      </c>
      <c r="AK764" s="539"/>
      <c r="AL764" s="748"/>
      <c r="AM764" s="748"/>
    </row>
    <row r="765" spans="2:39" x14ac:dyDescent="0.2">
      <c r="B765" s="101" t="str">
        <f t="shared" si="233"/>
        <v/>
      </c>
      <c r="C765" s="168">
        <f>IF(ISERROR(Personalplanung!F37/Monatsplanung!$E37*Monatsplanung!$N37),0,Personalplanung!F37/Monatsplanung!$E37*Monatsplanung!$N37)</f>
        <v>0</v>
      </c>
      <c r="D765" s="168">
        <f t="shared" si="234"/>
        <v>0</v>
      </c>
      <c r="E765" s="168">
        <f>IF(ISERROR(Personalplanung!H37/Monatsplanung!$E37*Monatsplanung!$N37),0,Personalplanung!H37/Monatsplanung!$E37*Monatsplanung!$N37)</f>
        <v>0</v>
      </c>
      <c r="F765" s="168">
        <f t="shared" si="235"/>
        <v>0</v>
      </c>
      <c r="G765" s="168">
        <f t="shared" si="236"/>
        <v>27.700831024930746</v>
      </c>
      <c r="H765" s="168">
        <f t="shared" si="237"/>
        <v>0</v>
      </c>
      <c r="I765" s="168">
        <f t="shared" si="238"/>
        <v>30</v>
      </c>
      <c r="J765" s="739"/>
      <c r="K765" s="168">
        <f>IF(J765&lt;&gt;"",J765,IF(ISERROR(Personalplanung!AB37/Monatsplanung!$E37*Monatsplanung!$N37),0,Personalplanung!AB37/Monatsplanung!$E37*Monatsplanung!$N37))</f>
        <v>0</v>
      </c>
      <c r="L765" s="740"/>
      <c r="M765" s="739"/>
      <c r="N765" s="168">
        <f>IF(M765&lt;&gt;"",M765,IF(ISERROR(Personalplanung!AC37/Monatsplanung!$E37*Monatsplanung!$N37),0,Personalplanung!AC37/Monatsplanung!$E37*Monatsplanung!$N37))</f>
        <v>0</v>
      </c>
      <c r="O765" s="740"/>
      <c r="P765" s="739"/>
      <c r="Q765" s="168">
        <f>IF(P765&lt;&gt;"",P765,IF(ISERROR(Personalplanung!AD37/Monatsplanung!$E37*Monatsplanung!$N37),0,Personalplanung!AD37/Monatsplanung!$E37*Monatsplanung!$N37))</f>
        <v>0</v>
      </c>
      <c r="R765" s="740"/>
      <c r="S765" s="739"/>
      <c r="T765" s="168">
        <f>IF(S765&lt;&gt;"",S765,IF(ISERROR(Personalplanung!AE37/Monatsplanung!$E37*Monatsplanung!$N37),0,Personalplanung!AE37/Monatsplanung!$E37*Monatsplanung!$N37))</f>
        <v>0</v>
      </c>
      <c r="U765" s="740"/>
      <c r="V765" s="168">
        <f t="shared" si="239"/>
        <v>0</v>
      </c>
      <c r="W765" s="168">
        <f>IF(ISERROR(Personalplanung!P37/Monatsplanung!$E37*Monatsplanung!$N37),0,Personalplanung!P37/Monatsplanung!$E37*Monatsplanung!$N37)</f>
        <v>0</v>
      </c>
      <c r="X765" s="168">
        <f>IF(ISERROR(Personalplanung!Q37/Monatsplanung!$E37*Monatsplanung!$N37),0,Personalplanung!Q37/Monatsplanung!$E37*Monatsplanung!$N37)</f>
        <v>0</v>
      </c>
      <c r="Y765" s="168">
        <f>IF(ISERROR(Personalplanung!R37/T1285*Stundencontrolling!T765),0,Personalplanung!R37/T1285*Stundencontrolling!T765)</f>
        <v>0</v>
      </c>
      <c r="Z765" s="168">
        <f>IF(ISERROR(Personalplanung!S37/Monatsplanung!$E37*Monatsplanung!$N37),0,Personalplanung!S37/Monatsplanung!$E37*Monatsplanung!$N37)</f>
        <v>0</v>
      </c>
      <c r="AA765" s="80">
        <f t="shared" si="240"/>
        <v>0</v>
      </c>
      <c r="AB765" s="102">
        <f t="shared" si="241"/>
        <v>0.1</v>
      </c>
      <c r="AC765" s="103">
        <f t="shared" si="242"/>
        <v>0</v>
      </c>
      <c r="AD765" s="103">
        <f t="shared" si="243"/>
        <v>0</v>
      </c>
      <c r="AE765" s="81">
        <f t="shared" si="244"/>
        <v>0</v>
      </c>
      <c r="AF765" s="539"/>
      <c r="AG765" s="104">
        <f t="shared" si="245"/>
        <v>1</v>
      </c>
      <c r="AH765" s="7">
        <f t="shared" si="246"/>
        <v>0</v>
      </c>
      <c r="AI765" s="6">
        <f t="shared" si="247"/>
        <v>0</v>
      </c>
      <c r="AJ765" s="73">
        <f t="shared" si="248"/>
        <v>0</v>
      </c>
      <c r="AK765" s="539"/>
      <c r="AL765" s="748"/>
      <c r="AM765" s="748"/>
    </row>
    <row r="766" spans="2:39" x14ac:dyDescent="0.2">
      <c r="B766" s="101" t="str">
        <f t="shared" si="233"/>
        <v/>
      </c>
      <c r="C766" s="168">
        <f>IF(ISERROR(Personalplanung!F38/Monatsplanung!$E38*Monatsplanung!$N38),0,Personalplanung!F38/Monatsplanung!$E38*Monatsplanung!$N38)</f>
        <v>0</v>
      </c>
      <c r="D766" s="168">
        <f t="shared" si="234"/>
        <v>0</v>
      </c>
      <c r="E766" s="168">
        <f>IF(ISERROR(Personalplanung!H38/Monatsplanung!$E38*Monatsplanung!$N38),0,Personalplanung!H38/Monatsplanung!$E38*Monatsplanung!$N38)</f>
        <v>0</v>
      </c>
      <c r="F766" s="168">
        <f t="shared" si="235"/>
        <v>0</v>
      </c>
      <c r="G766" s="168">
        <f t="shared" si="236"/>
        <v>27.700831024930746</v>
      </c>
      <c r="H766" s="168">
        <f t="shared" si="237"/>
        <v>0</v>
      </c>
      <c r="I766" s="168">
        <f t="shared" si="238"/>
        <v>30</v>
      </c>
      <c r="J766" s="739"/>
      <c r="K766" s="168">
        <f>IF(J766&lt;&gt;"",J766,IF(ISERROR(Personalplanung!AB38/Monatsplanung!$E38*Monatsplanung!$N38),0,Personalplanung!AB38/Monatsplanung!$E38*Monatsplanung!$N38))</f>
        <v>0</v>
      </c>
      <c r="L766" s="740"/>
      <c r="M766" s="739"/>
      <c r="N766" s="168">
        <f>IF(M766&lt;&gt;"",M766,IF(ISERROR(Personalplanung!AC38/Monatsplanung!$E38*Monatsplanung!$N38),0,Personalplanung!AC38/Monatsplanung!$E38*Monatsplanung!$N38))</f>
        <v>0</v>
      </c>
      <c r="O766" s="740"/>
      <c r="P766" s="739"/>
      <c r="Q766" s="168">
        <f>IF(P766&lt;&gt;"",P766,IF(ISERROR(Personalplanung!AD38/Monatsplanung!$E38*Monatsplanung!$N38),0,Personalplanung!AD38/Monatsplanung!$E38*Monatsplanung!$N38))</f>
        <v>0</v>
      </c>
      <c r="R766" s="740"/>
      <c r="S766" s="739"/>
      <c r="T766" s="168">
        <f>IF(S766&lt;&gt;"",S766,IF(ISERROR(Personalplanung!AE38/Monatsplanung!$E38*Monatsplanung!$N38),0,Personalplanung!AE38/Monatsplanung!$E38*Monatsplanung!$N38))</f>
        <v>0</v>
      </c>
      <c r="U766" s="740"/>
      <c r="V766" s="168">
        <f t="shared" si="239"/>
        <v>0</v>
      </c>
      <c r="W766" s="168">
        <f>IF(ISERROR(Personalplanung!P38/Monatsplanung!$E38*Monatsplanung!$N38),0,Personalplanung!P38/Monatsplanung!$E38*Monatsplanung!$N38)</f>
        <v>0</v>
      </c>
      <c r="X766" s="168">
        <f>IF(ISERROR(Personalplanung!Q38/Monatsplanung!$E38*Monatsplanung!$N38),0,Personalplanung!Q38/Monatsplanung!$E38*Monatsplanung!$N38)</f>
        <v>0</v>
      </c>
      <c r="Y766" s="168">
        <f>IF(ISERROR(Personalplanung!R38/T1286*Stundencontrolling!T766),0,Personalplanung!R38/T1286*Stundencontrolling!T766)</f>
        <v>0</v>
      </c>
      <c r="Z766" s="168">
        <f>IF(ISERROR(Personalplanung!S38/Monatsplanung!$E38*Monatsplanung!$N38),0,Personalplanung!S38/Monatsplanung!$E38*Monatsplanung!$N38)</f>
        <v>0</v>
      </c>
      <c r="AA766" s="80">
        <f t="shared" si="240"/>
        <v>0</v>
      </c>
      <c r="AB766" s="102">
        <f t="shared" si="241"/>
        <v>0.1</v>
      </c>
      <c r="AC766" s="103">
        <f t="shared" si="242"/>
        <v>0</v>
      </c>
      <c r="AD766" s="103">
        <f t="shared" si="243"/>
        <v>0</v>
      </c>
      <c r="AE766" s="81">
        <f t="shared" si="244"/>
        <v>0</v>
      </c>
      <c r="AF766" s="539"/>
      <c r="AG766" s="104">
        <f t="shared" si="245"/>
        <v>1</v>
      </c>
      <c r="AH766" s="7">
        <f t="shared" si="246"/>
        <v>0</v>
      </c>
      <c r="AI766" s="6">
        <f t="shared" si="247"/>
        <v>0</v>
      </c>
      <c r="AJ766" s="73">
        <f t="shared" si="248"/>
        <v>0</v>
      </c>
      <c r="AK766" s="539"/>
      <c r="AL766" s="748"/>
      <c r="AM766" s="748"/>
    </row>
    <row r="767" spans="2:39" x14ac:dyDescent="0.2">
      <c r="B767" s="101" t="str">
        <f t="shared" si="233"/>
        <v/>
      </c>
      <c r="C767" s="168">
        <f>IF(ISERROR(Personalplanung!F39/Monatsplanung!$E39*Monatsplanung!$N39),0,Personalplanung!F39/Monatsplanung!$E39*Monatsplanung!$N39)</f>
        <v>0</v>
      </c>
      <c r="D767" s="168">
        <f t="shared" si="234"/>
        <v>0</v>
      </c>
      <c r="E767" s="168">
        <f>IF(ISERROR(Personalplanung!H39/Monatsplanung!$E39*Monatsplanung!$N39),0,Personalplanung!H39/Monatsplanung!$E39*Monatsplanung!$N39)</f>
        <v>0</v>
      </c>
      <c r="F767" s="168">
        <f t="shared" si="235"/>
        <v>0</v>
      </c>
      <c r="G767" s="168">
        <f t="shared" si="236"/>
        <v>27.700831024930746</v>
      </c>
      <c r="H767" s="168">
        <f t="shared" si="237"/>
        <v>0</v>
      </c>
      <c r="I767" s="168">
        <f t="shared" si="238"/>
        <v>30</v>
      </c>
      <c r="J767" s="739"/>
      <c r="K767" s="168">
        <f>IF(J767&lt;&gt;"",J767,IF(ISERROR(Personalplanung!AB39/Monatsplanung!$E39*Monatsplanung!$N39),0,Personalplanung!AB39/Monatsplanung!$E39*Monatsplanung!$N39))</f>
        <v>0</v>
      </c>
      <c r="L767" s="740"/>
      <c r="M767" s="739"/>
      <c r="N767" s="168">
        <f>IF(M767&lt;&gt;"",M767,IF(ISERROR(Personalplanung!AC39/Monatsplanung!$E39*Monatsplanung!$N39),0,Personalplanung!AC39/Monatsplanung!$E39*Monatsplanung!$N39))</f>
        <v>0</v>
      </c>
      <c r="O767" s="740"/>
      <c r="P767" s="739"/>
      <c r="Q767" s="168">
        <f>IF(P767&lt;&gt;"",P767,IF(ISERROR(Personalplanung!AD39/Monatsplanung!$E39*Monatsplanung!$N39),0,Personalplanung!AD39/Monatsplanung!$E39*Monatsplanung!$N39))</f>
        <v>0</v>
      </c>
      <c r="R767" s="740"/>
      <c r="S767" s="739"/>
      <c r="T767" s="168">
        <f>IF(S767&lt;&gt;"",S767,IF(ISERROR(Personalplanung!AE39/Monatsplanung!$E39*Monatsplanung!$N39),0,Personalplanung!AE39/Monatsplanung!$E39*Monatsplanung!$N39))</f>
        <v>0</v>
      </c>
      <c r="U767" s="740"/>
      <c r="V767" s="168">
        <f t="shared" si="239"/>
        <v>0</v>
      </c>
      <c r="W767" s="168">
        <f>IF(ISERROR(Personalplanung!P39/Monatsplanung!$E39*Monatsplanung!$N39),0,Personalplanung!P39/Monatsplanung!$E39*Monatsplanung!$N39)</f>
        <v>0</v>
      </c>
      <c r="X767" s="168">
        <f>IF(ISERROR(Personalplanung!Q39/Monatsplanung!$E39*Monatsplanung!$N39),0,Personalplanung!Q39/Monatsplanung!$E39*Monatsplanung!$N39)</f>
        <v>0</v>
      </c>
      <c r="Y767" s="168">
        <f>IF(ISERROR(Personalplanung!R39/T1287*Stundencontrolling!T767),0,Personalplanung!R39/T1287*Stundencontrolling!T767)</f>
        <v>0</v>
      </c>
      <c r="Z767" s="168">
        <f>IF(ISERROR(Personalplanung!S39/Monatsplanung!$E39*Monatsplanung!$N39),0,Personalplanung!S39/Monatsplanung!$E39*Monatsplanung!$N39)</f>
        <v>0</v>
      </c>
      <c r="AA767" s="80">
        <f t="shared" si="240"/>
        <v>0</v>
      </c>
      <c r="AB767" s="102">
        <f t="shared" si="241"/>
        <v>0.1</v>
      </c>
      <c r="AC767" s="103">
        <f t="shared" si="242"/>
        <v>0</v>
      </c>
      <c r="AD767" s="103">
        <f t="shared" si="243"/>
        <v>0</v>
      </c>
      <c r="AE767" s="81">
        <f t="shared" si="244"/>
        <v>0</v>
      </c>
      <c r="AF767" s="539"/>
      <c r="AG767" s="104">
        <f t="shared" si="245"/>
        <v>1</v>
      </c>
      <c r="AH767" s="7">
        <f t="shared" si="246"/>
        <v>0</v>
      </c>
      <c r="AI767" s="6">
        <f t="shared" si="247"/>
        <v>0</v>
      </c>
      <c r="AJ767" s="73">
        <f t="shared" si="248"/>
        <v>0</v>
      </c>
      <c r="AK767" s="539"/>
      <c r="AL767" s="748"/>
      <c r="AM767" s="748"/>
    </row>
    <row r="768" spans="2:39" x14ac:dyDescent="0.2">
      <c r="B768" s="101" t="str">
        <f t="shared" si="233"/>
        <v/>
      </c>
      <c r="C768" s="168">
        <f>IF(ISERROR(Personalplanung!F40/Monatsplanung!$E40*Monatsplanung!$N40),0,Personalplanung!F40/Monatsplanung!$E40*Monatsplanung!$N40)</f>
        <v>0</v>
      </c>
      <c r="D768" s="168">
        <f t="shared" si="234"/>
        <v>0</v>
      </c>
      <c r="E768" s="168">
        <f>IF(ISERROR(Personalplanung!H40/Monatsplanung!$E40*Monatsplanung!$N40),0,Personalplanung!H40/Monatsplanung!$E40*Monatsplanung!$N40)</f>
        <v>0</v>
      </c>
      <c r="F768" s="168">
        <f t="shared" si="235"/>
        <v>0</v>
      </c>
      <c r="G768" s="168">
        <f t="shared" si="236"/>
        <v>27.700831024930746</v>
      </c>
      <c r="H768" s="168">
        <f t="shared" si="237"/>
        <v>0</v>
      </c>
      <c r="I768" s="168">
        <f t="shared" si="238"/>
        <v>30</v>
      </c>
      <c r="J768" s="739"/>
      <c r="K768" s="168">
        <f>IF(J768&lt;&gt;"",J768,IF(ISERROR(Personalplanung!AB40/Monatsplanung!$E40*Monatsplanung!$N40),0,Personalplanung!AB40/Monatsplanung!$E40*Monatsplanung!$N40))</f>
        <v>0</v>
      </c>
      <c r="L768" s="740"/>
      <c r="M768" s="739"/>
      <c r="N768" s="168">
        <f>IF(M768&lt;&gt;"",M768,IF(ISERROR(Personalplanung!AC40/Monatsplanung!$E40*Monatsplanung!$N40),0,Personalplanung!AC40/Monatsplanung!$E40*Monatsplanung!$N40))</f>
        <v>0</v>
      </c>
      <c r="O768" s="740"/>
      <c r="P768" s="739"/>
      <c r="Q768" s="168">
        <f>IF(P768&lt;&gt;"",P768,IF(ISERROR(Personalplanung!AD40/Monatsplanung!$E40*Monatsplanung!$N40),0,Personalplanung!AD40/Monatsplanung!$E40*Monatsplanung!$N40))</f>
        <v>0</v>
      </c>
      <c r="R768" s="740"/>
      <c r="S768" s="739"/>
      <c r="T768" s="168">
        <f>IF(S768&lt;&gt;"",S768,IF(ISERROR(Personalplanung!AE40/Monatsplanung!$E40*Monatsplanung!$N40),0,Personalplanung!AE40/Monatsplanung!$E40*Monatsplanung!$N40))</f>
        <v>0</v>
      </c>
      <c r="U768" s="740"/>
      <c r="V768" s="168">
        <f t="shared" si="239"/>
        <v>0</v>
      </c>
      <c r="W768" s="168">
        <f>IF(ISERROR(Personalplanung!P40/Monatsplanung!$E40*Monatsplanung!$N40),0,Personalplanung!P40/Monatsplanung!$E40*Monatsplanung!$N40)</f>
        <v>0</v>
      </c>
      <c r="X768" s="168">
        <f>IF(ISERROR(Personalplanung!Q40/Monatsplanung!$E40*Monatsplanung!$N40),0,Personalplanung!Q40/Monatsplanung!$E40*Monatsplanung!$N40)</f>
        <v>0</v>
      </c>
      <c r="Y768" s="168">
        <f>IF(ISERROR(Personalplanung!R40/T1288*Stundencontrolling!T768),0,Personalplanung!R40/T1288*Stundencontrolling!T768)</f>
        <v>0</v>
      </c>
      <c r="Z768" s="168">
        <f>IF(ISERROR(Personalplanung!S40/Monatsplanung!$E40*Monatsplanung!$N40),0,Personalplanung!S40/Monatsplanung!$E40*Monatsplanung!$N40)</f>
        <v>0</v>
      </c>
      <c r="AA768" s="80">
        <f t="shared" si="240"/>
        <v>0</v>
      </c>
      <c r="AB768" s="102">
        <f t="shared" si="241"/>
        <v>0.1</v>
      </c>
      <c r="AC768" s="103">
        <f t="shared" si="242"/>
        <v>0</v>
      </c>
      <c r="AD768" s="103">
        <f t="shared" si="243"/>
        <v>0</v>
      </c>
      <c r="AE768" s="81">
        <f t="shared" si="244"/>
        <v>0</v>
      </c>
      <c r="AF768" s="539"/>
      <c r="AG768" s="104">
        <f t="shared" si="245"/>
        <v>1</v>
      </c>
      <c r="AH768" s="7">
        <f t="shared" si="246"/>
        <v>0</v>
      </c>
      <c r="AI768" s="6">
        <f t="shared" si="247"/>
        <v>0</v>
      </c>
      <c r="AJ768" s="73">
        <f t="shared" si="248"/>
        <v>0</v>
      </c>
      <c r="AK768" s="539"/>
      <c r="AL768" s="748"/>
      <c r="AM768" s="748"/>
    </row>
    <row r="769" spans="2:39" x14ac:dyDescent="0.2">
      <c r="B769" s="101" t="str">
        <f t="shared" si="233"/>
        <v/>
      </c>
      <c r="C769" s="168">
        <f>IF(ISERROR(Personalplanung!F41/Monatsplanung!$E41*Monatsplanung!$N41),0,Personalplanung!F41/Monatsplanung!$E41*Monatsplanung!$N41)</f>
        <v>0</v>
      </c>
      <c r="D769" s="168">
        <f t="shared" si="234"/>
        <v>0</v>
      </c>
      <c r="E769" s="168">
        <f>IF(ISERROR(Personalplanung!H41/Monatsplanung!$E41*Monatsplanung!$N41),0,Personalplanung!H41/Monatsplanung!$E41*Monatsplanung!$N41)</f>
        <v>0</v>
      </c>
      <c r="F769" s="168">
        <f t="shared" si="235"/>
        <v>0</v>
      </c>
      <c r="G769" s="168">
        <f t="shared" si="236"/>
        <v>27.700831024930746</v>
      </c>
      <c r="H769" s="168">
        <f t="shared" si="237"/>
        <v>0</v>
      </c>
      <c r="I769" s="168">
        <f t="shared" si="238"/>
        <v>30</v>
      </c>
      <c r="J769" s="739"/>
      <c r="K769" s="168">
        <f>IF(J769&lt;&gt;"",J769,IF(ISERROR(Personalplanung!AB41/Monatsplanung!$E41*Monatsplanung!$N41),0,Personalplanung!AB41/Monatsplanung!$E41*Monatsplanung!$N41))</f>
        <v>0</v>
      </c>
      <c r="L769" s="740"/>
      <c r="M769" s="739"/>
      <c r="N769" s="168">
        <f>IF(M769&lt;&gt;"",M769,IF(ISERROR(Personalplanung!AC41/Monatsplanung!$E41*Monatsplanung!$N41),0,Personalplanung!AC41/Monatsplanung!$E41*Monatsplanung!$N41))</f>
        <v>0</v>
      </c>
      <c r="O769" s="740"/>
      <c r="P769" s="739"/>
      <c r="Q769" s="168">
        <f>IF(P769&lt;&gt;"",P769,IF(ISERROR(Personalplanung!AD41/Monatsplanung!$E41*Monatsplanung!$N41),0,Personalplanung!AD41/Monatsplanung!$E41*Monatsplanung!$N41))</f>
        <v>0</v>
      </c>
      <c r="R769" s="740"/>
      <c r="S769" s="739"/>
      <c r="T769" s="168">
        <f>IF(S769&lt;&gt;"",S769,IF(ISERROR(Personalplanung!AE41/Monatsplanung!$E41*Monatsplanung!$N41),0,Personalplanung!AE41/Monatsplanung!$E41*Monatsplanung!$N41))</f>
        <v>0</v>
      </c>
      <c r="U769" s="740"/>
      <c r="V769" s="168">
        <f t="shared" si="239"/>
        <v>0</v>
      </c>
      <c r="W769" s="168">
        <f>IF(ISERROR(Personalplanung!P41/Monatsplanung!$E41*Monatsplanung!$N41),0,Personalplanung!P41/Monatsplanung!$E41*Monatsplanung!$N41)</f>
        <v>0</v>
      </c>
      <c r="X769" s="168">
        <f>IF(ISERROR(Personalplanung!Q41/Monatsplanung!$E41*Monatsplanung!$N41),0,Personalplanung!Q41/Monatsplanung!$E41*Monatsplanung!$N41)</f>
        <v>0</v>
      </c>
      <c r="Y769" s="168">
        <f>IF(ISERROR(Personalplanung!R41/T1289*Stundencontrolling!T769),0,Personalplanung!R41/T1289*Stundencontrolling!T769)</f>
        <v>0</v>
      </c>
      <c r="Z769" s="168">
        <f>IF(ISERROR(Personalplanung!S41/Monatsplanung!$E41*Monatsplanung!$N41),0,Personalplanung!S41/Monatsplanung!$E41*Monatsplanung!$N41)</f>
        <v>0</v>
      </c>
      <c r="AA769" s="80">
        <f t="shared" si="240"/>
        <v>0</v>
      </c>
      <c r="AB769" s="102">
        <f t="shared" si="241"/>
        <v>0.1</v>
      </c>
      <c r="AC769" s="103">
        <f t="shared" si="242"/>
        <v>0</v>
      </c>
      <c r="AD769" s="103">
        <f t="shared" si="243"/>
        <v>0</v>
      </c>
      <c r="AE769" s="81">
        <f t="shared" si="244"/>
        <v>0</v>
      </c>
      <c r="AF769" s="539"/>
      <c r="AG769" s="104">
        <f t="shared" si="245"/>
        <v>1</v>
      </c>
      <c r="AH769" s="7">
        <f t="shared" si="246"/>
        <v>0</v>
      </c>
      <c r="AI769" s="6">
        <f t="shared" si="247"/>
        <v>0</v>
      </c>
      <c r="AJ769" s="73">
        <f t="shared" si="248"/>
        <v>0</v>
      </c>
      <c r="AK769" s="539"/>
      <c r="AL769" s="748"/>
      <c r="AM769" s="748"/>
    </row>
    <row r="770" spans="2:39" x14ac:dyDescent="0.2">
      <c r="B770" s="101" t="str">
        <f t="shared" si="233"/>
        <v/>
      </c>
      <c r="C770" s="168">
        <f>IF(ISERROR(Personalplanung!F42/Monatsplanung!$E42*Monatsplanung!$N42),0,Personalplanung!F42/Monatsplanung!$E42*Monatsplanung!$N42)</f>
        <v>0</v>
      </c>
      <c r="D770" s="168">
        <f t="shared" si="234"/>
        <v>0</v>
      </c>
      <c r="E770" s="168">
        <f>IF(ISERROR(Personalplanung!H42/Monatsplanung!$E42*Monatsplanung!$N42),0,Personalplanung!H42/Monatsplanung!$E42*Monatsplanung!$N42)</f>
        <v>0</v>
      </c>
      <c r="F770" s="168">
        <f t="shared" si="235"/>
        <v>0</v>
      </c>
      <c r="G770" s="168">
        <f t="shared" si="236"/>
        <v>27.700831024930746</v>
      </c>
      <c r="H770" s="168">
        <f t="shared" si="237"/>
        <v>0</v>
      </c>
      <c r="I770" s="168">
        <f t="shared" si="238"/>
        <v>30</v>
      </c>
      <c r="J770" s="739"/>
      <c r="K770" s="168">
        <f>IF(J770&lt;&gt;"",J770,IF(ISERROR(Personalplanung!AB42/Monatsplanung!$E42*Monatsplanung!$N42),0,Personalplanung!AB42/Monatsplanung!$E42*Monatsplanung!$N42))</f>
        <v>0</v>
      </c>
      <c r="L770" s="740"/>
      <c r="M770" s="739"/>
      <c r="N770" s="168">
        <f>IF(M770&lt;&gt;"",M770,IF(ISERROR(Personalplanung!AC42/Monatsplanung!$E42*Monatsplanung!$N42),0,Personalplanung!AC42/Monatsplanung!$E42*Monatsplanung!$N42))</f>
        <v>0</v>
      </c>
      <c r="O770" s="740"/>
      <c r="P770" s="739"/>
      <c r="Q770" s="168">
        <f>IF(P770&lt;&gt;"",P770,IF(ISERROR(Personalplanung!AD42/Monatsplanung!$E42*Monatsplanung!$N42),0,Personalplanung!AD42/Monatsplanung!$E42*Monatsplanung!$N42))</f>
        <v>0</v>
      </c>
      <c r="R770" s="740"/>
      <c r="S770" s="739"/>
      <c r="T770" s="168">
        <f>IF(S770&lt;&gt;"",S770,IF(ISERROR(Personalplanung!AE42/Monatsplanung!$E42*Monatsplanung!$N42),0,Personalplanung!AE42/Monatsplanung!$E42*Monatsplanung!$N42))</f>
        <v>0</v>
      </c>
      <c r="U770" s="740"/>
      <c r="V770" s="168">
        <f t="shared" si="239"/>
        <v>0</v>
      </c>
      <c r="W770" s="168">
        <f>IF(ISERROR(Personalplanung!P42/Monatsplanung!$E42*Monatsplanung!$N42),0,Personalplanung!P42/Monatsplanung!$E42*Monatsplanung!$N42)</f>
        <v>0</v>
      </c>
      <c r="X770" s="168">
        <f>IF(ISERROR(Personalplanung!Q42/Monatsplanung!$E42*Monatsplanung!$N42),0,Personalplanung!Q42/Monatsplanung!$E42*Monatsplanung!$N42)</f>
        <v>0</v>
      </c>
      <c r="Y770" s="168">
        <f>IF(ISERROR(Personalplanung!R42/T1290*Stundencontrolling!T770),0,Personalplanung!R42/T1290*Stundencontrolling!T770)</f>
        <v>0</v>
      </c>
      <c r="Z770" s="168">
        <f>IF(ISERROR(Personalplanung!S42/Monatsplanung!$E42*Monatsplanung!$N42),0,Personalplanung!S42/Monatsplanung!$E42*Monatsplanung!$N42)</f>
        <v>0</v>
      </c>
      <c r="AA770" s="80">
        <f t="shared" si="240"/>
        <v>0</v>
      </c>
      <c r="AB770" s="102">
        <f t="shared" si="241"/>
        <v>0.1</v>
      </c>
      <c r="AC770" s="103">
        <f t="shared" si="242"/>
        <v>0</v>
      </c>
      <c r="AD770" s="103">
        <f t="shared" si="243"/>
        <v>0</v>
      </c>
      <c r="AE770" s="81">
        <f t="shared" si="244"/>
        <v>0</v>
      </c>
      <c r="AF770" s="539"/>
      <c r="AG770" s="104">
        <f t="shared" si="245"/>
        <v>1</v>
      </c>
      <c r="AH770" s="7">
        <f t="shared" si="246"/>
        <v>0</v>
      </c>
      <c r="AI770" s="6">
        <f t="shared" si="247"/>
        <v>0</v>
      </c>
      <c r="AJ770" s="73">
        <f t="shared" si="248"/>
        <v>0</v>
      </c>
      <c r="AK770" s="539"/>
      <c r="AL770" s="748"/>
      <c r="AM770" s="748"/>
    </row>
    <row r="771" spans="2:39" x14ac:dyDescent="0.2">
      <c r="B771" s="101" t="str">
        <f t="shared" si="233"/>
        <v/>
      </c>
      <c r="C771" s="168">
        <f>IF(ISERROR(Personalplanung!F43/Monatsplanung!$E43*Monatsplanung!$N43),0,Personalplanung!F43/Monatsplanung!$E43*Monatsplanung!$N43)</f>
        <v>0</v>
      </c>
      <c r="D771" s="168">
        <f t="shared" si="234"/>
        <v>0</v>
      </c>
      <c r="E771" s="168">
        <f>IF(ISERROR(Personalplanung!H43/Monatsplanung!$E43*Monatsplanung!$N43),0,Personalplanung!H43/Monatsplanung!$E43*Monatsplanung!$N43)</f>
        <v>0</v>
      </c>
      <c r="F771" s="168">
        <f t="shared" si="235"/>
        <v>0</v>
      </c>
      <c r="G771" s="168">
        <f t="shared" si="236"/>
        <v>27.700831024930746</v>
      </c>
      <c r="H771" s="168">
        <f t="shared" si="237"/>
        <v>0</v>
      </c>
      <c r="I771" s="168">
        <f t="shared" si="238"/>
        <v>30</v>
      </c>
      <c r="J771" s="739"/>
      <c r="K771" s="168">
        <f>IF(J771&lt;&gt;"",J771,IF(ISERROR(Personalplanung!AB43/Monatsplanung!$E43*Monatsplanung!$N43),0,Personalplanung!AB43/Monatsplanung!$E43*Monatsplanung!$N43))</f>
        <v>0</v>
      </c>
      <c r="L771" s="740"/>
      <c r="M771" s="739"/>
      <c r="N771" s="168">
        <f>IF(M771&lt;&gt;"",M771,IF(ISERROR(Personalplanung!AC43/Monatsplanung!$E43*Monatsplanung!$N43),0,Personalplanung!AC43/Monatsplanung!$E43*Monatsplanung!$N43))</f>
        <v>0</v>
      </c>
      <c r="O771" s="740"/>
      <c r="P771" s="739"/>
      <c r="Q771" s="168">
        <f>IF(P771&lt;&gt;"",P771,IF(ISERROR(Personalplanung!AD43/Monatsplanung!$E43*Monatsplanung!$N43),0,Personalplanung!AD43/Monatsplanung!$E43*Monatsplanung!$N43))</f>
        <v>0</v>
      </c>
      <c r="R771" s="740"/>
      <c r="S771" s="739"/>
      <c r="T771" s="168">
        <f>IF(S771&lt;&gt;"",S771,IF(ISERROR(Personalplanung!AE43/Monatsplanung!$E43*Monatsplanung!$N43),0,Personalplanung!AE43/Monatsplanung!$E43*Monatsplanung!$N43))</f>
        <v>0</v>
      </c>
      <c r="U771" s="740"/>
      <c r="V771" s="168">
        <f t="shared" si="239"/>
        <v>0</v>
      </c>
      <c r="W771" s="168">
        <f>IF(ISERROR(Personalplanung!P43/Monatsplanung!$E43*Monatsplanung!$N43),0,Personalplanung!P43/Monatsplanung!$E43*Monatsplanung!$N43)</f>
        <v>0</v>
      </c>
      <c r="X771" s="168">
        <f>IF(ISERROR(Personalplanung!Q43/Monatsplanung!$E43*Monatsplanung!$N43),0,Personalplanung!Q43/Monatsplanung!$E43*Monatsplanung!$N43)</f>
        <v>0</v>
      </c>
      <c r="Y771" s="168">
        <f>IF(ISERROR(Personalplanung!R43/T1291*Stundencontrolling!T771),0,Personalplanung!R43/T1291*Stundencontrolling!T771)</f>
        <v>0</v>
      </c>
      <c r="Z771" s="168">
        <f>IF(ISERROR(Personalplanung!S43/Monatsplanung!$E43*Monatsplanung!$N43),0,Personalplanung!S43/Monatsplanung!$E43*Monatsplanung!$N43)</f>
        <v>0</v>
      </c>
      <c r="AA771" s="80">
        <f t="shared" si="240"/>
        <v>0</v>
      </c>
      <c r="AB771" s="102">
        <f t="shared" si="241"/>
        <v>0.1</v>
      </c>
      <c r="AC771" s="103">
        <f t="shared" si="242"/>
        <v>0</v>
      </c>
      <c r="AD771" s="103">
        <f t="shared" si="243"/>
        <v>0</v>
      </c>
      <c r="AE771" s="81">
        <f t="shared" si="244"/>
        <v>0</v>
      </c>
      <c r="AF771" s="539"/>
      <c r="AG771" s="104">
        <f t="shared" si="245"/>
        <v>1</v>
      </c>
      <c r="AH771" s="7">
        <f t="shared" si="246"/>
        <v>0</v>
      </c>
      <c r="AI771" s="6">
        <f t="shared" si="247"/>
        <v>0</v>
      </c>
      <c r="AJ771" s="73">
        <f t="shared" si="248"/>
        <v>0</v>
      </c>
      <c r="AK771" s="539"/>
      <c r="AL771" s="748"/>
      <c r="AM771" s="748"/>
    </row>
    <row r="772" spans="2:39" x14ac:dyDescent="0.2">
      <c r="B772" s="101" t="str">
        <f t="shared" si="233"/>
        <v/>
      </c>
      <c r="C772" s="168">
        <f>IF(ISERROR(Personalplanung!F44/Monatsplanung!$E44*Monatsplanung!$N44),0,Personalplanung!F44/Monatsplanung!$E44*Monatsplanung!$N44)</f>
        <v>0</v>
      </c>
      <c r="D772" s="168">
        <f t="shared" si="234"/>
        <v>0</v>
      </c>
      <c r="E772" s="168">
        <f>IF(ISERROR(Personalplanung!H44/Monatsplanung!$E44*Monatsplanung!$N44),0,Personalplanung!H44/Monatsplanung!$E44*Monatsplanung!$N44)</f>
        <v>0</v>
      </c>
      <c r="F772" s="168">
        <f t="shared" si="235"/>
        <v>0</v>
      </c>
      <c r="G772" s="168">
        <f t="shared" si="236"/>
        <v>27.700831024930746</v>
      </c>
      <c r="H772" s="168">
        <f t="shared" si="237"/>
        <v>0</v>
      </c>
      <c r="I772" s="168">
        <f t="shared" si="238"/>
        <v>30</v>
      </c>
      <c r="J772" s="739"/>
      <c r="K772" s="168">
        <f>IF(J772&lt;&gt;"",J772,IF(ISERROR(Personalplanung!AB44/Monatsplanung!$E44*Monatsplanung!$N44),0,Personalplanung!AB44/Monatsplanung!$E44*Monatsplanung!$N44))</f>
        <v>0</v>
      </c>
      <c r="L772" s="740"/>
      <c r="M772" s="739"/>
      <c r="N772" s="168">
        <f>IF(M772&lt;&gt;"",M772,IF(ISERROR(Personalplanung!AC44/Monatsplanung!$E44*Monatsplanung!$N44),0,Personalplanung!AC44/Monatsplanung!$E44*Monatsplanung!$N44))</f>
        <v>0</v>
      </c>
      <c r="O772" s="740"/>
      <c r="P772" s="739"/>
      <c r="Q772" s="168">
        <f>IF(P772&lt;&gt;"",P772,IF(ISERROR(Personalplanung!AD44/Monatsplanung!$E44*Monatsplanung!$N44),0,Personalplanung!AD44/Monatsplanung!$E44*Monatsplanung!$N44))</f>
        <v>0</v>
      </c>
      <c r="R772" s="740"/>
      <c r="S772" s="739"/>
      <c r="T772" s="168">
        <f>IF(S772&lt;&gt;"",S772,IF(ISERROR(Personalplanung!AE44/Monatsplanung!$E44*Monatsplanung!$N44),0,Personalplanung!AE44/Monatsplanung!$E44*Monatsplanung!$N44))</f>
        <v>0</v>
      </c>
      <c r="U772" s="740"/>
      <c r="V772" s="168">
        <f t="shared" si="239"/>
        <v>0</v>
      </c>
      <c r="W772" s="168">
        <f>IF(ISERROR(Personalplanung!P44/Monatsplanung!$E44*Monatsplanung!$N44),0,Personalplanung!P44/Monatsplanung!$E44*Monatsplanung!$N44)</f>
        <v>0</v>
      </c>
      <c r="X772" s="168">
        <f>IF(ISERROR(Personalplanung!Q44/Monatsplanung!$E44*Monatsplanung!$N44),0,Personalplanung!Q44/Monatsplanung!$E44*Monatsplanung!$N44)</f>
        <v>0</v>
      </c>
      <c r="Y772" s="168">
        <f>IF(ISERROR(Personalplanung!R44/T1292*Stundencontrolling!T772),0,Personalplanung!R44/T1292*Stundencontrolling!T772)</f>
        <v>0</v>
      </c>
      <c r="Z772" s="168">
        <f>IF(ISERROR(Personalplanung!S44/Monatsplanung!$E44*Monatsplanung!$N44),0,Personalplanung!S44/Monatsplanung!$E44*Monatsplanung!$N44)</f>
        <v>0</v>
      </c>
      <c r="AA772" s="80">
        <f t="shared" si="240"/>
        <v>0</v>
      </c>
      <c r="AB772" s="102">
        <f t="shared" si="241"/>
        <v>0.1</v>
      </c>
      <c r="AC772" s="103">
        <f t="shared" si="242"/>
        <v>0</v>
      </c>
      <c r="AD772" s="103">
        <f t="shared" si="243"/>
        <v>0</v>
      </c>
      <c r="AE772" s="81">
        <f t="shared" si="244"/>
        <v>0</v>
      </c>
      <c r="AF772" s="539"/>
      <c r="AG772" s="104">
        <f t="shared" si="245"/>
        <v>1</v>
      </c>
      <c r="AH772" s="7">
        <f t="shared" si="246"/>
        <v>0</v>
      </c>
      <c r="AI772" s="6">
        <f t="shared" si="247"/>
        <v>0</v>
      </c>
      <c r="AJ772" s="73">
        <f t="shared" si="248"/>
        <v>0</v>
      </c>
      <c r="AK772" s="539"/>
      <c r="AL772" s="748"/>
      <c r="AM772" s="748"/>
    </row>
    <row r="773" spans="2:39" x14ac:dyDescent="0.2">
      <c r="B773" s="101" t="str">
        <f t="shared" si="233"/>
        <v/>
      </c>
      <c r="C773" s="168">
        <f>IF(ISERROR(Personalplanung!F45/Monatsplanung!$E45*Monatsplanung!$N45),0,Personalplanung!F45/Monatsplanung!$E45*Monatsplanung!$N45)</f>
        <v>0</v>
      </c>
      <c r="D773" s="168">
        <f t="shared" si="234"/>
        <v>0</v>
      </c>
      <c r="E773" s="168">
        <f>IF(ISERROR(Personalplanung!H45/Monatsplanung!$E45*Monatsplanung!$N45),0,Personalplanung!H45/Monatsplanung!$E45*Monatsplanung!$N45)</f>
        <v>0</v>
      </c>
      <c r="F773" s="168">
        <f t="shared" si="235"/>
        <v>0</v>
      </c>
      <c r="G773" s="168">
        <f t="shared" si="236"/>
        <v>27.700831024930746</v>
      </c>
      <c r="H773" s="168">
        <f t="shared" si="237"/>
        <v>0</v>
      </c>
      <c r="I773" s="168">
        <f t="shared" si="238"/>
        <v>30</v>
      </c>
      <c r="J773" s="739"/>
      <c r="K773" s="168">
        <f>IF(J773&lt;&gt;"",J773,IF(ISERROR(Personalplanung!AB45/Monatsplanung!$E45*Monatsplanung!$N45),0,Personalplanung!AB45/Monatsplanung!$E45*Monatsplanung!$N45))</f>
        <v>0</v>
      </c>
      <c r="L773" s="740"/>
      <c r="M773" s="739"/>
      <c r="N773" s="168">
        <f>IF(M773&lt;&gt;"",M773,IF(ISERROR(Personalplanung!AC45/Monatsplanung!$E45*Monatsplanung!$N45),0,Personalplanung!AC45/Monatsplanung!$E45*Monatsplanung!$N45))</f>
        <v>0</v>
      </c>
      <c r="O773" s="740"/>
      <c r="P773" s="739"/>
      <c r="Q773" s="168">
        <f>IF(P773&lt;&gt;"",P773,IF(ISERROR(Personalplanung!AD45/Monatsplanung!$E45*Monatsplanung!$N45),0,Personalplanung!AD45/Monatsplanung!$E45*Monatsplanung!$N45))</f>
        <v>0</v>
      </c>
      <c r="R773" s="740"/>
      <c r="S773" s="739"/>
      <c r="T773" s="168">
        <f>IF(S773&lt;&gt;"",S773,IF(ISERROR(Personalplanung!AE45/Monatsplanung!$E45*Monatsplanung!$N45),0,Personalplanung!AE45/Monatsplanung!$E45*Monatsplanung!$N45))</f>
        <v>0</v>
      </c>
      <c r="U773" s="740"/>
      <c r="V773" s="168">
        <f t="shared" si="239"/>
        <v>0</v>
      </c>
      <c r="W773" s="168">
        <f>IF(ISERROR(Personalplanung!P45/Monatsplanung!$E45*Monatsplanung!$N45),0,Personalplanung!P45/Monatsplanung!$E45*Monatsplanung!$N45)</f>
        <v>0</v>
      </c>
      <c r="X773" s="168">
        <f>IF(ISERROR(Personalplanung!Q45/Monatsplanung!$E45*Monatsplanung!$N45),0,Personalplanung!Q45/Monatsplanung!$E45*Monatsplanung!$N45)</f>
        <v>0</v>
      </c>
      <c r="Y773" s="168">
        <f>IF(ISERROR(Personalplanung!R45/T1293*Stundencontrolling!T773),0,Personalplanung!R45/T1293*Stundencontrolling!T773)</f>
        <v>0</v>
      </c>
      <c r="Z773" s="168">
        <f>IF(ISERROR(Personalplanung!S45/Monatsplanung!$E45*Monatsplanung!$N45),0,Personalplanung!S45/Monatsplanung!$E45*Monatsplanung!$N45)</f>
        <v>0</v>
      </c>
      <c r="AA773" s="80">
        <f t="shared" si="240"/>
        <v>0</v>
      </c>
      <c r="AB773" s="102">
        <f t="shared" si="241"/>
        <v>0.1</v>
      </c>
      <c r="AC773" s="103">
        <f t="shared" si="242"/>
        <v>0</v>
      </c>
      <c r="AD773" s="103">
        <f t="shared" si="243"/>
        <v>0</v>
      </c>
      <c r="AE773" s="81">
        <f t="shared" si="244"/>
        <v>0</v>
      </c>
      <c r="AF773" s="539"/>
      <c r="AG773" s="104">
        <f t="shared" si="245"/>
        <v>1</v>
      </c>
      <c r="AH773" s="7">
        <f t="shared" si="246"/>
        <v>0</v>
      </c>
      <c r="AI773" s="6">
        <f t="shared" si="247"/>
        <v>0</v>
      </c>
      <c r="AJ773" s="73">
        <f t="shared" si="248"/>
        <v>0</v>
      </c>
      <c r="AK773" s="539"/>
      <c r="AL773" s="748"/>
      <c r="AM773" s="748"/>
    </row>
    <row r="774" spans="2:39" x14ac:dyDescent="0.2">
      <c r="B774" s="101" t="str">
        <f t="shared" si="233"/>
        <v/>
      </c>
      <c r="C774" s="168">
        <f>IF(ISERROR(Personalplanung!F46/Monatsplanung!$E46*Monatsplanung!$N46),0,Personalplanung!F46/Monatsplanung!$E46*Monatsplanung!$N46)</f>
        <v>0</v>
      </c>
      <c r="D774" s="168">
        <f t="shared" si="234"/>
        <v>0</v>
      </c>
      <c r="E774" s="168">
        <f>IF(ISERROR(Personalplanung!H46/Monatsplanung!$E46*Monatsplanung!$N46),0,Personalplanung!H46/Monatsplanung!$E46*Monatsplanung!$N46)</f>
        <v>0</v>
      </c>
      <c r="F774" s="168">
        <f t="shared" si="235"/>
        <v>0</v>
      </c>
      <c r="G774" s="168">
        <f t="shared" si="236"/>
        <v>27.700831024930746</v>
      </c>
      <c r="H774" s="168">
        <f t="shared" si="237"/>
        <v>0</v>
      </c>
      <c r="I774" s="168">
        <f t="shared" si="238"/>
        <v>30</v>
      </c>
      <c r="J774" s="739"/>
      <c r="K774" s="168">
        <f>IF(J774&lt;&gt;"",J774,IF(ISERROR(Personalplanung!AB46/Monatsplanung!$E46*Monatsplanung!$N46),0,Personalplanung!AB46/Monatsplanung!$E46*Monatsplanung!$N46))</f>
        <v>0</v>
      </c>
      <c r="L774" s="740"/>
      <c r="M774" s="739"/>
      <c r="N774" s="168">
        <f>IF(M774&lt;&gt;"",M774,IF(ISERROR(Personalplanung!AC46/Monatsplanung!$E46*Monatsplanung!$N46),0,Personalplanung!AC46/Monatsplanung!$E46*Monatsplanung!$N46))</f>
        <v>0</v>
      </c>
      <c r="O774" s="740"/>
      <c r="P774" s="739"/>
      <c r="Q774" s="168">
        <f>IF(P774&lt;&gt;"",P774,IF(ISERROR(Personalplanung!AD46/Monatsplanung!$E46*Monatsplanung!$N46),0,Personalplanung!AD46/Monatsplanung!$E46*Monatsplanung!$N46))</f>
        <v>0</v>
      </c>
      <c r="R774" s="740"/>
      <c r="S774" s="739"/>
      <c r="T774" s="168">
        <f>IF(S774&lt;&gt;"",S774,IF(ISERROR(Personalplanung!AE46/Monatsplanung!$E46*Monatsplanung!$N46),0,Personalplanung!AE46/Monatsplanung!$E46*Monatsplanung!$N46))</f>
        <v>0</v>
      </c>
      <c r="U774" s="740"/>
      <c r="V774" s="168">
        <f t="shared" si="239"/>
        <v>0</v>
      </c>
      <c r="W774" s="168">
        <f>IF(ISERROR(Personalplanung!P46/Monatsplanung!$E46*Monatsplanung!$N46),0,Personalplanung!P46/Monatsplanung!$E46*Monatsplanung!$N46)</f>
        <v>0</v>
      </c>
      <c r="X774" s="168">
        <f>IF(ISERROR(Personalplanung!Q46/Monatsplanung!$E46*Monatsplanung!$N46),0,Personalplanung!Q46/Monatsplanung!$E46*Monatsplanung!$N46)</f>
        <v>0</v>
      </c>
      <c r="Y774" s="168">
        <f>IF(ISERROR(Personalplanung!R46/T1294*Stundencontrolling!T774),0,Personalplanung!R46/T1294*Stundencontrolling!T774)</f>
        <v>0</v>
      </c>
      <c r="Z774" s="168">
        <f>IF(ISERROR(Personalplanung!S46/Monatsplanung!$E46*Monatsplanung!$N46),0,Personalplanung!S46/Monatsplanung!$E46*Monatsplanung!$N46)</f>
        <v>0</v>
      </c>
      <c r="AA774" s="80">
        <f t="shared" si="240"/>
        <v>0</v>
      </c>
      <c r="AB774" s="102">
        <f t="shared" si="241"/>
        <v>0.1</v>
      </c>
      <c r="AC774" s="103">
        <f t="shared" si="242"/>
        <v>0</v>
      </c>
      <c r="AD774" s="103">
        <f t="shared" si="243"/>
        <v>0</v>
      </c>
      <c r="AE774" s="81">
        <f t="shared" si="244"/>
        <v>0</v>
      </c>
      <c r="AF774" s="539"/>
      <c r="AG774" s="104">
        <f t="shared" si="245"/>
        <v>1</v>
      </c>
      <c r="AH774" s="7">
        <f t="shared" si="246"/>
        <v>0</v>
      </c>
      <c r="AI774" s="6">
        <f t="shared" si="247"/>
        <v>0</v>
      </c>
      <c r="AJ774" s="73">
        <f t="shared" si="248"/>
        <v>0</v>
      </c>
      <c r="AK774" s="539"/>
      <c r="AL774" s="748"/>
      <c r="AM774" s="748"/>
    </row>
    <row r="775" spans="2:39" x14ac:dyDescent="0.2">
      <c r="B775" s="101" t="str">
        <f t="shared" si="233"/>
        <v/>
      </c>
      <c r="C775" s="168">
        <f>IF(ISERROR(Personalplanung!F47/Monatsplanung!$E47*Monatsplanung!$N47),0,Personalplanung!F47/Monatsplanung!$E47*Monatsplanung!$N47)</f>
        <v>0</v>
      </c>
      <c r="D775" s="168">
        <f t="shared" si="234"/>
        <v>0</v>
      </c>
      <c r="E775" s="168">
        <f>IF(ISERROR(Personalplanung!H47/Monatsplanung!$E47*Monatsplanung!$N47),0,Personalplanung!H47/Monatsplanung!$E47*Monatsplanung!$N47)</f>
        <v>0</v>
      </c>
      <c r="F775" s="168">
        <f t="shared" si="235"/>
        <v>0</v>
      </c>
      <c r="G775" s="168">
        <f t="shared" si="236"/>
        <v>27.700831024930746</v>
      </c>
      <c r="H775" s="168">
        <f t="shared" si="237"/>
        <v>0</v>
      </c>
      <c r="I775" s="168">
        <f t="shared" si="238"/>
        <v>30</v>
      </c>
      <c r="J775" s="739"/>
      <c r="K775" s="168">
        <f>IF(J775&lt;&gt;"",J775,IF(ISERROR(Personalplanung!AB47/Monatsplanung!$E47*Monatsplanung!$N47),0,Personalplanung!AB47/Monatsplanung!$E47*Monatsplanung!$N47))</f>
        <v>0</v>
      </c>
      <c r="L775" s="740"/>
      <c r="M775" s="739"/>
      <c r="N775" s="168">
        <f>IF(M775&lt;&gt;"",M775,IF(ISERROR(Personalplanung!AC47/Monatsplanung!$E47*Monatsplanung!$N47),0,Personalplanung!AC47/Monatsplanung!$E47*Monatsplanung!$N47))</f>
        <v>0</v>
      </c>
      <c r="O775" s="740"/>
      <c r="P775" s="739"/>
      <c r="Q775" s="168">
        <f>IF(P775&lt;&gt;"",P775,IF(ISERROR(Personalplanung!AD47/Monatsplanung!$E47*Monatsplanung!$N47),0,Personalplanung!AD47/Monatsplanung!$E47*Monatsplanung!$N47))</f>
        <v>0</v>
      </c>
      <c r="R775" s="740"/>
      <c r="S775" s="739"/>
      <c r="T775" s="168">
        <f>IF(S775&lt;&gt;"",S775,IF(ISERROR(Personalplanung!AE47/Monatsplanung!$E47*Monatsplanung!$N47),0,Personalplanung!AE47/Monatsplanung!$E47*Monatsplanung!$N47))</f>
        <v>0</v>
      </c>
      <c r="U775" s="740"/>
      <c r="V775" s="168">
        <f t="shared" si="239"/>
        <v>0</v>
      </c>
      <c r="W775" s="168">
        <f>IF(ISERROR(Personalplanung!P47/Monatsplanung!$E47*Monatsplanung!$N47),0,Personalplanung!P47/Monatsplanung!$E47*Monatsplanung!$N47)</f>
        <v>0</v>
      </c>
      <c r="X775" s="168">
        <f>IF(ISERROR(Personalplanung!Q47/Monatsplanung!$E47*Monatsplanung!$N47),0,Personalplanung!Q47/Monatsplanung!$E47*Monatsplanung!$N47)</f>
        <v>0</v>
      </c>
      <c r="Y775" s="168">
        <f>IF(ISERROR(Personalplanung!R47/T1295*Stundencontrolling!T775),0,Personalplanung!R47/T1295*Stundencontrolling!T775)</f>
        <v>0</v>
      </c>
      <c r="Z775" s="168">
        <f>IF(ISERROR(Personalplanung!S47/Monatsplanung!$E47*Monatsplanung!$N47),0,Personalplanung!S47/Monatsplanung!$E47*Monatsplanung!$N47)</f>
        <v>0</v>
      </c>
      <c r="AA775" s="80">
        <f t="shared" si="240"/>
        <v>0</v>
      </c>
      <c r="AB775" s="102">
        <f t="shared" si="241"/>
        <v>0.1</v>
      </c>
      <c r="AC775" s="103">
        <f t="shared" si="242"/>
        <v>0</v>
      </c>
      <c r="AD775" s="103">
        <f t="shared" si="243"/>
        <v>0</v>
      </c>
      <c r="AE775" s="81">
        <f t="shared" si="244"/>
        <v>0</v>
      </c>
      <c r="AF775" s="539"/>
      <c r="AG775" s="104">
        <f t="shared" si="245"/>
        <v>1</v>
      </c>
      <c r="AH775" s="7">
        <f t="shared" si="246"/>
        <v>0</v>
      </c>
      <c r="AI775" s="6">
        <f t="shared" si="247"/>
        <v>0</v>
      </c>
      <c r="AJ775" s="73">
        <f t="shared" si="248"/>
        <v>0</v>
      </c>
      <c r="AK775" s="539"/>
      <c r="AL775" s="748"/>
      <c r="AM775" s="748"/>
    </row>
    <row r="776" spans="2:39" x14ac:dyDescent="0.2">
      <c r="B776" s="101" t="str">
        <f t="shared" si="233"/>
        <v/>
      </c>
      <c r="C776" s="168">
        <f>IF(ISERROR(Personalplanung!F48/Monatsplanung!$E48*Monatsplanung!$N48),0,Personalplanung!F48/Monatsplanung!$E48*Monatsplanung!$N48)</f>
        <v>0</v>
      </c>
      <c r="D776" s="168">
        <f t="shared" si="234"/>
        <v>0</v>
      </c>
      <c r="E776" s="168">
        <f>IF(ISERROR(Personalplanung!H48/Monatsplanung!$E48*Monatsplanung!$N48),0,Personalplanung!H48/Monatsplanung!$E48*Monatsplanung!$N48)</f>
        <v>0</v>
      </c>
      <c r="F776" s="168">
        <f t="shared" si="235"/>
        <v>0</v>
      </c>
      <c r="G776" s="168">
        <f t="shared" si="236"/>
        <v>27.700831024930746</v>
      </c>
      <c r="H776" s="168">
        <f t="shared" si="237"/>
        <v>0</v>
      </c>
      <c r="I776" s="168">
        <f t="shared" si="238"/>
        <v>30</v>
      </c>
      <c r="J776" s="739"/>
      <c r="K776" s="168">
        <f>IF(J776&lt;&gt;"",J776,IF(ISERROR(Personalplanung!AB48/Monatsplanung!$E48*Monatsplanung!$N48),0,Personalplanung!AB48/Monatsplanung!$E48*Monatsplanung!$N48))</f>
        <v>0</v>
      </c>
      <c r="L776" s="740"/>
      <c r="M776" s="739"/>
      <c r="N776" s="168">
        <f>IF(M776&lt;&gt;"",M776,IF(ISERROR(Personalplanung!AC48/Monatsplanung!$E48*Monatsplanung!$N48),0,Personalplanung!AC48/Monatsplanung!$E48*Monatsplanung!$N48))</f>
        <v>0</v>
      </c>
      <c r="O776" s="740"/>
      <c r="P776" s="739"/>
      <c r="Q776" s="168">
        <f>IF(P776&lt;&gt;"",P776,IF(ISERROR(Personalplanung!AD48/Monatsplanung!$E48*Monatsplanung!$N48),0,Personalplanung!AD48/Monatsplanung!$E48*Monatsplanung!$N48))</f>
        <v>0</v>
      </c>
      <c r="R776" s="740"/>
      <c r="S776" s="739"/>
      <c r="T776" s="168">
        <f>IF(S776&lt;&gt;"",S776,IF(ISERROR(Personalplanung!AE48/Monatsplanung!$E48*Monatsplanung!$N48),0,Personalplanung!AE48/Monatsplanung!$E48*Monatsplanung!$N48))</f>
        <v>0</v>
      </c>
      <c r="U776" s="740"/>
      <c r="V776" s="168">
        <f t="shared" si="239"/>
        <v>0</v>
      </c>
      <c r="W776" s="168">
        <f>IF(ISERROR(Personalplanung!P48/Monatsplanung!$E48*Monatsplanung!$N48),0,Personalplanung!P48/Monatsplanung!$E48*Monatsplanung!$N48)</f>
        <v>0</v>
      </c>
      <c r="X776" s="168">
        <f>IF(ISERROR(Personalplanung!Q48/Monatsplanung!$E48*Monatsplanung!$N48),0,Personalplanung!Q48/Monatsplanung!$E48*Monatsplanung!$N48)</f>
        <v>0</v>
      </c>
      <c r="Y776" s="168">
        <f>IF(ISERROR(Personalplanung!R48/T1296*Stundencontrolling!T776),0,Personalplanung!R48/T1296*Stundencontrolling!T776)</f>
        <v>0</v>
      </c>
      <c r="Z776" s="168">
        <f>IF(ISERROR(Personalplanung!S48/Monatsplanung!$E48*Monatsplanung!$N48),0,Personalplanung!S48/Monatsplanung!$E48*Monatsplanung!$N48)</f>
        <v>0</v>
      </c>
      <c r="AA776" s="80">
        <f t="shared" si="240"/>
        <v>0</v>
      </c>
      <c r="AB776" s="102">
        <f t="shared" si="241"/>
        <v>0.1</v>
      </c>
      <c r="AC776" s="103">
        <f t="shared" si="242"/>
        <v>0</v>
      </c>
      <c r="AD776" s="103">
        <f t="shared" si="243"/>
        <v>0</v>
      </c>
      <c r="AE776" s="81">
        <f t="shared" si="244"/>
        <v>0</v>
      </c>
      <c r="AF776" s="539"/>
      <c r="AG776" s="104">
        <f t="shared" si="245"/>
        <v>1</v>
      </c>
      <c r="AH776" s="7">
        <f t="shared" si="246"/>
        <v>0</v>
      </c>
      <c r="AI776" s="6">
        <f t="shared" si="247"/>
        <v>0</v>
      </c>
      <c r="AJ776" s="73">
        <f t="shared" si="248"/>
        <v>0</v>
      </c>
      <c r="AK776" s="539"/>
      <c r="AL776" s="748"/>
      <c r="AM776" s="748"/>
    </row>
    <row r="777" spans="2:39" x14ac:dyDescent="0.2">
      <c r="B777" s="101" t="str">
        <f t="shared" si="233"/>
        <v/>
      </c>
      <c r="C777" s="168">
        <f>IF(ISERROR(Personalplanung!F49/Monatsplanung!$E49*Monatsplanung!$N49),0,Personalplanung!F49/Monatsplanung!$E49*Monatsplanung!$N49)</f>
        <v>0</v>
      </c>
      <c r="D777" s="168">
        <f t="shared" si="234"/>
        <v>0</v>
      </c>
      <c r="E777" s="168">
        <f>IF(ISERROR(Personalplanung!H49/Monatsplanung!$E49*Monatsplanung!$N49),0,Personalplanung!H49/Monatsplanung!$E49*Monatsplanung!$N49)</f>
        <v>0</v>
      </c>
      <c r="F777" s="168">
        <f t="shared" si="235"/>
        <v>0</v>
      </c>
      <c r="G777" s="168">
        <f t="shared" si="236"/>
        <v>27.700831024930746</v>
      </c>
      <c r="H777" s="168">
        <f t="shared" si="237"/>
        <v>0</v>
      </c>
      <c r="I777" s="168">
        <f t="shared" si="238"/>
        <v>30</v>
      </c>
      <c r="J777" s="739"/>
      <c r="K777" s="168">
        <f>IF(J777&lt;&gt;"",J777,IF(ISERROR(Personalplanung!AB49/Monatsplanung!$E49*Monatsplanung!$N49),0,Personalplanung!AB49/Monatsplanung!$E49*Monatsplanung!$N49))</f>
        <v>0</v>
      </c>
      <c r="L777" s="740"/>
      <c r="M777" s="739"/>
      <c r="N777" s="168">
        <f>IF(M777&lt;&gt;"",M777,IF(ISERROR(Personalplanung!AC49/Monatsplanung!$E49*Monatsplanung!$N49),0,Personalplanung!AC49/Monatsplanung!$E49*Monatsplanung!$N49))</f>
        <v>0</v>
      </c>
      <c r="O777" s="740"/>
      <c r="P777" s="739"/>
      <c r="Q777" s="168">
        <f>IF(P777&lt;&gt;"",P777,IF(ISERROR(Personalplanung!AD49/Monatsplanung!$E49*Monatsplanung!$N49),0,Personalplanung!AD49/Monatsplanung!$E49*Monatsplanung!$N49))</f>
        <v>0</v>
      </c>
      <c r="R777" s="740"/>
      <c r="S777" s="739"/>
      <c r="T777" s="168">
        <f>IF(S777&lt;&gt;"",S777,IF(ISERROR(Personalplanung!AE49/Monatsplanung!$E49*Monatsplanung!$N49),0,Personalplanung!AE49/Monatsplanung!$E49*Monatsplanung!$N49))</f>
        <v>0</v>
      </c>
      <c r="U777" s="740"/>
      <c r="V777" s="168">
        <f t="shared" si="239"/>
        <v>0</v>
      </c>
      <c r="W777" s="168">
        <f>IF(ISERROR(Personalplanung!P49/Monatsplanung!$E49*Monatsplanung!$N49),0,Personalplanung!P49/Monatsplanung!$E49*Monatsplanung!$N49)</f>
        <v>0</v>
      </c>
      <c r="X777" s="168">
        <f>IF(ISERROR(Personalplanung!Q49/Monatsplanung!$E49*Monatsplanung!$N49),0,Personalplanung!Q49/Monatsplanung!$E49*Monatsplanung!$N49)</f>
        <v>0</v>
      </c>
      <c r="Y777" s="168">
        <f>IF(ISERROR(Personalplanung!R49/T1297*Stundencontrolling!T777),0,Personalplanung!R49/T1297*Stundencontrolling!T777)</f>
        <v>0</v>
      </c>
      <c r="Z777" s="168">
        <f>IF(ISERROR(Personalplanung!S49/Monatsplanung!$E49*Monatsplanung!$N49),0,Personalplanung!S49/Monatsplanung!$E49*Monatsplanung!$N49)</f>
        <v>0</v>
      </c>
      <c r="AA777" s="80">
        <f t="shared" si="240"/>
        <v>0</v>
      </c>
      <c r="AB777" s="102">
        <f t="shared" si="241"/>
        <v>0.1</v>
      </c>
      <c r="AC777" s="103">
        <f t="shared" si="242"/>
        <v>0</v>
      </c>
      <c r="AD777" s="103">
        <f t="shared" si="243"/>
        <v>0</v>
      </c>
      <c r="AE777" s="81">
        <f t="shared" si="244"/>
        <v>0</v>
      </c>
      <c r="AF777" s="539"/>
      <c r="AG777" s="104">
        <f t="shared" si="245"/>
        <v>1</v>
      </c>
      <c r="AH777" s="7">
        <f t="shared" si="246"/>
        <v>0</v>
      </c>
      <c r="AI777" s="6">
        <f t="shared" si="247"/>
        <v>0</v>
      </c>
      <c r="AJ777" s="73">
        <f t="shared" si="248"/>
        <v>0</v>
      </c>
      <c r="AK777" s="539"/>
      <c r="AL777" s="748"/>
      <c r="AM777" s="748"/>
    </row>
    <row r="778" spans="2:39" x14ac:dyDescent="0.2">
      <c r="B778" s="101" t="str">
        <f t="shared" si="233"/>
        <v/>
      </c>
      <c r="C778" s="168">
        <f>IF(ISERROR(Personalplanung!F50/Monatsplanung!$E50*Monatsplanung!$N50),0,Personalplanung!F50/Monatsplanung!$E50*Monatsplanung!$N50)</f>
        <v>0</v>
      </c>
      <c r="D778" s="168">
        <f t="shared" si="234"/>
        <v>0</v>
      </c>
      <c r="E778" s="168">
        <f>IF(ISERROR(Personalplanung!H50/Monatsplanung!$E50*Monatsplanung!$N50),0,Personalplanung!H50/Monatsplanung!$E50*Monatsplanung!$N50)</f>
        <v>0</v>
      </c>
      <c r="F778" s="168">
        <f t="shared" si="235"/>
        <v>0</v>
      </c>
      <c r="G778" s="168">
        <f t="shared" si="236"/>
        <v>27.700831024930746</v>
      </c>
      <c r="H778" s="168">
        <f t="shared" si="237"/>
        <v>0</v>
      </c>
      <c r="I778" s="168">
        <f t="shared" si="238"/>
        <v>30</v>
      </c>
      <c r="J778" s="739"/>
      <c r="K778" s="168">
        <f>IF(J778&lt;&gt;"",J778,IF(ISERROR(Personalplanung!AB50/Monatsplanung!$E50*Monatsplanung!$N50),0,Personalplanung!AB50/Monatsplanung!$E50*Monatsplanung!$N50))</f>
        <v>0</v>
      </c>
      <c r="L778" s="740"/>
      <c r="M778" s="739"/>
      <c r="N778" s="168">
        <f>IF(M778&lt;&gt;"",M778,IF(ISERROR(Personalplanung!AC50/Monatsplanung!$E50*Monatsplanung!$N50),0,Personalplanung!AC50/Monatsplanung!$E50*Monatsplanung!$N50))</f>
        <v>0</v>
      </c>
      <c r="O778" s="740"/>
      <c r="P778" s="739"/>
      <c r="Q778" s="168">
        <f>IF(P778&lt;&gt;"",P778,IF(ISERROR(Personalplanung!AD50/Monatsplanung!$E50*Monatsplanung!$N50),0,Personalplanung!AD50/Monatsplanung!$E50*Monatsplanung!$N50))</f>
        <v>0</v>
      </c>
      <c r="R778" s="740"/>
      <c r="S778" s="739"/>
      <c r="T778" s="168">
        <f>IF(S778&lt;&gt;"",S778,IF(ISERROR(Personalplanung!AE50/Monatsplanung!$E50*Monatsplanung!$N50),0,Personalplanung!AE50/Monatsplanung!$E50*Monatsplanung!$N50))</f>
        <v>0</v>
      </c>
      <c r="U778" s="740"/>
      <c r="V778" s="168">
        <f t="shared" si="239"/>
        <v>0</v>
      </c>
      <c r="W778" s="168">
        <f>IF(ISERROR(Personalplanung!P50/Monatsplanung!$E50*Monatsplanung!$N50),0,Personalplanung!P50/Monatsplanung!$E50*Monatsplanung!$N50)</f>
        <v>0</v>
      </c>
      <c r="X778" s="168">
        <f>IF(ISERROR(Personalplanung!Q50/Monatsplanung!$E50*Monatsplanung!$N50),0,Personalplanung!Q50/Monatsplanung!$E50*Monatsplanung!$N50)</f>
        <v>0</v>
      </c>
      <c r="Y778" s="168">
        <f>IF(ISERROR(Personalplanung!R50/T1298*Stundencontrolling!T778),0,Personalplanung!R50/T1298*Stundencontrolling!T778)</f>
        <v>0</v>
      </c>
      <c r="Z778" s="168">
        <f>IF(ISERROR(Personalplanung!S50/Monatsplanung!$E50*Monatsplanung!$N50),0,Personalplanung!S50/Monatsplanung!$E50*Monatsplanung!$N50)</f>
        <v>0</v>
      </c>
      <c r="AA778" s="80">
        <f t="shared" si="240"/>
        <v>0</v>
      </c>
      <c r="AB778" s="102">
        <f t="shared" si="241"/>
        <v>0.1</v>
      </c>
      <c r="AC778" s="103">
        <f t="shared" si="242"/>
        <v>0</v>
      </c>
      <c r="AD778" s="103">
        <f t="shared" si="243"/>
        <v>0</v>
      </c>
      <c r="AE778" s="81">
        <f t="shared" si="244"/>
        <v>0</v>
      </c>
      <c r="AF778" s="539"/>
      <c r="AG778" s="104">
        <f t="shared" si="245"/>
        <v>1</v>
      </c>
      <c r="AH778" s="7">
        <f t="shared" si="246"/>
        <v>0</v>
      </c>
      <c r="AI778" s="6">
        <f t="shared" si="247"/>
        <v>0</v>
      </c>
      <c r="AJ778" s="73">
        <f t="shared" si="248"/>
        <v>0</v>
      </c>
      <c r="AK778" s="539"/>
      <c r="AL778" s="748"/>
      <c r="AM778" s="748"/>
    </row>
    <row r="779" spans="2:39" x14ac:dyDescent="0.2">
      <c r="B779" s="101" t="str">
        <f t="shared" si="233"/>
        <v/>
      </c>
      <c r="C779" s="168">
        <f>IF(ISERROR(Personalplanung!F51/Monatsplanung!$E51*Monatsplanung!$N51),0,Personalplanung!F51/Monatsplanung!$E51*Monatsplanung!$N51)</f>
        <v>0</v>
      </c>
      <c r="D779" s="168">
        <f t="shared" si="234"/>
        <v>0</v>
      </c>
      <c r="E779" s="168">
        <f>IF(ISERROR(Personalplanung!H51/Monatsplanung!$E51*Monatsplanung!$N51),0,Personalplanung!H51/Monatsplanung!$E51*Monatsplanung!$N51)</f>
        <v>0</v>
      </c>
      <c r="F779" s="168">
        <f t="shared" si="235"/>
        <v>0</v>
      </c>
      <c r="G779" s="168">
        <f t="shared" si="236"/>
        <v>27.700831024930746</v>
      </c>
      <c r="H779" s="168">
        <f t="shared" si="237"/>
        <v>0</v>
      </c>
      <c r="I779" s="168">
        <f t="shared" si="238"/>
        <v>30</v>
      </c>
      <c r="J779" s="739"/>
      <c r="K779" s="168">
        <f>IF(J779&lt;&gt;"",J779,IF(ISERROR(Personalplanung!AB51/Monatsplanung!$E51*Monatsplanung!$N51),0,Personalplanung!AB51/Monatsplanung!$E51*Monatsplanung!$N51))</f>
        <v>0</v>
      </c>
      <c r="L779" s="740"/>
      <c r="M779" s="739"/>
      <c r="N779" s="168">
        <f>IF(M779&lt;&gt;"",M779,IF(ISERROR(Personalplanung!AC51/Monatsplanung!$E51*Monatsplanung!$N51),0,Personalplanung!AC51/Monatsplanung!$E51*Monatsplanung!$N51))</f>
        <v>0</v>
      </c>
      <c r="O779" s="740"/>
      <c r="P779" s="739"/>
      <c r="Q779" s="168">
        <f>IF(P779&lt;&gt;"",P779,IF(ISERROR(Personalplanung!AD51/Monatsplanung!$E51*Monatsplanung!$N51),0,Personalplanung!AD51/Monatsplanung!$E51*Monatsplanung!$N51))</f>
        <v>0</v>
      </c>
      <c r="R779" s="740"/>
      <c r="S779" s="739"/>
      <c r="T779" s="168">
        <f>IF(S779&lt;&gt;"",S779,IF(ISERROR(Personalplanung!AE51/Monatsplanung!$E51*Monatsplanung!$N51),0,Personalplanung!AE51/Monatsplanung!$E51*Monatsplanung!$N51))</f>
        <v>0</v>
      </c>
      <c r="U779" s="740"/>
      <c r="V779" s="168">
        <f t="shared" si="239"/>
        <v>0</v>
      </c>
      <c r="W779" s="168">
        <f>IF(ISERROR(Personalplanung!P51/Monatsplanung!$E51*Monatsplanung!$N51),0,Personalplanung!P51/Monatsplanung!$E51*Monatsplanung!$N51)</f>
        <v>0</v>
      </c>
      <c r="X779" s="168">
        <f>IF(ISERROR(Personalplanung!Q51/Monatsplanung!$E51*Monatsplanung!$N51),0,Personalplanung!Q51/Monatsplanung!$E51*Monatsplanung!$N51)</f>
        <v>0</v>
      </c>
      <c r="Y779" s="168">
        <f>IF(ISERROR(Personalplanung!R51/T1299*Stundencontrolling!T779),0,Personalplanung!R51/T1299*Stundencontrolling!T779)</f>
        <v>0</v>
      </c>
      <c r="Z779" s="168">
        <f>IF(ISERROR(Personalplanung!S51/Monatsplanung!$E51*Monatsplanung!$N51),0,Personalplanung!S51/Monatsplanung!$E51*Monatsplanung!$N51)</f>
        <v>0</v>
      </c>
      <c r="AA779" s="80">
        <f t="shared" si="240"/>
        <v>0</v>
      </c>
      <c r="AB779" s="102">
        <f t="shared" si="241"/>
        <v>0.1</v>
      </c>
      <c r="AC779" s="103">
        <f t="shared" si="242"/>
        <v>0</v>
      </c>
      <c r="AD779" s="103">
        <f t="shared" si="243"/>
        <v>0</v>
      </c>
      <c r="AE779" s="81">
        <f t="shared" si="244"/>
        <v>0</v>
      </c>
      <c r="AF779" s="539"/>
      <c r="AG779" s="104">
        <f t="shared" si="245"/>
        <v>1</v>
      </c>
      <c r="AH779" s="7">
        <f t="shared" si="246"/>
        <v>0</v>
      </c>
      <c r="AI779" s="6">
        <f t="shared" si="247"/>
        <v>0</v>
      </c>
      <c r="AJ779" s="73">
        <f t="shared" si="248"/>
        <v>0</v>
      </c>
      <c r="AK779" s="539"/>
      <c r="AL779" s="748"/>
      <c r="AM779" s="748"/>
    </row>
    <row r="780" spans="2:39" x14ac:dyDescent="0.2">
      <c r="B780" s="101" t="str">
        <f t="shared" si="233"/>
        <v/>
      </c>
      <c r="C780" s="168">
        <f>IF(ISERROR(Personalplanung!F52/Monatsplanung!$E52*Monatsplanung!$N52),0,Personalplanung!F52/Monatsplanung!$E52*Monatsplanung!$N52)</f>
        <v>0</v>
      </c>
      <c r="D780" s="168">
        <f t="shared" si="234"/>
        <v>0</v>
      </c>
      <c r="E780" s="168">
        <f>IF(ISERROR(Personalplanung!H52/Monatsplanung!$E52*Monatsplanung!$N52),0,Personalplanung!H52/Monatsplanung!$E52*Monatsplanung!$N52)</f>
        <v>0</v>
      </c>
      <c r="F780" s="168">
        <f t="shared" si="235"/>
        <v>0</v>
      </c>
      <c r="G780" s="168">
        <f t="shared" si="236"/>
        <v>27.700831024930746</v>
      </c>
      <c r="H780" s="168">
        <f t="shared" si="237"/>
        <v>0</v>
      </c>
      <c r="I780" s="168">
        <f t="shared" si="238"/>
        <v>30</v>
      </c>
      <c r="J780" s="739"/>
      <c r="K780" s="168">
        <f>IF(J780&lt;&gt;"",J780,IF(ISERROR(Personalplanung!AB52/Monatsplanung!$E52*Monatsplanung!$N52),0,Personalplanung!AB52/Monatsplanung!$E52*Monatsplanung!$N52))</f>
        <v>0</v>
      </c>
      <c r="L780" s="740"/>
      <c r="M780" s="739"/>
      <c r="N780" s="168">
        <f>IF(M780&lt;&gt;"",M780,IF(ISERROR(Personalplanung!AC52/Monatsplanung!$E52*Monatsplanung!$N52),0,Personalplanung!AC52/Monatsplanung!$E52*Monatsplanung!$N52))</f>
        <v>0</v>
      </c>
      <c r="O780" s="740"/>
      <c r="P780" s="739"/>
      <c r="Q780" s="168">
        <f>IF(P780&lt;&gt;"",P780,IF(ISERROR(Personalplanung!AD52/Monatsplanung!$E52*Monatsplanung!$N52),0,Personalplanung!AD52/Monatsplanung!$E52*Monatsplanung!$N52))</f>
        <v>0</v>
      </c>
      <c r="R780" s="740"/>
      <c r="S780" s="739"/>
      <c r="T780" s="168">
        <f>IF(S780&lt;&gt;"",S780,IF(ISERROR(Personalplanung!AE52/Monatsplanung!$E52*Monatsplanung!$N52),0,Personalplanung!AE52/Monatsplanung!$E52*Monatsplanung!$N52))</f>
        <v>0</v>
      </c>
      <c r="U780" s="740"/>
      <c r="V780" s="168">
        <f t="shared" si="239"/>
        <v>0</v>
      </c>
      <c r="W780" s="168">
        <f>IF(ISERROR(Personalplanung!P52/Monatsplanung!$E52*Monatsplanung!$N52),0,Personalplanung!P52/Monatsplanung!$E52*Monatsplanung!$N52)</f>
        <v>0</v>
      </c>
      <c r="X780" s="168">
        <f>IF(ISERROR(Personalplanung!Q52/Monatsplanung!$E52*Monatsplanung!$N52),0,Personalplanung!Q52/Monatsplanung!$E52*Monatsplanung!$N52)</f>
        <v>0</v>
      </c>
      <c r="Y780" s="168">
        <f>IF(ISERROR(Personalplanung!R52/T1300*Stundencontrolling!T780),0,Personalplanung!R52/T1300*Stundencontrolling!T780)</f>
        <v>0</v>
      </c>
      <c r="Z780" s="168">
        <f>IF(ISERROR(Personalplanung!S52/Monatsplanung!$E52*Monatsplanung!$N52),0,Personalplanung!S52/Monatsplanung!$E52*Monatsplanung!$N52)</f>
        <v>0</v>
      </c>
      <c r="AA780" s="80">
        <f t="shared" si="240"/>
        <v>0</v>
      </c>
      <c r="AB780" s="102">
        <f t="shared" si="241"/>
        <v>0.1</v>
      </c>
      <c r="AC780" s="103">
        <f t="shared" si="242"/>
        <v>0</v>
      </c>
      <c r="AD780" s="103">
        <f t="shared" si="243"/>
        <v>0</v>
      </c>
      <c r="AE780" s="81">
        <f t="shared" si="244"/>
        <v>0</v>
      </c>
      <c r="AF780" s="539"/>
      <c r="AG780" s="104">
        <f t="shared" si="245"/>
        <v>1</v>
      </c>
      <c r="AH780" s="7">
        <f t="shared" si="246"/>
        <v>0</v>
      </c>
      <c r="AI780" s="6">
        <f t="shared" si="247"/>
        <v>0</v>
      </c>
      <c r="AJ780" s="73">
        <f t="shared" si="248"/>
        <v>0</v>
      </c>
      <c r="AK780" s="539"/>
      <c r="AL780" s="748"/>
      <c r="AM780" s="748"/>
    </row>
    <row r="781" spans="2:39" x14ac:dyDescent="0.2">
      <c r="B781" s="101" t="str">
        <f t="shared" si="233"/>
        <v/>
      </c>
      <c r="C781" s="168">
        <f>IF(ISERROR(Personalplanung!F53/Monatsplanung!$E53*Monatsplanung!$N53),0,Personalplanung!F53/Monatsplanung!$E53*Monatsplanung!$N53)</f>
        <v>0</v>
      </c>
      <c r="D781" s="168">
        <f t="shared" si="234"/>
        <v>0</v>
      </c>
      <c r="E781" s="168">
        <f>IF(ISERROR(Personalplanung!H53/Monatsplanung!$E53*Monatsplanung!$N53),0,Personalplanung!H53/Monatsplanung!$E53*Monatsplanung!$N53)</f>
        <v>0</v>
      </c>
      <c r="F781" s="168">
        <f t="shared" si="235"/>
        <v>0</v>
      </c>
      <c r="G781" s="168">
        <f t="shared" si="236"/>
        <v>27.700831024930746</v>
      </c>
      <c r="H781" s="168">
        <f t="shared" si="237"/>
        <v>0</v>
      </c>
      <c r="I781" s="168">
        <f t="shared" si="238"/>
        <v>30</v>
      </c>
      <c r="J781" s="739"/>
      <c r="K781" s="168">
        <f>IF(J781&lt;&gt;"",J781,IF(ISERROR(Personalplanung!AB53/Monatsplanung!$E53*Monatsplanung!$N53),0,Personalplanung!AB53/Monatsplanung!$E53*Monatsplanung!$N53))</f>
        <v>0</v>
      </c>
      <c r="L781" s="740"/>
      <c r="M781" s="739"/>
      <c r="N781" s="168">
        <f>IF(M781&lt;&gt;"",M781,IF(ISERROR(Personalplanung!AC53/Monatsplanung!$E53*Monatsplanung!$N53),0,Personalplanung!AC53/Monatsplanung!$E53*Monatsplanung!$N53))</f>
        <v>0</v>
      </c>
      <c r="O781" s="740"/>
      <c r="P781" s="739"/>
      <c r="Q781" s="168">
        <f>IF(P781&lt;&gt;"",P781,IF(ISERROR(Personalplanung!AD53/Monatsplanung!$E53*Monatsplanung!$N53),0,Personalplanung!AD53/Monatsplanung!$E53*Monatsplanung!$N53))</f>
        <v>0</v>
      </c>
      <c r="R781" s="740"/>
      <c r="S781" s="739"/>
      <c r="T781" s="168">
        <f>IF(S781&lt;&gt;"",S781,IF(ISERROR(Personalplanung!AE53/Monatsplanung!$E53*Monatsplanung!$N53),0,Personalplanung!AE53/Monatsplanung!$E53*Monatsplanung!$N53))</f>
        <v>0</v>
      </c>
      <c r="U781" s="740"/>
      <c r="V781" s="168">
        <f t="shared" si="239"/>
        <v>0</v>
      </c>
      <c r="W781" s="168">
        <f>IF(ISERROR(Personalplanung!P53/Monatsplanung!$E53*Monatsplanung!$N53),0,Personalplanung!P53/Monatsplanung!$E53*Monatsplanung!$N53)</f>
        <v>0</v>
      </c>
      <c r="X781" s="168">
        <f>IF(ISERROR(Personalplanung!Q53/Monatsplanung!$E53*Monatsplanung!$N53),0,Personalplanung!Q53/Monatsplanung!$E53*Monatsplanung!$N53)</f>
        <v>0</v>
      </c>
      <c r="Y781" s="168">
        <f>IF(ISERROR(Personalplanung!R53/T1301*Stundencontrolling!T781),0,Personalplanung!R53/T1301*Stundencontrolling!T781)</f>
        <v>0</v>
      </c>
      <c r="Z781" s="168">
        <f>IF(ISERROR(Personalplanung!S53/Monatsplanung!$E53*Monatsplanung!$N53),0,Personalplanung!S53/Monatsplanung!$E53*Monatsplanung!$N53)</f>
        <v>0</v>
      </c>
      <c r="AA781" s="80">
        <f t="shared" si="240"/>
        <v>0</v>
      </c>
      <c r="AB781" s="102">
        <f t="shared" si="241"/>
        <v>0.1</v>
      </c>
      <c r="AC781" s="103">
        <f t="shared" si="242"/>
        <v>0</v>
      </c>
      <c r="AD781" s="103">
        <f t="shared" si="243"/>
        <v>0</v>
      </c>
      <c r="AE781" s="81">
        <f t="shared" si="244"/>
        <v>0</v>
      </c>
      <c r="AF781" s="539"/>
      <c r="AG781" s="104">
        <f t="shared" si="245"/>
        <v>1</v>
      </c>
      <c r="AH781" s="7">
        <f t="shared" si="246"/>
        <v>0</v>
      </c>
      <c r="AI781" s="6">
        <f t="shared" si="247"/>
        <v>0</v>
      </c>
      <c r="AJ781" s="73">
        <f t="shared" si="248"/>
        <v>0</v>
      </c>
      <c r="AK781" s="539"/>
      <c r="AL781" s="748"/>
      <c r="AM781" s="748"/>
    </row>
    <row r="782" spans="2:39" x14ac:dyDescent="0.2">
      <c r="B782" s="101" t="str">
        <f t="shared" si="233"/>
        <v/>
      </c>
      <c r="C782" s="168">
        <f>IF(ISERROR(Personalplanung!F54/Monatsplanung!$E54*Monatsplanung!$N54),0,Personalplanung!F54/Monatsplanung!$E54*Monatsplanung!$N54)</f>
        <v>0</v>
      </c>
      <c r="D782" s="168">
        <f t="shared" si="234"/>
        <v>0</v>
      </c>
      <c r="E782" s="168">
        <f>IF(ISERROR(Personalplanung!H54/Monatsplanung!$E54*Monatsplanung!$N54),0,Personalplanung!H54/Monatsplanung!$E54*Monatsplanung!$N54)</f>
        <v>0</v>
      </c>
      <c r="F782" s="168">
        <f t="shared" si="235"/>
        <v>0</v>
      </c>
      <c r="G782" s="168">
        <f t="shared" si="236"/>
        <v>27.700831024930746</v>
      </c>
      <c r="H782" s="168">
        <f t="shared" si="237"/>
        <v>0</v>
      </c>
      <c r="I782" s="168">
        <f t="shared" si="238"/>
        <v>30</v>
      </c>
      <c r="J782" s="739"/>
      <c r="K782" s="168">
        <f>IF(J782&lt;&gt;"",J782,IF(ISERROR(Personalplanung!AB54/Monatsplanung!$E54*Monatsplanung!$N54),0,Personalplanung!AB54/Monatsplanung!$E54*Monatsplanung!$N54))</f>
        <v>0</v>
      </c>
      <c r="L782" s="740"/>
      <c r="M782" s="739"/>
      <c r="N782" s="168">
        <f>IF(M782&lt;&gt;"",M782,IF(ISERROR(Personalplanung!AC54/Monatsplanung!$E54*Monatsplanung!$N54),0,Personalplanung!AC54/Monatsplanung!$E54*Monatsplanung!$N54))</f>
        <v>0</v>
      </c>
      <c r="O782" s="740"/>
      <c r="P782" s="739"/>
      <c r="Q782" s="168">
        <f>IF(P782&lt;&gt;"",P782,IF(ISERROR(Personalplanung!AD54/Monatsplanung!$E54*Monatsplanung!$N54),0,Personalplanung!AD54/Monatsplanung!$E54*Monatsplanung!$N54))</f>
        <v>0</v>
      </c>
      <c r="R782" s="740"/>
      <c r="S782" s="739"/>
      <c r="T782" s="168">
        <f>IF(S782&lt;&gt;"",S782,IF(ISERROR(Personalplanung!AE54/Monatsplanung!$E54*Monatsplanung!$N54),0,Personalplanung!AE54/Monatsplanung!$E54*Monatsplanung!$N54))</f>
        <v>0</v>
      </c>
      <c r="U782" s="740"/>
      <c r="V782" s="168">
        <f t="shared" si="239"/>
        <v>0</v>
      </c>
      <c r="W782" s="168">
        <f>IF(ISERROR(Personalplanung!P54/Monatsplanung!$E54*Monatsplanung!$N54),0,Personalplanung!P54/Monatsplanung!$E54*Monatsplanung!$N54)</f>
        <v>0</v>
      </c>
      <c r="X782" s="168">
        <f>IF(ISERROR(Personalplanung!Q54/Monatsplanung!$E54*Monatsplanung!$N54),0,Personalplanung!Q54/Monatsplanung!$E54*Monatsplanung!$N54)</f>
        <v>0</v>
      </c>
      <c r="Y782" s="168">
        <f>IF(ISERROR(Personalplanung!R54/T1302*Stundencontrolling!T782),0,Personalplanung!R54/T1302*Stundencontrolling!T782)</f>
        <v>0</v>
      </c>
      <c r="Z782" s="168">
        <f>IF(ISERROR(Personalplanung!S54/Monatsplanung!$E54*Monatsplanung!$N54),0,Personalplanung!S54/Monatsplanung!$E54*Monatsplanung!$N54)</f>
        <v>0</v>
      </c>
      <c r="AA782" s="80">
        <f t="shared" si="240"/>
        <v>0</v>
      </c>
      <c r="AB782" s="102">
        <f t="shared" si="241"/>
        <v>0.1</v>
      </c>
      <c r="AC782" s="103">
        <f t="shared" si="242"/>
        <v>0</v>
      </c>
      <c r="AD782" s="103">
        <f t="shared" si="243"/>
        <v>0</v>
      </c>
      <c r="AE782" s="81">
        <f t="shared" si="244"/>
        <v>0</v>
      </c>
      <c r="AF782" s="539"/>
      <c r="AG782" s="104">
        <f t="shared" si="245"/>
        <v>1</v>
      </c>
      <c r="AH782" s="7">
        <f t="shared" si="246"/>
        <v>0</v>
      </c>
      <c r="AI782" s="6">
        <f t="shared" si="247"/>
        <v>0</v>
      </c>
      <c r="AJ782" s="73">
        <f t="shared" si="248"/>
        <v>0</v>
      </c>
      <c r="AK782" s="539"/>
      <c r="AL782" s="748"/>
      <c r="AM782" s="748"/>
    </row>
    <row r="783" spans="2:39" x14ac:dyDescent="0.2">
      <c r="B783" s="101" t="str">
        <f t="shared" si="233"/>
        <v/>
      </c>
      <c r="C783" s="168">
        <f>IF(ISERROR(Personalplanung!F55/Monatsplanung!$E55*Monatsplanung!$N55),0,Personalplanung!F55/Monatsplanung!$E55*Monatsplanung!$N55)</f>
        <v>0</v>
      </c>
      <c r="D783" s="168">
        <f t="shared" si="234"/>
        <v>0</v>
      </c>
      <c r="E783" s="168">
        <f>IF(ISERROR(Personalplanung!H55/Monatsplanung!$E55*Monatsplanung!$N55),0,Personalplanung!H55/Monatsplanung!$E55*Monatsplanung!$N55)</f>
        <v>0</v>
      </c>
      <c r="F783" s="168">
        <f t="shared" si="235"/>
        <v>0</v>
      </c>
      <c r="G783" s="168">
        <f t="shared" si="236"/>
        <v>27.700831024930746</v>
      </c>
      <c r="H783" s="168">
        <f t="shared" si="237"/>
        <v>0</v>
      </c>
      <c r="I783" s="168">
        <f t="shared" si="238"/>
        <v>30</v>
      </c>
      <c r="J783" s="739"/>
      <c r="K783" s="168">
        <f>IF(J783&lt;&gt;"",J783,IF(ISERROR(Personalplanung!AB55/Monatsplanung!$E55*Monatsplanung!$N55),0,Personalplanung!AB55/Monatsplanung!$E55*Monatsplanung!$N55))</f>
        <v>0</v>
      </c>
      <c r="L783" s="740"/>
      <c r="M783" s="739"/>
      <c r="N783" s="168">
        <f>IF(M783&lt;&gt;"",M783,IF(ISERROR(Personalplanung!AC55/Monatsplanung!$E55*Monatsplanung!$N55),0,Personalplanung!AC55/Monatsplanung!$E55*Monatsplanung!$N55))</f>
        <v>0</v>
      </c>
      <c r="O783" s="740"/>
      <c r="P783" s="739"/>
      <c r="Q783" s="168">
        <f>IF(P783&lt;&gt;"",P783,IF(ISERROR(Personalplanung!AD55/Monatsplanung!$E55*Monatsplanung!$N55),0,Personalplanung!AD55/Monatsplanung!$E55*Monatsplanung!$N55))</f>
        <v>0</v>
      </c>
      <c r="R783" s="740"/>
      <c r="S783" s="739"/>
      <c r="T783" s="168">
        <f>IF(S783&lt;&gt;"",S783,IF(ISERROR(Personalplanung!AE55/Monatsplanung!$E55*Monatsplanung!$N55),0,Personalplanung!AE55/Monatsplanung!$E55*Monatsplanung!$N55))</f>
        <v>0</v>
      </c>
      <c r="U783" s="740"/>
      <c r="V783" s="168">
        <f t="shared" si="239"/>
        <v>0</v>
      </c>
      <c r="W783" s="168">
        <f>IF(ISERROR(Personalplanung!P55/Monatsplanung!$E55*Monatsplanung!$N55),0,Personalplanung!P55/Monatsplanung!$E55*Monatsplanung!$N55)</f>
        <v>0</v>
      </c>
      <c r="X783" s="168">
        <f>IF(ISERROR(Personalplanung!Q55/Monatsplanung!$E55*Monatsplanung!$N55),0,Personalplanung!Q55/Monatsplanung!$E55*Monatsplanung!$N55)</f>
        <v>0</v>
      </c>
      <c r="Y783" s="168">
        <f>IF(ISERROR(Personalplanung!R55/T1303*Stundencontrolling!T783),0,Personalplanung!R55/T1303*Stundencontrolling!T783)</f>
        <v>0</v>
      </c>
      <c r="Z783" s="168">
        <f>IF(ISERROR(Personalplanung!S55/Monatsplanung!$E55*Monatsplanung!$N55),0,Personalplanung!S55/Monatsplanung!$E55*Monatsplanung!$N55)</f>
        <v>0</v>
      </c>
      <c r="AA783" s="80">
        <f t="shared" si="240"/>
        <v>0</v>
      </c>
      <c r="AB783" s="102">
        <f t="shared" si="241"/>
        <v>0.1</v>
      </c>
      <c r="AC783" s="103">
        <f t="shared" si="242"/>
        <v>0</v>
      </c>
      <c r="AD783" s="103">
        <f t="shared" si="243"/>
        <v>0</v>
      </c>
      <c r="AE783" s="81">
        <f t="shared" si="244"/>
        <v>0</v>
      </c>
      <c r="AF783" s="539"/>
      <c r="AG783" s="104">
        <f t="shared" si="245"/>
        <v>1</v>
      </c>
      <c r="AH783" s="7">
        <f t="shared" si="246"/>
        <v>0</v>
      </c>
      <c r="AI783" s="6">
        <f t="shared" si="247"/>
        <v>0</v>
      </c>
      <c r="AJ783" s="73">
        <f t="shared" si="248"/>
        <v>0</v>
      </c>
      <c r="AK783" s="539"/>
      <c r="AL783" s="748"/>
      <c r="AM783" s="748"/>
    </row>
    <row r="784" spans="2:39" x14ac:dyDescent="0.2">
      <c r="B784" s="101" t="str">
        <f t="shared" si="233"/>
        <v/>
      </c>
      <c r="C784" s="168">
        <f>IF(ISERROR(Personalplanung!F56/Monatsplanung!$E56*Monatsplanung!$N56),0,Personalplanung!F56/Monatsplanung!$E56*Monatsplanung!$N56)</f>
        <v>0</v>
      </c>
      <c r="D784" s="168">
        <f t="shared" si="234"/>
        <v>0</v>
      </c>
      <c r="E784" s="168">
        <f>IF(ISERROR(Personalplanung!H56/Monatsplanung!$E56*Monatsplanung!$N56),0,Personalplanung!H56/Monatsplanung!$E56*Monatsplanung!$N56)</f>
        <v>0</v>
      </c>
      <c r="F784" s="168">
        <f t="shared" si="235"/>
        <v>0</v>
      </c>
      <c r="G784" s="168">
        <f t="shared" si="236"/>
        <v>27.700831024930746</v>
      </c>
      <c r="H784" s="168">
        <f t="shared" si="237"/>
        <v>0</v>
      </c>
      <c r="I784" s="168">
        <f t="shared" si="238"/>
        <v>30</v>
      </c>
      <c r="J784" s="739"/>
      <c r="K784" s="168">
        <f>IF(J784&lt;&gt;"",J784,IF(ISERROR(Personalplanung!AB56/Monatsplanung!$E56*Monatsplanung!$N56),0,Personalplanung!AB56/Monatsplanung!$E56*Monatsplanung!$N56))</f>
        <v>0</v>
      </c>
      <c r="L784" s="740"/>
      <c r="M784" s="739"/>
      <c r="N784" s="168">
        <f>IF(M784&lt;&gt;"",M784,IF(ISERROR(Personalplanung!AC56/Monatsplanung!$E56*Monatsplanung!$N56),0,Personalplanung!AC56/Monatsplanung!$E56*Monatsplanung!$N56))</f>
        <v>0</v>
      </c>
      <c r="O784" s="740"/>
      <c r="P784" s="739"/>
      <c r="Q784" s="168">
        <f>IF(P784&lt;&gt;"",P784,IF(ISERROR(Personalplanung!AD56/Monatsplanung!$E56*Monatsplanung!$N56),0,Personalplanung!AD56/Monatsplanung!$E56*Monatsplanung!$N56))</f>
        <v>0</v>
      </c>
      <c r="R784" s="740"/>
      <c r="S784" s="739"/>
      <c r="T784" s="168">
        <f>IF(S784&lt;&gt;"",S784,IF(ISERROR(Personalplanung!AE56/Monatsplanung!$E56*Monatsplanung!$N56),0,Personalplanung!AE56/Monatsplanung!$E56*Monatsplanung!$N56))</f>
        <v>0</v>
      </c>
      <c r="U784" s="740"/>
      <c r="V784" s="168">
        <f t="shared" si="239"/>
        <v>0</v>
      </c>
      <c r="W784" s="168">
        <f>IF(ISERROR(Personalplanung!P56/Monatsplanung!$E56*Monatsplanung!$N56),0,Personalplanung!P56/Monatsplanung!$E56*Monatsplanung!$N56)</f>
        <v>0</v>
      </c>
      <c r="X784" s="168">
        <f>IF(ISERROR(Personalplanung!Q56/Monatsplanung!$E56*Monatsplanung!$N56),0,Personalplanung!Q56/Monatsplanung!$E56*Monatsplanung!$N56)</f>
        <v>0</v>
      </c>
      <c r="Y784" s="168">
        <f>IF(ISERROR(Personalplanung!R56/T1304*Stundencontrolling!T784),0,Personalplanung!R56/T1304*Stundencontrolling!T784)</f>
        <v>0</v>
      </c>
      <c r="Z784" s="168">
        <f>IF(ISERROR(Personalplanung!S56/Monatsplanung!$E56*Monatsplanung!$N56),0,Personalplanung!S56/Monatsplanung!$E56*Monatsplanung!$N56)</f>
        <v>0</v>
      </c>
      <c r="AA784" s="80">
        <f t="shared" si="240"/>
        <v>0</v>
      </c>
      <c r="AB784" s="102">
        <f t="shared" si="241"/>
        <v>0.1</v>
      </c>
      <c r="AC784" s="103">
        <f t="shared" si="242"/>
        <v>0</v>
      </c>
      <c r="AD784" s="103">
        <f t="shared" si="243"/>
        <v>0</v>
      </c>
      <c r="AE784" s="81">
        <f t="shared" si="244"/>
        <v>0</v>
      </c>
      <c r="AF784" s="539"/>
      <c r="AG784" s="104">
        <f t="shared" si="245"/>
        <v>1</v>
      </c>
      <c r="AH784" s="7">
        <f t="shared" si="246"/>
        <v>0</v>
      </c>
      <c r="AI784" s="6">
        <f t="shared" si="247"/>
        <v>0</v>
      </c>
      <c r="AJ784" s="73">
        <f t="shared" si="248"/>
        <v>0</v>
      </c>
      <c r="AK784" s="539"/>
      <c r="AL784" s="748"/>
      <c r="AM784" s="748"/>
    </row>
    <row r="785" spans="2:39" x14ac:dyDescent="0.2">
      <c r="B785" s="101" t="str">
        <f t="shared" si="233"/>
        <v/>
      </c>
      <c r="C785" s="168">
        <f>IF(ISERROR(Personalplanung!F57/Monatsplanung!$E57*Monatsplanung!$N57),0,Personalplanung!F57/Monatsplanung!$E57*Monatsplanung!$N57)</f>
        <v>0</v>
      </c>
      <c r="D785" s="168">
        <f t="shared" si="234"/>
        <v>0</v>
      </c>
      <c r="E785" s="168">
        <f>IF(ISERROR(Personalplanung!H57/Monatsplanung!$E57*Monatsplanung!$N57),0,Personalplanung!H57/Monatsplanung!$E57*Monatsplanung!$N57)</f>
        <v>0</v>
      </c>
      <c r="F785" s="168">
        <f t="shared" si="235"/>
        <v>0</v>
      </c>
      <c r="G785" s="168">
        <f t="shared" si="236"/>
        <v>27.700831024930746</v>
      </c>
      <c r="H785" s="168">
        <f t="shared" si="237"/>
        <v>0</v>
      </c>
      <c r="I785" s="168">
        <f t="shared" si="238"/>
        <v>30</v>
      </c>
      <c r="J785" s="739"/>
      <c r="K785" s="168">
        <f>IF(J785&lt;&gt;"",J785,IF(ISERROR(Personalplanung!AB57/Monatsplanung!$E57*Monatsplanung!$N57),0,Personalplanung!AB57/Monatsplanung!$E57*Monatsplanung!$N57))</f>
        <v>0</v>
      </c>
      <c r="L785" s="740"/>
      <c r="M785" s="739"/>
      <c r="N785" s="168">
        <f>IF(M785&lt;&gt;"",M785,IF(ISERROR(Personalplanung!AC57/Monatsplanung!$E57*Monatsplanung!$N57),0,Personalplanung!AC57/Monatsplanung!$E57*Monatsplanung!$N57))</f>
        <v>0</v>
      </c>
      <c r="O785" s="740"/>
      <c r="P785" s="739"/>
      <c r="Q785" s="168">
        <f>IF(P785&lt;&gt;"",P785,IF(ISERROR(Personalplanung!AD57/Monatsplanung!$E57*Monatsplanung!$N57),0,Personalplanung!AD57/Monatsplanung!$E57*Monatsplanung!$N57))</f>
        <v>0</v>
      </c>
      <c r="R785" s="740"/>
      <c r="S785" s="739"/>
      <c r="T785" s="168">
        <f>IF(S785&lt;&gt;"",S785,IF(ISERROR(Personalplanung!AE57/Monatsplanung!$E57*Monatsplanung!$N57),0,Personalplanung!AE57/Monatsplanung!$E57*Monatsplanung!$N57))</f>
        <v>0</v>
      </c>
      <c r="U785" s="740"/>
      <c r="V785" s="168">
        <f t="shared" si="239"/>
        <v>0</v>
      </c>
      <c r="W785" s="168">
        <f>IF(ISERROR(Personalplanung!P57/Monatsplanung!$E57*Monatsplanung!$N57),0,Personalplanung!P57/Monatsplanung!$E57*Monatsplanung!$N57)</f>
        <v>0</v>
      </c>
      <c r="X785" s="168">
        <f>IF(ISERROR(Personalplanung!Q57/Monatsplanung!$E57*Monatsplanung!$N57),0,Personalplanung!Q57/Monatsplanung!$E57*Monatsplanung!$N57)</f>
        <v>0</v>
      </c>
      <c r="Y785" s="168">
        <f>IF(ISERROR(Personalplanung!R57/T1305*Stundencontrolling!T785),0,Personalplanung!R57/T1305*Stundencontrolling!T785)</f>
        <v>0</v>
      </c>
      <c r="Z785" s="168">
        <f>IF(ISERROR(Personalplanung!S57/Monatsplanung!$E57*Monatsplanung!$N57),0,Personalplanung!S57/Monatsplanung!$E57*Monatsplanung!$N57)</f>
        <v>0</v>
      </c>
      <c r="AA785" s="80">
        <f t="shared" si="240"/>
        <v>0</v>
      </c>
      <c r="AB785" s="102">
        <f t="shared" si="241"/>
        <v>0.1</v>
      </c>
      <c r="AC785" s="103">
        <f t="shared" si="242"/>
        <v>0</v>
      </c>
      <c r="AD785" s="103">
        <f t="shared" si="243"/>
        <v>0</v>
      </c>
      <c r="AE785" s="81">
        <f t="shared" si="244"/>
        <v>0</v>
      </c>
      <c r="AF785" s="539"/>
      <c r="AG785" s="104">
        <f t="shared" si="245"/>
        <v>1</v>
      </c>
      <c r="AH785" s="7">
        <f t="shared" si="246"/>
        <v>0</v>
      </c>
      <c r="AI785" s="6">
        <f t="shared" si="247"/>
        <v>0</v>
      </c>
      <c r="AJ785" s="73">
        <f t="shared" si="248"/>
        <v>0</v>
      </c>
      <c r="AK785" s="539"/>
      <c r="AL785" s="748"/>
      <c r="AM785" s="748"/>
    </row>
    <row r="786" spans="2:39" x14ac:dyDescent="0.2">
      <c r="B786" s="101" t="str">
        <f t="shared" si="233"/>
        <v/>
      </c>
      <c r="C786" s="168">
        <f>IF(ISERROR(Personalplanung!F58/Monatsplanung!$E58*Monatsplanung!$N58),0,Personalplanung!F58/Monatsplanung!$E58*Monatsplanung!$N58)</f>
        <v>0</v>
      </c>
      <c r="D786" s="168">
        <f t="shared" si="234"/>
        <v>0</v>
      </c>
      <c r="E786" s="168">
        <f>IF(ISERROR(Personalplanung!H58/Monatsplanung!$E58*Monatsplanung!$N58),0,Personalplanung!H58/Monatsplanung!$E58*Monatsplanung!$N58)</f>
        <v>0</v>
      </c>
      <c r="F786" s="168">
        <f t="shared" si="235"/>
        <v>0</v>
      </c>
      <c r="G786" s="168">
        <f t="shared" si="236"/>
        <v>27.700831024930746</v>
      </c>
      <c r="H786" s="168">
        <f t="shared" si="237"/>
        <v>0</v>
      </c>
      <c r="I786" s="168">
        <f t="shared" si="238"/>
        <v>30</v>
      </c>
      <c r="J786" s="739"/>
      <c r="K786" s="168">
        <f>IF(J786&lt;&gt;"",J786,IF(ISERROR(Personalplanung!AB58/Monatsplanung!$E58*Monatsplanung!$N58),0,Personalplanung!AB58/Monatsplanung!$E58*Monatsplanung!$N58))</f>
        <v>0</v>
      </c>
      <c r="L786" s="740"/>
      <c r="M786" s="739"/>
      <c r="N786" s="168">
        <f>IF(M786&lt;&gt;"",M786,IF(ISERROR(Personalplanung!AC58/Monatsplanung!$E58*Monatsplanung!$N58),0,Personalplanung!AC58/Monatsplanung!$E58*Monatsplanung!$N58))</f>
        <v>0</v>
      </c>
      <c r="O786" s="740"/>
      <c r="P786" s="739"/>
      <c r="Q786" s="168">
        <f>IF(P786&lt;&gt;"",P786,IF(ISERROR(Personalplanung!AD58/Monatsplanung!$E58*Monatsplanung!$N58),0,Personalplanung!AD58/Monatsplanung!$E58*Monatsplanung!$N58))</f>
        <v>0</v>
      </c>
      <c r="R786" s="740"/>
      <c r="S786" s="739"/>
      <c r="T786" s="168">
        <f>IF(S786&lt;&gt;"",S786,IF(ISERROR(Personalplanung!AE58/Monatsplanung!$E58*Monatsplanung!$N58),0,Personalplanung!AE58/Monatsplanung!$E58*Monatsplanung!$N58))</f>
        <v>0</v>
      </c>
      <c r="U786" s="740"/>
      <c r="V786" s="168">
        <f t="shared" si="239"/>
        <v>0</v>
      </c>
      <c r="W786" s="168">
        <f>IF(ISERROR(Personalplanung!P58/Monatsplanung!$E58*Monatsplanung!$N58),0,Personalplanung!P58/Monatsplanung!$E58*Monatsplanung!$N58)</f>
        <v>0</v>
      </c>
      <c r="X786" s="168">
        <f>IF(ISERROR(Personalplanung!Q58/Monatsplanung!$E58*Monatsplanung!$N58),0,Personalplanung!Q58/Monatsplanung!$E58*Monatsplanung!$N58)</f>
        <v>0</v>
      </c>
      <c r="Y786" s="168">
        <f>IF(ISERROR(Personalplanung!R58/T1306*Stundencontrolling!T786),0,Personalplanung!R58/T1306*Stundencontrolling!T786)</f>
        <v>0</v>
      </c>
      <c r="Z786" s="168">
        <f>IF(ISERROR(Personalplanung!S58/Monatsplanung!$E58*Monatsplanung!$N58),0,Personalplanung!S58/Monatsplanung!$E58*Monatsplanung!$N58)</f>
        <v>0</v>
      </c>
      <c r="AA786" s="80">
        <f t="shared" si="240"/>
        <v>0</v>
      </c>
      <c r="AB786" s="102">
        <f t="shared" si="241"/>
        <v>0.1</v>
      </c>
      <c r="AC786" s="103">
        <f t="shared" si="242"/>
        <v>0</v>
      </c>
      <c r="AD786" s="103">
        <f t="shared" si="243"/>
        <v>0</v>
      </c>
      <c r="AE786" s="81">
        <f t="shared" si="244"/>
        <v>0</v>
      </c>
      <c r="AF786" s="539"/>
      <c r="AG786" s="104">
        <f t="shared" si="245"/>
        <v>1</v>
      </c>
      <c r="AH786" s="7">
        <f t="shared" si="246"/>
        <v>0</v>
      </c>
      <c r="AI786" s="6">
        <f t="shared" si="247"/>
        <v>0</v>
      </c>
      <c r="AJ786" s="73">
        <f t="shared" si="248"/>
        <v>0</v>
      </c>
      <c r="AK786" s="539"/>
      <c r="AL786" s="748"/>
      <c r="AM786" s="748"/>
    </row>
    <row r="787" spans="2:39" x14ac:dyDescent="0.2">
      <c r="B787" s="101" t="str">
        <f t="shared" si="233"/>
        <v/>
      </c>
      <c r="C787" s="168">
        <f>IF(ISERROR(Personalplanung!F59/Monatsplanung!$E59*Monatsplanung!$N59),0,Personalplanung!F59/Monatsplanung!$E59*Monatsplanung!$N59)</f>
        <v>0</v>
      </c>
      <c r="D787" s="168">
        <f t="shared" si="234"/>
        <v>0</v>
      </c>
      <c r="E787" s="168">
        <f>IF(ISERROR(Personalplanung!H59/Monatsplanung!$E59*Monatsplanung!$N59),0,Personalplanung!H59/Monatsplanung!$E59*Monatsplanung!$N59)</f>
        <v>0</v>
      </c>
      <c r="F787" s="168">
        <f t="shared" si="235"/>
        <v>0</v>
      </c>
      <c r="G787" s="168">
        <f t="shared" si="236"/>
        <v>27.700831024930746</v>
      </c>
      <c r="H787" s="168">
        <f t="shared" si="237"/>
        <v>0</v>
      </c>
      <c r="I787" s="168">
        <f t="shared" si="238"/>
        <v>30</v>
      </c>
      <c r="J787" s="739"/>
      <c r="K787" s="168">
        <f>IF(J787&lt;&gt;"",J787,IF(ISERROR(Personalplanung!AB59/Monatsplanung!$E59*Monatsplanung!$N59),0,Personalplanung!AB59/Monatsplanung!$E59*Monatsplanung!$N59))</f>
        <v>0</v>
      </c>
      <c r="L787" s="740"/>
      <c r="M787" s="739"/>
      <c r="N787" s="168">
        <f>IF(M787&lt;&gt;"",M787,IF(ISERROR(Personalplanung!AC59/Monatsplanung!$E59*Monatsplanung!$N59),0,Personalplanung!AC59/Monatsplanung!$E59*Monatsplanung!$N59))</f>
        <v>0</v>
      </c>
      <c r="O787" s="740"/>
      <c r="P787" s="739"/>
      <c r="Q787" s="168">
        <f>IF(P787&lt;&gt;"",P787,IF(ISERROR(Personalplanung!AD59/Monatsplanung!$E59*Monatsplanung!$N59),0,Personalplanung!AD59/Monatsplanung!$E59*Monatsplanung!$N59))</f>
        <v>0</v>
      </c>
      <c r="R787" s="740"/>
      <c r="S787" s="739"/>
      <c r="T787" s="168">
        <f>IF(S787&lt;&gt;"",S787,IF(ISERROR(Personalplanung!AE59/Monatsplanung!$E59*Monatsplanung!$N59),0,Personalplanung!AE59/Monatsplanung!$E59*Monatsplanung!$N59))</f>
        <v>0</v>
      </c>
      <c r="U787" s="740"/>
      <c r="V787" s="168">
        <f t="shared" si="239"/>
        <v>0</v>
      </c>
      <c r="W787" s="168">
        <f>IF(ISERROR(Personalplanung!P59/Monatsplanung!$E59*Monatsplanung!$N59),0,Personalplanung!P59/Monatsplanung!$E59*Monatsplanung!$N59)</f>
        <v>0</v>
      </c>
      <c r="X787" s="168">
        <f>IF(ISERROR(Personalplanung!Q59/Monatsplanung!$E59*Monatsplanung!$N59),0,Personalplanung!Q59/Monatsplanung!$E59*Monatsplanung!$N59)</f>
        <v>0</v>
      </c>
      <c r="Y787" s="168">
        <f>IF(ISERROR(Personalplanung!R59/T1307*Stundencontrolling!T787),0,Personalplanung!R59/T1307*Stundencontrolling!T787)</f>
        <v>0</v>
      </c>
      <c r="Z787" s="168">
        <f>IF(ISERROR(Personalplanung!S59/Monatsplanung!$E59*Monatsplanung!$N59),0,Personalplanung!S59/Monatsplanung!$E59*Monatsplanung!$N59)</f>
        <v>0</v>
      </c>
      <c r="AA787" s="80">
        <f t="shared" si="240"/>
        <v>0</v>
      </c>
      <c r="AB787" s="102">
        <f t="shared" si="241"/>
        <v>0.1</v>
      </c>
      <c r="AC787" s="103">
        <f t="shared" si="242"/>
        <v>0</v>
      </c>
      <c r="AD787" s="103">
        <f t="shared" si="243"/>
        <v>0</v>
      </c>
      <c r="AE787" s="81">
        <f t="shared" si="244"/>
        <v>0</v>
      </c>
      <c r="AF787" s="539"/>
      <c r="AG787" s="104">
        <f t="shared" si="245"/>
        <v>1</v>
      </c>
      <c r="AH787" s="7">
        <f t="shared" si="246"/>
        <v>0</v>
      </c>
      <c r="AI787" s="6">
        <f t="shared" si="247"/>
        <v>0</v>
      </c>
      <c r="AJ787" s="73">
        <f t="shared" si="248"/>
        <v>0</v>
      </c>
      <c r="AK787" s="539"/>
      <c r="AL787" s="748"/>
      <c r="AM787" s="748"/>
    </row>
    <row r="788" spans="2:39" x14ac:dyDescent="0.2">
      <c r="B788" s="101" t="str">
        <f t="shared" si="233"/>
        <v/>
      </c>
      <c r="C788" s="168">
        <f>IF(ISERROR(Personalplanung!F60/Monatsplanung!$E60*Monatsplanung!$N60),0,Personalplanung!F60/Monatsplanung!$E60*Monatsplanung!$N60)</f>
        <v>0</v>
      </c>
      <c r="D788" s="168">
        <f t="shared" si="234"/>
        <v>0</v>
      </c>
      <c r="E788" s="168">
        <f>IF(ISERROR(Personalplanung!H60/Monatsplanung!$E60*Monatsplanung!$N60),0,Personalplanung!H60/Monatsplanung!$E60*Monatsplanung!$N60)</f>
        <v>0</v>
      </c>
      <c r="F788" s="168">
        <f t="shared" si="235"/>
        <v>0</v>
      </c>
      <c r="G788" s="168">
        <f t="shared" si="236"/>
        <v>27.700831024930746</v>
      </c>
      <c r="H788" s="168">
        <f t="shared" si="237"/>
        <v>0</v>
      </c>
      <c r="I788" s="168">
        <f t="shared" si="238"/>
        <v>30</v>
      </c>
      <c r="J788" s="739"/>
      <c r="K788" s="168">
        <f>IF(J788&lt;&gt;"",J788,IF(ISERROR(Personalplanung!AB60/Monatsplanung!$E60*Monatsplanung!$N60),0,Personalplanung!AB60/Monatsplanung!$E60*Monatsplanung!$N60))</f>
        <v>0</v>
      </c>
      <c r="L788" s="740"/>
      <c r="M788" s="739"/>
      <c r="N788" s="168">
        <f>IF(M788&lt;&gt;"",M788,IF(ISERROR(Personalplanung!AC60/Monatsplanung!$E60*Monatsplanung!$N60),0,Personalplanung!AC60/Monatsplanung!$E60*Monatsplanung!$N60))</f>
        <v>0</v>
      </c>
      <c r="O788" s="740"/>
      <c r="P788" s="739"/>
      <c r="Q788" s="168">
        <f>IF(P788&lt;&gt;"",P788,IF(ISERROR(Personalplanung!AD60/Monatsplanung!$E60*Monatsplanung!$N60),0,Personalplanung!AD60/Monatsplanung!$E60*Monatsplanung!$N60))</f>
        <v>0</v>
      </c>
      <c r="R788" s="740"/>
      <c r="S788" s="739"/>
      <c r="T788" s="168">
        <f>IF(S788&lt;&gt;"",S788,IF(ISERROR(Personalplanung!AE60/Monatsplanung!$E60*Monatsplanung!$N60),0,Personalplanung!AE60/Monatsplanung!$E60*Monatsplanung!$N60))</f>
        <v>0</v>
      </c>
      <c r="U788" s="740"/>
      <c r="V788" s="168">
        <f t="shared" si="239"/>
        <v>0</v>
      </c>
      <c r="W788" s="168">
        <f>IF(ISERROR(Personalplanung!P60/Monatsplanung!$E60*Monatsplanung!$N60),0,Personalplanung!P60/Monatsplanung!$E60*Monatsplanung!$N60)</f>
        <v>0</v>
      </c>
      <c r="X788" s="168">
        <f>IF(ISERROR(Personalplanung!Q60/Monatsplanung!$E60*Monatsplanung!$N60),0,Personalplanung!Q60/Monatsplanung!$E60*Monatsplanung!$N60)</f>
        <v>0</v>
      </c>
      <c r="Y788" s="168">
        <f>IF(ISERROR(Personalplanung!R60/T1308*Stundencontrolling!T788),0,Personalplanung!R60/T1308*Stundencontrolling!T788)</f>
        <v>0</v>
      </c>
      <c r="Z788" s="168">
        <f>IF(ISERROR(Personalplanung!S60/Monatsplanung!$E60*Monatsplanung!$N60),0,Personalplanung!S60/Monatsplanung!$E60*Monatsplanung!$N60)</f>
        <v>0</v>
      </c>
      <c r="AA788" s="80">
        <f t="shared" si="240"/>
        <v>0</v>
      </c>
      <c r="AB788" s="102">
        <f t="shared" si="241"/>
        <v>0.1</v>
      </c>
      <c r="AC788" s="103">
        <f t="shared" si="242"/>
        <v>0</v>
      </c>
      <c r="AD788" s="103">
        <f t="shared" si="243"/>
        <v>0</v>
      </c>
      <c r="AE788" s="81">
        <f t="shared" si="244"/>
        <v>0</v>
      </c>
      <c r="AF788" s="539"/>
      <c r="AG788" s="104">
        <f t="shared" si="245"/>
        <v>1</v>
      </c>
      <c r="AH788" s="7">
        <f t="shared" si="246"/>
        <v>0</v>
      </c>
      <c r="AI788" s="6">
        <f t="shared" si="247"/>
        <v>0</v>
      </c>
      <c r="AJ788" s="73">
        <f t="shared" si="248"/>
        <v>0</v>
      </c>
      <c r="AK788" s="539"/>
      <c r="AL788" s="748"/>
      <c r="AM788" s="748"/>
    </row>
    <row r="789" spans="2:39" x14ac:dyDescent="0.2">
      <c r="B789" s="101" t="str">
        <f t="shared" si="233"/>
        <v/>
      </c>
      <c r="C789" s="168">
        <f>IF(ISERROR(Personalplanung!F61/Monatsplanung!$E61*Monatsplanung!$N61),0,Personalplanung!F61/Monatsplanung!$E61*Monatsplanung!$N61)</f>
        <v>0</v>
      </c>
      <c r="D789" s="168">
        <f t="shared" si="234"/>
        <v>0</v>
      </c>
      <c r="E789" s="168">
        <f>IF(ISERROR(Personalplanung!H61/Monatsplanung!$E61*Monatsplanung!$N61),0,Personalplanung!H61/Monatsplanung!$E61*Monatsplanung!$N61)</f>
        <v>0</v>
      </c>
      <c r="F789" s="168">
        <f t="shared" si="235"/>
        <v>0</v>
      </c>
      <c r="G789" s="168">
        <f t="shared" si="236"/>
        <v>27.700831024930746</v>
      </c>
      <c r="H789" s="168">
        <f t="shared" si="237"/>
        <v>0</v>
      </c>
      <c r="I789" s="168">
        <f t="shared" si="238"/>
        <v>30</v>
      </c>
      <c r="J789" s="739"/>
      <c r="K789" s="168">
        <f>IF(J789&lt;&gt;"",J789,IF(ISERROR(Personalplanung!AB61/Monatsplanung!$E61*Monatsplanung!$N61),0,Personalplanung!AB61/Monatsplanung!$E61*Monatsplanung!$N61))</f>
        <v>0</v>
      </c>
      <c r="L789" s="740"/>
      <c r="M789" s="739"/>
      <c r="N789" s="168">
        <f>IF(M789&lt;&gt;"",M789,IF(ISERROR(Personalplanung!AC61/Monatsplanung!$E61*Monatsplanung!$N61),0,Personalplanung!AC61/Monatsplanung!$E61*Monatsplanung!$N61))</f>
        <v>0</v>
      </c>
      <c r="O789" s="740"/>
      <c r="P789" s="739"/>
      <c r="Q789" s="168">
        <f>IF(P789&lt;&gt;"",P789,IF(ISERROR(Personalplanung!AD61/Monatsplanung!$E61*Monatsplanung!$N61),0,Personalplanung!AD61/Monatsplanung!$E61*Monatsplanung!$N61))</f>
        <v>0</v>
      </c>
      <c r="R789" s="740"/>
      <c r="S789" s="739"/>
      <c r="T789" s="168">
        <f>IF(S789&lt;&gt;"",S789,IF(ISERROR(Personalplanung!AE61/Monatsplanung!$E61*Monatsplanung!$N61),0,Personalplanung!AE61/Monatsplanung!$E61*Monatsplanung!$N61))</f>
        <v>0</v>
      </c>
      <c r="U789" s="740"/>
      <c r="V789" s="168">
        <f t="shared" si="239"/>
        <v>0</v>
      </c>
      <c r="W789" s="168">
        <f>IF(ISERROR(Personalplanung!P61/Monatsplanung!$E61*Monatsplanung!$N61),0,Personalplanung!P61/Monatsplanung!$E61*Monatsplanung!$N61)</f>
        <v>0</v>
      </c>
      <c r="X789" s="168">
        <f>IF(ISERROR(Personalplanung!Q61/Monatsplanung!$E61*Monatsplanung!$N61),0,Personalplanung!Q61/Monatsplanung!$E61*Monatsplanung!$N61)</f>
        <v>0</v>
      </c>
      <c r="Y789" s="168">
        <f>IF(ISERROR(Personalplanung!R61/T1309*Stundencontrolling!T789),0,Personalplanung!R61/T1309*Stundencontrolling!T789)</f>
        <v>0</v>
      </c>
      <c r="Z789" s="168">
        <f>IF(ISERROR(Personalplanung!S61/Monatsplanung!$E61*Monatsplanung!$N61),0,Personalplanung!S61/Monatsplanung!$E61*Monatsplanung!$N61)</f>
        <v>0</v>
      </c>
      <c r="AA789" s="80">
        <f t="shared" si="240"/>
        <v>0</v>
      </c>
      <c r="AB789" s="102">
        <f t="shared" si="241"/>
        <v>0.1</v>
      </c>
      <c r="AC789" s="103">
        <f t="shared" si="242"/>
        <v>0</v>
      </c>
      <c r="AD789" s="103">
        <f t="shared" si="243"/>
        <v>0</v>
      </c>
      <c r="AE789" s="81">
        <f t="shared" si="244"/>
        <v>0</v>
      </c>
      <c r="AF789" s="539"/>
      <c r="AG789" s="104">
        <f t="shared" si="245"/>
        <v>1</v>
      </c>
      <c r="AH789" s="7">
        <f t="shared" si="246"/>
        <v>0</v>
      </c>
      <c r="AI789" s="6">
        <f t="shared" si="247"/>
        <v>0</v>
      </c>
      <c r="AJ789" s="73">
        <f t="shared" si="248"/>
        <v>0</v>
      </c>
      <c r="AK789" s="539"/>
      <c r="AL789" s="748"/>
      <c r="AM789" s="748"/>
    </row>
    <row r="790" spans="2:39" x14ac:dyDescent="0.2">
      <c r="B790" s="101" t="str">
        <f t="shared" si="233"/>
        <v/>
      </c>
      <c r="C790" s="168">
        <f>IF(ISERROR(Personalplanung!F62/Monatsplanung!$E62*Monatsplanung!$N62),0,Personalplanung!F62/Monatsplanung!$E62*Monatsplanung!$N62)</f>
        <v>0</v>
      </c>
      <c r="D790" s="168">
        <f t="shared" si="234"/>
        <v>0</v>
      </c>
      <c r="E790" s="168">
        <f>IF(ISERROR(Personalplanung!H62/Monatsplanung!$E62*Monatsplanung!$N62),0,Personalplanung!H62/Monatsplanung!$E62*Monatsplanung!$N62)</f>
        <v>0</v>
      </c>
      <c r="F790" s="168">
        <f t="shared" si="235"/>
        <v>0</v>
      </c>
      <c r="G790" s="168">
        <f t="shared" si="236"/>
        <v>27.700831024930746</v>
      </c>
      <c r="H790" s="168">
        <f t="shared" si="237"/>
        <v>0</v>
      </c>
      <c r="I790" s="168">
        <f t="shared" si="238"/>
        <v>30</v>
      </c>
      <c r="J790" s="739"/>
      <c r="K790" s="168">
        <f>IF(J790&lt;&gt;"",J790,IF(ISERROR(Personalplanung!AB62/Monatsplanung!$E62*Monatsplanung!$N62),0,Personalplanung!AB62/Monatsplanung!$E62*Monatsplanung!$N62))</f>
        <v>0</v>
      </c>
      <c r="L790" s="740"/>
      <c r="M790" s="739"/>
      <c r="N790" s="168">
        <f>IF(M790&lt;&gt;"",M790,IF(ISERROR(Personalplanung!AC62/Monatsplanung!$E62*Monatsplanung!$N62),0,Personalplanung!AC62/Monatsplanung!$E62*Monatsplanung!$N62))</f>
        <v>0</v>
      </c>
      <c r="O790" s="740"/>
      <c r="P790" s="739"/>
      <c r="Q790" s="168">
        <f>IF(P790&lt;&gt;"",P790,IF(ISERROR(Personalplanung!AD62/Monatsplanung!$E62*Monatsplanung!$N62),0,Personalplanung!AD62/Monatsplanung!$E62*Monatsplanung!$N62))</f>
        <v>0</v>
      </c>
      <c r="R790" s="740"/>
      <c r="S790" s="739"/>
      <c r="T790" s="168">
        <f>IF(S790&lt;&gt;"",S790,IF(ISERROR(Personalplanung!AE62/Monatsplanung!$E62*Monatsplanung!$N62),0,Personalplanung!AE62/Monatsplanung!$E62*Monatsplanung!$N62))</f>
        <v>0</v>
      </c>
      <c r="U790" s="740"/>
      <c r="V790" s="168">
        <f t="shared" si="239"/>
        <v>0</v>
      </c>
      <c r="W790" s="168">
        <f>IF(ISERROR(Personalplanung!P62/Monatsplanung!$E62*Monatsplanung!$N62),0,Personalplanung!P62/Monatsplanung!$E62*Monatsplanung!$N62)</f>
        <v>0</v>
      </c>
      <c r="X790" s="168">
        <f>IF(ISERROR(Personalplanung!Q62/Monatsplanung!$E62*Monatsplanung!$N62),0,Personalplanung!Q62/Monatsplanung!$E62*Monatsplanung!$N62)</f>
        <v>0</v>
      </c>
      <c r="Y790" s="168">
        <f>IF(ISERROR(Personalplanung!R62/T1310*Stundencontrolling!T790),0,Personalplanung!R62/T1310*Stundencontrolling!T790)</f>
        <v>0</v>
      </c>
      <c r="Z790" s="168">
        <f>IF(ISERROR(Personalplanung!S62/Monatsplanung!$E62*Monatsplanung!$N62),0,Personalplanung!S62/Monatsplanung!$E62*Monatsplanung!$N62)</f>
        <v>0</v>
      </c>
      <c r="AA790" s="80">
        <f t="shared" si="240"/>
        <v>0</v>
      </c>
      <c r="AB790" s="102">
        <f t="shared" si="241"/>
        <v>0.1</v>
      </c>
      <c r="AC790" s="103">
        <f t="shared" si="242"/>
        <v>0</v>
      </c>
      <c r="AD790" s="103">
        <f t="shared" si="243"/>
        <v>0</v>
      </c>
      <c r="AE790" s="81">
        <f t="shared" si="244"/>
        <v>0</v>
      </c>
      <c r="AF790" s="539"/>
      <c r="AG790" s="104">
        <f t="shared" si="245"/>
        <v>1</v>
      </c>
      <c r="AH790" s="7">
        <f t="shared" si="246"/>
        <v>0</v>
      </c>
      <c r="AI790" s="6">
        <f t="shared" si="247"/>
        <v>0</v>
      </c>
      <c r="AJ790" s="73">
        <f t="shared" si="248"/>
        <v>0</v>
      </c>
      <c r="AK790" s="539"/>
      <c r="AL790" s="748"/>
      <c r="AM790" s="748"/>
    </row>
    <row r="791" spans="2:39" x14ac:dyDescent="0.2">
      <c r="B791" s="101" t="str">
        <f t="shared" si="233"/>
        <v/>
      </c>
      <c r="C791" s="168">
        <f>IF(ISERROR(Personalplanung!F63/Monatsplanung!$E63*Monatsplanung!$N63),0,Personalplanung!F63/Monatsplanung!$E63*Monatsplanung!$N63)</f>
        <v>0</v>
      </c>
      <c r="D791" s="168">
        <f t="shared" si="234"/>
        <v>0</v>
      </c>
      <c r="E791" s="168">
        <f>IF(ISERROR(Personalplanung!H63/Monatsplanung!$E63*Monatsplanung!$N63),0,Personalplanung!H63/Monatsplanung!$E63*Monatsplanung!$N63)</f>
        <v>0</v>
      </c>
      <c r="F791" s="168">
        <f t="shared" si="235"/>
        <v>0</v>
      </c>
      <c r="G791" s="168">
        <f t="shared" si="236"/>
        <v>27.700831024930746</v>
      </c>
      <c r="H791" s="168">
        <f t="shared" si="237"/>
        <v>0</v>
      </c>
      <c r="I791" s="168">
        <f t="shared" si="238"/>
        <v>30</v>
      </c>
      <c r="J791" s="739"/>
      <c r="K791" s="168">
        <f>IF(J791&lt;&gt;"",J791,IF(ISERROR(Personalplanung!AB63/Monatsplanung!$E63*Monatsplanung!$N63),0,Personalplanung!AB63/Monatsplanung!$E63*Monatsplanung!$N63))</f>
        <v>0</v>
      </c>
      <c r="L791" s="740"/>
      <c r="M791" s="739"/>
      <c r="N791" s="168">
        <f>IF(M791&lt;&gt;"",M791,IF(ISERROR(Personalplanung!AC63/Monatsplanung!$E63*Monatsplanung!$N63),0,Personalplanung!AC63/Monatsplanung!$E63*Monatsplanung!$N63))</f>
        <v>0</v>
      </c>
      <c r="O791" s="740"/>
      <c r="P791" s="739"/>
      <c r="Q791" s="168">
        <f>IF(P791&lt;&gt;"",P791,IF(ISERROR(Personalplanung!AD63/Monatsplanung!$E63*Monatsplanung!$N63),0,Personalplanung!AD63/Monatsplanung!$E63*Monatsplanung!$N63))</f>
        <v>0</v>
      </c>
      <c r="R791" s="740"/>
      <c r="S791" s="739"/>
      <c r="T791" s="168">
        <f>IF(S791&lt;&gt;"",S791,IF(ISERROR(Personalplanung!AE63/Monatsplanung!$E63*Monatsplanung!$N63),0,Personalplanung!AE63/Monatsplanung!$E63*Monatsplanung!$N63))</f>
        <v>0</v>
      </c>
      <c r="U791" s="740"/>
      <c r="V791" s="168">
        <f t="shared" si="239"/>
        <v>0</v>
      </c>
      <c r="W791" s="168">
        <f>IF(ISERROR(Personalplanung!P63/Monatsplanung!$E63*Monatsplanung!$N63),0,Personalplanung!P63/Monatsplanung!$E63*Monatsplanung!$N63)</f>
        <v>0</v>
      </c>
      <c r="X791" s="168">
        <f>IF(ISERROR(Personalplanung!Q63/Monatsplanung!$E63*Monatsplanung!$N63),0,Personalplanung!Q63/Monatsplanung!$E63*Monatsplanung!$N63)</f>
        <v>0</v>
      </c>
      <c r="Y791" s="168">
        <f>IF(ISERROR(Personalplanung!R63/T1311*Stundencontrolling!T791),0,Personalplanung!R63/T1311*Stundencontrolling!T791)</f>
        <v>0</v>
      </c>
      <c r="Z791" s="168">
        <f>IF(ISERROR(Personalplanung!S63/Monatsplanung!$E63*Monatsplanung!$N63),0,Personalplanung!S63/Monatsplanung!$E63*Monatsplanung!$N63)</f>
        <v>0</v>
      </c>
      <c r="AA791" s="80">
        <f t="shared" si="240"/>
        <v>0</v>
      </c>
      <c r="AB791" s="102">
        <f t="shared" si="241"/>
        <v>0.1</v>
      </c>
      <c r="AC791" s="103">
        <f t="shared" si="242"/>
        <v>0</v>
      </c>
      <c r="AD791" s="103">
        <f t="shared" si="243"/>
        <v>0</v>
      </c>
      <c r="AE791" s="81">
        <f t="shared" si="244"/>
        <v>0</v>
      </c>
      <c r="AF791" s="539"/>
      <c r="AG791" s="104">
        <f t="shared" si="245"/>
        <v>1</v>
      </c>
      <c r="AH791" s="7">
        <f t="shared" si="246"/>
        <v>0</v>
      </c>
      <c r="AI791" s="6">
        <f t="shared" si="247"/>
        <v>0</v>
      </c>
      <c r="AJ791" s="73">
        <f t="shared" si="248"/>
        <v>0</v>
      </c>
      <c r="AK791" s="539"/>
      <c r="AL791" s="748"/>
      <c r="AM791" s="748"/>
    </row>
    <row r="792" spans="2:39" x14ac:dyDescent="0.2">
      <c r="B792" s="101" t="str">
        <f t="shared" si="233"/>
        <v/>
      </c>
      <c r="C792" s="168">
        <f>IF(ISERROR(Personalplanung!F64/Monatsplanung!$E64*Monatsplanung!$N64),0,Personalplanung!F64/Monatsplanung!$E64*Monatsplanung!$N64)</f>
        <v>0</v>
      </c>
      <c r="D792" s="168">
        <f t="shared" si="234"/>
        <v>0</v>
      </c>
      <c r="E792" s="168">
        <f>IF(ISERROR(Personalplanung!H64/Monatsplanung!$E64*Monatsplanung!$N64),0,Personalplanung!H64/Monatsplanung!$E64*Monatsplanung!$N64)</f>
        <v>0</v>
      </c>
      <c r="F792" s="168">
        <f t="shared" si="235"/>
        <v>0</v>
      </c>
      <c r="G792" s="168">
        <f t="shared" si="236"/>
        <v>27.700831024930746</v>
      </c>
      <c r="H792" s="168">
        <f t="shared" si="237"/>
        <v>0</v>
      </c>
      <c r="I792" s="168">
        <f t="shared" si="238"/>
        <v>30</v>
      </c>
      <c r="J792" s="739"/>
      <c r="K792" s="168">
        <f>IF(J792&lt;&gt;"",J792,IF(ISERROR(Personalplanung!AB64/Monatsplanung!$E64*Monatsplanung!$N64),0,Personalplanung!AB64/Monatsplanung!$E64*Monatsplanung!$N64))</f>
        <v>0</v>
      </c>
      <c r="L792" s="740"/>
      <c r="M792" s="739"/>
      <c r="N792" s="168">
        <f>IF(M792&lt;&gt;"",M792,IF(ISERROR(Personalplanung!AC64/Monatsplanung!$E64*Monatsplanung!$N64),0,Personalplanung!AC64/Monatsplanung!$E64*Monatsplanung!$N64))</f>
        <v>0</v>
      </c>
      <c r="O792" s="740"/>
      <c r="P792" s="739"/>
      <c r="Q792" s="168">
        <f>IF(P792&lt;&gt;"",P792,IF(ISERROR(Personalplanung!AD64/Monatsplanung!$E64*Monatsplanung!$N64),0,Personalplanung!AD64/Monatsplanung!$E64*Monatsplanung!$N64))</f>
        <v>0</v>
      </c>
      <c r="R792" s="740"/>
      <c r="S792" s="739"/>
      <c r="T792" s="168">
        <f>IF(S792&lt;&gt;"",S792,IF(ISERROR(Personalplanung!AE64/Monatsplanung!$E64*Monatsplanung!$N64),0,Personalplanung!AE64/Monatsplanung!$E64*Monatsplanung!$N64))</f>
        <v>0</v>
      </c>
      <c r="U792" s="740"/>
      <c r="V792" s="168">
        <f t="shared" si="239"/>
        <v>0</v>
      </c>
      <c r="W792" s="168">
        <f>IF(ISERROR(Personalplanung!P64/Monatsplanung!$E64*Monatsplanung!$N64),0,Personalplanung!P64/Monatsplanung!$E64*Monatsplanung!$N64)</f>
        <v>0</v>
      </c>
      <c r="X792" s="168">
        <f>IF(ISERROR(Personalplanung!Q64/Monatsplanung!$E64*Monatsplanung!$N64),0,Personalplanung!Q64/Monatsplanung!$E64*Monatsplanung!$N64)</f>
        <v>0</v>
      </c>
      <c r="Y792" s="168">
        <f>IF(ISERROR(Personalplanung!R64/T1312*Stundencontrolling!T792),0,Personalplanung!R64/T1312*Stundencontrolling!T792)</f>
        <v>0</v>
      </c>
      <c r="Z792" s="168">
        <f>IF(ISERROR(Personalplanung!S64/Monatsplanung!$E64*Monatsplanung!$N64),0,Personalplanung!S64/Monatsplanung!$E64*Monatsplanung!$N64)</f>
        <v>0</v>
      </c>
      <c r="AA792" s="80">
        <f t="shared" si="240"/>
        <v>0</v>
      </c>
      <c r="AB792" s="102">
        <f t="shared" si="241"/>
        <v>0.1</v>
      </c>
      <c r="AC792" s="103">
        <f t="shared" si="242"/>
        <v>0</v>
      </c>
      <c r="AD792" s="103">
        <f t="shared" si="243"/>
        <v>0</v>
      </c>
      <c r="AE792" s="81">
        <f t="shared" si="244"/>
        <v>0</v>
      </c>
      <c r="AF792" s="539"/>
      <c r="AG792" s="104">
        <f t="shared" si="245"/>
        <v>1</v>
      </c>
      <c r="AH792" s="7">
        <f t="shared" si="246"/>
        <v>0</v>
      </c>
      <c r="AI792" s="6">
        <f t="shared" si="247"/>
        <v>0</v>
      </c>
      <c r="AJ792" s="73">
        <f t="shared" si="248"/>
        <v>0</v>
      </c>
      <c r="AK792" s="539"/>
      <c r="AL792" s="748"/>
      <c r="AM792" s="748"/>
    </row>
    <row r="793" spans="2:39" x14ac:dyDescent="0.2">
      <c r="B793" s="101" t="str">
        <f t="shared" si="233"/>
        <v/>
      </c>
      <c r="C793" s="168">
        <f>IF(ISERROR(Personalplanung!F65/Monatsplanung!$E65*Monatsplanung!$N65),0,Personalplanung!F65/Monatsplanung!$E65*Monatsplanung!$N65)</f>
        <v>0</v>
      </c>
      <c r="D793" s="168">
        <f t="shared" si="234"/>
        <v>0</v>
      </c>
      <c r="E793" s="168">
        <f>IF(ISERROR(Personalplanung!H65/Monatsplanung!$E65*Monatsplanung!$N65),0,Personalplanung!H65/Monatsplanung!$E65*Monatsplanung!$N65)</f>
        <v>0</v>
      </c>
      <c r="F793" s="168">
        <f t="shared" si="235"/>
        <v>0</v>
      </c>
      <c r="G793" s="168">
        <f t="shared" si="236"/>
        <v>27.700831024930746</v>
      </c>
      <c r="H793" s="168">
        <f t="shared" si="237"/>
        <v>0</v>
      </c>
      <c r="I793" s="168">
        <f t="shared" si="238"/>
        <v>30</v>
      </c>
      <c r="J793" s="739"/>
      <c r="K793" s="168">
        <f>IF(J793&lt;&gt;"",J793,IF(ISERROR(Personalplanung!AB65/Monatsplanung!$E65*Monatsplanung!$N65),0,Personalplanung!AB65/Monatsplanung!$E65*Monatsplanung!$N65))</f>
        <v>0</v>
      </c>
      <c r="L793" s="740"/>
      <c r="M793" s="739"/>
      <c r="N793" s="168">
        <f>IF(M793&lt;&gt;"",M793,IF(ISERROR(Personalplanung!AC65/Monatsplanung!$E65*Monatsplanung!$N65),0,Personalplanung!AC65/Monatsplanung!$E65*Monatsplanung!$N65))</f>
        <v>0</v>
      </c>
      <c r="O793" s="740"/>
      <c r="P793" s="739"/>
      <c r="Q793" s="168">
        <f>IF(P793&lt;&gt;"",P793,IF(ISERROR(Personalplanung!AD65/Monatsplanung!$E65*Monatsplanung!$N65),0,Personalplanung!AD65/Monatsplanung!$E65*Monatsplanung!$N65))</f>
        <v>0</v>
      </c>
      <c r="R793" s="740"/>
      <c r="S793" s="739"/>
      <c r="T793" s="168">
        <f>IF(S793&lt;&gt;"",S793,IF(ISERROR(Personalplanung!AE65/Monatsplanung!$E65*Monatsplanung!$N65),0,Personalplanung!AE65/Monatsplanung!$E65*Monatsplanung!$N65))</f>
        <v>0</v>
      </c>
      <c r="U793" s="740"/>
      <c r="V793" s="168">
        <f t="shared" si="239"/>
        <v>0</v>
      </c>
      <c r="W793" s="168">
        <f>IF(ISERROR(Personalplanung!P65/Monatsplanung!$E65*Monatsplanung!$N65),0,Personalplanung!P65/Monatsplanung!$E65*Monatsplanung!$N65)</f>
        <v>0</v>
      </c>
      <c r="X793" s="168">
        <f>IF(ISERROR(Personalplanung!Q65/Monatsplanung!$E65*Monatsplanung!$N65),0,Personalplanung!Q65/Monatsplanung!$E65*Monatsplanung!$N65)</f>
        <v>0</v>
      </c>
      <c r="Y793" s="168">
        <f>IF(ISERROR(Personalplanung!R65/T1313*Stundencontrolling!T793),0,Personalplanung!R65/T1313*Stundencontrolling!T793)</f>
        <v>0</v>
      </c>
      <c r="Z793" s="168">
        <f>IF(ISERROR(Personalplanung!S65/Monatsplanung!$E65*Monatsplanung!$N65),0,Personalplanung!S65/Monatsplanung!$E65*Monatsplanung!$N65)</f>
        <v>0</v>
      </c>
      <c r="AA793" s="80">
        <f t="shared" si="240"/>
        <v>0</v>
      </c>
      <c r="AB793" s="102">
        <f t="shared" si="241"/>
        <v>0.1</v>
      </c>
      <c r="AC793" s="103">
        <f t="shared" si="242"/>
        <v>0</v>
      </c>
      <c r="AD793" s="103">
        <f t="shared" si="243"/>
        <v>0</v>
      </c>
      <c r="AE793" s="81">
        <f t="shared" si="244"/>
        <v>0</v>
      </c>
      <c r="AF793" s="539"/>
      <c r="AG793" s="104">
        <f t="shared" si="245"/>
        <v>1</v>
      </c>
      <c r="AH793" s="7">
        <f t="shared" si="246"/>
        <v>0</v>
      </c>
      <c r="AI793" s="6">
        <f t="shared" si="247"/>
        <v>0</v>
      </c>
      <c r="AJ793" s="73">
        <f t="shared" si="248"/>
        <v>0</v>
      </c>
      <c r="AK793" s="539"/>
      <c r="AL793" s="748"/>
      <c r="AM793" s="748"/>
    </row>
    <row r="794" spans="2:39" x14ac:dyDescent="0.2">
      <c r="B794" s="101" t="str">
        <f t="shared" si="233"/>
        <v/>
      </c>
      <c r="C794" s="168">
        <f>IF(ISERROR(Personalplanung!F66/Monatsplanung!$E66*Monatsplanung!$N66),0,Personalplanung!F66/Monatsplanung!$E66*Monatsplanung!$N66)</f>
        <v>0</v>
      </c>
      <c r="D794" s="168">
        <f t="shared" si="234"/>
        <v>0</v>
      </c>
      <c r="E794" s="168">
        <f>IF(ISERROR(Personalplanung!H66/Monatsplanung!$E66*Monatsplanung!$N66),0,Personalplanung!H66/Monatsplanung!$E66*Monatsplanung!$N66)</f>
        <v>0</v>
      </c>
      <c r="F794" s="168">
        <f t="shared" si="235"/>
        <v>0</v>
      </c>
      <c r="G794" s="168">
        <f t="shared" si="236"/>
        <v>27.700831024930746</v>
      </c>
      <c r="H794" s="168">
        <f t="shared" si="237"/>
        <v>0</v>
      </c>
      <c r="I794" s="168">
        <f t="shared" si="238"/>
        <v>30</v>
      </c>
      <c r="J794" s="739"/>
      <c r="K794" s="168">
        <f>IF(J794&lt;&gt;"",J794,IF(ISERROR(Personalplanung!AB66/Monatsplanung!$E66*Monatsplanung!$N66),0,Personalplanung!AB66/Monatsplanung!$E66*Monatsplanung!$N66))</f>
        <v>0</v>
      </c>
      <c r="L794" s="740"/>
      <c r="M794" s="739"/>
      <c r="N794" s="168">
        <f>IF(M794&lt;&gt;"",M794,IF(ISERROR(Personalplanung!AC66/Monatsplanung!$E66*Monatsplanung!$N66),0,Personalplanung!AC66/Monatsplanung!$E66*Monatsplanung!$N66))</f>
        <v>0</v>
      </c>
      <c r="O794" s="740"/>
      <c r="P794" s="739"/>
      <c r="Q794" s="168">
        <f>IF(P794&lt;&gt;"",P794,IF(ISERROR(Personalplanung!AD66/Monatsplanung!$E66*Monatsplanung!$N66),0,Personalplanung!AD66/Monatsplanung!$E66*Monatsplanung!$N66))</f>
        <v>0</v>
      </c>
      <c r="R794" s="740"/>
      <c r="S794" s="739"/>
      <c r="T794" s="168">
        <f>IF(S794&lt;&gt;"",S794,IF(ISERROR(Personalplanung!AE66/Monatsplanung!$E66*Monatsplanung!$N66),0,Personalplanung!AE66/Monatsplanung!$E66*Monatsplanung!$N66))</f>
        <v>0</v>
      </c>
      <c r="U794" s="740"/>
      <c r="V794" s="168">
        <f t="shared" si="239"/>
        <v>0</v>
      </c>
      <c r="W794" s="168">
        <f>IF(ISERROR(Personalplanung!P66/Monatsplanung!$E66*Monatsplanung!$N66),0,Personalplanung!P66/Monatsplanung!$E66*Monatsplanung!$N66)</f>
        <v>0</v>
      </c>
      <c r="X794" s="168">
        <f>IF(ISERROR(Personalplanung!Q66/Monatsplanung!$E66*Monatsplanung!$N66),0,Personalplanung!Q66/Monatsplanung!$E66*Monatsplanung!$N66)</f>
        <v>0</v>
      </c>
      <c r="Y794" s="168">
        <f>IF(ISERROR(Personalplanung!R66/T1314*Stundencontrolling!T794),0,Personalplanung!R66/T1314*Stundencontrolling!T794)</f>
        <v>0</v>
      </c>
      <c r="Z794" s="168">
        <f>IF(ISERROR(Personalplanung!S66/Monatsplanung!$E66*Monatsplanung!$N66),0,Personalplanung!S66/Monatsplanung!$E66*Monatsplanung!$N66)</f>
        <v>0</v>
      </c>
      <c r="AA794" s="80">
        <f t="shared" si="240"/>
        <v>0</v>
      </c>
      <c r="AB794" s="102">
        <f t="shared" si="241"/>
        <v>0.1</v>
      </c>
      <c r="AC794" s="103">
        <f t="shared" si="242"/>
        <v>0</v>
      </c>
      <c r="AD794" s="103">
        <f t="shared" si="243"/>
        <v>0</v>
      </c>
      <c r="AE794" s="81">
        <f t="shared" si="244"/>
        <v>0</v>
      </c>
      <c r="AF794" s="539"/>
      <c r="AG794" s="104">
        <f t="shared" si="245"/>
        <v>1</v>
      </c>
      <c r="AH794" s="7">
        <f t="shared" si="246"/>
        <v>0</v>
      </c>
      <c r="AI794" s="6">
        <f t="shared" si="247"/>
        <v>0</v>
      </c>
      <c r="AJ794" s="73">
        <f t="shared" si="248"/>
        <v>0</v>
      </c>
      <c r="AK794" s="539"/>
      <c r="AL794" s="748"/>
      <c r="AM794" s="748"/>
    </row>
    <row r="795" spans="2:39" x14ac:dyDescent="0.2">
      <c r="B795" s="101" t="str">
        <f t="shared" si="233"/>
        <v/>
      </c>
      <c r="C795" s="168">
        <f>IF(ISERROR(Personalplanung!F67/Monatsplanung!$E67*Monatsplanung!$N67),0,Personalplanung!F67/Monatsplanung!$E67*Monatsplanung!$N67)</f>
        <v>0</v>
      </c>
      <c r="D795" s="168">
        <f t="shared" si="234"/>
        <v>0</v>
      </c>
      <c r="E795" s="168">
        <f>IF(ISERROR(Personalplanung!H67/Monatsplanung!$E67*Monatsplanung!$N67),0,Personalplanung!H67/Monatsplanung!$E67*Monatsplanung!$N67)</f>
        <v>0</v>
      </c>
      <c r="F795" s="168">
        <f t="shared" si="235"/>
        <v>0</v>
      </c>
      <c r="G795" s="168">
        <f t="shared" si="236"/>
        <v>27.700831024930746</v>
      </c>
      <c r="H795" s="168">
        <f t="shared" si="237"/>
        <v>0</v>
      </c>
      <c r="I795" s="168">
        <f t="shared" si="238"/>
        <v>30</v>
      </c>
      <c r="J795" s="739"/>
      <c r="K795" s="168">
        <f>IF(J795&lt;&gt;"",J795,IF(ISERROR(Personalplanung!AB67/Monatsplanung!$E67*Monatsplanung!$N67),0,Personalplanung!AB67/Monatsplanung!$E67*Monatsplanung!$N67))</f>
        <v>0</v>
      </c>
      <c r="L795" s="740"/>
      <c r="M795" s="739"/>
      <c r="N795" s="168">
        <f>IF(M795&lt;&gt;"",M795,IF(ISERROR(Personalplanung!AC67/Monatsplanung!$E67*Monatsplanung!$N67),0,Personalplanung!AC67/Monatsplanung!$E67*Monatsplanung!$N67))</f>
        <v>0</v>
      </c>
      <c r="O795" s="740"/>
      <c r="P795" s="739"/>
      <c r="Q795" s="168">
        <f>IF(P795&lt;&gt;"",P795,IF(ISERROR(Personalplanung!AD67/Monatsplanung!$E67*Monatsplanung!$N67),0,Personalplanung!AD67/Monatsplanung!$E67*Monatsplanung!$N67))</f>
        <v>0</v>
      </c>
      <c r="R795" s="740"/>
      <c r="S795" s="739"/>
      <c r="T795" s="168">
        <f>IF(S795&lt;&gt;"",S795,IF(ISERROR(Personalplanung!AE67/Monatsplanung!$E67*Monatsplanung!$N67),0,Personalplanung!AE67/Monatsplanung!$E67*Monatsplanung!$N67))</f>
        <v>0</v>
      </c>
      <c r="U795" s="740"/>
      <c r="V795" s="168">
        <f t="shared" si="239"/>
        <v>0</v>
      </c>
      <c r="W795" s="168">
        <f>IF(ISERROR(Personalplanung!P67/Monatsplanung!$E67*Monatsplanung!$N67),0,Personalplanung!P67/Monatsplanung!$E67*Monatsplanung!$N67)</f>
        <v>0</v>
      </c>
      <c r="X795" s="168">
        <f>IF(ISERROR(Personalplanung!Q67/Monatsplanung!$E67*Monatsplanung!$N67),0,Personalplanung!Q67/Monatsplanung!$E67*Monatsplanung!$N67)</f>
        <v>0</v>
      </c>
      <c r="Y795" s="168">
        <f>IF(ISERROR(Personalplanung!R67/T1315*Stundencontrolling!T795),0,Personalplanung!R67/T1315*Stundencontrolling!T795)</f>
        <v>0</v>
      </c>
      <c r="Z795" s="168">
        <f>IF(ISERROR(Personalplanung!S67/Monatsplanung!$E67*Monatsplanung!$N67),0,Personalplanung!S67/Monatsplanung!$E67*Monatsplanung!$N67)</f>
        <v>0</v>
      </c>
      <c r="AA795" s="80">
        <f t="shared" si="240"/>
        <v>0</v>
      </c>
      <c r="AB795" s="102">
        <f t="shared" si="241"/>
        <v>0.1</v>
      </c>
      <c r="AC795" s="103">
        <f t="shared" si="242"/>
        <v>0</v>
      </c>
      <c r="AD795" s="103">
        <f t="shared" si="243"/>
        <v>0</v>
      </c>
      <c r="AE795" s="81">
        <f t="shared" si="244"/>
        <v>0</v>
      </c>
      <c r="AF795" s="539"/>
      <c r="AG795" s="104">
        <f t="shared" si="245"/>
        <v>1</v>
      </c>
      <c r="AH795" s="7">
        <f t="shared" si="246"/>
        <v>0</v>
      </c>
      <c r="AI795" s="6">
        <f t="shared" si="247"/>
        <v>0</v>
      </c>
      <c r="AJ795" s="73">
        <f t="shared" si="248"/>
        <v>0</v>
      </c>
      <c r="AK795" s="539"/>
      <c r="AL795" s="748"/>
      <c r="AM795" s="748"/>
    </row>
    <row r="796" spans="2:39" x14ac:dyDescent="0.2">
      <c r="B796" s="101" t="str">
        <f t="shared" si="233"/>
        <v/>
      </c>
      <c r="C796" s="168">
        <f>IF(ISERROR(Personalplanung!F68/Monatsplanung!$E68*Monatsplanung!$N68),0,Personalplanung!F68/Monatsplanung!$E68*Monatsplanung!$N68)</f>
        <v>0</v>
      </c>
      <c r="D796" s="168">
        <f t="shared" si="234"/>
        <v>0</v>
      </c>
      <c r="E796" s="168">
        <f>IF(ISERROR(Personalplanung!H68/Monatsplanung!$E68*Monatsplanung!$N68),0,Personalplanung!H68/Monatsplanung!$E68*Monatsplanung!$N68)</f>
        <v>0</v>
      </c>
      <c r="F796" s="168">
        <f t="shared" si="235"/>
        <v>0</v>
      </c>
      <c r="G796" s="168">
        <f t="shared" si="236"/>
        <v>27.700831024930746</v>
      </c>
      <c r="H796" s="168">
        <f t="shared" si="237"/>
        <v>0</v>
      </c>
      <c r="I796" s="168">
        <f t="shared" si="238"/>
        <v>30</v>
      </c>
      <c r="J796" s="739"/>
      <c r="K796" s="168">
        <f>IF(J796&lt;&gt;"",J796,IF(ISERROR(Personalplanung!AB68/Monatsplanung!$E68*Monatsplanung!$N68),0,Personalplanung!AB68/Monatsplanung!$E68*Monatsplanung!$N68))</f>
        <v>0</v>
      </c>
      <c r="L796" s="740"/>
      <c r="M796" s="739"/>
      <c r="N796" s="168">
        <f>IF(M796&lt;&gt;"",M796,IF(ISERROR(Personalplanung!AC68/Monatsplanung!$E68*Monatsplanung!$N68),0,Personalplanung!AC68/Monatsplanung!$E68*Monatsplanung!$N68))</f>
        <v>0</v>
      </c>
      <c r="O796" s="740"/>
      <c r="P796" s="739"/>
      <c r="Q796" s="168">
        <f>IF(P796&lt;&gt;"",P796,IF(ISERROR(Personalplanung!AD68/Monatsplanung!$E68*Monatsplanung!$N68),0,Personalplanung!AD68/Monatsplanung!$E68*Monatsplanung!$N68))</f>
        <v>0</v>
      </c>
      <c r="R796" s="740"/>
      <c r="S796" s="739"/>
      <c r="T796" s="168">
        <f>IF(S796&lt;&gt;"",S796,IF(ISERROR(Personalplanung!AE68/Monatsplanung!$E68*Monatsplanung!$N68),0,Personalplanung!AE68/Monatsplanung!$E68*Monatsplanung!$N68))</f>
        <v>0</v>
      </c>
      <c r="U796" s="740"/>
      <c r="V796" s="168">
        <f t="shared" si="239"/>
        <v>0</v>
      </c>
      <c r="W796" s="168">
        <f>IF(ISERROR(Personalplanung!P68/Monatsplanung!$E68*Monatsplanung!$N68),0,Personalplanung!P68/Monatsplanung!$E68*Monatsplanung!$N68)</f>
        <v>0</v>
      </c>
      <c r="X796" s="168">
        <f>IF(ISERROR(Personalplanung!Q68/Monatsplanung!$E68*Monatsplanung!$N68),0,Personalplanung!Q68/Monatsplanung!$E68*Monatsplanung!$N68)</f>
        <v>0</v>
      </c>
      <c r="Y796" s="168">
        <f>IF(ISERROR(Personalplanung!R68/T1316*Stundencontrolling!T796),0,Personalplanung!R68/T1316*Stundencontrolling!T796)</f>
        <v>0</v>
      </c>
      <c r="Z796" s="168">
        <f>IF(ISERROR(Personalplanung!S68/Monatsplanung!$E68*Monatsplanung!$N68),0,Personalplanung!S68/Monatsplanung!$E68*Monatsplanung!$N68)</f>
        <v>0</v>
      </c>
      <c r="AA796" s="80">
        <f t="shared" si="240"/>
        <v>0</v>
      </c>
      <c r="AB796" s="102">
        <f t="shared" si="241"/>
        <v>0.1</v>
      </c>
      <c r="AC796" s="103">
        <f t="shared" si="242"/>
        <v>0</v>
      </c>
      <c r="AD796" s="103">
        <f t="shared" si="243"/>
        <v>0</v>
      </c>
      <c r="AE796" s="81">
        <f t="shared" si="244"/>
        <v>0</v>
      </c>
      <c r="AF796" s="539"/>
      <c r="AG796" s="104">
        <f t="shared" si="245"/>
        <v>1</v>
      </c>
      <c r="AH796" s="7">
        <f t="shared" si="246"/>
        <v>0</v>
      </c>
      <c r="AI796" s="6">
        <f t="shared" si="247"/>
        <v>0</v>
      </c>
      <c r="AJ796" s="73">
        <f t="shared" si="248"/>
        <v>0</v>
      </c>
      <c r="AK796" s="539"/>
      <c r="AL796" s="748"/>
      <c r="AM796" s="748"/>
    </row>
    <row r="797" spans="2:39" x14ac:dyDescent="0.2">
      <c r="B797" s="101" t="str">
        <f t="shared" si="233"/>
        <v/>
      </c>
      <c r="C797" s="168">
        <f>IF(ISERROR(Personalplanung!F69/Monatsplanung!$E69*Monatsplanung!$N69),0,Personalplanung!F69/Monatsplanung!$E69*Monatsplanung!$N69)</f>
        <v>0</v>
      </c>
      <c r="D797" s="168">
        <f t="shared" si="234"/>
        <v>0</v>
      </c>
      <c r="E797" s="168">
        <f>IF(ISERROR(Personalplanung!H69/Monatsplanung!$E69*Monatsplanung!$N69),0,Personalplanung!H69/Monatsplanung!$E69*Monatsplanung!$N69)</f>
        <v>0</v>
      </c>
      <c r="F797" s="168">
        <f t="shared" si="235"/>
        <v>0</v>
      </c>
      <c r="G797" s="168">
        <f t="shared" si="236"/>
        <v>27.700831024930746</v>
      </c>
      <c r="H797" s="168">
        <f t="shared" si="237"/>
        <v>0</v>
      </c>
      <c r="I797" s="168">
        <f t="shared" si="238"/>
        <v>30</v>
      </c>
      <c r="J797" s="739"/>
      <c r="K797" s="168">
        <f>IF(J797&lt;&gt;"",J797,IF(ISERROR(Personalplanung!AB69/Monatsplanung!$E69*Monatsplanung!$N69),0,Personalplanung!AB69/Monatsplanung!$E69*Monatsplanung!$N69))</f>
        <v>0</v>
      </c>
      <c r="L797" s="740"/>
      <c r="M797" s="739"/>
      <c r="N797" s="168">
        <f>IF(M797&lt;&gt;"",M797,IF(ISERROR(Personalplanung!AC69/Monatsplanung!$E69*Monatsplanung!$N69),0,Personalplanung!AC69/Monatsplanung!$E69*Monatsplanung!$N69))</f>
        <v>0</v>
      </c>
      <c r="O797" s="740"/>
      <c r="P797" s="739"/>
      <c r="Q797" s="168">
        <f>IF(P797&lt;&gt;"",P797,IF(ISERROR(Personalplanung!AD69/Monatsplanung!$E69*Monatsplanung!$N69),0,Personalplanung!AD69/Monatsplanung!$E69*Monatsplanung!$N69))</f>
        <v>0</v>
      </c>
      <c r="R797" s="740"/>
      <c r="S797" s="739"/>
      <c r="T797" s="168">
        <f>IF(S797&lt;&gt;"",S797,IF(ISERROR(Personalplanung!AE69/Monatsplanung!$E69*Monatsplanung!$N69),0,Personalplanung!AE69/Monatsplanung!$E69*Monatsplanung!$N69))</f>
        <v>0</v>
      </c>
      <c r="U797" s="740"/>
      <c r="V797" s="168">
        <f t="shared" si="239"/>
        <v>0</v>
      </c>
      <c r="W797" s="168">
        <f>IF(ISERROR(Personalplanung!P69/Monatsplanung!$E69*Monatsplanung!$N69),0,Personalplanung!P69/Monatsplanung!$E69*Monatsplanung!$N69)</f>
        <v>0</v>
      </c>
      <c r="X797" s="168">
        <f>IF(ISERROR(Personalplanung!Q69/Monatsplanung!$E69*Monatsplanung!$N69),0,Personalplanung!Q69/Monatsplanung!$E69*Monatsplanung!$N69)</f>
        <v>0</v>
      </c>
      <c r="Y797" s="168">
        <f>IF(ISERROR(Personalplanung!R69/T1317*Stundencontrolling!T797),0,Personalplanung!R69/T1317*Stundencontrolling!T797)</f>
        <v>0</v>
      </c>
      <c r="Z797" s="168">
        <f>IF(ISERROR(Personalplanung!S69/Monatsplanung!$E69*Monatsplanung!$N69),0,Personalplanung!S69/Monatsplanung!$E69*Monatsplanung!$N69)</f>
        <v>0</v>
      </c>
      <c r="AA797" s="80">
        <f t="shared" si="240"/>
        <v>0</v>
      </c>
      <c r="AB797" s="102">
        <f t="shared" si="241"/>
        <v>0.1</v>
      </c>
      <c r="AC797" s="103">
        <f t="shared" si="242"/>
        <v>0</v>
      </c>
      <c r="AD797" s="103">
        <f t="shared" si="243"/>
        <v>0</v>
      </c>
      <c r="AE797" s="81">
        <f t="shared" si="244"/>
        <v>0</v>
      </c>
      <c r="AF797" s="539"/>
      <c r="AG797" s="104">
        <f t="shared" si="245"/>
        <v>1</v>
      </c>
      <c r="AH797" s="7">
        <f t="shared" si="246"/>
        <v>0</v>
      </c>
      <c r="AI797" s="6">
        <f t="shared" si="247"/>
        <v>0</v>
      </c>
      <c r="AJ797" s="73">
        <f t="shared" si="248"/>
        <v>0</v>
      </c>
      <c r="AK797" s="539"/>
      <c r="AL797" s="748"/>
      <c r="AM797" s="748"/>
    </row>
    <row r="798" spans="2:39" x14ac:dyDescent="0.2">
      <c r="B798" s="101" t="str">
        <f t="shared" si="233"/>
        <v/>
      </c>
      <c r="C798" s="168">
        <f>IF(ISERROR(Personalplanung!F70/Monatsplanung!$E70*Monatsplanung!$N70),0,Personalplanung!F70/Monatsplanung!$E70*Monatsplanung!$N70)</f>
        <v>0</v>
      </c>
      <c r="D798" s="168">
        <f t="shared" si="234"/>
        <v>0</v>
      </c>
      <c r="E798" s="168">
        <f>IF(ISERROR(Personalplanung!H70/Monatsplanung!$E70*Monatsplanung!$N70),0,Personalplanung!H70/Monatsplanung!$E70*Monatsplanung!$N70)</f>
        <v>0</v>
      </c>
      <c r="F798" s="168">
        <f t="shared" si="235"/>
        <v>0</v>
      </c>
      <c r="G798" s="168">
        <f t="shared" si="236"/>
        <v>27.700831024930746</v>
      </c>
      <c r="H798" s="168">
        <f t="shared" si="237"/>
        <v>0</v>
      </c>
      <c r="I798" s="168">
        <f t="shared" si="238"/>
        <v>30</v>
      </c>
      <c r="J798" s="739"/>
      <c r="K798" s="168">
        <f>IF(J798&lt;&gt;"",J798,IF(ISERROR(Personalplanung!AB70/Monatsplanung!$E70*Monatsplanung!$N70),0,Personalplanung!AB70/Monatsplanung!$E70*Monatsplanung!$N70))</f>
        <v>0</v>
      </c>
      <c r="L798" s="740"/>
      <c r="M798" s="739"/>
      <c r="N798" s="168">
        <f>IF(M798&lt;&gt;"",M798,IF(ISERROR(Personalplanung!AC70/Monatsplanung!$E70*Monatsplanung!$N70),0,Personalplanung!AC70/Monatsplanung!$E70*Monatsplanung!$N70))</f>
        <v>0</v>
      </c>
      <c r="O798" s="740"/>
      <c r="P798" s="739"/>
      <c r="Q798" s="168">
        <f>IF(P798&lt;&gt;"",P798,IF(ISERROR(Personalplanung!AD70/Monatsplanung!$E70*Monatsplanung!$N70),0,Personalplanung!AD70/Monatsplanung!$E70*Monatsplanung!$N70))</f>
        <v>0</v>
      </c>
      <c r="R798" s="740"/>
      <c r="S798" s="739"/>
      <c r="T798" s="168">
        <f>IF(S798&lt;&gt;"",S798,IF(ISERROR(Personalplanung!AE70/Monatsplanung!$E70*Monatsplanung!$N70),0,Personalplanung!AE70/Monatsplanung!$E70*Monatsplanung!$N70))</f>
        <v>0</v>
      </c>
      <c r="U798" s="740"/>
      <c r="V798" s="168">
        <f t="shared" si="239"/>
        <v>0</v>
      </c>
      <c r="W798" s="168">
        <f>IF(ISERROR(Personalplanung!P70/Monatsplanung!$E70*Monatsplanung!$N70),0,Personalplanung!P70/Monatsplanung!$E70*Monatsplanung!$N70)</f>
        <v>0</v>
      </c>
      <c r="X798" s="168">
        <f>IF(ISERROR(Personalplanung!Q70/Monatsplanung!$E70*Monatsplanung!$N70),0,Personalplanung!Q70/Monatsplanung!$E70*Monatsplanung!$N70)</f>
        <v>0</v>
      </c>
      <c r="Y798" s="168">
        <f>IF(ISERROR(Personalplanung!R70/T1318*Stundencontrolling!T798),0,Personalplanung!R70/T1318*Stundencontrolling!T798)</f>
        <v>0</v>
      </c>
      <c r="Z798" s="168">
        <f>IF(ISERROR(Personalplanung!S70/Monatsplanung!$E70*Monatsplanung!$N70),0,Personalplanung!S70/Monatsplanung!$E70*Monatsplanung!$N70)</f>
        <v>0</v>
      </c>
      <c r="AA798" s="80">
        <f t="shared" si="240"/>
        <v>0</v>
      </c>
      <c r="AB798" s="102">
        <f t="shared" si="241"/>
        <v>0.1</v>
      </c>
      <c r="AC798" s="103">
        <f t="shared" si="242"/>
        <v>0</v>
      </c>
      <c r="AD798" s="103">
        <f t="shared" si="243"/>
        <v>0</v>
      </c>
      <c r="AE798" s="81">
        <f t="shared" si="244"/>
        <v>0</v>
      </c>
      <c r="AF798" s="539"/>
      <c r="AG798" s="104">
        <f t="shared" si="245"/>
        <v>1</v>
      </c>
      <c r="AH798" s="7">
        <f t="shared" si="246"/>
        <v>0</v>
      </c>
      <c r="AI798" s="6">
        <f t="shared" si="247"/>
        <v>0</v>
      </c>
      <c r="AJ798" s="73">
        <f t="shared" si="248"/>
        <v>0</v>
      </c>
      <c r="AK798" s="539"/>
      <c r="AL798" s="748"/>
      <c r="AM798" s="748"/>
    </row>
    <row r="799" spans="2:39" x14ac:dyDescent="0.2">
      <c r="B799" s="101" t="str">
        <f t="shared" ref="B799:B834" si="249">$B695</f>
        <v/>
      </c>
      <c r="C799" s="168">
        <f>IF(ISERROR(Personalplanung!F71/Monatsplanung!$E71*Monatsplanung!$N71),0,Personalplanung!F71/Monatsplanung!$E71*Monatsplanung!$N71)</f>
        <v>0</v>
      </c>
      <c r="D799" s="168">
        <f t="shared" ref="D799:D834" si="250">$D695</f>
        <v>0</v>
      </c>
      <c r="E799" s="168">
        <f>IF(ISERROR(Personalplanung!H71/Monatsplanung!$E71*Monatsplanung!$N71),0,Personalplanung!H71/Monatsplanung!$E71*Monatsplanung!$N71)</f>
        <v>0</v>
      </c>
      <c r="F799" s="168">
        <f t="shared" ref="F799:F834" si="251">+C799+E799</f>
        <v>0</v>
      </c>
      <c r="G799" s="168">
        <f t="shared" ref="G799:G834" si="252">$G$6</f>
        <v>27.700831024930746</v>
      </c>
      <c r="H799" s="168">
        <f t="shared" ref="H799:H834" si="253">+F799*G799</f>
        <v>0</v>
      </c>
      <c r="I799" s="168">
        <f t="shared" ref="I799:I834" si="254">$I$6</f>
        <v>30</v>
      </c>
      <c r="J799" s="739"/>
      <c r="K799" s="168">
        <f>IF(J799&lt;&gt;"",J799,IF(ISERROR(Personalplanung!AB71/Monatsplanung!$E71*Monatsplanung!$N71),0,Personalplanung!AB71/Monatsplanung!$E71*Monatsplanung!$N71))</f>
        <v>0</v>
      </c>
      <c r="L799" s="740"/>
      <c r="M799" s="739"/>
      <c r="N799" s="168">
        <f>IF(M799&lt;&gt;"",M799,IF(ISERROR(Personalplanung!AC71/Monatsplanung!$E71*Monatsplanung!$N71),0,Personalplanung!AC71/Monatsplanung!$E71*Monatsplanung!$N71))</f>
        <v>0</v>
      </c>
      <c r="O799" s="740"/>
      <c r="P799" s="739"/>
      <c r="Q799" s="168">
        <f>IF(P799&lt;&gt;"",P799,IF(ISERROR(Personalplanung!AD71/Monatsplanung!$E71*Monatsplanung!$N71),0,Personalplanung!AD71/Monatsplanung!$E71*Monatsplanung!$N71))</f>
        <v>0</v>
      </c>
      <c r="R799" s="740"/>
      <c r="S799" s="739"/>
      <c r="T799" s="168">
        <f>IF(S799&lt;&gt;"",S799,IF(ISERROR(Personalplanung!AE71/Monatsplanung!$E71*Monatsplanung!$N71),0,Personalplanung!AE71/Monatsplanung!$E71*Monatsplanung!$N71))</f>
        <v>0</v>
      </c>
      <c r="U799" s="740"/>
      <c r="V799" s="168">
        <f t="shared" ref="V799:V834" si="255">K799+N799+Q799+T799</f>
        <v>0</v>
      </c>
      <c r="W799" s="168">
        <f>IF(ISERROR(Personalplanung!P71/Monatsplanung!$E71*Monatsplanung!$N71),0,Personalplanung!P71/Monatsplanung!$E71*Monatsplanung!$N71)</f>
        <v>0</v>
      </c>
      <c r="X799" s="168">
        <f>IF(ISERROR(Personalplanung!Q71/Monatsplanung!$E71*Monatsplanung!$N71),0,Personalplanung!Q71/Monatsplanung!$E71*Monatsplanung!$N71)</f>
        <v>0</v>
      </c>
      <c r="Y799" s="168">
        <f>IF(ISERROR(Personalplanung!R71/T1319*Stundencontrolling!T799),0,Personalplanung!R71/T1319*Stundencontrolling!T799)</f>
        <v>0</v>
      </c>
      <c r="Z799" s="168">
        <f>IF(ISERROR(Personalplanung!S71/Monatsplanung!$E71*Monatsplanung!$N71),0,Personalplanung!S71/Monatsplanung!$E71*Monatsplanung!$N71)</f>
        <v>0</v>
      </c>
      <c r="AA799" s="80">
        <f t="shared" ref="AA799:AA834" si="256">+F799*G799*(1+I799)+SUM(W799:Z799)</f>
        <v>0</v>
      </c>
      <c r="AB799" s="102">
        <f t="shared" ref="AB799:AB834" si="257">$AB$6</f>
        <v>0.1</v>
      </c>
      <c r="AC799" s="103">
        <f t="shared" ref="AC799:AC834" si="258">AB799*AA799</f>
        <v>0</v>
      </c>
      <c r="AD799" s="103">
        <f t="shared" ref="AD799:AD834" si="259">AA799-AC799</f>
        <v>0</v>
      </c>
      <c r="AE799" s="81">
        <f t="shared" ref="AE799:AE834" si="260">(F799-(V799*$D799))*AB799</f>
        <v>0</v>
      </c>
      <c r="AF799" s="539"/>
      <c r="AG799" s="104">
        <f t="shared" ref="AG799:AG834" si="261">$AG$6</f>
        <v>1</v>
      </c>
      <c r="AH799" s="7">
        <f t="shared" ref="AH799:AH834" si="262">IF(ISERROR(AK799/AF799),0,AK799/AF799)</f>
        <v>0</v>
      </c>
      <c r="AI799" s="6">
        <f t="shared" ref="AI799:AI834" si="263">AE799*AG799</f>
        <v>0</v>
      </c>
      <c r="AJ799" s="73">
        <f t="shared" ref="AJ799:AJ834" si="264">IF(ISERROR(+AC799/AI799),0,+AC799/AI799)</f>
        <v>0</v>
      </c>
      <c r="AK799" s="539"/>
      <c r="AL799" s="748"/>
      <c r="AM799" s="748"/>
    </row>
    <row r="800" spans="2:39" x14ac:dyDescent="0.2">
      <c r="B800" s="101" t="str">
        <f t="shared" si="249"/>
        <v/>
      </c>
      <c r="C800" s="168">
        <f>IF(ISERROR(Personalplanung!F72/Monatsplanung!$E72*Monatsplanung!$N72),0,Personalplanung!F72/Monatsplanung!$E72*Monatsplanung!$N72)</f>
        <v>0</v>
      </c>
      <c r="D800" s="168">
        <f t="shared" si="250"/>
        <v>0</v>
      </c>
      <c r="E800" s="168">
        <f>IF(ISERROR(Personalplanung!H72/Monatsplanung!$E72*Monatsplanung!$N72),0,Personalplanung!H72/Monatsplanung!$E72*Monatsplanung!$N72)</f>
        <v>0</v>
      </c>
      <c r="F800" s="168">
        <f t="shared" si="251"/>
        <v>0</v>
      </c>
      <c r="G800" s="168">
        <f t="shared" si="252"/>
        <v>27.700831024930746</v>
      </c>
      <c r="H800" s="168">
        <f t="shared" si="253"/>
        <v>0</v>
      </c>
      <c r="I800" s="168">
        <f t="shared" si="254"/>
        <v>30</v>
      </c>
      <c r="J800" s="739"/>
      <c r="K800" s="168">
        <f>IF(J800&lt;&gt;"",J800,IF(ISERROR(Personalplanung!AB72/Monatsplanung!$E72*Monatsplanung!$N72),0,Personalplanung!AB72/Monatsplanung!$E72*Monatsplanung!$N72))</f>
        <v>0</v>
      </c>
      <c r="L800" s="740"/>
      <c r="M800" s="739"/>
      <c r="N800" s="168">
        <f>IF(M800&lt;&gt;"",M800,IF(ISERROR(Personalplanung!AC72/Monatsplanung!$E72*Monatsplanung!$N72),0,Personalplanung!AC72/Monatsplanung!$E72*Monatsplanung!$N72))</f>
        <v>0</v>
      </c>
      <c r="O800" s="740"/>
      <c r="P800" s="739"/>
      <c r="Q800" s="168">
        <f>IF(P800&lt;&gt;"",P800,IF(ISERROR(Personalplanung!AD72/Monatsplanung!$E72*Monatsplanung!$N72),0,Personalplanung!AD72/Monatsplanung!$E72*Monatsplanung!$N72))</f>
        <v>0</v>
      </c>
      <c r="R800" s="740"/>
      <c r="S800" s="739"/>
      <c r="T800" s="168">
        <f>IF(S800&lt;&gt;"",S800,IF(ISERROR(Personalplanung!AE72/Monatsplanung!$E72*Monatsplanung!$N72),0,Personalplanung!AE72/Monatsplanung!$E72*Monatsplanung!$N72))</f>
        <v>0</v>
      </c>
      <c r="U800" s="740"/>
      <c r="V800" s="168">
        <f t="shared" si="255"/>
        <v>0</v>
      </c>
      <c r="W800" s="168">
        <f>IF(ISERROR(Personalplanung!P72/Monatsplanung!$E72*Monatsplanung!$N72),0,Personalplanung!P72/Monatsplanung!$E72*Monatsplanung!$N72)</f>
        <v>0</v>
      </c>
      <c r="X800" s="168">
        <f>IF(ISERROR(Personalplanung!Q72/Monatsplanung!$E72*Monatsplanung!$N72),0,Personalplanung!Q72/Monatsplanung!$E72*Monatsplanung!$N72)</f>
        <v>0</v>
      </c>
      <c r="Y800" s="168">
        <f>IF(ISERROR(Personalplanung!R72/T1320*Stundencontrolling!T800),0,Personalplanung!R72/T1320*Stundencontrolling!T800)</f>
        <v>0</v>
      </c>
      <c r="Z800" s="168">
        <f>IF(ISERROR(Personalplanung!S72/Monatsplanung!$E72*Monatsplanung!$N72),0,Personalplanung!S72/Monatsplanung!$E72*Monatsplanung!$N72)</f>
        <v>0</v>
      </c>
      <c r="AA800" s="80">
        <f t="shared" si="256"/>
        <v>0</v>
      </c>
      <c r="AB800" s="102">
        <f t="shared" si="257"/>
        <v>0.1</v>
      </c>
      <c r="AC800" s="103">
        <f t="shared" si="258"/>
        <v>0</v>
      </c>
      <c r="AD800" s="103">
        <f t="shared" si="259"/>
        <v>0</v>
      </c>
      <c r="AE800" s="81">
        <f t="shared" si="260"/>
        <v>0</v>
      </c>
      <c r="AF800" s="539"/>
      <c r="AG800" s="104">
        <f t="shared" si="261"/>
        <v>1</v>
      </c>
      <c r="AH800" s="7">
        <f t="shared" si="262"/>
        <v>0</v>
      </c>
      <c r="AI800" s="6">
        <f t="shared" si="263"/>
        <v>0</v>
      </c>
      <c r="AJ800" s="73">
        <f t="shared" si="264"/>
        <v>0</v>
      </c>
      <c r="AK800" s="539"/>
      <c r="AL800" s="748"/>
      <c r="AM800" s="748"/>
    </row>
    <row r="801" spans="2:39" x14ac:dyDescent="0.2">
      <c r="B801" s="101" t="str">
        <f t="shared" si="249"/>
        <v/>
      </c>
      <c r="C801" s="168">
        <f>IF(ISERROR(Personalplanung!F73/Monatsplanung!$E73*Monatsplanung!$N73),0,Personalplanung!F73/Monatsplanung!$E73*Monatsplanung!$N73)</f>
        <v>0</v>
      </c>
      <c r="D801" s="168">
        <f t="shared" si="250"/>
        <v>0</v>
      </c>
      <c r="E801" s="168">
        <f>IF(ISERROR(Personalplanung!H73/Monatsplanung!$E73*Monatsplanung!$N73),0,Personalplanung!H73/Monatsplanung!$E73*Monatsplanung!$N73)</f>
        <v>0</v>
      </c>
      <c r="F801" s="168">
        <f t="shared" si="251"/>
        <v>0</v>
      </c>
      <c r="G801" s="168">
        <f t="shared" si="252"/>
        <v>27.700831024930746</v>
      </c>
      <c r="H801" s="168">
        <f t="shared" si="253"/>
        <v>0</v>
      </c>
      <c r="I801" s="168">
        <f t="shared" si="254"/>
        <v>30</v>
      </c>
      <c r="J801" s="739"/>
      <c r="K801" s="168">
        <f>IF(J801&lt;&gt;"",J801,IF(ISERROR(Personalplanung!AB73/Monatsplanung!$E73*Monatsplanung!$N73),0,Personalplanung!AB73/Monatsplanung!$E73*Monatsplanung!$N73))</f>
        <v>0</v>
      </c>
      <c r="L801" s="740"/>
      <c r="M801" s="739"/>
      <c r="N801" s="168">
        <f>IF(M801&lt;&gt;"",M801,IF(ISERROR(Personalplanung!AC73/Monatsplanung!$E73*Monatsplanung!$N73),0,Personalplanung!AC73/Monatsplanung!$E73*Monatsplanung!$N73))</f>
        <v>0</v>
      </c>
      <c r="O801" s="740"/>
      <c r="P801" s="739"/>
      <c r="Q801" s="168">
        <f>IF(P801&lt;&gt;"",P801,IF(ISERROR(Personalplanung!AD73/Monatsplanung!$E73*Monatsplanung!$N73),0,Personalplanung!AD73/Monatsplanung!$E73*Monatsplanung!$N73))</f>
        <v>0</v>
      </c>
      <c r="R801" s="740"/>
      <c r="S801" s="739"/>
      <c r="T801" s="168">
        <f>IF(S801&lt;&gt;"",S801,IF(ISERROR(Personalplanung!AE73/Monatsplanung!$E73*Monatsplanung!$N73),0,Personalplanung!AE73/Monatsplanung!$E73*Monatsplanung!$N73))</f>
        <v>0</v>
      </c>
      <c r="U801" s="740"/>
      <c r="V801" s="168">
        <f t="shared" si="255"/>
        <v>0</v>
      </c>
      <c r="W801" s="168">
        <f>IF(ISERROR(Personalplanung!P73/Monatsplanung!$E73*Monatsplanung!$N73),0,Personalplanung!P73/Monatsplanung!$E73*Monatsplanung!$N73)</f>
        <v>0</v>
      </c>
      <c r="X801" s="168">
        <f>IF(ISERROR(Personalplanung!Q73/Monatsplanung!$E73*Monatsplanung!$N73),0,Personalplanung!Q73/Monatsplanung!$E73*Monatsplanung!$N73)</f>
        <v>0</v>
      </c>
      <c r="Y801" s="168">
        <f>IF(ISERROR(Personalplanung!R73/T1321*Stundencontrolling!T801),0,Personalplanung!R73/T1321*Stundencontrolling!T801)</f>
        <v>0</v>
      </c>
      <c r="Z801" s="168">
        <f>IF(ISERROR(Personalplanung!S73/Monatsplanung!$E73*Monatsplanung!$N73),0,Personalplanung!S73/Monatsplanung!$E73*Monatsplanung!$N73)</f>
        <v>0</v>
      </c>
      <c r="AA801" s="80">
        <f t="shared" si="256"/>
        <v>0</v>
      </c>
      <c r="AB801" s="102">
        <f t="shared" si="257"/>
        <v>0.1</v>
      </c>
      <c r="AC801" s="103">
        <f t="shared" si="258"/>
        <v>0</v>
      </c>
      <c r="AD801" s="103">
        <f t="shared" si="259"/>
        <v>0</v>
      </c>
      <c r="AE801" s="81">
        <f t="shared" si="260"/>
        <v>0</v>
      </c>
      <c r="AF801" s="539"/>
      <c r="AG801" s="104">
        <f t="shared" si="261"/>
        <v>1</v>
      </c>
      <c r="AH801" s="7">
        <f t="shared" si="262"/>
        <v>0</v>
      </c>
      <c r="AI801" s="6">
        <f t="shared" si="263"/>
        <v>0</v>
      </c>
      <c r="AJ801" s="73">
        <f t="shared" si="264"/>
        <v>0</v>
      </c>
      <c r="AK801" s="539"/>
      <c r="AL801" s="748"/>
      <c r="AM801" s="748"/>
    </row>
    <row r="802" spans="2:39" x14ac:dyDescent="0.2">
      <c r="B802" s="101" t="str">
        <f t="shared" si="249"/>
        <v/>
      </c>
      <c r="C802" s="168">
        <f>IF(ISERROR(Personalplanung!F74/Monatsplanung!$E74*Monatsplanung!$N74),0,Personalplanung!F74/Monatsplanung!$E74*Monatsplanung!$N74)</f>
        <v>0</v>
      </c>
      <c r="D802" s="168">
        <f t="shared" si="250"/>
        <v>0</v>
      </c>
      <c r="E802" s="168">
        <f>IF(ISERROR(Personalplanung!H74/Monatsplanung!$E74*Monatsplanung!$N74),0,Personalplanung!H74/Monatsplanung!$E74*Monatsplanung!$N74)</f>
        <v>0</v>
      </c>
      <c r="F802" s="168">
        <f t="shared" si="251"/>
        <v>0</v>
      </c>
      <c r="G802" s="168">
        <f t="shared" si="252"/>
        <v>27.700831024930746</v>
      </c>
      <c r="H802" s="168">
        <f t="shared" si="253"/>
        <v>0</v>
      </c>
      <c r="I802" s="168">
        <f t="shared" si="254"/>
        <v>30</v>
      </c>
      <c r="J802" s="739"/>
      <c r="K802" s="168">
        <f>IF(J802&lt;&gt;"",J802,IF(ISERROR(Personalplanung!AB74/Monatsplanung!$E74*Monatsplanung!$N74),0,Personalplanung!AB74/Monatsplanung!$E74*Monatsplanung!$N74))</f>
        <v>0</v>
      </c>
      <c r="L802" s="740"/>
      <c r="M802" s="739"/>
      <c r="N802" s="168">
        <f>IF(M802&lt;&gt;"",M802,IF(ISERROR(Personalplanung!AC74/Monatsplanung!$E74*Monatsplanung!$N74),0,Personalplanung!AC74/Monatsplanung!$E74*Monatsplanung!$N74))</f>
        <v>0</v>
      </c>
      <c r="O802" s="740"/>
      <c r="P802" s="739"/>
      <c r="Q802" s="168">
        <f>IF(P802&lt;&gt;"",P802,IF(ISERROR(Personalplanung!AD74/Monatsplanung!$E74*Monatsplanung!$N74),0,Personalplanung!AD74/Monatsplanung!$E74*Monatsplanung!$N74))</f>
        <v>0</v>
      </c>
      <c r="R802" s="740"/>
      <c r="S802" s="739"/>
      <c r="T802" s="168">
        <f>IF(S802&lt;&gt;"",S802,IF(ISERROR(Personalplanung!AE74/Monatsplanung!$E74*Monatsplanung!$N74),0,Personalplanung!AE74/Monatsplanung!$E74*Monatsplanung!$N74))</f>
        <v>0</v>
      </c>
      <c r="U802" s="740"/>
      <c r="V802" s="168">
        <f t="shared" si="255"/>
        <v>0</v>
      </c>
      <c r="W802" s="168">
        <f>IF(ISERROR(Personalplanung!P74/Monatsplanung!$E74*Monatsplanung!$N74),0,Personalplanung!P74/Monatsplanung!$E74*Monatsplanung!$N74)</f>
        <v>0</v>
      </c>
      <c r="X802" s="168">
        <f>IF(ISERROR(Personalplanung!Q74/Monatsplanung!$E74*Monatsplanung!$N74),0,Personalplanung!Q74/Monatsplanung!$E74*Monatsplanung!$N74)</f>
        <v>0</v>
      </c>
      <c r="Y802" s="168">
        <f>IF(ISERROR(Personalplanung!R74/T1322*Stundencontrolling!T802),0,Personalplanung!R74/T1322*Stundencontrolling!T802)</f>
        <v>0</v>
      </c>
      <c r="Z802" s="168">
        <f>IF(ISERROR(Personalplanung!S74/Monatsplanung!$E74*Monatsplanung!$N74),0,Personalplanung!S74/Monatsplanung!$E74*Monatsplanung!$N74)</f>
        <v>0</v>
      </c>
      <c r="AA802" s="80">
        <f t="shared" si="256"/>
        <v>0</v>
      </c>
      <c r="AB802" s="102">
        <f t="shared" si="257"/>
        <v>0.1</v>
      </c>
      <c r="AC802" s="103">
        <f t="shared" si="258"/>
        <v>0</v>
      </c>
      <c r="AD802" s="103">
        <f t="shared" si="259"/>
        <v>0</v>
      </c>
      <c r="AE802" s="81">
        <f t="shared" si="260"/>
        <v>0</v>
      </c>
      <c r="AF802" s="539"/>
      <c r="AG802" s="104">
        <f t="shared" si="261"/>
        <v>1</v>
      </c>
      <c r="AH802" s="7">
        <f t="shared" si="262"/>
        <v>0</v>
      </c>
      <c r="AI802" s="6">
        <f t="shared" si="263"/>
        <v>0</v>
      </c>
      <c r="AJ802" s="73">
        <f t="shared" si="264"/>
        <v>0</v>
      </c>
      <c r="AK802" s="539"/>
      <c r="AL802" s="748"/>
      <c r="AM802" s="748"/>
    </row>
    <row r="803" spans="2:39" x14ac:dyDescent="0.2">
      <c r="B803" s="101" t="str">
        <f t="shared" si="249"/>
        <v/>
      </c>
      <c r="C803" s="168">
        <f>IF(ISERROR(Personalplanung!F75/Monatsplanung!$E75*Monatsplanung!$N75),0,Personalplanung!F75/Monatsplanung!$E75*Monatsplanung!$N75)</f>
        <v>0</v>
      </c>
      <c r="D803" s="168">
        <f t="shared" si="250"/>
        <v>0</v>
      </c>
      <c r="E803" s="168">
        <f>IF(ISERROR(Personalplanung!H75/Monatsplanung!$E75*Monatsplanung!$N75),0,Personalplanung!H75/Monatsplanung!$E75*Monatsplanung!$N75)</f>
        <v>0</v>
      </c>
      <c r="F803" s="168">
        <f t="shared" si="251"/>
        <v>0</v>
      </c>
      <c r="G803" s="168">
        <f t="shared" si="252"/>
        <v>27.700831024930746</v>
      </c>
      <c r="H803" s="168">
        <f t="shared" si="253"/>
        <v>0</v>
      </c>
      <c r="I803" s="168">
        <f t="shared" si="254"/>
        <v>30</v>
      </c>
      <c r="J803" s="739"/>
      <c r="K803" s="168">
        <f>IF(J803&lt;&gt;"",J803,IF(ISERROR(Personalplanung!AB75/Monatsplanung!$E75*Monatsplanung!$N75),0,Personalplanung!AB75/Monatsplanung!$E75*Monatsplanung!$N75))</f>
        <v>0</v>
      </c>
      <c r="L803" s="740"/>
      <c r="M803" s="739"/>
      <c r="N803" s="168">
        <f>IF(M803&lt;&gt;"",M803,IF(ISERROR(Personalplanung!AC75/Monatsplanung!$E75*Monatsplanung!$N75),0,Personalplanung!AC75/Monatsplanung!$E75*Monatsplanung!$N75))</f>
        <v>0</v>
      </c>
      <c r="O803" s="740"/>
      <c r="P803" s="739"/>
      <c r="Q803" s="168">
        <f>IF(P803&lt;&gt;"",P803,IF(ISERROR(Personalplanung!AD75/Monatsplanung!$E75*Monatsplanung!$N75),0,Personalplanung!AD75/Monatsplanung!$E75*Monatsplanung!$N75))</f>
        <v>0</v>
      </c>
      <c r="R803" s="740"/>
      <c r="S803" s="739"/>
      <c r="T803" s="168">
        <f>IF(S803&lt;&gt;"",S803,IF(ISERROR(Personalplanung!AE75/Monatsplanung!$E75*Monatsplanung!$N75),0,Personalplanung!AE75/Monatsplanung!$E75*Monatsplanung!$N75))</f>
        <v>0</v>
      </c>
      <c r="U803" s="740"/>
      <c r="V803" s="168">
        <f t="shared" si="255"/>
        <v>0</v>
      </c>
      <c r="W803" s="168">
        <f>IF(ISERROR(Personalplanung!P75/Monatsplanung!$E75*Monatsplanung!$N75),0,Personalplanung!P75/Monatsplanung!$E75*Monatsplanung!$N75)</f>
        <v>0</v>
      </c>
      <c r="X803" s="168">
        <f>IF(ISERROR(Personalplanung!Q75/Monatsplanung!$E75*Monatsplanung!$N75),0,Personalplanung!Q75/Monatsplanung!$E75*Monatsplanung!$N75)</f>
        <v>0</v>
      </c>
      <c r="Y803" s="168">
        <f>IF(ISERROR(Personalplanung!R75/T1323*Stundencontrolling!T803),0,Personalplanung!R75/T1323*Stundencontrolling!T803)</f>
        <v>0</v>
      </c>
      <c r="Z803" s="168">
        <f>IF(ISERROR(Personalplanung!S75/Monatsplanung!$E75*Monatsplanung!$N75),0,Personalplanung!S75/Monatsplanung!$E75*Monatsplanung!$N75)</f>
        <v>0</v>
      </c>
      <c r="AA803" s="80">
        <f t="shared" si="256"/>
        <v>0</v>
      </c>
      <c r="AB803" s="102">
        <f t="shared" si="257"/>
        <v>0.1</v>
      </c>
      <c r="AC803" s="103">
        <f t="shared" si="258"/>
        <v>0</v>
      </c>
      <c r="AD803" s="103">
        <f t="shared" si="259"/>
        <v>0</v>
      </c>
      <c r="AE803" s="81">
        <f t="shared" si="260"/>
        <v>0</v>
      </c>
      <c r="AF803" s="539"/>
      <c r="AG803" s="104">
        <f t="shared" si="261"/>
        <v>1</v>
      </c>
      <c r="AH803" s="7">
        <f t="shared" si="262"/>
        <v>0</v>
      </c>
      <c r="AI803" s="6">
        <f t="shared" si="263"/>
        <v>0</v>
      </c>
      <c r="AJ803" s="73">
        <f t="shared" si="264"/>
        <v>0</v>
      </c>
      <c r="AK803" s="539"/>
      <c r="AL803" s="748"/>
      <c r="AM803" s="748"/>
    </row>
    <row r="804" spans="2:39" x14ac:dyDescent="0.2">
      <c r="B804" s="101" t="str">
        <f t="shared" si="249"/>
        <v/>
      </c>
      <c r="C804" s="168">
        <f>IF(ISERROR(Personalplanung!F76/Monatsplanung!$E76*Monatsplanung!$N76),0,Personalplanung!F76/Monatsplanung!$E76*Monatsplanung!$N76)</f>
        <v>0</v>
      </c>
      <c r="D804" s="168">
        <f t="shared" si="250"/>
        <v>0</v>
      </c>
      <c r="E804" s="168">
        <f>IF(ISERROR(Personalplanung!H76/Monatsplanung!$E76*Monatsplanung!$N76),0,Personalplanung!H76/Monatsplanung!$E76*Monatsplanung!$N76)</f>
        <v>0</v>
      </c>
      <c r="F804" s="168">
        <f t="shared" si="251"/>
        <v>0</v>
      </c>
      <c r="G804" s="168">
        <f t="shared" si="252"/>
        <v>27.700831024930746</v>
      </c>
      <c r="H804" s="168">
        <f t="shared" si="253"/>
        <v>0</v>
      </c>
      <c r="I804" s="168">
        <f t="shared" si="254"/>
        <v>30</v>
      </c>
      <c r="J804" s="739"/>
      <c r="K804" s="168">
        <f>IF(J804&lt;&gt;"",J804,IF(ISERROR(Personalplanung!AB76/Monatsplanung!$E76*Monatsplanung!$N76),0,Personalplanung!AB76/Monatsplanung!$E76*Monatsplanung!$N76))</f>
        <v>0</v>
      </c>
      <c r="L804" s="740"/>
      <c r="M804" s="739"/>
      <c r="N804" s="168">
        <f>IF(M804&lt;&gt;"",M804,IF(ISERROR(Personalplanung!AC76/Monatsplanung!$E76*Monatsplanung!$N76),0,Personalplanung!AC76/Monatsplanung!$E76*Monatsplanung!$N76))</f>
        <v>0</v>
      </c>
      <c r="O804" s="740"/>
      <c r="P804" s="739"/>
      <c r="Q804" s="168">
        <f>IF(P804&lt;&gt;"",P804,IF(ISERROR(Personalplanung!AD76/Monatsplanung!$E76*Monatsplanung!$N76),0,Personalplanung!AD76/Monatsplanung!$E76*Monatsplanung!$N76))</f>
        <v>0</v>
      </c>
      <c r="R804" s="740"/>
      <c r="S804" s="739"/>
      <c r="T804" s="168">
        <f>IF(S804&lt;&gt;"",S804,IF(ISERROR(Personalplanung!AE76/Monatsplanung!$E76*Monatsplanung!$N76),0,Personalplanung!AE76/Monatsplanung!$E76*Monatsplanung!$N76))</f>
        <v>0</v>
      </c>
      <c r="U804" s="740"/>
      <c r="V804" s="168">
        <f t="shared" si="255"/>
        <v>0</v>
      </c>
      <c r="W804" s="168">
        <f>IF(ISERROR(Personalplanung!P76/Monatsplanung!$E76*Monatsplanung!$N76),0,Personalplanung!P76/Monatsplanung!$E76*Monatsplanung!$N76)</f>
        <v>0</v>
      </c>
      <c r="X804" s="168">
        <f>IF(ISERROR(Personalplanung!Q76/Monatsplanung!$E76*Monatsplanung!$N76),0,Personalplanung!Q76/Monatsplanung!$E76*Monatsplanung!$N76)</f>
        <v>0</v>
      </c>
      <c r="Y804" s="168">
        <f>IF(ISERROR(Personalplanung!R76/T1324*Stundencontrolling!T804),0,Personalplanung!R76/T1324*Stundencontrolling!T804)</f>
        <v>0</v>
      </c>
      <c r="Z804" s="168">
        <f>IF(ISERROR(Personalplanung!S76/Monatsplanung!$E76*Monatsplanung!$N76),0,Personalplanung!S76/Monatsplanung!$E76*Monatsplanung!$N76)</f>
        <v>0</v>
      </c>
      <c r="AA804" s="80">
        <f t="shared" si="256"/>
        <v>0</v>
      </c>
      <c r="AB804" s="102">
        <f t="shared" si="257"/>
        <v>0.1</v>
      </c>
      <c r="AC804" s="103">
        <f t="shared" si="258"/>
        <v>0</v>
      </c>
      <c r="AD804" s="103">
        <f t="shared" si="259"/>
        <v>0</v>
      </c>
      <c r="AE804" s="81">
        <f t="shared" si="260"/>
        <v>0</v>
      </c>
      <c r="AF804" s="539"/>
      <c r="AG804" s="104">
        <f t="shared" si="261"/>
        <v>1</v>
      </c>
      <c r="AH804" s="7">
        <f t="shared" si="262"/>
        <v>0</v>
      </c>
      <c r="AI804" s="6">
        <f t="shared" si="263"/>
        <v>0</v>
      </c>
      <c r="AJ804" s="73">
        <f t="shared" si="264"/>
        <v>0</v>
      </c>
      <c r="AK804" s="539"/>
      <c r="AL804" s="748"/>
      <c r="AM804" s="748"/>
    </row>
    <row r="805" spans="2:39" x14ac:dyDescent="0.2">
      <c r="B805" s="101" t="str">
        <f t="shared" si="249"/>
        <v/>
      </c>
      <c r="C805" s="168">
        <f>IF(ISERROR(Personalplanung!F77/Monatsplanung!$E77*Monatsplanung!$N77),0,Personalplanung!F77/Monatsplanung!$E77*Monatsplanung!$N77)</f>
        <v>0</v>
      </c>
      <c r="D805" s="168">
        <f t="shared" si="250"/>
        <v>0</v>
      </c>
      <c r="E805" s="168">
        <f>IF(ISERROR(Personalplanung!H77/Monatsplanung!$E77*Monatsplanung!$N77),0,Personalplanung!H77/Monatsplanung!$E77*Monatsplanung!$N77)</f>
        <v>0</v>
      </c>
      <c r="F805" s="168">
        <f t="shared" si="251"/>
        <v>0</v>
      </c>
      <c r="G805" s="168">
        <f t="shared" si="252"/>
        <v>27.700831024930746</v>
      </c>
      <c r="H805" s="168">
        <f t="shared" si="253"/>
        <v>0</v>
      </c>
      <c r="I805" s="168">
        <f t="shared" si="254"/>
        <v>30</v>
      </c>
      <c r="J805" s="739"/>
      <c r="K805" s="168">
        <f>IF(J805&lt;&gt;"",J805,IF(ISERROR(Personalplanung!AB77/Monatsplanung!$E77*Monatsplanung!$N77),0,Personalplanung!AB77/Monatsplanung!$E77*Monatsplanung!$N77))</f>
        <v>0</v>
      </c>
      <c r="L805" s="740"/>
      <c r="M805" s="739"/>
      <c r="N805" s="168">
        <f>IF(M805&lt;&gt;"",M805,IF(ISERROR(Personalplanung!AC77/Monatsplanung!$E77*Monatsplanung!$N77),0,Personalplanung!AC77/Monatsplanung!$E77*Monatsplanung!$N77))</f>
        <v>0</v>
      </c>
      <c r="O805" s="740"/>
      <c r="P805" s="739"/>
      <c r="Q805" s="168">
        <f>IF(P805&lt;&gt;"",P805,IF(ISERROR(Personalplanung!AD77/Monatsplanung!$E77*Monatsplanung!$N77),0,Personalplanung!AD77/Monatsplanung!$E77*Monatsplanung!$N77))</f>
        <v>0</v>
      </c>
      <c r="R805" s="740"/>
      <c r="S805" s="739"/>
      <c r="T805" s="168">
        <f>IF(S805&lt;&gt;"",S805,IF(ISERROR(Personalplanung!AE77/Monatsplanung!$E77*Monatsplanung!$N77),0,Personalplanung!AE77/Monatsplanung!$E77*Monatsplanung!$N77))</f>
        <v>0</v>
      </c>
      <c r="U805" s="740"/>
      <c r="V805" s="168">
        <f t="shared" si="255"/>
        <v>0</v>
      </c>
      <c r="W805" s="168">
        <f>IF(ISERROR(Personalplanung!P77/Monatsplanung!$E77*Monatsplanung!$N77),0,Personalplanung!P77/Monatsplanung!$E77*Monatsplanung!$N77)</f>
        <v>0</v>
      </c>
      <c r="X805" s="168">
        <f>IF(ISERROR(Personalplanung!Q77/Monatsplanung!$E77*Monatsplanung!$N77),0,Personalplanung!Q77/Monatsplanung!$E77*Monatsplanung!$N77)</f>
        <v>0</v>
      </c>
      <c r="Y805" s="168">
        <f>IF(ISERROR(Personalplanung!R77/T1325*Stundencontrolling!T805),0,Personalplanung!R77/T1325*Stundencontrolling!T805)</f>
        <v>0</v>
      </c>
      <c r="Z805" s="168">
        <f>IF(ISERROR(Personalplanung!S77/Monatsplanung!$E77*Monatsplanung!$N77),0,Personalplanung!S77/Monatsplanung!$E77*Monatsplanung!$N77)</f>
        <v>0</v>
      </c>
      <c r="AA805" s="80">
        <f t="shared" si="256"/>
        <v>0</v>
      </c>
      <c r="AB805" s="102">
        <f t="shared" si="257"/>
        <v>0.1</v>
      </c>
      <c r="AC805" s="103">
        <f t="shared" si="258"/>
        <v>0</v>
      </c>
      <c r="AD805" s="103">
        <f t="shared" si="259"/>
        <v>0</v>
      </c>
      <c r="AE805" s="81">
        <f t="shared" si="260"/>
        <v>0</v>
      </c>
      <c r="AF805" s="539"/>
      <c r="AG805" s="104">
        <f t="shared" si="261"/>
        <v>1</v>
      </c>
      <c r="AH805" s="7">
        <f t="shared" si="262"/>
        <v>0</v>
      </c>
      <c r="AI805" s="6">
        <f t="shared" si="263"/>
        <v>0</v>
      </c>
      <c r="AJ805" s="73">
        <f t="shared" si="264"/>
        <v>0</v>
      </c>
      <c r="AK805" s="539"/>
      <c r="AL805" s="748"/>
      <c r="AM805" s="748"/>
    </row>
    <row r="806" spans="2:39" x14ac:dyDescent="0.2">
      <c r="B806" s="101" t="str">
        <f t="shared" si="249"/>
        <v/>
      </c>
      <c r="C806" s="168">
        <f>IF(ISERROR(Personalplanung!F78/Monatsplanung!$E78*Monatsplanung!$N78),0,Personalplanung!F78/Monatsplanung!$E78*Monatsplanung!$N78)</f>
        <v>0</v>
      </c>
      <c r="D806" s="168">
        <f t="shared" si="250"/>
        <v>0</v>
      </c>
      <c r="E806" s="168">
        <f>IF(ISERROR(Personalplanung!H78/Monatsplanung!$E78*Monatsplanung!$N78),0,Personalplanung!H78/Monatsplanung!$E78*Monatsplanung!$N78)</f>
        <v>0</v>
      </c>
      <c r="F806" s="168">
        <f t="shared" si="251"/>
        <v>0</v>
      </c>
      <c r="G806" s="168">
        <f t="shared" si="252"/>
        <v>27.700831024930746</v>
      </c>
      <c r="H806" s="168">
        <f t="shared" si="253"/>
        <v>0</v>
      </c>
      <c r="I806" s="168">
        <f t="shared" si="254"/>
        <v>30</v>
      </c>
      <c r="J806" s="739"/>
      <c r="K806" s="168">
        <f>IF(J806&lt;&gt;"",J806,IF(ISERROR(Personalplanung!AB78/Monatsplanung!$E78*Monatsplanung!$N78),0,Personalplanung!AB78/Monatsplanung!$E78*Monatsplanung!$N78))</f>
        <v>0</v>
      </c>
      <c r="L806" s="740"/>
      <c r="M806" s="739"/>
      <c r="N806" s="168">
        <f>IF(M806&lt;&gt;"",M806,IF(ISERROR(Personalplanung!AC78/Monatsplanung!$E78*Monatsplanung!$N78),0,Personalplanung!AC78/Monatsplanung!$E78*Monatsplanung!$N78))</f>
        <v>0</v>
      </c>
      <c r="O806" s="740"/>
      <c r="P806" s="739"/>
      <c r="Q806" s="168">
        <f>IF(P806&lt;&gt;"",P806,IF(ISERROR(Personalplanung!AD78/Monatsplanung!$E78*Monatsplanung!$N78),0,Personalplanung!AD78/Monatsplanung!$E78*Monatsplanung!$N78))</f>
        <v>0</v>
      </c>
      <c r="R806" s="740"/>
      <c r="S806" s="739"/>
      <c r="T806" s="168">
        <f>IF(S806&lt;&gt;"",S806,IF(ISERROR(Personalplanung!AE78/Monatsplanung!$E78*Monatsplanung!$N78),0,Personalplanung!AE78/Monatsplanung!$E78*Monatsplanung!$N78))</f>
        <v>0</v>
      </c>
      <c r="U806" s="740"/>
      <c r="V806" s="168">
        <f t="shared" si="255"/>
        <v>0</v>
      </c>
      <c r="W806" s="168">
        <f>IF(ISERROR(Personalplanung!P78/Monatsplanung!$E78*Monatsplanung!$N78),0,Personalplanung!P78/Monatsplanung!$E78*Monatsplanung!$N78)</f>
        <v>0</v>
      </c>
      <c r="X806" s="168">
        <f>IF(ISERROR(Personalplanung!Q78/Monatsplanung!$E78*Monatsplanung!$N78),0,Personalplanung!Q78/Monatsplanung!$E78*Monatsplanung!$N78)</f>
        <v>0</v>
      </c>
      <c r="Y806" s="168">
        <f>IF(ISERROR(Personalplanung!R78/T1326*Stundencontrolling!T806),0,Personalplanung!R78/T1326*Stundencontrolling!T806)</f>
        <v>0</v>
      </c>
      <c r="Z806" s="168">
        <f>IF(ISERROR(Personalplanung!S78/Monatsplanung!$E78*Monatsplanung!$N78),0,Personalplanung!S78/Monatsplanung!$E78*Monatsplanung!$N78)</f>
        <v>0</v>
      </c>
      <c r="AA806" s="80">
        <f t="shared" si="256"/>
        <v>0</v>
      </c>
      <c r="AB806" s="102">
        <f t="shared" si="257"/>
        <v>0.1</v>
      </c>
      <c r="AC806" s="103">
        <f t="shared" si="258"/>
        <v>0</v>
      </c>
      <c r="AD806" s="103">
        <f t="shared" si="259"/>
        <v>0</v>
      </c>
      <c r="AE806" s="81">
        <f t="shared" si="260"/>
        <v>0</v>
      </c>
      <c r="AF806" s="539"/>
      <c r="AG806" s="104">
        <f t="shared" si="261"/>
        <v>1</v>
      </c>
      <c r="AH806" s="7">
        <f t="shared" si="262"/>
        <v>0</v>
      </c>
      <c r="AI806" s="6">
        <f t="shared" si="263"/>
        <v>0</v>
      </c>
      <c r="AJ806" s="73">
        <f t="shared" si="264"/>
        <v>0</v>
      </c>
      <c r="AK806" s="539"/>
      <c r="AL806" s="748"/>
      <c r="AM806" s="748"/>
    </row>
    <row r="807" spans="2:39" x14ac:dyDescent="0.2">
      <c r="B807" s="101" t="str">
        <f t="shared" si="249"/>
        <v/>
      </c>
      <c r="C807" s="168">
        <f>IF(ISERROR(Personalplanung!F79/Monatsplanung!$E79*Monatsplanung!$N79),0,Personalplanung!F79/Monatsplanung!$E79*Monatsplanung!$N79)</f>
        <v>0</v>
      </c>
      <c r="D807" s="168">
        <f t="shared" si="250"/>
        <v>0</v>
      </c>
      <c r="E807" s="168">
        <f>IF(ISERROR(Personalplanung!H79/Monatsplanung!$E79*Monatsplanung!$N79),0,Personalplanung!H79/Monatsplanung!$E79*Monatsplanung!$N79)</f>
        <v>0</v>
      </c>
      <c r="F807" s="168">
        <f t="shared" si="251"/>
        <v>0</v>
      </c>
      <c r="G807" s="168">
        <f t="shared" si="252"/>
        <v>27.700831024930746</v>
      </c>
      <c r="H807" s="168">
        <f t="shared" si="253"/>
        <v>0</v>
      </c>
      <c r="I807" s="168">
        <f t="shared" si="254"/>
        <v>30</v>
      </c>
      <c r="J807" s="739"/>
      <c r="K807" s="168">
        <f>IF(J807&lt;&gt;"",J807,IF(ISERROR(Personalplanung!AB79/Monatsplanung!$E79*Monatsplanung!$N79),0,Personalplanung!AB79/Monatsplanung!$E79*Monatsplanung!$N79))</f>
        <v>0</v>
      </c>
      <c r="L807" s="740"/>
      <c r="M807" s="739"/>
      <c r="N807" s="168">
        <f>IF(M807&lt;&gt;"",M807,IF(ISERROR(Personalplanung!AC79/Monatsplanung!$E79*Monatsplanung!$N79),0,Personalplanung!AC79/Monatsplanung!$E79*Monatsplanung!$N79))</f>
        <v>0</v>
      </c>
      <c r="O807" s="740"/>
      <c r="P807" s="739"/>
      <c r="Q807" s="168">
        <f>IF(P807&lt;&gt;"",P807,IF(ISERROR(Personalplanung!AD79/Monatsplanung!$E79*Monatsplanung!$N79),0,Personalplanung!AD79/Monatsplanung!$E79*Monatsplanung!$N79))</f>
        <v>0</v>
      </c>
      <c r="R807" s="740"/>
      <c r="S807" s="739"/>
      <c r="T807" s="168">
        <f>IF(S807&lt;&gt;"",S807,IF(ISERROR(Personalplanung!AE79/Monatsplanung!$E79*Monatsplanung!$N79),0,Personalplanung!AE79/Monatsplanung!$E79*Monatsplanung!$N79))</f>
        <v>0</v>
      </c>
      <c r="U807" s="740"/>
      <c r="V807" s="168">
        <f t="shared" si="255"/>
        <v>0</v>
      </c>
      <c r="W807" s="168">
        <f>IF(ISERROR(Personalplanung!P79/Monatsplanung!$E79*Monatsplanung!$N79),0,Personalplanung!P79/Monatsplanung!$E79*Monatsplanung!$N79)</f>
        <v>0</v>
      </c>
      <c r="X807" s="168">
        <f>IF(ISERROR(Personalplanung!Q79/Monatsplanung!$E79*Monatsplanung!$N79),0,Personalplanung!Q79/Monatsplanung!$E79*Monatsplanung!$N79)</f>
        <v>0</v>
      </c>
      <c r="Y807" s="168">
        <f>IF(ISERROR(Personalplanung!R79/T1327*Stundencontrolling!T807),0,Personalplanung!R79/T1327*Stundencontrolling!T807)</f>
        <v>0</v>
      </c>
      <c r="Z807" s="168">
        <f>IF(ISERROR(Personalplanung!S79/Monatsplanung!$E79*Monatsplanung!$N79),0,Personalplanung!S79/Monatsplanung!$E79*Monatsplanung!$N79)</f>
        <v>0</v>
      </c>
      <c r="AA807" s="80">
        <f t="shared" si="256"/>
        <v>0</v>
      </c>
      <c r="AB807" s="102">
        <f t="shared" si="257"/>
        <v>0.1</v>
      </c>
      <c r="AC807" s="103">
        <f t="shared" si="258"/>
        <v>0</v>
      </c>
      <c r="AD807" s="103">
        <f t="shared" si="259"/>
        <v>0</v>
      </c>
      <c r="AE807" s="81">
        <f t="shared" si="260"/>
        <v>0</v>
      </c>
      <c r="AF807" s="539"/>
      <c r="AG807" s="104">
        <f t="shared" si="261"/>
        <v>1</v>
      </c>
      <c r="AH807" s="7">
        <f t="shared" si="262"/>
        <v>0</v>
      </c>
      <c r="AI807" s="6">
        <f t="shared" si="263"/>
        <v>0</v>
      </c>
      <c r="AJ807" s="73">
        <f t="shared" si="264"/>
        <v>0</v>
      </c>
      <c r="AK807" s="539"/>
      <c r="AL807" s="748"/>
      <c r="AM807" s="748"/>
    </row>
    <row r="808" spans="2:39" x14ac:dyDescent="0.2">
      <c r="B808" s="101" t="str">
        <f t="shared" si="249"/>
        <v/>
      </c>
      <c r="C808" s="168">
        <f>IF(ISERROR(Personalplanung!F80/Monatsplanung!$E80*Monatsplanung!$N80),0,Personalplanung!F80/Monatsplanung!$E80*Monatsplanung!$N80)</f>
        <v>0</v>
      </c>
      <c r="D808" s="168">
        <f t="shared" si="250"/>
        <v>0</v>
      </c>
      <c r="E808" s="168">
        <f>IF(ISERROR(Personalplanung!H80/Monatsplanung!$E80*Monatsplanung!$N80),0,Personalplanung!H80/Monatsplanung!$E80*Monatsplanung!$N80)</f>
        <v>0</v>
      </c>
      <c r="F808" s="168">
        <f t="shared" si="251"/>
        <v>0</v>
      </c>
      <c r="G808" s="168">
        <f t="shared" si="252"/>
        <v>27.700831024930746</v>
      </c>
      <c r="H808" s="168">
        <f t="shared" si="253"/>
        <v>0</v>
      </c>
      <c r="I808" s="168">
        <f t="shared" si="254"/>
        <v>30</v>
      </c>
      <c r="J808" s="739"/>
      <c r="K808" s="168">
        <f>IF(J808&lt;&gt;"",J808,IF(ISERROR(Personalplanung!AB80/Monatsplanung!$E80*Monatsplanung!$N80),0,Personalplanung!AB80/Monatsplanung!$E80*Monatsplanung!$N80))</f>
        <v>0</v>
      </c>
      <c r="L808" s="740"/>
      <c r="M808" s="739"/>
      <c r="N808" s="168">
        <f>IF(M808&lt;&gt;"",M808,IF(ISERROR(Personalplanung!AC80/Monatsplanung!$E80*Monatsplanung!$N80),0,Personalplanung!AC80/Monatsplanung!$E80*Monatsplanung!$N80))</f>
        <v>0</v>
      </c>
      <c r="O808" s="740"/>
      <c r="P808" s="739"/>
      <c r="Q808" s="168">
        <f>IF(P808&lt;&gt;"",P808,IF(ISERROR(Personalplanung!AD80/Monatsplanung!$E80*Monatsplanung!$N80),0,Personalplanung!AD80/Monatsplanung!$E80*Monatsplanung!$N80))</f>
        <v>0</v>
      </c>
      <c r="R808" s="740"/>
      <c r="S808" s="739"/>
      <c r="T808" s="168">
        <f>IF(S808&lt;&gt;"",S808,IF(ISERROR(Personalplanung!AE80/Monatsplanung!$E80*Monatsplanung!$N80),0,Personalplanung!AE80/Monatsplanung!$E80*Monatsplanung!$N80))</f>
        <v>0</v>
      </c>
      <c r="U808" s="740"/>
      <c r="V808" s="168">
        <f t="shared" si="255"/>
        <v>0</v>
      </c>
      <c r="W808" s="168">
        <f>IF(ISERROR(Personalplanung!P80/Monatsplanung!$E80*Monatsplanung!$N80),0,Personalplanung!P80/Monatsplanung!$E80*Monatsplanung!$N80)</f>
        <v>0</v>
      </c>
      <c r="X808" s="168">
        <f>IF(ISERROR(Personalplanung!Q80/Monatsplanung!$E80*Monatsplanung!$N80),0,Personalplanung!Q80/Monatsplanung!$E80*Monatsplanung!$N80)</f>
        <v>0</v>
      </c>
      <c r="Y808" s="168">
        <f>IF(ISERROR(Personalplanung!R80/T1328*Stundencontrolling!T808),0,Personalplanung!R80/T1328*Stundencontrolling!T808)</f>
        <v>0</v>
      </c>
      <c r="Z808" s="168">
        <f>IF(ISERROR(Personalplanung!S80/Monatsplanung!$E80*Monatsplanung!$N80),0,Personalplanung!S80/Monatsplanung!$E80*Monatsplanung!$N80)</f>
        <v>0</v>
      </c>
      <c r="AA808" s="80">
        <f t="shared" si="256"/>
        <v>0</v>
      </c>
      <c r="AB808" s="102">
        <f t="shared" si="257"/>
        <v>0.1</v>
      </c>
      <c r="AC808" s="103">
        <f t="shared" si="258"/>
        <v>0</v>
      </c>
      <c r="AD808" s="103">
        <f t="shared" si="259"/>
        <v>0</v>
      </c>
      <c r="AE808" s="81">
        <f t="shared" si="260"/>
        <v>0</v>
      </c>
      <c r="AF808" s="539"/>
      <c r="AG808" s="104">
        <f t="shared" si="261"/>
        <v>1</v>
      </c>
      <c r="AH808" s="7">
        <f t="shared" si="262"/>
        <v>0</v>
      </c>
      <c r="AI808" s="6">
        <f t="shared" si="263"/>
        <v>0</v>
      </c>
      <c r="AJ808" s="73">
        <f t="shared" si="264"/>
        <v>0</v>
      </c>
      <c r="AK808" s="539"/>
      <c r="AL808" s="748"/>
      <c r="AM808" s="748"/>
    </row>
    <row r="809" spans="2:39" x14ac:dyDescent="0.2">
      <c r="B809" s="101" t="str">
        <f t="shared" si="249"/>
        <v/>
      </c>
      <c r="C809" s="168">
        <f>IF(ISERROR(Personalplanung!F81/Monatsplanung!$E81*Monatsplanung!$N81),0,Personalplanung!F81/Monatsplanung!$E81*Monatsplanung!$N81)</f>
        <v>0</v>
      </c>
      <c r="D809" s="168">
        <f t="shared" si="250"/>
        <v>0</v>
      </c>
      <c r="E809" s="168">
        <f>IF(ISERROR(Personalplanung!H81/Monatsplanung!$E81*Monatsplanung!$N81),0,Personalplanung!H81/Monatsplanung!$E81*Monatsplanung!$N81)</f>
        <v>0</v>
      </c>
      <c r="F809" s="168">
        <f t="shared" si="251"/>
        <v>0</v>
      </c>
      <c r="G809" s="168">
        <f t="shared" si="252"/>
        <v>27.700831024930746</v>
      </c>
      <c r="H809" s="168">
        <f t="shared" si="253"/>
        <v>0</v>
      </c>
      <c r="I809" s="168">
        <f t="shared" si="254"/>
        <v>30</v>
      </c>
      <c r="J809" s="739"/>
      <c r="K809" s="168">
        <f>IF(J809&lt;&gt;"",J809,IF(ISERROR(Personalplanung!AB81/Monatsplanung!$E81*Monatsplanung!$N81),0,Personalplanung!AB81/Monatsplanung!$E81*Monatsplanung!$N81))</f>
        <v>0</v>
      </c>
      <c r="L809" s="740"/>
      <c r="M809" s="739"/>
      <c r="N809" s="168">
        <f>IF(M809&lt;&gt;"",M809,IF(ISERROR(Personalplanung!AC81/Monatsplanung!$E81*Monatsplanung!$N81),0,Personalplanung!AC81/Monatsplanung!$E81*Monatsplanung!$N81))</f>
        <v>0</v>
      </c>
      <c r="O809" s="740"/>
      <c r="P809" s="739"/>
      <c r="Q809" s="168">
        <f>IF(P809&lt;&gt;"",P809,IF(ISERROR(Personalplanung!AD81/Monatsplanung!$E81*Monatsplanung!$N81),0,Personalplanung!AD81/Monatsplanung!$E81*Monatsplanung!$N81))</f>
        <v>0</v>
      </c>
      <c r="R809" s="740"/>
      <c r="S809" s="739"/>
      <c r="T809" s="168">
        <f>IF(S809&lt;&gt;"",S809,IF(ISERROR(Personalplanung!AE81/Monatsplanung!$E81*Monatsplanung!$N81),0,Personalplanung!AE81/Monatsplanung!$E81*Monatsplanung!$N81))</f>
        <v>0</v>
      </c>
      <c r="U809" s="740"/>
      <c r="V809" s="168">
        <f t="shared" si="255"/>
        <v>0</v>
      </c>
      <c r="W809" s="168">
        <f>IF(ISERROR(Personalplanung!P81/Monatsplanung!$E81*Monatsplanung!$N81),0,Personalplanung!P81/Monatsplanung!$E81*Monatsplanung!$N81)</f>
        <v>0</v>
      </c>
      <c r="X809" s="168">
        <f>IF(ISERROR(Personalplanung!Q81/Monatsplanung!$E81*Monatsplanung!$N81),0,Personalplanung!Q81/Monatsplanung!$E81*Monatsplanung!$N81)</f>
        <v>0</v>
      </c>
      <c r="Y809" s="168">
        <f>IF(ISERROR(Personalplanung!R81/T1329*Stundencontrolling!T809),0,Personalplanung!R81/T1329*Stundencontrolling!T809)</f>
        <v>0</v>
      </c>
      <c r="Z809" s="168">
        <f>IF(ISERROR(Personalplanung!S81/Monatsplanung!$E81*Monatsplanung!$N81),0,Personalplanung!S81/Monatsplanung!$E81*Monatsplanung!$N81)</f>
        <v>0</v>
      </c>
      <c r="AA809" s="80">
        <f t="shared" si="256"/>
        <v>0</v>
      </c>
      <c r="AB809" s="102">
        <f t="shared" si="257"/>
        <v>0.1</v>
      </c>
      <c r="AC809" s="103">
        <f t="shared" si="258"/>
        <v>0</v>
      </c>
      <c r="AD809" s="103">
        <f t="shared" si="259"/>
        <v>0</v>
      </c>
      <c r="AE809" s="81">
        <f t="shared" si="260"/>
        <v>0</v>
      </c>
      <c r="AF809" s="539"/>
      <c r="AG809" s="104">
        <f t="shared" si="261"/>
        <v>1</v>
      </c>
      <c r="AH809" s="7">
        <f t="shared" si="262"/>
        <v>0</v>
      </c>
      <c r="AI809" s="6">
        <f t="shared" si="263"/>
        <v>0</v>
      </c>
      <c r="AJ809" s="73">
        <f t="shared" si="264"/>
        <v>0</v>
      </c>
      <c r="AK809" s="539"/>
      <c r="AL809" s="748"/>
      <c r="AM809" s="748"/>
    </row>
    <row r="810" spans="2:39" x14ac:dyDescent="0.2">
      <c r="B810" s="101" t="str">
        <f t="shared" si="249"/>
        <v/>
      </c>
      <c r="C810" s="168">
        <f>IF(ISERROR(Personalplanung!F82/Monatsplanung!$E82*Monatsplanung!$N82),0,Personalplanung!F82/Monatsplanung!$E82*Monatsplanung!$N82)</f>
        <v>0</v>
      </c>
      <c r="D810" s="168">
        <f t="shared" si="250"/>
        <v>0</v>
      </c>
      <c r="E810" s="168">
        <f>IF(ISERROR(Personalplanung!H82/Monatsplanung!$E82*Monatsplanung!$N82),0,Personalplanung!H82/Monatsplanung!$E82*Monatsplanung!$N82)</f>
        <v>0</v>
      </c>
      <c r="F810" s="168">
        <f t="shared" si="251"/>
        <v>0</v>
      </c>
      <c r="G810" s="168">
        <f t="shared" si="252"/>
        <v>27.700831024930746</v>
      </c>
      <c r="H810" s="168">
        <f t="shared" si="253"/>
        <v>0</v>
      </c>
      <c r="I810" s="168">
        <f t="shared" si="254"/>
        <v>30</v>
      </c>
      <c r="J810" s="739"/>
      <c r="K810" s="168">
        <f>IF(J810&lt;&gt;"",J810,IF(ISERROR(Personalplanung!AB82/Monatsplanung!$E82*Monatsplanung!$N82),0,Personalplanung!AB82/Monatsplanung!$E82*Monatsplanung!$N82))</f>
        <v>0</v>
      </c>
      <c r="L810" s="740"/>
      <c r="M810" s="739"/>
      <c r="N810" s="168">
        <f>IF(M810&lt;&gt;"",M810,IF(ISERROR(Personalplanung!AC82/Monatsplanung!$E82*Monatsplanung!$N82),0,Personalplanung!AC82/Monatsplanung!$E82*Monatsplanung!$N82))</f>
        <v>0</v>
      </c>
      <c r="O810" s="740"/>
      <c r="P810" s="739"/>
      <c r="Q810" s="168">
        <f>IF(P810&lt;&gt;"",P810,IF(ISERROR(Personalplanung!AD82/Monatsplanung!$E82*Monatsplanung!$N82),0,Personalplanung!AD82/Monatsplanung!$E82*Monatsplanung!$N82))</f>
        <v>0</v>
      </c>
      <c r="R810" s="740"/>
      <c r="S810" s="739"/>
      <c r="T810" s="168">
        <f>IF(S810&lt;&gt;"",S810,IF(ISERROR(Personalplanung!AE82/Monatsplanung!$E82*Monatsplanung!$N82),0,Personalplanung!AE82/Monatsplanung!$E82*Monatsplanung!$N82))</f>
        <v>0</v>
      </c>
      <c r="U810" s="740"/>
      <c r="V810" s="168">
        <f t="shared" si="255"/>
        <v>0</v>
      </c>
      <c r="W810" s="168">
        <f>IF(ISERROR(Personalplanung!P82/Monatsplanung!$E82*Monatsplanung!$N82),0,Personalplanung!P82/Monatsplanung!$E82*Monatsplanung!$N82)</f>
        <v>0</v>
      </c>
      <c r="X810" s="168">
        <f>IF(ISERROR(Personalplanung!Q82/Monatsplanung!$E82*Monatsplanung!$N82),0,Personalplanung!Q82/Monatsplanung!$E82*Monatsplanung!$N82)</f>
        <v>0</v>
      </c>
      <c r="Y810" s="168">
        <f>IF(ISERROR(Personalplanung!R82/T1330*Stundencontrolling!T810),0,Personalplanung!R82/T1330*Stundencontrolling!T810)</f>
        <v>0</v>
      </c>
      <c r="Z810" s="168">
        <f>IF(ISERROR(Personalplanung!S82/Monatsplanung!$E82*Monatsplanung!$N82),0,Personalplanung!S82/Monatsplanung!$E82*Monatsplanung!$N82)</f>
        <v>0</v>
      </c>
      <c r="AA810" s="80">
        <f t="shared" si="256"/>
        <v>0</v>
      </c>
      <c r="AB810" s="102">
        <f t="shared" si="257"/>
        <v>0.1</v>
      </c>
      <c r="AC810" s="103">
        <f t="shared" si="258"/>
        <v>0</v>
      </c>
      <c r="AD810" s="103">
        <f t="shared" si="259"/>
        <v>0</v>
      </c>
      <c r="AE810" s="81">
        <f t="shared" si="260"/>
        <v>0</v>
      </c>
      <c r="AF810" s="539"/>
      <c r="AG810" s="104">
        <f t="shared" si="261"/>
        <v>1</v>
      </c>
      <c r="AH810" s="7">
        <f t="shared" si="262"/>
        <v>0</v>
      </c>
      <c r="AI810" s="6">
        <f t="shared" si="263"/>
        <v>0</v>
      </c>
      <c r="AJ810" s="73">
        <f t="shared" si="264"/>
        <v>0</v>
      </c>
      <c r="AK810" s="539"/>
      <c r="AL810" s="748"/>
      <c r="AM810" s="748"/>
    </row>
    <row r="811" spans="2:39" x14ac:dyDescent="0.2">
      <c r="B811" s="101" t="str">
        <f t="shared" si="249"/>
        <v/>
      </c>
      <c r="C811" s="168">
        <f>IF(ISERROR(Personalplanung!F83/Monatsplanung!$E83*Monatsplanung!$N83),0,Personalplanung!F83/Monatsplanung!$E83*Monatsplanung!$N83)</f>
        <v>0</v>
      </c>
      <c r="D811" s="168">
        <f t="shared" si="250"/>
        <v>0</v>
      </c>
      <c r="E811" s="168">
        <f>IF(ISERROR(Personalplanung!H83/Monatsplanung!$E83*Monatsplanung!$N83),0,Personalplanung!H83/Monatsplanung!$E83*Monatsplanung!$N83)</f>
        <v>0</v>
      </c>
      <c r="F811" s="168">
        <f t="shared" si="251"/>
        <v>0</v>
      </c>
      <c r="G811" s="168">
        <f t="shared" si="252"/>
        <v>27.700831024930746</v>
      </c>
      <c r="H811" s="168">
        <f t="shared" si="253"/>
        <v>0</v>
      </c>
      <c r="I811" s="168">
        <f t="shared" si="254"/>
        <v>30</v>
      </c>
      <c r="J811" s="739"/>
      <c r="K811" s="168">
        <f>IF(J811&lt;&gt;"",J811,IF(ISERROR(Personalplanung!AB83/Monatsplanung!$E83*Monatsplanung!$N83),0,Personalplanung!AB83/Monatsplanung!$E83*Monatsplanung!$N83))</f>
        <v>0</v>
      </c>
      <c r="L811" s="740"/>
      <c r="M811" s="739"/>
      <c r="N811" s="168">
        <f>IF(M811&lt;&gt;"",M811,IF(ISERROR(Personalplanung!AC83/Monatsplanung!$E83*Monatsplanung!$N83),0,Personalplanung!AC83/Monatsplanung!$E83*Monatsplanung!$N83))</f>
        <v>0</v>
      </c>
      <c r="O811" s="740"/>
      <c r="P811" s="739"/>
      <c r="Q811" s="168">
        <f>IF(P811&lt;&gt;"",P811,IF(ISERROR(Personalplanung!AD83/Monatsplanung!$E83*Monatsplanung!$N83),0,Personalplanung!AD83/Monatsplanung!$E83*Monatsplanung!$N83))</f>
        <v>0</v>
      </c>
      <c r="R811" s="740"/>
      <c r="S811" s="739"/>
      <c r="T811" s="168">
        <f>IF(S811&lt;&gt;"",S811,IF(ISERROR(Personalplanung!AE83/Monatsplanung!$E83*Monatsplanung!$N83),0,Personalplanung!AE83/Monatsplanung!$E83*Monatsplanung!$N83))</f>
        <v>0</v>
      </c>
      <c r="U811" s="740"/>
      <c r="V811" s="168">
        <f t="shared" si="255"/>
        <v>0</v>
      </c>
      <c r="W811" s="168">
        <f>IF(ISERROR(Personalplanung!P83/Monatsplanung!$E83*Monatsplanung!$N83),0,Personalplanung!P83/Monatsplanung!$E83*Monatsplanung!$N83)</f>
        <v>0</v>
      </c>
      <c r="X811" s="168">
        <f>IF(ISERROR(Personalplanung!Q83/Monatsplanung!$E83*Monatsplanung!$N83),0,Personalplanung!Q83/Monatsplanung!$E83*Monatsplanung!$N83)</f>
        <v>0</v>
      </c>
      <c r="Y811" s="168">
        <f>IF(ISERROR(Personalplanung!R83/T1331*Stundencontrolling!T811),0,Personalplanung!R83/T1331*Stundencontrolling!T811)</f>
        <v>0</v>
      </c>
      <c r="Z811" s="168">
        <f>IF(ISERROR(Personalplanung!S83/Monatsplanung!$E83*Monatsplanung!$N83),0,Personalplanung!S83/Monatsplanung!$E83*Monatsplanung!$N83)</f>
        <v>0</v>
      </c>
      <c r="AA811" s="80">
        <f t="shared" si="256"/>
        <v>0</v>
      </c>
      <c r="AB811" s="102">
        <f t="shared" si="257"/>
        <v>0.1</v>
      </c>
      <c r="AC811" s="103">
        <f t="shared" si="258"/>
        <v>0</v>
      </c>
      <c r="AD811" s="103">
        <f t="shared" si="259"/>
        <v>0</v>
      </c>
      <c r="AE811" s="81">
        <f t="shared" si="260"/>
        <v>0</v>
      </c>
      <c r="AF811" s="539"/>
      <c r="AG811" s="104">
        <f t="shared" si="261"/>
        <v>1</v>
      </c>
      <c r="AH811" s="7">
        <f t="shared" si="262"/>
        <v>0</v>
      </c>
      <c r="AI811" s="6">
        <f t="shared" si="263"/>
        <v>0</v>
      </c>
      <c r="AJ811" s="73">
        <f t="shared" si="264"/>
        <v>0</v>
      </c>
      <c r="AK811" s="539"/>
      <c r="AL811" s="748"/>
      <c r="AM811" s="748"/>
    </row>
    <row r="812" spans="2:39" x14ac:dyDescent="0.2">
      <c r="B812" s="101" t="str">
        <f t="shared" si="249"/>
        <v/>
      </c>
      <c r="C812" s="168">
        <f>IF(ISERROR(Personalplanung!F84/Monatsplanung!$E84*Monatsplanung!$N84),0,Personalplanung!F84/Monatsplanung!$E84*Monatsplanung!$N84)</f>
        <v>0</v>
      </c>
      <c r="D812" s="168">
        <f t="shared" si="250"/>
        <v>0</v>
      </c>
      <c r="E812" s="168">
        <f>IF(ISERROR(Personalplanung!H84/Monatsplanung!$E84*Monatsplanung!$N84),0,Personalplanung!H84/Monatsplanung!$E84*Monatsplanung!$N84)</f>
        <v>0</v>
      </c>
      <c r="F812" s="168">
        <f t="shared" si="251"/>
        <v>0</v>
      </c>
      <c r="G812" s="168">
        <f t="shared" si="252"/>
        <v>27.700831024930746</v>
      </c>
      <c r="H812" s="168">
        <f t="shared" si="253"/>
        <v>0</v>
      </c>
      <c r="I812" s="168">
        <f t="shared" si="254"/>
        <v>30</v>
      </c>
      <c r="J812" s="739"/>
      <c r="K812" s="168">
        <f>IF(J812&lt;&gt;"",J812,IF(ISERROR(Personalplanung!AB84/Monatsplanung!$E84*Monatsplanung!$N84),0,Personalplanung!AB84/Monatsplanung!$E84*Monatsplanung!$N84))</f>
        <v>0</v>
      </c>
      <c r="L812" s="740"/>
      <c r="M812" s="739"/>
      <c r="N812" s="168">
        <f>IF(M812&lt;&gt;"",M812,IF(ISERROR(Personalplanung!AC84/Monatsplanung!$E84*Monatsplanung!$N84),0,Personalplanung!AC84/Monatsplanung!$E84*Monatsplanung!$N84))</f>
        <v>0</v>
      </c>
      <c r="O812" s="740"/>
      <c r="P812" s="739"/>
      <c r="Q812" s="168">
        <f>IF(P812&lt;&gt;"",P812,IF(ISERROR(Personalplanung!AD84/Monatsplanung!$E84*Monatsplanung!$N84),0,Personalplanung!AD84/Monatsplanung!$E84*Monatsplanung!$N84))</f>
        <v>0</v>
      </c>
      <c r="R812" s="740"/>
      <c r="S812" s="739"/>
      <c r="T812" s="168">
        <f>IF(S812&lt;&gt;"",S812,IF(ISERROR(Personalplanung!AE84/Monatsplanung!$E84*Monatsplanung!$N84),0,Personalplanung!AE84/Monatsplanung!$E84*Monatsplanung!$N84))</f>
        <v>0</v>
      </c>
      <c r="U812" s="740"/>
      <c r="V812" s="168">
        <f t="shared" si="255"/>
        <v>0</v>
      </c>
      <c r="W812" s="168">
        <f>IF(ISERROR(Personalplanung!P84/Monatsplanung!$E84*Monatsplanung!$N84),0,Personalplanung!P84/Monatsplanung!$E84*Monatsplanung!$N84)</f>
        <v>0</v>
      </c>
      <c r="X812" s="168">
        <f>IF(ISERROR(Personalplanung!Q84/Monatsplanung!$E84*Monatsplanung!$N84),0,Personalplanung!Q84/Monatsplanung!$E84*Monatsplanung!$N84)</f>
        <v>0</v>
      </c>
      <c r="Y812" s="168">
        <f>IF(ISERROR(Personalplanung!R84/T1332*Stundencontrolling!T812),0,Personalplanung!R84/T1332*Stundencontrolling!T812)</f>
        <v>0</v>
      </c>
      <c r="Z812" s="168">
        <f>IF(ISERROR(Personalplanung!S84/Monatsplanung!$E84*Monatsplanung!$N84),0,Personalplanung!S84/Monatsplanung!$E84*Monatsplanung!$N84)</f>
        <v>0</v>
      </c>
      <c r="AA812" s="80">
        <f t="shared" si="256"/>
        <v>0</v>
      </c>
      <c r="AB812" s="102">
        <f t="shared" si="257"/>
        <v>0.1</v>
      </c>
      <c r="AC812" s="103">
        <f t="shared" si="258"/>
        <v>0</v>
      </c>
      <c r="AD812" s="103">
        <f t="shared" si="259"/>
        <v>0</v>
      </c>
      <c r="AE812" s="81">
        <f t="shared" si="260"/>
        <v>0</v>
      </c>
      <c r="AF812" s="539"/>
      <c r="AG812" s="104">
        <f t="shared" si="261"/>
        <v>1</v>
      </c>
      <c r="AH812" s="7">
        <f t="shared" si="262"/>
        <v>0</v>
      </c>
      <c r="AI812" s="6">
        <f t="shared" si="263"/>
        <v>0</v>
      </c>
      <c r="AJ812" s="73">
        <f t="shared" si="264"/>
        <v>0</v>
      </c>
      <c r="AK812" s="539"/>
      <c r="AL812" s="748"/>
      <c r="AM812" s="748"/>
    </row>
    <row r="813" spans="2:39" x14ac:dyDescent="0.2">
      <c r="B813" s="101" t="str">
        <f t="shared" si="249"/>
        <v/>
      </c>
      <c r="C813" s="168">
        <f>IF(ISERROR(Personalplanung!F85/Monatsplanung!$E85*Monatsplanung!$N85),0,Personalplanung!F85/Monatsplanung!$E85*Monatsplanung!$N85)</f>
        <v>0</v>
      </c>
      <c r="D813" s="168">
        <f t="shared" si="250"/>
        <v>0</v>
      </c>
      <c r="E813" s="168">
        <f>IF(ISERROR(Personalplanung!H85/Monatsplanung!$E85*Monatsplanung!$N85),0,Personalplanung!H85/Monatsplanung!$E85*Monatsplanung!$N85)</f>
        <v>0</v>
      </c>
      <c r="F813" s="168">
        <f t="shared" si="251"/>
        <v>0</v>
      </c>
      <c r="G813" s="168">
        <f t="shared" si="252"/>
        <v>27.700831024930746</v>
      </c>
      <c r="H813" s="168">
        <f t="shared" si="253"/>
        <v>0</v>
      </c>
      <c r="I813" s="168">
        <f t="shared" si="254"/>
        <v>30</v>
      </c>
      <c r="J813" s="739"/>
      <c r="K813" s="168">
        <f>IF(J813&lt;&gt;"",J813,IF(ISERROR(Personalplanung!AB85/Monatsplanung!$E85*Monatsplanung!$N85),0,Personalplanung!AB85/Monatsplanung!$E85*Monatsplanung!$N85))</f>
        <v>0</v>
      </c>
      <c r="L813" s="740"/>
      <c r="M813" s="739"/>
      <c r="N813" s="168">
        <f>IF(M813&lt;&gt;"",M813,IF(ISERROR(Personalplanung!AC85/Monatsplanung!$E85*Monatsplanung!$N85),0,Personalplanung!AC85/Monatsplanung!$E85*Monatsplanung!$N85))</f>
        <v>0</v>
      </c>
      <c r="O813" s="740"/>
      <c r="P813" s="739"/>
      <c r="Q813" s="168">
        <f>IF(P813&lt;&gt;"",P813,IF(ISERROR(Personalplanung!AD85/Monatsplanung!$E85*Monatsplanung!$N85),0,Personalplanung!AD85/Monatsplanung!$E85*Monatsplanung!$N85))</f>
        <v>0</v>
      </c>
      <c r="R813" s="740"/>
      <c r="S813" s="739"/>
      <c r="T813" s="168">
        <f>IF(S813&lt;&gt;"",S813,IF(ISERROR(Personalplanung!AE85/Monatsplanung!$E85*Monatsplanung!$N85),0,Personalplanung!AE85/Monatsplanung!$E85*Monatsplanung!$N85))</f>
        <v>0</v>
      </c>
      <c r="U813" s="740"/>
      <c r="V813" s="168">
        <f t="shared" si="255"/>
        <v>0</v>
      </c>
      <c r="W813" s="168">
        <f>IF(ISERROR(Personalplanung!P85/Monatsplanung!$E85*Monatsplanung!$N85),0,Personalplanung!P85/Monatsplanung!$E85*Monatsplanung!$N85)</f>
        <v>0</v>
      </c>
      <c r="X813" s="168">
        <f>IF(ISERROR(Personalplanung!Q85/Monatsplanung!$E85*Monatsplanung!$N85),0,Personalplanung!Q85/Monatsplanung!$E85*Monatsplanung!$N85)</f>
        <v>0</v>
      </c>
      <c r="Y813" s="168">
        <f>IF(ISERROR(Personalplanung!R85/T1333*Stundencontrolling!T813),0,Personalplanung!R85/T1333*Stundencontrolling!T813)</f>
        <v>0</v>
      </c>
      <c r="Z813" s="168">
        <f>IF(ISERROR(Personalplanung!S85/Monatsplanung!$E85*Monatsplanung!$N85),0,Personalplanung!S85/Monatsplanung!$E85*Monatsplanung!$N85)</f>
        <v>0</v>
      </c>
      <c r="AA813" s="80">
        <f t="shared" si="256"/>
        <v>0</v>
      </c>
      <c r="AB813" s="102">
        <f t="shared" si="257"/>
        <v>0.1</v>
      </c>
      <c r="AC813" s="103">
        <f t="shared" si="258"/>
        <v>0</v>
      </c>
      <c r="AD813" s="103">
        <f t="shared" si="259"/>
        <v>0</v>
      </c>
      <c r="AE813" s="81">
        <f t="shared" si="260"/>
        <v>0</v>
      </c>
      <c r="AF813" s="539"/>
      <c r="AG813" s="104">
        <f t="shared" si="261"/>
        <v>1</v>
      </c>
      <c r="AH813" s="7">
        <f t="shared" si="262"/>
        <v>0</v>
      </c>
      <c r="AI813" s="6">
        <f t="shared" si="263"/>
        <v>0</v>
      </c>
      <c r="AJ813" s="73">
        <f t="shared" si="264"/>
        <v>0</v>
      </c>
      <c r="AK813" s="539"/>
      <c r="AL813" s="748"/>
      <c r="AM813" s="748"/>
    </row>
    <row r="814" spans="2:39" x14ac:dyDescent="0.2">
      <c r="B814" s="101" t="str">
        <f t="shared" si="249"/>
        <v/>
      </c>
      <c r="C814" s="168">
        <f>IF(ISERROR(Personalplanung!F86/Monatsplanung!$E86*Monatsplanung!$N86),0,Personalplanung!F86/Monatsplanung!$E86*Monatsplanung!$N86)</f>
        <v>0</v>
      </c>
      <c r="D814" s="168">
        <f t="shared" si="250"/>
        <v>0</v>
      </c>
      <c r="E814" s="168">
        <f>IF(ISERROR(Personalplanung!H86/Monatsplanung!$E86*Monatsplanung!$N86),0,Personalplanung!H86/Monatsplanung!$E86*Monatsplanung!$N86)</f>
        <v>0</v>
      </c>
      <c r="F814" s="168">
        <f t="shared" si="251"/>
        <v>0</v>
      </c>
      <c r="G814" s="168">
        <f t="shared" si="252"/>
        <v>27.700831024930746</v>
      </c>
      <c r="H814" s="168">
        <f t="shared" si="253"/>
        <v>0</v>
      </c>
      <c r="I814" s="168">
        <f t="shared" si="254"/>
        <v>30</v>
      </c>
      <c r="J814" s="739"/>
      <c r="K814" s="168">
        <f>IF(J814&lt;&gt;"",J814,IF(ISERROR(Personalplanung!AB86/Monatsplanung!$E86*Monatsplanung!$N86),0,Personalplanung!AB86/Monatsplanung!$E86*Monatsplanung!$N86))</f>
        <v>0</v>
      </c>
      <c r="L814" s="740"/>
      <c r="M814" s="739"/>
      <c r="N814" s="168">
        <f>IF(M814&lt;&gt;"",M814,IF(ISERROR(Personalplanung!AC86/Monatsplanung!$E86*Monatsplanung!$N86),0,Personalplanung!AC86/Monatsplanung!$E86*Monatsplanung!$N86))</f>
        <v>0</v>
      </c>
      <c r="O814" s="740"/>
      <c r="P814" s="739"/>
      <c r="Q814" s="168">
        <f>IF(P814&lt;&gt;"",P814,IF(ISERROR(Personalplanung!AD86/Monatsplanung!$E86*Monatsplanung!$N86),0,Personalplanung!AD86/Monatsplanung!$E86*Monatsplanung!$N86))</f>
        <v>0</v>
      </c>
      <c r="R814" s="740"/>
      <c r="S814" s="739"/>
      <c r="T814" s="168">
        <f>IF(S814&lt;&gt;"",S814,IF(ISERROR(Personalplanung!AE86/Monatsplanung!$E86*Monatsplanung!$N86),0,Personalplanung!AE86/Monatsplanung!$E86*Monatsplanung!$N86))</f>
        <v>0</v>
      </c>
      <c r="U814" s="740"/>
      <c r="V814" s="168">
        <f t="shared" si="255"/>
        <v>0</v>
      </c>
      <c r="W814" s="168">
        <f>IF(ISERROR(Personalplanung!P86/Monatsplanung!$E86*Monatsplanung!$N86),0,Personalplanung!P86/Monatsplanung!$E86*Monatsplanung!$N86)</f>
        <v>0</v>
      </c>
      <c r="X814" s="168">
        <f>IF(ISERROR(Personalplanung!Q86/Monatsplanung!$E86*Monatsplanung!$N86),0,Personalplanung!Q86/Monatsplanung!$E86*Monatsplanung!$N86)</f>
        <v>0</v>
      </c>
      <c r="Y814" s="168">
        <f>IF(ISERROR(Personalplanung!R86/T1334*Stundencontrolling!T814),0,Personalplanung!R86/T1334*Stundencontrolling!T814)</f>
        <v>0</v>
      </c>
      <c r="Z814" s="168">
        <f>IF(ISERROR(Personalplanung!S86/Monatsplanung!$E86*Monatsplanung!$N86),0,Personalplanung!S86/Monatsplanung!$E86*Monatsplanung!$N86)</f>
        <v>0</v>
      </c>
      <c r="AA814" s="80">
        <f t="shared" si="256"/>
        <v>0</v>
      </c>
      <c r="AB814" s="102">
        <f t="shared" si="257"/>
        <v>0.1</v>
      </c>
      <c r="AC814" s="103">
        <f t="shared" si="258"/>
        <v>0</v>
      </c>
      <c r="AD814" s="103">
        <f t="shared" si="259"/>
        <v>0</v>
      </c>
      <c r="AE814" s="81">
        <f t="shared" si="260"/>
        <v>0</v>
      </c>
      <c r="AF814" s="539"/>
      <c r="AG814" s="104">
        <f t="shared" si="261"/>
        <v>1</v>
      </c>
      <c r="AH814" s="7">
        <f t="shared" si="262"/>
        <v>0</v>
      </c>
      <c r="AI814" s="6">
        <f t="shared" si="263"/>
        <v>0</v>
      </c>
      <c r="AJ814" s="73">
        <f t="shared" si="264"/>
        <v>0</v>
      </c>
      <c r="AK814" s="539"/>
      <c r="AL814" s="748"/>
      <c r="AM814" s="748"/>
    </row>
    <row r="815" spans="2:39" x14ac:dyDescent="0.2">
      <c r="B815" s="101" t="str">
        <f t="shared" si="249"/>
        <v/>
      </c>
      <c r="C815" s="168">
        <f>IF(ISERROR(Personalplanung!F87/Monatsplanung!$E87*Monatsplanung!$N87),0,Personalplanung!F87/Monatsplanung!$E87*Monatsplanung!$N87)</f>
        <v>0</v>
      </c>
      <c r="D815" s="168">
        <f t="shared" si="250"/>
        <v>0</v>
      </c>
      <c r="E815" s="168">
        <f>IF(ISERROR(Personalplanung!H87/Monatsplanung!$E87*Monatsplanung!$N87),0,Personalplanung!H87/Monatsplanung!$E87*Monatsplanung!$N87)</f>
        <v>0</v>
      </c>
      <c r="F815" s="168">
        <f t="shared" si="251"/>
        <v>0</v>
      </c>
      <c r="G815" s="168">
        <f t="shared" si="252"/>
        <v>27.700831024930746</v>
      </c>
      <c r="H815" s="168">
        <f t="shared" si="253"/>
        <v>0</v>
      </c>
      <c r="I815" s="168">
        <f t="shared" si="254"/>
        <v>30</v>
      </c>
      <c r="J815" s="739"/>
      <c r="K815" s="168">
        <f>IF(J815&lt;&gt;"",J815,IF(ISERROR(Personalplanung!AB87/Monatsplanung!$E87*Monatsplanung!$N87),0,Personalplanung!AB87/Monatsplanung!$E87*Monatsplanung!$N87))</f>
        <v>0</v>
      </c>
      <c r="L815" s="740"/>
      <c r="M815" s="739"/>
      <c r="N815" s="168">
        <f>IF(M815&lt;&gt;"",M815,IF(ISERROR(Personalplanung!AC87/Monatsplanung!$E87*Monatsplanung!$N87),0,Personalplanung!AC87/Monatsplanung!$E87*Monatsplanung!$N87))</f>
        <v>0</v>
      </c>
      <c r="O815" s="740"/>
      <c r="P815" s="739"/>
      <c r="Q815" s="168">
        <f>IF(P815&lt;&gt;"",P815,IF(ISERROR(Personalplanung!AD87/Monatsplanung!$E87*Monatsplanung!$N87),0,Personalplanung!AD87/Monatsplanung!$E87*Monatsplanung!$N87))</f>
        <v>0</v>
      </c>
      <c r="R815" s="740"/>
      <c r="S815" s="739"/>
      <c r="T815" s="168">
        <f>IF(S815&lt;&gt;"",S815,IF(ISERROR(Personalplanung!AE87/Monatsplanung!$E87*Monatsplanung!$N87),0,Personalplanung!AE87/Monatsplanung!$E87*Monatsplanung!$N87))</f>
        <v>0</v>
      </c>
      <c r="U815" s="740"/>
      <c r="V815" s="168">
        <f t="shared" si="255"/>
        <v>0</v>
      </c>
      <c r="W815" s="168">
        <f>IF(ISERROR(Personalplanung!P87/Monatsplanung!$E87*Monatsplanung!$N87),0,Personalplanung!P87/Monatsplanung!$E87*Monatsplanung!$N87)</f>
        <v>0</v>
      </c>
      <c r="X815" s="168">
        <f>IF(ISERROR(Personalplanung!Q87/Monatsplanung!$E87*Monatsplanung!$N87),0,Personalplanung!Q87/Monatsplanung!$E87*Monatsplanung!$N87)</f>
        <v>0</v>
      </c>
      <c r="Y815" s="168">
        <f>IF(ISERROR(Personalplanung!R87/T1335*Stundencontrolling!T815),0,Personalplanung!R87/T1335*Stundencontrolling!T815)</f>
        <v>0</v>
      </c>
      <c r="Z815" s="168">
        <f>IF(ISERROR(Personalplanung!S87/Monatsplanung!$E87*Monatsplanung!$N87),0,Personalplanung!S87/Monatsplanung!$E87*Monatsplanung!$N87)</f>
        <v>0</v>
      </c>
      <c r="AA815" s="80">
        <f t="shared" si="256"/>
        <v>0</v>
      </c>
      <c r="AB815" s="102">
        <f t="shared" si="257"/>
        <v>0.1</v>
      </c>
      <c r="AC815" s="103">
        <f t="shared" si="258"/>
        <v>0</v>
      </c>
      <c r="AD815" s="103">
        <f t="shared" si="259"/>
        <v>0</v>
      </c>
      <c r="AE815" s="81">
        <f t="shared" si="260"/>
        <v>0</v>
      </c>
      <c r="AF815" s="539"/>
      <c r="AG815" s="104">
        <f t="shared" si="261"/>
        <v>1</v>
      </c>
      <c r="AH815" s="7">
        <f t="shared" si="262"/>
        <v>0</v>
      </c>
      <c r="AI815" s="6">
        <f t="shared" si="263"/>
        <v>0</v>
      </c>
      <c r="AJ815" s="73">
        <f t="shared" si="264"/>
        <v>0</v>
      </c>
      <c r="AK815" s="539"/>
      <c r="AL815" s="748"/>
      <c r="AM815" s="748"/>
    </row>
    <row r="816" spans="2:39" x14ac:dyDescent="0.2">
      <c r="B816" s="101" t="str">
        <f t="shared" si="249"/>
        <v/>
      </c>
      <c r="C816" s="168">
        <f>IF(ISERROR(Personalplanung!F88/Monatsplanung!$E88*Monatsplanung!$N88),0,Personalplanung!F88/Monatsplanung!$E88*Monatsplanung!$N88)</f>
        <v>0</v>
      </c>
      <c r="D816" s="168">
        <f t="shared" si="250"/>
        <v>0</v>
      </c>
      <c r="E816" s="168">
        <f>IF(ISERROR(Personalplanung!H88/Monatsplanung!$E88*Monatsplanung!$N88),0,Personalplanung!H88/Monatsplanung!$E88*Monatsplanung!$N88)</f>
        <v>0</v>
      </c>
      <c r="F816" s="168">
        <f t="shared" si="251"/>
        <v>0</v>
      </c>
      <c r="G816" s="168">
        <f t="shared" si="252"/>
        <v>27.700831024930746</v>
      </c>
      <c r="H816" s="168">
        <f t="shared" si="253"/>
        <v>0</v>
      </c>
      <c r="I816" s="168">
        <f t="shared" si="254"/>
        <v>30</v>
      </c>
      <c r="J816" s="739"/>
      <c r="K816" s="168">
        <f>IF(J816&lt;&gt;"",J816,IF(ISERROR(Personalplanung!AB88/Monatsplanung!$E88*Monatsplanung!$N88),0,Personalplanung!AB88/Monatsplanung!$E88*Monatsplanung!$N88))</f>
        <v>0</v>
      </c>
      <c r="L816" s="740"/>
      <c r="M816" s="739"/>
      <c r="N816" s="168">
        <f>IF(M816&lt;&gt;"",M816,IF(ISERROR(Personalplanung!AC88/Monatsplanung!$E88*Monatsplanung!$N88),0,Personalplanung!AC88/Monatsplanung!$E88*Monatsplanung!$N88))</f>
        <v>0</v>
      </c>
      <c r="O816" s="740"/>
      <c r="P816" s="739"/>
      <c r="Q816" s="168">
        <f>IF(P816&lt;&gt;"",P816,IF(ISERROR(Personalplanung!AD88/Monatsplanung!$E88*Monatsplanung!$N88),0,Personalplanung!AD88/Monatsplanung!$E88*Monatsplanung!$N88))</f>
        <v>0</v>
      </c>
      <c r="R816" s="740"/>
      <c r="S816" s="739"/>
      <c r="T816" s="168">
        <f>IF(S816&lt;&gt;"",S816,IF(ISERROR(Personalplanung!AE88/Monatsplanung!$E88*Monatsplanung!$N88),0,Personalplanung!AE88/Monatsplanung!$E88*Monatsplanung!$N88))</f>
        <v>0</v>
      </c>
      <c r="U816" s="740"/>
      <c r="V816" s="168">
        <f t="shared" si="255"/>
        <v>0</v>
      </c>
      <c r="W816" s="168">
        <f>IF(ISERROR(Personalplanung!P88/Monatsplanung!$E88*Monatsplanung!$N88),0,Personalplanung!P88/Monatsplanung!$E88*Monatsplanung!$N88)</f>
        <v>0</v>
      </c>
      <c r="X816" s="168">
        <f>IF(ISERROR(Personalplanung!Q88/Monatsplanung!$E88*Monatsplanung!$N88),0,Personalplanung!Q88/Monatsplanung!$E88*Monatsplanung!$N88)</f>
        <v>0</v>
      </c>
      <c r="Y816" s="168">
        <f>IF(ISERROR(Personalplanung!R88/T1336*Stundencontrolling!T816),0,Personalplanung!R88/T1336*Stundencontrolling!T816)</f>
        <v>0</v>
      </c>
      <c r="Z816" s="168">
        <f>IF(ISERROR(Personalplanung!S88/Monatsplanung!$E88*Monatsplanung!$N88),0,Personalplanung!S88/Monatsplanung!$E88*Monatsplanung!$N88)</f>
        <v>0</v>
      </c>
      <c r="AA816" s="80">
        <f t="shared" si="256"/>
        <v>0</v>
      </c>
      <c r="AB816" s="102">
        <f t="shared" si="257"/>
        <v>0.1</v>
      </c>
      <c r="AC816" s="103">
        <f t="shared" si="258"/>
        <v>0</v>
      </c>
      <c r="AD816" s="103">
        <f t="shared" si="259"/>
        <v>0</v>
      </c>
      <c r="AE816" s="81">
        <f t="shared" si="260"/>
        <v>0</v>
      </c>
      <c r="AF816" s="539"/>
      <c r="AG816" s="104">
        <f t="shared" si="261"/>
        <v>1</v>
      </c>
      <c r="AH816" s="7">
        <f t="shared" si="262"/>
        <v>0</v>
      </c>
      <c r="AI816" s="6">
        <f t="shared" si="263"/>
        <v>0</v>
      </c>
      <c r="AJ816" s="73">
        <f t="shared" si="264"/>
        <v>0</v>
      </c>
      <c r="AK816" s="539"/>
      <c r="AL816" s="748"/>
      <c r="AM816" s="748"/>
    </row>
    <row r="817" spans="2:39" x14ac:dyDescent="0.2">
      <c r="B817" s="101" t="str">
        <f t="shared" si="249"/>
        <v/>
      </c>
      <c r="C817" s="168">
        <f>IF(ISERROR(Personalplanung!F89/Monatsplanung!$E89*Monatsplanung!$N89),0,Personalplanung!F89/Monatsplanung!$E89*Monatsplanung!$N89)</f>
        <v>0</v>
      </c>
      <c r="D817" s="168">
        <f t="shared" si="250"/>
        <v>0</v>
      </c>
      <c r="E817" s="168">
        <f>IF(ISERROR(Personalplanung!H89/Monatsplanung!$E89*Monatsplanung!$N89),0,Personalplanung!H89/Monatsplanung!$E89*Monatsplanung!$N89)</f>
        <v>0</v>
      </c>
      <c r="F817" s="168">
        <f t="shared" si="251"/>
        <v>0</v>
      </c>
      <c r="G817" s="168">
        <f t="shared" si="252"/>
        <v>27.700831024930746</v>
      </c>
      <c r="H817" s="168">
        <f t="shared" si="253"/>
        <v>0</v>
      </c>
      <c r="I817" s="168">
        <f t="shared" si="254"/>
        <v>30</v>
      </c>
      <c r="J817" s="739"/>
      <c r="K817" s="168">
        <f>IF(J817&lt;&gt;"",J817,IF(ISERROR(Personalplanung!AB89/Monatsplanung!$E89*Monatsplanung!$N89),0,Personalplanung!AB89/Monatsplanung!$E89*Monatsplanung!$N89))</f>
        <v>0</v>
      </c>
      <c r="L817" s="740"/>
      <c r="M817" s="739"/>
      <c r="N817" s="168">
        <f>IF(M817&lt;&gt;"",M817,IF(ISERROR(Personalplanung!AC89/Monatsplanung!$E89*Monatsplanung!$N89),0,Personalplanung!AC89/Monatsplanung!$E89*Monatsplanung!$N89))</f>
        <v>0</v>
      </c>
      <c r="O817" s="740"/>
      <c r="P817" s="739"/>
      <c r="Q817" s="168">
        <f>IF(P817&lt;&gt;"",P817,IF(ISERROR(Personalplanung!AD89/Monatsplanung!$E89*Monatsplanung!$N89),0,Personalplanung!AD89/Monatsplanung!$E89*Monatsplanung!$N89))</f>
        <v>0</v>
      </c>
      <c r="R817" s="740"/>
      <c r="S817" s="739"/>
      <c r="T817" s="168">
        <f>IF(S817&lt;&gt;"",S817,IF(ISERROR(Personalplanung!AE89/Monatsplanung!$E89*Monatsplanung!$N89),0,Personalplanung!AE89/Monatsplanung!$E89*Monatsplanung!$N89))</f>
        <v>0</v>
      </c>
      <c r="U817" s="740"/>
      <c r="V817" s="168">
        <f t="shared" si="255"/>
        <v>0</v>
      </c>
      <c r="W817" s="168">
        <f>IF(ISERROR(Personalplanung!P89/Monatsplanung!$E89*Monatsplanung!$N89),0,Personalplanung!P89/Monatsplanung!$E89*Monatsplanung!$N89)</f>
        <v>0</v>
      </c>
      <c r="X817" s="168">
        <f>IF(ISERROR(Personalplanung!Q89/Monatsplanung!$E89*Monatsplanung!$N89),0,Personalplanung!Q89/Monatsplanung!$E89*Monatsplanung!$N89)</f>
        <v>0</v>
      </c>
      <c r="Y817" s="168">
        <f>IF(ISERROR(Personalplanung!R89/T1337*Stundencontrolling!T817),0,Personalplanung!R89/T1337*Stundencontrolling!T817)</f>
        <v>0</v>
      </c>
      <c r="Z817" s="168">
        <f>IF(ISERROR(Personalplanung!S89/Monatsplanung!$E89*Monatsplanung!$N89),0,Personalplanung!S89/Monatsplanung!$E89*Monatsplanung!$N89)</f>
        <v>0</v>
      </c>
      <c r="AA817" s="80">
        <f t="shared" si="256"/>
        <v>0</v>
      </c>
      <c r="AB817" s="102">
        <f t="shared" si="257"/>
        <v>0.1</v>
      </c>
      <c r="AC817" s="103">
        <f t="shared" si="258"/>
        <v>0</v>
      </c>
      <c r="AD817" s="103">
        <f t="shared" si="259"/>
        <v>0</v>
      </c>
      <c r="AE817" s="81">
        <f t="shared" si="260"/>
        <v>0</v>
      </c>
      <c r="AF817" s="539"/>
      <c r="AG817" s="104">
        <f t="shared" si="261"/>
        <v>1</v>
      </c>
      <c r="AH817" s="7">
        <f t="shared" si="262"/>
        <v>0</v>
      </c>
      <c r="AI817" s="6">
        <f t="shared" si="263"/>
        <v>0</v>
      </c>
      <c r="AJ817" s="73">
        <f t="shared" si="264"/>
        <v>0</v>
      </c>
      <c r="AK817" s="539"/>
      <c r="AL817" s="748"/>
      <c r="AM817" s="748"/>
    </row>
    <row r="818" spans="2:39" x14ac:dyDescent="0.2">
      <c r="B818" s="101" t="str">
        <f t="shared" si="249"/>
        <v/>
      </c>
      <c r="C818" s="168">
        <f>IF(ISERROR(Personalplanung!F90/Monatsplanung!$E90*Monatsplanung!$N90),0,Personalplanung!F90/Monatsplanung!$E90*Monatsplanung!$N90)</f>
        <v>0</v>
      </c>
      <c r="D818" s="168">
        <f t="shared" si="250"/>
        <v>0</v>
      </c>
      <c r="E818" s="168">
        <f>IF(ISERROR(Personalplanung!H90/Monatsplanung!$E90*Monatsplanung!$N90),0,Personalplanung!H90/Monatsplanung!$E90*Monatsplanung!$N90)</f>
        <v>0</v>
      </c>
      <c r="F818" s="168">
        <f t="shared" si="251"/>
        <v>0</v>
      </c>
      <c r="G818" s="168">
        <f t="shared" si="252"/>
        <v>27.700831024930746</v>
      </c>
      <c r="H818" s="168">
        <f t="shared" si="253"/>
        <v>0</v>
      </c>
      <c r="I818" s="168">
        <f t="shared" si="254"/>
        <v>30</v>
      </c>
      <c r="J818" s="739"/>
      <c r="K818" s="168">
        <f>IF(J818&lt;&gt;"",J818,IF(ISERROR(Personalplanung!AB90/Monatsplanung!$E90*Monatsplanung!$N90),0,Personalplanung!AB90/Monatsplanung!$E90*Monatsplanung!$N90))</f>
        <v>0</v>
      </c>
      <c r="L818" s="740"/>
      <c r="M818" s="739"/>
      <c r="N818" s="168">
        <f>IF(M818&lt;&gt;"",M818,IF(ISERROR(Personalplanung!AC90/Monatsplanung!$E90*Monatsplanung!$N90),0,Personalplanung!AC90/Monatsplanung!$E90*Monatsplanung!$N90))</f>
        <v>0</v>
      </c>
      <c r="O818" s="740"/>
      <c r="P818" s="739"/>
      <c r="Q818" s="168">
        <f>IF(P818&lt;&gt;"",P818,IF(ISERROR(Personalplanung!AD90/Monatsplanung!$E90*Monatsplanung!$N90),0,Personalplanung!AD90/Monatsplanung!$E90*Monatsplanung!$N90))</f>
        <v>0</v>
      </c>
      <c r="R818" s="740"/>
      <c r="S818" s="739"/>
      <c r="T818" s="168">
        <f>IF(S818&lt;&gt;"",S818,IF(ISERROR(Personalplanung!AE90/Monatsplanung!$E90*Monatsplanung!$N90),0,Personalplanung!AE90/Monatsplanung!$E90*Monatsplanung!$N90))</f>
        <v>0</v>
      </c>
      <c r="U818" s="740"/>
      <c r="V818" s="168">
        <f t="shared" si="255"/>
        <v>0</v>
      </c>
      <c r="W818" s="168">
        <f>IF(ISERROR(Personalplanung!P90/Monatsplanung!$E90*Monatsplanung!$N90),0,Personalplanung!P90/Monatsplanung!$E90*Monatsplanung!$N90)</f>
        <v>0</v>
      </c>
      <c r="X818" s="168">
        <f>IF(ISERROR(Personalplanung!Q90/Monatsplanung!$E90*Monatsplanung!$N90),0,Personalplanung!Q90/Monatsplanung!$E90*Monatsplanung!$N90)</f>
        <v>0</v>
      </c>
      <c r="Y818" s="168">
        <f>IF(ISERROR(Personalplanung!R90/T1338*Stundencontrolling!T818),0,Personalplanung!R90/T1338*Stundencontrolling!T818)</f>
        <v>0</v>
      </c>
      <c r="Z818" s="168">
        <f>IF(ISERROR(Personalplanung!S90/Monatsplanung!$E90*Monatsplanung!$N90),0,Personalplanung!S90/Monatsplanung!$E90*Monatsplanung!$N90)</f>
        <v>0</v>
      </c>
      <c r="AA818" s="80">
        <f t="shared" si="256"/>
        <v>0</v>
      </c>
      <c r="AB818" s="102">
        <f t="shared" si="257"/>
        <v>0.1</v>
      </c>
      <c r="AC818" s="103">
        <f t="shared" si="258"/>
        <v>0</v>
      </c>
      <c r="AD818" s="103">
        <f t="shared" si="259"/>
        <v>0</v>
      </c>
      <c r="AE818" s="81">
        <f t="shared" si="260"/>
        <v>0</v>
      </c>
      <c r="AF818" s="539"/>
      <c r="AG818" s="104">
        <f t="shared" si="261"/>
        <v>1</v>
      </c>
      <c r="AH818" s="7">
        <f t="shared" si="262"/>
        <v>0</v>
      </c>
      <c r="AI818" s="6">
        <f t="shared" si="263"/>
        <v>0</v>
      </c>
      <c r="AJ818" s="73">
        <f t="shared" si="264"/>
        <v>0</v>
      </c>
      <c r="AK818" s="539"/>
      <c r="AL818" s="748"/>
      <c r="AM818" s="748"/>
    </row>
    <row r="819" spans="2:39" x14ac:dyDescent="0.2">
      <c r="B819" s="101" t="str">
        <f t="shared" si="249"/>
        <v/>
      </c>
      <c r="C819" s="168">
        <f>IF(ISERROR(Personalplanung!F91/Monatsplanung!$E91*Monatsplanung!$N91),0,Personalplanung!F91/Monatsplanung!$E91*Monatsplanung!$N91)</f>
        <v>0</v>
      </c>
      <c r="D819" s="168">
        <f t="shared" si="250"/>
        <v>0</v>
      </c>
      <c r="E819" s="168">
        <f>IF(ISERROR(Personalplanung!H91/Monatsplanung!$E91*Monatsplanung!$N91),0,Personalplanung!H91/Monatsplanung!$E91*Monatsplanung!$N91)</f>
        <v>0</v>
      </c>
      <c r="F819" s="168">
        <f t="shared" si="251"/>
        <v>0</v>
      </c>
      <c r="G819" s="168">
        <f t="shared" si="252"/>
        <v>27.700831024930746</v>
      </c>
      <c r="H819" s="168">
        <f t="shared" si="253"/>
        <v>0</v>
      </c>
      <c r="I819" s="168">
        <f t="shared" si="254"/>
        <v>30</v>
      </c>
      <c r="J819" s="739"/>
      <c r="K819" s="168">
        <f>IF(J819&lt;&gt;"",J819,IF(ISERROR(Personalplanung!AB91/Monatsplanung!$E91*Monatsplanung!$N91),0,Personalplanung!AB91/Monatsplanung!$E91*Monatsplanung!$N91))</f>
        <v>0</v>
      </c>
      <c r="L819" s="740"/>
      <c r="M819" s="739"/>
      <c r="N819" s="168">
        <f>IF(M819&lt;&gt;"",M819,IF(ISERROR(Personalplanung!AC91/Monatsplanung!$E91*Monatsplanung!$N91),0,Personalplanung!AC91/Monatsplanung!$E91*Monatsplanung!$N91))</f>
        <v>0</v>
      </c>
      <c r="O819" s="740"/>
      <c r="P819" s="739"/>
      <c r="Q819" s="168">
        <f>IF(P819&lt;&gt;"",P819,IF(ISERROR(Personalplanung!AD91/Monatsplanung!$E91*Monatsplanung!$N91),0,Personalplanung!AD91/Monatsplanung!$E91*Monatsplanung!$N91))</f>
        <v>0</v>
      </c>
      <c r="R819" s="740"/>
      <c r="S819" s="739"/>
      <c r="T819" s="168">
        <f>IF(S819&lt;&gt;"",S819,IF(ISERROR(Personalplanung!AE91/Monatsplanung!$E91*Monatsplanung!$N91),0,Personalplanung!AE91/Monatsplanung!$E91*Monatsplanung!$N91))</f>
        <v>0</v>
      </c>
      <c r="U819" s="740"/>
      <c r="V819" s="168">
        <f t="shared" si="255"/>
        <v>0</v>
      </c>
      <c r="W819" s="168">
        <f>IF(ISERROR(Personalplanung!P91/Monatsplanung!$E91*Monatsplanung!$N91),0,Personalplanung!P91/Monatsplanung!$E91*Monatsplanung!$N91)</f>
        <v>0</v>
      </c>
      <c r="X819" s="168">
        <f>IF(ISERROR(Personalplanung!Q91/Monatsplanung!$E91*Monatsplanung!$N91),0,Personalplanung!Q91/Monatsplanung!$E91*Monatsplanung!$N91)</f>
        <v>0</v>
      </c>
      <c r="Y819" s="168">
        <f>IF(ISERROR(Personalplanung!R91/T1339*Stundencontrolling!T819),0,Personalplanung!R91/T1339*Stundencontrolling!T819)</f>
        <v>0</v>
      </c>
      <c r="Z819" s="168">
        <f>IF(ISERROR(Personalplanung!S91/Monatsplanung!$E91*Monatsplanung!$N91),0,Personalplanung!S91/Monatsplanung!$E91*Monatsplanung!$N91)</f>
        <v>0</v>
      </c>
      <c r="AA819" s="80">
        <f t="shared" si="256"/>
        <v>0</v>
      </c>
      <c r="AB819" s="102">
        <f t="shared" si="257"/>
        <v>0.1</v>
      </c>
      <c r="AC819" s="103">
        <f t="shared" si="258"/>
        <v>0</v>
      </c>
      <c r="AD819" s="103">
        <f t="shared" si="259"/>
        <v>0</v>
      </c>
      <c r="AE819" s="81">
        <f t="shared" si="260"/>
        <v>0</v>
      </c>
      <c r="AF819" s="539"/>
      <c r="AG819" s="104">
        <f t="shared" si="261"/>
        <v>1</v>
      </c>
      <c r="AH819" s="7">
        <f t="shared" si="262"/>
        <v>0</v>
      </c>
      <c r="AI819" s="6">
        <f t="shared" si="263"/>
        <v>0</v>
      </c>
      <c r="AJ819" s="73">
        <f t="shared" si="264"/>
        <v>0</v>
      </c>
      <c r="AK819" s="539"/>
      <c r="AL819" s="748"/>
      <c r="AM819" s="748"/>
    </row>
    <row r="820" spans="2:39" x14ac:dyDescent="0.2">
      <c r="B820" s="101" t="str">
        <f t="shared" si="249"/>
        <v/>
      </c>
      <c r="C820" s="168">
        <f>IF(ISERROR(Personalplanung!F92/Monatsplanung!$E92*Monatsplanung!$N92),0,Personalplanung!F92/Monatsplanung!$E92*Monatsplanung!$N92)</f>
        <v>0</v>
      </c>
      <c r="D820" s="168">
        <f t="shared" si="250"/>
        <v>0</v>
      </c>
      <c r="E820" s="168">
        <f>IF(ISERROR(Personalplanung!H92/Monatsplanung!$E92*Monatsplanung!$N92),0,Personalplanung!H92/Monatsplanung!$E92*Monatsplanung!$N92)</f>
        <v>0</v>
      </c>
      <c r="F820" s="168">
        <f t="shared" si="251"/>
        <v>0</v>
      </c>
      <c r="G820" s="168">
        <f t="shared" si="252"/>
        <v>27.700831024930746</v>
      </c>
      <c r="H820" s="168">
        <f t="shared" si="253"/>
        <v>0</v>
      </c>
      <c r="I820" s="168">
        <f t="shared" si="254"/>
        <v>30</v>
      </c>
      <c r="J820" s="739"/>
      <c r="K820" s="168">
        <f>IF(J820&lt;&gt;"",J820,IF(ISERROR(Personalplanung!AB92/Monatsplanung!$E92*Monatsplanung!$N92),0,Personalplanung!AB92/Monatsplanung!$E92*Monatsplanung!$N92))</f>
        <v>0</v>
      </c>
      <c r="L820" s="740"/>
      <c r="M820" s="739"/>
      <c r="N820" s="168">
        <f>IF(M820&lt;&gt;"",M820,IF(ISERROR(Personalplanung!AC92/Monatsplanung!$E92*Monatsplanung!$N92),0,Personalplanung!AC92/Monatsplanung!$E92*Monatsplanung!$N92))</f>
        <v>0</v>
      </c>
      <c r="O820" s="740"/>
      <c r="P820" s="739"/>
      <c r="Q820" s="168">
        <f>IF(P820&lt;&gt;"",P820,IF(ISERROR(Personalplanung!AD92/Monatsplanung!$E92*Monatsplanung!$N92),0,Personalplanung!AD92/Monatsplanung!$E92*Monatsplanung!$N92))</f>
        <v>0</v>
      </c>
      <c r="R820" s="740"/>
      <c r="S820" s="739"/>
      <c r="T820" s="168">
        <f>IF(S820&lt;&gt;"",S820,IF(ISERROR(Personalplanung!AE92/Monatsplanung!$E92*Monatsplanung!$N92),0,Personalplanung!AE92/Monatsplanung!$E92*Monatsplanung!$N92))</f>
        <v>0</v>
      </c>
      <c r="U820" s="740"/>
      <c r="V820" s="168">
        <f t="shared" si="255"/>
        <v>0</v>
      </c>
      <c r="W820" s="168">
        <f>IF(ISERROR(Personalplanung!P92/Monatsplanung!$E92*Monatsplanung!$N92),0,Personalplanung!P92/Monatsplanung!$E92*Monatsplanung!$N92)</f>
        <v>0</v>
      </c>
      <c r="X820" s="168">
        <f>IF(ISERROR(Personalplanung!Q92/Monatsplanung!$E92*Monatsplanung!$N92),0,Personalplanung!Q92/Monatsplanung!$E92*Monatsplanung!$N92)</f>
        <v>0</v>
      </c>
      <c r="Y820" s="168">
        <f>IF(ISERROR(Personalplanung!R92/T1340*Stundencontrolling!T820),0,Personalplanung!R92/T1340*Stundencontrolling!T820)</f>
        <v>0</v>
      </c>
      <c r="Z820" s="168">
        <f>IF(ISERROR(Personalplanung!S92/Monatsplanung!$E92*Monatsplanung!$N92),0,Personalplanung!S92/Monatsplanung!$E92*Monatsplanung!$N92)</f>
        <v>0</v>
      </c>
      <c r="AA820" s="80">
        <f t="shared" si="256"/>
        <v>0</v>
      </c>
      <c r="AB820" s="102">
        <f t="shared" si="257"/>
        <v>0.1</v>
      </c>
      <c r="AC820" s="103">
        <f t="shared" si="258"/>
        <v>0</v>
      </c>
      <c r="AD820" s="103">
        <f t="shared" si="259"/>
        <v>0</v>
      </c>
      <c r="AE820" s="81">
        <f t="shared" si="260"/>
        <v>0</v>
      </c>
      <c r="AF820" s="539"/>
      <c r="AG820" s="104">
        <f t="shared" si="261"/>
        <v>1</v>
      </c>
      <c r="AH820" s="7">
        <f t="shared" si="262"/>
        <v>0</v>
      </c>
      <c r="AI820" s="6">
        <f t="shared" si="263"/>
        <v>0</v>
      </c>
      <c r="AJ820" s="73">
        <f t="shared" si="264"/>
        <v>0</v>
      </c>
      <c r="AK820" s="539"/>
      <c r="AL820" s="748"/>
      <c r="AM820" s="748"/>
    </row>
    <row r="821" spans="2:39" x14ac:dyDescent="0.2">
      <c r="B821" s="101" t="str">
        <f t="shared" si="249"/>
        <v/>
      </c>
      <c r="C821" s="168">
        <f>IF(ISERROR(Personalplanung!F93/Monatsplanung!$E93*Monatsplanung!$N93),0,Personalplanung!F93/Monatsplanung!$E93*Monatsplanung!$N93)</f>
        <v>0</v>
      </c>
      <c r="D821" s="168">
        <f t="shared" si="250"/>
        <v>0</v>
      </c>
      <c r="E821" s="168">
        <f>IF(ISERROR(Personalplanung!H93/Monatsplanung!$E93*Monatsplanung!$N93),0,Personalplanung!H93/Monatsplanung!$E93*Monatsplanung!$N93)</f>
        <v>0</v>
      </c>
      <c r="F821" s="168">
        <f t="shared" si="251"/>
        <v>0</v>
      </c>
      <c r="G821" s="168">
        <f t="shared" si="252"/>
        <v>27.700831024930746</v>
      </c>
      <c r="H821" s="168">
        <f t="shared" si="253"/>
        <v>0</v>
      </c>
      <c r="I821" s="168">
        <f t="shared" si="254"/>
        <v>30</v>
      </c>
      <c r="J821" s="739"/>
      <c r="K821" s="168">
        <f>IF(J821&lt;&gt;"",J821,IF(ISERROR(Personalplanung!AB93/Monatsplanung!$E93*Monatsplanung!$N93),0,Personalplanung!AB93/Monatsplanung!$E93*Monatsplanung!$N93))</f>
        <v>0</v>
      </c>
      <c r="L821" s="740"/>
      <c r="M821" s="739"/>
      <c r="N821" s="168">
        <f>IF(M821&lt;&gt;"",M821,IF(ISERROR(Personalplanung!AC93/Monatsplanung!$E93*Monatsplanung!$N93),0,Personalplanung!AC93/Monatsplanung!$E93*Monatsplanung!$N93))</f>
        <v>0</v>
      </c>
      <c r="O821" s="740"/>
      <c r="P821" s="739"/>
      <c r="Q821" s="168">
        <f>IF(P821&lt;&gt;"",P821,IF(ISERROR(Personalplanung!AD93/Monatsplanung!$E93*Monatsplanung!$N93),0,Personalplanung!AD93/Monatsplanung!$E93*Monatsplanung!$N93))</f>
        <v>0</v>
      </c>
      <c r="R821" s="740"/>
      <c r="S821" s="739"/>
      <c r="T821" s="168">
        <f>IF(S821&lt;&gt;"",S821,IF(ISERROR(Personalplanung!AE93/Monatsplanung!$E93*Monatsplanung!$N93),0,Personalplanung!AE93/Monatsplanung!$E93*Monatsplanung!$N93))</f>
        <v>0</v>
      </c>
      <c r="U821" s="740"/>
      <c r="V821" s="168">
        <f t="shared" si="255"/>
        <v>0</v>
      </c>
      <c r="W821" s="168">
        <f>IF(ISERROR(Personalplanung!P93/Monatsplanung!$E93*Monatsplanung!$N93),0,Personalplanung!P93/Monatsplanung!$E93*Monatsplanung!$N93)</f>
        <v>0</v>
      </c>
      <c r="X821" s="168">
        <f>IF(ISERROR(Personalplanung!Q93/Monatsplanung!$E93*Monatsplanung!$N93),0,Personalplanung!Q93/Monatsplanung!$E93*Monatsplanung!$N93)</f>
        <v>0</v>
      </c>
      <c r="Y821" s="168">
        <f>IF(ISERROR(Personalplanung!R93/T1341*Stundencontrolling!T821),0,Personalplanung!R93/T1341*Stundencontrolling!T821)</f>
        <v>0</v>
      </c>
      <c r="Z821" s="168">
        <f>IF(ISERROR(Personalplanung!S93/Monatsplanung!$E93*Monatsplanung!$N93),0,Personalplanung!S93/Monatsplanung!$E93*Monatsplanung!$N93)</f>
        <v>0</v>
      </c>
      <c r="AA821" s="80">
        <f t="shared" si="256"/>
        <v>0</v>
      </c>
      <c r="AB821" s="102">
        <f t="shared" si="257"/>
        <v>0.1</v>
      </c>
      <c r="AC821" s="103">
        <f t="shared" si="258"/>
        <v>0</v>
      </c>
      <c r="AD821" s="103">
        <f t="shared" si="259"/>
        <v>0</v>
      </c>
      <c r="AE821" s="81">
        <f t="shared" si="260"/>
        <v>0</v>
      </c>
      <c r="AF821" s="539"/>
      <c r="AG821" s="104">
        <f t="shared" si="261"/>
        <v>1</v>
      </c>
      <c r="AH821" s="7">
        <f t="shared" si="262"/>
        <v>0</v>
      </c>
      <c r="AI821" s="6">
        <f t="shared" si="263"/>
        <v>0</v>
      </c>
      <c r="AJ821" s="73">
        <f t="shared" si="264"/>
        <v>0</v>
      </c>
      <c r="AK821" s="539"/>
      <c r="AL821" s="748"/>
      <c r="AM821" s="748"/>
    </row>
    <row r="822" spans="2:39" x14ac:dyDescent="0.2">
      <c r="B822" s="101" t="str">
        <f t="shared" si="249"/>
        <v/>
      </c>
      <c r="C822" s="168">
        <f>IF(ISERROR(Personalplanung!F94/Monatsplanung!$E94*Monatsplanung!$N94),0,Personalplanung!F94/Monatsplanung!$E94*Monatsplanung!$N94)</f>
        <v>0</v>
      </c>
      <c r="D822" s="168">
        <f t="shared" si="250"/>
        <v>0</v>
      </c>
      <c r="E822" s="168">
        <f>IF(ISERROR(Personalplanung!H94/Monatsplanung!$E94*Monatsplanung!$N94),0,Personalplanung!H94/Monatsplanung!$E94*Monatsplanung!$N94)</f>
        <v>0</v>
      </c>
      <c r="F822" s="168">
        <f t="shared" si="251"/>
        <v>0</v>
      </c>
      <c r="G822" s="168">
        <f t="shared" si="252"/>
        <v>27.700831024930746</v>
      </c>
      <c r="H822" s="168">
        <f t="shared" si="253"/>
        <v>0</v>
      </c>
      <c r="I822" s="168">
        <f t="shared" si="254"/>
        <v>30</v>
      </c>
      <c r="J822" s="739"/>
      <c r="K822" s="168">
        <f>IF(J822&lt;&gt;"",J822,IF(ISERROR(Personalplanung!AB94/Monatsplanung!$E94*Monatsplanung!$N94),0,Personalplanung!AB94/Monatsplanung!$E94*Monatsplanung!$N94))</f>
        <v>0</v>
      </c>
      <c r="L822" s="740"/>
      <c r="M822" s="739"/>
      <c r="N822" s="168">
        <f>IF(M822&lt;&gt;"",M822,IF(ISERROR(Personalplanung!AC94/Monatsplanung!$E94*Monatsplanung!$N94),0,Personalplanung!AC94/Monatsplanung!$E94*Monatsplanung!$N94))</f>
        <v>0</v>
      </c>
      <c r="O822" s="740"/>
      <c r="P822" s="739"/>
      <c r="Q822" s="168">
        <f>IF(P822&lt;&gt;"",P822,IF(ISERROR(Personalplanung!AD94/Monatsplanung!$E94*Monatsplanung!$N94),0,Personalplanung!AD94/Monatsplanung!$E94*Monatsplanung!$N94))</f>
        <v>0</v>
      </c>
      <c r="R822" s="740"/>
      <c r="S822" s="739"/>
      <c r="T822" s="168">
        <f>IF(S822&lt;&gt;"",S822,IF(ISERROR(Personalplanung!AE94/Monatsplanung!$E94*Monatsplanung!$N94),0,Personalplanung!AE94/Monatsplanung!$E94*Monatsplanung!$N94))</f>
        <v>0</v>
      </c>
      <c r="U822" s="740"/>
      <c r="V822" s="168">
        <f t="shared" si="255"/>
        <v>0</v>
      </c>
      <c r="W822" s="168">
        <f>IF(ISERROR(Personalplanung!P94/Monatsplanung!$E94*Monatsplanung!$N94),0,Personalplanung!P94/Monatsplanung!$E94*Monatsplanung!$N94)</f>
        <v>0</v>
      </c>
      <c r="X822" s="168">
        <f>IF(ISERROR(Personalplanung!Q94/Monatsplanung!$E94*Monatsplanung!$N94),0,Personalplanung!Q94/Monatsplanung!$E94*Monatsplanung!$N94)</f>
        <v>0</v>
      </c>
      <c r="Y822" s="168">
        <f>IF(ISERROR(Personalplanung!R94/T1342*Stundencontrolling!T822),0,Personalplanung!R94/T1342*Stundencontrolling!T822)</f>
        <v>0</v>
      </c>
      <c r="Z822" s="168">
        <f>IF(ISERROR(Personalplanung!S94/Monatsplanung!$E94*Monatsplanung!$N94),0,Personalplanung!S94/Monatsplanung!$E94*Monatsplanung!$N94)</f>
        <v>0</v>
      </c>
      <c r="AA822" s="80">
        <f t="shared" si="256"/>
        <v>0</v>
      </c>
      <c r="AB822" s="102">
        <f t="shared" si="257"/>
        <v>0.1</v>
      </c>
      <c r="AC822" s="103">
        <f t="shared" si="258"/>
        <v>0</v>
      </c>
      <c r="AD822" s="103">
        <f t="shared" si="259"/>
        <v>0</v>
      </c>
      <c r="AE822" s="81">
        <f t="shared" si="260"/>
        <v>0</v>
      </c>
      <c r="AF822" s="539"/>
      <c r="AG822" s="104">
        <f t="shared" si="261"/>
        <v>1</v>
      </c>
      <c r="AH822" s="7">
        <f t="shared" si="262"/>
        <v>0</v>
      </c>
      <c r="AI822" s="6">
        <f t="shared" si="263"/>
        <v>0</v>
      </c>
      <c r="AJ822" s="73">
        <f t="shared" si="264"/>
        <v>0</v>
      </c>
      <c r="AK822" s="539"/>
      <c r="AL822" s="748"/>
      <c r="AM822" s="748"/>
    </row>
    <row r="823" spans="2:39" x14ac:dyDescent="0.2">
      <c r="B823" s="101" t="str">
        <f t="shared" si="249"/>
        <v/>
      </c>
      <c r="C823" s="168">
        <f>IF(ISERROR(Personalplanung!F95/Monatsplanung!$E95*Monatsplanung!$N95),0,Personalplanung!F95/Monatsplanung!$E95*Monatsplanung!$N95)</f>
        <v>0</v>
      </c>
      <c r="D823" s="168">
        <f t="shared" si="250"/>
        <v>0</v>
      </c>
      <c r="E823" s="168">
        <f>IF(ISERROR(Personalplanung!H95/Monatsplanung!$E95*Monatsplanung!$N95),0,Personalplanung!H95/Monatsplanung!$E95*Monatsplanung!$N95)</f>
        <v>0</v>
      </c>
      <c r="F823" s="168">
        <f t="shared" si="251"/>
        <v>0</v>
      </c>
      <c r="G823" s="168">
        <f t="shared" si="252"/>
        <v>27.700831024930746</v>
      </c>
      <c r="H823" s="168">
        <f t="shared" si="253"/>
        <v>0</v>
      </c>
      <c r="I823" s="168">
        <f t="shared" si="254"/>
        <v>30</v>
      </c>
      <c r="J823" s="739"/>
      <c r="K823" s="168">
        <f>IF(J823&lt;&gt;"",J823,IF(ISERROR(Personalplanung!AB95/Monatsplanung!$E95*Monatsplanung!$N95),0,Personalplanung!AB95/Monatsplanung!$E95*Monatsplanung!$N95))</f>
        <v>0</v>
      </c>
      <c r="L823" s="740"/>
      <c r="M823" s="739"/>
      <c r="N823" s="168">
        <f>IF(M823&lt;&gt;"",M823,IF(ISERROR(Personalplanung!AC95/Monatsplanung!$E95*Monatsplanung!$N95),0,Personalplanung!AC95/Monatsplanung!$E95*Monatsplanung!$N95))</f>
        <v>0</v>
      </c>
      <c r="O823" s="740"/>
      <c r="P823" s="739"/>
      <c r="Q823" s="168">
        <f>IF(P823&lt;&gt;"",P823,IF(ISERROR(Personalplanung!AD95/Monatsplanung!$E95*Monatsplanung!$N95),0,Personalplanung!AD95/Monatsplanung!$E95*Monatsplanung!$N95))</f>
        <v>0</v>
      </c>
      <c r="R823" s="740"/>
      <c r="S823" s="739"/>
      <c r="T823" s="168">
        <f>IF(S823&lt;&gt;"",S823,IF(ISERROR(Personalplanung!AE95/Monatsplanung!$E95*Monatsplanung!$N95),0,Personalplanung!AE95/Monatsplanung!$E95*Monatsplanung!$N95))</f>
        <v>0</v>
      </c>
      <c r="U823" s="740"/>
      <c r="V823" s="168">
        <f t="shared" si="255"/>
        <v>0</v>
      </c>
      <c r="W823" s="168">
        <f>IF(ISERROR(Personalplanung!P95/Monatsplanung!$E95*Monatsplanung!$N95),0,Personalplanung!P95/Monatsplanung!$E95*Monatsplanung!$N95)</f>
        <v>0</v>
      </c>
      <c r="X823" s="168">
        <f>IF(ISERROR(Personalplanung!Q95/Monatsplanung!$E95*Monatsplanung!$N95),0,Personalplanung!Q95/Monatsplanung!$E95*Monatsplanung!$N95)</f>
        <v>0</v>
      </c>
      <c r="Y823" s="168">
        <f>IF(ISERROR(Personalplanung!R95/T1343*Stundencontrolling!T823),0,Personalplanung!R95/T1343*Stundencontrolling!T823)</f>
        <v>0</v>
      </c>
      <c r="Z823" s="168">
        <f>IF(ISERROR(Personalplanung!S95/Monatsplanung!$E95*Monatsplanung!$N95),0,Personalplanung!S95/Monatsplanung!$E95*Monatsplanung!$N95)</f>
        <v>0</v>
      </c>
      <c r="AA823" s="80">
        <f t="shared" si="256"/>
        <v>0</v>
      </c>
      <c r="AB823" s="102">
        <f t="shared" si="257"/>
        <v>0.1</v>
      </c>
      <c r="AC823" s="103">
        <f t="shared" si="258"/>
        <v>0</v>
      </c>
      <c r="AD823" s="103">
        <f t="shared" si="259"/>
        <v>0</v>
      </c>
      <c r="AE823" s="81">
        <f t="shared" si="260"/>
        <v>0</v>
      </c>
      <c r="AF823" s="539"/>
      <c r="AG823" s="104">
        <f t="shared" si="261"/>
        <v>1</v>
      </c>
      <c r="AH823" s="7">
        <f t="shared" si="262"/>
        <v>0</v>
      </c>
      <c r="AI823" s="6">
        <f t="shared" si="263"/>
        <v>0</v>
      </c>
      <c r="AJ823" s="73">
        <f t="shared" si="264"/>
        <v>0</v>
      </c>
      <c r="AK823" s="539"/>
      <c r="AL823" s="748"/>
      <c r="AM823" s="748"/>
    </row>
    <row r="824" spans="2:39" x14ac:dyDescent="0.2">
      <c r="B824" s="101" t="str">
        <f t="shared" si="249"/>
        <v/>
      </c>
      <c r="C824" s="168">
        <f>IF(ISERROR(Personalplanung!F96/Monatsplanung!$E96*Monatsplanung!$N96),0,Personalplanung!F96/Monatsplanung!$E96*Monatsplanung!$N96)</f>
        <v>0</v>
      </c>
      <c r="D824" s="168">
        <f t="shared" si="250"/>
        <v>0</v>
      </c>
      <c r="E824" s="168">
        <f>IF(ISERROR(Personalplanung!H96/Monatsplanung!$E96*Monatsplanung!$N96),0,Personalplanung!H96/Monatsplanung!$E96*Monatsplanung!$N96)</f>
        <v>0</v>
      </c>
      <c r="F824" s="168">
        <f t="shared" si="251"/>
        <v>0</v>
      </c>
      <c r="G824" s="168">
        <f t="shared" si="252"/>
        <v>27.700831024930746</v>
      </c>
      <c r="H824" s="168">
        <f t="shared" si="253"/>
        <v>0</v>
      </c>
      <c r="I824" s="168">
        <f t="shared" si="254"/>
        <v>30</v>
      </c>
      <c r="J824" s="739"/>
      <c r="K824" s="168">
        <f>IF(J824&lt;&gt;"",J824,IF(ISERROR(Personalplanung!AB96/Monatsplanung!$E96*Monatsplanung!$N96),0,Personalplanung!AB96/Monatsplanung!$E96*Monatsplanung!$N96))</f>
        <v>0</v>
      </c>
      <c r="L824" s="740"/>
      <c r="M824" s="739"/>
      <c r="N824" s="168">
        <f>IF(M824&lt;&gt;"",M824,IF(ISERROR(Personalplanung!AC96/Monatsplanung!$E96*Monatsplanung!$N96),0,Personalplanung!AC96/Monatsplanung!$E96*Monatsplanung!$N96))</f>
        <v>0</v>
      </c>
      <c r="O824" s="740"/>
      <c r="P824" s="739"/>
      <c r="Q824" s="168">
        <f>IF(P824&lt;&gt;"",P824,IF(ISERROR(Personalplanung!AD96/Monatsplanung!$E96*Monatsplanung!$N96),0,Personalplanung!AD96/Monatsplanung!$E96*Monatsplanung!$N96))</f>
        <v>0</v>
      </c>
      <c r="R824" s="740"/>
      <c r="S824" s="739"/>
      <c r="T824" s="168">
        <f>IF(S824&lt;&gt;"",S824,IF(ISERROR(Personalplanung!AE96/Monatsplanung!$E96*Monatsplanung!$N96),0,Personalplanung!AE96/Monatsplanung!$E96*Monatsplanung!$N96))</f>
        <v>0</v>
      </c>
      <c r="U824" s="740"/>
      <c r="V824" s="168">
        <f t="shared" si="255"/>
        <v>0</v>
      </c>
      <c r="W824" s="168">
        <f>IF(ISERROR(Personalplanung!P96/Monatsplanung!$E96*Monatsplanung!$N96),0,Personalplanung!P96/Monatsplanung!$E96*Monatsplanung!$N96)</f>
        <v>0</v>
      </c>
      <c r="X824" s="168">
        <f>IF(ISERROR(Personalplanung!Q96/Monatsplanung!$E96*Monatsplanung!$N96),0,Personalplanung!Q96/Monatsplanung!$E96*Monatsplanung!$N96)</f>
        <v>0</v>
      </c>
      <c r="Y824" s="168">
        <f>IF(ISERROR(Personalplanung!R96/T1344*Stundencontrolling!T824),0,Personalplanung!R96/T1344*Stundencontrolling!T824)</f>
        <v>0</v>
      </c>
      <c r="Z824" s="168">
        <f>IF(ISERROR(Personalplanung!S96/Monatsplanung!$E96*Monatsplanung!$N96),0,Personalplanung!S96/Monatsplanung!$E96*Monatsplanung!$N96)</f>
        <v>0</v>
      </c>
      <c r="AA824" s="80">
        <f t="shared" si="256"/>
        <v>0</v>
      </c>
      <c r="AB824" s="102">
        <f t="shared" si="257"/>
        <v>0.1</v>
      </c>
      <c r="AC824" s="103">
        <f t="shared" si="258"/>
        <v>0</v>
      </c>
      <c r="AD824" s="103">
        <f t="shared" si="259"/>
        <v>0</v>
      </c>
      <c r="AE824" s="81">
        <f t="shared" si="260"/>
        <v>0</v>
      </c>
      <c r="AF824" s="539"/>
      <c r="AG824" s="104">
        <f t="shared" si="261"/>
        <v>1</v>
      </c>
      <c r="AH824" s="7">
        <f t="shared" si="262"/>
        <v>0</v>
      </c>
      <c r="AI824" s="6">
        <f t="shared" si="263"/>
        <v>0</v>
      </c>
      <c r="AJ824" s="73">
        <f t="shared" si="264"/>
        <v>0</v>
      </c>
      <c r="AK824" s="539"/>
      <c r="AL824" s="748"/>
      <c r="AM824" s="748"/>
    </row>
    <row r="825" spans="2:39" x14ac:dyDescent="0.2">
      <c r="B825" s="101" t="str">
        <f t="shared" si="249"/>
        <v/>
      </c>
      <c r="C825" s="168">
        <f>IF(ISERROR(Personalplanung!F97/Monatsplanung!$E97*Monatsplanung!$N97),0,Personalplanung!F97/Monatsplanung!$E97*Monatsplanung!$N97)</f>
        <v>0</v>
      </c>
      <c r="D825" s="168">
        <f t="shared" si="250"/>
        <v>0</v>
      </c>
      <c r="E825" s="168">
        <f>IF(ISERROR(Personalplanung!H97/Monatsplanung!$E97*Monatsplanung!$N97),0,Personalplanung!H97/Monatsplanung!$E97*Monatsplanung!$N97)</f>
        <v>0</v>
      </c>
      <c r="F825" s="168">
        <f t="shared" si="251"/>
        <v>0</v>
      </c>
      <c r="G825" s="168">
        <f t="shared" si="252"/>
        <v>27.700831024930746</v>
      </c>
      <c r="H825" s="168">
        <f t="shared" si="253"/>
        <v>0</v>
      </c>
      <c r="I825" s="168">
        <f t="shared" si="254"/>
        <v>30</v>
      </c>
      <c r="J825" s="739"/>
      <c r="K825" s="168">
        <f>IF(J825&lt;&gt;"",J825,IF(ISERROR(Personalplanung!AB97/Monatsplanung!$E97*Monatsplanung!$N97),0,Personalplanung!AB97/Monatsplanung!$E97*Monatsplanung!$N97))</f>
        <v>0</v>
      </c>
      <c r="L825" s="740"/>
      <c r="M825" s="739"/>
      <c r="N825" s="168">
        <f>IF(M825&lt;&gt;"",M825,IF(ISERROR(Personalplanung!AC97/Monatsplanung!$E97*Monatsplanung!$N97),0,Personalplanung!AC97/Monatsplanung!$E97*Monatsplanung!$N97))</f>
        <v>0</v>
      </c>
      <c r="O825" s="740"/>
      <c r="P825" s="739"/>
      <c r="Q825" s="168">
        <f>IF(P825&lt;&gt;"",P825,IF(ISERROR(Personalplanung!AD97/Monatsplanung!$E97*Monatsplanung!$N97),0,Personalplanung!AD97/Monatsplanung!$E97*Monatsplanung!$N97))</f>
        <v>0</v>
      </c>
      <c r="R825" s="740"/>
      <c r="S825" s="739"/>
      <c r="T825" s="168">
        <f>IF(S825&lt;&gt;"",S825,IF(ISERROR(Personalplanung!AE97/Monatsplanung!$E97*Monatsplanung!$N97),0,Personalplanung!AE97/Monatsplanung!$E97*Monatsplanung!$N97))</f>
        <v>0</v>
      </c>
      <c r="U825" s="740"/>
      <c r="V825" s="168">
        <f t="shared" si="255"/>
        <v>0</v>
      </c>
      <c r="W825" s="168">
        <f>IF(ISERROR(Personalplanung!P97/Monatsplanung!$E97*Monatsplanung!$N97),0,Personalplanung!P97/Monatsplanung!$E97*Monatsplanung!$N97)</f>
        <v>0</v>
      </c>
      <c r="X825" s="168">
        <f>IF(ISERROR(Personalplanung!Q97/Monatsplanung!$E97*Monatsplanung!$N97),0,Personalplanung!Q97/Monatsplanung!$E97*Monatsplanung!$N97)</f>
        <v>0</v>
      </c>
      <c r="Y825" s="168">
        <f>IF(ISERROR(Personalplanung!R97/T1345*Stundencontrolling!T825),0,Personalplanung!R97/T1345*Stundencontrolling!T825)</f>
        <v>0</v>
      </c>
      <c r="Z825" s="168">
        <f>IF(ISERROR(Personalplanung!S97/Monatsplanung!$E97*Monatsplanung!$N97),0,Personalplanung!S97/Monatsplanung!$E97*Monatsplanung!$N97)</f>
        <v>0</v>
      </c>
      <c r="AA825" s="80">
        <f t="shared" si="256"/>
        <v>0</v>
      </c>
      <c r="AB825" s="102">
        <f t="shared" si="257"/>
        <v>0.1</v>
      </c>
      <c r="AC825" s="103">
        <f t="shared" si="258"/>
        <v>0</v>
      </c>
      <c r="AD825" s="103">
        <f t="shared" si="259"/>
        <v>0</v>
      </c>
      <c r="AE825" s="81">
        <f t="shared" si="260"/>
        <v>0</v>
      </c>
      <c r="AF825" s="539"/>
      <c r="AG825" s="104">
        <f t="shared" si="261"/>
        <v>1</v>
      </c>
      <c r="AH825" s="7">
        <f t="shared" si="262"/>
        <v>0</v>
      </c>
      <c r="AI825" s="6">
        <f t="shared" si="263"/>
        <v>0</v>
      </c>
      <c r="AJ825" s="73">
        <f t="shared" si="264"/>
        <v>0</v>
      </c>
      <c r="AK825" s="539"/>
      <c r="AL825" s="748"/>
      <c r="AM825" s="748"/>
    </row>
    <row r="826" spans="2:39" x14ac:dyDescent="0.2">
      <c r="B826" s="101" t="str">
        <f t="shared" si="249"/>
        <v/>
      </c>
      <c r="C826" s="168">
        <f>IF(ISERROR(Personalplanung!F98/Monatsplanung!$E98*Monatsplanung!$N98),0,Personalplanung!F98/Monatsplanung!$E98*Monatsplanung!$N98)</f>
        <v>0</v>
      </c>
      <c r="D826" s="168">
        <f t="shared" si="250"/>
        <v>0</v>
      </c>
      <c r="E826" s="168">
        <f>IF(ISERROR(Personalplanung!H98/Monatsplanung!$E98*Monatsplanung!$N98),0,Personalplanung!H98/Monatsplanung!$E98*Monatsplanung!$N98)</f>
        <v>0</v>
      </c>
      <c r="F826" s="168">
        <f t="shared" si="251"/>
        <v>0</v>
      </c>
      <c r="G826" s="168">
        <f t="shared" si="252"/>
        <v>27.700831024930746</v>
      </c>
      <c r="H826" s="168">
        <f t="shared" si="253"/>
        <v>0</v>
      </c>
      <c r="I826" s="168">
        <f t="shared" si="254"/>
        <v>30</v>
      </c>
      <c r="J826" s="739"/>
      <c r="K826" s="168">
        <f>IF(J826&lt;&gt;"",J826,IF(ISERROR(Personalplanung!AB98/Monatsplanung!$E98*Monatsplanung!$N98),0,Personalplanung!AB98/Monatsplanung!$E98*Monatsplanung!$N98))</f>
        <v>0</v>
      </c>
      <c r="L826" s="740"/>
      <c r="M826" s="739"/>
      <c r="N826" s="168">
        <f>IF(M826&lt;&gt;"",M826,IF(ISERROR(Personalplanung!AC98/Monatsplanung!$E98*Monatsplanung!$N98),0,Personalplanung!AC98/Monatsplanung!$E98*Monatsplanung!$N98))</f>
        <v>0</v>
      </c>
      <c r="O826" s="740"/>
      <c r="P826" s="739"/>
      <c r="Q826" s="168">
        <f>IF(P826&lt;&gt;"",P826,IF(ISERROR(Personalplanung!AD98/Monatsplanung!$E98*Monatsplanung!$N98),0,Personalplanung!AD98/Monatsplanung!$E98*Monatsplanung!$N98))</f>
        <v>0</v>
      </c>
      <c r="R826" s="740"/>
      <c r="S826" s="739"/>
      <c r="T826" s="168">
        <f>IF(S826&lt;&gt;"",S826,IF(ISERROR(Personalplanung!AE98/Monatsplanung!$E98*Monatsplanung!$N98),0,Personalplanung!AE98/Monatsplanung!$E98*Monatsplanung!$N98))</f>
        <v>0</v>
      </c>
      <c r="U826" s="740"/>
      <c r="V826" s="168">
        <f t="shared" si="255"/>
        <v>0</v>
      </c>
      <c r="W826" s="168">
        <f>IF(ISERROR(Personalplanung!P98/Monatsplanung!$E98*Monatsplanung!$N98),0,Personalplanung!P98/Monatsplanung!$E98*Monatsplanung!$N98)</f>
        <v>0</v>
      </c>
      <c r="X826" s="168">
        <f>IF(ISERROR(Personalplanung!Q98/Monatsplanung!$E98*Monatsplanung!$N98),0,Personalplanung!Q98/Monatsplanung!$E98*Monatsplanung!$N98)</f>
        <v>0</v>
      </c>
      <c r="Y826" s="168">
        <f>IF(ISERROR(Personalplanung!R98/T1346*Stundencontrolling!T826),0,Personalplanung!R98/T1346*Stundencontrolling!T826)</f>
        <v>0</v>
      </c>
      <c r="Z826" s="168">
        <f>IF(ISERROR(Personalplanung!S98/Monatsplanung!$E98*Monatsplanung!$N98),0,Personalplanung!S98/Monatsplanung!$E98*Monatsplanung!$N98)</f>
        <v>0</v>
      </c>
      <c r="AA826" s="80">
        <f t="shared" si="256"/>
        <v>0</v>
      </c>
      <c r="AB826" s="102">
        <f t="shared" si="257"/>
        <v>0.1</v>
      </c>
      <c r="AC826" s="103">
        <f t="shared" si="258"/>
        <v>0</v>
      </c>
      <c r="AD826" s="103">
        <f t="shared" si="259"/>
        <v>0</v>
      </c>
      <c r="AE826" s="81">
        <f t="shared" si="260"/>
        <v>0</v>
      </c>
      <c r="AF826" s="539"/>
      <c r="AG826" s="104">
        <f t="shared" si="261"/>
        <v>1</v>
      </c>
      <c r="AH826" s="7">
        <f t="shared" si="262"/>
        <v>0</v>
      </c>
      <c r="AI826" s="6">
        <f t="shared" si="263"/>
        <v>0</v>
      </c>
      <c r="AJ826" s="73">
        <f t="shared" si="264"/>
        <v>0</v>
      </c>
      <c r="AK826" s="539"/>
      <c r="AL826" s="748"/>
      <c r="AM826" s="748"/>
    </row>
    <row r="827" spans="2:39" x14ac:dyDescent="0.2">
      <c r="B827" s="101" t="str">
        <f t="shared" si="249"/>
        <v/>
      </c>
      <c r="C827" s="168">
        <f>IF(ISERROR(Personalplanung!F99/Monatsplanung!$E99*Monatsplanung!$N99),0,Personalplanung!F99/Monatsplanung!$E99*Monatsplanung!$N99)</f>
        <v>0</v>
      </c>
      <c r="D827" s="168">
        <f t="shared" si="250"/>
        <v>0</v>
      </c>
      <c r="E827" s="168">
        <f>IF(ISERROR(Personalplanung!H99/Monatsplanung!$E99*Monatsplanung!$N99),0,Personalplanung!H99/Monatsplanung!$E99*Monatsplanung!$N99)</f>
        <v>0</v>
      </c>
      <c r="F827" s="168">
        <f t="shared" si="251"/>
        <v>0</v>
      </c>
      <c r="G827" s="168">
        <f t="shared" si="252"/>
        <v>27.700831024930746</v>
      </c>
      <c r="H827" s="168">
        <f t="shared" si="253"/>
        <v>0</v>
      </c>
      <c r="I827" s="168">
        <f t="shared" si="254"/>
        <v>30</v>
      </c>
      <c r="J827" s="739"/>
      <c r="K827" s="168">
        <f>IF(J827&lt;&gt;"",J827,IF(ISERROR(Personalplanung!AB99/Monatsplanung!$E99*Monatsplanung!$N99),0,Personalplanung!AB99/Monatsplanung!$E99*Monatsplanung!$N99))</f>
        <v>0</v>
      </c>
      <c r="L827" s="740"/>
      <c r="M827" s="739"/>
      <c r="N827" s="168">
        <f>IF(M827&lt;&gt;"",M827,IF(ISERROR(Personalplanung!AC99/Monatsplanung!$E99*Monatsplanung!$N99),0,Personalplanung!AC99/Monatsplanung!$E99*Monatsplanung!$N99))</f>
        <v>0</v>
      </c>
      <c r="O827" s="740"/>
      <c r="P827" s="739"/>
      <c r="Q827" s="168">
        <f>IF(P827&lt;&gt;"",P827,IF(ISERROR(Personalplanung!AD99/Monatsplanung!$E99*Monatsplanung!$N99),0,Personalplanung!AD99/Monatsplanung!$E99*Monatsplanung!$N99))</f>
        <v>0</v>
      </c>
      <c r="R827" s="740"/>
      <c r="S827" s="739"/>
      <c r="T827" s="168">
        <f>IF(S827&lt;&gt;"",S827,IF(ISERROR(Personalplanung!AE99/Monatsplanung!$E99*Monatsplanung!$N99),0,Personalplanung!AE99/Monatsplanung!$E99*Monatsplanung!$N99))</f>
        <v>0</v>
      </c>
      <c r="U827" s="740"/>
      <c r="V827" s="168">
        <f t="shared" si="255"/>
        <v>0</v>
      </c>
      <c r="W827" s="168">
        <f>IF(ISERROR(Personalplanung!P99/Monatsplanung!$E99*Monatsplanung!$N99),0,Personalplanung!P99/Monatsplanung!$E99*Monatsplanung!$N99)</f>
        <v>0</v>
      </c>
      <c r="X827" s="168">
        <f>IF(ISERROR(Personalplanung!Q99/Monatsplanung!$E99*Monatsplanung!$N99),0,Personalplanung!Q99/Monatsplanung!$E99*Monatsplanung!$N99)</f>
        <v>0</v>
      </c>
      <c r="Y827" s="168">
        <f>IF(ISERROR(Personalplanung!R99/T1347*Stundencontrolling!T827),0,Personalplanung!R99/T1347*Stundencontrolling!T827)</f>
        <v>0</v>
      </c>
      <c r="Z827" s="168">
        <f>IF(ISERROR(Personalplanung!S99/Monatsplanung!$E99*Monatsplanung!$N99),0,Personalplanung!S99/Monatsplanung!$E99*Monatsplanung!$N99)</f>
        <v>0</v>
      </c>
      <c r="AA827" s="80">
        <f t="shared" si="256"/>
        <v>0</v>
      </c>
      <c r="AB827" s="102">
        <f t="shared" si="257"/>
        <v>0.1</v>
      </c>
      <c r="AC827" s="103">
        <f t="shared" si="258"/>
        <v>0</v>
      </c>
      <c r="AD827" s="103">
        <f t="shared" si="259"/>
        <v>0</v>
      </c>
      <c r="AE827" s="81">
        <f t="shared" si="260"/>
        <v>0</v>
      </c>
      <c r="AF827" s="539"/>
      <c r="AG827" s="104">
        <f t="shared" si="261"/>
        <v>1</v>
      </c>
      <c r="AH827" s="7">
        <f t="shared" si="262"/>
        <v>0</v>
      </c>
      <c r="AI827" s="6">
        <f t="shared" si="263"/>
        <v>0</v>
      </c>
      <c r="AJ827" s="73">
        <f t="shared" si="264"/>
        <v>0</v>
      </c>
      <c r="AK827" s="539"/>
      <c r="AL827" s="748"/>
      <c r="AM827" s="748"/>
    </row>
    <row r="828" spans="2:39" x14ac:dyDescent="0.2">
      <c r="B828" s="101" t="str">
        <f t="shared" si="249"/>
        <v/>
      </c>
      <c r="C828" s="168">
        <f>IF(ISERROR(Personalplanung!F100/Monatsplanung!$E100*Monatsplanung!$N100),0,Personalplanung!F100/Monatsplanung!$E100*Monatsplanung!$N100)</f>
        <v>0</v>
      </c>
      <c r="D828" s="168">
        <f t="shared" si="250"/>
        <v>0</v>
      </c>
      <c r="E828" s="168">
        <f>IF(ISERROR(Personalplanung!H100/Monatsplanung!$E100*Monatsplanung!$N100),0,Personalplanung!H100/Monatsplanung!$E100*Monatsplanung!$N100)</f>
        <v>0</v>
      </c>
      <c r="F828" s="168">
        <f t="shared" si="251"/>
        <v>0</v>
      </c>
      <c r="G828" s="168">
        <f t="shared" si="252"/>
        <v>27.700831024930746</v>
      </c>
      <c r="H828" s="168">
        <f t="shared" si="253"/>
        <v>0</v>
      </c>
      <c r="I828" s="168">
        <f t="shared" si="254"/>
        <v>30</v>
      </c>
      <c r="J828" s="739"/>
      <c r="K828" s="168">
        <f>IF(J828&lt;&gt;"",J828,IF(ISERROR(Personalplanung!AB100/Monatsplanung!$E100*Monatsplanung!$N100),0,Personalplanung!AB100/Monatsplanung!$E100*Monatsplanung!$N100))</f>
        <v>0</v>
      </c>
      <c r="L828" s="740"/>
      <c r="M828" s="739"/>
      <c r="N828" s="168">
        <f>IF(M828&lt;&gt;"",M828,IF(ISERROR(Personalplanung!AC100/Monatsplanung!$E100*Monatsplanung!$N100),0,Personalplanung!AC100/Monatsplanung!$E100*Monatsplanung!$N100))</f>
        <v>0</v>
      </c>
      <c r="O828" s="740"/>
      <c r="P828" s="739"/>
      <c r="Q828" s="168">
        <f>IF(P828&lt;&gt;"",P828,IF(ISERROR(Personalplanung!AD100/Monatsplanung!$E100*Monatsplanung!$N100),0,Personalplanung!AD100/Monatsplanung!$E100*Monatsplanung!$N100))</f>
        <v>0</v>
      </c>
      <c r="R828" s="740"/>
      <c r="S828" s="739"/>
      <c r="T828" s="168">
        <f>IF(S828&lt;&gt;"",S828,IF(ISERROR(Personalplanung!AE100/Monatsplanung!$E100*Monatsplanung!$N100),0,Personalplanung!AE100/Monatsplanung!$E100*Monatsplanung!$N100))</f>
        <v>0</v>
      </c>
      <c r="U828" s="740"/>
      <c r="V828" s="168">
        <f t="shared" si="255"/>
        <v>0</v>
      </c>
      <c r="W828" s="168">
        <f>IF(ISERROR(Personalplanung!P100/Monatsplanung!$E100*Monatsplanung!$N100),0,Personalplanung!P100/Monatsplanung!$E100*Monatsplanung!$N100)</f>
        <v>0</v>
      </c>
      <c r="X828" s="168">
        <f>IF(ISERROR(Personalplanung!Q100/Monatsplanung!$E100*Monatsplanung!$N100),0,Personalplanung!Q100/Monatsplanung!$E100*Monatsplanung!$N100)</f>
        <v>0</v>
      </c>
      <c r="Y828" s="168">
        <f>IF(ISERROR(Personalplanung!R100/T1348*Stundencontrolling!T828),0,Personalplanung!R100/T1348*Stundencontrolling!T828)</f>
        <v>0</v>
      </c>
      <c r="Z828" s="168">
        <f>IF(ISERROR(Personalplanung!S100/Monatsplanung!$E100*Monatsplanung!$N100),0,Personalplanung!S100/Monatsplanung!$E100*Monatsplanung!$N100)</f>
        <v>0</v>
      </c>
      <c r="AA828" s="80">
        <f t="shared" si="256"/>
        <v>0</v>
      </c>
      <c r="AB828" s="102">
        <f t="shared" si="257"/>
        <v>0.1</v>
      </c>
      <c r="AC828" s="103">
        <f t="shared" si="258"/>
        <v>0</v>
      </c>
      <c r="AD828" s="103">
        <f t="shared" si="259"/>
        <v>0</v>
      </c>
      <c r="AE828" s="81">
        <f t="shared" si="260"/>
        <v>0</v>
      </c>
      <c r="AF828" s="539"/>
      <c r="AG828" s="104">
        <f t="shared" si="261"/>
        <v>1</v>
      </c>
      <c r="AH828" s="7">
        <f t="shared" si="262"/>
        <v>0</v>
      </c>
      <c r="AI828" s="6">
        <f t="shared" si="263"/>
        <v>0</v>
      </c>
      <c r="AJ828" s="73">
        <f t="shared" si="264"/>
        <v>0</v>
      </c>
      <c r="AK828" s="539"/>
      <c r="AL828" s="748"/>
      <c r="AM828" s="748"/>
    </row>
    <row r="829" spans="2:39" x14ac:dyDescent="0.2">
      <c r="B829" s="101" t="str">
        <f t="shared" si="249"/>
        <v/>
      </c>
      <c r="C829" s="168">
        <f>IF(ISERROR(Personalplanung!F101/Monatsplanung!$E101*Monatsplanung!$N101),0,Personalplanung!F101/Monatsplanung!$E101*Monatsplanung!$N101)</f>
        <v>0</v>
      </c>
      <c r="D829" s="168">
        <f t="shared" si="250"/>
        <v>0</v>
      </c>
      <c r="E829" s="168">
        <f>IF(ISERROR(Personalplanung!H101/Monatsplanung!$E101*Monatsplanung!$N101),0,Personalplanung!H101/Monatsplanung!$E101*Monatsplanung!$N101)</f>
        <v>0</v>
      </c>
      <c r="F829" s="168">
        <f t="shared" si="251"/>
        <v>0</v>
      </c>
      <c r="G829" s="168">
        <f t="shared" si="252"/>
        <v>27.700831024930746</v>
      </c>
      <c r="H829" s="168">
        <f t="shared" si="253"/>
        <v>0</v>
      </c>
      <c r="I829" s="168">
        <f t="shared" si="254"/>
        <v>30</v>
      </c>
      <c r="J829" s="739"/>
      <c r="K829" s="168">
        <f>IF(J829&lt;&gt;"",J829,IF(ISERROR(Personalplanung!AB101/Monatsplanung!$E101*Monatsplanung!$N101),0,Personalplanung!AB101/Monatsplanung!$E101*Monatsplanung!$N101))</f>
        <v>0</v>
      </c>
      <c r="L829" s="740"/>
      <c r="M829" s="739"/>
      <c r="N829" s="168">
        <f>IF(M829&lt;&gt;"",M829,IF(ISERROR(Personalplanung!AC101/Monatsplanung!$E101*Monatsplanung!$N101),0,Personalplanung!AC101/Monatsplanung!$E101*Monatsplanung!$N101))</f>
        <v>0</v>
      </c>
      <c r="O829" s="740"/>
      <c r="P829" s="739"/>
      <c r="Q829" s="168">
        <f>IF(P829&lt;&gt;"",P829,IF(ISERROR(Personalplanung!AD101/Monatsplanung!$E101*Monatsplanung!$N101),0,Personalplanung!AD101/Monatsplanung!$E101*Monatsplanung!$N101))</f>
        <v>0</v>
      </c>
      <c r="R829" s="740"/>
      <c r="S829" s="739"/>
      <c r="T829" s="168">
        <f>IF(S829&lt;&gt;"",S829,IF(ISERROR(Personalplanung!AE101/Monatsplanung!$E101*Monatsplanung!$N101),0,Personalplanung!AE101/Monatsplanung!$E101*Monatsplanung!$N101))</f>
        <v>0</v>
      </c>
      <c r="U829" s="740"/>
      <c r="V829" s="168">
        <f t="shared" si="255"/>
        <v>0</v>
      </c>
      <c r="W829" s="168">
        <f>IF(ISERROR(Personalplanung!P101/Monatsplanung!$E101*Monatsplanung!$N101),0,Personalplanung!P101/Monatsplanung!$E101*Monatsplanung!$N101)</f>
        <v>0</v>
      </c>
      <c r="X829" s="168">
        <f>IF(ISERROR(Personalplanung!Q101/Monatsplanung!$E101*Monatsplanung!$N101),0,Personalplanung!Q101/Monatsplanung!$E101*Monatsplanung!$N101)</f>
        <v>0</v>
      </c>
      <c r="Y829" s="168">
        <f>IF(ISERROR(Personalplanung!R101/T1349*Stundencontrolling!T829),0,Personalplanung!R101/T1349*Stundencontrolling!T829)</f>
        <v>0</v>
      </c>
      <c r="Z829" s="168">
        <f>IF(ISERROR(Personalplanung!S101/Monatsplanung!$E101*Monatsplanung!$N101),0,Personalplanung!S101/Monatsplanung!$E101*Monatsplanung!$N101)</f>
        <v>0</v>
      </c>
      <c r="AA829" s="80">
        <f t="shared" si="256"/>
        <v>0</v>
      </c>
      <c r="AB829" s="102">
        <f t="shared" si="257"/>
        <v>0.1</v>
      </c>
      <c r="AC829" s="103">
        <f t="shared" si="258"/>
        <v>0</v>
      </c>
      <c r="AD829" s="103">
        <f t="shared" si="259"/>
        <v>0</v>
      </c>
      <c r="AE829" s="81">
        <f t="shared" si="260"/>
        <v>0</v>
      </c>
      <c r="AF829" s="539"/>
      <c r="AG829" s="104">
        <f t="shared" si="261"/>
        <v>1</v>
      </c>
      <c r="AH829" s="7">
        <f t="shared" si="262"/>
        <v>0</v>
      </c>
      <c r="AI829" s="6">
        <f t="shared" si="263"/>
        <v>0</v>
      </c>
      <c r="AJ829" s="73">
        <f t="shared" si="264"/>
        <v>0</v>
      </c>
      <c r="AK829" s="539"/>
      <c r="AL829" s="748"/>
      <c r="AM829" s="748"/>
    </row>
    <row r="830" spans="2:39" x14ac:dyDescent="0.2">
      <c r="B830" s="101" t="str">
        <f t="shared" si="249"/>
        <v/>
      </c>
      <c r="C830" s="168">
        <f>IF(ISERROR(Personalplanung!F102/Monatsplanung!$E102*Monatsplanung!$N102),0,Personalplanung!F102/Monatsplanung!$E102*Monatsplanung!$N102)</f>
        <v>0</v>
      </c>
      <c r="D830" s="168">
        <f t="shared" si="250"/>
        <v>0</v>
      </c>
      <c r="E830" s="168">
        <f>IF(ISERROR(Personalplanung!H102/Monatsplanung!$E102*Monatsplanung!$N102),0,Personalplanung!H102/Monatsplanung!$E102*Monatsplanung!$N102)</f>
        <v>0</v>
      </c>
      <c r="F830" s="168">
        <f t="shared" si="251"/>
        <v>0</v>
      </c>
      <c r="G830" s="168">
        <f t="shared" si="252"/>
        <v>27.700831024930746</v>
      </c>
      <c r="H830" s="168">
        <f t="shared" si="253"/>
        <v>0</v>
      </c>
      <c r="I830" s="168">
        <f t="shared" si="254"/>
        <v>30</v>
      </c>
      <c r="J830" s="739"/>
      <c r="K830" s="168">
        <f>IF(J830&lt;&gt;"",J830,IF(ISERROR(Personalplanung!AB102/Monatsplanung!$E102*Monatsplanung!$N102),0,Personalplanung!AB102/Monatsplanung!$E102*Monatsplanung!$N102))</f>
        <v>0</v>
      </c>
      <c r="L830" s="740"/>
      <c r="M830" s="739"/>
      <c r="N830" s="168">
        <f>IF(M830&lt;&gt;"",M830,IF(ISERROR(Personalplanung!AC102/Monatsplanung!$E102*Monatsplanung!$N102),0,Personalplanung!AC102/Monatsplanung!$E102*Monatsplanung!$N102))</f>
        <v>0</v>
      </c>
      <c r="O830" s="740"/>
      <c r="P830" s="739"/>
      <c r="Q830" s="168">
        <f>IF(P830&lt;&gt;"",P830,IF(ISERROR(Personalplanung!AD102/Monatsplanung!$E102*Monatsplanung!$N102),0,Personalplanung!AD102/Monatsplanung!$E102*Monatsplanung!$N102))</f>
        <v>0</v>
      </c>
      <c r="R830" s="740"/>
      <c r="S830" s="739"/>
      <c r="T830" s="168">
        <f>IF(S830&lt;&gt;"",S830,IF(ISERROR(Personalplanung!AE102/Monatsplanung!$E102*Monatsplanung!$N102),0,Personalplanung!AE102/Monatsplanung!$E102*Monatsplanung!$N102))</f>
        <v>0</v>
      </c>
      <c r="U830" s="740"/>
      <c r="V830" s="168">
        <f t="shared" si="255"/>
        <v>0</v>
      </c>
      <c r="W830" s="168">
        <f>IF(ISERROR(Personalplanung!P102/Monatsplanung!$E102*Monatsplanung!$N102),0,Personalplanung!P102/Monatsplanung!$E102*Monatsplanung!$N102)</f>
        <v>0</v>
      </c>
      <c r="X830" s="168">
        <f>IF(ISERROR(Personalplanung!Q102/Monatsplanung!$E102*Monatsplanung!$N102),0,Personalplanung!Q102/Monatsplanung!$E102*Monatsplanung!$N102)</f>
        <v>0</v>
      </c>
      <c r="Y830" s="168">
        <f>IF(ISERROR(Personalplanung!R102/T1350*Stundencontrolling!T830),0,Personalplanung!R102/T1350*Stundencontrolling!T830)</f>
        <v>0</v>
      </c>
      <c r="Z830" s="168">
        <f>IF(ISERROR(Personalplanung!S102/Monatsplanung!$E102*Monatsplanung!$N102),0,Personalplanung!S102/Monatsplanung!$E102*Monatsplanung!$N102)</f>
        <v>0</v>
      </c>
      <c r="AA830" s="80">
        <f t="shared" si="256"/>
        <v>0</v>
      </c>
      <c r="AB830" s="102">
        <f t="shared" si="257"/>
        <v>0.1</v>
      </c>
      <c r="AC830" s="103">
        <f t="shared" si="258"/>
        <v>0</v>
      </c>
      <c r="AD830" s="103">
        <f t="shared" si="259"/>
        <v>0</v>
      </c>
      <c r="AE830" s="81">
        <f t="shared" si="260"/>
        <v>0</v>
      </c>
      <c r="AF830" s="539"/>
      <c r="AG830" s="104">
        <f t="shared" si="261"/>
        <v>1</v>
      </c>
      <c r="AH830" s="7">
        <f t="shared" si="262"/>
        <v>0</v>
      </c>
      <c r="AI830" s="6">
        <f t="shared" si="263"/>
        <v>0</v>
      </c>
      <c r="AJ830" s="73">
        <f t="shared" si="264"/>
        <v>0</v>
      </c>
      <c r="AK830" s="539"/>
      <c r="AL830" s="748"/>
      <c r="AM830" s="748"/>
    </row>
    <row r="831" spans="2:39" x14ac:dyDescent="0.2">
      <c r="B831" s="101" t="str">
        <f t="shared" si="249"/>
        <v/>
      </c>
      <c r="C831" s="168">
        <f>IF(ISERROR(Personalplanung!F103/Monatsplanung!$E103*Monatsplanung!$N103),0,Personalplanung!F103/Monatsplanung!$E103*Monatsplanung!$N103)</f>
        <v>0</v>
      </c>
      <c r="D831" s="168">
        <f t="shared" si="250"/>
        <v>0</v>
      </c>
      <c r="E831" s="168">
        <f>IF(ISERROR(Personalplanung!H103/Monatsplanung!$E103*Monatsplanung!$N103),0,Personalplanung!H103/Monatsplanung!$E103*Monatsplanung!$N103)</f>
        <v>0</v>
      </c>
      <c r="F831" s="168">
        <f t="shared" si="251"/>
        <v>0</v>
      </c>
      <c r="G831" s="168">
        <f t="shared" si="252"/>
        <v>27.700831024930746</v>
      </c>
      <c r="H831" s="168">
        <f t="shared" si="253"/>
        <v>0</v>
      </c>
      <c r="I831" s="168">
        <f t="shared" si="254"/>
        <v>30</v>
      </c>
      <c r="J831" s="739"/>
      <c r="K831" s="168">
        <f>IF(J831&lt;&gt;"",J831,IF(ISERROR(Personalplanung!AB103/Monatsplanung!$E103*Monatsplanung!$N103),0,Personalplanung!AB103/Monatsplanung!$E103*Monatsplanung!$N103))</f>
        <v>0</v>
      </c>
      <c r="L831" s="740"/>
      <c r="M831" s="739"/>
      <c r="N831" s="168">
        <f>IF(M831&lt;&gt;"",M831,IF(ISERROR(Personalplanung!AC103/Monatsplanung!$E103*Monatsplanung!$N103),0,Personalplanung!AC103/Monatsplanung!$E103*Monatsplanung!$N103))</f>
        <v>0</v>
      </c>
      <c r="O831" s="740"/>
      <c r="P831" s="739"/>
      <c r="Q831" s="168">
        <f>IF(P831&lt;&gt;"",P831,IF(ISERROR(Personalplanung!AD103/Monatsplanung!$E103*Monatsplanung!$N103),0,Personalplanung!AD103/Monatsplanung!$E103*Monatsplanung!$N103))</f>
        <v>0</v>
      </c>
      <c r="R831" s="740"/>
      <c r="S831" s="739"/>
      <c r="T831" s="168">
        <f>IF(S831&lt;&gt;"",S831,IF(ISERROR(Personalplanung!AE103/Monatsplanung!$E103*Monatsplanung!$N103),0,Personalplanung!AE103/Monatsplanung!$E103*Monatsplanung!$N103))</f>
        <v>0</v>
      </c>
      <c r="U831" s="740"/>
      <c r="V831" s="168">
        <f t="shared" si="255"/>
        <v>0</v>
      </c>
      <c r="W831" s="168">
        <f>IF(ISERROR(Personalplanung!P103/Monatsplanung!$E103*Monatsplanung!$N103),0,Personalplanung!P103/Monatsplanung!$E103*Monatsplanung!$N103)</f>
        <v>0</v>
      </c>
      <c r="X831" s="168">
        <f>IF(ISERROR(Personalplanung!Q103/Monatsplanung!$E103*Monatsplanung!$N103),0,Personalplanung!Q103/Monatsplanung!$E103*Monatsplanung!$N103)</f>
        <v>0</v>
      </c>
      <c r="Y831" s="168">
        <f>IF(ISERROR(Personalplanung!R103/T1351*Stundencontrolling!T831),0,Personalplanung!R103/T1351*Stundencontrolling!T831)</f>
        <v>0</v>
      </c>
      <c r="Z831" s="168">
        <f>IF(ISERROR(Personalplanung!S103/Monatsplanung!$E103*Monatsplanung!$N103),0,Personalplanung!S103/Monatsplanung!$E103*Monatsplanung!$N103)</f>
        <v>0</v>
      </c>
      <c r="AA831" s="80">
        <f t="shared" si="256"/>
        <v>0</v>
      </c>
      <c r="AB831" s="102">
        <f t="shared" si="257"/>
        <v>0.1</v>
      </c>
      <c r="AC831" s="103">
        <f t="shared" si="258"/>
        <v>0</v>
      </c>
      <c r="AD831" s="103">
        <f t="shared" si="259"/>
        <v>0</v>
      </c>
      <c r="AE831" s="81">
        <f t="shared" si="260"/>
        <v>0</v>
      </c>
      <c r="AF831" s="539"/>
      <c r="AG831" s="104">
        <f t="shared" si="261"/>
        <v>1</v>
      </c>
      <c r="AH831" s="7">
        <f t="shared" si="262"/>
        <v>0</v>
      </c>
      <c r="AI831" s="6">
        <f t="shared" si="263"/>
        <v>0</v>
      </c>
      <c r="AJ831" s="73">
        <f t="shared" si="264"/>
        <v>0</v>
      </c>
      <c r="AK831" s="539"/>
      <c r="AL831" s="748"/>
      <c r="AM831" s="748"/>
    </row>
    <row r="832" spans="2:39" x14ac:dyDescent="0.2">
      <c r="B832" s="101" t="str">
        <f t="shared" si="249"/>
        <v/>
      </c>
      <c r="C832" s="168">
        <f>IF(ISERROR(Personalplanung!F104/Monatsplanung!$E104*Monatsplanung!$N104),0,Personalplanung!F104/Monatsplanung!$E104*Monatsplanung!$N104)</f>
        <v>0</v>
      </c>
      <c r="D832" s="168">
        <f t="shared" si="250"/>
        <v>0</v>
      </c>
      <c r="E832" s="168">
        <f>IF(ISERROR(Personalplanung!H104/Monatsplanung!$E104*Monatsplanung!$N104),0,Personalplanung!H104/Monatsplanung!$E104*Monatsplanung!$N104)</f>
        <v>0</v>
      </c>
      <c r="F832" s="168">
        <f t="shared" si="251"/>
        <v>0</v>
      </c>
      <c r="G832" s="168">
        <f t="shared" si="252"/>
        <v>27.700831024930746</v>
      </c>
      <c r="H832" s="168">
        <f t="shared" si="253"/>
        <v>0</v>
      </c>
      <c r="I832" s="168">
        <f t="shared" si="254"/>
        <v>30</v>
      </c>
      <c r="J832" s="739"/>
      <c r="K832" s="168">
        <f>IF(J832&lt;&gt;"",J832,IF(ISERROR(Personalplanung!AB104/Monatsplanung!$E104*Monatsplanung!$N104),0,Personalplanung!AB104/Monatsplanung!$E104*Monatsplanung!$N104))</f>
        <v>0</v>
      </c>
      <c r="L832" s="740"/>
      <c r="M832" s="739"/>
      <c r="N832" s="168">
        <f>IF(M832&lt;&gt;"",M832,IF(ISERROR(Personalplanung!AC104/Monatsplanung!$E104*Monatsplanung!$N104),0,Personalplanung!AC104/Monatsplanung!$E104*Monatsplanung!$N104))</f>
        <v>0</v>
      </c>
      <c r="O832" s="740"/>
      <c r="P832" s="739"/>
      <c r="Q832" s="168">
        <f>IF(P832&lt;&gt;"",P832,IF(ISERROR(Personalplanung!AD104/Monatsplanung!$E104*Monatsplanung!$N104),0,Personalplanung!AD104/Monatsplanung!$E104*Monatsplanung!$N104))</f>
        <v>0</v>
      </c>
      <c r="R832" s="740"/>
      <c r="S832" s="739"/>
      <c r="T832" s="168">
        <f>IF(S832&lt;&gt;"",S832,IF(ISERROR(Personalplanung!AE104/Monatsplanung!$E104*Monatsplanung!$N104),0,Personalplanung!AE104/Monatsplanung!$E104*Monatsplanung!$N104))</f>
        <v>0</v>
      </c>
      <c r="U832" s="740"/>
      <c r="V832" s="168">
        <f t="shared" si="255"/>
        <v>0</v>
      </c>
      <c r="W832" s="168">
        <f>IF(ISERROR(Personalplanung!P104/Monatsplanung!$E104*Monatsplanung!$N104),0,Personalplanung!P104/Monatsplanung!$E104*Monatsplanung!$N104)</f>
        <v>0</v>
      </c>
      <c r="X832" s="168">
        <f>IF(ISERROR(Personalplanung!Q104/Monatsplanung!$E104*Monatsplanung!$N104),0,Personalplanung!Q104/Monatsplanung!$E104*Monatsplanung!$N104)</f>
        <v>0</v>
      </c>
      <c r="Y832" s="168">
        <f>IF(ISERROR(Personalplanung!R104/T1352*Stundencontrolling!T832),0,Personalplanung!R104/T1352*Stundencontrolling!T832)</f>
        <v>0</v>
      </c>
      <c r="Z832" s="168">
        <f>IF(ISERROR(Personalplanung!S104/Monatsplanung!$E104*Monatsplanung!$N104),0,Personalplanung!S104/Monatsplanung!$E104*Monatsplanung!$N104)</f>
        <v>0</v>
      </c>
      <c r="AA832" s="80">
        <f t="shared" si="256"/>
        <v>0</v>
      </c>
      <c r="AB832" s="102">
        <f t="shared" si="257"/>
        <v>0.1</v>
      </c>
      <c r="AC832" s="103">
        <f t="shared" si="258"/>
        <v>0</v>
      </c>
      <c r="AD832" s="103">
        <f t="shared" si="259"/>
        <v>0</v>
      </c>
      <c r="AE832" s="81">
        <f t="shared" si="260"/>
        <v>0</v>
      </c>
      <c r="AF832" s="539"/>
      <c r="AG832" s="104">
        <f t="shared" si="261"/>
        <v>1</v>
      </c>
      <c r="AH832" s="7">
        <f t="shared" si="262"/>
        <v>0</v>
      </c>
      <c r="AI832" s="6">
        <f t="shared" si="263"/>
        <v>0</v>
      </c>
      <c r="AJ832" s="73">
        <f t="shared" si="264"/>
        <v>0</v>
      </c>
      <c r="AK832" s="539"/>
      <c r="AL832" s="748"/>
      <c r="AM832" s="748"/>
    </row>
    <row r="833" spans="2:39" x14ac:dyDescent="0.2">
      <c r="B833" s="101" t="str">
        <f t="shared" si="249"/>
        <v/>
      </c>
      <c r="C833" s="168">
        <f>IF(ISERROR(Personalplanung!F105/Monatsplanung!$E105*Monatsplanung!$N105),0,Personalplanung!F105/Monatsplanung!$E105*Monatsplanung!$N105)</f>
        <v>0</v>
      </c>
      <c r="D833" s="168">
        <f t="shared" si="250"/>
        <v>0</v>
      </c>
      <c r="E833" s="168">
        <f>IF(ISERROR(Personalplanung!H105/Monatsplanung!$E105*Monatsplanung!$N105),0,Personalplanung!H105/Monatsplanung!$E105*Monatsplanung!$N105)</f>
        <v>0</v>
      </c>
      <c r="F833" s="168">
        <f t="shared" si="251"/>
        <v>0</v>
      </c>
      <c r="G833" s="168">
        <f t="shared" si="252"/>
        <v>27.700831024930746</v>
      </c>
      <c r="H833" s="168">
        <f t="shared" si="253"/>
        <v>0</v>
      </c>
      <c r="I833" s="168">
        <f t="shared" si="254"/>
        <v>30</v>
      </c>
      <c r="J833" s="739"/>
      <c r="K833" s="168">
        <f>IF(J833&lt;&gt;"",J833,IF(ISERROR(Personalplanung!AB105/Monatsplanung!$E105*Monatsplanung!$N105),0,Personalplanung!AB105/Monatsplanung!$E105*Monatsplanung!$N105))</f>
        <v>0</v>
      </c>
      <c r="L833" s="740"/>
      <c r="M833" s="739"/>
      <c r="N833" s="168">
        <f>IF(M833&lt;&gt;"",M833,IF(ISERROR(Personalplanung!AC105/Monatsplanung!$E105*Monatsplanung!$N105),0,Personalplanung!AC105/Monatsplanung!$E105*Monatsplanung!$N105))</f>
        <v>0</v>
      </c>
      <c r="O833" s="740"/>
      <c r="P833" s="739"/>
      <c r="Q833" s="168">
        <f>IF(P833&lt;&gt;"",P833,IF(ISERROR(Personalplanung!AD105/Monatsplanung!$E105*Monatsplanung!$N105),0,Personalplanung!AD105/Monatsplanung!$E105*Monatsplanung!$N105))</f>
        <v>0</v>
      </c>
      <c r="R833" s="740"/>
      <c r="S833" s="739"/>
      <c r="T833" s="168">
        <f>IF(S833&lt;&gt;"",S833,IF(ISERROR(Personalplanung!AE105/Monatsplanung!$E105*Monatsplanung!$N105),0,Personalplanung!AE105/Monatsplanung!$E105*Monatsplanung!$N105))</f>
        <v>0</v>
      </c>
      <c r="U833" s="740"/>
      <c r="V833" s="168">
        <f t="shared" si="255"/>
        <v>0</v>
      </c>
      <c r="W833" s="168">
        <f>IF(ISERROR(Personalplanung!P105/Monatsplanung!$E105*Monatsplanung!$N105),0,Personalplanung!P105/Monatsplanung!$E105*Monatsplanung!$N105)</f>
        <v>0</v>
      </c>
      <c r="X833" s="168">
        <f>IF(ISERROR(Personalplanung!Q105/Monatsplanung!$E105*Monatsplanung!$N105),0,Personalplanung!Q105/Monatsplanung!$E105*Monatsplanung!$N105)</f>
        <v>0</v>
      </c>
      <c r="Y833" s="168">
        <f>IF(ISERROR(Personalplanung!R105/T1353*Stundencontrolling!T833),0,Personalplanung!R105/T1353*Stundencontrolling!T833)</f>
        <v>0</v>
      </c>
      <c r="Z833" s="168">
        <f>IF(ISERROR(Personalplanung!S105/Monatsplanung!$E105*Monatsplanung!$N105),0,Personalplanung!S105/Monatsplanung!$E105*Monatsplanung!$N105)</f>
        <v>0</v>
      </c>
      <c r="AA833" s="80">
        <f t="shared" si="256"/>
        <v>0</v>
      </c>
      <c r="AB833" s="102">
        <f t="shared" si="257"/>
        <v>0.1</v>
      </c>
      <c r="AC833" s="103">
        <f t="shared" si="258"/>
        <v>0</v>
      </c>
      <c r="AD833" s="103">
        <f t="shared" si="259"/>
        <v>0</v>
      </c>
      <c r="AE833" s="81">
        <f t="shared" si="260"/>
        <v>0</v>
      </c>
      <c r="AF833" s="539"/>
      <c r="AG833" s="104">
        <f t="shared" si="261"/>
        <v>1</v>
      </c>
      <c r="AH833" s="7">
        <f t="shared" si="262"/>
        <v>0</v>
      </c>
      <c r="AI833" s="6">
        <f t="shared" si="263"/>
        <v>0</v>
      </c>
      <c r="AJ833" s="73">
        <f t="shared" si="264"/>
        <v>0</v>
      </c>
      <c r="AK833" s="539"/>
      <c r="AL833" s="748"/>
      <c r="AM833" s="748"/>
    </row>
    <row r="834" spans="2:39" x14ac:dyDescent="0.2">
      <c r="B834" s="101" t="str">
        <f t="shared" si="249"/>
        <v/>
      </c>
      <c r="C834" s="168">
        <f>IF(ISERROR(Personalplanung!F106/Monatsplanung!$E106*Monatsplanung!$N106),0,Personalplanung!F106/Monatsplanung!$E106*Monatsplanung!$N106)</f>
        <v>0</v>
      </c>
      <c r="D834" s="168">
        <f t="shared" si="250"/>
        <v>0</v>
      </c>
      <c r="E834" s="168">
        <f>IF(ISERROR(Personalplanung!H106/Monatsplanung!$E106*Monatsplanung!$N106),0,Personalplanung!H106/Monatsplanung!$E106*Monatsplanung!$N106)</f>
        <v>0</v>
      </c>
      <c r="F834" s="168">
        <f t="shared" si="251"/>
        <v>0</v>
      </c>
      <c r="G834" s="168">
        <f t="shared" si="252"/>
        <v>27.700831024930746</v>
      </c>
      <c r="H834" s="168">
        <f t="shared" si="253"/>
        <v>0</v>
      </c>
      <c r="I834" s="168">
        <f t="shared" si="254"/>
        <v>30</v>
      </c>
      <c r="J834" s="739"/>
      <c r="K834" s="168">
        <f>IF(J834&lt;&gt;"",J834,IF(ISERROR(Personalplanung!AB106/Monatsplanung!$E106*Monatsplanung!$N106),0,Personalplanung!AB106/Monatsplanung!$E106*Monatsplanung!$N106))</f>
        <v>0</v>
      </c>
      <c r="L834" s="740"/>
      <c r="M834" s="739"/>
      <c r="N834" s="168">
        <f>IF(M834&lt;&gt;"",M834,IF(ISERROR(Personalplanung!AC106/Monatsplanung!$E106*Monatsplanung!$N106),0,Personalplanung!AC106/Monatsplanung!$E106*Monatsplanung!$N106))</f>
        <v>0</v>
      </c>
      <c r="O834" s="740"/>
      <c r="P834" s="739"/>
      <c r="Q834" s="168">
        <f>IF(P834&lt;&gt;"",P834,IF(ISERROR(Personalplanung!AD106/Monatsplanung!$E106*Monatsplanung!$N106),0,Personalplanung!AD106/Monatsplanung!$E106*Monatsplanung!$N106))</f>
        <v>0</v>
      </c>
      <c r="R834" s="740"/>
      <c r="S834" s="739"/>
      <c r="T834" s="168">
        <f>IF(S834&lt;&gt;"",S834,IF(ISERROR(Personalplanung!AE106/Monatsplanung!$E106*Monatsplanung!$N106),0,Personalplanung!AE106/Monatsplanung!$E106*Monatsplanung!$N106))</f>
        <v>0</v>
      </c>
      <c r="U834" s="740"/>
      <c r="V834" s="168">
        <f t="shared" si="255"/>
        <v>0</v>
      </c>
      <c r="W834" s="168">
        <f>IF(ISERROR(Personalplanung!P106/Monatsplanung!$E106*Monatsplanung!$N106),0,Personalplanung!P106/Monatsplanung!$E106*Monatsplanung!$N106)</f>
        <v>0</v>
      </c>
      <c r="X834" s="168">
        <f>IF(ISERROR(Personalplanung!Q106/Monatsplanung!$E106*Monatsplanung!$N106),0,Personalplanung!Q106/Monatsplanung!$E106*Monatsplanung!$N106)</f>
        <v>0</v>
      </c>
      <c r="Y834" s="168">
        <f>IF(ISERROR(Personalplanung!R106/T1354*Stundencontrolling!T834),0,Personalplanung!R106/T1354*Stundencontrolling!T834)</f>
        <v>0</v>
      </c>
      <c r="Z834" s="168">
        <f>IF(ISERROR(Personalplanung!S106/Monatsplanung!$E106*Monatsplanung!$N106),0,Personalplanung!S106/Monatsplanung!$E106*Monatsplanung!$N106)</f>
        <v>0</v>
      </c>
      <c r="AA834" s="80">
        <f t="shared" si="256"/>
        <v>0</v>
      </c>
      <c r="AB834" s="102">
        <f t="shared" si="257"/>
        <v>0.1</v>
      </c>
      <c r="AC834" s="103">
        <f t="shared" si="258"/>
        <v>0</v>
      </c>
      <c r="AD834" s="103">
        <f t="shared" si="259"/>
        <v>0</v>
      </c>
      <c r="AE834" s="81">
        <f t="shared" si="260"/>
        <v>0</v>
      </c>
      <c r="AF834" s="539"/>
      <c r="AG834" s="104">
        <f t="shared" si="261"/>
        <v>1</v>
      </c>
      <c r="AH834" s="7">
        <f t="shared" si="262"/>
        <v>0</v>
      </c>
      <c r="AI834" s="6">
        <f t="shared" si="263"/>
        <v>0</v>
      </c>
      <c r="AJ834" s="73">
        <f t="shared" si="264"/>
        <v>0</v>
      </c>
      <c r="AK834" s="539"/>
      <c r="AL834" s="748"/>
      <c r="AM834" s="748"/>
    </row>
    <row r="835" spans="2:39" x14ac:dyDescent="0.2">
      <c r="B835" s="500" t="s">
        <v>134</v>
      </c>
      <c r="C835" s="501">
        <f>+SUM(C734:C834)</f>
        <v>2618.6999999999998</v>
      </c>
      <c r="D835" s="501"/>
      <c r="E835" s="501">
        <f>+SUM(E734:E834)</f>
        <v>120.00000000000001</v>
      </c>
      <c r="F835" s="501">
        <f>+SUM(F734:F834)</f>
        <v>2738.7</v>
      </c>
      <c r="G835" s="501">
        <f>IF(ISERROR(+H835/F835),0,+H835/F835)</f>
        <v>27.700831024930746</v>
      </c>
      <c r="H835" s="501">
        <f>+SUM(H734:H834)</f>
        <v>75864.265927977831</v>
      </c>
      <c r="I835" s="501"/>
      <c r="J835" s="501"/>
      <c r="K835" s="501">
        <f t="shared" ref="K835:V835" si="265">+SUM(K734:K834)</f>
        <v>11.516666666666666</v>
      </c>
      <c r="L835" s="501"/>
      <c r="M835" s="501"/>
      <c r="N835" s="501">
        <f>+SUM(N734:N834)</f>
        <v>1.25</v>
      </c>
      <c r="O835" s="501"/>
      <c r="P835" s="501"/>
      <c r="Q835" s="501">
        <f>+SUM(Q734:Q834)</f>
        <v>3.0666666666666664</v>
      </c>
      <c r="R835" s="501"/>
      <c r="S835" s="501"/>
      <c r="T835" s="501">
        <f>+SUM(T734:T834)</f>
        <v>37.866666666666667</v>
      </c>
      <c r="U835" s="501"/>
      <c r="V835" s="501">
        <f t="shared" si="265"/>
        <v>53.7</v>
      </c>
      <c r="W835" s="501">
        <f>+SUM(W734:W834)</f>
        <v>12</v>
      </c>
      <c r="X835" s="501">
        <f>+SUM(X734:X834)</f>
        <v>166.66666666666666</v>
      </c>
      <c r="Y835" s="501">
        <f>+SUM(Y734:Y834)</f>
        <v>66.666666666666657</v>
      </c>
      <c r="Z835" s="501">
        <f>+SUM(Z734:Z834)</f>
        <v>50</v>
      </c>
      <c r="AA835" s="503">
        <f>SUM(AA734:AA834)</f>
        <v>2352087.5771006462</v>
      </c>
      <c r="AB835" s="502">
        <f>+AC835/AA835</f>
        <v>9.9999999999999992E-2</v>
      </c>
      <c r="AC835" s="503">
        <f>SUM(AC734:AC834)</f>
        <v>235208.75771006462</v>
      </c>
      <c r="AD835" s="503">
        <f>SUM(AD734:AD834)</f>
        <v>2116878.8193905815</v>
      </c>
      <c r="AE835" s="504">
        <f>SUM(AE734:AE834)</f>
        <v>233.16333333333336</v>
      </c>
      <c r="AF835" s="504">
        <f>SUM(AF734:AF834)</f>
        <v>0</v>
      </c>
      <c r="AG835" s="505">
        <f>AI835/AE835</f>
        <v>1</v>
      </c>
      <c r="AH835" s="505">
        <f t="shared" si="231"/>
        <v>0</v>
      </c>
      <c r="AI835" s="504">
        <f>SUM(AI734:AI834)</f>
        <v>233.16333333333336</v>
      </c>
      <c r="AJ835" s="506">
        <f t="shared" si="232"/>
        <v>1008.7724958615474</v>
      </c>
      <c r="AK835" s="504">
        <f>SUM(AK734:AK834)</f>
        <v>0</v>
      </c>
      <c r="AL835" s="747"/>
      <c r="AM835" s="506">
        <f>$AM$107</f>
        <v>75.851340181839646</v>
      </c>
    </row>
    <row r="836" spans="2:39" x14ac:dyDescent="0.2">
      <c r="B836" s="8"/>
      <c r="C836" s="8"/>
      <c r="D836" s="8"/>
      <c r="E836" s="8"/>
      <c r="F836" s="8"/>
      <c r="G836" s="8"/>
      <c r="H836" s="8"/>
      <c r="I836" s="737"/>
      <c r="J836" s="737"/>
      <c r="K836" s="8"/>
      <c r="L836" s="8"/>
      <c r="M836" s="737"/>
      <c r="N836" s="8"/>
      <c r="O836" s="8"/>
      <c r="P836" s="737"/>
      <c r="Q836" s="8"/>
      <c r="R836" s="8"/>
      <c r="S836" s="737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6"/>
      <c r="AF836" s="10"/>
      <c r="AG836" s="9"/>
      <c r="AH836" s="9"/>
      <c r="AI836" s="6"/>
      <c r="AJ836" s="10"/>
      <c r="AK836" s="10"/>
      <c r="AL836" s="10"/>
      <c r="AM836" s="74"/>
    </row>
    <row r="837" spans="2:39" x14ac:dyDescent="0.2">
      <c r="B837" s="500" t="s">
        <v>54</v>
      </c>
      <c r="C837" s="501"/>
      <c r="D837" s="501"/>
      <c r="E837" s="501"/>
      <c r="F837" s="501"/>
      <c r="G837" s="501"/>
      <c r="H837" s="501"/>
      <c r="I837" s="501"/>
      <c r="J837" s="501"/>
      <c r="K837" s="501"/>
      <c r="L837" s="501"/>
      <c r="M837" s="501"/>
      <c r="N837" s="501"/>
      <c r="O837" s="501"/>
      <c r="P837" s="501"/>
      <c r="Q837" s="501"/>
      <c r="R837" s="501"/>
      <c r="S837" s="501"/>
      <c r="T837" s="501"/>
      <c r="U837" s="501"/>
      <c r="V837" s="501"/>
      <c r="W837" s="501"/>
      <c r="X837" s="501"/>
      <c r="Y837" s="501"/>
      <c r="Z837" s="501"/>
      <c r="AA837" s="503"/>
      <c r="AB837" s="502"/>
      <c r="AC837" s="503"/>
      <c r="AD837" s="503"/>
      <c r="AE837" s="504"/>
      <c r="AF837" s="504"/>
      <c r="AG837" s="505"/>
      <c r="AH837" s="505"/>
      <c r="AI837" s="504"/>
      <c r="AJ837" s="506"/>
      <c r="AK837" s="504"/>
      <c r="AL837" s="504"/>
      <c r="AM837" s="506"/>
    </row>
    <row r="838" spans="2:39" x14ac:dyDescent="0.2">
      <c r="B838" s="101" t="str">
        <f>$B734</f>
        <v>Maxdivers Mustermann</v>
      </c>
      <c r="C838" s="168">
        <f>IF(ISERROR(Personalplanung!F6/Monatsplanung!$E6*Monatsplanung!$O6),0,Personalplanung!F6/Monatsplanung!$E6*Monatsplanung!$O6)</f>
        <v>174</v>
      </c>
      <c r="D838" s="168">
        <f>$D734</f>
        <v>8</v>
      </c>
      <c r="E838" s="168">
        <f>IF(ISERROR(Personalplanung!H6/Monatsplanung!$E6*Monatsplanung!$O6),0,Personalplanung!H6/Monatsplanung!$E6*Monatsplanung!$O6)</f>
        <v>66.666666666666671</v>
      </c>
      <c r="F838" s="168">
        <f>+C838+E838</f>
        <v>240.66666666666669</v>
      </c>
      <c r="G838" s="168">
        <f>$G$6</f>
        <v>27.700831024930746</v>
      </c>
      <c r="H838" s="168">
        <f>+F838*G838</f>
        <v>6666.666666666667</v>
      </c>
      <c r="I838" s="168">
        <f>$I$6</f>
        <v>30</v>
      </c>
      <c r="J838" s="739"/>
      <c r="K838" s="168">
        <f>IF(J838&lt;&gt;"",J838,IF(ISERROR(Personalplanung!AB6/Monatsplanung!$E6*Monatsplanung!$O6),0,Personalplanung!AB6/Monatsplanung!$E6*Monatsplanung!$O6))</f>
        <v>0.66666666666666663</v>
      </c>
      <c r="L838" s="740"/>
      <c r="M838" s="739"/>
      <c r="N838" s="168">
        <f>IF(M838&lt;&gt;"",M838,IF(ISERROR(Personalplanung!AC6/Monatsplanung!$E6*Monatsplanung!$O6),0,Personalplanung!AC6/Monatsplanung!$E6*Monatsplanung!$O6))</f>
        <v>0</v>
      </c>
      <c r="O838" s="740"/>
      <c r="P838" s="739"/>
      <c r="Q838" s="168">
        <f>IF(P838&lt;&gt;"",P838,IF(ISERROR(Personalplanung!AD6/Monatsplanung!$E6*Monatsplanung!$O6),0,Personalplanung!AD6/Monatsplanung!$E6*Monatsplanung!$O6))</f>
        <v>0.16666666666666666</v>
      </c>
      <c r="R838" s="740"/>
      <c r="S838" s="739"/>
      <c r="T838" s="168">
        <f>IF(S838&lt;&gt;"",S838,IF(ISERROR(Personalplanung!AE6/Monatsplanung!$E6*Monatsplanung!$O6),0,Personalplanung!AE6/Monatsplanung!$E6*Monatsplanung!$O6))</f>
        <v>1.25</v>
      </c>
      <c r="U838" s="740"/>
      <c r="V838" s="168">
        <f>K838+N838+Q838+T838</f>
        <v>2.083333333333333</v>
      </c>
      <c r="W838" s="168">
        <f>IF(ISERROR(Personalplanung!P6/Monatsplanung!$E6*Monatsplanung!$O6),0,Personalplanung!P6/Monatsplanung!$E6*Monatsplanung!$O6)</f>
        <v>0</v>
      </c>
      <c r="X838" s="168">
        <f>IF(ISERROR(Personalplanung!Q6/Monatsplanung!$E6*Monatsplanung!$O6),0,Personalplanung!Q6/Monatsplanung!$E6*Monatsplanung!$O6)</f>
        <v>0</v>
      </c>
      <c r="Y838" s="168">
        <f>IF(ISERROR(Personalplanung!R6/T1254*Stundencontrolling!T838),0,Personalplanung!R6/T1254*Stundencontrolling!T838)</f>
        <v>0</v>
      </c>
      <c r="Z838" s="168">
        <f>IF(ISERROR(Personalplanung!S6/Monatsplanung!$E6*Monatsplanung!$O6),0,Personalplanung!S6/Monatsplanung!$E6*Monatsplanung!$O6)</f>
        <v>0</v>
      </c>
      <c r="AA838" s="80">
        <f>+F838*G838*(1+I838)+SUM(W838:Z838)</f>
        <v>206666.66666666669</v>
      </c>
      <c r="AB838" s="102">
        <f>$AB$6</f>
        <v>0.1</v>
      </c>
      <c r="AC838" s="103">
        <f>AB838*AA838</f>
        <v>20666.666666666672</v>
      </c>
      <c r="AD838" s="103">
        <f>AA838-AC838</f>
        <v>186000</v>
      </c>
      <c r="AE838" s="81">
        <f>(F838-(V838*$D838))*AB838</f>
        <v>22.400000000000006</v>
      </c>
      <c r="AF838" s="539"/>
      <c r="AG838" s="104">
        <f>$AG$6</f>
        <v>1</v>
      </c>
      <c r="AH838" s="7">
        <f t="shared" ref="AH838:AH939" si="266">IF(ISERROR(AK838/AF838),0,AK838/AF838)</f>
        <v>0</v>
      </c>
      <c r="AI838" s="6">
        <f>AE838*AG838</f>
        <v>22.400000000000006</v>
      </c>
      <c r="AJ838" s="73">
        <f t="shared" ref="AJ838:AJ939" si="267">IF(ISERROR(+AC838/AI838),0,+AC838/AI838)</f>
        <v>922.61904761904759</v>
      </c>
      <c r="AK838" s="539"/>
      <c r="AL838" s="748"/>
      <c r="AM838" s="748"/>
    </row>
    <row r="839" spans="2:39" x14ac:dyDescent="0.2">
      <c r="B839" s="101" t="str">
        <f t="shared" ref="B839:B902" si="268">$B735</f>
        <v>Egon Kaufmann</v>
      </c>
      <c r="C839" s="168">
        <f>IF(ISERROR(Personalplanung!F7/Monatsplanung!$E7*Monatsplanung!$O7),0,Personalplanung!F7/Monatsplanung!$E7*Monatsplanung!$O7)</f>
        <v>174</v>
      </c>
      <c r="D839" s="168">
        <f t="shared" ref="D839:D902" si="269">$D735</f>
        <v>8</v>
      </c>
      <c r="E839" s="168">
        <f>IF(ISERROR(Personalplanung!H7/Monatsplanung!$E7*Monatsplanung!$O7),0,Personalplanung!H7/Monatsplanung!$E7*Monatsplanung!$O7)</f>
        <v>26.666666666666668</v>
      </c>
      <c r="F839" s="168">
        <f t="shared" ref="F839:F902" si="270">+C839+E839</f>
        <v>200.66666666666666</v>
      </c>
      <c r="G839" s="168">
        <f t="shared" ref="G839:G902" si="271">$G$6</f>
        <v>27.700831024930746</v>
      </c>
      <c r="H839" s="168">
        <f t="shared" ref="H839:H902" si="272">+F839*G839</f>
        <v>5558.6334256694363</v>
      </c>
      <c r="I839" s="168">
        <f t="shared" ref="I839:I902" si="273">$I$6</f>
        <v>30</v>
      </c>
      <c r="J839" s="739"/>
      <c r="K839" s="168">
        <f>IF(J839&lt;&gt;"",J839,IF(ISERROR(Personalplanung!AB7/Monatsplanung!$E7*Monatsplanung!$O7),0,Personalplanung!AB7/Monatsplanung!$E7*Monatsplanung!$O7))</f>
        <v>0.66666666666666663</v>
      </c>
      <c r="L839" s="740"/>
      <c r="M839" s="739"/>
      <c r="N839" s="168">
        <f>IF(M839&lt;&gt;"",M839,IF(ISERROR(Personalplanung!AC7/Monatsplanung!$E7*Monatsplanung!$O7),0,Personalplanung!AC7/Monatsplanung!$E7*Monatsplanung!$O7))</f>
        <v>0</v>
      </c>
      <c r="O839" s="740"/>
      <c r="P839" s="739"/>
      <c r="Q839" s="168">
        <f>IF(P839&lt;&gt;"",P839,IF(ISERROR(Personalplanung!AD7/Monatsplanung!$E7*Monatsplanung!$O7),0,Personalplanung!AD7/Monatsplanung!$E7*Monatsplanung!$O7))</f>
        <v>0.16666666666666666</v>
      </c>
      <c r="R839" s="740"/>
      <c r="S839" s="739"/>
      <c r="T839" s="168">
        <f>IF(S839&lt;&gt;"",S839,IF(ISERROR(Personalplanung!AE7/Monatsplanung!$E7*Monatsplanung!$O7),0,Personalplanung!AE7/Monatsplanung!$E7*Monatsplanung!$O7))</f>
        <v>2.1666666666666665</v>
      </c>
      <c r="U839" s="740"/>
      <c r="V839" s="168">
        <f t="shared" ref="V839:V902" si="274">K839+N839+Q839+T839</f>
        <v>3</v>
      </c>
      <c r="W839" s="168">
        <f>IF(ISERROR(Personalplanung!P7/Monatsplanung!$E7*Monatsplanung!$O7),0,Personalplanung!P7/Monatsplanung!$E7*Monatsplanung!$O7)</f>
        <v>0</v>
      </c>
      <c r="X839" s="168">
        <f>IF(ISERROR(Personalplanung!Q7/Monatsplanung!$E7*Monatsplanung!$O7),0,Personalplanung!Q7/Monatsplanung!$E7*Monatsplanung!$O7)</f>
        <v>0</v>
      </c>
      <c r="Y839" s="168">
        <f>IF(ISERROR(Personalplanung!R7/T1255*Stundencontrolling!T839),0,Personalplanung!R7/T1255*Stundencontrolling!T839)</f>
        <v>0</v>
      </c>
      <c r="Z839" s="168">
        <f>IF(ISERROR(Personalplanung!S7/Monatsplanung!$E7*Monatsplanung!$O7),0,Personalplanung!S7/Monatsplanung!$E7*Monatsplanung!$O7)</f>
        <v>0</v>
      </c>
      <c r="AA839" s="80">
        <f t="shared" ref="AA839:AA902" si="275">+F839*G839*(1+I839)+SUM(W839:Z839)</f>
        <v>172317.63619575254</v>
      </c>
      <c r="AB839" s="102">
        <f t="shared" ref="AB839:AB902" si="276">$AB$6</f>
        <v>0.1</v>
      </c>
      <c r="AC839" s="103">
        <f t="shared" ref="AC839:AC902" si="277">AB839*AA839</f>
        <v>17231.763619575253</v>
      </c>
      <c r="AD839" s="103">
        <f t="shared" ref="AD839:AD902" si="278">AA839-AC839</f>
        <v>155085.87257617729</v>
      </c>
      <c r="AE839" s="81">
        <f t="shared" ref="AE839:AE902" si="279">(F839-(V839*$D839))*AB839</f>
        <v>17.666666666666668</v>
      </c>
      <c r="AF839" s="539"/>
      <c r="AG839" s="104">
        <f t="shared" ref="AG839:AG902" si="280">$AG$6</f>
        <v>1</v>
      </c>
      <c r="AH839" s="7">
        <f t="shared" ref="AH839:AH902" si="281">IF(ISERROR(AK839/AF839),0,AK839/AF839)</f>
        <v>0</v>
      </c>
      <c r="AI839" s="6">
        <f t="shared" ref="AI839:AI902" si="282">AE839*AG839</f>
        <v>17.666666666666668</v>
      </c>
      <c r="AJ839" s="73">
        <f t="shared" ref="AJ839:AJ902" si="283">IF(ISERROR(+AC839/AI839),0,+AC839/AI839)</f>
        <v>975.382846391052</v>
      </c>
      <c r="AK839" s="539"/>
      <c r="AL839" s="748"/>
      <c r="AM839" s="748"/>
    </row>
    <row r="840" spans="2:39" x14ac:dyDescent="0.2">
      <c r="B840" s="101" t="str">
        <f t="shared" si="268"/>
        <v>Walter Meister</v>
      </c>
      <c r="C840" s="168">
        <f>IF(ISERROR(Personalplanung!F8/Monatsplanung!$E8*Monatsplanung!$O8),0,Personalplanung!F8/Monatsplanung!$E8*Monatsplanung!$O8)</f>
        <v>174</v>
      </c>
      <c r="D840" s="168">
        <f t="shared" si="269"/>
        <v>8</v>
      </c>
      <c r="E840" s="168">
        <f>IF(ISERROR(Personalplanung!H8/Monatsplanung!$E8*Monatsplanung!$O8),0,Personalplanung!H8/Monatsplanung!$E8*Monatsplanung!$O8)</f>
        <v>26.666666666666668</v>
      </c>
      <c r="F840" s="168">
        <f t="shared" si="270"/>
        <v>200.66666666666666</v>
      </c>
      <c r="G840" s="168">
        <f t="shared" si="271"/>
        <v>27.700831024930746</v>
      </c>
      <c r="H840" s="168">
        <f t="shared" si="272"/>
        <v>5558.6334256694363</v>
      </c>
      <c r="I840" s="168">
        <f t="shared" si="273"/>
        <v>30</v>
      </c>
      <c r="J840" s="739"/>
      <c r="K840" s="168">
        <f>IF(J840&lt;&gt;"",J840,IF(ISERROR(Personalplanung!AB8/Monatsplanung!$E8*Monatsplanung!$O8),0,Personalplanung!AB8/Monatsplanung!$E8*Monatsplanung!$O8))</f>
        <v>0.66666666666666663</v>
      </c>
      <c r="L840" s="740"/>
      <c r="M840" s="739"/>
      <c r="N840" s="168">
        <f>IF(M840&lt;&gt;"",M840,IF(ISERROR(Personalplanung!AC8/Monatsplanung!$E8*Monatsplanung!$O8),0,Personalplanung!AC8/Monatsplanung!$E8*Monatsplanung!$O8))</f>
        <v>8.3333333333333329E-2</v>
      </c>
      <c r="O840" s="740"/>
      <c r="P840" s="739"/>
      <c r="Q840" s="168">
        <f>IF(P840&lt;&gt;"",P840,IF(ISERROR(Personalplanung!AD8/Monatsplanung!$E8*Monatsplanung!$O8),0,Personalplanung!AD8/Monatsplanung!$E8*Monatsplanung!$O8))</f>
        <v>0.16666666666666666</v>
      </c>
      <c r="R840" s="740"/>
      <c r="S840" s="739"/>
      <c r="T840" s="168">
        <f>IF(S840&lt;&gt;"",S840,IF(ISERROR(Personalplanung!AE8/Monatsplanung!$E8*Monatsplanung!$O8),0,Personalplanung!AE8/Monatsplanung!$E8*Monatsplanung!$O8))</f>
        <v>2.1666666666666665</v>
      </c>
      <c r="U840" s="740"/>
      <c r="V840" s="168">
        <f t="shared" si="274"/>
        <v>3.083333333333333</v>
      </c>
      <c r="W840" s="168">
        <f>IF(ISERROR(Personalplanung!P8/Monatsplanung!$E8*Monatsplanung!$O8),0,Personalplanung!P8/Monatsplanung!$E8*Monatsplanung!$O8)</f>
        <v>0</v>
      </c>
      <c r="X840" s="168">
        <f>IF(ISERROR(Personalplanung!Q8/Monatsplanung!$E8*Monatsplanung!$O8),0,Personalplanung!Q8/Monatsplanung!$E8*Monatsplanung!$O8)</f>
        <v>0</v>
      </c>
      <c r="Y840" s="168">
        <f>IF(ISERROR(Personalplanung!R8/T1256*Stundencontrolling!T840),0,Personalplanung!R8/T1256*Stundencontrolling!T840)</f>
        <v>0</v>
      </c>
      <c r="Z840" s="168">
        <f>IF(ISERROR(Personalplanung!S8/Monatsplanung!$E8*Monatsplanung!$O8),0,Personalplanung!S8/Monatsplanung!$E8*Monatsplanung!$O8)</f>
        <v>0</v>
      </c>
      <c r="AA840" s="80">
        <f t="shared" si="275"/>
        <v>172317.63619575254</v>
      </c>
      <c r="AB840" s="102">
        <f t="shared" si="276"/>
        <v>0.1</v>
      </c>
      <c r="AC840" s="103">
        <f t="shared" si="277"/>
        <v>17231.763619575253</v>
      </c>
      <c r="AD840" s="103">
        <f t="shared" si="278"/>
        <v>155085.87257617729</v>
      </c>
      <c r="AE840" s="81">
        <f t="shared" si="279"/>
        <v>17.600000000000001</v>
      </c>
      <c r="AF840" s="539"/>
      <c r="AG840" s="104">
        <f t="shared" si="280"/>
        <v>1</v>
      </c>
      <c r="AH840" s="7">
        <f t="shared" si="281"/>
        <v>0</v>
      </c>
      <c r="AI840" s="6">
        <f t="shared" si="282"/>
        <v>17.600000000000001</v>
      </c>
      <c r="AJ840" s="73">
        <f t="shared" si="283"/>
        <v>979.07747838495743</v>
      </c>
      <c r="AK840" s="539"/>
      <c r="AL840" s="748"/>
      <c r="AM840" s="748"/>
    </row>
    <row r="841" spans="2:39" x14ac:dyDescent="0.2">
      <c r="B841" s="101" t="str">
        <f t="shared" si="268"/>
        <v>Tom in Technik</v>
      </c>
      <c r="C841" s="168">
        <f>IF(ISERROR(Personalplanung!F9/Monatsplanung!$E9*Monatsplanung!$O9),0,Personalplanung!F9/Monatsplanung!$E9*Monatsplanung!$O9)</f>
        <v>174</v>
      </c>
      <c r="D841" s="168">
        <f t="shared" si="269"/>
        <v>8</v>
      </c>
      <c r="E841" s="168">
        <f>IF(ISERROR(Personalplanung!H9/Monatsplanung!$E9*Monatsplanung!$O9),0,Personalplanung!H9/Monatsplanung!$E9*Monatsplanung!$O9)</f>
        <v>0</v>
      </c>
      <c r="F841" s="168">
        <f t="shared" si="270"/>
        <v>174</v>
      </c>
      <c r="G841" s="168">
        <f t="shared" si="271"/>
        <v>27.700831024930746</v>
      </c>
      <c r="H841" s="168">
        <f t="shared" si="272"/>
        <v>4819.9445983379501</v>
      </c>
      <c r="I841" s="168">
        <f t="shared" si="273"/>
        <v>30</v>
      </c>
      <c r="J841" s="739"/>
      <c r="K841" s="168">
        <f>IF(J841&lt;&gt;"",J841,IF(ISERROR(Personalplanung!AB9/Monatsplanung!$E9*Monatsplanung!$O9),0,Personalplanung!AB9/Monatsplanung!$E9*Monatsplanung!$O9))</f>
        <v>0.66666666666666663</v>
      </c>
      <c r="L841" s="740"/>
      <c r="M841" s="739"/>
      <c r="N841" s="168">
        <f>IF(M841&lt;&gt;"",M841,IF(ISERROR(Personalplanung!AC9/Monatsplanung!$E9*Monatsplanung!$O9),0,Personalplanung!AC9/Monatsplanung!$E9*Monatsplanung!$O9))</f>
        <v>0.16666666666666666</v>
      </c>
      <c r="O841" s="740"/>
      <c r="P841" s="739"/>
      <c r="Q841" s="168">
        <f>IF(P841&lt;&gt;"",P841,IF(ISERROR(Personalplanung!AD9/Monatsplanung!$E9*Monatsplanung!$O9),0,Personalplanung!AD9/Monatsplanung!$E9*Monatsplanung!$O9))</f>
        <v>0.16666666666666666</v>
      </c>
      <c r="R841" s="740"/>
      <c r="S841" s="739"/>
      <c r="T841" s="168">
        <f>IF(S841&lt;&gt;"",S841,IF(ISERROR(Personalplanung!AE9/Monatsplanung!$E9*Monatsplanung!$O9),0,Personalplanung!AE9/Monatsplanung!$E9*Monatsplanung!$O9))</f>
        <v>2.1666666666666665</v>
      </c>
      <c r="U841" s="740"/>
      <c r="V841" s="168">
        <f t="shared" si="274"/>
        <v>3.1666666666666665</v>
      </c>
      <c r="W841" s="168">
        <f>IF(ISERROR(Personalplanung!P9/Monatsplanung!$E9*Monatsplanung!$O9),0,Personalplanung!P9/Monatsplanung!$E9*Monatsplanung!$O9)</f>
        <v>0</v>
      </c>
      <c r="X841" s="168">
        <f>IF(ISERROR(Personalplanung!Q9/Monatsplanung!$E9*Monatsplanung!$O9),0,Personalplanung!Q9/Monatsplanung!$E9*Monatsplanung!$O9)</f>
        <v>0</v>
      </c>
      <c r="Y841" s="168">
        <f>IF(ISERROR(Personalplanung!R9/T1257*Stundencontrolling!T841),0,Personalplanung!R9/T1257*Stundencontrolling!T841)</f>
        <v>0</v>
      </c>
      <c r="Z841" s="168">
        <f>IF(ISERROR(Personalplanung!S9/Monatsplanung!$E9*Monatsplanung!$O9),0,Personalplanung!S9/Monatsplanung!$E9*Monatsplanung!$O9)</f>
        <v>0</v>
      </c>
      <c r="AA841" s="80">
        <f t="shared" si="275"/>
        <v>149418.28254847645</v>
      </c>
      <c r="AB841" s="102">
        <f t="shared" si="276"/>
        <v>0.1</v>
      </c>
      <c r="AC841" s="103">
        <f t="shared" si="277"/>
        <v>14941.828254847645</v>
      </c>
      <c r="AD841" s="103">
        <f t="shared" si="278"/>
        <v>134476.45429362881</v>
      </c>
      <c r="AE841" s="81">
        <f t="shared" si="279"/>
        <v>14.866666666666667</v>
      </c>
      <c r="AF841" s="539"/>
      <c r="AG841" s="104">
        <f t="shared" si="280"/>
        <v>1</v>
      </c>
      <c r="AH841" s="7">
        <f t="shared" si="281"/>
        <v>0</v>
      </c>
      <c r="AI841" s="6">
        <f t="shared" si="282"/>
        <v>14.866666666666667</v>
      </c>
      <c r="AJ841" s="73">
        <f t="shared" si="283"/>
        <v>1005.0557122094829</v>
      </c>
      <c r="AK841" s="539"/>
      <c r="AL841" s="748"/>
      <c r="AM841" s="748"/>
    </row>
    <row r="842" spans="2:39" x14ac:dyDescent="0.2">
      <c r="B842" s="101" t="str">
        <f t="shared" si="268"/>
        <v>Lola Rennt</v>
      </c>
      <c r="C842" s="168">
        <f>IF(ISERROR(Personalplanung!F10/Monatsplanung!$E10*Monatsplanung!$O10),0,Personalplanung!F10/Monatsplanung!$E10*Monatsplanung!$O10)</f>
        <v>174</v>
      </c>
      <c r="D842" s="168">
        <f t="shared" si="269"/>
        <v>8</v>
      </c>
      <c r="E842" s="168">
        <f>IF(ISERROR(Personalplanung!H10/Monatsplanung!$E10*Monatsplanung!$O10),0,Personalplanung!H10/Monatsplanung!$E10*Monatsplanung!$O10)</f>
        <v>0</v>
      </c>
      <c r="F842" s="168">
        <f t="shared" si="270"/>
        <v>174</v>
      </c>
      <c r="G842" s="168">
        <f t="shared" si="271"/>
        <v>27.700831024930746</v>
      </c>
      <c r="H842" s="168">
        <f t="shared" si="272"/>
        <v>4819.9445983379501</v>
      </c>
      <c r="I842" s="168">
        <f t="shared" si="273"/>
        <v>30</v>
      </c>
      <c r="J842" s="739"/>
      <c r="K842" s="168">
        <f>IF(J842&lt;&gt;"",J842,IF(ISERROR(Personalplanung!AB10/Monatsplanung!$E10*Monatsplanung!$O10),0,Personalplanung!AB10/Monatsplanung!$E10*Monatsplanung!$O10))</f>
        <v>0.66666666666666663</v>
      </c>
      <c r="L842" s="740"/>
      <c r="M842" s="739"/>
      <c r="N842" s="168">
        <f>IF(M842&lt;&gt;"",M842,IF(ISERROR(Personalplanung!AC10/Monatsplanung!$E10*Monatsplanung!$O10),0,Personalplanung!AC10/Monatsplanung!$E10*Monatsplanung!$O10))</f>
        <v>0</v>
      </c>
      <c r="O842" s="740"/>
      <c r="P842" s="739"/>
      <c r="Q842" s="168">
        <f>IF(P842&lt;&gt;"",P842,IF(ISERROR(Personalplanung!AD10/Monatsplanung!$E10*Monatsplanung!$O10),0,Personalplanung!AD10/Monatsplanung!$E10*Monatsplanung!$O10))</f>
        <v>0.16666666666666666</v>
      </c>
      <c r="R842" s="740"/>
      <c r="S842" s="739"/>
      <c r="T842" s="168">
        <f>IF(S842&lt;&gt;"",S842,IF(ISERROR(Personalplanung!AE10/Monatsplanung!$E10*Monatsplanung!$O10),0,Personalplanung!AE10/Monatsplanung!$E10*Monatsplanung!$O10))</f>
        <v>2.1666666666666665</v>
      </c>
      <c r="U842" s="740"/>
      <c r="V842" s="168">
        <f t="shared" si="274"/>
        <v>3</v>
      </c>
      <c r="W842" s="168">
        <f>IF(ISERROR(Personalplanung!P10/Monatsplanung!$E10*Monatsplanung!$O10),0,Personalplanung!P10/Monatsplanung!$E10*Monatsplanung!$O10)</f>
        <v>0</v>
      </c>
      <c r="X842" s="168">
        <f>IF(ISERROR(Personalplanung!Q10/Monatsplanung!$E10*Monatsplanung!$O10),0,Personalplanung!Q10/Monatsplanung!$E10*Monatsplanung!$O10)</f>
        <v>0</v>
      </c>
      <c r="Y842" s="168">
        <f>IF(ISERROR(Personalplanung!R10/T1258*Stundencontrolling!T842),0,Personalplanung!R10/T1258*Stundencontrolling!T842)</f>
        <v>0</v>
      </c>
      <c r="Z842" s="168">
        <f>IF(ISERROR(Personalplanung!S10/Monatsplanung!$E10*Monatsplanung!$O10),0,Personalplanung!S10/Monatsplanung!$E10*Monatsplanung!$O10)</f>
        <v>0</v>
      </c>
      <c r="AA842" s="80">
        <f t="shared" si="275"/>
        <v>149418.28254847645</v>
      </c>
      <c r="AB842" s="102">
        <f t="shared" si="276"/>
        <v>0.1</v>
      </c>
      <c r="AC842" s="103">
        <f t="shared" si="277"/>
        <v>14941.828254847645</v>
      </c>
      <c r="AD842" s="103">
        <f t="shared" si="278"/>
        <v>134476.45429362881</v>
      </c>
      <c r="AE842" s="81">
        <f t="shared" si="279"/>
        <v>15</v>
      </c>
      <c r="AF842" s="539"/>
      <c r="AG842" s="104">
        <f t="shared" si="280"/>
        <v>1</v>
      </c>
      <c r="AH842" s="7">
        <f t="shared" si="281"/>
        <v>0</v>
      </c>
      <c r="AI842" s="6">
        <f t="shared" si="282"/>
        <v>15</v>
      </c>
      <c r="AJ842" s="73">
        <f t="shared" si="283"/>
        <v>996.12188365650968</v>
      </c>
      <c r="AK842" s="539"/>
      <c r="AL842" s="748"/>
      <c r="AM842" s="748"/>
    </row>
    <row r="843" spans="2:39" x14ac:dyDescent="0.2">
      <c r="B843" s="101" t="str">
        <f t="shared" si="268"/>
        <v>Bier Lager</v>
      </c>
      <c r="C843" s="168">
        <f>IF(ISERROR(Personalplanung!F11/Monatsplanung!$E11*Monatsplanung!$O11),0,Personalplanung!F11/Monatsplanung!$E11*Monatsplanung!$O11)</f>
        <v>174</v>
      </c>
      <c r="D843" s="168">
        <f t="shared" si="269"/>
        <v>8</v>
      </c>
      <c r="E843" s="168">
        <f>IF(ISERROR(Personalplanung!H11/Monatsplanung!$E11*Monatsplanung!$O11),0,Personalplanung!H11/Monatsplanung!$E11*Monatsplanung!$O11)</f>
        <v>0</v>
      </c>
      <c r="F843" s="168">
        <f t="shared" si="270"/>
        <v>174</v>
      </c>
      <c r="G843" s="168">
        <f t="shared" si="271"/>
        <v>27.700831024930746</v>
      </c>
      <c r="H843" s="168">
        <f t="shared" si="272"/>
        <v>4819.9445983379501</v>
      </c>
      <c r="I843" s="168">
        <f t="shared" si="273"/>
        <v>30</v>
      </c>
      <c r="J843" s="739"/>
      <c r="K843" s="168">
        <f>IF(J843&lt;&gt;"",J843,IF(ISERROR(Personalplanung!AB11/Monatsplanung!$E11*Monatsplanung!$O11),0,Personalplanung!AB11/Monatsplanung!$E11*Monatsplanung!$O11))</f>
        <v>0.66666666666666663</v>
      </c>
      <c r="L843" s="740"/>
      <c r="M843" s="739"/>
      <c r="N843" s="168">
        <f>IF(M843&lt;&gt;"",M843,IF(ISERROR(Personalplanung!AC11/Monatsplanung!$E11*Monatsplanung!$O11),0,Personalplanung!AC11/Monatsplanung!$E11*Monatsplanung!$O11))</f>
        <v>0</v>
      </c>
      <c r="O843" s="740"/>
      <c r="P843" s="739"/>
      <c r="Q843" s="168">
        <f>IF(P843&lt;&gt;"",P843,IF(ISERROR(Personalplanung!AD11/Monatsplanung!$E11*Monatsplanung!$O11),0,Personalplanung!AD11/Monatsplanung!$E11*Monatsplanung!$O11))</f>
        <v>0.16666666666666666</v>
      </c>
      <c r="R843" s="740"/>
      <c r="S843" s="739"/>
      <c r="T843" s="168">
        <f>IF(S843&lt;&gt;"",S843,IF(ISERROR(Personalplanung!AE11/Monatsplanung!$E11*Monatsplanung!$O11),0,Personalplanung!AE11/Monatsplanung!$E11*Monatsplanung!$O11))</f>
        <v>2.1666666666666665</v>
      </c>
      <c r="U843" s="740"/>
      <c r="V843" s="168">
        <f t="shared" si="274"/>
        <v>3</v>
      </c>
      <c r="W843" s="168">
        <f>IF(ISERROR(Personalplanung!P11/Monatsplanung!$E11*Monatsplanung!$O11),0,Personalplanung!P11/Monatsplanung!$E11*Monatsplanung!$O11)</f>
        <v>0</v>
      </c>
      <c r="X843" s="168">
        <f>IF(ISERROR(Personalplanung!Q11/Monatsplanung!$E11*Monatsplanung!$O11),0,Personalplanung!Q11/Monatsplanung!$E11*Monatsplanung!$O11)</f>
        <v>0</v>
      </c>
      <c r="Y843" s="168">
        <f>IF(ISERROR(Personalplanung!R11/T1259*Stundencontrolling!T843),0,Personalplanung!R11/T1259*Stundencontrolling!T843)</f>
        <v>0</v>
      </c>
      <c r="Z843" s="168">
        <f>IF(ISERROR(Personalplanung!S11/Monatsplanung!$E11*Monatsplanung!$O11),0,Personalplanung!S11/Monatsplanung!$E11*Monatsplanung!$O11)</f>
        <v>0</v>
      </c>
      <c r="AA843" s="80">
        <f t="shared" si="275"/>
        <v>149418.28254847645</v>
      </c>
      <c r="AB843" s="102">
        <f t="shared" si="276"/>
        <v>0.1</v>
      </c>
      <c r="AC843" s="103">
        <f t="shared" si="277"/>
        <v>14941.828254847645</v>
      </c>
      <c r="AD843" s="103">
        <f t="shared" si="278"/>
        <v>134476.45429362881</v>
      </c>
      <c r="AE843" s="81">
        <f t="shared" si="279"/>
        <v>15</v>
      </c>
      <c r="AF843" s="539"/>
      <c r="AG843" s="104">
        <f t="shared" si="280"/>
        <v>1</v>
      </c>
      <c r="AH843" s="7">
        <f t="shared" si="281"/>
        <v>0</v>
      </c>
      <c r="AI843" s="6">
        <f t="shared" si="282"/>
        <v>15</v>
      </c>
      <c r="AJ843" s="73">
        <f t="shared" si="283"/>
        <v>996.12188365650968</v>
      </c>
      <c r="AK843" s="539"/>
      <c r="AL843" s="748"/>
      <c r="AM843" s="748"/>
    </row>
    <row r="844" spans="2:39" x14ac:dyDescent="0.2">
      <c r="B844" s="101" t="str">
        <f t="shared" si="268"/>
        <v>Heinrich vor Arbeit</v>
      </c>
      <c r="C844" s="168">
        <f>IF(ISERROR(Personalplanung!F12/Monatsplanung!$E12*Monatsplanung!$O12),0,Personalplanung!F12/Monatsplanung!$E12*Monatsplanung!$O12)</f>
        <v>174</v>
      </c>
      <c r="D844" s="168">
        <f t="shared" si="269"/>
        <v>8</v>
      </c>
      <c r="E844" s="168">
        <f>IF(ISERROR(Personalplanung!H12/Monatsplanung!$E12*Monatsplanung!$O12),0,Personalplanung!H12/Monatsplanung!$E12*Monatsplanung!$O12)</f>
        <v>0</v>
      </c>
      <c r="F844" s="168">
        <f t="shared" si="270"/>
        <v>174</v>
      </c>
      <c r="G844" s="168">
        <f t="shared" si="271"/>
        <v>27.700831024930746</v>
      </c>
      <c r="H844" s="168">
        <f t="shared" si="272"/>
        <v>4819.9445983379501</v>
      </c>
      <c r="I844" s="168">
        <f t="shared" si="273"/>
        <v>30</v>
      </c>
      <c r="J844" s="739"/>
      <c r="K844" s="168">
        <f>IF(J844&lt;&gt;"",J844,IF(ISERROR(Personalplanung!AB12/Monatsplanung!$E12*Monatsplanung!$O12),0,Personalplanung!AB12/Monatsplanung!$E12*Monatsplanung!$O12))</f>
        <v>0.66666666666666663</v>
      </c>
      <c r="L844" s="740"/>
      <c r="M844" s="739"/>
      <c r="N844" s="168">
        <f>IF(M844&lt;&gt;"",M844,IF(ISERROR(Personalplanung!AC12/Monatsplanung!$E12*Monatsplanung!$O12),0,Personalplanung!AC12/Monatsplanung!$E12*Monatsplanung!$O12))</f>
        <v>0</v>
      </c>
      <c r="O844" s="740"/>
      <c r="P844" s="739"/>
      <c r="Q844" s="168">
        <f>IF(P844&lt;&gt;"",P844,IF(ISERROR(Personalplanung!AD12/Monatsplanung!$E12*Monatsplanung!$O12),0,Personalplanung!AD12/Monatsplanung!$E12*Monatsplanung!$O12))</f>
        <v>0.16666666666666666</v>
      </c>
      <c r="R844" s="740"/>
      <c r="S844" s="739"/>
      <c r="T844" s="168">
        <f>IF(S844&lt;&gt;"",S844,IF(ISERROR(Personalplanung!AE12/Monatsplanung!$E12*Monatsplanung!$O12),0,Personalplanung!AE12/Monatsplanung!$E12*Monatsplanung!$O12))</f>
        <v>2.1666666666666665</v>
      </c>
      <c r="U844" s="740"/>
      <c r="V844" s="168">
        <f t="shared" si="274"/>
        <v>3</v>
      </c>
      <c r="W844" s="168">
        <f>IF(ISERROR(Personalplanung!P12/Monatsplanung!$E12*Monatsplanung!$O12),0,Personalplanung!P12/Monatsplanung!$E12*Monatsplanung!$O12)</f>
        <v>0</v>
      </c>
      <c r="X844" s="168">
        <f>IF(ISERROR(Personalplanung!Q12/Monatsplanung!$E12*Monatsplanung!$O12),0,Personalplanung!Q12/Monatsplanung!$E12*Monatsplanung!$O12)</f>
        <v>0</v>
      </c>
      <c r="Y844" s="168">
        <f>IF(ISERROR(Personalplanung!R12/T1260*Stundencontrolling!T844),0,Personalplanung!R12/T1260*Stundencontrolling!T844)</f>
        <v>0</v>
      </c>
      <c r="Z844" s="168">
        <f>IF(ISERROR(Personalplanung!S12/Monatsplanung!$E12*Monatsplanung!$O12),0,Personalplanung!S12/Monatsplanung!$E12*Monatsplanung!$O12)</f>
        <v>0</v>
      </c>
      <c r="AA844" s="80">
        <f t="shared" si="275"/>
        <v>149418.28254847645</v>
      </c>
      <c r="AB844" s="102">
        <f t="shared" si="276"/>
        <v>0.1</v>
      </c>
      <c r="AC844" s="103">
        <f t="shared" si="277"/>
        <v>14941.828254847645</v>
      </c>
      <c r="AD844" s="103">
        <f t="shared" si="278"/>
        <v>134476.45429362881</v>
      </c>
      <c r="AE844" s="81">
        <f t="shared" si="279"/>
        <v>15</v>
      </c>
      <c r="AF844" s="539"/>
      <c r="AG844" s="104">
        <f t="shared" si="280"/>
        <v>1</v>
      </c>
      <c r="AH844" s="7">
        <f t="shared" si="281"/>
        <v>0</v>
      </c>
      <c r="AI844" s="6">
        <f t="shared" si="282"/>
        <v>15</v>
      </c>
      <c r="AJ844" s="73">
        <f t="shared" si="283"/>
        <v>996.12188365650968</v>
      </c>
      <c r="AK844" s="539"/>
      <c r="AL844" s="748"/>
      <c r="AM844" s="748"/>
    </row>
    <row r="845" spans="2:39" x14ac:dyDescent="0.2">
      <c r="B845" s="101" t="str">
        <f t="shared" si="268"/>
        <v>Voller Geselle</v>
      </c>
      <c r="C845" s="168">
        <f>IF(ISERROR(Personalplanung!F13/Monatsplanung!$E13*Monatsplanung!$O13),0,Personalplanung!F13/Monatsplanung!$E13*Monatsplanung!$O13)</f>
        <v>174</v>
      </c>
      <c r="D845" s="168">
        <f t="shared" si="269"/>
        <v>8</v>
      </c>
      <c r="E845" s="168">
        <f>IF(ISERROR(Personalplanung!H13/Monatsplanung!$E13*Monatsplanung!$O13),0,Personalplanung!H13/Monatsplanung!$E13*Monatsplanung!$O13)</f>
        <v>0</v>
      </c>
      <c r="F845" s="168">
        <f t="shared" si="270"/>
        <v>174</v>
      </c>
      <c r="G845" s="168">
        <f t="shared" si="271"/>
        <v>27.700831024930746</v>
      </c>
      <c r="H845" s="168">
        <f t="shared" si="272"/>
        <v>4819.9445983379501</v>
      </c>
      <c r="I845" s="168">
        <f t="shared" si="273"/>
        <v>30</v>
      </c>
      <c r="J845" s="739"/>
      <c r="K845" s="168">
        <f>IF(J845&lt;&gt;"",J845,IF(ISERROR(Personalplanung!AB13/Monatsplanung!$E13*Monatsplanung!$O13),0,Personalplanung!AB13/Monatsplanung!$E13*Monatsplanung!$O13))</f>
        <v>0.66666666666666663</v>
      </c>
      <c r="L845" s="740"/>
      <c r="M845" s="739"/>
      <c r="N845" s="168">
        <f>IF(M845&lt;&gt;"",M845,IF(ISERROR(Personalplanung!AC13/Monatsplanung!$E13*Monatsplanung!$O13),0,Personalplanung!AC13/Monatsplanung!$E13*Monatsplanung!$O13))</f>
        <v>0.25</v>
      </c>
      <c r="O845" s="740"/>
      <c r="P845" s="739"/>
      <c r="Q845" s="168">
        <f>IF(P845&lt;&gt;"",P845,IF(ISERROR(Personalplanung!AD13/Monatsplanung!$E13*Monatsplanung!$O13),0,Personalplanung!AD13/Monatsplanung!$E13*Monatsplanung!$O13))</f>
        <v>0.16666666666666666</v>
      </c>
      <c r="R845" s="740"/>
      <c r="S845" s="739"/>
      <c r="T845" s="168">
        <f>IF(S845&lt;&gt;"",S845,IF(ISERROR(Personalplanung!AE13/Monatsplanung!$E13*Monatsplanung!$O13),0,Personalplanung!AE13/Monatsplanung!$E13*Monatsplanung!$O13))</f>
        <v>2.1666666666666665</v>
      </c>
      <c r="U845" s="740"/>
      <c r="V845" s="168">
        <f t="shared" si="274"/>
        <v>3.25</v>
      </c>
      <c r="W845" s="168">
        <f>IF(ISERROR(Personalplanung!P13/Monatsplanung!$E13*Monatsplanung!$O13),0,Personalplanung!P13/Monatsplanung!$E13*Monatsplanung!$O13)</f>
        <v>0</v>
      </c>
      <c r="X845" s="168">
        <f>IF(ISERROR(Personalplanung!Q13/Monatsplanung!$E13*Monatsplanung!$O13),0,Personalplanung!Q13/Monatsplanung!$E13*Monatsplanung!$O13)</f>
        <v>0</v>
      </c>
      <c r="Y845" s="168">
        <f>IF(ISERROR(Personalplanung!R13/T1261*Stundencontrolling!T845),0,Personalplanung!R13/T1261*Stundencontrolling!T845)</f>
        <v>0</v>
      </c>
      <c r="Z845" s="168">
        <f>IF(ISERROR(Personalplanung!S13/Monatsplanung!$E13*Monatsplanung!$O13),0,Personalplanung!S13/Monatsplanung!$E13*Monatsplanung!$O13)</f>
        <v>0</v>
      </c>
      <c r="AA845" s="80">
        <f t="shared" si="275"/>
        <v>149418.28254847645</v>
      </c>
      <c r="AB845" s="102">
        <f t="shared" si="276"/>
        <v>0.1</v>
      </c>
      <c r="AC845" s="103">
        <f t="shared" si="277"/>
        <v>14941.828254847645</v>
      </c>
      <c r="AD845" s="103">
        <f t="shared" si="278"/>
        <v>134476.45429362881</v>
      </c>
      <c r="AE845" s="81">
        <f t="shared" si="279"/>
        <v>14.8</v>
      </c>
      <c r="AF845" s="539"/>
      <c r="AG845" s="104">
        <f t="shared" si="280"/>
        <v>1</v>
      </c>
      <c r="AH845" s="7">
        <f t="shared" si="281"/>
        <v>0</v>
      </c>
      <c r="AI845" s="6">
        <f t="shared" si="282"/>
        <v>14.8</v>
      </c>
      <c r="AJ845" s="73">
        <f t="shared" si="283"/>
        <v>1009.5829901924084</v>
      </c>
      <c r="AK845" s="539"/>
      <c r="AL845" s="748"/>
      <c r="AM845" s="748"/>
    </row>
    <row r="846" spans="2:39" x14ac:dyDescent="0.2">
      <c r="B846" s="101" t="str">
        <f t="shared" si="268"/>
        <v>Thomas Fleißig</v>
      </c>
      <c r="C846" s="168">
        <f>IF(ISERROR(Personalplanung!F14/Monatsplanung!$E14*Monatsplanung!$O14),0,Personalplanung!F14/Monatsplanung!$E14*Monatsplanung!$O14)</f>
        <v>174</v>
      </c>
      <c r="D846" s="168">
        <f t="shared" si="269"/>
        <v>8</v>
      </c>
      <c r="E846" s="168">
        <f>IF(ISERROR(Personalplanung!H14/Monatsplanung!$E14*Monatsplanung!$O14),0,Personalplanung!H14/Monatsplanung!$E14*Monatsplanung!$O14)</f>
        <v>0</v>
      </c>
      <c r="F846" s="168">
        <f t="shared" si="270"/>
        <v>174</v>
      </c>
      <c r="G846" s="168">
        <f t="shared" si="271"/>
        <v>27.700831024930746</v>
      </c>
      <c r="H846" s="168">
        <f t="shared" si="272"/>
        <v>4819.9445983379501</v>
      </c>
      <c r="I846" s="168">
        <f t="shared" si="273"/>
        <v>30</v>
      </c>
      <c r="J846" s="739"/>
      <c r="K846" s="168">
        <f>IF(J846&lt;&gt;"",J846,IF(ISERROR(Personalplanung!AB14/Monatsplanung!$E14*Monatsplanung!$O14),0,Personalplanung!AB14/Monatsplanung!$E14*Monatsplanung!$O14))</f>
        <v>0.66666666666666663</v>
      </c>
      <c r="L846" s="740"/>
      <c r="M846" s="739"/>
      <c r="N846" s="168">
        <f>IF(M846&lt;&gt;"",M846,IF(ISERROR(Personalplanung!AC14/Monatsplanung!$E14*Monatsplanung!$O14),0,Personalplanung!AC14/Monatsplanung!$E14*Monatsplanung!$O14))</f>
        <v>0</v>
      </c>
      <c r="O846" s="740"/>
      <c r="P846" s="739"/>
      <c r="Q846" s="168">
        <f>IF(P846&lt;&gt;"",P846,IF(ISERROR(Personalplanung!AD14/Monatsplanung!$E14*Monatsplanung!$O14),0,Personalplanung!AD14/Monatsplanung!$E14*Monatsplanung!$O14))</f>
        <v>0.16666666666666666</v>
      </c>
      <c r="R846" s="740"/>
      <c r="S846" s="739"/>
      <c r="T846" s="168">
        <f>IF(S846&lt;&gt;"",S846,IF(ISERROR(Personalplanung!AE14/Monatsplanung!$E14*Monatsplanung!$O14),0,Personalplanung!AE14/Monatsplanung!$E14*Monatsplanung!$O14))</f>
        <v>2.1666666666666665</v>
      </c>
      <c r="U846" s="740"/>
      <c r="V846" s="168">
        <f t="shared" si="274"/>
        <v>3</v>
      </c>
      <c r="W846" s="168">
        <f>IF(ISERROR(Personalplanung!P14/Monatsplanung!$E14*Monatsplanung!$O14),0,Personalplanung!P14/Monatsplanung!$E14*Monatsplanung!$O14)</f>
        <v>0</v>
      </c>
      <c r="X846" s="168">
        <f>IF(ISERROR(Personalplanung!Q14/Monatsplanung!$E14*Monatsplanung!$O14),0,Personalplanung!Q14/Monatsplanung!$E14*Monatsplanung!$O14)</f>
        <v>166.66666666666666</v>
      </c>
      <c r="Y846" s="168">
        <f>IF(ISERROR(Personalplanung!R14/T1262*Stundencontrolling!T846),0,Personalplanung!R14/T1262*Stundencontrolling!T846)</f>
        <v>66.666666666666657</v>
      </c>
      <c r="Z846" s="168">
        <f>IF(ISERROR(Personalplanung!S14/Monatsplanung!$E14*Monatsplanung!$O14),0,Personalplanung!S14/Monatsplanung!$E14*Monatsplanung!$O14)</f>
        <v>50</v>
      </c>
      <c r="AA846" s="80">
        <f t="shared" si="275"/>
        <v>149701.61588180979</v>
      </c>
      <c r="AB846" s="102">
        <f t="shared" si="276"/>
        <v>0.1</v>
      </c>
      <c r="AC846" s="103">
        <f t="shared" si="277"/>
        <v>14970.161588180979</v>
      </c>
      <c r="AD846" s="103">
        <f t="shared" si="278"/>
        <v>134731.45429362881</v>
      </c>
      <c r="AE846" s="81">
        <f t="shared" si="279"/>
        <v>15</v>
      </c>
      <c r="AF846" s="539"/>
      <c r="AG846" s="104">
        <f t="shared" si="280"/>
        <v>1</v>
      </c>
      <c r="AH846" s="7">
        <f t="shared" si="281"/>
        <v>0</v>
      </c>
      <c r="AI846" s="6">
        <f t="shared" si="282"/>
        <v>15</v>
      </c>
      <c r="AJ846" s="73">
        <f t="shared" si="283"/>
        <v>998.01077254539859</v>
      </c>
      <c r="AK846" s="539"/>
      <c r="AL846" s="748"/>
      <c r="AM846" s="748"/>
    </row>
    <row r="847" spans="2:39" x14ac:dyDescent="0.2">
      <c r="B847" s="101" t="str">
        <f t="shared" si="268"/>
        <v>Facharbeiter</v>
      </c>
      <c r="C847" s="168">
        <f>IF(ISERROR(Personalplanung!F15/Monatsplanung!$E15*Monatsplanung!$O15),0,Personalplanung!F15/Monatsplanung!$E15*Monatsplanung!$O15)</f>
        <v>174</v>
      </c>
      <c r="D847" s="168">
        <f t="shared" si="269"/>
        <v>8</v>
      </c>
      <c r="E847" s="168">
        <f>IF(ISERROR(Personalplanung!H15/Monatsplanung!$E15*Monatsplanung!$O15),0,Personalplanung!H15/Monatsplanung!$E15*Monatsplanung!$O15)</f>
        <v>0</v>
      </c>
      <c r="F847" s="168">
        <f t="shared" si="270"/>
        <v>174</v>
      </c>
      <c r="G847" s="168">
        <f t="shared" si="271"/>
        <v>27.700831024930746</v>
      </c>
      <c r="H847" s="168">
        <f t="shared" si="272"/>
        <v>4819.9445983379501</v>
      </c>
      <c r="I847" s="168">
        <f t="shared" si="273"/>
        <v>30</v>
      </c>
      <c r="J847" s="739"/>
      <c r="K847" s="168">
        <f>IF(J847&lt;&gt;"",J847,IF(ISERROR(Personalplanung!AB15/Monatsplanung!$E15*Monatsplanung!$O15),0,Personalplanung!AB15/Monatsplanung!$E15*Monatsplanung!$O15))</f>
        <v>0.66666666666666663</v>
      </c>
      <c r="L847" s="740"/>
      <c r="M847" s="739"/>
      <c r="N847" s="168">
        <f>IF(M847&lt;&gt;"",M847,IF(ISERROR(Personalplanung!AC15/Monatsplanung!$E15*Monatsplanung!$O15),0,Personalplanung!AC15/Monatsplanung!$E15*Monatsplanung!$O15))</f>
        <v>0.16666666666666666</v>
      </c>
      <c r="O847" s="740"/>
      <c r="P847" s="739"/>
      <c r="Q847" s="168">
        <f>IF(P847&lt;&gt;"",P847,IF(ISERROR(Personalplanung!AD15/Monatsplanung!$E15*Monatsplanung!$O15),0,Personalplanung!AD15/Monatsplanung!$E15*Monatsplanung!$O15))</f>
        <v>0.41666666666666669</v>
      </c>
      <c r="R847" s="740"/>
      <c r="S847" s="739"/>
      <c r="T847" s="168">
        <f>IF(S847&lt;&gt;"",S847,IF(ISERROR(Personalplanung!AE15/Monatsplanung!$E15*Monatsplanung!$O15),0,Personalplanung!AE15/Monatsplanung!$E15*Monatsplanung!$O15))</f>
        <v>2.1666666666666665</v>
      </c>
      <c r="U847" s="740"/>
      <c r="V847" s="168">
        <f t="shared" si="274"/>
        <v>3.4166666666666665</v>
      </c>
      <c r="W847" s="168">
        <f>IF(ISERROR(Personalplanung!P15/Monatsplanung!$E15*Monatsplanung!$O15),0,Personalplanung!P15/Monatsplanung!$E15*Monatsplanung!$O15)</f>
        <v>0</v>
      </c>
      <c r="X847" s="168">
        <f>IF(ISERROR(Personalplanung!Q15/Monatsplanung!$E15*Monatsplanung!$O15),0,Personalplanung!Q15/Monatsplanung!$E15*Monatsplanung!$O15)</f>
        <v>0</v>
      </c>
      <c r="Y847" s="168">
        <f>IF(ISERROR(Personalplanung!R15/T1263*Stundencontrolling!T847),0,Personalplanung!R15/T1263*Stundencontrolling!T847)</f>
        <v>0</v>
      </c>
      <c r="Z847" s="168">
        <f>IF(ISERROR(Personalplanung!S15/Monatsplanung!$E15*Monatsplanung!$O15),0,Personalplanung!S15/Monatsplanung!$E15*Monatsplanung!$O15)</f>
        <v>0</v>
      </c>
      <c r="AA847" s="80">
        <f t="shared" si="275"/>
        <v>149418.28254847645</v>
      </c>
      <c r="AB847" s="102">
        <f t="shared" si="276"/>
        <v>0.1</v>
      </c>
      <c r="AC847" s="103">
        <f t="shared" si="277"/>
        <v>14941.828254847645</v>
      </c>
      <c r="AD847" s="103">
        <f t="shared" si="278"/>
        <v>134476.45429362881</v>
      </c>
      <c r="AE847" s="81">
        <f t="shared" si="279"/>
        <v>14.666666666666666</v>
      </c>
      <c r="AF847" s="539"/>
      <c r="AG847" s="104">
        <f t="shared" si="280"/>
        <v>1</v>
      </c>
      <c r="AH847" s="7">
        <f t="shared" si="281"/>
        <v>0</v>
      </c>
      <c r="AI847" s="6">
        <f t="shared" si="282"/>
        <v>14.666666666666666</v>
      </c>
      <c r="AJ847" s="73">
        <f t="shared" si="283"/>
        <v>1018.7610173759758</v>
      </c>
      <c r="AK847" s="539"/>
      <c r="AL847" s="748"/>
      <c r="AM847" s="748"/>
    </row>
    <row r="848" spans="2:39" x14ac:dyDescent="0.2">
      <c r="B848" s="101" t="str">
        <f t="shared" si="268"/>
        <v>Abgänger</v>
      </c>
      <c r="C848" s="168">
        <f>IF(ISERROR(Personalplanung!F16/Monatsplanung!$E16*Monatsplanung!$O16),0,Personalplanung!F16/Monatsplanung!$E16*Monatsplanung!$O16)</f>
        <v>0</v>
      </c>
      <c r="D848" s="168">
        <f t="shared" si="269"/>
        <v>8</v>
      </c>
      <c r="E848" s="168">
        <f>IF(ISERROR(Personalplanung!H16/Monatsplanung!$E16*Monatsplanung!$O16),0,Personalplanung!H16/Monatsplanung!$E16*Monatsplanung!$O16)</f>
        <v>0</v>
      </c>
      <c r="F848" s="168">
        <f t="shared" si="270"/>
        <v>0</v>
      </c>
      <c r="G848" s="168">
        <f t="shared" si="271"/>
        <v>27.700831024930746</v>
      </c>
      <c r="H848" s="168">
        <f t="shared" si="272"/>
        <v>0</v>
      </c>
      <c r="I848" s="168">
        <f t="shared" si="273"/>
        <v>30</v>
      </c>
      <c r="J848" s="739"/>
      <c r="K848" s="168">
        <f>IF(J848&lt;&gt;"",J848,IF(ISERROR(Personalplanung!AB16/Monatsplanung!$E16*Monatsplanung!$O16),0,Personalplanung!AB16/Monatsplanung!$E16*Monatsplanung!$O16))</f>
        <v>0</v>
      </c>
      <c r="L848" s="740"/>
      <c r="M848" s="739"/>
      <c r="N848" s="168">
        <f>IF(M848&lt;&gt;"",M848,IF(ISERROR(Personalplanung!AC16/Monatsplanung!$E16*Monatsplanung!$O16),0,Personalplanung!AC16/Monatsplanung!$E16*Monatsplanung!$O16))</f>
        <v>0</v>
      </c>
      <c r="O848" s="740"/>
      <c r="P848" s="739"/>
      <c r="Q848" s="168">
        <f>IF(P848&lt;&gt;"",P848,IF(ISERROR(Personalplanung!AD16/Monatsplanung!$E16*Monatsplanung!$O16),0,Personalplanung!AD16/Monatsplanung!$E16*Monatsplanung!$O16))</f>
        <v>0</v>
      </c>
      <c r="R848" s="740"/>
      <c r="S848" s="739"/>
      <c r="T848" s="168">
        <f>IF(S848&lt;&gt;"",S848,IF(ISERROR(Personalplanung!AE16/Monatsplanung!$E16*Monatsplanung!$O16),0,Personalplanung!AE16/Monatsplanung!$E16*Monatsplanung!$O16))</f>
        <v>0</v>
      </c>
      <c r="U848" s="740"/>
      <c r="V848" s="168">
        <f t="shared" si="274"/>
        <v>0</v>
      </c>
      <c r="W848" s="168">
        <f>IF(ISERROR(Personalplanung!P16/Monatsplanung!$E16*Monatsplanung!$O16),0,Personalplanung!P16/Monatsplanung!$E16*Monatsplanung!$O16)</f>
        <v>0</v>
      </c>
      <c r="X848" s="168">
        <f>IF(ISERROR(Personalplanung!Q16/Monatsplanung!$E16*Monatsplanung!$O16),0,Personalplanung!Q16/Monatsplanung!$E16*Monatsplanung!$O16)</f>
        <v>0</v>
      </c>
      <c r="Y848" s="168">
        <f>IF(ISERROR(Personalplanung!R16/T1264*Stundencontrolling!T848),0,Personalplanung!R16/T1264*Stundencontrolling!T848)</f>
        <v>0</v>
      </c>
      <c r="Z848" s="168">
        <f>IF(ISERROR(Personalplanung!S16/Monatsplanung!$E16*Monatsplanung!$O16),0,Personalplanung!S16/Monatsplanung!$E16*Monatsplanung!$O16)</f>
        <v>0</v>
      </c>
      <c r="AA848" s="80">
        <f t="shared" si="275"/>
        <v>0</v>
      </c>
      <c r="AB848" s="102">
        <f t="shared" si="276"/>
        <v>0.1</v>
      </c>
      <c r="AC848" s="103">
        <f t="shared" si="277"/>
        <v>0</v>
      </c>
      <c r="AD848" s="103">
        <f t="shared" si="278"/>
        <v>0</v>
      </c>
      <c r="AE848" s="81">
        <f t="shared" si="279"/>
        <v>0</v>
      </c>
      <c r="AF848" s="539"/>
      <c r="AG848" s="104">
        <f t="shared" si="280"/>
        <v>1</v>
      </c>
      <c r="AH848" s="7">
        <f t="shared" si="281"/>
        <v>0</v>
      </c>
      <c r="AI848" s="6">
        <f t="shared" si="282"/>
        <v>0</v>
      </c>
      <c r="AJ848" s="73">
        <f t="shared" si="283"/>
        <v>0</v>
      </c>
      <c r="AK848" s="539"/>
      <c r="AL848" s="748"/>
      <c r="AM848" s="748"/>
    </row>
    <row r="849" spans="2:39" x14ac:dyDescent="0.2">
      <c r="B849" s="101" t="str">
        <f t="shared" si="268"/>
        <v>Facharbeiter</v>
      </c>
      <c r="C849" s="168">
        <f>IF(ISERROR(Personalplanung!F17/Monatsplanung!$E17*Monatsplanung!$O17),0,Personalplanung!F17/Monatsplanung!$E17*Monatsplanung!$O17)</f>
        <v>174</v>
      </c>
      <c r="D849" s="168">
        <f t="shared" si="269"/>
        <v>8</v>
      </c>
      <c r="E849" s="168">
        <f>IF(ISERROR(Personalplanung!H17/Monatsplanung!$E17*Monatsplanung!$O17),0,Personalplanung!H17/Monatsplanung!$E17*Monatsplanung!$O17)</f>
        <v>0</v>
      </c>
      <c r="F849" s="168">
        <f t="shared" si="270"/>
        <v>174</v>
      </c>
      <c r="G849" s="168">
        <f t="shared" si="271"/>
        <v>27.700831024930746</v>
      </c>
      <c r="H849" s="168">
        <f t="shared" si="272"/>
        <v>4819.9445983379501</v>
      </c>
      <c r="I849" s="168">
        <f t="shared" si="273"/>
        <v>30</v>
      </c>
      <c r="J849" s="739"/>
      <c r="K849" s="168">
        <f>IF(J849&lt;&gt;"",J849,IF(ISERROR(Personalplanung!AB17/Monatsplanung!$E17*Monatsplanung!$O17),0,Personalplanung!AB17/Monatsplanung!$E17*Monatsplanung!$O17))</f>
        <v>0.66666666666666663</v>
      </c>
      <c r="L849" s="740"/>
      <c r="M849" s="739"/>
      <c r="N849" s="168">
        <f>IF(M849&lt;&gt;"",M849,IF(ISERROR(Personalplanung!AC17/Monatsplanung!$E17*Monatsplanung!$O17),0,Personalplanung!AC17/Monatsplanung!$E17*Monatsplanung!$O17))</f>
        <v>0</v>
      </c>
      <c r="O849" s="740"/>
      <c r="P849" s="739"/>
      <c r="Q849" s="168">
        <f>IF(P849&lt;&gt;"",P849,IF(ISERROR(Personalplanung!AD17/Monatsplanung!$E17*Monatsplanung!$O17),0,Personalplanung!AD17/Monatsplanung!$E17*Monatsplanung!$O17))</f>
        <v>0.16666666666666666</v>
      </c>
      <c r="R849" s="740"/>
      <c r="S849" s="739"/>
      <c r="T849" s="168">
        <f>IF(S849&lt;&gt;"",S849,IF(ISERROR(Personalplanung!AE17/Monatsplanung!$E17*Monatsplanung!$O17),0,Personalplanung!AE17/Monatsplanung!$E17*Monatsplanung!$O17))</f>
        <v>2.1666666666666665</v>
      </c>
      <c r="U849" s="740"/>
      <c r="V849" s="168">
        <f t="shared" si="274"/>
        <v>3</v>
      </c>
      <c r="W849" s="168">
        <f>IF(ISERROR(Personalplanung!P17/Monatsplanung!$E17*Monatsplanung!$O17),0,Personalplanung!P17/Monatsplanung!$E17*Monatsplanung!$O17)</f>
        <v>0</v>
      </c>
      <c r="X849" s="168">
        <f>IF(ISERROR(Personalplanung!Q17/Monatsplanung!$E17*Monatsplanung!$O17),0,Personalplanung!Q17/Monatsplanung!$E17*Monatsplanung!$O17)</f>
        <v>0</v>
      </c>
      <c r="Y849" s="168">
        <f>IF(ISERROR(Personalplanung!R17/T1265*Stundencontrolling!T849),0,Personalplanung!R17/T1265*Stundencontrolling!T849)</f>
        <v>0</v>
      </c>
      <c r="Z849" s="168">
        <f>IF(ISERROR(Personalplanung!S17/Monatsplanung!$E17*Monatsplanung!$O17),0,Personalplanung!S17/Monatsplanung!$E17*Monatsplanung!$O17)</f>
        <v>0</v>
      </c>
      <c r="AA849" s="80">
        <f t="shared" si="275"/>
        <v>149418.28254847645</v>
      </c>
      <c r="AB849" s="102">
        <f t="shared" si="276"/>
        <v>0.1</v>
      </c>
      <c r="AC849" s="103">
        <f t="shared" si="277"/>
        <v>14941.828254847645</v>
      </c>
      <c r="AD849" s="103">
        <f t="shared" si="278"/>
        <v>134476.45429362881</v>
      </c>
      <c r="AE849" s="81">
        <f t="shared" si="279"/>
        <v>15</v>
      </c>
      <c r="AF849" s="539"/>
      <c r="AG849" s="104">
        <f t="shared" si="280"/>
        <v>1</v>
      </c>
      <c r="AH849" s="7">
        <f t="shared" si="281"/>
        <v>0</v>
      </c>
      <c r="AI849" s="6">
        <f t="shared" si="282"/>
        <v>15</v>
      </c>
      <c r="AJ849" s="73">
        <f t="shared" si="283"/>
        <v>996.12188365650968</v>
      </c>
      <c r="AK849" s="539"/>
      <c r="AL849" s="748"/>
      <c r="AM849" s="748"/>
    </row>
    <row r="850" spans="2:39" x14ac:dyDescent="0.2">
      <c r="B850" s="101" t="str">
        <f t="shared" si="268"/>
        <v>Facharbeiter</v>
      </c>
      <c r="C850" s="168">
        <f>IF(ISERROR(Personalplanung!F18/Monatsplanung!$E18*Monatsplanung!$O18),0,Personalplanung!F18/Monatsplanung!$E18*Monatsplanung!$O18)</f>
        <v>174</v>
      </c>
      <c r="D850" s="168">
        <f t="shared" si="269"/>
        <v>8</v>
      </c>
      <c r="E850" s="168">
        <f>IF(ISERROR(Personalplanung!H18/Monatsplanung!$E18*Monatsplanung!$O18),0,Personalplanung!H18/Monatsplanung!$E18*Monatsplanung!$O18)</f>
        <v>0</v>
      </c>
      <c r="F850" s="168">
        <f t="shared" si="270"/>
        <v>174</v>
      </c>
      <c r="G850" s="168">
        <f t="shared" si="271"/>
        <v>27.700831024930746</v>
      </c>
      <c r="H850" s="168">
        <f t="shared" si="272"/>
        <v>4819.9445983379501</v>
      </c>
      <c r="I850" s="168">
        <f t="shared" si="273"/>
        <v>30</v>
      </c>
      <c r="J850" s="739"/>
      <c r="K850" s="168">
        <f>IF(J850&lt;&gt;"",J850,IF(ISERROR(Personalplanung!AB18/Monatsplanung!$E18*Monatsplanung!$O18),0,Personalplanung!AB18/Monatsplanung!$E18*Monatsplanung!$O18))</f>
        <v>0.66666666666666663</v>
      </c>
      <c r="L850" s="740"/>
      <c r="M850" s="739"/>
      <c r="N850" s="168">
        <f>IF(M850&lt;&gt;"",M850,IF(ISERROR(Personalplanung!AC18/Monatsplanung!$E18*Monatsplanung!$O18),0,Personalplanung!AC18/Monatsplanung!$E18*Monatsplanung!$O18))</f>
        <v>0.33333333333333331</v>
      </c>
      <c r="O850" s="740"/>
      <c r="P850" s="739"/>
      <c r="Q850" s="168">
        <f>IF(P850&lt;&gt;"",P850,IF(ISERROR(Personalplanung!AD18/Monatsplanung!$E18*Monatsplanung!$O18),0,Personalplanung!AD18/Monatsplanung!$E18*Monatsplanung!$O18))</f>
        <v>0.16666666666666666</v>
      </c>
      <c r="R850" s="740"/>
      <c r="S850" s="739"/>
      <c r="T850" s="168">
        <f>IF(S850&lt;&gt;"",S850,IF(ISERROR(Personalplanung!AE18/Monatsplanung!$E18*Monatsplanung!$O18),0,Personalplanung!AE18/Monatsplanung!$E18*Monatsplanung!$O18))</f>
        <v>2.1666666666666665</v>
      </c>
      <c r="U850" s="740"/>
      <c r="V850" s="168">
        <f t="shared" si="274"/>
        <v>3.333333333333333</v>
      </c>
      <c r="W850" s="168">
        <f>IF(ISERROR(Personalplanung!P18/Monatsplanung!$E18*Monatsplanung!$O18),0,Personalplanung!P18/Monatsplanung!$E18*Monatsplanung!$O18)</f>
        <v>0</v>
      </c>
      <c r="X850" s="168">
        <f>IF(ISERROR(Personalplanung!Q18/Monatsplanung!$E18*Monatsplanung!$O18),0,Personalplanung!Q18/Monatsplanung!$E18*Monatsplanung!$O18)</f>
        <v>0</v>
      </c>
      <c r="Y850" s="168">
        <f>IF(ISERROR(Personalplanung!R18/T1266*Stundencontrolling!T850),0,Personalplanung!R18/T1266*Stundencontrolling!T850)</f>
        <v>0</v>
      </c>
      <c r="Z850" s="168">
        <f>IF(ISERROR(Personalplanung!S18/Monatsplanung!$E18*Monatsplanung!$O18),0,Personalplanung!S18/Monatsplanung!$E18*Monatsplanung!$O18)</f>
        <v>0</v>
      </c>
      <c r="AA850" s="80">
        <f t="shared" si="275"/>
        <v>149418.28254847645</v>
      </c>
      <c r="AB850" s="102">
        <f t="shared" si="276"/>
        <v>0.1</v>
      </c>
      <c r="AC850" s="103">
        <f t="shared" si="277"/>
        <v>14941.828254847645</v>
      </c>
      <c r="AD850" s="103">
        <f t="shared" si="278"/>
        <v>134476.45429362881</v>
      </c>
      <c r="AE850" s="81">
        <f t="shared" si="279"/>
        <v>14.733333333333334</v>
      </c>
      <c r="AF850" s="539"/>
      <c r="AG850" s="104">
        <f t="shared" si="280"/>
        <v>1</v>
      </c>
      <c r="AH850" s="7">
        <f t="shared" si="281"/>
        <v>0</v>
      </c>
      <c r="AI850" s="6">
        <f t="shared" si="282"/>
        <v>14.733333333333334</v>
      </c>
      <c r="AJ850" s="73">
        <f t="shared" si="283"/>
        <v>1014.1512390168084</v>
      </c>
      <c r="AK850" s="539"/>
      <c r="AL850" s="748"/>
      <c r="AM850" s="748"/>
    </row>
    <row r="851" spans="2:39" x14ac:dyDescent="0.2">
      <c r="B851" s="101" t="str">
        <f t="shared" si="268"/>
        <v>Elternzeit Geselle</v>
      </c>
      <c r="C851" s="168">
        <f>IF(ISERROR(Personalplanung!F19/Monatsplanung!$E19*Monatsplanung!$O19),0,Personalplanung!F19/Monatsplanung!$E19*Monatsplanung!$O19)</f>
        <v>130.5</v>
      </c>
      <c r="D851" s="168">
        <f t="shared" si="269"/>
        <v>6</v>
      </c>
      <c r="E851" s="168">
        <f>IF(ISERROR(Personalplanung!H19/Monatsplanung!$E19*Monatsplanung!$O19),0,Personalplanung!H19/Monatsplanung!$E19*Monatsplanung!$O19)</f>
        <v>0</v>
      </c>
      <c r="F851" s="168">
        <f t="shared" si="270"/>
        <v>130.5</v>
      </c>
      <c r="G851" s="168">
        <f t="shared" si="271"/>
        <v>27.700831024930746</v>
      </c>
      <c r="H851" s="168">
        <f t="shared" si="272"/>
        <v>3614.9584487534626</v>
      </c>
      <c r="I851" s="168">
        <f t="shared" si="273"/>
        <v>30</v>
      </c>
      <c r="J851" s="739"/>
      <c r="K851" s="168">
        <f>IF(J851&lt;&gt;"",J851,IF(ISERROR(Personalplanung!AB19/Monatsplanung!$E19*Monatsplanung!$O19),0,Personalplanung!AB19/Monatsplanung!$E19*Monatsplanung!$O19))</f>
        <v>1</v>
      </c>
      <c r="L851" s="740"/>
      <c r="M851" s="739"/>
      <c r="N851" s="168">
        <f>IF(M851&lt;&gt;"",M851,IF(ISERROR(Personalplanung!AC19/Monatsplanung!$E19*Monatsplanung!$O19),0,Personalplanung!AC19/Monatsplanung!$E19*Monatsplanung!$O19))</f>
        <v>0</v>
      </c>
      <c r="O851" s="740"/>
      <c r="P851" s="739"/>
      <c r="Q851" s="168">
        <f>IF(P851&lt;&gt;"",P851,IF(ISERROR(Personalplanung!AD19/Monatsplanung!$E19*Monatsplanung!$O19),0,Personalplanung!AD19/Monatsplanung!$E19*Monatsplanung!$O19))</f>
        <v>0.25</v>
      </c>
      <c r="R851" s="740"/>
      <c r="S851" s="739"/>
      <c r="T851" s="168">
        <f>IF(S851&lt;&gt;"",S851,IF(ISERROR(Personalplanung!AE19/Monatsplanung!$E19*Monatsplanung!$O19),0,Personalplanung!AE19/Monatsplanung!$E19*Monatsplanung!$O19))</f>
        <v>3.25</v>
      </c>
      <c r="U851" s="740"/>
      <c r="V851" s="168">
        <f t="shared" si="274"/>
        <v>4.5</v>
      </c>
      <c r="W851" s="168">
        <f>IF(ISERROR(Personalplanung!P19/Monatsplanung!$E19*Monatsplanung!$O19),0,Personalplanung!P19/Monatsplanung!$E19*Monatsplanung!$O19)</f>
        <v>0</v>
      </c>
      <c r="X851" s="168">
        <f>IF(ISERROR(Personalplanung!Q19/Monatsplanung!$E19*Monatsplanung!$O19),0,Personalplanung!Q19/Monatsplanung!$E19*Monatsplanung!$O19)</f>
        <v>0</v>
      </c>
      <c r="Y851" s="168">
        <f>IF(ISERROR(Personalplanung!R19/T1267*Stundencontrolling!T851),0,Personalplanung!R19/T1267*Stundencontrolling!T851)</f>
        <v>0</v>
      </c>
      <c r="Z851" s="168">
        <f>IF(ISERROR(Personalplanung!S19/Monatsplanung!$E19*Monatsplanung!$O19),0,Personalplanung!S19/Monatsplanung!$E19*Monatsplanung!$O19)</f>
        <v>0</v>
      </c>
      <c r="AA851" s="80">
        <f t="shared" si="275"/>
        <v>112063.71191135734</v>
      </c>
      <c r="AB851" s="102">
        <f t="shared" si="276"/>
        <v>0.1</v>
      </c>
      <c r="AC851" s="103">
        <f t="shared" si="277"/>
        <v>11206.371191135735</v>
      </c>
      <c r="AD851" s="103">
        <f t="shared" si="278"/>
        <v>100857.3407202216</v>
      </c>
      <c r="AE851" s="81">
        <f t="shared" si="279"/>
        <v>10.350000000000001</v>
      </c>
      <c r="AF851" s="539"/>
      <c r="AG851" s="104">
        <f t="shared" si="280"/>
        <v>1</v>
      </c>
      <c r="AH851" s="7">
        <f t="shared" si="281"/>
        <v>0</v>
      </c>
      <c r="AI851" s="6">
        <f t="shared" si="282"/>
        <v>10.350000000000001</v>
      </c>
      <c r="AJ851" s="73">
        <f t="shared" si="283"/>
        <v>1082.7411778875105</v>
      </c>
      <c r="AK851" s="539"/>
      <c r="AL851" s="748"/>
      <c r="AM851" s="748"/>
    </row>
    <row r="852" spans="2:39" x14ac:dyDescent="0.2">
      <c r="B852" s="101" t="str">
        <f t="shared" si="268"/>
        <v>A. Zubi</v>
      </c>
      <c r="C852" s="168">
        <f>IF(ISERROR(Personalplanung!F20/Monatsplanung!$E20*Monatsplanung!$O20),0,Personalplanung!F20/Monatsplanung!$E20*Monatsplanung!$O20)</f>
        <v>174</v>
      </c>
      <c r="D852" s="168">
        <f t="shared" si="269"/>
        <v>8</v>
      </c>
      <c r="E852" s="168">
        <f>IF(ISERROR(Personalplanung!H20/Monatsplanung!$E20*Monatsplanung!$O20),0,Personalplanung!H20/Monatsplanung!$E20*Monatsplanung!$O20)</f>
        <v>0</v>
      </c>
      <c r="F852" s="168">
        <f t="shared" si="270"/>
        <v>174</v>
      </c>
      <c r="G852" s="168">
        <f t="shared" si="271"/>
        <v>27.700831024930746</v>
      </c>
      <c r="H852" s="168">
        <f t="shared" si="272"/>
        <v>4819.9445983379501</v>
      </c>
      <c r="I852" s="168">
        <f t="shared" si="273"/>
        <v>30</v>
      </c>
      <c r="J852" s="739"/>
      <c r="K852" s="168">
        <f>IF(J852&lt;&gt;"",J852,IF(ISERROR(Personalplanung!AB20/Monatsplanung!$E20*Monatsplanung!$O20),0,Personalplanung!AB20/Monatsplanung!$E20*Monatsplanung!$O20))</f>
        <v>0.66666666666666663</v>
      </c>
      <c r="L852" s="740"/>
      <c r="M852" s="739"/>
      <c r="N852" s="168">
        <f>IF(M852&lt;&gt;"",M852,IF(ISERROR(Personalplanung!AC20/Monatsplanung!$E20*Monatsplanung!$O20),0,Personalplanung!AC20/Monatsplanung!$E20*Monatsplanung!$O20))</f>
        <v>0.25</v>
      </c>
      <c r="O852" s="740"/>
      <c r="P852" s="739"/>
      <c r="Q852" s="168">
        <f>IF(P852&lt;&gt;"",P852,IF(ISERROR(Personalplanung!AD20/Monatsplanung!$E20*Monatsplanung!$O20),0,Personalplanung!AD20/Monatsplanung!$E20*Monatsplanung!$O20))</f>
        <v>0.16666666666666666</v>
      </c>
      <c r="R852" s="740"/>
      <c r="S852" s="739"/>
      <c r="T852" s="168">
        <f>IF(S852&lt;&gt;"",S852,IF(ISERROR(Personalplanung!AE20/Monatsplanung!$E20*Monatsplanung!$O20),0,Personalplanung!AE20/Monatsplanung!$E20*Monatsplanung!$O20))</f>
        <v>2.1666666666666665</v>
      </c>
      <c r="U852" s="740"/>
      <c r="V852" s="168">
        <f t="shared" si="274"/>
        <v>3.25</v>
      </c>
      <c r="W852" s="168">
        <f>IF(ISERROR(Personalplanung!P20/Monatsplanung!$E20*Monatsplanung!$O20),0,Personalplanung!P20/Monatsplanung!$E20*Monatsplanung!$O20)</f>
        <v>0</v>
      </c>
      <c r="X852" s="168">
        <f>IF(ISERROR(Personalplanung!Q20/Monatsplanung!$E20*Monatsplanung!$O20),0,Personalplanung!Q20/Monatsplanung!$E20*Monatsplanung!$O20)</f>
        <v>0</v>
      </c>
      <c r="Y852" s="168">
        <f>IF(ISERROR(Personalplanung!R20/T1268*Stundencontrolling!T852),0,Personalplanung!R20/T1268*Stundencontrolling!T852)</f>
        <v>0</v>
      </c>
      <c r="Z852" s="168">
        <f>IF(ISERROR(Personalplanung!S20/Monatsplanung!$E20*Monatsplanung!$O20),0,Personalplanung!S20/Monatsplanung!$E20*Monatsplanung!$O20)</f>
        <v>0</v>
      </c>
      <c r="AA852" s="80">
        <f t="shared" si="275"/>
        <v>149418.28254847645</v>
      </c>
      <c r="AB852" s="102">
        <f t="shared" si="276"/>
        <v>0.1</v>
      </c>
      <c r="AC852" s="103">
        <f t="shared" si="277"/>
        <v>14941.828254847645</v>
      </c>
      <c r="AD852" s="103">
        <f t="shared" si="278"/>
        <v>134476.45429362881</v>
      </c>
      <c r="AE852" s="81">
        <f t="shared" si="279"/>
        <v>14.8</v>
      </c>
      <c r="AF852" s="539"/>
      <c r="AG852" s="104">
        <f t="shared" si="280"/>
        <v>1</v>
      </c>
      <c r="AH852" s="7">
        <f t="shared" si="281"/>
        <v>0</v>
      </c>
      <c r="AI852" s="6">
        <f t="shared" si="282"/>
        <v>14.8</v>
      </c>
      <c r="AJ852" s="73">
        <f t="shared" si="283"/>
        <v>1009.5829901924084</v>
      </c>
      <c r="AK852" s="539"/>
      <c r="AL852" s="748"/>
      <c r="AM852" s="748"/>
    </row>
    <row r="853" spans="2:39" x14ac:dyDescent="0.2">
      <c r="B853" s="101" t="str">
        <f t="shared" si="268"/>
        <v>Zur Ausbildung</v>
      </c>
      <c r="C853" s="168">
        <f>IF(ISERROR(Personalplanung!F21/Monatsplanung!$E21*Monatsplanung!$O21),0,Personalplanung!F21/Monatsplanung!$E21*Monatsplanung!$O21)</f>
        <v>174</v>
      </c>
      <c r="D853" s="168">
        <f t="shared" si="269"/>
        <v>8</v>
      </c>
      <c r="E853" s="168">
        <f>IF(ISERROR(Personalplanung!H21/Monatsplanung!$E21*Monatsplanung!$O21),0,Personalplanung!H21/Monatsplanung!$E21*Monatsplanung!$O21)</f>
        <v>0</v>
      </c>
      <c r="F853" s="168">
        <f t="shared" si="270"/>
        <v>174</v>
      </c>
      <c r="G853" s="168">
        <f t="shared" si="271"/>
        <v>27.700831024930746</v>
      </c>
      <c r="H853" s="168">
        <f t="shared" si="272"/>
        <v>4819.9445983379501</v>
      </c>
      <c r="I853" s="168">
        <f t="shared" si="273"/>
        <v>30</v>
      </c>
      <c r="J853" s="739"/>
      <c r="K853" s="168">
        <f>IF(J853&lt;&gt;"",J853,IF(ISERROR(Personalplanung!AB21/Monatsplanung!$E21*Monatsplanung!$O21),0,Personalplanung!AB21/Monatsplanung!$E21*Monatsplanung!$O21))</f>
        <v>1.6</v>
      </c>
      <c r="L853" s="740"/>
      <c r="M853" s="739"/>
      <c r="N853" s="168">
        <f>IF(M853&lt;&gt;"",M853,IF(ISERROR(Personalplanung!AC21/Monatsplanung!$E21*Monatsplanung!$O21),0,Personalplanung!AC21/Monatsplanung!$E21*Monatsplanung!$O21))</f>
        <v>0</v>
      </c>
      <c r="O853" s="740"/>
      <c r="P853" s="739"/>
      <c r="Q853" s="168">
        <f>IF(P853&lt;&gt;"",P853,IF(ISERROR(Personalplanung!AD21/Monatsplanung!$E21*Monatsplanung!$O21),0,Personalplanung!AD21/Monatsplanung!$E21*Monatsplanung!$O21))</f>
        <v>0.4</v>
      </c>
      <c r="R853" s="740"/>
      <c r="S853" s="739"/>
      <c r="T853" s="168">
        <f>IF(S853&lt;&gt;"",S853,IF(ISERROR(Personalplanung!AE21/Monatsplanung!$E21*Monatsplanung!$O21),0,Personalplanung!AE21/Monatsplanung!$E21*Monatsplanung!$O21))</f>
        <v>5.2</v>
      </c>
      <c r="U853" s="740"/>
      <c r="V853" s="168">
        <f t="shared" si="274"/>
        <v>7.2</v>
      </c>
      <c r="W853" s="168">
        <f>IF(ISERROR(Personalplanung!P21/Monatsplanung!$E21*Monatsplanung!$O21),0,Personalplanung!P21/Monatsplanung!$E21*Monatsplanung!$O21)</f>
        <v>12</v>
      </c>
      <c r="X853" s="168">
        <f>IF(ISERROR(Personalplanung!Q21/Monatsplanung!$E21*Monatsplanung!$O21),0,Personalplanung!Q21/Monatsplanung!$E21*Monatsplanung!$O21)</f>
        <v>0</v>
      </c>
      <c r="Y853" s="168">
        <f>IF(ISERROR(Personalplanung!R21/T1269*Stundencontrolling!T853),0,Personalplanung!R21/T1269*Stundencontrolling!T853)</f>
        <v>0</v>
      </c>
      <c r="Z853" s="168">
        <f>IF(ISERROR(Personalplanung!S21/Monatsplanung!$E21*Monatsplanung!$O21),0,Personalplanung!S21/Monatsplanung!$E21*Monatsplanung!$O21)</f>
        <v>0</v>
      </c>
      <c r="AA853" s="80">
        <f t="shared" si="275"/>
        <v>149430.28254847645</v>
      </c>
      <c r="AB853" s="102">
        <f t="shared" si="276"/>
        <v>0.1</v>
      </c>
      <c r="AC853" s="103">
        <f t="shared" si="277"/>
        <v>14943.028254847646</v>
      </c>
      <c r="AD853" s="103">
        <f t="shared" si="278"/>
        <v>134487.25429362879</v>
      </c>
      <c r="AE853" s="81">
        <f t="shared" si="279"/>
        <v>11.64</v>
      </c>
      <c r="AF853" s="539"/>
      <c r="AG853" s="104">
        <f t="shared" si="280"/>
        <v>1</v>
      </c>
      <c r="AH853" s="7">
        <f t="shared" si="281"/>
        <v>0</v>
      </c>
      <c r="AI853" s="6">
        <f t="shared" si="282"/>
        <v>11.64</v>
      </c>
      <c r="AJ853" s="73">
        <f t="shared" si="283"/>
        <v>1283.7653139903475</v>
      </c>
      <c r="AK853" s="539"/>
      <c r="AL853" s="748"/>
      <c r="AM853" s="748"/>
    </row>
    <row r="854" spans="2:39" x14ac:dyDescent="0.2">
      <c r="B854" s="101" t="str">
        <f t="shared" si="268"/>
        <v>Reine Putze</v>
      </c>
      <c r="C854" s="168">
        <f>IF(ISERROR(Personalplanung!F22/Monatsplanung!$E22*Monatsplanung!$O22),0,Personalplanung!F22/Monatsplanung!$E22*Monatsplanung!$O22)</f>
        <v>52.199999999999996</v>
      </c>
      <c r="D854" s="168">
        <f t="shared" si="269"/>
        <v>2.4</v>
      </c>
      <c r="E854" s="168">
        <f>IF(ISERROR(Personalplanung!H22/Monatsplanung!$E22*Monatsplanung!$O22),0,Personalplanung!H22/Monatsplanung!$E22*Monatsplanung!$O22)</f>
        <v>0</v>
      </c>
      <c r="F854" s="168">
        <f t="shared" si="270"/>
        <v>52.199999999999996</v>
      </c>
      <c r="G854" s="168">
        <f t="shared" si="271"/>
        <v>27.700831024930746</v>
      </c>
      <c r="H854" s="168">
        <f t="shared" si="272"/>
        <v>1445.9833795013849</v>
      </c>
      <c r="I854" s="168">
        <f t="shared" si="273"/>
        <v>30</v>
      </c>
      <c r="J854" s="739"/>
      <c r="K854" s="168">
        <f>IF(J854&lt;&gt;"",J854,IF(ISERROR(Personalplanung!AB22/Monatsplanung!$E22*Monatsplanung!$O22),0,Personalplanung!AB22/Monatsplanung!$E22*Monatsplanung!$O22))</f>
        <v>0.25</v>
      </c>
      <c r="L854" s="740"/>
      <c r="M854" s="739"/>
      <c r="N854" s="168">
        <f>IF(M854&lt;&gt;"",M854,IF(ISERROR(Personalplanung!AC22/Monatsplanung!$E22*Monatsplanung!$O22),0,Personalplanung!AC22/Monatsplanung!$E22*Monatsplanung!$O22))</f>
        <v>0</v>
      </c>
      <c r="O854" s="740"/>
      <c r="P854" s="739"/>
      <c r="Q854" s="168">
        <f>IF(P854&lt;&gt;"",P854,IF(ISERROR(Personalplanung!AD22/Monatsplanung!$E22*Monatsplanung!$O22),0,Personalplanung!AD22/Monatsplanung!$E22*Monatsplanung!$O22))</f>
        <v>0</v>
      </c>
      <c r="R854" s="740"/>
      <c r="S854" s="739"/>
      <c r="T854" s="168">
        <f>IF(S854&lt;&gt;"",S854,IF(ISERROR(Personalplanung!AE22/Monatsplanung!$E22*Monatsplanung!$O22),0,Personalplanung!AE22/Monatsplanung!$E22*Monatsplanung!$O22))</f>
        <v>2.1666666666666665</v>
      </c>
      <c r="U854" s="740"/>
      <c r="V854" s="168">
        <f t="shared" si="274"/>
        <v>2.4166666666666665</v>
      </c>
      <c r="W854" s="168">
        <f>IF(ISERROR(Personalplanung!P22/Monatsplanung!$E22*Monatsplanung!$O22),0,Personalplanung!P22/Monatsplanung!$E22*Monatsplanung!$O22)</f>
        <v>0</v>
      </c>
      <c r="X854" s="168">
        <f>IF(ISERROR(Personalplanung!Q22/Monatsplanung!$E22*Monatsplanung!$O22),0,Personalplanung!Q22/Monatsplanung!$E22*Monatsplanung!$O22)</f>
        <v>0</v>
      </c>
      <c r="Y854" s="168">
        <f>IF(ISERROR(Personalplanung!R22/T1270*Stundencontrolling!T854),0,Personalplanung!R22/T1270*Stundencontrolling!T854)</f>
        <v>0</v>
      </c>
      <c r="Z854" s="168">
        <f>IF(ISERROR(Personalplanung!S22/Monatsplanung!$E22*Monatsplanung!$O22),0,Personalplanung!S22/Monatsplanung!$E22*Monatsplanung!$O22)</f>
        <v>0</v>
      </c>
      <c r="AA854" s="80">
        <f t="shared" si="275"/>
        <v>44825.484764542933</v>
      </c>
      <c r="AB854" s="102">
        <f t="shared" si="276"/>
        <v>0.1</v>
      </c>
      <c r="AC854" s="103">
        <f t="shared" si="277"/>
        <v>4482.5484764542934</v>
      </c>
      <c r="AD854" s="103">
        <f t="shared" si="278"/>
        <v>40342.93628808864</v>
      </c>
      <c r="AE854" s="81">
        <f t="shared" si="279"/>
        <v>4.6399999999999997</v>
      </c>
      <c r="AF854" s="539"/>
      <c r="AG854" s="104">
        <f t="shared" si="280"/>
        <v>1</v>
      </c>
      <c r="AH854" s="7">
        <f t="shared" si="281"/>
        <v>0</v>
      </c>
      <c r="AI854" s="6">
        <f t="shared" si="282"/>
        <v>4.6399999999999997</v>
      </c>
      <c r="AJ854" s="73">
        <f t="shared" si="283"/>
        <v>966.06648199445988</v>
      </c>
      <c r="AK854" s="539"/>
      <c r="AL854" s="748"/>
      <c r="AM854" s="748"/>
    </row>
    <row r="855" spans="2:39" x14ac:dyDescent="0.2">
      <c r="B855" s="101" t="str">
        <f t="shared" si="268"/>
        <v/>
      </c>
      <c r="C855" s="168">
        <f>IF(ISERROR(Personalplanung!F23/Monatsplanung!$E23*Monatsplanung!$O23),0,Personalplanung!F23/Monatsplanung!$E23*Monatsplanung!$O23)</f>
        <v>0</v>
      </c>
      <c r="D855" s="168">
        <f t="shared" si="269"/>
        <v>0</v>
      </c>
      <c r="E855" s="168">
        <f>IF(ISERROR(Personalplanung!H23/Monatsplanung!$E23*Monatsplanung!$O23),0,Personalplanung!H23/Monatsplanung!$E23*Monatsplanung!$O23)</f>
        <v>0</v>
      </c>
      <c r="F855" s="168">
        <f t="shared" si="270"/>
        <v>0</v>
      </c>
      <c r="G855" s="168">
        <f t="shared" si="271"/>
        <v>27.700831024930746</v>
      </c>
      <c r="H855" s="168">
        <f t="shared" si="272"/>
        <v>0</v>
      </c>
      <c r="I855" s="168">
        <f t="shared" si="273"/>
        <v>30</v>
      </c>
      <c r="J855" s="739"/>
      <c r="K855" s="168">
        <f>IF(J855&lt;&gt;"",J855,IF(ISERROR(Personalplanung!AB23/Monatsplanung!$E23*Monatsplanung!$O23),0,Personalplanung!AB23/Monatsplanung!$E23*Monatsplanung!$O23))</f>
        <v>0</v>
      </c>
      <c r="L855" s="740"/>
      <c r="M855" s="739"/>
      <c r="N855" s="168">
        <f>IF(M855&lt;&gt;"",M855,IF(ISERROR(Personalplanung!AC23/Monatsplanung!$E23*Monatsplanung!$O23),0,Personalplanung!AC23/Monatsplanung!$E23*Monatsplanung!$O23))</f>
        <v>0</v>
      </c>
      <c r="O855" s="740"/>
      <c r="P855" s="739"/>
      <c r="Q855" s="168">
        <f>IF(P855&lt;&gt;"",P855,IF(ISERROR(Personalplanung!AD23/Monatsplanung!$E23*Monatsplanung!$O23),0,Personalplanung!AD23/Monatsplanung!$E23*Monatsplanung!$O23))</f>
        <v>0</v>
      </c>
      <c r="R855" s="740"/>
      <c r="S855" s="739"/>
      <c r="T855" s="168">
        <f>IF(S855&lt;&gt;"",S855,IF(ISERROR(Personalplanung!AE23/Monatsplanung!$E23*Monatsplanung!$O23),0,Personalplanung!AE23/Monatsplanung!$E23*Monatsplanung!$O23))</f>
        <v>0</v>
      </c>
      <c r="U855" s="740"/>
      <c r="V855" s="168">
        <f t="shared" si="274"/>
        <v>0</v>
      </c>
      <c r="W855" s="168">
        <f>IF(ISERROR(Personalplanung!P23/Monatsplanung!$E23*Monatsplanung!$O23),0,Personalplanung!P23/Monatsplanung!$E23*Monatsplanung!$O23)</f>
        <v>0</v>
      </c>
      <c r="X855" s="168">
        <f>IF(ISERROR(Personalplanung!Q23/Monatsplanung!$E23*Monatsplanung!$O23),0,Personalplanung!Q23/Monatsplanung!$E23*Monatsplanung!$O23)</f>
        <v>0</v>
      </c>
      <c r="Y855" s="168">
        <f>IF(ISERROR(Personalplanung!R23/T1271*Stundencontrolling!T855),0,Personalplanung!R23/T1271*Stundencontrolling!T855)</f>
        <v>0</v>
      </c>
      <c r="Z855" s="168">
        <f>IF(ISERROR(Personalplanung!S23/Monatsplanung!$E23*Monatsplanung!$O23),0,Personalplanung!S23/Monatsplanung!$E23*Monatsplanung!$O23)</f>
        <v>0</v>
      </c>
      <c r="AA855" s="80">
        <f t="shared" si="275"/>
        <v>0</v>
      </c>
      <c r="AB855" s="102">
        <f t="shared" si="276"/>
        <v>0.1</v>
      </c>
      <c r="AC855" s="103">
        <f t="shared" si="277"/>
        <v>0</v>
      </c>
      <c r="AD855" s="103">
        <f t="shared" si="278"/>
        <v>0</v>
      </c>
      <c r="AE855" s="81">
        <f t="shared" si="279"/>
        <v>0</v>
      </c>
      <c r="AF855" s="539"/>
      <c r="AG855" s="104">
        <f t="shared" si="280"/>
        <v>1</v>
      </c>
      <c r="AH855" s="7">
        <f t="shared" si="281"/>
        <v>0</v>
      </c>
      <c r="AI855" s="6">
        <f t="shared" si="282"/>
        <v>0</v>
      </c>
      <c r="AJ855" s="73">
        <f t="shared" si="283"/>
        <v>0</v>
      </c>
      <c r="AK855" s="539"/>
      <c r="AL855" s="748"/>
      <c r="AM855" s="748"/>
    </row>
    <row r="856" spans="2:39" x14ac:dyDescent="0.2">
      <c r="B856" s="101" t="str">
        <f t="shared" si="268"/>
        <v/>
      </c>
      <c r="C856" s="168">
        <f>IF(ISERROR(Personalplanung!F24/Monatsplanung!$E24*Monatsplanung!$O24),0,Personalplanung!F24/Monatsplanung!$E24*Monatsplanung!$O24)</f>
        <v>0</v>
      </c>
      <c r="D856" s="168">
        <f t="shared" si="269"/>
        <v>0</v>
      </c>
      <c r="E856" s="168">
        <f>IF(ISERROR(Personalplanung!H24/Monatsplanung!$E24*Monatsplanung!$O24),0,Personalplanung!H24/Monatsplanung!$E24*Monatsplanung!$O24)</f>
        <v>0</v>
      </c>
      <c r="F856" s="168">
        <f t="shared" si="270"/>
        <v>0</v>
      </c>
      <c r="G856" s="168">
        <f t="shared" si="271"/>
        <v>27.700831024930746</v>
      </c>
      <c r="H856" s="168">
        <f t="shared" si="272"/>
        <v>0</v>
      </c>
      <c r="I856" s="168">
        <f t="shared" si="273"/>
        <v>30</v>
      </c>
      <c r="J856" s="739"/>
      <c r="K856" s="168">
        <f>IF(J856&lt;&gt;"",J856,IF(ISERROR(Personalplanung!AB24/Monatsplanung!$E24*Monatsplanung!$O24),0,Personalplanung!AB24/Monatsplanung!$E24*Monatsplanung!$O24))</f>
        <v>0</v>
      </c>
      <c r="L856" s="740"/>
      <c r="M856" s="739"/>
      <c r="N856" s="168">
        <f>IF(M856&lt;&gt;"",M856,IF(ISERROR(Personalplanung!AC24/Monatsplanung!$E24*Monatsplanung!$O24),0,Personalplanung!AC24/Monatsplanung!$E24*Monatsplanung!$O24))</f>
        <v>0</v>
      </c>
      <c r="O856" s="740"/>
      <c r="P856" s="739"/>
      <c r="Q856" s="168">
        <f>IF(P856&lt;&gt;"",P856,IF(ISERROR(Personalplanung!AD24/Monatsplanung!$E24*Monatsplanung!$O24),0,Personalplanung!AD24/Monatsplanung!$E24*Monatsplanung!$O24))</f>
        <v>0</v>
      </c>
      <c r="R856" s="740"/>
      <c r="S856" s="739"/>
      <c r="T856" s="168">
        <f>IF(S856&lt;&gt;"",S856,IF(ISERROR(Personalplanung!AE24/Monatsplanung!$E24*Monatsplanung!$O24),0,Personalplanung!AE24/Monatsplanung!$E24*Monatsplanung!$O24))</f>
        <v>0</v>
      </c>
      <c r="U856" s="740"/>
      <c r="V856" s="168">
        <f t="shared" si="274"/>
        <v>0</v>
      </c>
      <c r="W856" s="168">
        <f>IF(ISERROR(Personalplanung!P24/Monatsplanung!$E24*Monatsplanung!$O24),0,Personalplanung!P24/Monatsplanung!$E24*Monatsplanung!$O24)</f>
        <v>0</v>
      </c>
      <c r="X856" s="168">
        <f>IF(ISERROR(Personalplanung!Q24/Monatsplanung!$E24*Monatsplanung!$O24),0,Personalplanung!Q24/Monatsplanung!$E24*Monatsplanung!$O24)</f>
        <v>0</v>
      </c>
      <c r="Y856" s="168">
        <f>IF(ISERROR(Personalplanung!R24/T1272*Stundencontrolling!T856),0,Personalplanung!R24/T1272*Stundencontrolling!T856)</f>
        <v>0</v>
      </c>
      <c r="Z856" s="168">
        <f>IF(ISERROR(Personalplanung!S24/Monatsplanung!$E24*Monatsplanung!$O24),0,Personalplanung!S24/Monatsplanung!$E24*Monatsplanung!$O24)</f>
        <v>0</v>
      </c>
      <c r="AA856" s="80">
        <f t="shared" si="275"/>
        <v>0</v>
      </c>
      <c r="AB856" s="102">
        <f t="shared" si="276"/>
        <v>0.1</v>
      </c>
      <c r="AC856" s="103">
        <f t="shared" si="277"/>
        <v>0</v>
      </c>
      <c r="AD856" s="103">
        <f t="shared" si="278"/>
        <v>0</v>
      </c>
      <c r="AE856" s="81">
        <f t="shared" si="279"/>
        <v>0</v>
      </c>
      <c r="AF856" s="539"/>
      <c r="AG856" s="104">
        <f t="shared" si="280"/>
        <v>1</v>
      </c>
      <c r="AH856" s="7">
        <f t="shared" si="281"/>
        <v>0</v>
      </c>
      <c r="AI856" s="6">
        <f t="shared" si="282"/>
        <v>0</v>
      </c>
      <c r="AJ856" s="73">
        <f t="shared" si="283"/>
        <v>0</v>
      </c>
      <c r="AK856" s="539"/>
      <c r="AL856" s="748"/>
      <c r="AM856" s="748"/>
    </row>
    <row r="857" spans="2:39" x14ac:dyDescent="0.2">
      <c r="B857" s="101" t="str">
        <f t="shared" si="268"/>
        <v/>
      </c>
      <c r="C857" s="168">
        <f>IF(ISERROR(Personalplanung!F25/Monatsplanung!$E25*Monatsplanung!$O25),0,Personalplanung!F25/Monatsplanung!$E25*Monatsplanung!$O25)</f>
        <v>0</v>
      </c>
      <c r="D857" s="168">
        <f t="shared" si="269"/>
        <v>0</v>
      </c>
      <c r="E857" s="168">
        <f>IF(ISERROR(Personalplanung!H25/Monatsplanung!$E25*Monatsplanung!$O25),0,Personalplanung!H25/Monatsplanung!$E25*Monatsplanung!$O25)</f>
        <v>0</v>
      </c>
      <c r="F857" s="168">
        <f t="shared" si="270"/>
        <v>0</v>
      </c>
      <c r="G857" s="168">
        <f t="shared" si="271"/>
        <v>27.700831024930746</v>
      </c>
      <c r="H857" s="168">
        <f t="shared" si="272"/>
        <v>0</v>
      </c>
      <c r="I857" s="168">
        <f t="shared" si="273"/>
        <v>30</v>
      </c>
      <c r="J857" s="739"/>
      <c r="K857" s="168">
        <f>IF(J857&lt;&gt;"",J857,IF(ISERROR(Personalplanung!AB25/Monatsplanung!$E25*Monatsplanung!$O25),0,Personalplanung!AB25/Monatsplanung!$E25*Monatsplanung!$O25))</f>
        <v>0</v>
      </c>
      <c r="L857" s="740"/>
      <c r="M857" s="739"/>
      <c r="N857" s="168">
        <f>IF(M857&lt;&gt;"",M857,IF(ISERROR(Personalplanung!AC25/Monatsplanung!$E25*Monatsplanung!$O25),0,Personalplanung!AC25/Monatsplanung!$E25*Monatsplanung!$O25))</f>
        <v>0</v>
      </c>
      <c r="O857" s="740"/>
      <c r="P857" s="739"/>
      <c r="Q857" s="168">
        <f>IF(P857&lt;&gt;"",P857,IF(ISERROR(Personalplanung!AD25/Monatsplanung!$E25*Monatsplanung!$O25),0,Personalplanung!AD25/Monatsplanung!$E25*Monatsplanung!$O25))</f>
        <v>0</v>
      </c>
      <c r="R857" s="740"/>
      <c r="S857" s="739"/>
      <c r="T857" s="168">
        <f>IF(S857&lt;&gt;"",S857,IF(ISERROR(Personalplanung!AE25/Monatsplanung!$E25*Monatsplanung!$O25),0,Personalplanung!AE25/Monatsplanung!$E25*Monatsplanung!$O25))</f>
        <v>0</v>
      </c>
      <c r="U857" s="740"/>
      <c r="V857" s="168">
        <f t="shared" si="274"/>
        <v>0</v>
      </c>
      <c r="W857" s="168">
        <f>IF(ISERROR(Personalplanung!P25/Monatsplanung!$E25*Monatsplanung!$O25),0,Personalplanung!P25/Monatsplanung!$E25*Monatsplanung!$O25)</f>
        <v>0</v>
      </c>
      <c r="X857" s="168">
        <f>IF(ISERROR(Personalplanung!Q25/Monatsplanung!$E25*Monatsplanung!$O25),0,Personalplanung!Q25/Monatsplanung!$E25*Monatsplanung!$O25)</f>
        <v>0</v>
      </c>
      <c r="Y857" s="168">
        <f>IF(ISERROR(Personalplanung!R25/T1273*Stundencontrolling!T857),0,Personalplanung!R25/T1273*Stundencontrolling!T857)</f>
        <v>0</v>
      </c>
      <c r="Z857" s="168">
        <f>IF(ISERROR(Personalplanung!S25/Monatsplanung!$E25*Monatsplanung!$O25),0,Personalplanung!S25/Monatsplanung!$E25*Monatsplanung!$O25)</f>
        <v>0</v>
      </c>
      <c r="AA857" s="80">
        <f t="shared" si="275"/>
        <v>0</v>
      </c>
      <c r="AB857" s="102">
        <f t="shared" si="276"/>
        <v>0.1</v>
      </c>
      <c r="AC857" s="103">
        <f t="shared" si="277"/>
        <v>0</v>
      </c>
      <c r="AD857" s="103">
        <f t="shared" si="278"/>
        <v>0</v>
      </c>
      <c r="AE857" s="81">
        <f t="shared" si="279"/>
        <v>0</v>
      </c>
      <c r="AF857" s="539"/>
      <c r="AG857" s="104">
        <f t="shared" si="280"/>
        <v>1</v>
      </c>
      <c r="AH857" s="7">
        <f t="shared" si="281"/>
        <v>0</v>
      </c>
      <c r="AI857" s="6">
        <f t="shared" si="282"/>
        <v>0</v>
      </c>
      <c r="AJ857" s="73">
        <f t="shared" si="283"/>
        <v>0</v>
      </c>
      <c r="AK857" s="539"/>
      <c r="AL857" s="748"/>
      <c r="AM857" s="748"/>
    </row>
    <row r="858" spans="2:39" x14ac:dyDescent="0.2">
      <c r="B858" s="101" t="str">
        <f t="shared" si="268"/>
        <v/>
      </c>
      <c r="C858" s="168">
        <f>IF(ISERROR(Personalplanung!F26/Monatsplanung!$E26*Monatsplanung!$O26),0,Personalplanung!F26/Monatsplanung!$E26*Monatsplanung!$O26)</f>
        <v>0</v>
      </c>
      <c r="D858" s="168">
        <f t="shared" si="269"/>
        <v>0</v>
      </c>
      <c r="E858" s="168">
        <f>IF(ISERROR(Personalplanung!H26/Monatsplanung!$E26*Monatsplanung!$O26),0,Personalplanung!H26/Monatsplanung!$E26*Monatsplanung!$O26)</f>
        <v>0</v>
      </c>
      <c r="F858" s="168">
        <f t="shared" si="270"/>
        <v>0</v>
      </c>
      <c r="G858" s="168">
        <f t="shared" si="271"/>
        <v>27.700831024930746</v>
      </c>
      <c r="H858" s="168">
        <f t="shared" si="272"/>
        <v>0</v>
      </c>
      <c r="I858" s="168">
        <f t="shared" si="273"/>
        <v>30</v>
      </c>
      <c r="J858" s="739"/>
      <c r="K858" s="168">
        <f>IF(J858&lt;&gt;"",J858,IF(ISERROR(Personalplanung!AB26/Monatsplanung!$E26*Monatsplanung!$O26),0,Personalplanung!AB26/Monatsplanung!$E26*Monatsplanung!$O26))</f>
        <v>0</v>
      </c>
      <c r="L858" s="740"/>
      <c r="M858" s="739"/>
      <c r="N858" s="168">
        <f>IF(M858&lt;&gt;"",M858,IF(ISERROR(Personalplanung!AC26/Monatsplanung!$E26*Monatsplanung!$O26),0,Personalplanung!AC26/Monatsplanung!$E26*Monatsplanung!$O26))</f>
        <v>0</v>
      </c>
      <c r="O858" s="740"/>
      <c r="P858" s="739"/>
      <c r="Q858" s="168">
        <f>IF(P858&lt;&gt;"",P858,IF(ISERROR(Personalplanung!AD26/Monatsplanung!$E26*Monatsplanung!$O26),0,Personalplanung!AD26/Monatsplanung!$E26*Monatsplanung!$O26))</f>
        <v>0</v>
      </c>
      <c r="R858" s="740"/>
      <c r="S858" s="739"/>
      <c r="T858" s="168">
        <f>IF(S858&lt;&gt;"",S858,IF(ISERROR(Personalplanung!AE26/Monatsplanung!$E26*Monatsplanung!$O26),0,Personalplanung!AE26/Monatsplanung!$E26*Monatsplanung!$O26))</f>
        <v>0</v>
      </c>
      <c r="U858" s="740"/>
      <c r="V858" s="168">
        <f t="shared" si="274"/>
        <v>0</v>
      </c>
      <c r="W858" s="168">
        <f>IF(ISERROR(Personalplanung!P26/Monatsplanung!$E26*Monatsplanung!$O26),0,Personalplanung!P26/Monatsplanung!$E26*Monatsplanung!$O26)</f>
        <v>0</v>
      </c>
      <c r="X858" s="168">
        <f>IF(ISERROR(Personalplanung!Q26/Monatsplanung!$E26*Monatsplanung!$O26),0,Personalplanung!Q26/Monatsplanung!$E26*Monatsplanung!$O26)</f>
        <v>0</v>
      </c>
      <c r="Y858" s="168">
        <f>IF(ISERROR(Personalplanung!R26/T1274*Stundencontrolling!T858),0,Personalplanung!R26/T1274*Stundencontrolling!T858)</f>
        <v>0</v>
      </c>
      <c r="Z858" s="168">
        <f>IF(ISERROR(Personalplanung!S26/Monatsplanung!$E26*Monatsplanung!$O26),0,Personalplanung!S26/Monatsplanung!$E26*Monatsplanung!$O26)</f>
        <v>0</v>
      </c>
      <c r="AA858" s="80">
        <f t="shared" si="275"/>
        <v>0</v>
      </c>
      <c r="AB858" s="102">
        <f t="shared" si="276"/>
        <v>0.1</v>
      </c>
      <c r="AC858" s="103">
        <f t="shared" si="277"/>
        <v>0</v>
      </c>
      <c r="AD858" s="103">
        <f t="shared" si="278"/>
        <v>0</v>
      </c>
      <c r="AE858" s="81">
        <f t="shared" si="279"/>
        <v>0</v>
      </c>
      <c r="AF858" s="539"/>
      <c r="AG858" s="104">
        <f t="shared" si="280"/>
        <v>1</v>
      </c>
      <c r="AH858" s="7">
        <f t="shared" si="281"/>
        <v>0</v>
      </c>
      <c r="AI858" s="6">
        <f t="shared" si="282"/>
        <v>0</v>
      </c>
      <c r="AJ858" s="73">
        <f t="shared" si="283"/>
        <v>0</v>
      </c>
      <c r="AK858" s="539"/>
      <c r="AL858" s="748"/>
      <c r="AM858" s="748"/>
    </row>
    <row r="859" spans="2:39" x14ac:dyDescent="0.2">
      <c r="B859" s="101" t="str">
        <f t="shared" si="268"/>
        <v/>
      </c>
      <c r="C859" s="168">
        <f>IF(ISERROR(Personalplanung!F27/Monatsplanung!$E27*Monatsplanung!$O27),0,Personalplanung!F27/Monatsplanung!$E27*Monatsplanung!$O27)</f>
        <v>0</v>
      </c>
      <c r="D859" s="168">
        <f t="shared" si="269"/>
        <v>0</v>
      </c>
      <c r="E859" s="168">
        <f>IF(ISERROR(Personalplanung!H27/Monatsplanung!$E27*Monatsplanung!$O27),0,Personalplanung!H27/Monatsplanung!$E27*Monatsplanung!$O27)</f>
        <v>0</v>
      </c>
      <c r="F859" s="168">
        <f t="shared" si="270"/>
        <v>0</v>
      </c>
      <c r="G859" s="168">
        <f t="shared" si="271"/>
        <v>27.700831024930746</v>
      </c>
      <c r="H859" s="168">
        <f t="shared" si="272"/>
        <v>0</v>
      </c>
      <c r="I859" s="168">
        <f t="shared" si="273"/>
        <v>30</v>
      </c>
      <c r="J859" s="739"/>
      <c r="K859" s="168">
        <f>IF(J859&lt;&gt;"",J859,IF(ISERROR(Personalplanung!AB27/Monatsplanung!$E27*Monatsplanung!$O27),0,Personalplanung!AB27/Monatsplanung!$E27*Monatsplanung!$O27))</f>
        <v>0</v>
      </c>
      <c r="L859" s="740"/>
      <c r="M859" s="739"/>
      <c r="N859" s="168">
        <f>IF(M859&lt;&gt;"",M859,IF(ISERROR(Personalplanung!AC27/Monatsplanung!$E27*Monatsplanung!$O27),0,Personalplanung!AC27/Monatsplanung!$E27*Monatsplanung!$O27))</f>
        <v>0</v>
      </c>
      <c r="O859" s="740"/>
      <c r="P859" s="739"/>
      <c r="Q859" s="168">
        <f>IF(P859&lt;&gt;"",P859,IF(ISERROR(Personalplanung!AD27/Monatsplanung!$E27*Monatsplanung!$O27),0,Personalplanung!AD27/Monatsplanung!$E27*Monatsplanung!$O27))</f>
        <v>0</v>
      </c>
      <c r="R859" s="740"/>
      <c r="S859" s="739"/>
      <c r="T859" s="168">
        <f>IF(S859&lt;&gt;"",S859,IF(ISERROR(Personalplanung!AE27/Monatsplanung!$E27*Monatsplanung!$O27),0,Personalplanung!AE27/Monatsplanung!$E27*Monatsplanung!$O27))</f>
        <v>0</v>
      </c>
      <c r="U859" s="740"/>
      <c r="V859" s="168">
        <f t="shared" si="274"/>
        <v>0</v>
      </c>
      <c r="W859" s="168">
        <f>IF(ISERROR(Personalplanung!P27/Monatsplanung!$E27*Monatsplanung!$O27),0,Personalplanung!P27/Monatsplanung!$E27*Monatsplanung!$O27)</f>
        <v>0</v>
      </c>
      <c r="X859" s="168">
        <f>IF(ISERROR(Personalplanung!Q27/Monatsplanung!$E27*Monatsplanung!$O27),0,Personalplanung!Q27/Monatsplanung!$E27*Monatsplanung!$O27)</f>
        <v>0</v>
      </c>
      <c r="Y859" s="168">
        <f>IF(ISERROR(Personalplanung!R27/T1275*Stundencontrolling!T859),0,Personalplanung!R27/T1275*Stundencontrolling!T859)</f>
        <v>0</v>
      </c>
      <c r="Z859" s="168">
        <f>IF(ISERROR(Personalplanung!S27/Monatsplanung!$E27*Monatsplanung!$O27),0,Personalplanung!S27/Monatsplanung!$E27*Monatsplanung!$O27)</f>
        <v>0</v>
      </c>
      <c r="AA859" s="80">
        <f t="shared" si="275"/>
        <v>0</v>
      </c>
      <c r="AB859" s="102">
        <f t="shared" si="276"/>
        <v>0.1</v>
      </c>
      <c r="AC859" s="103">
        <f t="shared" si="277"/>
        <v>0</v>
      </c>
      <c r="AD859" s="103">
        <f t="shared" si="278"/>
        <v>0</v>
      </c>
      <c r="AE859" s="81">
        <f t="shared" si="279"/>
        <v>0</v>
      </c>
      <c r="AF859" s="539"/>
      <c r="AG859" s="104">
        <f t="shared" si="280"/>
        <v>1</v>
      </c>
      <c r="AH859" s="7">
        <f t="shared" si="281"/>
        <v>0</v>
      </c>
      <c r="AI859" s="6">
        <f t="shared" si="282"/>
        <v>0</v>
      </c>
      <c r="AJ859" s="73">
        <f t="shared" si="283"/>
        <v>0</v>
      </c>
      <c r="AK859" s="539"/>
      <c r="AL859" s="748"/>
      <c r="AM859" s="748"/>
    </row>
    <row r="860" spans="2:39" x14ac:dyDescent="0.2">
      <c r="B860" s="101" t="str">
        <f t="shared" si="268"/>
        <v/>
      </c>
      <c r="C860" s="168">
        <f>IF(ISERROR(Personalplanung!F28/Monatsplanung!$E28*Monatsplanung!$O28),0,Personalplanung!F28/Monatsplanung!$E28*Monatsplanung!$O28)</f>
        <v>0</v>
      </c>
      <c r="D860" s="168">
        <f t="shared" si="269"/>
        <v>0</v>
      </c>
      <c r="E860" s="168">
        <f>IF(ISERROR(Personalplanung!H28/Monatsplanung!$E28*Monatsplanung!$O28),0,Personalplanung!H28/Monatsplanung!$E28*Monatsplanung!$O28)</f>
        <v>0</v>
      </c>
      <c r="F860" s="168">
        <f t="shared" si="270"/>
        <v>0</v>
      </c>
      <c r="G860" s="168">
        <f t="shared" si="271"/>
        <v>27.700831024930746</v>
      </c>
      <c r="H860" s="168">
        <f t="shared" si="272"/>
        <v>0</v>
      </c>
      <c r="I860" s="168">
        <f t="shared" si="273"/>
        <v>30</v>
      </c>
      <c r="J860" s="739"/>
      <c r="K860" s="168">
        <f>IF(J860&lt;&gt;"",J860,IF(ISERROR(Personalplanung!AB28/Monatsplanung!$E28*Monatsplanung!$O28),0,Personalplanung!AB28/Monatsplanung!$E28*Monatsplanung!$O28))</f>
        <v>0</v>
      </c>
      <c r="L860" s="740"/>
      <c r="M860" s="739"/>
      <c r="N860" s="168">
        <f>IF(M860&lt;&gt;"",M860,IF(ISERROR(Personalplanung!AC28/Monatsplanung!$E28*Monatsplanung!$O28),0,Personalplanung!AC28/Monatsplanung!$E28*Monatsplanung!$O28))</f>
        <v>0</v>
      </c>
      <c r="O860" s="740"/>
      <c r="P860" s="739"/>
      <c r="Q860" s="168">
        <f>IF(P860&lt;&gt;"",P860,IF(ISERROR(Personalplanung!AD28/Monatsplanung!$E28*Monatsplanung!$O28),0,Personalplanung!AD28/Monatsplanung!$E28*Monatsplanung!$O28))</f>
        <v>0</v>
      </c>
      <c r="R860" s="740"/>
      <c r="S860" s="739"/>
      <c r="T860" s="168">
        <f>IF(S860&lt;&gt;"",S860,IF(ISERROR(Personalplanung!AE28/Monatsplanung!$E28*Monatsplanung!$O28),0,Personalplanung!AE28/Monatsplanung!$E28*Monatsplanung!$O28))</f>
        <v>0</v>
      </c>
      <c r="U860" s="740"/>
      <c r="V860" s="168">
        <f t="shared" si="274"/>
        <v>0</v>
      </c>
      <c r="W860" s="168">
        <f>IF(ISERROR(Personalplanung!P28/Monatsplanung!$E28*Monatsplanung!$O28),0,Personalplanung!P28/Monatsplanung!$E28*Monatsplanung!$O28)</f>
        <v>0</v>
      </c>
      <c r="X860" s="168">
        <f>IF(ISERROR(Personalplanung!Q28/Monatsplanung!$E28*Monatsplanung!$O28),0,Personalplanung!Q28/Monatsplanung!$E28*Monatsplanung!$O28)</f>
        <v>0</v>
      </c>
      <c r="Y860" s="168">
        <f>IF(ISERROR(Personalplanung!R28/T1276*Stundencontrolling!T860),0,Personalplanung!R28/T1276*Stundencontrolling!T860)</f>
        <v>0</v>
      </c>
      <c r="Z860" s="168">
        <f>IF(ISERROR(Personalplanung!S28/Monatsplanung!$E28*Monatsplanung!$O28),0,Personalplanung!S28/Monatsplanung!$E28*Monatsplanung!$O28)</f>
        <v>0</v>
      </c>
      <c r="AA860" s="80">
        <f t="shared" si="275"/>
        <v>0</v>
      </c>
      <c r="AB860" s="102">
        <f t="shared" si="276"/>
        <v>0.1</v>
      </c>
      <c r="AC860" s="103">
        <f t="shared" si="277"/>
        <v>0</v>
      </c>
      <c r="AD860" s="103">
        <f t="shared" si="278"/>
        <v>0</v>
      </c>
      <c r="AE860" s="81">
        <f t="shared" si="279"/>
        <v>0</v>
      </c>
      <c r="AF860" s="539"/>
      <c r="AG860" s="104">
        <f t="shared" si="280"/>
        <v>1</v>
      </c>
      <c r="AH860" s="7">
        <f t="shared" si="281"/>
        <v>0</v>
      </c>
      <c r="AI860" s="6">
        <f t="shared" si="282"/>
        <v>0</v>
      </c>
      <c r="AJ860" s="73">
        <f t="shared" si="283"/>
        <v>0</v>
      </c>
      <c r="AK860" s="539"/>
      <c r="AL860" s="748"/>
      <c r="AM860" s="748"/>
    </row>
    <row r="861" spans="2:39" x14ac:dyDescent="0.2">
      <c r="B861" s="101" t="str">
        <f t="shared" si="268"/>
        <v/>
      </c>
      <c r="C861" s="168">
        <f>IF(ISERROR(Personalplanung!F29/Monatsplanung!$E29*Monatsplanung!$O29),0,Personalplanung!F29/Monatsplanung!$E29*Monatsplanung!$O29)</f>
        <v>0</v>
      </c>
      <c r="D861" s="168">
        <f t="shared" si="269"/>
        <v>0</v>
      </c>
      <c r="E861" s="168">
        <f>IF(ISERROR(Personalplanung!H29/Monatsplanung!$E29*Monatsplanung!$O29),0,Personalplanung!H29/Monatsplanung!$E29*Monatsplanung!$O29)</f>
        <v>0</v>
      </c>
      <c r="F861" s="168">
        <f t="shared" si="270"/>
        <v>0</v>
      </c>
      <c r="G861" s="168">
        <f t="shared" si="271"/>
        <v>27.700831024930746</v>
      </c>
      <c r="H861" s="168">
        <f t="shared" si="272"/>
        <v>0</v>
      </c>
      <c r="I861" s="168">
        <f t="shared" si="273"/>
        <v>30</v>
      </c>
      <c r="J861" s="739"/>
      <c r="K861" s="168">
        <f>IF(J861&lt;&gt;"",J861,IF(ISERROR(Personalplanung!AB29/Monatsplanung!$E29*Monatsplanung!$O29),0,Personalplanung!AB29/Monatsplanung!$E29*Monatsplanung!$O29))</f>
        <v>0</v>
      </c>
      <c r="L861" s="740"/>
      <c r="M861" s="739"/>
      <c r="N861" s="168">
        <f>IF(M861&lt;&gt;"",M861,IF(ISERROR(Personalplanung!AC29/Monatsplanung!$E29*Monatsplanung!$O29),0,Personalplanung!AC29/Monatsplanung!$E29*Monatsplanung!$O29))</f>
        <v>0</v>
      </c>
      <c r="O861" s="740"/>
      <c r="P861" s="739"/>
      <c r="Q861" s="168">
        <f>IF(P861&lt;&gt;"",P861,IF(ISERROR(Personalplanung!AD29/Monatsplanung!$E29*Monatsplanung!$O29),0,Personalplanung!AD29/Monatsplanung!$E29*Monatsplanung!$O29))</f>
        <v>0</v>
      </c>
      <c r="R861" s="740"/>
      <c r="S861" s="739"/>
      <c r="T861" s="168">
        <f>IF(S861&lt;&gt;"",S861,IF(ISERROR(Personalplanung!AE29/Monatsplanung!$E29*Monatsplanung!$O29),0,Personalplanung!AE29/Monatsplanung!$E29*Monatsplanung!$O29))</f>
        <v>0</v>
      </c>
      <c r="U861" s="740"/>
      <c r="V861" s="168">
        <f t="shared" si="274"/>
        <v>0</v>
      </c>
      <c r="W861" s="168">
        <f>IF(ISERROR(Personalplanung!P29/Monatsplanung!$E29*Monatsplanung!$O29),0,Personalplanung!P29/Monatsplanung!$E29*Monatsplanung!$O29)</f>
        <v>0</v>
      </c>
      <c r="X861" s="168">
        <f>IF(ISERROR(Personalplanung!Q29/Monatsplanung!$E29*Monatsplanung!$O29),0,Personalplanung!Q29/Monatsplanung!$E29*Monatsplanung!$O29)</f>
        <v>0</v>
      </c>
      <c r="Y861" s="168">
        <f>IF(ISERROR(Personalplanung!R29/T1277*Stundencontrolling!T861),0,Personalplanung!R29/T1277*Stundencontrolling!T861)</f>
        <v>0</v>
      </c>
      <c r="Z861" s="168">
        <f>IF(ISERROR(Personalplanung!S29/Monatsplanung!$E29*Monatsplanung!$O29),0,Personalplanung!S29/Monatsplanung!$E29*Monatsplanung!$O29)</f>
        <v>0</v>
      </c>
      <c r="AA861" s="80">
        <f t="shared" si="275"/>
        <v>0</v>
      </c>
      <c r="AB861" s="102">
        <f t="shared" si="276"/>
        <v>0.1</v>
      </c>
      <c r="AC861" s="103">
        <f t="shared" si="277"/>
        <v>0</v>
      </c>
      <c r="AD861" s="103">
        <f t="shared" si="278"/>
        <v>0</v>
      </c>
      <c r="AE861" s="81">
        <f t="shared" si="279"/>
        <v>0</v>
      </c>
      <c r="AF861" s="539"/>
      <c r="AG861" s="104">
        <f t="shared" si="280"/>
        <v>1</v>
      </c>
      <c r="AH861" s="7">
        <f t="shared" si="281"/>
        <v>0</v>
      </c>
      <c r="AI861" s="6">
        <f t="shared" si="282"/>
        <v>0</v>
      </c>
      <c r="AJ861" s="73">
        <f t="shared" si="283"/>
        <v>0</v>
      </c>
      <c r="AK861" s="539"/>
      <c r="AL861" s="748"/>
      <c r="AM861" s="748"/>
    </row>
    <row r="862" spans="2:39" x14ac:dyDescent="0.2">
      <c r="B862" s="101" t="str">
        <f t="shared" si="268"/>
        <v/>
      </c>
      <c r="C862" s="168">
        <f>IF(ISERROR(Personalplanung!F30/Monatsplanung!$E30*Monatsplanung!$O30),0,Personalplanung!F30/Monatsplanung!$E30*Monatsplanung!$O30)</f>
        <v>0</v>
      </c>
      <c r="D862" s="168">
        <f t="shared" si="269"/>
        <v>0</v>
      </c>
      <c r="E862" s="168">
        <f>IF(ISERROR(Personalplanung!H30/Monatsplanung!$E30*Monatsplanung!$O30),0,Personalplanung!H30/Monatsplanung!$E30*Monatsplanung!$O30)</f>
        <v>0</v>
      </c>
      <c r="F862" s="168">
        <f t="shared" si="270"/>
        <v>0</v>
      </c>
      <c r="G862" s="168">
        <f t="shared" si="271"/>
        <v>27.700831024930746</v>
      </c>
      <c r="H862" s="168">
        <f t="shared" si="272"/>
        <v>0</v>
      </c>
      <c r="I862" s="168">
        <f t="shared" si="273"/>
        <v>30</v>
      </c>
      <c r="J862" s="739"/>
      <c r="K862" s="168">
        <f>IF(J862&lt;&gt;"",J862,IF(ISERROR(Personalplanung!AB30/Monatsplanung!$E30*Monatsplanung!$O30),0,Personalplanung!AB30/Monatsplanung!$E30*Monatsplanung!$O30))</f>
        <v>0</v>
      </c>
      <c r="L862" s="740"/>
      <c r="M862" s="739"/>
      <c r="N862" s="168">
        <f>IF(M862&lt;&gt;"",M862,IF(ISERROR(Personalplanung!AC30/Monatsplanung!$E30*Monatsplanung!$O30),0,Personalplanung!AC30/Monatsplanung!$E30*Monatsplanung!$O30))</f>
        <v>0</v>
      </c>
      <c r="O862" s="740"/>
      <c r="P862" s="739"/>
      <c r="Q862" s="168">
        <f>IF(P862&lt;&gt;"",P862,IF(ISERROR(Personalplanung!AD30/Monatsplanung!$E30*Monatsplanung!$O30),0,Personalplanung!AD30/Monatsplanung!$E30*Monatsplanung!$O30))</f>
        <v>0</v>
      </c>
      <c r="R862" s="740"/>
      <c r="S862" s="739"/>
      <c r="T862" s="168">
        <f>IF(S862&lt;&gt;"",S862,IF(ISERROR(Personalplanung!AE30/Monatsplanung!$E30*Monatsplanung!$O30),0,Personalplanung!AE30/Monatsplanung!$E30*Monatsplanung!$O30))</f>
        <v>0</v>
      </c>
      <c r="U862" s="740"/>
      <c r="V862" s="168">
        <f t="shared" si="274"/>
        <v>0</v>
      </c>
      <c r="W862" s="168">
        <f>IF(ISERROR(Personalplanung!P30/Monatsplanung!$E30*Monatsplanung!$O30),0,Personalplanung!P30/Monatsplanung!$E30*Monatsplanung!$O30)</f>
        <v>0</v>
      </c>
      <c r="X862" s="168">
        <f>IF(ISERROR(Personalplanung!Q30/Monatsplanung!$E30*Monatsplanung!$O30),0,Personalplanung!Q30/Monatsplanung!$E30*Monatsplanung!$O30)</f>
        <v>0</v>
      </c>
      <c r="Y862" s="168">
        <f>IF(ISERROR(Personalplanung!R30/T1278*Stundencontrolling!T862),0,Personalplanung!R30/T1278*Stundencontrolling!T862)</f>
        <v>0</v>
      </c>
      <c r="Z862" s="168">
        <f>IF(ISERROR(Personalplanung!S30/Monatsplanung!$E30*Monatsplanung!$O30),0,Personalplanung!S30/Monatsplanung!$E30*Monatsplanung!$O30)</f>
        <v>0</v>
      </c>
      <c r="AA862" s="80">
        <f t="shared" si="275"/>
        <v>0</v>
      </c>
      <c r="AB862" s="102">
        <f t="shared" si="276"/>
        <v>0.1</v>
      </c>
      <c r="AC862" s="103">
        <f t="shared" si="277"/>
        <v>0</v>
      </c>
      <c r="AD862" s="103">
        <f t="shared" si="278"/>
        <v>0</v>
      </c>
      <c r="AE862" s="81">
        <f t="shared" si="279"/>
        <v>0</v>
      </c>
      <c r="AF862" s="539"/>
      <c r="AG862" s="104">
        <f t="shared" si="280"/>
        <v>1</v>
      </c>
      <c r="AH862" s="7">
        <f t="shared" si="281"/>
        <v>0</v>
      </c>
      <c r="AI862" s="6">
        <f t="shared" si="282"/>
        <v>0</v>
      </c>
      <c r="AJ862" s="73">
        <f t="shared" si="283"/>
        <v>0</v>
      </c>
      <c r="AK862" s="539"/>
      <c r="AL862" s="748"/>
      <c r="AM862" s="748"/>
    </row>
    <row r="863" spans="2:39" x14ac:dyDescent="0.2">
      <c r="B863" s="101" t="str">
        <f t="shared" si="268"/>
        <v/>
      </c>
      <c r="C863" s="168">
        <f>IF(ISERROR(Personalplanung!F31/Monatsplanung!$E31*Monatsplanung!$O31),0,Personalplanung!F31/Monatsplanung!$E31*Monatsplanung!$O31)</f>
        <v>0</v>
      </c>
      <c r="D863" s="168">
        <f t="shared" si="269"/>
        <v>0</v>
      </c>
      <c r="E863" s="168">
        <f>IF(ISERROR(Personalplanung!H31/Monatsplanung!$E31*Monatsplanung!$O31),0,Personalplanung!H31/Monatsplanung!$E31*Monatsplanung!$O31)</f>
        <v>0</v>
      </c>
      <c r="F863" s="168">
        <f t="shared" si="270"/>
        <v>0</v>
      </c>
      <c r="G863" s="168">
        <f t="shared" si="271"/>
        <v>27.700831024930746</v>
      </c>
      <c r="H863" s="168">
        <f t="shared" si="272"/>
        <v>0</v>
      </c>
      <c r="I863" s="168">
        <f t="shared" si="273"/>
        <v>30</v>
      </c>
      <c r="J863" s="739"/>
      <c r="K863" s="168">
        <f>IF(J863&lt;&gt;"",J863,IF(ISERROR(Personalplanung!AB31/Monatsplanung!$E31*Monatsplanung!$O31),0,Personalplanung!AB31/Monatsplanung!$E31*Monatsplanung!$O31))</f>
        <v>0</v>
      </c>
      <c r="L863" s="740"/>
      <c r="M863" s="739"/>
      <c r="N863" s="168">
        <f>IF(M863&lt;&gt;"",M863,IF(ISERROR(Personalplanung!AC31/Monatsplanung!$E31*Monatsplanung!$O31),0,Personalplanung!AC31/Monatsplanung!$E31*Monatsplanung!$O31))</f>
        <v>0</v>
      </c>
      <c r="O863" s="740"/>
      <c r="P863" s="739"/>
      <c r="Q863" s="168">
        <f>IF(P863&lt;&gt;"",P863,IF(ISERROR(Personalplanung!AD31/Monatsplanung!$E31*Monatsplanung!$O31),0,Personalplanung!AD31/Monatsplanung!$E31*Monatsplanung!$O31))</f>
        <v>0</v>
      </c>
      <c r="R863" s="740"/>
      <c r="S863" s="739"/>
      <c r="T863" s="168">
        <f>IF(S863&lt;&gt;"",S863,IF(ISERROR(Personalplanung!AE31/Monatsplanung!$E31*Monatsplanung!$O31),0,Personalplanung!AE31/Monatsplanung!$E31*Monatsplanung!$O31))</f>
        <v>0</v>
      </c>
      <c r="U863" s="740"/>
      <c r="V863" s="168">
        <f t="shared" si="274"/>
        <v>0</v>
      </c>
      <c r="W863" s="168">
        <f>IF(ISERROR(Personalplanung!P31/Monatsplanung!$E31*Monatsplanung!$O31),0,Personalplanung!P31/Monatsplanung!$E31*Monatsplanung!$O31)</f>
        <v>0</v>
      </c>
      <c r="X863" s="168">
        <f>IF(ISERROR(Personalplanung!Q31/Monatsplanung!$E31*Monatsplanung!$O31),0,Personalplanung!Q31/Monatsplanung!$E31*Monatsplanung!$O31)</f>
        <v>0</v>
      </c>
      <c r="Y863" s="168">
        <f>IF(ISERROR(Personalplanung!R31/T1279*Stundencontrolling!T863),0,Personalplanung!R31/T1279*Stundencontrolling!T863)</f>
        <v>0</v>
      </c>
      <c r="Z863" s="168">
        <f>IF(ISERROR(Personalplanung!S31/Monatsplanung!$E31*Monatsplanung!$O31),0,Personalplanung!S31/Monatsplanung!$E31*Monatsplanung!$O31)</f>
        <v>0</v>
      </c>
      <c r="AA863" s="80">
        <f t="shared" si="275"/>
        <v>0</v>
      </c>
      <c r="AB863" s="102">
        <f t="shared" si="276"/>
        <v>0.1</v>
      </c>
      <c r="AC863" s="103">
        <f t="shared" si="277"/>
        <v>0</v>
      </c>
      <c r="AD863" s="103">
        <f t="shared" si="278"/>
        <v>0</v>
      </c>
      <c r="AE863" s="81">
        <f t="shared" si="279"/>
        <v>0</v>
      </c>
      <c r="AF863" s="539"/>
      <c r="AG863" s="104">
        <f t="shared" si="280"/>
        <v>1</v>
      </c>
      <c r="AH863" s="7">
        <f t="shared" si="281"/>
        <v>0</v>
      </c>
      <c r="AI863" s="6">
        <f t="shared" si="282"/>
        <v>0</v>
      </c>
      <c r="AJ863" s="73">
        <f t="shared" si="283"/>
        <v>0</v>
      </c>
      <c r="AK863" s="539"/>
      <c r="AL863" s="748"/>
      <c r="AM863" s="748"/>
    </row>
    <row r="864" spans="2:39" x14ac:dyDescent="0.2">
      <c r="B864" s="101" t="str">
        <f t="shared" si="268"/>
        <v/>
      </c>
      <c r="C864" s="168">
        <f>IF(ISERROR(Personalplanung!F32/Monatsplanung!$E32*Monatsplanung!$O32),0,Personalplanung!F32/Monatsplanung!$E32*Monatsplanung!$O32)</f>
        <v>0</v>
      </c>
      <c r="D864" s="168">
        <f t="shared" si="269"/>
        <v>0</v>
      </c>
      <c r="E864" s="168">
        <f>IF(ISERROR(Personalplanung!H32/Monatsplanung!$E32*Monatsplanung!$O32),0,Personalplanung!H32/Monatsplanung!$E32*Monatsplanung!$O32)</f>
        <v>0</v>
      </c>
      <c r="F864" s="168">
        <f t="shared" si="270"/>
        <v>0</v>
      </c>
      <c r="G864" s="168">
        <f t="shared" si="271"/>
        <v>27.700831024930746</v>
      </c>
      <c r="H864" s="168">
        <f t="shared" si="272"/>
        <v>0</v>
      </c>
      <c r="I864" s="168">
        <f t="shared" si="273"/>
        <v>30</v>
      </c>
      <c r="J864" s="739"/>
      <c r="K864" s="168">
        <f>IF(J864&lt;&gt;"",J864,IF(ISERROR(Personalplanung!AB32/Monatsplanung!$E32*Monatsplanung!$O32),0,Personalplanung!AB32/Monatsplanung!$E32*Monatsplanung!$O32))</f>
        <v>0</v>
      </c>
      <c r="L864" s="740"/>
      <c r="M864" s="739"/>
      <c r="N864" s="168">
        <f>IF(M864&lt;&gt;"",M864,IF(ISERROR(Personalplanung!AC32/Monatsplanung!$E32*Monatsplanung!$O32),0,Personalplanung!AC32/Monatsplanung!$E32*Monatsplanung!$O32))</f>
        <v>0</v>
      </c>
      <c r="O864" s="740"/>
      <c r="P864" s="739"/>
      <c r="Q864" s="168">
        <f>IF(P864&lt;&gt;"",P864,IF(ISERROR(Personalplanung!AD32/Monatsplanung!$E32*Monatsplanung!$O32),0,Personalplanung!AD32/Monatsplanung!$E32*Monatsplanung!$O32))</f>
        <v>0</v>
      </c>
      <c r="R864" s="740"/>
      <c r="S864" s="739"/>
      <c r="T864" s="168">
        <f>IF(S864&lt;&gt;"",S864,IF(ISERROR(Personalplanung!AE32/Monatsplanung!$E32*Monatsplanung!$O32),0,Personalplanung!AE32/Monatsplanung!$E32*Monatsplanung!$O32))</f>
        <v>0</v>
      </c>
      <c r="U864" s="740"/>
      <c r="V864" s="168">
        <f t="shared" si="274"/>
        <v>0</v>
      </c>
      <c r="W864" s="168">
        <f>IF(ISERROR(Personalplanung!P32/Monatsplanung!$E32*Monatsplanung!$O32),0,Personalplanung!P32/Monatsplanung!$E32*Monatsplanung!$O32)</f>
        <v>0</v>
      </c>
      <c r="X864" s="168">
        <f>IF(ISERROR(Personalplanung!Q32/Monatsplanung!$E32*Monatsplanung!$O32),0,Personalplanung!Q32/Monatsplanung!$E32*Monatsplanung!$O32)</f>
        <v>0</v>
      </c>
      <c r="Y864" s="168">
        <f>IF(ISERROR(Personalplanung!R32/T1280*Stundencontrolling!T864),0,Personalplanung!R32/T1280*Stundencontrolling!T864)</f>
        <v>0</v>
      </c>
      <c r="Z864" s="168">
        <f>IF(ISERROR(Personalplanung!S32/Monatsplanung!$E32*Monatsplanung!$O32),0,Personalplanung!S32/Monatsplanung!$E32*Monatsplanung!$O32)</f>
        <v>0</v>
      </c>
      <c r="AA864" s="80">
        <f t="shared" si="275"/>
        <v>0</v>
      </c>
      <c r="AB864" s="102">
        <f t="shared" si="276"/>
        <v>0.1</v>
      </c>
      <c r="AC864" s="103">
        <f t="shared" si="277"/>
        <v>0</v>
      </c>
      <c r="AD864" s="103">
        <f t="shared" si="278"/>
        <v>0</v>
      </c>
      <c r="AE864" s="81">
        <f t="shared" si="279"/>
        <v>0</v>
      </c>
      <c r="AF864" s="539"/>
      <c r="AG864" s="104">
        <f t="shared" si="280"/>
        <v>1</v>
      </c>
      <c r="AH864" s="7">
        <f t="shared" si="281"/>
        <v>0</v>
      </c>
      <c r="AI864" s="6">
        <f t="shared" si="282"/>
        <v>0</v>
      </c>
      <c r="AJ864" s="73">
        <f t="shared" si="283"/>
        <v>0</v>
      </c>
      <c r="AK864" s="539"/>
      <c r="AL864" s="748"/>
      <c r="AM864" s="748"/>
    </row>
    <row r="865" spans="2:39" x14ac:dyDescent="0.2">
      <c r="B865" s="101" t="str">
        <f t="shared" si="268"/>
        <v/>
      </c>
      <c r="C865" s="168">
        <f>IF(ISERROR(Personalplanung!F33/Monatsplanung!$E33*Monatsplanung!$O33),0,Personalplanung!F33/Monatsplanung!$E33*Monatsplanung!$O33)</f>
        <v>0</v>
      </c>
      <c r="D865" s="168">
        <f t="shared" si="269"/>
        <v>0</v>
      </c>
      <c r="E865" s="168">
        <f>IF(ISERROR(Personalplanung!H33/Monatsplanung!$E33*Monatsplanung!$O33),0,Personalplanung!H33/Monatsplanung!$E33*Monatsplanung!$O33)</f>
        <v>0</v>
      </c>
      <c r="F865" s="168">
        <f t="shared" si="270"/>
        <v>0</v>
      </c>
      <c r="G865" s="168">
        <f t="shared" si="271"/>
        <v>27.700831024930746</v>
      </c>
      <c r="H865" s="168">
        <f t="shared" si="272"/>
        <v>0</v>
      </c>
      <c r="I865" s="168">
        <f t="shared" si="273"/>
        <v>30</v>
      </c>
      <c r="J865" s="739"/>
      <c r="K865" s="168">
        <f>IF(J865&lt;&gt;"",J865,IF(ISERROR(Personalplanung!AB33/Monatsplanung!$E33*Monatsplanung!$O33),0,Personalplanung!AB33/Monatsplanung!$E33*Monatsplanung!$O33))</f>
        <v>0</v>
      </c>
      <c r="L865" s="740"/>
      <c r="M865" s="739"/>
      <c r="N865" s="168">
        <f>IF(M865&lt;&gt;"",M865,IF(ISERROR(Personalplanung!AC33/Monatsplanung!$E33*Monatsplanung!$O33),0,Personalplanung!AC33/Monatsplanung!$E33*Monatsplanung!$O33))</f>
        <v>0</v>
      </c>
      <c r="O865" s="740"/>
      <c r="P865" s="739"/>
      <c r="Q865" s="168">
        <f>IF(P865&lt;&gt;"",P865,IF(ISERROR(Personalplanung!AD33/Monatsplanung!$E33*Monatsplanung!$O33),0,Personalplanung!AD33/Monatsplanung!$E33*Monatsplanung!$O33))</f>
        <v>0</v>
      </c>
      <c r="R865" s="740"/>
      <c r="S865" s="739"/>
      <c r="T865" s="168">
        <f>IF(S865&lt;&gt;"",S865,IF(ISERROR(Personalplanung!AE33/Monatsplanung!$E33*Monatsplanung!$O33),0,Personalplanung!AE33/Monatsplanung!$E33*Monatsplanung!$O33))</f>
        <v>0</v>
      </c>
      <c r="U865" s="740"/>
      <c r="V865" s="168">
        <f t="shared" si="274"/>
        <v>0</v>
      </c>
      <c r="W865" s="168">
        <f>IF(ISERROR(Personalplanung!P33/Monatsplanung!$E33*Monatsplanung!$O33),0,Personalplanung!P33/Monatsplanung!$E33*Monatsplanung!$O33)</f>
        <v>0</v>
      </c>
      <c r="X865" s="168">
        <f>IF(ISERROR(Personalplanung!Q33/Monatsplanung!$E33*Monatsplanung!$O33),0,Personalplanung!Q33/Monatsplanung!$E33*Monatsplanung!$O33)</f>
        <v>0</v>
      </c>
      <c r="Y865" s="168">
        <f>IF(ISERROR(Personalplanung!R33/T1281*Stundencontrolling!T865),0,Personalplanung!R33/T1281*Stundencontrolling!T865)</f>
        <v>0</v>
      </c>
      <c r="Z865" s="168">
        <f>IF(ISERROR(Personalplanung!S33/Monatsplanung!$E33*Monatsplanung!$O33),0,Personalplanung!S33/Monatsplanung!$E33*Monatsplanung!$O33)</f>
        <v>0</v>
      </c>
      <c r="AA865" s="80">
        <f t="shared" si="275"/>
        <v>0</v>
      </c>
      <c r="AB865" s="102">
        <f t="shared" si="276"/>
        <v>0.1</v>
      </c>
      <c r="AC865" s="103">
        <f t="shared" si="277"/>
        <v>0</v>
      </c>
      <c r="AD865" s="103">
        <f t="shared" si="278"/>
        <v>0</v>
      </c>
      <c r="AE865" s="81">
        <f t="shared" si="279"/>
        <v>0</v>
      </c>
      <c r="AF865" s="539"/>
      <c r="AG865" s="104">
        <f t="shared" si="280"/>
        <v>1</v>
      </c>
      <c r="AH865" s="7">
        <f t="shared" si="281"/>
        <v>0</v>
      </c>
      <c r="AI865" s="6">
        <f t="shared" si="282"/>
        <v>0</v>
      </c>
      <c r="AJ865" s="73">
        <f t="shared" si="283"/>
        <v>0</v>
      </c>
      <c r="AK865" s="539"/>
      <c r="AL865" s="748"/>
      <c r="AM865" s="748"/>
    </row>
    <row r="866" spans="2:39" x14ac:dyDescent="0.2">
      <c r="B866" s="101" t="str">
        <f t="shared" si="268"/>
        <v/>
      </c>
      <c r="C866" s="168">
        <f>IF(ISERROR(Personalplanung!F34/Monatsplanung!$E34*Monatsplanung!$O34),0,Personalplanung!F34/Monatsplanung!$E34*Monatsplanung!$O34)</f>
        <v>0</v>
      </c>
      <c r="D866" s="168">
        <f t="shared" si="269"/>
        <v>0</v>
      </c>
      <c r="E866" s="168">
        <f>IF(ISERROR(Personalplanung!H34/Monatsplanung!$E34*Monatsplanung!$O34),0,Personalplanung!H34/Monatsplanung!$E34*Monatsplanung!$O34)</f>
        <v>0</v>
      </c>
      <c r="F866" s="168">
        <f t="shared" si="270"/>
        <v>0</v>
      </c>
      <c r="G866" s="168">
        <f t="shared" si="271"/>
        <v>27.700831024930746</v>
      </c>
      <c r="H866" s="168">
        <f t="shared" si="272"/>
        <v>0</v>
      </c>
      <c r="I866" s="168">
        <f t="shared" si="273"/>
        <v>30</v>
      </c>
      <c r="J866" s="739"/>
      <c r="K866" s="168">
        <f>IF(J866&lt;&gt;"",J866,IF(ISERROR(Personalplanung!AB34/Monatsplanung!$E34*Monatsplanung!$O34),0,Personalplanung!AB34/Monatsplanung!$E34*Monatsplanung!$O34))</f>
        <v>0</v>
      </c>
      <c r="L866" s="740"/>
      <c r="M866" s="739"/>
      <c r="N866" s="168">
        <f>IF(M866&lt;&gt;"",M866,IF(ISERROR(Personalplanung!AC34/Monatsplanung!$E34*Monatsplanung!$O34),0,Personalplanung!AC34/Monatsplanung!$E34*Monatsplanung!$O34))</f>
        <v>0</v>
      </c>
      <c r="O866" s="740"/>
      <c r="P866" s="739"/>
      <c r="Q866" s="168">
        <f>IF(P866&lt;&gt;"",P866,IF(ISERROR(Personalplanung!AD34/Monatsplanung!$E34*Monatsplanung!$O34),0,Personalplanung!AD34/Monatsplanung!$E34*Monatsplanung!$O34))</f>
        <v>0</v>
      </c>
      <c r="R866" s="740"/>
      <c r="S866" s="739"/>
      <c r="T866" s="168">
        <f>IF(S866&lt;&gt;"",S866,IF(ISERROR(Personalplanung!AE34/Monatsplanung!$E34*Monatsplanung!$O34),0,Personalplanung!AE34/Monatsplanung!$E34*Monatsplanung!$O34))</f>
        <v>0</v>
      </c>
      <c r="U866" s="740"/>
      <c r="V866" s="168">
        <f t="shared" si="274"/>
        <v>0</v>
      </c>
      <c r="W866" s="168">
        <f>IF(ISERROR(Personalplanung!P34/Monatsplanung!$E34*Monatsplanung!$O34),0,Personalplanung!P34/Monatsplanung!$E34*Monatsplanung!$O34)</f>
        <v>0</v>
      </c>
      <c r="X866" s="168">
        <f>IF(ISERROR(Personalplanung!Q34/Monatsplanung!$E34*Monatsplanung!$O34),0,Personalplanung!Q34/Monatsplanung!$E34*Monatsplanung!$O34)</f>
        <v>0</v>
      </c>
      <c r="Y866" s="168">
        <f>IF(ISERROR(Personalplanung!R34/T1282*Stundencontrolling!T866),0,Personalplanung!R34/T1282*Stundencontrolling!T866)</f>
        <v>0</v>
      </c>
      <c r="Z866" s="168">
        <f>IF(ISERROR(Personalplanung!S34/Monatsplanung!$E34*Monatsplanung!$O34),0,Personalplanung!S34/Monatsplanung!$E34*Monatsplanung!$O34)</f>
        <v>0</v>
      </c>
      <c r="AA866" s="80">
        <f t="shared" si="275"/>
        <v>0</v>
      </c>
      <c r="AB866" s="102">
        <f t="shared" si="276"/>
        <v>0.1</v>
      </c>
      <c r="AC866" s="103">
        <f t="shared" si="277"/>
        <v>0</v>
      </c>
      <c r="AD866" s="103">
        <f t="shared" si="278"/>
        <v>0</v>
      </c>
      <c r="AE866" s="81">
        <f t="shared" si="279"/>
        <v>0</v>
      </c>
      <c r="AF866" s="539"/>
      <c r="AG866" s="104">
        <f t="shared" si="280"/>
        <v>1</v>
      </c>
      <c r="AH866" s="7">
        <f t="shared" si="281"/>
        <v>0</v>
      </c>
      <c r="AI866" s="6">
        <f t="shared" si="282"/>
        <v>0</v>
      </c>
      <c r="AJ866" s="73">
        <f t="shared" si="283"/>
        <v>0</v>
      </c>
      <c r="AK866" s="539"/>
      <c r="AL866" s="748"/>
      <c r="AM866" s="748"/>
    </row>
    <row r="867" spans="2:39" x14ac:dyDescent="0.2">
      <c r="B867" s="101" t="str">
        <f t="shared" si="268"/>
        <v/>
      </c>
      <c r="C867" s="168">
        <f>IF(ISERROR(Personalplanung!F35/Monatsplanung!$E35*Monatsplanung!$O35),0,Personalplanung!F35/Monatsplanung!$E35*Monatsplanung!$O35)</f>
        <v>0</v>
      </c>
      <c r="D867" s="168">
        <f t="shared" si="269"/>
        <v>0</v>
      </c>
      <c r="E867" s="168">
        <f>IF(ISERROR(Personalplanung!H35/Monatsplanung!$E35*Monatsplanung!$O35),0,Personalplanung!H35/Monatsplanung!$E35*Monatsplanung!$O35)</f>
        <v>0</v>
      </c>
      <c r="F867" s="168">
        <f t="shared" si="270"/>
        <v>0</v>
      </c>
      <c r="G867" s="168">
        <f t="shared" si="271"/>
        <v>27.700831024930746</v>
      </c>
      <c r="H867" s="168">
        <f t="shared" si="272"/>
        <v>0</v>
      </c>
      <c r="I867" s="168">
        <f t="shared" si="273"/>
        <v>30</v>
      </c>
      <c r="J867" s="739"/>
      <c r="K867" s="168">
        <f>IF(J867&lt;&gt;"",J867,IF(ISERROR(Personalplanung!AB35/Monatsplanung!$E35*Monatsplanung!$O35),0,Personalplanung!AB35/Monatsplanung!$E35*Monatsplanung!$O35))</f>
        <v>0</v>
      </c>
      <c r="L867" s="740"/>
      <c r="M867" s="739"/>
      <c r="N867" s="168">
        <f>IF(M867&lt;&gt;"",M867,IF(ISERROR(Personalplanung!AC35/Monatsplanung!$E35*Monatsplanung!$O35),0,Personalplanung!AC35/Monatsplanung!$E35*Monatsplanung!$O35))</f>
        <v>0</v>
      </c>
      <c r="O867" s="740"/>
      <c r="P867" s="739"/>
      <c r="Q867" s="168">
        <f>IF(P867&lt;&gt;"",P867,IF(ISERROR(Personalplanung!AD35/Monatsplanung!$E35*Monatsplanung!$O35),0,Personalplanung!AD35/Monatsplanung!$E35*Monatsplanung!$O35))</f>
        <v>0</v>
      </c>
      <c r="R867" s="740"/>
      <c r="S867" s="739"/>
      <c r="T867" s="168">
        <f>IF(S867&lt;&gt;"",S867,IF(ISERROR(Personalplanung!AE35/Monatsplanung!$E35*Monatsplanung!$O35),0,Personalplanung!AE35/Monatsplanung!$E35*Monatsplanung!$O35))</f>
        <v>0</v>
      </c>
      <c r="U867" s="740"/>
      <c r="V867" s="168">
        <f t="shared" si="274"/>
        <v>0</v>
      </c>
      <c r="W867" s="168">
        <f>IF(ISERROR(Personalplanung!P35/Monatsplanung!$E35*Monatsplanung!$O35),0,Personalplanung!P35/Monatsplanung!$E35*Monatsplanung!$O35)</f>
        <v>0</v>
      </c>
      <c r="X867" s="168">
        <f>IF(ISERROR(Personalplanung!Q35/Monatsplanung!$E35*Monatsplanung!$O35),0,Personalplanung!Q35/Monatsplanung!$E35*Monatsplanung!$O35)</f>
        <v>0</v>
      </c>
      <c r="Y867" s="168">
        <f>IF(ISERROR(Personalplanung!R35/T1283*Stundencontrolling!T867),0,Personalplanung!R35/T1283*Stundencontrolling!T867)</f>
        <v>0</v>
      </c>
      <c r="Z867" s="168">
        <f>IF(ISERROR(Personalplanung!S35/Monatsplanung!$E35*Monatsplanung!$O35),0,Personalplanung!S35/Monatsplanung!$E35*Monatsplanung!$O35)</f>
        <v>0</v>
      </c>
      <c r="AA867" s="80">
        <f t="shared" si="275"/>
        <v>0</v>
      </c>
      <c r="AB867" s="102">
        <f t="shared" si="276"/>
        <v>0.1</v>
      </c>
      <c r="AC867" s="103">
        <f t="shared" si="277"/>
        <v>0</v>
      </c>
      <c r="AD867" s="103">
        <f t="shared" si="278"/>
        <v>0</v>
      </c>
      <c r="AE867" s="81">
        <f t="shared" si="279"/>
        <v>0</v>
      </c>
      <c r="AF867" s="539"/>
      <c r="AG867" s="104">
        <f t="shared" si="280"/>
        <v>1</v>
      </c>
      <c r="AH867" s="7">
        <f t="shared" si="281"/>
        <v>0</v>
      </c>
      <c r="AI867" s="6">
        <f t="shared" si="282"/>
        <v>0</v>
      </c>
      <c r="AJ867" s="73">
        <f t="shared" si="283"/>
        <v>0</v>
      </c>
      <c r="AK867" s="539"/>
      <c r="AL867" s="748"/>
      <c r="AM867" s="748"/>
    </row>
    <row r="868" spans="2:39" x14ac:dyDescent="0.2">
      <c r="B868" s="101" t="str">
        <f t="shared" si="268"/>
        <v/>
      </c>
      <c r="C868" s="168">
        <f>IF(ISERROR(Personalplanung!F36/Monatsplanung!$E36*Monatsplanung!$O36),0,Personalplanung!F36/Monatsplanung!$E36*Monatsplanung!$O36)</f>
        <v>0</v>
      </c>
      <c r="D868" s="168">
        <f t="shared" si="269"/>
        <v>0</v>
      </c>
      <c r="E868" s="168">
        <f>IF(ISERROR(Personalplanung!H36/Monatsplanung!$E36*Monatsplanung!$O36),0,Personalplanung!H36/Monatsplanung!$E36*Monatsplanung!$O36)</f>
        <v>0</v>
      </c>
      <c r="F868" s="168">
        <f t="shared" si="270"/>
        <v>0</v>
      </c>
      <c r="G868" s="168">
        <f t="shared" si="271"/>
        <v>27.700831024930746</v>
      </c>
      <c r="H868" s="168">
        <f t="shared" si="272"/>
        <v>0</v>
      </c>
      <c r="I868" s="168">
        <f t="shared" si="273"/>
        <v>30</v>
      </c>
      <c r="J868" s="739"/>
      <c r="K868" s="168">
        <f>IF(J868&lt;&gt;"",J868,IF(ISERROR(Personalplanung!AB36/Monatsplanung!$E36*Monatsplanung!$O36),0,Personalplanung!AB36/Monatsplanung!$E36*Monatsplanung!$O36))</f>
        <v>0</v>
      </c>
      <c r="L868" s="740"/>
      <c r="M868" s="739"/>
      <c r="N868" s="168">
        <f>IF(M868&lt;&gt;"",M868,IF(ISERROR(Personalplanung!AC36/Monatsplanung!$E36*Monatsplanung!$O36),0,Personalplanung!AC36/Monatsplanung!$E36*Monatsplanung!$O36))</f>
        <v>0</v>
      </c>
      <c r="O868" s="740"/>
      <c r="P868" s="739"/>
      <c r="Q868" s="168">
        <f>IF(P868&lt;&gt;"",P868,IF(ISERROR(Personalplanung!AD36/Monatsplanung!$E36*Monatsplanung!$O36),0,Personalplanung!AD36/Monatsplanung!$E36*Monatsplanung!$O36))</f>
        <v>0</v>
      </c>
      <c r="R868" s="740"/>
      <c r="S868" s="739"/>
      <c r="T868" s="168">
        <f>IF(S868&lt;&gt;"",S868,IF(ISERROR(Personalplanung!AE36/Monatsplanung!$E36*Monatsplanung!$O36),0,Personalplanung!AE36/Monatsplanung!$E36*Monatsplanung!$O36))</f>
        <v>0</v>
      </c>
      <c r="U868" s="740"/>
      <c r="V868" s="168">
        <f t="shared" si="274"/>
        <v>0</v>
      </c>
      <c r="W868" s="168">
        <f>IF(ISERROR(Personalplanung!P36/Monatsplanung!$E36*Monatsplanung!$O36),0,Personalplanung!P36/Monatsplanung!$E36*Monatsplanung!$O36)</f>
        <v>0</v>
      </c>
      <c r="X868" s="168">
        <f>IF(ISERROR(Personalplanung!Q36/Monatsplanung!$E36*Monatsplanung!$O36),0,Personalplanung!Q36/Monatsplanung!$E36*Monatsplanung!$O36)</f>
        <v>0</v>
      </c>
      <c r="Y868" s="168">
        <f>IF(ISERROR(Personalplanung!R36/T1284*Stundencontrolling!T868),0,Personalplanung!R36/T1284*Stundencontrolling!T868)</f>
        <v>0</v>
      </c>
      <c r="Z868" s="168">
        <f>IF(ISERROR(Personalplanung!S36/Monatsplanung!$E36*Monatsplanung!$O36),0,Personalplanung!S36/Monatsplanung!$E36*Monatsplanung!$O36)</f>
        <v>0</v>
      </c>
      <c r="AA868" s="80">
        <f t="shared" si="275"/>
        <v>0</v>
      </c>
      <c r="AB868" s="102">
        <f t="shared" si="276"/>
        <v>0.1</v>
      </c>
      <c r="AC868" s="103">
        <f t="shared" si="277"/>
        <v>0</v>
      </c>
      <c r="AD868" s="103">
        <f t="shared" si="278"/>
        <v>0</v>
      </c>
      <c r="AE868" s="81">
        <f t="shared" si="279"/>
        <v>0</v>
      </c>
      <c r="AF868" s="539"/>
      <c r="AG868" s="104">
        <f t="shared" si="280"/>
        <v>1</v>
      </c>
      <c r="AH868" s="7">
        <f t="shared" si="281"/>
        <v>0</v>
      </c>
      <c r="AI868" s="6">
        <f t="shared" si="282"/>
        <v>0</v>
      </c>
      <c r="AJ868" s="73">
        <f t="shared" si="283"/>
        <v>0</v>
      </c>
      <c r="AK868" s="539"/>
      <c r="AL868" s="748"/>
      <c r="AM868" s="748"/>
    </row>
    <row r="869" spans="2:39" x14ac:dyDescent="0.2">
      <c r="B869" s="101" t="str">
        <f t="shared" si="268"/>
        <v/>
      </c>
      <c r="C869" s="168">
        <f>IF(ISERROR(Personalplanung!F37/Monatsplanung!$E37*Monatsplanung!$O37),0,Personalplanung!F37/Monatsplanung!$E37*Monatsplanung!$O37)</f>
        <v>0</v>
      </c>
      <c r="D869" s="168">
        <f t="shared" si="269"/>
        <v>0</v>
      </c>
      <c r="E869" s="168">
        <f>IF(ISERROR(Personalplanung!H37/Monatsplanung!$E37*Monatsplanung!$O37),0,Personalplanung!H37/Monatsplanung!$E37*Monatsplanung!$O37)</f>
        <v>0</v>
      </c>
      <c r="F869" s="168">
        <f t="shared" si="270"/>
        <v>0</v>
      </c>
      <c r="G869" s="168">
        <f t="shared" si="271"/>
        <v>27.700831024930746</v>
      </c>
      <c r="H869" s="168">
        <f t="shared" si="272"/>
        <v>0</v>
      </c>
      <c r="I869" s="168">
        <f t="shared" si="273"/>
        <v>30</v>
      </c>
      <c r="J869" s="739"/>
      <c r="K869" s="168">
        <f>IF(J869&lt;&gt;"",J869,IF(ISERROR(Personalplanung!AB37/Monatsplanung!$E37*Monatsplanung!$O37),0,Personalplanung!AB37/Monatsplanung!$E37*Monatsplanung!$O37))</f>
        <v>0</v>
      </c>
      <c r="L869" s="740"/>
      <c r="M869" s="739"/>
      <c r="N869" s="168">
        <f>IF(M869&lt;&gt;"",M869,IF(ISERROR(Personalplanung!AC37/Monatsplanung!$E37*Monatsplanung!$O37),0,Personalplanung!AC37/Monatsplanung!$E37*Monatsplanung!$O37))</f>
        <v>0</v>
      </c>
      <c r="O869" s="740"/>
      <c r="P869" s="739"/>
      <c r="Q869" s="168">
        <f>IF(P869&lt;&gt;"",P869,IF(ISERROR(Personalplanung!AD37/Monatsplanung!$E37*Monatsplanung!$O37),0,Personalplanung!AD37/Monatsplanung!$E37*Monatsplanung!$O37))</f>
        <v>0</v>
      </c>
      <c r="R869" s="740"/>
      <c r="S869" s="739"/>
      <c r="T869" s="168">
        <f>IF(S869&lt;&gt;"",S869,IF(ISERROR(Personalplanung!AE37/Monatsplanung!$E37*Monatsplanung!$O37),0,Personalplanung!AE37/Monatsplanung!$E37*Monatsplanung!$O37))</f>
        <v>0</v>
      </c>
      <c r="U869" s="740"/>
      <c r="V869" s="168">
        <f t="shared" si="274"/>
        <v>0</v>
      </c>
      <c r="W869" s="168">
        <f>IF(ISERROR(Personalplanung!P37/Monatsplanung!$E37*Monatsplanung!$O37),0,Personalplanung!P37/Monatsplanung!$E37*Monatsplanung!$O37)</f>
        <v>0</v>
      </c>
      <c r="X869" s="168">
        <f>IF(ISERROR(Personalplanung!Q37/Monatsplanung!$E37*Monatsplanung!$O37),0,Personalplanung!Q37/Monatsplanung!$E37*Monatsplanung!$O37)</f>
        <v>0</v>
      </c>
      <c r="Y869" s="168">
        <f>IF(ISERROR(Personalplanung!R37/T1285*Stundencontrolling!T869),0,Personalplanung!R37/T1285*Stundencontrolling!T869)</f>
        <v>0</v>
      </c>
      <c r="Z869" s="168">
        <f>IF(ISERROR(Personalplanung!S37/Monatsplanung!$E37*Monatsplanung!$O37),0,Personalplanung!S37/Monatsplanung!$E37*Monatsplanung!$O37)</f>
        <v>0</v>
      </c>
      <c r="AA869" s="80">
        <f t="shared" si="275"/>
        <v>0</v>
      </c>
      <c r="AB869" s="102">
        <f t="shared" si="276"/>
        <v>0.1</v>
      </c>
      <c r="AC869" s="103">
        <f t="shared" si="277"/>
        <v>0</v>
      </c>
      <c r="AD869" s="103">
        <f t="shared" si="278"/>
        <v>0</v>
      </c>
      <c r="AE869" s="81">
        <f t="shared" si="279"/>
        <v>0</v>
      </c>
      <c r="AF869" s="539"/>
      <c r="AG869" s="104">
        <f t="shared" si="280"/>
        <v>1</v>
      </c>
      <c r="AH869" s="7">
        <f t="shared" si="281"/>
        <v>0</v>
      </c>
      <c r="AI869" s="6">
        <f t="shared" si="282"/>
        <v>0</v>
      </c>
      <c r="AJ869" s="73">
        <f t="shared" si="283"/>
        <v>0</v>
      </c>
      <c r="AK869" s="539"/>
      <c r="AL869" s="748"/>
      <c r="AM869" s="748"/>
    </row>
    <row r="870" spans="2:39" x14ac:dyDescent="0.2">
      <c r="B870" s="101" t="str">
        <f t="shared" si="268"/>
        <v/>
      </c>
      <c r="C870" s="168">
        <f>IF(ISERROR(Personalplanung!F38/Monatsplanung!$E38*Monatsplanung!$O38),0,Personalplanung!F38/Monatsplanung!$E38*Monatsplanung!$O38)</f>
        <v>0</v>
      </c>
      <c r="D870" s="168">
        <f t="shared" si="269"/>
        <v>0</v>
      </c>
      <c r="E870" s="168">
        <f>IF(ISERROR(Personalplanung!H38/Monatsplanung!$E38*Monatsplanung!$O38),0,Personalplanung!H38/Monatsplanung!$E38*Monatsplanung!$O38)</f>
        <v>0</v>
      </c>
      <c r="F870" s="168">
        <f t="shared" si="270"/>
        <v>0</v>
      </c>
      <c r="G870" s="168">
        <f t="shared" si="271"/>
        <v>27.700831024930746</v>
      </c>
      <c r="H870" s="168">
        <f t="shared" si="272"/>
        <v>0</v>
      </c>
      <c r="I870" s="168">
        <f t="shared" si="273"/>
        <v>30</v>
      </c>
      <c r="J870" s="739"/>
      <c r="K870" s="168">
        <f>IF(J870&lt;&gt;"",J870,IF(ISERROR(Personalplanung!AB38/Monatsplanung!$E38*Monatsplanung!$O38),0,Personalplanung!AB38/Monatsplanung!$E38*Monatsplanung!$O38))</f>
        <v>0</v>
      </c>
      <c r="L870" s="740"/>
      <c r="M870" s="739"/>
      <c r="N870" s="168">
        <f>IF(M870&lt;&gt;"",M870,IF(ISERROR(Personalplanung!AC38/Monatsplanung!$E38*Monatsplanung!$O38),0,Personalplanung!AC38/Monatsplanung!$E38*Monatsplanung!$O38))</f>
        <v>0</v>
      </c>
      <c r="O870" s="740"/>
      <c r="P870" s="739"/>
      <c r="Q870" s="168">
        <f>IF(P870&lt;&gt;"",P870,IF(ISERROR(Personalplanung!AD38/Monatsplanung!$E38*Monatsplanung!$O38),0,Personalplanung!AD38/Monatsplanung!$E38*Monatsplanung!$O38))</f>
        <v>0</v>
      </c>
      <c r="R870" s="740"/>
      <c r="S870" s="739"/>
      <c r="T870" s="168">
        <f>IF(S870&lt;&gt;"",S870,IF(ISERROR(Personalplanung!AE38/Monatsplanung!$E38*Monatsplanung!$O38),0,Personalplanung!AE38/Monatsplanung!$E38*Monatsplanung!$O38))</f>
        <v>0</v>
      </c>
      <c r="U870" s="740"/>
      <c r="V870" s="168">
        <f t="shared" si="274"/>
        <v>0</v>
      </c>
      <c r="W870" s="168">
        <f>IF(ISERROR(Personalplanung!P38/Monatsplanung!$E38*Monatsplanung!$O38),0,Personalplanung!P38/Monatsplanung!$E38*Monatsplanung!$O38)</f>
        <v>0</v>
      </c>
      <c r="X870" s="168">
        <f>IF(ISERROR(Personalplanung!Q38/Monatsplanung!$E38*Monatsplanung!$O38),0,Personalplanung!Q38/Monatsplanung!$E38*Monatsplanung!$O38)</f>
        <v>0</v>
      </c>
      <c r="Y870" s="168">
        <f>IF(ISERROR(Personalplanung!R38/T1286*Stundencontrolling!T870),0,Personalplanung!R38/T1286*Stundencontrolling!T870)</f>
        <v>0</v>
      </c>
      <c r="Z870" s="168">
        <f>IF(ISERROR(Personalplanung!S38/Monatsplanung!$E38*Monatsplanung!$O38),0,Personalplanung!S38/Monatsplanung!$E38*Monatsplanung!$O38)</f>
        <v>0</v>
      </c>
      <c r="AA870" s="80">
        <f t="shared" si="275"/>
        <v>0</v>
      </c>
      <c r="AB870" s="102">
        <f t="shared" si="276"/>
        <v>0.1</v>
      </c>
      <c r="AC870" s="103">
        <f t="shared" si="277"/>
        <v>0</v>
      </c>
      <c r="AD870" s="103">
        <f t="shared" si="278"/>
        <v>0</v>
      </c>
      <c r="AE870" s="81">
        <f t="shared" si="279"/>
        <v>0</v>
      </c>
      <c r="AF870" s="539"/>
      <c r="AG870" s="104">
        <f t="shared" si="280"/>
        <v>1</v>
      </c>
      <c r="AH870" s="7">
        <f t="shared" si="281"/>
        <v>0</v>
      </c>
      <c r="AI870" s="6">
        <f t="shared" si="282"/>
        <v>0</v>
      </c>
      <c r="AJ870" s="73">
        <f t="shared" si="283"/>
        <v>0</v>
      </c>
      <c r="AK870" s="539"/>
      <c r="AL870" s="748"/>
      <c r="AM870" s="748"/>
    </row>
    <row r="871" spans="2:39" x14ac:dyDescent="0.2">
      <c r="B871" s="101" t="str">
        <f t="shared" si="268"/>
        <v/>
      </c>
      <c r="C871" s="168">
        <f>IF(ISERROR(Personalplanung!F39/Monatsplanung!$E39*Monatsplanung!$O39),0,Personalplanung!F39/Monatsplanung!$E39*Monatsplanung!$O39)</f>
        <v>0</v>
      </c>
      <c r="D871" s="168">
        <f t="shared" si="269"/>
        <v>0</v>
      </c>
      <c r="E871" s="168">
        <f>IF(ISERROR(Personalplanung!H39/Monatsplanung!$E39*Monatsplanung!$O39),0,Personalplanung!H39/Monatsplanung!$E39*Monatsplanung!$O39)</f>
        <v>0</v>
      </c>
      <c r="F871" s="168">
        <f t="shared" si="270"/>
        <v>0</v>
      </c>
      <c r="G871" s="168">
        <f t="shared" si="271"/>
        <v>27.700831024930746</v>
      </c>
      <c r="H871" s="168">
        <f t="shared" si="272"/>
        <v>0</v>
      </c>
      <c r="I871" s="168">
        <f t="shared" si="273"/>
        <v>30</v>
      </c>
      <c r="J871" s="739"/>
      <c r="K871" s="168">
        <f>IF(J871&lt;&gt;"",J871,IF(ISERROR(Personalplanung!AB39/Monatsplanung!$E39*Monatsplanung!$O39),0,Personalplanung!AB39/Monatsplanung!$E39*Monatsplanung!$O39))</f>
        <v>0</v>
      </c>
      <c r="L871" s="740"/>
      <c r="M871" s="739"/>
      <c r="N871" s="168">
        <f>IF(M871&lt;&gt;"",M871,IF(ISERROR(Personalplanung!AC39/Monatsplanung!$E39*Monatsplanung!$O39),0,Personalplanung!AC39/Monatsplanung!$E39*Monatsplanung!$O39))</f>
        <v>0</v>
      </c>
      <c r="O871" s="740"/>
      <c r="P871" s="739"/>
      <c r="Q871" s="168">
        <f>IF(P871&lt;&gt;"",P871,IF(ISERROR(Personalplanung!AD39/Monatsplanung!$E39*Monatsplanung!$O39),0,Personalplanung!AD39/Monatsplanung!$E39*Monatsplanung!$O39))</f>
        <v>0</v>
      </c>
      <c r="R871" s="740"/>
      <c r="S871" s="739"/>
      <c r="T871" s="168">
        <f>IF(S871&lt;&gt;"",S871,IF(ISERROR(Personalplanung!AE39/Monatsplanung!$E39*Monatsplanung!$O39),0,Personalplanung!AE39/Monatsplanung!$E39*Monatsplanung!$O39))</f>
        <v>0</v>
      </c>
      <c r="U871" s="740"/>
      <c r="V871" s="168">
        <f t="shared" si="274"/>
        <v>0</v>
      </c>
      <c r="W871" s="168">
        <f>IF(ISERROR(Personalplanung!P39/Monatsplanung!$E39*Monatsplanung!$O39),0,Personalplanung!P39/Monatsplanung!$E39*Monatsplanung!$O39)</f>
        <v>0</v>
      </c>
      <c r="X871" s="168">
        <f>IF(ISERROR(Personalplanung!Q39/Monatsplanung!$E39*Monatsplanung!$O39),0,Personalplanung!Q39/Monatsplanung!$E39*Monatsplanung!$O39)</f>
        <v>0</v>
      </c>
      <c r="Y871" s="168">
        <f>IF(ISERROR(Personalplanung!R39/T1287*Stundencontrolling!T871),0,Personalplanung!R39/T1287*Stundencontrolling!T871)</f>
        <v>0</v>
      </c>
      <c r="Z871" s="168">
        <f>IF(ISERROR(Personalplanung!S39/Monatsplanung!$E39*Monatsplanung!$O39),0,Personalplanung!S39/Monatsplanung!$E39*Monatsplanung!$O39)</f>
        <v>0</v>
      </c>
      <c r="AA871" s="80">
        <f t="shared" si="275"/>
        <v>0</v>
      </c>
      <c r="AB871" s="102">
        <f t="shared" si="276"/>
        <v>0.1</v>
      </c>
      <c r="AC871" s="103">
        <f t="shared" si="277"/>
        <v>0</v>
      </c>
      <c r="AD871" s="103">
        <f t="shared" si="278"/>
        <v>0</v>
      </c>
      <c r="AE871" s="81">
        <f t="shared" si="279"/>
        <v>0</v>
      </c>
      <c r="AF871" s="539"/>
      <c r="AG871" s="104">
        <f t="shared" si="280"/>
        <v>1</v>
      </c>
      <c r="AH871" s="7">
        <f t="shared" si="281"/>
        <v>0</v>
      </c>
      <c r="AI871" s="6">
        <f t="shared" si="282"/>
        <v>0</v>
      </c>
      <c r="AJ871" s="73">
        <f t="shared" si="283"/>
        <v>0</v>
      </c>
      <c r="AK871" s="539"/>
      <c r="AL871" s="748"/>
      <c r="AM871" s="748"/>
    </row>
    <row r="872" spans="2:39" x14ac:dyDescent="0.2">
      <c r="B872" s="101" t="str">
        <f t="shared" si="268"/>
        <v/>
      </c>
      <c r="C872" s="168">
        <f>IF(ISERROR(Personalplanung!F40/Monatsplanung!$E40*Monatsplanung!$O40),0,Personalplanung!F40/Monatsplanung!$E40*Monatsplanung!$O40)</f>
        <v>0</v>
      </c>
      <c r="D872" s="168">
        <f t="shared" si="269"/>
        <v>0</v>
      </c>
      <c r="E872" s="168">
        <f>IF(ISERROR(Personalplanung!H40/Monatsplanung!$E40*Monatsplanung!$O40),0,Personalplanung!H40/Monatsplanung!$E40*Monatsplanung!$O40)</f>
        <v>0</v>
      </c>
      <c r="F872" s="168">
        <f t="shared" si="270"/>
        <v>0</v>
      </c>
      <c r="G872" s="168">
        <f t="shared" si="271"/>
        <v>27.700831024930746</v>
      </c>
      <c r="H872" s="168">
        <f t="shared" si="272"/>
        <v>0</v>
      </c>
      <c r="I872" s="168">
        <f t="shared" si="273"/>
        <v>30</v>
      </c>
      <c r="J872" s="739"/>
      <c r="K872" s="168">
        <f>IF(J872&lt;&gt;"",J872,IF(ISERROR(Personalplanung!AB40/Monatsplanung!$E40*Monatsplanung!$O40),0,Personalplanung!AB40/Monatsplanung!$E40*Monatsplanung!$O40))</f>
        <v>0</v>
      </c>
      <c r="L872" s="740"/>
      <c r="M872" s="739"/>
      <c r="N872" s="168">
        <f>IF(M872&lt;&gt;"",M872,IF(ISERROR(Personalplanung!AC40/Monatsplanung!$E40*Monatsplanung!$O40),0,Personalplanung!AC40/Monatsplanung!$E40*Monatsplanung!$O40))</f>
        <v>0</v>
      </c>
      <c r="O872" s="740"/>
      <c r="P872" s="739"/>
      <c r="Q872" s="168">
        <f>IF(P872&lt;&gt;"",P872,IF(ISERROR(Personalplanung!AD40/Monatsplanung!$E40*Monatsplanung!$O40),0,Personalplanung!AD40/Monatsplanung!$E40*Monatsplanung!$O40))</f>
        <v>0</v>
      </c>
      <c r="R872" s="740"/>
      <c r="S872" s="739"/>
      <c r="T872" s="168">
        <f>IF(S872&lt;&gt;"",S872,IF(ISERROR(Personalplanung!AE40/Monatsplanung!$E40*Monatsplanung!$O40),0,Personalplanung!AE40/Monatsplanung!$E40*Monatsplanung!$O40))</f>
        <v>0</v>
      </c>
      <c r="U872" s="740"/>
      <c r="V872" s="168">
        <f t="shared" si="274"/>
        <v>0</v>
      </c>
      <c r="W872" s="168">
        <f>IF(ISERROR(Personalplanung!P40/Monatsplanung!$E40*Monatsplanung!$O40),0,Personalplanung!P40/Monatsplanung!$E40*Monatsplanung!$O40)</f>
        <v>0</v>
      </c>
      <c r="X872" s="168">
        <f>IF(ISERROR(Personalplanung!Q40/Monatsplanung!$E40*Monatsplanung!$O40),0,Personalplanung!Q40/Monatsplanung!$E40*Monatsplanung!$O40)</f>
        <v>0</v>
      </c>
      <c r="Y872" s="168">
        <f>IF(ISERROR(Personalplanung!R40/T1288*Stundencontrolling!T872),0,Personalplanung!R40/T1288*Stundencontrolling!T872)</f>
        <v>0</v>
      </c>
      <c r="Z872" s="168">
        <f>IF(ISERROR(Personalplanung!S40/Monatsplanung!$E40*Monatsplanung!$O40),0,Personalplanung!S40/Monatsplanung!$E40*Monatsplanung!$O40)</f>
        <v>0</v>
      </c>
      <c r="AA872" s="80">
        <f t="shared" si="275"/>
        <v>0</v>
      </c>
      <c r="AB872" s="102">
        <f t="shared" si="276"/>
        <v>0.1</v>
      </c>
      <c r="AC872" s="103">
        <f t="shared" si="277"/>
        <v>0</v>
      </c>
      <c r="AD872" s="103">
        <f t="shared" si="278"/>
        <v>0</v>
      </c>
      <c r="AE872" s="81">
        <f t="shared" si="279"/>
        <v>0</v>
      </c>
      <c r="AF872" s="539"/>
      <c r="AG872" s="104">
        <f t="shared" si="280"/>
        <v>1</v>
      </c>
      <c r="AH872" s="7">
        <f t="shared" si="281"/>
        <v>0</v>
      </c>
      <c r="AI872" s="6">
        <f t="shared" si="282"/>
        <v>0</v>
      </c>
      <c r="AJ872" s="73">
        <f t="shared" si="283"/>
        <v>0</v>
      </c>
      <c r="AK872" s="539"/>
      <c r="AL872" s="748"/>
      <c r="AM872" s="748"/>
    </row>
    <row r="873" spans="2:39" x14ac:dyDescent="0.2">
      <c r="B873" s="101" t="str">
        <f t="shared" si="268"/>
        <v/>
      </c>
      <c r="C873" s="168">
        <f>IF(ISERROR(Personalplanung!F41/Monatsplanung!$E41*Monatsplanung!$O41),0,Personalplanung!F41/Monatsplanung!$E41*Monatsplanung!$O41)</f>
        <v>0</v>
      </c>
      <c r="D873" s="168">
        <f t="shared" si="269"/>
        <v>0</v>
      </c>
      <c r="E873" s="168">
        <f>IF(ISERROR(Personalplanung!H41/Monatsplanung!$E41*Monatsplanung!$O41),0,Personalplanung!H41/Monatsplanung!$E41*Monatsplanung!$O41)</f>
        <v>0</v>
      </c>
      <c r="F873" s="168">
        <f t="shared" si="270"/>
        <v>0</v>
      </c>
      <c r="G873" s="168">
        <f t="shared" si="271"/>
        <v>27.700831024930746</v>
      </c>
      <c r="H873" s="168">
        <f t="shared" si="272"/>
        <v>0</v>
      </c>
      <c r="I873" s="168">
        <f t="shared" si="273"/>
        <v>30</v>
      </c>
      <c r="J873" s="739"/>
      <c r="K873" s="168">
        <f>IF(J873&lt;&gt;"",J873,IF(ISERROR(Personalplanung!AB41/Monatsplanung!$E41*Monatsplanung!$O41),0,Personalplanung!AB41/Monatsplanung!$E41*Monatsplanung!$O41))</f>
        <v>0</v>
      </c>
      <c r="L873" s="740"/>
      <c r="M873" s="739"/>
      <c r="N873" s="168">
        <f>IF(M873&lt;&gt;"",M873,IF(ISERROR(Personalplanung!AC41/Monatsplanung!$E41*Monatsplanung!$O41),0,Personalplanung!AC41/Monatsplanung!$E41*Monatsplanung!$O41))</f>
        <v>0</v>
      </c>
      <c r="O873" s="740"/>
      <c r="P873" s="739"/>
      <c r="Q873" s="168">
        <f>IF(P873&lt;&gt;"",P873,IF(ISERROR(Personalplanung!AD41/Monatsplanung!$E41*Monatsplanung!$O41),0,Personalplanung!AD41/Monatsplanung!$E41*Monatsplanung!$O41))</f>
        <v>0</v>
      </c>
      <c r="R873" s="740"/>
      <c r="S873" s="739"/>
      <c r="T873" s="168">
        <f>IF(S873&lt;&gt;"",S873,IF(ISERROR(Personalplanung!AE41/Monatsplanung!$E41*Monatsplanung!$O41),0,Personalplanung!AE41/Monatsplanung!$E41*Monatsplanung!$O41))</f>
        <v>0</v>
      </c>
      <c r="U873" s="740"/>
      <c r="V873" s="168">
        <f t="shared" si="274"/>
        <v>0</v>
      </c>
      <c r="W873" s="168">
        <f>IF(ISERROR(Personalplanung!P41/Monatsplanung!$E41*Monatsplanung!$O41),0,Personalplanung!P41/Monatsplanung!$E41*Monatsplanung!$O41)</f>
        <v>0</v>
      </c>
      <c r="X873" s="168">
        <f>IF(ISERROR(Personalplanung!Q41/Monatsplanung!$E41*Monatsplanung!$O41),0,Personalplanung!Q41/Monatsplanung!$E41*Monatsplanung!$O41)</f>
        <v>0</v>
      </c>
      <c r="Y873" s="168">
        <f>IF(ISERROR(Personalplanung!R41/T1289*Stundencontrolling!T873),0,Personalplanung!R41/T1289*Stundencontrolling!T873)</f>
        <v>0</v>
      </c>
      <c r="Z873" s="168">
        <f>IF(ISERROR(Personalplanung!S41/Monatsplanung!$E41*Monatsplanung!$O41),0,Personalplanung!S41/Monatsplanung!$E41*Monatsplanung!$O41)</f>
        <v>0</v>
      </c>
      <c r="AA873" s="80">
        <f t="shared" si="275"/>
        <v>0</v>
      </c>
      <c r="AB873" s="102">
        <f t="shared" si="276"/>
        <v>0.1</v>
      </c>
      <c r="AC873" s="103">
        <f t="shared" si="277"/>
        <v>0</v>
      </c>
      <c r="AD873" s="103">
        <f t="shared" si="278"/>
        <v>0</v>
      </c>
      <c r="AE873" s="81">
        <f t="shared" si="279"/>
        <v>0</v>
      </c>
      <c r="AF873" s="539"/>
      <c r="AG873" s="104">
        <f t="shared" si="280"/>
        <v>1</v>
      </c>
      <c r="AH873" s="7">
        <f t="shared" si="281"/>
        <v>0</v>
      </c>
      <c r="AI873" s="6">
        <f t="shared" si="282"/>
        <v>0</v>
      </c>
      <c r="AJ873" s="73">
        <f t="shared" si="283"/>
        <v>0</v>
      </c>
      <c r="AK873" s="539"/>
      <c r="AL873" s="748"/>
      <c r="AM873" s="748"/>
    </row>
    <row r="874" spans="2:39" x14ac:dyDescent="0.2">
      <c r="B874" s="101" t="str">
        <f t="shared" si="268"/>
        <v/>
      </c>
      <c r="C874" s="168">
        <f>IF(ISERROR(Personalplanung!F42/Monatsplanung!$E42*Monatsplanung!$O42),0,Personalplanung!F42/Monatsplanung!$E42*Monatsplanung!$O42)</f>
        <v>0</v>
      </c>
      <c r="D874" s="168">
        <f t="shared" si="269"/>
        <v>0</v>
      </c>
      <c r="E874" s="168">
        <f>IF(ISERROR(Personalplanung!H42/Monatsplanung!$E42*Monatsplanung!$O42),0,Personalplanung!H42/Monatsplanung!$E42*Monatsplanung!$O42)</f>
        <v>0</v>
      </c>
      <c r="F874" s="168">
        <f t="shared" si="270"/>
        <v>0</v>
      </c>
      <c r="G874" s="168">
        <f t="shared" si="271"/>
        <v>27.700831024930746</v>
      </c>
      <c r="H874" s="168">
        <f t="shared" si="272"/>
        <v>0</v>
      </c>
      <c r="I874" s="168">
        <f t="shared" si="273"/>
        <v>30</v>
      </c>
      <c r="J874" s="739"/>
      <c r="K874" s="168">
        <f>IF(J874&lt;&gt;"",J874,IF(ISERROR(Personalplanung!AB42/Monatsplanung!$E42*Monatsplanung!$O42),0,Personalplanung!AB42/Monatsplanung!$E42*Monatsplanung!$O42))</f>
        <v>0</v>
      </c>
      <c r="L874" s="740"/>
      <c r="M874" s="739"/>
      <c r="N874" s="168">
        <f>IF(M874&lt;&gt;"",M874,IF(ISERROR(Personalplanung!AC42/Monatsplanung!$E42*Monatsplanung!$O42),0,Personalplanung!AC42/Monatsplanung!$E42*Monatsplanung!$O42))</f>
        <v>0</v>
      </c>
      <c r="O874" s="740"/>
      <c r="P874" s="739"/>
      <c r="Q874" s="168">
        <f>IF(P874&lt;&gt;"",P874,IF(ISERROR(Personalplanung!AD42/Monatsplanung!$E42*Monatsplanung!$O42),0,Personalplanung!AD42/Monatsplanung!$E42*Monatsplanung!$O42))</f>
        <v>0</v>
      </c>
      <c r="R874" s="740"/>
      <c r="S874" s="739"/>
      <c r="T874" s="168">
        <f>IF(S874&lt;&gt;"",S874,IF(ISERROR(Personalplanung!AE42/Monatsplanung!$E42*Monatsplanung!$O42),0,Personalplanung!AE42/Monatsplanung!$E42*Monatsplanung!$O42))</f>
        <v>0</v>
      </c>
      <c r="U874" s="740"/>
      <c r="V874" s="168">
        <f t="shared" si="274"/>
        <v>0</v>
      </c>
      <c r="W874" s="168">
        <f>IF(ISERROR(Personalplanung!P42/Monatsplanung!$E42*Monatsplanung!$O42),0,Personalplanung!P42/Monatsplanung!$E42*Monatsplanung!$O42)</f>
        <v>0</v>
      </c>
      <c r="X874" s="168">
        <f>IF(ISERROR(Personalplanung!Q42/Monatsplanung!$E42*Monatsplanung!$O42),0,Personalplanung!Q42/Monatsplanung!$E42*Monatsplanung!$O42)</f>
        <v>0</v>
      </c>
      <c r="Y874" s="168">
        <f>IF(ISERROR(Personalplanung!R42/T1290*Stundencontrolling!T874),0,Personalplanung!R42/T1290*Stundencontrolling!T874)</f>
        <v>0</v>
      </c>
      <c r="Z874" s="168">
        <f>IF(ISERROR(Personalplanung!S42/Monatsplanung!$E42*Monatsplanung!$O42),0,Personalplanung!S42/Monatsplanung!$E42*Monatsplanung!$O42)</f>
        <v>0</v>
      </c>
      <c r="AA874" s="80">
        <f t="shared" si="275"/>
        <v>0</v>
      </c>
      <c r="AB874" s="102">
        <f t="shared" si="276"/>
        <v>0.1</v>
      </c>
      <c r="AC874" s="103">
        <f t="shared" si="277"/>
        <v>0</v>
      </c>
      <c r="AD874" s="103">
        <f t="shared" si="278"/>
        <v>0</v>
      </c>
      <c r="AE874" s="81">
        <f t="shared" si="279"/>
        <v>0</v>
      </c>
      <c r="AF874" s="539"/>
      <c r="AG874" s="104">
        <f t="shared" si="280"/>
        <v>1</v>
      </c>
      <c r="AH874" s="7">
        <f t="shared" si="281"/>
        <v>0</v>
      </c>
      <c r="AI874" s="6">
        <f t="shared" si="282"/>
        <v>0</v>
      </c>
      <c r="AJ874" s="73">
        <f t="shared" si="283"/>
        <v>0</v>
      </c>
      <c r="AK874" s="539"/>
      <c r="AL874" s="748"/>
      <c r="AM874" s="748"/>
    </row>
    <row r="875" spans="2:39" x14ac:dyDescent="0.2">
      <c r="B875" s="101" t="str">
        <f t="shared" si="268"/>
        <v/>
      </c>
      <c r="C875" s="168">
        <f>IF(ISERROR(Personalplanung!F43/Monatsplanung!$E43*Monatsplanung!$O43),0,Personalplanung!F43/Monatsplanung!$E43*Monatsplanung!$O43)</f>
        <v>0</v>
      </c>
      <c r="D875" s="168">
        <f t="shared" si="269"/>
        <v>0</v>
      </c>
      <c r="E875" s="168">
        <f>IF(ISERROR(Personalplanung!H43/Monatsplanung!$E43*Monatsplanung!$O43),0,Personalplanung!H43/Monatsplanung!$E43*Monatsplanung!$O43)</f>
        <v>0</v>
      </c>
      <c r="F875" s="168">
        <f t="shared" si="270"/>
        <v>0</v>
      </c>
      <c r="G875" s="168">
        <f t="shared" si="271"/>
        <v>27.700831024930746</v>
      </c>
      <c r="H875" s="168">
        <f t="shared" si="272"/>
        <v>0</v>
      </c>
      <c r="I875" s="168">
        <f t="shared" si="273"/>
        <v>30</v>
      </c>
      <c r="J875" s="739"/>
      <c r="K875" s="168">
        <f>IF(J875&lt;&gt;"",J875,IF(ISERROR(Personalplanung!AB43/Monatsplanung!$E43*Monatsplanung!$O43),0,Personalplanung!AB43/Monatsplanung!$E43*Monatsplanung!$O43))</f>
        <v>0</v>
      </c>
      <c r="L875" s="740"/>
      <c r="M875" s="739"/>
      <c r="N875" s="168">
        <f>IF(M875&lt;&gt;"",M875,IF(ISERROR(Personalplanung!AC43/Monatsplanung!$E43*Monatsplanung!$O43),0,Personalplanung!AC43/Monatsplanung!$E43*Monatsplanung!$O43))</f>
        <v>0</v>
      </c>
      <c r="O875" s="740"/>
      <c r="P875" s="739"/>
      <c r="Q875" s="168">
        <f>IF(P875&lt;&gt;"",P875,IF(ISERROR(Personalplanung!AD43/Monatsplanung!$E43*Monatsplanung!$O43),0,Personalplanung!AD43/Monatsplanung!$E43*Monatsplanung!$O43))</f>
        <v>0</v>
      </c>
      <c r="R875" s="740"/>
      <c r="S875" s="739"/>
      <c r="T875" s="168">
        <f>IF(S875&lt;&gt;"",S875,IF(ISERROR(Personalplanung!AE43/Monatsplanung!$E43*Monatsplanung!$O43),0,Personalplanung!AE43/Monatsplanung!$E43*Monatsplanung!$O43))</f>
        <v>0</v>
      </c>
      <c r="U875" s="740"/>
      <c r="V875" s="168">
        <f t="shared" si="274"/>
        <v>0</v>
      </c>
      <c r="W875" s="168">
        <f>IF(ISERROR(Personalplanung!P43/Monatsplanung!$E43*Monatsplanung!$O43),0,Personalplanung!P43/Monatsplanung!$E43*Monatsplanung!$O43)</f>
        <v>0</v>
      </c>
      <c r="X875" s="168">
        <f>IF(ISERROR(Personalplanung!Q43/Monatsplanung!$E43*Monatsplanung!$O43),0,Personalplanung!Q43/Monatsplanung!$E43*Monatsplanung!$O43)</f>
        <v>0</v>
      </c>
      <c r="Y875" s="168">
        <f>IF(ISERROR(Personalplanung!R43/T1291*Stundencontrolling!T875),0,Personalplanung!R43/T1291*Stundencontrolling!T875)</f>
        <v>0</v>
      </c>
      <c r="Z875" s="168">
        <f>IF(ISERROR(Personalplanung!S43/Monatsplanung!$E43*Monatsplanung!$O43),0,Personalplanung!S43/Monatsplanung!$E43*Monatsplanung!$O43)</f>
        <v>0</v>
      </c>
      <c r="AA875" s="80">
        <f t="shared" si="275"/>
        <v>0</v>
      </c>
      <c r="AB875" s="102">
        <f t="shared" si="276"/>
        <v>0.1</v>
      </c>
      <c r="AC875" s="103">
        <f t="shared" si="277"/>
        <v>0</v>
      </c>
      <c r="AD875" s="103">
        <f t="shared" si="278"/>
        <v>0</v>
      </c>
      <c r="AE875" s="81">
        <f t="shared" si="279"/>
        <v>0</v>
      </c>
      <c r="AF875" s="539"/>
      <c r="AG875" s="104">
        <f t="shared" si="280"/>
        <v>1</v>
      </c>
      <c r="AH875" s="7">
        <f t="shared" si="281"/>
        <v>0</v>
      </c>
      <c r="AI875" s="6">
        <f t="shared" si="282"/>
        <v>0</v>
      </c>
      <c r="AJ875" s="73">
        <f t="shared" si="283"/>
        <v>0</v>
      </c>
      <c r="AK875" s="539"/>
      <c r="AL875" s="748"/>
      <c r="AM875" s="748"/>
    </row>
    <row r="876" spans="2:39" x14ac:dyDescent="0.2">
      <c r="B876" s="101" t="str">
        <f t="shared" si="268"/>
        <v/>
      </c>
      <c r="C876" s="168">
        <f>IF(ISERROR(Personalplanung!F44/Monatsplanung!$E44*Monatsplanung!$O44),0,Personalplanung!F44/Monatsplanung!$E44*Monatsplanung!$O44)</f>
        <v>0</v>
      </c>
      <c r="D876" s="168">
        <f t="shared" si="269"/>
        <v>0</v>
      </c>
      <c r="E876" s="168">
        <f>IF(ISERROR(Personalplanung!H44/Monatsplanung!$E44*Monatsplanung!$O44),0,Personalplanung!H44/Monatsplanung!$E44*Monatsplanung!$O44)</f>
        <v>0</v>
      </c>
      <c r="F876" s="168">
        <f t="shared" si="270"/>
        <v>0</v>
      </c>
      <c r="G876" s="168">
        <f t="shared" si="271"/>
        <v>27.700831024930746</v>
      </c>
      <c r="H876" s="168">
        <f t="shared" si="272"/>
        <v>0</v>
      </c>
      <c r="I876" s="168">
        <f t="shared" si="273"/>
        <v>30</v>
      </c>
      <c r="J876" s="739"/>
      <c r="K876" s="168">
        <f>IF(J876&lt;&gt;"",J876,IF(ISERROR(Personalplanung!AB44/Monatsplanung!$E44*Monatsplanung!$O44),0,Personalplanung!AB44/Monatsplanung!$E44*Monatsplanung!$O44))</f>
        <v>0</v>
      </c>
      <c r="L876" s="740"/>
      <c r="M876" s="739"/>
      <c r="N876" s="168">
        <f>IF(M876&lt;&gt;"",M876,IF(ISERROR(Personalplanung!AC44/Monatsplanung!$E44*Monatsplanung!$O44),0,Personalplanung!AC44/Monatsplanung!$E44*Monatsplanung!$O44))</f>
        <v>0</v>
      </c>
      <c r="O876" s="740"/>
      <c r="P876" s="739"/>
      <c r="Q876" s="168">
        <f>IF(P876&lt;&gt;"",P876,IF(ISERROR(Personalplanung!AD44/Monatsplanung!$E44*Monatsplanung!$O44),0,Personalplanung!AD44/Monatsplanung!$E44*Monatsplanung!$O44))</f>
        <v>0</v>
      </c>
      <c r="R876" s="740"/>
      <c r="S876" s="739"/>
      <c r="T876" s="168">
        <f>IF(S876&lt;&gt;"",S876,IF(ISERROR(Personalplanung!AE44/Monatsplanung!$E44*Monatsplanung!$O44),0,Personalplanung!AE44/Monatsplanung!$E44*Monatsplanung!$O44))</f>
        <v>0</v>
      </c>
      <c r="U876" s="740"/>
      <c r="V876" s="168">
        <f t="shared" si="274"/>
        <v>0</v>
      </c>
      <c r="W876" s="168">
        <f>IF(ISERROR(Personalplanung!P44/Monatsplanung!$E44*Monatsplanung!$O44),0,Personalplanung!P44/Monatsplanung!$E44*Monatsplanung!$O44)</f>
        <v>0</v>
      </c>
      <c r="X876" s="168">
        <f>IF(ISERROR(Personalplanung!Q44/Monatsplanung!$E44*Monatsplanung!$O44),0,Personalplanung!Q44/Monatsplanung!$E44*Monatsplanung!$O44)</f>
        <v>0</v>
      </c>
      <c r="Y876" s="168">
        <f>IF(ISERROR(Personalplanung!R44/T1292*Stundencontrolling!T876),0,Personalplanung!R44/T1292*Stundencontrolling!T876)</f>
        <v>0</v>
      </c>
      <c r="Z876" s="168">
        <f>IF(ISERROR(Personalplanung!S44/Monatsplanung!$E44*Monatsplanung!$O44),0,Personalplanung!S44/Monatsplanung!$E44*Monatsplanung!$O44)</f>
        <v>0</v>
      </c>
      <c r="AA876" s="80">
        <f t="shared" si="275"/>
        <v>0</v>
      </c>
      <c r="AB876" s="102">
        <f t="shared" si="276"/>
        <v>0.1</v>
      </c>
      <c r="AC876" s="103">
        <f t="shared" si="277"/>
        <v>0</v>
      </c>
      <c r="AD876" s="103">
        <f t="shared" si="278"/>
        <v>0</v>
      </c>
      <c r="AE876" s="81">
        <f t="shared" si="279"/>
        <v>0</v>
      </c>
      <c r="AF876" s="539"/>
      <c r="AG876" s="104">
        <f t="shared" si="280"/>
        <v>1</v>
      </c>
      <c r="AH876" s="7">
        <f t="shared" si="281"/>
        <v>0</v>
      </c>
      <c r="AI876" s="6">
        <f t="shared" si="282"/>
        <v>0</v>
      </c>
      <c r="AJ876" s="73">
        <f t="shared" si="283"/>
        <v>0</v>
      </c>
      <c r="AK876" s="539"/>
      <c r="AL876" s="748"/>
      <c r="AM876" s="748"/>
    </row>
    <row r="877" spans="2:39" x14ac:dyDescent="0.2">
      <c r="B877" s="101" t="str">
        <f t="shared" si="268"/>
        <v/>
      </c>
      <c r="C877" s="168">
        <f>IF(ISERROR(Personalplanung!F45/Monatsplanung!$E45*Monatsplanung!$O45),0,Personalplanung!F45/Monatsplanung!$E45*Monatsplanung!$O45)</f>
        <v>0</v>
      </c>
      <c r="D877" s="168">
        <f t="shared" si="269"/>
        <v>0</v>
      </c>
      <c r="E877" s="168">
        <f>IF(ISERROR(Personalplanung!H45/Monatsplanung!$E45*Monatsplanung!$O45),0,Personalplanung!H45/Monatsplanung!$E45*Monatsplanung!$O45)</f>
        <v>0</v>
      </c>
      <c r="F877" s="168">
        <f t="shared" si="270"/>
        <v>0</v>
      </c>
      <c r="G877" s="168">
        <f t="shared" si="271"/>
        <v>27.700831024930746</v>
      </c>
      <c r="H877" s="168">
        <f t="shared" si="272"/>
        <v>0</v>
      </c>
      <c r="I877" s="168">
        <f t="shared" si="273"/>
        <v>30</v>
      </c>
      <c r="J877" s="739"/>
      <c r="K877" s="168">
        <f>IF(J877&lt;&gt;"",J877,IF(ISERROR(Personalplanung!AB45/Monatsplanung!$E45*Monatsplanung!$O45),0,Personalplanung!AB45/Monatsplanung!$E45*Monatsplanung!$O45))</f>
        <v>0</v>
      </c>
      <c r="L877" s="740"/>
      <c r="M877" s="739"/>
      <c r="N877" s="168">
        <f>IF(M877&lt;&gt;"",M877,IF(ISERROR(Personalplanung!AC45/Monatsplanung!$E45*Monatsplanung!$O45),0,Personalplanung!AC45/Monatsplanung!$E45*Monatsplanung!$O45))</f>
        <v>0</v>
      </c>
      <c r="O877" s="740"/>
      <c r="P877" s="739"/>
      <c r="Q877" s="168">
        <f>IF(P877&lt;&gt;"",P877,IF(ISERROR(Personalplanung!AD45/Monatsplanung!$E45*Monatsplanung!$O45),0,Personalplanung!AD45/Monatsplanung!$E45*Monatsplanung!$O45))</f>
        <v>0</v>
      </c>
      <c r="R877" s="740"/>
      <c r="S877" s="739"/>
      <c r="T877" s="168">
        <f>IF(S877&lt;&gt;"",S877,IF(ISERROR(Personalplanung!AE45/Monatsplanung!$E45*Monatsplanung!$O45),0,Personalplanung!AE45/Monatsplanung!$E45*Monatsplanung!$O45))</f>
        <v>0</v>
      </c>
      <c r="U877" s="740"/>
      <c r="V877" s="168">
        <f t="shared" si="274"/>
        <v>0</v>
      </c>
      <c r="W877" s="168">
        <f>IF(ISERROR(Personalplanung!P45/Monatsplanung!$E45*Monatsplanung!$O45),0,Personalplanung!P45/Monatsplanung!$E45*Monatsplanung!$O45)</f>
        <v>0</v>
      </c>
      <c r="X877" s="168">
        <f>IF(ISERROR(Personalplanung!Q45/Monatsplanung!$E45*Monatsplanung!$O45),0,Personalplanung!Q45/Monatsplanung!$E45*Monatsplanung!$O45)</f>
        <v>0</v>
      </c>
      <c r="Y877" s="168">
        <f>IF(ISERROR(Personalplanung!R45/T1293*Stundencontrolling!T877),0,Personalplanung!R45/T1293*Stundencontrolling!T877)</f>
        <v>0</v>
      </c>
      <c r="Z877" s="168">
        <f>IF(ISERROR(Personalplanung!S45/Monatsplanung!$E45*Monatsplanung!$O45),0,Personalplanung!S45/Monatsplanung!$E45*Monatsplanung!$O45)</f>
        <v>0</v>
      </c>
      <c r="AA877" s="80">
        <f t="shared" si="275"/>
        <v>0</v>
      </c>
      <c r="AB877" s="102">
        <f t="shared" si="276"/>
        <v>0.1</v>
      </c>
      <c r="AC877" s="103">
        <f t="shared" si="277"/>
        <v>0</v>
      </c>
      <c r="AD877" s="103">
        <f t="shared" si="278"/>
        <v>0</v>
      </c>
      <c r="AE877" s="81">
        <f t="shared" si="279"/>
        <v>0</v>
      </c>
      <c r="AF877" s="539"/>
      <c r="AG877" s="104">
        <f t="shared" si="280"/>
        <v>1</v>
      </c>
      <c r="AH877" s="7">
        <f t="shared" si="281"/>
        <v>0</v>
      </c>
      <c r="AI877" s="6">
        <f t="shared" si="282"/>
        <v>0</v>
      </c>
      <c r="AJ877" s="73">
        <f t="shared" si="283"/>
        <v>0</v>
      </c>
      <c r="AK877" s="539"/>
      <c r="AL877" s="748"/>
      <c r="AM877" s="748"/>
    </row>
    <row r="878" spans="2:39" x14ac:dyDescent="0.2">
      <c r="B878" s="101" t="str">
        <f t="shared" si="268"/>
        <v/>
      </c>
      <c r="C878" s="168">
        <f>IF(ISERROR(Personalplanung!F46/Monatsplanung!$E46*Monatsplanung!$O46),0,Personalplanung!F46/Monatsplanung!$E46*Monatsplanung!$O46)</f>
        <v>0</v>
      </c>
      <c r="D878" s="168">
        <f t="shared" si="269"/>
        <v>0</v>
      </c>
      <c r="E878" s="168">
        <f>IF(ISERROR(Personalplanung!H46/Monatsplanung!$E46*Monatsplanung!$O46),0,Personalplanung!H46/Monatsplanung!$E46*Monatsplanung!$O46)</f>
        <v>0</v>
      </c>
      <c r="F878" s="168">
        <f t="shared" si="270"/>
        <v>0</v>
      </c>
      <c r="G878" s="168">
        <f t="shared" si="271"/>
        <v>27.700831024930746</v>
      </c>
      <c r="H878" s="168">
        <f t="shared" si="272"/>
        <v>0</v>
      </c>
      <c r="I878" s="168">
        <f t="shared" si="273"/>
        <v>30</v>
      </c>
      <c r="J878" s="739"/>
      <c r="K878" s="168">
        <f>IF(J878&lt;&gt;"",J878,IF(ISERROR(Personalplanung!AB46/Monatsplanung!$E46*Monatsplanung!$O46),0,Personalplanung!AB46/Monatsplanung!$E46*Monatsplanung!$O46))</f>
        <v>0</v>
      </c>
      <c r="L878" s="740"/>
      <c r="M878" s="739"/>
      <c r="N878" s="168">
        <f>IF(M878&lt;&gt;"",M878,IF(ISERROR(Personalplanung!AC46/Monatsplanung!$E46*Monatsplanung!$O46),0,Personalplanung!AC46/Monatsplanung!$E46*Monatsplanung!$O46))</f>
        <v>0</v>
      </c>
      <c r="O878" s="740"/>
      <c r="P878" s="739"/>
      <c r="Q878" s="168">
        <f>IF(P878&lt;&gt;"",P878,IF(ISERROR(Personalplanung!AD46/Monatsplanung!$E46*Monatsplanung!$O46),0,Personalplanung!AD46/Monatsplanung!$E46*Monatsplanung!$O46))</f>
        <v>0</v>
      </c>
      <c r="R878" s="740"/>
      <c r="S878" s="739"/>
      <c r="T878" s="168">
        <f>IF(S878&lt;&gt;"",S878,IF(ISERROR(Personalplanung!AE46/Monatsplanung!$E46*Monatsplanung!$O46),0,Personalplanung!AE46/Monatsplanung!$E46*Monatsplanung!$O46))</f>
        <v>0</v>
      </c>
      <c r="U878" s="740"/>
      <c r="V878" s="168">
        <f t="shared" si="274"/>
        <v>0</v>
      </c>
      <c r="W878" s="168">
        <f>IF(ISERROR(Personalplanung!P46/Monatsplanung!$E46*Monatsplanung!$O46),0,Personalplanung!P46/Monatsplanung!$E46*Monatsplanung!$O46)</f>
        <v>0</v>
      </c>
      <c r="X878" s="168">
        <f>IF(ISERROR(Personalplanung!Q46/Monatsplanung!$E46*Monatsplanung!$O46),0,Personalplanung!Q46/Monatsplanung!$E46*Monatsplanung!$O46)</f>
        <v>0</v>
      </c>
      <c r="Y878" s="168">
        <f>IF(ISERROR(Personalplanung!R46/T1294*Stundencontrolling!T878),0,Personalplanung!R46/T1294*Stundencontrolling!T878)</f>
        <v>0</v>
      </c>
      <c r="Z878" s="168">
        <f>IF(ISERROR(Personalplanung!S46/Monatsplanung!$E46*Monatsplanung!$O46),0,Personalplanung!S46/Monatsplanung!$E46*Monatsplanung!$O46)</f>
        <v>0</v>
      </c>
      <c r="AA878" s="80">
        <f t="shared" si="275"/>
        <v>0</v>
      </c>
      <c r="AB878" s="102">
        <f t="shared" si="276"/>
        <v>0.1</v>
      </c>
      <c r="AC878" s="103">
        <f t="shared" si="277"/>
        <v>0</v>
      </c>
      <c r="AD878" s="103">
        <f t="shared" si="278"/>
        <v>0</v>
      </c>
      <c r="AE878" s="81">
        <f t="shared" si="279"/>
        <v>0</v>
      </c>
      <c r="AF878" s="539"/>
      <c r="AG878" s="104">
        <f t="shared" si="280"/>
        <v>1</v>
      </c>
      <c r="AH878" s="7">
        <f t="shared" si="281"/>
        <v>0</v>
      </c>
      <c r="AI878" s="6">
        <f t="shared" si="282"/>
        <v>0</v>
      </c>
      <c r="AJ878" s="73">
        <f t="shared" si="283"/>
        <v>0</v>
      </c>
      <c r="AK878" s="539"/>
      <c r="AL878" s="748"/>
      <c r="AM878" s="748"/>
    </row>
    <row r="879" spans="2:39" x14ac:dyDescent="0.2">
      <c r="B879" s="101" t="str">
        <f t="shared" si="268"/>
        <v/>
      </c>
      <c r="C879" s="168">
        <f>IF(ISERROR(Personalplanung!F47/Monatsplanung!$E47*Monatsplanung!$O47),0,Personalplanung!F47/Monatsplanung!$E47*Monatsplanung!$O47)</f>
        <v>0</v>
      </c>
      <c r="D879" s="168">
        <f t="shared" si="269"/>
        <v>0</v>
      </c>
      <c r="E879" s="168">
        <f>IF(ISERROR(Personalplanung!H47/Monatsplanung!$E47*Monatsplanung!$O47),0,Personalplanung!H47/Monatsplanung!$E47*Monatsplanung!$O47)</f>
        <v>0</v>
      </c>
      <c r="F879" s="168">
        <f t="shared" si="270"/>
        <v>0</v>
      </c>
      <c r="G879" s="168">
        <f t="shared" si="271"/>
        <v>27.700831024930746</v>
      </c>
      <c r="H879" s="168">
        <f t="shared" si="272"/>
        <v>0</v>
      </c>
      <c r="I879" s="168">
        <f t="shared" si="273"/>
        <v>30</v>
      </c>
      <c r="J879" s="739"/>
      <c r="K879" s="168">
        <f>IF(J879&lt;&gt;"",J879,IF(ISERROR(Personalplanung!AB47/Monatsplanung!$E47*Monatsplanung!$O47),0,Personalplanung!AB47/Monatsplanung!$E47*Monatsplanung!$O47))</f>
        <v>0</v>
      </c>
      <c r="L879" s="740"/>
      <c r="M879" s="739"/>
      <c r="N879" s="168">
        <f>IF(M879&lt;&gt;"",M879,IF(ISERROR(Personalplanung!AC47/Monatsplanung!$E47*Monatsplanung!$O47),0,Personalplanung!AC47/Monatsplanung!$E47*Monatsplanung!$O47))</f>
        <v>0</v>
      </c>
      <c r="O879" s="740"/>
      <c r="P879" s="739"/>
      <c r="Q879" s="168">
        <f>IF(P879&lt;&gt;"",P879,IF(ISERROR(Personalplanung!AD47/Monatsplanung!$E47*Monatsplanung!$O47),0,Personalplanung!AD47/Monatsplanung!$E47*Monatsplanung!$O47))</f>
        <v>0</v>
      </c>
      <c r="R879" s="740"/>
      <c r="S879" s="739"/>
      <c r="T879" s="168">
        <f>IF(S879&lt;&gt;"",S879,IF(ISERROR(Personalplanung!AE47/Monatsplanung!$E47*Monatsplanung!$O47),0,Personalplanung!AE47/Monatsplanung!$E47*Monatsplanung!$O47))</f>
        <v>0</v>
      </c>
      <c r="U879" s="740"/>
      <c r="V879" s="168">
        <f t="shared" si="274"/>
        <v>0</v>
      </c>
      <c r="W879" s="168">
        <f>IF(ISERROR(Personalplanung!P47/Monatsplanung!$E47*Monatsplanung!$O47),0,Personalplanung!P47/Monatsplanung!$E47*Monatsplanung!$O47)</f>
        <v>0</v>
      </c>
      <c r="X879" s="168">
        <f>IF(ISERROR(Personalplanung!Q47/Monatsplanung!$E47*Monatsplanung!$O47),0,Personalplanung!Q47/Monatsplanung!$E47*Monatsplanung!$O47)</f>
        <v>0</v>
      </c>
      <c r="Y879" s="168">
        <f>IF(ISERROR(Personalplanung!R47/T1295*Stundencontrolling!T879),0,Personalplanung!R47/T1295*Stundencontrolling!T879)</f>
        <v>0</v>
      </c>
      <c r="Z879" s="168">
        <f>IF(ISERROR(Personalplanung!S47/Monatsplanung!$E47*Monatsplanung!$O47),0,Personalplanung!S47/Monatsplanung!$E47*Monatsplanung!$O47)</f>
        <v>0</v>
      </c>
      <c r="AA879" s="80">
        <f t="shared" si="275"/>
        <v>0</v>
      </c>
      <c r="AB879" s="102">
        <f t="shared" si="276"/>
        <v>0.1</v>
      </c>
      <c r="AC879" s="103">
        <f t="shared" si="277"/>
        <v>0</v>
      </c>
      <c r="AD879" s="103">
        <f t="shared" si="278"/>
        <v>0</v>
      </c>
      <c r="AE879" s="81">
        <f t="shared" si="279"/>
        <v>0</v>
      </c>
      <c r="AF879" s="539"/>
      <c r="AG879" s="104">
        <f t="shared" si="280"/>
        <v>1</v>
      </c>
      <c r="AH879" s="7">
        <f t="shared" si="281"/>
        <v>0</v>
      </c>
      <c r="AI879" s="6">
        <f t="shared" si="282"/>
        <v>0</v>
      </c>
      <c r="AJ879" s="73">
        <f t="shared" si="283"/>
        <v>0</v>
      </c>
      <c r="AK879" s="539"/>
      <c r="AL879" s="748"/>
      <c r="AM879" s="748"/>
    </row>
    <row r="880" spans="2:39" x14ac:dyDescent="0.2">
      <c r="B880" s="101" t="str">
        <f t="shared" si="268"/>
        <v/>
      </c>
      <c r="C880" s="168">
        <f>IF(ISERROR(Personalplanung!F48/Monatsplanung!$E48*Monatsplanung!$O48),0,Personalplanung!F48/Monatsplanung!$E48*Monatsplanung!$O48)</f>
        <v>0</v>
      </c>
      <c r="D880" s="168">
        <f t="shared" si="269"/>
        <v>0</v>
      </c>
      <c r="E880" s="168">
        <f>IF(ISERROR(Personalplanung!H48/Monatsplanung!$E48*Monatsplanung!$O48),0,Personalplanung!H48/Monatsplanung!$E48*Monatsplanung!$O48)</f>
        <v>0</v>
      </c>
      <c r="F880" s="168">
        <f t="shared" si="270"/>
        <v>0</v>
      </c>
      <c r="G880" s="168">
        <f t="shared" si="271"/>
        <v>27.700831024930746</v>
      </c>
      <c r="H880" s="168">
        <f t="shared" si="272"/>
        <v>0</v>
      </c>
      <c r="I880" s="168">
        <f t="shared" si="273"/>
        <v>30</v>
      </c>
      <c r="J880" s="739"/>
      <c r="K880" s="168">
        <f>IF(J880&lt;&gt;"",J880,IF(ISERROR(Personalplanung!AB48/Monatsplanung!$E48*Monatsplanung!$O48),0,Personalplanung!AB48/Monatsplanung!$E48*Monatsplanung!$O48))</f>
        <v>0</v>
      </c>
      <c r="L880" s="740"/>
      <c r="M880" s="739"/>
      <c r="N880" s="168">
        <f>IF(M880&lt;&gt;"",M880,IF(ISERROR(Personalplanung!AC48/Monatsplanung!$E48*Monatsplanung!$O48),0,Personalplanung!AC48/Monatsplanung!$E48*Monatsplanung!$O48))</f>
        <v>0</v>
      </c>
      <c r="O880" s="740"/>
      <c r="P880" s="739"/>
      <c r="Q880" s="168">
        <f>IF(P880&lt;&gt;"",P880,IF(ISERROR(Personalplanung!AD48/Monatsplanung!$E48*Monatsplanung!$O48),0,Personalplanung!AD48/Monatsplanung!$E48*Monatsplanung!$O48))</f>
        <v>0</v>
      </c>
      <c r="R880" s="740"/>
      <c r="S880" s="739"/>
      <c r="T880" s="168">
        <f>IF(S880&lt;&gt;"",S880,IF(ISERROR(Personalplanung!AE48/Monatsplanung!$E48*Monatsplanung!$O48),0,Personalplanung!AE48/Monatsplanung!$E48*Monatsplanung!$O48))</f>
        <v>0</v>
      </c>
      <c r="U880" s="740"/>
      <c r="V880" s="168">
        <f t="shared" si="274"/>
        <v>0</v>
      </c>
      <c r="W880" s="168">
        <f>IF(ISERROR(Personalplanung!P48/Monatsplanung!$E48*Monatsplanung!$O48),0,Personalplanung!P48/Monatsplanung!$E48*Monatsplanung!$O48)</f>
        <v>0</v>
      </c>
      <c r="X880" s="168">
        <f>IF(ISERROR(Personalplanung!Q48/Monatsplanung!$E48*Monatsplanung!$O48),0,Personalplanung!Q48/Monatsplanung!$E48*Monatsplanung!$O48)</f>
        <v>0</v>
      </c>
      <c r="Y880" s="168">
        <f>IF(ISERROR(Personalplanung!R48/T1296*Stundencontrolling!T880),0,Personalplanung!R48/T1296*Stundencontrolling!T880)</f>
        <v>0</v>
      </c>
      <c r="Z880" s="168">
        <f>IF(ISERROR(Personalplanung!S48/Monatsplanung!$E48*Monatsplanung!$O48),0,Personalplanung!S48/Monatsplanung!$E48*Monatsplanung!$O48)</f>
        <v>0</v>
      </c>
      <c r="AA880" s="80">
        <f t="shared" si="275"/>
        <v>0</v>
      </c>
      <c r="AB880" s="102">
        <f t="shared" si="276"/>
        <v>0.1</v>
      </c>
      <c r="AC880" s="103">
        <f t="shared" si="277"/>
        <v>0</v>
      </c>
      <c r="AD880" s="103">
        <f t="shared" si="278"/>
        <v>0</v>
      </c>
      <c r="AE880" s="81">
        <f t="shared" si="279"/>
        <v>0</v>
      </c>
      <c r="AF880" s="539"/>
      <c r="AG880" s="104">
        <f t="shared" si="280"/>
        <v>1</v>
      </c>
      <c r="AH880" s="7">
        <f t="shared" si="281"/>
        <v>0</v>
      </c>
      <c r="AI880" s="6">
        <f t="shared" si="282"/>
        <v>0</v>
      </c>
      <c r="AJ880" s="73">
        <f t="shared" si="283"/>
        <v>0</v>
      </c>
      <c r="AK880" s="539"/>
      <c r="AL880" s="748"/>
      <c r="AM880" s="748"/>
    </row>
    <row r="881" spans="2:39" x14ac:dyDescent="0.2">
      <c r="B881" s="101" t="str">
        <f t="shared" si="268"/>
        <v/>
      </c>
      <c r="C881" s="168">
        <f>IF(ISERROR(Personalplanung!F49/Monatsplanung!$E49*Monatsplanung!$O49),0,Personalplanung!F49/Monatsplanung!$E49*Monatsplanung!$O49)</f>
        <v>0</v>
      </c>
      <c r="D881" s="168">
        <f t="shared" si="269"/>
        <v>0</v>
      </c>
      <c r="E881" s="168">
        <f>IF(ISERROR(Personalplanung!H49/Monatsplanung!$E49*Monatsplanung!$O49),0,Personalplanung!H49/Monatsplanung!$E49*Monatsplanung!$O49)</f>
        <v>0</v>
      </c>
      <c r="F881" s="168">
        <f t="shared" si="270"/>
        <v>0</v>
      </c>
      <c r="G881" s="168">
        <f t="shared" si="271"/>
        <v>27.700831024930746</v>
      </c>
      <c r="H881" s="168">
        <f t="shared" si="272"/>
        <v>0</v>
      </c>
      <c r="I881" s="168">
        <f t="shared" si="273"/>
        <v>30</v>
      </c>
      <c r="J881" s="739"/>
      <c r="K881" s="168">
        <f>IF(J881&lt;&gt;"",J881,IF(ISERROR(Personalplanung!AB49/Monatsplanung!$E49*Monatsplanung!$O49),0,Personalplanung!AB49/Monatsplanung!$E49*Monatsplanung!$O49))</f>
        <v>0</v>
      </c>
      <c r="L881" s="740"/>
      <c r="M881" s="739"/>
      <c r="N881" s="168">
        <f>IF(M881&lt;&gt;"",M881,IF(ISERROR(Personalplanung!AC49/Monatsplanung!$E49*Monatsplanung!$O49),0,Personalplanung!AC49/Monatsplanung!$E49*Monatsplanung!$O49))</f>
        <v>0</v>
      </c>
      <c r="O881" s="740"/>
      <c r="P881" s="739"/>
      <c r="Q881" s="168">
        <f>IF(P881&lt;&gt;"",P881,IF(ISERROR(Personalplanung!AD49/Monatsplanung!$E49*Monatsplanung!$O49),0,Personalplanung!AD49/Monatsplanung!$E49*Monatsplanung!$O49))</f>
        <v>0</v>
      </c>
      <c r="R881" s="740"/>
      <c r="S881" s="739"/>
      <c r="T881" s="168">
        <f>IF(S881&lt;&gt;"",S881,IF(ISERROR(Personalplanung!AE49/Monatsplanung!$E49*Monatsplanung!$O49),0,Personalplanung!AE49/Monatsplanung!$E49*Monatsplanung!$O49))</f>
        <v>0</v>
      </c>
      <c r="U881" s="740"/>
      <c r="V881" s="168">
        <f t="shared" si="274"/>
        <v>0</v>
      </c>
      <c r="W881" s="168">
        <f>IF(ISERROR(Personalplanung!P49/Monatsplanung!$E49*Monatsplanung!$O49),0,Personalplanung!P49/Monatsplanung!$E49*Monatsplanung!$O49)</f>
        <v>0</v>
      </c>
      <c r="X881" s="168">
        <f>IF(ISERROR(Personalplanung!Q49/Monatsplanung!$E49*Monatsplanung!$O49),0,Personalplanung!Q49/Monatsplanung!$E49*Monatsplanung!$O49)</f>
        <v>0</v>
      </c>
      <c r="Y881" s="168">
        <f>IF(ISERROR(Personalplanung!R49/T1297*Stundencontrolling!T881),0,Personalplanung!R49/T1297*Stundencontrolling!T881)</f>
        <v>0</v>
      </c>
      <c r="Z881" s="168">
        <f>IF(ISERROR(Personalplanung!S49/Monatsplanung!$E49*Monatsplanung!$O49),0,Personalplanung!S49/Monatsplanung!$E49*Monatsplanung!$O49)</f>
        <v>0</v>
      </c>
      <c r="AA881" s="80">
        <f t="shared" si="275"/>
        <v>0</v>
      </c>
      <c r="AB881" s="102">
        <f t="shared" si="276"/>
        <v>0.1</v>
      </c>
      <c r="AC881" s="103">
        <f t="shared" si="277"/>
        <v>0</v>
      </c>
      <c r="AD881" s="103">
        <f t="shared" si="278"/>
        <v>0</v>
      </c>
      <c r="AE881" s="81">
        <f t="shared" si="279"/>
        <v>0</v>
      </c>
      <c r="AF881" s="539"/>
      <c r="AG881" s="104">
        <f t="shared" si="280"/>
        <v>1</v>
      </c>
      <c r="AH881" s="7">
        <f t="shared" si="281"/>
        <v>0</v>
      </c>
      <c r="AI881" s="6">
        <f t="shared" si="282"/>
        <v>0</v>
      </c>
      <c r="AJ881" s="73">
        <f t="shared" si="283"/>
        <v>0</v>
      </c>
      <c r="AK881" s="539"/>
      <c r="AL881" s="748"/>
      <c r="AM881" s="748"/>
    </row>
    <row r="882" spans="2:39" x14ac:dyDescent="0.2">
      <c r="B882" s="101" t="str">
        <f t="shared" si="268"/>
        <v/>
      </c>
      <c r="C882" s="168">
        <f>IF(ISERROR(Personalplanung!F50/Monatsplanung!$E50*Monatsplanung!$O50),0,Personalplanung!F50/Monatsplanung!$E50*Monatsplanung!$O50)</f>
        <v>0</v>
      </c>
      <c r="D882" s="168">
        <f t="shared" si="269"/>
        <v>0</v>
      </c>
      <c r="E882" s="168">
        <f>IF(ISERROR(Personalplanung!H50/Monatsplanung!$E50*Monatsplanung!$O50),0,Personalplanung!H50/Monatsplanung!$E50*Monatsplanung!$O50)</f>
        <v>0</v>
      </c>
      <c r="F882" s="168">
        <f t="shared" si="270"/>
        <v>0</v>
      </c>
      <c r="G882" s="168">
        <f t="shared" si="271"/>
        <v>27.700831024930746</v>
      </c>
      <c r="H882" s="168">
        <f t="shared" si="272"/>
        <v>0</v>
      </c>
      <c r="I882" s="168">
        <f t="shared" si="273"/>
        <v>30</v>
      </c>
      <c r="J882" s="739"/>
      <c r="K882" s="168">
        <f>IF(J882&lt;&gt;"",J882,IF(ISERROR(Personalplanung!AB50/Monatsplanung!$E50*Monatsplanung!$O50),0,Personalplanung!AB50/Monatsplanung!$E50*Monatsplanung!$O50))</f>
        <v>0</v>
      </c>
      <c r="L882" s="740"/>
      <c r="M882" s="739"/>
      <c r="N882" s="168">
        <f>IF(M882&lt;&gt;"",M882,IF(ISERROR(Personalplanung!AC50/Monatsplanung!$E50*Monatsplanung!$O50),0,Personalplanung!AC50/Monatsplanung!$E50*Monatsplanung!$O50))</f>
        <v>0</v>
      </c>
      <c r="O882" s="740"/>
      <c r="P882" s="739"/>
      <c r="Q882" s="168">
        <f>IF(P882&lt;&gt;"",P882,IF(ISERROR(Personalplanung!AD50/Monatsplanung!$E50*Monatsplanung!$O50),0,Personalplanung!AD50/Monatsplanung!$E50*Monatsplanung!$O50))</f>
        <v>0</v>
      </c>
      <c r="R882" s="740"/>
      <c r="S882" s="739"/>
      <c r="T882" s="168">
        <f>IF(S882&lt;&gt;"",S882,IF(ISERROR(Personalplanung!AE50/Monatsplanung!$E50*Monatsplanung!$O50),0,Personalplanung!AE50/Monatsplanung!$E50*Monatsplanung!$O50))</f>
        <v>0</v>
      </c>
      <c r="U882" s="740"/>
      <c r="V882" s="168">
        <f t="shared" si="274"/>
        <v>0</v>
      </c>
      <c r="W882" s="168">
        <f>IF(ISERROR(Personalplanung!P50/Monatsplanung!$E50*Monatsplanung!$O50),0,Personalplanung!P50/Monatsplanung!$E50*Monatsplanung!$O50)</f>
        <v>0</v>
      </c>
      <c r="X882" s="168">
        <f>IF(ISERROR(Personalplanung!Q50/Monatsplanung!$E50*Monatsplanung!$O50),0,Personalplanung!Q50/Monatsplanung!$E50*Monatsplanung!$O50)</f>
        <v>0</v>
      </c>
      <c r="Y882" s="168">
        <f>IF(ISERROR(Personalplanung!R50/T1298*Stundencontrolling!T882),0,Personalplanung!R50/T1298*Stundencontrolling!T882)</f>
        <v>0</v>
      </c>
      <c r="Z882" s="168">
        <f>IF(ISERROR(Personalplanung!S50/Monatsplanung!$E50*Monatsplanung!$O50),0,Personalplanung!S50/Monatsplanung!$E50*Monatsplanung!$O50)</f>
        <v>0</v>
      </c>
      <c r="AA882" s="80">
        <f t="shared" si="275"/>
        <v>0</v>
      </c>
      <c r="AB882" s="102">
        <f t="shared" si="276"/>
        <v>0.1</v>
      </c>
      <c r="AC882" s="103">
        <f t="shared" si="277"/>
        <v>0</v>
      </c>
      <c r="AD882" s="103">
        <f t="shared" si="278"/>
        <v>0</v>
      </c>
      <c r="AE882" s="81">
        <f t="shared" si="279"/>
        <v>0</v>
      </c>
      <c r="AF882" s="539"/>
      <c r="AG882" s="104">
        <f t="shared" si="280"/>
        <v>1</v>
      </c>
      <c r="AH882" s="7">
        <f t="shared" si="281"/>
        <v>0</v>
      </c>
      <c r="AI882" s="6">
        <f t="shared" si="282"/>
        <v>0</v>
      </c>
      <c r="AJ882" s="73">
        <f t="shared" si="283"/>
        <v>0</v>
      </c>
      <c r="AK882" s="539"/>
      <c r="AL882" s="748"/>
      <c r="AM882" s="748"/>
    </row>
    <row r="883" spans="2:39" x14ac:dyDescent="0.2">
      <c r="B883" s="101" t="str">
        <f t="shared" si="268"/>
        <v/>
      </c>
      <c r="C883" s="168">
        <f>IF(ISERROR(Personalplanung!F51/Monatsplanung!$E51*Monatsplanung!$O51),0,Personalplanung!F51/Monatsplanung!$E51*Monatsplanung!$O51)</f>
        <v>0</v>
      </c>
      <c r="D883" s="168">
        <f t="shared" si="269"/>
        <v>0</v>
      </c>
      <c r="E883" s="168">
        <f>IF(ISERROR(Personalplanung!H51/Monatsplanung!$E51*Monatsplanung!$O51),0,Personalplanung!H51/Monatsplanung!$E51*Monatsplanung!$O51)</f>
        <v>0</v>
      </c>
      <c r="F883" s="168">
        <f t="shared" si="270"/>
        <v>0</v>
      </c>
      <c r="G883" s="168">
        <f t="shared" si="271"/>
        <v>27.700831024930746</v>
      </c>
      <c r="H883" s="168">
        <f t="shared" si="272"/>
        <v>0</v>
      </c>
      <c r="I883" s="168">
        <f t="shared" si="273"/>
        <v>30</v>
      </c>
      <c r="J883" s="739"/>
      <c r="K883" s="168">
        <f>IF(J883&lt;&gt;"",J883,IF(ISERROR(Personalplanung!AB51/Monatsplanung!$E51*Monatsplanung!$O51),0,Personalplanung!AB51/Monatsplanung!$E51*Monatsplanung!$O51))</f>
        <v>0</v>
      </c>
      <c r="L883" s="740"/>
      <c r="M883" s="739"/>
      <c r="N883" s="168">
        <f>IF(M883&lt;&gt;"",M883,IF(ISERROR(Personalplanung!AC51/Monatsplanung!$E51*Monatsplanung!$O51),0,Personalplanung!AC51/Monatsplanung!$E51*Monatsplanung!$O51))</f>
        <v>0</v>
      </c>
      <c r="O883" s="740"/>
      <c r="P883" s="739"/>
      <c r="Q883" s="168">
        <f>IF(P883&lt;&gt;"",P883,IF(ISERROR(Personalplanung!AD51/Monatsplanung!$E51*Monatsplanung!$O51),0,Personalplanung!AD51/Monatsplanung!$E51*Monatsplanung!$O51))</f>
        <v>0</v>
      </c>
      <c r="R883" s="740"/>
      <c r="S883" s="739"/>
      <c r="T883" s="168">
        <f>IF(S883&lt;&gt;"",S883,IF(ISERROR(Personalplanung!AE51/Monatsplanung!$E51*Monatsplanung!$O51),0,Personalplanung!AE51/Monatsplanung!$E51*Monatsplanung!$O51))</f>
        <v>0</v>
      </c>
      <c r="U883" s="740"/>
      <c r="V883" s="168">
        <f t="shared" si="274"/>
        <v>0</v>
      </c>
      <c r="W883" s="168">
        <f>IF(ISERROR(Personalplanung!P51/Monatsplanung!$E51*Monatsplanung!$O51),0,Personalplanung!P51/Monatsplanung!$E51*Monatsplanung!$O51)</f>
        <v>0</v>
      </c>
      <c r="X883" s="168">
        <f>IF(ISERROR(Personalplanung!Q51/Monatsplanung!$E51*Monatsplanung!$O51),0,Personalplanung!Q51/Monatsplanung!$E51*Monatsplanung!$O51)</f>
        <v>0</v>
      </c>
      <c r="Y883" s="168">
        <f>IF(ISERROR(Personalplanung!R51/T1299*Stundencontrolling!T883),0,Personalplanung!R51/T1299*Stundencontrolling!T883)</f>
        <v>0</v>
      </c>
      <c r="Z883" s="168">
        <f>IF(ISERROR(Personalplanung!S51/Monatsplanung!$E51*Monatsplanung!$O51),0,Personalplanung!S51/Monatsplanung!$E51*Monatsplanung!$O51)</f>
        <v>0</v>
      </c>
      <c r="AA883" s="80">
        <f t="shared" si="275"/>
        <v>0</v>
      </c>
      <c r="AB883" s="102">
        <f t="shared" si="276"/>
        <v>0.1</v>
      </c>
      <c r="AC883" s="103">
        <f t="shared" si="277"/>
        <v>0</v>
      </c>
      <c r="AD883" s="103">
        <f t="shared" si="278"/>
        <v>0</v>
      </c>
      <c r="AE883" s="81">
        <f t="shared" si="279"/>
        <v>0</v>
      </c>
      <c r="AF883" s="539"/>
      <c r="AG883" s="104">
        <f t="shared" si="280"/>
        <v>1</v>
      </c>
      <c r="AH883" s="7">
        <f t="shared" si="281"/>
        <v>0</v>
      </c>
      <c r="AI883" s="6">
        <f t="shared" si="282"/>
        <v>0</v>
      </c>
      <c r="AJ883" s="73">
        <f t="shared" si="283"/>
        <v>0</v>
      </c>
      <c r="AK883" s="539"/>
      <c r="AL883" s="748"/>
      <c r="AM883" s="748"/>
    </row>
    <row r="884" spans="2:39" x14ac:dyDescent="0.2">
      <c r="B884" s="101" t="str">
        <f t="shared" si="268"/>
        <v/>
      </c>
      <c r="C884" s="168">
        <f>IF(ISERROR(Personalplanung!F52/Monatsplanung!$E52*Monatsplanung!$O52),0,Personalplanung!F52/Monatsplanung!$E52*Monatsplanung!$O52)</f>
        <v>0</v>
      </c>
      <c r="D884" s="168">
        <f t="shared" si="269"/>
        <v>0</v>
      </c>
      <c r="E884" s="168">
        <f>IF(ISERROR(Personalplanung!H52/Monatsplanung!$E52*Monatsplanung!$O52),0,Personalplanung!H52/Monatsplanung!$E52*Monatsplanung!$O52)</f>
        <v>0</v>
      </c>
      <c r="F884" s="168">
        <f t="shared" si="270"/>
        <v>0</v>
      </c>
      <c r="G884" s="168">
        <f t="shared" si="271"/>
        <v>27.700831024930746</v>
      </c>
      <c r="H884" s="168">
        <f t="shared" si="272"/>
        <v>0</v>
      </c>
      <c r="I884" s="168">
        <f t="shared" si="273"/>
        <v>30</v>
      </c>
      <c r="J884" s="739"/>
      <c r="K884" s="168">
        <f>IF(J884&lt;&gt;"",J884,IF(ISERROR(Personalplanung!AB52/Monatsplanung!$E52*Monatsplanung!$O52),0,Personalplanung!AB52/Monatsplanung!$E52*Monatsplanung!$O52))</f>
        <v>0</v>
      </c>
      <c r="L884" s="740"/>
      <c r="M884" s="739"/>
      <c r="N884" s="168">
        <f>IF(M884&lt;&gt;"",M884,IF(ISERROR(Personalplanung!AC52/Monatsplanung!$E52*Monatsplanung!$O52),0,Personalplanung!AC52/Monatsplanung!$E52*Monatsplanung!$O52))</f>
        <v>0</v>
      </c>
      <c r="O884" s="740"/>
      <c r="P884" s="739"/>
      <c r="Q884" s="168">
        <f>IF(P884&lt;&gt;"",P884,IF(ISERROR(Personalplanung!AD52/Monatsplanung!$E52*Monatsplanung!$O52),0,Personalplanung!AD52/Monatsplanung!$E52*Monatsplanung!$O52))</f>
        <v>0</v>
      </c>
      <c r="R884" s="740"/>
      <c r="S884" s="739"/>
      <c r="T884" s="168">
        <f>IF(S884&lt;&gt;"",S884,IF(ISERROR(Personalplanung!AE52/Monatsplanung!$E52*Monatsplanung!$O52),0,Personalplanung!AE52/Monatsplanung!$E52*Monatsplanung!$O52))</f>
        <v>0</v>
      </c>
      <c r="U884" s="740"/>
      <c r="V884" s="168">
        <f t="shared" si="274"/>
        <v>0</v>
      </c>
      <c r="W884" s="168">
        <f>IF(ISERROR(Personalplanung!P52/Monatsplanung!$E52*Monatsplanung!$O52),0,Personalplanung!P52/Monatsplanung!$E52*Monatsplanung!$O52)</f>
        <v>0</v>
      </c>
      <c r="X884" s="168">
        <f>IF(ISERROR(Personalplanung!Q52/Monatsplanung!$E52*Monatsplanung!$O52),0,Personalplanung!Q52/Monatsplanung!$E52*Monatsplanung!$O52)</f>
        <v>0</v>
      </c>
      <c r="Y884" s="168">
        <f>IF(ISERROR(Personalplanung!R52/T1300*Stundencontrolling!T884),0,Personalplanung!R52/T1300*Stundencontrolling!T884)</f>
        <v>0</v>
      </c>
      <c r="Z884" s="168">
        <f>IF(ISERROR(Personalplanung!S52/Monatsplanung!$E52*Monatsplanung!$O52),0,Personalplanung!S52/Monatsplanung!$E52*Monatsplanung!$O52)</f>
        <v>0</v>
      </c>
      <c r="AA884" s="80">
        <f t="shared" si="275"/>
        <v>0</v>
      </c>
      <c r="AB884" s="102">
        <f t="shared" si="276"/>
        <v>0.1</v>
      </c>
      <c r="AC884" s="103">
        <f t="shared" si="277"/>
        <v>0</v>
      </c>
      <c r="AD884" s="103">
        <f t="shared" si="278"/>
        <v>0</v>
      </c>
      <c r="AE884" s="81">
        <f t="shared" si="279"/>
        <v>0</v>
      </c>
      <c r="AF884" s="539"/>
      <c r="AG884" s="104">
        <f t="shared" si="280"/>
        <v>1</v>
      </c>
      <c r="AH884" s="7">
        <f t="shared" si="281"/>
        <v>0</v>
      </c>
      <c r="AI884" s="6">
        <f t="shared" si="282"/>
        <v>0</v>
      </c>
      <c r="AJ884" s="73">
        <f t="shared" si="283"/>
        <v>0</v>
      </c>
      <c r="AK884" s="539"/>
      <c r="AL884" s="748"/>
      <c r="AM884" s="748"/>
    </row>
    <row r="885" spans="2:39" x14ac:dyDescent="0.2">
      <c r="B885" s="101" t="str">
        <f t="shared" si="268"/>
        <v/>
      </c>
      <c r="C885" s="168">
        <f>IF(ISERROR(Personalplanung!F53/Monatsplanung!$E53*Monatsplanung!$O53),0,Personalplanung!F53/Monatsplanung!$E53*Monatsplanung!$O53)</f>
        <v>0</v>
      </c>
      <c r="D885" s="168">
        <f t="shared" si="269"/>
        <v>0</v>
      </c>
      <c r="E885" s="168">
        <f>IF(ISERROR(Personalplanung!H53/Monatsplanung!$E53*Monatsplanung!$O53),0,Personalplanung!H53/Monatsplanung!$E53*Monatsplanung!$O53)</f>
        <v>0</v>
      </c>
      <c r="F885" s="168">
        <f t="shared" si="270"/>
        <v>0</v>
      </c>
      <c r="G885" s="168">
        <f t="shared" si="271"/>
        <v>27.700831024930746</v>
      </c>
      <c r="H885" s="168">
        <f t="shared" si="272"/>
        <v>0</v>
      </c>
      <c r="I885" s="168">
        <f t="shared" si="273"/>
        <v>30</v>
      </c>
      <c r="J885" s="739"/>
      <c r="K885" s="168">
        <f>IF(J885&lt;&gt;"",J885,IF(ISERROR(Personalplanung!AB53/Monatsplanung!$E53*Monatsplanung!$O53),0,Personalplanung!AB53/Monatsplanung!$E53*Monatsplanung!$O53))</f>
        <v>0</v>
      </c>
      <c r="L885" s="740"/>
      <c r="M885" s="739"/>
      <c r="N885" s="168">
        <f>IF(M885&lt;&gt;"",M885,IF(ISERROR(Personalplanung!AC53/Monatsplanung!$E53*Monatsplanung!$O53),0,Personalplanung!AC53/Monatsplanung!$E53*Monatsplanung!$O53))</f>
        <v>0</v>
      </c>
      <c r="O885" s="740"/>
      <c r="P885" s="739"/>
      <c r="Q885" s="168">
        <f>IF(P885&lt;&gt;"",P885,IF(ISERROR(Personalplanung!AD53/Monatsplanung!$E53*Monatsplanung!$O53),0,Personalplanung!AD53/Monatsplanung!$E53*Monatsplanung!$O53))</f>
        <v>0</v>
      </c>
      <c r="R885" s="740"/>
      <c r="S885" s="739"/>
      <c r="T885" s="168">
        <f>IF(S885&lt;&gt;"",S885,IF(ISERROR(Personalplanung!AE53/Monatsplanung!$E53*Monatsplanung!$O53),0,Personalplanung!AE53/Monatsplanung!$E53*Monatsplanung!$O53))</f>
        <v>0</v>
      </c>
      <c r="U885" s="740"/>
      <c r="V885" s="168">
        <f t="shared" si="274"/>
        <v>0</v>
      </c>
      <c r="W885" s="168">
        <f>IF(ISERROR(Personalplanung!P53/Monatsplanung!$E53*Monatsplanung!$O53),0,Personalplanung!P53/Monatsplanung!$E53*Monatsplanung!$O53)</f>
        <v>0</v>
      </c>
      <c r="X885" s="168">
        <f>IF(ISERROR(Personalplanung!Q53/Monatsplanung!$E53*Monatsplanung!$O53),0,Personalplanung!Q53/Monatsplanung!$E53*Monatsplanung!$O53)</f>
        <v>0</v>
      </c>
      <c r="Y885" s="168">
        <f>IF(ISERROR(Personalplanung!R53/T1301*Stundencontrolling!T885),0,Personalplanung!R53/T1301*Stundencontrolling!T885)</f>
        <v>0</v>
      </c>
      <c r="Z885" s="168">
        <f>IF(ISERROR(Personalplanung!S53/Monatsplanung!$E53*Monatsplanung!$O53),0,Personalplanung!S53/Monatsplanung!$E53*Monatsplanung!$O53)</f>
        <v>0</v>
      </c>
      <c r="AA885" s="80">
        <f t="shared" si="275"/>
        <v>0</v>
      </c>
      <c r="AB885" s="102">
        <f t="shared" si="276"/>
        <v>0.1</v>
      </c>
      <c r="AC885" s="103">
        <f t="shared" si="277"/>
        <v>0</v>
      </c>
      <c r="AD885" s="103">
        <f t="shared" si="278"/>
        <v>0</v>
      </c>
      <c r="AE885" s="81">
        <f t="shared" si="279"/>
        <v>0</v>
      </c>
      <c r="AF885" s="539"/>
      <c r="AG885" s="104">
        <f t="shared" si="280"/>
        <v>1</v>
      </c>
      <c r="AH885" s="7">
        <f t="shared" si="281"/>
        <v>0</v>
      </c>
      <c r="AI885" s="6">
        <f t="shared" si="282"/>
        <v>0</v>
      </c>
      <c r="AJ885" s="73">
        <f t="shared" si="283"/>
        <v>0</v>
      </c>
      <c r="AK885" s="539"/>
      <c r="AL885" s="748"/>
      <c r="AM885" s="748"/>
    </row>
    <row r="886" spans="2:39" x14ac:dyDescent="0.2">
      <c r="B886" s="101" t="str">
        <f t="shared" si="268"/>
        <v/>
      </c>
      <c r="C886" s="168">
        <f>IF(ISERROR(Personalplanung!F54/Monatsplanung!$E54*Monatsplanung!$O54),0,Personalplanung!F54/Monatsplanung!$E54*Monatsplanung!$O54)</f>
        <v>0</v>
      </c>
      <c r="D886" s="168">
        <f t="shared" si="269"/>
        <v>0</v>
      </c>
      <c r="E886" s="168">
        <f>IF(ISERROR(Personalplanung!H54/Monatsplanung!$E54*Monatsplanung!$O54),0,Personalplanung!H54/Monatsplanung!$E54*Monatsplanung!$O54)</f>
        <v>0</v>
      </c>
      <c r="F886" s="168">
        <f t="shared" si="270"/>
        <v>0</v>
      </c>
      <c r="G886" s="168">
        <f t="shared" si="271"/>
        <v>27.700831024930746</v>
      </c>
      <c r="H886" s="168">
        <f t="shared" si="272"/>
        <v>0</v>
      </c>
      <c r="I886" s="168">
        <f t="shared" si="273"/>
        <v>30</v>
      </c>
      <c r="J886" s="739"/>
      <c r="K886" s="168">
        <f>IF(J886&lt;&gt;"",J886,IF(ISERROR(Personalplanung!AB54/Monatsplanung!$E54*Monatsplanung!$O54),0,Personalplanung!AB54/Monatsplanung!$E54*Monatsplanung!$O54))</f>
        <v>0</v>
      </c>
      <c r="L886" s="740"/>
      <c r="M886" s="739"/>
      <c r="N886" s="168">
        <f>IF(M886&lt;&gt;"",M886,IF(ISERROR(Personalplanung!AC54/Monatsplanung!$E54*Monatsplanung!$O54),0,Personalplanung!AC54/Monatsplanung!$E54*Monatsplanung!$O54))</f>
        <v>0</v>
      </c>
      <c r="O886" s="740"/>
      <c r="P886" s="739"/>
      <c r="Q886" s="168">
        <f>IF(P886&lt;&gt;"",P886,IF(ISERROR(Personalplanung!AD54/Monatsplanung!$E54*Monatsplanung!$O54),0,Personalplanung!AD54/Monatsplanung!$E54*Monatsplanung!$O54))</f>
        <v>0</v>
      </c>
      <c r="R886" s="740"/>
      <c r="S886" s="739"/>
      <c r="T886" s="168">
        <f>IF(S886&lt;&gt;"",S886,IF(ISERROR(Personalplanung!AE54/Monatsplanung!$E54*Monatsplanung!$O54),0,Personalplanung!AE54/Monatsplanung!$E54*Monatsplanung!$O54))</f>
        <v>0</v>
      </c>
      <c r="U886" s="740"/>
      <c r="V886" s="168">
        <f t="shared" si="274"/>
        <v>0</v>
      </c>
      <c r="W886" s="168">
        <f>IF(ISERROR(Personalplanung!P54/Monatsplanung!$E54*Monatsplanung!$O54),0,Personalplanung!P54/Monatsplanung!$E54*Monatsplanung!$O54)</f>
        <v>0</v>
      </c>
      <c r="X886" s="168">
        <f>IF(ISERROR(Personalplanung!Q54/Monatsplanung!$E54*Monatsplanung!$O54),0,Personalplanung!Q54/Monatsplanung!$E54*Monatsplanung!$O54)</f>
        <v>0</v>
      </c>
      <c r="Y886" s="168">
        <f>IF(ISERROR(Personalplanung!R54/T1302*Stundencontrolling!T886),0,Personalplanung!R54/T1302*Stundencontrolling!T886)</f>
        <v>0</v>
      </c>
      <c r="Z886" s="168">
        <f>IF(ISERROR(Personalplanung!S54/Monatsplanung!$E54*Monatsplanung!$O54),0,Personalplanung!S54/Monatsplanung!$E54*Monatsplanung!$O54)</f>
        <v>0</v>
      </c>
      <c r="AA886" s="80">
        <f t="shared" si="275"/>
        <v>0</v>
      </c>
      <c r="AB886" s="102">
        <f t="shared" si="276"/>
        <v>0.1</v>
      </c>
      <c r="AC886" s="103">
        <f t="shared" si="277"/>
        <v>0</v>
      </c>
      <c r="AD886" s="103">
        <f t="shared" si="278"/>
        <v>0</v>
      </c>
      <c r="AE886" s="81">
        <f t="shared" si="279"/>
        <v>0</v>
      </c>
      <c r="AF886" s="539"/>
      <c r="AG886" s="104">
        <f t="shared" si="280"/>
        <v>1</v>
      </c>
      <c r="AH886" s="7">
        <f t="shared" si="281"/>
        <v>0</v>
      </c>
      <c r="AI886" s="6">
        <f t="shared" si="282"/>
        <v>0</v>
      </c>
      <c r="AJ886" s="73">
        <f t="shared" si="283"/>
        <v>0</v>
      </c>
      <c r="AK886" s="539"/>
      <c r="AL886" s="748"/>
      <c r="AM886" s="748"/>
    </row>
    <row r="887" spans="2:39" x14ac:dyDescent="0.2">
      <c r="B887" s="101" t="str">
        <f t="shared" si="268"/>
        <v/>
      </c>
      <c r="C887" s="168">
        <f>IF(ISERROR(Personalplanung!F55/Monatsplanung!$E55*Monatsplanung!$O55),0,Personalplanung!F55/Monatsplanung!$E55*Monatsplanung!$O55)</f>
        <v>0</v>
      </c>
      <c r="D887" s="168">
        <f t="shared" si="269"/>
        <v>0</v>
      </c>
      <c r="E887" s="168">
        <f>IF(ISERROR(Personalplanung!H55/Monatsplanung!$E55*Monatsplanung!$O55),0,Personalplanung!H55/Monatsplanung!$E55*Monatsplanung!$O55)</f>
        <v>0</v>
      </c>
      <c r="F887" s="168">
        <f t="shared" si="270"/>
        <v>0</v>
      </c>
      <c r="G887" s="168">
        <f t="shared" si="271"/>
        <v>27.700831024930746</v>
      </c>
      <c r="H887" s="168">
        <f t="shared" si="272"/>
        <v>0</v>
      </c>
      <c r="I887" s="168">
        <f t="shared" si="273"/>
        <v>30</v>
      </c>
      <c r="J887" s="739"/>
      <c r="K887" s="168">
        <f>IF(J887&lt;&gt;"",J887,IF(ISERROR(Personalplanung!AB55/Monatsplanung!$E55*Monatsplanung!$O55),0,Personalplanung!AB55/Monatsplanung!$E55*Monatsplanung!$O55))</f>
        <v>0</v>
      </c>
      <c r="L887" s="740"/>
      <c r="M887" s="739"/>
      <c r="N887" s="168">
        <f>IF(M887&lt;&gt;"",M887,IF(ISERROR(Personalplanung!AC55/Monatsplanung!$E55*Monatsplanung!$O55),0,Personalplanung!AC55/Monatsplanung!$E55*Monatsplanung!$O55))</f>
        <v>0</v>
      </c>
      <c r="O887" s="740"/>
      <c r="P887" s="739"/>
      <c r="Q887" s="168">
        <f>IF(P887&lt;&gt;"",P887,IF(ISERROR(Personalplanung!AD55/Monatsplanung!$E55*Monatsplanung!$O55),0,Personalplanung!AD55/Monatsplanung!$E55*Monatsplanung!$O55))</f>
        <v>0</v>
      </c>
      <c r="R887" s="740"/>
      <c r="S887" s="739"/>
      <c r="T887" s="168">
        <f>IF(S887&lt;&gt;"",S887,IF(ISERROR(Personalplanung!AE55/Monatsplanung!$E55*Monatsplanung!$O55),0,Personalplanung!AE55/Monatsplanung!$E55*Monatsplanung!$O55))</f>
        <v>0</v>
      </c>
      <c r="U887" s="740"/>
      <c r="V887" s="168">
        <f t="shared" si="274"/>
        <v>0</v>
      </c>
      <c r="W887" s="168">
        <f>IF(ISERROR(Personalplanung!P55/Monatsplanung!$E55*Monatsplanung!$O55),0,Personalplanung!P55/Monatsplanung!$E55*Monatsplanung!$O55)</f>
        <v>0</v>
      </c>
      <c r="X887" s="168">
        <f>IF(ISERROR(Personalplanung!Q55/Monatsplanung!$E55*Monatsplanung!$O55),0,Personalplanung!Q55/Monatsplanung!$E55*Monatsplanung!$O55)</f>
        <v>0</v>
      </c>
      <c r="Y887" s="168">
        <f>IF(ISERROR(Personalplanung!R55/T1303*Stundencontrolling!T887),0,Personalplanung!R55/T1303*Stundencontrolling!T887)</f>
        <v>0</v>
      </c>
      <c r="Z887" s="168">
        <f>IF(ISERROR(Personalplanung!S55/Monatsplanung!$E55*Monatsplanung!$O55),0,Personalplanung!S55/Monatsplanung!$E55*Monatsplanung!$O55)</f>
        <v>0</v>
      </c>
      <c r="AA887" s="80">
        <f t="shared" si="275"/>
        <v>0</v>
      </c>
      <c r="AB887" s="102">
        <f t="shared" si="276"/>
        <v>0.1</v>
      </c>
      <c r="AC887" s="103">
        <f t="shared" si="277"/>
        <v>0</v>
      </c>
      <c r="AD887" s="103">
        <f t="shared" si="278"/>
        <v>0</v>
      </c>
      <c r="AE887" s="81">
        <f t="shared" si="279"/>
        <v>0</v>
      </c>
      <c r="AF887" s="539"/>
      <c r="AG887" s="104">
        <f t="shared" si="280"/>
        <v>1</v>
      </c>
      <c r="AH887" s="7">
        <f t="shared" si="281"/>
        <v>0</v>
      </c>
      <c r="AI887" s="6">
        <f t="shared" si="282"/>
        <v>0</v>
      </c>
      <c r="AJ887" s="73">
        <f t="shared" si="283"/>
        <v>0</v>
      </c>
      <c r="AK887" s="539"/>
      <c r="AL887" s="748"/>
      <c r="AM887" s="748"/>
    </row>
    <row r="888" spans="2:39" x14ac:dyDescent="0.2">
      <c r="B888" s="101" t="str">
        <f t="shared" si="268"/>
        <v/>
      </c>
      <c r="C888" s="168">
        <f>IF(ISERROR(Personalplanung!F56/Monatsplanung!$E56*Monatsplanung!$O56),0,Personalplanung!F56/Monatsplanung!$E56*Monatsplanung!$O56)</f>
        <v>0</v>
      </c>
      <c r="D888" s="168">
        <f t="shared" si="269"/>
        <v>0</v>
      </c>
      <c r="E888" s="168">
        <f>IF(ISERROR(Personalplanung!H56/Monatsplanung!$E56*Monatsplanung!$O56),0,Personalplanung!H56/Monatsplanung!$E56*Monatsplanung!$O56)</f>
        <v>0</v>
      </c>
      <c r="F888" s="168">
        <f t="shared" si="270"/>
        <v>0</v>
      </c>
      <c r="G888" s="168">
        <f t="shared" si="271"/>
        <v>27.700831024930746</v>
      </c>
      <c r="H888" s="168">
        <f t="shared" si="272"/>
        <v>0</v>
      </c>
      <c r="I888" s="168">
        <f t="shared" si="273"/>
        <v>30</v>
      </c>
      <c r="J888" s="739"/>
      <c r="K888" s="168">
        <f>IF(J888&lt;&gt;"",J888,IF(ISERROR(Personalplanung!AB56/Monatsplanung!$E56*Monatsplanung!$O56),0,Personalplanung!AB56/Monatsplanung!$E56*Monatsplanung!$O56))</f>
        <v>0</v>
      </c>
      <c r="L888" s="740"/>
      <c r="M888" s="739"/>
      <c r="N888" s="168">
        <f>IF(M888&lt;&gt;"",M888,IF(ISERROR(Personalplanung!AC56/Monatsplanung!$E56*Monatsplanung!$O56),0,Personalplanung!AC56/Monatsplanung!$E56*Monatsplanung!$O56))</f>
        <v>0</v>
      </c>
      <c r="O888" s="740"/>
      <c r="P888" s="739"/>
      <c r="Q888" s="168">
        <f>IF(P888&lt;&gt;"",P888,IF(ISERROR(Personalplanung!AD56/Monatsplanung!$E56*Monatsplanung!$O56),0,Personalplanung!AD56/Monatsplanung!$E56*Monatsplanung!$O56))</f>
        <v>0</v>
      </c>
      <c r="R888" s="740"/>
      <c r="S888" s="739"/>
      <c r="T888" s="168">
        <f>IF(S888&lt;&gt;"",S888,IF(ISERROR(Personalplanung!AE56/Monatsplanung!$E56*Monatsplanung!$O56),0,Personalplanung!AE56/Monatsplanung!$E56*Monatsplanung!$O56))</f>
        <v>0</v>
      </c>
      <c r="U888" s="740"/>
      <c r="V888" s="168">
        <f t="shared" si="274"/>
        <v>0</v>
      </c>
      <c r="W888" s="168">
        <f>IF(ISERROR(Personalplanung!P56/Monatsplanung!$E56*Monatsplanung!$O56),0,Personalplanung!P56/Monatsplanung!$E56*Monatsplanung!$O56)</f>
        <v>0</v>
      </c>
      <c r="X888" s="168">
        <f>IF(ISERROR(Personalplanung!Q56/Monatsplanung!$E56*Monatsplanung!$O56),0,Personalplanung!Q56/Monatsplanung!$E56*Monatsplanung!$O56)</f>
        <v>0</v>
      </c>
      <c r="Y888" s="168">
        <f>IF(ISERROR(Personalplanung!R56/T1304*Stundencontrolling!T888),0,Personalplanung!R56/T1304*Stundencontrolling!T888)</f>
        <v>0</v>
      </c>
      <c r="Z888" s="168">
        <f>IF(ISERROR(Personalplanung!S56/Monatsplanung!$E56*Monatsplanung!$O56),0,Personalplanung!S56/Monatsplanung!$E56*Monatsplanung!$O56)</f>
        <v>0</v>
      </c>
      <c r="AA888" s="80">
        <f t="shared" si="275"/>
        <v>0</v>
      </c>
      <c r="AB888" s="102">
        <f t="shared" si="276"/>
        <v>0.1</v>
      </c>
      <c r="AC888" s="103">
        <f t="shared" si="277"/>
        <v>0</v>
      </c>
      <c r="AD888" s="103">
        <f t="shared" si="278"/>
        <v>0</v>
      </c>
      <c r="AE888" s="81">
        <f t="shared" si="279"/>
        <v>0</v>
      </c>
      <c r="AF888" s="539"/>
      <c r="AG888" s="104">
        <f t="shared" si="280"/>
        <v>1</v>
      </c>
      <c r="AH888" s="7">
        <f t="shared" si="281"/>
        <v>0</v>
      </c>
      <c r="AI888" s="6">
        <f t="shared" si="282"/>
        <v>0</v>
      </c>
      <c r="AJ888" s="73">
        <f t="shared" si="283"/>
        <v>0</v>
      </c>
      <c r="AK888" s="539"/>
      <c r="AL888" s="748"/>
      <c r="AM888" s="748"/>
    </row>
    <row r="889" spans="2:39" x14ac:dyDescent="0.2">
      <c r="B889" s="101" t="str">
        <f t="shared" si="268"/>
        <v/>
      </c>
      <c r="C889" s="168">
        <f>IF(ISERROR(Personalplanung!F57/Monatsplanung!$E57*Monatsplanung!$O57),0,Personalplanung!F57/Monatsplanung!$E57*Monatsplanung!$O57)</f>
        <v>0</v>
      </c>
      <c r="D889" s="168">
        <f t="shared" si="269"/>
        <v>0</v>
      </c>
      <c r="E889" s="168">
        <f>IF(ISERROR(Personalplanung!H57/Monatsplanung!$E57*Monatsplanung!$O57),0,Personalplanung!H57/Monatsplanung!$E57*Monatsplanung!$O57)</f>
        <v>0</v>
      </c>
      <c r="F889" s="168">
        <f t="shared" si="270"/>
        <v>0</v>
      </c>
      <c r="G889" s="168">
        <f t="shared" si="271"/>
        <v>27.700831024930746</v>
      </c>
      <c r="H889" s="168">
        <f t="shared" si="272"/>
        <v>0</v>
      </c>
      <c r="I889" s="168">
        <f t="shared" si="273"/>
        <v>30</v>
      </c>
      <c r="J889" s="739"/>
      <c r="K889" s="168">
        <f>IF(J889&lt;&gt;"",J889,IF(ISERROR(Personalplanung!AB57/Monatsplanung!$E57*Monatsplanung!$O57),0,Personalplanung!AB57/Monatsplanung!$E57*Monatsplanung!$O57))</f>
        <v>0</v>
      </c>
      <c r="L889" s="740"/>
      <c r="M889" s="739"/>
      <c r="N889" s="168">
        <f>IF(M889&lt;&gt;"",M889,IF(ISERROR(Personalplanung!AC57/Monatsplanung!$E57*Monatsplanung!$O57),0,Personalplanung!AC57/Monatsplanung!$E57*Monatsplanung!$O57))</f>
        <v>0</v>
      </c>
      <c r="O889" s="740"/>
      <c r="P889" s="739"/>
      <c r="Q889" s="168">
        <f>IF(P889&lt;&gt;"",P889,IF(ISERROR(Personalplanung!AD57/Monatsplanung!$E57*Monatsplanung!$O57),0,Personalplanung!AD57/Monatsplanung!$E57*Monatsplanung!$O57))</f>
        <v>0</v>
      </c>
      <c r="R889" s="740"/>
      <c r="S889" s="739"/>
      <c r="T889" s="168">
        <f>IF(S889&lt;&gt;"",S889,IF(ISERROR(Personalplanung!AE57/Monatsplanung!$E57*Monatsplanung!$O57),0,Personalplanung!AE57/Monatsplanung!$E57*Monatsplanung!$O57))</f>
        <v>0</v>
      </c>
      <c r="U889" s="740"/>
      <c r="V889" s="168">
        <f t="shared" si="274"/>
        <v>0</v>
      </c>
      <c r="W889" s="168">
        <f>IF(ISERROR(Personalplanung!P57/Monatsplanung!$E57*Monatsplanung!$O57),0,Personalplanung!P57/Monatsplanung!$E57*Monatsplanung!$O57)</f>
        <v>0</v>
      </c>
      <c r="X889" s="168">
        <f>IF(ISERROR(Personalplanung!Q57/Monatsplanung!$E57*Monatsplanung!$O57),0,Personalplanung!Q57/Monatsplanung!$E57*Monatsplanung!$O57)</f>
        <v>0</v>
      </c>
      <c r="Y889" s="168">
        <f>IF(ISERROR(Personalplanung!R57/T1305*Stundencontrolling!T889),0,Personalplanung!R57/T1305*Stundencontrolling!T889)</f>
        <v>0</v>
      </c>
      <c r="Z889" s="168">
        <f>IF(ISERROR(Personalplanung!S57/Monatsplanung!$E57*Monatsplanung!$O57),0,Personalplanung!S57/Monatsplanung!$E57*Monatsplanung!$O57)</f>
        <v>0</v>
      </c>
      <c r="AA889" s="80">
        <f t="shared" si="275"/>
        <v>0</v>
      </c>
      <c r="AB889" s="102">
        <f t="shared" si="276"/>
        <v>0.1</v>
      </c>
      <c r="AC889" s="103">
        <f t="shared" si="277"/>
        <v>0</v>
      </c>
      <c r="AD889" s="103">
        <f t="shared" si="278"/>
        <v>0</v>
      </c>
      <c r="AE889" s="81">
        <f t="shared" si="279"/>
        <v>0</v>
      </c>
      <c r="AF889" s="539"/>
      <c r="AG889" s="104">
        <f t="shared" si="280"/>
        <v>1</v>
      </c>
      <c r="AH889" s="7">
        <f t="shared" si="281"/>
        <v>0</v>
      </c>
      <c r="AI889" s="6">
        <f t="shared" si="282"/>
        <v>0</v>
      </c>
      <c r="AJ889" s="73">
        <f t="shared" si="283"/>
        <v>0</v>
      </c>
      <c r="AK889" s="539"/>
      <c r="AL889" s="748"/>
      <c r="AM889" s="748"/>
    </row>
    <row r="890" spans="2:39" x14ac:dyDescent="0.2">
      <c r="B890" s="101" t="str">
        <f t="shared" si="268"/>
        <v/>
      </c>
      <c r="C890" s="168">
        <f>IF(ISERROR(Personalplanung!F58/Monatsplanung!$E58*Monatsplanung!$O58),0,Personalplanung!F58/Monatsplanung!$E58*Monatsplanung!$O58)</f>
        <v>0</v>
      </c>
      <c r="D890" s="168">
        <f t="shared" si="269"/>
        <v>0</v>
      </c>
      <c r="E890" s="168">
        <f>IF(ISERROR(Personalplanung!H58/Monatsplanung!$E58*Monatsplanung!$O58),0,Personalplanung!H58/Monatsplanung!$E58*Monatsplanung!$O58)</f>
        <v>0</v>
      </c>
      <c r="F890" s="168">
        <f t="shared" si="270"/>
        <v>0</v>
      </c>
      <c r="G890" s="168">
        <f t="shared" si="271"/>
        <v>27.700831024930746</v>
      </c>
      <c r="H890" s="168">
        <f t="shared" si="272"/>
        <v>0</v>
      </c>
      <c r="I890" s="168">
        <f t="shared" si="273"/>
        <v>30</v>
      </c>
      <c r="J890" s="739"/>
      <c r="K890" s="168">
        <f>IF(J890&lt;&gt;"",J890,IF(ISERROR(Personalplanung!AB58/Monatsplanung!$E58*Monatsplanung!$O58),0,Personalplanung!AB58/Monatsplanung!$E58*Monatsplanung!$O58))</f>
        <v>0</v>
      </c>
      <c r="L890" s="740"/>
      <c r="M890" s="739"/>
      <c r="N890" s="168">
        <f>IF(M890&lt;&gt;"",M890,IF(ISERROR(Personalplanung!AC58/Monatsplanung!$E58*Monatsplanung!$O58),0,Personalplanung!AC58/Monatsplanung!$E58*Monatsplanung!$O58))</f>
        <v>0</v>
      </c>
      <c r="O890" s="740"/>
      <c r="P890" s="739"/>
      <c r="Q890" s="168">
        <f>IF(P890&lt;&gt;"",P890,IF(ISERROR(Personalplanung!AD58/Monatsplanung!$E58*Monatsplanung!$O58),0,Personalplanung!AD58/Monatsplanung!$E58*Monatsplanung!$O58))</f>
        <v>0</v>
      </c>
      <c r="R890" s="740"/>
      <c r="S890" s="739"/>
      <c r="T890" s="168">
        <f>IF(S890&lt;&gt;"",S890,IF(ISERROR(Personalplanung!AE58/Monatsplanung!$E58*Monatsplanung!$O58),0,Personalplanung!AE58/Monatsplanung!$E58*Monatsplanung!$O58))</f>
        <v>0</v>
      </c>
      <c r="U890" s="740"/>
      <c r="V890" s="168">
        <f t="shared" si="274"/>
        <v>0</v>
      </c>
      <c r="W890" s="168">
        <f>IF(ISERROR(Personalplanung!P58/Monatsplanung!$E58*Monatsplanung!$O58),0,Personalplanung!P58/Monatsplanung!$E58*Monatsplanung!$O58)</f>
        <v>0</v>
      </c>
      <c r="X890" s="168">
        <f>IF(ISERROR(Personalplanung!Q58/Monatsplanung!$E58*Monatsplanung!$O58),0,Personalplanung!Q58/Monatsplanung!$E58*Monatsplanung!$O58)</f>
        <v>0</v>
      </c>
      <c r="Y890" s="168">
        <f>IF(ISERROR(Personalplanung!R58/T1306*Stundencontrolling!T890),0,Personalplanung!R58/T1306*Stundencontrolling!T890)</f>
        <v>0</v>
      </c>
      <c r="Z890" s="168">
        <f>IF(ISERROR(Personalplanung!S58/Monatsplanung!$E58*Monatsplanung!$O58),0,Personalplanung!S58/Monatsplanung!$E58*Monatsplanung!$O58)</f>
        <v>0</v>
      </c>
      <c r="AA890" s="80">
        <f t="shared" si="275"/>
        <v>0</v>
      </c>
      <c r="AB890" s="102">
        <f t="shared" si="276"/>
        <v>0.1</v>
      </c>
      <c r="AC890" s="103">
        <f t="shared" si="277"/>
        <v>0</v>
      </c>
      <c r="AD890" s="103">
        <f t="shared" si="278"/>
        <v>0</v>
      </c>
      <c r="AE890" s="81">
        <f t="shared" si="279"/>
        <v>0</v>
      </c>
      <c r="AF890" s="539"/>
      <c r="AG890" s="104">
        <f t="shared" si="280"/>
        <v>1</v>
      </c>
      <c r="AH890" s="7">
        <f t="shared" si="281"/>
        <v>0</v>
      </c>
      <c r="AI890" s="6">
        <f t="shared" si="282"/>
        <v>0</v>
      </c>
      <c r="AJ890" s="73">
        <f t="shared" si="283"/>
        <v>0</v>
      </c>
      <c r="AK890" s="539"/>
      <c r="AL890" s="748"/>
      <c r="AM890" s="748"/>
    </row>
    <row r="891" spans="2:39" x14ac:dyDescent="0.2">
      <c r="B891" s="101" t="str">
        <f t="shared" si="268"/>
        <v/>
      </c>
      <c r="C891" s="168">
        <f>IF(ISERROR(Personalplanung!F59/Monatsplanung!$E59*Monatsplanung!$O59),0,Personalplanung!F59/Monatsplanung!$E59*Monatsplanung!$O59)</f>
        <v>0</v>
      </c>
      <c r="D891" s="168">
        <f t="shared" si="269"/>
        <v>0</v>
      </c>
      <c r="E891" s="168">
        <f>IF(ISERROR(Personalplanung!H59/Monatsplanung!$E59*Monatsplanung!$O59),0,Personalplanung!H59/Monatsplanung!$E59*Monatsplanung!$O59)</f>
        <v>0</v>
      </c>
      <c r="F891" s="168">
        <f t="shared" si="270"/>
        <v>0</v>
      </c>
      <c r="G891" s="168">
        <f t="shared" si="271"/>
        <v>27.700831024930746</v>
      </c>
      <c r="H891" s="168">
        <f t="shared" si="272"/>
        <v>0</v>
      </c>
      <c r="I891" s="168">
        <f t="shared" si="273"/>
        <v>30</v>
      </c>
      <c r="J891" s="739"/>
      <c r="K891" s="168">
        <f>IF(J891&lt;&gt;"",J891,IF(ISERROR(Personalplanung!AB59/Monatsplanung!$E59*Monatsplanung!$O59),0,Personalplanung!AB59/Monatsplanung!$E59*Monatsplanung!$O59))</f>
        <v>0</v>
      </c>
      <c r="L891" s="740"/>
      <c r="M891" s="739"/>
      <c r="N891" s="168">
        <f>IF(M891&lt;&gt;"",M891,IF(ISERROR(Personalplanung!AC59/Monatsplanung!$E59*Monatsplanung!$O59),0,Personalplanung!AC59/Monatsplanung!$E59*Monatsplanung!$O59))</f>
        <v>0</v>
      </c>
      <c r="O891" s="740"/>
      <c r="P891" s="739"/>
      <c r="Q891" s="168">
        <f>IF(P891&lt;&gt;"",P891,IF(ISERROR(Personalplanung!AD59/Monatsplanung!$E59*Monatsplanung!$O59),0,Personalplanung!AD59/Monatsplanung!$E59*Monatsplanung!$O59))</f>
        <v>0</v>
      </c>
      <c r="R891" s="740"/>
      <c r="S891" s="739"/>
      <c r="T891" s="168">
        <f>IF(S891&lt;&gt;"",S891,IF(ISERROR(Personalplanung!AE59/Monatsplanung!$E59*Monatsplanung!$O59),0,Personalplanung!AE59/Monatsplanung!$E59*Monatsplanung!$O59))</f>
        <v>0</v>
      </c>
      <c r="U891" s="740"/>
      <c r="V891" s="168">
        <f t="shared" si="274"/>
        <v>0</v>
      </c>
      <c r="W891" s="168">
        <f>IF(ISERROR(Personalplanung!P59/Monatsplanung!$E59*Monatsplanung!$O59),0,Personalplanung!P59/Monatsplanung!$E59*Monatsplanung!$O59)</f>
        <v>0</v>
      </c>
      <c r="X891" s="168">
        <f>IF(ISERROR(Personalplanung!Q59/Monatsplanung!$E59*Monatsplanung!$O59),0,Personalplanung!Q59/Monatsplanung!$E59*Monatsplanung!$O59)</f>
        <v>0</v>
      </c>
      <c r="Y891" s="168">
        <f>IF(ISERROR(Personalplanung!R59/T1307*Stundencontrolling!T891),0,Personalplanung!R59/T1307*Stundencontrolling!T891)</f>
        <v>0</v>
      </c>
      <c r="Z891" s="168">
        <f>IF(ISERROR(Personalplanung!S59/Monatsplanung!$E59*Monatsplanung!$O59),0,Personalplanung!S59/Monatsplanung!$E59*Monatsplanung!$O59)</f>
        <v>0</v>
      </c>
      <c r="AA891" s="80">
        <f t="shared" si="275"/>
        <v>0</v>
      </c>
      <c r="AB891" s="102">
        <f t="shared" si="276"/>
        <v>0.1</v>
      </c>
      <c r="AC891" s="103">
        <f t="shared" si="277"/>
        <v>0</v>
      </c>
      <c r="AD891" s="103">
        <f t="shared" si="278"/>
        <v>0</v>
      </c>
      <c r="AE891" s="81">
        <f t="shared" si="279"/>
        <v>0</v>
      </c>
      <c r="AF891" s="539"/>
      <c r="AG891" s="104">
        <f t="shared" si="280"/>
        <v>1</v>
      </c>
      <c r="AH891" s="7">
        <f t="shared" si="281"/>
        <v>0</v>
      </c>
      <c r="AI891" s="6">
        <f t="shared" si="282"/>
        <v>0</v>
      </c>
      <c r="AJ891" s="73">
        <f t="shared" si="283"/>
        <v>0</v>
      </c>
      <c r="AK891" s="539"/>
      <c r="AL891" s="748"/>
      <c r="AM891" s="748"/>
    </row>
    <row r="892" spans="2:39" x14ac:dyDescent="0.2">
      <c r="B892" s="101" t="str">
        <f t="shared" si="268"/>
        <v/>
      </c>
      <c r="C892" s="168">
        <f>IF(ISERROR(Personalplanung!F60/Monatsplanung!$E60*Monatsplanung!$O60),0,Personalplanung!F60/Monatsplanung!$E60*Monatsplanung!$O60)</f>
        <v>0</v>
      </c>
      <c r="D892" s="168">
        <f t="shared" si="269"/>
        <v>0</v>
      </c>
      <c r="E892" s="168">
        <f>IF(ISERROR(Personalplanung!H60/Monatsplanung!$E60*Monatsplanung!$O60),0,Personalplanung!H60/Monatsplanung!$E60*Monatsplanung!$O60)</f>
        <v>0</v>
      </c>
      <c r="F892" s="168">
        <f t="shared" si="270"/>
        <v>0</v>
      </c>
      <c r="G892" s="168">
        <f t="shared" si="271"/>
        <v>27.700831024930746</v>
      </c>
      <c r="H892" s="168">
        <f t="shared" si="272"/>
        <v>0</v>
      </c>
      <c r="I892" s="168">
        <f t="shared" si="273"/>
        <v>30</v>
      </c>
      <c r="J892" s="739"/>
      <c r="K892" s="168">
        <f>IF(J892&lt;&gt;"",J892,IF(ISERROR(Personalplanung!AB60/Monatsplanung!$E60*Monatsplanung!$O60),0,Personalplanung!AB60/Monatsplanung!$E60*Monatsplanung!$O60))</f>
        <v>0</v>
      </c>
      <c r="L892" s="740"/>
      <c r="M892" s="739"/>
      <c r="N892" s="168">
        <f>IF(M892&lt;&gt;"",M892,IF(ISERROR(Personalplanung!AC60/Monatsplanung!$E60*Monatsplanung!$O60),0,Personalplanung!AC60/Monatsplanung!$E60*Monatsplanung!$O60))</f>
        <v>0</v>
      </c>
      <c r="O892" s="740"/>
      <c r="P892" s="739"/>
      <c r="Q892" s="168">
        <f>IF(P892&lt;&gt;"",P892,IF(ISERROR(Personalplanung!AD60/Monatsplanung!$E60*Monatsplanung!$O60),0,Personalplanung!AD60/Monatsplanung!$E60*Monatsplanung!$O60))</f>
        <v>0</v>
      </c>
      <c r="R892" s="740"/>
      <c r="S892" s="739"/>
      <c r="T892" s="168">
        <f>IF(S892&lt;&gt;"",S892,IF(ISERROR(Personalplanung!AE60/Monatsplanung!$E60*Monatsplanung!$O60),0,Personalplanung!AE60/Monatsplanung!$E60*Monatsplanung!$O60))</f>
        <v>0</v>
      </c>
      <c r="U892" s="740"/>
      <c r="V892" s="168">
        <f t="shared" si="274"/>
        <v>0</v>
      </c>
      <c r="W892" s="168">
        <f>IF(ISERROR(Personalplanung!P60/Monatsplanung!$E60*Monatsplanung!$O60),0,Personalplanung!P60/Monatsplanung!$E60*Monatsplanung!$O60)</f>
        <v>0</v>
      </c>
      <c r="X892" s="168">
        <f>IF(ISERROR(Personalplanung!Q60/Monatsplanung!$E60*Monatsplanung!$O60),0,Personalplanung!Q60/Monatsplanung!$E60*Monatsplanung!$O60)</f>
        <v>0</v>
      </c>
      <c r="Y892" s="168">
        <f>IF(ISERROR(Personalplanung!R60/T1308*Stundencontrolling!T892),0,Personalplanung!R60/T1308*Stundencontrolling!T892)</f>
        <v>0</v>
      </c>
      <c r="Z892" s="168">
        <f>IF(ISERROR(Personalplanung!S60/Monatsplanung!$E60*Monatsplanung!$O60),0,Personalplanung!S60/Monatsplanung!$E60*Monatsplanung!$O60)</f>
        <v>0</v>
      </c>
      <c r="AA892" s="80">
        <f t="shared" si="275"/>
        <v>0</v>
      </c>
      <c r="AB892" s="102">
        <f t="shared" si="276"/>
        <v>0.1</v>
      </c>
      <c r="AC892" s="103">
        <f t="shared" si="277"/>
        <v>0</v>
      </c>
      <c r="AD892" s="103">
        <f t="shared" si="278"/>
        <v>0</v>
      </c>
      <c r="AE892" s="81">
        <f t="shared" si="279"/>
        <v>0</v>
      </c>
      <c r="AF892" s="539"/>
      <c r="AG892" s="104">
        <f t="shared" si="280"/>
        <v>1</v>
      </c>
      <c r="AH892" s="7">
        <f t="shared" si="281"/>
        <v>0</v>
      </c>
      <c r="AI892" s="6">
        <f t="shared" si="282"/>
        <v>0</v>
      </c>
      <c r="AJ892" s="73">
        <f t="shared" si="283"/>
        <v>0</v>
      </c>
      <c r="AK892" s="539"/>
      <c r="AL892" s="748"/>
      <c r="AM892" s="748"/>
    </row>
    <row r="893" spans="2:39" x14ac:dyDescent="0.2">
      <c r="B893" s="101" t="str">
        <f t="shared" si="268"/>
        <v/>
      </c>
      <c r="C893" s="168">
        <f>IF(ISERROR(Personalplanung!F61/Monatsplanung!$E61*Monatsplanung!$O61),0,Personalplanung!F61/Monatsplanung!$E61*Monatsplanung!$O61)</f>
        <v>0</v>
      </c>
      <c r="D893" s="168">
        <f t="shared" si="269"/>
        <v>0</v>
      </c>
      <c r="E893" s="168">
        <f>IF(ISERROR(Personalplanung!H61/Monatsplanung!$E61*Monatsplanung!$O61),0,Personalplanung!H61/Monatsplanung!$E61*Monatsplanung!$O61)</f>
        <v>0</v>
      </c>
      <c r="F893" s="168">
        <f t="shared" si="270"/>
        <v>0</v>
      </c>
      <c r="G893" s="168">
        <f t="shared" si="271"/>
        <v>27.700831024930746</v>
      </c>
      <c r="H893" s="168">
        <f t="shared" si="272"/>
        <v>0</v>
      </c>
      <c r="I893" s="168">
        <f t="shared" si="273"/>
        <v>30</v>
      </c>
      <c r="J893" s="739"/>
      <c r="K893" s="168">
        <f>IF(J893&lt;&gt;"",J893,IF(ISERROR(Personalplanung!AB61/Monatsplanung!$E61*Monatsplanung!$O61),0,Personalplanung!AB61/Monatsplanung!$E61*Monatsplanung!$O61))</f>
        <v>0</v>
      </c>
      <c r="L893" s="740"/>
      <c r="M893" s="739"/>
      <c r="N893" s="168">
        <f>IF(M893&lt;&gt;"",M893,IF(ISERROR(Personalplanung!AC61/Monatsplanung!$E61*Monatsplanung!$O61),0,Personalplanung!AC61/Monatsplanung!$E61*Monatsplanung!$O61))</f>
        <v>0</v>
      </c>
      <c r="O893" s="740"/>
      <c r="P893" s="739"/>
      <c r="Q893" s="168">
        <f>IF(P893&lt;&gt;"",P893,IF(ISERROR(Personalplanung!AD61/Monatsplanung!$E61*Monatsplanung!$O61),0,Personalplanung!AD61/Monatsplanung!$E61*Monatsplanung!$O61))</f>
        <v>0</v>
      </c>
      <c r="R893" s="740"/>
      <c r="S893" s="739"/>
      <c r="T893" s="168">
        <f>IF(S893&lt;&gt;"",S893,IF(ISERROR(Personalplanung!AE61/Monatsplanung!$E61*Monatsplanung!$O61),0,Personalplanung!AE61/Monatsplanung!$E61*Monatsplanung!$O61))</f>
        <v>0</v>
      </c>
      <c r="U893" s="740"/>
      <c r="V893" s="168">
        <f t="shared" si="274"/>
        <v>0</v>
      </c>
      <c r="W893" s="168">
        <f>IF(ISERROR(Personalplanung!P61/Monatsplanung!$E61*Monatsplanung!$O61),0,Personalplanung!P61/Monatsplanung!$E61*Monatsplanung!$O61)</f>
        <v>0</v>
      </c>
      <c r="X893" s="168">
        <f>IF(ISERROR(Personalplanung!Q61/Monatsplanung!$E61*Monatsplanung!$O61),0,Personalplanung!Q61/Monatsplanung!$E61*Monatsplanung!$O61)</f>
        <v>0</v>
      </c>
      <c r="Y893" s="168">
        <f>IF(ISERROR(Personalplanung!R61/T1309*Stundencontrolling!T893),0,Personalplanung!R61/T1309*Stundencontrolling!T893)</f>
        <v>0</v>
      </c>
      <c r="Z893" s="168">
        <f>IF(ISERROR(Personalplanung!S61/Monatsplanung!$E61*Monatsplanung!$O61),0,Personalplanung!S61/Monatsplanung!$E61*Monatsplanung!$O61)</f>
        <v>0</v>
      </c>
      <c r="AA893" s="80">
        <f t="shared" si="275"/>
        <v>0</v>
      </c>
      <c r="AB893" s="102">
        <f t="shared" si="276"/>
        <v>0.1</v>
      </c>
      <c r="AC893" s="103">
        <f t="shared" si="277"/>
        <v>0</v>
      </c>
      <c r="AD893" s="103">
        <f t="shared" si="278"/>
        <v>0</v>
      </c>
      <c r="AE893" s="81">
        <f t="shared" si="279"/>
        <v>0</v>
      </c>
      <c r="AF893" s="539"/>
      <c r="AG893" s="104">
        <f t="shared" si="280"/>
        <v>1</v>
      </c>
      <c r="AH893" s="7">
        <f t="shared" si="281"/>
        <v>0</v>
      </c>
      <c r="AI893" s="6">
        <f t="shared" si="282"/>
        <v>0</v>
      </c>
      <c r="AJ893" s="73">
        <f t="shared" si="283"/>
        <v>0</v>
      </c>
      <c r="AK893" s="539"/>
      <c r="AL893" s="748"/>
      <c r="AM893" s="748"/>
    </row>
    <row r="894" spans="2:39" x14ac:dyDescent="0.2">
      <c r="B894" s="101" t="str">
        <f t="shared" si="268"/>
        <v/>
      </c>
      <c r="C894" s="168">
        <f>IF(ISERROR(Personalplanung!F62/Monatsplanung!$E62*Monatsplanung!$O62),0,Personalplanung!F62/Monatsplanung!$E62*Monatsplanung!$O62)</f>
        <v>0</v>
      </c>
      <c r="D894" s="168">
        <f t="shared" si="269"/>
        <v>0</v>
      </c>
      <c r="E894" s="168">
        <f>IF(ISERROR(Personalplanung!H62/Monatsplanung!$E62*Monatsplanung!$O62),0,Personalplanung!H62/Monatsplanung!$E62*Monatsplanung!$O62)</f>
        <v>0</v>
      </c>
      <c r="F894" s="168">
        <f t="shared" si="270"/>
        <v>0</v>
      </c>
      <c r="G894" s="168">
        <f t="shared" si="271"/>
        <v>27.700831024930746</v>
      </c>
      <c r="H894" s="168">
        <f t="shared" si="272"/>
        <v>0</v>
      </c>
      <c r="I894" s="168">
        <f t="shared" si="273"/>
        <v>30</v>
      </c>
      <c r="J894" s="739"/>
      <c r="K894" s="168">
        <f>IF(J894&lt;&gt;"",J894,IF(ISERROR(Personalplanung!AB62/Monatsplanung!$E62*Monatsplanung!$O62),0,Personalplanung!AB62/Monatsplanung!$E62*Monatsplanung!$O62))</f>
        <v>0</v>
      </c>
      <c r="L894" s="740"/>
      <c r="M894" s="739"/>
      <c r="N894" s="168">
        <f>IF(M894&lt;&gt;"",M894,IF(ISERROR(Personalplanung!AC62/Monatsplanung!$E62*Monatsplanung!$O62),0,Personalplanung!AC62/Monatsplanung!$E62*Monatsplanung!$O62))</f>
        <v>0</v>
      </c>
      <c r="O894" s="740"/>
      <c r="P894" s="739"/>
      <c r="Q894" s="168">
        <f>IF(P894&lt;&gt;"",P894,IF(ISERROR(Personalplanung!AD62/Monatsplanung!$E62*Monatsplanung!$O62),0,Personalplanung!AD62/Monatsplanung!$E62*Monatsplanung!$O62))</f>
        <v>0</v>
      </c>
      <c r="R894" s="740"/>
      <c r="S894" s="739"/>
      <c r="T894" s="168">
        <f>IF(S894&lt;&gt;"",S894,IF(ISERROR(Personalplanung!AE62/Monatsplanung!$E62*Monatsplanung!$O62),0,Personalplanung!AE62/Monatsplanung!$E62*Monatsplanung!$O62))</f>
        <v>0</v>
      </c>
      <c r="U894" s="740"/>
      <c r="V894" s="168">
        <f t="shared" si="274"/>
        <v>0</v>
      </c>
      <c r="W894" s="168">
        <f>IF(ISERROR(Personalplanung!P62/Monatsplanung!$E62*Monatsplanung!$O62),0,Personalplanung!P62/Monatsplanung!$E62*Monatsplanung!$O62)</f>
        <v>0</v>
      </c>
      <c r="X894" s="168">
        <f>IF(ISERROR(Personalplanung!Q62/Monatsplanung!$E62*Monatsplanung!$O62),0,Personalplanung!Q62/Monatsplanung!$E62*Monatsplanung!$O62)</f>
        <v>0</v>
      </c>
      <c r="Y894" s="168">
        <f>IF(ISERROR(Personalplanung!R62/T1310*Stundencontrolling!T894),0,Personalplanung!R62/T1310*Stundencontrolling!T894)</f>
        <v>0</v>
      </c>
      <c r="Z894" s="168">
        <f>IF(ISERROR(Personalplanung!S62/Monatsplanung!$E62*Monatsplanung!$O62),0,Personalplanung!S62/Monatsplanung!$E62*Monatsplanung!$O62)</f>
        <v>0</v>
      </c>
      <c r="AA894" s="80">
        <f t="shared" si="275"/>
        <v>0</v>
      </c>
      <c r="AB894" s="102">
        <f t="shared" si="276"/>
        <v>0.1</v>
      </c>
      <c r="AC894" s="103">
        <f t="shared" si="277"/>
        <v>0</v>
      </c>
      <c r="AD894" s="103">
        <f t="shared" si="278"/>
        <v>0</v>
      </c>
      <c r="AE894" s="81">
        <f t="shared" si="279"/>
        <v>0</v>
      </c>
      <c r="AF894" s="539"/>
      <c r="AG894" s="104">
        <f t="shared" si="280"/>
        <v>1</v>
      </c>
      <c r="AH894" s="7">
        <f t="shared" si="281"/>
        <v>0</v>
      </c>
      <c r="AI894" s="6">
        <f t="shared" si="282"/>
        <v>0</v>
      </c>
      <c r="AJ894" s="73">
        <f t="shared" si="283"/>
        <v>0</v>
      </c>
      <c r="AK894" s="539"/>
      <c r="AL894" s="748"/>
      <c r="AM894" s="748"/>
    </row>
    <row r="895" spans="2:39" x14ac:dyDescent="0.2">
      <c r="B895" s="101" t="str">
        <f t="shared" si="268"/>
        <v/>
      </c>
      <c r="C895" s="168">
        <f>IF(ISERROR(Personalplanung!F63/Monatsplanung!$E63*Monatsplanung!$O63),0,Personalplanung!F63/Monatsplanung!$E63*Monatsplanung!$O63)</f>
        <v>0</v>
      </c>
      <c r="D895" s="168">
        <f t="shared" si="269"/>
        <v>0</v>
      </c>
      <c r="E895" s="168">
        <f>IF(ISERROR(Personalplanung!H63/Monatsplanung!$E63*Monatsplanung!$O63),0,Personalplanung!H63/Monatsplanung!$E63*Monatsplanung!$O63)</f>
        <v>0</v>
      </c>
      <c r="F895" s="168">
        <f t="shared" si="270"/>
        <v>0</v>
      </c>
      <c r="G895" s="168">
        <f t="shared" si="271"/>
        <v>27.700831024930746</v>
      </c>
      <c r="H895" s="168">
        <f t="shared" si="272"/>
        <v>0</v>
      </c>
      <c r="I895" s="168">
        <f t="shared" si="273"/>
        <v>30</v>
      </c>
      <c r="J895" s="739"/>
      <c r="K895" s="168">
        <f>IF(J895&lt;&gt;"",J895,IF(ISERROR(Personalplanung!AB63/Monatsplanung!$E63*Monatsplanung!$O63),0,Personalplanung!AB63/Monatsplanung!$E63*Monatsplanung!$O63))</f>
        <v>0</v>
      </c>
      <c r="L895" s="740"/>
      <c r="M895" s="739"/>
      <c r="N895" s="168">
        <f>IF(M895&lt;&gt;"",M895,IF(ISERROR(Personalplanung!AC63/Monatsplanung!$E63*Monatsplanung!$O63),0,Personalplanung!AC63/Monatsplanung!$E63*Monatsplanung!$O63))</f>
        <v>0</v>
      </c>
      <c r="O895" s="740"/>
      <c r="P895" s="739"/>
      <c r="Q895" s="168">
        <f>IF(P895&lt;&gt;"",P895,IF(ISERROR(Personalplanung!AD63/Monatsplanung!$E63*Monatsplanung!$O63),0,Personalplanung!AD63/Monatsplanung!$E63*Monatsplanung!$O63))</f>
        <v>0</v>
      </c>
      <c r="R895" s="740"/>
      <c r="S895" s="739"/>
      <c r="T895" s="168">
        <f>IF(S895&lt;&gt;"",S895,IF(ISERROR(Personalplanung!AE63/Monatsplanung!$E63*Monatsplanung!$O63),0,Personalplanung!AE63/Monatsplanung!$E63*Monatsplanung!$O63))</f>
        <v>0</v>
      </c>
      <c r="U895" s="740"/>
      <c r="V895" s="168">
        <f t="shared" si="274"/>
        <v>0</v>
      </c>
      <c r="W895" s="168">
        <f>IF(ISERROR(Personalplanung!P63/Monatsplanung!$E63*Monatsplanung!$O63),0,Personalplanung!P63/Monatsplanung!$E63*Monatsplanung!$O63)</f>
        <v>0</v>
      </c>
      <c r="X895" s="168">
        <f>IF(ISERROR(Personalplanung!Q63/Monatsplanung!$E63*Monatsplanung!$O63),0,Personalplanung!Q63/Monatsplanung!$E63*Monatsplanung!$O63)</f>
        <v>0</v>
      </c>
      <c r="Y895" s="168">
        <f>IF(ISERROR(Personalplanung!R63/T1311*Stundencontrolling!T895),0,Personalplanung!R63/T1311*Stundencontrolling!T895)</f>
        <v>0</v>
      </c>
      <c r="Z895" s="168">
        <f>IF(ISERROR(Personalplanung!S63/Monatsplanung!$E63*Monatsplanung!$O63),0,Personalplanung!S63/Monatsplanung!$E63*Monatsplanung!$O63)</f>
        <v>0</v>
      </c>
      <c r="AA895" s="80">
        <f t="shared" si="275"/>
        <v>0</v>
      </c>
      <c r="AB895" s="102">
        <f t="shared" si="276"/>
        <v>0.1</v>
      </c>
      <c r="AC895" s="103">
        <f t="shared" si="277"/>
        <v>0</v>
      </c>
      <c r="AD895" s="103">
        <f t="shared" si="278"/>
        <v>0</v>
      </c>
      <c r="AE895" s="81">
        <f t="shared" si="279"/>
        <v>0</v>
      </c>
      <c r="AF895" s="539"/>
      <c r="AG895" s="104">
        <f t="shared" si="280"/>
        <v>1</v>
      </c>
      <c r="AH895" s="7">
        <f t="shared" si="281"/>
        <v>0</v>
      </c>
      <c r="AI895" s="6">
        <f t="shared" si="282"/>
        <v>0</v>
      </c>
      <c r="AJ895" s="73">
        <f t="shared" si="283"/>
        <v>0</v>
      </c>
      <c r="AK895" s="539"/>
      <c r="AL895" s="748"/>
      <c r="AM895" s="748"/>
    </row>
    <row r="896" spans="2:39" x14ac:dyDescent="0.2">
      <c r="B896" s="101" t="str">
        <f t="shared" si="268"/>
        <v/>
      </c>
      <c r="C896" s="168">
        <f>IF(ISERROR(Personalplanung!F64/Monatsplanung!$E64*Monatsplanung!$O64),0,Personalplanung!F64/Monatsplanung!$E64*Monatsplanung!$O64)</f>
        <v>0</v>
      </c>
      <c r="D896" s="168">
        <f t="shared" si="269"/>
        <v>0</v>
      </c>
      <c r="E896" s="168">
        <f>IF(ISERROR(Personalplanung!H64/Monatsplanung!$E64*Monatsplanung!$O64),0,Personalplanung!H64/Monatsplanung!$E64*Monatsplanung!$O64)</f>
        <v>0</v>
      </c>
      <c r="F896" s="168">
        <f t="shared" si="270"/>
        <v>0</v>
      </c>
      <c r="G896" s="168">
        <f t="shared" si="271"/>
        <v>27.700831024930746</v>
      </c>
      <c r="H896" s="168">
        <f t="shared" si="272"/>
        <v>0</v>
      </c>
      <c r="I896" s="168">
        <f t="shared" si="273"/>
        <v>30</v>
      </c>
      <c r="J896" s="739"/>
      <c r="K896" s="168">
        <f>IF(J896&lt;&gt;"",J896,IF(ISERROR(Personalplanung!AB64/Monatsplanung!$E64*Monatsplanung!$O64),0,Personalplanung!AB64/Monatsplanung!$E64*Monatsplanung!$O64))</f>
        <v>0</v>
      </c>
      <c r="L896" s="740"/>
      <c r="M896" s="739"/>
      <c r="N896" s="168">
        <f>IF(M896&lt;&gt;"",M896,IF(ISERROR(Personalplanung!AC64/Monatsplanung!$E64*Monatsplanung!$O64),0,Personalplanung!AC64/Monatsplanung!$E64*Monatsplanung!$O64))</f>
        <v>0</v>
      </c>
      <c r="O896" s="740"/>
      <c r="P896" s="739"/>
      <c r="Q896" s="168">
        <f>IF(P896&lt;&gt;"",P896,IF(ISERROR(Personalplanung!AD64/Monatsplanung!$E64*Monatsplanung!$O64),0,Personalplanung!AD64/Monatsplanung!$E64*Monatsplanung!$O64))</f>
        <v>0</v>
      </c>
      <c r="R896" s="740"/>
      <c r="S896" s="739"/>
      <c r="T896" s="168">
        <f>IF(S896&lt;&gt;"",S896,IF(ISERROR(Personalplanung!AE64/Monatsplanung!$E64*Monatsplanung!$O64),0,Personalplanung!AE64/Monatsplanung!$E64*Monatsplanung!$O64))</f>
        <v>0</v>
      </c>
      <c r="U896" s="740"/>
      <c r="V896" s="168">
        <f t="shared" si="274"/>
        <v>0</v>
      </c>
      <c r="W896" s="168">
        <f>IF(ISERROR(Personalplanung!P64/Monatsplanung!$E64*Monatsplanung!$O64),0,Personalplanung!P64/Monatsplanung!$E64*Monatsplanung!$O64)</f>
        <v>0</v>
      </c>
      <c r="X896" s="168">
        <f>IF(ISERROR(Personalplanung!Q64/Monatsplanung!$E64*Monatsplanung!$O64),0,Personalplanung!Q64/Monatsplanung!$E64*Monatsplanung!$O64)</f>
        <v>0</v>
      </c>
      <c r="Y896" s="168">
        <f>IF(ISERROR(Personalplanung!R64/T1312*Stundencontrolling!T896),0,Personalplanung!R64/T1312*Stundencontrolling!T896)</f>
        <v>0</v>
      </c>
      <c r="Z896" s="168">
        <f>IF(ISERROR(Personalplanung!S64/Monatsplanung!$E64*Monatsplanung!$O64),0,Personalplanung!S64/Monatsplanung!$E64*Monatsplanung!$O64)</f>
        <v>0</v>
      </c>
      <c r="AA896" s="80">
        <f t="shared" si="275"/>
        <v>0</v>
      </c>
      <c r="AB896" s="102">
        <f t="shared" si="276"/>
        <v>0.1</v>
      </c>
      <c r="AC896" s="103">
        <f t="shared" si="277"/>
        <v>0</v>
      </c>
      <c r="AD896" s="103">
        <f t="shared" si="278"/>
        <v>0</v>
      </c>
      <c r="AE896" s="81">
        <f t="shared" si="279"/>
        <v>0</v>
      </c>
      <c r="AF896" s="539"/>
      <c r="AG896" s="104">
        <f t="shared" si="280"/>
        <v>1</v>
      </c>
      <c r="AH896" s="7">
        <f t="shared" si="281"/>
        <v>0</v>
      </c>
      <c r="AI896" s="6">
        <f t="shared" si="282"/>
        <v>0</v>
      </c>
      <c r="AJ896" s="73">
        <f t="shared" si="283"/>
        <v>0</v>
      </c>
      <c r="AK896" s="539"/>
      <c r="AL896" s="748"/>
      <c r="AM896" s="748"/>
    </row>
    <row r="897" spans="2:39" x14ac:dyDescent="0.2">
      <c r="B897" s="101" t="str">
        <f t="shared" si="268"/>
        <v/>
      </c>
      <c r="C897" s="168">
        <f>IF(ISERROR(Personalplanung!F65/Monatsplanung!$E65*Monatsplanung!$O65),0,Personalplanung!F65/Monatsplanung!$E65*Monatsplanung!$O65)</f>
        <v>0</v>
      </c>
      <c r="D897" s="168">
        <f t="shared" si="269"/>
        <v>0</v>
      </c>
      <c r="E897" s="168">
        <f>IF(ISERROR(Personalplanung!H65/Monatsplanung!$E65*Monatsplanung!$O65),0,Personalplanung!H65/Monatsplanung!$E65*Monatsplanung!$O65)</f>
        <v>0</v>
      </c>
      <c r="F897" s="168">
        <f t="shared" si="270"/>
        <v>0</v>
      </c>
      <c r="G897" s="168">
        <f t="shared" si="271"/>
        <v>27.700831024930746</v>
      </c>
      <c r="H897" s="168">
        <f t="shared" si="272"/>
        <v>0</v>
      </c>
      <c r="I897" s="168">
        <f t="shared" si="273"/>
        <v>30</v>
      </c>
      <c r="J897" s="739"/>
      <c r="K897" s="168">
        <f>IF(J897&lt;&gt;"",J897,IF(ISERROR(Personalplanung!AB65/Monatsplanung!$E65*Monatsplanung!$O65),0,Personalplanung!AB65/Monatsplanung!$E65*Monatsplanung!$O65))</f>
        <v>0</v>
      </c>
      <c r="L897" s="740"/>
      <c r="M897" s="739"/>
      <c r="N897" s="168">
        <f>IF(M897&lt;&gt;"",M897,IF(ISERROR(Personalplanung!AC65/Monatsplanung!$E65*Monatsplanung!$O65),0,Personalplanung!AC65/Monatsplanung!$E65*Monatsplanung!$O65))</f>
        <v>0</v>
      </c>
      <c r="O897" s="740"/>
      <c r="P897" s="739"/>
      <c r="Q897" s="168">
        <f>IF(P897&lt;&gt;"",P897,IF(ISERROR(Personalplanung!AD65/Monatsplanung!$E65*Monatsplanung!$O65),0,Personalplanung!AD65/Monatsplanung!$E65*Monatsplanung!$O65))</f>
        <v>0</v>
      </c>
      <c r="R897" s="740"/>
      <c r="S897" s="739"/>
      <c r="T897" s="168">
        <f>IF(S897&lt;&gt;"",S897,IF(ISERROR(Personalplanung!AE65/Monatsplanung!$E65*Monatsplanung!$O65),0,Personalplanung!AE65/Monatsplanung!$E65*Monatsplanung!$O65))</f>
        <v>0</v>
      </c>
      <c r="U897" s="740"/>
      <c r="V897" s="168">
        <f t="shared" si="274"/>
        <v>0</v>
      </c>
      <c r="W897" s="168">
        <f>IF(ISERROR(Personalplanung!P65/Monatsplanung!$E65*Monatsplanung!$O65),0,Personalplanung!P65/Monatsplanung!$E65*Monatsplanung!$O65)</f>
        <v>0</v>
      </c>
      <c r="X897" s="168">
        <f>IF(ISERROR(Personalplanung!Q65/Monatsplanung!$E65*Monatsplanung!$O65),0,Personalplanung!Q65/Monatsplanung!$E65*Monatsplanung!$O65)</f>
        <v>0</v>
      </c>
      <c r="Y897" s="168">
        <f>IF(ISERROR(Personalplanung!R65/T1313*Stundencontrolling!T897),0,Personalplanung!R65/T1313*Stundencontrolling!T897)</f>
        <v>0</v>
      </c>
      <c r="Z897" s="168">
        <f>IF(ISERROR(Personalplanung!S65/Monatsplanung!$E65*Monatsplanung!$O65),0,Personalplanung!S65/Monatsplanung!$E65*Monatsplanung!$O65)</f>
        <v>0</v>
      </c>
      <c r="AA897" s="80">
        <f t="shared" si="275"/>
        <v>0</v>
      </c>
      <c r="AB897" s="102">
        <f t="shared" si="276"/>
        <v>0.1</v>
      </c>
      <c r="AC897" s="103">
        <f t="shared" si="277"/>
        <v>0</v>
      </c>
      <c r="AD897" s="103">
        <f t="shared" si="278"/>
        <v>0</v>
      </c>
      <c r="AE897" s="81">
        <f t="shared" si="279"/>
        <v>0</v>
      </c>
      <c r="AF897" s="539"/>
      <c r="AG897" s="104">
        <f t="shared" si="280"/>
        <v>1</v>
      </c>
      <c r="AH897" s="7">
        <f t="shared" si="281"/>
        <v>0</v>
      </c>
      <c r="AI897" s="6">
        <f t="shared" si="282"/>
        <v>0</v>
      </c>
      <c r="AJ897" s="73">
        <f t="shared" si="283"/>
        <v>0</v>
      </c>
      <c r="AK897" s="539"/>
      <c r="AL897" s="748"/>
      <c r="AM897" s="748"/>
    </row>
    <row r="898" spans="2:39" x14ac:dyDescent="0.2">
      <c r="B898" s="101" t="str">
        <f t="shared" si="268"/>
        <v/>
      </c>
      <c r="C898" s="168">
        <f>IF(ISERROR(Personalplanung!F66/Monatsplanung!$E66*Monatsplanung!$O66),0,Personalplanung!F66/Monatsplanung!$E66*Monatsplanung!$O66)</f>
        <v>0</v>
      </c>
      <c r="D898" s="168">
        <f t="shared" si="269"/>
        <v>0</v>
      </c>
      <c r="E898" s="168">
        <f>IF(ISERROR(Personalplanung!H66/Monatsplanung!$E66*Monatsplanung!$O66),0,Personalplanung!H66/Monatsplanung!$E66*Monatsplanung!$O66)</f>
        <v>0</v>
      </c>
      <c r="F898" s="168">
        <f t="shared" si="270"/>
        <v>0</v>
      </c>
      <c r="G898" s="168">
        <f t="shared" si="271"/>
        <v>27.700831024930746</v>
      </c>
      <c r="H898" s="168">
        <f t="shared" si="272"/>
        <v>0</v>
      </c>
      <c r="I898" s="168">
        <f t="shared" si="273"/>
        <v>30</v>
      </c>
      <c r="J898" s="739"/>
      <c r="K898" s="168">
        <f>IF(J898&lt;&gt;"",J898,IF(ISERROR(Personalplanung!AB66/Monatsplanung!$E66*Monatsplanung!$O66),0,Personalplanung!AB66/Monatsplanung!$E66*Monatsplanung!$O66))</f>
        <v>0</v>
      </c>
      <c r="L898" s="740"/>
      <c r="M898" s="739"/>
      <c r="N898" s="168">
        <f>IF(M898&lt;&gt;"",M898,IF(ISERROR(Personalplanung!AC66/Monatsplanung!$E66*Monatsplanung!$O66),0,Personalplanung!AC66/Monatsplanung!$E66*Monatsplanung!$O66))</f>
        <v>0</v>
      </c>
      <c r="O898" s="740"/>
      <c r="P898" s="739"/>
      <c r="Q898" s="168">
        <f>IF(P898&lt;&gt;"",P898,IF(ISERROR(Personalplanung!AD66/Monatsplanung!$E66*Monatsplanung!$O66),0,Personalplanung!AD66/Monatsplanung!$E66*Monatsplanung!$O66))</f>
        <v>0</v>
      </c>
      <c r="R898" s="740"/>
      <c r="S898" s="739"/>
      <c r="T898" s="168">
        <f>IF(S898&lt;&gt;"",S898,IF(ISERROR(Personalplanung!AE66/Monatsplanung!$E66*Monatsplanung!$O66),0,Personalplanung!AE66/Monatsplanung!$E66*Monatsplanung!$O66))</f>
        <v>0</v>
      </c>
      <c r="U898" s="740"/>
      <c r="V898" s="168">
        <f t="shared" si="274"/>
        <v>0</v>
      </c>
      <c r="W898" s="168">
        <f>IF(ISERROR(Personalplanung!P66/Monatsplanung!$E66*Monatsplanung!$O66),0,Personalplanung!P66/Monatsplanung!$E66*Monatsplanung!$O66)</f>
        <v>0</v>
      </c>
      <c r="X898" s="168">
        <f>IF(ISERROR(Personalplanung!Q66/Monatsplanung!$E66*Monatsplanung!$O66),0,Personalplanung!Q66/Monatsplanung!$E66*Monatsplanung!$O66)</f>
        <v>0</v>
      </c>
      <c r="Y898" s="168">
        <f>IF(ISERROR(Personalplanung!R66/T1314*Stundencontrolling!T898),0,Personalplanung!R66/T1314*Stundencontrolling!T898)</f>
        <v>0</v>
      </c>
      <c r="Z898" s="168">
        <f>IF(ISERROR(Personalplanung!S66/Monatsplanung!$E66*Monatsplanung!$O66),0,Personalplanung!S66/Monatsplanung!$E66*Monatsplanung!$O66)</f>
        <v>0</v>
      </c>
      <c r="AA898" s="80">
        <f t="shared" si="275"/>
        <v>0</v>
      </c>
      <c r="AB898" s="102">
        <f t="shared" si="276"/>
        <v>0.1</v>
      </c>
      <c r="AC898" s="103">
        <f t="shared" si="277"/>
        <v>0</v>
      </c>
      <c r="AD898" s="103">
        <f t="shared" si="278"/>
        <v>0</v>
      </c>
      <c r="AE898" s="81">
        <f t="shared" si="279"/>
        <v>0</v>
      </c>
      <c r="AF898" s="539"/>
      <c r="AG898" s="104">
        <f t="shared" si="280"/>
        <v>1</v>
      </c>
      <c r="AH898" s="7">
        <f t="shared" si="281"/>
        <v>0</v>
      </c>
      <c r="AI898" s="6">
        <f t="shared" si="282"/>
        <v>0</v>
      </c>
      <c r="AJ898" s="73">
        <f t="shared" si="283"/>
        <v>0</v>
      </c>
      <c r="AK898" s="539"/>
      <c r="AL898" s="748"/>
      <c r="AM898" s="748"/>
    </row>
    <row r="899" spans="2:39" x14ac:dyDescent="0.2">
      <c r="B899" s="101" t="str">
        <f t="shared" si="268"/>
        <v/>
      </c>
      <c r="C899" s="168">
        <f>IF(ISERROR(Personalplanung!F67/Monatsplanung!$E67*Monatsplanung!$O67),0,Personalplanung!F67/Monatsplanung!$E67*Monatsplanung!$O67)</f>
        <v>0</v>
      </c>
      <c r="D899" s="168">
        <f t="shared" si="269"/>
        <v>0</v>
      </c>
      <c r="E899" s="168">
        <f>IF(ISERROR(Personalplanung!H67/Monatsplanung!$E67*Monatsplanung!$O67),0,Personalplanung!H67/Monatsplanung!$E67*Monatsplanung!$O67)</f>
        <v>0</v>
      </c>
      <c r="F899" s="168">
        <f t="shared" si="270"/>
        <v>0</v>
      </c>
      <c r="G899" s="168">
        <f t="shared" si="271"/>
        <v>27.700831024930746</v>
      </c>
      <c r="H899" s="168">
        <f t="shared" si="272"/>
        <v>0</v>
      </c>
      <c r="I899" s="168">
        <f t="shared" si="273"/>
        <v>30</v>
      </c>
      <c r="J899" s="739"/>
      <c r="K899" s="168">
        <f>IF(J899&lt;&gt;"",J899,IF(ISERROR(Personalplanung!AB67/Monatsplanung!$E67*Monatsplanung!$O67),0,Personalplanung!AB67/Monatsplanung!$E67*Monatsplanung!$O67))</f>
        <v>0</v>
      </c>
      <c r="L899" s="740"/>
      <c r="M899" s="739"/>
      <c r="N899" s="168">
        <f>IF(M899&lt;&gt;"",M899,IF(ISERROR(Personalplanung!AC67/Monatsplanung!$E67*Monatsplanung!$O67),0,Personalplanung!AC67/Monatsplanung!$E67*Monatsplanung!$O67))</f>
        <v>0</v>
      </c>
      <c r="O899" s="740"/>
      <c r="P899" s="739"/>
      <c r="Q899" s="168">
        <f>IF(P899&lt;&gt;"",P899,IF(ISERROR(Personalplanung!AD67/Monatsplanung!$E67*Monatsplanung!$O67),0,Personalplanung!AD67/Monatsplanung!$E67*Monatsplanung!$O67))</f>
        <v>0</v>
      </c>
      <c r="R899" s="740"/>
      <c r="S899" s="739"/>
      <c r="T899" s="168">
        <f>IF(S899&lt;&gt;"",S899,IF(ISERROR(Personalplanung!AE67/Monatsplanung!$E67*Monatsplanung!$O67),0,Personalplanung!AE67/Monatsplanung!$E67*Monatsplanung!$O67))</f>
        <v>0</v>
      </c>
      <c r="U899" s="740"/>
      <c r="V899" s="168">
        <f t="shared" si="274"/>
        <v>0</v>
      </c>
      <c r="W899" s="168">
        <f>IF(ISERROR(Personalplanung!P67/Monatsplanung!$E67*Monatsplanung!$O67),0,Personalplanung!P67/Monatsplanung!$E67*Monatsplanung!$O67)</f>
        <v>0</v>
      </c>
      <c r="X899" s="168">
        <f>IF(ISERROR(Personalplanung!Q67/Monatsplanung!$E67*Monatsplanung!$O67),0,Personalplanung!Q67/Monatsplanung!$E67*Monatsplanung!$O67)</f>
        <v>0</v>
      </c>
      <c r="Y899" s="168">
        <f>IF(ISERROR(Personalplanung!R67/T1315*Stundencontrolling!T899),0,Personalplanung!R67/T1315*Stundencontrolling!T899)</f>
        <v>0</v>
      </c>
      <c r="Z899" s="168">
        <f>IF(ISERROR(Personalplanung!S67/Monatsplanung!$E67*Monatsplanung!$O67),0,Personalplanung!S67/Monatsplanung!$E67*Monatsplanung!$O67)</f>
        <v>0</v>
      </c>
      <c r="AA899" s="80">
        <f t="shared" si="275"/>
        <v>0</v>
      </c>
      <c r="AB899" s="102">
        <f t="shared" si="276"/>
        <v>0.1</v>
      </c>
      <c r="AC899" s="103">
        <f t="shared" si="277"/>
        <v>0</v>
      </c>
      <c r="AD899" s="103">
        <f t="shared" si="278"/>
        <v>0</v>
      </c>
      <c r="AE899" s="81">
        <f t="shared" si="279"/>
        <v>0</v>
      </c>
      <c r="AF899" s="539"/>
      <c r="AG899" s="104">
        <f t="shared" si="280"/>
        <v>1</v>
      </c>
      <c r="AH899" s="7">
        <f t="shared" si="281"/>
        <v>0</v>
      </c>
      <c r="AI899" s="6">
        <f t="shared" si="282"/>
        <v>0</v>
      </c>
      <c r="AJ899" s="73">
        <f t="shared" si="283"/>
        <v>0</v>
      </c>
      <c r="AK899" s="539"/>
      <c r="AL899" s="748"/>
      <c r="AM899" s="748"/>
    </row>
    <row r="900" spans="2:39" x14ac:dyDescent="0.2">
      <c r="B900" s="101" t="str">
        <f t="shared" si="268"/>
        <v/>
      </c>
      <c r="C900" s="168">
        <f>IF(ISERROR(Personalplanung!F68/Monatsplanung!$E68*Monatsplanung!$O68),0,Personalplanung!F68/Monatsplanung!$E68*Monatsplanung!$O68)</f>
        <v>0</v>
      </c>
      <c r="D900" s="168">
        <f t="shared" si="269"/>
        <v>0</v>
      </c>
      <c r="E900" s="168">
        <f>IF(ISERROR(Personalplanung!H68/Monatsplanung!$E68*Monatsplanung!$O68),0,Personalplanung!H68/Monatsplanung!$E68*Monatsplanung!$O68)</f>
        <v>0</v>
      </c>
      <c r="F900" s="168">
        <f t="shared" si="270"/>
        <v>0</v>
      </c>
      <c r="G900" s="168">
        <f t="shared" si="271"/>
        <v>27.700831024930746</v>
      </c>
      <c r="H900" s="168">
        <f t="shared" si="272"/>
        <v>0</v>
      </c>
      <c r="I900" s="168">
        <f t="shared" si="273"/>
        <v>30</v>
      </c>
      <c r="J900" s="739"/>
      <c r="K900" s="168">
        <f>IF(J900&lt;&gt;"",J900,IF(ISERROR(Personalplanung!AB68/Monatsplanung!$E68*Monatsplanung!$O68),0,Personalplanung!AB68/Monatsplanung!$E68*Monatsplanung!$O68))</f>
        <v>0</v>
      </c>
      <c r="L900" s="740"/>
      <c r="M900" s="739"/>
      <c r="N900" s="168">
        <f>IF(M900&lt;&gt;"",M900,IF(ISERROR(Personalplanung!AC68/Monatsplanung!$E68*Monatsplanung!$O68),0,Personalplanung!AC68/Monatsplanung!$E68*Monatsplanung!$O68))</f>
        <v>0</v>
      </c>
      <c r="O900" s="740"/>
      <c r="P900" s="739"/>
      <c r="Q900" s="168">
        <f>IF(P900&lt;&gt;"",P900,IF(ISERROR(Personalplanung!AD68/Monatsplanung!$E68*Monatsplanung!$O68),0,Personalplanung!AD68/Monatsplanung!$E68*Monatsplanung!$O68))</f>
        <v>0</v>
      </c>
      <c r="R900" s="740"/>
      <c r="S900" s="739"/>
      <c r="T900" s="168">
        <f>IF(S900&lt;&gt;"",S900,IF(ISERROR(Personalplanung!AE68/Monatsplanung!$E68*Monatsplanung!$O68),0,Personalplanung!AE68/Monatsplanung!$E68*Monatsplanung!$O68))</f>
        <v>0</v>
      </c>
      <c r="U900" s="740"/>
      <c r="V900" s="168">
        <f t="shared" si="274"/>
        <v>0</v>
      </c>
      <c r="W900" s="168">
        <f>IF(ISERROR(Personalplanung!P68/Monatsplanung!$E68*Monatsplanung!$O68),0,Personalplanung!P68/Monatsplanung!$E68*Monatsplanung!$O68)</f>
        <v>0</v>
      </c>
      <c r="X900" s="168">
        <f>IF(ISERROR(Personalplanung!Q68/Monatsplanung!$E68*Monatsplanung!$O68),0,Personalplanung!Q68/Monatsplanung!$E68*Monatsplanung!$O68)</f>
        <v>0</v>
      </c>
      <c r="Y900" s="168">
        <f>IF(ISERROR(Personalplanung!R68/T1316*Stundencontrolling!T900),0,Personalplanung!R68/T1316*Stundencontrolling!T900)</f>
        <v>0</v>
      </c>
      <c r="Z900" s="168">
        <f>IF(ISERROR(Personalplanung!S68/Monatsplanung!$E68*Monatsplanung!$O68),0,Personalplanung!S68/Monatsplanung!$E68*Monatsplanung!$O68)</f>
        <v>0</v>
      </c>
      <c r="AA900" s="80">
        <f t="shared" si="275"/>
        <v>0</v>
      </c>
      <c r="AB900" s="102">
        <f t="shared" si="276"/>
        <v>0.1</v>
      </c>
      <c r="AC900" s="103">
        <f t="shared" si="277"/>
        <v>0</v>
      </c>
      <c r="AD900" s="103">
        <f t="shared" si="278"/>
        <v>0</v>
      </c>
      <c r="AE900" s="81">
        <f t="shared" si="279"/>
        <v>0</v>
      </c>
      <c r="AF900" s="539"/>
      <c r="AG900" s="104">
        <f t="shared" si="280"/>
        <v>1</v>
      </c>
      <c r="AH900" s="7">
        <f t="shared" si="281"/>
        <v>0</v>
      </c>
      <c r="AI900" s="6">
        <f t="shared" si="282"/>
        <v>0</v>
      </c>
      <c r="AJ900" s="73">
        <f t="shared" si="283"/>
        <v>0</v>
      </c>
      <c r="AK900" s="539"/>
      <c r="AL900" s="748"/>
      <c r="AM900" s="748"/>
    </row>
    <row r="901" spans="2:39" x14ac:dyDescent="0.2">
      <c r="B901" s="101" t="str">
        <f t="shared" si="268"/>
        <v/>
      </c>
      <c r="C901" s="168">
        <f>IF(ISERROR(Personalplanung!F69/Monatsplanung!$E69*Monatsplanung!$O69),0,Personalplanung!F69/Monatsplanung!$E69*Monatsplanung!$O69)</f>
        <v>0</v>
      </c>
      <c r="D901" s="168">
        <f t="shared" si="269"/>
        <v>0</v>
      </c>
      <c r="E901" s="168">
        <f>IF(ISERROR(Personalplanung!H69/Monatsplanung!$E69*Monatsplanung!$O69),0,Personalplanung!H69/Monatsplanung!$E69*Monatsplanung!$O69)</f>
        <v>0</v>
      </c>
      <c r="F901" s="168">
        <f t="shared" si="270"/>
        <v>0</v>
      </c>
      <c r="G901" s="168">
        <f t="shared" si="271"/>
        <v>27.700831024930746</v>
      </c>
      <c r="H901" s="168">
        <f t="shared" si="272"/>
        <v>0</v>
      </c>
      <c r="I901" s="168">
        <f t="shared" si="273"/>
        <v>30</v>
      </c>
      <c r="J901" s="739"/>
      <c r="K901" s="168">
        <f>IF(J901&lt;&gt;"",J901,IF(ISERROR(Personalplanung!AB69/Monatsplanung!$E69*Monatsplanung!$O69),0,Personalplanung!AB69/Monatsplanung!$E69*Monatsplanung!$O69))</f>
        <v>0</v>
      </c>
      <c r="L901" s="740"/>
      <c r="M901" s="739"/>
      <c r="N901" s="168">
        <f>IF(M901&lt;&gt;"",M901,IF(ISERROR(Personalplanung!AC69/Monatsplanung!$E69*Monatsplanung!$O69),0,Personalplanung!AC69/Monatsplanung!$E69*Monatsplanung!$O69))</f>
        <v>0</v>
      </c>
      <c r="O901" s="740"/>
      <c r="P901" s="739"/>
      <c r="Q901" s="168">
        <f>IF(P901&lt;&gt;"",P901,IF(ISERROR(Personalplanung!AD69/Monatsplanung!$E69*Monatsplanung!$O69),0,Personalplanung!AD69/Monatsplanung!$E69*Monatsplanung!$O69))</f>
        <v>0</v>
      </c>
      <c r="R901" s="740"/>
      <c r="S901" s="739"/>
      <c r="T901" s="168">
        <f>IF(S901&lt;&gt;"",S901,IF(ISERROR(Personalplanung!AE69/Monatsplanung!$E69*Monatsplanung!$O69),0,Personalplanung!AE69/Monatsplanung!$E69*Monatsplanung!$O69))</f>
        <v>0</v>
      </c>
      <c r="U901" s="740"/>
      <c r="V901" s="168">
        <f t="shared" si="274"/>
        <v>0</v>
      </c>
      <c r="W901" s="168">
        <f>IF(ISERROR(Personalplanung!P69/Monatsplanung!$E69*Monatsplanung!$O69),0,Personalplanung!P69/Monatsplanung!$E69*Monatsplanung!$O69)</f>
        <v>0</v>
      </c>
      <c r="X901" s="168">
        <f>IF(ISERROR(Personalplanung!Q69/Monatsplanung!$E69*Monatsplanung!$O69),0,Personalplanung!Q69/Monatsplanung!$E69*Monatsplanung!$O69)</f>
        <v>0</v>
      </c>
      <c r="Y901" s="168">
        <f>IF(ISERROR(Personalplanung!R69/T1317*Stundencontrolling!T901),0,Personalplanung!R69/T1317*Stundencontrolling!T901)</f>
        <v>0</v>
      </c>
      <c r="Z901" s="168">
        <f>IF(ISERROR(Personalplanung!S69/Monatsplanung!$E69*Monatsplanung!$O69),0,Personalplanung!S69/Monatsplanung!$E69*Monatsplanung!$O69)</f>
        <v>0</v>
      </c>
      <c r="AA901" s="80">
        <f t="shared" si="275"/>
        <v>0</v>
      </c>
      <c r="AB901" s="102">
        <f t="shared" si="276"/>
        <v>0.1</v>
      </c>
      <c r="AC901" s="103">
        <f t="shared" si="277"/>
        <v>0</v>
      </c>
      <c r="AD901" s="103">
        <f t="shared" si="278"/>
        <v>0</v>
      </c>
      <c r="AE901" s="81">
        <f t="shared" si="279"/>
        <v>0</v>
      </c>
      <c r="AF901" s="539"/>
      <c r="AG901" s="104">
        <f t="shared" si="280"/>
        <v>1</v>
      </c>
      <c r="AH901" s="7">
        <f t="shared" si="281"/>
        <v>0</v>
      </c>
      <c r="AI901" s="6">
        <f t="shared" si="282"/>
        <v>0</v>
      </c>
      <c r="AJ901" s="73">
        <f t="shared" si="283"/>
        <v>0</v>
      </c>
      <c r="AK901" s="539"/>
      <c r="AL901" s="748"/>
      <c r="AM901" s="748"/>
    </row>
    <row r="902" spans="2:39" x14ac:dyDescent="0.2">
      <c r="B902" s="101" t="str">
        <f t="shared" si="268"/>
        <v/>
      </c>
      <c r="C902" s="168">
        <f>IF(ISERROR(Personalplanung!F70/Monatsplanung!$E70*Monatsplanung!$O70),0,Personalplanung!F70/Monatsplanung!$E70*Monatsplanung!$O70)</f>
        <v>0</v>
      </c>
      <c r="D902" s="168">
        <f t="shared" si="269"/>
        <v>0</v>
      </c>
      <c r="E902" s="168">
        <f>IF(ISERROR(Personalplanung!H70/Monatsplanung!$E70*Monatsplanung!$O70),0,Personalplanung!H70/Monatsplanung!$E70*Monatsplanung!$O70)</f>
        <v>0</v>
      </c>
      <c r="F902" s="168">
        <f t="shared" si="270"/>
        <v>0</v>
      </c>
      <c r="G902" s="168">
        <f t="shared" si="271"/>
        <v>27.700831024930746</v>
      </c>
      <c r="H902" s="168">
        <f t="shared" si="272"/>
        <v>0</v>
      </c>
      <c r="I902" s="168">
        <f t="shared" si="273"/>
        <v>30</v>
      </c>
      <c r="J902" s="739"/>
      <c r="K902" s="168">
        <f>IF(J902&lt;&gt;"",J902,IF(ISERROR(Personalplanung!AB70/Monatsplanung!$E70*Monatsplanung!$O70),0,Personalplanung!AB70/Monatsplanung!$E70*Monatsplanung!$O70))</f>
        <v>0</v>
      </c>
      <c r="L902" s="740"/>
      <c r="M902" s="739"/>
      <c r="N902" s="168">
        <f>IF(M902&lt;&gt;"",M902,IF(ISERROR(Personalplanung!AC70/Monatsplanung!$E70*Monatsplanung!$O70),0,Personalplanung!AC70/Monatsplanung!$E70*Monatsplanung!$O70))</f>
        <v>0</v>
      </c>
      <c r="O902" s="740"/>
      <c r="P902" s="739"/>
      <c r="Q902" s="168">
        <f>IF(P902&lt;&gt;"",P902,IF(ISERROR(Personalplanung!AD70/Monatsplanung!$E70*Monatsplanung!$O70),0,Personalplanung!AD70/Monatsplanung!$E70*Monatsplanung!$O70))</f>
        <v>0</v>
      </c>
      <c r="R902" s="740"/>
      <c r="S902" s="739"/>
      <c r="T902" s="168">
        <f>IF(S902&lt;&gt;"",S902,IF(ISERROR(Personalplanung!AE70/Monatsplanung!$E70*Monatsplanung!$O70),0,Personalplanung!AE70/Monatsplanung!$E70*Monatsplanung!$O70))</f>
        <v>0</v>
      </c>
      <c r="U902" s="740"/>
      <c r="V902" s="168">
        <f t="shared" si="274"/>
        <v>0</v>
      </c>
      <c r="W902" s="168">
        <f>IF(ISERROR(Personalplanung!P70/Monatsplanung!$E70*Monatsplanung!$O70),0,Personalplanung!P70/Monatsplanung!$E70*Monatsplanung!$O70)</f>
        <v>0</v>
      </c>
      <c r="X902" s="168">
        <f>IF(ISERROR(Personalplanung!Q70/Monatsplanung!$E70*Monatsplanung!$O70),0,Personalplanung!Q70/Monatsplanung!$E70*Monatsplanung!$O70)</f>
        <v>0</v>
      </c>
      <c r="Y902" s="168">
        <f>IF(ISERROR(Personalplanung!R70/T1318*Stundencontrolling!T902),0,Personalplanung!R70/T1318*Stundencontrolling!T902)</f>
        <v>0</v>
      </c>
      <c r="Z902" s="168">
        <f>IF(ISERROR(Personalplanung!S70/Monatsplanung!$E70*Monatsplanung!$O70),0,Personalplanung!S70/Monatsplanung!$E70*Monatsplanung!$O70)</f>
        <v>0</v>
      </c>
      <c r="AA902" s="80">
        <f t="shared" si="275"/>
        <v>0</v>
      </c>
      <c r="AB902" s="102">
        <f t="shared" si="276"/>
        <v>0.1</v>
      </c>
      <c r="AC902" s="103">
        <f t="shared" si="277"/>
        <v>0</v>
      </c>
      <c r="AD902" s="103">
        <f t="shared" si="278"/>
        <v>0</v>
      </c>
      <c r="AE902" s="81">
        <f t="shared" si="279"/>
        <v>0</v>
      </c>
      <c r="AF902" s="539"/>
      <c r="AG902" s="104">
        <f t="shared" si="280"/>
        <v>1</v>
      </c>
      <c r="AH902" s="7">
        <f t="shared" si="281"/>
        <v>0</v>
      </c>
      <c r="AI902" s="6">
        <f t="shared" si="282"/>
        <v>0</v>
      </c>
      <c r="AJ902" s="73">
        <f t="shared" si="283"/>
        <v>0</v>
      </c>
      <c r="AK902" s="539"/>
      <c r="AL902" s="748"/>
      <c r="AM902" s="748"/>
    </row>
    <row r="903" spans="2:39" x14ac:dyDescent="0.2">
      <c r="B903" s="101" t="str">
        <f t="shared" ref="B903:B938" si="284">$B799</f>
        <v/>
      </c>
      <c r="C903" s="168">
        <f>IF(ISERROR(Personalplanung!F71/Monatsplanung!$E71*Monatsplanung!$O71),0,Personalplanung!F71/Monatsplanung!$E71*Monatsplanung!$O71)</f>
        <v>0</v>
      </c>
      <c r="D903" s="168">
        <f t="shared" ref="D903:D938" si="285">$D799</f>
        <v>0</v>
      </c>
      <c r="E903" s="168">
        <f>IF(ISERROR(Personalplanung!H71/Monatsplanung!$E71*Monatsplanung!$O71),0,Personalplanung!H71/Monatsplanung!$E71*Monatsplanung!$O71)</f>
        <v>0</v>
      </c>
      <c r="F903" s="168">
        <f t="shared" ref="F903:F938" si="286">+C903+E903</f>
        <v>0</v>
      </c>
      <c r="G903" s="168">
        <f t="shared" ref="G903:G938" si="287">$G$6</f>
        <v>27.700831024930746</v>
      </c>
      <c r="H903" s="168">
        <f t="shared" ref="H903:H938" si="288">+F903*G903</f>
        <v>0</v>
      </c>
      <c r="I903" s="168">
        <f t="shared" ref="I903:I938" si="289">$I$6</f>
        <v>30</v>
      </c>
      <c r="J903" s="739"/>
      <c r="K903" s="168">
        <f>IF(J903&lt;&gt;"",J903,IF(ISERROR(Personalplanung!AB71/Monatsplanung!$E71*Monatsplanung!$O71),0,Personalplanung!AB71/Monatsplanung!$E71*Monatsplanung!$O71))</f>
        <v>0</v>
      </c>
      <c r="L903" s="740"/>
      <c r="M903" s="739"/>
      <c r="N903" s="168">
        <f>IF(M903&lt;&gt;"",M903,IF(ISERROR(Personalplanung!AC71/Monatsplanung!$E71*Monatsplanung!$O71),0,Personalplanung!AC71/Monatsplanung!$E71*Monatsplanung!$O71))</f>
        <v>0</v>
      </c>
      <c r="O903" s="740"/>
      <c r="P903" s="739"/>
      <c r="Q903" s="168">
        <f>IF(P903&lt;&gt;"",P903,IF(ISERROR(Personalplanung!AD71/Monatsplanung!$E71*Monatsplanung!$O71),0,Personalplanung!AD71/Monatsplanung!$E71*Monatsplanung!$O71))</f>
        <v>0</v>
      </c>
      <c r="R903" s="740"/>
      <c r="S903" s="739"/>
      <c r="T903" s="168">
        <f>IF(S903&lt;&gt;"",S903,IF(ISERROR(Personalplanung!AE71/Monatsplanung!$E71*Monatsplanung!$O71),0,Personalplanung!AE71/Monatsplanung!$E71*Monatsplanung!$O71))</f>
        <v>0</v>
      </c>
      <c r="U903" s="740"/>
      <c r="V903" s="168">
        <f t="shared" ref="V903:V938" si="290">K903+N903+Q903+T903</f>
        <v>0</v>
      </c>
      <c r="W903" s="168">
        <f>IF(ISERROR(Personalplanung!P71/Monatsplanung!$E71*Monatsplanung!$O71),0,Personalplanung!P71/Monatsplanung!$E71*Monatsplanung!$O71)</f>
        <v>0</v>
      </c>
      <c r="X903" s="168">
        <f>IF(ISERROR(Personalplanung!Q71/Monatsplanung!$E71*Monatsplanung!$O71),0,Personalplanung!Q71/Monatsplanung!$E71*Monatsplanung!$O71)</f>
        <v>0</v>
      </c>
      <c r="Y903" s="168">
        <f>IF(ISERROR(Personalplanung!R71/T1319*Stundencontrolling!T903),0,Personalplanung!R71/T1319*Stundencontrolling!T903)</f>
        <v>0</v>
      </c>
      <c r="Z903" s="168">
        <f>IF(ISERROR(Personalplanung!S71/Monatsplanung!$E71*Monatsplanung!$O71),0,Personalplanung!S71/Monatsplanung!$E71*Monatsplanung!$O71)</f>
        <v>0</v>
      </c>
      <c r="AA903" s="80">
        <f t="shared" ref="AA903:AA938" si="291">+F903*G903*(1+I903)+SUM(W903:Z903)</f>
        <v>0</v>
      </c>
      <c r="AB903" s="102">
        <f t="shared" ref="AB903:AB938" si="292">$AB$6</f>
        <v>0.1</v>
      </c>
      <c r="AC903" s="103">
        <f t="shared" ref="AC903:AC938" si="293">AB903*AA903</f>
        <v>0</v>
      </c>
      <c r="AD903" s="103">
        <f t="shared" ref="AD903:AD938" si="294">AA903-AC903</f>
        <v>0</v>
      </c>
      <c r="AE903" s="81">
        <f t="shared" ref="AE903:AE938" si="295">(F903-(V903*$D903))*AB903</f>
        <v>0</v>
      </c>
      <c r="AF903" s="539"/>
      <c r="AG903" s="104">
        <f t="shared" ref="AG903:AG938" si="296">$AG$6</f>
        <v>1</v>
      </c>
      <c r="AH903" s="7">
        <f t="shared" ref="AH903:AH938" si="297">IF(ISERROR(AK903/AF903),0,AK903/AF903)</f>
        <v>0</v>
      </c>
      <c r="AI903" s="6">
        <f t="shared" ref="AI903:AI938" si="298">AE903*AG903</f>
        <v>0</v>
      </c>
      <c r="AJ903" s="73">
        <f t="shared" ref="AJ903:AJ938" si="299">IF(ISERROR(+AC903/AI903),0,+AC903/AI903)</f>
        <v>0</v>
      </c>
      <c r="AK903" s="539"/>
      <c r="AL903" s="748"/>
      <c r="AM903" s="748"/>
    </row>
    <row r="904" spans="2:39" x14ac:dyDescent="0.2">
      <c r="B904" s="101" t="str">
        <f t="shared" si="284"/>
        <v/>
      </c>
      <c r="C904" s="168">
        <f>IF(ISERROR(Personalplanung!F72/Monatsplanung!$E72*Monatsplanung!$O72),0,Personalplanung!F72/Monatsplanung!$E72*Monatsplanung!$O72)</f>
        <v>0</v>
      </c>
      <c r="D904" s="168">
        <f t="shared" si="285"/>
        <v>0</v>
      </c>
      <c r="E904" s="168">
        <f>IF(ISERROR(Personalplanung!H72/Monatsplanung!$E72*Monatsplanung!$O72),0,Personalplanung!H72/Monatsplanung!$E72*Monatsplanung!$O72)</f>
        <v>0</v>
      </c>
      <c r="F904" s="168">
        <f t="shared" si="286"/>
        <v>0</v>
      </c>
      <c r="G904" s="168">
        <f t="shared" si="287"/>
        <v>27.700831024930746</v>
      </c>
      <c r="H904" s="168">
        <f t="shared" si="288"/>
        <v>0</v>
      </c>
      <c r="I904" s="168">
        <f t="shared" si="289"/>
        <v>30</v>
      </c>
      <c r="J904" s="739"/>
      <c r="K904" s="168">
        <f>IF(J904&lt;&gt;"",J904,IF(ISERROR(Personalplanung!AB72/Monatsplanung!$E72*Monatsplanung!$O72),0,Personalplanung!AB72/Monatsplanung!$E72*Monatsplanung!$O72))</f>
        <v>0</v>
      </c>
      <c r="L904" s="740"/>
      <c r="M904" s="739"/>
      <c r="N904" s="168">
        <f>IF(M904&lt;&gt;"",M904,IF(ISERROR(Personalplanung!AC72/Monatsplanung!$E72*Monatsplanung!$O72),0,Personalplanung!AC72/Monatsplanung!$E72*Monatsplanung!$O72))</f>
        <v>0</v>
      </c>
      <c r="O904" s="740"/>
      <c r="P904" s="739"/>
      <c r="Q904" s="168">
        <f>IF(P904&lt;&gt;"",P904,IF(ISERROR(Personalplanung!AD72/Monatsplanung!$E72*Monatsplanung!$O72),0,Personalplanung!AD72/Monatsplanung!$E72*Monatsplanung!$O72))</f>
        <v>0</v>
      </c>
      <c r="R904" s="740"/>
      <c r="S904" s="739"/>
      <c r="T904" s="168">
        <f>IF(S904&lt;&gt;"",S904,IF(ISERROR(Personalplanung!AE72/Monatsplanung!$E72*Monatsplanung!$O72),0,Personalplanung!AE72/Monatsplanung!$E72*Monatsplanung!$O72))</f>
        <v>0</v>
      </c>
      <c r="U904" s="740"/>
      <c r="V904" s="168">
        <f t="shared" si="290"/>
        <v>0</v>
      </c>
      <c r="W904" s="168">
        <f>IF(ISERROR(Personalplanung!P72/Monatsplanung!$E72*Monatsplanung!$O72),0,Personalplanung!P72/Monatsplanung!$E72*Monatsplanung!$O72)</f>
        <v>0</v>
      </c>
      <c r="X904" s="168">
        <f>IF(ISERROR(Personalplanung!Q72/Monatsplanung!$E72*Monatsplanung!$O72),0,Personalplanung!Q72/Monatsplanung!$E72*Monatsplanung!$O72)</f>
        <v>0</v>
      </c>
      <c r="Y904" s="168">
        <f>IF(ISERROR(Personalplanung!R72/T1320*Stundencontrolling!T904),0,Personalplanung!R72/T1320*Stundencontrolling!T904)</f>
        <v>0</v>
      </c>
      <c r="Z904" s="168">
        <f>IF(ISERROR(Personalplanung!S72/Monatsplanung!$E72*Monatsplanung!$O72),0,Personalplanung!S72/Monatsplanung!$E72*Monatsplanung!$O72)</f>
        <v>0</v>
      </c>
      <c r="AA904" s="80">
        <f t="shared" si="291"/>
        <v>0</v>
      </c>
      <c r="AB904" s="102">
        <f t="shared" si="292"/>
        <v>0.1</v>
      </c>
      <c r="AC904" s="103">
        <f t="shared" si="293"/>
        <v>0</v>
      </c>
      <c r="AD904" s="103">
        <f t="shared" si="294"/>
        <v>0</v>
      </c>
      <c r="AE904" s="81">
        <f t="shared" si="295"/>
        <v>0</v>
      </c>
      <c r="AF904" s="539"/>
      <c r="AG904" s="104">
        <f t="shared" si="296"/>
        <v>1</v>
      </c>
      <c r="AH904" s="7">
        <f t="shared" si="297"/>
        <v>0</v>
      </c>
      <c r="AI904" s="6">
        <f t="shared" si="298"/>
        <v>0</v>
      </c>
      <c r="AJ904" s="73">
        <f t="shared" si="299"/>
        <v>0</v>
      </c>
      <c r="AK904" s="539"/>
      <c r="AL904" s="748"/>
      <c r="AM904" s="748"/>
    </row>
    <row r="905" spans="2:39" x14ac:dyDescent="0.2">
      <c r="B905" s="101" t="str">
        <f t="shared" si="284"/>
        <v/>
      </c>
      <c r="C905" s="168">
        <f>IF(ISERROR(Personalplanung!F73/Monatsplanung!$E73*Monatsplanung!$O73),0,Personalplanung!F73/Monatsplanung!$E73*Monatsplanung!$O73)</f>
        <v>0</v>
      </c>
      <c r="D905" s="168">
        <f t="shared" si="285"/>
        <v>0</v>
      </c>
      <c r="E905" s="168">
        <f>IF(ISERROR(Personalplanung!H73/Monatsplanung!$E73*Monatsplanung!$O73),0,Personalplanung!H73/Monatsplanung!$E73*Monatsplanung!$O73)</f>
        <v>0</v>
      </c>
      <c r="F905" s="168">
        <f t="shared" si="286"/>
        <v>0</v>
      </c>
      <c r="G905" s="168">
        <f t="shared" si="287"/>
        <v>27.700831024930746</v>
      </c>
      <c r="H905" s="168">
        <f t="shared" si="288"/>
        <v>0</v>
      </c>
      <c r="I905" s="168">
        <f t="shared" si="289"/>
        <v>30</v>
      </c>
      <c r="J905" s="739"/>
      <c r="K905" s="168">
        <f>IF(J905&lt;&gt;"",J905,IF(ISERROR(Personalplanung!AB73/Monatsplanung!$E73*Monatsplanung!$O73),0,Personalplanung!AB73/Monatsplanung!$E73*Monatsplanung!$O73))</f>
        <v>0</v>
      </c>
      <c r="L905" s="740"/>
      <c r="M905" s="739"/>
      <c r="N905" s="168">
        <f>IF(M905&lt;&gt;"",M905,IF(ISERROR(Personalplanung!AC73/Monatsplanung!$E73*Monatsplanung!$O73),0,Personalplanung!AC73/Monatsplanung!$E73*Monatsplanung!$O73))</f>
        <v>0</v>
      </c>
      <c r="O905" s="740"/>
      <c r="P905" s="739"/>
      <c r="Q905" s="168">
        <f>IF(P905&lt;&gt;"",P905,IF(ISERROR(Personalplanung!AD73/Monatsplanung!$E73*Monatsplanung!$O73),0,Personalplanung!AD73/Monatsplanung!$E73*Monatsplanung!$O73))</f>
        <v>0</v>
      </c>
      <c r="R905" s="740"/>
      <c r="S905" s="739"/>
      <c r="T905" s="168">
        <f>IF(S905&lt;&gt;"",S905,IF(ISERROR(Personalplanung!AE73/Monatsplanung!$E73*Monatsplanung!$O73),0,Personalplanung!AE73/Monatsplanung!$E73*Monatsplanung!$O73))</f>
        <v>0</v>
      </c>
      <c r="U905" s="740"/>
      <c r="V905" s="168">
        <f t="shared" si="290"/>
        <v>0</v>
      </c>
      <c r="W905" s="168">
        <f>IF(ISERROR(Personalplanung!P73/Monatsplanung!$E73*Monatsplanung!$O73),0,Personalplanung!P73/Monatsplanung!$E73*Monatsplanung!$O73)</f>
        <v>0</v>
      </c>
      <c r="X905" s="168">
        <f>IF(ISERROR(Personalplanung!Q73/Monatsplanung!$E73*Monatsplanung!$O73),0,Personalplanung!Q73/Monatsplanung!$E73*Monatsplanung!$O73)</f>
        <v>0</v>
      </c>
      <c r="Y905" s="168">
        <f>IF(ISERROR(Personalplanung!R73/T1321*Stundencontrolling!T905),0,Personalplanung!R73/T1321*Stundencontrolling!T905)</f>
        <v>0</v>
      </c>
      <c r="Z905" s="168">
        <f>IF(ISERROR(Personalplanung!S73/Monatsplanung!$E73*Monatsplanung!$O73),0,Personalplanung!S73/Monatsplanung!$E73*Monatsplanung!$O73)</f>
        <v>0</v>
      </c>
      <c r="AA905" s="80">
        <f t="shared" si="291"/>
        <v>0</v>
      </c>
      <c r="AB905" s="102">
        <f t="shared" si="292"/>
        <v>0.1</v>
      </c>
      <c r="AC905" s="103">
        <f t="shared" si="293"/>
        <v>0</v>
      </c>
      <c r="AD905" s="103">
        <f t="shared" si="294"/>
        <v>0</v>
      </c>
      <c r="AE905" s="81">
        <f t="shared" si="295"/>
        <v>0</v>
      </c>
      <c r="AF905" s="539"/>
      <c r="AG905" s="104">
        <f t="shared" si="296"/>
        <v>1</v>
      </c>
      <c r="AH905" s="7">
        <f t="shared" si="297"/>
        <v>0</v>
      </c>
      <c r="AI905" s="6">
        <f t="shared" si="298"/>
        <v>0</v>
      </c>
      <c r="AJ905" s="73">
        <f t="shared" si="299"/>
        <v>0</v>
      </c>
      <c r="AK905" s="539"/>
      <c r="AL905" s="748"/>
      <c r="AM905" s="748"/>
    </row>
    <row r="906" spans="2:39" x14ac:dyDescent="0.2">
      <c r="B906" s="101" t="str">
        <f t="shared" si="284"/>
        <v/>
      </c>
      <c r="C906" s="168">
        <f>IF(ISERROR(Personalplanung!F74/Monatsplanung!$E74*Monatsplanung!$O74),0,Personalplanung!F74/Monatsplanung!$E74*Monatsplanung!$O74)</f>
        <v>0</v>
      </c>
      <c r="D906" s="168">
        <f t="shared" si="285"/>
        <v>0</v>
      </c>
      <c r="E906" s="168">
        <f>IF(ISERROR(Personalplanung!H74/Monatsplanung!$E74*Monatsplanung!$O74),0,Personalplanung!H74/Monatsplanung!$E74*Monatsplanung!$O74)</f>
        <v>0</v>
      </c>
      <c r="F906" s="168">
        <f t="shared" si="286"/>
        <v>0</v>
      </c>
      <c r="G906" s="168">
        <f t="shared" si="287"/>
        <v>27.700831024930746</v>
      </c>
      <c r="H906" s="168">
        <f t="shared" si="288"/>
        <v>0</v>
      </c>
      <c r="I906" s="168">
        <f t="shared" si="289"/>
        <v>30</v>
      </c>
      <c r="J906" s="739"/>
      <c r="K906" s="168">
        <f>IF(J906&lt;&gt;"",J906,IF(ISERROR(Personalplanung!AB74/Monatsplanung!$E74*Monatsplanung!$O74),0,Personalplanung!AB74/Monatsplanung!$E74*Monatsplanung!$O74))</f>
        <v>0</v>
      </c>
      <c r="L906" s="740"/>
      <c r="M906" s="739"/>
      <c r="N906" s="168">
        <f>IF(M906&lt;&gt;"",M906,IF(ISERROR(Personalplanung!AC74/Monatsplanung!$E74*Monatsplanung!$O74),0,Personalplanung!AC74/Monatsplanung!$E74*Monatsplanung!$O74))</f>
        <v>0</v>
      </c>
      <c r="O906" s="740"/>
      <c r="P906" s="739"/>
      <c r="Q906" s="168">
        <f>IF(P906&lt;&gt;"",P906,IF(ISERROR(Personalplanung!AD74/Monatsplanung!$E74*Monatsplanung!$O74),0,Personalplanung!AD74/Monatsplanung!$E74*Monatsplanung!$O74))</f>
        <v>0</v>
      </c>
      <c r="R906" s="740"/>
      <c r="S906" s="739"/>
      <c r="T906" s="168">
        <f>IF(S906&lt;&gt;"",S906,IF(ISERROR(Personalplanung!AE74/Monatsplanung!$E74*Monatsplanung!$O74),0,Personalplanung!AE74/Monatsplanung!$E74*Monatsplanung!$O74))</f>
        <v>0</v>
      </c>
      <c r="U906" s="740"/>
      <c r="V906" s="168">
        <f t="shared" si="290"/>
        <v>0</v>
      </c>
      <c r="W906" s="168">
        <f>IF(ISERROR(Personalplanung!P74/Monatsplanung!$E74*Monatsplanung!$O74),0,Personalplanung!P74/Monatsplanung!$E74*Monatsplanung!$O74)</f>
        <v>0</v>
      </c>
      <c r="X906" s="168">
        <f>IF(ISERROR(Personalplanung!Q74/Monatsplanung!$E74*Monatsplanung!$O74),0,Personalplanung!Q74/Monatsplanung!$E74*Monatsplanung!$O74)</f>
        <v>0</v>
      </c>
      <c r="Y906" s="168">
        <f>IF(ISERROR(Personalplanung!R74/T1322*Stundencontrolling!T906),0,Personalplanung!R74/T1322*Stundencontrolling!T906)</f>
        <v>0</v>
      </c>
      <c r="Z906" s="168">
        <f>IF(ISERROR(Personalplanung!S74/Monatsplanung!$E74*Monatsplanung!$O74),0,Personalplanung!S74/Monatsplanung!$E74*Monatsplanung!$O74)</f>
        <v>0</v>
      </c>
      <c r="AA906" s="80">
        <f t="shared" si="291"/>
        <v>0</v>
      </c>
      <c r="AB906" s="102">
        <f t="shared" si="292"/>
        <v>0.1</v>
      </c>
      <c r="AC906" s="103">
        <f t="shared" si="293"/>
        <v>0</v>
      </c>
      <c r="AD906" s="103">
        <f t="shared" si="294"/>
        <v>0</v>
      </c>
      <c r="AE906" s="81">
        <f t="shared" si="295"/>
        <v>0</v>
      </c>
      <c r="AF906" s="539"/>
      <c r="AG906" s="104">
        <f t="shared" si="296"/>
        <v>1</v>
      </c>
      <c r="AH906" s="7">
        <f t="shared" si="297"/>
        <v>0</v>
      </c>
      <c r="AI906" s="6">
        <f t="shared" si="298"/>
        <v>0</v>
      </c>
      <c r="AJ906" s="73">
        <f t="shared" si="299"/>
        <v>0</v>
      </c>
      <c r="AK906" s="539"/>
      <c r="AL906" s="748"/>
      <c r="AM906" s="748"/>
    </row>
    <row r="907" spans="2:39" x14ac:dyDescent="0.2">
      <c r="B907" s="101" t="str">
        <f t="shared" si="284"/>
        <v/>
      </c>
      <c r="C907" s="168">
        <f>IF(ISERROR(Personalplanung!F75/Monatsplanung!$E75*Monatsplanung!$O75),0,Personalplanung!F75/Monatsplanung!$E75*Monatsplanung!$O75)</f>
        <v>0</v>
      </c>
      <c r="D907" s="168">
        <f t="shared" si="285"/>
        <v>0</v>
      </c>
      <c r="E907" s="168">
        <f>IF(ISERROR(Personalplanung!H75/Monatsplanung!$E75*Monatsplanung!$O75),0,Personalplanung!H75/Monatsplanung!$E75*Monatsplanung!$O75)</f>
        <v>0</v>
      </c>
      <c r="F907" s="168">
        <f t="shared" si="286"/>
        <v>0</v>
      </c>
      <c r="G907" s="168">
        <f t="shared" si="287"/>
        <v>27.700831024930746</v>
      </c>
      <c r="H907" s="168">
        <f t="shared" si="288"/>
        <v>0</v>
      </c>
      <c r="I907" s="168">
        <f t="shared" si="289"/>
        <v>30</v>
      </c>
      <c r="J907" s="739"/>
      <c r="K907" s="168">
        <f>IF(J907&lt;&gt;"",J907,IF(ISERROR(Personalplanung!AB75/Monatsplanung!$E75*Monatsplanung!$O75),0,Personalplanung!AB75/Monatsplanung!$E75*Monatsplanung!$O75))</f>
        <v>0</v>
      </c>
      <c r="L907" s="740"/>
      <c r="M907" s="739"/>
      <c r="N907" s="168">
        <f>IF(M907&lt;&gt;"",M907,IF(ISERROR(Personalplanung!AC75/Monatsplanung!$E75*Monatsplanung!$O75),0,Personalplanung!AC75/Monatsplanung!$E75*Monatsplanung!$O75))</f>
        <v>0</v>
      </c>
      <c r="O907" s="740"/>
      <c r="P907" s="739"/>
      <c r="Q907" s="168">
        <f>IF(P907&lt;&gt;"",P907,IF(ISERROR(Personalplanung!AD75/Monatsplanung!$E75*Monatsplanung!$O75),0,Personalplanung!AD75/Monatsplanung!$E75*Monatsplanung!$O75))</f>
        <v>0</v>
      </c>
      <c r="R907" s="740"/>
      <c r="S907" s="739"/>
      <c r="T907" s="168">
        <f>IF(S907&lt;&gt;"",S907,IF(ISERROR(Personalplanung!AE75/Monatsplanung!$E75*Monatsplanung!$O75),0,Personalplanung!AE75/Monatsplanung!$E75*Monatsplanung!$O75))</f>
        <v>0</v>
      </c>
      <c r="U907" s="740"/>
      <c r="V907" s="168">
        <f t="shared" si="290"/>
        <v>0</v>
      </c>
      <c r="W907" s="168">
        <f>IF(ISERROR(Personalplanung!P75/Monatsplanung!$E75*Monatsplanung!$O75),0,Personalplanung!P75/Monatsplanung!$E75*Monatsplanung!$O75)</f>
        <v>0</v>
      </c>
      <c r="X907" s="168">
        <f>IF(ISERROR(Personalplanung!Q75/Monatsplanung!$E75*Monatsplanung!$O75),0,Personalplanung!Q75/Monatsplanung!$E75*Monatsplanung!$O75)</f>
        <v>0</v>
      </c>
      <c r="Y907" s="168">
        <f>IF(ISERROR(Personalplanung!R75/T1323*Stundencontrolling!T907),0,Personalplanung!R75/T1323*Stundencontrolling!T907)</f>
        <v>0</v>
      </c>
      <c r="Z907" s="168">
        <f>IF(ISERROR(Personalplanung!S75/Monatsplanung!$E75*Monatsplanung!$O75),0,Personalplanung!S75/Monatsplanung!$E75*Monatsplanung!$O75)</f>
        <v>0</v>
      </c>
      <c r="AA907" s="80">
        <f t="shared" si="291"/>
        <v>0</v>
      </c>
      <c r="AB907" s="102">
        <f t="shared" si="292"/>
        <v>0.1</v>
      </c>
      <c r="AC907" s="103">
        <f t="shared" si="293"/>
        <v>0</v>
      </c>
      <c r="AD907" s="103">
        <f t="shared" si="294"/>
        <v>0</v>
      </c>
      <c r="AE907" s="81">
        <f t="shared" si="295"/>
        <v>0</v>
      </c>
      <c r="AF907" s="539"/>
      <c r="AG907" s="104">
        <f t="shared" si="296"/>
        <v>1</v>
      </c>
      <c r="AH907" s="7">
        <f t="shared" si="297"/>
        <v>0</v>
      </c>
      <c r="AI907" s="6">
        <f t="shared" si="298"/>
        <v>0</v>
      </c>
      <c r="AJ907" s="73">
        <f t="shared" si="299"/>
        <v>0</v>
      </c>
      <c r="AK907" s="539"/>
      <c r="AL907" s="748"/>
      <c r="AM907" s="748"/>
    </row>
    <row r="908" spans="2:39" x14ac:dyDescent="0.2">
      <c r="B908" s="101" t="str">
        <f t="shared" si="284"/>
        <v/>
      </c>
      <c r="C908" s="168">
        <f>IF(ISERROR(Personalplanung!F76/Monatsplanung!$E76*Monatsplanung!$O76),0,Personalplanung!F76/Monatsplanung!$E76*Monatsplanung!$O76)</f>
        <v>0</v>
      </c>
      <c r="D908" s="168">
        <f t="shared" si="285"/>
        <v>0</v>
      </c>
      <c r="E908" s="168">
        <f>IF(ISERROR(Personalplanung!H76/Monatsplanung!$E76*Monatsplanung!$O76),0,Personalplanung!H76/Monatsplanung!$E76*Monatsplanung!$O76)</f>
        <v>0</v>
      </c>
      <c r="F908" s="168">
        <f t="shared" si="286"/>
        <v>0</v>
      </c>
      <c r="G908" s="168">
        <f t="shared" si="287"/>
        <v>27.700831024930746</v>
      </c>
      <c r="H908" s="168">
        <f t="shared" si="288"/>
        <v>0</v>
      </c>
      <c r="I908" s="168">
        <f t="shared" si="289"/>
        <v>30</v>
      </c>
      <c r="J908" s="739"/>
      <c r="K908" s="168">
        <f>IF(J908&lt;&gt;"",J908,IF(ISERROR(Personalplanung!AB76/Monatsplanung!$E76*Monatsplanung!$O76),0,Personalplanung!AB76/Monatsplanung!$E76*Monatsplanung!$O76))</f>
        <v>0</v>
      </c>
      <c r="L908" s="740"/>
      <c r="M908" s="739"/>
      <c r="N908" s="168">
        <f>IF(M908&lt;&gt;"",M908,IF(ISERROR(Personalplanung!AC76/Monatsplanung!$E76*Monatsplanung!$O76),0,Personalplanung!AC76/Monatsplanung!$E76*Monatsplanung!$O76))</f>
        <v>0</v>
      </c>
      <c r="O908" s="740"/>
      <c r="P908" s="739"/>
      <c r="Q908" s="168">
        <f>IF(P908&lt;&gt;"",P908,IF(ISERROR(Personalplanung!AD76/Monatsplanung!$E76*Monatsplanung!$O76),0,Personalplanung!AD76/Monatsplanung!$E76*Monatsplanung!$O76))</f>
        <v>0</v>
      </c>
      <c r="R908" s="740"/>
      <c r="S908" s="739"/>
      <c r="T908" s="168">
        <f>IF(S908&lt;&gt;"",S908,IF(ISERROR(Personalplanung!AE76/Monatsplanung!$E76*Monatsplanung!$O76),0,Personalplanung!AE76/Monatsplanung!$E76*Monatsplanung!$O76))</f>
        <v>0</v>
      </c>
      <c r="U908" s="740"/>
      <c r="V908" s="168">
        <f t="shared" si="290"/>
        <v>0</v>
      </c>
      <c r="W908" s="168">
        <f>IF(ISERROR(Personalplanung!P76/Monatsplanung!$E76*Monatsplanung!$O76),0,Personalplanung!P76/Monatsplanung!$E76*Monatsplanung!$O76)</f>
        <v>0</v>
      </c>
      <c r="X908" s="168">
        <f>IF(ISERROR(Personalplanung!Q76/Monatsplanung!$E76*Monatsplanung!$O76),0,Personalplanung!Q76/Monatsplanung!$E76*Monatsplanung!$O76)</f>
        <v>0</v>
      </c>
      <c r="Y908" s="168">
        <f>IF(ISERROR(Personalplanung!R76/T1324*Stundencontrolling!T908),0,Personalplanung!R76/T1324*Stundencontrolling!T908)</f>
        <v>0</v>
      </c>
      <c r="Z908" s="168">
        <f>IF(ISERROR(Personalplanung!S76/Monatsplanung!$E76*Monatsplanung!$O76),0,Personalplanung!S76/Monatsplanung!$E76*Monatsplanung!$O76)</f>
        <v>0</v>
      </c>
      <c r="AA908" s="80">
        <f t="shared" si="291"/>
        <v>0</v>
      </c>
      <c r="AB908" s="102">
        <f t="shared" si="292"/>
        <v>0.1</v>
      </c>
      <c r="AC908" s="103">
        <f t="shared" si="293"/>
        <v>0</v>
      </c>
      <c r="AD908" s="103">
        <f t="shared" si="294"/>
        <v>0</v>
      </c>
      <c r="AE908" s="81">
        <f t="shared" si="295"/>
        <v>0</v>
      </c>
      <c r="AF908" s="539"/>
      <c r="AG908" s="104">
        <f t="shared" si="296"/>
        <v>1</v>
      </c>
      <c r="AH908" s="7">
        <f t="shared" si="297"/>
        <v>0</v>
      </c>
      <c r="AI908" s="6">
        <f t="shared" si="298"/>
        <v>0</v>
      </c>
      <c r="AJ908" s="73">
        <f t="shared" si="299"/>
        <v>0</v>
      </c>
      <c r="AK908" s="539"/>
      <c r="AL908" s="748"/>
      <c r="AM908" s="748"/>
    </row>
    <row r="909" spans="2:39" x14ac:dyDescent="0.2">
      <c r="B909" s="101" t="str">
        <f t="shared" si="284"/>
        <v/>
      </c>
      <c r="C909" s="168">
        <f>IF(ISERROR(Personalplanung!F77/Monatsplanung!$E77*Monatsplanung!$O77),0,Personalplanung!F77/Monatsplanung!$E77*Monatsplanung!$O77)</f>
        <v>0</v>
      </c>
      <c r="D909" s="168">
        <f t="shared" si="285"/>
        <v>0</v>
      </c>
      <c r="E909" s="168">
        <f>IF(ISERROR(Personalplanung!H77/Monatsplanung!$E77*Monatsplanung!$O77),0,Personalplanung!H77/Monatsplanung!$E77*Monatsplanung!$O77)</f>
        <v>0</v>
      </c>
      <c r="F909" s="168">
        <f t="shared" si="286"/>
        <v>0</v>
      </c>
      <c r="G909" s="168">
        <f t="shared" si="287"/>
        <v>27.700831024930746</v>
      </c>
      <c r="H909" s="168">
        <f t="shared" si="288"/>
        <v>0</v>
      </c>
      <c r="I909" s="168">
        <f t="shared" si="289"/>
        <v>30</v>
      </c>
      <c r="J909" s="739"/>
      <c r="K909" s="168">
        <f>IF(J909&lt;&gt;"",J909,IF(ISERROR(Personalplanung!AB77/Monatsplanung!$E77*Monatsplanung!$O77),0,Personalplanung!AB77/Monatsplanung!$E77*Monatsplanung!$O77))</f>
        <v>0</v>
      </c>
      <c r="L909" s="740"/>
      <c r="M909" s="739"/>
      <c r="N909" s="168">
        <f>IF(M909&lt;&gt;"",M909,IF(ISERROR(Personalplanung!AC77/Monatsplanung!$E77*Monatsplanung!$O77),0,Personalplanung!AC77/Monatsplanung!$E77*Monatsplanung!$O77))</f>
        <v>0</v>
      </c>
      <c r="O909" s="740"/>
      <c r="P909" s="739"/>
      <c r="Q909" s="168">
        <f>IF(P909&lt;&gt;"",P909,IF(ISERROR(Personalplanung!AD77/Monatsplanung!$E77*Monatsplanung!$O77),0,Personalplanung!AD77/Monatsplanung!$E77*Monatsplanung!$O77))</f>
        <v>0</v>
      </c>
      <c r="R909" s="740"/>
      <c r="S909" s="739"/>
      <c r="T909" s="168">
        <f>IF(S909&lt;&gt;"",S909,IF(ISERROR(Personalplanung!AE77/Monatsplanung!$E77*Monatsplanung!$O77),0,Personalplanung!AE77/Monatsplanung!$E77*Monatsplanung!$O77))</f>
        <v>0</v>
      </c>
      <c r="U909" s="740"/>
      <c r="V909" s="168">
        <f t="shared" si="290"/>
        <v>0</v>
      </c>
      <c r="W909" s="168">
        <f>IF(ISERROR(Personalplanung!P77/Monatsplanung!$E77*Monatsplanung!$O77),0,Personalplanung!P77/Monatsplanung!$E77*Monatsplanung!$O77)</f>
        <v>0</v>
      </c>
      <c r="X909" s="168">
        <f>IF(ISERROR(Personalplanung!Q77/Monatsplanung!$E77*Monatsplanung!$O77),0,Personalplanung!Q77/Monatsplanung!$E77*Monatsplanung!$O77)</f>
        <v>0</v>
      </c>
      <c r="Y909" s="168">
        <f>IF(ISERROR(Personalplanung!R77/T1325*Stundencontrolling!T909),0,Personalplanung!R77/T1325*Stundencontrolling!T909)</f>
        <v>0</v>
      </c>
      <c r="Z909" s="168">
        <f>IF(ISERROR(Personalplanung!S77/Monatsplanung!$E77*Monatsplanung!$O77),0,Personalplanung!S77/Monatsplanung!$E77*Monatsplanung!$O77)</f>
        <v>0</v>
      </c>
      <c r="AA909" s="80">
        <f t="shared" si="291"/>
        <v>0</v>
      </c>
      <c r="AB909" s="102">
        <f t="shared" si="292"/>
        <v>0.1</v>
      </c>
      <c r="AC909" s="103">
        <f t="shared" si="293"/>
        <v>0</v>
      </c>
      <c r="AD909" s="103">
        <f t="shared" si="294"/>
        <v>0</v>
      </c>
      <c r="AE909" s="81">
        <f t="shared" si="295"/>
        <v>0</v>
      </c>
      <c r="AF909" s="539"/>
      <c r="AG909" s="104">
        <f t="shared" si="296"/>
        <v>1</v>
      </c>
      <c r="AH909" s="7">
        <f t="shared" si="297"/>
        <v>0</v>
      </c>
      <c r="AI909" s="6">
        <f t="shared" si="298"/>
        <v>0</v>
      </c>
      <c r="AJ909" s="73">
        <f t="shared" si="299"/>
        <v>0</v>
      </c>
      <c r="AK909" s="539"/>
      <c r="AL909" s="748"/>
      <c r="AM909" s="748"/>
    </row>
    <row r="910" spans="2:39" x14ac:dyDescent="0.2">
      <c r="B910" s="101" t="str">
        <f t="shared" si="284"/>
        <v/>
      </c>
      <c r="C910" s="168">
        <f>IF(ISERROR(Personalplanung!F78/Monatsplanung!$E78*Monatsplanung!$O78),0,Personalplanung!F78/Monatsplanung!$E78*Monatsplanung!$O78)</f>
        <v>0</v>
      </c>
      <c r="D910" s="168">
        <f t="shared" si="285"/>
        <v>0</v>
      </c>
      <c r="E910" s="168">
        <f>IF(ISERROR(Personalplanung!H78/Monatsplanung!$E78*Monatsplanung!$O78),0,Personalplanung!H78/Monatsplanung!$E78*Monatsplanung!$O78)</f>
        <v>0</v>
      </c>
      <c r="F910" s="168">
        <f t="shared" si="286"/>
        <v>0</v>
      </c>
      <c r="G910" s="168">
        <f t="shared" si="287"/>
        <v>27.700831024930746</v>
      </c>
      <c r="H910" s="168">
        <f t="shared" si="288"/>
        <v>0</v>
      </c>
      <c r="I910" s="168">
        <f t="shared" si="289"/>
        <v>30</v>
      </c>
      <c r="J910" s="739"/>
      <c r="K910" s="168">
        <f>IF(J910&lt;&gt;"",J910,IF(ISERROR(Personalplanung!AB78/Monatsplanung!$E78*Monatsplanung!$O78),0,Personalplanung!AB78/Monatsplanung!$E78*Monatsplanung!$O78))</f>
        <v>0</v>
      </c>
      <c r="L910" s="740"/>
      <c r="M910" s="739"/>
      <c r="N910" s="168">
        <f>IF(M910&lt;&gt;"",M910,IF(ISERROR(Personalplanung!AC78/Monatsplanung!$E78*Monatsplanung!$O78),0,Personalplanung!AC78/Monatsplanung!$E78*Monatsplanung!$O78))</f>
        <v>0</v>
      </c>
      <c r="O910" s="740"/>
      <c r="P910" s="739"/>
      <c r="Q910" s="168">
        <f>IF(P910&lt;&gt;"",P910,IF(ISERROR(Personalplanung!AD78/Monatsplanung!$E78*Monatsplanung!$O78),0,Personalplanung!AD78/Monatsplanung!$E78*Monatsplanung!$O78))</f>
        <v>0</v>
      </c>
      <c r="R910" s="740"/>
      <c r="S910" s="739"/>
      <c r="T910" s="168">
        <f>IF(S910&lt;&gt;"",S910,IF(ISERROR(Personalplanung!AE78/Monatsplanung!$E78*Monatsplanung!$O78),0,Personalplanung!AE78/Monatsplanung!$E78*Monatsplanung!$O78))</f>
        <v>0</v>
      </c>
      <c r="U910" s="740"/>
      <c r="V910" s="168">
        <f t="shared" si="290"/>
        <v>0</v>
      </c>
      <c r="W910" s="168">
        <f>IF(ISERROR(Personalplanung!P78/Monatsplanung!$E78*Monatsplanung!$O78),0,Personalplanung!P78/Monatsplanung!$E78*Monatsplanung!$O78)</f>
        <v>0</v>
      </c>
      <c r="X910" s="168">
        <f>IF(ISERROR(Personalplanung!Q78/Monatsplanung!$E78*Monatsplanung!$O78),0,Personalplanung!Q78/Monatsplanung!$E78*Monatsplanung!$O78)</f>
        <v>0</v>
      </c>
      <c r="Y910" s="168">
        <f>IF(ISERROR(Personalplanung!R78/T1326*Stundencontrolling!T910),0,Personalplanung!R78/T1326*Stundencontrolling!T910)</f>
        <v>0</v>
      </c>
      <c r="Z910" s="168">
        <f>IF(ISERROR(Personalplanung!S78/Monatsplanung!$E78*Monatsplanung!$O78),0,Personalplanung!S78/Monatsplanung!$E78*Monatsplanung!$O78)</f>
        <v>0</v>
      </c>
      <c r="AA910" s="80">
        <f t="shared" si="291"/>
        <v>0</v>
      </c>
      <c r="AB910" s="102">
        <f t="shared" si="292"/>
        <v>0.1</v>
      </c>
      <c r="AC910" s="103">
        <f t="shared" si="293"/>
        <v>0</v>
      </c>
      <c r="AD910" s="103">
        <f t="shared" si="294"/>
        <v>0</v>
      </c>
      <c r="AE910" s="81">
        <f t="shared" si="295"/>
        <v>0</v>
      </c>
      <c r="AF910" s="539"/>
      <c r="AG910" s="104">
        <f t="shared" si="296"/>
        <v>1</v>
      </c>
      <c r="AH910" s="7">
        <f t="shared" si="297"/>
        <v>0</v>
      </c>
      <c r="AI910" s="6">
        <f t="shared" si="298"/>
        <v>0</v>
      </c>
      <c r="AJ910" s="73">
        <f t="shared" si="299"/>
        <v>0</v>
      </c>
      <c r="AK910" s="539"/>
      <c r="AL910" s="748"/>
      <c r="AM910" s="748"/>
    </row>
    <row r="911" spans="2:39" x14ac:dyDescent="0.2">
      <c r="B911" s="101" t="str">
        <f t="shared" si="284"/>
        <v/>
      </c>
      <c r="C911" s="168">
        <f>IF(ISERROR(Personalplanung!F79/Monatsplanung!$E79*Monatsplanung!$O79),0,Personalplanung!F79/Monatsplanung!$E79*Monatsplanung!$O79)</f>
        <v>0</v>
      </c>
      <c r="D911" s="168">
        <f t="shared" si="285"/>
        <v>0</v>
      </c>
      <c r="E911" s="168">
        <f>IF(ISERROR(Personalplanung!H79/Monatsplanung!$E79*Monatsplanung!$O79),0,Personalplanung!H79/Monatsplanung!$E79*Monatsplanung!$O79)</f>
        <v>0</v>
      </c>
      <c r="F911" s="168">
        <f t="shared" si="286"/>
        <v>0</v>
      </c>
      <c r="G911" s="168">
        <f t="shared" si="287"/>
        <v>27.700831024930746</v>
      </c>
      <c r="H911" s="168">
        <f t="shared" si="288"/>
        <v>0</v>
      </c>
      <c r="I911" s="168">
        <f t="shared" si="289"/>
        <v>30</v>
      </c>
      <c r="J911" s="739"/>
      <c r="K911" s="168">
        <f>IF(J911&lt;&gt;"",J911,IF(ISERROR(Personalplanung!AB79/Monatsplanung!$E79*Monatsplanung!$O79),0,Personalplanung!AB79/Monatsplanung!$E79*Monatsplanung!$O79))</f>
        <v>0</v>
      </c>
      <c r="L911" s="740"/>
      <c r="M911" s="739"/>
      <c r="N911" s="168">
        <f>IF(M911&lt;&gt;"",M911,IF(ISERROR(Personalplanung!AC79/Monatsplanung!$E79*Monatsplanung!$O79),0,Personalplanung!AC79/Monatsplanung!$E79*Monatsplanung!$O79))</f>
        <v>0</v>
      </c>
      <c r="O911" s="740"/>
      <c r="P911" s="739"/>
      <c r="Q911" s="168">
        <f>IF(P911&lt;&gt;"",P911,IF(ISERROR(Personalplanung!AD79/Monatsplanung!$E79*Monatsplanung!$O79),0,Personalplanung!AD79/Monatsplanung!$E79*Monatsplanung!$O79))</f>
        <v>0</v>
      </c>
      <c r="R911" s="740"/>
      <c r="S911" s="739"/>
      <c r="T911" s="168">
        <f>IF(S911&lt;&gt;"",S911,IF(ISERROR(Personalplanung!AE79/Monatsplanung!$E79*Monatsplanung!$O79),0,Personalplanung!AE79/Monatsplanung!$E79*Monatsplanung!$O79))</f>
        <v>0</v>
      </c>
      <c r="U911" s="740"/>
      <c r="V911" s="168">
        <f t="shared" si="290"/>
        <v>0</v>
      </c>
      <c r="W911" s="168">
        <f>IF(ISERROR(Personalplanung!P79/Monatsplanung!$E79*Monatsplanung!$O79),0,Personalplanung!P79/Monatsplanung!$E79*Monatsplanung!$O79)</f>
        <v>0</v>
      </c>
      <c r="X911" s="168">
        <f>IF(ISERROR(Personalplanung!Q79/Monatsplanung!$E79*Monatsplanung!$O79),0,Personalplanung!Q79/Monatsplanung!$E79*Monatsplanung!$O79)</f>
        <v>0</v>
      </c>
      <c r="Y911" s="168">
        <f>IF(ISERROR(Personalplanung!R79/T1327*Stundencontrolling!T911),0,Personalplanung!R79/T1327*Stundencontrolling!T911)</f>
        <v>0</v>
      </c>
      <c r="Z911" s="168">
        <f>IF(ISERROR(Personalplanung!S79/Monatsplanung!$E79*Monatsplanung!$O79),0,Personalplanung!S79/Monatsplanung!$E79*Monatsplanung!$O79)</f>
        <v>0</v>
      </c>
      <c r="AA911" s="80">
        <f t="shared" si="291"/>
        <v>0</v>
      </c>
      <c r="AB911" s="102">
        <f t="shared" si="292"/>
        <v>0.1</v>
      </c>
      <c r="AC911" s="103">
        <f t="shared" si="293"/>
        <v>0</v>
      </c>
      <c r="AD911" s="103">
        <f t="shared" si="294"/>
        <v>0</v>
      </c>
      <c r="AE911" s="81">
        <f t="shared" si="295"/>
        <v>0</v>
      </c>
      <c r="AF911" s="539"/>
      <c r="AG911" s="104">
        <f t="shared" si="296"/>
        <v>1</v>
      </c>
      <c r="AH911" s="7">
        <f t="shared" si="297"/>
        <v>0</v>
      </c>
      <c r="AI911" s="6">
        <f t="shared" si="298"/>
        <v>0</v>
      </c>
      <c r="AJ911" s="73">
        <f t="shared" si="299"/>
        <v>0</v>
      </c>
      <c r="AK911" s="539"/>
      <c r="AL911" s="748"/>
      <c r="AM911" s="748"/>
    </row>
    <row r="912" spans="2:39" x14ac:dyDescent="0.2">
      <c r="B912" s="101" t="str">
        <f t="shared" si="284"/>
        <v/>
      </c>
      <c r="C912" s="168">
        <f>IF(ISERROR(Personalplanung!F80/Monatsplanung!$E80*Monatsplanung!$O80),0,Personalplanung!F80/Monatsplanung!$E80*Monatsplanung!$O80)</f>
        <v>0</v>
      </c>
      <c r="D912" s="168">
        <f t="shared" si="285"/>
        <v>0</v>
      </c>
      <c r="E912" s="168">
        <f>IF(ISERROR(Personalplanung!H80/Monatsplanung!$E80*Monatsplanung!$O80),0,Personalplanung!H80/Monatsplanung!$E80*Monatsplanung!$O80)</f>
        <v>0</v>
      </c>
      <c r="F912" s="168">
        <f t="shared" si="286"/>
        <v>0</v>
      </c>
      <c r="G912" s="168">
        <f t="shared" si="287"/>
        <v>27.700831024930746</v>
      </c>
      <c r="H912" s="168">
        <f t="shared" si="288"/>
        <v>0</v>
      </c>
      <c r="I912" s="168">
        <f t="shared" si="289"/>
        <v>30</v>
      </c>
      <c r="J912" s="739"/>
      <c r="K912" s="168">
        <f>IF(J912&lt;&gt;"",J912,IF(ISERROR(Personalplanung!AB80/Monatsplanung!$E80*Monatsplanung!$O80),0,Personalplanung!AB80/Monatsplanung!$E80*Monatsplanung!$O80))</f>
        <v>0</v>
      </c>
      <c r="L912" s="740"/>
      <c r="M912" s="739"/>
      <c r="N912" s="168">
        <f>IF(M912&lt;&gt;"",M912,IF(ISERROR(Personalplanung!AC80/Monatsplanung!$E80*Monatsplanung!$O80),0,Personalplanung!AC80/Monatsplanung!$E80*Monatsplanung!$O80))</f>
        <v>0</v>
      </c>
      <c r="O912" s="740"/>
      <c r="P912" s="739"/>
      <c r="Q912" s="168">
        <f>IF(P912&lt;&gt;"",P912,IF(ISERROR(Personalplanung!AD80/Monatsplanung!$E80*Monatsplanung!$O80),0,Personalplanung!AD80/Monatsplanung!$E80*Monatsplanung!$O80))</f>
        <v>0</v>
      </c>
      <c r="R912" s="740"/>
      <c r="S912" s="739"/>
      <c r="T912" s="168">
        <f>IF(S912&lt;&gt;"",S912,IF(ISERROR(Personalplanung!AE80/Monatsplanung!$E80*Monatsplanung!$O80),0,Personalplanung!AE80/Monatsplanung!$E80*Monatsplanung!$O80))</f>
        <v>0</v>
      </c>
      <c r="U912" s="740"/>
      <c r="V912" s="168">
        <f t="shared" si="290"/>
        <v>0</v>
      </c>
      <c r="W912" s="168">
        <f>IF(ISERROR(Personalplanung!P80/Monatsplanung!$E80*Monatsplanung!$O80),0,Personalplanung!P80/Monatsplanung!$E80*Monatsplanung!$O80)</f>
        <v>0</v>
      </c>
      <c r="X912" s="168">
        <f>IF(ISERROR(Personalplanung!Q80/Monatsplanung!$E80*Monatsplanung!$O80),0,Personalplanung!Q80/Monatsplanung!$E80*Monatsplanung!$O80)</f>
        <v>0</v>
      </c>
      <c r="Y912" s="168">
        <f>IF(ISERROR(Personalplanung!R80/T1328*Stundencontrolling!T912),0,Personalplanung!R80/T1328*Stundencontrolling!T912)</f>
        <v>0</v>
      </c>
      <c r="Z912" s="168">
        <f>IF(ISERROR(Personalplanung!S80/Monatsplanung!$E80*Monatsplanung!$O80),0,Personalplanung!S80/Monatsplanung!$E80*Monatsplanung!$O80)</f>
        <v>0</v>
      </c>
      <c r="AA912" s="80">
        <f t="shared" si="291"/>
        <v>0</v>
      </c>
      <c r="AB912" s="102">
        <f t="shared" si="292"/>
        <v>0.1</v>
      </c>
      <c r="AC912" s="103">
        <f t="shared" si="293"/>
        <v>0</v>
      </c>
      <c r="AD912" s="103">
        <f t="shared" si="294"/>
        <v>0</v>
      </c>
      <c r="AE912" s="81">
        <f t="shared" si="295"/>
        <v>0</v>
      </c>
      <c r="AF912" s="539"/>
      <c r="AG912" s="104">
        <f t="shared" si="296"/>
        <v>1</v>
      </c>
      <c r="AH912" s="7">
        <f t="shared" si="297"/>
        <v>0</v>
      </c>
      <c r="AI912" s="6">
        <f t="shared" si="298"/>
        <v>0</v>
      </c>
      <c r="AJ912" s="73">
        <f t="shared" si="299"/>
        <v>0</v>
      </c>
      <c r="AK912" s="539"/>
      <c r="AL912" s="748"/>
      <c r="AM912" s="748"/>
    </row>
    <row r="913" spans="2:39" x14ac:dyDescent="0.2">
      <c r="B913" s="101" t="str">
        <f t="shared" si="284"/>
        <v/>
      </c>
      <c r="C913" s="168">
        <f>IF(ISERROR(Personalplanung!F81/Monatsplanung!$E81*Monatsplanung!$O81),0,Personalplanung!F81/Monatsplanung!$E81*Monatsplanung!$O81)</f>
        <v>0</v>
      </c>
      <c r="D913" s="168">
        <f t="shared" si="285"/>
        <v>0</v>
      </c>
      <c r="E913" s="168">
        <f>IF(ISERROR(Personalplanung!H81/Monatsplanung!$E81*Monatsplanung!$O81),0,Personalplanung!H81/Monatsplanung!$E81*Monatsplanung!$O81)</f>
        <v>0</v>
      </c>
      <c r="F913" s="168">
        <f t="shared" si="286"/>
        <v>0</v>
      </c>
      <c r="G913" s="168">
        <f t="shared" si="287"/>
        <v>27.700831024930746</v>
      </c>
      <c r="H913" s="168">
        <f t="shared" si="288"/>
        <v>0</v>
      </c>
      <c r="I913" s="168">
        <f t="shared" si="289"/>
        <v>30</v>
      </c>
      <c r="J913" s="739"/>
      <c r="K913" s="168">
        <f>IF(J913&lt;&gt;"",J913,IF(ISERROR(Personalplanung!AB81/Monatsplanung!$E81*Monatsplanung!$O81),0,Personalplanung!AB81/Monatsplanung!$E81*Monatsplanung!$O81))</f>
        <v>0</v>
      </c>
      <c r="L913" s="740"/>
      <c r="M913" s="739"/>
      <c r="N913" s="168">
        <f>IF(M913&lt;&gt;"",M913,IF(ISERROR(Personalplanung!AC81/Monatsplanung!$E81*Monatsplanung!$O81),0,Personalplanung!AC81/Monatsplanung!$E81*Monatsplanung!$O81))</f>
        <v>0</v>
      </c>
      <c r="O913" s="740"/>
      <c r="P913" s="739"/>
      <c r="Q913" s="168">
        <f>IF(P913&lt;&gt;"",P913,IF(ISERROR(Personalplanung!AD81/Monatsplanung!$E81*Monatsplanung!$O81),0,Personalplanung!AD81/Monatsplanung!$E81*Monatsplanung!$O81))</f>
        <v>0</v>
      </c>
      <c r="R913" s="740"/>
      <c r="S913" s="739"/>
      <c r="T913" s="168">
        <f>IF(S913&lt;&gt;"",S913,IF(ISERROR(Personalplanung!AE81/Monatsplanung!$E81*Monatsplanung!$O81),0,Personalplanung!AE81/Monatsplanung!$E81*Monatsplanung!$O81))</f>
        <v>0</v>
      </c>
      <c r="U913" s="740"/>
      <c r="V913" s="168">
        <f t="shared" si="290"/>
        <v>0</v>
      </c>
      <c r="W913" s="168">
        <f>IF(ISERROR(Personalplanung!P81/Monatsplanung!$E81*Monatsplanung!$O81),0,Personalplanung!P81/Monatsplanung!$E81*Monatsplanung!$O81)</f>
        <v>0</v>
      </c>
      <c r="X913" s="168">
        <f>IF(ISERROR(Personalplanung!Q81/Monatsplanung!$E81*Monatsplanung!$O81),0,Personalplanung!Q81/Monatsplanung!$E81*Monatsplanung!$O81)</f>
        <v>0</v>
      </c>
      <c r="Y913" s="168">
        <f>IF(ISERROR(Personalplanung!R81/T1329*Stundencontrolling!T913),0,Personalplanung!R81/T1329*Stundencontrolling!T913)</f>
        <v>0</v>
      </c>
      <c r="Z913" s="168">
        <f>IF(ISERROR(Personalplanung!S81/Monatsplanung!$E81*Monatsplanung!$O81),0,Personalplanung!S81/Monatsplanung!$E81*Monatsplanung!$O81)</f>
        <v>0</v>
      </c>
      <c r="AA913" s="80">
        <f t="shared" si="291"/>
        <v>0</v>
      </c>
      <c r="AB913" s="102">
        <f t="shared" si="292"/>
        <v>0.1</v>
      </c>
      <c r="AC913" s="103">
        <f t="shared" si="293"/>
        <v>0</v>
      </c>
      <c r="AD913" s="103">
        <f t="shared" si="294"/>
        <v>0</v>
      </c>
      <c r="AE913" s="81">
        <f t="shared" si="295"/>
        <v>0</v>
      </c>
      <c r="AF913" s="539"/>
      <c r="AG913" s="104">
        <f t="shared" si="296"/>
        <v>1</v>
      </c>
      <c r="AH913" s="7">
        <f t="shared" si="297"/>
        <v>0</v>
      </c>
      <c r="AI913" s="6">
        <f t="shared" si="298"/>
        <v>0</v>
      </c>
      <c r="AJ913" s="73">
        <f t="shared" si="299"/>
        <v>0</v>
      </c>
      <c r="AK913" s="539"/>
      <c r="AL913" s="748"/>
      <c r="AM913" s="748"/>
    </row>
    <row r="914" spans="2:39" x14ac:dyDescent="0.2">
      <c r="B914" s="101" t="str">
        <f t="shared" si="284"/>
        <v/>
      </c>
      <c r="C914" s="168">
        <f>IF(ISERROR(Personalplanung!F82/Monatsplanung!$E82*Monatsplanung!$O82),0,Personalplanung!F82/Monatsplanung!$E82*Monatsplanung!$O82)</f>
        <v>0</v>
      </c>
      <c r="D914" s="168">
        <f t="shared" si="285"/>
        <v>0</v>
      </c>
      <c r="E914" s="168">
        <f>IF(ISERROR(Personalplanung!H82/Monatsplanung!$E82*Monatsplanung!$O82),0,Personalplanung!H82/Monatsplanung!$E82*Monatsplanung!$O82)</f>
        <v>0</v>
      </c>
      <c r="F914" s="168">
        <f t="shared" si="286"/>
        <v>0</v>
      </c>
      <c r="G914" s="168">
        <f t="shared" si="287"/>
        <v>27.700831024930746</v>
      </c>
      <c r="H914" s="168">
        <f t="shared" si="288"/>
        <v>0</v>
      </c>
      <c r="I914" s="168">
        <f t="shared" si="289"/>
        <v>30</v>
      </c>
      <c r="J914" s="739"/>
      <c r="K914" s="168">
        <f>IF(J914&lt;&gt;"",J914,IF(ISERROR(Personalplanung!AB82/Monatsplanung!$E82*Monatsplanung!$O82),0,Personalplanung!AB82/Monatsplanung!$E82*Monatsplanung!$O82))</f>
        <v>0</v>
      </c>
      <c r="L914" s="740"/>
      <c r="M914" s="739"/>
      <c r="N914" s="168">
        <f>IF(M914&lt;&gt;"",M914,IF(ISERROR(Personalplanung!AC82/Monatsplanung!$E82*Monatsplanung!$O82),0,Personalplanung!AC82/Monatsplanung!$E82*Monatsplanung!$O82))</f>
        <v>0</v>
      </c>
      <c r="O914" s="740"/>
      <c r="P914" s="739"/>
      <c r="Q914" s="168">
        <f>IF(P914&lt;&gt;"",P914,IF(ISERROR(Personalplanung!AD82/Monatsplanung!$E82*Monatsplanung!$O82),0,Personalplanung!AD82/Monatsplanung!$E82*Monatsplanung!$O82))</f>
        <v>0</v>
      </c>
      <c r="R914" s="740"/>
      <c r="S914" s="739"/>
      <c r="T914" s="168">
        <f>IF(S914&lt;&gt;"",S914,IF(ISERROR(Personalplanung!AE82/Monatsplanung!$E82*Monatsplanung!$O82),0,Personalplanung!AE82/Monatsplanung!$E82*Monatsplanung!$O82))</f>
        <v>0</v>
      </c>
      <c r="U914" s="740"/>
      <c r="V914" s="168">
        <f t="shared" si="290"/>
        <v>0</v>
      </c>
      <c r="W914" s="168">
        <f>IF(ISERROR(Personalplanung!P82/Monatsplanung!$E82*Monatsplanung!$O82),0,Personalplanung!P82/Monatsplanung!$E82*Monatsplanung!$O82)</f>
        <v>0</v>
      </c>
      <c r="X914" s="168">
        <f>IF(ISERROR(Personalplanung!Q82/Monatsplanung!$E82*Monatsplanung!$O82),0,Personalplanung!Q82/Monatsplanung!$E82*Monatsplanung!$O82)</f>
        <v>0</v>
      </c>
      <c r="Y914" s="168">
        <f>IF(ISERROR(Personalplanung!R82/T1330*Stundencontrolling!T914),0,Personalplanung!R82/T1330*Stundencontrolling!T914)</f>
        <v>0</v>
      </c>
      <c r="Z914" s="168">
        <f>IF(ISERROR(Personalplanung!S82/Monatsplanung!$E82*Monatsplanung!$O82),0,Personalplanung!S82/Monatsplanung!$E82*Monatsplanung!$O82)</f>
        <v>0</v>
      </c>
      <c r="AA914" s="80">
        <f t="shared" si="291"/>
        <v>0</v>
      </c>
      <c r="AB914" s="102">
        <f t="shared" si="292"/>
        <v>0.1</v>
      </c>
      <c r="AC914" s="103">
        <f t="shared" si="293"/>
        <v>0</v>
      </c>
      <c r="AD914" s="103">
        <f t="shared" si="294"/>
        <v>0</v>
      </c>
      <c r="AE914" s="81">
        <f t="shared" si="295"/>
        <v>0</v>
      </c>
      <c r="AF914" s="539"/>
      <c r="AG914" s="104">
        <f t="shared" si="296"/>
        <v>1</v>
      </c>
      <c r="AH914" s="7">
        <f t="shared" si="297"/>
        <v>0</v>
      </c>
      <c r="AI914" s="6">
        <f t="shared" si="298"/>
        <v>0</v>
      </c>
      <c r="AJ914" s="73">
        <f t="shared" si="299"/>
        <v>0</v>
      </c>
      <c r="AK914" s="539"/>
      <c r="AL914" s="748"/>
      <c r="AM914" s="748"/>
    </row>
    <row r="915" spans="2:39" x14ac:dyDescent="0.2">
      <c r="B915" s="101" t="str">
        <f t="shared" si="284"/>
        <v/>
      </c>
      <c r="C915" s="168">
        <f>IF(ISERROR(Personalplanung!F83/Monatsplanung!$E83*Monatsplanung!$O83),0,Personalplanung!F83/Monatsplanung!$E83*Monatsplanung!$O83)</f>
        <v>0</v>
      </c>
      <c r="D915" s="168">
        <f t="shared" si="285"/>
        <v>0</v>
      </c>
      <c r="E915" s="168">
        <f>IF(ISERROR(Personalplanung!H83/Monatsplanung!$E83*Monatsplanung!$O83),0,Personalplanung!H83/Monatsplanung!$E83*Monatsplanung!$O83)</f>
        <v>0</v>
      </c>
      <c r="F915" s="168">
        <f t="shared" si="286"/>
        <v>0</v>
      </c>
      <c r="G915" s="168">
        <f t="shared" si="287"/>
        <v>27.700831024930746</v>
      </c>
      <c r="H915" s="168">
        <f t="shared" si="288"/>
        <v>0</v>
      </c>
      <c r="I915" s="168">
        <f t="shared" si="289"/>
        <v>30</v>
      </c>
      <c r="J915" s="739"/>
      <c r="K915" s="168">
        <f>IF(J915&lt;&gt;"",J915,IF(ISERROR(Personalplanung!AB83/Monatsplanung!$E83*Monatsplanung!$O83),0,Personalplanung!AB83/Monatsplanung!$E83*Monatsplanung!$O83))</f>
        <v>0</v>
      </c>
      <c r="L915" s="740"/>
      <c r="M915" s="739"/>
      <c r="N915" s="168">
        <f>IF(M915&lt;&gt;"",M915,IF(ISERROR(Personalplanung!AC83/Monatsplanung!$E83*Monatsplanung!$O83),0,Personalplanung!AC83/Monatsplanung!$E83*Monatsplanung!$O83))</f>
        <v>0</v>
      </c>
      <c r="O915" s="740"/>
      <c r="P915" s="739"/>
      <c r="Q915" s="168">
        <f>IF(P915&lt;&gt;"",P915,IF(ISERROR(Personalplanung!AD83/Monatsplanung!$E83*Monatsplanung!$O83),0,Personalplanung!AD83/Monatsplanung!$E83*Monatsplanung!$O83))</f>
        <v>0</v>
      </c>
      <c r="R915" s="740"/>
      <c r="S915" s="739"/>
      <c r="T915" s="168">
        <f>IF(S915&lt;&gt;"",S915,IF(ISERROR(Personalplanung!AE83/Monatsplanung!$E83*Monatsplanung!$O83),0,Personalplanung!AE83/Monatsplanung!$E83*Monatsplanung!$O83))</f>
        <v>0</v>
      </c>
      <c r="U915" s="740"/>
      <c r="V915" s="168">
        <f t="shared" si="290"/>
        <v>0</v>
      </c>
      <c r="W915" s="168">
        <f>IF(ISERROR(Personalplanung!P83/Monatsplanung!$E83*Monatsplanung!$O83),0,Personalplanung!P83/Monatsplanung!$E83*Monatsplanung!$O83)</f>
        <v>0</v>
      </c>
      <c r="X915" s="168">
        <f>IF(ISERROR(Personalplanung!Q83/Monatsplanung!$E83*Monatsplanung!$O83),0,Personalplanung!Q83/Monatsplanung!$E83*Monatsplanung!$O83)</f>
        <v>0</v>
      </c>
      <c r="Y915" s="168">
        <f>IF(ISERROR(Personalplanung!R83/T1331*Stundencontrolling!T915),0,Personalplanung!R83/T1331*Stundencontrolling!T915)</f>
        <v>0</v>
      </c>
      <c r="Z915" s="168">
        <f>IF(ISERROR(Personalplanung!S83/Monatsplanung!$E83*Monatsplanung!$O83),0,Personalplanung!S83/Monatsplanung!$E83*Monatsplanung!$O83)</f>
        <v>0</v>
      </c>
      <c r="AA915" s="80">
        <f t="shared" si="291"/>
        <v>0</v>
      </c>
      <c r="AB915" s="102">
        <f t="shared" si="292"/>
        <v>0.1</v>
      </c>
      <c r="AC915" s="103">
        <f t="shared" si="293"/>
        <v>0</v>
      </c>
      <c r="AD915" s="103">
        <f t="shared" si="294"/>
        <v>0</v>
      </c>
      <c r="AE915" s="81">
        <f t="shared" si="295"/>
        <v>0</v>
      </c>
      <c r="AF915" s="539"/>
      <c r="AG915" s="104">
        <f t="shared" si="296"/>
        <v>1</v>
      </c>
      <c r="AH915" s="7">
        <f t="shared" si="297"/>
        <v>0</v>
      </c>
      <c r="AI915" s="6">
        <f t="shared" si="298"/>
        <v>0</v>
      </c>
      <c r="AJ915" s="73">
        <f t="shared" si="299"/>
        <v>0</v>
      </c>
      <c r="AK915" s="539"/>
      <c r="AL915" s="748"/>
      <c r="AM915" s="748"/>
    </row>
    <row r="916" spans="2:39" x14ac:dyDescent="0.2">
      <c r="B916" s="101" t="str">
        <f t="shared" si="284"/>
        <v/>
      </c>
      <c r="C916" s="168">
        <f>IF(ISERROR(Personalplanung!F84/Monatsplanung!$E84*Monatsplanung!$O84),0,Personalplanung!F84/Monatsplanung!$E84*Monatsplanung!$O84)</f>
        <v>0</v>
      </c>
      <c r="D916" s="168">
        <f t="shared" si="285"/>
        <v>0</v>
      </c>
      <c r="E916" s="168">
        <f>IF(ISERROR(Personalplanung!H84/Monatsplanung!$E84*Monatsplanung!$O84),0,Personalplanung!H84/Monatsplanung!$E84*Monatsplanung!$O84)</f>
        <v>0</v>
      </c>
      <c r="F916" s="168">
        <f t="shared" si="286"/>
        <v>0</v>
      </c>
      <c r="G916" s="168">
        <f t="shared" si="287"/>
        <v>27.700831024930746</v>
      </c>
      <c r="H916" s="168">
        <f t="shared" si="288"/>
        <v>0</v>
      </c>
      <c r="I916" s="168">
        <f t="shared" si="289"/>
        <v>30</v>
      </c>
      <c r="J916" s="739"/>
      <c r="K916" s="168">
        <f>IF(J916&lt;&gt;"",J916,IF(ISERROR(Personalplanung!AB84/Monatsplanung!$E84*Monatsplanung!$O84),0,Personalplanung!AB84/Monatsplanung!$E84*Monatsplanung!$O84))</f>
        <v>0</v>
      </c>
      <c r="L916" s="740"/>
      <c r="M916" s="739"/>
      <c r="N916" s="168">
        <f>IF(M916&lt;&gt;"",M916,IF(ISERROR(Personalplanung!AC84/Monatsplanung!$E84*Monatsplanung!$O84),0,Personalplanung!AC84/Monatsplanung!$E84*Monatsplanung!$O84))</f>
        <v>0</v>
      </c>
      <c r="O916" s="740"/>
      <c r="P916" s="739"/>
      <c r="Q916" s="168">
        <f>IF(P916&lt;&gt;"",P916,IF(ISERROR(Personalplanung!AD84/Monatsplanung!$E84*Monatsplanung!$O84),0,Personalplanung!AD84/Monatsplanung!$E84*Monatsplanung!$O84))</f>
        <v>0</v>
      </c>
      <c r="R916" s="740"/>
      <c r="S916" s="739"/>
      <c r="T916" s="168">
        <f>IF(S916&lt;&gt;"",S916,IF(ISERROR(Personalplanung!AE84/Monatsplanung!$E84*Monatsplanung!$O84),0,Personalplanung!AE84/Monatsplanung!$E84*Monatsplanung!$O84))</f>
        <v>0</v>
      </c>
      <c r="U916" s="740"/>
      <c r="V916" s="168">
        <f t="shared" si="290"/>
        <v>0</v>
      </c>
      <c r="W916" s="168">
        <f>IF(ISERROR(Personalplanung!P84/Monatsplanung!$E84*Monatsplanung!$O84),0,Personalplanung!P84/Monatsplanung!$E84*Monatsplanung!$O84)</f>
        <v>0</v>
      </c>
      <c r="X916" s="168">
        <f>IF(ISERROR(Personalplanung!Q84/Monatsplanung!$E84*Monatsplanung!$O84),0,Personalplanung!Q84/Monatsplanung!$E84*Monatsplanung!$O84)</f>
        <v>0</v>
      </c>
      <c r="Y916" s="168">
        <f>IF(ISERROR(Personalplanung!R84/T1332*Stundencontrolling!T916),0,Personalplanung!R84/T1332*Stundencontrolling!T916)</f>
        <v>0</v>
      </c>
      <c r="Z916" s="168">
        <f>IF(ISERROR(Personalplanung!S84/Monatsplanung!$E84*Monatsplanung!$O84),0,Personalplanung!S84/Monatsplanung!$E84*Monatsplanung!$O84)</f>
        <v>0</v>
      </c>
      <c r="AA916" s="80">
        <f t="shared" si="291"/>
        <v>0</v>
      </c>
      <c r="AB916" s="102">
        <f t="shared" si="292"/>
        <v>0.1</v>
      </c>
      <c r="AC916" s="103">
        <f t="shared" si="293"/>
        <v>0</v>
      </c>
      <c r="AD916" s="103">
        <f t="shared" si="294"/>
        <v>0</v>
      </c>
      <c r="AE916" s="81">
        <f t="shared" si="295"/>
        <v>0</v>
      </c>
      <c r="AF916" s="539"/>
      <c r="AG916" s="104">
        <f t="shared" si="296"/>
        <v>1</v>
      </c>
      <c r="AH916" s="7">
        <f t="shared" si="297"/>
        <v>0</v>
      </c>
      <c r="AI916" s="6">
        <f t="shared" si="298"/>
        <v>0</v>
      </c>
      <c r="AJ916" s="73">
        <f t="shared" si="299"/>
        <v>0</v>
      </c>
      <c r="AK916" s="539"/>
      <c r="AL916" s="748"/>
      <c r="AM916" s="748"/>
    </row>
    <row r="917" spans="2:39" x14ac:dyDescent="0.2">
      <c r="B917" s="101" t="str">
        <f t="shared" si="284"/>
        <v/>
      </c>
      <c r="C917" s="168">
        <f>IF(ISERROR(Personalplanung!F85/Monatsplanung!$E85*Monatsplanung!$O85),0,Personalplanung!F85/Monatsplanung!$E85*Monatsplanung!$O85)</f>
        <v>0</v>
      </c>
      <c r="D917" s="168">
        <f t="shared" si="285"/>
        <v>0</v>
      </c>
      <c r="E917" s="168">
        <f>IF(ISERROR(Personalplanung!H85/Monatsplanung!$E85*Monatsplanung!$O85),0,Personalplanung!H85/Monatsplanung!$E85*Monatsplanung!$O85)</f>
        <v>0</v>
      </c>
      <c r="F917" s="168">
        <f t="shared" si="286"/>
        <v>0</v>
      </c>
      <c r="G917" s="168">
        <f t="shared" si="287"/>
        <v>27.700831024930746</v>
      </c>
      <c r="H917" s="168">
        <f t="shared" si="288"/>
        <v>0</v>
      </c>
      <c r="I917" s="168">
        <f t="shared" si="289"/>
        <v>30</v>
      </c>
      <c r="J917" s="739"/>
      <c r="K917" s="168">
        <f>IF(J917&lt;&gt;"",J917,IF(ISERROR(Personalplanung!AB85/Monatsplanung!$E85*Monatsplanung!$O85),0,Personalplanung!AB85/Monatsplanung!$E85*Monatsplanung!$O85))</f>
        <v>0</v>
      </c>
      <c r="L917" s="740"/>
      <c r="M917" s="739"/>
      <c r="N917" s="168">
        <f>IF(M917&lt;&gt;"",M917,IF(ISERROR(Personalplanung!AC85/Monatsplanung!$E85*Monatsplanung!$O85),0,Personalplanung!AC85/Monatsplanung!$E85*Monatsplanung!$O85))</f>
        <v>0</v>
      </c>
      <c r="O917" s="740"/>
      <c r="P917" s="739"/>
      <c r="Q917" s="168">
        <f>IF(P917&lt;&gt;"",P917,IF(ISERROR(Personalplanung!AD85/Monatsplanung!$E85*Monatsplanung!$O85),0,Personalplanung!AD85/Monatsplanung!$E85*Monatsplanung!$O85))</f>
        <v>0</v>
      </c>
      <c r="R917" s="740"/>
      <c r="S917" s="739"/>
      <c r="T917" s="168">
        <f>IF(S917&lt;&gt;"",S917,IF(ISERROR(Personalplanung!AE85/Monatsplanung!$E85*Monatsplanung!$O85),0,Personalplanung!AE85/Monatsplanung!$E85*Monatsplanung!$O85))</f>
        <v>0</v>
      </c>
      <c r="U917" s="740"/>
      <c r="V917" s="168">
        <f t="shared" si="290"/>
        <v>0</v>
      </c>
      <c r="W917" s="168">
        <f>IF(ISERROR(Personalplanung!P85/Monatsplanung!$E85*Monatsplanung!$O85),0,Personalplanung!P85/Monatsplanung!$E85*Monatsplanung!$O85)</f>
        <v>0</v>
      </c>
      <c r="X917" s="168">
        <f>IF(ISERROR(Personalplanung!Q85/Monatsplanung!$E85*Monatsplanung!$O85),0,Personalplanung!Q85/Monatsplanung!$E85*Monatsplanung!$O85)</f>
        <v>0</v>
      </c>
      <c r="Y917" s="168">
        <f>IF(ISERROR(Personalplanung!R85/T1333*Stundencontrolling!T917),0,Personalplanung!R85/T1333*Stundencontrolling!T917)</f>
        <v>0</v>
      </c>
      <c r="Z917" s="168">
        <f>IF(ISERROR(Personalplanung!S85/Monatsplanung!$E85*Monatsplanung!$O85),0,Personalplanung!S85/Monatsplanung!$E85*Monatsplanung!$O85)</f>
        <v>0</v>
      </c>
      <c r="AA917" s="80">
        <f t="shared" si="291"/>
        <v>0</v>
      </c>
      <c r="AB917" s="102">
        <f t="shared" si="292"/>
        <v>0.1</v>
      </c>
      <c r="AC917" s="103">
        <f t="shared" si="293"/>
        <v>0</v>
      </c>
      <c r="AD917" s="103">
        <f t="shared" si="294"/>
        <v>0</v>
      </c>
      <c r="AE917" s="81">
        <f t="shared" si="295"/>
        <v>0</v>
      </c>
      <c r="AF917" s="539"/>
      <c r="AG917" s="104">
        <f t="shared" si="296"/>
        <v>1</v>
      </c>
      <c r="AH917" s="7">
        <f t="shared" si="297"/>
        <v>0</v>
      </c>
      <c r="AI917" s="6">
        <f t="shared" si="298"/>
        <v>0</v>
      </c>
      <c r="AJ917" s="73">
        <f t="shared" si="299"/>
        <v>0</v>
      </c>
      <c r="AK917" s="539"/>
      <c r="AL917" s="748"/>
      <c r="AM917" s="748"/>
    </row>
    <row r="918" spans="2:39" x14ac:dyDescent="0.2">
      <c r="B918" s="101" t="str">
        <f t="shared" si="284"/>
        <v/>
      </c>
      <c r="C918" s="168">
        <f>IF(ISERROR(Personalplanung!F86/Monatsplanung!$E86*Monatsplanung!$O86),0,Personalplanung!F86/Monatsplanung!$E86*Monatsplanung!$O86)</f>
        <v>0</v>
      </c>
      <c r="D918" s="168">
        <f t="shared" si="285"/>
        <v>0</v>
      </c>
      <c r="E918" s="168">
        <f>IF(ISERROR(Personalplanung!H86/Monatsplanung!$E86*Monatsplanung!$O86),0,Personalplanung!H86/Monatsplanung!$E86*Monatsplanung!$O86)</f>
        <v>0</v>
      </c>
      <c r="F918" s="168">
        <f t="shared" si="286"/>
        <v>0</v>
      </c>
      <c r="G918" s="168">
        <f t="shared" si="287"/>
        <v>27.700831024930746</v>
      </c>
      <c r="H918" s="168">
        <f t="shared" si="288"/>
        <v>0</v>
      </c>
      <c r="I918" s="168">
        <f t="shared" si="289"/>
        <v>30</v>
      </c>
      <c r="J918" s="739"/>
      <c r="K918" s="168">
        <f>IF(J918&lt;&gt;"",J918,IF(ISERROR(Personalplanung!AB86/Monatsplanung!$E86*Monatsplanung!$O86),0,Personalplanung!AB86/Monatsplanung!$E86*Monatsplanung!$O86))</f>
        <v>0</v>
      </c>
      <c r="L918" s="740"/>
      <c r="M918" s="739"/>
      <c r="N918" s="168">
        <f>IF(M918&lt;&gt;"",M918,IF(ISERROR(Personalplanung!AC86/Monatsplanung!$E86*Monatsplanung!$O86),0,Personalplanung!AC86/Monatsplanung!$E86*Monatsplanung!$O86))</f>
        <v>0</v>
      </c>
      <c r="O918" s="740"/>
      <c r="P918" s="739"/>
      <c r="Q918" s="168">
        <f>IF(P918&lt;&gt;"",P918,IF(ISERROR(Personalplanung!AD86/Monatsplanung!$E86*Monatsplanung!$O86),0,Personalplanung!AD86/Monatsplanung!$E86*Monatsplanung!$O86))</f>
        <v>0</v>
      </c>
      <c r="R918" s="740"/>
      <c r="S918" s="739"/>
      <c r="T918" s="168">
        <f>IF(S918&lt;&gt;"",S918,IF(ISERROR(Personalplanung!AE86/Monatsplanung!$E86*Monatsplanung!$O86),0,Personalplanung!AE86/Monatsplanung!$E86*Monatsplanung!$O86))</f>
        <v>0</v>
      </c>
      <c r="U918" s="740"/>
      <c r="V918" s="168">
        <f t="shared" si="290"/>
        <v>0</v>
      </c>
      <c r="W918" s="168">
        <f>IF(ISERROR(Personalplanung!P86/Monatsplanung!$E86*Monatsplanung!$O86),0,Personalplanung!P86/Monatsplanung!$E86*Monatsplanung!$O86)</f>
        <v>0</v>
      </c>
      <c r="X918" s="168">
        <f>IF(ISERROR(Personalplanung!Q86/Monatsplanung!$E86*Monatsplanung!$O86),0,Personalplanung!Q86/Monatsplanung!$E86*Monatsplanung!$O86)</f>
        <v>0</v>
      </c>
      <c r="Y918" s="168">
        <f>IF(ISERROR(Personalplanung!R86/T1334*Stundencontrolling!T918),0,Personalplanung!R86/T1334*Stundencontrolling!T918)</f>
        <v>0</v>
      </c>
      <c r="Z918" s="168">
        <f>IF(ISERROR(Personalplanung!S86/Monatsplanung!$E86*Monatsplanung!$O86),0,Personalplanung!S86/Monatsplanung!$E86*Monatsplanung!$O86)</f>
        <v>0</v>
      </c>
      <c r="AA918" s="80">
        <f t="shared" si="291"/>
        <v>0</v>
      </c>
      <c r="AB918" s="102">
        <f t="shared" si="292"/>
        <v>0.1</v>
      </c>
      <c r="AC918" s="103">
        <f t="shared" si="293"/>
        <v>0</v>
      </c>
      <c r="AD918" s="103">
        <f t="shared" si="294"/>
        <v>0</v>
      </c>
      <c r="AE918" s="81">
        <f t="shared" si="295"/>
        <v>0</v>
      </c>
      <c r="AF918" s="539"/>
      <c r="AG918" s="104">
        <f t="shared" si="296"/>
        <v>1</v>
      </c>
      <c r="AH918" s="7">
        <f t="shared" si="297"/>
        <v>0</v>
      </c>
      <c r="AI918" s="6">
        <f t="shared" si="298"/>
        <v>0</v>
      </c>
      <c r="AJ918" s="73">
        <f t="shared" si="299"/>
        <v>0</v>
      </c>
      <c r="AK918" s="539"/>
      <c r="AL918" s="748"/>
      <c r="AM918" s="748"/>
    </row>
    <row r="919" spans="2:39" x14ac:dyDescent="0.2">
      <c r="B919" s="101" t="str">
        <f t="shared" si="284"/>
        <v/>
      </c>
      <c r="C919" s="168">
        <f>IF(ISERROR(Personalplanung!F87/Monatsplanung!$E87*Monatsplanung!$O87),0,Personalplanung!F87/Monatsplanung!$E87*Monatsplanung!$O87)</f>
        <v>0</v>
      </c>
      <c r="D919" s="168">
        <f t="shared" si="285"/>
        <v>0</v>
      </c>
      <c r="E919" s="168">
        <f>IF(ISERROR(Personalplanung!H87/Monatsplanung!$E87*Monatsplanung!$O87),0,Personalplanung!H87/Monatsplanung!$E87*Monatsplanung!$O87)</f>
        <v>0</v>
      </c>
      <c r="F919" s="168">
        <f t="shared" si="286"/>
        <v>0</v>
      </c>
      <c r="G919" s="168">
        <f t="shared" si="287"/>
        <v>27.700831024930746</v>
      </c>
      <c r="H919" s="168">
        <f t="shared" si="288"/>
        <v>0</v>
      </c>
      <c r="I919" s="168">
        <f t="shared" si="289"/>
        <v>30</v>
      </c>
      <c r="J919" s="739"/>
      <c r="K919" s="168">
        <f>IF(J919&lt;&gt;"",J919,IF(ISERROR(Personalplanung!AB87/Monatsplanung!$E87*Monatsplanung!$O87),0,Personalplanung!AB87/Monatsplanung!$E87*Monatsplanung!$O87))</f>
        <v>0</v>
      </c>
      <c r="L919" s="740"/>
      <c r="M919" s="739"/>
      <c r="N919" s="168">
        <f>IF(M919&lt;&gt;"",M919,IF(ISERROR(Personalplanung!AC87/Monatsplanung!$E87*Monatsplanung!$O87),0,Personalplanung!AC87/Monatsplanung!$E87*Monatsplanung!$O87))</f>
        <v>0</v>
      </c>
      <c r="O919" s="740"/>
      <c r="P919" s="739"/>
      <c r="Q919" s="168">
        <f>IF(P919&lt;&gt;"",P919,IF(ISERROR(Personalplanung!AD87/Monatsplanung!$E87*Monatsplanung!$O87),0,Personalplanung!AD87/Monatsplanung!$E87*Monatsplanung!$O87))</f>
        <v>0</v>
      </c>
      <c r="R919" s="740"/>
      <c r="S919" s="739"/>
      <c r="T919" s="168">
        <f>IF(S919&lt;&gt;"",S919,IF(ISERROR(Personalplanung!AE87/Monatsplanung!$E87*Monatsplanung!$O87),0,Personalplanung!AE87/Monatsplanung!$E87*Monatsplanung!$O87))</f>
        <v>0</v>
      </c>
      <c r="U919" s="740"/>
      <c r="V919" s="168">
        <f t="shared" si="290"/>
        <v>0</v>
      </c>
      <c r="W919" s="168">
        <f>IF(ISERROR(Personalplanung!P87/Monatsplanung!$E87*Monatsplanung!$O87),0,Personalplanung!P87/Monatsplanung!$E87*Monatsplanung!$O87)</f>
        <v>0</v>
      </c>
      <c r="X919" s="168">
        <f>IF(ISERROR(Personalplanung!Q87/Monatsplanung!$E87*Monatsplanung!$O87),0,Personalplanung!Q87/Monatsplanung!$E87*Monatsplanung!$O87)</f>
        <v>0</v>
      </c>
      <c r="Y919" s="168">
        <f>IF(ISERROR(Personalplanung!R87/T1335*Stundencontrolling!T919),0,Personalplanung!R87/T1335*Stundencontrolling!T919)</f>
        <v>0</v>
      </c>
      <c r="Z919" s="168">
        <f>IF(ISERROR(Personalplanung!S87/Monatsplanung!$E87*Monatsplanung!$O87),0,Personalplanung!S87/Monatsplanung!$E87*Monatsplanung!$O87)</f>
        <v>0</v>
      </c>
      <c r="AA919" s="80">
        <f t="shared" si="291"/>
        <v>0</v>
      </c>
      <c r="AB919" s="102">
        <f t="shared" si="292"/>
        <v>0.1</v>
      </c>
      <c r="AC919" s="103">
        <f t="shared" si="293"/>
        <v>0</v>
      </c>
      <c r="AD919" s="103">
        <f t="shared" si="294"/>
        <v>0</v>
      </c>
      <c r="AE919" s="81">
        <f t="shared" si="295"/>
        <v>0</v>
      </c>
      <c r="AF919" s="539"/>
      <c r="AG919" s="104">
        <f t="shared" si="296"/>
        <v>1</v>
      </c>
      <c r="AH919" s="7">
        <f t="shared" si="297"/>
        <v>0</v>
      </c>
      <c r="AI919" s="6">
        <f t="shared" si="298"/>
        <v>0</v>
      </c>
      <c r="AJ919" s="73">
        <f t="shared" si="299"/>
        <v>0</v>
      </c>
      <c r="AK919" s="539"/>
      <c r="AL919" s="748"/>
      <c r="AM919" s="748"/>
    </row>
    <row r="920" spans="2:39" x14ac:dyDescent="0.2">
      <c r="B920" s="101" t="str">
        <f t="shared" si="284"/>
        <v/>
      </c>
      <c r="C920" s="168">
        <f>IF(ISERROR(Personalplanung!F88/Monatsplanung!$E88*Monatsplanung!$O88),0,Personalplanung!F88/Monatsplanung!$E88*Monatsplanung!$O88)</f>
        <v>0</v>
      </c>
      <c r="D920" s="168">
        <f t="shared" si="285"/>
        <v>0</v>
      </c>
      <c r="E920" s="168">
        <f>IF(ISERROR(Personalplanung!H88/Monatsplanung!$E88*Monatsplanung!$O88),0,Personalplanung!H88/Monatsplanung!$E88*Monatsplanung!$O88)</f>
        <v>0</v>
      </c>
      <c r="F920" s="168">
        <f t="shared" si="286"/>
        <v>0</v>
      </c>
      <c r="G920" s="168">
        <f t="shared" si="287"/>
        <v>27.700831024930746</v>
      </c>
      <c r="H920" s="168">
        <f t="shared" si="288"/>
        <v>0</v>
      </c>
      <c r="I920" s="168">
        <f t="shared" si="289"/>
        <v>30</v>
      </c>
      <c r="J920" s="739"/>
      <c r="K920" s="168">
        <f>IF(J920&lt;&gt;"",J920,IF(ISERROR(Personalplanung!AB88/Monatsplanung!$E88*Monatsplanung!$O88),0,Personalplanung!AB88/Monatsplanung!$E88*Monatsplanung!$O88))</f>
        <v>0</v>
      </c>
      <c r="L920" s="740"/>
      <c r="M920" s="739"/>
      <c r="N920" s="168">
        <f>IF(M920&lt;&gt;"",M920,IF(ISERROR(Personalplanung!AC88/Monatsplanung!$E88*Monatsplanung!$O88),0,Personalplanung!AC88/Monatsplanung!$E88*Monatsplanung!$O88))</f>
        <v>0</v>
      </c>
      <c r="O920" s="740"/>
      <c r="P920" s="739"/>
      <c r="Q920" s="168">
        <f>IF(P920&lt;&gt;"",P920,IF(ISERROR(Personalplanung!AD88/Monatsplanung!$E88*Monatsplanung!$O88),0,Personalplanung!AD88/Monatsplanung!$E88*Monatsplanung!$O88))</f>
        <v>0</v>
      </c>
      <c r="R920" s="740"/>
      <c r="S920" s="739"/>
      <c r="T920" s="168">
        <f>IF(S920&lt;&gt;"",S920,IF(ISERROR(Personalplanung!AE88/Monatsplanung!$E88*Monatsplanung!$O88),0,Personalplanung!AE88/Monatsplanung!$E88*Monatsplanung!$O88))</f>
        <v>0</v>
      </c>
      <c r="U920" s="740"/>
      <c r="V920" s="168">
        <f t="shared" si="290"/>
        <v>0</v>
      </c>
      <c r="W920" s="168">
        <f>IF(ISERROR(Personalplanung!P88/Monatsplanung!$E88*Monatsplanung!$O88),0,Personalplanung!P88/Monatsplanung!$E88*Monatsplanung!$O88)</f>
        <v>0</v>
      </c>
      <c r="X920" s="168">
        <f>IF(ISERROR(Personalplanung!Q88/Monatsplanung!$E88*Monatsplanung!$O88),0,Personalplanung!Q88/Monatsplanung!$E88*Monatsplanung!$O88)</f>
        <v>0</v>
      </c>
      <c r="Y920" s="168">
        <f>IF(ISERROR(Personalplanung!R88/T1336*Stundencontrolling!T920),0,Personalplanung!R88/T1336*Stundencontrolling!T920)</f>
        <v>0</v>
      </c>
      <c r="Z920" s="168">
        <f>IF(ISERROR(Personalplanung!S88/Monatsplanung!$E88*Monatsplanung!$O88),0,Personalplanung!S88/Monatsplanung!$E88*Monatsplanung!$O88)</f>
        <v>0</v>
      </c>
      <c r="AA920" s="80">
        <f t="shared" si="291"/>
        <v>0</v>
      </c>
      <c r="AB920" s="102">
        <f t="shared" si="292"/>
        <v>0.1</v>
      </c>
      <c r="AC920" s="103">
        <f t="shared" si="293"/>
        <v>0</v>
      </c>
      <c r="AD920" s="103">
        <f t="shared" si="294"/>
        <v>0</v>
      </c>
      <c r="AE920" s="81">
        <f t="shared" si="295"/>
        <v>0</v>
      </c>
      <c r="AF920" s="539"/>
      <c r="AG920" s="104">
        <f t="shared" si="296"/>
        <v>1</v>
      </c>
      <c r="AH920" s="7">
        <f t="shared" si="297"/>
        <v>0</v>
      </c>
      <c r="AI920" s="6">
        <f t="shared" si="298"/>
        <v>0</v>
      </c>
      <c r="AJ920" s="73">
        <f t="shared" si="299"/>
        <v>0</v>
      </c>
      <c r="AK920" s="539"/>
      <c r="AL920" s="748"/>
      <c r="AM920" s="748"/>
    </row>
    <row r="921" spans="2:39" x14ac:dyDescent="0.2">
      <c r="B921" s="101" t="str">
        <f t="shared" si="284"/>
        <v/>
      </c>
      <c r="C921" s="168">
        <f>IF(ISERROR(Personalplanung!F89/Monatsplanung!$E89*Monatsplanung!$O89),0,Personalplanung!F89/Monatsplanung!$E89*Monatsplanung!$O89)</f>
        <v>0</v>
      </c>
      <c r="D921" s="168">
        <f t="shared" si="285"/>
        <v>0</v>
      </c>
      <c r="E921" s="168">
        <f>IF(ISERROR(Personalplanung!H89/Monatsplanung!$E89*Monatsplanung!$O89),0,Personalplanung!H89/Monatsplanung!$E89*Monatsplanung!$O89)</f>
        <v>0</v>
      </c>
      <c r="F921" s="168">
        <f t="shared" si="286"/>
        <v>0</v>
      </c>
      <c r="G921" s="168">
        <f t="shared" si="287"/>
        <v>27.700831024930746</v>
      </c>
      <c r="H921" s="168">
        <f t="shared" si="288"/>
        <v>0</v>
      </c>
      <c r="I921" s="168">
        <f t="shared" si="289"/>
        <v>30</v>
      </c>
      <c r="J921" s="739"/>
      <c r="K921" s="168">
        <f>IF(J921&lt;&gt;"",J921,IF(ISERROR(Personalplanung!AB89/Monatsplanung!$E89*Monatsplanung!$O89),0,Personalplanung!AB89/Monatsplanung!$E89*Monatsplanung!$O89))</f>
        <v>0</v>
      </c>
      <c r="L921" s="740"/>
      <c r="M921" s="739"/>
      <c r="N921" s="168">
        <f>IF(M921&lt;&gt;"",M921,IF(ISERROR(Personalplanung!AC89/Monatsplanung!$E89*Monatsplanung!$O89),0,Personalplanung!AC89/Monatsplanung!$E89*Monatsplanung!$O89))</f>
        <v>0</v>
      </c>
      <c r="O921" s="740"/>
      <c r="P921" s="739"/>
      <c r="Q921" s="168">
        <f>IF(P921&lt;&gt;"",P921,IF(ISERROR(Personalplanung!AD89/Monatsplanung!$E89*Monatsplanung!$O89),0,Personalplanung!AD89/Monatsplanung!$E89*Monatsplanung!$O89))</f>
        <v>0</v>
      </c>
      <c r="R921" s="740"/>
      <c r="S921" s="739"/>
      <c r="T921" s="168">
        <f>IF(S921&lt;&gt;"",S921,IF(ISERROR(Personalplanung!AE89/Monatsplanung!$E89*Monatsplanung!$O89),0,Personalplanung!AE89/Monatsplanung!$E89*Monatsplanung!$O89))</f>
        <v>0</v>
      </c>
      <c r="U921" s="740"/>
      <c r="V921" s="168">
        <f t="shared" si="290"/>
        <v>0</v>
      </c>
      <c r="W921" s="168">
        <f>IF(ISERROR(Personalplanung!P89/Monatsplanung!$E89*Monatsplanung!$O89),0,Personalplanung!P89/Monatsplanung!$E89*Monatsplanung!$O89)</f>
        <v>0</v>
      </c>
      <c r="X921" s="168">
        <f>IF(ISERROR(Personalplanung!Q89/Monatsplanung!$E89*Monatsplanung!$O89),0,Personalplanung!Q89/Monatsplanung!$E89*Monatsplanung!$O89)</f>
        <v>0</v>
      </c>
      <c r="Y921" s="168">
        <f>IF(ISERROR(Personalplanung!R89/T1337*Stundencontrolling!T921),0,Personalplanung!R89/T1337*Stundencontrolling!T921)</f>
        <v>0</v>
      </c>
      <c r="Z921" s="168">
        <f>IF(ISERROR(Personalplanung!S89/Monatsplanung!$E89*Monatsplanung!$O89),0,Personalplanung!S89/Monatsplanung!$E89*Monatsplanung!$O89)</f>
        <v>0</v>
      </c>
      <c r="AA921" s="80">
        <f t="shared" si="291"/>
        <v>0</v>
      </c>
      <c r="AB921" s="102">
        <f t="shared" si="292"/>
        <v>0.1</v>
      </c>
      <c r="AC921" s="103">
        <f t="shared" si="293"/>
        <v>0</v>
      </c>
      <c r="AD921" s="103">
        <f t="shared" si="294"/>
        <v>0</v>
      </c>
      <c r="AE921" s="81">
        <f t="shared" si="295"/>
        <v>0</v>
      </c>
      <c r="AF921" s="539"/>
      <c r="AG921" s="104">
        <f t="shared" si="296"/>
        <v>1</v>
      </c>
      <c r="AH921" s="7">
        <f t="shared" si="297"/>
        <v>0</v>
      </c>
      <c r="AI921" s="6">
        <f t="shared" si="298"/>
        <v>0</v>
      </c>
      <c r="AJ921" s="73">
        <f t="shared" si="299"/>
        <v>0</v>
      </c>
      <c r="AK921" s="539"/>
      <c r="AL921" s="748"/>
      <c r="AM921" s="748"/>
    </row>
    <row r="922" spans="2:39" x14ac:dyDescent="0.2">
      <c r="B922" s="101" t="str">
        <f t="shared" si="284"/>
        <v/>
      </c>
      <c r="C922" s="168">
        <f>IF(ISERROR(Personalplanung!F90/Monatsplanung!$E90*Monatsplanung!$O90),0,Personalplanung!F90/Monatsplanung!$E90*Monatsplanung!$O90)</f>
        <v>0</v>
      </c>
      <c r="D922" s="168">
        <f t="shared" si="285"/>
        <v>0</v>
      </c>
      <c r="E922" s="168">
        <f>IF(ISERROR(Personalplanung!H90/Monatsplanung!$E90*Monatsplanung!$O90),0,Personalplanung!H90/Monatsplanung!$E90*Monatsplanung!$O90)</f>
        <v>0</v>
      </c>
      <c r="F922" s="168">
        <f t="shared" si="286"/>
        <v>0</v>
      </c>
      <c r="G922" s="168">
        <f t="shared" si="287"/>
        <v>27.700831024930746</v>
      </c>
      <c r="H922" s="168">
        <f t="shared" si="288"/>
        <v>0</v>
      </c>
      <c r="I922" s="168">
        <f t="shared" si="289"/>
        <v>30</v>
      </c>
      <c r="J922" s="739"/>
      <c r="K922" s="168">
        <f>IF(J922&lt;&gt;"",J922,IF(ISERROR(Personalplanung!AB90/Monatsplanung!$E90*Monatsplanung!$O90),0,Personalplanung!AB90/Monatsplanung!$E90*Monatsplanung!$O90))</f>
        <v>0</v>
      </c>
      <c r="L922" s="740"/>
      <c r="M922" s="739"/>
      <c r="N922" s="168">
        <f>IF(M922&lt;&gt;"",M922,IF(ISERROR(Personalplanung!AC90/Monatsplanung!$E90*Monatsplanung!$O90),0,Personalplanung!AC90/Monatsplanung!$E90*Monatsplanung!$O90))</f>
        <v>0</v>
      </c>
      <c r="O922" s="740"/>
      <c r="P922" s="739"/>
      <c r="Q922" s="168">
        <f>IF(P922&lt;&gt;"",P922,IF(ISERROR(Personalplanung!AD90/Monatsplanung!$E90*Monatsplanung!$O90),0,Personalplanung!AD90/Monatsplanung!$E90*Monatsplanung!$O90))</f>
        <v>0</v>
      </c>
      <c r="R922" s="740"/>
      <c r="S922" s="739"/>
      <c r="T922" s="168">
        <f>IF(S922&lt;&gt;"",S922,IF(ISERROR(Personalplanung!AE90/Monatsplanung!$E90*Monatsplanung!$O90),0,Personalplanung!AE90/Monatsplanung!$E90*Monatsplanung!$O90))</f>
        <v>0</v>
      </c>
      <c r="U922" s="740"/>
      <c r="V922" s="168">
        <f t="shared" si="290"/>
        <v>0</v>
      </c>
      <c r="W922" s="168">
        <f>IF(ISERROR(Personalplanung!P90/Monatsplanung!$E90*Monatsplanung!$O90),0,Personalplanung!P90/Monatsplanung!$E90*Monatsplanung!$O90)</f>
        <v>0</v>
      </c>
      <c r="X922" s="168">
        <f>IF(ISERROR(Personalplanung!Q90/Monatsplanung!$E90*Monatsplanung!$O90),0,Personalplanung!Q90/Monatsplanung!$E90*Monatsplanung!$O90)</f>
        <v>0</v>
      </c>
      <c r="Y922" s="168">
        <f>IF(ISERROR(Personalplanung!R90/T1338*Stundencontrolling!T922),0,Personalplanung!R90/T1338*Stundencontrolling!T922)</f>
        <v>0</v>
      </c>
      <c r="Z922" s="168">
        <f>IF(ISERROR(Personalplanung!S90/Monatsplanung!$E90*Monatsplanung!$O90),0,Personalplanung!S90/Monatsplanung!$E90*Monatsplanung!$O90)</f>
        <v>0</v>
      </c>
      <c r="AA922" s="80">
        <f t="shared" si="291"/>
        <v>0</v>
      </c>
      <c r="AB922" s="102">
        <f t="shared" si="292"/>
        <v>0.1</v>
      </c>
      <c r="AC922" s="103">
        <f t="shared" si="293"/>
        <v>0</v>
      </c>
      <c r="AD922" s="103">
        <f t="shared" si="294"/>
        <v>0</v>
      </c>
      <c r="AE922" s="81">
        <f t="shared" si="295"/>
        <v>0</v>
      </c>
      <c r="AF922" s="539"/>
      <c r="AG922" s="104">
        <f t="shared" si="296"/>
        <v>1</v>
      </c>
      <c r="AH922" s="7">
        <f t="shared" si="297"/>
        <v>0</v>
      </c>
      <c r="AI922" s="6">
        <f t="shared" si="298"/>
        <v>0</v>
      </c>
      <c r="AJ922" s="73">
        <f t="shared" si="299"/>
        <v>0</v>
      </c>
      <c r="AK922" s="539"/>
      <c r="AL922" s="748"/>
      <c r="AM922" s="748"/>
    </row>
    <row r="923" spans="2:39" x14ac:dyDescent="0.2">
      <c r="B923" s="101" t="str">
        <f t="shared" si="284"/>
        <v/>
      </c>
      <c r="C923" s="168">
        <f>IF(ISERROR(Personalplanung!F91/Monatsplanung!$E91*Monatsplanung!$O91),0,Personalplanung!F91/Monatsplanung!$E91*Monatsplanung!$O91)</f>
        <v>0</v>
      </c>
      <c r="D923" s="168">
        <f t="shared" si="285"/>
        <v>0</v>
      </c>
      <c r="E923" s="168">
        <f>IF(ISERROR(Personalplanung!H91/Monatsplanung!$E91*Monatsplanung!$O91),0,Personalplanung!H91/Monatsplanung!$E91*Monatsplanung!$O91)</f>
        <v>0</v>
      </c>
      <c r="F923" s="168">
        <f t="shared" si="286"/>
        <v>0</v>
      </c>
      <c r="G923" s="168">
        <f t="shared" si="287"/>
        <v>27.700831024930746</v>
      </c>
      <c r="H923" s="168">
        <f t="shared" si="288"/>
        <v>0</v>
      </c>
      <c r="I923" s="168">
        <f t="shared" si="289"/>
        <v>30</v>
      </c>
      <c r="J923" s="739"/>
      <c r="K923" s="168">
        <f>IF(J923&lt;&gt;"",J923,IF(ISERROR(Personalplanung!AB91/Monatsplanung!$E91*Monatsplanung!$O91),0,Personalplanung!AB91/Monatsplanung!$E91*Monatsplanung!$O91))</f>
        <v>0</v>
      </c>
      <c r="L923" s="740"/>
      <c r="M923" s="739"/>
      <c r="N923" s="168">
        <f>IF(M923&lt;&gt;"",M923,IF(ISERROR(Personalplanung!AC91/Monatsplanung!$E91*Monatsplanung!$O91),0,Personalplanung!AC91/Monatsplanung!$E91*Monatsplanung!$O91))</f>
        <v>0</v>
      </c>
      <c r="O923" s="740"/>
      <c r="P923" s="739"/>
      <c r="Q923" s="168">
        <f>IF(P923&lt;&gt;"",P923,IF(ISERROR(Personalplanung!AD91/Monatsplanung!$E91*Monatsplanung!$O91),0,Personalplanung!AD91/Monatsplanung!$E91*Monatsplanung!$O91))</f>
        <v>0</v>
      </c>
      <c r="R923" s="740"/>
      <c r="S923" s="739"/>
      <c r="T923" s="168">
        <f>IF(S923&lt;&gt;"",S923,IF(ISERROR(Personalplanung!AE91/Monatsplanung!$E91*Monatsplanung!$O91),0,Personalplanung!AE91/Monatsplanung!$E91*Monatsplanung!$O91))</f>
        <v>0</v>
      </c>
      <c r="U923" s="740"/>
      <c r="V923" s="168">
        <f t="shared" si="290"/>
        <v>0</v>
      </c>
      <c r="W923" s="168">
        <f>IF(ISERROR(Personalplanung!P91/Monatsplanung!$E91*Monatsplanung!$O91),0,Personalplanung!P91/Monatsplanung!$E91*Monatsplanung!$O91)</f>
        <v>0</v>
      </c>
      <c r="X923" s="168">
        <f>IF(ISERROR(Personalplanung!Q91/Monatsplanung!$E91*Monatsplanung!$O91),0,Personalplanung!Q91/Monatsplanung!$E91*Monatsplanung!$O91)</f>
        <v>0</v>
      </c>
      <c r="Y923" s="168">
        <f>IF(ISERROR(Personalplanung!R91/T1339*Stundencontrolling!T923),0,Personalplanung!R91/T1339*Stundencontrolling!T923)</f>
        <v>0</v>
      </c>
      <c r="Z923" s="168">
        <f>IF(ISERROR(Personalplanung!S91/Monatsplanung!$E91*Monatsplanung!$O91),0,Personalplanung!S91/Monatsplanung!$E91*Monatsplanung!$O91)</f>
        <v>0</v>
      </c>
      <c r="AA923" s="80">
        <f t="shared" si="291"/>
        <v>0</v>
      </c>
      <c r="AB923" s="102">
        <f t="shared" si="292"/>
        <v>0.1</v>
      </c>
      <c r="AC923" s="103">
        <f t="shared" si="293"/>
        <v>0</v>
      </c>
      <c r="AD923" s="103">
        <f t="shared" si="294"/>
        <v>0</v>
      </c>
      <c r="AE923" s="81">
        <f t="shared" si="295"/>
        <v>0</v>
      </c>
      <c r="AF923" s="539"/>
      <c r="AG923" s="104">
        <f t="shared" si="296"/>
        <v>1</v>
      </c>
      <c r="AH923" s="7">
        <f t="shared" si="297"/>
        <v>0</v>
      </c>
      <c r="AI923" s="6">
        <f t="shared" si="298"/>
        <v>0</v>
      </c>
      <c r="AJ923" s="73">
        <f t="shared" si="299"/>
        <v>0</v>
      </c>
      <c r="AK923" s="539"/>
      <c r="AL923" s="748"/>
      <c r="AM923" s="748"/>
    </row>
    <row r="924" spans="2:39" x14ac:dyDescent="0.2">
      <c r="B924" s="101" t="str">
        <f t="shared" si="284"/>
        <v/>
      </c>
      <c r="C924" s="168">
        <f>IF(ISERROR(Personalplanung!F92/Monatsplanung!$E92*Monatsplanung!$O92),0,Personalplanung!F92/Monatsplanung!$E92*Monatsplanung!$O92)</f>
        <v>0</v>
      </c>
      <c r="D924" s="168">
        <f t="shared" si="285"/>
        <v>0</v>
      </c>
      <c r="E924" s="168">
        <f>IF(ISERROR(Personalplanung!H92/Monatsplanung!$E92*Monatsplanung!$O92),0,Personalplanung!H92/Monatsplanung!$E92*Monatsplanung!$O92)</f>
        <v>0</v>
      </c>
      <c r="F924" s="168">
        <f t="shared" si="286"/>
        <v>0</v>
      </c>
      <c r="G924" s="168">
        <f t="shared" si="287"/>
        <v>27.700831024930746</v>
      </c>
      <c r="H924" s="168">
        <f t="shared" si="288"/>
        <v>0</v>
      </c>
      <c r="I924" s="168">
        <f t="shared" si="289"/>
        <v>30</v>
      </c>
      <c r="J924" s="739"/>
      <c r="K924" s="168">
        <f>IF(J924&lt;&gt;"",J924,IF(ISERROR(Personalplanung!AB92/Monatsplanung!$E92*Monatsplanung!$O92),0,Personalplanung!AB92/Monatsplanung!$E92*Monatsplanung!$O92))</f>
        <v>0</v>
      </c>
      <c r="L924" s="740"/>
      <c r="M924" s="739"/>
      <c r="N924" s="168">
        <f>IF(M924&lt;&gt;"",M924,IF(ISERROR(Personalplanung!AC92/Monatsplanung!$E92*Monatsplanung!$O92),0,Personalplanung!AC92/Monatsplanung!$E92*Monatsplanung!$O92))</f>
        <v>0</v>
      </c>
      <c r="O924" s="740"/>
      <c r="P924" s="739"/>
      <c r="Q924" s="168">
        <f>IF(P924&lt;&gt;"",P924,IF(ISERROR(Personalplanung!AD92/Monatsplanung!$E92*Monatsplanung!$O92),0,Personalplanung!AD92/Monatsplanung!$E92*Monatsplanung!$O92))</f>
        <v>0</v>
      </c>
      <c r="R924" s="740"/>
      <c r="S924" s="739"/>
      <c r="T924" s="168">
        <f>IF(S924&lt;&gt;"",S924,IF(ISERROR(Personalplanung!AE92/Monatsplanung!$E92*Monatsplanung!$O92),0,Personalplanung!AE92/Monatsplanung!$E92*Monatsplanung!$O92))</f>
        <v>0</v>
      </c>
      <c r="U924" s="740"/>
      <c r="V924" s="168">
        <f t="shared" si="290"/>
        <v>0</v>
      </c>
      <c r="W924" s="168">
        <f>IF(ISERROR(Personalplanung!P92/Monatsplanung!$E92*Monatsplanung!$O92),0,Personalplanung!P92/Monatsplanung!$E92*Monatsplanung!$O92)</f>
        <v>0</v>
      </c>
      <c r="X924" s="168">
        <f>IF(ISERROR(Personalplanung!Q92/Monatsplanung!$E92*Monatsplanung!$O92),0,Personalplanung!Q92/Monatsplanung!$E92*Monatsplanung!$O92)</f>
        <v>0</v>
      </c>
      <c r="Y924" s="168">
        <f>IF(ISERROR(Personalplanung!R92/T1340*Stundencontrolling!T924),0,Personalplanung!R92/T1340*Stundencontrolling!T924)</f>
        <v>0</v>
      </c>
      <c r="Z924" s="168">
        <f>IF(ISERROR(Personalplanung!S92/Monatsplanung!$E92*Monatsplanung!$O92),0,Personalplanung!S92/Monatsplanung!$E92*Monatsplanung!$O92)</f>
        <v>0</v>
      </c>
      <c r="AA924" s="80">
        <f t="shared" si="291"/>
        <v>0</v>
      </c>
      <c r="AB924" s="102">
        <f t="shared" si="292"/>
        <v>0.1</v>
      </c>
      <c r="AC924" s="103">
        <f t="shared" si="293"/>
        <v>0</v>
      </c>
      <c r="AD924" s="103">
        <f t="shared" si="294"/>
        <v>0</v>
      </c>
      <c r="AE924" s="81">
        <f t="shared" si="295"/>
        <v>0</v>
      </c>
      <c r="AF924" s="539"/>
      <c r="AG924" s="104">
        <f t="shared" si="296"/>
        <v>1</v>
      </c>
      <c r="AH924" s="7">
        <f t="shared" si="297"/>
        <v>0</v>
      </c>
      <c r="AI924" s="6">
        <f t="shared" si="298"/>
        <v>0</v>
      </c>
      <c r="AJ924" s="73">
        <f t="shared" si="299"/>
        <v>0</v>
      </c>
      <c r="AK924" s="539"/>
      <c r="AL924" s="748"/>
      <c r="AM924" s="748"/>
    </row>
    <row r="925" spans="2:39" x14ac:dyDescent="0.2">
      <c r="B925" s="101" t="str">
        <f t="shared" si="284"/>
        <v/>
      </c>
      <c r="C925" s="168">
        <f>IF(ISERROR(Personalplanung!F93/Monatsplanung!$E93*Monatsplanung!$O93),0,Personalplanung!F93/Monatsplanung!$E93*Monatsplanung!$O93)</f>
        <v>0</v>
      </c>
      <c r="D925" s="168">
        <f t="shared" si="285"/>
        <v>0</v>
      </c>
      <c r="E925" s="168">
        <f>IF(ISERROR(Personalplanung!H93/Monatsplanung!$E93*Monatsplanung!$O93),0,Personalplanung!H93/Monatsplanung!$E93*Monatsplanung!$O93)</f>
        <v>0</v>
      </c>
      <c r="F925" s="168">
        <f t="shared" si="286"/>
        <v>0</v>
      </c>
      <c r="G925" s="168">
        <f t="shared" si="287"/>
        <v>27.700831024930746</v>
      </c>
      <c r="H925" s="168">
        <f t="shared" si="288"/>
        <v>0</v>
      </c>
      <c r="I925" s="168">
        <f t="shared" si="289"/>
        <v>30</v>
      </c>
      <c r="J925" s="739"/>
      <c r="K925" s="168">
        <f>IF(J925&lt;&gt;"",J925,IF(ISERROR(Personalplanung!AB93/Monatsplanung!$E93*Monatsplanung!$O93),0,Personalplanung!AB93/Monatsplanung!$E93*Monatsplanung!$O93))</f>
        <v>0</v>
      </c>
      <c r="L925" s="740"/>
      <c r="M925" s="739"/>
      <c r="N925" s="168">
        <f>IF(M925&lt;&gt;"",M925,IF(ISERROR(Personalplanung!AC93/Monatsplanung!$E93*Monatsplanung!$O93),0,Personalplanung!AC93/Monatsplanung!$E93*Monatsplanung!$O93))</f>
        <v>0</v>
      </c>
      <c r="O925" s="740"/>
      <c r="P925" s="739"/>
      <c r="Q925" s="168">
        <f>IF(P925&lt;&gt;"",P925,IF(ISERROR(Personalplanung!AD93/Monatsplanung!$E93*Monatsplanung!$O93),0,Personalplanung!AD93/Monatsplanung!$E93*Monatsplanung!$O93))</f>
        <v>0</v>
      </c>
      <c r="R925" s="740"/>
      <c r="S925" s="739"/>
      <c r="T925" s="168">
        <f>IF(S925&lt;&gt;"",S925,IF(ISERROR(Personalplanung!AE93/Monatsplanung!$E93*Monatsplanung!$O93),0,Personalplanung!AE93/Monatsplanung!$E93*Monatsplanung!$O93))</f>
        <v>0</v>
      </c>
      <c r="U925" s="740"/>
      <c r="V925" s="168">
        <f t="shared" si="290"/>
        <v>0</v>
      </c>
      <c r="W925" s="168">
        <f>IF(ISERROR(Personalplanung!P93/Monatsplanung!$E93*Monatsplanung!$O93),0,Personalplanung!P93/Monatsplanung!$E93*Monatsplanung!$O93)</f>
        <v>0</v>
      </c>
      <c r="X925" s="168">
        <f>IF(ISERROR(Personalplanung!Q93/Monatsplanung!$E93*Monatsplanung!$O93),0,Personalplanung!Q93/Monatsplanung!$E93*Monatsplanung!$O93)</f>
        <v>0</v>
      </c>
      <c r="Y925" s="168">
        <f>IF(ISERROR(Personalplanung!R93/T1341*Stundencontrolling!T925),0,Personalplanung!R93/T1341*Stundencontrolling!T925)</f>
        <v>0</v>
      </c>
      <c r="Z925" s="168">
        <f>IF(ISERROR(Personalplanung!S93/Monatsplanung!$E93*Monatsplanung!$O93),0,Personalplanung!S93/Monatsplanung!$E93*Monatsplanung!$O93)</f>
        <v>0</v>
      </c>
      <c r="AA925" s="80">
        <f t="shared" si="291"/>
        <v>0</v>
      </c>
      <c r="AB925" s="102">
        <f t="shared" si="292"/>
        <v>0.1</v>
      </c>
      <c r="AC925" s="103">
        <f t="shared" si="293"/>
        <v>0</v>
      </c>
      <c r="AD925" s="103">
        <f t="shared" si="294"/>
        <v>0</v>
      </c>
      <c r="AE925" s="81">
        <f t="shared" si="295"/>
        <v>0</v>
      </c>
      <c r="AF925" s="539"/>
      <c r="AG925" s="104">
        <f t="shared" si="296"/>
        <v>1</v>
      </c>
      <c r="AH925" s="7">
        <f t="shared" si="297"/>
        <v>0</v>
      </c>
      <c r="AI925" s="6">
        <f t="shared" si="298"/>
        <v>0</v>
      </c>
      <c r="AJ925" s="73">
        <f t="shared" si="299"/>
        <v>0</v>
      </c>
      <c r="AK925" s="539"/>
      <c r="AL925" s="748"/>
      <c r="AM925" s="748"/>
    </row>
    <row r="926" spans="2:39" x14ac:dyDescent="0.2">
      <c r="B926" s="101" t="str">
        <f t="shared" si="284"/>
        <v/>
      </c>
      <c r="C926" s="168">
        <f>IF(ISERROR(Personalplanung!F94/Monatsplanung!$E94*Monatsplanung!$O94),0,Personalplanung!F94/Monatsplanung!$E94*Monatsplanung!$O94)</f>
        <v>0</v>
      </c>
      <c r="D926" s="168">
        <f t="shared" si="285"/>
        <v>0</v>
      </c>
      <c r="E926" s="168">
        <f>IF(ISERROR(Personalplanung!H94/Monatsplanung!$E94*Monatsplanung!$O94),0,Personalplanung!H94/Monatsplanung!$E94*Monatsplanung!$O94)</f>
        <v>0</v>
      </c>
      <c r="F926" s="168">
        <f t="shared" si="286"/>
        <v>0</v>
      </c>
      <c r="G926" s="168">
        <f t="shared" si="287"/>
        <v>27.700831024930746</v>
      </c>
      <c r="H926" s="168">
        <f t="shared" si="288"/>
        <v>0</v>
      </c>
      <c r="I926" s="168">
        <f t="shared" si="289"/>
        <v>30</v>
      </c>
      <c r="J926" s="739"/>
      <c r="K926" s="168">
        <f>IF(J926&lt;&gt;"",J926,IF(ISERROR(Personalplanung!AB94/Monatsplanung!$E94*Monatsplanung!$O94),0,Personalplanung!AB94/Monatsplanung!$E94*Monatsplanung!$O94))</f>
        <v>0</v>
      </c>
      <c r="L926" s="740"/>
      <c r="M926" s="739"/>
      <c r="N926" s="168">
        <f>IF(M926&lt;&gt;"",M926,IF(ISERROR(Personalplanung!AC94/Monatsplanung!$E94*Monatsplanung!$O94),0,Personalplanung!AC94/Monatsplanung!$E94*Monatsplanung!$O94))</f>
        <v>0</v>
      </c>
      <c r="O926" s="740"/>
      <c r="P926" s="739"/>
      <c r="Q926" s="168">
        <f>IF(P926&lt;&gt;"",P926,IF(ISERROR(Personalplanung!AD94/Monatsplanung!$E94*Monatsplanung!$O94),0,Personalplanung!AD94/Monatsplanung!$E94*Monatsplanung!$O94))</f>
        <v>0</v>
      </c>
      <c r="R926" s="740"/>
      <c r="S926" s="739"/>
      <c r="T926" s="168">
        <f>IF(S926&lt;&gt;"",S926,IF(ISERROR(Personalplanung!AE94/Monatsplanung!$E94*Monatsplanung!$O94),0,Personalplanung!AE94/Monatsplanung!$E94*Monatsplanung!$O94))</f>
        <v>0</v>
      </c>
      <c r="U926" s="740"/>
      <c r="V926" s="168">
        <f t="shared" si="290"/>
        <v>0</v>
      </c>
      <c r="W926" s="168">
        <f>IF(ISERROR(Personalplanung!P94/Monatsplanung!$E94*Monatsplanung!$O94),0,Personalplanung!P94/Monatsplanung!$E94*Monatsplanung!$O94)</f>
        <v>0</v>
      </c>
      <c r="X926" s="168">
        <f>IF(ISERROR(Personalplanung!Q94/Monatsplanung!$E94*Monatsplanung!$O94),0,Personalplanung!Q94/Monatsplanung!$E94*Monatsplanung!$O94)</f>
        <v>0</v>
      </c>
      <c r="Y926" s="168">
        <f>IF(ISERROR(Personalplanung!R94/T1342*Stundencontrolling!T926),0,Personalplanung!R94/T1342*Stundencontrolling!T926)</f>
        <v>0</v>
      </c>
      <c r="Z926" s="168">
        <f>IF(ISERROR(Personalplanung!S94/Monatsplanung!$E94*Monatsplanung!$O94),0,Personalplanung!S94/Monatsplanung!$E94*Monatsplanung!$O94)</f>
        <v>0</v>
      </c>
      <c r="AA926" s="80">
        <f t="shared" si="291"/>
        <v>0</v>
      </c>
      <c r="AB926" s="102">
        <f t="shared" si="292"/>
        <v>0.1</v>
      </c>
      <c r="AC926" s="103">
        <f t="shared" si="293"/>
        <v>0</v>
      </c>
      <c r="AD926" s="103">
        <f t="shared" si="294"/>
        <v>0</v>
      </c>
      <c r="AE926" s="81">
        <f t="shared" si="295"/>
        <v>0</v>
      </c>
      <c r="AF926" s="539"/>
      <c r="AG926" s="104">
        <f t="shared" si="296"/>
        <v>1</v>
      </c>
      <c r="AH926" s="7">
        <f t="shared" si="297"/>
        <v>0</v>
      </c>
      <c r="AI926" s="6">
        <f t="shared" si="298"/>
        <v>0</v>
      </c>
      <c r="AJ926" s="73">
        <f t="shared" si="299"/>
        <v>0</v>
      </c>
      <c r="AK926" s="539"/>
      <c r="AL926" s="748"/>
      <c r="AM926" s="748"/>
    </row>
    <row r="927" spans="2:39" x14ac:dyDescent="0.2">
      <c r="B927" s="101" t="str">
        <f t="shared" si="284"/>
        <v/>
      </c>
      <c r="C927" s="168">
        <f>IF(ISERROR(Personalplanung!F95/Monatsplanung!$E95*Monatsplanung!$O95),0,Personalplanung!F95/Monatsplanung!$E95*Monatsplanung!$O95)</f>
        <v>0</v>
      </c>
      <c r="D927" s="168">
        <f t="shared" si="285"/>
        <v>0</v>
      </c>
      <c r="E927" s="168">
        <f>IF(ISERROR(Personalplanung!H95/Monatsplanung!$E95*Monatsplanung!$O95),0,Personalplanung!H95/Monatsplanung!$E95*Monatsplanung!$O95)</f>
        <v>0</v>
      </c>
      <c r="F927" s="168">
        <f t="shared" si="286"/>
        <v>0</v>
      </c>
      <c r="G927" s="168">
        <f t="shared" si="287"/>
        <v>27.700831024930746</v>
      </c>
      <c r="H927" s="168">
        <f t="shared" si="288"/>
        <v>0</v>
      </c>
      <c r="I927" s="168">
        <f t="shared" si="289"/>
        <v>30</v>
      </c>
      <c r="J927" s="739"/>
      <c r="K927" s="168">
        <f>IF(J927&lt;&gt;"",J927,IF(ISERROR(Personalplanung!AB95/Monatsplanung!$E95*Monatsplanung!$O95),0,Personalplanung!AB95/Monatsplanung!$E95*Monatsplanung!$O95))</f>
        <v>0</v>
      </c>
      <c r="L927" s="740"/>
      <c r="M927" s="739"/>
      <c r="N927" s="168">
        <f>IF(M927&lt;&gt;"",M927,IF(ISERROR(Personalplanung!AC95/Monatsplanung!$E95*Monatsplanung!$O95),0,Personalplanung!AC95/Monatsplanung!$E95*Monatsplanung!$O95))</f>
        <v>0</v>
      </c>
      <c r="O927" s="740"/>
      <c r="P927" s="739"/>
      <c r="Q927" s="168">
        <f>IF(P927&lt;&gt;"",P927,IF(ISERROR(Personalplanung!AD95/Monatsplanung!$E95*Monatsplanung!$O95),0,Personalplanung!AD95/Monatsplanung!$E95*Monatsplanung!$O95))</f>
        <v>0</v>
      </c>
      <c r="R927" s="740"/>
      <c r="S927" s="739"/>
      <c r="T927" s="168">
        <f>IF(S927&lt;&gt;"",S927,IF(ISERROR(Personalplanung!AE95/Monatsplanung!$E95*Monatsplanung!$O95),0,Personalplanung!AE95/Monatsplanung!$E95*Monatsplanung!$O95))</f>
        <v>0</v>
      </c>
      <c r="U927" s="740"/>
      <c r="V927" s="168">
        <f t="shared" si="290"/>
        <v>0</v>
      </c>
      <c r="W927" s="168">
        <f>IF(ISERROR(Personalplanung!P95/Monatsplanung!$E95*Monatsplanung!$O95),0,Personalplanung!P95/Monatsplanung!$E95*Monatsplanung!$O95)</f>
        <v>0</v>
      </c>
      <c r="X927" s="168">
        <f>IF(ISERROR(Personalplanung!Q95/Monatsplanung!$E95*Monatsplanung!$O95),0,Personalplanung!Q95/Monatsplanung!$E95*Monatsplanung!$O95)</f>
        <v>0</v>
      </c>
      <c r="Y927" s="168">
        <f>IF(ISERROR(Personalplanung!R95/T1343*Stundencontrolling!T927),0,Personalplanung!R95/T1343*Stundencontrolling!T927)</f>
        <v>0</v>
      </c>
      <c r="Z927" s="168">
        <f>IF(ISERROR(Personalplanung!S95/Monatsplanung!$E95*Monatsplanung!$O95),0,Personalplanung!S95/Monatsplanung!$E95*Monatsplanung!$O95)</f>
        <v>0</v>
      </c>
      <c r="AA927" s="80">
        <f t="shared" si="291"/>
        <v>0</v>
      </c>
      <c r="AB927" s="102">
        <f t="shared" si="292"/>
        <v>0.1</v>
      </c>
      <c r="AC927" s="103">
        <f t="shared" si="293"/>
        <v>0</v>
      </c>
      <c r="AD927" s="103">
        <f t="shared" si="294"/>
        <v>0</v>
      </c>
      <c r="AE927" s="81">
        <f t="shared" si="295"/>
        <v>0</v>
      </c>
      <c r="AF927" s="539"/>
      <c r="AG927" s="104">
        <f t="shared" si="296"/>
        <v>1</v>
      </c>
      <c r="AH927" s="7">
        <f t="shared" si="297"/>
        <v>0</v>
      </c>
      <c r="AI927" s="6">
        <f t="shared" si="298"/>
        <v>0</v>
      </c>
      <c r="AJ927" s="73">
        <f t="shared" si="299"/>
        <v>0</v>
      </c>
      <c r="AK927" s="539"/>
      <c r="AL927" s="748"/>
      <c r="AM927" s="748"/>
    </row>
    <row r="928" spans="2:39" x14ac:dyDescent="0.2">
      <c r="B928" s="101" t="str">
        <f t="shared" si="284"/>
        <v/>
      </c>
      <c r="C928" s="168">
        <f>IF(ISERROR(Personalplanung!F96/Monatsplanung!$E96*Monatsplanung!$O96),0,Personalplanung!F96/Monatsplanung!$E96*Monatsplanung!$O96)</f>
        <v>0</v>
      </c>
      <c r="D928" s="168">
        <f t="shared" si="285"/>
        <v>0</v>
      </c>
      <c r="E928" s="168">
        <f>IF(ISERROR(Personalplanung!H96/Monatsplanung!$E96*Monatsplanung!$O96),0,Personalplanung!H96/Monatsplanung!$E96*Monatsplanung!$O96)</f>
        <v>0</v>
      </c>
      <c r="F928" s="168">
        <f t="shared" si="286"/>
        <v>0</v>
      </c>
      <c r="G928" s="168">
        <f t="shared" si="287"/>
        <v>27.700831024930746</v>
      </c>
      <c r="H928" s="168">
        <f t="shared" si="288"/>
        <v>0</v>
      </c>
      <c r="I928" s="168">
        <f t="shared" si="289"/>
        <v>30</v>
      </c>
      <c r="J928" s="739"/>
      <c r="K928" s="168">
        <f>IF(J928&lt;&gt;"",J928,IF(ISERROR(Personalplanung!AB96/Monatsplanung!$E96*Monatsplanung!$O96),0,Personalplanung!AB96/Monatsplanung!$E96*Monatsplanung!$O96))</f>
        <v>0</v>
      </c>
      <c r="L928" s="740"/>
      <c r="M928" s="739"/>
      <c r="N928" s="168">
        <f>IF(M928&lt;&gt;"",M928,IF(ISERROR(Personalplanung!AC96/Monatsplanung!$E96*Monatsplanung!$O96),0,Personalplanung!AC96/Monatsplanung!$E96*Monatsplanung!$O96))</f>
        <v>0</v>
      </c>
      <c r="O928" s="740"/>
      <c r="P928" s="739"/>
      <c r="Q928" s="168">
        <f>IF(P928&lt;&gt;"",P928,IF(ISERROR(Personalplanung!AD96/Monatsplanung!$E96*Monatsplanung!$O96),0,Personalplanung!AD96/Monatsplanung!$E96*Monatsplanung!$O96))</f>
        <v>0</v>
      </c>
      <c r="R928" s="740"/>
      <c r="S928" s="739"/>
      <c r="T928" s="168">
        <f>IF(S928&lt;&gt;"",S928,IF(ISERROR(Personalplanung!AE96/Monatsplanung!$E96*Monatsplanung!$O96),0,Personalplanung!AE96/Monatsplanung!$E96*Monatsplanung!$O96))</f>
        <v>0</v>
      </c>
      <c r="U928" s="740"/>
      <c r="V928" s="168">
        <f t="shared" si="290"/>
        <v>0</v>
      </c>
      <c r="W928" s="168">
        <f>IF(ISERROR(Personalplanung!P96/Monatsplanung!$E96*Monatsplanung!$O96),0,Personalplanung!P96/Monatsplanung!$E96*Monatsplanung!$O96)</f>
        <v>0</v>
      </c>
      <c r="X928" s="168">
        <f>IF(ISERROR(Personalplanung!Q96/Monatsplanung!$E96*Monatsplanung!$O96),0,Personalplanung!Q96/Monatsplanung!$E96*Monatsplanung!$O96)</f>
        <v>0</v>
      </c>
      <c r="Y928" s="168">
        <f>IF(ISERROR(Personalplanung!R96/T1344*Stundencontrolling!T928),0,Personalplanung!R96/T1344*Stundencontrolling!T928)</f>
        <v>0</v>
      </c>
      <c r="Z928" s="168">
        <f>IF(ISERROR(Personalplanung!S96/Monatsplanung!$E96*Monatsplanung!$O96),0,Personalplanung!S96/Monatsplanung!$E96*Monatsplanung!$O96)</f>
        <v>0</v>
      </c>
      <c r="AA928" s="80">
        <f t="shared" si="291"/>
        <v>0</v>
      </c>
      <c r="AB928" s="102">
        <f t="shared" si="292"/>
        <v>0.1</v>
      </c>
      <c r="AC928" s="103">
        <f t="shared" si="293"/>
        <v>0</v>
      </c>
      <c r="AD928" s="103">
        <f t="shared" si="294"/>
        <v>0</v>
      </c>
      <c r="AE928" s="81">
        <f t="shared" si="295"/>
        <v>0</v>
      </c>
      <c r="AF928" s="539"/>
      <c r="AG928" s="104">
        <f t="shared" si="296"/>
        <v>1</v>
      </c>
      <c r="AH928" s="7">
        <f t="shared" si="297"/>
        <v>0</v>
      </c>
      <c r="AI928" s="6">
        <f t="shared" si="298"/>
        <v>0</v>
      </c>
      <c r="AJ928" s="73">
        <f t="shared" si="299"/>
        <v>0</v>
      </c>
      <c r="AK928" s="539"/>
      <c r="AL928" s="748"/>
      <c r="AM928" s="748"/>
    </row>
    <row r="929" spans="2:39" x14ac:dyDescent="0.2">
      <c r="B929" s="101" t="str">
        <f t="shared" si="284"/>
        <v/>
      </c>
      <c r="C929" s="168">
        <f>IF(ISERROR(Personalplanung!F97/Monatsplanung!$E97*Monatsplanung!$O97),0,Personalplanung!F97/Monatsplanung!$E97*Monatsplanung!$O97)</f>
        <v>0</v>
      </c>
      <c r="D929" s="168">
        <f t="shared" si="285"/>
        <v>0</v>
      </c>
      <c r="E929" s="168">
        <f>IF(ISERROR(Personalplanung!H97/Monatsplanung!$E97*Monatsplanung!$O97),0,Personalplanung!H97/Monatsplanung!$E97*Monatsplanung!$O97)</f>
        <v>0</v>
      </c>
      <c r="F929" s="168">
        <f t="shared" si="286"/>
        <v>0</v>
      </c>
      <c r="G929" s="168">
        <f t="shared" si="287"/>
        <v>27.700831024930746</v>
      </c>
      <c r="H929" s="168">
        <f t="shared" si="288"/>
        <v>0</v>
      </c>
      <c r="I929" s="168">
        <f t="shared" si="289"/>
        <v>30</v>
      </c>
      <c r="J929" s="739"/>
      <c r="K929" s="168">
        <f>IF(J929&lt;&gt;"",J929,IF(ISERROR(Personalplanung!AB97/Monatsplanung!$E97*Monatsplanung!$O97),0,Personalplanung!AB97/Monatsplanung!$E97*Monatsplanung!$O97))</f>
        <v>0</v>
      </c>
      <c r="L929" s="740"/>
      <c r="M929" s="739"/>
      <c r="N929" s="168">
        <f>IF(M929&lt;&gt;"",M929,IF(ISERROR(Personalplanung!AC97/Monatsplanung!$E97*Monatsplanung!$O97),0,Personalplanung!AC97/Monatsplanung!$E97*Monatsplanung!$O97))</f>
        <v>0</v>
      </c>
      <c r="O929" s="740"/>
      <c r="P929" s="739"/>
      <c r="Q929" s="168">
        <f>IF(P929&lt;&gt;"",P929,IF(ISERROR(Personalplanung!AD97/Monatsplanung!$E97*Monatsplanung!$O97),0,Personalplanung!AD97/Monatsplanung!$E97*Monatsplanung!$O97))</f>
        <v>0</v>
      </c>
      <c r="R929" s="740"/>
      <c r="S929" s="739"/>
      <c r="T929" s="168">
        <f>IF(S929&lt;&gt;"",S929,IF(ISERROR(Personalplanung!AE97/Monatsplanung!$E97*Monatsplanung!$O97),0,Personalplanung!AE97/Monatsplanung!$E97*Monatsplanung!$O97))</f>
        <v>0</v>
      </c>
      <c r="U929" s="740"/>
      <c r="V929" s="168">
        <f t="shared" si="290"/>
        <v>0</v>
      </c>
      <c r="W929" s="168">
        <f>IF(ISERROR(Personalplanung!P97/Monatsplanung!$E97*Monatsplanung!$O97),0,Personalplanung!P97/Monatsplanung!$E97*Monatsplanung!$O97)</f>
        <v>0</v>
      </c>
      <c r="X929" s="168">
        <f>IF(ISERROR(Personalplanung!Q97/Monatsplanung!$E97*Monatsplanung!$O97),0,Personalplanung!Q97/Monatsplanung!$E97*Monatsplanung!$O97)</f>
        <v>0</v>
      </c>
      <c r="Y929" s="168">
        <f>IF(ISERROR(Personalplanung!R97/T1345*Stundencontrolling!T929),0,Personalplanung!R97/T1345*Stundencontrolling!T929)</f>
        <v>0</v>
      </c>
      <c r="Z929" s="168">
        <f>IF(ISERROR(Personalplanung!S97/Monatsplanung!$E97*Monatsplanung!$O97),0,Personalplanung!S97/Monatsplanung!$E97*Monatsplanung!$O97)</f>
        <v>0</v>
      </c>
      <c r="AA929" s="80">
        <f t="shared" si="291"/>
        <v>0</v>
      </c>
      <c r="AB929" s="102">
        <f t="shared" si="292"/>
        <v>0.1</v>
      </c>
      <c r="AC929" s="103">
        <f t="shared" si="293"/>
        <v>0</v>
      </c>
      <c r="AD929" s="103">
        <f t="shared" si="294"/>
        <v>0</v>
      </c>
      <c r="AE929" s="81">
        <f t="shared" si="295"/>
        <v>0</v>
      </c>
      <c r="AF929" s="539"/>
      <c r="AG929" s="104">
        <f t="shared" si="296"/>
        <v>1</v>
      </c>
      <c r="AH929" s="7">
        <f t="shared" si="297"/>
        <v>0</v>
      </c>
      <c r="AI929" s="6">
        <f t="shared" si="298"/>
        <v>0</v>
      </c>
      <c r="AJ929" s="73">
        <f t="shared" si="299"/>
        <v>0</v>
      </c>
      <c r="AK929" s="539"/>
      <c r="AL929" s="748"/>
      <c r="AM929" s="748"/>
    </row>
    <row r="930" spans="2:39" x14ac:dyDescent="0.2">
      <c r="B930" s="101" t="str">
        <f t="shared" si="284"/>
        <v/>
      </c>
      <c r="C930" s="168">
        <f>IF(ISERROR(Personalplanung!F98/Monatsplanung!$E98*Monatsplanung!$O98),0,Personalplanung!F98/Monatsplanung!$E98*Monatsplanung!$O98)</f>
        <v>0</v>
      </c>
      <c r="D930" s="168">
        <f t="shared" si="285"/>
        <v>0</v>
      </c>
      <c r="E930" s="168">
        <f>IF(ISERROR(Personalplanung!H98/Monatsplanung!$E98*Monatsplanung!$O98),0,Personalplanung!H98/Monatsplanung!$E98*Monatsplanung!$O98)</f>
        <v>0</v>
      </c>
      <c r="F930" s="168">
        <f t="shared" si="286"/>
        <v>0</v>
      </c>
      <c r="G930" s="168">
        <f t="shared" si="287"/>
        <v>27.700831024930746</v>
      </c>
      <c r="H930" s="168">
        <f t="shared" si="288"/>
        <v>0</v>
      </c>
      <c r="I930" s="168">
        <f t="shared" si="289"/>
        <v>30</v>
      </c>
      <c r="J930" s="739"/>
      <c r="K930" s="168">
        <f>IF(J930&lt;&gt;"",J930,IF(ISERROR(Personalplanung!AB98/Monatsplanung!$E98*Monatsplanung!$O98),0,Personalplanung!AB98/Monatsplanung!$E98*Monatsplanung!$O98))</f>
        <v>0</v>
      </c>
      <c r="L930" s="740"/>
      <c r="M930" s="739"/>
      <c r="N930" s="168">
        <f>IF(M930&lt;&gt;"",M930,IF(ISERROR(Personalplanung!AC98/Monatsplanung!$E98*Monatsplanung!$O98),0,Personalplanung!AC98/Monatsplanung!$E98*Monatsplanung!$O98))</f>
        <v>0</v>
      </c>
      <c r="O930" s="740"/>
      <c r="P930" s="739"/>
      <c r="Q930" s="168">
        <f>IF(P930&lt;&gt;"",P930,IF(ISERROR(Personalplanung!AD98/Monatsplanung!$E98*Monatsplanung!$O98),0,Personalplanung!AD98/Monatsplanung!$E98*Monatsplanung!$O98))</f>
        <v>0</v>
      </c>
      <c r="R930" s="740"/>
      <c r="S930" s="739"/>
      <c r="T930" s="168">
        <f>IF(S930&lt;&gt;"",S930,IF(ISERROR(Personalplanung!AE98/Monatsplanung!$E98*Monatsplanung!$O98),0,Personalplanung!AE98/Monatsplanung!$E98*Monatsplanung!$O98))</f>
        <v>0</v>
      </c>
      <c r="U930" s="740"/>
      <c r="V930" s="168">
        <f t="shared" si="290"/>
        <v>0</v>
      </c>
      <c r="W930" s="168">
        <f>IF(ISERROR(Personalplanung!P98/Monatsplanung!$E98*Monatsplanung!$O98),0,Personalplanung!P98/Monatsplanung!$E98*Monatsplanung!$O98)</f>
        <v>0</v>
      </c>
      <c r="X930" s="168">
        <f>IF(ISERROR(Personalplanung!Q98/Monatsplanung!$E98*Monatsplanung!$O98),0,Personalplanung!Q98/Monatsplanung!$E98*Monatsplanung!$O98)</f>
        <v>0</v>
      </c>
      <c r="Y930" s="168">
        <f>IF(ISERROR(Personalplanung!R98/T1346*Stundencontrolling!T930),0,Personalplanung!R98/T1346*Stundencontrolling!T930)</f>
        <v>0</v>
      </c>
      <c r="Z930" s="168">
        <f>IF(ISERROR(Personalplanung!S98/Monatsplanung!$E98*Monatsplanung!$O98),0,Personalplanung!S98/Monatsplanung!$E98*Monatsplanung!$O98)</f>
        <v>0</v>
      </c>
      <c r="AA930" s="80">
        <f t="shared" si="291"/>
        <v>0</v>
      </c>
      <c r="AB930" s="102">
        <f t="shared" si="292"/>
        <v>0.1</v>
      </c>
      <c r="AC930" s="103">
        <f t="shared" si="293"/>
        <v>0</v>
      </c>
      <c r="AD930" s="103">
        <f t="shared" si="294"/>
        <v>0</v>
      </c>
      <c r="AE930" s="81">
        <f t="shared" si="295"/>
        <v>0</v>
      </c>
      <c r="AF930" s="539"/>
      <c r="AG930" s="104">
        <f t="shared" si="296"/>
        <v>1</v>
      </c>
      <c r="AH930" s="7">
        <f t="shared" si="297"/>
        <v>0</v>
      </c>
      <c r="AI930" s="6">
        <f t="shared" si="298"/>
        <v>0</v>
      </c>
      <c r="AJ930" s="73">
        <f t="shared" si="299"/>
        <v>0</v>
      </c>
      <c r="AK930" s="539"/>
      <c r="AL930" s="748"/>
      <c r="AM930" s="748"/>
    </row>
    <row r="931" spans="2:39" x14ac:dyDescent="0.2">
      <c r="B931" s="101" t="str">
        <f t="shared" si="284"/>
        <v/>
      </c>
      <c r="C931" s="168">
        <f>IF(ISERROR(Personalplanung!F99/Monatsplanung!$E99*Monatsplanung!$O99),0,Personalplanung!F99/Monatsplanung!$E99*Monatsplanung!$O99)</f>
        <v>0</v>
      </c>
      <c r="D931" s="168">
        <f t="shared" si="285"/>
        <v>0</v>
      </c>
      <c r="E931" s="168">
        <f>IF(ISERROR(Personalplanung!H99/Monatsplanung!$E99*Monatsplanung!$O99),0,Personalplanung!H99/Monatsplanung!$E99*Monatsplanung!$O99)</f>
        <v>0</v>
      </c>
      <c r="F931" s="168">
        <f t="shared" si="286"/>
        <v>0</v>
      </c>
      <c r="G931" s="168">
        <f t="shared" si="287"/>
        <v>27.700831024930746</v>
      </c>
      <c r="H931" s="168">
        <f t="shared" si="288"/>
        <v>0</v>
      </c>
      <c r="I931" s="168">
        <f t="shared" si="289"/>
        <v>30</v>
      </c>
      <c r="J931" s="739"/>
      <c r="K931" s="168">
        <f>IF(J931&lt;&gt;"",J931,IF(ISERROR(Personalplanung!AB99/Monatsplanung!$E99*Monatsplanung!$O99),0,Personalplanung!AB99/Monatsplanung!$E99*Monatsplanung!$O99))</f>
        <v>0</v>
      </c>
      <c r="L931" s="740"/>
      <c r="M931" s="739"/>
      <c r="N931" s="168">
        <f>IF(M931&lt;&gt;"",M931,IF(ISERROR(Personalplanung!AC99/Monatsplanung!$E99*Monatsplanung!$O99),0,Personalplanung!AC99/Monatsplanung!$E99*Monatsplanung!$O99))</f>
        <v>0</v>
      </c>
      <c r="O931" s="740"/>
      <c r="P931" s="739"/>
      <c r="Q931" s="168">
        <f>IF(P931&lt;&gt;"",P931,IF(ISERROR(Personalplanung!AD99/Monatsplanung!$E99*Monatsplanung!$O99),0,Personalplanung!AD99/Monatsplanung!$E99*Monatsplanung!$O99))</f>
        <v>0</v>
      </c>
      <c r="R931" s="740"/>
      <c r="S931" s="739"/>
      <c r="T931" s="168">
        <f>IF(S931&lt;&gt;"",S931,IF(ISERROR(Personalplanung!AE99/Monatsplanung!$E99*Monatsplanung!$O99),0,Personalplanung!AE99/Monatsplanung!$E99*Monatsplanung!$O99))</f>
        <v>0</v>
      </c>
      <c r="U931" s="740"/>
      <c r="V931" s="168">
        <f t="shared" si="290"/>
        <v>0</v>
      </c>
      <c r="W931" s="168">
        <f>IF(ISERROR(Personalplanung!P99/Monatsplanung!$E99*Monatsplanung!$O99),0,Personalplanung!P99/Monatsplanung!$E99*Monatsplanung!$O99)</f>
        <v>0</v>
      </c>
      <c r="X931" s="168">
        <f>IF(ISERROR(Personalplanung!Q99/Monatsplanung!$E99*Monatsplanung!$O99),0,Personalplanung!Q99/Monatsplanung!$E99*Monatsplanung!$O99)</f>
        <v>0</v>
      </c>
      <c r="Y931" s="168">
        <f>IF(ISERROR(Personalplanung!R99/T1347*Stundencontrolling!T931),0,Personalplanung!R99/T1347*Stundencontrolling!T931)</f>
        <v>0</v>
      </c>
      <c r="Z931" s="168">
        <f>IF(ISERROR(Personalplanung!S99/Monatsplanung!$E99*Monatsplanung!$O99),0,Personalplanung!S99/Monatsplanung!$E99*Monatsplanung!$O99)</f>
        <v>0</v>
      </c>
      <c r="AA931" s="80">
        <f t="shared" si="291"/>
        <v>0</v>
      </c>
      <c r="AB931" s="102">
        <f t="shared" si="292"/>
        <v>0.1</v>
      </c>
      <c r="AC931" s="103">
        <f t="shared" si="293"/>
        <v>0</v>
      </c>
      <c r="AD931" s="103">
        <f t="shared" si="294"/>
        <v>0</v>
      </c>
      <c r="AE931" s="81">
        <f t="shared" si="295"/>
        <v>0</v>
      </c>
      <c r="AF931" s="539"/>
      <c r="AG931" s="104">
        <f t="shared" si="296"/>
        <v>1</v>
      </c>
      <c r="AH931" s="7">
        <f t="shared" si="297"/>
        <v>0</v>
      </c>
      <c r="AI931" s="6">
        <f t="shared" si="298"/>
        <v>0</v>
      </c>
      <c r="AJ931" s="73">
        <f t="shared" si="299"/>
        <v>0</v>
      </c>
      <c r="AK931" s="539"/>
      <c r="AL931" s="748"/>
      <c r="AM931" s="748"/>
    </row>
    <row r="932" spans="2:39" x14ac:dyDescent="0.2">
      <c r="B932" s="101" t="str">
        <f t="shared" si="284"/>
        <v/>
      </c>
      <c r="C932" s="168">
        <f>IF(ISERROR(Personalplanung!F100/Monatsplanung!$E100*Monatsplanung!$O100),0,Personalplanung!F100/Monatsplanung!$E100*Monatsplanung!$O100)</f>
        <v>0</v>
      </c>
      <c r="D932" s="168">
        <f t="shared" si="285"/>
        <v>0</v>
      </c>
      <c r="E932" s="168">
        <f>IF(ISERROR(Personalplanung!H100/Monatsplanung!$E100*Monatsplanung!$O100),0,Personalplanung!H100/Monatsplanung!$E100*Monatsplanung!$O100)</f>
        <v>0</v>
      </c>
      <c r="F932" s="168">
        <f t="shared" si="286"/>
        <v>0</v>
      </c>
      <c r="G932" s="168">
        <f t="shared" si="287"/>
        <v>27.700831024930746</v>
      </c>
      <c r="H932" s="168">
        <f t="shared" si="288"/>
        <v>0</v>
      </c>
      <c r="I932" s="168">
        <f t="shared" si="289"/>
        <v>30</v>
      </c>
      <c r="J932" s="739"/>
      <c r="K932" s="168">
        <f>IF(J932&lt;&gt;"",J932,IF(ISERROR(Personalplanung!AB100/Monatsplanung!$E100*Monatsplanung!$O100),0,Personalplanung!AB100/Monatsplanung!$E100*Monatsplanung!$O100))</f>
        <v>0</v>
      </c>
      <c r="L932" s="740"/>
      <c r="M932" s="739"/>
      <c r="N932" s="168">
        <f>IF(M932&lt;&gt;"",M932,IF(ISERROR(Personalplanung!AC100/Monatsplanung!$E100*Monatsplanung!$O100),0,Personalplanung!AC100/Monatsplanung!$E100*Monatsplanung!$O100))</f>
        <v>0</v>
      </c>
      <c r="O932" s="740"/>
      <c r="P932" s="739"/>
      <c r="Q932" s="168">
        <f>IF(P932&lt;&gt;"",P932,IF(ISERROR(Personalplanung!AD100/Monatsplanung!$E100*Monatsplanung!$O100),0,Personalplanung!AD100/Monatsplanung!$E100*Monatsplanung!$O100))</f>
        <v>0</v>
      </c>
      <c r="R932" s="740"/>
      <c r="S932" s="739"/>
      <c r="T932" s="168">
        <f>IF(S932&lt;&gt;"",S932,IF(ISERROR(Personalplanung!AE100/Monatsplanung!$E100*Monatsplanung!$O100),0,Personalplanung!AE100/Monatsplanung!$E100*Monatsplanung!$O100))</f>
        <v>0</v>
      </c>
      <c r="U932" s="740"/>
      <c r="V932" s="168">
        <f t="shared" si="290"/>
        <v>0</v>
      </c>
      <c r="W932" s="168">
        <f>IF(ISERROR(Personalplanung!P100/Monatsplanung!$E100*Monatsplanung!$O100),0,Personalplanung!P100/Monatsplanung!$E100*Monatsplanung!$O100)</f>
        <v>0</v>
      </c>
      <c r="X932" s="168">
        <f>IF(ISERROR(Personalplanung!Q100/Monatsplanung!$E100*Monatsplanung!$O100),0,Personalplanung!Q100/Monatsplanung!$E100*Monatsplanung!$O100)</f>
        <v>0</v>
      </c>
      <c r="Y932" s="168">
        <f>IF(ISERROR(Personalplanung!R100/T1348*Stundencontrolling!T932),0,Personalplanung!R100/T1348*Stundencontrolling!T932)</f>
        <v>0</v>
      </c>
      <c r="Z932" s="168">
        <f>IF(ISERROR(Personalplanung!S100/Monatsplanung!$E100*Monatsplanung!$O100),0,Personalplanung!S100/Monatsplanung!$E100*Monatsplanung!$O100)</f>
        <v>0</v>
      </c>
      <c r="AA932" s="80">
        <f t="shared" si="291"/>
        <v>0</v>
      </c>
      <c r="AB932" s="102">
        <f t="shared" si="292"/>
        <v>0.1</v>
      </c>
      <c r="AC932" s="103">
        <f t="shared" si="293"/>
        <v>0</v>
      </c>
      <c r="AD932" s="103">
        <f t="shared" si="294"/>
        <v>0</v>
      </c>
      <c r="AE932" s="81">
        <f t="shared" si="295"/>
        <v>0</v>
      </c>
      <c r="AF932" s="539"/>
      <c r="AG932" s="104">
        <f t="shared" si="296"/>
        <v>1</v>
      </c>
      <c r="AH932" s="7">
        <f t="shared" si="297"/>
        <v>0</v>
      </c>
      <c r="AI932" s="6">
        <f t="shared" si="298"/>
        <v>0</v>
      </c>
      <c r="AJ932" s="73">
        <f t="shared" si="299"/>
        <v>0</v>
      </c>
      <c r="AK932" s="539"/>
      <c r="AL932" s="748"/>
      <c r="AM932" s="748"/>
    </row>
    <row r="933" spans="2:39" x14ac:dyDescent="0.2">
      <c r="B933" s="101" t="str">
        <f t="shared" si="284"/>
        <v/>
      </c>
      <c r="C933" s="168">
        <f>IF(ISERROR(Personalplanung!F101/Monatsplanung!$E101*Monatsplanung!$O101),0,Personalplanung!F101/Monatsplanung!$E101*Monatsplanung!$O101)</f>
        <v>0</v>
      </c>
      <c r="D933" s="168">
        <f t="shared" si="285"/>
        <v>0</v>
      </c>
      <c r="E933" s="168">
        <f>IF(ISERROR(Personalplanung!H101/Monatsplanung!$E101*Monatsplanung!$O101),0,Personalplanung!H101/Monatsplanung!$E101*Monatsplanung!$O101)</f>
        <v>0</v>
      </c>
      <c r="F933" s="168">
        <f t="shared" si="286"/>
        <v>0</v>
      </c>
      <c r="G933" s="168">
        <f t="shared" si="287"/>
        <v>27.700831024930746</v>
      </c>
      <c r="H933" s="168">
        <f t="shared" si="288"/>
        <v>0</v>
      </c>
      <c r="I933" s="168">
        <f t="shared" si="289"/>
        <v>30</v>
      </c>
      <c r="J933" s="739"/>
      <c r="K933" s="168">
        <f>IF(J933&lt;&gt;"",J933,IF(ISERROR(Personalplanung!AB101/Monatsplanung!$E101*Monatsplanung!$O101),0,Personalplanung!AB101/Monatsplanung!$E101*Monatsplanung!$O101))</f>
        <v>0</v>
      </c>
      <c r="L933" s="740"/>
      <c r="M933" s="739"/>
      <c r="N933" s="168">
        <f>IF(M933&lt;&gt;"",M933,IF(ISERROR(Personalplanung!AC101/Monatsplanung!$E101*Monatsplanung!$O101),0,Personalplanung!AC101/Monatsplanung!$E101*Monatsplanung!$O101))</f>
        <v>0</v>
      </c>
      <c r="O933" s="740"/>
      <c r="P933" s="739"/>
      <c r="Q933" s="168">
        <f>IF(P933&lt;&gt;"",P933,IF(ISERROR(Personalplanung!AD101/Monatsplanung!$E101*Monatsplanung!$O101),0,Personalplanung!AD101/Monatsplanung!$E101*Monatsplanung!$O101))</f>
        <v>0</v>
      </c>
      <c r="R933" s="740"/>
      <c r="S933" s="739"/>
      <c r="T933" s="168">
        <f>IF(S933&lt;&gt;"",S933,IF(ISERROR(Personalplanung!AE101/Monatsplanung!$E101*Monatsplanung!$O101),0,Personalplanung!AE101/Monatsplanung!$E101*Monatsplanung!$O101))</f>
        <v>0</v>
      </c>
      <c r="U933" s="740"/>
      <c r="V933" s="168">
        <f t="shared" si="290"/>
        <v>0</v>
      </c>
      <c r="W933" s="168">
        <f>IF(ISERROR(Personalplanung!P101/Monatsplanung!$E101*Monatsplanung!$O101),0,Personalplanung!P101/Monatsplanung!$E101*Monatsplanung!$O101)</f>
        <v>0</v>
      </c>
      <c r="X933" s="168">
        <f>IF(ISERROR(Personalplanung!Q101/Monatsplanung!$E101*Monatsplanung!$O101),0,Personalplanung!Q101/Monatsplanung!$E101*Monatsplanung!$O101)</f>
        <v>0</v>
      </c>
      <c r="Y933" s="168">
        <f>IF(ISERROR(Personalplanung!R101/T1349*Stundencontrolling!T933),0,Personalplanung!R101/T1349*Stundencontrolling!T933)</f>
        <v>0</v>
      </c>
      <c r="Z933" s="168">
        <f>IF(ISERROR(Personalplanung!S101/Monatsplanung!$E101*Monatsplanung!$O101),0,Personalplanung!S101/Monatsplanung!$E101*Monatsplanung!$O101)</f>
        <v>0</v>
      </c>
      <c r="AA933" s="80">
        <f t="shared" si="291"/>
        <v>0</v>
      </c>
      <c r="AB933" s="102">
        <f t="shared" si="292"/>
        <v>0.1</v>
      </c>
      <c r="AC933" s="103">
        <f t="shared" si="293"/>
        <v>0</v>
      </c>
      <c r="AD933" s="103">
        <f t="shared" si="294"/>
        <v>0</v>
      </c>
      <c r="AE933" s="81">
        <f t="shared" si="295"/>
        <v>0</v>
      </c>
      <c r="AF933" s="539"/>
      <c r="AG933" s="104">
        <f t="shared" si="296"/>
        <v>1</v>
      </c>
      <c r="AH933" s="7">
        <f t="shared" si="297"/>
        <v>0</v>
      </c>
      <c r="AI933" s="6">
        <f t="shared" si="298"/>
        <v>0</v>
      </c>
      <c r="AJ933" s="73">
        <f t="shared" si="299"/>
        <v>0</v>
      </c>
      <c r="AK933" s="539"/>
      <c r="AL933" s="748"/>
      <c r="AM933" s="748"/>
    </row>
    <row r="934" spans="2:39" x14ac:dyDescent="0.2">
      <c r="B934" s="101" t="str">
        <f t="shared" si="284"/>
        <v/>
      </c>
      <c r="C934" s="168">
        <f>IF(ISERROR(Personalplanung!F102/Monatsplanung!$E102*Monatsplanung!$O102),0,Personalplanung!F102/Monatsplanung!$E102*Monatsplanung!$O102)</f>
        <v>0</v>
      </c>
      <c r="D934" s="168">
        <f t="shared" si="285"/>
        <v>0</v>
      </c>
      <c r="E934" s="168">
        <f>IF(ISERROR(Personalplanung!H102/Monatsplanung!$E102*Monatsplanung!$O102),0,Personalplanung!H102/Monatsplanung!$E102*Monatsplanung!$O102)</f>
        <v>0</v>
      </c>
      <c r="F934" s="168">
        <f t="shared" si="286"/>
        <v>0</v>
      </c>
      <c r="G934" s="168">
        <f t="shared" si="287"/>
        <v>27.700831024930746</v>
      </c>
      <c r="H934" s="168">
        <f t="shared" si="288"/>
        <v>0</v>
      </c>
      <c r="I934" s="168">
        <f t="shared" si="289"/>
        <v>30</v>
      </c>
      <c r="J934" s="739"/>
      <c r="K934" s="168">
        <f>IF(J934&lt;&gt;"",J934,IF(ISERROR(Personalplanung!AB102/Monatsplanung!$E102*Monatsplanung!$O102),0,Personalplanung!AB102/Monatsplanung!$E102*Monatsplanung!$O102))</f>
        <v>0</v>
      </c>
      <c r="L934" s="740"/>
      <c r="M934" s="739"/>
      <c r="N934" s="168">
        <f>IF(M934&lt;&gt;"",M934,IF(ISERROR(Personalplanung!AC102/Monatsplanung!$E102*Monatsplanung!$O102),0,Personalplanung!AC102/Monatsplanung!$E102*Monatsplanung!$O102))</f>
        <v>0</v>
      </c>
      <c r="O934" s="740"/>
      <c r="P934" s="739"/>
      <c r="Q934" s="168">
        <f>IF(P934&lt;&gt;"",P934,IF(ISERROR(Personalplanung!AD102/Monatsplanung!$E102*Monatsplanung!$O102),0,Personalplanung!AD102/Monatsplanung!$E102*Monatsplanung!$O102))</f>
        <v>0</v>
      </c>
      <c r="R934" s="740"/>
      <c r="S934" s="739"/>
      <c r="T934" s="168">
        <f>IF(S934&lt;&gt;"",S934,IF(ISERROR(Personalplanung!AE102/Monatsplanung!$E102*Monatsplanung!$O102),0,Personalplanung!AE102/Monatsplanung!$E102*Monatsplanung!$O102))</f>
        <v>0</v>
      </c>
      <c r="U934" s="740"/>
      <c r="V934" s="168">
        <f t="shared" si="290"/>
        <v>0</v>
      </c>
      <c r="W934" s="168">
        <f>IF(ISERROR(Personalplanung!P102/Monatsplanung!$E102*Monatsplanung!$O102),0,Personalplanung!P102/Monatsplanung!$E102*Monatsplanung!$O102)</f>
        <v>0</v>
      </c>
      <c r="X934" s="168">
        <f>IF(ISERROR(Personalplanung!Q102/Monatsplanung!$E102*Monatsplanung!$O102),0,Personalplanung!Q102/Monatsplanung!$E102*Monatsplanung!$O102)</f>
        <v>0</v>
      </c>
      <c r="Y934" s="168">
        <f>IF(ISERROR(Personalplanung!R102/T1350*Stundencontrolling!T934),0,Personalplanung!R102/T1350*Stundencontrolling!T934)</f>
        <v>0</v>
      </c>
      <c r="Z934" s="168">
        <f>IF(ISERROR(Personalplanung!S102/Monatsplanung!$E102*Monatsplanung!$O102),0,Personalplanung!S102/Monatsplanung!$E102*Monatsplanung!$O102)</f>
        <v>0</v>
      </c>
      <c r="AA934" s="80">
        <f t="shared" si="291"/>
        <v>0</v>
      </c>
      <c r="AB934" s="102">
        <f t="shared" si="292"/>
        <v>0.1</v>
      </c>
      <c r="AC934" s="103">
        <f t="shared" si="293"/>
        <v>0</v>
      </c>
      <c r="AD934" s="103">
        <f t="shared" si="294"/>
        <v>0</v>
      </c>
      <c r="AE934" s="81">
        <f t="shared" si="295"/>
        <v>0</v>
      </c>
      <c r="AF934" s="539"/>
      <c r="AG934" s="104">
        <f t="shared" si="296"/>
        <v>1</v>
      </c>
      <c r="AH934" s="7">
        <f t="shared" si="297"/>
        <v>0</v>
      </c>
      <c r="AI934" s="6">
        <f t="shared" si="298"/>
        <v>0</v>
      </c>
      <c r="AJ934" s="73">
        <f t="shared" si="299"/>
        <v>0</v>
      </c>
      <c r="AK934" s="539"/>
      <c r="AL934" s="748"/>
      <c r="AM934" s="748"/>
    </row>
    <row r="935" spans="2:39" x14ac:dyDescent="0.2">
      <c r="B935" s="101" t="str">
        <f t="shared" si="284"/>
        <v/>
      </c>
      <c r="C935" s="168">
        <f>IF(ISERROR(Personalplanung!F103/Monatsplanung!$E103*Monatsplanung!$O103),0,Personalplanung!F103/Monatsplanung!$E103*Monatsplanung!$O103)</f>
        <v>0</v>
      </c>
      <c r="D935" s="168">
        <f t="shared" si="285"/>
        <v>0</v>
      </c>
      <c r="E935" s="168">
        <f>IF(ISERROR(Personalplanung!H103/Monatsplanung!$E103*Monatsplanung!$O103),0,Personalplanung!H103/Monatsplanung!$E103*Monatsplanung!$O103)</f>
        <v>0</v>
      </c>
      <c r="F935" s="168">
        <f t="shared" si="286"/>
        <v>0</v>
      </c>
      <c r="G935" s="168">
        <f t="shared" si="287"/>
        <v>27.700831024930746</v>
      </c>
      <c r="H935" s="168">
        <f t="shared" si="288"/>
        <v>0</v>
      </c>
      <c r="I935" s="168">
        <f t="shared" si="289"/>
        <v>30</v>
      </c>
      <c r="J935" s="739"/>
      <c r="K935" s="168">
        <f>IF(J935&lt;&gt;"",J935,IF(ISERROR(Personalplanung!AB103/Monatsplanung!$E103*Monatsplanung!$O103),0,Personalplanung!AB103/Monatsplanung!$E103*Monatsplanung!$O103))</f>
        <v>0</v>
      </c>
      <c r="L935" s="740"/>
      <c r="M935" s="739"/>
      <c r="N935" s="168">
        <f>IF(M935&lt;&gt;"",M935,IF(ISERROR(Personalplanung!AC103/Monatsplanung!$E103*Monatsplanung!$O103),0,Personalplanung!AC103/Monatsplanung!$E103*Monatsplanung!$O103))</f>
        <v>0</v>
      </c>
      <c r="O935" s="740"/>
      <c r="P935" s="739"/>
      <c r="Q935" s="168">
        <f>IF(P935&lt;&gt;"",P935,IF(ISERROR(Personalplanung!AD103/Monatsplanung!$E103*Monatsplanung!$O103),0,Personalplanung!AD103/Monatsplanung!$E103*Monatsplanung!$O103))</f>
        <v>0</v>
      </c>
      <c r="R935" s="740"/>
      <c r="S935" s="739"/>
      <c r="T935" s="168">
        <f>IF(S935&lt;&gt;"",S935,IF(ISERROR(Personalplanung!AE103/Monatsplanung!$E103*Monatsplanung!$O103),0,Personalplanung!AE103/Monatsplanung!$E103*Monatsplanung!$O103))</f>
        <v>0</v>
      </c>
      <c r="U935" s="740"/>
      <c r="V935" s="168">
        <f t="shared" si="290"/>
        <v>0</v>
      </c>
      <c r="W935" s="168">
        <f>IF(ISERROR(Personalplanung!P103/Monatsplanung!$E103*Monatsplanung!$O103),0,Personalplanung!P103/Monatsplanung!$E103*Monatsplanung!$O103)</f>
        <v>0</v>
      </c>
      <c r="X935" s="168">
        <f>IF(ISERROR(Personalplanung!Q103/Monatsplanung!$E103*Monatsplanung!$O103),0,Personalplanung!Q103/Monatsplanung!$E103*Monatsplanung!$O103)</f>
        <v>0</v>
      </c>
      <c r="Y935" s="168">
        <f>IF(ISERROR(Personalplanung!R103/T1351*Stundencontrolling!T935),0,Personalplanung!R103/T1351*Stundencontrolling!T935)</f>
        <v>0</v>
      </c>
      <c r="Z935" s="168">
        <f>IF(ISERROR(Personalplanung!S103/Monatsplanung!$E103*Monatsplanung!$O103),0,Personalplanung!S103/Monatsplanung!$E103*Monatsplanung!$O103)</f>
        <v>0</v>
      </c>
      <c r="AA935" s="80">
        <f t="shared" si="291"/>
        <v>0</v>
      </c>
      <c r="AB935" s="102">
        <f t="shared" si="292"/>
        <v>0.1</v>
      </c>
      <c r="AC935" s="103">
        <f t="shared" si="293"/>
        <v>0</v>
      </c>
      <c r="AD935" s="103">
        <f t="shared" si="294"/>
        <v>0</v>
      </c>
      <c r="AE935" s="81">
        <f t="shared" si="295"/>
        <v>0</v>
      </c>
      <c r="AF935" s="539"/>
      <c r="AG935" s="104">
        <f t="shared" si="296"/>
        <v>1</v>
      </c>
      <c r="AH935" s="7">
        <f t="shared" si="297"/>
        <v>0</v>
      </c>
      <c r="AI935" s="6">
        <f t="shared" si="298"/>
        <v>0</v>
      </c>
      <c r="AJ935" s="73">
        <f t="shared" si="299"/>
        <v>0</v>
      </c>
      <c r="AK935" s="539"/>
      <c r="AL935" s="748"/>
      <c r="AM935" s="748"/>
    </row>
    <row r="936" spans="2:39" x14ac:dyDescent="0.2">
      <c r="B936" s="101" t="str">
        <f t="shared" si="284"/>
        <v/>
      </c>
      <c r="C936" s="168">
        <f>IF(ISERROR(Personalplanung!F104/Monatsplanung!$E104*Monatsplanung!$O104),0,Personalplanung!F104/Monatsplanung!$E104*Monatsplanung!$O104)</f>
        <v>0</v>
      </c>
      <c r="D936" s="168">
        <f t="shared" si="285"/>
        <v>0</v>
      </c>
      <c r="E936" s="168">
        <f>IF(ISERROR(Personalplanung!H104/Monatsplanung!$E104*Monatsplanung!$O104),0,Personalplanung!H104/Monatsplanung!$E104*Monatsplanung!$O104)</f>
        <v>0</v>
      </c>
      <c r="F936" s="168">
        <f t="shared" si="286"/>
        <v>0</v>
      </c>
      <c r="G936" s="168">
        <f t="shared" si="287"/>
        <v>27.700831024930746</v>
      </c>
      <c r="H936" s="168">
        <f t="shared" si="288"/>
        <v>0</v>
      </c>
      <c r="I936" s="168">
        <f t="shared" si="289"/>
        <v>30</v>
      </c>
      <c r="J936" s="739"/>
      <c r="K936" s="168">
        <f>IF(J936&lt;&gt;"",J936,IF(ISERROR(Personalplanung!AB104/Monatsplanung!$E104*Monatsplanung!$O104),0,Personalplanung!AB104/Monatsplanung!$E104*Monatsplanung!$O104))</f>
        <v>0</v>
      </c>
      <c r="L936" s="740"/>
      <c r="M936" s="739"/>
      <c r="N936" s="168">
        <f>IF(M936&lt;&gt;"",M936,IF(ISERROR(Personalplanung!AC104/Monatsplanung!$E104*Monatsplanung!$O104),0,Personalplanung!AC104/Monatsplanung!$E104*Monatsplanung!$O104))</f>
        <v>0</v>
      </c>
      <c r="O936" s="740"/>
      <c r="P936" s="739"/>
      <c r="Q936" s="168">
        <f>IF(P936&lt;&gt;"",P936,IF(ISERROR(Personalplanung!AD104/Monatsplanung!$E104*Monatsplanung!$O104),0,Personalplanung!AD104/Monatsplanung!$E104*Monatsplanung!$O104))</f>
        <v>0</v>
      </c>
      <c r="R936" s="740"/>
      <c r="S936" s="739"/>
      <c r="T936" s="168">
        <f>IF(S936&lt;&gt;"",S936,IF(ISERROR(Personalplanung!AE104/Monatsplanung!$E104*Monatsplanung!$O104),0,Personalplanung!AE104/Monatsplanung!$E104*Monatsplanung!$O104))</f>
        <v>0</v>
      </c>
      <c r="U936" s="740"/>
      <c r="V936" s="168">
        <f t="shared" si="290"/>
        <v>0</v>
      </c>
      <c r="W936" s="168">
        <f>IF(ISERROR(Personalplanung!P104/Monatsplanung!$E104*Monatsplanung!$O104),0,Personalplanung!P104/Monatsplanung!$E104*Monatsplanung!$O104)</f>
        <v>0</v>
      </c>
      <c r="X936" s="168">
        <f>IF(ISERROR(Personalplanung!Q104/Monatsplanung!$E104*Monatsplanung!$O104),0,Personalplanung!Q104/Monatsplanung!$E104*Monatsplanung!$O104)</f>
        <v>0</v>
      </c>
      <c r="Y936" s="168">
        <f>IF(ISERROR(Personalplanung!R104/T1352*Stundencontrolling!T936),0,Personalplanung!R104/T1352*Stundencontrolling!T936)</f>
        <v>0</v>
      </c>
      <c r="Z936" s="168">
        <f>IF(ISERROR(Personalplanung!S104/Monatsplanung!$E104*Monatsplanung!$O104),0,Personalplanung!S104/Monatsplanung!$E104*Monatsplanung!$O104)</f>
        <v>0</v>
      </c>
      <c r="AA936" s="80">
        <f t="shared" si="291"/>
        <v>0</v>
      </c>
      <c r="AB936" s="102">
        <f t="shared" si="292"/>
        <v>0.1</v>
      </c>
      <c r="AC936" s="103">
        <f t="shared" si="293"/>
        <v>0</v>
      </c>
      <c r="AD936" s="103">
        <f t="shared" si="294"/>
        <v>0</v>
      </c>
      <c r="AE936" s="81">
        <f t="shared" si="295"/>
        <v>0</v>
      </c>
      <c r="AF936" s="539"/>
      <c r="AG936" s="104">
        <f t="shared" si="296"/>
        <v>1</v>
      </c>
      <c r="AH936" s="7">
        <f t="shared" si="297"/>
        <v>0</v>
      </c>
      <c r="AI936" s="6">
        <f t="shared" si="298"/>
        <v>0</v>
      </c>
      <c r="AJ936" s="73">
        <f t="shared" si="299"/>
        <v>0</v>
      </c>
      <c r="AK936" s="539"/>
      <c r="AL936" s="748"/>
      <c r="AM936" s="748"/>
    </row>
    <row r="937" spans="2:39" x14ac:dyDescent="0.2">
      <c r="B937" s="101" t="str">
        <f t="shared" si="284"/>
        <v/>
      </c>
      <c r="C937" s="168">
        <f>IF(ISERROR(Personalplanung!F105/Monatsplanung!$E105*Monatsplanung!$O105),0,Personalplanung!F105/Monatsplanung!$E105*Monatsplanung!$O105)</f>
        <v>0</v>
      </c>
      <c r="D937" s="168">
        <f t="shared" si="285"/>
        <v>0</v>
      </c>
      <c r="E937" s="168">
        <f>IF(ISERROR(Personalplanung!H105/Monatsplanung!$E105*Monatsplanung!$O105),0,Personalplanung!H105/Monatsplanung!$E105*Monatsplanung!$O105)</f>
        <v>0</v>
      </c>
      <c r="F937" s="168">
        <f t="shared" si="286"/>
        <v>0</v>
      </c>
      <c r="G937" s="168">
        <f t="shared" si="287"/>
        <v>27.700831024930746</v>
      </c>
      <c r="H937" s="168">
        <f t="shared" si="288"/>
        <v>0</v>
      </c>
      <c r="I937" s="168">
        <f t="shared" si="289"/>
        <v>30</v>
      </c>
      <c r="J937" s="739"/>
      <c r="K937" s="168">
        <f>IF(J937&lt;&gt;"",J937,IF(ISERROR(Personalplanung!AB105/Monatsplanung!$E105*Monatsplanung!$O105),0,Personalplanung!AB105/Monatsplanung!$E105*Monatsplanung!$O105))</f>
        <v>0</v>
      </c>
      <c r="L937" s="740"/>
      <c r="M937" s="739"/>
      <c r="N937" s="168">
        <f>IF(M937&lt;&gt;"",M937,IF(ISERROR(Personalplanung!AC105/Monatsplanung!$E105*Monatsplanung!$O105),0,Personalplanung!AC105/Monatsplanung!$E105*Monatsplanung!$O105))</f>
        <v>0</v>
      </c>
      <c r="O937" s="740"/>
      <c r="P937" s="739"/>
      <c r="Q937" s="168">
        <f>IF(P937&lt;&gt;"",P937,IF(ISERROR(Personalplanung!AD105/Monatsplanung!$E105*Monatsplanung!$O105),0,Personalplanung!AD105/Monatsplanung!$E105*Monatsplanung!$O105))</f>
        <v>0</v>
      </c>
      <c r="R937" s="740"/>
      <c r="S937" s="739"/>
      <c r="T937" s="168">
        <f>IF(S937&lt;&gt;"",S937,IF(ISERROR(Personalplanung!AE105/Monatsplanung!$E105*Monatsplanung!$O105),0,Personalplanung!AE105/Monatsplanung!$E105*Monatsplanung!$O105))</f>
        <v>0</v>
      </c>
      <c r="U937" s="740"/>
      <c r="V937" s="168">
        <f t="shared" si="290"/>
        <v>0</v>
      </c>
      <c r="W937" s="168">
        <f>IF(ISERROR(Personalplanung!P105/Monatsplanung!$E105*Monatsplanung!$O105),0,Personalplanung!P105/Monatsplanung!$E105*Monatsplanung!$O105)</f>
        <v>0</v>
      </c>
      <c r="X937" s="168">
        <f>IF(ISERROR(Personalplanung!Q105/Monatsplanung!$E105*Monatsplanung!$O105),0,Personalplanung!Q105/Monatsplanung!$E105*Monatsplanung!$O105)</f>
        <v>0</v>
      </c>
      <c r="Y937" s="168">
        <f>IF(ISERROR(Personalplanung!R105/T1353*Stundencontrolling!T937),0,Personalplanung!R105/T1353*Stundencontrolling!T937)</f>
        <v>0</v>
      </c>
      <c r="Z937" s="168">
        <f>IF(ISERROR(Personalplanung!S105/Monatsplanung!$E105*Monatsplanung!$O105),0,Personalplanung!S105/Monatsplanung!$E105*Monatsplanung!$O105)</f>
        <v>0</v>
      </c>
      <c r="AA937" s="80">
        <f t="shared" si="291"/>
        <v>0</v>
      </c>
      <c r="AB937" s="102">
        <f t="shared" si="292"/>
        <v>0.1</v>
      </c>
      <c r="AC937" s="103">
        <f t="shared" si="293"/>
        <v>0</v>
      </c>
      <c r="AD937" s="103">
        <f t="shared" si="294"/>
        <v>0</v>
      </c>
      <c r="AE937" s="81">
        <f t="shared" si="295"/>
        <v>0</v>
      </c>
      <c r="AF937" s="539"/>
      <c r="AG937" s="104">
        <f t="shared" si="296"/>
        <v>1</v>
      </c>
      <c r="AH937" s="7">
        <f t="shared" si="297"/>
        <v>0</v>
      </c>
      <c r="AI937" s="6">
        <f t="shared" si="298"/>
        <v>0</v>
      </c>
      <c r="AJ937" s="73">
        <f t="shared" si="299"/>
        <v>0</v>
      </c>
      <c r="AK937" s="539"/>
      <c r="AL937" s="748"/>
      <c r="AM937" s="748"/>
    </row>
    <row r="938" spans="2:39" x14ac:dyDescent="0.2">
      <c r="B938" s="101" t="str">
        <f t="shared" si="284"/>
        <v/>
      </c>
      <c r="C938" s="168">
        <f>IF(ISERROR(Personalplanung!F106/Monatsplanung!$E106*Monatsplanung!$O106),0,Personalplanung!F106/Monatsplanung!$E106*Monatsplanung!$O106)</f>
        <v>0</v>
      </c>
      <c r="D938" s="168">
        <f t="shared" si="285"/>
        <v>0</v>
      </c>
      <c r="E938" s="168">
        <f>IF(ISERROR(Personalplanung!H106/Monatsplanung!$E106*Monatsplanung!$O106),0,Personalplanung!H106/Monatsplanung!$E106*Monatsplanung!$O106)</f>
        <v>0</v>
      </c>
      <c r="F938" s="168">
        <f t="shared" si="286"/>
        <v>0</v>
      </c>
      <c r="G938" s="168">
        <f t="shared" si="287"/>
        <v>27.700831024930746</v>
      </c>
      <c r="H938" s="168">
        <f t="shared" si="288"/>
        <v>0</v>
      </c>
      <c r="I938" s="168">
        <f t="shared" si="289"/>
        <v>30</v>
      </c>
      <c r="J938" s="739"/>
      <c r="K938" s="168">
        <f>IF(J938&lt;&gt;"",J938,IF(ISERROR(Personalplanung!AB106/Monatsplanung!$E106*Monatsplanung!$O106),0,Personalplanung!AB106/Monatsplanung!$E106*Monatsplanung!$O106))</f>
        <v>0</v>
      </c>
      <c r="L938" s="740"/>
      <c r="M938" s="739"/>
      <c r="N938" s="168">
        <f>IF(M938&lt;&gt;"",M938,IF(ISERROR(Personalplanung!AC106/Monatsplanung!$E106*Monatsplanung!$O106),0,Personalplanung!AC106/Monatsplanung!$E106*Monatsplanung!$O106))</f>
        <v>0</v>
      </c>
      <c r="O938" s="740"/>
      <c r="P938" s="739"/>
      <c r="Q938" s="168">
        <f>IF(P938&lt;&gt;"",P938,IF(ISERROR(Personalplanung!AD106/Monatsplanung!$E106*Monatsplanung!$O106),0,Personalplanung!AD106/Monatsplanung!$E106*Monatsplanung!$O106))</f>
        <v>0</v>
      </c>
      <c r="R938" s="740"/>
      <c r="S938" s="739"/>
      <c r="T938" s="168">
        <f>IF(S938&lt;&gt;"",S938,IF(ISERROR(Personalplanung!AE106/Monatsplanung!$E106*Monatsplanung!$O106),0,Personalplanung!AE106/Monatsplanung!$E106*Monatsplanung!$O106))</f>
        <v>0</v>
      </c>
      <c r="U938" s="740"/>
      <c r="V938" s="168">
        <f t="shared" si="290"/>
        <v>0</v>
      </c>
      <c r="W938" s="168">
        <f>IF(ISERROR(Personalplanung!P106/Monatsplanung!$E106*Monatsplanung!$O106),0,Personalplanung!P106/Monatsplanung!$E106*Monatsplanung!$O106)</f>
        <v>0</v>
      </c>
      <c r="X938" s="168">
        <f>IF(ISERROR(Personalplanung!Q106/Monatsplanung!$E106*Monatsplanung!$O106),0,Personalplanung!Q106/Monatsplanung!$E106*Monatsplanung!$O106)</f>
        <v>0</v>
      </c>
      <c r="Y938" s="168">
        <f>IF(ISERROR(Personalplanung!R106/T1354*Stundencontrolling!T938),0,Personalplanung!R106/T1354*Stundencontrolling!T938)</f>
        <v>0</v>
      </c>
      <c r="Z938" s="168">
        <f>IF(ISERROR(Personalplanung!S106/Monatsplanung!$E106*Monatsplanung!$O106),0,Personalplanung!S106/Monatsplanung!$E106*Monatsplanung!$O106)</f>
        <v>0</v>
      </c>
      <c r="AA938" s="80">
        <f t="shared" si="291"/>
        <v>0</v>
      </c>
      <c r="AB938" s="102">
        <f t="shared" si="292"/>
        <v>0.1</v>
      </c>
      <c r="AC938" s="103">
        <f t="shared" si="293"/>
        <v>0</v>
      </c>
      <c r="AD938" s="103">
        <f t="shared" si="294"/>
        <v>0</v>
      </c>
      <c r="AE938" s="81">
        <f t="shared" si="295"/>
        <v>0</v>
      </c>
      <c r="AF938" s="539"/>
      <c r="AG938" s="104">
        <f t="shared" si="296"/>
        <v>1</v>
      </c>
      <c r="AH938" s="7">
        <f t="shared" si="297"/>
        <v>0</v>
      </c>
      <c r="AI938" s="6">
        <f t="shared" si="298"/>
        <v>0</v>
      </c>
      <c r="AJ938" s="73">
        <f t="shared" si="299"/>
        <v>0</v>
      </c>
      <c r="AK938" s="539"/>
      <c r="AL938" s="748"/>
      <c r="AM938" s="748"/>
    </row>
    <row r="939" spans="2:39" x14ac:dyDescent="0.2">
      <c r="B939" s="500" t="s">
        <v>134</v>
      </c>
      <c r="C939" s="501">
        <f>+SUM(C838:C938)</f>
        <v>2618.6999999999998</v>
      </c>
      <c r="D939" s="501"/>
      <c r="E939" s="501">
        <f>+SUM(E838:E938)</f>
        <v>120.00000000000001</v>
      </c>
      <c r="F939" s="501">
        <f>+SUM(F838:F938)</f>
        <v>2738.7</v>
      </c>
      <c r="G939" s="501">
        <f>IF(ISERROR(+H939/F939),0,+H939/F939)</f>
        <v>27.700831024930746</v>
      </c>
      <c r="H939" s="501">
        <f>+SUM(H838:H938)</f>
        <v>75864.265927977831</v>
      </c>
      <c r="I939" s="501"/>
      <c r="J939" s="501"/>
      <c r="K939" s="501">
        <f t="shared" ref="K939:V939" si="300">+SUM(K838:K938)</f>
        <v>11.516666666666666</v>
      </c>
      <c r="L939" s="501"/>
      <c r="M939" s="501"/>
      <c r="N939" s="501">
        <f>+SUM(N838:N938)</f>
        <v>1.25</v>
      </c>
      <c r="O939" s="501"/>
      <c r="P939" s="501"/>
      <c r="Q939" s="501">
        <f>+SUM(Q838:Q938)</f>
        <v>3.0666666666666664</v>
      </c>
      <c r="R939" s="501"/>
      <c r="S939" s="501"/>
      <c r="T939" s="501">
        <f>+SUM(T838:T938)</f>
        <v>37.866666666666667</v>
      </c>
      <c r="U939" s="501"/>
      <c r="V939" s="501">
        <f t="shared" si="300"/>
        <v>53.7</v>
      </c>
      <c r="W939" s="501">
        <f>+SUM(W838:W938)</f>
        <v>12</v>
      </c>
      <c r="X939" s="501">
        <f>+SUM(X838:X938)</f>
        <v>166.66666666666666</v>
      </c>
      <c r="Y939" s="501">
        <f>+SUM(Y838:Y938)</f>
        <v>66.666666666666657</v>
      </c>
      <c r="Z939" s="501">
        <f>+SUM(Z838:Z938)</f>
        <v>50</v>
      </c>
      <c r="AA939" s="503">
        <f>SUM(AA838:AA938)</f>
        <v>2352087.5771006462</v>
      </c>
      <c r="AB939" s="502">
        <f>+AC939/AA939</f>
        <v>9.9999999999999992E-2</v>
      </c>
      <c r="AC939" s="503">
        <f>SUM(AC838:AC938)</f>
        <v>235208.75771006462</v>
      </c>
      <c r="AD939" s="503">
        <f>SUM(AD838:AD938)</f>
        <v>2116878.8193905815</v>
      </c>
      <c r="AE939" s="504">
        <f>SUM(AE838:AE938)</f>
        <v>233.16333333333336</v>
      </c>
      <c r="AF939" s="504">
        <f>SUM(AF838:AF938)</f>
        <v>0</v>
      </c>
      <c r="AG939" s="505">
        <f>AI939/AE939</f>
        <v>1</v>
      </c>
      <c r="AH939" s="505">
        <f t="shared" si="266"/>
        <v>0</v>
      </c>
      <c r="AI939" s="504">
        <f>SUM(AI838:AI938)</f>
        <v>233.16333333333336</v>
      </c>
      <c r="AJ939" s="506">
        <f t="shared" si="267"/>
        <v>1008.7724958615474</v>
      </c>
      <c r="AK939" s="504">
        <f>SUM(AK838:AK938)</f>
        <v>0</v>
      </c>
      <c r="AL939" s="747"/>
      <c r="AM939" s="506">
        <f>$AM$107</f>
        <v>75.851340181839646</v>
      </c>
    </row>
    <row r="940" spans="2:39" x14ac:dyDescent="0.2">
      <c r="B940" s="8"/>
      <c r="C940" s="8"/>
      <c r="D940" s="8"/>
      <c r="E940" s="8"/>
      <c r="F940" s="8"/>
      <c r="G940" s="8"/>
      <c r="H940" s="8"/>
      <c r="I940" s="737"/>
      <c r="J940" s="737"/>
      <c r="K940" s="8"/>
      <c r="L940" s="8"/>
      <c r="M940" s="737"/>
      <c r="N940" s="8"/>
      <c r="O940" s="8"/>
      <c r="P940" s="737"/>
      <c r="Q940" s="8"/>
      <c r="R940" s="8"/>
      <c r="S940" s="737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6"/>
      <c r="AF940" s="10"/>
      <c r="AG940" s="9"/>
      <c r="AH940" s="9"/>
      <c r="AI940" s="6"/>
      <c r="AJ940" s="10"/>
      <c r="AK940" s="10"/>
      <c r="AL940" s="10"/>
      <c r="AM940" s="74"/>
    </row>
    <row r="941" spans="2:39" x14ac:dyDescent="0.2">
      <c r="B941" s="500" t="s">
        <v>55</v>
      </c>
      <c r="C941" s="501"/>
      <c r="D941" s="501"/>
      <c r="E941" s="501"/>
      <c r="F941" s="501"/>
      <c r="G941" s="501"/>
      <c r="H941" s="501"/>
      <c r="I941" s="501"/>
      <c r="J941" s="501"/>
      <c r="K941" s="501"/>
      <c r="L941" s="501"/>
      <c r="M941" s="501"/>
      <c r="N941" s="501"/>
      <c r="O941" s="501"/>
      <c r="P941" s="501"/>
      <c r="Q941" s="501"/>
      <c r="R941" s="501"/>
      <c r="S941" s="501"/>
      <c r="T941" s="501"/>
      <c r="U941" s="501"/>
      <c r="V941" s="501"/>
      <c r="W941" s="501"/>
      <c r="X941" s="501"/>
      <c r="Y941" s="501"/>
      <c r="Z941" s="501"/>
      <c r="AA941" s="503"/>
      <c r="AB941" s="502"/>
      <c r="AC941" s="503"/>
      <c r="AD941" s="503"/>
      <c r="AE941" s="504"/>
      <c r="AF941" s="504"/>
      <c r="AG941" s="505"/>
      <c r="AH941" s="505"/>
      <c r="AI941" s="504"/>
      <c r="AJ941" s="506"/>
      <c r="AK941" s="504"/>
      <c r="AL941" s="504"/>
      <c r="AM941" s="506"/>
    </row>
    <row r="942" spans="2:39" x14ac:dyDescent="0.2">
      <c r="B942" s="101" t="str">
        <f>$B838</f>
        <v>Maxdivers Mustermann</v>
      </c>
      <c r="C942" s="168">
        <f>IF(ISERROR(Personalplanung!F6/Monatsplanung!$E6*Monatsplanung!$P6),0,Personalplanung!F6/Monatsplanung!$E6*Monatsplanung!$P6)</f>
        <v>174</v>
      </c>
      <c r="D942" s="168">
        <f>$D838</f>
        <v>8</v>
      </c>
      <c r="E942" s="168">
        <f>IF(ISERROR(Personalplanung!H6/Monatsplanung!$E6*Monatsplanung!$P6),0,Personalplanung!H6/Monatsplanung!$E6*Monatsplanung!$P6)</f>
        <v>66.666666666666671</v>
      </c>
      <c r="F942" s="168">
        <f>+C942+E942</f>
        <v>240.66666666666669</v>
      </c>
      <c r="G942" s="168">
        <f>$G$6</f>
        <v>27.700831024930746</v>
      </c>
      <c r="H942" s="168">
        <f>+F942*G942</f>
        <v>6666.666666666667</v>
      </c>
      <c r="I942" s="168">
        <f>$I$6</f>
        <v>30</v>
      </c>
      <c r="J942" s="739"/>
      <c r="K942" s="168">
        <f>IF(J942&lt;&gt;"",J942,IF(ISERROR(Personalplanung!AB6/Monatsplanung!$E6*Monatsplanung!$G6),0,Personalplanung!AB6/Monatsplanung!$E6*Monatsplanung!$P6))</f>
        <v>0.66666666666666663</v>
      </c>
      <c r="L942" s="740"/>
      <c r="M942" s="739"/>
      <c r="N942" s="168">
        <f>IF(M942&lt;&gt;"",M942,IF(ISERROR(Personalplanung!AC6/Monatsplanung!$E6*Monatsplanung!$G6),0,Personalplanung!AC6/Monatsplanung!$E6*Monatsplanung!$P6))</f>
        <v>0</v>
      </c>
      <c r="O942" s="740"/>
      <c r="P942" s="739"/>
      <c r="Q942" s="168">
        <f>IF(P942&lt;&gt;"",P942,IF(ISERROR(Personalplanung!AD6/Monatsplanung!$E6*Monatsplanung!$G6),0,Personalplanung!AD6/Monatsplanung!$E6*Monatsplanung!$P6))</f>
        <v>0.16666666666666666</v>
      </c>
      <c r="R942" s="740"/>
      <c r="S942" s="739"/>
      <c r="T942" s="168">
        <f>IF(S942&lt;&gt;"",S942,IF(ISERROR(Personalplanung!AE6/Monatsplanung!$E6*Monatsplanung!$G6),0,Personalplanung!AE6/Monatsplanung!$E6*Monatsplanung!$P6))</f>
        <v>1.25</v>
      </c>
      <c r="U942" s="740"/>
      <c r="V942" s="168">
        <f>K942+N942+Q942+T942</f>
        <v>2.083333333333333</v>
      </c>
      <c r="W942" s="168">
        <f>IF(ISERROR(Personalplanung!P6/Monatsplanung!$E6*Monatsplanung!$P6),0,Personalplanung!P6/Monatsplanung!$E6*Monatsplanung!$P6)</f>
        <v>0</v>
      </c>
      <c r="X942" s="168">
        <f>IF(ISERROR(Personalplanung!Q6/Monatsplanung!$E6*Monatsplanung!$P6),0,Personalplanung!Q6/Monatsplanung!$E6*Monatsplanung!$P6)</f>
        <v>0</v>
      </c>
      <c r="Y942" s="168">
        <f>IF(ISERROR(Personalplanung!R6/T1254*Stundencontrolling!T942),0,Personalplanung!R6/T1254*Stundencontrolling!T942)</f>
        <v>0</v>
      </c>
      <c r="Z942" s="168">
        <f>IF(ISERROR(Personalplanung!S6/Monatsplanung!$E6*Monatsplanung!$P6),0,Personalplanung!S6/Monatsplanung!$E6*Monatsplanung!$P6)</f>
        <v>0</v>
      </c>
      <c r="AA942" s="80">
        <f>+F942*G942*(1+I942)+SUM(W942:Z942)</f>
        <v>206666.66666666669</v>
      </c>
      <c r="AB942" s="102">
        <f>$AB$6</f>
        <v>0.1</v>
      </c>
      <c r="AC942" s="103">
        <f>AB942*AA942</f>
        <v>20666.666666666672</v>
      </c>
      <c r="AD942" s="103">
        <f>AA942-AC942</f>
        <v>186000</v>
      </c>
      <c r="AE942" s="81">
        <f>(F942-(V942*$D942))*AB942</f>
        <v>22.400000000000006</v>
      </c>
      <c r="AF942" s="539"/>
      <c r="AG942" s="104">
        <f>$AG$6</f>
        <v>1</v>
      </c>
      <c r="AH942" s="7">
        <f t="shared" ref="AH942:AH1043" si="301">IF(ISERROR(AK942/AF942),0,AK942/AF942)</f>
        <v>0</v>
      </c>
      <c r="AI942" s="6">
        <f>AE942*AG942</f>
        <v>22.400000000000006</v>
      </c>
      <c r="AJ942" s="73">
        <f t="shared" ref="AJ942:AJ1043" si="302">IF(ISERROR(+AC942/AI942),0,+AC942/AI942)</f>
        <v>922.61904761904759</v>
      </c>
      <c r="AK942" s="539"/>
      <c r="AL942" s="748"/>
      <c r="AM942" s="748"/>
    </row>
    <row r="943" spans="2:39" x14ac:dyDescent="0.2">
      <c r="B943" s="101" t="str">
        <f t="shared" ref="B943:B1006" si="303">$B839</f>
        <v>Egon Kaufmann</v>
      </c>
      <c r="C943" s="168">
        <f>IF(ISERROR(Personalplanung!F7/Monatsplanung!$E7*Monatsplanung!$P7),0,Personalplanung!F7/Monatsplanung!$E7*Monatsplanung!$P7)</f>
        <v>174</v>
      </c>
      <c r="D943" s="168">
        <f t="shared" ref="D943:D1006" si="304">$D839</f>
        <v>8</v>
      </c>
      <c r="E943" s="168">
        <f>IF(ISERROR(Personalplanung!H7/Monatsplanung!$E7*Monatsplanung!$P7),0,Personalplanung!H7/Monatsplanung!$E7*Monatsplanung!$P7)</f>
        <v>26.666666666666668</v>
      </c>
      <c r="F943" s="168">
        <f t="shared" ref="F943:F1006" si="305">+C943+E943</f>
        <v>200.66666666666666</v>
      </c>
      <c r="G943" s="168">
        <f t="shared" ref="G943:G1006" si="306">$G$6</f>
        <v>27.700831024930746</v>
      </c>
      <c r="H943" s="168">
        <f t="shared" ref="H943:H1006" si="307">+F943*G943</f>
        <v>5558.6334256694363</v>
      </c>
      <c r="I943" s="168">
        <f t="shared" ref="I943:I1006" si="308">$I$6</f>
        <v>30</v>
      </c>
      <c r="J943" s="739"/>
      <c r="K943" s="168">
        <f>IF(J943&lt;&gt;"",J943,IF(ISERROR(Personalplanung!AB7/Monatsplanung!$E7*Monatsplanung!$G7),0,Personalplanung!AB7/Monatsplanung!$E7*Monatsplanung!$P7))</f>
        <v>0.66666666666666663</v>
      </c>
      <c r="L943" s="740"/>
      <c r="M943" s="739"/>
      <c r="N943" s="168">
        <f>IF(M943&lt;&gt;"",M943,IF(ISERROR(Personalplanung!AC7/Monatsplanung!$E7*Monatsplanung!$G7),0,Personalplanung!AC7/Monatsplanung!$E7*Monatsplanung!$P7))</f>
        <v>0</v>
      </c>
      <c r="O943" s="740"/>
      <c r="P943" s="739"/>
      <c r="Q943" s="168">
        <f>IF(P943&lt;&gt;"",P943,IF(ISERROR(Personalplanung!AD7/Monatsplanung!$E7*Monatsplanung!$G7),0,Personalplanung!AD7/Monatsplanung!$E7*Monatsplanung!$P7))</f>
        <v>0.16666666666666666</v>
      </c>
      <c r="R943" s="740"/>
      <c r="S943" s="739"/>
      <c r="T943" s="168">
        <f>IF(S943&lt;&gt;"",S943,IF(ISERROR(Personalplanung!AE7/Monatsplanung!$E7*Monatsplanung!$G7),0,Personalplanung!AE7/Monatsplanung!$E7*Monatsplanung!$P7))</f>
        <v>2.1666666666666665</v>
      </c>
      <c r="U943" s="740"/>
      <c r="V943" s="168">
        <f t="shared" ref="V943:V1006" si="309">K943+N943+Q943+T943</f>
        <v>3</v>
      </c>
      <c r="W943" s="168">
        <f>IF(ISERROR(Personalplanung!P7/Monatsplanung!$E7*Monatsplanung!$P7),0,Personalplanung!P7/Monatsplanung!$E7*Monatsplanung!$P7)</f>
        <v>0</v>
      </c>
      <c r="X943" s="168">
        <f>IF(ISERROR(Personalplanung!Q7/Monatsplanung!$E7*Monatsplanung!$P7),0,Personalplanung!Q7/Monatsplanung!$E7*Monatsplanung!$P7)</f>
        <v>0</v>
      </c>
      <c r="Y943" s="168">
        <f>IF(ISERROR(Personalplanung!R7/T1255*Stundencontrolling!T943),0,Personalplanung!R7/T1255*Stundencontrolling!T943)</f>
        <v>0</v>
      </c>
      <c r="Z943" s="168">
        <f>IF(ISERROR(Personalplanung!S7/Monatsplanung!$E7*Monatsplanung!$P7),0,Personalplanung!S7/Monatsplanung!$E7*Monatsplanung!$P7)</f>
        <v>0</v>
      </c>
      <c r="AA943" s="80">
        <f t="shared" ref="AA943:AA1006" si="310">+F943*G943*(1+I943)+SUM(W943:Z943)</f>
        <v>172317.63619575254</v>
      </c>
      <c r="AB943" s="102">
        <f t="shared" ref="AB943:AB1006" si="311">$AB$6</f>
        <v>0.1</v>
      </c>
      <c r="AC943" s="103">
        <f t="shared" ref="AC943:AC1006" si="312">AB943*AA943</f>
        <v>17231.763619575253</v>
      </c>
      <c r="AD943" s="103">
        <f t="shared" ref="AD943:AD1006" si="313">AA943-AC943</f>
        <v>155085.87257617729</v>
      </c>
      <c r="AE943" s="81">
        <f t="shared" ref="AE943:AE1006" si="314">(F943-(V943*$D943))*AB943</f>
        <v>17.666666666666668</v>
      </c>
      <c r="AF943" s="539"/>
      <c r="AG943" s="104">
        <f t="shared" ref="AG943:AG1006" si="315">$AG$6</f>
        <v>1</v>
      </c>
      <c r="AH943" s="7">
        <f t="shared" ref="AH943:AH1006" si="316">IF(ISERROR(AK943/AF943),0,AK943/AF943)</f>
        <v>0</v>
      </c>
      <c r="AI943" s="6">
        <f t="shared" ref="AI943:AI1006" si="317">AE943*AG943</f>
        <v>17.666666666666668</v>
      </c>
      <c r="AJ943" s="73">
        <f t="shared" ref="AJ943:AJ1006" si="318">IF(ISERROR(+AC943/AI943),0,+AC943/AI943)</f>
        <v>975.382846391052</v>
      </c>
      <c r="AK943" s="539"/>
      <c r="AL943" s="748"/>
      <c r="AM943" s="748"/>
    </row>
    <row r="944" spans="2:39" x14ac:dyDescent="0.2">
      <c r="B944" s="101" t="str">
        <f t="shared" si="303"/>
        <v>Walter Meister</v>
      </c>
      <c r="C944" s="168">
        <f>IF(ISERROR(Personalplanung!F8/Monatsplanung!$E8*Monatsplanung!$P8),0,Personalplanung!F8/Monatsplanung!$E8*Monatsplanung!$P8)</f>
        <v>174</v>
      </c>
      <c r="D944" s="168">
        <f t="shared" si="304"/>
        <v>8</v>
      </c>
      <c r="E944" s="168">
        <f>IF(ISERROR(Personalplanung!H8/Monatsplanung!$E8*Monatsplanung!$P8),0,Personalplanung!H8/Monatsplanung!$E8*Monatsplanung!$P8)</f>
        <v>26.666666666666668</v>
      </c>
      <c r="F944" s="168">
        <f t="shared" si="305"/>
        <v>200.66666666666666</v>
      </c>
      <c r="G944" s="168">
        <f t="shared" si="306"/>
        <v>27.700831024930746</v>
      </c>
      <c r="H944" s="168">
        <f t="shared" si="307"/>
        <v>5558.6334256694363</v>
      </c>
      <c r="I944" s="168">
        <f t="shared" si="308"/>
        <v>30</v>
      </c>
      <c r="J944" s="739"/>
      <c r="K944" s="168">
        <f>IF(J944&lt;&gt;"",J944,IF(ISERROR(Personalplanung!AB8/Monatsplanung!$E8*Monatsplanung!$G8),0,Personalplanung!AB8/Monatsplanung!$E8*Monatsplanung!$P8))</f>
        <v>0.66666666666666663</v>
      </c>
      <c r="L944" s="740"/>
      <c r="M944" s="739"/>
      <c r="N944" s="168">
        <f>IF(M944&lt;&gt;"",M944,IF(ISERROR(Personalplanung!AC8/Monatsplanung!$E8*Monatsplanung!$G8),0,Personalplanung!AC8/Monatsplanung!$E8*Monatsplanung!$P8))</f>
        <v>8.3333333333333329E-2</v>
      </c>
      <c r="O944" s="740"/>
      <c r="P944" s="739"/>
      <c r="Q944" s="168">
        <f>IF(P944&lt;&gt;"",P944,IF(ISERROR(Personalplanung!AD8/Monatsplanung!$E8*Monatsplanung!$G8),0,Personalplanung!AD8/Monatsplanung!$E8*Monatsplanung!$P8))</f>
        <v>0.16666666666666666</v>
      </c>
      <c r="R944" s="740"/>
      <c r="S944" s="739"/>
      <c r="T944" s="168">
        <f>IF(S944&lt;&gt;"",S944,IF(ISERROR(Personalplanung!AE8/Monatsplanung!$E8*Monatsplanung!$G8),0,Personalplanung!AE8/Monatsplanung!$E8*Monatsplanung!$P8))</f>
        <v>2.1666666666666665</v>
      </c>
      <c r="U944" s="740"/>
      <c r="V944" s="168">
        <f t="shared" si="309"/>
        <v>3.083333333333333</v>
      </c>
      <c r="W944" s="168">
        <f>IF(ISERROR(Personalplanung!P8/Monatsplanung!$E8*Monatsplanung!$P8),0,Personalplanung!P8/Monatsplanung!$E8*Monatsplanung!$P8)</f>
        <v>0</v>
      </c>
      <c r="X944" s="168">
        <f>IF(ISERROR(Personalplanung!Q8/Monatsplanung!$E8*Monatsplanung!$P8),0,Personalplanung!Q8/Monatsplanung!$E8*Monatsplanung!$P8)</f>
        <v>0</v>
      </c>
      <c r="Y944" s="168">
        <f>IF(ISERROR(Personalplanung!R8/T1256*Stundencontrolling!T944),0,Personalplanung!R8/T1256*Stundencontrolling!T944)</f>
        <v>0</v>
      </c>
      <c r="Z944" s="168">
        <f>IF(ISERROR(Personalplanung!S8/Monatsplanung!$E8*Monatsplanung!$P8),0,Personalplanung!S8/Monatsplanung!$E8*Monatsplanung!$P8)</f>
        <v>0</v>
      </c>
      <c r="AA944" s="80">
        <f t="shared" si="310"/>
        <v>172317.63619575254</v>
      </c>
      <c r="AB944" s="102">
        <f t="shared" si="311"/>
        <v>0.1</v>
      </c>
      <c r="AC944" s="103">
        <f t="shared" si="312"/>
        <v>17231.763619575253</v>
      </c>
      <c r="AD944" s="103">
        <f t="shared" si="313"/>
        <v>155085.87257617729</v>
      </c>
      <c r="AE944" s="81">
        <f t="shared" si="314"/>
        <v>17.600000000000001</v>
      </c>
      <c r="AF944" s="539"/>
      <c r="AG944" s="104">
        <f t="shared" si="315"/>
        <v>1</v>
      </c>
      <c r="AH944" s="7">
        <f t="shared" si="316"/>
        <v>0</v>
      </c>
      <c r="AI944" s="6">
        <f t="shared" si="317"/>
        <v>17.600000000000001</v>
      </c>
      <c r="AJ944" s="73">
        <f t="shared" si="318"/>
        <v>979.07747838495743</v>
      </c>
      <c r="AK944" s="539"/>
      <c r="AL944" s="748"/>
      <c r="AM944" s="748"/>
    </row>
    <row r="945" spans="2:39" x14ac:dyDescent="0.2">
      <c r="B945" s="101" t="str">
        <f t="shared" si="303"/>
        <v>Tom in Technik</v>
      </c>
      <c r="C945" s="168">
        <f>IF(ISERROR(Personalplanung!F9/Monatsplanung!$E9*Monatsplanung!$P9),0,Personalplanung!F9/Monatsplanung!$E9*Monatsplanung!$P9)</f>
        <v>174</v>
      </c>
      <c r="D945" s="168">
        <f t="shared" si="304"/>
        <v>8</v>
      </c>
      <c r="E945" s="168">
        <f>IF(ISERROR(Personalplanung!H9/Monatsplanung!$E9*Monatsplanung!$P9),0,Personalplanung!H9/Monatsplanung!$E9*Monatsplanung!$P9)</f>
        <v>0</v>
      </c>
      <c r="F945" s="168">
        <f t="shared" si="305"/>
        <v>174</v>
      </c>
      <c r="G945" s="168">
        <f t="shared" si="306"/>
        <v>27.700831024930746</v>
      </c>
      <c r="H945" s="168">
        <f t="shared" si="307"/>
        <v>4819.9445983379501</v>
      </c>
      <c r="I945" s="168">
        <f t="shared" si="308"/>
        <v>30</v>
      </c>
      <c r="J945" s="739"/>
      <c r="K945" s="168">
        <f>IF(J945&lt;&gt;"",J945,IF(ISERROR(Personalplanung!AB9/Monatsplanung!$E9*Monatsplanung!$G9),0,Personalplanung!AB9/Monatsplanung!$E9*Monatsplanung!$P9))</f>
        <v>0.66666666666666663</v>
      </c>
      <c r="L945" s="740"/>
      <c r="M945" s="739"/>
      <c r="N945" s="168">
        <f>IF(M945&lt;&gt;"",M945,IF(ISERROR(Personalplanung!AC9/Monatsplanung!$E9*Monatsplanung!$G9),0,Personalplanung!AC9/Monatsplanung!$E9*Monatsplanung!$P9))</f>
        <v>0.16666666666666666</v>
      </c>
      <c r="O945" s="740"/>
      <c r="P945" s="739"/>
      <c r="Q945" s="168">
        <f>IF(P945&lt;&gt;"",P945,IF(ISERROR(Personalplanung!AD9/Monatsplanung!$E9*Monatsplanung!$G9),0,Personalplanung!AD9/Monatsplanung!$E9*Monatsplanung!$P9))</f>
        <v>0.16666666666666666</v>
      </c>
      <c r="R945" s="740"/>
      <c r="S945" s="739"/>
      <c r="T945" s="168">
        <f>IF(S945&lt;&gt;"",S945,IF(ISERROR(Personalplanung!AE9/Monatsplanung!$E9*Monatsplanung!$G9),0,Personalplanung!AE9/Monatsplanung!$E9*Monatsplanung!$P9))</f>
        <v>2.1666666666666665</v>
      </c>
      <c r="U945" s="740"/>
      <c r="V945" s="168">
        <f t="shared" si="309"/>
        <v>3.1666666666666665</v>
      </c>
      <c r="W945" s="168">
        <f>IF(ISERROR(Personalplanung!P9/Monatsplanung!$E9*Monatsplanung!$P9),0,Personalplanung!P9/Monatsplanung!$E9*Monatsplanung!$P9)</f>
        <v>0</v>
      </c>
      <c r="X945" s="168">
        <f>IF(ISERROR(Personalplanung!Q9/Monatsplanung!$E9*Monatsplanung!$P9),0,Personalplanung!Q9/Monatsplanung!$E9*Monatsplanung!$P9)</f>
        <v>0</v>
      </c>
      <c r="Y945" s="168">
        <f>IF(ISERROR(Personalplanung!R9/T1257*Stundencontrolling!T945),0,Personalplanung!R9/T1257*Stundencontrolling!T945)</f>
        <v>0</v>
      </c>
      <c r="Z945" s="168">
        <f>IF(ISERROR(Personalplanung!S9/Monatsplanung!$E9*Monatsplanung!$P9),0,Personalplanung!S9/Monatsplanung!$E9*Monatsplanung!$P9)</f>
        <v>0</v>
      </c>
      <c r="AA945" s="80">
        <f t="shared" si="310"/>
        <v>149418.28254847645</v>
      </c>
      <c r="AB945" s="102">
        <f t="shared" si="311"/>
        <v>0.1</v>
      </c>
      <c r="AC945" s="103">
        <f t="shared" si="312"/>
        <v>14941.828254847645</v>
      </c>
      <c r="AD945" s="103">
        <f t="shared" si="313"/>
        <v>134476.45429362881</v>
      </c>
      <c r="AE945" s="81">
        <f t="shared" si="314"/>
        <v>14.866666666666667</v>
      </c>
      <c r="AF945" s="539"/>
      <c r="AG945" s="104">
        <f t="shared" si="315"/>
        <v>1</v>
      </c>
      <c r="AH945" s="7">
        <f t="shared" si="316"/>
        <v>0</v>
      </c>
      <c r="AI945" s="6">
        <f t="shared" si="317"/>
        <v>14.866666666666667</v>
      </c>
      <c r="AJ945" s="73">
        <f t="shared" si="318"/>
        <v>1005.0557122094829</v>
      </c>
      <c r="AK945" s="539"/>
      <c r="AL945" s="748"/>
      <c r="AM945" s="748"/>
    </row>
    <row r="946" spans="2:39" x14ac:dyDescent="0.2">
      <c r="B946" s="101" t="str">
        <f t="shared" si="303"/>
        <v>Lola Rennt</v>
      </c>
      <c r="C946" s="168">
        <f>IF(ISERROR(Personalplanung!F10/Monatsplanung!$E10*Monatsplanung!$P10),0,Personalplanung!F10/Monatsplanung!$E10*Monatsplanung!$P10)</f>
        <v>174</v>
      </c>
      <c r="D946" s="168">
        <f t="shared" si="304"/>
        <v>8</v>
      </c>
      <c r="E946" s="168">
        <f>IF(ISERROR(Personalplanung!H10/Monatsplanung!$E10*Monatsplanung!$P10),0,Personalplanung!H10/Monatsplanung!$E10*Monatsplanung!$P10)</f>
        <v>0</v>
      </c>
      <c r="F946" s="168">
        <f t="shared" si="305"/>
        <v>174</v>
      </c>
      <c r="G946" s="168">
        <f t="shared" si="306"/>
        <v>27.700831024930746</v>
      </c>
      <c r="H946" s="168">
        <f t="shared" si="307"/>
        <v>4819.9445983379501</v>
      </c>
      <c r="I946" s="168">
        <f t="shared" si="308"/>
        <v>30</v>
      </c>
      <c r="J946" s="739"/>
      <c r="K946" s="168">
        <f>IF(J946&lt;&gt;"",J946,IF(ISERROR(Personalplanung!AB10/Monatsplanung!$E10*Monatsplanung!$G10),0,Personalplanung!AB10/Monatsplanung!$E10*Monatsplanung!$P10))</f>
        <v>0.66666666666666663</v>
      </c>
      <c r="L946" s="740"/>
      <c r="M946" s="739"/>
      <c r="N946" s="168">
        <f>IF(M946&lt;&gt;"",M946,IF(ISERROR(Personalplanung!AC10/Monatsplanung!$E10*Monatsplanung!$G10),0,Personalplanung!AC10/Monatsplanung!$E10*Monatsplanung!$P10))</f>
        <v>0</v>
      </c>
      <c r="O946" s="740"/>
      <c r="P946" s="739"/>
      <c r="Q946" s="168">
        <f>IF(P946&lt;&gt;"",P946,IF(ISERROR(Personalplanung!AD10/Monatsplanung!$E10*Monatsplanung!$G10),0,Personalplanung!AD10/Monatsplanung!$E10*Monatsplanung!$P10))</f>
        <v>0.16666666666666666</v>
      </c>
      <c r="R946" s="740"/>
      <c r="S946" s="739"/>
      <c r="T946" s="168">
        <f>IF(S946&lt;&gt;"",S946,IF(ISERROR(Personalplanung!AE10/Monatsplanung!$E10*Monatsplanung!$G10),0,Personalplanung!AE10/Monatsplanung!$E10*Monatsplanung!$P10))</f>
        <v>2.1666666666666665</v>
      </c>
      <c r="U946" s="740"/>
      <c r="V946" s="168">
        <f t="shared" si="309"/>
        <v>3</v>
      </c>
      <c r="W946" s="168">
        <f>IF(ISERROR(Personalplanung!P10/Monatsplanung!$E10*Monatsplanung!$P10),0,Personalplanung!P10/Monatsplanung!$E10*Monatsplanung!$P10)</f>
        <v>0</v>
      </c>
      <c r="X946" s="168">
        <f>IF(ISERROR(Personalplanung!Q10/Monatsplanung!$E10*Monatsplanung!$P10),0,Personalplanung!Q10/Monatsplanung!$E10*Monatsplanung!$P10)</f>
        <v>0</v>
      </c>
      <c r="Y946" s="168">
        <f>IF(ISERROR(Personalplanung!R10/T1258*Stundencontrolling!T946),0,Personalplanung!R10/T1258*Stundencontrolling!T946)</f>
        <v>0</v>
      </c>
      <c r="Z946" s="168">
        <f>IF(ISERROR(Personalplanung!S10/Monatsplanung!$E10*Monatsplanung!$P10),0,Personalplanung!S10/Monatsplanung!$E10*Monatsplanung!$P10)</f>
        <v>0</v>
      </c>
      <c r="AA946" s="80">
        <f t="shared" si="310"/>
        <v>149418.28254847645</v>
      </c>
      <c r="AB946" s="102">
        <f t="shared" si="311"/>
        <v>0.1</v>
      </c>
      <c r="AC946" s="103">
        <f t="shared" si="312"/>
        <v>14941.828254847645</v>
      </c>
      <c r="AD946" s="103">
        <f t="shared" si="313"/>
        <v>134476.45429362881</v>
      </c>
      <c r="AE946" s="81">
        <f t="shared" si="314"/>
        <v>15</v>
      </c>
      <c r="AF946" s="539"/>
      <c r="AG946" s="104">
        <f t="shared" si="315"/>
        <v>1</v>
      </c>
      <c r="AH946" s="7">
        <f t="shared" si="316"/>
        <v>0</v>
      </c>
      <c r="AI946" s="6">
        <f t="shared" si="317"/>
        <v>15</v>
      </c>
      <c r="AJ946" s="73">
        <f t="shared" si="318"/>
        <v>996.12188365650968</v>
      </c>
      <c r="AK946" s="539"/>
      <c r="AL946" s="748"/>
      <c r="AM946" s="748"/>
    </row>
    <row r="947" spans="2:39" x14ac:dyDescent="0.2">
      <c r="B947" s="101" t="str">
        <f t="shared" si="303"/>
        <v>Bier Lager</v>
      </c>
      <c r="C947" s="168">
        <f>IF(ISERROR(Personalplanung!F11/Monatsplanung!$E11*Monatsplanung!$P11),0,Personalplanung!F11/Monatsplanung!$E11*Monatsplanung!$P11)</f>
        <v>174</v>
      </c>
      <c r="D947" s="168">
        <f t="shared" si="304"/>
        <v>8</v>
      </c>
      <c r="E947" s="168">
        <f>IF(ISERROR(Personalplanung!H11/Monatsplanung!$E11*Monatsplanung!$P11),0,Personalplanung!H11/Monatsplanung!$E11*Monatsplanung!$P11)</f>
        <v>0</v>
      </c>
      <c r="F947" s="168">
        <f t="shared" si="305"/>
        <v>174</v>
      </c>
      <c r="G947" s="168">
        <f t="shared" si="306"/>
        <v>27.700831024930746</v>
      </c>
      <c r="H947" s="168">
        <f t="shared" si="307"/>
        <v>4819.9445983379501</v>
      </c>
      <c r="I947" s="168">
        <f t="shared" si="308"/>
        <v>30</v>
      </c>
      <c r="J947" s="739"/>
      <c r="K947" s="168">
        <f>IF(J947&lt;&gt;"",J947,IF(ISERROR(Personalplanung!AB11/Monatsplanung!$E11*Monatsplanung!$G11),0,Personalplanung!AB11/Monatsplanung!$E11*Monatsplanung!$P11))</f>
        <v>0.66666666666666663</v>
      </c>
      <c r="L947" s="740"/>
      <c r="M947" s="739"/>
      <c r="N947" s="168">
        <f>IF(M947&lt;&gt;"",M947,IF(ISERROR(Personalplanung!AC11/Monatsplanung!$E11*Monatsplanung!$G11),0,Personalplanung!AC11/Monatsplanung!$E11*Monatsplanung!$P11))</f>
        <v>0</v>
      </c>
      <c r="O947" s="740"/>
      <c r="P947" s="739"/>
      <c r="Q947" s="168">
        <f>IF(P947&lt;&gt;"",P947,IF(ISERROR(Personalplanung!AD11/Monatsplanung!$E11*Monatsplanung!$G11),0,Personalplanung!AD11/Monatsplanung!$E11*Monatsplanung!$P11))</f>
        <v>0.16666666666666666</v>
      </c>
      <c r="R947" s="740"/>
      <c r="S947" s="739"/>
      <c r="T947" s="168">
        <f>IF(S947&lt;&gt;"",S947,IF(ISERROR(Personalplanung!AE11/Monatsplanung!$E11*Monatsplanung!$G11),0,Personalplanung!AE11/Monatsplanung!$E11*Monatsplanung!$P11))</f>
        <v>2.1666666666666665</v>
      </c>
      <c r="U947" s="740"/>
      <c r="V947" s="168">
        <f t="shared" si="309"/>
        <v>3</v>
      </c>
      <c r="W947" s="168">
        <f>IF(ISERROR(Personalplanung!P11/Monatsplanung!$E11*Monatsplanung!$P11),0,Personalplanung!P11/Monatsplanung!$E11*Monatsplanung!$P11)</f>
        <v>0</v>
      </c>
      <c r="X947" s="168">
        <f>IF(ISERROR(Personalplanung!Q11/Monatsplanung!$E11*Monatsplanung!$P11),0,Personalplanung!Q11/Monatsplanung!$E11*Monatsplanung!$P11)</f>
        <v>0</v>
      </c>
      <c r="Y947" s="168">
        <f>IF(ISERROR(Personalplanung!R11/T1259*Stundencontrolling!T947),0,Personalplanung!R11/T1259*Stundencontrolling!T947)</f>
        <v>0</v>
      </c>
      <c r="Z947" s="168">
        <f>IF(ISERROR(Personalplanung!S11/Monatsplanung!$E11*Monatsplanung!$P11),0,Personalplanung!S11/Monatsplanung!$E11*Monatsplanung!$P11)</f>
        <v>0</v>
      </c>
      <c r="AA947" s="80">
        <f t="shared" si="310"/>
        <v>149418.28254847645</v>
      </c>
      <c r="AB947" s="102">
        <f t="shared" si="311"/>
        <v>0.1</v>
      </c>
      <c r="AC947" s="103">
        <f t="shared" si="312"/>
        <v>14941.828254847645</v>
      </c>
      <c r="AD947" s="103">
        <f t="shared" si="313"/>
        <v>134476.45429362881</v>
      </c>
      <c r="AE947" s="81">
        <f t="shared" si="314"/>
        <v>15</v>
      </c>
      <c r="AF947" s="539"/>
      <c r="AG947" s="104">
        <f t="shared" si="315"/>
        <v>1</v>
      </c>
      <c r="AH947" s="7">
        <f t="shared" si="316"/>
        <v>0</v>
      </c>
      <c r="AI947" s="6">
        <f t="shared" si="317"/>
        <v>15</v>
      </c>
      <c r="AJ947" s="73">
        <f t="shared" si="318"/>
        <v>996.12188365650968</v>
      </c>
      <c r="AK947" s="539"/>
      <c r="AL947" s="748"/>
      <c r="AM947" s="748"/>
    </row>
    <row r="948" spans="2:39" x14ac:dyDescent="0.2">
      <c r="B948" s="101" t="str">
        <f t="shared" si="303"/>
        <v>Heinrich vor Arbeit</v>
      </c>
      <c r="C948" s="168">
        <f>IF(ISERROR(Personalplanung!F12/Monatsplanung!$E12*Monatsplanung!$P12),0,Personalplanung!F12/Monatsplanung!$E12*Monatsplanung!$P12)</f>
        <v>174</v>
      </c>
      <c r="D948" s="168">
        <f t="shared" si="304"/>
        <v>8</v>
      </c>
      <c r="E948" s="168">
        <f>IF(ISERROR(Personalplanung!H12/Monatsplanung!$E12*Monatsplanung!$P12),0,Personalplanung!H12/Monatsplanung!$E12*Monatsplanung!$P12)</f>
        <v>0</v>
      </c>
      <c r="F948" s="168">
        <f t="shared" si="305"/>
        <v>174</v>
      </c>
      <c r="G948" s="168">
        <f t="shared" si="306"/>
        <v>27.700831024930746</v>
      </c>
      <c r="H948" s="168">
        <f t="shared" si="307"/>
        <v>4819.9445983379501</v>
      </c>
      <c r="I948" s="168">
        <f t="shared" si="308"/>
        <v>30</v>
      </c>
      <c r="J948" s="739"/>
      <c r="K948" s="168">
        <f>IF(J948&lt;&gt;"",J948,IF(ISERROR(Personalplanung!AB12/Monatsplanung!$E12*Monatsplanung!$G12),0,Personalplanung!AB12/Monatsplanung!$E12*Monatsplanung!$P12))</f>
        <v>0.66666666666666663</v>
      </c>
      <c r="L948" s="740"/>
      <c r="M948" s="739"/>
      <c r="N948" s="168">
        <f>IF(M948&lt;&gt;"",M948,IF(ISERROR(Personalplanung!AC12/Monatsplanung!$E12*Monatsplanung!$G12),0,Personalplanung!AC12/Monatsplanung!$E12*Monatsplanung!$P12))</f>
        <v>0</v>
      </c>
      <c r="O948" s="740"/>
      <c r="P948" s="739"/>
      <c r="Q948" s="168">
        <f>IF(P948&lt;&gt;"",P948,IF(ISERROR(Personalplanung!AD12/Monatsplanung!$E12*Monatsplanung!$G12),0,Personalplanung!AD12/Monatsplanung!$E12*Monatsplanung!$P12))</f>
        <v>0.16666666666666666</v>
      </c>
      <c r="R948" s="740"/>
      <c r="S948" s="739"/>
      <c r="T948" s="168">
        <f>IF(S948&lt;&gt;"",S948,IF(ISERROR(Personalplanung!AE12/Monatsplanung!$E12*Monatsplanung!$G12),0,Personalplanung!AE12/Monatsplanung!$E12*Monatsplanung!$P12))</f>
        <v>2.1666666666666665</v>
      </c>
      <c r="U948" s="740"/>
      <c r="V948" s="168">
        <f t="shared" si="309"/>
        <v>3</v>
      </c>
      <c r="W948" s="168">
        <f>IF(ISERROR(Personalplanung!P12/Monatsplanung!$E12*Monatsplanung!$P12),0,Personalplanung!P12/Monatsplanung!$E12*Monatsplanung!$P12)</f>
        <v>0</v>
      </c>
      <c r="X948" s="168">
        <f>IF(ISERROR(Personalplanung!Q12/Monatsplanung!$E12*Monatsplanung!$P12),0,Personalplanung!Q12/Monatsplanung!$E12*Monatsplanung!$P12)</f>
        <v>0</v>
      </c>
      <c r="Y948" s="168">
        <f>IF(ISERROR(Personalplanung!R12/T1260*Stundencontrolling!T948),0,Personalplanung!R12/T1260*Stundencontrolling!T948)</f>
        <v>0</v>
      </c>
      <c r="Z948" s="168">
        <f>IF(ISERROR(Personalplanung!S12/Monatsplanung!$E12*Monatsplanung!$P12),0,Personalplanung!S12/Monatsplanung!$E12*Monatsplanung!$P12)</f>
        <v>0</v>
      </c>
      <c r="AA948" s="80">
        <f t="shared" si="310"/>
        <v>149418.28254847645</v>
      </c>
      <c r="AB948" s="102">
        <f t="shared" si="311"/>
        <v>0.1</v>
      </c>
      <c r="AC948" s="103">
        <f t="shared" si="312"/>
        <v>14941.828254847645</v>
      </c>
      <c r="AD948" s="103">
        <f t="shared" si="313"/>
        <v>134476.45429362881</v>
      </c>
      <c r="AE948" s="81">
        <f t="shared" si="314"/>
        <v>15</v>
      </c>
      <c r="AF948" s="539"/>
      <c r="AG948" s="104">
        <f t="shared" si="315"/>
        <v>1</v>
      </c>
      <c r="AH948" s="7">
        <f t="shared" si="316"/>
        <v>0</v>
      </c>
      <c r="AI948" s="6">
        <f t="shared" si="317"/>
        <v>15</v>
      </c>
      <c r="AJ948" s="73">
        <f t="shared" si="318"/>
        <v>996.12188365650968</v>
      </c>
      <c r="AK948" s="539"/>
      <c r="AL948" s="748"/>
      <c r="AM948" s="748"/>
    </row>
    <row r="949" spans="2:39" x14ac:dyDescent="0.2">
      <c r="B949" s="101" t="str">
        <f t="shared" si="303"/>
        <v>Voller Geselle</v>
      </c>
      <c r="C949" s="168">
        <f>IF(ISERROR(Personalplanung!F13/Monatsplanung!$E13*Monatsplanung!$P13),0,Personalplanung!F13/Monatsplanung!$E13*Monatsplanung!$P13)</f>
        <v>174</v>
      </c>
      <c r="D949" s="168">
        <f t="shared" si="304"/>
        <v>8</v>
      </c>
      <c r="E949" s="168">
        <f>IF(ISERROR(Personalplanung!H13/Monatsplanung!$E13*Monatsplanung!$P13),0,Personalplanung!H13/Monatsplanung!$E13*Monatsplanung!$P13)</f>
        <v>0</v>
      </c>
      <c r="F949" s="168">
        <f t="shared" si="305"/>
        <v>174</v>
      </c>
      <c r="G949" s="168">
        <f t="shared" si="306"/>
        <v>27.700831024930746</v>
      </c>
      <c r="H949" s="168">
        <f t="shared" si="307"/>
        <v>4819.9445983379501</v>
      </c>
      <c r="I949" s="168">
        <f t="shared" si="308"/>
        <v>30</v>
      </c>
      <c r="J949" s="739"/>
      <c r="K949" s="168">
        <f>IF(J949&lt;&gt;"",J949,IF(ISERROR(Personalplanung!AB13/Monatsplanung!$E13*Monatsplanung!$G13),0,Personalplanung!AB13/Monatsplanung!$E13*Monatsplanung!$P13))</f>
        <v>0.66666666666666663</v>
      </c>
      <c r="L949" s="740"/>
      <c r="M949" s="739"/>
      <c r="N949" s="168">
        <f>IF(M949&lt;&gt;"",M949,IF(ISERROR(Personalplanung!AC13/Monatsplanung!$E13*Monatsplanung!$G13),0,Personalplanung!AC13/Monatsplanung!$E13*Monatsplanung!$P13))</f>
        <v>0.25</v>
      </c>
      <c r="O949" s="740"/>
      <c r="P949" s="739"/>
      <c r="Q949" s="168">
        <f>IF(P949&lt;&gt;"",P949,IF(ISERROR(Personalplanung!AD13/Monatsplanung!$E13*Monatsplanung!$G13),0,Personalplanung!AD13/Monatsplanung!$E13*Monatsplanung!$P13))</f>
        <v>0.16666666666666666</v>
      </c>
      <c r="R949" s="740"/>
      <c r="S949" s="739"/>
      <c r="T949" s="168">
        <f>IF(S949&lt;&gt;"",S949,IF(ISERROR(Personalplanung!AE13/Monatsplanung!$E13*Monatsplanung!$G13),0,Personalplanung!AE13/Monatsplanung!$E13*Monatsplanung!$P13))</f>
        <v>2.1666666666666665</v>
      </c>
      <c r="U949" s="740"/>
      <c r="V949" s="168">
        <f t="shared" si="309"/>
        <v>3.25</v>
      </c>
      <c r="W949" s="168">
        <f>IF(ISERROR(Personalplanung!P13/Monatsplanung!$E13*Monatsplanung!$P13),0,Personalplanung!P13/Monatsplanung!$E13*Monatsplanung!$P13)</f>
        <v>0</v>
      </c>
      <c r="X949" s="168">
        <f>IF(ISERROR(Personalplanung!Q13/Monatsplanung!$E13*Monatsplanung!$P13),0,Personalplanung!Q13/Monatsplanung!$E13*Monatsplanung!$P13)</f>
        <v>0</v>
      </c>
      <c r="Y949" s="168">
        <f>IF(ISERROR(Personalplanung!R13/T1261*Stundencontrolling!T949),0,Personalplanung!R13/T1261*Stundencontrolling!T949)</f>
        <v>0</v>
      </c>
      <c r="Z949" s="168">
        <f>IF(ISERROR(Personalplanung!S13/Monatsplanung!$E13*Monatsplanung!$P13),0,Personalplanung!S13/Monatsplanung!$E13*Monatsplanung!$P13)</f>
        <v>0</v>
      </c>
      <c r="AA949" s="80">
        <f t="shared" si="310"/>
        <v>149418.28254847645</v>
      </c>
      <c r="AB949" s="102">
        <f t="shared" si="311"/>
        <v>0.1</v>
      </c>
      <c r="AC949" s="103">
        <f t="shared" si="312"/>
        <v>14941.828254847645</v>
      </c>
      <c r="AD949" s="103">
        <f t="shared" si="313"/>
        <v>134476.45429362881</v>
      </c>
      <c r="AE949" s="81">
        <f t="shared" si="314"/>
        <v>14.8</v>
      </c>
      <c r="AF949" s="539"/>
      <c r="AG949" s="104">
        <f t="shared" si="315"/>
        <v>1</v>
      </c>
      <c r="AH949" s="7">
        <f t="shared" si="316"/>
        <v>0</v>
      </c>
      <c r="AI949" s="6">
        <f t="shared" si="317"/>
        <v>14.8</v>
      </c>
      <c r="AJ949" s="73">
        <f t="shared" si="318"/>
        <v>1009.5829901924084</v>
      </c>
      <c r="AK949" s="539"/>
      <c r="AL949" s="748"/>
      <c r="AM949" s="748"/>
    </row>
    <row r="950" spans="2:39" x14ac:dyDescent="0.2">
      <c r="B950" s="101" t="str">
        <f t="shared" si="303"/>
        <v>Thomas Fleißig</v>
      </c>
      <c r="C950" s="168">
        <f>IF(ISERROR(Personalplanung!F14/Monatsplanung!$E14*Monatsplanung!$P14),0,Personalplanung!F14/Monatsplanung!$E14*Monatsplanung!$P14)</f>
        <v>174</v>
      </c>
      <c r="D950" s="168">
        <f t="shared" si="304"/>
        <v>8</v>
      </c>
      <c r="E950" s="168">
        <f>IF(ISERROR(Personalplanung!H14/Monatsplanung!$E14*Monatsplanung!$P14),0,Personalplanung!H14/Monatsplanung!$E14*Monatsplanung!$P14)</f>
        <v>0</v>
      </c>
      <c r="F950" s="168">
        <f t="shared" si="305"/>
        <v>174</v>
      </c>
      <c r="G950" s="168">
        <f t="shared" si="306"/>
        <v>27.700831024930746</v>
      </c>
      <c r="H950" s="168">
        <f t="shared" si="307"/>
        <v>4819.9445983379501</v>
      </c>
      <c r="I950" s="168">
        <f t="shared" si="308"/>
        <v>30</v>
      </c>
      <c r="J950" s="739"/>
      <c r="K950" s="168">
        <f>IF(J950&lt;&gt;"",J950,IF(ISERROR(Personalplanung!AB14/Monatsplanung!$E14*Monatsplanung!$G14),0,Personalplanung!AB14/Monatsplanung!$E14*Monatsplanung!$P14))</f>
        <v>0.66666666666666663</v>
      </c>
      <c r="L950" s="740"/>
      <c r="M950" s="739"/>
      <c r="N950" s="168">
        <f>IF(M950&lt;&gt;"",M950,IF(ISERROR(Personalplanung!AC14/Monatsplanung!$E14*Monatsplanung!$G14),0,Personalplanung!AC14/Monatsplanung!$E14*Monatsplanung!$P14))</f>
        <v>0</v>
      </c>
      <c r="O950" s="740"/>
      <c r="P950" s="739"/>
      <c r="Q950" s="168">
        <f>IF(P950&lt;&gt;"",P950,IF(ISERROR(Personalplanung!AD14/Monatsplanung!$E14*Monatsplanung!$G14),0,Personalplanung!AD14/Monatsplanung!$E14*Monatsplanung!$P14))</f>
        <v>0.16666666666666666</v>
      </c>
      <c r="R950" s="740"/>
      <c r="S950" s="739"/>
      <c r="T950" s="168">
        <f>IF(S950&lt;&gt;"",S950,IF(ISERROR(Personalplanung!AE14/Monatsplanung!$E14*Monatsplanung!$G14),0,Personalplanung!AE14/Monatsplanung!$E14*Monatsplanung!$P14))</f>
        <v>2.1666666666666665</v>
      </c>
      <c r="U950" s="740"/>
      <c r="V950" s="168">
        <f t="shared" si="309"/>
        <v>3</v>
      </c>
      <c r="W950" s="168">
        <f>IF(ISERROR(Personalplanung!P14/Monatsplanung!$E14*Monatsplanung!$P14),0,Personalplanung!P14/Monatsplanung!$E14*Monatsplanung!$P14)</f>
        <v>0</v>
      </c>
      <c r="X950" s="168">
        <f>IF(ISERROR(Personalplanung!Q14/Monatsplanung!$E14*Monatsplanung!$P14),0,Personalplanung!Q14/Monatsplanung!$E14*Monatsplanung!$P14)</f>
        <v>166.66666666666666</v>
      </c>
      <c r="Y950" s="168">
        <f>IF(ISERROR(Personalplanung!R14/T1262*Stundencontrolling!T950),0,Personalplanung!R14/T1262*Stundencontrolling!T950)</f>
        <v>66.666666666666657</v>
      </c>
      <c r="Z950" s="168">
        <f>IF(ISERROR(Personalplanung!S14/Monatsplanung!$E14*Monatsplanung!$P14),0,Personalplanung!S14/Monatsplanung!$E14*Monatsplanung!$P14)</f>
        <v>50</v>
      </c>
      <c r="AA950" s="80">
        <f t="shared" si="310"/>
        <v>149701.61588180979</v>
      </c>
      <c r="AB950" s="102">
        <f t="shared" si="311"/>
        <v>0.1</v>
      </c>
      <c r="AC950" s="103">
        <f t="shared" si="312"/>
        <v>14970.161588180979</v>
      </c>
      <c r="AD950" s="103">
        <f t="shared" si="313"/>
        <v>134731.45429362881</v>
      </c>
      <c r="AE950" s="81">
        <f t="shared" si="314"/>
        <v>15</v>
      </c>
      <c r="AF950" s="539"/>
      <c r="AG950" s="104">
        <f t="shared" si="315"/>
        <v>1</v>
      </c>
      <c r="AH950" s="7">
        <f t="shared" si="316"/>
        <v>0</v>
      </c>
      <c r="AI950" s="6">
        <f t="shared" si="317"/>
        <v>15</v>
      </c>
      <c r="AJ950" s="73">
        <f t="shared" si="318"/>
        <v>998.01077254539859</v>
      </c>
      <c r="AK950" s="539"/>
      <c r="AL950" s="748"/>
      <c r="AM950" s="748"/>
    </row>
    <row r="951" spans="2:39" x14ac:dyDescent="0.2">
      <c r="B951" s="101" t="str">
        <f t="shared" si="303"/>
        <v>Facharbeiter</v>
      </c>
      <c r="C951" s="168">
        <f>IF(ISERROR(Personalplanung!F15/Monatsplanung!$E15*Monatsplanung!$P15),0,Personalplanung!F15/Monatsplanung!$E15*Monatsplanung!$P15)</f>
        <v>174</v>
      </c>
      <c r="D951" s="168">
        <f t="shared" si="304"/>
        <v>8</v>
      </c>
      <c r="E951" s="168">
        <f>IF(ISERROR(Personalplanung!H15/Monatsplanung!$E15*Monatsplanung!$P15),0,Personalplanung!H15/Monatsplanung!$E15*Monatsplanung!$P15)</f>
        <v>0</v>
      </c>
      <c r="F951" s="168">
        <f t="shared" si="305"/>
        <v>174</v>
      </c>
      <c r="G951" s="168">
        <f t="shared" si="306"/>
        <v>27.700831024930746</v>
      </c>
      <c r="H951" s="168">
        <f t="shared" si="307"/>
        <v>4819.9445983379501</v>
      </c>
      <c r="I951" s="168">
        <f t="shared" si="308"/>
        <v>30</v>
      </c>
      <c r="J951" s="739"/>
      <c r="K951" s="168">
        <f>IF(J951&lt;&gt;"",J951,IF(ISERROR(Personalplanung!AB15/Monatsplanung!$E15*Monatsplanung!$G15),0,Personalplanung!AB15/Monatsplanung!$E15*Monatsplanung!$P15))</f>
        <v>0.66666666666666663</v>
      </c>
      <c r="L951" s="740"/>
      <c r="M951" s="739"/>
      <c r="N951" s="168">
        <f>IF(M951&lt;&gt;"",M951,IF(ISERROR(Personalplanung!AC15/Monatsplanung!$E15*Monatsplanung!$G15),0,Personalplanung!AC15/Monatsplanung!$E15*Monatsplanung!$P15))</f>
        <v>0.16666666666666666</v>
      </c>
      <c r="O951" s="740"/>
      <c r="P951" s="739"/>
      <c r="Q951" s="168">
        <f>IF(P951&lt;&gt;"",P951,IF(ISERROR(Personalplanung!AD15/Monatsplanung!$E15*Monatsplanung!$G15),0,Personalplanung!AD15/Monatsplanung!$E15*Monatsplanung!$P15))</f>
        <v>0.41666666666666669</v>
      </c>
      <c r="R951" s="740"/>
      <c r="S951" s="739"/>
      <c r="T951" s="168">
        <f>IF(S951&lt;&gt;"",S951,IF(ISERROR(Personalplanung!AE15/Monatsplanung!$E15*Monatsplanung!$G15),0,Personalplanung!AE15/Monatsplanung!$E15*Monatsplanung!$P15))</f>
        <v>2.1666666666666665</v>
      </c>
      <c r="U951" s="740"/>
      <c r="V951" s="168">
        <f t="shared" si="309"/>
        <v>3.4166666666666665</v>
      </c>
      <c r="W951" s="168">
        <f>IF(ISERROR(Personalplanung!P15/Monatsplanung!$E15*Monatsplanung!$P15),0,Personalplanung!P15/Monatsplanung!$E15*Monatsplanung!$P15)</f>
        <v>0</v>
      </c>
      <c r="X951" s="168">
        <f>IF(ISERROR(Personalplanung!Q15/Monatsplanung!$E15*Monatsplanung!$P15),0,Personalplanung!Q15/Monatsplanung!$E15*Monatsplanung!$P15)</f>
        <v>0</v>
      </c>
      <c r="Y951" s="168">
        <f>IF(ISERROR(Personalplanung!R15/T1263*Stundencontrolling!T951),0,Personalplanung!R15/T1263*Stundencontrolling!T951)</f>
        <v>0</v>
      </c>
      <c r="Z951" s="168">
        <f>IF(ISERROR(Personalplanung!S15/Monatsplanung!$E15*Monatsplanung!$P15),0,Personalplanung!S15/Monatsplanung!$E15*Monatsplanung!$P15)</f>
        <v>0</v>
      </c>
      <c r="AA951" s="80">
        <f t="shared" si="310"/>
        <v>149418.28254847645</v>
      </c>
      <c r="AB951" s="102">
        <f t="shared" si="311"/>
        <v>0.1</v>
      </c>
      <c r="AC951" s="103">
        <f t="shared" si="312"/>
        <v>14941.828254847645</v>
      </c>
      <c r="AD951" s="103">
        <f t="shared" si="313"/>
        <v>134476.45429362881</v>
      </c>
      <c r="AE951" s="81">
        <f t="shared" si="314"/>
        <v>14.666666666666666</v>
      </c>
      <c r="AF951" s="539"/>
      <c r="AG951" s="104">
        <f t="shared" si="315"/>
        <v>1</v>
      </c>
      <c r="AH951" s="7">
        <f t="shared" si="316"/>
        <v>0</v>
      </c>
      <c r="AI951" s="6">
        <f t="shared" si="317"/>
        <v>14.666666666666666</v>
      </c>
      <c r="AJ951" s="73">
        <f t="shared" si="318"/>
        <v>1018.7610173759758</v>
      </c>
      <c r="AK951" s="539"/>
      <c r="AL951" s="748"/>
      <c r="AM951" s="748"/>
    </row>
    <row r="952" spans="2:39" x14ac:dyDescent="0.2">
      <c r="B952" s="101" t="str">
        <f t="shared" si="303"/>
        <v>Abgänger</v>
      </c>
      <c r="C952" s="168">
        <f>IF(ISERROR(Personalplanung!F16/Monatsplanung!$E16*Monatsplanung!$P16),0,Personalplanung!F16/Monatsplanung!$E16*Monatsplanung!$P16)</f>
        <v>0</v>
      </c>
      <c r="D952" s="168">
        <f t="shared" si="304"/>
        <v>8</v>
      </c>
      <c r="E952" s="168">
        <f>IF(ISERROR(Personalplanung!H16/Monatsplanung!$E16*Monatsplanung!$P16),0,Personalplanung!H16/Monatsplanung!$E16*Monatsplanung!$P16)</f>
        <v>0</v>
      </c>
      <c r="F952" s="168">
        <f t="shared" si="305"/>
        <v>0</v>
      </c>
      <c r="G952" s="168">
        <f t="shared" si="306"/>
        <v>27.700831024930746</v>
      </c>
      <c r="H952" s="168">
        <f t="shared" si="307"/>
        <v>0</v>
      </c>
      <c r="I952" s="168">
        <f t="shared" si="308"/>
        <v>30</v>
      </c>
      <c r="J952" s="739"/>
      <c r="K952" s="168">
        <f>IF(J952&lt;&gt;"",J952,IF(ISERROR(Personalplanung!AB16/Monatsplanung!$E16*Monatsplanung!$G16),0,Personalplanung!AB16/Monatsplanung!$E16*Monatsplanung!$P16))</f>
        <v>0</v>
      </c>
      <c r="L952" s="740"/>
      <c r="M952" s="739"/>
      <c r="N952" s="168">
        <f>IF(M952&lt;&gt;"",M952,IF(ISERROR(Personalplanung!AC16/Monatsplanung!$E16*Monatsplanung!$G16),0,Personalplanung!AC16/Monatsplanung!$E16*Monatsplanung!$P16))</f>
        <v>0</v>
      </c>
      <c r="O952" s="740"/>
      <c r="P952" s="739"/>
      <c r="Q952" s="168">
        <f>IF(P952&lt;&gt;"",P952,IF(ISERROR(Personalplanung!AD16/Monatsplanung!$E16*Monatsplanung!$G16),0,Personalplanung!AD16/Monatsplanung!$E16*Monatsplanung!$P16))</f>
        <v>0</v>
      </c>
      <c r="R952" s="740"/>
      <c r="S952" s="739"/>
      <c r="T952" s="168">
        <f>IF(S952&lt;&gt;"",S952,IF(ISERROR(Personalplanung!AE16/Monatsplanung!$E16*Monatsplanung!$G16),0,Personalplanung!AE16/Monatsplanung!$E16*Monatsplanung!$P16))</f>
        <v>0</v>
      </c>
      <c r="U952" s="740"/>
      <c r="V952" s="168">
        <f t="shared" si="309"/>
        <v>0</v>
      </c>
      <c r="W952" s="168">
        <f>IF(ISERROR(Personalplanung!P16/Monatsplanung!$E16*Monatsplanung!$P16),0,Personalplanung!P16/Monatsplanung!$E16*Monatsplanung!$P16)</f>
        <v>0</v>
      </c>
      <c r="X952" s="168">
        <f>IF(ISERROR(Personalplanung!Q16/Monatsplanung!$E16*Monatsplanung!$P16),0,Personalplanung!Q16/Monatsplanung!$E16*Monatsplanung!$P16)</f>
        <v>0</v>
      </c>
      <c r="Y952" s="168">
        <f>IF(ISERROR(Personalplanung!R16/T1264*Stundencontrolling!T952),0,Personalplanung!R16/T1264*Stundencontrolling!T952)</f>
        <v>0</v>
      </c>
      <c r="Z952" s="168">
        <f>IF(ISERROR(Personalplanung!S16/Monatsplanung!$E16*Monatsplanung!$P16),0,Personalplanung!S16/Monatsplanung!$E16*Monatsplanung!$P16)</f>
        <v>0</v>
      </c>
      <c r="AA952" s="80">
        <f t="shared" si="310"/>
        <v>0</v>
      </c>
      <c r="AB952" s="102">
        <f t="shared" si="311"/>
        <v>0.1</v>
      </c>
      <c r="AC952" s="103">
        <f t="shared" si="312"/>
        <v>0</v>
      </c>
      <c r="AD952" s="103">
        <f t="shared" si="313"/>
        <v>0</v>
      </c>
      <c r="AE952" s="81">
        <f t="shared" si="314"/>
        <v>0</v>
      </c>
      <c r="AF952" s="539"/>
      <c r="AG952" s="104">
        <f t="shared" si="315"/>
        <v>1</v>
      </c>
      <c r="AH952" s="7">
        <f t="shared" si="316"/>
        <v>0</v>
      </c>
      <c r="AI952" s="6">
        <f t="shared" si="317"/>
        <v>0</v>
      </c>
      <c r="AJ952" s="73">
        <f t="shared" si="318"/>
        <v>0</v>
      </c>
      <c r="AK952" s="539"/>
      <c r="AL952" s="748"/>
      <c r="AM952" s="748"/>
    </row>
    <row r="953" spans="2:39" x14ac:dyDescent="0.2">
      <c r="B953" s="101" t="str">
        <f t="shared" si="303"/>
        <v>Facharbeiter</v>
      </c>
      <c r="C953" s="168">
        <f>IF(ISERROR(Personalplanung!F17/Monatsplanung!$E17*Monatsplanung!$P17),0,Personalplanung!F17/Monatsplanung!$E17*Monatsplanung!$P17)</f>
        <v>174</v>
      </c>
      <c r="D953" s="168">
        <f t="shared" si="304"/>
        <v>8</v>
      </c>
      <c r="E953" s="168">
        <f>IF(ISERROR(Personalplanung!H17/Monatsplanung!$E17*Monatsplanung!$P17),0,Personalplanung!H17/Monatsplanung!$E17*Monatsplanung!$P17)</f>
        <v>0</v>
      </c>
      <c r="F953" s="168">
        <f t="shared" si="305"/>
        <v>174</v>
      </c>
      <c r="G953" s="168">
        <f t="shared" si="306"/>
        <v>27.700831024930746</v>
      </c>
      <c r="H953" s="168">
        <f t="shared" si="307"/>
        <v>4819.9445983379501</v>
      </c>
      <c r="I953" s="168">
        <f t="shared" si="308"/>
        <v>30</v>
      </c>
      <c r="J953" s="739"/>
      <c r="K953" s="168">
        <f>IF(J953&lt;&gt;"",J953,IF(ISERROR(Personalplanung!AB17/Monatsplanung!$E17*Monatsplanung!$G17),0,Personalplanung!AB17/Monatsplanung!$E17*Monatsplanung!$P17))</f>
        <v>0.66666666666666663</v>
      </c>
      <c r="L953" s="740"/>
      <c r="M953" s="739"/>
      <c r="N953" s="168">
        <f>IF(M953&lt;&gt;"",M953,IF(ISERROR(Personalplanung!AC17/Monatsplanung!$E17*Monatsplanung!$G17),0,Personalplanung!AC17/Monatsplanung!$E17*Monatsplanung!$P17))</f>
        <v>0</v>
      </c>
      <c r="O953" s="740"/>
      <c r="P953" s="739"/>
      <c r="Q953" s="168">
        <f>IF(P953&lt;&gt;"",P953,IF(ISERROR(Personalplanung!AD17/Monatsplanung!$E17*Monatsplanung!$G17),0,Personalplanung!AD17/Monatsplanung!$E17*Monatsplanung!$P17))</f>
        <v>0.16666666666666666</v>
      </c>
      <c r="R953" s="740"/>
      <c r="S953" s="739"/>
      <c r="T953" s="168">
        <f>IF(S953&lt;&gt;"",S953,IF(ISERROR(Personalplanung!AE17/Monatsplanung!$E17*Monatsplanung!$G17),0,Personalplanung!AE17/Monatsplanung!$E17*Monatsplanung!$P17))</f>
        <v>2.1666666666666665</v>
      </c>
      <c r="U953" s="740"/>
      <c r="V953" s="168">
        <f t="shared" si="309"/>
        <v>3</v>
      </c>
      <c r="W953" s="168">
        <f>IF(ISERROR(Personalplanung!P17/Monatsplanung!$E17*Monatsplanung!$P17),0,Personalplanung!P17/Monatsplanung!$E17*Monatsplanung!$P17)</f>
        <v>0</v>
      </c>
      <c r="X953" s="168">
        <f>IF(ISERROR(Personalplanung!Q17/Monatsplanung!$E17*Monatsplanung!$P17),0,Personalplanung!Q17/Monatsplanung!$E17*Monatsplanung!$P17)</f>
        <v>0</v>
      </c>
      <c r="Y953" s="168">
        <f>IF(ISERROR(Personalplanung!R17/T1265*Stundencontrolling!T953),0,Personalplanung!R17/T1265*Stundencontrolling!T953)</f>
        <v>0</v>
      </c>
      <c r="Z953" s="168">
        <f>IF(ISERROR(Personalplanung!S17/Monatsplanung!$E17*Monatsplanung!$P17),0,Personalplanung!S17/Monatsplanung!$E17*Monatsplanung!$P17)</f>
        <v>0</v>
      </c>
      <c r="AA953" s="80">
        <f t="shared" si="310"/>
        <v>149418.28254847645</v>
      </c>
      <c r="AB953" s="102">
        <f t="shared" si="311"/>
        <v>0.1</v>
      </c>
      <c r="AC953" s="103">
        <f t="shared" si="312"/>
        <v>14941.828254847645</v>
      </c>
      <c r="AD953" s="103">
        <f t="shared" si="313"/>
        <v>134476.45429362881</v>
      </c>
      <c r="AE953" s="81">
        <f t="shared" si="314"/>
        <v>15</v>
      </c>
      <c r="AF953" s="539"/>
      <c r="AG953" s="104">
        <f t="shared" si="315"/>
        <v>1</v>
      </c>
      <c r="AH953" s="7">
        <f t="shared" si="316"/>
        <v>0</v>
      </c>
      <c r="AI953" s="6">
        <f t="shared" si="317"/>
        <v>15</v>
      </c>
      <c r="AJ953" s="73">
        <f t="shared" si="318"/>
        <v>996.12188365650968</v>
      </c>
      <c r="AK953" s="539"/>
      <c r="AL953" s="748"/>
      <c r="AM953" s="748"/>
    </row>
    <row r="954" spans="2:39" x14ac:dyDescent="0.2">
      <c r="B954" s="101" t="str">
        <f t="shared" si="303"/>
        <v>Facharbeiter</v>
      </c>
      <c r="C954" s="168">
        <f>IF(ISERROR(Personalplanung!F18/Monatsplanung!$E18*Monatsplanung!$P18),0,Personalplanung!F18/Monatsplanung!$E18*Monatsplanung!$P18)</f>
        <v>174</v>
      </c>
      <c r="D954" s="168">
        <f t="shared" si="304"/>
        <v>8</v>
      </c>
      <c r="E954" s="168">
        <f>IF(ISERROR(Personalplanung!H18/Monatsplanung!$E18*Monatsplanung!$P18),0,Personalplanung!H18/Monatsplanung!$E18*Monatsplanung!$P18)</f>
        <v>0</v>
      </c>
      <c r="F954" s="168">
        <f t="shared" si="305"/>
        <v>174</v>
      </c>
      <c r="G954" s="168">
        <f t="shared" si="306"/>
        <v>27.700831024930746</v>
      </c>
      <c r="H954" s="168">
        <f t="shared" si="307"/>
        <v>4819.9445983379501</v>
      </c>
      <c r="I954" s="168">
        <f t="shared" si="308"/>
        <v>30</v>
      </c>
      <c r="J954" s="739"/>
      <c r="K954" s="168">
        <f>IF(J954&lt;&gt;"",J954,IF(ISERROR(Personalplanung!AB18/Monatsplanung!$E18*Monatsplanung!$G18),0,Personalplanung!AB18/Monatsplanung!$E18*Monatsplanung!$P18))</f>
        <v>0.66666666666666663</v>
      </c>
      <c r="L954" s="740"/>
      <c r="M954" s="739"/>
      <c r="N954" s="168">
        <f>IF(M954&lt;&gt;"",M954,IF(ISERROR(Personalplanung!AC18/Monatsplanung!$E18*Monatsplanung!$G18),0,Personalplanung!AC18/Monatsplanung!$E18*Monatsplanung!$P18))</f>
        <v>0.33333333333333331</v>
      </c>
      <c r="O954" s="740"/>
      <c r="P954" s="739"/>
      <c r="Q954" s="168">
        <f>IF(P954&lt;&gt;"",P954,IF(ISERROR(Personalplanung!AD18/Monatsplanung!$E18*Monatsplanung!$G18),0,Personalplanung!AD18/Monatsplanung!$E18*Monatsplanung!$P18))</f>
        <v>0.16666666666666666</v>
      </c>
      <c r="R954" s="740"/>
      <c r="S954" s="739"/>
      <c r="T954" s="168">
        <f>IF(S954&lt;&gt;"",S954,IF(ISERROR(Personalplanung!AE18/Monatsplanung!$E18*Monatsplanung!$G18),0,Personalplanung!AE18/Monatsplanung!$E18*Monatsplanung!$P18))</f>
        <v>2.1666666666666665</v>
      </c>
      <c r="U954" s="740"/>
      <c r="V954" s="168">
        <f t="shared" si="309"/>
        <v>3.333333333333333</v>
      </c>
      <c r="W954" s="168">
        <f>IF(ISERROR(Personalplanung!P18/Monatsplanung!$E18*Monatsplanung!$P18),0,Personalplanung!P18/Monatsplanung!$E18*Monatsplanung!$P18)</f>
        <v>0</v>
      </c>
      <c r="X954" s="168">
        <f>IF(ISERROR(Personalplanung!Q18/Monatsplanung!$E18*Monatsplanung!$P18),0,Personalplanung!Q18/Monatsplanung!$E18*Monatsplanung!$P18)</f>
        <v>0</v>
      </c>
      <c r="Y954" s="168">
        <f>IF(ISERROR(Personalplanung!R18/T1266*Stundencontrolling!T954),0,Personalplanung!R18/T1266*Stundencontrolling!T954)</f>
        <v>0</v>
      </c>
      <c r="Z954" s="168">
        <f>IF(ISERROR(Personalplanung!S18/Monatsplanung!$E18*Monatsplanung!$P18),0,Personalplanung!S18/Monatsplanung!$E18*Monatsplanung!$P18)</f>
        <v>0</v>
      </c>
      <c r="AA954" s="80">
        <f t="shared" si="310"/>
        <v>149418.28254847645</v>
      </c>
      <c r="AB954" s="102">
        <f t="shared" si="311"/>
        <v>0.1</v>
      </c>
      <c r="AC954" s="103">
        <f t="shared" si="312"/>
        <v>14941.828254847645</v>
      </c>
      <c r="AD954" s="103">
        <f t="shared" si="313"/>
        <v>134476.45429362881</v>
      </c>
      <c r="AE954" s="81">
        <f t="shared" si="314"/>
        <v>14.733333333333334</v>
      </c>
      <c r="AF954" s="539"/>
      <c r="AG954" s="104">
        <f t="shared" si="315"/>
        <v>1</v>
      </c>
      <c r="AH954" s="7">
        <f t="shared" si="316"/>
        <v>0</v>
      </c>
      <c r="AI954" s="6">
        <f t="shared" si="317"/>
        <v>14.733333333333334</v>
      </c>
      <c r="AJ954" s="73">
        <f t="shared" si="318"/>
        <v>1014.1512390168084</v>
      </c>
      <c r="AK954" s="539"/>
      <c r="AL954" s="748"/>
      <c r="AM954" s="748"/>
    </row>
    <row r="955" spans="2:39" x14ac:dyDescent="0.2">
      <c r="B955" s="101" t="str">
        <f t="shared" si="303"/>
        <v>Elternzeit Geselle</v>
      </c>
      <c r="C955" s="168">
        <f>IF(ISERROR(Personalplanung!F19/Monatsplanung!$E19*Monatsplanung!$P19),0,Personalplanung!F19/Monatsplanung!$E19*Monatsplanung!$P19)</f>
        <v>130.5</v>
      </c>
      <c r="D955" s="168">
        <f t="shared" si="304"/>
        <v>6</v>
      </c>
      <c r="E955" s="168">
        <f>IF(ISERROR(Personalplanung!H19/Monatsplanung!$E19*Monatsplanung!$P19),0,Personalplanung!H19/Monatsplanung!$E19*Monatsplanung!$P19)</f>
        <v>0</v>
      </c>
      <c r="F955" s="168">
        <f t="shared" si="305"/>
        <v>130.5</v>
      </c>
      <c r="G955" s="168">
        <f t="shared" si="306"/>
        <v>27.700831024930746</v>
      </c>
      <c r="H955" s="168">
        <f t="shared" si="307"/>
        <v>3614.9584487534626</v>
      </c>
      <c r="I955" s="168">
        <f t="shared" si="308"/>
        <v>30</v>
      </c>
      <c r="J955" s="739"/>
      <c r="K955" s="168">
        <f>IF(J955&lt;&gt;"",J955,IF(ISERROR(Personalplanung!AB19/Monatsplanung!$E19*Monatsplanung!$G19),0,Personalplanung!AB19/Monatsplanung!$E19*Monatsplanung!$P19))</f>
        <v>1</v>
      </c>
      <c r="L955" s="740"/>
      <c r="M955" s="739"/>
      <c r="N955" s="168">
        <f>IF(M955&lt;&gt;"",M955,IF(ISERROR(Personalplanung!AC19/Monatsplanung!$E19*Monatsplanung!$G19),0,Personalplanung!AC19/Monatsplanung!$E19*Monatsplanung!$P19))</f>
        <v>0</v>
      </c>
      <c r="O955" s="740"/>
      <c r="P955" s="739"/>
      <c r="Q955" s="168">
        <f>IF(P955&lt;&gt;"",P955,IF(ISERROR(Personalplanung!AD19/Monatsplanung!$E19*Monatsplanung!$G19),0,Personalplanung!AD19/Monatsplanung!$E19*Monatsplanung!$P19))</f>
        <v>0.25</v>
      </c>
      <c r="R955" s="740"/>
      <c r="S955" s="739"/>
      <c r="T955" s="168">
        <f>IF(S955&lt;&gt;"",S955,IF(ISERROR(Personalplanung!AE19/Monatsplanung!$E19*Monatsplanung!$G19),0,Personalplanung!AE19/Monatsplanung!$E19*Monatsplanung!$P19))</f>
        <v>3.25</v>
      </c>
      <c r="U955" s="740"/>
      <c r="V955" s="168">
        <f t="shared" si="309"/>
        <v>4.5</v>
      </c>
      <c r="W955" s="168">
        <f>IF(ISERROR(Personalplanung!P19/Monatsplanung!$E19*Monatsplanung!$P19),0,Personalplanung!P19/Monatsplanung!$E19*Monatsplanung!$P19)</f>
        <v>0</v>
      </c>
      <c r="X955" s="168">
        <f>IF(ISERROR(Personalplanung!Q19/Monatsplanung!$E19*Monatsplanung!$P19),0,Personalplanung!Q19/Monatsplanung!$E19*Monatsplanung!$P19)</f>
        <v>0</v>
      </c>
      <c r="Y955" s="168">
        <f>IF(ISERROR(Personalplanung!R19/T1267*Stundencontrolling!T955),0,Personalplanung!R19/T1267*Stundencontrolling!T955)</f>
        <v>0</v>
      </c>
      <c r="Z955" s="168">
        <f>IF(ISERROR(Personalplanung!S19/Monatsplanung!$E19*Monatsplanung!$P19),0,Personalplanung!S19/Monatsplanung!$E19*Monatsplanung!$P19)</f>
        <v>0</v>
      </c>
      <c r="AA955" s="80">
        <f t="shared" si="310"/>
        <v>112063.71191135734</v>
      </c>
      <c r="AB955" s="102">
        <f t="shared" si="311"/>
        <v>0.1</v>
      </c>
      <c r="AC955" s="103">
        <f t="shared" si="312"/>
        <v>11206.371191135735</v>
      </c>
      <c r="AD955" s="103">
        <f t="shared" si="313"/>
        <v>100857.3407202216</v>
      </c>
      <c r="AE955" s="81">
        <f t="shared" si="314"/>
        <v>10.350000000000001</v>
      </c>
      <c r="AF955" s="539"/>
      <c r="AG955" s="104">
        <f t="shared" si="315"/>
        <v>1</v>
      </c>
      <c r="AH955" s="7">
        <f t="shared" si="316"/>
        <v>0</v>
      </c>
      <c r="AI955" s="6">
        <f t="shared" si="317"/>
        <v>10.350000000000001</v>
      </c>
      <c r="AJ955" s="73">
        <f t="shared" si="318"/>
        <v>1082.7411778875105</v>
      </c>
      <c r="AK955" s="539"/>
      <c r="AL955" s="748"/>
      <c r="AM955" s="748"/>
    </row>
    <row r="956" spans="2:39" x14ac:dyDescent="0.2">
      <c r="B956" s="101" t="str">
        <f t="shared" si="303"/>
        <v>A. Zubi</v>
      </c>
      <c r="C956" s="168">
        <f>IF(ISERROR(Personalplanung!F20/Monatsplanung!$E20*Monatsplanung!$P20),0,Personalplanung!F20/Monatsplanung!$E20*Monatsplanung!$P20)</f>
        <v>174</v>
      </c>
      <c r="D956" s="168">
        <f t="shared" si="304"/>
        <v>8</v>
      </c>
      <c r="E956" s="168">
        <f>IF(ISERROR(Personalplanung!H20/Monatsplanung!$E20*Monatsplanung!$P20),0,Personalplanung!H20/Monatsplanung!$E20*Monatsplanung!$P20)</f>
        <v>0</v>
      </c>
      <c r="F956" s="168">
        <f t="shared" si="305"/>
        <v>174</v>
      </c>
      <c r="G956" s="168">
        <f t="shared" si="306"/>
        <v>27.700831024930746</v>
      </c>
      <c r="H956" s="168">
        <f t="shared" si="307"/>
        <v>4819.9445983379501</v>
      </c>
      <c r="I956" s="168">
        <f t="shared" si="308"/>
        <v>30</v>
      </c>
      <c r="J956" s="739"/>
      <c r="K956" s="168">
        <f>IF(J956&lt;&gt;"",J956,IF(ISERROR(Personalplanung!AB20/Monatsplanung!$E20*Monatsplanung!$G20),0,Personalplanung!AB20/Monatsplanung!$E20*Monatsplanung!$P20))</f>
        <v>0.66666666666666663</v>
      </c>
      <c r="L956" s="740"/>
      <c r="M956" s="739"/>
      <c r="N956" s="168">
        <f>IF(M956&lt;&gt;"",M956,IF(ISERROR(Personalplanung!AC20/Monatsplanung!$E20*Monatsplanung!$G20),0,Personalplanung!AC20/Monatsplanung!$E20*Monatsplanung!$P20))</f>
        <v>0.25</v>
      </c>
      <c r="O956" s="740"/>
      <c r="P956" s="739"/>
      <c r="Q956" s="168">
        <f>IF(P956&lt;&gt;"",P956,IF(ISERROR(Personalplanung!AD20/Monatsplanung!$E20*Monatsplanung!$G20),0,Personalplanung!AD20/Monatsplanung!$E20*Monatsplanung!$P20))</f>
        <v>0.16666666666666666</v>
      </c>
      <c r="R956" s="740"/>
      <c r="S956" s="739"/>
      <c r="T956" s="168">
        <f>IF(S956&lt;&gt;"",S956,IF(ISERROR(Personalplanung!AE20/Monatsplanung!$E20*Monatsplanung!$G20),0,Personalplanung!AE20/Monatsplanung!$E20*Monatsplanung!$P20))</f>
        <v>2.1666666666666665</v>
      </c>
      <c r="U956" s="740"/>
      <c r="V956" s="168">
        <f t="shared" si="309"/>
        <v>3.25</v>
      </c>
      <c r="W956" s="168">
        <f>IF(ISERROR(Personalplanung!P20/Monatsplanung!$E20*Monatsplanung!$P20),0,Personalplanung!P20/Monatsplanung!$E20*Monatsplanung!$P20)</f>
        <v>0</v>
      </c>
      <c r="X956" s="168">
        <f>IF(ISERROR(Personalplanung!Q20/Monatsplanung!$E20*Monatsplanung!$P20),0,Personalplanung!Q20/Monatsplanung!$E20*Monatsplanung!$P20)</f>
        <v>0</v>
      </c>
      <c r="Y956" s="168">
        <f>IF(ISERROR(Personalplanung!R20/T1268*Stundencontrolling!T956),0,Personalplanung!R20/T1268*Stundencontrolling!T956)</f>
        <v>0</v>
      </c>
      <c r="Z956" s="168">
        <f>IF(ISERROR(Personalplanung!S20/Monatsplanung!$E20*Monatsplanung!$P20),0,Personalplanung!S20/Monatsplanung!$E20*Monatsplanung!$P20)</f>
        <v>0</v>
      </c>
      <c r="AA956" s="80">
        <f t="shared" si="310"/>
        <v>149418.28254847645</v>
      </c>
      <c r="AB956" s="102">
        <f t="shared" si="311"/>
        <v>0.1</v>
      </c>
      <c r="AC956" s="103">
        <f t="shared" si="312"/>
        <v>14941.828254847645</v>
      </c>
      <c r="AD956" s="103">
        <f t="shared" si="313"/>
        <v>134476.45429362881</v>
      </c>
      <c r="AE956" s="81">
        <f t="shared" si="314"/>
        <v>14.8</v>
      </c>
      <c r="AF956" s="539"/>
      <c r="AG956" s="104">
        <f t="shared" si="315"/>
        <v>1</v>
      </c>
      <c r="AH956" s="7">
        <f t="shared" si="316"/>
        <v>0</v>
      </c>
      <c r="AI956" s="6">
        <f t="shared" si="317"/>
        <v>14.8</v>
      </c>
      <c r="AJ956" s="73">
        <f t="shared" si="318"/>
        <v>1009.5829901924084</v>
      </c>
      <c r="AK956" s="539"/>
      <c r="AL956" s="748"/>
      <c r="AM956" s="748"/>
    </row>
    <row r="957" spans="2:39" x14ac:dyDescent="0.2">
      <c r="B957" s="101" t="str">
        <f t="shared" si="303"/>
        <v>Zur Ausbildung</v>
      </c>
      <c r="C957" s="168">
        <f>IF(ISERROR(Personalplanung!F21/Monatsplanung!$E21*Monatsplanung!$P21),0,Personalplanung!F21/Monatsplanung!$E21*Monatsplanung!$P21)</f>
        <v>174</v>
      </c>
      <c r="D957" s="168">
        <f t="shared" si="304"/>
        <v>8</v>
      </c>
      <c r="E957" s="168">
        <f>IF(ISERROR(Personalplanung!H21/Monatsplanung!$E21*Monatsplanung!$P21),0,Personalplanung!H21/Monatsplanung!$E21*Monatsplanung!$P21)</f>
        <v>0</v>
      </c>
      <c r="F957" s="168">
        <f t="shared" si="305"/>
        <v>174</v>
      </c>
      <c r="G957" s="168">
        <f t="shared" si="306"/>
        <v>27.700831024930746</v>
      </c>
      <c r="H957" s="168">
        <f t="shared" si="307"/>
        <v>4819.9445983379501</v>
      </c>
      <c r="I957" s="168">
        <f t="shared" si="308"/>
        <v>30</v>
      </c>
      <c r="J957" s="739"/>
      <c r="K957" s="168">
        <f>IF(J957&lt;&gt;"",J957,IF(ISERROR(Personalplanung!AB21/Monatsplanung!$E21*Monatsplanung!$G21),0,Personalplanung!AB21/Monatsplanung!$E21*Monatsplanung!$P21))</f>
        <v>1.6</v>
      </c>
      <c r="L957" s="740"/>
      <c r="M957" s="739"/>
      <c r="N957" s="168">
        <f>IF(M957&lt;&gt;"",M957,IF(ISERROR(Personalplanung!AC21/Monatsplanung!$E21*Monatsplanung!$G21),0,Personalplanung!AC21/Monatsplanung!$E21*Monatsplanung!$P21))</f>
        <v>0</v>
      </c>
      <c r="O957" s="740"/>
      <c r="P957" s="739"/>
      <c r="Q957" s="168">
        <f>IF(P957&lt;&gt;"",P957,IF(ISERROR(Personalplanung!AD21/Monatsplanung!$E21*Monatsplanung!$G21),0,Personalplanung!AD21/Monatsplanung!$E21*Monatsplanung!$P21))</f>
        <v>0.4</v>
      </c>
      <c r="R957" s="740"/>
      <c r="S957" s="739"/>
      <c r="T957" s="168">
        <f>IF(S957&lt;&gt;"",S957,IF(ISERROR(Personalplanung!AE21/Monatsplanung!$E21*Monatsplanung!$G21),0,Personalplanung!AE21/Monatsplanung!$E21*Monatsplanung!$P21))</f>
        <v>5.2</v>
      </c>
      <c r="U957" s="740"/>
      <c r="V957" s="168">
        <f t="shared" si="309"/>
        <v>7.2</v>
      </c>
      <c r="W957" s="168">
        <f>IF(ISERROR(Personalplanung!P21/Monatsplanung!$E21*Monatsplanung!$P21),0,Personalplanung!P21/Monatsplanung!$E21*Monatsplanung!$P21)</f>
        <v>12</v>
      </c>
      <c r="X957" s="168">
        <f>IF(ISERROR(Personalplanung!Q21/Monatsplanung!$E21*Monatsplanung!$P21),0,Personalplanung!Q21/Monatsplanung!$E21*Monatsplanung!$P21)</f>
        <v>0</v>
      </c>
      <c r="Y957" s="168">
        <f>IF(ISERROR(Personalplanung!R21/T1269*Stundencontrolling!T957),0,Personalplanung!R21/T1269*Stundencontrolling!T957)</f>
        <v>0</v>
      </c>
      <c r="Z957" s="168">
        <f>IF(ISERROR(Personalplanung!S21/Monatsplanung!$E21*Monatsplanung!$P21),0,Personalplanung!S21/Monatsplanung!$E21*Monatsplanung!$P21)</f>
        <v>0</v>
      </c>
      <c r="AA957" s="80">
        <f t="shared" si="310"/>
        <v>149430.28254847645</v>
      </c>
      <c r="AB957" s="102">
        <f t="shared" si="311"/>
        <v>0.1</v>
      </c>
      <c r="AC957" s="103">
        <f t="shared" si="312"/>
        <v>14943.028254847646</v>
      </c>
      <c r="AD957" s="103">
        <f t="shared" si="313"/>
        <v>134487.25429362879</v>
      </c>
      <c r="AE957" s="81">
        <f t="shared" si="314"/>
        <v>11.64</v>
      </c>
      <c r="AF957" s="539"/>
      <c r="AG957" s="104">
        <f t="shared" si="315"/>
        <v>1</v>
      </c>
      <c r="AH957" s="7">
        <f t="shared" si="316"/>
        <v>0</v>
      </c>
      <c r="AI957" s="6">
        <f t="shared" si="317"/>
        <v>11.64</v>
      </c>
      <c r="AJ957" s="73">
        <f t="shared" si="318"/>
        <v>1283.7653139903475</v>
      </c>
      <c r="AK957" s="539"/>
      <c r="AL957" s="748"/>
      <c r="AM957" s="748"/>
    </row>
    <row r="958" spans="2:39" x14ac:dyDescent="0.2">
      <c r="B958" s="101" t="str">
        <f t="shared" si="303"/>
        <v>Reine Putze</v>
      </c>
      <c r="C958" s="168">
        <f>IF(ISERROR(Personalplanung!F22/Monatsplanung!$E22*Monatsplanung!$P22),0,Personalplanung!F22/Monatsplanung!$E22*Monatsplanung!$P22)</f>
        <v>52.199999999999996</v>
      </c>
      <c r="D958" s="168">
        <f t="shared" si="304"/>
        <v>2.4</v>
      </c>
      <c r="E958" s="168">
        <f>IF(ISERROR(Personalplanung!H22/Monatsplanung!$E22*Monatsplanung!$P22),0,Personalplanung!H22/Monatsplanung!$E22*Monatsplanung!$P22)</f>
        <v>0</v>
      </c>
      <c r="F958" s="168">
        <f t="shared" si="305"/>
        <v>52.199999999999996</v>
      </c>
      <c r="G958" s="168">
        <f t="shared" si="306"/>
        <v>27.700831024930746</v>
      </c>
      <c r="H958" s="168">
        <f t="shared" si="307"/>
        <v>1445.9833795013849</v>
      </c>
      <c r="I958" s="168">
        <f t="shared" si="308"/>
        <v>30</v>
      </c>
      <c r="J958" s="739"/>
      <c r="K958" s="168">
        <f>IF(J958&lt;&gt;"",J958,IF(ISERROR(Personalplanung!AB22/Monatsplanung!$E22*Monatsplanung!$G22),0,Personalplanung!AB22/Monatsplanung!$E22*Monatsplanung!$P22))</f>
        <v>0.25</v>
      </c>
      <c r="L958" s="740"/>
      <c r="M958" s="739"/>
      <c r="N958" s="168">
        <f>IF(M958&lt;&gt;"",M958,IF(ISERROR(Personalplanung!AC22/Monatsplanung!$E22*Monatsplanung!$G22),0,Personalplanung!AC22/Monatsplanung!$E22*Monatsplanung!$P22))</f>
        <v>0</v>
      </c>
      <c r="O958" s="740"/>
      <c r="P958" s="739"/>
      <c r="Q958" s="168">
        <f>IF(P958&lt;&gt;"",P958,IF(ISERROR(Personalplanung!AD22/Monatsplanung!$E22*Monatsplanung!$G22),0,Personalplanung!AD22/Monatsplanung!$E22*Monatsplanung!$P22))</f>
        <v>0</v>
      </c>
      <c r="R958" s="740"/>
      <c r="S958" s="739"/>
      <c r="T958" s="168">
        <f>IF(S958&lt;&gt;"",S958,IF(ISERROR(Personalplanung!AE22/Monatsplanung!$E22*Monatsplanung!$G22),0,Personalplanung!AE22/Monatsplanung!$E22*Monatsplanung!$P22))</f>
        <v>2.1666666666666665</v>
      </c>
      <c r="U958" s="740"/>
      <c r="V958" s="168">
        <f t="shared" si="309"/>
        <v>2.4166666666666665</v>
      </c>
      <c r="W958" s="168">
        <f>IF(ISERROR(Personalplanung!P22/Monatsplanung!$E22*Monatsplanung!$P22),0,Personalplanung!P22/Monatsplanung!$E22*Monatsplanung!$P22)</f>
        <v>0</v>
      </c>
      <c r="X958" s="168">
        <f>IF(ISERROR(Personalplanung!Q22/Monatsplanung!$E22*Monatsplanung!$P22),0,Personalplanung!Q22/Monatsplanung!$E22*Monatsplanung!$P22)</f>
        <v>0</v>
      </c>
      <c r="Y958" s="168">
        <f>IF(ISERROR(Personalplanung!R22/T1270*Stundencontrolling!T958),0,Personalplanung!R22/T1270*Stundencontrolling!T958)</f>
        <v>0</v>
      </c>
      <c r="Z958" s="168">
        <f>IF(ISERROR(Personalplanung!S22/Monatsplanung!$E22*Monatsplanung!$P22),0,Personalplanung!S22/Monatsplanung!$E22*Monatsplanung!$P22)</f>
        <v>0</v>
      </c>
      <c r="AA958" s="80">
        <f t="shared" si="310"/>
        <v>44825.484764542933</v>
      </c>
      <c r="AB958" s="102">
        <f t="shared" si="311"/>
        <v>0.1</v>
      </c>
      <c r="AC958" s="103">
        <f t="shared" si="312"/>
        <v>4482.5484764542934</v>
      </c>
      <c r="AD958" s="103">
        <f t="shared" si="313"/>
        <v>40342.93628808864</v>
      </c>
      <c r="AE958" s="81">
        <f t="shared" si="314"/>
        <v>4.6399999999999997</v>
      </c>
      <c r="AF958" s="539"/>
      <c r="AG958" s="104">
        <f t="shared" si="315"/>
        <v>1</v>
      </c>
      <c r="AH958" s="7">
        <f t="shared" si="316"/>
        <v>0</v>
      </c>
      <c r="AI958" s="6">
        <f t="shared" si="317"/>
        <v>4.6399999999999997</v>
      </c>
      <c r="AJ958" s="73">
        <f t="shared" si="318"/>
        <v>966.06648199445988</v>
      </c>
      <c r="AK958" s="539"/>
      <c r="AL958" s="748"/>
      <c r="AM958" s="748"/>
    </row>
    <row r="959" spans="2:39" x14ac:dyDescent="0.2">
      <c r="B959" s="101" t="str">
        <f t="shared" si="303"/>
        <v/>
      </c>
      <c r="C959" s="168">
        <f>IF(ISERROR(Personalplanung!F23/Monatsplanung!$E23*Monatsplanung!$P23),0,Personalplanung!F23/Monatsplanung!$E23*Monatsplanung!$P23)</f>
        <v>0</v>
      </c>
      <c r="D959" s="168">
        <f t="shared" si="304"/>
        <v>0</v>
      </c>
      <c r="E959" s="168">
        <f>IF(ISERROR(Personalplanung!H23/Monatsplanung!$E23*Monatsplanung!$P23),0,Personalplanung!H23/Monatsplanung!$E23*Monatsplanung!$P23)</f>
        <v>0</v>
      </c>
      <c r="F959" s="168">
        <f t="shared" si="305"/>
        <v>0</v>
      </c>
      <c r="G959" s="168">
        <f t="shared" si="306"/>
        <v>27.700831024930746</v>
      </c>
      <c r="H959" s="168">
        <f t="shared" si="307"/>
        <v>0</v>
      </c>
      <c r="I959" s="168">
        <f t="shared" si="308"/>
        <v>30</v>
      </c>
      <c r="J959" s="739"/>
      <c r="K959" s="168">
        <f>IF(J959&lt;&gt;"",J959,IF(ISERROR(Personalplanung!AB23/Monatsplanung!$E23*Monatsplanung!$G23),0,Personalplanung!AB23/Monatsplanung!$E23*Monatsplanung!$P23))</f>
        <v>0</v>
      </c>
      <c r="L959" s="740"/>
      <c r="M959" s="739"/>
      <c r="N959" s="168">
        <f>IF(M959&lt;&gt;"",M959,IF(ISERROR(Personalplanung!AC23/Monatsplanung!$E23*Monatsplanung!$G23),0,Personalplanung!AC23/Monatsplanung!$E23*Monatsplanung!$P23))</f>
        <v>0</v>
      </c>
      <c r="O959" s="740"/>
      <c r="P959" s="739"/>
      <c r="Q959" s="168">
        <f>IF(P959&lt;&gt;"",P959,IF(ISERROR(Personalplanung!AD23/Monatsplanung!$E23*Monatsplanung!$G23),0,Personalplanung!AD23/Monatsplanung!$E23*Monatsplanung!$P23))</f>
        <v>0</v>
      </c>
      <c r="R959" s="740"/>
      <c r="S959" s="739"/>
      <c r="T959" s="168">
        <f>IF(S959&lt;&gt;"",S959,IF(ISERROR(Personalplanung!AE23/Monatsplanung!$E23*Monatsplanung!$G23),0,Personalplanung!AE23/Monatsplanung!$E23*Monatsplanung!$P23))</f>
        <v>0</v>
      </c>
      <c r="U959" s="740"/>
      <c r="V959" s="168">
        <f t="shared" si="309"/>
        <v>0</v>
      </c>
      <c r="W959" s="168">
        <f>IF(ISERROR(Personalplanung!P23/Monatsplanung!$E23*Monatsplanung!$P23),0,Personalplanung!P23/Monatsplanung!$E23*Monatsplanung!$P23)</f>
        <v>0</v>
      </c>
      <c r="X959" s="168">
        <f>IF(ISERROR(Personalplanung!Q23/Monatsplanung!$E23*Monatsplanung!$P23),0,Personalplanung!Q23/Monatsplanung!$E23*Monatsplanung!$P23)</f>
        <v>0</v>
      </c>
      <c r="Y959" s="168">
        <f>IF(ISERROR(Personalplanung!R23/T1271*Stundencontrolling!T959),0,Personalplanung!R23/T1271*Stundencontrolling!T959)</f>
        <v>0</v>
      </c>
      <c r="Z959" s="168">
        <f>IF(ISERROR(Personalplanung!S23/Monatsplanung!$E23*Monatsplanung!$P23),0,Personalplanung!S23/Monatsplanung!$E23*Monatsplanung!$P23)</f>
        <v>0</v>
      </c>
      <c r="AA959" s="80">
        <f t="shared" si="310"/>
        <v>0</v>
      </c>
      <c r="AB959" s="102">
        <f t="shared" si="311"/>
        <v>0.1</v>
      </c>
      <c r="AC959" s="103">
        <f t="shared" si="312"/>
        <v>0</v>
      </c>
      <c r="AD959" s="103">
        <f t="shared" si="313"/>
        <v>0</v>
      </c>
      <c r="AE959" s="81">
        <f t="shared" si="314"/>
        <v>0</v>
      </c>
      <c r="AF959" s="539"/>
      <c r="AG959" s="104">
        <f t="shared" si="315"/>
        <v>1</v>
      </c>
      <c r="AH959" s="7">
        <f t="shared" si="316"/>
        <v>0</v>
      </c>
      <c r="AI959" s="6">
        <f t="shared" si="317"/>
        <v>0</v>
      </c>
      <c r="AJ959" s="73">
        <f t="shared" si="318"/>
        <v>0</v>
      </c>
      <c r="AK959" s="539"/>
      <c r="AL959" s="748"/>
      <c r="AM959" s="748"/>
    </row>
    <row r="960" spans="2:39" x14ac:dyDescent="0.2">
      <c r="B960" s="101" t="str">
        <f t="shared" si="303"/>
        <v/>
      </c>
      <c r="C960" s="168">
        <f>IF(ISERROR(Personalplanung!F24/Monatsplanung!$E24*Monatsplanung!$P24),0,Personalplanung!F24/Monatsplanung!$E24*Monatsplanung!$P24)</f>
        <v>0</v>
      </c>
      <c r="D960" s="168">
        <f t="shared" si="304"/>
        <v>0</v>
      </c>
      <c r="E960" s="168">
        <f>IF(ISERROR(Personalplanung!H24/Monatsplanung!$E24*Monatsplanung!$P24),0,Personalplanung!H24/Monatsplanung!$E24*Monatsplanung!$P24)</f>
        <v>0</v>
      </c>
      <c r="F960" s="168">
        <f t="shared" si="305"/>
        <v>0</v>
      </c>
      <c r="G960" s="168">
        <f t="shared" si="306"/>
        <v>27.700831024930746</v>
      </c>
      <c r="H960" s="168">
        <f t="shared" si="307"/>
        <v>0</v>
      </c>
      <c r="I960" s="168">
        <f t="shared" si="308"/>
        <v>30</v>
      </c>
      <c r="J960" s="739"/>
      <c r="K960" s="168">
        <f>IF(J960&lt;&gt;"",J960,IF(ISERROR(Personalplanung!AB24/Monatsplanung!$E24*Monatsplanung!$G24),0,Personalplanung!AB24/Monatsplanung!$E24*Monatsplanung!$P24))</f>
        <v>0</v>
      </c>
      <c r="L960" s="740"/>
      <c r="M960" s="739"/>
      <c r="N960" s="168">
        <f>IF(M960&lt;&gt;"",M960,IF(ISERROR(Personalplanung!AC24/Monatsplanung!$E24*Monatsplanung!$G24),0,Personalplanung!AC24/Monatsplanung!$E24*Monatsplanung!$P24))</f>
        <v>0</v>
      </c>
      <c r="O960" s="740"/>
      <c r="P960" s="739"/>
      <c r="Q960" s="168">
        <f>IF(P960&lt;&gt;"",P960,IF(ISERROR(Personalplanung!AD24/Monatsplanung!$E24*Monatsplanung!$G24),0,Personalplanung!AD24/Monatsplanung!$E24*Monatsplanung!$P24))</f>
        <v>0</v>
      </c>
      <c r="R960" s="740"/>
      <c r="S960" s="739"/>
      <c r="T960" s="168">
        <f>IF(S960&lt;&gt;"",S960,IF(ISERROR(Personalplanung!AE24/Monatsplanung!$E24*Monatsplanung!$G24),0,Personalplanung!AE24/Monatsplanung!$E24*Monatsplanung!$P24))</f>
        <v>0</v>
      </c>
      <c r="U960" s="740"/>
      <c r="V960" s="168">
        <f t="shared" si="309"/>
        <v>0</v>
      </c>
      <c r="W960" s="168">
        <f>IF(ISERROR(Personalplanung!P24/Monatsplanung!$E24*Monatsplanung!$P24),0,Personalplanung!P24/Monatsplanung!$E24*Monatsplanung!$P24)</f>
        <v>0</v>
      </c>
      <c r="X960" s="168">
        <f>IF(ISERROR(Personalplanung!Q24/Monatsplanung!$E24*Monatsplanung!$P24),0,Personalplanung!Q24/Monatsplanung!$E24*Monatsplanung!$P24)</f>
        <v>0</v>
      </c>
      <c r="Y960" s="168">
        <f>IF(ISERROR(Personalplanung!R24/T1272*Stundencontrolling!T960),0,Personalplanung!R24/T1272*Stundencontrolling!T960)</f>
        <v>0</v>
      </c>
      <c r="Z960" s="168">
        <f>IF(ISERROR(Personalplanung!S24/Monatsplanung!$E24*Monatsplanung!$P24),0,Personalplanung!S24/Monatsplanung!$E24*Monatsplanung!$P24)</f>
        <v>0</v>
      </c>
      <c r="AA960" s="80">
        <f t="shared" si="310"/>
        <v>0</v>
      </c>
      <c r="AB960" s="102">
        <f t="shared" si="311"/>
        <v>0.1</v>
      </c>
      <c r="AC960" s="103">
        <f t="shared" si="312"/>
        <v>0</v>
      </c>
      <c r="AD960" s="103">
        <f t="shared" si="313"/>
        <v>0</v>
      </c>
      <c r="AE960" s="81">
        <f t="shared" si="314"/>
        <v>0</v>
      </c>
      <c r="AF960" s="539"/>
      <c r="AG960" s="104">
        <f t="shared" si="315"/>
        <v>1</v>
      </c>
      <c r="AH960" s="7">
        <f t="shared" si="316"/>
        <v>0</v>
      </c>
      <c r="AI960" s="6">
        <f t="shared" si="317"/>
        <v>0</v>
      </c>
      <c r="AJ960" s="73">
        <f t="shared" si="318"/>
        <v>0</v>
      </c>
      <c r="AK960" s="539"/>
      <c r="AL960" s="748"/>
      <c r="AM960" s="748"/>
    </row>
    <row r="961" spans="2:39" x14ac:dyDescent="0.2">
      <c r="B961" s="101" t="str">
        <f t="shared" si="303"/>
        <v/>
      </c>
      <c r="C961" s="168">
        <f>IF(ISERROR(Personalplanung!F25/Monatsplanung!$E25*Monatsplanung!$P25),0,Personalplanung!F25/Monatsplanung!$E25*Monatsplanung!$P25)</f>
        <v>0</v>
      </c>
      <c r="D961" s="168">
        <f t="shared" si="304"/>
        <v>0</v>
      </c>
      <c r="E961" s="168">
        <f>IF(ISERROR(Personalplanung!H25/Monatsplanung!$E25*Monatsplanung!$P25),0,Personalplanung!H25/Monatsplanung!$E25*Monatsplanung!$P25)</f>
        <v>0</v>
      </c>
      <c r="F961" s="168">
        <f t="shared" si="305"/>
        <v>0</v>
      </c>
      <c r="G961" s="168">
        <f t="shared" si="306"/>
        <v>27.700831024930746</v>
      </c>
      <c r="H961" s="168">
        <f t="shared" si="307"/>
        <v>0</v>
      </c>
      <c r="I961" s="168">
        <f t="shared" si="308"/>
        <v>30</v>
      </c>
      <c r="J961" s="739"/>
      <c r="K961" s="168">
        <f>IF(J961&lt;&gt;"",J961,IF(ISERROR(Personalplanung!AB25/Monatsplanung!$E25*Monatsplanung!$G25),0,Personalplanung!AB25/Monatsplanung!$E25*Monatsplanung!$P25))</f>
        <v>0</v>
      </c>
      <c r="L961" s="740"/>
      <c r="M961" s="739"/>
      <c r="N961" s="168">
        <f>IF(M961&lt;&gt;"",M961,IF(ISERROR(Personalplanung!AC25/Monatsplanung!$E25*Monatsplanung!$G25),0,Personalplanung!AC25/Monatsplanung!$E25*Monatsplanung!$P25))</f>
        <v>0</v>
      </c>
      <c r="O961" s="740"/>
      <c r="P961" s="739"/>
      <c r="Q961" s="168">
        <f>IF(P961&lt;&gt;"",P961,IF(ISERROR(Personalplanung!AD25/Monatsplanung!$E25*Monatsplanung!$G25),0,Personalplanung!AD25/Monatsplanung!$E25*Monatsplanung!$P25))</f>
        <v>0</v>
      </c>
      <c r="R961" s="740"/>
      <c r="S961" s="739"/>
      <c r="T961" s="168">
        <f>IF(S961&lt;&gt;"",S961,IF(ISERROR(Personalplanung!AE25/Monatsplanung!$E25*Monatsplanung!$G25),0,Personalplanung!AE25/Monatsplanung!$E25*Monatsplanung!$P25))</f>
        <v>0</v>
      </c>
      <c r="U961" s="740"/>
      <c r="V961" s="168">
        <f t="shared" si="309"/>
        <v>0</v>
      </c>
      <c r="W961" s="168">
        <f>IF(ISERROR(Personalplanung!P25/Monatsplanung!$E25*Monatsplanung!$P25),0,Personalplanung!P25/Monatsplanung!$E25*Monatsplanung!$P25)</f>
        <v>0</v>
      </c>
      <c r="X961" s="168">
        <f>IF(ISERROR(Personalplanung!Q25/Monatsplanung!$E25*Monatsplanung!$P25),0,Personalplanung!Q25/Monatsplanung!$E25*Monatsplanung!$P25)</f>
        <v>0</v>
      </c>
      <c r="Y961" s="168">
        <f>IF(ISERROR(Personalplanung!R25/T1273*Stundencontrolling!T961),0,Personalplanung!R25/T1273*Stundencontrolling!T961)</f>
        <v>0</v>
      </c>
      <c r="Z961" s="168">
        <f>IF(ISERROR(Personalplanung!S25/Monatsplanung!$E25*Monatsplanung!$P25),0,Personalplanung!S25/Monatsplanung!$E25*Monatsplanung!$P25)</f>
        <v>0</v>
      </c>
      <c r="AA961" s="80">
        <f t="shared" si="310"/>
        <v>0</v>
      </c>
      <c r="AB961" s="102">
        <f t="shared" si="311"/>
        <v>0.1</v>
      </c>
      <c r="AC961" s="103">
        <f t="shared" si="312"/>
        <v>0</v>
      </c>
      <c r="AD961" s="103">
        <f t="shared" si="313"/>
        <v>0</v>
      </c>
      <c r="AE961" s="81">
        <f t="shared" si="314"/>
        <v>0</v>
      </c>
      <c r="AF961" s="539"/>
      <c r="AG961" s="104">
        <f t="shared" si="315"/>
        <v>1</v>
      </c>
      <c r="AH961" s="7">
        <f t="shared" si="316"/>
        <v>0</v>
      </c>
      <c r="AI961" s="6">
        <f t="shared" si="317"/>
        <v>0</v>
      </c>
      <c r="AJ961" s="73">
        <f t="shared" si="318"/>
        <v>0</v>
      </c>
      <c r="AK961" s="539"/>
      <c r="AL961" s="748"/>
      <c r="AM961" s="748"/>
    </row>
    <row r="962" spans="2:39" x14ac:dyDescent="0.2">
      <c r="B962" s="101" t="str">
        <f t="shared" si="303"/>
        <v/>
      </c>
      <c r="C962" s="168">
        <f>IF(ISERROR(Personalplanung!F26/Monatsplanung!$E26*Monatsplanung!$P26),0,Personalplanung!F26/Monatsplanung!$E26*Monatsplanung!$P26)</f>
        <v>0</v>
      </c>
      <c r="D962" s="168">
        <f t="shared" si="304"/>
        <v>0</v>
      </c>
      <c r="E962" s="168">
        <f>IF(ISERROR(Personalplanung!H26/Monatsplanung!$E26*Monatsplanung!$P26),0,Personalplanung!H26/Monatsplanung!$E26*Monatsplanung!$P26)</f>
        <v>0</v>
      </c>
      <c r="F962" s="168">
        <f t="shared" si="305"/>
        <v>0</v>
      </c>
      <c r="G962" s="168">
        <f t="shared" si="306"/>
        <v>27.700831024930746</v>
      </c>
      <c r="H962" s="168">
        <f t="shared" si="307"/>
        <v>0</v>
      </c>
      <c r="I962" s="168">
        <f t="shared" si="308"/>
        <v>30</v>
      </c>
      <c r="J962" s="739"/>
      <c r="K962" s="168">
        <f>IF(J962&lt;&gt;"",J962,IF(ISERROR(Personalplanung!AB26/Monatsplanung!$E26*Monatsplanung!$G26),0,Personalplanung!AB26/Monatsplanung!$E26*Monatsplanung!$P26))</f>
        <v>0</v>
      </c>
      <c r="L962" s="740"/>
      <c r="M962" s="739"/>
      <c r="N962" s="168">
        <f>IF(M962&lt;&gt;"",M962,IF(ISERROR(Personalplanung!AC26/Monatsplanung!$E26*Monatsplanung!$G26),0,Personalplanung!AC26/Monatsplanung!$E26*Monatsplanung!$P26))</f>
        <v>0</v>
      </c>
      <c r="O962" s="740"/>
      <c r="P962" s="739"/>
      <c r="Q962" s="168">
        <f>IF(P962&lt;&gt;"",P962,IF(ISERROR(Personalplanung!AD26/Monatsplanung!$E26*Monatsplanung!$G26),0,Personalplanung!AD26/Monatsplanung!$E26*Monatsplanung!$P26))</f>
        <v>0</v>
      </c>
      <c r="R962" s="740"/>
      <c r="S962" s="739"/>
      <c r="T962" s="168">
        <f>IF(S962&lt;&gt;"",S962,IF(ISERROR(Personalplanung!AE26/Monatsplanung!$E26*Monatsplanung!$G26),0,Personalplanung!AE26/Monatsplanung!$E26*Monatsplanung!$P26))</f>
        <v>0</v>
      </c>
      <c r="U962" s="740"/>
      <c r="V962" s="168">
        <f t="shared" si="309"/>
        <v>0</v>
      </c>
      <c r="W962" s="168">
        <f>IF(ISERROR(Personalplanung!P26/Monatsplanung!$E26*Monatsplanung!$P26),0,Personalplanung!P26/Monatsplanung!$E26*Monatsplanung!$P26)</f>
        <v>0</v>
      </c>
      <c r="X962" s="168">
        <f>IF(ISERROR(Personalplanung!Q26/Monatsplanung!$E26*Monatsplanung!$P26),0,Personalplanung!Q26/Monatsplanung!$E26*Monatsplanung!$P26)</f>
        <v>0</v>
      </c>
      <c r="Y962" s="168">
        <f>IF(ISERROR(Personalplanung!R26/T1274*Stundencontrolling!T962),0,Personalplanung!R26/T1274*Stundencontrolling!T962)</f>
        <v>0</v>
      </c>
      <c r="Z962" s="168">
        <f>IF(ISERROR(Personalplanung!S26/Monatsplanung!$E26*Monatsplanung!$P26),0,Personalplanung!S26/Monatsplanung!$E26*Monatsplanung!$P26)</f>
        <v>0</v>
      </c>
      <c r="AA962" s="80">
        <f t="shared" si="310"/>
        <v>0</v>
      </c>
      <c r="AB962" s="102">
        <f t="shared" si="311"/>
        <v>0.1</v>
      </c>
      <c r="AC962" s="103">
        <f t="shared" si="312"/>
        <v>0</v>
      </c>
      <c r="AD962" s="103">
        <f t="shared" si="313"/>
        <v>0</v>
      </c>
      <c r="AE962" s="81">
        <f t="shared" si="314"/>
        <v>0</v>
      </c>
      <c r="AF962" s="539"/>
      <c r="AG962" s="104">
        <f t="shared" si="315"/>
        <v>1</v>
      </c>
      <c r="AH962" s="7">
        <f t="shared" si="316"/>
        <v>0</v>
      </c>
      <c r="AI962" s="6">
        <f t="shared" si="317"/>
        <v>0</v>
      </c>
      <c r="AJ962" s="73">
        <f t="shared" si="318"/>
        <v>0</v>
      </c>
      <c r="AK962" s="539"/>
      <c r="AL962" s="748"/>
      <c r="AM962" s="748"/>
    </row>
    <row r="963" spans="2:39" x14ac:dyDescent="0.2">
      <c r="B963" s="101" t="str">
        <f t="shared" si="303"/>
        <v/>
      </c>
      <c r="C963" s="168">
        <f>IF(ISERROR(Personalplanung!F27/Monatsplanung!$E27*Monatsplanung!$P27),0,Personalplanung!F27/Monatsplanung!$E27*Monatsplanung!$P27)</f>
        <v>0</v>
      </c>
      <c r="D963" s="168">
        <f t="shared" si="304"/>
        <v>0</v>
      </c>
      <c r="E963" s="168">
        <f>IF(ISERROR(Personalplanung!H27/Monatsplanung!$E27*Monatsplanung!$P27),0,Personalplanung!H27/Monatsplanung!$E27*Monatsplanung!$P27)</f>
        <v>0</v>
      </c>
      <c r="F963" s="168">
        <f t="shared" si="305"/>
        <v>0</v>
      </c>
      <c r="G963" s="168">
        <f t="shared" si="306"/>
        <v>27.700831024930746</v>
      </c>
      <c r="H963" s="168">
        <f t="shared" si="307"/>
        <v>0</v>
      </c>
      <c r="I963" s="168">
        <f t="shared" si="308"/>
        <v>30</v>
      </c>
      <c r="J963" s="739"/>
      <c r="K963" s="168">
        <f>IF(J963&lt;&gt;"",J963,IF(ISERROR(Personalplanung!AB27/Monatsplanung!$E27*Monatsplanung!$G27),0,Personalplanung!AB27/Monatsplanung!$E27*Monatsplanung!$P27))</f>
        <v>0</v>
      </c>
      <c r="L963" s="740"/>
      <c r="M963" s="739"/>
      <c r="N963" s="168">
        <f>IF(M963&lt;&gt;"",M963,IF(ISERROR(Personalplanung!AC27/Monatsplanung!$E27*Monatsplanung!$G27),0,Personalplanung!AC27/Monatsplanung!$E27*Monatsplanung!$P27))</f>
        <v>0</v>
      </c>
      <c r="O963" s="740"/>
      <c r="P963" s="739"/>
      <c r="Q963" s="168">
        <f>IF(P963&lt;&gt;"",P963,IF(ISERROR(Personalplanung!AD27/Monatsplanung!$E27*Monatsplanung!$G27),0,Personalplanung!AD27/Monatsplanung!$E27*Monatsplanung!$P27))</f>
        <v>0</v>
      </c>
      <c r="R963" s="740"/>
      <c r="S963" s="739"/>
      <c r="T963" s="168">
        <f>IF(S963&lt;&gt;"",S963,IF(ISERROR(Personalplanung!AE27/Monatsplanung!$E27*Monatsplanung!$G27),0,Personalplanung!AE27/Monatsplanung!$E27*Monatsplanung!$P27))</f>
        <v>0</v>
      </c>
      <c r="U963" s="740"/>
      <c r="V963" s="168">
        <f t="shared" si="309"/>
        <v>0</v>
      </c>
      <c r="W963" s="168">
        <f>IF(ISERROR(Personalplanung!P27/Monatsplanung!$E27*Monatsplanung!$P27),0,Personalplanung!P27/Monatsplanung!$E27*Monatsplanung!$P27)</f>
        <v>0</v>
      </c>
      <c r="X963" s="168">
        <f>IF(ISERROR(Personalplanung!Q27/Monatsplanung!$E27*Monatsplanung!$P27),0,Personalplanung!Q27/Monatsplanung!$E27*Monatsplanung!$P27)</f>
        <v>0</v>
      </c>
      <c r="Y963" s="168">
        <f>IF(ISERROR(Personalplanung!R27/T1275*Stundencontrolling!T963),0,Personalplanung!R27/T1275*Stundencontrolling!T963)</f>
        <v>0</v>
      </c>
      <c r="Z963" s="168">
        <f>IF(ISERROR(Personalplanung!S27/Monatsplanung!$E27*Monatsplanung!$P27),0,Personalplanung!S27/Monatsplanung!$E27*Monatsplanung!$P27)</f>
        <v>0</v>
      </c>
      <c r="AA963" s="80">
        <f t="shared" si="310"/>
        <v>0</v>
      </c>
      <c r="AB963" s="102">
        <f t="shared" si="311"/>
        <v>0.1</v>
      </c>
      <c r="AC963" s="103">
        <f t="shared" si="312"/>
        <v>0</v>
      </c>
      <c r="AD963" s="103">
        <f t="shared" si="313"/>
        <v>0</v>
      </c>
      <c r="AE963" s="81">
        <f t="shared" si="314"/>
        <v>0</v>
      </c>
      <c r="AF963" s="539"/>
      <c r="AG963" s="104">
        <f t="shared" si="315"/>
        <v>1</v>
      </c>
      <c r="AH963" s="7">
        <f t="shared" si="316"/>
        <v>0</v>
      </c>
      <c r="AI963" s="6">
        <f t="shared" si="317"/>
        <v>0</v>
      </c>
      <c r="AJ963" s="73">
        <f t="shared" si="318"/>
        <v>0</v>
      </c>
      <c r="AK963" s="539"/>
      <c r="AL963" s="748"/>
      <c r="AM963" s="748"/>
    </row>
    <row r="964" spans="2:39" x14ac:dyDescent="0.2">
      <c r="B964" s="101" t="str">
        <f t="shared" si="303"/>
        <v/>
      </c>
      <c r="C964" s="168">
        <f>IF(ISERROR(Personalplanung!F28/Monatsplanung!$E28*Monatsplanung!$P28),0,Personalplanung!F28/Monatsplanung!$E28*Monatsplanung!$P28)</f>
        <v>0</v>
      </c>
      <c r="D964" s="168">
        <f t="shared" si="304"/>
        <v>0</v>
      </c>
      <c r="E964" s="168">
        <f>IF(ISERROR(Personalplanung!H28/Monatsplanung!$E28*Monatsplanung!$P28),0,Personalplanung!H28/Monatsplanung!$E28*Monatsplanung!$P28)</f>
        <v>0</v>
      </c>
      <c r="F964" s="168">
        <f t="shared" si="305"/>
        <v>0</v>
      </c>
      <c r="G964" s="168">
        <f t="shared" si="306"/>
        <v>27.700831024930746</v>
      </c>
      <c r="H964" s="168">
        <f t="shared" si="307"/>
        <v>0</v>
      </c>
      <c r="I964" s="168">
        <f t="shared" si="308"/>
        <v>30</v>
      </c>
      <c r="J964" s="739"/>
      <c r="K964" s="168">
        <f>IF(J964&lt;&gt;"",J964,IF(ISERROR(Personalplanung!AB28/Monatsplanung!$E28*Monatsplanung!$G28),0,Personalplanung!AB28/Monatsplanung!$E28*Monatsplanung!$P28))</f>
        <v>0</v>
      </c>
      <c r="L964" s="740"/>
      <c r="M964" s="739"/>
      <c r="N964" s="168">
        <f>IF(M964&lt;&gt;"",M964,IF(ISERROR(Personalplanung!AC28/Monatsplanung!$E28*Monatsplanung!$G28),0,Personalplanung!AC28/Monatsplanung!$E28*Monatsplanung!$P28))</f>
        <v>0</v>
      </c>
      <c r="O964" s="740"/>
      <c r="P964" s="739"/>
      <c r="Q964" s="168">
        <f>IF(P964&lt;&gt;"",P964,IF(ISERROR(Personalplanung!AD28/Monatsplanung!$E28*Monatsplanung!$G28),0,Personalplanung!AD28/Monatsplanung!$E28*Monatsplanung!$P28))</f>
        <v>0</v>
      </c>
      <c r="R964" s="740"/>
      <c r="S964" s="739"/>
      <c r="T964" s="168">
        <f>IF(S964&lt;&gt;"",S964,IF(ISERROR(Personalplanung!AE28/Monatsplanung!$E28*Monatsplanung!$G28),0,Personalplanung!AE28/Monatsplanung!$E28*Monatsplanung!$P28))</f>
        <v>0</v>
      </c>
      <c r="U964" s="740"/>
      <c r="V964" s="168">
        <f t="shared" si="309"/>
        <v>0</v>
      </c>
      <c r="W964" s="168">
        <f>IF(ISERROR(Personalplanung!P28/Monatsplanung!$E28*Monatsplanung!$P28),0,Personalplanung!P28/Monatsplanung!$E28*Monatsplanung!$P28)</f>
        <v>0</v>
      </c>
      <c r="X964" s="168">
        <f>IF(ISERROR(Personalplanung!Q28/Monatsplanung!$E28*Monatsplanung!$P28),0,Personalplanung!Q28/Monatsplanung!$E28*Monatsplanung!$P28)</f>
        <v>0</v>
      </c>
      <c r="Y964" s="168">
        <f>IF(ISERROR(Personalplanung!R28/T1276*Stundencontrolling!T964),0,Personalplanung!R28/T1276*Stundencontrolling!T964)</f>
        <v>0</v>
      </c>
      <c r="Z964" s="168">
        <f>IF(ISERROR(Personalplanung!S28/Monatsplanung!$E28*Monatsplanung!$P28),0,Personalplanung!S28/Monatsplanung!$E28*Monatsplanung!$P28)</f>
        <v>0</v>
      </c>
      <c r="AA964" s="80">
        <f t="shared" si="310"/>
        <v>0</v>
      </c>
      <c r="AB964" s="102">
        <f t="shared" si="311"/>
        <v>0.1</v>
      </c>
      <c r="AC964" s="103">
        <f t="shared" si="312"/>
        <v>0</v>
      </c>
      <c r="AD964" s="103">
        <f t="shared" si="313"/>
        <v>0</v>
      </c>
      <c r="AE964" s="81">
        <f t="shared" si="314"/>
        <v>0</v>
      </c>
      <c r="AF964" s="539"/>
      <c r="AG964" s="104">
        <f t="shared" si="315"/>
        <v>1</v>
      </c>
      <c r="AH964" s="7">
        <f t="shared" si="316"/>
        <v>0</v>
      </c>
      <c r="AI964" s="6">
        <f t="shared" si="317"/>
        <v>0</v>
      </c>
      <c r="AJ964" s="73">
        <f t="shared" si="318"/>
        <v>0</v>
      </c>
      <c r="AK964" s="539"/>
      <c r="AL964" s="748"/>
      <c r="AM964" s="748"/>
    </row>
    <row r="965" spans="2:39" x14ac:dyDescent="0.2">
      <c r="B965" s="101" t="str">
        <f t="shared" si="303"/>
        <v/>
      </c>
      <c r="C965" s="168">
        <f>IF(ISERROR(Personalplanung!F29/Monatsplanung!$E29*Monatsplanung!$P29),0,Personalplanung!F29/Monatsplanung!$E29*Monatsplanung!$P29)</f>
        <v>0</v>
      </c>
      <c r="D965" s="168">
        <f t="shared" si="304"/>
        <v>0</v>
      </c>
      <c r="E965" s="168">
        <f>IF(ISERROR(Personalplanung!H29/Monatsplanung!$E29*Monatsplanung!$P29),0,Personalplanung!H29/Monatsplanung!$E29*Monatsplanung!$P29)</f>
        <v>0</v>
      </c>
      <c r="F965" s="168">
        <f t="shared" si="305"/>
        <v>0</v>
      </c>
      <c r="G965" s="168">
        <f t="shared" si="306"/>
        <v>27.700831024930746</v>
      </c>
      <c r="H965" s="168">
        <f t="shared" si="307"/>
        <v>0</v>
      </c>
      <c r="I965" s="168">
        <f t="shared" si="308"/>
        <v>30</v>
      </c>
      <c r="J965" s="739"/>
      <c r="K965" s="168">
        <f>IF(J965&lt;&gt;"",J965,IF(ISERROR(Personalplanung!AB29/Monatsplanung!$E29*Monatsplanung!$G29),0,Personalplanung!AB29/Monatsplanung!$E29*Monatsplanung!$P29))</f>
        <v>0</v>
      </c>
      <c r="L965" s="740"/>
      <c r="M965" s="739"/>
      <c r="N965" s="168">
        <f>IF(M965&lt;&gt;"",M965,IF(ISERROR(Personalplanung!AC29/Monatsplanung!$E29*Monatsplanung!$G29),0,Personalplanung!AC29/Monatsplanung!$E29*Monatsplanung!$P29))</f>
        <v>0</v>
      </c>
      <c r="O965" s="740"/>
      <c r="P965" s="739"/>
      <c r="Q965" s="168">
        <f>IF(P965&lt;&gt;"",P965,IF(ISERROR(Personalplanung!AD29/Monatsplanung!$E29*Monatsplanung!$G29),0,Personalplanung!AD29/Monatsplanung!$E29*Monatsplanung!$P29))</f>
        <v>0</v>
      </c>
      <c r="R965" s="740"/>
      <c r="S965" s="739"/>
      <c r="T965" s="168">
        <f>IF(S965&lt;&gt;"",S965,IF(ISERROR(Personalplanung!AE29/Monatsplanung!$E29*Monatsplanung!$G29),0,Personalplanung!AE29/Monatsplanung!$E29*Monatsplanung!$P29))</f>
        <v>0</v>
      </c>
      <c r="U965" s="740"/>
      <c r="V965" s="168">
        <f t="shared" si="309"/>
        <v>0</v>
      </c>
      <c r="W965" s="168">
        <f>IF(ISERROR(Personalplanung!P29/Monatsplanung!$E29*Monatsplanung!$P29),0,Personalplanung!P29/Monatsplanung!$E29*Monatsplanung!$P29)</f>
        <v>0</v>
      </c>
      <c r="X965" s="168">
        <f>IF(ISERROR(Personalplanung!Q29/Monatsplanung!$E29*Monatsplanung!$P29),0,Personalplanung!Q29/Monatsplanung!$E29*Monatsplanung!$P29)</f>
        <v>0</v>
      </c>
      <c r="Y965" s="168">
        <f>IF(ISERROR(Personalplanung!R29/T1277*Stundencontrolling!T965),0,Personalplanung!R29/T1277*Stundencontrolling!T965)</f>
        <v>0</v>
      </c>
      <c r="Z965" s="168">
        <f>IF(ISERROR(Personalplanung!S29/Monatsplanung!$E29*Monatsplanung!$P29),0,Personalplanung!S29/Monatsplanung!$E29*Monatsplanung!$P29)</f>
        <v>0</v>
      </c>
      <c r="AA965" s="80">
        <f t="shared" si="310"/>
        <v>0</v>
      </c>
      <c r="AB965" s="102">
        <f t="shared" si="311"/>
        <v>0.1</v>
      </c>
      <c r="AC965" s="103">
        <f t="shared" si="312"/>
        <v>0</v>
      </c>
      <c r="AD965" s="103">
        <f t="shared" si="313"/>
        <v>0</v>
      </c>
      <c r="AE965" s="81">
        <f t="shared" si="314"/>
        <v>0</v>
      </c>
      <c r="AF965" s="539"/>
      <c r="AG965" s="104">
        <f t="shared" si="315"/>
        <v>1</v>
      </c>
      <c r="AH965" s="7">
        <f t="shared" si="316"/>
        <v>0</v>
      </c>
      <c r="AI965" s="6">
        <f t="shared" si="317"/>
        <v>0</v>
      </c>
      <c r="AJ965" s="73">
        <f t="shared" si="318"/>
        <v>0</v>
      </c>
      <c r="AK965" s="539"/>
      <c r="AL965" s="748"/>
      <c r="AM965" s="748"/>
    </row>
    <row r="966" spans="2:39" x14ac:dyDescent="0.2">
      <c r="B966" s="101" t="str">
        <f t="shared" si="303"/>
        <v/>
      </c>
      <c r="C966" s="168">
        <f>IF(ISERROR(Personalplanung!F30/Monatsplanung!$E30*Monatsplanung!$P30),0,Personalplanung!F30/Monatsplanung!$E30*Monatsplanung!$P30)</f>
        <v>0</v>
      </c>
      <c r="D966" s="168">
        <f t="shared" si="304"/>
        <v>0</v>
      </c>
      <c r="E966" s="168">
        <f>IF(ISERROR(Personalplanung!H30/Monatsplanung!$E30*Monatsplanung!$P30),0,Personalplanung!H30/Monatsplanung!$E30*Monatsplanung!$P30)</f>
        <v>0</v>
      </c>
      <c r="F966" s="168">
        <f t="shared" si="305"/>
        <v>0</v>
      </c>
      <c r="G966" s="168">
        <f t="shared" si="306"/>
        <v>27.700831024930746</v>
      </c>
      <c r="H966" s="168">
        <f t="shared" si="307"/>
        <v>0</v>
      </c>
      <c r="I966" s="168">
        <f t="shared" si="308"/>
        <v>30</v>
      </c>
      <c r="J966" s="739"/>
      <c r="K966" s="168">
        <f>IF(J966&lt;&gt;"",J966,IF(ISERROR(Personalplanung!AB30/Monatsplanung!$E30*Monatsplanung!$G30),0,Personalplanung!AB30/Monatsplanung!$E30*Monatsplanung!$P30))</f>
        <v>0</v>
      </c>
      <c r="L966" s="740"/>
      <c r="M966" s="739"/>
      <c r="N966" s="168">
        <f>IF(M966&lt;&gt;"",M966,IF(ISERROR(Personalplanung!AC30/Monatsplanung!$E30*Monatsplanung!$G30),0,Personalplanung!AC30/Monatsplanung!$E30*Monatsplanung!$P30))</f>
        <v>0</v>
      </c>
      <c r="O966" s="740"/>
      <c r="P966" s="739"/>
      <c r="Q966" s="168">
        <f>IF(P966&lt;&gt;"",P966,IF(ISERROR(Personalplanung!AD30/Monatsplanung!$E30*Monatsplanung!$G30),0,Personalplanung!AD30/Monatsplanung!$E30*Monatsplanung!$P30))</f>
        <v>0</v>
      </c>
      <c r="R966" s="740"/>
      <c r="S966" s="739"/>
      <c r="T966" s="168">
        <f>IF(S966&lt;&gt;"",S966,IF(ISERROR(Personalplanung!AE30/Monatsplanung!$E30*Monatsplanung!$G30),0,Personalplanung!AE30/Monatsplanung!$E30*Monatsplanung!$P30))</f>
        <v>0</v>
      </c>
      <c r="U966" s="740"/>
      <c r="V966" s="168">
        <f t="shared" si="309"/>
        <v>0</v>
      </c>
      <c r="W966" s="168">
        <f>IF(ISERROR(Personalplanung!P30/Monatsplanung!$E30*Monatsplanung!$P30),0,Personalplanung!P30/Monatsplanung!$E30*Monatsplanung!$P30)</f>
        <v>0</v>
      </c>
      <c r="X966" s="168">
        <f>IF(ISERROR(Personalplanung!Q30/Monatsplanung!$E30*Monatsplanung!$P30),0,Personalplanung!Q30/Monatsplanung!$E30*Monatsplanung!$P30)</f>
        <v>0</v>
      </c>
      <c r="Y966" s="168">
        <f>IF(ISERROR(Personalplanung!R30/T1278*Stundencontrolling!T966),0,Personalplanung!R30/T1278*Stundencontrolling!T966)</f>
        <v>0</v>
      </c>
      <c r="Z966" s="168">
        <f>IF(ISERROR(Personalplanung!S30/Monatsplanung!$E30*Monatsplanung!$P30),0,Personalplanung!S30/Monatsplanung!$E30*Monatsplanung!$P30)</f>
        <v>0</v>
      </c>
      <c r="AA966" s="80">
        <f t="shared" si="310"/>
        <v>0</v>
      </c>
      <c r="AB966" s="102">
        <f t="shared" si="311"/>
        <v>0.1</v>
      </c>
      <c r="AC966" s="103">
        <f t="shared" si="312"/>
        <v>0</v>
      </c>
      <c r="AD966" s="103">
        <f t="shared" si="313"/>
        <v>0</v>
      </c>
      <c r="AE966" s="81">
        <f t="shared" si="314"/>
        <v>0</v>
      </c>
      <c r="AF966" s="539"/>
      <c r="AG966" s="104">
        <f t="shared" si="315"/>
        <v>1</v>
      </c>
      <c r="AH966" s="7">
        <f t="shared" si="316"/>
        <v>0</v>
      </c>
      <c r="AI966" s="6">
        <f t="shared" si="317"/>
        <v>0</v>
      </c>
      <c r="AJ966" s="73">
        <f t="shared" si="318"/>
        <v>0</v>
      </c>
      <c r="AK966" s="539"/>
      <c r="AL966" s="748"/>
      <c r="AM966" s="748"/>
    </row>
    <row r="967" spans="2:39" x14ac:dyDescent="0.2">
      <c r="B967" s="101" t="str">
        <f t="shared" si="303"/>
        <v/>
      </c>
      <c r="C967" s="168">
        <f>IF(ISERROR(Personalplanung!F31/Monatsplanung!$E31*Monatsplanung!$P31),0,Personalplanung!F31/Monatsplanung!$E31*Monatsplanung!$P31)</f>
        <v>0</v>
      </c>
      <c r="D967" s="168">
        <f t="shared" si="304"/>
        <v>0</v>
      </c>
      <c r="E967" s="168">
        <f>IF(ISERROR(Personalplanung!H31/Monatsplanung!$E31*Monatsplanung!$P31),0,Personalplanung!H31/Monatsplanung!$E31*Monatsplanung!$P31)</f>
        <v>0</v>
      </c>
      <c r="F967" s="168">
        <f t="shared" si="305"/>
        <v>0</v>
      </c>
      <c r="G967" s="168">
        <f t="shared" si="306"/>
        <v>27.700831024930746</v>
      </c>
      <c r="H967" s="168">
        <f t="shared" si="307"/>
        <v>0</v>
      </c>
      <c r="I967" s="168">
        <f t="shared" si="308"/>
        <v>30</v>
      </c>
      <c r="J967" s="739"/>
      <c r="K967" s="168">
        <f>IF(J967&lt;&gt;"",J967,IF(ISERROR(Personalplanung!AB31/Monatsplanung!$E31*Monatsplanung!$G31),0,Personalplanung!AB31/Monatsplanung!$E31*Monatsplanung!$P31))</f>
        <v>0</v>
      </c>
      <c r="L967" s="740"/>
      <c r="M967" s="739"/>
      <c r="N967" s="168">
        <f>IF(M967&lt;&gt;"",M967,IF(ISERROR(Personalplanung!AC31/Monatsplanung!$E31*Monatsplanung!$G31),0,Personalplanung!AC31/Monatsplanung!$E31*Monatsplanung!$P31))</f>
        <v>0</v>
      </c>
      <c r="O967" s="740"/>
      <c r="P967" s="739"/>
      <c r="Q967" s="168">
        <f>IF(P967&lt;&gt;"",P967,IF(ISERROR(Personalplanung!AD31/Monatsplanung!$E31*Monatsplanung!$G31),0,Personalplanung!AD31/Monatsplanung!$E31*Monatsplanung!$P31))</f>
        <v>0</v>
      </c>
      <c r="R967" s="740"/>
      <c r="S967" s="739"/>
      <c r="T967" s="168">
        <f>IF(S967&lt;&gt;"",S967,IF(ISERROR(Personalplanung!AE31/Monatsplanung!$E31*Monatsplanung!$G31),0,Personalplanung!AE31/Monatsplanung!$E31*Monatsplanung!$P31))</f>
        <v>0</v>
      </c>
      <c r="U967" s="740"/>
      <c r="V967" s="168">
        <f t="shared" si="309"/>
        <v>0</v>
      </c>
      <c r="W967" s="168">
        <f>IF(ISERROR(Personalplanung!P31/Monatsplanung!$E31*Monatsplanung!$P31),0,Personalplanung!P31/Monatsplanung!$E31*Monatsplanung!$P31)</f>
        <v>0</v>
      </c>
      <c r="X967" s="168">
        <f>IF(ISERROR(Personalplanung!Q31/Monatsplanung!$E31*Monatsplanung!$P31),0,Personalplanung!Q31/Monatsplanung!$E31*Monatsplanung!$P31)</f>
        <v>0</v>
      </c>
      <c r="Y967" s="168">
        <f>IF(ISERROR(Personalplanung!R31/T1279*Stundencontrolling!T967),0,Personalplanung!R31/T1279*Stundencontrolling!T967)</f>
        <v>0</v>
      </c>
      <c r="Z967" s="168">
        <f>IF(ISERROR(Personalplanung!S31/Monatsplanung!$E31*Monatsplanung!$P31),0,Personalplanung!S31/Monatsplanung!$E31*Monatsplanung!$P31)</f>
        <v>0</v>
      </c>
      <c r="AA967" s="80">
        <f t="shared" si="310"/>
        <v>0</v>
      </c>
      <c r="AB967" s="102">
        <f t="shared" si="311"/>
        <v>0.1</v>
      </c>
      <c r="AC967" s="103">
        <f t="shared" si="312"/>
        <v>0</v>
      </c>
      <c r="AD967" s="103">
        <f t="shared" si="313"/>
        <v>0</v>
      </c>
      <c r="AE967" s="81">
        <f t="shared" si="314"/>
        <v>0</v>
      </c>
      <c r="AF967" s="539"/>
      <c r="AG967" s="104">
        <f t="shared" si="315"/>
        <v>1</v>
      </c>
      <c r="AH967" s="7">
        <f t="shared" si="316"/>
        <v>0</v>
      </c>
      <c r="AI967" s="6">
        <f t="shared" si="317"/>
        <v>0</v>
      </c>
      <c r="AJ967" s="73">
        <f t="shared" si="318"/>
        <v>0</v>
      </c>
      <c r="AK967" s="539"/>
      <c r="AL967" s="748"/>
      <c r="AM967" s="748"/>
    </row>
    <row r="968" spans="2:39" x14ac:dyDescent="0.2">
      <c r="B968" s="101" t="str">
        <f t="shared" si="303"/>
        <v/>
      </c>
      <c r="C968" s="168">
        <f>IF(ISERROR(Personalplanung!F32/Monatsplanung!$E32*Monatsplanung!$P32),0,Personalplanung!F32/Monatsplanung!$E32*Monatsplanung!$P32)</f>
        <v>0</v>
      </c>
      <c r="D968" s="168">
        <f t="shared" si="304"/>
        <v>0</v>
      </c>
      <c r="E968" s="168">
        <f>IF(ISERROR(Personalplanung!H32/Monatsplanung!$E32*Monatsplanung!$P32),0,Personalplanung!H32/Monatsplanung!$E32*Monatsplanung!$P32)</f>
        <v>0</v>
      </c>
      <c r="F968" s="168">
        <f t="shared" si="305"/>
        <v>0</v>
      </c>
      <c r="G968" s="168">
        <f t="shared" si="306"/>
        <v>27.700831024930746</v>
      </c>
      <c r="H968" s="168">
        <f t="shared" si="307"/>
        <v>0</v>
      </c>
      <c r="I968" s="168">
        <f t="shared" si="308"/>
        <v>30</v>
      </c>
      <c r="J968" s="739"/>
      <c r="K968" s="168">
        <f>IF(J968&lt;&gt;"",J968,IF(ISERROR(Personalplanung!AB32/Monatsplanung!$E32*Monatsplanung!$G32),0,Personalplanung!AB32/Monatsplanung!$E32*Monatsplanung!$P32))</f>
        <v>0</v>
      </c>
      <c r="L968" s="740"/>
      <c r="M968" s="739"/>
      <c r="N968" s="168">
        <f>IF(M968&lt;&gt;"",M968,IF(ISERROR(Personalplanung!AC32/Monatsplanung!$E32*Monatsplanung!$G32),0,Personalplanung!AC32/Monatsplanung!$E32*Monatsplanung!$P32))</f>
        <v>0</v>
      </c>
      <c r="O968" s="740"/>
      <c r="P968" s="739"/>
      <c r="Q968" s="168">
        <f>IF(P968&lt;&gt;"",P968,IF(ISERROR(Personalplanung!AD32/Monatsplanung!$E32*Monatsplanung!$G32),0,Personalplanung!AD32/Monatsplanung!$E32*Monatsplanung!$P32))</f>
        <v>0</v>
      </c>
      <c r="R968" s="740"/>
      <c r="S968" s="739"/>
      <c r="T968" s="168">
        <f>IF(S968&lt;&gt;"",S968,IF(ISERROR(Personalplanung!AE32/Monatsplanung!$E32*Monatsplanung!$G32),0,Personalplanung!AE32/Monatsplanung!$E32*Monatsplanung!$P32))</f>
        <v>0</v>
      </c>
      <c r="U968" s="740"/>
      <c r="V968" s="168">
        <f t="shared" si="309"/>
        <v>0</v>
      </c>
      <c r="W968" s="168">
        <f>IF(ISERROR(Personalplanung!P32/Monatsplanung!$E32*Monatsplanung!$P32),0,Personalplanung!P32/Monatsplanung!$E32*Monatsplanung!$P32)</f>
        <v>0</v>
      </c>
      <c r="X968" s="168">
        <f>IF(ISERROR(Personalplanung!Q32/Monatsplanung!$E32*Monatsplanung!$P32),0,Personalplanung!Q32/Monatsplanung!$E32*Monatsplanung!$P32)</f>
        <v>0</v>
      </c>
      <c r="Y968" s="168">
        <f>IF(ISERROR(Personalplanung!R32/T1280*Stundencontrolling!T968),0,Personalplanung!R32/T1280*Stundencontrolling!T968)</f>
        <v>0</v>
      </c>
      <c r="Z968" s="168">
        <f>IF(ISERROR(Personalplanung!S32/Monatsplanung!$E32*Monatsplanung!$P32),0,Personalplanung!S32/Monatsplanung!$E32*Monatsplanung!$P32)</f>
        <v>0</v>
      </c>
      <c r="AA968" s="80">
        <f t="shared" si="310"/>
        <v>0</v>
      </c>
      <c r="AB968" s="102">
        <f t="shared" si="311"/>
        <v>0.1</v>
      </c>
      <c r="AC968" s="103">
        <f t="shared" si="312"/>
        <v>0</v>
      </c>
      <c r="AD968" s="103">
        <f t="shared" si="313"/>
        <v>0</v>
      </c>
      <c r="AE968" s="81">
        <f t="shared" si="314"/>
        <v>0</v>
      </c>
      <c r="AF968" s="539"/>
      <c r="AG968" s="104">
        <f t="shared" si="315"/>
        <v>1</v>
      </c>
      <c r="AH968" s="7">
        <f t="shared" si="316"/>
        <v>0</v>
      </c>
      <c r="AI968" s="6">
        <f t="shared" si="317"/>
        <v>0</v>
      </c>
      <c r="AJ968" s="73">
        <f t="shared" si="318"/>
        <v>0</v>
      </c>
      <c r="AK968" s="539"/>
      <c r="AL968" s="748"/>
      <c r="AM968" s="748"/>
    </row>
    <row r="969" spans="2:39" x14ac:dyDescent="0.2">
      <c r="B969" s="101" t="str">
        <f t="shared" si="303"/>
        <v/>
      </c>
      <c r="C969" s="168">
        <f>IF(ISERROR(Personalplanung!F33/Monatsplanung!$E33*Monatsplanung!$P33),0,Personalplanung!F33/Monatsplanung!$E33*Monatsplanung!$P33)</f>
        <v>0</v>
      </c>
      <c r="D969" s="168">
        <f t="shared" si="304"/>
        <v>0</v>
      </c>
      <c r="E969" s="168">
        <f>IF(ISERROR(Personalplanung!H33/Monatsplanung!$E33*Monatsplanung!$P33),0,Personalplanung!H33/Monatsplanung!$E33*Monatsplanung!$P33)</f>
        <v>0</v>
      </c>
      <c r="F969" s="168">
        <f t="shared" si="305"/>
        <v>0</v>
      </c>
      <c r="G969" s="168">
        <f t="shared" si="306"/>
        <v>27.700831024930746</v>
      </c>
      <c r="H969" s="168">
        <f t="shared" si="307"/>
        <v>0</v>
      </c>
      <c r="I969" s="168">
        <f t="shared" si="308"/>
        <v>30</v>
      </c>
      <c r="J969" s="739"/>
      <c r="K969" s="168">
        <f>IF(J969&lt;&gt;"",J969,IF(ISERROR(Personalplanung!AB33/Monatsplanung!$E33*Monatsplanung!$G33),0,Personalplanung!AB33/Monatsplanung!$E33*Monatsplanung!$P33))</f>
        <v>0</v>
      </c>
      <c r="L969" s="740"/>
      <c r="M969" s="739"/>
      <c r="N969" s="168">
        <f>IF(M969&lt;&gt;"",M969,IF(ISERROR(Personalplanung!AC33/Monatsplanung!$E33*Monatsplanung!$G33),0,Personalplanung!AC33/Monatsplanung!$E33*Monatsplanung!$P33))</f>
        <v>0</v>
      </c>
      <c r="O969" s="740"/>
      <c r="P969" s="739"/>
      <c r="Q969" s="168">
        <f>IF(P969&lt;&gt;"",P969,IF(ISERROR(Personalplanung!AD33/Monatsplanung!$E33*Monatsplanung!$G33),0,Personalplanung!AD33/Monatsplanung!$E33*Monatsplanung!$P33))</f>
        <v>0</v>
      </c>
      <c r="R969" s="740"/>
      <c r="S969" s="739"/>
      <c r="T969" s="168">
        <f>IF(S969&lt;&gt;"",S969,IF(ISERROR(Personalplanung!AE33/Monatsplanung!$E33*Monatsplanung!$G33),0,Personalplanung!AE33/Monatsplanung!$E33*Monatsplanung!$P33))</f>
        <v>0</v>
      </c>
      <c r="U969" s="740"/>
      <c r="V969" s="168">
        <f t="shared" si="309"/>
        <v>0</v>
      </c>
      <c r="W969" s="168">
        <f>IF(ISERROR(Personalplanung!P33/Monatsplanung!$E33*Monatsplanung!$P33),0,Personalplanung!P33/Monatsplanung!$E33*Monatsplanung!$P33)</f>
        <v>0</v>
      </c>
      <c r="X969" s="168">
        <f>IF(ISERROR(Personalplanung!Q33/Monatsplanung!$E33*Monatsplanung!$P33),0,Personalplanung!Q33/Monatsplanung!$E33*Monatsplanung!$P33)</f>
        <v>0</v>
      </c>
      <c r="Y969" s="168">
        <f>IF(ISERROR(Personalplanung!R33/T1281*Stundencontrolling!T969),0,Personalplanung!R33/T1281*Stundencontrolling!T969)</f>
        <v>0</v>
      </c>
      <c r="Z969" s="168">
        <f>IF(ISERROR(Personalplanung!S33/Monatsplanung!$E33*Monatsplanung!$P33),0,Personalplanung!S33/Monatsplanung!$E33*Monatsplanung!$P33)</f>
        <v>0</v>
      </c>
      <c r="AA969" s="80">
        <f t="shared" si="310"/>
        <v>0</v>
      </c>
      <c r="AB969" s="102">
        <f t="shared" si="311"/>
        <v>0.1</v>
      </c>
      <c r="AC969" s="103">
        <f t="shared" si="312"/>
        <v>0</v>
      </c>
      <c r="AD969" s="103">
        <f t="shared" si="313"/>
        <v>0</v>
      </c>
      <c r="AE969" s="81">
        <f t="shared" si="314"/>
        <v>0</v>
      </c>
      <c r="AF969" s="539"/>
      <c r="AG969" s="104">
        <f t="shared" si="315"/>
        <v>1</v>
      </c>
      <c r="AH969" s="7">
        <f t="shared" si="316"/>
        <v>0</v>
      </c>
      <c r="AI969" s="6">
        <f t="shared" si="317"/>
        <v>0</v>
      </c>
      <c r="AJ969" s="73">
        <f t="shared" si="318"/>
        <v>0</v>
      </c>
      <c r="AK969" s="539"/>
      <c r="AL969" s="748"/>
      <c r="AM969" s="748"/>
    </row>
    <row r="970" spans="2:39" x14ac:dyDescent="0.2">
      <c r="B970" s="101" t="str">
        <f t="shared" si="303"/>
        <v/>
      </c>
      <c r="C970" s="168">
        <f>IF(ISERROR(Personalplanung!F34/Monatsplanung!$E34*Monatsplanung!$P34),0,Personalplanung!F34/Monatsplanung!$E34*Monatsplanung!$P34)</f>
        <v>0</v>
      </c>
      <c r="D970" s="168">
        <f t="shared" si="304"/>
        <v>0</v>
      </c>
      <c r="E970" s="168">
        <f>IF(ISERROR(Personalplanung!H34/Monatsplanung!$E34*Monatsplanung!$P34),0,Personalplanung!H34/Monatsplanung!$E34*Monatsplanung!$P34)</f>
        <v>0</v>
      </c>
      <c r="F970" s="168">
        <f t="shared" si="305"/>
        <v>0</v>
      </c>
      <c r="G970" s="168">
        <f t="shared" si="306"/>
        <v>27.700831024930746</v>
      </c>
      <c r="H970" s="168">
        <f t="shared" si="307"/>
        <v>0</v>
      </c>
      <c r="I970" s="168">
        <f t="shared" si="308"/>
        <v>30</v>
      </c>
      <c r="J970" s="739"/>
      <c r="K970" s="168">
        <f>IF(J970&lt;&gt;"",J970,IF(ISERROR(Personalplanung!AB34/Monatsplanung!$E34*Monatsplanung!$G34),0,Personalplanung!AB34/Monatsplanung!$E34*Monatsplanung!$P34))</f>
        <v>0</v>
      </c>
      <c r="L970" s="740"/>
      <c r="M970" s="739"/>
      <c r="N970" s="168">
        <f>IF(M970&lt;&gt;"",M970,IF(ISERROR(Personalplanung!AC34/Monatsplanung!$E34*Monatsplanung!$G34),0,Personalplanung!AC34/Monatsplanung!$E34*Monatsplanung!$P34))</f>
        <v>0</v>
      </c>
      <c r="O970" s="740"/>
      <c r="P970" s="739"/>
      <c r="Q970" s="168">
        <f>IF(P970&lt;&gt;"",P970,IF(ISERROR(Personalplanung!AD34/Monatsplanung!$E34*Monatsplanung!$G34),0,Personalplanung!AD34/Monatsplanung!$E34*Monatsplanung!$P34))</f>
        <v>0</v>
      </c>
      <c r="R970" s="740"/>
      <c r="S970" s="739"/>
      <c r="T970" s="168">
        <f>IF(S970&lt;&gt;"",S970,IF(ISERROR(Personalplanung!AE34/Monatsplanung!$E34*Monatsplanung!$G34),0,Personalplanung!AE34/Monatsplanung!$E34*Monatsplanung!$P34))</f>
        <v>0</v>
      </c>
      <c r="U970" s="740"/>
      <c r="V970" s="168">
        <f t="shared" si="309"/>
        <v>0</v>
      </c>
      <c r="W970" s="168">
        <f>IF(ISERROR(Personalplanung!P34/Monatsplanung!$E34*Monatsplanung!$P34),0,Personalplanung!P34/Monatsplanung!$E34*Monatsplanung!$P34)</f>
        <v>0</v>
      </c>
      <c r="X970" s="168">
        <f>IF(ISERROR(Personalplanung!Q34/Monatsplanung!$E34*Monatsplanung!$P34),0,Personalplanung!Q34/Monatsplanung!$E34*Monatsplanung!$P34)</f>
        <v>0</v>
      </c>
      <c r="Y970" s="168">
        <f>IF(ISERROR(Personalplanung!R34/T1282*Stundencontrolling!T970),0,Personalplanung!R34/T1282*Stundencontrolling!T970)</f>
        <v>0</v>
      </c>
      <c r="Z970" s="168">
        <f>IF(ISERROR(Personalplanung!S34/Monatsplanung!$E34*Monatsplanung!$P34),0,Personalplanung!S34/Monatsplanung!$E34*Monatsplanung!$P34)</f>
        <v>0</v>
      </c>
      <c r="AA970" s="80">
        <f t="shared" si="310"/>
        <v>0</v>
      </c>
      <c r="AB970" s="102">
        <f t="shared" si="311"/>
        <v>0.1</v>
      </c>
      <c r="AC970" s="103">
        <f t="shared" si="312"/>
        <v>0</v>
      </c>
      <c r="AD970" s="103">
        <f t="shared" si="313"/>
        <v>0</v>
      </c>
      <c r="AE970" s="81">
        <f t="shared" si="314"/>
        <v>0</v>
      </c>
      <c r="AF970" s="539"/>
      <c r="AG970" s="104">
        <f t="shared" si="315"/>
        <v>1</v>
      </c>
      <c r="AH970" s="7">
        <f t="shared" si="316"/>
        <v>0</v>
      </c>
      <c r="AI970" s="6">
        <f t="shared" si="317"/>
        <v>0</v>
      </c>
      <c r="AJ970" s="73">
        <f t="shared" si="318"/>
        <v>0</v>
      </c>
      <c r="AK970" s="539"/>
      <c r="AL970" s="748"/>
      <c r="AM970" s="748"/>
    </row>
    <row r="971" spans="2:39" x14ac:dyDescent="0.2">
      <c r="B971" s="101" t="str">
        <f t="shared" si="303"/>
        <v/>
      </c>
      <c r="C971" s="168">
        <f>IF(ISERROR(Personalplanung!F35/Monatsplanung!$E35*Monatsplanung!$P35),0,Personalplanung!F35/Monatsplanung!$E35*Monatsplanung!$P35)</f>
        <v>0</v>
      </c>
      <c r="D971" s="168">
        <f t="shared" si="304"/>
        <v>0</v>
      </c>
      <c r="E971" s="168">
        <f>IF(ISERROR(Personalplanung!H35/Monatsplanung!$E35*Monatsplanung!$P35),0,Personalplanung!H35/Monatsplanung!$E35*Monatsplanung!$P35)</f>
        <v>0</v>
      </c>
      <c r="F971" s="168">
        <f t="shared" si="305"/>
        <v>0</v>
      </c>
      <c r="G971" s="168">
        <f t="shared" si="306"/>
        <v>27.700831024930746</v>
      </c>
      <c r="H971" s="168">
        <f t="shared" si="307"/>
        <v>0</v>
      </c>
      <c r="I971" s="168">
        <f t="shared" si="308"/>
        <v>30</v>
      </c>
      <c r="J971" s="739"/>
      <c r="K971" s="168">
        <f>IF(J971&lt;&gt;"",J971,IF(ISERROR(Personalplanung!AB35/Monatsplanung!$E35*Monatsplanung!$G35),0,Personalplanung!AB35/Monatsplanung!$E35*Monatsplanung!$P35))</f>
        <v>0</v>
      </c>
      <c r="L971" s="740"/>
      <c r="M971" s="739"/>
      <c r="N971" s="168">
        <f>IF(M971&lt;&gt;"",M971,IF(ISERROR(Personalplanung!AC35/Monatsplanung!$E35*Monatsplanung!$G35),0,Personalplanung!AC35/Monatsplanung!$E35*Monatsplanung!$P35))</f>
        <v>0</v>
      </c>
      <c r="O971" s="740"/>
      <c r="P971" s="739"/>
      <c r="Q971" s="168">
        <f>IF(P971&lt;&gt;"",P971,IF(ISERROR(Personalplanung!AD35/Monatsplanung!$E35*Monatsplanung!$G35),0,Personalplanung!AD35/Monatsplanung!$E35*Monatsplanung!$P35))</f>
        <v>0</v>
      </c>
      <c r="R971" s="740"/>
      <c r="S971" s="739"/>
      <c r="T971" s="168">
        <f>IF(S971&lt;&gt;"",S971,IF(ISERROR(Personalplanung!AE35/Monatsplanung!$E35*Monatsplanung!$G35),0,Personalplanung!AE35/Monatsplanung!$E35*Monatsplanung!$P35))</f>
        <v>0</v>
      </c>
      <c r="U971" s="740"/>
      <c r="V971" s="168">
        <f t="shared" si="309"/>
        <v>0</v>
      </c>
      <c r="W971" s="168">
        <f>IF(ISERROR(Personalplanung!P35/Monatsplanung!$E35*Monatsplanung!$P35),0,Personalplanung!P35/Monatsplanung!$E35*Monatsplanung!$P35)</f>
        <v>0</v>
      </c>
      <c r="X971" s="168">
        <f>IF(ISERROR(Personalplanung!Q35/Monatsplanung!$E35*Monatsplanung!$P35),0,Personalplanung!Q35/Monatsplanung!$E35*Monatsplanung!$P35)</f>
        <v>0</v>
      </c>
      <c r="Y971" s="168">
        <f>IF(ISERROR(Personalplanung!R35/T1283*Stundencontrolling!T971),0,Personalplanung!R35/T1283*Stundencontrolling!T971)</f>
        <v>0</v>
      </c>
      <c r="Z971" s="168">
        <f>IF(ISERROR(Personalplanung!S35/Monatsplanung!$E35*Monatsplanung!$P35),0,Personalplanung!S35/Monatsplanung!$E35*Monatsplanung!$P35)</f>
        <v>0</v>
      </c>
      <c r="AA971" s="80">
        <f t="shared" si="310"/>
        <v>0</v>
      </c>
      <c r="AB971" s="102">
        <f t="shared" si="311"/>
        <v>0.1</v>
      </c>
      <c r="AC971" s="103">
        <f t="shared" si="312"/>
        <v>0</v>
      </c>
      <c r="AD971" s="103">
        <f t="shared" si="313"/>
        <v>0</v>
      </c>
      <c r="AE971" s="81">
        <f t="shared" si="314"/>
        <v>0</v>
      </c>
      <c r="AF971" s="539"/>
      <c r="AG971" s="104">
        <f t="shared" si="315"/>
        <v>1</v>
      </c>
      <c r="AH971" s="7">
        <f t="shared" si="316"/>
        <v>0</v>
      </c>
      <c r="AI971" s="6">
        <f t="shared" si="317"/>
        <v>0</v>
      </c>
      <c r="AJ971" s="73">
        <f t="shared" si="318"/>
        <v>0</v>
      </c>
      <c r="AK971" s="539"/>
      <c r="AL971" s="748"/>
      <c r="AM971" s="748"/>
    </row>
    <row r="972" spans="2:39" x14ac:dyDescent="0.2">
      <c r="B972" s="101" t="str">
        <f t="shared" si="303"/>
        <v/>
      </c>
      <c r="C972" s="168">
        <f>IF(ISERROR(Personalplanung!F36/Monatsplanung!$E36*Monatsplanung!$P36),0,Personalplanung!F36/Monatsplanung!$E36*Monatsplanung!$P36)</f>
        <v>0</v>
      </c>
      <c r="D972" s="168">
        <f t="shared" si="304"/>
        <v>0</v>
      </c>
      <c r="E972" s="168">
        <f>IF(ISERROR(Personalplanung!H36/Monatsplanung!$E36*Monatsplanung!$P36),0,Personalplanung!H36/Monatsplanung!$E36*Monatsplanung!$P36)</f>
        <v>0</v>
      </c>
      <c r="F972" s="168">
        <f t="shared" si="305"/>
        <v>0</v>
      </c>
      <c r="G972" s="168">
        <f t="shared" si="306"/>
        <v>27.700831024930746</v>
      </c>
      <c r="H972" s="168">
        <f t="shared" si="307"/>
        <v>0</v>
      </c>
      <c r="I972" s="168">
        <f t="shared" si="308"/>
        <v>30</v>
      </c>
      <c r="J972" s="739"/>
      <c r="K972" s="168">
        <f>IF(J972&lt;&gt;"",J972,IF(ISERROR(Personalplanung!AB36/Monatsplanung!$E36*Monatsplanung!$G36),0,Personalplanung!AB36/Monatsplanung!$E36*Monatsplanung!$P36))</f>
        <v>0</v>
      </c>
      <c r="L972" s="740"/>
      <c r="M972" s="739"/>
      <c r="N972" s="168">
        <f>IF(M972&lt;&gt;"",M972,IF(ISERROR(Personalplanung!AC36/Monatsplanung!$E36*Monatsplanung!$G36),0,Personalplanung!AC36/Monatsplanung!$E36*Monatsplanung!$P36))</f>
        <v>0</v>
      </c>
      <c r="O972" s="740"/>
      <c r="P972" s="739"/>
      <c r="Q972" s="168">
        <f>IF(P972&lt;&gt;"",P972,IF(ISERROR(Personalplanung!AD36/Monatsplanung!$E36*Monatsplanung!$G36),0,Personalplanung!AD36/Monatsplanung!$E36*Monatsplanung!$P36))</f>
        <v>0</v>
      </c>
      <c r="R972" s="740"/>
      <c r="S972" s="739"/>
      <c r="T972" s="168">
        <f>IF(S972&lt;&gt;"",S972,IF(ISERROR(Personalplanung!AE36/Monatsplanung!$E36*Monatsplanung!$G36),0,Personalplanung!AE36/Monatsplanung!$E36*Monatsplanung!$P36))</f>
        <v>0</v>
      </c>
      <c r="U972" s="740"/>
      <c r="V972" s="168">
        <f t="shared" si="309"/>
        <v>0</v>
      </c>
      <c r="W972" s="168">
        <f>IF(ISERROR(Personalplanung!P36/Monatsplanung!$E36*Monatsplanung!$P36),0,Personalplanung!P36/Monatsplanung!$E36*Monatsplanung!$P36)</f>
        <v>0</v>
      </c>
      <c r="X972" s="168">
        <f>IF(ISERROR(Personalplanung!Q36/Monatsplanung!$E36*Monatsplanung!$P36),0,Personalplanung!Q36/Monatsplanung!$E36*Monatsplanung!$P36)</f>
        <v>0</v>
      </c>
      <c r="Y972" s="168">
        <f>IF(ISERROR(Personalplanung!R36/T1284*Stundencontrolling!T972),0,Personalplanung!R36/T1284*Stundencontrolling!T972)</f>
        <v>0</v>
      </c>
      <c r="Z972" s="168">
        <f>IF(ISERROR(Personalplanung!S36/Monatsplanung!$E36*Monatsplanung!$P36),0,Personalplanung!S36/Monatsplanung!$E36*Monatsplanung!$P36)</f>
        <v>0</v>
      </c>
      <c r="AA972" s="80">
        <f t="shared" si="310"/>
        <v>0</v>
      </c>
      <c r="AB972" s="102">
        <f t="shared" si="311"/>
        <v>0.1</v>
      </c>
      <c r="AC972" s="103">
        <f t="shared" si="312"/>
        <v>0</v>
      </c>
      <c r="AD972" s="103">
        <f t="shared" si="313"/>
        <v>0</v>
      </c>
      <c r="AE972" s="81">
        <f t="shared" si="314"/>
        <v>0</v>
      </c>
      <c r="AF972" s="539"/>
      <c r="AG972" s="104">
        <f t="shared" si="315"/>
        <v>1</v>
      </c>
      <c r="AH972" s="7">
        <f t="shared" si="316"/>
        <v>0</v>
      </c>
      <c r="AI972" s="6">
        <f t="shared" si="317"/>
        <v>0</v>
      </c>
      <c r="AJ972" s="73">
        <f t="shared" si="318"/>
        <v>0</v>
      </c>
      <c r="AK972" s="539"/>
      <c r="AL972" s="748"/>
      <c r="AM972" s="748"/>
    </row>
    <row r="973" spans="2:39" x14ac:dyDescent="0.2">
      <c r="B973" s="101" t="str">
        <f t="shared" si="303"/>
        <v/>
      </c>
      <c r="C973" s="168">
        <f>IF(ISERROR(Personalplanung!F37/Monatsplanung!$E37*Monatsplanung!$P37),0,Personalplanung!F37/Monatsplanung!$E37*Monatsplanung!$P37)</f>
        <v>0</v>
      </c>
      <c r="D973" s="168">
        <f t="shared" si="304"/>
        <v>0</v>
      </c>
      <c r="E973" s="168">
        <f>IF(ISERROR(Personalplanung!H37/Monatsplanung!$E37*Monatsplanung!$P37),0,Personalplanung!H37/Monatsplanung!$E37*Monatsplanung!$P37)</f>
        <v>0</v>
      </c>
      <c r="F973" s="168">
        <f t="shared" si="305"/>
        <v>0</v>
      </c>
      <c r="G973" s="168">
        <f t="shared" si="306"/>
        <v>27.700831024930746</v>
      </c>
      <c r="H973" s="168">
        <f t="shared" si="307"/>
        <v>0</v>
      </c>
      <c r="I973" s="168">
        <f t="shared" si="308"/>
        <v>30</v>
      </c>
      <c r="J973" s="739"/>
      <c r="K973" s="168">
        <f>IF(J973&lt;&gt;"",J973,IF(ISERROR(Personalplanung!AB37/Monatsplanung!$E37*Monatsplanung!$G37),0,Personalplanung!AB37/Monatsplanung!$E37*Monatsplanung!$P37))</f>
        <v>0</v>
      </c>
      <c r="L973" s="740"/>
      <c r="M973" s="739"/>
      <c r="N973" s="168">
        <f>IF(M973&lt;&gt;"",M973,IF(ISERROR(Personalplanung!AC37/Monatsplanung!$E37*Monatsplanung!$G37),0,Personalplanung!AC37/Monatsplanung!$E37*Monatsplanung!$P37))</f>
        <v>0</v>
      </c>
      <c r="O973" s="740"/>
      <c r="P973" s="739"/>
      <c r="Q973" s="168">
        <f>IF(P973&lt;&gt;"",P973,IF(ISERROR(Personalplanung!AD37/Monatsplanung!$E37*Monatsplanung!$G37),0,Personalplanung!AD37/Monatsplanung!$E37*Monatsplanung!$P37))</f>
        <v>0</v>
      </c>
      <c r="R973" s="740"/>
      <c r="S973" s="739"/>
      <c r="T973" s="168">
        <f>IF(S973&lt;&gt;"",S973,IF(ISERROR(Personalplanung!AE37/Monatsplanung!$E37*Monatsplanung!$G37),0,Personalplanung!AE37/Monatsplanung!$E37*Monatsplanung!$P37))</f>
        <v>0</v>
      </c>
      <c r="U973" s="740"/>
      <c r="V973" s="168">
        <f t="shared" si="309"/>
        <v>0</v>
      </c>
      <c r="W973" s="168">
        <f>IF(ISERROR(Personalplanung!P37/Monatsplanung!$E37*Monatsplanung!$P37),0,Personalplanung!P37/Monatsplanung!$E37*Monatsplanung!$P37)</f>
        <v>0</v>
      </c>
      <c r="X973" s="168">
        <f>IF(ISERROR(Personalplanung!Q37/Monatsplanung!$E37*Monatsplanung!$P37),0,Personalplanung!Q37/Monatsplanung!$E37*Monatsplanung!$P37)</f>
        <v>0</v>
      </c>
      <c r="Y973" s="168">
        <f>IF(ISERROR(Personalplanung!R37/T1285*Stundencontrolling!T973),0,Personalplanung!R37/T1285*Stundencontrolling!T973)</f>
        <v>0</v>
      </c>
      <c r="Z973" s="168">
        <f>IF(ISERROR(Personalplanung!S37/Monatsplanung!$E37*Monatsplanung!$P37),0,Personalplanung!S37/Monatsplanung!$E37*Monatsplanung!$P37)</f>
        <v>0</v>
      </c>
      <c r="AA973" s="80">
        <f t="shared" si="310"/>
        <v>0</v>
      </c>
      <c r="AB973" s="102">
        <f t="shared" si="311"/>
        <v>0.1</v>
      </c>
      <c r="AC973" s="103">
        <f t="shared" si="312"/>
        <v>0</v>
      </c>
      <c r="AD973" s="103">
        <f t="shared" si="313"/>
        <v>0</v>
      </c>
      <c r="AE973" s="81">
        <f t="shared" si="314"/>
        <v>0</v>
      </c>
      <c r="AF973" s="539"/>
      <c r="AG973" s="104">
        <f t="shared" si="315"/>
        <v>1</v>
      </c>
      <c r="AH973" s="7">
        <f t="shared" si="316"/>
        <v>0</v>
      </c>
      <c r="AI973" s="6">
        <f t="shared" si="317"/>
        <v>0</v>
      </c>
      <c r="AJ973" s="73">
        <f t="shared" si="318"/>
        <v>0</v>
      </c>
      <c r="AK973" s="539"/>
      <c r="AL973" s="748"/>
      <c r="AM973" s="748"/>
    </row>
    <row r="974" spans="2:39" x14ac:dyDescent="0.2">
      <c r="B974" s="101" t="str">
        <f t="shared" si="303"/>
        <v/>
      </c>
      <c r="C974" s="168">
        <f>IF(ISERROR(Personalplanung!F38/Monatsplanung!$E38*Monatsplanung!$P38),0,Personalplanung!F38/Monatsplanung!$E38*Monatsplanung!$P38)</f>
        <v>0</v>
      </c>
      <c r="D974" s="168">
        <f t="shared" si="304"/>
        <v>0</v>
      </c>
      <c r="E974" s="168">
        <f>IF(ISERROR(Personalplanung!H38/Monatsplanung!$E38*Monatsplanung!$P38),0,Personalplanung!H38/Monatsplanung!$E38*Monatsplanung!$P38)</f>
        <v>0</v>
      </c>
      <c r="F974" s="168">
        <f t="shared" si="305"/>
        <v>0</v>
      </c>
      <c r="G974" s="168">
        <f t="shared" si="306"/>
        <v>27.700831024930746</v>
      </c>
      <c r="H974" s="168">
        <f t="shared" si="307"/>
        <v>0</v>
      </c>
      <c r="I974" s="168">
        <f t="shared" si="308"/>
        <v>30</v>
      </c>
      <c r="J974" s="739"/>
      <c r="K974" s="168">
        <f>IF(J974&lt;&gt;"",J974,IF(ISERROR(Personalplanung!AB38/Monatsplanung!$E38*Monatsplanung!$G38),0,Personalplanung!AB38/Monatsplanung!$E38*Monatsplanung!$P38))</f>
        <v>0</v>
      </c>
      <c r="L974" s="740"/>
      <c r="M974" s="739"/>
      <c r="N974" s="168">
        <f>IF(M974&lt;&gt;"",M974,IF(ISERROR(Personalplanung!AC38/Monatsplanung!$E38*Monatsplanung!$G38),0,Personalplanung!AC38/Monatsplanung!$E38*Monatsplanung!$P38))</f>
        <v>0</v>
      </c>
      <c r="O974" s="740"/>
      <c r="P974" s="739"/>
      <c r="Q974" s="168">
        <f>IF(P974&lt;&gt;"",P974,IF(ISERROR(Personalplanung!AD38/Monatsplanung!$E38*Monatsplanung!$G38),0,Personalplanung!AD38/Monatsplanung!$E38*Monatsplanung!$P38))</f>
        <v>0</v>
      </c>
      <c r="R974" s="740"/>
      <c r="S974" s="739"/>
      <c r="T974" s="168">
        <f>IF(S974&lt;&gt;"",S974,IF(ISERROR(Personalplanung!AE38/Monatsplanung!$E38*Monatsplanung!$G38),0,Personalplanung!AE38/Monatsplanung!$E38*Monatsplanung!$P38))</f>
        <v>0</v>
      </c>
      <c r="U974" s="740"/>
      <c r="V974" s="168">
        <f t="shared" si="309"/>
        <v>0</v>
      </c>
      <c r="W974" s="168">
        <f>IF(ISERROR(Personalplanung!P38/Monatsplanung!$E38*Monatsplanung!$P38),0,Personalplanung!P38/Monatsplanung!$E38*Monatsplanung!$P38)</f>
        <v>0</v>
      </c>
      <c r="X974" s="168">
        <f>IF(ISERROR(Personalplanung!Q38/Monatsplanung!$E38*Monatsplanung!$P38),0,Personalplanung!Q38/Monatsplanung!$E38*Monatsplanung!$P38)</f>
        <v>0</v>
      </c>
      <c r="Y974" s="168">
        <f>IF(ISERROR(Personalplanung!R38/T1286*Stundencontrolling!T974),0,Personalplanung!R38/T1286*Stundencontrolling!T974)</f>
        <v>0</v>
      </c>
      <c r="Z974" s="168">
        <f>IF(ISERROR(Personalplanung!S38/Monatsplanung!$E38*Monatsplanung!$P38),0,Personalplanung!S38/Monatsplanung!$E38*Monatsplanung!$P38)</f>
        <v>0</v>
      </c>
      <c r="AA974" s="80">
        <f t="shared" si="310"/>
        <v>0</v>
      </c>
      <c r="AB974" s="102">
        <f t="shared" si="311"/>
        <v>0.1</v>
      </c>
      <c r="AC974" s="103">
        <f t="shared" si="312"/>
        <v>0</v>
      </c>
      <c r="AD974" s="103">
        <f t="shared" si="313"/>
        <v>0</v>
      </c>
      <c r="AE974" s="81">
        <f t="shared" si="314"/>
        <v>0</v>
      </c>
      <c r="AF974" s="539"/>
      <c r="AG974" s="104">
        <f t="shared" si="315"/>
        <v>1</v>
      </c>
      <c r="AH974" s="7">
        <f t="shared" si="316"/>
        <v>0</v>
      </c>
      <c r="AI974" s="6">
        <f t="shared" si="317"/>
        <v>0</v>
      </c>
      <c r="AJ974" s="73">
        <f t="shared" si="318"/>
        <v>0</v>
      </c>
      <c r="AK974" s="539"/>
      <c r="AL974" s="748"/>
      <c r="AM974" s="748"/>
    </row>
    <row r="975" spans="2:39" x14ac:dyDescent="0.2">
      <c r="B975" s="101" t="str">
        <f t="shared" si="303"/>
        <v/>
      </c>
      <c r="C975" s="168">
        <f>IF(ISERROR(Personalplanung!F39/Monatsplanung!$E39*Monatsplanung!$P39),0,Personalplanung!F39/Monatsplanung!$E39*Monatsplanung!$P39)</f>
        <v>0</v>
      </c>
      <c r="D975" s="168">
        <f t="shared" si="304"/>
        <v>0</v>
      </c>
      <c r="E975" s="168">
        <f>IF(ISERROR(Personalplanung!H39/Monatsplanung!$E39*Monatsplanung!$P39),0,Personalplanung!H39/Monatsplanung!$E39*Monatsplanung!$P39)</f>
        <v>0</v>
      </c>
      <c r="F975" s="168">
        <f t="shared" si="305"/>
        <v>0</v>
      </c>
      <c r="G975" s="168">
        <f t="shared" si="306"/>
        <v>27.700831024930746</v>
      </c>
      <c r="H975" s="168">
        <f t="shared" si="307"/>
        <v>0</v>
      </c>
      <c r="I975" s="168">
        <f t="shared" si="308"/>
        <v>30</v>
      </c>
      <c r="J975" s="739"/>
      <c r="K975" s="168">
        <f>IF(J975&lt;&gt;"",J975,IF(ISERROR(Personalplanung!AB39/Monatsplanung!$E39*Monatsplanung!$G39),0,Personalplanung!AB39/Monatsplanung!$E39*Monatsplanung!$P39))</f>
        <v>0</v>
      </c>
      <c r="L975" s="740"/>
      <c r="M975" s="739"/>
      <c r="N975" s="168">
        <f>IF(M975&lt;&gt;"",M975,IF(ISERROR(Personalplanung!AC39/Monatsplanung!$E39*Monatsplanung!$G39),0,Personalplanung!AC39/Monatsplanung!$E39*Monatsplanung!$P39))</f>
        <v>0</v>
      </c>
      <c r="O975" s="740"/>
      <c r="P975" s="739"/>
      <c r="Q975" s="168">
        <f>IF(P975&lt;&gt;"",P975,IF(ISERROR(Personalplanung!AD39/Monatsplanung!$E39*Monatsplanung!$G39),0,Personalplanung!AD39/Monatsplanung!$E39*Monatsplanung!$P39))</f>
        <v>0</v>
      </c>
      <c r="R975" s="740"/>
      <c r="S975" s="739"/>
      <c r="T975" s="168">
        <f>IF(S975&lt;&gt;"",S975,IF(ISERROR(Personalplanung!AE39/Monatsplanung!$E39*Monatsplanung!$G39),0,Personalplanung!AE39/Monatsplanung!$E39*Monatsplanung!$P39))</f>
        <v>0</v>
      </c>
      <c r="U975" s="740"/>
      <c r="V975" s="168">
        <f t="shared" si="309"/>
        <v>0</v>
      </c>
      <c r="W975" s="168">
        <f>IF(ISERROR(Personalplanung!P39/Monatsplanung!$E39*Monatsplanung!$P39),0,Personalplanung!P39/Monatsplanung!$E39*Monatsplanung!$P39)</f>
        <v>0</v>
      </c>
      <c r="X975" s="168">
        <f>IF(ISERROR(Personalplanung!Q39/Monatsplanung!$E39*Monatsplanung!$P39),0,Personalplanung!Q39/Monatsplanung!$E39*Monatsplanung!$P39)</f>
        <v>0</v>
      </c>
      <c r="Y975" s="168">
        <f>IF(ISERROR(Personalplanung!R39/T1287*Stundencontrolling!T975),0,Personalplanung!R39/T1287*Stundencontrolling!T975)</f>
        <v>0</v>
      </c>
      <c r="Z975" s="168">
        <f>IF(ISERROR(Personalplanung!S39/Monatsplanung!$E39*Monatsplanung!$P39),0,Personalplanung!S39/Monatsplanung!$E39*Monatsplanung!$P39)</f>
        <v>0</v>
      </c>
      <c r="AA975" s="80">
        <f t="shared" si="310"/>
        <v>0</v>
      </c>
      <c r="AB975" s="102">
        <f t="shared" si="311"/>
        <v>0.1</v>
      </c>
      <c r="AC975" s="103">
        <f t="shared" si="312"/>
        <v>0</v>
      </c>
      <c r="AD975" s="103">
        <f t="shared" si="313"/>
        <v>0</v>
      </c>
      <c r="AE975" s="81">
        <f t="shared" si="314"/>
        <v>0</v>
      </c>
      <c r="AF975" s="539"/>
      <c r="AG975" s="104">
        <f t="shared" si="315"/>
        <v>1</v>
      </c>
      <c r="AH975" s="7">
        <f t="shared" si="316"/>
        <v>0</v>
      </c>
      <c r="AI975" s="6">
        <f t="shared" si="317"/>
        <v>0</v>
      </c>
      <c r="AJ975" s="73">
        <f t="shared" si="318"/>
        <v>0</v>
      </c>
      <c r="AK975" s="539"/>
      <c r="AL975" s="748"/>
      <c r="AM975" s="748"/>
    </row>
    <row r="976" spans="2:39" x14ac:dyDescent="0.2">
      <c r="B976" s="101" t="str">
        <f t="shared" si="303"/>
        <v/>
      </c>
      <c r="C976" s="168">
        <f>IF(ISERROR(Personalplanung!F40/Monatsplanung!$E40*Monatsplanung!$P40),0,Personalplanung!F40/Monatsplanung!$E40*Monatsplanung!$P40)</f>
        <v>0</v>
      </c>
      <c r="D976" s="168">
        <f t="shared" si="304"/>
        <v>0</v>
      </c>
      <c r="E976" s="168">
        <f>IF(ISERROR(Personalplanung!H40/Monatsplanung!$E40*Monatsplanung!$P40),0,Personalplanung!H40/Monatsplanung!$E40*Monatsplanung!$P40)</f>
        <v>0</v>
      </c>
      <c r="F976" s="168">
        <f t="shared" si="305"/>
        <v>0</v>
      </c>
      <c r="G976" s="168">
        <f t="shared" si="306"/>
        <v>27.700831024930746</v>
      </c>
      <c r="H976" s="168">
        <f t="shared" si="307"/>
        <v>0</v>
      </c>
      <c r="I976" s="168">
        <f t="shared" si="308"/>
        <v>30</v>
      </c>
      <c r="J976" s="739"/>
      <c r="K976" s="168">
        <f>IF(J976&lt;&gt;"",J976,IF(ISERROR(Personalplanung!AB40/Monatsplanung!$E40*Monatsplanung!$G40),0,Personalplanung!AB40/Monatsplanung!$E40*Monatsplanung!$P40))</f>
        <v>0</v>
      </c>
      <c r="L976" s="740"/>
      <c r="M976" s="739"/>
      <c r="N976" s="168">
        <f>IF(M976&lt;&gt;"",M976,IF(ISERROR(Personalplanung!AC40/Monatsplanung!$E40*Monatsplanung!$G40),0,Personalplanung!AC40/Monatsplanung!$E40*Monatsplanung!$P40))</f>
        <v>0</v>
      </c>
      <c r="O976" s="740"/>
      <c r="P976" s="739"/>
      <c r="Q976" s="168">
        <f>IF(P976&lt;&gt;"",P976,IF(ISERROR(Personalplanung!AD40/Monatsplanung!$E40*Monatsplanung!$G40),0,Personalplanung!AD40/Monatsplanung!$E40*Monatsplanung!$P40))</f>
        <v>0</v>
      </c>
      <c r="R976" s="740"/>
      <c r="S976" s="739"/>
      <c r="T976" s="168">
        <f>IF(S976&lt;&gt;"",S976,IF(ISERROR(Personalplanung!AE40/Monatsplanung!$E40*Monatsplanung!$G40),0,Personalplanung!AE40/Monatsplanung!$E40*Monatsplanung!$P40))</f>
        <v>0</v>
      </c>
      <c r="U976" s="740"/>
      <c r="V976" s="168">
        <f t="shared" si="309"/>
        <v>0</v>
      </c>
      <c r="W976" s="168">
        <f>IF(ISERROR(Personalplanung!P40/Monatsplanung!$E40*Monatsplanung!$P40),0,Personalplanung!P40/Monatsplanung!$E40*Monatsplanung!$P40)</f>
        <v>0</v>
      </c>
      <c r="X976" s="168">
        <f>IF(ISERROR(Personalplanung!Q40/Monatsplanung!$E40*Monatsplanung!$P40),0,Personalplanung!Q40/Monatsplanung!$E40*Monatsplanung!$P40)</f>
        <v>0</v>
      </c>
      <c r="Y976" s="168">
        <f>IF(ISERROR(Personalplanung!R40/T1288*Stundencontrolling!T976),0,Personalplanung!R40/T1288*Stundencontrolling!T976)</f>
        <v>0</v>
      </c>
      <c r="Z976" s="168">
        <f>IF(ISERROR(Personalplanung!S40/Monatsplanung!$E40*Monatsplanung!$P40),0,Personalplanung!S40/Monatsplanung!$E40*Monatsplanung!$P40)</f>
        <v>0</v>
      </c>
      <c r="AA976" s="80">
        <f t="shared" si="310"/>
        <v>0</v>
      </c>
      <c r="AB976" s="102">
        <f t="shared" si="311"/>
        <v>0.1</v>
      </c>
      <c r="AC976" s="103">
        <f t="shared" si="312"/>
        <v>0</v>
      </c>
      <c r="AD976" s="103">
        <f t="shared" si="313"/>
        <v>0</v>
      </c>
      <c r="AE976" s="81">
        <f t="shared" si="314"/>
        <v>0</v>
      </c>
      <c r="AF976" s="539"/>
      <c r="AG976" s="104">
        <f t="shared" si="315"/>
        <v>1</v>
      </c>
      <c r="AH976" s="7">
        <f t="shared" si="316"/>
        <v>0</v>
      </c>
      <c r="AI976" s="6">
        <f t="shared" si="317"/>
        <v>0</v>
      </c>
      <c r="AJ976" s="73">
        <f t="shared" si="318"/>
        <v>0</v>
      </c>
      <c r="AK976" s="539"/>
      <c r="AL976" s="748"/>
      <c r="AM976" s="748"/>
    </row>
    <row r="977" spans="2:39" x14ac:dyDescent="0.2">
      <c r="B977" s="101" t="str">
        <f t="shared" si="303"/>
        <v/>
      </c>
      <c r="C977" s="168">
        <f>IF(ISERROR(Personalplanung!F41/Monatsplanung!$E41*Monatsplanung!$P41),0,Personalplanung!F41/Monatsplanung!$E41*Monatsplanung!$P41)</f>
        <v>0</v>
      </c>
      <c r="D977" s="168">
        <f t="shared" si="304"/>
        <v>0</v>
      </c>
      <c r="E977" s="168">
        <f>IF(ISERROR(Personalplanung!H41/Monatsplanung!$E41*Monatsplanung!$P41),0,Personalplanung!H41/Monatsplanung!$E41*Monatsplanung!$P41)</f>
        <v>0</v>
      </c>
      <c r="F977" s="168">
        <f t="shared" si="305"/>
        <v>0</v>
      </c>
      <c r="G977" s="168">
        <f t="shared" si="306"/>
        <v>27.700831024930746</v>
      </c>
      <c r="H977" s="168">
        <f t="shared" si="307"/>
        <v>0</v>
      </c>
      <c r="I977" s="168">
        <f t="shared" si="308"/>
        <v>30</v>
      </c>
      <c r="J977" s="739"/>
      <c r="K977" s="168">
        <f>IF(J977&lt;&gt;"",J977,IF(ISERROR(Personalplanung!AB41/Monatsplanung!$E41*Monatsplanung!$G41),0,Personalplanung!AB41/Monatsplanung!$E41*Monatsplanung!$P41))</f>
        <v>0</v>
      </c>
      <c r="L977" s="740"/>
      <c r="M977" s="739"/>
      <c r="N977" s="168">
        <f>IF(M977&lt;&gt;"",M977,IF(ISERROR(Personalplanung!AC41/Monatsplanung!$E41*Monatsplanung!$G41),0,Personalplanung!AC41/Monatsplanung!$E41*Monatsplanung!$P41))</f>
        <v>0</v>
      </c>
      <c r="O977" s="740"/>
      <c r="P977" s="739"/>
      <c r="Q977" s="168">
        <f>IF(P977&lt;&gt;"",P977,IF(ISERROR(Personalplanung!AD41/Monatsplanung!$E41*Monatsplanung!$G41),0,Personalplanung!AD41/Monatsplanung!$E41*Monatsplanung!$P41))</f>
        <v>0</v>
      </c>
      <c r="R977" s="740"/>
      <c r="S977" s="739"/>
      <c r="T977" s="168">
        <f>IF(S977&lt;&gt;"",S977,IF(ISERROR(Personalplanung!AE41/Monatsplanung!$E41*Monatsplanung!$G41),0,Personalplanung!AE41/Monatsplanung!$E41*Monatsplanung!$P41))</f>
        <v>0</v>
      </c>
      <c r="U977" s="740"/>
      <c r="V977" s="168">
        <f t="shared" si="309"/>
        <v>0</v>
      </c>
      <c r="W977" s="168">
        <f>IF(ISERROR(Personalplanung!P41/Monatsplanung!$E41*Monatsplanung!$P41),0,Personalplanung!P41/Monatsplanung!$E41*Monatsplanung!$P41)</f>
        <v>0</v>
      </c>
      <c r="X977" s="168">
        <f>IF(ISERROR(Personalplanung!Q41/Monatsplanung!$E41*Monatsplanung!$P41),0,Personalplanung!Q41/Monatsplanung!$E41*Monatsplanung!$P41)</f>
        <v>0</v>
      </c>
      <c r="Y977" s="168">
        <f>IF(ISERROR(Personalplanung!R41/T1289*Stundencontrolling!T977),0,Personalplanung!R41/T1289*Stundencontrolling!T977)</f>
        <v>0</v>
      </c>
      <c r="Z977" s="168">
        <f>IF(ISERROR(Personalplanung!S41/Monatsplanung!$E41*Monatsplanung!$P41),0,Personalplanung!S41/Monatsplanung!$E41*Monatsplanung!$P41)</f>
        <v>0</v>
      </c>
      <c r="AA977" s="80">
        <f t="shared" si="310"/>
        <v>0</v>
      </c>
      <c r="AB977" s="102">
        <f t="shared" si="311"/>
        <v>0.1</v>
      </c>
      <c r="AC977" s="103">
        <f t="shared" si="312"/>
        <v>0</v>
      </c>
      <c r="AD977" s="103">
        <f t="shared" si="313"/>
        <v>0</v>
      </c>
      <c r="AE977" s="81">
        <f t="shared" si="314"/>
        <v>0</v>
      </c>
      <c r="AF977" s="539"/>
      <c r="AG977" s="104">
        <f t="shared" si="315"/>
        <v>1</v>
      </c>
      <c r="AH977" s="7">
        <f t="shared" si="316"/>
        <v>0</v>
      </c>
      <c r="AI977" s="6">
        <f t="shared" si="317"/>
        <v>0</v>
      </c>
      <c r="AJ977" s="73">
        <f t="shared" si="318"/>
        <v>0</v>
      </c>
      <c r="AK977" s="539"/>
      <c r="AL977" s="748"/>
      <c r="AM977" s="748"/>
    </row>
    <row r="978" spans="2:39" x14ac:dyDescent="0.2">
      <c r="B978" s="101" t="str">
        <f t="shared" si="303"/>
        <v/>
      </c>
      <c r="C978" s="168">
        <f>IF(ISERROR(Personalplanung!F42/Monatsplanung!$E42*Monatsplanung!$P42),0,Personalplanung!F42/Monatsplanung!$E42*Monatsplanung!$P42)</f>
        <v>0</v>
      </c>
      <c r="D978" s="168">
        <f t="shared" si="304"/>
        <v>0</v>
      </c>
      <c r="E978" s="168">
        <f>IF(ISERROR(Personalplanung!H42/Monatsplanung!$E42*Monatsplanung!$P42),0,Personalplanung!H42/Monatsplanung!$E42*Monatsplanung!$P42)</f>
        <v>0</v>
      </c>
      <c r="F978" s="168">
        <f t="shared" si="305"/>
        <v>0</v>
      </c>
      <c r="G978" s="168">
        <f t="shared" si="306"/>
        <v>27.700831024930746</v>
      </c>
      <c r="H978" s="168">
        <f t="shared" si="307"/>
        <v>0</v>
      </c>
      <c r="I978" s="168">
        <f t="shared" si="308"/>
        <v>30</v>
      </c>
      <c r="J978" s="739"/>
      <c r="K978" s="168">
        <f>IF(J978&lt;&gt;"",J978,IF(ISERROR(Personalplanung!AB42/Monatsplanung!$E42*Monatsplanung!$G42),0,Personalplanung!AB42/Monatsplanung!$E42*Monatsplanung!$P42))</f>
        <v>0</v>
      </c>
      <c r="L978" s="740"/>
      <c r="M978" s="739"/>
      <c r="N978" s="168">
        <f>IF(M978&lt;&gt;"",M978,IF(ISERROR(Personalplanung!AC42/Monatsplanung!$E42*Monatsplanung!$G42),0,Personalplanung!AC42/Monatsplanung!$E42*Monatsplanung!$P42))</f>
        <v>0</v>
      </c>
      <c r="O978" s="740"/>
      <c r="P978" s="739"/>
      <c r="Q978" s="168">
        <f>IF(P978&lt;&gt;"",P978,IF(ISERROR(Personalplanung!AD42/Monatsplanung!$E42*Monatsplanung!$G42),0,Personalplanung!AD42/Monatsplanung!$E42*Monatsplanung!$P42))</f>
        <v>0</v>
      </c>
      <c r="R978" s="740"/>
      <c r="S978" s="739"/>
      <c r="T978" s="168">
        <f>IF(S978&lt;&gt;"",S978,IF(ISERROR(Personalplanung!AE42/Monatsplanung!$E42*Monatsplanung!$G42),0,Personalplanung!AE42/Monatsplanung!$E42*Monatsplanung!$P42))</f>
        <v>0</v>
      </c>
      <c r="U978" s="740"/>
      <c r="V978" s="168">
        <f t="shared" si="309"/>
        <v>0</v>
      </c>
      <c r="W978" s="168">
        <f>IF(ISERROR(Personalplanung!P42/Monatsplanung!$E42*Monatsplanung!$P42),0,Personalplanung!P42/Monatsplanung!$E42*Monatsplanung!$P42)</f>
        <v>0</v>
      </c>
      <c r="X978" s="168">
        <f>IF(ISERROR(Personalplanung!Q42/Monatsplanung!$E42*Monatsplanung!$P42),0,Personalplanung!Q42/Monatsplanung!$E42*Monatsplanung!$P42)</f>
        <v>0</v>
      </c>
      <c r="Y978" s="168">
        <f>IF(ISERROR(Personalplanung!R42/T1290*Stundencontrolling!T978),0,Personalplanung!R42/T1290*Stundencontrolling!T978)</f>
        <v>0</v>
      </c>
      <c r="Z978" s="168">
        <f>IF(ISERROR(Personalplanung!S42/Monatsplanung!$E42*Monatsplanung!$P42),0,Personalplanung!S42/Monatsplanung!$E42*Monatsplanung!$P42)</f>
        <v>0</v>
      </c>
      <c r="AA978" s="80">
        <f t="shared" si="310"/>
        <v>0</v>
      </c>
      <c r="AB978" s="102">
        <f t="shared" si="311"/>
        <v>0.1</v>
      </c>
      <c r="AC978" s="103">
        <f t="shared" si="312"/>
        <v>0</v>
      </c>
      <c r="AD978" s="103">
        <f t="shared" si="313"/>
        <v>0</v>
      </c>
      <c r="AE978" s="81">
        <f t="shared" si="314"/>
        <v>0</v>
      </c>
      <c r="AF978" s="539"/>
      <c r="AG978" s="104">
        <f t="shared" si="315"/>
        <v>1</v>
      </c>
      <c r="AH978" s="7">
        <f t="shared" si="316"/>
        <v>0</v>
      </c>
      <c r="AI978" s="6">
        <f t="shared" si="317"/>
        <v>0</v>
      </c>
      <c r="AJ978" s="73">
        <f t="shared" si="318"/>
        <v>0</v>
      </c>
      <c r="AK978" s="539"/>
      <c r="AL978" s="748"/>
      <c r="AM978" s="748"/>
    </row>
    <row r="979" spans="2:39" x14ac:dyDescent="0.2">
      <c r="B979" s="101" t="str">
        <f t="shared" si="303"/>
        <v/>
      </c>
      <c r="C979" s="168">
        <f>IF(ISERROR(Personalplanung!F43/Monatsplanung!$E43*Monatsplanung!$P43),0,Personalplanung!F43/Monatsplanung!$E43*Monatsplanung!$P43)</f>
        <v>0</v>
      </c>
      <c r="D979" s="168">
        <f t="shared" si="304"/>
        <v>0</v>
      </c>
      <c r="E979" s="168">
        <f>IF(ISERROR(Personalplanung!H43/Monatsplanung!$E43*Monatsplanung!$P43),0,Personalplanung!H43/Monatsplanung!$E43*Monatsplanung!$P43)</f>
        <v>0</v>
      </c>
      <c r="F979" s="168">
        <f t="shared" si="305"/>
        <v>0</v>
      </c>
      <c r="G979" s="168">
        <f t="shared" si="306"/>
        <v>27.700831024930746</v>
      </c>
      <c r="H979" s="168">
        <f t="shared" si="307"/>
        <v>0</v>
      </c>
      <c r="I979" s="168">
        <f t="shared" si="308"/>
        <v>30</v>
      </c>
      <c r="J979" s="739"/>
      <c r="K979" s="168">
        <f>IF(J979&lt;&gt;"",J979,IF(ISERROR(Personalplanung!AB43/Monatsplanung!$E43*Monatsplanung!$G43),0,Personalplanung!AB43/Monatsplanung!$E43*Monatsplanung!$P43))</f>
        <v>0</v>
      </c>
      <c r="L979" s="740"/>
      <c r="M979" s="739"/>
      <c r="N979" s="168">
        <f>IF(M979&lt;&gt;"",M979,IF(ISERROR(Personalplanung!AC43/Monatsplanung!$E43*Monatsplanung!$G43),0,Personalplanung!AC43/Monatsplanung!$E43*Monatsplanung!$P43))</f>
        <v>0</v>
      </c>
      <c r="O979" s="740"/>
      <c r="P979" s="739"/>
      <c r="Q979" s="168">
        <f>IF(P979&lt;&gt;"",P979,IF(ISERROR(Personalplanung!AD43/Monatsplanung!$E43*Monatsplanung!$G43),0,Personalplanung!AD43/Monatsplanung!$E43*Monatsplanung!$P43))</f>
        <v>0</v>
      </c>
      <c r="R979" s="740"/>
      <c r="S979" s="739"/>
      <c r="T979" s="168">
        <f>IF(S979&lt;&gt;"",S979,IF(ISERROR(Personalplanung!AE43/Monatsplanung!$E43*Monatsplanung!$G43),0,Personalplanung!AE43/Monatsplanung!$E43*Monatsplanung!$P43))</f>
        <v>0</v>
      </c>
      <c r="U979" s="740"/>
      <c r="V979" s="168">
        <f t="shared" si="309"/>
        <v>0</v>
      </c>
      <c r="W979" s="168">
        <f>IF(ISERROR(Personalplanung!P43/Monatsplanung!$E43*Monatsplanung!$P43),0,Personalplanung!P43/Monatsplanung!$E43*Monatsplanung!$P43)</f>
        <v>0</v>
      </c>
      <c r="X979" s="168">
        <f>IF(ISERROR(Personalplanung!Q43/Monatsplanung!$E43*Monatsplanung!$P43),0,Personalplanung!Q43/Monatsplanung!$E43*Monatsplanung!$P43)</f>
        <v>0</v>
      </c>
      <c r="Y979" s="168">
        <f>IF(ISERROR(Personalplanung!R43/T1291*Stundencontrolling!T979),0,Personalplanung!R43/T1291*Stundencontrolling!T979)</f>
        <v>0</v>
      </c>
      <c r="Z979" s="168">
        <f>IF(ISERROR(Personalplanung!S43/Monatsplanung!$E43*Monatsplanung!$P43),0,Personalplanung!S43/Monatsplanung!$E43*Monatsplanung!$P43)</f>
        <v>0</v>
      </c>
      <c r="AA979" s="80">
        <f t="shared" si="310"/>
        <v>0</v>
      </c>
      <c r="AB979" s="102">
        <f t="shared" si="311"/>
        <v>0.1</v>
      </c>
      <c r="AC979" s="103">
        <f t="shared" si="312"/>
        <v>0</v>
      </c>
      <c r="AD979" s="103">
        <f t="shared" si="313"/>
        <v>0</v>
      </c>
      <c r="AE979" s="81">
        <f t="shared" si="314"/>
        <v>0</v>
      </c>
      <c r="AF979" s="539"/>
      <c r="AG979" s="104">
        <f t="shared" si="315"/>
        <v>1</v>
      </c>
      <c r="AH979" s="7">
        <f t="shared" si="316"/>
        <v>0</v>
      </c>
      <c r="AI979" s="6">
        <f t="shared" si="317"/>
        <v>0</v>
      </c>
      <c r="AJ979" s="73">
        <f t="shared" si="318"/>
        <v>0</v>
      </c>
      <c r="AK979" s="539"/>
      <c r="AL979" s="748"/>
      <c r="AM979" s="748"/>
    </row>
    <row r="980" spans="2:39" x14ac:dyDescent="0.2">
      <c r="B980" s="101" t="str">
        <f t="shared" si="303"/>
        <v/>
      </c>
      <c r="C980" s="168">
        <f>IF(ISERROR(Personalplanung!F44/Monatsplanung!$E44*Monatsplanung!$P44),0,Personalplanung!F44/Monatsplanung!$E44*Monatsplanung!$P44)</f>
        <v>0</v>
      </c>
      <c r="D980" s="168">
        <f t="shared" si="304"/>
        <v>0</v>
      </c>
      <c r="E980" s="168">
        <f>IF(ISERROR(Personalplanung!H44/Monatsplanung!$E44*Monatsplanung!$P44),0,Personalplanung!H44/Monatsplanung!$E44*Monatsplanung!$P44)</f>
        <v>0</v>
      </c>
      <c r="F980" s="168">
        <f t="shared" si="305"/>
        <v>0</v>
      </c>
      <c r="G980" s="168">
        <f t="shared" si="306"/>
        <v>27.700831024930746</v>
      </c>
      <c r="H980" s="168">
        <f t="shared" si="307"/>
        <v>0</v>
      </c>
      <c r="I980" s="168">
        <f t="shared" si="308"/>
        <v>30</v>
      </c>
      <c r="J980" s="739"/>
      <c r="K980" s="168">
        <f>IF(J980&lt;&gt;"",J980,IF(ISERROR(Personalplanung!AB44/Monatsplanung!$E44*Monatsplanung!$G44),0,Personalplanung!AB44/Monatsplanung!$E44*Monatsplanung!$P44))</f>
        <v>0</v>
      </c>
      <c r="L980" s="740"/>
      <c r="M980" s="739"/>
      <c r="N980" s="168">
        <f>IF(M980&lt;&gt;"",M980,IF(ISERROR(Personalplanung!AC44/Monatsplanung!$E44*Monatsplanung!$G44),0,Personalplanung!AC44/Monatsplanung!$E44*Monatsplanung!$P44))</f>
        <v>0</v>
      </c>
      <c r="O980" s="740"/>
      <c r="P980" s="739"/>
      <c r="Q980" s="168">
        <f>IF(P980&lt;&gt;"",P980,IF(ISERROR(Personalplanung!AD44/Monatsplanung!$E44*Monatsplanung!$G44),0,Personalplanung!AD44/Monatsplanung!$E44*Monatsplanung!$P44))</f>
        <v>0</v>
      </c>
      <c r="R980" s="740"/>
      <c r="S980" s="739"/>
      <c r="T980" s="168">
        <f>IF(S980&lt;&gt;"",S980,IF(ISERROR(Personalplanung!AE44/Monatsplanung!$E44*Monatsplanung!$G44),0,Personalplanung!AE44/Monatsplanung!$E44*Monatsplanung!$P44))</f>
        <v>0</v>
      </c>
      <c r="U980" s="740"/>
      <c r="V980" s="168">
        <f t="shared" si="309"/>
        <v>0</v>
      </c>
      <c r="W980" s="168">
        <f>IF(ISERROR(Personalplanung!P44/Monatsplanung!$E44*Monatsplanung!$P44),0,Personalplanung!P44/Monatsplanung!$E44*Monatsplanung!$P44)</f>
        <v>0</v>
      </c>
      <c r="X980" s="168">
        <f>IF(ISERROR(Personalplanung!Q44/Monatsplanung!$E44*Monatsplanung!$P44),0,Personalplanung!Q44/Monatsplanung!$E44*Monatsplanung!$P44)</f>
        <v>0</v>
      </c>
      <c r="Y980" s="168">
        <f>IF(ISERROR(Personalplanung!R44/T1292*Stundencontrolling!T980),0,Personalplanung!R44/T1292*Stundencontrolling!T980)</f>
        <v>0</v>
      </c>
      <c r="Z980" s="168">
        <f>IF(ISERROR(Personalplanung!S44/Monatsplanung!$E44*Monatsplanung!$P44),0,Personalplanung!S44/Monatsplanung!$E44*Monatsplanung!$P44)</f>
        <v>0</v>
      </c>
      <c r="AA980" s="80">
        <f t="shared" si="310"/>
        <v>0</v>
      </c>
      <c r="AB980" s="102">
        <f t="shared" si="311"/>
        <v>0.1</v>
      </c>
      <c r="AC980" s="103">
        <f t="shared" si="312"/>
        <v>0</v>
      </c>
      <c r="AD980" s="103">
        <f t="shared" si="313"/>
        <v>0</v>
      </c>
      <c r="AE980" s="81">
        <f t="shared" si="314"/>
        <v>0</v>
      </c>
      <c r="AF980" s="539"/>
      <c r="AG980" s="104">
        <f t="shared" si="315"/>
        <v>1</v>
      </c>
      <c r="AH980" s="7">
        <f t="shared" si="316"/>
        <v>0</v>
      </c>
      <c r="AI980" s="6">
        <f t="shared" si="317"/>
        <v>0</v>
      </c>
      <c r="AJ980" s="73">
        <f t="shared" si="318"/>
        <v>0</v>
      </c>
      <c r="AK980" s="539"/>
      <c r="AL980" s="748"/>
      <c r="AM980" s="748"/>
    </row>
    <row r="981" spans="2:39" x14ac:dyDescent="0.2">
      <c r="B981" s="101" t="str">
        <f t="shared" si="303"/>
        <v/>
      </c>
      <c r="C981" s="168">
        <f>IF(ISERROR(Personalplanung!F45/Monatsplanung!$E45*Monatsplanung!$P45),0,Personalplanung!F45/Monatsplanung!$E45*Monatsplanung!$P45)</f>
        <v>0</v>
      </c>
      <c r="D981" s="168">
        <f t="shared" si="304"/>
        <v>0</v>
      </c>
      <c r="E981" s="168">
        <f>IF(ISERROR(Personalplanung!H45/Monatsplanung!$E45*Monatsplanung!$P45),0,Personalplanung!H45/Monatsplanung!$E45*Monatsplanung!$P45)</f>
        <v>0</v>
      </c>
      <c r="F981" s="168">
        <f t="shared" si="305"/>
        <v>0</v>
      </c>
      <c r="G981" s="168">
        <f t="shared" si="306"/>
        <v>27.700831024930746</v>
      </c>
      <c r="H981" s="168">
        <f t="shared" si="307"/>
        <v>0</v>
      </c>
      <c r="I981" s="168">
        <f t="shared" si="308"/>
        <v>30</v>
      </c>
      <c r="J981" s="739"/>
      <c r="K981" s="168">
        <f>IF(J981&lt;&gt;"",J981,IF(ISERROR(Personalplanung!AB45/Monatsplanung!$E45*Monatsplanung!$G45),0,Personalplanung!AB45/Monatsplanung!$E45*Monatsplanung!$P45))</f>
        <v>0</v>
      </c>
      <c r="L981" s="740"/>
      <c r="M981" s="739"/>
      <c r="N981" s="168">
        <f>IF(M981&lt;&gt;"",M981,IF(ISERROR(Personalplanung!AC45/Monatsplanung!$E45*Monatsplanung!$G45),0,Personalplanung!AC45/Monatsplanung!$E45*Monatsplanung!$P45))</f>
        <v>0</v>
      </c>
      <c r="O981" s="740"/>
      <c r="P981" s="739"/>
      <c r="Q981" s="168">
        <f>IF(P981&lt;&gt;"",P981,IF(ISERROR(Personalplanung!AD45/Monatsplanung!$E45*Monatsplanung!$G45),0,Personalplanung!AD45/Monatsplanung!$E45*Monatsplanung!$P45))</f>
        <v>0</v>
      </c>
      <c r="R981" s="740"/>
      <c r="S981" s="739"/>
      <c r="T981" s="168">
        <f>IF(S981&lt;&gt;"",S981,IF(ISERROR(Personalplanung!AE45/Monatsplanung!$E45*Monatsplanung!$G45),0,Personalplanung!AE45/Monatsplanung!$E45*Monatsplanung!$P45))</f>
        <v>0</v>
      </c>
      <c r="U981" s="740"/>
      <c r="V981" s="168">
        <f t="shared" si="309"/>
        <v>0</v>
      </c>
      <c r="W981" s="168">
        <f>IF(ISERROR(Personalplanung!P45/Monatsplanung!$E45*Monatsplanung!$P45),0,Personalplanung!P45/Monatsplanung!$E45*Monatsplanung!$P45)</f>
        <v>0</v>
      </c>
      <c r="X981" s="168">
        <f>IF(ISERROR(Personalplanung!Q45/Monatsplanung!$E45*Monatsplanung!$P45),0,Personalplanung!Q45/Monatsplanung!$E45*Monatsplanung!$P45)</f>
        <v>0</v>
      </c>
      <c r="Y981" s="168">
        <f>IF(ISERROR(Personalplanung!R45/T1293*Stundencontrolling!T981),0,Personalplanung!R45/T1293*Stundencontrolling!T981)</f>
        <v>0</v>
      </c>
      <c r="Z981" s="168">
        <f>IF(ISERROR(Personalplanung!S45/Monatsplanung!$E45*Monatsplanung!$P45),0,Personalplanung!S45/Monatsplanung!$E45*Monatsplanung!$P45)</f>
        <v>0</v>
      </c>
      <c r="AA981" s="80">
        <f t="shared" si="310"/>
        <v>0</v>
      </c>
      <c r="AB981" s="102">
        <f t="shared" si="311"/>
        <v>0.1</v>
      </c>
      <c r="AC981" s="103">
        <f t="shared" si="312"/>
        <v>0</v>
      </c>
      <c r="AD981" s="103">
        <f t="shared" si="313"/>
        <v>0</v>
      </c>
      <c r="AE981" s="81">
        <f t="shared" si="314"/>
        <v>0</v>
      </c>
      <c r="AF981" s="539"/>
      <c r="AG981" s="104">
        <f t="shared" si="315"/>
        <v>1</v>
      </c>
      <c r="AH981" s="7">
        <f t="shared" si="316"/>
        <v>0</v>
      </c>
      <c r="AI981" s="6">
        <f t="shared" si="317"/>
        <v>0</v>
      </c>
      <c r="AJ981" s="73">
        <f t="shared" si="318"/>
        <v>0</v>
      </c>
      <c r="AK981" s="539"/>
      <c r="AL981" s="748"/>
      <c r="AM981" s="748"/>
    </row>
    <row r="982" spans="2:39" x14ac:dyDescent="0.2">
      <c r="B982" s="101" t="str">
        <f t="shared" si="303"/>
        <v/>
      </c>
      <c r="C982" s="168">
        <f>IF(ISERROR(Personalplanung!F46/Monatsplanung!$E46*Monatsplanung!$P46),0,Personalplanung!F46/Monatsplanung!$E46*Monatsplanung!$P46)</f>
        <v>0</v>
      </c>
      <c r="D982" s="168">
        <f t="shared" si="304"/>
        <v>0</v>
      </c>
      <c r="E982" s="168">
        <f>IF(ISERROR(Personalplanung!H46/Monatsplanung!$E46*Monatsplanung!$P46),0,Personalplanung!H46/Monatsplanung!$E46*Monatsplanung!$P46)</f>
        <v>0</v>
      </c>
      <c r="F982" s="168">
        <f t="shared" si="305"/>
        <v>0</v>
      </c>
      <c r="G982" s="168">
        <f t="shared" si="306"/>
        <v>27.700831024930746</v>
      </c>
      <c r="H982" s="168">
        <f t="shared" si="307"/>
        <v>0</v>
      </c>
      <c r="I982" s="168">
        <f t="shared" si="308"/>
        <v>30</v>
      </c>
      <c r="J982" s="739"/>
      <c r="K982" s="168">
        <f>IF(J982&lt;&gt;"",J982,IF(ISERROR(Personalplanung!AB46/Monatsplanung!$E46*Monatsplanung!$G46),0,Personalplanung!AB46/Monatsplanung!$E46*Monatsplanung!$P46))</f>
        <v>0</v>
      </c>
      <c r="L982" s="740"/>
      <c r="M982" s="739"/>
      <c r="N982" s="168">
        <f>IF(M982&lt;&gt;"",M982,IF(ISERROR(Personalplanung!AC46/Monatsplanung!$E46*Monatsplanung!$G46),0,Personalplanung!AC46/Monatsplanung!$E46*Monatsplanung!$P46))</f>
        <v>0</v>
      </c>
      <c r="O982" s="740"/>
      <c r="P982" s="739"/>
      <c r="Q982" s="168">
        <f>IF(P982&lt;&gt;"",P982,IF(ISERROR(Personalplanung!AD46/Monatsplanung!$E46*Monatsplanung!$G46),0,Personalplanung!AD46/Monatsplanung!$E46*Monatsplanung!$P46))</f>
        <v>0</v>
      </c>
      <c r="R982" s="740"/>
      <c r="S982" s="739"/>
      <c r="T982" s="168">
        <f>IF(S982&lt;&gt;"",S982,IF(ISERROR(Personalplanung!AE46/Monatsplanung!$E46*Monatsplanung!$G46),0,Personalplanung!AE46/Monatsplanung!$E46*Monatsplanung!$P46))</f>
        <v>0</v>
      </c>
      <c r="U982" s="740"/>
      <c r="V982" s="168">
        <f t="shared" si="309"/>
        <v>0</v>
      </c>
      <c r="W982" s="168">
        <f>IF(ISERROR(Personalplanung!P46/Monatsplanung!$E46*Monatsplanung!$P46),0,Personalplanung!P46/Monatsplanung!$E46*Monatsplanung!$P46)</f>
        <v>0</v>
      </c>
      <c r="X982" s="168">
        <f>IF(ISERROR(Personalplanung!Q46/Monatsplanung!$E46*Monatsplanung!$P46),0,Personalplanung!Q46/Monatsplanung!$E46*Monatsplanung!$P46)</f>
        <v>0</v>
      </c>
      <c r="Y982" s="168">
        <f>IF(ISERROR(Personalplanung!R46/T1294*Stundencontrolling!T982),0,Personalplanung!R46/T1294*Stundencontrolling!T982)</f>
        <v>0</v>
      </c>
      <c r="Z982" s="168">
        <f>IF(ISERROR(Personalplanung!S46/Monatsplanung!$E46*Monatsplanung!$P46),0,Personalplanung!S46/Monatsplanung!$E46*Monatsplanung!$P46)</f>
        <v>0</v>
      </c>
      <c r="AA982" s="80">
        <f t="shared" si="310"/>
        <v>0</v>
      </c>
      <c r="AB982" s="102">
        <f t="shared" si="311"/>
        <v>0.1</v>
      </c>
      <c r="AC982" s="103">
        <f t="shared" si="312"/>
        <v>0</v>
      </c>
      <c r="AD982" s="103">
        <f t="shared" si="313"/>
        <v>0</v>
      </c>
      <c r="AE982" s="81">
        <f t="shared" si="314"/>
        <v>0</v>
      </c>
      <c r="AF982" s="539"/>
      <c r="AG982" s="104">
        <f t="shared" si="315"/>
        <v>1</v>
      </c>
      <c r="AH982" s="7">
        <f t="shared" si="316"/>
        <v>0</v>
      </c>
      <c r="AI982" s="6">
        <f t="shared" si="317"/>
        <v>0</v>
      </c>
      <c r="AJ982" s="73">
        <f t="shared" si="318"/>
        <v>0</v>
      </c>
      <c r="AK982" s="539"/>
      <c r="AL982" s="748"/>
      <c r="AM982" s="748"/>
    </row>
    <row r="983" spans="2:39" x14ac:dyDescent="0.2">
      <c r="B983" s="101" t="str">
        <f t="shared" si="303"/>
        <v/>
      </c>
      <c r="C983" s="168">
        <f>IF(ISERROR(Personalplanung!F47/Monatsplanung!$E47*Monatsplanung!$P47),0,Personalplanung!F47/Monatsplanung!$E47*Monatsplanung!$P47)</f>
        <v>0</v>
      </c>
      <c r="D983" s="168">
        <f t="shared" si="304"/>
        <v>0</v>
      </c>
      <c r="E983" s="168">
        <f>IF(ISERROR(Personalplanung!H47/Monatsplanung!$E47*Monatsplanung!$P47),0,Personalplanung!H47/Monatsplanung!$E47*Monatsplanung!$P47)</f>
        <v>0</v>
      </c>
      <c r="F983" s="168">
        <f t="shared" si="305"/>
        <v>0</v>
      </c>
      <c r="G983" s="168">
        <f t="shared" si="306"/>
        <v>27.700831024930746</v>
      </c>
      <c r="H983" s="168">
        <f t="shared" si="307"/>
        <v>0</v>
      </c>
      <c r="I983" s="168">
        <f t="shared" si="308"/>
        <v>30</v>
      </c>
      <c r="J983" s="739"/>
      <c r="K983" s="168">
        <f>IF(J983&lt;&gt;"",J983,IF(ISERROR(Personalplanung!AB47/Monatsplanung!$E47*Monatsplanung!$G47),0,Personalplanung!AB47/Monatsplanung!$E47*Monatsplanung!$P47))</f>
        <v>0</v>
      </c>
      <c r="L983" s="740"/>
      <c r="M983" s="739"/>
      <c r="N983" s="168">
        <f>IF(M983&lt;&gt;"",M983,IF(ISERROR(Personalplanung!AC47/Monatsplanung!$E47*Monatsplanung!$G47),0,Personalplanung!AC47/Monatsplanung!$E47*Monatsplanung!$P47))</f>
        <v>0</v>
      </c>
      <c r="O983" s="740"/>
      <c r="P983" s="739"/>
      <c r="Q983" s="168">
        <f>IF(P983&lt;&gt;"",P983,IF(ISERROR(Personalplanung!AD47/Monatsplanung!$E47*Monatsplanung!$G47),0,Personalplanung!AD47/Monatsplanung!$E47*Monatsplanung!$P47))</f>
        <v>0</v>
      </c>
      <c r="R983" s="740"/>
      <c r="S983" s="739"/>
      <c r="T983" s="168">
        <f>IF(S983&lt;&gt;"",S983,IF(ISERROR(Personalplanung!AE47/Monatsplanung!$E47*Monatsplanung!$G47),0,Personalplanung!AE47/Monatsplanung!$E47*Monatsplanung!$P47))</f>
        <v>0</v>
      </c>
      <c r="U983" s="740"/>
      <c r="V983" s="168">
        <f t="shared" si="309"/>
        <v>0</v>
      </c>
      <c r="W983" s="168">
        <f>IF(ISERROR(Personalplanung!P47/Monatsplanung!$E47*Monatsplanung!$P47),0,Personalplanung!P47/Monatsplanung!$E47*Monatsplanung!$P47)</f>
        <v>0</v>
      </c>
      <c r="X983" s="168">
        <f>IF(ISERROR(Personalplanung!Q47/Monatsplanung!$E47*Monatsplanung!$P47),0,Personalplanung!Q47/Monatsplanung!$E47*Monatsplanung!$P47)</f>
        <v>0</v>
      </c>
      <c r="Y983" s="168">
        <f>IF(ISERROR(Personalplanung!R47/T1295*Stundencontrolling!T983),0,Personalplanung!R47/T1295*Stundencontrolling!T983)</f>
        <v>0</v>
      </c>
      <c r="Z983" s="168">
        <f>IF(ISERROR(Personalplanung!S47/Monatsplanung!$E47*Monatsplanung!$P47),0,Personalplanung!S47/Monatsplanung!$E47*Monatsplanung!$P47)</f>
        <v>0</v>
      </c>
      <c r="AA983" s="80">
        <f t="shared" si="310"/>
        <v>0</v>
      </c>
      <c r="AB983" s="102">
        <f t="shared" si="311"/>
        <v>0.1</v>
      </c>
      <c r="AC983" s="103">
        <f t="shared" si="312"/>
        <v>0</v>
      </c>
      <c r="AD983" s="103">
        <f t="shared" si="313"/>
        <v>0</v>
      </c>
      <c r="AE983" s="81">
        <f t="shared" si="314"/>
        <v>0</v>
      </c>
      <c r="AF983" s="539"/>
      <c r="AG983" s="104">
        <f t="shared" si="315"/>
        <v>1</v>
      </c>
      <c r="AH983" s="7">
        <f t="shared" si="316"/>
        <v>0</v>
      </c>
      <c r="AI983" s="6">
        <f t="shared" si="317"/>
        <v>0</v>
      </c>
      <c r="AJ983" s="73">
        <f t="shared" si="318"/>
        <v>0</v>
      </c>
      <c r="AK983" s="539"/>
      <c r="AL983" s="748"/>
      <c r="AM983" s="748"/>
    </row>
    <row r="984" spans="2:39" x14ac:dyDescent="0.2">
      <c r="B984" s="101" t="str">
        <f t="shared" si="303"/>
        <v/>
      </c>
      <c r="C984" s="168">
        <f>IF(ISERROR(Personalplanung!F48/Monatsplanung!$E48*Monatsplanung!$P48),0,Personalplanung!F48/Monatsplanung!$E48*Monatsplanung!$P48)</f>
        <v>0</v>
      </c>
      <c r="D984" s="168">
        <f t="shared" si="304"/>
        <v>0</v>
      </c>
      <c r="E984" s="168">
        <f>IF(ISERROR(Personalplanung!H48/Monatsplanung!$E48*Monatsplanung!$P48),0,Personalplanung!H48/Monatsplanung!$E48*Monatsplanung!$P48)</f>
        <v>0</v>
      </c>
      <c r="F984" s="168">
        <f t="shared" si="305"/>
        <v>0</v>
      </c>
      <c r="G984" s="168">
        <f t="shared" si="306"/>
        <v>27.700831024930746</v>
      </c>
      <c r="H984" s="168">
        <f t="shared" si="307"/>
        <v>0</v>
      </c>
      <c r="I984" s="168">
        <f t="shared" si="308"/>
        <v>30</v>
      </c>
      <c r="J984" s="739"/>
      <c r="K984" s="168">
        <f>IF(J984&lt;&gt;"",J984,IF(ISERROR(Personalplanung!AB48/Monatsplanung!$E48*Monatsplanung!$G48),0,Personalplanung!AB48/Monatsplanung!$E48*Monatsplanung!$P48))</f>
        <v>0</v>
      </c>
      <c r="L984" s="740"/>
      <c r="M984" s="739"/>
      <c r="N984" s="168">
        <f>IF(M984&lt;&gt;"",M984,IF(ISERROR(Personalplanung!AC48/Monatsplanung!$E48*Monatsplanung!$G48),0,Personalplanung!AC48/Monatsplanung!$E48*Monatsplanung!$P48))</f>
        <v>0</v>
      </c>
      <c r="O984" s="740"/>
      <c r="P984" s="739"/>
      <c r="Q984" s="168">
        <f>IF(P984&lt;&gt;"",P984,IF(ISERROR(Personalplanung!AD48/Monatsplanung!$E48*Monatsplanung!$G48),0,Personalplanung!AD48/Monatsplanung!$E48*Monatsplanung!$P48))</f>
        <v>0</v>
      </c>
      <c r="R984" s="740"/>
      <c r="S984" s="739"/>
      <c r="T984" s="168">
        <f>IF(S984&lt;&gt;"",S984,IF(ISERROR(Personalplanung!AE48/Monatsplanung!$E48*Monatsplanung!$G48),0,Personalplanung!AE48/Monatsplanung!$E48*Monatsplanung!$P48))</f>
        <v>0</v>
      </c>
      <c r="U984" s="740"/>
      <c r="V984" s="168">
        <f t="shared" si="309"/>
        <v>0</v>
      </c>
      <c r="W984" s="168">
        <f>IF(ISERROR(Personalplanung!P48/Monatsplanung!$E48*Monatsplanung!$P48),0,Personalplanung!P48/Monatsplanung!$E48*Monatsplanung!$P48)</f>
        <v>0</v>
      </c>
      <c r="X984" s="168">
        <f>IF(ISERROR(Personalplanung!Q48/Monatsplanung!$E48*Monatsplanung!$P48),0,Personalplanung!Q48/Monatsplanung!$E48*Monatsplanung!$P48)</f>
        <v>0</v>
      </c>
      <c r="Y984" s="168">
        <f>IF(ISERROR(Personalplanung!R48/T1296*Stundencontrolling!T984),0,Personalplanung!R48/T1296*Stundencontrolling!T984)</f>
        <v>0</v>
      </c>
      <c r="Z984" s="168">
        <f>IF(ISERROR(Personalplanung!S48/Monatsplanung!$E48*Monatsplanung!$P48),0,Personalplanung!S48/Monatsplanung!$E48*Monatsplanung!$P48)</f>
        <v>0</v>
      </c>
      <c r="AA984" s="80">
        <f t="shared" si="310"/>
        <v>0</v>
      </c>
      <c r="AB984" s="102">
        <f t="shared" si="311"/>
        <v>0.1</v>
      </c>
      <c r="AC984" s="103">
        <f t="shared" si="312"/>
        <v>0</v>
      </c>
      <c r="AD984" s="103">
        <f t="shared" si="313"/>
        <v>0</v>
      </c>
      <c r="AE984" s="81">
        <f t="shared" si="314"/>
        <v>0</v>
      </c>
      <c r="AF984" s="539"/>
      <c r="AG984" s="104">
        <f t="shared" si="315"/>
        <v>1</v>
      </c>
      <c r="AH984" s="7">
        <f t="shared" si="316"/>
        <v>0</v>
      </c>
      <c r="AI984" s="6">
        <f t="shared" si="317"/>
        <v>0</v>
      </c>
      <c r="AJ984" s="73">
        <f t="shared" si="318"/>
        <v>0</v>
      </c>
      <c r="AK984" s="539"/>
      <c r="AL984" s="748"/>
      <c r="AM984" s="748"/>
    </row>
    <row r="985" spans="2:39" x14ac:dyDescent="0.2">
      <c r="B985" s="101" t="str">
        <f t="shared" si="303"/>
        <v/>
      </c>
      <c r="C985" s="168">
        <f>IF(ISERROR(Personalplanung!F49/Monatsplanung!$E49*Monatsplanung!$P49),0,Personalplanung!F49/Monatsplanung!$E49*Monatsplanung!$P49)</f>
        <v>0</v>
      </c>
      <c r="D985" s="168">
        <f t="shared" si="304"/>
        <v>0</v>
      </c>
      <c r="E985" s="168">
        <f>IF(ISERROR(Personalplanung!H49/Monatsplanung!$E49*Monatsplanung!$P49),0,Personalplanung!H49/Monatsplanung!$E49*Monatsplanung!$P49)</f>
        <v>0</v>
      </c>
      <c r="F985" s="168">
        <f t="shared" si="305"/>
        <v>0</v>
      </c>
      <c r="G985" s="168">
        <f t="shared" si="306"/>
        <v>27.700831024930746</v>
      </c>
      <c r="H985" s="168">
        <f t="shared" si="307"/>
        <v>0</v>
      </c>
      <c r="I985" s="168">
        <f t="shared" si="308"/>
        <v>30</v>
      </c>
      <c r="J985" s="739"/>
      <c r="K985" s="168">
        <f>IF(J985&lt;&gt;"",J985,IF(ISERROR(Personalplanung!AB49/Monatsplanung!$E49*Monatsplanung!$G49),0,Personalplanung!AB49/Monatsplanung!$E49*Monatsplanung!$P49))</f>
        <v>0</v>
      </c>
      <c r="L985" s="740"/>
      <c r="M985" s="739"/>
      <c r="N985" s="168">
        <f>IF(M985&lt;&gt;"",M985,IF(ISERROR(Personalplanung!AC49/Monatsplanung!$E49*Monatsplanung!$G49),0,Personalplanung!AC49/Monatsplanung!$E49*Monatsplanung!$P49))</f>
        <v>0</v>
      </c>
      <c r="O985" s="740"/>
      <c r="P985" s="739"/>
      <c r="Q985" s="168">
        <f>IF(P985&lt;&gt;"",P985,IF(ISERROR(Personalplanung!AD49/Monatsplanung!$E49*Monatsplanung!$G49),0,Personalplanung!AD49/Monatsplanung!$E49*Monatsplanung!$P49))</f>
        <v>0</v>
      </c>
      <c r="R985" s="740"/>
      <c r="S985" s="739"/>
      <c r="T985" s="168">
        <f>IF(S985&lt;&gt;"",S985,IF(ISERROR(Personalplanung!AE49/Monatsplanung!$E49*Monatsplanung!$G49),0,Personalplanung!AE49/Monatsplanung!$E49*Monatsplanung!$P49))</f>
        <v>0</v>
      </c>
      <c r="U985" s="740"/>
      <c r="V985" s="168">
        <f t="shared" si="309"/>
        <v>0</v>
      </c>
      <c r="W985" s="168">
        <f>IF(ISERROR(Personalplanung!P49/Monatsplanung!$E49*Monatsplanung!$P49),0,Personalplanung!P49/Monatsplanung!$E49*Monatsplanung!$P49)</f>
        <v>0</v>
      </c>
      <c r="X985" s="168">
        <f>IF(ISERROR(Personalplanung!Q49/Monatsplanung!$E49*Monatsplanung!$P49),0,Personalplanung!Q49/Monatsplanung!$E49*Monatsplanung!$P49)</f>
        <v>0</v>
      </c>
      <c r="Y985" s="168">
        <f>IF(ISERROR(Personalplanung!R49/T1297*Stundencontrolling!T985),0,Personalplanung!R49/T1297*Stundencontrolling!T985)</f>
        <v>0</v>
      </c>
      <c r="Z985" s="168">
        <f>IF(ISERROR(Personalplanung!S49/Monatsplanung!$E49*Monatsplanung!$P49),0,Personalplanung!S49/Monatsplanung!$E49*Monatsplanung!$P49)</f>
        <v>0</v>
      </c>
      <c r="AA985" s="80">
        <f t="shared" si="310"/>
        <v>0</v>
      </c>
      <c r="AB985" s="102">
        <f t="shared" si="311"/>
        <v>0.1</v>
      </c>
      <c r="AC985" s="103">
        <f t="shared" si="312"/>
        <v>0</v>
      </c>
      <c r="AD985" s="103">
        <f t="shared" si="313"/>
        <v>0</v>
      </c>
      <c r="AE985" s="81">
        <f t="shared" si="314"/>
        <v>0</v>
      </c>
      <c r="AF985" s="539"/>
      <c r="AG985" s="104">
        <f t="shared" si="315"/>
        <v>1</v>
      </c>
      <c r="AH985" s="7">
        <f t="shared" si="316"/>
        <v>0</v>
      </c>
      <c r="AI985" s="6">
        <f t="shared" si="317"/>
        <v>0</v>
      </c>
      <c r="AJ985" s="73">
        <f t="shared" si="318"/>
        <v>0</v>
      </c>
      <c r="AK985" s="539"/>
      <c r="AL985" s="748"/>
      <c r="AM985" s="748"/>
    </row>
    <row r="986" spans="2:39" x14ac:dyDescent="0.2">
      <c r="B986" s="101" t="str">
        <f t="shared" si="303"/>
        <v/>
      </c>
      <c r="C986" s="168">
        <f>IF(ISERROR(Personalplanung!F50/Monatsplanung!$E50*Monatsplanung!$P50),0,Personalplanung!F50/Monatsplanung!$E50*Monatsplanung!$P50)</f>
        <v>0</v>
      </c>
      <c r="D986" s="168">
        <f t="shared" si="304"/>
        <v>0</v>
      </c>
      <c r="E986" s="168">
        <f>IF(ISERROR(Personalplanung!H50/Monatsplanung!$E50*Monatsplanung!$P50),0,Personalplanung!H50/Monatsplanung!$E50*Monatsplanung!$P50)</f>
        <v>0</v>
      </c>
      <c r="F986" s="168">
        <f t="shared" si="305"/>
        <v>0</v>
      </c>
      <c r="G986" s="168">
        <f t="shared" si="306"/>
        <v>27.700831024930746</v>
      </c>
      <c r="H986" s="168">
        <f t="shared" si="307"/>
        <v>0</v>
      </c>
      <c r="I986" s="168">
        <f t="shared" si="308"/>
        <v>30</v>
      </c>
      <c r="J986" s="739"/>
      <c r="K986" s="168">
        <f>IF(J986&lt;&gt;"",J986,IF(ISERROR(Personalplanung!AB50/Monatsplanung!$E50*Monatsplanung!$G50),0,Personalplanung!AB50/Monatsplanung!$E50*Monatsplanung!$P50))</f>
        <v>0</v>
      </c>
      <c r="L986" s="740"/>
      <c r="M986" s="739"/>
      <c r="N986" s="168">
        <f>IF(M986&lt;&gt;"",M986,IF(ISERROR(Personalplanung!AC50/Monatsplanung!$E50*Monatsplanung!$G50),0,Personalplanung!AC50/Monatsplanung!$E50*Monatsplanung!$P50))</f>
        <v>0</v>
      </c>
      <c r="O986" s="740"/>
      <c r="P986" s="739"/>
      <c r="Q986" s="168">
        <f>IF(P986&lt;&gt;"",P986,IF(ISERROR(Personalplanung!AD50/Monatsplanung!$E50*Monatsplanung!$G50),0,Personalplanung!AD50/Monatsplanung!$E50*Monatsplanung!$P50))</f>
        <v>0</v>
      </c>
      <c r="R986" s="740"/>
      <c r="S986" s="739"/>
      <c r="T986" s="168">
        <f>IF(S986&lt;&gt;"",S986,IF(ISERROR(Personalplanung!AE50/Monatsplanung!$E50*Monatsplanung!$G50),0,Personalplanung!AE50/Monatsplanung!$E50*Monatsplanung!$P50))</f>
        <v>0</v>
      </c>
      <c r="U986" s="740"/>
      <c r="V986" s="168">
        <f t="shared" si="309"/>
        <v>0</v>
      </c>
      <c r="W986" s="168">
        <f>IF(ISERROR(Personalplanung!P50/Monatsplanung!$E50*Monatsplanung!$P50),0,Personalplanung!P50/Monatsplanung!$E50*Monatsplanung!$P50)</f>
        <v>0</v>
      </c>
      <c r="X986" s="168">
        <f>IF(ISERROR(Personalplanung!Q50/Monatsplanung!$E50*Monatsplanung!$P50),0,Personalplanung!Q50/Monatsplanung!$E50*Monatsplanung!$P50)</f>
        <v>0</v>
      </c>
      <c r="Y986" s="168">
        <f>IF(ISERROR(Personalplanung!R50/T1298*Stundencontrolling!T986),0,Personalplanung!R50/T1298*Stundencontrolling!T986)</f>
        <v>0</v>
      </c>
      <c r="Z986" s="168">
        <f>IF(ISERROR(Personalplanung!S50/Monatsplanung!$E50*Monatsplanung!$P50),0,Personalplanung!S50/Monatsplanung!$E50*Monatsplanung!$P50)</f>
        <v>0</v>
      </c>
      <c r="AA986" s="80">
        <f t="shared" si="310"/>
        <v>0</v>
      </c>
      <c r="AB986" s="102">
        <f t="shared" si="311"/>
        <v>0.1</v>
      </c>
      <c r="AC986" s="103">
        <f t="shared" si="312"/>
        <v>0</v>
      </c>
      <c r="AD986" s="103">
        <f t="shared" si="313"/>
        <v>0</v>
      </c>
      <c r="AE986" s="81">
        <f t="shared" si="314"/>
        <v>0</v>
      </c>
      <c r="AF986" s="539"/>
      <c r="AG986" s="104">
        <f t="shared" si="315"/>
        <v>1</v>
      </c>
      <c r="AH986" s="7">
        <f t="shared" si="316"/>
        <v>0</v>
      </c>
      <c r="AI986" s="6">
        <f t="shared" si="317"/>
        <v>0</v>
      </c>
      <c r="AJ986" s="73">
        <f t="shared" si="318"/>
        <v>0</v>
      </c>
      <c r="AK986" s="539"/>
      <c r="AL986" s="748"/>
      <c r="AM986" s="748"/>
    </row>
    <row r="987" spans="2:39" x14ac:dyDescent="0.2">
      <c r="B987" s="101" t="str">
        <f t="shared" si="303"/>
        <v/>
      </c>
      <c r="C987" s="168">
        <f>IF(ISERROR(Personalplanung!F51/Monatsplanung!$E51*Monatsplanung!$P51),0,Personalplanung!F51/Monatsplanung!$E51*Monatsplanung!$P51)</f>
        <v>0</v>
      </c>
      <c r="D987" s="168">
        <f t="shared" si="304"/>
        <v>0</v>
      </c>
      <c r="E987" s="168">
        <f>IF(ISERROR(Personalplanung!H51/Monatsplanung!$E51*Monatsplanung!$P51),0,Personalplanung!H51/Monatsplanung!$E51*Monatsplanung!$P51)</f>
        <v>0</v>
      </c>
      <c r="F987" s="168">
        <f t="shared" si="305"/>
        <v>0</v>
      </c>
      <c r="G987" s="168">
        <f t="shared" si="306"/>
        <v>27.700831024930746</v>
      </c>
      <c r="H987" s="168">
        <f t="shared" si="307"/>
        <v>0</v>
      </c>
      <c r="I987" s="168">
        <f t="shared" si="308"/>
        <v>30</v>
      </c>
      <c r="J987" s="739"/>
      <c r="K987" s="168">
        <f>IF(J987&lt;&gt;"",J987,IF(ISERROR(Personalplanung!AB51/Monatsplanung!$E51*Monatsplanung!$G51),0,Personalplanung!AB51/Monatsplanung!$E51*Monatsplanung!$P51))</f>
        <v>0</v>
      </c>
      <c r="L987" s="740"/>
      <c r="M987" s="739"/>
      <c r="N987" s="168">
        <f>IF(M987&lt;&gt;"",M987,IF(ISERROR(Personalplanung!AC51/Monatsplanung!$E51*Monatsplanung!$G51),0,Personalplanung!AC51/Monatsplanung!$E51*Monatsplanung!$P51))</f>
        <v>0</v>
      </c>
      <c r="O987" s="740"/>
      <c r="P987" s="739"/>
      <c r="Q987" s="168">
        <f>IF(P987&lt;&gt;"",P987,IF(ISERROR(Personalplanung!AD51/Monatsplanung!$E51*Monatsplanung!$G51),0,Personalplanung!AD51/Monatsplanung!$E51*Monatsplanung!$P51))</f>
        <v>0</v>
      </c>
      <c r="R987" s="740"/>
      <c r="S987" s="739"/>
      <c r="T987" s="168">
        <f>IF(S987&lt;&gt;"",S987,IF(ISERROR(Personalplanung!AE51/Monatsplanung!$E51*Monatsplanung!$G51),0,Personalplanung!AE51/Monatsplanung!$E51*Monatsplanung!$P51))</f>
        <v>0</v>
      </c>
      <c r="U987" s="740"/>
      <c r="V987" s="168">
        <f t="shared" si="309"/>
        <v>0</v>
      </c>
      <c r="W987" s="168">
        <f>IF(ISERROR(Personalplanung!P51/Monatsplanung!$E51*Monatsplanung!$P51),0,Personalplanung!P51/Monatsplanung!$E51*Monatsplanung!$P51)</f>
        <v>0</v>
      </c>
      <c r="X987" s="168">
        <f>IF(ISERROR(Personalplanung!Q51/Monatsplanung!$E51*Monatsplanung!$P51),0,Personalplanung!Q51/Monatsplanung!$E51*Monatsplanung!$P51)</f>
        <v>0</v>
      </c>
      <c r="Y987" s="168">
        <f>IF(ISERROR(Personalplanung!R51/T1299*Stundencontrolling!T987),0,Personalplanung!R51/T1299*Stundencontrolling!T987)</f>
        <v>0</v>
      </c>
      <c r="Z987" s="168">
        <f>IF(ISERROR(Personalplanung!S51/Monatsplanung!$E51*Monatsplanung!$P51),0,Personalplanung!S51/Monatsplanung!$E51*Monatsplanung!$P51)</f>
        <v>0</v>
      </c>
      <c r="AA987" s="80">
        <f t="shared" si="310"/>
        <v>0</v>
      </c>
      <c r="AB987" s="102">
        <f t="shared" si="311"/>
        <v>0.1</v>
      </c>
      <c r="AC987" s="103">
        <f t="shared" si="312"/>
        <v>0</v>
      </c>
      <c r="AD987" s="103">
        <f t="shared" si="313"/>
        <v>0</v>
      </c>
      <c r="AE987" s="81">
        <f t="shared" si="314"/>
        <v>0</v>
      </c>
      <c r="AF987" s="539"/>
      <c r="AG987" s="104">
        <f t="shared" si="315"/>
        <v>1</v>
      </c>
      <c r="AH987" s="7">
        <f t="shared" si="316"/>
        <v>0</v>
      </c>
      <c r="AI987" s="6">
        <f t="shared" si="317"/>
        <v>0</v>
      </c>
      <c r="AJ987" s="73">
        <f t="shared" si="318"/>
        <v>0</v>
      </c>
      <c r="AK987" s="539"/>
      <c r="AL987" s="748"/>
      <c r="AM987" s="748"/>
    </row>
    <row r="988" spans="2:39" x14ac:dyDescent="0.2">
      <c r="B988" s="101" t="str">
        <f t="shared" si="303"/>
        <v/>
      </c>
      <c r="C988" s="168">
        <f>IF(ISERROR(Personalplanung!F52/Monatsplanung!$E52*Monatsplanung!$P52),0,Personalplanung!F52/Monatsplanung!$E52*Monatsplanung!$P52)</f>
        <v>0</v>
      </c>
      <c r="D988" s="168">
        <f t="shared" si="304"/>
        <v>0</v>
      </c>
      <c r="E988" s="168">
        <f>IF(ISERROR(Personalplanung!H52/Monatsplanung!$E52*Monatsplanung!$P52),0,Personalplanung!H52/Monatsplanung!$E52*Monatsplanung!$P52)</f>
        <v>0</v>
      </c>
      <c r="F988" s="168">
        <f t="shared" si="305"/>
        <v>0</v>
      </c>
      <c r="G988" s="168">
        <f t="shared" si="306"/>
        <v>27.700831024930746</v>
      </c>
      <c r="H988" s="168">
        <f t="shared" si="307"/>
        <v>0</v>
      </c>
      <c r="I988" s="168">
        <f t="shared" si="308"/>
        <v>30</v>
      </c>
      <c r="J988" s="739"/>
      <c r="K988" s="168">
        <f>IF(J988&lt;&gt;"",J988,IF(ISERROR(Personalplanung!AB52/Monatsplanung!$E52*Monatsplanung!$G52),0,Personalplanung!AB52/Monatsplanung!$E52*Monatsplanung!$P52))</f>
        <v>0</v>
      </c>
      <c r="L988" s="740"/>
      <c r="M988" s="739"/>
      <c r="N988" s="168">
        <f>IF(M988&lt;&gt;"",M988,IF(ISERROR(Personalplanung!AC52/Monatsplanung!$E52*Monatsplanung!$G52),0,Personalplanung!AC52/Monatsplanung!$E52*Monatsplanung!$P52))</f>
        <v>0</v>
      </c>
      <c r="O988" s="740"/>
      <c r="P988" s="739"/>
      <c r="Q988" s="168">
        <f>IF(P988&lt;&gt;"",P988,IF(ISERROR(Personalplanung!AD52/Monatsplanung!$E52*Monatsplanung!$G52),0,Personalplanung!AD52/Monatsplanung!$E52*Monatsplanung!$P52))</f>
        <v>0</v>
      </c>
      <c r="R988" s="740"/>
      <c r="S988" s="739"/>
      <c r="T988" s="168">
        <f>IF(S988&lt;&gt;"",S988,IF(ISERROR(Personalplanung!AE52/Monatsplanung!$E52*Monatsplanung!$G52),0,Personalplanung!AE52/Monatsplanung!$E52*Monatsplanung!$P52))</f>
        <v>0</v>
      </c>
      <c r="U988" s="740"/>
      <c r="V988" s="168">
        <f t="shared" si="309"/>
        <v>0</v>
      </c>
      <c r="W988" s="168">
        <f>IF(ISERROR(Personalplanung!P52/Monatsplanung!$E52*Monatsplanung!$P52),0,Personalplanung!P52/Monatsplanung!$E52*Monatsplanung!$P52)</f>
        <v>0</v>
      </c>
      <c r="X988" s="168">
        <f>IF(ISERROR(Personalplanung!Q52/Monatsplanung!$E52*Monatsplanung!$P52),0,Personalplanung!Q52/Monatsplanung!$E52*Monatsplanung!$P52)</f>
        <v>0</v>
      </c>
      <c r="Y988" s="168">
        <f>IF(ISERROR(Personalplanung!R52/T1300*Stundencontrolling!T988),0,Personalplanung!R52/T1300*Stundencontrolling!T988)</f>
        <v>0</v>
      </c>
      <c r="Z988" s="168">
        <f>IF(ISERROR(Personalplanung!S52/Monatsplanung!$E52*Monatsplanung!$P52),0,Personalplanung!S52/Monatsplanung!$E52*Monatsplanung!$P52)</f>
        <v>0</v>
      </c>
      <c r="AA988" s="80">
        <f t="shared" si="310"/>
        <v>0</v>
      </c>
      <c r="AB988" s="102">
        <f t="shared" si="311"/>
        <v>0.1</v>
      </c>
      <c r="AC988" s="103">
        <f t="shared" si="312"/>
        <v>0</v>
      </c>
      <c r="AD988" s="103">
        <f t="shared" si="313"/>
        <v>0</v>
      </c>
      <c r="AE988" s="81">
        <f t="shared" si="314"/>
        <v>0</v>
      </c>
      <c r="AF988" s="539"/>
      <c r="AG988" s="104">
        <f t="shared" si="315"/>
        <v>1</v>
      </c>
      <c r="AH988" s="7">
        <f t="shared" si="316"/>
        <v>0</v>
      </c>
      <c r="AI988" s="6">
        <f t="shared" si="317"/>
        <v>0</v>
      </c>
      <c r="AJ988" s="73">
        <f t="shared" si="318"/>
        <v>0</v>
      </c>
      <c r="AK988" s="539"/>
      <c r="AL988" s="748"/>
      <c r="AM988" s="748"/>
    </row>
    <row r="989" spans="2:39" x14ac:dyDescent="0.2">
      <c r="B989" s="101" t="str">
        <f t="shared" si="303"/>
        <v/>
      </c>
      <c r="C989" s="168">
        <f>IF(ISERROR(Personalplanung!F53/Monatsplanung!$E53*Monatsplanung!$P53),0,Personalplanung!F53/Monatsplanung!$E53*Monatsplanung!$P53)</f>
        <v>0</v>
      </c>
      <c r="D989" s="168">
        <f t="shared" si="304"/>
        <v>0</v>
      </c>
      <c r="E989" s="168">
        <f>IF(ISERROR(Personalplanung!H53/Monatsplanung!$E53*Monatsplanung!$P53),0,Personalplanung!H53/Monatsplanung!$E53*Monatsplanung!$P53)</f>
        <v>0</v>
      </c>
      <c r="F989" s="168">
        <f t="shared" si="305"/>
        <v>0</v>
      </c>
      <c r="G989" s="168">
        <f t="shared" si="306"/>
        <v>27.700831024930746</v>
      </c>
      <c r="H989" s="168">
        <f t="shared" si="307"/>
        <v>0</v>
      </c>
      <c r="I989" s="168">
        <f t="shared" si="308"/>
        <v>30</v>
      </c>
      <c r="J989" s="739"/>
      <c r="K989" s="168">
        <f>IF(J989&lt;&gt;"",J989,IF(ISERROR(Personalplanung!AB53/Monatsplanung!$E53*Monatsplanung!$G53),0,Personalplanung!AB53/Monatsplanung!$E53*Monatsplanung!$P53))</f>
        <v>0</v>
      </c>
      <c r="L989" s="740"/>
      <c r="M989" s="739"/>
      <c r="N989" s="168">
        <f>IF(M989&lt;&gt;"",M989,IF(ISERROR(Personalplanung!AC53/Monatsplanung!$E53*Monatsplanung!$G53),0,Personalplanung!AC53/Monatsplanung!$E53*Monatsplanung!$P53))</f>
        <v>0</v>
      </c>
      <c r="O989" s="740"/>
      <c r="P989" s="739"/>
      <c r="Q989" s="168">
        <f>IF(P989&lt;&gt;"",P989,IF(ISERROR(Personalplanung!AD53/Monatsplanung!$E53*Monatsplanung!$G53),0,Personalplanung!AD53/Monatsplanung!$E53*Monatsplanung!$P53))</f>
        <v>0</v>
      </c>
      <c r="R989" s="740"/>
      <c r="S989" s="739"/>
      <c r="T989" s="168">
        <f>IF(S989&lt;&gt;"",S989,IF(ISERROR(Personalplanung!AE53/Monatsplanung!$E53*Monatsplanung!$G53),0,Personalplanung!AE53/Monatsplanung!$E53*Monatsplanung!$P53))</f>
        <v>0</v>
      </c>
      <c r="U989" s="740"/>
      <c r="V989" s="168">
        <f t="shared" si="309"/>
        <v>0</v>
      </c>
      <c r="W989" s="168">
        <f>IF(ISERROR(Personalplanung!P53/Monatsplanung!$E53*Monatsplanung!$P53),0,Personalplanung!P53/Monatsplanung!$E53*Monatsplanung!$P53)</f>
        <v>0</v>
      </c>
      <c r="X989" s="168">
        <f>IF(ISERROR(Personalplanung!Q53/Monatsplanung!$E53*Monatsplanung!$P53),0,Personalplanung!Q53/Monatsplanung!$E53*Monatsplanung!$P53)</f>
        <v>0</v>
      </c>
      <c r="Y989" s="168">
        <f>IF(ISERROR(Personalplanung!R53/T1301*Stundencontrolling!T989),0,Personalplanung!R53/T1301*Stundencontrolling!T989)</f>
        <v>0</v>
      </c>
      <c r="Z989" s="168">
        <f>IF(ISERROR(Personalplanung!S53/Monatsplanung!$E53*Monatsplanung!$P53),0,Personalplanung!S53/Monatsplanung!$E53*Monatsplanung!$P53)</f>
        <v>0</v>
      </c>
      <c r="AA989" s="80">
        <f t="shared" si="310"/>
        <v>0</v>
      </c>
      <c r="AB989" s="102">
        <f t="shared" si="311"/>
        <v>0.1</v>
      </c>
      <c r="AC989" s="103">
        <f t="shared" si="312"/>
        <v>0</v>
      </c>
      <c r="AD989" s="103">
        <f t="shared" si="313"/>
        <v>0</v>
      </c>
      <c r="AE989" s="81">
        <f t="shared" si="314"/>
        <v>0</v>
      </c>
      <c r="AF989" s="539"/>
      <c r="AG989" s="104">
        <f t="shared" si="315"/>
        <v>1</v>
      </c>
      <c r="AH989" s="7">
        <f t="shared" si="316"/>
        <v>0</v>
      </c>
      <c r="AI989" s="6">
        <f t="shared" si="317"/>
        <v>0</v>
      </c>
      <c r="AJ989" s="73">
        <f t="shared" si="318"/>
        <v>0</v>
      </c>
      <c r="AK989" s="539"/>
      <c r="AL989" s="748"/>
      <c r="AM989" s="748"/>
    </row>
    <row r="990" spans="2:39" x14ac:dyDescent="0.2">
      <c r="B990" s="101" t="str">
        <f t="shared" si="303"/>
        <v/>
      </c>
      <c r="C990" s="168">
        <f>IF(ISERROR(Personalplanung!F54/Monatsplanung!$E54*Monatsplanung!$P54),0,Personalplanung!F54/Monatsplanung!$E54*Monatsplanung!$P54)</f>
        <v>0</v>
      </c>
      <c r="D990" s="168">
        <f t="shared" si="304"/>
        <v>0</v>
      </c>
      <c r="E990" s="168">
        <f>IF(ISERROR(Personalplanung!H54/Monatsplanung!$E54*Monatsplanung!$P54),0,Personalplanung!H54/Monatsplanung!$E54*Monatsplanung!$P54)</f>
        <v>0</v>
      </c>
      <c r="F990" s="168">
        <f t="shared" si="305"/>
        <v>0</v>
      </c>
      <c r="G990" s="168">
        <f t="shared" si="306"/>
        <v>27.700831024930746</v>
      </c>
      <c r="H990" s="168">
        <f t="shared" si="307"/>
        <v>0</v>
      </c>
      <c r="I990" s="168">
        <f t="shared" si="308"/>
        <v>30</v>
      </c>
      <c r="J990" s="739"/>
      <c r="K990" s="168">
        <f>IF(J990&lt;&gt;"",J990,IF(ISERROR(Personalplanung!AB54/Monatsplanung!$E54*Monatsplanung!$G54),0,Personalplanung!AB54/Monatsplanung!$E54*Monatsplanung!$P54))</f>
        <v>0</v>
      </c>
      <c r="L990" s="740"/>
      <c r="M990" s="739"/>
      <c r="N990" s="168">
        <f>IF(M990&lt;&gt;"",M990,IF(ISERROR(Personalplanung!AC54/Monatsplanung!$E54*Monatsplanung!$G54),0,Personalplanung!AC54/Monatsplanung!$E54*Monatsplanung!$P54))</f>
        <v>0</v>
      </c>
      <c r="O990" s="740"/>
      <c r="P990" s="739"/>
      <c r="Q990" s="168">
        <f>IF(P990&lt;&gt;"",P990,IF(ISERROR(Personalplanung!AD54/Monatsplanung!$E54*Monatsplanung!$G54),0,Personalplanung!AD54/Monatsplanung!$E54*Monatsplanung!$P54))</f>
        <v>0</v>
      </c>
      <c r="R990" s="740"/>
      <c r="S990" s="739"/>
      <c r="T990" s="168">
        <f>IF(S990&lt;&gt;"",S990,IF(ISERROR(Personalplanung!AE54/Monatsplanung!$E54*Monatsplanung!$G54),0,Personalplanung!AE54/Monatsplanung!$E54*Monatsplanung!$P54))</f>
        <v>0</v>
      </c>
      <c r="U990" s="740"/>
      <c r="V990" s="168">
        <f t="shared" si="309"/>
        <v>0</v>
      </c>
      <c r="W990" s="168">
        <f>IF(ISERROR(Personalplanung!P54/Monatsplanung!$E54*Monatsplanung!$P54),0,Personalplanung!P54/Monatsplanung!$E54*Monatsplanung!$P54)</f>
        <v>0</v>
      </c>
      <c r="X990" s="168">
        <f>IF(ISERROR(Personalplanung!Q54/Monatsplanung!$E54*Monatsplanung!$P54),0,Personalplanung!Q54/Monatsplanung!$E54*Monatsplanung!$P54)</f>
        <v>0</v>
      </c>
      <c r="Y990" s="168">
        <f>IF(ISERROR(Personalplanung!R54/T1302*Stundencontrolling!T990),0,Personalplanung!R54/T1302*Stundencontrolling!T990)</f>
        <v>0</v>
      </c>
      <c r="Z990" s="168">
        <f>IF(ISERROR(Personalplanung!S54/Monatsplanung!$E54*Monatsplanung!$P54),0,Personalplanung!S54/Monatsplanung!$E54*Monatsplanung!$P54)</f>
        <v>0</v>
      </c>
      <c r="AA990" s="80">
        <f t="shared" si="310"/>
        <v>0</v>
      </c>
      <c r="AB990" s="102">
        <f t="shared" si="311"/>
        <v>0.1</v>
      </c>
      <c r="AC990" s="103">
        <f t="shared" si="312"/>
        <v>0</v>
      </c>
      <c r="AD990" s="103">
        <f t="shared" si="313"/>
        <v>0</v>
      </c>
      <c r="AE990" s="81">
        <f t="shared" si="314"/>
        <v>0</v>
      </c>
      <c r="AF990" s="539"/>
      <c r="AG990" s="104">
        <f t="shared" si="315"/>
        <v>1</v>
      </c>
      <c r="AH990" s="7">
        <f t="shared" si="316"/>
        <v>0</v>
      </c>
      <c r="AI990" s="6">
        <f t="shared" si="317"/>
        <v>0</v>
      </c>
      <c r="AJ990" s="73">
        <f t="shared" si="318"/>
        <v>0</v>
      </c>
      <c r="AK990" s="539"/>
      <c r="AL990" s="748"/>
      <c r="AM990" s="748"/>
    </row>
    <row r="991" spans="2:39" x14ac:dyDescent="0.2">
      <c r="B991" s="101" t="str">
        <f t="shared" si="303"/>
        <v/>
      </c>
      <c r="C991" s="168">
        <f>IF(ISERROR(Personalplanung!F55/Monatsplanung!$E55*Monatsplanung!$P55),0,Personalplanung!F55/Monatsplanung!$E55*Monatsplanung!$P55)</f>
        <v>0</v>
      </c>
      <c r="D991" s="168">
        <f t="shared" si="304"/>
        <v>0</v>
      </c>
      <c r="E991" s="168">
        <f>IF(ISERROR(Personalplanung!H55/Monatsplanung!$E55*Monatsplanung!$P55),0,Personalplanung!H55/Monatsplanung!$E55*Monatsplanung!$P55)</f>
        <v>0</v>
      </c>
      <c r="F991" s="168">
        <f t="shared" si="305"/>
        <v>0</v>
      </c>
      <c r="G991" s="168">
        <f t="shared" si="306"/>
        <v>27.700831024930746</v>
      </c>
      <c r="H991" s="168">
        <f t="shared" si="307"/>
        <v>0</v>
      </c>
      <c r="I991" s="168">
        <f t="shared" si="308"/>
        <v>30</v>
      </c>
      <c r="J991" s="739"/>
      <c r="K991" s="168">
        <f>IF(J991&lt;&gt;"",J991,IF(ISERROR(Personalplanung!AB55/Monatsplanung!$E55*Monatsplanung!$G55),0,Personalplanung!AB55/Monatsplanung!$E55*Monatsplanung!$P55))</f>
        <v>0</v>
      </c>
      <c r="L991" s="740"/>
      <c r="M991" s="739"/>
      <c r="N991" s="168">
        <f>IF(M991&lt;&gt;"",M991,IF(ISERROR(Personalplanung!AC55/Monatsplanung!$E55*Monatsplanung!$G55),0,Personalplanung!AC55/Monatsplanung!$E55*Monatsplanung!$P55))</f>
        <v>0</v>
      </c>
      <c r="O991" s="740"/>
      <c r="P991" s="739"/>
      <c r="Q991" s="168">
        <f>IF(P991&lt;&gt;"",P991,IF(ISERROR(Personalplanung!AD55/Monatsplanung!$E55*Monatsplanung!$G55),0,Personalplanung!AD55/Monatsplanung!$E55*Monatsplanung!$P55))</f>
        <v>0</v>
      </c>
      <c r="R991" s="740"/>
      <c r="S991" s="739"/>
      <c r="T991" s="168">
        <f>IF(S991&lt;&gt;"",S991,IF(ISERROR(Personalplanung!AE55/Monatsplanung!$E55*Monatsplanung!$G55),0,Personalplanung!AE55/Monatsplanung!$E55*Monatsplanung!$P55))</f>
        <v>0</v>
      </c>
      <c r="U991" s="740"/>
      <c r="V991" s="168">
        <f t="shared" si="309"/>
        <v>0</v>
      </c>
      <c r="W991" s="168">
        <f>IF(ISERROR(Personalplanung!P55/Monatsplanung!$E55*Monatsplanung!$P55),0,Personalplanung!P55/Monatsplanung!$E55*Monatsplanung!$P55)</f>
        <v>0</v>
      </c>
      <c r="X991" s="168">
        <f>IF(ISERROR(Personalplanung!Q55/Monatsplanung!$E55*Monatsplanung!$P55),0,Personalplanung!Q55/Monatsplanung!$E55*Monatsplanung!$P55)</f>
        <v>0</v>
      </c>
      <c r="Y991" s="168">
        <f>IF(ISERROR(Personalplanung!R55/T1303*Stundencontrolling!T991),0,Personalplanung!R55/T1303*Stundencontrolling!T991)</f>
        <v>0</v>
      </c>
      <c r="Z991" s="168">
        <f>IF(ISERROR(Personalplanung!S55/Monatsplanung!$E55*Monatsplanung!$P55),0,Personalplanung!S55/Monatsplanung!$E55*Monatsplanung!$P55)</f>
        <v>0</v>
      </c>
      <c r="AA991" s="80">
        <f t="shared" si="310"/>
        <v>0</v>
      </c>
      <c r="AB991" s="102">
        <f t="shared" si="311"/>
        <v>0.1</v>
      </c>
      <c r="AC991" s="103">
        <f t="shared" si="312"/>
        <v>0</v>
      </c>
      <c r="AD991" s="103">
        <f t="shared" si="313"/>
        <v>0</v>
      </c>
      <c r="AE991" s="81">
        <f t="shared" si="314"/>
        <v>0</v>
      </c>
      <c r="AF991" s="539"/>
      <c r="AG991" s="104">
        <f t="shared" si="315"/>
        <v>1</v>
      </c>
      <c r="AH991" s="7">
        <f t="shared" si="316"/>
        <v>0</v>
      </c>
      <c r="AI991" s="6">
        <f t="shared" si="317"/>
        <v>0</v>
      </c>
      <c r="AJ991" s="73">
        <f t="shared" si="318"/>
        <v>0</v>
      </c>
      <c r="AK991" s="539"/>
      <c r="AL991" s="748"/>
      <c r="AM991" s="748"/>
    </row>
    <row r="992" spans="2:39" x14ac:dyDescent="0.2">
      <c r="B992" s="101" t="str">
        <f t="shared" si="303"/>
        <v/>
      </c>
      <c r="C992" s="168">
        <f>IF(ISERROR(Personalplanung!F56/Monatsplanung!$E56*Monatsplanung!$P56),0,Personalplanung!F56/Monatsplanung!$E56*Monatsplanung!$P56)</f>
        <v>0</v>
      </c>
      <c r="D992" s="168">
        <f t="shared" si="304"/>
        <v>0</v>
      </c>
      <c r="E992" s="168">
        <f>IF(ISERROR(Personalplanung!H56/Monatsplanung!$E56*Monatsplanung!$P56),0,Personalplanung!H56/Monatsplanung!$E56*Monatsplanung!$P56)</f>
        <v>0</v>
      </c>
      <c r="F992" s="168">
        <f t="shared" si="305"/>
        <v>0</v>
      </c>
      <c r="G992" s="168">
        <f t="shared" si="306"/>
        <v>27.700831024930746</v>
      </c>
      <c r="H992" s="168">
        <f t="shared" si="307"/>
        <v>0</v>
      </c>
      <c r="I992" s="168">
        <f t="shared" si="308"/>
        <v>30</v>
      </c>
      <c r="J992" s="739"/>
      <c r="K992" s="168">
        <f>IF(J992&lt;&gt;"",J992,IF(ISERROR(Personalplanung!AB56/Monatsplanung!$E56*Monatsplanung!$G56),0,Personalplanung!AB56/Monatsplanung!$E56*Monatsplanung!$P56))</f>
        <v>0</v>
      </c>
      <c r="L992" s="740"/>
      <c r="M992" s="739"/>
      <c r="N992" s="168">
        <f>IF(M992&lt;&gt;"",M992,IF(ISERROR(Personalplanung!AC56/Monatsplanung!$E56*Monatsplanung!$G56),0,Personalplanung!AC56/Monatsplanung!$E56*Monatsplanung!$P56))</f>
        <v>0</v>
      </c>
      <c r="O992" s="740"/>
      <c r="P992" s="739"/>
      <c r="Q992" s="168">
        <f>IF(P992&lt;&gt;"",P992,IF(ISERROR(Personalplanung!AD56/Monatsplanung!$E56*Monatsplanung!$G56),0,Personalplanung!AD56/Monatsplanung!$E56*Monatsplanung!$P56))</f>
        <v>0</v>
      </c>
      <c r="R992" s="740"/>
      <c r="S992" s="739"/>
      <c r="T992" s="168">
        <f>IF(S992&lt;&gt;"",S992,IF(ISERROR(Personalplanung!AE56/Monatsplanung!$E56*Monatsplanung!$G56),0,Personalplanung!AE56/Monatsplanung!$E56*Monatsplanung!$P56))</f>
        <v>0</v>
      </c>
      <c r="U992" s="740"/>
      <c r="V992" s="168">
        <f t="shared" si="309"/>
        <v>0</v>
      </c>
      <c r="W992" s="168">
        <f>IF(ISERROR(Personalplanung!P56/Monatsplanung!$E56*Monatsplanung!$P56),0,Personalplanung!P56/Monatsplanung!$E56*Monatsplanung!$P56)</f>
        <v>0</v>
      </c>
      <c r="X992" s="168">
        <f>IF(ISERROR(Personalplanung!Q56/Monatsplanung!$E56*Monatsplanung!$P56),0,Personalplanung!Q56/Monatsplanung!$E56*Monatsplanung!$P56)</f>
        <v>0</v>
      </c>
      <c r="Y992" s="168">
        <f>IF(ISERROR(Personalplanung!R56/T1304*Stundencontrolling!T992),0,Personalplanung!R56/T1304*Stundencontrolling!T992)</f>
        <v>0</v>
      </c>
      <c r="Z992" s="168">
        <f>IF(ISERROR(Personalplanung!S56/Monatsplanung!$E56*Monatsplanung!$P56),0,Personalplanung!S56/Monatsplanung!$E56*Monatsplanung!$P56)</f>
        <v>0</v>
      </c>
      <c r="AA992" s="80">
        <f t="shared" si="310"/>
        <v>0</v>
      </c>
      <c r="AB992" s="102">
        <f t="shared" si="311"/>
        <v>0.1</v>
      </c>
      <c r="AC992" s="103">
        <f t="shared" si="312"/>
        <v>0</v>
      </c>
      <c r="AD992" s="103">
        <f t="shared" si="313"/>
        <v>0</v>
      </c>
      <c r="AE992" s="81">
        <f t="shared" si="314"/>
        <v>0</v>
      </c>
      <c r="AF992" s="539"/>
      <c r="AG992" s="104">
        <f t="shared" si="315"/>
        <v>1</v>
      </c>
      <c r="AH992" s="7">
        <f t="shared" si="316"/>
        <v>0</v>
      </c>
      <c r="AI992" s="6">
        <f t="shared" si="317"/>
        <v>0</v>
      </c>
      <c r="AJ992" s="73">
        <f t="shared" si="318"/>
        <v>0</v>
      </c>
      <c r="AK992" s="539"/>
      <c r="AL992" s="748"/>
      <c r="AM992" s="748"/>
    </row>
    <row r="993" spans="2:39" x14ac:dyDescent="0.2">
      <c r="B993" s="101" t="str">
        <f t="shared" si="303"/>
        <v/>
      </c>
      <c r="C993" s="168">
        <f>IF(ISERROR(Personalplanung!F57/Monatsplanung!$E57*Monatsplanung!$P57),0,Personalplanung!F57/Monatsplanung!$E57*Monatsplanung!$P57)</f>
        <v>0</v>
      </c>
      <c r="D993" s="168">
        <f t="shared" si="304"/>
        <v>0</v>
      </c>
      <c r="E993" s="168">
        <f>IF(ISERROR(Personalplanung!H57/Monatsplanung!$E57*Monatsplanung!$P57),0,Personalplanung!H57/Monatsplanung!$E57*Monatsplanung!$P57)</f>
        <v>0</v>
      </c>
      <c r="F993" s="168">
        <f t="shared" si="305"/>
        <v>0</v>
      </c>
      <c r="G993" s="168">
        <f t="shared" si="306"/>
        <v>27.700831024930746</v>
      </c>
      <c r="H993" s="168">
        <f t="shared" si="307"/>
        <v>0</v>
      </c>
      <c r="I993" s="168">
        <f t="shared" si="308"/>
        <v>30</v>
      </c>
      <c r="J993" s="739"/>
      <c r="K993" s="168">
        <f>IF(J993&lt;&gt;"",J993,IF(ISERROR(Personalplanung!AB57/Monatsplanung!$E57*Monatsplanung!$G57),0,Personalplanung!AB57/Monatsplanung!$E57*Monatsplanung!$P57))</f>
        <v>0</v>
      </c>
      <c r="L993" s="740"/>
      <c r="M993" s="739"/>
      <c r="N993" s="168">
        <f>IF(M993&lt;&gt;"",M993,IF(ISERROR(Personalplanung!AC57/Monatsplanung!$E57*Monatsplanung!$G57),0,Personalplanung!AC57/Monatsplanung!$E57*Monatsplanung!$P57))</f>
        <v>0</v>
      </c>
      <c r="O993" s="740"/>
      <c r="P993" s="739"/>
      <c r="Q993" s="168">
        <f>IF(P993&lt;&gt;"",P993,IF(ISERROR(Personalplanung!AD57/Monatsplanung!$E57*Monatsplanung!$G57),0,Personalplanung!AD57/Monatsplanung!$E57*Monatsplanung!$P57))</f>
        <v>0</v>
      </c>
      <c r="R993" s="740"/>
      <c r="S993" s="739"/>
      <c r="T993" s="168">
        <f>IF(S993&lt;&gt;"",S993,IF(ISERROR(Personalplanung!AE57/Monatsplanung!$E57*Monatsplanung!$G57),0,Personalplanung!AE57/Monatsplanung!$E57*Monatsplanung!$P57))</f>
        <v>0</v>
      </c>
      <c r="U993" s="740"/>
      <c r="V993" s="168">
        <f t="shared" si="309"/>
        <v>0</v>
      </c>
      <c r="W993" s="168">
        <f>IF(ISERROR(Personalplanung!P57/Monatsplanung!$E57*Monatsplanung!$P57),0,Personalplanung!P57/Monatsplanung!$E57*Monatsplanung!$P57)</f>
        <v>0</v>
      </c>
      <c r="X993" s="168">
        <f>IF(ISERROR(Personalplanung!Q57/Monatsplanung!$E57*Monatsplanung!$P57),0,Personalplanung!Q57/Monatsplanung!$E57*Monatsplanung!$P57)</f>
        <v>0</v>
      </c>
      <c r="Y993" s="168">
        <f>IF(ISERROR(Personalplanung!R57/T1305*Stundencontrolling!T993),0,Personalplanung!R57/T1305*Stundencontrolling!T993)</f>
        <v>0</v>
      </c>
      <c r="Z993" s="168">
        <f>IF(ISERROR(Personalplanung!S57/Monatsplanung!$E57*Monatsplanung!$P57),0,Personalplanung!S57/Monatsplanung!$E57*Monatsplanung!$P57)</f>
        <v>0</v>
      </c>
      <c r="AA993" s="80">
        <f t="shared" si="310"/>
        <v>0</v>
      </c>
      <c r="AB993" s="102">
        <f t="shared" si="311"/>
        <v>0.1</v>
      </c>
      <c r="AC993" s="103">
        <f t="shared" si="312"/>
        <v>0</v>
      </c>
      <c r="AD993" s="103">
        <f t="shared" si="313"/>
        <v>0</v>
      </c>
      <c r="AE993" s="81">
        <f t="shared" si="314"/>
        <v>0</v>
      </c>
      <c r="AF993" s="539"/>
      <c r="AG993" s="104">
        <f t="shared" si="315"/>
        <v>1</v>
      </c>
      <c r="AH993" s="7">
        <f t="shared" si="316"/>
        <v>0</v>
      </c>
      <c r="AI993" s="6">
        <f t="shared" si="317"/>
        <v>0</v>
      </c>
      <c r="AJ993" s="73">
        <f t="shared" si="318"/>
        <v>0</v>
      </c>
      <c r="AK993" s="539"/>
      <c r="AL993" s="748"/>
      <c r="AM993" s="748"/>
    </row>
    <row r="994" spans="2:39" x14ac:dyDescent="0.2">
      <c r="B994" s="101" t="str">
        <f t="shared" si="303"/>
        <v/>
      </c>
      <c r="C994" s="168">
        <f>IF(ISERROR(Personalplanung!F58/Monatsplanung!$E58*Monatsplanung!$P58),0,Personalplanung!F58/Monatsplanung!$E58*Monatsplanung!$P58)</f>
        <v>0</v>
      </c>
      <c r="D994" s="168">
        <f t="shared" si="304"/>
        <v>0</v>
      </c>
      <c r="E994" s="168">
        <f>IF(ISERROR(Personalplanung!H58/Monatsplanung!$E58*Monatsplanung!$P58),0,Personalplanung!H58/Monatsplanung!$E58*Monatsplanung!$P58)</f>
        <v>0</v>
      </c>
      <c r="F994" s="168">
        <f t="shared" si="305"/>
        <v>0</v>
      </c>
      <c r="G994" s="168">
        <f t="shared" si="306"/>
        <v>27.700831024930746</v>
      </c>
      <c r="H994" s="168">
        <f t="shared" si="307"/>
        <v>0</v>
      </c>
      <c r="I994" s="168">
        <f t="shared" si="308"/>
        <v>30</v>
      </c>
      <c r="J994" s="739"/>
      <c r="K994" s="168">
        <f>IF(J994&lt;&gt;"",J994,IF(ISERROR(Personalplanung!AB58/Monatsplanung!$E58*Monatsplanung!$G58),0,Personalplanung!AB58/Monatsplanung!$E58*Monatsplanung!$P58))</f>
        <v>0</v>
      </c>
      <c r="L994" s="740"/>
      <c r="M994" s="739"/>
      <c r="N994" s="168">
        <f>IF(M994&lt;&gt;"",M994,IF(ISERROR(Personalplanung!AC58/Monatsplanung!$E58*Monatsplanung!$G58),0,Personalplanung!AC58/Monatsplanung!$E58*Monatsplanung!$P58))</f>
        <v>0</v>
      </c>
      <c r="O994" s="740"/>
      <c r="P994" s="739"/>
      <c r="Q994" s="168">
        <f>IF(P994&lt;&gt;"",P994,IF(ISERROR(Personalplanung!AD58/Monatsplanung!$E58*Monatsplanung!$G58),0,Personalplanung!AD58/Monatsplanung!$E58*Monatsplanung!$P58))</f>
        <v>0</v>
      </c>
      <c r="R994" s="740"/>
      <c r="S994" s="739"/>
      <c r="T994" s="168">
        <f>IF(S994&lt;&gt;"",S994,IF(ISERROR(Personalplanung!AE58/Monatsplanung!$E58*Monatsplanung!$G58),0,Personalplanung!AE58/Monatsplanung!$E58*Monatsplanung!$P58))</f>
        <v>0</v>
      </c>
      <c r="U994" s="740"/>
      <c r="V994" s="168">
        <f t="shared" si="309"/>
        <v>0</v>
      </c>
      <c r="W994" s="168">
        <f>IF(ISERROR(Personalplanung!P58/Monatsplanung!$E58*Monatsplanung!$P58),0,Personalplanung!P58/Monatsplanung!$E58*Monatsplanung!$P58)</f>
        <v>0</v>
      </c>
      <c r="X994" s="168">
        <f>IF(ISERROR(Personalplanung!Q58/Monatsplanung!$E58*Monatsplanung!$P58),0,Personalplanung!Q58/Monatsplanung!$E58*Monatsplanung!$P58)</f>
        <v>0</v>
      </c>
      <c r="Y994" s="168">
        <f>IF(ISERROR(Personalplanung!R58/T1306*Stundencontrolling!T994),0,Personalplanung!R58/T1306*Stundencontrolling!T994)</f>
        <v>0</v>
      </c>
      <c r="Z994" s="168">
        <f>IF(ISERROR(Personalplanung!S58/Monatsplanung!$E58*Monatsplanung!$P58),0,Personalplanung!S58/Monatsplanung!$E58*Monatsplanung!$P58)</f>
        <v>0</v>
      </c>
      <c r="AA994" s="80">
        <f t="shared" si="310"/>
        <v>0</v>
      </c>
      <c r="AB994" s="102">
        <f t="shared" si="311"/>
        <v>0.1</v>
      </c>
      <c r="AC994" s="103">
        <f t="shared" si="312"/>
        <v>0</v>
      </c>
      <c r="AD994" s="103">
        <f t="shared" si="313"/>
        <v>0</v>
      </c>
      <c r="AE994" s="81">
        <f t="shared" si="314"/>
        <v>0</v>
      </c>
      <c r="AF994" s="539"/>
      <c r="AG994" s="104">
        <f t="shared" si="315"/>
        <v>1</v>
      </c>
      <c r="AH994" s="7">
        <f t="shared" si="316"/>
        <v>0</v>
      </c>
      <c r="AI994" s="6">
        <f t="shared" si="317"/>
        <v>0</v>
      </c>
      <c r="AJ994" s="73">
        <f t="shared" si="318"/>
        <v>0</v>
      </c>
      <c r="AK994" s="539"/>
      <c r="AL994" s="748"/>
      <c r="AM994" s="748"/>
    </row>
    <row r="995" spans="2:39" x14ac:dyDescent="0.2">
      <c r="B995" s="101" t="str">
        <f t="shared" si="303"/>
        <v/>
      </c>
      <c r="C995" s="168">
        <f>IF(ISERROR(Personalplanung!F59/Monatsplanung!$E59*Monatsplanung!$P59),0,Personalplanung!F59/Monatsplanung!$E59*Monatsplanung!$P59)</f>
        <v>0</v>
      </c>
      <c r="D995" s="168">
        <f t="shared" si="304"/>
        <v>0</v>
      </c>
      <c r="E995" s="168">
        <f>IF(ISERROR(Personalplanung!H59/Monatsplanung!$E59*Monatsplanung!$P59),0,Personalplanung!H59/Monatsplanung!$E59*Monatsplanung!$P59)</f>
        <v>0</v>
      </c>
      <c r="F995" s="168">
        <f t="shared" si="305"/>
        <v>0</v>
      </c>
      <c r="G995" s="168">
        <f t="shared" si="306"/>
        <v>27.700831024930746</v>
      </c>
      <c r="H995" s="168">
        <f t="shared" si="307"/>
        <v>0</v>
      </c>
      <c r="I995" s="168">
        <f t="shared" si="308"/>
        <v>30</v>
      </c>
      <c r="J995" s="739"/>
      <c r="K995" s="168">
        <f>IF(J995&lt;&gt;"",J995,IF(ISERROR(Personalplanung!AB59/Monatsplanung!$E59*Monatsplanung!$G59),0,Personalplanung!AB59/Monatsplanung!$E59*Monatsplanung!$P59))</f>
        <v>0</v>
      </c>
      <c r="L995" s="740"/>
      <c r="M995" s="739"/>
      <c r="N995" s="168">
        <f>IF(M995&lt;&gt;"",M995,IF(ISERROR(Personalplanung!AC59/Monatsplanung!$E59*Monatsplanung!$G59),0,Personalplanung!AC59/Monatsplanung!$E59*Monatsplanung!$P59))</f>
        <v>0</v>
      </c>
      <c r="O995" s="740"/>
      <c r="P995" s="739"/>
      <c r="Q995" s="168">
        <f>IF(P995&lt;&gt;"",P995,IF(ISERROR(Personalplanung!AD59/Monatsplanung!$E59*Monatsplanung!$G59),0,Personalplanung!AD59/Monatsplanung!$E59*Monatsplanung!$P59))</f>
        <v>0</v>
      </c>
      <c r="R995" s="740"/>
      <c r="S995" s="739"/>
      <c r="T995" s="168">
        <f>IF(S995&lt;&gt;"",S995,IF(ISERROR(Personalplanung!AE59/Monatsplanung!$E59*Monatsplanung!$G59),0,Personalplanung!AE59/Monatsplanung!$E59*Monatsplanung!$P59))</f>
        <v>0</v>
      </c>
      <c r="U995" s="740"/>
      <c r="V995" s="168">
        <f t="shared" si="309"/>
        <v>0</v>
      </c>
      <c r="W995" s="168">
        <f>IF(ISERROR(Personalplanung!P59/Monatsplanung!$E59*Monatsplanung!$P59),0,Personalplanung!P59/Monatsplanung!$E59*Monatsplanung!$P59)</f>
        <v>0</v>
      </c>
      <c r="X995" s="168">
        <f>IF(ISERROR(Personalplanung!Q59/Monatsplanung!$E59*Monatsplanung!$P59),0,Personalplanung!Q59/Monatsplanung!$E59*Monatsplanung!$P59)</f>
        <v>0</v>
      </c>
      <c r="Y995" s="168">
        <f>IF(ISERROR(Personalplanung!R59/T1307*Stundencontrolling!T995),0,Personalplanung!R59/T1307*Stundencontrolling!T995)</f>
        <v>0</v>
      </c>
      <c r="Z995" s="168">
        <f>IF(ISERROR(Personalplanung!S59/Monatsplanung!$E59*Monatsplanung!$P59),0,Personalplanung!S59/Monatsplanung!$E59*Monatsplanung!$P59)</f>
        <v>0</v>
      </c>
      <c r="AA995" s="80">
        <f t="shared" si="310"/>
        <v>0</v>
      </c>
      <c r="AB995" s="102">
        <f t="shared" si="311"/>
        <v>0.1</v>
      </c>
      <c r="AC995" s="103">
        <f t="shared" si="312"/>
        <v>0</v>
      </c>
      <c r="AD995" s="103">
        <f t="shared" si="313"/>
        <v>0</v>
      </c>
      <c r="AE995" s="81">
        <f t="shared" si="314"/>
        <v>0</v>
      </c>
      <c r="AF995" s="539"/>
      <c r="AG995" s="104">
        <f t="shared" si="315"/>
        <v>1</v>
      </c>
      <c r="AH995" s="7">
        <f t="shared" si="316"/>
        <v>0</v>
      </c>
      <c r="AI995" s="6">
        <f t="shared" si="317"/>
        <v>0</v>
      </c>
      <c r="AJ995" s="73">
        <f t="shared" si="318"/>
        <v>0</v>
      </c>
      <c r="AK995" s="539"/>
      <c r="AL995" s="748"/>
      <c r="AM995" s="748"/>
    </row>
    <row r="996" spans="2:39" x14ac:dyDescent="0.2">
      <c r="B996" s="101" t="str">
        <f t="shared" si="303"/>
        <v/>
      </c>
      <c r="C996" s="168">
        <f>IF(ISERROR(Personalplanung!F60/Monatsplanung!$E60*Monatsplanung!$P60),0,Personalplanung!F60/Monatsplanung!$E60*Monatsplanung!$P60)</f>
        <v>0</v>
      </c>
      <c r="D996" s="168">
        <f t="shared" si="304"/>
        <v>0</v>
      </c>
      <c r="E996" s="168">
        <f>IF(ISERROR(Personalplanung!H60/Monatsplanung!$E60*Monatsplanung!$P60),0,Personalplanung!H60/Monatsplanung!$E60*Monatsplanung!$P60)</f>
        <v>0</v>
      </c>
      <c r="F996" s="168">
        <f t="shared" si="305"/>
        <v>0</v>
      </c>
      <c r="G996" s="168">
        <f t="shared" si="306"/>
        <v>27.700831024930746</v>
      </c>
      <c r="H996" s="168">
        <f t="shared" si="307"/>
        <v>0</v>
      </c>
      <c r="I996" s="168">
        <f t="shared" si="308"/>
        <v>30</v>
      </c>
      <c r="J996" s="739"/>
      <c r="K996" s="168">
        <f>IF(J996&lt;&gt;"",J996,IF(ISERROR(Personalplanung!AB60/Monatsplanung!$E60*Monatsplanung!$G60),0,Personalplanung!AB60/Monatsplanung!$E60*Monatsplanung!$P60))</f>
        <v>0</v>
      </c>
      <c r="L996" s="740"/>
      <c r="M996" s="739"/>
      <c r="N996" s="168">
        <f>IF(M996&lt;&gt;"",M996,IF(ISERROR(Personalplanung!AC60/Monatsplanung!$E60*Monatsplanung!$G60),0,Personalplanung!AC60/Monatsplanung!$E60*Monatsplanung!$P60))</f>
        <v>0</v>
      </c>
      <c r="O996" s="740"/>
      <c r="P996" s="739"/>
      <c r="Q996" s="168">
        <f>IF(P996&lt;&gt;"",P996,IF(ISERROR(Personalplanung!AD60/Monatsplanung!$E60*Monatsplanung!$G60),0,Personalplanung!AD60/Monatsplanung!$E60*Monatsplanung!$P60))</f>
        <v>0</v>
      </c>
      <c r="R996" s="740"/>
      <c r="S996" s="739"/>
      <c r="T996" s="168">
        <f>IF(S996&lt;&gt;"",S996,IF(ISERROR(Personalplanung!AE60/Monatsplanung!$E60*Monatsplanung!$G60),0,Personalplanung!AE60/Monatsplanung!$E60*Monatsplanung!$P60))</f>
        <v>0</v>
      </c>
      <c r="U996" s="740"/>
      <c r="V996" s="168">
        <f t="shared" si="309"/>
        <v>0</v>
      </c>
      <c r="W996" s="168">
        <f>IF(ISERROR(Personalplanung!P60/Monatsplanung!$E60*Monatsplanung!$P60),0,Personalplanung!P60/Monatsplanung!$E60*Monatsplanung!$P60)</f>
        <v>0</v>
      </c>
      <c r="X996" s="168">
        <f>IF(ISERROR(Personalplanung!Q60/Monatsplanung!$E60*Monatsplanung!$P60),0,Personalplanung!Q60/Monatsplanung!$E60*Monatsplanung!$P60)</f>
        <v>0</v>
      </c>
      <c r="Y996" s="168">
        <f>IF(ISERROR(Personalplanung!R60/T1308*Stundencontrolling!T996),0,Personalplanung!R60/T1308*Stundencontrolling!T996)</f>
        <v>0</v>
      </c>
      <c r="Z996" s="168">
        <f>IF(ISERROR(Personalplanung!S60/Monatsplanung!$E60*Monatsplanung!$P60),0,Personalplanung!S60/Monatsplanung!$E60*Monatsplanung!$P60)</f>
        <v>0</v>
      </c>
      <c r="AA996" s="80">
        <f t="shared" si="310"/>
        <v>0</v>
      </c>
      <c r="AB996" s="102">
        <f t="shared" si="311"/>
        <v>0.1</v>
      </c>
      <c r="AC996" s="103">
        <f t="shared" si="312"/>
        <v>0</v>
      </c>
      <c r="AD996" s="103">
        <f t="shared" si="313"/>
        <v>0</v>
      </c>
      <c r="AE996" s="81">
        <f t="shared" si="314"/>
        <v>0</v>
      </c>
      <c r="AF996" s="539"/>
      <c r="AG996" s="104">
        <f t="shared" si="315"/>
        <v>1</v>
      </c>
      <c r="AH996" s="7">
        <f t="shared" si="316"/>
        <v>0</v>
      </c>
      <c r="AI996" s="6">
        <f t="shared" si="317"/>
        <v>0</v>
      </c>
      <c r="AJ996" s="73">
        <f t="shared" si="318"/>
        <v>0</v>
      </c>
      <c r="AK996" s="539"/>
      <c r="AL996" s="748"/>
      <c r="AM996" s="748"/>
    </row>
    <row r="997" spans="2:39" x14ac:dyDescent="0.2">
      <c r="B997" s="101" t="str">
        <f t="shared" si="303"/>
        <v/>
      </c>
      <c r="C997" s="168">
        <f>IF(ISERROR(Personalplanung!F61/Monatsplanung!$E61*Monatsplanung!$P61),0,Personalplanung!F61/Monatsplanung!$E61*Monatsplanung!$P61)</f>
        <v>0</v>
      </c>
      <c r="D997" s="168">
        <f t="shared" si="304"/>
        <v>0</v>
      </c>
      <c r="E997" s="168">
        <f>IF(ISERROR(Personalplanung!H61/Monatsplanung!$E61*Monatsplanung!$P61),0,Personalplanung!H61/Monatsplanung!$E61*Monatsplanung!$P61)</f>
        <v>0</v>
      </c>
      <c r="F997" s="168">
        <f t="shared" si="305"/>
        <v>0</v>
      </c>
      <c r="G997" s="168">
        <f t="shared" si="306"/>
        <v>27.700831024930746</v>
      </c>
      <c r="H997" s="168">
        <f t="shared" si="307"/>
        <v>0</v>
      </c>
      <c r="I997" s="168">
        <f t="shared" si="308"/>
        <v>30</v>
      </c>
      <c r="J997" s="739"/>
      <c r="K997" s="168">
        <f>IF(J997&lt;&gt;"",J997,IF(ISERROR(Personalplanung!AB61/Monatsplanung!$E61*Monatsplanung!$G61),0,Personalplanung!AB61/Monatsplanung!$E61*Monatsplanung!$P61))</f>
        <v>0</v>
      </c>
      <c r="L997" s="740"/>
      <c r="M997" s="739"/>
      <c r="N997" s="168">
        <f>IF(M997&lt;&gt;"",M997,IF(ISERROR(Personalplanung!AC61/Monatsplanung!$E61*Monatsplanung!$G61),0,Personalplanung!AC61/Monatsplanung!$E61*Monatsplanung!$P61))</f>
        <v>0</v>
      </c>
      <c r="O997" s="740"/>
      <c r="P997" s="739"/>
      <c r="Q997" s="168">
        <f>IF(P997&lt;&gt;"",P997,IF(ISERROR(Personalplanung!AD61/Monatsplanung!$E61*Monatsplanung!$G61),0,Personalplanung!AD61/Monatsplanung!$E61*Monatsplanung!$P61))</f>
        <v>0</v>
      </c>
      <c r="R997" s="740"/>
      <c r="S997" s="739"/>
      <c r="T997" s="168">
        <f>IF(S997&lt;&gt;"",S997,IF(ISERROR(Personalplanung!AE61/Monatsplanung!$E61*Monatsplanung!$G61),0,Personalplanung!AE61/Monatsplanung!$E61*Monatsplanung!$P61))</f>
        <v>0</v>
      </c>
      <c r="U997" s="740"/>
      <c r="V997" s="168">
        <f t="shared" si="309"/>
        <v>0</v>
      </c>
      <c r="W997" s="168">
        <f>IF(ISERROR(Personalplanung!P61/Monatsplanung!$E61*Monatsplanung!$P61),0,Personalplanung!P61/Monatsplanung!$E61*Monatsplanung!$P61)</f>
        <v>0</v>
      </c>
      <c r="X997" s="168">
        <f>IF(ISERROR(Personalplanung!Q61/Monatsplanung!$E61*Monatsplanung!$P61),0,Personalplanung!Q61/Monatsplanung!$E61*Monatsplanung!$P61)</f>
        <v>0</v>
      </c>
      <c r="Y997" s="168">
        <f>IF(ISERROR(Personalplanung!R61/T1309*Stundencontrolling!T997),0,Personalplanung!R61/T1309*Stundencontrolling!T997)</f>
        <v>0</v>
      </c>
      <c r="Z997" s="168">
        <f>IF(ISERROR(Personalplanung!S61/Monatsplanung!$E61*Monatsplanung!$P61),0,Personalplanung!S61/Monatsplanung!$E61*Monatsplanung!$P61)</f>
        <v>0</v>
      </c>
      <c r="AA997" s="80">
        <f t="shared" si="310"/>
        <v>0</v>
      </c>
      <c r="AB997" s="102">
        <f t="shared" si="311"/>
        <v>0.1</v>
      </c>
      <c r="AC997" s="103">
        <f t="shared" si="312"/>
        <v>0</v>
      </c>
      <c r="AD997" s="103">
        <f t="shared" si="313"/>
        <v>0</v>
      </c>
      <c r="AE997" s="81">
        <f t="shared" si="314"/>
        <v>0</v>
      </c>
      <c r="AF997" s="539"/>
      <c r="AG997" s="104">
        <f t="shared" si="315"/>
        <v>1</v>
      </c>
      <c r="AH997" s="7">
        <f t="shared" si="316"/>
        <v>0</v>
      </c>
      <c r="AI997" s="6">
        <f t="shared" si="317"/>
        <v>0</v>
      </c>
      <c r="AJ997" s="73">
        <f t="shared" si="318"/>
        <v>0</v>
      </c>
      <c r="AK997" s="539"/>
      <c r="AL997" s="748"/>
      <c r="AM997" s="748"/>
    </row>
    <row r="998" spans="2:39" x14ac:dyDescent="0.2">
      <c r="B998" s="101" t="str">
        <f t="shared" si="303"/>
        <v/>
      </c>
      <c r="C998" s="168">
        <f>IF(ISERROR(Personalplanung!F62/Monatsplanung!$E62*Monatsplanung!$P62),0,Personalplanung!F62/Monatsplanung!$E62*Monatsplanung!$P62)</f>
        <v>0</v>
      </c>
      <c r="D998" s="168">
        <f t="shared" si="304"/>
        <v>0</v>
      </c>
      <c r="E998" s="168">
        <f>IF(ISERROR(Personalplanung!H62/Monatsplanung!$E62*Monatsplanung!$P62),0,Personalplanung!H62/Monatsplanung!$E62*Monatsplanung!$P62)</f>
        <v>0</v>
      </c>
      <c r="F998" s="168">
        <f t="shared" si="305"/>
        <v>0</v>
      </c>
      <c r="G998" s="168">
        <f t="shared" si="306"/>
        <v>27.700831024930746</v>
      </c>
      <c r="H998" s="168">
        <f t="shared" si="307"/>
        <v>0</v>
      </c>
      <c r="I998" s="168">
        <f t="shared" si="308"/>
        <v>30</v>
      </c>
      <c r="J998" s="739"/>
      <c r="K998" s="168">
        <f>IF(J998&lt;&gt;"",J998,IF(ISERROR(Personalplanung!AB62/Monatsplanung!$E62*Monatsplanung!$G62),0,Personalplanung!AB62/Monatsplanung!$E62*Monatsplanung!$P62))</f>
        <v>0</v>
      </c>
      <c r="L998" s="740"/>
      <c r="M998" s="739"/>
      <c r="N998" s="168">
        <f>IF(M998&lt;&gt;"",M998,IF(ISERROR(Personalplanung!AC62/Monatsplanung!$E62*Monatsplanung!$G62),0,Personalplanung!AC62/Monatsplanung!$E62*Monatsplanung!$P62))</f>
        <v>0</v>
      </c>
      <c r="O998" s="740"/>
      <c r="P998" s="739"/>
      <c r="Q998" s="168">
        <f>IF(P998&lt;&gt;"",P998,IF(ISERROR(Personalplanung!AD62/Monatsplanung!$E62*Monatsplanung!$G62),0,Personalplanung!AD62/Monatsplanung!$E62*Monatsplanung!$P62))</f>
        <v>0</v>
      </c>
      <c r="R998" s="740"/>
      <c r="S998" s="739"/>
      <c r="T998" s="168">
        <f>IF(S998&lt;&gt;"",S998,IF(ISERROR(Personalplanung!AE62/Monatsplanung!$E62*Monatsplanung!$G62),0,Personalplanung!AE62/Monatsplanung!$E62*Monatsplanung!$P62))</f>
        <v>0</v>
      </c>
      <c r="U998" s="740"/>
      <c r="V998" s="168">
        <f t="shared" si="309"/>
        <v>0</v>
      </c>
      <c r="W998" s="168">
        <f>IF(ISERROR(Personalplanung!P62/Monatsplanung!$E62*Monatsplanung!$P62),0,Personalplanung!P62/Monatsplanung!$E62*Monatsplanung!$P62)</f>
        <v>0</v>
      </c>
      <c r="X998" s="168">
        <f>IF(ISERROR(Personalplanung!Q62/Monatsplanung!$E62*Monatsplanung!$P62),0,Personalplanung!Q62/Monatsplanung!$E62*Monatsplanung!$P62)</f>
        <v>0</v>
      </c>
      <c r="Y998" s="168">
        <f>IF(ISERROR(Personalplanung!R62/T1310*Stundencontrolling!T998),0,Personalplanung!R62/T1310*Stundencontrolling!T998)</f>
        <v>0</v>
      </c>
      <c r="Z998" s="168">
        <f>IF(ISERROR(Personalplanung!S62/Monatsplanung!$E62*Monatsplanung!$P62),0,Personalplanung!S62/Monatsplanung!$E62*Monatsplanung!$P62)</f>
        <v>0</v>
      </c>
      <c r="AA998" s="80">
        <f t="shared" si="310"/>
        <v>0</v>
      </c>
      <c r="AB998" s="102">
        <f t="shared" si="311"/>
        <v>0.1</v>
      </c>
      <c r="AC998" s="103">
        <f t="shared" si="312"/>
        <v>0</v>
      </c>
      <c r="AD998" s="103">
        <f t="shared" si="313"/>
        <v>0</v>
      </c>
      <c r="AE998" s="81">
        <f t="shared" si="314"/>
        <v>0</v>
      </c>
      <c r="AF998" s="539"/>
      <c r="AG998" s="104">
        <f t="shared" si="315"/>
        <v>1</v>
      </c>
      <c r="AH998" s="7">
        <f t="shared" si="316"/>
        <v>0</v>
      </c>
      <c r="AI998" s="6">
        <f t="shared" si="317"/>
        <v>0</v>
      </c>
      <c r="AJ998" s="73">
        <f t="shared" si="318"/>
        <v>0</v>
      </c>
      <c r="AK998" s="539"/>
      <c r="AL998" s="748"/>
      <c r="AM998" s="748"/>
    </row>
    <row r="999" spans="2:39" x14ac:dyDescent="0.2">
      <c r="B999" s="101" t="str">
        <f t="shared" si="303"/>
        <v/>
      </c>
      <c r="C999" s="168">
        <f>IF(ISERROR(Personalplanung!F63/Monatsplanung!$E63*Monatsplanung!$P63),0,Personalplanung!F63/Monatsplanung!$E63*Monatsplanung!$P63)</f>
        <v>0</v>
      </c>
      <c r="D999" s="168">
        <f t="shared" si="304"/>
        <v>0</v>
      </c>
      <c r="E999" s="168">
        <f>IF(ISERROR(Personalplanung!H63/Monatsplanung!$E63*Monatsplanung!$P63),0,Personalplanung!H63/Monatsplanung!$E63*Monatsplanung!$P63)</f>
        <v>0</v>
      </c>
      <c r="F999" s="168">
        <f t="shared" si="305"/>
        <v>0</v>
      </c>
      <c r="G999" s="168">
        <f t="shared" si="306"/>
        <v>27.700831024930746</v>
      </c>
      <c r="H999" s="168">
        <f t="shared" si="307"/>
        <v>0</v>
      </c>
      <c r="I999" s="168">
        <f t="shared" si="308"/>
        <v>30</v>
      </c>
      <c r="J999" s="739"/>
      <c r="K999" s="168">
        <f>IF(J999&lt;&gt;"",J999,IF(ISERROR(Personalplanung!AB63/Monatsplanung!$E63*Monatsplanung!$G63),0,Personalplanung!AB63/Monatsplanung!$E63*Monatsplanung!$P63))</f>
        <v>0</v>
      </c>
      <c r="L999" s="740"/>
      <c r="M999" s="739"/>
      <c r="N999" s="168">
        <f>IF(M999&lt;&gt;"",M999,IF(ISERROR(Personalplanung!AC63/Monatsplanung!$E63*Monatsplanung!$G63),0,Personalplanung!AC63/Monatsplanung!$E63*Monatsplanung!$P63))</f>
        <v>0</v>
      </c>
      <c r="O999" s="740"/>
      <c r="P999" s="739"/>
      <c r="Q999" s="168">
        <f>IF(P999&lt;&gt;"",P999,IF(ISERROR(Personalplanung!AD63/Monatsplanung!$E63*Monatsplanung!$G63),0,Personalplanung!AD63/Monatsplanung!$E63*Monatsplanung!$P63))</f>
        <v>0</v>
      </c>
      <c r="R999" s="740"/>
      <c r="S999" s="739"/>
      <c r="T999" s="168">
        <f>IF(S999&lt;&gt;"",S999,IF(ISERROR(Personalplanung!AE63/Monatsplanung!$E63*Monatsplanung!$G63),0,Personalplanung!AE63/Monatsplanung!$E63*Monatsplanung!$P63))</f>
        <v>0</v>
      </c>
      <c r="U999" s="740"/>
      <c r="V999" s="168">
        <f t="shared" si="309"/>
        <v>0</v>
      </c>
      <c r="W999" s="168">
        <f>IF(ISERROR(Personalplanung!P63/Monatsplanung!$E63*Monatsplanung!$P63),0,Personalplanung!P63/Monatsplanung!$E63*Monatsplanung!$P63)</f>
        <v>0</v>
      </c>
      <c r="X999" s="168">
        <f>IF(ISERROR(Personalplanung!Q63/Monatsplanung!$E63*Monatsplanung!$P63),0,Personalplanung!Q63/Monatsplanung!$E63*Monatsplanung!$P63)</f>
        <v>0</v>
      </c>
      <c r="Y999" s="168">
        <f>IF(ISERROR(Personalplanung!R63/T1311*Stundencontrolling!T999),0,Personalplanung!R63/T1311*Stundencontrolling!T999)</f>
        <v>0</v>
      </c>
      <c r="Z999" s="168">
        <f>IF(ISERROR(Personalplanung!S63/Monatsplanung!$E63*Monatsplanung!$P63),0,Personalplanung!S63/Monatsplanung!$E63*Monatsplanung!$P63)</f>
        <v>0</v>
      </c>
      <c r="AA999" s="80">
        <f t="shared" si="310"/>
        <v>0</v>
      </c>
      <c r="AB999" s="102">
        <f t="shared" si="311"/>
        <v>0.1</v>
      </c>
      <c r="AC999" s="103">
        <f t="shared" si="312"/>
        <v>0</v>
      </c>
      <c r="AD999" s="103">
        <f t="shared" si="313"/>
        <v>0</v>
      </c>
      <c r="AE999" s="81">
        <f t="shared" si="314"/>
        <v>0</v>
      </c>
      <c r="AF999" s="539"/>
      <c r="AG999" s="104">
        <f t="shared" si="315"/>
        <v>1</v>
      </c>
      <c r="AH999" s="7">
        <f t="shared" si="316"/>
        <v>0</v>
      </c>
      <c r="AI999" s="6">
        <f t="shared" si="317"/>
        <v>0</v>
      </c>
      <c r="AJ999" s="73">
        <f t="shared" si="318"/>
        <v>0</v>
      </c>
      <c r="AK999" s="539"/>
      <c r="AL999" s="748"/>
      <c r="AM999" s="748"/>
    </row>
    <row r="1000" spans="2:39" x14ac:dyDescent="0.2">
      <c r="B1000" s="101" t="str">
        <f t="shared" si="303"/>
        <v/>
      </c>
      <c r="C1000" s="168">
        <f>IF(ISERROR(Personalplanung!F64/Monatsplanung!$E64*Monatsplanung!$P64),0,Personalplanung!F64/Monatsplanung!$E64*Monatsplanung!$P64)</f>
        <v>0</v>
      </c>
      <c r="D1000" s="168">
        <f t="shared" si="304"/>
        <v>0</v>
      </c>
      <c r="E1000" s="168">
        <f>IF(ISERROR(Personalplanung!H64/Monatsplanung!$E64*Monatsplanung!$P64),0,Personalplanung!H64/Monatsplanung!$E64*Monatsplanung!$P64)</f>
        <v>0</v>
      </c>
      <c r="F1000" s="168">
        <f t="shared" si="305"/>
        <v>0</v>
      </c>
      <c r="G1000" s="168">
        <f t="shared" si="306"/>
        <v>27.700831024930746</v>
      </c>
      <c r="H1000" s="168">
        <f t="shared" si="307"/>
        <v>0</v>
      </c>
      <c r="I1000" s="168">
        <f t="shared" si="308"/>
        <v>30</v>
      </c>
      <c r="J1000" s="739"/>
      <c r="K1000" s="168">
        <f>IF(J1000&lt;&gt;"",J1000,IF(ISERROR(Personalplanung!AB64/Monatsplanung!$E64*Monatsplanung!$G64),0,Personalplanung!AB64/Monatsplanung!$E64*Monatsplanung!$P64))</f>
        <v>0</v>
      </c>
      <c r="L1000" s="740"/>
      <c r="M1000" s="739"/>
      <c r="N1000" s="168">
        <f>IF(M1000&lt;&gt;"",M1000,IF(ISERROR(Personalplanung!AC64/Monatsplanung!$E64*Monatsplanung!$G64),0,Personalplanung!AC64/Monatsplanung!$E64*Monatsplanung!$P64))</f>
        <v>0</v>
      </c>
      <c r="O1000" s="740"/>
      <c r="P1000" s="739"/>
      <c r="Q1000" s="168">
        <f>IF(P1000&lt;&gt;"",P1000,IF(ISERROR(Personalplanung!AD64/Monatsplanung!$E64*Monatsplanung!$G64),0,Personalplanung!AD64/Monatsplanung!$E64*Monatsplanung!$P64))</f>
        <v>0</v>
      </c>
      <c r="R1000" s="740"/>
      <c r="S1000" s="739"/>
      <c r="T1000" s="168">
        <f>IF(S1000&lt;&gt;"",S1000,IF(ISERROR(Personalplanung!AE64/Monatsplanung!$E64*Monatsplanung!$G64),0,Personalplanung!AE64/Monatsplanung!$E64*Monatsplanung!$P64))</f>
        <v>0</v>
      </c>
      <c r="U1000" s="740"/>
      <c r="V1000" s="168">
        <f t="shared" si="309"/>
        <v>0</v>
      </c>
      <c r="W1000" s="168">
        <f>IF(ISERROR(Personalplanung!P64/Monatsplanung!$E64*Monatsplanung!$P64),0,Personalplanung!P64/Monatsplanung!$E64*Monatsplanung!$P64)</f>
        <v>0</v>
      </c>
      <c r="X1000" s="168">
        <f>IF(ISERROR(Personalplanung!Q64/Monatsplanung!$E64*Monatsplanung!$P64),0,Personalplanung!Q64/Monatsplanung!$E64*Monatsplanung!$P64)</f>
        <v>0</v>
      </c>
      <c r="Y1000" s="168">
        <f>IF(ISERROR(Personalplanung!R64/T1312*Stundencontrolling!T1000),0,Personalplanung!R64/T1312*Stundencontrolling!T1000)</f>
        <v>0</v>
      </c>
      <c r="Z1000" s="168">
        <f>IF(ISERROR(Personalplanung!S64/Monatsplanung!$E64*Monatsplanung!$P64),0,Personalplanung!S64/Monatsplanung!$E64*Monatsplanung!$P64)</f>
        <v>0</v>
      </c>
      <c r="AA1000" s="80">
        <f t="shared" si="310"/>
        <v>0</v>
      </c>
      <c r="AB1000" s="102">
        <f t="shared" si="311"/>
        <v>0.1</v>
      </c>
      <c r="AC1000" s="103">
        <f t="shared" si="312"/>
        <v>0</v>
      </c>
      <c r="AD1000" s="103">
        <f t="shared" si="313"/>
        <v>0</v>
      </c>
      <c r="AE1000" s="81">
        <f t="shared" si="314"/>
        <v>0</v>
      </c>
      <c r="AF1000" s="539"/>
      <c r="AG1000" s="104">
        <f t="shared" si="315"/>
        <v>1</v>
      </c>
      <c r="AH1000" s="7">
        <f t="shared" si="316"/>
        <v>0</v>
      </c>
      <c r="AI1000" s="6">
        <f t="shared" si="317"/>
        <v>0</v>
      </c>
      <c r="AJ1000" s="73">
        <f t="shared" si="318"/>
        <v>0</v>
      </c>
      <c r="AK1000" s="539"/>
      <c r="AL1000" s="748"/>
      <c r="AM1000" s="748"/>
    </row>
    <row r="1001" spans="2:39" x14ac:dyDescent="0.2">
      <c r="B1001" s="101" t="str">
        <f t="shared" si="303"/>
        <v/>
      </c>
      <c r="C1001" s="168">
        <f>IF(ISERROR(Personalplanung!F65/Monatsplanung!$E65*Monatsplanung!$P65),0,Personalplanung!F65/Monatsplanung!$E65*Monatsplanung!$P65)</f>
        <v>0</v>
      </c>
      <c r="D1001" s="168">
        <f t="shared" si="304"/>
        <v>0</v>
      </c>
      <c r="E1001" s="168">
        <f>IF(ISERROR(Personalplanung!H65/Monatsplanung!$E65*Monatsplanung!$P65),0,Personalplanung!H65/Monatsplanung!$E65*Monatsplanung!$P65)</f>
        <v>0</v>
      </c>
      <c r="F1001" s="168">
        <f t="shared" si="305"/>
        <v>0</v>
      </c>
      <c r="G1001" s="168">
        <f t="shared" si="306"/>
        <v>27.700831024930746</v>
      </c>
      <c r="H1001" s="168">
        <f t="shared" si="307"/>
        <v>0</v>
      </c>
      <c r="I1001" s="168">
        <f t="shared" si="308"/>
        <v>30</v>
      </c>
      <c r="J1001" s="739"/>
      <c r="K1001" s="168">
        <f>IF(J1001&lt;&gt;"",J1001,IF(ISERROR(Personalplanung!AB65/Monatsplanung!$E65*Monatsplanung!$G65),0,Personalplanung!AB65/Monatsplanung!$E65*Monatsplanung!$P65))</f>
        <v>0</v>
      </c>
      <c r="L1001" s="740"/>
      <c r="M1001" s="739"/>
      <c r="N1001" s="168">
        <f>IF(M1001&lt;&gt;"",M1001,IF(ISERROR(Personalplanung!AC65/Monatsplanung!$E65*Monatsplanung!$G65),0,Personalplanung!AC65/Monatsplanung!$E65*Monatsplanung!$P65))</f>
        <v>0</v>
      </c>
      <c r="O1001" s="740"/>
      <c r="P1001" s="739"/>
      <c r="Q1001" s="168">
        <f>IF(P1001&lt;&gt;"",P1001,IF(ISERROR(Personalplanung!AD65/Monatsplanung!$E65*Monatsplanung!$G65),0,Personalplanung!AD65/Monatsplanung!$E65*Monatsplanung!$P65))</f>
        <v>0</v>
      </c>
      <c r="R1001" s="740"/>
      <c r="S1001" s="739"/>
      <c r="T1001" s="168">
        <f>IF(S1001&lt;&gt;"",S1001,IF(ISERROR(Personalplanung!AE65/Monatsplanung!$E65*Monatsplanung!$G65),0,Personalplanung!AE65/Monatsplanung!$E65*Monatsplanung!$P65))</f>
        <v>0</v>
      </c>
      <c r="U1001" s="740"/>
      <c r="V1001" s="168">
        <f t="shared" si="309"/>
        <v>0</v>
      </c>
      <c r="W1001" s="168">
        <f>IF(ISERROR(Personalplanung!P65/Monatsplanung!$E65*Monatsplanung!$P65),0,Personalplanung!P65/Monatsplanung!$E65*Monatsplanung!$P65)</f>
        <v>0</v>
      </c>
      <c r="X1001" s="168">
        <f>IF(ISERROR(Personalplanung!Q65/Monatsplanung!$E65*Monatsplanung!$P65),0,Personalplanung!Q65/Monatsplanung!$E65*Monatsplanung!$P65)</f>
        <v>0</v>
      </c>
      <c r="Y1001" s="168">
        <f>IF(ISERROR(Personalplanung!R65/T1313*Stundencontrolling!T1001),0,Personalplanung!R65/T1313*Stundencontrolling!T1001)</f>
        <v>0</v>
      </c>
      <c r="Z1001" s="168">
        <f>IF(ISERROR(Personalplanung!S65/Monatsplanung!$E65*Monatsplanung!$P65),0,Personalplanung!S65/Monatsplanung!$E65*Monatsplanung!$P65)</f>
        <v>0</v>
      </c>
      <c r="AA1001" s="80">
        <f t="shared" si="310"/>
        <v>0</v>
      </c>
      <c r="AB1001" s="102">
        <f t="shared" si="311"/>
        <v>0.1</v>
      </c>
      <c r="AC1001" s="103">
        <f t="shared" si="312"/>
        <v>0</v>
      </c>
      <c r="AD1001" s="103">
        <f t="shared" si="313"/>
        <v>0</v>
      </c>
      <c r="AE1001" s="81">
        <f t="shared" si="314"/>
        <v>0</v>
      </c>
      <c r="AF1001" s="539"/>
      <c r="AG1001" s="104">
        <f t="shared" si="315"/>
        <v>1</v>
      </c>
      <c r="AH1001" s="7">
        <f t="shared" si="316"/>
        <v>0</v>
      </c>
      <c r="AI1001" s="6">
        <f t="shared" si="317"/>
        <v>0</v>
      </c>
      <c r="AJ1001" s="73">
        <f t="shared" si="318"/>
        <v>0</v>
      </c>
      <c r="AK1001" s="539"/>
      <c r="AL1001" s="748"/>
      <c r="AM1001" s="748"/>
    </row>
    <row r="1002" spans="2:39" x14ac:dyDescent="0.2">
      <c r="B1002" s="101" t="str">
        <f t="shared" si="303"/>
        <v/>
      </c>
      <c r="C1002" s="168">
        <f>IF(ISERROR(Personalplanung!F66/Monatsplanung!$E66*Monatsplanung!$P66),0,Personalplanung!F66/Monatsplanung!$E66*Monatsplanung!$P66)</f>
        <v>0</v>
      </c>
      <c r="D1002" s="168">
        <f t="shared" si="304"/>
        <v>0</v>
      </c>
      <c r="E1002" s="168">
        <f>IF(ISERROR(Personalplanung!H66/Monatsplanung!$E66*Monatsplanung!$P66),0,Personalplanung!H66/Monatsplanung!$E66*Monatsplanung!$P66)</f>
        <v>0</v>
      </c>
      <c r="F1002" s="168">
        <f t="shared" si="305"/>
        <v>0</v>
      </c>
      <c r="G1002" s="168">
        <f t="shared" si="306"/>
        <v>27.700831024930746</v>
      </c>
      <c r="H1002" s="168">
        <f t="shared" si="307"/>
        <v>0</v>
      </c>
      <c r="I1002" s="168">
        <f t="shared" si="308"/>
        <v>30</v>
      </c>
      <c r="J1002" s="739"/>
      <c r="K1002" s="168">
        <f>IF(J1002&lt;&gt;"",J1002,IF(ISERROR(Personalplanung!AB66/Monatsplanung!$E66*Monatsplanung!$G66),0,Personalplanung!AB66/Monatsplanung!$E66*Monatsplanung!$P66))</f>
        <v>0</v>
      </c>
      <c r="L1002" s="740"/>
      <c r="M1002" s="739"/>
      <c r="N1002" s="168">
        <f>IF(M1002&lt;&gt;"",M1002,IF(ISERROR(Personalplanung!AC66/Monatsplanung!$E66*Monatsplanung!$G66),0,Personalplanung!AC66/Monatsplanung!$E66*Monatsplanung!$P66))</f>
        <v>0</v>
      </c>
      <c r="O1002" s="740"/>
      <c r="P1002" s="739"/>
      <c r="Q1002" s="168">
        <f>IF(P1002&lt;&gt;"",P1002,IF(ISERROR(Personalplanung!AD66/Monatsplanung!$E66*Monatsplanung!$G66),0,Personalplanung!AD66/Monatsplanung!$E66*Monatsplanung!$P66))</f>
        <v>0</v>
      </c>
      <c r="R1002" s="740"/>
      <c r="S1002" s="739"/>
      <c r="T1002" s="168">
        <f>IF(S1002&lt;&gt;"",S1002,IF(ISERROR(Personalplanung!AE66/Monatsplanung!$E66*Monatsplanung!$G66),0,Personalplanung!AE66/Monatsplanung!$E66*Monatsplanung!$P66))</f>
        <v>0</v>
      </c>
      <c r="U1002" s="740"/>
      <c r="V1002" s="168">
        <f t="shared" si="309"/>
        <v>0</v>
      </c>
      <c r="W1002" s="168">
        <f>IF(ISERROR(Personalplanung!P66/Monatsplanung!$E66*Monatsplanung!$P66),0,Personalplanung!P66/Monatsplanung!$E66*Monatsplanung!$P66)</f>
        <v>0</v>
      </c>
      <c r="X1002" s="168">
        <f>IF(ISERROR(Personalplanung!Q66/Monatsplanung!$E66*Monatsplanung!$P66),0,Personalplanung!Q66/Monatsplanung!$E66*Monatsplanung!$P66)</f>
        <v>0</v>
      </c>
      <c r="Y1002" s="168">
        <f>IF(ISERROR(Personalplanung!R66/T1314*Stundencontrolling!T1002),0,Personalplanung!R66/T1314*Stundencontrolling!T1002)</f>
        <v>0</v>
      </c>
      <c r="Z1002" s="168">
        <f>IF(ISERROR(Personalplanung!S66/Monatsplanung!$E66*Monatsplanung!$P66),0,Personalplanung!S66/Monatsplanung!$E66*Monatsplanung!$P66)</f>
        <v>0</v>
      </c>
      <c r="AA1002" s="80">
        <f t="shared" si="310"/>
        <v>0</v>
      </c>
      <c r="AB1002" s="102">
        <f t="shared" si="311"/>
        <v>0.1</v>
      </c>
      <c r="AC1002" s="103">
        <f t="shared" si="312"/>
        <v>0</v>
      </c>
      <c r="AD1002" s="103">
        <f t="shared" si="313"/>
        <v>0</v>
      </c>
      <c r="AE1002" s="81">
        <f t="shared" si="314"/>
        <v>0</v>
      </c>
      <c r="AF1002" s="539"/>
      <c r="AG1002" s="104">
        <f t="shared" si="315"/>
        <v>1</v>
      </c>
      <c r="AH1002" s="7">
        <f t="shared" si="316"/>
        <v>0</v>
      </c>
      <c r="AI1002" s="6">
        <f t="shared" si="317"/>
        <v>0</v>
      </c>
      <c r="AJ1002" s="73">
        <f t="shared" si="318"/>
        <v>0</v>
      </c>
      <c r="AK1002" s="539"/>
      <c r="AL1002" s="748"/>
      <c r="AM1002" s="748"/>
    </row>
    <row r="1003" spans="2:39" x14ac:dyDescent="0.2">
      <c r="B1003" s="101" t="str">
        <f t="shared" si="303"/>
        <v/>
      </c>
      <c r="C1003" s="168">
        <f>IF(ISERROR(Personalplanung!F67/Monatsplanung!$E67*Monatsplanung!$P67),0,Personalplanung!F67/Monatsplanung!$E67*Monatsplanung!$P67)</f>
        <v>0</v>
      </c>
      <c r="D1003" s="168">
        <f t="shared" si="304"/>
        <v>0</v>
      </c>
      <c r="E1003" s="168">
        <f>IF(ISERROR(Personalplanung!H67/Monatsplanung!$E67*Monatsplanung!$P67),0,Personalplanung!H67/Monatsplanung!$E67*Monatsplanung!$P67)</f>
        <v>0</v>
      </c>
      <c r="F1003" s="168">
        <f t="shared" si="305"/>
        <v>0</v>
      </c>
      <c r="G1003" s="168">
        <f t="shared" si="306"/>
        <v>27.700831024930746</v>
      </c>
      <c r="H1003" s="168">
        <f t="shared" si="307"/>
        <v>0</v>
      </c>
      <c r="I1003" s="168">
        <f t="shared" si="308"/>
        <v>30</v>
      </c>
      <c r="J1003" s="739"/>
      <c r="K1003" s="168">
        <f>IF(J1003&lt;&gt;"",J1003,IF(ISERROR(Personalplanung!AB67/Monatsplanung!$E67*Monatsplanung!$G67),0,Personalplanung!AB67/Monatsplanung!$E67*Monatsplanung!$P67))</f>
        <v>0</v>
      </c>
      <c r="L1003" s="740"/>
      <c r="M1003" s="739"/>
      <c r="N1003" s="168">
        <f>IF(M1003&lt;&gt;"",M1003,IF(ISERROR(Personalplanung!AC67/Monatsplanung!$E67*Monatsplanung!$G67),0,Personalplanung!AC67/Monatsplanung!$E67*Monatsplanung!$P67))</f>
        <v>0</v>
      </c>
      <c r="O1003" s="740"/>
      <c r="P1003" s="739"/>
      <c r="Q1003" s="168">
        <f>IF(P1003&lt;&gt;"",P1003,IF(ISERROR(Personalplanung!AD67/Monatsplanung!$E67*Monatsplanung!$G67),0,Personalplanung!AD67/Monatsplanung!$E67*Monatsplanung!$P67))</f>
        <v>0</v>
      </c>
      <c r="R1003" s="740"/>
      <c r="S1003" s="739"/>
      <c r="T1003" s="168">
        <f>IF(S1003&lt;&gt;"",S1003,IF(ISERROR(Personalplanung!AE67/Monatsplanung!$E67*Monatsplanung!$G67),0,Personalplanung!AE67/Monatsplanung!$E67*Monatsplanung!$P67))</f>
        <v>0</v>
      </c>
      <c r="U1003" s="740"/>
      <c r="V1003" s="168">
        <f t="shared" si="309"/>
        <v>0</v>
      </c>
      <c r="W1003" s="168">
        <f>IF(ISERROR(Personalplanung!P67/Monatsplanung!$E67*Monatsplanung!$P67),0,Personalplanung!P67/Monatsplanung!$E67*Monatsplanung!$P67)</f>
        <v>0</v>
      </c>
      <c r="X1003" s="168">
        <f>IF(ISERROR(Personalplanung!Q67/Monatsplanung!$E67*Monatsplanung!$P67),0,Personalplanung!Q67/Monatsplanung!$E67*Monatsplanung!$P67)</f>
        <v>0</v>
      </c>
      <c r="Y1003" s="168">
        <f>IF(ISERROR(Personalplanung!R67/T1315*Stundencontrolling!T1003),0,Personalplanung!R67/T1315*Stundencontrolling!T1003)</f>
        <v>0</v>
      </c>
      <c r="Z1003" s="168">
        <f>IF(ISERROR(Personalplanung!S67/Monatsplanung!$E67*Monatsplanung!$P67),0,Personalplanung!S67/Monatsplanung!$E67*Monatsplanung!$P67)</f>
        <v>0</v>
      </c>
      <c r="AA1003" s="80">
        <f t="shared" si="310"/>
        <v>0</v>
      </c>
      <c r="AB1003" s="102">
        <f t="shared" si="311"/>
        <v>0.1</v>
      </c>
      <c r="AC1003" s="103">
        <f t="shared" si="312"/>
        <v>0</v>
      </c>
      <c r="AD1003" s="103">
        <f t="shared" si="313"/>
        <v>0</v>
      </c>
      <c r="AE1003" s="81">
        <f t="shared" si="314"/>
        <v>0</v>
      </c>
      <c r="AF1003" s="539"/>
      <c r="AG1003" s="104">
        <f t="shared" si="315"/>
        <v>1</v>
      </c>
      <c r="AH1003" s="7">
        <f t="shared" si="316"/>
        <v>0</v>
      </c>
      <c r="AI1003" s="6">
        <f t="shared" si="317"/>
        <v>0</v>
      </c>
      <c r="AJ1003" s="73">
        <f t="shared" si="318"/>
        <v>0</v>
      </c>
      <c r="AK1003" s="539"/>
      <c r="AL1003" s="748"/>
      <c r="AM1003" s="748"/>
    </row>
    <row r="1004" spans="2:39" x14ac:dyDescent="0.2">
      <c r="B1004" s="101" t="str">
        <f t="shared" si="303"/>
        <v/>
      </c>
      <c r="C1004" s="168">
        <f>IF(ISERROR(Personalplanung!F68/Monatsplanung!$E68*Monatsplanung!$P68),0,Personalplanung!F68/Monatsplanung!$E68*Monatsplanung!$P68)</f>
        <v>0</v>
      </c>
      <c r="D1004" s="168">
        <f t="shared" si="304"/>
        <v>0</v>
      </c>
      <c r="E1004" s="168">
        <f>IF(ISERROR(Personalplanung!H68/Monatsplanung!$E68*Monatsplanung!$P68),0,Personalplanung!H68/Monatsplanung!$E68*Monatsplanung!$P68)</f>
        <v>0</v>
      </c>
      <c r="F1004" s="168">
        <f t="shared" si="305"/>
        <v>0</v>
      </c>
      <c r="G1004" s="168">
        <f t="shared" si="306"/>
        <v>27.700831024930746</v>
      </c>
      <c r="H1004" s="168">
        <f t="shared" si="307"/>
        <v>0</v>
      </c>
      <c r="I1004" s="168">
        <f t="shared" si="308"/>
        <v>30</v>
      </c>
      <c r="J1004" s="739"/>
      <c r="K1004" s="168">
        <f>IF(J1004&lt;&gt;"",J1004,IF(ISERROR(Personalplanung!AB68/Monatsplanung!$E68*Monatsplanung!$G68),0,Personalplanung!AB68/Monatsplanung!$E68*Monatsplanung!$P68))</f>
        <v>0</v>
      </c>
      <c r="L1004" s="740"/>
      <c r="M1004" s="739"/>
      <c r="N1004" s="168">
        <f>IF(M1004&lt;&gt;"",M1004,IF(ISERROR(Personalplanung!AC68/Monatsplanung!$E68*Monatsplanung!$G68),0,Personalplanung!AC68/Monatsplanung!$E68*Monatsplanung!$P68))</f>
        <v>0</v>
      </c>
      <c r="O1004" s="740"/>
      <c r="P1004" s="739"/>
      <c r="Q1004" s="168">
        <f>IF(P1004&lt;&gt;"",P1004,IF(ISERROR(Personalplanung!AD68/Monatsplanung!$E68*Monatsplanung!$G68),0,Personalplanung!AD68/Monatsplanung!$E68*Monatsplanung!$P68))</f>
        <v>0</v>
      </c>
      <c r="R1004" s="740"/>
      <c r="S1004" s="739"/>
      <c r="T1004" s="168">
        <f>IF(S1004&lt;&gt;"",S1004,IF(ISERROR(Personalplanung!AE68/Monatsplanung!$E68*Monatsplanung!$G68),0,Personalplanung!AE68/Monatsplanung!$E68*Monatsplanung!$P68))</f>
        <v>0</v>
      </c>
      <c r="U1004" s="740"/>
      <c r="V1004" s="168">
        <f t="shared" si="309"/>
        <v>0</v>
      </c>
      <c r="W1004" s="168">
        <f>IF(ISERROR(Personalplanung!P68/Monatsplanung!$E68*Monatsplanung!$P68),0,Personalplanung!P68/Monatsplanung!$E68*Monatsplanung!$P68)</f>
        <v>0</v>
      </c>
      <c r="X1004" s="168">
        <f>IF(ISERROR(Personalplanung!Q68/Monatsplanung!$E68*Monatsplanung!$P68),0,Personalplanung!Q68/Monatsplanung!$E68*Monatsplanung!$P68)</f>
        <v>0</v>
      </c>
      <c r="Y1004" s="168">
        <f>IF(ISERROR(Personalplanung!R68/T1316*Stundencontrolling!T1004),0,Personalplanung!R68/T1316*Stundencontrolling!T1004)</f>
        <v>0</v>
      </c>
      <c r="Z1004" s="168">
        <f>IF(ISERROR(Personalplanung!S68/Monatsplanung!$E68*Monatsplanung!$P68),0,Personalplanung!S68/Monatsplanung!$E68*Monatsplanung!$P68)</f>
        <v>0</v>
      </c>
      <c r="AA1004" s="80">
        <f t="shared" si="310"/>
        <v>0</v>
      </c>
      <c r="AB1004" s="102">
        <f t="shared" si="311"/>
        <v>0.1</v>
      </c>
      <c r="AC1004" s="103">
        <f t="shared" si="312"/>
        <v>0</v>
      </c>
      <c r="AD1004" s="103">
        <f t="shared" si="313"/>
        <v>0</v>
      </c>
      <c r="AE1004" s="81">
        <f t="shared" si="314"/>
        <v>0</v>
      </c>
      <c r="AF1004" s="539"/>
      <c r="AG1004" s="104">
        <f t="shared" si="315"/>
        <v>1</v>
      </c>
      <c r="AH1004" s="7">
        <f t="shared" si="316"/>
        <v>0</v>
      </c>
      <c r="AI1004" s="6">
        <f t="shared" si="317"/>
        <v>0</v>
      </c>
      <c r="AJ1004" s="73">
        <f t="shared" si="318"/>
        <v>0</v>
      </c>
      <c r="AK1004" s="539"/>
      <c r="AL1004" s="748"/>
      <c r="AM1004" s="748"/>
    </row>
    <row r="1005" spans="2:39" x14ac:dyDescent="0.2">
      <c r="B1005" s="101" t="str">
        <f t="shared" si="303"/>
        <v/>
      </c>
      <c r="C1005" s="168">
        <f>IF(ISERROR(Personalplanung!F69/Monatsplanung!$E69*Monatsplanung!$P69),0,Personalplanung!F69/Monatsplanung!$E69*Monatsplanung!$P69)</f>
        <v>0</v>
      </c>
      <c r="D1005" s="168">
        <f t="shared" si="304"/>
        <v>0</v>
      </c>
      <c r="E1005" s="168">
        <f>IF(ISERROR(Personalplanung!H69/Monatsplanung!$E69*Monatsplanung!$P69),0,Personalplanung!H69/Monatsplanung!$E69*Monatsplanung!$P69)</f>
        <v>0</v>
      </c>
      <c r="F1005" s="168">
        <f t="shared" si="305"/>
        <v>0</v>
      </c>
      <c r="G1005" s="168">
        <f t="shared" si="306"/>
        <v>27.700831024930746</v>
      </c>
      <c r="H1005" s="168">
        <f t="shared" si="307"/>
        <v>0</v>
      </c>
      <c r="I1005" s="168">
        <f t="shared" si="308"/>
        <v>30</v>
      </c>
      <c r="J1005" s="739"/>
      <c r="K1005" s="168">
        <f>IF(J1005&lt;&gt;"",J1005,IF(ISERROR(Personalplanung!AB69/Monatsplanung!$E69*Monatsplanung!$G69),0,Personalplanung!AB69/Monatsplanung!$E69*Monatsplanung!$P69))</f>
        <v>0</v>
      </c>
      <c r="L1005" s="740"/>
      <c r="M1005" s="739"/>
      <c r="N1005" s="168">
        <f>IF(M1005&lt;&gt;"",M1005,IF(ISERROR(Personalplanung!AC69/Monatsplanung!$E69*Monatsplanung!$G69),0,Personalplanung!AC69/Monatsplanung!$E69*Monatsplanung!$P69))</f>
        <v>0</v>
      </c>
      <c r="O1005" s="740"/>
      <c r="P1005" s="739"/>
      <c r="Q1005" s="168">
        <f>IF(P1005&lt;&gt;"",P1005,IF(ISERROR(Personalplanung!AD69/Monatsplanung!$E69*Monatsplanung!$G69),0,Personalplanung!AD69/Monatsplanung!$E69*Monatsplanung!$P69))</f>
        <v>0</v>
      </c>
      <c r="R1005" s="740"/>
      <c r="S1005" s="739"/>
      <c r="T1005" s="168">
        <f>IF(S1005&lt;&gt;"",S1005,IF(ISERROR(Personalplanung!AE69/Monatsplanung!$E69*Monatsplanung!$G69),0,Personalplanung!AE69/Monatsplanung!$E69*Monatsplanung!$P69))</f>
        <v>0</v>
      </c>
      <c r="U1005" s="740"/>
      <c r="V1005" s="168">
        <f t="shared" si="309"/>
        <v>0</v>
      </c>
      <c r="W1005" s="168">
        <f>IF(ISERROR(Personalplanung!P69/Monatsplanung!$E69*Monatsplanung!$P69),0,Personalplanung!P69/Monatsplanung!$E69*Monatsplanung!$P69)</f>
        <v>0</v>
      </c>
      <c r="X1005" s="168">
        <f>IF(ISERROR(Personalplanung!Q69/Monatsplanung!$E69*Monatsplanung!$P69),0,Personalplanung!Q69/Monatsplanung!$E69*Monatsplanung!$P69)</f>
        <v>0</v>
      </c>
      <c r="Y1005" s="168">
        <f>IF(ISERROR(Personalplanung!R69/T1317*Stundencontrolling!T1005),0,Personalplanung!R69/T1317*Stundencontrolling!T1005)</f>
        <v>0</v>
      </c>
      <c r="Z1005" s="168">
        <f>IF(ISERROR(Personalplanung!S69/Monatsplanung!$E69*Monatsplanung!$P69),0,Personalplanung!S69/Monatsplanung!$E69*Monatsplanung!$P69)</f>
        <v>0</v>
      </c>
      <c r="AA1005" s="80">
        <f t="shared" si="310"/>
        <v>0</v>
      </c>
      <c r="AB1005" s="102">
        <f t="shared" si="311"/>
        <v>0.1</v>
      </c>
      <c r="AC1005" s="103">
        <f t="shared" si="312"/>
        <v>0</v>
      </c>
      <c r="AD1005" s="103">
        <f t="shared" si="313"/>
        <v>0</v>
      </c>
      <c r="AE1005" s="81">
        <f t="shared" si="314"/>
        <v>0</v>
      </c>
      <c r="AF1005" s="539"/>
      <c r="AG1005" s="104">
        <f t="shared" si="315"/>
        <v>1</v>
      </c>
      <c r="AH1005" s="7">
        <f t="shared" si="316"/>
        <v>0</v>
      </c>
      <c r="AI1005" s="6">
        <f t="shared" si="317"/>
        <v>0</v>
      </c>
      <c r="AJ1005" s="73">
        <f t="shared" si="318"/>
        <v>0</v>
      </c>
      <c r="AK1005" s="539"/>
      <c r="AL1005" s="748"/>
      <c r="AM1005" s="748"/>
    </row>
    <row r="1006" spans="2:39" x14ac:dyDescent="0.2">
      <c r="B1006" s="101" t="str">
        <f t="shared" si="303"/>
        <v/>
      </c>
      <c r="C1006" s="168">
        <f>IF(ISERROR(Personalplanung!F70/Monatsplanung!$E70*Monatsplanung!$P70),0,Personalplanung!F70/Monatsplanung!$E70*Monatsplanung!$P70)</f>
        <v>0</v>
      </c>
      <c r="D1006" s="168">
        <f t="shared" si="304"/>
        <v>0</v>
      </c>
      <c r="E1006" s="168">
        <f>IF(ISERROR(Personalplanung!H70/Monatsplanung!$E70*Monatsplanung!$P70),0,Personalplanung!H70/Monatsplanung!$E70*Monatsplanung!$P70)</f>
        <v>0</v>
      </c>
      <c r="F1006" s="168">
        <f t="shared" si="305"/>
        <v>0</v>
      </c>
      <c r="G1006" s="168">
        <f t="shared" si="306"/>
        <v>27.700831024930746</v>
      </c>
      <c r="H1006" s="168">
        <f t="shared" si="307"/>
        <v>0</v>
      </c>
      <c r="I1006" s="168">
        <f t="shared" si="308"/>
        <v>30</v>
      </c>
      <c r="J1006" s="739"/>
      <c r="K1006" s="168">
        <f>IF(J1006&lt;&gt;"",J1006,IF(ISERROR(Personalplanung!AB70/Monatsplanung!$E70*Monatsplanung!$G70),0,Personalplanung!AB70/Monatsplanung!$E70*Monatsplanung!$P70))</f>
        <v>0</v>
      </c>
      <c r="L1006" s="740"/>
      <c r="M1006" s="739"/>
      <c r="N1006" s="168">
        <f>IF(M1006&lt;&gt;"",M1006,IF(ISERROR(Personalplanung!AC70/Monatsplanung!$E70*Monatsplanung!$G70),0,Personalplanung!AC70/Monatsplanung!$E70*Monatsplanung!$P70))</f>
        <v>0</v>
      </c>
      <c r="O1006" s="740"/>
      <c r="P1006" s="739"/>
      <c r="Q1006" s="168">
        <f>IF(P1006&lt;&gt;"",P1006,IF(ISERROR(Personalplanung!AD70/Monatsplanung!$E70*Monatsplanung!$G70),0,Personalplanung!AD70/Monatsplanung!$E70*Monatsplanung!$P70))</f>
        <v>0</v>
      </c>
      <c r="R1006" s="740"/>
      <c r="S1006" s="739"/>
      <c r="T1006" s="168">
        <f>IF(S1006&lt;&gt;"",S1006,IF(ISERROR(Personalplanung!AE70/Monatsplanung!$E70*Monatsplanung!$G70),0,Personalplanung!AE70/Monatsplanung!$E70*Monatsplanung!$P70))</f>
        <v>0</v>
      </c>
      <c r="U1006" s="740"/>
      <c r="V1006" s="168">
        <f t="shared" si="309"/>
        <v>0</v>
      </c>
      <c r="W1006" s="168">
        <f>IF(ISERROR(Personalplanung!P70/Monatsplanung!$E70*Monatsplanung!$P70),0,Personalplanung!P70/Monatsplanung!$E70*Monatsplanung!$P70)</f>
        <v>0</v>
      </c>
      <c r="X1006" s="168">
        <f>IF(ISERROR(Personalplanung!Q70/Monatsplanung!$E70*Monatsplanung!$P70),0,Personalplanung!Q70/Monatsplanung!$E70*Monatsplanung!$P70)</f>
        <v>0</v>
      </c>
      <c r="Y1006" s="168">
        <f>IF(ISERROR(Personalplanung!R70/T1318*Stundencontrolling!T1006),0,Personalplanung!R70/T1318*Stundencontrolling!T1006)</f>
        <v>0</v>
      </c>
      <c r="Z1006" s="168">
        <f>IF(ISERROR(Personalplanung!S70/Monatsplanung!$E70*Monatsplanung!$P70),0,Personalplanung!S70/Monatsplanung!$E70*Monatsplanung!$P70)</f>
        <v>0</v>
      </c>
      <c r="AA1006" s="80">
        <f t="shared" si="310"/>
        <v>0</v>
      </c>
      <c r="AB1006" s="102">
        <f t="shared" si="311"/>
        <v>0.1</v>
      </c>
      <c r="AC1006" s="103">
        <f t="shared" si="312"/>
        <v>0</v>
      </c>
      <c r="AD1006" s="103">
        <f t="shared" si="313"/>
        <v>0</v>
      </c>
      <c r="AE1006" s="81">
        <f t="shared" si="314"/>
        <v>0</v>
      </c>
      <c r="AF1006" s="539"/>
      <c r="AG1006" s="104">
        <f t="shared" si="315"/>
        <v>1</v>
      </c>
      <c r="AH1006" s="7">
        <f t="shared" si="316"/>
        <v>0</v>
      </c>
      <c r="AI1006" s="6">
        <f t="shared" si="317"/>
        <v>0</v>
      </c>
      <c r="AJ1006" s="73">
        <f t="shared" si="318"/>
        <v>0</v>
      </c>
      <c r="AK1006" s="539"/>
      <c r="AL1006" s="748"/>
      <c r="AM1006" s="748"/>
    </row>
    <row r="1007" spans="2:39" x14ac:dyDescent="0.2">
      <c r="B1007" s="101" t="str">
        <f t="shared" ref="B1007:B1042" si="319">$B903</f>
        <v/>
      </c>
      <c r="C1007" s="168">
        <f>IF(ISERROR(Personalplanung!F71/Monatsplanung!$E71*Monatsplanung!$P71),0,Personalplanung!F71/Monatsplanung!$E71*Monatsplanung!$P71)</f>
        <v>0</v>
      </c>
      <c r="D1007" s="168">
        <f t="shared" ref="D1007:D1042" si="320">$D903</f>
        <v>0</v>
      </c>
      <c r="E1007" s="168">
        <f>IF(ISERROR(Personalplanung!H71/Monatsplanung!$E71*Monatsplanung!$P71),0,Personalplanung!H71/Monatsplanung!$E71*Monatsplanung!$P71)</f>
        <v>0</v>
      </c>
      <c r="F1007" s="168">
        <f t="shared" ref="F1007:F1042" si="321">+C1007+E1007</f>
        <v>0</v>
      </c>
      <c r="G1007" s="168">
        <f t="shared" ref="G1007:G1042" si="322">$G$6</f>
        <v>27.700831024930746</v>
      </c>
      <c r="H1007" s="168">
        <f t="shared" ref="H1007:H1042" si="323">+F1007*G1007</f>
        <v>0</v>
      </c>
      <c r="I1007" s="168">
        <f t="shared" ref="I1007:I1042" si="324">$I$6</f>
        <v>30</v>
      </c>
      <c r="J1007" s="739"/>
      <c r="K1007" s="168">
        <f>IF(J1007&lt;&gt;"",J1007,IF(ISERROR(Personalplanung!AB71/Monatsplanung!$E71*Monatsplanung!$G71),0,Personalplanung!AB71/Monatsplanung!$E71*Monatsplanung!$P71))</f>
        <v>0</v>
      </c>
      <c r="L1007" s="740"/>
      <c r="M1007" s="739"/>
      <c r="N1007" s="168">
        <f>IF(M1007&lt;&gt;"",M1007,IF(ISERROR(Personalplanung!AC71/Monatsplanung!$E71*Monatsplanung!$G71),0,Personalplanung!AC71/Monatsplanung!$E71*Monatsplanung!$P71))</f>
        <v>0</v>
      </c>
      <c r="O1007" s="740"/>
      <c r="P1007" s="739"/>
      <c r="Q1007" s="168">
        <f>IF(P1007&lt;&gt;"",P1007,IF(ISERROR(Personalplanung!AD71/Monatsplanung!$E71*Monatsplanung!$G71),0,Personalplanung!AD71/Monatsplanung!$E71*Monatsplanung!$P71))</f>
        <v>0</v>
      </c>
      <c r="R1007" s="740"/>
      <c r="S1007" s="739"/>
      <c r="T1007" s="168">
        <f>IF(S1007&lt;&gt;"",S1007,IF(ISERROR(Personalplanung!AE71/Monatsplanung!$E71*Monatsplanung!$G71),0,Personalplanung!AE71/Monatsplanung!$E71*Monatsplanung!$P71))</f>
        <v>0</v>
      </c>
      <c r="U1007" s="740"/>
      <c r="V1007" s="168">
        <f t="shared" ref="V1007:V1042" si="325">K1007+N1007+Q1007+T1007</f>
        <v>0</v>
      </c>
      <c r="W1007" s="168">
        <f>IF(ISERROR(Personalplanung!P71/Monatsplanung!$E71*Monatsplanung!$P71),0,Personalplanung!P71/Monatsplanung!$E71*Monatsplanung!$P71)</f>
        <v>0</v>
      </c>
      <c r="X1007" s="168">
        <f>IF(ISERROR(Personalplanung!Q71/Monatsplanung!$E71*Monatsplanung!$P71),0,Personalplanung!Q71/Monatsplanung!$E71*Monatsplanung!$P71)</f>
        <v>0</v>
      </c>
      <c r="Y1007" s="168">
        <f>IF(ISERROR(Personalplanung!R71/T1319*Stundencontrolling!T1007),0,Personalplanung!R71/T1319*Stundencontrolling!T1007)</f>
        <v>0</v>
      </c>
      <c r="Z1007" s="168">
        <f>IF(ISERROR(Personalplanung!S71/Monatsplanung!$E71*Monatsplanung!$P71),0,Personalplanung!S71/Monatsplanung!$E71*Monatsplanung!$P71)</f>
        <v>0</v>
      </c>
      <c r="AA1007" s="80">
        <f t="shared" ref="AA1007:AA1042" si="326">+F1007*G1007*(1+I1007)+SUM(W1007:Z1007)</f>
        <v>0</v>
      </c>
      <c r="AB1007" s="102">
        <f t="shared" ref="AB1007:AB1042" si="327">$AB$6</f>
        <v>0.1</v>
      </c>
      <c r="AC1007" s="103">
        <f t="shared" ref="AC1007:AC1042" si="328">AB1007*AA1007</f>
        <v>0</v>
      </c>
      <c r="AD1007" s="103">
        <f t="shared" ref="AD1007:AD1042" si="329">AA1007-AC1007</f>
        <v>0</v>
      </c>
      <c r="AE1007" s="81">
        <f t="shared" ref="AE1007:AE1042" si="330">(F1007-(V1007*$D1007))*AB1007</f>
        <v>0</v>
      </c>
      <c r="AF1007" s="539"/>
      <c r="AG1007" s="104">
        <f t="shared" ref="AG1007:AG1042" si="331">$AG$6</f>
        <v>1</v>
      </c>
      <c r="AH1007" s="7">
        <f t="shared" ref="AH1007:AH1042" si="332">IF(ISERROR(AK1007/AF1007),0,AK1007/AF1007)</f>
        <v>0</v>
      </c>
      <c r="AI1007" s="6">
        <f t="shared" ref="AI1007:AI1042" si="333">AE1007*AG1007</f>
        <v>0</v>
      </c>
      <c r="AJ1007" s="73">
        <f t="shared" ref="AJ1007:AJ1042" si="334">IF(ISERROR(+AC1007/AI1007),0,+AC1007/AI1007)</f>
        <v>0</v>
      </c>
      <c r="AK1007" s="539"/>
      <c r="AL1007" s="748"/>
      <c r="AM1007" s="748"/>
    </row>
    <row r="1008" spans="2:39" x14ac:dyDescent="0.2">
      <c r="B1008" s="101" t="str">
        <f t="shared" si="319"/>
        <v/>
      </c>
      <c r="C1008" s="168">
        <f>IF(ISERROR(Personalplanung!F72/Monatsplanung!$E72*Monatsplanung!$P72),0,Personalplanung!F72/Monatsplanung!$E72*Monatsplanung!$P72)</f>
        <v>0</v>
      </c>
      <c r="D1008" s="168">
        <f t="shared" si="320"/>
        <v>0</v>
      </c>
      <c r="E1008" s="168">
        <f>IF(ISERROR(Personalplanung!H72/Monatsplanung!$E72*Monatsplanung!$P72),0,Personalplanung!H72/Monatsplanung!$E72*Monatsplanung!$P72)</f>
        <v>0</v>
      </c>
      <c r="F1008" s="168">
        <f t="shared" si="321"/>
        <v>0</v>
      </c>
      <c r="G1008" s="168">
        <f t="shared" si="322"/>
        <v>27.700831024930746</v>
      </c>
      <c r="H1008" s="168">
        <f t="shared" si="323"/>
        <v>0</v>
      </c>
      <c r="I1008" s="168">
        <f t="shared" si="324"/>
        <v>30</v>
      </c>
      <c r="J1008" s="739"/>
      <c r="K1008" s="168">
        <f>IF(J1008&lt;&gt;"",J1008,IF(ISERROR(Personalplanung!AB72/Monatsplanung!$E72*Monatsplanung!$G72),0,Personalplanung!AB72/Monatsplanung!$E72*Monatsplanung!$P72))</f>
        <v>0</v>
      </c>
      <c r="L1008" s="740"/>
      <c r="M1008" s="739"/>
      <c r="N1008" s="168">
        <f>IF(M1008&lt;&gt;"",M1008,IF(ISERROR(Personalplanung!AC72/Monatsplanung!$E72*Monatsplanung!$G72),0,Personalplanung!AC72/Monatsplanung!$E72*Monatsplanung!$P72))</f>
        <v>0</v>
      </c>
      <c r="O1008" s="740"/>
      <c r="P1008" s="739"/>
      <c r="Q1008" s="168">
        <f>IF(P1008&lt;&gt;"",P1008,IF(ISERROR(Personalplanung!AD72/Monatsplanung!$E72*Monatsplanung!$G72),0,Personalplanung!AD72/Monatsplanung!$E72*Monatsplanung!$P72))</f>
        <v>0</v>
      </c>
      <c r="R1008" s="740"/>
      <c r="S1008" s="739"/>
      <c r="T1008" s="168">
        <f>IF(S1008&lt;&gt;"",S1008,IF(ISERROR(Personalplanung!AE72/Monatsplanung!$E72*Monatsplanung!$G72),0,Personalplanung!AE72/Monatsplanung!$E72*Monatsplanung!$P72))</f>
        <v>0</v>
      </c>
      <c r="U1008" s="740"/>
      <c r="V1008" s="168">
        <f t="shared" si="325"/>
        <v>0</v>
      </c>
      <c r="W1008" s="168">
        <f>IF(ISERROR(Personalplanung!P72/Monatsplanung!$E72*Monatsplanung!$P72),0,Personalplanung!P72/Monatsplanung!$E72*Monatsplanung!$P72)</f>
        <v>0</v>
      </c>
      <c r="X1008" s="168">
        <f>IF(ISERROR(Personalplanung!Q72/Monatsplanung!$E72*Monatsplanung!$P72),0,Personalplanung!Q72/Monatsplanung!$E72*Monatsplanung!$P72)</f>
        <v>0</v>
      </c>
      <c r="Y1008" s="168">
        <f>IF(ISERROR(Personalplanung!R72/T1320*Stundencontrolling!T1008),0,Personalplanung!R72/T1320*Stundencontrolling!T1008)</f>
        <v>0</v>
      </c>
      <c r="Z1008" s="168">
        <f>IF(ISERROR(Personalplanung!S72/Monatsplanung!$E72*Monatsplanung!$P72),0,Personalplanung!S72/Monatsplanung!$E72*Monatsplanung!$P72)</f>
        <v>0</v>
      </c>
      <c r="AA1008" s="80">
        <f t="shared" si="326"/>
        <v>0</v>
      </c>
      <c r="AB1008" s="102">
        <f t="shared" si="327"/>
        <v>0.1</v>
      </c>
      <c r="AC1008" s="103">
        <f t="shared" si="328"/>
        <v>0</v>
      </c>
      <c r="AD1008" s="103">
        <f t="shared" si="329"/>
        <v>0</v>
      </c>
      <c r="AE1008" s="81">
        <f t="shared" si="330"/>
        <v>0</v>
      </c>
      <c r="AF1008" s="539"/>
      <c r="AG1008" s="104">
        <f t="shared" si="331"/>
        <v>1</v>
      </c>
      <c r="AH1008" s="7">
        <f t="shared" si="332"/>
        <v>0</v>
      </c>
      <c r="AI1008" s="6">
        <f t="shared" si="333"/>
        <v>0</v>
      </c>
      <c r="AJ1008" s="73">
        <f t="shared" si="334"/>
        <v>0</v>
      </c>
      <c r="AK1008" s="539"/>
      <c r="AL1008" s="748"/>
      <c r="AM1008" s="748"/>
    </row>
    <row r="1009" spans="2:39" x14ac:dyDescent="0.2">
      <c r="B1009" s="101" t="str">
        <f t="shared" si="319"/>
        <v/>
      </c>
      <c r="C1009" s="168">
        <f>IF(ISERROR(Personalplanung!F73/Monatsplanung!$E73*Monatsplanung!$P73),0,Personalplanung!F73/Monatsplanung!$E73*Monatsplanung!$P73)</f>
        <v>0</v>
      </c>
      <c r="D1009" s="168">
        <f t="shared" si="320"/>
        <v>0</v>
      </c>
      <c r="E1009" s="168">
        <f>IF(ISERROR(Personalplanung!H73/Monatsplanung!$E73*Monatsplanung!$P73),0,Personalplanung!H73/Monatsplanung!$E73*Monatsplanung!$P73)</f>
        <v>0</v>
      </c>
      <c r="F1009" s="168">
        <f t="shared" si="321"/>
        <v>0</v>
      </c>
      <c r="G1009" s="168">
        <f t="shared" si="322"/>
        <v>27.700831024930746</v>
      </c>
      <c r="H1009" s="168">
        <f t="shared" si="323"/>
        <v>0</v>
      </c>
      <c r="I1009" s="168">
        <f t="shared" si="324"/>
        <v>30</v>
      </c>
      <c r="J1009" s="739"/>
      <c r="K1009" s="168">
        <f>IF(J1009&lt;&gt;"",J1009,IF(ISERROR(Personalplanung!AB73/Monatsplanung!$E73*Monatsplanung!$G73),0,Personalplanung!AB73/Monatsplanung!$E73*Monatsplanung!$P73))</f>
        <v>0</v>
      </c>
      <c r="L1009" s="740"/>
      <c r="M1009" s="739"/>
      <c r="N1009" s="168">
        <f>IF(M1009&lt;&gt;"",M1009,IF(ISERROR(Personalplanung!AC73/Monatsplanung!$E73*Monatsplanung!$G73),0,Personalplanung!AC73/Monatsplanung!$E73*Monatsplanung!$P73))</f>
        <v>0</v>
      </c>
      <c r="O1009" s="740"/>
      <c r="P1009" s="739"/>
      <c r="Q1009" s="168">
        <f>IF(P1009&lt;&gt;"",P1009,IF(ISERROR(Personalplanung!AD73/Monatsplanung!$E73*Monatsplanung!$G73),0,Personalplanung!AD73/Monatsplanung!$E73*Monatsplanung!$P73))</f>
        <v>0</v>
      </c>
      <c r="R1009" s="740"/>
      <c r="S1009" s="739"/>
      <c r="T1009" s="168">
        <f>IF(S1009&lt;&gt;"",S1009,IF(ISERROR(Personalplanung!AE73/Monatsplanung!$E73*Monatsplanung!$G73),0,Personalplanung!AE73/Monatsplanung!$E73*Monatsplanung!$P73))</f>
        <v>0</v>
      </c>
      <c r="U1009" s="740"/>
      <c r="V1009" s="168">
        <f t="shared" si="325"/>
        <v>0</v>
      </c>
      <c r="W1009" s="168">
        <f>IF(ISERROR(Personalplanung!P73/Monatsplanung!$E73*Monatsplanung!$P73),0,Personalplanung!P73/Monatsplanung!$E73*Monatsplanung!$P73)</f>
        <v>0</v>
      </c>
      <c r="X1009" s="168">
        <f>IF(ISERROR(Personalplanung!Q73/Monatsplanung!$E73*Monatsplanung!$P73),0,Personalplanung!Q73/Monatsplanung!$E73*Monatsplanung!$P73)</f>
        <v>0</v>
      </c>
      <c r="Y1009" s="168">
        <f>IF(ISERROR(Personalplanung!R73/T1321*Stundencontrolling!T1009),0,Personalplanung!R73/T1321*Stundencontrolling!T1009)</f>
        <v>0</v>
      </c>
      <c r="Z1009" s="168">
        <f>IF(ISERROR(Personalplanung!S73/Monatsplanung!$E73*Monatsplanung!$P73),0,Personalplanung!S73/Monatsplanung!$E73*Monatsplanung!$P73)</f>
        <v>0</v>
      </c>
      <c r="AA1009" s="80">
        <f t="shared" si="326"/>
        <v>0</v>
      </c>
      <c r="AB1009" s="102">
        <f t="shared" si="327"/>
        <v>0.1</v>
      </c>
      <c r="AC1009" s="103">
        <f t="shared" si="328"/>
        <v>0</v>
      </c>
      <c r="AD1009" s="103">
        <f t="shared" si="329"/>
        <v>0</v>
      </c>
      <c r="AE1009" s="81">
        <f t="shared" si="330"/>
        <v>0</v>
      </c>
      <c r="AF1009" s="539"/>
      <c r="AG1009" s="104">
        <f t="shared" si="331"/>
        <v>1</v>
      </c>
      <c r="AH1009" s="7">
        <f t="shared" si="332"/>
        <v>0</v>
      </c>
      <c r="AI1009" s="6">
        <f t="shared" si="333"/>
        <v>0</v>
      </c>
      <c r="AJ1009" s="73">
        <f t="shared" si="334"/>
        <v>0</v>
      </c>
      <c r="AK1009" s="539"/>
      <c r="AL1009" s="748"/>
      <c r="AM1009" s="748"/>
    </row>
    <row r="1010" spans="2:39" x14ac:dyDescent="0.2">
      <c r="B1010" s="101" t="str">
        <f t="shared" si="319"/>
        <v/>
      </c>
      <c r="C1010" s="168">
        <f>IF(ISERROR(Personalplanung!F74/Monatsplanung!$E74*Monatsplanung!$P74),0,Personalplanung!F74/Monatsplanung!$E74*Monatsplanung!$P74)</f>
        <v>0</v>
      </c>
      <c r="D1010" s="168">
        <f t="shared" si="320"/>
        <v>0</v>
      </c>
      <c r="E1010" s="168">
        <f>IF(ISERROR(Personalplanung!H74/Monatsplanung!$E74*Monatsplanung!$P74),0,Personalplanung!H74/Monatsplanung!$E74*Monatsplanung!$P74)</f>
        <v>0</v>
      </c>
      <c r="F1010" s="168">
        <f t="shared" si="321"/>
        <v>0</v>
      </c>
      <c r="G1010" s="168">
        <f t="shared" si="322"/>
        <v>27.700831024930746</v>
      </c>
      <c r="H1010" s="168">
        <f t="shared" si="323"/>
        <v>0</v>
      </c>
      <c r="I1010" s="168">
        <f t="shared" si="324"/>
        <v>30</v>
      </c>
      <c r="J1010" s="739"/>
      <c r="K1010" s="168">
        <f>IF(J1010&lt;&gt;"",J1010,IF(ISERROR(Personalplanung!AB74/Monatsplanung!$E74*Monatsplanung!$G74),0,Personalplanung!AB74/Monatsplanung!$E74*Monatsplanung!$P74))</f>
        <v>0</v>
      </c>
      <c r="L1010" s="740"/>
      <c r="M1010" s="739"/>
      <c r="N1010" s="168">
        <f>IF(M1010&lt;&gt;"",M1010,IF(ISERROR(Personalplanung!AC74/Monatsplanung!$E74*Monatsplanung!$G74),0,Personalplanung!AC74/Monatsplanung!$E74*Monatsplanung!$P74))</f>
        <v>0</v>
      </c>
      <c r="O1010" s="740"/>
      <c r="P1010" s="739"/>
      <c r="Q1010" s="168">
        <f>IF(P1010&lt;&gt;"",P1010,IF(ISERROR(Personalplanung!AD74/Monatsplanung!$E74*Monatsplanung!$G74),0,Personalplanung!AD74/Monatsplanung!$E74*Monatsplanung!$P74))</f>
        <v>0</v>
      </c>
      <c r="R1010" s="740"/>
      <c r="S1010" s="739"/>
      <c r="T1010" s="168">
        <f>IF(S1010&lt;&gt;"",S1010,IF(ISERROR(Personalplanung!AE74/Monatsplanung!$E74*Monatsplanung!$G74),0,Personalplanung!AE74/Monatsplanung!$E74*Monatsplanung!$P74))</f>
        <v>0</v>
      </c>
      <c r="U1010" s="740"/>
      <c r="V1010" s="168">
        <f t="shared" si="325"/>
        <v>0</v>
      </c>
      <c r="W1010" s="168">
        <f>IF(ISERROR(Personalplanung!P74/Monatsplanung!$E74*Monatsplanung!$P74),0,Personalplanung!P74/Monatsplanung!$E74*Monatsplanung!$P74)</f>
        <v>0</v>
      </c>
      <c r="X1010" s="168">
        <f>IF(ISERROR(Personalplanung!Q74/Monatsplanung!$E74*Monatsplanung!$P74),0,Personalplanung!Q74/Monatsplanung!$E74*Monatsplanung!$P74)</f>
        <v>0</v>
      </c>
      <c r="Y1010" s="168">
        <f>IF(ISERROR(Personalplanung!R74/T1322*Stundencontrolling!T1010),0,Personalplanung!R74/T1322*Stundencontrolling!T1010)</f>
        <v>0</v>
      </c>
      <c r="Z1010" s="168">
        <f>IF(ISERROR(Personalplanung!S74/Monatsplanung!$E74*Monatsplanung!$P74),0,Personalplanung!S74/Monatsplanung!$E74*Monatsplanung!$P74)</f>
        <v>0</v>
      </c>
      <c r="AA1010" s="80">
        <f t="shared" si="326"/>
        <v>0</v>
      </c>
      <c r="AB1010" s="102">
        <f t="shared" si="327"/>
        <v>0.1</v>
      </c>
      <c r="AC1010" s="103">
        <f t="shared" si="328"/>
        <v>0</v>
      </c>
      <c r="AD1010" s="103">
        <f t="shared" si="329"/>
        <v>0</v>
      </c>
      <c r="AE1010" s="81">
        <f t="shared" si="330"/>
        <v>0</v>
      </c>
      <c r="AF1010" s="539"/>
      <c r="AG1010" s="104">
        <f t="shared" si="331"/>
        <v>1</v>
      </c>
      <c r="AH1010" s="7">
        <f t="shared" si="332"/>
        <v>0</v>
      </c>
      <c r="AI1010" s="6">
        <f t="shared" si="333"/>
        <v>0</v>
      </c>
      <c r="AJ1010" s="73">
        <f t="shared" si="334"/>
        <v>0</v>
      </c>
      <c r="AK1010" s="539"/>
      <c r="AL1010" s="748"/>
      <c r="AM1010" s="748"/>
    </row>
    <row r="1011" spans="2:39" x14ac:dyDescent="0.2">
      <c r="B1011" s="101" t="str">
        <f t="shared" si="319"/>
        <v/>
      </c>
      <c r="C1011" s="168">
        <f>IF(ISERROR(Personalplanung!F75/Monatsplanung!$E75*Monatsplanung!$P75),0,Personalplanung!F75/Monatsplanung!$E75*Monatsplanung!$P75)</f>
        <v>0</v>
      </c>
      <c r="D1011" s="168">
        <f t="shared" si="320"/>
        <v>0</v>
      </c>
      <c r="E1011" s="168">
        <f>IF(ISERROR(Personalplanung!H75/Monatsplanung!$E75*Monatsplanung!$P75),0,Personalplanung!H75/Monatsplanung!$E75*Monatsplanung!$P75)</f>
        <v>0</v>
      </c>
      <c r="F1011" s="168">
        <f t="shared" si="321"/>
        <v>0</v>
      </c>
      <c r="G1011" s="168">
        <f t="shared" si="322"/>
        <v>27.700831024930746</v>
      </c>
      <c r="H1011" s="168">
        <f t="shared" si="323"/>
        <v>0</v>
      </c>
      <c r="I1011" s="168">
        <f t="shared" si="324"/>
        <v>30</v>
      </c>
      <c r="J1011" s="739"/>
      <c r="K1011" s="168">
        <f>IF(J1011&lt;&gt;"",J1011,IF(ISERROR(Personalplanung!AB75/Monatsplanung!$E75*Monatsplanung!$G75),0,Personalplanung!AB75/Monatsplanung!$E75*Monatsplanung!$P75))</f>
        <v>0</v>
      </c>
      <c r="L1011" s="740"/>
      <c r="M1011" s="739"/>
      <c r="N1011" s="168">
        <f>IF(M1011&lt;&gt;"",M1011,IF(ISERROR(Personalplanung!AC75/Monatsplanung!$E75*Monatsplanung!$G75),0,Personalplanung!AC75/Monatsplanung!$E75*Monatsplanung!$P75))</f>
        <v>0</v>
      </c>
      <c r="O1011" s="740"/>
      <c r="P1011" s="739"/>
      <c r="Q1011" s="168">
        <f>IF(P1011&lt;&gt;"",P1011,IF(ISERROR(Personalplanung!AD75/Monatsplanung!$E75*Monatsplanung!$G75),0,Personalplanung!AD75/Monatsplanung!$E75*Monatsplanung!$P75))</f>
        <v>0</v>
      </c>
      <c r="R1011" s="740"/>
      <c r="S1011" s="739"/>
      <c r="T1011" s="168">
        <f>IF(S1011&lt;&gt;"",S1011,IF(ISERROR(Personalplanung!AE75/Monatsplanung!$E75*Monatsplanung!$G75),0,Personalplanung!AE75/Monatsplanung!$E75*Monatsplanung!$P75))</f>
        <v>0</v>
      </c>
      <c r="U1011" s="740"/>
      <c r="V1011" s="168">
        <f t="shared" si="325"/>
        <v>0</v>
      </c>
      <c r="W1011" s="168">
        <f>IF(ISERROR(Personalplanung!P75/Monatsplanung!$E75*Monatsplanung!$P75),0,Personalplanung!P75/Monatsplanung!$E75*Monatsplanung!$P75)</f>
        <v>0</v>
      </c>
      <c r="X1011" s="168">
        <f>IF(ISERROR(Personalplanung!Q75/Monatsplanung!$E75*Monatsplanung!$P75),0,Personalplanung!Q75/Monatsplanung!$E75*Monatsplanung!$P75)</f>
        <v>0</v>
      </c>
      <c r="Y1011" s="168">
        <f>IF(ISERROR(Personalplanung!R75/T1323*Stundencontrolling!T1011),0,Personalplanung!R75/T1323*Stundencontrolling!T1011)</f>
        <v>0</v>
      </c>
      <c r="Z1011" s="168">
        <f>IF(ISERROR(Personalplanung!S75/Monatsplanung!$E75*Monatsplanung!$P75),0,Personalplanung!S75/Monatsplanung!$E75*Monatsplanung!$P75)</f>
        <v>0</v>
      </c>
      <c r="AA1011" s="80">
        <f t="shared" si="326"/>
        <v>0</v>
      </c>
      <c r="AB1011" s="102">
        <f t="shared" si="327"/>
        <v>0.1</v>
      </c>
      <c r="AC1011" s="103">
        <f t="shared" si="328"/>
        <v>0</v>
      </c>
      <c r="AD1011" s="103">
        <f t="shared" si="329"/>
        <v>0</v>
      </c>
      <c r="AE1011" s="81">
        <f t="shared" si="330"/>
        <v>0</v>
      </c>
      <c r="AF1011" s="539"/>
      <c r="AG1011" s="104">
        <f t="shared" si="331"/>
        <v>1</v>
      </c>
      <c r="AH1011" s="7">
        <f t="shared" si="332"/>
        <v>0</v>
      </c>
      <c r="AI1011" s="6">
        <f t="shared" si="333"/>
        <v>0</v>
      </c>
      <c r="AJ1011" s="73">
        <f t="shared" si="334"/>
        <v>0</v>
      </c>
      <c r="AK1011" s="539"/>
      <c r="AL1011" s="748"/>
      <c r="AM1011" s="748"/>
    </row>
    <row r="1012" spans="2:39" x14ac:dyDescent="0.2">
      <c r="B1012" s="101" t="str">
        <f t="shared" si="319"/>
        <v/>
      </c>
      <c r="C1012" s="168">
        <f>IF(ISERROR(Personalplanung!F76/Monatsplanung!$E76*Monatsplanung!$P76),0,Personalplanung!F76/Monatsplanung!$E76*Monatsplanung!$P76)</f>
        <v>0</v>
      </c>
      <c r="D1012" s="168">
        <f t="shared" si="320"/>
        <v>0</v>
      </c>
      <c r="E1012" s="168">
        <f>IF(ISERROR(Personalplanung!H76/Monatsplanung!$E76*Monatsplanung!$P76),0,Personalplanung!H76/Monatsplanung!$E76*Monatsplanung!$P76)</f>
        <v>0</v>
      </c>
      <c r="F1012" s="168">
        <f t="shared" si="321"/>
        <v>0</v>
      </c>
      <c r="G1012" s="168">
        <f t="shared" si="322"/>
        <v>27.700831024930746</v>
      </c>
      <c r="H1012" s="168">
        <f t="shared" si="323"/>
        <v>0</v>
      </c>
      <c r="I1012" s="168">
        <f t="shared" si="324"/>
        <v>30</v>
      </c>
      <c r="J1012" s="739"/>
      <c r="K1012" s="168">
        <f>IF(J1012&lt;&gt;"",J1012,IF(ISERROR(Personalplanung!AB76/Monatsplanung!$E76*Monatsplanung!$G76),0,Personalplanung!AB76/Monatsplanung!$E76*Monatsplanung!$P76))</f>
        <v>0</v>
      </c>
      <c r="L1012" s="740"/>
      <c r="M1012" s="739"/>
      <c r="N1012" s="168">
        <f>IF(M1012&lt;&gt;"",M1012,IF(ISERROR(Personalplanung!AC76/Monatsplanung!$E76*Monatsplanung!$G76),0,Personalplanung!AC76/Monatsplanung!$E76*Monatsplanung!$P76))</f>
        <v>0</v>
      </c>
      <c r="O1012" s="740"/>
      <c r="P1012" s="739"/>
      <c r="Q1012" s="168">
        <f>IF(P1012&lt;&gt;"",P1012,IF(ISERROR(Personalplanung!AD76/Monatsplanung!$E76*Monatsplanung!$G76),0,Personalplanung!AD76/Monatsplanung!$E76*Monatsplanung!$P76))</f>
        <v>0</v>
      </c>
      <c r="R1012" s="740"/>
      <c r="S1012" s="739"/>
      <c r="T1012" s="168">
        <f>IF(S1012&lt;&gt;"",S1012,IF(ISERROR(Personalplanung!AE76/Monatsplanung!$E76*Monatsplanung!$G76),0,Personalplanung!AE76/Monatsplanung!$E76*Monatsplanung!$P76))</f>
        <v>0</v>
      </c>
      <c r="U1012" s="740"/>
      <c r="V1012" s="168">
        <f t="shared" si="325"/>
        <v>0</v>
      </c>
      <c r="W1012" s="168">
        <f>IF(ISERROR(Personalplanung!P76/Monatsplanung!$E76*Monatsplanung!$P76),0,Personalplanung!P76/Monatsplanung!$E76*Monatsplanung!$P76)</f>
        <v>0</v>
      </c>
      <c r="X1012" s="168">
        <f>IF(ISERROR(Personalplanung!Q76/Monatsplanung!$E76*Monatsplanung!$P76),0,Personalplanung!Q76/Monatsplanung!$E76*Monatsplanung!$P76)</f>
        <v>0</v>
      </c>
      <c r="Y1012" s="168">
        <f>IF(ISERROR(Personalplanung!R76/T1324*Stundencontrolling!T1012),0,Personalplanung!R76/T1324*Stundencontrolling!T1012)</f>
        <v>0</v>
      </c>
      <c r="Z1012" s="168">
        <f>IF(ISERROR(Personalplanung!S76/Monatsplanung!$E76*Monatsplanung!$P76),0,Personalplanung!S76/Monatsplanung!$E76*Monatsplanung!$P76)</f>
        <v>0</v>
      </c>
      <c r="AA1012" s="80">
        <f t="shared" si="326"/>
        <v>0</v>
      </c>
      <c r="AB1012" s="102">
        <f t="shared" si="327"/>
        <v>0.1</v>
      </c>
      <c r="AC1012" s="103">
        <f t="shared" si="328"/>
        <v>0</v>
      </c>
      <c r="AD1012" s="103">
        <f t="shared" si="329"/>
        <v>0</v>
      </c>
      <c r="AE1012" s="81">
        <f t="shared" si="330"/>
        <v>0</v>
      </c>
      <c r="AF1012" s="539"/>
      <c r="AG1012" s="104">
        <f t="shared" si="331"/>
        <v>1</v>
      </c>
      <c r="AH1012" s="7">
        <f t="shared" si="332"/>
        <v>0</v>
      </c>
      <c r="AI1012" s="6">
        <f t="shared" si="333"/>
        <v>0</v>
      </c>
      <c r="AJ1012" s="73">
        <f t="shared" si="334"/>
        <v>0</v>
      </c>
      <c r="AK1012" s="539"/>
      <c r="AL1012" s="748"/>
      <c r="AM1012" s="748"/>
    </row>
    <row r="1013" spans="2:39" x14ac:dyDescent="0.2">
      <c r="B1013" s="101" t="str">
        <f t="shared" si="319"/>
        <v/>
      </c>
      <c r="C1013" s="168">
        <f>IF(ISERROR(Personalplanung!F77/Monatsplanung!$E77*Monatsplanung!$P77),0,Personalplanung!F77/Monatsplanung!$E77*Monatsplanung!$P77)</f>
        <v>0</v>
      </c>
      <c r="D1013" s="168">
        <f t="shared" si="320"/>
        <v>0</v>
      </c>
      <c r="E1013" s="168">
        <f>IF(ISERROR(Personalplanung!H77/Monatsplanung!$E77*Monatsplanung!$P77),0,Personalplanung!H77/Monatsplanung!$E77*Monatsplanung!$P77)</f>
        <v>0</v>
      </c>
      <c r="F1013" s="168">
        <f t="shared" si="321"/>
        <v>0</v>
      </c>
      <c r="G1013" s="168">
        <f t="shared" si="322"/>
        <v>27.700831024930746</v>
      </c>
      <c r="H1013" s="168">
        <f t="shared" si="323"/>
        <v>0</v>
      </c>
      <c r="I1013" s="168">
        <f t="shared" si="324"/>
        <v>30</v>
      </c>
      <c r="J1013" s="739"/>
      <c r="K1013" s="168">
        <f>IF(J1013&lt;&gt;"",J1013,IF(ISERROR(Personalplanung!AB77/Monatsplanung!$E77*Monatsplanung!$G77),0,Personalplanung!AB77/Monatsplanung!$E77*Monatsplanung!$P77))</f>
        <v>0</v>
      </c>
      <c r="L1013" s="740"/>
      <c r="M1013" s="739"/>
      <c r="N1013" s="168">
        <f>IF(M1013&lt;&gt;"",M1013,IF(ISERROR(Personalplanung!AC77/Monatsplanung!$E77*Monatsplanung!$G77),0,Personalplanung!AC77/Monatsplanung!$E77*Monatsplanung!$P77))</f>
        <v>0</v>
      </c>
      <c r="O1013" s="740"/>
      <c r="P1013" s="739"/>
      <c r="Q1013" s="168">
        <f>IF(P1013&lt;&gt;"",P1013,IF(ISERROR(Personalplanung!AD77/Monatsplanung!$E77*Monatsplanung!$G77),0,Personalplanung!AD77/Monatsplanung!$E77*Monatsplanung!$P77))</f>
        <v>0</v>
      </c>
      <c r="R1013" s="740"/>
      <c r="S1013" s="739"/>
      <c r="T1013" s="168">
        <f>IF(S1013&lt;&gt;"",S1013,IF(ISERROR(Personalplanung!AE77/Monatsplanung!$E77*Monatsplanung!$G77),0,Personalplanung!AE77/Monatsplanung!$E77*Monatsplanung!$P77))</f>
        <v>0</v>
      </c>
      <c r="U1013" s="740"/>
      <c r="V1013" s="168">
        <f t="shared" si="325"/>
        <v>0</v>
      </c>
      <c r="W1013" s="168">
        <f>IF(ISERROR(Personalplanung!P77/Monatsplanung!$E77*Monatsplanung!$P77),0,Personalplanung!P77/Monatsplanung!$E77*Monatsplanung!$P77)</f>
        <v>0</v>
      </c>
      <c r="X1013" s="168">
        <f>IF(ISERROR(Personalplanung!Q77/Monatsplanung!$E77*Monatsplanung!$P77),0,Personalplanung!Q77/Monatsplanung!$E77*Monatsplanung!$P77)</f>
        <v>0</v>
      </c>
      <c r="Y1013" s="168">
        <f>IF(ISERROR(Personalplanung!R77/T1325*Stundencontrolling!T1013),0,Personalplanung!R77/T1325*Stundencontrolling!T1013)</f>
        <v>0</v>
      </c>
      <c r="Z1013" s="168">
        <f>IF(ISERROR(Personalplanung!S77/Monatsplanung!$E77*Monatsplanung!$P77),0,Personalplanung!S77/Monatsplanung!$E77*Monatsplanung!$P77)</f>
        <v>0</v>
      </c>
      <c r="AA1013" s="80">
        <f t="shared" si="326"/>
        <v>0</v>
      </c>
      <c r="AB1013" s="102">
        <f t="shared" si="327"/>
        <v>0.1</v>
      </c>
      <c r="AC1013" s="103">
        <f t="shared" si="328"/>
        <v>0</v>
      </c>
      <c r="AD1013" s="103">
        <f t="shared" si="329"/>
        <v>0</v>
      </c>
      <c r="AE1013" s="81">
        <f t="shared" si="330"/>
        <v>0</v>
      </c>
      <c r="AF1013" s="539"/>
      <c r="AG1013" s="104">
        <f t="shared" si="331"/>
        <v>1</v>
      </c>
      <c r="AH1013" s="7">
        <f t="shared" si="332"/>
        <v>0</v>
      </c>
      <c r="AI1013" s="6">
        <f t="shared" si="333"/>
        <v>0</v>
      </c>
      <c r="AJ1013" s="73">
        <f t="shared" si="334"/>
        <v>0</v>
      </c>
      <c r="AK1013" s="539"/>
      <c r="AL1013" s="748"/>
      <c r="AM1013" s="748"/>
    </row>
    <row r="1014" spans="2:39" x14ac:dyDescent="0.2">
      <c r="B1014" s="101" t="str">
        <f t="shared" si="319"/>
        <v/>
      </c>
      <c r="C1014" s="168">
        <f>IF(ISERROR(Personalplanung!F78/Monatsplanung!$E78*Monatsplanung!$P78),0,Personalplanung!F78/Monatsplanung!$E78*Monatsplanung!$P78)</f>
        <v>0</v>
      </c>
      <c r="D1014" s="168">
        <f t="shared" si="320"/>
        <v>0</v>
      </c>
      <c r="E1014" s="168">
        <f>IF(ISERROR(Personalplanung!H78/Monatsplanung!$E78*Monatsplanung!$P78),0,Personalplanung!H78/Monatsplanung!$E78*Monatsplanung!$P78)</f>
        <v>0</v>
      </c>
      <c r="F1014" s="168">
        <f t="shared" si="321"/>
        <v>0</v>
      </c>
      <c r="G1014" s="168">
        <f t="shared" si="322"/>
        <v>27.700831024930746</v>
      </c>
      <c r="H1014" s="168">
        <f t="shared" si="323"/>
        <v>0</v>
      </c>
      <c r="I1014" s="168">
        <f t="shared" si="324"/>
        <v>30</v>
      </c>
      <c r="J1014" s="739"/>
      <c r="K1014" s="168">
        <f>IF(J1014&lt;&gt;"",J1014,IF(ISERROR(Personalplanung!AB78/Monatsplanung!$E78*Monatsplanung!$G78),0,Personalplanung!AB78/Monatsplanung!$E78*Monatsplanung!$P78))</f>
        <v>0</v>
      </c>
      <c r="L1014" s="740"/>
      <c r="M1014" s="739"/>
      <c r="N1014" s="168">
        <f>IF(M1014&lt;&gt;"",M1014,IF(ISERROR(Personalplanung!AC78/Monatsplanung!$E78*Monatsplanung!$G78),0,Personalplanung!AC78/Monatsplanung!$E78*Monatsplanung!$P78))</f>
        <v>0</v>
      </c>
      <c r="O1014" s="740"/>
      <c r="P1014" s="739"/>
      <c r="Q1014" s="168">
        <f>IF(P1014&lt;&gt;"",P1014,IF(ISERROR(Personalplanung!AD78/Monatsplanung!$E78*Monatsplanung!$G78),0,Personalplanung!AD78/Monatsplanung!$E78*Monatsplanung!$P78))</f>
        <v>0</v>
      </c>
      <c r="R1014" s="740"/>
      <c r="S1014" s="739"/>
      <c r="T1014" s="168">
        <f>IF(S1014&lt;&gt;"",S1014,IF(ISERROR(Personalplanung!AE78/Monatsplanung!$E78*Monatsplanung!$G78),0,Personalplanung!AE78/Monatsplanung!$E78*Monatsplanung!$P78))</f>
        <v>0</v>
      </c>
      <c r="U1014" s="740"/>
      <c r="V1014" s="168">
        <f t="shared" si="325"/>
        <v>0</v>
      </c>
      <c r="W1014" s="168">
        <f>IF(ISERROR(Personalplanung!P78/Monatsplanung!$E78*Monatsplanung!$P78),0,Personalplanung!P78/Monatsplanung!$E78*Monatsplanung!$P78)</f>
        <v>0</v>
      </c>
      <c r="X1014" s="168">
        <f>IF(ISERROR(Personalplanung!Q78/Monatsplanung!$E78*Monatsplanung!$P78),0,Personalplanung!Q78/Monatsplanung!$E78*Monatsplanung!$P78)</f>
        <v>0</v>
      </c>
      <c r="Y1014" s="168">
        <f>IF(ISERROR(Personalplanung!R78/T1326*Stundencontrolling!T1014),0,Personalplanung!R78/T1326*Stundencontrolling!T1014)</f>
        <v>0</v>
      </c>
      <c r="Z1014" s="168">
        <f>IF(ISERROR(Personalplanung!S78/Monatsplanung!$E78*Monatsplanung!$P78),0,Personalplanung!S78/Monatsplanung!$E78*Monatsplanung!$P78)</f>
        <v>0</v>
      </c>
      <c r="AA1014" s="80">
        <f t="shared" si="326"/>
        <v>0</v>
      </c>
      <c r="AB1014" s="102">
        <f t="shared" si="327"/>
        <v>0.1</v>
      </c>
      <c r="AC1014" s="103">
        <f t="shared" si="328"/>
        <v>0</v>
      </c>
      <c r="AD1014" s="103">
        <f t="shared" si="329"/>
        <v>0</v>
      </c>
      <c r="AE1014" s="81">
        <f t="shared" si="330"/>
        <v>0</v>
      </c>
      <c r="AF1014" s="539"/>
      <c r="AG1014" s="104">
        <f t="shared" si="331"/>
        <v>1</v>
      </c>
      <c r="AH1014" s="7">
        <f t="shared" si="332"/>
        <v>0</v>
      </c>
      <c r="AI1014" s="6">
        <f t="shared" si="333"/>
        <v>0</v>
      </c>
      <c r="AJ1014" s="73">
        <f t="shared" si="334"/>
        <v>0</v>
      </c>
      <c r="AK1014" s="539"/>
      <c r="AL1014" s="748"/>
      <c r="AM1014" s="748"/>
    </row>
    <row r="1015" spans="2:39" x14ac:dyDescent="0.2">
      <c r="B1015" s="101" t="str">
        <f t="shared" si="319"/>
        <v/>
      </c>
      <c r="C1015" s="168">
        <f>IF(ISERROR(Personalplanung!F79/Monatsplanung!$E79*Monatsplanung!$P79),0,Personalplanung!F79/Monatsplanung!$E79*Monatsplanung!$P79)</f>
        <v>0</v>
      </c>
      <c r="D1015" s="168">
        <f t="shared" si="320"/>
        <v>0</v>
      </c>
      <c r="E1015" s="168">
        <f>IF(ISERROR(Personalplanung!H79/Monatsplanung!$E79*Monatsplanung!$P79),0,Personalplanung!H79/Monatsplanung!$E79*Monatsplanung!$P79)</f>
        <v>0</v>
      </c>
      <c r="F1015" s="168">
        <f t="shared" si="321"/>
        <v>0</v>
      </c>
      <c r="G1015" s="168">
        <f t="shared" si="322"/>
        <v>27.700831024930746</v>
      </c>
      <c r="H1015" s="168">
        <f t="shared" si="323"/>
        <v>0</v>
      </c>
      <c r="I1015" s="168">
        <f t="shared" si="324"/>
        <v>30</v>
      </c>
      <c r="J1015" s="739"/>
      <c r="K1015" s="168">
        <f>IF(J1015&lt;&gt;"",J1015,IF(ISERROR(Personalplanung!AB79/Monatsplanung!$E79*Monatsplanung!$G79),0,Personalplanung!AB79/Monatsplanung!$E79*Monatsplanung!$P79))</f>
        <v>0</v>
      </c>
      <c r="L1015" s="740"/>
      <c r="M1015" s="739"/>
      <c r="N1015" s="168">
        <f>IF(M1015&lt;&gt;"",M1015,IF(ISERROR(Personalplanung!AC79/Monatsplanung!$E79*Monatsplanung!$G79),0,Personalplanung!AC79/Monatsplanung!$E79*Monatsplanung!$P79))</f>
        <v>0</v>
      </c>
      <c r="O1015" s="740"/>
      <c r="P1015" s="739"/>
      <c r="Q1015" s="168">
        <f>IF(P1015&lt;&gt;"",P1015,IF(ISERROR(Personalplanung!AD79/Monatsplanung!$E79*Monatsplanung!$G79),0,Personalplanung!AD79/Monatsplanung!$E79*Monatsplanung!$P79))</f>
        <v>0</v>
      </c>
      <c r="R1015" s="740"/>
      <c r="S1015" s="739"/>
      <c r="T1015" s="168">
        <f>IF(S1015&lt;&gt;"",S1015,IF(ISERROR(Personalplanung!AE79/Monatsplanung!$E79*Monatsplanung!$G79),0,Personalplanung!AE79/Monatsplanung!$E79*Monatsplanung!$P79))</f>
        <v>0</v>
      </c>
      <c r="U1015" s="740"/>
      <c r="V1015" s="168">
        <f t="shared" si="325"/>
        <v>0</v>
      </c>
      <c r="W1015" s="168">
        <f>IF(ISERROR(Personalplanung!P79/Monatsplanung!$E79*Monatsplanung!$P79),0,Personalplanung!P79/Monatsplanung!$E79*Monatsplanung!$P79)</f>
        <v>0</v>
      </c>
      <c r="X1015" s="168">
        <f>IF(ISERROR(Personalplanung!Q79/Monatsplanung!$E79*Monatsplanung!$P79),0,Personalplanung!Q79/Monatsplanung!$E79*Monatsplanung!$P79)</f>
        <v>0</v>
      </c>
      <c r="Y1015" s="168">
        <f>IF(ISERROR(Personalplanung!R79/T1327*Stundencontrolling!T1015),0,Personalplanung!R79/T1327*Stundencontrolling!T1015)</f>
        <v>0</v>
      </c>
      <c r="Z1015" s="168">
        <f>IF(ISERROR(Personalplanung!S79/Monatsplanung!$E79*Monatsplanung!$P79),0,Personalplanung!S79/Monatsplanung!$E79*Monatsplanung!$P79)</f>
        <v>0</v>
      </c>
      <c r="AA1015" s="80">
        <f t="shared" si="326"/>
        <v>0</v>
      </c>
      <c r="AB1015" s="102">
        <f t="shared" si="327"/>
        <v>0.1</v>
      </c>
      <c r="AC1015" s="103">
        <f t="shared" si="328"/>
        <v>0</v>
      </c>
      <c r="AD1015" s="103">
        <f t="shared" si="329"/>
        <v>0</v>
      </c>
      <c r="AE1015" s="81">
        <f t="shared" si="330"/>
        <v>0</v>
      </c>
      <c r="AF1015" s="539"/>
      <c r="AG1015" s="104">
        <f t="shared" si="331"/>
        <v>1</v>
      </c>
      <c r="AH1015" s="7">
        <f t="shared" si="332"/>
        <v>0</v>
      </c>
      <c r="AI1015" s="6">
        <f t="shared" si="333"/>
        <v>0</v>
      </c>
      <c r="AJ1015" s="73">
        <f t="shared" si="334"/>
        <v>0</v>
      </c>
      <c r="AK1015" s="539"/>
      <c r="AL1015" s="748"/>
      <c r="AM1015" s="748"/>
    </row>
    <row r="1016" spans="2:39" x14ac:dyDescent="0.2">
      <c r="B1016" s="101" t="str">
        <f t="shared" si="319"/>
        <v/>
      </c>
      <c r="C1016" s="168">
        <f>IF(ISERROR(Personalplanung!F80/Monatsplanung!$E80*Monatsplanung!$P80),0,Personalplanung!F80/Monatsplanung!$E80*Monatsplanung!$P80)</f>
        <v>0</v>
      </c>
      <c r="D1016" s="168">
        <f t="shared" si="320"/>
        <v>0</v>
      </c>
      <c r="E1016" s="168">
        <f>IF(ISERROR(Personalplanung!H80/Monatsplanung!$E80*Monatsplanung!$P80),0,Personalplanung!H80/Monatsplanung!$E80*Monatsplanung!$P80)</f>
        <v>0</v>
      </c>
      <c r="F1016" s="168">
        <f t="shared" si="321"/>
        <v>0</v>
      </c>
      <c r="G1016" s="168">
        <f t="shared" si="322"/>
        <v>27.700831024930746</v>
      </c>
      <c r="H1016" s="168">
        <f t="shared" si="323"/>
        <v>0</v>
      </c>
      <c r="I1016" s="168">
        <f t="shared" si="324"/>
        <v>30</v>
      </c>
      <c r="J1016" s="739"/>
      <c r="K1016" s="168">
        <f>IF(J1016&lt;&gt;"",J1016,IF(ISERROR(Personalplanung!AB80/Monatsplanung!$E80*Monatsplanung!$G80),0,Personalplanung!AB80/Monatsplanung!$E80*Monatsplanung!$P80))</f>
        <v>0</v>
      </c>
      <c r="L1016" s="740"/>
      <c r="M1016" s="739"/>
      <c r="N1016" s="168">
        <f>IF(M1016&lt;&gt;"",M1016,IF(ISERROR(Personalplanung!AC80/Monatsplanung!$E80*Monatsplanung!$G80),0,Personalplanung!AC80/Monatsplanung!$E80*Monatsplanung!$P80))</f>
        <v>0</v>
      </c>
      <c r="O1016" s="740"/>
      <c r="P1016" s="739"/>
      <c r="Q1016" s="168">
        <f>IF(P1016&lt;&gt;"",P1016,IF(ISERROR(Personalplanung!AD80/Monatsplanung!$E80*Monatsplanung!$G80),0,Personalplanung!AD80/Monatsplanung!$E80*Monatsplanung!$P80))</f>
        <v>0</v>
      </c>
      <c r="R1016" s="740"/>
      <c r="S1016" s="739"/>
      <c r="T1016" s="168">
        <f>IF(S1016&lt;&gt;"",S1016,IF(ISERROR(Personalplanung!AE80/Monatsplanung!$E80*Monatsplanung!$G80),0,Personalplanung!AE80/Monatsplanung!$E80*Monatsplanung!$P80))</f>
        <v>0</v>
      </c>
      <c r="U1016" s="740"/>
      <c r="V1016" s="168">
        <f t="shared" si="325"/>
        <v>0</v>
      </c>
      <c r="W1016" s="168">
        <f>IF(ISERROR(Personalplanung!P80/Monatsplanung!$E80*Monatsplanung!$P80),0,Personalplanung!P80/Monatsplanung!$E80*Monatsplanung!$P80)</f>
        <v>0</v>
      </c>
      <c r="X1016" s="168">
        <f>IF(ISERROR(Personalplanung!Q80/Monatsplanung!$E80*Monatsplanung!$P80),0,Personalplanung!Q80/Monatsplanung!$E80*Monatsplanung!$P80)</f>
        <v>0</v>
      </c>
      <c r="Y1016" s="168">
        <f>IF(ISERROR(Personalplanung!R80/T1328*Stundencontrolling!T1016),0,Personalplanung!R80/T1328*Stundencontrolling!T1016)</f>
        <v>0</v>
      </c>
      <c r="Z1016" s="168">
        <f>IF(ISERROR(Personalplanung!S80/Monatsplanung!$E80*Monatsplanung!$P80),0,Personalplanung!S80/Monatsplanung!$E80*Monatsplanung!$P80)</f>
        <v>0</v>
      </c>
      <c r="AA1016" s="80">
        <f t="shared" si="326"/>
        <v>0</v>
      </c>
      <c r="AB1016" s="102">
        <f t="shared" si="327"/>
        <v>0.1</v>
      </c>
      <c r="AC1016" s="103">
        <f t="shared" si="328"/>
        <v>0</v>
      </c>
      <c r="AD1016" s="103">
        <f t="shared" si="329"/>
        <v>0</v>
      </c>
      <c r="AE1016" s="81">
        <f t="shared" si="330"/>
        <v>0</v>
      </c>
      <c r="AF1016" s="539"/>
      <c r="AG1016" s="104">
        <f t="shared" si="331"/>
        <v>1</v>
      </c>
      <c r="AH1016" s="7">
        <f t="shared" si="332"/>
        <v>0</v>
      </c>
      <c r="AI1016" s="6">
        <f t="shared" si="333"/>
        <v>0</v>
      </c>
      <c r="AJ1016" s="73">
        <f t="shared" si="334"/>
        <v>0</v>
      </c>
      <c r="AK1016" s="539"/>
      <c r="AL1016" s="748"/>
      <c r="AM1016" s="748"/>
    </row>
    <row r="1017" spans="2:39" x14ac:dyDescent="0.2">
      <c r="B1017" s="101" t="str">
        <f t="shared" si="319"/>
        <v/>
      </c>
      <c r="C1017" s="168">
        <f>IF(ISERROR(Personalplanung!F81/Monatsplanung!$E81*Monatsplanung!$P81),0,Personalplanung!F81/Monatsplanung!$E81*Monatsplanung!$P81)</f>
        <v>0</v>
      </c>
      <c r="D1017" s="168">
        <f t="shared" si="320"/>
        <v>0</v>
      </c>
      <c r="E1017" s="168">
        <f>IF(ISERROR(Personalplanung!H81/Monatsplanung!$E81*Monatsplanung!$P81),0,Personalplanung!H81/Monatsplanung!$E81*Monatsplanung!$P81)</f>
        <v>0</v>
      </c>
      <c r="F1017" s="168">
        <f t="shared" si="321"/>
        <v>0</v>
      </c>
      <c r="G1017" s="168">
        <f t="shared" si="322"/>
        <v>27.700831024930746</v>
      </c>
      <c r="H1017" s="168">
        <f t="shared" si="323"/>
        <v>0</v>
      </c>
      <c r="I1017" s="168">
        <f t="shared" si="324"/>
        <v>30</v>
      </c>
      <c r="J1017" s="739"/>
      <c r="K1017" s="168">
        <f>IF(J1017&lt;&gt;"",J1017,IF(ISERROR(Personalplanung!AB81/Monatsplanung!$E81*Monatsplanung!$G81),0,Personalplanung!AB81/Monatsplanung!$E81*Monatsplanung!$P81))</f>
        <v>0</v>
      </c>
      <c r="L1017" s="740"/>
      <c r="M1017" s="739"/>
      <c r="N1017" s="168">
        <f>IF(M1017&lt;&gt;"",M1017,IF(ISERROR(Personalplanung!AC81/Monatsplanung!$E81*Monatsplanung!$G81),0,Personalplanung!AC81/Monatsplanung!$E81*Monatsplanung!$P81))</f>
        <v>0</v>
      </c>
      <c r="O1017" s="740"/>
      <c r="P1017" s="739"/>
      <c r="Q1017" s="168">
        <f>IF(P1017&lt;&gt;"",P1017,IF(ISERROR(Personalplanung!AD81/Monatsplanung!$E81*Monatsplanung!$G81),0,Personalplanung!AD81/Monatsplanung!$E81*Monatsplanung!$P81))</f>
        <v>0</v>
      </c>
      <c r="R1017" s="740"/>
      <c r="S1017" s="739"/>
      <c r="T1017" s="168">
        <f>IF(S1017&lt;&gt;"",S1017,IF(ISERROR(Personalplanung!AE81/Monatsplanung!$E81*Monatsplanung!$G81),0,Personalplanung!AE81/Monatsplanung!$E81*Monatsplanung!$P81))</f>
        <v>0</v>
      </c>
      <c r="U1017" s="740"/>
      <c r="V1017" s="168">
        <f t="shared" si="325"/>
        <v>0</v>
      </c>
      <c r="W1017" s="168">
        <f>IF(ISERROR(Personalplanung!P81/Monatsplanung!$E81*Monatsplanung!$P81),0,Personalplanung!P81/Monatsplanung!$E81*Monatsplanung!$P81)</f>
        <v>0</v>
      </c>
      <c r="X1017" s="168">
        <f>IF(ISERROR(Personalplanung!Q81/Monatsplanung!$E81*Monatsplanung!$P81),0,Personalplanung!Q81/Monatsplanung!$E81*Monatsplanung!$P81)</f>
        <v>0</v>
      </c>
      <c r="Y1017" s="168">
        <f>IF(ISERROR(Personalplanung!R81/T1329*Stundencontrolling!T1017),0,Personalplanung!R81/T1329*Stundencontrolling!T1017)</f>
        <v>0</v>
      </c>
      <c r="Z1017" s="168">
        <f>IF(ISERROR(Personalplanung!S81/Monatsplanung!$E81*Monatsplanung!$P81),0,Personalplanung!S81/Monatsplanung!$E81*Monatsplanung!$P81)</f>
        <v>0</v>
      </c>
      <c r="AA1017" s="80">
        <f t="shared" si="326"/>
        <v>0</v>
      </c>
      <c r="AB1017" s="102">
        <f t="shared" si="327"/>
        <v>0.1</v>
      </c>
      <c r="AC1017" s="103">
        <f t="shared" si="328"/>
        <v>0</v>
      </c>
      <c r="AD1017" s="103">
        <f t="shared" si="329"/>
        <v>0</v>
      </c>
      <c r="AE1017" s="81">
        <f t="shared" si="330"/>
        <v>0</v>
      </c>
      <c r="AF1017" s="539"/>
      <c r="AG1017" s="104">
        <f t="shared" si="331"/>
        <v>1</v>
      </c>
      <c r="AH1017" s="7">
        <f t="shared" si="332"/>
        <v>0</v>
      </c>
      <c r="AI1017" s="6">
        <f t="shared" si="333"/>
        <v>0</v>
      </c>
      <c r="AJ1017" s="73">
        <f t="shared" si="334"/>
        <v>0</v>
      </c>
      <c r="AK1017" s="539"/>
      <c r="AL1017" s="748"/>
      <c r="AM1017" s="748"/>
    </row>
    <row r="1018" spans="2:39" x14ac:dyDescent="0.2">
      <c r="B1018" s="101" t="str">
        <f t="shared" si="319"/>
        <v/>
      </c>
      <c r="C1018" s="168">
        <f>IF(ISERROR(Personalplanung!F82/Monatsplanung!$E82*Monatsplanung!$P82),0,Personalplanung!F82/Monatsplanung!$E82*Monatsplanung!$P82)</f>
        <v>0</v>
      </c>
      <c r="D1018" s="168">
        <f t="shared" si="320"/>
        <v>0</v>
      </c>
      <c r="E1018" s="168">
        <f>IF(ISERROR(Personalplanung!H82/Monatsplanung!$E82*Monatsplanung!$P82),0,Personalplanung!H82/Monatsplanung!$E82*Monatsplanung!$P82)</f>
        <v>0</v>
      </c>
      <c r="F1018" s="168">
        <f t="shared" si="321"/>
        <v>0</v>
      </c>
      <c r="G1018" s="168">
        <f t="shared" si="322"/>
        <v>27.700831024930746</v>
      </c>
      <c r="H1018" s="168">
        <f t="shared" si="323"/>
        <v>0</v>
      </c>
      <c r="I1018" s="168">
        <f t="shared" si="324"/>
        <v>30</v>
      </c>
      <c r="J1018" s="739"/>
      <c r="K1018" s="168">
        <f>IF(J1018&lt;&gt;"",J1018,IF(ISERROR(Personalplanung!AB82/Monatsplanung!$E82*Monatsplanung!$G82),0,Personalplanung!AB82/Monatsplanung!$E82*Monatsplanung!$P82))</f>
        <v>0</v>
      </c>
      <c r="L1018" s="740"/>
      <c r="M1018" s="739"/>
      <c r="N1018" s="168">
        <f>IF(M1018&lt;&gt;"",M1018,IF(ISERROR(Personalplanung!AC82/Monatsplanung!$E82*Monatsplanung!$G82),0,Personalplanung!AC82/Monatsplanung!$E82*Monatsplanung!$P82))</f>
        <v>0</v>
      </c>
      <c r="O1018" s="740"/>
      <c r="P1018" s="739"/>
      <c r="Q1018" s="168">
        <f>IF(P1018&lt;&gt;"",P1018,IF(ISERROR(Personalplanung!AD82/Monatsplanung!$E82*Monatsplanung!$G82),0,Personalplanung!AD82/Monatsplanung!$E82*Monatsplanung!$P82))</f>
        <v>0</v>
      </c>
      <c r="R1018" s="740"/>
      <c r="S1018" s="739"/>
      <c r="T1018" s="168">
        <f>IF(S1018&lt;&gt;"",S1018,IF(ISERROR(Personalplanung!AE82/Monatsplanung!$E82*Monatsplanung!$G82),0,Personalplanung!AE82/Monatsplanung!$E82*Monatsplanung!$P82))</f>
        <v>0</v>
      </c>
      <c r="U1018" s="740"/>
      <c r="V1018" s="168">
        <f t="shared" si="325"/>
        <v>0</v>
      </c>
      <c r="W1018" s="168">
        <f>IF(ISERROR(Personalplanung!P82/Monatsplanung!$E82*Monatsplanung!$P82),0,Personalplanung!P82/Monatsplanung!$E82*Monatsplanung!$P82)</f>
        <v>0</v>
      </c>
      <c r="X1018" s="168">
        <f>IF(ISERROR(Personalplanung!Q82/Monatsplanung!$E82*Monatsplanung!$P82),0,Personalplanung!Q82/Monatsplanung!$E82*Monatsplanung!$P82)</f>
        <v>0</v>
      </c>
      <c r="Y1018" s="168">
        <f>IF(ISERROR(Personalplanung!R82/T1330*Stundencontrolling!T1018),0,Personalplanung!R82/T1330*Stundencontrolling!T1018)</f>
        <v>0</v>
      </c>
      <c r="Z1018" s="168">
        <f>IF(ISERROR(Personalplanung!S82/Monatsplanung!$E82*Monatsplanung!$P82),0,Personalplanung!S82/Monatsplanung!$E82*Monatsplanung!$P82)</f>
        <v>0</v>
      </c>
      <c r="AA1018" s="80">
        <f t="shared" si="326"/>
        <v>0</v>
      </c>
      <c r="AB1018" s="102">
        <f t="shared" si="327"/>
        <v>0.1</v>
      </c>
      <c r="AC1018" s="103">
        <f t="shared" si="328"/>
        <v>0</v>
      </c>
      <c r="AD1018" s="103">
        <f t="shared" si="329"/>
        <v>0</v>
      </c>
      <c r="AE1018" s="81">
        <f t="shared" si="330"/>
        <v>0</v>
      </c>
      <c r="AF1018" s="539"/>
      <c r="AG1018" s="104">
        <f t="shared" si="331"/>
        <v>1</v>
      </c>
      <c r="AH1018" s="7">
        <f t="shared" si="332"/>
        <v>0</v>
      </c>
      <c r="AI1018" s="6">
        <f t="shared" si="333"/>
        <v>0</v>
      </c>
      <c r="AJ1018" s="73">
        <f t="shared" si="334"/>
        <v>0</v>
      </c>
      <c r="AK1018" s="539"/>
      <c r="AL1018" s="748"/>
      <c r="AM1018" s="748"/>
    </row>
    <row r="1019" spans="2:39" x14ac:dyDescent="0.2">
      <c r="B1019" s="101" t="str">
        <f t="shared" si="319"/>
        <v/>
      </c>
      <c r="C1019" s="168">
        <f>IF(ISERROR(Personalplanung!F83/Monatsplanung!$E83*Monatsplanung!$P83),0,Personalplanung!F83/Monatsplanung!$E83*Monatsplanung!$P83)</f>
        <v>0</v>
      </c>
      <c r="D1019" s="168">
        <f t="shared" si="320"/>
        <v>0</v>
      </c>
      <c r="E1019" s="168">
        <f>IF(ISERROR(Personalplanung!H83/Monatsplanung!$E83*Monatsplanung!$P83),0,Personalplanung!H83/Monatsplanung!$E83*Monatsplanung!$P83)</f>
        <v>0</v>
      </c>
      <c r="F1019" s="168">
        <f t="shared" si="321"/>
        <v>0</v>
      </c>
      <c r="G1019" s="168">
        <f t="shared" si="322"/>
        <v>27.700831024930746</v>
      </c>
      <c r="H1019" s="168">
        <f t="shared" si="323"/>
        <v>0</v>
      </c>
      <c r="I1019" s="168">
        <f t="shared" si="324"/>
        <v>30</v>
      </c>
      <c r="J1019" s="739"/>
      <c r="K1019" s="168">
        <f>IF(J1019&lt;&gt;"",J1019,IF(ISERROR(Personalplanung!AB83/Monatsplanung!$E83*Monatsplanung!$G83),0,Personalplanung!AB83/Monatsplanung!$E83*Monatsplanung!$P83))</f>
        <v>0</v>
      </c>
      <c r="L1019" s="740"/>
      <c r="M1019" s="739"/>
      <c r="N1019" s="168">
        <f>IF(M1019&lt;&gt;"",M1019,IF(ISERROR(Personalplanung!AC83/Monatsplanung!$E83*Monatsplanung!$G83),0,Personalplanung!AC83/Monatsplanung!$E83*Monatsplanung!$P83))</f>
        <v>0</v>
      </c>
      <c r="O1019" s="740"/>
      <c r="P1019" s="739"/>
      <c r="Q1019" s="168">
        <f>IF(P1019&lt;&gt;"",P1019,IF(ISERROR(Personalplanung!AD83/Monatsplanung!$E83*Monatsplanung!$G83),0,Personalplanung!AD83/Monatsplanung!$E83*Monatsplanung!$P83))</f>
        <v>0</v>
      </c>
      <c r="R1019" s="740"/>
      <c r="S1019" s="739"/>
      <c r="T1019" s="168">
        <f>IF(S1019&lt;&gt;"",S1019,IF(ISERROR(Personalplanung!AE83/Monatsplanung!$E83*Monatsplanung!$G83),0,Personalplanung!AE83/Monatsplanung!$E83*Monatsplanung!$P83))</f>
        <v>0</v>
      </c>
      <c r="U1019" s="740"/>
      <c r="V1019" s="168">
        <f t="shared" si="325"/>
        <v>0</v>
      </c>
      <c r="W1019" s="168">
        <f>IF(ISERROR(Personalplanung!P83/Monatsplanung!$E83*Monatsplanung!$P83),0,Personalplanung!P83/Monatsplanung!$E83*Monatsplanung!$P83)</f>
        <v>0</v>
      </c>
      <c r="X1019" s="168">
        <f>IF(ISERROR(Personalplanung!Q83/Monatsplanung!$E83*Monatsplanung!$P83),0,Personalplanung!Q83/Monatsplanung!$E83*Monatsplanung!$P83)</f>
        <v>0</v>
      </c>
      <c r="Y1019" s="168">
        <f>IF(ISERROR(Personalplanung!R83/T1331*Stundencontrolling!T1019),0,Personalplanung!R83/T1331*Stundencontrolling!T1019)</f>
        <v>0</v>
      </c>
      <c r="Z1019" s="168">
        <f>IF(ISERROR(Personalplanung!S83/Monatsplanung!$E83*Monatsplanung!$P83),0,Personalplanung!S83/Monatsplanung!$E83*Monatsplanung!$P83)</f>
        <v>0</v>
      </c>
      <c r="AA1019" s="80">
        <f t="shared" si="326"/>
        <v>0</v>
      </c>
      <c r="AB1019" s="102">
        <f t="shared" si="327"/>
        <v>0.1</v>
      </c>
      <c r="AC1019" s="103">
        <f t="shared" si="328"/>
        <v>0</v>
      </c>
      <c r="AD1019" s="103">
        <f t="shared" si="329"/>
        <v>0</v>
      </c>
      <c r="AE1019" s="81">
        <f t="shared" si="330"/>
        <v>0</v>
      </c>
      <c r="AF1019" s="539"/>
      <c r="AG1019" s="104">
        <f t="shared" si="331"/>
        <v>1</v>
      </c>
      <c r="AH1019" s="7">
        <f t="shared" si="332"/>
        <v>0</v>
      </c>
      <c r="AI1019" s="6">
        <f t="shared" si="333"/>
        <v>0</v>
      </c>
      <c r="AJ1019" s="73">
        <f t="shared" si="334"/>
        <v>0</v>
      </c>
      <c r="AK1019" s="539"/>
      <c r="AL1019" s="748"/>
      <c r="AM1019" s="748"/>
    </row>
    <row r="1020" spans="2:39" x14ac:dyDescent="0.2">
      <c r="B1020" s="101" t="str">
        <f t="shared" si="319"/>
        <v/>
      </c>
      <c r="C1020" s="168">
        <f>IF(ISERROR(Personalplanung!F84/Monatsplanung!$E84*Monatsplanung!$P84),0,Personalplanung!F84/Monatsplanung!$E84*Monatsplanung!$P84)</f>
        <v>0</v>
      </c>
      <c r="D1020" s="168">
        <f t="shared" si="320"/>
        <v>0</v>
      </c>
      <c r="E1020" s="168">
        <f>IF(ISERROR(Personalplanung!H84/Monatsplanung!$E84*Monatsplanung!$P84),0,Personalplanung!H84/Monatsplanung!$E84*Monatsplanung!$P84)</f>
        <v>0</v>
      </c>
      <c r="F1020" s="168">
        <f t="shared" si="321"/>
        <v>0</v>
      </c>
      <c r="G1020" s="168">
        <f t="shared" si="322"/>
        <v>27.700831024930746</v>
      </c>
      <c r="H1020" s="168">
        <f t="shared" si="323"/>
        <v>0</v>
      </c>
      <c r="I1020" s="168">
        <f t="shared" si="324"/>
        <v>30</v>
      </c>
      <c r="J1020" s="739"/>
      <c r="K1020" s="168">
        <f>IF(J1020&lt;&gt;"",J1020,IF(ISERROR(Personalplanung!AB84/Monatsplanung!$E84*Monatsplanung!$G84),0,Personalplanung!AB84/Monatsplanung!$E84*Monatsplanung!$P84))</f>
        <v>0</v>
      </c>
      <c r="L1020" s="740"/>
      <c r="M1020" s="739"/>
      <c r="N1020" s="168">
        <f>IF(M1020&lt;&gt;"",M1020,IF(ISERROR(Personalplanung!AC84/Monatsplanung!$E84*Monatsplanung!$G84),0,Personalplanung!AC84/Monatsplanung!$E84*Monatsplanung!$P84))</f>
        <v>0</v>
      </c>
      <c r="O1020" s="740"/>
      <c r="P1020" s="739"/>
      <c r="Q1020" s="168">
        <f>IF(P1020&lt;&gt;"",P1020,IF(ISERROR(Personalplanung!AD84/Monatsplanung!$E84*Monatsplanung!$G84),0,Personalplanung!AD84/Monatsplanung!$E84*Monatsplanung!$P84))</f>
        <v>0</v>
      </c>
      <c r="R1020" s="740"/>
      <c r="S1020" s="739"/>
      <c r="T1020" s="168">
        <f>IF(S1020&lt;&gt;"",S1020,IF(ISERROR(Personalplanung!AE84/Monatsplanung!$E84*Monatsplanung!$G84),0,Personalplanung!AE84/Monatsplanung!$E84*Monatsplanung!$P84))</f>
        <v>0</v>
      </c>
      <c r="U1020" s="740"/>
      <c r="V1020" s="168">
        <f t="shared" si="325"/>
        <v>0</v>
      </c>
      <c r="W1020" s="168">
        <f>IF(ISERROR(Personalplanung!P84/Monatsplanung!$E84*Monatsplanung!$P84),0,Personalplanung!P84/Monatsplanung!$E84*Monatsplanung!$P84)</f>
        <v>0</v>
      </c>
      <c r="X1020" s="168">
        <f>IF(ISERROR(Personalplanung!Q84/Monatsplanung!$E84*Monatsplanung!$P84),0,Personalplanung!Q84/Monatsplanung!$E84*Monatsplanung!$P84)</f>
        <v>0</v>
      </c>
      <c r="Y1020" s="168">
        <f>IF(ISERROR(Personalplanung!R84/T1332*Stundencontrolling!T1020),0,Personalplanung!R84/T1332*Stundencontrolling!T1020)</f>
        <v>0</v>
      </c>
      <c r="Z1020" s="168">
        <f>IF(ISERROR(Personalplanung!S84/Monatsplanung!$E84*Monatsplanung!$P84),0,Personalplanung!S84/Monatsplanung!$E84*Monatsplanung!$P84)</f>
        <v>0</v>
      </c>
      <c r="AA1020" s="80">
        <f t="shared" si="326"/>
        <v>0</v>
      </c>
      <c r="AB1020" s="102">
        <f t="shared" si="327"/>
        <v>0.1</v>
      </c>
      <c r="AC1020" s="103">
        <f t="shared" si="328"/>
        <v>0</v>
      </c>
      <c r="AD1020" s="103">
        <f t="shared" si="329"/>
        <v>0</v>
      </c>
      <c r="AE1020" s="81">
        <f t="shared" si="330"/>
        <v>0</v>
      </c>
      <c r="AF1020" s="539"/>
      <c r="AG1020" s="104">
        <f t="shared" si="331"/>
        <v>1</v>
      </c>
      <c r="AH1020" s="7">
        <f t="shared" si="332"/>
        <v>0</v>
      </c>
      <c r="AI1020" s="6">
        <f t="shared" si="333"/>
        <v>0</v>
      </c>
      <c r="AJ1020" s="73">
        <f t="shared" si="334"/>
        <v>0</v>
      </c>
      <c r="AK1020" s="539"/>
      <c r="AL1020" s="748"/>
      <c r="AM1020" s="748"/>
    </row>
    <row r="1021" spans="2:39" x14ac:dyDescent="0.2">
      <c r="B1021" s="101" t="str">
        <f t="shared" si="319"/>
        <v/>
      </c>
      <c r="C1021" s="168">
        <f>IF(ISERROR(Personalplanung!F85/Monatsplanung!$E85*Monatsplanung!$P85),0,Personalplanung!F85/Monatsplanung!$E85*Monatsplanung!$P85)</f>
        <v>0</v>
      </c>
      <c r="D1021" s="168">
        <f t="shared" si="320"/>
        <v>0</v>
      </c>
      <c r="E1021" s="168">
        <f>IF(ISERROR(Personalplanung!H85/Monatsplanung!$E85*Monatsplanung!$P85),0,Personalplanung!H85/Monatsplanung!$E85*Monatsplanung!$P85)</f>
        <v>0</v>
      </c>
      <c r="F1021" s="168">
        <f t="shared" si="321"/>
        <v>0</v>
      </c>
      <c r="G1021" s="168">
        <f t="shared" si="322"/>
        <v>27.700831024930746</v>
      </c>
      <c r="H1021" s="168">
        <f t="shared" si="323"/>
        <v>0</v>
      </c>
      <c r="I1021" s="168">
        <f t="shared" si="324"/>
        <v>30</v>
      </c>
      <c r="J1021" s="739"/>
      <c r="K1021" s="168">
        <f>IF(J1021&lt;&gt;"",J1021,IF(ISERROR(Personalplanung!AB85/Monatsplanung!$E85*Monatsplanung!$G85),0,Personalplanung!AB85/Monatsplanung!$E85*Monatsplanung!$P85))</f>
        <v>0</v>
      </c>
      <c r="L1021" s="740"/>
      <c r="M1021" s="739"/>
      <c r="N1021" s="168">
        <f>IF(M1021&lt;&gt;"",M1021,IF(ISERROR(Personalplanung!AC85/Monatsplanung!$E85*Monatsplanung!$G85),0,Personalplanung!AC85/Monatsplanung!$E85*Monatsplanung!$P85))</f>
        <v>0</v>
      </c>
      <c r="O1021" s="740"/>
      <c r="P1021" s="739"/>
      <c r="Q1021" s="168">
        <f>IF(P1021&lt;&gt;"",P1021,IF(ISERROR(Personalplanung!AD85/Monatsplanung!$E85*Monatsplanung!$G85),0,Personalplanung!AD85/Monatsplanung!$E85*Monatsplanung!$P85))</f>
        <v>0</v>
      </c>
      <c r="R1021" s="740"/>
      <c r="S1021" s="739"/>
      <c r="T1021" s="168">
        <f>IF(S1021&lt;&gt;"",S1021,IF(ISERROR(Personalplanung!AE85/Monatsplanung!$E85*Monatsplanung!$G85),0,Personalplanung!AE85/Monatsplanung!$E85*Monatsplanung!$P85))</f>
        <v>0</v>
      </c>
      <c r="U1021" s="740"/>
      <c r="V1021" s="168">
        <f t="shared" si="325"/>
        <v>0</v>
      </c>
      <c r="W1021" s="168">
        <f>IF(ISERROR(Personalplanung!P85/Monatsplanung!$E85*Monatsplanung!$P85),0,Personalplanung!P85/Monatsplanung!$E85*Monatsplanung!$P85)</f>
        <v>0</v>
      </c>
      <c r="X1021" s="168">
        <f>IF(ISERROR(Personalplanung!Q85/Monatsplanung!$E85*Monatsplanung!$P85),0,Personalplanung!Q85/Monatsplanung!$E85*Monatsplanung!$P85)</f>
        <v>0</v>
      </c>
      <c r="Y1021" s="168">
        <f>IF(ISERROR(Personalplanung!R85/T1333*Stundencontrolling!T1021),0,Personalplanung!R85/T1333*Stundencontrolling!T1021)</f>
        <v>0</v>
      </c>
      <c r="Z1021" s="168">
        <f>IF(ISERROR(Personalplanung!S85/Monatsplanung!$E85*Monatsplanung!$P85),0,Personalplanung!S85/Monatsplanung!$E85*Monatsplanung!$P85)</f>
        <v>0</v>
      </c>
      <c r="AA1021" s="80">
        <f t="shared" si="326"/>
        <v>0</v>
      </c>
      <c r="AB1021" s="102">
        <f t="shared" si="327"/>
        <v>0.1</v>
      </c>
      <c r="AC1021" s="103">
        <f t="shared" si="328"/>
        <v>0</v>
      </c>
      <c r="AD1021" s="103">
        <f t="shared" si="329"/>
        <v>0</v>
      </c>
      <c r="AE1021" s="81">
        <f t="shared" si="330"/>
        <v>0</v>
      </c>
      <c r="AF1021" s="539"/>
      <c r="AG1021" s="104">
        <f t="shared" si="331"/>
        <v>1</v>
      </c>
      <c r="AH1021" s="7">
        <f t="shared" si="332"/>
        <v>0</v>
      </c>
      <c r="AI1021" s="6">
        <f t="shared" si="333"/>
        <v>0</v>
      </c>
      <c r="AJ1021" s="73">
        <f t="shared" si="334"/>
        <v>0</v>
      </c>
      <c r="AK1021" s="539"/>
      <c r="AL1021" s="748"/>
      <c r="AM1021" s="748"/>
    </row>
    <row r="1022" spans="2:39" x14ac:dyDescent="0.2">
      <c r="B1022" s="101" t="str">
        <f t="shared" si="319"/>
        <v/>
      </c>
      <c r="C1022" s="168">
        <f>IF(ISERROR(Personalplanung!F86/Monatsplanung!$E86*Monatsplanung!$P86),0,Personalplanung!F86/Monatsplanung!$E86*Monatsplanung!$P86)</f>
        <v>0</v>
      </c>
      <c r="D1022" s="168">
        <f t="shared" si="320"/>
        <v>0</v>
      </c>
      <c r="E1022" s="168">
        <f>IF(ISERROR(Personalplanung!H86/Monatsplanung!$E86*Monatsplanung!$P86),0,Personalplanung!H86/Monatsplanung!$E86*Monatsplanung!$P86)</f>
        <v>0</v>
      </c>
      <c r="F1022" s="168">
        <f t="shared" si="321"/>
        <v>0</v>
      </c>
      <c r="G1022" s="168">
        <f t="shared" si="322"/>
        <v>27.700831024930746</v>
      </c>
      <c r="H1022" s="168">
        <f t="shared" si="323"/>
        <v>0</v>
      </c>
      <c r="I1022" s="168">
        <f t="shared" si="324"/>
        <v>30</v>
      </c>
      <c r="J1022" s="739"/>
      <c r="K1022" s="168">
        <f>IF(J1022&lt;&gt;"",J1022,IF(ISERROR(Personalplanung!AB86/Monatsplanung!$E86*Monatsplanung!$G86),0,Personalplanung!AB86/Monatsplanung!$E86*Monatsplanung!$P86))</f>
        <v>0</v>
      </c>
      <c r="L1022" s="740"/>
      <c r="M1022" s="739"/>
      <c r="N1022" s="168">
        <f>IF(M1022&lt;&gt;"",M1022,IF(ISERROR(Personalplanung!AC86/Monatsplanung!$E86*Monatsplanung!$G86),0,Personalplanung!AC86/Monatsplanung!$E86*Monatsplanung!$P86))</f>
        <v>0</v>
      </c>
      <c r="O1022" s="740"/>
      <c r="P1022" s="739"/>
      <c r="Q1022" s="168">
        <f>IF(P1022&lt;&gt;"",P1022,IF(ISERROR(Personalplanung!AD86/Monatsplanung!$E86*Monatsplanung!$G86),0,Personalplanung!AD86/Monatsplanung!$E86*Monatsplanung!$P86))</f>
        <v>0</v>
      </c>
      <c r="R1022" s="740"/>
      <c r="S1022" s="739"/>
      <c r="T1022" s="168">
        <f>IF(S1022&lt;&gt;"",S1022,IF(ISERROR(Personalplanung!AE86/Monatsplanung!$E86*Monatsplanung!$G86),0,Personalplanung!AE86/Monatsplanung!$E86*Monatsplanung!$P86))</f>
        <v>0</v>
      </c>
      <c r="U1022" s="740"/>
      <c r="V1022" s="168">
        <f t="shared" si="325"/>
        <v>0</v>
      </c>
      <c r="W1022" s="168">
        <f>IF(ISERROR(Personalplanung!P86/Monatsplanung!$E86*Monatsplanung!$P86),0,Personalplanung!P86/Monatsplanung!$E86*Monatsplanung!$P86)</f>
        <v>0</v>
      </c>
      <c r="X1022" s="168">
        <f>IF(ISERROR(Personalplanung!Q86/Monatsplanung!$E86*Monatsplanung!$P86),0,Personalplanung!Q86/Monatsplanung!$E86*Monatsplanung!$P86)</f>
        <v>0</v>
      </c>
      <c r="Y1022" s="168">
        <f>IF(ISERROR(Personalplanung!R86/T1334*Stundencontrolling!T1022),0,Personalplanung!R86/T1334*Stundencontrolling!T1022)</f>
        <v>0</v>
      </c>
      <c r="Z1022" s="168">
        <f>IF(ISERROR(Personalplanung!S86/Monatsplanung!$E86*Monatsplanung!$P86),0,Personalplanung!S86/Monatsplanung!$E86*Monatsplanung!$P86)</f>
        <v>0</v>
      </c>
      <c r="AA1022" s="80">
        <f t="shared" si="326"/>
        <v>0</v>
      </c>
      <c r="AB1022" s="102">
        <f t="shared" si="327"/>
        <v>0.1</v>
      </c>
      <c r="AC1022" s="103">
        <f t="shared" si="328"/>
        <v>0</v>
      </c>
      <c r="AD1022" s="103">
        <f t="shared" si="329"/>
        <v>0</v>
      </c>
      <c r="AE1022" s="81">
        <f t="shared" si="330"/>
        <v>0</v>
      </c>
      <c r="AF1022" s="539"/>
      <c r="AG1022" s="104">
        <f t="shared" si="331"/>
        <v>1</v>
      </c>
      <c r="AH1022" s="7">
        <f t="shared" si="332"/>
        <v>0</v>
      </c>
      <c r="AI1022" s="6">
        <f t="shared" si="333"/>
        <v>0</v>
      </c>
      <c r="AJ1022" s="73">
        <f t="shared" si="334"/>
        <v>0</v>
      </c>
      <c r="AK1022" s="539"/>
      <c r="AL1022" s="748"/>
      <c r="AM1022" s="748"/>
    </row>
    <row r="1023" spans="2:39" x14ac:dyDescent="0.2">
      <c r="B1023" s="101" t="str">
        <f t="shared" si="319"/>
        <v/>
      </c>
      <c r="C1023" s="168">
        <f>IF(ISERROR(Personalplanung!F87/Monatsplanung!$E87*Monatsplanung!$P87),0,Personalplanung!F87/Monatsplanung!$E87*Monatsplanung!$P87)</f>
        <v>0</v>
      </c>
      <c r="D1023" s="168">
        <f t="shared" si="320"/>
        <v>0</v>
      </c>
      <c r="E1023" s="168">
        <f>IF(ISERROR(Personalplanung!H87/Monatsplanung!$E87*Monatsplanung!$P87),0,Personalplanung!H87/Monatsplanung!$E87*Monatsplanung!$P87)</f>
        <v>0</v>
      </c>
      <c r="F1023" s="168">
        <f t="shared" si="321"/>
        <v>0</v>
      </c>
      <c r="G1023" s="168">
        <f t="shared" si="322"/>
        <v>27.700831024930746</v>
      </c>
      <c r="H1023" s="168">
        <f t="shared" si="323"/>
        <v>0</v>
      </c>
      <c r="I1023" s="168">
        <f t="shared" si="324"/>
        <v>30</v>
      </c>
      <c r="J1023" s="739"/>
      <c r="K1023" s="168">
        <f>IF(J1023&lt;&gt;"",J1023,IF(ISERROR(Personalplanung!AB87/Monatsplanung!$E87*Monatsplanung!$G87),0,Personalplanung!AB87/Monatsplanung!$E87*Monatsplanung!$P87))</f>
        <v>0</v>
      </c>
      <c r="L1023" s="740"/>
      <c r="M1023" s="739"/>
      <c r="N1023" s="168">
        <f>IF(M1023&lt;&gt;"",M1023,IF(ISERROR(Personalplanung!AC87/Monatsplanung!$E87*Monatsplanung!$G87),0,Personalplanung!AC87/Monatsplanung!$E87*Monatsplanung!$P87))</f>
        <v>0</v>
      </c>
      <c r="O1023" s="740"/>
      <c r="P1023" s="739"/>
      <c r="Q1023" s="168">
        <f>IF(P1023&lt;&gt;"",P1023,IF(ISERROR(Personalplanung!AD87/Monatsplanung!$E87*Monatsplanung!$G87),0,Personalplanung!AD87/Monatsplanung!$E87*Monatsplanung!$P87))</f>
        <v>0</v>
      </c>
      <c r="R1023" s="740"/>
      <c r="S1023" s="739"/>
      <c r="T1023" s="168">
        <f>IF(S1023&lt;&gt;"",S1023,IF(ISERROR(Personalplanung!AE87/Monatsplanung!$E87*Monatsplanung!$G87),0,Personalplanung!AE87/Monatsplanung!$E87*Monatsplanung!$P87))</f>
        <v>0</v>
      </c>
      <c r="U1023" s="740"/>
      <c r="V1023" s="168">
        <f t="shared" si="325"/>
        <v>0</v>
      </c>
      <c r="W1023" s="168">
        <f>IF(ISERROR(Personalplanung!P87/Monatsplanung!$E87*Monatsplanung!$P87),0,Personalplanung!P87/Monatsplanung!$E87*Monatsplanung!$P87)</f>
        <v>0</v>
      </c>
      <c r="X1023" s="168">
        <f>IF(ISERROR(Personalplanung!Q87/Monatsplanung!$E87*Monatsplanung!$P87),0,Personalplanung!Q87/Monatsplanung!$E87*Monatsplanung!$P87)</f>
        <v>0</v>
      </c>
      <c r="Y1023" s="168">
        <f>IF(ISERROR(Personalplanung!R87/T1335*Stundencontrolling!T1023),0,Personalplanung!R87/T1335*Stundencontrolling!T1023)</f>
        <v>0</v>
      </c>
      <c r="Z1023" s="168">
        <f>IF(ISERROR(Personalplanung!S87/Monatsplanung!$E87*Monatsplanung!$P87),0,Personalplanung!S87/Monatsplanung!$E87*Monatsplanung!$P87)</f>
        <v>0</v>
      </c>
      <c r="AA1023" s="80">
        <f t="shared" si="326"/>
        <v>0</v>
      </c>
      <c r="AB1023" s="102">
        <f t="shared" si="327"/>
        <v>0.1</v>
      </c>
      <c r="AC1023" s="103">
        <f t="shared" si="328"/>
        <v>0</v>
      </c>
      <c r="AD1023" s="103">
        <f t="shared" si="329"/>
        <v>0</v>
      </c>
      <c r="AE1023" s="81">
        <f t="shared" si="330"/>
        <v>0</v>
      </c>
      <c r="AF1023" s="539"/>
      <c r="AG1023" s="104">
        <f t="shared" si="331"/>
        <v>1</v>
      </c>
      <c r="AH1023" s="7">
        <f t="shared" si="332"/>
        <v>0</v>
      </c>
      <c r="AI1023" s="6">
        <f t="shared" si="333"/>
        <v>0</v>
      </c>
      <c r="AJ1023" s="73">
        <f t="shared" si="334"/>
        <v>0</v>
      </c>
      <c r="AK1023" s="539"/>
      <c r="AL1023" s="748"/>
      <c r="AM1023" s="748"/>
    </row>
    <row r="1024" spans="2:39" x14ac:dyDescent="0.2">
      <c r="B1024" s="101" t="str">
        <f t="shared" si="319"/>
        <v/>
      </c>
      <c r="C1024" s="168">
        <f>IF(ISERROR(Personalplanung!F88/Monatsplanung!$E88*Monatsplanung!$P88),0,Personalplanung!F88/Monatsplanung!$E88*Monatsplanung!$P88)</f>
        <v>0</v>
      </c>
      <c r="D1024" s="168">
        <f t="shared" si="320"/>
        <v>0</v>
      </c>
      <c r="E1024" s="168">
        <f>IF(ISERROR(Personalplanung!H88/Monatsplanung!$E88*Monatsplanung!$P88),0,Personalplanung!H88/Monatsplanung!$E88*Monatsplanung!$P88)</f>
        <v>0</v>
      </c>
      <c r="F1024" s="168">
        <f t="shared" si="321"/>
        <v>0</v>
      </c>
      <c r="G1024" s="168">
        <f t="shared" si="322"/>
        <v>27.700831024930746</v>
      </c>
      <c r="H1024" s="168">
        <f t="shared" si="323"/>
        <v>0</v>
      </c>
      <c r="I1024" s="168">
        <f t="shared" si="324"/>
        <v>30</v>
      </c>
      <c r="J1024" s="739"/>
      <c r="K1024" s="168">
        <f>IF(J1024&lt;&gt;"",J1024,IF(ISERROR(Personalplanung!AB88/Monatsplanung!$E88*Monatsplanung!$G88),0,Personalplanung!AB88/Monatsplanung!$E88*Monatsplanung!$P88))</f>
        <v>0</v>
      </c>
      <c r="L1024" s="740"/>
      <c r="M1024" s="739"/>
      <c r="N1024" s="168">
        <f>IF(M1024&lt;&gt;"",M1024,IF(ISERROR(Personalplanung!AC88/Monatsplanung!$E88*Monatsplanung!$G88),0,Personalplanung!AC88/Monatsplanung!$E88*Monatsplanung!$P88))</f>
        <v>0</v>
      </c>
      <c r="O1024" s="740"/>
      <c r="P1024" s="739"/>
      <c r="Q1024" s="168">
        <f>IF(P1024&lt;&gt;"",P1024,IF(ISERROR(Personalplanung!AD88/Monatsplanung!$E88*Monatsplanung!$G88),0,Personalplanung!AD88/Monatsplanung!$E88*Monatsplanung!$P88))</f>
        <v>0</v>
      </c>
      <c r="R1024" s="740"/>
      <c r="S1024" s="739"/>
      <c r="T1024" s="168">
        <f>IF(S1024&lt;&gt;"",S1024,IF(ISERROR(Personalplanung!AE88/Monatsplanung!$E88*Monatsplanung!$G88),0,Personalplanung!AE88/Monatsplanung!$E88*Monatsplanung!$P88))</f>
        <v>0</v>
      </c>
      <c r="U1024" s="740"/>
      <c r="V1024" s="168">
        <f t="shared" si="325"/>
        <v>0</v>
      </c>
      <c r="W1024" s="168">
        <f>IF(ISERROR(Personalplanung!P88/Monatsplanung!$E88*Monatsplanung!$P88),0,Personalplanung!P88/Monatsplanung!$E88*Monatsplanung!$P88)</f>
        <v>0</v>
      </c>
      <c r="X1024" s="168">
        <f>IF(ISERROR(Personalplanung!Q88/Monatsplanung!$E88*Monatsplanung!$P88),0,Personalplanung!Q88/Monatsplanung!$E88*Monatsplanung!$P88)</f>
        <v>0</v>
      </c>
      <c r="Y1024" s="168">
        <f>IF(ISERROR(Personalplanung!R88/T1336*Stundencontrolling!T1024),0,Personalplanung!R88/T1336*Stundencontrolling!T1024)</f>
        <v>0</v>
      </c>
      <c r="Z1024" s="168">
        <f>IF(ISERROR(Personalplanung!S88/Monatsplanung!$E88*Monatsplanung!$P88),0,Personalplanung!S88/Monatsplanung!$E88*Monatsplanung!$P88)</f>
        <v>0</v>
      </c>
      <c r="AA1024" s="80">
        <f t="shared" si="326"/>
        <v>0</v>
      </c>
      <c r="AB1024" s="102">
        <f t="shared" si="327"/>
        <v>0.1</v>
      </c>
      <c r="AC1024" s="103">
        <f t="shared" si="328"/>
        <v>0</v>
      </c>
      <c r="AD1024" s="103">
        <f t="shared" si="329"/>
        <v>0</v>
      </c>
      <c r="AE1024" s="81">
        <f t="shared" si="330"/>
        <v>0</v>
      </c>
      <c r="AF1024" s="539"/>
      <c r="AG1024" s="104">
        <f t="shared" si="331"/>
        <v>1</v>
      </c>
      <c r="AH1024" s="7">
        <f t="shared" si="332"/>
        <v>0</v>
      </c>
      <c r="AI1024" s="6">
        <f t="shared" si="333"/>
        <v>0</v>
      </c>
      <c r="AJ1024" s="73">
        <f t="shared" si="334"/>
        <v>0</v>
      </c>
      <c r="AK1024" s="539"/>
      <c r="AL1024" s="748"/>
      <c r="AM1024" s="748"/>
    </row>
    <row r="1025" spans="2:39" x14ac:dyDescent="0.2">
      <c r="B1025" s="101" t="str">
        <f t="shared" si="319"/>
        <v/>
      </c>
      <c r="C1025" s="168">
        <f>IF(ISERROR(Personalplanung!F89/Monatsplanung!$E89*Monatsplanung!$P89),0,Personalplanung!F89/Monatsplanung!$E89*Monatsplanung!$P89)</f>
        <v>0</v>
      </c>
      <c r="D1025" s="168">
        <f t="shared" si="320"/>
        <v>0</v>
      </c>
      <c r="E1025" s="168">
        <f>IF(ISERROR(Personalplanung!H89/Monatsplanung!$E89*Monatsplanung!$P89),0,Personalplanung!H89/Monatsplanung!$E89*Monatsplanung!$P89)</f>
        <v>0</v>
      </c>
      <c r="F1025" s="168">
        <f t="shared" si="321"/>
        <v>0</v>
      </c>
      <c r="G1025" s="168">
        <f t="shared" si="322"/>
        <v>27.700831024930746</v>
      </c>
      <c r="H1025" s="168">
        <f t="shared" si="323"/>
        <v>0</v>
      </c>
      <c r="I1025" s="168">
        <f t="shared" si="324"/>
        <v>30</v>
      </c>
      <c r="J1025" s="739"/>
      <c r="K1025" s="168">
        <f>IF(J1025&lt;&gt;"",J1025,IF(ISERROR(Personalplanung!AB89/Monatsplanung!$E89*Monatsplanung!$G89),0,Personalplanung!AB89/Monatsplanung!$E89*Monatsplanung!$P89))</f>
        <v>0</v>
      </c>
      <c r="L1025" s="740"/>
      <c r="M1025" s="739"/>
      <c r="N1025" s="168">
        <f>IF(M1025&lt;&gt;"",M1025,IF(ISERROR(Personalplanung!AC89/Monatsplanung!$E89*Monatsplanung!$G89),0,Personalplanung!AC89/Monatsplanung!$E89*Monatsplanung!$P89))</f>
        <v>0</v>
      </c>
      <c r="O1025" s="740"/>
      <c r="P1025" s="739"/>
      <c r="Q1025" s="168">
        <f>IF(P1025&lt;&gt;"",P1025,IF(ISERROR(Personalplanung!AD89/Monatsplanung!$E89*Monatsplanung!$G89),0,Personalplanung!AD89/Monatsplanung!$E89*Monatsplanung!$P89))</f>
        <v>0</v>
      </c>
      <c r="R1025" s="740"/>
      <c r="S1025" s="739"/>
      <c r="T1025" s="168">
        <f>IF(S1025&lt;&gt;"",S1025,IF(ISERROR(Personalplanung!AE89/Monatsplanung!$E89*Monatsplanung!$G89),0,Personalplanung!AE89/Monatsplanung!$E89*Monatsplanung!$P89))</f>
        <v>0</v>
      </c>
      <c r="U1025" s="740"/>
      <c r="V1025" s="168">
        <f t="shared" si="325"/>
        <v>0</v>
      </c>
      <c r="W1025" s="168">
        <f>IF(ISERROR(Personalplanung!P89/Monatsplanung!$E89*Monatsplanung!$P89),0,Personalplanung!P89/Monatsplanung!$E89*Monatsplanung!$P89)</f>
        <v>0</v>
      </c>
      <c r="X1025" s="168">
        <f>IF(ISERROR(Personalplanung!Q89/Monatsplanung!$E89*Monatsplanung!$P89),0,Personalplanung!Q89/Monatsplanung!$E89*Monatsplanung!$P89)</f>
        <v>0</v>
      </c>
      <c r="Y1025" s="168">
        <f>IF(ISERROR(Personalplanung!R89/T1337*Stundencontrolling!T1025),0,Personalplanung!R89/T1337*Stundencontrolling!T1025)</f>
        <v>0</v>
      </c>
      <c r="Z1025" s="168">
        <f>IF(ISERROR(Personalplanung!S89/Monatsplanung!$E89*Monatsplanung!$P89),0,Personalplanung!S89/Monatsplanung!$E89*Monatsplanung!$P89)</f>
        <v>0</v>
      </c>
      <c r="AA1025" s="80">
        <f t="shared" si="326"/>
        <v>0</v>
      </c>
      <c r="AB1025" s="102">
        <f t="shared" si="327"/>
        <v>0.1</v>
      </c>
      <c r="AC1025" s="103">
        <f t="shared" si="328"/>
        <v>0</v>
      </c>
      <c r="AD1025" s="103">
        <f t="shared" si="329"/>
        <v>0</v>
      </c>
      <c r="AE1025" s="81">
        <f t="shared" si="330"/>
        <v>0</v>
      </c>
      <c r="AF1025" s="539"/>
      <c r="AG1025" s="104">
        <f t="shared" si="331"/>
        <v>1</v>
      </c>
      <c r="AH1025" s="7">
        <f t="shared" si="332"/>
        <v>0</v>
      </c>
      <c r="AI1025" s="6">
        <f t="shared" si="333"/>
        <v>0</v>
      </c>
      <c r="AJ1025" s="73">
        <f t="shared" si="334"/>
        <v>0</v>
      </c>
      <c r="AK1025" s="539"/>
      <c r="AL1025" s="748"/>
      <c r="AM1025" s="748"/>
    </row>
    <row r="1026" spans="2:39" x14ac:dyDescent="0.2">
      <c r="B1026" s="101" t="str">
        <f t="shared" si="319"/>
        <v/>
      </c>
      <c r="C1026" s="168">
        <f>IF(ISERROR(Personalplanung!F90/Monatsplanung!$E90*Monatsplanung!$P90),0,Personalplanung!F90/Monatsplanung!$E90*Monatsplanung!$P90)</f>
        <v>0</v>
      </c>
      <c r="D1026" s="168">
        <f t="shared" si="320"/>
        <v>0</v>
      </c>
      <c r="E1026" s="168">
        <f>IF(ISERROR(Personalplanung!H90/Monatsplanung!$E90*Monatsplanung!$P90),0,Personalplanung!H90/Monatsplanung!$E90*Monatsplanung!$P90)</f>
        <v>0</v>
      </c>
      <c r="F1026" s="168">
        <f t="shared" si="321"/>
        <v>0</v>
      </c>
      <c r="G1026" s="168">
        <f t="shared" si="322"/>
        <v>27.700831024930746</v>
      </c>
      <c r="H1026" s="168">
        <f t="shared" si="323"/>
        <v>0</v>
      </c>
      <c r="I1026" s="168">
        <f t="shared" si="324"/>
        <v>30</v>
      </c>
      <c r="J1026" s="739"/>
      <c r="K1026" s="168">
        <f>IF(J1026&lt;&gt;"",J1026,IF(ISERROR(Personalplanung!AB90/Monatsplanung!$E90*Monatsplanung!$G90),0,Personalplanung!AB90/Monatsplanung!$E90*Monatsplanung!$P90))</f>
        <v>0</v>
      </c>
      <c r="L1026" s="740"/>
      <c r="M1026" s="739"/>
      <c r="N1026" s="168">
        <f>IF(M1026&lt;&gt;"",M1026,IF(ISERROR(Personalplanung!AC90/Monatsplanung!$E90*Monatsplanung!$G90),0,Personalplanung!AC90/Monatsplanung!$E90*Monatsplanung!$P90))</f>
        <v>0</v>
      </c>
      <c r="O1026" s="740"/>
      <c r="P1026" s="739"/>
      <c r="Q1026" s="168">
        <f>IF(P1026&lt;&gt;"",P1026,IF(ISERROR(Personalplanung!AD90/Monatsplanung!$E90*Monatsplanung!$G90),0,Personalplanung!AD90/Monatsplanung!$E90*Monatsplanung!$P90))</f>
        <v>0</v>
      </c>
      <c r="R1026" s="740"/>
      <c r="S1026" s="739"/>
      <c r="T1026" s="168">
        <f>IF(S1026&lt;&gt;"",S1026,IF(ISERROR(Personalplanung!AE90/Monatsplanung!$E90*Monatsplanung!$G90),0,Personalplanung!AE90/Monatsplanung!$E90*Monatsplanung!$P90))</f>
        <v>0</v>
      </c>
      <c r="U1026" s="740"/>
      <c r="V1026" s="168">
        <f t="shared" si="325"/>
        <v>0</v>
      </c>
      <c r="W1026" s="168">
        <f>IF(ISERROR(Personalplanung!P90/Monatsplanung!$E90*Monatsplanung!$P90),0,Personalplanung!P90/Monatsplanung!$E90*Monatsplanung!$P90)</f>
        <v>0</v>
      </c>
      <c r="X1026" s="168">
        <f>IF(ISERROR(Personalplanung!Q90/Monatsplanung!$E90*Monatsplanung!$P90),0,Personalplanung!Q90/Monatsplanung!$E90*Monatsplanung!$P90)</f>
        <v>0</v>
      </c>
      <c r="Y1026" s="168">
        <f>IF(ISERROR(Personalplanung!R90/T1338*Stundencontrolling!T1026),0,Personalplanung!R90/T1338*Stundencontrolling!T1026)</f>
        <v>0</v>
      </c>
      <c r="Z1026" s="168">
        <f>IF(ISERROR(Personalplanung!S90/Monatsplanung!$E90*Monatsplanung!$P90),0,Personalplanung!S90/Monatsplanung!$E90*Monatsplanung!$P90)</f>
        <v>0</v>
      </c>
      <c r="AA1026" s="80">
        <f t="shared" si="326"/>
        <v>0</v>
      </c>
      <c r="AB1026" s="102">
        <f t="shared" si="327"/>
        <v>0.1</v>
      </c>
      <c r="AC1026" s="103">
        <f t="shared" si="328"/>
        <v>0</v>
      </c>
      <c r="AD1026" s="103">
        <f t="shared" si="329"/>
        <v>0</v>
      </c>
      <c r="AE1026" s="81">
        <f t="shared" si="330"/>
        <v>0</v>
      </c>
      <c r="AF1026" s="539"/>
      <c r="AG1026" s="104">
        <f t="shared" si="331"/>
        <v>1</v>
      </c>
      <c r="AH1026" s="7">
        <f t="shared" si="332"/>
        <v>0</v>
      </c>
      <c r="AI1026" s="6">
        <f t="shared" si="333"/>
        <v>0</v>
      </c>
      <c r="AJ1026" s="73">
        <f t="shared" si="334"/>
        <v>0</v>
      </c>
      <c r="AK1026" s="539"/>
      <c r="AL1026" s="748"/>
      <c r="AM1026" s="748"/>
    </row>
    <row r="1027" spans="2:39" x14ac:dyDescent="0.2">
      <c r="B1027" s="101" t="str">
        <f t="shared" si="319"/>
        <v/>
      </c>
      <c r="C1027" s="168">
        <f>IF(ISERROR(Personalplanung!F91/Monatsplanung!$E91*Monatsplanung!$P91),0,Personalplanung!F91/Monatsplanung!$E91*Monatsplanung!$P91)</f>
        <v>0</v>
      </c>
      <c r="D1027" s="168">
        <f t="shared" si="320"/>
        <v>0</v>
      </c>
      <c r="E1027" s="168">
        <f>IF(ISERROR(Personalplanung!H91/Monatsplanung!$E91*Monatsplanung!$P91),0,Personalplanung!H91/Monatsplanung!$E91*Monatsplanung!$P91)</f>
        <v>0</v>
      </c>
      <c r="F1027" s="168">
        <f t="shared" si="321"/>
        <v>0</v>
      </c>
      <c r="G1027" s="168">
        <f t="shared" si="322"/>
        <v>27.700831024930746</v>
      </c>
      <c r="H1027" s="168">
        <f t="shared" si="323"/>
        <v>0</v>
      </c>
      <c r="I1027" s="168">
        <f t="shared" si="324"/>
        <v>30</v>
      </c>
      <c r="J1027" s="739"/>
      <c r="K1027" s="168">
        <f>IF(J1027&lt;&gt;"",J1027,IF(ISERROR(Personalplanung!AB91/Monatsplanung!$E91*Monatsplanung!$G91),0,Personalplanung!AB91/Monatsplanung!$E91*Monatsplanung!$P91))</f>
        <v>0</v>
      </c>
      <c r="L1027" s="740"/>
      <c r="M1027" s="739"/>
      <c r="N1027" s="168">
        <f>IF(M1027&lt;&gt;"",M1027,IF(ISERROR(Personalplanung!AC91/Monatsplanung!$E91*Monatsplanung!$G91),0,Personalplanung!AC91/Monatsplanung!$E91*Monatsplanung!$P91))</f>
        <v>0</v>
      </c>
      <c r="O1027" s="740"/>
      <c r="P1027" s="739"/>
      <c r="Q1027" s="168">
        <f>IF(P1027&lt;&gt;"",P1027,IF(ISERROR(Personalplanung!AD91/Monatsplanung!$E91*Monatsplanung!$G91),0,Personalplanung!AD91/Monatsplanung!$E91*Monatsplanung!$P91))</f>
        <v>0</v>
      </c>
      <c r="R1027" s="740"/>
      <c r="S1027" s="739"/>
      <c r="T1027" s="168">
        <f>IF(S1027&lt;&gt;"",S1027,IF(ISERROR(Personalplanung!AE91/Monatsplanung!$E91*Monatsplanung!$G91),0,Personalplanung!AE91/Monatsplanung!$E91*Monatsplanung!$P91))</f>
        <v>0</v>
      </c>
      <c r="U1027" s="740"/>
      <c r="V1027" s="168">
        <f t="shared" si="325"/>
        <v>0</v>
      </c>
      <c r="W1027" s="168">
        <f>IF(ISERROR(Personalplanung!P91/Monatsplanung!$E91*Monatsplanung!$P91),0,Personalplanung!P91/Monatsplanung!$E91*Monatsplanung!$P91)</f>
        <v>0</v>
      </c>
      <c r="X1027" s="168">
        <f>IF(ISERROR(Personalplanung!Q91/Monatsplanung!$E91*Monatsplanung!$P91),0,Personalplanung!Q91/Monatsplanung!$E91*Monatsplanung!$P91)</f>
        <v>0</v>
      </c>
      <c r="Y1027" s="168">
        <f>IF(ISERROR(Personalplanung!R91/T1339*Stundencontrolling!T1027),0,Personalplanung!R91/T1339*Stundencontrolling!T1027)</f>
        <v>0</v>
      </c>
      <c r="Z1027" s="168">
        <f>IF(ISERROR(Personalplanung!S91/Monatsplanung!$E91*Monatsplanung!$P91),0,Personalplanung!S91/Monatsplanung!$E91*Monatsplanung!$P91)</f>
        <v>0</v>
      </c>
      <c r="AA1027" s="80">
        <f t="shared" si="326"/>
        <v>0</v>
      </c>
      <c r="AB1027" s="102">
        <f t="shared" si="327"/>
        <v>0.1</v>
      </c>
      <c r="AC1027" s="103">
        <f t="shared" si="328"/>
        <v>0</v>
      </c>
      <c r="AD1027" s="103">
        <f t="shared" si="329"/>
        <v>0</v>
      </c>
      <c r="AE1027" s="81">
        <f t="shared" si="330"/>
        <v>0</v>
      </c>
      <c r="AF1027" s="539"/>
      <c r="AG1027" s="104">
        <f t="shared" si="331"/>
        <v>1</v>
      </c>
      <c r="AH1027" s="7">
        <f t="shared" si="332"/>
        <v>0</v>
      </c>
      <c r="AI1027" s="6">
        <f t="shared" si="333"/>
        <v>0</v>
      </c>
      <c r="AJ1027" s="73">
        <f t="shared" si="334"/>
        <v>0</v>
      </c>
      <c r="AK1027" s="539"/>
      <c r="AL1027" s="748"/>
      <c r="AM1027" s="748"/>
    </row>
    <row r="1028" spans="2:39" x14ac:dyDescent="0.2">
      <c r="B1028" s="101" t="str">
        <f t="shared" si="319"/>
        <v/>
      </c>
      <c r="C1028" s="168">
        <f>IF(ISERROR(Personalplanung!F92/Monatsplanung!$E92*Monatsplanung!$P92),0,Personalplanung!F92/Monatsplanung!$E92*Monatsplanung!$P92)</f>
        <v>0</v>
      </c>
      <c r="D1028" s="168">
        <f t="shared" si="320"/>
        <v>0</v>
      </c>
      <c r="E1028" s="168">
        <f>IF(ISERROR(Personalplanung!H92/Monatsplanung!$E92*Monatsplanung!$P92),0,Personalplanung!H92/Monatsplanung!$E92*Monatsplanung!$P92)</f>
        <v>0</v>
      </c>
      <c r="F1028" s="168">
        <f t="shared" si="321"/>
        <v>0</v>
      </c>
      <c r="G1028" s="168">
        <f t="shared" si="322"/>
        <v>27.700831024930746</v>
      </c>
      <c r="H1028" s="168">
        <f t="shared" si="323"/>
        <v>0</v>
      </c>
      <c r="I1028" s="168">
        <f t="shared" si="324"/>
        <v>30</v>
      </c>
      <c r="J1028" s="739"/>
      <c r="K1028" s="168">
        <f>IF(J1028&lt;&gt;"",J1028,IF(ISERROR(Personalplanung!AB92/Monatsplanung!$E92*Monatsplanung!$G92),0,Personalplanung!AB92/Monatsplanung!$E92*Monatsplanung!$P92))</f>
        <v>0</v>
      </c>
      <c r="L1028" s="740"/>
      <c r="M1028" s="739"/>
      <c r="N1028" s="168">
        <f>IF(M1028&lt;&gt;"",M1028,IF(ISERROR(Personalplanung!AC92/Monatsplanung!$E92*Monatsplanung!$G92),0,Personalplanung!AC92/Monatsplanung!$E92*Monatsplanung!$P92))</f>
        <v>0</v>
      </c>
      <c r="O1028" s="740"/>
      <c r="P1028" s="739"/>
      <c r="Q1028" s="168">
        <f>IF(P1028&lt;&gt;"",P1028,IF(ISERROR(Personalplanung!AD92/Monatsplanung!$E92*Monatsplanung!$G92),0,Personalplanung!AD92/Monatsplanung!$E92*Monatsplanung!$P92))</f>
        <v>0</v>
      </c>
      <c r="R1028" s="740"/>
      <c r="S1028" s="739"/>
      <c r="T1028" s="168">
        <f>IF(S1028&lt;&gt;"",S1028,IF(ISERROR(Personalplanung!AE92/Monatsplanung!$E92*Monatsplanung!$G92),0,Personalplanung!AE92/Monatsplanung!$E92*Monatsplanung!$P92))</f>
        <v>0</v>
      </c>
      <c r="U1028" s="740"/>
      <c r="V1028" s="168">
        <f t="shared" si="325"/>
        <v>0</v>
      </c>
      <c r="W1028" s="168">
        <f>IF(ISERROR(Personalplanung!P92/Monatsplanung!$E92*Monatsplanung!$P92),0,Personalplanung!P92/Monatsplanung!$E92*Monatsplanung!$P92)</f>
        <v>0</v>
      </c>
      <c r="X1028" s="168">
        <f>IF(ISERROR(Personalplanung!Q92/Monatsplanung!$E92*Monatsplanung!$P92),0,Personalplanung!Q92/Monatsplanung!$E92*Monatsplanung!$P92)</f>
        <v>0</v>
      </c>
      <c r="Y1028" s="168">
        <f>IF(ISERROR(Personalplanung!R92/T1340*Stundencontrolling!T1028),0,Personalplanung!R92/T1340*Stundencontrolling!T1028)</f>
        <v>0</v>
      </c>
      <c r="Z1028" s="168">
        <f>IF(ISERROR(Personalplanung!S92/Monatsplanung!$E92*Monatsplanung!$P92),0,Personalplanung!S92/Monatsplanung!$E92*Monatsplanung!$P92)</f>
        <v>0</v>
      </c>
      <c r="AA1028" s="80">
        <f t="shared" si="326"/>
        <v>0</v>
      </c>
      <c r="AB1028" s="102">
        <f t="shared" si="327"/>
        <v>0.1</v>
      </c>
      <c r="AC1028" s="103">
        <f t="shared" si="328"/>
        <v>0</v>
      </c>
      <c r="AD1028" s="103">
        <f t="shared" si="329"/>
        <v>0</v>
      </c>
      <c r="AE1028" s="81">
        <f t="shared" si="330"/>
        <v>0</v>
      </c>
      <c r="AF1028" s="539"/>
      <c r="AG1028" s="104">
        <f t="shared" si="331"/>
        <v>1</v>
      </c>
      <c r="AH1028" s="7">
        <f t="shared" si="332"/>
        <v>0</v>
      </c>
      <c r="AI1028" s="6">
        <f t="shared" si="333"/>
        <v>0</v>
      </c>
      <c r="AJ1028" s="73">
        <f t="shared" si="334"/>
        <v>0</v>
      </c>
      <c r="AK1028" s="539"/>
      <c r="AL1028" s="748"/>
      <c r="AM1028" s="748"/>
    </row>
    <row r="1029" spans="2:39" x14ac:dyDescent="0.2">
      <c r="B1029" s="101" t="str">
        <f t="shared" si="319"/>
        <v/>
      </c>
      <c r="C1029" s="168">
        <f>IF(ISERROR(Personalplanung!F93/Monatsplanung!$E93*Monatsplanung!$P93),0,Personalplanung!F93/Monatsplanung!$E93*Monatsplanung!$P93)</f>
        <v>0</v>
      </c>
      <c r="D1029" s="168">
        <f t="shared" si="320"/>
        <v>0</v>
      </c>
      <c r="E1029" s="168">
        <f>IF(ISERROR(Personalplanung!H93/Monatsplanung!$E93*Monatsplanung!$P93),0,Personalplanung!H93/Monatsplanung!$E93*Monatsplanung!$P93)</f>
        <v>0</v>
      </c>
      <c r="F1029" s="168">
        <f t="shared" si="321"/>
        <v>0</v>
      </c>
      <c r="G1029" s="168">
        <f t="shared" si="322"/>
        <v>27.700831024930746</v>
      </c>
      <c r="H1029" s="168">
        <f t="shared" si="323"/>
        <v>0</v>
      </c>
      <c r="I1029" s="168">
        <f t="shared" si="324"/>
        <v>30</v>
      </c>
      <c r="J1029" s="739"/>
      <c r="K1029" s="168">
        <f>IF(J1029&lt;&gt;"",J1029,IF(ISERROR(Personalplanung!AB93/Monatsplanung!$E93*Monatsplanung!$G93),0,Personalplanung!AB93/Monatsplanung!$E93*Monatsplanung!$P93))</f>
        <v>0</v>
      </c>
      <c r="L1029" s="740"/>
      <c r="M1029" s="739"/>
      <c r="N1029" s="168">
        <f>IF(M1029&lt;&gt;"",M1029,IF(ISERROR(Personalplanung!AC93/Monatsplanung!$E93*Monatsplanung!$G93),0,Personalplanung!AC93/Monatsplanung!$E93*Monatsplanung!$P93))</f>
        <v>0</v>
      </c>
      <c r="O1029" s="740"/>
      <c r="P1029" s="739"/>
      <c r="Q1029" s="168">
        <f>IF(P1029&lt;&gt;"",P1029,IF(ISERROR(Personalplanung!AD93/Monatsplanung!$E93*Monatsplanung!$G93),0,Personalplanung!AD93/Monatsplanung!$E93*Monatsplanung!$P93))</f>
        <v>0</v>
      </c>
      <c r="R1029" s="740"/>
      <c r="S1029" s="739"/>
      <c r="T1029" s="168">
        <f>IF(S1029&lt;&gt;"",S1029,IF(ISERROR(Personalplanung!AE93/Monatsplanung!$E93*Monatsplanung!$G93),0,Personalplanung!AE93/Monatsplanung!$E93*Monatsplanung!$P93))</f>
        <v>0</v>
      </c>
      <c r="U1029" s="740"/>
      <c r="V1029" s="168">
        <f t="shared" si="325"/>
        <v>0</v>
      </c>
      <c r="W1029" s="168">
        <f>IF(ISERROR(Personalplanung!P93/Monatsplanung!$E93*Monatsplanung!$P93),0,Personalplanung!P93/Monatsplanung!$E93*Monatsplanung!$P93)</f>
        <v>0</v>
      </c>
      <c r="X1029" s="168">
        <f>IF(ISERROR(Personalplanung!Q93/Monatsplanung!$E93*Monatsplanung!$P93),0,Personalplanung!Q93/Monatsplanung!$E93*Monatsplanung!$P93)</f>
        <v>0</v>
      </c>
      <c r="Y1029" s="168">
        <f>IF(ISERROR(Personalplanung!R93/T1341*Stundencontrolling!T1029),0,Personalplanung!R93/T1341*Stundencontrolling!T1029)</f>
        <v>0</v>
      </c>
      <c r="Z1029" s="168">
        <f>IF(ISERROR(Personalplanung!S93/Monatsplanung!$E93*Monatsplanung!$P93),0,Personalplanung!S93/Monatsplanung!$E93*Monatsplanung!$P93)</f>
        <v>0</v>
      </c>
      <c r="AA1029" s="80">
        <f t="shared" si="326"/>
        <v>0</v>
      </c>
      <c r="AB1029" s="102">
        <f t="shared" si="327"/>
        <v>0.1</v>
      </c>
      <c r="AC1029" s="103">
        <f t="shared" si="328"/>
        <v>0</v>
      </c>
      <c r="AD1029" s="103">
        <f t="shared" si="329"/>
        <v>0</v>
      </c>
      <c r="AE1029" s="81">
        <f t="shared" si="330"/>
        <v>0</v>
      </c>
      <c r="AF1029" s="539"/>
      <c r="AG1029" s="104">
        <f t="shared" si="331"/>
        <v>1</v>
      </c>
      <c r="AH1029" s="7">
        <f t="shared" si="332"/>
        <v>0</v>
      </c>
      <c r="AI1029" s="6">
        <f t="shared" si="333"/>
        <v>0</v>
      </c>
      <c r="AJ1029" s="73">
        <f t="shared" si="334"/>
        <v>0</v>
      </c>
      <c r="AK1029" s="539"/>
      <c r="AL1029" s="748"/>
      <c r="AM1029" s="748"/>
    </row>
    <row r="1030" spans="2:39" x14ac:dyDescent="0.2">
      <c r="B1030" s="101" t="str">
        <f t="shared" si="319"/>
        <v/>
      </c>
      <c r="C1030" s="168">
        <f>IF(ISERROR(Personalplanung!F94/Monatsplanung!$E94*Monatsplanung!$P94),0,Personalplanung!F94/Monatsplanung!$E94*Monatsplanung!$P94)</f>
        <v>0</v>
      </c>
      <c r="D1030" s="168">
        <f t="shared" si="320"/>
        <v>0</v>
      </c>
      <c r="E1030" s="168">
        <f>IF(ISERROR(Personalplanung!H94/Monatsplanung!$E94*Monatsplanung!$P94),0,Personalplanung!H94/Monatsplanung!$E94*Monatsplanung!$P94)</f>
        <v>0</v>
      </c>
      <c r="F1030" s="168">
        <f t="shared" si="321"/>
        <v>0</v>
      </c>
      <c r="G1030" s="168">
        <f t="shared" si="322"/>
        <v>27.700831024930746</v>
      </c>
      <c r="H1030" s="168">
        <f t="shared" si="323"/>
        <v>0</v>
      </c>
      <c r="I1030" s="168">
        <f t="shared" si="324"/>
        <v>30</v>
      </c>
      <c r="J1030" s="739"/>
      <c r="K1030" s="168">
        <f>IF(J1030&lt;&gt;"",J1030,IF(ISERROR(Personalplanung!AB94/Monatsplanung!$E94*Monatsplanung!$G94),0,Personalplanung!AB94/Monatsplanung!$E94*Monatsplanung!$P94))</f>
        <v>0</v>
      </c>
      <c r="L1030" s="740"/>
      <c r="M1030" s="739"/>
      <c r="N1030" s="168">
        <f>IF(M1030&lt;&gt;"",M1030,IF(ISERROR(Personalplanung!AC94/Monatsplanung!$E94*Monatsplanung!$G94),0,Personalplanung!AC94/Monatsplanung!$E94*Monatsplanung!$P94))</f>
        <v>0</v>
      </c>
      <c r="O1030" s="740"/>
      <c r="P1030" s="739"/>
      <c r="Q1030" s="168">
        <f>IF(P1030&lt;&gt;"",P1030,IF(ISERROR(Personalplanung!AD94/Monatsplanung!$E94*Monatsplanung!$G94),0,Personalplanung!AD94/Monatsplanung!$E94*Monatsplanung!$P94))</f>
        <v>0</v>
      </c>
      <c r="R1030" s="740"/>
      <c r="S1030" s="739"/>
      <c r="T1030" s="168">
        <f>IF(S1030&lt;&gt;"",S1030,IF(ISERROR(Personalplanung!AE94/Monatsplanung!$E94*Monatsplanung!$G94),0,Personalplanung!AE94/Monatsplanung!$E94*Monatsplanung!$P94))</f>
        <v>0</v>
      </c>
      <c r="U1030" s="740"/>
      <c r="V1030" s="168">
        <f t="shared" si="325"/>
        <v>0</v>
      </c>
      <c r="W1030" s="168">
        <f>IF(ISERROR(Personalplanung!P94/Monatsplanung!$E94*Monatsplanung!$P94),0,Personalplanung!P94/Monatsplanung!$E94*Monatsplanung!$P94)</f>
        <v>0</v>
      </c>
      <c r="X1030" s="168">
        <f>IF(ISERROR(Personalplanung!Q94/Monatsplanung!$E94*Monatsplanung!$P94),0,Personalplanung!Q94/Monatsplanung!$E94*Monatsplanung!$P94)</f>
        <v>0</v>
      </c>
      <c r="Y1030" s="168">
        <f>IF(ISERROR(Personalplanung!R94/T1342*Stundencontrolling!T1030),0,Personalplanung!R94/T1342*Stundencontrolling!T1030)</f>
        <v>0</v>
      </c>
      <c r="Z1030" s="168">
        <f>IF(ISERROR(Personalplanung!S94/Monatsplanung!$E94*Monatsplanung!$P94),0,Personalplanung!S94/Monatsplanung!$E94*Monatsplanung!$P94)</f>
        <v>0</v>
      </c>
      <c r="AA1030" s="80">
        <f t="shared" si="326"/>
        <v>0</v>
      </c>
      <c r="AB1030" s="102">
        <f t="shared" si="327"/>
        <v>0.1</v>
      </c>
      <c r="AC1030" s="103">
        <f t="shared" si="328"/>
        <v>0</v>
      </c>
      <c r="AD1030" s="103">
        <f t="shared" si="329"/>
        <v>0</v>
      </c>
      <c r="AE1030" s="81">
        <f t="shared" si="330"/>
        <v>0</v>
      </c>
      <c r="AF1030" s="539"/>
      <c r="AG1030" s="104">
        <f t="shared" si="331"/>
        <v>1</v>
      </c>
      <c r="AH1030" s="7">
        <f t="shared" si="332"/>
        <v>0</v>
      </c>
      <c r="AI1030" s="6">
        <f t="shared" si="333"/>
        <v>0</v>
      </c>
      <c r="AJ1030" s="73">
        <f t="shared" si="334"/>
        <v>0</v>
      </c>
      <c r="AK1030" s="539"/>
      <c r="AL1030" s="748"/>
      <c r="AM1030" s="748"/>
    </row>
    <row r="1031" spans="2:39" x14ac:dyDescent="0.2">
      <c r="B1031" s="101" t="str">
        <f t="shared" si="319"/>
        <v/>
      </c>
      <c r="C1031" s="168">
        <f>IF(ISERROR(Personalplanung!F95/Monatsplanung!$E95*Monatsplanung!$P95),0,Personalplanung!F95/Monatsplanung!$E95*Monatsplanung!$P95)</f>
        <v>0</v>
      </c>
      <c r="D1031" s="168">
        <f t="shared" si="320"/>
        <v>0</v>
      </c>
      <c r="E1031" s="168">
        <f>IF(ISERROR(Personalplanung!H95/Monatsplanung!$E95*Monatsplanung!$P95),0,Personalplanung!H95/Monatsplanung!$E95*Monatsplanung!$P95)</f>
        <v>0</v>
      </c>
      <c r="F1031" s="168">
        <f t="shared" si="321"/>
        <v>0</v>
      </c>
      <c r="G1031" s="168">
        <f t="shared" si="322"/>
        <v>27.700831024930746</v>
      </c>
      <c r="H1031" s="168">
        <f t="shared" si="323"/>
        <v>0</v>
      </c>
      <c r="I1031" s="168">
        <f t="shared" si="324"/>
        <v>30</v>
      </c>
      <c r="J1031" s="739"/>
      <c r="K1031" s="168">
        <f>IF(J1031&lt;&gt;"",J1031,IF(ISERROR(Personalplanung!AB95/Monatsplanung!$E95*Monatsplanung!$G95),0,Personalplanung!AB95/Monatsplanung!$E95*Monatsplanung!$P95))</f>
        <v>0</v>
      </c>
      <c r="L1031" s="740"/>
      <c r="M1031" s="739"/>
      <c r="N1031" s="168">
        <f>IF(M1031&lt;&gt;"",M1031,IF(ISERROR(Personalplanung!AC95/Monatsplanung!$E95*Monatsplanung!$G95),0,Personalplanung!AC95/Monatsplanung!$E95*Monatsplanung!$P95))</f>
        <v>0</v>
      </c>
      <c r="O1031" s="740"/>
      <c r="P1031" s="739"/>
      <c r="Q1031" s="168">
        <f>IF(P1031&lt;&gt;"",P1031,IF(ISERROR(Personalplanung!AD95/Monatsplanung!$E95*Monatsplanung!$G95),0,Personalplanung!AD95/Monatsplanung!$E95*Monatsplanung!$P95))</f>
        <v>0</v>
      </c>
      <c r="R1031" s="740"/>
      <c r="S1031" s="739"/>
      <c r="T1031" s="168">
        <f>IF(S1031&lt;&gt;"",S1031,IF(ISERROR(Personalplanung!AE95/Monatsplanung!$E95*Monatsplanung!$G95),0,Personalplanung!AE95/Monatsplanung!$E95*Monatsplanung!$P95))</f>
        <v>0</v>
      </c>
      <c r="U1031" s="740"/>
      <c r="V1031" s="168">
        <f t="shared" si="325"/>
        <v>0</v>
      </c>
      <c r="W1031" s="168">
        <f>IF(ISERROR(Personalplanung!P95/Monatsplanung!$E95*Monatsplanung!$P95),0,Personalplanung!P95/Monatsplanung!$E95*Monatsplanung!$P95)</f>
        <v>0</v>
      </c>
      <c r="X1031" s="168">
        <f>IF(ISERROR(Personalplanung!Q95/Monatsplanung!$E95*Monatsplanung!$P95),0,Personalplanung!Q95/Monatsplanung!$E95*Monatsplanung!$P95)</f>
        <v>0</v>
      </c>
      <c r="Y1031" s="168">
        <f>IF(ISERROR(Personalplanung!R95/T1343*Stundencontrolling!T1031),0,Personalplanung!R95/T1343*Stundencontrolling!T1031)</f>
        <v>0</v>
      </c>
      <c r="Z1031" s="168">
        <f>IF(ISERROR(Personalplanung!S95/Monatsplanung!$E95*Monatsplanung!$P95),0,Personalplanung!S95/Monatsplanung!$E95*Monatsplanung!$P95)</f>
        <v>0</v>
      </c>
      <c r="AA1031" s="80">
        <f t="shared" si="326"/>
        <v>0</v>
      </c>
      <c r="AB1031" s="102">
        <f t="shared" si="327"/>
        <v>0.1</v>
      </c>
      <c r="AC1031" s="103">
        <f t="shared" si="328"/>
        <v>0</v>
      </c>
      <c r="AD1031" s="103">
        <f t="shared" si="329"/>
        <v>0</v>
      </c>
      <c r="AE1031" s="81">
        <f t="shared" si="330"/>
        <v>0</v>
      </c>
      <c r="AF1031" s="539"/>
      <c r="AG1031" s="104">
        <f t="shared" si="331"/>
        <v>1</v>
      </c>
      <c r="AH1031" s="7">
        <f t="shared" si="332"/>
        <v>0</v>
      </c>
      <c r="AI1031" s="6">
        <f t="shared" si="333"/>
        <v>0</v>
      </c>
      <c r="AJ1031" s="73">
        <f t="shared" si="334"/>
        <v>0</v>
      </c>
      <c r="AK1031" s="539"/>
      <c r="AL1031" s="748"/>
      <c r="AM1031" s="748"/>
    </row>
    <row r="1032" spans="2:39" x14ac:dyDescent="0.2">
      <c r="B1032" s="101" t="str">
        <f t="shared" si="319"/>
        <v/>
      </c>
      <c r="C1032" s="168">
        <f>IF(ISERROR(Personalplanung!F96/Monatsplanung!$E96*Monatsplanung!$P96),0,Personalplanung!F96/Monatsplanung!$E96*Monatsplanung!$P96)</f>
        <v>0</v>
      </c>
      <c r="D1032" s="168">
        <f t="shared" si="320"/>
        <v>0</v>
      </c>
      <c r="E1032" s="168">
        <f>IF(ISERROR(Personalplanung!H96/Monatsplanung!$E96*Monatsplanung!$P96),0,Personalplanung!H96/Monatsplanung!$E96*Monatsplanung!$P96)</f>
        <v>0</v>
      </c>
      <c r="F1032" s="168">
        <f t="shared" si="321"/>
        <v>0</v>
      </c>
      <c r="G1032" s="168">
        <f t="shared" si="322"/>
        <v>27.700831024930746</v>
      </c>
      <c r="H1032" s="168">
        <f t="shared" si="323"/>
        <v>0</v>
      </c>
      <c r="I1032" s="168">
        <f t="shared" si="324"/>
        <v>30</v>
      </c>
      <c r="J1032" s="739"/>
      <c r="K1032" s="168">
        <f>IF(J1032&lt;&gt;"",J1032,IF(ISERROR(Personalplanung!AB96/Monatsplanung!$E96*Monatsplanung!$G96),0,Personalplanung!AB96/Monatsplanung!$E96*Monatsplanung!$P96))</f>
        <v>0</v>
      </c>
      <c r="L1032" s="740"/>
      <c r="M1032" s="739"/>
      <c r="N1032" s="168">
        <f>IF(M1032&lt;&gt;"",M1032,IF(ISERROR(Personalplanung!AC96/Monatsplanung!$E96*Monatsplanung!$G96),0,Personalplanung!AC96/Monatsplanung!$E96*Monatsplanung!$P96))</f>
        <v>0</v>
      </c>
      <c r="O1032" s="740"/>
      <c r="P1032" s="739"/>
      <c r="Q1032" s="168">
        <f>IF(P1032&lt;&gt;"",P1032,IF(ISERROR(Personalplanung!AD96/Monatsplanung!$E96*Monatsplanung!$G96),0,Personalplanung!AD96/Monatsplanung!$E96*Monatsplanung!$P96))</f>
        <v>0</v>
      </c>
      <c r="R1032" s="740"/>
      <c r="S1032" s="739"/>
      <c r="T1032" s="168">
        <f>IF(S1032&lt;&gt;"",S1032,IF(ISERROR(Personalplanung!AE96/Monatsplanung!$E96*Monatsplanung!$G96),0,Personalplanung!AE96/Monatsplanung!$E96*Monatsplanung!$P96))</f>
        <v>0</v>
      </c>
      <c r="U1032" s="740"/>
      <c r="V1032" s="168">
        <f t="shared" si="325"/>
        <v>0</v>
      </c>
      <c r="W1032" s="168">
        <f>IF(ISERROR(Personalplanung!P96/Monatsplanung!$E96*Monatsplanung!$P96),0,Personalplanung!P96/Monatsplanung!$E96*Monatsplanung!$P96)</f>
        <v>0</v>
      </c>
      <c r="X1032" s="168">
        <f>IF(ISERROR(Personalplanung!Q96/Monatsplanung!$E96*Monatsplanung!$P96),0,Personalplanung!Q96/Monatsplanung!$E96*Monatsplanung!$P96)</f>
        <v>0</v>
      </c>
      <c r="Y1032" s="168">
        <f>IF(ISERROR(Personalplanung!R96/T1344*Stundencontrolling!T1032),0,Personalplanung!R96/T1344*Stundencontrolling!T1032)</f>
        <v>0</v>
      </c>
      <c r="Z1032" s="168">
        <f>IF(ISERROR(Personalplanung!S96/Monatsplanung!$E96*Monatsplanung!$P96),0,Personalplanung!S96/Monatsplanung!$E96*Monatsplanung!$P96)</f>
        <v>0</v>
      </c>
      <c r="AA1032" s="80">
        <f t="shared" si="326"/>
        <v>0</v>
      </c>
      <c r="AB1032" s="102">
        <f t="shared" si="327"/>
        <v>0.1</v>
      </c>
      <c r="AC1032" s="103">
        <f t="shared" si="328"/>
        <v>0</v>
      </c>
      <c r="AD1032" s="103">
        <f t="shared" si="329"/>
        <v>0</v>
      </c>
      <c r="AE1032" s="81">
        <f t="shared" si="330"/>
        <v>0</v>
      </c>
      <c r="AF1032" s="539"/>
      <c r="AG1032" s="104">
        <f t="shared" si="331"/>
        <v>1</v>
      </c>
      <c r="AH1032" s="7">
        <f t="shared" si="332"/>
        <v>0</v>
      </c>
      <c r="AI1032" s="6">
        <f t="shared" si="333"/>
        <v>0</v>
      </c>
      <c r="AJ1032" s="73">
        <f t="shared" si="334"/>
        <v>0</v>
      </c>
      <c r="AK1032" s="539"/>
      <c r="AL1032" s="748"/>
      <c r="AM1032" s="748"/>
    </row>
    <row r="1033" spans="2:39" x14ac:dyDescent="0.2">
      <c r="B1033" s="101" t="str">
        <f t="shared" si="319"/>
        <v/>
      </c>
      <c r="C1033" s="168">
        <f>IF(ISERROR(Personalplanung!F97/Monatsplanung!$E97*Monatsplanung!$P97),0,Personalplanung!F97/Monatsplanung!$E97*Monatsplanung!$P97)</f>
        <v>0</v>
      </c>
      <c r="D1033" s="168">
        <f t="shared" si="320"/>
        <v>0</v>
      </c>
      <c r="E1033" s="168">
        <f>IF(ISERROR(Personalplanung!H97/Monatsplanung!$E97*Monatsplanung!$P97),0,Personalplanung!H97/Monatsplanung!$E97*Monatsplanung!$P97)</f>
        <v>0</v>
      </c>
      <c r="F1033" s="168">
        <f t="shared" si="321"/>
        <v>0</v>
      </c>
      <c r="G1033" s="168">
        <f t="shared" si="322"/>
        <v>27.700831024930746</v>
      </c>
      <c r="H1033" s="168">
        <f t="shared" si="323"/>
        <v>0</v>
      </c>
      <c r="I1033" s="168">
        <f t="shared" si="324"/>
        <v>30</v>
      </c>
      <c r="J1033" s="739"/>
      <c r="K1033" s="168">
        <f>IF(J1033&lt;&gt;"",J1033,IF(ISERROR(Personalplanung!AB97/Monatsplanung!$E97*Monatsplanung!$G97),0,Personalplanung!AB97/Monatsplanung!$E97*Monatsplanung!$P97))</f>
        <v>0</v>
      </c>
      <c r="L1033" s="740"/>
      <c r="M1033" s="739"/>
      <c r="N1033" s="168">
        <f>IF(M1033&lt;&gt;"",M1033,IF(ISERROR(Personalplanung!AC97/Monatsplanung!$E97*Monatsplanung!$G97),0,Personalplanung!AC97/Monatsplanung!$E97*Monatsplanung!$P97))</f>
        <v>0</v>
      </c>
      <c r="O1033" s="740"/>
      <c r="P1033" s="739"/>
      <c r="Q1033" s="168">
        <f>IF(P1033&lt;&gt;"",P1033,IF(ISERROR(Personalplanung!AD97/Monatsplanung!$E97*Monatsplanung!$G97),0,Personalplanung!AD97/Monatsplanung!$E97*Monatsplanung!$P97))</f>
        <v>0</v>
      </c>
      <c r="R1033" s="740"/>
      <c r="S1033" s="739"/>
      <c r="T1033" s="168">
        <f>IF(S1033&lt;&gt;"",S1033,IF(ISERROR(Personalplanung!AE97/Monatsplanung!$E97*Monatsplanung!$G97),0,Personalplanung!AE97/Monatsplanung!$E97*Monatsplanung!$P97))</f>
        <v>0</v>
      </c>
      <c r="U1033" s="740"/>
      <c r="V1033" s="168">
        <f t="shared" si="325"/>
        <v>0</v>
      </c>
      <c r="W1033" s="168">
        <f>IF(ISERROR(Personalplanung!P97/Monatsplanung!$E97*Monatsplanung!$P97),0,Personalplanung!P97/Monatsplanung!$E97*Monatsplanung!$P97)</f>
        <v>0</v>
      </c>
      <c r="X1033" s="168">
        <f>IF(ISERROR(Personalplanung!Q97/Monatsplanung!$E97*Monatsplanung!$P97),0,Personalplanung!Q97/Monatsplanung!$E97*Monatsplanung!$P97)</f>
        <v>0</v>
      </c>
      <c r="Y1033" s="168">
        <f>IF(ISERROR(Personalplanung!R97/T1345*Stundencontrolling!T1033),0,Personalplanung!R97/T1345*Stundencontrolling!T1033)</f>
        <v>0</v>
      </c>
      <c r="Z1033" s="168">
        <f>IF(ISERROR(Personalplanung!S97/Monatsplanung!$E97*Monatsplanung!$P97),0,Personalplanung!S97/Monatsplanung!$E97*Monatsplanung!$P97)</f>
        <v>0</v>
      </c>
      <c r="AA1033" s="80">
        <f t="shared" si="326"/>
        <v>0</v>
      </c>
      <c r="AB1033" s="102">
        <f t="shared" si="327"/>
        <v>0.1</v>
      </c>
      <c r="AC1033" s="103">
        <f t="shared" si="328"/>
        <v>0</v>
      </c>
      <c r="AD1033" s="103">
        <f t="shared" si="329"/>
        <v>0</v>
      </c>
      <c r="AE1033" s="81">
        <f t="shared" si="330"/>
        <v>0</v>
      </c>
      <c r="AF1033" s="539"/>
      <c r="AG1033" s="104">
        <f t="shared" si="331"/>
        <v>1</v>
      </c>
      <c r="AH1033" s="7">
        <f t="shared" si="332"/>
        <v>0</v>
      </c>
      <c r="AI1033" s="6">
        <f t="shared" si="333"/>
        <v>0</v>
      </c>
      <c r="AJ1033" s="73">
        <f t="shared" si="334"/>
        <v>0</v>
      </c>
      <c r="AK1033" s="539"/>
      <c r="AL1033" s="748"/>
      <c r="AM1033" s="748"/>
    </row>
    <row r="1034" spans="2:39" x14ac:dyDescent="0.2">
      <c r="B1034" s="101" t="str">
        <f t="shared" si="319"/>
        <v/>
      </c>
      <c r="C1034" s="168">
        <f>IF(ISERROR(Personalplanung!F98/Monatsplanung!$E98*Monatsplanung!$P98),0,Personalplanung!F98/Monatsplanung!$E98*Monatsplanung!$P98)</f>
        <v>0</v>
      </c>
      <c r="D1034" s="168">
        <f t="shared" si="320"/>
        <v>0</v>
      </c>
      <c r="E1034" s="168">
        <f>IF(ISERROR(Personalplanung!H98/Monatsplanung!$E98*Monatsplanung!$P98),0,Personalplanung!H98/Monatsplanung!$E98*Monatsplanung!$P98)</f>
        <v>0</v>
      </c>
      <c r="F1034" s="168">
        <f t="shared" si="321"/>
        <v>0</v>
      </c>
      <c r="G1034" s="168">
        <f t="shared" si="322"/>
        <v>27.700831024930746</v>
      </c>
      <c r="H1034" s="168">
        <f t="shared" si="323"/>
        <v>0</v>
      </c>
      <c r="I1034" s="168">
        <f t="shared" si="324"/>
        <v>30</v>
      </c>
      <c r="J1034" s="739"/>
      <c r="K1034" s="168">
        <f>IF(J1034&lt;&gt;"",J1034,IF(ISERROR(Personalplanung!AB98/Monatsplanung!$E98*Monatsplanung!$G98),0,Personalplanung!AB98/Monatsplanung!$E98*Monatsplanung!$P98))</f>
        <v>0</v>
      </c>
      <c r="L1034" s="740"/>
      <c r="M1034" s="739"/>
      <c r="N1034" s="168">
        <f>IF(M1034&lt;&gt;"",M1034,IF(ISERROR(Personalplanung!AC98/Monatsplanung!$E98*Monatsplanung!$G98),0,Personalplanung!AC98/Monatsplanung!$E98*Monatsplanung!$P98))</f>
        <v>0</v>
      </c>
      <c r="O1034" s="740"/>
      <c r="P1034" s="739"/>
      <c r="Q1034" s="168">
        <f>IF(P1034&lt;&gt;"",P1034,IF(ISERROR(Personalplanung!AD98/Monatsplanung!$E98*Monatsplanung!$G98),0,Personalplanung!AD98/Monatsplanung!$E98*Monatsplanung!$P98))</f>
        <v>0</v>
      </c>
      <c r="R1034" s="740"/>
      <c r="S1034" s="739"/>
      <c r="T1034" s="168">
        <f>IF(S1034&lt;&gt;"",S1034,IF(ISERROR(Personalplanung!AE98/Monatsplanung!$E98*Monatsplanung!$G98),0,Personalplanung!AE98/Monatsplanung!$E98*Monatsplanung!$P98))</f>
        <v>0</v>
      </c>
      <c r="U1034" s="740"/>
      <c r="V1034" s="168">
        <f t="shared" si="325"/>
        <v>0</v>
      </c>
      <c r="W1034" s="168">
        <f>IF(ISERROR(Personalplanung!P98/Monatsplanung!$E98*Monatsplanung!$P98),0,Personalplanung!P98/Monatsplanung!$E98*Monatsplanung!$P98)</f>
        <v>0</v>
      </c>
      <c r="X1034" s="168">
        <f>IF(ISERROR(Personalplanung!Q98/Monatsplanung!$E98*Monatsplanung!$P98),0,Personalplanung!Q98/Monatsplanung!$E98*Monatsplanung!$P98)</f>
        <v>0</v>
      </c>
      <c r="Y1034" s="168">
        <f>IF(ISERROR(Personalplanung!R98/T1346*Stundencontrolling!T1034),0,Personalplanung!R98/T1346*Stundencontrolling!T1034)</f>
        <v>0</v>
      </c>
      <c r="Z1034" s="168">
        <f>IF(ISERROR(Personalplanung!S98/Monatsplanung!$E98*Monatsplanung!$P98),0,Personalplanung!S98/Monatsplanung!$E98*Monatsplanung!$P98)</f>
        <v>0</v>
      </c>
      <c r="AA1034" s="80">
        <f t="shared" si="326"/>
        <v>0</v>
      </c>
      <c r="AB1034" s="102">
        <f t="shared" si="327"/>
        <v>0.1</v>
      </c>
      <c r="AC1034" s="103">
        <f t="shared" si="328"/>
        <v>0</v>
      </c>
      <c r="AD1034" s="103">
        <f t="shared" si="329"/>
        <v>0</v>
      </c>
      <c r="AE1034" s="81">
        <f t="shared" si="330"/>
        <v>0</v>
      </c>
      <c r="AF1034" s="539"/>
      <c r="AG1034" s="104">
        <f t="shared" si="331"/>
        <v>1</v>
      </c>
      <c r="AH1034" s="7">
        <f t="shared" si="332"/>
        <v>0</v>
      </c>
      <c r="AI1034" s="6">
        <f t="shared" si="333"/>
        <v>0</v>
      </c>
      <c r="AJ1034" s="73">
        <f t="shared" si="334"/>
        <v>0</v>
      </c>
      <c r="AK1034" s="539"/>
      <c r="AL1034" s="748"/>
      <c r="AM1034" s="748"/>
    </row>
    <row r="1035" spans="2:39" x14ac:dyDescent="0.2">
      <c r="B1035" s="101" t="str">
        <f t="shared" si="319"/>
        <v/>
      </c>
      <c r="C1035" s="168">
        <f>IF(ISERROR(Personalplanung!F99/Monatsplanung!$E99*Monatsplanung!$P99),0,Personalplanung!F99/Monatsplanung!$E99*Monatsplanung!$P99)</f>
        <v>0</v>
      </c>
      <c r="D1035" s="168">
        <f t="shared" si="320"/>
        <v>0</v>
      </c>
      <c r="E1035" s="168">
        <f>IF(ISERROR(Personalplanung!H99/Monatsplanung!$E99*Monatsplanung!$P99),0,Personalplanung!H99/Monatsplanung!$E99*Monatsplanung!$P99)</f>
        <v>0</v>
      </c>
      <c r="F1035" s="168">
        <f t="shared" si="321"/>
        <v>0</v>
      </c>
      <c r="G1035" s="168">
        <f t="shared" si="322"/>
        <v>27.700831024930746</v>
      </c>
      <c r="H1035" s="168">
        <f t="shared" si="323"/>
        <v>0</v>
      </c>
      <c r="I1035" s="168">
        <f t="shared" si="324"/>
        <v>30</v>
      </c>
      <c r="J1035" s="739"/>
      <c r="K1035" s="168">
        <f>IF(J1035&lt;&gt;"",J1035,IF(ISERROR(Personalplanung!AB99/Monatsplanung!$E99*Monatsplanung!$G99),0,Personalplanung!AB99/Monatsplanung!$E99*Monatsplanung!$P99))</f>
        <v>0</v>
      </c>
      <c r="L1035" s="740"/>
      <c r="M1035" s="739"/>
      <c r="N1035" s="168">
        <f>IF(M1035&lt;&gt;"",M1035,IF(ISERROR(Personalplanung!AC99/Monatsplanung!$E99*Monatsplanung!$G99),0,Personalplanung!AC99/Monatsplanung!$E99*Monatsplanung!$P99))</f>
        <v>0</v>
      </c>
      <c r="O1035" s="740"/>
      <c r="P1035" s="739"/>
      <c r="Q1035" s="168">
        <f>IF(P1035&lt;&gt;"",P1035,IF(ISERROR(Personalplanung!AD99/Monatsplanung!$E99*Monatsplanung!$G99),0,Personalplanung!AD99/Monatsplanung!$E99*Monatsplanung!$P99))</f>
        <v>0</v>
      </c>
      <c r="R1035" s="740"/>
      <c r="S1035" s="739"/>
      <c r="T1035" s="168">
        <f>IF(S1035&lt;&gt;"",S1035,IF(ISERROR(Personalplanung!AE99/Monatsplanung!$E99*Monatsplanung!$G99),0,Personalplanung!AE99/Monatsplanung!$E99*Monatsplanung!$P99))</f>
        <v>0</v>
      </c>
      <c r="U1035" s="740"/>
      <c r="V1035" s="168">
        <f t="shared" si="325"/>
        <v>0</v>
      </c>
      <c r="W1035" s="168">
        <f>IF(ISERROR(Personalplanung!P99/Monatsplanung!$E99*Monatsplanung!$P99),0,Personalplanung!P99/Monatsplanung!$E99*Monatsplanung!$P99)</f>
        <v>0</v>
      </c>
      <c r="X1035" s="168">
        <f>IF(ISERROR(Personalplanung!Q99/Monatsplanung!$E99*Monatsplanung!$P99),0,Personalplanung!Q99/Monatsplanung!$E99*Monatsplanung!$P99)</f>
        <v>0</v>
      </c>
      <c r="Y1035" s="168">
        <f>IF(ISERROR(Personalplanung!R99/T1347*Stundencontrolling!T1035),0,Personalplanung!R99/T1347*Stundencontrolling!T1035)</f>
        <v>0</v>
      </c>
      <c r="Z1035" s="168">
        <f>IF(ISERROR(Personalplanung!S99/Monatsplanung!$E99*Monatsplanung!$P99),0,Personalplanung!S99/Monatsplanung!$E99*Monatsplanung!$P99)</f>
        <v>0</v>
      </c>
      <c r="AA1035" s="80">
        <f t="shared" si="326"/>
        <v>0</v>
      </c>
      <c r="AB1035" s="102">
        <f t="shared" si="327"/>
        <v>0.1</v>
      </c>
      <c r="AC1035" s="103">
        <f t="shared" si="328"/>
        <v>0</v>
      </c>
      <c r="AD1035" s="103">
        <f t="shared" si="329"/>
        <v>0</v>
      </c>
      <c r="AE1035" s="81">
        <f t="shared" si="330"/>
        <v>0</v>
      </c>
      <c r="AF1035" s="539"/>
      <c r="AG1035" s="104">
        <f t="shared" si="331"/>
        <v>1</v>
      </c>
      <c r="AH1035" s="7">
        <f t="shared" si="332"/>
        <v>0</v>
      </c>
      <c r="AI1035" s="6">
        <f t="shared" si="333"/>
        <v>0</v>
      </c>
      <c r="AJ1035" s="73">
        <f t="shared" si="334"/>
        <v>0</v>
      </c>
      <c r="AK1035" s="539"/>
      <c r="AL1035" s="748"/>
      <c r="AM1035" s="748"/>
    </row>
    <row r="1036" spans="2:39" x14ac:dyDescent="0.2">
      <c r="B1036" s="101" t="str">
        <f t="shared" si="319"/>
        <v/>
      </c>
      <c r="C1036" s="168">
        <f>IF(ISERROR(Personalplanung!F100/Monatsplanung!$E100*Monatsplanung!$P100),0,Personalplanung!F100/Monatsplanung!$E100*Monatsplanung!$P100)</f>
        <v>0</v>
      </c>
      <c r="D1036" s="168">
        <f t="shared" si="320"/>
        <v>0</v>
      </c>
      <c r="E1036" s="168">
        <f>IF(ISERROR(Personalplanung!H100/Monatsplanung!$E100*Monatsplanung!$P100),0,Personalplanung!H100/Monatsplanung!$E100*Monatsplanung!$P100)</f>
        <v>0</v>
      </c>
      <c r="F1036" s="168">
        <f t="shared" si="321"/>
        <v>0</v>
      </c>
      <c r="G1036" s="168">
        <f t="shared" si="322"/>
        <v>27.700831024930746</v>
      </c>
      <c r="H1036" s="168">
        <f t="shared" si="323"/>
        <v>0</v>
      </c>
      <c r="I1036" s="168">
        <f t="shared" si="324"/>
        <v>30</v>
      </c>
      <c r="J1036" s="739"/>
      <c r="K1036" s="168">
        <f>IF(J1036&lt;&gt;"",J1036,IF(ISERROR(Personalplanung!AB100/Monatsplanung!$E100*Monatsplanung!$G100),0,Personalplanung!AB100/Monatsplanung!$E100*Monatsplanung!$P100))</f>
        <v>0</v>
      </c>
      <c r="L1036" s="740"/>
      <c r="M1036" s="739"/>
      <c r="N1036" s="168">
        <f>IF(M1036&lt;&gt;"",M1036,IF(ISERROR(Personalplanung!AC100/Monatsplanung!$E100*Monatsplanung!$G100),0,Personalplanung!AC100/Monatsplanung!$E100*Monatsplanung!$P100))</f>
        <v>0</v>
      </c>
      <c r="O1036" s="740"/>
      <c r="P1036" s="739"/>
      <c r="Q1036" s="168">
        <f>IF(P1036&lt;&gt;"",P1036,IF(ISERROR(Personalplanung!AD100/Monatsplanung!$E100*Monatsplanung!$G100),0,Personalplanung!AD100/Monatsplanung!$E100*Monatsplanung!$P100))</f>
        <v>0</v>
      </c>
      <c r="R1036" s="740"/>
      <c r="S1036" s="739"/>
      <c r="T1036" s="168">
        <f>IF(S1036&lt;&gt;"",S1036,IF(ISERROR(Personalplanung!AE100/Monatsplanung!$E100*Monatsplanung!$G100),0,Personalplanung!AE100/Monatsplanung!$E100*Monatsplanung!$P100))</f>
        <v>0</v>
      </c>
      <c r="U1036" s="740"/>
      <c r="V1036" s="168">
        <f t="shared" si="325"/>
        <v>0</v>
      </c>
      <c r="W1036" s="168">
        <f>IF(ISERROR(Personalplanung!P100/Monatsplanung!$E100*Monatsplanung!$P100),0,Personalplanung!P100/Monatsplanung!$E100*Monatsplanung!$P100)</f>
        <v>0</v>
      </c>
      <c r="X1036" s="168">
        <f>IF(ISERROR(Personalplanung!Q100/Monatsplanung!$E100*Monatsplanung!$P100),0,Personalplanung!Q100/Monatsplanung!$E100*Monatsplanung!$P100)</f>
        <v>0</v>
      </c>
      <c r="Y1036" s="168">
        <f>IF(ISERROR(Personalplanung!R100/T1348*Stundencontrolling!T1036),0,Personalplanung!R100/T1348*Stundencontrolling!T1036)</f>
        <v>0</v>
      </c>
      <c r="Z1036" s="168">
        <f>IF(ISERROR(Personalplanung!S100/Monatsplanung!$E100*Monatsplanung!$P100),0,Personalplanung!S100/Monatsplanung!$E100*Monatsplanung!$P100)</f>
        <v>0</v>
      </c>
      <c r="AA1036" s="80">
        <f t="shared" si="326"/>
        <v>0</v>
      </c>
      <c r="AB1036" s="102">
        <f t="shared" si="327"/>
        <v>0.1</v>
      </c>
      <c r="AC1036" s="103">
        <f t="shared" si="328"/>
        <v>0</v>
      </c>
      <c r="AD1036" s="103">
        <f t="shared" si="329"/>
        <v>0</v>
      </c>
      <c r="AE1036" s="81">
        <f t="shared" si="330"/>
        <v>0</v>
      </c>
      <c r="AF1036" s="539"/>
      <c r="AG1036" s="104">
        <f t="shared" si="331"/>
        <v>1</v>
      </c>
      <c r="AH1036" s="7">
        <f t="shared" si="332"/>
        <v>0</v>
      </c>
      <c r="AI1036" s="6">
        <f t="shared" si="333"/>
        <v>0</v>
      </c>
      <c r="AJ1036" s="73">
        <f t="shared" si="334"/>
        <v>0</v>
      </c>
      <c r="AK1036" s="539"/>
      <c r="AL1036" s="748"/>
      <c r="AM1036" s="748"/>
    </row>
    <row r="1037" spans="2:39" x14ac:dyDescent="0.2">
      <c r="B1037" s="101" t="str">
        <f t="shared" si="319"/>
        <v/>
      </c>
      <c r="C1037" s="168">
        <f>IF(ISERROR(Personalplanung!F101/Monatsplanung!$E101*Monatsplanung!$P101),0,Personalplanung!F101/Monatsplanung!$E101*Monatsplanung!$P101)</f>
        <v>0</v>
      </c>
      <c r="D1037" s="168">
        <f t="shared" si="320"/>
        <v>0</v>
      </c>
      <c r="E1037" s="168">
        <f>IF(ISERROR(Personalplanung!H101/Monatsplanung!$E101*Monatsplanung!$P101),0,Personalplanung!H101/Monatsplanung!$E101*Monatsplanung!$P101)</f>
        <v>0</v>
      </c>
      <c r="F1037" s="168">
        <f t="shared" si="321"/>
        <v>0</v>
      </c>
      <c r="G1037" s="168">
        <f t="shared" si="322"/>
        <v>27.700831024930746</v>
      </c>
      <c r="H1037" s="168">
        <f t="shared" si="323"/>
        <v>0</v>
      </c>
      <c r="I1037" s="168">
        <f t="shared" si="324"/>
        <v>30</v>
      </c>
      <c r="J1037" s="739"/>
      <c r="K1037" s="168">
        <f>IF(J1037&lt;&gt;"",J1037,IF(ISERROR(Personalplanung!AB101/Monatsplanung!$E101*Monatsplanung!$G101),0,Personalplanung!AB101/Monatsplanung!$E101*Monatsplanung!$P101))</f>
        <v>0</v>
      </c>
      <c r="L1037" s="740"/>
      <c r="M1037" s="739"/>
      <c r="N1037" s="168">
        <f>IF(M1037&lt;&gt;"",M1037,IF(ISERROR(Personalplanung!AC101/Monatsplanung!$E101*Monatsplanung!$G101),0,Personalplanung!AC101/Monatsplanung!$E101*Monatsplanung!$P101))</f>
        <v>0</v>
      </c>
      <c r="O1037" s="740"/>
      <c r="P1037" s="739"/>
      <c r="Q1037" s="168">
        <f>IF(P1037&lt;&gt;"",P1037,IF(ISERROR(Personalplanung!AD101/Monatsplanung!$E101*Monatsplanung!$G101),0,Personalplanung!AD101/Monatsplanung!$E101*Monatsplanung!$P101))</f>
        <v>0</v>
      </c>
      <c r="R1037" s="740"/>
      <c r="S1037" s="739"/>
      <c r="T1037" s="168">
        <f>IF(S1037&lt;&gt;"",S1037,IF(ISERROR(Personalplanung!AE101/Monatsplanung!$E101*Monatsplanung!$G101),0,Personalplanung!AE101/Monatsplanung!$E101*Monatsplanung!$P101))</f>
        <v>0</v>
      </c>
      <c r="U1037" s="740"/>
      <c r="V1037" s="168">
        <f t="shared" si="325"/>
        <v>0</v>
      </c>
      <c r="W1037" s="168">
        <f>IF(ISERROR(Personalplanung!P101/Monatsplanung!$E101*Monatsplanung!$P101),0,Personalplanung!P101/Monatsplanung!$E101*Monatsplanung!$P101)</f>
        <v>0</v>
      </c>
      <c r="X1037" s="168">
        <f>IF(ISERROR(Personalplanung!Q101/Monatsplanung!$E101*Monatsplanung!$P101),0,Personalplanung!Q101/Monatsplanung!$E101*Monatsplanung!$P101)</f>
        <v>0</v>
      </c>
      <c r="Y1037" s="168">
        <f>IF(ISERROR(Personalplanung!R101/T1349*Stundencontrolling!T1037),0,Personalplanung!R101/T1349*Stundencontrolling!T1037)</f>
        <v>0</v>
      </c>
      <c r="Z1037" s="168">
        <f>IF(ISERROR(Personalplanung!S101/Monatsplanung!$E101*Monatsplanung!$P101),0,Personalplanung!S101/Monatsplanung!$E101*Monatsplanung!$P101)</f>
        <v>0</v>
      </c>
      <c r="AA1037" s="80">
        <f t="shared" si="326"/>
        <v>0</v>
      </c>
      <c r="AB1037" s="102">
        <f t="shared" si="327"/>
        <v>0.1</v>
      </c>
      <c r="AC1037" s="103">
        <f t="shared" si="328"/>
        <v>0</v>
      </c>
      <c r="AD1037" s="103">
        <f t="shared" si="329"/>
        <v>0</v>
      </c>
      <c r="AE1037" s="81">
        <f t="shared" si="330"/>
        <v>0</v>
      </c>
      <c r="AF1037" s="539"/>
      <c r="AG1037" s="104">
        <f t="shared" si="331"/>
        <v>1</v>
      </c>
      <c r="AH1037" s="7">
        <f t="shared" si="332"/>
        <v>0</v>
      </c>
      <c r="AI1037" s="6">
        <f t="shared" si="333"/>
        <v>0</v>
      </c>
      <c r="AJ1037" s="73">
        <f t="shared" si="334"/>
        <v>0</v>
      </c>
      <c r="AK1037" s="539"/>
      <c r="AL1037" s="748"/>
      <c r="AM1037" s="748"/>
    </row>
    <row r="1038" spans="2:39" x14ac:dyDescent="0.2">
      <c r="B1038" s="101" t="str">
        <f t="shared" si="319"/>
        <v/>
      </c>
      <c r="C1038" s="168">
        <f>IF(ISERROR(Personalplanung!F102/Monatsplanung!$E102*Monatsplanung!$P102),0,Personalplanung!F102/Monatsplanung!$E102*Monatsplanung!$P102)</f>
        <v>0</v>
      </c>
      <c r="D1038" s="168">
        <f t="shared" si="320"/>
        <v>0</v>
      </c>
      <c r="E1038" s="168">
        <f>IF(ISERROR(Personalplanung!H102/Monatsplanung!$E102*Monatsplanung!$P102),0,Personalplanung!H102/Monatsplanung!$E102*Monatsplanung!$P102)</f>
        <v>0</v>
      </c>
      <c r="F1038" s="168">
        <f t="shared" si="321"/>
        <v>0</v>
      </c>
      <c r="G1038" s="168">
        <f t="shared" si="322"/>
        <v>27.700831024930746</v>
      </c>
      <c r="H1038" s="168">
        <f t="shared" si="323"/>
        <v>0</v>
      </c>
      <c r="I1038" s="168">
        <f t="shared" si="324"/>
        <v>30</v>
      </c>
      <c r="J1038" s="739"/>
      <c r="K1038" s="168">
        <f>IF(J1038&lt;&gt;"",J1038,IF(ISERROR(Personalplanung!AB102/Monatsplanung!$E102*Monatsplanung!$G102),0,Personalplanung!AB102/Monatsplanung!$E102*Monatsplanung!$P102))</f>
        <v>0</v>
      </c>
      <c r="L1038" s="740"/>
      <c r="M1038" s="739"/>
      <c r="N1038" s="168">
        <f>IF(M1038&lt;&gt;"",M1038,IF(ISERROR(Personalplanung!AC102/Monatsplanung!$E102*Monatsplanung!$G102),0,Personalplanung!AC102/Monatsplanung!$E102*Monatsplanung!$P102))</f>
        <v>0</v>
      </c>
      <c r="O1038" s="740"/>
      <c r="P1038" s="739"/>
      <c r="Q1038" s="168">
        <f>IF(P1038&lt;&gt;"",P1038,IF(ISERROR(Personalplanung!AD102/Monatsplanung!$E102*Monatsplanung!$G102),0,Personalplanung!AD102/Monatsplanung!$E102*Monatsplanung!$P102))</f>
        <v>0</v>
      </c>
      <c r="R1038" s="740"/>
      <c r="S1038" s="739"/>
      <c r="T1038" s="168">
        <f>IF(S1038&lt;&gt;"",S1038,IF(ISERROR(Personalplanung!AE102/Monatsplanung!$E102*Monatsplanung!$G102),0,Personalplanung!AE102/Monatsplanung!$E102*Monatsplanung!$P102))</f>
        <v>0</v>
      </c>
      <c r="U1038" s="740"/>
      <c r="V1038" s="168">
        <f t="shared" si="325"/>
        <v>0</v>
      </c>
      <c r="W1038" s="168">
        <f>IF(ISERROR(Personalplanung!P102/Monatsplanung!$E102*Monatsplanung!$P102),0,Personalplanung!P102/Monatsplanung!$E102*Monatsplanung!$P102)</f>
        <v>0</v>
      </c>
      <c r="X1038" s="168">
        <f>IF(ISERROR(Personalplanung!Q102/Monatsplanung!$E102*Monatsplanung!$P102),0,Personalplanung!Q102/Monatsplanung!$E102*Monatsplanung!$P102)</f>
        <v>0</v>
      </c>
      <c r="Y1038" s="168">
        <f>IF(ISERROR(Personalplanung!R102/T1350*Stundencontrolling!T1038),0,Personalplanung!R102/T1350*Stundencontrolling!T1038)</f>
        <v>0</v>
      </c>
      <c r="Z1038" s="168">
        <f>IF(ISERROR(Personalplanung!S102/Monatsplanung!$E102*Monatsplanung!$P102),0,Personalplanung!S102/Monatsplanung!$E102*Monatsplanung!$P102)</f>
        <v>0</v>
      </c>
      <c r="AA1038" s="80">
        <f t="shared" si="326"/>
        <v>0</v>
      </c>
      <c r="AB1038" s="102">
        <f t="shared" si="327"/>
        <v>0.1</v>
      </c>
      <c r="AC1038" s="103">
        <f t="shared" si="328"/>
        <v>0</v>
      </c>
      <c r="AD1038" s="103">
        <f t="shared" si="329"/>
        <v>0</v>
      </c>
      <c r="AE1038" s="81">
        <f t="shared" si="330"/>
        <v>0</v>
      </c>
      <c r="AF1038" s="539"/>
      <c r="AG1038" s="104">
        <f t="shared" si="331"/>
        <v>1</v>
      </c>
      <c r="AH1038" s="7">
        <f t="shared" si="332"/>
        <v>0</v>
      </c>
      <c r="AI1038" s="6">
        <f t="shared" si="333"/>
        <v>0</v>
      </c>
      <c r="AJ1038" s="73">
        <f t="shared" si="334"/>
        <v>0</v>
      </c>
      <c r="AK1038" s="539"/>
      <c r="AL1038" s="748"/>
      <c r="AM1038" s="748"/>
    </row>
    <row r="1039" spans="2:39" x14ac:dyDescent="0.2">
      <c r="B1039" s="101" t="str">
        <f t="shared" si="319"/>
        <v/>
      </c>
      <c r="C1039" s="168">
        <f>IF(ISERROR(Personalplanung!F103/Monatsplanung!$E103*Monatsplanung!$P103),0,Personalplanung!F103/Monatsplanung!$E103*Monatsplanung!$P103)</f>
        <v>0</v>
      </c>
      <c r="D1039" s="168">
        <f t="shared" si="320"/>
        <v>0</v>
      </c>
      <c r="E1039" s="168">
        <f>IF(ISERROR(Personalplanung!H103/Monatsplanung!$E103*Monatsplanung!$P103),0,Personalplanung!H103/Monatsplanung!$E103*Monatsplanung!$P103)</f>
        <v>0</v>
      </c>
      <c r="F1039" s="168">
        <f t="shared" si="321"/>
        <v>0</v>
      </c>
      <c r="G1039" s="168">
        <f t="shared" si="322"/>
        <v>27.700831024930746</v>
      </c>
      <c r="H1039" s="168">
        <f t="shared" si="323"/>
        <v>0</v>
      </c>
      <c r="I1039" s="168">
        <f t="shared" si="324"/>
        <v>30</v>
      </c>
      <c r="J1039" s="739"/>
      <c r="K1039" s="168">
        <f>IF(J1039&lt;&gt;"",J1039,IF(ISERROR(Personalplanung!AB103/Monatsplanung!$E103*Monatsplanung!$G103),0,Personalplanung!AB103/Monatsplanung!$E103*Monatsplanung!$P103))</f>
        <v>0</v>
      </c>
      <c r="L1039" s="740"/>
      <c r="M1039" s="739"/>
      <c r="N1039" s="168">
        <f>IF(M1039&lt;&gt;"",M1039,IF(ISERROR(Personalplanung!AC103/Monatsplanung!$E103*Monatsplanung!$G103),0,Personalplanung!AC103/Monatsplanung!$E103*Monatsplanung!$P103))</f>
        <v>0</v>
      </c>
      <c r="O1039" s="740"/>
      <c r="P1039" s="739"/>
      <c r="Q1039" s="168">
        <f>IF(P1039&lt;&gt;"",P1039,IF(ISERROR(Personalplanung!AD103/Monatsplanung!$E103*Monatsplanung!$G103),0,Personalplanung!AD103/Monatsplanung!$E103*Monatsplanung!$P103))</f>
        <v>0</v>
      </c>
      <c r="R1039" s="740"/>
      <c r="S1039" s="739"/>
      <c r="T1039" s="168">
        <f>IF(S1039&lt;&gt;"",S1039,IF(ISERROR(Personalplanung!AE103/Monatsplanung!$E103*Monatsplanung!$G103),0,Personalplanung!AE103/Monatsplanung!$E103*Monatsplanung!$P103))</f>
        <v>0</v>
      </c>
      <c r="U1039" s="740"/>
      <c r="V1039" s="168">
        <f t="shared" si="325"/>
        <v>0</v>
      </c>
      <c r="W1039" s="168">
        <f>IF(ISERROR(Personalplanung!P103/Monatsplanung!$E103*Monatsplanung!$P103),0,Personalplanung!P103/Monatsplanung!$E103*Monatsplanung!$P103)</f>
        <v>0</v>
      </c>
      <c r="X1039" s="168">
        <f>IF(ISERROR(Personalplanung!Q103/Monatsplanung!$E103*Monatsplanung!$P103),0,Personalplanung!Q103/Monatsplanung!$E103*Monatsplanung!$P103)</f>
        <v>0</v>
      </c>
      <c r="Y1039" s="168">
        <f>IF(ISERROR(Personalplanung!R103/T1351*Stundencontrolling!T1039),0,Personalplanung!R103/T1351*Stundencontrolling!T1039)</f>
        <v>0</v>
      </c>
      <c r="Z1039" s="168">
        <f>IF(ISERROR(Personalplanung!S103/Monatsplanung!$E103*Monatsplanung!$P103),0,Personalplanung!S103/Monatsplanung!$E103*Monatsplanung!$P103)</f>
        <v>0</v>
      </c>
      <c r="AA1039" s="80">
        <f t="shared" si="326"/>
        <v>0</v>
      </c>
      <c r="AB1039" s="102">
        <f t="shared" si="327"/>
        <v>0.1</v>
      </c>
      <c r="AC1039" s="103">
        <f t="shared" si="328"/>
        <v>0</v>
      </c>
      <c r="AD1039" s="103">
        <f t="shared" si="329"/>
        <v>0</v>
      </c>
      <c r="AE1039" s="81">
        <f t="shared" si="330"/>
        <v>0</v>
      </c>
      <c r="AF1039" s="539"/>
      <c r="AG1039" s="104">
        <f t="shared" si="331"/>
        <v>1</v>
      </c>
      <c r="AH1039" s="7">
        <f t="shared" si="332"/>
        <v>0</v>
      </c>
      <c r="AI1039" s="6">
        <f t="shared" si="333"/>
        <v>0</v>
      </c>
      <c r="AJ1039" s="73">
        <f t="shared" si="334"/>
        <v>0</v>
      </c>
      <c r="AK1039" s="539"/>
      <c r="AL1039" s="748"/>
      <c r="AM1039" s="748"/>
    </row>
    <row r="1040" spans="2:39" x14ac:dyDescent="0.2">
      <c r="B1040" s="101" t="str">
        <f t="shared" si="319"/>
        <v/>
      </c>
      <c r="C1040" s="168">
        <f>IF(ISERROR(Personalplanung!F104/Monatsplanung!$E104*Monatsplanung!$P104),0,Personalplanung!F104/Monatsplanung!$E104*Monatsplanung!$P104)</f>
        <v>0</v>
      </c>
      <c r="D1040" s="168">
        <f t="shared" si="320"/>
        <v>0</v>
      </c>
      <c r="E1040" s="168">
        <f>IF(ISERROR(Personalplanung!H104/Monatsplanung!$E104*Monatsplanung!$P104),0,Personalplanung!H104/Monatsplanung!$E104*Monatsplanung!$P104)</f>
        <v>0</v>
      </c>
      <c r="F1040" s="168">
        <f t="shared" si="321"/>
        <v>0</v>
      </c>
      <c r="G1040" s="168">
        <f t="shared" si="322"/>
        <v>27.700831024930746</v>
      </c>
      <c r="H1040" s="168">
        <f t="shared" si="323"/>
        <v>0</v>
      </c>
      <c r="I1040" s="168">
        <f t="shared" si="324"/>
        <v>30</v>
      </c>
      <c r="J1040" s="739"/>
      <c r="K1040" s="168">
        <f>IF(J1040&lt;&gt;"",J1040,IF(ISERROR(Personalplanung!AB104/Monatsplanung!$E104*Monatsplanung!$G104),0,Personalplanung!AB104/Monatsplanung!$E104*Monatsplanung!$P104))</f>
        <v>0</v>
      </c>
      <c r="L1040" s="740"/>
      <c r="M1040" s="739"/>
      <c r="N1040" s="168">
        <f>IF(M1040&lt;&gt;"",M1040,IF(ISERROR(Personalplanung!AC104/Monatsplanung!$E104*Monatsplanung!$G104),0,Personalplanung!AC104/Monatsplanung!$E104*Monatsplanung!$P104))</f>
        <v>0</v>
      </c>
      <c r="O1040" s="740"/>
      <c r="P1040" s="739"/>
      <c r="Q1040" s="168">
        <f>IF(P1040&lt;&gt;"",P1040,IF(ISERROR(Personalplanung!AD104/Monatsplanung!$E104*Monatsplanung!$G104),0,Personalplanung!AD104/Monatsplanung!$E104*Monatsplanung!$P104))</f>
        <v>0</v>
      </c>
      <c r="R1040" s="740"/>
      <c r="S1040" s="739"/>
      <c r="T1040" s="168">
        <f>IF(S1040&lt;&gt;"",S1040,IF(ISERROR(Personalplanung!AE104/Monatsplanung!$E104*Monatsplanung!$G104),0,Personalplanung!AE104/Monatsplanung!$E104*Monatsplanung!$P104))</f>
        <v>0</v>
      </c>
      <c r="U1040" s="740"/>
      <c r="V1040" s="168">
        <f t="shared" si="325"/>
        <v>0</v>
      </c>
      <c r="W1040" s="168">
        <f>IF(ISERROR(Personalplanung!P104/Monatsplanung!$E104*Monatsplanung!$P104),0,Personalplanung!P104/Monatsplanung!$E104*Monatsplanung!$P104)</f>
        <v>0</v>
      </c>
      <c r="X1040" s="168">
        <f>IF(ISERROR(Personalplanung!Q104/Monatsplanung!$E104*Monatsplanung!$P104),0,Personalplanung!Q104/Monatsplanung!$E104*Monatsplanung!$P104)</f>
        <v>0</v>
      </c>
      <c r="Y1040" s="168">
        <f>IF(ISERROR(Personalplanung!R104/T1352*Stundencontrolling!T1040),0,Personalplanung!R104/T1352*Stundencontrolling!T1040)</f>
        <v>0</v>
      </c>
      <c r="Z1040" s="168">
        <f>IF(ISERROR(Personalplanung!S104/Monatsplanung!$E104*Monatsplanung!$P104),0,Personalplanung!S104/Monatsplanung!$E104*Monatsplanung!$P104)</f>
        <v>0</v>
      </c>
      <c r="AA1040" s="80">
        <f t="shared" si="326"/>
        <v>0</v>
      </c>
      <c r="AB1040" s="102">
        <f t="shared" si="327"/>
        <v>0.1</v>
      </c>
      <c r="AC1040" s="103">
        <f t="shared" si="328"/>
        <v>0</v>
      </c>
      <c r="AD1040" s="103">
        <f t="shared" si="329"/>
        <v>0</v>
      </c>
      <c r="AE1040" s="81">
        <f t="shared" si="330"/>
        <v>0</v>
      </c>
      <c r="AF1040" s="539"/>
      <c r="AG1040" s="104">
        <f t="shared" si="331"/>
        <v>1</v>
      </c>
      <c r="AH1040" s="7">
        <f t="shared" si="332"/>
        <v>0</v>
      </c>
      <c r="AI1040" s="6">
        <f t="shared" si="333"/>
        <v>0</v>
      </c>
      <c r="AJ1040" s="73">
        <f t="shared" si="334"/>
        <v>0</v>
      </c>
      <c r="AK1040" s="539"/>
      <c r="AL1040" s="748"/>
      <c r="AM1040" s="748"/>
    </row>
    <row r="1041" spans="2:39" x14ac:dyDescent="0.2">
      <c r="B1041" s="101" t="str">
        <f t="shared" si="319"/>
        <v/>
      </c>
      <c r="C1041" s="168">
        <f>IF(ISERROR(Personalplanung!F105/Monatsplanung!$E105*Monatsplanung!$P105),0,Personalplanung!F105/Monatsplanung!$E105*Monatsplanung!$P105)</f>
        <v>0</v>
      </c>
      <c r="D1041" s="168">
        <f t="shared" si="320"/>
        <v>0</v>
      </c>
      <c r="E1041" s="168">
        <f>IF(ISERROR(Personalplanung!H105/Monatsplanung!$E105*Monatsplanung!$P105),0,Personalplanung!H105/Monatsplanung!$E105*Monatsplanung!$P105)</f>
        <v>0</v>
      </c>
      <c r="F1041" s="168">
        <f t="shared" si="321"/>
        <v>0</v>
      </c>
      <c r="G1041" s="168">
        <f t="shared" si="322"/>
        <v>27.700831024930746</v>
      </c>
      <c r="H1041" s="168">
        <f t="shared" si="323"/>
        <v>0</v>
      </c>
      <c r="I1041" s="168">
        <f t="shared" si="324"/>
        <v>30</v>
      </c>
      <c r="J1041" s="739"/>
      <c r="K1041" s="168">
        <f>IF(J1041&lt;&gt;"",J1041,IF(ISERROR(Personalplanung!AB105/Monatsplanung!$E105*Monatsplanung!$G105),0,Personalplanung!AB105/Monatsplanung!$E105*Monatsplanung!$P105))</f>
        <v>0</v>
      </c>
      <c r="L1041" s="740"/>
      <c r="M1041" s="739"/>
      <c r="N1041" s="168">
        <f>IF(M1041&lt;&gt;"",M1041,IF(ISERROR(Personalplanung!AC105/Monatsplanung!$E105*Monatsplanung!$G105),0,Personalplanung!AC105/Monatsplanung!$E105*Monatsplanung!$P105))</f>
        <v>0</v>
      </c>
      <c r="O1041" s="740"/>
      <c r="P1041" s="739"/>
      <c r="Q1041" s="168">
        <f>IF(P1041&lt;&gt;"",P1041,IF(ISERROR(Personalplanung!AD105/Monatsplanung!$E105*Monatsplanung!$G105),0,Personalplanung!AD105/Monatsplanung!$E105*Monatsplanung!$P105))</f>
        <v>0</v>
      </c>
      <c r="R1041" s="740"/>
      <c r="S1041" s="739"/>
      <c r="T1041" s="168">
        <f>IF(S1041&lt;&gt;"",S1041,IF(ISERROR(Personalplanung!AE105/Monatsplanung!$E105*Monatsplanung!$G105),0,Personalplanung!AE105/Monatsplanung!$E105*Monatsplanung!$P105))</f>
        <v>0</v>
      </c>
      <c r="U1041" s="740"/>
      <c r="V1041" s="168">
        <f t="shared" si="325"/>
        <v>0</v>
      </c>
      <c r="W1041" s="168">
        <f>IF(ISERROR(Personalplanung!P105/Monatsplanung!$E105*Monatsplanung!$P105),0,Personalplanung!P105/Monatsplanung!$E105*Monatsplanung!$P105)</f>
        <v>0</v>
      </c>
      <c r="X1041" s="168">
        <f>IF(ISERROR(Personalplanung!Q105/Monatsplanung!$E105*Monatsplanung!$P105),0,Personalplanung!Q105/Monatsplanung!$E105*Monatsplanung!$P105)</f>
        <v>0</v>
      </c>
      <c r="Y1041" s="168">
        <f>IF(ISERROR(Personalplanung!R105/T1353*Stundencontrolling!T1041),0,Personalplanung!R105/T1353*Stundencontrolling!T1041)</f>
        <v>0</v>
      </c>
      <c r="Z1041" s="168">
        <f>IF(ISERROR(Personalplanung!S105/Monatsplanung!$E105*Monatsplanung!$P105),0,Personalplanung!S105/Monatsplanung!$E105*Monatsplanung!$P105)</f>
        <v>0</v>
      </c>
      <c r="AA1041" s="80">
        <f t="shared" si="326"/>
        <v>0</v>
      </c>
      <c r="AB1041" s="102">
        <f t="shared" si="327"/>
        <v>0.1</v>
      </c>
      <c r="AC1041" s="103">
        <f t="shared" si="328"/>
        <v>0</v>
      </c>
      <c r="AD1041" s="103">
        <f t="shared" si="329"/>
        <v>0</v>
      </c>
      <c r="AE1041" s="81">
        <f t="shared" si="330"/>
        <v>0</v>
      </c>
      <c r="AF1041" s="539"/>
      <c r="AG1041" s="104">
        <f t="shared" si="331"/>
        <v>1</v>
      </c>
      <c r="AH1041" s="7">
        <f t="shared" si="332"/>
        <v>0</v>
      </c>
      <c r="AI1041" s="6">
        <f t="shared" si="333"/>
        <v>0</v>
      </c>
      <c r="AJ1041" s="73">
        <f t="shared" si="334"/>
        <v>0</v>
      </c>
      <c r="AK1041" s="539"/>
      <c r="AL1041" s="748"/>
      <c r="AM1041" s="748"/>
    </row>
    <row r="1042" spans="2:39" x14ac:dyDescent="0.2">
      <c r="B1042" s="101" t="str">
        <f t="shared" si="319"/>
        <v/>
      </c>
      <c r="C1042" s="168">
        <f>IF(ISERROR(Personalplanung!F106/Monatsplanung!$E106*Monatsplanung!$P106),0,Personalplanung!F106/Monatsplanung!$E106*Monatsplanung!$P106)</f>
        <v>0</v>
      </c>
      <c r="D1042" s="168">
        <f t="shared" si="320"/>
        <v>0</v>
      </c>
      <c r="E1042" s="168">
        <f>IF(ISERROR(Personalplanung!H106/Monatsplanung!$E106*Monatsplanung!$P106),0,Personalplanung!H106/Monatsplanung!$E106*Monatsplanung!$P106)</f>
        <v>0</v>
      </c>
      <c r="F1042" s="168">
        <f t="shared" si="321"/>
        <v>0</v>
      </c>
      <c r="G1042" s="168">
        <f t="shared" si="322"/>
        <v>27.700831024930746</v>
      </c>
      <c r="H1042" s="168">
        <f t="shared" si="323"/>
        <v>0</v>
      </c>
      <c r="I1042" s="168">
        <f t="shared" si="324"/>
        <v>30</v>
      </c>
      <c r="J1042" s="739"/>
      <c r="K1042" s="168">
        <f>IF(J1042&lt;&gt;"",J1042,IF(ISERROR(Personalplanung!AB106/Monatsplanung!$E106*Monatsplanung!$G106),0,Personalplanung!AB106/Monatsplanung!$E106*Monatsplanung!$P106))</f>
        <v>0</v>
      </c>
      <c r="L1042" s="740"/>
      <c r="M1042" s="739"/>
      <c r="N1042" s="168">
        <f>IF(M1042&lt;&gt;"",M1042,IF(ISERROR(Personalplanung!AC106/Monatsplanung!$E106*Monatsplanung!$G106),0,Personalplanung!AC106/Monatsplanung!$E106*Monatsplanung!$P106))</f>
        <v>0</v>
      </c>
      <c r="O1042" s="740"/>
      <c r="P1042" s="739"/>
      <c r="Q1042" s="168">
        <f>IF(P1042&lt;&gt;"",P1042,IF(ISERROR(Personalplanung!AD106/Monatsplanung!$E106*Monatsplanung!$G106),0,Personalplanung!AD106/Monatsplanung!$E106*Monatsplanung!$P106))</f>
        <v>0</v>
      </c>
      <c r="R1042" s="740"/>
      <c r="S1042" s="739"/>
      <c r="T1042" s="168">
        <f>IF(S1042&lt;&gt;"",S1042,IF(ISERROR(Personalplanung!AE106/Monatsplanung!$E106*Monatsplanung!$G106),0,Personalplanung!AE106/Monatsplanung!$E106*Monatsplanung!$P106))</f>
        <v>0</v>
      </c>
      <c r="U1042" s="740"/>
      <c r="V1042" s="168">
        <f t="shared" si="325"/>
        <v>0</v>
      </c>
      <c r="W1042" s="168">
        <f>IF(ISERROR(Personalplanung!P106/Monatsplanung!$E106*Monatsplanung!$P106),0,Personalplanung!P106/Monatsplanung!$E106*Monatsplanung!$P106)</f>
        <v>0</v>
      </c>
      <c r="X1042" s="168">
        <f>IF(ISERROR(Personalplanung!Q106/Monatsplanung!$E106*Monatsplanung!$P106),0,Personalplanung!Q106/Monatsplanung!$E106*Monatsplanung!$P106)</f>
        <v>0</v>
      </c>
      <c r="Y1042" s="168">
        <f>IF(ISERROR(Personalplanung!R106/T1354*Stundencontrolling!T1042),0,Personalplanung!R106/T1354*Stundencontrolling!T1042)</f>
        <v>0</v>
      </c>
      <c r="Z1042" s="168">
        <f>IF(ISERROR(Personalplanung!S106/Monatsplanung!$E106*Monatsplanung!$P106),0,Personalplanung!S106/Monatsplanung!$E106*Monatsplanung!$P106)</f>
        <v>0</v>
      </c>
      <c r="AA1042" s="80">
        <f t="shared" si="326"/>
        <v>0</v>
      </c>
      <c r="AB1042" s="102">
        <f t="shared" si="327"/>
        <v>0.1</v>
      </c>
      <c r="AC1042" s="103">
        <f t="shared" si="328"/>
        <v>0</v>
      </c>
      <c r="AD1042" s="103">
        <f t="shared" si="329"/>
        <v>0</v>
      </c>
      <c r="AE1042" s="81">
        <f t="shared" si="330"/>
        <v>0</v>
      </c>
      <c r="AF1042" s="539"/>
      <c r="AG1042" s="104">
        <f t="shared" si="331"/>
        <v>1</v>
      </c>
      <c r="AH1042" s="7">
        <f t="shared" si="332"/>
        <v>0</v>
      </c>
      <c r="AI1042" s="6">
        <f t="shared" si="333"/>
        <v>0</v>
      </c>
      <c r="AJ1042" s="73">
        <f t="shared" si="334"/>
        <v>0</v>
      </c>
      <c r="AK1042" s="539"/>
      <c r="AL1042" s="748"/>
      <c r="AM1042" s="748"/>
    </row>
    <row r="1043" spans="2:39" x14ac:dyDescent="0.2">
      <c r="B1043" s="500" t="s">
        <v>134</v>
      </c>
      <c r="C1043" s="501">
        <f>+SUM(C942:C1042)</f>
        <v>2618.6999999999998</v>
      </c>
      <c r="D1043" s="501"/>
      <c r="E1043" s="501">
        <f>+SUM(E942:E1042)</f>
        <v>120.00000000000001</v>
      </c>
      <c r="F1043" s="501">
        <f>+SUM(F942:F1042)</f>
        <v>2738.7</v>
      </c>
      <c r="G1043" s="501">
        <f>IF(ISERROR(+H1043/F1043),0,+H1043/F1043)</f>
        <v>27.700831024930746</v>
      </c>
      <c r="H1043" s="501">
        <f>+SUM(H942:H1042)</f>
        <v>75864.265927977831</v>
      </c>
      <c r="I1043" s="501"/>
      <c r="J1043" s="501"/>
      <c r="K1043" s="501">
        <f t="shared" ref="K1043:V1043" si="335">+SUM(K942:K1042)</f>
        <v>11.516666666666666</v>
      </c>
      <c r="L1043" s="501"/>
      <c r="M1043" s="501"/>
      <c r="N1043" s="501">
        <f>+SUM(N942:N1042)</f>
        <v>1.25</v>
      </c>
      <c r="O1043" s="501"/>
      <c r="P1043" s="501"/>
      <c r="Q1043" s="501">
        <f>+SUM(Q942:Q1042)</f>
        <v>3.0666666666666664</v>
      </c>
      <c r="R1043" s="501"/>
      <c r="S1043" s="501"/>
      <c r="T1043" s="501">
        <f>+SUM(T942:T1042)</f>
        <v>37.866666666666667</v>
      </c>
      <c r="U1043" s="501"/>
      <c r="V1043" s="501">
        <f t="shared" si="335"/>
        <v>53.7</v>
      </c>
      <c r="W1043" s="501">
        <f>+SUM(W942:W1042)</f>
        <v>12</v>
      </c>
      <c r="X1043" s="501">
        <f>+SUM(X942:X1042)</f>
        <v>166.66666666666666</v>
      </c>
      <c r="Y1043" s="501">
        <f>+SUM(Y942:Y1042)</f>
        <v>66.666666666666657</v>
      </c>
      <c r="Z1043" s="501">
        <f>+SUM(Z942:Z1042)</f>
        <v>50</v>
      </c>
      <c r="AA1043" s="503">
        <f>SUM(AA942:AA1042)</f>
        <v>2352087.5771006462</v>
      </c>
      <c r="AB1043" s="502">
        <f>+AC1043/AA1043</f>
        <v>9.9999999999999992E-2</v>
      </c>
      <c r="AC1043" s="503">
        <f>SUM(AC942:AC1042)</f>
        <v>235208.75771006462</v>
      </c>
      <c r="AD1043" s="503">
        <f>SUM(AD942:AD1042)</f>
        <v>2116878.8193905815</v>
      </c>
      <c r="AE1043" s="504">
        <f>SUM(AE942:AE1042)</f>
        <v>233.16333333333336</v>
      </c>
      <c r="AF1043" s="504">
        <f>SUM(AF942:AF1042)</f>
        <v>0</v>
      </c>
      <c r="AG1043" s="505">
        <f>AI1043/AE1043</f>
        <v>1</v>
      </c>
      <c r="AH1043" s="505">
        <f t="shared" si="301"/>
        <v>0</v>
      </c>
      <c r="AI1043" s="504">
        <f>SUM(AI942:AI1042)</f>
        <v>233.16333333333336</v>
      </c>
      <c r="AJ1043" s="506">
        <f t="shared" si="302"/>
        <v>1008.7724958615474</v>
      </c>
      <c r="AK1043" s="504">
        <f>SUM(AK942:AK1042)</f>
        <v>0</v>
      </c>
      <c r="AL1043" s="747"/>
      <c r="AM1043" s="506">
        <f>$AM$107</f>
        <v>75.851340181839646</v>
      </c>
    </row>
    <row r="1044" spans="2:39" x14ac:dyDescent="0.2">
      <c r="B1044" s="8"/>
      <c r="C1044" s="8"/>
      <c r="D1044" s="8"/>
      <c r="E1044" s="8"/>
      <c r="F1044" s="8"/>
      <c r="G1044" s="8"/>
      <c r="H1044" s="8"/>
      <c r="I1044" s="737"/>
      <c r="J1044" s="737"/>
      <c r="K1044" s="8"/>
      <c r="L1044" s="8"/>
      <c r="M1044" s="737"/>
      <c r="N1044" s="8"/>
      <c r="O1044" s="8"/>
      <c r="P1044" s="737"/>
      <c r="Q1044" s="8"/>
      <c r="R1044" s="8"/>
      <c r="S1044" s="737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6"/>
      <c r="AF1044" s="10"/>
      <c r="AG1044" s="9"/>
      <c r="AH1044" s="9"/>
      <c r="AI1044" s="6"/>
      <c r="AJ1044" s="10"/>
      <c r="AK1044" s="10"/>
      <c r="AL1044" s="10"/>
      <c r="AM1044" s="74"/>
    </row>
    <row r="1045" spans="2:39" x14ac:dyDescent="0.2">
      <c r="B1045" s="500" t="s">
        <v>56</v>
      </c>
      <c r="C1045" s="501"/>
      <c r="D1045" s="501"/>
      <c r="E1045" s="501"/>
      <c r="F1045" s="501"/>
      <c r="G1045" s="501"/>
      <c r="H1045" s="501"/>
      <c r="I1045" s="501"/>
      <c r="J1045" s="501"/>
      <c r="K1045" s="501"/>
      <c r="L1045" s="501"/>
      <c r="M1045" s="501"/>
      <c r="N1045" s="501"/>
      <c r="O1045" s="501"/>
      <c r="P1045" s="501"/>
      <c r="Q1045" s="501"/>
      <c r="R1045" s="501"/>
      <c r="S1045" s="501"/>
      <c r="T1045" s="501"/>
      <c r="U1045" s="501"/>
      <c r="V1045" s="501"/>
      <c r="W1045" s="501"/>
      <c r="X1045" s="501"/>
      <c r="Y1045" s="501"/>
      <c r="Z1045" s="501"/>
      <c r="AA1045" s="503"/>
      <c r="AB1045" s="502"/>
      <c r="AC1045" s="503"/>
      <c r="AD1045" s="503"/>
      <c r="AE1045" s="504"/>
      <c r="AF1045" s="504"/>
      <c r="AG1045" s="505"/>
      <c r="AH1045" s="505"/>
      <c r="AI1045" s="504"/>
      <c r="AJ1045" s="506"/>
      <c r="AK1045" s="504"/>
      <c r="AL1045" s="504"/>
      <c r="AM1045" s="506"/>
    </row>
    <row r="1046" spans="2:39" x14ac:dyDescent="0.2">
      <c r="B1046" s="101" t="str">
        <f>$B942</f>
        <v>Maxdivers Mustermann</v>
      </c>
      <c r="C1046" s="168">
        <f>IF(ISERROR(Personalplanung!F6/Monatsplanung!$E6*Monatsplanung!$Q6),0,Personalplanung!F6/Monatsplanung!$E6*Monatsplanung!$Q6)</f>
        <v>174</v>
      </c>
      <c r="D1046" s="168">
        <f>$D942</f>
        <v>8</v>
      </c>
      <c r="E1046" s="168">
        <f>IF(ISERROR(Personalplanung!H6/Monatsplanung!$E6*Monatsplanung!$Q6),0,Personalplanung!H6/Monatsplanung!$E6*Monatsplanung!$Q6)</f>
        <v>66.666666666666671</v>
      </c>
      <c r="F1046" s="168">
        <f>+C1046+E1046</f>
        <v>240.66666666666669</v>
      </c>
      <c r="G1046" s="168">
        <f>$G$6</f>
        <v>27.700831024930746</v>
      </c>
      <c r="H1046" s="168">
        <f>+F1046*G1046</f>
        <v>6666.666666666667</v>
      </c>
      <c r="I1046" s="168">
        <f>$I$6</f>
        <v>30</v>
      </c>
      <c r="J1046" s="739"/>
      <c r="K1046" s="168">
        <f>IF(J1046&lt;&gt;"",J1046,IF(ISERROR(Personalplanung!AB6/Monatsplanung!$E6*Monatsplanung!$Q6),0,Personalplanung!AB6/Monatsplanung!$E6*Monatsplanung!$Q6))</f>
        <v>0.66666666666666663</v>
      </c>
      <c r="L1046" s="740"/>
      <c r="M1046" s="739"/>
      <c r="N1046" s="168">
        <f>IF(M1046&lt;&gt;"",M1046,IF(ISERROR(Personalplanung!AC6/Monatsplanung!$E6*Monatsplanung!$Q6),0,Personalplanung!AC6/Monatsplanung!$E6*Monatsplanung!$Q6))</f>
        <v>0</v>
      </c>
      <c r="O1046" s="740"/>
      <c r="P1046" s="739"/>
      <c r="Q1046" s="168">
        <f>IF(P1046&lt;&gt;"",P1046,IF(ISERROR(Personalplanung!AD6/Monatsplanung!$E6*Monatsplanung!$Q6),0,Personalplanung!AD6/Monatsplanung!$E6*Monatsplanung!$Q6))</f>
        <v>0.16666666666666666</v>
      </c>
      <c r="R1046" s="740"/>
      <c r="S1046" s="739"/>
      <c r="T1046" s="168">
        <f>IF(S1046&lt;&gt;"",S1046,IF(ISERROR(Personalplanung!AE6/Monatsplanung!$E6*Monatsplanung!$Q6),0,Personalplanung!AE6/Monatsplanung!$E6*Monatsplanung!$Q6))</f>
        <v>1.25</v>
      </c>
      <c r="U1046" s="740"/>
      <c r="V1046" s="168">
        <f>K1046+N1046+Q1046+T1046</f>
        <v>2.083333333333333</v>
      </c>
      <c r="W1046" s="168">
        <f>IF(ISERROR(Personalplanung!P6/Monatsplanung!$E6*Monatsplanung!$Q6),0,Personalplanung!P6/Monatsplanung!$E6*Monatsplanung!$Q6)</f>
        <v>0</v>
      </c>
      <c r="X1046" s="168">
        <f>IF(ISERROR(Personalplanung!Q6/Monatsplanung!$E6*Monatsplanung!$Q6),0,Personalplanung!Q6/Monatsplanung!$E6*Monatsplanung!$Q6)</f>
        <v>0</v>
      </c>
      <c r="Y1046" s="168">
        <f>IF(ISERROR(Personalplanung!R6/T1254*Stundencontrolling!T1046),0,Personalplanung!R6/T1254*Stundencontrolling!T1046)</f>
        <v>0</v>
      </c>
      <c r="Z1046" s="168">
        <f>IF(ISERROR(Personalplanung!S6/Monatsplanung!$E6*Monatsplanung!$Q6),0,Personalplanung!S6/Monatsplanung!$E6*Monatsplanung!$Q6)</f>
        <v>0</v>
      </c>
      <c r="AA1046" s="80">
        <f>+F1046*G1046*(1+I1046)+SUM(W1046:Z1046)</f>
        <v>206666.66666666669</v>
      </c>
      <c r="AB1046" s="102">
        <f>$AB$6</f>
        <v>0.1</v>
      </c>
      <c r="AC1046" s="103">
        <f>AB1046*AA1046</f>
        <v>20666.666666666672</v>
      </c>
      <c r="AD1046" s="103">
        <f>AA1046-AC1046</f>
        <v>186000</v>
      </c>
      <c r="AE1046" s="81">
        <f>(F1046-(V1046*$D1046))*AB1046</f>
        <v>22.400000000000006</v>
      </c>
      <c r="AF1046" s="539"/>
      <c r="AG1046" s="104">
        <f>$AG$6</f>
        <v>1</v>
      </c>
      <c r="AH1046" s="7">
        <f t="shared" ref="AH1046:AH1147" si="336">IF(ISERROR(AK1046/AF1046),0,AK1046/AF1046)</f>
        <v>0</v>
      </c>
      <c r="AI1046" s="6">
        <f>AE1046*AG1046</f>
        <v>22.400000000000006</v>
      </c>
      <c r="AJ1046" s="73">
        <f t="shared" ref="AJ1046:AJ1147" si="337">IF(ISERROR(+AC1046/AI1046),0,+AC1046/AI1046)</f>
        <v>922.61904761904759</v>
      </c>
      <c r="AK1046" s="539"/>
      <c r="AL1046" s="748"/>
      <c r="AM1046" s="748"/>
    </row>
    <row r="1047" spans="2:39" x14ac:dyDescent="0.2">
      <c r="B1047" s="101" t="str">
        <f t="shared" ref="B1047:B1110" si="338">$B943</f>
        <v>Egon Kaufmann</v>
      </c>
      <c r="C1047" s="168">
        <f>IF(ISERROR(Personalplanung!F7/Monatsplanung!$E7*Monatsplanung!$Q7),0,Personalplanung!F7/Monatsplanung!$E7*Monatsplanung!$Q7)</f>
        <v>174</v>
      </c>
      <c r="D1047" s="168">
        <f t="shared" ref="D1047:D1110" si="339">$D943</f>
        <v>8</v>
      </c>
      <c r="E1047" s="168">
        <f>IF(ISERROR(Personalplanung!H7/Monatsplanung!$E7*Monatsplanung!$Q7),0,Personalplanung!H7/Monatsplanung!$E7*Monatsplanung!$Q7)</f>
        <v>26.666666666666668</v>
      </c>
      <c r="F1047" s="168">
        <f t="shared" ref="F1047:F1110" si="340">+C1047+E1047</f>
        <v>200.66666666666666</v>
      </c>
      <c r="G1047" s="168">
        <f t="shared" ref="G1047:G1110" si="341">$G$6</f>
        <v>27.700831024930746</v>
      </c>
      <c r="H1047" s="168">
        <f t="shared" ref="H1047:H1110" si="342">+F1047*G1047</f>
        <v>5558.6334256694363</v>
      </c>
      <c r="I1047" s="168">
        <f t="shared" ref="I1047:I1110" si="343">$I$6</f>
        <v>30</v>
      </c>
      <c r="J1047" s="739"/>
      <c r="K1047" s="168">
        <f>IF(J1047&lt;&gt;"",J1047,IF(ISERROR(Personalplanung!AB7/Monatsplanung!$E7*Monatsplanung!$Q7),0,Personalplanung!AB7/Monatsplanung!$E7*Monatsplanung!$Q7))</f>
        <v>0.66666666666666663</v>
      </c>
      <c r="L1047" s="740"/>
      <c r="M1047" s="739"/>
      <c r="N1047" s="168">
        <f>IF(M1047&lt;&gt;"",M1047,IF(ISERROR(Personalplanung!AC7/Monatsplanung!$E7*Monatsplanung!$Q7),0,Personalplanung!AC7/Monatsplanung!$E7*Monatsplanung!$Q7))</f>
        <v>0</v>
      </c>
      <c r="O1047" s="740"/>
      <c r="P1047" s="739"/>
      <c r="Q1047" s="168">
        <f>IF(P1047&lt;&gt;"",P1047,IF(ISERROR(Personalplanung!AD7/Monatsplanung!$E7*Monatsplanung!$Q7),0,Personalplanung!AD7/Monatsplanung!$E7*Monatsplanung!$Q7))</f>
        <v>0.16666666666666666</v>
      </c>
      <c r="R1047" s="740"/>
      <c r="S1047" s="739"/>
      <c r="T1047" s="168">
        <f>IF(S1047&lt;&gt;"",S1047,IF(ISERROR(Personalplanung!AE7/Monatsplanung!$E7*Monatsplanung!$Q7),0,Personalplanung!AE7/Monatsplanung!$E7*Monatsplanung!$Q7))</f>
        <v>2.1666666666666665</v>
      </c>
      <c r="U1047" s="740"/>
      <c r="V1047" s="168">
        <f t="shared" ref="V1047:V1110" si="344">K1047+N1047+Q1047+T1047</f>
        <v>3</v>
      </c>
      <c r="W1047" s="168">
        <f>IF(ISERROR(Personalplanung!P7/Monatsplanung!$E7*Monatsplanung!$Q7),0,Personalplanung!P7/Monatsplanung!$E7*Monatsplanung!$Q7)</f>
        <v>0</v>
      </c>
      <c r="X1047" s="168">
        <f>IF(ISERROR(Personalplanung!Q7/Monatsplanung!$E7*Monatsplanung!$Q7),0,Personalplanung!Q7/Monatsplanung!$E7*Monatsplanung!$Q7)</f>
        <v>0</v>
      </c>
      <c r="Y1047" s="168">
        <f>IF(ISERROR(Personalplanung!R7/T1255*Stundencontrolling!T1047),0,Personalplanung!R7/T1255*Stundencontrolling!T1047)</f>
        <v>0</v>
      </c>
      <c r="Z1047" s="168">
        <f>IF(ISERROR(Personalplanung!S7/Monatsplanung!$E7*Monatsplanung!$Q7),0,Personalplanung!S7/Monatsplanung!$E7*Monatsplanung!$Q7)</f>
        <v>0</v>
      </c>
      <c r="AA1047" s="80">
        <f t="shared" ref="AA1047:AA1110" si="345">+F1047*G1047*(1+I1047)+SUM(W1047:Z1047)</f>
        <v>172317.63619575254</v>
      </c>
      <c r="AB1047" s="102">
        <f t="shared" ref="AB1047:AB1110" si="346">$AB$6</f>
        <v>0.1</v>
      </c>
      <c r="AC1047" s="103">
        <f t="shared" ref="AC1047:AC1110" si="347">AB1047*AA1047</f>
        <v>17231.763619575253</v>
      </c>
      <c r="AD1047" s="103">
        <f t="shared" ref="AD1047:AD1110" si="348">AA1047-AC1047</f>
        <v>155085.87257617729</v>
      </c>
      <c r="AE1047" s="81">
        <f t="shared" ref="AE1047:AE1110" si="349">(F1047-(V1047*$D1047))*AB1047</f>
        <v>17.666666666666668</v>
      </c>
      <c r="AF1047" s="539"/>
      <c r="AG1047" s="104">
        <f t="shared" ref="AG1047:AG1110" si="350">$AG$6</f>
        <v>1</v>
      </c>
      <c r="AH1047" s="7">
        <f t="shared" ref="AH1047:AH1110" si="351">IF(ISERROR(AK1047/AF1047),0,AK1047/AF1047)</f>
        <v>0</v>
      </c>
      <c r="AI1047" s="6">
        <f t="shared" ref="AI1047:AI1110" si="352">AE1047*AG1047</f>
        <v>17.666666666666668</v>
      </c>
      <c r="AJ1047" s="73">
        <f t="shared" ref="AJ1047:AJ1110" si="353">IF(ISERROR(+AC1047/AI1047),0,+AC1047/AI1047)</f>
        <v>975.382846391052</v>
      </c>
      <c r="AK1047" s="539"/>
      <c r="AL1047" s="748"/>
      <c r="AM1047" s="748"/>
    </row>
    <row r="1048" spans="2:39" x14ac:dyDescent="0.2">
      <c r="B1048" s="101" t="str">
        <f t="shared" si="338"/>
        <v>Walter Meister</v>
      </c>
      <c r="C1048" s="168">
        <f>IF(ISERROR(Personalplanung!F8/Monatsplanung!$E8*Monatsplanung!$Q8),0,Personalplanung!F8/Monatsplanung!$E8*Monatsplanung!$Q8)</f>
        <v>174</v>
      </c>
      <c r="D1048" s="168">
        <f t="shared" si="339"/>
        <v>8</v>
      </c>
      <c r="E1048" s="168">
        <f>IF(ISERROR(Personalplanung!H8/Monatsplanung!$E8*Monatsplanung!$Q8),0,Personalplanung!H8/Monatsplanung!$E8*Monatsplanung!$Q8)</f>
        <v>26.666666666666668</v>
      </c>
      <c r="F1048" s="168">
        <f t="shared" si="340"/>
        <v>200.66666666666666</v>
      </c>
      <c r="G1048" s="168">
        <f t="shared" si="341"/>
        <v>27.700831024930746</v>
      </c>
      <c r="H1048" s="168">
        <f t="shared" si="342"/>
        <v>5558.6334256694363</v>
      </c>
      <c r="I1048" s="168">
        <f t="shared" si="343"/>
        <v>30</v>
      </c>
      <c r="J1048" s="739"/>
      <c r="K1048" s="168">
        <f>IF(J1048&lt;&gt;"",J1048,IF(ISERROR(Personalplanung!AB8/Monatsplanung!$E8*Monatsplanung!$Q8),0,Personalplanung!AB8/Monatsplanung!$E8*Monatsplanung!$Q8))</f>
        <v>0.66666666666666663</v>
      </c>
      <c r="L1048" s="740"/>
      <c r="M1048" s="739"/>
      <c r="N1048" s="168">
        <f>IF(M1048&lt;&gt;"",M1048,IF(ISERROR(Personalplanung!AC8/Monatsplanung!$E8*Monatsplanung!$Q8),0,Personalplanung!AC8/Monatsplanung!$E8*Monatsplanung!$Q8))</f>
        <v>8.3333333333333329E-2</v>
      </c>
      <c r="O1048" s="740"/>
      <c r="P1048" s="739"/>
      <c r="Q1048" s="168">
        <f>IF(P1048&lt;&gt;"",P1048,IF(ISERROR(Personalplanung!AD8/Monatsplanung!$E8*Monatsplanung!$Q8),0,Personalplanung!AD8/Monatsplanung!$E8*Monatsplanung!$Q8))</f>
        <v>0.16666666666666666</v>
      </c>
      <c r="R1048" s="740"/>
      <c r="S1048" s="739"/>
      <c r="T1048" s="168">
        <f>IF(S1048&lt;&gt;"",S1048,IF(ISERROR(Personalplanung!AE8/Monatsplanung!$E8*Monatsplanung!$Q8),0,Personalplanung!AE8/Monatsplanung!$E8*Monatsplanung!$Q8))</f>
        <v>2.1666666666666665</v>
      </c>
      <c r="U1048" s="740"/>
      <c r="V1048" s="168">
        <f t="shared" si="344"/>
        <v>3.083333333333333</v>
      </c>
      <c r="W1048" s="168">
        <f>IF(ISERROR(Personalplanung!P8/Monatsplanung!$E8*Monatsplanung!$Q8),0,Personalplanung!P8/Monatsplanung!$E8*Monatsplanung!$Q8)</f>
        <v>0</v>
      </c>
      <c r="X1048" s="168">
        <f>IF(ISERROR(Personalplanung!Q8/Monatsplanung!$E8*Monatsplanung!$Q8),0,Personalplanung!Q8/Monatsplanung!$E8*Monatsplanung!$Q8)</f>
        <v>0</v>
      </c>
      <c r="Y1048" s="168">
        <f>IF(ISERROR(Personalplanung!R8/T1256*Stundencontrolling!T1048),0,Personalplanung!R8/T1256*Stundencontrolling!T1048)</f>
        <v>0</v>
      </c>
      <c r="Z1048" s="168">
        <f>IF(ISERROR(Personalplanung!S8/Monatsplanung!$E8*Monatsplanung!$Q8),0,Personalplanung!S8/Monatsplanung!$E8*Monatsplanung!$Q8)</f>
        <v>0</v>
      </c>
      <c r="AA1048" s="80">
        <f t="shared" si="345"/>
        <v>172317.63619575254</v>
      </c>
      <c r="AB1048" s="102">
        <f t="shared" si="346"/>
        <v>0.1</v>
      </c>
      <c r="AC1048" s="103">
        <f t="shared" si="347"/>
        <v>17231.763619575253</v>
      </c>
      <c r="AD1048" s="103">
        <f t="shared" si="348"/>
        <v>155085.87257617729</v>
      </c>
      <c r="AE1048" s="81">
        <f t="shared" si="349"/>
        <v>17.600000000000001</v>
      </c>
      <c r="AF1048" s="539"/>
      <c r="AG1048" s="104">
        <f t="shared" si="350"/>
        <v>1</v>
      </c>
      <c r="AH1048" s="7">
        <f t="shared" si="351"/>
        <v>0</v>
      </c>
      <c r="AI1048" s="6">
        <f t="shared" si="352"/>
        <v>17.600000000000001</v>
      </c>
      <c r="AJ1048" s="73">
        <f t="shared" si="353"/>
        <v>979.07747838495743</v>
      </c>
      <c r="AK1048" s="539"/>
      <c r="AL1048" s="748"/>
      <c r="AM1048" s="748"/>
    </row>
    <row r="1049" spans="2:39" x14ac:dyDescent="0.2">
      <c r="B1049" s="101" t="str">
        <f t="shared" si="338"/>
        <v>Tom in Technik</v>
      </c>
      <c r="C1049" s="168">
        <f>IF(ISERROR(Personalplanung!F9/Monatsplanung!$E9*Monatsplanung!$Q9),0,Personalplanung!F9/Monatsplanung!$E9*Monatsplanung!$Q9)</f>
        <v>174</v>
      </c>
      <c r="D1049" s="168">
        <f t="shared" si="339"/>
        <v>8</v>
      </c>
      <c r="E1049" s="168">
        <f>IF(ISERROR(Personalplanung!H9/Monatsplanung!$E9*Monatsplanung!$Q9),0,Personalplanung!H9/Monatsplanung!$E9*Monatsplanung!$Q9)</f>
        <v>0</v>
      </c>
      <c r="F1049" s="168">
        <f t="shared" si="340"/>
        <v>174</v>
      </c>
      <c r="G1049" s="168">
        <f t="shared" si="341"/>
        <v>27.700831024930746</v>
      </c>
      <c r="H1049" s="168">
        <f t="shared" si="342"/>
        <v>4819.9445983379501</v>
      </c>
      <c r="I1049" s="168">
        <f t="shared" si="343"/>
        <v>30</v>
      </c>
      <c r="J1049" s="739"/>
      <c r="K1049" s="168">
        <f>IF(J1049&lt;&gt;"",J1049,IF(ISERROR(Personalplanung!AB9/Monatsplanung!$E9*Monatsplanung!$Q9),0,Personalplanung!AB9/Monatsplanung!$E9*Monatsplanung!$Q9))</f>
        <v>0.66666666666666663</v>
      </c>
      <c r="L1049" s="740"/>
      <c r="M1049" s="739"/>
      <c r="N1049" s="168">
        <f>IF(M1049&lt;&gt;"",M1049,IF(ISERROR(Personalplanung!AC9/Monatsplanung!$E9*Monatsplanung!$Q9),0,Personalplanung!AC9/Monatsplanung!$E9*Monatsplanung!$Q9))</f>
        <v>0.16666666666666666</v>
      </c>
      <c r="O1049" s="740"/>
      <c r="P1049" s="739"/>
      <c r="Q1049" s="168">
        <f>IF(P1049&lt;&gt;"",P1049,IF(ISERROR(Personalplanung!AD9/Monatsplanung!$E9*Monatsplanung!$Q9),0,Personalplanung!AD9/Monatsplanung!$E9*Monatsplanung!$Q9))</f>
        <v>0.16666666666666666</v>
      </c>
      <c r="R1049" s="740"/>
      <c r="S1049" s="739"/>
      <c r="T1049" s="168">
        <f>IF(S1049&lt;&gt;"",S1049,IF(ISERROR(Personalplanung!AE9/Monatsplanung!$E9*Monatsplanung!$Q9),0,Personalplanung!AE9/Monatsplanung!$E9*Monatsplanung!$Q9))</f>
        <v>2.1666666666666665</v>
      </c>
      <c r="U1049" s="740"/>
      <c r="V1049" s="168">
        <f t="shared" si="344"/>
        <v>3.1666666666666665</v>
      </c>
      <c r="W1049" s="168">
        <f>IF(ISERROR(Personalplanung!P9/Monatsplanung!$E9*Monatsplanung!$Q9),0,Personalplanung!P9/Monatsplanung!$E9*Monatsplanung!$Q9)</f>
        <v>0</v>
      </c>
      <c r="X1049" s="168">
        <f>IF(ISERROR(Personalplanung!Q9/Monatsplanung!$E9*Monatsplanung!$Q9),0,Personalplanung!Q9/Monatsplanung!$E9*Monatsplanung!$Q9)</f>
        <v>0</v>
      </c>
      <c r="Y1049" s="168">
        <f>IF(ISERROR(Personalplanung!R9/T1257*Stundencontrolling!T1049),0,Personalplanung!R9/T1257*Stundencontrolling!T1049)</f>
        <v>0</v>
      </c>
      <c r="Z1049" s="168">
        <f>IF(ISERROR(Personalplanung!S9/Monatsplanung!$E9*Monatsplanung!$Q9),0,Personalplanung!S9/Monatsplanung!$E9*Monatsplanung!$Q9)</f>
        <v>0</v>
      </c>
      <c r="AA1049" s="80">
        <f t="shared" si="345"/>
        <v>149418.28254847645</v>
      </c>
      <c r="AB1049" s="102">
        <f t="shared" si="346"/>
        <v>0.1</v>
      </c>
      <c r="AC1049" s="103">
        <f t="shared" si="347"/>
        <v>14941.828254847645</v>
      </c>
      <c r="AD1049" s="103">
        <f t="shared" si="348"/>
        <v>134476.45429362881</v>
      </c>
      <c r="AE1049" s="81">
        <f t="shared" si="349"/>
        <v>14.866666666666667</v>
      </c>
      <c r="AF1049" s="539"/>
      <c r="AG1049" s="104">
        <f t="shared" si="350"/>
        <v>1</v>
      </c>
      <c r="AH1049" s="7">
        <f t="shared" si="351"/>
        <v>0</v>
      </c>
      <c r="AI1049" s="6">
        <f t="shared" si="352"/>
        <v>14.866666666666667</v>
      </c>
      <c r="AJ1049" s="73">
        <f t="shared" si="353"/>
        <v>1005.0557122094829</v>
      </c>
      <c r="AK1049" s="539"/>
      <c r="AL1049" s="748"/>
      <c r="AM1049" s="748"/>
    </row>
    <row r="1050" spans="2:39" x14ac:dyDescent="0.2">
      <c r="B1050" s="101" t="str">
        <f t="shared" si="338"/>
        <v>Lola Rennt</v>
      </c>
      <c r="C1050" s="168">
        <f>IF(ISERROR(Personalplanung!F10/Monatsplanung!$E10*Monatsplanung!$Q10),0,Personalplanung!F10/Monatsplanung!$E10*Monatsplanung!$Q10)</f>
        <v>174</v>
      </c>
      <c r="D1050" s="168">
        <f t="shared" si="339"/>
        <v>8</v>
      </c>
      <c r="E1050" s="168">
        <f>IF(ISERROR(Personalplanung!H10/Monatsplanung!$E10*Monatsplanung!$Q10),0,Personalplanung!H10/Monatsplanung!$E10*Monatsplanung!$Q10)</f>
        <v>0</v>
      </c>
      <c r="F1050" s="168">
        <f t="shared" si="340"/>
        <v>174</v>
      </c>
      <c r="G1050" s="168">
        <f t="shared" si="341"/>
        <v>27.700831024930746</v>
      </c>
      <c r="H1050" s="168">
        <f t="shared" si="342"/>
        <v>4819.9445983379501</v>
      </c>
      <c r="I1050" s="168">
        <f t="shared" si="343"/>
        <v>30</v>
      </c>
      <c r="J1050" s="739"/>
      <c r="K1050" s="168">
        <f>IF(J1050&lt;&gt;"",J1050,IF(ISERROR(Personalplanung!AB10/Monatsplanung!$E10*Monatsplanung!$Q10),0,Personalplanung!AB10/Monatsplanung!$E10*Monatsplanung!$Q10))</f>
        <v>0.66666666666666663</v>
      </c>
      <c r="L1050" s="740"/>
      <c r="M1050" s="739"/>
      <c r="N1050" s="168">
        <f>IF(M1050&lt;&gt;"",M1050,IF(ISERROR(Personalplanung!AC10/Monatsplanung!$E10*Monatsplanung!$Q10),0,Personalplanung!AC10/Monatsplanung!$E10*Monatsplanung!$Q10))</f>
        <v>0</v>
      </c>
      <c r="O1050" s="740"/>
      <c r="P1050" s="739"/>
      <c r="Q1050" s="168">
        <f>IF(P1050&lt;&gt;"",P1050,IF(ISERROR(Personalplanung!AD10/Monatsplanung!$E10*Monatsplanung!$Q10),0,Personalplanung!AD10/Monatsplanung!$E10*Monatsplanung!$Q10))</f>
        <v>0.16666666666666666</v>
      </c>
      <c r="R1050" s="740"/>
      <c r="S1050" s="739"/>
      <c r="T1050" s="168">
        <f>IF(S1050&lt;&gt;"",S1050,IF(ISERROR(Personalplanung!AE10/Monatsplanung!$E10*Monatsplanung!$Q10),0,Personalplanung!AE10/Monatsplanung!$E10*Monatsplanung!$Q10))</f>
        <v>2.1666666666666665</v>
      </c>
      <c r="U1050" s="740"/>
      <c r="V1050" s="168">
        <f t="shared" si="344"/>
        <v>3</v>
      </c>
      <c r="W1050" s="168">
        <f>IF(ISERROR(Personalplanung!P10/Monatsplanung!$E10*Monatsplanung!$Q10),0,Personalplanung!P10/Monatsplanung!$E10*Monatsplanung!$Q10)</f>
        <v>0</v>
      </c>
      <c r="X1050" s="168">
        <f>IF(ISERROR(Personalplanung!Q10/Monatsplanung!$E10*Monatsplanung!$Q10),0,Personalplanung!Q10/Monatsplanung!$E10*Monatsplanung!$Q10)</f>
        <v>0</v>
      </c>
      <c r="Y1050" s="168">
        <f>IF(ISERROR(Personalplanung!R10/T1258*Stundencontrolling!T1050),0,Personalplanung!R10/T1258*Stundencontrolling!T1050)</f>
        <v>0</v>
      </c>
      <c r="Z1050" s="168">
        <f>IF(ISERROR(Personalplanung!S10/Monatsplanung!$E10*Monatsplanung!$Q10),0,Personalplanung!S10/Monatsplanung!$E10*Monatsplanung!$Q10)</f>
        <v>0</v>
      </c>
      <c r="AA1050" s="80">
        <f t="shared" si="345"/>
        <v>149418.28254847645</v>
      </c>
      <c r="AB1050" s="102">
        <f t="shared" si="346"/>
        <v>0.1</v>
      </c>
      <c r="AC1050" s="103">
        <f t="shared" si="347"/>
        <v>14941.828254847645</v>
      </c>
      <c r="AD1050" s="103">
        <f t="shared" si="348"/>
        <v>134476.45429362881</v>
      </c>
      <c r="AE1050" s="81">
        <f t="shared" si="349"/>
        <v>15</v>
      </c>
      <c r="AF1050" s="539"/>
      <c r="AG1050" s="104">
        <f t="shared" si="350"/>
        <v>1</v>
      </c>
      <c r="AH1050" s="7">
        <f t="shared" si="351"/>
        <v>0</v>
      </c>
      <c r="AI1050" s="6">
        <f t="shared" si="352"/>
        <v>15</v>
      </c>
      <c r="AJ1050" s="73">
        <f t="shared" si="353"/>
        <v>996.12188365650968</v>
      </c>
      <c r="AK1050" s="539"/>
      <c r="AL1050" s="748"/>
      <c r="AM1050" s="748"/>
    </row>
    <row r="1051" spans="2:39" x14ac:dyDescent="0.2">
      <c r="B1051" s="101" t="str">
        <f t="shared" si="338"/>
        <v>Bier Lager</v>
      </c>
      <c r="C1051" s="168">
        <f>IF(ISERROR(Personalplanung!F11/Monatsplanung!$E11*Monatsplanung!$Q11),0,Personalplanung!F11/Monatsplanung!$E11*Monatsplanung!$Q11)</f>
        <v>174</v>
      </c>
      <c r="D1051" s="168">
        <f t="shared" si="339"/>
        <v>8</v>
      </c>
      <c r="E1051" s="168">
        <f>IF(ISERROR(Personalplanung!H11/Monatsplanung!$E11*Monatsplanung!$Q11),0,Personalplanung!H11/Monatsplanung!$E11*Monatsplanung!$Q11)</f>
        <v>0</v>
      </c>
      <c r="F1051" s="168">
        <f t="shared" si="340"/>
        <v>174</v>
      </c>
      <c r="G1051" s="168">
        <f t="shared" si="341"/>
        <v>27.700831024930746</v>
      </c>
      <c r="H1051" s="168">
        <f t="shared" si="342"/>
        <v>4819.9445983379501</v>
      </c>
      <c r="I1051" s="168">
        <f t="shared" si="343"/>
        <v>30</v>
      </c>
      <c r="J1051" s="739"/>
      <c r="K1051" s="168">
        <f>IF(J1051&lt;&gt;"",J1051,IF(ISERROR(Personalplanung!AB11/Monatsplanung!$E11*Monatsplanung!$Q11),0,Personalplanung!AB11/Monatsplanung!$E11*Monatsplanung!$Q11))</f>
        <v>0.66666666666666663</v>
      </c>
      <c r="L1051" s="740"/>
      <c r="M1051" s="739"/>
      <c r="N1051" s="168">
        <f>IF(M1051&lt;&gt;"",M1051,IF(ISERROR(Personalplanung!AC11/Monatsplanung!$E11*Monatsplanung!$Q11),0,Personalplanung!AC11/Monatsplanung!$E11*Monatsplanung!$Q11))</f>
        <v>0</v>
      </c>
      <c r="O1051" s="740"/>
      <c r="P1051" s="739"/>
      <c r="Q1051" s="168">
        <f>IF(P1051&lt;&gt;"",P1051,IF(ISERROR(Personalplanung!AD11/Monatsplanung!$E11*Monatsplanung!$Q11),0,Personalplanung!AD11/Monatsplanung!$E11*Monatsplanung!$Q11))</f>
        <v>0.16666666666666666</v>
      </c>
      <c r="R1051" s="740"/>
      <c r="S1051" s="739"/>
      <c r="T1051" s="168">
        <f>IF(S1051&lt;&gt;"",S1051,IF(ISERROR(Personalplanung!AE11/Monatsplanung!$E11*Monatsplanung!$Q11),0,Personalplanung!AE11/Monatsplanung!$E11*Monatsplanung!$Q11))</f>
        <v>2.1666666666666665</v>
      </c>
      <c r="U1051" s="740"/>
      <c r="V1051" s="168">
        <f t="shared" si="344"/>
        <v>3</v>
      </c>
      <c r="W1051" s="168">
        <f>IF(ISERROR(Personalplanung!P11/Monatsplanung!$E11*Monatsplanung!$Q11),0,Personalplanung!P11/Monatsplanung!$E11*Monatsplanung!$Q11)</f>
        <v>0</v>
      </c>
      <c r="X1051" s="168">
        <f>IF(ISERROR(Personalplanung!Q11/Monatsplanung!$E11*Monatsplanung!$Q11),0,Personalplanung!Q11/Monatsplanung!$E11*Monatsplanung!$Q11)</f>
        <v>0</v>
      </c>
      <c r="Y1051" s="168">
        <f>IF(ISERROR(Personalplanung!R11/T1259*Stundencontrolling!T1051),0,Personalplanung!R11/T1259*Stundencontrolling!T1051)</f>
        <v>0</v>
      </c>
      <c r="Z1051" s="168">
        <f>IF(ISERROR(Personalplanung!S11/Monatsplanung!$E11*Monatsplanung!$Q11),0,Personalplanung!S11/Monatsplanung!$E11*Monatsplanung!$Q11)</f>
        <v>0</v>
      </c>
      <c r="AA1051" s="80">
        <f t="shared" si="345"/>
        <v>149418.28254847645</v>
      </c>
      <c r="AB1051" s="102">
        <f t="shared" si="346"/>
        <v>0.1</v>
      </c>
      <c r="AC1051" s="103">
        <f t="shared" si="347"/>
        <v>14941.828254847645</v>
      </c>
      <c r="AD1051" s="103">
        <f t="shared" si="348"/>
        <v>134476.45429362881</v>
      </c>
      <c r="AE1051" s="81">
        <f t="shared" si="349"/>
        <v>15</v>
      </c>
      <c r="AF1051" s="539"/>
      <c r="AG1051" s="104">
        <f t="shared" si="350"/>
        <v>1</v>
      </c>
      <c r="AH1051" s="7">
        <f t="shared" si="351"/>
        <v>0</v>
      </c>
      <c r="AI1051" s="6">
        <f t="shared" si="352"/>
        <v>15</v>
      </c>
      <c r="AJ1051" s="73">
        <f t="shared" si="353"/>
        <v>996.12188365650968</v>
      </c>
      <c r="AK1051" s="539"/>
      <c r="AL1051" s="748"/>
      <c r="AM1051" s="748"/>
    </row>
    <row r="1052" spans="2:39" x14ac:dyDescent="0.2">
      <c r="B1052" s="101" t="str">
        <f t="shared" si="338"/>
        <v>Heinrich vor Arbeit</v>
      </c>
      <c r="C1052" s="168">
        <f>IF(ISERROR(Personalplanung!F12/Monatsplanung!$E12*Monatsplanung!$Q12),0,Personalplanung!F12/Monatsplanung!$E12*Monatsplanung!$Q12)</f>
        <v>174</v>
      </c>
      <c r="D1052" s="168">
        <f t="shared" si="339"/>
        <v>8</v>
      </c>
      <c r="E1052" s="168">
        <f>IF(ISERROR(Personalplanung!H12/Monatsplanung!$E12*Monatsplanung!$Q12),0,Personalplanung!H12/Monatsplanung!$E12*Monatsplanung!$Q12)</f>
        <v>0</v>
      </c>
      <c r="F1052" s="168">
        <f t="shared" si="340"/>
        <v>174</v>
      </c>
      <c r="G1052" s="168">
        <f t="shared" si="341"/>
        <v>27.700831024930746</v>
      </c>
      <c r="H1052" s="168">
        <f t="shared" si="342"/>
        <v>4819.9445983379501</v>
      </c>
      <c r="I1052" s="168">
        <f t="shared" si="343"/>
        <v>30</v>
      </c>
      <c r="J1052" s="739"/>
      <c r="K1052" s="168">
        <f>IF(J1052&lt;&gt;"",J1052,IF(ISERROR(Personalplanung!AB12/Monatsplanung!$E12*Monatsplanung!$Q12),0,Personalplanung!AB12/Monatsplanung!$E12*Monatsplanung!$Q12))</f>
        <v>0.66666666666666663</v>
      </c>
      <c r="L1052" s="740"/>
      <c r="M1052" s="739"/>
      <c r="N1052" s="168">
        <f>IF(M1052&lt;&gt;"",M1052,IF(ISERROR(Personalplanung!AC12/Monatsplanung!$E12*Monatsplanung!$Q12),0,Personalplanung!AC12/Monatsplanung!$E12*Monatsplanung!$Q12))</f>
        <v>0</v>
      </c>
      <c r="O1052" s="740"/>
      <c r="P1052" s="739"/>
      <c r="Q1052" s="168">
        <f>IF(P1052&lt;&gt;"",P1052,IF(ISERROR(Personalplanung!AD12/Monatsplanung!$E12*Monatsplanung!$Q12),0,Personalplanung!AD12/Monatsplanung!$E12*Monatsplanung!$Q12))</f>
        <v>0.16666666666666666</v>
      </c>
      <c r="R1052" s="740"/>
      <c r="S1052" s="739"/>
      <c r="T1052" s="168">
        <f>IF(S1052&lt;&gt;"",S1052,IF(ISERROR(Personalplanung!AE12/Monatsplanung!$E12*Monatsplanung!$Q12),0,Personalplanung!AE12/Monatsplanung!$E12*Monatsplanung!$Q12))</f>
        <v>2.1666666666666665</v>
      </c>
      <c r="U1052" s="740"/>
      <c r="V1052" s="168">
        <f t="shared" si="344"/>
        <v>3</v>
      </c>
      <c r="W1052" s="168">
        <f>IF(ISERROR(Personalplanung!P12/Monatsplanung!$E12*Monatsplanung!$Q12),0,Personalplanung!P12/Monatsplanung!$E12*Monatsplanung!$Q12)</f>
        <v>0</v>
      </c>
      <c r="X1052" s="168">
        <f>IF(ISERROR(Personalplanung!Q12/Monatsplanung!$E12*Monatsplanung!$Q12),0,Personalplanung!Q12/Monatsplanung!$E12*Monatsplanung!$Q12)</f>
        <v>0</v>
      </c>
      <c r="Y1052" s="168">
        <f>IF(ISERROR(Personalplanung!R12/T1260*Stundencontrolling!T1052),0,Personalplanung!R12/T1260*Stundencontrolling!T1052)</f>
        <v>0</v>
      </c>
      <c r="Z1052" s="168">
        <f>IF(ISERROR(Personalplanung!S12/Monatsplanung!$E12*Monatsplanung!$Q12),0,Personalplanung!S12/Monatsplanung!$E12*Monatsplanung!$Q12)</f>
        <v>0</v>
      </c>
      <c r="AA1052" s="80">
        <f t="shared" si="345"/>
        <v>149418.28254847645</v>
      </c>
      <c r="AB1052" s="102">
        <f t="shared" si="346"/>
        <v>0.1</v>
      </c>
      <c r="AC1052" s="103">
        <f t="shared" si="347"/>
        <v>14941.828254847645</v>
      </c>
      <c r="AD1052" s="103">
        <f t="shared" si="348"/>
        <v>134476.45429362881</v>
      </c>
      <c r="AE1052" s="81">
        <f t="shared" si="349"/>
        <v>15</v>
      </c>
      <c r="AF1052" s="539"/>
      <c r="AG1052" s="104">
        <f t="shared" si="350"/>
        <v>1</v>
      </c>
      <c r="AH1052" s="7">
        <f t="shared" si="351"/>
        <v>0</v>
      </c>
      <c r="AI1052" s="6">
        <f t="shared" si="352"/>
        <v>15</v>
      </c>
      <c r="AJ1052" s="73">
        <f t="shared" si="353"/>
        <v>996.12188365650968</v>
      </c>
      <c r="AK1052" s="539"/>
      <c r="AL1052" s="748"/>
      <c r="AM1052" s="748"/>
    </row>
    <row r="1053" spans="2:39" x14ac:dyDescent="0.2">
      <c r="B1053" s="101" t="str">
        <f t="shared" si="338"/>
        <v>Voller Geselle</v>
      </c>
      <c r="C1053" s="168">
        <f>IF(ISERROR(Personalplanung!F13/Monatsplanung!$E13*Monatsplanung!$Q13),0,Personalplanung!F13/Monatsplanung!$E13*Monatsplanung!$Q13)</f>
        <v>174</v>
      </c>
      <c r="D1053" s="168">
        <f t="shared" si="339"/>
        <v>8</v>
      </c>
      <c r="E1053" s="168">
        <f>IF(ISERROR(Personalplanung!H13/Monatsplanung!$E13*Monatsplanung!$Q13),0,Personalplanung!H13/Monatsplanung!$E13*Monatsplanung!$Q13)</f>
        <v>0</v>
      </c>
      <c r="F1053" s="168">
        <f t="shared" si="340"/>
        <v>174</v>
      </c>
      <c r="G1053" s="168">
        <f t="shared" si="341"/>
        <v>27.700831024930746</v>
      </c>
      <c r="H1053" s="168">
        <f t="shared" si="342"/>
        <v>4819.9445983379501</v>
      </c>
      <c r="I1053" s="168">
        <f t="shared" si="343"/>
        <v>30</v>
      </c>
      <c r="J1053" s="739"/>
      <c r="K1053" s="168">
        <f>IF(J1053&lt;&gt;"",J1053,IF(ISERROR(Personalplanung!AB13/Monatsplanung!$E13*Monatsplanung!$Q13),0,Personalplanung!AB13/Monatsplanung!$E13*Monatsplanung!$Q13))</f>
        <v>0.66666666666666663</v>
      </c>
      <c r="L1053" s="740"/>
      <c r="M1053" s="739"/>
      <c r="N1053" s="168">
        <f>IF(M1053&lt;&gt;"",M1053,IF(ISERROR(Personalplanung!AC13/Monatsplanung!$E13*Monatsplanung!$Q13),0,Personalplanung!AC13/Monatsplanung!$E13*Monatsplanung!$Q13))</f>
        <v>0.25</v>
      </c>
      <c r="O1053" s="740"/>
      <c r="P1053" s="739"/>
      <c r="Q1053" s="168">
        <f>IF(P1053&lt;&gt;"",P1053,IF(ISERROR(Personalplanung!AD13/Monatsplanung!$E13*Monatsplanung!$Q13),0,Personalplanung!AD13/Monatsplanung!$E13*Monatsplanung!$Q13))</f>
        <v>0.16666666666666666</v>
      </c>
      <c r="R1053" s="740"/>
      <c r="S1053" s="739"/>
      <c r="T1053" s="168">
        <f>IF(S1053&lt;&gt;"",S1053,IF(ISERROR(Personalplanung!AE13/Monatsplanung!$E13*Monatsplanung!$Q13),0,Personalplanung!AE13/Monatsplanung!$E13*Monatsplanung!$Q13))</f>
        <v>2.1666666666666665</v>
      </c>
      <c r="U1053" s="740"/>
      <c r="V1053" s="168">
        <f t="shared" si="344"/>
        <v>3.25</v>
      </c>
      <c r="W1053" s="168">
        <f>IF(ISERROR(Personalplanung!P13/Monatsplanung!$E13*Monatsplanung!$Q13),0,Personalplanung!P13/Monatsplanung!$E13*Monatsplanung!$Q13)</f>
        <v>0</v>
      </c>
      <c r="X1053" s="168">
        <f>IF(ISERROR(Personalplanung!Q13/Monatsplanung!$E13*Monatsplanung!$Q13),0,Personalplanung!Q13/Monatsplanung!$E13*Monatsplanung!$Q13)</f>
        <v>0</v>
      </c>
      <c r="Y1053" s="168">
        <f>IF(ISERROR(Personalplanung!R13/T1261*Stundencontrolling!T1053),0,Personalplanung!R13/T1261*Stundencontrolling!T1053)</f>
        <v>0</v>
      </c>
      <c r="Z1053" s="168">
        <f>IF(ISERROR(Personalplanung!S13/Monatsplanung!$E13*Monatsplanung!$Q13),0,Personalplanung!S13/Monatsplanung!$E13*Monatsplanung!$Q13)</f>
        <v>0</v>
      </c>
      <c r="AA1053" s="80">
        <f t="shared" si="345"/>
        <v>149418.28254847645</v>
      </c>
      <c r="AB1053" s="102">
        <f t="shared" si="346"/>
        <v>0.1</v>
      </c>
      <c r="AC1053" s="103">
        <f t="shared" si="347"/>
        <v>14941.828254847645</v>
      </c>
      <c r="AD1053" s="103">
        <f t="shared" si="348"/>
        <v>134476.45429362881</v>
      </c>
      <c r="AE1053" s="81">
        <f t="shared" si="349"/>
        <v>14.8</v>
      </c>
      <c r="AF1053" s="539"/>
      <c r="AG1053" s="104">
        <f t="shared" si="350"/>
        <v>1</v>
      </c>
      <c r="AH1053" s="7">
        <f t="shared" si="351"/>
        <v>0</v>
      </c>
      <c r="AI1053" s="6">
        <f t="shared" si="352"/>
        <v>14.8</v>
      </c>
      <c r="AJ1053" s="73">
        <f t="shared" si="353"/>
        <v>1009.5829901924084</v>
      </c>
      <c r="AK1053" s="539"/>
      <c r="AL1053" s="748"/>
      <c r="AM1053" s="748"/>
    </row>
    <row r="1054" spans="2:39" x14ac:dyDescent="0.2">
      <c r="B1054" s="101" t="str">
        <f t="shared" si="338"/>
        <v>Thomas Fleißig</v>
      </c>
      <c r="C1054" s="168">
        <f>IF(ISERROR(Personalplanung!F14/Monatsplanung!$E14*Monatsplanung!$Q14),0,Personalplanung!F14/Monatsplanung!$E14*Monatsplanung!$Q14)</f>
        <v>174</v>
      </c>
      <c r="D1054" s="168">
        <f t="shared" si="339"/>
        <v>8</v>
      </c>
      <c r="E1054" s="168">
        <f>IF(ISERROR(Personalplanung!H14/Monatsplanung!$E14*Monatsplanung!$Q14),0,Personalplanung!H14/Monatsplanung!$E14*Monatsplanung!$Q14)</f>
        <v>0</v>
      </c>
      <c r="F1054" s="168">
        <f t="shared" si="340"/>
        <v>174</v>
      </c>
      <c r="G1054" s="168">
        <f t="shared" si="341"/>
        <v>27.700831024930746</v>
      </c>
      <c r="H1054" s="168">
        <f t="shared" si="342"/>
        <v>4819.9445983379501</v>
      </c>
      <c r="I1054" s="168">
        <f t="shared" si="343"/>
        <v>30</v>
      </c>
      <c r="J1054" s="739"/>
      <c r="K1054" s="168">
        <f>IF(J1054&lt;&gt;"",J1054,IF(ISERROR(Personalplanung!AB14/Monatsplanung!$E14*Monatsplanung!$Q14),0,Personalplanung!AB14/Monatsplanung!$E14*Monatsplanung!$Q14))</f>
        <v>0.66666666666666663</v>
      </c>
      <c r="L1054" s="740"/>
      <c r="M1054" s="739"/>
      <c r="N1054" s="168">
        <f>IF(M1054&lt;&gt;"",M1054,IF(ISERROR(Personalplanung!AC14/Monatsplanung!$E14*Monatsplanung!$Q14),0,Personalplanung!AC14/Monatsplanung!$E14*Monatsplanung!$Q14))</f>
        <v>0</v>
      </c>
      <c r="O1054" s="740"/>
      <c r="P1054" s="739"/>
      <c r="Q1054" s="168">
        <f>IF(P1054&lt;&gt;"",P1054,IF(ISERROR(Personalplanung!AD14/Monatsplanung!$E14*Monatsplanung!$Q14),0,Personalplanung!AD14/Monatsplanung!$E14*Monatsplanung!$Q14))</f>
        <v>0.16666666666666666</v>
      </c>
      <c r="R1054" s="740"/>
      <c r="S1054" s="739"/>
      <c r="T1054" s="168">
        <f>IF(S1054&lt;&gt;"",S1054,IF(ISERROR(Personalplanung!AE14/Monatsplanung!$E14*Monatsplanung!$Q14),0,Personalplanung!AE14/Monatsplanung!$E14*Monatsplanung!$Q14))</f>
        <v>2.1666666666666665</v>
      </c>
      <c r="U1054" s="740"/>
      <c r="V1054" s="168">
        <f t="shared" si="344"/>
        <v>3</v>
      </c>
      <c r="W1054" s="168">
        <f>IF(ISERROR(Personalplanung!P14/Monatsplanung!$E14*Monatsplanung!$Q14),0,Personalplanung!P14/Monatsplanung!$E14*Monatsplanung!$Q14)</f>
        <v>0</v>
      </c>
      <c r="X1054" s="168">
        <f>IF(ISERROR(Personalplanung!Q14/Monatsplanung!$E14*Monatsplanung!$Q14),0,Personalplanung!Q14/Monatsplanung!$E14*Monatsplanung!$Q14)</f>
        <v>166.66666666666666</v>
      </c>
      <c r="Y1054" s="168">
        <f>IF(ISERROR(Personalplanung!R14/T1262*Stundencontrolling!T1054),0,Personalplanung!R14/T1262*Stundencontrolling!T1054)</f>
        <v>66.666666666666657</v>
      </c>
      <c r="Z1054" s="168">
        <f>IF(ISERROR(Personalplanung!S14/Monatsplanung!$E14*Monatsplanung!$Q14),0,Personalplanung!S14/Monatsplanung!$E14*Monatsplanung!$Q14)</f>
        <v>50</v>
      </c>
      <c r="AA1054" s="80">
        <f t="shared" si="345"/>
        <v>149701.61588180979</v>
      </c>
      <c r="AB1054" s="102">
        <f t="shared" si="346"/>
        <v>0.1</v>
      </c>
      <c r="AC1054" s="103">
        <f t="shared" si="347"/>
        <v>14970.161588180979</v>
      </c>
      <c r="AD1054" s="103">
        <f t="shared" si="348"/>
        <v>134731.45429362881</v>
      </c>
      <c r="AE1054" s="81">
        <f t="shared" si="349"/>
        <v>15</v>
      </c>
      <c r="AF1054" s="539"/>
      <c r="AG1054" s="104">
        <f t="shared" si="350"/>
        <v>1</v>
      </c>
      <c r="AH1054" s="7">
        <f t="shared" si="351"/>
        <v>0</v>
      </c>
      <c r="AI1054" s="6">
        <f t="shared" si="352"/>
        <v>15</v>
      </c>
      <c r="AJ1054" s="73">
        <f t="shared" si="353"/>
        <v>998.01077254539859</v>
      </c>
      <c r="AK1054" s="539"/>
      <c r="AL1054" s="748"/>
      <c r="AM1054" s="748"/>
    </row>
    <row r="1055" spans="2:39" x14ac:dyDescent="0.2">
      <c r="B1055" s="101" t="str">
        <f t="shared" si="338"/>
        <v>Facharbeiter</v>
      </c>
      <c r="C1055" s="168">
        <f>IF(ISERROR(Personalplanung!F15/Monatsplanung!$E15*Monatsplanung!$Q15),0,Personalplanung!F15/Monatsplanung!$E15*Monatsplanung!$Q15)</f>
        <v>174</v>
      </c>
      <c r="D1055" s="168">
        <f t="shared" si="339"/>
        <v>8</v>
      </c>
      <c r="E1055" s="168">
        <f>IF(ISERROR(Personalplanung!H15/Monatsplanung!$E15*Monatsplanung!$Q15),0,Personalplanung!H15/Monatsplanung!$E15*Monatsplanung!$Q15)</f>
        <v>0</v>
      </c>
      <c r="F1055" s="168">
        <f t="shared" si="340"/>
        <v>174</v>
      </c>
      <c r="G1055" s="168">
        <f t="shared" si="341"/>
        <v>27.700831024930746</v>
      </c>
      <c r="H1055" s="168">
        <f t="shared" si="342"/>
        <v>4819.9445983379501</v>
      </c>
      <c r="I1055" s="168">
        <f t="shared" si="343"/>
        <v>30</v>
      </c>
      <c r="J1055" s="739"/>
      <c r="K1055" s="168">
        <f>IF(J1055&lt;&gt;"",J1055,IF(ISERROR(Personalplanung!AB15/Monatsplanung!$E15*Monatsplanung!$Q15),0,Personalplanung!AB15/Monatsplanung!$E15*Monatsplanung!$Q15))</f>
        <v>0.66666666666666663</v>
      </c>
      <c r="L1055" s="740"/>
      <c r="M1055" s="739"/>
      <c r="N1055" s="168">
        <f>IF(M1055&lt;&gt;"",M1055,IF(ISERROR(Personalplanung!AC15/Monatsplanung!$E15*Monatsplanung!$Q15),0,Personalplanung!AC15/Monatsplanung!$E15*Monatsplanung!$Q15))</f>
        <v>0.16666666666666666</v>
      </c>
      <c r="O1055" s="740"/>
      <c r="P1055" s="739"/>
      <c r="Q1055" s="168">
        <f>IF(P1055&lt;&gt;"",P1055,IF(ISERROR(Personalplanung!AD15/Monatsplanung!$E15*Monatsplanung!$Q15),0,Personalplanung!AD15/Monatsplanung!$E15*Monatsplanung!$Q15))</f>
        <v>0.41666666666666669</v>
      </c>
      <c r="R1055" s="740"/>
      <c r="S1055" s="739"/>
      <c r="T1055" s="168">
        <f>IF(S1055&lt;&gt;"",S1055,IF(ISERROR(Personalplanung!AE15/Monatsplanung!$E15*Monatsplanung!$Q15),0,Personalplanung!AE15/Monatsplanung!$E15*Monatsplanung!$Q15))</f>
        <v>2.1666666666666665</v>
      </c>
      <c r="U1055" s="740"/>
      <c r="V1055" s="168">
        <f t="shared" si="344"/>
        <v>3.4166666666666665</v>
      </c>
      <c r="W1055" s="168">
        <f>IF(ISERROR(Personalplanung!P15/Monatsplanung!$E15*Monatsplanung!$Q15),0,Personalplanung!P15/Monatsplanung!$E15*Monatsplanung!$Q15)</f>
        <v>0</v>
      </c>
      <c r="X1055" s="168">
        <f>IF(ISERROR(Personalplanung!Q15/Monatsplanung!$E15*Monatsplanung!$Q15),0,Personalplanung!Q15/Monatsplanung!$E15*Monatsplanung!$Q15)</f>
        <v>0</v>
      </c>
      <c r="Y1055" s="168">
        <f>IF(ISERROR(Personalplanung!R15/T1263*Stundencontrolling!T1055),0,Personalplanung!R15/T1263*Stundencontrolling!T1055)</f>
        <v>0</v>
      </c>
      <c r="Z1055" s="168">
        <f>IF(ISERROR(Personalplanung!S15/Monatsplanung!$E15*Monatsplanung!$Q15),0,Personalplanung!S15/Monatsplanung!$E15*Monatsplanung!$Q15)</f>
        <v>0</v>
      </c>
      <c r="AA1055" s="80">
        <f t="shared" si="345"/>
        <v>149418.28254847645</v>
      </c>
      <c r="AB1055" s="102">
        <f t="shared" si="346"/>
        <v>0.1</v>
      </c>
      <c r="AC1055" s="103">
        <f t="shared" si="347"/>
        <v>14941.828254847645</v>
      </c>
      <c r="AD1055" s="103">
        <f t="shared" si="348"/>
        <v>134476.45429362881</v>
      </c>
      <c r="AE1055" s="81">
        <f t="shared" si="349"/>
        <v>14.666666666666666</v>
      </c>
      <c r="AF1055" s="539"/>
      <c r="AG1055" s="104">
        <f t="shared" si="350"/>
        <v>1</v>
      </c>
      <c r="AH1055" s="7">
        <f t="shared" si="351"/>
        <v>0</v>
      </c>
      <c r="AI1055" s="6">
        <f t="shared" si="352"/>
        <v>14.666666666666666</v>
      </c>
      <c r="AJ1055" s="73">
        <f t="shared" si="353"/>
        <v>1018.7610173759758</v>
      </c>
      <c r="AK1055" s="539"/>
      <c r="AL1055" s="748"/>
      <c r="AM1055" s="748"/>
    </row>
    <row r="1056" spans="2:39" x14ac:dyDescent="0.2">
      <c r="B1056" s="101" t="str">
        <f t="shared" si="338"/>
        <v>Abgänger</v>
      </c>
      <c r="C1056" s="168">
        <f>IF(ISERROR(Personalplanung!F16/Monatsplanung!$E16*Monatsplanung!$Q16),0,Personalplanung!F16/Monatsplanung!$E16*Monatsplanung!$Q16)</f>
        <v>0</v>
      </c>
      <c r="D1056" s="168">
        <f t="shared" si="339"/>
        <v>8</v>
      </c>
      <c r="E1056" s="168">
        <f>IF(ISERROR(Personalplanung!H16/Monatsplanung!$E16*Monatsplanung!$Q16),0,Personalplanung!H16/Monatsplanung!$E16*Monatsplanung!$Q16)</f>
        <v>0</v>
      </c>
      <c r="F1056" s="168">
        <f t="shared" si="340"/>
        <v>0</v>
      </c>
      <c r="G1056" s="168">
        <f t="shared" si="341"/>
        <v>27.700831024930746</v>
      </c>
      <c r="H1056" s="168">
        <f t="shared" si="342"/>
        <v>0</v>
      </c>
      <c r="I1056" s="168">
        <f t="shared" si="343"/>
        <v>30</v>
      </c>
      <c r="J1056" s="739"/>
      <c r="K1056" s="168">
        <f>IF(J1056&lt;&gt;"",J1056,IF(ISERROR(Personalplanung!AB16/Monatsplanung!$E16*Monatsplanung!$Q16),0,Personalplanung!AB16/Monatsplanung!$E16*Monatsplanung!$Q16))</f>
        <v>0</v>
      </c>
      <c r="L1056" s="740"/>
      <c r="M1056" s="739"/>
      <c r="N1056" s="168">
        <f>IF(M1056&lt;&gt;"",M1056,IF(ISERROR(Personalplanung!AC16/Monatsplanung!$E16*Monatsplanung!$Q16),0,Personalplanung!AC16/Monatsplanung!$E16*Monatsplanung!$Q16))</f>
        <v>0</v>
      </c>
      <c r="O1056" s="740"/>
      <c r="P1056" s="739"/>
      <c r="Q1056" s="168">
        <f>IF(P1056&lt;&gt;"",P1056,IF(ISERROR(Personalplanung!AD16/Monatsplanung!$E16*Monatsplanung!$Q16),0,Personalplanung!AD16/Monatsplanung!$E16*Monatsplanung!$Q16))</f>
        <v>0</v>
      </c>
      <c r="R1056" s="740"/>
      <c r="S1056" s="739"/>
      <c r="T1056" s="168">
        <f>IF(S1056&lt;&gt;"",S1056,IF(ISERROR(Personalplanung!AE16/Monatsplanung!$E16*Monatsplanung!$Q16),0,Personalplanung!AE16/Monatsplanung!$E16*Monatsplanung!$Q16))</f>
        <v>0</v>
      </c>
      <c r="U1056" s="740"/>
      <c r="V1056" s="168">
        <f t="shared" si="344"/>
        <v>0</v>
      </c>
      <c r="W1056" s="168">
        <f>IF(ISERROR(Personalplanung!P16/Monatsplanung!$E16*Monatsplanung!$Q16),0,Personalplanung!P16/Monatsplanung!$E16*Monatsplanung!$Q16)</f>
        <v>0</v>
      </c>
      <c r="X1056" s="168">
        <f>IF(ISERROR(Personalplanung!Q16/Monatsplanung!$E16*Monatsplanung!$Q16),0,Personalplanung!Q16/Monatsplanung!$E16*Monatsplanung!$Q16)</f>
        <v>0</v>
      </c>
      <c r="Y1056" s="168">
        <f>IF(ISERROR(Personalplanung!R16/T1264*Stundencontrolling!T1056),0,Personalplanung!R16/T1264*Stundencontrolling!T1056)</f>
        <v>0</v>
      </c>
      <c r="Z1056" s="168">
        <f>IF(ISERROR(Personalplanung!S16/Monatsplanung!$E16*Monatsplanung!$Q16),0,Personalplanung!S16/Monatsplanung!$E16*Monatsplanung!$Q16)</f>
        <v>0</v>
      </c>
      <c r="AA1056" s="80">
        <f t="shared" si="345"/>
        <v>0</v>
      </c>
      <c r="AB1056" s="102">
        <f t="shared" si="346"/>
        <v>0.1</v>
      </c>
      <c r="AC1056" s="103">
        <f t="shared" si="347"/>
        <v>0</v>
      </c>
      <c r="AD1056" s="103">
        <f t="shared" si="348"/>
        <v>0</v>
      </c>
      <c r="AE1056" s="81">
        <f t="shared" si="349"/>
        <v>0</v>
      </c>
      <c r="AF1056" s="539"/>
      <c r="AG1056" s="104">
        <f t="shared" si="350"/>
        <v>1</v>
      </c>
      <c r="AH1056" s="7">
        <f t="shared" si="351"/>
        <v>0</v>
      </c>
      <c r="AI1056" s="6">
        <f t="shared" si="352"/>
        <v>0</v>
      </c>
      <c r="AJ1056" s="73">
        <f t="shared" si="353"/>
        <v>0</v>
      </c>
      <c r="AK1056" s="539"/>
      <c r="AL1056" s="748"/>
      <c r="AM1056" s="748"/>
    </row>
    <row r="1057" spans="2:39" x14ac:dyDescent="0.2">
      <c r="B1057" s="101" t="str">
        <f t="shared" si="338"/>
        <v>Facharbeiter</v>
      </c>
      <c r="C1057" s="168">
        <f>IF(ISERROR(Personalplanung!F17/Monatsplanung!$E17*Monatsplanung!$Q17),0,Personalplanung!F17/Monatsplanung!$E17*Monatsplanung!$Q17)</f>
        <v>174</v>
      </c>
      <c r="D1057" s="168">
        <f t="shared" si="339"/>
        <v>8</v>
      </c>
      <c r="E1057" s="168">
        <f>IF(ISERROR(Personalplanung!H17/Monatsplanung!$E17*Monatsplanung!$Q17),0,Personalplanung!H17/Monatsplanung!$E17*Monatsplanung!$Q17)</f>
        <v>0</v>
      </c>
      <c r="F1057" s="168">
        <f t="shared" si="340"/>
        <v>174</v>
      </c>
      <c r="G1057" s="168">
        <f t="shared" si="341"/>
        <v>27.700831024930746</v>
      </c>
      <c r="H1057" s="168">
        <f t="shared" si="342"/>
        <v>4819.9445983379501</v>
      </c>
      <c r="I1057" s="168">
        <f t="shared" si="343"/>
        <v>30</v>
      </c>
      <c r="J1057" s="739"/>
      <c r="K1057" s="168">
        <f>IF(J1057&lt;&gt;"",J1057,IF(ISERROR(Personalplanung!AB17/Monatsplanung!$E17*Monatsplanung!$Q17),0,Personalplanung!AB17/Monatsplanung!$E17*Monatsplanung!$Q17))</f>
        <v>0.66666666666666663</v>
      </c>
      <c r="L1057" s="740"/>
      <c r="M1057" s="739"/>
      <c r="N1057" s="168">
        <f>IF(M1057&lt;&gt;"",M1057,IF(ISERROR(Personalplanung!AC17/Monatsplanung!$E17*Monatsplanung!$Q17),0,Personalplanung!AC17/Monatsplanung!$E17*Monatsplanung!$Q17))</f>
        <v>0</v>
      </c>
      <c r="O1057" s="740"/>
      <c r="P1057" s="739"/>
      <c r="Q1057" s="168">
        <f>IF(P1057&lt;&gt;"",P1057,IF(ISERROR(Personalplanung!AD17/Monatsplanung!$E17*Monatsplanung!$Q17),0,Personalplanung!AD17/Monatsplanung!$E17*Monatsplanung!$Q17))</f>
        <v>0.16666666666666666</v>
      </c>
      <c r="R1057" s="740"/>
      <c r="S1057" s="739"/>
      <c r="T1057" s="168">
        <f>IF(S1057&lt;&gt;"",S1057,IF(ISERROR(Personalplanung!AE17/Monatsplanung!$E17*Monatsplanung!$Q17),0,Personalplanung!AE17/Monatsplanung!$E17*Monatsplanung!$Q17))</f>
        <v>2.1666666666666665</v>
      </c>
      <c r="U1057" s="740"/>
      <c r="V1057" s="168">
        <f t="shared" si="344"/>
        <v>3</v>
      </c>
      <c r="W1057" s="168">
        <f>IF(ISERROR(Personalplanung!P17/Monatsplanung!$E17*Monatsplanung!$Q17),0,Personalplanung!P17/Monatsplanung!$E17*Monatsplanung!$Q17)</f>
        <v>0</v>
      </c>
      <c r="X1057" s="168">
        <f>IF(ISERROR(Personalplanung!Q17/Monatsplanung!$E17*Monatsplanung!$Q17),0,Personalplanung!Q17/Monatsplanung!$E17*Monatsplanung!$Q17)</f>
        <v>0</v>
      </c>
      <c r="Y1057" s="168">
        <f>IF(ISERROR(Personalplanung!R17/T1265*Stundencontrolling!T1057),0,Personalplanung!R17/T1265*Stundencontrolling!T1057)</f>
        <v>0</v>
      </c>
      <c r="Z1057" s="168">
        <f>IF(ISERROR(Personalplanung!S17/Monatsplanung!$E17*Monatsplanung!$Q17),0,Personalplanung!S17/Monatsplanung!$E17*Monatsplanung!$Q17)</f>
        <v>0</v>
      </c>
      <c r="AA1057" s="80">
        <f t="shared" si="345"/>
        <v>149418.28254847645</v>
      </c>
      <c r="AB1057" s="102">
        <f t="shared" si="346"/>
        <v>0.1</v>
      </c>
      <c r="AC1057" s="103">
        <f t="shared" si="347"/>
        <v>14941.828254847645</v>
      </c>
      <c r="AD1057" s="103">
        <f t="shared" si="348"/>
        <v>134476.45429362881</v>
      </c>
      <c r="AE1057" s="81">
        <f t="shared" si="349"/>
        <v>15</v>
      </c>
      <c r="AF1057" s="539"/>
      <c r="AG1057" s="104">
        <f t="shared" si="350"/>
        <v>1</v>
      </c>
      <c r="AH1057" s="7">
        <f t="shared" si="351"/>
        <v>0</v>
      </c>
      <c r="AI1057" s="6">
        <f t="shared" si="352"/>
        <v>15</v>
      </c>
      <c r="AJ1057" s="73">
        <f t="shared" si="353"/>
        <v>996.12188365650968</v>
      </c>
      <c r="AK1057" s="539"/>
      <c r="AL1057" s="748"/>
      <c r="AM1057" s="748"/>
    </row>
    <row r="1058" spans="2:39" x14ac:dyDescent="0.2">
      <c r="B1058" s="101" t="str">
        <f t="shared" si="338"/>
        <v>Facharbeiter</v>
      </c>
      <c r="C1058" s="168">
        <f>IF(ISERROR(Personalplanung!F18/Monatsplanung!$E18*Monatsplanung!$Q18),0,Personalplanung!F18/Monatsplanung!$E18*Monatsplanung!$Q18)</f>
        <v>174</v>
      </c>
      <c r="D1058" s="168">
        <f t="shared" si="339"/>
        <v>8</v>
      </c>
      <c r="E1058" s="168">
        <f>IF(ISERROR(Personalplanung!H18/Monatsplanung!$E18*Monatsplanung!$Q18),0,Personalplanung!H18/Monatsplanung!$E18*Monatsplanung!$Q18)</f>
        <v>0</v>
      </c>
      <c r="F1058" s="168">
        <f t="shared" si="340"/>
        <v>174</v>
      </c>
      <c r="G1058" s="168">
        <f t="shared" si="341"/>
        <v>27.700831024930746</v>
      </c>
      <c r="H1058" s="168">
        <f t="shared" si="342"/>
        <v>4819.9445983379501</v>
      </c>
      <c r="I1058" s="168">
        <f t="shared" si="343"/>
        <v>30</v>
      </c>
      <c r="J1058" s="739"/>
      <c r="K1058" s="168">
        <f>IF(J1058&lt;&gt;"",J1058,IF(ISERROR(Personalplanung!AB18/Monatsplanung!$E18*Monatsplanung!$Q18),0,Personalplanung!AB18/Monatsplanung!$E18*Monatsplanung!$Q18))</f>
        <v>0.66666666666666663</v>
      </c>
      <c r="L1058" s="740"/>
      <c r="M1058" s="739"/>
      <c r="N1058" s="168">
        <f>IF(M1058&lt;&gt;"",M1058,IF(ISERROR(Personalplanung!AC18/Monatsplanung!$E18*Monatsplanung!$Q18),0,Personalplanung!AC18/Monatsplanung!$E18*Monatsplanung!$Q18))</f>
        <v>0.33333333333333331</v>
      </c>
      <c r="O1058" s="740"/>
      <c r="P1058" s="739"/>
      <c r="Q1058" s="168">
        <f>IF(P1058&lt;&gt;"",P1058,IF(ISERROR(Personalplanung!AD18/Monatsplanung!$E18*Monatsplanung!$Q18),0,Personalplanung!AD18/Monatsplanung!$E18*Monatsplanung!$Q18))</f>
        <v>0.16666666666666666</v>
      </c>
      <c r="R1058" s="740"/>
      <c r="S1058" s="739"/>
      <c r="T1058" s="168">
        <f>IF(S1058&lt;&gt;"",S1058,IF(ISERROR(Personalplanung!AE18/Monatsplanung!$E18*Monatsplanung!$Q18),0,Personalplanung!AE18/Monatsplanung!$E18*Monatsplanung!$Q18))</f>
        <v>2.1666666666666665</v>
      </c>
      <c r="U1058" s="740"/>
      <c r="V1058" s="168">
        <f t="shared" si="344"/>
        <v>3.333333333333333</v>
      </c>
      <c r="W1058" s="168">
        <f>IF(ISERROR(Personalplanung!P18/Monatsplanung!$E18*Monatsplanung!$Q18),0,Personalplanung!P18/Monatsplanung!$E18*Monatsplanung!$Q18)</f>
        <v>0</v>
      </c>
      <c r="X1058" s="168">
        <f>IF(ISERROR(Personalplanung!Q18/Monatsplanung!$E18*Monatsplanung!$Q18),0,Personalplanung!Q18/Monatsplanung!$E18*Monatsplanung!$Q18)</f>
        <v>0</v>
      </c>
      <c r="Y1058" s="168">
        <f>IF(ISERROR(Personalplanung!R18/T1266*Stundencontrolling!T1058),0,Personalplanung!R18/T1266*Stundencontrolling!T1058)</f>
        <v>0</v>
      </c>
      <c r="Z1058" s="168">
        <f>IF(ISERROR(Personalplanung!S18/Monatsplanung!$E18*Monatsplanung!$Q18),0,Personalplanung!S18/Monatsplanung!$E18*Monatsplanung!$Q18)</f>
        <v>0</v>
      </c>
      <c r="AA1058" s="80">
        <f t="shared" si="345"/>
        <v>149418.28254847645</v>
      </c>
      <c r="AB1058" s="102">
        <f t="shared" si="346"/>
        <v>0.1</v>
      </c>
      <c r="AC1058" s="103">
        <f t="shared" si="347"/>
        <v>14941.828254847645</v>
      </c>
      <c r="AD1058" s="103">
        <f t="shared" si="348"/>
        <v>134476.45429362881</v>
      </c>
      <c r="AE1058" s="81">
        <f t="shared" si="349"/>
        <v>14.733333333333334</v>
      </c>
      <c r="AF1058" s="539"/>
      <c r="AG1058" s="104">
        <f t="shared" si="350"/>
        <v>1</v>
      </c>
      <c r="AH1058" s="7">
        <f t="shared" si="351"/>
        <v>0</v>
      </c>
      <c r="AI1058" s="6">
        <f t="shared" si="352"/>
        <v>14.733333333333334</v>
      </c>
      <c r="AJ1058" s="73">
        <f t="shared" si="353"/>
        <v>1014.1512390168084</v>
      </c>
      <c r="AK1058" s="539"/>
      <c r="AL1058" s="748"/>
      <c r="AM1058" s="748"/>
    </row>
    <row r="1059" spans="2:39" x14ac:dyDescent="0.2">
      <c r="B1059" s="101" t="str">
        <f t="shared" si="338"/>
        <v>Elternzeit Geselle</v>
      </c>
      <c r="C1059" s="168">
        <f>IF(ISERROR(Personalplanung!F19/Monatsplanung!$E19*Monatsplanung!$Q19),0,Personalplanung!F19/Monatsplanung!$E19*Monatsplanung!$Q19)</f>
        <v>130.5</v>
      </c>
      <c r="D1059" s="168">
        <f t="shared" si="339"/>
        <v>6</v>
      </c>
      <c r="E1059" s="168">
        <f>IF(ISERROR(Personalplanung!H19/Monatsplanung!$E19*Monatsplanung!$Q19),0,Personalplanung!H19/Monatsplanung!$E19*Monatsplanung!$Q19)</f>
        <v>0</v>
      </c>
      <c r="F1059" s="168">
        <f t="shared" si="340"/>
        <v>130.5</v>
      </c>
      <c r="G1059" s="168">
        <f t="shared" si="341"/>
        <v>27.700831024930746</v>
      </c>
      <c r="H1059" s="168">
        <f t="shared" si="342"/>
        <v>3614.9584487534626</v>
      </c>
      <c r="I1059" s="168">
        <f t="shared" si="343"/>
        <v>30</v>
      </c>
      <c r="J1059" s="739"/>
      <c r="K1059" s="168">
        <f>IF(J1059&lt;&gt;"",J1059,IF(ISERROR(Personalplanung!AB19/Monatsplanung!$E19*Monatsplanung!$Q19),0,Personalplanung!AB19/Monatsplanung!$E19*Monatsplanung!$Q19))</f>
        <v>1</v>
      </c>
      <c r="L1059" s="740"/>
      <c r="M1059" s="739"/>
      <c r="N1059" s="168">
        <f>IF(M1059&lt;&gt;"",M1059,IF(ISERROR(Personalplanung!AC19/Monatsplanung!$E19*Monatsplanung!$Q19),0,Personalplanung!AC19/Monatsplanung!$E19*Monatsplanung!$Q19))</f>
        <v>0</v>
      </c>
      <c r="O1059" s="740"/>
      <c r="P1059" s="739"/>
      <c r="Q1059" s="168">
        <f>IF(P1059&lt;&gt;"",P1059,IF(ISERROR(Personalplanung!AD19/Monatsplanung!$E19*Monatsplanung!$Q19),0,Personalplanung!AD19/Monatsplanung!$E19*Monatsplanung!$Q19))</f>
        <v>0.25</v>
      </c>
      <c r="R1059" s="740"/>
      <c r="S1059" s="739"/>
      <c r="T1059" s="168">
        <f>IF(S1059&lt;&gt;"",S1059,IF(ISERROR(Personalplanung!AE19/Monatsplanung!$E19*Monatsplanung!$Q19),0,Personalplanung!AE19/Monatsplanung!$E19*Monatsplanung!$Q19))</f>
        <v>3.25</v>
      </c>
      <c r="U1059" s="740"/>
      <c r="V1059" s="168">
        <f t="shared" si="344"/>
        <v>4.5</v>
      </c>
      <c r="W1059" s="168">
        <f>IF(ISERROR(Personalplanung!P19/Monatsplanung!$E19*Monatsplanung!$Q19),0,Personalplanung!P19/Monatsplanung!$E19*Monatsplanung!$Q19)</f>
        <v>0</v>
      </c>
      <c r="X1059" s="168">
        <f>IF(ISERROR(Personalplanung!Q19/Monatsplanung!$E19*Monatsplanung!$Q19),0,Personalplanung!Q19/Monatsplanung!$E19*Monatsplanung!$Q19)</f>
        <v>0</v>
      </c>
      <c r="Y1059" s="168">
        <f>IF(ISERROR(Personalplanung!R19/T1267*Stundencontrolling!T1059),0,Personalplanung!R19/T1267*Stundencontrolling!T1059)</f>
        <v>0</v>
      </c>
      <c r="Z1059" s="168">
        <f>IF(ISERROR(Personalplanung!S19/Monatsplanung!$E19*Monatsplanung!$Q19),0,Personalplanung!S19/Monatsplanung!$E19*Monatsplanung!$Q19)</f>
        <v>0</v>
      </c>
      <c r="AA1059" s="80">
        <f t="shared" si="345"/>
        <v>112063.71191135734</v>
      </c>
      <c r="AB1059" s="102">
        <f t="shared" si="346"/>
        <v>0.1</v>
      </c>
      <c r="AC1059" s="103">
        <f t="shared" si="347"/>
        <v>11206.371191135735</v>
      </c>
      <c r="AD1059" s="103">
        <f t="shared" si="348"/>
        <v>100857.3407202216</v>
      </c>
      <c r="AE1059" s="81">
        <f t="shared" si="349"/>
        <v>10.350000000000001</v>
      </c>
      <c r="AF1059" s="539"/>
      <c r="AG1059" s="104">
        <f t="shared" si="350"/>
        <v>1</v>
      </c>
      <c r="AH1059" s="7">
        <f t="shared" si="351"/>
        <v>0</v>
      </c>
      <c r="AI1059" s="6">
        <f t="shared" si="352"/>
        <v>10.350000000000001</v>
      </c>
      <c r="AJ1059" s="73">
        <f t="shared" si="353"/>
        <v>1082.7411778875105</v>
      </c>
      <c r="AK1059" s="539"/>
      <c r="AL1059" s="748"/>
      <c r="AM1059" s="748"/>
    </row>
    <row r="1060" spans="2:39" x14ac:dyDescent="0.2">
      <c r="B1060" s="101" t="str">
        <f t="shared" si="338"/>
        <v>A. Zubi</v>
      </c>
      <c r="C1060" s="168">
        <f>IF(ISERROR(Personalplanung!F20/Monatsplanung!$E20*Monatsplanung!$Q20),0,Personalplanung!F20/Monatsplanung!$E20*Monatsplanung!$Q20)</f>
        <v>174</v>
      </c>
      <c r="D1060" s="168">
        <f t="shared" si="339"/>
        <v>8</v>
      </c>
      <c r="E1060" s="168">
        <f>IF(ISERROR(Personalplanung!H20/Monatsplanung!$E20*Monatsplanung!$Q20),0,Personalplanung!H20/Monatsplanung!$E20*Monatsplanung!$Q20)</f>
        <v>0</v>
      </c>
      <c r="F1060" s="168">
        <f t="shared" si="340"/>
        <v>174</v>
      </c>
      <c r="G1060" s="168">
        <f t="shared" si="341"/>
        <v>27.700831024930746</v>
      </c>
      <c r="H1060" s="168">
        <f t="shared" si="342"/>
        <v>4819.9445983379501</v>
      </c>
      <c r="I1060" s="168">
        <f t="shared" si="343"/>
        <v>30</v>
      </c>
      <c r="J1060" s="739"/>
      <c r="K1060" s="168">
        <f>IF(J1060&lt;&gt;"",J1060,IF(ISERROR(Personalplanung!AB20/Monatsplanung!$E20*Monatsplanung!$Q20),0,Personalplanung!AB20/Monatsplanung!$E20*Monatsplanung!$Q20))</f>
        <v>0.66666666666666663</v>
      </c>
      <c r="L1060" s="740"/>
      <c r="M1060" s="739"/>
      <c r="N1060" s="168">
        <f>IF(M1060&lt;&gt;"",M1060,IF(ISERROR(Personalplanung!AC20/Monatsplanung!$E20*Monatsplanung!$Q20),0,Personalplanung!AC20/Monatsplanung!$E20*Monatsplanung!$Q20))</f>
        <v>0.25</v>
      </c>
      <c r="O1060" s="740"/>
      <c r="P1060" s="739"/>
      <c r="Q1060" s="168">
        <f>IF(P1060&lt;&gt;"",P1060,IF(ISERROR(Personalplanung!AD20/Monatsplanung!$E20*Monatsplanung!$Q20),0,Personalplanung!AD20/Monatsplanung!$E20*Monatsplanung!$Q20))</f>
        <v>0.16666666666666666</v>
      </c>
      <c r="R1060" s="740"/>
      <c r="S1060" s="739"/>
      <c r="T1060" s="168">
        <f>IF(S1060&lt;&gt;"",S1060,IF(ISERROR(Personalplanung!AE20/Monatsplanung!$E20*Monatsplanung!$Q20),0,Personalplanung!AE20/Monatsplanung!$E20*Monatsplanung!$Q20))</f>
        <v>2.1666666666666665</v>
      </c>
      <c r="U1060" s="740"/>
      <c r="V1060" s="168">
        <f t="shared" si="344"/>
        <v>3.25</v>
      </c>
      <c r="W1060" s="168">
        <f>IF(ISERROR(Personalplanung!P20/Monatsplanung!$E20*Monatsplanung!$Q20),0,Personalplanung!P20/Monatsplanung!$E20*Monatsplanung!$Q20)</f>
        <v>0</v>
      </c>
      <c r="X1060" s="168">
        <f>IF(ISERROR(Personalplanung!Q20/Monatsplanung!$E20*Monatsplanung!$Q20),0,Personalplanung!Q20/Monatsplanung!$E20*Monatsplanung!$Q20)</f>
        <v>0</v>
      </c>
      <c r="Y1060" s="168">
        <f>IF(ISERROR(Personalplanung!R20/T1268*Stundencontrolling!T1060),0,Personalplanung!R20/T1268*Stundencontrolling!T1060)</f>
        <v>0</v>
      </c>
      <c r="Z1060" s="168">
        <f>IF(ISERROR(Personalplanung!S20/Monatsplanung!$E20*Monatsplanung!$Q20),0,Personalplanung!S20/Monatsplanung!$E20*Monatsplanung!$Q20)</f>
        <v>0</v>
      </c>
      <c r="AA1060" s="80">
        <f t="shared" si="345"/>
        <v>149418.28254847645</v>
      </c>
      <c r="AB1060" s="102">
        <f t="shared" si="346"/>
        <v>0.1</v>
      </c>
      <c r="AC1060" s="103">
        <f t="shared" si="347"/>
        <v>14941.828254847645</v>
      </c>
      <c r="AD1060" s="103">
        <f t="shared" si="348"/>
        <v>134476.45429362881</v>
      </c>
      <c r="AE1060" s="81">
        <f t="shared" si="349"/>
        <v>14.8</v>
      </c>
      <c r="AF1060" s="539"/>
      <c r="AG1060" s="104">
        <f t="shared" si="350"/>
        <v>1</v>
      </c>
      <c r="AH1060" s="7">
        <f t="shared" si="351"/>
        <v>0</v>
      </c>
      <c r="AI1060" s="6">
        <f t="shared" si="352"/>
        <v>14.8</v>
      </c>
      <c r="AJ1060" s="73">
        <f t="shared" si="353"/>
        <v>1009.5829901924084</v>
      </c>
      <c r="AK1060" s="539"/>
      <c r="AL1060" s="748"/>
      <c r="AM1060" s="748"/>
    </row>
    <row r="1061" spans="2:39" x14ac:dyDescent="0.2">
      <c r="B1061" s="101" t="str">
        <f t="shared" si="338"/>
        <v>Zur Ausbildung</v>
      </c>
      <c r="C1061" s="168">
        <f>IF(ISERROR(Personalplanung!F21/Monatsplanung!$E21*Monatsplanung!$Q21),0,Personalplanung!F21/Monatsplanung!$E21*Monatsplanung!$Q21)</f>
        <v>174</v>
      </c>
      <c r="D1061" s="168">
        <f t="shared" si="339"/>
        <v>8</v>
      </c>
      <c r="E1061" s="168">
        <f>IF(ISERROR(Personalplanung!H21/Monatsplanung!$E21*Monatsplanung!$Q21),0,Personalplanung!H21/Monatsplanung!$E21*Monatsplanung!$Q21)</f>
        <v>0</v>
      </c>
      <c r="F1061" s="168">
        <f t="shared" si="340"/>
        <v>174</v>
      </c>
      <c r="G1061" s="168">
        <f t="shared" si="341"/>
        <v>27.700831024930746</v>
      </c>
      <c r="H1061" s="168">
        <f t="shared" si="342"/>
        <v>4819.9445983379501</v>
      </c>
      <c r="I1061" s="168">
        <f t="shared" si="343"/>
        <v>30</v>
      </c>
      <c r="J1061" s="739"/>
      <c r="K1061" s="168">
        <f>IF(J1061&lt;&gt;"",J1061,IF(ISERROR(Personalplanung!AB21/Monatsplanung!$E21*Monatsplanung!$Q21),0,Personalplanung!AB21/Monatsplanung!$E21*Monatsplanung!$Q21))</f>
        <v>1.6</v>
      </c>
      <c r="L1061" s="740"/>
      <c r="M1061" s="739"/>
      <c r="N1061" s="168">
        <f>IF(M1061&lt;&gt;"",M1061,IF(ISERROR(Personalplanung!AC21/Monatsplanung!$E21*Monatsplanung!$Q21),0,Personalplanung!AC21/Monatsplanung!$E21*Monatsplanung!$Q21))</f>
        <v>0</v>
      </c>
      <c r="O1061" s="740"/>
      <c r="P1061" s="739"/>
      <c r="Q1061" s="168">
        <f>IF(P1061&lt;&gt;"",P1061,IF(ISERROR(Personalplanung!AD21/Monatsplanung!$E21*Monatsplanung!$Q21),0,Personalplanung!AD21/Monatsplanung!$E21*Monatsplanung!$Q21))</f>
        <v>0.4</v>
      </c>
      <c r="R1061" s="740"/>
      <c r="S1061" s="739"/>
      <c r="T1061" s="168">
        <f>IF(S1061&lt;&gt;"",S1061,IF(ISERROR(Personalplanung!AE21/Monatsplanung!$E21*Monatsplanung!$Q21),0,Personalplanung!AE21/Monatsplanung!$E21*Monatsplanung!$Q21))</f>
        <v>5.2</v>
      </c>
      <c r="U1061" s="740"/>
      <c r="V1061" s="168">
        <f t="shared" si="344"/>
        <v>7.2</v>
      </c>
      <c r="W1061" s="168">
        <f>IF(ISERROR(Personalplanung!P21/Monatsplanung!$E21*Monatsplanung!$Q21),0,Personalplanung!P21/Monatsplanung!$E21*Monatsplanung!$Q21)</f>
        <v>12</v>
      </c>
      <c r="X1061" s="168">
        <f>IF(ISERROR(Personalplanung!Q21/Monatsplanung!$E21*Monatsplanung!$Q21),0,Personalplanung!Q21/Monatsplanung!$E21*Monatsplanung!$Q21)</f>
        <v>0</v>
      </c>
      <c r="Y1061" s="168">
        <f>IF(ISERROR(Personalplanung!R21/T1269*Stundencontrolling!T1061),0,Personalplanung!R21/T1269*Stundencontrolling!T1061)</f>
        <v>0</v>
      </c>
      <c r="Z1061" s="168">
        <f>IF(ISERROR(Personalplanung!S21/Monatsplanung!$E21*Monatsplanung!$Q21),0,Personalplanung!S21/Monatsplanung!$E21*Monatsplanung!$Q21)</f>
        <v>0</v>
      </c>
      <c r="AA1061" s="80">
        <f t="shared" si="345"/>
        <v>149430.28254847645</v>
      </c>
      <c r="AB1061" s="102">
        <f t="shared" si="346"/>
        <v>0.1</v>
      </c>
      <c r="AC1061" s="103">
        <f t="shared" si="347"/>
        <v>14943.028254847646</v>
      </c>
      <c r="AD1061" s="103">
        <f t="shared" si="348"/>
        <v>134487.25429362879</v>
      </c>
      <c r="AE1061" s="81">
        <f t="shared" si="349"/>
        <v>11.64</v>
      </c>
      <c r="AF1061" s="539"/>
      <c r="AG1061" s="104">
        <f t="shared" si="350"/>
        <v>1</v>
      </c>
      <c r="AH1061" s="7">
        <f t="shared" si="351"/>
        <v>0</v>
      </c>
      <c r="AI1061" s="6">
        <f t="shared" si="352"/>
        <v>11.64</v>
      </c>
      <c r="AJ1061" s="73">
        <f t="shared" si="353"/>
        <v>1283.7653139903475</v>
      </c>
      <c r="AK1061" s="539"/>
      <c r="AL1061" s="748"/>
      <c r="AM1061" s="748"/>
    </row>
    <row r="1062" spans="2:39" x14ac:dyDescent="0.2">
      <c r="B1062" s="101" t="str">
        <f t="shared" si="338"/>
        <v>Reine Putze</v>
      </c>
      <c r="C1062" s="168">
        <f>IF(ISERROR(Personalplanung!F22/Monatsplanung!$E22*Monatsplanung!$Q22),0,Personalplanung!F22/Monatsplanung!$E22*Monatsplanung!$Q22)</f>
        <v>52.199999999999996</v>
      </c>
      <c r="D1062" s="168">
        <f t="shared" si="339"/>
        <v>2.4</v>
      </c>
      <c r="E1062" s="168">
        <f>IF(ISERROR(Personalplanung!H22/Monatsplanung!$E22*Monatsplanung!$Q22),0,Personalplanung!H22/Monatsplanung!$E22*Monatsplanung!$Q22)</f>
        <v>0</v>
      </c>
      <c r="F1062" s="168">
        <f t="shared" si="340"/>
        <v>52.199999999999996</v>
      </c>
      <c r="G1062" s="168">
        <f t="shared" si="341"/>
        <v>27.700831024930746</v>
      </c>
      <c r="H1062" s="168">
        <f t="shared" si="342"/>
        <v>1445.9833795013849</v>
      </c>
      <c r="I1062" s="168">
        <f t="shared" si="343"/>
        <v>30</v>
      </c>
      <c r="J1062" s="739"/>
      <c r="K1062" s="168">
        <f>IF(J1062&lt;&gt;"",J1062,IF(ISERROR(Personalplanung!AB22/Monatsplanung!$E22*Monatsplanung!$Q22),0,Personalplanung!AB22/Monatsplanung!$E22*Monatsplanung!$Q22))</f>
        <v>0.25</v>
      </c>
      <c r="L1062" s="740"/>
      <c r="M1062" s="739"/>
      <c r="N1062" s="168">
        <f>IF(M1062&lt;&gt;"",M1062,IF(ISERROR(Personalplanung!AC22/Monatsplanung!$E22*Monatsplanung!$Q22),0,Personalplanung!AC22/Monatsplanung!$E22*Monatsplanung!$Q22))</f>
        <v>0</v>
      </c>
      <c r="O1062" s="740"/>
      <c r="P1062" s="739"/>
      <c r="Q1062" s="168">
        <f>IF(P1062&lt;&gt;"",P1062,IF(ISERROR(Personalplanung!AD22/Monatsplanung!$E22*Monatsplanung!$Q22),0,Personalplanung!AD22/Monatsplanung!$E22*Monatsplanung!$Q22))</f>
        <v>0</v>
      </c>
      <c r="R1062" s="740"/>
      <c r="S1062" s="739"/>
      <c r="T1062" s="168">
        <f>IF(S1062&lt;&gt;"",S1062,IF(ISERROR(Personalplanung!AE22/Monatsplanung!$E22*Monatsplanung!$Q22),0,Personalplanung!AE22/Monatsplanung!$E22*Monatsplanung!$Q22))</f>
        <v>2.1666666666666665</v>
      </c>
      <c r="U1062" s="740"/>
      <c r="V1062" s="168">
        <f t="shared" si="344"/>
        <v>2.4166666666666665</v>
      </c>
      <c r="W1062" s="168">
        <f>IF(ISERROR(Personalplanung!P22/Monatsplanung!$E22*Monatsplanung!$Q22),0,Personalplanung!P22/Monatsplanung!$E22*Monatsplanung!$Q22)</f>
        <v>0</v>
      </c>
      <c r="X1062" s="168">
        <f>IF(ISERROR(Personalplanung!Q22/Monatsplanung!$E22*Monatsplanung!$Q22),0,Personalplanung!Q22/Monatsplanung!$E22*Monatsplanung!$Q22)</f>
        <v>0</v>
      </c>
      <c r="Y1062" s="168">
        <f>IF(ISERROR(Personalplanung!R22/T1270*Stundencontrolling!T1062),0,Personalplanung!R22/T1270*Stundencontrolling!T1062)</f>
        <v>0</v>
      </c>
      <c r="Z1062" s="168">
        <f>IF(ISERROR(Personalplanung!S22/Monatsplanung!$E22*Monatsplanung!$Q22),0,Personalplanung!S22/Monatsplanung!$E22*Monatsplanung!$Q22)</f>
        <v>0</v>
      </c>
      <c r="AA1062" s="80">
        <f t="shared" si="345"/>
        <v>44825.484764542933</v>
      </c>
      <c r="AB1062" s="102">
        <f t="shared" si="346"/>
        <v>0.1</v>
      </c>
      <c r="AC1062" s="103">
        <f t="shared" si="347"/>
        <v>4482.5484764542934</v>
      </c>
      <c r="AD1062" s="103">
        <f t="shared" si="348"/>
        <v>40342.93628808864</v>
      </c>
      <c r="AE1062" s="81">
        <f t="shared" si="349"/>
        <v>4.6399999999999997</v>
      </c>
      <c r="AF1062" s="539"/>
      <c r="AG1062" s="104">
        <f t="shared" si="350"/>
        <v>1</v>
      </c>
      <c r="AH1062" s="7">
        <f t="shared" si="351"/>
        <v>0</v>
      </c>
      <c r="AI1062" s="6">
        <f t="shared" si="352"/>
        <v>4.6399999999999997</v>
      </c>
      <c r="AJ1062" s="73">
        <f t="shared" si="353"/>
        <v>966.06648199445988</v>
      </c>
      <c r="AK1062" s="539"/>
      <c r="AL1062" s="748"/>
      <c r="AM1062" s="748"/>
    </row>
    <row r="1063" spans="2:39" x14ac:dyDescent="0.2">
      <c r="B1063" s="101" t="str">
        <f t="shared" si="338"/>
        <v/>
      </c>
      <c r="C1063" s="168">
        <f>IF(ISERROR(Personalplanung!F23/Monatsplanung!$E23*Monatsplanung!$Q23),0,Personalplanung!F23/Monatsplanung!$E23*Monatsplanung!$Q23)</f>
        <v>0</v>
      </c>
      <c r="D1063" s="168">
        <f t="shared" si="339"/>
        <v>0</v>
      </c>
      <c r="E1063" s="168">
        <f>IF(ISERROR(Personalplanung!H23/Monatsplanung!$E23*Monatsplanung!$Q23),0,Personalplanung!H23/Monatsplanung!$E23*Monatsplanung!$Q23)</f>
        <v>0</v>
      </c>
      <c r="F1063" s="168">
        <f t="shared" si="340"/>
        <v>0</v>
      </c>
      <c r="G1063" s="168">
        <f t="shared" si="341"/>
        <v>27.700831024930746</v>
      </c>
      <c r="H1063" s="168">
        <f t="shared" si="342"/>
        <v>0</v>
      </c>
      <c r="I1063" s="168">
        <f t="shared" si="343"/>
        <v>30</v>
      </c>
      <c r="J1063" s="739"/>
      <c r="K1063" s="168">
        <f>IF(J1063&lt;&gt;"",J1063,IF(ISERROR(Personalplanung!AB23/Monatsplanung!$E23*Monatsplanung!$Q23),0,Personalplanung!AB23/Monatsplanung!$E23*Monatsplanung!$Q23))</f>
        <v>0</v>
      </c>
      <c r="L1063" s="740"/>
      <c r="M1063" s="739"/>
      <c r="N1063" s="168">
        <f>IF(M1063&lt;&gt;"",M1063,IF(ISERROR(Personalplanung!AC23/Monatsplanung!$E23*Monatsplanung!$Q23),0,Personalplanung!AC23/Monatsplanung!$E23*Monatsplanung!$Q23))</f>
        <v>0</v>
      </c>
      <c r="O1063" s="740"/>
      <c r="P1063" s="739"/>
      <c r="Q1063" s="168">
        <f>IF(P1063&lt;&gt;"",P1063,IF(ISERROR(Personalplanung!AD23/Monatsplanung!$E23*Monatsplanung!$Q23),0,Personalplanung!AD23/Monatsplanung!$E23*Monatsplanung!$Q23))</f>
        <v>0</v>
      </c>
      <c r="R1063" s="740"/>
      <c r="S1063" s="739"/>
      <c r="T1063" s="168">
        <f>IF(S1063&lt;&gt;"",S1063,IF(ISERROR(Personalplanung!AE23/Monatsplanung!$E23*Monatsplanung!$Q23),0,Personalplanung!AE23/Monatsplanung!$E23*Monatsplanung!$Q23))</f>
        <v>0</v>
      </c>
      <c r="U1063" s="740"/>
      <c r="V1063" s="168">
        <f t="shared" si="344"/>
        <v>0</v>
      </c>
      <c r="W1063" s="168">
        <f>IF(ISERROR(Personalplanung!P23/Monatsplanung!$E23*Monatsplanung!$Q23),0,Personalplanung!P23/Monatsplanung!$E23*Monatsplanung!$Q23)</f>
        <v>0</v>
      </c>
      <c r="X1063" s="168">
        <f>IF(ISERROR(Personalplanung!Q23/Monatsplanung!$E23*Monatsplanung!$Q23),0,Personalplanung!Q23/Monatsplanung!$E23*Monatsplanung!$Q23)</f>
        <v>0</v>
      </c>
      <c r="Y1063" s="168">
        <f>IF(ISERROR(Personalplanung!R23/T1271*Stundencontrolling!T1063),0,Personalplanung!R23/T1271*Stundencontrolling!T1063)</f>
        <v>0</v>
      </c>
      <c r="Z1063" s="168">
        <f>IF(ISERROR(Personalplanung!S23/Monatsplanung!$E23*Monatsplanung!$Q23),0,Personalplanung!S23/Monatsplanung!$E23*Monatsplanung!$Q23)</f>
        <v>0</v>
      </c>
      <c r="AA1063" s="80">
        <f t="shared" si="345"/>
        <v>0</v>
      </c>
      <c r="AB1063" s="102">
        <f t="shared" si="346"/>
        <v>0.1</v>
      </c>
      <c r="AC1063" s="103">
        <f t="shared" si="347"/>
        <v>0</v>
      </c>
      <c r="AD1063" s="103">
        <f t="shared" si="348"/>
        <v>0</v>
      </c>
      <c r="AE1063" s="81">
        <f t="shared" si="349"/>
        <v>0</v>
      </c>
      <c r="AF1063" s="539"/>
      <c r="AG1063" s="104">
        <f t="shared" si="350"/>
        <v>1</v>
      </c>
      <c r="AH1063" s="7">
        <f t="shared" si="351"/>
        <v>0</v>
      </c>
      <c r="AI1063" s="6">
        <f t="shared" si="352"/>
        <v>0</v>
      </c>
      <c r="AJ1063" s="73">
        <f t="shared" si="353"/>
        <v>0</v>
      </c>
      <c r="AK1063" s="539"/>
      <c r="AL1063" s="748"/>
      <c r="AM1063" s="748"/>
    </row>
    <row r="1064" spans="2:39" x14ac:dyDescent="0.2">
      <c r="B1064" s="101" t="str">
        <f t="shared" si="338"/>
        <v/>
      </c>
      <c r="C1064" s="168">
        <f>IF(ISERROR(Personalplanung!F24/Monatsplanung!$E24*Monatsplanung!$Q24),0,Personalplanung!F24/Monatsplanung!$E24*Monatsplanung!$Q24)</f>
        <v>0</v>
      </c>
      <c r="D1064" s="168">
        <f t="shared" si="339"/>
        <v>0</v>
      </c>
      <c r="E1064" s="168">
        <f>IF(ISERROR(Personalplanung!H24/Monatsplanung!$E24*Monatsplanung!$Q24),0,Personalplanung!H24/Monatsplanung!$E24*Monatsplanung!$Q24)</f>
        <v>0</v>
      </c>
      <c r="F1064" s="168">
        <f t="shared" si="340"/>
        <v>0</v>
      </c>
      <c r="G1064" s="168">
        <f t="shared" si="341"/>
        <v>27.700831024930746</v>
      </c>
      <c r="H1064" s="168">
        <f t="shared" si="342"/>
        <v>0</v>
      </c>
      <c r="I1064" s="168">
        <f t="shared" si="343"/>
        <v>30</v>
      </c>
      <c r="J1064" s="739"/>
      <c r="K1064" s="168">
        <f>IF(J1064&lt;&gt;"",J1064,IF(ISERROR(Personalplanung!AB24/Monatsplanung!$E24*Monatsplanung!$Q24),0,Personalplanung!AB24/Monatsplanung!$E24*Monatsplanung!$Q24))</f>
        <v>0</v>
      </c>
      <c r="L1064" s="740"/>
      <c r="M1064" s="739"/>
      <c r="N1064" s="168">
        <f>IF(M1064&lt;&gt;"",M1064,IF(ISERROR(Personalplanung!AC24/Monatsplanung!$E24*Monatsplanung!$Q24),0,Personalplanung!AC24/Monatsplanung!$E24*Monatsplanung!$Q24))</f>
        <v>0</v>
      </c>
      <c r="O1064" s="740"/>
      <c r="P1064" s="739"/>
      <c r="Q1064" s="168">
        <f>IF(P1064&lt;&gt;"",P1064,IF(ISERROR(Personalplanung!AD24/Monatsplanung!$E24*Monatsplanung!$Q24),0,Personalplanung!AD24/Monatsplanung!$E24*Monatsplanung!$Q24))</f>
        <v>0</v>
      </c>
      <c r="R1064" s="740"/>
      <c r="S1064" s="739"/>
      <c r="T1064" s="168">
        <f>IF(S1064&lt;&gt;"",S1064,IF(ISERROR(Personalplanung!AE24/Monatsplanung!$E24*Monatsplanung!$Q24),0,Personalplanung!AE24/Monatsplanung!$E24*Monatsplanung!$Q24))</f>
        <v>0</v>
      </c>
      <c r="U1064" s="740"/>
      <c r="V1064" s="168">
        <f t="shared" si="344"/>
        <v>0</v>
      </c>
      <c r="W1064" s="168">
        <f>IF(ISERROR(Personalplanung!P24/Monatsplanung!$E24*Monatsplanung!$Q24),0,Personalplanung!P24/Monatsplanung!$E24*Monatsplanung!$Q24)</f>
        <v>0</v>
      </c>
      <c r="X1064" s="168">
        <f>IF(ISERROR(Personalplanung!Q24/Monatsplanung!$E24*Monatsplanung!$Q24),0,Personalplanung!Q24/Monatsplanung!$E24*Monatsplanung!$Q24)</f>
        <v>0</v>
      </c>
      <c r="Y1064" s="168">
        <f>IF(ISERROR(Personalplanung!R24/T1272*Stundencontrolling!T1064),0,Personalplanung!R24/T1272*Stundencontrolling!T1064)</f>
        <v>0</v>
      </c>
      <c r="Z1064" s="168">
        <f>IF(ISERROR(Personalplanung!S24/Monatsplanung!$E24*Monatsplanung!$Q24),0,Personalplanung!S24/Monatsplanung!$E24*Monatsplanung!$Q24)</f>
        <v>0</v>
      </c>
      <c r="AA1064" s="80">
        <f t="shared" si="345"/>
        <v>0</v>
      </c>
      <c r="AB1064" s="102">
        <f t="shared" si="346"/>
        <v>0.1</v>
      </c>
      <c r="AC1064" s="103">
        <f t="shared" si="347"/>
        <v>0</v>
      </c>
      <c r="AD1064" s="103">
        <f t="shared" si="348"/>
        <v>0</v>
      </c>
      <c r="AE1064" s="81">
        <f t="shared" si="349"/>
        <v>0</v>
      </c>
      <c r="AF1064" s="539"/>
      <c r="AG1064" s="104">
        <f t="shared" si="350"/>
        <v>1</v>
      </c>
      <c r="AH1064" s="7">
        <f t="shared" si="351"/>
        <v>0</v>
      </c>
      <c r="AI1064" s="6">
        <f t="shared" si="352"/>
        <v>0</v>
      </c>
      <c r="AJ1064" s="73">
        <f t="shared" si="353"/>
        <v>0</v>
      </c>
      <c r="AK1064" s="539"/>
      <c r="AL1064" s="748"/>
      <c r="AM1064" s="748"/>
    </row>
    <row r="1065" spans="2:39" x14ac:dyDescent="0.2">
      <c r="B1065" s="101" t="str">
        <f t="shared" si="338"/>
        <v/>
      </c>
      <c r="C1065" s="168">
        <f>IF(ISERROR(Personalplanung!F25/Monatsplanung!$E25*Monatsplanung!$Q25),0,Personalplanung!F25/Monatsplanung!$E25*Monatsplanung!$Q25)</f>
        <v>0</v>
      </c>
      <c r="D1065" s="168">
        <f t="shared" si="339"/>
        <v>0</v>
      </c>
      <c r="E1065" s="168">
        <f>IF(ISERROR(Personalplanung!H25/Monatsplanung!$E25*Monatsplanung!$Q25),0,Personalplanung!H25/Monatsplanung!$E25*Monatsplanung!$Q25)</f>
        <v>0</v>
      </c>
      <c r="F1065" s="168">
        <f t="shared" si="340"/>
        <v>0</v>
      </c>
      <c r="G1065" s="168">
        <f t="shared" si="341"/>
        <v>27.700831024930746</v>
      </c>
      <c r="H1065" s="168">
        <f t="shared" si="342"/>
        <v>0</v>
      </c>
      <c r="I1065" s="168">
        <f t="shared" si="343"/>
        <v>30</v>
      </c>
      <c r="J1065" s="739"/>
      <c r="K1065" s="168">
        <f>IF(J1065&lt;&gt;"",J1065,IF(ISERROR(Personalplanung!AB25/Monatsplanung!$E25*Monatsplanung!$Q25),0,Personalplanung!AB25/Monatsplanung!$E25*Monatsplanung!$Q25))</f>
        <v>0</v>
      </c>
      <c r="L1065" s="740"/>
      <c r="M1065" s="739"/>
      <c r="N1065" s="168">
        <f>IF(M1065&lt;&gt;"",M1065,IF(ISERROR(Personalplanung!AC25/Monatsplanung!$E25*Monatsplanung!$Q25),0,Personalplanung!AC25/Monatsplanung!$E25*Monatsplanung!$Q25))</f>
        <v>0</v>
      </c>
      <c r="O1065" s="740"/>
      <c r="P1065" s="739"/>
      <c r="Q1065" s="168">
        <f>IF(P1065&lt;&gt;"",P1065,IF(ISERROR(Personalplanung!AD25/Monatsplanung!$E25*Monatsplanung!$Q25),0,Personalplanung!AD25/Monatsplanung!$E25*Monatsplanung!$Q25))</f>
        <v>0</v>
      </c>
      <c r="R1065" s="740"/>
      <c r="S1065" s="739"/>
      <c r="T1065" s="168">
        <f>IF(S1065&lt;&gt;"",S1065,IF(ISERROR(Personalplanung!AE25/Monatsplanung!$E25*Monatsplanung!$Q25),0,Personalplanung!AE25/Monatsplanung!$E25*Monatsplanung!$Q25))</f>
        <v>0</v>
      </c>
      <c r="U1065" s="740"/>
      <c r="V1065" s="168">
        <f t="shared" si="344"/>
        <v>0</v>
      </c>
      <c r="W1065" s="168">
        <f>IF(ISERROR(Personalplanung!P25/Monatsplanung!$E25*Monatsplanung!$Q25),0,Personalplanung!P25/Monatsplanung!$E25*Monatsplanung!$Q25)</f>
        <v>0</v>
      </c>
      <c r="X1065" s="168">
        <f>IF(ISERROR(Personalplanung!Q25/Monatsplanung!$E25*Monatsplanung!$Q25),0,Personalplanung!Q25/Monatsplanung!$E25*Monatsplanung!$Q25)</f>
        <v>0</v>
      </c>
      <c r="Y1065" s="168">
        <f>IF(ISERROR(Personalplanung!R25/T1273*Stundencontrolling!T1065),0,Personalplanung!R25/T1273*Stundencontrolling!T1065)</f>
        <v>0</v>
      </c>
      <c r="Z1065" s="168">
        <f>IF(ISERROR(Personalplanung!S25/Monatsplanung!$E25*Monatsplanung!$Q25),0,Personalplanung!S25/Monatsplanung!$E25*Monatsplanung!$Q25)</f>
        <v>0</v>
      </c>
      <c r="AA1065" s="80">
        <f t="shared" si="345"/>
        <v>0</v>
      </c>
      <c r="AB1065" s="102">
        <f t="shared" si="346"/>
        <v>0.1</v>
      </c>
      <c r="AC1065" s="103">
        <f t="shared" si="347"/>
        <v>0</v>
      </c>
      <c r="AD1065" s="103">
        <f t="shared" si="348"/>
        <v>0</v>
      </c>
      <c r="AE1065" s="81">
        <f t="shared" si="349"/>
        <v>0</v>
      </c>
      <c r="AF1065" s="539"/>
      <c r="AG1065" s="104">
        <f t="shared" si="350"/>
        <v>1</v>
      </c>
      <c r="AH1065" s="7">
        <f t="shared" si="351"/>
        <v>0</v>
      </c>
      <c r="AI1065" s="6">
        <f t="shared" si="352"/>
        <v>0</v>
      </c>
      <c r="AJ1065" s="73">
        <f t="shared" si="353"/>
        <v>0</v>
      </c>
      <c r="AK1065" s="539"/>
      <c r="AL1065" s="748"/>
      <c r="AM1065" s="748"/>
    </row>
    <row r="1066" spans="2:39" x14ac:dyDescent="0.2">
      <c r="B1066" s="101" t="str">
        <f t="shared" si="338"/>
        <v/>
      </c>
      <c r="C1066" s="168">
        <f>IF(ISERROR(Personalplanung!F26/Monatsplanung!$E26*Monatsplanung!$Q26),0,Personalplanung!F26/Monatsplanung!$E26*Monatsplanung!$Q26)</f>
        <v>0</v>
      </c>
      <c r="D1066" s="168">
        <f t="shared" si="339"/>
        <v>0</v>
      </c>
      <c r="E1066" s="168">
        <f>IF(ISERROR(Personalplanung!H26/Monatsplanung!$E26*Monatsplanung!$Q26),0,Personalplanung!H26/Monatsplanung!$E26*Monatsplanung!$Q26)</f>
        <v>0</v>
      </c>
      <c r="F1066" s="168">
        <f t="shared" si="340"/>
        <v>0</v>
      </c>
      <c r="G1066" s="168">
        <f t="shared" si="341"/>
        <v>27.700831024930746</v>
      </c>
      <c r="H1066" s="168">
        <f t="shared" si="342"/>
        <v>0</v>
      </c>
      <c r="I1066" s="168">
        <f t="shared" si="343"/>
        <v>30</v>
      </c>
      <c r="J1066" s="739"/>
      <c r="K1066" s="168">
        <f>IF(J1066&lt;&gt;"",J1066,IF(ISERROR(Personalplanung!AB26/Monatsplanung!$E26*Monatsplanung!$Q26),0,Personalplanung!AB26/Monatsplanung!$E26*Monatsplanung!$Q26))</f>
        <v>0</v>
      </c>
      <c r="L1066" s="740"/>
      <c r="M1066" s="739"/>
      <c r="N1066" s="168">
        <f>IF(M1066&lt;&gt;"",M1066,IF(ISERROR(Personalplanung!AC26/Monatsplanung!$E26*Monatsplanung!$Q26),0,Personalplanung!AC26/Monatsplanung!$E26*Monatsplanung!$Q26))</f>
        <v>0</v>
      </c>
      <c r="O1066" s="740"/>
      <c r="P1066" s="739"/>
      <c r="Q1066" s="168">
        <f>IF(P1066&lt;&gt;"",P1066,IF(ISERROR(Personalplanung!AD26/Monatsplanung!$E26*Monatsplanung!$Q26),0,Personalplanung!AD26/Monatsplanung!$E26*Monatsplanung!$Q26))</f>
        <v>0</v>
      </c>
      <c r="R1066" s="740"/>
      <c r="S1066" s="739"/>
      <c r="T1066" s="168">
        <f>IF(S1066&lt;&gt;"",S1066,IF(ISERROR(Personalplanung!AE26/Monatsplanung!$E26*Monatsplanung!$Q26),0,Personalplanung!AE26/Monatsplanung!$E26*Monatsplanung!$Q26))</f>
        <v>0</v>
      </c>
      <c r="U1066" s="740"/>
      <c r="V1066" s="168">
        <f t="shared" si="344"/>
        <v>0</v>
      </c>
      <c r="W1066" s="168">
        <f>IF(ISERROR(Personalplanung!P26/Monatsplanung!$E26*Monatsplanung!$Q26),0,Personalplanung!P26/Monatsplanung!$E26*Monatsplanung!$Q26)</f>
        <v>0</v>
      </c>
      <c r="X1066" s="168">
        <f>IF(ISERROR(Personalplanung!Q26/Monatsplanung!$E26*Monatsplanung!$Q26),0,Personalplanung!Q26/Monatsplanung!$E26*Monatsplanung!$Q26)</f>
        <v>0</v>
      </c>
      <c r="Y1066" s="168">
        <f>IF(ISERROR(Personalplanung!R26/T1274*Stundencontrolling!T1066),0,Personalplanung!R26/T1274*Stundencontrolling!T1066)</f>
        <v>0</v>
      </c>
      <c r="Z1066" s="168">
        <f>IF(ISERROR(Personalplanung!S26/Monatsplanung!$E26*Monatsplanung!$Q26),0,Personalplanung!S26/Monatsplanung!$E26*Monatsplanung!$Q26)</f>
        <v>0</v>
      </c>
      <c r="AA1066" s="80">
        <f t="shared" si="345"/>
        <v>0</v>
      </c>
      <c r="AB1066" s="102">
        <f t="shared" si="346"/>
        <v>0.1</v>
      </c>
      <c r="AC1066" s="103">
        <f t="shared" si="347"/>
        <v>0</v>
      </c>
      <c r="AD1066" s="103">
        <f t="shared" si="348"/>
        <v>0</v>
      </c>
      <c r="AE1066" s="81">
        <f t="shared" si="349"/>
        <v>0</v>
      </c>
      <c r="AF1066" s="539"/>
      <c r="AG1066" s="104">
        <f t="shared" si="350"/>
        <v>1</v>
      </c>
      <c r="AH1066" s="7">
        <f t="shared" si="351"/>
        <v>0</v>
      </c>
      <c r="AI1066" s="6">
        <f t="shared" si="352"/>
        <v>0</v>
      </c>
      <c r="AJ1066" s="73">
        <f t="shared" si="353"/>
        <v>0</v>
      </c>
      <c r="AK1066" s="539"/>
      <c r="AL1066" s="748"/>
      <c r="AM1066" s="748"/>
    </row>
    <row r="1067" spans="2:39" x14ac:dyDescent="0.2">
      <c r="B1067" s="101" t="str">
        <f t="shared" si="338"/>
        <v/>
      </c>
      <c r="C1067" s="168">
        <f>IF(ISERROR(Personalplanung!F27/Monatsplanung!$E27*Monatsplanung!$Q27),0,Personalplanung!F27/Monatsplanung!$E27*Monatsplanung!$Q27)</f>
        <v>0</v>
      </c>
      <c r="D1067" s="168">
        <f t="shared" si="339"/>
        <v>0</v>
      </c>
      <c r="E1067" s="168">
        <f>IF(ISERROR(Personalplanung!H27/Monatsplanung!$E27*Monatsplanung!$Q27),0,Personalplanung!H27/Monatsplanung!$E27*Monatsplanung!$Q27)</f>
        <v>0</v>
      </c>
      <c r="F1067" s="168">
        <f t="shared" si="340"/>
        <v>0</v>
      </c>
      <c r="G1067" s="168">
        <f t="shared" si="341"/>
        <v>27.700831024930746</v>
      </c>
      <c r="H1067" s="168">
        <f t="shared" si="342"/>
        <v>0</v>
      </c>
      <c r="I1067" s="168">
        <f t="shared" si="343"/>
        <v>30</v>
      </c>
      <c r="J1067" s="739"/>
      <c r="K1067" s="168">
        <f>IF(J1067&lt;&gt;"",J1067,IF(ISERROR(Personalplanung!AB27/Monatsplanung!$E27*Monatsplanung!$Q27),0,Personalplanung!AB27/Monatsplanung!$E27*Monatsplanung!$Q27))</f>
        <v>0</v>
      </c>
      <c r="L1067" s="740"/>
      <c r="M1067" s="739"/>
      <c r="N1067" s="168">
        <f>IF(M1067&lt;&gt;"",M1067,IF(ISERROR(Personalplanung!AC27/Monatsplanung!$E27*Monatsplanung!$Q27),0,Personalplanung!AC27/Monatsplanung!$E27*Monatsplanung!$Q27))</f>
        <v>0</v>
      </c>
      <c r="O1067" s="740"/>
      <c r="P1067" s="739"/>
      <c r="Q1067" s="168">
        <f>IF(P1067&lt;&gt;"",P1067,IF(ISERROR(Personalplanung!AD27/Monatsplanung!$E27*Monatsplanung!$Q27),0,Personalplanung!AD27/Monatsplanung!$E27*Monatsplanung!$Q27))</f>
        <v>0</v>
      </c>
      <c r="R1067" s="740"/>
      <c r="S1067" s="739"/>
      <c r="T1067" s="168">
        <f>IF(S1067&lt;&gt;"",S1067,IF(ISERROR(Personalplanung!AE27/Monatsplanung!$E27*Monatsplanung!$Q27),0,Personalplanung!AE27/Monatsplanung!$E27*Monatsplanung!$Q27))</f>
        <v>0</v>
      </c>
      <c r="U1067" s="740"/>
      <c r="V1067" s="168">
        <f t="shared" si="344"/>
        <v>0</v>
      </c>
      <c r="W1067" s="168">
        <f>IF(ISERROR(Personalplanung!P27/Monatsplanung!$E27*Monatsplanung!$Q27),0,Personalplanung!P27/Monatsplanung!$E27*Monatsplanung!$Q27)</f>
        <v>0</v>
      </c>
      <c r="X1067" s="168">
        <f>IF(ISERROR(Personalplanung!Q27/Monatsplanung!$E27*Monatsplanung!$Q27),0,Personalplanung!Q27/Monatsplanung!$E27*Monatsplanung!$Q27)</f>
        <v>0</v>
      </c>
      <c r="Y1067" s="168">
        <f>IF(ISERROR(Personalplanung!R27/T1275*Stundencontrolling!T1067),0,Personalplanung!R27/T1275*Stundencontrolling!T1067)</f>
        <v>0</v>
      </c>
      <c r="Z1067" s="168">
        <f>IF(ISERROR(Personalplanung!S27/Monatsplanung!$E27*Monatsplanung!$Q27),0,Personalplanung!S27/Monatsplanung!$E27*Monatsplanung!$Q27)</f>
        <v>0</v>
      </c>
      <c r="AA1067" s="80">
        <f t="shared" si="345"/>
        <v>0</v>
      </c>
      <c r="AB1067" s="102">
        <f t="shared" si="346"/>
        <v>0.1</v>
      </c>
      <c r="AC1067" s="103">
        <f t="shared" si="347"/>
        <v>0</v>
      </c>
      <c r="AD1067" s="103">
        <f t="shared" si="348"/>
        <v>0</v>
      </c>
      <c r="AE1067" s="81">
        <f t="shared" si="349"/>
        <v>0</v>
      </c>
      <c r="AF1067" s="539"/>
      <c r="AG1067" s="104">
        <f t="shared" si="350"/>
        <v>1</v>
      </c>
      <c r="AH1067" s="7">
        <f t="shared" si="351"/>
        <v>0</v>
      </c>
      <c r="AI1067" s="6">
        <f t="shared" si="352"/>
        <v>0</v>
      </c>
      <c r="AJ1067" s="73">
        <f t="shared" si="353"/>
        <v>0</v>
      </c>
      <c r="AK1067" s="539"/>
      <c r="AL1067" s="748"/>
      <c r="AM1067" s="748"/>
    </row>
    <row r="1068" spans="2:39" x14ac:dyDescent="0.2">
      <c r="B1068" s="101" t="str">
        <f t="shared" si="338"/>
        <v/>
      </c>
      <c r="C1068" s="168">
        <f>IF(ISERROR(Personalplanung!F28/Monatsplanung!$E28*Monatsplanung!$Q28),0,Personalplanung!F28/Monatsplanung!$E28*Monatsplanung!$Q28)</f>
        <v>0</v>
      </c>
      <c r="D1068" s="168">
        <f t="shared" si="339"/>
        <v>0</v>
      </c>
      <c r="E1068" s="168">
        <f>IF(ISERROR(Personalplanung!H28/Monatsplanung!$E28*Monatsplanung!$Q28),0,Personalplanung!H28/Monatsplanung!$E28*Monatsplanung!$Q28)</f>
        <v>0</v>
      </c>
      <c r="F1068" s="168">
        <f t="shared" si="340"/>
        <v>0</v>
      </c>
      <c r="G1068" s="168">
        <f t="shared" si="341"/>
        <v>27.700831024930746</v>
      </c>
      <c r="H1068" s="168">
        <f t="shared" si="342"/>
        <v>0</v>
      </c>
      <c r="I1068" s="168">
        <f t="shared" si="343"/>
        <v>30</v>
      </c>
      <c r="J1068" s="739"/>
      <c r="K1068" s="168">
        <f>IF(J1068&lt;&gt;"",J1068,IF(ISERROR(Personalplanung!AB28/Monatsplanung!$E28*Monatsplanung!$Q28),0,Personalplanung!AB28/Monatsplanung!$E28*Monatsplanung!$Q28))</f>
        <v>0</v>
      </c>
      <c r="L1068" s="740"/>
      <c r="M1068" s="739"/>
      <c r="N1068" s="168">
        <f>IF(M1068&lt;&gt;"",M1068,IF(ISERROR(Personalplanung!AC28/Monatsplanung!$E28*Monatsplanung!$Q28),0,Personalplanung!AC28/Monatsplanung!$E28*Monatsplanung!$Q28))</f>
        <v>0</v>
      </c>
      <c r="O1068" s="740"/>
      <c r="P1068" s="739"/>
      <c r="Q1068" s="168">
        <f>IF(P1068&lt;&gt;"",P1068,IF(ISERROR(Personalplanung!AD28/Monatsplanung!$E28*Monatsplanung!$Q28),0,Personalplanung!AD28/Monatsplanung!$E28*Monatsplanung!$Q28))</f>
        <v>0</v>
      </c>
      <c r="R1068" s="740"/>
      <c r="S1068" s="739"/>
      <c r="T1068" s="168">
        <f>IF(S1068&lt;&gt;"",S1068,IF(ISERROR(Personalplanung!AE28/Monatsplanung!$E28*Monatsplanung!$Q28),0,Personalplanung!AE28/Monatsplanung!$E28*Monatsplanung!$Q28))</f>
        <v>0</v>
      </c>
      <c r="U1068" s="740"/>
      <c r="V1068" s="168">
        <f t="shared" si="344"/>
        <v>0</v>
      </c>
      <c r="W1068" s="168">
        <f>IF(ISERROR(Personalplanung!P28/Monatsplanung!$E28*Monatsplanung!$Q28),0,Personalplanung!P28/Monatsplanung!$E28*Monatsplanung!$Q28)</f>
        <v>0</v>
      </c>
      <c r="X1068" s="168">
        <f>IF(ISERROR(Personalplanung!Q28/Monatsplanung!$E28*Monatsplanung!$Q28),0,Personalplanung!Q28/Monatsplanung!$E28*Monatsplanung!$Q28)</f>
        <v>0</v>
      </c>
      <c r="Y1068" s="168">
        <f>IF(ISERROR(Personalplanung!R28/T1276*Stundencontrolling!T1068),0,Personalplanung!R28/T1276*Stundencontrolling!T1068)</f>
        <v>0</v>
      </c>
      <c r="Z1068" s="168">
        <f>IF(ISERROR(Personalplanung!S28/Monatsplanung!$E28*Monatsplanung!$Q28),0,Personalplanung!S28/Monatsplanung!$E28*Monatsplanung!$Q28)</f>
        <v>0</v>
      </c>
      <c r="AA1068" s="80">
        <f t="shared" si="345"/>
        <v>0</v>
      </c>
      <c r="AB1068" s="102">
        <f t="shared" si="346"/>
        <v>0.1</v>
      </c>
      <c r="AC1068" s="103">
        <f t="shared" si="347"/>
        <v>0</v>
      </c>
      <c r="AD1068" s="103">
        <f t="shared" si="348"/>
        <v>0</v>
      </c>
      <c r="AE1068" s="81">
        <f t="shared" si="349"/>
        <v>0</v>
      </c>
      <c r="AF1068" s="539"/>
      <c r="AG1068" s="104">
        <f t="shared" si="350"/>
        <v>1</v>
      </c>
      <c r="AH1068" s="7">
        <f t="shared" si="351"/>
        <v>0</v>
      </c>
      <c r="AI1068" s="6">
        <f t="shared" si="352"/>
        <v>0</v>
      </c>
      <c r="AJ1068" s="73">
        <f t="shared" si="353"/>
        <v>0</v>
      </c>
      <c r="AK1068" s="539"/>
      <c r="AL1068" s="748"/>
      <c r="AM1068" s="748"/>
    </row>
    <row r="1069" spans="2:39" x14ac:dyDescent="0.2">
      <c r="B1069" s="101" t="str">
        <f t="shared" si="338"/>
        <v/>
      </c>
      <c r="C1069" s="168">
        <f>IF(ISERROR(Personalplanung!F29/Monatsplanung!$E29*Monatsplanung!$Q29),0,Personalplanung!F29/Monatsplanung!$E29*Monatsplanung!$Q29)</f>
        <v>0</v>
      </c>
      <c r="D1069" s="168">
        <f t="shared" si="339"/>
        <v>0</v>
      </c>
      <c r="E1069" s="168">
        <f>IF(ISERROR(Personalplanung!H29/Monatsplanung!$E29*Monatsplanung!$Q29),0,Personalplanung!H29/Monatsplanung!$E29*Monatsplanung!$Q29)</f>
        <v>0</v>
      </c>
      <c r="F1069" s="168">
        <f t="shared" si="340"/>
        <v>0</v>
      </c>
      <c r="G1069" s="168">
        <f t="shared" si="341"/>
        <v>27.700831024930746</v>
      </c>
      <c r="H1069" s="168">
        <f t="shared" si="342"/>
        <v>0</v>
      </c>
      <c r="I1069" s="168">
        <f t="shared" si="343"/>
        <v>30</v>
      </c>
      <c r="J1069" s="739"/>
      <c r="K1069" s="168">
        <f>IF(J1069&lt;&gt;"",J1069,IF(ISERROR(Personalplanung!AB29/Monatsplanung!$E29*Monatsplanung!$Q29),0,Personalplanung!AB29/Monatsplanung!$E29*Monatsplanung!$Q29))</f>
        <v>0</v>
      </c>
      <c r="L1069" s="740"/>
      <c r="M1069" s="739"/>
      <c r="N1069" s="168">
        <f>IF(M1069&lt;&gt;"",M1069,IF(ISERROR(Personalplanung!AC29/Monatsplanung!$E29*Monatsplanung!$Q29),0,Personalplanung!AC29/Monatsplanung!$E29*Monatsplanung!$Q29))</f>
        <v>0</v>
      </c>
      <c r="O1069" s="740"/>
      <c r="P1069" s="739"/>
      <c r="Q1069" s="168">
        <f>IF(P1069&lt;&gt;"",P1069,IF(ISERROR(Personalplanung!AD29/Monatsplanung!$E29*Monatsplanung!$Q29),0,Personalplanung!AD29/Monatsplanung!$E29*Monatsplanung!$Q29))</f>
        <v>0</v>
      </c>
      <c r="R1069" s="740"/>
      <c r="S1069" s="739"/>
      <c r="T1069" s="168">
        <f>IF(S1069&lt;&gt;"",S1069,IF(ISERROR(Personalplanung!AE29/Monatsplanung!$E29*Monatsplanung!$Q29),0,Personalplanung!AE29/Monatsplanung!$E29*Monatsplanung!$Q29))</f>
        <v>0</v>
      </c>
      <c r="U1069" s="740"/>
      <c r="V1069" s="168">
        <f t="shared" si="344"/>
        <v>0</v>
      </c>
      <c r="W1069" s="168">
        <f>IF(ISERROR(Personalplanung!P29/Monatsplanung!$E29*Monatsplanung!$Q29),0,Personalplanung!P29/Monatsplanung!$E29*Monatsplanung!$Q29)</f>
        <v>0</v>
      </c>
      <c r="X1069" s="168">
        <f>IF(ISERROR(Personalplanung!Q29/Monatsplanung!$E29*Monatsplanung!$Q29),0,Personalplanung!Q29/Monatsplanung!$E29*Monatsplanung!$Q29)</f>
        <v>0</v>
      </c>
      <c r="Y1069" s="168">
        <f>IF(ISERROR(Personalplanung!R29/T1277*Stundencontrolling!T1069),0,Personalplanung!R29/T1277*Stundencontrolling!T1069)</f>
        <v>0</v>
      </c>
      <c r="Z1069" s="168">
        <f>IF(ISERROR(Personalplanung!S29/Monatsplanung!$E29*Monatsplanung!$Q29),0,Personalplanung!S29/Monatsplanung!$E29*Monatsplanung!$Q29)</f>
        <v>0</v>
      </c>
      <c r="AA1069" s="80">
        <f t="shared" si="345"/>
        <v>0</v>
      </c>
      <c r="AB1069" s="102">
        <f t="shared" si="346"/>
        <v>0.1</v>
      </c>
      <c r="AC1069" s="103">
        <f t="shared" si="347"/>
        <v>0</v>
      </c>
      <c r="AD1069" s="103">
        <f t="shared" si="348"/>
        <v>0</v>
      </c>
      <c r="AE1069" s="81">
        <f t="shared" si="349"/>
        <v>0</v>
      </c>
      <c r="AF1069" s="539"/>
      <c r="AG1069" s="104">
        <f t="shared" si="350"/>
        <v>1</v>
      </c>
      <c r="AH1069" s="7">
        <f t="shared" si="351"/>
        <v>0</v>
      </c>
      <c r="AI1069" s="6">
        <f t="shared" si="352"/>
        <v>0</v>
      </c>
      <c r="AJ1069" s="73">
        <f t="shared" si="353"/>
        <v>0</v>
      </c>
      <c r="AK1069" s="539"/>
      <c r="AL1069" s="748"/>
      <c r="AM1069" s="748"/>
    </row>
    <row r="1070" spans="2:39" x14ac:dyDescent="0.2">
      <c r="B1070" s="101" t="str">
        <f t="shared" si="338"/>
        <v/>
      </c>
      <c r="C1070" s="168">
        <f>IF(ISERROR(Personalplanung!F30/Monatsplanung!$E30*Monatsplanung!$Q30),0,Personalplanung!F30/Monatsplanung!$E30*Monatsplanung!$Q30)</f>
        <v>0</v>
      </c>
      <c r="D1070" s="168">
        <f t="shared" si="339"/>
        <v>0</v>
      </c>
      <c r="E1070" s="168">
        <f>IF(ISERROR(Personalplanung!H30/Monatsplanung!$E30*Monatsplanung!$Q30),0,Personalplanung!H30/Monatsplanung!$E30*Monatsplanung!$Q30)</f>
        <v>0</v>
      </c>
      <c r="F1070" s="168">
        <f t="shared" si="340"/>
        <v>0</v>
      </c>
      <c r="G1070" s="168">
        <f t="shared" si="341"/>
        <v>27.700831024930746</v>
      </c>
      <c r="H1070" s="168">
        <f t="shared" si="342"/>
        <v>0</v>
      </c>
      <c r="I1070" s="168">
        <f t="shared" si="343"/>
        <v>30</v>
      </c>
      <c r="J1070" s="739"/>
      <c r="K1070" s="168">
        <f>IF(J1070&lt;&gt;"",J1070,IF(ISERROR(Personalplanung!AB30/Monatsplanung!$E30*Monatsplanung!$Q30),0,Personalplanung!AB30/Monatsplanung!$E30*Monatsplanung!$Q30))</f>
        <v>0</v>
      </c>
      <c r="L1070" s="740"/>
      <c r="M1070" s="739"/>
      <c r="N1070" s="168">
        <f>IF(M1070&lt;&gt;"",M1070,IF(ISERROR(Personalplanung!AC30/Monatsplanung!$E30*Monatsplanung!$Q30),0,Personalplanung!AC30/Monatsplanung!$E30*Monatsplanung!$Q30))</f>
        <v>0</v>
      </c>
      <c r="O1070" s="740"/>
      <c r="P1070" s="739"/>
      <c r="Q1070" s="168">
        <f>IF(P1070&lt;&gt;"",P1070,IF(ISERROR(Personalplanung!AD30/Monatsplanung!$E30*Monatsplanung!$Q30),0,Personalplanung!AD30/Monatsplanung!$E30*Monatsplanung!$Q30))</f>
        <v>0</v>
      </c>
      <c r="R1070" s="740"/>
      <c r="S1070" s="739"/>
      <c r="T1070" s="168">
        <f>IF(S1070&lt;&gt;"",S1070,IF(ISERROR(Personalplanung!AE30/Monatsplanung!$E30*Monatsplanung!$Q30),0,Personalplanung!AE30/Monatsplanung!$E30*Monatsplanung!$Q30))</f>
        <v>0</v>
      </c>
      <c r="U1070" s="740"/>
      <c r="V1070" s="168">
        <f t="shared" si="344"/>
        <v>0</v>
      </c>
      <c r="W1070" s="168">
        <f>IF(ISERROR(Personalplanung!P30/Monatsplanung!$E30*Monatsplanung!$Q30),0,Personalplanung!P30/Monatsplanung!$E30*Monatsplanung!$Q30)</f>
        <v>0</v>
      </c>
      <c r="X1070" s="168">
        <f>IF(ISERROR(Personalplanung!Q30/Monatsplanung!$E30*Monatsplanung!$Q30),0,Personalplanung!Q30/Monatsplanung!$E30*Monatsplanung!$Q30)</f>
        <v>0</v>
      </c>
      <c r="Y1070" s="168">
        <f>IF(ISERROR(Personalplanung!R30/T1278*Stundencontrolling!T1070),0,Personalplanung!R30/T1278*Stundencontrolling!T1070)</f>
        <v>0</v>
      </c>
      <c r="Z1070" s="168">
        <f>IF(ISERROR(Personalplanung!S30/Monatsplanung!$E30*Monatsplanung!$Q30),0,Personalplanung!S30/Monatsplanung!$E30*Monatsplanung!$Q30)</f>
        <v>0</v>
      </c>
      <c r="AA1070" s="80">
        <f t="shared" si="345"/>
        <v>0</v>
      </c>
      <c r="AB1070" s="102">
        <f t="shared" si="346"/>
        <v>0.1</v>
      </c>
      <c r="AC1070" s="103">
        <f t="shared" si="347"/>
        <v>0</v>
      </c>
      <c r="AD1070" s="103">
        <f t="shared" si="348"/>
        <v>0</v>
      </c>
      <c r="AE1070" s="81">
        <f t="shared" si="349"/>
        <v>0</v>
      </c>
      <c r="AF1070" s="539"/>
      <c r="AG1070" s="104">
        <f t="shared" si="350"/>
        <v>1</v>
      </c>
      <c r="AH1070" s="7">
        <f t="shared" si="351"/>
        <v>0</v>
      </c>
      <c r="AI1070" s="6">
        <f t="shared" si="352"/>
        <v>0</v>
      </c>
      <c r="AJ1070" s="73">
        <f t="shared" si="353"/>
        <v>0</v>
      </c>
      <c r="AK1070" s="539"/>
      <c r="AL1070" s="748"/>
      <c r="AM1070" s="748"/>
    </row>
    <row r="1071" spans="2:39" x14ac:dyDescent="0.2">
      <c r="B1071" s="101" t="str">
        <f t="shared" si="338"/>
        <v/>
      </c>
      <c r="C1071" s="168">
        <f>IF(ISERROR(Personalplanung!F31/Monatsplanung!$E31*Monatsplanung!$Q31),0,Personalplanung!F31/Monatsplanung!$E31*Monatsplanung!$Q31)</f>
        <v>0</v>
      </c>
      <c r="D1071" s="168">
        <f t="shared" si="339"/>
        <v>0</v>
      </c>
      <c r="E1071" s="168">
        <f>IF(ISERROR(Personalplanung!H31/Monatsplanung!$E31*Monatsplanung!$Q31),0,Personalplanung!H31/Monatsplanung!$E31*Monatsplanung!$Q31)</f>
        <v>0</v>
      </c>
      <c r="F1071" s="168">
        <f t="shared" si="340"/>
        <v>0</v>
      </c>
      <c r="G1071" s="168">
        <f t="shared" si="341"/>
        <v>27.700831024930746</v>
      </c>
      <c r="H1071" s="168">
        <f t="shared" si="342"/>
        <v>0</v>
      </c>
      <c r="I1071" s="168">
        <f t="shared" si="343"/>
        <v>30</v>
      </c>
      <c r="J1071" s="739"/>
      <c r="K1071" s="168">
        <f>IF(J1071&lt;&gt;"",J1071,IF(ISERROR(Personalplanung!AB31/Monatsplanung!$E31*Monatsplanung!$Q31),0,Personalplanung!AB31/Monatsplanung!$E31*Monatsplanung!$Q31))</f>
        <v>0</v>
      </c>
      <c r="L1071" s="740"/>
      <c r="M1071" s="739"/>
      <c r="N1071" s="168">
        <f>IF(M1071&lt;&gt;"",M1071,IF(ISERROR(Personalplanung!AC31/Monatsplanung!$E31*Monatsplanung!$Q31),0,Personalplanung!AC31/Monatsplanung!$E31*Monatsplanung!$Q31))</f>
        <v>0</v>
      </c>
      <c r="O1071" s="740"/>
      <c r="P1071" s="739"/>
      <c r="Q1071" s="168">
        <f>IF(P1071&lt;&gt;"",P1071,IF(ISERROR(Personalplanung!AD31/Monatsplanung!$E31*Monatsplanung!$Q31),0,Personalplanung!AD31/Monatsplanung!$E31*Monatsplanung!$Q31))</f>
        <v>0</v>
      </c>
      <c r="R1071" s="740"/>
      <c r="S1071" s="739"/>
      <c r="T1071" s="168">
        <f>IF(S1071&lt;&gt;"",S1071,IF(ISERROR(Personalplanung!AE31/Monatsplanung!$E31*Monatsplanung!$Q31),0,Personalplanung!AE31/Monatsplanung!$E31*Monatsplanung!$Q31))</f>
        <v>0</v>
      </c>
      <c r="U1071" s="740"/>
      <c r="V1071" s="168">
        <f t="shared" si="344"/>
        <v>0</v>
      </c>
      <c r="W1071" s="168">
        <f>IF(ISERROR(Personalplanung!P31/Monatsplanung!$E31*Monatsplanung!$Q31),0,Personalplanung!P31/Monatsplanung!$E31*Monatsplanung!$Q31)</f>
        <v>0</v>
      </c>
      <c r="X1071" s="168">
        <f>IF(ISERROR(Personalplanung!Q31/Monatsplanung!$E31*Monatsplanung!$Q31),0,Personalplanung!Q31/Monatsplanung!$E31*Monatsplanung!$Q31)</f>
        <v>0</v>
      </c>
      <c r="Y1071" s="168">
        <f>IF(ISERROR(Personalplanung!R31/T1279*Stundencontrolling!T1071),0,Personalplanung!R31/T1279*Stundencontrolling!T1071)</f>
        <v>0</v>
      </c>
      <c r="Z1071" s="168">
        <f>IF(ISERROR(Personalplanung!S31/Monatsplanung!$E31*Monatsplanung!$Q31),0,Personalplanung!S31/Monatsplanung!$E31*Monatsplanung!$Q31)</f>
        <v>0</v>
      </c>
      <c r="AA1071" s="80">
        <f t="shared" si="345"/>
        <v>0</v>
      </c>
      <c r="AB1071" s="102">
        <f t="shared" si="346"/>
        <v>0.1</v>
      </c>
      <c r="AC1071" s="103">
        <f t="shared" si="347"/>
        <v>0</v>
      </c>
      <c r="AD1071" s="103">
        <f t="shared" si="348"/>
        <v>0</v>
      </c>
      <c r="AE1071" s="81">
        <f t="shared" si="349"/>
        <v>0</v>
      </c>
      <c r="AF1071" s="539"/>
      <c r="AG1071" s="104">
        <f t="shared" si="350"/>
        <v>1</v>
      </c>
      <c r="AH1071" s="7">
        <f t="shared" si="351"/>
        <v>0</v>
      </c>
      <c r="AI1071" s="6">
        <f t="shared" si="352"/>
        <v>0</v>
      </c>
      <c r="AJ1071" s="73">
        <f t="shared" si="353"/>
        <v>0</v>
      </c>
      <c r="AK1071" s="539"/>
      <c r="AL1071" s="748"/>
      <c r="AM1071" s="748"/>
    </row>
    <row r="1072" spans="2:39" x14ac:dyDescent="0.2">
      <c r="B1072" s="101" t="str">
        <f t="shared" si="338"/>
        <v/>
      </c>
      <c r="C1072" s="168">
        <f>IF(ISERROR(Personalplanung!F32/Monatsplanung!$E32*Monatsplanung!$Q32),0,Personalplanung!F32/Monatsplanung!$E32*Monatsplanung!$Q32)</f>
        <v>0</v>
      </c>
      <c r="D1072" s="168">
        <f t="shared" si="339"/>
        <v>0</v>
      </c>
      <c r="E1072" s="168">
        <f>IF(ISERROR(Personalplanung!H32/Monatsplanung!$E32*Monatsplanung!$Q32),0,Personalplanung!H32/Monatsplanung!$E32*Monatsplanung!$Q32)</f>
        <v>0</v>
      </c>
      <c r="F1072" s="168">
        <f t="shared" si="340"/>
        <v>0</v>
      </c>
      <c r="G1072" s="168">
        <f t="shared" si="341"/>
        <v>27.700831024930746</v>
      </c>
      <c r="H1072" s="168">
        <f t="shared" si="342"/>
        <v>0</v>
      </c>
      <c r="I1072" s="168">
        <f t="shared" si="343"/>
        <v>30</v>
      </c>
      <c r="J1072" s="739"/>
      <c r="K1072" s="168">
        <f>IF(J1072&lt;&gt;"",J1072,IF(ISERROR(Personalplanung!AB32/Monatsplanung!$E32*Monatsplanung!$Q32),0,Personalplanung!AB32/Monatsplanung!$E32*Monatsplanung!$Q32))</f>
        <v>0</v>
      </c>
      <c r="L1072" s="740"/>
      <c r="M1072" s="739"/>
      <c r="N1072" s="168">
        <f>IF(M1072&lt;&gt;"",M1072,IF(ISERROR(Personalplanung!AC32/Monatsplanung!$E32*Monatsplanung!$Q32),0,Personalplanung!AC32/Monatsplanung!$E32*Monatsplanung!$Q32))</f>
        <v>0</v>
      </c>
      <c r="O1072" s="740"/>
      <c r="P1072" s="739"/>
      <c r="Q1072" s="168">
        <f>IF(P1072&lt;&gt;"",P1072,IF(ISERROR(Personalplanung!AD32/Monatsplanung!$E32*Monatsplanung!$Q32),0,Personalplanung!AD32/Monatsplanung!$E32*Monatsplanung!$Q32))</f>
        <v>0</v>
      </c>
      <c r="R1072" s="740"/>
      <c r="S1072" s="739"/>
      <c r="T1072" s="168">
        <f>IF(S1072&lt;&gt;"",S1072,IF(ISERROR(Personalplanung!AE32/Monatsplanung!$E32*Monatsplanung!$Q32),0,Personalplanung!AE32/Monatsplanung!$E32*Monatsplanung!$Q32))</f>
        <v>0</v>
      </c>
      <c r="U1072" s="740"/>
      <c r="V1072" s="168">
        <f t="shared" si="344"/>
        <v>0</v>
      </c>
      <c r="W1072" s="168">
        <f>IF(ISERROR(Personalplanung!P32/Monatsplanung!$E32*Monatsplanung!$Q32),0,Personalplanung!P32/Monatsplanung!$E32*Monatsplanung!$Q32)</f>
        <v>0</v>
      </c>
      <c r="X1072" s="168">
        <f>IF(ISERROR(Personalplanung!Q32/Monatsplanung!$E32*Monatsplanung!$Q32),0,Personalplanung!Q32/Monatsplanung!$E32*Monatsplanung!$Q32)</f>
        <v>0</v>
      </c>
      <c r="Y1072" s="168">
        <f>IF(ISERROR(Personalplanung!R32/T1280*Stundencontrolling!T1072),0,Personalplanung!R32/T1280*Stundencontrolling!T1072)</f>
        <v>0</v>
      </c>
      <c r="Z1072" s="168">
        <f>IF(ISERROR(Personalplanung!S32/Monatsplanung!$E32*Monatsplanung!$Q32),0,Personalplanung!S32/Monatsplanung!$E32*Monatsplanung!$Q32)</f>
        <v>0</v>
      </c>
      <c r="AA1072" s="80">
        <f t="shared" si="345"/>
        <v>0</v>
      </c>
      <c r="AB1072" s="102">
        <f t="shared" si="346"/>
        <v>0.1</v>
      </c>
      <c r="AC1072" s="103">
        <f t="shared" si="347"/>
        <v>0</v>
      </c>
      <c r="AD1072" s="103">
        <f t="shared" si="348"/>
        <v>0</v>
      </c>
      <c r="AE1072" s="81">
        <f t="shared" si="349"/>
        <v>0</v>
      </c>
      <c r="AF1072" s="539"/>
      <c r="AG1072" s="104">
        <f t="shared" si="350"/>
        <v>1</v>
      </c>
      <c r="AH1072" s="7">
        <f t="shared" si="351"/>
        <v>0</v>
      </c>
      <c r="AI1072" s="6">
        <f t="shared" si="352"/>
        <v>0</v>
      </c>
      <c r="AJ1072" s="73">
        <f t="shared" si="353"/>
        <v>0</v>
      </c>
      <c r="AK1072" s="539"/>
      <c r="AL1072" s="748"/>
      <c r="AM1072" s="748"/>
    </row>
    <row r="1073" spans="2:39" x14ac:dyDescent="0.2">
      <c r="B1073" s="101" t="str">
        <f t="shared" si="338"/>
        <v/>
      </c>
      <c r="C1073" s="168">
        <f>IF(ISERROR(Personalplanung!F33/Monatsplanung!$E33*Monatsplanung!$Q33),0,Personalplanung!F33/Monatsplanung!$E33*Monatsplanung!$Q33)</f>
        <v>0</v>
      </c>
      <c r="D1073" s="168">
        <f t="shared" si="339"/>
        <v>0</v>
      </c>
      <c r="E1073" s="168">
        <f>IF(ISERROR(Personalplanung!H33/Monatsplanung!$E33*Monatsplanung!$Q33),0,Personalplanung!H33/Monatsplanung!$E33*Monatsplanung!$Q33)</f>
        <v>0</v>
      </c>
      <c r="F1073" s="168">
        <f t="shared" si="340"/>
        <v>0</v>
      </c>
      <c r="G1073" s="168">
        <f t="shared" si="341"/>
        <v>27.700831024930746</v>
      </c>
      <c r="H1073" s="168">
        <f t="shared" si="342"/>
        <v>0</v>
      </c>
      <c r="I1073" s="168">
        <f t="shared" si="343"/>
        <v>30</v>
      </c>
      <c r="J1073" s="739"/>
      <c r="K1073" s="168">
        <f>IF(J1073&lt;&gt;"",J1073,IF(ISERROR(Personalplanung!AB33/Monatsplanung!$E33*Monatsplanung!$Q33),0,Personalplanung!AB33/Monatsplanung!$E33*Monatsplanung!$Q33))</f>
        <v>0</v>
      </c>
      <c r="L1073" s="740"/>
      <c r="M1073" s="739"/>
      <c r="N1073" s="168">
        <f>IF(M1073&lt;&gt;"",M1073,IF(ISERROR(Personalplanung!AC33/Monatsplanung!$E33*Monatsplanung!$Q33),0,Personalplanung!AC33/Monatsplanung!$E33*Monatsplanung!$Q33))</f>
        <v>0</v>
      </c>
      <c r="O1073" s="740"/>
      <c r="P1073" s="739"/>
      <c r="Q1073" s="168">
        <f>IF(P1073&lt;&gt;"",P1073,IF(ISERROR(Personalplanung!AD33/Monatsplanung!$E33*Monatsplanung!$Q33),0,Personalplanung!AD33/Monatsplanung!$E33*Monatsplanung!$Q33))</f>
        <v>0</v>
      </c>
      <c r="R1073" s="740"/>
      <c r="S1073" s="739"/>
      <c r="T1073" s="168">
        <f>IF(S1073&lt;&gt;"",S1073,IF(ISERROR(Personalplanung!AE33/Monatsplanung!$E33*Monatsplanung!$Q33),0,Personalplanung!AE33/Monatsplanung!$E33*Monatsplanung!$Q33))</f>
        <v>0</v>
      </c>
      <c r="U1073" s="740"/>
      <c r="V1073" s="168">
        <f t="shared" si="344"/>
        <v>0</v>
      </c>
      <c r="W1073" s="168">
        <f>IF(ISERROR(Personalplanung!P33/Monatsplanung!$E33*Monatsplanung!$Q33),0,Personalplanung!P33/Monatsplanung!$E33*Monatsplanung!$Q33)</f>
        <v>0</v>
      </c>
      <c r="X1073" s="168">
        <f>IF(ISERROR(Personalplanung!Q33/Monatsplanung!$E33*Monatsplanung!$Q33),0,Personalplanung!Q33/Monatsplanung!$E33*Monatsplanung!$Q33)</f>
        <v>0</v>
      </c>
      <c r="Y1073" s="168">
        <f>IF(ISERROR(Personalplanung!R33/T1281*Stundencontrolling!T1073),0,Personalplanung!R33/T1281*Stundencontrolling!T1073)</f>
        <v>0</v>
      </c>
      <c r="Z1073" s="168">
        <f>IF(ISERROR(Personalplanung!S33/Monatsplanung!$E33*Monatsplanung!$Q33),0,Personalplanung!S33/Monatsplanung!$E33*Monatsplanung!$Q33)</f>
        <v>0</v>
      </c>
      <c r="AA1073" s="80">
        <f t="shared" si="345"/>
        <v>0</v>
      </c>
      <c r="AB1073" s="102">
        <f t="shared" si="346"/>
        <v>0.1</v>
      </c>
      <c r="AC1073" s="103">
        <f t="shared" si="347"/>
        <v>0</v>
      </c>
      <c r="AD1073" s="103">
        <f t="shared" si="348"/>
        <v>0</v>
      </c>
      <c r="AE1073" s="81">
        <f t="shared" si="349"/>
        <v>0</v>
      </c>
      <c r="AF1073" s="539"/>
      <c r="AG1073" s="104">
        <f t="shared" si="350"/>
        <v>1</v>
      </c>
      <c r="AH1073" s="7">
        <f t="shared" si="351"/>
        <v>0</v>
      </c>
      <c r="AI1073" s="6">
        <f t="shared" si="352"/>
        <v>0</v>
      </c>
      <c r="AJ1073" s="73">
        <f t="shared" si="353"/>
        <v>0</v>
      </c>
      <c r="AK1073" s="539"/>
      <c r="AL1073" s="748"/>
      <c r="AM1073" s="748"/>
    </row>
    <row r="1074" spans="2:39" x14ac:dyDescent="0.2">
      <c r="B1074" s="101" t="str">
        <f t="shared" si="338"/>
        <v/>
      </c>
      <c r="C1074" s="168">
        <f>IF(ISERROR(Personalplanung!F34/Monatsplanung!$E34*Monatsplanung!$Q34),0,Personalplanung!F34/Monatsplanung!$E34*Monatsplanung!$Q34)</f>
        <v>0</v>
      </c>
      <c r="D1074" s="168">
        <f t="shared" si="339"/>
        <v>0</v>
      </c>
      <c r="E1074" s="168">
        <f>IF(ISERROR(Personalplanung!H34/Monatsplanung!$E34*Monatsplanung!$Q34),0,Personalplanung!H34/Monatsplanung!$E34*Monatsplanung!$Q34)</f>
        <v>0</v>
      </c>
      <c r="F1074" s="168">
        <f t="shared" si="340"/>
        <v>0</v>
      </c>
      <c r="G1074" s="168">
        <f t="shared" si="341"/>
        <v>27.700831024930746</v>
      </c>
      <c r="H1074" s="168">
        <f t="shared" si="342"/>
        <v>0</v>
      </c>
      <c r="I1074" s="168">
        <f t="shared" si="343"/>
        <v>30</v>
      </c>
      <c r="J1074" s="739"/>
      <c r="K1074" s="168">
        <f>IF(J1074&lt;&gt;"",J1074,IF(ISERROR(Personalplanung!AB34/Monatsplanung!$E34*Monatsplanung!$Q34),0,Personalplanung!AB34/Monatsplanung!$E34*Monatsplanung!$Q34))</f>
        <v>0</v>
      </c>
      <c r="L1074" s="740"/>
      <c r="M1074" s="739"/>
      <c r="N1074" s="168">
        <f>IF(M1074&lt;&gt;"",M1074,IF(ISERROR(Personalplanung!AC34/Monatsplanung!$E34*Monatsplanung!$Q34),0,Personalplanung!AC34/Monatsplanung!$E34*Monatsplanung!$Q34))</f>
        <v>0</v>
      </c>
      <c r="O1074" s="740"/>
      <c r="P1074" s="739"/>
      <c r="Q1074" s="168">
        <f>IF(P1074&lt;&gt;"",P1074,IF(ISERROR(Personalplanung!AD34/Monatsplanung!$E34*Monatsplanung!$Q34),0,Personalplanung!AD34/Monatsplanung!$E34*Monatsplanung!$Q34))</f>
        <v>0</v>
      </c>
      <c r="R1074" s="740"/>
      <c r="S1074" s="739"/>
      <c r="T1074" s="168">
        <f>IF(S1074&lt;&gt;"",S1074,IF(ISERROR(Personalplanung!AE34/Monatsplanung!$E34*Monatsplanung!$Q34),0,Personalplanung!AE34/Monatsplanung!$E34*Monatsplanung!$Q34))</f>
        <v>0</v>
      </c>
      <c r="U1074" s="740"/>
      <c r="V1074" s="168">
        <f t="shared" si="344"/>
        <v>0</v>
      </c>
      <c r="W1074" s="168">
        <f>IF(ISERROR(Personalplanung!P34/Monatsplanung!$E34*Monatsplanung!$Q34),0,Personalplanung!P34/Monatsplanung!$E34*Monatsplanung!$Q34)</f>
        <v>0</v>
      </c>
      <c r="X1074" s="168">
        <f>IF(ISERROR(Personalplanung!Q34/Monatsplanung!$E34*Monatsplanung!$Q34),0,Personalplanung!Q34/Monatsplanung!$E34*Monatsplanung!$Q34)</f>
        <v>0</v>
      </c>
      <c r="Y1074" s="168">
        <f>IF(ISERROR(Personalplanung!R34/T1282*Stundencontrolling!T1074),0,Personalplanung!R34/T1282*Stundencontrolling!T1074)</f>
        <v>0</v>
      </c>
      <c r="Z1074" s="168">
        <f>IF(ISERROR(Personalplanung!S34/Monatsplanung!$E34*Monatsplanung!$Q34),0,Personalplanung!S34/Monatsplanung!$E34*Monatsplanung!$Q34)</f>
        <v>0</v>
      </c>
      <c r="AA1074" s="80">
        <f t="shared" si="345"/>
        <v>0</v>
      </c>
      <c r="AB1074" s="102">
        <f t="shared" si="346"/>
        <v>0.1</v>
      </c>
      <c r="AC1074" s="103">
        <f t="shared" si="347"/>
        <v>0</v>
      </c>
      <c r="AD1074" s="103">
        <f t="shared" si="348"/>
        <v>0</v>
      </c>
      <c r="AE1074" s="81">
        <f t="shared" si="349"/>
        <v>0</v>
      </c>
      <c r="AF1074" s="539"/>
      <c r="AG1074" s="104">
        <f t="shared" si="350"/>
        <v>1</v>
      </c>
      <c r="AH1074" s="7">
        <f t="shared" si="351"/>
        <v>0</v>
      </c>
      <c r="AI1074" s="6">
        <f t="shared" si="352"/>
        <v>0</v>
      </c>
      <c r="AJ1074" s="73">
        <f t="shared" si="353"/>
        <v>0</v>
      </c>
      <c r="AK1074" s="539"/>
      <c r="AL1074" s="748"/>
      <c r="AM1074" s="748"/>
    </row>
    <row r="1075" spans="2:39" x14ac:dyDescent="0.2">
      <c r="B1075" s="101" t="str">
        <f t="shared" si="338"/>
        <v/>
      </c>
      <c r="C1075" s="168">
        <f>IF(ISERROR(Personalplanung!F35/Monatsplanung!$E35*Monatsplanung!$Q35),0,Personalplanung!F35/Monatsplanung!$E35*Monatsplanung!$Q35)</f>
        <v>0</v>
      </c>
      <c r="D1075" s="168">
        <f t="shared" si="339"/>
        <v>0</v>
      </c>
      <c r="E1075" s="168">
        <f>IF(ISERROR(Personalplanung!H35/Monatsplanung!$E35*Monatsplanung!$Q35),0,Personalplanung!H35/Monatsplanung!$E35*Monatsplanung!$Q35)</f>
        <v>0</v>
      </c>
      <c r="F1075" s="168">
        <f t="shared" si="340"/>
        <v>0</v>
      </c>
      <c r="G1075" s="168">
        <f t="shared" si="341"/>
        <v>27.700831024930746</v>
      </c>
      <c r="H1075" s="168">
        <f t="shared" si="342"/>
        <v>0</v>
      </c>
      <c r="I1075" s="168">
        <f t="shared" si="343"/>
        <v>30</v>
      </c>
      <c r="J1075" s="739"/>
      <c r="K1075" s="168">
        <f>IF(J1075&lt;&gt;"",J1075,IF(ISERROR(Personalplanung!AB35/Monatsplanung!$E35*Monatsplanung!$Q35),0,Personalplanung!AB35/Monatsplanung!$E35*Monatsplanung!$Q35))</f>
        <v>0</v>
      </c>
      <c r="L1075" s="740"/>
      <c r="M1075" s="739"/>
      <c r="N1075" s="168">
        <f>IF(M1075&lt;&gt;"",M1075,IF(ISERROR(Personalplanung!AC35/Monatsplanung!$E35*Monatsplanung!$Q35),0,Personalplanung!AC35/Monatsplanung!$E35*Monatsplanung!$Q35))</f>
        <v>0</v>
      </c>
      <c r="O1075" s="740"/>
      <c r="P1075" s="739"/>
      <c r="Q1075" s="168">
        <f>IF(P1075&lt;&gt;"",P1075,IF(ISERROR(Personalplanung!AD35/Monatsplanung!$E35*Monatsplanung!$Q35),0,Personalplanung!AD35/Monatsplanung!$E35*Monatsplanung!$Q35))</f>
        <v>0</v>
      </c>
      <c r="R1075" s="740"/>
      <c r="S1075" s="739"/>
      <c r="T1075" s="168">
        <f>IF(S1075&lt;&gt;"",S1075,IF(ISERROR(Personalplanung!AE35/Monatsplanung!$E35*Monatsplanung!$Q35),0,Personalplanung!AE35/Monatsplanung!$E35*Monatsplanung!$Q35))</f>
        <v>0</v>
      </c>
      <c r="U1075" s="740"/>
      <c r="V1075" s="168">
        <f t="shared" si="344"/>
        <v>0</v>
      </c>
      <c r="W1075" s="168">
        <f>IF(ISERROR(Personalplanung!P35/Monatsplanung!$E35*Monatsplanung!$Q35),0,Personalplanung!P35/Monatsplanung!$E35*Monatsplanung!$Q35)</f>
        <v>0</v>
      </c>
      <c r="X1075" s="168">
        <f>IF(ISERROR(Personalplanung!Q35/Monatsplanung!$E35*Monatsplanung!$Q35),0,Personalplanung!Q35/Monatsplanung!$E35*Monatsplanung!$Q35)</f>
        <v>0</v>
      </c>
      <c r="Y1075" s="168">
        <f>IF(ISERROR(Personalplanung!R35/T1283*Stundencontrolling!T1075),0,Personalplanung!R35/T1283*Stundencontrolling!T1075)</f>
        <v>0</v>
      </c>
      <c r="Z1075" s="168">
        <f>IF(ISERROR(Personalplanung!S35/Monatsplanung!$E35*Monatsplanung!$Q35),0,Personalplanung!S35/Monatsplanung!$E35*Monatsplanung!$Q35)</f>
        <v>0</v>
      </c>
      <c r="AA1075" s="80">
        <f t="shared" si="345"/>
        <v>0</v>
      </c>
      <c r="AB1075" s="102">
        <f t="shared" si="346"/>
        <v>0.1</v>
      </c>
      <c r="AC1075" s="103">
        <f t="shared" si="347"/>
        <v>0</v>
      </c>
      <c r="AD1075" s="103">
        <f t="shared" si="348"/>
        <v>0</v>
      </c>
      <c r="AE1075" s="81">
        <f t="shared" si="349"/>
        <v>0</v>
      </c>
      <c r="AF1075" s="539"/>
      <c r="AG1075" s="104">
        <f t="shared" si="350"/>
        <v>1</v>
      </c>
      <c r="AH1075" s="7">
        <f t="shared" si="351"/>
        <v>0</v>
      </c>
      <c r="AI1075" s="6">
        <f t="shared" si="352"/>
        <v>0</v>
      </c>
      <c r="AJ1075" s="73">
        <f t="shared" si="353"/>
        <v>0</v>
      </c>
      <c r="AK1075" s="539"/>
      <c r="AL1075" s="748"/>
      <c r="AM1075" s="748"/>
    </row>
    <row r="1076" spans="2:39" x14ac:dyDescent="0.2">
      <c r="B1076" s="101" t="str">
        <f t="shared" si="338"/>
        <v/>
      </c>
      <c r="C1076" s="168">
        <f>IF(ISERROR(Personalplanung!F36/Monatsplanung!$E36*Monatsplanung!$Q36),0,Personalplanung!F36/Monatsplanung!$E36*Monatsplanung!$Q36)</f>
        <v>0</v>
      </c>
      <c r="D1076" s="168">
        <f t="shared" si="339"/>
        <v>0</v>
      </c>
      <c r="E1076" s="168">
        <f>IF(ISERROR(Personalplanung!H36/Monatsplanung!$E36*Monatsplanung!$Q36),0,Personalplanung!H36/Monatsplanung!$E36*Monatsplanung!$Q36)</f>
        <v>0</v>
      </c>
      <c r="F1076" s="168">
        <f t="shared" si="340"/>
        <v>0</v>
      </c>
      <c r="G1076" s="168">
        <f t="shared" si="341"/>
        <v>27.700831024930746</v>
      </c>
      <c r="H1076" s="168">
        <f t="shared" si="342"/>
        <v>0</v>
      </c>
      <c r="I1076" s="168">
        <f t="shared" si="343"/>
        <v>30</v>
      </c>
      <c r="J1076" s="739"/>
      <c r="K1076" s="168">
        <f>IF(J1076&lt;&gt;"",J1076,IF(ISERROR(Personalplanung!AB36/Monatsplanung!$E36*Monatsplanung!$Q36),0,Personalplanung!AB36/Monatsplanung!$E36*Monatsplanung!$Q36))</f>
        <v>0</v>
      </c>
      <c r="L1076" s="740"/>
      <c r="M1076" s="739"/>
      <c r="N1076" s="168">
        <f>IF(M1076&lt;&gt;"",M1076,IF(ISERROR(Personalplanung!AC36/Monatsplanung!$E36*Monatsplanung!$Q36),0,Personalplanung!AC36/Monatsplanung!$E36*Monatsplanung!$Q36))</f>
        <v>0</v>
      </c>
      <c r="O1076" s="740"/>
      <c r="P1076" s="739"/>
      <c r="Q1076" s="168">
        <f>IF(P1076&lt;&gt;"",P1076,IF(ISERROR(Personalplanung!AD36/Monatsplanung!$E36*Monatsplanung!$Q36),0,Personalplanung!AD36/Monatsplanung!$E36*Monatsplanung!$Q36))</f>
        <v>0</v>
      </c>
      <c r="R1076" s="740"/>
      <c r="S1076" s="739"/>
      <c r="T1076" s="168">
        <f>IF(S1076&lt;&gt;"",S1076,IF(ISERROR(Personalplanung!AE36/Monatsplanung!$E36*Monatsplanung!$Q36),0,Personalplanung!AE36/Monatsplanung!$E36*Monatsplanung!$Q36))</f>
        <v>0</v>
      </c>
      <c r="U1076" s="740"/>
      <c r="V1076" s="168">
        <f t="shared" si="344"/>
        <v>0</v>
      </c>
      <c r="W1076" s="168">
        <f>IF(ISERROR(Personalplanung!P36/Monatsplanung!$E36*Monatsplanung!$Q36),0,Personalplanung!P36/Monatsplanung!$E36*Monatsplanung!$Q36)</f>
        <v>0</v>
      </c>
      <c r="X1076" s="168">
        <f>IF(ISERROR(Personalplanung!Q36/Monatsplanung!$E36*Monatsplanung!$Q36),0,Personalplanung!Q36/Monatsplanung!$E36*Monatsplanung!$Q36)</f>
        <v>0</v>
      </c>
      <c r="Y1076" s="168">
        <f>IF(ISERROR(Personalplanung!R36/T1284*Stundencontrolling!T1076),0,Personalplanung!R36/T1284*Stundencontrolling!T1076)</f>
        <v>0</v>
      </c>
      <c r="Z1076" s="168">
        <f>IF(ISERROR(Personalplanung!S36/Monatsplanung!$E36*Monatsplanung!$Q36),0,Personalplanung!S36/Monatsplanung!$E36*Monatsplanung!$Q36)</f>
        <v>0</v>
      </c>
      <c r="AA1076" s="80">
        <f t="shared" si="345"/>
        <v>0</v>
      </c>
      <c r="AB1076" s="102">
        <f t="shared" si="346"/>
        <v>0.1</v>
      </c>
      <c r="AC1076" s="103">
        <f t="shared" si="347"/>
        <v>0</v>
      </c>
      <c r="AD1076" s="103">
        <f t="shared" si="348"/>
        <v>0</v>
      </c>
      <c r="AE1076" s="81">
        <f t="shared" si="349"/>
        <v>0</v>
      </c>
      <c r="AF1076" s="539"/>
      <c r="AG1076" s="104">
        <f t="shared" si="350"/>
        <v>1</v>
      </c>
      <c r="AH1076" s="7">
        <f t="shared" si="351"/>
        <v>0</v>
      </c>
      <c r="AI1076" s="6">
        <f t="shared" si="352"/>
        <v>0</v>
      </c>
      <c r="AJ1076" s="73">
        <f t="shared" si="353"/>
        <v>0</v>
      </c>
      <c r="AK1076" s="539"/>
      <c r="AL1076" s="748"/>
      <c r="AM1076" s="748"/>
    </row>
    <row r="1077" spans="2:39" x14ac:dyDescent="0.2">
      <c r="B1077" s="101" t="str">
        <f t="shared" si="338"/>
        <v/>
      </c>
      <c r="C1077" s="168">
        <f>IF(ISERROR(Personalplanung!F37/Monatsplanung!$E37*Monatsplanung!$Q37),0,Personalplanung!F37/Monatsplanung!$E37*Monatsplanung!$Q37)</f>
        <v>0</v>
      </c>
      <c r="D1077" s="168">
        <f t="shared" si="339"/>
        <v>0</v>
      </c>
      <c r="E1077" s="168">
        <f>IF(ISERROR(Personalplanung!H37/Monatsplanung!$E37*Monatsplanung!$Q37),0,Personalplanung!H37/Monatsplanung!$E37*Monatsplanung!$Q37)</f>
        <v>0</v>
      </c>
      <c r="F1077" s="168">
        <f t="shared" si="340"/>
        <v>0</v>
      </c>
      <c r="G1077" s="168">
        <f t="shared" si="341"/>
        <v>27.700831024930746</v>
      </c>
      <c r="H1077" s="168">
        <f t="shared" si="342"/>
        <v>0</v>
      </c>
      <c r="I1077" s="168">
        <f t="shared" si="343"/>
        <v>30</v>
      </c>
      <c r="J1077" s="739"/>
      <c r="K1077" s="168">
        <f>IF(J1077&lt;&gt;"",J1077,IF(ISERROR(Personalplanung!AB37/Monatsplanung!$E37*Monatsplanung!$Q37),0,Personalplanung!AB37/Monatsplanung!$E37*Monatsplanung!$Q37))</f>
        <v>0</v>
      </c>
      <c r="L1077" s="740"/>
      <c r="M1077" s="739"/>
      <c r="N1077" s="168">
        <f>IF(M1077&lt;&gt;"",M1077,IF(ISERROR(Personalplanung!AC37/Monatsplanung!$E37*Monatsplanung!$Q37),0,Personalplanung!AC37/Monatsplanung!$E37*Monatsplanung!$Q37))</f>
        <v>0</v>
      </c>
      <c r="O1077" s="740"/>
      <c r="P1077" s="739"/>
      <c r="Q1077" s="168">
        <f>IF(P1077&lt;&gt;"",P1077,IF(ISERROR(Personalplanung!AD37/Monatsplanung!$E37*Monatsplanung!$Q37),0,Personalplanung!AD37/Monatsplanung!$E37*Monatsplanung!$Q37))</f>
        <v>0</v>
      </c>
      <c r="R1077" s="740"/>
      <c r="S1077" s="739"/>
      <c r="T1077" s="168">
        <f>IF(S1077&lt;&gt;"",S1077,IF(ISERROR(Personalplanung!AE37/Monatsplanung!$E37*Monatsplanung!$Q37),0,Personalplanung!AE37/Monatsplanung!$E37*Monatsplanung!$Q37))</f>
        <v>0</v>
      </c>
      <c r="U1077" s="740"/>
      <c r="V1077" s="168">
        <f t="shared" si="344"/>
        <v>0</v>
      </c>
      <c r="W1077" s="168">
        <f>IF(ISERROR(Personalplanung!P37/Monatsplanung!$E37*Monatsplanung!$Q37),0,Personalplanung!P37/Monatsplanung!$E37*Monatsplanung!$Q37)</f>
        <v>0</v>
      </c>
      <c r="X1077" s="168">
        <f>IF(ISERROR(Personalplanung!Q37/Monatsplanung!$E37*Monatsplanung!$Q37),0,Personalplanung!Q37/Monatsplanung!$E37*Monatsplanung!$Q37)</f>
        <v>0</v>
      </c>
      <c r="Y1077" s="168">
        <f>IF(ISERROR(Personalplanung!R37/T1285*Stundencontrolling!T1077),0,Personalplanung!R37/T1285*Stundencontrolling!T1077)</f>
        <v>0</v>
      </c>
      <c r="Z1077" s="168">
        <f>IF(ISERROR(Personalplanung!S37/Monatsplanung!$E37*Monatsplanung!$Q37),0,Personalplanung!S37/Monatsplanung!$E37*Monatsplanung!$Q37)</f>
        <v>0</v>
      </c>
      <c r="AA1077" s="80">
        <f t="shared" si="345"/>
        <v>0</v>
      </c>
      <c r="AB1077" s="102">
        <f t="shared" si="346"/>
        <v>0.1</v>
      </c>
      <c r="AC1077" s="103">
        <f t="shared" si="347"/>
        <v>0</v>
      </c>
      <c r="AD1077" s="103">
        <f t="shared" si="348"/>
        <v>0</v>
      </c>
      <c r="AE1077" s="81">
        <f t="shared" si="349"/>
        <v>0</v>
      </c>
      <c r="AF1077" s="539"/>
      <c r="AG1077" s="104">
        <f t="shared" si="350"/>
        <v>1</v>
      </c>
      <c r="AH1077" s="7">
        <f t="shared" si="351"/>
        <v>0</v>
      </c>
      <c r="AI1077" s="6">
        <f t="shared" si="352"/>
        <v>0</v>
      </c>
      <c r="AJ1077" s="73">
        <f t="shared" si="353"/>
        <v>0</v>
      </c>
      <c r="AK1077" s="539"/>
      <c r="AL1077" s="748"/>
      <c r="AM1077" s="748"/>
    </row>
    <row r="1078" spans="2:39" x14ac:dyDescent="0.2">
      <c r="B1078" s="101" t="str">
        <f t="shared" si="338"/>
        <v/>
      </c>
      <c r="C1078" s="168">
        <f>IF(ISERROR(Personalplanung!F38/Monatsplanung!$E38*Monatsplanung!$Q38),0,Personalplanung!F38/Monatsplanung!$E38*Monatsplanung!$Q38)</f>
        <v>0</v>
      </c>
      <c r="D1078" s="168">
        <f t="shared" si="339"/>
        <v>0</v>
      </c>
      <c r="E1078" s="168">
        <f>IF(ISERROR(Personalplanung!H38/Monatsplanung!$E38*Monatsplanung!$Q38),0,Personalplanung!H38/Monatsplanung!$E38*Monatsplanung!$Q38)</f>
        <v>0</v>
      </c>
      <c r="F1078" s="168">
        <f t="shared" si="340"/>
        <v>0</v>
      </c>
      <c r="G1078" s="168">
        <f t="shared" si="341"/>
        <v>27.700831024930746</v>
      </c>
      <c r="H1078" s="168">
        <f t="shared" si="342"/>
        <v>0</v>
      </c>
      <c r="I1078" s="168">
        <f t="shared" si="343"/>
        <v>30</v>
      </c>
      <c r="J1078" s="739"/>
      <c r="K1078" s="168">
        <f>IF(J1078&lt;&gt;"",J1078,IF(ISERROR(Personalplanung!AB38/Monatsplanung!$E38*Monatsplanung!$Q38),0,Personalplanung!AB38/Monatsplanung!$E38*Monatsplanung!$Q38))</f>
        <v>0</v>
      </c>
      <c r="L1078" s="740"/>
      <c r="M1078" s="739"/>
      <c r="N1078" s="168">
        <f>IF(M1078&lt;&gt;"",M1078,IF(ISERROR(Personalplanung!AC38/Monatsplanung!$E38*Monatsplanung!$Q38),0,Personalplanung!AC38/Monatsplanung!$E38*Monatsplanung!$Q38))</f>
        <v>0</v>
      </c>
      <c r="O1078" s="740"/>
      <c r="P1078" s="739"/>
      <c r="Q1078" s="168">
        <f>IF(P1078&lt;&gt;"",P1078,IF(ISERROR(Personalplanung!AD38/Monatsplanung!$E38*Monatsplanung!$Q38),0,Personalplanung!AD38/Monatsplanung!$E38*Monatsplanung!$Q38))</f>
        <v>0</v>
      </c>
      <c r="R1078" s="740"/>
      <c r="S1078" s="739"/>
      <c r="T1078" s="168">
        <f>IF(S1078&lt;&gt;"",S1078,IF(ISERROR(Personalplanung!AE38/Monatsplanung!$E38*Monatsplanung!$Q38),0,Personalplanung!AE38/Monatsplanung!$E38*Monatsplanung!$Q38))</f>
        <v>0</v>
      </c>
      <c r="U1078" s="740"/>
      <c r="V1078" s="168">
        <f t="shared" si="344"/>
        <v>0</v>
      </c>
      <c r="W1078" s="168">
        <f>IF(ISERROR(Personalplanung!P38/Monatsplanung!$E38*Monatsplanung!$Q38),0,Personalplanung!P38/Monatsplanung!$E38*Monatsplanung!$Q38)</f>
        <v>0</v>
      </c>
      <c r="X1078" s="168">
        <f>IF(ISERROR(Personalplanung!Q38/Monatsplanung!$E38*Monatsplanung!$Q38),0,Personalplanung!Q38/Monatsplanung!$E38*Monatsplanung!$Q38)</f>
        <v>0</v>
      </c>
      <c r="Y1078" s="168">
        <f>IF(ISERROR(Personalplanung!R38/T1286*Stundencontrolling!T1078),0,Personalplanung!R38/T1286*Stundencontrolling!T1078)</f>
        <v>0</v>
      </c>
      <c r="Z1078" s="168">
        <f>IF(ISERROR(Personalplanung!S38/Monatsplanung!$E38*Monatsplanung!$Q38),0,Personalplanung!S38/Monatsplanung!$E38*Monatsplanung!$Q38)</f>
        <v>0</v>
      </c>
      <c r="AA1078" s="80">
        <f t="shared" si="345"/>
        <v>0</v>
      </c>
      <c r="AB1078" s="102">
        <f t="shared" si="346"/>
        <v>0.1</v>
      </c>
      <c r="AC1078" s="103">
        <f t="shared" si="347"/>
        <v>0</v>
      </c>
      <c r="AD1078" s="103">
        <f t="shared" si="348"/>
        <v>0</v>
      </c>
      <c r="AE1078" s="81">
        <f t="shared" si="349"/>
        <v>0</v>
      </c>
      <c r="AF1078" s="539"/>
      <c r="AG1078" s="104">
        <f t="shared" si="350"/>
        <v>1</v>
      </c>
      <c r="AH1078" s="7">
        <f t="shared" si="351"/>
        <v>0</v>
      </c>
      <c r="AI1078" s="6">
        <f t="shared" si="352"/>
        <v>0</v>
      </c>
      <c r="AJ1078" s="73">
        <f t="shared" si="353"/>
        <v>0</v>
      </c>
      <c r="AK1078" s="539"/>
      <c r="AL1078" s="748"/>
      <c r="AM1078" s="748"/>
    </row>
    <row r="1079" spans="2:39" x14ac:dyDescent="0.2">
      <c r="B1079" s="101" t="str">
        <f t="shared" si="338"/>
        <v/>
      </c>
      <c r="C1079" s="168">
        <f>IF(ISERROR(Personalplanung!F39/Monatsplanung!$E39*Monatsplanung!$Q39),0,Personalplanung!F39/Monatsplanung!$E39*Monatsplanung!$Q39)</f>
        <v>0</v>
      </c>
      <c r="D1079" s="168">
        <f t="shared" si="339"/>
        <v>0</v>
      </c>
      <c r="E1079" s="168">
        <f>IF(ISERROR(Personalplanung!H39/Monatsplanung!$E39*Monatsplanung!$Q39),0,Personalplanung!H39/Monatsplanung!$E39*Monatsplanung!$Q39)</f>
        <v>0</v>
      </c>
      <c r="F1079" s="168">
        <f t="shared" si="340"/>
        <v>0</v>
      </c>
      <c r="G1079" s="168">
        <f t="shared" si="341"/>
        <v>27.700831024930746</v>
      </c>
      <c r="H1079" s="168">
        <f t="shared" si="342"/>
        <v>0</v>
      </c>
      <c r="I1079" s="168">
        <f t="shared" si="343"/>
        <v>30</v>
      </c>
      <c r="J1079" s="739"/>
      <c r="K1079" s="168">
        <f>IF(J1079&lt;&gt;"",J1079,IF(ISERROR(Personalplanung!AB39/Monatsplanung!$E39*Monatsplanung!$Q39),0,Personalplanung!AB39/Monatsplanung!$E39*Monatsplanung!$Q39))</f>
        <v>0</v>
      </c>
      <c r="L1079" s="740"/>
      <c r="M1079" s="739"/>
      <c r="N1079" s="168">
        <f>IF(M1079&lt;&gt;"",M1079,IF(ISERROR(Personalplanung!AC39/Monatsplanung!$E39*Monatsplanung!$Q39),0,Personalplanung!AC39/Monatsplanung!$E39*Monatsplanung!$Q39))</f>
        <v>0</v>
      </c>
      <c r="O1079" s="740"/>
      <c r="P1079" s="739"/>
      <c r="Q1079" s="168">
        <f>IF(P1079&lt;&gt;"",P1079,IF(ISERROR(Personalplanung!AD39/Monatsplanung!$E39*Monatsplanung!$Q39),0,Personalplanung!AD39/Monatsplanung!$E39*Monatsplanung!$Q39))</f>
        <v>0</v>
      </c>
      <c r="R1079" s="740"/>
      <c r="S1079" s="739"/>
      <c r="T1079" s="168">
        <f>IF(S1079&lt;&gt;"",S1079,IF(ISERROR(Personalplanung!AE39/Monatsplanung!$E39*Monatsplanung!$Q39),0,Personalplanung!AE39/Monatsplanung!$E39*Monatsplanung!$Q39))</f>
        <v>0</v>
      </c>
      <c r="U1079" s="740"/>
      <c r="V1079" s="168">
        <f t="shared" si="344"/>
        <v>0</v>
      </c>
      <c r="W1079" s="168">
        <f>IF(ISERROR(Personalplanung!P39/Monatsplanung!$E39*Monatsplanung!$Q39),0,Personalplanung!P39/Monatsplanung!$E39*Monatsplanung!$Q39)</f>
        <v>0</v>
      </c>
      <c r="X1079" s="168">
        <f>IF(ISERROR(Personalplanung!Q39/Monatsplanung!$E39*Monatsplanung!$Q39),0,Personalplanung!Q39/Monatsplanung!$E39*Monatsplanung!$Q39)</f>
        <v>0</v>
      </c>
      <c r="Y1079" s="168">
        <f>IF(ISERROR(Personalplanung!R39/T1287*Stundencontrolling!T1079),0,Personalplanung!R39/T1287*Stundencontrolling!T1079)</f>
        <v>0</v>
      </c>
      <c r="Z1079" s="168">
        <f>IF(ISERROR(Personalplanung!S39/Monatsplanung!$E39*Monatsplanung!$Q39),0,Personalplanung!S39/Monatsplanung!$E39*Monatsplanung!$Q39)</f>
        <v>0</v>
      </c>
      <c r="AA1079" s="80">
        <f t="shared" si="345"/>
        <v>0</v>
      </c>
      <c r="AB1079" s="102">
        <f t="shared" si="346"/>
        <v>0.1</v>
      </c>
      <c r="AC1079" s="103">
        <f t="shared" si="347"/>
        <v>0</v>
      </c>
      <c r="AD1079" s="103">
        <f t="shared" si="348"/>
        <v>0</v>
      </c>
      <c r="AE1079" s="81">
        <f t="shared" si="349"/>
        <v>0</v>
      </c>
      <c r="AF1079" s="539"/>
      <c r="AG1079" s="104">
        <f t="shared" si="350"/>
        <v>1</v>
      </c>
      <c r="AH1079" s="7">
        <f t="shared" si="351"/>
        <v>0</v>
      </c>
      <c r="AI1079" s="6">
        <f t="shared" si="352"/>
        <v>0</v>
      </c>
      <c r="AJ1079" s="73">
        <f t="shared" si="353"/>
        <v>0</v>
      </c>
      <c r="AK1079" s="539"/>
      <c r="AL1079" s="748"/>
      <c r="AM1079" s="748"/>
    </row>
    <row r="1080" spans="2:39" x14ac:dyDescent="0.2">
      <c r="B1080" s="101" t="str">
        <f t="shared" si="338"/>
        <v/>
      </c>
      <c r="C1080" s="168">
        <f>IF(ISERROR(Personalplanung!F40/Monatsplanung!$E40*Monatsplanung!$Q40),0,Personalplanung!F40/Monatsplanung!$E40*Monatsplanung!$Q40)</f>
        <v>0</v>
      </c>
      <c r="D1080" s="168">
        <f t="shared" si="339"/>
        <v>0</v>
      </c>
      <c r="E1080" s="168">
        <f>IF(ISERROR(Personalplanung!H40/Monatsplanung!$E40*Monatsplanung!$Q40),0,Personalplanung!H40/Monatsplanung!$E40*Monatsplanung!$Q40)</f>
        <v>0</v>
      </c>
      <c r="F1080" s="168">
        <f t="shared" si="340"/>
        <v>0</v>
      </c>
      <c r="G1080" s="168">
        <f t="shared" si="341"/>
        <v>27.700831024930746</v>
      </c>
      <c r="H1080" s="168">
        <f t="shared" si="342"/>
        <v>0</v>
      </c>
      <c r="I1080" s="168">
        <f t="shared" si="343"/>
        <v>30</v>
      </c>
      <c r="J1080" s="739"/>
      <c r="K1080" s="168">
        <f>IF(J1080&lt;&gt;"",J1080,IF(ISERROR(Personalplanung!AB40/Monatsplanung!$E40*Monatsplanung!$Q40),0,Personalplanung!AB40/Monatsplanung!$E40*Monatsplanung!$Q40))</f>
        <v>0</v>
      </c>
      <c r="L1080" s="740"/>
      <c r="M1080" s="739"/>
      <c r="N1080" s="168">
        <f>IF(M1080&lt;&gt;"",M1080,IF(ISERROR(Personalplanung!AC40/Monatsplanung!$E40*Monatsplanung!$Q40),0,Personalplanung!AC40/Monatsplanung!$E40*Monatsplanung!$Q40))</f>
        <v>0</v>
      </c>
      <c r="O1080" s="740"/>
      <c r="P1080" s="739"/>
      <c r="Q1080" s="168">
        <f>IF(P1080&lt;&gt;"",P1080,IF(ISERROR(Personalplanung!AD40/Monatsplanung!$E40*Monatsplanung!$Q40),0,Personalplanung!AD40/Monatsplanung!$E40*Monatsplanung!$Q40))</f>
        <v>0</v>
      </c>
      <c r="R1080" s="740"/>
      <c r="S1080" s="739"/>
      <c r="T1080" s="168">
        <f>IF(S1080&lt;&gt;"",S1080,IF(ISERROR(Personalplanung!AE40/Monatsplanung!$E40*Monatsplanung!$Q40),0,Personalplanung!AE40/Monatsplanung!$E40*Monatsplanung!$Q40))</f>
        <v>0</v>
      </c>
      <c r="U1080" s="740"/>
      <c r="V1080" s="168">
        <f t="shared" si="344"/>
        <v>0</v>
      </c>
      <c r="W1080" s="168">
        <f>IF(ISERROR(Personalplanung!P40/Monatsplanung!$E40*Monatsplanung!$Q40),0,Personalplanung!P40/Monatsplanung!$E40*Monatsplanung!$Q40)</f>
        <v>0</v>
      </c>
      <c r="X1080" s="168">
        <f>IF(ISERROR(Personalplanung!Q40/Monatsplanung!$E40*Monatsplanung!$Q40),0,Personalplanung!Q40/Monatsplanung!$E40*Monatsplanung!$Q40)</f>
        <v>0</v>
      </c>
      <c r="Y1080" s="168">
        <f>IF(ISERROR(Personalplanung!R40/T1288*Stundencontrolling!T1080),0,Personalplanung!R40/T1288*Stundencontrolling!T1080)</f>
        <v>0</v>
      </c>
      <c r="Z1080" s="168">
        <f>IF(ISERROR(Personalplanung!S40/Monatsplanung!$E40*Monatsplanung!$Q40),0,Personalplanung!S40/Monatsplanung!$E40*Monatsplanung!$Q40)</f>
        <v>0</v>
      </c>
      <c r="AA1080" s="80">
        <f t="shared" si="345"/>
        <v>0</v>
      </c>
      <c r="AB1080" s="102">
        <f t="shared" si="346"/>
        <v>0.1</v>
      </c>
      <c r="AC1080" s="103">
        <f t="shared" si="347"/>
        <v>0</v>
      </c>
      <c r="AD1080" s="103">
        <f t="shared" si="348"/>
        <v>0</v>
      </c>
      <c r="AE1080" s="81">
        <f t="shared" si="349"/>
        <v>0</v>
      </c>
      <c r="AF1080" s="539"/>
      <c r="AG1080" s="104">
        <f t="shared" si="350"/>
        <v>1</v>
      </c>
      <c r="AH1080" s="7">
        <f t="shared" si="351"/>
        <v>0</v>
      </c>
      <c r="AI1080" s="6">
        <f t="shared" si="352"/>
        <v>0</v>
      </c>
      <c r="AJ1080" s="73">
        <f t="shared" si="353"/>
        <v>0</v>
      </c>
      <c r="AK1080" s="539"/>
      <c r="AL1080" s="748"/>
      <c r="AM1080" s="748"/>
    </row>
    <row r="1081" spans="2:39" x14ac:dyDescent="0.2">
      <c r="B1081" s="101" t="str">
        <f t="shared" si="338"/>
        <v/>
      </c>
      <c r="C1081" s="168">
        <f>IF(ISERROR(Personalplanung!F41/Monatsplanung!$E41*Monatsplanung!$Q41),0,Personalplanung!F41/Monatsplanung!$E41*Monatsplanung!$Q41)</f>
        <v>0</v>
      </c>
      <c r="D1081" s="168">
        <f t="shared" si="339"/>
        <v>0</v>
      </c>
      <c r="E1081" s="168">
        <f>IF(ISERROR(Personalplanung!H41/Monatsplanung!$E41*Monatsplanung!$Q41),0,Personalplanung!H41/Monatsplanung!$E41*Monatsplanung!$Q41)</f>
        <v>0</v>
      </c>
      <c r="F1081" s="168">
        <f t="shared" si="340"/>
        <v>0</v>
      </c>
      <c r="G1081" s="168">
        <f t="shared" si="341"/>
        <v>27.700831024930746</v>
      </c>
      <c r="H1081" s="168">
        <f t="shared" si="342"/>
        <v>0</v>
      </c>
      <c r="I1081" s="168">
        <f t="shared" si="343"/>
        <v>30</v>
      </c>
      <c r="J1081" s="739"/>
      <c r="K1081" s="168">
        <f>IF(J1081&lt;&gt;"",J1081,IF(ISERROR(Personalplanung!AB41/Monatsplanung!$E41*Monatsplanung!$Q41),0,Personalplanung!AB41/Monatsplanung!$E41*Monatsplanung!$Q41))</f>
        <v>0</v>
      </c>
      <c r="L1081" s="740"/>
      <c r="M1081" s="739"/>
      <c r="N1081" s="168">
        <f>IF(M1081&lt;&gt;"",M1081,IF(ISERROR(Personalplanung!AC41/Monatsplanung!$E41*Monatsplanung!$Q41),0,Personalplanung!AC41/Monatsplanung!$E41*Monatsplanung!$Q41))</f>
        <v>0</v>
      </c>
      <c r="O1081" s="740"/>
      <c r="P1081" s="739"/>
      <c r="Q1081" s="168">
        <f>IF(P1081&lt;&gt;"",P1081,IF(ISERROR(Personalplanung!AD41/Monatsplanung!$E41*Monatsplanung!$Q41),0,Personalplanung!AD41/Monatsplanung!$E41*Monatsplanung!$Q41))</f>
        <v>0</v>
      </c>
      <c r="R1081" s="740"/>
      <c r="S1081" s="739"/>
      <c r="T1081" s="168">
        <f>IF(S1081&lt;&gt;"",S1081,IF(ISERROR(Personalplanung!AE41/Monatsplanung!$E41*Monatsplanung!$Q41),0,Personalplanung!AE41/Monatsplanung!$E41*Monatsplanung!$Q41))</f>
        <v>0</v>
      </c>
      <c r="U1081" s="740"/>
      <c r="V1081" s="168">
        <f t="shared" si="344"/>
        <v>0</v>
      </c>
      <c r="W1081" s="168">
        <f>IF(ISERROR(Personalplanung!P41/Monatsplanung!$E41*Monatsplanung!$Q41),0,Personalplanung!P41/Monatsplanung!$E41*Monatsplanung!$Q41)</f>
        <v>0</v>
      </c>
      <c r="X1081" s="168">
        <f>IF(ISERROR(Personalplanung!Q41/Monatsplanung!$E41*Monatsplanung!$Q41),0,Personalplanung!Q41/Monatsplanung!$E41*Monatsplanung!$Q41)</f>
        <v>0</v>
      </c>
      <c r="Y1081" s="168">
        <f>IF(ISERROR(Personalplanung!R41/T1289*Stundencontrolling!T1081),0,Personalplanung!R41/T1289*Stundencontrolling!T1081)</f>
        <v>0</v>
      </c>
      <c r="Z1081" s="168">
        <f>IF(ISERROR(Personalplanung!S41/Monatsplanung!$E41*Monatsplanung!$Q41),0,Personalplanung!S41/Monatsplanung!$E41*Monatsplanung!$Q41)</f>
        <v>0</v>
      </c>
      <c r="AA1081" s="80">
        <f t="shared" si="345"/>
        <v>0</v>
      </c>
      <c r="AB1081" s="102">
        <f t="shared" si="346"/>
        <v>0.1</v>
      </c>
      <c r="AC1081" s="103">
        <f t="shared" si="347"/>
        <v>0</v>
      </c>
      <c r="AD1081" s="103">
        <f t="shared" si="348"/>
        <v>0</v>
      </c>
      <c r="AE1081" s="81">
        <f t="shared" si="349"/>
        <v>0</v>
      </c>
      <c r="AF1081" s="539"/>
      <c r="AG1081" s="104">
        <f t="shared" si="350"/>
        <v>1</v>
      </c>
      <c r="AH1081" s="7">
        <f t="shared" si="351"/>
        <v>0</v>
      </c>
      <c r="AI1081" s="6">
        <f t="shared" si="352"/>
        <v>0</v>
      </c>
      <c r="AJ1081" s="73">
        <f t="shared" si="353"/>
        <v>0</v>
      </c>
      <c r="AK1081" s="539"/>
      <c r="AL1081" s="748"/>
      <c r="AM1081" s="748"/>
    </row>
    <row r="1082" spans="2:39" x14ac:dyDescent="0.2">
      <c r="B1082" s="101" t="str">
        <f t="shared" si="338"/>
        <v/>
      </c>
      <c r="C1082" s="168">
        <f>IF(ISERROR(Personalplanung!F42/Monatsplanung!$E42*Monatsplanung!$Q42),0,Personalplanung!F42/Monatsplanung!$E42*Monatsplanung!$Q42)</f>
        <v>0</v>
      </c>
      <c r="D1082" s="168">
        <f t="shared" si="339"/>
        <v>0</v>
      </c>
      <c r="E1082" s="168">
        <f>IF(ISERROR(Personalplanung!H42/Monatsplanung!$E42*Monatsplanung!$Q42),0,Personalplanung!H42/Monatsplanung!$E42*Monatsplanung!$Q42)</f>
        <v>0</v>
      </c>
      <c r="F1082" s="168">
        <f t="shared" si="340"/>
        <v>0</v>
      </c>
      <c r="G1082" s="168">
        <f t="shared" si="341"/>
        <v>27.700831024930746</v>
      </c>
      <c r="H1082" s="168">
        <f t="shared" si="342"/>
        <v>0</v>
      </c>
      <c r="I1082" s="168">
        <f t="shared" si="343"/>
        <v>30</v>
      </c>
      <c r="J1082" s="739"/>
      <c r="K1082" s="168">
        <f>IF(J1082&lt;&gt;"",J1082,IF(ISERROR(Personalplanung!AB42/Monatsplanung!$E42*Monatsplanung!$Q42),0,Personalplanung!AB42/Monatsplanung!$E42*Monatsplanung!$Q42))</f>
        <v>0</v>
      </c>
      <c r="L1082" s="740"/>
      <c r="M1082" s="739"/>
      <c r="N1082" s="168">
        <f>IF(M1082&lt;&gt;"",M1082,IF(ISERROR(Personalplanung!AC42/Monatsplanung!$E42*Monatsplanung!$Q42),0,Personalplanung!AC42/Monatsplanung!$E42*Monatsplanung!$Q42))</f>
        <v>0</v>
      </c>
      <c r="O1082" s="740"/>
      <c r="P1082" s="739"/>
      <c r="Q1082" s="168">
        <f>IF(P1082&lt;&gt;"",P1082,IF(ISERROR(Personalplanung!AD42/Monatsplanung!$E42*Monatsplanung!$Q42),0,Personalplanung!AD42/Monatsplanung!$E42*Monatsplanung!$Q42))</f>
        <v>0</v>
      </c>
      <c r="R1082" s="740"/>
      <c r="S1082" s="739"/>
      <c r="T1082" s="168">
        <f>IF(S1082&lt;&gt;"",S1082,IF(ISERROR(Personalplanung!AE42/Monatsplanung!$E42*Monatsplanung!$Q42),0,Personalplanung!AE42/Monatsplanung!$E42*Monatsplanung!$Q42))</f>
        <v>0</v>
      </c>
      <c r="U1082" s="740"/>
      <c r="V1082" s="168">
        <f t="shared" si="344"/>
        <v>0</v>
      </c>
      <c r="W1082" s="168">
        <f>IF(ISERROR(Personalplanung!P42/Monatsplanung!$E42*Monatsplanung!$Q42),0,Personalplanung!P42/Monatsplanung!$E42*Monatsplanung!$Q42)</f>
        <v>0</v>
      </c>
      <c r="X1082" s="168">
        <f>IF(ISERROR(Personalplanung!Q42/Monatsplanung!$E42*Monatsplanung!$Q42),0,Personalplanung!Q42/Monatsplanung!$E42*Monatsplanung!$Q42)</f>
        <v>0</v>
      </c>
      <c r="Y1082" s="168">
        <f>IF(ISERROR(Personalplanung!R42/T1290*Stundencontrolling!T1082),0,Personalplanung!R42/T1290*Stundencontrolling!T1082)</f>
        <v>0</v>
      </c>
      <c r="Z1082" s="168">
        <f>IF(ISERROR(Personalplanung!S42/Monatsplanung!$E42*Monatsplanung!$Q42),0,Personalplanung!S42/Monatsplanung!$E42*Monatsplanung!$Q42)</f>
        <v>0</v>
      </c>
      <c r="AA1082" s="80">
        <f t="shared" si="345"/>
        <v>0</v>
      </c>
      <c r="AB1082" s="102">
        <f t="shared" si="346"/>
        <v>0.1</v>
      </c>
      <c r="AC1082" s="103">
        <f t="shared" si="347"/>
        <v>0</v>
      </c>
      <c r="AD1082" s="103">
        <f t="shared" si="348"/>
        <v>0</v>
      </c>
      <c r="AE1082" s="81">
        <f t="shared" si="349"/>
        <v>0</v>
      </c>
      <c r="AF1082" s="539"/>
      <c r="AG1082" s="104">
        <f t="shared" si="350"/>
        <v>1</v>
      </c>
      <c r="AH1082" s="7">
        <f t="shared" si="351"/>
        <v>0</v>
      </c>
      <c r="AI1082" s="6">
        <f t="shared" si="352"/>
        <v>0</v>
      </c>
      <c r="AJ1082" s="73">
        <f t="shared" si="353"/>
        <v>0</v>
      </c>
      <c r="AK1082" s="539"/>
      <c r="AL1082" s="748"/>
      <c r="AM1082" s="748"/>
    </row>
    <row r="1083" spans="2:39" x14ac:dyDescent="0.2">
      <c r="B1083" s="101" t="str">
        <f t="shared" si="338"/>
        <v/>
      </c>
      <c r="C1083" s="168">
        <f>IF(ISERROR(Personalplanung!F43/Monatsplanung!$E43*Monatsplanung!$Q43),0,Personalplanung!F43/Monatsplanung!$E43*Monatsplanung!$Q43)</f>
        <v>0</v>
      </c>
      <c r="D1083" s="168">
        <f t="shared" si="339"/>
        <v>0</v>
      </c>
      <c r="E1083" s="168">
        <f>IF(ISERROR(Personalplanung!H43/Monatsplanung!$E43*Monatsplanung!$Q43),0,Personalplanung!H43/Monatsplanung!$E43*Monatsplanung!$Q43)</f>
        <v>0</v>
      </c>
      <c r="F1083" s="168">
        <f t="shared" si="340"/>
        <v>0</v>
      </c>
      <c r="G1083" s="168">
        <f t="shared" si="341"/>
        <v>27.700831024930746</v>
      </c>
      <c r="H1083" s="168">
        <f t="shared" si="342"/>
        <v>0</v>
      </c>
      <c r="I1083" s="168">
        <f t="shared" si="343"/>
        <v>30</v>
      </c>
      <c r="J1083" s="739"/>
      <c r="K1083" s="168">
        <f>IF(J1083&lt;&gt;"",J1083,IF(ISERROR(Personalplanung!AB43/Monatsplanung!$E43*Monatsplanung!$Q43),0,Personalplanung!AB43/Monatsplanung!$E43*Monatsplanung!$Q43))</f>
        <v>0</v>
      </c>
      <c r="L1083" s="740"/>
      <c r="M1083" s="739"/>
      <c r="N1083" s="168">
        <f>IF(M1083&lt;&gt;"",M1083,IF(ISERROR(Personalplanung!AC43/Monatsplanung!$E43*Monatsplanung!$Q43),0,Personalplanung!AC43/Monatsplanung!$E43*Monatsplanung!$Q43))</f>
        <v>0</v>
      </c>
      <c r="O1083" s="740"/>
      <c r="P1083" s="739"/>
      <c r="Q1083" s="168">
        <f>IF(P1083&lt;&gt;"",P1083,IF(ISERROR(Personalplanung!AD43/Monatsplanung!$E43*Monatsplanung!$Q43),0,Personalplanung!AD43/Monatsplanung!$E43*Monatsplanung!$Q43))</f>
        <v>0</v>
      </c>
      <c r="R1083" s="740"/>
      <c r="S1083" s="739"/>
      <c r="T1083" s="168">
        <f>IF(S1083&lt;&gt;"",S1083,IF(ISERROR(Personalplanung!AE43/Monatsplanung!$E43*Monatsplanung!$Q43),0,Personalplanung!AE43/Monatsplanung!$E43*Monatsplanung!$Q43))</f>
        <v>0</v>
      </c>
      <c r="U1083" s="740"/>
      <c r="V1083" s="168">
        <f t="shared" si="344"/>
        <v>0</v>
      </c>
      <c r="W1083" s="168">
        <f>IF(ISERROR(Personalplanung!P43/Monatsplanung!$E43*Monatsplanung!$Q43),0,Personalplanung!P43/Monatsplanung!$E43*Monatsplanung!$Q43)</f>
        <v>0</v>
      </c>
      <c r="X1083" s="168">
        <f>IF(ISERROR(Personalplanung!Q43/Monatsplanung!$E43*Monatsplanung!$Q43),0,Personalplanung!Q43/Monatsplanung!$E43*Monatsplanung!$Q43)</f>
        <v>0</v>
      </c>
      <c r="Y1083" s="168">
        <f>IF(ISERROR(Personalplanung!R43/T1291*Stundencontrolling!T1083),0,Personalplanung!R43/T1291*Stundencontrolling!T1083)</f>
        <v>0</v>
      </c>
      <c r="Z1083" s="168">
        <f>IF(ISERROR(Personalplanung!S43/Monatsplanung!$E43*Monatsplanung!$Q43),0,Personalplanung!S43/Monatsplanung!$E43*Monatsplanung!$Q43)</f>
        <v>0</v>
      </c>
      <c r="AA1083" s="80">
        <f t="shared" si="345"/>
        <v>0</v>
      </c>
      <c r="AB1083" s="102">
        <f t="shared" si="346"/>
        <v>0.1</v>
      </c>
      <c r="AC1083" s="103">
        <f t="shared" si="347"/>
        <v>0</v>
      </c>
      <c r="AD1083" s="103">
        <f t="shared" si="348"/>
        <v>0</v>
      </c>
      <c r="AE1083" s="81">
        <f t="shared" si="349"/>
        <v>0</v>
      </c>
      <c r="AF1083" s="539"/>
      <c r="AG1083" s="104">
        <f t="shared" si="350"/>
        <v>1</v>
      </c>
      <c r="AH1083" s="7">
        <f t="shared" si="351"/>
        <v>0</v>
      </c>
      <c r="AI1083" s="6">
        <f t="shared" si="352"/>
        <v>0</v>
      </c>
      <c r="AJ1083" s="73">
        <f t="shared" si="353"/>
        <v>0</v>
      </c>
      <c r="AK1083" s="539"/>
      <c r="AL1083" s="748"/>
      <c r="AM1083" s="748"/>
    </row>
    <row r="1084" spans="2:39" x14ac:dyDescent="0.2">
      <c r="B1084" s="101" t="str">
        <f t="shared" si="338"/>
        <v/>
      </c>
      <c r="C1084" s="168">
        <f>IF(ISERROR(Personalplanung!F44/Monatsplanung!$E44*Monatsplanung!$Q44),0,Personalplanung!F44/Monatsplanung!$E44*Monatsplanung!$Q44)</f>
        <v>0</v>
      </c>
      <c r="D1084" s="168">
        <f t="shared" si="339"/>
        <v>0</v>
      </c>
      <c r="E1084" s="168">
        <f>IF(ISERROR(Personalplanung!H44/Monatsplanung!$E44*Monatsplanung!$Q44),0,Personalplanung!H44/Monatsplanung!$E44*Monatsplanung!$Q44)</f>
        <v>0</v>
      </c>
      <c r="F1084" s="168">
        <f t="shared" si="340"/>
        <v>0</v>
      </c>
      <c r="G1084" s="168">
        <f t="shared" si="341"/>
        <v>27.700831024930746</v>
      </c>
      <c r="H1084" s="168">
        <f t="shared" si="342"/>
        <v>0</v>
      </c>
      <c r="I1084" s="168">
        <f t="shared" si="343"/>
        <v>30</v>
      </c>
      <c r="J1084" s="739"/>
      <c r="K1084" s="168">
        <f>IF(J1084&lt;&gt;"",J1084,IF(ISERROR(Personalplanung!AB44/Monatsplanung!$E44*Monatsplanung!$Q44),0,Personalplanung!AB44/Monatsplanung!$E44*Monatsplanung!$Q44))</f>
        <v>0</v>
      </c>
      <c r="L1084" s="740"/>
      <c r="M1084" s="739"/>
      <c r="N1084" s="168">
        <f>IF(M1084&lt;&gt;"",M1084,IF(ISERROR(Personalplanung!AC44/Monatsplanung!$E44*Monatsplanung!$Q44),0,Personalplanung!AC44/Monatsplanung!$E44*Monatsplanung!$Q44))</f>
        <v>0</v>
      </c>
      <c r="O1084" s="740"/>
      <c r="P1084" s="739"/>
      <c r="Q1084" s="168">
        <f>IF(P1084&lt;&gt;"",P1084,IF(ISERROR(Personalplanung!AD44/Monatsplanung!$E44*Monatsplanung!$Q44),0,Personalplanung!AD44/Monatsplanung!$E44*Monatsplanung!$Q44))</f>
        <v>0</v>
      </c>
      <c r="R1084" s="740"/>
      <c r="S1084" s="739"/>
      <c r="T1084" s="168">
        <f>IF(S1084&lt;&gt;"",S1084,IF(ISERROR(Personalplanung!AE44/Monatsplanung!$E44*Monatsplanung!$Q44),0,Personalplanung!AE44/Monatsplanung!$E44*Monatsplanung!$Q44))</f>
        <v>0</v>
      </c>
      <c r="U1084" s="740"/>
      <c r="V1084" s="168">
        <f t="shared" si="344"/>
        <v>0</v>
      </c>
      <c r="W1084" s="168">
        <f>IF(ISERROR(Personalplanung!P44/Monatsplanung!$E44*Monatsplanung!$Q44),0,Personalplanung!P44/Monatsplanung!$E44*Monatsplanung!$Q44)</f>
        <v>0</v>
      </c>
      <c r="X1084" s="168">
        <f>IF(ISERROR(Personalplanung!Q44/Monatsplanung!$E44*Monatsplanung!$Q44),0,Personalplanung!Q44/Monatsplanung!$E44*Monatsplanung!$Q44)</f>
        <v>0</v>
      </c>
      <c r="Y1084" s="168">
        <f>IF(ISERROR(Personalplanung!R44/T1292*Stundencontrolling!T1084),0,Personalplanung!R44/T1292*Stundencontrolling!T1084)</f>
        <v>0</v>
      </c>
      <c r="Z1084" s="168">
        <f>IF(ISERROR(Personalplanung!S44/Monatsplanung!$E44*Monatsplanung!$Q44),0,Personalplanung!S44/Monatsplanung!$E44*Monatsplanung!$Q44)</f>
        <v>0</v>
      </c>
      <c r="AA1084" s="80">
        <f t="shared" si="345"/>
        <v>0</v>
      </c>
      <c r="AB1084" s="102">
        <f t="shared" si="346"/>
        <v>0.1</v>
      </c>
      <c r="AC1084" s="103">
        <f t="shared" si="347"/>
        <v>0</v>
      </c>
      <c r="AD1084" s="103">
        <f t="shared" si="348"/>
        <v>0</v>
      </c>
      <c r="AE1084" s="81">
        <f t="shared" si="349"/>
        <v>0</v>
      </c>
      <c r="AF1084" s="539"/>
      <c r="AG1084" s="104">
        <f t="shared" si="350"/>
        <v>1</v>
      </c>
      <c r="AH1084" s="7">
        <f t="shared" si="351"/>
        <v>0</v>
      </c>
      <c r="AI1084" s="6">
        <f t="shared" si="352"/>
        <v>0</v>
      </c>
      <c r="AJ1084" s="73">
        <f t="shared" si="353"/>
        <v>0</v>
      </c>
      <c r="AK1084" s="539"/>
      <c r="AL1084" s="748"/>
      <c r="AM1084" s="748"/>
    </row>
    <row r="1085" spans="2:39" x14ac:dyDescent="0.2">
      <c r="B1085" s="101" t="str">
        <f t="shared" si="338"/>
        <v/>
      </c>
      <c r="C1085" s="168">
        <f>IF(ISERROR(Personalplanung!F45/Monatsplanung!$E45*Monatsplanung!$Q45),0,Personalplanung!F45/Monatsplanung!$E45*Monatsplanung!$Q45)</f>
        <v>0</v>
      </c>
      <c r="D1085" s="168">
        <f t="shared" si="339"/>
        <v>0</v>
      </c>
      <c r="E1085" s="168">
        <f>IF(ISERROR(Personalplanung!H45/Monatsplanung!$E45*Monatsplanung!$Q45),0,Personalplanung!H45/Monatsplanung!$E45*Monatsplanung!$Q45)</f>
        <v>0</v>
      </c>
      <c r="F1085" s="168">
        <f t="shared" si="340"/>
        <v>0</v>
      </c>
      <c r="G1085" s="168">
        <f t="shared" si="341"/>
        <v>27.700831024930746</v>
      </c>
      <c r="H1085" s="168">
        <f t="shared" si="342"/>
        <v>0</v>
      </c>
      <c r="I1085" s="168">
        <f t="shared" si="343"/>
        <v>30</v>
      </c>
      <c r="J1085" s="739"/>
      <c r="K1085" s="168">
        <f>IF(J1085&lt;&gt;"",J1085,IF(ISERROR(Personalplanung!AB45/Monatsplanung!$E45*Monatsplanung!$Q45),0,Personalplanung!AB45/Monatsplanung!$E45*Monatsplanung!$Q45))</f>
        <v>0</v>
      </c>
      <c r="L1085" s="740"/>
      <c r="M1085" s="739"/>
      <c r="N1085" s="168">
        <f>IF(M1085&lt;&gt;"",M1085,IF(ISERROR(Personalplanung!AC45/Monatsplanung!$E45*Monatsplanung!$Q45),0,Personalplanung!AC45/Monatsplanung!$E45*Monatsplanung!$Q45))</f>
        <v>0</v>
      </c>
      <c r="O1085" s="740"/>
      <c r="P1085" s="739"/>
      <c r="Q1085" s="168">
        <f>IF(P1085&lt;&gt;"",P1085,IF(ISERROR(Personalplanung!AD45/Monatsplanung!$E45*Monatsplanung!$Q45),0,Personalplanung!AD45/Monatsplanung!$E45*Monatsplanung!$Q45))</f>
        <v>0</v>
      </c>
      <c r="R1085" s="740"/>
      <c r="S1085" s="739"/>
      <c r="T1085" s="168">
        <f>IF(S1085&lt;&gt;"",S1085,IF(ISERROR(Personalplanung!AE45/Monatsplanung!$E45*Monatsplanung!$Q45),0,Personalplanung!AE45/Monatsplanung!$E45*Monatsplanung!$Q45))</f>
        <v>0</v>
      </c>
      <c r="U1085" s="740"/>
      <c r="V1085" s="168">
        <f t="shared" si="344"/>
        <v>0</v>
      </c>
      <c r="W1085" s="168">
        <f>IF(ISERROR(Personalplanung!P45/Monatsplanung!$E45*Monatsplanung!$Q45),0,Personalplanung!P45/Monatsplanung!$E45*Monatsplanung!$Q45)</f>
        <v>0</v>
      </c>
      <c r="X1085" s="168">
        <f>IF(ISERROR(Personalplanung!Q45/Monatsplanung!$E45*Monatsplanung!$Q45),0,Personalplanung!Q45/Monatsplanung!$E45*Monatsplanung!$Q45)</f>
        <v>0</v>
      </c>
      <c r="Y1085" s="168">
        <f>IF(ISERROR(Personalplanung!R45/T1293*Stundencontrolling!T1085),0,Personalplanung!R45/T1293*Stundencontrolling!T1085)</f>
        <v>0</v>
      </c>
      <c r="Z1085" s="168">
        <f>IF(ISERROR(Personalplanung!S45/Monatsplanung!$E45*Monatsplanung!$Q45),0,Personalplanung!S45/Monatsplanung!$E45*Monatsplanung!$Q45)</f>
        <v>0</v>
      </c>
      <c r="AA1085" s="80">
        <f t="shared" si="345"/>
        <v>0</v>
      </c>
      <c r="AB1085" s="102">
        <f t="shared" si="346"/>
        <v>0.1</v>
      </c>
      <c r="AC1085" s="103">
        <f t="shared" si="347"/>
        <v>0</v>
      </c>
      <c r="AD1085" s="103">
        <f t="shared" si="348"/>
        <v>0</v>
      </c>
      <c r="AE1085" s="81">
        <f t="shared" si="349"/>
        <v>0</v>
      </c>
      <c r="AF1085" s="539"/>
      <c r="AG1085" s="104">
        <f t="shared" si="350"/>
        <v>1</v>
      </c>
      <c r="AH1085" s="7">
        <f t="shared" si="351"/>
        <v>0</v>
      </c>
      <c r="AI1085" s="6">
        <f t="shared" si="352"/>
        <v>0</v>
      </c>
      <c r="AJ1085" s="73">
        <f t="shared" si="353"/>
        <v>0</v>
      </c>
      <c r="AK1085" s="539"/>
      <c r="AL1085" s="748"/>
      <c r="AM1085" s="748"/>
    </row>
    <row r="1086" spans="2:39" x14ac:dyDescent="0.2">
      <c r="B1086" s="101" t="str">
        <f t="shared" si="338"/>
        <v/>
      </c>
      <c r="C1086" s="168">
        <f>IF(ISERROR(Personalplanung!F46/Monatsplanung!$E46*Monatsplanung!$Q46),0,Personalplanung!F46/Monatsplanung!$E46*Monatsplanung!$Q46)</f>
        <v>0</v>
      </c>
      <c r="D1086" s="168">
        <f t="shared" si="339"/>
        <v>0</v>
      </c>
      <c r="E1086" s="168">
        <f>IF(ISERROR(Personalplanung!H46/Monatsplanung!$E46*Monatsplanung!$Q46),0,Personalplanung!H46/Monatsplanung!$E46*Monatsplanung!$Q46)</f>
        <v>0</v>
      </c>
      <c r="F1086" s="168">
        <f t="shared" si="340"/>
        <v>0</v>
      </c>
      <c r="G1086" s="168">
        <f t="shared" si="341"/>
        <v>27.700831024930746</v>
      </c>
      <c r="H1086" s="168">
        <f t="shared" si="342"/>
        <v>0</v>
      </c>
      <c r="I1086" s="168">
        <f t="shared" si="343"/>
        <v>30</v>
      </c>
      <c r="J1086" s="739"/>
      <c r="K1086" s="168">
        <f>IF(J1086&lt;&gt;"",J1086,IF(ISERROR(Personalplanung!AB46/Monatsplanung!$E46*Monatsplanung!$Q46),0,Personalplanung!AB46/Monatsplanung!$E46*Monatsplanung!$Q46))</f>
        <v>0</v>
      </c>
      <c r="L1086" s="740"/>
      <c r="M1086" s="739"/>
      <c r="N1086" s="168">
        <f>IF(M1086&lt;&gt;"",M1086,IF(ISERROR(Personalplanung!AC46/Monatsplanung!$E46*Monatsplanung!$Q46),0,Personalplanung!AC46/Monatsplanung!$E46*Monatsplanung!$Q46))</f>
        <v>0</v>
      </c>
      <c r="O1086" s="740"/>
      <c r="P1086" s="739"/>
      <c r="Q1086" s="168">
        <f>IF(P1086&lt;&gt;"",P1086,IF(ISERROR(Personalplanung!AD46/Monatsplanung!$E46*Monatsplanung!$Q46),0,Personalplanung!AD46/Monatsplanung!$E46*Monatsplanung!$Q46))</f>
        <v>0</v>
      </c>
      <c r="R1086" s="740"/>
      <c r="S1086" s="739"/>
      <c r="T1086" s="168">
        <f>IF(S1086&lt;&gt;"",S1086,IF(ISERROR(Personalplanung!AE46/Monatsplanung!$E46*Monatsplanung!$Q46),0,Personalplanung!AE46/Monatsplanung!$E46*Monatsplanung!$Q46))</f>
        <v>0</v>
      </c>
      <c r="U1086" s="740"/>
      <c r="V1086" s="168">
        <f t="shared" si="344"/>
        <v>0</v>
      </c>
      <c r="W1086" s="168">
        <f>IF(ISERROR(Personalplanung!P46/Monatsplanung!$E46*Monatsplanung!$Q46),0,Personalplanung!P46/Monatsplanung!$E46*Monatsplanung!$Q46)</f>
        <v>0</v>
      </c>
      <c r="X1086" s="168">
        <f>IF(ISERROR(Personalplanung!Q46/Monatsplanung!$E46*Monatsplanung!$Q46),0,Personalplanung!Q46/Monatsplanung!$E46*Monatsplanung!$Q46)</f>
        <v>0</v>
      </c>
      <c r="Y1086" s="168">
        <f>IF(ISERROR(Personalplanung!R46/T1294*Stundencontrolling!T1086),0,Personalplanung!R46/T1294*Stundencontrolling!T1086)</f>
        <v>0</v>
      </c>
      <c r="Z1086" s="168">
        <f>IF(ISERROR(Personalplanung!S46/Monatsplanung!$E46*Monatsplanung!$Q46),0,Personalplanung!S46/Monatsplanung!$E46*Monatsplanung!$Q46)</f>
        <v>0</v>
      </c>
      <c r="AA1086" s="80">
        <f t="shared" si="345"/>
        <v>0</v>
      </c>
      <c r="AB1086" s="102">
        <f t="shared" si="346"/>
        <v>0.1</v>
      </c>
      <c r="AC1086" s="103">
        <f t="shared" si="347"/>
        <v>0</v>
      </c>
      <c r="AD1086" s="103">
        <f t="shared" si="348"/>
        <v>0</v>
      </c>
      <c r="AE1086" s="81">
        <f t="shared" si="349"/>
        <v>0</v>
      </c>
      <c r="AF1086" s="539"/>
      <c r="AG1086" s="104">
        <f t="shared" si="350"/>
        <v>1</v>
      </c>
      <c r="AH1086" s="7">
        <f t="shared" si="351"/>
        <v>0</v>
      </c>
      <c r="AI1086" s="6">
        <f t="shared" si="352"/>
        <v>0</v>
      </c>
      <c r="AJ1086" s="73">
        <f t="shared" si="353"/>
        <v>0</v>
      </c>
      <c r="AK1086" s="539"/>
      <c r="AL1086" s="748"/>
      <c r="AM1086" s="748"/>
    </row>
    <row r="1087" spans="2:39" x14ac:dyDescent="0.2">
      <c r="B1087" s="101" t="str">
        <f t="shared" si="338"/>
        <v/>
      </c>
      <c r="C1087" s="168">
        <f>IF(ISERROR(Personalplanung!F47/Monatsplanung!$E47*Monatsplanung!$Q47),0,Personalplanung!F47/Monatsplanung!$E47*Monatsplanung!$Q47)</f>
        <v>0</v>
      </c>
      <c r="D1087" s="168">
        <f t="shared" si="339"/>
        <v>0</v>
      </c>
      <c r="E1087" s="168">
        <f>IF(ISERROR(Personalplanung!H47/Monatsplanung!$E47*Monatsplanung!$Q47),0,Personalplanung!H47/Monatsplanung!$E47*Monatsplanung!$Q47)</f>
        <v>0</v>
      </c>
      <c r="F1087" s="168">
        <f t="shared" si="340"/>
        <v>0</v>
      </c>
      <c r="G1087" s="168">
        <f t="shared" si="341"/>
        <v>27.700831024930746</v>
      </c>
      <c r="H1087" s="168">
        <f t="shared" si="342"/>
        <v>0</v>
      </c>
      <c r="I1087" s="168">
        <f t="shared" si="343"/>
        <v>30</v>
      </c>
      <c r="J1087" s="739"/>
      <c r="K1087" s="168">
        <f>IF(J1087&lt;&gt;"",J1087,IF(ISERROR(Personalplanung!AB47/Monatsplanung!$E47*Monatsplanung!$Q47),0,Personalplanung!AB47/Monatsplanung!$E47*Monatsplanung!$Q47))</f>
        <v>0</v>
      </c>
      <c r="L1087" s="740"/>
      <c r="M1087" s="739"/>
      <c r="N1087" s="168">
        <f>IF(M1087&lt;&gt;"",M1087,IF(ISERROR(Personalplanung!AC47/Monatsplanung!$E47*Monatsplanung!$Q47),0,Personalplanung!AC47/Monatsplanung!$E47*Monatsplanung!$Q47))</f>
        <v>0</v>
      </c>
      <c r="O1087" s="740"/>
      <c r="P1087" s="739"/>
      <c r="Q1087" s="168">
        <f>IF(P1087&lt;&gt;"",P1087,IF(ISERROR(Personalplanung!AD47/Monatsplanung!$E47*Monatsplanung!$Q47),0,Personalplanung!AD47/Monatsplanung!$E47*Monatsplanung!$Q47))</f>
        <v>0</v>
      </c>
      <c r="R1087" s="740"/>
      <c r="S1087" s="739"/>
      <c r="T1087" s="168">
        <f>IF(S1087&lt;&gt;"",S1087,IF(ISERROR(Personalplanung!AE47/Monatsplanung!$E47*Monatsplanung!$Q47),0,Personalplanung!AE47/Monatsplanung!$E47*Monatsplanung!$Q47))</f>
        <v>0</v>
      </c>
      <c r="U1087" s="740"/>
      <c r="V1087" s="168">
        <f t="shared" si="344"/>
        <v>0</v>
      </c>
      <c r="W1087" s="168">
        <f>IF(ISERROR(Personalplanung!P47/Monatsplanung!$E47*Monatsplanung!$Q47),0,Personalplanung!P47/Monatsplanung!$E47*Monatsplanung!$Q47)</f>
        <v>0</v>
      </c>
      <c r="X1087" s="168">
        <f>IF(ISERROR(Personalplanung!Q47/Monatsplanung!$E47*Monatsplanung!$Q47),0,Personalplanung!Q47/Monatsplanung!$E47*Monatsplanung!$Q47)</f>
        <v>0</v>
      </c>
      <c r="Y1087" s="168">
        <f>IF(ISERROR(Personalplanung!R47/T1295*Stundencontrolling!T1087),0,Personalplanung!R47/T1295*Stundencontrolling!T1087)</f>
        <v>0</v>
      </c>
      <c r="Z1087" s="168">
        <f>IF(ISERROR(Personalplanung!S47/Monatsplanung!$E47*Monatsplanung!$Q47),0,Personalplanung!S47/Monatsplanung!$E47*Monatsplanung!$Q47)</f>
        <v>0</v>
      </c>
      <c r="AA1087" s="80">
        <f t="shared" si="345"/>
        <v>0</v>
      </c>
      <c r="AB1087" s="102">
        <f t="shared" si="346"/>
        <v>0.1</v>
      </c>
      <c r="AC1087" s="103">
        <f t="shared" si="347"/>
        <v>0</v>
      </c>
      <c r="AD1087" s="103">
        <f t="shared" si="348"/>
        <v>0</v>
      </c>
      <c r="AE1087" s="81">
        <f t="shared" si="349"/>
        <v>0</v>
      </c>
      <c r="AF1087" s="539"/>
      <c r="AG1087" s="104">
        <f t="shared" si="350"/>
        <v>1</v>
      </c>
      <c r="AH1087" s="7">
        <f t="shared" si="351"/>
        <v>0</v>
      </c>
      <c r="AI1087" s="6">
        <f t="shared" si="352"/>
        <v>0</v>
      </c>
      <c r="AJ1087" s="73">
        <f t="shared" si="353"/>
        <v>0</v>
      </c>
      <c r="AK1087" s="539"/>
      <c r="AL1087" s="748"/>
      <c r="AM1087" s="748"/>
    </row>
    <row r="1088" spans="2:39" x14ac:dyDescent="0.2">
      <c r="B1088" s="101" t="str">
        <f t="shared" si="338"/>
        <v/>
      </c>
      <c r="C1088" s="168">
        <f>IF(ISERROR(Personalplanung!F48/Monatsplanung!$E48*Monatsplanung!$Q48),0,Personalplanung!F48/Monatsplanung!$E48*Monatsplanung!$Q48)</f>
        <v>0</v>
      </c>
      <c r="D1088" s="168">
        <f t="shared" si="339"/>
        <v>0</v>
      </c>
      <c r="E1088" s="168">
        <f>IF(ISERROR(Personalplanung!H48/Monatsplanung!$E48*Monatsplanung!$Q48),0,Personalplanung!H48/Monatsplanung!$E48*Monatsplanung!$Q48)</f>
        <v>0</v>
      </c>
      <c r="F1088" s="168">
        <f t="shared" si="340"/>
        <v>0</v>
      </c>
      <c r="G1088" s="168">
        <f t="shared" si="341"/>
        <v>27.700831024930746</v>
      </c>
      <c r="H1088" s="168">
        <f t="shared" si="342"/>
        <v>0</v>
      </c>
      <c r="I1088" s="168">
        <f t="shared" si="343"/>
        <v>30</v>
      </c>
      <c r="J1088" s="739"/>
      <c r="K1088" s="168">
        <f>IF(J1088&lt;&gt;"",J1088,IF(ISERROR(Personalplanung!AB48/Monatsplanung!$E48*Monatsplanung!$Q48),0,Personalplanung!AB48/Monatsplanung!$E48*Monatsplanung!$Q48))</f>
        <v>0</v>
      </c>
      <c r="L1088" s="740"/>
      <c r="M1088" s="739"/>
      <c r="N1088" s="168">
        <f>IF(M1088&lt;&gt;"",M1088,IF(ISERROR(Personalplanung!AC48/Monatsplanung!$E48*Monatsplanung!$Q48),0,Personalplanung!AC48/Monatsplanung!$E48*Monatsplanung!$Q48))</f>
        <v>0</v>
      </c>
      <c r="O1088" s="740"/>
      <c r="P1088" s="739"/>
      <c r="Q1088" s="168">
        <f>IF(P1088&lt;&gt;"",P1088,IF(ISERROR(Personalplanung!AD48/Monatsplanung!$E48*Monatsplanung!$Q48),0,Personalplanung!AD48/Monatsplanung!$E48*Monatsplanung!$Q48))</f>
        <v>0</v>
      </c>
      <c r="R1088" s="740"/>
      <c r="S1088" s="739"/>
      <c r="T1088" s="168">
        <f>IF(S1088&lt;&gt;"",S1088,IF(ISERROR(Personalplanung!AE48/Monatsplanung!$E48*Monatsplanung!$Q48),0,Personalplanung!AE48/Monatsplanung!$E48*Monatsplanung!$Q48))</f>
        <v>0</v>
      </c>
      <c r="U1088" s="740"/>
      <c r="V1088" s="168">
        <f t="shared" si="344"/>
        <v>0</v>
      </c>
      <c r="W1088" s="168">
        <f>IF(ISERROR(Personalplanung!P48/Monatsplanung!$E48*Monatsplanung!$Q48),0,Personalplanung!P48/Monatsplanung!$E48*Monatsplanung!$Q48)</f>
        <v>0</v>
      </c>
      <c r="X1088" s="168">
        <f>IF(ISERROR(Personalplanung!Q48/Monatsplanung!$E48*Monatsplanung!$Q48),0,Personalplanung!Q48/Monatsplanung!$E48*Monatsplanung!$Q48)</f>
        <v>0</v>
      </c>
      <c r="Y1088" s="168">
        <f>IF(ISERROR(Personalplanung!R48/T1296*Stundencontrolling!T1088),0,Personalplanung!R48/T1296*Stundencontrolling!T1088)</f>
        <v>0</v>
      </c>
      <c r="Z1088" s="168">
        <f>IF(ISERROR(Personalplanung!S48/Monatsplanung!$E48*Monatsplanung!$Q48),0,Personalplanung!S48/Monatsplanung!$E48*Monatsplanung!$Q48)</f>
        <v>0</v>
      </c>
      <c r="AA1088" s="80">
        <f t="shared" si="345"/>
        <v>0</v>
      </c>
      <c r="AB1088" s="102">
        <f t="shared" si="346"/>
        <v>0.1</v>
      </c>
      <c r="AC1088" s="103">
        <f t="shared" si="347"/>
        <v>0</v>
      </c>
      <c r="AD1088" s="103">
        <f t="shared" si="348"/>
        <v>0</v>
      </c>
      <c r="AE1088" s="81">
        <f t="shared" si="349"/>
        <v>0</v>
      </c>
      <c r="AF1088" s="539"/>
      <c r="AG1088" s="104">
        <f t="shared" si="350"/>
        <v>1</v>
      </c>
      <c r="AH1088" s="7">
        <f t="shared" si="351"/>
        <v>0</v>
      </c>
      <c r="AI1088" s="6">
        <f t="shared" si="352"/>
        <v>0</v>
      </c>
      <c r="AJ1088" s="73">
        <f t="shared" si="353"/>
        <v>0</v>
      </c>
      <c r="AK1088" s="539"/>
      <c r="AL1088" s="748"/>
      <c r="AM1088" s="748"/>
    </row>
    <row r="1089" spans="2:39" x14ac:dyDescent="0.2">
      <c r="B1089" s="101" t="str">
        <f t="shared" si="338"/>
        <v/>
      </c>
      <c r="C1089" s="168">
        <f>IF(ISERROR(Personalplanung!F49/Monatsplanung!$E49*Monatsplanung!$Q49),0,Personalplanung!F49/Monatsplanung!$E49*Monatsplanung!$Q49)</f>
        <v>0</v>
      </c>
      <c r="D1089" s="168">
        <f t="shared" si="339"/>
        <v>0</v>
      </c>
      <c r="E1089" s="168">
        <f>IF(ISERROR(Personalplanung!H49/Monatsplanung!$E49*Monatsplanung!$Q49),0,Personalplanung!H49/Monatsplanung!$E49*Monatsplanung!$Q49)</f>
        <v>0</v>
      </c>
      <c r="F1089" s="168">
        <f t="shared" si="340"/>
        <v>0</v>
      </c>
      <c r="G1089" s="168">
        <f t="shared" si="341"/>
        <v>27.700831024930746</v>
      </c>
      <c r="H1089" s="168">
        <f t="shared" si="342"/>
        <v>0</v>
      </c>
      <c r="I1089" s="168">
        <f t="shared" si="343"/>
        <v>30</v>
      </c>
      <c r="J1089" s="739"/>
      <c r="K1089" s="168">
        <f>IF(J1089&lt;&gt;"",J1089,IF(ISERROR(Personalplanung!AB49/Monatsplanung!$E49*Monatsplanung!$Q49),0,Personalplanung!AB49/Monatsplanung!$E49*Monatsplanung!$Q49))</f>
        <v>0</v>
      </c>
      <c r="L1089" s="740"/>
      <c r="M1089" s="739"/>
      <c r="N1089" s="168">
        <f>IF(M1089&lt;&gt;"",M1089,IF(ISERROR(Personalplanung!AC49/Monatsplanung!$E49*Monatsplanung!$Q49),0,Personalplanung!AC49/Monatsplanung!$E49*Monatsplanung!$Q49))</f>
        <v>0</v>
      </c>
      <c r="O1089" s="740"/>
      <c r="P1089" s="739"/>
      <c r="Q1089" s="168">
        <f>IF(P1089&lt;&gt;"",P1089,IF(ISERROR(Personalplanung!AD49/Monatsplanung!$E49*Monatsplanung!$Q49),0,Personalplanung!AD49/Monatsplanung!$E49*Monatsplanung!$Q49))</f>
        <v>0</v>
      </c>
      <c r="R1089" s="740"/>
      <c r="S1089" s="739"/>
      <c r="T1089" s="168">
        <f>IF(S1089&lt;&gt;"",S1089,IF(ISERROR(Personalplanung!AE49/Monatsplanung!$E49*Monatsplanung!$Q49),0,Personalplanung!AE49/Monatsplanung!$E49*Monatsplanung!$Q49))</f>
        <v>0</v>
      </c>
      <c r="U1089" s="740"/>
      <c r="V1089" s="168">
        <f t="shared" si="344"/>
        <v>0</v>
      </c>
      <c r="W1089" s="168">
        <f>IF(ISERROR(Personalplanung!P49/Monatsplanung!$E49*Monatsplanung!$Q49),0,Personalplanung!P49/Monatsplanung!$E49*Monatsplanung!$Q49)</f>
        <v>0</v>
      </c>
      <c r="X1089" s="168">
        <f>IF(ISERROR(Personalplanung!Q49/Monatsplanung!$E49*Monatsplanung!$Q49),0,Personalplanung!Q49/Monatsplanung!$E49*Monatsplanung!$Q49)</f>
        <v>0</v>
      </c>
      <c r="Y1089" s="168">
        <f>IF(ISERROR(Personalplanung!R49/T1297*Stundencontrolling!T1089),0,Personalplanung!R49/T1297*Stundencontrolling!T1089)</f>
        <v>0</v>
      </c>
      <c r="Z1089" s="168">
        <f>IF(ISERROR(Personalplanung!S49/Monatsplanung!$E49*Monatsplanung!$Q49),0,Personalplanung!S49/Monatsplanung!$E49*Monatsplanung!$Q49)</f>
        <v>0</v>
      </c>
      <c r="AA1089" s="80">
        <f t="shared" si="345"/>
        <v>0</v>
      </c>
      <c r="AB1089" s="102">
        <f t="shared" si="346"/>
        <v>0.1</v>
      </c>
      <c r="AC1089" s="103">
        <f t="shared" si="347"/>
        <v>0</v>
      </c>
      <c r="AD1089" s="103">
        <f t="shared" si="348"/>
        <v>0</v>
      </c>
      <c r="AE1089" s="81">
        <f t="shared" si="349"/>
        <v>0</v>
      </c>
      <c r="AF1089" s="539"/>
      <c r="AG1089" s="104">
        <f t="shared" si="350"/>
        <v>1</v>
      </c>
      <c r="AH1089" s="7">
        <f t="shared" si="351"/>
        <v>0</v>
      </c>
      <c r="AI1089" s="6">
        <f t="shared" si="352"/>
        <v>0</v>
      </c>
      <c r="AJ1089" s="73">
        <f t="shared" si="353"/>
        <v>0</v>
      </c>
      <c r="AK1089" s="539"/>
      <c r="AL1089" s="748"/>
      <c r="AM1089" s="748"/>
    </row>
    <row r="1090" spans="2:39" x14ac:dyDescent="0.2">
      <c r="B1090" s="101" t="str">
        <f t="shared" si="338"/>
        <v/>
      </c>
      <c r="C1090" s="168">
        <f>IF(ISERROR(Personalplanung!F50/Monatsplanung!$E50*Monatsplanung!$Q50),0,Personalplanung!F50/Monatsplanung!$E50*Monatsplanung!$Q50)</f>
        <v>0</v>
      </c>
      <c r="D1090" s="168">
        <f t="shared" si="339"/>
        <v>0</v>
      </c>
      <c r="E1090" s="168">
        <f>IF(ISERROR(Personalplanung!H50/Monatsplanung!$E50*Monatsplanung!$Q50),0,Personalplanung!H50/Monatsplanung!$E50*Monatsplanung!$Q50)</f>
        <v>0</v>
      </c>
      <c r="F1090" s="168">
        <f t="shared" si="340"/>
        <v>0</v>
      </c>
      <c r="G1090" s="168">
        <f t="shared" si="341"/>
        <v>27.700831024930746</v>
      </c>
      <c r="H1090" s="168">
        <f t="shared" si="342"/>
        <v>0</v>
      </c>
      <c r="I1090" s="168">
        <f t="shared" si="343"/>
        <v>30</v>
      </c>
      <c r="J1090" s="739"/>
      <c r="K1090" s="168">
        <f>IF(J1090&lt;&gt;"",J1090,IF(ISERROR(Personalplanung!AB50/Monatsplanung!$E50*Monatsplanung!$Q50),0,Personalplanung!AB50/Monatsplanung!$E50*Monatsplanung!$Q50))</f>
        <v>0</v>
      </c>
      <c r="L1090" s="740"/>
      <c r="M1090" s="739"/>
      <c r="N1090" s="168">
        <f>IF(M1090&lt;&gt;"",M1090,IF(ISERROR(Personalplanung!AC50/Monatsplanung!$E50*Monatsplanung!$Q50),0,Personalplanung!AC50/Monatsplanung!$E50*Monatsplanung!$Q50))</f>
        <v>0</v>
      </c>
      <c r="O1090" s="740"/>
      <c r="P1090" s="739"/>
      <c r="Q1090" s="168">
        <f>IF(P1090&lt;&gt;"",P1090,IF(ISERROR(Personalplanung!AD50/Monatsplanung!$E50*Monatsplanung!$Q50),0,Personalplanung!AD50/Monatsplanung!$E50*Monatsplanung!$Q50))</f>
        <v>0</v>
      </c>
      <c r="R1090" s="740"/>
      <c r="S1090" s="739"/>
      <c r="T1090" s="168">
        <f>IF(S1090&lt;&gt;"",S1090,IF(ISERROR(Personalplanung!AE50/Monatsplanung!$E50*Monatsplanung!$Q50),0,Personalplanung!AE50/Monatsplanung!$E50*Monatsplanung!$Q50))</f>
        <v>0</v>
      </c>
      <c r="U1090" s="740"/>
      <c r="V1090" s="168">
        <f t="shared" si="344"/>
        <v>0</v>
      </c>
      <c r="W1090" s="168">
        <f>IF(ISERROR(Personalplanung!P50/Monatsplanung!$E50*Monatsplanung!$Q50),0,Personalplanung!P50/Monatsplanung!$E50*Monatsplanung!$Q50)</f>
        <v>0</v>
      </c>
      <c r="X1090" s="168">
        <f>IF(ISERROR(Personalplanung!Q50/Monatsplanung!$E50*Monatsplanung!$Q50),0,Personalplanung!Q50/Monatsplanung!$E50*Monatsplanung!$Q50)</f>
        <v>0</v>
      </c>
      <c r="Y1090" s="168">
        <f>IF(ISERROR(Personalplanung!R50/T1298*Stundencontrolling!T1090),0,Personalplanung!R50/T1298*Stundencontrolling!T1090)</f>
        <v>0</v>
      </c>
      <c r="Z1090" s="168">
        <f>IF(ISERROR(Personalplanung!S50/Monatsplanung!$E50*Monatsplanung!$Q50),0,Personalplanung!S50/Monatsplanung!$E50*Monatsplanung!$Q50)</f>
        <v>0</v>
      </c>
      <c r="AA1090" s="80">
        <f t="shared" si="345"/>
        <v>0</v>
      </c>
      <c r="AB1090" s="102">
        <f t="shared" si="346"/>
        <v>0.1</v>
      </c>
      <c r="AC1090" s="103">
        <f t="shared" si="347"/>
        <v>0</v>
      </c>
      <c r="AD1090" s="103">
        <f t="shared" si="348"/>
        <v>0</v>
      </c>
      <c r="AE1090" s="81">
        <f t="shared" si="349"/>
        <v>0</v>
      </c>
      <c r="AF1090" s="539"/>
      <c r="AG1090" s="104">
        <f t="shared" si="350"/>
        <v>1</v>
      </c>
      <c r="AH1090" s="7">
        <f t="shared" si="351"/>
        <v>0</v>
      </c>
      <c r="AI1090" s="6">
        <f t="shared" si="352"/>
        <v>0</v>
      </c>
      <c r="AJ1090" s="73">
        <f t="shared" si="353"/>
        <v>0</v>
      </c>
      <c r="AK1090" s="539"/>
      <c r="AL1090" s="748"/>
      <c r="AM1090" s="748"/>
    </row>
    <row r="1091" spans="2:39" x14ac:dyDescent="0.2">
      <c r="B1091" s="101" t="str">
        <f t="shared" si="338"/>
        <v/>
      </c>
      <c r="C1091" s="168">
        <f>IF(ISERROR(Personalplanung!F51/Monatsplanung!$E51*Monatsplanung!$Q51),0,Personalplanung!F51/Monatsplanung!$E51*Monatsplanung!$Q51)</f>
        <v>0</v>
      </c>
      <c r="D1091" s="168">
        <f t="shared" si="339"/>
        <v>0</v>
      </c>
      <c r="E1091" s="168">
        <f>IF(ISERROR(Personalplanung!H51/Monatsplanung!$E51*Monatsplanung!$Q51),0,Personalplanung!H51/Monatsplanung!$E51*Monatsplanung!$Q51)</f>
        <v>0</v>
      </c>
      <c r="F1091" s="168">
        <f t="shared" si="340"/>
        <v>0</v>
      </c>
      <c r="G1091" s="168">
        <f t="shared" si="341"/>
        <v>27.700831024930746</v>
      </c>
      <c r="H1091" s="168">
        <f t="shared" si="342"/>
        <v>0</v>
      </c>
      <c r="I1091" s="168">
        <f t="shared" si="343"/>
        <v>30</v>
      </c>
      <c r="J1091" s="739"/>
      <c r="K1091" s="168">
        <f>IF(J1091&lt;&gt;"",J1091,IF(ISERROR(Personalplanung!AB51/Monatsplanung!$E51*Monatsplanung!$Q51),0,Personalplanung!AB51/Monatsplanung!$E51*Monatsplanung!$Q51))</f>
        <v>0</v>
      </c>
      <c r="L1091" s="740"/>
      <c r="M1091" s="739"/>
      <c r="N1091" s="168">
        <f>IF(M1091&lt;&gt;"",M1091,IF(ISERROR(Personalplanung!AC51/Monatsplanung!$E51*Monatsplanung!$Q51),0,Personalplanung!AC51/Monatsplanung!$E51*Monatsplanung!$Q51))</f>
        <v>0</v>
      </c>
      <c r="O1091" s="740"/>
      <c r="P1091" s="739"/>
      <c r="Q1091" s="168">
        <f>IF(P1091&lt;&gt;"",P1091,IF(ISERROR(Personalplanung!AD51/Monatsplanung!$E51*Monatsplanung!$Q51),0,Personalplanung!AD51/Monatsplanung!$E51*Monatsplanung!$Q51))</f>
        <v>0</v>
      </c>
      <c r="R1091" s="740"/>
      <c r="S1091" s="739"/>
      <c r="T1091" s="168">
        <f>IF(S1091&lt;&gt;"",S1091,IF(ISERROR(Personalplanung!AE51/Monatsplanung!$E51*Monatsplanung!$Q51),0,Personalplanung!AE51/Monatsplanung!$E51*Monatsplanung!$Q51))</f>
        <v>0</v>
      </c>
      <c r="U1091" s="740"/>
      <c r="V1091" s="168">
        <f t="shared" si="344"/>
        <v>0</v>
      </c>
      <c r="W1091" s="168">
        <f>IF(ISERROR(Personalplanung!P51/Monatsplanung!$E51*Monatsplanung!$Q51),0,Personalplanung!P51/Monatsplanung!$E51*Monatsplanung!$Q51)</f>
        <v>0</v>
      </c>
      <c r="X1091" s="168">
        <f>IF(ISERROR(Personalplanung!Q51/Monatsplanung!$E51*Monatsplanung!$Q51),0,Personalplanung!Q51/Monatsplanung!$E51*Monatsplanung!$Q51)</f>
        <v>0</v>
      </c>
      <c r="Y1091" s="168">
        <f>IF(ISERROR(Personalplanung!R51/T1299*Stundencontrolling!T1091),0,Personalplanung!R51/T1299*Stundencontrolling!T1091)</f>
        <v>0</v>
      </c>
      <c r="Z1091" s="168">
        <f>IF(ISERROR(Personalplanung!S51/Monatsplanung!$E51*Monatsplanung!$Q51),0,Personalplanung!S51/Monatsplanung!$E51*Monatsplanung!$Q51)</f>
        <v>0</v>
      </c>
      <c r="AA1091" s="80">
        <f t="shared" si="345"/>
        <v>0</v>
      </c>
      <c r="AB1091" s="102">
        <f t="shared" si="346"/>
        <v>0.1</v>
      </c>
      <c r="AC1091" s="103">
        <f t="shared" si="347"/>
        <v>0</v>
      </c>
      <c r="AD1091" s="103">
        <f t="shared" si="348"/>
        <v>0</v>
      </c>
      <c r="AE1091" s="81">
        <f t="shared" si="349"/>
        <v>0</v>
      </c>
      <c r="AF1091" s="539"/>
      <c r="AG1091" s="104">
        <f t="shared" si="350"/>
        <v>1</v>
      </c>
      <c r="AH1091" s="7">
        <f t="shared" si="351"/>
        <v>0</v>
      </c>
      <c r="AI1091" s="6">
        <f t="shared" si="352"/>
        <v>0</v>
      </c>
      <c r="AJ1091" s="73">
        <f t="shared" si="353"/>
        <v>0</v>
      </c>
      <c r="AK1091" s="539"/>
      <c r="AL1091" s="748"/>
      <c r="AM1091" s="748"/>
    </row>
    <row r="1092" spans="2:39" x14ac:dyDescent="0.2">
      <c r="B1092" s="101" t="str">
        <f t="shared" si="338"/>
        <v/>
      </c>
      <c r="C1092" s="168">
        <f>IF(ISERROR(Personalplanung!F52/Monatsplanung!$E52*Monatsplanung!$Q52),0,Personalplanung!F52/Monatsplanung!$E52*Monatsplanung!$Q52)</f>
        <v>0</v>
      </c>
      <c r="D1092" s="168">
        <f t="shared" si="339"/>
        <v>0</v>
      </c>
      <c r="E1092" s="168">
        <f>IF(ISERROR(Personalplanung!H52/Monatsplanung!$E52*Monatsplanung!$Q52),0,Personalplanung!H52/Monatsplanung!$E52*Monatsplanung!$Q52)</f>
        <v>0</v>
      </c>
      <c r="F1092" s="168">
        <f t="shared" si="340"/>
        <v>0</v>
      </c>
      <c r="G1092" s="168">
        <f t="shared" si="341"/>
        <v>27.700831024930746</v>
      </c>
      <c r="H1092" s="168">
        <f t="shared" si="342"/>
        <v>0</v>
      </c>
      <c r="I1092" s="168">
        <f t="shared" si="343"/>
        <v>30</v>
      </c>
      <c r="J1092" s="739"/>
      <c r="K1092" s="168">
        <f>IF(J1092&lt;&gt;"",J1092,IF(ISERROR(Personalplanung!AB52/Monatsplanung!$E52*Monatsplanung!$Q52),0,Personalplanung!AB52/Monatsplanung!$E52*Monatsplanung!$Q52))</f>
        <v>0</v>
      </c>
      <c r="L1092" s="740"/>
      <c r="M1092" s="739"/>
      <c r="N1092" s="168">
        <f>IF(M1092&lt;&gt;"",M1092,IF(ISERROR(Personalplanung!AC52/Monatsplanung!$E52*Monatsplanung!$Q52),0,Personalplanung!AC52/Monatsplanung!$E52*Monatsplanung!$Q52))</f>
        <v>0</v>
      </c>
      <c r="O1092" s="740"/>
      <c r="P1092" s="739"/>
      <c r="Q1092" s="168">
        <f>IF(P1092&lt;&gt;"",P1092,IF(ISERROR(Personalplanung!AD52/Monatsplanung!$E52*Monatsplanung!$Q52),0,Personalplanung!AD52/Monatsplanung!$E52*Monatsplanung!$Q52))</f>
        <v>0</v>
      </c>
      <c r="R1092" s="740"/>
      <c r="S1092" s="739"/>
      <c r="T1092" s="168">
        <f>IF(S1092&lt;&gt;"",S1092,IF(ISERROR(Personalplanung!AE52/Monatsplanung!$E52*Monatsplanung!$Q52),0,Personalplanung!AE52/Monatsplanung!$E52*Monatsplanung!$Q52))</f>
        <v>0</v>
      </c>
      <c r="U1092" s="740"/>
      <c r="V1092" s="168">
        <f t="shared" si="344"/>
        <v>0</v>
      </c>
      <c r="W1092" s="168">
        <f>IF(ISERROR(Personalplanung!P52/Monatsplanung!$E52*Monatsplanung!$Q52),0,Personalplanung!P52/Monatsplanung!$E52*Monatsplanung!$Q52)</f>
        <v>0</v>
      </c>
      <c r="X1092" s="168">
        <f>IF(ISERROR(Personalplanung!Q52/Monatsplanung!$E52*Monatsplanung!$Q52),0,Personalplanung!Q52/Monatsplanung!$E52*Monatsplanung!$Q52)</f>
        <v>0</v>
      </c>
      <c r="Y1092" s="168">
        <f>IF(ISERROR(Personalplanung!R52/T1300*Stundencontrolling!T1092),0,Personalplanung!R52/T1300*Stundencontrolling!T1092)</f>
        <v>0</v>
      </c>
      <c r="Z1092" s="168">
        <f>IF(ISERROR(Personalplanung!S52/Monatsplanung!$E52*Monatsplanung!$Q52),0,Personalplanung!S52/Monatsplanung!$E52*Monatsplanung!$Q52)</f>
        <v>0</v>
      </c>
      <c r="AA1092" s="80">
        <f t="shared" si="345"/>
        <v>0</v>
      </c>
      <c r="AB1092" s="102">
        <f t="shared" si="346"/>
        <v>0.1</v>
      </c>
      <c r="AC1092" s="103">
        <f t="shared" si="347"/>
        <v>0</v>
      </c>
      <c r="AD1092" s="103">
        <f t="shared" si="348"/>
        <v>0</v>
      </c>
      <c r="AE1092" s="81">
        <f t="shared" si="349"/>
        <v>0</v>
      </c>
      <c r="AF1092" s="539"/>
      <c r="AG1092" s="104">
        <f t="shared" si="350"/>
        <v>1</v>
      </c>
      <c r="AH1092" s="7">
        <f t="shared" si="351"/>
        <v>0</v>
      </c>
      <c r="AI1092" s="6">
        <f t="shared" si="352"/>
        <v>0</v>
      </c>
      <c r="AJ1092" s="73">
        <f t="shared" si="353"/>
        <v>0</v>
      </c>
      <c r="AK1092" s="539"/>
      <c r="AL1092" s="748"/>
      <c r="AM1092" s="748"/>
    </row>
    <row r="1093" spans="2:39" x14ac:dyDescent="0.2">
      <c r="B1093" s="101" t="str">
        <f t="shared" si="338"/>
        <v/>
      </c>
      <c r="C1093" s="168">
        <f>IF(ISERROR(Personalplanung!F53/Monatsplanung!$E53*Monatsplanung!$Q53),0,Personalplanung!F53/Monatsplanung!$E53*Monatsplanung!$Q53)</f>
        <v>0</v>
      </c>
      <c r="D1093" s="168">
        <f t="shared" si="339"/>
        <v>0</v>
      </c>
      <c r="E1093" s="168">
        <f>IF(ISERROR(Personalplanung!H53/Monatsplanung!$E53*Monatsplanung!$Q53),0,Personalplanung!H53/Monatsplanung!$E53*Monatsplanung!$Q53)</f>
        <v>0</v>
      </c>
      <c r="F1093" s="168">
        <f t="shared" si="340"/>
        <v>0</v>
      </c>
      <c r="G1093" s="168">
        <f t="shared" si="341"/>
        <v>27.700831024930746</v>
      </c>
      <c r="H1093" s="168">
        <f t="shared" si="342"/>
        <v>0</v>
      </c>
      <c r="I1093" s="168">
        <f t="shared" si="343"/>
        <v>30</v>
      </c>
      <c r="J1093" s="739"/>
      <c r="K1093" s="168">
        <f>IF(J1093&lt;&gt;"",J1093,IF(ISERROR(Personalplanung!AB53/Monatsplanung!$E53*Monatsplanung!$Q53),0,Personalplanung!AB53/Monatsplanung!$E53*Monatsplanung!$Q53))</f>
        <v>0</v>
      </c>
      <c r="L1093" s="740"/>
      <c r="M1093" s="739"/>
      <c r="N1093" s="168">
        <f>IF(M1093&lt;&gt;"",M1093,IF(ISERROR(Personalplanung!AC53/Monatsplanung!$E53*Monatsplanung!$Q53),0,Personalplanung!AC53/Monatsplanung!$E53*Monatsplanung!$Q53))</f>
        <v>0</v>
      </c>
      <c r="O1093" s="740"/>
      <c r="P1093" s="739"/>
      <c r="Q1093" s="168">
        <f>IF(P1093&lt;&gt;"",P1093,IF(ISERROR(Personalplanung!AD53/Monatsplanung!$E53*Monatsplanung!$Q53),0,Personalplanung!AD53/Monatsplanung!$E53*Monatsplanung!$Q53))</f>
        <v>0</v>
      </c>
      <c r="R1093" s="740"/>
      <c r="S1093" s="739"/>
      <c r="T1093" s="168">
        <f>IF(S1093&lt;&gt;"",S1093,IF(ISERROR(Personalplanung!AE53/Monatsplanung!$E53*Monatsplanung!$Q53),0,Personalplanung!AE53/Monatsplanung!$E53*Monatsplanung!$Q53))</f>
        <v>0</v>
      </c>
      <c r="U1093" s="740"/>
      <c r="V1093" s="168">
        <f t="shared" si="344"/>
        <v>0</v>
      </c>
      <c r="W1093" s="168">
        <f>IF(ISERROR(Personalplanung!P53/Monatsplanung!$E53*Monatsplanung!$Q53),0,Personalplanung!P53/Monatsplanung!$E53*Monatsplanung!$Q53)</f>
        <v>0</v>
      </c>
      <c r="X1093" s="168">
        <f>IF(ISERROR(Personalplanung!Q53/Monatsplanung!$E53*Monatsplanung!$Q53),0,Personalplanung!Q53/Monatsplanung!$E53*Monatsplanung!$Q53)</f>
        <v>0</v>
      </c>
      <c r="Y1093" s="168">
        <f>IF(ISERROR(Personalplanung!R53/T1301*Stundencontrolling!T1093),0,Personalplanung!R53/T1301*Stundencontrolling!T1093)</f>
        <v>0</v>
      </c>
      <c r="Z1093" s="168">
        <f>IF(ISERROR(Personalplanung!S53/Monatsplanung!$E53*Monatsplanung!$Q53),0,Personalplanung!S53/Monatsplanung!$E53*Monatsplanung!$Q53)</f>
        <v>0</v>
      </c>
      <c r="AA1093" s="80">
        <f t="shared" si="345"/>
        <v>0</v>
      </c>
      <c r="AB1093" s="102">
        <f t="shared" si="346"/>
        <v>0.1</v>
      </c>
      <c r="AC1093" s="103">
        <f t="shared" si="347"/>
        <v>0</v>
      </c>
      <c r="AD1093" s="103">
        <f t="shared" si="348"/>
        <v>0</v>
      </c>
      <c r="AE1093" s="81">
        <f t="shared" si="349"/>
        <v>0</v>
      </c>
      <c r="AF1093" s="539"/>
      <c r="AG1093" s="104">
        <f t="shared" si="350"/>
        <v>1</v>
      </c>
      <c r="AH1093" s="7">
        <f t="shared" si="351"/>
        <v>0</v>
      </c>
      <c r="AI1093" s="6">
        <f t="shared" si="352"/>
        <v>0</v>
      </c>
      <c r="AJ1093" s="73">
        <f t="shared" si="353"/>
        <v>0</v>
      </c>
      <c r="AK1093" s="539"/>
      <c r="AL1093" s="748"/>
      <c r="AM1093" s="748"/>
    </row>
    <row r="1094" spans="2:39" x14ac:dyDescent="0.2">
      <c r="B1094" s="101" t="str">
        <f t="shared" si="338"/>
        <v/>
      </c>
      <c r="C1094" s="168">
        <f>IF(ISERROR(Personalplanung!F54/Monatsplanung!$E54*Monatsplanung!$Q54),0,Personalplanung!F54/Monatsplanung!$E54*Monatsplanung!$Q54)</f>
        <v>0</v>
      </c>
      <c r="D1094" s="168">
        <f t="shared" si="339"/>
        <v>0</v>
      </c>
      <c r="E1094" s="168">
        <f>IF(ISERROR(Personalplanung!H54/Monatsplanung!$E54*Monatsplanung!$Q54),0,Personalplanung!H54/Monatsplanung!$E54*Monatsplanung!$Q54)</f>
        <v>0</v>
      </c>
      <c r="F1094" s="168">
        <f t="shared" si="340"/>
        <v>0</v>
      </c>
      <c r="G1094" s="168">
        <f t="shared" si="341"/>
        <v>27.700831024930746</v>
      </c>
      <c r="H1094" s="168">
        <f t="shared" si="342"/>
        <v>0</v>
      </c>
      <c r="I1094" s="168">
        <f t="shared" si="343"/>
        <v>30</v>
      </c>
      <c r="J1094" s="739"/>
      <c r="K1094" s="168">
        <f>IF(J1094&lt;&gt;"",J1094,IF(ISERROR(Personalplanung!AB54/Monatsplanung!$E54*Monatsplanung!$Q54),0,Personalplanung!AB54/Monatsplanung!$E54*Monatsplanung!$Q54))</f>
        <v>0</v>
      </c>
      <c r="L1094" s="740"/>
      <c r="M1094" s="739"/>
      <c r="N1094" s="168">
        <f>IF(M1094&lt;&gt;"",M1094,IF(ISERROR(Personalplanung!AC54/Monatsplanung!$E54*Monatsplanung!$Q54),0,Personalplanung!AC54/Monatsplanung!$E54*Monatsplanung!$Q54))</f>
        <v>0</v>
      </c>
      <c r="O1094" s="740"/>
      <c r="P1094" s="739"/>
      <c r="Q1094" s="168">
        <f>IF(P1094&lt;&gt;"",P1094,IF(ISERROR(Personalplanung!AD54/Monatsplanung!$E54*Monatsplanung!$Q54),0,Personalplanung!AD54/Monatsplanung!$E54*Monatsplanung!$Q54))</f>
        <v>0</v>
      </c>
      <c r="R1094" s="740"/>
      <c r="S1094" s="739"/>
      <c r="T1094" s="168">
        <f>IF(S1094&lt;&gt;"",S1094,IF(ISERROR(Personalplanung!AE54/Monatsplanung!$E54*Monatsplanung!$Q54),0,Personalplanung!AE54/Monatsplanung!$E54*Monatsplanung!$Q54))</f>
        <v>0</v>
      </c>
      <c r="U1094" s="740"/>
      <c r="V1094" s="168">
        <f t="shared" si="344"/>
        <v>0</v>
      </c>
      <c r="W1094" s="168">
        <f>IF(ISERROR(Personalplanung!P54/Monatsplanung!$E54*Monatsplanung!$Q54),0,Personalplanung!P54/Monatsplanung!$E54*Monatsplanung!$Q54)</f>
        <v>0</v>
      </c>
      <c r="X1094" s="168">
        <f>IF(ISERROR(Personalplanung!Q54/Monatsplanung!$E54*Monatsplanung!$Q54),0,Personalplanung!Q54/Monatsplanung!$E54*Monatsplanung!$Q54)</f>
        <v>0</v>
      </c>
      <c r="Y1094" s="168">
        <f>IF(ISERROR(Personalplanung!R54/T1302*Stundencontrolling!T1094),0,Personalplanung!R54/T1302*Stundencontrolling!T1094)</f>
        <v>0</v>
      </c>
      <c r="Z1094" s="168">
        <f>IF(ISERROR(Personalplanung!S54/Monatsplanung!$E54*Monatsplanung!$Q54),0,Personalplanung!S54/Monatsplanung!$E54*Monatsplanung!$Q54)</f>
        <v>0</v>
      </c>
      <c r="AA1094" s="80">
        <f t="shared" si="345"/>
        <v>0</v>
      </c>
      <c r="AB1094" s="102">
        <f t="shared" si="346"/>
        <v>0.1</v>
      </c>
      <c r="AC1094" s="103">
        <f t="shared" si="347"/>
        <v>0</v>
      </c>
      <c r="AD1094" s="103">
        <f t="shared" si="348"/>
        <v>0</v>
      </c>
      <c r="AE1094" s="81">
        <f t="shared" si="349"/>
        <v>0</v>
      </c>
      <c r="AF1094" s="539"/>
      <c r="AG1094" s="104">
        <f t="shared" si="350"/>
        <v>1</v>
      </c>
      <c r="AH1094" s="7">
        <f t="shared" si="351"/>
        <v>0</v>
      </c>
      <c r="AI1094" s="6">
        <f t="shared" si="352"/>
        <v>0</v>
      </c>
      <c r="AJ1094" s="73">
        <f t="shared" si="353"/>
        <v>0</v>
      </c>
      <c r="AK1094" s="539"/>
      <c r="AL1094" s="748"/>
      <c r="AM1094" s="748"/>
    </row>
    <row r="1095" spans="2:39" x14ac:dyDescent="0.2">
      <c r="B1095" s="101" t="str">
        <f t="shared" si="338"/>
        <v/>
      </c>
      <c r="C1095" s="168">
        <f>IF(ISERROR(Personalplanung!F55/Monatsplanung!$E55*Monatsplanung!$Q55),0,Personalplanung!F55/Monatsplanung!$E55*Monatsplanung!$Q55)</f>
        <v>0</v>
      </c>
      <c r="D1095" s="168">
        <f t="shared" si="339"/>
        <v>0</v>
      </c>
      <c r="E1095" s="168">
        <f>IF(ISERROR(Personalplanung!H55/Monatsplanung!$E55*Monatsplanung!$Q55),0,Personalplanung!H55/Monatsplanung!$E55*Monatsplanung!$Q55)</f>
        <v>0</v>
      </c>
      <c r="F1095" s="168">
        <f t="shared" si="340"/>
        <v>0</v>
      </c>
      <c r="G1095" s="168">
        <f t="shared" si="341"/>
        <v>27.700831024930746</v>
      </c>
      <c r="H1095" s="168">
        <f t="shared" si="342"/>
        <v>0</v>
      </c>
      <c r="I1095" s="168">
        <f t="shared" si="343"/>
        <v>30</v>
      </c>
      <c r="J1095" s="739"/>
      <c r="K1095" s="168">
        <f>IF(J1095&lt;&gt;"",J1095,IF(ISERROR(Personalplanung!AB55/Monatsplanung!$E55*Monatsplanung!$Q55),0,Personalplanung!AB55/Monatsplanung!$E55*Monatsplanung!$Q55))</f>
        <v>0</v>
      </c>
      <c r="L1095" s="740"/>
      <c r="M1095" s="739"/>
      <c r="N1095" s="168">
        <f>IF(M1095&lt;&gt;"",M1095,IF(ISERROR(Personalplanung!AC55/Monatsplanung!$E55*Monatsplanung!$Q55),0,Personalplanung!AC55/Monatsplanung!$E55*Monatsplanung!$Q55))</f>
        <v>0</v>
      </c>
      <c r="O1095" s="740"/>
      <c r="P1095" s="739"/>
      <c r="Q1095" s="168">
        <f>IF(P1095&lt;&gt;"",P1095,IF(ISERROR(Personalplanung!AD55/Monatsplanung!$E55*Monatsplanung!$Q55),0,Personalplanung!AD55/Monatsplanung!$E55*Monatsplanung!$Q55))</f>
        <v>0</v>
      </c>
      <c r="R1095" s="740"/>
      <c r="S1095" s="739"/>
      <c r="T1095" s="168">
        <f>IF(S1095&lt;&gt;"",S1095,IF(ISERROR(Personalplanung!AE55/Monatsplanung!$E55*Monatsplanung!$Q55),0,Personalplanung!AE55/Monatsplanung!$E55*Monatsplanung!$Q55))</f>
        <v>0</v>
      </c>
      <c r="U1095" s="740"/>
      <c r="V1095" s="168">
        <f t="shared" si="344"/>
        <v>0</v>
      </c>
      <c r="W1095" s="168">
        <f>IF(ISERROR(Personalplanung!P55/Monatsplanung!$E55*Monatsplanung!$Q55),0,Personalplanung!P55/Monatsplanung!$E55*Monatsplanung!$Q55)</f>
        <v>0</v>
      </c>
      <c r="X1095" s="168">
        <f>IF(ISERROR(Personalplanung!Q55/Monatsplanung!$E55*Monatsplanung!$Q55),0,Personalplanung!Q55/Monatsplanung!$E55*Monatsplanung!$Q55)</f>
        <v>0</v>
      </c>
      <c r="Y1095" s="168">
        <f>IF(ISERROR(Personalplanung!R55/T1303*Stundencontrolling!T1095),0,Personalplanung!R55/T1303*Stundencontrolling!T1095)</f>
        <v>0</v>
      </c>
      <c r="Z1095" s="168">
        <f>IF(ISERROR(Personalplanung!S55/Monatsplanung!$E55*Monatsplanung!$Q55),0,Personalplanung!S55/Monatsplanung!$E55*Monatsplanung!$Q55)</f>
        <v>0</v>
      </c>
      <c r="AA1095" s="80">
        <f t="shared" si="345"/>
        <v>0</v>
      </c>
      <c r="AB1095" s="102">
        <f t="shared" si="346"/>
        <v>0.1</v>
      </c>
      <c r="AC1095" s="103">
        <f t="shared" si="347"/>
        <v>0</v>
      </c>
      <c r="AD1095" s="103">
        <f t="shared" si="348"/>
        <v>0</v>
      </c>
      <c r="AE1095" s="81">
        <f t="shared" si="349"/>
        <v>0</v>
      </c>
      <c r="AF1095" s="539"/>
      <c r="AG1095" s="104">
        <f t="shared" si="350"/>
        <v>1</v>
      </c>
      <c r="AH1095" s="7">
        <f t="shared" si="351"/>
        <v>0</v>
      </c>
      <c r="AI1095" s="6">
        <f t="shared" si="352"/>
        <v>0</v>
      </c>
      <c r="AJ1095" s="73">
        <f t="shared" si="353"/>
        <v>0</v>
      </c>
      <c r="AK1095" s="539"/>
      <c r="AL1095" s="748"/>
      <c r="AM1095" s="748"/>
    </row>
    <row r="1096" spans="2:39" x14ac:dyDescent="0.2">
      <c r="B1096" s="101" t="str">
        <f t="shared" si="338"/>
        <v/>
      </c>
      <c r="C1096" s="168">
        <f>IF(ISERROR(Personalplanung!F56/Monatsplanung!$E56*Monatsplanung!$Q56),0,Personalplanung!F56/Monatsplanung!$E56*Monatsplanung!$Q56)</f>
        <v>0</v>
      </c>
      <c r="D1096" s="168">
        <f t="shared" si="339"/>
        <v>0</v>
      </c>
      <c r="E1096" s="168">
        <f>IF(ISERROR(Personalplanung!H56/Monatsplanung!$E56*Monatsplanung!$Q56),0,Personalplanung!H56/Monatsplanung!$E56*Monatsplanung!$Q56)</f>
        <v>0</v>
      </c>
      <c r="F1096" s="168">
        <f t="shared" si="340"/>
        <v>0</v>
      </c>
      <c r="G1096" s="168">
        <f t="shared" si="341"/>
        <v>27.700831024930746</v>
      </c>
      <c r="H1096" s="168">
        <f t="shared" si="342"/>
        <v>0</v>
      </c>
      <c r="I1096" s="168">
        <f t="shared" si="343"/>
        <v>30</v>
      </c>
      <c r="J1096" s="739"/>
      <c r="K1096" s="168">
        <f>IF(J1096&lt;&gt;"",J1096,IF(ISERROR(Personalplanung!AB56/Monatsplanung!$E56*Monatsplanung!$Q56),0,Personalplanung!AB56/Monatsplanung!$E56*Monatsplanung!$Q56))</f>
        <v>0</v>
      </c>
      <c r="L1096" s="740"/>
      <c r="M1096" s="739"/>
      <c r="N1096" s="168">
        <f>IF(M1096&lt;&gt;"",M1096,IF(ISERROR(Personalplanung!AC56/Monatsplanung!$E56*Monatsplanung!$Q56),0,Personalplanung!AC56/Monatsplanung!$E56*Monatsplanung!$Q56))</f>
        <v>0</v>
      </c>
      <c r="O1096" s="740"/>
      <c r="P1096" s="739"/>
      <c r="Q1096" s="168">
        <f>IF(P1096&lt;&gt;"",P1096,IF(ISERROR(Personalplanung!AD56/Monatsplanung!$E56*Monatsplanung!$Q56),0,Personalplanung!AD56/Monatsplanung!$E56*Monatsplanung!$Q56))</f>
        <v>0</v>
      </c>
      <c r="R1096" s="740"/>
      <c r="S1096" s="739"/>
      <c r="T1096" s="168">
        <f>IF(S1096&lt;&gt;"",S1096,IF(ISERROR(Personalplanung!AE56/Monatsplanung!$E56*Monatsplanung!$Q56),0,Personalplanung!AE56/Monatsplanung!$E56*Monatsplanung!$Q56))</f>
        <v>0</v>
      </c>
      <c r="U1096" s="740"/>
      <c r="V1096" s="168">
        <f t="shared" si="344"/>
        <v>0</v>
      </c>
      <c r="W1096" s="168">
        <f>IF(ISERROR(Personalplanung!P56/Monatsplanung!$E56*Monatsplanung!$Q56),0,Personalplanung!P56/Monatsplanung!$E56*Monatsplanung!$Q56)</f>
        <v>0</v>
      </c>
      <c r="X1096" s="168">
        <f>IF(ISERROR(Personalplanung!Q56/Monatsplanung!$E56*Monatsplanung!$Q56),0,Personalplanung!Q56/Monatsplanung!$E56*Monatsplanung!$Q56)</f>
        <v>0</v>
      </c>
      <c r="Y1096" s="168">
        <f>IF(ISERROR(Personalplanung!R56/T1304*Stundencontrolling!T1096),0,Personalplanung!R56/T1304*Stundencontrolling!T1096)</f>
        <v>0</v>
      </c>
      <c r="Z1096" s="168">
        <f>IF(ISERROR(Personalplanung!S56/Monatsplanung!$E56*Monatsplanung!$Q56),0,Personalplanung!S56/Monatsplanung!$E56*Monatsplanung!$Q56)</f>
        <v>0</v>
      </c>
      <c r="AA1096" s="80">
        <f t="shared" si="345"/>
        <v>0</v>
      </c>
      <c r="AB1096" s="102">
        <f t="shared" si="346"/>
        <v>0.1</v>
      </c>
      <c r="AC1096" s="103">
        <f t="shared" si="347"/>
        <v>0</v>
      </c>
      <c r="AD1096" s="103">
        <f t="shared" si="348"/>
        <v>0</v>
      </c>
      <c r="AE1096" s="81">
        <f t="shared" si="349"/>
        <v>0</v>
      </c>
      <c r="AF1096" s="539"/>
      <c r="AG1096" s="104">
        <f t="shared" si="350"/>
        <v>1</v>
      </c>
      <c r="AH1096" s="7">
        <f t="shared" si="351"/>
        <v>0</v>
      </c>
      <c r="AI1096" s="6">
        <f t="shared" si="352"/>
        <v>0</v>
      </c>
      <c r="AJ1096" s="73">
        <f t="shared" si="353"/>
        <v>0</v>
      </c>
      <c r="AK1096" s="539"/>
      <c r="AL1096" s="748"/>
      <c r="AM1096" s="748"/>
    </row>
    <row r="1097" spans="2:39" x14ac:dyDescent="0.2">
      <c r="B1097" s="101" t="str">
        <f t="shared" si="338"/>
        <v/>
      </c>
      <c r="C1097" s="168">
        <f>IF(ISERROR(Personalplanung!F57/Monatsplanung!$E57*Monatsplanung!$Q57),0,Personalplanung!F57/Monatsplanung!$E57*Monatsplanung!$Q57)</f>
        <v>0</v>
      </c>
      <c r="D1097" s="168">
        <f t="shared" si="339"/>
        <v>0</v>
      </c>
      <c r="E1097" s="168">
        <f>IF(ISERROR(Personalplanung!H57/Monatsplanung!$E57*Monatsplanung!$Q57),0,Personalplanung!H57/Monatsplanung!$E57*Monatsplanung!$Q57)</f>
        <v>0</v>
      </c>
      <c r="F1097" s="168">
        <f t="shared" si="340"/>
        <v>0</v>
      </c>
      <c r="G1097" s="168">
        <f t="shared" si="341"/>
        <v>27.700831024930746</v>
      </c>
      <c r="H1097" s="168">
        <f t="shared" si="342"/>
        <v>0</v>
      </c>
      <c r="I1097" s="168">
        <f t="shared" si="343"/>
        <v>30</v>
      </c>
      <c r="J1097" s="739"/>
      <c r="K1097" s="168">
        <f>IF(J1097&lt;&gt;"",J1097,IF(ISERROR(Personalplanung!AB57/Monatsplanung!$E57*Monatsplanung!$Q57),0,Personalplanung!AB57/Monatsplanung!$E57*Monatsplanung!$Q57))</f>
        <v>0</v>
      </c>
      <c r="L1097" s="740"/>
      <c r="M1097" s="739"/>
      <c r="N1097" s="168">
        <f>IF(M1097&lt;&gt;"",M1097,IF(ISERROR(Personalplanung!AC57/Monatsplanung!$E57*Monatsplanung!$Q57),0,Personalplanung!AC57/Monatsplanung!$E57*Monatsplanung!$Q57))</f>
        <v>0</v>
      </c>
      <c r="O1097" s="740"/>
      <c r="P1097" s="739"/>
      <c r="Q1097" s="168">
        <f>IF(P1097&lt;&gt;"",P1097,IF(ISERROR(Personalplanung!AD57/Monatsplanung!$E57*Monatsplanung!$Q57),0,Personalplanung!AD57/Monatsplanung!$E57*Monatsplanung!$Q57))</f>
        <v>0</v>
      </c>
      <c r="R1097" s="740"/>
      <c r="S1097" s="739"/>
      <c r="T1097" s="168">
        <f>IF(S1097&lt;&gt;"",S1097,IF(ISERROR(Personalplanung!AE57/Monatsplanung!$E57*Monatsplanung!$Q57),0,Personalplanung!AE57/Monatsplanung!$E57*Monatsplanung!$Q57))</f>
        <v>0</v>
      </c>
      <c r="U1097" s="740"/>
      <c r="V1097" s="168">
        <f t="shared" si="344"/>
        <v>0</v>
      </c>
      <c r="W1097" s="168">
        <f>IF(ISERROR(Personalplanung!P57/Monatsplanung!$E57*Monatsplanung!$Q57),0,Personalplanung!P57/Monatsplanung!$E57*Monatsplanung!$Q57)</f>
        <v>0</v>
      </c>
      <c r="X1097" s="168">
        <f>IF(ISERROR(Personalplanung!Q57/Monatsplanung!$E57*Monatsplanung!$Q57),0,Personalplanung!Q57/Monatsplanung!$E57*Monatsplanung!$Q57)</f>
        <v>0</v>
      </c>
      <c r="Y1097" s="168">
        <f>IF(ISERROR(Personalplanung!R57/T1305*Stundencontrolling!T1097),0,Personalplanung!R57/T1305*Stundencontrolling!T1097)</f>
        <v>0</v>
      </c>
      <c r="Z1097" s="168">
        <f>IF(ISERROR(Personalplanung!S57/Monatsplanung!$E57*Monatsplanung!$Q57),0,Personalplanung!S57/Monatsplanung!$E57*Monatsplanung!$Q57)</f>
        <v>0</v>
      </c>
      <c r="AA1097" s="80">
        <f t="shared" si="345"/>
        <v>0</v>
      </c>
      <c r="AB1097" s="102">
        <f t="shared" si="346"/>
        <v>0.1</v>
      </c>
      <c r="AC1097" s="103">
        <f t="shared" si="347"/>
        <v>0</v>
      </c>
      <c r="AD1097" s="103">
        <f t="shared" si="348"/>
        <v>0</v>
      </c>
      <c r="AE1097" s="81">
        <f t="shared" si="349"/>
        <v>0</v>
      </c>
      <c r="AF1097" s="539"/>
      <c r="AG1097" s="104">
        <f t="shared" si="350"/>
        <v>1</v>
      </c>
      <c r="AH1097" s="7">
        <f t="shared" si="351"/>
        <v>0</v>
      </c>
      <c r="AI1097" s="6">
        <f t="shared" si="352"/>
        <v>0</v>
      </c>
      <c r="AJ1097" s="73">
        <f t="shared" si="353"/>
        <v>0</v>
      </c>
      <c r="AK1097" s="539"/>
      <c r="AL1097" s="748"/>
      <c r="AM1097" s="748"/>
    </row>
    <row r="1098" spans="2:39" x14ac:dyDescent="0.2">
      <c r="B1098" s="101" t="str">
        <f t="shared" si="338"/>
        <v/>
      </c>
      <c r="C1098" s="168">
        <f>IF(ISERROR(Personalplanung!F58/Monatsplanung!$E58*Monatsplanung!$Q58),0,Personalplanung!F58/Monatsplanung!$E58*Monatsplanung!$Q58)</f>
        <v>0</v>
      </c>
      <c r="D1098" s="168">
        <f t="shared" si="339"/>
        <v>0</v>
      </c>
      <c r="E1098" s="168">
        <f>IF(ISERROR(Personalplanung!H58/Monatsplanung!$E58*Monatsplanung!$Q58),0,Personalplanung!H58/Monatsplanung!$E58*Monatsplanung!$Q58)</f>
        <v>0</v>
      </c>
      <c r="F1098" s="168">
        <f t="shared" si="340"/>
        <v>0</v>
      </c>
      <c r="G1098" s="168">
        <f t="shared" si="341"/>
        <v>27.700831024930746</v>
      </c>
      <c r="H1098" s="168">
        <f t="shared" si="342"/>
        <v>0</v>
      </c>
      <c r="I1098" s="168">
        <f t="shared" si="343"/>
        <v>30</v>
      </c>
      <c r="J1098" s="739"/>
      <c r="K1098" s="168">
        <f>IF(J1098&lt;&gt;"",J1098,IF(ISERROR(Personalplanung!AB58/Monatsplanung!$E58*Monatsplanung!$Q58),0,Personalplanung!AB58/Monatsplanung!$E58*Monatsplanung!$Q58))</f>
        <v>0</v>
      </c>
      <c r="L1098" s="740"/>
      <c r="M1098" s="739"/>
      <c r="N1098" s="168">
        <f>IF(M1098&lt;&gt;"",M1098,IF(ISERROR(Personalplanung!AC58/Monatsplanung!$E58*Monatsplanung!$Q58),0,Personalplanung!AC58/Monatsplanung!$E58*Monatsplanung!$Q58))</f>
        <v>0</v>
      </c>
      <c r="O1098" s="740"/>
      <c r="P1098" s="739"/>
      <c r="Q1098" s="168">
        <f>IF(P1098&lt;&gt;"",P1098,IF(ISERROR(Personalplanung!AD58/Monatsplanung!$E58*Monatsplanung!$Q58),0,Personalplanung!AD58/Monatsplanung!$E58*Monatsplanung!$Q58))</f>
        <v>0</v>
      </c>
      <c r="R1098" s="740"/>
      <c r="S1098" s="739"/>
      <c r="T1098" s="168">
        <f>IF(S1098&lt;&gt;"",S1098,IF(ISERROR(Personalplanung!AE58/Monatsplanung!$E58*Monatsplanung!$Q58),0,Personalplanung!AE58/Monatsplanung!$E58*Monatsplanung!$Q58))</f>
        <v>0</v>
      </c>
      <c r="U1098" s="740"/>
      <c r="V1098" s="168">
        <f t="shared" si="344"/>
        <v>0</v>
      </c>
      <c r="W1098" s="168">
        <f>IF(ISERROR(Personalplanung!P58/Monatsplanung!$E58*Monatsplanung!$Q58),0,Personalplanung!P58/Monatsplanung!$E58*Monatsplanung!$Q58)</f>
        <v>0</v>
      </c>
      <c r="X1098" s="168">
        <f>IF(ISERROR(Personalplanung!Q58/Monatsplanung!$E58*Monatsplanung!$Q58),0,Personalplanung!Q58/Monatsplanung!$E58*Monatsplanung!$Q58)</f>
        <v>0</v>
      </c>
      <c r="Y1098" s="168">
        <f>IF(ISERROR(Personalplanung!R58/T1306*Stundencontrolling!T1098),0,Personalplanung!R58/T1306*Stundencontrolling!T1098)</f>
        <v>0</v>
      </c>
      <c r="Z1098" s="168">
        <f>IF(ISERROR(Personalplanung!S58/Monatsplanung!$E58*Monatsplanung!$Q58),0,Personalplanung!S58/Monatsplanung!$E58*Monatsplanung!$Q58)</f>
        <v>0</v>
      </c>
      <c r="AA1098" s="80">
        <f t="shared" si="345"/>
        <v>0</v>
      </c>
      <c r="AB1098" s="102">
        <f t="shared" si="346"/>
        <v>0.1</v>
      </c>
      <c r="AC1098" s="103">
        <f t="shared" si="347"/>
        <v>0</v>
      </c>
      <c r="AD1098" s="103">
        <f t="shared" si="348"/>
        <v>0</v>
      </c>
      <c r="AE1098" s="81">
        <f t="shared" si="349"/>
        <v>0</v>
      </c>
      <c r="AF1098" s="539"/>
      <c r="AG1098" s="104">
        <f t="shared" si="350"/>
        <v>1</v>
      </c>
      <c r="AH1098" s="7">
        <f t="shared" si="351"/>
        <v>0</v>
      </c>
      <c r="AI1098" s="6">
        <f t="shared" si="352"/>
        <v>0</v>
      </c>
      <c r="AJ1098" s="73">
        <f t="shared" si="353"/>
        <v>0</v>
      </c>
      <c r="AK1098" s="539"/>
      <c r="AL1098" s="748"/>
      <c r="AM1098" s="748"/>
    </row>
    <row r="1099" spans="2:39" x14ac:dyDescent="0.2">
      <c r="B1099" s="101" t="str">
        <f t="shared" si="338"/>
        <v/>
      </c>
      <c r="C1099" s="168">
        <f>IF(ISERROR(Personalplanung!F59/Monatsplanung!$E59*Monatsplanung!$Q59),0,Personalplanung!F59/Monatsplanung!$E59*Monatsplanung!$Q59)</f>
        <v>0</v>
      </c>
      <c r="D1099" s="168">
        <f t="shared" si="339"/>
        <v>0</v>
      </c>
      <c r="E1099" s="168">
        <f>IF(ISERROR(Personalplanung!H59/Monatsplanung!$E59*Monatsplanung!$Q59),0,Personalplanung!H59/Monatsplanung!$E59*Monatsplanung!$Q59)</f>
        <v>0</v>
      </c>
      <c r="F1099" s="168">
        <f t="shared" si="340"/>
        <v>0</v>
      </c>
      <c r="G1099" s="168">
        <f t="shared" si="341"/>
        <v>27.700831024930746</v>
      </c>
      <c r="H1099" s="168">
        <f t="shared" si="342"/>
        <v>0</v>
      </c>
      <c r="I1099" s="168">
        <f t="shared" si="343"/>
        <v>30</v>
      </c>
      <c r="J1099" s="739"/>
      <c r="K1099" s="168">
        <f>IF(J1099&lt;&gt;"",J1099,IF(ISERROR(Personalplanung!AB59/Monatsplanung!$E59*Monatsplanung!$Q59),0,Personalplanung!AB59/Monatsplanung!$E59*Monatsplanung!$Q59))</f>
        <v>0</v>
      </c>
      <c r="L1099" s="740"/>
      <c r="M1099" s="739"/>
      <c r="N1099" s="168">
        <f>IF(M1099&lt;&gt;"",M1099,IF(ISERROR(Personalplanung!AC59/Monatsplanung!$E59*Monatsplanung!$Q59),0,Personalplanung!AC59/Monatsplanung!$E59*Monatsplanung!$Q59))</f>
        <v>0</v>
      </c>
      <c r="O1099" s="740"/>
      <c r="P1099" s="739"/>
      <c r="Q1099" s="168">
        <f>IF(P1099&lt;&gt;"",P1099,IF(ISERROR(Personalplanung!AD59/Monatsplanung!$E59*Monatsplanung!$Q59),0,Personalplanung!AD59/Monatsplanung!$E59*Monatsplanung!$Q59))</f>
        <v>0</v>
      </c>
      <c r="R1099" s="740"/>
      <c r="S1099" s="739"/>
      <c r="T1099" s="168">
        <f>IF(S1099&lt;&gt;"",S1099,IF(ISERROR(Personalplanung!AE59/Monatsplanung!$E59*Monatsplanung!$Q59),0,Personalplanung!AE59/Monatsplanung!$E59*Monatsplanung!$Q59))</f>
        <v>0</v>
      </c>
      <c r="U1099" s="740"/>
      <c r="V1099" s="168">
        <f t="shared" si="344"/>
        <v>0</v>
      </c>
      <c r="W1099" s="168">
        <f>IF(ISERROR(Personalplanung!P59/Monatsplanung!$E59*Monatsplanung!$Q59),0,Personalplanung!P59/Monatsplanung!$E59*Monatsplanung!$Q59)</f>
        <v>0</v>
      </c>
      <c r="X1099" s="168">
        <f>IF(ISERROR(Personalplanung!Q59/Monatsplanung!$E59*Monatsplanung!$Q59),0,Personalplanung!Q59/Monatsplanung!$E59*Monatsplanung!$Q59)</f>
        <v>0</v>
      </c>
      <c r="Y1099" s="168">
        <f>IF(ISERROR(Personalplanung!R59/T1307*Stundencontrolling!T1099),0,Personalplanung!R59/T1307*Stundencontrolling!T1099)</f>
        <v>0</v>
      </c>
      <c r="Z1099" s="168">
        <f>IF(ISERROR(Personalplanung!S59/Monatsplanung!$E59*Monatsplanung!$Q59),0,Personalplanung!S59/Monatsplanung!$E59*Monatsplanung!$Q59)</f>
        <v>0</v>
      </c>
      <c r="AA1099" s="80">
        <f t="shared" si="345"/>
        <v>0</v>
      </c>
      <c r="AB1099" s="102">
        <f t="shared" si="346"/>
        <v>0.1</v>
      </c>
      <c r="AC1099" s="103">
        <f t="shared" si="347"/>
        <v>0</v>
      </c>
      <c r="AD1099" s="103">
        <f t="shared" si="348"/>
        <v>0</v>
      </c>
      <c r="AE1099" s="81">
        <f t="shared" si="349"/>
        <v>0</v>
      </c>
      <c r="AF1099" s="539"/>
      <c r="AG1099" s="104">
        <f t="shared" si="350"/>
        <v>1</v>
      </c>
      <c r="AH1099" s="7">
        <f t="shared" si="351"/>
        <v>0</v>
      </c>
      <c r="AI1099" s="6">
        <f t="shared" si="352"/>
        <v>0</v>
      </c>
      <c r="AJ1099" s="73">
        <f t="shared" si="353"/>
        <v>0</v>
      </c>
      <c r="AK1099" s="539"/>
      <c r="AL1099" s="748"/>
      <c r="AM1099" s="748"/>
    </row>
    <row r="1100" spans="2:39" x14ac:dyDescent="0.2">
      <c r="B1100" s="101" t="str">
        <f t="shared" si="338"/>
        <v/>
      </c>
      <c r="C1100" s="168">
        <f>IF(ISERROR(Personalplanung!F60/Monatsplanung!$E60*Monatsplanung!$Q60),0,Personalplanung!F60/Monatsplanung!$E60*Monatsplanung!$Q60)</f>
        <v>0</v>
      </c>
      <c r="D1100" s="168">
        <f t="shared" si="339"/>
        <v>0</v>
      </c>
      <c r="E1100" s="168">
        <f>IF(ISERROR(Personalplanung!H60/Monatsplanung!$E60*Monatsplanung!$Q60),0,Personalplanung!H60/Monatsplanung!$E60*Monatsplanung!$Q60)</f>
        <v>0</v>
      </c>
      <c r="F1100" s="168">
        <f t="shared" si="340"/>
        <v>0</v>
      </c>
      <c r="G1100" s="168">
        <f t="shared" si="341"/>
        <v>27.700831024930746</v>
      </c>
      <c r="H1100" s="168">
        <f t="shared" si="342"/>
        <v>0</v>
      </c>
      <c r="I1100" s="168">
        <f t="shared" si="343"/>
        <v>30</v>
      </c>
      <c r="J1100" s="739"/>
      <c r="K1100" s="168">
        <f>IF(J1100&lt;&gt;"",J1100,IF(ISERROR(Personalplanung!AB60/Monatsplanung!$E60*Monatsplanung!$Q60),0,Personalplanung!AB60/Monatsplanung!$E60*Monatsplanung!$Q60))</f>
        <v>0</v>
      </c>
      <c r="L1100" s="740"/>
      <c r="M1100" s="739"/>
      <c r="N1100" s="168">
        <f>IF(M1100&lt;&gt;"",M1100,IF(ISERROR(Personalplanung!AC60/Monatsplanung!$E60*Monatsplanung!$Q60),0,Personalplanung!AC60/Monatsplanung!$E60*Monatsplanung!$Q60))</f>
        <v>0</v>
      </c>
      <c r="O1100" s="740"/>
      <c r="P1100" s="739"/>
      <c r="Q1100" s="168">
        <f>IF(P1100&lt;&gt;"",P1100,IF(ISERROR(Personalplanung!AD60/Monatsplanung!$E60*Monatsplanung!$Q60),0,Personalplanung!AD60/Monatsplanung!$E60*Monatsplanung!$Q60))</f>
        <v>0</v>
      </c>
      <c r="R1100" s="740"/>
      <c r="S1100" s="739"/>
      <c r="T1100" s="168">
        <f>IF(S1100&lt;&gt;"",S1100,IF(ISERROR(Personalplanung!AE60/Monatsplanung!$E60*Monatsplanung!$Q60),0,Personalplanung!AE60/Monatsplanung!$E60*Monatsplanung!$Q60))</f>
        <v>0</v>
      </c>
      <c r="U1100" s="740"/>
      <c r="V1100" s="168">
        <f t="shared" si="344"/>
        <v>0</v>
      </c>
      <c r="W1100" s="168">
        <f>IF(ISERROR(Personalplanung!P60/Monatsplanung!$E60*Monatsplanung!$Q60),0,Personalplanung!P60/Monatsplanung!$E60*Monatsplanung!$Q60)</f>
        <v>0</v>
      </c>
      <c r="X1100" s="168">
        <f>IF(ISERROR(Personalplanung!Q60/Monatsplanung!$E60*Monatsplanung!$Q60),0,Personalplanung!Q60/Monatsplanung!$E60*Monatsplanung!$Q60)</f>
        <v>0</v>
      </c>
      <c r="Y1100" s="168">
        <f>IF(ISERROR(Personalplanung!R60/T1308*Stundencontrolling!T1100),0,Personalplanung!R60/T1308*Stundencontrolling!T1100)</f>
        <v>0</v>
      </c>
      <c r="Z1100" s="168">
        <f>IF(ISERROR(Personalplanung!S60/Monatsplanung!$E60*Monatsplanung!$Q60),0,Personalplanung!S60/Monatsplanung!$E60*Monatsplanung!$Q60)</f>
        <v>0</v>
      </c>
      <c r="AA1100" s="80">
        <f t="shared" si="345"/>
        <v>0</v>
      </c>
      <c r="AB1100" s="102">
        <f t="shared" si="346"/>
        <v>0.1</v>
      </c>
      <c r="AC1100" s="103">
        <f t="shared" si="347"/>
        <v>0</v>
      </c>
      <c r="AD1100" s="103">
        <f t="shared" si="348"/>
        <v>0</v>
      </c>
      <c r="AE1100" s="81">
        <f t="shared" si="349"/>
        <v>0</v>
      </c>
      <c r="AF1100" s="539"/>
      <c r="AG1100" s="104">
        <f t="shared" si="350"/>
        <v>1</v>
      </c>
      <c r="AH1100" s="7">
        <f t="shared" si="351"/>
        <v>0</v>
      </c>
      <c r="AI1100" s="6">
        <f t="shared" si="352"/>
        <v>0</v>
      </c>
      <c r="AJ1100" s="73">
        <f t="shared" si="353"/>
        <v>0</v>
      </c>
      <c r="AK1100" s="539"/>
      <c r="AL1100" s="748"/>
      <c r="AM1100" s="748"/>
    </row>
    <row r="1101" spans="2:39" x14ac:dyDescent="0.2">
      <c r="B1101" s="101" t="str">
        <f t="shared" si="338"/>
        <v/>
      </c>
      <c r="C1101" s="168">
        <f>IF(ISERROR(Personalplanung!F61/Monatsplanung!$E61*Monatsplanung!$Q61),0,Personalplanung!F61/Monatsplanung!$E61*Monatsplanung!$Q61)</f>
        <v>0</v>
      </c>
      <c r="D1101" s="168">
        <f t="shared" si="339"/>
        <v>0</v>
      </c>
      <c r="E1101" s="168">
        <f>IF(ISERROR(Personalplanung!H61/Monatsplanung!$E61*Monatsplanung!$Q61),0,Personalplanung!H61/Monatsplanung!$E61*Monatsplanung!$Q61)</f>
        <v>0</v>
      </c>
      <c r="F1101" s="168">
        <f t="shared" si="340"/>
        <v>0</v>
      </c>
      <c r="G1101" s="168">
        <f t="shared" si="341"/>
        <v>27.700831024930746</v>
      </c>
      <c r="H1101" s="168">
        <f t="shared" si="342"/>
        <v>0</v>
      </c>
      <c r="I1101" s="168">
        <f t="shared" si="343"/>
        <v>30</v>
      </c>
      <c r="J1101" s="739"/>
      <c r="K1101" s="168">
        <f>IF(J1101&lt;&gt;"",J1101,IF(ISERROR(Personalplanung!AB61/Monatsplanung!$E61*Monatsplanung!$Q61),0,Personalplanung!AB61/Monatsplanung!$E61*Monatsplanung!$Q61))</f>
        <v>0</v>
      </c>
      <c r="L1101" s="740"/>
      <c r="M1101" s="739"/>
      <c r="N1101" s="168">
        <f>IF(M1101&lt;&gt;"",M1101,IF(ISERROR(Personalplanung!AC61/Monatsplanung!$E61*Monatsplanung!$Q61),0,Personalplanung!AC61/Monatsplanung!$E61*Monatsplanung!$Q61))</f>
        <v>0</v>
      </c>
      <c r="O1101" s="740"/>
      <c r="P1101" s="739"/>
      <c r="Q1101" s="168">
        <f>IF(P1101&lt;&gt;"",P1101,IF(ISERROR(Personalplanung!AD61/Monatsplanung!$E61*Monatsplanung!$Q61),0,Personalplanung!AD61/Monatsplanung!$E61*Monatsplanung!$Q61))</f>
        <v>0</v>
      </c>
      <c r="R1101" s="740"/>
      <c r="S1101" s="739"/>
      <c r="T1101" s="168">
        <f>IF(S1101&lt;&gt;"",S1101,IF(ISERROR(Personalplanung!AE61/Monatsplanung!$E61*Monatsplanung!$Q61),0,Personalplanung!AE61/Monatsplanung!$E61*Monatsplanung!$Q61))</f>
        <v>0</v>
      </c>
      <c r="U1101" s="740"/>
      <c r="V1101" s="168">
        <f t="shared" si="344"/>
        <v>0</v>
      </c>
      <c r="W1101" s="168">
        <f>IF(ISERROR(Personalplanung!P61/Monatsplanung!$E61*Monatsplanung!$Q61),0,Personalplanung!P61/Monatsplanung!$E61*Monatsplanung!$Q61)</f>
        <v>0</v>
      </c>
      <c r="X1101" s="168">
        <f>IF(ISERROR(Personalplanung!Q61/Monatsplanung!$E61*Monatsplanung!$Q61),0,Personalplanung!Q61/Monatsplanung!$E61*Monatsplanung!$Q61)</f>
        <v>0</v>
      </c>
      <c r="Y1101" s="168">
        <f>IF(ISERROR(Personalplanung!R61/T1309*Stundencontrolling!T1101),0,Personalplanung!R61/T1309*Stundencontrolling!T1101)</f>
        <v>0</v>
      </c>
      <c r="Z1101" s="168">
        <f>IF(ISERROR(Personalplanung!S61/Monatsplanung!$E61*Monatsplanung!$Q61),0,Personalplanung!S61/Monatsplanung!$E61*Monatsplanung!$Q61)</f>
        <v>0</v>
      </c>
      <c r="AA1101" s="80">
        <f t="shared" si="345"/>
        <v>0</v>
      </c>
      <c r="AB1101" s="102">
        <f t="shared" si="346"/>
        <v>0.1</v>
      </c>
      <c r="AC1101" s="103">
        <f t="shared" si="347"/>
        <v>0</v>
      </c>
      <c r="AD1101" s="103">
        <f t="shared" si="348"/>
        <v>0</v>
      </c>
      <c r="AE1101" s="81">
        <f t="shared" si="349"/>
        <v>0</v>
      </c>
      <c r="AF1101" s="539"/>
      <c r="AG1101" s="104">
        <f t="shared" si="350"/>
        <v>1</v>
      </c>
      <c r="AH1101" s="7">
        <f t="shared" si="351"/>
        <v>0</v>
      </c>
      <c r="AI1101" s="6">
        <f t="shared" si="352"/>
        <v>0</v>
      </c>
      <c r="AJ1101" s="73">
        <f t="shared" si="353"/>
        <v>0</v>
      </c>
      <c r="AK1101" s="539"/>
      <c r="AL1101" s="748"/>
      <c r="AM1101" s="748"/>
    </row>
    <row r="1102" spans="2:39" x14ac:dyDescent="0.2">
      <c r="B1102" s="101" t="str">
        <f t="shared" si="338"/>
        <v/>
      </c>
      <c r="C1102" s="168">
        <f>IF(ISERROR(Personalplanung!F62/Monatsplanung!$E62*Monatsplanung!$Q62),0,Personalplanung!F62/Monatsplanung!$E62*Monatsplanung!$Q62)</f>
        <v>0</v>
      </c>
      <c r="D1102" s="168">
        <f t="shared" si="339"/>
        <v>0</v>
      </c>
      <c r="E1102" s="168">
        <f>IF(ISERROR(Personalplanung!H62/Monatsplanung!$E62*Monatsplanung!$Q62),0,Personalplanung!H62/Monatsplanung!$E62*Monatsplanung!$Q62)</f>
        <v>0</v>
      </c>
      <c r="F1102" s="168">
        <f t="shared" si="340"/>
        <v>0</v>
      </c>
      <c r="G1102" s="168">
        <f t="shared" si="341"/>
        <v>27.700831024930746</v>
      </c>
      <c r="H1102" s="168">
        <f t="shared" si="342"/>
        <v>0</v>
      </c>
      <c r="I1102" s="168">
        <f t="shared" si="343"/>
        <v>30</v>
      </c>
      <c r="J1102" s="739"/>
      <c r="K1102" s="168">
        <f>IF(J1102&lt;&gt;"",J1102,IF(ISERROR(Personalplanung!AB62/Monatsplanung!$E62*Monatsplanung!$Q62),0,Personalplanung!AB62/Monatsplanung!$E62*Monatsplanung!$Q62))</f>
        <v>0</v>
      </c>
      <c r="L1102" s="740"/>
      <c r="M1102" s="739"/>
      <c r="N1102" s="168">
        <f>IF(M1102&lt;&gt;"",M1102,IF(ISERROR(Personalplanung!AC62/Monatsplanung!$E62*Monatsplanung!$Q62),0,Personalplanung!AC62/Monatsplanung!$E62*Monatsplanung!$Q62))</f>
        <v>0</v>
      </c>
      <c r="O1102" s="740"/>
      <c r="P1102" s="739"/>
      <c r="Q1102" s="168">
        <f>IF(P1102&lt;&gt;"",P1102,IF(ISERROR(Personalplanung!AD62/Monatsplanung!$E62*Monatsplanung!$Q62),0,Personalplanung!AD62/Monatsplanung!$E62*Monatsplanung!$Q62))</f>
        <v>0</v>
      </c>
      <c r="R1102" s="740"/>
      <c r="S1102" s="739"/>
      <c r="T1102" s="168">
        <f>IF(S1102&lt;&gt;"",S1102,IF(ISERROR(Personalplanung!AE62/Monatsplanung!$E62*Monatsplanung!$Q62),0,Personalplanung!AE62/Monatsplanung!$E62*Monatsplanung!$Q62))</f>
        <v>0</v>
      </c>
      <c r="U1102" s="740"/>
      <c r="V1102" s="168">
        <f t="shared" si="344"/>
        <v>0</v>
      </c>
      <c r="W1102" s="168">
        <f>IF(ISERROR(Personalplanung!P62/Monatsplanung!$E62*Monatsplanung!$Q62),0,Personalplanung!P62/Monatsplanung!$E62*Monatsplanung!$Q62)</f>
        <v>0</v>
      </c>
      <c r="X1102" s="168">
        <f>IF(ISERROR(Personalplanung!Q62/Monatsplanung!$E62*Monatsplanung!$Q62),0,Personalplanung!Q62/Monatsplanung!$E62*Monatsplanung!$Q62)</f>
        <v>0</v>
      </c>
      <c r="Y1102" s="168">
        <f>IF(ISERROR(Personalplanung!R62/T1310*Stundencontrolling!T1102),0,Personalplanung!R62/T1310*Stundencontrolling!T1102)</f>
        <v>0</v>
      </c>
      <c r="Z1102" s="168">
        <f>IF(ISERROR(Personalplanung!S62/Monatsplanung!$E62*Monatsplanung!$Q62),0,Personalplanung!S62/Monatsplanung!$E62*Monatsplanung!$Q62)</f>
        <v>0</v>
      </c>
      <c r="AA1102" s="80">
        <f t="shared" si="345"/>
        <v>0</v>
      </c>
      <c r="AB1102" s="102">
        <f t="shared" si="346"/>
        <v>0.1</v>
      </c>
      <c r="AC1102" s="103">
        <f t="shared" si="347"/>
        <v>0</v>
      </c>
      <c r="AD1102" s="103">
        <f t="shared" si="348"/>
        <v>0</v>
      </c>
      <c r="AE1102" s="81">
        <f t="shared" si="349"/>
        <v>0</v>
      </c>
      <c r="AF1102" s="539"/>
      <c r="AG1102" s="104">
        <f t="shared" si="350"/>
        <v>1</v>
      </c>
      <c r="AH1102" s="7">
        <f t="shared" si="351"/>
        <v>0</v>
      </c>
      <c r="AI1102" s="6">
        <f t="shared" si="352"/>
        <v>0</v>
      </c>
      <c r="AJ1102" s="73">
        <f t="shared" si="353"/>
        <v>0</v>
      </c>
      <c r="AK1102" s="539"/>
      <c r="AL1102" s="748"/>
      <c r="AM1102" s="748"/>
    </row>
    <row r="1103" spans="2:39" x14ac:dyDescent="0.2">
      <c r="B1103" s="101" t="str">
        <f t="shared" si="338"/>
        <v/>
      </c>
      <c r="C1103" s="168">
        <f>IF(ISERROR(Personalplanung!F63/Monatsplanung!$E63*Monatsplanung!$Q63),0,Personalplanung!F63/Monatsplanung!$E63*Monatsplanung!$Q63)</f>
        <v>0</v>
      </c>
      <c r="D1103" s="168">
        <f t="shared" si="339"/>
        <v>0</v>
      </c>
      <c r="E1103" s="168">
        <f>IF(ISERROR(Personalplanung!H63/Monatsplanung!$E63*Monatsplanung!$Q63),0,Personalplanung!H63/Monatsplanung!$E63*Monatsplanung!$Q63)</f>
        <v>0</v>
      </c>
      <c r="F1103" s="168">
        <f t="shared" si="340"/>
        <v>0</v>
      </c>
      <c r="G1103" s="168">
        <f t="shared" si="341"/>
        <v>27.700831024930746</v>
      </c>
      <c r="H1103" s="168">
        <f t="shared" si="342"/>
        <v>0</v>
      </c>
      <c r="I1103" s="168">
        <f t="shared" si="343"/>
        <v>30</v>
      </c>
      <c r="J1103" s="739"/>
      <c r="K1103" s="168">
        <f>IF(J1103&lt;&gt;"",J1103,IF(ISERROR(Personalplanung!AB63/Monatsplanung!$E63*Monatsplanung!$Q63),0,Personalplanung!AB63/Monatsplanung!$E63*Monatsplanung!$Q63))</f>
        <v>0</v>
      </c>
      <c r="L1103" s="740"/>
      <c r="M1103" s="739"/>
      <c r="N1103" s="168">
        <f>IF(M1103&lt;&gt;"",M1103,IF(ISERROR(Personalplanung!AC63/Monatsplanung!$E63*Monatsplanung!$Q63),0,Personalplanung!AC63/Monatsplanung!$E63*Monatsplanung!$Q63))</f>
        <v>0</v>
      </c>
      <c r="O1103" s="740"/>
      <c r="P1103" s="739"/>
      <c r="Q1103" s="168">
        <f>IF(P1103&lt;&gt;"",P1103,IF(ISERROR(Personalplanung!AD63/Monatsplanung!$E63*Monatsplanung!$Q63),0,Personalplanung!AD63/Monatsplanung!$E63*Monatsplanung!$Q63))</f>
        <v>0</v>
      </c>
      <c r="R1103" s="740"/>
      <c r="S1103" s="739"/>
      <c r="T1103" s="168">
        <f>IF(S1103&lt;&gt;"",S1103,IF(ISERROR(Personalplanung!AE63/Monatsplanung!$E63*Monatsplanung!$Q63),0,Personalplanung!AE63/Monatsplanung!$E63*Monatsplanung!$Q63))</f>
        <v>0</v>
      </c>
      <c r="U1103" s="740"/>
      <c r="V1103" s="168">
        <f t="shared" si="344"/>
        <v>0</v>
      </c>
      <c r="W1103" s="168">
        <f>IF(ISERROR(Personalplanung!P63/Monatsplanung!$E63*Monatsplanung!$Q63),0,Personalplanung!P63/Monatsplanung!$E63*Monatsplanung!$Q63)</f>
        <v>0</v>
      </c>
      <c r="X1103" s="168">
        <f>IF(ISERROR(Personalplanung!Q63/Monatsplanung!$E63*Monatsplanung!$Q63),0,Personalplanung!Q63/Monatsplanung!$E63*Monatsplanung!$Q63)</f>
        <v>0</v>
      </c>
      <c r="Y1103" s="168">
        <f>IF(ISERROR(Personalplanung!R63/T1311*Stundencontrolling!T1103),0,Personalplanung!R63/T1311*Stundencontrolling!T1103)</f>
        <v>0</v>
      </c>
      <c r="Z1103" s="168">
        <f>IF(ISERROR(Personalplanung!S63/Monatsplanung!$E63*Monatsplanung!$Q63),0,Personalplanung!S63/Monatsplanung!$E63*Monatsplanung!$Q63)</f>
        <v>0</v>
      </c>
      <c r="AA1103" s="80">
        <f t="shared" si="345"/>
        <v>0</v>
      </c>
      <c r="AB1103" s="102">
        <f t="shared" si="346"/>
        <v>0.1</v>
      </c>
      <c r="AC1103" s="103">
        <f t="shared" si="347"/>
        <v>0</v>
      </c>
      <c r="AD1103" s="103">
        <f t="shared" si="348"/>
        <v>0</v>
      </c>
      <c r="AE1103" s="81">
        <f t="shared" si="349"/>
        <v>0</v>
      </c>
      <c r="AF1103" s="539"/>
      <c r="AG1103" s="104">
        <f t="shared" si="350"/>
        <v>1</v>
      </c>
      <c r="AH1103" s="7">
        <f t="shared" si="351"/>
        <v>0</v>
      </c>
      <c r="AI1103" s="6">
        <f t="shared" si="352"/>
        <v>0</v>
      </c>
      <c r="AJ1103" s="73">
        <f t="shared" si="353"/>
        <v>0</v>
      </c>
      <c r="AK1103" s="539"/>
      <c r="AL1103" s="748"/>
      <c r="AM1103" s="748"/>
    </row>
    <row r="1104" spans="2:39" x14ac:dyDescent="0.2">
      <c r="B1104" s="101" t="str">
        <f t="shared" si="338"/>
        <v/>
      </c>
      <c r="C1104" s="168">
        <f>IF(ISERROR(Personalplanung!F64/Monatsplanung!$E64*Monatsplanung!$Q64),0,Personalplanung!F64/Monatsplanung!$E64*Monatsplanung!$Q64)</f>
        <v>0</v>
      </c>
      <c r="D1104" s="168">
        <f t="shared" si="339"/>
        <v>0</v>
      </c>
      <c r="E1104" s="168">
        <f>IF(ISERROR(Personalplanung!H64/Monatsplanung!$E64*Monatsplanung!$Q64),0,Personalplanung!H64/Monatsplanung!$E64*Monatsplanung!$Q64)</f>
        <v>0</v>
      </c>
      <c r="F1104" s="168">
        <f t="shared" si="340"/>
        <v>0</v>
      </c>
      <c r="G1104" s="168">
        <f t="shared" si="341"/>
        <v>27.700831024930746</v>
      </c>
      <c r="H1104" s="168">
        <f t="shared" si="342"/>
        <v>0</v>
      </c>
      <c r="I1104" s="168">
        <f t="shared" si="343"/>
        <v>30</v>
      </c>
      <c r="J1104" s="739"/>
      <c r="K1104" s="168">
        <f>IF(J1104&lt;&gt;"",J1104,IF(ISERROR(Personalplanung!AB64/Monatsplanung!$E64*Monatsplanung!$Q64),0,Personalplanung!AB64/Monatsplanung!$E64*Monatsplanung!$Q64))</f>
        <v>0</v>
      </c>
      <c r="L1104" s="740"/>
      <c r="M1104" s="739"/>
      <c r="N1104" s="168">
        <f>IF(M1104&lt;&gt;"",M1104,IF(ISERROR(Personalplanung!AC64/Monatsplanung!$E64*Monatsplanung!$Q64),0,Personalplanung!AC64/Monatsplanung!$E64*Monatsplanung!$Q64))</f>
        <v>0</v>
      </c>
      <c r="O1104" s="740"/>
      <c r="P1104" s="739"/>
      <c r="Q1104" s="168">
        <f>IF(P1104&lt;&gt;"",P1104,IF(ISERROR(Personalplanung!AD64/Monatsplanung!$E64*Monatsplanung!$Q64),0,Personalplanung!AD64/Monatsplanung!$E64*Monatsplanung!$Q64))</f>
        <v>0</v>
      </c>
      <c r="R1104" s="740"/>
      <c r="S1104" s="739"/>
      <c r="T1104" s="168">
        <f>IF(S1104&lt;&gt;"",S1104,IF(ISERROR(Personalplanung!AE64/Monatsplanung!$E64*Monatsplanung!$Q64),0,Personalplanung!AE64/Monatsplanung!$E64*Monatsplanung!$Q64))</f>
        <v>0</v>
      </c>
      <c r="U1104" s="740"/>
      <c r="V1104" s="168">
        <f t="shared" si="344"/>
        <v>0</v>
      </c>
      <c r="W1104" s="168">
        <f>IF(ISERROR(Personalplanung!P64/Monatsplanung!$E64*Monatsplanung!$Q64),0,Personalplanung!P64/Monatsplanung!$E64*Monatsplanung!$Q64)</f>
        <v>0</v>
      </c>
      <c r="X1104" s="168">
        <f>IF(ISERROR(Personalplanung!Q64/Monatsplanung!$E64*Monatsplanung!$Q64),0,Personalplanung!Q64/Monatsplanung!$E64*Monatsplanung!$Q64)</f>
        <v>0</v>
      </c>
      <c r="Y1104" s="168">
        <f>IF(ISERROR(Personalplanung!R64/T1312*Stundencontrolling!T1104),0,Personalplanung!R64/T1312*Stundencontrolling!T1104)</f>
        <v>0</v>
      </c>
      <c r="Z1104" s="168">
        <f>IF(ISERROR(Personalplanung!S64/Monatsplanung!$E64*Monatsplanung!$Q64),0,Personalplanung!S64/Monatsplanung!$E64*Monatsplanung!$Q64)</f>
        <v>0</v>
      </c>
      <c r="AA1104" s="80">
        <f t="shared" si="345"/>
        <v>0</v>
      </c>
      <c r="AB1104" s="102">
        <f t="shared" si="346"/>
        <v>0.1</v>
      </c>
      <c r="AC1104" s="103">
        <f t="shared" si="347"/>
        <v>0</v>
      </c>
      <c r="AD1104" s="103">
        <f t="shared" si="348"/>
        <v>0</v>
      </c>
      <c r="AE1104" s="81">
        <f t="shared" si="349"/>
        <v>0</v>
      </c>
      <c r="AF1104" s="539"/>
      <c r="AG1104" s="104">
        <f t="shared" si="350"/>
        <v>1</v>
      </c>
      <c r="AH1104" s="7">
        <f t="shared" si="351"/>
        <v>0</v>
      </c>
      <c r="AI1104" s="6">
        <f t="shared" si="352"/>
        <v>0</v>
      </c>
      <c r="AJ1104" s="73">
        <f t="shared" si="353"/>
        <v>0</v>
      </c>
      <c r="AK1104" s="539"/>
      <c r="AL1104" s="748"/>
      <c r="AM1104" s="748"/>
    </row>
    <row r="1105" spans="2:39" x14ac:dyDescent="0.2">
      <c r="B1105" s="101" t="str">
        <f t="shared" si="338"/>
        <v/>
      </c>
      <c r="C1105" s="168">
        <f>IF(ISERROR(Personalplanung!F65/Monatsplanung!$E65*Monatsplanung!$Q65),0,Personalplanung!F65/Monatsplanung!$E65*Monatsplanung!$Q65)</f>
        <v>0</v>
      </c>
      <c r="D1105" s="168">
        <f t="shared" si="339"/>
        <v>0</v>
      </c>
      <c r="E1105" s="168">
        <f>IF(ISERROR(Personalplanung!H65/Monatsplanung!$E65*Monatsplanung!$Q65),0,Personalplanung!H65/Monatsplanung!$E65*Monatsplanung!$Q65)</f>
        <v>0</v>
      </c>
      <c r="F1105" s="168">
        <f t="shared" si="340"/>
        <v>0</v>
      </c>
      <c r="G1105" s="168">
        <f t="shared" si="341"/>
        <v>27.700831024930746</v>
      </c>
      <c r="H1105" s="168">
        <f t="shared" si="342"/>
        <v>0</v>
      </c>
      <c r="I1105" s="168">
        <f t="shared" si="343"/>
        <v>30</v>
      </c>
      <c r="J1105" s="739"/>
      <c r="K1105" s="168">
        <f>IF(J1105&lt;&gt;"",J1105,IF(ISERROR(Personalplanung!AB65/Monatsplanung!$E65*Monatsplanung!$Q65),0,Personalplanung!AB65/Monatsplanung!$E65*Monatsplanung!$Q65))</f>
        <v>0</v>
      </c>
      <c r="L1105" s="740"/>
      <c r="M1105" s="739"/>
      <c r="N1105" s="168">
        <f>IF(M1105&lt;&gt;"",M1105,IF(ISERROR(Personalplanung!AC65/Monatsplanung!$E65*Monatsplanung!$Q65),0,Personalplanung!AC65/Monatsplanung!$E65*Monatsplanung!$Q65))</f>
        <v>0</v>
      </c>
      <c r="O1105" s="740"/>
      <c r="P1105" s="739"/>
      <c r="Q1105" s="168">
        <f>IF(P1105&lt;&gt;"",P1105,IF(ISERROR(Personalplanung!AD65/Monatsplanung!$E65*Monatsplanung!$Q65),0,Personalplanung!AD65/Monatsplanung!$E65*Monatsplanung!$Q65))</f>
        <v>0</v>
      </c>
      <c r="R1105" s="740"/>
      <c r="S1105" s="739"/>
      <c r="T1105" s="168">
        <f>IF(S1105&lt;&gt;"",S1105,IF(ISERROR(Personalplanung!AE65/Monatsplanung!$E65*Monatsplanung!$Q65),0,Personalplanung!AE65/Monatsplanung!$E65*Monatsplanung!$Q65))</f>
        <v>0</v>
      </c>
      <c r="U1105" s="740"/>
      <c r="V1105" s="168">
        <f t="shared" si="344"/>
        <v>0</v>
      </c>
      <c r="W1105" s="168">
        <f>IF(ISERROR(Personalplanung!P65/Monatsplanung!$E65*Monatsplanung!$Q65),0,Personalplanung!P65/Monatsplanung!$E65*Monatsplanung!$Q65)</f>
        <v>0</v>
      </c>
      <c r="X1105" s="168">
        <f>IF(ISERROR(Personalplanung!Q65/Monatsplanung!$E65*Monatsplanung!$Q65),0,Personalplanung!Q65/Monatsplanung!$E65*Monatsplanung!$Q65)</f>
        <v>0</v>
      </c>
      <c r="Y1105" s="168">
        <f>IF(ISERROR(Personalplanung!R65/T1313*Stundencontrolling!T1105),0,Personalplanung!R65/T1313*Stundencontrolling!T1105)</f>
        <v>0</v>
      </c>
      <c r="Z1105" s="168">
        <f>IF(ISERROR(Personalplanung!S65/Monatsplanung!$E65*Monatsplanung!$Q65),0,Personalplanung!S65/Monatsplanung!$E65*Monatsplanung!$Q65)</f>
        <v>0</v>
      </c>
      <c r="AA1105" s="80">
        <f t="shared" si="345"/>
        <v>0</v>
      </c>
      <c r="AB1105" s="102">
        <f t="shared" si="346"/>
        <v>0.1</v>
      </c>
      <c r="AC1105" s="103">
        <f t="shared" si="347"/>
        <v>0</v>
      </c>
      <c r="AD1105" s="103">
        <f t="shared" si="348"/>
        <v>0</v>
      </c>
      <c r="AE1105" s="81">
        <f t="shared" si="349"/>
        <v>0</v>
      </c>
      <c r="AF1105" s="539"/>
      <c r="AG1105" s="104">
        <f t="shared" si="350"/>
        <v>1</v>
      </c>
      <c r="AH1105" s="7">
        <f t="shared" si="351"/>
        <v>0</v>
      </c>
      <c r="AI1105" s="6">
        <f t="shared" si="352"/>
        <v>0</v>
      </c>
      <c r="AJ1105" s="73">
        <f t="shared" si="353"/>
        <v>0</v>
      </c>
      <c r="AK1105" s="539"/>
      <c r="AL1105" s="748"/>
      <c r="AM1105" s="748"/>
    </row>
    <row r="1106" spans="2:39" x14ac:dyDescent="0.2">
      <c r="B1106" s="101" t="str">
        <f t="shared" si="338"/>
        <v/>
      </c>
      <c r="C1106" s="168">
        <f>IF(ISERROR(Personalplanung!F66/Monatsplanung!$E66*Monatsplanung!$Q66),0,Personalplanung!F66/Monatsplanung!$E66*Monatsplanung!$Q66)</f>
        <v>0</v>
      </c>
      <c r="D1106" s="168">
        <f t="shared" si="339"/>
        <v>0</v>
      </c>
      <c r="E1106" s="168">
        <f>IF(ISERROR(Personalplanung!H66/Monatsplanung!$E66*Monatsplanung!$Q66),0,Personalplanung!H66/Monatsplanung!$E66*Monatsplanung!$Q66)</f>
        <v>0</v>
      </c>
      <c r="F1106" s="168">
        <f t="shared" si="340"/>
        <v>0</v>
      </c>
      <c r="G1106" s="168">
        <f t="shared" si="341"/>
        <v>27.700831024930746</v>
      </c>
      <c r="H1106" s="168">
        <f t="shared" si="342"/>
        <v>0</v>
      </c>
      <c r="I1106" s="168">
        <f t="shared" si="343"/>
        <v>30</v>
      </c>
      <c r="J1106" s="739"/>
      <c r="K1106" s="168">
        <f>IF(J1106&lt;&gt;"",J1106,IF(ISERROR(Personalplanung!AB66/Monatsplanung!$E66*Monatsplanung!$Q66),0,Personalplanung!AB66/Monatsplanung!$E66*Monatsplanung!$Q66))</f>
        <v>0</v>
      </c>
      <c r="L1106" s="740"/>
      <c r="M1106" s="739"/>
      <c r="N1106" s="168">
        <f>IF(M1106&lt;&gt;"",M1106,IF(ISERROR(Personalplanung!AC66/Monatsplanung!$E66*Monatsplanung!$Q66),0,Personalplanung!AC66/Monatsplanung!$E66*Monatsplanung!$Q66))</f>
        <v>0</v>
      </c>
      <c r="O1106" s="740"/>
      <c r="P1106" s="739"/>
      <c r="Q1106" s="168">
        <f>IF(P1106&lt;&gt;"",P1106,IF(ISERROR(Personalplanung!AD66/Monatsplanung!$E66*Monatsplanung!$Q66),0,Personalplanung!AD66/Monatsplanung!$E66*Monatsplanung!$Q66))</f>
        <v>0</v>
      </c>
      <c r="R1106" s="740"/>
      <c r="S1106" s="739"/>
      <c r="T1106" s="168">
        <f>IF(S1106&lt;&gt;"",S1106,IF(ISERROR(Personalplanung!AE66/Monatsplanung!$E66*Monatsplanung!$Q66),0,Personalplanung!AE66/Monatsplanung!$E66*Monatsplanung!$Q66))</f>
        <v>0</v>
      </c>
      <c r="U1106" s="740"/>
      <c r="V1106" s="168">
        <f t="shared" si="344"/>
        <v>0</v>
      </c>
      <c r="W1106" s="168">
        <f>IF(ISERROR(Personalplanung!P66/Monatsplanung!$E66*Monatsplanung!$Q66),0,Personalplanung!P66/Monatsplanung!$E66*Monatsplanung!$Q66)</f>
        <v>0</v>
      </c>
      <c r="X1106" s="168">
        <f>IF(ISERROR(Personalplanung!Q66/Monatsplanung!$E66*Monatsplanung!$Q66),0,Personalplanung!Q66/Monatsplanung!$E66*Monatsplanung!$Q66)</f>
        <v>0</v>
      </c>
      <c r="Y1106" s="168">
        <f>IF(ISERROR(Personalplanung!R66/T1314*Stundencontrolling!T1106),0,Personalplanung!R66/T1314*Stundencontrolling!T1106)</f>
        <v>0</v>
      </c>
      <c r="Z1106" s="168">
        <f>IF(ISERROR(Personalplanung!S66/Monatsplanung!$E66*Monatsplanung!$Q66),0,Personalplanung!S66/Monatsplanung!$E66*Monatsplanung!$Q66)</f>
        <v>0</v>
      </c>
      <c r="AA1106" s="80">
        <f t="shared" si="345"/>
        <v>0</v>
      </c>
      <c r="AB1106" s="102">
        <f t="shared" si="346"/>
        <v>0.1</v>
      </c>
      <c r="AC1106" s="103">
        <f t="shared" si="347"/>
        <v>0</v>
      </c>
      <c r="AD1106" s="103">
        <f t="shared" si="348"/>
        <v>0</v>
      </c>
      <c r="AE1106" s="81">
        <f t="shared" si="349"/>
        <v>0</v>
      </c>
      <c r="AF1106" s="539"/>
      <c r="AG1106" s="104">
        <f t="shared" si="350"/>
        <v>1</v>
      </c>
      <c r="AH1106" s="7">
        <f t="shared" si="351"/>
        <v>0</v>
      </c>
      <c r="AI1106" s="6">
        <f t="shared" si="352"/>
        <v>0</v>
      </c>
      <c r="AJ1106" s="73">
        <f t="shared" si="353"/>
        <v>0</v>
      </c>
      <c r="AK1106" s="539"/>
      <c r="AL1106" s="748"/>
      <c r="AM1106" s="748"/>
    </row>
    <row r="1107" spans="2:39" x14ac:dyDescent="0.2">
      <c r="B1107" s="101" t="str">
        <f t="shared" si="338"/>
        <v/>
      </c>
      <c r="C1107" s="168">
        <f>IF(ISERROR(Personalplanung!F67/Monatsplanung!$E67*Monatsplanung!$Q67),0,Personalplanung!F67/Monatsplanung!$E67*Monatsplanung!$Q67)</f>
        <v>0</v>
      </c>
      <c r="D1107" s="168">
        <f t="shared" si="339"/>
        <v>0</v>
      </c>
      <c r="E1107" s="168">
        <f>IF(ISERROR(Personalplanung!H67/Monatsplanung!$E67*Monatsplanung!$Q67),0,Personalplanung!H67/Monatsplanung!$E67*Monatsplanung!$Q67)</f>
        <v>0</v>
      </c>
      <c r="F1107" s="168">
        <f t="shared" si="340"/>
        <v>0</v>
      </c>
      <c r="G1107" s="168">
        <f t="shared" si="341"/>
        <v>27.700831024930746</v>
      </c>
      <c r="H1107" s="168">
        <f t="shared" si="342"/>
        <v>0</v>
      </c>
      <c r="I1107" s="168">
        <f t="shared" si="343"/>
        <v>30</v>
      </c>
      <c r="J1107" s="739"/>
      <c r="K1107" s="168">
        <f>IF(J1107&lt;&gt;"",J1107,IF(ISERROR(Personalplanung!AB67/Monatsplanung!$E67*Monatsplanung!$Q67),0,Personalplanung!AB67/Monatsplanung!$E67*Monatsplanung!$Q67))</f>
        <v>0</v>
      </c>
      <c r="L1107" s="740"/>
      <c r="M1107" s="739"/>
      <c r="N1107" s="168">
        <f>IF(M1107&lt;&gt;"",M1107,IF(ISERROR(Personalplanung!AC67/Monatsplanung!$E67*Monatsplanung!$Q67),0,Personalplanung!AC67/Monatsplanung!$E67*Monatsplanung!$Q67))</f>
        <v>0</v>
      </c>
      <c r="O1107" s="740"/>
      <c r="P1107" s="739"/>
      <c r="Q1107" s="168">
        <f>IF(P1107&lt;&gt;"",P1107,IF(ISERROR(Personalplanung!AD67/Monatsplanung!$E67*Monatsplanung!$Q67),0,Personalplanung!AD67/Monatsplanung!$E67*Monatsplanung!$Q67))</f>
        <v>0</v>
      </c>
      <c r="R1107" s="740"/>
      <c r="S1107" s="739"/>
      <c r="T1107" s="168">
        <f>IF(S1107&lt;&gt;"",S1107,IF(ISERROR(Personalplanung!AE67/Monatsplanung!$E67*Monatsplanung!$Q67),0,Personalplanung!AE67/Monatsplanung!$E67*Monatsplanung!$Q67))</f>
        <v>0</v>
      </c>
      <c r="U1107" s="740"/>
      <c r="V1107" s="168">
        <f t="shared" si="344"/>
        <v>0</v>
      </c>
      <c r="W1107" s="168">
        <f>IF(ISERROR(Personalplanung!P67/Monatsplanung!$E67*Monatsplanung!$Q67),0,Personalplanung!P67/Monatsplanung!$E67*Monatsplanung!$Q67)</f>
        <v>0</v>
      </c>
      <c r="X1107" s="168">
        <f>IF(ISERROR(Personalplanung!Q67/Monatsplanung!$E67*Monatsplanung!$Q67),0,Personalplanung!Q67/Monatsplanung!$E67*Monatsplanung!$Q67)</f>
        <v>0</v>
      </c>
      <c r="Y1107" s="168">
        <f>IF(ISERROR(Personalplanung!R67/T1315*Stundencontrolling!T1107),0,Personalplanung!R67/T1315*Stundencontrolling!T1107)</f>
        <v>0</v>
      </c>
      <c r="Z1107" s="168">
        <f>IF(ISERROR(Personalplanung!S67/Monatsplanung!$E67*Monatsplanung!$Q67),0,Personalplanung!S67/Monatsplanung!$E67*Monatsplanung!$Q67)</f>
        <v>0</v>
      </c>
      <c r="AA1107" s="80">
        <f t="shared" si="345"/>
        <v>0</v>
      </c>
      <c r="AB1107" s="102">
        <f t="shared" si="346"/>
        <v>0.1</v>
      </c>
      <c r="AC1107" s="103">
        <f t="shared" si="347"/>
        <v>0</v>
      </c>
      <c r="AD1107" s="103">
        <f t="shared" si="348"/>
        <v>0</v>
      </c>
      <c r="AE1107" s="81">
        <f t="shared" si="349"/>
        <v>0</v>
      </c>
      <c r="AF1107" s="539"/>
      <c r="AG1107" s="104">
        <f t="shared" si="350"/>
        <v>1</v>
      </c>
      <c r="AH1107" s="7">
        <f t="shared" si="351"/>
        <v>0</v>
      </c>
      <c r="AI1107" s="6">
        <f t="shared" si="352"/>
        <v>0</v>
      </c>
      <c r="AJ1107" s="73">
        <f t="shared" si="353"/>
        <v>0</v>
      </c>
      <c r="AK1107" s="539"/>
      <c r="AL1107" s="748"/>
      <c r="AM1107" s="748"/>
    </row>
    <row r="1108" spans="2:39" x14ac:dyDescent="0.2">
      <c r="B1108" s="101" t="str">
        <f t="shared" si="338"/>
        <v/>
      </c>
      <c r="C1108" s="168">
        <f>IF(ISERROR(Personalplanung!F68/Monatsplanung!$E68*Monatsplanung!$Q68),0,Personalplanung!F68/Monatsplanung!$E68*Monatsplanung!$Q68)</f>
        <v>0</v>
      </c>
      <c r="D1108" s="168">
        <f t="shared" si="339"/>
        <v>0</v>
      </c>
      <c r="E1108" s="168">
        <f>IF(ISERROR(Personalplanung!H68/Monatsplanung!$E68*Monatsplanung!$Q68),0,Personalplanung!H68/Monatsplanung!$E68*Monatsplanung!$Q68)</f>
        <v>0</v>
      </c>
      <c r="F1108" s="168">
        <f t="shared" si="340"/>
        <v>0</v>
      </c>
      <c r="G1108" s="168">
        <f t="shared" si="341"/>
        <v>27.700831024930746</v>
      </c>
      <c r="H1108" s="168">
        <f t="shared" si="342"/>
        <v>0</v>
      </c>
      <c r="I1108" s="168">
        <f t="shared" si="343"/>
        <v>30</v>
      </c>
      <c r="J1108" s="739"/>
      <c r="K1108" s="168">
        <f>IF(J1108&lt;&gt;"",J1108,IF(ISERROR(Personalplanung!AB68/Monatsplanung!$E68*Monatsplanung!$Q68),0,Personalplanung!AB68/Monatsplanung!$E68*Monatsplanung!$Q68))</f>
        <v>0</v>
      </c>
      <c r="L1108" s="740"/>
      <c r="M1108" s="739"/>
      <c r="N1108" s="168">
        <f>IF(M1108&lt;&gt;"",M1108,IF(ISERROR(Personalplanung!AC68/Monatsplanung!$E68*Monatsplanung!$Q68),0,Personalplanung!AC68/Monatsplanung!$E68*Monatsplanung!$Q68))</f>
        <v>0</v>
      </c>
      <c r="O1108" s="740"/>
      <c r="P1108" s="739"/>
      <c r="Q1108" s="168">
        <f>IF(P1108&lt;&gt;"",P1108,IF(ISERROR(Personalplanung!AD68/Monatsplanung!$E68*Monatsplanung!$Q68),0,Personalplanung!AD68/Monatsplanung!$E68*Monatsplanung!$Q68))</f>
        <v>0</v>
      </c>
      <c r="R1108" s="740"/>
      <c r="S1108" s="739"/>
      <c r="T1108" s="168">
        <f>IF(S1108&lt;&gt;"",S1108,IF(ISERROR(Personalplanung!AE68/Monatsplanung!$E68*Monatsplanung!$Q68),0,Personalplanung!AE68/Monatsplanung!$E68*Monatsplanung!$Q68))</f>
        <v>0</v>
      </c>
      <c r="U1108" s="740"/>
      <c r="V1108" s="168">
        <f t="shared" si="344"/>
        <v>0</v>
      </c>
      <c r="W1108" s="168">
        <f>IF(ISERROR(Personalplanung!P68/Monatsplanung!$E68*Monatsplanung!$Q68),0,Personalplanung!P68/Monatsplanung!$E68*Monatsplanung!$Q68)</f>
        <v>0</v>
      </c>
      <c r="X1108" s="168">
        <f>IF(ISERROR(Personalplanung!Q68/Monatsplanung!$E68*Monatsplanung!$Q68),0,Personalplanung!Q68/Monatsplanung!$E68*Monatsplanung!$Q68)</f>
        <v>0</v>
      </c>
      <c r="Y1108" s="168">
        <f>IF(ISERROR(Personalplanung!R68/T1316*Stundencontrolling!T1108),0,Personalplanung!R68/T1316*Stundencontrolling!T1108)</f>
        <v>0</v>
      </c>
      <c r="Z1108" s="168">
        <f>IF(ISERROR(Personalplanung!S68/Monatsplanung!$E68*Monatsplanung!$Q68),0,Personalplanung!S68/Monatsplanung!$E68*Monatsplanung!$Q68)</f>
        <v>0</v>
      </c>
      <c r="AA1108" s="80">
        <f t="shared" si="345"/>
        <v>0</v>
      </c>
      <c r="AB1108" s="102">
        <f t="shared" si="346"/>
        <v>0.1</v>
      </c>
      <c r="AC1108" s="103">
        <f t="shared" si="347"/>
        <v>0</v>
      </c>
      <c r="AD1108" s="103">
        <f t="shared" si="348"/>
        <v>0</v>
      </c>
      <c r="AE1108" s="81">
        <f t="shared" si="349"/>
        <v>0</v>
      </c>
      <c r="AF1108" s="539"/>
      <c r="AG1108" s="104">
        <f t="shared" si="350"/>
        <v>1</v>
      </c>
      <c r="AH1108" s="7">
        <f t="shared" si="351"/>
        <v>0</v>
      </c>
      <c r="AI1108" s="6">
        <f t="shared" si="352"/>
        <v>0</v>
      </c>
      <c r="AJ1108" s="73">
        <f t="shared" si="353"/>
        <v>0</v>
      </c>
      <c r="AK1108" s="539"/>
      <c r="AL1108" s="748"/>
      <c r="AM1108" s="748"/>
    </row>
    <row r="1109" spans="2:39" x14ac:dyDescent="0.2">
      <c r="B1109" s="101" t="str">
        <f t="shared" si="338"/>
        <v/>
      </c>
      <c r="C1109" s="168">
        <f>IF(ISERROR(Personalplanung!F69/Monatsplanung!$E69*Monatsplanung!$Q69),0,Personalplanung!F69/Monatsplanung!$E69*Monatsplanung!$Q69)</f>
        <v>0</v>
      </c>
      <c r="D1109" s="168">
        <f t="shared" si="339"/>
        <v>0</v>
      </c>
      <c r="E1109" s="168">
        <f>IF(ISERROR(Personalplanung!H69/Monatsplanung!$E69*Monatsplanung!$Q69),0,Personalplanung!H69/Monatsplanung!$E69*Monatsplanung!$Q69)</f>
        <v>0</v>
      </c>
      <c r="F1109" s="168">
        <f t="shared" si="340"/>
        <v>0</v>
      </c>
      <c r="G1109" s="168">
        <f t="shared" si="341"/>
        <v>27.700831024930746</v>
      </c>
      <c r="H1109" s="168">
        <f t="shared" si="342"/>
        <v>0</v>
      </c>
      <c r="I1109" s="168">
        <f t="shared" si="343"/>
        <v>30</v>
      </c>
      <c r="J1109" s="739"/>
      <c r="K1109" s="168">
        <f>IF(J1109&lt;&gt;"",J1109,IF(ISERROR(Personalplanung!AB69/Monatsplanung!$E69*Monatsplanung!$Q69),0,Personalplanung!AB69/Monatsplanung!$E69*Monatsplanung!$Q69))</f>
        <v>0</v>
      </c>
      <c r="L1109" s="740"/>
      <c r="M1109" s="739"/>
      <c r="N1109" s="168">
        <f>IF(M1109&lt;&gt;"",M1109,IF(ISERROR(Personalplanung!AC69/Monatsplanung!$E69*Monatsplanung!$Q69),0,Personalplanung!AC69/Monatsplanung!$E69*Monatsplanung!$Q69))</f>
        <v>0</v>
      </c>
      <c r="O1109" s="740"/>
      <c r="P1109" s="739"/>
      <c r="Q1109" s="168">
        <f>IF(P1109&lt;&gt;"",P1109,IF(ISERROR(Personalplanung!AD69/Monatsplanung!$E69*Monatsplanung!$Q69),0,Personalplanung!AD69/Monatsplanung!$E69*Monatsplanung!$Q69))</f>
        <v>0</v>
      </c>
      <c r="R1109" s="740"/>
      <c r="S1109" s="739"/>
      <c r="T1109" s="168">
        <f>IF(S1109&lt;&gt;"",S1109,IF(ISERROR(Personalplanung!AE69/Monatsplanung!$E69*Monatsplanung!$Q69),0,Personalplanung!AE69/Monatsplanung!$E69*Monatsplanung!$Q69))</f>
        <v>0</v>
      </c>
      <c r="U1109" s="740"/>
      <c r="V1109" s="168">
        <f t="shared" si="344"/>
        <v>0</v>
      </c>
      <c r="W1109" s="168">
        <f>IF(ISERROR(Personalplanung!P69/Monatsplanung!$E69*Monatsplanung!$Q69),0,Personalplanung!P69/Monatsplanung!$E69*Monatsplanung!$Q69)</f>
        <v>0</v>
      </c>
      <c r="X1109" s="168">
        <f>IF(ISERROR(Personalplanung!Q69/Monatsplanung!$E69*Monatsplanung!$Q69),0,Personalplanung!Q69/Monatsplanung!$E69*Monatsplanung!$Q69)</f>
        <v>0</v>
      </c>
      <c r="Y1109" s="168">
        <f>IF(ISERROR(Personalplanung!R69/T1317*Stundencontrolling!T1109),0,Personalplanung!R69/T1317*Stundencontrolling!T1109)</f>
        <v>0</v>
      </c>
      <c r="Z1109" s="168">
        <f>IF(ISERROR(Personalplanung!S69/Monatsplanung!$E69*Monatsplanung!$Q69),0,Personalplanung!S69/Monatsplanung!$E69*Monatsplanung!$Q69)</f>
        <v>0</v>
      </c>
      <c r="AA1109" s="80">
        <f t="shared" si="345"/>
        <v>0</v>
      </c>
      <c r="AB1109" s="102">
        <f t="shared" si="346"/>
        <v>0.1</v>
      </c>
      <c r="AC1109" s="103">
        <f t="shared" si="347"/>
        <v>0</v>
      </c>
      <c r="AD1109" s="103">
        <f t="shared" si="348"/>
        <v>0</v>
      </c>
      <c r="AE1109" s="81">
        <f t="shared" si="349"/>
        <v>0</v>
      </c>
      <c r="AF1109" s="539"/>
      <c r="AG1109" s="104">
        <f t="shared" si="350"/>
        <v>1</v>
      </c>
      <c r="AH1109" s="7">
        <f t="shared" si="351"/>
        <v>0</v>
      </c>
      <c r="AI1109" s="6">
        <f t="shared" si="352"/>
        <v>0</v>
      </c>
      <c r="AJ1109" s="73">
        <f t="shared" si="353"/>
        <v>0</v>
      </c>
      <c r="AK1109" s="539"/>
      <c r="AL1109" s="748"/>
      <c r="AM1109" s="748"/>
    </row>
    <row r="1110" spans="2:39" x14ac:dyDescent="0.2">
      <c r="B1110" s="101" t="str">
        <f t="shared" si="338"/>
        <v/>
      </c>
      <c r="C1110" s="168">
        <f>IF(ISERROR(Personalplanung!F70/Monatsplanung!$E70*Monatsplanung!$Q70),0,Personalplanung!F70/Monatsplanung!$E70*Monatsplanung!$Q70)</f>
        <v>0</v>
      </c>
      <c r="D1110" s="168">
        <f t="shared" si="339"/>
        <v>0</v>
      </c>
      <c r="E1110" s="168">
        <f>IF(ISERROR(Personalplanung!H70/Monatsplanung!$E70*Monatsplanung!$Q70),0,Personalplanung!H70/Monatsplanung!$E70*Monatsplanung!$Q70)</f>
        <v>0</v>
      </c>
      <c r="F1110" s="168">
        <f t="shared" si="340"/>
        <v>0</v>
      </c>
      <c r="G1110" s="168">
        <f t="shared" si="341"/>
        <v>27.700831024930746</v>
      </c>
      <c r="H1110" s="168">
        <f t="shared" si="342"/>
        <v>0</v>
      </c>
      <c r="I1110" s="168">
        <f t="shared" si="343"/>
        <v>30</v>
      </c>
      <c r="J1110" s="739"/>
      <c r="K1110" s="168">
        <f>IF(J1110&lt;&gt;"",J1110,IF(ISERROR(Personalplanung!AB70/Monatsplanung!$E70*Monatsplanung!$Q70),0,Personalplanung!AB70/Monatsplanung!$E70*Monatsplanung!$Q70))</f>
        <v>0</v>
      </c>
      <c r="L1110" s="740"/>
      <c r="M1110" s="739"/>
      <c r="N1110" s="168">
        <f>IF(M1110&lt;&gt;"",M1110,IF(ISERROR(Personalplanung!AC70/Monatsplanung!$E70*Monatsplanung!$Q70),0,Personalplanung!AC70/Monatsplanung!$E70*Monatsplanung!$Q70))</f>
        <v>0</v>
      </c>
      <c r="O1110" s="740"/>
      <c r="P1110" s="739"/>
      <c r="Q1110" s="168">
        <f>IF(P1110&lt;&gt;"",P1110,IF(ISERROR(Personalplanung!AD70/Monatsplanung!$E70*Monatsplanung!$Q70),0,Personalplanung!AD70/Monatsplanung!$E70*Monatsplanung!$Q70))</f>
        <v>0</v>
      </c>
      <c r="R1110" s="740"/>
      <c r="S1110" s="739"/>
      <c r="T1110" s="168">
        <f>IF(S1110&lt;&gt;"",S1110,IF(ISERROR(Personalplanung!AE70/Monatsplanung!$E70*Monatsplanung!$Q70),0,Personalplanung!AE70/Monatsplanung!$E70*Monatsplanung!$Q70))</f>
        <v>0</v>
      </c>
      <c r="U1110" s="740"/>
      <c r="V1110" s="168">
        <f t="shared" si="344"/>
        <v>0</v>
      </c>
      <c r="W1110" s="168">
        <f>IF(ISERROR(Personalplanung!P70/Monatsplanung!$E70*Monatsplanung!$Q70),0,Personalplanung!P70/Monatsplanung!$E70*Monatsplanung!$Q70)</f>
        <v>0</v>
      </c>
      <c r="X1110" s="168">
        <f>IF(ISERROR(Personalplanung!Q70/Monatsplanung!$E70*Monatsplanung!$Q70),0,Personalplanung!Q70/Monatsplanung!$E70*Monatsplanung!$Q70)</f>
        <v>0</v>
      </c>
      <c r="Y1110" s="168">
        <f>IF(ISERROR(Personalplanung!R70/T1318*Stundencontrolling!T1110),0,Personalplanung!R70/T1318*Stundencontrolling!T1110)</f>
        <v>0</v>
      </c>
      <c r="Z1110" s="168">
        <f>IF(ISERROR(Personalplanung!S70/Monatsplanung!$E70*Monatsplanung!$Q70),0,Personalplanung!S70/Monatsplanung!$E70*Monatsplanung!$Q70)</f>
        <v>0</v>
      </c>
      <c r="AA1110" s="80">
        <f t="shared" si="345"/>
        <v>0</v>
      </c>
      <c r="AB1110" s="102">
        <f t="shared" si="346"/>
        <v>0.1</v>
      </c>
      <c r="AC1110" s="103">
        <f t="shared" si="347"/>
        <v>0</v>
      </c>
      <c r="AD1110" s="103">
        <f t="shared" si="348"/>
        <v>0</v>
      </c>
      <c r="AE1110" s="81">
        <f t="shared" si="349"/>
        <v>0</v>
      </c>
      <c r="AF1110" s="539"/>
      <c r="AG1110" s="104">
        <f t="shared" si="350"/>
        <v>1</v>
      </c>
      <c r="AH1110" s="7">
        <f t="shared" si="351"/>
        <v>0</v>
      </c>
      <c r="AI1110" s="6">
        <f t="shared" si="352"/>
        <v>0</v>
      </c>
      <c r="AJ1110" s="73">
        <f t="shared" si="353"/>
        <v>0</v>
      </c>
      <c r="AK1110" s="539"/>
      <c r="AL1110" s="748"/>
      <c r="AM1110" s="748"/>
    </row>
    <row r="1111" spans="2:39" x14ac:dyDescent="0.2">
      <c r="B1111" s="101" t="str">
        <f t="shared" ref="B1111:B1146" si="354">$B1007</f>
        <v/>
      </c>
      <c r="C1111" s="168">
        <f>IF(ISERROR(Personalplanung!F71/Monatsplanung!$E71*Monatsplanung!$Q71),0,Personalplanung!F71/Monatsplanung!$E71*Monatsplanung!$Q71)</f>
        <v>0</v>
      </c>
      <c r="D1111" s="168">
        <f t="shared" ref="D1111:D1146" si="355">$D1007</f>
        <v>0</v>
      </c>
      <c r="E1111" s="168">
        <f>IF(ISERROR(Personalplanung!H71/Monatsplanung!$E71*Monatsplanung!$Q71),0,Personalplanung!H71/Monatsplanung!$E71*Monatsplanung!$Q71)</f>
        <v>0</v>
      </c>
      <c r="F1111" s="168">
        <f t="shared" ref="F1111:F1146" si="356">+C1111+E1111</f>
        <v>0</v>
      </c>
      <c r="G1111" s="168">
        <f t="shared" ref="G1111:G1146" si="357">$G$6</f>
        <v>27.700831024930746</v>
      </c>
      <c r="H1111" s="168">
        <f t="shared" ref="H1111:H1146" si="358">+F1111*G1111</f>
        <v>0</v>
      </c>
      <c r="I1111" s="168">
        <f t="shared" ref="I1111:I1146" si="359">$I$6</f>
        <v>30</v>
      </c>
      <c r="J1111" s="739"/>
      <c r="K1111" s="168">
        <f>IF(J1111&lt;&gt;"",J1111,IF(ISERROR(Personalplanung!AB71/Monatsplanung!$E71*Monatsplanung!$Q71),0,Personalplanung!AB71/Monatsplanung!$E71*Monatsplanung!$Q71))</f>
        <v>0</v>
      </c>
      <c r="L1111" s="740"/>
      <c r="M1111" s="739"/>
      <c r="N1111" s="168">
        <f>IF(M1111&lt;&gt;"",M1111,IF(ISERROR(Personalplanung!AC71/Monatsplanung!$E71*Monatsplanung!$Q71),0,Personalplanung!AC71/Monatsplanung!$E71*Monatsplanung!$Q71))</f>
        <v>0</v>
      </c>
      <c r="O1111" s="740"/>
      <c r="P1111" s="739"/>
      <c r="Q1111" s="168">
        <f>IF(P1111&lt;&gt;"",P1111,IF(ISERROR(Personalplanung!AD71/Monatsplanung!$E71*Monatsplanung!$Q71),0,Personalplanung!AD71/Monatsplanung!$E71*Monatsplanung!$Q71))</f>
        <v>0</v>
      </c>
      <c r="R1111" s="740"/>
      <c r="S1111" s="739"/>
      <c r="T1111" s="168">
        <f>IF(S1111&lt;&gt;"",S1111,IF(ISERROR(Personalplanung!AE71/Monatsplanung!$E71*Monatsplanung!$Q71),0,Personalplanung!AE71/Monatsplanung!$E71*Monatsplanung!$Q71))</f>
        <v>0</v>
      </c>
      <c r="U1111" s="740"/>
      <c r="V1111" s="168">
        <f t="shared" ref="V1111:V1146" si="360">K1111+N1111+Q1111+T1111</f>
        <v>0</v>
      </c>
      <c r="W1111" s="168">
        <f>IF(ISERROR(Personalplanung!P71/Monatsplanung!$E71*Monatsplanung!$Q71),0,Personalplanung!P71/Monatsplanung!$E71*Monatsplanung!$Q71)</f>
        <v>0</v>
      </c>
      <c r="X1111" s="168">
        <f>IF(ISERROR(Personalplanung!Q71/Monatsplanung!$E71*Monatsplanung!$Q71),0,Personalplanung!Q71/Monatsplanung!$E71*Monatsplanung!$Q71)</f>
        <v>0</v>
      </c>
      <c r="Y1111" s="168">
        <f>IF(ISERROR(Personalplanung!R71/T1319*Stundencontrolling!T1111),0,Personalplanung!R71/T1319*Stundencontrolling!T1111)</f>
        <v>0</v>
      </c>
      <c r="Z1111" s="168">
        <f>IF(ISERROR(Personalplanung!S71/Monatsplanung!$E71*Monatsplanung!$Q71),0,Personalplanung!S71/Monatsplanung!$E71*Monatsplanung!$Q71)</f>
        <v>0</v>
      </c>
      <c r="AA1111" s="80">
        <f t="shared" ref="AA1111:AA1146" si="361">+F1111*G1111*(1+I1111)+SUM(W1111:Z1111)</f>
        <v>0</v>
      </c>
      <c r="AB1111" s="102">
        <f t="shared" ref="AB1111:AB1146" si="362">$AB$6</f>
        <v>0.1</v>
      </c>
      <c r="AC1111" s="103">
        <f t="shared" ref="AC1111:AC1146" si="363">AB1111*AA1111</f>
        <v>0</v>
      </c>
      <c r="AD1111" s="103">
        <f t="shared" ref="AD1111:AD1146" si="364">AA1111-AC1111</f>
        <v>0</v>
      </c>
      <c r="AE1111" s="81">
        <f t="shared" ref="AE1111:AE1146" si="365">(F1111-(V1111*$D1111))*AB1111</f>
        <v>0</v>
      </c>
      <c r="AF1111" s="539"/>
      <c r="AG1111" s="104">
        <f t="shared" ref="AG1111:AG1146" si="366">$AG$6</f>
        <v>1</v>
      </c>
      <c r="AH1111" s="7">
        <f t="shared" ref="AH1111:AH1146" si="367">IF(ISERROR(AK1111/AF1111),0,AK1111/AF1111)</f>
        <v>0</v>
      </c>
      <c r="AI1111" s="6">
        <f t="shared" ref="AI1111:AI1146" si="368">AE1111*AG1111</f>
        <v>0</v>
      </c>
      <c r="AJ1111" s="73">
        <f t="shared" ref="AJ1111:AJ1146" si="369">IF(ISERROR(+AC1111/AI1111),0,+AC1111/AI1111)</f>
        <v>0</v>
      </c>
      <c r="AK1111" s="539"/>
      <c r="AL1111" s="748"/>
      <c r="AM1111" s="748"/>
    </row>
    <row r="1112" spans="2:39" x14ac:dyDescent="0.2">
      <c r="B1112" s="101" t="str">
        <f t="shared" si="354"/>
        <v/>
      </c>
      <c r="C1112" s="168">
        <f>IF(ISERROR(Personalplanung!F72/Monatsplanung!$E72*Monatsplanung!$Q72),0,Personalplanung!F72/Monatsplanung!$E72*Monatsplanung!$Q72)</f>
        <v>0</v>
      </c>
      <c r="D1112" s="168">
        <f t="shared" si="355"/>
        <v>0</v>
      </c>
      <c r="E1112" s="168">
        <f>IF(ISERROR(Personalplanung!H72/Monatsplanung!$E72*Monatsplanung!$Q72),0,Personalplanung!H72/Monatsplanung!$E72*Monatsplanung!$Q72)</f>
        <v>0</v>
      </c>
      <c r="F1112" s="168">
        <f t="shared" si="356"/>
        <v>0</v>
      </c>
      <c r="G1112" s="168">
        <f t="shared" si="357"/>
        <v>27.700831024930746</v>
      </c>
      <c r="H1112" s="168">
        <f t="shared" si="358"/>
        <v>0</v>
      </c>
      <c r="I1112" s="168">
        <f t="shared" si="359"/>
        <v>30</v>
      </c>
      <c r="J1112" s="739"/>
      <c r="K1112" s="168">
        <f>IF(J1112&lt;&gt;"",J1112,IF(ISERROR(Personalplanung!AB72/Monatsplanung!$E72*Monatsplanung!$Q72),0,Personalplanung!AB72/Monatsplanung!$E72*Monatsplanung!$Q72))</f>
        <v>0</v>
      </c>
      <c r="L1112" s="740"/>
      <c r="M1112" s="739"/>
      <c r="N1112" s="168">
        <f>IF(M1112&lt;&gt;"",M1112,IF(ISERROR(Personalplanung!AC72/Monatsplanung!$E72*Monatsplanung!$Q72),0,Personalplanung!AC72/Monatsplanung!$E72*Monatsplanung!$Q72))</f>
        <v>0</v>
      </c>
      <c r="O1112" s="740"/>
      <c r="P1112" s="739"/>
      <c r="Q1112" s="168">
        <f>IF(P1112&lt;&gt;"",P1112,IF(ISERROR(Personalplanung!AD72/Monatsplanung!$E72*Monatsplanung!$Q72),0,Personalplanung!AD72/Monatsplanung!$E72*Monatsplanung!$Q72))</f>
        <v>0</v>
      </c>
      <c r="R1112" s="740"/>
      <c r="S1112" s="739"/>
      <c r="T1112" s="168">
        <f>IF(S1112&lt;&gt;"",S1112,IF(ISERROR(Personalplanung!AE72/Monatsplanung!$E72*Monatsplanung!$Q72),0,Personalplanung!AE72/Monatsplanung!$E72*Monatsplanung!$Q72))</f>
        <v>0</v>
      </c>
      <c r="U1112" s="740"/>
      <c r="V1112" s="168">
        <f t="shared" si="360"/>
        <v>0</v>
      </c>
      <c r="W1112" s="168">
        <f>IF(ISERROR(Personalplanung!P72/Monatsplanung!$E72*Monatsplanung!$Q72),0,Personalplanung!P72/Monatsplanung!$E72*Monatsplanung!$Q72)</f>
        <v>0</v>
      </c>
      <c r="X1112" s="168">
        <f>IF(ISERROR(Personalplanung!Q72/Monatsplanung!$E72*Monatsplanung!$Q72),0,Personalplanung!Q72/Monatsplanung!$E72*Monatsplanung!$Q72)</f>
        <v>0</v>
      </c>
      <c r="Y1112" s="168">
        <f>IF(ISERROR(Personalplanung!R72/T1320*Stundencontrolling!T1112),0,Personalplanung!R72/T1320*Stundencontrolling!T1112)</f>
        <v>0</v>
      </c>
      <c r="Z1112" s="168">
        <f>IF(ISERROR(Personalplanung!S72/Monatsplanung!$E72*Monatsplanung!$Q72),0,Personalplanung!S72/Monatsplanung!$E72*Monatsplanung!$Q72)</f>
        <v>0</v>
      </c>
      <c r="AA1112" s="80">
        <f t="shared" si="361"/>
        <v>0</v>
      </c>
      <c r="AB1112" s="102">
        <f t="shared" si="362"/>
        <v>0.1</v>
      </c>
      <c r="AC1112" s="103">
        <f t="shared" si="363"/>
        <v>0</v>
      </c>
      <c r="AD1112" s="103">
        <f t="shared" si="364"/>
        <v>0</v>
      </c>
      <c r="AE1112" s="81">
        <f t="shared" si="365"/>
        <v>0</v>
      </c>
      <c r="AF1112" s="539"/>
      <c r="AG1112" s="104">
        <f t="shared" si="366"/>
        <v>1</v>
      </c>
      <c r="AH1112" s="7">
        <f t="shared" si="367"/>
        <v>0</v>
      </c>
      <c r="AI1112" s="6">
        <f t="shared" si="368"/>
        <v>0</v>
      </c>
      <c r="AJ1112" s="73">
        <f t="shared" si="369"/>
        <v>0</v>
      </c>
      <c r="AK1112" s="539"/>
      <c r="AL1112" s="748"/>
      <c r="AM1112" s="748"/>
    </row>
    <row r="1113" spans="2:39" x14ac:dyDescent="0.2">
      <c r="B1113" s="101" t="str">
        <f t="shared" si="354"/>
        <v/>
      </c>
      <c r="C1113" s="168">
        <f>IF(ISERROR(Personalplanung!F73/Monatsplanung!$E73*Monatsplanung!$Q73),0,Personalplanung!F73/Monatsplanung!$E73*Monatsplanung!$Q73)</f>
        <v>0</v>
      </c>
      <c r="D1113" s="168">
        <f t="shared" si="355"/>
        <v>0</v>
      </c>
      <c r="E1113" s="168">
        <f>IF(ISERROR(Personalplanung!H73/Monatsplanung!$E73*Monatsplanung!$Q73),0,Personalplanung!H73/Monatsplanung!$E73*Monatsplanung!$Q73)</f>
        <v>0</v>
      </c>
      <c r="F1113" s="168">
        <f t="shared" si="356"/>
        <v>0</v>
      </c>
      <c r="G1113" s="168">
        <f t="shared" si="357"/>
        <v>27.700831024930746</v>
      </c>
      <c r="H1113" s="168">
        <f t="shared" si="358"/>
        <v>0</v>
      </c>
      <c r="I1113" s="168">
        <f t="shared" si="359"/>
        <v>30</v>
      </c>
      <c r="J1113" s="739"/>
      <c r="K1113" s="168">
        <f>IF(J1113&lt;&gt;"",J1113,IF(ISERROR(Personalplanung!AB73/Monatsplanung!$E73*Monatsplanung!$Q73),0,Personalplanung!AB73/Monatsplanung!$E73*Monatsplanung!$Q73))</f>
        <v>0</v>
      </c>
      <c r="L1113" s="740"/>
      <c r="M1113" s="739"/>
      <c r="N1113" s="168">
        <f>IF(M1113&lt;&gt;"",M1113,IF(ISERROR(Personalplanung!AC73/Monatsplanung!$E73*Monatsplanung!$Q73),0,Personalplanung!AC73/Monatsplanung!$E73*Monatsplanung!$Q73))</f>
        <v>0</v>
      </c>
      <c r="O1113" s="740"/>
      <c r="P1113" s="739"/>
      <c r="Q1113" s="168">
        <f>IF(P1113&lt;&gt;"",P1113,IF(ISERROR(Personalplanung!AD73/Monatsplanung!$E73*Monatsplanung!$Q73),0,Personalplanung!AD73/Monatsplanung!$E73*Monatsplanung!$Q73))</f>
        <v>0</v>
      </c>
      <c r="R1113" s="740"/>
      <c r="S1113" s="739"/>
      <c r="T1113" s="168">
        <f>IF(S1113&lt;&gt;"",S1113,IF(ISERROR(Personalplanung!AE73/Monatsplanung!$E73*Monatsplanung!$Q73),0,Personalplanung!AE73/Monatsplanung!$E73*Monatsplanung!$Q73))</f>
        <v>0</v>
      </c>
      <c r="U1113" s="740"/>
      <c r="V1113" s="168">
        <f t="shared" si="360"/>
        <v>0</v>
      </c>
      <c r="W1113" s="168">
        <f>IF(ISERROR(Personalplanung!P73/Monatsplanung!$E73*Monatsplanung!$Q73),0,Personalplanung!P73/Monatsplanung!$E73*Monatsplanung!$Q73)</f>
        <v>0</v>
      </c>
      <c r="X1113" s="168">
        <f>IF(ISERROR(Personalplanung!Q73/Monatsplanung!$E73*Monatsplanung!$Q73),0,Personalplanung!Q73/Monatsplanung!$E73*Monatsplanung!$Q73)</f>
        <v>0</v>
      </c>
      <c r="Y1113" s="168">
        <f>IF(ISERROR(Personalplanung!R73/T1321*Stundencontrolling!T1113),0,Personalplanung!R73/T1321*Stundencontrolling!T1113)</f>
        <v>0</v>
      </c>
      <c r="Z1113" s="168">
        <f>IF(ISERROR(Personalplanung!S73/Monatsplanung!$E73*Monatsplanung!$Q73),0,Personalplanung!S73/Monatsplanung!$E73*Monatsplanung!$Q73)</f>
        <v>0</v>
      </c>
      <c r="AA1113" s="80">
        <f t="shared" si="361"/>
        <v>0</v>
      </c>
      <c r="AB1113" s="102">
        <f t="shared" si="362"/>
        <v>0.1</v>
      </c>
      <c r="AC1113" s="103">
        <f t="shared" si="363"/>
        <v>0</v>
      </c>
      <c r="AD1113" s="103">
        <f t="shared" si="364"/>
        <v>0</v>
      </c>
      <c r="AE1113" s="81">
        <f t="shared" si="365"/>
        <v>0</v>
      </c>
      <c r="AF1113" s="539"/>
      <c r="AG1113" s="104">
        <f t="shared" si="366"/>
        <v>1</v>
      </c>
      <c r="AH1113" s="7">
        <f t="shared" si="367"/>
        <v>0</v>
      </c>
      <c r="AI1113" s="6">
        <f t="shared" si="368"/>
        <v>0</v>
      </c>
      <c r="AJ1113" s="73">
        <f t="shared" si="369"/>
        <v>0</v>
      </c>
      <c r="AK1113" s="539"/>
      <c r="AL1113" s="748"/>
      <c r="AM1113" s="748"/>
    </row>
    <row r="1114" spans="2:39" x14ac:dyDescent="0.2">
      <c r="B1114" s="101" t="str">
        <f t="shared" si="354"/>
        <v/>
      </c>
      <c r="C1114" s="168">
        <f>IF(ISERROR(Personalplanung!F74/Monatsplanung!$E74*Monatsplanung!$Q74),0,Personalplanung!F74/Monatsplanung!$E74*Monatsplanung!$Q74)</f>
        <v>0</v>
      </c>
      <c r="D1114" s="168">
        <f t="shared" si="355"/>
        <v>0</v>
      </c>
      <c r="E1114" s="168">
        <f>IF(ISERROR(Personalplanung!H74/Monatsplanung!$E74*Monatsplanung!$Q74),0,Personalplanung!H74/Monatsplanung!$E74*Monatsplanung!$Q74)</f>
        <v>0</v>
      </c>
      <c r="F1114" s="168">
        <f t="shared" si="356"/>
        <v>0</v>
      </c>
      <c r="G1114" s="168">
        <f t="shared" si="357"/>
        <v>27.700831024930746</v>
      </c>
      <c r="H1114" s="168">
        <f t="shared" si="358"/>
        <v>0</v>
      </c>
      <c r="I1114" s="168">
        <f t="shared" si="359"/>
        <v>30</v>
      </c>
      <c r="J1114" s="739"/>
      <c r="K1114" s="168">
        <f>IF(J1114&lt;&gt;"",J1114,IF(ISERROR(Personalplanung!AB74/Monatsplanung!$E74*Monatsplanung!$Q74),0,Personalplanung!AB74/Monatsplanung!$E74*Monatsplanung!$Q74))</f>
        <v>0</v>
      </c>
      <c r="L1114" s="740"/>
      <c r="M1114" s="739"/>
      <c r="N1114" s="168">
        <f>IF(M1114&lt;&gt;"",M1114,IF(ISERROR(Personalplanung!AC74/Monatsplanung!$E74*Monatsplanung!$Q74),0,Personalplanung!AC74/Monatsplanung!$E74*Monatsplanung!$Q74))</f>
        <v>0</v>
      </c>
      <c r="O1114" s="740"/>
      <c r="P1114" s="739"/>
      <c r="Q1114" s="168">
        <f>IF(P1114&lt;&gt;"",P1114,IF(ISERROR(Personalplanung!AD74/Monatsplanung!$E74*Monatsplanung!$Q74),0,Personalplanung!AD74/Monatsplanung!$E74*Monatsplanung!$Q74))</f>
        <v>0</v>
      </c>
      <c r="R1114" s="740"/>
      <c r="S1114" s="739"/>
      <c r="T1114" s="168">
        <f>IF(S1114&lt;&gt;"",S1114,IF(ISERROR(Personalplanung!AE74/Monatsplanung!$E74*Monatsplanung!$Q74),0,Personalplanung!AE74/Monatsplanung!$E74*Monatsplanung!$Q74))</f>
        <v>0</v>
      </c>
      <c r="U1114" s="740"/>
      <c r="V1114" s="168">
        <f t="shared" si="360"/>
        <v>0</v>
      </c>
      <c r="W1114" s="168">
        <f>IF(ISERROR(Personalplanung!P74/Monatsplanung!$E74*Monatsplanung!$Q74),0,Personalplanung!P74/Monatsplanung!$E74*Monatsplanung!$Q74)</f>
        <v>0</v>
      </c>
      <c r="X1114" s="168">
        <f>IF(ISERROR(Personalplanung!Q74/Monatsplanung!$E74*Monatsplanung!$Q74),0,Personalplanung!Q74/Monatsplanung!$E74*Monatsplanung!$Q74)</f>
        <v>0</v>
      </c>
      <c r="Y1114" s="168">
        <f>IF(ISERROR(Personalplanung!R74/T1322*Stundencontrolling!T1114),0,Personalplanung!R74/T1322*Stundencontrolling!T1114)</f>
        <v>0</v>
      </c>
      <c r="Z1114" s="168">
        <f>IF(ISERROR(Personalplanung!S74/Monatsplanung!$E74*Monatsplanung!$Q74),0,Personalplanung!S74/Monatsplanung!$E74*Monatsplanung!$Q74)</f>
        <v>0</v>
      </c>
      <c r="AA1114" s="80">
        <f t="shared" si="361"/>
        <v>0</v>
      </c>
      <c r="AB1114" s="102">
        <f t="shared" si="362"/>
        <v>0.1</v>
      </c>
      <c r="AC1114" s="103">
        <f t="shared" si="363"/>
        <v>0</v>
      </c>
      <c r="AD1114" s="103">
        <f t="shared" si="364"/>
        <v>0</v>
      </c>
      <c r="AE1114" s="81">
        <f t="shared" si="365"/>
        <v>0</v>
      </c>
      <c r="AF1114" s="539"/>
      <c r="AG1114" s="104">
        <f t="shared" si="366"/>
        <v>1</v>
      </c>
      <c r="AH1114" s="7">
        <f t="shared" si="367"/>
        <v>0</v>
      </c>
      <c r="AI1114" s="6">
        <f t="shared" si="368"/>
        <v>0</v>
      </c>
      <c r="AJ1114" s="73">
        <f t="shared" si="369"/>
        <v>0</v>
      </c>
      <c r="AK1114" s="539"/>
      <c r="AL1114" s="748"/>
      <c r="AM1114" s="748"/>
    </row>
    <row r="1115" spans="2:39" x14ac:dyDescent="0.2">
      <c r="B1115" s="101" t="str">
        <f t="shared" si="354"/>
        <v/>
      </c>
      <c r="C1115" s="168">
        <f>IF(ISERROR(Personalplanung!F75/Monatsplanung!$E75*Monatsplanung!$Q75),0,Personalplanung!F75/Monatsplanung!$E75*Monatsplanung!$Q75)</f>
        <v>0</v>
      </c>
      <c r="D1115" s="168">
        <f t="shared" si="355"/>
        <v>0</v>
      </c>
      <c r="E1115" s="168">
        <f>IF(ISERROR(Personalplanung!H75/Monatsplanung!$E75*Monatsplanung!$Q75),0,Personalplanung!H75/Monatsplanung!$E75*Monatsplanung!$Q75)</f>
        <v>0</v>
      </c>
      <c r="F1115" s="168">
        <f t="shared" si="356"/>
        <v>0</v>
      </c>
      <c r="G1115" s="168">
        <f t="shared" si="357"/>
        <v>27.700831024930746</v>
      </c>
      <c r="H1115" s="168">
        <f t="shared" si="358"/>
        <v>0</v>
      </c>
      <c r="I1115" s="168">
        <f t="shared" si="359"/>
        <v>30</v>
      </c>
      <c r="J1115" s="739"/>
      <c r="K1115" s="168">
        <f>IF(J1115&lt;&gt;"",J1115,IF(ISERROR(Personalplanung!AB75/Monatsplanung!$E75*Monatsplanung!$Q75),0,Personalplanung!AB75/Monatsplanung!$E75*Monatsplanung!$Q75))</f>
        <v>0</v>
      </c>
      <c r="L1115" s="740"/>
      <c r="M1115" s="739"/>
      <c r="N1115" s="168">
        <f>IF(M1115&lt;&gt;"",M1115,IF(ISERROR(Personalplanung!AC75/Monatsplanung!$E75*Monatsplanung!$Q75),0,Personalplanung!AC75/Monatsplanung!$E75*Monatsplanung!$Q75))</f>
        <v>0</v>
      </c>
      <c r="O1115" s="740"/>
      <c r="P1115" s="739"/>
      <c r="Q1115" s="168">
        <f>IF(P1115&lt;&gt;"",P1115,IF(ISERROR(Personalplanung!AD75/Monatsplanung!$E75*Monatsplanung!$Q75),0,Personalplanung!AD75/Monatsplanung!$E75*Monatsplanung!$Q75))</f>
        <v>0</v>
      </c>
      <c r="R1115" s="740"/>
      <c r="S1115" s="739"/>
      <c r="T1115" s="168">
        <f>IF(S1115&lt;&gt;"",S1115,IF(ISERROR(Personalplanung!AE75/Monatsplanung!$E75*Monatsplanung!$Q75),0,Personalplanung!AE75/Monatsplanung!$E75*Monatsplanung!$Q75))</f>
        <v>0</v>
      </c>
      <c r="U1115" s="740"/>
      <c r="V1115" s="168">
        <f t="shared" si="360"/>
        <v>0</v>
      </c>
      <c r="W1115" s="168">
        <f>IF(ISERROR(Personalplanung!P75/Monatsplanung!$E75*Monatsplanung!$Q75),0,Personalplanung!P75/Monatsplanung!$E75*Monatsplanung!$Q75)</f>
        <v>0</v>
      </c>
      <c r="X1115" s="168">
        <f>IF(ISERROR(Personalplanung!Q75/Monatsplanung!$E75*Monatsplanung!$Q75),0,Personalplanung!Q75/Monatsplanung!$E75*Monatsplanung!$Q75)</f>
        <v>0</v>
      </c>
      <c r="Y1115" s="168">
        <f>IF(ISERROR(Personalplanung!R75/T1323*Stundencontrolling!T1115),0,Personalplanung!R75/T1323*Stundencontrolling!T1115)</f>
        <v>0</v>
      </c>
      <c r="Z1115" s="168">
        <f>IF(ISERROR(Personalplanung!S75/Monatsplanung!$E75*Monatsplanung!$Q75),0,Personalplanung!S75/Monatsplanung!$E75*Monatsplanung!$Q75)</f>
        <v>0</v>
      </c>
      <c r="AA1115" s="80">
        <f t="shared" si="361"/>
        <v>0</v>
      </c>
      <c r="AB1115" s="102">
        <f t="shared" si="362"/>
        <v>0.1</v>
      </c>
      <c r="AC1115" s="103">
        <f t="shared" si="363"/>
        <v>0</v>
      </c>
      <c r="AD1115" s="103">
        <f t="shared" si="364"/>
        <v>0</v>
      </c>
      <c r="AE1115" s="81">
        <f t="shared" si="365"/>
        <v>0</v>
      </c>
      <c r="AF1115" s="539"/>
      <c r="AG1115" s="104">
        <f t="shared" si="366"/>
        <v>1</v>
      </c>
      <c r="AH1115" s="7">
        <f t="shared" si="367"/>
        <v>0</v>
      </c>
      <c r="AI1115" s="6">
        <f t="shared" si="368"/>
        <v>0</v>
      </c>
      <c r="AJ1115" s="73">
        <f t="shared" si="369"/>
        <v>0</v>
      </c>
      <c r="AK1115" s="539"/>
      <c r="AL1115" s="748"/>
      <c r="AM1115" s="748"/>
    </row>
    <row r="1116" spans="2:39" x14ac:dyDescent="0.2">
      <c r="B1116" s="101" t="str">
        <f t="shared" si="354"/>
        <v/>
      </c>
      <c r="C1116" s="168">
        <f>IF(ISERROR(Personalplanung!F76/Monatsplanung!$E76*Monatsplanung!$Q76),0,Personalplanung!F76/Monatsplanung!$E76*Monatsplanung!$Q76)</f>
        <v>0</v>
      </c>
      <c r="D1116" s="168">
        <f t="shared" si="355"/>
        <v>0</v>
      </c>
      <c r="E1116" s="168">
        <f>IF(ISERROR(Personalplanung!H76/Monatsplanung!$E76*Monatsplanung!$Q76),0,Personalplanung!H76/Monatsplanung!$E76*Monatsplanung!$Q76)</f>
        <v>0</v>
      </c>
      <c r="F1116" s="168">
        <f t="shared" si="356"/>
        <v>0</v>
      </c>
      <c r="G1116" s="168">
        <f t="shared" si="357"/>
        <v>27.700831024930746</v>
      </c>
      <c r="H1116" s="168">
        <f t="shared" si="358"/>
        <v>0</v>
      </c>
      <c r="I1116" s="168">
        <f t="shared" si="359"/>
        <v>30</v>
      </c>
      <c r="J1116" s="739"/>
      <c r="K1116" s="168">
        <f>IF(J1116&lt;&gt;"",J1116,IF(ISERROR(Personalplanung!AB76/Monatsplanung!$E76*Monatsplanung!$Q76),0,Personalplanung!AB76/Monatsplanung!$E76*Monatsplanung!$Q76))</f>
        <v>0</v>
      </c>
      <c r="L1116" s="740"/>
      <c r="M1116" s="739"/>
      <c r="N1116" s="168">
        <f>IF(M1116&lt;&gt;"",M1116,IF(ISERROR(Personalplanung!AC76/Monatsplanung!$E76*Monatsplanung!$Q76),0,Personalplanung!AC76/Monatsplanung!$E76*Monatsplanung!$Q76))</f>
        <v>0</v>
      </c>
      <c r="O1116" s="740"/>
      <c r="P1116" s="739"/>
      <c r="Q1116" s="168">
        <f>IF(P1116&lt;&gt;"",P1116,IF(ISERROR(Personalplanung!AD76/Monatsplanung!$E76*Monatsplanung!$Q76),0,Personalplanung!AD76/Monatsplanung!$E76*Monatsplanung!$Q76))</f>
        <v>0</v>
      </c>
      <c r="R1116" s="740"/>
      <c r="S1116" s="739"/>
      <c r="T1116" s="168">
        <f>IF(S1116&lt;&gt;"",S1116,IF(ISERROR(Personalplanung!AE76/Monatsplanung!$E76*Monatsplanung!$Q76),0,Personalplanung!AE76/Monatsplanung!$E76*Monatsplanung!$Q76))</f>
        <v>0</v>
      </c>
      <c r="U1116" s="740"/>
      <c r="V1116" s="168">
        <f t="shared" si="360"/>
        <v>0</v>
      </c>
      <c r="W1116" s="168">
        <f>IF(ISERROR(Personalplanung!P76/Monatsplanung!$E76*Monatsplanung!$Q76),0,Personalplanung!P76/Monatsplanung!$E76*Monatsplanung!$Q76)</f>
        <v>0</v>
      </c>
      <c r="X1116" s="168">
        <f>IF(ISERROR(Personalplanung!Q76/Monatsplanung!$E76*Monatsplanung!$Q76),0,Personalplanung!Q76/Monatsplanung!$E76*Monatsplanung!$Q76)</f>
        <v>0</v>
      </c>
      <c r="Y1116" s="168">
        <f>IF(ISERROR(Personalplanung!R76/T1324*Stundencontrolling!T1116),0,Personalplanung!R76/T1324*Stundencontrolling!T1116)</f>
        <v>0</v>
      </c>
      <c r="Z1116" s="168">
        <f>IF(ISERROR(Personalplanung!S76/Monatsplanung!$E76*Monatsplanung!$Q76),0,Personalplanung!S76/Monatsplanung!$E76*Monatsplanung!$Q76)</f>
        <v>0</v>
      </c>
      <c r="AA1116" s="80">
        <f t="shared" si="361"/>
        <v>0</v>
      </c>
      <c r="AB1116" s="102">
        <f t="shared" si="362"/>
        <v>0.1</v>
      </c>
      <c r="AC1116" s="103">
        <f t="shared" si="363"/>
        <v>0</v>
      </c>
      <c r="AD1116" s="103">
        <f t="shared" si="364"/>
        <v>0</v>
      </c>
      <c r="AE1116" s="81">
        <f t="shared" si="365"/>
        <v>0</v>
      </c>
      <c r="AF1116" s="539"/>
      <c r="AG1116" s="104">
        <f t="shared" si="366"/>
        <v>1</v>
      </c>
      <c r="AH1116" s="7">
        <f t="shared" si="367"/>
        <v>0</v>
      </c>
      <c r="AI1116" s="6">
        <f t="shared" si="368"/>
        <v>0</v>
      </c>
      <c r="AJ1116" s="73">
        <f t="shared" si="369"/>
        <v>0</v>
      </c>
      <c r="AK1116" s="539"/>
      <c r="AL1116" s="748"/>
      <c r="AM1116" s="748"/>
    </row>
    <row r="1117" spans="2:39" x14ac:dyDescent="0.2">
      <c r="B1117" s="101" t="str">
        <f t="shared" si="354"/>
        <v/>
      </c>
      <c r="C1117" s="168">
        <f>IF(ISERROR(Personalplanung!F77/Monatsplanung!$E77*Monatsplanung!$Q77),0,Personalplanung!F77/Monatsplanung!$E77*Monatsplanung!$Q77)</f>
        <v>0</v>
      </c>
      <c r="D1117" s="168">
        <f t="shared" si="355"/>
        <v>0</v>
      </c>
      <c r="E1117" s="168">
        <f>IF(ISERROR(Personalplanung!H77/Monatsplanung!$E77*Monatsplanung!$Q77),0,Personalplanung!H77/Monatsplanung!$E77*Monatsplanung!$Q77)</f>
        <v>0</v>
      </c>
      <c r="F1117" s="168">
        <f t="shared" si="356"/>
        <v>0</v>
      </c>
      <c r="G1117" s="168">
        <f t="shared" si="357"/>
        <v>27.700831024930746</v>
      </c>
      <c r="H1117" s="168">
        <f t="shared" si="358"/>
        <v>0</v>
      </c>
      <c r="I1117" s="168">
        <f t="shared" si="359"/>
        <v>30</v>
      </c>
      <c r="J1117" s="739"/>
      <c r="K1117" s="168">
        <f>IF(J1117&lt;&gt;"",J1117,IF(ISERROR(Personalplanung!AB77/Monatsplanung!$E77*Monatsplanung!$Q77),0,Personalplanung!AB77/Monatsplanung!$E77*Monatsplanung!$Q77))</f>
        <v>0</v>
      </c>
      <c r="L1117" s="740"/>
      <c r="M1117" s="739"/>
      <c r="N1117" s="168">
        <f>IF(M1117&lt;&gt;"",M1117,IF(ISERROR(Personalplanung!AC77/Monatsplanung!$E77*Monatsplanung!$Q77),0,Personalplanung!AC77/Monatsplanung!$E77*Monatsplanung!$Q77))</f>
        <v>0</v>
      </c>
      <c r="O1117" s="740"/>
      <c r="P1117" s="739"/>
      <c r="Q1117" s="168">
        <f>IF(P1117&lt;&gt;"",P1117,IF(ISERROR(Personalplanung!AD77/Monatsplanung!$E77*Monatsplanung!$Q77),0,Personalplanung!AD77/Monatsplanung!$E77*Monatsplanung!$Q77))</f>
        <v>0</v>
      </c>
      <c r="R1117" s="740"/>
      <c r="S1117" s="739"/>
      <c r="T1117" s="168">
        <f>IF(S1117&lt;&gt;"",S1117,IF(ISERROR(Personalplanung!AE77/Monatsplanung!$E77*Monatsplanung!$Q77),0,Personalplanung!AE77/Monatsplanung!$E77*Monatsplanung!$Q77))</f>
        <v>0</v>
      </c>
      <c r="U1117" s="740"/>
      <c r="V1117" s="168">
        <f t="shared" si="360"/>
        <v>0</v>
      </c>
      <c r="W1117" s="168">
        <f>IF(ISERROR(Personalplanung!P77/Monatsplanung!$E77*Monatsplanung!$Q77),0,Personalplanung!P77/Monatsplanung!$E77*Monatsplanung!$Q77)</f>
        <v>0</v>
      </c>
      <c r="X1117" s="168">
        <f>IF(ISERROR(Personalplanung!Q77/Monatsplanung!$E77*Monatsplanung!$Q77),0,Personalplanung!Q77/Monatsplanung!$E77*Monatsplanung!$Q77)</f>
        <v>0</v>
      </c>
      <c r="Y1117" s="168">
        <f>IF(ISERROR(Personalplanung!R77/T1325*Stundencontrolling!T1117),0,Personalplanung!R77/T1325*Stundencontrolling!T1117)</f>
        <v>0</v>
      </c>
      <c r="Z1117" s="168">
        <f>IF(ISERROR(Personalplanung!S77/Monatsplanung!$E77*Monatsplanung!$Q77),0,Personalplanung!S77/Monatsplanung!$E77*Monatsplanung!$Q77)</f>
        <v>0</v>
      </c>
      <c r="AA1117" s="80">
        <f t="shared" si="361"/>
        <v>0</v>
      </c>
      <c r="AB1117" s="102">
        <f t="shared" si="362"/>
        <v>0.1</v>
      </c>
      <c r="AC1117" s="103">
        <f t="shared" si="363"/>
        <v>0</v>
      </c>
      <c r="AD1117" s="103">
        <f t="shared" si="364"/>
        <v>0</v>
      </c>
      <c r="AE1117" s="81">
        <f t="shared" si="365"/>
        <v>0</v>
      </c>
      <c r="AF1117" s="539"/>
      <c r="AG1117" s="104">
        <f t="shared" si="366"/>
        <v>1</v>
      </c>
      <c r="AH1117" s="7">
        <f t="shared" si="367"/>
        <v>0</v>
      </c>
      <c r="AI1117" s="6">
        <f t="shared" si="368"/>
        <v>0</v>
      </c>
      <c r="AJ1117" s="73">
        <f t="shared" si="369"/>
        <v>0</v>
      </c>
      <c r="AK1117" s="539"/>
      <c r="AL1117" s="748"/>
      <c r="AM1117" s="748"/>
    </row>
    <row r="1118" spans="2:39" x14ac:dyDescent="0.2">
      <c r="B1118" s="101" t="str">
        <f t="shared" si="354"/>
        <v/>
      </c>
      <c r="C1118" s="168">
        <f>IF(ISERROR(Personalplanung!F78/Monatsplanung!$E78*Monatsplanung!$Q78),0,Personalplanung!F78/Monatsplanung!$E78*Monatsplanung!$Q78)</f>
        <v>0</v>
      </c>
      <c r="D1118" s="168">
        <f t="shared" si="355"/>
        <v>0</v>
      </c>
      <c r="E1118" s="168">
        <f>IF(ISERROR(Personalplanung!H78/Monatsplanung!$E78*Monatsplanung!$Q78),0,Personalplanung!H78/Monatsplanung!$E78*Monatsplanung!$Q78)</f>
        <v>0</v>
      </c>
      <c r="F1118" s="168">
        <f t="shared" si="356"/>
        <v>0</v>
      </c>
      <c r="G1118" s="168">
        <f t="shared" si="357"/>
        <v>27.700831024930746</v>
      </c>
      <c r="H1118" s="168">
        <f t="shared" si="358"/>
        <v>0</v>
      </c>
      <c r="I1118" s="168">
        <f t="shared" si="359"/>
        <v>30</v>
      </c>
      <c r="J1118" s="739"/>
      <c r="K1118" s="168">
        <f>IF(J1118&lt;&gt;"",J1118,IF(ISERROR(Personalplanung!AB78/Monatsplanung!$E78*Monatsplanung!$Q78),0,Personalplanung!AB78/Monatsplanung!$E78*Monatsplanung!$Q78))</f>
        <v>0</v>
      </c>
      <c r="L1118" s="740"/>
      <c r="M1118" s="739"/>
      <c r="N1118" s="168">
        <f>IF(M1118&lt;&gt;"",M1118,IF(ISERROR(Personalplanung!AC78/Monatsplanung!$E78*Monatsplanung!$Q78),0,Personalplanung!AC78/Monatsplanung!$E78*Monatsplanung!$Q78))</f>
        <v>0</v>
      </c>
      <c r="O1118" s="740"/>
      <c r="P1118" s="739"/>
      <c r="Q1118" s="168">
        <f>IF(P1118&lt;&gt;"",P1118,IF(ISERROR(Personalplanung!AD78/Monatsplanung!$E78*Monatsplanung!$Q78),0,Personalplanung!AD78/Monatsplanung!$E78*Monatsplanung!$Q78))</f>
        <v>0</v>
      </c>
      <c r="R1118" s="740"/>
      <c r="S1118" s="739"/>
      <c r="T1118" s="168">
        <f>IF(S1118&lt;&gt;"",S1118,IF(ISERROR(Personalplanung!AE78/Monatsplanung!$E78*Monatsplanung!$Q78),0,Personalplanung!AE78/Monatsplanung!$E78*Monatsplanung!$Q78))</f>
        <v>0</v>
      </c>
      <c r="U1118" s="740"/>
      <c r="V1118" s="168">
        <f t="shared" si="360"/>
        <v>0</v>
      </c>
      <c r="W1118" s="168">
        <f>IF(ISERROR(Personalplanung!P78/Monatsplanung!$E78*Monatsplanung!$Q78),0,Personalplanung!P78/Monatsplanung!$E78*Monatsplanung!$Q78)</f>
        <v>0</v>
      </c>
      <c r="X1118" s="168">
        <f>IF(ISERROR(Personalplanung!Q78/Monatsplanung!$E78*Monatsplanung!$Q78),0,Personalplanung!Q78/Monatsplanung!$E78*Monatsplanung!$Q78)</f>
        <v>0</v>
      </c>
      <c r="Y1118" s="168">
        <f>IF(ISERROR(Personalplanung!R78/T1326*Stundencontrolling!T1118),0,Personalplanung!R78/T1326*Stundencontrolling!T1118)</f>
        <v>0</v>
      </c>
      <c r="Z1118" s="168">
        <f>IF(ISERROR(Personalplanung!S78/Monatsplanung!$E78*Monatsplanung!$Q78),0,Personalplanung!S78/Monatsplanung!$E78*Monatsplanung!$Q78)</f>
        <v>0</v>
      </c>
      <c r="AA1118" s="80">
        <f t="shared" si="361"/>
        <v>0</v>
      </c>
      <c r="AB1118" s="102">
        <f t="shared" si="362"/>
        <v>0.1</v>
      </c>
      <c r="AC1118" s="103">
        <f t="shared" si="363"/>
        <v>0</v>
      </c>
      <c r="AD1118" s="103">
        <f t="shared" si="364"/>
        <v>0</v>
      </c>
      <c r="AE1118" s="81">
        <f t="shared" si="365"/>
        <v>0</v>
      </c>
      <c r="AF1118" s="539"/>
      <c r="AG1118" s="104">
        <f t="shared" si="366"/>
        <v>1</v>
      </c>
      <c r="AH1118" s="7">
        <f t="shared" si="367"/>
        <v>0</v>
      </c>
      <c r="AI1118" s="6">
        <f t="shared" si="368"/>
        <v>0</v>
      </c>
      <c r="AJ1118" s="73">
        <f t="shared" si="369"/>
        <v>0</v>
      </c>
      <c r="AK1118" s="539"/>
      <c r="AL1118" s="748"/>
      <c r="AM1118" s="748"/>
    </row>
    <row r="1119" spans="2:39" x14ac:dyDescent="0.2">
      <c r="B1119" s="101" t="str">
        <f t="shared" si="354"/>
        <v/>
      </c>
      <c r="C1119" s="168">
        <f>IF(ISERROR(Personalplanung!F79/Monatsplanung!$E79*Monatsplanung!$Q79),0,Personalplanung!F79/Monatsplanung!$E79*Monatsplanung!$Q79)</f>
        <v>0</v>
      </c>
      <c r="D1119" s="168">
        <f t="shared" si="355"/>
        <v>0</v>
      </c>
      <c r="E1119" s="168">
        <f>IF(ISERROR(Personalplanung!H79/Monatsplanung!$E79*Monatsplanung!$Q79),0,Personalplanung!H79/Monatsplanung!$E79*Monatsplanung!$Q79)</f>
        <v>0</v>
      </c>
      <c r="F1119" s="168">
        <f t="shared" si="356"/>
        <v>0</v>
      </c>
      <c r="G1119" s="168">
        <f t="shared" si="357"/>
        <v>27.700831024930746</v>
      </c>
      <c r="H1119" s="168">
        <f t="shared" si="358"/>
        <v>0</v>
      </c>
      <c r="I1119" s="168">
        <f t="shared" si="359"/>
        <v>30</v>
      </c>
      <c r="J1119" s="739"/>
      <c r="K1119" s="168">
        <f>IF(J1119&lt;&gt;"",J1119,IF(ISERROR(Personalplanung!AB79/Monatsplanung!$E79*Monatsplanung!$Q79),0,Personalplanung!AB79/Monatsplanung!$E79*Monatsplanung!$Q79))</f>
        <v>0</v>
      </c>
      <c r="L1119" s="740"/>
      <c r="M1119" s="739"/>
      <c r="N1119" s="168">
        <f>IF(M1119&lt;&gt;"",M1119,IF(ISERROR(Personalplanung!AC79/Monatsplanung!$E79*Monatsplanung!$Q79),0,Personalplanung!AC79/Monatsplanung!$E79*Monatsplanung!$Q79))</f>
        <v>0</v>
      </c>
      <c r="O1119" s="740"/>
      <c r="P1119" s="739"/>
      <c r="Q1119" s="168">
        <f>IF(P1119&lt;&gt;"",P1119,IF(ISERROR(Personalplanung!AD79/Monatsplanung!$E79*Monatsplanung!$Q79),0,Personalplanung!AD79/Monatsplanung!$E79*Monatsplanung!$Q79))</f>
        <v>0</v>
      </c>
      <c r="R1119" s="740"/>
      <c r="S1119" s="739"/>
      <c r="T1119" s="168">
        <f>IF(S1119&lt;&gt;"",S1119,IF(ISERROR(Personalplanung!AE79/Monatsplanung!$E79*Monatsplanung!$Q79),0,Personalplanung!AE79/Monatsplanung!$E79*Monatsplanung!$Q79))</f>
        <v>0</v>
      </c>
      <c r="U1119" s="740"/>
      <c r="V1119" s="168">
        <f t="shared" si="360"/>
        <v>0</v>
      </c>
      <c r="W1119" s="168">
        <f>IF(ISERROR(Personalplanung!P79/Monatsplanung!$E79*Monatsplanung!$Q79),0,Personalplanung!P79/Monatsplanung!$E79*Monatsplanung!$Q79)</f>
        <v>0</v>
      </c>
      <c r="X1119" s="168">
        <f>IF(ISERROR(Personalplanung!Q79/Monatsplanung!$E79*Monatsplanung!$Q79),0,Personalplanung!Q79/Monatsplanung!$E79*Monatsplanung!$Q79)</f>
        <v>0</v>
      </c>
      <c r="Y1119" s="168">
        <f>IF(ISERROR(Personalplanung!R79/T1327*Stundencontrolling!T1119),0,Personalplanung!R79/T1327*Stundencontrolling!T1119)</f>
        <v>0</v>
      </c>
      <c r="Z1119" s="168">
        <f>IF(ISERROR(Personalplanung!S79/Monatsplanung!$E79*Monatsplanung!$Q79),0,Personalplanung!S79/Monatsplanung!$E79*Monatsplanung!$Q79)</f>
        <v>0</v>
      </c>
      <c r="AA1119" s="80">
        <f t="shared" si="361"/>
        <v>0</v>
      </c>
      <c r="AB1119" s="102">
        <f t="shared" si="362"/>
        <v>0.1</v>
      </c>
      <c r="AC1119" s="103">
        <f t="shared" si="363"/>
        <v>0</v>
      </c>
      <c r="AD1119" s="103">
        <f t="shared" si="364"/>
        <v>0</v>
      </c>
      <c r="AE1119" s="81">
        <f t="shared" si="365"/>
        <v>0</v>
      </c>
      <c r="AF1119" s="539"/>
      <c r="AG1119" s="104">
        <f t="shared" si="366"/>
        <v>1</v>
      </c>
      <c r="AH1119" s="7">
        <f t="shared" si="367"/>
        <v>0</v>
      </c>
      <c r="AI1119" s="6">
        <f t="shared" si="368"/>
        <v>0</v>
      </c>
      <c r="AJ1119" s="73">
        <f t="shared" si="369"/>
        <v>0</v>
      </c>
      <c r="AK1119" s="539"/>
      <c r="AL1119" s="748"/>
      <c r="AM1119" s="748"/>
    </row>
    <row r="1120" spans="2:39" x14ac:dyDescent="0.2">
      <c r="B1120" s="101" t="str">
        <f t="shared" si="354"/>
        <v/>
      </c>
      <c r="C1120" s="168">
        <f>IF(ISERROR(Personalplanung!F80/Monatsplanung!$E80*Monatsplanung!$Q80),0,Personalplanung!F80/Monatsplanung!$E80*Monatsplanung!$Q80)</f>
        <v>0</v>
      </c>
      <c r="D1120" s="168">
        <f t="shared" si="355"/>
        <v>0</v>
      </c>
      <c r="E1120" s="168">
        <f>IF(ISERROR(Personalplanung!H80/Monatsplanung!$E80*Monatsplanung!$Q80),0,Personalplanung!H80/Monatsplanung!$E80*Monatsplanung!$Q80)</f>
        <v>0</v>
      </c>
      <c r="F1120" s="168">
        <f t="shared" si="356"/>
        <v>0</v>
      </c>
      <c r="G1120" s="168">
        <f t="shared" si="357"/>
        <v>27.700831024930746</v>
      </c>
      <c r="H1120" s="168">
        <f t="shared" si="358"/>
        <v>0</v>
      </c>
      <c r="I1120" s="168">
        <f t="shared" si="359"/>
        <v>30</v>
      </c>
      <c r="J1120" s="739"/>
      <c r="K1120" s="168">
        <f>IF(J1120&lt;&gt;"",J1120,IF(ISERROR(Personalplanung!AB80/Monatsplanung!$E80*Monatsplanung!$Q80),0,Personalplanung!AB80/Monatsplanung!$E80*Monatsplanung!$Q80))</f>
        <v>0</v>
      </c>
      <c r="L1120" s="740"/>
      <c r="M1120" s="739"/>
      <c r="N1120" s="168">
        <f>IF(M1120&lt;&gt;"",M1120,IF(ISERROR(Personalplanung!AC80/Monatsplanung!$E80*Monatsplanung!$Q80),0,Personalplanung!AC80/Monatsplanung!$E80*Monatsplanung!$Q80))</f>
        <v>0</v>
      </c>
      <c r="O1120" s="740"/>
      <c r="P1120" s="739"/>
      <c r="Q1120" s="168">
        <f>IF(P1120&lt;&gt;"",P1120,IF(ISERROR(Personalplanung!AD80/Monatsplanung!$E80*Monatsplanung!$Q80),0,Personalplanung!AD80/Monatsplanung!$E80*Monatsplanung!$Q80))</f>
        <v>0</v>
      </c>
      <c r="R1120" s="740"/>
      <c r="S1120" s="739"/>
      <c r="T1120" s="168">
        <f>IF(S1120&lt;&gt;"",S1120,IF(ISERROR(Personalplanung!AE80/Monatsplanung!$E80*Monatsplanung!$Q80),0,Personalplanung!AE80/Monatsplanung!$E80*Monatsplanung!$Q80))</f>
        <v>0</v>
      </c>
      <c r="U1120" s="740"/>
      <c r="V1120" s="168">
        <f t="shared" si="360"/>
        <v>0</v>
      </c>
      <c r="W1120" s="168">
        <f>IF(ISERROR(Personalplanung!P80/Monatsplanung!$E80*Monatsplanung!$Q80),0,Personalplanung!P80/Monatsplanung!$E80*Monatsplanung!$Q80)</f>
        <v>0</v>
      </c>
      <c r="X1120" s="168">
        <f>IF(ISERROR(Personalplanung!Q80/Monatsplanung!$E80*Monatsplanung!$Q80),0,Personalplanung!Q80/Monatsplanung!$E80*Monatsplanung!$Q80)</f>
        <v>0</v>
      </c>
      <c r="Y1120" s="168">
        <f>IF(ISERROR(Personalplanung!R80/T1328*Stundencontrolling!T1120),0,Personalplanung!R80/T1328*Stundencontrolling!T1120)</f>
        <v>0</v>
      </c>
      <c r="Z1120" s="168">
        <f>IF(ISERROR(Personalplanung!S80/Monatsplanung!$E80*Monatsplanung!$Q80),0,Personalplanung!S80/Monatsplanung!$E80*Monatsplanung!$Q80)</f>
        <v>0</v>
      </c>
      <c r="AA1120" s="80">
        <f t="shared" si="361"/>
        <v>0</v>
      </c>
      <c r="AB1120" s="102">
        <f t="shared" si="362"/>
        <v>0.1</v>
      </c>
      <c r="AC1120" s="103">
        <f t="shared" si="363"/>
        <v>0</v>
      </c>
      <c r="AD1120" s="103">
        <f t="shared" si="364"/>
        <v>0</v>
      </c>
      <c r="AE1120" s="81">
        <f t="shared" si="365"/>
        <v>0</v>
      </c>
      <c r="AF1120" s="539"/>
      <c r="AG1120" s="104">
        <f t="shared" si="366"/>
        <v>1</v>
      </c>
      <c r="AH1120" s="7">
        <f t="shared" si="367"/>
        <v>0</v>
      </c>
      <c r="AI1120" s="6">
        <f t="shared" si="368"/>
        <v>0</v>
      </c>
      <c r="AJ1120" s="73">
        <f t="shared" si="369"/>
        <v>0</v>
      </c>
      <c r="AK1120" s="539"/>
      <c r="AL1120" s="748"/>
      <c r="AM1120" s="748"/>
    </row>
    <row r="1121" spans="2:39" x14ac:dyDescent="0.2">
      <c r="B1121" s="101" t="str">
        <f t="shared" si="354"/>
        <v/>
      </c>
      <c r="C1121" s="168">
        <f>IF(ISERROR(Personalplanung!F81/Monatsplanung!$E81*Monatsplanung!$Q81),0,Personalplanung!F81/Monatsplanung!$E81*Monatsplanung!$Q81)</f>
        <v>0</v>
      </c>
      <c r="D1121" s="168">
        <f t="shared" si="355"/>
        <v>0</v>
      </c>
      <c r="E1121" s="168">
        <f>IF(ISERROR(Personalplanung!H81/Monatsplanung!$E81*Monatsplanung!$Q81),0,Personalplanung!H81/Monatsplanung!$E81*Monatsplanung!$Q81)</f>
        <v>0</v>
      </c>
      <c r="F1121" s="168">
        <f t="shared" si="356"/>
        <v>0</v>
      </c>
      <c r="G1121" s="168">
        <f t="shared" si="357"/>
        <v>27.700831024930746</v>
      </c>
      <c r="H1121" s="168">
        <f t="shared" si="358"/>
        <v>0</v>
      </c>
      <c r="I1121" s="168">
        <f t="shared" si="359"/>
        <v>30</v>
      </c>
      <c r="J1121" s="739"/>
      <c r="K1121" s="168">
        <f>IF(J1121&lt;&gt;"",J1121,IF(ISERROR(Personalplanung!AB81/Monatsplanung!$E81*Monatsplanung!$Q81),0,Personalplanung!AB81/Monatsplanung!$E81*Monatsplanung!$Q81))</f>
        <v>0</v>
      </c>
      <c r="L1121" s="740"/>
      <c r="M1121" s="739"/>
      <c r="N1121" s="168">
        <f>IF(M1121&lt;&gt;"",M1121,IF(ISERROR(Personalplanung!AC81/Monatsplanung!$E81*Monatsplanung!$Q81),0,Personalplanung!AC81/Monatsplanung!$E81*Monatsplanung!$Q81))</f>
        <v>0</v>
      </c>
      <c r="O1121" s="740"/>
      <c r="P1121" s="739"/>
      <c r="Q1121" s="168">
        <f>IF(P1121&lt;&gt;"",P1121,IF(ISERROR(Personalplanung!AD81/Monatsplanung!$E81*Monatsplanung!$Q81),0,Personalplanung!AD81/Monatsplanung!$E81*Monatsplanung!$Q81))</f>
        <v>0</v>
      </c>
      <c r="R1121" s="740"/>
      <c r="S1121" s="739"/>
      <c r="T1121" s="168">
        <f>IF(S1121&lt;&gt;"",S1121,IF(ISERROR(Personalplanung!AE81/Monatsplanung!$E81*Monatsplanung!$Q81),0,Personalplanung!AE81/Monatsplanung!$E81*Monatsplanung!$Q81))</f>
        <v>0</v>
      </c>
      <c r="U1121" s="740"/>
      <c r="V1121" s="168">
        <f t="shared" si="360"/>
        <v>0</v>
      </c>
      <c r="W1121" s="168">
        <f>IF(ISERROR(Personalplanung!P81/Monatsplanung!$E81*Monatsplanung!$Q81),0,Personalplanung!P81/Monatsplanung!$E81*Monatsplanung!$Q81)</f>
        <v>0</v>
      </c>
      <c r="X1121" s="168">
        <f>IF(ISERROR(Personalplanung!Q81/Monatsplanung!$E81*Monatsplanung!$Q81),0,Personalplanung!Q81/Monatsplanung!$E81*Monatsplanung!$Q81)</f>
        <v>0</v>
      </c>
      <c r="Y1121" s="168">
        <f>IF(ISERROR(Personalplanung!R81/T1329*Stundencontrolling!T1121),0,Personalplanung!R81/T1329*Stundencontrolling!T1121)</f>
        <v>0</v>
      </c>
      <c r="Z1121" s="168">
        <f>IF(ISERROR(Personalplanung!S81/Monatsplanung!$E81*Monatsplanung!$Q81),0,Personalplanung!S81/Monatsplanung!$E81*Monatsplanung!$Q81)</f>
        <v>0</v>
      </c>
      <c r="AA1121" s="80">
        <f t="shared" si="361"/>
        <v>0</v>
      </c>
      <c r="AB1121" s="102">
        <f t="shared" si="362"/>
        <v>0.1</v>
      </c>
      <c r="AC1121" s="103">
        <f t="shared" si="363"/>
        <v>0</v>
      </c>
      <c r="AD1121" s="103">
        <f t="shared" si="364"/>
        <v>0</v>
      </c>
      <c r="AE1121" s="81">
        <f t="shared" si="365"/>
        <v>0</v>
      </c>
      <c r="AF1121" s="539"/>
      <c r="AG1121" s="104">
        <f t="shared" si="366"/>
        <v>1</v>
      </c>
      <c r="AH1121" s="7">
        <f t="shared" si="367"/>
        <v>0</v>
      </c>
      <c r="AI1121" s="6">
        <f t="shared" si="368"/>
        <v>0</v>
      </c>
      <c r="AJ1121" s="73">
        <f t="shared" si="369"/>
        <v>0</v>
      </c>
      <c r="AK1121" s="539"/>
      <c r="AL1121" s="748"/>
      <c r="AM1121" s="748"/>
    </row>
    <row r="1122" spans="2:39" x14ac:dyDescent="0.2">
      <c r="B1122" s="101" t="str">
        <f t="shared" si="354"/>
        <v/>
      </c>
      <c r="C1122" s="168">
        <f>IF(ISERROR(Personalplanung!F82/Monatsplanung!$E82*Monatsplanung!$Q82),0,Personalplanung!F82/Monatsplanung!$E82*Monatsplanung!$Q82)</f>
        <v>0</v>
      </c>
      <c r="D1122" s="168">
        <f t="shared" si="355"/>
        <v>0</v>
      </c>
      <c r="E1122" s="168">
        <f>IF(ISERROR(Personalplanung!H82/Monatsplanung!$E82*Monatsplanung!$Q82),0,Personalplanung!H82/Monatsplanung!$E82*Monatsplanung!$Q82)</f>
        <v>0</v>
      </c>
      <c r="F1122" s="168">
        <f t="shared" si="356"/>
        <v>0</v>
      </c>
      <c r="G1122" s="168">
        <f t="shared" si="357"/>
        <v>27.700831024930746</v>
      </c>
      <c r="H1122" s="168">
        <f t="shared" si="358"/>
        <v>0</v>
      </c>
      <c r="I1122" s="168">
        <f t="shared" si="359"/>
        <v>30</v>
      </c>
      <c r="J1122" s="739"/>
      <c r="K1122" s="168">
        <f>IF(J1122&lt;&gt;"",J1122,IF(ISERROR(Personalplanung!AB82/Monatsplanung!$E82*Monatsplanung!$Q82),0,Personalplanung!AB82/Monatsplanung!$E82*Monatsplanung!$Q82))</f>
        <v>0</v>
      </c>
      <c r="L1122" s="740"/>
      <c r="M1122" s="739"/>
      <c r="N1122" s="168">
        <f>IF(M1122&lt;&gt;"",M1122,IF(ISERROR(Personalplanung!AC82/Monatsplanung!$E82*Monatsplanung!$Q82),0,Personalplanung!AC82/Monatsplanung!$E82*Monatsplanung!$Q82))</f>
        <v>0</v>
      </c>
      <c r="O1122" s="740"/>
      <c r="P1122" s="739"/>
      <c r="Q1122" s="168">
        <f>IF(P1122&lt;&gt;"",P1122,IF(ISERROR(Personalplanung!AD82/Monatsplanung!$E82*Monatsplanung!$Q82),0,Personalplanung!AD82/Monatsplanung!$E82*Monatsplanung!$Q82))</f>
        <v>0</v>
      </c>
      <c r="R1122" s="740"/>
      <c r="S1122" s="739"/>
      <c r="T1122" s="168">
        <f>IF(S1122&lt;&gt;"",S1122,IF(ISERROR(Personalplanung!AE82/Monatsplanung!$E82*Monatsplanung!$Q82),0,Personalplanung!AE82/Monatsplanung!$E82*Monatsplanung!$Q82))</f>
        <v>0</v>
      </c>
      <c r="U1122" s="740"/>
      <c r="V1122" s="168">
        <f t="shared" si="360"/>
        <v>0</v>
      </c>
      <c r="W1122" s="168">
        <f>IF(ISERROR(Personalplanung!P82/Monatsplanung!$E82*Monatsplanung!$Q82),0,Personalplanung!P82/Monatsplanung!$E82*Monatsplanung!$Q82)</f>
        <v>0</v>
      </c>
      <c r="X1122" s="168">
        <f>IF(ISERROR(Personalplanung!Q82/Monatsplanung!$E82*Monatsplanung!$Q82),0,Personalplanung!Q82/Monatsplanung!$E82*Monatsplanung!$Q82)</f>
        <v>0</v>
      </c>
      <c r="Y1122" s="168">
        <f>IF(ISERROR(Personalplanung!R82/T1330*Stundencontrolling!T1122),0,Personalplanung!R82/T1330*Stundencontrolling!T1122)</f>
        <v>0</v>
      </c>
      <c r="Z1122" s="168">
        <f>IF(ISERROR(Personalplanung!S82/Monatsplanung!$E82*Monatsplanung!$Q82),0,Personalplanung!S82/Monatsplanung!$E82*Monatsplanung!$Q82)</f>
        <v>0</v>
      </c>
      <c r="AA1122" s="80">
        <f t="shared" si="361"/>
        <v>0</v>
      </c>
      <c r="AB1122" s="102">
        <f t="shared" si="362"/>
        <v>0.1</v>
      </c>
      <c r="AC1122" s="103">
        <f t="shared" si="363"/>
        <v>0</v>
      </c>
      <c r="AD1122" s="103">
        <f t="shared" si="364"/>
        <v>0</v>
      </c>
      <c r="AE1122" s="81">
        <f t="shared" si="365"/>
        <v>0</v>
      </c>
      <c r="AF1122" s="539"/>
      <c r="AG1122" s="104">
        <f t="shared" si="366"/>
        <v>1</v>
      </c>
      <c r="AH1122" s="7">
        <f t="shared" si="367"/>
        <v>0</v>
      </c>
      <c r="AI1122" s="6">
        <f t="shared" si="368"/>
        <v>0</v>
      </c>
      <c r="AJ1122" s="73">
        <f t="shared" si="369"/>
        <v>0</v>
      </c>
      <c r="AK1122" s="539"/>
      <c r="AL1122" s="748"/>
      <c r="AM1122" s="748"/>
    </row>
    <row r="1123" spans="2:39" x14ac:dyDescent="0.2">
      <c r="B1123" s="101" t="str">
        <f t="shared" si="354"/>
        <v/>
      </c>
      <c r="C1123" s="168">
        <f>IF(ISERROR(Personalplanung!F83/Monatsplanung!$E83*Monatsplanung!$Q83),0,Personalplanung!F83/Monatsplanung!$E83*Monatsplanung!$Q83)</f>
        <v>0</v>
      </c>
      <c r="D1123" s="168">
        <f t="shared" si="355"/>
        <v>0</v>
      </c>
      <c r="E1123" s="168">
        <f>IF(ISERROR(Personalplanung!H83/Monatsplanung!$E83*Monatsplanung!$Q83),0,Personalplanung!H83/Monatsplanung!$E83*Monatsplanung!$Q83)</f>
        <v>0</v>
      </c>
      <c r="F1123" s="168">
        <f t="shared" si="356"/>
        <v>0</v>
      </c>
      <c r="G1123" s="168">
        <f t="shared" si="357"/>
        <v>27.700831024930746</v>
      </c>
      <c r="H1123" s="168">
        <f t="shared" si="358"/>
        <v>0</v>
      </c>
      <c r="I1123" s="168">
        <f t="shared" si="359"/>
        <v>30</v>
      </c>
      <c r="J1123" s="739"/>
      <c r="K1123" s="168">
        <f>IF(J1123&lt;&gt;"",J1123,IF(ISERROR(Personalplanung!AB83/Monatsplanung!$E83*Monatsplanung!$Q83),0,Personalplanung!AB83/Monatsplanung!$E83*Monatsplanung!$Q83))</f>
        <v>0</v>
      </c>
      <c r="L1123" s="740"/>
      <c r="M1123" s="739"/>
      <c r="N1123" s="168">
        <f>IF(M1123&lt;&gt;"",M1123,IF(ISERROR(Personalplanung!AC83/Monatsplanung!$E83*Monatsplanung!$Q83),0,Personalplanung!AC83/Monatsplanung!$E83*Monatsplanung!$Q83))</f>
        <v>0</v>
      </c>
      <c r="O1123" s="740"/>
      <c r="P1123" s="739"/>
      <c r="Q1123" s="168">
        <f>IF(P1123&lt;&gt;"",P1123,IF(ISERROR(Personalplanung!AD83/Monatsplanung!$E83*Monatsplanung!$Q83),0,Personalplanung!AD83/Monatsplanung!$E83*Monatsplanung!$Q83))</f>
        <v>0</v>
      </c>
      <c r="R1123" s="740"/>
      <c r="S1123" s="739"/>
      <c r="T1123" s="168">
        <f>IF(S1123&lt;&gt;"",S1123,IF(ISERROR(Personalplanung!AE83/Monatsplanung!$E83*Monatsplanung!$Q83),0,Personalplanung!AE83/Monatsplanung!$E83*Monatsplanung!$Q83))</f>
        <v>0</v>
      </c>
      <c r="U1123" s="740"/>
      <c r="V1123" s="168">
        <f t="shared" si="360"/>
        <v>0</v>
      </c>
      <c r="W1123" s="168">
        <f>IF(ISERROR(Personalplanung!P83/Monatsplanung!$E83*Monatsplanung!$Q83),0,Personalplanung!P83/Monatsplanung!$E83*Monatsplanung!$Q83)</f>
        <v>0</v>
      </c>
      <c r="X1123" s="168">
        <f>IF(ISERROR(Personalplanung!Q83/Monatsplanung!$E83*Monatsplanung!$Q83),0,Personalplanung!Q83/Monatsplanung!$E83*Monatsplanung!$Q83)</f>
        <v>0</v>
      </c>
      <c r="Y1123" s="168">
        <f>IF(ISERROR(Personalplanung!R83/T1331*Stundencontrolling!T1123),0,Personalplanung!R83/T1331*Stundencontrolling!T1123)</f>
        <v>0</v>
      </c>
      <c r="Z1123" s="168">
        <f>IF(ISERROR(Personalplanung!S83/Monatsplanung!$E83*Monatsplanung!$Q83),0,Personalplanung!S83/Monatsplanung!$E83*Monatsplanung!$Q83)</f>
        <v>0</v>
      </c>
      <c r="AA1123" s="80">
        <f t="shared" si="361"/>
        <v>0</v>
      </c>
      <c r="AB1123" s="102">
        <f t="shared" si="362"/>
        <v>0.1</v>
      </c>
      <c r="AC1123" s="103">
        <f t="shared" si="363"/>
        <v>0</v>
      </c>
      <c r="AD1123" s="103">
        <f t="shared" si="364"/>
        <v>0</v>
      </c>
      <c r="AE1123" s="81">
        <f t="shared" si="365"/>
        <v>0</v>
      </c>
      <c r="AF1123" s="539"/>
      <c r="AG1123" s="104">
        <f t="shared" si="366"/>
        <v>1</v>
      </c>
      <c r="AH1123" s="7">
        <f t="shared" si="367"/>
        <v>0</v>
      </c>
      <c r="AI1123" s="6">
        <f t="shared" si="368"/>
        <v>0</v>
      </c>
      <c r="AJ1123" s="73">
        <f t="shared" si="369"/>
        <v>0</v>
      </c>
      <c r="AK1123" s="539"/>
      <c r="AL1123" s="748"/>
      <c r="AM1123" s="748"/>
    </row>
    <row r="1124" spans="2:39" x14ac:dyDescent="0.2">
      <c r="B1124" s="101" t="str">
        <f t="shared" si="354"/>
        <v/>
      </c>
      <c r="C1124" s="168">
        <f>IF(ISERROR(Personalplanung!F84/Monatsplanung!$E84*Monatsplanung!$Q84),0,Personalplanung!F84/Monatsplanung!$E84*Monatsplanung!$Q84)</f>
        <v>0</v>
      </c>
      <c r="D1124" s="168">
        <f t="shared" si="355"/>
        <v>0</v>
      </c>
      <c r="E1124" s="168">
        <f>IF(ISERROR(Personalplanung!H84/Monatsplanung!$E84*Monatsplanung!$Q84),0,Personalplanung!H84/Monatsplanung!$E84*Monatsplanung!$Q84)</f>
        <v>0</v>
      </c>
      <c r="F1124" s="168">
        <f t="shared" si="356"/>
        <v>0</v>
      </c>
      <c r="G1124" s="168">
        <f t="shared" si="357"/>
        <v>27.700831024930746</v>
      </c>
      <c r="H1124" s="168">
        <f t="shared" si="358"/>
        <v>0</v>
      </c>
      <c r="I1124" s="168">
        <f t="shared" si="359"/>
        <v>30</v>
      </c>
      <c r="J1124" s="739"/>
      <c r="K1124" s="168">
        <f>IF(J1124&lt;&gt;"",J1124,IF(ISERROR(Personalplanung!AB84/Monatsplanung!$E84*Monatsplanung!$Q84),0,Personalplanung!AB84/Monatsplanung!$E84*Monatsplanung!$Q84))</f>
        <v>0</v>
      </c>
      <c r="L1124" s="740"/>
      <c r="M1124" s="739"/>
      <c r="N1124" s="168">
        <f>IF(M1124&lt;&gt;"",M1124,IF(ISERROR(Personalplanung!AC84/Monatsplanung!$E84*Monatsplanung!$Q84),0,Personalplanung!AC84/Monatsplanung!$E84*Monatsplanung!$Q84))</f>
        <v>0</v>
      </c>
      <c r="O1124" s="740"/>
      <c r="P1124" s="739"/>
      <c r="Q1124" s="168">
        <f>IF(P1124&lt;&gt;"",P1124,IF(ISERROR(Personalplanung!AD84/Monatsplanung!$E84*Monatsplanung!$Q84),0,Personalplanung!AD84/Monatsplanung!$E84*Monatsplanung!$Q84))</f>
        <v>0</v>
      </c>
      <c r="R1124" s="740"/>
      <c r="S1124" s="739"/>
      <c r="T1124" s="168">
        <f>IF(S1124&lt;&gt;"",S1124,IF(ISERROR(Personalplanung!AE84/Monatsplanung!$E84*Monatsplanung!$Q84),0,Personalplanung!AE84/Monatsplanung!$E84*Monatsplanung!$Q84))</f>
        <v>0</v>
      </c>
      <c r="U1124" s="740"/>
      <c r="V1124" s="168">
        <f t="shared" si="360"/>
        <v>0</v>
      </c>
      <c r="W1124" s="168">
        <f>IF(ISERROR(Personalplanung!P84/Monatsplanung!$E84*Monatsplanung!$Q84),0,Personalplanung!P84/Monatsplanung!$E84*Monatsplanung!$Q84)</f>
        <v>0</v>
      </c>
      <c r="X1124" s="168">
        <f>IF(ISERROR(Personalplanung!Q84/Monatsplanung!$E84*Monatsplanung!$Q84),0,Personalplanung!Q84/Monatsplanung!$E84*Monatsplanung!$Q84)</f>
        <v>0</v>
      </c>
      <c r="Y1124" s="168">
        <f>IF(ISERROR(Personalplanung!R84/T1332*Stundencontrolling!T1124),0,Personalplanung!R84/T1332*Stundencontrolling!T1124)</f>
        <v>0</v>
      </c>
      <c r="Z1124" s="168">
        <f>IF(ISERROR(Personalplanung!S84/Monatsplanung!$E84*Monatsplanung!$Q84),0,Personalplanung!S84/Monatsplanung!$E84*Monatsplanung!$Q84)</f>
        <v>0</v>
      </c>
      <c r="AA1124" s="80">
        <f t="shared" si="361"/>
        <v>0</v>
      </c>
      <c r="AB1124" s="102">
        <f t="shared" si="362"/>
        <v>0.1</v>
      </c>
      <c r="AC1124" s="103">
        <f t="shared" si="363"/>
        <v>0</v>
      </c>
      <c r="AD1124" s="103">
        <f t="shared" si="364"/>
        <v>0</v>
      </c>
      <c r="AE1124" s="81">
        <f t="shared" si="365"/>
        <v>0</v>
      </c>
      <c r="AF1124" s="539"/>
      <c r="AG1124" s="104">
        <f t="shared" si="366"/>
        <v>1</v>
      </c>
      <c r="AH1124" s="7">
        <f t="shared" si="367"/>
        <v>0</v>
      </c>
      <c r="AI1124" s="6">
        <f t="shared" si="368"/>
        <v>0</v>
      </c>
      <c r="AJ1124" s="73">
        <f t="shared" si="369"/>
        <v>0</v>
      </c>
      <c r="AK1124" s="539"/>
      <c r="AL1124" s="748"/>
      <c r="AM1124" s="748"/>
    </row>
    <row r="1125" spans="2:39" x14ac:dyDescent="0.2">
      <c r="B1125" s="101" t="str">
        <f t="shared" si="354"/>
        <v/>
      </c>
      <c r="C1125" s="168">
        <f>IF(ISERROR(Personalplanung!F85/Monatsplanung!$E85*Monatsplanung!$Q85),0,Personalplanung!F85/Monatsplanung!$E85*Monatsplanung!$Q85)</f>
        <v>0</v>
      </c>
      <c r="D1125" s="168">
        <f t="shared" si="355"/>
        <v>0</v>
      </c>
      <c r="E1125" s="168">
        <f>IF(ISERROR(Personalplanung!H85/Monatsplanung!$E85*Monatsplanung!$Q85),0,Personalplanung!H85/Monatsplanung!$E85*Monatsplanung!$Q85)</f>
        <v>0</v>
      </c>
      <c r="F1125" s="168">
        <f t="shared" si="356"/>
        <v>0</v>
      </c>
      <c r="G1125" s="168">
        <f t="shared" si="357"/>
        <v>27.700831024930746</v>
      </c>
      <c r="H1125" s="168">
        <f t="shared" si="358"/>
        <v>0</v>
      </c>
      <c r="I1125" s="168">
        <f t="shared" si="359"/>
        <v>30</v>
      </c>
      <c r="J1125" s="739"/>
      <c r="K1125" s="168">
        <f>IF(J1125&lt;&gt;"",J1125,IF(ISERROR(Personalplanung!AB85/Monatsplanung!$E85*Monatsplanung!$Q85),0,Personalplanung!AB85/Monatsplanung!$E85*Monatsplanung!$Q85))</f>
        <v>0</v>
      </c>
      <c r="L1125" s="740"/>
      <c r="M1125" s="739"/>
      <c r="N1125" s="168">
        <f>IF(M1125&lt;&gt;"",M1125,IF(ISERROR(Personalplanung!AC85/Monatsplanung!$E85*Monatsplanung!$Q85),0,Personalplanung!AC85/Monatsplanung!$E85*Monatsplanung!$Q85))</f>
        <v>0</v>
      </c>
      <c r="O1125" s="740"/>
      <c r="P1125" s="739"/>
      <c r="Q1125" s="168">
        <f>IF(P1125&lt;&gt;"",P1125,IF(ISERROR(Personalplanung!AD85/Monatsplanung!$E85*Monatsplanung!$Q85),0,Personalplanung!AD85/Monatsplanung!$E85*Monatsplanung!$Q85))</f>
        <v>0</v>
      </c>
      <c r="R1125" s="740"/>
      <c r="S1125" s="739"/>
      <c r="T1125" s="168">
        <f>IF(S1125&lt;&gt;"",S1125,IF(ISERROR(Personalplanung!AE85/Monatsplanung!$E85*Monatsplanung!$Q85),0,Personalplanung!AE85/Monatsplanung!$E85*Monatsplanung!$Q85))</f>
        <v>0</v>
      </c>
      <c r="U1125" s="740"/>
      <c r="V1125" s="168">
        <f t="shared" si="360"/>
        <v>0</v>
      </c>
      <c r="W1125" s="168">
        <f>IF(ISERROR(Personalplanung!P85/Monatsplanung!$E85*Monatsplanung!$Q85),0,Personalplanung!P85/Monatsplanung!$E85*Monatsplanung!$Q85)</f>
        <v>0</v>
      </c>
      <c r="X1125" s="168">
        <f>IF(ISERROR(Personalplanung!Q85/Monatsplanung!$E85*Monatsplanung!$Q85),0,Personalplanung!Q85/Monatsplanung!$E85*Monatsplanung!$Q85)</f>
        <v>0</v>
      </c>
      <c r="Y1125" s="168">
        <f>IF(ISERROR(Personalplanung!R85/T1333*Stundencontrolling!T1125),0,Personalplanung!R85/T1333*Stundencontrolling!T1125)</f>
        <v>0</v>
      </c>
      <c r="Z1125" s="168">
        <f>IF(ISERROR(Personalplanung!S85/Monatsplanung!$E85*Monatsplanung!$Q85),0,Personalplanung!S85/Monatsplanung!$E85*Monatsplanung!$Q85)</f>
        <v>0</v>
      </c>
      <c r="AA1125" s="80">
        <f t="shared" si="361"/>
        <v>0</v>
      </c>
      <c r="AB1125" s="102">
        <f t="shared" si="362"/>
        <v>0.1</v>
      </c>
      <c r="AC1125" s="103">
        <f t="shared" si="363"/>
        <v>0</v>
      </c>
      <c r="AD1125" s="103">
        <f t="shared" si="364"/>
        <v>0</v>
      </c>
      <c r="AE1125" s="81">
        <f t="shared" si="365"/>
        <v>0</v>
      </c>
      <c r="AF1125" s="539"/>
      <c r="AG1125" s="104">
        <f t="shared" si="366"/>
        <v>1</v>
      </c>
      <c r="AH1125" s="7">
        <f t="shared" si="367"/>
        <v>0</v>
      </c>
      <c r="AI1125" s="6">
        <f t="shared" si="368"/>
        <v>0</v>
      </c>
      <c r="AJ1125" s="73">
        <f t="shared" si="369"/>
        <v>0</v>
      </c>
      <c r="AK1125" s="539"/>
      <c r="AL1125" s="748"/>
      <c r="AM1125" s="748"/>
    </row>
    <row r="1126" spans="2:39" x14ac:dyDescent="0.2">
      <c r="B1126" s="101" t="str">
        <f t="shared" si="354"/>
        <v/>
      </c>
      <c r="C1126" s="168">
        <f>IF(ISERROR(Personalplanung!F86/Monatsplanung!$E86*Monatsplanung!$Q86),0,Personalplanung!F86/Monatsplanung!$E86*Monatsplanung!$Q86)</f>
        <v>0</v>
      </c>
      <c r="D1126" s="168">
        <f t="shared" si="355"/>
        <v>0</v>
      </c>
      <c r="E1126" s="168">
        <f>IF(ISERROR(Personalplanung!H86/Monatsplanung!$E86*Monatsplanung!$Q86),0,Personalplanung!H86/Monatsplanung!$E86*Monatsplanung!$Q86)</f>
        <v>0</v>
      </c>
      <c r="F1126" s="168">
        <f t="shared" si="356"/>
        <v>0</v>
      </c>
      <c r="G1126" s="168">
        <f t="shared" si="357"/>
        <v>27.700831024930746</v>
      </c>
      <c r="H1126" s="168">
        <f t="shared" si="358"/>
        <v>0</v>
      </c>
      <c r="I1126" s="168">
        <f t="shared" si="359"/>
        <v>30</v>
      </c>
      <c r="J1126" s="739"/>
      <c r="K1126" s="168">
        <f>IF(J1126&lt;&gt;"",J1126,IF(ISERROR(Personalplanung!AB86/Monatsplanung!$E86*Monatsplanung!$Q86),0,Personalplanung!AB86/Monatsplanung!$E86*Monatsplanung!$Q86))</f>
        <v>0</v>
      </c>
      <c r="L1126" s="740"/>
      <c r="M1126" s="739"/>
      <c r="N1126" s="168">
        <f>IF(M1126&lt;&gt;"",M1126,IF(ISERROR(Personalplanung!AC86/Monatsplanung!$E86*Monatsplanung!$Q86),0,Personalplanung!AC86/Monatsplanung!$E86*Monatsplanung!$Q86))</f>
        <v>0</v>
      </c>
      <c r="O1126" s="740"/>
      <c r="P1126" s="739"/>
      <c r="Q1126" s="168">
        <f>IF(P1126&lt;&gt;"",P1126,IF(ISERROR(Personalplanung!AD86/Monatsplanung!$E86*Monatsplanung!$Q86),0,Personalplanung!AD86/Monatsplanung!$E86*Monatsplanung!$Q86))</f>
        <v>0</v>
      </c>
      <c r="R1126" s="740"/>
      <c r="S1126" s="739"/>
      <c r="T1126" s="168">
        <f>IF(S1126&lt;&gt;"",S1126,IF(ISERROR(Personalplanung!AE86/Monatsplanung!$E86*Monatsplanung!$Q86),0,Personalplanung!AE86/Monatsplanung!$E86*Monatsplanung!$Q86))</f>
        <v>0</v>
      </c>
      <c r="U1126" s="740"/>
      <c r="V1126" s="168">
        <f t="shared" si="360"/>
        <v>0</v>
      </c>
      <c r="W1126" s="168">
        <f>IF(ISERROR(Personalplanung!P86/Monatsplanung!$E86*Monatsplanung!$Q86),0,Personalplanung!P86/Monatsplanung!$E86*Monatsplanung!$Q86)</f>
        <v>0</v>
      </c>
      <c r="X1126" s="168">
        <f>IF(ISERROR(Personalplanung!Q86/Monatsplanung!$E86*Monatsplanung!$Q86),0,Personalplanung!Q86/Monatsplanung!$E86*Monatsplanung!$Q86)</f>
        <v>0</v>
      </c>
      <c r="Y1126" s="168">
        <f>IF(ISERROR(Personalplanung!R86/T1334*Stundencontrolling!T1126),0,Personalplanung!R86/T1334*Stundencontrolling!T1126)</f>
        <v>0</v>
      </c>
      <c r="Z1126" s="168">
        <f>IF(ISERROR(Personalplanung!S86/Monatsplanung!$E86*Monatsplanung!$Q86),0,Personalplanung!S86/Monatsplanung!$E86*Monatsplanung!$Q86)</f>
        <v>0</v>
      </c>
      <c r="AA1126" s="80">
        <f t="shared" si="361"/>
        <v>0</v>
      </c>
      <c r="AB1126" s="102">
        <f t="shared" si="362"/>
        <v>0.1</v>
      </c>
      <c r="AC1126" s="103">
        <f t="shared" si="363"/>
        <v>0</v>
      </c>
      <c r="AD1126" s="103">
        <f t="shared" si="364"/>
        <v>0</v>
      </c>
      <c r="AE1126" s="81">
        <f t="shared" si="365"/>
        <v>0</v>
      </c>
      <c r="AF1126" s="539"/>
      <c r="AG1126" s="104">
        <f t="shared" si="366"/>
        <v>1</v>
      </c>
      <c r="AH1126" s="7">
        <f t="shared" si="367"/>
        <v>0</v>
      </c>
      <c r="AI1126" s="6">
        <f t="shared" si="368"/>
        <v>0</v>
      </c>
      <c r="AJ1126" s="73">
        <f t="shared" si="369"/>
        <v>0</v>
      </c>
      <c r="AK1126" s="539"/>
      <c r="AL1126" s="748"/>
      <c r="AM1126" s="748"/>
    </row>
    <row r="1127" spans="2:39" x14ac:dyDescent="0.2">
      <c r="B1127" s="101" t="str">
        <f t="shared" si="354"/>
        <v/>
      </c>
      <c r="C1127" s="168">
        <f>IF(ISERROR(Personalplanung!F87/Monatsplanung!$E87*Monatsplanung!$Q87),0,Personalplanung!F87/Monatsplanung!$E87*Monatsplanung!$Q87)</f>
        <v>0</v>
      </c>
      <c r="D1127" s="168">
        <f t="shared" si="355"/>
        <v>0</v>
      </c>
      <c r="E1127" s="168">
        <f>IF(ISERROR(Personalplanung!H87/Monatsplanung!$E87*Monatsplanung!$Q87),0,Personalplanung!H87/Monatsplanung!$E87*Monatsplanung!$Q87)</f>
        <v>0</v>
      </c>
      <c r="F1127" s="168">
        <f t="shared" si="356"/>
        <v>0</v>
      </c>
      <c r="G1127" s="168">
        <f t="shared" si="357"/>
        <v>27.700831024930746</v>
      </c>
      <c r="H1127" s="168">
        <f t="shared" si="358"/>
        <v>0</v>
      </c>
      <c r="I1127" s="168">
        <f t="shared" si="359"/>
        <v>30</v>
      </c>
      <c r="J1127" s="739"/>
      <c r="K1127" s="168">
        <f>IF(J1127&lt;&gt;"",J1127,IF(ISERROR(Personalplanung!AB87/Monatsplanung!$E87*Monatsplanung!$Q87),0,Personalplanung!AB87/Monatsplanung!$E87*Monatsplanung!$Q87))</f>
        <v>0</v>
      </c>
      <c r="L1127" s="740"/>
      <c r="M1127" s="739"/>
      <c r="N1127" s="168">
        <f>IF(M1127&lt;&gt;"",M1127,IF(ISERROR(Personalplanung!AC87/Monatsplanung!$E87*Monatsplanung!$Q87),0,Personalplanung!AC87/Monatsplanung!$E87*Monatsplanung!$Q87))</f>
        <v>0</v>
      </c>
      <c r="O1127" s="740"/>
      <c r="P1127" s="739"/>
      <c r="Q1127" s="168">
        <f>IF(P1127&lt;&gt;"",P1127,IF(ISERROR(Personalplanung!AD87/Monatsplanung!$E87*Monatsplanung!$Q87),0,Personalplanung!AD87/Monatsplanung!$E87*Monatsplanung!$Q87))</f>
        <v>0</v>
      </c>
      <c r="R1127" s="740"/>
      <c r="S1127" s="739"/>
      <c r="T1127" s="168">
        <f>IF(S1127&lt;&gt;"",S1127,IF(ISERROR(Personalplanung!AE87/Monatsplanung!$E87*Monatsplanung!$Q87),0,Personalplanung!AE87/Monatsplanung!$E87*Monatsplanung!$Q87))</f>
        <v>0</v>
      </c>
      <c r="U1127" s="740"/>
      <c r="V1127" s="168">
        <f t="shared" si="360"/>
        <v>0</v>
      </c>
      <c r="W1127" s="168">
        <f>IF(ISERROR(Personalplanung!P87/Monatsplanung!$E87*Monatsplanung!$Q87),0,Personalplanung!P87/Monatsplanung!$E87*Monatsplanung!$Q87)</f>
        <v>0</v>
      </c>
      <c r="X1127" s="168">
        <f>IF(ISERROR(Personalplanung!Q87/Monatsplanung!$E87*Monatsplanung!$Q87),0,Personalplanung!Q87/Monatsplanung!$E87*Monatsplanung!$Q87)</f>
        <v>0</v>
      </c>
      <c r="Y1127" s="168">
        <f>IF(ISERROR(Personalplanung!R87/T1335*Stundencontrolling!T1127),0,Personalplanung!R87/T1335*Stundencontrolling!T1127)</f>
        <v>0</v>
      </c>
      <c r="Z1127" s="168">
        <f>IF(ISERROR(Personalplanung!S87/Monatsplanung!$E87*Monatsplanung!$Q87),0,Personalplanung!S87/Monatsplanung!$E87*Monatsplanung!$Q87)</f>
        <v>0</v>
      </c>
      <c r="AA1127" s="80">
        <f t="shared" si="361"/>
        <v>0</v>
      </c>
      <c r="AB1127" s="102">
        <f t="shared" si="362"/>
        <v>0.1</v>
      </c>
      <c r="AC1127" s="103">
        <f t="shared" si="363"/>
        <v>0</v>
      </c>
      <c r="AD1127" s="103">
        <f t="shared" si="364"/>
        <v>0</v>
      </c>
      <c r="AE1127" s="81">
        <f t="shared" si="365"/>
        <v>0</v>
      </c>
      <c r="AF1127" s="539"/>
      <c r="AG1127" s="104">
        <f t="shared" si="366"/>
        <v>1</v>
      </c>
      <c r="AH1127" s="7">
        <f t="shared" si="367"/>
        <v>0</v>
      </c>
      <c r="AI1127" s="6">
        <f t="shared" si="368"/>
        <v>0</v>
      </c>
      <c r="AJ1127" s="73">
        <f t="shared" si="369"/>
        <v>0</v>
      </c>
      <c r="AK1127" s="539"/>
      <c r="AL1127" s="748"/>
      <c r="AM1127" s="748"/>
    </row>
    <row r="1128" spans="2:39" x14ac:dyDescent="0.2">
      <c r="B1128" s="101" t="str">
        <f t="shared" si="354"/>
        <v/>
      </c>
      <c r="C1128" s="168">
        <f>IF(ISERROR(Personalplanung!F88/Monatsplanung!$E88*Monatsplanung!$Q88),0,Personalplanung!F88/Monatsplanung!$E88*Monatsplanung!$Q88)</f>
        <v>0</v>
      </c>
      <c r="D1128" s="168">
        <f t="shared" si="355"/>
        <v>0</v>
      </c>
      <c r="E1128" s="168">
        <f>IF(ISERROR(Personalplanung!H88/Monatsplanung!$E88*Monatsplanung!$Q88),0,Personalplanung!H88/Monatsplanung!$E88*Monatsplanung!$Q88)</f>
        <v>0</v>
      </c>
      <c r="F1128" s="168">
        <f t="shared" si="356"/>
        <v>0</v>
      </c>
      <c r="G1128" s="168">
        <f t="shared" si="357"/>
        <v>27.700831024930746</v>
      </c>
      <c r="H1128" s="168">
        <f t="shared" si="358"/>
        <v>0</v>
      </c>
      <c r="I1128" s="168">
        <f t="shared" si="359"/>
        <v>30</v>
      </c>
      <c r="J1128" s="739"/>
      <c r="K1128" s="168">
        <f>IF(J1128&lt;&gt;"",J1128,IF(ISERROR(Personalplanung!AB88/Monatsplanung!$E88*Monatsplanung!$Q88),0,Personalplanung!AB88/Monatsplanung!$E88*Monatsplanung!$Q88))</f>
        <v>0</v>
      </c>
      <c r="L1128" s="740"/>
      <c r="M1128" s="739"/>
      <c r="N1128" s="168">
        <f>IF(M1128&lt;&gt;"",M1128,IF(ISERROR(Personalplanung!AC88/Monatsplanung!$E88*Monatsplanung!$Q88),0,Personalplanung!AC88/Monatsplanung!$E88*Monatsplanung!$Q88))</f>
        <v>0</v>
      </c>
      <c r="O1128" s="740"/>
      <c r="P1128" s="739"/>
      <c r="Q1128" s="168">
        <f>IF(P1128&lt;&gt;"",P1128,IF(ISERROR(Personalplanung!AD88/Monatsplanung!$E88*Monatsplanung!$Q88),0,Personalplanung!AD88/Monatsplanung!$E88*Monatsplanung!$Q88))</f>
        <v>0</v>
      </c>
      <c r="R1128" s="740"/>
      <c r="S1128" s="739"/>
      <c r="T1128" s="168">
        <f>IF(S1128&lt;&gt;"",S1128,IF(ISERROR(Personalplanung!AE88/Monatsplanung!$E88*Monatsplanung!$Q88),0,Personalplanung!AE88/Monatsplanung!$E88*Monatsplanung!$Q88))</f>
        <v>0</v>
      </c>
      <c r="U1128" s="740"/>
      <c r="V1128" s="168">
        <f t="shared" si="360"/>
        <v>0</v>
      </c>
      <c r="W1128" s="168">
        <f>IF(ISERROR(Personalplanung!P88/Monatsplanung!$E88*Monatsplanung!$Q88),0,Personalplanung!P88/Monatsplanung!$E88*Monatsplanung!$Q88)</f>
        <v>0</v>
      </c>
      <c r="X1128" s="168">
        <f>IF(ISERROR(Personalplanung!Q88/Monatsplanung!$E88*Monatsplanung!$Q88),0,Personalplanung!Q88/Monatsplanung!$E88*Monatsplanung!$Q88)</f>
        <v>0</v>
      </c>
      <c r="Y1128" s="168">
        <f>IF(ISERROR(Personalplanung!R88/T1336*Stundencontrolling!T1128),0,Personalplanung!R88/T1336*Stundencontrolling!T1128)</f>
        <v>0</v>
      </c>
      <c r="Z1128" s="168">
        <f>IF(ISERROR(Personalplanung!S88/Monatsplanung!$E88*Monatsplanung!$Q88),0,Personalplanung!S88/Monatsplanung!$E88*Monatsplanung!$Q88)</f>
        <v>0</v>
      </c>
      <c r="AA1128" s="80">
        <f t="shared" si="361"/>
        <v>0</v>
      </c>
      <c r="AB1128" s="102">
        <f t="shared" si="362"/>
        <v>0.1</v>
      </c>
      <c r="AC1128" s="103">
        <f t="shared" si="363"/>
        <v>0</v>
      </c>
      <c r="AD1128" s="103">
        <f t="shared" si="364"/>
        <v>0</v>
      </c>
      <c r="AE1128" s="81">
        <f t="shared" si="365"/>
        <v>0</v>
      </c>
      <c r="AF1128" s="539"/>
      <c r="AG1128" s="104">
        <f t="shared" si="366"/>
        <v>1</v>
      </c>
      <c r="AH1128" s="7">
        <f t="shared" si="367"/>
        <v>0</v>
      </c>
      <c r="AI1128" s="6">
        <f t="shared" si="368"/>
        <v>0</v>
      </c>
      <c r="AJ1128" s="73">
        <f t="shared" si="369"/>
        <v>0</v>
      </c>
      <c r="AK1128" s="539"/>
      <c r="AL1128" s="748"/>
      <c r="AM1128" s="748"/>
    </row>
    <row r="1129" spans="2:39" x14ac:dyDescent="0.2">
      <c r="B1129" s="101" t="str">
        <f t="shared" si="354"/>
        <v/>
      </c>
      <c r="C1129" s="168">
        <f>IF(ISERROR(Personalplanung!F89/Monatsplanung!$E89*Monatsplanung!$Q89),0,Personalplanung!F89/Monatsplanung!$E89*Monatsplanung!$Q89)</f>
        <v>0</v>
      </c>
      <c r="D1129" s="168">
        <f t="shared" si="355"/>
        <v>0</v>
      </c>
      <c r="E1129" s="168">
        <f>IF(ISERROR(Personalplanung!H89/Monatsplanung!$E89*Monatsplanung!$Q89),0,Personalplanung!H89/Monatsplanung!$E89*Monatsplanung!$Q89)</f>
        <v>0</v>
      </c>
      <c r="F1129" s="168">
        <f t="shared" si="356"/>
        <v>0</v>
      </c>
      <c r="G1129" s="168">
        <f t="shared" si="357"/>
        <v>27.700831024930746</v>
      </c>
      <c r="H1129" s="168">
        <f t="shared" si="358"/>
        <v>0</v>
      </c>
      <c r="I1129" s="168">
        <f t="shared" si="359"/>
        <v>30</v>
      </c>
      <c r="J1129" s="739"/>
      <c r="K1129" s="168">
        <f>IF(J1129&lt;&gt;"",J1129,IF(ISERROR(Personalplanung!AB89/Monatsplanung!$E89*Monatsplanung!$Q89),0,Personalplanung!AB89/Monatsplanung!$E89*Monatsplanung!$Q89))</f>
        <v>0</v>
      </c>
      <c r="L1129" s="740"/>
      <c r="M1129" s="739"/>
      <c r="N1129" s="168">
        <f>IF(M1129&lt;&gt;"",M1129,IF(ISERROR(Personalplanung!AC89/Monatsplanung!$E89*Monatsplanung!$Q89),0,Personalplanung!AC89/Monatsplanung!$E89*Monatsplanung!$Q89))</f>
        <v>0</v>
      </c>
      <c r="O1129" s="740"/>
      <c r="P1129" s="739"/>
      <c r="Q1129" s="168">
        <f>IF(P1129&lt;&gt;"",P1129,IF(ISERROR(Personalplanung!AD89/Monatsplanung!$E89*Monatsplanung!$Q89),0,Personalplanung!AD89/Monatsplanung!$E89*Monatsplanung!$Q89))</f>
        <v>0</v>
      </c>
      <c r="R1129" s="740"/>
      <c r="S1129" s="739"/>
      <c r="T1129" s="168">
        <f>IF(S1129&lt;&gt;"",S1129,IF(ISERROR(Personalplanung!AE89/Monatsplanung!$E89*Monatsplanung!$Q89),0,Personalplanung!AE89/Monatsplanung!$E89*Monatsplanung!$Q89))</f>
        <v>0</v>
      </c>
      <c r="U1129" s="740"/>
      <c r="V1129" s="168">
        <f t="shared" si="360"/>
        <v>0</v>
      </c>
      <c r="W1129" s="168">
        <f>IF(ISERROR(Personalplanung!P89/Monatsplanung!$E89*Monatsplanung!$Q89),0,Personalplanung!P89/Monatsplanung!$E89*Monatsplanung!$Q89)</f>
        <v>0</v>
      </c>
      <c r="X1129" s="168">
        <f>IF(ISERROR(Personalplanung!Q89/Monatsplanung!$E89*Monatsplanung!$Q89),0,Personalplanung!Q89/Monatsplanung!$E89*Monatsplanung!$Q89)</f>
        <v>0</v>
      </c>
      <c r="Y1129" s="168">
        <f>IF(ISERROR(Personalplanung!R89/T1337*Stundencontrolling!T1129),0,Personalplanung!R89/T1337*Stundencontrolling!T1129)</f>
        <v>0</v>
      </c>
      <c r="Z1129" s="168">
        <f>IF(ISERROR(Personalplanung!S89/Monatsplanung!$E89*Monatsplanung!$Q89),0,Personalplanung!S89/Monatsplanung!$E89*Monatsplanung!$Q89)</f>
        <v>0</v>
      </c>
      <c r="AA1129" s="80">
        <f t="shared" si="361"/>
        <v>0</v>
      </c>
      <c r="AB1129" s="102">
        <f t="shared" si="362"/>
        <v>0.1</v>
      </c>
      <c r="AC1129" s="103">
        <f t="shared" si="363"/>
        <v>0</v>
      </c>
      <c r="AD1129" s="103">
        <f t="shared" si="364"/>
        <v>0</v>
      </c>
      <c r="AE1129" s="81">
        <f t="shared" si="365"/>
        <v>0</v>
      </c>
      <c r="AF1129" s="539"/>
      <c r="AG1129" s="104">
        <f t="shared" si="366"/>
        <v>1</v>
      </c>
      <c r="AH1129" s="7">
        <f t="shared" si="367"/>
        <v>0</v>
      </c>
      <c r="AI1129" s="6">
        <f t="shared" si="368"/>
        <v>0</v>
      </c>
      <c r="AJ1129" s="73">
        <f t="shared" si="369"/>
        <v>0</v>
      </c>
      <c r="AK1129" s="539"/>
      <c r="AL1129" s="748"/>
      <c r="AM1129" s="748"/>
    </row>
    <row r="1130" spans="2:39" x14ac:dyDescent="0.2">
      <c r="B1130" s="101" t="str">
        <f t="shared" si="354"/>
        <v/>
      </c>
      <c r="C1130" s="168">
        <f>IF(ISERROR(Personalplanung!F90/Monatsplanung!$E90*Monatsplanung!$Q90),0,Personalplanung!F90/Monatsplanung!$E90*Monatsplanung!$Q90)</f>
        <v>0</v>
      </c>
      <c r="D1130" s="168">
        <f t="shared" si="355"/>
        <v>0</v>
      </c>
      <c r="E1130" s="168">
        <f>IF(ISERROR(Personalplanung!H90/Monatsplanung!$E90*Monatsplanung!$Q90),0,Personalplanung!H90/Monatsplanung!$E90*Monatsplanung!$Q90)</f>
        <v>0</v>
      </c>
      <c r="F1130" s="168">
        <f t="shared" si="356"/>
        <v>0</v>
      </c>
      <c r="G1130" s="168">
        <f t="shared" si="357"/>
        <v>27.700831024930746</v>
      </c>
      <c r="H1130" s="168">
        <f t="shared" si="358"/>
        <v>0</v>
      </c>
      <c r="I1130" s="168">
        <f t="shared" si="359"/>
        <v>30</v>
      </c>
      <c r="J1130" s="739"/>
      <c r="K1130" s="168">
        <f>IF(J1130&lt;&gt;"",J1130,IF(ISERROR(Personalplanung!AB90/Monatsplanung!$E90*Monatsplanung!$Q90),0,Personalplanung!AB90/Monatsplanung!$E90*Monatsplanung!$Q90))</f>
        <v>0</v>
      </c>
      <c r="L1130" s="740"/>
      <c r="M1130" s="739"/>
      <c r="N1130" s="168">
        <f>IF(M1130&lt;&gt;"",M1130,IF(ISERROR(Personalplanung!AC90/Monatsplanung!$E90*Monatsplanung!$Q90),0,Personalplanung!AC90/Monatsplanung!$E90*Monatsplanung!$Q90))</f>
        <v>0</v>
      </c>
      <c r="O1130" s="740"/>
      <c r="P1130" s="739"/>
      <c r="Q1130" s="168">
        <f>IF(P1130&lt;&gt;"",P1130,IF(ISERROR(Personalplanung!AD90/Monatsplanung!$E90*Monatsplanung!$Q90),0,Personalplanung!AD90/Monatsplanung!$E90*Monatsplanung!$Q90))</f>
        <v>0</v>
      </c>
      <c r="R1130" s="740"/>
      <c r="S1130" s="739"/>
      <c r="T1130" s="168">
        <f>IF(S1130&lt;&gt;"",S1130,IF(ISERROR(Personalplanung!AE90/Monatsplanung!$E90*Monatsplanung!$Q90),0,Personalplanung!AE90/Monatsplanung!$E90*Monatsplanung!$Q90))</f>
        <v>0</v>
      </c>
      <c r="U1130" s="740"/>
      <c r="V1130" s="168">
        <f t="shared" si="360"/>
        <v>0</v>
      </c>
      <c r="W1130" s="168">
        <f>IF(ISERROR(Personalplanung!P90/Monatsplanung!$E90*Monatsplanung!$Q90),0,Personalplanung!P90/Monatsplanung!$E90*Monatsplanung!$Q90)</f>
        <v>0</v>
      </c>
      <c r="X1130" s="168">
        <f>IF(ISERROR(Personalplanung!Q90/Monatsplanung!$E90*Monatsplanung!$Q90),0,Personalplanung!Q90/Monatsplanung!$E90*Monatsplanung!$Q90)</f>
        <v>0</v>
      </c>
      <c r="Y1130" s="168">
        <f>IF(ISERROR(Personalplanung!R90/T1338*Stundencontrolling!T1130),0,Personalplanung!R90/T1338*Stundencontrolling!T1130)</f>
        <v>0</v>
      </c>
      <c r="Z1130" s="168">
        <f>IF(ISERROR(Personalplanung!S90/Monatsplanung!$E90*Monatsplanung!$Q90),0,Personalplanung!S90/Monatsplanung!$E90*Monatsplanung!$Q90)</f>
        <v>0</v>
      </c>
      <c r="AA1130" s="80">
        <f t="shared" si="361"/>
        <v>0</v>
      </c>
      <c r="AB1130" s="102">
        <f t="shared" si="362"/>
        <v>0.1</v>
      </c>
      <c r="AC1130" s="103">
        <f t="shared" si="363"/>
        <v>0</v>
      </c>
      <c r="AD1130" s="103">
        <f t="shared" si="364"/>
        <v>0</v>
      </c>
      <c r="AE1130" s="81">
        <f t="shared" si="365"/>
        <v>0</v>
      </c>
      <c r="AF1130" s="539"/>
      <c r="AG1130" s="104">
        <f t="shared" si="366"/>
        <v>1</v>
      </c>
      <c r="AH1130" s="7">
        <f t="shared" si="367"/>
        <v>0</v>
      </c>
      <c r="AI1130" s="6">
        <f t="shared" si="368"/>
        <v>0</v>
      </c>
      <c r="AJ1130" s="73">
        <f t="shared" si="369"/>
        <v>0</v>
      </c>
      <c r="AK1130" s="539"/>
      <c r="AL1130" s="748"/>
      <c r="AM1130" s="748"/>
    </row>
    <row r="1131" spans="2:39" x14ac:dyDescent="0.2">
      <c r="B1131" s="101" t="str">
        <f t="shared" si="354"/>
        <v/>
      </c>
      <c r="C1131" s="168">
        <f>IF(ISERROR(Personalplanung!F91/Monatsplanung!$E91*Monatsplanung!$Q91),0,Personalplanung!F91/Monatsplanung!$E91*Monatsplanung!$Q91)</f>
        <v>0</v>
      </c>
      <c r="D1131" s="168">
        <f t="shared" si="355"/>
        <v>0</v>
      </c>
      <c r="E1131" s="168">
        <f>IF(ISERROR(Personalplanung!H91/Monatsplanung!$E91*Monatsplanung!$Q91),0,Personalplanung!H91/Monatsplanung!$E91*Monatsplanung!$Q91)</f>
        <v>0</v>
      </c>
      <c r="F1131" s="168">
        <f t="shared" si="356"/>
        <v>0</v>
      </c>
      <c r="G1131" s="168">
        <f t="shared" si="357"/>
        <v>27.700831024930746</v>
      </c>
      <c r="H1131" s="168">
        <f t="shared" si="358"/>
        <v>0</v>
      </c>
      <c r="I1131" s="168">
        <f t="shared" si="359"/>
        <v>30</v>
      </c>
      <c r="J1131" s="739"/>
      <c r="K1131" s="168">
        <f>IF(J1131&lt;&gt;"",J1131,IF(ISERROR(Personalplanung!AB91/Monatsplanung!$E91*Monatsplanung!$Q91),0,Personalplanung!AB91/Monatsplanung!$E91*Monatsplanung!$Q91))</f>
        <v>0</v>
      </c>
      <c r="L1131" s="740"/>
      <c r="M1131" s="739"/>
      <c r="N1131" s="168">
        <f>IF(M1131&lt;&gt;"",M1131,IF(ISERROR(Personalplanung!AC91/Monatsplanung!$E91*Monatsplanung!$Q91),0,Personalplanung!AC91/Monatsplanung!$E91*Monatsplanung!$Q91))</f>
        <v>0</v>
      </c>
      <c r="O1131" s="740"/>
      <c r="P1131" s="739"/>
      <c r="Q1131" s="168">
        <f>IF(P1131&lt;&gt;"",P1131,IF(ISERROR(Personalplanung!AD91/Monatsplanung!$E91*Monatsplanung!$Q91),0,Personalplanung!AD91/Monatsplanung!$E91*Monatsplanung!$Q91))</f>
        <v>0</v>
      </c>
      <c r="R1131" s="740"/>
      <c r="S1131" s="739"/>
      <c r="T1131" s="168">
        <f>IF(S1131&lt;&gt;"",S1131,IF(ISERROR(Personalplanung!AE91/Monatsplanung!$E91*Monatsplanung!$Q91),0,Personalplanung!AE91/Monatsplanung!$E91*Monatsplanung!$Q91))</f>
        <v>0</v>
      </c>
      <c r="U1131" s="740"/>
      <c r="V1131" s="168">
        <f t="shared" si="360"/>
        <v>0</v>
      </c>
      <c r="W1131" s="168">
        <f>IF(ISERROR(Personalplanung!P91/Monatsplanung!$E91*Monatsplanung!$Q91),0,Personalplanung!P91/Monatsplanung!$E91*Monatsplanung!$Q91)</f>
        <v>0</v>
      </c>
      <c r="X1131" s="168">
        <f>IF(ISERROR(Personalplanung!Q91/Monatsplanung!$E91*Monatsplanung!$Q91),0,Personalplanung!Q91/Monatsplanung!$E91*Monatsplanung!$Q91)</f>
        <v>0</v>
      </c>
      <c r="Y1131" s="168">
        <f>IF(ISERROR(Personalplanung!R91/T1339*Stundencontrolling!T1131),0,Personalplanung!R91/T1339*Stundencontrolling!T1131)</f>
        <v>0</v>
      </c>
      <c r="Z1131" s="168">
        <f>IF(ISERROR(Personalplanung!S91/Monatsplanung!$E91*Monatsplanung!$Q91),0,Personalplanung!S91/Monatsplanung!$E91*Monatsplanung!$Q91)</f>
        <v>0</v>
      </c>
      <c r="AA1131" s="80">
        <f t="shared" si="361"/>
        <v>0</v>
      </c>
      <c r="AB1131" s="102">
        <f t="shared" si="362"/>
        <v>0.1</v>
      </c>
      <c r="AC1131" s="103">
        <f t="shared" si="363"/>
        <v>0</v>
      </c>
      <c r="AD1131" s="103">
        <f t="shared" si="364"/>
        <v>0</v>
      </c>
      <c r="AE1131" s="81">
        <f t="shared" si="365"/>
        <v>0</v>
      </c>
      <c r="AF1131" s="539"/>
      <c r="AG1131" s="104">
        <f t="shared" si="366"/>
        <v>1</v>
      </c>
      <c r="AH1131" s="7">
        <f t="shared" si="367"/>
        <v>0</v>
      </c>
      <c r="AI1131" s="6">
        <f t="shared" si="368"/>
        <v>0</v>
      </c>
      <c r="AJ1131" s="73">
        <f t="shared" si="369"/>
        <v>0</v>
      </c>
      <c r="AK1131" s="539"/>
      <c r="AL1131" s="748"/>
      <c r="AM1131" s="748"/>
    </row>
    <row r="1132" spans="2:39" x14ac:dyDescent="0.2">
      <c r="B1132" s="101" t="str">
        <f t="shared" si="354"/>
        <v/>
      </c>
      <c r="C1132" s="168">
        <f>IF(ISERROR(Personalplanung!F92/Monatsplanung!$E92*Monatsplanung!$Q92),0,Personalplanung!F92/Monatsplanung!$E92*Monatsplanung!$Q92)</f>
        <v>0</v>
      </c>
      <c r="D1132" s="168">
        <f t="shared" si="355"/>
        <v>0</v>
      </c>
      <c r="E1132" s="168">
        <f>IF(ISERROR(Personalplanung!H92/Monatsplanung!$E92*Monatsplanung!$Q92),0,Personalplanung!H92/Monatsplanung!$E92*Monatsplanung!$Q92)</f>
        <v>0</v>
      </c>
      <c r="F1132" s="168">
        <f t="shared" si="356"/>
        <v>0</v>
      </c>
      <c r="G1132" s="168">
        <f t="shared" si="357"/>
        <v>27.700831024930746</v>
      </c>
      <c r="H1132" s="168">
        <f t="shared" si="358"/>
        <v>0</v>
      </c>
      <c r="I1132" s="168">
        <f t="shared" si="359"/>
        <v>30</v>
      </c>
      <c r="J1132" s="739"/>
      <c r="K1132" s="168">
        <f>IF(J1132&lt;&gt;"",J1132,IF(ISERROR(Personalplanung!AB92/Monatsplanung!$E92*Monatsplanung!$Q92),0,Personalplanung!AB92/Monatsplanung!$E92*Monatsplanung!$Q92))</f>
        <v>0</v>
      </c>
      <c r="L1132" s="740"/>
      <c r="M1132" s="739"/>
      <c r="N1132" s="168">
        <f>IF(M1132&lt;&gt;"",M1132,IF(ISERROR(Personalplanung!AC92/Monatsplanung!$E92*Monatsplanung!$Q92),0,Personalplanung!AC92/Monatsplanung!$E92*Monatsplanung!$Q92))</f>
        <v>0</v>
      </c>
      <c r="O1132" s="740"/>
      <c r="P1132" s="739"/>
      <c r="Q1132" s="168">
        <f>IF(P1132&lt;&gt;"",P1132,IF(ISERROR(Personalplanung!AD92/Monatsplanung!$E92*Monatsplanung!$Q92),0,Personalplanung!AD92/Monatsplanung!$E92*Monatsplanung!$Q92))</f>
        <v>0</v>
      </c>
      <c r="R1132" s="740"/>
      <c r="S1132" s="739"/>
      <c r="T1132" s="168">
        <f>IF(S1132&lt;&gt;"",S1132,IF(ISERROR(Personalplanung!AE92/Monatsplanung!$E92*Monatsplanung!$Q92),0,Personalplanung!AE92/Monatsplanung!$E92*Monatsplanung!$Q92))</f>
        <v>0</v>
      </c>
      <c r="U1132" s="740"/>
      <c r="V1132" s="168">
        <f t="shared" si="360"/>
        <v>0</v>
      </c>
      <c r="W1132" s="168">
        <f>IF(ISERROR(Personalplanung!P92/Monatsplanung!$E92*Monatsplanung!$Q92),0,Personalplanung!P92/Monatsplanung!$E92*Monatsplanung!$Q92)</f>
        <v>0</v>
      </c>
      <c r="X1132" s="168">
        <f>IF(ISERROR(Personalplanung!Q92/Monatsplanung!$E92*Monatsplanung!$Q92),0,Personalplanung!Q92/Monatsplanung!$E92*Monatsplanung!$Q92)</f>
        <v>0</v>
      </c>
      <c r="Y1132" s="168">
        <f>IF(ISERROR(Personalplanung!R92/T1340*Stundencontrolling!T1132),0,Personalplanung!R92/T1340*Stundencontrolling!T1132)</f>
        <v>0</v>
      </c>
      <c r="Z1132" s="168">
        <f>IF(ISERROR(Personalplanung!S92/Monatsplanung!$E92*Monatsplanung!$Q92),0,Personalplanung!S92/Monatsplanung!$E92*Monatsplanung!$Q92)</f>
        <v>0</v>
      </c>
      <c r="AA1132" s="80">
        <f t="shared" si="361"/>
        <v>0</v>
      </c>
      <c r="AB1132" s="102">
        <f t="shared" si="362"/>
        <v>0.1</v>
      </c>
      <c r="AC1132" s="103">
        <f t="shared" si="363"/>
        <v>0</v>
      </c>
      <c r="AD1132" s="103">
        <f t="shared" si="364"/>
        <v>0</v>
      </c>
      <c r="AE1132" s="81">
        <f t="shared" si="365"/>
        <v>0</v>
      </c>
      <c r="AF1132" s="539"/>
      <c r="AG1132" s="104">
        <f t="shared" si="366"/>
        <v>1</v>
      </c>
      <c r="AH1132" s="7">
        <f t="shared" si="367"/>
        <v>0</v>
      </c>
      <c r="AI1132" s="6">
        <f t="shared" si="368"/>
        <v>0</v>
      </c>
      <c r="AJ1132" s="73">
        <f t="shared" si="369"/>
        <v>0</v>
      </c>
      <c r="AK1132" s="539"/>
      <c r="AL1132" s="748"/>
      <c r="AM1132" s="748"/>
    </row>
    <row r="1133" spans="2:39" x14ac:dyDescent="0.2">
      <c r="B1133" s="101" t="str">
        <f t="shared" si="354"/>
        <v/>
      </c>
      <c r="C1133" s="168">
        <f>IF(ISERROR(Personalplanung!F93/Monatsplanung!$E93*Monatsplanung!$Q93),0,Personalplanung!F93/Monatsplanung!$E93*Monatsplanung!$Q93)</f>
        <v>0</v>
      </c>
      <c r="D1133" s="168">
        <f t="shared" si="355"/>
        <v>0</v>
      </c>
      <c r="E1133" s="168">
        <f>IF(ISERROR(Personalplanung!H93/Monatsplanung!$E93*Monatsplanung!$Q93),0,Personalplanung!H93/Monatsplanung!$E93*Monatsplanung!$Q93)</f>
        <v>0</v>
      </c>
      <c r="F1133" s="168">
        <f t="shared" si="356"/>
        <v>0</v>
      </c>
      <c r="G1133" s="168">
        <f t="shared" si="357"/>
        <v>27.700831024930746</v>
      </c>
      <c r="H1133" s="168">
        <f t="shared" si="358"/>
        <v>0</v>
      </c>
      <c r="I1133" s="168">
        <f t="shared" si="359"/>
        <v>30</v>
      </c>
      <c r="J1133" s="739"/>
      <c r="K1133" s="168">
        <f>IF(J1133&lt;&gt;"",J1133,IF(ISERROR(Personalplanung!AB93/Monatsplanung!$E93*Monatsplanung!$Q93),0,Personalplanung!AB93/Monatsplanung!$E93*Monatsplanung!$Q93))</f>
        <v>0</v>
      </c>
      <c r="L1133" s="740"/>
      <c r="M1133" s="739"/>
      <c r="N1133" s="168">
        <f>IF(M1133&lt;&gt;"",M1133,IF(ISERROR(Personalplanung!AC93/Monatsplanung!$E93*Monatsplanung!$Q93),0,Personalplanung!AC93/Monatsplanung!$E93*Monatsplanung!$Q93))</f>
        <v>0</v>
      </c>
      <c r="O1133" s="740"/>
      <c r="P1133" s="739"/>
      <c r="Q1133" s="168">
        <f>IF(P1133&lt;&gt;"",P1133,IF(ISERROR(Personalplanung!AD93/Monatsplanung!$E93*Monatsplanung!$Q93),0,Personalplanung!AD93/Monatsplanung!$E93*Monatsplanung!$Q93))</f>
        <v>0</v>
      </c>
      <c r="R1133" s="740"/>
      <c r="S1133" s="739"/>
      <c r="T1133" s="168">
        <f>IF(S1133&lt;&gt;"",S1133,IF(ISERROR(Personalplanung!AE93/Monatsplanung!$E93*Monatsplanung!$Q93),0,Personalplanung!AE93/Monatsplanung!$E93*Monatsplanung!$Q93))</f>
        <v>0</v>
      </c>
      <c r="U1133" s="740"/>
      <c r="V1133" s="168">
        <f t="shared" si="360"/>
        <v>0</v>
      </c>
      <c r="W1133" s="168">
        <f>IF(ISERROR(Personalplanung!P93/Monatsplanung!$E93*Monatsplanung!$Q93),0,Personalplanung!P93/Monatsplanung!$E93*Monatsplanung!$Q93)</f>
        <v>0</v>
      </c>
      <c r="X1133" s="168">
        <f>IF(ISERROR(Personalplanung!Q93/Monatsplanung!$E93*Monatsplanung!$Q93),0,Personalplanung!Q93/Monatsplanung!$E93*Monatsplanung!$Q93)</f>
        <v>0</v>
      </c>
      <c r="Y1133" s="168">
        <f>IF(ISERROR(Personalplanung!R93/T1341*Stundencontrolling!T1133),0,Personalplanung!R93/T1341*Stundencontrolling!T1133)</f>
        <v>0</v>
      </c>
      <c r="Z1133" s="168">
        <f>IF(ISERROR(Personalplanung!S93/Monatsplanung!$E93*Monatsplanung!$Q93),0,Personalplanung!S93/Monatsplanung!$E93*Monatsplanung!$Q93)</f>
        <v>0</v>
      </c>
      <c r="AA1133" s="80">
        <f t="shared" si="361"/>
        <v>0</v>
      </c>
      <c r="AB1133" s="102">
        <f t="shared" si="362"/>
        <v>0.1</v>
      </c>
      <c r="AC1133" s="103">
        <f t="shared" si="363"/>
        <v>0</v>
      </c>
      <c r="AD1133" s="103">
        <f t="shared" si="364"/>
        <v>0</v>
      </c>
      <c r="AE1133" s="81">
        <f t="shared" si="365"/>
        <v>0</v>
      </c>
      <c r="AF1133" s="539"/>
      <c r="AG1133" s="104">
        <f t="shared" si="366"/>
        <v>1</v>
      </c>
      <c r="AH1133" s="7">
        <f t="shared" si="367"/>
        <v>0</v>
      </c>
      <c r="AI1133" s="6">
        <f t="shared" si="368"/>
        <v>0</v>
      </c>
      <c r="AJ1133" s="73">
        <f t="shared" si="369"/>
        <v>0</v>
      </c>
      <c r="AK1133" s="539"/>
      <c r="AL1133" s="748"/>
      <c r="AM1133" s="748"/>
    </row>
    <row r="1134" spans="2:39" x14ac:dyDescent="0.2">
      <c r="B1134" s="101" t="str">
        <f t="shared" si="354"/>
        <v/>
      </c>
      <c r="C1134" s="168">
        <f>IF(ISERROR(Personalplanung!F94/Monatsplanung!$E94*Monatsplanung!$Q94),0,Personalplanung!F94/Monatsplanung!$E94*Monatsplanung!$Q94)</f>
        <v>0</v>
      </c>
      <c r="D1134" s="168">
        <f t="shared" si="355"/>
        <v>0</v>
      </c>
      <c r="E1134" s="168">
        <f>IF(ISERROR(Personalplanung!H94/Monatsplanung!$E94*Monatsplanung!$Q94),0,Personalplanung!H94/Monatsplanung!$E94*Monatsplanung!$Q94)</f>
        <v>0</v>
      </c>
      <c r="F1134" s="168">
        <f t="shared" si="356"/>
        <v>0</v>
      </c>
      <c r="G1134" s="168">
        <f t="shared" si="357"/>
        <v>27.700831024930746</v>
      </c>
      <c r="H1134" s="168">
        <f t="shared" si="358"/>
        <v>0</v>
      </c>
      <c r="I1134" s="168">
        <f t="shared" si="359"/>
        <v>30</v>
      </c>
      <c r="J1134" s="739"/>
      <c r="K1134" s="168">
        <f>IF(J1134&lt;&gt;"",J1134,IF(ISERROR(Personalplanung!AB94/Monatsplanung!$E94*Monatsplanung!$Q94),0,Personalplanung!AB94/Monatsplanung!$E94*Monatsplanung!$Q94))</f>
        <v>0</v>
      </c>
      <c r="L1134" s="740"/>
      <c r="M1134" s="739"/>
      <c r="N1134" s="168">
        <f>IF(M1134&lt;&gt;"",M1134,IF(ISERROR(Personalplanung!AC94/Monatsplanung!$E94*Monatsplanung!$Q94),0,Personalplanung!AC94/Monatsplanung!$E94*Monatsplanung!$Q94))</f>
        <v>0</v>
      </c>
      <c r="O1134" s="740"/>
      <c r="P1134" s="739"/>
      <c r="Q1134" s="168">
        <f>IF(P1134&lt;&gt;"",P1134,IF(ISERROR(Personalplanung!AD94/Monatsplanung!$E94*Monatsplanung!$Q94),0,Personalplanung!AD94/Monatsplanung!$E94*Monatsplanung!$Q94))</f>
        <v>0</v>
      </c>
      <c r="R1134" s="740"/>
      <c r="S1134" s="739"/>
      <c r="T1134" s="168">
        <f>IF(S1134&lt;&gt;"",S1134,IF(ISERROR(Personalplanung!AE94/Monatsplanung!$E94*Monatsplanung!$Q94),0,Personalplanung!AE94/Monatsplanung!$E94*Monatsplanung!$Q94))</f>
        <v>0</v>
      </c>
      <c r="U1134" s="740"/>
      <c r="V1134" s="168">
        <f t="shared" si="360"/>
        <v>0</v>
      </c>
      <c r="W1134" s="168">
        <f>IF(ISERROR(Personalplanung!P94/Monatsplanung!$E94*Monatsplanung!$Q94),0,Personalplanung!P94/Monatsplanung!$E94*Monatsplanung!$Q94)</f>
        <v>0</v>
      </c>
      <c r="X1134" s="168">
        <f>IF(ISERROR(Personalplanung!Q94/Monatsplanung!$E94*Monatsplanung!$Q94),0,Personalplanung!Q94/Monatsplanung!$E94*Monatsplanung!$Q94)</f>
        <v>0</v>
      </c>
      <c r="Y1134" s="168">
        <f>IF(ISERROR(Personalplanung!R94/T1342*Stundencontrolling!T1134),0,Personalplanung!R94/T1342*Stundencontrolling!T1134)</f>
        <v>0</v>
      </c>
      <c r="Z1134" s="168">
        <f>IF(ISERROR(Personalplanung!S94/Monatsplanung!$E94*Monatsplanung!$Q94),0,Personalplanung!S94/Monatsplanung!$E94*Monatsplanung!$Q94)</f>
        <v>0</v>
      </c>
      <c r="AA1134" s="80">
        <f t="shared" si="361"/>
        <v>0</v>
      </c>
      <c r="AB1134" s="102">
        <f t="shared" si="362"/>
        <v>0.1</v>
      </c>
      <c r="AC1134" s="103">
        <f t="shared" si="363"/>
        <v>0</v>
      </c>
      <c r="AD1134" s="103">
        <f t="shared" si="364"/>
        <v>0</v>
      </c>
      <c r="AE1134" s="81">
        <f t="shared" si="365"/>
        <v>0</v>
      </c>
      <c r="AF1134" s="539"/>
      <c r="AG1134" s="104">
        <f t="shared" si="366"/>
        <v>1</v>
      </c>
      <c r="AH1134" s="7">
        <f t="shared" si="367"/>
        <v>0</v>
      </c>
      <c r="AI1134" s="6">
        <f t="shared" si="368"/>
        <v>0</v>
      </c>
      <c r="AJ1134" s="73">
        <f t="shared" si="369"/>
        <v>0</v>
      </c>
      <c r="AK1134" s="539"/>
      <c r="AL1134" s="748"/>
      <c r="AM1134" s="748"/>
    </row>
    <row r="1135" spans="2:39" x14ac:dyDescent="0.2">
      <c r="B1135" s="101" t="str">
        <f t="shared" si="354"/>
        <v/>
      </c>
      <c r="C1135" s="168">
        <f>IF(ISERROR(Personalplanung!F95/Monatsplanung!$E95*Monatsplanung!$Q95),0,Personalplanung!F95/Monatsplanung!$E95*Monatsplanung!$Q95)</f>
        <v>0</v>
      </c>
      <c r="D1135" s="168">
        <f t="shared" si="355"/>
        <v>0</v>
      </c>
      <c r="E1135" s="168">
        <f>IF(ISERROR(Personalplanung!H95/Monatsplanung!$E95*Monatsplanung!$Q95),0,Personalplanung!H95/Monatsplanung!$E95*Monatsplanung!$Q95)</f>
        <v>0</v>
      </c>
      <c r="F1135" s="168">
        <f t="shared" si="356"/>
        <v>0</v>
      </c>
      <c r="G1135" s="168">
        <f t="shared" si="357"/>
        <v>27.700831024930746</v>
      </c>
      <c r="H1135" s="168">
        <f t="shared" si="358"/>
        <v>0</v>
      </c>
      <c r="I1135" s="168">
        <f t="shared" si="359"/>
        <v>30</v>
      </c>
      <c r="J1135" s="739"/>
      <c r="K1135" s="168">
        <f>IF(J1135&lt;&gt;"",J1135,IF(ISERROR(Personalplanung!AB95/Monatsplanung!$E95*Monatsplanung!$Q95),0,Personalplanung!AB95/Monatsplanung!$E95*Monatsplanung!$Q95))</f>
        <v>0</v>
      </c>
      <c r="L1135" s="740"/>
      <c r="M1135" s="739"/>
      <c r="N1135" s="168">
        <f>IF(M1135&lt;&gt;"",M1135,IF(ISERROR(Personalplanung!AC95/Monatsplanung!$E95*Monatsplanung!$Q95),0,Personalplanung!AC95/Monatsplanung!$E95*Monatsplanung!$Q95))</f>
        <v>0</v>
      </c>
      <c r="O1135" s="740"/>
      <c r="P1135" s="739"/>
      <c r="Q1135" s="168">
        <f>IF(P1135&lt;&gt;"",P1135,IF(ISERROR(Personalplanung!AD95/Monatsplanung!$E95*Monatsplanung!$Q95),0,Personalplanung!AD95/Monatsplanung!$E95*Monatsplanung!$Q95))</f>
        <v>0</v>
      </c>
      <c r="R1135" s="740"/>
      <c r="S1135" s="739"/>
      <c r="T1135" s="168">
        <f>IF(S1135&lt;&gt;"",S1135,IF(ISERROR(Personalplanung!AE95/Monatsplanung!$E95*Monatsplanung!$Q95),0,Personalplanung!AE95/Monatsplanung!$E95*Monatsplanung!$Q95))</f>
        <v>0</v>
      </c>
      <c r="U1135" s="740"/>
      <c r="V1135" s="168">
        <f t="shared" si="360"/>
        <v>0</v>
      </c>
      <c r="W1135" s="168">
        <f>IF(ISERROR(Personalplanung!P95/Monatsplanung!$E95*Monatsplanung!$Q95),0,Personalplanung!P95/Monatsplanung!$E95*Monatsplanung!$Q95)</f>
        <v>0</v>
      </c>
      <c r="X1135" s="168">
        <f>IF(ISERROR(Personalplanung!Q95/Monatsplanung!$E95*Monatsplanung!$Q95),0,Personalplanung!Q95/Monatsplanung!$E95*Monatsplanung!$Q95)</f>
        <v>0</v>
      </c>
      <c r="Y1135" s="168">
        <f>IF(ISERROR(Personalplanung!R95/T1343*Stundencontrolling!T1135),0,Personalplanung!R95/T1343*Stundencontrolling!T1135)</f>
        <v>0</v>
      </c>
      <c r="Z1135" s="168">
        <f>IF(ISERROR(Personalplanung!S95/Monatsplanung!$E95*Monatsplanung!$Q95),0,Personalplanung!S95/Monatsplanung!$E95*Monatsplanung!$Q95)</f>
        <v>0</v>
      </c>
      <c r="AA1135" s="80">
        <f t="shared" si="361"/>
        <v>0</v>
      </c>
      <c r="AB1135" s="102">
        <f t="shared" si="362"/>
        <v>0.1</v>
      </c>
      <c r="AC1135" s="103">
        <f t="shared" si="363"/>
        <v>0</v>
      </c>
      <c r="AD1135" s="103">
        <f t="shared" si="364"/>
        <v>0</v>
      </c>
      <c r="AE1135" s="81">
        <f t="shared" si="365"/>
        <v>0</v>
      </c>
      <c r="AF1135" s="539"/>
      <c r="AG1135" s="104">
        <f t="shared" si="366"/>
        <v>1</v>
      </c>
      <c r="AH1135" s="7">
        <f t="shared" si="367"/>
        <v>0</v>
      </c>
      <c r="AI1135" s="6">
        <f t="shared" si="368"/>
        <v>0</v>
      </c>
      <c r="AJ1135" s="73">
        <f t="shared" si="369"/>
        <v>0</v>
      </c>
      <c r="AK1135" s="539"/>
      <c r="AL1135" s="748"/>
      <c r="AM1135" s="748"/>
    </row>
    <row r="1136" spans="2:39" x14ac:dyDescent="0.2">
      <c r="B1136" s="101" t="str">
        <f t="shared" si="354"/>
        <v/>
      </c>
      <c r="C1136" s="168">
        <f>IF(ISERROR(Personalplanung!F96/Monatsplanung!$E96*Monatsplanung!$Q96),0,Personalplanung!F96/Monatsplanung!$E96*Monatsplanung!$Q96)</f>
        <v>0</v>
      </c>
      <c r="D1136" s="168">
        <f t="shared" si="355"/>
        <v>0</v>
      </c>
      <c r="E1136" s="168">
        <f>IF(ISERROR(Personalplanung!H96/Monatsplanung!$E96*Monatsplanung!$Q96),0,Personalplanung!H96/Monatsplanung!$E96*Monatsplanung!$Q96)</f>
        <v>0</v>
      </c>
      <c r="F1136" s="168">
        <f t="shared" si="356"/>
        <v>0</v>
      </c>
      <c r="G1136" s="168">
        <f t="shared" si="357"/>
        <v>27.700831024930746</v>
      </c>
      <c r="H1136" s="168">
        <f t="shared" si="358"/>
        <v>0</v>
      </c>
      <c r="I1136" s="168">
        <f t="shared" si="359"/>
        <v>30</v>
      </c>
      <c r="J1136" s="739"/>
      <c r="K1136" s="168">
        <f>IF(J1136&lt;&gt;"",J1136,IF(ISERROR(Personalplanung!AB96/Monatsplanung!$E96*Monatsplanung!$Q96),0,Personalplanung!AB96/Monatsplanung!$E96*Monatsplanung!$Q96))</f>
        <v>0</v>
      </c>
      <c r="L1136" s="740"/>
      <c r="M1136" s="739"/>
      <c r="N1136" s="168">
        <f>IF(M1136&lt;&gt;"",M1136,IF(ISERROR(Personalplanung!AC96/Monatsplanung!$E96*Monatsplanung!$Q96),0,Personalplanung!AC96/Monatsplanung!$E96*Monatsplanung!$Q96))</f>
        <v>0</v>
      </c>
      <c r="O1136" s="740"/>
      <c r="P1136" s="739"/>
      <c r="Q1136" s="168">
        <f>IF(P1136&lt;&gt;"",P1136,IF(ISERROR(Personalplanung!AD96/Monatsplanung!$E96*Monatsplanung!$Q96),0,Personalplanung!AD96/Monatsplanung!$E96*Monatsplanung!$Q96))</f>
        <v>0</v>
      </c>
      <c r="R1136" s="740"/>
      <c r="S1136" s="739"/>
      <c r="T1136" s="168">
        <f>IF(S1136&lt;&gt;"",S1136,IF(ISERROR(Personalplanung!AE96/Monatsplanung!$E96*Monatsplanung!$Q96),0,Personalplanung!AE96/Monatsplanung!$E96*Monatsplanung!$Q96))</f>
        <v>0</v>
      </c>
      <c r="U1136" s="740"/>
      <c r="V1136" s="168">
        <f t="shared" si="360"/>
        <v>0</v>
      </c>
      <c r="W1136" s="168">
        <f>IF(ISERROR(Personalplanung!P96/Monatsplanung!$E96*Monatsplanung!$Q96),0,Personalplanung!P96/Monatsplanung!$E96*Monatsplanung!$Q96)</f>
        <v>0</v>
      </c>
      <c r="X1136" s="168">
        <f>IF(ISERROR(Personalplanung!Q96/Monatsplanung!$E96*Monatsplanung!$Q96),0,Personalplanung!Q96/Monatsplanung!$E96*Monatsplanung!$Q96)</f>
        <v>0</v>
      </c>
      <c r="Y1136" s="168">
        <f>IF(ISERROR(Personalplanung!R96/T1344*Stundencontrolling!T1136),0,Personalplanung!R96/T1344*Stundencontrolling!T1136)</f>
        <v>0</v>
      </c>
      <c r="Z1136" s="168">
        <f>IF(ISERROR(Personalplanung!S96/Monatsplanung!$E96*Monatsplanung!$Q96),0,Personalplanung!S96/Monatsplanung!$E96*Monatsplanung!$Q96)</f>
        <v>0</v>
      </c>
      <c r="AA1136" s="80">
        <f t="shared" si="361"/>
        <v>0</v>
      </c>
      <c r="AB1136" s="102">
        <f t="shared" si="362"/>
        <v>0.1</v>
      </c>
      <c r="AC1136" s="103">
        <f t="shared" si="363"/>
        <v>0</v>
      </c>
      <c r="AD1136" s="103">
        <f t="shared" si="364"/>
        <v>0</v>
      </c>
      <c r="AE1136" s="81">
        <f t="shared" si="365"/>
        <v>0</v>
      </c>
      <c r="AF1136" s="539"/>
      <c r="AG1136" s="104">
        <f t="shared" si="366"/>
        <v>1</v>
      </c>
      <c r="AH1136" s="7">
        <f t="shared" si="367"/>
        <v>0</v>
      </c>
      <c r="AI1136" s="6">
        <f t="shared" si="368"/>
        <v>0</v>
      </c>
      <c r="AJ1136" s="73">
        <f t="shared" si="369"/>
        <v>0</v>
      </c>
      <c r="AK1136" s="539"/>
      <c r="AL1136" s="748"/>
      <c r="AM1136" s="748"/>
    </row>
    <row r="1137" spans="2:39" x14ac:dyDescent="0.2">
      <c r="B1137" s="101" t="str">
        <f t="shared" si="354"/>
        <v/>
      </c>
      <c r="C1137" s="168">
        <f>IF(ISERROR(Personalplanung!F97/Monatsplanung!$E97*Monatsplanung!$Q97),0,Personalplanung!F97/Monatsplanung!$E97*Monatsplanung!$Q97)</f>
        <v>0</v>
      </c>
      <c r="D1137" s="168">
        <f t="shared" si="355"/>
        <v>0</v>
      </c>
      <c r="E1137" s="168">
        <f>IF(ISERROR(Personalplanung!H97/Monatsplanung!$E97*Monatsplanung!$Q97),0,Personalplanung!H97/Monatsplanung!$E97*Monatsplanung!$Q97)</f>
        <v>0</v>
      </c>
      <c r="F1137" s="168">
        <f t="shared" si="356"/>
        <v>0</v>
      </c>
      <c r="G1137" s="168">
        <f t="shared" si="357"/>
        <v>27.700831024930746</v>
      </c>
      <c r="H1137" s="168">
        <f t="shared" si="358"/>
        <v>0</v>
      </c>
      <c r="I1137" s="168">
        <f t="shared" si="359"/>
        <v>30</v>
      </c>
      <c r="J1137" s="739"/>
      <c r="K1137" s="168">
        <f>IF(J1137&lt;&gt;"",J1137,IF(ISERROR(Personalplanung!AB97/Monatsplanung!$E97*Monatsplanung!$Q97),0,Personalplanung!AB97/Monatsplanung!$E97*Monatsplanung!$Q97))</f>
        <v>0</v>
      </c>
      <c r="L1137" s="740"/>
      <c r="M1137" s="739"/>
      <c r="N1137" s="168">
        <f>IF(M1137&lt;&gt;"",M1137,IF(ISERROR(Personalplanung!AC97/Monatsplanung!$E97*Monatsplanung!$Q97),0,Personalplanung!AC97/Monatsplanung!$E97*Monatsplanung!$Q97))</f>
        <v>0</v>
      </c>
      <c r="O1137" s="740"/>
      <c r="P1137" s="739"/>
      <c r="Q1137" s="168">
        <f>IF(P1137&lt;&gt;"",P1137,IF(ISERROR(Personalplanung!AD97/Monatsplanung!$E97*Monatsplanung!$Q97),0,Personalplanung!AD97/Monatsplanung!$E97*Monatsplanung!$Q97))</f>
        <v>0</v>
      </c>
      <c r="R1137" s="740"/>
      <c r="S1137" s="739"/>
      <c r="T1137" s="168">
        <f>IF(S1137&lt;&gt;"",S1137,IF(ISERROR(Personalplanung!AE97/Monatsplanung!$E97*Monatsplanung!$Q97),0,Personalplanung!AE97/Monatsplanung!$E97*Monatsplanung!$Q97))</f>
        <v>0</v>
      </c>
      <c r="U1137" s="740"/>
      <c r="V1137" s="168">
        <f t="shared" si="360"/>
        <v>0</v>
      </c>
      <c r="W1137" s="168">
        <f>IF(ISERROR(Personalplanung!P97/Monatsplanung!$E97*Monatsplanung!$Q97),0,Personalplanung!P97/Monatsplanung!$E97*Monatsplanung!$Q97)</f>
        <v>0</v>
      </c>
      <c r="X1137" s="168">
        <f>IF(ISERROR(Personalplanung!Q97/Monatsplanung!$E97*Monatsplanung!$Q97),0,Personalplanung!Q97/Monatsplanung!$E97*Monatsplanung!$Q97)</f>
        <v>0</v>
      </c>
      <c r="Y1137" s="168">
        <f>IF(ISERROR(Personalplanung!R97/T1345*Stundencontrolling!T1137),0,Personalplanung!R97/T1345*Stundencontrolling!T1137)</f>
        <v>0</v>
      </c>
      <c r="Z1137" s="168">
        <f>IF(ISERROR(Personalplanung!S97/Monatsplanung!$E97*Monatsplanung!$Q97),0,Personalplanung!S97/Monatsplanung!$E97*Monatsplanung!$Q97)</f>
        <v>0</v>
      </c>
      <c r="AA1137" s="80">
        <f t="shared" si="361"/>
        <v>0</v>
      </c>
      <c r="AB1137" s="102">
        <f t="shared" si="362"/>
        <v>0.1</v>
      </c>
      <c r="AC1137" s="103">
        <f t="shared" si="363"/>
        <v>0</v>
      </c>
      <c r="AD1137" s="103">
        <f t="shared" si="364"/>
        <v>0</v>
      </c>
      <c r="AE1137" s="81">
        <f t="shared" si="365"/>
        <v>0</v>
      </c>
      <c r="AF1137" s="539"/>
      <c r="AG1137" s="104">
        <f t="shared" si="366"/>
        <v>1</v>
      </c>
      <c r="AH1137" s="7">
        <f t="shared" si="367"/>
        <v>0</v>
      </c>
      <c r="AI1137" s="6">
        <f t="shared" si="368"/>
        <v>0</v>
      </c>
      <c r="AJ1137" s="73">
        <f t="shared" si="369"/>
        <v>0</v>
      </c>
      <c r="AK1137" s="539"/>
      <c r="AL1137" s="748"/>
      <c r="AM1137" s="748"/>
    </row>
    <row r="1138" spans="2:39" x14ac:dyDescent="0.2">
      <c r="B1138" s="101" t="str">
        <f t="shared" si="354"/>
        <v/>
      </c>
      <c r="C1138" s="168">
        <f>IF(ISERROR(Personalplanung!F98/Monatsplanung!$E98*Monatsplanung!$Q98),0,Personalplanung!F98/Monatsplanung!$E98*Monatsplanung!$Q98)</f>
        <v>0</v>
      </c>
      <c r="D1138" s="168">
        <f t="shared" si="355"/>
        <v>0</v>
      </c>
      <c r="E1138" s="168">
        <f>IF(ISERROR(Personalplanung!H98/Monatsplanung!$E98*Monatsplanung!$Q98),0,Personalplanung!H98/Monatsplanung!$E98*Monatsplanung!$Q98)</f>
        <v>0</v>
      </c>
      <c r="F1138" s="168">
        <f t="shared" si="356"/>
        <v>0</v>
      </c>
      <c r="G1138" s="168">
        <f t="shared" si="357"/>
        <v>27.700831024930746</v>
      </c>
      <c r="H1138" s="168">
        <f t="shared" si="358"/>
        <v>0</v>
      </c>
      <c r="I1138" s="168">
        <f t="shared" si="359"/>
        <v>30</v>
      </c>
      <c r="J1138" s="739"/>
      <c r="K1138" s="168">
        <f>IF(J1138&lt;&gt;"",J1138,IF(ISERROR(Personalplanung!AB98/Monatsplanung!$E98*Monatsplanung!$Q98),0,Personalplanung!AB98/Monatsplanung!$E98*Monatsplanung!$Q98))</f>
        <v>0</v>
      </c>
      <c r="L1138" s="740"/>
      <c r="M1138" s="739"/>
      <c r="N1138" s="168">
        <f>IF(M1138&lt;&gt;"",M1138,IF(ISERROR(Personalplanung!AC98/Monatsplanung!$E98*Monatsplanung!$Q98),0,Personalplanung!AC98/Monatsplanung!$E98*Monatsplanung!$Q98))</f>
        <v>0</v>
      </c>
      <c r="O1138" s="740"/>
      <c r="P1138" s="739"/>
      <c r="Q1138" s="168">
        <f>IF(P1138&lt;&gt;"",P1138,IF(ISERROR(Personalplanung!AD98/Monatsplanung!$E98*Monatsplanung!$Q98),0,Personalplanung!AD98/Monatsplanung!$E98*Monatsplanung!$Q98))</f>
        <v>0</v>
      </c>
      <c r="R1138" s="740"/>
      <c r="S1138" s="739"/>
      <c r="T1138" s="168">
        <f>IF(S1138&lt;&gt;"",S1138,IF(ISERROR(Personalplanung!AE98/Monatsplanung!$E98*Monatsplanung!$Q98),0,Personalplanung!AE98/Monatsplanung!$E98*Monatsplanung!$Q98))</f>
        <v>0</v>
      </c>
      <c r="U1138" s="740"/>
      <c r="V1138" s="168">
        <f t="shared" si="360"/>
        <v>0</v>
      </c>
      <c r="W1138" s="168">
        <f>IF(ISERROR(Personalplanung!P98/Monatsplanung!$E98*Monatsplanung!$Q98),0,Personalplanung!P98/Monatsplanung!$E98*Monatsplanung!$Q98)</f>
        <v>0</v>
      </c>
      <c r="X1138" s="168">
        <f>IF(ISERROR(Personalplanung!Q98/Monatsplanung!$E98*Monatsplanung!$Q98),0,Personalplanung!Q98/Monatsplanung!$E98*Monatsplanung!$Q98)</f>
        <v>0</v>
      </c>
      <c r="Y1138" s="168">
        <f>IF(ISERROR(Personalplanung!R98/T1346*Stundencontrolling!T1138),0,Personalplanung!R98/T1346*Stundencontrolling!T1138)</f>
        <v>0</v>
      </c>
      <c r="Z1138" s="168">
        <f>IF(ISERROR(Personalplanung!S98/Monatsplanung!$E98*Monatsplanung!$Q98),0,Personalplanung!S98/Monatsplanung!$E98*Monatsplanung!$Q98)</f>
        <v>0</v>
      </c>
      <c r="AA1138" s="80">
        <f t="shared" si="361"/>
        <v>0</v>
      </c>
      <c r="AB1138" s="102">
        <f t="shared" si="362"/>
        <v>0.1</v>
      </c>
      <c r="AC1138" s="103">
        <f t="shared" si="363"/>
        <v>0</v>
      </c>
      <c r="AD1138" s="103">
        <f t="shared" si="364"/>
        <v>0</v>
      </c>
      <c r="AE1138" s="81">
        <f t="shared" si="365"/>
        <v>0</v>
      </c>
      <c r="AF1138" s="539"/>
      <c r="AG1138" s="104">
        <f t="shared" si="366"/>
        <v>1</v>
      </c>
      <c r="AH1138" s="7">
        <f t="shared" si="367"/>
        <v>0</v>
      </c>
      <c r="AI1138" s="6">
        <f t="shared" si="368"/>
        <v>0</v>
      </c>
      <c r="AJ1138" s="73">
        <f t="shared" si="369"/>
        <v>0</v>
      </c>
      <c r="AK1138" s="539"/>
      <c r="AL1138" s="748"/>
      <c r="AM1138" s="748"/>
    </row>
    <row r="1139" spans="2:39" x14ac:dyDescent="0.2">
      <c r="B1139" s="101" t="str">
        <f t="shared" si="354"/>
        <v/>
      </c>
      <c r="C1139" s="168">
        <f>IF(ISERROR(Personalplanung!F99/Monatsplanung!$E99*Monatsplanung!$Q99),0,Personalplanung!F99/Monatsplanung!$E99*Monatsplanung!$Q99)</f>
        <v>0</v>
      </c>
      <c r="D1139" s="168">
        <f t="shared" si="355"/>
        <v>0</v>
      </c>
      <c r="E1139" s="168">
        <f>IF(ISERROR(Personalplanung!H99/Monatsplanung!$E99*Monatsplanung!$Q99),0,Personalplanung!H99/Monatsplanung!$E99*Monatsplanung!$Q99)</f>
        <v>0</v>
      </c>
      <c r="F1139" s="168">
        <f t="shared" si="356"/>
        <v>0</v>
      </c>
      <c r="G1139" s="168">
        <f t="shared" si="357"/>
        <v>27.700831024930746</v>
      </c>
      <c r="H1139" s="168">
        <f t="shared" si="358"/>
        <v>0</v>
      </c>
      <c r="I1139" s="168">
        <f t="shared" si="359"/>
        <v>30</v>
      </c>
      <c r="J1139" s="739"/>
      <c r="K1139" s="168">
        <f>IF(J1139&lt;&gt;"",J1139,IF(ISERROR(Personalplanung!AB99/Monatsplanung!$E99*Monatsplanung!$Q99),0,Personalplanung!AB99/Monatsplanung!$E99*Monatsplanung!$Q99))</f>
        <v>0</v>
      </c>
      <c r="L1139" s="740"/>
      <c r="M1139" s="739"/>
      <c r="N1139" s="168">
        <f>IF(M1139&lt;&gt;"",M1139,IF(ISERROR(Personalplanung!AC99/Monatsplanung!$E99*Monatsplanung!$Q99),0,Personalplanung!AC99/Monatsplanung!$E99*Monatsplanung!$Q99))</f>
        <v>0</v>
      </c>
      <c r="O1139" s="740"/>
      <c r="P1139" s="739"/>
      <c r="Q1139" s="168">
        <f>IF(P1139&lt;&gt;"",P1139,IF(ISERROR(Personalplanung!AD99/Monatsplanung!$E99*Monatsplanung!$Q99),0,Personalplanung!AD99/Monatsplanung!$E99*Monatsplanung!$Q99))</f>
        <v>0</v>
      </c>
      <c r="R1139" s="740"/>
      <c r="S1139" s="739"/>
      <c r="T1139" s="168">
        <f>IF(S1139&lt;&gt;"",S1139,IF(ISERROR(Personalplanung!AE99/Monatsplanung!$E99*Monatsplanung!$Q99),0,Personalplanung!AE99/Monatsplanung!$E99*Monatsplanung!$Q99))</f>
        <v>0</v>
      </c>
      <c r="U1139" s="740"/>
      <c r="V1139" s="168">
        <f t="shared" si="360"/>
        <v>0</v>
      </c>
      <c r="W1139" s="168">
        <f>IF(ISERROR(Personalplanung!P99/Monatsplanung!$E99*Monatsplanung!$Q99),0,Personalplanung!P99/Monatsplanung!$E99*Monatsplanung!$Q99)</f>
        <v>0</v>
      </c>
      <c r="X1139" s="168">
        <f>IF(ISERROR(Personalplanung!Q99/Monatsplanung!$E99*Monatsplanung!$Q99),0,Personalplanung!Q99/Monatsplanung!$E99*Monatsplanung!$Q99)</f>
        <v>0</v>
      </c>
      <c r="Y1139" s="168">
        <f>IF(ISERROR(Personalplanung!R99/T1347*Stundencontrolling!T1139),0,Personalplanung!R99/T1347*Stundencontrolling!T1139)</f>
        <v>0</v>
      </c>
      <c r="Z1139" s="168">
        <f>IF(ISERROR(Personalplanung!S99/Monatsplanung!$E99*Monatsplanung!$Q99),0,Personalplanung!S99/Monatsplanung!$E99*Monatsplanung!$Q99)</f>
        <v>0</v>
      </c>
      <c r="AA1139" s="80">
        <f t="shared" si="361"/>
        <v>0</v>
      </c>
      <c r="AB1139" s="102">
        <f t="shared" si="362"/>
        <v>0.1</v>
      </c>
      <c r="AC1139" s="103">
        <f t="shared" si="363"/>
        <v>0</v>
      </c>
      <c r="AD1139" s="103">
        <f t="shared" si="364"/>
        <v>0</v>
      </c>
      <c r="AE1139" s="81">
        <f t="shared" si="365"/>
        <v>0</v>
      </c>
      <c r="AF1139" s="539"/>
      <c r="AG1139" s="104">
        <f t="shared" si="366"/>
        <v>1</v>
      </c>
      <c r="AH1139" s="7">
        <f t="shared" si="367"/>
        <v>0</v>
      </c>
      <c r="AI1139" s="6">
        <f t="shared" si="368"/>
        <v>0</v>
      </c>
      <c r="AJ1139" s="73">
        <f t="shared" si="369"/>
        <v>0</v>
      </c>
      <c r="AK1139" s="539"/>
      <c r="AL1139" s="748"/>
      <c r="AM1139" s="748"/>
    </row>
    <row r="1140" spans="2:39" x14ac:dyDescent="0.2">
      <c r="B1140" s="101" t="str">
        <f t="shared" si="354"/>
        <v/>
      </c>
      <c r="C1140" s="168">
        <f>IF(ISERROR(Personalplanung!F100/Monatsplanung!$E100*Monatsplanung!$Q100),0,Personalplanung!F100/Monatsplanung!$E100*Monatsplanung!$Q100)</f>
        <v>0</v>
      </c>
      <c r="D1140" s="168">
        <f t="shared" si="355"/>
        <v>0</v>
      </c>
      <c r="E1140" s="168">
        <f>IF(ISERROR(Personalplanung!H100/Monatsplanung!$E100*Monatsplanung!$Q100),0,Personalplanung!H100/Monatsplanung!$E100*Monatsplanung!$Q100)</f>
        <v>0</v>
      </c>
      <c r="F1140" s="168">
        <f t="shared" si="356"/>
        <v>0</v>
      </c>
      <c r="G1140" s="168">
        <f t="shared" si="357"/>
        <v>27.700831024930746</v>
      </c>
      <c r="H1140" s="168">
        <f t="shared" si="358"/>
        <v>0</v>
      </c>
      <c r="I1140" s="168">
        <f t="shared" si="359"/>
        <v>30</v>
      </c>
      <c r="J1140" s="739"/>
      <c r="K1140" s="168">
        <f>IF(J1140&lt;&gt;"",J1140,IF(ISERROR(Personalplanung!AB100/Monatsplanung!$E100*Monatsplanung!$Q100),0,Personalplanung!AB100/Monatsplanung!$E100*Monatsplanung!$Q100))</f>
        <v>0</v>
      </c>
      <c r="L1140" s="740"/>
      <c r="M1140" s="739"/>
      <c r="N1140" s="168">
        <f>IF(M1140&lt;&gt;"",M1140,IF(ISERROR(Personalplanung!AC100/Monatsplanung!$E100*Monatsplanung!$Q100),0,Personalplanung!AC100/Monatsplanung!$E100*Monatsplanung!$Q100))</f>
        <v>0</v>
      </c>
      <c r="O1140" s="740"/>
      <c r="P1140" s="739"/>
      <c r="Q1140" s="168">
        <f>IF(P1140&lt;&gt;"",P1140,IF(ISERROR(Personalplanung!AD100/Monatsplanung!$E100*Monatsplanung!$Q100),0,Personalplanung!AD100/Monatsplanung!$E100*Monatsplanung!$Q100))</f>
        <v>0</v>
      </c>
      <c r="R1140" s="740"/>
      <c r="S1140" s="739"/>
      <c r="T1140" s="168">
        <f>IF(S1140&lt;&gt;"",S1140,IF(ISERROR(Personalplanung!AE100/Monatsplanung!$E100*Monatsplanung!$Q100),0,Personalplanung!AE100/Monatsplanung!$E100*Monatsplanung!$Q100))</f>
        <v>0</v>
      </c>
      <c r="U1140" s="740"/>
      <c r="V1140" s="168">
        <f t="shared" si="360"/>
        <v>0</v>
      </c>
      <c r="W1140" s="168">
        <f>IF(ISERROR(Personalplanung!P100/Monatsplanung!$E100*Monatsplanung!$Q100),0,Personalplanung!P100/Monatsplanung!$E100*Monatsplanung!$Q100)</f>
        <v>0</v>
      </c>
      <c r="X1140" s="168">
        <f>IF(ISERROR(Personalplanung!Q100/Monatsplanung!$E100*Monatsplanung!$Q100),0,Personalplanung!Q100/Monatsplanung!$E100*Monatsplanung!$Q100)</f>
        <v>0</v>
      </c>
      <c r="Y1140" s="168">
        <f>IF(ISERROR(Personalplanung!R100/T1348*Stundencontrolling!T1140),0,Personalplanung!R100/T1348*Stundencontrolling!T1140)</f>
        <v>0</v>
      </c>
      <c r="Z1140" s="168">
        <f>IF(ISERROR(Personalplanung!S100/Monatsplanung!$E100*Monatsplanung!$Q100),0,Personalplanung!S100/Monatsplanung!$E100*Monatsplanung!$Q100)</f>
        <v>0</v>
      </c>
      <c r="AA1140" s="80">
        <f t="shared" si="361"/>
        <v>0</v>
      </c>
      <c r="AB1140" s="102">
        <f t="shared" si="362"/>
        <v>0.1</v>
      </c>
      <c r="AC1140" s="103">
        <f t="shared" si="363"/>
        <v>0</v>
      </c>
      <c r="AD1140" s="103">
        <f t="shared" si="364"/>
        <v>0</v>
      </c>
      <c r="AE1140" s="81">
        <f t="shared" si="365"/>
        <v>0</v>
      </c>
      <c r="AF1140" s="539"/>
      <c r="AG1140" s="104">
        <f t="shared" si="366"/>
        <v>1</v>
      </c>
      <c r="AH1140" s="7">
        <f t="shared" si="367"/>
        <v>0</v>
      </c>
      <c r="AI1140" s="6">
        <f t="shared" si="368"/>
        <v>0</v>
      </c>
      <c r="AJ1140" s="73">
        <f t="shared" si="369"/>
        <v>0</v>
      </c>
      <c r="AK1140" s="539"/>
      <c r="AL1140" s="748"/>
      <c r="AM1140" s="748"/>
    </row>
    <row r="1141" spans="2:39" x14ac:dyDescent="0.2">
      <c r="B1141" s="101" t="str">
        <f t="shared" si="354"/>
        <v/>
      </c>
      <c r="C1141" s="168">
        <f>IF(ISERROR(Personalplanung!F101/Monatsplanung!$E101*Monatsplanung!$Q101),0,Personalplanung!F101/Monatsplanung!$E101*Monatsplanung!$Q101)</f>
        <v>0</v>
      </c>
      <c r="D1141" s="168">
        <f t="shared" si="355"/>
        <v>0</v>
      </c>
      <c r="E1141" s="168">
        <f>IF(ISERROR(Personalplanung!H101/Monatsplanung!$E101*Monatsplanung!$Q101),0,Personalplanung!H101/Monatsplanung!$E101*Monatsplanung!$Q101)</f>
        <v>0</v>
      </c>
      <c r="F1141" s="168">
        <f t="shared" si="356"/>
        <v>0</v>
      </c>
      <c r="G1141" s="168">
        <f t="shared" si="357"/>
        <v>27.700831024930746</v>
      </c>
      <c r="H1141" s="168">
        <f t="shared" si="358"/>
        <v>0</v>
      </c>
      <c r="I1141" s="168">
        <f t="shared" si="359"/>
        <v>30</v>
      </c>
      <c r="J1141" s="739"/>
      <c r="K1141" s="168">
        <f>IF(J1141&lt;&gt;"",J1141,IF(ISERROR(Personalplanung!AB101/Monatsplanung!$E101*Monatsplanung!$Q101),0,Personalplanung!AB101/Monatsplanung!$E101*Monatsplanung!$Q101))</f>
        <v>0</v>
      </c>
      <c r="L1141" s="740"/>
      <c r="M1141" s="739"/>
      <c r="N1141" s="168">
        <f>IF(M1141&lt;&gt;"",M1141,IF(ISERROR(Personalplanung!AC101/Monatsplanung!$E101*Monatsplanung!$Q101),0,Personalplanung!AC101/Monatsplanung!$E101*Monatsplanung!$Q101))</f>
        <v>0</v>
      </c>
      <c r="O1141" s="740"/>
      <c r="P1141" s="739"/>
      <c r="Q1141" s="168">
        <f>IF(P1141&lt;&gt;"",P1141,IF(ISERROR(Personalplanung!AD101/Monatsplanung!$E101*Monatsplanung!$Q101),0,Personalplanung!AD101/Monatsplanung!$E101*Monatsplanung!$Q101))</f>
        <v>0</v>
      </c>
      <c r="R1141" s="740"/>
      <c r="S1141" s="739"/>
      <c r="T1141" s="168">
        <f>IF(S1141&lt;&gt;"",S1141,IF(ISERROR(Personalplanung!AE101/Monatsplanung!$E101*Monatsplanung!$Q101),0,Personalplanung!AE101/Monatsplanung!$E101*Monatsplanung!$Q101))</f>
        <v>0</v>
      </c>
      <c r="U1141" s="740"/>
      <c r="V1141" s="168">
        <f t="shared" si="360"/>
        <v>0</v>
      </c>
      <c r="W1141" s="168">
        <f>IF(ISERROR(Personalplanung!P101/Monatsplanung!$E101*Monatsplanung!$Q101),0,Personalplanung!P101/Monatsplanung!$E101*Monatsplanung!$Q101)</f>
        <v>0</v>
      </c>
      <c r="X1141" s="168">
        <f>IF(ISERROR(Personalplanung!Q101/Monatsplanung!$E101*Monatsplanung!$Q101),0,Personalplanung!Q101/Monatsplanung!$E101*Monatsplanung!$Q101)</f>
        <v>0</v>
      </c>
      <c r="Y1141" s="168">
        <f>IF(ISERROR(Personalplanung!R101/T1349*Stundencontrolling!T1141),0,Personalplanung!R101/T1349*Stundencontrolling!T1141)</f>
        <v>0</v>
      </c>
      <c r="Z1141" s="168">
        <f>IF(ISERROR(Personalplanung!S101/Monatsplanung!$E101*Monatsplanung!$Q101),0,Personalplanung!S101/Monatsplanung!$E101*Monatsplanung!$Q101)</f>
        <v>0</v>
      </c>
      <c r="AA1141" s="80">
        <f t="shared" si="361"/>
        <v>0</v>
      </c>
      <c r="AB1141" s="102">
        <f t="shared" si="362"/>
        <v>0.1</v>
      </c>
      <c r="AC1141" s="103">
        <f t="shared" si="363"/>
        <v>0</v>
      </c>
      <c r="AD1141" s="103">
        <f t="shared" si="364"/>
        <v>0</v>
      </c>
      <c r="AE1141" s="81">
        <f t="shared" si="365"/>
        <v>0</v>
      </c>
      <c r="AF1141" s="539"/>
      <c r="AG1141" s="104">
        <f t="shared" si="366"/>
        <v>1</v>
      </c>
      <c r="AH1141" s="7">
        <f t="shared" si="367"/>
        <v>0</v>
      </c>
      <c r="AI1141" s="6">
        <f t="shared" si="368"/>
        <v>0</v>
      </c>
      <c r="AJ1141" s="73">
        <f t="shared" si="369"/>
        <v>0</v>
      </c>
      <c r="AK1141" s="539"/>
      <c r="AL1141" s="748"/>
      <c r="AM1141" s="748"/>
    </row>
    <row r="1142" spans="2:39" x14ac:dyDescent="0.2">
      <c r="B1142" s="101" t="str">
        <f t="shared" si="354"/>
        <v/>
      </c>
      <c r="C1142" s="168">
        <f>IF(ISERROR(Personalplanung!F102/Monatsplanung!$E102*Monatsplanung!$Q102),0,Personalplanung!F102/Monatsplanung!$E102*Monatsplanung!$Q102)</f>
        <v>0</v>
      </c>
      <c r="D1142" s="168">
        <f t="shared" si="355"/>
        <v>0</v>
      </c>
      <c r="E1142" s="168">
        <f>IF(ISERROR(Personalplanung!H102/Monatsplanung!$E102*Monatsplanung!$Q102),0,Personalplanung!H102/Monatsplanung!$E102*Monatsplanung!$Q102)</f>
        <v>0</v>
      </c>
      <c r="F1142" s="168">
        <f t="shared" si="356"/>
        <v>0</v>
      </c>
      <c r="G1142" s="168">
        <f t="shared" si="357"/>
        <v>27.700831024930746</v>
      </c>
      <c r="H1142" s="168">
        <f t="shared" si="358"/>
        <v>0</v>
      </c>
      <c r="I1142" s="168">
        <f t="shared" si="359"/>
        <v>30</v>
      </c>
      <c r="J1142" s="739"/>
      <c r="K1142" s="168">
        <f>IF(J1142&lt;&gt;"",J1142,IF(ISERROR(Personalplanung!AB102/Monatsplanung!$E102*Monatsplanung!$Q102),0,Personalplanung!AB102/Monatsplanung!$E102*Monatsplanung!$Q102))</f>
        <v>0</v>
      </c>
      <c r="L1142" s="740"/>
      <c r="M1142" s="739"/>
      <c r="N1142" s="168">
        <f>IF(M1142&lt;&gt;"",M1142,IF(ISERROR(Personalplanung!AC102/Monatsplanung!$E102*Monatsplanung!$Q102),0,Personalplanung!AC102/Monatsplanung!$E102*Monatsplanung!$Q102))</f>
        <v>0</v>
      </c>
      <c r="O1142" s="740"/>
      <c r="P1142" s="739"/>
      <c r="Q1142" s="168">
        <f>IF(P1142&lt;&gt;"",P1142,IF(ISERROR(Personalplanung!AD102/Monatsplanung!$E102*Monatsplanung!$Q102),0,Personalplanung!AD102/Monatsplanung!$E102*Monatsplanung!$Q102))</f>
        <v>0</v>
      </c>
      <c r="R1142" s="740"/>
      <c r="S1142" s="739"/>
      <c r="T1142" s="168">
        <f>IF(S1142&lt;&gt;"",S1142,IF(ISERROR(Personalplanung!AE102/Monatsplanung!$E102*Monatsplanung!$Q102),0,Personalplanung!AE102/Monatsplanung!$E102*Monatsplanung!$Q102))</f>
        <v>0</v>
      </c>
      <c r="U1142" s="740"/>
      <c r="V1142" s="168">
        <f t="shared" si="360"/>
        <v>0</v>
      </c>
      <c r="W1142" s="168">
        <f>IF(ISERROR(Personalplanung!P102/Monatsplanung!$E102*Monatsplanung!$Q102),0,Personalplanung!P102/Monatsplanung!$E102*Monatsplanung!$Q102)</f>
        <v>0</v>
      </c>
      <c r="X1142" s="168">
        <f>IF(ISERROR(Personalplanung!Q102/Monatsplanung!$E102*Monatsplanung!$Q102),0,Personalplanung!Q102/Monatsplanung!$E102*Monatsplanung!$Q102)</f>
        <v>0</v>
      </c>
      <c r="Y1142" s="168">
        <f>IF(ISERROR(Personalplanung!R102/T1350*Stundencontrolling!T1142),0,Personalplanung!R102/T1350*Stundencontrolling!T1142)</f>
        <v>0</v>
      </c>
      <c r="Z1142" s="168">
        <f>IF(ISERROR(Personalplanung!S102/Monatsplanung!$E102*Monatsplanung!$Q102),0,Personalplanung!S102/Monatsplanung!$E102*Monatsplanung!$Q102)</f>
        <v>0</v>
      </c>
      <c r="AA1142" s="80">
        <f t="shared" si="361"/>
        <v>0</v>
      </c>
      <c r="AB1142" s="102">
        <f t="shared" si="362"/>
        <v>0.1</v>
      </c>
      <c r="AC1142" s="103">
        <f t="shared" si="363"/>
        <v>0</v>
      </c>
      <c r="AD1142" s="103">
        <f t="shared" si="364"/>
        <v>0</v>
      </c>
      <c r="AE1142" s="81">
        <f t="shared" si="365"/>
        <v>0</v>
      </c>
      <c r="AF1142" s="539"/>
      <c r="AG1142" s="104">
        <f t="shared" si="366"/>
        <v>1</v>
      </c>
      <c r="AH1142" s="7">
        <f t="shared" si="367"/>
        <v>0</v>
      </c>
      <c r="AI1142" s="6">
        <f t="shared" si="368"/>
        <v>0</v>
      </c>
      <c r="AJ1142" s="73">
        <f t="shared" si="369"/>
        <v>0</v>
      </c>
      <c r="AK1142" s="539"/>
      <c r="AL1142" s="748"/>
      <c r="AM1142" s="748"/>
    </row>
    <row r="1143" spans="2:39" x14ac:dyDescent="0.2">
      <c r="B1143" s="101" t="str">
        <f t="shared" si="354"/>
        <v/>
      </c>
      <c r="C1143" s="168">
        <f>IF(ISERROR(Personalplanung!F103/Monatsplanung!$E103*Monatsplanung!$Q103),0,Personalplanung!F103/Monatsplanung!$E103*Monatsplanung!$Q103)</f>
        <v>0</v>
      </c>
      <c r="D1143" s="168">
        <f t="shared" si="355"/>
        <v>0</v>
      </c>
      <c r="E1143" s="168">
        <f>IF(ISERROR(Personalplanung!H103/Monatsplanung!$E103*Monatsplanung!$Q103),0,Personalplanung!H103/Monatsplanung!$E103*Monatsplanung!$Q103)</f>
        <v>0</v>
      </c>
      <c r="F1143" s="168">
        <f t="shared" si="356"/>
        <v>0</v>
      </c>
      <c r="G1143" s="168">
        <f t="shared" si="357"/>
        <v>27.700831024930746</v>
      </c>
      <c r="H1143" s="168">
        <f t="shared" si="358"/>
        <v>0</v>
      </c>
      <c r="I1143" s="168">
        <f t="shared" si="359"/>
        <v>30</v>
      </c>
      <c r="J1143" s="739"/>
      <c r="K1143" s="168">
        <f>IF(J1143&lt;&gt;"",J1143,IF(ISERROR(Personalplanung!AB103/Monatsplanung!$E103*Monatsplanung!$Q103),0,Personalplanung!AB103/Monatsplanung!$E103*Monatsplanung!$Q103))</f>
        <v>0</v>
      </c>
      <c r="L1143" s="740"/>
      <c r="M1143" s="739"/>
      <c r="N1143" s="168">
        <f>IF(M1143&lt;&gt;"",M1143,IF(ISERROR(Personalplanung!AC103/Monatsplanung!$E103*Monatsplanung!$Q103),0,Personalplanung!AC103/Monatsplanung!$E103*Monatsplanung!$Q103))</f>
        <v>0</v>
      </c>
      <c r="O1143" s="740"/>
      <c r="P1143" s="739"/>
      <c r="Q1143" s="168">
        <f>IF(P1143&lt;&gt;"",P1143,IF(ISERROR(Personalplanung!AD103/Monatsplanung!$E103*Monatsplanung!$Q103),0,Personalplanung!AD103/Monatsplanung!$E103*Monatsplanung!$Q103))</f>
        <v>0</v>
      </c>
      <c r="R1143" s="740"/>
      <c r="S1143" s="739"/>
      <c r="T1143" s="168">
        <f>IF(S1143&lt;&gt;"",S1143,IF(ISERROR(Personalplanung!AE103/Monatsplanung!$E103*Monatsplanung!$Q103),0,Personalplanung!AE103/Monatsplanung!$E103*Monatsplanung!$Q103))</f>
        <v>0</v>
      </c>
      <c r="U1143" s="740"/>
      <c r="V1143" s="168">
        <f t="shared" si="360"/>
        <v>0</v>
      </c>
      <c r="W1143" s="168">
        <f>IF(ISERROR(Personalplanung!P103/Monatsplanung!$E103*Monatsplanung!$Q103),0,Personalplanung!P103/Monatsplanung!$E103*Monatsplanung!$Q103)</f>
        <v>0</v>
      </c>
      <c r="X1143" s="168">
        <f>IF(ISERROR(Personalplanung!Q103/Monatsplanung!$E103*Monatsplanung!$Q103),0,Personalplanung!Q103/Monatsplanung!$E103*Monatsplanung!$Q103)</f>
        <v>0</v>
      </c>
      <c r="Y1143" s="168">
        <f>IF(ISERROR(Personalplanung!R103/T1351*Stundencontrolling!T1143),0,Personalplanung!R103/T1351*Stundencontrolling!T1143)</f>
        <v>0</v>
      </c>
      <c r="Z1143" s="168">
        <f>IF(ISERROR(Personalplanung!S103/Monatsplanung!$E103*Monatsplanung!$Q103),0,Personalplanung!S103/Monatsplanung!$E103*Monatsplanung!$Q103)</f>
        <v>0</v>
      </c>
      <c r="AA1143" s="80">
        <f t="shared" si="361"/>
        <v>0</v>
      </c>
      <c r="AB1143" s="102">
        <f t="shared" si="362"/>
        <v>0.1</v>
      </c>
      <c r="AC1143" s="103">
        <f t="shared" si="363"/>
        <v>0</v>
      </c>
      <c r="AD1143" s="103">
        <f t="shared" si="364"/>
        <v>0</v>
      </c>
      <c r="AE1143" s="81">
        <f t="shared" si="365"/>
        <v>0</v>
      </c>
      <c r="AF1143" s="539"/>
      <c r="AG1143" s="104">
        <f t="shared" si="366"/>
        <v>1</v>
      </c>
      <c r="AH1143" s="7">
        <f t="shared" si="367"/>
        <v>0</v>
      </c>
      <c r="AI1143" s="6">
        <f t="shared" si="368"/>
        <v>0</v>
      </c>
      <c r="AJ1143" s="73">
        <f t="shared" si="369"/>
        <v>0</v>
      </c>
      <c r="AK1143" s="539"/>
      <c r="AL1143" s="748"/>
      <c r="AM1143" s="748"/>
    </row>
    <row r="1144" spans="2:39" x14ac:dyDescent="0.2">
      <c r="B1144" s="101" t="str">
        <f t="shared" si="354"/>
        <v/>
      </c>
      <c r="C1144" s="168">
        <f>IF(ISERROR(Personalplanung!F104/Monatsplanung!$E104*Monatsplanung!$Q104),0,Personalplanung!F104/Monatsplanung!$E104*Monatsplanung!$Q104)</f>
        <v>0</v>
      </c>
      <c r="D1144" s="168">
        <f t="shared" si="355"/>
        <v>0</v>
      </c>
      <c r="E1144" s="168">
        <f>IF(ISERROR(Personalplanung!H104/Monatsplanung!$E104*Monatsplanung!$Q104),0,Personalplanung!H104/Monatsplanung!$E104*Monatsplanung!$Q104)</f>
        <v>0</v>
      </c>
      <c r="F1144" s="168">
        <f t="shared" si="356"/>
        <v>0</v>
      </c>
      <c r="G1144" s="168">
        <f t="shared" si="357"/>
        <v>27.700831024930746</v>
      </c>
      <c r="H1144" s="168">
        <f t="shared" si="358"/>
        <v>0</v>
      </c>
      <c r="I1144" s="168">
        <f t="shared" si="359"/>
        <v>30</v>
      </c>
      <c r="J1144" s="739"/>
      <c r="K1144" s="168">
        <f>IF(J1144&lt;&gt;"",J1144,IF(ISERROR(Personalplanung!AB104/Monatsplanung!$E104*Monatsplanung!$Q104),0,Personalplanung!AB104/Monatsplanung!$E104*Monatsplanung!$Q104))</f>
        <v>0</v>
      </c>
      <c r="L1144" s="740"/>
      <c r="M1144" s="739"/>
      <c r="N1144" s="168">
        <f>IF(M1144&lt;&gt;"",M1144,IF(ISERROR(Personalplanung!AC104/Monatsplanung!$E104*Monatsplanung!$Q104),0,Personalplanung!AC104/Monatsplanung!$E104*Monatsplanung!$Q104))</f>
        <v>0</v>
      </c>
      <c r="O1144" s="740"/>
      <c r="P1144" s="739"/>
      <c r="Q1144" s="168">
        <f>IF(P1144&lt;&gt;"",P1144,IF(ISERROR(Personalplanung!AD104/Monatsplanung!$E104*Monatsplanung!$Q104),0,Personalplanung!AD104/Monatsplanung!$E104*Monatsplanung!$Q104))</f>
        <v>0</v>
      </c>
      <c r="R1144" s="740"/>
      <c r="S1144" s="739"/>
      <c r="T1144" s="168">
        <f>IF(S1144&lt;&gt;"",S1144,IF(ISERROR(Personalplanung!AE104/Monatsplanung!$E104*Monatsplanung!$Q104),0,Personalplanung!AE104/Monatsplanung!$E104*Monatsplanung!$Q104))</f>
        <v>0</v>
      </c>
      <c r="U1144" s="740"/>
      <c r="V1144" s="168">
        <f t="shared" si="360"/>
        <v>0</v>
      </c>
      <c r="W1144" s="168">
        <f>IF(ISERROR(Personalplanung!P104/Monatsplanung!$E104*Monatsplanung!$Q104),0,Personalplanung!P104/Monatsplanung!$E104*Monatsplanung!$Q104)</f>
        <v>0</v>
      </c>
      <c r="X1144" s="168">
        <f>IF(ISERROR(Personalplanung!Q104/Monatsplanung!$E104*Monatsplanung!$Q104),0,Personalplanung!Q104/Monatsplanung!$E104*Monatsplanung!$Q104)</f>
        <v>0</v>
      </c>
      <c r="Y1144" s="168">
        <f>IF(ISERROR(Personalplanung!R104/T1352*Stundencontrolling!T1144),0,Personalplanung!R104/T1352*Stundencontrolling!T1144)</f>
        <v>0</v>
      </c>
      <c r="Z1144" s="168">
        <f>IF(ISERROR(Personalplanung!S104/Monatsplanung!$E104*Monatsplanung!$Q104),0,Personalplanung!S104/Monatsplanung!$E104*Monatsplanung!$Q104)</f>
        <v>0</v>
      </c>
      <c r="AA1144" s="80">
        <f t="shared" si="361"/>
        <v>0</v>
      </c>
      <c r="AB1144" s="102">
        <f t="shared" si="362"/>
        <v>0.1</v>
      </c>
      <c r="AC1144" s="103">
        <f t="shared" si="363"/>
        <v>0</v>
      </c>
      <c r="AD1144" s="103">
        <f t="shared" si="364"/>
        <v>0</v>
      </c>
      <c r="AE1144" s="81">
        <f t="shared" si="365"/>
        <v>0</v>
      </c>
      <c r="AF1144" s="539"/>
      <c r="AG1144" s="104">
        <f t="shared" si="366"/>
        <v>1</v>
      </c>
      <c r="AH1144" s="7">
        <f t="shared" si="367"/>
        <v>0</v>
      </c>
      <c r="AI1144" s="6">
        <f t="shared" si="368"/>
        <v>0</v>
      </c>
      <c r="AJ1144" s="73">
        <f t="shared" si="369"/>
        <v>0</v>
      </c>
      <c r="AK1144" s="539"/>
      <c r="AL1144" s="748"/>
      <c r="AM1144" s="748"/>
    </row>
    <row r="1145" spans="2:39" x14ac:dyDescent="0.2">
      <c r="B1145" s="101" t="str">
        <f t="shared" si="354"/>
        <v/>
      </c>
      <c r="C1145" s="168">
        <f>IF(ISERROR(Personalplanung!F105/Monatsplanung!$E105*Monatsplanung!$Q105),0,Personalplanung!F105/Monatsplanung!$E105*Monatsplanung!$Q105)</f>
        <v>0</v>
      </c>
      <c r="D1145" s="168">
        <f t="shared" si="355"/>
        <v>0</v>
      </c>
      <c r="E1145" s="168">
        <f>IF(ISERROR(Personalplanung!H105/Monatsplanung!$E105*Monatsplanung!$Q105),0,Personalplanung!H105/Monatsplanung!$E105*Monatsplanung!$Q105)</f>
        <v>0</v>
      </c>
      <c r="F1145" s="168">
        <f t="shared" si="356"/>
        <v>0</v>
      </c>
      <c r="G1145" s="168">
        <f t="shared" si="357"/>
        <v>27.700831024930746</v>
      </c>
      <c r="H1145" s="168">
        <f t="shared" si="358"/>
        <v>0</v>
      </c>
      <c r="I1145" s="168">
        <f t="shared" si="359"/>
        <v>30</v>
      </c>
      <c r="J1145" s="739"/>
      <c r="K1145" s="168">
        <f>IF(J1145&lt;&gt;"",J1145,IF(ISERROR(Personalplanung!AB105/Monatsplanung!$E105*Monatsplanung!$Q105),0,Personalplanung!AB105/Monatsplanung!$E105*Monatsplanung!$Q105))</f>
        <v>0</v>
      </c>
      <c r="L1145" s="740"/>
      <c r="M1145" s="739"/>
      <c r="N1145" s="168">
        <f>IF(M1145&lt;&gt;"",M1145,IF(ISERROR(Personalplanung!AC105/Monatsplanung!$E105*Monatsplanung!$Q105),0,Personalplanung!AC105/Monatsplanung!$E105*Monatsplanung!$Q105))</f>
        <v>0</v>
      </c>
      <c r="O1145" s="740"/>
      <c r="P1145" s="739"/>
      <c r="Q1145" s="168">
        <f>IF(P1145&lt;&gt;"",P1145,IF(ISERROR(Personalplanung!AD105/Monatsplanung!$E105*Monatsplanung!$Q105),0,Personalplanung!AD105/Monatsplanung!$E105*Monatsplanung!$Q105))</f>
        <v>0</v>
      </c>
      <c r="R1145" s="740"/>
      <c r="S1145" s="739"/>
      <c r="T1145" s="168">
        <f>IF(S1145&lt;&gt;"",S1145,IF(ISERROR(Personalplanung!AE105/Monatsplanung!$E105*Monatsplanung!$Q105),0,Personalplanung!AE105/Monatsplanung!$E105*Monatsplanung!$Q105))</f>
        <v>0</v>
      </c>
      <c r="U1145" s="740"/>
      <c r="V1145" s="168">
        <f t="shared" si="360"/>
        <v>0</v>
      </c>
      <c r="W1145" s="168">
        <f>IF(ISERROR(Personalplanung!P105/Monatsplanung!$E105*Monatsplanung!$Q105),0,Personalplanung!P105/Monatsplanung!$E105*Monatsplanung!$Q105)</f>
        <v>0</v>
      </c>
      <c r="X1145" s="168">
        <f>IF(ISERROR(Personalplanung!Q105/Monatsplanung!$E105*Monatsplanung!$Q105),0,Personalplanung!Q105/Monatsplanung!$E105*Monatsplanung!$Q105)</f>
        <v>0</v>
      </c>
      <c r="Y1145" s="168">
        <f>IF(ISERROR(Personalplanung!R105/T1353*Stundencontrolling!T1145),0,Personalplanung!R105/T1353*Stundencontrolling!T1145)</f>
        <v>0</v>
      </c>
      <c r="Z1145" s="168">
        <f>IF(ISERROR(Personalplanung!S105/Monatsplanung!$E105*Monatsplanung!$Q105),0,Personalplanung!S105/Monatsplanung!$E105*Monatsplanung!$Q105)</f>
        <v>0</v>
      </c>
      <c r="AA1145" s="80">
        <f t="shared" si="361"/>
        <v>0</v>
      </c>
      <c r="AB1145" s="102">
        <f t="shared" si="362"/>
        <v>0.1</v>
      </c>
      <c r="AC1145" s="103">
        <f t="shared" si="363"/>
        <v>0</v>
      </c>
      <c r="AD1145" s="103">
        <f t="shared" si="364"/>
        <v>0</v>
      </c>
      <c r="AE1145" s="81">
        <f t="shared" si="365"/>
        <v>0</v>
      </c>
      <c r="AF1145" s="539"/>
      <c r="AG1145" s="104">
        <f t="shared" si="366"/>
        <v>1</v>
      </c>
      <c r="AH1145" s="7">
        <f t="shared" si="367"/>
        <v>0</v>
      </c>
      <c r="AI1145" s="6">
        <f t="shared" si="368"/>
        <v>0</v>
      </c>
      <c r="AJ1145" s="73">
        <f t="shared" si="369"/>
        <v>0</v>
      </c>
      <c r="AK1145" s="539"/>
      <c r="AL1145" s="748"/>
      <c r="AM1145" s="748"/>
    </row>
    <row r="1146" spans="2:39" x14ac:dyDescent="0.2">
      <c r="B1146" s="101" t="str">
        <f t="shared" si="354"/>
        <v/>
      </c>
      <c r="C1146" s="168">
        <f>IF(ISERROR(Personalplanung!F106/Monatsplanung!$E106*Monatsplanung!$Q106),0,Personalplanung!F106/Monatsplanung!$E106*Monatsplanung!$Q106)</f>
        <v>0</v>
      </c>
      <c r="D1146" s="168">
        <f t="shared" si="355"/>
        <v>0</v>
      </c>
      <c r="E1146" s="168">
        <f>IF(ISERROR(Personalplanung!H106/Monatsplanung!$E106*Monatsplanung!$Q106),0,Personalplanung!H106/Monatsplanung!$E106*Monatsplanung!$Q106)</f>
        <v>0</v>
      </c>
      <c r="F1146" s="168">
        <f t="shared" si="356"/>
        <v>0</v>
      </c>
      <c r="G1146" s="168">
        <f t="shared" si="357"/>
        <v>27.700831024930746</v>
      </c>
      <c r="H1146" s="168">
        <f t="shared" si="358"/>
        <v>0</v>
      </c>
      <c r="I1146" s="168">
        <f t="shared" si="359"/>
        <v>30</v>
      </c>
      <c r="J1146" s="739"/>
      <c r="K1146" s="168">
        <f>IF(J1146&lt;&gt;"",J1146,IF(ISERROR(Personalplanung!AB106/Monatsplanung!$E106*Monatsplanung!$Q106),0,Personalplanung!AB106/Monatsplanung!$E106*Monatsplanung!$Q106))</f>
        <v>0</v>
      </c>
      <c r="L1146" s="740"/>
      <c r="M1146" s="739"/>
      <c r="N1146" s="168">
        <f>IF(M1146&lt;&gt;"",M1146,IF(ISERROR(Personalplanung!AC106/Monatsplanung!$E106*Monatsplanung!$Q106),0,Personalplanung!AC106/Monatsplanung!$E106*Monatsplanung!$Q106))</f>
        <v>0</v>
      </c>
      <c r="O1146" s="740"/>
      <c r="P1146" s="739"/>
      <c r="Q1146" s="168">
        <f>IF(P1146&lt;&gt;"",P1146,IF(ISERROR(Personalplanung!AD106/Monatsplanung!$E106*Monatsplanung!$Q106),0,Personalplanung!AD106/Monatsplanung!$E106*Monatsplanung!$Q106))</f>
        <v>0</v>
      </c>
      <c r="R1146" s="740"/>
      <c r="S1146" s="739"/>
      <c r="T1146" s="168">
        <f>IF(S1146&lt;&gt;"",S1146,IF(ISERROR(Personalplanung!AE106/Monatsplanung!$E106*Monatsplanung!$Q106),0,Personalplanung!AE106/Monatsplanung!$E106*Monatsplanung!$Q106))</f>
        <v>0</v>
      </c>
      <c r="U1146" s="740"/>
      <c r="V1146" s="168">
        <f t="shared" si="360"/>
        <v>0</v>
      </c>
      <c r="W1146" s="168">
        <f>IF(ISERROR(Personalplanung!P106/Monatsplanung!$E106*Monatsplanung!$Q106),0,Personalplanung!P106/Monatsplanung!$E106*Monatsplanung!$Q106)</f>
        <v>0</v>
      </c>
      <c r="X1146" s="168">
        <f>IF(ISERROR(Personalplanung!Q106/Monatsplanung!$E106*Monatsplanung!$Q106),0,Personalplanung!Q106/Monatsplanung!$E106*Monatsplanung!$Q106)</f>
        <v>0</v>
      </c>
      <c r="Y1146" s="168">
        <f>IF(ISERROR(Personalplanung!R106/T1354*Stundencontrolling!T1146),0,Personalplanung!R106/T1354*Stundencontrolling!T1146)</f>
        <v>0</v>
      </c>
      <c r="Z1146" s="168">
        <f>IF(ISERROR(Personalplanung!S106/Monatsplanung!$E106*Monatsplanung!$Q106),0,Personalplanung!S106/Monatsplanung!$E106*Monatsplanung!$Q106)</f>
        <v>0</v>
      </c>
      <c r="AA1146" s="80">
        <f t="shared" si="361"/>
        <v>0</v>
      </c>
      <c r="AB1146" s="102">
        <f t="shared" si="362"/>
        <v>0.1</v>
      </c>
      <c r="AC1146" s="103">
        <f t="shared" si="363"/>
        <v>0</v>
      </c>
      <c r="AD1146" s="103">
        <f t="shared" si="364"/>
        <v>0</v>
      </c>
      <c r="AE1146" s="81">
        <f t="shared" si="365"/>
        <v>0</v>
      </c>
      <c r="AF1146" s="539"/>
      <c r="AG1146" s="104">
        <f t="shared" si="366"/>
        <v>1</v>
      </c>
      <c r="AH1146" s="7">
        <f t="shared" si="367"/>
        <v>0</v>
      </c>
      <c r="AI1146" s="6">
        <f t="shared" si="368"/>
        <v>0</v>
      </c>
      <c r="AJ1146" s="73">
        <f t="shared" si="369"/>
        <v>0</v>
      </c>
      <c r="AK1146" s="539"/>
      <c r="AL1146" s="748"/>
      <c r="AM1146" s="748"/>
    </row>
    <row r="1147" spans="2:39" x14ac:dyDescent="0.2">
      <c r="B1147" s="500" t="s">
        <v>134</v>
      </c>
      <c r="C1147" s="501">
        <f>+SUM(C1046:C1146)</f>
        <v>2618.6999999999998</v>
      </c>
      <c r="D1147" s="501"/>
      <c r="E1147" s="501">
        <f>+SUM(E1046:E1146)</f>
        <v>120.00000000000001</v>
      </c>
      <c r="F1147" s="501">
        <f>+SUM(F1046:F1146)</f>
        <v>2738.7</v>
      </c>
      <c r="G1147" s="501">
        <f>IF(ISERROR(+H1147/F1147),0,+H1147/F1147)</f>
        <v>27.700831024930746</v>
      </c>
      <c r="H1147" s="501">
        <f>+SUM(H1046:H1146)</f>
        <v>75864.265927977831</v>
      </c>
      <c r="I1147" s="501"/>
      <c r="J1147" s="501"/>
      <c r="K1147" s="501">
        <f t="shared" ref="K1147:V1147" si="370">+SUM(K1046:K1146)</f>
        <v>11.516666666666666</v>
      </c>
      <c r="L1147" s="501"/>
      <c r="M1147" s="501"/>
      <c r="N1147" s="501">
        <f>+SUM(N1046:N1146)</f>
        <v>1.25</v>
      </c>
      <c r="O1147" s="501"/>
      <c r="P1147" s="501"/>
      <c r="Q1147" s="501">
        <f>+SUM(Q1046:Q1146)</f>
        <v>3.0666666666666664</v>
      </c>
      <c r="R1147" s="501"/>
      <c r="S1147" s="501"/>
      <c r="T1147" s="501">
        <f>+SUM(T1046:T1146)</f>
        <v>37.866666666666667</v>
      </c>
      <c r="U1147" s="501"/>
      <c r="V1147" s="501">
        <f t="shared" si="370"/>
        <v>53.7</v>
      </c>
      <c r="W1147" s="501">
        <f>+SUM(W1046:W1146)</f>
        <v>12</v>
      </c>
      <c r="X1147" s="501">
        <f>+SUM(X1046:X1146)</f>
        <v>166.66666666666666</v>
      </c>
      <c r="Y1147" s="501">
        <f>+SUM(Y1046:Y1146)</f>
        <v>66.666666666666657</v>
      </c>
      <c r="Z1147" s="501">
        <f>+SUM(Z1046:Z1146)</f>
        <v>50</v>
      </c>
      <c r="AA1147" s="503">
        <f>SUM(AA1046:AA1146)</f>
        <v>2352087.5771006462</v>
      </c>
      <c r="AB1147" s="502">
        <f>+AC1147/AA1147</f>
        <v>9.9999999999999992E-2</v>
      </c>
      <c r="AC1147" s="503">
        <f>SUM(AC1046:AC1146)</f>
        <v>235208.75771006462</v>
      </c>
      <c r="AD1147" s="503">
        <f>SUM(AD1046:AD1146)</f>
        <v>2116878.8193905815</v>
      </c>
      <c r="AE1147" s="504">
        <f>SUM(AE1046:AE1146)</f>
        <v>233.16333333333336</v>
      </c>
      <c r="AF1147" s="504">
        <f>SUM(AF1046:AF1146)</f>
        <v>0</v>
      </c>
      <c r="AG1147" s="505">
        <f>AI1147/AE1147</f>
        <v>1</v>
      </c>
      <c r="AH1147" s="505">
        <f t="shared" si="336"/>
        <v>0</v>
      </c>
      <c r="AI1147" s="504">
        <f>SUM(AI1046:AI1146)</f>
        <v>233.16333333333336</v>
      </c>
      <c r="AJ1147" s="506">
        <f t="shared" si="337"/>
        <v>1008.7724958615474</v>
      </c>
      <c r="AK1147" s="504">
        <f>SUM(AK1046:AK1146)</f>
        <v>0</v>
      </c>
      <c r="AL1147" s="747"/>
      <c r="AM1147" s="506">
        <f>$AM$107</f>
        <v>75.851340181839646</v>
      </c>
    </row>
    <row r="1148" spans="2:39" x14ac:dyDescent="0.2">
      <c r="B1148" s="8"/>
      <c r="C1148" s="8"/>
      <c r="D1148" s="8"/>
      <c r="E1148" s="8"/>
      <c r="F1148" s="8"/>
      <c r="G1148" s="8"/>
      <c r="H1148" s="8"/>
      <c r="I1148" s="737"/>
      <c r="J1148" s="737"/>
      <c r="K1148" s="8"/>
      <c r="L1148" s="8"/>
      <c r="M1148" s="737"/>
      <c r="N1148" s="8"/>
      <c r="O1148" s="8"/>
      <c r="P1148" s="737"/>
      <c r="Q1148" s="8"/>
      <c r="R1148" s="8"/>
      <c r="S1148" s="737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6"/>
      <c r="AF1148" s="10"/>
      <c r="AG1148" s="9"/>
      <c r="AH1148" s="9"/>
      <c r="AI1148" s="6"/>
      <c r="AJ1148" s="10"/>
      <c r="AK1148" s="10"/>
      <c r="AL1148" s="10"/>
      <c r="AM1148" s="74"/>
    </row>
    <row r="1149" spans="2:39" x14ac:dyDescent="0.2">
      <c r="B1149" s="500" t="s">
        <v>57</v>
      </c>
      <c r="C1149" s="501"/>
      <c r="D1149" s="501"/>
      <c r="E1149" s="501"/>
      <c r="F1149" s="501"/>
      <c r="G1149" s="501"/>
      <c r="H1149" s="501"/>
      <c r="I1149" s="501"/>
      <c r="J1149" s="501"/>
      <c r="K1149" s="501"/>
      <c r="L1149" s="501"/>
      <c r="M1149" s="501"/>
      <c r="N1149" s="501"/>
      <c r="O1149" s="501"/>
      <c r="P1149" s="501"/>
      <c r="Q1149" s="501"/>
      <c r="R1149" s="501"/>
      <c r="S1149" s="501"/>
      <c r="T1149" s="501"/>
      <c r="U1149" s="501"/>
      <c r="V1149" s="501"/>
      <c r="W1149" s="501"/>
      <c r="X1149" s="501"/>
      <c r="Y1149" s="501"/>
      <c r="Z1149" s="501"/>
      <c r="AA1149" s="503"/>
      <c r="AB1149" s="502"/>
      <c r="AC1149" s="503"/>
      <c r="AD1149" s="503"/>
      <c r="AE1149" s="504"/>
      <c r="AF1149" s="504"/>
      <c r="AG1149" s="505"/>
      <c r="AH1149" s="505"/>
      <c r="AI1149" s="504"/>
      <c r="AJ1149" s="506"/>
      <c r="AK1149" s="504"/>
      <c r="AL1149" s="504"/>
      <c r="AM1149" s="506"/>
    </row>
    <row r="1150" spans="2:39" x14ac:dyDescent="0.2">
      <c r="B1150" s="101" t="str">
        <f>$B1046</f>
        <v>Maxdivers Mustermann</v>
      </c>
      <c r="C1150" s="168">
        <f>IF(ISERROR(Personalplanung!F6/Monatsplanung!$E6*Monatsplanung!$R6),0,Personalplanung!F6/Monatsplanung!$E6*Monatsplanung!$R6)</f>
        <v>174</v>
      </c>
      <c r="D1150" s="168">
        <f>$D1046</f>
        <v>8</v>
      </c>
      <c r="E1150" s="168">
        <f>IF(ISERROR(Personalplanung!H6/Monatsplanung!$E6*Monatsplanung!$R6),0,Personalplanung!H6/Monatsplanung!$E6*Monatsplanung!$R6)</f>
        <v>66.666666666666671</v>
      </c>
      <c r="F1150" s="168">
        <f>+C1150+E1150</f>
        <v>240.66666666666669</v>
      </c>
      <c r="G1150" s="168">
        <f>$G$6</f>
        <v>27.700831024930746</v>
      </c>
      <c r="H1150" s="168">
        <f>+F1150*G1150</f>
        <v>6666.666666666667</v>
      </c>
      <c r="I1150" s="168">
        <f>$I$6</f>
        <v>30</v>
      </c>
      <c r="J1150" s="739"/>
      <c r="K1150" s="168">
        <f>IF(J1150&lt;&gt;"",J1150,IF(ISERROR(Personalplanung!AB6/Monatsplanung!$E6*Monatsplanung!$R6),0,Personalplanung!AB6/Monatsplanung!$E6*Monatsplanung!$R6))</f>
        <v>0.66666666666666663</v>
      </c>
      <c r="L1150" s="740"/>
      <c r="M1150" s="739"/>
      <c r="N1150" s="168">
        <f>IF(M1150&lt;&gt;"",M1150,IF(ISERROR(Personalplanung!AC6/Monatsplanung!$E6*Monatsplanung!$R6),0,Personalplanung!AC6/Monatsplanung!$E6*Monatsplanung!$R6))</f>
        <v>0</v>
      </c>
      <c r="O1150" s="740"/>
      <c r="P1150" s="739"/>
      <c r="Q1150" s="168">
        <f>IF(P1150&lt;&gt;"",P1150,IF(ISERROR(Personalplanung!AD6/Monatsplanung!$E6*Monatsplanung!$R6),0,Personalplanung!AD6/Monatsplanung!$E6*Monatsplanung!$R6))</f>
        <v>0.16666666666666666</v>
      </c>
      <c r="R1150" s="740"/>
      <c r="S1150" s="739"/>
      <c r="T1150" s="168">
        <f>IF(S1150&lt;&gt;"",S1150,IF(ISERROR(Personalplanung!AE6/Monatsplanung!$E6*Monatsplanung!$R6),0,Personalplanung!AE6/Monatsplanung!$E6*Monatsplanung!$R6))</f>
        <v>1.25</v>
      </c>
      <c r="U1150" s="740"/>
      <c r="V1150" s="168">
        <f>K1150+N1150+Q1150+T1150</f>
        <v>2.083333333333333</v>
      </c>
      <c r="W1150" s="168">
        <f>IF(ISERROR(Personalplanung!P6/Monatsplanung!$E6*Monatsplanung!$R6),0,Personalplanung!P6/Monatsplanung!$E6*Monatsplanung!$R6)</f>
        <v>0</v>
      </c>
      <c r="X1150" s="168">
        <f>IF(ISERROR(Personalplanung!Q6/Monatsplanung!$E6*Monatsplanung!$R6),0,Personalplanung!Q6/Monatsplanung!$E6*Monatsplanung!$R6)</f>
        <v>0</v>
      </c>
      <c r="Y1150" s="168">
        <f>IF(ISERROR(Personalplanung!R6/T1254*Stundencontrolling!T1150),0,Personalplanung!R6/T1254*Stundencontrolling!T1150)</f>
        <v>0</v>
      </c>
      <c r="Z1150" s="168">
        <f>IF(ISERROR(Personalplanung!S6/Monatsplanung!$E6*Monatsplanung!$R6),0,Personalplanung!S6/Monatsplanung!$E6*Monatsplanung!$R6)</f>
        <v>0</v>
      </c>
      <c r="AA1150" s="80">
        <f>+F1150*G1150*(1+I1150)+SUM(W1150:Z1150)</f>
        <v>206666.66666666669</v>
      </c>
      <c r="AB1150" s="102">
        <f>$AB$6</f>
        <v>0.1</v>
      </c>
      <c r="AC1150" s="103">
        <f>AB1150*AA1150</f>
        <v>20666.666666666672</v>
      </c>
      <c r="AD1150" s="103">
        <f>AA1150-AC1150</f>
        <v>186000</v>
      </c>
      <c r="AE1150" s="81">
        <f>(F1150-(V1150*$D1150))*AB1150</f>
        <v>22.400000000000006</v>
      </c>
      <c r="AF1150" s="539"/>
      <c r="AG1150" s="104">
        <f>$AG$6</f>
        <v>1</v>
      </c>
      <c r="AH1150" s="7">
        <f t="shared" ref="AH1150:AH1251" si="371">IF(ISERROR(AK1150/AF1150),0,AK1150/AF1150)</f>
        <v>0</v>
      </c>
      <c r="AI1150" s="6">
        <f>AE1150*AG1150</f>
        <v>22.400000000000006</v>
      </c>
      <c r="AJ1150" s="73">
        <f t="shared" ref="AJ1150:AJ1251" si="372">IF(ISERROR(+AC1150/AI1150),0,+AC1150/AI1150)</f>
        <v>922.61904761904759</v>
      </c>
      <c r="AK1150" s="539"/>
      <c r="AL1150" s="748"/>
      <c r="AM1150" s="748"/>
    </row>
    <row r="1151" spans="2:39" x14ac:dyDescent="0.2">
      <c r="B1151" s="101" t="str">
        <f t="shared" ref="B1151:B1214" si="373">$B1047</f>
        <v>Egon Kaufmann</v>
      </c>
      <c r="C1151" s="168">
        <f>IF(ISERROR(Personalplanung!F7/Monatsplanung!$E7*Monatsplanung!$R7),0,Personalplanung!F7/Monatsplanung!$E7*Monatsplanung!$R7)</f>
        <v>174</v>
      </c>
      <c r="D1151" s="168">
        <f t="shared" ref="D1151:D1214" si="374">$D1047</f>
        <v>8</v>
      </c>
      <c r="E1151" s="168">
        <f>IF(ISERROR(Personalplanung!H7/Monatsplanung!$E7*Monatsplanung!$R7),0,Personalplanung!H7/Monatsplanung!$E7*Monatsplanung!$R7)</f>
        <v>26.666666666666668</v>
      </c>
      <c r="F1151" s="168">
        <f t="shared" ref="F1151:F1214" si="375">+C1151+E1151</f>
        <v>200.66666666666666</v>
      </c>
      <c r="G1151" s="168">
        <f t="shared" ref="G1151:G1214" si="376">$G$6</f>
        <v>27.700831024930746</v>
      </c>
      <c r="H1151" s="168">
        <f t="shared" ref="H1151:H1214" si="377">+F1151*G1151</f>
        <v>5558.6334256694363</v>
      </c>
      <c r="I1151" s="168">
        <f t="shared" ref="I1151:I1214" si="378">$I$6</f>
        <v>30</v>
      </c>
      <c r="J1151" s="739"/>
      <c r="K1151" s="168">
        <f>IF(J1151&lt;&gt;"",J1151,IF(ISERROR(Personalplanung!AB7/Monatsplanung!$E7*Monatsplanung!$R7),0,Personalplanung!AB7/Monatsplanung!$E7*Monatsplanung!$R7))</f>
        <v>0.66666666666666663</v>
      </c>
      <c r="L1151" s="740"/>
      <c r="M1151" s="739"/>
      <c r="N1151" s="168">
        <f>IF(M1151&lt;&gt;"",M1151,IF(ISERROR(Personalplanung!AC7/Monatsplanung!$E7*Monatsplanung!$R7),0,Personalplanung!AC7/Monatsplanung!$E7*Monatsplanung!$R7))</f>
        <v>0</v>
      </c>
      <c r="O1151" s="740"/>
      <c r="P1151" s="739"/>
      <c r="Q1151" s="168">
        <f>IF(P1151&lt;&gt;"",P1151,IF(ISERROR(Personalplanung!AD7/Monatsplanung!$E7*Monatsplanung!$R7),0,Personalplanung!AD7/Monatsplanung!$E7*Monatsplanung!$R7))</f>
        <v>0.16666666666666666</v>
      </c>
      <c r="R1151" s="740"/>
      <c r="S1151" s="739"/>
      <c r="T1151" s="168">
        <f>IF(S1151&lt;&gt;"",S1151,IF(ISERROR(Personalplanung!AE7/Monatsplanung!$E7*Monatsplanung!$R7),0,Personalplanung!AE7/Monatsplanung!$E7*Monatsplanung!$R7))</f>
        <v>2.1666666666666665</v>
      </c>
      <c r="U1151" s="740"/>
      <c r="V1151" s="168">
        <f t="shared" ref="V1151:V1214" si="379">K1151+N1151+Q1151+T1151</f>
        <v>3</v>
      </c>
      <c r="W1151" s="168">
        <f>IF(ISERROR(Personalplanung!P7/Monatsplanung!$E7*Monatsplanung!$R7),0,Personalplanung!P7/Monatsplanung!$E7*Monatsplanung!$R7)</f>
        <v>0</v>
      </c>
      <c r="X1151" s="168">
        <f>IF(ISERROR(Personalplanung!Q7/Monatsplanung!$E7*Monatsplanung!$R7),0,Personalplanung!Q7/Monatsplanung!$E7*Monatsplanung!$R7)</f>
        <v>0</v>
      </c>
      <c r="Y1151" s="168">
        <f>IF(ISERROR(Personalplanung!R7/T1255*Stundencontrolling!T1151),0,Personalplanung!R7/T1255*Stundencontrolling!T1151)</f>
        <v>0</v>
      </c>
      <c r="Z1151" s="168">
        <f>IF(ISERROR(Personalplanung!S7/Monatsplanung!$E7*Monatsplanung!$R7),0,Personalplanung!S7/Monatsplanung!$E7*Monatsplanung!$R7)</f>
        <v>0</v>
      </c>
      <c r="AA1151" s="80">
        <f t="shared" ref="AA1151:AA1214" si="380">+F1151*G1151*(1+I1151)+SUM(W1151:Z1151)</f>
        <v>172317.63619575254</v>
      </c>
      <c r="AB1151" s="102">
        <f t="shared" ref="AB1151:AB1214" si="381">$AB$6</f>
        <v>0.1</v>
      </c>
      <c r="AC1151" s="103">
        <f t="shared" ref="AC1151:AC1214" si="382">AB1151*AA1151</f>
        <v>17231.763619575253</v>
      </c>
      <c r="AD1151" s="103">
        <f t="shared" ref="AD1151:AD1214" si="383">AA1151-AC1151</f>
        <v>155085.87257617729</v>
      </c>
      <c r="AE1151" s="81">
        <f t="shared" ref="AE1151:AE1214" si="384">(F1151-(V1151*$D1151))*AB1151</f>
        <v>17.666666666666668</v>
      </c>
      <c r="AF1151" s="539"/>
      <c r="AG1151" s="104">
        <f t="shared" ref="AG1151:AG1214" si="385">$AG$6</f>
        <v>1</v>
      </c>
      <c r="AH1151" s="7">
        <f t="shared" ref="AH1151:AH1214" si="386">IF(ISERROR(AK1151/AF1151),0,AK1151/AF1151)</f>
        <v>0</v>
      </c>
      <c r="AI1151" s="6">
        <f t="shared" ref="AI1151:AI1214" si="387">AE1151*AG1151</f>
        <v>17.666666666666668</v>
      </c>
      <c r="AJ1151" s="73">
        <f t="shared" ref="AJ1151:AJ1214" si="388">IF(ISERROR(+AC1151/AI1151),0,+AC1151/AI1151)</f>
        <v>975.382846391052</v>
      </c>
      <c r="AK1151" s="539"/>
      <c r="AL1151" s="748"/>
      <c r="AM1151" s="748"/>
    </row>
    <row r="1152" spans="2:39" x14ac:dyDescent="0.2">
      <c r="B1152" s="101" t="str">
        <f t="shared" si="373"/>
        <v>Walter Meister</v>
      </c>
      <c r="C1152" s="168">
        <f>IF(ISERROR(Personalplanung!F8/Monatsplanung!$E8*Monatsplanung!$R8),0,Personalplanung!F8/Monatsplanung!$E8*Monatsplanung!$R8)</f>
        <v>174</v>
      </c>
      <c r="D1152" s="168">
        <f t="shared" si="374"/>
        <v>8</v>
      </c>
      <c r="E1152" s="168">
        <f>IF(ISERROR(Personalplanung!H8/Monatsplanung!$E8*Monatsplanung!$R8),0,Personalplanung!H8/Monatsplanung!$E8*Monatsplanung!$R8)</f>
        <v>26.666666666666668</v>
      </c>
      <c r="F1152" s="168">
        <f t="shared" si="375"/>
        <v>200.66666666666666</v>
      </c>
      <c r="G1152" s="168">
        <f t="shared" si="376"/>
        <v>27.700831024930746</v>
      </c>
      <c r="H1152" s="168">
        <f t="shared" si="377"/>
        <v>5558.6334256694363</v>
      </c>
      <c r="I1152" s="168">
        <f t="shared" si="378"/>
        <v>30</v>
      </c>
      <c r="J1152" s="739"/>
      <c r="K1152" s="168">
        <f>IF(J1152&lt;&gt;"",J1152,IF(ISERROR(Personalplanung!AB8/Monatsplanung!$E8*Monatsplanung!$R8),0,Personalplanung!AB8/Monatsplanung!$E8*Monatsplanung!$R8))</f>
        <v>0.66666666666666663</v>
      </c>
      <c r="L1152" s="740"/>
      <c r="M1152" s="739"/>
      <c r="N1152" s="168">
        <f>IF(M1152&lt;&gt;"",M1152,IF(ISERROR(Personalplanung!AC8/Monatsplanung!$E8*Monatsplanung!$R8),0,Personalplanung!AC8/Monatsplanung!$E8*Monatsplanung!$R8))</f>
        <v>8.3333333333333329E-2</v>
      </c>
      <c r="O1152" s="740"/>
      <c r="P1152" s="739"/>
      <c r="Q1152" s="168">
        <f>IF(P1152&lt;&gt;"",P1152,IF(ISERROR(Personalplanung!AD8/Monatsplanung!$E8*Monatsplanung!$R8),0,Personalplanung!AD8/Monatsplanung!$E8*Monatsplanung!$R8))</f>
        <v>0.16666666666666666</v>
      </c>
      <c r="R1152" s="740"/>
      <c r="S1152" s="739"/>
      <c r="T1152" s="168">
        <f>IF(S1152&lt;&gt;"",S1152,IF(ISERROR(Personalplanung!AE8/Monatsplanung!$E8*Monatsplanung!$R8),0,Personalplanung!AE8/Monatsplanung!$E8*Monatsplanung!$R8))</f>
        <v>2.1666666666666665</v>
      </c>
      <c r="U1152" s="740"/>
      <c r="V1152" s="168">
        <f t="shared" si="379"/>
        <v>3.083333333333333</v>
      </c>
      <c r="W1152" s="168">
        <f>IF(ISERROR(Personalplanung!P8/Monatsplanung!$E8*Monatsplanung!$R8),0,Personalplanung!P8/Monatsplanung!$E8*Monatsplanung!$R8)</f>
        <v>0</v>
      </c>
      <c r="X1152" s="168">
        <f>IF(ISERROR(Personalplanung!Q8/Monatsplanung!$E8*Monatsplanung!$R8),0,Personalplanung!Q8/Monatsplanung!$E8*Monatsplanung!$R8)</f>
        <v>0</v>
      </c>
      <c r="Y1152" s="168">
        <f>IF(ISERROR(Personalplanung!R8/T1256*Stundencontrolling!T1152),0,Personalplanung!R8/T1256*Stundencontrolling!T1152)</f>
        <v>0</v>
      </c>
      <c r="Z1152" s="168">
        <f>IF(ISERROR(Personalplanung!S8/Monatsplanung!$E8*Monatsplanung!$R8),0,Personalplanung!S8/Monatsplanung!$E8*Monatsplanung!$R8)</f>
        <v>0</v>
      </c>
      <c r="AA1152" s="80">
        <f t="shared" si="380"/>
        <v>172317.63619575254</v>
      </c>
      <c r="AB1152" s="102">
        <f t="shared" si="381"/>
        <v>0.1</v>
      </c>
      <c r="AC1152" s="103">
        <f t="shared" si="382"/>
        <v>17231.763619575253</v>
      </c>
      <c r="AD1152" s="103">
        <f t="shared" si="383"/>
        <v>155085.87257617729</v>
      </c>
      <c r="AE1152" s="81">
        <f t="shared" si="384"/>
        <v>17.600000000000001</v>
      </c>
      <c r="AF1152" s="539"/>
      <c r="AG1152" s="104">
        <f t="shared" si="385"/>
        <v>1</v>
      </c>
      <c r="AH1152" s="7">
        <f t="shared" si="386"/>
        <v>0</v>
      </c>
      <c r="AI1152" s="6">
        <f t="shared" si="387"/>
        <v>17.600000000000001</v>
      </c>
      <c r="AJ1152" s="73">
        <f t="shared" si="388"/>
        <v>979.07747838495743</v>
      </c>
      <c r="AK1152" s="539"/>
      <c r="AL1152" s="748"/>
      <c r="AM1152" s="748"/>
    </row>
    <row r="1153" spans="2:39" x14ac:dyDescent="0.2">
      <c r="B1153" s="101" t="str">
        <f t="shared" si="373"/>
        <v>Tom in Technik</v>
      </c>
      <c r="C1153" s="168">
        <f>IF(ISERROR(Personalplanung!F9/Monatsplanung!$E9*Monatsplanung!$R9),0,Personalplanung!F9/Monatsplanung!$E9*Monatsplanung!$R9)</f>
        <v>174</v>
      </c>
      <c r="D1153" s="168">
        <f t="shared" si="374"/>
        <v>8</v>
      </c>
      <c r="E1153" s="168">
        <f>IF(ISERROR(Personalplanung!H9/Monatsplanung!$E9*Monatsplanung!$R9),0,Personalplanung!H9/Monatsplanung!$E9*Monatsplanung!$R9)</f>
        <v>0</v>
      </c>
      <c r="F1153" s="168">
        <f t="shared" si="375"/>
        <v>174</v>
      </c>
      <c r="G1153" s="168">
        <f t="shared" si="376"/>
        <v>27.700831024930746</v>
      </c>
      <c r="H1153" s="168">
        <f t="shared" si="377"/>
        <v>4819.9445983379501</v>
      </c>
      <c r="I1153" s="168">
        <f t="shared" si="378"/>
        <v>30</v>
      </c>
      <c r="J1153" s="739"/>
      <c r="K1153" s="168">
        <f>IF(J1153&lt;&gt;"",J1153,IF(ISERROR(Personalplanung!AB9/Monatsplanung!$E9*Monatsplanung!$R9),0,Personalplanung!AB9/Monatsplanung!$E9*Monatsplanung!$R9))</f>
        <v>0.66666666666666663</v>
      </c>
      <c r="L1153" s="740"/>
      <c r="M1153" s="739"/>
      <c r="N1153" s="168">
        <f>IF(M1153&lt;&gt;"",M1153,IF(ISERROR(Personalplanung!AC9/Monatsplanung!$E9*Monatsplanung!$R9),0,Personalplanung!AC9/Monatsplanung!$E9*Monatsplanung!$R9))</f>
        <v>0.16666666666666666</v>
      </c>
      <c r="O1153" s="740"/>
      <c r="P1153" s="739"/>
      <c r="Q1153" s="168">
        <f>IF(P1153&lt;&gt;"",P1153,IF(ISERROR(Personalplanung!AD9/Monatsplanung!$E9*Monatsplanung!$R9),0,Personalplanung!AD9/Monatsplanung!$E9*Monatsplanung!$R9))</f>
        <v>0.16666666666666666</v>
      </c>
      <c r="R1153" s="740"/>
      <c r="S1153" s="739"/>
      <c r="T1153" s="168">
        <f>IF(S1153&lt;&gt;"",S1153,IF(ISERROR(Personalplanung!AE9/Monatsplanung!$E9*Monatsplanung!$R9),0,Personalplanung!AE9/Monatsplanung!$E9*Monatsplanung!$R9))</f>
        <v>2.1666666666666665</v>
      </c>
      <c r="U1153" s="740"/>
      <c r="V1153" s="168">
        <f t="shared" si="379"/>
        <v>3.1666666666666665</v>
      </c>
      <c r="W1153" s="168">
        <f>IF(ISERROR(Personalplanung!P9/Monatsplanung!$E9*Monatsplanung!$R9),0,Personalplanung!P9/Monatsplanung!$E9*Monatsplanung!$R9)</f>
        <v>0</v>
      </c>
      <c r="X1153" s="168">
        <f>IF(ISERROR(Personalplanung!Q9/Monatsplanung!$E9*Monatsplanung!$R9),0,Personalplanung!Q9/Monatsplanung!$E9*Monatsplanung!$R9)</f>
        <v>0</v>
      </c>
      <c r="Y1153" s="168">
        <f>IF(ISERROR(Personalplanung!R9/T1257*Stundencontrolling!T1153),0,Personalplanung!R9/T1257*Stundencontrolling!T1153)</f>
        <v>0</v>
      </c>
      <c r="Z1153" s="168">
        <f>IF(ISERROR(Personalplanung!S9/Monatsplanung!$E9*Monatsplanung!$R9),0,Personalplanung!S9/Monatsplanung!$E9*Monatsplanung!$R9)</f>
        <v>0</v>
      </c>
      <c r="AA1153" s="80">
        <f t="shared" si="380"/>
        <v>149418.28254847645</v>
      </c>
      <c r="AB1153" s="102">
        <f t="shared" si="381"/>
        <v>0.1</v>
      </c>
      <c r="AC1153" s="103">
        <f t="shared" si="382"/>
        <v>14941.828254847645</v>
      </c>
      <c r="AD1153" s="103">
        <f t="shared" si="383"/>
        <v>134476.45429362881</v>
      </c>
      <c r="AE1153" s="81">
        <f t="shared" si="384"/>
        <v>14.866666666666667</v>
      </c>
      <c r="AF1153" s="539"/>
      <c r="AG1153" s="104">
        <f t="shared" si="385"/>
        <v>1</v>
      </c>
      <c r="AH1153" s="7">
        <f t="shared" si="386"/>
        <v>0</v>
      </c>
      <c r="AI1153" s="6">
        <f t="shared" si="387"/>
        <v>14.866666666666667</v>
      </c>
      <c r="AJ1153" s="73">
        <f t="shared" si="388"/>
        <v>1005.0557122094829</v>
      </c>
      <c r="AK1153" s="539"/>
      <c r="AL1153" s="748"/>
      <c r="AM1153" s="748"/>
    </row>
    <row r="1154" spans="2:39" x14ac:dyDescent="0.2">
      <c r="B1154" s="101" t="str">
        <f t="shared" si="373"/>
        <v>Lola Rennt</v>
      </c>
      <c r="C1154" s="168">
        <f>IF(ISERROR(Personalplanung!F10/Monatsplanung!$E10*Monatsplanung!$R10),0,Personalplanung!F10/Monatsplanung!$E10*Monatsplanung!$R10)</f>
        <v>174</v>
      </c>
      <c r="D1154" s="168">
        <f t="shared" si="374"/>
        <v>8</v>
      </c>
      <c r="E1154" s="168">
        <f>IF(ISERROR(Personalplanung!H10/Monatsplanung!$E10*Monatsplanung!$R10),0,Personalplanung!H10/Monatsplanung!$E10*Monatsplanung!$R10)</f>
        <v>0</v>
      </c>
      <c r="F1154" s="168">
        <f t="shared" si="375"/>
        <v>174</v>
      </c>
      <c r="G1154" s="168">
        <f t="shared" si="376"/>
        <v>27.700831024930746</v>
      </c>
      <c r="H1154" s="168">
        <f t="shared" si="377"/>
        <v>4819.9445983379501</v>
      </c>
      <c r="I1154" s="168">
        <f t="shared" si="378"/>
        <v>30</v>
      </c>
      <c r="J1154" s="739"/>
      <c r="K1154" s="168">
        <f>IF(J1154&lt;&gt;"",J1154,IF(ISERROR(Personalplanung!AB10/Monatsplanung!$E10*Monatsplanung!$R10),0,Personalplanung!AB10/Monatsplanung!$E10*Monatsplanung!$R10))</f>
        <v>0.66666666666666663</v>
      </c>
      <c r="L1154" s="740"/>
      <c r="M1154" s="739"/>
      <c r="N1154" s="168">
        <f>IF(M1154&lt;&gt;"",M1154,IF(ISERROR(Personalplanung!AC10/Monatsplanung!$E10*Monatsplanung!$R10),0,Personalplanung!AC10/Monatsplanung!$E10*Monatsplanung!$R10))</f>
        <v>0</v>
      </c>
      <c r="O1154" s="740"/>
      <c r="P1154" s="739"/>
      <c r="Q1154" s="168">
        <f>IF(P1154&lt;&gt;"",P1154,IF(ISERROR(Personalplanung!AD10/Monatsplanung!$E10*Monatsplanung!$R10),0,Personalplanung!AD10/Monatsplanung!$E10*Monatsplanung!$R10))</f>
        <v>0.16666666666666666</v>
      </c>
      <c r="R1154" s="740"/>
      <c r="S1154" s="739"/>
      <c r="T1154" s="168">
        <f>IF(S1154&lt;&gt;"",S1154,IF(ISERROR(Personalplanung!AE10/Monatsplanung!$E10*Monatsplanung!$R10),0,Personalplanung!AE10/Monatsplanung!$E10*Monatsplanung!$R10))</f>
        <v>2.1666666666666665</v>
      </c>
      <c r="U1154" s="740"/>
      <c r="V1154" s="168">
        <f t="shared" si="379"/>
        <v>3</v>
      </c>
      <c r="W1154" s="168">
        <f>IF(ISERROR(Personalplanung!P10/Monatsplanung!$E10*Monatsplanung!$R10),0,Personalplanung!P10/Monatsplanung!$E10*Monatsplanung!$R10)</f>
        <v>0</v>
      </c>
      <c r="X1154" s="168">
        <f>IF(ISERROR(Personalplanung!Q10/Monatsplanung!$E10*Monatsplanung!$R10),0,Personalplanung!Q10/Monatsplanung!$E10*Monatsplanung!$R10)</f>
        <v>0</v>
      </c>
      <c r="Y1154" s="168">
        <f>IF(ISERROR(Personalplanung!R10/T1258*Stundencontrolling!T1154),0,Personalplanung!R10/T1258*Stundencontrolling!T1154)</f>
        <v>0</v>
      </c>
      <c r="Z1154" s="168">
        <f>IF(ISERROR(Personalplanung!S10/Monatsplanung!$E10*Monatsplanung!$R10),0,Personalplanung!S10/Monatsplanung!$E10*Monatsplanung!$R10)</f>
        <v>0</v>
      </c>
      <c r="AA1154" s="80">
        <f t="shared" si="380"/>
        <v>149418.28254847645</v>
      </c>
      <c r="AB1154" s="102">
        <f t="shared" si="381"/>
        <v>0.1</v>
      </c>
      <c r="AC1154" s="103">
        <f t="shared" si="382"/>
        <v>14941.828254847645</v>
      </c>
      <c r="AD1154" s="103">
        <f t="shared" si="383"/>
        <v>134476.45429362881</v>
      </c>
      <c r="AE1154" s="81">
        <f t="shared" si="384"/>
        <v>15</v>
      </c>
      <c r="AF1154" s="539"/>
      <c r="AG1154" s="104">
        <f t="shared" si="385"/>
        <v>1</v>
      </c>
      <c r="AH1154" s="7">
        <f t="shared" si="386"/>
        <v>0</v>
      </c>
      <c r="AI1154" s="6">
        <f t="shared" si="387"/>
        <v>15</v>
      </c>
      <c r="AJ1154" s="73">
        <f t="shared" si="388"/>
        <v>996.12188365650968</v>
      </c>
      <c r="AK1154" s="539"/>
      <c r="AL1154" s="748"/>
      <c r="AM1154" s="748"/>
    </row>
    <row r="1155" spans="2:39" x14ac:dyDescent="0.2">
      <c r="B1155" s="101" t="str">
        <f t="shared" si="373"/>
        <v>Bier Lager</v>
      </c>
      <c r="C1155" s="168">
        <f>IF(ISERROR(Personalplanung!F11/Monatsplanung!$E11*Monatsplanung!$R11),0,Personalplanung!F11/Monatsplanung!$E11*Monatsplanung!$R11)</f>
        <v>174</v>
      </c>
      <c r="D1155" s="168">
        <f t="shared" si="374"/>
        <v>8</v>
      </c>
      <c r="E1155" s="168">
        <f>IF(ISERROR(Personalplanung!H11/Monatsplanung!$E11*Monatsplanung!$R11),0,Personalplanung!H11/Monatsplanung!$E11*Monatsplanung!$R11)</f>
        <v>0</v>
      </c>
      <c r="F1155" s="168">
        <f t="shared" si="375"/>
        <v>174</v>
      </c>
      <c r="G1155" s="168">
        <f t="shared" si="376"/>
        <v>27.700831024930746</v>
      </c>
      <c r="H1155" s="168">
        <f t="shared" si="377"/>
        <v>4819.9445983379501</v>
      </c>
      <c r="I1155" s="168">
        <f t="shared" si="378"/>
        <v>30</v>
      </c>
      <c r="J1155" s="739"/>
      <c r="K1155" s="168">
        <f>IF(J1155&lt;&gt;"",J1155,IF(ISERROR(Personalplanung!AB11/Monatsplanung!$E11*Monatsplanung!$R11),0,Personalplanung!AB11/Monatsplanung!$E11*Monatsplanung!$R11))</f>
        <v>0.66666666666666663</v>
      </c>
      <c r="L1155" s="740"/>
      <c r="M1155" s="739"/>
      <c r="N1155" s="168">
        <f>IF(M1155&lt;&gt;"",M1155,IF(ISERROR(Personalplanung!AC11/Monatsplanung!$E11*Monatsplanung!$R11),0,Personalplanung!AC11/Monatsplanung!$E11*Monatsplanung!$R11))</f>
        <v>0</v>
      </c>
      <c r="O1155" s="740"/>
      <c r="P1155" s="739"/>
      <c r="Q1155" s="168">
        <f>IF(P1155&lt;&gt;"",P1155,IF(ISERROR(Personalplanung!AD11/Monatsplanung!$E11*Monatsplanung!$R11),0,Personalplanung!AD11/Monatsplanung!$E11*Monatsplanung!$R11))</f>
        <v>0.16666666666666666</v>
      </c>
      <c r="R1155" s="740"/>
      <c r="S1155" s="739"/>
      <c r="T1155" s="168">
        <f>IF(S1155&lt;&gt;"",S1155,IF(ISERROR(Personalplanung!AE11/Monatsplanung!$E11*Monatsplanung!$R11),0,Personalplanung!AE11/Monatsplanung!$E11*Monatsplanung!$R11))</f>
        <v>2.1666666666666665</v>
      </c>
      <c r="U1155" s="740"/>
      <c r="V1155" s="168">
        <f t="shared" si="379"/>
        <v>3</v>
      </c>
      <c r="W1155" s="168">
        <f>IF(ISERROR(Personalplanung!P11/Monatsplanung!$E11*Monatsplanung!$R11),0,Personalplanung!P11/Monatsplanung!$E11*Monatsplanung!$R11)</f>
        <v>0</v>
      </c>
      <c r="X1155" s="168">
        <f>IF(ISERROR(Personalplanung!Q11/Monatsplanung!$E11*Monatsplanung!$R11),0,Personalplanung!Q11/Monatsplanung!$E11*Monatsplanung!$R11)</f>
        <v>0</v>
      </c>
      <c r="Y1155" s="168">
        <f>IF(ISERROR(Personalplanung!R11/T1259*Stundencontrolling!T1155),0,Personalplanung!R11/T1259*Stundencontrolling!T1155)</f>
        <v>0</v>
      </c>
      <c r="Z1155" s="168">
        <f>IF(ISERROR(Personalplanung!S11/Monatsplanung!$E11*Monatsplanung!$R11),0,Personalplanung!S11/Monatsplanung!$E11*Monatsplanung!$R11)</f>
        <v>0</v>
      </c>
      <c r="AA1155" s="80">
        <f t="shared" si="380"/>
        <v>149418.28254847645</v>
      </c>
      <c r="AB1155" s="102">
        <f t="shared" si="381"/>
        <v>0.1</v>
      </c>
      <c r="AC1155" s="103">
        <f t="shared" si="382"/>
        <v>14941.828254847645</v>
      </c>
      <c r="AD1155" s="103">
        <f t="shared" si="383"/>
        <v>134476.45429362881</v>
      </c>
      <c r="AE1155" s="81">
        <f t="shared" si="384"/>
        <v>15</v>
      </c>
      <c r="AF1155" s="539"/>
      <c r="AG1155" s="104">
        <f t="shared" si="385"/>
        <v>1</v>
      </c>
      <c r="AH1155" s="7">
        <f t="shared" si="386"/>
        <v>0</v>
      </c>
      <c r="AI1155" s="6">
        <f t="shared" si="387"/>
        <v>15</v>
      </c>
      <c r="AJ1155" s="73">
        <f t="shared" si="388"/>
        <v>996.12188365650968</v>
      </c>
      <c r="AK1155" s="539"/>
      <c r="AL1155" s="748"/>
      <c r="AM1155" s="748"/>
    </row>
    <row r="1156" spans="2:39" x14ac:dyDescent="0.2">
      <c r="B1156" s="101" t="str">
        <f t="shared" si="373"/>
        <v>Heinrich vor Arbeit</v>
      </c>
      <c r="C1156" s="168">
        <f>IF(ISERROR(Personalplanung!F12/Monatsplanung!$E12*Monatsplanung!$R12),0,Personalplanung!F12/Monatsplanung!$E12*Monatsplanung!$R12)</f>
        <v>174</v>
      </c>
      <c r="D1156" s="168">
        <f t="shared" si="374"/>
        <v>8</v>
      </c>
      <c r="E1156" s="168">
        <f>IF(ISERROR(Personalplanung!H12/Monatsplanung!$E12*Monatsplanung!$R12),0,Personalplanung!H12/Monatsplanung!$E12*Monatsplanung!$R12)</f>
        <v>0</v>
      </c>
      <c r="F1156" s="168">
        <f t="shared" si="375"/>
        <v>174</v>
      </c>
      <c r="G1156" s="168">
        <f t="shared" si="376"/>
        <v>27.700831024930746</v>
      </c>
      <c r="H1156" s="168">
        <f t="shared" si="377"/>
        <v>4819.9445983379501</v>
      </c>
      <c r="I1156" s="168">
        <f t="shared" si="378"/>
        <v>30</v>
      </c>
      <c r="J1156" s="739"/>
      <c r="K1156" s="168">
        <f>IF(J1156&lt;&gt;"",J1156,IF(ISERROR(Personalplanung!AB12/Monatsplanung!$E12*Monatsplanung!$R12),0,Personalplanung!AB12/Monatsplanung!$E12*Monatsplanung!$R12))</f>
        <v>0.66666666666666663</v>
      </c>
      <c r="L1156" s="740"/>
      <c r="M1156" s="739"/>
      <c r="N1156" s="168">
        <f>IF(M1156&lt;&gt;"",M1156,IF(ISERROR(Personalplanung!AC12/Monatsplanung!$E12*Monatsplanung!$R12),0,Personalplanung!AC12/Monatsplanung!$E12*Monatsplanung!$R12))</f>
        <v>0</v>
      </c>
      <c r="O1156" s="740"/>
      <c r="P1156" s="739"/>
      <c r="Q1156" s="168">
        <f>IF(P1156&lt;&gt;"",P1156,IF(ISERROR(Personalplanung!AD12/Monatsplanung!$E12*Monatsplanung!$R12),0,Personalplanung!AD12/Monatsplanung!$E12*Monatsplanung!$R12))</f>
        <v>0.16666666666666666</v>
      </c>
      <c r="R1156" s="740"/>
      <c r="S1156" s="739"/>
      <c r="T1156" s="168">
        <f>IF(S1156&lt;&gt;"",S1156,IF(ISERROR(Personalplanung!AE12/Monatsplanung!$E12*Monatsplanung!$R12),0,Personalplanung!AE12/Monatsplanung!$E12*Monatsplanung!$R12))</f>
        <v>2.1666666666666665</v>
      </c>
      <c r="U1156" s="740"/>
      <c r="V1156" s="168">
        <f t="shared" si="379"/>
        <v>3</v>
      </c>
      <c r="W1156" s="168">
        <f>IF(ISERROR(Personalplanung!P12/Monatsplanung!$E12*Monatsplanung!$R12),0,Personalplanung!P12/Monatsplanung!$E12*Monatsplanung!$R12)</f>
        <v>0</v>
      </c>
      <c r="X1156" s="168">
        <f>IF(ISERROR(Personalplanung!Q12/Monatsplanung!$E12*Monatsplanung!$R12),0,Personalplanung!Q12/Monatsplanung!$E12*Monatsplanung!$R12)</f>
        <v>0</v>
      </c>
      <c r="Y1156" s="168">
        <f>IF(ISERROR(Personalplanung!R12/T1260*Stundencontrolling!T1156),0,Personalplanung!R12/T1260*Stundencontrolling!T1156)</f>
        <v>0</v>
      </c>
      <c r="Z1156" s="168">
        <f>IF(ISERROR(Personalplanung!S12/Monatsplanung!$E12*Monatsplanung!$R12),0,Personalplanung!S12/Monatsplanung!$E12*Monatsplanung!$R12)</f>
        <v>0</v>
      </c>
      <c r="AA1156" s="80">
        <f t="shared" si="380"/>
        <v>149418.28254847645</v>
      </c>
      <c r="AB1156" s="102">
        <f t="shared" si="381"/>
        <v>0.1</v>
      </c>
      <c r="AC1156" s="103">
        <f t="shared" si="382"/>
        <v>14941.828254847645</v>
      </c>
      <c r="AD1156" s="103">
        <f t="shared" si="383"/>
        <v>134476.45429362881</v>
      </c>
      <c r="AE1156" s="81">
        <f t="shared" si="384"/>
        <v>15</v>
      </c>
      <c r="AF1156" s="539"/>
      <c r="AG1156" s="104">
        <f t="shared" si="385"/>
        <v>1</v>
      </c>
      <c r="AH1156" s="7">
        <f t="shared" si="386"/>
        <v>0</v>
      </c>
      <c r="AI1156" s="6">
        <f t="shared" si="387"/>
        <v>15</v>
      </c>
      <c r="AJ1156" s="73">
        <f t="shared" si="388"/>
        <v>996.12188365650968</v>
      </c>
      <c r="AK1156" s="539"/>
      <c r="AL1156" s="748"/>
      <c r="AM1156" s="748"/>
    </row>
    <row r="1157" spans="2:39" x14ac:dyDescent="0.2">
      <c r="B1157" s="101" t="str">
        <f t="shared" si="373"/>
        <v>Voller Geselle</v>
      </c>
      <c r="C1157" s="168">
        <f>IF(ISERROR(Personalplanung!F13/Monatsplanung!$E13*Monatsplanung!$R13),0,Personalplanung!F13/Monatsplanung!$E13*Monatsplanung!$R13)</f>
        <v>174</v>
      </c>
      <c r="D1157" s="168">
        <f t="shared" si="374"/>
        <v>8</v>
      </c>
      <c r="E1157" s="168">
        <f>IF(ISERROR(Personalplanung!H13/Monatsplanung!$E13*Monatsplanung!$R13),0,Personalplanung!H13/Monatsplanung!$E13*Monatsplanung!$R13)</f>
        <v>0</v>
      </c>
      <c r="F1157" s="168">
        <f t="shared" si="375"/>
        <v>174</v>
      </c>
      <c r="G1157" s="168">
        <f t="shared" si="376"/>
        <v>27.700831024930746</v>
      </c>
      <c r="H1157" s="168">
        <f t="shared" si="377"/>
        <v>4819.9445983379501</v>
      </c>
      <c r="I1157" s="168">
        <f t="shared" si="378"/>
        <v>30</v>
      </c>
      <c r="J1157" s="739"/>
      <c r="K1157" s="168">
        <f>IF(J1157&lt;&gt;"",J1157,IF(ISERROR(Personalplanung!AB13/Monatsplanung!$E13*Monatsplanung!$R13),0,Personalplanung!AB13/Monatsplanung!$E13*Monatsplanung!$R13))</f>
        <v>0.66666666666666663</v>
      </c>
      <c r="L1157" s="740"/>
      <c r="M1157" s="739"/>
      <c r="N1157" s="168">
        <f>IF(M1157&lt;&gt;"",M1157,IF(ISERROR(Personalplanung!AC13/Monatsplanung!$E13*Monatsplanung!$R13),0,Personalplanung!AC13/Monatsplanung!$E13*Monatsplanung!$R13))</f>
        <v>0.25</v>
      </c>
      <c r="O1157" s="740"/>
      <c r="P1157" s="739"/>
      <c r="Q1157" s="168">
        <f>IF(P1157&lt;&gt;"",P1157,IF(ISERROR(Personalplanung!AD13/Monatsplanung!$E13*Monatsplanung!$R13),0,Personalplanung!AD13/Monatsplanung!$E13*Monatsplanung!$R13))</f>
        <v>0.16666666666666666</v>
      </c>
      <c r="R1157" s="740"/>
      <c r="S1157" s="739"/>
      <c r="T1157" s="168">
        <f>IF(S1157&lt;&gt;"",S1157,IF(ISERROR(Personalplanung!AE13/Monatsplanung!$E13*Monatsplanung!$R13),0,Personalplanung!AE13/Monatsplanung!$E13*Monatsplanung!$R13))</f>
        <v>2.1666666666666665</v>
      </c>
      <c r="U1157" s="740"/>
      <c r="V1157" s="168">
        <f t="shared" si="379"/>
        <v>3.25</v>
      </c>
      <c r="W1157" s="168">
        <f>IF(ISERROR(Personalplanung!P13/Monatsplanung!$E13*Monatsplanung!$R13),0,Personalplanung!P13/Monatsplanung!$E13*Monatsplanung!$R13)</f>
        <v>0</v>
      </c>
      <c r="X1157" s="168">
        <f>IF(ISERROR(Personalplanung!Q13/Monatsplanung!$E13*Monatsplanung!$R13),0,Personalplanung!Q13/Monatsplanung!$E13*Monatsplanung!$R13)</f>
        <v>0</v>
      </c>
      <c r="Y1157" s="168">
        <f>IF(ISERROR(Personalplanung!R13/T1261*Stundencontrolling!T1157),0,Personalplanung!R13/T1261*Stundencontrolling!T1157)</f>
        <v>0</v>
      </c>
      <c r="Z1157" s="168">
        <f>IF(ISERROR(Personalplanung!S13/Monatsplanung!$E13*Monatsplanung!$R13),0,Personalplanung!S13/Monatsplanung!$E13*Monatsplanung!$R13)</f>
        <v>0</v>
      </c>
      <c r="AA1157" s="80">
        <f t="shared" si="380"/>
        <v>149418.28254847645</v>
      </c>
      <c r="AB1157" s="102">
        <f t="shared" si="381"/>
        <v>0.1</v>
      </c>
      <c r="AC1157" s="103">
        <f t="shared" si="382"/>
        <v>14941.828254847645</v>
      </c>
      <c r="AD1157" s="103">
        <f t="shared" si="383"/>
        <v>134476.45429362881</v>
      </c>
      <c r="AE1157" s="81">
        <f t="shared" si="384"/>
        <v>14.8</v>
      </c>
      <c r="AF1157" s="539"/>
      <c r="AG1157" s="104">
        <f t="shared" si="385"/>
        <v>1</v>
      </c>
      <c r="AH1157" s="7">
        <f t="shared" si="386"/>
        <v>0</v>
      </c>
      <c r="AI1157" s="6">
        <f t="shared" si="387"/>
        <v>14.8</v>
      </c>
      <c r="AJ1157" s="73">
        <f t="shared" si="388"/>
        <v>1009.5829901924084</v>
      </c>
      <c r="AK1157" s="539"/>
      <c r="AL1157" s="748"/>
      <c r="AM1157" s="748"/>
    </row>
    <row r="1158" spans="2:39" x14ac:dyDescent="0.2">
      <c r="B1158" s="101" t="str">
        <f t="shared" si="373"/>
        <v>Thomas Fleißig</v>
      </c>
      <c r="C1158" s="168">
        <f>IF(ISERROR(Personalplanung!F14/Monatsplanung!$E14*Monatsplanung!$R14),0,Personalplanung!F14/Monatsplanung!$E14*Monatsplanung!$R14)</f>
        <v>174</v>
      </c>
      <c r="D1158" s="168">
        <f t="shared" si="374"/>
        <v>8</v>
      </c>
      <c r="E1158" s="168">
        <f>IF(ISERROR(Personalplanung!H14/Monatsplanung!$E14*Monatsplanung!$R14),0,Personalplanung!H14/Monatsplanung!$E14*Monatsplanung!$R14)</f>
        <v>0</v>
      </c>
      <c r="F1158" s="168">
        <f t="shared" si="375"/>
        <v>174</v>
      </c>
      <c r="G1158" s="168">
        <f t="shared" si="376"/>
        <v>27.700831024930746</v>
      </c>
      <c r="H1158" s="168">
        <f t="shared" si="377"/>
        <v>4819.9445983379501</v>
      </c>
      <c r="I1158" s="168">
        <f t="shared" si="378"/>
        <v>30</v>
      </c>
      <c r="J1158" s="739"/>
      <c r="K1158" s="168">
        <f>IF(J1158&lt;&gt;"",J1158,IF(ISERROR(Personalplanung!AB14/Monatsplanung!$E14*Monatsplanung!$R14),0,Personalplanung!AB14/Monatsplanung!$E14*Monatsplanung!$R14))</f>
        <v>0.66666666666666663</v>
      </c>
      <c r="L1158" s="740"/>
      <c r="M1158" s="739"/>
      <c r="N1158" s="168">
        <f>IF(M1158&lt;&gt;"",M1158,IF(ISERROR(Personalplanung!AC14/Monatsplanung!$E14*Monatsplanung!$R14),0,Personalplanung!AC14/Monatsplanung!$E14*Monatsplanung!$R14))</f>
        <v>0</v>
      </c>
      <c r="O1158" s="740"/>
      <c r="P1158" s="739"/>
      <c r="Q1158" s="168">
        <f>IF(P1158&lt;&gt;"",P1158,IF(ISERROR(Personalplanung!AD14/Monatsplanung!$E14*Monatsplanung!$R14),0,Personalplanung!AD14/Monatsplanung!$E14*Monatsplanung!$R14))</f>
        <v>0.16666666666666666</v>
      </c>
      <c r="R1158" s="740"/>
      <c r="S1158" s="739"/>
      <c r="T1158" s="168">
        <f>IF(S1158&lt;&gt;"",S1158,IF(ISERROR(Personalplanung!AE14/Monatsplanung!$E14*Monatsplanung!$R14),0,Personalplanung!AE14/Monatsplanung!$E14*Monatsplanung!$R14))</f>
        <v>2.1666666666666665</v>
      </c>
      <c r="U1158" s="740"/>
      <c r="V1158" s="168">
        <f t="shared" si="379"/>
        <v>3</v>
      </c>
      <c r="W1158" s="168">
        <f>IF(ISERROR(Personalplanung!P14/Monatsplanung!$E14*Monatsplanung!$R14),0,Personalplanung!P14/Monatsplanung!$E14*Monatsplanung!$R14)</f>
        <v>0</v>
      </c>
      <c r="X1158" s="168">
        <f>IF(ISERROR(Personalplanung!Q14/Monatsplanung!$E14*Monatsplanung!$R14),0,Personalplanung!Q14/Monatsplanung!$E14*Monatsplanung!$R14)</f>
        <v>166.66666666666666</v>
      </c>
      <c r="Y1158" s="168">
        <f>IF(ISERROR(Personalplanung!R14/T1262*Stundencontrolling!T1158),0,Personalplanung!R14/T1262*Stundencontrolling!T1158)</f>
        <v>66.666666666666657</v>
      </c>
      <c r="Z1158" s="168">
        <f>IF(ISERROR(Personalplanung!S14/Monatsplanung!$E14*Monatsplanung!$R14),0,Personalplanung!S14/Monatsplanung!$E14*Monatsplanung!$R14)</f>
        <v>50</v>
      </c>
      <c r="AA1158" s="80">
        <f t="shared" si="380"/>
        <v>149701.61588180979</v>
      </c>
      <c r="AB1158" s="102">
        <f t="shared" si="381"/>
        <v>0.1</v>
      </c>
      <c r="AC1158" s="103">
        <f t="shared" si="382"/>
        <v>14970.161588180979</v>
      </c>
      <c r="AD1158" s="103">
        <f t="shared" si="383"/>
        <v>134731.45429362881</v>
      </c>
      <c r="AE1158" s="81">
        <f t="shared" si="384"/>
        <v>15</v>
      </c>
      <c r="AF1158" s="539"/>
      <c r="AG1158" s="104">
        <f t="shared" si="385"/>
        <v>1</v>
      </c>
      <c r="AH1158" s="7">
        <f t="shared" si="386"/>
        <v>0</v>
      </c>
      <c r="AI1158" s="6">
        <f t="shared" si="387"/>
        <v>15</v>
      </c>
      <c r="AJ1158" s="73">
        <f t="shared" si="388"/>
        <v>998.01077254539859</v>
      </c>
      <c r="AK1158" s="539"/>
      <c r="AL1158" s="748"/>
      <c r="AM1158" s="748"/>
    </row>
    <row r="1159" spans="2:39" x14ac:dyDescent="0.2">
      <c r="B1159" s="101" t="str">
        <f t="shared" si="373"/>
        <v>Facharbeiter</v>
      </c>
      <c r="C1159" s="168">
        <f>IF(ISERROR(Personalplanung!F15/Monatsplanung!$E15*Monatsplanung!$R15),0,Personalplanung!F15/Monatsplanung!$E15*Monatsplanung!$R15)</f>
        <v>174</v>
      </c>
      <c r="D1159" s="168">
        <f t="shared" si="374"/>
        <v>8</v>
      </c>
      <c r="E1159" s="168">
        <f>IF(ISERROR(Personalplanung!H15/Monatsplanung!$E15*Monatsplanung!$R15),0,Personalplanung!H15/Monatsplanung!$E15*Monatsplanung!$R15)</f>
        <v>0</v>
      </c>
      <c r="F1159" s="168">
        <f t="shared" si="375"/>
        <v>174</v>
      </c>
      <c r="G1159" s="168">
        <f t="shared" si="376"/>
        <v>27.700831024930746</v>
      </c>
      <c r="H1159" s="168">
        <f t="shared" si="377"/>
        <v>4819.9445983379501</v>
      </c>
      <c r="I1159" s="168">
        <f t="shared" si="378"/>
        <v>30</v>
      </c>
      <c r="J1159" s="739"/>
      <c r="K1159" s="168">
        <f>IF(J1159&lt;&gt;"",J1159,IF(ISERROR(Personalplanung!AB15/Monatsplanung!$E15*Monatsplanung!$R15),0,Personalplanung!AB15/Monatsplanung!$E15*Monatsplanung!$R15))</f>
        <v>0.66666666666666663</v>
      </c>
      <c r="L1159" s="740"/>
      <c r="M1159" s="739"/>
      <c r="N1159" s="168">
        <f>IF(M1159&lt;&gt;"",M1159,IF(ISERROR(Personalplanung!AC15/Monatsplanung!$E15*Monatsplanung!$R15),0,Personalplanung!AC15/Monatsplanung!$E15*Monatsplanung!$R15))</f>
        <v>0.16666666666666666</v>
      </c>
      <c r="O1159" s="740"/>
      <c r="P1159" s="739"/>
      <c r="Q1159" s="168">
        <f>IF(P1159&lt;&gt;"",P1159,IF(ISERROR(Personalplanung!AD15/Monatsplanung!$E15*Monatsplanung!$R15),0,Personalplanung!AD15/Monatsplanung!$E15*Monatsplanung!$R15))</f>
        <v>0.41666666666666669</v>
      </c>
      <c r="R1159" s="740"/>
      <c r="S1159" s="739"/>
      <c r="T1159" s="168">
        <f>IF(S1159&lt;&gt;"",S1159,IF(ISERROR(Personalplanung!AE15/Monatsplanung!$E15*Monatsplanung!$R15),0,Personalplanung!AE15/Monatsplanung!$E15*Monatsplanung!$R15))</f>
        <v>2.1666666666666665</v>
      </c>
      <c r="U1159" s="740"/>
      <c r="V1159" s="168">
        <f t="shared" si="379"/>
        <v>3.4166666666666665</v>
      </c>
      <c r="W1159" s="168">
        <f>IF(ISERROR(Personalplanung!P15/Monatsplanung!$E15*Monatsplanung!$R15),0,Personalplanung!P15/Monatsplanung!$E15*Monatsplanung!$R15)</f>
        <v>0</v>
      </c>
      <c r="X1159" s="168">
        <f>IF(ISERROR(Personalplanung!Q15/Monatsplanung!$E15*Monatsplanung!$R15),0,Personalplanung!Q15/Monatsplanung!$E15*Monatsplanung!$R15)</f>
        <v>0</v>
      </c>
      <c r="Y1159" s="168">
        <f>IF(ISERROR(Personalplanung!R15/T1263*Stundencontrolling!T1159),0,Personalplanung!R15/T1263*Stundencontrolling!T1159)</f>
        <v>0</v>
      </c>
      <c r="Z1159" s="168">
        <f>IF(ISERROR(Personalplanung!S15/Monatsplanung!$E15*Monatsplanung!$R15),0,Personalplanung!S15/Monatsplanung!$E15*Monatsplanung!$R15)</f>
        <v>0</v>
      </c>
      <c r="AA1159" s="80">
        <f t="shared" si="380"/>
        <v>149418.28254847645</v>
      </c>
      <c r="AB1159" s="102">
        <f t="shared" si="381"/>
        <v>0.1</v>
      </c>
      <c r="AC1159" s="103">
        <f t="shared" si="382"/>
        <v>14941.828254847645</v>
      </c>
      <c r="AD1159" s="103">
        <f t="shared" si="383"/>
        <v>134476.45429362881</v>
      </c>
      <c r="AE1159" s="81">
        <f t="shared" si="384"/>
        <v>14.666666666666666</v>
      </c>
      <c r="AF1159" s="539"/>
      <c r="AG1159" s="104">
        <f t="shared" si="385"/>
        <v>1</v>
      </c>
      <c r="AH1159" s="7">
        <f t="shared" si="386"/>
        <v>0</v>
      </c>
      <c r="AI1159" s="6">
        <f t="shared" si="387"/>
        <v>14.666666666666666</v>
      </c>
      <c r="AJ1159" s="73">
        <f t="shared" si="388"/>
        <v>1018.7610173759758</v>
      </c>
      <c r="AK1159" s="539"/>
      <c r="AL1159" s="748"/>
      <c r="AM1159" s="748"/>
    </row>
    <row r="1160" spans="2:39" x14ac:dyDescent="0.2">
      <c r="B1160" s="101" t="str">
        <f t="shared" si="373"/>
        <v>Abgänger</v>
      </c>
      <c r="C1160" s="168">
        <f>IF(ISERROR(Personalplanung!F16/Monatsplanung!$E16*Monatsplanung!$R16),0,Personalplanung!F16/Monatsplanung!$E16*Monatsplanung!$R16)</f>
        <v>0</v>
      </c>
      <c r="D1160" s="168">
        <f t="shared" si="374"/>
        <v>8</v>
      </c>
      <c r="E1160" s="168">
        <f>IF(ISERROR(Personalplanung!H16/Monatsplanung!$E16*Monatsplanung!$R16),0,Personalplanung!H16/Monatsplanung!$E16*Monatsplanung!$R16)</f>
        <v>0</v>
      </c>
      <c r="F1160" s="168">
        <f t="shared" si="375"/>
        <v>0</v>
      </c>
      <c r="G1160" s="168">
        <f t="shared" si="376"/>
        <v>27.700831024930746</v>
      </c>
      <c r="H1160" s="168">
        <f t="shared" si="377"/>
        <v>0</v>
      </c>
      <c r="I1160" s="168">
        <f t="shared" si="378"/>
        <v>30</v>
      </c>
      <c r="J1160" s="739"/>
      <c r="K1160" s="168">
        <f>IF(J1160&lt;&gt;"",J1160,IF(ISERROR(Personalplanung!AB16/Monatsplanung!$E16*Monatsplanung!$R16),0,Personalplanung!AB16/Monatsplanung!$E16*Monatsplanung!$R16))</f>
        <v>0</v>
      </c>
      <c r="L1160" s="740"/>
      <c r="M1160" s="739"/>
      <c r="N1160" s="168">
        <f>IF(M1160&lt;&gt;"",M1160,IF(ISERROR(Personalplanung!AC16/Monatsplanung!$E16*Monatsplanung!$R16),0,Personalplanung!AC16/Monatsplanung!$E16*Monatsplanung!$R16))</f>
        <v>0</v>
      </c>
      <c r="O1160" s="740"/>
      <c r="P1160" s="739"/>
      <c r="Q1160" s="168">
        <f>IF(P1160&lt;&gt;"",P1160,IF(ISERROR(Personalplanung!AD16/Monatsplanung!$E16*Monatsplanung!$R16),0,Personalplanung!AD16/Monatsplanung!$E16*Monatsplanung!$R16))</f>
        <v>0</v>
      </c>
      <c r="R1160" s="740"/>
      <c r="S1160" s="739"/>
      <c r="T1160" s="168">
        <f>IF(S1160&lt;&gt;"",S1160,IF(ISERROR(Personalplanung!AE16/Monatsplanung!$E16*Monatsplanung!$R16),0,Personalplanung!AE16/Monatsplanung!$E16*Monatsplanung!$R16))</f>
        <v>0</v>
      </c>
      <c r="U1160" s="740"/>
      <c r="V1160" s="168">
        <f t="shared" si="379"/>
        <v>0</v>
      </c>
      <c r="W1160" s="168">
        <f>IF(ISERROR(Personalplanung!P16/Monatsplanung!$E16*Monatsplanung!$R16),0,Personalplanung!P16/Monatsplanung!$E16*Monatsplanung!$R16)</f>
        <v>0</v>
      </c>
      <c r="X1160" s="168">
        <f>IF(ISERROR(Personalplanung!Q16/Monatsplanung!$E16*Monatsplanung!$R16),0,Personalplanung!Q16/Monatsplanung!$E16*Monatsplanung!$R16)</f>
        <v>0</v>
      </c>
      <c r="Y1160" s="168">
        <f>IF(ISERROR(Personalplanung!R16/T1264*Stundencontrolling!T1160),0,Personalplanung!R16/T1264*Stundencontrolling!T1160)</f>
        <v>0</v>
      </c>
      <c r="Z1160" s="168">
        <f>IF(ISERROR(Personalplanung!S16/Monatsplanung!$E16*Monatsplanung!$R16),0,Personalplanung!S16/Monatsplanung!$E16*Monatsplanung!$R16)</f>
        <v>0</v>
      </c>
      <c r="AA1160" s="80">
        <f t="shared" si="380"/>
        <v>0</v>
      </c>
      <c r="AB1160" s="102">
        <f t="shared" si="381"/>
        <v>0.1</v>
      </c>
      <c r="AC1160" s="103">
        <f t="shared" si="382"/>
        <v>0</v>
      </c>
      <c r="AD1160" s="103">
        <f t="shared" si="383"/>
        <v>0</v>
      </c>
      <c r="AE1160" s="81">
        <f t="shared" si="384"/>
        <v>0</v>
      </c>
      <c r="AF1160" s="539"/>
      <c r="AG1160" s="104">
        <f t="shared" si="385"/>
        <v>1</v>
      </c>
      <c r="AH1160" s="7">
        <f t="shared" si="386"/>
        <v>0</v>
      </c>
      <c r="AI1160" s="6">
        <f t="shared" si="387"/>
        <v>0</v>
      </c>
      <c r="AJ1160" s="73">
        <f t="shared" si="388"/>
        <v>0</v>
      </c>
      <c r="AK1160" s="539"/>
      <c r="AL1160" s="748"/>
      <c r="AM1160" s="748"/>
    </row>
    <row r="1161" spans="2:39" x14ac:dyDescent="0.2">
      <c r="B1161" s="101" t="str">
        <f t="shared" si="373"/>
        <v>Facharbeiter</v>
      </c>
      <c r="C1161" s="168">
        <f>IF(ISERROR(Personalplanung!F17/Monatsplanung!$E17*Monatsplanung!$R17),0,Personalplanung!F17/Monatsplanung!$E17*Monatsplanung!$R17)</f>
        <v>174</v>
      </c>
      <c r="D1161" s="168">
        <f t="shared" si="374"/>
        <v>8</v>
      </c>
      <c r="E1161" s="168">
        <f>IF(ISERROR(Personalplanung!H17/Monatsplanung!$E17*Monatsplanung!$R17),0,Personalplanung!H17/Monatsplanung!$E17*Monatsplanung!$R17)</f>
        <v>0</v>
      </c>
      <c r="F1161" s="168">
        <f t="shared" si="375"/>
        <v>174</v>
      </c>
      <c r="G1161" s="168">
        <f t="shared" si="376"/>
        <v>27.700831024930746</v>
      </c>
      <c r="H1161" s="168">
        <f t="shared" si="377"/>
        <v>4819.9445983379501</v>
      </c>
      <c r="I1161" s="168">
        <f t="shared" si="378"/>
        <v>30</v>
      </c>
      <c r="J1161" s="739"/>
      <c r="K1161" s="168">
        <f>IF(J1161&lt;&gt;"",J1161,IF(ISERROR(Personalplanung!AB17/Monatsplanung!$E17*Monatsplanung!$R17),0,Personalplanung!AB17/Monatsplanung!$E17*Monatsplanung!$R17))</f>
        <v>0.66666666666666663</v>
      </c>
      <c r="L1161" s="740"/>
      <c r="M1161" s="739"/>
      <c r="N1161" s="168">
        <f>IF(M1161&lt;&gt;"",M1161,IF(ISERROR(Personalplanung!AC17/Monatsplanung!$E17*Monatsplanung!$R17),0,Personalplanung!AC17/Monatsplanung!$E17*Monatsplanung!$R17))</f>
        <v>0</v>
      </c>
      <c r="O1161" s="740"/>
      <c r="P1161" s="739"/>
      <c r="Q1161" s="168">
        <f>IF(P1161&lt;&gt;"",P1161,IF(ISERROR(Personalplanung!AD17/Monatsplanung!$E17*Monatsplanung!$R17),0,Personalplanung!AD17/Monatsplanung!$E17*Monatsplanung!$R17))</f>
        <v>0.16666666666666666</v>
      </c>
      <c r="R1161" s="740"/>
      <c r="S1161" s="739"/>
      <c r="T1161" s="168">
        <f>IF(S1161&lt;&gt;"",S1161,IF(ISERROR(Personalplanung!AE17/Monatsplanung!$E17*Monatsplanung!$R17),0,Personalplanung!AE17/Monatsplanung!$E17*Monatsplanung!$R17))</f>
        <v>2.1666666666666665</v>
      </c>
      <c r="U1161" s="740"/>
      <c r="V1161" s="168">
        <f t="shared" si="379"/>
        <v>3</v>
      </c>
      <c r="W1161" s="168">
        <f>IF(ISERROR(Personalplanung!P17/Monatsplanung!$E17*Monatsplanung!$R17),0,Personalplanung!P17/Monatsplanung!$E17*Monatsplanung!$R17)</f>
        <v>0</v>
      </c>
      <c r="X1161" s="168">
        <f>IF(ISERROR(Personalplanung!Q17/Monatsplanung!$E17*Monatsplanung!$R17),0,Personalplanung!Q17/Monatsplanung!$E17*Monatsplanung!$R17)</f>
        <v>0</v>
      </c>
      <c r="Y1161" s="168">
        <f>IF(ISERROR(Personalplanung!R17/T1265*Stundencontrolling!T1161),0,Personalplanung!R17/T1265*Stundencontrolling!T1161)</f>
        <v>0</v>
      </c>
      <c r="Z1161" s="168">
        <f>IF(ISERROR(Personalplanung!S17/Monatsplanung!$E17*Monatsplanung!$R17),0,Personalplanung!S17/Monatsplanung!$E17*Monatsplanung!$R17)</f>
        <v>0</v>
      </c>
      <c r="AA1161" s="80">
        <f t="shared" si="380"/>
        <v>149418.28254847645</v>
      </c>
      <c r="AB1161" s="102">
        <f t="shared" si="381"/>
        <v>0.1</v>
      </c>
      <c r="AC1161" s="103">
        <f t="shared" si="382"/>
        <v>14941.828254847645</v>
      </c>
      <c r="AD1161" s="103">
        <f t="shared" si="383"/>
        <v>134476.45429362881</v>
      </c>
      <c r="AE1161" s="81">
        <f t="shared" si="384"/>
        <v>15</v>
      </c>
      <c r="AF1161" s="539"/>
      <c r="AG1161" s="104">
        <f t="shared" si="385"/>
        <v>1</v>
      </c>
      <c r="AH1161" s="7">
        <f t="shared" si="386"/>
        <v>0</v>
      </c>
      <c r="AI1161" s="6">
        <f t="shared" si="387"/>
        <v>15</v>
      </c>
      <c r="AJ1161" s="73">
        <f t="shared" si="388"/>
        <v>996.12188365650968</v>
      </c>
      <c r="AK1161" s="539"/>
      <c r="AL1161" s="748"/>
      <c r="AM1161" s="748"/>
    </row>
    <row r="1162" spans="2:39" x14ac:dyDescent="0.2">
      <c r="B1162" s="101" t="str">
        <f t="shared" si="373"/>
        <v>Facharbeiter</v>
      </c>
      <c r="C1162" s="168">
        <f>IF(ISERROR(Personalplanung!F18/Monatsplanung!$E18*Monatsplanung!$R18),0,Personalplanung!F18/Monatsplanung!$E18*Monatsplanung!$R18)</f>
        <v>174</v>
      </c>
      <c r="D1162" s="168">
        <f t="shared" si="374"/>
        <v>8</v>
      </c>
      <c r="E1162" s="168">
        <f>IF(ISERROR(Personalplanung!H18/Monatsplanung!$E18*Monatsplanung!$R18),0,Personalplanung!H18/Monatsplanung!$E18*Monatsplanung!$R18)</f>
        <v>0</v>
      </c>
      <c r="F1162" s="168">
        <f t="shared" si="375"/>
        <v>174</v>
      </c>
      <c r="G1162" s="168">
        <f t="shared" si="376"/>
        <v>27.700831024930746</v>
      </c>
      <c r="H1162" s="168">
        <f t="shared" si="377"/>
        <v>4819.9445983379501</v>
      </c>
      <c r="I1162" s="168">
        <f t="shared" si="378"/>
        <v>30</v>
      </c>
      <c r="J1162" s="739"/>
      <c r="K1162" s="168">
        <f>IF(J1162&lt;&gt;"",J1162,IF(ISERROR(Personalplanung!AB18/Monatsplanung!$E18*Monatsplanung!$R18),0,Personalplanung!AB18/Monatsplanung!$E18*Monatsplanung!$R18))</f>
        <v>0.66666666666666663</v>
      </c>
      <c r="L1162" s="740"/>
      <c r="M1162" s="739"/>
      <c r="N1162" s="168">
        <f>IF(M1162&lt;&gt;"",M1162,IF(ISERROR(Personalplanung!AC18/Monatsplanung!$E18*Monatsplanung!$R18),0,Personalplanung!AC18/Monatsplanung!$E18*Monatsplanung!$R18))</f>
        <v>0.33333333333333331</v>
      </c>
      <c r="O1162" s="740"/>
      <c r="P1162" s="739"/>
      <c r="Q1162" s="168">
        <f>IF(P1162&lt;&gt;"",P1162,IF(ISERROR(Personalplanung!AD18/Monatsplanung!$E18*Monatsplanung!$R18),0,Personalplanung!AD18/Monatsplanung!$E18*Monatsplanung!$R18))</f>
        <v>0.16666666666666666</v>
      </c>
      <c r="R1162" s="740"/>
      <c r="S1162" s="739"/>
      <c r="T1162" s="168">
        <f>IF(S1162&lt;&gt;"",S1162,IF(ISERROR(Personalplanung!AE18/Monatsplanung!$E18*Monatsplanung!$R18),0,Personalplanung!AE18/Monatsplanung!$E18*Monatsplanung!$R18))</f>
        <v>2.1666666666666665</v>
      </c>
      <c r="U1162" s="740"/>
      <c r="V1162" s="168">
        <f t="shared" si="379"/>
        <v>3.333333333333333</v>
      </c>
      <c r="W1162" s="168">
        <f>IF(ISERROR(Personalplanung!P18/Monatsplanung!$E18*Monatsplanung!$R18),0,Personalplanung!P18/Monatsplanung!$E18*Monatsplanung!$R18)</f>
        <v>0</v>
      </c>
      <c r="X1162" s="168">
        <f>IF(ISERROR(Personalplanung!Q18/Monatsplanung!$E18*Monatsplanung!$R18),0,Personalplanung!Q18/Monatsplanung!$E18*Monatsplanung!$R18)</f>
        <v>0</v>
      </c>
      <c r="Y1162" s="168">
        <f>IF(ISERROR(Personalplanung!R18/T1266*Stundencontrolling!T1162),0,Personalplanung!R18/T1266*Stundencontrolling!T1162)</f>
        <v>0</v>
      </c>
      <c r="Z1162" s="168">
        <f>IF(ISERROR(Personalplanung!S18/Monatsplanung!$E18*Monatsplanung!$R18),0,Personalplanung!S18/Monatsplanung!$E18*Monatsplanung!$R18)</f>
        <v>0</v>
      </c>
      <c r="AA1162" s="80">
        <f t="shared" si="380"/>
        <v>149418.28254847645</v>
      </c>
      <c r="AB1162" s="102">
        <f t="shared" si="381"/>
        <v>0.1</v>
      </c>
      <c r="AC1162" s="103">
        <f t="shared" si="382"/>
        <v>14941.828254847645</v>
      </c>
      <c r="AD1162" s="103">
        <f t="shared" si="383"/>
        <v>134476.45429362881</v>
      </c>
      <c r="AE1162" s="81">
        <f t="shared" si="384"/>
        <v>14.733333333333334</v>
      </c>
      <c r="AF1162" s="539"/>
      <c r="AG1162" s="104">
        <f t="shared" si="385"/>
        <v>1</v>
      </c>
      <c r="AH1162" s="7">
        <f t="shared" si="386"/>
        <v>0</v>
      </c>
      <c r="AI1162" s="6">
        <f t="shared" si="387"/>
        <v>14.733333333333334</v>
      </c>
      <c r="AJ1162" s="73">
        <f t="shared" si="388"/>
        <v>1014.1512390168084</v>
      </c>
      <c r="AK1162" s="539"/>
      <c r="AL1162" s="748"/>
      <c r="AM1162" s="748"/>
    </row>
    <row r="1163" spans="2:39" x14ac:dyDescent="0.2">
      <c r="B1163" s="101" t="str">
        <f t="shared" si="373"/>
        <v>Elternzeit Geselle</v>
      </c>
      <c r="C1163" s="168">
        <f>IF(ISERROR(Personalplanung!F19/Monatsplanung!$E19*Monatsplanung!$R19),0,Personalplanung!F19/Monatsplanung!$E19*Monatsplanung!$R19)</f>
        <v>130.5</v>
      </c>
      <c r="D1163" s="168">
        <f t="shared" si="374"/>
        <v>6</v>
      </c>
      <c r="E1163" s="168">
        <f>IF(ISERROR(Personalplanung!H19/Monatsplanung!$E19*Monatsplanung!$R19),0,Personalplanung!H19/Monatsplanung!$E19*Monatsplanung!$R19)</f>
        <v>0</v>
      </c>
      <c r="F1163" s="168">
        <f t="shared" si="375"/>
        <v>130.5</v>
      </c>
      <c r="G1163" s="168">
        <f t="shared" si="376"/>
        <v>27.700831024930746</v>
      </c>
      <c r="H1163" s="168">
        <f t="shared" si="377"/>
        <v>3614.9584487534626</v>
      </c>
      <c r="I1163" s="168">
        <f t="shared" si="378"/>
        <v>30</v>
      </c>
      <c r="J1163" s="739"/>
      <c r="K1163" s="168">
        <f>IF(J1163&lt;&gt;"",J1163,IF(ISERROR(Personalplanung!AB19/Monatsplanung!$E19*Monatsplanung!$R19),0,Personalplanung!AB19/Monatsplanung!$E19*Monatsplanung!$R19))</f>
        <v>1</v>
      </c>
      <c r="L1163" s="740"/>
      <c r="M1163" s="739"/>
      <c r="N1163" s="168">
        <f>IF(M1163&lt;&gt;"",M1163,IF(ISERROR(Personalplanung!AC19/Monatsplanung!$E19*Monatsplanung!$R19),0,Personalplanung!AC19/Monatsplanung!$E19*Monatsplanung!$R19))</f>
        <v>0</v>
      </c>
      <c r="O1163" s="740"/>
      <c r="P1163" s="739"/>
      <c r="Q1163" s="168">
        <f>IF(P1163&lt;&gt;"",P1163,IF(ISERROR(Personalplanung!AD19/Monatsplanung!$E19*Monatsplanung!$R19),0,Personalplanung!AD19/Monatsplanung!$E19*Monatsplanung!$R19))</f>
        <v>0.25</v>
      </c>
      <c r="R1163" s="740"/>
      <c r="S1163" s="739"/>
      <c r="T1163" s="168">
        <f>IF(S1163&lt;&gt;"",S1163,IF(ISERROR(Personalplanung!AE19/Monatsplanung!$E19*Monatsplanung!$R19),0,Personalplanung!AE19/Monatsplanung!$E19*Monatsplanung!$R19))</f>
        <v>3.25</v>
      </c>
      <c r="U1163" s="740"/>
      <c r="V1163" s="168">
        <f t="shared" si="379"/>
        <v>4.5</v>
      </c>
      <c r="W1163" s="168">
        <f>IF(ISERROR(Personalplanung!P19/Monatsplanung!$E19*Monatsplanung!$R19),0,Personalplanung!P19/Monatsplanung!$E19*Monatsplanung!$R19)</f>
        <v>0</v>
      </c>
      <c r="X1163" s="168">
        <f>IF(ISERROR(Personalplanung!Q19/Monatsplanung!$E19*Monatsplanung!$R19),0,Personalplanung!Q19/Monatsplanung!$E19*Monatsplanung!$R19)</f>
        <v>0</v>
      </c>
      <c r="Y1163" s="168">
        <f>IF(ISERROR(Personalplanung!R19/T1267*Stundencontrolling!T1163),0,Personalplanung!R19/T1267*Stundencontrolling!T1163)</f>
        <v>0</v>
      </c>
      <c r="Z1163" s="168">
        <f>IF(ISERROR(Personalplanung!S19/Monatsplanung!$E19*Monatsplanung!$R19),0,Personalplanung!S19/Monatsplanung!$E19*Monatsplanung!$R19)</f>
        <v>0</v>
      </c>
      <c r="AA1163" s="80">
        <f t="shared" si="380"/>
        <v>112063.71191135734</v>
      </c>
      <c r="AB1163" s="102">
        <f t="shared" si="381"/>
        <v>0.1</v>
      </c>
      <c r="AC1163" s="103">
        <f t="shared" si="382"/>
        <v>11206.371191135735</v>
      </c>
      <c r="AD1163" s="103">
        <f t="shared" si="383"/>
        <v>100857.3407202216</v>
      </c>
      <c r="AE1163" s="81">
        <f t="shared" si="384"/>
        <v>10.350000000000001</v>
      </c>
      <c r="AF1163" s="539"/>
      <c r="AG1163" s="104">
        <f t="shared" si="385"/>
        <v>1</v>
      </c>
      <c r="AH1163" s="7">
        <f t="shared" si="386"/>
        <v>0</v>
      </c>
      <c r="AI1163" s="6">
        <f t="shared" si="387"/>
        <v>10.350000000000001</v>
      </c>
      <c r="AJ1163" s="73">
        <f t="shared" si="388"/>
        <v>1082.7411778875105</v>
      </c>
      <c r="AK1163" s="539"/>
      <c r="AL1163" s="748"/>
      <c r="AM1163" s="748"/>
    </row>
    <row r="1164" spans="2:39" x14ac:dyDescent="0.2">
      <c r="B1164" s="101" t="str">
        <f t="shared" si="373"/>
        <v>A. Zubi</v>
      </c>
      <c r="C1164" s="168">
        <f>IF(ISERROR(Personalplanung!F20/Monatsplanung!$E20*Monatsplanung!$R20),0,Personalplanung!F20/Monatsplanung!$E20*Monatsplanung!$R20)</f>
        <v>174</v>
      </c>
      <c r="D1164" s="168">
        <f t="shared" si="374"/>
        <v>8</v>
      </c>
      <c r="E1164" s="168">
        <f>IF(ISERROR(Personalplanung!H20/Monatsplanung!$E20*Monatsplanung!$R20),0,Personalplanung!H20/Monatsplanung!$E20*Monatsplanung!$R20)</f>
        <v>0</v>
      </c>
      <c r="F1164" s="168">
        <f t="shared" si="375"/>
        <v>174</v>
      </c>
      <c r="G1164" s="168">
        <f t="shared" si="376"/>
        <v>27.700831024930746</v>
      </c>
      <c r="H1164" s="168">
        <f t="shared" si="377"/>
        <v>4819.9445983379501</v>
      </c>
      <c r="I1164" s="168">
        <f t="shared" si="378"/>
        <v>30</v>
      </c>
      <c r="J1164" s="739"/>
      <c r="K1164" s="168">
        <f>IF(J1164&lt;&gt;"",J1164,IF(ISERROR(Personalplanung!AB20/Monatsplanung!$E20*Monatsplanung!$R20),0,Personalplanung!AB20/Monatsplanung!$E20*Monatsplanung!$R20))</f>
        <v>0.66666666666666663</v>
      </c>
      <c r="L1164" s="740"/>
      <c r="M1164" s="739"/>
      <c r="N1164" s="168">
        <f>IF(M1164&lt;&gt;"",M1164,IF(ISERROR(Personalplanung!AC20/Monatsplanung!$E20*Monatsplanung!$R20),0,Personalplanung!AC20/Monatsplanung!$E20*Monatsplanung!$R20))</f>
        <v>0.25</v>
      </c>
      <c r="O1164" s="740"/>
      <c r="P1164" s="739"/>
      <c r="Q1164" s="168">
        <f>IF(P1164&lt;&gt;"",P1164,IF(ISERROR(Personalplanung!AD20/Monatsplanung!$E20*Monatsplanung!$R20),0,Personalplanung!AD20/Monatsplanung!$E20*Monatsplanung!$R20))</f>
        <v>0.16666666666666666</v>
      </c>
      <c r="R1164" s="740"/>
      <c r="S1164" s="739"/>
      <c r="T1164" s="168">
        <f>IF(S1164&lt;&gt;"",S1164,IF(ISERROR(Personalplanung!AE20/Monatsplanung!$E20*Monatsplanung!$R20),0,Personalplanung!AE20/Monatsplanung!$E20*Monatsplanung!$R20))</f>
        <v>2.1666666666666665</v>
      </c>
      <c r="U1164" s="740"/>
      <c r="V1164" s="168">
        <f t="shared" si="379"/>
        <v>3.25</v>
      </c>
      <c r="W1164" s="168">
        <f>IF(ISERROR(Personalplanung!P20/Monatsplanung!$E20*Monatsplanung!$R20),0,Personalplanung!P20/Monatsplanung!$E20*Monatsplanung!$R20)</f>
        <v>0</v>
      </c>
      <c r="X1164" s="168">
        <f>IF(ISERROR(Personalplanung!Q20/Monatsplanung!$E20*Monatsplanung!$R20),0,Personalplanung!Q20/Monatsplanung!$E20*Monatsplanung!$R20)</f>
        <v>0</v>
      </c>
      <c r="Y1164" s="168">
        <f>IF(ISERROR(Personalplanung!R20/T1268*Stundencontrolling!T1164),0,Personalplanung!R20/T1268*Stundencontrolling!T1164)</f>
        <v>0</v>
      </c>
      <c r="Z1164" s="168">
        <f>IF(ISERROR(Personalplanung!S20/Monatsplanung!$E20*Monatsplanung!$R20),0,Personalplanung!S20/Monatsplanung!$E20*Monatsplanung!$R20)</f>
        <v>0</v>
      </c>
      <c r="AA1164" s="80">
        <f t="shared" si="380"/>
        <v>149418.28254847645</v>
      </c>
      <c r="AB1164" s="102">
        <f t="shared" si="381"/>
        <v>0.1</v>
      </c>
      <c r="AC1164" s="103">
        <f t="shared" si="382"/>
        <v>14941.828254847645</v>
      </c>
      <c r="AD1164" s="103">
        <f t="shared" si="383"/>
        <v>134476.45429362881</v>
      </c>
      <c r="AE1164" s="81">
        <f t="shared" si="384"/>
        <v>14.8</v>
      </c>
      <c r="AF1164" s="539"/>
      <c r="AG1164" s="104">
        <f t="shared" si="385"/>
        <v>1</v>
      </c>
      <c r="AH1164" s="7">
        <f t="shared" si="386"/>
        <v>0</v>
      </c>
      <c r="AI1164" s="6">
        <f t="shared" si="387"/>
        <v>14.8</v>
      </c>
      <c r="AJ1164" s="73">
        <f t="shared" si="388"/>
        <v>1009.5829901924084</v>
      </c>
      <c r="AK1164" s="539"/>
      <c r="AL1164" s="748"/>
      <c r="AM1164" s="748"/>
    </row>
    <row r="1165" spans="2:39" x14ac:dyDescent="0.2">
      <c r="B1165" s="101" t="str">
        <f t="shared" si="373"/>
        <v>Zur Ausbildung</v>
      </c>
      <c r="C1165" s="168">
        <f>IF(ISERROR(Personalplanung!F21/Monatsplanung!$E21*Monatsplanung!$R21),0,Personalplanung!F21/Monatsplanung!$E21*Monatsplanung!$R21)</f>
        <v>174</v>
      </c>
      <c r="D1165" s="168">
        <f t="shared" si="374"/>
        <v>8</v>
      </c>
      <c r="E1165" s="168">
        <f>IF(ISERROR(Personalplanung!H21/Monatsplanung!$E21*Monatsplanung!$R21),0,Personalplanung!H21/Monatsplanung!$E21*Monatsplanung!$R21)</f>
        <v>0</v>
      </c>
      <c r="F1165" s="168">
        <f t="shared" si="375"/>
        <v>174</v>
      </c>
      <c r="G1165" s="168">
        <f t="shared" si="376"/>
        <v>27.700831024930746</v>
      </c>
      <c r="H1165" s="168">
        <f t="shared" si="377"/>
        <v>4819.9445983379501</v>
      </c>
      <c r="I1165" s="168">
        <f t="shared" si="378"/>
        <v>30</v>
      </c>
      <c r="J1165" s="739"/>
      <c r="K1165" s="168">
        <f>IF(J1165&lt;&gt;"",J1165,IF(ISERROR(Personalplanung!AB21/Monatsplanung!$E21*Monatsplanung!$R21),0,Personalplanung!AB21/Monatsplanung!$E21*Monatsplanung!$R21))</f>
        <v>1.6</v>
      </c>
      <c r="L1165" s="740"/>
      <c r="M1165" s="739"/>
      <c r="N1165" s="168">
        <f>IF(M1165&lt;&gt;"",M1165,IF(ISERROR(Personalplanung!AC21/Monatsplanung!$E21*Monatsplanung!$R21),0,Personalplanung!AC21/Monatsplanung!$E21*Monatsplanung!$R21))</f>
        <v>0</v>
      </c>
      <c r="O1165" s="740"/>
      <c r="P1165" s="739"/>
      <c r="Q1165" s="168">
        <f>IF(P1165&lt;&gt;"",P1165,IF(ISERROR(Personalplanung!AD21/Monatsplanung!$E21*Monatsplanung!$R21),0,Personalplanung!AD21/Monatsplanung!$E21*Monatsplanung!$R21))</f>
        <v>0.4</v>
      </c>
      <c r="R1165" s="740"/>
      <c r="S1165" s="739"/>
      <c r="T1165" s="168">
        <f>IF(S1165&lt;&gt;"",S1165,IF(ISERROR(Personalplanung!AE21/Monatsplanung!$E21*Monatsplanung!$R21),0,Personalplanung!AE21/Monatsplanung!$E21*Monatsplanung!$R21))</f>
        <v>5.2</v>
      </c>
      <c r="U1165" s="740"/>
      <c r="V1165" s="168">
        <f t="shared" si="379"/>
        <v>7.2</v>
      </c>
      <c r="W1165" s="168">
        <f>IF(ISERROR(Personalplanung!P21/Monatsplanung!$E21*Monatsplanung!$R21),0,Personalplanung!P21/Monatsplanung!$E21*Monatsplanung!$R21)</f>
        <v>12</v>
      </c>
      <c r="X1165" s="168">
        <f>IF(ISERROR(Personalplanung!Q21/Monatsplanung!$E21*Monatsplanung!$R21),0,Personalplanung!Q21/Monatsplanung!$E21*Monatsplanung!$R21)</f>
        <v>0</v>
      </c>
      <c r="Y1165" s="168">
        <f>IF(ISERROR(Personalplanung!R21/T1269*Stundencontrolling!T1165),0,Personalplanung!R21/T1269*Stundencontrolling!T1165)</f>
        <v>0</v>
      </c>
      <c r="Z1165" s="168">
        <f>IF(ISERROR(Personalplanung!S21/Monatsplanung!$E21*Monatsplanung!$R21),0,Personalplanung!S21/Monatsplanung!$E21*Monatsplanung!$R21)</f>
        <v>0</v>
      </c>
      <c r="AA1165" s="80">
        <f t="shared" si="380"/>
        <v>149430.28254847645</v>
      </c>
      <c r="AB1165" s="102">
        <f t="shared" si="381"/>
        <v>0.1</v>
      </c>
      <c r="AC1165" s="103">
        <f t="shared" si="382"/>
        <v>14943.028254847646</v>
      </c>
      <c r="AD1165" s="103">
        <f t="shared" si="383"/>
        <v>134487.25429362879</v>
      </c>
      <c r="AE1165" s="81">
        <f t="shared" si="384"/>
        <v>11.64</v>
      </c>
      <c r="AF1165" s="539"/>
      <c r="AG1165" s="104">
        <f t="shared" si="385"/>
        <v>1</v>
      </c>
      <c r="AH1165" s="7">
        <f t="shared" si="386"/>
        <v>0</v>
      </c>
      <c r="AI1165" s="6">
        <f t="shared" si="387"/>
        <v>11.64</v>
      </c>
      <c r="AJ1165" s="73">
        <f t="shared" si="388"/>
        <v>1283.7653139903475</v>
      </c>
      <c r="AK1165" s="539"/>
      <c r="AL1165" s="748"/>
      <c r="AM1165" s="748"/>
    </row>
    <row r="1166" spans="2:39" x14ac:dyDescent="0.2">
      <c r="B1166" s="101" t="str">
        <f t="shared" si="373"/>
        <v>Reine Putze</v>
      </c>
      <c r="C1166" s="168">
        <f>IF(ISERROR(Personalplanung!F22/Monatsplanung!$E22*Monatsplanung!$R22),0,Personalplanung!F22/Monatsplanung!$E22*Monatsplanung!$R22)</f>
        <v>52.199999999999996</v>
      </c>
      <c r="D1166" s="168">
        <f t="shared" si="374"/>
        <v>2.4</v>
      </c>
      <c r="E1166" s="168">
        <f>IF(ISERROR(Personalplanung!H22/Monatsplanung!$E22*Monatsplanung!$R22),0,Personalplanung!H22/Monatsplanung!$E22*Monatsplanung!$R22)</f>
        <v>0</v>
      </c>
      <c r="F1166" s="168">
        <f t="shared" si="375"/>
        <v>52.199999999999996</v>
      </c>
      <c r="G1166" s="168">
        <f t="shared" si="376"/>
        <v>27.700831024930746</v>
      </c>
      <c r="H1166" s="168">
        <f t="shared" si="377"/>
        <v>1445.9833795013849</v>
      </c>
      <c r="I1166" s="168">
        <f t="shared" si="378"/>
        <v>30</v>
      </c>
      <c r="J1166" s="739"/>
      <c r="K1166" s="168">
        <f>IF(J1166&lt;&gt;"",J1166,IF(ISERROR(Personalplanung!AB22/Monatsplanung!$E22*Monatsplanung!$R22),0,Personalplanung!AB22/Monatsplanung!$E22*Monatsplanung!$R22))</f>
        <v>0.25</v>
      </c>
      <c r="L1166" s="740"/>
      <c r="M1166" s="739"/>
      <c r="N1166" s="168">
        <f>IF(M1166&lt;&gt;"",M1166,IF(ISERROR(Personalplanung!AC22/Monatsplanung!$E22*Monatsplanung!$R22),0,Personalplanung!AC22/Monatsplanung!$E22*Monatsplanung!$R22))</f>
        <v>0</v>
      </c>
      <c r="O1166" s="740"/>
      <c r="P1166" s="739"/>
      <c r="Q1166" s="168">
        <f>IF(P1166&lt;&gt;"",P1166,IF(ISERROR(Personalplanung!AD22/Monatsplanung!$E22*Monatsplanung!$R22),0,Personalplanung!AD22/Monatsplanung!$E22*Monatsplanung!$R22))</f>
        <v>0</v>
      </c>
      <c r="R1166" s="740"/>
      <c r="S1166" s="739"/>
      <c r="T1166" s="168">
        <f>IF(S1166&lt;&gt;"",S1166,IF(ISERROR(Personalplanung!AE22/Monatsplanung!$E22*Monatsplanung!$R22),0,Personalplanung!AE22/Monatsplanung!$E22*Monatsplanung!$R22))</f>
        <v>2.1666666666666665</v>
      </c>
      <c r="U1166" s="740"/>
      <c r="V1166" s="168">
        <f t="shared" si="379"/>
        <v>2.4166666666666665</v>
      </c>
      <c r="W1166" s="168">
        <f>IF(ISERROR(Personalplanung!P22/Monatsplanung!$E22*Monatsplanung!$R22),0,Personalplanung!P22/Monatsplanung!$E22*Monatsplanung!$R22)</f>
        <v>0</v>
      </c>
      <c r="X1166" s="168">
        <f>IF(ISERROR(Personalplanung!Q22/Monatsplanung!$E22*Monatsplanung!$R22),0,Personalplanung!Q22/Monatsplanung!$E22*Monatsplanung!$R22)</f>
        <v>0</v>
      </c>
      <c r="Y1166" s="168">
        <f>IF(ISERROR(Personalplanung!R22/T1270*Stundencontrolling!T1166),0,Personalplanung!R22/T1270*Stundencontrolling!T1166)</f>
        <v>0</v>
      </c>
      <c r="Z1166" s="168">
        <f>IF(ISERROR(Personalplanung!S22/Monatsplanung!$E22*Monatsplanung!$R22),0,Personalplanung!S22/Monatsplanung!$E22*Monatsplanung!$R22)</f>
        <v>0</v>
      </c>
      <c r="AA1166" s="80">
        <f t="shared" si="380"/>
        <v>44825.484764542933</v>
      </c>
      <c r="AB1166" s="102">
        <f t="shared" si="381"/>
        <v>0.1</v>
      </c>
      <c r="AC1166" s="103">
        <f t="shared" si="382"/>
        <v>4482.5484764542934</v>
      </c>
      <c r="AD1166" s="103">
        <f t="shared" si="383"/>
        <v>40342.93628808864</v>
      </c>
      <c r="AE1166" s="81">
        <f t="shared" si="384"/>
        <v>4.6399999999999997</v>
      </c>
      <c r="AF1166" s="539"/>
      <c r="AG1166" s="104">
        <f t="shared" si="385"/>
        <v>1</v>
      </c>
      <c r="AH1166" s="7">
        <f t="shared" si="386"/>
        <v>0</v>
      </c>
      <c r="AI1166" s="6">
        <f t="shared" si="387"/>
        <v>4.6399999999999997</v>
      </c>
      <c r="AJ1166" s="73">
        <f t="shared" si="388"/>
        <v>966.06648199445988</v>
      </c>
      <c r="AK1166" s="539"/>
      <c r="AL1166" s="748"/>
      <c r="AM1166" s="748"/>
    </row>
    <row r="1167" spans="2:39" x14ac:dyDescent="0.2">
      <c r="B1167" s="101" t="str">
        <f t="shared" si="373"/>
        <v/>
      </c>
      <c r="C1167" s="168">
        <f>IF(ISERROR(Personalplanung!F23/Monatsplanung!$E23*Monatsplanung!$R23),0,Personalplanung!F23/Monatsplanung!$E23*Monatsplanung!$R23)</f>
        <v>0</v>
      </c>
      <c r="D1167" s="168">
        <f t="shared" si="374"/>
        <v>0</v>
      </c>
      <c r="E1167" s="168">
        <f>IF(ISERROR(Personalplanung!H23/Monatsplanung!$E23*Monatsplanung!$R23),0,Personalplanung!H23/Monatsplanung!$E23*Monatsplanung!$R23)</f>
        <v>0</v>
      </c>
      <c r="F1167" s="168">
        <f t="shared" si="375"/>
        <v>0</v>
      </c>
      <c r="G1167" s="168">
        <f t="shared" si="376"/>
        <v>27.700831024930746</v>
      </c>
      <c r="H1167" s="168">
        <f t="shared" si="377"/>
        <v>0</v>
      </c>
      <c r="I1167" s="168">
        <f t="shared" si="378"/>
        <v>30</v>
      </c>
      <c r="J1167" s="739"/>
      <c r="K1167" s="168">
        <f>IF(J1167&lt;&gt;"",J1167,IF(ISERROR(Personalplanung!AB23/Monatsplanung!$E23*Monatsplanung!$R23),0,Personalplanung!AB23/Monatsplanung!$E23*Monatsplanung!$R23))</f>
        <v>0</v>
      </c>
      <c r="L1167" s="740"/>
      <c r="M1167" s="739"/>
      <c r="N1167" s="168">
        <f>IF(M1167&lt;&gt;"",M1167,IF(ISERROR(Personalplanung!AC23/Monatsplanung!$E23*Monatsplanung!$R23),0,Personalplanung!AC23/Monatsplanung!$E23*Monatsplanung!$R23))</f>
        <v>0</v>
      </c>
      <c r="O1167" s="740"/>
      <c r="P1167" s="739"/>
      <c r="Q1167" s="168">
        <f>IF(P1167&lt;&gt;"",P1167,IF(ISERROR(Personalplanung!AD23/Monatsplanung!$E23*Monatsplanung!$R23),0,Personalplanung!AD23/Monatsplanung!$E23*Monatsplanung!$R23))</f>
        <v>0</v>
      </c>
      <c r="R1167" s="740"/>
      <c r="S1167" s="739"/>
      <c r="T1167" s="168">
        <f>IF(S1167&lt;&gt;"",S1167,IF(ISERROR(Personalplanung!AE23/Monatsplanung!$E23*Monatsplanung!$R23),0,Personalplanung!AE23/Monatsplanung!$E23*Monatsplanung!$R23))</f>
        <v>0</v>
      </c>
      <c r="U1167" s="740"/>
      <c r="V1167" s="168">
        <f t="shared" si="379"/>
        <v>0</v>
      </c>
      <c r="W1167" s="168">
        <f>IF(ISERROR(Personalplanung!P23/Monatsplanung!$E23*Monatsplanung!$R23),0,Personalplanung!P23/Monatsplanung!$E23*Monatsplanung!$R23)</f>
        <v>0</v>
      </c>
      <c r="X1167" s="168">
        <f>IF(ISERROR(Personalplanung!Q23/Monatsplanung!$E23*Monatsplanung!$R23),0,Personalplanung!Q23/Monatsplanung!$E23*Monatsplanung!$R23)</f>
        <v>0</v>
      </c>
      <c r="Y1167" s="168">
        <f>IF(ISERROR(Personalplanung!R23/T1271*Stundencontrolling!T1167),0,Personalplanung!R23/T1271*Stundencontrolling!T1167)</f>
        <v>0</v>
      </c>
      <c r="Z1167" s="168">
        <f>IF(ISERROR(Personalplanung!S23/Monatsplanung!$E23*Monatsplanung!$R23),0,Personalplanung!S23/Monatsplanung!$E23*Monatsplanung!$R23)</f>
        <v>0</v>
      </c>
      <c r="AA1167" s="80">
        <f t="shared" si="380"/>
        <v>0</v>
      </c>
      <c r="AB1167" s="102">
        <f t="shared" si="381"/>
        <v>0.1</v>
      </c>
      <c r="AC1167" s="103">
        <f t="shared" si="382"/>
        <v>0</v>
      </c>
      <c r="AD1167" s="103">
        <f t="shared" si="383"/>
        <v>0</v>
      </c>
      <c r="AE1167" s="81">
        <f t="shared" si="384"/>
        <v>0</v>
      </c>
      <c r="AF1167" s="539"/>
      <c r="AG1167" s="104">
        <f t="shared" si="385"/>
        <v>1</v>
      </c>
      <c r="AH1167" s="7">
        <f t="shared" si="386"/>
        <v>0</v>
      </c>
      <c r="AI1167" s="6">
        <f t="shared" si="387"/>
        <v>0</v>
      </c>
      <c r="AJ1167" s="73">
        <f t="shared" si="388"/>
        <v>0</v>
      </c>
      <c r="AK1167" s="539"/>
      <c r="AL1167" s="748"/>
      <c r="AM1167" s="748"/>
    </row>
    <row r="1168" spans="2:39" x14ac:dyDescent="0.2">
      <c r="B1168" s="101" t="str">
        <f t="shared" si="373"/>
        <v/>
      </c>
      <c r="C1168" s="168">
        <f>IF(ISERROR(Personalplanung!F24/Monatsplanung!$E24*Monatsplanung!$R24),0,Personalplanung!F24/Monatsplanung!$E24*Monatsplanung!$R24)</f>
        <v>0</v>
      </c>
      <c r="D1168" s="168">
        <f t="shared" si="374"/>
        <v>0</v>
      </c>
      <c r="E1168" s="168">
        <f>IF(ISERROR(Personalplanung!H24/Monatsplanung!$E24*Monatsplanung!$R24),0,Personalplanung!H24/Monatsplanung!$E24*Monatsplanung!$R24)</f>
        <v>0</v>
      </c>
      <c r="F1168" s="168">
        <f t="shared" si="375"/>
        <v>0</v>
      </c>
      <c r="G1168" s="168">
        <f t="shared" si="376"/>
        <v>27.700831024930746</v>
      </c>
      <c r="H1168" s="168">
        <f t="shared" si="377"/>
        <v>0</v>
      </c>
      <c r="I1168" s="168">
        <f t="shared" si="378"/>
        <v>30</v>
      </c>
      <c r="J1168" s="739"/>
      <c r="K1168" s="168">
        <f>IF(J1168&lt;&gt;"",J1168,IF(ISERROR(Personalplanung!AB24/Monatsplanung!$E24*Monatsplanung!$R24),0,Personalplanung!AB24/Monatsplanung!$E24*Monatsplanung!$R24))</f>
        <v>0</v>
      </c>
      <c r="L1168" s="740"/>
      <c r="M1168" s="739"/>
      <c r="N1168" s="168">
        <f>IF(M1168&lt;&gt;"",M1168,IF(ISERROR(Personalplanung!AC24/Monatsplanung!$E24*Monatsplanung!$R24),0,Personalplanung!AC24/Monatsplanung!$E24*Monatsplanung!$R24))</f>
        <v>0</v>
      </c>
      <c r="O1168" s="740"/>
      <c r="P1168" s="739"/>
      <c r="Q1168" s="168">
        <f>IF(P1168&lt;&gt;"",P1168,IF(ISERROR(Personalplanung!AD24/Monatsplanung!$E24*Monatsplanung!$R24),0,Personalplanung!AD24/Monatsplanung!$E24*Monatsplanung!$R24))</f>
        <v>0</v>
      </c>
      <c r="R1168" s="740"/>
      <c r="S1168" s="739"/>
      <c r="T1168" s="168">
        <f>IF(S1168&lt;&gt;"",S1168,IF(ISERROR(Personalplanung!AE24/Monatsplanung!$E24*Monatsplanung!$R24),0,Personalplanung!AE24/Monatsplanung!$E24*Monatsplanung!$R24))</f>
        <v>0</v>
      </c>
      <c r="U1168" s="740"/>
      <c r="V1168" s="168">
        <f t="shared" si="379"/>
        <v>0</v>
      </c>
      <c r="W1168" s="168">
        <f>IF(ISERROR(Personalplanung!P24/Monatsplanung!$E24*Monatsplanung!$R24),0,Personalplanung!P24/Monatsplanung!$E24*Monatsplanung!$R24)</f>
        <v>0</v>
      </c>
      <c r="X1168" s="168">
        <f>IF(ISERROR(Personalplanung!Q24/Monatsplanung!$E24*Monatsplanung!$R24),0,Personalplanung!Q24/Monatsplanung!$E24*Monatsplanung!$R24)</f>
        <v>0</v>
      </c>
      <c r="Y1168" s="168">
        <f>IF(ISERROR(Personalplanung!R24/T1272*Stundencontrolling!T1168),0,Personalplanung!R24/T1272*Stundencontrolling!T1168)</f>
        <v>0</v>
      </c>
      <c r="Z1168" s="168">
        <f>IF(ISERROR(Personalplanung!S24/Monatsplanung!$E24*Monatsplanung!$R24),0,Personalplanung!S24/Monatsplanung!$E24*Monatsplanung!$R24)</f>
        <v>0</v>
      </c>
      <c r="AA1168" s="80">
        <f t="shared" si="380"/>
        <v>0</v>
      </c>
      <c r="AB1168" s="102">
        <f t="shared" si="381"/>
        <v>0.1</v>
      </c>
      <c r="AC1168" s="103">
        <f t="shared" si="382"/>
        <v>0</v>
      </c>
      <c r="AD1168" s="103">
        <f t="shared" si="383"/>
        <v>0</v>
      </c>
      <c r="AE1168" s="81">
        <f t="shared" si="384"/>
        <v>0</v>
      </c>
      <c r="AF1168" s="539"/>
      <c r="AG1168" s="104">
        <f t="shared" si="385"/>
        <v>1</v>
      </c>
      <c r="AH1168" s="7">
        <f t="shared" si="386"/>
        <v>0</v>
      </c>
      <c r="AI1168" s="6">
        <f t="shared" si="387"/>
        <v>0</v>
      </c>
      <c r="AJ1168" s="73">
        <f t="shared" si="388"/>
        <v>0</v>
      </c>
      <c r="AK1168" s="539"/>
      <c r="AL1168" s="748"/>
      <c r="AM1168" s="748"/>
    </row>
    <row r="1169" spans="2:39" x14ac:dyDescent="0.2">
      <c r="B1169" s="101" t="str">
        <f t="shared" si="373"/>
        <v/>
      </c>
      <c r="C1169" s="168">
        <f>IF(ISERROR(Personalplanung!F25/Monatsplanung!$E25*Monatsplanung!$R25),0,Personalplanung!F25/Monatsplanung!$E25*Monatsplanung!$R25)</f>
        <v>0</v>
      </c>
      <c r="D1169" s="168">
        <f t="shared" si="374"/>
        <v>0</v>
      </c>
      <c r="E1169" s="168">
        <f>IF(ISERROR(Personalplanung!H25/Monatsplanung!$E25*Monatsplanung!$R25),0,Personalplanung!H25/Monatsplanung!$E25*Monatsplanung!$R25)</f>
        <v>0</v>
      </c>
      <c r="F1169" s="168">
        <f t="shared" si="375"/>
        <v>0</v>
      </c>
      <c r="G1169" s="168">
        <f t="shared" si="376"/>
        <v>27.700831024930746</v>
      </c>
      <c r="H1169" s="168">
        <f t="shared" si="377"/>
        <v>0</v>
      </c>
      <c r="I1169" s="168">
        <f t="shared" si="378"/>
        <v>30</v>
      </c>
      <c r="J1169" s="739"/>
      <c r="K1169" s="168">
        <f>IF(J1169&lt;&gt;"",J1169,IF(ISERROR(Personalplanung!AB25/Monatsplanung!$E25*Monatsplanung!$R25),0,Personalplanung!AB25/Monatsplanung!$E25*Monatsplanung!$R25))</f>
        <v>0</v>
      </c>
      <c r="L1169" s="740"/>
      <c r="M1169" s="739"/>
      <c r="N1169" s="168">
        <f>IF(M1169&lt;&gt;"",M1169,IF(ISERROR(Personalplanung!AC25/Monatsplanung!$E25*Monatsplanung!$R25),0,Personalplanung!AC25/Monatsplanung!$E25*Monatsplanung!$R25))</f>
        <v>0</v>
      </c>
      <c r="O1169" s="740"/>
      <c r="P1169" s="739"/>
      <c r="Q1169" s="168">
        <f>IF(P1169&lt;&gt;"",P1169,IF(ISERROR(Personalplanung!AD25/Monatsplanung!$E25*Monatsplanung!$R25),0,Personalplanung!AD25/Monatsplanung!$E25*Monatsplanung!$R25))</f>
        <v>0</v>
      </c>
      <c r="R1169" s="740"/>
      <c r="S1169" s="739"/>
      <c r="T1169" s="168">
        <f>IF(S1169&lt;&gt;"",S1169,IF(ISERROR(Personalplanung!AE25/Monatsplanung!$E25*Monatsplanung!$R25),0,Personalplanung!AE25/Monatsplanung!$E25*Monatsplanung!$R25))</f>
        <v>0</v>
      </c>
      <c r="U1169" s="740"/>
      <c r="V1169" s="168">
        <f t="shared" si="379"/>
        <v>0</v>
      </c>
      <c r="W1169" s="168">
        <f>IF(ISERROR(Personalplanung!P25/Monatsplanung!$E25*Monatsplanung!$R25),0,Personalplanung!P25/Monatsplanung!$E25*Monatsplanung!$R25)</f>
        <v>0</v>
      </c>
      <c r="X1169" s="168">
        <f>IF(ISERROR(Personalplanung!Q25/Monatsplanung!$E25*Monatsplanung!$R25),0,Personalplanung!Q25/Monatsplanung!$E25*Monatsplanung!$R25)</f>
        <v>0</v>
      </c>
      <c r="Y1169" s="168">
        <f>IF(ISERROR(Personalplanung!R25/T1273*Stundencontrolling!T1169),0,Personalplanung!R25/T1273*Stundencontrolling!T1169)</f>
        <v>0</v>
      </c>
      <c r="Z1169" s="168">
        <f>IF(ISERROR(Personalplanung!S25/Monatsplanung!$E25*Monatsplanung!$R25),0,Personalplanung!S25/Monatsplanung!$E25*Monatsplanung!$R25)</f>
        <v>0</v>
      </c>
      <c r="AA1169" s="80">
        <f t="shared" si="380"/>
        <v>0</v>
      </c>
      <c r="AB1169" s="102">
        <f t="shared" si="381"/>
        <v>0.1</v>
      </c>
      <c r="AC1169" s="103">
        <f t="shared" si="382"/>
        <v>0</v>
      </c>
      <c r="AD1169" s="103">
        <f t="shared" si="383"/>
        <v>0</v>
      </c>
      <c r="AE1169" s="81">
        <f t="shared" si="384"/>
        <v>0</v>
      </c>
      <c r="AF1169" s="539"/>
      <c r="AG1169" s="104">
        <f t="shared" si="385"/>
        <v>1</v>
      </c>
      <c r="AH1169" s="7">
        <f t="shared" si="386"/>
        <v>0</v>
      </c>
      <c r="AI1169" s="6">
        <f t="shared" si="387"/>
        <v>0</v>
      </c>
      <c r="AJ1169" s="73">
        <f t="shared" si="388"/>
        <v>0</v>
      </c>
      <c r="AK1169" s="539"/>
      <c r="AL1169" s="748"/>
      <c r="AM1169" s="748"/>
    </row>
    <row r="1170" spans="2:39" x14ac:dyDescent="0.2">
      <c r="B1170" s="101" t="str">
        <f t="shared" si="373"/>
        <v/>
      </c>
      <c r="C1170" s="168">
        <f>IF(ISERROR(Personalplanung!F26/Monatsplanung!$E26*Monatsplanung!$R26),0,Personalplanung!F26/Monatsplanung!$E26*Monatsplanung!$R26)</f>
        <v>0</v>
      </c>
      <c r="D1170" s="168">
        <f t="shared" si="374"/>
        <v>0</v>
      </c>
      <c r="E1170" s="168">
        <f>IF(ISERROR(Personalplanung!H26/Monatsplanung!$E26*Monatsplanung!$R26),0,Personalplanung!H26/Monatsplanung!$E26*Monatsplanung!$R26)</f>
        <v>0</v>
      </c>
      <c r="F1170" s="168">
        <f t="shared" si="375"/>
        <v>0</v>
      </c>
      <c r="G1170" s="168">
        <f t="shared" si="376"/>
        <v>27.700831024930746</v>
      </c>
      <c r="H1170" s="168">
        <f t="shared" si="377"/>
        <v>0</v>
      </c>
      <c r="I1170" s="168">
        <f t="shared" si="378"/>
        <v>30</v>
      </c>
      <c r="J1170" s="739"/>
      <c r="K1170" s="168">
        <f>IF(J1170&lt;&gt;"",J1170,IF(ISERROR(Personalplanung!AB26/Monatsplanung!$E26*Monatsplanung!$R26),0,Personalplanung!AB26/Monatsplanung!$E26*Monatsplanung!$R26))</f>
        <v>0</v>
      </c>
      <c r="L1170" s="740"/>
      <c r="M1170" s="739"/>
      <c r="N1170" s="168">
        <f>IF(M1170&lt;&gt;"",M1170,IF(ISERROR(Personalplanung!AC26/Monatsplanung!$E26*Monatsplanung!$R26),0,Personalplanung!AC26/Monatsplanung!$E26*Monatsplanung!$R26))</f>
        <v>0</v>
      </c>
      <c r="O1170" s="740"/>
      <c r="P1170" s="739"/>
      <c r="Q1170" s="168">
        <f>IF(P1170&lt;&gt;"",P1170,IF(ISERROR(Personalplanung!AD26/Monatsplanung!$E26*Monatsplanung!$R26),0,Personalplanung!AD26/Monatsplanung!$E26*Monatsplanung!$R26))</f>
        <v>0</v>
      </c>
      <c r="R1170" s="740"/>
      <c r="S1170" s="739"/>
      <c r="T1170" s="168">
        <f>IF(S1170&lt;&gt;"",S1170,IF(ISERROR(Personalplanung!AE26/Monatsplanung!$E26*Monatsplanung!$R26),0,Personalplanung!AE26/Monatsplanung!$E26*Monatsplanung!$R26))</f>
        <v>0</v>
      </c>
      <c r="U1170" s="740"/>
      <c r="V1170" s="168">
        <f t="shared" si="379"/>
        <v>0</v>
      </c>
      <c r="W1170" s="168">
        <f>IF(ISERROR(Personalplanung!P26/Monatsplanung!$E26*Monatsplanung!$R26),0,Personalplanung!P26/Monatsplanung!$E26*Monatsplanung!$R26)</f>
        <v>0</v>
      </c>
      <c r="X1170" s="168">
        <f>IF(ISERROR(Personalplanung!Q26/Monatsplanung!$E26*Monatsplanung!$R26),0,Personalplanung!Q26/Monatsplanung!$E26*Monatsplanung!$R26)</f>
        <v>0</v>
      </c>
      <c r="Y1170" s="168">
        <f>IF(ISERROR(Personalplanung!R26/T1274*Stundencontrolling!T1170),0,Personalplanung!R26/T1274*Stundencontrolling!T1170)</f>
        <v>0</v>
      </c>
      <c r="Z1170" s="168">
        <f>IF(ISERROR(Personalplanung!S26/Monatsplanung!$E26*Monatsplanung!$R26),0,Personalplanung!S26/Monatsplanung!$E26*Monatsplanung!$R26)</f>
        <v>0</v>
      </c>
      <c r="AA1170" s="80">
        <f t="shared" si="380"/>
        <v>0</v>
      </c>
      <c r="AB1170" s="102">
        <f t="shared" si="381"/>
        <v>0.1</v>
      </c>
      <c r="AC1170" s="103">
        <f t="shared" si="382"/>
        <v>0</v>
      </c>
      <c r="AD1170" s="103">
        <f t="shared" si="383"/>
        <v>0</v>
      </c>
      <c r="AE1170" s="81">
        <f t="shared" si="384"/>
        <v>0</v>
      </c>
      <c r="AF1170" s="539"/>
      <c r="AG1170" s="104">
        <f t="shared" si="385"/>
        <v>1</v>
      </c>
      <c r="AH1170" s="7">
        <f t="shared" si="386"/>
        <v>0</v>
      </c>
      <c r="AI1170" s="6">
        <f t="shared" si="387"/>
        <v>0</v>
      </c>
      <c r="AJ1170" s="73">
        <f t="shared" si="388"/>
        <v>0</v>
      </c>
      <c r="AK1170" s="539"/>
      <c r="AL1170" s="748"/>
      <c r="AM1170" s="748"/>
    </row>
    <row r="1171" spans="2:39" x14ac:dyDescent="0.2">
      <c r="B1171" s="101" t="str">
        <f t="shared" si="373"/>
        <v/>
      </c>
      <c r="C1171" s="168">
        <f>IF(ISERROR(Personalplanung!F27/Monatsplanung!$E27*Monatsplanung!$R27),0,Personalplanung!F27/Monatsplanung!$E27*Monatsplanung!$R27)</f>
        <v>0</v>
      </c>
      <c r="D1171" s="168">
        <f t="shared" si="374"/>
        <v>0</v>
      </c>
      <c r="E1171" s="168">
        <f>IF(ISERROR(Personalplanung!H27/Monatsplanung!$E27*Monatsplanung!$R27),0,Personalplanung!H27/Monatsplanung!$E27*Monatsplanung!$R27)</f>
        <v>0</v>
      </c>
      <c r="F1171" s="168">
        <f t="shared" si="375"/>
        <v>0</v>
      </c>
      <c r="G1171" s="168">
        <f t="shared" si="376"/>
        <v>27.700831024930746</v>
      </c>
      <c r="H1171" s="168">
        <f t="shared" si="377"/>
        <v>0</v>
      </c>
      <c r="I1171" s="168">
        <f t="shared" si="378"/>
        <v>30</v>
      </c>
      <c r="J1171" s="739"/>
      <c r="K1171" s="168">
        <f>IF(J1171&lt;&gt;"",J1171,IF(ISERROR(Personalplanung!AB27/Monatsplanung!$E27*Monatsplanung!$R27),0,Personalplanung!AB27/Monatsplanung!$E27*Monatsplanung!$R27))</f>
        <v>0</v>
      </c>
      <c r="L1171" s="740"/>
      <c r="M1171" s="739"/>
      <c r="N1171" s="168">
        <f>IF(M1171&lt;&gt;"",M1171,IF(ISERROR(Personalplanung!AC27/Monatsplanung!$E27*Monatsplanung!$R27),0,Personalplanung!AC27/Monatsplanung!$E27*Monatsplanung!$R27))</f>
        <v>0</v>
      </c>
      <c r="O1171" s="740"/>
      <c r="P1171" s="739"/>
      <c r="Q1171" s="168">
        <f>IF(P1171&lt;&gt;"",P1171,IF(ISERROR(Personalplanung!AD27/Monatsplanung!$E27*Monatsplanung!$R27),0,Personalplanung!AD27/Monatsplanung!$E27*Monatsplanung!$R27))</f>
        <v>0</v>
      </c>
      <c r="R1171" s="740"/>
      <c r="S1171" s="739"/>
      <c r="T1171" s="168">
        <f>IF(S1171&lt;&gt;"",S1171,IF(ISERROR(Personalplanung!AE27/Monatsplanung!$E27*Monatsplanung!$R27),0,Personalplanung!AE27/Monatsplanung!$E27*Monatsplanung!$R27))</f>
        <v>0</v>
      </c>
      <c r="U1171" s="740"/>
      <c r="V1171" s="168">
        <f t="shared" si="379"/>
        <v>0</v>
      </c>
      <c r="W1171" s="168">
        <f>IF(ISERROR(Personalplanung!P27/Monatsplanung!$E27*Monatsplanung!$R27),0,Personalplanung!P27/Monatsplanung!$E27*Monatsplanung!$R27)</f>
        <v>0</v>
      </c>
      <c r="X1171" s="168">
        <f>IF(ISERROR(Personalplanung!Q27/Monatsplanung!$E27*Monatsplanung!$R27),0,Personalplanung!Q27/Monatsplanung!$E27*Monatsplanung!$R27)</f>
        <v>0</v>
      </c>
      <c r="Y1171" s="168">
        <f>IF(ISERROR(Personalplanung!R27/T1275*Stundencontrolling!T1171),0,Personalplanung!R27/T1275*Stundencontrolling!T1171)</f>
        <v>0</v>
      </c>
      <c r="Z1171" s="168">
        <f>IF(ISERROR(Personalplanung!S27/Monatsplanung!$E27*Monatsplanung!$R27),0,Personalplanung!S27/Monatsplanung!$E27*Monatsplanung!$R27)</f>
        <v>0</v>
      </c>
      <c r="AA1171" s="80">
        <f t="shared" si="380"/>
        <v>0</v>
      </c>
      <c r="AB1171" s="102">
        <f t="shared" si="381"/>
        <v>0.1</v>
      </c>
      <c r="AC1171" s="103">
        <f t="shared" si="382"/>
        <v>0</v>
      </c>
      <c r="AD1171" s="103">
        <f t="shared" si="383"/>
        <v>0</v>
      </c>
      <c r="AE1171" s="81">
        <f t="shared" si="384"/>
        <v>0</v>
      </c>
      <c r="AF1171" s="539"/>
      <c r="AG1171" s="104">
        <f t="shared" si="385"/>
        <v>1</v>
      </c>
      <c r="AH1171" s="7">
        <f t="shared" si="386"/>
        <v>0</v>
      </c>
      <c r="AI1171" s="6">
        <f t="shared" si="387"/>
        <v>0</v>
      </c>
      <c r="AJ1171" s="73">
        <f t="shared" si="388"/>
        <v>0</v>
      </c>
      <c r="AK1171" s="539"/>
      <c r="AL1171" s="748"/>
      <c r="AM1171" s="748"/>
    </row>
    <row r="1172" spans="2:39" x14ac:dyDescent="0.2">
      <c r="B1172" s="101" t="str">
        <f t="shared" si="373"/>
        <v/>
      </c>
      <c r="C1172" s="168">
        <f>IF(ISERROR(Personalplanung!F28/Monatsplanung!$E28*Monatsplanung!$R28),0,Personalplanung!F28/Monatsplanung!$E28*Monatsplanung!$R28)</f>
        <v>0</v>
      </c>
      <c r="D1172" s="168">
        <f t="shared" si="374"/>
        <v>0</v>
      </c>
      <c r="E1172" s="168">
        <f>IF(ISERROR(Personalplanung!H28/Monatsplanung!$E28*Monatsplanung!$R28),0,Personalplanung!H28/Monatsplanung!$E28*Monatsplanung!$R28)</f>
        <v>0</v>
      </c>
      <c r="F1172" s="168">
        <f t="shared" si="375"/>
        <v>0</v>
      </c>
      <c r="G1172" s="168">
        <f t="shared" si="376"/>
        <v>27.700831024930746</v>
      </c>
      <c r="H1172" s="168">
        <f t="shared" si="377"/>
        <v>0</v>
      </c>
      <c r="I1172" s="168">
        <f t="shared" si="378"/>
        <v>30</v>
      </c>
      <c r="J1172" s="739"/>
      <c r="K1172" s="168">
        <f>IF(J1172&lt;&gt;"",J1172,IF(ISERROR(Personalplanung!AB28/Monatsplanung!$E28*Monatsplanung!$R28),0,Personalplanung!AB28/Monatsplanung!$E28*Monatsplanung!$R28))</f>
        <v>0</v>
      </c>
      <c r="L1172" s="740"/>
      <c r="M1172" s="739"/>
      <c r="N1172" s="168">
        <f>IF(M1172&lt;&gt;"",M1172,IF(ISERROR(Personalplanung!AC28/Monatsplanung!$E28*Monatsplanung!$R28),0,Personalplanung!AC28/Monatsplanung!$E28*Monatsplanung!$R28))</f>
        <v>0</v>
      </c>
      <c r="O1172" s="740"/>
      <c r="P1172" s="739"/>
      <c r="Q1172" s="168">
        <f>IF(P1172&lt;&gt;"",P1172,IF(ISERROR(Personalplanung!AD28/Monatsplanung!$E28*Monatsplanung!$R28),0,Personalplanung!AD28/Monatsplanung!$E28*Monatsplanung!$R28))</f>
        <v>0</v>
      </c>
      <c r="R1172" s="740"/>
      <c r="S1172" s="739"/>
      <c r="T1172" s="168">
        <f>IF(S1172&lt;&gt;"",S1172,IF(ISERROR(Personalplanung!AE28/Monatsplanung!$E28*Monatsplanung!$R28),0,Personalplanung!AE28/Monatsplanung!$E28*Monatsplanung!$R28))</f>
        <v>0</v>
      </c>
      <c r="U1172" s="740"/>
      <c r="V1172" s="168">
        <f t="shared" si="379"/>
        <v>0</v>
      </c>
      <c r="W1172" s="168">
        <f>IF(ISERROR(Personalplanung!P28/Monatsplanung!$E28*Monatsplanung!$R28),0,Personalplanung!P28/Monatsplanung!$E28*Monatsplanung!$R28)</f>
        <v>0</v>
      </c>
      <c r="X1172" s="168">
        <f>IF(ISERROR(Personalplanung!Q28/Monatsplanung!$E28*Monatsplanung!$R28),0,Personalplanung!Q28/Monatsplanung!$E28*Monatsplanung!$R28)</f>
        <v>0</v>
      </c>
      <c r="Y1172" s="168">
        <f>IF(ISERROR(Personalplanung!R28/T1276*Stundencontrolling!T1172),0,Personalplanung!R28/T1276*Stundencontrolling!T1172)</f>
        <v>0</v>
      </c>
      <c r="Z1172" s="168">
        <f>IF(ISERROR(Personalplanung!S28/Monatsplanung!$E28*Monatsplanung!$R28),0,Personalplanung!S28/Monatsplanung!$E28*Monatsplanung!$R28)</f>
        <v>0</v>
      </c>
      <c r="AA1172" s="80">
        <f t="shared" si="380"/>
        <v>0</v>
      </c>
      <c r="AB1172" s="102">
        <f t="shared" si="381"/>
        <v>0.1</v>
      </c>
      <c r="AC1172" s="103">
        <f t="shared" si="382"/>
        <v>0</v>
      </c>
      <c r="AD1172" s="103">
        <f t="shared" si="383"/>
        <v>0</v>
      </c>
      <c r="AE1172" s="81">
        <f t="shared" si="384"/>
        <v>0</v>
      </c>
      <c r="AF1172" s="539"/>
      <c r="AG1172" s="104">
        <f t="shared" si="385"/>
        <v>1</v>
      </c>
      <c r="AH1172" s="7">
        <f t="shared" si="386"/>
        <v>0</v>
      </c>
      <c r="AI1172" s="6">
        <f t="shared" si="387"/>
        <v>0</v>
      </c>
      <c r="AJ1172" s="73">
        <f t="shared" si="388"/>
        <v>0</v>
      </c>
      <c r="AK1172" s="539"/>
      <c r="AL1172" s="748"/>
      <c r="AM1172" s="748"/>
    </row>
    <row r="1173" spans="2:39" x14ac:dyDescent="0.2">
      <c r="B1173" s="101" t="str">
        <f t="shared" si="373"/>
        <v/>
      </c>
      <c r="C1173" s="168">
        <f>IF(ISERROR(Personalplanung!F29/Monatsplanung!$E29*Monatsplanung!$R29),0,Personalplanung!F29/Monatsplanung!$E29*Monatsplanung!$R29)</f>
        <v>0</v>
      </c>
      <c r="D1173" s="168">
        <f t="shared" si="374"/>
        <v>0</v>
      </c>
      <c r="E1173" s="168">
        <f>IF(ISERROR(Personalplanung!H29/Monatsplanung!$E29*Monatsplanung!$R29),0,Personalplanung!H29/Monatsplanung!$E29*Monatsplanung!$R29)</f>
        <v>0</v>
      </c>
      <c r="F1173" s="168">
        <f t="shared" si="375"/>
        <v>0</v>
      </c>
      <c r="G1173" s="168">
        <f t="shared" si="376"/>
        <v>27.700831024930746</v>
      </c>
      <c r="H1173" s="168">
        <f t="shared" si="377"/>
        <v>0</v>
      </c>
      <c r="I1173" s="168">
        <f t="shared" si="378"/>
        <v>30</v>
      </c>
      <c r="J1173" s="739"/>
      <c r="K1173" s="168">
        <f>IF(J1173&lt;&gt;"",J1173,IF(ISERROR(Personalplanung!AB29/Monatsplanung!$E29*Monatsplanung!$R29),0,Personalplanung!AB29/Monatsplanung!$E29*Monatsplanung!$R29))</f>
        <v>0</v>
      </c>
      <c r="L1173" s="740"/>
      <c r="M1173" s="739"/>
      <c r="N1173" s="168">
        <f>IF(M1173&lt;&gt;"",M1173,IF(ISERROR(Personalplanung!AC29/Monatsplanung!$E29*Monatsplanung!$R29),0,Personalplanung!AC29/Monatsplanung!$E29*Monatsplanung!$R29))</f>
        <v>0</v>
      </c>
      <c r="O1173" s="740"/>
      <c r="P1173" s="739"/>
      <c r="Q1173" s="168">
        <f>IF(P1173&lt;&gt;"",P1173,IF(ISERROR(Personalplanung!AD29/Monatsplanung!$E29*Monatsplanung!$R29),0,Personalplanung!AD29/Monatsplanung!$E29*Monatsplanung!$R29))</f>
        <v>0</v>
      </c>
      <c r="R1173" s="740"/>
      <c r="S1173" s="739"/>
      <c r="T1173" s="168">
        <f>IF(S1173&lt;&gt;"",S1173,IF(ISERROR(Personalplanung!AE29/Monatsplanung!$E29*Monatsplanung!$R29),0,Personalplanung!AE29/Monatsplanung!$E29*Monatsplanung!$R29))</f>
        <v>0</v>
      </c>
      <c r="U1173" s="740"/>
      <c r="V1173" s="168">
        <f t="shared" si="379"/>
        <v>0</v>
      </c>
      <c r="W1173" s="168">
        <f>IF(ISERROR(Personalplanung!P29/Monatsplanung!$E29*Monatsplanung!$R29),0,Personalplanung!P29/Monatsplanung!$E29*Monatsplanung!$R29)</f>
        <v>0</v>
      </c>
      <c r="X1173" s="168">
        <f>IF(ISERROR(Personalplanung!Q29/Monatsplanung!$E29*Monatsplanung!$R29),0,Personalplanung!Q29/Monatsplanung!$E29*Monatsplanung!$R29)</f>
        <v>0</v>
      </c>
      <c r="Y1173" s="168">
        <f>IF(ISERROR(Personalplanung!R29/T1277*Stundencontrolling!T1173),0,Personalplanung!R29/T1277*Stundencontrolling!T1173)</f>
        <v>0</v>
      </c>
      <c r="Z1173" s="168">
        <f>IF(ISERROR(Personalplanung!S29/Monatsplanung!$E29*Monatsplanung!$R29),0,Personalplanung!S29/Monatsplanung!$E29*Monatsplanung!$R29)</f>
        <v>0</v>
      </c>
      <c r="AA1173" s="80">
        <f t="shared" si="380"/>
        <v>0</v>
      </c>
      <c r="AB1173" s="102">
        <f t="shared" si="381"/>
        <v>0.1</v>
      </c>
      <c r="AC1173" s="103">
        <f t="shared" si="382"/>
        <v>0</v>
      </c>
      <c r="AD1173" s="103">
        <f t="shared" si="383"/>
        <v>0</v>
      </c>
      <c r="AE1173" s="81">
        <f t="shared" si="384"/>
        <v>0</v>
      </c>
      <c r="AF1173" s="539"/>
      <c r="AG1173" s="104">
        <f t="shared" si="385"/>
        <v>1</v>
      </c>
      <c r="AH1173" s="7">
        <f t="shared" si="386"/>
        <v>0</v>
      </c>
      <c r="AI1173" s="6">
        <f t="shared" si="387"/>
        <v>0</v>
      </c>
      <c r="AJ1173" s="73">
        <f t="shared" si="388"/>
        <v>0</v>
      </c>
      <c r="AK1173" s="539"/>
      <c r="AL1173" s="748"/>
      <c r="AM1173" s="748"/>
    </row>
    <row r="1174" spans="2:39" x14ac:dyDescent="0.2">
      <c r="B1174" s="101" t="str">
        <f t="shared" si="373"/>
        <v/>
      </c>
      <c r="C1174" s="168">
        <f>IF(ISERROR(Personalplanung!F30/Monatsplanung!$E30*Monatsplanung!$R30),0,Personalplanung!F30/Monatsplanung!$E30*Monatsplanung!$R30)</f>
        <v>0</v>
      </c>
      <c r="D1174" s="168">
        <f t="shared" si="374"/>
        <v>0</v>
      </c>
      <c r="E1174" s="168">
        <f>IF(ISERROR(Personalplanung!H30/Monatsplanung!$E30*Monatsplanung!$R30),0,Personalplanung!H30/Monatsplanung!$E30*Monatsplanung!$R30)</f>
        <v>0</v>
      </c>
      <c r="F1174" s="168">
        <f t="shared" si="375"/>
        <v>0</v>
      </c>
      <c r="G1174" s="168">
        <f t="shared" si="376"/>
        <v>27.700831024930746</v>
      </c>
      <c r="H1174" s="168">
        <f t="shared" si="377"/>
        <v>0</v>
      </c>
      <c r="I1174" s="168">
        <f t="shared" si="378"/>
        <v>30</v>
      </c>
      <c r="J1174" s="739"/>
      <c r="K1174" s="168">
        <f>IF(J1174&lt;&gt;"",J1174,IF(ISERROR(Personalplanung!AB30/Monatsplanung!$E30*Monatsplanung!$R30),0,Personalplanung!AB30/Monatsplanung!$E30*Monatsplanung!$R30))</f>
        <v>0</v>
      </c>
      <c r="L1174" s="740"/>
      <c r="M1174" s="739"/>
      <c r="N1174" s="168">
        <f>IF(M1174&lt;&gt;"",M1174,IF(ISERROR(Personalplanung!AC30/Monatsplanung!$E30*Monatsplanung!$R30),0,Personalplanung!AC30/Monatsplanung!$E30*Monatsplanung!$R30))</f>
        <v>0</v>
      </c>
      <c r="O1174" s="740"/>
      <c r="P1174" s="739"/>
      <c r="Q1174" s="168">
        <f>IF(P1174&lt;&gt;"",P1174,IF(ISERROR(Personalplanung!AD30/Monatsplanung!$E30*Monatsplanung!$R30),0,Personalplanung!AD30/Monatsplanung!$E30*Monatsplanung!$R30))</f>
        <v>0</v>
      </c>
      <c r="R1174" s="740"/>
      <c r="S1174" s="739"/>
      <c r="T1174" s="168">
        <f>IF(S1174&lt;&gt;"",S1174,IF(ISERROR(Personalplanung!AE30/Monatsplanung!$E30*Monatsplanung!$R30),0,Personalplanung!AE30/Monatsplanung!$E30*Monatsplanung!$R30))</f>
        <v>0</v>
      </c>
      <c r="U1174" s="740"/>
      <c r="V1174" s="168">
        <f t="shared" si="379"/>
        <v>0</v>
      </c>
      <c r="W1174" s="168">
        <f>IF(ISERROR(Personalplanung!P30/Monatsplanung!$E30*Monatsplanung!$R30),0,Personalplanung!P30/Monatsplanung!$E30*Monatsplanung!$R30)</f>
        <v>0</v>
      </c>
      <c r="X1174" s="168">
        <f>IF(ISERROR(Personalplanung!Q30/Monatsplanung!$E30*Monatsplanung!$R30),0,Personalplanung!Q30/Monatsplanung!$E30*Monatsplanung!$R30)</f>
        <v>0</v>
      </c>
      <c r="Y1174" s="168">
        <f>IF(ISERROR(Personalplanung!R30/T1278*Stundencontrolling!T1174),0,Personalplanung!R30/T1278*Stundencontrolling!T1174)</f>
        <v>0</v>
      </c>
      <c r="Z1174" s="168">
        <f>IF(ISERROR(Personalplanung!S30/Monatsplanung!$E30*Monatsplanung!$R30),0,Personalplanung!S30/Monatsplanung!$E30*Monatsplanung!$R30)</f>
        <v>0</v>
      </c>
      <c r="AA1174" s="80">
        <f t="shared" si="380"/>
        <v>0</v>
      </c>
      <c r="AB1174" s="102">
        <f t="shared" si="381"/>
        <v>0.1</v>
      </c>
      <c r="AC1174" s="103">
        <f t="shared" si="382"/>
        <v>0</v>
      </c>
      <c r="AD1174" s="103">
        <f t="shared" si="383"/>
        <v>0</v>
      </c>
      <c r="AE1174" s="81">
        <f t="shared" si="384"/>
        <v>0</v>
      </c>
      <c r="AF1174" s="539"/>
      <c r="AG1174" s="104">
        <f t="shared" si="385"/>
        <v>1</v>
      </c>
      <c r="AH1174" s="7">
        <f t="shared" si="386"/>
        <v>0</v>
      </c>
      <c r="AI1174" s="6">
        <f t="shared" si="387"/>
        <v>0</v>
      </c>
      <c r="AJ1174" s="73">
        <f t="shared" si="388"/>
        <v>0</v>
      </c>
      <c r="AK1174" s="539"/>
      <c r="AL1174" s="748"/>
      <c r="AM1174" s="748"/>
    </row>
    <row r="1175" spans="2:39" x14ac:dyDescent="0.2">
      <c r="B1175" s="101" t="str">
        <f t="shared" si="373"/>
        <v/>
      </c>
      <c r="C1175" s="168">
        <f>IF(ISERROR(Personalplanung!F31/Monatsplanung!$E31*Monatsplanung!$R31),0,Personalplanung!F31/Monatsplanung!$E31*Monatsplanung!$R31)</f>
        <v>0</v>
      </c>
      <c r="D1175" s="168">
        <f t="shared" si="374"/>
        <v>0</v>
      </c>
      <c r="E1175" s="168">
        <f>IF(ISERROR(Personalplanung!H31/Monatsplanung!$E31*Monatsplanung!$R31),0,Personalplanung!H31/Monatsplanung!$E31*Monatsplanung!$R31)</f>
        <v>0</v>
      </c>
      <c r="F1175" s="168">
        <f t="shared" si="375"/>
        <v>0</v>
      </c>
      <c r="G1175" s="168">
        <f t="shared" si="376"/>
        <v>27.700831024930746</v>
      </c>
      <c r="H1175" s="168">
        <f t="shared" si="377"/>
        <v>0</v>
      </c>
      <c r="I1175" s="168">
        <f t="shared" si="378"/>
        <v>30</v>
      </c>
      <c r="J1175" s="739"/>
      <c r="K1175" s="168">
        <f>IF(J1175&lt;&gt;"",J1175,IF(ISERROR(Personalplanung!AB31/Monatsplanung!$E31*Monatsplanung!$R31),0,Personalplanung!AB31/Monatsplanung!$E31*Monatsplanung!$R31))</f>
        <v>0</v>
      </c>
      <c r="L1175" s="740"/>
      <c r="M1175" s="739"/>
      <c r="N1175" s="168">
        <f>IF(M1175&lt;&gt;"",M1175,IF(ISERROR(Personalplanung!AC31/Monatsplanung!$E31*Monatsplanung!$R31),0,Personalplanung!AC31/Monatsplanung!$E31*Monatsplanung!$R31))</f>
        <v>0</v>
      </c>
      <c r="O1175" s="740"/>
      <c r="P1175" s="739"/>
      <c r="Q1175" s="168">
        <f>IF(P1175&lt;&gt;"",P1175,IF(ISERROR(Personalplanung!AD31/Monatsplanung!$E31*Monatsplanung!$R31),0,Personalplanung!AD31/Monatsplanung!$E31*Monatsplanung!$R31))</f>
        <v>0</v>
      </c>
      <c r="R1175" s="740"/>
      <c r="S1175" s="739"/>
      <c r="T1175" s="168">
        <f>IF(S1175&lt;&gt;"",S1175,IF(ISERROR(Personalplanung!AE31/Monatsplanung!$E31*Monatsplanung!$R31),0,Personalplanung!AE31/Monatsplanung!$E31*Monatsplanung!$R31))</f>
        <v>0</v>
      </c>
      <c r="U1175" s="740"/>
      <c r="V1175" s="168">
        <f t="shared" si="379"/>
        <v>0</v>
      </c>
      <c r="W1175" s="168">
        <f>IF(ISERROR(Personalplanung!P31/Monatsplanung!$E31*Monatsplanung!$R31),0,Personalplanung!P31/Monatsplanung!$E31*Monatsplanung!$R31)</f>
        <v>0</v>
      </c>
      <c r="X1175" s="168">
        <f>IF(ISERROR(Personalplanung!Q31/Monatsplanung!$E31*Monatsplanung!$R31),0,Personalplanung!Q31/Monatsplanung!$E31*Monatsplanung!$R31)</f>
        <v>0</v>
      </c>
      <c r="Y1175" s="168">
        <f>IF(ISERROR(Personalplanung!R31/T1279*Stundencontrolling!T1175),0,Personalplanung!R31/T1279*Stundencontrolling!T1175)</f>
        <v>0</v>
      </c>
      <c r="Z1175" s="168">
        <f>IF(ISERROR(Personalplanung!S31/Monatsplanung!$E31*Monatsplanung!$R31),0,Personalplanung!S31/Monatsplanung!$E31*Monatsplanung!$R31)</f>
        <v>0</v>
      </c>
      <c r="AA1175" s="80">
        <f t="shared" si="380"/>
        <v>0</v>
      </c>
      <c r="AB1175" s="102">
        <f t="shared" si="381"/>
        <v>0.1</v>
      </c>
      <c r="AC1175" s="103">
        <f t="shared" si="382"/>
        <v>0</v>
      </c>
      <c r="AD1175" s="103">
        <f t="shared" si="383"/>
        <v>0</v>
      </c>
      <c r="AE1175" s="81">
        <f t="shared" si="384"/>
        <v>0</v>
      </c>
      <c r="AF1175" s="539"/>
      <c r="AG1175" s="104">
        <f t="shared" si="385"/>
        <v>1</v>
      </c>
      <c r="AH1175" s="7">
        <f t="shared" si="386"/>
        <v>0</v>
      </c>
      <c r="AI1175" s="6">
        <f t="shared" si="387"/>
        <v>0</v>
      </c>
      <c r="AJ1175" s="73">
        <f t="shared" si="388"/>
        <v>0</v>
      </c>
      <c r="AK1175" s="539"/>
      <c r="AL1175" s="748"/>
      <c r="AM1175" s="748"/>
    </row>
    <row r="1176" spans="2:39" x14ac:dyDescent="0.2">
      <c r="B1176" s="101" t="str">
        <f t="shared" si="373"/>
        <v/>
      </c>
      <c r="C1176" s="168">
        <f>IF(ISERROR(Personalplanung!F32/Monatsplanung!$E32*Monatsplanung!$R32),0,Personalplanung!F32/Monatsplanung!$E32*Monatsplanung!$R32)</f>
        <v>0</v>
      </c>
      <c r="D1176" s="168">
        <f t="shared" si="374"/>
        <v>0</v>
      </c>
      <c r="E1176" s="168">
        <f>IF(ISERROR(Personalplanung!H32/Monatsplanung!$E32*Monatsplanung!$R32),0,Personalplanung!H32/Monatsplanung!$E32*Monatsplanung!$R32)</f>
        <v>0</v>
      </c>
      <c r="F1176" s="168">
        <f t="shared" si="375"/>
        <v>0</v>
      </c>
      <c r="G1176" s="168">
        <f t="shared" si="376"/>
        <v>27.700831024930746</v>
      </c>
      <c r="H1176" s="168">
        <f t="shared" si="377"/>
        <v>0</v>
      </c>
      <c r="I1176" s="168">
        <f t="shared" si="378"/>
        <v>30</v>
      </c>
      <c r="J1176" s="739"/>
      <c r="K1176" s="168">
        <f>IF(J1176&lt;&gt;"",J1176,IF(ISERROR(Personalplanung!AB32/Monatsplanung!$E32*Monatsplanung!$R32),0,Personalplanung!AB32/Monatsplanung!$E32*Monatsplanung!$R32))</f>
        <v>0</v>
      </c>
      <c r="L1176" s="740"/>
      <c r="M1176" s="739"/>
      <c r="N1176" s="168">
        <f>IF(M1176&lt;&gt;"",M1176,IF(ISERROR(Personalplanung!AC32/Monatsplanung!$E32*Monatsplanung!$R32),0,Personalplanung!AC32/Monatsplanung!$E32*Monatsplanung!$R32))</f>
        <v>0</v>
      </c>
      <c r="O1176" s="740"/>
      <c r="P1176" s="739"/>
      <c r="Q1176" s="168">
        <f>IF(P1176&lt;&gt;"",P1176,IF(ISERROR(Personalplanung!AD32/Monatsplanung!$E32*Monatsplanung!$R32),0,Personalplanung!AD32/Monatsplanung!$E32*Monatsplanung!$R32))</f>
        <v>0</v>
      </c>
      <c r="R1176" s="740"/>
      <c r="S1176" s="739"/>
      <c r="T1176" s="168">
        <f>IF(S1176&lt;&gt;"",S1176,IF(ISERROR(Personalplanung!AE32/Monatsplanung!$E32*Monatsplanung!$R32),0,Personalplanung!AE32/Monatsplanung!$E32*Monatsplanung!$R32))</f>
        <v>0</v>
      </c>
      <c r="U1176" s="740"/>
      <c r="V1176" s="168">
        <f t="shared" si="379"/>
        <v>0</v>
      </c>
      <c r="W1176" s="168">
        <f>IF(ISERROR(Personalplanung!P32/Monatsplanung!$E32*Monatsplanung!$R32),0,Personalplanung!P32/Monatsplanung!$E32*Monatsplanung!$R32)</f>
        <v>0</v>
      </c>
      <c r="X1176" s="168">
        <f>IF(ISERROR(Personalplanung!Q32/Monatsplanung!$E32*Monatsplanung!$R32),0,Personalplanung!Q32/Monatsplanung!$E32*Monatsplanung!$R32)</f>
        <v>0</v>
      </c>
      <c r="Y1176" s="168">
        <f>IF(ISERROR(Personalplanung!R32/T1280*Stundencontrolling!T1176),0,Personalplanung!R32/T1280*Stundencontrolling!T1176)</f>
        <v>0</v>
      </c>
      <c r="Z1176" s="168">
        <f>IF(ISERROR(Personalplanung!S32/Monatsplanung!$E32*Monatsplanung!$R32),0,Personalplanung!S32/Monatsplanung!$E32*Monatsplanung!$R32)</f>
        <v>0</v>
      </c>
      <c r="AA1176" s="80">
        <f t="shared" si="380"/>
        <v>0</v>
      </c>
      <c r="AB1176" s="102">
        <f t="shared" si="381"/>
        <v>0.1</v>
      </c>
      <c r="AC1176" s="103">
        <f t="shared" si="382"/>
        <v>0</v>
      </c>
      <c r="AD1176" s="103">
        <f t="shared" si="383"/>
        <v>0</v>
      </c>
      <c r="AE1176" s="81">
        <f t="shared" si="384"/>
        <v>0</v>
      </c>
      <c r="AF1176" s="539"/>
      <c r="AG1176" s="104">
        <f t="shared" si="385"/>
        <v>1</v>
      </c>
      <c r="AH1176" s="7">
        <f t="shared" si="386"/>
        <v>0</v>
      </c>
      <c r="AI1176" s="6">
        <f t="shared" si="387"/>
        <v>0</v>
      </c>
      <c r="AJ1176" s="73">
        <f t="shared" si="388"/>
        <v>0</v>
      </c>
      <c r="AK1176" s="539"/>
      <c r="AL1176" s="748"/>
      <c r="AM1176" s="748"/>
    </row>
    <row r="1177" spans="2:39" x14ac:dyDescent="0.2">
      <c r="B1177" s="101" t="str">
        <f t="shared" si="373"/>
        <v/>
      </c>
      <c r="C1177" s="168">
        <f>IF(ISERROR(Personalplanung!F33/Monatsplanung!$E33*Monatsplanung!$R33),0,Personalplanung!F33/Monatsplanung!$E33*Monatsplanung!$R33)</f>
        <v>0</v>
      </c>
      <c r="D1177" s="168">
        <f t="shared" si="374"/>
        <v>0</v>
      </c>
      <c r="E1177" s="168">
        <f>IF(ISERROR(Personalplanung!H33/Monatsplanung!$E33*Monatsplanung!$R33),0,Personalplanung!H33/Monatsplanung!$E33*Monatsplanung!$R33)</f>
        <v>0</v>
      </c>
      <c r="F1177" s="168">
        <f t="shared" si="375"/>
        <v>0</v>
      </c>
      <c r="G1177" s="168">
        <f t="shared" si="376"/>
        <v>27.700831024930746</v>
      </c>
      <c r="H1177" s="168">
        <f t="shared" si="377"/>
        <v>0</v>
      </c>
      <c r="I1177" s="168">
        <f t="shared" si="378"/>
        <v>30</v>
      </c>
      <c r="J1177" s="739"/>
      <c r="K1177" s="168">
        <f>IF(J1177&lt;&gt;"",J1177,IF(ISERROR(Personalplanung!AB33/Monatsplanung!$E33*Monatsplanung!$R33),0,Personalplanung!AB33/Monatsplanung!$E33*Monatsplanung!$R33))</f>
        <v>0</v>
      </c>
      <c r="L1177" s="740"/>
      <c r="M1177" s="739"/>
      <c r="N1177" s="168">
        <f>IF(M1177&lt;&gt;"",M1177,IF(ISERROR(Personalplanung!AC33/Monatsplanung!$E33*Monatsplanung!$R33),0,Personalplanung!AC33/Monatsplanung!$E33*Monatsplanung!$R33))</f>
        <v>0</v>
      </c>
      <c r="O1177" s="740"/>
      <c r="P1177" s="739"/>
      <c r="Q1177" s="168">
        <f>IF(P1177&lt;&gt;"",P1177,IF(ISERROR(Personalplanung!AD33/Monatsplanung!$E33*Monatsplanung!$R33),0,Personalplanung!AD33/Monatsplanung!$E33*Monatsplanung!$R33))</f>
        <v>0</v>
      </c>
      <c r="R1177" s="740"/>
      <c r="S1177" s="739"/>
      <c r="T1177" s="168">
        <f>IF(S1177&lt;&gt;"",S1177,IF(ISERROR(Personalplanung!AE33/Monatsplanung!$E33*Monatsplanung!$R33),0,Personalplanung!AE33/Monatsplanung!$E33*Monatsplanung!$R33))</f>
        <v>0</v>
      </c>
      <c r="U1177" s="740"/>
      <c r="V1177" s="168">
        <f t="shared" si="379"/>
        <v>0</v>
      </c>
      <c r="W1177" s="168">
        <f>IF(ISERROR(Personalplanung!P33/Monatsplanung!$E33*Monatsplanung!$R33),0,Personalplanung!P33/Monatsplanung!$E33*Monatsplanung!$R33)</f>
        <v>0</v>
      </c>
      <c r="X1177" s="168">
        <f>IF(ISERROR(Personalplanung!Q33/Monatsplanung!$E33*Monatsplanung!$R33),0,Personalplanung!Q33/Monatsplanung!$E33*Monatsplanung!$R33)</f>
        <v>0</v>
      </c>
      <c r="Y1177" s="168">
        <f>IF(ISERROR(Personalplanung!R33/T1281*Stundencontrolling!T1177),0,Personalplanung!R33/T1281*Stundencontrolling!T1177)</f>
        <v>0</v>
      </c>
      <c r="Z1177" s="168">
        <f>IF(ISERROR(Personalplanung!S33/Monatsplanung!$E33*Monatsplanung!$R33),0,Personalplanung!S33/Monatsplanung!$E33*Monatsplanung!$R33)</f>
        <v>0</v>
      </c>
      <c r="AA1177" s="80">
        <f t="shared" si="380"/>
        <v>0</v>
      </c>
      <c r="AB1177" s="102">
        <f t="shared" si="381"/>
        <v>0.1</v>
      </c>
      <c r="AC1177" s="103">
        <f t="shared" si="382"/>
        <v>0</v>
      </c>
      <c r="AD1177" s="103">
        <f t="shared" si="383"/>
        <v>0</v>
      </c>
      <c r="AE1177" s="81">
        <f t="shared" si="384"/>
        <v>0</v>
      </c>
      <c r="AF1177" s="539"/>
      <c r="AG1177" s="104">
        <f t="shared" si="385"/>
        <v>1</v>
      </c>
      <c r="AH1177" s="7">
        <f t="shared" si="386"/>
        <v>0</v>
      </c>
      <c r="AI1177" s="6">
        <f t="shared" si="387"/>
        <v>0</v>
      </c>
      <c r="AJ1177" s="73">
        <f t="shared" si="388"/>
        <v>0</v>
      </c>
      <c r="AK1177" s="539"/>
      <c r="AL1177" s="748"/>
      <c r="AM1177" s="748"/>
    </row>
    <row r="1178" spans="2:39" x14ac:dyDescent="0.2">
      <c r="B1178" s="101" t="str">
        <f t="shared" si="373"/>
        <v/>
      </c>
      <c r="C1178" s="168">
        <f>IF(ISERROR(Personalplanung!F34/Monatsplanung!$E34*Monatsplanung!$R34),0,Personalplanung!F34/Monatsplanung!$E34*Monatsplanung!$R34)</f>
        <v>0</v>
      </c>
      <c r="D1178" s="168">
        <f t="shared" si="374"/>
        <v>0</v>
      </c>
      <c r="E1178" s="168">
        <f>IF(ISERROR(Personalplanung!H34/Monatsplanung!$E34*Monatsplanung!$R34),0,Personalplanung!H34/Monatsplanung!$E34*Monatsplanung!$R34)</f>
        <v>0</v>
      </c>
      <c r="F1178" s="168">
        <f t="shared" si="375"/>
        <v>0</v>
      </c>
      <c r="G1178" s="168">
        <f t="shared" si="376"/>
        <v>27.700831024930746</v>
      </c>
      <c r="H1178" s="168">
        <f t="shared" si="377"/>
        <v>0</v>
      </c>
      <c r="I1178" s="168">
        <f t="shared" si="378"/>
        <v>30</v>
      </c>
      <c r="J1178" s="739"/>
      <c r="K1178" s="168">
        <f>IF(J1178&lt;&gt;"",J1178,IF(ISERROR(Personalplanung!AB34/Monatsplanung!$E34*Monatsplanung!$R34),0,Personalplanung!AB34/Monatsplanung!$E34*Monatsplanung!$R34))</f>
        <v>0</v>
      </c>
      <c r="L1178" s="740"/>
      <c r="M1178" s="739"/>
      <c r="N1178" s="168">
        <f>IF(M1178&lt;&gt;"",M1178,IF(ISERROR(Personalplanung!AC34/Monatsplanung!$E34*Monatsplanung!$R34),0,Personalplanung!AC34/Monatsplanung!$E34*Monatsplanung!$R34))</f>
        <v>0</v>
      </c>
      <c r="O1178" s="740"/>
      <c r="P1178" s="739"/>
      <c r="Q1178" s="168">
        <f>IF(P1178&lt;&gt;"",P1178,IF(ISERROR(Personalplanung!AD34/Monatsplanung!$E34*Monatsplanung!$R34),0,Personalplanung!AD34/Monatsplanung!$E34*Monatsplanung!$R34))</f>
        <v>0</v>
      </c>
      <c r="R1178" s="740"/>
      <c r="S1178" s="739"/>
      <c r="T1178" s="168">
        <f>IF(S1178&lt;&gt;"",S1178,IF(ISERROR(Personalplanung!AE34/Monatsplanung!$E34*Monatsplanung!$R34),0,Personalplanung!AE34/Monatsplanung!$E34*Monatsplanung!$R34))</f>
        <v>0</v>
      </c>
      <c r="U1178" s="740"/>
      <c r="V1178" s="168">
        <f t="shared" si="379"/>
        <v>0</v>
      </c>
      <c r="W1178" s="168">
        <f>IF(ISERROR(Personalplanung!P34/Monatsplanung!$E34*Monatsplanung!$R34),0,Personalplanung!P34/Monatsplanung!$E34*Monatsplanung!$R34)</f>
        <v>0</v>
      </c>
      <c r="X1178" s="168">
        <f>IF(ISERROR(Personalplanung!Q34/Monatsplanung!$E34*Monatsplanung!$R34),0,Personalplanung!Q34/Monatsplanung!$E34*Monatsplanung!$R34)</f>
        <v>0</v>
      </c>
      <c r="Y1178" s="168">
        <f>IF(ISERROR(Personalplanung!R34/T1282*Stundencontrolling!T1178),0,Personalplanung!R34/T1282*Stundencontrolling!T1178)</f>
        <v>0</v>
      </c>
      <c r="Z1178" s="168">
        <f>IF(ISERROR(Personalplanung!S34/Monatsplanung!$E34*Monatsplanung!$R34),0,Personalplanung!S34/Monatsplanung!$E34*Monatsplanung!$R34)</f>
        <v>0</v>
      </c>
      <c r="AA1178" s="80">
        <f t="shared" si="380"/>
        <v>0</v>
      </c>
      <c r="AB1178" s="102">
        <f t="shared" si="381"/>
        <v>0.1</v>
      </c>
      <c r="AC1178" s="103">
        <f t="shared" si="382"/>
        <v>0</v>
      </c>
      <c r="AD1178" s="103">
        <f t="shared" si="383"/>
        <v>0</v>
      </c>
      <c r="AE1178" s="81">
        <f t="shared" si="384"/>
        <v>0</v>
      </c>
      <c r="AF1178" s="539"/>
      <c r="AG1178" s="104">
        <f t="shared" si="385"/>
        <v>1</v>
      </c>
      <c r="AH1178" s="7">
        <f t="shared" si="386"/>
        <v>0</v>
      </c>
      <c r="AI1178" s="6">
        <f t="shared" si="387"/>
        <v>0</v>
      </c>
      <c r="AJ1178" s="73">
        <f t="shared" si="388"/>
        <v>0</v>
      </c>
      <c r="AK1178" s="539"/>
      <c r="AL1178" s="748"/>
      <c r="AM1178" s="748"/>
    </row>
    <row r="1179" spans="2:39" x14ac:dyDescent="0.2">
      <c r="B1179" s="101" t="str">
        <f t="shared" si="373"/>
        <v/>
      </c>
      <c r="C1179" s="168">
        <f>IF(ISERROR(Personalplanung!F35/Monatsplanung!$E35*Monatsplanung!$R35),0,Personalplanung!F35/Monatsplanung!$E35*Monatsplanung!$R35)</f>
        <v>0</v>
      </c>
      <c r="D1179" s="168">
        <f t="shared" si="374"/>
        <v>0</v>
      </c>
      <c r="E1179" s="168">
        <f>IF(ISERROR(Personalplanung!H35/Monatsplanung!$E35*Monatsplanung!$R35),0,Personalplanung!H35/Monatsplanung!$E35*Monatsplanung!$R35)</f>
        <v>0</v>
      </c>
      <c r="F1179" s="168">
        <f t="shared" si="375"/>
        <v>0</v>
      </c>
      <c r="G1179" s="168">
        <f t="shared" si="376"/>
        <v>27.700831024930746</v>
      </c>
      <c r="H1179" s="168">
        <f t="shared" si="377"/>
        <v>0</v>
      </c>
      <c r="I1179" s="168">
        <f t="shared" si="378"/>
        <v>30</v>
      </c>
      <c r="J1179" s="739"/>
      <c r="K1179" s="168">
        <f>IF(J1179&lt;&gt;"",J1179,IF(ISERROR(Personalplanung!AB35/Monatsplanung!$E35*Monatsplanung!$R35),0,Personalplanung!AB35/Monatsplanung!$E35*Monatsplanung!$R35))</f>
        <v>0</v>
      </c>
      <c r="L1179" s="740"/>
      <c r="M1179" s="739"/>
      <c r="N1179" s="168">
        <f>IF(M1179&lt;&gt;"",M1179,IF(ISERROR(Personalplanung!AC35/Monatsplanung!$E35*Monatsplanung!$R35),0,Personalplanung!AC35/Monatsplanung!$E35*Monatsplanung!$R35))</f>
        <v>0</v>
      </c>
      <c r="O1179" s="740"/>
      <c r="P1179" s="739"/>
      <c r="Q1179" s="168">
        <f>IF(P1179&lt;&gt;"",P1179,IF(ISERROR(Personalplanung!AD35/Monatsplanung!$E35*Monatsplanung!$R35),0,Personalplanung!AD35/Monatsplanung!$E35*Monatsplanung!$R35))</f>
        <v>0</v>
      </c>
      <c r="R1179" s="740"/>
      <c r="S1179" s="739"/>
      <c r="T1179" s="168">
        <f>IF(S1179&lt;&gt;"",S1179,IF(ISERROR(Personalplanung!AE35/Monatsplanung!$E35*Monatsplanung!$R35),0,Personalplanung!AE35/Monatsplanung!$E35*Monatsplanung!$R35))</f>
        <v>0</v>
      </c>
      <c r="U1179" s="740"/>
      <c r="V1179" s="168">
        <f t="shared" si="379"/>
        <v>0</v>
      </c>
      <c r="W1179" s="168">
        <f>IF(ISERROR(Personalplanung!P35/Monatsplanung!$E35*Monatsplanung!$R35),0,Personalplanung!P35/Monatsplanung!$E35*Monatsplanung!$R35)</f>
        <v>0</v>
      </c>
      <c r="X1179" s="168">
        <f>IF(ISERROR(Personalplanung!Q35/Monatsplanung!$E35*Monatsplanung!$R35),0,Personalplanung!Q35/Monatsplanung!$E35*Monatsplanung!$R35)</f>
        <v>0</v>
      </c>
      <c r="Y1179" s="168">
        <f>IF(ISERROR(Personalplanung!R35/T1283*Stundencontrolling!T1179),0,Personalplanung!R35/T1283*Stundencontrolling!T1179)</f>
        <v>0</v>
      </c>
      <c r="Z1179" s="168">
        <f>IF(ISERROR(Personalplanung!S35/Monatsplanung!$E35*Monatsplanung!$R35),0,Personalplanung!S35/Monatsplanung!$E35*Monatsplanung!$R35)</f>
        <v>0</v>
      </c>
      <c r="AA1179" s="80">
        <f t="shared" si="380"/>
        <v>0</v>
      </c>
      <c r="AB1179" s="102">
        <f t="shared" si="381"/>
        <v>0.1</v>
      </c>
      <c r="AC1179" s="103">
        <f t="shared" si="382"/>
        <v>0</v>
      </c>
      <c r="AD1179" s="103">
        <f t="shared" si="383"/>
        <v>0</v>
      </c>
      <c r="AE1179" s="81">
        <f t="shared" si="384"/>
        <v>0</v>
      </c>
      <c r="AF1179" s="539"/>
      <c r="AG1179" s="104">
        <f t="shared" si="385"/>
        <v>1</v>
      </c>
      <c r="AH1179" s="7">
        <f t="shared" si="386"/>
        <v>0</v>
      </c>
      <c r="AI1179" s="6">
        <f t="shared" si="387"/>
        <v>0</v>
      </c>
      <c r="AJ1179" s="73">
        <f t="shared" si="388"/>
        <v>0</v>
      </c>
      <c r="AK1179" s="539"/>
      <c r="AL1179" s="748"/>
      <c r="AM1179" s="748"/>
    </row>
    <row r="1180" spans="2:39" x14ac:dyDescent="0.2">
      <c r="B1180" s="101" t="str">
        <f t="shared" si="373"/>
        <v/>
      </c>
      <c r="C1180" s="168">
        <f>IF(ISERROR(Personalplanung!F36/Monatsplanung!$E36*Monatsplanung!$R36),0,Personalplanung!F36/Monatsplanung!$E36*Monatsplanung!$R36)</f>
        <v>0</v>
      </c>
      <c r="D1180" s="168">
        <f t="shared" si="374"/>
        <v>0</v>
      </c>
      <c r="E1180" s="168">
        <f>IF(ISERROR(Personalplanung!H36/Monatsplanung!$E36*Monatsplanung!$R36),0,Personalplanung!H36/Monatsplanung!$E36*Monatsplanung!$R36)</f>
        <v>0</v>
      </c>
      <c r="F1180" s="168">
        <f t="shared" si="375"/>
        <v>0</v>
      </c>
      <c r="G1180" s="168">
        <f t="shared" si="376"/>
        <v>27.700831024930746</v>
      </c>
      <c r="H1180" s="168">
        <f t="shared" si="377"/>
        <v>0</v>
      </c>
      <c r="I1180" s="168">
        <f t="shared" si="378"/>
        <v>30</v>
      </c>
      <c r="J1180" s="739"/>
      <c r="K1180" s="168">
        <f>IF(J1180&lt;&gt;"",J1180,IF(ISERROR(Personalplanung!AB36/Monatsplanung!$E36*Monatsplanung!$R36),0,Personalplanung!AB36/Monatsplanung!$E36*Monatsplanung!$R36))</f>
        <v>0</v>
      </c>
      <c r="L1180" s="740"/>
      <c r="M1180" s="739"/>
      <c r="N1180" s="168">
        <f>IF(M1180&lt;&gt;"",M1180,IF(ISERROR(Personalplanung!AC36/Monatsplanung!$E36*Monatsplanung!$R36),0,Personalplanung!AC36/Monatsplanung!$E36*Monatsplanung!$R36))</f>
        <v>0</v>
      </c>
      <c r="O1180" s="740"/>
      <c r="P1180" s="739"/>
      <c r="Q1180" s="168">
        <f>IF(P1180&lt;&gt;"",P1180,IF(ISERROR(Personalplanung!AD36/Monatsplanung!$E36*Monatsplanung!$R36),0,Personalplanung!AD36/Monatsplanung!$E36*Monatsplanung!$R36))</f>
        <v>0</v>
      </c>
      <c r="R1180" s="740"/>
      <c r="S1180" s="739"/>
      <c r="T1180" s="168">
        <f>IF(S1180&lt;&gt;"",S1180,IF(ISERROR(Personalplanung!AE36/Monatsplanung!$E36*Monatsplanung!$R36),0,Personalplanung!AE36/Monatsplanung!$E36*Monatsplanung!$R36))</f>
        <v>0</v>
      </c>
      <c r="U1180" s="740"/>
      <c r="V1180" s="168">
        <f t="shared" si="379"/>
        <v>0</v>
      </c>
      <c r="W1180" s="168">
        <f>IF(ISERROR(Personalplanung!P36/Monatsplanung!$E36*Monatsplanung!$R36),0,Personalplanung!P36/Monatsplanung!$E36*Monatsplanung!$R36)</f>
        <v>0</v>
      </c>
      <c r="X1180" s="168">
        <f>IF(ISERROR(Personalplanung!Q36/Monatsplanung!$E36*Monatsplanung!$R36),0,Personalplanung!Q36/Monatsplanung!$E36*Monatsplanung!$R36)</f>
        <v>0</v>
      </c>
      <c r="Y1180" s="168">
        <f>IF(ISERROR(Personalplanung!R36/T1284*Stundencontrolling!T1180),0,Personalplanung!R36/T1284*Stundencontrolling!T1180)</f>
        <v>0</v>
      </c>
      <c r="Z1180" s="168">
        <f>IF(ISERROR(Personalplanung!S36/Monatsplanung!$E36*Monatsplanung!$R36),0,Personalplanung!S36/Monatsplanung!$E36*Monatsplanung!$R36)</f>
        <v>0</v>
      </c>
      <c r="AA1180" s="80">
        <f t="shared" si="380"/>
        <v>0</v>
      </c>
      <c r="AB1180" s="102">
        <f t="shared" si="381"/>
        <v>0.1</v>
      </c>
      <c r="AC1180" s="103">
        <f t="shared" si="382"/>
        <v>0</v>
      </c>
      <c r="AD1180" s="103">
        <f t="shared" si="383"/>
        <v>0</v>
      </c>
      <c r="AE1180" s="81">
        <f t="shared" si="384"/>
        <v>0</v>
      </c>
      <c r="AF1180" s="539"/>
      <c r="AG1180" s="104">
        <f t="shared" si="385"/>
        <v>1</v>
      </c>
      <c r="AH1180" s="7">
        <f t="shared" si="386"/>
        <v>0</v>
      </c>
      <c r="AI1180" s="6">
        <f t="shared" si="387"/>
        <v>0</v>
      </c>
      <c r="AJ1180" s="73">
        <f t="shared" si="388"/>
        <v>0</v>
      </c>
      <c r="AK1180" s="539"/>
      <c r="AL1180" s="748"/>
      <c r="AM1180" s="748"/>
    </row>
    <row r="1181" spans="2:39" x14ac:dyDescent="0.2">
      <c r="B1181" s="101" t="str">
        <f t="shared" si="373"/>
        <v/>
      </c>
      <c r="C1181" s="168">
        <f>IF(ISERROR(Personalplanung!F37/Monatsplanung!$E37*Monatsplanung!$R37),0,Personalplanung!F37/Monatsplanung!$E37*Monatsplanung!$R37)</f>
        <v>0</v>
      </c>
      <c r="D1181" s="168">
        <f t="shared" si="374"/>
        <v>0</v>
      </c>
      <c r="E1181" s="168">
        <f>IF(ISERROR(Personalplanung!H37/Monatsplanung!$E37*Monatsplanung!$R37),0,Personalplanung!H37/Monatsplanung!$E37*Monatsplanung!$R37)</f>
        <v>0</v>
      </c>
      <c r="F1181" s="168">
        <f t="shared" si="375"/>
        <v>0</v>
      </c>
      <c r="G1181" s="168">
        <f t="shared" si="376"/>
        <v>27.700831024930746</v>
      </c>
      <c r="H1181" s="168">
        <f t="shared" si="377"/>
        <v>0</v>
      </c>
      <c r="I1181" s="168">
        <f t="shared" si="378"/>
        <v>30</v>
      </c>
      <c r="J1181" s="739"/>
      <c r="K1181" s="168">
        <f>IF(J1181&lt;&gt;"",J1181,IF(ISERROR(Personalplanung!AB37/Monatsplanung!$E37*Monatsplanung!$R37),0,Personalplanung!AB37/Monatsplanung!$E37*Monatsplanung!$R37))</f>
        <v>0</v>
      </c>
      <c r="L1181" s="740"/>
      <c r="M1181" s="739"/>
      <c r="N1181" s="168">
        <f>IF(M1181&lt;&gt;"",M1181,IF(ISERROR(Personalplanung!AC37/Monatsplanung!$E37*Monatsplanung!$R37),0,Personalplanung!AC37/Monatsplanung!$E37*Monatsplanung!$R37))</f>
        <v>0</v>
      </c>
      <c r="O1181" s="740"/>
      <c r="P1181" s="739"/>
      <c r="Q1181" s="168">
        <f>IF(P1181&lt;&gt;"",P1181,IF(ISERROR(Personalplanung!AD37/Monatsplanung!$E37*Monatsplanung!$R37),0,Personalplanung!AD37/Monatsplanung!$E37*Monatsplanung!$R37))</f>
        <v>0</v>
      </c>
      <c r="R1181" s="740"/>
      <c r="S1181" s="739"/>
      <c r="T1181" s="168">
        <f>IF(S1181&lt;&gt;"",S1181,IF(ISERROR(Personalplanung!AE37/Monatsplanung!$E37*Monatsplanung!$R37),0,Personalplanung!AE37/Monatsplanung!$E37*Monatsplanung!$R37))</f>
        <v>0</v>
      </c>
      <c r="U1181" s="740"/>
      <c r="V1181" s="168">
        <f t="shared" si="379"/>
        <v>0</v>
      </c>
      <c r="W1181" s="168">
        <f>IF(ISERROR(Personalplanung!P37/Monatsplanung!$E37*Monatsplanung!$R37),0,Personalplanung!P37/Monatsplanung!$E37*Monatsplanung!$R37)</f>
        <v>0</v>
      </c>
      <c r="X1181" s="168">
        <f>IF(ISERROR(Personalplanung!Q37/Monatsplanung!$E37*Monatsplanung!$R37),0,Personalplanung!Q37/Monatsplanung!$E37*Monatsplanung!$R37)</f>
        <v>0</v>
      </c>
      <c r="Y1181" s="168">
        <f>IF(ISERROR(Personalplanung!R37/T1285*Stundencontrolling!T1181),0,Personalplanung!R37/T1285*Stundencontrolling!T1181)</f>
        <v>0</v>
      </c>
      <c r="Z1181" s="168">
        <f>IF(ISERROR(Personalplanung!S37/Monatsplanung!$E37*Monatsplanung!$R37),0,Personalplanung!S37/Monatsplanung!$E37*Monatsplanung!$R37)</f>
        <v>0</v>
      </c>
      <c r="AA1181" s="80">
        <f t="shared" si="380"/>
        <v>0</v>
      </c>
      <c r="AB1181" s="102">
        <f t="shared" si="381"/>
        <v>0.1</v>
      </c>
      <c r="AC1181" s="103">
        <f t="shared" si="382"/>
        <v>0</v>
      </c>
      <c r="AD1181" s="103">
        <f t="shared" si="383"/>
        <v>0</v>
      </c>
      <c r="AE1181" s="81">
        <f t="shared" si="384"/>
        <v>0</v>
      </c>
      <c r="AF1181" s="539"/>
      <c r="AG1181" s="104">
        <f t="shared" si="385"/>
        <v>1</v>
      </c>
      <c r="AH1181" s="7">
        <f t="shared" si="386"/>
        <v>0</v>
      </c>
      <c r="AI1181" s="6">
        <f t="shared" si="387"/>
        <v>0</v>
      </c>
      <c r="AJ1181" s="73">
        <f t="shared" si="388"/>
        <v>0</v>
      </c>
      <c r="AK1181" s="539"/>
      <c r="AL1181" s="748"/>
      <c r="AM1181" s="748"/>
    </row>
    <row r="1182" spans="2:39" x14ac:dyDescent="0.2">
      <c r="B1182" s="101" t="str">
        <f t="shared" si="373"/>
        <v/>
      </c>
      <c r="C1182" s="168">
        <f>IF(ISERROR(Personalplanung!F38/Monatsplanung!$E38*Monatsplanung!$R38),0,Personalplanung!F38/Monatsplanung!$E38*Monatsplanung!$R38)</f>
        <v>0</v>
      </c>
      <c r="D1182" s="168">
        <f t="shared" si="374"/>
        <v>0</v>
      </c>
      <c r="E1182" s="168">
        <f>IF(ISERROR(Personalplanung!H38/Monatsplanung!$E38*Monatsplanung!$R38),0,Personalplanung!H38/Monatsplanung!$E38*Monatsplanung!$R38)</f>
        <v>0</v>
      </c>
      <c r="F1182" s="168">
        <f t="shared" si="375"/>
        <v>0</v>
      </c>
      <c r="G1182" s="168">
        <f t="shared" si="376"/>
        <v>27.700831024930746</v>
      </c>
      <c r="H1182" s="168">
        <f t="shared" si="377"/>
        <v>0</v>
      </c>
      <c r="I1182" s="168">
        <f t="shared" si="378"/>
        <v>30</v>
      </c>
      <c r="J1182" s="739"/>
      <c r="K1182" s="168">
        <f>IF(J1182&lt;&gt;"",J1182,IF(ISERROR(Personalplanung!AB38/Monatsplanung!$E38*Monatsplanung!$R38),0,Personalplanung!AB38/Monatsplanung!$E38*Monatsplanung!$R38))</f>
        <v>0</v>
      </c>
      <c r="L1182" s="740"/>
      <c r="M1182" s="739"/>
      <c r="N1182" s="168">
        <f>IF(M1182&lt;&gt;"",M1182,IF(ISERROR(Personalplanung!AC38/Monatsplanung!$E38*Monatsplanung!$R38),0,Personalplanung!AC38/Monatsplanung!$E38*Monatsplanung!$R38))</f>
        <v>0</v>
      </c>
      <c r="O1182" s="740"/>
      <c r="P1182" s="739"/>
      <c r="Q1182" s="168">
        <f>IF(P1182&lt;&gt;"",P1182,IF(ISERROR(Personalplanung!AD38/Monatsplanung!$E38*Monatsplanung!$R38),0,Personalplanung!AD38/Monatsplanung!$E38*Monatsplanung!$R38))</f>
        <v>0</v>
      </c>
      <c r="R1182" s="740"/>
      <c r="S1182" s="739"/>
      <c r="T1182" s="168">
        <f>IF(S1182&lt;&gt;"",S1182,IF(ISERROR(Personalplanung!AE38/Monatsplanung!$E38*Monatsplanung!$R38),0,Personalplanung!AE38/Monatsplanung!$E38*Monatsplanung!$R38))</f>
        <v>0</v>
      </c>
      <c r="U1182" s="740"/>
      <c r="V1182" s="168">
        <f t="shared" si="379"/>
        <v>0</v>
      </c>
      <c r="W1182" s="168">
        <f>IF(ISERROR(Personalplanung!P38/Monatsplanung!$E38*Monatsplanung!$R38),0,Personalplanung!P38/Monatsplanung!$E38*Monatsplanung!$R38)</f>
        <v>0</v>
      </c>
      <c r="X1182" s="168">
        <f>IF(ISERROR(Personalplanung!Q38/Monatsplanung!$E38*Monatsplanung!$R38),0,Personalplanung!Q38/Monatsplanung!$E38*Monatsplanung!$R38)</f>
        <v>0</v>
      </c>
      <c r="Y1182" s="168">
        <f>IF(ISERROR(Personalplanung!R38/T1286*Stundencontrolling!T1182),0,Personalplanung!R38/T1286*Stundencontrolling!T1182)</f>
        <v>0</v>
      </c>
      <c r="Z1182" s="168">
        <f>IF(ISERROR(Personalplanung!S38/Monatsplanung!$E38*Monatsplanung!$R38),0,Personalplanung!S38/Monatsplanung!$E38*Monatsplanung!$R38)</f>
        <v>0</v>
      </c>
      <c r="AA1182" s="80">
        <f t="shared" si="380"/>
        <v>0</v>
      </c>
      <c r="AB1182" s="102">
        <f t="shared" si="381"/>
        <v>0.1</v>
      </c>
      <c r="AC1182" s="103">
        <f t="shared" si="382"/>
        <v>0</v>
      </c>
      <c r="AD1182" s="103">
        <f t="shared" si="383"/>
        <v>0</v>
      </c>
      <c r="AE1182" s="81">
        <f t="shared" si="384"/>
        <v>0</v>
      </c>
      <c r="AF1182" s="539"/>
      <c r="AG1182" s="104">
        <f t="shared" si="385"/>
        <v>1</v>
      </c>
      <c r="AH1182" s="7">
        <f t="shared" si="386"/>
        <v>0</v>
      </c>
      <c r="AI1182" s="6">
        <f t="shared" si="387"/>
        <v>0</v>
      </c>
      <c r="AJ1182" s="73">
        <f t="shared" si="388"/>
        <v>0</v>
      </c>
      <c r="AK1182" s="539"/>
      <c r="AL1182" s="748"/>
      <c r="AM1182" s="748"/>
    </row>
    <row r="1183" spans="2:39" x14ac:dyDescent="0.2">
      <c r="B1183" s="101" t="str">
        <f t="shared" si="373"/>
        <v/>
      </c>
      <c r="C1183" s="168">
        <f>IF(ISERROR(Personalplanung!F39/Monatsplanung!$E39*Monatsplanung!$R39),0,Personalplanung!F39/Monatsplanung!$E39*Monatsplanung!$R39)</f>
        <v>0</v>
      </c>
      <c r="D1183" s="168">
        <f t="shared" si="374"/>
        <v>0</v>
      </c>
      <c r="E1183" s="168">
        <f>IF(ISERROR(Personalplanung!H39/Monatsplanung!$E39*Monatsplanung!$R39),0,Personalplanung!H39/Monatsplanung!$E39*Monatsplanung!$R39)</f>
        <v>0</v>
      </c>
      <c r="F1183" s="168">
        <f t="shared" si="375"/>
        <v>0</v>
      </c>
      <c r="G1183" s="168">
        <f t="shared" si="376"/>
        <v>27.700831024930746</v>
      </c>
      <c r="H1183" s="168">
        <f t="shared" si="377"/>
        <v>0</v>
      </c>
      <c r="I1183" s="168">
        <f t="shared" si="378"/>
        <v>30</v>
      </c>
      <c r="J1183" s="739"/>
      <c r="K1183" s="168">
        <f>IF(J1183&lt;&gt;"",J1183,IF(ISERROR(Personalplanung!AB39/Monatsplanung!$E39*Monatsplanung!$R39),0,Personalplanung!AB39/Monatsplanung!$E39*Monatsplanung!$R39))</f>
        <v>0</v>
      </c>
      <c r="L1183" s="740"/>
      <c r="M1183" s="739"/>
      <c r="N1183" s="168">
        <f>IF(M1183&lt;&gt;"",M1183,IF(ISERROR(Personalplanung!AC39/Monatsplanung!$E39*Monatsplanung!$R39),0,Personalplanung!AC39/Monatsplanung!$E39*Monatsplanung!$R39))</f>
        <v>0</v>
      </c>
      <c r="O1183" s="740"/>
      <c r="P1183" s="739"/>
      <c r="Q1183" s="168">
        <f>IF(P1183&lt;&gt;"",P1183,IF(ISERROR(Personalplanung!AD39/Monatsplanung!$E39*Monatsplanung!$R39),0,Personalplanung!AD39/Monatsplanung!$E39*Monatsplanung!$R39))</f>
        <v>0</v>
      </c>
      <c r="R1183" s="740"/>
      <c r="S1183" s="739"/>
      <c r="T1183" s="168">
        <f>IF(S1183&lt;&gt;"",S1183,IF(ISERROR(Personalplanung!AE39/Monatsplanung!$E39*Monatsplanung!$R39),0,Personalplanung!AE39/Monatsplanung!$E39*Monatsplanung!$R39))</f>
        <v>0</v>
      </c>
      <c r="U1183" s="740"/>
      <c r="V1183" s="168">
        <f t="shared" si="379"/>
        <v>0</v>
      </c>
      <c r="W1183" s="168">
        <f>IF(ISERROR(Personalplanung!P39/Monatsplanung!$E39*Monatsplanung!$R39),0,Personalplanung!P39/Monatsplanung!$E39*Monatsplanung!$R39)</f>
        <v>0</v>
      </c>
      <c r="X1183" s="168">
        <f>IF(ISERROR(Personalplanung!Q39/Monatsplanung!$E39*Monatsplanung!$R39),0,Personalplanung!Q39/Monatsplanung!$E39*Monatsplanung!$R39)</f>
        <v>0</v>
      </c>
      <c r="Y1183" s="168">
        <f>IF(ISERROR(Personalplanung!R39/T1287*Stundencontrolling!T1183),0,Personalplanung!R39/T1287*Stundencontrolling!T1183)</f>
        <v>0</v>
      </c>
      <c r="Z1183" s="168">
        <f>IF(ISERROR(Personalplanung!S39/Monatsplanung!$E39*Monatsplanung!$R39),0,Personalplanung!S39/Monatsplanung!$E39*Monatsplanung!$R39)</f>
        <v>0</v>
      </c>
      <c r="AA1183" s="80">
        <f t="shared" si="380"/>
        <v>0</v>
      </c>
      <c r="AB1183" s="102">
        <f t="shared" si="381"/>
        <v>0.1</v>
      </c>
      <c r="AC1183" s="103">
        <f t="shared" si="382"/>
        <v>0</v>
      </c>
      <c r="AD1183" s="103">
        <f t="shared" si="383"/>
        <v>0</v>
      </c>
      <c r="AE1183" s="81">
        <f t="shared" si="384"/>
        <v>0</v>
      </c>
      <c r="AF1183" s="539"/>
      <c r="AG1183" s="104">
        <f t="shared" si="385"/>
        <v>1</v>
      </c>
      <c r="AH1183" s="7">
        <f t="shared" si="386"/>
        <v>0</v>
      </c>
      <c r="AI1183" s="6">
        <f t="shared" si="387"/>
        <v>0</v>
      </c>
      <c r="AJ1183" s="73">
        <f t="shared" si="388"/>
        <v>0</v>
      </c>
      <c r="AK1183" s="539"/>
      <c r="AL1183" s="748"/>
      <c r="AM1183" s="748"/>
    </row>
    <row r="1184" spans="2:39" x14ac:dyDescent="0.2">
      <c r="B1184" s="101" t="str">
        <f t="shared" si="373"/>
        <v/>
      </c>
      <c r="C1184" s="168">
        <f>IF(ISERROR(Personalplanung!F40/Monatsplanung!$E40*Monatsplanung!$R40),0,Personalplanung!F40/Monatsplanung!$E40*Monatsplanung!$R40)</f>
        <v>0</v>
      </c>
      <c r="D1184" s="168">
        <f t="shared" si="374"/>
        <v>0</v>
      </c>
      <c r="E1184" s="168">
        <f>IF(ISERROR(Personalplanung!H40/Monatsplanung!$E40*Monatsplanung!$R40),0,Personalplanung!H40/Monatsplanung!$E40*Monatsplanung!$R40)</f>
        <v>0</v>
      </c>
      <c r="F1184" s="168">
        <f t="shared" si="375"/>
        <v>0</v>
      </c>
      <c r="G1184" s="168">
        <f t="shared" si="376"/>
        <v>27.700831024930746</v>
      </c>
      <c r="H1184" s="168">
        <f t="shared" si="377"/>
        <v>0</v>
      </c>
      <c r="I1184" s="168">
        <f t="shared" si="378"/>
        <v>30</v>
      </c>
      <c r="J1184" s="739"/>
      <c r="K1184" s="168">
        <f>IF(J1184&lt;&gt;"",J1184,IF(ISERROR(Personalplanung!AB40/Monatsplanung!$E40*Monatsplanung!$R40),0,Personalplanung!AB40/Monatsplanung!$E40*Monatsplanung!$R40))</f>
        <v>0</v>
      </c>
      <c r="L1184" s="740"/>
      <c r="M1184" s="739"/>
      <c r="N1184" s="168">
        <f>IF(M1184&lt;&gt;"",M1184,IF(ISERROR(Personalplanung!AC40/Monatsplanung!$E40*Monatsplanung!$R40),0,Personalplanung!AC40/Monatsplanung!$E40*Monatsplanung!$R40))</f>
        <v>0</v>
      </c>
      <c r="O1184" s="740"/>
      <c r="P1184" s="739"/>
      <c r="Q1184" s="168">
        <f>IF(P1184&lt;&gt;"",P1184,IF(ISERROR(Personalplanung!AD40/Monatsplanung!$E40*Monatsplanung!$R40),0,Personalplanung!AD40/Monatsplanung!$E40*Monatsplanung!$R40))</f>
        <v>0</v>
      </c>
      <c r="R1184" s="740"/>
      <c r="S1184" s="739"/>
      <c r="T1184" s="168">
        <f>IF(S1184&lt;&gt;"",S1184,IF(ISERROR(Personalplanung!AE40/Monatsplanung!$E40*Monatsplanung!$R40),0,Personalplanung!AE40/Monatsplanung!$E40*Monatsplanung!$R40))</f>
        <v>0</v>
      </c>
      <c r="U1184" s="740"/>
      <c r="V1184" s="168">
        <f t="shared" si="379"/>
        <v>0</v>
      </c>
      <c r="W1184" s="168">
        <f>IF(ISERROR(Personalplanung!P40/Monatsplanung!$E40*Monatsplanung!$R40),0,Personalplanung!P40/Monatsplanung!$E40*Monatsplanung!$R40)</f>
        <v>0</v>
      </c>
      <c r="X1184" s="168">
        <f>IF(ISERROR(Personalplanung!Q40/Monatsplanung!$E40*Monatsplanung!$R40),0,Personalplanung!Q40/Monatsplanung!$E40*Monatsplanung!$R40)</f>
        <v>0</v>
      </c>
      <c r="Y1184" s="168">
        <f>IF(ISERROR(Personalplanung!R40/T1288*Stundencontrolling!T1184),0,Personalplanung!R40/T1288*Stundencontrolling!T1184)</f>
        <v>0</v>
      </c>
      <c r="Z1184" s="168">
        <f>IF(ISERROR(Personalplanung!S40/Monatsplanung!$E40*Monatsplanung!$R40),0,Personalplanung!S40/Monatsplanung!$E40*Monatsplanung!$R40)</f>
        <v>0</v>
      </c>
      <c r="AA1184" s="80">
        <f t="shared" si="380"/>
        <v>0</v>
      </c>
      <c r="AB1184" s="102">
        <f t="shared" si="381"/>
        <v>0.1</v>
      </c>
      <c r="AC1184" s="103">
        <f t="shared" si="382"/>
        <v>0</v>
      </c>
      <c r="AD1184" s="103">
        <f t="shared" si="383"/>
        <v>0</v>
      </c>
      <c r="AE1184" s="81">
        <f t="shared" si="384"/>
        <v>0</v>
      </c>
      <c r="AF1184" s="539"/>
      <c r="AG1184" s="104">
        <f t="shared" si="385"/>
        <v>1</v>
      </c>
      <c r="AH1184" s="7">
        <f t="shared" si="386"/>
        <v>0</v>
      </c>
      <c r="AI1184" s="6">
        <f t="shared" si="387"/>
        <v>0</v>
      </c>
      <c r="AJ1184" s="73">
        <f t="shared" si="388"/>
        <v>0</v>
      </c>
      <c r="AK1184" s="539"/>
      <c r="AL1184" s="748"/>
      <c r="AM1184" s="748"/>
    </row>
    <row r="1185" spans="2:39" x14ac:dyDescent="0.2">
      <c r="B1185" s="101" t="str">
        <f t="shared" si="373"/>
        <v/>
      </c>
      <c r="C1185" s="168">
        <f>IF(ISERROR(Personalplanung!F41/Monatsplanung!$E41*Monatsplanung!$R41),0,Personalplanung!F41/Monatsplanung!$E41*Monatsplanung!$R41)</f>
        <v>0</v>
      </c>
      <c r="D1185" s="168">
        <f t="shared" si="374"/>
        <v>0</v>
      </c>
      <c r="E1185" s="168">
        <f>IF(ISERROR(Personalplanung!H41/Monatsplanung!$E41*Monatsplanung!$R41),0,Personalplanung!H41/Monatsplanung!$E41*Monatsplanung!$R41)</f>
        <v>0</v>
      </c>
      <c r="F1185" s="168">
        <f t="shared" si="375"/>
        <v>0</v>
      </c>
      <c r="G1185" s="168">
        <f t="shared" si="376"/>
        <v>27.700831024930746</v>
      </c>
      <c r="H1185" s="168">
        <f t="shared" si="377"/>
        <v>0</v>
      </c>
      <c r="I1185" s="168">
        <f t="shared" si="378"/>
        <v>30</v>
      </c>
      <c r="J1185" s="739"/>
      <c r="K1185" s="168">
        <f>IF(J1185&lt;&gt;"",J1185,IF(ISERROR(Personalplanung!AB41/Monatsplanung!$E41*Monatsplanung!$R41),0,Personalplanung!AB41/Monatsplanung!$E41*Monatsplanung!$R41))</f>
        <v>0</v>
      </c>
      <c r="L1185" s="740"/>
      <c r="M1185" s="739"/>
      <c r="N1185" s="168">
        <f>IF(M1185&lt;&gt;"",M1185,IF(ISERROR(Personalplanung!AC41/Monatsplanung!$E41*Monatsplanung!$R41),0,Personalplanung!AC41/Monatsplanung!$E41*Monatsplanung!$R41))</f>
        <v>0</v>
      </c>
      <c r="O1185" s="740"/>
      <c r="P1185" s="739"/>
      <c r="Q1185" s="168">
        <f>IF(P1185&lt;&gt;"",P1185,IF(ISERROR(Personalplanung!AD41/Monatsplanung!$E41*Monatsplanung!$R41),0,Personalplanung!AD41/Monatsplanung!$E41*Monatsplanung!$R41))</f>
        <v>0</v>
      </c>
      <c r="R1185" s="740"/>
      <c r="S1185" s="739"/>
      <c r="T1185" s="168">
        <f>IF(S1185&lt;&gt;"",S1185,IF(ISERROR(Personalplanung!AE41/Monatsplanung!$E41*Monatsplanung!$R41),0,Personalplanung!AE41/Monatsplanung!$E41*Monatsplanung!$R41))</f>
        <v>0</v>
      </c>
      <c r="U1185" s="740"/>
      <c r="V1185" s="168">
        <f t="shared" si="379"/>
        <v>0</v>
      </c>
      <c r="W1185" s="168">
        <f>IF(ISERROR(Personalplanung!P41/Monatsplanung!$E41*Monatsplanung!$R41),0,Personalplanung!P41/Monatsplanung!$E41*Monatsplanung!$R41)</f>
        <v>0</v>
      </c>
      <c r="X1185" s="168">
        <f>IF(ISERROR(Personalplanung!Q41/Monatsplanung!$E41*Monatsplanung!$R41),0,Personalplanung!Q41/Monatsplanung!$E41*Monatsplanung!$R41)</f>
        <v>0</v>
      </c>
      <c r="Y1185" s="168">
        <f>IF(ISERROR(Personalplanung!R41/T1289*Stundencontrolling!T1185),0,Personalplanung!R41/T1289*Stundencontrolling!T1185)</f>
        <v>0</v>
      </c>
      <c r="Z1185" s="168">
        <f>IF(ISERROR(Personalplanung!S41/Monatsplanung!$E41*Monatsplanung!$R41),0,Personalplanung!S41/Monatsplanung!$E41*Monatsplanung!$R41)</f>
        <v>0</v>
      </c>
      <c r="AA1185" s="80">
        <f t="shared" si="380"/>
        <v>0</v>
      </c>
      <c r="AB1185" s="102">
        <f t="shared" si="381"/>
        <v>0.1</v>
      </c>
      <c r="AC1185" s="103">
        <f t="shared" si="382"/>
        <v>0</v>
      </c>
      <c r="AD1185" s="103">
        <f t="shared" si="383"/>
        <v>0</v>
      </c>
      <c r="AE1185" s="81">
        <f t="shared" si="384"/>
        <v>0</v>
      </c>
      <c r="AF1185" s="539"/>
      <c r="AG1185" s="104">
        <f t="shared" si="385"/>
        <v>1</v>
      </c>
      <c r="AH1185" s="7">
        <f t="shared" si="386"/>
        <v>0</v>
      </c>
      <c r="AI1185" s="6">
        <f t="shared" si="387"/>
        <v>0</v>
      </c>
      <c r="AJ1185" s="73">
        <f t="shared" si="388"/>
        <v>0</v>
      </c>
      <c r="AK1185" s="539"/>
      <c r="AL1185" s="748"/>
      <c r="AM1185" s="748"/>
    </row>
    <row r="1186" spans="2:39" x14ac:dyDescent="0.2">
      <c r="B1186" s="101" t="str">
        <f t="shared" si="373"/>
        <v/>
      </c>
      <c r="C1186" s="168">
        <f>IF(ISERROR(Personalplanung!F42/Monatsplanung!$E42*Monatsplanung!$R42),0,Personalplanung!F42/Monatsplanung!$E42*Monatsplanung!$R42)</f>
        <v>0</v>
      </c>
      <c r="D1186" s="168">
        <f t="shared" si="374"/>
        <v>0</v>
      </c>
      <c r="E1186" s="168">
        <f>IF(ISERROR(Personalplanung!H42/Monatsplanung!$E42*Monatsplanung!$R42),0,Personalplanung!H42/Monatsplanung!$E42*Monatsplanung!$R42)</f>
        <v>0</v>
      </c>
      <c r="F1186" s="168">
        <f t="shared" si="375"/>
        <v>0</v>
      </c>
      <c r="G1186" s="168">
        <f t="shared" si="376"/>
        <v>27.700831024930746</v>
      </c>
      <c r="H1186" s="168">
        <f t="shared" si="377"/>
        <v>0</v>
      </c>
      <c r="I1186" s="168">
        <f t="shared" si="378"/>
        <v>30</v>
      </c>
      <c r="J1186" s="739"/>
      <c r="K1186" s="168">
        <f>IF(J1186&lt;&gt;"",J1186,IF(ISERROR(Personalplanung!AB42/Monatsplanung!$E42*Monatsplanung!$R42),0,Personalplanung!AB42/Monatsplanung!$E42*Monatsplanung!$R42))</f>
        <v>0</v>
      </c>
      <c r="L1186" s="740"/>
      <c r="M1186" s="739"/>
      <c r="N1186" s="168">
        <f>IF(M1186&lt;&gt;"",M1186,IF(ISERROR(Personalplanung!AC42/Monatsplanung!$E42*Monatsplanung!$R42),0,Personalplanung!AC42/Monatsplanung!$E42*Monatsplanung!$R42))</f>
        <v>0</v>
      </c>
      <c r="O1186" s="740"/>
      <c r="P1186" s="739"/>
      <c r="Q1186" s="168">
        <f>IF(P1186&lt;&gt;"",P1186,IF(ISERROR(Personalplanung!AD42/Monatsplanung!$E42*Monatsplanung!$R42),0,Personalplanung!AD42/Monatsplanung!$E42*Monatsplanung!$R42))</f>
        <v>0</v>
      </c>
      <c r="R1186" s="740"/>
      <c r="S1186" s="739"/>
      <c r="T1186" s="168">
        <f>IF(S1186&lt;&gt;"",S1186,IF(ISERROR(Personalplanung!AE42/Monatsplanung!$E42*Monatsplanung!$R42),0,Personalplanung!AE42/Monatsplanung!$E42*Monatsplanung!$R42))</f>
        <v>0</v>
      </c>
      <c r="U1186" s="740"/>
      <c r="V1186" s="168">
        <f t="shared" si="379"/>
        <v>0</v>
      </c>
      <c r="W1186" s="168">
        <f>IF(ISERROR(Personalplanung!P42/Monatsplanung!$E42*Monatsplanung!$R42),0,Personalplanung!P42/Monatsplanung!$E42*Monatsplanung!$R42)</f>
        <v>0</v>
      </c>
      <c r="X1186" s="168">
        <f>IF(ISERROR(Personalplanung!Q42/Monatsplanung!$E42*Monatsplanung!$R42),0,Personalplanung!Q42/Monatsplanung!$E42*Monatsplanung!$R42)</f>
        <v>0</v>
      </c>
      <c r="Y1186" s="168">
        <f>IF(ISERROR(Personalplanung!R42/T1290*Stundencontrolling!T1186),0,Personalplanung!R42/T1290*Stundencontrolling!T1186)</f>
        <v>0</v>
      </c>
      <c r="Z1186" s="168">
        <f>IF(ISERROR(Personalplanung!S42/Monatsplanung!$E42*Monatsplanung!$R42),0,Personalplanung!S42/Monatsplanung!$E42*Monatsplanung!$R42)</f>
        <v>0</v>
      </c>
      <c r="AA1186" s="80">
        <f t="shared" si="380"/>
        <v>0</v>
      </c>
      <c r="AB1186" s="102">
        <f t="shared" si="381"/>
        <v>0.1</v>
      </c>
      <c r="AC1186" s="103">
        <f t="shared" si="382"/>
        <v>0</v>
      </c>
      <c r="AD1186" s="103">
        <f t="shared" si="383"/>
        <v>0</v>
      </c>
      <c r="AE1186" s="81">
        <f t="shared" si="384"/>
        <v>0</v>
      </c>
      <c r="AF1186" s="539"/>
      <c r="AG1186" s="104">
        <f t="shared" si="385"/>
        <v>1</v>
      </c>
      <c r="AH1186" s="7">
        <f t="shared" si="386"/>
        <v>0</v>
      </c>
      <c r="AI1186" s="6">
        <f t="shared" si="387"/>
        <v>0</v>
      </c>
      <c r="AJ1186" s="73">
        <f t="shared" si="388"/>
        <v>0</v>
      </c>
      <c r="AK1186" s="539"/>
      <c r="AL1186" s="748"/>
      <c r="AM1186" s="748"/>
    </row>
    <row r="1187" spans="2:39" x14ac:dyDescent="0.2">
      <c r="B1187" s="101" t="str">
        <f t="shared" si="373"/>
        <v/>
      </c>
      <c r="C1187" s="168">
        <f>IF(ISERROR(Personalplanung!F43/Monatsplanung!$E43*Monatsplanung!$R43),0,Personalplanung!F43/Monatsplanung!$E43*Monatsplanung!$R43)</f>
        <v>0</v>
      </c>
      <c r="D1187" s="168">
        <f t="shared" si="374"/>
        <v>0</v>
      </c>
      <c r="E1187" s="168">
        <f>IF(ISERROR(Personalplanung!H43/Monatsplanung!$E43*Monatsplanung!$R43),0,Personalplanung!H43/Monatsplanung!$E43*Monatsplanung!$R43)</f>
        <v>0</v>
      </c>
      <c r="F1187" s="168">
        <f t="shared" si="375"/>
        <v>0</v>
      </c>
      <c r="G1187" s="168">
        <f t="shared" si="376"/>
        <v>27.700831024930746</v>
      </c>
      <c r="H1187" s="168">
        <f t="shared" si="377"/>
        <v>0</v>
      </c>
      <c r="I1187" s="168">
        <f t="shared" si="378"/>
        <v>30</v>
      </c>
      <c r="J1187" s="739"/>
      <c r="K1187" s="168">
        <f>IF(J1187&lt;&gt;"",J1187,IF(ISERROR(Personalplanung!AB43/Monatsplanung!$E43*Monatsplanung!$R43),0,Personalplanung!AB43/Monatsplanung!$E43*Monatsplanung!$R43))</f>
        <v>0</v>
      </c>
      <c r="L1187" s="740"/>
      <c r="M1187" s="739"/>
      <c r="N1187" s="168">
        <f>IF(M1187&lt;&gt;"",M1187,IF(ISERROR(Personalplanung!AC43/Monatsplanung!$E43*Monatsplanung!$R43),0,Personalplanung!AC43/Monatsplanung!$E43*Monatsplanung!$R43))</f>
        <v>0</v>
      </c>
      <c r="O1187" s="740"/>
      <c r="P1187" s="739"/>
      <c r="Q1187" s="168">
        <f>IF(P1187&lt;&gt;"",P1187,IF(ISERROR(Personalplanung!AD43/Monatsplanung!$E43*Monatsplanung!$R43),0,Personalplanung!AD43/Monatsplanung!$E43*Monatsplanung!$R43))</f>
        <v>0</v>
      </c>
      <c r="R1187" s="740"/>
      <c r="S1187" s="739"/>
      <c r="T1187" s="168">
        <f>IF(S1187&lt;&gt;"",S1187,IF(ISERROR(Personalplanung!AE43/Monatsplanung!$E43*Monatsplanung!$R43),0,Personalplanung!AE43/Monatsplanung!$E43*Monatsplanung!$R43))</f>
        <v>0</v>
      </c>
      <c r="U1187" s="740"/>
      <c r="V1187" s="168">
        <f t="shared" si="379"/>
        <v>0</v>
      </c>
      <c r="W1187" s="168">
        <f>IF(ISERROR(Personalplanung!P43/Monatsplanung!$E43*Monatsplanung!$R43),0,Personalplanung!P43/Monatsplanung!$E43*Monatsplanung!$R43)</f>
        <v>0</v>
      </c>
      <c r="X1187" s="168">
        <f>IF(ISERROR(Personalplanung!Q43/Monatsplanung!$E43*Monatsplanung!$R43),0,Personalplanung!Q43/Monatsplanung!$E43*Monatsplanung!$R43)</f>
        <v>0</v>
      </c>
      <c r="Y1187" s="168">
        <f>IF(ISERROR(Personalplanung!R43/T1291*Stundencontrolling!T1187),0,Personalplanung!R43/T1291*Stundencontrolling!T1187)</f>
        <v>0</v>
      </c>
      <c r="Z1187" s="168">
        <f>IF(ISERROR(Personalplanung!S43/Monatsplanung!$E43*Monatsplanung!$R43),0,Personalplanung!S43/Monatsplanung!$E43*Monatsplanung!$R43)</f>
        <v>0</v>
      </c>
      <c r="AA1187" s="80">
        <f t="shared" si="380"/>
        <v>0</v>
      </c>
      <c r="AB1187" s="102">
        <f t="shared" si="381"/>
        <v>0.1</v>
      </c>
      <c r="AC1187" s="103">
        <f t="shared" si="382"/>
        <v>0</v>
      </c>
      <c r="AD1187" s="103">
        <f t="shared" si="383"/>
        <v>0</v>
      </c>
      <c r="AE1187" s="81">
        <f t="shared" si="384"/>
        <v>0</v>
      </c>
      <c r="AF1187" s="539"/>
      <c r="AG1187" s="104">
        <f t="shared" si="385"/>
        <v>1</v>
      </c>
      <c r="AH1187" s="7">
        <f t="shared" si="386"/>
        <v>0</v>
      </c>
      <c r="AI1187" s="6">
        <f t="shared" si="387"/>
        <v>0</v>
      </c>
      <c r="AJ1187" s="73">
        <f t="shared" si="388"/>
        <v>0</v>
      </c>
      <c r="AK1187" s="539"/>
      <c r="AL1187" s="748"/>
      <c r="AM1187" s="748"/>
    </row>
    <row r="1188" spans="2:39" x14ac:dyDescent="0.2">
      <c r="B1188" s="101" t="str">
        <f t="shared" si="373"/>
        <v/>
      </c>
      <c r="C1188" s="168">
        <f>IF(ISERROR(Personalplanung!F44/Monatsplanung!$E44*Monatsplanung!$R44),0,Personalplanung!F44/Monatsplanung!$E44*Monatsplanung!$R44)</f>
        <v>0</v>
      </c>
      <c r="D1188" s="168">
        <f t="shared" si="374"/>
        <v>0</v>
      </c>
      <c r="E1188" s="168">
        <f>IF(ISERROR(Personalplanung!H44/Monatsplanung!$E44*Monatsplanung!$R44),0,Personalplanung!H44/Monatsplanung!$E44*Monatsplanung!$R44)</f>
        <v>0</v>
      </c>
      <c r="F1188" s="168">
        <f t="shared" si="375"/>
        <v>0</v>
      </c>
      <c r="G1188" s="168">
        <f t="shared" si="376"/>
        <v>27.700831024930746</v>
      </c>
      <c r="H1188" s="168">
        <f t="shared" si="377"/>
        <v>0</v>
      </c>
      <c r="I1188" s="168">
        <f t="shared" si="378"/>
        <v>30</v>
      </c>
      <c r="J1188" s="739"/>
      <c r="K1188" s="168">
        <f>IF(J1188&lt;&gt;"",J1188,IF(ISERROR(Personalplanung!AB44/Monatsplanung!$E44*Monatsplanung!$R44),0,Personalplanung!AB44/Monatsplanung!$E44*Monatsplanung!$R44))</f>
        <v>0</v>
      </c>
      <c r="L1188" s="740"/>
      <c r="M1188" s="739"/>
      <c r="N1188" s="168">
        <f>IF(M1188&lt;&gt;"",M1188,IF(ISERROR(Personalplanung!AC44/Monatsplanung!$E44*Monatsplanung!$R44),0,Personalplanung!AC44/Monatsplanung!$E44*Monatsplanung!$R44))</f>
        <v>0</v>
      </c>
      <c r="O1188" s="740"/>
      <c r="P1188" s="739"/>
      <c r="Q1188" s="168">
        <f>IF(P1188&lt;&gt;"",P1188,IF(ISERROR(Personalplanung!AD44/Monatsplanung!$E44*Monatsplanung!$R44),0,Personalplanung!AD44/Monatsplanung!$E44*Monatsplanung!$R44))</f>
        <v>0</v>
      </c>
      <c r="R1188" s="740"/>
      <c r="S1188" s="739"/>
      <c r="T1188" s="168">
        <f>IF(S1188&lt;&gt;"",S1188,IF(ISERROR(Personalplanung!AE44/Monatsplanung!$E44*Monatsplanung!$R44),0,Personalplanung!AE44/Monatsplanung!$E44*Monatsplanung!$R44))</f>
        <v>0</v>
      </c>
      <c r="U1188" s="740"/>
      <c r="V1188" s="168">
        <f t="shared" si="379"/>
        <v>0</v>
      </c>
      <c r="W1188" s="168">
        <f>IF(ISERROR(Personalplanung!P44/Monatsplanung!$E44*Monatsplanung!$R44),0,Personalplanung!P44/Monatsplanung!$E44*Monatsplanung!$R44)</f>
        <v>0</v>
      </c>
      <c r="X1188" s="168">
        <f>IF(ISERROR(Personalplanung!Q44/Monatsplanung!$E44*Monatsplanung!$R44),0,Personalplanung!Q44/Monatsplanung!$E44*Monatsplanung!$R44)</f>
        <v>0</v>
      </c>
      <c r="Y1188" s="168">
        <f>IF(ISERROR(Personalplanung!R44/T1292*Stundencontrolling!T1188),0,Personalplanung!R44/T1292*Stundencontrolling!T1188)</f>
        <v>0</v>
      </c>
      <c r="Z1188" s="168">
        <f>IF(ISERROR(Personalplanung!S44/Monatsplanung!$E44*Monatsplanung!$R44),0,Personalplanung!S44/Monatsplanung!$E44*Monatsplanung!$R44)</f>
        <v>0</v>
      </c>
      <c r="AA1188" s="80">
        <f t="shared" si="380"/>
        <v>0</v>
      </c>
      <c r="AB1188" s="102">
        <f t="shared" si="381"/>
        <v>0.1</v>
      </c>
      <c r="AC1188" s="103">
        <f t="shared" si="382"/>
        <v>0</v>
      </c>
      <c r="AD1188" s="103">
        <f t="shared" si="383"/>
        <v>0</v>
      </c>
      <c r="AE1188" s="81">
        <f t="shared" si="384"/>
        <v>0</v>
      </c>
      <c r="AF1188" s="539"/>
      <c r="AG1188" s="104">
        <f t="shared" si="385"/>
        <v>1</v>
      </c>
      <c r="AH1188" s="7">
        <f t="shared" si="386"/>
        <v>0</v>
      </c>
      <c r="AI1188" s="6">
        <f t="shared" si="387"/>
        <v>0</v>
      </c>
      <c r="AJ1188" s="73">
        <f t="shared" si="388"/>
        <v>0</v>
      </c>
      <c r="AK1188" s="539"/>
      <c r="AL1188" s="748"/>
      <c r="AM1188" s="748"/>
    </row>
    <row r="1189" spans="2:39" x14ac:dyDescent="0.2">
      <c r="B1189" s="101" t="str">
        <f t="shared" si="373"/>
        <v/>
      </c>
      <c r="C1189" s="168">
        <f>IF(ISERROR(Personalplanung!F45/Monatsplanung!$E45*Monatsplanung!$R45),0,Personalplanung!F45/Monatsplanung!$E45*Monatsplanung!$R45)</f>
        <v>0</v>
      </c>
      <c r="D1189" s="168">
        <f t="shared" si="374"/>
        <v>0</v>
      </c>
      <c r="E1189" s="168">
        <f>IF(ISERROR(Personalplanung!H45/Monatsplanung!$E45*Monatsplanung!$R45),0,Personalplanung!H45/Monatsplanung!$E45*Monatsplanung!$R45)</f>
        <v>0</v>
      </c>
      <c r="F1189" s="168">
        <f t="shared" si="375"/>
        <v>0</v>
      </c>
      <c r="G1189" s="168">
        <f t="shared" si="376"/>
        <v>27.700831024930746</v>
      </c>
      <c r="H1189" s="168">
        <f t="shared" si="377"/>
        <v>0</v>
      </c>
      <c r="I1189" s="168">
        <f t="shared" si="378"/>
        <v>30</v>
      </c>
      <c r="J1189" s="739"/>
      <c r="K1189" s="168">
        <f>IF(J1189&lt;&gt;"",J1189,IF(ISERROR(Personalplanung!AB45/Monatsplanung!$E45*Monatsplanung!$R45),0,Personalplanung!AB45/Monatsplanung!$E45*Monatsplanung!$R45))</f>
        <v>0</v>
      </c>
      <c r="L1189" s="740"/>
      <c r="M1189" s="739"/>
      <c r="N1189" s="168">
        <f>IF(M1189&lt;&gt;"",M1189,IF(ISERROR(Personalplanung!AC45/Monatsplanung!$E45*Monatsplanung!$R45),0,Personalplanung!AC45/Monatsplanung!$E45*Monatsplanung!$R45))</f>
        <v>0</v>
      </c>
      <c r="O1189" s="740"/>
      <c r="P1189" s="739"/>
      <c r="Q1189" s="168">
        <f>IF(P1189&lt;&gt;"",P1189,IF(ISERROR(Personalplanung!AD45/Monatsplanung!$E45*Monatsplanung!$R45),0,Personalplanung!AD45/Monatsplanung!$E45*Monatsplanung!$R45))</f>
        <v>0</v>
      </c>
      <c r="R1189" s="740"/>
      <c r="S1189" s="739"/>
      <c r="T1189" s="168">
        <f>IF(S1189&lt;&gt;"",S1189,IF(ISERROR(Personalplanung!AE45/Monatsplanung!$E45*Monatsplanung!$R45),0,Personalplanung!AE45/Monatsplanung!$E45*Monatsplanung!$R45))</f>
        <v>0</v>
      </c>
      <c r="U1189" s="740"/>
      <c r="V1189" s="168">
        <f t="shared" si="379"/>
        <v>0</v>
      </c>
      <c r="W1189" s="168">
        <f>IF(ISERROR(Personalplanung!P45/Monatsplanung!$E45*Monatsplanung!$R45),0,Personalplanung!P45/Monatsplanung!$E45*Monatsplanung!$R45)</f>
        <v>0</v>
      </c>
      <c r="X1189" s="168">
        <f>IF(ISERROR(Personalplanung!Q45/Monatsplanung!$E45*Monatsplanung!$R45),0,Personalplanung!Q45/Monatsplanung!$E45*Monatsplanung!$R45)</f>
        <v>0</v>
      </c>
      <c r="Y1189" s="168">
        <f>IF(ISERROR(Personalplanung!R45/T1293*Stundencontrolling!T1189),0,Personalplanung!R45/T1293*Stundencontrolling!T1189)</f>
        <v>0</v>
      </c>
      <c r="Z1189" s="168">
        <f>IF(ISERROR(Personalplanung!S45/Monatsplanung!$E45*Monatsplanung!$R45),0,Personalplanung!S45/Monatsplanung!$E45*Monatsplanung!$R45)</f>
        <v>0</v>
      </c>
      <c r="AA1189" s="80">
        <f t="shared" si="380"/>
        <v>0</v>
      </c>
      <c r="AB1189" s="102">
        <f t="shared" si="381"/>
        <v>0.1</v>
      </c>
      <c r="AC1189" s="103">
        <f t="shared" si="382"/>
        <v>0</v>
      </c>
      <c r="AD1189" s="103">
        <f t="shared" si="383"/>
        <v>0</v>
      </c>
      <c r="AE1189" s="81">
        <f t="shared" si="384"/>
        <v>0</v>
      </c>
      <c r="AF1189" s="539"/>
      <c r="AG1189" s="104">
        <f t="shared" si="385"/>
        <v>1</v>
      </c>
      <c r="AH1189" s="7">
        <f t="shared" si="386"/>
        <v>0</v>
      </c>
      <c r="AI1189" s="6">
        <f t="shared" si="387"/>
        <v>0</v>
      </c>
      <c r="AJ1189" s="73">
        <f t="shared" si="388"/>
        <v>0</v>
      </c>
      <c r="AK1189" s="539"/>
      <c r="AL1189" s="748"/>
      <c r="AM1189" s="748"/>
    </row>
    <row r="1190" spans="2:39" x14ac:dyDescent="0.2">
      <c r="B1190" s="101" t="str">
        <f t="shared" si="373"/>
        <v/>
      </c>
      <c r="C1190" s="168">
        <f>IF(ISERROR(Personalplanung!F46/Monatsplanung!$E46*Monatsplanung!$R46),0,Personalplanung!F46/Monatsplanung!$E46*Monatsplanung!$R46)</f>
        <v>0</v>
      </c>
      <c r="D1190" s="168">
        <f t="shared" si="374"/>
        <v>0</v>
      </c>
      <c r="E1190" s="168">
        <f>IF(ISERROR(Personalplanung!H46/Monatsplanung!$E46*Monatsplanung!$R46),0,Personalplanung!H46/Monatsplanung!$E46*Monatsplanung!$R46)</f>
        <v>0</v>
      </c>
      <c r="F1190" s="168">
        <f t="shared" si="375"/>
        <v>0</v>
      </c>
      <c r="G1190" s="168">
        <f t="shared" si="376"/>
        <v>27.700831024930746</v>
      </c>
      <c r="H1190" s="168">
        <f t="shared" si="377"/>
        <v>0</v>
      </c>
      <c r="I1190" s="168">
        <f t="shared" si="378"/>
        <v>30</v>
      </c>
      <c r="J1190" s="739"/>
      <c r="K1190" s="168">
        <f>IF(J1190&lt;&gt;"",J1190,IF(ISERROR(Personalplanung!AB46/Monatsplanung!$E46*Monatsplanung!$R46),0,Personalplanung!AB46/Monatsplanung!$E46*Monatsplanung!$R46))</f>
        <v>0</v>
      </c>
      <c r="L1190" s="740"/>
      <c r="M1190" s="739"/>
      <c r="N1190" s="168">
        <f>IF(M1190&lt;&gt;"",M1190,IF(ISERROR(Personalplanung!AC46/Monatsplanung!$E46*Monatsplanung!$R46),0,Personalplanung!AC46/Monatsplanung!$E46*Monatsplanung!$R46))</f>
        <v>0</v>
      </c>
      <c r="O1190" s="740"/>
      <c r="P1190" s="739"/>
      <c r="Q1190" s="168">
        <f>IF(P1190&lt;&gt;"",P1190,IF(ISERROR(Personalplanung!AD46/Monatsplanung!$E46*Monatsplanung!$R46),0,Personalplanung!AD46/Monatsplanung!$E46*Monatsplanung!$R46))</f>
        <v>0</v>
      </c>
      <c r="R1190" s="740"/>
      <c r="S1190" s="739"/>
      <c r="T1190" s="168">
        <f>IF(S1190&lt;&gt;"",S1190,IF(ISERROR(Personalplanung!AE46/Monatsplanung!$E46*Monatsplanung!$R46),0,Personalplanung!AE46/Monatsplanung!$E46*Monatsplanung!$R46))</f>
        <v>0</v>
      </c>
      <c r="U1190" s="740"/>
      <c r="V1190" s="168">
        <f t="shared" si="379"/>
        <v>0</v>
      </c>
      <c r="W1190" s="168">
        <f>IF(ISERROR(Personalplanung!P46/Monatsplanung!$E46*Monatsplanung!$R46),0,Personalplanung!P46/Monatsplanung!$E46*Monatsplanung!$R46)</f>
        <v>0</v>
      </c>
      <c r="X1190" s="168">
        <f>IF(ISERROR(Personalplanung!Q46/Monatsplanung!$E46*Monatsplanung!$R46),0,Personalplanung!Q46/Monatsplanung!$E46*Monatsplanung!$R46)</f>
        <v>0</v>
      </c>
      <c r="Y1190" s="168">
        <f>IF(ISERROR(Personalplanung!R46/T1294*Stundencontrolling!T1190),0,Personalplanung!R46/T1294*Stundencontrolling!T1190)</f>
        <v>0</v>
      </c>
      <c r="Z1190" s="168">
        <f>IF(ISERROR(Personalplanung!S46/Monatsplanung!$E46*Monatsplanung!$R46),0,Personalplanung!S46/Monatsplanung!$E46*Monatsplanung!$R46)</f>
        <v>0</v>
      </c>
      <c r="AA1190" s="80">
        <f t="shared" si="380"/>
        <v>0</v>
      </c>
      <c r="AB1190" s="102">
        <f t="shared" si="381"/>
        <v>0.1</v>
      </c>
      <c r="AC1190" s="103">
        <f t="shared" si="382"/>
        <v>0</v>
      </c>
      <c r="AD1190" s="103">
        <f t="shared" si="383"/>
        <v>0</v>
      </c>
      <c r="AE1190" s="81">
        <f t="shared" si="384"/>
        <v>0</v>
      </c>
      <c r="AF1190" s="539"/>
      <c r="AG1190" s="104">
        <f t="shared" si="385"/>
        <v>1</v>
      </c>
      <c r="AH1190" s="7">
        <f t="shared" si="386"/>
        <v>0</v>
      </c>
      <c r="AI1190" s="6">
        <f t="shared" si="387"/>
        <v>0</v>
      </c>
      <c r="AJ1190" s="73">
        <f t="shared" si="388"/>
        <v>0</v>
      </c>
      <c r="AK1190" s="539"/>
      <c r="AL1190" s="748"/>
      <c r="AM1190" s="748"/>
    </row>
    <row r="1191" spans="2:39" x14ac:dyDescent="0.2">
      <c r="B1191" s="101" t="str">
        <f t="shared" si="373"/>
        <v/>
      </c>
      <c r="C1191" s="168">
        <f>IF(ISERROR(Personalplanung!F47/Monatsplanung!$E47*Monatsplanung!$R47),0,Personalplanung!F47/Monatsplanung!$E47*Monatsplanung!$R47)</f>
        <v>0</v>
      </c>
      <c r="D1191" s="168">
        <f t="shared" si="374"/>
        <v>0</v>
      </c>
      <c r="E1191" s="168">
        <f>IF(ISERROR(Personalplanung!H47/Monatsplanung!$E47*Monatsplanung!$R47),0,Personalplanung!H47/Monatsplanung!$E47*Monatsplanung!$R47)</f>
        <v>0</v>
      </c>
      <c r="F1191" s="168">
        <f t="shared" si="375"/>
        <v>0</v>
      </c>
      <c r="G1191" s="168">
        <f t="shared" si="376"/>
        <v>27.700831024930746</v>
      </c>
      <c r="H1191" s="168">
        <f t="shared" si="377"/>
        <v>0</v>
      </c>
      <c r="I1191" s="168">
        <f t="shared" si="378"/>
        <v>30</v>
      </c>
      <c r="J1191" s="739"/>
      <c r="K1191" s="168">
        <f>IF(J1191&lt;&gt;"",J1191,IF(ISERROR(Personalplanung!AB47/Monatsplanung!$E47*Monatsplanung!$R47),0,Personalplanung!AB47/Monatsplanung!$E47*Monatsplanung!$R47))</f>
        <v>0</v>
      </c>
      <c r="L1191" s="740"/>
      <c r="M1191" s="739"/>
      <c r="N1191" s="168">
        <f>IF(M1191&lt;&gt;"",M1191,IF(ISERROR(Personalplanung!AC47/Monatsplanung!$E47*Monatsplanung!$R47),0,Personalplanung!AC47/Monatsplanung!$E47*Monatsplanung!$R47))</f>
        <v>0</v>
      </c>
      <c r="O1191" s="740"/>
      <c r="P1191" s="739"/>
      <c r="Q1191" s="168">
        <f>IF(P1191&lt;&gt;"",P1191,IF(ISERROR(Personalplanung!AD47/Monatsplanung!$E47*Monatsplanung!$R47),0,Personalplanung!AD47/Monatsplanung!$E47*Monatsplanung!$R47))</f>
        <v>0</v>
      </c>
      <c r="R1191" s="740"/>
      <c r="S1191" s="739"/>
      <c r="T1191" s="168">
        <f>IF(S1191&lt;&gt;"",S1191,IF(ISERROR(Personalplanung!AE47/Monatsplanung!$E47*Monatsplanung!$R47),0,Personalplanung!AE47/Monatsplanung!$E47*Monatsplanung!$R47))</f>
        <v>0</v>
      </c>
      <c r="U1191" s="740"/>
      <c r="V1191" s="168">
        <f t="shared" si="379"/>
        <v>0</v>
      </c>
      <c r="W1191" s="168">
        <f>IF(ISERROR(Personalplanung!P47/Monatsplanung!$E47*Monatsplanung!$R47),0,Personalplanung!P47/Monatsplanung!$E47*Monatsplanung!$R47)</f>
        <v>0</v>
      </c>
      <c r="X1191" s="168">
        <f>IF(ISERROR(Personalplanung!Q47/Monatsplanung!$E47*Monatsplanung!$R47),0,Personalplanung!Q47/Monatsplanung!$E47*Monatsplanung!$R47)</f>
        <v>0</v>
      </c>
      <c r="Y1191" s="168">
        <f>IF(ISERROR(Personalplanung!R47/T1295*Stundencontrolling!T1191),0,Personalplanung!R47/T1295*Stundencontrolling!T1191)</f>
        <v>0</v>
      </c>
      <c r="Z1191" s="168">
        <f>IF(ISERROR(Personalplanung!S47/Monatsplanung!$E47*Monatsplanung!$R47),0,Personalplanung!S47/Monatsplanung!$E47*Monatsplanung!$R47)</f>
        <v>0</v>
      </c>
      <c r="AA1191" s="80">
        <f t="shared" si="380"/>
        <v>0</v>
      </c>
      <c r="AB1191" s="102">
        <f t="shared" si="381"/>
        <v>0.1</v>
      </c>
      <c r="AC1191" s="103">
        <f t="shared" si="382"/>
        <v>0</v>
      </c>
      <c r="AD1191" s="103">
        <f t="shared" si="383"/>
        <v>0</v>
      </c>
      <c r="AE1191" s="81">
        <f t="shared" si="384"/>
        <v>0</v>
      </c>
      <c r="AF1191" s="539"/>
      <c r="AG1191" s="104">
        <f t="shared" si="385"/>
        <v>1</v>
      </c>
      <c r="AH1191" s="7">
        <f t="shared" si="386"/>
        <v>0</v>
      </c>
      <c r="AI1191" s="6">
        <f t="shared" si="387"/>
        <v>0</v>
      </c>
      <c r="AJ1191" s="73">
        <f t="shared" si="388"/>
        <v>0</v>
      </c>
      <c r="AK1191" s="539"/>
      <c r="AL1191" s="748"/>
      <c r="AM1191" s="748"/>
    </row>
    <row r="1192" spans="2:39" x14ac:dyDescent="0.2">
      <c r="B1192" s="101" t="str">
        <f t="shared" si="373"/>
        <v/>
      </c>
      <c r="C1192" s="168">
        <f>IF(ISERROR(Personalplanung!F48/Monatsplanung!$E48*Monatsplanung!$R48),0,Personalplanung!F48/Monatsplanung!$E48*Monatsplanung!$R48)</f>
        <v>0</v>
      </c>
      <c r="D1192" s="168">
        <f t="shared" si="374"/>
        <v>0</v>
      </c>
      <c r="E1192" s="168">
        <f>IF(ISERROR(Personalplanung!H48/Monatsplanung!$E48*Monatsplanung!$R48),0,Personalplanung!H48/Monatsplanung!$E48*Monatsplanung!$R48)</f>
        <v>0</v>
      </c>
      <c r="F1192" s="168">
        <f t="shared" si="375"/>
        <v>0</v>
      </c>
      <c r="G1192" s="168">
        <f t="shared" si="376"/>
        <v>27.700831024930746</v>
      </c>
      <c r="H1192" s="168">
        <f t="shared" si="377"/>
        <v>0</v>
      </c>
      <c r="I1192" s="168">
        <f t="shared" si="378"/>
        <v>30</v>
      </c>
      <c r="J1192" s="739"/>
      <c r="K1192" s="168">
        <f>IF(J1192&lt;&gt;"",J1192,IF(ISERROR(Personalplanung!AB48/Monatsplanung!$E48*Monatsplanung!$R48),0,Personalplanung!AB48/Monatsplanung!$E48*Monatsplanung!$R48))</f>
        <v>0</v>
      </c>
      <c r="L1192" s="740"/>
      <c r="M1192" s="739"/>
      <c r="N1192" s="168">
        <f>IF(M1192&lt;&gt;"",M1192,IF(ISERROR(Personalplanung!AC48/Monatsplanung!$E48*Monatsplanung!$R48),0,Personalplanung!AC48/Monatsplanung!$E48*Monatsplanung!$R48))</f>
        <v>0</v>
      </c>
      <c r="O1192" s="740"/>
      <c r="P1192" s="739"/>
      <c r="Q1192" s="168">
        <f>IF(P1192&lt;&gt;"",P1192,IF(ISERROR(Personalplanung!AD48/Monatsplanung!$E48*Monatsplanung!$R48),0,Personalplanung!AD48/Monatsplanung!$E48*Monatsplanung!$R48))</f>
        <v>0</v>
      </c>
      <c r="R1192" s="740"/>
      <c r="S1192" s="739"/>
      <c r="T1192" s="168">
        <f>IF(S1192&lt;&gt;"",S1192,IF(ISERROR(Personalplanung!AE48/Monatsplanung!$E48*Monatsplanung!$R48),0,Personalplanung!AE48/Monatsplanung!$E48*Monatsplanung!$R48))</f>
        <v>0</v>
      </c>
      <c r="U1192" s="740"/>
      <c r="V1192" s="168">
        <f t="shared" si="379"/>
        <v>0</v>
      </c>
      <c r="W1192" s="168">
        <f>IF(ISERROR(Personalplanung!P48/Monatsplanung!$E48*Monatsplanung!$R48),0,Personalplanung!P48/Monatsplanung!$E48*Monatsplanung!$R48)</f>
        <v>0</v>
      </c>
      <c r="X1192" s="168">
        <f>IF(ISERROR(Personalplanung!Q48/Monatsplanung!$E48*Monatsplanung!$R48),0,Personalplanung!Q48/Monatsplanung!$E48*Monatsplanung!$R48)</f>
        <v>0</v>
      </c>
      <c r="Y1192" s="168">
        <f>IF(ISERROR(Personalplanung!R48/T1296*Stundencontrolling!T1192),0,Personalplanung!R48/T1296*Stundencontrolling!T1192)</f>
        <v>0</v>
      </c>
      <c r="Z1192" s="168">
        <f>IF(ISERROR(Personalplanung!S48/Monatsplanung!$E48*Monatsplanung!$R48),0,Personalplanung!S48/Monatsplanung!$E48*Monatsplanung!$R48)</f>
        <v>0</v>
      </c>
      <c r="AA1192" s="80">
        <f t="shared" si="380"/>
        <v>0</v>
      </c>
      <c r="AB1192" s="102">
        <f t="shared" si="381"/>
        <v>0.1</v>
      </c>
      <c r="AC1192" s="103">
        <f t="shared" si="382"/>
        <v>0</v>
      </c>
      <c r="AD1192" s="103">
        <f t="shared" si="383"/>
        <v>0</v>
      </c>
      <c r="AE1192" s="81">
        <f t="shared" si="384"/>
        <v>0</v>
      </c>
      <c r="AF1192" s="539"/>
      <c r="AG1192" s="104">
        <f t="shared" si="385"/>
        <v>1</v>
      </c>
      <c r="AH1192" s="7">
        <f t="shared" si="386"/>
        <v>0</v>
      </c>
      <c r="AI1192" s="6">
        <f t="shared" si="387"/>
        <v>0</v>
      </c>
      <c r="AJ1192" s="73">
        <f t="shared" si="388"/>
        <v>0</v>
      </c>
      <c r="AK1192" s="539"/>
      <c r="AL1192" s="748"/>
      <c r="AM1192" s="748"/>
    </row>
    <row r="1193" spans="2:39" x14ac:dyDescent="0.2">
      <c r="B1193" s="101" t="str">
        <f t="shared" si="373"/>
        <v/>
      </c>
      <c r="C1193" s="168">
        <f>IF(ISERROR(Personalplanung!F49/Monatsplanung!$E49*Monatsplanung!$R49),0,Personalplanung!F49/Monatsplanung!$E49*Monatsplanung!$R49)</f>
        <v>0</v>
      </c>
      <c r="D1193" s="168">
        <f t="shared" si="374"/>
        <v>0</v>
      </c>
      <c r="E1193" s="168">
        <f>IF(ISERROR(Personalplanung!H49/Monatsplanung!$E49*Monatsplanung!$R49),0,Personalplanung!H49/Monatsplanung!$E49*Monatsplanung!$R49)</f>
        <v>0</v>
      </c>
      <c r="F1193" s="168">
        <f t="shared" si="375"/>
        <v>0</v>
      </c>
      <c r="G1193" s="168">
        <f t="shared" si="376"/>
        <v>27.700831024930746</v>
      </c>
      <c r="H1193" s="168">
        <f t="shared" si="377"/>
        <v>0</v>
      </c>
      <c r="I1193" s="168">
        <f t="shared" si="378"/>
        <v>30</v>
      </c>
      <c r="J1193" s="739"/>
      <c r="K1193" s="168">
        <f>IF(J1193&lt;&gt;"",J1193,IF(ISERROR(Personalplanung!AB49/Monatsplanung!$E49*Monatsplanung!$R49),0,Personalplanung!AB49/Monatsplanung!$E49*Monatsplanung!$R49))</f>
        <v>0</v>
      </c>
      <c r="L1193" s="740"/>
      <c r="M1193" s="739"/>
      <c r="N1193" s="168">
        <f>IF(M1193&lt;&gt;"",M1193,IF(ISERROR(Personalplanung!AC49/Monatsplanung!$E49*Monatsplanung!$R49),0,Personalplanung!AC49/Monatsplanung!$E49*Monatsplanung!$R49))</f>
        <v>0</v>
      </c>
      <c r="O1193" s="740"/>
      <c r="P1193" s="739"/>
      <c r="Q1193" s="168">
        <f>IF(P1193&lt;&gt;"",P1193,IF(ISERROR(Personalplanung!AD49/Monatsplanung!$E49*Monatsplanung!$R49),0,Personalplanung!AD49/Monatsplanung!$E49*Monatsplanung!$R49))</f>
        <v>0</v>
      </c>
      <c r="R1193" s="740"/>
      <c r="S1193" s="739"/>
      <c r="T1193" s="168">
        <f>IF(S1193&lt;&gt;"",S1193,IF(ISERROR(Personalplanung!AE49/Monatsplanung!$E49*Monatsplanung!$R49),0,Personalplanung!AE49/Monatsplanung!$E49*Monatsplanung!$R49))</f>
        <v>0</v>
      </c>
      <c r="U1193" s="740"/>
      <c r="V1193" s="168">
        <f t="shared" si="379"/>
        <v>0</v>
      </c>
      <c r="W1193" s="168">
        <f>IF(ISERROR(Personalplanung!P49/Monatsplanung!$E49*Monatsplanung!$R49),0,Personalplanung!P49/Monatsplanung!$E49*Monatsplanung!$R49)</f>
        <v>0</v>
      </c>
      <c r="X1193" s="168">
        <f>IF(ISERROR(Personalplanung!Q49/Monatsplanung!$E49*Monatsplanung!$R49),0,Personalplanung!Q49/Monatsplanung!$E49*Monatsplanung!$R49)</f>
        <v>0</v>
      </c>
      <c r="Y1193" s="168">
        <f>IF(ISERROR(Personalplanung!R49/T1297*Stundencontrolling!T1193),0,Personalplanung!R49/T1297*Stundencontrolling!T1193)</f>
        <v>0</v>
      </c>
      <c r="Z1193" s="168">
        <f>IF(ISERROR(Personalplanung!S49/Monatsplanung!$E49*Monatsplanung!$R49),0,Personalplanung!S49/Monatsplanung!$E49*Monatsplanung!$R49)</f>
        <v>0</v>
      </c>
      <c r="AA1193" s="80">
        <f t="shared" si="380"/>
        <v>0</v>
      </c>
      <c r="AB1193" s="102">
        <f t="shared" si="381"/>
        <v>0.1</v>
      </c>
      <c r="AC1193" s="103">
        <f t="shared" si="382"/>
        <v>0</v>
      </c>
      <c r="AD1193" s="103">
        <f t="shared" si="383"/>
        <v>0</v>
      </c>
      <c r="AE1193" s="81">
        <f t="shared" si="384"/>
        <v>0</v>
      </c>
      <c r="AF1193" s="539"/>
      <c r="AG1193" s="104">
        <f t="shared" si="385"/>
        <v>1</v>
      </c>
      <c r="AH1193" s="7">
        <f t="shared" si="386"/>
        <v>0</v>
      </c>
      <c r="AI1193" s="6">
        <f t="shared" si="387"/>
        <v>0</v>
      </c>
      <c r="AJ1193" s="73">
        <f t="shared" si="388"/>
        <v>0</v>
      </c>
      <c r="AK1193" s="539"/>
      <c r="AL1193" s="748"/>
      <c r="AM1193" s="748"/>
    </row>
    <row r="1194" spans="2:39" x14ac:dyDescent="0.2">
      <c r="B1194" s="101" t="str">
        <f t="shared" si="373"/>
        <v/>
      </c>
      <c r="C1194" s="168">
        <f>IF(ISERROR(Personalplanung!F50/Monatsplanung!$E50*Monatsplanung!$R50),0,Personalplanung!F50/Monatsplanung!$E50*Monatsplanung!$R50)</f>
        <v>0</v>
      </c>
      <c r="D1194" s="168">
        <f t="shared" si="374"/>
        <v>0</v>
      </c>
      <c r="E1194" s="168">
        <f>IF(ISERROR(Personalplanung!H50/Monatsplanung!$E50*Monatsplanung!$R50),0,Personalplanung!H50/Monatsplanung!$E50*Monatsplanung!$R50)</f>
        <v>0</v>
      </c>
      <c r="F1194" s="168">
        <f t="shared" si="375"/>
        <v>0</v>
      </c>
      <c r="G1194" s="168">
        <f t="shared" si="376"/>
        <v>27.700831024930746</v>
      </c>
      <c r="H1194" s="168">
        <f t="shared" si="377"/>
        <v>0</v>
      </c>
      <c r="I1194" s="168">
        <f t="shared" si="378"/>
        <v>30</v>
      </c>
      <c r="J1194" s="739"/>
      <c r="K1194" s="168">
        <f>IF(J1194&lt;&gt;"",J1194,IF(ISERROR(Personalplanung!AB50/Monatsplanung!$E50*Monatsplanung!$R50),0,Personalplanung!AB50/Monatsplanung!$E50*Monatsplanung!$R50))</f>
        <v>0</v>
      </c>
      <c r="L1194" s="740"/>
      <c r="M1194" s="739"/>
      <c r="N1194" s="168">
        <f>IF(M1194&lt;&gt;"",M1194,IF(ISERROR(Personalplanung!AC50/Monatsplanung!$E50*Monatsplanung!$R50),0,Personalplanung!AC50/Monatsplanung!$E50*Monatsplanung!$R50))</f>
        <v>0</v>
      </c>
      <c r="O1194" s="740"/>
      <c r="P1194" s="739"/>
      <c r="Q1194" s="168">
        <f>IF(P1194&lt;&gt;"",P1194,IF(ISERROR(Personalplanung!AD50/Monatsplanung!$E50*Monatsplanung!$R50),0,Personalplanung!AD50/Monatsplanung!$E50*Monatsplanung!$R50))</f>
        <v>0</v>
      </c>
      <c r="R1194" s="740"/>
      <c r="S1194" s="739"/>
      <c r="T1194" s="168">
        <f>IF(S1194&lt;&gt;"",S1194,IF(ISERROR(Personalplanung!AE50/Monatsplanung!$E50*Monatsplanung!$R50),0,Personalplanung!AE50/Monatsplanung!$E50*Monatsplanung!$R50))</f>
        <v>0</v>
      </c>
      <c r="U1194" s="740"/>
      <c r="V1194" s="168">
        <f t="shared" si="379"/>
        <v>0</v>
      </c>
      <c r="W1194" s="168">
        <f>IF(ISERROR(Personalplanung!P50/Monatsplanung!$E50*Monatsplanung!$R50),0,Personalplanung!P50/Monatsplanung!$E50*Monatsplanung!$R50)</f>
        <v>0</v>
      </c>
      <c r="X1194" s="168">
        <f>IF(ISERROR(Personalplanung!Q50/Monatsplanung!$E50*Monatsplanung!$R50),0,Personalplanung!Q50/Monatsplanung!$E50*Monatsplanung!$R50)</f>
        <v>0</v>
      </c>
      <c r="Y1194" s="168">
        <f>IF(ISERROR(Personalplanung!R50/T1298*Stundencontrolling!T1194),0,Personalplanung!R50/T1298*Stundencontrolling!T1194)</f>
        <v>0</v>
      </c>
      <c r="Z1194" s="168">
        <f>IF(ISERROR(Personalplanung!S50/Monatsplanung!$E50*Monatsplanung!$R50),0,Personalplanung!S50/Monatsplanung!$E50*Monatsplanung!$R50)</f>
        <v>0</v>
      </c>
      <c r="AA1194" s="80">
        <f t="shared" si="380"/>
        <v>0</v>
      </c>
      <c r="AB1194" s="102">
        <f t="shared" si="381"/>
        <v>0.1</v>
      </c>
      <c r="AC1194" s="103">
        <f t="shared" si="382"/>
        <v>0</v>
      </c>
      <c r="AD1194" s="103">
        <f t="shared" si="383"/>
        <v>0</v>
      </c>
      <c r="AE1194" s="81">
        <f t="shared" si="384"/>
        <v>0</v>
      </c>
      <c r="AF1194" s="539"/>
      <c r="AG1194" s="104">
        <f t="shared" si="385"/>
        <v>1</v>
      </c>
      <c r="AH1194" s="7">
        <f t="shared" si="386"/>
        <v>0</v>
      </c>
      <c r="AI1194" s="6">
        <f t="shared" si="387"/>
        <v>0</v>
      </c>
      <c r="AJ1194" s="73">
        <f t="shared" si="388"/>
        <v>0</v>
      </c>
      <c r="AK1194" s="539"/>
      <c r="AL1194" s="748"/>
      <c r="AM1194" s="748"/>
    </row>
    <row r="1195" spans="2:39" x14ac:dyDescent="0.2">
      <c r="B1195" s="101" t="str">
        <f t="shared" si="373"/>
        <v/>
      </c>
      <c r="C1195" s="168">
        <f>IF(ISERROR(Personalplanung!F51/Monatsplanung!$E51*Monatsplanung!$R51),0,Personalplanung!F51/Monatsplanung!$E51*Monatsplanung!$R51)</f>
        <v>0</v>
      </c>
      <c r="D1195" s="168">
        <f t="shared" si="374"/>
        <v>0</v>
      </c>
      <c r="E1195" s="168">
        <f>IF(ISERROR(Personalplanung!H51/Monatsplanung!$E51*Monatsplanung!$R51),0,Personalplanung!H51/Monatsplanung!$E51*Monatsplanung!$R51)</f>
        <v>0</v>
      </c>
      <c r="F1195" s="168">
        <f t="shared" si="375"/>
        <v>0</v>
      </c>
      <c r="G1195" s="168">
        <f t="shared" si="376"/>
        <v>27.700831024930746</v>
      </c>
      <c r="H1195" s="168">
        <f t="shared" si="377"/>
        <v>0</v>
      </c>
      <c r="I1195" s="168">
        <f t="shared" si="378"/>
        <v>30</v>
      </c>
      <c r="J1195" s="739"/>
      <c r="K1195" s="168">
        <f>IF(J1195&lt;&gt;"",J1195,IF(ISERROR(Personalplanung!AB51/Monatsplanung!$E51*Monatsplanung!$R51),0,Personalplanung!AB51/Monatsplanung!$E51*Monatsplanung!$R51))</f>
        <v>0</v>
      </c>
      <c r="L1195" s="740"/>
      <c r="M1195" s="739"/>
      <c r="N1195" s="168">
        <f>IF(M1195&lt;&gt;"",M1195,IF(ISERROR(Personalplanung!AC51/Monatsplanung!$E51*Monatsplanung!$R51),0,Personalplanung!AC51/Monatsplanung!$E51*Monatsplanung!$R51))</f>
        <v>0</v>
      </c>
      <c r="O1195" s="740"/>
      <c r="P1195" s="739"/>
      <c r="Q1195" s="168">
        <f>IF(P1195&lt;&gt;"",P1195,IF(ISERROR(Personalplanung!AD51/Monatsplanung!$E51*Monatsplanung!$R51),0,Personalplanung!AD51/Monatsplanung!$E51*Monatsplanung!$R51))</f>
        <v>0</v>
      </c>
      <c r="R1195" s="740"/>
      <c r="S1195" s="739"/>
      <c r="T1195" s="168">
        <f>IF(S1195&lt;&gt;"",S1195,IF(ISERROR(Personalplanung!AE51/Monatsplanung!$E51*Monatsplanung!$R51),0,Personalplanung!AE51/Monatsplanung!$E51*Monatsplanung!$R51))</f>
        <v>0</v>
      </c>
      <c r="U1195" s="740"/>
      <c r="V1195" s="168">
        <f t="shared" si="379"/>
        <v>0</v>
      </c>
      <c r="W1195" s="168">
        <f>IF(ISERROR(Personalplanung!P51/Monatsplanung!$E51*Monatsplanung!$R51),0,Personalplanung!P51/Monatsplanung!$E51*Monatsplanung!$R51)</f>
        <v>0</v>
      </c>
      <c r="X1195" s="168">
        <f>IF(ISERROR(Personalplanung!Q51/Monatsplanung!$E51*Monatsplanung!$R51),0,Personalplanung!Q51/Monatsplanung!$E51*Monatsplanung!$R51)</f>
        <v>0</v>
      </c>
      <c r="Y1195" s="168">
        <f>IF(ISERROR(Personalplanung!R51/T1299*Stundencontrolling!T1195),0,Personalplanung!R51/T1299*Stundencontrolling!T1195)</f>
        <v>0</v>
      </c>
      <c r="Z1195" s="168">
        <f>IF(ISERROR(Personalplanung!S51/Monatsplanung!$E51*Monatsplanung!$R51),0,Personalplanung!S51/Monatsplanung!$E51*Monatsplanung!$R51)</f>
        <v>0</v>
      </c>
      <c r="AA1195" s="80">
        <f t="shared" si="380"/>
        <v>0</v>
      </c>
      <c r="AB1195" s="102">
        <f t="shared" si="381"/>
        <v>0.1</v>
      </c>
      <c r="AC1195" s="103">
        <f t="shared" si="382"/>
        <v>0</v>
      </c>
      <c r="AD1195" s="103">
        <f t="shared" si="383"/>
        <v>0</v>
      </c>
      <c r="AE1195" s="81">
        <f t="shared" si="384"/>
        <v>0</v>
      </c>
      <c r="AF1195" s="539"/>
      <c r="AG1195" s="104">
        <f t="shared" si="385"/>
        <v>1</v>
      </c>
      <c r="AH1195" s="7">
        <f t="shared" si="386"/>
        <v>0</v>
      </c>
      <c r="AI1195" s="6">
        <f t="shared" si="387"/>
        <v>0</v>
      </c>
      <c r="AJ1195" s="73">
        <f t="shared" si="388"/>
        <v>0</v>
      </c>
      <c r="AK1195" s="539"/>
      <c r="AL1195" s="748"/>
      <c r="AM1195" s="748"/>
    </row>
    <row r="1196" spans="2:39" x14ac:dyDescent="0.2">
      <c r="B1196" s="101" t="str">
        <f t="shared" si="373"/>
        <v/>
      </c>
      <c r="C1196" s="168">
        <f>IF(ISERROR(Personalplanung!F52/Monatsplanung!$E52*Monatsplanung!$R52),0,Personalplanung!F52/Monatsplanung!$E52*Monatsplanung!$R52)</f>
        <v>0</v>
      </c>
      <c r="D1196" s="168">
        <f t="shared" si="374"/>
        <v>0</v>
      </c>
      <c r="E1196" s="168">
        <f>IF(ISERROR(Personalplanung!H52/Monatsplanung!$E52*Monatsplanung!$R52),0,Personalplanung!H52/Monatsplanung!$E52*Monatsplanung!$R52)</f>
        <v>0</v>
      </c>
      <c r="F1196" s="168">
        <f t="shared" si="375"/>
        <v>0</v>
      </c>
      <c r="G1196" s="168">
        <f t="shared" si="376"/>
        <v>27.700831024930746</v>
      </c>
      <c r="H1196" s="168">
        <f t="shared" si="377"/>
        <v>0</v>
      </c>
      <c r="I1196" s="168">
        <f t="shared" si="378"/>
        <v>30</v>
      </c>
      <c r="J1196" s="739"/>
      <c r="K1196" s="168">
        <f>IF(J1196&lt;&gt;"",J1196,IF(ISERROR(Personalplanung!AB52/Monatsplanung!$E52*Monatsplanung!$R52),0,Personalplanung!AB52/Monatsplanung!$E52*Monatsplanung!$R52))</f>
        <v>0</v>
      </c>
      <c r="L1196" s="740"/>
      <c r="M1196" s="739"/>
      <c r="N1196" s="168">
        <f>IF(M1196&lt;&gt;"",M1196,IF(ISERROR(Personalplanung!AC52/Monatsplanung!$E52*Monatsplanung!$R52),0,Personalplanung!AC52/Monatsplanung!$E52*Monatsplanung!$R52))</f>
        <v>0</v>
      </c>
      <c r="O1196" s="740"/>
      <c r="P1196" s="739"/>
      <c r="Q1196" s="168">
        <f>IF(P1196&lt;&gt;"",P1196,IF(ISERROR(Personalplanung!AD52/Monatsplanung!$E52*Monatsplanung!$R52),0,Personalplanung!AD52/Monatsplanung!$E52*Monatsplanung!$R52))</f>
        <v>0</v>
      </c>
      <c r="R1196" s="740"/>
      <c r="S1196" s="739"/>
      <c r="T1196" s="168">
        <f>IF(S1196&lt;&gt;"",S1196,IF(ISERROR(Personalplanung!AE52/Monatsplanung!$E52*Monatsplanung!$R52),0,Personalplanung!AE52/Monatsplanung!$E52*Monatsplanung!$R52))</f>
        <v>0</v>
      </c>
      <c r="U1196" s="740"/>
      <c r="V1196" s="168">
        <f t="shared" si="379"/>
        <v>0</v>
      </c>
      <c r="W1196" s="168">
        <f>IF(ISERROR(Personalplanung!P52/Monatsplanung!$E52*Monatsplanung!$R52),0,Personalplanung!P52/Monatsplanung!$E52*Monatsplanung!$R52)</f>
        <v>0</v>
      </c>
      <c r="X1196" s="168">
        <f>IF(ISERROR(Personalplanung!Q52/Monatsplanung!$E52*Monatsplanung!$R52),0,Personalplanung!Q52/Monatsplanung!$E52*Monatsplanung!$R52)</f>
        <v>0</v>
      </c>
      <c r="Y1196" s="168">
        <f>IF(ISERROR(Personalplanung!R52/T1300*Stundencontrolling!T1196),0,Personalplanung!R52/T1300*Stundencontrolling!T1196)</f>
        <v>0</v>
      </c>
      <c r="Z1196" s="168">
        <f>IF(ISERROR(Personalplanung!S52/Monatsplanung!$E52*Monatsplanung!$R52),0,Personalplanung!S52/Monatsplanung!$E52*Monatsplanung!$R52)</f>
        <v>0</v>
      </c>
      <c r="AA1196" s="80">
        <f t="shared" si="380"/>
        <v>0</v>
      </c>
      <c r="AB1196" s="102">
        <f t="shared" si="381"/>
        <v>0.1</v>
      </c>
      <c r="AC1196" s="103">
        <f t="shared" si="382"/>
        <v>0</v>
      </c>
      <c r="AD1196" s="103">
        <f t="shared" si="383"/>
        <v>0</v>
      </c>
      <c r="AE1196" s="81">
        <f t="shared" si="384"/>
        <v>0</v>
      </c>
      <c r="AF1196" s="539"/>
      <c r="AG1196" s="104">
        <f t="shared" si="385"/>
        <v>1</v>
      </c>
      <c r="AH1196" s="7">
        <f t="shared" si="386"/>
        <v>0</v>
      </c>
      <c r="AI1196" s="6">
        <f t="shared" si="387"/>
        <v>0</v>
      </c>
      <c r="AJ1196" s="73">
        <f t="shared" si="388"/>
        <v>0</v>
      </c>
      <c r="AK1196" s="539"/>
      <c r="AL1196" s="748"/>
      <c r="AM1196" s="748"/>
    </row>
    <row r="1197" spans="2:39" x14ac:dyDescent="0.2">
      <c r="B1197" s="101" t="str">
        <f t="shared" si="373"/>
        <v/>
      </c>
      <c r="C1197" s="168">
        <f>IF(ISERROR(Personalplanung!F53/Monatsplanung!$E53*Monatsplanung!$R53),0,Personalplanung!F53/Monatsplanung!$E53*Monatsplanung!$R53)</f>
        <v>0</v>
      </c>
      <c r="D1197" s="168">
        <f t="shared" si="374"/>
        <v>0</v>
      </c>
      <c r="E1197" s="168">
        <f>IF(ISERROR(Personalplanung!H53/Monatsplanung!$E53*Monatsplanung!$R53),0,Personalplanung!H53/Monatsplanung!$E53*Monatsplanung!$R53)</f>
        <v>0</v>
      </c>
      <c r="F1197" s="168">
        <f t="shared" si="375"/>
        <v>0</v>
      </c>
      <c r="G1197" s="168">
        <f t="shared" si="376"/>
        <v>27.700831024930746</v>
      </c>
      <c r="H1197" s="168">
        <f t="shared" si="377"/>
        <v>0</v>
      </c>
      <c r="I1197" s="168">
        <f t="shared" si="378"/>
        <v>30</v>
      </c>
      <c r="J1197" s="739"/>
      <c r="K1197" s="168">
        <f>IF(J1197&lt;&gt;"",J1197,IF(ISERROR(Personalplanung!AB53/Monatsplanung!$E53*Monatsplanung!$R53),0,Personalplanung!AB53/Monatsplanung!$E53*Monatsplanung!$R53))</f>
        <v>0</v>
      </c>
      <c r="L1197" s="740"/>
      <c r="M1197" s="739"/>
      <c r="N1197" s="168">
        <f>IF(M1197&lt;&gt;"",M1197,IF(ISERROR(Personalplanung!AC53/Monatsplanung!$E53*Monatsplanung!$R53),0,Personalplanung!AC53/Monatsplanung!$E53*Monatsplanung!$R53))</f>
        <v>0</v>
      </c>
      <c r="O1197" s="740"/>
      <c r="P1197" s="739"/>
      <c r="Q1197" s="168">
        <f>IF(P1197&lt;&gt;"",P1197,IF(ISERROR(Personalplanung!AD53/Monatsplanung!$E53*Monatsplanung!$R53),0,Personalplanung!AD53/Monatsplanung!$E53*Monatsplanung!$R53))</f>
        <v>0</v>
      </c>
      <c r="R1197" s="740"/>
      <c r="S1197" s="739"/>
      <c r="T1197" s="168">
        <f>IF(S1197&lt;&gt;"",S1197,IF(ISERROR(Personalplanung!AE53/Monatsplanung!$E53*Monatsplanung!$R53),0,Personalplanung!AE53/Monatsplanung!$E53*Monatsplanung!$R53))</f>
        <v>0</v>
      </c>
      <c r="U1197" s="740"/>
      <c r="V1197" s="168">
        <f t="shared" si="379"/>
        <v>0</v>
      </c>
      <c r="W1197" s="168">
        <f>IF(ISERROR(Personalplanung!P53/Monatsplanung!$E53*Monatsplanung!$R53),0,Personalplanung!P53/Monatsplanung!$E53*Monatsplanung!$R53)</f>
        <v>0</v>
      </c>
      <c r="X1197" s="168">
        <f>IF(ISERROR(Personalplanung!Q53/Monatsplanung!$E53*Monatsplanung!$R53),0,Personalplanung!Q53/Monatsplanung!$E53*Monatsplanung!$R53)</f>
        <v>0</v>
      </c>
      <c r="Y1197" s="168">
        <f>IF(ISERROR(Personalplanung!R53/T1301*Stundencontrolling!T1197),0,Personalplanung!R53/T1301*Stundencontrolling!T1197)</f>
        <v>0</v>
      </c>
      <c r="Z1197" s="168">
        <f>IF(ISERROR(Personalplanung!S53/Monatsplanung!$E53*Monatsplanung!$R53),0,Personalplanung!S53/Monatsplanung!$E53*Monatsplanung!$R53)</f>
        <v>0</v>
      </c>
      <c r="AA1197" s="80">
        <f t="shared" si="380"/>
        <v>0</v>
      </c>
      <c r="AB1197" s="102">
        <f t="shared" si="381"/>
        <v>0.1</v>
      </c>
      <c r="AC1197" s="103">
        <f t="shared" si="382"/>
        <v>0</v>
      </c>
      <c r="AD1197" s="103">
        <f t="shared" si="383"/>
        <v>0</v>
      </c>
      <c r="AE1197" s="81">
        <f t="shared" si="384"/>
        <v>0</v>
      </c>
      <c r="AF1197" s="539"/>
      <c r="AG1197" s="104">
        <f t="shared" si="385"/>
        <v>1</v>
      </c>
      <c r="AH1197" s="7">
        <f t="shared" si="386"/>
        <v>0</v>
      </c>
      <c r="AI1197" s="6">
        <f t="shared" si="387"/>
        <v>0</v>
      </c>
      <c r="AJ1197" s="73">
        <f t="shared" si="388"/>
        <v>0</v>
      </c>
      <c r="AK1197" s="539"/>
      <c r="AL1197" s="748"/>
      <c r="AM1197" s="748"/>
    </row>
    <row r="1198" spans="2:39" x14ac:dyDescent="0.2">
      <c r="B1198" s="101" t="str">
        <f t="shared" si="373"/>
        <v/>
      </c>
      <c r="C1198" s="168">
        <f>IF(ISERROR(Personalplanung!F54/Monatsplanung!$E54*Monatsplanung!$R54),0,Personalplanung!F54/Monatsplanung!$E54*Monatsplanung!$R54)</f>
        <v>0</v>
      </c>
      <c r="D1198" s="168">
        <f t="shared" si="374"/>
        <v>0</v>
      </c>
      <c r="E1198" s="168">
        <f>IF(ISERROR(Personalplanung!H54/Monatsplanung!$E54*Monatsplanung!$R54),0,Personalplanung!H54/Monatsplanung!$E54*Monatsplanung!$R54)</f>
        <v>0</v>
      </c>
      <c r="F1198" s="168">
        <f t="shared" si="375"/>
        <v>0</v>
      </c>
      <c r="G1198" s="168">
        <f t="shared" si="376"/>
        <v>27.700831024930746</v>
      </c>
      <c r="H1198" s="168">
        <f t="shared" si="377"/>
        <v>0</v>
      </c>
      <c r="I1198" s="168">
        <f t="shared" si="378"/>
        <v>30</v>
      </c>
      <c r="J1198" s="739"/>
      <c r="K1198" s="168">
        <f>IF(J1198&lt;&gt;"",J1198,IF(ISERROR(Personalplanung!AB54/Monatsplanung!$E54*Monatsplanung!$R54),0,Personalplanung!AB54/Monatsplanung!$E54*Monatsplanung!$R54))</f>
        <v>0</v>
      </c>
      <c r="L1198" s="740"/>
      <c r="M1198" s="739"/>
      <c r="N1198" s="168">
        <f>IF(M1198&lt;&gt;"",M1198,IF(ISERROR(Personalplanung!AC54/Monatsplanung!$E54*Monatsplanung!$R54),0,Personalplanung!AC54/Monatsplanung!$E54*Monatsplanung!$R54))</f>
        <v>0</v>
      </c>
      <c r="O1198" s="740"/>
      <c r="P1198" s="739"/>
      <c r="Q1198" s="168">
        <f>IF(P1198&lt;&gt;"",P1198,IF(ISERROR(Personalplanung!AD54/Monatsplanung!$E54*Monatsplanung!$R54),0,Personalplanung!AD54/Monatsplanung!$E54*Monatsplanung!$R54))</f>
        <v>0</v>
      </c>
      <c r="R1198" s="740"/>
      <c r="S1198" s="739"/>
      <c r="T1198" s="168">
        <f>IF(S1198&lt;&gt;"",S1198,IF(ISERROR(Personalplanung!AE54/Monatsplanung!$E54*Monatsplanung!$R54),0,Personalplanung!AE54/Monatsplanung!$E54*Monatsplanung!$R54))</f>
        <v>0</v>
      </c>
      <c r="U1198" s="740"/>
      <c r="V1198" s="168">
        <f t="shared" si="379"/>
        <v>0</v>
      </c>
      <c r="W1198" s="168">
        <f>IF(ISERROR(Personalplanung!P54/Monatsplanung!$E54*Monatsplanung!$R54),0,Personalplanung!P54/Monatsplanung!$E54*Monatsplanung!$R54)</f>
        <v>0</v>
      </c>
      <c r="X1198" s="168">
        <f>IF(ISERROR(Personalplanung!Q54/Monatsplanung!$E54*Monatsplanung!$R54),0,Personalplanung!Q54/Monatsplanung!$E54*Monatsplanung!$R54)</f>
        <v>0</v>
      </c>
      <c r="Y1198" s="168">
        <f>IF(ISERROR(Personalplanung!R54/T1302*Stundencontrolling!T1198),0,Personalplanung!R54/T1302*Stundencontrolling!T1198)</f>
        <v>0</v>
      </c>
      <c r="Z1198" s="168">
        <f>IF(ISERROR(Personalplanung!S54/Monatsplanung!$E54*Monatsplanung!$R54),0,Personalplanung!S54/Monatsplanung!$E54*Monatsplanung!$R54)</f>
        <v>0</v>
      </c>
      <c r="AA1198" s="80">
        <f t="shared" si="380"/>
        <v>0</v>
      </c>
      <c r="AB1198" s="102">
        <f t="shared" si="381"/>
        <v>0.1</v>
      </c>
      <c r="AC1198" s="103">
        <f t="shared" si="382"/>
        <v>0</v>
      </c>
      <c r="AD1198" s="103">
        <f t="shared" si="383"/>
        <v>0</v>
      </c>
      <c r="AE1198" s="81">
        <f t="shared" si="384"/>
        <v>0</v>
      </c>
      <c r="AF1198" s="539"/>
      <c r="AG1198" s="104">
        <f t="shared" si="385"/>
        <v>1</v>
      </c>
      <c r="AH1198" s="7">
        <f t="shared" si="386"/>
        <v>0</v>
      </c>
      <c r="AI1198" s="6">
        <f t="shared" si="387"/>
        <v>0</v>
      </c>
      <c r="AJ1198" s="73">
        <f t="shared" si="388"/>
        <v>0</v>
      </c>
      <c r="AK1198" s="539"/>
      <c r="AL1198" s="748"/>
      <c r="AM1198" s="748"/>
    </row>
    <row r="1199" spans="2:39" x14ac:dyDescent="0.2">
      <c r="B1199" s="101" t="str">
        <f t="shared" si="373"/>
        <v/>
      </c>
      <c r="C1199" s="168">
        <f>IF(ISERROR(Personalplanung!F55/Monatsplanung!$E55*Monatsplanung!$R55),0,Personalplanung!F55/Monatsplanung!$E55*Monatsplanung!$R55)</f>
        <v>0</v>
      </c>
      <c r="D1199" s="168">
        <f t="shared" si="374"/>
        <v>0</v>
      </c>
      <c r="E1199" s="168">
        <f>IF(ISERROR(Personalplanung!H55/Monatsplanung!$E55*Monatsplanung!$R55),0,Personalplanung!H55/Monatsplanung!$E55*Monatsplanung!$R55)</f>
        <v>0</v>
      </c>
      <c r="F1199" s="168">
        <f t="shared" si="375"/>
        <v>0</v>
      </c>
      <c r="G1199" s="168">
        <f t="shared" si="376"/>
        <v>27.700831024930746</v>
      </c>
      <c r="H1199" s="168">
        <f t="shared" si="377"/>
        <v>0</v>
      </c>
      <c r="I1199" s="168">
        <f t="shared" si="378"/>
        <v>30</v>
      </c>
      <c r="J1199" s="739"/>
      <c r="K1199" s="168">
        <f>IF(J1199&lt;&gt;"",J1199,IF(ISERROR(Personalplanung!AB55/Monatsplanung!$E55*Monatsplanung!$R55),0,Personalplanung!AB55/Monatsplanung!$E55*Monatsplanung!$R55))</f>
        <v>0</v>
      </c>
      <c r="L1199" s="740"/>
      <c r="M1199" s="739"/>
      <c r="N1199" s="168">
        <f>IF(M1199&lt;&gt;"",M1199,IF(ISERROR(Personalplanung!AC55/Monatsplanung!$E55*Monatsplanung!$R55),0,Personalplanung!AC55/Monatsplanung!$E55*Monatsplanung!$R55))</f>
        <v>0</v>
      </c>
      <c r="O1199" s="740"/>
      <c r="P1199" s="739"/>
      <c r="Q1199" s="168">
        <f>IF(P1199&lt;&gt;"",P1199,IF(ISERROR(Personalplanung!AD55/Monatsplanung!$E55*Monatsplanung!$R55),0,Personalplanung!AD55/Monatsplanung!$E55*Monatsplanung!$R55))</f>
        <v>0</v>
      </c>
      <c r="R1199" s="740"/>
      <c r="S1199" s="739"/>
      <c r="T1199" s="168">
        <f>IF(S1199&lt;&gt;"",S1199,IF(ISERROR(Personalplanung!AE55/Monatsplanung!$E55*Monatsplanung!$R55),0,Personalplanung!AE55/Monatsplanung!$E55*Monatsplanung!$R55))</f>
        <v>0</v>
      </c>
      <c r="U1199" s="740"/>
      <c r="V1199" s="168">
        <f t="shared" si="379"/>
        <v>0</v>
      </c>
      <c r="W1199" s="168">
        <f>IF(ISERROR(Personalplanung!P55/Monatsplanung!$E55*Monatsplanung!$R55),0,Personalplanung!P55/Monatsplanung!$E55*Monatsplanung!$R55)</f>
        <v>0</v>
      </c>
      <c r="X1199" s="168">
        <f>IF(ISERROR(Personalplanung!Q55/Monatsplanung!$E55*Monatsplanung!$R55),0,Personalplanung!Q55/Monatsplanung!$E55*Monatsplanung!$R55)</f>
        <v>0</v>
      </c>
      <c r="Y1199" s="168">
        <f>IF(ISERROR(Personalplanung!R55/T1303*Stundencontrolling!T1199),0,Personalplanung!R55/T1303*Stundencontrolling!T1199)</f>
        <v>0</v>
      </c>
      <c r="Z1199" s="168">
        <f>IF(ISERROR(Personalplanung!S55/Monatsplanung!$E55*Monatsplanung!$R55),0,Personalplanung!S55/Monatsplanung!$E55*Monatsplanung!$R55)</f>
        <v>0</v>
      </c>
      <c r="AA1199" s="80">
        <f t="shared" si="380"/>
        <v>0</v>
      </c>
      <c r="AB1199" s="102">
        <f t="shared" si="381"/>
        <v>0.1</v>
      </c>
      <c r="AC1199" s="103">
        <f t="shared" si="382"/>
        <v>0</v>
      </c>
      <c r="AD1199" s="103">
        <f t="shared" si="383"/>
        <v>0</v>
      </c>
      <c r="AE1199" s="81">
        <f t="shared" si="384"/>
        <v>0</v>
      </c>
      <c r="AF1199" s="539"/>
      <c r="AG1199" s="104">
        <f t="shared" si="385"/>
        <v>1</v>
      </c>
      <c r="AH1199" s="7">
        <f t="shared" si="386"/>
        <v>0</v>
      </c>
      <c r="AI1199" s="6">
        <f t="shared" si="387"/>
        <v>0</v>
      </c>
      <c r="AJ1199" s="73">
        <f t="shared" si="388"/>
        <v>0</v>
      </c>
      <c r="AK1199" s="539"/>
      <c r="AL1199" s="748"/>
      <c r="AM1199" s="748"/>
    </row>
    <row r="1200" spans="2:39" x14ac:dyDescent="0.2">
      <c r="B1200" s="101" t="str">
        <f t="shared" si="373"/>
        <v/>
      </c>
      <c r="C1200" s="168">
        <f>IF(ISERROR(Personalplanung!F56/Monatsplanung!$E56*Monatsplanung!$R56),0,Personalplanung!F56/Monatsplanung!$E56*Monatsplanung!$R56)</f>
        <v>0</v>
      </c>
      <c r="D1200" s="168">
        <f t="shared" si="374"/>
        <v>0</v>
      </c>
      <c r="E1200" s="168">
        <f>IF(ISERROR(Personalplanung!H56/Monatsplanung!$E56*Monatsplanung!$R56),0,Personalplanung!H56/Monatsplanung!$E56*Monatsplanung!$R56)</f>
        <v>0</v>
      </c>
      <c r="F1200" s="168">
        <f t="shared" si="375"/>
        <v>0</v>
      </c>
      <c r="G1200" s="168">
        <f t="shared" si="376"/>
        <v>27.700831024930746</v>
      </c>
      <c r="H1200" s="168">
        <f t="shared" si="377"/>
        <v>0</v>
      </c>
      <c r="I1200" s="168">
        <f t="shared" si="378"/>
        <v>30</v>
      </c>
      <c r="J1200" s="739"/>
      <c r="K1200" s="168">
        <f>IF(J1200&lt;&gt;"",J1200,IF(ISERROR(Personalplanung!AB56/Monatsplanung!$E56*Monatsplanung!$R56),0,Personalplanung!AB56/Monatsplanung!$E56*Monatsplanung!$R56))</f>
        <v>0</v>
      </c>
      <c r="L1200" s="740"/>
      <c r="M1200" s="739"/>
      <c r="N1200" s="168">
        <f>IF(M1200&lt;&gt;"",M1200,IF(ISERROR(Personalplanung!AC56/Monatsplanung!$E56*Monatsplanung!$R56),0,Personalplanung!AC56/Monatsplanung!$E56*Monatsplanung!$R56))</f>
        <v>0</v>
      </c>
      <c r="O1200" s="740"/>
      <c r="P1200" s="739"/>
      <c r="Q1200" s="168">
        <f>IF(P1200&lt;&gt;"",P1200,IF(ISERROR(Personalplanung!AD56/Monatsplanung!$E56*Monatsplanung!$R56),0,Personalplanung!AD56/Monatsplanung!$E56*Monatsplanung!$R56))</f>
        <v>0</v>
      </c>
      <c r="R1200" s="740"/>
      <c r="S1200" s="739"/>
      <c r="T1200" s="168">
        <f>IF(S1200&lt;&gt;"",S1200,IF(ISERROR(Personalplanung!AE56/Monatsplanung!$E56*Monatsplanung!$R56),0,Personalplanung!AE56/Monatsplanung!$E56*Monatsplanung!$R56))</f>
        <v>0</v>
      </c>
      <c r="U1200" s="740"/>
      <c r="V1200" s="168">
        <f t="shared" si="379"/>
        <v>0</v>
      </c>
      <c r="W1200" s="168">
        <f>IF(ISERROR(Personalplanung!P56/Monatsplanung!$E56*Monatsplanung!$R56),0,Personalplanung!P56/Monatsplanung!$E56*Monatsplanung!$R56)</f>
        <v>0</v>
      </c>
      <c r="X1200" s="168">
        <f>IF(ISERROR(Personalplanung!Q56/Monatsplanung!$E56*Monatsplanung!$R56),0,Personalplanung!Q56/Monatsplanung!$E56*Monatsplanung!$R56)</f>
        <v>0</v>
      </c>
      <c r="Y1200" s="168">
        <f>IF(ISERROR(Personalplanung!R56/T1304*Stundencontrolling!T1200),0,Personalplanung!R56/T1304*Stundencontrolling!T1200)</f>
        <v>0</v>
      </c>
      <c r="Z1200" s="168">
        <f>IF(ISERROR(Personalplanung!S56/Monatsplanung!$E56*Monatsplanung!$R56),0,Personalplanung!S56/Monatsplanung!$E56*Monatsplanung!$R56)</f>
        <v>0</v>
      </c>
      <c r="AA1200" s="80">
        <f t="shared" si="380"/>
        <v>0</v>
      </c>
      <c r="AB1200" s="102">
        <f t="shared" si="381"/>
        <v>0.1</v>
      </c>
      <c r="AC1200" s="103">
        <f t="shared" si="382"/>
        <v>0</v>
      </c>
      <c r="AD1200" s="103">
        <f t="shared" si="383"/>
        <v>0</v>
      </c>
      <c r="AE1200" s="81">
        <f t="shared" si="384"/>
        <v>0</v>
      </c>
      <c r="AF1200" s="539"/>
      <c r="AG1200" s="104">
        <f t="shared" si="385"/>
        <v>1</v>
      </c>
      <c r="AH1200" s="7">
        <f t="shared" si="386"/>
        <v>0</v>
      </c>
      <c r="AI1200" s="6">
        <f t="shared" si="387"/>
        <v>0</v>
      </c>
      <c r="AJ1200" s="73">
        <f t="shared" si="388"/>
        <v>0</v>
      </c>
      <c r="AK1200" s="539"/>
      <c r="AL1200" s="748"/>
      <c r="AM1200" s="748"/>
    </row>
    <row r="1201" spans="2:39" x14ac:dyDescent="0.2">
      <c r="B1201" s="101" t="str">
        <f t="shared" si="373"/>
        <v/>
      </c>
      <c r="C1201" s="168">
        <f>IF(ISERROR(Personalplanung!F57/Monatsplanung!$E57*Monatsplanung!$R57),0,Personalplanung!F57/Monatsplanung!$E57*Monatsplanung!$R57)</f>
        <v>0</v>
      </c>
      <c r="D1201" s="168">
        <f t="shared" si="374"/>
        <v>0</v>
      </c>
      <c r="E1201" s="168">
        <f>IF(ISERROR(Personalplanung!H57/Monatsplanung!$E57*Monatsplanung!$R57),0,Personalplanung!H57/Monatsplanung!$E57*Monatsplanung!$R57)</f>
        <v>0</v>
      </c>
      <c r="F1201" s="168">
        <f t="shared" si="375"/>
        <v>0</v>
      </c>
      <c r="G1201" s="168">
        <f t="shared" si="376"/>
        <v>27.700831024930746</v>
      </c>
      <c r="H1201" s="168">
        <f t="shared" si="377"/>
        <v>0</v>
      </c>
      <c r="I1201" s="168">
        <f t="shared" si="378"/>
        <v>30</v>
      </c>
      <c r="J1201" s="739"/>
      <c r="K1201" s="168">
        <f>IF(J1201&lt;&gt;"",J1201,IF(ISERROR(Personalplanung!AB57/Monatsplanung!$E57*Monatsplanung!$R57),0,Personalplanung!AB57/Monatsplanung!$E57*Monatsplanung!$R57))</f>
        <v>0</v>
      </c>
      <c r="L1201" s="740"/>
      <c r="M1201" s="739"/>
      <c r="N1201" s="168">
        <f>IF(M1201&lt;&gt;"",M1201,IF(ISERROR(Personalplanung!AC57/Monatsplanung!$E57*Monatsplanung!$R57),0,Personalplanung!AC57/Monatsplanung!$E57*Monatsplanung!$R57))</f>
        <v>0</v>
      </c>
      <c r="O1201" s="740"/>
      <c r="P1201" s="739"/>
      <c r="Q1201" s="168">
        <f>IF(P1201&lt;&gt;"",P1201,IF(ISERROR(Personalplanung!AD57/Monatsplanung!$E57*Monatsplanung!$R57),0,Personalplanung!AD57/Monatsplanung!$E57*Monatsplanung!$R57))</f>
        <v>0</v>
      </c>
      <c r="R1201" s="740"/>
      <c r="S1201" s="739"/>
      <c r="T1201" s="168">
        <f>IF(S1201&lt;&gt;"",S1201,IF(ISERROR(Personalplanung!AE57/Monatsplanung!$E57*Monatsplanung!$R57),0,Personalplanung!AE57/Monatsplanung!$E57*Monatsplanung!$R57))</f>
        <v>0</v>
      </c>
      <c r="U1201" s="740"/>
      <c r="V1201" s="168">
        <f t="shared" si="379"/>
        <v>0</v>
      </c>
      <c r="W1201" s="168">
        <f>IF(ISERROR(Personalplanung!P57/Monatsplanung!$E57*Monatsplanung!$R57),0,Personalplanung!P57/Monatsplanung!$E57*Monatsplanung!$R57)</f>
        <v>0</v>
      </c>
      <c r="X1201" s="168">
        <f>IF(ISERROR(Personalplanung!Q57/Monatsplanung!$E57*Monatsplanung!$R57),0,Personalplanung!Q57/Monatsplanung!$E57*Monatsplanung!$R57)</f>
        <v>0</v>
      </c>
      <c r="Y1201" s="168">
        <f>IF(ISERROR(Personalplanung!R57/T1305*Stundencontrolling!T1201),0,Personalplanung!R57/T1305*Stundencontrolling!T1201)</f>
        <v>0</v>
      </c>
      <c r="Z1201" s="168">
        <f>IF(ISERROR(Personalplanung!S57/Monatsplanung!$E57*Monatsplanung!$R57),0,Personalplanung!S57/Monatsplanung!$E57*Monatsplanung!$R57)</f>
        <v>0</v>
      </c>
      <c r="AA1201" s="80">
        <f t="shared" si="380"/>
        <v>0</v>
      </c>
      <c r="AB1201" s="102">
        <f t="shared" si="381"/>
        <v>0.1</v>
      </c>
      <c r="AC1201" s="103">
        <f t="shared" si="382"/>
        <v>0</v>
      </c>
      <c r="AD1201" s="103">
        <f t="shared" si="383"/>
        <v>0</v>
      </c>
      <c r="AE1201" s="81">
        <f t="shared" si="384"/>
        <v>0</v>
      </c>
      <c r="AF1201" s="539"/>
      <c r="AG1201" s="104">
        <f t="shared" si="385"/>
        <v>1</v>
      </c>
      <c r="AH1201" s="7">
        <f t="shared" si="386"/>
        <v>0</v>
      </c>
      <c r="AI1201" s="6">
        <f t="shared" si="387"/>
        <v>0</v>
      </c>
      <c r="AJ1201" s="73">
        <f t="shared" si="388"/>
        <v>0</v>
      </c>
      <c r="AK1201" s="539"/>
      <c r="AL1201" s="748"/>
      <c r="AM1201" s="748"/>
    </row>
    <row r="1202" spans="2:39" x14ac:dyDescent="0.2">
      <c r="B1202" s="101" t="str">
        <f t="shared" si="373"/>
        <v/>
      </c>
      <c r="C1202" s="168">
        <f>IF(ISERROR(Personalplanung!F58/Monatsplanung!$E58*Monatsplanung!$R58),0,Personalplanung!F58/Monatsplanung!$E58*Monatsplanung!$R58)</f>
        <v>0</v>
      </c>
      <c r="D1202" s="168">
        <f t="shared" si="374"/>
        <v>0</v>
      </c>
      <c r="E1202" s="168">
        <f>IF(ISERROR(Personalplanung!H58/Monatsplanung!$E58*Monatsplanung!$R58),0,Personalplanung!H58/Monatsplanung!$E58*Monatsplanung!$R58)</f>
        <v>0</v>
      </c>
      <c r="F1202" s="168">
        <f t="shared" si="375"/>
        <v>0</v>
      </c>
      <c r="G1202" s="168">
        <f t="shared" si="376"/>
        <v>27.700831024930746</v>
      </c>
      <c r="H1202" s="168">
        <f t="shared" si="377"/>
        <v>0</v>
      </c>
      <c r="I1202" s="168">
        <f t="shared" si="378"/>
        <v>30</v>
      </c>
      <c r="J1202" s="739"/>
      <c r="K1202" s="168">
        <f>IF(J1202&lt;&gt;"",J1202,IF(ISERROR(Personalplanung!AB58/Monatsplanung!$E58*Monatsplanung!$R58),0,Personalplanung!AB58/Monatsplanung!$E58*Monatsplanung!$R58))</f>
        <v>0</v>
      </c>
      <c r="L1202" s="740"/>
      <c r="M1202" s="739"/>
      <c r="N1202" s="168">
        <f>IF(M1202&lt;&gt;"",M1202,IF(ISERROR(Personalplanung!AC58/Monatsplanung!$E58*Monatsplanung!$R58),0,Personalplanung!AC58/Monatsplanung!$E58*Monatsplanung!$R58))</f>
        <v>0</v>
      </c>
      <c r="O1202" s="740"/>
      <c r="P1202" s="739"/>
      <c r="Q1202" s="168">
        <f>IF(P1202&lt;&gt;"",P1202,IF(ISERROR(Personalplanung!AD58/Monatsplanung!$E58*Monatsplanung!$R58),0,Personalplanung!AD58/Monatsplanung!$E58*Monatsplanung!$R58))</f>
        <v>0</v>
      </c>
      <c r="R1202" s="740"/>
      <c r="S1202" s="739"/>
      <c r="T1202" s="168">
        <f>IF(S1202&lt;&gt;"",S1202,IF(ISERROR(Personalplanung!AE58/Monatsplanung!$E58*Monatsplanung!$R58),0,Personalplanung!AE58/Monatsplanung!$E58*Monatsplanung!$R58))</f>
        <v>0</v>
      </c>
      <c r="U1202" s="740"/>
      <c r="V1202" s="168">
        <f t="shared" si="379"/>
        <v>0</v>
      </c>
      <c r="W1202" s="168">
        <f>IF(ISERROR(Personalplanung!P58/Monatsplanung!$E58*Monatsplanung!$R58),0,Personalplanung!P58/Monatsplanung!$E58*Monatsplanung!$R58)</f>
        <v>0</v>
      </c>
      <c r="X1202" s="168">
        <f>IF(ISERROR(Personalplanung!Q58/Monatsplanung!$E58*Monatsplanung!$R58),0,Personalplanung!Q58/Monatsplanung!$E58*Monatsplanung!$R58)</f>
        <v>0</v>
      </c>
      <c r="Y1202" s="168">
        <f>IF(ISERROR(Personalplanung!R58/T1306*Stundencontrolling!T1202),0,Personalplanung!R58/T1306*Stundencontrolling!T1202)</f>
        <v>0</v>
      </c>
      <c r="Z1202" s="168">
        <f>IF(ISERROR(Personalplanung!S58/Monatsplanung!$E58*Monatsplanung!$R58),0,Personalplanung!S58/Monatsplanung!$E58*Monatsplanung!$R58)</f>
        <v>0</v>
      </c>
      <c r="AA1202" s="80">
        <f t="shared" si="380"/>
        <v>0</v>
      </c>
      <c r="AB1202" s="102">
        <f t="shared" si="381"/>
        <v>0.1</v>
      </c>
      <c r="AC1202" s="103">
        <f t="shared" si="382"/>
        <v>0</v>
      </c>
      <c r="AD1202" s="103">
        <f t="shared" si="383"/>
        <v>0</v>
      </c>
      <c r="AE1202" s="81">
        <f t="shared" si="384"/>
        <v>0</v>
      </c>
      <c r="AF1202" s="539"/>
      <c r="AG1202" s="104">
        <f t="shared" si="385"/>
        <v>1</v>
      </c>
      <c r="AH1202" s="7">
        <f t="shared" si="386"/>
        <v>0</v>
      </c>
      <c r="AI1202" s="6">
        <f t="shared" si="387"/>
        <v>0</v>
      </c>
      <c r="AJ1202" s="73">
        <f t="shared" si="388"/>
        <v>0</v>
      </c>
      <c r="AK1202" s="539"/>
      <c r="AL1202" s="748"/>
      <c r="AM1202" s="748"/>
    </row>
    <row r="1203" spans="2:39" x14ac:dyDescent="0.2">
      <c r="B1203" s="101" t="str">
        <f t="shared" si="373"/>
        <v/>
      </c>
      <c r="C1203" s="168">
        <f>IF(ISERROR(Personalplanung!F59/Monatsplanung!$E59*Monatsplanung!$R59),0,Personalplanung!F59/Monatsplanung!$E59*Monatsplanung!$R59)</f>
        <v>0</v>
      </c>
      <c r="D1203" s="168">
        <f t="shared" si="374"/>
        <v>0</v>
      </c>
      <c r="E1203" s="168">
        <f>IF(ISERROR(Personalplanung!H59/Monatsplanung!$E59*Monatsplanung!$R59),0,Personalplanung!H59/Monatsplanung!$E59*Monatsplanung!$R59)</f>
        <v>0</v>
      </c>
      <c r="F1203" s="168">
        <f t="shared" si="375"/>
        <v>0</v>
      </c>
      <c r="G1203" s="168">
        <f t="shared" si="376"/>
        <v>27.700831024930746</v>
      </c>
      <c r="H1203" s="168">
        <f t="shared" si="377"/>
        <v>0</v>
      </c>
      <c r="I1203" s="168">
        <f t="shared" si="378"/>
        <v>30</v>
      </c>
      <c r="J1203" s="739"/>
      <c r="K1203" s="168">
        <f>IF(J1203&lt;&gt;"",J1203,IF(ISERROR(Personalplanung!AB59/Monatsplanung!$E59*Monatsplanung!$R59),0,Personalplanung!AB59/Monatsplanung!$E59*Monatsplanung!$R59))</f>
        <v>0</v>
      </c>
      <c r="L1203" s="740"/>
      <c r="M1203" s="739"/>
      <c r="N1203" s="168">
        <f>IF(M1203&lt;&gt;"",M1203,IF(ISERROR(Personalplanung!AC59/Monatsplanung!$E59*Monatsplanung!$R59),0,Personalplanung!AC59/Monatsplanung!$E59*Monatsplanung!$R59))</f>
        <v>0</v>
      </c>
      <c r="O1203" s="740"/>
      <c r="P1203" s="739"/>
      <c r="Q1203" s="168">
        <f>IF(P1203&lt;&gt;"",P1203,IF(ISERROR(Personalplanung!AD59/Monatsplanung!$E59*Monatsplanung!$R59),0,Personalplanung!AD59/Monatsplanung!$E59*Monatsplanung!$R59))</f>
        <v>0</v>
      </c>
      <c r="R1203" s="740"/>
      <c r="S1203" s="739"/>
      <c r="T1203" s="168">
        <f>IF(S1203&lt;&gt;"",S1203,IF(ISERROR(Personalplanung!AE59/Monatsplanung!$E59*Monatsplanung!$R59),0,Personalplanung!AE59/Monatsplanung!$E59*Monatsplanung!$R59))</f>
        <v>0</v>
      </c>
      <c r="U1203" s="740"/>
      <c r="V1203" s="168">
        <f t="shared" si="379"/>
        <v>0</v>
      </c>
      <c r="W1203" s="168">
        <f>IF(ISERROR(Personalplanung!P59/Monatsplanung!$E59*Monatsplanung!$R59),0,Personalplanung!P59/Monatsplanung!$E59*Monatsplanung!$R59)</f>
        <v>0</v>
      </c>
      <c r="X1203" s="168">
        <f>IF(ISERROR(Personalplanung!Q59/Monatsplanung!$E59*Monatsplanung!$R59),0,Personalplanung!Q59/Monatsplanung!$E59*Monatsplanung!$R59)</f>
        <v>0</v>
      </c>
      <c r="Y1203" s="168">
        <f>IF(ISERROR(Personalplanung!R59/T1307*Stundencontrolling!T1203),0,Personalplanung!R59/T1307*Stundencontrolling!T1203)</f>
        <v>0</v>
      </c>
      <c r="Z1203" s="168">
        <f>IF(ISERROR(Personalplanung!S59/Monatsplanung!$E59*Monatsplanung!$R59),0,Personalplanung!S59/Monatsplanung!$E59*Monatsplanung!$R59)</f>
        <v>0</v>
      </c>
      <c r="AA1203" s="80">
        <f t="shared" si="380"/>
        <v>0</v>
      </c>
      <c r="AB1203" s="102">
        <f t="shared" si="381"/>
        <v>0.1</v>
      </c>
      <c r="AC1203" s="103">
        <f t="shared" si="382"/>
        <v>0</v>
      </c>
      <c r="AD1203" s="103">
        <f t="shared" si="383"/>
        <v>0</v>
      </c>
      <c r="AE1203" s="81">
        <f t="shared" si="384"/>
        <v>0</v>
      </c>
      <c r="AF1203" s="539"/>
      <c r="AG1203" s="104">
        <f t="shared" si="385"/>
        <v>1</v>
      </c>
      <c r="AH1203" s="7">
        <f t="shared" si="386"/>
        <v>0</v>
      </c>
      <c r="AI1203" s="6">
        <f t="shared" si="387"/>
        <v>0</v>
      </c>
      <c r="AJ1203" s="73">
        <f t="shared" si="388"/>
        <v>0</v>
      </c>
      <c r="AK1203" s="539"/>
      <c r="AL1203" s="748"/>
      <c r="AM1203" s="748"/>
    </row>
    <row r="1204" spans="2:39" x14ac:dyDescent="0.2">
      <c r="B1204" s="101" t="str">
        <f t="shared" si="373"/>
        <v/>
      </c>
      <c r="C1204" s="168">
        <f>IF(ISERROR(Personalplanung!F60/Monatsplanung!$E60*Monatsplanung!$R60),0,Personalplanung!F60/Monatsplanung!$E60*Monatsplanung!$R60)</f>
        <v>0</v>
      </c>
      <c r="D1204" s="168">
        <f t="shared" si="374"/>
        <v>0</v>
      </c>
      <c r="E1204" s="168">
        <f>IF(ISERROR(Personalplanung!H60/Monatsplanung!$E60*Monatsplanung!$R60),0,Personalplanung!H60/Monatsplanung!$E60*Monatsplanung!$R60)</f>
        <v>0</v>
      </c>
      <c r="F1204" s="168">
        <f t="shared" si="375"/>
        <v>0</v>
      </c>
      <c r="G1204" s="168">
        <f t="shared" si="376"/>
        <v>27.700831024930746</v>
      </c>
      <c r="H1204" s="168">
        <f t="shared" si="377"/>
        <v>0</v>
      </c>
      <c r="I1204" s="168">
        <f t="shared" si="378"/>
        <v>30</v>
      </c>
      <c r="J1204" s="739"/>
      <c r="K1204" s="168">
        <f>IF(J1204&lt;&gt;"",J1204,IF(ISERROR(Personalplanung!AB60/Monatsplanung!$E60*Monatsplanung!$R60),0,Personalplanung!AB60/Monatsplanung!$E60*Monatsplanung!$R60))</f>
        <v>0</v>
      </c>
      <c r="L1204" s="740"/>
      <c r="M1204" s="739"/>
      <c r="N1204" s="168">
        <f>IF(M1204&lt;&gt;"",M1204,IF(ISERROR(Personalplanung!AC60/Monatsplanung!$E60*Monatsplanung!$R60),0,Personalplanung!AC60/Monatsplanung!$E60*Monatsplanung!$R60))</f>
        <v>0</v>
      </c>
      <c r="O1204" s="740"/>
      <c r="P1204" s="739"/>
      <c r="Q1204" s="168">
        <f>IF(P1204&lt;&gt;"",P1204,IF(ISERROR(Personalplanung!AD60/Monatsplanung!$E60*Monatsplanung!$R60),0,Personalplanung!AD60/Monatsplanung!$E60*Monatsplanung!$R60))</f>
        <v>0</v>
      </c>
      <c r="R1204" s="740"/>
      <c r="S1204" s="739"/>
      <c r="T1204" s="168">
        <f>IF(S1204&lt;&gt;"",S1204,IF(ISERROR(Personalplanung!AE60/Monatsplanung!$E60*Monatsplanung!$R60),0,Personalplanung!AE60/Monatsplanung!$E60*Monatsplanung!$R60))</f>
        <v>0</v>
      </c>
      <c r="U1204" s="740"/>
      <c r="V1204" s="168">
        <f t="shared" si="379"/>
        <v>0</v>
      </c>
      <c r="W1204" s="168">
        <f>IF(ISERROR(Personalplanung!P60/Monatsplanung!$E60*Monatsplanung!$R60),0,Personalplanung!P60/Monatsplanung!$E60*Monatsplanung!$R60)</f>
        <v>0</v>
      </c>
      <c r="X1204" s="168">
        <f>IF(ISERROR(Personalplanung!Q60/Monatsplanung!$E60*Monatsplanung!$R60),0,Personalplanung!Q60/Monatsplanung!$E60*Monatsplanung!$R60)</f>
        <v>0</v>
      </c>
      <c r="Y1204" s="168">
        <f>IF(ISERROR(Personalplanung!R60/T1308*Stundencontrolling!T1204),0,Personalplanung!R60/T1308*Stundencontrolling!T1204)</f>
        <v>0</v>
      </c>
      <c r="Z1204" s="168">
        <f>IF(ISERROR(Personalplanung!S60/Monatsplanung!$E60*Monatsplanung!$R60),0,Personalplanung!S60/Monatsplanung!$E60*Monatsplanung!$R60)</f>
        <v>0</v>
      </c>
      <c r="AA1204" s="80">
        <f t="shared" si="380"/>
        <v>0</v>
      </c>
      <c r="AB1204" s="102">
        <f t="shared" si="381"/>
        <v>0.1</v>
      </c>
      <c r="AC1204" s="103">
        <f t="shared" si="382"/>
        <v>0</v>
      </c>
      <c r="AD1204" s="103">
        <f t="shared" si="383"/>
        <v>0</v>
      </c>
      <c r="AE1204" s="81">
        <f t="shared" si="384"/>
        <v>0</v>
      </c>
      <c r="AF1204" s="539"/>
      <c r="AG1204" s="104">
        <f t="shared" si="385"/>
        <v>1</v>
      </c>
      <c r="AH1204" s="7">
        <f t="shared" si="386"/>
        <v>0</v>
      </c>
      <c r="AI1204" s="6">
        <f t="shared" si="387"/>
        <v>0</v>
      </c>
      <c r="AJ1204" s="73">
        <f t="shared" si="388"/>
        <v>0</v>
      </c>
      <c r="AK1204" s="539"/>
      <c r="AL1204" s="748"/>
      <c r="AM1204" s="748"/>
    </row>
    <row r="1205" spans="2:39" x14ac:dyDescent="0.2">
      <c r="B1205" s="101" t="str">
        <f t="shared" si="373"/>
        <v/>
      </c>
      <c r="C1205" s="168">
        <f>IF(ISERROR(Personalplanung!F61/Monatsplanung!$E61*Monatsplanung!$R61),0,Personalplanung!F61/Monatsplanung!$E61*Monatsplanung!$R61)</f>
        <v>0</v>
      </c>
      <c r="D1205" s="168">
        <f t="shared" si="374"/>
        <v>0</v>
      </c>
      <c r="E1205" s="168">
        <f>IF(ISERROR(Personalplanung!H61/Monatsplanung!$E61*Monatsplanung!$R61),0,Personalplanung!H61/Monatsplanung!$E61*Monatsplanung!$R61)</f>
        <v>0</v>
      </c>
      <c r="F1205" s="168">
        <f t="shared" si="375"/>
        <v>0</v>
      </c>
      <c r="G1205" s="168">
        <f t="shared" si="376"/>
        <v>27.700831024930746</v>
      </c>
      <c r="H1205" s="168">
        <f t="shared" si="377"/>
        <v>0</v>
      </c>
      <c r="I1205" s="168">
        <f t="shared" si="378"/>
        <v>30</v>
      </c>
      <c r="J1205" s="739"/>
      <c r="K1205" s="168">
        <f>IF(J1205&lt;&gt;"",J1205,IF(ISERROR(Personalplanung!AB61/Monatsplanung!$E61*Monatsplanung!$R61),0,Personalplanung!AB61/Monatsplanung!$E61*Monatsplanung!$R61))</f>
        <v>0</v>
      </c>
      <c r="L1205" s="740"/>
      <c r="M1205" s="739"/>
      <c r="N1205" s="168">
        <f>IF(M1205&lt;&gt;"",M1205,IF(ISERROR(Personalplanung!AC61/Monatsplanung!$E61*Monatsplanung!$R61),0,Personalplanung!AC61/Monatsplanung!$E61*Monatsplanung!$R61))</f>
        <v>0</v>
      </c>
      <c r="O1205" s="740"/>
      <c r="P1205" s="739"/>
      <c r="Q1205" s="168">
        <f>IF(P1205&lt;&gt;"",P1205,IF(ISERROR(Personalplanung!AD61/Monatsplanung!$E61*Monatsplanung!$R61),0,Personalplanung!AD61/Monatsplanung!$E61*Monatsplanung!$R61))</f>
        <v>0</v>
      </c>
      <c r="R1205" s="740"/>
      <c r="S1205" s="739"/>
      <c r="T1205" s="168">
        <f>IF(S1205&lt;&gt;"",S1205,IF(ISERROR(Personalplanung!AE61/Monatsplanung!$E61*Monatsplanung!$R61),0,Personalplanung!AE61/Monatsplanung!$E61*Monatsplanung!$R61))</f>
        <v>0</v>
      </c>
      <c r="U1205" s="740"/>
      <c r="V1205" s="168">
        <f t="shared" si="379"/>
        <v>0</v>
      </c>
      <c r="W1205" s="168">
        <f>IF(ISERROR(Personalplanung!P61/Monatsplanung!$E61*Monatsplanung!$R61),0,Personalplanung!P61/Monatsplanung!$E61*Monatsplanung!$R61)</f>
        <v>0</v>
      </c>
      <c r="X1205" s="168">
        <f>IF(ISERROR(Personalplanung!Q61/Monatsplanung!$E61*Monatsplanung!$R61),0,Personalplanung!Q61/Monatsplanung!$E61*Monatsplanung!$R61)</f>
        <v>0</v>
      </c>
      <c r="Y1205" s="168">
        <f>IF(ISERROR(Personalplanung!R61/T1309*Stundencontrolling!T1205),0,Personalplanung!R61/T1309*Stundencontrolling!T1205)</f>
        <v>0</v>
      </c>
      <c r="Z1205" s="168">
        <f>IF(ISERROR(Personalplanung!S61/Monatsplanung!$E61*Monatsplanung!$R61),0,Personalplanung!S61/Monatsplanung!$E61*Monatsplanung!$R61)</f>
        <v>0</v>
      </c>
      <c r="AA1205" s="80">
        <f t="shared" si="380"/>
        <v>0</v>
      </c>
      <c r="AB1205" s="102">
        <f t="shared" si="381"/>
        <v>0.1</v>
      </c>
      <c r="AC1205" s="103">
        <f t="shared" si="382"/>
        <v>0</v>
      </c>
      <c r="AD1205" s="103">
        <f t="shared" si="383"/>
        <v>0</v>
      </c>
      <c r="AE1205" s="81">
        <f t="shared" si="384"/>
        <v>0</v>
      </c>
      <c r="AF1205" s="539"/>
      <c r="AG1205" s="104">
        <f t="shared" si="385"/>
        <v>1</v>
      </c>
      <c r="AH1205" s="7">
        <f t="shared" si="386"/>
        <v>0</v>
      </c>
      <c r="AI1205" s="6">
        <f t="shared" si="387"/>
        <v>0</v>
      </c>
      <c r="AJ1205" s="73">
        <f t="shared" si="388"/>
        <v>0</v>
      </c>
      <c r="AK1205" s="539"/>
      <c r="AL1205" s="748"/>
      <c r="AM1205" s="748"/>
    </row>
    <row r="1206" spans="2:39" x14ac:dyDescent="0.2">
      <c r="B1206" s="101" t="str">
        <f t="shared" si="373"/>
        <v/>
      </c>
      <c r="C1206" s="168">
        <f>IF(ISERROR(Personalplanung!F62/Monatsplanung!$E62*Monatsplanung!$R62),0,Personalplanung!F62/Monatsplanung!$E62*Monatsplanung!$R62)</f>
        <v>0</v>
      </c>
      <c r="D1206" s="168">
        <f t="shared" si="374"/>
        <v>0</v>
      </c>
      <c r="E1206" s="168">
        <f>IF(ISERROR(Personalplanung!H62/Monatsplanung!$E62*Monatsplanung!$R62),0,Personalplanung!H62/Monatsplanung!$E62*Monatsplanung!$R62)</f>
        <v>0</v>
      </c>
      <c r="F1206" s="168">
        <f t="shared" si="375"/>
        <v>0</v>
      </c>
      <c r="G1206" s="168">
        <f t="shared" si="376"/>
        <v>27.700831024930746</v>
      </c>
      <c r="H1206" s="168">
        <f t="shared" si="377"/>
        <v>0</v>
      </c>
      <c r="I1206" s="168">
        <f t="shared" si="378"/>
        <v>30</v>
      </c>
      <c r="J1206" s="739"/>
      <c r="K1206" s="168">
        <f>IF(J1206&lt;&gt;"",J1206,IF(ISERROR(Personalplanung!AB62/Monatsplanung!$E62*Monatsplanung!$R62),0,Personalplanung!AB62/Monatsplanung!$E62*Monatsplanung!$R62))</f>
        <v>0</v>
      </c>
      <c r="L1206" s="740"/>
      <c r="M1206" s="739"/>
      <c r="N1206" s="168">
        <f>IF(M1206&lt;&gt;"",M1206,IF(ISERROR(Personalplanung!AC62/Monatsplanung!$E62*Monatsplanung!$R62),0,Personalplanung!AC62/Monatsplanung!$E62*Monatsplanung!$R62))</f>
        <v>0</v>
      </c>
      <c r="O1206" s="740"/>
      <c r="P1206" s="739"/>
      <c r="Q1206" s="168">
        <f>IF(P1206&lt;&gt;"",P1206,IF(ISERROR(Personalplanung!AD62/Monatsplanung!$E62*Monatsplanung!$R62),0,Personalplanung!AD62/Monatsplanung!$E62*Monatsplanung!$R62))</f>
        <v>0</v>
      </c>
      <c r="R1206" s="740"/>
      <c r="S1206" s="739"/>
      <c r="T1206" s="168">
        <f>IF(S1206&lt;&gt;"",S1206,IF(ISERROR(Personalplanung!AE62/Monatsplanung!$E62*Monatsplanung!$R62),0,Personalplanung!AE62/Monatsplanung!$E62*Monatsplanung!$R62))</f>
        <v>0</v>
      </c>
      <c r="U1206" s="740"/>
      <c r="V1206" s="168">
        <f t="shared" si="379"/>
        <v>0</v>
      </c>
      <c r="W1206" s="168">
        <f>IF(ISERROR(Personalplanung!P62/Monatsplanung!$E62*Monatsplanung!$R62),0,Personalplanung!P62/Monatsplanung!$E62*Monatsplanung!$R62)</f>
        <v>0</v>
      </c>
      <c r="X1206" s="168">
        <f>IF(ISERROR(Personalplanung!Q62/Monatsplanung!$E62*Monatsplanung!$R62),0,Personalplanung!Q62/Monatsplanung!$E62*Monatsplanung!$R62)</f>
        <v>0</v>
      </c>
      <c r="Y1206" s="168">
        <f>IF(ISERROR(Personalplanung!R62/T1310*Stundencontrolling!T1206),0,Personalplanung!R62/T1310*Stundencontrolling!T1206)</f>
        <v>0</v>
      </c>
      <c r="Z1206" s="168">
        <f>IF(ISERROR(Personalplanung!S62/Monatsplanung!$E62*Monatsplanung!$R62),0,Personalplanung!S62/Monatsplanung!$E62*Monatsplanung!$R62)</f>
        <v>0</v>
      </c>
      <c r="AA1206" s="80">
        <f t="shared" si="380"/>
        <v>0</v>
      </c>
      <c r="AB1206" s="102">
        <f t="shared" si="381"/>
        <v>0.1</v>
      </c>
      <c r="AC1206" s="103">
        <f t="shared" si="382"/>
        <v>0</v>
      </c>
      <c r="AD1206" s="103">
        <f t="shared" si="383"/>
        <v>0</v>
      </c>
      <c r="AE1206" s="81">
        <f t="shared" si="384"/>
        <v>0</v>
      </c>
      <c r="AF1206" s="539"/>
      <c r="AG1206" s="104">
        <f t="shared" si="385"/>
        <v>1</v>
      </c>
      <c r="AH1206" s="7">
        <f t="shared" si="386"/>
        <v>0</v>
      </c>
      <c r="AI1206" s="6">
        <f t="shared" si="387"/>
        <v>0</v>
      </c>
      <c r="AJ1206" s="73">
        <f t="shared" si="388"/>
        <v>0</v>
      </c>
      <c r="AK1206" s="539"/>
      <c r="AL1206" s="748"/>
      <c r="AM1206" s="748"/>
    </row>
    <row r="1207" spans="2:39" x14ac:dyDescent="0.2">
      <c r="B1207" s="101" t="str">
        <f t="shared" si="373"/>
        <v/>
      </c>
      <c r="C1207" s="168">
        <f>IF(ISERROR(Personalplanung!F63/Monatsplanung!$E63*Monatsplanung!$R63),0,Personalplanung!F63/Monatsplanung!$E63*Monatsplanung!$R63)</f>
        <v>0</v>
      </c>
      <c r="D1207" s="168">
        <f t="shared" si="374"/>
        <v>0</v>
      </c>
      <c r="E1207" s="168">
        <f>IF(ISERROR(Personalplanung!H63/Monatsplanung!$E63*Monatsplanung!$R63),0,Personalplanung!H63/Monatsplanung!$E63*Monatsplanung!$R63)</f>
        <v>0</v>
      </c>
      <c r="F1207" s="168">
        <f t="shared" si="375"/>
        <v>0</v>
      </c>
      <c r="G1207" s="168">
        <f t="shared" si="376"/>
        <v>27.700831024930746</v>
      </c>
      <c r="H1207" s="168">
        <f t="shared" si="377"/>
        <v>0</v>
      </c>
      <c r="I1207" s="168">
        <f t="shared" si="378"/>
        <v>30</v>
      </c>
      <c r="J1207" s="739"/>
      <c r="K1207" s="168">
        <f>IF(J1207&lt;&gt;"",J1207,IF(ISERROR(Personalplanung!AB63/Monatsplanung!$E63*Monatsplanung!$R63),0,Personalplanung!AB63/Monatsplanung!$E63*Monatsplanung!$R63))</f>
        <v>0</v>
      </c>
      <c r="L1207" s="740"/>
      <c r="M1207" s="739"/>
      <c r="N1207" s="168">
        <f>IF(M1207&lt;&gt;"",M1207,IF(ISERROR(Personalplanung!AC63/Monatsplanung!$E63*Monatsplanung!$R63),0,Personalplanung!AC63/Monatsplanung!$E63*Monatsplanung!$R63))</f>
        <v>0</v>
      </c>
      <c r="O1207" s="740"/>
      <c r="P1207" s="739"/>
      <c r="Q1207" s="168">
        <f>IF(P1207&lt;&gt;"",P1207,IF(ISERROR(Personalplanung!AD63/Monatsplanung!$E63*Monatsplanung!$R63),0,Personalplanung!AD63/Monatsplanung!$E63*Monatsplanung!$R63))</f>
        <v>0</v>
      </c>
      <c r="R1207" s="740"/>
      <c r="S1207" s="739"/>
      <c r="T1207" s="168">
        <f>IF(S1207&lt;&gt;"",S1207,IF(ISERROR(Personalplanung!AE63/Monatsplanung!$E63*Monatsplanung!$R63),0,Personalplanung!AE63/Monatsplanung!$E63*Monatsplanung!$R63))</f>
        <v>0</v>
      </c>
      <c r="U1207" s="740"/>
      <c r="V1207" s="168">
        <f t="shared" si="379"/>
        <v>0</v>
      </c>
      <c r="W1207" s="168">
        <f>IF(ISERROR(Personalplanung!P63/Monatsplanung!$E63*Monatsplanung!$R63),0,Personalplanung!P63/Monatsplanung!$E63*Monatsplanung!$R63)</f>
        <v>0</v>
      </c>
      <c r="X1207" s="168">
        <f>IF(ISERROR(Personalplanung!Q63/Monatsplanung!$E63*Monatsplanung!$R63),0,Personalplanung!Q63/Monatsplanung!$E63*Monatsplanung!$R63)</f>
        <v>0</v>
      </c>
      <c r="Y1207" s="168">
        <f>IF(ISERROR(Personalplanung!R63/T1311*Stundencontrolling!T1207),0,Personalplanung!R63/T1311*Stundencontrolling!T1207)</f>
        <v>0</v>
      </c>
      <c r="Z1207" s="168">
        <f>IF(ISERROR(Personalplanung!S63/Monatsplanung!$E63*Monatsplanung!$R63),0,Personalplanung!S63/Monatsplanung!$E63*Monatsplanung!$R63)</f>
        <v>0</v>
      </c>
      <c r="AA1207" s="80">
        <f t="shared" si="380"/>
        <v>0</v>
      </c>
      <c r="AB1207" s="102">
        <f t="shared" si="381"/>
        <v>0.1</v>
      </c>
      <c r="AC1207" s="103">
        <f t="shared" si="382"/>
        <v>0</v>
      </c>
      <c r="AD1207" s="103">
        <f t="shared" si="383"/>
        <v>0</v>
      </c>
      <c r="AE1207" s="81">
        <f t="shared" si="384"/>
        <v>0</v>
      </c>
      <c r="AF1207" s="539"/>
      <c r="AG1207" s="104">
        <f t="shared" si="385"/>
        <v>1</v>
      </c>
      <c r="AH1207" s="7">
        <f t="shared" si="386"/>
        <v>0</v>
      </c>
      <c r="AI1207" s="6">
        <f t="shared" si="387"/>
        <v>0</v>
      </c>
      <c r="AJ1207" s="73">
        <f t="shared" si="388"/>
        <v>0</v>
      </c>
      <c r="AK1207" s="539"/>
      <c r="AL1207" s="748"/>
      <c r="AM1207" s="748"/>
    </row>
    <row r="1208" spans="2:39" x14ac:dyDescent="0.2">
      <c r="B1208" s="101" t="str">
        <f t="shared" si="373"/>
        <v/>
      </c>
      <c r="C1208" s="168">
        <f>IF(ISERROR(Personalplanung!F64/Monatsplanung!$E64*Monatsplanung!$R64),0,Personalplanung!F64/Monatsplanung!$E64*Monatsplanung!$R64)</f>
        <v>0</v>
      </c>
      <c r="D1208" s="168">
        <f t="shared" si="374"/>
        <v>0</v>
      </c>
      <c r="E1208" s="168">
        <f>IF(ISERROR(Personalplanung!H64/Monatsplanung!$E64*Monatsplanung!$R64),0,Personalplanung!H64/Monatsplanung!$E64*Monatsplanung!$R64)</f>
        <v>0</v>
      </c>
      <c r="F1208" s="168">
        <f t="shared" si="375"/>
        <v>0</v>
      </c>
      <c r="G1208" s="168">
        <f t="shared" si="376"/>
        <v>27.700831024930746</v>
      </c>
      <c r="H1208" s="168">
        <f t="shared" si="377"/>
        <v>0</v>
      </c>
      <c r="I1208" s="168">
        <f t="shared" si="378"/>
        <v>30</v>
      </c>
      <c r="J1208" s="739"/>
      <c r="K1208" s="168">
        <f>IF(J1208&lt;&gt;"",J1208,IF(ISERROR(Personalplanung!AB64/Monatsplanung!$E64*Monatsplanung!$R64),0,Personalplanung!AB64/Monatsplanung!$E64*Monatsplanung!$R64))</f>
        <v>0</v>
      </c>
      <c r="L1208" s="740"/>
      <c r="M1208" s="739"/>
      <c r="N1208" s="168">
        <f>IF(M1208&lt;&gt;"",M1208,IF(ISERROR(Personalplanung!AC64/Monatsplanung!$E64*Monatsplanung!$R64),0,Personalplanung!AC64/Monatsplanung!$E64*Monatsplanung!$R64))</f>
        <v>0</v>
      </c>
      <c r="O1208" s="740"/>
      <c r="P1208" s="739"/>
      <c r="Q1208" s="168">
        <f>IF(P1208&lt;&gt;"",P1208,IF(ISERROR(Personalplanung!AD64/Monatsplanung!$E64*Monatsplanung!$R64),0,Personalplanung!AD64/Monatsplanung!$E64*Monatsplanung!$R64))</f>
        <v>0</v>
      </c>
      <c r="R1208" s="740"/>
      <c r="S1208" s="739"/>
      <c r="T1208" s="168">
        <f>IF(S1208&lt;&gt;"",S1208,IF(ISERROR(Personalplanung!AE64/Monatsplanung!$E64*Monatsplanung!$R64),0,Personalplanung!AE64/Monatsplanung!$E64*Monatsplanung!$R64))</f>
        <v>0</v>
      </c>
      <c r="U1208" s="740"/>
      <c r="V1208" s="168">
        <f t="shared" si="379"/>
        <v>0</v>
      </c>
      <c r="W1208" s="168">
        <f>IF(ISERROR(Personalplanung!P64/Monatsplanung!$E64*Monatsplanung!$R64),0,Personalplanung!P64/Monatsplanung!$E64*Monatsplanung!$R64)</f>
        <v>0</v>
      </c>
      <c r="X1208" s="168">
        <f>IF(ISERROR(Personalplanung!Q64/Monatsplanung!$E64*Monatsplanung!$R64),0,Personalplanung!Q64/Monatsplanung!$E64*Monatsplanung!$R64)</f>
        <v>0</v>
      </c>
      <c r="Y1208" s="168">
        <f>IF(ISERROR(Personalplanung!R64/T1312*Stundencontrolling!T1208),0,Personalplanung!R64/T1312*Stundencontrolling!T1208)</f>
        <v>0</v>
      </c>
      <c r="Z1208" s="168">
        <f>IF(ISERROR(Personalplanung!S64/Monatsplanung!$E64*Monatsplanung!$R64),0,Personalplanung!S64/Monatsplanung!$E64*Monatsplanung!$R64)</f>
        <v>0</v>
      </c>
      <c r="AA1208" s="80">
        <f t="shared" si="380"/>
        <v>0</v>
      </c>
      <c r="AB1208" s="102">
        <f t="shared" si="381"/>
        <v>0.1</v>
      </c>
      <c r="AC1208" s="103">
        <f t="shared" si="382"/>
        <v>0</v>
      </c>
      <c r="AD1208" s="103">
        <f t="shared" si="383"/>
        <v>0</v>
      </c>
      <c r="AE1208" s="81">
        <f t="shared" si="384"/>
        <v>0</v>
      </c>
      <c r="AF1208" s="539"/>
      <c r="AG1208" s="104">
        <f t="shared" si="385"/>
        <v>1</v>
      </c>
      <c r="AH1208" s="7">
        <f t="shared" si="386"/>
        <v>0</v>
      </c>
      <c r="AI1208" s="6">
        <f t="shared" si="387"/>
        <v>0</v>
      </c>
      <c r="AJ1208" s="73">
        <f t="shared" si="388"/>
        <v>0</v>
      </c>
      <c r="AK1208" s="539"/>
      <c r="AL1208" s="748"/>
      <c r="AM1208" s="748"/>
    </row>
    <row r="1209" spans="2:39" x14ac:dyDescent="0.2">
      <c r="B1209" s="101" t="str">
        <f t="shared" si="373"/>
        <v/>
      </c>
      <c r="C1209" s="168">
        <f>IF(ISERROR(Personalplanung!F65/Monatsplanung!$E65*Monatsplanung!$R65),0,Personalplanung!F65/Monatsplanung!$E65*Monatsplanung!$R65)</f>
        <v>0</v>
      </c>
      <c r="D1209" s="168">
        <f t="shared" si="374"/>
        <v>0</v>
      </c>
      <c r="E1209" s="168">
        <f>IF(ISERROR(Personalplanung!H65/Monatsplanung!$E65*Monatsplanung!$R65),0,Personalplanung!H65/Monatsplanung!$E65*Monatsplanung!$R65)</f>
        <v>0</v>
      </c>
      <c r="F1209" s="168">
        <f t="shared" si="375"/>
        <v>0</v>
      </c>
      <c r="G1209" s="168">
        <f t="shared" si="376"/>
        <v>27.700831024930746</v>
      </c>
      <c r="H1209" s="168">
        <f t="shared" si="377"/>
        <v>0</v>
      </c>
      <c r="I1209" s="168">
        <f t="shared" si="378"/>
        <v>30</v>
      </c>
      <c r="J1209" s="739"/>
      <c r="K1209" s="168">
        <f>IF(J1209&lt;&gt;"",J1209,IF(ISERROR(Personalplanung!AB65/Monatsplanung!$E65*Monatsplanung!$R65),0,Personalplanung!AB65/Monatsplanung!$E65*Monatsplanung!$R65))</f>
        <v>0</v>
      </c>
      <c r="L1209" s="740"/>
      <c r="M1209" s="739"/>
      <c r="N1209" s="168">
        <f>IF(M1209&lt;&gt;"",M1209,IF(ISERROR(Personalplanung!AC65/Monatsplanung!$E65*Monatsplanung!$R65),0,Personalplanung!AC65/Monatsplanung!$E65*Monatsplanung!$R65))</f>
        <v>0</v>
      </c>
      <c r="O1209" s="740"/>
      <c r="P1209" s="739"/>
      <c r="Q1209" s="168">
        <f>IF(P1209&lt;&gt;"",P1209,IF(ISERROR(Personalplanung!AD65/Monatsplanung!$E65*Monatsplanung!$R65),0,Personalplanung!AD65/Monatsplanung!$E65*Monatsplanung!$R65))</f>
        <v>0</v>
      </c>
      <c r="R1209" s="740"/>
      <c r="S1209" s="739"/>
      <c r="T1209" s="168">
        <f>IF(S1209&lt;&gt;"",S1209,IF(ISERROR(Personalplanung!AE65/Monatsplanung!$E65*Monatsplanung!$R65),0,Personalplanung!AE65/Monatsplanung!$E65*Monatsplanung!$R65))</f>
        <v>0</v>
      </c>
      <c r="U1209" s="740"/>
      <c r="V1209" s="168">
        <f t="shared" si="379"/>
        <v>0</v>
      </c>
      <c r="W1209" s="168">
        <f>IF(ISERROR(Personalplanung!P65/Monatsplanung!$E65*Monatsplanung!$R65),0,Personalplanung!P65/Monatsplanung!$E65*Monatsplanung!$R65)</f>
        <v>0</v>
      </c>
      <c r="X1209" s="168">
        <f>IF(ISERROR(Personalplanung!Q65/Monatsplanung!$E65*Monatsplanung!$R65),0,Personalplanung!Q65/Monatsplanung!$E65*Monatsplanung!$R65)</f>
        <v>0</v>
      </c>
      <c r="Y1209" s="168">
        <f>IF(ISERROR(Personalplanung!R65/T1313*Stundencontrolling!T1209),0,Personalplanung!R65/T1313*Stundencontrolling!T1209)</f>
        <v>0</v>
      </c>
      <c r="Z1209" s="168">
        <f>IF(ISERROR(Personalplanung!S65/Monatsplanung!$E65*Monatsplanung!$R65),0,Personalplanung!S65/Monatsplanung!$E65*Monatsplanung!$R65)</f>
        <v>0</v>
      </c>
      <c r="AA1209" s="80">
        <f t="shared" si="380"/>
        <v>0</v>
      </c>
      <c r="AB1209" s="102">
        <f t="shared" si="381"/>
        <v>0.1</v>
      </c>
      <c r="AC1209" s="103">
        <f t="shared" si="382"/>
        <v>0</v>
      </c>
      <c r="AD1209" s="103">
        <f t="shared" si="383"/>
        <v>0</v>
      </c>
      <c r="AE1209" s="81">
        <f t="shared" si="384"/>
        <v>0</v>
      </c>
      <c r="AF1209" s="539"/>
      <c r="AG1209" s="104">
        <f t="shared" si="385"/>
        <v>1</v>
      </c>
      <c r="AH1209" s="7">
        <f t="shared" si="386"/>
        <v>0</v>
      </c>
      <c r="AI1209" s="6">
        <f t="shared" si="387"/>
        <v>0</v>
      </c>
      <c r="AJ1209" s="73">
        <f t="shared" si="388"/>
        <v>0</v>
      </c>
      <c r="AK1209" s="539"/>
      <c r="AL1209" s="748"/>
      <c r="AM1209" s="748"/>
    </row>
    <row r="1210" spans="2:39" x14ac:dyDescent="0.2">
      <c r="B1210" s="101" t="str">
        <f t="shared" si="373"/>
        <v/>
      </c>
      <c r="C1210" s="168">
        <f>IF(ISERROR(Personalplanung!F66/Monatsplanung!$E66*Monatsplanung!$R66),0,Personalplanung!F66/Monatsplanung!$E66*Monatsplanung!$R66)</f>
        <v>0</v>
      </c>
      <c r="D1210" s="168">
        <f t="shared" si="374"/>
        <v>0</v>
      </c>
      <c r="E1210" s="168">
        <f>IF(ISERROR(Personalplanung!H66/Monatsplanung!$E66*Monatsplanung!$R66),0,Personalplanung!H66/Monatsplanung!$E66*Monatsplanung!$R66)</f>
        <v>0</v>
      </c>
      <c r="F1210" s="168">
        <f t="shared" si="375"/>
        <v>0</v>
      </c>
      <c r="G1210" s="168">
        <f t="shared" si="376"/>
        <v>27.700831024930746</v>
      </c>
      <c r="H1210" s="168">
        <f t="shared" si="377"/>
        <v>0</v>
      </c>
      <c r="I1210" s="168">
        <f t="shared" si="378"/>
        <v>30</v>
      </c>
      <c r="J1210" s="739"/>
      <c r="K1210" s="168">
        <f>IF(J1210&lt;&gt;"",J1210,IF(ISERROR(Personalplanung!AB66/Monatsplanung!$E66*Monatsplanung!$R66),0,Personalplanung!AB66/Monatsplanung!$E66*Monatsplanung!$R66))</f>
        <v>0</v>
      </c>
      <c r="L1210" s="740"/>
      <c r="M1210" s="739"/>
      <c r="N1210" s="168">
        <f>IF(M1210&lt;&gt;"",M1210,IF(ISERROR(Personalplanung!AC66/Monatsplanung!$E66*Monatsplanung!$R66),0,Personalplanung!AC66/Monatsplanung!$E66*Monatsplanung!$R66))</f>
        <v>0</v>
      </c>
      <c r="O1210" s="740"/>
      <c r="P1210" s="739"/>
      <c r="Q1210" s="168">
        <f>IF(P1210&lt;&gt;"",P1210,IF(ISERROR(Personalplanung!AD66/Monatsplanung!$E66*Monatsplanung!$R66),0,Personalplanung!AD66/Monatsplanung!$E66*Monatsplanung!$R66))</f>
        <v>0</v>
      </c>
      <c r="R1210" s="740"/>
      <c r="S1210" s="739"/>
      <c r="T1210" s="168">
        <f>IF(S1210&lt;&gt;"",S1210,IF(ISERROR(Personalplanung!AE66/Monatsplanung!$E66*Monatsplanung!$R66),0,Personalplanung!AE66/Monatsplanung!$E66*Monatsplanung!$R66))</f>
        <v>0</v>
      </c>
      <c r="U1210" s="740"/>
      <c r="V1210" s="168">
        <f t="shared" si="379"/>
        <v>0</v>
      </c>
      <c r="W1210" s="168">
        <f>IF(ISERROR(Personalplanung!P66/Monatsplanung!$E66*Monatsplanung!$R66),0,Personalplanung!P66/Monatsplanung!$E66*Monatsplanung!$R66)</f>
        <v>0</v>
      </c>
      <c r="X1210" s="168">
        <f>IF(ISERROR(Personalplanung!Q66/Monatsplanung!$E66*Monatsplanung!$R66),0,Personalplanung!Q66/Monatsplanung!$E66*Monatsplanung!$R66)</f>
        <v>0</v>
      </c>
      <c r="Y1210" s="168">
        <f>IF(ISERROR(Personalplanung!R66/T1314*Stundencontrolling!T1210),0,Personalplanung!R66/T1314*Stundencontrolling!T1210)</f>
        <v>0</v>
      </c>
      <c r="Z1210" s="168">
        <f>IF(ISERROR(Personalplanung!S66/Monatsplanung!$E66*Monatsplanung!$R66),0,Personalplanung!S66/Monatsplanung!$E66*Monatsplanung!$R66)</f>
        <v>0</v>
      </c>
      <c r="AA1210" s="80">
        <f t="shared" si="380"/>
        <v>0</v>
      </c>
      <c r="AB1210" s="102">
        <f t="shared" si="381"/>
        <v>0.1</v>
      </c>
      <c r="AC1210" s="103">
        <f t="shared" si="382"/>
        <v>0</v>
      </c>
      <c r="AD1210" s="103">
        <f t="shared" si="383"/>
        <v>0</v>
      </c>
      <c r="AE1210" s="81">
        <f t="shared" si="384"/>
        <v>0</v>
      </c>
      <c r="AF1210" s="539"/>
      <c r="AG1210" s="104">
        <f t="shared" si="385"/>
        <v>1</v>
      </c>
      <c r="AH1210" s="7">
        <f t="shared" si="386"/>
        <v>0</v>
      </c>
      <c r="AI1210" s="6">
        <f t="shared" si="387"/>
        <v>0</v>
      </c>
      <c r="AJ1210" s="73">
        <f t="shared" si="388"/>
        <v>0</v>
      </c>
      <c r="AK1210" s="539"/>
      <c r="AL1210" s="748"/>
      <c r="AM1210" s="748"/>
    </row>
    <row r="1211" spans="2:39" x14ac:dyDescent="0.2">
      <c r="B1211" s="101" t="str">
        <f t="shared" si="373"/>
        <v/>
      </c>
      <c r="C1211" s="168">
        <f>IF(ISERROR(Personalplanung!F67/Monatsplanung!$E67*Monatsplanung!$R67),0,Personalplanung!F67/Monatsplanung!$E67*Monatsplanung!$R67)</f>
        <v>0</v>
      </c>
      <c r="D1211" s="168">
        <f t="shared" si="374"/>
        <v>0</v>
      </c>
      <c r="E1211" s="168">
        <f>IF(ISERROR(Personalplanung!H67/Monatsplanung!$E67*Monatsplanung!$R67),0,Personalplanung!H67/Monatsplanung!$E67*Monatsplanung!$R67)</f>
        <v>0</v>
      </c>
      <c r="F1211" s="168">
        <f t="shared" si="375"/>
        <v>0</v>
      </c>
      <c r="G1211" s="168">
        <f t="shared" si="376"/>
        <v>27.700831024930746</v>
      </c>
      <c r="H1211" s="168">
        <f t="shared" si="377"/>
        <v>0</v>
      </c>
      <c r="I1211" s="168">
        <f t="shared" si="378"/>
        <v>30</v>
      </c>
      <c r="J1211" s="739"/>
      <c r="K1211" s="168">
        <f>IF(J1211&lt;&gt;"",J1211,IF(ISERROR(Personalplanung!AB67/Monatsplanung!$E67*Monatsplanung!$R67),0,Personalplanung!AB67/Monatsplanung!$E67*Monatsplanung!$R67))</f>
        <v>0</v>
      </c>
      <c r="L1211" s="740"/>
      <c r="M1211" s="739"/>
      <c r="N1211" s="168">
        <f>IF(M1211&lt;&gt;"",M1211,IF(ISERROR(Personalplanung!AC67/Monatsplanung!$E67*Monatsplanung!$R67),0,Personalplanung!AC67/Monatsplanung!$E67*Monatsplanung!$R67))</f>
        <v>0</v>
      </c>
      <c r="O1211" s="740"/>
      <c r="P1211" s="739"/>
      <c r="Q1211" s="168">
        <f>IF(P1211&lt;&gt;"",P1211,IF(ISERROR(Personalplanung!AD67/Monatsplanung!$E67*Monatsplanung!$R67),0,Personalplanung!AD67/Monatsplanung!$E67*Monatsplanung!$R67))</f>
        <v>0</v>
      </c>
      <c r="R1211" s="740"/>
      <c r="S1211" s="739"/>
      <c r="T1211" s="168">
        <f>IF(S1211&lt;&gt;"",S1211,IF(ISERROR(Personalplanung!AE67/Monatsplanung!$E67*Monatsplanung!$R67),0,Personalplanung!AE67/Monatsplanung!$E67*Monatsplanung!$R67))</f>
        <v>0</v>
      </c>
      <c r="U1211" s="740"/>
      <c r="V1211" s="168">
        <f t="shared" si="379"/>
        <v>0</v>
      </c>
      <c r="W1211" s="168">
        <f>IF(ISERROR(Personalplanung!P67/Monatsplanung!$E67*Monatsplanung!$R67),0,Personalplanung!P67/Monatsplanung!$E67*Monatsplanung!$R67)</f>
        <v>0</v>
      </c>
      <c r="X1211" s="168">
        <f>IF(ISERROR(Personalplanung!Q67/Monatsplanung!$E67*Monatsplanung!$R67),0,Personalplanung!Q67/Monatsplanung!$E67*Monatsplanung!$R67)</f>
        <v>0</v>
      </c>
      <c r="Y1211" s="168">
        <f>IF(ISERROR(Personalplanung!R67/T1315*Stundencontrolling!T1211),0,Personalplanung!R67/T1315*Stundencontrolling!T1211)</f>
        <v>0</v>
      </c>
      <c r="Z1211" s="168">
        <f>IF(ISERROR(Personalplanung!S67/Monatsplanung!$E67*Monatsplanung!$R67),0,Personalplanung!S67/Monatsplanung!$E67*Monatsplanung!$R67)</f>
        <v>0</v>
      </c>
      <c r="AA1211" s="80">
        <f t="shared" si="380"/>
        <v>0</v>
      </c>
      <c r="AB1211" s="102">
        <f t="shared" si="381"/>
        <v>0.1</v>
      </c>
      <c r="AC1211" s="103">
        <f t="shared" si="382"/>
        <v>0</v>
      </c>
      <c r="AD1211" s="103">
        <f t="shared" si="383"/>
        <v>0</v>
      </c>
      <c r="AE1211" s="81">
        <f t="shared" si="384"/>
        <v>0</v>
      </c>
      <c r="AF1211" s="539"/>
      <c r="AG1211" s="104">
        <f t="shared" si="385"/>
        <v>1</v>
      </c>
      <c r="AH1211" s="7">
        <f t="shared" si="386"/>
        <v>0</v>
      </c>
      <c r="AI1211" s="6">
        <f t="shared" si="387"/>
        <v>0</v>
      </c>
      <c r="AJ1211" s="73">
        <f t="shared" si="388"/>
        <v>0</v>
      </c>
      <c r="AK1211" s="539"/>
      <c r="AL1211" s="748"/>
      <c r="AM1211" s="748"/>
    </row>
    <row r="1212" spans="2:39" x14ac:dyDescent="0.2">
      <c r="B1212" s="101" t="str">
        <f t="shared" si="373"/>
        <v/>
      </c>
      <c r="C1212" s="168">
        <f>IF(ISERROR(Personalplanung!F68/Monatsplanung!$E68*Monatsplanung!$R68),0,Personalplanung!F68/Monatsplanung!$E68*Monatsplanung!$R68)</f>
        <v>0</v>
      </c>
      <c r="D1212" s="168">
        <f t="shared" si="374"/>
        <v>0</v>
      </c>
      <c r="E1212" s="168">
        <f>IF(ISERROR(Personalplanung!H68/Monatsplanung!$E68*Monatsplanung!$R68),0,Personalplanung!H68/Monatsplanung!$E68*Monatsplanung!$R68)</f>
        <v>0</v>
      </c>
      <c r="F1212" s="168">
        <f t="shared" si="375"/>
        <v>0</v>
      </c>
      <c r="G1212" s="168">
        <f t="shared" si="376"/>
        <v>27.700831024930746</v>
      </c>
      <c r="H1212" s="168">
        <f t="shared" si="377"/>
        <v>0</v>
      </c>
      <c r="I1212" s="168">
        <f t="shared" si="378"/>
        <v>30</v>
      </c>
      <c r="J1212" s="739"/>
      <c r="K1212" s="168">
        <f>IF(J1212&lt;&gt;"",J1212,IF(ISERROR(Personalplanung!AB68/Monatsplanung!$E68*Monatsplanung!$R68),0,Personalplanung!AB68/Monatsplanung!$E68*Monatsplanung!$R68))</f>
        <v>0</v>
      </c>
      <c r="L1212" s="740"/>
      <c r="M1212" s="739"/>
      <c r="N1212" s="168">
        <f>IF(M1212&lt;&gt;"",M1212,IF(ISERROR(Personalplanung!AC68/Monatsplanung!$E68*Monatsplanung!$R68),0,Personalplanung!AC68/Monatsplanung!$E68*Monatsplanung!$R68))</f>
        <v>0</v>
      </c>
      <c r="O1212" s="740"/>
      <c r="P1212" s="739"/>
      <c r="Q1212" s="168">
        <f>IF(P1212&lt;&gt;"",P1212,IF(ISERROR(Personalplanung!AD68/Monatsplanung!$E68*Monatsplanung!$R68),0,Personalplanung!AD68/Monatsplanung!$E68*Monatsplanung!$R68))</f>
        <v>0</v>
      </c>
      <c r="R1212" s="740"/>
      <c r="S1212" s="739"/>
      <c r="T1212" s="168">
        <f>IF(S1212&lt;&gt;"",S1212,IF(ISERROR(Personalplanung!AE68/Monatsplanung!$E68*Monatsplanung!$R68),0,Personalplanung!AE68/Monatsplanung!$E68*Monatsplanung!$R68))</f>
        <v>0</v>
      </c>
      <c r="U1212" s="740"/>
      <c r="V1212" s="168">
        <f t="shared" si="379"/>
        <v>0</v>
      </c>
      <c r="W1212" s="168">
        <f>IF(ISERROR(Personalplanung!P68/Monatsplanung!$E68*Monatsplanung!$R68),0,Personalplanung!P68/Monatsplanung!$E68*Monatsplanung!$R68)</f>
        <v>0</v>
      </c>
      <c r="X1212" s="168">
        <f>IF(ISERROR(Personalplanung!Q68/Monatsplanung!$E68*Monatsplanung!$R68),0,Personalplanung!Q68/Monatsplanung!$E68*Monatsplanung!$R68)</f>
        <v>0</v>
      </c>
      <c r="Y1212" s="168">
        <f>IF(ISERROR(Personalplanung!R68/T1316*Stundencontrolling!T1212),0,Personalplanung!R68/T1316*Stundencontrolling!T1212)</f>
        <v>0</v>
      </c>
      <c r="Z1212" s="168">
        <f>IF(ISERROR(Personalplanung!S68/Monatsplanung!$E68*Monatsplanung!$R68),0,Personalplanung!S68/Monatsplanung!$E68*Monatsplanung!$R68)</f>
        <v>0</v>
      </c>
      <c r="AA1212" s="80">
        <f t="shared" si="380"/>
        <v>0</v>
      </c>
      <c r="AB1212" s="102">
        <f t="shared" si="381"/>
        <v>0.1</v>
      </c>
      <c r="AC1212" s="103">
        <f t="shared" si="382"/>
        <v>0</v>
      </c>
      <c r="AD1212" s="103">
        <f t="shared" si="383"/>
        <v>0</v>
      </c>
      <c r="AE1212" s="81">
        <f t="shared" si="384"/>
        <v>0</v>
      </c>
      <c r="AF1212" s="539"/>
      <c r="AG1212" s="104">
        <f t="shared" si="385"/>
        <v>1</v>
      </c>
      <c r="AH1212" s="7">
        <f t="shared" si="386"/>
        <v>0</v>
      </c>
      <c r="AI1212" s="6">
        <f t="shared" si="387"/>
        <v>0</v>
      </c>
      <c r="AJ1212" s="73">
        <f t="shared" si="388"/>
        <v>0</v>
      </c>
      <c r="AK1212" s="539"/>
      <c r="AL1212" s="748"/>
      <c r="AM1212" s="748"/>
    </row>
    <row r="1213" spans="2:39" x14ac:dyDescent="0.2">
      <c r="B1213" s="101" t="str">
        <f t="shared" si="373"/>
        <v/>
      </c>
      <c r="C1213" s="168">
        <f>IF(ISERROR(Personalplanung!F69/Monatsplanung!$E69*Monatsplanung!$R69),0,Personalplanung!F69/Monatsplanung!$E69*Monatsplanung!$R69)</f>
        <v>0</v>
      </c>
      <c r="D1213" s="168">
        <f t="shared" si="374"/>
        <v>0</v>
      </c>
      <c r="E1213" s="168">
        <f>IF(ISERROR(Personalplanung!H69/Monatsplanung!$E69*Monatsplanung!$R69),0,Personalplanung!H69/Monatsplanung!$E69*Monatsplanung!$R69)</f>
        <v>0</v>
      </c>
      <c r="F1213" s="168">
        <f t="shared" si="375"/>
        <v>0</v>
      </c>
      <c r="G1213" s="168">
        <f t="shared" si="376"/>
        <v>27.700831024930746</v>
      </c>
      <c r="H1213" s="168">
        <f t="shared" si="377"/>
        <v>0</v>
      </c>
      <c r="I1213" s="168">
        <f t="shared" si="378"/>
        <v>30</v>
      </c>
      <c r="J1213" s="739"/>
      <c r="K1213" s="168">
        <f>IF(J1213&lt;&gt;"",J1213,IF(ISERROR(Personalplanung!AB69/Monatsplanung!$E69*Monatsplanung!$R69),0,Personalplanung!AB69/Monatsplanung!$E69*Monatsplanung!$R69))</f>
        <v>0</v>
      </c>
      <c r="L1213" s="740"/>
      <c r="M1213" s="739"/>
      <c r="N1213" s="168">
        <f>IF(M1213&lt;&gt;"",M1213,IF(ISERROR(Personalplanung!AC69/Monatsplanung!$E69*Monatsplanung!$R69),0,Personalplanung!AC69/Monatsplanung!$E69*Monatsplanung!$R69))</f>
        <v>0</v>
      </c>
      <c r="O1213" s="740"/>
      <c r="P1213" s="739"/>
      <c r="Q1213" s="168">
        <f>IF(P1213&lt;&gt;"",P1213,IF(ISERROR(Personalplanung!AD69/Monatsplanung!$E69*Monatsplanung!$R69),0,Personalplanung!AD69/Monatsplanung!$E69*Monatsplanung!$R69))</f>
        <v>0</v>
      </c>
      <c r="R1213" s="740"/>
      <c r="S1213" s="739"/>
      <c r="T1213" s="168">
        <f>IF(S1213&lt;&gt;"",S1213,IF(ISERROR(Personalplanung!AE69/Monatsplanung!$E69*Monatsplanung!$R69),0,Personalplanung!AE69/Monatsplanung!$E69*Monatsplanung!$R69))</f>
        <v>0</v>
      </c>
      <c r="U1213" s="740"/>
      <c r="V1213" s="168">
        <f t="shared" si="379"/>
        <v>0</v>
      </c>
      <c r="W1213" s="168">
        <f>IF(ISERROR(Personalplanung!P69/Monatsplanung!$E69*Monatsplanung!$R69),0,Personalplanung!P69/Monatsplanung!$E69*Monatsplanung!$R69)</f>
        <v>0</v>
      </c>
      <c r="X1213" s="168">
        <f>IF(ISERROR(Personalplanung!Q69/Monatsplanung!$E69*Monatsplanung!$R69),0,Personalplanung!Q69/Monatsplanung!$E69*Monatsplanung!$R69)</f>
        <v>0</v>
      </c>
      <c r="Y1213" s="168">
        <f>IF(ISERROR(Personalplanung!R69/T1317*Stundencontrolling!T1213),0,Personalplanung!R69/T1317*Stundencontrolling!T1213)</f>
        <v>0</v>
      </c>
      <c r="Z1213" s="168">
        <f>IF(ISERROR(Personalplanung!S69/Monatsplanung!$E69*Monatsplanung!$R69),0,Personalplanung!S69/Monatsplanung!$E69*Monatsplanung!$R69)</f>
        <v>0</v>
      </c>
      <c r="AA1213" s="80">
        <f t="shared" si="380"/>
        <v>0</v>
      </c>
      <c r="AB1213" s="102">
        <f t="shared" si="381"/>
        <v>0.1</v>
      </c>
      <c r="AC1213" s="103">
        <f t="shared" si="382"/>
        <v>0</v>
      </c>
      <c r="AD1213" s="103">
        <f t="shared" si="383"/>
        <v>0</v>
      </c>
      <c r="AE1213" s="81">
        <f t="shared" si="384"/>
        <v>0</v>
      </c>
      <c r="AF1213" s="539"/>
      <c r="AG1213" s="104">
        <f t="shared" si="385"/>
        <v>1</v>
      </c>
      <c r="AH1213" s="7">
        <f t="shared" si="386"/>
        <v>0</v>
      </c>
      <c r="AI1213" s="6">
        <f t="shared" si="387"/>
        <v>0</v>
      </c>
      <c r="AJ1213" s="73">
        <f t="shared" si="388"/>
        <v>0</v>
      </c>
      <c r="AK1213" s="539"/>
      <c r="AL1213" s="748"/>
      <c r="AM1213" s="748"/>
    </row>
    <row r="1214" spans="2:39" x14ac:dyDescent="0.2">
      <c r="B1214" s="101" t="str">
        <f t="shared" si="373"/>
        <v/>
      </c>
      <c r="C1214" s="168">
        <f>IF(ISERROR(Personalplanung!F70/Monatsplanung!$E70*Monatsplanung!$R70),0,Personalplanung!F70/Monatsplanung!$E70*Monatsplanung!$R70)</f>
        <v>0</v>
      </c>
      <c r="D1214" s="168">
        <f t="shared" si="374"/>
        <v>0</v>
      </c>
      <c r="E1214" s="168">
        <f>IF(ISERROR(Personalplanung!H70/Monatsplanung!$E70*Monatsplanung!$R70),0,Personalplanung!H70/Monatsplanung!$E70*Monatsplanung!$R70)</f>
        <v>0</v>
      </c>
      <c r="F1214" s="168">
        <f t="shared" si="375"/>
        <v>0</v>
      </c>
      <c r="G1214" s="168">
        <f t="shared" si="376"/>
        <v>27.700831024930746</v>
      </c>
      <c r="H1214" s="168">
        <f t="shared" si="377"/>
        <v>0</v>
      </c>
      <c r="I1214" s="168">
        <f t="shared" si="378"/>
        <v>30</v>
      </c>
      <c r="J1214" s="739"/>
      <c r="K1214" s="168">
        <f>IF(J1214&lt;&gt;"",J1214,IF(ISERROR(Personalplanung!AB70/Monatsplanung!$E70*Monatsplanung!$R70),0,Personalplanung!AB70/Monatsplanung!$E70*Monatsplanung!$R70))</f>
        <v>0</v>
      </c>
      <c r="L1214" s="740"/>
      <c r="M1214" s="739"/>
      <c r="N1214" s="168">
        <f>IF(M1214&lt;&gt;"",M1214,IF(ISERROR(Personalplanung!AC70/Monatsplanung!$E70*Monatsplanung!$R70),0,Personalplanung!AC70/Monatsplanung!$E70*Monatsplanung!$R70))</f>
        <v>0</v>
      </c>
      <c r="O1214" s="740"/>
      <c r="P1214" s="739"/>
      <c r="Q1214" s="168">
        <f>IF(P1214&lt;&gt;"",P1214,IF(ISERROR(Personalplanung!AD70/Monatsplanung!$E70*Monatsplanung!$R70),0,Personalplanung!AD70/Monatsplanung!$E70*Monatsplanung!$R70))</f>
        <v>0</v>
      </c>
      <c r="R1214" s="740"/>
      <c r="S1214" s="739"/>
      <c r="T1214" s="168">
        <f>IF(S1214&lt;&gt;"",S1214,IF(ISERROR(Personalplanung!AE70/Monatsplanung!$E70*Monatsplanung!$R70),0,Personalplanung!AE70/Monatsplanung!$E70*Monatsplanung!$R70))</f>
        <v>0</v>
      </c>
      <c r="U1214" s="740"/>
      <c r="V1214" s="168">
        <f t="shared" si="379"/>
        <v>0</v>
      </c>
      <c r="W1214" s="168">
        <f>IF(ISERROR(Personalplanung!P70/Monatsplanung!$E70*Monatsplanung!$R70),0,Personalplanung!P70/Monatsplanung!$E70*Monatsplanung!$R70)</f>
        <v>0</v>
      </c>
      <c r="X1214" s="168">
        <f>IF(ISERROR(Personalplanung!Q70/Monatsplanung!$E70*Monatsplanung!$R70),0,Personalplanung!Q70/Monatsplanung!$E70*Monatsplanung!$R70)</f>
        <v>0</v>
      </c>
      <c r="Y1214" s="168">
        <f>IF(ISERROR(Personalplanung!R70/T1318*Stundencontrolling!T1214),0,Personalplanung!R70/T1318*Stundencontrolling!T1214)</f>
        <v>0</v>
      </c>
      <c r="Z1214" s="168">
        <f>IF(ISERROR(Personalplanung!S70/Monatsplanung!$E70*Monatsplanung!$R70),0,Personalplanung!S70/Monatsplanung!$E70*Monatsplanung!$R70)</f>
        <v>0</v>
      </c>
      <c r="AA1214" s="80">
        <f t="shared" si="380"/>
        <v>0</v>
      </c>
      <c r="AB1214" s="102">
        <f t="shared" si="381"/>
        <v>0.1</v>
      </c>
      <c r="AC1214" s="103">
        <f t="shared" si="382"/>
        <v>0</v>
      </c>
      <c r="AD1214" s="103">
        <f t="shared" si="383"/>
        <v>0</v>
      </c>
      <c r="AE1214" s="81">
        <f t="shared" si="384"/>
        <v>0</v>
      </c>
      <c r="AF1214" s="539"/>
      <c r="AG1214" s="104">
        <f t="shared" si="385"/>
        <v>1</v>
      </c>
      <c r="AH1214" s="7">
        <f t="shared" si="386"/>
        <v>0</v>
      </c>
      <c r="AI1214" s="6">
        <f t="shared" si="387"/>
        <v>0</v>
      </c>
      <c r="AJ1214" s="73">
        <f t="shared" si="388"/>
        <v>0</v>
      </c>
      <c r="AK1214" s="539"/>
      <c r="AL1214" s="748"/>
      <c r="AM1214" s="748"/>
    </row>
    <row r="1215" spans="2:39" x14ac:dyDescent="0.2">
      <c r="B1215" s="101" t="str">
        <f t="shared" ref="B1215:B1250" si="389">$B1111</f>
        <v/>
      </c>
      <c r="C1215" s="168">
        <f>IF(ISERROR(Personalplanung!F71/Monatsplanung!$E71*Monatsplanung!$R71),0,Personalplanung!F71/Monatsplanung!$E71*Monatsplanung!$R71)</f>
        <v>0</v>
      </c>
      <c r="D1215" s="168">
        <f t="shared" ref="D1215:D1250" si="390">$D1111</f>
        <v>0</v>
      </c>
      <c r="E1215" s="168">
        <f>IF(ISERROR(Personalplanung!H71/Monatsplanung!$E71*Monatsplanung!$R71),0,Personalplanung!H71/Monatsplanung!$E71*Monatsplanung!$R71)</f>
        <v>0</v>
      </c>
      <c r="F1215" s="168">
        <f t="shared" ref="F1215:F1250" si="391">+C1215+E1215</f>
        <v>0</v>
      </c>
      <c r="G1215" s="168">
        <f t="shared" ref="G1215:G1250" si="392">$G$6</f>
        <v>27.700831024930746</v>
      </c>
      <c r="H1215" s="168">
        <f t="shared" ref="H1215:H1250" si="393">+F1215*G1215</f>
        <v>0</v>
      </c>
      <c r="I1215" s="168">
        <f t="shared" ref="I1215:I1250" si="394">$I$6</f>
        <v>30</v>
      </c>
      <c r="J1215" s="739"/>
      <c r="K1215" s="168">
        <f>IF(J1215&lt;&gt;"",J1215,IF(ISERROR(Personalplanung!AB71/Monatsplanung!$E71*Monatsplanung!$R71),0,Personalplanung!AB71/Monatsplanung!$E71*Monatsplanung!$R71))</f>
        <v>0</v>
      </c>
      <c r="L1215" s="740"/>
      <c r="M1215" s="739"/>
      <c r="N1215" s="168">
        <f>IF(M1215&lt;&gt;"",M1215,IF(ISERROR(Personalplanung!AC71/Monatsplanung!$E71*Monatsplanung!$R71),0,Personalplanung!AC71/Monatsplanung!$E71*Monatsplanung!$R71))</f>
        <v>0</v>
      </c>
      <c r="O1215" s="740"/>
      <c r="P1215" s="739"/>
      <c r="Q1215" s="168">
        <f>IF(P1215&lt;&gt;"",P1215,IF(ISERROR(Personalplanung!AD71/Monatsplanung!$E71*Monatsplanung!$R71),0,Personalplanung!AD71/Monatsplanung!$E71*Monatsplanung!$R71))</f>
        <v>0</v>
      </c>
      <c r="R1215" s="740"/>
      <c r="S1215" s="739"/>
      <c r="T1215" s="168">
        <f>IF(S1215&lt;&gt;"",S1215,IF(ISERROR(Personalplanung!AE71/Monatsplanung!$E71*Monatsplanung!$R71),0,Personalplanung!AE71/Monatsplanung!$E71*Monatsplanung!$R71))</f>
        <v>0</v>
      </c>
      <c r="U1215" s="740"/>
      <c r="V1215" s="168">
        <f t="shared" ref="V1215:V1250" si="395">K1215+N1215+Q1215+T1215</f>
        <v>0</v>
      </c>
      <c r="W1215" s="168">
        <f>IF(ISERROR(Personalplanung!P71/Monatsplanung!$E71*Monatsplanung!$R71),0,Personalplanung!P71/Monatsplanung!$E71*Monatsplanung!$R71)</f>
        <v>0</v>
      </c>
      <c r="X1215" s="168">
        <f>IF(ISERROR(Personalplanung!Q71/Monatsplanung!$E71*Monatsplanung!$R71),0,Personalplanung!Q71/Monatsplanung!$E71*Monatsplanung!$R71)</f>
        <v>0</v>
      </c>
      <c r="Y1215" s="168">
        <f>IF(ISERROR(Personalplanung!R71/T1319*Stundencontrolling!T1215),0,Personalplanung!R71/T1319*Stundencontrolling!T1215)</f>
        <v>0</v>
      </c>
      <c r="Z1215" s="168">
        <f>IF(ISERROR(Personalplanung!S71/Monatsplanung!$E71*Monatsplanung!$R71),0,Personalplanung!S71/Monatsplanung!$E71*Monatsplanung!$R71)</f>
        <v>0</v>
      </c>
      <c r="AA1215" s="80">
        <f t="shared" ref="AA1215:AA1250" si="396">+F1215*G1215*(1+I1215)+SUM(W1215:Z1215)</f>
        <v>0</v>
      </c>
      <c r="AB1215" s="102">
        <f t="shared" ref="AB1215:AB1250" si="397">$AB$6</f>
        <v>0.1</v>
      </c>
      <c r="AC1215" s="103">
        <f t="shared" ref="AC1215:AC1250" si="398">AB1215*AA1215</f>
        <v>0</v>
      </c>
      <c r="AD1215" s="103">
        <f t="shared" ref="AD1215:AD1250" si="399">AA1215-AC1215</f>
        <v>0</v>
      </c>
      <c r="AE1215" s="81">
        <f t="shared" ref="AE1215:AE1250" si="400">(F1215-(V1215*$D1215))*AB1215</f>
        <v>0</v>
      </c>
      <c r="AF1215" s="539"/>
      <c r="AG1215" s="104">
        <f t="shared" ref="AG1215:AG1250" si="401">$AG$6</f>
        <v>1</v>
      </c>
      <c r="AH1215" s="7">
        <f t="shared" ref="AH1215:AH1250" si="402">IF(ISERROR(AK1215/AF1215),0,AK1215/AF1215)</f>
        <v>0</v>
      </c>
      <c r="AI1215" s="6">
        <f t="shared" ref="AI1215:AI1250" si="403">AE1215*AG1215</f>
        <v>0</v>
      </c>
      <c r="AJ1215" s="73">
        <f t="shared" ref="AJ1215:AJ1250" si="404">IF(ISERROR(+AC1215/AI1215),0,+AC1215/AI1215)</f>
        <v>0</v>
      </c>
      <c r="AK1215" s="539"/>
      <c r="AL1215" s="748"/>
      <c r="AM1215" s="748"/>
    </row>
    <row r="1216" spans="2:39" x14ac:dyDescent="0.2">
      <c r="B1216" s="101" t="str">
        <f t="shared" si="389"/>
        <v/>
      </c>
      <c r="C1216" s="168">
        <f>IF(ISERROR(Personalplanung!F72/Monatsplanung!$E72*Monatsplanung!$R72),0,Personalplanung!F72/Monatsplanung!$E72*Monatsplanung!$R72)</f>
        <v>0</v>
      </c>
      <c r="D1216" s="168">
        <f t="shared" si="390"/>
        <v>0</v>
      </c>
      <c r="E1216" s="168">
        <f>IF(ISERROR(Personalplanung!H72/Monatsplanung!$E72*Monatsplanung!$R72),0,Personalplanung!H72/Monatsplanung!$E72*Monatsplanung!$R72)</f>
        <v>0</v>
      </c>
      <c r="F1216" s="168">
        <f t="shared" si="391"/>
        <v>0</v>
      </c>
      <c r="G1216" s="168">
        <f t="shared" si="392"/>
        <v>27.700831024930746</v>
      </c>
      <c r="H1216" s="168">
        <f t="shared" si="393"/>
        <v>0</v>
      </c>
      <c r="I1216" s="168">
        <f t="shared" si="394"/>
        <v>30</v>
      </c>
      <c r="J1216" s="739"/>
      <c r="K1216" s="168">
        <f>IF(J1216&lt;&gt;"",J1216,IF(ISERROR(Personalplanung!AB72/Monatsplanung!$E72*Monatsplanung!$R72),0,Personalplanung!AB72/Monatsplanung!$E72*Monatsplanung!$R72))</f>
        <v>0</v>
      </c>
      <c r="L1216" s="740"/>
      <c r="M1216" s="739"/>
      <c r="N1216" s="168">
        <f>IF(M1216&lt;&gt;"",M1216,IF(ISERROR(Personalplanung!AC72/Monatsplanung!$E72*Monatsplanung!$R72),0,Personalplanung!AC72/Monatsplanung!$E72*Monatsplanung!$R72))</f>
        <v>0</v>
      </c>
      <c r="O1216" s="740"/>
      <c r="P1216" s="739"/>
      <c r="Q1216" s="168">
        <f>IF(P1216&lt;&gt;"",P1216,IF(ISERROR(Personalplanung!AD72/Monatsplanung!$E72*Monatsplanung!$R72),0,Personalplanung!AD72/Monatsplanung!$E72*Monatsplanung!$R72))</f>
        <v>0</v>
      </c>
      <c r="R1216" s="740"/>
      <c r="S1216" s="739"/>
      <c r="T1216" s="168">
        <f>IF(S1216&lt;&gt;"",S1216,IF(ISERROR(Personalplanung!AE72/Monatsplanung!$E72*Monatsplanung!$R72),0,Personalplanung!AE72/Monatsplanung!$E72*Monatsplanung!$R72))</f>
        <v>0</v>
      </c>
      <c r="U1216" s="740"/>
      <c r="V1216" s="168">
        <f t="shared" si="395"/>
        <v>0</v>
      </c>
      <c r="W1216" s="168">
        <f>IF(ISERROR(Personalplanung!P72/Monatsplanung!$E72*Monatsplanung!$R72),0,Personalplanung!P72/Monatsplanung!$E72*Monatsplanung!$R72)</f>
        <v>0</v>
      </c>
      <c r="X1216" s="168">
        <f>IF(ISERROR(Personalplanung!Q72/Monatsplanung!$E72*Monatsplanung!$R72),0,Personalplanung!Q72/Monatsplanung!$E72*Monatsplanung!$R72)</f>
        <v>0</v>
      </c>
      <c r="Y1216" s="168">
        <f>IF(ISERROR(Personalplanung!R72/T1320*Stundencontrolling!T1216),0,Personalplanung!R72/T1320*Stundencontrolling!T1216)</f>
        <v>0</v>
      </c>
      <c r="Z1216" s="168">
        <f>IF(ISERROR(Personalplanung!S72/Monatsplanung!$E72*Monatsplanung!$R72),0,Personalplanung!S72/Monatsplanung!$E72*Monatsplanung!$R72)</f>
        <v>0</v>
      </c>
      <c r="AA1216" s="80">
        <f t="shared" si="396"/>
        <v>0</v>
      </c>
      <c r="AB1216" s="102">
        <f t="shared" si="397"/>
        <v>0.1</v>
      </c>
      <c r="AC1216" s="103">
        <f t="shared" si="398"/>
        <v>0</v>
      </c>
      <c r="AD1216" s="103">
        <f t="shared" si="399"/>
        <v>0</v>
      </c>
      <c r="AE1216" s="81">
        <f t="shared" si="400"/>
        <v>0</v>
      </c>
      <c r="AF1216" s="539"/>
      <c r="AG1216" s="104">
        <f t="shared" si="401"/>
        <v>1</v>
      </c>
      <c r="AH1216" s="7">
        <f t="shared" si="402"/>
        <v>0</v>
      </c>
      <c r="AI1216" s="6">
        <f t="shared" si="403"/>
        <v>0</v>
      </c>
      <c r="AJ1216" s="73">
        <f t="shared" si="404"/>
        <v>0</v>
      </c>
      <c r="AK1216" s="539"/>
      <c r="AL1216" s="748"/>
      <c r="AM1216" s="748"/>
    </row>
    <row r="1217" spans="2:39" x14ac:dyDescent="0.2">
      <c r="B1217" s="101" t="str">
        <f t="shared" si="389"/>
        <v/>
      </c>
      <c r="C1217" s="168">
        <f>IF(ISERROR(Personalplanung!F73/Monatsplanung!$E73*Monatsplanung!$R73),0,Personalplanung!F73/Monatsplanung!$E73*Monatsplanung!$R73)</f>
        <v>0</v>
      </c>
      <c r="D1217" s="168">
        <f t="shared" si="390"/>
        <v>0</v>
      </c>
      <c r="E1217" s="168">
        <f>IF(ISERROR(Personalplanung!H73/Monatsplanung!$E73*Monatsplanung!$R73),0,Personalplanung!H73/Monatsplanung!$E73*Monatsplanung!$R73)</f>
        <v>0</v>
      </c>
      <c r="F1217" s="168">
        <f t="shared" si="391"/>
        <v>0</v>
      </c>
      <c r="G1217" s="168">
        <f t="shared" si="392"/>
        <v>27.700831024930746</v>
      </c>
      <c r="H1217" s="168">
        <f t="shared" si="393"/>
        <v>0</v>
      </c>
      <c r="I1217" s="168">
        <f t="shared" si="394"/>
        <v>30</v>
      </c>
      <c r="J1217" s="739"/>
      <c r="K1217" s="168">
        <f>IF(J1217&lt;&gt;"",J1217,IF(ISERROR(Personalplanung!AB73/Monatsplanung!$E73*Monatsplanung!$R73),0,Personalplanung!AB73/Monatsplanung!$E73*Monatsplanung!$R73))</f>
        <v>0</v>
      </c>
      <c r="L1217" s="740"/>
      <c r="M1217" s="739"/>
      <c r="N1217" s="168">
        <f>IF(M1217&lt;&gt;"",M1217,IF(ISERROR(Personalplanung!AC73/Monatsplanung!$E73*Monatsplanung!$R73),0,Personalplanung!AC73/Monatsplanung!$E73*Monatsplanung!$R73))</f>
        <v>0</v>
      </c>
      <c r="O1217" s="740"/>
      <c r="P1217" s="739"/>
      <c r="Q1217" s="168">
        <f>IF(P1217&lt;&gt;"",P1217,IF(ISERROR(Personalplanung!AD73/Monatsplanung!$E73*Monatsplanung!$R73),0,Personalplanung!AD73/Monatsplanung!$E73*Monatsplanung!$R73))</f>
        <v>0</v>
      </c>
      <c r="R1217" s="740"/>
      <c r="S1217" s="739"/>
      <c r="T1217" s="168">
        <f>IF(S1217&lt;&gt;"",S1217,IF(ISERROR(Personalplanung!AE73/Monatsplanung!$E73*Monatsplanung!$R73),0,Personalplanung!AE73/Monatsplanung!$E73*Monatsplanung!$R73))</f>
        <v>0</v>
      </c>
      <c r="U1217" s="740"/>
      <c r="V1217" s="168">
        <f t="shared" si="395"/>
        <v>0</v>
      </c>
      <c r="W1217" s="168">
        <f>IF(ISERROR(Personalplanung!P73/Monatsplanung!$E73*Monatsplanung!$R73),0,Personalplanung!P73/Monatsplanung!$E73*Monatsplanung!$R73)</f>
        <v>0</v>
      </c>
      <c r="X1217" s="168">
        <f>IF(ISERROR(Personalplanung!Q73/Monatsplanung!$E73*Monatsplanung!$R73),0,Personalplanung!Q73/Monatsplanung!$E73*Monatsplanung!$R73)</f>
        <v>0</v>
      </c>
      <c r="Y1217" s="168">
        <f>IF(ISERROR(Personalplanung!R73/T1321*Stundencontrolling!T1217),0,Personalplanung!R73/T1321*Stundencontrolling!T1217)</f>
        <v>0</v>
      </c>
      <c r="Z1217" s="168">
        <f>IF(ISERROR(Personalplanung!S73/Monatsplanung!$E73*Monatsplanung!$R73),0,Personalplanung!S73/Monatsplanung!$E73*Monatsplanung!$R73)</f>
        <v>0</v>
      </c>
      <c r="AA1217" s="80">
        <f t="shared" si="396"/>
        <v>0</v>
      </c>
      <c r="AB1217" s="102">
        <f t="shared" si="397"/>
        <v>0.1</v>
      </c>
      <c r="AC1217" s="103">
        <f t="shared" si="398"/>
        <v>0</v>
      </c>
      <c r="AD1217" s="103">
        <f t="shared" si="399"/>
        <v>0</v>
      </c>
      <c r="AE1217" s="81">
        <f t="shared" si="400"/>
        <v>0</v>
      </c>
      <c r="AF1217" s="539"/>
      <c r="AG1217" s="104">
        <f t="shared" si="401"/>
        <v>1</v>
      </c>
      <c r="AH1217" s="7">
        <f t="shared" si="402"/>
        <v>0</v>
      </c>
      <c r="AI1217" s="6">
        <f t="shared" si="403"/>
        <v>0</v>
      </c>
      <c r="AJ1217" s="73">
        <f t="shared" si="404"/>
        <v>0</v>
      </c>
      <c r="AK1217" s="539"/>
      <c r="AL1217" s="748"/>
      <c r="AM1217" s="748"/>
    </row>
    <row r="1218" spans="2:39" x14ac:dyDescent="0.2">
      <c r="B1218" s="101" t="str">
        <f t="shared" si="389"/>
        <v/>
      </c>
      <c r="C1218" s="168">
        <f>IF(ISERROR(Personalplanung!F74/Monatsplanung!$E74*Monatsplanung!$R74),0,Personalplanung!F74/Monatsplanung!$E74*Monatsplanung!$R74)</f>
        <v>0</v>
      </c>
      <c r="D1218" s="168">
        <f t="shared" si="390"/>
        <v>0</v>
      </c>
      <c r="E1218" s="168">
        <f>IF(ISERROR(Personalplanung!H74/Monatsplanung!$E74*Monatsplanung!$R74),0,Personalplanung!H74/Monatsplanung!$E74*Monatsplanung!$R74)</f>
        <v>0</v>
      </c>
      <c r="F1218" s="168">
        <f t="shared" si="391"/>
        <v>0</v>
      </c>
      <c r="G1218" s="168">
        <f t="shared" si="392"/>
        <v>27.700831024930746</v>
      </c>
      <c r="H1218" s="168">
        <f t="shared" si="393"/>
        <v>0</v>
      </c>
      <c r="I1218" s="168">
        <f t="shared" si="394"/>
        <v>30</v>
      </c>
      <c r="J1218" s="739"/>
      <c r="K1218" s="168">
        <f>IF(J1218&lt;&gt;"",J1218,IF(ISERROR(Personalplanung!AB74/Monatsplanung!$E74*Monatsplanung!$R74),0,Personalplanung!AB74/Monatsplanung!$E74*Monatsplanung!$R74))</f>
        <v>0</v>
      </c>
      <c r="L1218" s="740"/>
      <c r="M1218" s="739"/>
      <c r="N1218" s="168">
        <f>IF(M1218&lt;&gt;"",M1218,IF(ISERROR(Personalplanung!AC74/Monatsplanung!$E74*Monatsplanung!$R74),0,Personalplanung!AC74/Monatsplanung!$E74*Monatsplanung!$R74))</f>
        <v>0</v>
      </c>
      <c r="O1218" s="740"/>
      <c r="P1218" s="739"/>
      <c r="Q1218" s="168">
        <f>IF(P1218&lt;&gt;"",P1218,IF(ISERROR(Personalplanung!AD74/Monatsplanung!$E74*Monatsplanung!$R74),0,Personalplanung!AD74/Monatsplanung!$E74*Monatsplanung!$R74))</f>
        <v>0</v>
      </c>
      <c r="R1218" s="740"/>
      <c r="S1218" s="739"/>
      <c r="T1218" s="168">
        <f>IF(S1218&lt;&gt;"",S1218,IF(ISERROR(Personalplanung!AE74/Monatsplanung!$E74*Monatsplanung!$R74),0,Personalplanung!AE74/Monatsplanung!$E74*Monatsplanung!$R74))</f>
        <v>0</v>
      </c>
      <c r="U1218" s="740"/>
      <c r="V1218" s="168">
        <f t="shared" si="395"/>
        <v>0</v>
      </c>
      <c r="W1218" s="168">
        <f>IF(ISERROR(Personalplanung!P74/Monatsplanung!$E74*Monatsplanung!$R74),0,Personalplanung!P74/Monatsplanung!$E74*Monatsplanung!$R74)</f>
        <v>0</v>
      </c>
      <c r="X1218" s="168">
        <f>IF(ISERROR(Personalplanung!Q74/Monatsplanung!$E74*Monatsplanung!$R74),0,Personalplanung!Q74/Monatsplanung!$E74*Monatsplanung!$R74)</f>
        <v>0</v>
      </c>
      <c r="Y1218" s="168">
        <f>IF(ISERROR(Personalplanung!R74/T1322*Stundencontrolling!T1218),0,Personalplanung!R74/T1322*Stundencontrolling!T1218)</f>
        <v>0</v>
      </c>
      <c r="Z1218" s="168">
        <f>IF(ISERROR(Personalplanung!S74/Monatsplanung!$E74*Monatsplanung!$R74),0,Personalplanung!S74/Monatsplanung!$E74*Monatsplanung!$R74)</f>
        <v>0</v>
      </c>
      <c r="AA1218" s="80">
        <f t="shared" si="396"/>
        <v>0</v>
      </c>
      <c r="AB1218" s="102">
        <f t="shared" si="397"/>
        <v>0.1</v>
      </c>
      <c r="AC1218" s="103">
        <f t="shared" si="398"/>
        <v>0</v>
      </c>
      <c r="AD1218" s="103">
        <f t="shared" si="399"/>
        <v>0</v>
      </c>
      <c r="AE1218" s="81">
        <f t="shared" si="400"/>
        <v>0</v>
      </c>
      <c r="AF1218" s="539"/>
      <c r="AG1218" s="104">
        <f t="shared" si="401"/>
        <v>1</v>
      </c>
      <c r="AH1218" s="7">
        <f t="shared" si="402"/>
        <v>0</v>
      </c>
      <c r="AI1218" s="6">
        <f t="shared" si="403"/>
        <v>0</v>
      </c>
      <c r="AJ1218" s="73">
        <f t="shared" si="404"/>
        <v>0</v>
      </c>
      <c r="AK1218" s="539"/>
      <c r="AL1218" s="748"/>
      <c r="AM1218" s="748"/>
    </row>
    <row r="1219" spans="2:39" x14ac:dyDescent="0.2">
      <c r="B1219" s="101" t="str">
        <f t="shared" si="389"/>
        <v/>
      </c>
      <c r="C1219" s="168">
        <f>IF(ISERROR(Personalplanung!F75/Monatsplanung!$E75*Monatsplanung!$R75),0,Personalplanung!F75/Monatsplanung!$E75*Monatsplanung!$R75)</f>
        <v>0</v>
      </c>
      <c r="D1219" s="168">
        <f t="shared" si="390"/>
        <v>0</v>
      </c>
      <c r="E1219" s="168">
        <f>IF(ISERROR(Personalplanung!H75/Monatsplanung!$E75*Monatsplanung!$R75),0,Personalplanung!H75/Monatsplanung!$E75*Monatsplanung!$R75)</f>
        <v>0</v>
      </c>
      <c r="F1219" s="168">
        <f t="shared" si="391"/>
        <v>0</v>
      </c>
      <c r="G1219" s="168">
        <f t="shared" si="392"/>
        <v>27.700831024930746</v>
      </c>
      <c r="H1219" s="168">
        <f t="shared" si="393"/>
        <v>0</v>
      </c>
      <c r="I1219" s="168">
        <f t="shared" si="394"/>
        <v>30</v>
      </c>
      <c r="J1219" s="739"/>
      <c r="K1219" s="168">
        <f>IF(J1219&lt;&gt;"",J1219,IF(ISERROR(Personalplanung!AB75/Monatsplanung!$E75*Monatsplanung!$R75),0,Personalplanung!AB75/Monatsplanung!$E75*Monatsplanung!$R75))</f>
        <v>0</v>
      </c>
      <c r="L1219" s="740"/>
      <c r="M1219" s="739"/>
      <c r="N1219" s="168">
        <f>IF(M1219&lt;&gt;"",M1219,IF(ISERROR(Personalplanung!AC75/Monatsplanung!$E75*Monatsplanung!$R75),0,Personalplanung!AC75/Monatsplanung!$E75*Monatsplanung!$R75))</f>
        <v>0</v>
      </c>
      <c r="O1219" s="740"/>
      <c r="P1219" s="739"/>
      <c r="Q1219" s="168">
        <f>IF(P1219&lt;&gt;"",P1219,IF(ISERROR(Personalplanung!AD75/Monatsplanung!$E75*Monatsplanung!$R75),0,Personalplanung!AD75/Monatsplanung!$E75*Monatsplanung!$R75))</f>
        <v>0</v>
      </c>
      <c r="R1219" s="740"/>
      <c r="S1219" s="739"/>
      <c r="T1219" s="168">
        <f>IF(S1219&lt;&gt;"",S1219,IF(ISERROR(Personalplanung!AE75/Monatsplanung!$E75*Monatsplanung!$R75),0,Personalplanung!AE75/Monatsplanung!$E75*Monatsplanung!$R75))</f>
        <v>0</v>
      </c>
      <c r="U1219" s="740"/>
      <c r="V1219" s="168">
        <f t="shared" si="395"/>
        <v>0</v>
      </c>
      <c r="W1219" s="168">
        <f>IF(ISERROR(Personalplanung!P75/Monatsplanung!$E75*Monatsplanung!$R75),0,Personalplanung!P75/Monatsplanung!$E75*Monatsplanung!$R75)</f>
        <v>0</v>
      </c>
      <c r="X1219" s="168">
        <f>IF(ISERROR(Personalplanung!Q75/Monatsplanung!$E75*Monatsplanung!$R75),0,Personalplanung!Q75/Monatsplanung!$E75*Monatsplanung!$R75)</f>
        <v>0</v>
      </c>
      <c r="Y1219" s="168">
        <f>IF(ISERROR(Personalplanung!R75/T1323*Stundencontrolling!T1219),0,Personalplanung!R75/T1323*Stundencontrolling!T1219)</f>
        <v>0</v>
      </c>
      <c r="Z1219" s="168">
        <f>IF(ISERROR(Personalplanung!S75/Monatsplanung!$E75*Monatsplanung!$R75),0,Personalplanung!S75/Monatsplanung!$E75*Monatsplanung!$R75)</f>
        <v>0</v>
      </c>
      <c r="AA1219" s="80">
        <f t="shared" si="396"/>
        <v>0</v>
      </c>
      <c r="AB1219" s="102">
        <f t="shared" si="397"/>
        <v>0.1</v>
      </c>
      <c r="AC1219" s="103">
        <f t="shared" si="398"/>
        <v>0</v>
      </c>
      <c r="AD1219" s="103">
        <f t="shared" si="399"/>
        <v>0</v>
      </c>
      <c r="AE1219" s="81">
        <f t="shared" si="400"/>
        <v>0</v>
      </c>
      <c r="AF1219" s="539"/>
      <c r="AG1219" s="104">
        <f t="shared" si="401"/>
        <v>1</v>
      </c>
      <c r="AH1219" s="7">
        <f t="shared" si="402"/>
        <v>0</v>
      </c>
      <c r="AI1219" s="6">
        <f t="shared" si="403"/>
        <v>0</v>
      </c>
      <c r="AJ1219" s="73">
        <f t="shared" si="404"/>
        <v>0</v>
      </c>
      <c r="AK1219" s="539"/>
      <c r="AL1219" s="748"/>
      <c r="AM1219" s="748"/>
    </row>
    <row r="1220" spans="2:39" x14ac:dyDescent="0.2">
      <c r="B1220" s="101" t="str">
        <f t="shared" si="389"/>
        <v/>
      </c>
      <c r="C1220" s="168">
        <f>IF(ISERROR(Personalplanung!F76/Monatsplanung!$E76*Monatsplanung!$R76),0,Personalplanung!F76/Monatsplanung!$E76*Monatsplanung!$R76)</f>
        <v>0</v>
      </c>
      <c r="D1220" s="168">
        <f t="shared" si="390"/>
        <v>0</v>
      </c>
      <c r="E1220" s="168">
        <f>IF(ISERROR(Personalplanung!H76/Monatsplanung!$E76*Monatsplanung!$R76),0,Personalplanung!H76/Monatsplanung!$E76*Monatsplanung!$R76)</f>
        <v>0</v>
      </c>
      <c r="F1220" s="168">
        <f t="shared" si="391"/>
        <v>0</v>
      </c>
      <c r="G1220" s="168">
        <f t="shared" si="392"/>
        <v>27.700831024930746</v>
      </c>
      <c r="H1220" s="168">
        <f t="shared" si="393"/>
        <v>0</v>
      </c>
      <c r="I1220" s="168">
        <f t="shared" si="394"/>
        <v>30</v>
      </c>
      <c r="J1220" s="739"/>
      <c r="K1220" s="168">
        <f>IF(J1220&lt;&gt;"",J1220,IF(ISERROR(Personalplanung!AB76/Monatsplanung!$E76*Monatsplanung!$R76),0,Personalplanung!AB76/Monatsplanung!$E76*Monatsplanung!$R76))</f>
        <v>0</v>
      </c>
      <c r="L1220" s="740"/>
      <c r="M1220" s="739"/>
      <c r="N1220" s="168">
        <f>IF(M1220&lt;&gt;"",M1220,IF(ISERROR(Personalplanung!AC76/Monatsplanung!$E76*Monatsplanung!$R76),0,Personalplanung!AC76/Monatsplanung!$E76*Monatsplanung!$R76))</f>
        <v>0</v>
      </c>
      <c r="O1220" s="740"/>
      <c r="P1220" s="739"/>
      <c r="Q1220" s="168">
        <f>IF(P1220&lt;&gt;"",P1220,IF(ISERROR(Personalplanung!AD76/Monatsplanung!$E76*Monatsplanung!$R76),0,Personalplanung!AD76/Monatsplanung!$E76*Monatsplanung!$R76))</f>
        <v>0</v>
      </c>
      <c r="R1220" s="740"/>
      <c r="S1220" s="739"/>
      <c r="T1220" s="168">
        <f>IF(S1220&lt;&gt;"",S1220,IF(ISERROR(Personalplanung!AE76/Monatsplanung!$E76*Monatsplanung!$R76),0,Personalplanung!AE76/Monatsplanung!$E76*Monatsplanung!$R76))</f>
        <v>0</v>
      </c>
      <c r="U1220" s="740"/>
      <c r="V1220" s="168">
        <f t="shared" si="395"/>
        <v>0</v>
      </c>
      <c r="W1220" s="168">
        <f>IF(ISERROR(Personalplanung!P76/Monatsplanung!$E76*Monatsplanung!$R76),0,Personalplanung!P76/Monatsplanung!$E76*Monatsplanung!$R76)</f>
        <v>0</v>
      </c>
      <c r="X1220" s="168">
        <f>IF(ISERROR(Personalplanung!Q76/Monatsplanung!$E76*Monatsplanung!$R76),0,Personalplanung!Q76/Monatsplanung!$E76*Monatsplanung!$R76)</f>
        <v>0</v>
      </c>
      <c r="Y1220" s="168">
        <f>IF(ISERROR(Personalplanung!R76/T1324*Stundencontrolling!T1220),0,Personalplanung!R76/T1324*Stundencontrolling!T1220)</f>
        <v>0</v>
      </c>
      <c r="Z1220" s="168">
        <f>IF(ISERROR(Personalplanung!S76/Monatsplanung!$E76*Monatsplanung!$R76),0,Personalplanung!S76/Monatsplanung!$E76*Monatsplanung!$R76)</f>
        <v>0</v>
      </c>
      <c r="AA1220" s="80">
        <f t="shared" si="396"/>
        <v>0</v>
      </c>
      <c r="AB1220" s="102">
        <f t="shared" si="397"/>
        <v>0.1</v>
      </c>
      <c r="AC1220" s="103">
        <f t="shared" si="398"/>
        <v>0</v>
      </c>
      <c r="AD1220" s="103">
        <f t="shared" si="399"/>
        <v>0</v>
      </c>
      <c r="AE1220" s="81">
        <f t="shared" si="400"/>
        <v>0</v>
      </c>
      <c r="AF1220" s="539"/>
      <c r="AG1220" s="104">
        <f t="shared" si="401"/>
        <v>1</v>
      </c>
      <c r="AH1220" s="7">
        <f t="shared" si="402"/>
        <v>0</v>
      </c>
      <c r="AI1220" s="6">
        <f t="shared" si="403"/>
        <v>0</v>
      </c>
      <c r="AJ1220" s="73">
        <f t="shared" si="404"/>
        <v>0</v>
      </c>
      <c r="AK1220" s="539"/>
      <c r="AL1220" s="748"/>
      <c r="AM1220" s="748"/>
    </row>
    <row r="1221" spans="2:39" x14ac:dyDescent="0.2">
      <c r="B1221" s="101" t="str">
        <f t="shared" si="389"/>
        <v/>
      </c>
      <c r="C1221" s="168">
        <f>IF(ISERROR(Personalplanung!F77/Monatsplanung!$E77*Monatsplanung!$R77),0,Personalplanung!F77/Monatsplanung!$E77*Monatsplanung!$R77)</f>
        <v>0</v>
      </c>
      <c r="D1221" s="168">
        <f t="shared" si="390"/>
        <v>0</v>
      </c>
      <c r="E1221" s="168">
        <f>IF(ISERROR(Personalplanung!H77/Monatsplanung!$E77*Monatsplanung!$R77),0,Personalplanung!H77/Monatsplanung!$E77*Monatsplanung!$R77)</f>
        <v>0</v>
      </c>
      <c r="F1221" s="168">
        <f t="shared" si="391"/>
        <v>0</v>
      </c>
      <c r="G1221" s="168">
        <f t="shared" si="392"/>
        <v>27.700831024930746</v>
      </c>
      <c r="H1221" s="168">
        <f t="shared" si="393"/>
        <v>0</v>
      </c>
      <c r="I1221" s="168">
        <f t="shared" si="394"/>
        <v>30</v>
      </c>
      <c r="J1221" s="739"/>
      <c r="K1221" s="168">
        <f>IF(J1221&lt;&gt;"",J1221,IF(ISERROR(Personalplanung!AB77/Monatsplanung!$E77*Monatsplanung!$R77),0,Personalplanung!AB77/Monatsplanung!$E77*Monatsplanung!$R77))</f>
        <v>0</v>
      </c>
      <c r="L1221" s="740"/>
      <c r="M1221" s="739"/>
      <c r="N1221" s="168">
        <f>IF(M1221&lt;&gt;"",M1221,IF(ISERROR(Personalplanung!AC77/Monatsplanung!$E77*Monatsplanung!$R77),0,Personalplanung!AC77/Monatsplanung!$E77*Monatsplanung!$R77))</f>
        <v>0</v>
      </c>
      <c r="O1221" s="740"/>
      <c r="P1221" s="739"/>
      <c r="Q1221" s="168">
        <f>IF(P1221&lt;&gt;"",P1221,IF(ISERROR(Personalplanung!AD77/Monatsplanung!$E77*Monatsplanung!$R77),0,Personalplanung!AD77/Monatsplanung!$E77*Monatsplanung!$R77))</f>
        <v>0</v>
      </c>
      <c r="R1221" s="740"/>
      <c r="S1221" s="739"/>
      <c r="T1221" s="168">
        <f>IF(S1221&lt;&gt;"",S1221,IF(ISERROR(Personalplanung!AE77/Monatsplanung!$E77*Monatsplanung!$R77),0,Personalplanung!AE77/Monatsplanung!$E77*Monatsplanung!$R77))</f>
        <v>0</v>
      </c>
      <c r="U1221" s="740"/>
      <c r="V1221" s="168">
        <f t="shared" si="395"/>
        <v>0</v>
      </c>
      <c r="W1221" s="168">
        <f>IF(ISERROR(Personalplanung!P77/Monatsplanung!$E77*Monatsplanung!$R77),0,Personalplanung!P77/Monatsplanung!$E77*Monatsplanung!$R77)</f>
        <v>0</v>
      </c>
      <c r="X1221" s="168">
        <f>IF(ISERROR(Personalplanung!Q77/Monatsplanung!$E77*Monatsplanung!$R77),0,Personalplanung!Q77/Monatsplanung!$E77*Monatsplanung!$R77)</f>
        <v>0</v>
      </c>
      <c r="Y1221" s="168">
        <f>IF(ISERROR(Personalplanung!R77/T1325*Stundencontrolling!T1221),0,Personalplanung!R77/T1325*Stundencontrolling!T1221)</f>
        <v>0</v>
      </c>
      <c r="Z1221" s="168">
        <f>IF(ISERROR(Personalplanung!S77/Monatsplanung!$E77*Monatsplanung!$R77),0,Personalplanung!S77/Monatsplanung!$E77*Monatsplanung!$R77)</f>
        <v>0</v>
      </c>
      <c r="AA1221" s="80">
        <f t="shared" si="396"/>
        <v>0</v>
      </c>
      <c r="AB1221" s="102">
        <f t="shared" si="397"/>
        <v>0.1</v>
      </c>
      <c r="AC1221" s="103">
        <f t="shared" si="398"/>
        <v>0</v>
      </c>
      <c r="AD1221" s="103">
        <f t="shared" si="399"/>
        <v>0</v>
      </c>
      <c r="AE1221" s="81">
        <f t="shared" si="400"/>
        <v>0</v>
      </c>
      <c r="AF1221" s="539"/>
      <c r="AG1221" s="104">
        <f t="shared" si="401"/>
        <v>1</v>
      </c>
      <c r="AH1221" s="7">
        <f t="shared" si="402"/>
        <v>0</v>
      </c>
      <c r="AI1221" s="6">
        <f t="shared" si="403"/>
        <v>0</v>
      </c>
      <c r="AJ1221" s="73">
        <f t="shared" si="404"/>
        <v>0</v>
      </c>
      <c r="AK1221" s="539"/>
      <c r="AL1221" s="748"/>
      <c r="AM1221" s="748"/>
    </row>
    <row r="1222" spans="2:39" x14ac:dyDescent="0.2">
      <c r="B1222" s="101" t="str">
        <f t="shared" si="389"/>
        <v/>
      </c>
      <c r="C1222" s="168">
        <f>IF(ISERROR(Personalplanung!F78/Monatsplanung!$E78*Monatsplanung!$R78),0,Personalplanung!F78/Monatsplanung!$E78*Monatsplanung!$R78)</f>
        <v>0</v>
      </c>
      <c r="D1222" s="168">
        <f t="shared" si="390"/>
        <v>0</v>
      </c>
      <c r="E1222" s="168">
        <f>IF(ISERROR(Personalplanung!H78/Monatsplanung!$E78*Monatsplanung!$R78),0,Personalplanung!H78/Monatsplanung!$E78*Monatsplanung!$R78)</f>
        <v>0</v>
      </c>
      <c r="F1222" s="168">
        <f t="shared" si="391"/>
        <v>0</v>
      </c>
      <c r="G1222" s="168">
        <f t="shared" si="392"/>
        <v>27.700831024930746</v>
      </c>
      <c r="H1222" s="168">
        <f t="shared" si="393"/>
        <v>0</v>
      </c>
      <c r="I1222" s="168">
        <f t="shared" si="394"/>
        <v>30</v>
      </c>
      <c r="J1222" s="739"/>
      <c r="K1222" s="168">
        <f>IF(J1222&lt;&gt;"",J1222,IF(ISERROR(Personalplanung!AB78/Monatsplanung!$E78*Monatsplanung!$R78),0,Personalplanung!AB78/Monatsplanung!$E78*Monatsplanung!$R78))</f>
        <v>0</v>
      </c>
      <c r="L1222" s="740"/>
      <c r="M1222" s="739"/>
      <c r="N1222" s="168">
        <f>IF(M1222&lt;&gt;"",M1222,IF(ISERROR(Personalplanung!AC78/Monatsplanung!$E78*Monatsplanung!$R78),0,Personalplanung!AC78/Monatsplanung!$E78*Monatsplanung!$R78))</f>
        <v>0</v>
      </c>
      <c r="O1222" s="740"/>
      <c r="P1222" s="739"/>
      <c r="Q1222" s="168">
        <f>IF(P1222&lt;&gt;"",P1222,IF(ISERROR(Personalplanung!AD78/Monatsplanung!$E78*Monatsplanung!$R78),0,Personalplanung!AD78/Monatsplanung!$E78*Monatsplanung!$R78))</f>
        <v>0</v>
      </c>
      <c r="R1222" s="740"/>
      <c r="S1222" s="739"/>
      <c r="T1222" s="168">
        <f>IF(S1222&lt;&gt;"",S1222,IF(ISERROR(Personalplanung!AE78/Monatsplanung!$E78*Monatsplanung!$R78),0,Personalplanung!AE78/Monatsplanung!$E78*Monatsplanung!$R78))</f>
        <v>0</v>
      </c>
      <c r="U1222" s="740"/>
      <c r="V1222" s="168">
        <f t="shared" si="395"/>
        <v>0</v>
      </c>
      <c r="W1222" s="168">
        <f>IF(ISERROR(Personalplanung!P78/Monatsplanung!$E78*Monatsplanung!$R78),0,Personalplanung!P78/Monatsplanung!$E78*Monatsplanung!$R78)</f>
        <v>0</v>
      </c>
      <c r="X1222" s="168">
        <f>IF(ISERROR(Personalplanung!Q78/Monatsplanung!$E78*Monatsplanung!$R78),0,Personalplanung!Q78/Monatsplanung!$E78*Monatsplanung!$R78)</f>
        <v>0</v>
      </c>
      <c r="Y1222" s="168">
        <f>IF(ISERROR(Personalplanung!R78/T1326*Stundencontrolling!T1222),0,Personalplanung!R78/T1326*Stundencontrolling!T1222)</f>
        <v>0</v>
      </c>
      <c r="Z1222" s="168">
        <f>IF(ISERROR(Personalplanung!S78/Monatsplanung!$E78*Monatsplanung!$R78),0,Personalplanung!S78/Monatsplanung!$E78*Monatsplanung!$R78)</f>
        <v>0</v>
      </c>
      <c r="AA1222" s="80">
        <f t="shared" si="396"/>
        <v>0</v>
      </c>
      <c r="AB1222" s="102">
        <f t="shared" si="397"/>
        <v>0.1</v>
      </c>
      <c r="AC1222" s="103">
        <f t="shared" si="398"/>
        <v>0</v>
      </c>
      <c r="AD1222" s="103">
        <f t="shared" si="399"/>
        <v>0</v>
      </c>
      <c r="AE1222" s="81">
        <f t="shared" si="400"/>
        <v>0</v>
      </c>
      <c r="AF1222" s="539"/>
      <c r="AG1222" s="104">
        <f t="shared" si="401"/>
        <v>1</v>
      </c>
      <c r="AH1222" s="7">
        <f t="shared" si="402"/>
        <v>0</v>
      </c>
      <c r="AI1222" s="6">
        <f t="shared" si="403"/>
        <v>0</v>
      </c>
      <c r="AJ1222" s="73">
        <f t="shared" si="404"/>
        <v>0</v>
      </c>
      <c r="AK1222" s="539"/>
      <c r="AL1222" s="748"/>
      <c r="AM1222" s="748"/>
    </row>
    <row r="1223" spans="2:39" x14ac:dyDescent="0.2">
      <c r="B1223" s="101" t="str">
        <f t="shared" si="389"/>
        <v/>
      </c>
      <c r="C1223" s="168">
        <f>IF(ISERROR(Personalplanung!F79/Monatsplanung!$E79*Monatsplanung!$R79),0,Personalplanung!F79/Monatsplanung!$E79*Monatsplanung!$R79)</f>
        <v>0</v>
      </c>
      <c r="D1223" s="168">
        <f t="shared" si="390"/>
        <v>0</v>
      </c>
      <c r="E1223" s="168">
        <f>IF(ISERROR(Personalplanung!H79/Monatsplanung!$E79*Monatsplanung!$R79),0,Personalplanung!H79/Monatsplanung!$E79*Monatsplanung!$R79)</f>
        <v>0</v>
      </c>
      <c r="F1223" s="168">
        <f t="shared" si="391"/>
        <v>0</v>
      </c>
      <c r="G1223" s="168">
        <f t="shared" si="392"/>
        <v>27.700831024930746</v>
      </c>
      <c r="H1223" s="168">
        <f t="shared" si="393"/>
        <v>0</v>
      </c>
      <c r="I1223" s="168">
        <f t="shared" si="394"/>
        <v>30</v>
      </c>
      <c r="J1223" s="739"/>
      <c r="K1223" s="168">
        <f>IF(J1223&lt;&gt;"",J1223,IF(ISERROR(Personalplanung!AB79/Monatsplanung!$E79*Monatsplanung!$R79),0,Personalplanung!AB79/Monatsplanung!$E79*Monatsplanung!$R79))</f>
        <v>0</v>
      </c>
      <c r="L1223" s="740"/>
      <c r="M1223" s="739"/>
      <c r="N1223" s="168">
        <f>IF(M1223&lt;&gt;"",M1223,IF(ISERROR(Personalplanung!AC79/Monatsplanung!$E79*Monatsplanung!$R79),0,Personalplanung!AC79/Monatsplanung!$E79*Monatsplanung!$R79))</f>
        <v>0</v>
      </c>
      <c r="O1223" s="740"/>
      <c r="P1223" s="739"/>
      <c r="Q1223" s="168">
        <f>IF(P1223&lt;&gt;"",P1223,IF(ISERROR(Personalplanung!AD79/Monatsplanung!$E79*Monatsplanung!$R79),0,Personalplanung!AD79/Monatsplanung!$E79*Monatsplanung!$R79))</f>
        <v>0</v>
      </c>
      <c r="R1223" s="740"/>
      <c r="S1223" s="739"/>
      <c r="T1223" s="168">
        <f>IF(S1223&lt;&gt;"",S1223,IF(ISERROR(Personalplanung!AE79/Monatsplanung!$E79*Monatsplanung!$R79),0,Personalplanung!AE79/Monatsplanung!$E79*Monatsplanung!$R79))</f>
        <v>0</v>
      </c>
      <c r="U1223" s="740"/>
      <c r="V1223" s="168">
        <f t="shared" si="395"/>
        <v>0</v>
      </c>
      <c r="W1223" s="168">
        <f>IF(ISERROR(Personalplanung!P79/Monatsplanung!$E79*Monatsplanung!$R79),0,Personalplanung!P79/Monatsplanung!$E79*Monatsplanung!$R79)</f>
        <v>0</v>
      </c>
      <c r="X1223" s="168">
        <f>IF(ISERROR(Personalplanung!Q79/Monatsplanung!$E79*Monatsplanung!$R79),0,Personalplanung!Q79/Monatsplanung!$E79*Monatsplanung!$R79)</f>
        <v>0</v>
      </c>
      <c r="Y1223" s="168">
        <f>IF(ISERROR(Personalplanung!R79/T1327*Stundencontrolling!T1223),0,Personalplanung!R79/T1327*Stundencontrolling!T1223)</f>
        <v>0</v>
      </c>
      <c r="Z1223" s="168">
        <f>IF(ISERROR(Personalplanung!S79/Monatsplanung!$E79*Monatsplanung!$R79),0,Personalplanung!S79/Monatsplanung!$E79*Monatsplanung!$R79)</f>
        <v>0</v>
      </c>
      <c r="AA1223" s="80">
        <f t="shared" si="396"/>
        <v>0</v>
      </c>
      <c r="AB1223" s="102">
        <f t="shared" si="397"/>
        <v>0.1</v>
      </c>
      <c r="AC1223" s="103">
        <f t="shared" si="398"/>
        <v>0</v>
      </c>
      <c r="AD1223" s="103">
        <f t="shared" si="399"/>
        <v>0</v>
      </c>
      <c r="AE1223" s="81">
        <f t="shared" si="400"/>
        <v>0</v>
      </c>
      <c r="AF1223" s="539"/>
      <c r="AG1223" s="104">
        <f t="shared" si="401"/>
        <v>1</v>
      </c>
      <c r="AH1223" s="7">
        <f t="shared" si="402"/>
        <v>0</v>
      </c>
      <c r="AI1223" s="6">
        <f t="shared" si="403"/>
        <v>0</v>
      </c>
      <c r="AJ1223" s="73">
        <f t="shared" si="404"/>
        <v>0</v>
      </c>
      <c r="AK1223" s="539"/>
      <c r="AL1223" s="748"/>
      <c r="AM1223" s="748"/>
    </row>
    <row r="1224" spans="2:39" x14ac:dyDescent="0.2">
      <c r="B1224" s="101" t="str">
        <f t="shared" si="389"/>
        <v/>
      </c>
      <c r="C1224" s="168">
        <f>IF(ISERROR(Personalplanung!F80/Monatsplanung!$E80*Monatsplanung!$R80),0,Personalplanung!F80/Monatsplanung!$E80*Monatsplanung!$R80)</f>
        <v>0</v>
      </c>
      <c r="D1224" s="168">
        <f t="shared" si="390"/>
        <v>0</v>
      </c>
      <c r="E1224" s="168">
        <f>IF(ISERROR(Personalplanung!H80/Monatsplanung!$E80*Monatsplanung!$R80),0,Personalplanung!H80/Monatsplanung!$E80*Monatsplanung!$R80)</f>
        <v>0</v>
      </c>
      <c r="F1224" s="168">
        <f t="shared" si="391"/>
        <v>0</v>
      </c>
      <c r="G1224" s="168">
        <f t="shared" si="392"/>
        <v>27.700831024930746</v>
      </c>
      <c r="H1224" s="168">
        <f t="shared" si="393"/>
        <v>0</v>
      </c>
      <c r="I1224" s="168">
        <f t="shared" si="394"/>
        <v>30</v>
      </c>
      <c r="J1224" s="739"/>
      <c r="K1224" s="168">
        <f>IF(J1224&lt;&gt;"",J1224,IF(ISERROR(Personalplanung!AB80/Monatsplanung!$E80*Monatsplanung!$R80),0,Personalplanung!AB80/Monatsplanung!$E80*Monatsplanung!$R80))</f>
        <v>0</v>
      </c>
      <c r="L1224" s="740"/>
      <c r="M1224" s="739"/>
      <c r="N1224" s="168">
        <f>IF(M1224&lt;&gt;"",M1224,IF(ISERROR(Personalplanung!AC80/Monatsplanung!$E80*Monatsplanung!$R80),0,Personalplanung!AC80/Monatsplanung!$E80*Monatsplanung!$R80))</f>
        <v>0</v>
      </c>
      <c r="O1224" s="740"/>
      <c r="P1224" s="739"/>
      <c r="Q1224" s="168">
        <f>IF(P1224&lt;&gt;"",P1224,IF(ISERROR(Personalplanung!AD80/Monatsplanung!$E80*Monatsplanung!$R80),0,Personalplanung!AD80/Monatsplanung!$E80*Monatsplanung!$R80))</f>
        <v>0</v>
      </c>
      <c r="R1224" s="740"/>
      <c r="S1224" s="739"/>
      <c r="T1224" s="168">
        <f>IF(S1224&lt;&gt;"",S1224,IF(ISERROR(Personalplanung!AE80/Monatsplanung!$E80*Monatsplanung!$R80),0,Personalplanung!AE80/Monatsplanung!$E80*Monatsplanung!$R80))</f>
        <v>0</v>
      </c>
      <c r="U1224" s="740"/>
      <c r="V1224" s="168">
        <f t="shared" si="395"/>
        <v>0</v>
      </c>
      <c r="W1224" s="168">
        <f>IF(ISERROR(Personalplanung!P80/Monatsplanung!$E80*Monatsplanung!$R80),0,Personalplanung!P80/Monatsplanung!$E80*Monatsplanung!$R80)</f>
        <v>0</v>
      </c>
      <c r="X1224" s="168">
        <f>IF(ISERROR(Personalplanung!Q80/Monatsplanung!$E80*Monatsplanung!$R80),0,Personalplanung!Q80/Monatsplanung!$E80*Monatsplanung!$R80)</f>
        <v>0</v>
      </c>
      <c r="Y1224" s="168">
        <f>IF(ISERROR(Personalplanung!R80/T1328*Stundencontrolling!T1224),0,Personalplanung!R80/T1328*Stundencontrolling!T1224)</f>
        <v>0</v>
      </c>
      <c r="Z1224" s="168">
        <f>IF(ISERROR(Personalplanung!S80/Monatsplanung!$E80*Monatsplanung!$R80),0,Personalplanung!S80/Monatsplanung!$E80*Monatsplanung!$R80)</f>
        <v>0</v>
      </c>
      <c r="AA1224" s="80">
        <f t="shared" si="396"/>
        <v>0</v>
      </c>
      <c r="AB1224" s="102">
        <f t="shared" si="397"/>
        <v>0.1</v>
      </c>
      <c r="AC1224" s="103">
        <f t="shared" si="398"/>
        <v>0</v>
      </c>
      <c r="AD1224" s="103">
        <f t="shared" si="399"/>
        <v>0</v>
      </c>
      <c r="AE1224" s="81">
        <f t="shared" si="400"/>
        <v>0</v>
      </c>
      <c r="AF1224" s="539"/>
      <c r="AG1224" s="104">
        <f t="shared" si="401"/>
        <v>1</v>
      </c>
      <c r="AH1224" s="7">
        <f t="shared" si="402"/>
        <v>0</v>
      </c>
      <c r="AI1224" s="6">
        <f t="shared" si="403"/>
        <v>0</v>
      </c>
      <c r="AJ1224" s="73">
        <f t="shared" si="404"/>
        <v>0</v>
      </c>
      <c r="AK1224" s="539"/>
      <c r="AL1224" s="748"/>
      <c r="AM1224" s="748"/>
    </row>
    <row r="1225" spans="2:39" x14ac:dyDescent="0.2">
      <c r="B1225" s="101" t="str">
        <f t="shared" si="389"/>
        <v/>
      </c>
      <c r="C1225" s="168">
        <f>IF(ISERROR(Personalplanung!F81/Monatsplanung!$E81*Monatsplanung!$R81),0,Personalplanung!F81/Monatsplanung!$E81*Monatsplanung!$R81)</f>
        <v>0</v>
      </c>
      <c r="D1225" s="168">
        <f t="shared" si="390"/>
        <v>0</v>
      </c>
      <c r="E1225" s="168">
        <f>IF(ISERROR(Personalplanung!H81/Monatsplanung!$E81*Monatsplanung!$R81),0,Personalplanung!H81/Monatsplanung!$E81*Monatsplanung!$R81)</f>
        <v>0</v>
      </c>
      <c r="F1225" s="168">
        <f t="shared" si="391"/>
        <v>0</v>
      </c>
      <c r="G1225" s="168">
        <f t="shared" si="392"/>
        <v>27.700831024930746</v>
      </c>
      <c r="H1225" s="168">
        <f t="shared" si="393"/>
        <v>0</v>
      </c>
      <c r="I1225" s="168">
        <f t="shared" si="394"/>
        <v>30</v>
      </c>
      <c r="J1225" s="739"/>
      <c r="K1225" s="168">
        <f>IF(J1225&lt;&gt;"",J1225,IF(ISERROR(Personalplanung!AB81/Monatsplanung!$E81*Monatsplanung!$R81),0,Personalplanung!AB81/Monatsplanung!$E81*Monatsplanung!$R81))</f>
        <v>0</v>
      </c>
      <c r="L1225" s="740"/>
      <c r="M1225" s="739"/>
      <c r="N1225" s="168">
        <f>IF(M1225&lt;&gt;"",M1225,IF(ISERROR(Personalplanung!AC81/Monatsplanung!$E81*Monatsplanung!$R81),0,Personalplanung!AC81/Monatsplanung!$E81*Monatsplanung!$R81))</f>
        <v>0</v>
      </c>
      <c r="O1225" s="740"/>
      <c r="P1225" s="739"/>
      <c r="Q1225" s="168">
        <f>IF(P1225&lt;&gt;"",P1225,IF(ISERROR(Personalplanung!AD81/Monatsplanung!$E81*Monatsplanung!$R81),0,Personalplanung!AD81/Monatsplanung!$E81*Monatsplanung!$R81))</f>
        <v>0</v>
      </c>
      <c r="R1225" s="740"/>
      <c r="S1225" s="739"/>
      <c r="T1225" s="168">
        <f>IF(S1225&lt;&gt;"",S1225,IF(ISERROR(Personalplanung!AE81/Monatsplanung!$E81*Monatsplanung!$R81),0,Personalplanung!AE81/Monatsplanung!$E81*Monatsplanung!$R81))</f>
        <v>0</v>
      </c>
      <c r="U1225" s="740"/>
      <c r="V1225" s="168">
        <f t="shared" si="395"/>
        <v>0</v>
      </c>
      <c r="W1225" s="168">
        <f>IF(ISERROR(Personalplanung!P81/Monatsplanung!$E81*Monatsplanung!$R81),0,Personalplanung!P81/Monatsplanung!$E81*Monatsplanung!$R81)</f>
        <v>0</v>
      </c>
      <c r="X1225" s="168">
        <f>IF(ISERROR(Personalplanung!Q81/Monatsplanung!$E81*Monatsplanung!$R81),0,Personalplanung!Q81/Monatsplanung!$E81*Monatsplanung!$R81)</f>
        <v>0</v>
      </c>
      <c r="Y1225" s="168">
        <f>IF(ISERROR(Personalplanung!R81/T1329*Stundencontrolling!T1225),0,Personalplanung!R81/T1329*Stundencontrolling!T1225)</f>
        <v>0</v>
      </c>
      <c r="Z1225" s="168">
        <f>IF(ISERROR(Personalplanung!S81/Monatsplanung!$E81*Monatsplanung!$R81),0,Personalplanung!S81/Monatsplanung!$E81*Monatsplanung!$R81)</f>
        <v>0</v>
      </c>
      <c r="AA1225" s="80">
        <f t="shared" si="396"/>
        <v>0</v>
      </c>
      <c r="AB1225" s="102">
        <f t="shared" si="397"/>
        <v>0.1</v>
      </c>
      <c r="AC1225" s="103">
        <f t="shared" si="398"/>
        <v>0</v>
      </c>
      <c r="AD1225" s="103">
        <f t="shared" si="399"/>
        <v>0</v>
      </c>
      <c r="AE1225" s="81">
        <f t="shared" si="400"/>
        <v>0</v>
      </c>
      <c r="AF1225" s="539"/>
      <c r="AG1225" s="104">
        <f t="shared" si="401"/>
        <v>1</v>
      </c>
      <c r="AH1225" s="7">
        <f t="shared" si="402"/>
        <v>0</v>
      </c>
      <c r="AI1225" s="6">
        <f t="shared" si="403"/>
        <v>0</v>
      </c>
      <c r="AJ1225" s="73">
        <f t="shared" si="404"/>
        <v>0</v>
      </c>
      <c r="AK1225" s="539"/>
      <c r="AL1225" s="748"/>
      <c r="AM1225" s="748"/>
    </row>
    <row r="1226" spans="2:39" x14ac:dyDescent="0.2">
      <c r="B1226" s="101" t="str">
        <f t="shared" si="389"/>
        <v/>
      </c>
      <c r="C1226" s="168">
        <f>IF(ISERROR(Personalplanung!F82/Monatsplanung!$E82*Monatsplanung!$R82),0,Personalplanung!F82/Monatsplanung!$E82*Monatsplanung!$R82)</f>
        <v>0</v>
      </c>
      <c r="D1226" s="168">
        <f t="shared" si="390"/>
        <v>0</v>
      </c>
      <c r="E1226" s="168">
        <f>IF(ISERROR(Personalplanung!H82/Monatsplanung!$E82*Monatsplanung!$R82),0,Personalplanung!H82/Monatsplanung!$E82*Monatsplanung!$R82)</f>
        <v>0</v>
      </c>
      <c r="F1226" s="168">
        <f t="shared" si="391"/>
        <v>0</v>
      </c>
      <c r="G1226" s="168">
        <f t="shared" si="392"/>
        <v>27.700831024930746</v>
      </c>
      <c r="H1226" s="168">
        <f t="shared" si="393"/>
        <v>0</v>
      </c>
      <c r="I1226" s="168">
        <f t="shared" si="394"/>
        <v>30</v>
      </c>
      <c r="J1226" s="739"/>
      <c r="K1226" s="168">
        <f>IF(J1226&lt;&gt;"",J1226,IF(ISERROR(Personalplanung!AB82/Monatsplanung!$E82*Monatsplanung!$R82),0,Personalplanung!AB82/Monatsplanung!$E82*Monatsplanung!$R82))</f>
        <v>0</v>
      </c>
      <c r="L1226" s="740"/>
      <c r="M1226" s="739"/>
      <c r="N1226" s="168">
        <f>IF(M1226&lt;&gt;"",M1226,IF(ISERROR(Personalplanung!AC82/Monatsplanung!$E82*Monatsplanung!$R82),0,Personalplanung!AC82/Monatsplanung!$E82*Monatsplanung!$R82))</f>
        <v>0</v>
      </c>
      <c r="O1226" s="740"/>
      <c r="P1226" s="739"/>
      <c r="Q1226" s="168">
        <f>IF(P1226&lt;&gt;"",P1226,IF(ISERROR(Personalplanung!AD82/Monatsplanung!$E82*Monatsplanung!$R82),0,Personalplanung!AD82/Monatsplanung!$E82*Monatsplanung!$R82))</f>
        <v>0</v>
      </c>
      <c r="R1226" s="740"/>
      <c r="S1226" s="739"/>
      <c r="T1226" s="168">
        <f>IF(S1226&lt;&gt;"",S1226,IF(ISERROR(Personalplanung!AE82/Monatsplanung!$E82*Monatsplanung!$R82),0,Personalplanung!AE82/Monatsplanung!$E82*Monatsplanung!$R82))</f>
        <v>0</v>
      </c>
      <c r="U1226" s="740"/>
      <c r="V1226" s="168">
        <f t="shared" si="395"/>
        <v>0</v>
      </c>
      <c r="W1226" s="168">
        <f>IF(ISERROR(Personalplanung!P82/Monatsplanung!$E82*Monatsplanung!$R82),0,Personalplanung!P82/Monatsplanung!$E82*Monatsplanung!$R82)</f>
        <v>0</v>
      </c>
      <c r="X1226" s="168">
        <f>IF(ISERROR(Personalplanung!Q82/Monatsplanung!$E82*Monatsplanung!$R82),0,Personalplanung!Q82/Monatsplanung!$E82*Monatsplanung!$R82)</f>
        <v>0</v>
      </c>
      <c r="Y1226" s="168">
        <f>IF(ISERROR(Personalplanung!R82/T1330*Stundencontrolling!T1226),0,Personalplanung!R82/T1330*Stundencontrolling!T1226)</f>
        <v>0</v>
      </c>
      <c r="Z1226" s="168">
        <f>IF(ISERROR(Personalplanung!S82/Monatsplanung!$E82*Monatsplanung!$R82),0,Personalplanung!S82/Monatsplanung!$E82*Monatsplanung!$R82)</f>
        <v>0</v>
      </c>
      <c r="AA1226" s="80">
        <f t="shared" si="396"/>
        <v>0</v>
      </c>
      <c r="AB1226" s="102">
        <f t="shared" si="397"/>
        <v>0.1</v>
      </c>
      <c r="AC1226" s="103">
        <f t="shared" si="398"/>
        <v>0</v>
      </c>
      <c r="AD1226" s="103">
        <f t="shared" si="399"/>
        <v>0</v>
      </c>
      <c r="AE1226" s="81">
        <f t="shared" si="400"/>
        <v>0</v>
      </c>
      <c r="AF1226" s="539"/>
      <c r="AG1226" s="104">
        <f t="shared" si="401"/>
        <v>1</v>
      </c>
      <c r="AH1226" s="7">
        <f t="shared" si="402"/>
        <v>0</v>
      </c>
      <c r="AI1226" s="6">
        <f t="shared" si="403"/>
        <v>0</v>
      </c>
      <c r="AJ1226" s="73">
        <f t="shared" si="404"/>
        <v>0</v>
      </c>
      <c r="AK1226" s="539"/>
      <c r="AL1226" s="748"/>
      <c r="AM1226" s="748"/>
    </row>
    <row r="1227" spans="2:39" x14ac:dyDescent="0.2">
      <c r="B1227" s="101" t="str">
        <f t="shared" si="389"/>
        <v/>
      </c>
      <c r="C1227" s="168">
        <f>IF(ISERROR(Personalplanung!F83/Monatsplanung!$E83*Monatsplanung!$R83),0,Personalplanung!F83/Monatsplanung!$E83*Monatsplanung!$R83)</f>
        <v>0</v>
      </c>
      <c r="D1227" s="168">
        <f t="shared" si="390"/>
        <v>0</v>
      </c>
      <c r="E1227" s="168">
        <f>IF(ISERROR(Personalplanung!H83/Monatsplanung!$E83*Monatsplanung!$R83),0,Personalplanung!H83/Monatsplanung!$E83*Monatsplanung!$R83)</f>
        <v>0</v>
      </c>
      <c r="F1227" s="168">
        <f t="shared" si="391"/>
        <v>0</v>
      </c>
      <c r="G1227" s="168">
        <f t="shared" si="392"/>
        <v>27.700831024930746</v>
      </c>
      <c r="H1227" s="168">
        <f t="shared" si="393"/>
        <v>0</v>
      </c>
      <c r="I1227" s="168">
        <f t="shared" si="394"/>
        <v>30</v>
      </c>
      <c r="J1227" s="739"/>
      <c r="K1227" s="168">
        <f>IF(J1227&lt;&gt;"",J1227,IF(ISERROR(Personalplanung!AB83/Monatsplanung!$E83*Monatsplanung!$R83),0,Personalplanung!AB83/Monatsplanung!$E83*Monatsplanung!$R83))</f>
        <v>0</v>
      </c>
      <c r="L1227" s="740"/>
      <c r="M1227" s="739"/>
      <c r="N1227" s="168">
        <f>IF(M1227&lt;&gt;"",M1227,IF(ISERROR(Personalplanung!AC83/Monatsplanung!$E83*Monatsplanung!$R83),0,Personalplanung!AC83/Monatsplanung!$E83*Monatsplanung!$R83))</f>
        <v>0</v>
      </c>
      <c r="O1227" s="740"/>
      <c r="P1227" s="739"/>
      <c r="Q1227" s="168">
        <f>IF(P1227&lt;&gt;"",P1227,IF(ISERROR(Personalplanung!AD83/Monatsplanung!$E83*Monatsplanung!$R83),0,Personalplanung!AD83/Monatsplanung!$E83*Monatsplanung!$R83))</f>
        <v>0</v>
      </c>
      <c r="R1227" s="740"/>
      <c r="S1227" s="739"/>
      <c r="T1227" s="168">
        <f>IF(S1227&lt;&gt;"",S1227,IF(ISERROR(Personalplanung!AE83/Monatsplanung!$E83*Monatsplanung!$R83),0,Personalplanung!AE83/Monatsplanung!$E83*Monatsplanung!$R83))</f>
        <v>0</v>
      </c>
      <c r="U1227" s="740"/>
      <c r="V1227" s="168">
        <f t="shared" si="395"/>
        <v>0</v>
      </c>
      <c r="W1227" s="168">
        <f>IF(ISERROR(Personalplanung!P83/Monatsplanung!$E83*Monatsplanung!$R83),0,Personalplanung!P83/Monatsplanung!$E83*Monatsplanung!$R83)</f>
        <v>0</v>
      </c>
      <c r="X1227" s="168">
        <f>IF(ISERROR(Personalplanung!Q83/Monatsplanung!$E83*Monatsplanung!$R83),0,Personalplanung!Q83/Monatsplanung!$E83*Monatsplanung!$R83)</f>
        <v>0</v>
      </c>
      <c r="Y1227" s="168">
        <f>IF(ISERROR(Personalplanung!R83/T1331*Stundencontrolling!T1227),0,Personalplanung!R83/T1331*Stundencontrolling!T1227)</f>
        <v>0</v>
      </c>
      <c r="Z1227" s="168">
        <f>IF(ISERROR(Personalplanung!S83/Monatsplanung!$E83*Monatsplanung!$R83),0,Personalplanung!S83/Monatsplanung!$E83*Monatsplanung!$R83)</f>
        <v>0</v>
      </c>
      <c r="AA1227" s="80">
        <f t="shared" si="396"/>
        <v>0</v>
      </c>
      <c r="AB1227" s="102">
        <f t="shared" si="397"/>
        <v>0.1</v>
      </c>
      <c r="AC1227" s="103">
        <f t="shared" si="398"/>
        <v>0</v>
      </c>
      <c r="AD1227" s="103">
        <f t="shared" si="399"/>
        <v>0</v>
      </c>
      <c r="AE1227" s="81">
        <f t="shared" si="400"/>
        <v>0</v>
      </c>
      <c r="AF1227" s="539"/>
      <c r="AG1227" s="104">
        <f t="shared" si="401"/>
        <v>1</v>
      </c>
      <c r="AH1227" s="7">
        <f t="shared" si="402"/>
        <v>0</v>
      </c>
      <c r="AI1227" s="6">
        <f t="shared" si="403"/>
        <v>0</v>
      </c>
      <c r="AJ1227" s="73">
        <f t="shared" si="404"/>
        <v>0</v>
      </c>
      <c r="AK1227" s="539"/>
      <c r="AL1227" s="748"/>
      <c r="AM1227" s="748"/>
    </row>
    <row r="1228" spans="2:39" x14ac:dyDescent="0.2">
      <c r="B1228" s="101" t="str">
        <f t="shared" si="389"/>
        <v/>
      </c>
      <c r="C1228" s="168">
        <f>IF(ISERROR(Personalplanung!F84/Monatsplanung!$E84*Monatsplanung!$R84),0,Personalplanung!F84/Monatsplanung!$E84*Monatsplanung!$R84)</f>
        <v>0</v>
      </c>
      <c r="D1228" s="168">
        <f t="shared" si="390"/>
        <v>0</v>
      </c>
      <c r="E1228" s="168">
        <f>IF(ISERROR(Personalplanung!H84/Monatsplanung!$E84*Monatsplanung!$R84),0,Personalplanung!H84/Monatsplanung!$E84*Monatsplanung!$R84)</f>
        <v>0</v>
      </c>
      <c r="F1228" s="168">
        <f t="shared" si="391"/>
        <v>0</v>
      </c>
      <c r="G1228" s="168">
        <f t="shared" si="392"/>
        <v>27.700831024930746</v>
      </c>
      <c r="H1228" s="168">
        <f t="shared" si="393"/>
        <v>0</v>
      </c>
      <c r="I1228" s="168">
        <f t="shared" si="394"/>
        <v>30</v>
      </c>
      <c r="J1228" s="739"/>
      <c r="K1228" s="168">
        <f>IF(J1228&lt;&gt;"",J1228,IF(ISERROR(Personalplanung!AB84/Monatsplanung!$E84*Monatsplanung!$R84),0,Personalplanung!AB84/Monatsplanung!$E84*Monatsplanung!$R84))</f>
        <v>0</v>
      </c>
      <c r="L1228" s="740"/>
      <c r="M1228" s="739"/>
      <c r="N1228" s="168">
        <f>IF(M1228&lt;&gt;"",M1228,IF(ISERROR(Personalplanung!AC84/Monatsplanung!$E84*Monatsplanung!$R84),0,Personalplanung!AC84/Monatsplanung!$E84*Monatsplanung!$R84))</f>
        <v>0</v>
      </c>
      <c r="O1228" s="740"/>
      <c r="P1228" s="739"/>
      <c r="Q1228" s="168">
        <f>IF(P1228&lt;&gt;"",P1228,IF(ISERROR(Personalplanung!AD84/Monatsplanung!$E84*Monatsplanung!$R84),0,Personalplanung!AD84/Monatsplanung!$E84*Monatsplanung!$R84))</f>
        <v>0</v>
      </c>
      <c r="R1228" s="740"/>
      <c r="S1228" s="739"/>
      <c r="T1228" s="168">
        <f>IF(S1228&lt;&gt;"",S1228,IF(ISERROR(Personalplanung!AE84/Monatsplanung!$E84*Monatsplanung!$R84),0,Personalplanung!AE84/Monatsplanung!$E84*Monatsplanung!$R84))</f>
        <v>0</v>
      </c>
      <c r="U1228" s="740"/>
      <c r="V1228" s="168">
        <f t="shared" si="395"/>
        <v>0</v>
      </c>
      <c r="W1228" s="168">
        <f>IF(ISERROR(Personalplanung!P84/Monatsplanung!$E84*Monatsplanung!$R84),0,Personalplanung!P84/Monatsplanung!$E84*Monatsplanung!$R84)</f>
        <v>0</v>
      </c>
      <c r="X1228" s="168">
        <f>IF(ISERROR(Personalplanung!Q84/Monatsplanung!$E84*Monatsplanung!$R84),0,Personalplanung!Q84/Monatsplanung!$E84*Monatsplanung!$R84)</f>
        <v>0</v>
      </c>
      <c r="Y1228" s="168">
        <f>IF(ISERROR(Personalplanung!R84/T1332*Stundencontrolling!T1228),0,Personalplanung!R84/T1332*Stundencontrolling!T1228)</f>
        <v>0</v>
      </c>
      <c r="Z1228" s="168">
        <f>IF(ISERROR(Personalplanung!S84/Monatsplanung!$E84*Monatsplanung!$R84),0,Personalplanung!S84/Monatsplanung!$E84*Monatsplanung!$R84)</f>
        <v>0</v>
      </c>
      <c r="AA1228" s="80">
        <f t="shared" si="396"/>
        <v>0</v>
      </c>
      <c r="AB1228" s="102">
        <f t="shared" si="397"/>
        <v>0.1</v>
      </c>
      <c r="AC1228" s="103">
        <f t="shared" si="398"/>
        <v>0</v>
      </c>
      <c r="AD1228" s="103">
        <f t="shared" si="399"/>
        <v>0</v>
      </c>
      <c r="AE1228" s="81">
        <f t="shared" si="400"/>
        <v>0</v>
      </c>
      <c r="AF1228" s="539"/>
      <c r="AG1228" s="104">
        <f t="shared" si="401"/>
        <v>1</v>
      </c>
      <c r="AH1228" s="7">
        <f t="shared" si="402"/>
        <v>0</v>
      </c>
      <c r="AI1228" s="6">
        <f t="shared" si="403"/>
        <v>0</v>
      </c>
      <c r="AJ1228" s="73">
        <f t="shared" si="404"/>
        <v>0</v>
      </c>
      <c r="AK1228" s="539"/>
      <c r="AL1228" s="748"/>
      <c r="AM1228" s="748"/>
    </row>
    <row r="1229" spans="2:39" x14ac:dyDescent="0.2">
      <c r="B1229" s="101" t="str">
        <f t="shared" si="389"/>
        <v/>
      </c>
      <c r="C1229" s="168">
        <f>IF(ISERROR(Personalplanung!F85/Monatsplanung!$E85*Monatsplanung!$R85),0,Personalplanung!F85/Monatsplanung!$E85*Monatsplanung!$R85)</f>
        <v>0</v>
      </c>
      <c r="D1229" s="168">
        <f t="shared" si="390"/>
        <v>0</v>
      </c>
      <c r="E1229" s="168">
        <f>IF(ISERROR(Personalplanung!H85/Monatsplanung!$E85*Monatsplanung!$R85),0,Personalplanung!H85/Monatsplanung!$E85*Monatsplanung!$R85)</f>
        <v>0</v>
      </c>
      <c r="F1229" s="168">
        <f t="shared" si="391"/>
        <v>0</v>
      </c>
      <c r="G1229" s="168">
        <f t="shared" si="392"/>
        <v>27.700831024930746</v>
      </c>
      <c r="H1229" s="168">
        <f t="shared" si="393"/>
        <v>0</v>
      </c>
      <c r="I1229" s="168">
        <f t="shared" si="394"/>
        <v>30</v>
      </c>
      <c r="J1229" s="739"/>
      <c r="K1229" s="168">
        <f>IF(J1229&lt;&gt;"",J1229,IF(ISERROR(Personalplanung!AB85/Monatsplanung!$E85*Monatsplanung!$R85),0,Personalplanung!AB85/Monatsplanung!$E85*Monatsplanung!$R85))</f>
        <v>0</v>
      </c>
      <c r="L1229" s="740"/>
      <c r="M1229" s="739"/>
      <c r="N1229" s="168">
        <f>IF(M1229&lt;&gt;"",M1229,IF(ISERROR(Personalplanung!AC85/Monatsplanung!$E85*Monatsplanung!$R85),0,Personalplanung!AC85/Monatsplanung!$E85*Monatsplanung!$R85))</f>
        <v>0</v>
      </c>
      <c r="O1229" s="740"/>
      <c r="P1229" s="739"/>
      <c r="Q1229" s="168">
        <f>IF(P1229&lt;&gt;"",P1229,IF(ISERROR(Personalplanung!AD85/Monatsplanung!$E85*Monatsplanung!$R85),0,Personalplanung!AD85/Monatsplanung!$E85*Monatsplanung!$R85))</f>
        <v>0</v>
      </c>
      <c r="R1229" s="740"/>
      <c r="S1229" s="739"/>
      <c r="T1229" s="168">
        <f>IF(S1229&lt;&gt;"",S1229,IF(ISERROR(Personalplanung!AE85/Monatsplanung!$E85*Monatsplanung!$R85),0,Personalplanung!AE85/Monatsplanung!$E85*Monatsplanung!$R85))</f>
        <v>0</v>
      </c>
      <c r="U1229" s="740"/>
      <c r="V1229" s="168">
        <f t="shared" si="395"/>
        <v>0</v>
      </c>
      <c r="W1229" s="168">
        <f>IF(ISERROR(Personalplanung!P85/Monatsplanung!$E85*Monatsplanung!$R85),0,Personalplanung!P85/Monatsplanung!$E85*Monatsplanung!$R85)</f>
        <v>0</v>
      </c>
      <c r="X1229" s="168">
        <f>IF(ISERROR(Personalplanung!Q85/Monatsplanung!$E85*Monatsplanung!$R85),0,Personalplanung!Q85/Monatsplanung!$E85*Monatsplanung!$R85)</f>
        <v>0</v>
      </c>
      <c r="Y1229" s="168">
        <f>IF(ISERROR(Personalplanung!R85/T1333*Stundencontrolling!T1229),0,Personalplanung!R85/T1333*Stundencontrolling!T1229)</f>
        <v>0</v>
      </c>
      <c r="Z1229" s="168">
        <f>IF(ISERROR(Personalplanung!S85/Monatsplanung!$E85*Monatsplanung!$R85),0,Personalplanung!S85/Monatsplanung!$E85*Monatsplanung!$R85)</f>
        <v>0</v>
      </c>
      <c r="AA1229" s="80">
        <f t="shared" si="396"/>
        <v>0</v>
      </c>
      <c r="AB1229" s="102">
        <f t="shared" si="397"/>
        <v>0.1</v>
      </c>
      <c r="AC1229" s="103">
        <f t="shared" si="398"/>
        <v>0</v>
      </c>
      <c r="AD1229" s="103">
        <f t="shared" si="399"/>
        <v>0</v>
      </c>
      <c r="AE1229" s="81">
        <f t="shared" si="400"/>
        <v>0</v>
      </c>
      <c r="AF1229" s="539"/>
      <c r="AG1229" s="104">
        <f t="shared" si="401"/>
        <v>1</v>
      </c>
      <c r="AH1229" s="7">
        <f t="shared" si="402"/>
        <v>0</v>
      </c>
      <c r="AI1229" s="6">
        <f t="shared" si="403"/>
        <v>0</v>
      </c>
      <c r="AJ1229" s="73">
        <f t="shared" si="404"/>
        <v>0</v>
      </c>
      <c r="AK1229" s="539"/>
      <c r="AL1229" s="748"/>
      <c r="AM1229" s="748"/>
    </row>
    <row r="1230" spans="2:39" x14ac:dyDescent="0.2">
      <c r="B1230" s="101" t="str">
        <f t="shared" si="389"/>
        <v/>
      </c>
      <c r="C1230" s="168">
        <f>IF(ISERROR(Personalplanung!F86/Monatsplanung!$E86*Monatsplanung!$R86),0,Personalplanung!F86/Monatsplanung!$E86*Monatsplanung!$R86)</f>
        <v>0</v>
      </c>
      <c r="D1230" s="168">
        <f t="shared" si="390"/>
        <v>0</v>
      </c>
      <c r="E1230" s="168">
        <f>IF(ISERROR(Personalplanung!H86/Monatsplanung!$E86*Monatsplanung!$R86),0,Personalplanung!H86/Monatsplanung!$E86*Monatsplanung!$R86)</f>
        <v>0</v>
      </c>
      <c r="F1230" s="168">
        <f t="shared" si="391"/>
        <v>0</v>
      </c>
      <c r="G1230" s="168">
        <f t="shared" si="392"/>
        <v>27.700831024930746</v>
      </c>
      <c r="H1230" s="168">
        <f t="shared" si="393"/>
        <v>0</v>
      </c>
      <c r="I1230" s="168">
        <f t="shared" si="394"/>
        <v>30</v>
      </c>
      <c r="J1230" s="739"/>
      <c r="K1230" s="168">
        <f>IF(J1230&lt;&gt;"",J1230,IF(ISERROR(Personalplanung!AB86/Monatsplanung!$E86*Monatsplanung!$R86),0,Personalplanung!AB86/Monatsplanung!$E86*Monatsplanung!$R86))</f>
        <v>0</v>
      </c>
      <c r="L1230" s="740"/>
      <c r="M1230" s="739"/>
      <c r="N1230" s="168">
        <f>IF(M1230&lt;&gt;"",M1230,IF(ISERROR(Personalplanung!AC86/Monatsplanung!$E86*Monatsplanung!$R86),0,Personalplanung!AC86/Monatsplanung!$E86*Monatsplanung!$R86))</f>
        <v>0</v>
      </c>
      <c r="O1230" s="740"/>
      <c r="P1230" s="739"/>
      <c r="Q1230" s="168">
        <f>IF(P1230&lt;&gt;"",P1230,IF(ISERROR(Personalplanung!AD86/Monatsplanung!$E86*Monatsplanung!$R86),0,Personalplanung!AD86/Monatsplanung!$E86*Monatsplanung!$R86))</f>
        <v>0</v>
      </c>
      <c r="R1230" s="740"/>
      <c r="S1230" s="739"/>
      <c r="T1230" s="168">
        <f>IF(S1230&lt;&gt;"",S1230,IF(ISERROR(Personalplanung!AE86/Monatsplanung!$E86*Monatsplanung!$R86),0,Personalplanung!AE86/Monatsplanung!$E86*Monatsplanung!$R86))</f>
        <v>0</v>
      </c>
      <c r="U1230" s="740"/>
      <c r="V1230" s="168">
        <f t="shared" si="395"/>
        <v>0</v>
      </c>
      <c r="W1230" s="168">
        <f>IF(ISERROR(Personalplanung!P86/Monatsplanung!$E86*Monatsplanung!$R86),0,Personalplanung!P86/Monatsplanung!$E86*Monatsplanung!$R86)</f>
        <v>0</v>
      </c>
      <c r="X1230" s="168">
        <f>IF(ISERROR(Personalplanung!Q86/Monatsplanung!$E86*Monatsplanung!$R86),0,Personalplanung!Q86/Monatsplanung!$E86*Monatsplanung!$R86)</f>
        <v>0</v>
      </c>
      <c r="Y1230" s="168">
        <f>IF(ISERROR(Personalplanung!R86/T1334*Stundencontrolling!T1230),0,Personalplanung!R86/T1334*Stundencontrolling!T1230)</f>
        <v>0</v>
      </c>
      <c r="Z1230" s="168">
        <f>IF(ISERROR(Personalplanung!S86/Monatsplanung!$E86*Monatsplanung!$R86),0,Personalplanung!S86/Monatsplanung!$E86*Monatsplanung!$R86)</f>
        <v>0</v>
      </c>
      <c r="AA1230" s="80">
        <f t="shared" si="396"/>
        <v>0</v>
      </c>
      <c r="AB1230" s="102">
        <f t="shared" si="397"/>
        <v>0.1</v>
      </c>
      <c r="AC1230" s="103">
        <f t="shared" si="398"/>
        <v>0</v>
      </c>
      <c r="AD1230" s="103">
        <f t="shared" si="399"/>
        <v>0</v>
      </c>
      <c r="AE1230" s="81">
        <f t="shared" si="400"/>
        <v>0</v>
      </c>
      <c r="AF1230" s="539"/>
      <c r="AG1230" s="104">
        <f t="shared" si="401"/>
        <v>1</v>
      </c>
      <c r="AH1230" s="7">
        <f t="shared" si="402"/>
        <v>0</v>
      </c>
      <c r="AI1230" s="6">
        <f t="shared" si="403"/>
        <v>0</v>
      </c>
      <c r="AJ1230" s="73">
        <f t="shared" si="404"/>
        <v>0</v>
      </c>
      <c r="AK1230" s="539"/>
      <c r="AL1230" s="748"/>
      <c r="AM1230" s="748"/>
    </row>
    <row r="1231" spans="2:39" x14ac:dyDescent="0.2">
      <c r="B1231" s="101" t="str">
        <f t="shared" si="389"/>
        <v/>
      </c>
      <c r="C1231" s="168">
        <f>IF(ISERROR(Personalplanung!F87/Monatsplanung!$E87*Monatsplanung!$R87),0,Personalplanung!F87/Monatsplanung!$E87*Monatsplanung!$R87)</f>
        <v>0</v>
      </c>
      <c r="D1231" s="168">
        <f t="shared" si="390"/>
        <v>0</v>
      </c>
      <c r="E1231" s="168">
        <f>IF(ISERROR(Personalplanung!H87/Monatsplanung!$E87*Monatsplanung!$R87),0,Personalplanung!H87/Monatsplanung!$E87*Monatsplanung!$R87)</f>
        <v>0</v>
      </c>
      <c r="F1231" s="168">
        <f t="shared" si="391"/>
        <v>0</v>
      </c>
      <c r="G1231" s="168">
        <f t="shared" si="392"/>
        <v>27.700831024930746</v>
      </c>
      <c r="H1231" s="168">
        <f t="shared" si="393"/>
        <v>0</v>
      </c>
      <c r="I1231" s="168">
        <f t="shared" si="394"/>
        <v>30</v>
      </c>
      <c r="J1231" s="739"/>
      <c r="K1231" s="168">
        <f>IF(J1231&lt;&gt;"",J1231,IF(ISERROR(Personalplanung!AB87/Monatsplanung!$E87*Monatsplanung!$R87),0,Personalplanung!AB87/Monatsplanung!$E87*Monatsplanung!$R87))</f>
        <v>0</v>
      </c>
      <c r="L1231" s="740"/>
      <c r="M1231" s="739"/>
      <c r="N1231" s="168">
        <f>IF(M1231&lt;&gt;"",M1231,IF(ISERROR(Personalplanung!AC87/Monatsplanung!$E87*Monatsplanung!$R87),0,Personalplanung!AC87/Monatsplanung!$E87*Monatsplanung!$R87))</f>
        <v>0</v>
      </c>
      <c r="O1231" s="740"/>
      <c r="P1231" s="739"/>
      <c r="Q1231" s="168">
        <f>IF(P1231&lt;&gt;"",P1231,IF(ISERROR(Personalplanung!AD87/Monatsplanung!$E87*Monatsplanung!$R87),0,Personalplanung!AD87/Monatsplanung!$E87*Monatsplanung!$R87))</f>
        <v>0</v>
      </c>
      <c r="R1231" s="740"/>
      <c r="S1231" s="739"/>
      <c r="T1231" s="168">
        <f>IF(S1231&lt;&gt;"",S1231,IF(ISERROR(Personalplanung!AE87/Monatsplanung!$E87*Monatsplanung!$R87),0,Personalplanung!AE87/Monatsplanung!$E87*Monatsplanung!$R87))</f>
        <v>0</v>
      </c>
      <c r="U1231" s="740"/>
      <c r="V1231" s="168">
        <f t="shared" si="395"/>
        <v>0</v>
      </c>
      <c r="W1231" s="168">
        <f>IF(ISERROR(Personalplanung!P87/Monatsplanung!$E87*Monatsplanung!$R87),0,Personalplanung!P87/Monatsplanung!$E87*Monatsplanung!$R87)</f>
        <v>0</v>
      </c>
      <c r="X1231" s="168">
        <f>IF(ISERROR(Personalplanung!Q87/Monatsplanung!$E87*Monatsplanung!$R87),0,Personalplanung!Q87/Monatsplanung!$E87*Monatsplanung!$R87)</f>
        <v>0</v>
      </c>
      <c r="Y1231" s="168">
        <f>IF(ISERROR(Personalplanung!R87/T1335*Stundencontrolling!T1231),0,Personalplanung!R87/T1335*Stundencontrolling!T1231)</f>
        <v>0</v>
      </c>
      <c r="Z1231" s="168">
        <f>IF(ISERROR(Personalplanung!S87/Monatsplanung!$E87*Monatsplanung!$R87),0,Personalplanung!S87/Monatsplanung!$E87*Monatsplanung!$R87)</f>
        <v>0</v>
      </c>
      <c r="AA1231" s="80">
        <f t="shared" si="396"/>
        <v>0</v>
      </c>
      <c r="AB1231" s="102">
        <f t="shared" si="397"/>
        <v>0.1</v>
      </c>
      <c r="AC1231" s="103">
        <f t="shared" si="398"/>
        <v>0</v>
      </c>
      <c r="AD1231" s="103">
        <f t="shared" si="399"/>
        <v>0</v>
      </c>
      <c r="AE1231" s="81">
        <f t="shared" si="400"/>
        <v>0</v>
      </c>
      <c r="AF1231" s="539"/>
      <c r="AG1231" s="104">
        <f t="shared" si="401"/>
        <v>1</v>
      </c>
      <c r="AH1231" s="7">
        <f t="shared" si="402"/>
        <v>0</v>
      </c>
      <c r="AI1231" s="6">
        <f t="shared" si="403"/>
        <v>0</v>
      </c>
      <c r="AJ1231" s="73">
        <f t="shared" si="404"/>
        <v>0</v>
      </c>
      <c r="AK1231" s="539"/>
      <c r="AL1231" s="748"/>
      <c r="AM1231" s="748"/>
    </row>
    <row r="1232" spans="2:39" x14ac:dyDescent="0.2">
      <c r="B1232" s="101" t="str">
        <f t="shared" si="389"/>
        <v/>
      </c>
      <c r="C1232" s="168">
        <f>IF(ISERROR(Personalplanung!F88/Monatsplanung!$E88*Monatsplanung!$R88),0,Personalplanung!F88/Monatsplanung!$E88*Monatsplanung!$R88)</f>
        <v>0</v>
      </c>
      <c r="D1232" s="168">
        <f t="shared" si="390"/>
        <v>0</v>
      </c>
      <c r="E1232" s="168">
        <f>IF(ISERROR(Personalplanung!H88/Monatsplanung!$E88*Monatsplanung!$R88),0,Personalplanung!H88/Monatsplanung!$E88*Monatsplanung!$R88)</f>
        <v>0</v>
      </c>
      <c r="F1232" s="168">
        <f t="shared" si="391"/>
        <v>0</v>
      </c>
      <c r="G1232" s="168">
        <f t="shared" si="392"/>
        <v>27.700831024930746</v>
      </c>
      <c r="H1232" s="168">
        <f t="shared" si="393"/>
        <v>0</v>
      </c>
      <c r="I1232" s="168">
        <f t="shared" si="394"/>
        <v>30</v>
      </c>
      <c r="J1232" s="739"/>
      <c r="K1232" s="168">
        <f>IF(J1232&lt;&gt;"",J1232,IF(ISERROR(Personalplanung!AB88/Monatsplanung!$E88*Monatsplanung!$R88),0,Personalplanung!AB88/Monatsplanung!$E88*Monatsplanung!$R88))</f>
        <v>0</v>
      </c>
      <c r="L1232" s="740"/>
      <c r="M1232" s="739"/>
      <c r="N1232" s="168">
        <f>IF(M1232&lt;&gt;"",M1232,IF(ISERROR(Personalplanung!AC88/Monatsplanung!$E88*Monatsplanung!$R88),0,Personalplanung!AC88/Monatsplanung!$E88*Monatsplanung!$R88))</f>
        <v>0</v>
      </c>
      <c r="O1232" s="740"/>
      <c r="P1232" s="739"/>
      <c r="Q1232" s="168">
        <f>IF(P1232&lt;&gt;"",P1232,IF(ISERROR(Personalplanung!AD88/Monatsplanung!$E88*Monatsplanung!$R88),0,Personalplanung!AD88/Monatsplanung!$E88*Monatsplanung!$R88))</f>
        <v>0</v>
      </c>
      <c r="R1232" s="740"/>
      <c r="S1232" s="739"/>
      <c r="T1232" s="168">
        <f>IF(S1232&lt;&gt;"",S1232,IF(ISERROR(Personalplanung!AE88/Monatsplanung!$E88*Monatsplanung!$R88),0,Personalplanung!AE88/Monatsplanung!$E88*Monatsplanung!$R88))</f>
        <v>0</v>
      </c>
      <c r="U1232" s="740"/>
      <c r="V1232" s="168">
        <f t="shared" si="395"/>
        <v>0</v>
      </c>
      <c r="W1232" s="168">
        <f>IF(ISERROR(Personalplanung!P88/Monatsplanung!$E88*Monatsplanung!$R88),0,Personalplanung!P88/Monatsplanung!$E88*Monatsplanung!$R88)</f>
        <v>0</v>
      </c>
      <c r="X1232" s="168">
        <f>IF(ISERROR(Personalplanung!Q88/Monatsplanung!$E88*Monatsplanung!$R88),0,Personalplanung!Q88/Monatsplanung!$E88*Monatsplanung!$R88)</f>
        <v>0</v>
      </c>
      <c r="Y1232" s="168">
        <f>IF(ISERROR(Personalplanung!R88/T1336*Stundencontrolling!T1232),0,Personalplanung!R88/T1336*Stundencontrolling!T1232)</f>
        <v>0</v>
      </c>
      <c r="Z1232" s="168">
        <f>IF(ISERROR(Personalplanung!S88/Monatsplanung!$E88*Monatsplanung!$R88),0,Personalplanung!S88/Monatsplanung!$E88*Monatsplanung!$R88)</f>
        <v>0</v>
      </c>
      <c r="AA1232" s="80">
        <f t="shared" si="396"/>
        <v>0</v>
      </c>
      <c r="AB1232" s="102">
        <f t="shared" si="397"/>
        <v>0.1</v>
      </c>
      <c r="AC1232" s="103">
        <f t="shared" si="398"/>
        <v>0</v>
      </c>
      <c r="AD1232" s="103">
        <f t="shared" si="399"/>
        <v>0</v>
      </c>
      <c r="AE1232" s="81">
        <f t="shared" si="400"/>
        <v>0</v>
      </c>
      <c r="AF1232" s="539"/>
      <c r="AG1232" s="104">
        <f t="shared" si="401"/>
        <v>1</v>
      </c>
      <c r="AH1232" s="7">
        <f t="shared" si="402"/>
        <v>0</v>
      </c>
      <c r="AI1232" s="6">
        <f t="shared" si="403"/>
        <v>0</v>
      </c>
      <c r="AJ1232" s="73">
        <f t="shared" si="404"/>
        <v>0</v>
      </c>
      <c r="AK1232" s="539"/>
      <c r="AL1232" s="748"/>
      <c r="AM1232" s="748"/>
    </row>
    <row r="1233" spans="2:39" x14ac:dyDescent="0.2">
      <c r="B1233" s="101" t="str">
        <f t="shared" si="389"/>
        <v/>
      </c>
      <c r="C1233" s="168">
        <f>IF(ISERROR(Personalplanung!F89/Monatsplanung!$E89*Monatsplanung!$R89),0,Personalplanung!F89/Monatsplanung!$E89*Monatsplanung!$R89)</f>
        <v>0</v>
      </c>
      <c r="D1233" s="168">
        <f t="shared" si="390"/>
        <v>0</v>
      </c>
      <c r="E1233" s="168">
        <f>IF(ISERROR(Personalplanung!H89/Monatsplanung!$E89*Monatsplanung!$R89),0,Personalplanung!H89/Monatsplanung!$E89*Monatsplanung!$R89)</f>
        <v>0</v>
      </c>
      <c r="F1233" s="168">
        <f t="shared" si="391"/>
        <v>0</v>
      </c>
      <c r="G1233" s="168">
        <f t="shared" si="392"/>
        <v>27.700831024930746</v>
      </c>
      <c r="H1233" s="168">
        <f t="shared" si="393"/>
        <v>0</v>
      </c>
      <c r="I1233" s="168">
        <f t="shared" si="394"/>
        <v>30</v>
      </c>
      <c r="J1233" s="739"/>
      <c r="K1233" s="168">
        <f>IF(J1233&lt;&gt;"",J1233,IF(ISERROR(Personalplanung!AB89/Monatsplanung!$E89*Monatsplanung!$R89),0,Personalplanung!AB89/Monatsplanung!$E89*Monatsplanung!$R89))</f>
        <v>0</v>
      </c>
      <c r="L1233" s="740"/>
      <c r="M1233" s="739"/>
      <c r="N1233" s="168">
        <f>IF(M1233&lt;&gt;"",M1233,IF(ISERROR(Personalplanung!AC89/Monatsplanung!$E89*Monatsplanung!$R89),0,Personalplanung!AC89/Monatsplanung!$E89*Monatsplanung!$R89))</f>
        <v>0</v>
      </c>
      <c r="O1233" s="740"/>
      <c r="P1233" s="739"/>
      <c r="Q1233" s="168">
        <f>IF(P1233&lt;&gt;"",P1233,IF(ISERROR(Personalplanung!AD89/Monatsplanung!$E89*Monatsplanung!$R89),0,Personalplanung!AD89/Monatsplanung!$E89*Monatsplanung!$R89))</f>
        <v>0</v>
      </c>
      <c r="R1233" s="740"/>
      <c r="S1233" s="739"/>
      <c r="T1233" s="168">
        <f>IF(S1233&lt;&gt;"",S1233,IF(ISERROR(Personalplanung!AE89/Monatsplanung!$E89*Monatsplanung!$R89),0,Personalplanung!AE89/Monatsplanung!$E89*Monatsplanung!$R89))</f>
        <v>0</v>
      </c>
      <c r="U1233" s="740"/>
      <c r="V1233" s="168">
        <f t="shared" si="395"/>
        <v>0</v>
      </c>
      <c r="W1233" s="168">
        <f>IF(ISERROR(Personalplanung!P89/Monatsplanung!$E89*Monatsplanung!$R89),0,Personalplanung!P89/Monatsplanung!$E89*Monatsplanung!$R89)</f>
        <v>0</v>
      </c>
      <c r="X1233" s="168">
        <f>IF(ISERROR(Personalplanung!Q89/Monatsplanung!$E89*Monatsplanung!$R89),0,Personalplanung!Q89/Monatsplanung!$E89*Monatsplanung!$R89)</f>
        <v>0</v>
      </c>
      <c r="Y1233" s="168">
        <f>IF(ISERROR(Personalplanung!R89/T1337*Stundencontrolling!T1233),0,Personalplanung!R89/T1337*Stundencontrolling!T1233)</f>
        <v>0</v>
      </c>
      <c r="Z1233" s="168">
        <f>IF(ISERROR(Personalplanung!S89/Monatsplanung!$E89*Monatsplanung!$R89),0,Personalplanung!S89/Monatsplanung!$E89*Monatsplanung!$R89)</f>
        <v>0</v>
      </c>
      <c r="AA1233" s="80">
        <f t="shared" si="396"/>
        <v>0</v>
      </c>
      <c r="AB1233" s="102">
        <f t="shared" si="397"/>
        <v>0.1</v>
      </c>
      <c r="AC1233" s="103">
        <f t="shared" si="398"/>
        <v>0</v>
      </c>
      <c r="AD1233" s="103">
        <f t="shared" si="399"/>
        <v>0</v>
      </c>
      <c r="AE1233" s="81">
        <f t="shared" si="400"/>
        <v>0</v>
      </c>
      <c r="AF1233" s="539"/>
      <c r="AG1233" s="104">
        <f t="shared" si="401"/>
        <v>1</v>
      </c>
      <c r="AH1233" s="7">
        <f t="shared" si="402"/>
        <v>0</v>
      </c>
      <c r="AI1233" s="6">
        <f t="shared" si="403"/>
        <v>0</v>
      </c>
      <c r="AJ1233" s="73">
        <f t="shared" si="404"/>
        <v>0</v>
      </c>
      <c r="AK1233" s="539"/>
      <c r="AL1233" s="748"/>
      <c r="AM1233" s="748"/>
    </row>
    <row r="1234" spans="2:39" x14ac:dyDescent="0.2">
      <c r="B1234" s="101" t="str">
        <f t="shared" si="389"/>
        <v/>
      </c>
      <c r="C1234" s="168">
        <f>IF(ISERROR(Personalplanung!F90/Monatsplanung!$E90*Monatsplanung!$R90),0,Personalplanung!F90/Monatsplanung!$E90*Monatsplanung!$R90)</f>
        <v>0</v>
      </c>
      <c r="D1234" s="168">
        <f t="shared" si="390"/>
        <v>0</v>
      </c>
      <c r="E1234" s="168">
        <f>IF(ISERROR(Personalplanung!H90/Monatsplanung!$E90*Monatsplanung!$R90),0,Personalplanung!H90/Monatsplanung!$E90*Monatsplanung!$R90)</f>
        <v>0</v>
      </c>
      <c r="F1234" s="168">
        <f t="shared" si="391"/>
        <v>0</v>
      </c>
      <c r="G1234" s="168">
        <f t="shared" si="392"/>
        <v>27.700831024930746</v>
      </c>
      <c r="H1234" s="168">
        <f t="shared" si="393"/>
        <v>0</v>
      </c>
      <c r="I1234" s="168">
        <f t="shared" si="394"/>
        <v>30</v>
      </c>
      <c r="J1234" s="739"/>
      <c r="K1234" s="168">
        <f>IF(J1234&lt;&gt;"",J1234,IF(ISERROR(Personalplanung!AB90/Monatsplanung!$E90*Monatsplanung!$R90),0,Personalplanung!AB90/Monatsplanung!$E90*Monatsplanung!$R90))</f>
        <v>0</v>
      </c>
      <c r="L1234" s="740"/>
      <c r="M1234" s="739"/>
      <c r="N1234" s="168">
        <f>IF(M1234&lt;&gt;"",M1234,IF(ISERROR(Personalplanung!AC90/Monatsplanung!$E90*Monatsplanung!$R90),0,Personalplanung!AC90/Monatsplanung!$E90*Monatsplanung!$R90))</f>
        <v>0</v>
      </c>
      <c r="O1234" s="740"/>
      <c r="P1234" s="739"/>
      <c r="Q1234" s="168">
        <f>IF(P1234&lt;&gt;"",P1234,IF(ISERROR(Personalplanung!AD90/Monatsplanung!$E90*Monatsplanung!$R90),0,Personalplanung!AD90/Monatsplanung!$E90*Monatsplanung!$R90))</f>
        <v>0</v>
      </c>
      <c r="R1234" s="740"/>
      <c r="S1234" s="739"/>
      <c r="T1234" s="168">
        <f>IF(S1234&lt;&gt;"",S1234,IF(ISERROR(Personalplanung!AE90/Monatsplanung!$E90*Monatsplanung!$R90),0,Personalplanung!AE90/Monatsplanung!$E90*Monatsplanung!$R90))</f>
        <v>0</v>
      </c>
      <c r="U1234" s="740"/>
      <c r="V1234" s="168">
        <f t="shared" si="395"/>
        <v>0</v>
      </c>
      <c r="W1234" s="168">
        <f>IF(ISERROR(Personalplanung!P90/Monatsplanung!$E90*Monatsplanung!$R90),0,Personalplanung!P90/Monatsplanung!$E90*Monatsplanung!$R90)</f>
        <v>0</v>
      </c>
      <c r="X1234" s="168">
        <f>IF(ISERROR(Personalplanung!Q90/Monatsplanung!$E90*Monatsplanung!$R90),0,Personalplanung!Q90/Monatsplanung!$E90*Monatsplanung!$R90)</f>
        <v>0</v>
      </c>
      <c r="Y1234" s="168">
        <f>IF(ISERROR(Personalplanung!R90/T1338*Stundencontrolling!T1234),0,Personalplanung!R90/T1338*Stundencontrolling!T1234)</f>
        <v>0</v>
      </c>
      <c r="Z1234" s="168">
        <f>IF(ISERROR(Personalplanung!S90/Monatsplanung!$E90*Monatsplanung!$R90),0,Personalplanung!S90/Monatsplanung!$E90*Monatsplanung!$R90)</f>
        <v>0</v>
      </c>
      <c r="AA1234" s="80">
        <f t="shared" si="396"/>
        <v>0</v>
      </c>
      <c r="AB1234" s="102">
        <f t="shared" si="397"/>
        <v>0.1</v>
      </c>
      <c r="AC1234" s="103">
        <f t="shared" si="398"/>
        <v>0</v>
      </c>
      <c r="AD1234" s="103">
        <f t="shared" si="399"/>
        <v>0</v>
      </c>
      <c r="AE1234" s="81">
        <f t="shared" si="400"/>
        <v>0</v>
      </c>
      <c r="AF1234" s="539"/>
      <c r="AG1234" s="104">
        <f t="shared" si="401"/>
        <v>1</v>
      </c>
      <c r="AH1234" s="7">
        <f t="shared" si="402"/>
        <v>0</v>
      </c>
      <c r="AI1234" s="6">
        <f t="shared" si="403"/>
        <v>0</v>
      </c>
      <c r="AJ1234" s="73">
        <f t="shared" si="404"/>
        <v>0</v>
      </c>
      <c r="AK1234" s="539"/>
      <c r="AL1234" s="748"/>
      <c r="AM1234" s="748"/>
    </row>
    <row r="1235" spans="2:39" x14ac:dyDescent="0.2">
      <c r="B1235" s="101" t="str">
        <f t="shared" si="389"/>
        <v/>
      </c>
      <c r="C1235" s="168">
        <f>IF(ISERROR(Personalplanung!F91/Monatsplanung!$E91*Monatsplanung!$R91),0,Personalplanung!F91/Monatsplanung!$E91*Monatsplanung!$R91)</f>
        <v>0</v>
      </c>
      <c r="D1235" s="168">
        <f t="shared" si="390"/>
        <v>0</v>
      </c>
      <c r="E1235" s="168">
        <f>IF(ISERROR(Personalplanung!H91/Monatsplanung!$E91*Monatsplanung!$R91),0,Personalplanung!H91/Monatsplanung!$E91*Monatsplanung!$R91)</f>
        <v>0</v>
      </c>
      <c r="F1235" s="168">
        <f t="shared" si="391"/>
        <v>0</v>
      </c>
      <c r="G1235" s="168">
        <f t="shared" si="392"/>
        <v>27.700831024930746</v>
      </c>
      <c r="H1235" s="168">
        <f t="shared" si="393"/>
        <v>0</v>
      </c>
      <c r="I1235" s="168">
        <f t="shared" si="394"/>
        <v>30</v>
      </c>
      <c r="J1235" s="739"/>
      <c r="K1235" s="168">
        <f>IF(J1235&lt;&gt;"",J1235,IF(ISERROR(Personalplanung!AB91/Monatsplanung!$E91*Monatsplanung!$R91),0,Personalplanung!AB91/Monatsplanung!$E91*Monatsplanung!$R91))</f>
        <v>0</v>
      </c>
      <c r="L1235" s="740"/>
      <c r="M1235" s="739"/>
      <c r="N1235" s="168">
        <f>IF(M1235&lt;&gt;"",M1235,IF(ISERROR(Personalplanung!AC91/Monatsplanung!$E91*Monatsplanung!$R91),0,Personalplanung!AC91/Monatsplanung!$E91*Monatsplanung!$R91))</f>
        <v>0</v>
      </c>
      <c r="O1235" s="740"/>
      <c r="P1235" s="739"/>
      <c r="Q1235" s="168">
        <f>IF(P1235&lt;&gt;"",P1235,IF(ISERROR(Personalplanung!AD91/Monatsplanung!$E91*Monatsplanung!$R91),0,Personalplanung!AD91/Monatsplanung!$E91*Monatsplanung!$R91))</f>
        <v>0</v>
      </c>
      <c r="R1235" s="740"/>
      <c r="S1235" s="739"/>
      <c r="T1235" s="168">
        <f>IF(S1235&lt;&gt;"",S1235,IF(ISERROR(Personalplanung!AE91/Monatsplanung!$E91*Monatsplanung!$R91),0,Personalplanung!AE91/Monatsplanung!$E91*Monatsplanung!$R91))</f>
        <v>0</v>
      </c>
      <c r="U1235" s="740"/>
      <c r="V1235" s="168">
        <f t="shared" si="395"/>
        <v>0</v>
      </c>
      <c r="W1235" s="168">
        <f>IF(ISERROR(Personalplanung!P91/Monatsplanung!$E91*Monatsplanung!$R91),0,Personalplanung!P91/Monatsplanung!$E91*Monatsplanung!$R91)</f>
        <v>0</v>
      </c>
      <c r="X1235" s="168">
        <f>IF(ISERROR(Personalplanung!Q91/Monatsplanung!$E91*Monatsplanung!$R91),0,Personalplanung!Q91/Monatsplanung!$E91*Monatsplanung!$R91)</f>
        <v>0</v>
      </c>
      <c r="Y1235" s="168">
        <f>IF(ISERROR(Personalplanung!R91/T1339*Stundencontrolling!T1235),0,Personalplanung!R91/T1339*Stundencontrolling!T1235)</f>
        <v>0</v>
      </c>
      <c r="Z1235" s="168">
        <f>IF(ISERROR(Personalplanung!S91/Monatsplanung!$E91*Monatsplanung!$R91),0,Personalplanung!S91/Monatsplanung!$E91*Monatsplanung!$R91)</f>
        <v>0</v>
      </c>
      <c r="AA1235" s="80">
        <f t="shared" si="396"/>
        <v>0</v>
      </c>
      <c r="AB1235" s="102">
        <f t="shared" si="397"/>
        <v>0.1</v>
      </c>
      <c r="AC1235" s="103">
        <f t="shared" si="398"/>
        <v>0</v>
      </c>
      <c r="AD1235" s="103">
        <f t="shared" si="399"/>
        <v>0</v>
      </c>
      <c r="AE1235" s="81">
        <f t="shared" si="400"/>
        <v>0</v>
      </c>
      <c r="AF1235" s="539"/>
      <c r="AG1235" s="104">
        <f t="shared" si="401"/>
        <v>1</v>
      </c>
      <c r="AH1235" s="7">
        <f t="shared" si="402"/>
        <v>0</v>
      </c>
      <c r="AI1235" s="6">
        <f t="shared" si="403"/>
        <v>0</v>
      </c>
      <c r="AJ1235" s="73">
        <f t="shared" si="404"/>
        <v>0</v>
      </c>
      <c r="AK1235" s="539"/>
      <c r="AL1235" s="748"/>
      <c r="AM1235" s="748"/>
    </row>
    <row r="1236" spans="2:39" x14ac:dyDescent="0.2">
      <c r="B1236" s="101" t="str">
        <f t="shared" si="389"/>
        <v/>
      </c>
      <c r="C1236" s="168">
        <f>IF(ISERROR(Personalplanung!F92/Monatsplanung!$E92*Monatsplanung!$R92),0,Personalplanung!F92/Monatsplanung!$E92*Monatsplanung!$R92)</f>
        <v>0</v>
      </c>
      <c r="D1236" s="168">
        <f t="shared" si="390"/>
        <v>0</v>
      </c>
      <c r="E1236" s="168">
        <f>IF(ISERROR(Personalplanung!H92/Monatsplanung!$E92*Monatsplanung!$R92),0,Personalplanung!H92/Monatsplanung!$E92*Monatsplanung!$R92)</f>
        <v>0</v>
      </c>
      <c r="F1236" s="168">
        <f t="shared" si="391"/>
        <v>0</v>
      </c>
      <c r="G1236" s="168">
        <f t="shared" si="392"/>
        <v>27.700831024930746</v>
      </c>
      <c r="H1236" s="168">
        <f t="shared" si="393"/>
        <v>0</v>
      </c>
      <c r="I1236" s="168">
        <f t="shared" si="394"/>
        <v>30</v>
      </c>
      <c r="J1236" s="739"/>
      <c r="K1236" s="168">
        <f>IF(J1236&lt;&gt;"",J1236,IF(ISERROR(Personalplanung!AB92/Monatsplanung!$E92*Monatsplanung!$R92),0,Personalplanung!AB92/Monatsplanung!$E92*Monatsplanung!$R92))</f>
        <v>0</v>
      </c>
      <c r="L1236" s="740"/>
      <c r="M1236" s="739"/>
      <c r="N1236" s="168">
        <f>IF(M1236&lt;&gt;"",M1236,IF(ISERROR(Personalplanung!AC92/Monatsplanung!$E92*Monatsplanung!$R92),0,Personalplanung!AC92/Monatsplanung!$E92*Monatsplanung!$R92))</f>
        <v>0</v>
      </c>
      <c r="O1236" s="740"/>
      <c r="P1236" s="739"/>
      <c r="Q1236" s="168">
        <f>IF(P1236&lt;&gt;"",P1236,IF(ISERROR(Personalplanung!AD92/Monatsplanung!$E92*Monatsplanung!$R92),0,Personalplanung!AD92/Monatsplanung!$E92*Monatsplanung!$R92))</f>
        <v>0</v>
      </c>
      <c r="R1236" s="740"/>
      <c r="S1236" s="739"/>
      <c r="T1236" s="168">
        <f>IF(S1236&lt;&gt;"",S1236,IF(ISERROR(Personalplanung!AE92/Monatsplanung!$E92*Monatsplanung!$R92),0,Personalplanung!AE92/Monatsplanung!$E92*Monatsplanung!$R92))</f>
        <v>0</v>
      </c>
      <c r="U1236" s="740"/>
      <c r="V1236" s="168">
        <f t="shared" si="395"/>
        <v>0</v>
      </c>
      <c r="W1236" s="168">
        <f>IF(ISERROR(Personalplanung!P92/Monatsplanung!$E92*Monatsplanung!$R92),0,Personalplanung!P92/Monatsplanung!$E92*Monatsplanung!$R92)</f>
        <v>0</v>
      </c>
      <c r="X1236" s="168">
        <f>IF(ISERROR(Personalplanung!Q92/Monatsplanung!$E92*Monatsplanung!$R92),0,Personalplanung!Q92/Monatsplanung!$E92*Monatsplanung!$R92)</f>
        <v>0</v>
      </c>
      <c r="Y1236" s="168">
        <f>IF(ISERROR(Personalplanung!R92/T1340*Stundencontrolling!T1236),0,Personalplanung!R92/T1340*Stundencontrolling!T1236)</f>
        <v>0</v>
      </c>
      <c r="Z1236" s="168">
        <f>IF(ISERROR(Personalplanung!S92/Monatsplanung!$E92*Monatsplanung!$R92),0,Personalplanung!S92/Monatsplanung!$E92*Monatsplanung!$R92)</f>
        <v>0</v>
      </c>
      <c r="AA1236" s="80">
        <f t="shared" si="396"/>
        <v>0</v>
      </c>
      <c r="AB1236" s="102">
        <f t="shared" si="397"/>
        <v>0.1</v>
      </c>
      <c r="AC1236" s="103">
        <f t="shared" si="398"/>
        <v>0</v>
      </c>
      <c r="AD1236" s="103">
        <f t="shared" si="399"/>
        <v>0</v>
      </c>
      <c r="AE1236" s="81">
        <f t="shared" si="400"/>
        <v>0</v>
      </c>
      <c r="AF1236" s="539"/>
      <c r="AG1236" s="104">
        <f t="shared" si="401"/>
        <v>1</v>
      </c>
      <c r="AH1236" s="7">
        <f t="shared" si="402"/>
        <v>0</v>
      </c>
      <c r="AI1236" s="6">
        <f t="shared" si="403"/>
        <v>0</v>
      </c>
      <c r="AJ1236" s="73">
        <f t="shared" si="404"/>
        <v>0</v>
      </c>
      <c r="AK1236" s="539"/>
      <c r="AL1236" s="748"/>
      <c r="AM1236" s="748"/>
    </row>
    <row r="1237" spans="2:39" x14ac:dyDescent="0.2">
      <c r="B1237" s="101" t="str">
        <f t="shared" si="389"/>
        <v/>
      </c>
      <c r="C1237" s="168">
        <f>IF(ISERROR(Personalplanung!F93/Monatsplanung!$E93*Monatsplanung!$R93),0,Personalplanung!F93/Monatsplanung!$E93*Monatsplanung!$R93)</f>
        <v>0</v>
      </c>
      <c r="D1237" s="168">
        <f t="shared" si="390"/>
        <v>0</v>
      </c>
      <c r="E1237" s="168">
        <f>IF(ISERROR(Personalplanung!H93/Monatsplanung!$E93*Monatsplanung!$R93),0,Personalplanung!H93/Monatsplanung!$E93*Monatsplanung!$R93)</f>
        <v>0</v>
      </c>
      <c r="F1237" s="168">
        <f t="shared" si="391"/>
        <v>0</v>
      </c>
      <c r="G1237" s="168">
        <f t="shared" si="392"/>
        <v>27.700831024930746</v>
      </c>
      <c r="H1237" s="168">
        <f t="shared" si="393"/>
        <v>0</v>
      </c>
      <c r="I1237" s="168">
        <f t="shared" si="394"/>
        <v>30</v>
      </c>
      <c r="J1237" s="739"/>
      <c r="K1237" s="168">
        <f>IF(J1237&lt;&gt;"",J1237,IF(ISERROR(Personalplanung!AB93/Monatsplanung!$E93*Monatsplanung!$R93),0,Personalplanung!AB93/Monatsplanung!$E93*Monatsplanung!$R93))</f>
        <v>0</v>
      </c>
      <c r="L1237" s="740"/>
      <c r="M1237" s="739"/>
      <c r="N1237" s="168">
        <f>IF(M1237&lt;&gt;"",M1237,IF(ISERROR(Personalplanung!AC93/Monatsplanung!$E93*Monatsplanung!$R93),0,Personalplanung!AC93/Monatsplanung!$E93*Monatsplanung!$R93))</f>
        <v>0</v>
      </c>
      <c r="O1237" s="740"/>
      <c r="P1237" s="739"/>
      <c r="Q1237" s="168">
        <f>IF(P1237&lt;&gt;"",P1237,IF(ISERROR(Personalplanung!AD93/Monatsplanung!$E93*Monatsplanung!$R93),0,Personalplanung!AD93/Monatsplanung!$E93*Monatsplanung!$R93))</f>
        <v>0</v>
      </c>
      <c r="R1237" s="740"/>
      <c r="S1237" s="739"/>
      <c r="T1237" s="168">
        <f>IF(S1237&lt;&gt;"",S1237,IF(ISERROR(Personalplanung!AE93/Monatsplanung!$E93*Monatsplanung!$R93),0,Personalplanung!AE93/Monatsplanung!$E93*Monatsplanung!$R93))</f>
        <v>0</v>
      </c>
      <c r="U1237" s="740"/>
      <c r="V1237" s="168">
        <f t="shared" si="395"/>
        <v>0</v>
      </c>
      <c r="W1237" s="168">
        <f>IF(ISERROR(Personalplanung!P93/Monatsplanung!$E93*Monatsplanung!$R93),0,Personalplanung!P93/Monatsplanung!$E93*Monatsplanung!$R93)</f>
        <v>0</v>
      </c>
      <c r="X1237" s="168">
        <f>IF(ISERROR(Personalplanung!Q93/Monatsplanung!$E93*Monatsplanung!$R93),0,Personalplanung!Q93/Monatsplanung!$E93*Monatsplanung!$R93)</f>
        <v>0</v>
      </c>
      <c r="Y1237" s="168">
        <f>IF(ISERROR(Personalplanung!R93/T1341*Stundencontrolling!T1237),0,Personalplanung!R93/T1341*Stundencontrolling!T1237)</f>
        <v>0</v>
      </c>
      <c r="Z1237" s="168">
        <f>IF(ISERROR(Personalplanung!S93/Monatsplanung!$E93*Monatsplanung!$R93),0,Personalplanung!S93/Monatsplanung!$E93*Monatsplanung!$R93)</f>
        <v>0</v>
      </c>
      <c r="AA1237" s="80">
        <f t="shared" si="396"/>
        <v>0</v>
      </c>
      <c r="AB1237" s="102">
        <f t="shared" si="397"/>
        <v>0.1</v>
      </c>
      <c r="AC1237" s="103">
        <f t="shared" si="398"/>
        <v>0</v>
      </c>
      <c r="AD1237" s="103">
        <f t="shared" si="399"/>
        <v>0</v>
      </c>
      <c r="AE1237" s="81">
        <f t="shared" si="400"/>
        <v>0</v>
      </c>
      <c r="AF1237" s="539"/>
      <c r="AG1237" s="104">
        <f t="shared" si="401"/>
        <v>1</v>
      </c>
      <c r="AH1237" s="7">
        <f t="shared" si="402"/>
        <v>0</v>
      </c>
      <c r="AI1237" s="6">
        <f t="shared" si="403"/>
        <v>0</v>
      </c>
      <c r="AJ1237" s="73">
        <f t="shared" si="404"/>
        <v>0</v>
      </c>
      <c r="AK1237" s="539"/>
      <c r="AL1237" s="748"/>
      <c r="AM1237" s="748"/>
    </row>
    <row r="1238" spans="2:39" x14ac:dyDescent="0.2">
      <c r="B1238" s="101" t="str">
        <f t="shared" si="389"/>
        <v/>
      </c>
      <c r="C1238" s="168">
        <f>IF(ISERROR(Personalplanung!F94/Monatsplanung!$E94*Monatsplanung!$R94),0,Personalplanung!F94/Monatsplanung!$E94*Monatsplanung!$R94)</f>
        <v>0</v>
      </c>
      <c r="D1238" s="168">
        <f t="shared" si="390"/>
        <v>0</v>
      </c>
      <c r="E1238" s="168">
        <f>IF(ISERROR(Personalplanung!H94/Monatsplanung!$E94*Monatsplanung!$R94),0,Personalplanung!H94/Monatsplanung!$E94*Monatsplanung!$R94)</f>
        <v>0</v>
      </c>
      <c r="F1238" s="168">
        <f t="shared" si="391"/>
        <v>0</v>
      </c>
      <c r="G1238" s="168">
        <f t="shared" si="392"/>
        <v>27.700831024930746</v>
      </c>
      <c r="H1238" s="168">
        <f t="shared" si="393"/>
        <v>0</v>
      </c>
      <c r="I1238" s="168">
        <f t="shared" si="394"/>
        <v>30</v>
      </c>
      <c r="J1238" s="739"/>
      <c r="K1238" s="168">
        <f>IF(J1238&lt;&gt;"",J1238,IF(ISERROR(Personalplanung!AB94/Monatsplanung!$E94*Monatsplanung!$R94),0,Personalplanung!AB94/Monatsplanung!$E94*Monatsplanung!$R94))</f>
        <v>0</v>
      </c>
      <c r="L1238" s="740"/>
      <c r="M1238" s="739"/>
      <c r="N1238" s="168">
        <f>IF(M1238&lt;&gt;"",M1238,IF(ISERROR(Personalplanung!AC94/Monatsplanung!$E94*Monatsplanung!$R94),0,Personalplanung!AC94/Monatsplanung!$E94*Monatsplanung!$R94))</f>
        <v>0</v>
      </c>
      <c r="O1238" s="740"/>
      <c r="P1238" s="739"/>
      <c r="Q1238" s="168">
        <f>IF(P1238&lt;&gt;"",P1238,IF(ISERROR(Personalplanung!AD94/Monatsplanung!$E94*Monatsplanung!$R94),0,Personalplanung!AD94/Monatsplanung!$E94*Monatsplanung!$R94))</f>
        <v>0</v>
      </c>
      <c r="R1238" s="740"/>
      <c r="S1238" s="739"/>
      <c r="T1238" s="168">
        <f>IF(S1238&lt;&gt;"",S1238,IF(ISERROR(Personalplanung!AE94/Monatsplanung!$E94*Monatsplanung!$R94),0,Personalplanung!AE94/Monatsplanung!$E94*Monatsplanung!$R94))</f>
        <v>0</v>
      </c>
      <c r="U1238" s="740"/>
      <c r="V1238" s="168">
        <f t="shared" si="395"/>
        <v>0</v>
      </c>
      <c r="W1238" s="168">
        <f>IF(ISERROR(Personalplanung!P94/Monatsplanung!$E94*Monatsplanung!$R94),0,Personalplanung!P94/Monatsplanung!$E94*Monatsplanung!$R94)</f>
        <v>0</v>
      </c>
      <c r="X1238" s="168">
        <f>IF(ISERROR(Personalplanung!Q94/Monatsplanung!$E94*Monatsplanung!$R94),0,Personalplanung!Q94/Monatsplanung!$E94*Monatsplanung!$R94)</f>
        <v>0</v>
      </c>
      <c r="Y1238" s="168">
        <f>IF(ISERROR(Personalplanung!R94/T1342*Stundencontrolling!T1238),0,Personalplanung!R94/T1342*Stundencontrolling!T1238)</f>
        <v>0</v>
      </c>
      <c r="Z1238" s="168">
        <f>IF(ISERROR(Personalplanung!S94/Monatsplanung!$E94*Monatsplanung!$R94),0,Personalplanung!S94/Monatsplanung!$E94*Monatsplanung!$R94)</f>
        <v>0</v>
      </c>
      <c r="AA1238" s="80">
        <f t="shared" si="396"/>
        <v>0</v>
      </c>
      <c r="AB1238" s="102">
        <f t="shared" si="397"/>
        <v>0.1</v>
      </c>
      <c r="AC1238" s="103">
        <f t="shared" si="398"/>
        <v>0</v>
      </c>
      <c r="AD1238" s="103">
        <f t="shared" si="399"/>
        <v>0</v>
      </c>
      <c r="AE1238" s="81">
        <f t="shared" si="400"/>
        <v>0</v>
      </c>
      <c r="AF1238" s="539"/>
      <c r="AG1238" s="104">
        <f t="shared" si="401"/>
        <v>1</v>
      </c>
      <c r="AH1238" s="7">
        <f t="shared" si="402"/>
        <v>0</v>
      </c>
      <c r="AI1238" s="6">
        <f t="shared" si="403"/>
        <v>0</v>
      </c>
      <c r="AJ1238" s="73">
        <f t="shared" si="404"/>
        <v>0</v>
      </c>
      <c r="AK1238" s="539"/>
      <c r="AL1238" s="748"/>
      <c r="AM1238" s="748"/>
    </row>
    <row r="1239" spans="2:39" x14ac:dyDescent="0.2">
      <c r="B1239" s="101" t="str">
        <f t="shared" si="389"/>
        <v/>
      </c>
      <c r="C1239" s="168">
        <f>IF(ISERROR(Personalplanung!F95/Monatsplanung!$E95*Monatsplanung!$R95),0,Personalplanung!F95/Monatsplanung!$E95*Monatsplanung!$R95)</f>
        <v>0</v>
      </c>
      <c r="D1239" s="168">
        <f t="shared" si="390"/>
        <v>0</v>
      </c>
      <c r="E1239" s="168">
        <f>IF(ISERROR(Personalplanung!H95/Monatsplanung!$E95*Monatsplanung!$R95),0,Personalplanung!H95/Monatsplanung!$E95*Monatsplanung!$R95)</f>
        <v>0</v>
      </c>
      <c r="F1239" s="168">
        <f t="shared" si="391"/>
        <v>0</v>
      </c>
      <c r="G1239" s="168">
        <f t="shared" si="392"/>
        <v>27.700831024930746</v>
      </c>
      <c r="H1239" s="168">
        <f t="shared" si="393"/>
        <v>0</v>
      </c>
      <c r="I1239" s="168">
        <f t="shared" si="394"/>
        <v>30</v>
      </c>
      <c r="J1239" s="739"/>
      <c r="K1239" s="168">
        <f>IF(J1239&lt;&gt;"",J1239,IF(ISERROR(Personalplanung!AB95/Monatsplanung!$E95*Monatsplanung!$R95),0,Personalplanung!AB95/Monatsplanung!$E95*Monatsplanung!$R95))</f>
        <v>0</v>
      </c>
      <c r="L1239" s="740"/>
      <c r="M1239" s="739"/>
      <c r="N1239" s="168">
        <f>IF(M1239&lt;&gt;"",M1239,IF(ISERROR(Personalplanung!AC95/Monatsplanung!$E95*Monatsplanung!$R95),0,Personalplanung!AC95/Monatsplanung!$E95*Monatsplanung!$R95))</f>
        <v>0</v>
      </c>
      <c r="O1239" s="740"/>
      <c r="P1239" s="739"/>
      <c r="Q1239" s="168">
        <f>IF(P1239&lt;&gt;"",P1239,IF(ISERROR(Personalplanung!AD95/Monatsplanung!$E95*Monatsplanung!$R95),0,Personalplanung!AD95/Monatsplanung!$E95*Monatsplanung!$R95))</f>
        <v>0</v>
      </c>
      <c r="R1239" s="740"/>
      <c r="S1239" s="739"/>
      <c r="T1239" s="168">
        <f>IF(S1239&lt;&gt;"",S1239,IF(ISERROR(Personalplanung!AE95/Monatsplanung!$E95*Monatsplanung!$R95),0,Personalplanung!AE95/Monatsplanung!$E95*Monatsplanung!$R95))</f>
        <v>0</v>
      </c>
      <c r="U1239" s="740"/>
      <c r="V1239" s="168">
        <f t="shared" si="395"/>
        <v>0</v>
      </c>
      <c r="W1239" s="168">
        <f>IF(ISERROR(Personalplanung!P95/Monatsplanung!$E95*Monatsplanung!$R95),0,Personalplanung!P95/Monatsplanung!$E95*Monatsplanung!$R95)</f>
        <v>0</v>
      </c>
      <c r="X1239" s="168">
        <f>IF(ISERROR(Personalplanung!Q95/Monatsplanung!$E95*Monatsplanung!$R95),0,Personalplanung!Q95/Monatsplanung!$E95*Monatsplanung!$R95)</f>
        <v>0</v>
      </c>
      <c r="Y1239" s="168">
        <f>IF(ISERROR(Personalplanung!R95/T1343*Stundencontrolling!T1239),0,Personalplanung!R95/T1343*Stundencontrolling!T1239)</f>
        <v>0</v>
      </c>
      <c r="Z1239" s="168">
        <f>IF(ISERROR(Personalplanung!S95/Monatsplanung!$E95*Monatsplanung!$R95),0,Personalplanung!S95/Monatsplanung!$E95*Monatsplanung!$R95)</f>
        <v>0</v>
      </c>
      <c r="AA1239" s="80">
        <f t="shared" si="396"/>
        <v>0</v>
      </c>
      <c r="AB1239" s="102">
        <f t="shared" si="397"/>
        <v>0.1</v>
      </c>
      <c r="AC1239" s="103">
        <f t="shared" si="398"/>
        <v>0</v>
      </c>
      <c r="AD1239" s="103">
        <f t="shared" si="399"/>
        <v>0</v>
      </c>
      <c r="AE1239" s="81">
        <f t="shared" si="400"/>
        <v>0</v>
      </c>
      <c r="AF1239" s="539"/>
      <c r="AG1239" s="104">
        <f t="shared" si="401"/>
        <v>1</v>
      </c>
      <c r="AH1239" s="7">
        <f t="shared" si="402"/>
        <v>0</v>
      </c>
      <c r="AI1239" s="6">
        <f t="shared" si="403"/>
        <v>0</v>
      </c>
      <c r="AJ1239" s="73">
        <f t="shared" si="404"/>
        <v>0</v>
      </c>
      <c r="AK1239" s="539"/>
      <c r="AL1239" s="748"/>
      <c r="AM1239" s="748"/>
    </row>
    <row r="1240" spans="2:39" x14ac:dyDescent="0.2">
      <c r="B1240" s="101" t="str">
        <f t="shared" si="389"/>
        <v/>
      </c>
      <c r="C1240" s="168">
        <f>IF(ISERROR(Personalplanung!F96/Monatsplanung!$E96*Monatsplanung!$R96),0,Personalplanung!F96/Monatsplanung!$E96*Monatsplanung!$R96)</f>
        <v>0</v>
      </c>
      <c r="D1240" s="168">
        <f t="shared" si="390"/>
        <v>0</v>
      </c>
      <c r="E1240" s="168">
        <f>IF(ISERROR(Personalplanung!H96/Monatsplanung!$E96*Monatsplanung!$R96),0,Personalplanung!H96/Monatsplanung!$E96*Monatsplanung!$R96)</f>
        <v>0</v>
      </c>
      <c r="F1240" s="168">
        <f t="shared" si="391"/>
        <v>0</v>
      </c>
      <c r="G1240" s="168">
        <f t="shared" si="392"/>
        <v>27.700831024930746</v>
      </c>
      <c r="H1240" s="168">
        <f t="shared" si="393"/>
        <v>0</v>
      </c>
      <c r="I1240" s="168">
        <f t="shared" si="394"/>
        <v>30</v>
      </c>
      <c r="J1240" s="739"/>
      <c r="K1240" s="168">
        <f>IF(J1240&lt;&gt;"",J1240,IF(ISERROR(Personalplanung!AB96/Monatsplanung!$E96*Monatsplanung!$R96),0,Personalplanung!AB96/Monatsplanung!$E96*Monatsplanung!$R96))</f>
        <v>0</v>
      </c>
      <c r="L1240" s="740"/>
      <c r="M1240" s="739"/>
      <c r="N1240" s="168">
        <f>IF(M1240&lt;&gt;"",M1240,IF(ISERROR(Personalplanung!AC96/Monatsplanung!$E96*Monatsplanung!$R96),0,Personalplanung!AC96/Monatsplanung!$E96*Monatsplanung!$R96))</f>
        <v>0</v>
      </c>
      <c r="O1240" s="740"/>
      <c r="P1240" s="739"/>
      <c r="Q1240" s="168">
        <f>IF(P1240&lt;&gt;"",P1240,IF(ISERROR(Personalplanung!AD96/Monatsplanung!$E96*Monatsplanung!$R96),0,Personalplanung!AD96/Monatsplanung!$E96*Monatsplanung!$R96))</f>
        <v>0</v>
      </c>
      <c r="R1240" s="740"/>
      <c r="S1240" s="739"/>
      <c r="T1240" s="168">
        <f>IF(S1240&lt;&gt;"",S1240,IF(ISERROR(Personalplanung!AE96/Monatsplanung!$E96*Monatsplanung!$R96),0,Personalplanung!AE96/Monatsplanung!$E96*Monatsplanung!$R96))</f>
        <v>0</v>
      </c>
      <c r="U1240" s="740"/>
      <c r="V1240" s="168">
        <f t="shared" si="395"/>
        <v>0</v>
      </c>
      <c r="W1240" s="168">
        <f>IF(ISERROR(Personalplanung!P96/Monatsplanung!$E96*Monatsplanung!$R96),0,Personalplanung!P96/Monatsplanung!$E96*Monatsplanung!$R96)</f>
        <v>0</v>
      </c>
      <c r="X1240" s="168">
        <f>IF(ISERROR(Personalplanung!Q96/Monatsplanung!$E96*Monatsplanung!$R96),0,Personalplanung!Q96/Monatsplanung!$E96*Monatsplanung!$R96)</f>
        <v>0</v>
      </c>
      <c r="Y1240" s="168">
        <f>IF(ISERROR(Personalplanung!R96/T1344*Stundencontrolling!T1240),0,Personalplanung!R96/T1344*Stundencontrolling!T1240)</f>
        <v>0</v>
      </c>
      <c r="Z1240" s="168">
        <f>IF(ISERROR(Personalplanung!S96/Monatsplanung!$E96*Monatsplanung!$R96),0,Personalplanung!S96/Monatsplanung!$E96*Monatsplanung!$R96)</f>
        <v>0</v>
      </c>
      <c r="AA1240" s="80">
        <f t="shared" si="396"/>
        <v>0</v>
      </c>
      <c r="AB1240" s="102">
        <f t="shared" si="397"/>
        <v>0.1</v>
      </c>
      <c r="AC1240" s="103">
        <f t="shared" si="398"/>
        <v>0</v>
      </c>
      <c r="AD1240" s="103">
        <f t="shared" si="399"/>
        <v>0</v>
      </c>
      <c r="AE1240" s="81">
        <f t="shared" si="400"/>
        <v>0</v>
      </c>
      <c r="AF1240" s="539"/>
      <c r="AG1240" s="104">
        <f t="shared" si="401"/>
        <v>1</v>
      </c>
      <c r="AH1240" s="7">
        <f t="shared" si="402"/>
        <v>0</v>
      </c>
      <c r="AI1240" s="6">
        <f t="shared" si="403"/>
        <v>0</v>
      </c>
      <c r="AJ1240" s="73">
        <f t="shared" si="404"/>
        <v>0</v>
      </c>
      <c r="AK1240" s="539"/>
      <c r="AL1240" s="748"/>
      <c r="AM1240" s="748"/>
    </row>
    <row r="1241" spans="2:39" x14ac:dyDescent="0.2">
      <c r="B1241" s="101" t="str">
        <f t="shared" si="389"/>
        <v/>
      </c>
      <c r="C1241" s="168">
        <f>IF(ISERROR(Personalplanung!F97/Monatsplanung!$E97*Monatsplanung!$R97),0,Personalplanung!F97/Monatsplanung!$E97*Monatsplanung!$R97)</f>
        <v>0</v>
      </c>
      <c r="D1241" s="168">
        <f t="shared" si="390"/>
        <v>0</v>
      </c>
      <c r="E1241" s="168">
        <f>IF(ISERROR(Personalplanung!H97/Monatsplanung!$E97*Monatsplanung!$R97),0,Personalplanung!H97/Monatsplanung!$E97*Monatsplanung!$R97)</f>
        <v>0</v>
      </c>
      <c r="F1241" s="168">
        <f t="shared" si="391"/>
        <v>0</v>
      </c>
      <c r="G1241" s="168">
        <f t="shared" si="392"/>
        <v>27.700831024930746</v>
      </c>
      <c r="H1241" s="168">
        <f t="shared" si="393"/>
        <v>0</v>
      </c>
      <c r="I1241" s="168">
        <f t="shared" si="394"/>
        <v>30</v>
      </c>
      <c r="J1241" s="739"/>
      <c r="K1241" s="168">
        <f>IF(J1241&lt;&gt;"",J1241,IF(ISERROR(Personalplanung!AB97/Monatsplanung!$E97*Monatsplanung!$R97),0,Personalplanung!AB97/Monatsplanung!$E97*Monatsplanung!$R97))</f>
        <v>0</v>
      </c>
      <c r="L1241" s="740"/>
      <c r="M1241" s="739"/>
      <c r="N1241" s="168">
        <f>IF(M1241&lt;&gt;"",M1241,IF(ISERROR(Personalplanung!AC97/Monatsplanung!$E97*Monatsplanung!$R97),0,Personalplanung!AC97/Monatsplanung!$E97*Monatsplanung!$R97))</f>
        <v>0</v>
      </c>
      <c r="O1241" s="740"/>
      <c r="P1241" s="739"/>
      <c r="Q1241" s="168">
        <f>IF(P1241&lt;&gt;"",P1241,IF(ISERROR(Personalplanung!AD97/Monatsplanung!$E97*Monatsplanung!$R97),0,Personalplanung!AD97/Monatsplanung!$E97*Monatsplanung!$R97))</f>
        <v>0</v>
      </c>
      <c r="R1241" s="740"/>
      <c r="S1241" s="739"/>
      <c r="T1241" s="168">
        <f>IF(S1241&lt;&gt;"",S1241,IF(ISERROR(Personalplanung!AE97/Monatsplanung!$E97*Monatsplanung!$R97),0,Personalplanung!AE97/Monatsplanung!$E97*Monatsplanung!$R97))</f>
        <v>0</v>
      </c>
      <c r="U1241" s="740"/>
      <c r="V1241" s="168">
        <f t="shared" si="395"/>
        <v>0</v>
      </c>
      <c r="W1241" s="168">
        <f>IF(ISERROR(Personalplanung!P97/Monatsplanung!$E97*Monatsplanung!$R97),0,Personalplanung!P97/Monatsplanung!$E97*Monatsplanung!$R97)</f>
        <v>0</v>
      </c>
      <c r="X1241" s="168">
        <f>IF(ISERROR(Personalplanung!Q97/Monatsplanung!$E97*Monatsplanung!$R97),0,Personalplanung!Q97/Monatsplanung!$E97*Monatsplanung!$R97)</f>
        <v>0</v>
      </c>
      <c r="Y1241" s="168">
        <f>IF(ISERROR(Personalplanung!R97/T1345*Stundencontrolling!T1241),0,Personalplanung!R97/T1345*Stundencontrolling!T1241)</f>
        <v>0</v>
      </c>
      <c r="Z1241" s="168">
        <f>IF(ISERROR(Personalplanung!S97/Monatsplanung!$E97*Monatsplanung!$R97),0,Personalplanung!S97/Monatsplanung!$E97*Monatsplanung!$R97)</f>
        <v>0</v>
      </c>
      <c r="AA1241" s="80">
        <f t="shared" si="396"/>
        <v>0</v>
      </c>
      <c r="AB1241" s="102">
        <f t="shared" si="397"/>
        <v>0.1</v>
      </c>
      <c r="AC1241" s="103">
        <f t="shared" si="398"/>
        <v>0</v>
      </c>
      <c r="AD1241" s="103">
        <f t="shared" si="399"/>
        <v>0</v>
      </c>
      <c r="AE1241" s="81">
        <f t="shared" si="400"/>
        <v>0</v>
      </c>
      <c r="AF1241" s="539"/>
      <c r="AG1241" s="104">
        <f t="shared" si="401"/>
        <v>1</v>
      </c>
      <c r="AH1241" s="7">
        <f t="shared" si="402"/>
        <v>0</v>
      </c>
      <c r="AI1241" s="6">
        <f t="shared" si="403"/>
        <v>0</v>
      </c>
      <c r="AJ1241" s="73">
        <f t="shared" si="404"/>
        <v>0</v>
      </c>
      <c r="AK1241" s="539"/>
      <c r="AL1241" s="748"/>
      <c r="AM1241" s="748"/>
    </row>
    <row r="1242" spans="2:39" x14ac:dyDescent="0.2">
      <c r="B1242" s="101" t="str">
        <f t="shared" si="389"/>
        <v/>
      </c>
      <c r="C1242" s="168">
        <f>IF(ISERROR(Personalplanung!F98/Monatsplanung!$E98*Monatsplanung!$R98),0,Personalplanung!F98/Monatsplanung!$E98*Monatsplanung!$R98)</f>
        <v>0</v>
      </c>
      <c r="D1242" s="168">
        <f t="shared" si="390"/>
        <v>0</v>
      </c>
      <c r="E1242" s="168">
        <f>IF(ISERROR(Personalplanung!H98/Monatsplanung!$E98*Monatsplanung!$R98),0,Personalplanung!H98/Monatsplanung!$E98*Monatsplanung!$R98)</f>
        <v>0</v>
      </c>
      <c r="F1242" s="168">
        <f t="shared" si="391"/>
        <v>0</v>
      </c>
      <c r="G1242" s="168">
        <f t="shared" si="392"/>
        <v>27.700831024930746</v>
      </c>
      <c r="H1242" s="168">
        <f t="shared" si="393"/>
        <v>0</v>
      </c>
      <c r="I1242" s="168">
        <f t="shared" si="394"/>
        <v>30</v>
      </c>
      <c r="J1242" s="739"/>
      <c r="K1242" s="168">
        <f>IF(J1242&lt;&gt;"",J1242,IF(ISERROR(Personalplanung!AB98/Monatsplanung!$E98*Monatsplanung!$R98),0,Personalplanung!AB98/Monatsplanung!$E98*Monatsplanung!$R98))</f>
        <v>0</v>
      </c>
      <c r="L1242" s="740"/>
      <c r="M1242" s="739"/>
      <c r="N1242" s="168">
        <f>IF(M1242&lt;&gt;"",M1242,IF(ISERROR(Personalplanung!AC98/Monatsplanung!$E98*Monatsplanung!$R98),0,Personalplanung!AC98/Monatsplanung!$E98*Monatsplanung!$R98))</f>
        <v>0</v>
      </c>
      <c r="O1242" s="740"/>
      <c r="P1242" s="739"/>
      <c r="Q1242" s="168">
        <f>IF(P1242&lt;&gt;"",P1242,IF(ISERROR(Personalplanung!AD98/Monatsplanung!$E98*Monatsplanung!$R98),0,Personalplanung!AD98/Monatsplanung!$E98*Monatsplanung!$R98))</f>
        <v>0</v>
      </c>
      <c r="R1242" s="740"/>
      <c r="S1242" s="739"/>
      <c r="T1242" s="168">
        <f>IF(S1242&lt;&gt;"",S1242,IF(ISERROR(Personalplanung!AE98/Monatsplanung!$E98*Monatsplanung!$R98),0,Personalplanung!AE98/Monatsplanung!$E98*Monatsplanung!$R98))</f>
        <v>0</v>
      </c>
      <c r="U1242" s="740"/>
      <c r="V1242" s="168">
        <f t="shared" si="395"/>
        <v>0</v>
      </c>
      <c r="W1242" s="168">
        <f>IF(ISERROR(Personalplanung!P98/Monatsplanung!$E98*Monatsplanung!$R98),0,Personalplanung!P98/Monatsplanung!$E98*Monatsplanung!$R98)</f>
        <v>0</v>
      </c>
      <c r="X1242" s="168">
        <f>IF(ISERROR(Personalplanung!Q98/Monatsplanung!$E98*Monatsplanung!$R98),0,Personalplanung!Q98/Monatsplanung!$E98*Monatsplanung!$R98)</f>
        <v>0</v>
      </c>
      <c r="Y1242" s="168">
        <f>IF(ISERROR(Personalplanung!R98/T1346*Stundencontrolling!T1242),0,Personalplanung!R98/T1346*Stundencontrolling!T1242)</f>
        <v>0</v>
      </c>
      <c r="Z1242" s="168">
        <f>IF(ISERROR(Personalplanung!S98/Monatsplanung!$E98*Monatsplanung!$R98),0,Personalplanung!S98/Monatsplanung!$E98*Monatsplanung!$R98)</f>
        <v>0</v>
      </c>
      <c r="AA1242" s="80">
        <f t="shared" si="396"/>
        <v>0</v>
      </c>
      <c r="AB1242" s="102">
        <f t="shared" si="397"/>
        <v>0.1</v>
      </c>
      <c r="AC1242" s="103">
        <f t="shared" si="398"/>
        <v>0</v>
      </c>
      <c r="AD1242" s="103">
        <f t="shared" si="399"/>
        <v>0</v>
      </c>
      <c r="AE1242" s="81">
        <f t="shared" si="400"/>
        <v>0</v>
      </c>
      <c r="AF1242" s="539"/>
      <c r="AG1242" s="104">
        <f t="shared" si="401"/>
        <v>1</v>
      </c>
      <c r="AH1242" s="7">
        <f t="shared" si="402"/>
        <v>0</v>
      </c>
      <c r="AI1242" s="6">
        <f t="shared" si="403"/>
        <v>0</v>
      </c>
      <c r="AJ1242" s="73">
        <f t="shared" si="404"/>
        <v>0</v>
      </c>
      <c r="AK1242" s="539"/>
      <c r="AL1242" s="748"/>
      <c r="AM1242" s="748"/>
    </row>
    <row r="1243" spans="2:39" x14ac:dyDescent="0.2">
      <c r="B1243" s="101" t="str">
        <f t="shared" si="389"/>
        <v/>
      </c>
      <c r="C1243" s="168">
        <f>IF(ISERROR(Personalplanung!F99/Monatsplanung!$E99*Monatsplanung!$R99),0,Personalplanung!F99/Monatsplanung!$E99*Monatsplanung!$R99)</f>
        <v>0</v>
      </c>
      <c r="D1243" s="168">
        <f t="shared" si="390"/>
        <v>0</v>
      </c>
      <c r="E1243" s="168">
        <f>IF(ISERROR(Personalplanung!H99/Monatsplanung!$E99*Monatsplanung!$R99),0,Personalplanung!H99/Monatsplanung!$E99*Monatsplanung!$R99)</f>
        <v>0</v>
      </c>
      <c r="F1243" s="168">
        <f t="shared" si="391"/>
        <v>0</v>
      </c>
      <c r="G1243" s="168">
        <f t="shared" si="392"/>
        <v>27.700831024930746</v>
      </c>
      <c r="H1243" s="168">
        <f t="shared" si="393"/>
        <v>0</v>
      </c>
      <c r="I1243" s="168">
        <f t="shared" si="394"/>
        <v>30</v>
      </c>
      <c r="J1243" s="739"/>
      <c r="K1243" s="168">
        <f>IF(J1243&lt;&gt;"",J1243,IF(ISERROR(Personalplanung!AB99/Monatsplanung!$E99*Monatsplanung!$R99),0,Personalplanung!AB99/Monatsplanung!$E99*Monatsplanung!$R99))</f>
        <v>0</v>
      </c>
      <c r="L1243" s="740"/>
      <c r="M1243" s="739"/>
      <c r="N1243" s="168">
        <f>IF(M1243&lt;&gt;"",M1243,IF(ISERROR(Personalplanung!AC99/Monatsplanung!$E99*Monatsplanung!$R99),0,Personalplanung!AC99/Monatsplanung!$E99*Monatsplanung!$R99))</f>
        <v>0</v>
      </c>
      <c r="O1243" s="740"/>
      <c r="P1243" s="739"/>
      <c r="Q1243" s="168">
        <f>IF(P1243&lt;&gt;"",P1243,IF(ISERROR(Personalplanung!AD99/Monatsplanung!$E99*Monatsplanung!$R99),0,Personalplanung!AD99/Monatsplanung!$E99*Monatsplanung!$R99))</f>
        <v>0</v>
      </c>
      <c r="R1243" s="740"/>
      <c r="S1243" s="739"/>
      <c r="T1243" s="168">
        <f>IF(S1243&lt;&gt;"",S1243,IF(ISERROR(Personalplanung!AE99/Monatsplanung!$E99*Monatsplanung!$R99),0,Personalplanung!AE99/Monatsplanung!$E99*Monatsplanung!$R99))</f>
        <v>0</v>
      </c>
      <c r="U1243" s="740"/>
      <c r="V1243" s="168">
        <f t="shared" si="395"/>
        <v>0</v>
      </c>
      <c r="W1243" s="168">
        <f>IF(ISERROR(Personalplanung!P99/Monatsplanung!$E99*Monatsplanung!$R99),0,Personalplanung!P99/Monatsplanung!$E99*Monatsplanung!$R99)</f>
        <v>0</v>
      </c>
      <c r="X1243" s="168">
        <f>IF(ISERROR(Personalplanung!Q99/Monatsplanung!$E99*Monatsplanung!$R99),0,Personalplanung!Q99/Monatsplanung!$E99*Monatsplanung!$R99)</f>
        <v>0</v>
      </c>
      <c r="Y1243" s="168">
        <f>IF(ISERROR(Personalplanung!R99/T1347*Stundencontrolling!T1243),0,Personalplanung!R99/T1347*Stundencontrolling!T1243)</f>
        <v>0</v>
      </c>
      <c r="Z1243" s="168">
        <f>IF(ISERROR(Personalplanung!S99/Monatsplanung!$E99*Monatsplanung!$R99),0,Personalplanung!S99/Monatsplanung!$E99*Monatsplanung!$R99)</f>
        <v>0</v>
      </c>
      <c r="AA1243" s="80">
        <f t="shared" si="396"/>
        <v>0</v>
      </c>
      <c r="AB1243" s="102">
        <f t="shared" si="397"/>
        <v>0.1</v>
      </c>
      <c r="AC1243" s="103">
        <f t="shared" si="398"/>
        <v>0</v>
      </c>
      <c r="AD1243" s="103">
        <f t="shared" si="399"/>
        <v>0</v>
      </c>
      <c r="AE1243" s="81">
        <f t="shared" si="400"/>
        <v>0</v>
      </c>
      <c r="AF1243" s="539"/>
      <c r="AG1243" s="104">
        <f t="shared" si="401"/>
        <v>1</v>
      </c>
      <c r="AH1243" s="7">
        <f t="shared" si="402"/>
        <v>0</v>
      </c>
      <c r="AI1243" s="6">
        <f t="shared" si="403"/>
        <v>0</v>
      </c>
      <c r="AJ1243" s="73">
        <f t="shared" si="404"/>
        <v>0</v>
      </c>
      <c r="AK1243" s="539"/>
      <c r="AL1243" s="748"/>
      <c r="AM1243" s="748"/>
    </row>
    <row r="1244" spans="2:39" x14ac:dyDescent="0.2">
      <c r="B1244" s="101" t="str">
        <f t="shared" si="389"/>
        <v/>
      </c>
      <c r="C1244" s="168">
        <f>IF(ISERROR(Personalplanung!F100/Monatsplanung!$E100*Monatsplanung!$R100),0,Personalplanung!F100/Monatsplanung!$E100*Monatsplanung!$R100)</f>
        <v>0</v>
      </c>
      <c r="D1244" s="168">
        <f t="shared" si="390"/>
        <v>0</v>
      </c>
      <c r="E1244" s="168">
        <f>IF(ISERROR(Personalplanung!H100/Monatsplanung!$E100*Monatsplanung!$R100),0,Personalplanung!H100/Monatsplanung!$E100*Monatsplanung!$R100)</f>
        <v>0</v>
      </c>
      <c r="F1244" s="168">
        <f t="shared" si="391"/>
        <v>0</v>
      </c>
      <c r="G1244" s="168">
        <f t="shared" si="392"/>
        <v>27.700831024930746</v>
      </c>
      <c r="H1244" s="168">
        <f t="shared" si="393"/>
        <v>0</v>
      </c>
      <c r="I1244" s="168">
        <f t="shared" si="394"/>
        <v>30</v>
      </c>
      <c r="J1244" s="739"/>
      <c r="K1244" s="168">
        <f>IF(J1244&lt;&gt;"",J1244,IF(ISERROR(Personalplanung!AB100/Monatsplanung!$E100*Monatsplanung!$R100),0,Personalplanung!AB100/Monatsplanung!$E100*Monatsplanung!$R100))</f>
        <v>0</v>
      </c>
      <c r="L1244" s="740"/>
      <c r="M1244" s="739"/>
      <c r="N1244" s="168">
        <f>IF(M1244&lt;&gt;"",M1244,IF(ISERROR(Personalplanung!AC100/Monatsplanung!$E100*Monatsplanung!$R100),0,Personalplanung!AC100/Monatsplanung!$E100*Monatsplanung!$R100))</f>
        <v>0</v>
      </c>
      <c r="O1244" s="740"/>
      <c r="P1244" s="739"/>
      <c r="Q1244" s="168">
        <f>IF(P1244&lt;&gt;"",P1244,IF(ISERROR(Personalplanung!AD100/Monatsplanung!$E100*Monatsplanung!$R100),0,Personalplanung!AD100/Monatsplanung!$E100*Monatsplanung!$R100))</f>
        <v>0</v>
      </c>
      <c r="R1244" s="740"/>
      <c r="S1244" s="739"/>
      <c r="T1244" s="168">
        <f>IF(S1244&lt;&gt;"",S1244,IF(ISERROR(Personalplanung!AE100/Monatsplanung!$E100*Monatsplanung!$R100),0,Personalplanung!AE100/Monatsplanung!$E100*Monatsplanung!$R100))</f>
        <v>0</v>
      </c>
      <c r="U1244" s="740"/>
      <c r="V1244" s="168">
        <f t="shared" si="395"/>
        <v>0</v>
      </c>
      <c r="W1244" s="168">
        <f>IF(ISERROR(Personalplanung!P100/Monatsplanung!$E100*Monatsplanung!$R100),0,Personalplanung!P100/Monatsplanung!$E100*Monatsplanung!$R100)</f>
        <v>0</v>
      </c>
      <c r="X1244" s="168">
        <f>IF(ISERROR(Personalplanung!Q100/Monatsplanung!$E100*Monatsplanung!$R100),0,Personalplanung!Q100/Monatsplanung!$E100*Monatsplanung!$R100)</f>
        <v>0</v>
      </c>
      <c r="Y1244" s="168">
        <f>IF(ISERROR(Personalplanung!R100/T1348*Stundencontrolling!T1244),0,Personalplanung!R100/T1348*Stundencontrolling!T1244)</f>
        <v>0</v>
      </c>
      <c r="Z1244" s="168">
        <f>IF(ISERROR(Personalplanung!S100/Monatsplanung!$E100*Monatsplanung!$R100),0,Personalplanung!S100/Monatsplanung!$E100*Monatsplanung!$R100)</f>
        <v>0</v>
      </c>
      <c r="AA1244" s="80">
        <f t="shared" si="396"/>
        <v>0</v>
      </c>
      <c r="AB1244" s="102">
        <f t="shared" si="397"/>
        <v>0.1</v>
      </c>
      <c r="AC1244" s="103">
        <f t="shared" si="398"/>
        <v>0</v>
      </c>
      <c r="AD1244" s="103">
        <f t="shared" si="399"/>
        <v>0</v>
      </c>
      <c r="AE1244" s="81">
        <f t="shared" si="400"/>
        <v>0</v>
      </c>
      <c r="AF1244" s="539"/>
      <c r="AG1244" s="104">
        <f t="shared" si="401"/>
        <v>1</v>
      </c>
      <c r="AH1244" s="7">
        <f t="shared" si="402"/>
        <v>0</v>
      </c>
      <c r="AI1244" s="6">
        <f t="shared" si="403"/>
        <v>0</v>
      </c>
      <c r="AJ1244" s="73">
        <f t="shared" si="404"/>
        <v>0</v>
      </c>
      <c r="AK1244" s="539"/>
      <c r="AL1244" s="748"/>
      <c r="AM1244" s="748"/>
    </row>
    <row r="1245" spans="2:39" x14ac:dyDescent="0.2">
      <c r="B1245" s="101" t="str">
        <f t="shared" si="389"/>
        <v/>
      </c>
      <c r="C1245" s="168">
        <f>IF(ISERROR(Personalplanung!F101/Monatsplanung!$E101*Monatsplanung!$R101),0,Personalplanung!F101/Monatsplanung!$E101*Monatsplanung!$R101)</f>
        <v>0</v>
      </c>
      <c r="D1245" s="168">
        <f t="shared" si="390"/>
        <v>0</v>
      </c>
      <c r="E1245" s="168">
        <f>IF(ISERROR(Personalplanung!H101/Monatsplanung!$E101*Monatsplanung!$R101),0,Personalplanung!H101/Monatsplanung!$E101*Monatsplanung!$R101)</f>
        <v>0</v>
      </c>
      <c r="F1245" s="168">
        <f t="shared" si="391"/>
        <v>0</v>
      </c>
      <c r="G1245" s="168">
        <f t="shared" si="392"/>
        <v>27.700831024930746</v>
      </c>
      <c r="H1245" s="168">
        <f t="shared" si="393"/>
        <v>0</v>
      </c>
      <c r="I1245" s="168">
        <f t="shared" si="394"/>
        <v>30</v>
      </c>
      <c r="J1245" s="739"/>
      <c r="K1245" s="168">
        <f>IF(J1245&lt;&gt;"",J1245,IF(ISERROR(Personalplanung!AB101/Monatsplanung!$E101*Monatsplanung!$R101),0,Personalplanung!AB101/Monatsplanung!$E101*Monatsplanung!$R101))</f>
        <v>0</v>
      </c>
      <c r="L1245" s="740"/>
      <c r="M1245" s="739"/>
      <c r="N1245" s="168">
        <f>IF(M1245&lt;&gt;"",M1245,IF(ISERROR(Personalplanung!AC101/Monatsplanung!$E101*Monatsplanung!$R101),0,Personalplanung!AC101/Monatsplanung!$E101*Monatsplanung!$R101))</f>
        <v>0</v>
      </c>
      <c r="O1245" s="740"/>
      <c r="P1245" s="739"/>
      <c r="Q1245" s="168">
        <f>IF(P1245&lt;&gt;"",P1245,IF(ISERROR(Personalplanung!AD101/Monatsplanung!$E101*Monatsplanung!$R101),0,Personalplanung!AD101/Monatsplanung!$E101*Monatsplanung!$R101))</f>
        <v>0</v>
      </c>
      <c r="R1245" s="740"/>
      <c r="S1245" s="739"/>
      <c r="T1245" s="168">
        <f>IF(S1245&lt;&gt;"",S1245,IF(ISERROR(Personalplanung!AE101/Monatsplanung!$E101*Monatsplanung!$R101),0,Personalplanung!AE101/Monatsplanung!$E101*Monatsplanung!$R101))</f>
        <v>0</v>
      </c>
      <c r="U1245" s="740"/>
      <c r="V1245" s="168">
        <f t="shared" si="395"/>
        <v>0</v>
      </c>
      <c r="W1245" s="168">
        <f>IF(ISERROR(Personalplanung!P101/Monatsplanung!$E101*Monatsplanung!$R101),0,Personalplanung!P101/Monatsplanung!$E101*Monatsplanung!$R101)</f>
        <v>0</v>
      </c>
      <c r="X1245" s="168">
        <f>IF(ISERROR(Personalplanung!Q101/Monatsplanung!$E101*Monatsplanung!$R101),0,Personalplanung!Q101/Monatsplanung!$E101*Monatsplanung!$R101)</f>
        <v>0</v>
      </c>
      <c r="Y1245" s="168">
        <f>IF(ISERROR(Personalplanung!R101/T1349*Stundencontrolling!T1245),0,Personalplanung!R101/T1349*Stundencontrolling!T1245)</f>
        <v>0</v>
      </c>
      <c r="Z1245" s="168">
        <f>IF(ISERROR(Personalplanung!S101/Monatsplanung!$E101*Monatsplanung!$R101),0,Personalplanung!S101/Monatsplanung!$E101*Monatsplanung!$R101)</f>
        <v>0</v>
      </c>
      <c r="AA1245" s="80">
        <f t="shared" si="396"/>
        <v>0</v>
      </c>
      <c r="AB1245" s="102">
        <f t="shared" si="397"/>
        <v>0.1</v>
      </c>
      <c r="AC1245" s="103">
        <f t="shared" si="398"/>
        <v>0</v>
      </c>
      <c r="AD1245" s="103">
        <f t="shared" si="399"/>
        <v>0</v>
      </c>
      <c r="AE1245" s="81">
        <f t="shared" si="400"/>
        <v>0</v>
      </c>
      <c r="AF1245" s="539"/>
      <c r="AG1245" s="104">
        <f t="shared" si="401"/>
        <v>1</v>
      </c>
      <c r="AH1245" s="7">
        <f t="shared" si="402"/>
        <v>0</v>
      </c>
      <c r="AI1245" s="6">
        <f t="shared" si="403"/>
        <v>0</v>
      </c>
      <c r="AJ1245" s="73">
        <f t="shared" si="404"/>
        <v>0</v>
      </c>
      <c r="AK1245" s="539"/>
      <c r="AL1245" s="748"/>
      <c r="AM1245" s="748"/>
    </row>
    <row r="1246" spans="2:39" x14ac:dyDescent="0.2">
      <c r="B1246" s="101" t="str">
        <f t="shared" si="389"/>
        <v/>
      </c>
      <c r="C1246" s="168">
        <f>IF(ISERROR(Personalplanung!F102/Monatsplanung!$E102*Monatsplanung!$R102),0,Personalplanung!F102/Monatsplanung!$E102*Monatsplanung!$R102)</f>
        <v>0</v>
      </c>
      <c r="D1246" s="168">
        <f t="shared" si="390"/>
        <v>0</v>
      </c>
      <c r="E1246" s="168">
        <f>IF(ISERROR(Personalplanung!H102/Monatsplanung!$E102*Monatsplanung!$R102),0,Personalplanung!H102/Monatsplanung!$E102*Monatsplanung!$R102)</f>
        <v>0</v>
      </c>
      <c r="F1246" s="168">
        <f t="shared" si="391"/>
        <v>0</v>
      </c>
      <c r="G1246" s="168">
        <f t="shared" si="392"/>
        <v>27.700831024930746</v>
      </c>
      <c r="H1246" s="168">
        <f t="shared" si="393"/>
        <v>0</v>
      </c>
      <c r="I1246" s="168">
        <f t="shared" si="394"/>
        <v>30</v>
      </c>
      <c r="J1246" s="739"/>
      <c r="K1246" s="168">
        <f>IF(J1246&lt;&gt;"",J1246,IF(ISERROR(Personalplanung!AB102/Monatsplanung!$E102*Monatsplanung!$R102),0,Personalplanung!AB102/Monatsplanung!$E102*Monatsplanung!$R102))</f>
        <v>0</v>
      </c>
      <c r="L1246" s="740"/>
      <c r="M1246" s="739"/>
      <c r="N1246" s="168">
        <f>IF(M1246&lt;&gt;"",M1246,IF(ISERROR(Personalplanung!AC102/Monatsplanung!$E102*Monatsplanung!$R102),0,Personalplanung!AC102/Monatsplanung!$E102*Monatsplanung!$R102))</f>
        <v>0</v>
      </c>
      <c r="O1246" s="740"/>
      <c r="P1246" s="739"/>
      <c r="Q1246" s="168">
        <f>IF(P1246&lt;&gt;"",P1246,IF(ISERROR(Personalplanung!AD102/Monatsplanung!$E102*Monatsplanung!$R102),0,Personalplanung!AD102/Monatsplanung!$E102*Monatsplanung!$R102))</f>
        <v>0</v>
      </c>
      <c r="R1246" s="740"/>
      <c r="S1246" s="739"/>
      <c r="T1246" s="168">
        <f>IF(S1246&lt;&gt;"",S1246,IF(ISERROR(Personalplanung!AE102/Monatsplanung!$E102*Monatsplanung!$R102),0,Personalplanung!AE102/Monatsplanung!$E102*Monatsplanung!$R102))</f>
        <v>0</v>
      </c>
      <c r="U1246" s="740"/>
      <c r="V1246" s="168">
        <f t="shared" si="395"/>
        <v>0</v>
      </c>
      <c r="W1246" s="168">
        <f>IF(ISERROR(Personalplanung!P102/Monatsplanung!$E102*Monatsplanung!$R102),0,Personalplanung!P102/Monatsplanung!$E102*Monatsplanung!$R102)</f>
        <v>0</v>
      </c>
      <c r="X1246" s="168">
        <f>IF(ISERROR(Personalplanung!Q102/Monatsplanung!$E102*Monatsplanung!$R102),0,Personalplanung!Q102/Monatsplanung!$E102*Monatsplanung!$R102)</f>
        <v>0</v>
      </c>
      <c r="Y1246" s="168">
        <f>IF(ISERROR(Personalplanung!R102/T1350*Stundencontrolling!T1246),0,Personalplanung!R102/T1350*Stundencontrolling!T1246)</f>
        <v>0</v>
      </c>
      <c r="Z1246" s="168">
        <f>IF(ISERROR(Personalplanung!S102/Monatsplanung!$E102*Monatsplanung!$R102),0,Personalplanung!S102/Monatsplanung!$E102*Monatsplanung!$R102)</f>
        <v>0</v>
      </c>
      <c r="AA1246" s="80">
        <f t="shared" si="396"/>
        <v>0</v>
      </c>
      <c r="AB1246" s="102">
        <f t="shared" si="397"/>
        <v>0.1</v>
      </c>
      <c r="AC1246" s="103">
        <f t="shared" si="398"/>
        <v>0</v>
      </c>
      <c r="AD1246" s="103">
        <f t="shared" si="399"/>
        <v>0</v>
      </c>
      <c r="AE1246" s="81">
        <f t="shared" si="400"/>
        <v>0</v>
      </c>
      <c r="AF1246" s="539"/>
      <c r="AG1246" s="104">
        <f t="shared" si="401"/>
        <v>1</v>
      </c>
      <c r="AH1246" s="7">
        <f t="shared" si="402"/>
        <v>0</v>
      </c>
      <c r="AI1246" s="6">
        <f t="shared" si="403"/>
        <v>0</v>
      </c>
      <c r="AJ1246" s="73">
        <f t="shared" si="404"/>
        <v>0</v>
      </c>
      <c r="AK1246" s="539"/>
      <c r="AL1246" s="748"/>
      <c r="AM1246" s="748"/>
    </row>
    <row r="1247" spans="2:39" x14ac:dyDescent="0.2">
      <c r="B1247" s="101" t="str">
        <f t="shared" si="389"/>
        <v/>
      </c>
      <c r="C1247" s="168">
        <f>IF(ISERROR(Personalplanung!F103/Monatsplanung!$E103*Monatsplanung!$R103),0,Personalplanung!F103/Monatsplanung!$E103*Monatsplanung!$R103)</f>
        <v>0</v>
      </c>
      <c r="D1247" s="168">
        <f t="shared" si="390"/>
        <v>0</v>
      </c>
      <c r="E1247" s="168">
        <f>IF(ISERROR(Personalplanung!H103/Monatsplanung!$E103*Monatsplanung!$R103),0,Personalplanung!H103/Monatsplanung!$E103*Monatsplanung!$R103)</f>
        <v>0</v>
      </c>
      <c r="F1247" s="168">
        <f t="shared" si="391"/>
        <v>0</v>
      </c>
      <c r="G1247" s="168">
        <f t="shared" si="392"/>
        <v>27.700831024930746</v>
      </c>
      <c r="H1247" s="168">
        <f t="shared" si="393"/>
        <v>0</v>
      </c>
      <c r="I1247" s="168">
        <f t="shared" si="394"/>
        <v>30</v>
      </c>
      <c r="J1247" s="739"/>
      <c r="K1247" s="168">
        <f>IF(J1247&lt;&gt;"",J1247,IF(ISERROR(Personalplanung!AB103/Monatsplanung!$E103*Monatsplanung!$R103),0,Personalplanung!AB103/Monatsplanung!$E103*Monatsplanung!$R103))</f>
        <v>0</v>
      </c>
      <c r="L1247" s="740"/>
      <c r="M1247" s="739"/>
      <c r="N1247" s="168">
        <f>IF(M1247&lt;&gt;"",M1247,IF(ISERROR(Personalplanung!AC103/Monatsplanung!$E103*Monatsplanung!$R103),0,Personalplanung!AC103/Monatsplanung!$E103*Monatsplanung!$R103))</f>
        <v>0</v>
      </c>
      <c r="O1247" s="740"/>
      <c r="P1247" s="739"/>
      <c r="Q1247" s="168">
        <f>IF(P1247&lt;&gt;"",P1247,IF(ISERROR(Personalplanung!AD103/Monatsplanung!$E103*Monatsplanung!$R103),0,Personalplanung!AD103/Monatsplanung!$E103*Monatsplanung!$R103))</f>
        <v>0</v>
      </c>
      <c r="R1247" s="740"/>
      <c r="S1247" s="739"/>
      <c r="T1247" s="168">
        <f>IF(S1247&lt;&gt;"",S1247,IF(ISERROR(Personalplanung!AE103/Monatsplanung!$E103*Monatsplanung!$R103),0,Personalplanung!AE103/Monatsplanung!$E103*Monatsplanung!$R103))</f>
        <v>0</v>
      </c>
      <c r="U1247" s="740"/>
      <c r="V1247" s="168">
        <f t="shared" si="395"/>
        <v>0</v>
      </c>
      <c r="W1247" s="168">
        <f>IF(ISERROR(Personalplanung!P103/Monatsplanung!$E103*Monatsplanung!$R103),0,Personalplanung!P103/Monatsplanung!$E103*Monatsplanung!$R103)</f>
        <v>0</v>
      </c>
      <c r="X1247" s="168">
        <f>IF(ISERROR(Personalplanung!Q103/Monatsplanung!$E103*Monatsplanung!$R103),0,Personalplanung!Q103/Monatsplanung!$E103*Monatsplanung!$R103)</f>
        <v>0</v>
      </c>
      <c r="Y1247" s="168">
        <f>IF(ISERROR(Personalplanung!R103/T1351*Stundencontrolling!T1247),0,Personalplanung!R103/T1351*Stundencontrolling!T1247)</f>
        <v>0</v>
      </c>
      <c r="Z1247" s="168">
        <f>IF(ISERROR(Personalplanung!S103/Monatsplanung!$E103*Monatsplanung!$R103),0,Personalplanung!S103/Monatsplanung!$E103*Monatsplanung!$R103)</f>
        <v>0</v>
      </c>
      <c r="AA1247" s="80">
        <f t="shared" si="396"/>
        <v>0</v>
      </c>
      <c r="AB1247" s="102">
        <f t="shared" si="397"/>
        <v>0.1</v>
      </c>
      <c r="AC1247" s="103">
        <f t="shared" si="398"/>
        <v>0</v>
      </c>
      <c r="AD1247" s="103">
        <f t="shared" si="399"/>
        <v>0</v>
      </c>
      <c r="AE1247" s="81">
        <f t="shared" si="400"/>
        <v>0</v>
      </c>
      <c r="AF1247" s="539"/>
      <c r="AG1247" s="104">
        <f t="shared" si="401"/>
        <v>1</v>
      </c>
      <c r="AH1247" s="7">
        <f t="shared" si="402"/>
        <v>0</v>
      </c>
      <c r="AI1247" s="6">
        <f t="shared" si="403"/>
        <v>0</v>
      </c>
      <c r="AJ1247" s="73">
        <f t="shared" si="404"/>
        <v>0</v>
      </c>
      <c r="AK1247" s="539"/>
      <c r="AL1247" s="748"/>
      <c r="AM1247" s="748"/>
    </row>
    <row r="1248" spans="2:39" x14ac:dyDescent="0.2">
      <c r="B1248" s="101" t="str">
        <f t="shared" si="389"/>
        <v/>
      </c>
      <c r="C1248" s="168">
        <f>IF(ISERROR(Personalplanung!F104/Monatsplanung!$E104*Monatsplanung!$R104),0,Personalplanung!F104/Monatsplanung!$E104*Monatsplanung!$R104)</f>
        <v>0</v>
      </c>
      <c r="D1248" s="168">
        <f t="shared" si="390"/>
        <v>0</v>
      </c>
      <c r="E1248" s="168">
        <f>IF(ISERROR(Personalplanung!H104/Monatsplanung!$E104*Monatsplanung!$R104),0,Personalplanung!H104/Monatsplanung!$E104*Monatsplanung!$R104)</f>
        <v>0</v>
      </c>
      <c r="F1248" s="168">
        <f t="shared" si="391"/>
        <v>0</v>
      </c>
      <c r="G1248" s="168">
        <f t="shared" si="392"/>
        <v>27.700831024930746</v>
      </c>
      <c r="H1248" s="168">
        <f t="shared" si="393"/>
        <v>0</v>
      </c>
      <c r="I1248" s="168">
        <f t="shared" si="394"/>
        <v>30</v>
      </c>
      <c r="J1248" s="739"/>
      <c r="K1248" s="168">
        <f>IF(J1248&lt;&gt;"",J1248,IF(ISERROR(Personalplanung!AB104/Monatsplanung!$E104*Monatsplanung!$R104),0,Personalplanung!AB104/Monatsplanung!$E104*Monatsplanung!$R104))</f>
        <v>0</v>
      </c>
      <c r="L1248" s="740"/>
      <c r="M1248" s="739"/>
      <c r="N1248" s="168">
        <f>IF(M1248&lt;&gt;"",M1248,IF(ISERROR(Personalplanung!AC104/Monatsplanung!$E104*Monatsplanung!$R104),0,Personalplanung!AC104/Monatsplanung!$E104*Monatsplanung!$R104))</f>
        <v>0</v>
      </c>
      <c r="O1248" s="740"/>
      <c r="P1248" s="739"/>
      <c r="Q1248" s="168">
        <f>IF(P1248&lt;&gt;"",P1248,IF(ISERROR(Personalplanung!AD104/Monatsplanung!$E104*Monatsplanung!$R104),0,Personalplanung!AD104/Monatsplanung!$E104*Monatsplanung!$R104))</f>
        <v>0</v>
      </c>
      <c r="R1248" s="740"/>
      <c r="S1248" s="739"/>
      <c r="T1248" s="168">
        <f>IF(S1248&lt;&gt;"",S1248,IF(ISERROR(Personalplanung!AE104/Monatsplanung!$E104*Monatsplanung!$R104),0,Personalplanung!AE104/Monatsplanung!$E104*Monatsplanung!$R104))</f>
        <v>0</v>
      </c>
      <c r="U1248" s="740"/>
      <c r="V1248" s="168">
        <f t="shared" si="395"/>
        <v>0</v>
      </c>
      <c r="W1248" s="168">
        <f>IF(ISERROR(Personalplanung!P104/Monatsplanung!$E104*Monatsplanung!$R104),0,Personalplanung!P104/Monatsplanung!$E104*Monatsplanung!$R104)</f>
        <v>0</v>
      </c>
      <c r="X1248" s="168">
        <f>IF(ISERROR(Personalplanung!Q104/Monatsplanung!$E104*Monatsplanung!$R104),0,Personalplanung!Q104/Monatsplanung!$E104*Monatsplanung!$R104)</f>
        <v>0</v>
      </c>
      <c r="Y1248" s="168">
        <f>IF(ISERROR(Personalplanung!R104/T1352*Stundencontrolling!T1248),0,Personalplanung!R104/T1352*Stundencontrolling!T1248)</f>
        <v>0</v>
      </c>
      <c r="Z1248" s="168">
        <f>IF(ISERROR(Personalplanung!S104/Monatsplanung!$E104*Monatsplanung!$R104),0,Personalplanung!S104/Monatsplanung!$E104*Monatsplanung!$R104)</f>
        <v>0</v>
      </c>
      <c r="AA1248" s="80">
        <f t="shared" si="396"/>
        <v>0</v>
      </c>
      <c r="AB1248" s="102">
        <f t="shared" si="397"/>
        <v>0.1</v>
      </c>
      <c r="AC1248" s="103">
        <f t="shared" si="398"/>
        <v>0</v>
      </c>
      <c r="AD1248" s="103">
        <f t="shared" si="399"/>
        <v>0</v>
      </c>
      <c r="AE1248" s="81">
        <f t="shared" si="400"/>
        <v>0</v>
      </c>
      <c r="AF1248" s="539"/>
      <c r="AG1248" s="104">
        <f t="shared" si="401"/>
        <v>1</v>
      </c>
      <c r="AH1248" s="7">
        <f t="shared" si="402"/>
        <v>0</v>
      </c>
      <c r="AI1248" s="6">
        <f t="shared" si="403"/>
        <v>0</v>
      </c>
      <c r="AJ1248" s="73">
        <f t="shared" si="404"/>
        <v>0</v>
      </c>
      <c r="AK1248" s="539"/>
      <c r="AL1248" s="748"/>
      <c r="AM1248" s="748"/>
    </row>
    <row r="1249" spans="2:39" x14ac:dyDescent="0.2">
      <c r="B1249" s="101" t="str">
        <f t="shared" si="389"/>
        <v/>
      </c>
      <c r="C1249" s="168">
        <f>IF(ISERROR(Personalplanung!F105/Monatsplanung!$E105*Monatsplanung!$R105),0,Personalplanung!F105/Monatsplanung!$E105*Monatsplanung!$R105)</f>
        <v>0</v>
      </c>
      <c r="D1249" s="168">
        <f t="shared" si="390"/>
        <v>0</v>
      </c>
      <c r="E1249" s="168">
        <f>IF(ISERROR(Personalplanung!H105/Monatsplanung!$E105*Monatsplanung!$R105),0,Personalplanung!H105/Monatsplanung!$E105*Monatsplanung!$R105)</f>
        <v>0</v>
      </c>
      <c r="F1249" s="168">
        <f t="shared" si="391"/>
        <v>0</v>
      </c>
      <c r="G1249" s="168">
        <f t="shared" si="392"/>
        <v>27.700831024930746</v>
      </c>
      <c r="H1249" s="168">
        <f t="shared" si="393"/>
        <v>0</v>
      </c>
      <c r="I1249" s="168">
        <f t="shared" si="394"/>
        <v>30</v>
      </c>
      <c r="J1249" s="739"/>
      <c r="K1249" s="168">
        <f>IF(J1249&lt;&gt;"",J1249,IF(ISERROR(Personalplanung!AB105/Monatsplanung!$E105*Monatsplanung!$R105),0,Personalplanung!AB105/Monatsplanung!$E105*Monatsplanung!$R105))</f>
        <v>0</v>
      </c>
      <c r="L1249" s="740"/>
      <c r="M1249" s="739"/>
      <c r="N1249" s="168">
        <f>IF(M1249&lt;&gt;"",M1249,IF(ISERROR(Personalplanung!AC105/Monatsplanung!$E105*Monatsplanung!$R105),0,Personalplanung!AC105/Monatsplanung!$E105*Monatsplanung!$R105))</f>
        <v>0</v>
      </c>
      <c r="O1249" s="740"/>
      <c r="P1249" s="739"/>
      <c r="Q1249" s="168">
        <f>IF(P1249&lt;&gt;"",P1249,IF(ISERROR(Personalplanung!AD105/Monatsplanung!$E105*Monatsplanung!$R105),0,Personalplanung!AD105/Monatsplanung!$E105*Monatsplanung!$R105))</f>
        <v>0</v>
      </c>
      <c r="R1249" s="740"/>
      <c r="S1249" s="739"/>
      <c r="T1249" s="168">
        <f>IF(S1249&lt;&gt;"",S1249,IF(ISERROR(Personalplanung!AE105/Monatsplanung!$E105*Monatsplanung!$R105),0,Personalplanung!AE105/Monatsplanung!$E105*Monatsplanung!$R105))</f>
        <v>0</v>
      </c>
      <c r="U1249" s="740"/>
      <c r="V1249" s="168">
        <f t="shared" si="395"/>
        <v>0</v>
      </c>
      <c r="W1249" s="168">
        <f>IF(ISERROR(Personalplanung!P105/Monatsplanung!$E105*Monatsplanung!$R105),0,Personalplanung!P105/Monatsplanung!$E105*Monatsplanung!$R105)</f>
        <v>0</v>
      </c>
      <c r="X1249" s="168">
        <f>IF(ISERROR(Personalplanung!Q105/Monatsplanung!$E105*Monatsplanung!$R105),0,Personalplanung!Q105/Monatsplanung!$E105*Monatsplanung!$R105)</f>
        <v>0</v>
      </c>
      <c r="Y1249" s="168">
        <f>IF(ISERROR(Personalplanung!R105/T1353*Stundencontrolling!T1249),0,Personalplanung!R105/T1353*Stundencontrolling!T1249)</f>
        <v>0</v>
      </c>
      <c r="Z1249" s="168">
        <f>IF(ISERROR(Personalplanung!S105/Monatsplanung!$E105*Monatsplanung!$R105),0,Personalplanung!S105/Monatsplanung!$E105*Monatsplanung!$R105)</f>
        <v>0</v>
      </c>
      <c r="AA1249" s="80">
        <f t="shared" si="396"/>
        <v>0</v>
      </c>
      <c r="AB1249" s="102">
        <f t="shared" si="397"/>
        <v>0.1</v>
      </c>
      <c r="AC1249" s="103">
        <f t="shared" si="398"/>
        <v>0</v>
      </c>
      <c r="AD1249" s="103">
        <f t="shared" si="399"/>
        <v>0</v>
      </c>
      <c r="AE1249" s="81">
        <f t="shared" si="400"/>
        <v>0</v>
      </c>
      <c r="AF1249" s="539"/>
      <c r="AG1249" s="104">
        <f t="shared" si="401"/>
        <v>1</v>
      </c>
      <c r="AH1249" s="7">
        <f t="shared" si="402"/>
        <v>0</v>
      </c>
      <c r="AI1249" s="6">
        <f t="shared" si="403"/>
        <v>0</v>
      </c>
      <c r="AJ1249" s="73">
        <f t="shared" si="404"/>
        <v>0</v>
      </c>
      <c r="AK1249" s="539"/>
      <c r="AL1249" s="748"/>
      <c r="AM1249" s="748"/>
    </row>
    <row r="1250" spans="2:39" x14ac:dyDescent="0.2">
      <c r="B1250" s="101" t="str">
        <f t="shared" si="389"/>
        <v/>
      </c>
      <c r="C1250" s="168">
        <f>IF(ISERROR(Personalplanung!F106/Monatsplanung!$E106*Monatsplanung!$R106),0,Personalplanung!F106/Monatsplanung!$E106*Monatsplanung!$R106)</f>
        <v>0</v>
      </c>
      <c r="D1250" s="168">
        <f t="shared" si="390"/>
        <v>0</v>
      </c>
      <c r="E1250" s="168">
        <f>IF(ISERROR(Personalplanung!H106/Monatsplanung!$E106*Monatsplanung!$R106),0,Personalplanung!H106/Monatsplanung!$E106*Monatsplanung!$R106)</f>
        <v>0</v>
      </c>
      <c r="F1250" s="168">
        <f t="shared" si="391"/>
        <v>0</v>
      </c>
      <c r="G1250" s="168">
        <f t="shared" si="392"/>
        <v>27.700831024930746</v>
      </c>
      <c r="H1250" s="168">
        <f t="shared" si="393"/>
        <v>0</v>
      </c>
      <c r="I1250" s="168">
        <f t="shared" si="394"/>
        <v>30</v>
      </c>
      <c r="J1250" s="739"/>
      <c r="K1250" s="168">
        <f>IF(J1250&lt;&gt;"",J1250,IF(ISERROR(Personalplanung!AB106/Monatsplanung!$E106*Monatsplanung!$R106),0,Personalplanung!AB106/Monatsplanung!$E106*Monatsplanung!$R106))</f>
        <v>0</v>
      </c>
      <c r="L1250" s="740"/>
      <c r="M1250" s="739"/>
      <c r="N1250" s="168">
        <f>IF(M1250&lt;&gt;"",M1250,IF(ISERROR(Personalplanung!AC106/Monatsplanung!$E106*Monatsplanung!$R106),0,Personalplanung!AC106/Monatsplanung!$E106*Monatsplanung!$R106))</f>
        <v>0</v>
      </c>
      <c r="O1250" s="740"/>
      <c r="P1250" s="739"/>
      <c r="Q1250" s="168">
        <f>IF(P1250&lt;&gt;"",P1250,IF(ISERROR(Personalplanung!AD106/Monatsplanung!$E106*Monatsplanung!$R106),0,Personalplanung!AD106/Monatsplanung!$E106*Monatsplanung!$R106))</f>
        <v>0</v>
      </c>
      <c r="R1250" s="740"/>
      <c r="S1250" s="739"/>
      <c r="T1250" s="168">
        <f>IF(S1250&lt;&gt;"",S1250,IF(ISERROR(Personalplanung!AE106/Monatsplanung!$E106*Monatsplanung!$R106),0,Personalplanung!AE106/Monatsplanung!$E106*Monatsplanung!$R106))</f>
        <v>0</v>
      </c>
      <c r="U1250" s="740"/>
      <c r="V1250" s="168">
        <f t="shared" si="395"/>
        <v>0</v>
      </c>
      <c r="W1250" s="168">
        <f>IF(ISERROR(Personalplanung!P106/Monatsplanung!$E106*Monatsplanung!$R106),0,Personalplanung!P106/Monatsplanung!$E106*Monatsplanung!$R106)</f>
        <v>0</v>
      </c>
      <c r="X1250" s="168">
        <f>IF(ISERROR(Personalplanung!Q106/Monatsplanung!$E106*Monatsplanung!$R106),0,Personalplanung!Q106/Monatsplanung!$E106*Monatsplanung!$R106)</f>
        <v>0</v>
      </c>
      <c r="Y1250" s="168">
        <f>IF(ISERROR(Personalplanung!R106/T1354*Stundencontrolling!T1250),0,Personalplanung!R106/T1354*Stundencontrolling!T1250)</f>
        <v>0</v>
      </c>
      <c r="Z1250" s="168">
        <f>IF(ISERROR(Personalplanung!S106/Monatsplanung!$E106*Monatsplanung!$R106),0,Personalplanung!S106/Monatsplanung!$E106*Monatsplanung!$R106)</f>
        <v>0</v>
      </c>
      <c r="AA1250" s="80">
        <f t="shared" si="396"/>
        <v>0</v>
      </c>
      <c r="AB1250" s="102">
        <f t="shared" si="397"/>
        <v>0.1</v>
      </c>
      <c r="AC1250" s="103">
        <f t="shared" si="398"/>
        <v>0</v>
      </c>
      <c r="AD1250" s="103">
        <f t="shared" si="399"/>
        <v>0</v>
      </c>
      <c r="AE1250" s="81">
        <f t="shared" si="400"/>
        <v>0</v>
      </c>
      <c r="AF1250" s="539"/>
      <c r="AG1250" s="104">
        <f t="shared" si="401"/>
        <v>1</v>
      </c>
      <c r="AH1250" s="7">
        <f t="shared" si="402"/>
        <v>0</v>
      </c>
      <c r="AI1250" s="6">
        <f t="shared" si="403"/>
        <v>0</v>
      </c>
      <c r="AJ1250" s="73">
        <f t="shared" si="404"/>
        <v>0</v>
      </c>
      <c r="AK1250" s="539"/>
      <c r="AL1250" s="748"/>
      <c r="AM1250" s="748"/>
    </row>
    <row r="1251" spans="2:39" x14ac:dyDescent="0.2">
      <c r="B1251" s="500" t="s">
        <v>134</v>
      </c>
      <c r="C1251" s="501">
        <f>+SUM(C1150:C1250)</f>
        <v>2618.6999999999998</v>
      </c>
      <c r="D1251" s="501"/>
      <c r="E1251" s="501">
        <f>+SUM(E1150:E1250)</f>
        <v>120.00000000000001</v>
      </c>
      <c r="F1251" s="501">
        <f>+SUM(F1150:F1250)</f>
        <v>2738.7</v>
      </c>
      <c r="G1251" s="501">
        <f>IF(ISERROR(+H1251/F1251),0,+H1251/F1251)</f>
        <v>27.700831024930746</v>
      </c>
      <c r="H1251" s="501">
        <f>+SUM(H1150:H1250)</f>
        <v>75864.265927977831</v>
      </c>
      <c r="I1251" s="501"/>
      <c r="J1251" s="501"/>
      <c r="K1251" s="501">
        <f t="shared" ref="K1251:V1251" si="405">+SUM(K1150:K1250)</f>
        <v>11.516666666666666</v>
      </c>
      <c r="L1251" s="501"/>
      <c r="M1251" s="501"/>
      <c r="N1251" s="501">
        <f>+SUM(N1150:N1250)</f>
        <v>1.25</v>
      </c>
      <c r="O1251" s="501"/>
      <c r="P1251" s="501"/>
      <c r="Q1251" s="501">
        <f>+SUM(Q1150:Q1250)</f>
        <v>3.0666666666666664</v>
      </c>
      <c r="R1251" s="501"/>
      <c r="S1251" s="501"/>
      <c r="T1251" s="501">
        <f>+SUM(T1150:T1250)</f>
        <v>37.866666666666667</v>
      </c>
      <c r="U1251" s="501"/>
      <c r="V1251" s="501">
        <f t="shared" si="405"/>
        <v>53.7</v>
      </c>
      <c r="W1251" s="501">
        <f>+SUM(W1150:W1250)</f>
        <v>12</v>
      </c>
      <c r="X1251" s="501">
        <f>+SUM(X1150:X1250)</f>
        <v>166.66666666666666</v>
      </c>
      <c r="Y1251" s="501">
        <f>+SUM(Y1150:Y1250)</f>
        <v>66.666666666666657</v>
      </c>
      <c r="Z1251" s="501">
        <f>+SUM(Z1150:Z1250)</f>
        <v>50</v>
      </c>
      <c r="AA1251" s="503">
        <f>SUM(AA1150:AA1250)</f>
        <v>2352087.5771006462</v>
      </c>
      <c r="AB1251" s="502">
        <f>+AC1251/AA1251</f>
        <v>9.9999999999999992E-2</v>
      </c>
      <c r="AC1251" s="503">
        <f>SUM(AC1150:AC1250)</f>
        <v>235208.75771006462</v>
      </c>
      <c r="AD1251" s="503">
        <f>SUM(AD1150:AD1250)</f>
        <v>2116878.8193905815</v>
      </c>
      <c r="AE1251" s="504">
        <f>SUM(AE1150:AE1250)</f>
        <v>233.16333333333336</v>
      </c>
      <c r="AF1251" s="504">
        <f>SUM(AF1150:AF1250)</f>
        <v>0</v>
      </c>
      <c r="AG1251" s="505">
        <f>AI1251/AE1251</f>
        <v>1</v>
      </c>
      <c r="AH1251" s="505">
        <f t="shared" si="371"/>
        <v>0</v>
      </c>
      <c r="AI1251" s="504">
        <f>SUM(AI1150:AI1250)</f>
        <v>233.16333333333336</v>
      </c>
      <c r="AJ1251" s="506">
        <f t="shared" si="372"/>
        <v>1008.7724958615474</v>
      </c>
      <c r="AK1251" s="504">
        <f>SUM(AK1150:AK1250)</f>
        <v>0</v>
      </c>
      <c r="AL1251" s="747"/>
      <c r="AM1251" s="506">
        <f>$AM$107</f>
        <v>75.851340181839646</v>
      </c>
    </row>
    <row r="1252" spans="2:39" x14ac:dyDescent="0.2">
      <c r="B1252" s="11"/>
      <c r="C1252" s="11"/>
      <c r="D1252" s="11"/>
      <c r="E1252" s="11"/>
      <c r="F1252" s="11"/>
      <c r="G1252" s="11"/>
      <c r="H1252" s="11"/>
      <c r="I1252" s="34"/>
      <c r="J1252" s="34"/>
      <c r="K1252" s="11"/>
      <c r="L1252" s="11"/>
      <c r="M1252" s="34"/>
      <c r="N1252" s="11"/>
      <c r="O1252" s="11"/>
      <c r="P1252" s="34"/>
      <c r="Q1252" s="11"/>
      <c r="R1252" s="11"/>
      <c r="S1252" s="34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M1252" s="23"/>
    </row>
    <row r="1253" spans="2:39" x14ac:dyDescent="0.2">
      <c r="B1253" s="500" t="s">
        <v>508</v>
      </c>
      <c r="C1253" s="501"/>
      <c r="D1253" s="501"/>
      <c r="E1253" s="501"/>
      <c r="F1253" s="501"/>
      <c r="G1253" s="501"/>
      <c r="H1253" s="501"/>
      <c r="I1253" s="501"/>
      <c r="J1253" s="501"/>
      <c r="K1253" s="501"/>
      <c r="L1253" s="501"/>
      <c r="M1253" s="501"/>
      <c r="N1253" s="501"/>
      <c r="O1253" s="501"/>
      <c r="P1253" s="501"/>
      <c r="Q1253" s="501"/>
      <c r="R1253" s="501"/>
      <c r="S1253" s="501"/>
      <c r="T1253" s="501"/>
      <c r="U1253" s="501"/>
      <c r="V1253" s="501"/>
      <c r="W1253" s="501"/>
      <c r="X1253" s="501"/>
      <c r="Y1253" s="501"/>
      <c r="Z1253" s="501"/>
      <c r="AA1253" s="503" t="e">
        <f>AA1251+AA1147+AA1043+AA939+AA835+AA731+AA627+AA523+AA419+AA315+AA211+AA107</f>
        <v>#DIV/0!</v>
      </c>
      <c r="AB1253" s="502"/>
      <c r="AC1253" s="503" t="e">
        <f>AC1251+AC1147+AC1043+AC939+AC835+AC731+AC627+AC523+AC419+AC315+AC211+AC107</f>
        <v>#DIV/0!</v>
      </c>
      <c r="AD1253" s="503" t="e">
        <f>AD1251+AD1147+AD1043+AD939+AD835+AD731+AD627+AD523+AD419+AD315+AD211+AD107</f>
        <v>#DIV/0!</v>
      </c>
      <c r="AE1253" s="504">
        <f>AE1251+AE1147+AE1043+AE939+AE835+AE731+AE627+AE523+AE419+AE315+AE211+AE107</f>
        <v>4697.3599999999997</v>
      </c>
      <c r="AF1253" s="504">
        <f>AF1251+AF1147+AF1043+AF939+AF835+AF731+AF627+AF523+AF419+AF315+AF211+AF107</f>
        <v>0</v>
      </c>
      <c r="AG1253" s="505">
        <f t="shared" ref="AG1253:AG1355" si="406">AI1253/AE1253</f>
        <v>0.96219152885876336</v>
      </c>
      <c r="AH1253" s="505">
        <f t="shared" ref="AH1253:AH1355" si="407">IF(ISERROR(AK1253/AF1253),0,AK1253/AF1253)</f>
        <v>0</v>
      </c>
      <c r="AI1253" s="504">
        <f>AI1251+AI1147+AI1043+AI939+AI835+AI731+AI627+AI523+AI419+AI315+AI211+AI107</f>
        <v>4519.76</v>
      </c>
      <c r="AJ1253" s="506"/>
      <c r="AK1253" s="504">
        <f>AK1251+AK1147+AK1043+AK939+AK835+AK731+AK627+AK523+AK419+AK315+AK211+AK107</f>
        <v>0</v>
      </c>
      <c r="AL1253" s="504"/>
      <c r="AM1253" s="506"/>
    </row>
    <row r="1254" spans="2:39" x14ac:dyDescent="0.2">
      <c r="B1254" s="101" t="str">
        <f>$B1150</f>
        <v>Maxdivers Mustermann</v>
      </c>
      <c r="C1254" s="47">
        <f t="shared" ref="C1254:C1317" si="408">C1150+C1046+C942+C838+C734+C630+C526+C422+C318+C214+C110+C6</f>
        <v>2088</v>
      </c>
      <c r="D1254" s="168">
        <f>$D1150</f>
        <v>8</v>
      </c>
      <c r="E1254" s="47">
        <f t="shared" ref="E1254:F1254" si="409">E1150+E1046+E942+E838+E734+E630+E526+E422+E318+E214+E110+E6</f>
        <v>799.99999999999989</v>
      </c>
      <c r="F1254" s="47">
        <f t="shared" si="409"/>
        <v>2888</v>
      </c>
      <c r="G1254" s="82">
        <f>IF(ISERROR(+H1254/F1254),0,+H1254/F1254)</f>
        <v>27.700831024930746</v>
      </c>
      <c r="H1254" s="82">
        <f t="shared" ref="H1254:H1317" si="410">H1150+H1046+H942+H838+H734+H630+H526+H422+H318+H214+H110+H6</f>
        <v>80000</v>
      </c>
      <c r="I1254" s="736">
        <f t="shared" ref="I1254:I1355" si="411">+(AA1254/H1254)-1</f>
        <v>30.000000000000007</v>
      </c>
      <c r="J1254" s="739"/>
      <c r="K1254" s="47">
        <f t="shared" ref="K1254:AA1254" si="412">K1150+K1046+K942+K838+K734+K630+K526+K422+K318+K214+K110+K6</f>
        <v>8</v>
      </c>
      <c r="L1254" s="47">
        <f>K1254-Personalplanung!AB6</f>
        <v>0</v>
      </c>
      <c r="M1254" s="739"/>
      <c r="N1254" s="47">
        <f t="shared" si="412"/>
        <v>0</v>
      </c>
      <c r="O1254" s="767">
        <f>N1254-Personalplanung!AC6</f>
        <v>0</v>
      </c>
      <c r="P1254" s="739"/>
      <c r="Q1254" s="47">
        <f t="shared" si="412"/>
        <v>2</v>
      </c>
      <c r="R1254" s="767">
        <f>Q1254-Personalplanung!AD6</f>
        <v>0</v>
      </c>
      <c r="S1254" s="739"/>
      <c r="T1254" s="47">
        <f t="shared" si="412"/>
        <v>15</v>
      </c>
      <c r="U1254" s="767">
        <f>T1254-Personalplanung!AE6</f>
        <v>0</v>
      </c>
      <c r="V1254" s="47">
        <f t="shared" si="412"/>
        <v>24.999999999999989</v>
      </c>
      <c r="W1254" s="47">
        <f t="shared" ref="W1254:Z1254" si="413">W1150+W1046+W942+W838+W734+W630+W526+W422+W318+W214+W110+W6</f>
        <v>0</v>
      </c>
      <c r="X1254" s="47">
        <f t="shared" si="413"/>
        <v>0</v>
      </c>
      <c r="Y1254" s="47">
        <f t="shared" si="413"/>
        <v>0</v>
      </c>
      <c r="Z1254" s="47">
        <f t="shared" si="413"/>
        <v>0</v>
      </c>
      <c r="AA1254" s="47">
        <f t="shared" si="412"/>
        <v>2480000.0000000005</v>
      </c>
      <c r="AB1254" s="79">
        <f>IF(ISERROR(AC1254/AA1254),0,AC1254/AA1254)</f>
        <v>0.10000000000000003</v>
      </c>
      <c r="AC1254" s="47">
        <f t="shared" ref="AC1254:AF1254" si="414">AC1150+AC1046+AC942+AC838+AC734+AC630+AC526+AC422+AC318+AC214+AC110+AC6</f>
        <v>248000.00000000012</v>
      </c>
      <c r="AD1254" s="47">
        <f t="shared" si="414"/>
        <v>2232000</v>
      </c>
      <c r="AE1254" s="87">
        <f t="shared" si="414"/>
        <v>268.80000000000007</v>
      </c>
      <c r="AF1254" s="47">
        <f t="shared" si="414"/>
        <v>0</v>
      </c>
      <c r="AG1254" s="86">
        <f>IF(ISERROR(AI1254/AE1254),0,AI1254/AE1254)</f>
        <v>1</v>
      </c>
      <c r="AH1254" s="7">
        <f t="shared" si="407"/>
        <v>0</v>
      </c>
      <c r="AI1254" s="6">
        <f t="shared" ref="AI1254:AI1317" si="415">AI1150+AI1046+AI942+AI838+AI734+AI630+AI526+AI422+AI318+AI214+AI110+AI6</f>
        <v>268.80000000000007</v>
      </c>
      <c r="AJ1254" s="6">
        <f t="shared" ref="AJ1254:AJ1355" si="416">IF(ISERROR(+AC1254/AI1254),0,+AC1254/AI1254)</f>
        <v>922.61904761904782</v>
      </c>
      <c r="AK1254" s="47">
        <f t="shared" ref="AK1254:AK1317" si="417">AK1150+AK1046+AK942+AK838+AK734+AK630+AK526+AK422+AK318+AK214+AK110+AK6</f>
        <v>0</v>
      </c>
      <c r="AL1254" s="748"/>
      <c r="AM1254" s="748"/>
    </row>
    <row r="1255" spans="2:39" x14ac:dyDescent="0.2">
      <c r="B1255" s="101" t="str">
        <f t="shared" ref="B1255:B1318" si="418">$B1151</f>
        <v>Egon Kaufmann</v>
      </c>
      <c r="C1255" s="47">
        <f t="shared" si="408"/>
        <v>2088</v>
      </c>
      <c r="D1255" s="168">
        <f t="shared" ref="D1255:D1318" si="419">$D1151</f>
        <v>8</v>
      </c>
      <c r="E1255" s="47">
        <f t="shared" ref="E1255:F1255" si="420">E1151+E1047+E943+E839+E735+E631+E527+E423+E319+E215+E111+E7</f>
        <v>320</v>
      </c>
      <c r="F1255" s="47">
        <f t="shared" si="420"/>
        <v>2408</v>
      </c>
      <c r="G1255" s="168">
        <f t="shared" ref="G1255:G1318" si="421">IF(ISERROR(+H1255/F1255),0,+H1255/F1255)</f>
        <v>27.23684977437474</v>
      </c>
      <c r="H1255" s="168">
        <f t="shared" si="410"/>
        <v>65586.334256694376</v>
      </c>
      <c r="I1255" s="736">
        <f t="shared" ref="I1255:I1318" si="422">+(AA1255/H1255)-1</f>
        <v>29.695058426017173</v>
      </c>
      <c r="J1255" s="739"/>
      <c r="K1255" s="47">
        <f t="shared" ref="K1255:K1286" si="423">K1151+K1047+K943+K839+K735+K631+K527+K423+K319+K215+K111+K7</f>
        <v>8</v>
      </c>
      <c r="L1255" s="47">
        <f>K1255-Personalplanung!AB7</f>
        <v>0</v>
      </c>
      <c r="M1255" s="739"/>
      <c r="N1255" s="47">
        <f t="shared" ref="N1255:N1286" si="424">N1151+N1047+N943+N839+N735+N631+N527+N423+N319+N215+N111+N7</f>
        <v>0</v>
      </c>
      <c r="O1255" s="767">
        <f>N1255-Personalplanung!AC7</f>
        <v>0</v>
      </c>
      <c r="P1255" s="739"/>
      <c r="Q1255" s="47">
        <f t="shared" ref="Q1255:Q1286" si="425">Q1151+Q1047+Q943+Q839+Q735+Q631+Q527+Q423+Q319+Q215+Q111+Q7</f>
        <v>2</v>
      </c>
      <c r="R1255" s="767">
        <f>Q1255-Personalplanung!AD7</f>
        <v>0</v>
      </c>
      <c r="S1255" s="739"/>
      <c r="T1255" s="47">
        <f t="shared" ref="T1255:T1286" si="426">T1151+T1047+T943+T839+T735+T631+T527+T423+T319+T215+T111+T7</f>
        <v>26.000000000000004</v>
      </c>
      <c r="U1255" s="767">
        <f>T1255-Personalplanung!AE7</f>
        <v>0</v>
      </c>
      <c r="V1255" s="47">
        <f t="shared" ref="V1255:AA1255" si="427">V1151+V1047+V943+V839+V735+V631+V527+V423+V319+V215+V111+V7</f>
        <v>36</v>
      </c>
      <c r="W1255" s="47">
        <f t="shared" si="427"/>
        <v>0</v>
      </c>
      <c r="X1255" s="47">
        <f t="shared" si="427"/>
        <v>0</v>
      </c>
      <c r="Y1255" s="47">
        <f t="shared" si="427"/>
        <v>0</v>
      </c>
      <c r="Z1255" s="47">
        <f t="shared" si="427"/>
        <v>0</v>
      </c>
      <c r="AA1255" s="47">
        <f t="shared" si="427"/>
        <v>2013176.3619575254</v>
      </c>
      <c r="AB1255" s="79">
        <f t="shared" ref="AB1255:AB1318" si="428">IF(ISERROR(AC1255/AA1255),0,AC1255/AA1255)</f>
        <v>8.5594903383525878E-2</v>
      </c>
      <c r="AC1255" s="47">
        <f t="shared" ref="AC1255:AF1255" si="429">AC1151+AC1047+AC943+AC839+AC735+AC631+AC527+AC423+AC319+AC215+AC111+AC7</f>
        <v>172317.63619575251</v>
      </c>
      <c r="AD1255" s="47">
        <f t="shared" si="429"/>
        <v>1840858.7257617733</v>
      </c>
      <c r="AE1255" s="87">
        <f t="shared" si="429"/>
        <v>176.66666666666666</v>
      </c>
      <c r="AF1255" s="47">
        <f t="shared" si="429"/>
        <v>0</v>
      </c>
      <c r="AG1255" s="86">
        <f t="shared" ref="AG1255:AG1318" si="430">IF(ISERROR(AI1255/AE1255),0,AI1255/AE1255)</f>
        <v>1</v>
      </c>
      <c r="AH1255" s="7">
        <f t="shared" ref="AH1255:AH1318" si="431">IF(ISERROR(AK1255/AF1255),0,AK1255/AF1255)</f>
        <v>0</v>
      </c>
      <c r="AI1255" s="6">
        <f t="shared" si="415"/>
        <v>176.66666666666666</v>
      </c>
      <c r="AJ1255" s="6">
        <f t="shared" ref="AJ1255:AJ1318" si="432">IF(ISERROR(+AC1255/AI1255),0,+AC1255/AI1255)</f>
        <v>975.382846391052</v>
      </c>
      <c r="AK1255" s="47">
        <f t="shared" si="417"/>
        <v>0</v>
      </c>
      <c r="AL1255" s="748"/>
      <c r="AM1255" s="748"/>
    </row>
    <row r="1256" spans="2:39" x14ac:dyDescent="0.2">
      <c r="B1256" s="101" t="str">
        <f t="shared" si="418"/>
        <v>Walter Meister</v>
      </c>
      <c r="C1256" s="47">
        <f t="shared" si="408"/>
        <v>2088</v>
      </c>
      <c r="D1256" s="168">
        <f t="shared" si="419"/>
        <v>8</v>
      </c>
      <c r="E1256" s="47">
        <f t="shared" ref="E1256:F1256" si="433">E1152+E1048+E944+E840+E736+E632+E528+E424+E320+E216+E112+E8</f>
        <v>320</v>
      </c>
      <c r="F1256" s="47">
        <f t="shared" si="433"/>
        <v>2408</v>
      </c>
      <c r="G1256" s="168">
        <f t="shared" si="421"/>
        <v>25.852575134286148</v>
      </c>
      <c r="H1256" s="168">
        <f t="shared" si="410"/>
        <v>62253.000923361047</v>
      </c>
      <c r="I1256" s="736">
        <f t="shared" si="422"/>
        <v>29.78582023138534</v>
      </c>
      <c r="J1256" s="739"/>
      <c r="K1256" s="47">
        <f t="shared" si="423"/>
        <v>8</v>
      </c>
      <c r="L1256" s="47">
        <f>K1256-Personalplanung!AB8</f>
        <v>0</v>
      </c>
      <c r="M1256" s="739"/>
      <c r="N1256" s="47">
        <f t="shared" si="424"/>
        <v>1</v>
      </c>
      <c r="O1256" s="767">
        <f>N1256-Personalplanung!AC8</f>
        <v>0</v>
      </c>
      <c r="P1256" s="739"/>
      <c r="Q1256" s="47">
        <f t="shared" si="425"/>
        <v>2</v>
      </c>
      <c r="R1256" s="767">
        <f>Q1256-Personalplanung!AD8</f>
        <v>0</v>
      </c>
      <c r="S1256" s="739"/>
      <c r="T1256" s="47">
        <f t="shared" si="426"/>
        <v>26.000000000000004</v>
      </c>
      <c r="U1256" s="767">
        <f>T1256-Personalplanung!AE8</f>
        <v>0</v>
      </c>
      <c r="V1256" s="47">
        <f t="shared" ref="V1256:AA1256" si="434">V1152+V1048+V944+V840+V736+V632+V528+V424+V320+V216+V112+V8</f>
        <v>36.999999999999993</v>
      </c>
      <c r="W1256" s="47">
        <f t="shared" si="434"/>
        <v>0</v>
      </c>
      <c r="X1256" s="47">
        <f t="shared" si="434"/>
        <v>0</v>
      </c>
      <c r="Y1256" s="47">
        <f t="shared" si="434"/>
        <v>0</v>
      </c>
      <c r="Z1256" s="47">
        <f t="shared" si="434"/>
        <v>0</v>
      </c>
      <c r="AA1256" s="47">
        <f t="shared" si="434"/>
        <v>1916509.6952908589</v>
      </c>
      <c r="AB1256" s="79">
        <f t="shared" si="428"/>
        <v>8.9912217307933182E-2</v>
      </c>
      <c r="AC1256" s="47">
        <f t="shared" ref="AC1256:AF1256" si="435">AC1152+AC1048+AC944+AC840+AC736+AC632+AC528+AC424+AC320+AC216+AC112+AC8</f>
        <v>172317.63619575251</v>
      </c>
      <c r="AD1256" s="47">
        <f t="shared" si="435"/>
        <v>1744192.0590951068</v>
      </c>
      <c r="AE1256" s="87">
        <f t="shared" si="435"/>
        <v>175.99999999999997</v>
      </c>
      <c r="AF1256" s="47">
        <f t="shared" si="435"/>
        <v>0</v>
      </c>
      <c r="AG1256" s="86">
        <f t="shared" si="430"/>
        <v>1</v>
      </c>
      <c r="AH1256" s="7">
        <f t="shared" si="431"/>
        <v>0</v>
      </c>
      <c r="AI1256" s="6">
        <f t="shared" si="415"/>
        <v>175.99999999999997</v>
      </c>
      <c r="AJ1256" s="6">
        <f t="shared" si="432"/>
        <v>979.07747838495754</v>
      </c>
      <c r="AK1256" s="47">
        <f t="shared" si="417"/>
        <v>0</v>
      </c>
      <c r="AL1256" s="748"/>
      <c r="AM1256" s="748"/>
    </row>
    <row r="1257" spans="2:39" x14ac:dyDescent="0.2">
      <c r="B1257" s="101" t="str">
        <f t="shared" si="418"/>
        <v>Tom in Technik</v>
      </c>
      <c r="C1257" s="47">
        <f t="shared" si="408"/>
        <v>2088</v>
      </c>
      <c r="D1257" s="168">
        <f t="shared" si="419"/>
        <v>8</v>
      </c>
      <c r="E1257" s="47">
        <f t="shared" ref="E1257:F1257" si="436">E1153+E1049+E945+E841+E737+E633+E529+E425+E321+E217+E113+E9</f>
        <v>0</v>
      </c>
      <c r="F1257" s="47">
        <f t="shared" si="436"/>
        <v>2088</v>
      </c>
      <c r="G1257" s="168">
        <f t="shared" si="421"/>
        <v>26.117231473521464</v>
      </c>
      <c r="H1257" s="168">
        <f t="shared" si="410"/>
        <v>54532.779316712818</v>
      </c>
      <c r="I1257" s="736">
        <f t="shared" si="422"/>
        <v>29.767723801622111</v>
      </c>
      <c r="J1257" s="739"/>
      <c r="K1257" s="47">
        <f t="shared" si="423"/>
        <v>8</v>
      </c>
      <c r="L1257" s="47">
        <f>K1257-Personalplanung!AB9</f>
        <v>0</v>
      </c>
      <c r="M1257" s="739"/>
      <c r="N1257" s="47">
        <f t="shared" si="424"/>
        <v>2</v>
      </c>
      <c r="O1257" s="767">
        <f>N1257-Personalplanung!AC9</f>
        <v>0</v>
      </c>
      <c r="P1257" s="739"/>
      <c r="Q1257" s="47">
        <f t="shared" si="425"/>
        <v>2</v>
      </c>
      <c r="R1257" s="767">
        <f>Q1257-Personalplanung!AD9</f>
        <v>0</v>
      </c>
      <c r="S1257" s="739"/>
      <c r="T1257" s="47">
        <f t="shared" si="426"/>
        <v>26.000000000000004</v>
      </c>
      <c r="U1257" s="767">
        <f>T1257-Personalplanung!AE9</f>
        <v>0</v>
      </c>
      <c r="V1257" s="47">
        <f t="shared" ref="V1257:AA1257" si="437">V1153+V1049+V945+V841+V737+V633+V529+V425+V321+V217+V113+V9</f>
        <v>38</v>
      </c>
      <c r="W1257" s="47">
        <f t="shared" si="437"/>
        <v>0</v>
      </c>
      <c r="X1257" s="47">
        <f t="shared" si="437"/>
        <v>0</v>
      </c>
      <c r="Y1257" s="47">
        <f t="shared" si="437"/>
        <v>0</v>
      </c>
      <c r="Z1257" s="47">
        <f t="shared" si="437"/>
        <v>0</v>
      </c>
      <c r="AA1257" s="47">
        <f t="shared" si="437"/>
        <v>1677849.492151431</v>
      </c>
      <c r="AB1257" s="79">
        <f t="shared" si="428"/>
        <v>0.11094655197178378</v>
      </c>
      <c r="AC1257" s="47">
        <f t="shared" ref="AC1257:AF1257" si="438">AC1153+AC1049+AC945+AC841+AC737+AC633+AC529+AC425+AC321+AC217+AC113+AC9</f>
        <v>186151.61588180976</v>
      </c>
      <c r="AD1257" s="47">
        <f t="shared" si="438"/>
        <v>1491697.8762696213</v>
      </c>
      <c r="AE1257" s="87">
        <f t="shared" si="438"/>
        <v>208.13333333333338</v>
      </c>
      <c r="AF1257" s="47">
        <f t="shared" si="438"/>
        <v>0</v>
      </c>
      <c r="AG1257" s="86">
        <f t="shared" si="430"/>
        <v>1</v>
      </c>
      <c r="AH1257" s="7">
        <f t="shared" si="431"/>
        <v>0</v>
      </c>
      <c r="AI1257" s="6">
        <f t="shared" si="415"/>
        <v>208.13333333333338</v>
      </c>
      <c r="AJ1257" s="6">
        <f t="shared" si="432"/>
        <v>894.38636714514598</v>
      </c>
      <c r="AK1257" s="47">
        <f t="shared" si="417"/>
        <v>0</v>
      </c>
      <c r="AL1257" s="748"/>
      <c r="AM1257" s="748"/>
    </row>
    <row r="1258" spans="2:39" x14ac:dyDescent="0.2">
      <c r="B1258" s="101" t="str">
        <f t="shared" si="418"/>
        <v>Lola Rennt</v>
      </c>
      <c r="C1258" s="47">
        <f t="shared" si="408"/>
        <v>2088</v>
      </c>
      <c r="D1258" s="168">
        <f t="shared" si="419"/>
        <v>8</v>
      </c>
      <c r="E1258" s="47">
        <f t="shared" ref="E1258:F1258" si="439">E1154+E1050+E946+E842+E738+E634+E530+E426+E322+E218+E114+E10</f>
        <v>0</v>
      </c>
      <c r="F1258" s="47">
        <f t="shared" si="439"/>
        <v>2088</v>
      </c>
      <c r="G1258" s="168">
        <f t="shared" si="421"/>
        <v>25.079555866880344</v>
      </c>
      <c r="H1258" s="168">
        <f t="shared" si="410"/>
        <v>52366.112650046161</v>
      </c>
      <c r="I1258" s="736">
        <f t="shared" si="422"/>
        <v>29.681728014106241</v>
      </c>
      <c r="J1258" s="739"/>
      <c r="K1258" s="47">
        <f t="shared" si="423"/>
        <v>8</v>
      </c>
      <c r="L1258" s="47">
        <f>K1258-Personalplanung!AB10</f>
        <v>0</v>
      </c>
      <c r="M1258" s="739"/>
      <c r="N1258" s="47">
        <f t="shared" si="424"/>
        <v>0</v>
      </c>
      <c r="O1258" s="767">
        <f>N1258-Personalplanung!AC10</f>
        <v>0</v>
      </c>
      <c r="P1258" s="739"/>
      <c r="Q1258" s="47">
        <f t="shared" si="425"/>
        <v>2</v>
      </c>
      <c r="R1258" s="767">
        <f>Q1258-Personalplanung!AD10</f>
        <v>0</v>
      </c>
      <c r="S1258" s="739"/>
      <c r="T1258" s="47">
        <f t="shared" si="426"/>
        <v>26.000000000000004</v>
      </c>
      <c r="U1258" s="767">
        <f>T1258-Personalplanung!AE10</f>
        <v>0</v>
      </c>
      <c r="V1258" s="47">
        <f t="shared" ref="V1258:AA1258" si="440">V1154+V1050+V946+V842+V738+V634+V530+V426+V322+V218+V114+V10</f>
        <v>36</v>
      </c>
      <c r="W1258" s="47">
        <f t="shared" si="440"/>
        <v>0</v>
      </c>
      <c r="X1258" s="47">
        <f t="shared" si="440"/>
        <v>0</v>
      </c>
      <c r="Y1258" s="47">
        <f t="shared" si="440"/>
        <v>0</v>
      </c>
      <c r="Z1258" s="47">
        <f t="shared" si="440"/>
        <v>0</v>
      </c>
      <c r="AA1258" s="47">
        <f t="shared" si="440"/>
        <v>1606682.8254847645</v>
      </c>
      <c r="AB1258" s="79">
        <f t="shared" si="428"/>
        <v>9.2997995732850586E-2</v>
      </c>
      <c r="AC1258" s="47">
        <f t="shared" ref="AC1258:AF1258" si="441">AC1154+AC1050+AC946+AC842+AC738+AC634+AC530+AC426+AC322+AC218+AC114+AC10</f>
        <v>149418.28254847645</v>
      </c>
      <c r="AD1258" s="47">
        <f t="shared" si="441"/>
        <v>1457264.5429362878</v>
      </c>
      <c r="AE1258" s="87">
        <f t="shared" si="441"/>
        <v>150</v>
      </c>
      <c r="AF1258" s="47">
        <f t="shared" si="441"/>
        <v>0</v>
      </c>
      <c r="AG1258" s="86">
        <f t="shared" si="430"/>
        <v>1</v>
      </c>
      <c r="AH1258" s="7">
        <f t="shared" si="431"/>
        <v>0</v>
      </c>
      <c r="AI1258" s="6">
        <f t="shared" si="415"/>
        <v>150</v>
      </c>
      <c r="AJ1258" s="6">
        <f t="shared" si="432"/>
        <v>996.12188365650968</v>
      </c>
      <c r="AK1258" s="47">
        <f t="shared" si="417"/>
        <v>0</v>
      </c>
      <c r="AL1258" s="748"/>
      <c r="AM1258" s="748"/>
    </row>
    <row r="1259" spans="2:39" x14ac:dyDescent="0.2">
      <c r="B1259" s="101" t="str">
        <f t="shared" si="418"/>
        <v>Bier Lager</v>
      </c>
      <c r="C1259" s="47">
        <f t="shared" si="408"/>
        <v>2088</v>
      </c>
      <c r="D1259" s="168">
        <f t="shared" si="419"/>
        <v>8</v>
      </c>
      <c r="E1259" s="47">
        <f t="shared" ref="E1259:F1259" si="442">E1155+E1051+E947+E843+E739+E635+E531+E427+E323+E219+E115+E11</f>
        <v>0</v>
      </c>
      <c r="F1259" s="47">
        <f t="shared" si="442"/>
        <v>2088</v>
      </c>
      <c r="G1259" s="168">
        <f t="shared" si="421"/>
        <v>24.999734666369488</v>
      </c>
      <c r="H1259" s="168">
        <f t="shared" si="410"/>
        <v>52199.44598337949</v>
      </c>
      <c r="I1259" s="736">
        <f t="shared" si="422"/>
        <v>29.693483336871161</v>
      </c>
      <c r="J1259" s="739"/>
      <c r="K1259" s="47">
        <f t="shared" si="423"/>
        <v>8</v>
      </c>
      <c r="L1259" s="47">
        <f>K1259-Personalplanung!AB11</f>
        <v>0</v>
      </c>
      <c r="M1259" s="739"/>
      <c r="N1259" s="47">
        <f t="shared" si="424"/>
        <v>0</v>
      </c>
      <c r="O1259" s="767">
        <f>N1259-Personalplanung!AC11</f>
        <v>0</v>
      </c>
      <c r="P1259" s="739"/>
      <c r="Q1259" s="47">
        <f t="shared" si="425"/>
        <v>2</v>
      </c>
      <c r="R1259" s="767">
        <f>Q1259-Personalplanung!AD11</f>
        <v>0</v>
      </c>
      <c r="S1259" s="739"/>
      <c r="T1259" s="47">
        <f t="shared" si="426"/>
        <v>26.000000000000004</v>
      </c>
      <c r="U1259" s="767">
        <f>T1259-Personalplanung!AE11</f>
        <v>0</v>
      </c>
      <c r="V1259" s="47">
        <f t="shared" ref="V1259:AA1259" si="443">V1155+V1051+V947+V843+V739+V635+V531+V427+V323+V219+V115+V11</f>
        <v>36</v>
      </c>
      <c r="W1259" s="47">
        <f t="shared" si="443"/>
        <v>0</v>
      </c>
      <c r="X1259" s="47">
        <f t="shared" si="443"/>
        <v>0</v>
      </c>
      <c r="Y1259" s="47">
        <f t="shared" si="443"/>
        <v>0</v>
      </c>
      <c r="Z1259" s="47">
        <f t="shared" si="443"/>
        <v>0</v>
      </c>
      <c r="AA1259" s="47">
        <f t="shared" si="443"/>
        <v>1602182.8254847645</v>
      </c>
      <c r="AB1259" s="79">
        <f t="shared" si="428"/>
        <v>9.3259196248884832E-2</v>
      </c>
      <c r="AC1259" s="47">
        <f t="shared" ref="AC1259:AF1259" si="444">AC1155+AC1051+AC947+AC843+AC739+AC635+AC531+AC427+AC323+AC219+AC115+AC11</f>
        <v>149418.28254847645</v>
      </c>
      <c r="AD1259" s="47">
        <f t="shared" si="444"/>
        <v>1452764.5429362878</v>
      </c>
      <c r="AE1259" s="87">
        <f t="shared" si="444"/>
        <v>150</v>
      </c>
      <c r="AF1259" s="47">
        <f t="shared" si="444"/>
        <v>0</v>
      </c>
      <c r="AG1259" s="86">
        <f t="shared" si="430"/>
        <v>1</v>
      </c>
      <c r="AH1259" s="7">
        <f t="shared" si="431"/>
        <v>0</v>
      </c>
      <c r="AI1259" s="6">
        <f t="shared" si="415"/>
        <v>150</v>
      </c>
      <c r="AJ1259" s="6">
        <f t="shared" si="432"/>
        <v>996.12188365650968</v>
      </c>
      <c r="AK1259" s="47">
        <f t="shared" si="417"/>
        <v>0</v>
      </c>
      <c r="AL1259" s="748"/>
      <c r="AM1259" s="748"/>
    </row>
    <row r="1260" spans="2:39" x14ac:dyDescent="0.2">
      <c r="B1260" s="101" t="str">
        <f t="shared" si="418"/>
        <v>Heinrich vor Arbeit</v>
      </c>
      <c r="C1260" s="47">
        <f t="shared" si="408"/>
        <v>2088</v>
      </c>
      <c r="D1260" s="168">
        <f t="shared" si="419"/>
        <v>8</v>
      </c>
      <c r="E1260" s="47">
        <f t="shared" ref="E1260:F1260" si="445">E1156+E1052+E948+E844+E740+E636+E532+E428+E324+E220+E116+E12</f>
        <v>0</v>
      </c>
      <c r="F1260" s="47">
        <f t="shared" si="445"/>
        <v>2088</v>
      </c>
      <c r="G1260" s="168">
        <f t="shared" si="421"/>
        <v>25.319019468412911</v>
      </c>
      <c r="H1260" s="168">
        <f t="shared" si="410"/>
        <v>52866.112650046161</v>
      </c>
      <c r="I1260" s="736">
        <f t="shared" si="422"/>
        <v>29.646906766339473</v>
      </c>
      <c r="J1260" s="739"/>
      <c r="K1260" s="47">
        <f t="shared" si="423"/>
        <v>8</v>
      </c>
      <c r="L1260" s="47">
        <f>K1260-Personalplanung!AB12</f>
        <v>0</v>
      </c>
      <c r="M1260" s="739"/>
      <c r="N1260" s="47">
        <f t="shared" si="424"/>
        <v>0</v>
      </c>
      <c r="O1260" s="767">
        <f>N1260-Personalplanung!AC12</f>
        <v>0</v>
      </c>
      <c r="P1260" s="739"/>
      <c r="Q1260" s="47">
        <f t="shared" si="425"/>
        <v>2</v>
      </c>
      <c r="R1260" s="767">
        <f>Q1260-Personalplanung!AD12</f>
        <v>0</v>
      </c>
      <c r="S1260" s="739"/>
      <c r="T1260" s="47">
        <f t="shared" si="426"/>
        <v>26.000000000000004</v>
      </c>
      <c r="U1260" s="767">
        <f>T1260-Personalplanung!AE12</f>
        <v>0</v>
      </c>
      <c r="V1260" s="47">
        <f t="shared" ref="V1260:AA1260" si="446">V1156+V1052+V948+V844+V740+V636+V532+V428+V324+V220+V116+V12</f>
        <v>36</v>
      </c>
      <c r="W1260" s="47">
        <f t="shared" si="446"/>
        <v>0</v>
      </c>
      <c r="X1260" s="47">
        <f t="shared" si="446"/>
        <v>0</v>
      </c>
      <c r="Y1260" s="47">
        <f t="shared" si="446"/>
        <v>0</v>
      </c>
      <c r="Z1260" s="47">
        <f t="shared" si="446"/>
        <v>0</v>
      </c>
      <c r="AA1260" s="47">
        <f t="shared" si="446"/>
        <v>1620182.8254847645</v>
      </c>
      <c r="AB1260" s="79">
        <f t="shared" si="428"/>
        <v>0.16999210102481507</v>
      </c>
      <c r="AC1260" s="47">
        <f t="shared" ref="AC1260:AF1260" si="447">AC1156+AC1052+AC948+AC844+AC740+AC636+AC532+AC428+AC324+AC220+AC116+AC12</f>
        <v>275418.28254847642</v>
      </c>
      <c r="AD1260" s="47">
        <f t="shared" si="447"/>
        <v>1344764.5429362878</v>
      </c>
      <c r="AE1260" s="87">
        <f t="shared" si="447"/>
        <v>450</v>
      </c>
      <c r="AF1260" s="47">
        <f t="shared" si="447"/>
        <v>0</v>
      </c>
      <c r="AG1260" s="86">
        <f t="shared" si="430"/>
        <v>1</v>
      </c>
      <c r="AH1260" s="7">
        <f t="shared" si="431"/>
        <v>0</v>
      </c>
      <c r="AI1260" s="6">
        <f t="shared" si="415"/>
        <v>450</v>
      </c>
      <c r="AJ1260" s="6">
        <f t="shared" si="432"/>
        <v>612.04062788550311</v>
      </c>
      <c r="AK1260" s="47">
        <f t="shared" si="417"/>
        <v>0</v>
      </c>
      <c r="AL1260" s="748"/>
      <c r="AM1260" s="748"/>
    </row>
    <row r="1261" spans="2:39" x14ac:dyDescent="0.2">
      <c r="B1261" s="101" t="str">
        <f t="shared" si="418"/>
        <v>Voller Geselle</v>
      </c>
      <c r="C1261" s="47">
        <f t="shared" si="408"/>
        <v>2088</v>
      </c>
      <c r="D1261" s="168">
        <f t="shared" si="419"/>
        <v>8</v>
      </c>
      <c r="E1261" s="47">
        <f t="shared" ref="E1261:F1261" si="448">E1157+E1053+E949+E845+E741+E637+E533+E429+E325+E221+E117+E13</f>
        <v>0</v>
      </c>
      <c r="F1261" s="47">
        <f t="shared" si="448"/>
        <v>2088</v>
      </c>
      <c r="G1261" s="168">
        <f t="shared" si="421"/>
        <v>25.638304270456331</v>
      </c>
      <c r="H1261" s="168">
        <f t="shared" si="410"/>
        <v>53532.779316712818</v>
      </c>
      <c r="I1261" s="736">
        <f t="shared" si="422"/>
        <v>29.601490271836632</v>
      </c>
      <c r="J1261" s="739"/>
      <c r="K1261" s="47">
        <f t="shared" si="423"/>
        <v>8</v>
      </c>
      <c r="L1261" s="47">
        <f>K1261-Personalplanung!AB13</f>
        <v>0</v>
      </c>
      <c r="M1261" s="739"/>
      <c r="N1261" s="47">
        <f t="shared" si="424"/>
        <v>3</v>
      </c>
      <c r="O1261" s="767">
        <f>N1261-Personalplanung!AC13</f>
        <v>0</v>
      </c>
      <c r="P1261" s="739"/>
      <c r="Q1261" s="47">
        <f t="shared" si="425"/>
        <v>2</v>
      </c>
      <c r="R1261" s="767">
        <f>Q1261-Personalplanung!AD13</f>
        <v>0</v>
      </c>
      <c r="S1261" s="739"/>
      <c r="T1261" s="47">
        <f t="shared" si="426"/>
        <v>26.000000000000004</v>
      </c>
      <c r="U1261" s="767">
        <f>T1261-Personalplanung!AE13</f>
        <v>0</v>
      </c>
      <c r="V1261" s="47">
        <f t="shared" ref="V1261:AA1261" si="449">V1157+V1053+V949+V845+V741+V637+V533+V429+V325+V221+V117+V13</f>
        <v>39</v>
      </c>
      <c r="W1261" s="47">
        <f t="shared" si="449"/>
        <v>0</v>
      </c>
      <c r="X1261" s="47">
        <f t="shared" si="449"/>
        <v>0</v>
      </c>
      <c r="Y1261" s="47">
        <f t="shared" si="449"/>
        <v>0</v>
      </c>
      <c r="Z1261" s="47">
        <f t="shared" si="449"/>
        <v>0</v>
      </c>
      <c r="AA1261" s="47">
        <f t="shared" si="449"/>
        <v>1638182.8254847645</v>
      </c>
      <c r="AB1261" s="79">
        <f t="shared" si="428"/>
        <v>0.17911204902398442</v>
      </c>
      <c r="AC1261" s="47">
        <f t="shared" ref="AC1261:AF1261" si="450">AC1157+AC1053+AC949+AC845+AC741+AC637+AC533+AC429+AC325+AC221+AC117+AC13</f>
        <v>293418.28254847648</v>
      </c>
      <c r="AD1261" s="47">
        <f t="shared" si="450"/>
        <v>1344764.5429362878</v>
      </c>
      <c r="AE1261" s="87">
        <f t="shared" si="450"/>
        <v>444</v>
      </c>
      <c r="AF1261" s="47">
        <f t="shared" si="450"/>
        <v>0</v>
      </c>
      <c r="AG1261" s="86">
        <f t="shared" si="430"/>
        <v>1</v>
      </c>
      <c r="AH1261" s="7">
        <f t="shared" si="431"/>
        <v>0</v>
      </c>
      <c r="AI1261" s="6">
        <f t="shared" si="415"/>
        <v>444</v>
      </c>
      <c r="AJ1261" s="6">
        <f t="shared" si="432"/>
        <v>660.85198772179388</v>
      </c>
      <c r="AK1261" s="47">
        <f t="shared" si="417"/>
        <v>0</v>
      </c>
      <c r="AL1261" s="748"/>
      <c r="AM1261" s="748"/>
    </row>
    <row r="1262" spans="2:39" x14ac:dyDescent="0.2">
      <c r="B1262" s="101" t="str">
        <f t="shared" si="418"/>
        <v>Thomas Fleißig</v>
      </c>
      <c r="C1262" s="47">
        <f t="shared" si="408"/>
        <v>2088</v>
      </c>
      <c r="D1262" s="168">
        <f t="shared" si="419"/>
        <v>8</v>
      </c>
      <c r="E1262" s="47">
        <f t="shared" ref="E1262:F1262" si="451">E1158+E1054+E950+E846+E742+E638+E534+E430+E326+E222+E118+E14</f>
        <v>0</v>
      </c>
      <c r="F1262" s="47">
        <f t="shared" si="451"/>
        <v>2088</v>
      </c>
      <c r="G1262" s="168">
        <f t="shared" si="421"/>
        <v>25.638304270456331</v>
      </c>
      <c r="H1262" s="168">
        <f t="shared" si="410"/>
        <v>53532.779316712818</v>
      </c>
      <c r="I1262" s="736">
        <f t="shared" si="422"/>
        <v>29.665002759762661</v>
      </c>
      <c r="J1262" s="739"/>
      <c r="K1262" s="47">
        <f t="shared" si="423"/>
        <v>8</v>
      </c>
      <c r="L1262" s="47">
        <f>K1262-Personalplanung!AB14</f>
        <v>0</v>
      </c>
      <c r="M1262" s="739"/>
      <c r="N1262" s="47">
        <f t="shared" si="424"/>
        <v>0</v>
      </c>
      <c r="O1262" s="767">
        <f>N1262-Personalplanung!AC14</f>
        <v>0</v>
      </c>
      <c r="P1262" s="739"/>
      <c r="Q1262" s="47">
        <f t="shared" si="425"/>
        <v>2</v>
      </c>
      <c r="R1262" s="767">
        <f>Q1262-Personalplanung!AD14</f>
        <v>0</v>
      </c>
      <c r="S1262" s="739"/>
      <c r="T1262" s="47">
        <f t="shared" si="426"/>
        <v>26.000000000000004</v>
      </c>
      <c r="U1262" s="767">
        <f>T1262-Personalplanung!AE14</f>
        <v>0</v>
      </c>
      <c r="V1262" s="47">
        <f t="shared" ref="V1262:AA1262" si="452">V1158+V1054+V950+V846+V742+V638+V534+V430+V326+V222+V118+V14</f>
        <v>36</v>
      </c>
      <c r="W1262" s="47">
        <f t="shared" si="452"/>
        <v>0</v>
      </c>
      <c r="X1262" s="47">
        <f t="shared" si="452"/>
        <v>2000.0000000000002</v>
      </c>
      <c r="Y1262" s="47">
        <f t="shared" si="452"/>
        <v>799.99999999999966</v>
      </c>
      <c r="Z1262" s="47">
        <f t="shared" si="452"/>
        <v>600</v>
      </c>
      <c r="AA1262" s="47">
        <f t="shared" si="452"/>
        <v>1641582.8254847641</v>
      </c>
      <c r="AB1262" s="79">
        <f t="shared" si="428"/>
        <v>0.1792588701466088</v>
      </c>
      <c r="AC1262" s="47">
        <f t="shared" ref="AC1262:AF1262" si="453">AC1158+AC1054+AC950+AC846+AC742+AC638+AC534+AC430+AC326+AC222+AC118+AC14</f>
        <v>294268.28254847648</v>
      </c>
      <c r="AD1262" s="47">
        <f t="shared" si="453"/>
        <v>1347314.5429362878</v>
      </c>
      <c r="AE1262" s="87">
        <f t="shared" si="453"/>
        <v>450</v>
      </c>
      <c r="AF1262" s="47">
        <f t="shared" si="453"/>
        <v>0</v>
      </c>
      <c r="AG1262" s="86">
        <f t="shared" si="430"/>
        <v>1</v>
      </c>
      <c r="AH1262" s="7">
        <f t="shared" si="431"/>
        <v>0</v>
      </c>
      <c r="AI1262" s="6">
        <f t="shared" si="415"/>
        <v>450</v>
      </c>
      <c r="AJ1262" s="6">
        <f t="shared" si="432"/>
        <v>653.92951677439214</v>
      </c>
      <c r="AK1262" s="47">
        <f t="shared" si="417"/>
        <v>0</v>
      </c>
      <c r="AL1262" s="748"/>
      <c r="AM1262" s="748"/>
    </row>
    <row r="1263" spans="2:39" x14ac:dyDescent="0.2">
      <c r="B1263" s="101" t="str">
        <f t="shared" si="418"/>
        <v>Facharbeiter</v>
      </c>
      <c r="C1263" s="47">
        <f t="shared" si="408"/>
        <v>2088</v>
      </c>
      <c r="D1263" s="168">
        <f t="shared" si="419"/>
        <v>8</v>
      </c>
      <c r="E1263" s="47">
        <f t="shared" ref="E1263:F1263" si="454">E1159+E1055+E951+E847+E743+E639+E535+E431+E327+E223+E119+E15</f>
        <v>0</v>
      </c>
      <c r="F1263" s="47">
        <f t="shared" si="454"/>
        <v>2088</v>
      </c>
      <c r="G1263" s="168">
        <f t="shared" si="421"/>
        <v>25.638304270456331</v>
      </c>
      <c r="H1263" s="168">
        <f t="shared" si="410"/>
        <v>53532.779316712818</v>
      </c>
      <c r="I1263" s="736">
        <f t="shared" si="422"/>
        <v>29.601490271836632</v>
      </c>
      <c r="J1263" s="739"/>
      <c r="K1263" s="47">
        <f t="shared" si="423"/>
        <v>8</v>
      </c>
      <c r="L1263" s="47">
        <f>K1263-Personalplanung!AB15</f>
        <v>0</v>
      </c>
      <c r="M1263" s="739"/>
      <c r="N1263" s="47">
        <f t="shared" si="424"/>
        <v>2</v>
      </c>
      <c r="O1263" s="767">
        <f>N1263-Personalplanung!AC15</f>
        <v>0</v>
      </c>
      <c r="P1263" s="739"/>
      <c r="Q1263" s="47">
        <f t="shared" si="425"/>
        <v>5</v>
      </c>
      <c r="R1263" s="767">
        <f>Q1263-Personalplanung!AD15</f>
        <v>0</v>
      </c>
      <c r="S1263" s="739"/>
      <c r="T1263" s="47">
        <f t="shared" si="426"/>
        <v>26.000000000000004</v>
      </c>
      <c r="U1263" s="767">
        <f>T1263-Personalplanung!AE15</f>
        <v>0</v>
      </c>
      <c r="V1263" s="47">
        <f t="shared" ref="V1263:AA1263" si="455">V1159+V1055+V951+V847+V743+V639+V535+V431+V327+V223+V119+V15</f>
        <v>41</v>
      </c>
      <c r="W1263" s="47">
        <f t="shared" si="455"/>
        <v>0</v>
      </c>
      <c r="X1263" s="47">
        <f t="shared" si="455"/>
        <v>0</v>
      </c>
      <c r="Y1263" s="47">
        <f t="shared" si="455"/>
        <v>0</v>
      </c>
      <c r="Z1263" s="47">
        <f t="shared" si="455"/>
        <v>0</v>
      </c>
      <c r="AA1263" s="47">
        <f t="shared" si="455"/>
        <v>1638182.8254847645</v>
      </c>
      <c r="AB1263" s="79">
        <f t="shared" si="428"/>
        <v>0.17911204902398442</v>
      </c>
      <c r="AC1263" s="47">
        <f t="shared" ref="AC1263:AF1263" si="456">AC1159+AC1055+AC951+AC847+AC743+AC639+AC535+AC431+AC327+AC223+AC119+AC15</f>
        <v>293418.28254847648</v>
      </c>
      <c r="AD1263" s="47">
        <f t="shared" si="456"/>
        <v>1344764.5429362878</v>
      </c>
      <c r="AE1263" s="87">
        <f t="shared" si="456"/>
        <v>440</v>
      </c>
      <c r="AF1263" s="47">
        <f t="shared" si="456"/>
        <v>0</v>
      </c>
      <c r="AG1263" s="86">
        <f t="shared" si="430"/>
        <v>1</v>
      </c>
      <c r="AH1263" s="7">
        <f t="shared" si="431"/>
        <v>0</v>
      </c>
      <c r="AI1263" s="6">
        <f t="shared" si="415"/>
        <v>440</v>
      </c>
      <c r="AJ1263" s="6">
        <f t="shared" si="432"/>
        <v>666.85973306471931</v>
      </c>
      <c r="AK1263" s="47">
        <f t="shared" si="417"/>
        <v>0</v>
      </c>
      <c r="AL1263" s="748"/>
      <c r="AM1263" s="748"/>
    </row>
    <row r="1264" spans="2:39" x14ac:dyDescent="0.2">
      <c r="B1264" s="101" t="str">
        <f t="shared" si="418"/>
        <v>Abgänger</v>
      </c>
      <c r="C1264" s="47">
        <f t="shared" si="408"/>
        <v>870</v>
      </c>
      <c r="D1264" s="168">
        <f t="shared" si="419"/>
        <v>8</v>
      </c>
      <c r="E1264" s="47">
        <f t="shared" ref="E1264:F1264" si="457">E1160+E1056+E952+E848+E744+E640+E536+E432+E328+E224+E120+E16</f>
        <v>0</v>
      </c>
      <c r="F1264" s="47">
        <f t="shared" si="457"/>
        <v>870</v>
      </c>
      <c r="G1264" s="168">
        <f t="shared" si="421"/>
        <v>31.333142293119369</v>
      </c>
      <c r="H1264" s="168">
        <f t="shared" si="410"/>
        <v>27259.833795013852</v>
      </c>
      <c r="I1264" s="736">
        <f t="shared" si="422"/>
        <v>28.121778717177463</v>
      </c>
      <c r="J1264" s="739"/>
      <c r="K1264" s="47">
        <f t="shared" si="423"/>
        <v>8</v>
      </c>
      <c r="L1264" s="47">
        <f>K1264-Personalplanung!AB16</f>
        <v>0</v>
      </c>
      <c r="M1264" s="739"/>
      <c r="N1264" s="47">
        <f t="shared" si="424"/>
        <v>0</v>
      </c>
      <c r="O1264" s="767">
        <f>N1264-Personalplanung!AC16</f>
        <v>0</v>
      </c>
      <c r="P1264" s="739"/>
      <c r="Q1264" s="47">
        <f t="shared" si="425"/>
        <v>4</v>
      </c>
      <c r="R1264" s="767">
        <f>Q1264-Personalplanung!AD16</f>
        <v>0</v>
      </c>
      <c r="S1264" s="739"/>
      <c r="T1264" s="47">
        <f t="shared" si="426"/>
        <v>26</v>
      </c>
      <c r="U1264" s="767">
        <f>T1264-Personalplanung!AE16</f>
        <v>0</v>
      </c>
      <c r="V1264" s="47">
        <f t="shared" ref="V1264:AA1264" si="458">V1160+V1056+V952+V848+V744+V640+V536+V432+V328+V224+V120+V16</f>
        <v>38</v>
      </c>
      <c r="W1264" s="47">
        <f t="shared" si="458"/>
        <v>0</v>
      </c>
      <c r="X1264" s="47">
        <f t="shared" si="458"/>
        <v>0</v>
      </c>
      <c r="Y1264" s="47">
        <f t="shared" si="458"/>
        <v>0</v>
      </c>
      <c r="Z1264" s="47">
        <f t="shared" si="458"/>
        <v>0</v>
      </c>
      <c r="AA1264" s="47">
        <f t="shared" si="458"/>
        <v>793854.84764542931</v>
      </c>
      <c r="AB1264" s="79">
        <f t="shared" si="428"/>
        <v>0.49180966258824715</v>
      </c>
      <c r="AC1264" s="47">
        <f t="shared" ref="AC1264:AF1264" si="459">AC1160+AC1056+AC952+AC848+AC744+AC640+AC536+AC432+AC328+AC224+AC120+AC16</f>
        <v>390425.48476454295</v>
      </c>
      <c r="AD1264" s="47">
        <f t="shared" si="459"/>
        <v>403429.36288088642</v>
      </c>
      <c r="AE1264" s="87">
        <f t="shared" si="459"/>
        <v>260.36</v>
      </c>
      <c r="AF1264" s="47">
        <f t="shared" si="459"/>
        <v>0</v>
      </c>
      <c r="AG1264" s="86">
        <f t="shared" si="430"/>
        <v>1</v>
      </c>
      <c r="AH1264" s="7">
        <f t="shared" si="431"/>
        <v>0</v>
      </c>
      <c r="AI1264" s="6">
        <f t="shared" si="415"/>
        <v>260.36</v>
      </c>
      <c r="AJ1264" s="6">
        <f t="shared" si="432"/>
        <v>1499.5601657879204</v>
      </c>
      <c r="AK1264" s="47">
        <f t="shared" si="417"/>
        <v>0</v>
      </c>
      <c r="AL1264" s="748"/>
      <c r="AM1264" s="748"/>
    </row>
    <row r="1265" spans="2:39" x14ac:dyDescent="0.2">
      <c r="B1265" s="101" t="str">
        <f t="shared" si="418"/>
        <v>Facharbeiter</v>
      </c>
      <c r="C1265" s="47">
        <f t="shared" si="408"/>
        <v>2088</v>
      </c>
      <c r="D1265" s="168">
        <f t="shared" si="419"/>
        <v>8</v>
      </c>
      <c r="E1265" s="47">
        <f t="shared" ref="E1265:F1265" si="460">E1161+E1057+E953+E849+E745+E641+E537+E433+E329+E225+E121+E17</f>
        <v>0</v>
      </c>
      <c r="F1265" s="47">
        <f t="shared" si="460"/>
        <v>2088</v>
      </c>
      <c r="G1265" s="168">
        <f t="shared" si="421"/>
        <v>25.718125470967188</v>
      </c>
      <c r="H1265" s="168">
        <f t="shared" si="410"/>
        <v>53699.44598337949</v>
      </c>
      <c r="I1265" s="736">
        <f t="shared" si="422"/>
        <v>29.590312346857193</v>
      </c>
      <c r="J1265" s="739"/>
      <c r="K1265" s="47">
        <f t="shared" si="423"/>
        <v>8</v>
      </c>
      <c r="L1265" s="47">
        <f>K1265-Personalplanung!AB17</f>
        <v>0</v>
      </c>
      <c r="M1265" s="739"/>
      <c r="N1265" s="47">
        <f t="shared" si="424"/>
        <v>0</v>
      </c>
      <c r="O1265" s="767">
        <f>N1265-Personalplanung!AC17</f>
        <v>0</v>
      </c>
      <c r="P1265" s="739"/>
      <c r="Q1265" s="47">
        <f t="shared" si="425"/>
        <v>2</v>
      </c>
      <c r="R1265" s="767">
        <f>Q1265-Personalplanung!AD17</f>
        <v>0</v>
      </c>
      <c r="S1265" s="739"/>
      <c r="T1265" s="47">
        <f t="shared" si="426"/>
        <v>26.000000000000004</v>
      </c>
      <c r="U1265" s="767">
        <f>T1265-Personalplanung!AE17</f>
        <v>0</v>
      </c>
      <c r="V1265" s="47">
        <f t="shared" ref="V1265:AA1265" si="461">V1161+V1057+V953+V849+V745+V641+V537+V433+V329+V225+V121+V17</f>
        <v>36</v>
      </c>
      <c r="W1265" s="47">
        <f t="shared" si="461"/>
        <v>0</v>
      </c>
      <c r="X1265" s="47">
        <f t="shared" si="461"/>
        <v>0</v>
      </c>
      <c r="Y1265" s="47">
        <f t="shared" si="461"/>
        <v>0</v>
      </c>
      <c r="Z1265" s="47">
        <f t="shared" si="461"/>
        <v>0</v>
      </c>
      <c r="AA1265" s="47">
        <f t="shared" si="461"/>
        <v>1642682.8254847645</v>
      </c>
      <c r="AB1265" s="79">
        <f t="shared" si="428"/>
        <v>0.18136080680125161</v>
      </c>
      <c r="AC1265" s="47">
        <f t="shared" ref="AC1265:AF1265" si="462">AC1161+AC1057+AC953+AC849+AC745+AC641+AC537+AC433+AC329+AC225+AC121+AC17</f>
        <v>297918.28254847648</v>
      </c>
      <c r="AD1265" s="47">
        <f t="shared" si="462"/>
        <v>1344764.5429362878</v>
      </c>
      <c r="AE1265" s="87">
        <f t="shared" si="462"/>
        <v>450</v>
      </c>
      <c r="AF1265" s="47">
        <f t="shared" si="462"/>
        <v>0</v>
      </c>
      <c r="AG1265" s="86">
        <f t="shared" si="430"/>
        <v>1</v>
      </c>
      <c r="AH1265" s="7">
        <f t="shared" si="431"/>
        <v>0</v>
      </c>
      <c r="AI1265" s="6">
        <f t="shared" si="415"/>
        <v>450</v>
      </c>
      <c r="AJ1265" s="6">
        <f t="shared" si="432"/>
        <v>662.04062788550323</v>
      </c>
      <c r="AK1265" s="47">
        <f t="shared" si="417"/>
        <v>0</v>
      </c>
      <c r="AL1265" s="748"/>
      <c r="AM1265" s="748"/>
    </row>
    <row r="1266" spans="2:39" x14ac:dyDescent="0.2">
      <c r="B1266" s="101" t="str">
        <f t="shared" si="418"/>
        <v>Facharbeiter</v>
      </c>
      <c r="C1266" s="47">
        <f t="shared" si="408"/>
        <v>2088</v>
      </c>
      <c r="D1266" s="168">
        <f t="shared" si="419"/>
        <v>8</v>
      </c>
      <c r="E1266" s="47">
        <f t="shared" ref="E1266:F1266" si="463">E1162+E1058+E954+E850+E746+E642+E538+E434+E330+E226+E122+E18</f>
        <v>0</v>
      </c>
      <c r="F1266" s="47">
        <f t="shared" si="463"/>
        <v>2088</v>
      </c>
      <c r="G1266" s="168">
        <f t="shared" si="421"/>
        <v>25.797946671478048</v>
      </c>
      <c r="H1266" s="168">
        <f t="shared" si="410"/>
        <v>53866.112650046161</v>
      </c>
      <c r="I1266" s="736">
        <f t="shared" si="422"/>
        <v>29.579203592917022</v>
      </c>
      <c r="J1266" s="739"/>
      <c r="K1266" s="47">
        <f t="shared" si="423"/>
        <v>8</v>
      </c>
      <c r="L1266" s="47">
        <f>K1266-Personalplanung!AB18</f>
        <v>0</v>
      </c>
      <c r="M1266" s="739"/>
      <c r="N1266" s="47">
        <f t="shared" si="424"/>
        <v>4</v>
      </c>
      <c r="O1266" s="767">
        <f>N1266-Personalplanung!AC18</f>
        <v>0</v>
      </c>
      <c r="P1266" s="739"/>
      <c r="Q1266" s="47">
        <f t="shared" si="425"/>
        <v>2</v>
      </c>
      <c r="R1266" s="767">
        <f>Q1266-Personalplanung!AD18</f>
        <v>0</v>
      </c>
      <c r="S1266" s="739"/>
      <c r="T1266" s="47">
        <f t="shared" si="426"/>
        <v>26.000000000000004</v>
      </c>
      <c r="U1266" s="767">
        <f>T1266-Personalplanung!AE18</f>
        <v>0</v>
      </c>
      <c r="V1266" s="47">
        <f t="shared" ref="V1266:AA1266" si="464">V1162+V1058+V954+V850+V746+V642+V538+V434+V330+V226+V122+V18</f>
        <v>40</v>
      </c>
      <c r="W1266" s="47">
        <f t="shared" si="464"/>
        <v>0</v>
      </c>
      <c r="X1266" s="47">
        <f t="shared" si="464"/>
        <v>0</v>
      </c>
      <c r="Y1266" s="47">
        <f t="shared" si="464"/>
        <v>0</v>
      </c>
      <c r="Z1266" s="47">
        <f t="shared" si="464"/>
        <v>0</v>
      </c>
      <c r="AA1266" s="47">
        <f t="shared" si="464"/>
        <v>1647182.8254847645</v>
      </c>
      <c r="AB1266" s="79">
        <f t="shared" si="428"/>
        <v>0.18359727764856645</v>
      </c>
      <c r="AC1266" s="47">
        <f t="shared" ref="AC1266:AF1266" si="465">AC1162+AC1058+AC954+AC850+AC746+AC642+AC538+AC434+AC330+AC226+AC122+AC18</f>
        <v>302418.28254847648</v>
      </c>
      <c r="AD1266" s="47">
        <f t="shared" si="465"/>
        <v>1344764.5429362878</v>
      </c>
      <c r="AE1266" s="87">
        <f t="shared" si="465"/>
        <v>442.00000000000011</v>
      </c>
      <c r="AF1266" s="47">
        <f t="shared" si="465"/>
        <v>0</v>
      </c>
      <c r="AG1266" s="86">
        <f t="shared" si="430"/>
        <v>1</v>
      </c>
      <c r="AH1266" s="7">
        <f t="shared" si="431"/>
        <v>0</v>
      </c>
      <c r="AI1266" s="6">
        <f t="shared" si="415"/>
        <v>442.00000000000011</v>
      </c>
      <c r="AJ1266" s="6">
        <f t="shared" si="432"/>
        <v>684.20425915944884</v>
      </c>
      <c r="AK1266" s="47">
        <f t="shared" si="417"/>
        <v>0</v>
      </c>
      <c r="AL1266" s="748"/>
      <c r="AM1266" s="748"/>
    </row>
    <row r="1267" spans="2:39" x14ac:dyDescent="0.2">
      <c r="B1267" s="101" t="str">
        <f t="shared" si="418"/>
        <v>Elternzeit Geselle</v>
      </c>
      <c r="C1267" s="47">
        <f t="shared" si="408"/>
        <v>1044</v>
      </c>
      <c r="D1267" s="168">
        <f t="shared" si="419"/>
        <v>6</v>
      </c>
      <c r="E1267" s="47">
        <f t="shared" ref="E1267:F1267" si="466">E1163+E1059+E955+E851+E747+E643+E539+E435+E331+E227+E123+E19</f>
        <v>0</v>
      </c>
      <c r="F1267" s="47">
        <f t="shared" si="466"/>
        <v>1044</v>
      </c>
      <c r="G1267" s="168">
        <f t="shared" si="421"/>
        <v>27.700831024930746</v>
      </c>
      <c r="H1267" s="168">
        <f t="shared" si="410"/>
        <v>28919.6675900277</v>
      </c>
      <c r="I1267" s="736">
        <f t="shared" si="422"/>
        <v>30</v>
      </c>
      <c r="J1267" s="739"/>
      <c r="K1267" s="47">
        <f t="shared" si="423"/>
        <v>8</v>
      </c>
      <c r="L1267" s="47">
        <f>K1267-Personalplanung!AB19</f>
        <v>0</v>
      </c>
      <c r="M1267" s="739"/>
      <c r="N1267" s="47">
        <f t="shared" si="424"/>
        <v>0</v>
      </c>
      <c r="O1267" s="767">
        <f>N1267-Personalplanung!AC19</f>
        <v>0</v>
      </c>
      <c r="P1267" s="739"/>
      <c r="Q1267" s="47">
        <f t="shared" si="425"/>
        <v>2</v>
      </c>
      <c r="R1267" s="767">
        <f>Q1267-Personalplanung!AD19</f>
        <v>0</v>
      </c>
      <c r="S1267" s="739"/>
      <c r="T1267" s="47">
        <f t="shared" si="426"/>
        <v>26</v>
      </c>
      <c r="U1267" s="767">
        <f>T1267-Personalplanung!AE19</f>
        <v>0</v>
      </c>
      <c r="V1267" s="47">
        <f t="shared" ref="V1267:AA1267" si="467">V1163+V1059+V955+V851+V747+V643+V539+V435+V331+V227+V123+V19</f>
        <v>36</v>
      </c>
      <c r="W1267" s="47">
        <f t="shared" si="467"/>
        <v>0</v>
      </c>
      <c r="X1267" s="47">
        <f t="shared" si="467"/>
        <v>0</v>
      </c>
      <c r="Y1267" s="47">
        <f t="shared" si="467"/>
        <v>0</v>
      </c>
      <c r="Z1267" s="47">
        <f t="shared" si="467"/>
        <v>0</v>
      </c>
      <c r="AA1267" s="47">
        <f t="shared" si="467"/>
        <v>896509.69529085874</v>
      </c>
      <c r="AB1267" s="79">
        <f t="shared" si="428"/>
        <v>0.10000000000000002</v>
      </c>
      <c r="AC1267" s="47">
        <f t="shared" ref="AC1267:AF1267" si="468">AC1163+AC1059+AC955+AC851+AC747+AC643+AC539+AC435+AC331+AC227+AC123+AC19</f>
        <v>89650.969529085894</v>
      </c>
      <c r="AD1267" s="47">
        <f t="shared" si="468"/>
        <v>806858.72576177295</v>
      </c>
      <c r="AE1267" s="87">
        <f t="shared" si="468"/>
        <v>82.800000000000011</v>
      </c>
      <c r="AF1267" s="47">
        <f t="shared" si="468"/>
        <v>0</v>
      </c>
      <c r="AG1267" s="86">
        <f t="shared" si="430"/>
        <v>1</v>
      </c>
      <c r="AH1267" s="7">
        <f t="shared" si="431"/>
        <v>0</v>
      </c>
      <c r="AI1267" s="6">
        <f t="shared" si="415"/>
        <v>82.800000000000011</v>
      </c>
      <c r="AJ1267" s="6">
        <f t="shared" si="432"/>
        <v>1082.7411778875107</v>
      </c>
      <c r="AK1267" s="47">
        <f t="shared" si="417"/>
        <v>0</v>
      </c>
      <c r="AL1267" s="748"/>
      <c r="AM1267" s="748"/>
    </row>
    <row r="1268" spans="2:39" x14ac:dyDescent="0.2">
      <c r="B1268" s="101" t="str">
        <f t="shared" si="418"/>
        <v>A. Zubi</v>
      </c>
      <c r="C1268" s="47">
        <f t="shared" si="408"/>
        <v>2088</v>
      </c>
      <c r="D1268" s="168">
        <f t="shared" si="419"/>
        <v>8</v>
      </c>
      <c r="E1268" s="47">
        <f t="shared" ref="E1268:F1268" si="469">E1164+E1060+E956+E852+E748+E644+E540+E436+E332+E228+E124+E20</f>
        <v>0</v>
      </c>
      <c r="F1268" s="47">
        <f t="shared" si="469"/>
        <v>2088</v>
      </c>
      <c r="G1268" s="168">
        <f t="shared" si="421"/>
        <v>24.041880260239218</v>
      </c>
      <c r="H1268" s="168">
        <f t="shared" si="410"/>
        <v>50199.44598337949</v>
      </c>
      <c r="I1268" s="736">
        <f t="shared" si="422"/>
        <v>29.601589228561977</v>
      </c>
      <c r="J1268" s="739"/>
      <c r="K1268" s="47">
        <f t="shared" si="423"/>
        <v>8</v>
      </c>
      <c r="L1268" s="47">
        <f>K1268-Personalplanung!AB20</f>
        <v>0</v>
      </c>
      <c r="M1268" s="739"/>
      <c r="N1268" s="47">
        <f t="shared" si="424"/>
        <v>3</v>
      </c>
      <c r="O1268" s="767">
        <f>N1268-Personalplanung!AC20</f>
        <v>0</v>
      </c>
      <c r="P1268" s="739"/>
      <c r="Q1268" s="47">
        <f t="shared" si="425"/>
        <v>2</v>
      </c>
      <c r="R1268" s="767">
        <f>Q1268-Personalplanung!AD20</f>
        <v>0</v>
      </c>
      <c r="S1268" s="739"/>
      <c r="T1268" s="47">
        <f t="shared" si="426"/>
        <v>26.000000000000004</v>
      </c>
      <c r="U1268" s="767">
        <f>T1268-Personalplanung!AE20</f>
        <v>0</v>
      </c>
      <c r="V1268" s="47">
        <f t="shared" ref="V1268:AA1268" si="470">V1164+V1060+V956+V852+V748+V644+V540+V436+V332+V228+V124+V20</f>
        <v>39</v>
      </c>
      <c r="W1268" s="47">
        <f t="shared" si="470"/>
        <v>0</v>
      </c>
      <c r="X1268" s="47">
        <f t="shared" si="470"/>
        <v>0</v>
      </c>
      <c r="Y1268" s="47">
        <f t="shared" si="470"/>
        <v>0</v>
      </c>
      <c r="Z1268" s="47">
        <f t="shared" si="470"/>
        <v>0</v>
      </c>
      <c r="AA1268" s="47">
        <f t="shared" si="470"/>
        <v>1536182.8254847645</v>
      </c>
      <c r="AB1268" s="79">
        <f t="shared" si="428"/>
        <v>0.12460644616832743</v>
      </c>
      <c r="AC1268" s="47">
        <f t="shared" ref="AC1268:AF1268" si="471">AC1164+AC1060+AC956+AC852+AC748+AC644+AC540+AC436+AC332+AC228+AC124+AC20</f>
        <v>191418.28254847645</v>
      </c>
      <c r="AD1268" s="47">
        <f t="shared" si="471"/>
        <v>1344764.5429362878</v>
      </c>
      <c r="AE1268" s="87">
        <f t="shared" si="471"/>
        <v>444</v>
      </c>
      <c r="AF1268" s="47">
        <f t="shared" si="471"/>
        <v>0</v>
      </c>
      <c r="AG1268" s="86">
        <f t="shared" si="430"/>
        <v>0.6</v>
      </c>
      <c r="AH1268" s="7">
        <f t="shared" si="431"/>
        <v>0</v>
      </c>
      <c r="AI1268" s="6">
        <f t="shared" si="415"/>
        <v>266.39999999999998</v>
      </c>
      <c r="AJ1268" s="6">
        <f t="shared" si="432"/>
        <v>718.53709665344013</v>
      </c>
      <c r="AK1268" s="47">
        <f t="shared" si="417"/>
        <v>0</v>
      </c>
      <c r="AL1268" s="748"/>
      <c r="AM1268" s="748"/>
    </row>
    <row r="1269" spans="2:39" x14ac:dyDescent="0.2">
      <c r="B1269" s="101" t="str">
        <f t="shared" si="418"/>
        <v>Zur Ausbildung</v>
      </c>
      <c r="C1269" s="47">
        <f t="shared" si="408"/>
        <v>870</v>
      </c>
      <c r="D1269" s="168">
        <f t="shared" si="419"/>
        <v>8</v>
      </c>
      <c r="E1269" s="47">
        <f t="shared" ref="E1269:F1269" si="472">E1165+E1061+E957+E853+E749+E645+E541+E437+E333+E229+E125+E21</f>
        <v>0</v>
      </c>
      <c r="F1269" s="47">
        <f t="shared" si="472"/>
        <v>870</v>
      </c>
      <c r="G1269" s="168">
        <f t="shared" si="421"/>
        <v>27.700831024930746</v>
      </c>
      <c r="H1269" s="168">
        <f t="shared" si="410"/>
        <v>24099.722991689749</v>
      </c>
      <c r="I1269" s="736">
        <f t="shared" si="422"/>
        <v>30.002489655172415</v>
      </c>
      <c r="J1269" s="739"/>
      <c r="K1269" s="47">
        <f t="shared" si="423"/>
        <v>8</v>
      </c>
      <c r="L1269" s="47">
        <f>K1269-Personalplanung!AB21</f>
        <v>0</v>
      </c>
      <c r="M1269" s="739"/>
      <c r="N1269" s="47">
        <f t="shared" si="424"/>
        <v>0</v>
      </c>
      <c r="O1269" s="767">
        <f>N1269-Personalplanung!AC21</f>
        <v>0</v>
      </c>
      <c r="P1269" s="739"/>
      <c r="Q1269" s="47">
        <f t="shared" si="425"/>
        <v>2</v>
      </c>
      <c r="R1269" s="767">
        <f>Q1269-Personalplanung!AD21</f>
        <v>0</v>
      </c>
      <c r="S1269" s="739"/>
      <c r="T1269" s="47">
        <f t="shared" si="426"/>
        <v>26</v>
      </c>
      <c r="U1269" s="767">
        <f>T1269-Personalplanung!AE21</f>
        <v>0</v>
      </c>
      <c r="V1269" s="47">
        <f t="shared" ref="V1269:AA1269" si="473">V1165+V1061+V957+V853+V749+V645+V541+V437+V333+V229+V125+V21</f>
        <v>36</v>
      </c>
      <c r="W1269" s="47">
        <f t="shared" si="473"/>
        <v>60</v>
      </c>
      <c r="X1269" s="47">
        <f t="shared" si="473"/>
        <v>0</v>
      </c>
      <c r="Y1269" s="47">
        <f t="shared" si="473"/>
        <v>0</v>
      </c>
      <c r="Z1269" s="47">
        <f t="shared" si="473"/>
        <v>0</v>
      </c>
      <c r="AA1269" s="47">
        <f t="shared" si="473"/>
        <v>747151.41274238226</v>
      </c>
      <c r="AB1269" s="79">
        <f t="shared" si="428"/>
        <v>0.10000000000000002</v>
      </c>
      <c r="AC1269" s="47">
        <f t="shared" ref="AC1269:AF1269" si="474">AC1165+AC1061+AC957+AC853+AC749+AC645+AC541+AC437+AC333+AC229+AC125+AC21</f>
        <v>74715.141274238238</v>
      </c>
      <c r="AD1269" s="47">
        <f t="shared" si="474"/>
        <v>672436.27146814391</v>
      </c>
      <c r="AE1269" s="87">
        <f t="shared" si="474"/>
        <v>58.2</v>
      </c>
      <c r="AF1269" s="47">
        <f t="shared" si="474"/>
        <v>0</v>
      </c>
      <c r="AG1269" s="86">
        <f t="shared" si="430"/>
        <v>1</v>
      </c>
      <c r="AH1269" s="7">
        <f t="shared" si="431"/>
        <v>0</v>
      </c>
      <c r="AI1269" s="6">
        <f t="shared" si="415"/>
        <v>58.2</v>
      </c>
      <c r="AJ1269" s="6">
        <f t="shared" si="432"/>
        <v>1283.7653139903477</v>
      </c>
      <c r="AK1269" s="47">
        <f t="shared" si="417"/>
        <v>0</v>
      </c>
      <c r="AL1269" s="748"/>
      <c r="AM1269" s="748"/>
    </row>
    <row r="1270" spans="2:39" x14ac:dyDescent="0.2">
      <c r="B1270" s="101" t="str">
        <f t="shared" si="418"/>
        <v>Reine Putze</v>
      </c>
      <c r="C1270" s="47">
        <f t="shared" si="408"/>
        <v>626.40000000000009</v>
      </c>
      <c r="D1270" s="168">
        <f t="shared" si="419"/>
        <v>2.4</v>
      </c>
      <c r="E1270" s="47">
        <f t="shared" ref="E1270:F1270" si="475">E1166+E1062+E958+E854+E750+E646+E542+E438+E334+E230+E126+E22</f>
        <v>0</v>
      </c>
      <c r="F1270" s="47">
        <f t="shared" si="475"/>
        <v>626.40000000000009</v>
      </c>
      <c r="G1270" s="168">
        <f t="shared" si="421"/>
        <v>24.749628238102144</v>
      </c>
      <c r="H1270" s="168">
        <f t="shared" si="410"/>
        <v>15503.167128347184</v>
      </c>
      <c r="I1270" s="736">
        <f t="shared" si="422"/>
        <v>29.19242307740414</v>
      </c>
      <c r="J1270" s="739"/>
      <c r="K1270" s="47">
        <f t="shared" si="423"/>
        <v>3</v>
      </c>
      <c r="L1270" s="47">
        <f>K1270-Personalplanung!AB22</f>
        <v>0</v>
      </c>
      <c r="M1270" s="739"/>
      <c r="N1270" s="47">
        <f t="shared" si="424"/>
        <v>0</v>
      </c>
      <c r="O1270" s="767">
        <f>N1270-Personalplanung!AC22</f>
        <v>0</v>
      </c>
      <c r="P1270" s="739"/>
      <c r="Q1270" s="47">
        <f t="shared" si="425"/>
        <v>0</v>
      </c>
      <c r="R1270" s="767">
        <f>Q1270-Personalplanung!AD22</f>
        <v>0</v>
      </c>
      <c r="S1270" s="739"/>
      <c r="T1270" s="47">
        <f t="shared" si="426"/>
        <v>26.000000000000004</v>
      </c>
      <c r="U1270" s="767">
        <f>T1270-Personalplanung!AE22</f>
        <v>0</v>
      </c>
      <c r="V1270" s="47">
        <f t="shared" ref="V1270:AA1270" si="476">V1166+V1062+V958+V854+V750+V646+V542+V438+V334+V230+V126+V22</f>
        <v>29.000000000000004</v>
      </c>
      <c r="W1270" s="47">
        <f t="shared" si="476"/>
        <v>0</v>
      </c>
      <c r="X1270" s="47">
        <f t="shared" si="476"/>
        <v>0</v>
      </c>
      <c r="Y1270" s="47">
        <f t="shared" si="476"/>
        <v>0</v>
      </c>
      <c r="Z1270" s="47">
        <f t="shared" si="476"/>
        <v>0</v>
      </c>
      <c r="AA1270" s="47">
        <f t="shared" si="476"/>
        <v>468078.1809787628</v>
      </c>
      <c r="AB1270" s="79">
        <f t="shared" si="428"/>
        <v>9.5764952493217606E-2</v>
      </c>
      <c r="AC1270" s="47">
        <f t="shared" ref="AC1270:AF1270" si="477">AC1166+AC1062+AC958+AC854+AC750+AC646+AC542+AC438+AC334+AC230+AC126+AC22</f>
        <v>44825.484764542933</v>
      </c>
      <c r="AD1270" s="47">
        <f t="shared" si="477"/>
        <v>423252.69621421973</v>
      </c>
      <c r="AE1270" s="87">
        <f t="shared" si="477"/>
        <v>46.4</v>
      </c>
      <c r="AF1270" s="47">
        <f t="shared" si="477"/>
        <v>0</v>
      </c>
      <c r="AG1270" s="86">
        <f t="shared" si="430"/>
        <v>1</v>
      </c>
      <c r="AH1270" s="7">
        <f t="shared" si="431"/>
        <v>0</v>
      </c>
      <c r="AI1270" s="6">
        <f t="shared" si="415"/>
        <v>46.4</v>
      </c>
      <c r="AJ1270" s="6">
        <f t="shared" si="432"/>
        <v>966.06648199445976</v>
      </c>
      <c r="AK1270" s="47">
        <f t="shared" si="417"/>
        <v>0</v>
      </c>
      <c r="AL1270" s="748"/>
      <c r="AM1270" s="748"/>
    </row>
    <row r="1271" spans="2:39" x14ac:dyDescent="0.2">
      <c r="B1271" s="101" t="str">
        <f t="shared" si="418"/>
        <v/>
      </c>
      <c r="C1271" s="47">
        <f t="shared" si="408"/>
        <v>0</v>
      </c>
      <c r="D1271" s="168">
        <f t="shared" si="419"/>
        <v>0</v>
      </c>
      <c r="E1271" s="47">
        <f t="shared" ref="E1271:F1271" si="478">E1167+E1063+E959+E855+E751+E647+E543+E439+E335+E231+E127+E23</f>
        <v>0</v>
      </c>
      <c r="F1271" s="47">
        <f t="shared" si="478"/>
        <v>0</v>
      </c>
      <c r="G1271" s="168">
        <f t="shared" si="421"/>
        <v>0</v>
      </c>
      <c r="H1271" s="168" t="e">
        <f t="shared" si="410"/>
        <v>#DIV/0!</v>
      </c>
      <c r="I1271" s="736" t="e">
        <f t="shared" si="422"/>
        <v>#DIV/0!</v>
      </c>
      <c r="J1271" s="739"/>
      <c r="K1271" s="47">
        <f t="shared" si="423"/>
        <v>0</v>
      </c>
      <c r="L1271" s="47">
        <f>K1271-Personalplanung!AB23</f>
        <v>0</v>
      </c>
      <c r="M1271" s="739"/>
      <c r="N1271" s="47">
        <f t="shared" si="424"/>
        <v>0</v>
      </c>
      <c r="O1271" s="767">
        <f>N1271-Personalplanung!AC23</f>
        <v>0</v>
      </c>
      <c r="P1271" s="739"/>
      <c r="Q1271" s="47">
        <f t="shared" si="425"/>
        <v>0</v>
      </c>
      <c r="R1271" s="767">
        <f>Q1271-Personalplanung!AD23</f>
        <v>0</v>
      </c>
      <c r="S1271" s="739"/>
      <c r="T1271" s="47">
        <f t="shared" si="426"/>
        <v>0</v>
      </c>
      <c r="U1271" s="767">
        <f>T1271-Personalplanung!AE23</f>
        <v>0</v>
      </c>
      <c r="V1271" s="47">
        <f t="shared" ref="V1271:AA1271" si="479">V1167+V1063+V959+V855+V751+V647+V543+V439+V335+V231+V127+V23</f>
        <v>0</v>
      </c>
      <c r="W1271" s="47">
        <f t="shared" si="479"/>
        <v>0</v>
      </c>
      <c r="X1271" s="47">
        <f t="shared" si="479"/>
        <v>0</v>
      </c>
      <c r="Y1271" s="47">
        <f t="shared" si="479"/>
        <v>0</v>
      </c>
      <c r="Z1271" s="47">
        <f t="shared" si="479"/>
        <v>0</v>
      </c>
      <c r="AA1271" s="47" t="e">
        <f t="shared" si="479"/>
        <v>#DIV/0!</v>
      </c>
      <c r="AB1271" s="79">
        <f t="shared" si="428"/>
        <v>0</v>
      </c>
      <c r="AC1271" s="47" t="e">
        <f t="shared" ref="AC1271:AF1271" si="480">AC1167+AC1063+AC959+AC855+AC751+AC647+AC543+AC439+AC335+AC231+AC127+AC23</f>
        <v>#DIV/0!</v>
      </c>
      <c r="AD1271" s="47" t="e">
        <f t="shared" si="480"/>
        <v>#DIV/0!</v>
      </c>
      <c r="AE1271" s="87">
        <f t="shared" si="480"/>
        <v>0</v>
      </c>
      <c r="AF1271" s="47">
        <f t="shared" si="480"/>
        <v>0</v>
      </c>
      <c r="AG1271" s="86">
        <f t="shared" si="430"/>
        <v>0</v>
      </c>
      <c r="AH1271" s="7">
        <f t="shared" si="431"/>
        <v>0</v>
      </c>
      <c r="AI1271" s="6">
        <f t="shared" si="415"/>
        <v>0</v>
      </c>
      <c r="AJ1271" s="6">
        <f t="shared" si="432"/>
        <v>0</v>
      </c>
      <c r="AK1271" s="47">
        <f t="shared" si="417"/>
        <v>0</v>
      </c>
      <c r="AL1271" s="748"/>
      <c r="AM1271" s="748"/>
    </row>
    <row r="1272" spans="2:39" x14ac:dyDescent="0.2">
      <c r="B1272" s="101" t="str">
        <f t="shared" si="418"/>
        <v/>
      </c>
      <c r="C1272" s="47">
        <f t="shared" si="408"/>
        <v>0</v>
      </c>
      <c r="D1272" s="168">
        <f t="shared" si="419"/>
        <v>0</v>
      </c>
      <c r="E1272" s="47">
        <f t="shared" ref="E1272:F1272" si="481">E1168+E1064+E960+E856+E752+E648+E544+E440+E336+E232+E128+E24</f>
        <v>0</v>
      </c>
      <c r="F1272" s="47">
        <f t="shared" si="481"/>
        <v>0</v>
      </c>
      <c r="G1272" s="168">
        <f t="shared" si="421"/>
        <v>0</v>
      </c>
      <c r="H1272" s="168" t="e">
        <f t="shared" si="410"/>
        <v>#DIV/0!</v>
      </c>
      <c r="I1272" s="736" t="e">
        <f t="shared" si="422"/>
        <v>#DIV/0!</v>
      </c>
      <c r="J1272" s="739"/>
      <c r="K1272" s="47">
        <f t="shared" si="423"/>
        <v>0</v>
      </c>
      <c r="L1272" s="47">
        <f>K1272-Personalplanung!AB24</f>
        <v>0</v>
      </c>
      <c r="M1272" s="739"/>
      <c r="N1272" s="47">
        <f t="shared" si="424"/>
        <v>0</v>
      </c>
      <c r="O1272" s="767">
        <f>N1272-Personalplanung!AC24</f>
        <v>0</v>
      </c>
      <c r="P1272" s="739"/>
      <c r="Q1272" s="47">
        <f t="shared" si="425"/>
        <v>0</v>
      </c>
      <c r="R1272" s="767">
        <f>Q1272-Personalplanung!AD24</f>
        <v>0</v>
      </c>
      <c r="S1272" s="739"/>
      <c r="T1272" s="47">
        <f t="shared" si="426"/>
        <v>0</v>
      </c>
      <c r="U1272" s="767">
        <f>T1272-Personalplanung!AE24</f>
        <v>0</v>
      </c>
      <c r="V1272" s="47">
        <f t="shared" ref="V1272:AA1272" si="482">V1168+V1064+V960+V856+V752+V648+V544+V440+V336+V232+V128+V24</f>
        <v>0</v>
      </c>
      <c r="W1272" s="47">
        <f t="shared" si="482"/>
        <v>0</v>
      </c>
      <c r="X1272" s="47">
        <f t="shared" si="482"/>
        <v>0</v>
      </c>
      <c r="Y1272" s="47">
        <f t="shared" si="482"/>
        <v>0</v>
      </c>
      <c r="Z1272" s="47">
        <f t="shared" si="482"/>
        <v>0</v>
      </c>
      <c r="AA1272" s="47" t="e">
        <f t="shared" si="482"/>
        <v>#DIV/0!</v>
      </c>
      <c r="AB1272" s="79">
        <f t="shared" si="428"/>
        <v>0</v>
      </c>
      <c r="AC1272" s="47" t="e">
        <f t="shared" ref="AC1272:AF1272" si="483">AC1168+AC1064+AC960+AC856+AC752+AC648+AC544+AC440+AC336+AC232+AC128+AC24</f>
        <v>#DIV/0!</v>
      </c>
      <c r="AD1272" s="47" t="e">
        <f t="shared" si="483"/>
        <v>#DIV/0!</v>
      </c>
      <c r="AE1272" s="87">
        <f t="shared" si="483"/>
        <v>0</v>
      </c>
      <c r="AF1272" s="47">
        <f t="shared" si="483"/>
        <v>0</v>
      </c>
      <c r="AG1272" s="86">
        <f t="shared" si="430"/>
        <v>0</v>
      </c>
      <c r="AH1272" s="7">
        <f t="shared" si="431"/>
        <v>0</v>
      </c>
      <c r="AI1272" s="6">
        <f t="shared" si="415"/>
        <v>0</v>
      </c>
      <c r="AJ1272" s="6">
        <f t="shared" si="432"/>
        <v>0</v>
      </c>
      <c r="AK1272" s="47">
        <f t="shared" si="417"/>
        <v>0</v>
      </c>
      <c r="AL1272" s="748"/>
      <c r="AM1272" s="748"/>
    </row>
    <row r="1273" spans="2:39" x14ac:dyDescent="0.2">
      <c r="B1273" s="101" t="str">
        <f t="shared" si="418"/>
        <v/>
      </c>
      <c r="C1273" s="47">
        <f t="shared" si="408"/>
        <v>0</v>
      </c>
      <c r="D1273" s="168">
        <f t="shared" si="419"/>
        <v>0</v>
      </c>
      <c r="E1273" s="47">
        <f t="shared" ref="E1273:F1273" si="484">E1169+E1065+E961+E857+E753+E649+E545+E441+E337+E233+E129+E25</f>
        <v>0</v>
      </c>
      <c r="F1273" s="47">
        <f t="shared" si="484"/>
        <v>0</v>
      </c>
      <c r="G1273" s="168">
        <f t="shared" si="421"/>
        <v>0</v>
      </c>
      <c r="H1273" s="168" t="e">
        <f t="shared" si="410"/>
        <v>#DIV/0!</v>
      </c>
      <c r="I1273" s="736" t="e">
        <f t="shared" si="422"/>
        <v>#DIV/0!</v>
      </c>
      <c r="J1273" s="739"/>
      <c r="K1273" s="47">
        <f t="shared" si="423"/>
        <v>0</v>
      </c>
      <c r="L1273" s="47">
        <f>K1273-Personalplanung!AB25</f>
        <v>0</v>
      </c>
      <c r="M1273" s="739"/>
      <c r="N1273" s="47">
        <f t="shared" si="424"/>
        <v>0</v>
      </c>
      <c r="O1273" s="767">
        <f>N1273-Personalplanung!AC25</f>
        <v>0</v>
      </c>
      <c r="P1273" s="739"/>
      <c r="Q1273" s="47">
        <f t="shared" si="425"/>
        <v>0</v>
      </c>
      <c r="R1273" s="767">
        <f>Q1273-Personalplanung!AD25</f>
        <v>0</v>
      </c>
      <c r="S1273" s="739"/>
      <c r="T1273" s="47">
        <f t="shared" si="426"/>
        <v>0</v>
      </c>
      <c r="U1273" s="767">
        <f>T1273-Personalplanung!AE25</f>
        <v>0</v>
      </c>
      <c r="V1273" s="47">
        <f t="shared" ref="V1273:AA1273" si="485">V1169+V1065+V961+V857+V753+V649+V545+V441+V337+V233+V129+V25</f>
        <v>0</v>
      </c>
      <c r="W1273" s="47">
        <f t="shared" si="485"/>
        <v>0</v>
      </c>
      <c r="X1273" s="47">
        <f t="shared" si="485"/>
        <v>0</v>
      </c>
      <c r="Y1273" s="47">
        <f t="shared" si="485"/>
        <v>0</v>
      </c>
      <c r="Z1273" s="47">
        <f t="shared" si="485"/>
        <v>0</v>
      </c>
      <c r="AA1273" s="47" t="e">
        <f t="shared" si="485"/>
        <v>#DIV/0!</v>
      </c>
      <c r="AB1273" s="79">
        <f t="shared" si="428"/>
        <v>0</v>
      </c>
      <c r="AC1273" s="47" t="e">
        <f t="shared" ref="AC1273:AF1273" si="486">AC1169+AC1065+AC961+AC857+AC753+AC649+AC545+AC441+AC337+AC233+AC129+AC25</f>
        <v>#DIV/0!</v>
      </c>
      <c r="AD1273" s="47" t="e">
        <f t="shared" si="486"/>
        <v>#DIV/0!</v>
      </c>
      <c r="AE1273" s="87">
        <f t="shared" si="486"/>
        <v>0</v>
      </c>
      <c r="AF1273" s="47">
        <f t="shared" si="486"/>
        <v>0</v>
      </c>
      <c r="AG1273" s="86">
        <f t="shared" si="430"/>
        <v>0</v>
      </c>
      <c r="AH1273" s="7">
        <f t="shared" si="431"/>
        <v>0</v>
      </c>
      <c r="AI1273" s="6">
        <f t="shared" si="415"/>
        <v>0</v>
      </c>
      <c r="AJ1273" s="6">
        <f t="shared" si="432"/>
        <v>0</v>
      </c>
      <c r="AK1273" s="47">
        <f t="shared" si="417"/>
        <v>0</v>
      </c>
      <c r="AL1273" s="748"/>
      <c r="AM1273" s="748"/>
    </row>
    <row r="1274" spans="2:39" x14ac:dyDescent="0.2">
      <c r="B1274" s="101" t="str">
        <f t="shared" si="418"/>
        <v/>
      </c>
      <c r="C1274" s="47">
        <f t="shared" si="408"/>
        <v>0</v>
      </c>
      <c r="D1274" s="168">
        <f t="shared" si="419"/>
        <v>0</v>
      </c>
      <c r="E1274" s="47">
        <f t="shared" ref="E1274:F1274" si="487">E1170+E1066+E962+E858+E754+E650+E546+E442+E338+E234+E130+E26</f>
        <v>0</v>
      </c>
      <c r="F1274" s="47">
        <f t="shared" si="487"/>
        <v>0</v>
      </c>
      <c r="G1274" s="168">
        <f t="shared" si="421"/>
        <v>0</v>
      </c>
      <c r="H1274" s="168" t="e">
        <f t="shared" si="410"/>
        <v>#DIV/0!</v>
      </c>
      <c r="I1274" s="736" t="e">
        <f t="shared" si="422"/>
        <v>#DIV/0!</v>
      </c>
      <c r="J1274" s="739"/>
      <c r="K1274" s="47">
        <f t="shared" si="423"/>
        <v>0</v>
      </c>
      <c r="L1274" s="47">
        <f>K1274-Personalplanung!AB26</f>
        <v>0</v>
      </c>
      <c r="M1274" s="739"/>
      <c r="N1274" s="47">
        <f t="shared" si="424"/>
        <v>0</v>
      </c>
      <c r="O1274" s="767">
        <f>N1274-Personalplanung!AC26</f>
        <v>0</v>
      </c>
      <c r="P1274" s="739"/>
      <c r="Q1274" s="47">
        <f t="shared" si="425"/>
        <v>0</v>
      </c>
      <c r="R1274" s="767">
        <f>Q1274-Personalplanung!AD26</f>
        <v>0</v>
      </c>
      <c r="S1274" s="739"/>
      <c r="T1274" s="47">
        <f t="shared" si="426"/>
        <v>0</v>
      </c>
      <c r="U1274" s="767">
        <f>T1274-Personalplanung!AE26</f>
        <v>0</v>
      </c>
      <c r="V1274" s="47">
        <f t="shared" ref="V1274:AA1274" si="488">V1170+V1066+V962+V858+V754+V650+V546+V442+V338+V234+V130+V26</f>
        <v>0</v>
      </c>
      <c r="W1274" s="47">
        <f t="shared" si="488"/>
        <v>0</v>
      </c>
      <c r="X1274" s="47">
        <f t="shared" si="488"/>
        <v>0</v>
      </c>
      <c r="Y1274" s="47">
        <f t="shared" si="488"/>
        <v>0</v>
      </c>
      <c r="Z1274" s="47">
        <f t="shared" si="488"/>
        <v>0</v>
      </c>
      <c r="AA1274" s="47" t="e">
        <f t="shared" si="488"/>
        <v>#DIV/0!</v>
      </c>
      <c r="AB1274" s="79">
        <f t="shared" si="428"/>
        <v>0</v>
      </c>
      <c r="AC1274" s="47" t="e">
        <f t="shared" ref="AC1274:AF1274" si="489">AC1170+AC1066+AC962+AC858+AC754+AC650+AC546+AC442+AC338+AC234+AC130+AC26</f>
        <v>#DIV/0!</v>
      </c>
      <c r="AD1274" s="47" t="e">
        <f t="shared" si="489"/>
        <v>#DIV/0!</v>
      </c>
      <c r="AE1274" s="87">
        <f t="shared" si="489"/>
        <v>0</v>
      </c>
      <c r="AF1274" s="47">
        <f t="shared" si="489"/>
        <v>0</v>
      </c>
      <c r="AG1274" s="86">
        <f t="shared" si="430"/>
        <v>0</v>
      </c>
      <c r="AH1274" s="7">
        <f t="shared" si="431"/>
        <v>0</v>
      </c>
      <c r="AI1274" s="6">
        <f t="shared" si="415"/>
        <v>0</v>
      </c>
      <c r="AJ1274" s="6">
        <f t="shared" si="432"/>
        <v>0</v>
      </c>
      <c r="AK1274" s="47">
        <f t="shared" si="417"/>
        <v>0</v>
      </c>
      <c r="AL1274" s="748"/>
      <c r="AM1274" s="748"/>
    </row>
    <row r="1275" spans="2:39" x14ac:dyDescent="0.2">
      <c r="B1275" s="101" t="str">
        <f t="shared" si="418"/>
        <v/>
      </c>
      <c r="C1275" s="47">
        <f t="shared" si="408"/>
        <v>0</v>
      </c>
      <c r="D1275" s="168">
        <f t="shared" si="419"/>
        <v>0</v>
      </c>
      <c r="E1275" s="47">
        <f t="shared" ref="E1275:F1275" si="490">E1171+E1067+E963+E859+E755+E651+E547+E443+E339+E235+E131+E27</f>
        <v>0</v>
      </c>
      <c r="F1275" s="47">
        <f t="shared" si="490"/>
        <v>0</v>
      </c>
      <c r="G1275" s="168">
        <f t="shared" si="421"/>
        <v>0</v>
      </c>
      <c r="H1275" s="168" t="e">
        <f t="shared" si="410"/>
        <v>#DIV/0!</v>
      </c>
      <c r="I1275" s="736" t="e">
        <f t="shared" si="422"/>
        <v>#DIV/0!</v>
      </c>
      <c r="J1275" s="739"/>
      <c r="K1275" s="47">
        <f t="shared" si="423"/>
        <v>0</v>
      </c>
      <c r="L1275" s="47">
        <f>K1275-Personalplanung!AB27</f>
        <v>0</v>
      </c>
      <c r="M1275" s="739"/>
      <c r="N1275" s="47">
        <f t="shared" si="424"/>
        <v>0</v>
      </c>
      <c r="O1275" s="767">
        <f>N1275-Personalplanung!AC27</f>
        <v>0</v>
      </c>
      <c r="P1275" s="739"/>
      <c r="Q1275" s="47">
        <f t="shared" si="425"/>
        <v>0</v>
      </c>
      <c r="R1275" s="767">
        <f>Q1275-Personalplanung!AD27</f>
        <v>0</v>
      </c>
      <c r="S1275" s="739"/>
      <c r="T1275" s="47">
        <f t="shared" si="426"/>
        <v>0</v>
      </c>
      <c r="U1275" s="767">
        <f>T1275-Personalplanung!AE27</f>
        <v>0</v>
      </c>
      <c r="V1275" s="47">
        <f t="shared" ref="V1275:AA1275" si="491">V1171+V1067+V963+V859+V755+V651+V547+V443+V339+V235+V131+V27</f>
        <v>0</v>
      </c>
      <c r="W1275" s="47">
        <f t="shared" si="491"/>
        <v>0</v>
      </c>
      <c r="X1275" s="47">
        <f t="shared" si="491"/>
        <v>0</v>
      </c>
      <c r="Y1275" s="47">
        <f t="shared" si="491"/>
        <v>0</v>
      </c>
      <c r="Z1275" s="47">
        <f t="shared" si="491"/>
        <v>0</v>
      </c>
      <c r="AA1275" s="47" t="e">
        <f t="shared" si="491"/>
        <v>#DIV/0!</v>
      </c>
      <c r="AB1275" s="79">
        <f t="shared" si="428"/>
        <v>0</v>
      </c>
      <c r="AC1275" s="47" t="e">
        <f t="shared" ref="AC1275:AF1275" si="492">AC1171+AC1067+AC963+AC859+AC755+AC651+AC547+AC443+AC339+AC235+AC131+AC27</f>
        <v>#DIV/0!</v>
      </c>
      <c r="AD1275" s="47" t="e">
        <f t="shared" si="492"/>
        <v>#DIV/0!</v>
      </c>
      <c r="AE1275" s="87">
        <f t="shared" si="492"/>
        <v>0</v>
      </c>
      <c r="AF1275" s="47">
        <f t="shared" si="492"/>
        <v>0</v>
      </c>
      <c r="AG1275" s="86">
        <f t="shared" si="430"/>
        <v>0</v>
      </c>
      <c r="AH1275" s="7">
        <f t="shared" si="431"/>
        <v>0</v>
      </c>
      <c r="AI1275" s="6">
        <f t="shared" si="415"/>
        <v>0</v>
      </c>
      <c r="AJ1275" s="6">
        <f t="shared" si="432"/>
        <v>0</v>
      </c>
      <c r="AK1275" s="47">
        <f t="shared" si="417"/>
        <v>0</v>
      </c>
      <c r="AL1275" s="748"/>
      <c r="AM1275" s="748"/>
    </row>
    <row r="1276" spans="2:39" x14ac:dyDescent="0.2">
      <c r="B1276" s="101" t="str">
        <f t="shared" si="418"/>
        <v/>
      </c>
      <c r="C1276" s="47">
        <f t="shared" si="408"/>
        <v>0</v>
      </c>
      <c r="D1276" s="168">
        <f t="shared" si="419"/>
        <v>0</v>
      </c>
      <c r="E1276" s="47">
        <f t="shared" ref="E1276:F1276" si="493">E1172+E1068+E964+E860+E756+E652+E548+E444+E340+E236+E132+E28</f>
        <v>0</v>
      </c>
      <c r="F1276" s="47">
        <f t="shared" si="493"/>
        <v>0</v>
      </c>
      <c r="G1276" s="168">
        <f t="shared" si="421"/>
        <v>0</v>
      </c>
      <c r="H1276" s="168" t="e">
        <f t="shared" si="410"/>
        <v>#DIV/0!</v>
      </c>
      <c r="I1276" s="736" t="e">
        <f t="shared" si="422"/>
        <v>#DIV/0!</v>
      </c>
      <c r="J1276" s="739"/>
      <c r="K1276" s="47">
        <f t="shared" si="423"/>
        <v>0</v>
      </c>
      <c r="L1276" s="47">
        <f>K1276-Personalplanung!AB28</f>
        <v>0</v>
      </c>
      <c r="M1276" s="739"/>
      <c r="N1276" s="47">
        <f t="shared" si="424"/>
        <v>0</v>
      </c>
      <c r="O1276" s="767">
        <f>N1276-Personalplanung!AC28</f>
        <v>0</v>
      </c>
      <c r="P1276" s="739"/>
      <c r="Q1276" s="47">
        <f t="shared" si="425"/>
        <v>0</v>
      </c>
      <c r="R1276" s="767">
        <f>Q1276-Personalplanung!AD28</f>
        <v>0</v>
      </c>
      <c r="S1276" s="739"/>
      <c r="T1276" s="47">
        <f t="shared" si="426"/>
        <v>0</v>
      </c>
      <c r="U1276" s="767">
        <f>T1276-Personalplanung!AE28</f>
        <v>0</v>
      </c>
      <c r="V1276" s="47">
        <f t="shared" ref="V1276:AA1276" si="494">V1172+V1068+V964+V860+V756+V652+V548+V444+V340+V236+V132+V28</f>
        <v>0</v>
      </c>
      <c r="W1276" s="47">
        <f t="shared" si="494"/>
        <v>0</v>
      </c>
      <c r="X1276" s="47">
        <f t="shared" si="494"/>
        <v>0</v>
      </c>
      <c r="Y1276" s="47">
        <f t="shared" si="494"/>
        <v>0</v>
      </c>
      <c r="Z1276" s="47">
        <f t="shared" si="494"/>
        <v>0</v>
      </c>
      <c r="AA1276" s="47" t="e">
        <f t="shared" si="494"/>
        <v>#DIV/0!</v>
      </c>
      <c r="AB1276" s="79">
        <f t="shared" si="428"/>
        <v>0</v>
      </c>
      <c r="AC1276" s="47" t="e">
        <f t="shared" ref="AC1276:AF1276" si="495">AC1172+AC1068+AC964+AC860+AC756+AC652+AC548+AC444+AC340+AC236+AC132+AC28</f>
        <v>#DIV/0!</v>
      </c>
      <c r="AD1276" s="47" t="e">
        <f t="shared" si="495"/>
        <v>#DIV/0!</v>
      </c>
      <c r="AE1276" s="87">
        <f t="shared" si="495"/>
        <v>0</v>
      </c>
      <c r="AF1276" s="47">
        <f t="shared" si="495"/>
        <v>0</v>
      </c>
      <c r="AG1276" s="86">
        <f t="shared" si="430"/>
        <v>0</v>
      </c>
      <c r="AH1276" s="7">
        <f t="shared" si="431"/>
        <v>0</v>
      </c>
      <c r="AI1276" s="6">
        <f t="shared" si="415"/>
        <v>0</v>
      </c>
      <c r="AJ1276" s="6">
        <f t="shared" si="432"/>
        <v>0</v>
      </c>
      <c r="AK1276" s="47">
        <f t="shared" si="417"/>
        <v>0</v>
      </c>
      <c r="AL1276" s="748"/>
      <c r="AM1276" s="748"/>
    </row>
    <row r="1277" spans="2:39" x14ac:dyDescent="0.2">
      <c r="B1277" s="101" t="str">
        <f t="shared" si="418"/>
        <v/>
      </c>
      <c r="C1277" s="47">
        <f t="shared" si="408"/>
        <v>0</v>
      </c>
      <c r="D1277" s="168">
        <f t="shared" si="419"/>
        <v>0</v>
      </c>
      <c r="E1277" s="47">
        <f t="shared" ref="E1277:F1277" si="496">E1173+E1069+E965+E861+E757+E653+E549+E445+E341+E237+E133+E29</f>
        <v>0</v>
      </c>
      <c r="F1277" s="47">
        <f t="shared" si="496"/>
        <v>0</v>
      </c>
      <c r="G1277" s="168">
        <f t="shared" si="421"/>
        <v>0</v>
      </c>
      <c r="H1277" s="168" t="e">
        <f t="shared" si="410"/>
        <v>#DIV/0!</v>
      </c>
      <c r="I1277" s="736" t="e">
        <f t="shared" si="422"/>
        <v>#DIV/0!</v>
      </c>
      <c r="J1277" s="739"/>
      <c r="K1277" s="47">
        <f t="shared" si="423"/>
        <v>0</v>
      </c>
      <c r="L1277" s="47">
        <f>K1277-Personalplanung!AB29</f>
        <v>0</v>
      </c>
      <c r="M1277" s="739"/>
      <c r="N1277" s="47">
        <f t="shared" si="424"/>
        <v>0</v>
      </c>
      <c r="O1277" s="767">
        <f>N1277-Personalplanung!AC29</f>
        <v>0</v>
      </c>
      <c r="P1277" s="739"/>
      <c r="Q1277" s="47">
        <f t="shared" si="425"/>
        <v>0</v>
      </c>
      <c r="R1277" s="767">
        <f>Q1277-Personalplanung!AD29</f>
        <v>0</v>
      </c>
      <c r="S1277" s="739"/>
      <c r="T1277" s="47">
        <f t="shared" si="426"/>
        <v>0</v>
      </c>
      <c r="U1277" s="767">
        <f>T1277-Personalplanung!AE29</f>
        <v>0</v>
      </c>
      <c r="V1277" s="47">
        <f t="shared" ref="V1277:AA1277" si="497">V1173+V1069+V965+V861+V757+V653+V549+V445+V341+V237+V133+V29</f>
        <v>0</v>
      </c>
      <c r="W1277" s="47">
        <f t="shared" si="497"/>
        <v>0</v>
      </c>
      <c r="X1277" s="47">
        <f t="shared" si="497"/>
        <v>0</v>
      </c>
      <c r="Y1277" s="47">
        <f t="shared" si="497"/>
        <v>0</v>
      </c>
      <c r="Z1277" s="47">
        <f t="shared" si="497"/>
        <v>0</v>
      </c>
      <c r="AA1277" s="47" t="e">
        <f t="shared" si="497"/>
        <v>#DIV/0!</v>
      </c>
      <c r="AB1277" s="79">
        <f t="shared" si="428"/>
        <v>0</v>
      </c>
      <c r="AC1277" s="47" t="e">
        <f t="shared" ref="AC1277:AF1277" si="498">AC1173+AC1069+AC965+AC861+AC757+AC653+AC549+AC445+AC341+AC237+AC133+AC29</f>
        <v>#DIV/0!</v>
      </c>
      <c r="AD1277" s="47" t="e">
        <f t="shared" si="498"/>
        <v>#DIV/0!</v>
      </c>
      <c r="AE1277" s="87">
        <f t="shared" si="498"/>
        <v>0</v>
      </c>
      <c r="AF1277" s="47">
        <f t="shared" si="498"/>
        <v>0</v>
      </c>
      <c r="AG1277" s="86">
        <f t="shared" si="430"/>
        <v>0</v>
      </c>
      <c r="AH1277" s="7">
        <f t="shared" si="431"/>
        <v>0</v>
      </c>
      <c r="AI1277" s="6">
        <f t="shared" si="415"/>
        <v>0</v>
      </c>
      <c r="AJ1277" s="6">
        <f t="shared" si="432"/>
        <v>0</v>
      </c>
      <c r="AK1277" s="47">
        <f t="shared" si="417"/>
        <v>0</v>
      </c>
      <c r="AL1277" s="748"/>
      <c r="AM1277" s="748"/>
    </row>
    <row r="1278" spans="2:39" x14ac:dyDescent="0.2">
      <c r="B1278" s="101" t="str">
        <f t="shared" si="418"/>
        <v/>
      </c>
      <c r="C1278" s="47">
        <f t="shared" si="408"/>
        <v>0</v>
      </c>
      <c r="D1278" s="168">
        <f t="shared" si="419"/>
        <v>0</v>
      </c>
      <c r="E1278" s="47">
        <f t="shared" ref="E1278:F1278" si="499">E1174+E1070+E966+E862+E758+E654+E550+E446+E342+E238+E134+E30</f>
        <v>0</v>
      </c>
      <c r="F1278" s="47">
        <f t="shared" si="499"/>
        <v>0</v>
      </c>
      <c r="G1278" s="168">
        <f t="shared" si="421"/>
        <v>0</v>
      </c>
      <c r="H1278" s="168" t="e">
        <f t="shared" si="410"/>
        <v>#DIV/0!</v>
      </c>
      <c r="I1278" s="736" t="e">
        <f t="shared" si="422"/>
        <v>#DIV/0!</v>
      </c>
      <c r="J1278" s="739"/>
      <c r="K1278" s="47">
        <f t="shared" si="423"/>
        <v>0</v>
      </c>
      <c r="L1278" s="47">
        <f>K1278-Personalplanung!AB30</f>
        <v>0</v>
      </c>
      <c r="M1278" s="739"/>
      <c r="N1278" s="47">
        <f t="shared" si="424"/>
        <v>0</v>
      </c>
      <c r="O1278" s="767">
        <f>N1278-Personalplanung!AC30</f>
        <v>0</v>
      </c>
      <c r="P1278" s="739"/>
      <c r="Q1278" s="47">
        <f t="shared" si="425"/>
        <v>0</v>
      </c>
      <c r="R1278" s="767">
        <f>Q1278-Personalplanung!AD30</f>
        <v>0</v>
      </c>
      <c r="S1278" s="739"/>
      <c r="T1278" s="47">
        <f t="shared" si="426"/>
        <v>0</v>
      </c>
      <c r="U1278" s="767">
        <f>T1278-Personalplanung!AE30</f>
        <v>0</v>
      </c>
      <c r="V1278" s="47">
        <f t="shared" ref="V1278:AA1278" si="500">V1174+V1070+V966+V862+V758+V654+V550+V446+V342+V238+V134+V30</f>
        <v>0</v>
      </c>
      <c r="W1278" s="47">
        <f t="shared" si="500"/>
        <v>0</v>
      </c>
      <c r="X1278" s="47">
        <f t="shared" si="500"/>
        <v>0</v>
      </c>
      <c r="Y1278" s="47">
        <f t="shared" si="500"/>
        <v>0</v>
      </c>
      <c r="Z1278" s="47">
        <f t="shared" si="500"/>
        <v>0</v>
      </c>
      <c r="AA1278" s="47" t="e">
        <f t="shared" si="500"/>
        <v>#DIV/0!</v>
      </c>
      <c r="AB1278" s="79">
        <f t="shared" si="428"/>
        <v>0</v>
      </c>
      <c r="AC1278" s="47" t="e">
        <f t="shared" ref="AC1278:AF1278" si="501">AC1174+AC1070+AC966+AC862+AC758+AC654+AC550+AC446+AC342+AC238+AC134+AC30</f>
        <v>#DIV/0!</v>
      </c>
      <c r="AD1278" s="47" t="e">
        <f t="shared" si="501"/>
        <v>#DIV/0!</v>
      </c>
      <c r="AE1278" s="87">
        <f t="shared" si="501"/>
        <v>0</v>
      </c>
      <c r="AF1278" s="47">
        <f t="shared" si="501"/>
        <v>0</v>
      </c>
      <c r="AG1278" s="86">
        <f t="shared" si="430"/>
        <v>0</v>
      </c>
      <c r="AH1278" s="7">
        <f t="shared" si="431"/>
        <v>0</v>
      </c>
      <c r="AI1278" s="6">
        <f t="shared" si="415"/>
        <v>0</v>
      </c>
      <c r="AJ1278" s="6">
        <f t="shared" si="432"/>
        <v>0</v>
      </c>
      <c r="AK1278" s="47">
        <f t="shared" si="417"/>
        <v>0</v>
      </c>
      <c r="AL1278" s="748"/>
      <c r="AM1278" s="748"/>
    </row>
    <row r="1279" spans="2:39" x14ac:dyDescent="0.2">
      <c r="B1279" s="101" t="str">
        <f t="shared" si="418"/>
        <v/>
      </c>
      <c r="C1279" s="47">
        <f t="shared" si="408"/>
        <v>0</v>
      </c>
      <c r="D1279" s="168">
        <f t="shared" si="419"/>
        <v>0</v>
      </c>
      <c r="E1279" s="47">
        <f t="shared" ref="E1279:F1279" si="502">E1175+E1071+E967+E863+E759+E655+E551+E447+E343+E239+E135+E31</f>
        <v>0</v>
      </c>
      <c r="F1279" s="47">
        <f t="shared" si="502"/>
        <v>0</v>
      </c>
      <c r="G1279" s="168">
        <f t="shared" si="421"/>
        <v>0</v>
      </c>
      <c r="H1279" s="168" t="e">
        <f t="shared" si="410"/>
        <v>#DIV/0!</v>
      </c>
      <c r="I1279" s="736" t="e">
        <f t="shared" si="422"/>
        <v>#DIV/0!</v>
      </c>
      <c r="J1279" s="739"/>
      <c r="K1279" s="47">
        <f t="shared" si="423"/>
        <v>0</v>
      </c>
      <c r="L1279" s="47">
        <f>K1279-Personalplanung!AB31</f>
        <v>0</v>
      </c>
      <c r="M1279" s="739"/>
      <c r="N1279" s="47">
        <f t="shared" si="424"/>
        <v>0</v>
      </c>
      <c r="O1279" s="767">
        <f>N1279-Personalplanung!AC31</f>
        <v>0</v>
      </c>
      <c r="P1279" s="739"/>
      <c r="Q1279" s="47">
        <f t="shared" si="425"/>
        <v>0</v>
      </c>
      <c r="R1279" s="767">
        <f>Q1279-Personalplanung!AD31</f>
        <v>0</v>
      </c>
      <c r="S1279" s="739"/>
      <c r="T1279" s="47">
        <f t="shared" si="426"/>
        <v>0</v>
      </c>
      <c r="U1279" s="767">
        <f>T1279-Personalplanung!AE31</f>
        <v>0</v>
      </c>
      <c r="V1279" s="47">
        <f t="shared" ref="V1279:AA1279" si="503">V1175+V1071+V967+V863+V759+V655+V551+V447+V343+V239+V135+V31</f>
        <v>0</v>
      </c>
      <c r="W1279" s="47">
        <f t="shared" si="503"/>
        <v>0</v>
      </c>
      <c r="X1279" s="47">
        <f t="shared" si="503"/>
        <v>0</v>
      </c>
      <c r="Y1279" s="47">
        <f t="shared" si="503"/>
        <v>0</v>
      </c>
      <c r="Z1279" s="47">
        <f t="shared" si="503"/>
        <v>0</v>
      </c>
      <c r="AA1279" s="47" t="e">
        <f t="shared" si="503"/>
        <v>#DIV/0!</v>
      </c>
      <c r="AB1279" s="79">
        <f t="shared" si="428"/>
        <v>0</v>
      </c>
      <c r="AC1279" s="47" t="e">
        <f t="shared" ref="AC1279:AF1279" si="504">AC1175+AC1071+AC967+AC863+AC759+AC655+AC551+AC447+AC343+AC239+AC135+AC31</f>
        <v>#DIV/0!</v>
      </c>
      <c r="AD1279" s="47" t="e">
        <f t="shared" si="504"/>
        <v>#DIV/0!</v>
      </c>
      <c r="AE1279" s="87">
        <f t="shared" si="504"/>
        <v>0</v>
      </c>
      <c r="AF1279" s="47">
        <f t="shared" si="504"/>
        <v>0</v>
      </c>
      <c r="AG1279" s="86">
        <f t="shared" si="430"/>
        <v>0</v>
      </c>
      <c r="AH1279" s="7">
        <f t="shared" si="431"/>
        <v>0</v>
      </c>
      <c r="AI1279" s="6">
        <f t="shared" si="415"/>
        <v>0</v>
      </c>
      <c r="AJ1279" s="6">
        <f t="shared" si="432"/>
        <v>0</v>
      </c>
      <c r="AK1279" s="47">
        <f t="shared" si="417"/>
        <v>0</v>
      </c>
      <c r="AL1279" s="748"/>
      <c r="AM1279" s="748"/>
    </row>
    <row r="1280" spans="2:39" x14ac:dyDescent="0.2">
      <c r="B1280" s="101" t="str">
        <f t="shared" si="418"/>
        <v/>
      </c>
      <c r="C1280" s="47">
        <f t="shared" si="408"/>
        <v>0</v>
      </c>
      <c r="D1280" s="168">
        <f t="shared" si="419"/>
        <v>0</v>
      </c>
      <c r="E1280" s="47">
        <f t="shared" ref="E1280:F1280" si="505">E1176+E1072+E968+E864+E760+E656+E552+E448+E344+E240+E136+E32</f>
        <v>0</v>
      </c>
      <c r="F1280" s="47">
        <f t="shared" si="505"/>
        <v>0</v>
      </c>
      <c r="G1280" s="168">
        <f t="shared" si="421"/>
        <v>0</v>
      </c>
      <c r="H1280" s="168" t="e">
        <f t="shared" si="410"/>
        <v>#DIV/0!</v>
      </c>
      <c r="I1280" s="736" t="e">
        <f t="shared" si="422"/>
        <v>#DIV/0!</v>
      </c>
      <c r="J1280" s="739"/>
      <c r="K1280" s="47">
        <f t="shared" si="423"/>
        <v>0</v>
      </c>
      <c r="L1280" s="47">
        <f>K1280-Personalplanung!AB32</f>
        <v>0</v>
      </c>
      <c r="M1280" s="739"/>
      <c r="N1280" s="47">
        <f t="shared" si="424"/>
        <v>0</v>
      </c>
      <c r="O1280" s="767">
        <f>N1280-Personalplanung!AC32</f>
        <v>0</v>
      </c>
      <c r="P1280" s="739"/>
      <c r="Q1280" s="47">
        <f t="shared" si="425"/>
        <v>0</v>
      </c>
      <c r="R1280" s="767">
        <f>Q1280-Personalplanung!AD32</f>
        <v>0</v>
      </c>
      <c r="S1280" s="739"/>
      <c r="T1280" s="47">
        <f t="shared" si="426"/>
        <v>0</v>
      </c>
      <c r="U1280" s="767">
        <f>T1280-Personalplanung!AE32</f>
        <v>0</v>
      </c>
      <c r="V1280" s="47">
        <f t="shared" ref="V1280:AA1280" si="506">V1176+V1072+V968+V864+V760+V656+V552+V448+V344+V240+V136+V32</f>
        <v>0</v>
      </c>
      <c r="W1280" s="47">
        <f t="shared" si="506"/>
        <v>0</v>
      </c>
      <c r="X1280" s="47">
        <f t="shared" si="506"/>
        <v>0</v>
      </c>
      <c r="Y1280" s="47">
        <f t="shared" si="506"/>
        <v>0</v>
      </c>
      <c r="Z1280" s="47">
        <f t="shared" si="506"/>
        <v>0</v>
      </c>
      <c r="AA1280" s="47" t="e">
        <f t="shared" si="506"/>
        <v>#DIV/0!</v>
      </c>
      <c r="AB1280" s="79">
        <f t="shared" si="428"/>
        <v>0</v>
      </c>
      <c r="AC1280" s="47" t="e">
        <f t="shared" ref="AC1280:AF1280" si="507">AC1176+AC1072+AC968+AC864+AC760+AC656+AC552+AC448+AC344+AC240+AC136+AC32</f>
        <v>#DIV/0!</v>
      </c>
      <c r="AD1280" s="47" t="e">
        <f t="shared" si="507"/>
        <v>#DIV/0!</v>
      </c>
      <c r="AE1280" s="87">
        <f t="shared" si="507"/>
        <v>0</v>
      </c>
      <c r="AF1280" s="47">
        <f t="shared" si="507"/>
        <v>0</v>
      </c>
      <c r="AG1280" s="86">
        <f t="shared" si="430"/>
        <v>0</v>
      </c>
      <c r="AH1280" s="7">
        <f t="shared" si="431"/>
        <v>0</v>
      </c>
      <c r="AI1280" s="6">
        <f t="shared" si="415"/>
        <v>0</v>
      </c>
      <c r="AJ1280" s="6">
        <f t="shared" si="432"/>
        <v>0</v>
      </c>
      <c r="AK1280" s="47">
        <f t="shared" si="417"/>
        <v>0</v>
      </c>
      <c r="AL1280" s="748"/>
      <c r="AM1280" s="748"/>
    </row>
    <row r="1281" spans="2:39" x14ac:dyDescent="0.2">
      <c r="B1281" s="101" t="str">
        <f t="shared" si="418"/>
        <v/>
      </c>
      <c r="C1281" s="47">
        <f t="shared" si="408"/>
        <v>0</v>
      </c>
      <c r="D1281" s="168">
        <f t="shared" si="419"/>
        <v>0</v>
      </c>
      <c r="E1281" s="47">
        <f t="shared" ref="E1281:F1281" si="508">E1177+E1073+E969+E865+E761+E657+E553+E449+E345+E241+E137+E33</f>
        <v>0</v>
      </c>
      <c r="F1281" s="47">
        <f t="shared" si="508"/>
        <v>0</v>
      </c>
      <c r="G1281" s="168">
        <f t="shared" si="421"/>
        <v>0</v>
      </c>
      <c r="H1281" s="168" t="e">
        <f t="shared" si="410"/>
        <v>#DIV/0!</v>
      </c>
      <c r="I1281" s="736" t="e">
        <f t="shared" si="422"/>
        <v>#DIV/0!</v>
      </c>
      <c r="J1281" s="739"/>
      <c r="K1281" s="47">
        <f t="shared" si="423"/>
        <v>0</v>
      </c>
      <c r="L1281" s="47">
        <f>K1281-Personalplanung!AB33</f>
        <v>0</v>
      </c>
      <c r="M1281" s="739"/>
      <c r="N1281" s="47">
        <f t="shared" si="424"/>
        <v>0</v>
      </c>
      <c r="O1281" s="767">
        <f>N1281-Personalplanung!AC33</f>
        <v>0</v>
      </c>
      <c r="P1281" s="739"/>
      <c r="Q1281" s="47">
        <f t="shared" si="425"/>
        <v>0</v>
      </c>
      <c r="R1281" s="767">
        <f>Q1281-Personalplanung!AD33</f>
        <v>0</v>
      </c>
      <c r="S1281" s="739"/>
      <c r="T1281" s="47">
        <f t="shared" si="426"/>
        <v>0</v>
      </c>
      <c r="U1281" s="767">
        <f>T1281-Personalplanung!AE33</f>
        <v>0</v>
      </c>
      <c r="V1281" s="47">
        <f t="shared" ref="V1281:AA1281" si="509">V1177+V1073+V969+V865+V761+V657+V553+V449+V345+V241+V137+V33</f>
        <v>0</v>
      </c>
      <c r="W1281" s="47">
        <f t="shared" si="509"/>
        <v>0</v>
      </c>
      <c r="X1281" s="47">
        <f t="shared" si="509"/>
        <v>0</v>
      </c>
      <c r="Y1281" s="47">
        <f t="shared" si="509"/>
        <v>0</v>
      </c>
      <c r="Z1281" s="47">
        <f t="shared" si="509"/>
        <v>0</v>
      </c>
      <c r="AA1281" s="47" t="e">
        <f t="shared" si="509"/>
        <v>#DIV/0!</v>
      </c>
      <c r="AB1281" s="79">
        <f t="shared" si="428"/>
        <v>0</v>
      </c>
      <c r="AC1281" s="47" t="e">
        <f t="shared" ref="AC1281:AF1281" si="510">AC1177+AC1073+AC969+AC865+AC761+AC657+AC553+AC449+AC345+AC241+AC137+AC33</f>
        <v>#DIV/0!</v>
      </c>
      <c r="AD1281" s="47" t="e">
        <f t="shared" si="510"/>
        <v>#DIV/0!</v>
      </c>
      <c r="AE1281" s="87">
        <f t="shared" si="510"/>
        <v>0</v>
      </c>
      <c r="AF1281" s="47">
        <f t="shared" si="510"/>
        <v>0</v>
      </c>
      <c r="AG1281" s="86">
        <f t="shared" si="430"/>
        <v>0</v>
      </c>
      <c r="AH1281" s="7">
        <f t="shared" si="431"/>
        <v>0</v>
      </c>
      <c r="AI1281" s="6">
        <f t="shared" si="415"/>
        <v>0</v>
      </c>
      <c r="AJ1281" s="6">
        <f t="shared" si="432"/>
        <v>0</v>
      </c>
      <c r="AK1281" s="47">
        <f t="shared" si="417"/>
        <v>0</v>
      </c>
      <c r="AL1281" s="748"/>
      <c r="AM1281" s="748"/>
    </row>
    <row r="1282" spans="2:39" x14ac:dyDescent="0.2">
      <c r="B1282" s="101" t="str">
        <f t="shared" si="418"/>
        <v/>
      </c>
      <c r="C1282" s="47">
        <f t="shared" si="408"/>
        <v>0</v>
      </c>
      <c r="D1282" s="168">
        <f t="shared" si="419"/>
        <v>0</v>
      </c>
      <c r="E1282" s="47">
        <f t="shared" ref="E1282:F1282" si="511">E1178+E1074+E970+E866+E762+E658+E554+E450+E346+E242+E138+E34</f>
        <v>0</v>
      </c>
      <c r="F1282" s="47">
        <f t="shared" si="511"/>
        <v>0</v>
      </c>
      <c r="G1282" s="168">
        <f t="shared" si="421"/>
        <v>0</v>
      </c>
      <c r="H1282" s="168" t="e">
        <f t="shared" si="410"/>
        <v>#DIV/0!</v>
      </c>
      <c r="I1282" s="736" t="e">
        <f t="shared" si="422"/>
        <v>#DIV/0!</v>
      </c>
      <c r="J1282" s="739"/>
      <c r="K1282" s="47">
        <f t="shared" si="423"/>
        <v>0</v>
      </c>
      <c r="L1282" s="47">
        <f>K1282-Personalplanung!AB34</f>
        <v>0</v>
      </c>
      <c r="M1282" s="739"/>
      <c r="N1282" s="47">
        <f t="shared" si="424"/>
        <v>0</v>
      </c>
      <c r="O1282" s="767">
        <f>N1282-Personalplanung!AC34</f>
        <v>0</v>
      </c>
      <c r="P1282" s="739"/>
      <c r="Q1282" s="47">
        <f t="shared" si="425"/>
        <v>0</v>
      </c>
      <c r="R1282" s="767">
        <f>Q1282-Personalplanung!AD34</f>
        <v>0</v>
      </c>
      <c r="S1282" s="739"/>
      <c r="T1282" s="47">
        <f t="shared" si="426"/>
        <v>0</v>
      </c>
      <c r="U1282" s="767">
        <f>T1282-Personalplanung!AE34</f>
        <v>0</v>
      </c>
      <c r="V1282" s="47">
        <f t="shared" ref="V1282:AA1282" si="512">V1178+V1074+V970+V866+V762+V658+V554+V450+V346+V242+V138+V34</f>
        <v>0</v>
      </c>
      <c r="W1282" s="47">
        <f t="shared" si="512"/>
        <v>0</v>
      </c>
      <c r="X1282" s="47">
        <f t="shared" si="512"/>
        <v>0</v>
      </c>
      <c r="Y1282" s="47">
        <f t="shared" si="512"/>
        <v>0</v>
      </c>
      <c r="Z1282" s="47">
        <f t="shared" si="512"/>
        <v>0</v>
      </c>
      <c r="AA1282" s="47" t="e">
        <f t="shared" si="512"/>
        <v>#DIV/0!</v>
      </c>
      <c r="AB1282" s="79">
        <f t="shared" si="428"/>
        <v>0</v>
      </c>
      <c r="AC1282" s="47" t="e">
        <f t="shared" ref="AC1282:AF1282" si="513">AC1178+AC1074+AC970+AC866+AC762+AC658+AC554+AC450+AC346+AC242+AC138+AC34</f>
        <v>#DIV/0!</v>
      </c>
      <c r="AD1282" s="47" t="e">
        <f t="shared" si="513"/>
        <v>#DIV/0!</v>
      </c>
      <c r="AE1282" s="87">
        <f t="shared" si="513"/>
        <v>0</v>
      </c>
      <c r="AF1282" s="47">
        <f t="shared" si="513"/>
        <v>0</v>
      </c>
      <c r="AG1282" s="86">
        <f t="shared" si="430"/>
        <v>0</v>
      </c>
      <c r="AH1282" s="7">
        <f t="shared" si="431"/>
        <v>0</v>
      </c>
      <c r="AI1282" s="6">
        <f t="shared" si="415"/>
        <v>0</v>
      </c>
      <c r="AJ1282" s="6">
        <f t="shared" si="432"/>
        <v>0</v>
      </c>
      <c r="AK1282" s="47">
        <f t="shared" si="417"/>
        <v>0</v>
      </c>
      <c r="AL1282" s="748"/>
      <c r="AM1282" s="748"/>
    </row>
    <row r="1283" spans="2:39" x14ac:dyDescent="0.2">
      <c r="B1283" s="101" t="str">
        <f t="shared" si="418"/>
        <v/>
      </c>
      <c r="C1283" s="47">
        <f t="shared" si="408"/>
        <v>0</v>
      </c>
      <c r="D1283" s="168">
        <f t="shared" si="419"/>
        <v>0</v>
      </c>
      <c r="E1283" s="47">
        <f t="shared" ref="E1283:F1283" si="514">E1179+E1075+E971+E867+E763+E659+E555+E451+E347+E243+E139+E35</f>
        <v>0</v>
      </c>
      <c r="F1283" s="47">
        <f t="shared" si="514"/>
        <v>0</v>
      </c>
      <c r="G1283" s="168">
        <f t="shared" si="421"/>
        <v>0</v>
      </c>
      <c r="H1283" s="168" t="e">
        <f t="shared" si="410"/>
        <v>#DIV/0!</v>
      </c>
      <c r="I1283" s="736" t="e">
        <f t="shared" si="422"/>
        <v>#DIV/0!</v>
      </c>
      <c r="J1283" s="739"/>
      <c r="K1283" s="47">
        <f t="shared" si="423"/>
        <v>0</v>
      </c>
      <c r="L1283" s="47">
        <f>K1283-Personalplanung!AB35</f>
        <v>0</v>
      </c>
      <c r="M1283" s="739"/>
      <c r="N1283" s="47">
        <f t="shared" si="424"/>
        <v>0</v>
      </c>
      <c r="O1283" s="767">
        <f>N1283-Personalplanung!AC35</f>
        <v>0</v>
      </c>
      <c r="P1283" s="739"/>
      <c r="Q1283" s="47">
        <f t="shared" si="425"/>
        <v>0</v>
      </c>
      <c r="R1283" s="767">
        <f>Q1283-Personalplanung!AD35</f>
        <v>0</v>
      </c>
      <c r="S1283" s="739"/>
      <c r="T1283" s="47">
        <f t="shared" si="426"/>
        <v>0</v>
      </c>
      <c r="U1283" s="767">
        <f>T1283-Personalplanung!AE35</f>
        <v>0</v>
      </c>
      <c r="V1283" s="47">
        <f t="shared" ref="V1283:AA1283" si="515">V1179+V1075+V971+V867+V763+V659+V555+V451+V347+V243+V139+V35</f>
        <v>0</v>
      </c>
      <c r="W1283" s="47">
        <f t="shared" si="515"/>
        <v>0</v>
      </c>
      <c r="X1283" s="47">
        <f t="shared" si="515"/>
        <v>0</v>
      </c>
      <c r="Y1283" s="47">
        <f t="shared" si="515"/>
        <v>0</v>
      </c>
      <c r="Z1283" s="47">
        <f t="shared" si="515"/>
        <v>0</v>
      </c>
      <c r="AA1283" s="47" t="e">
        <f t="shared" si="515"/>
        <v>#DIV/0!</v>
      </c>
      <c r="AB1283" s="79">
        <f t="shared" si="428"/>
        <v>0</v>
      </c>
      <c r="AC1283" s="47" t="e">
        <f t="shared" ref="AC1283:AF1283" si="516">AC1179+AC1075+AC971+AC867+AC763+AC659+AC555+AC451+AC347+AC243+AC139+AC35</f>
        <v>#DIV/0!</v>
      </c>
      <c r="AD1283" s="47" t="e">
        <f t="shared" si="516"/>
        <v>#DIV/0!</v>
      </c>
      <c r="AE1283" s="87">
        <f t="shared" si="516"/>
        <v>0</v>
      </c>
      <c r="AF1283" s="47">
        <f t="shared" si="516"/>
        <v>0</v>
      </c>
      <c r="AG1283" s="86">
        <f t="shared" si="430"/>
        <v>0</v>
      </c>
      <c r="AH1283" s="7">
        <f t="shared" si="431"/>
        <v>0</v>
      </c>
      <c r="AI1283" s="6">
        <f t="shared" si="415"/>
        <v>0</v>
      </c>
      <c r="AJ1283" s="6">
        <f t="shared" si="432"/>
        <v>0</v>
      </c>
      <c r="AK1283" s="47">
        <f t="shared" si="417"/>
        <v>0</v>
      </c>
      <c r="AL1283" s="748"/>
      <c r="AM1283" s="748"/>
    </row>
    <row r="1284" spans="2:39" x14ac:dyDescent="0.2">
      <c r="B1284" s="101" t="str">
        <f t="shared" si="418"/>
        <v/>
      </c>
      <c r="C1284" s="47">
        <f t="shared" si="408"/>
        <v>0</v>
      </c>
      <c r="D1284" s="168">
        <f t="shared" si="419"/>
        <v>0</v>
      </c>
      <c r="E1284" s="47">
        <f t="shared" ref="E1284:F1284" si="517">E1180+E1076+E972+E868+E764+E660+E556+E452+E348+E244+E140+E36</f>
        <v>0</v>
      </c>
      <c r="F1284" s="47">
        <f t="shared" si="517"/>
        <v>0</v>
      </c>
      <c r="G1284" s="168">
        <f t="shared" si="421"/>
        <v>0</v>
      </c>
      <c r="H1284" s="168" t="e">
        <f t="shared" si="410"/>
        <v>#DIV/0!</v>
      </c>
      <c r="I1284" s="736" t="e">
        <f t="shared" si="422"/>
        <v>#DIV/0!</v>
      </c>
      <c r="J1284" s="739"/>
      <c r="K1284" s="47">
        <f t="shared" si="423"/>
        <v>0</v>
      </c>
      <c r="L1284" s="47">
        <f>K1284-Personalplanung!AB36</f>
        <v>0</v>
      </c>
      <c r="M1284" s="739"/>
      <c r="N1284" s="47">
        <f t="shared" si="424"/>
        <v>0</v>
      </c>
      <c r="O1284" s="767">
        <f>N1284-Personalplanung!AC36</f>
        <v>0</v>
      </c>
      <c r="P1284" s="739"/>
      <c r="Q1284" s="47">
        <f t="shared" si="425"/>
        <v>0</v>
      </c>
      <c r="R1284" s="767">
        <f>Q1284-Personalplanung!AD36</f>
        <v>0</v>
      </c>
      <c r="S1284" s="739"/>
      <c r="T1284" s="47">
        <f t="shared" si="426"/>
        <v>0</v>
      </c>
      <c r="U1284" s="767">
        <f>T1284-Personalplanung!AE36</f>
        <v>0</v>
      </c>
      <c r="V1284" s="47">
        <f t="shared" ref="V1284:AA1284" si="518">V1180+V1076+V972+V868+V764+V660+V556+V452+V348+V244+V140+V36</f>
        <v>0</v>
      </c>
      <c r="W1284" s="47">
        <f t="shared" si="518"/>
        <v>0</v>
      </c>
      <c r="X1284" s="47">
        <f t="shared" si="518"/>
        <v>0</v>
      </c>
      <c r="Y1284" s="47">
        <f t="shared" si="518"/>
        <v>0</v>
      </c>
      <c r="Z1284" s="47">
        <f t="shared" si="518"/>
        <v>0</v>
      </c>
      <c r="AA1284" s="47" t="e">
        <f t="shared" si="518"/>
        <v>#DIV/0!</v>
      </c>
      <c r="AB1284" s="79">
        <f t="shared" si="428"/>
        <v>0</v>
      </c>
      <c r="AC1284" s="47" t="e">
        <f t="shared" ref="AC1284:AF1284" si="519">AC1180+AC1076+AC972+AC868+AC764+AC660+AC556+AC452+AC348+AC244+AC140+AC36</f>
        <v>#DIV/0!</v>
      </c>
      <c r="AD1284" s="47" t="e">
        <f t="shared" si="519"/>
        <v>#DIV/0!</v>
      </c>
      <c r="AE1284" s="87">
        <f t="shared" si="519"/>
        <v>0</v>
      </c>
      <c r="AF1284" s="47">
        <f t="shared" si="519"/>
        <v>0</v>
      </c>
      <c r="AG1284" s="86">
        <f t="shared" si="430"/>
        <v>0</v>
      </c>
      <c r="AH1284" s="7">
        <f t="shared" si="431"/>
        <v>0</v>
      </c>
      <c r="AI1284" s="6">
        <f t="shared" si="415"/>
        <v>0</v>
      </c>
      <c r="AJ1284" s="6">
        <f t="shared" si="432"/>
        <v>0</v>
      </c>
      <c r="AK1284" s="47">
        <f t="shared" si="417"/>
        <v>0</v>
      </c>
      <c r="AL1284" s="748"/>
      <c r="AM1284" s="748"/>
    </row>
    <row r="1285" spans="2:39" x14ac:dyDescent="0.2">
      <c r="B1285" s="101" t="str">
        <f t="shared" si="418"/>
        <v/>
      </c>
      <c r="C1285" s="47">
        <f t="shared" si="408"/>
        <v>0</v>
      </c>
      <c r="D1285" s="168">
        <f t="shared" si="419"/>
        <v>0</v>
      </c>
      <c r="E1285" s="47">
        <f t="shared" ref="E1285:F1285" si="520">E1181+E1077+E973+E869+E765+E661+E557+E453+E349+E245+E141+E37</f>
        <v>0</v>
      </c>
      <c r="F1285" s="47">
        <f t="shared" si="520"/>
        <v>0</v>
      </c>
      <c r="G1285" s="168">
        <f t="shared" si="421"/>
        <v>0</v>
      </c>
      <c r="H1285" s="168" t="e">
        <f t="shared" si="410"/>
        <v>#DIV/0!</v>
      </c>
      <c r="I1285" s="736" t="e">
        <f t="shared" si="422"/>
        <v>#DIV/0!</v>
      </c>
      <c r="J1285" s="739"/>
      <c r="K1285" s="47">
        <f t="shared" si="423"/>
        <v>0</v>
      </c>
      <c r="L1285" s="47">
        <f>K1285-Personalplanung!AB37</f>
        <v>0</v>
      </c>
      <c r="M1285" s="739"/>
      <c r="N1285" s="47">
        <f t="shared" si="424"/>
        <v>0</v>
      </c>
      <c r="O1285" s="767">
        <f>N1285-Personalplanung!AC37</f>
        <v>0</v>
      </c>
      <c r="P1285" s="739"/>
      <c r="Q1285" s="47">
        <f t="shared" si="425"/>
        <v>0</v>
      </c>
      <c r="R1285" s="767">
        <f>Q1285-Personalplanung!AD37</f>
        <v>0</v>
      </c>
      <c r="S1285" s="739"/>
      <c r="T1285" s="47">
        <f t="shared" si="426"/>
        <v>0</v>
      </c>
      <c r="U1285" s="767">
        <f>T1285-Personalplanung!AE37</f>
        <v>0</v>
      </c>
      <c r="V1285" s="47">
        <f t="shared" ref="V1285:AA1285" si="521">V1181+V1077+V973+V869+V765+V661+V557+V453+V349+V245+V141+V37</f>
        <v>0</v>
      </c>
      <c r="W1285" s="47">
        <f t="shared" si="521"/>
        <v>0</v>
      </c>
      <c r="X1285" s="47">
        <f t="shared" si="521"/>
        <v>0</v>
      </c>
      <c r="Y1285" s="47">
        <f t="shared" si="521"/>
        <v>0</v>
      </c>
      <c r="Z1285" s="47">
        <f t="shared" si="521"/>
        <v>0</v>
      </c>
      <c r="AA1285" s="47" t="e">
        <f t="shared" si="521"/>
        <v>#DIV/0!</v>
      </c>
      <c r="AB1285" s="79">
        <f t="shared" si="428"/>
        <v>0</v>
      </c>
      <c r="AC1285" s="47" t="e">
        <f t="shared" ref="AC1285:AF1285" si="522">AC1181+AC1077+AC973+AC869+AC765+AC661+AC557+AC453+AC349+AC245+AC141+AC37</f>
        <v>#DIV/0!</v>
      </c>
      <c r="AD1285" s="47" t="e">
        <f t="shared" si="522"/>
        <v>#DIV/0!</v>
      </c>
      <c r="AE1285" s="87">
        <f t="shared" si="522"/>
        <v>0</v>
      </c>
      <c r="AF1285" s="47">
        <f t="shared" si="522"/>
        <v>0</v>
      </c>
      <c r="AG1285" s="86">
        <f t="shared" si="430"/>
        <v>0</v>
      </c>
      <c r="AH1285" s="7">
        <f t="shared" si="431"/>
        <v>0</v>
      </c>
      <c r="AI1285" s="6">
        <f t="shared" si="415"/>
        <v>0</v>
      </c>
      <c r="AJ1285" s="6">
        <f t="shared" si="432"/>
        <v>0</v>
      </c>
      <c r="AK1285" s="47">
        <f t="shared" si="417"/>
        <v>0</v>
      </c>
      <c r="AL1285" s="748"/>
      <c r="AM1285" s="748"/>
    </row>
    <row r="1286" spans="2:39" x14ac:dyDescent="0.2">
      <c r="B1286" s="101" t="str">
        <f t="shared" si="418"/>
        <v/>
      </c>
      <c r="C1286" s="47">
        <f t="shared" si="408"/>
        <v>0</v>
      </c>
      <c r="D1286" s="168">
        <f t="shared" si="419"/>
        <v>0</v>
      </c>
      <c r="E1286" s="47">
        <f t="shared" ref="E1286:F1286" si="523">E1182+E1078+E974+E870+E766+E662+E558+E454+E350+E246+E142+E38</f>
        <v>0</v>
      </c>
      <c r="F1286" s="47">
        <f t="shared" si="523"/>
        <v>0</v>
      </c>
      <c r="G1286" s="168">
        <f t="shared" si="421"/>
        <v>0</v>
      </c>
      <c r="H1286" s="168" t="e">
        <f t="shared" si="410"/>
        <v>#DIV/0!</v>
      </c>
      <c r="I1286" s="736" t="e">
        <f t="shared" si="422"/>
        <v>#DIV/0!</v>
      </c>
      <c r="J1286" s="739"/>
      <c r="K1286" s="47">
        <f t="shared" si="423"/>
        <v>0</v>
      </c>
      <c r="L1286" s="47">
        <f>K1286-Personalplanung!AB38</f>
        <v>0</v>
      </c>
      <c r="M1286" s="739"/>
      <c r="N1286" s="47">
        <f t="shared" si="424"/>
        <v>0</v>
      </c>
      <c r="O1286" s="767">
        <f>N1286-Personalplanung!AC38</f>
        <v>0</v>
      </c>
      <c r="P1286" s="739"/>
      <c r="Q1286" s="47">
        <f t="shared" si="425"/>
        <v>0</v>
      </c>
      <c r="R1286" s="767">
        <f>Q1286-Personalplanung!AD38</f>
        <v>0</v>
      </c>
      <c r="S1286" s="739"/>
      <c r="T1286" s="47">
        <f t="shared" si="426"/>
        <v>0</v>
      </c>
      <c r="U1286" s="767">
        <f>T1286-Personalplanung!AE38</f>
        <v>0</v>
      </c>
      <c r="V1286" s="47">
        <f t="shared" ref="V1286:AA1286" si="524">V1182+V1078+V974+V870+V766+V662+V558+V454+V350+V246+V142+V38</f>
        <v>0</v>
      </c>
      <c r="W1286" s="47">
        <f t="shared" si="524"/>
        <v>0</v>
      </c>
      <c r="X1286" s="47">
        <f t="shared" si="524"/>
        <v>0</v>
      </c>
      <c r="Y1286" s="47">
        <f t="shared" si="524"/>
        <v>0</v>
      </c>
      <c r="Z1286" s="47">
        <f t="shared" si="524"/>
        <v>0</v>
      </c>
      <c r="AA1286" s="47" t="e">
        <f t="shared" si="524"/>
        <v>#DIV/0!</v>
      </c>
      <c r="AB1286" s="79">
        <f t="shared" si="428"/>
        <v>0</v>
      </c>
      <c r="AC1286" s="47" t="e">
        <f t="shared" ref="AC1286:AF1286" si="525">AC1182+AC1078+AC974+AC870+AC766+AC662+AC558+AC454+AC350+AC246+AC142+AC38</f>
        <v>#DIV/0!</v>
      </c>
      <c r="AD1286" s="47" t="e">
        <f t="shared" si="525"/>
        <v>#DIV/0!</v>
      </c>
      <c r="AE1286" s="87">
        <f t="shared" si="525"/>
        <v>0</v>
      </c>
      <c r="AF1286" s="47">
        <f t="shared" si="525"/>
        <v>0</v>
      </c>
      <c r="AG1286" s="86">
        <f t="shared" si="430"/>
        <v>0</v>
      </c>
      <c r="AH1286" s="7">
        <f t="shared" si="431"/>
        <v>0</v>
      </c>
      <c r="AI1286" s="6">
        <f t="shared" si="415"/>
        <v>0</v>
      </c>
      <c r="AJ1286" s="6">
        <f t="shared" si="432"/>
        <v>0</v>
      </c>
      <c r="AK1286" s="47">
        <f t="shared" si="417"/>
        <v>0</v>
      </c>
      <c r="AL1286" s="748"/>
      <c r="AM1286" s="748"/>
    </row>
    <row r="1287" spans="2:39" x14ac:dyDescent="0.2">
      <c r="B1287" s="101" t="str">
        <f t="shared" si="418"/>
        <v/>
      </c>
      <c r="C1287" s="47">
        <f t="shared" si="408"/>
        <v>0</v>
      </c>
      <c r="D1287" s="168">
        <f t="shared" si="419"/>
        <v>0</v>
      </c>
      <c r="E1287" s="47">
        <f t="shared" ref="E1287:F1287" si="526">E1183+E1079+E975+E871+E767+E663+E559+E455+E351+E247+E143+E39</f>
        <v>0</v>
      </c>
      <c r="F1287" s="47">
        <f t="shared" si="526"/>
        <v>0</v>
      </c>
      <c r="G1287" s="168">
        <f t="shared" si="421"/>
        <v>0</v>
      </c>
      <c r="H1287" s="168" t="e">
        <f t="shared" si="410"/>
        <v>#DIV/0!</v>
      </c>
      <c r="I1287" s="736" t="e">
        <f t="shared" si="422"/>
        <v>#DIV/0!</v>
      </c>
      <c r="J1287" s="739"/>
      <c r="K1287" s="47">
        <f t="shared" ref="K1287:K1318" si="527">K1183+K1079+K975+K871+K767+K663+K559+K455+K351+K247+K143+K39</f>
        <v>0</v>
      </c>
      <c r="L1287" s="47">
        <f>K1287-Personalplanung!AB39</f>
        <v>0</v>
      </c>
      <c r="M1287" s="739"/>
      <c r="N1287" s="47">
        <f t="shared" ref="N1287:N1318" si="528">N1183+N1079+N975+N871+N767+N663+N559+N455+N351+N247+N143+N39</f>
        <v>0</v>
      </c>
      <c r="O1287" s="767">
        <f>N1287-Personalplanung!AC39</f>
        <v>0</v>
      </c>
      <c r="P1287" s="739"/>
      <c r="Q1287" s="47">
        <f t="shared" ref="Q1287:Q1318" si="529">Q1183+Q1079+Q975+Q871+Q767+Q663+Q559+Q455+Q351+Q247+Q143+Q39</f>
        <v>0</v>
      </c>
      <c r="R1287" s="767">
        <f>Q1287-Personalplanung!AD39</f>
        <v>0</v>
      </c>
      <c r="S1287" s="739"/>
      <c r="T1287" s="47">
        <f t="shared" ref="T1287:T1318" si="530">T1183+T1079+T975+T871+T767+T663+T559+T455+T351+T247+T143+T39</f>
        <v>0</v>
      </c>
      <c r="U1287" s="767">
        <f>T1287-Personalplanung!AE39</f>
        <v>0</v>
      </c>
      <c r="V1287" s="47">
        <f t="shared" ref="V1287:AA1287" si="531">V1183+V1079+V975+V871+V767+V663+V559+V455+V351+V247+V143+V39</f>
        <v>0</v>
      </c>
      <c r="W1287" s="47">
        <f t="shared" si="531"/>
        <v>0</v>
      </c>
      <c r="X1287" s="47">
        <f t="shared" si="531"/>
        <v>0</v>
      </c>
      <c r="Y1287" s="47">
        <f t="shared" si="531"/>
        <v>0</v>
      </c>
      <c r="Z1287" s="47">
        <f t="shared" si="531"/>
        <v>0</v>
      </c>
      <c r="AA1287" s="47" t="e">
        <f t="shared" si="531"/>
        <v>#DIV/0!</v>
      </c>
      <c r="AB1287" s="79">
        <f t="shared" si="428"/>
        <v>0</v>
      </c>
      <c r="AC1287" s="47" t="e">
        <f t="shared" ref="AC1287:AF1287" si="532">AC1183+AC1079+AC975+AC871+AC767+AC663+AC559+AC455+AC351+AC247+AC143+AC39</f>
        <v>#DIV/0!</v>
      </c>
      <c r="AD1287" s="47" t="e">
        <f t="shared" si="532"/>
        <v>#DIV/0!</v>
      </c>
      <c r="AE1287" s="87">
        <f t="shared" si="532"/>
        <v>0</v>
      </c>
      <c r="AF1287" s="47">
        <f t="shared" si="532"/>
        <v>0</v>
      </c>
      <c r="AG1287" s="86">
        <f t="shared" si="430"/>
        <v>0</v>
      </c>
      <c r="AH1287" s="7">
        <f t="shared" si="431"/>
        <v>0</v>
      </c>
      <c r="AI1287" s="6">
        <f t="shared" si="415"/>
        <v>0</v>
      </c>
      <c r="AJ1287" s="6">
        <f t="shared" si="432"/>
        <v>0</v>
      </c>
      <c r="AK1287" s="47">
        <f t="shared" si="417"/>
        <v>0</v>
      </c>
      <c r="AL1287" s="748"/>
      <c r="AM1287" s="748"/>
    </row>
    <row r="1288" spans="2:39" x14ac:dyDescent="0.2">
      <c r="B1288" s="101" t="str">
        <f t="shared" si="418"/>
        <v/>
      </c>
      <c r="C1288" s="47">
        <f t="shared" si="408"/>
        <v>0</v>
      </c>
      <c r="D1288" s="168">
        <f t="shared" si="419"/>
        <v>0</v>
      </c>
      <c r="E1288" s="47">
        <f t="shared" ref="E1288:F1288" si="533">E1184+E1080+E976+E872+E768+E664+E560+E456+E352+E248+E144+E40</f>
        <v>0</v>
      </c>
      <c r="F1288" s="47">
        <f t="shared" si="533"/>
        <v>0</v>
      </c>
      <c r="G1288" s="168">
        <f t="shared" si="421"/>
        <v>0</v>
      </c>
      <c r="H1288" s="168" t="e">
        <f t="shared" si="410"/>
        <v>#DIV/0!</v>
      </c>
      <c r="I1288" s="736" t="e">
        <f t="shared" si="422"/>
        <v>#DIV/0!</v>
      </c>
      <c r="J1288" s="739"/>
      <c r="K1288" s="47">
        <f t="shared" si="527"/>
        <v>0</v>
      </c>
      <c r="L1288" s="47">
        <f>K1288-Personalplanung!AB40</f>
        <v>0</v>
      </c>
      <c r="M1288" s="739"/>
      <c r="N1288" s="47">
        <f t="shared" si="528"/>
        <v>0</v>
      </c>
      <c r="O1288" s="767">
        <f>N1288-Personalplanung!AC40</f>
        <v>0</v>
      </c>
      <c r="P1288" s="739"/>
      <c r="Q1288" s="47">
        <f t="shared" si="529"/>
        <v>0</v>
      </c>
      <c r="R1288" s="767">
        <f>Q1288-Personalplanung!AD40</f>
        <v>0</v>
      </c>
      <c r="S1288" s="739"/>
      <c r="T1288" s="47">
        <f t="shared" si="530"/>
        <v>0</v>
      </c>
      <c r="U1288" s="767">
        <f>T1288-Personalplanung!AE40</f>
        <v>0</v>
      </c>
      <c r="V1288" s="47">
        <f t="shared" ref="V1288:AA1288" si="534">V1184+V1080+V976+V872+V768+V664+V560+V456+V352+V248+V144+V40</f>
        <v>0</v>
      </c>
      <c r="W1288" s="47">
        <f t="shared" si="534"/>
        <v>0</v>
      </c>
      <c r="X1288" s="47">
        <f t="shared" si="534"/>
        <v>0</v>
      </c>
      <c r="Y1288" s="47">
        <f t="shared" si="534"/>
        <v>0</v>
      </c>
      <c r="Z1288" s="47">
        <f t="shared" si="534"/>
        <v>0</v>
      </c>
      <c r="AA1288" s="47" t="e">
        <f t="shared" si="534"/>
        <v>#DIV/0!</v>
      </c>
      <c r="AB1288" s="79">
        <f t="shared" si="428"/>
        <v>0</v>
      </c>
      <c r="AC1288" s="47" t="e">
        <f t="shared" ref="AC1288:AF1288" si="535">AC1184+AC1080+AC976+AC872+AC768+AC664+AC560+AC456+AC352+AC248+AC144+AC40</f>
        <v>#DIV/0!</v>
      </c>
      <c r="AD1288" s="47" t="e">
        <f t="shared" si="535"/>
        <v>#DIV/0!</v>
      </c>
      <c r="AE1288" s="87">
        <f t="shared" si="535"/>
        <v>0</v>
      </c>
      <c r="AF1288" s="47">
        <f t="shared" si="535"/>
        <v>0</v>
      </c>
      <c r="AG1288" s="86">
        <f t="shared" si="430"/>
        <v>0</v>
      </c>
      <c r="AH1288" s="7">
        <f t="shared" si="431"/>
        <v>0</v>
      </c>
      <c r="AI1288" s="6">
        <f t="shared" si="415"/>
        <v>0</v>
      </c>
      <c r="AJ1288" s="6">
        <f t="shared" si="432"/>
        <v>0</v>
      </c>
      <c r="AK1288" s="47">
        <f t="shared" si="417"/>
        <v>0</v>
      </c>
      <c r="AL1288" s="748"/>
      <c r="AM1288" s="748"/>
    </row>
    <row r="1289" spans="2:39" x14ac:dyDescent="0.2">
      <c r="B1289" s="101" t="str">
        <f t="shared" si="418"/>
        <v/>
      </c>
      <c r="C1289" s="47">
        <f t="shared" si="408"/>
        <v>0</v>
      </c>
      <c r="D1289" s="168">
        <f t="shared" si="419"/>
        <v>0</v>
      </c>
      <c r="E1289" s="47">
        <f t="shared" ref="E1289:F1289" si="536">E1185+E1081+E977+E873+E769+E665+E561+E457+E353+E249+E145+E41</f>
        <v>0</v>
      </c>
      <c r="F1289" s="47">
        <f t="shared" si="536"/>
        <v>0</v>
      </c>
      <c r="G1289" s="168">
        <f t="shared" si="421"/>
        <v>0</v>
      </c>
      <c r="H1289" s="168" t="e">
        <f t="shared" si="410"/>
        <v>#DIV/0!</v>
      </c>
      <c r="I1289" s="736" t="e">
        <f t="shared" si="422"/>
        <v>#DIV/0!</v>
      </c>
      <c r="J1289" s="739"/>
      <c r="K1289" s="47">
        <f t="shared" si="527"/>
        <v>0</v>
      </c>
      <c r="L1289" s="47">
        <f>K1289-Personalplanung!AB41</f>
        <v>0</v>
      </c>
      <c r="M1289" s="739"/>
      <c r="N1289" s="47">
        <f t="shared" si="528"/>
        <v>0</v>
      </c>
      <c r="O1289" s="767">
        <f>N1289-Personalplanung!AC41</f>
        <v>0</v>
      </c>
      <c r="P1289" s="739"/>
      <c r="Q1289" s="47">
        <f t="shared" si="529"/>
        <v>0</v>
      </c>
      <c r="R1289" s="767">
        <f>Q1289-Personalplanung!AD41</f>
        <v>0</v>
      </c>
      <c r="S1289" s="739"/>
      <c r="T1289" s="47">
        <f t="shared" si="530"/>
        <v>0</v>
      </c>
      <c r="U1289" s="767">
        <f>T1289-Personalplanung!AE41</f>
        <v>0</v>
      </c>
      <c r="V1289" s="47">
        <f t="shared" ref="V1289:AA1289" si="537">V1185+V1081+V977+V873+V769+V665+V561+V457+V353+V249+V145+V41</f>
        <v>0</v>
      </c>
      <c r="W1289" s="47">
        <f t="shared" si="537"/>
        <v>0</v>
      </c>
      <c r="X1289" s="47">
        <f t="shared" si="537"/>
        <v>0</v>
      </c>
      <c r="Y1289" s="47">
        <f t="shared" si="537"/>
        <v>0</v>
      </c>
      <c r="Z1289" s="47">
        <f t="shared" si="537"/>
        <v>0</v>
      </c>
      <c r="AA1289" s="47" t="e">
        <f t="shared" si="537"/>
        <v>#DIV/0!</v>
      </c>
      <c r="AB1289" s="79">
        <f t="shared" si="428"/>
        <v>0</v>
      </c>
      <c r="AC1289" s="47" t="e">
        <f t="shared" ref="AC1289:AF1289" si="538">AC1185+AC1081+AC977+AC873+AC769+AC665+AC561+AC457+AC353+AC249+AC145+AC41</f>
        <v>#DIV/0!</v>
      </c>
      <c r="AD1289" s="47" t="e">
        <f t="shared" si="538"/>
        <v>#DIV/0!</v>
      </c>
      <c r="AE1289" s="87">
        <f t="shared" si="538"/>
        <v>0</v>
      </c>
      <c r="AF1289" s="47">
        <f t="shared" si="538"/>
        <v>0</v>
      </c>
      <c r="AG1289" s="86">
        <f t="shared" si="430"/>
        <v>0</v>
      </c>
      <c r="AH1289" s="7">
        <f t="shared" si="431"/>
        <v>0</v>
      </c>
      <c r="AI1289" s="6">
        <f t="shared" si="415"/>
        <v>0</v>
      </c>
      <c r="AJ1289" s="6">
        <f t="shared" si="432"/>
        <v>0</v>
      </c>
      <c r="AK1289" s="47">
        <f t="shared" si="417"/>
        <v>0</v>
      </c>
      <c r="AL1289" s="748"/>
      <c r="AM1289" s="748"/>
    </row>
    <row r="1290" spans="2:39" x14ac:dyDescent="0.2">
      <c r="B1290" s="101" t="str">
        <f t="shared" si="418"/>
        <v/>
      </c>
      <c r="C1290" s="47">
        <f t="shared" si="408"/>
        <v>0</v>
      </c>
      <c r="D1290" s="168">
        <f t="shared" si="419"/>
        <v>0</v>
      </c>
      <c r="E1290" s="47">
        <f t="shared" ref="E1290:F1290" si="539">E1186+E1082+E978+E874+E770+E666+E562+E458+E354+E250+E146+E42</f>
        <v>0</v>
      </c>
      <c r="F1290" s="47">
        <f t="shared" si="539"/>
        <v>0</v>
      </c>
      <c r="G1290" s="168">
        <f t="shared" si="421"/>
        <v>0</v>
      </c>
      <c r="H1290" s="168" t="e">
        <f t="shared" si="410"/>
        <v>#DIV/0!</v>
      </c>
      <c r="I1290" s="736" t="e">
        <f t="shared" si="422"/>
        <v>#DIV/0!</v>
      </c>
      <c r="J1290" s="739"/>
      <c r="K1290" s="47">
        <f t="shared" si="527"/>
        <v>0</v>
      </c>
      <c r="L1290" s="47">
        <f>K1290-Personalplanung!AB42</f>
        <v>0</v>
      </c>
      <c r="M1290" s="739"/>
      <c r="N1290" s="47">
        <f t="shared" si="528"/>
        <v>0</v>
      </c>
      <c r="O1290" s="767">
        <f>N1290-Personalplanung!AC42</f>
        <v>0</v>
      </c>
      <c r="P1290" s="739"/>
      <c r="Q1290" s="47">
        <f t="shared" si="529"/>
        <v>0</v>
      </c>
      <c r="R1290" s="767">
        <f>Q1290-Personalplanung!AD42</f>
        <v>0</v>
      </c>
      <c r="S1290" s="739"/>
      <c r="T1290" s="47">
        <f t="shared" si="530"/>
        <v>0</v>
      </c>
      <c r="U1290" s="767">
        <f>T1290-Personalplanung!AE42</f>
        <v>0</v>
      </c>
      <c r="V1290" s="47">
        <f t="shared" ref="V1290:AA1290" si="540">V1186+V1082+V978+V874+V770+V666+V562+V458+V354+V250+V146+V42</f>
        <v>0</v>
      </c>
      <c r="W1290" s="47">
        <f t="shared" si="540"/>
        <v>0</v>
      </c>
      <c r="X1290" s="47">
        <f t="shared" si="540"/>
        <v>0</v>
      </c>
      <c r="Y1290" s="47">
        <f t="shared" si="540"/>
        <v>0</v>
      </c>
      <c r="Z1290" s="47">
        <f t="shared" si="540"/>
        <v>0</v>
      </c>
      <c r="AA1290" s="47" t="e">
        <f t="shared" si="540"/>
        <v>#DIV/0!</v>
      </c>
      <c r="AB1290" s="79">
        <f t="shared" si="428"/>
        <v>0</v>
      </c>
      <c r="AC1290" s="47" t="e">
        <f t="shared" ref="AC1290:AF1290" si="541">AC1186+AC1082+AC978+AC874+AC770+AC666+AC562+AC458+AC354+AC250+AC146+AC42</f>
        <v>#DIV/0!</v>
      </c>
      <c r="AD1290" s="47" t="e">
        <f t="shared" si="541"/>
        <v>#DIV/0!</v>
      </c>
      <c r="AE1290" s="87">
        <f t="shared" si="541"/>
        <v>0</v>
      </c>
      <c r="AF1290" s="47">
        <f t="shared" si="541"/>
        <v>0</v>
      </c>
      <c r="AG1290" s="86">
        <f t="shared" si="430"/>
        <v>0</v>
      </c>
      <c r="AH1290" s="7">
        <f t="shared" si="431"/>
        <v>0</v>
      </c>
      <c r="AI1290" s="6">
        <f t="shared" si="415"/>
        <v>0</v>
      </c>
      <c r="AJ1290" s="6">
        <f t="shared" si="432"/>
        <v>0</v>
      </c>
      <c r="AK1290" s="47">
        <f t="shared" si="417"/>
        <v>0</v>
      </c>
      <c r="AL1290" s="748"/>
      <c r="AM1290" s="748"/>
    </row>
    <row r="1291" spans="2:39" x14ac:dyDescent="0.2">
      <c r="B1291" s="101" t="str">
        <f t="shared" si="418"/>
        <v/>
      </c>
      <c r="C1291" s="47">
        <f t="shared" si="408"/>
        <v>0</v>
      </c>
      <c r="D1291" s="168">
        <f t="shared" si="419"/>
        <v>0</v>
      </c>
      <c r="E1291" s="47">
        <f t="shared" ref="E1291:F1291" si="542">E1187+E1083+E979+E875+E771+E667+E563+E459+E355+E251+E147+E43</f>
        <v>0</v>
      </c>
      <c r="F1291" s="47">
        <f t="shared" si="542"/>
        <v>0</v>
      </c>
      <c r="G1291" s="168">
        <f t="shared" si="421"/>
        <v>0</v>
      </c>
      <c r="H1291" s="168" t="e">
        <f t="shared" si="410"/>
        <v>#DIV/0!</v>
      </c>
      <c r="I1291" s="736" t="e">
        <f t="shared" si="422"/>
        <v>#DIV/0!</v>
      </c>
      <c r="J1291" s="739"/>
      <c r="K1291" s="47">
        <f t="shared" si="527"/>
        <v>0</v>
      </c>
      <c r="L1291" s="47">
        <f>K1291-Personalplanung!AB43</f>
        <v>0</v>
      </c>
      <c r="M1291" s="739"/>
      <c r="N1291" s="47">
        <f t="shared" si="528"/>
        <v>0</v>
      </c>
      <c r="O1291" s="767">
        <f>N1291-Personalplanung!AC43</f>
        <v>0</v>
      </c>
      <c r="P1291" s="739"/>
      <c r="Q1291" s="47">
        <f t="shared" si="529"/>
        <v>0</v>
      </c>
      <c r="R1291" s="767">
        <f>Q1291-Personalplanung!AD43</f>
        <v>0</v>
      </c>
      <c r="S1291" s="739"/>
      <c r="T1291" s="47">
        <f t="shared" si="530"/>
        <v>0</v>
      </c>
      <c r="U1291" s="767">
        <f>T1291-Personalplanung!AE43</f>
        <v>0</v>
      </c>
      <c r="V1291" s="47">
        <f t="shared" ref="V1291:AA1291" si="543">V1187+V1083+V979+V875+V771+V667+V563+V459+V355+V251+V147+V43</f>
        <v>0</v>
      </c>
      <c r="W1291" s="47">
        <f t="shared" si="543"/>
        <v>0</v>
      </c>
      <c r="X1291" s="47">
        <f t="shared" si="543"/>
        <v>0</v>
      </c>
      <c r="Y1291" s="47">
        <f t="shared" si="543"/>
        <v>0</v>
      </c>
      <c r="Z1291" s="47">
        <f t="shared" si="543"/>
        <v>0</v>
      </c>
      <c r="AA1291" s="47" t="e">
        <f t="shared" si="543"/>
        <v>#DIV/0!</v>
      </c>
      <c r="AB1291" s="79">
        <f t="shared" si="428"/>
        <v>0</v>
      </c>
      <c r="AC1291" s="47" t="e">
        <f t="shared" ref="AC1291:AF1291" si="544">AC1187+AC1083+AC979+AC875+AC771+AC667+AC563+AC459+AC355+AC251+AC147+AC43</f>
        <v>#DIV/0!</v>
      </c>
      <c r="AD1291" s="47" t="e">
        <f t="shared" si="544"/>
        <v>#DIV/0!</v>
      </c>
      <c r="AE1291" s="87">
        <f t="shared" si="544"/>
        <v>0</v>
      </c>
      <c r="AF1291" s="47">
        <f t="shared" si="544"/>
        <v>0</v>
      </c>
      <c r="AG1291" s="86">
        <f t="shared" si="430"/>
        <v>0</v>
      </c>
      <c r="AH1291" s="7">
        <f t="shared" si="431"/>
        <v>0</v>
      </c>
      <c r="AI1291" s="6">
        <f t="shared" si="415"/>
        <v>0</v>
      </c>
      <c r="AJ1291" s="6">
        <f t="shared" si="432"/>
        <v>0</v>
      </c>
      <c r="AK1291" s="47">
        <f t="shared" si="417"/>
        <v>0</v>
      </c>
      <c r="AL1291" s="748"/>
      <c r="AM1291" s="748"/>
    </row>
    <row r="1292" spans="2:39" x14ac:dyDescent="0.2">
      <c r="B1292" s="101" t="str">
        <f t="shared" si="418"/>
        <v/>
      </c>
      <c r="C1292" s="47">
        <f t="shared" si="408"/>
        <v>0</v>
      </c>
      <c r="D1292" s="168">
        <f t="shared" si="419"/>
        <v>0</v>
      </c>
      <c r="E1292" s="47">
        <f t="shared" ref="E1292:F1292" si="545">E1188+E1084+E980+E876+E772+E668+E564+E460+E356+E252+E148+E44</f>
        <v>0</v>
      </c>
      <c r="F1292" s="47">
        <f t="shared" si="545"/>
        <v>0</v>
      </c>
      <c r="G1292" s="168">
        <f t="shared" si="421"/>
        <v>0</v>
      </c>
      <c r="H1292" s="168" t="e">
        <f t="shared" si="410"/>
        <v>#DIV/0!</v>
      </c>
      <c r="I1292" s="736" t="e">
        <f t="shared" si="422"/>
        <v>#DIV/0!</v>
      </c>
      <c r="J1292" s="739"/>
      <c r="K1292" s="47">
        <f t="shared" si="527"/>
        <v>0</v>
      </c>
      <c r="L1292" s="47">
        <f>K1292-Personalplanung!AB44</f>
        <v>0</v>
      </c>
      <c r="M1292" s="739"/>
      <c r="N1292" s="47">
        <f t="shared" si="528"/>
        <v>0</v>
      </c>
      <c r="O1292" s="767">
        <f>N1292-Personalplanung!AC44</f>
        <v>0</v>
      </c>
      <c r="P1292" s="739"/>
      <c r="Q1292" s="47">
        <f t="shared" si="529"/>
        <v>0</v>
      </c>
      <c r="R1292" s="767">
        <f>Q1292-Personalplanung!AD44</f>
        <v>0</v>
      </c>
      <c r="S1292" s="739"/>
      <c r="T1292" s="47">
        <f t="shared" si="530"/>
        <v>0</v>
      </c>
      <c r="U1292" s="767">
        <f>T1292-Personalplanung!AE44</f>
        <v>0</v>
      </c>
      <c r="V1292" s="47">
        <f t="shared" ref="V1292:AA1292" si="546">V1188+V1084+V980+V876+V772+V668+V564+V460+V356+V252+V148+V44</f>
        <v>0</v>
      </c>
      <c r="W1292" s="47">
        <f t="shared" si="546"/>
        <v>0</v>
      </c>
      <c r="X1292" s="47">
        <f t="shared" si="546"/>
        <v>0</v>
      </c>
      <c r="Y1292" s="47">
        <f t="shared" si="546"/>
        <v>0</v>
      </c>
      <c r="Z1292" s="47">
        <f t="shared" si="546"/>
        <v>0</v>
      </c>
      <c r="AA1292" s="47" t="e">
        <f t="shared" si="546"/>
        <v>#DIV/0!</v>
      </c>
      <c r="AB1292" s="79">
        <f t="shared" si="428"/>
        <v>0</v>
      </c>
      <c r="AC1292" s="47" t="e">
        <f t="shared" ref="AC1292:AF1292" si="547">AC1188+AC1084+AC980+AC876+AC772+AC668+AC564+AC460+AC356+AC252+AC148+AC44</f>
        <v>#DIV/0!</v>
      </c>
      <c r="AD1292" s="47" t="e">
        <f t="shared" si="547"/>
        <v>#DIV/0!</v>
      </c>
      <c r="AE1292" s="87">
        <f t="shared" si="547"/>
        <v>0</v>
      </c>
      <c r="AF1292" s="47">
        <f t="shared" si="547"/>
        <v>0</v>
      </c>
      <c r="AG1292" s="86">
        <f t="shared" si="430"/>
        <v>0</v>
      </c>
      <c r="AH1292" s="7">
        <f t="shared" si="431"/>
        <v>0</v>
      </c>
      <c r="AI1292" s="6">
        <f t="shared" si="415"/>
        <v>0</v>
      </c>
      <c r="AJ1292" s="6">
        <f t="shared" si="432"/>
        <v>0</v>
      </c>
      <c r="AK1292" s="47">
        <f t="shared" si="417"/>
        <v>0</v>
      </c>
      <c r="AL1292" s="748"/>
      <c r="AM1292" s="748"/>
    </row>
    <row r="1293" spans="2:39" x14ac:dyDescent="0.2">
      <c r="B1293" s="101" t="str">
        <f t="shared" si="418"/>
        <v/>
      </c>
      <c r="C1293" s="47">
        <f t="shared" si="408"/>
        <v>0</v>
      </c>
      <c r="D1293" s="168">
        <f t="shared" si="419"/>
        <v>0</v>
      </c>
      <c r="E1293" s="47">
        <f t="shared" ref="E1293:F1293" si="548">E1189+E1085+E981+E877+E773+E669+E565+E461+E357+E253+E149+E45</f>
        <v>0</v>
      </c>
      <c r="F1293" s="47">
        <f t="shared" si="548"/>
        <v>0</v>
      </c>
      <c r="G1293" s="168">
        <f t="shared" si="421"/>
        <v>0</v>
      </c>
      <c r="H1293" s="168" t="e">
        <f t="shared" si="410"/>
        <v>#DIV/0!</v>
      </c>
      <c r="I1293" s="736" t="e">
        <f t="shared" si="422"/>
        <v>#DIV/0!</v>
      </c>
      <c r="J1293" s="739"/>
      <c r="K1293" s="47">
        <f t="shared" si="527"/>
        <v>0</v>
      </c>
      <c r="L1293" s="47">
        <f>K1293-Personalplanung!AB45</f>
        <v>0</v>
      </c>
      <c r="M1293" s="739"/>
      <c r="N1293" s="47">
        <f t="shared" si="528"/>
        <v>0</v>
      </c>
      <c r="O1293" s="767">
        <f>N1293-Personalplanung!AC45</f>
        <v>0</v>
      </c>
      <c r="P1293" s="739"/>
      <c r="Q1293" s="47">
        <f t="shared" si="529"/>
        <v>0</v>
      </c>
      <c r="R1293" s="767">
        <f>Q1293-Personalplanung!AD45</f>
        <v>0</v>
      </c>
      <c r="S1293" s="739"/>
      <c r="T1293" s="47">
        <f t="shared" si="530"/>
        <v>0</v>
      </c>
      <c r="U1293" s="767">
        <f>T1293-Personalplanung!AE45</f>
        <v>0</v>
      </c>
      <c r="V1293" s="47">
        <f t="shared" ref="V1293:AA1293" si="549">V1189+V1085+V981+V877+V773+V669+V565+V461+V357+V253+V149+V45</f>
        <v>0</v>
      </c>
      <c r="W1293" s="47">
        <f t="shared" si="549"/>
        <v>0</v>
      </c>
      <c r="X1293" s="47">
        <f t="shared" si="549"/>
        <v>0</v>
      </c>
      <c r="Y1293" s="47">
        <f t="shared" si="549"/>
        <v>0</v>
      </c>
      <c r="Z1293" s="47">
        <f t="shared" si="549"/>
        <v>0</v>
      </c>
      <c r="AA1293" s="47" t="e">
        <f t="shared" si="549"/>
        <v>#DIV/0!</v>
      </c>
      <c r="AB1293" s="79">
        <f t="shared" si="428"/>
        <v>0</v>
      </c>
      <c r="AC1293" s="47" t="e">
        <f t="shared" ref="AC1293:AF1293" si="550">AC1189+AC1085+AC981+AC877+AC773+AC669+AC565+AC461+AC357+AC253+AC149+AC45</f>
        <v>#DIV/0!</v>
      </c>
      <c r="AD1293" s="47" t="e">
        <f t="shared" si="550"/>
        <v>#DIV/0!</v>
      </c>
      <c r="AE1293" s="87">
        <f t="shared" si="550"/>
        <v>0</v>
      </c>
      <c r="AF1293" s="47">
        <f t="shared" si="550"/>
        <v>0</v>
      </c>
      <c r="AG1293" s="86">
        <f t="shared" si="430"/>
        <v>0</v>
      </c>
      <c r="AH1293" s="7">
        <f t="shared" si="431"/>
        <v>0</v>
      </c>
      <c r="AI1293" s="6">
        <f t="shared" si="415"/>
        <v>0</v>
      </c>
      <c r="AJ1293" s="6">
        <f t="shared" si="432"/>
        <v>0</v>
      </c>
      <c r="AK1293" s="47">
        <f t="shared" si="417"/>
        <v>0</v>
      </c>
      <c r="AL1293" s="748"/>
      <c r="AM1293" s="748"/>
    </row>
    <row r="1294" spans="2:39" x14ac:dyDescent="0.2">
      <c r="B1294" s="101" t="str">
        <f t="shared" si="418"/>
        <v/>
      </c>
      <c r="C1294" s="47">
        <f t="shared" si="408"/>
        <v>0</v>
      </c>
      <c r="D1294" s="168">
        <f t="shared" si="419"/>
        <v>0</v>
      </c>
      <c r="E1294" s="47">
        <f t="shared" ref="E1294:F1294" si="551">E1190+E1086+E982+E878+E774+E670+E566+E462+E358+E254+E150+E46</f>
        <v>0</v>
      </c>
      <c r="F1294" s="47">
        <f t="shared" si="551"/>
        <v>0</v>
      </c>
      <c r="G1294" s="168">
        <f t="shared" si="421"/>
        <v>0</v>
      </c>
      <c r="H1294" s="168" t="e">
        <f t="shared" si="410"/>
        <v>#DIV/0!</v>
      </c>
      <c r="I1294" s="736" t="e">
        <f t="shared" si="422"/>
        <v>#DIV/0!</v>
      </c>
      <c r="J1294" s="739"/>
      <c r="K1294" s="47">
        <f t="shared" si="527"/>
        <v>0</v>
      </c>
      <c r="L1294" s="47">
        <f>K1294-Personalplanung!AB46</f>
        <v>0</v>
      </c>
      <c r="M1294" s="739"/>
      <c r="N1294" s="47">
        <f t="shared" si="528"/>
        <v>0</v>
      </c>
      <c r="O1294" s="767">
        <f>N1294-Personalplanung!AC46</f>
        <v>0</v>
      </c>
      <c r="P1294" s="739"/>
      <c r="Q1294" s="47">
        <f t="shared" si="529"/>
        <v>0</v>
      </c>
      <c r="R1294" s="767">
        <f>Q1294-Personalplanung!AD46</f>
        <v>0</v>
      </c>
      <c r="S1294" s="739"/>
      <c r="T1294" s="47">
        <f t="shared" si="530"/>
        <v>0</v>
      </c>
      <c r="U1294" s="767">
        <f>T1294-Personalplanung!AE46</f>
        <v>0</v>
      </c>
      <c r="V1294" s="47">
        <f t="shared" ref="V1294:AA1294" si="552">V1190+V1086+V982+V878+V774+V670+V566+V462+V358+V254+V150+V46</f>
        <v>0</v>
      </c>
      <c r="W1294" s="47">
        <f t="shared" si="552"/>
        <v>0</v>
      </c>
      <c r="X1294" s="47">
        <f t="shared" si="552"/>
        <v>0</v>
      </c>
      <c r="Y1294" s="47">
        <f t="shared" si="552"/>
        <v>0</v>
      </c>
      <c r="Z1294" s="47">
        <f t="shared" si="552"/>
        <v>0</v>
      </c>
      <c r="AA1294" s="47" t="e">
        <f t="shared" si="552"/>
        <v>#DIV/0!</v>
      </c>
      <c r="AB1294" s="79">
        <f t="shared" si="428"/>
        <v>0</v>
      </c>
      <c r="AC1294" s="47" t="e">
        <f t="shared" ref="AC1294:AF1294" si="553">AC1190+AC1086+AC982+AC878+AC774+AC670+AC566+AC462+AC358+AC254+AC150+AC46</f>
        <v>#DIV/0!</v>
      </c>
      <c r="AD1294" s="47" t="e">
        <f t="shared" si="553"/>
        <v>#DIV/0!</v>
      </c>
      <c r="AE1294" s="87">
        <f t="shared" si="553"/>
        <v>0</v>
      </c>
      <c r="AF1294" s="47">
        <f t="shared" si="553"/>
        <v>0</v>
      </c>
      <c r="AG1294" s="86">
        <f t="shared" si="430"/>
        <v>0</v>
      </c>
      <c r="AH1294" s="7">
        <f t="shared" si="431"/>
        <v>0</v>
      </c>
      <c r="AI1294" s="6">
        <f t="shared" si="415"/>
        <v>0</v>
      </c>
      <c r="AJ1294" s="6">
        <f t="shared" si="432"/>
        <v>0</v>
      </c>
      <c r="AK1294" s="47">
        <f t="shared" si="417"/>
        <v>0</v>
      </c>
      <c r="AL1294" s="748"/>
      <c r="AM1294" s="748"/>
    </row>
    <row r="1295" spans="2:39" x14ac:dyDescent="0.2">
      <c r="B1295" s="101" t="str">
        <f t="shared" si="418"/>
        <v/>
      </c>
      <c r="C1295" s="47">
        <f t="shared" si="408"/>
        <v>0</v>
      </c>
      <c r="D1295" s="168">
        <f t="shared" si="419"/>
        <v>0</v>
      </c>
      <c r="E1295" s="47">
        <f t="shared" ref="E1295:F1295" si="554">E1191+E1087+E983+E879+E775+E671+E567+E463+E359+E255+E151+E47</f>
        <v>0</v>
      </c>
      <c r="F1295" s="47">
        <f t="shared" si="554"/>
        <v>0</v>
      </c>
      <c r="G1295" s="168">
        <f t="shared" si="421"/>
        <v>0</v>
      </c>
      <c r="H1295" s="168" t="e">
        <f t="shared" si="410"/>
        <v>#DIV/0!</v>
      </c>
      <c r="I1295" s="736" t="e">
        <f t="shared" si="422"/>
        <v>#DIV/0!</v>
      </c>
      <c r="J1295" s="739"/>
      <c r="K1295" s="47">
        <f t="shared" si="527"/>
        <v>0</v>
      </c>
      <c r="L1295" s="47">
        <f>K1295-Personalplanung!AB47</f>
        <v>0</v>
      </c>
      <c r="M1295" s="739"/>
      <c r="N1295" s="47">
        <f t="shared" si="528"/>
        <v>0</v>
      </c>
      <c r="O1295" s="767">
        <f>N1295-Personalplanung!AC47</f>
        <v>0</v>
      </c>
      <c r="P1295" s="739"/>
      <c r="Q1295" s="47">
        <f t="shared" si="529"/>
        <v>0</v>
      </c>
      <c r="R1295" s="767">
        <f>Q1295-Personalplanung!AD47</f>
        <v>0</v>
      </c>
      <c r="S1295" s="739"/>
      <c r="T1295" s="47">
        <f t="shared" si="530"/>
        <v>0</v>
      </c>
      <c r="U1295" s="767">
        <f>T1295-Personalplanung!AE47</f>
        <v>0</v>
      </c>
      <c r="V1295" s="47">
        <f t="shared" ref="V1295:AA1295" si="555">V1191+V1087+V983+V879+V775+V671+V567+V463+V359+V255+V151+V47</f>
        <v>0</v>
      </c>
      <c r="W1295" s="47">
        <f t="shared" si="555"/>
        <v>0</v>
      </c>
      <c r="X1295" s="47">
        <f t="shared" si="555"/>
        <v>0</v>
      </c>
      <c r="Y1295" s="47">
        <f t="shared" si="555"/>
        <v>0</v>
      </c>
      <c r="Z1295" s="47">
        <f t="shared" si="555"/>
        <v>0</v>
      </c>
      <c r="AA1295" s="47" t="e">
        <f t="shared" si="555"/>
        <v>#DIV/0!</v>
      </c>
      <c r="AB1295" s="79">
        <f t="shared" si="428"/>
        <v>0</v>
      </c>
      <c r="AC1295" s="47" t="e">
        <f t="shared" ref="AC1295:AF1295" si="556">AC1191+AC1087+AC983+AC879+AC775+AC671+AC567+AC463+AC359+AC255+AC151+AC47</f>
        <v>#DIV/0!</v>
      </c>
      <c r="AD1295" s="47" t="e">
        <f t="shared" si="556"/>
        <v>#DIV/0!</v>
      </c>
      <c r="AE1295" s="87">
        <f t="shared" si="556"/>
        <v>0</v>
      </c>
      <c r="AF1295" s="47">
        <f t="shared" si="556"/>
        <v>0</v>
      </c>
      <c r="AG1295" s="86">
        <f t="shared" si="430"/>
        <v>0</v>
      </c>
      <c r="AH1295" s="7">
        <f t="shared" si="431"/>
        <v>0</v>
      </c>
      <c r="AI1295" s="6">
        <f t="shared" si="415"/>
        <v>0</v>
      </c>
      <c r="AJ1295" s="6">
        <f t="shared" si="432"/>
        <v>0</v>
      </c>
      <c r="AK1295" s="47">
        <f t="shared" si="417"/>
        <v>0</v>
      </c>
      <c r="AL1295" s="748"/>
      <c r="AM1295" s="748"/>
    </row>
    <row r="1296" spans="2:39" x14ac:dyDescent="0.2">
      <c r="B1296" s="101" t="str">
        <f t="shared" si="418"/>
        <v/>
      </c>
      <c r="C1296" s="47">
        <f t="shared" si="408"/>
        <v>0</v>
      </c>
      <c r="D1296" s="168">
        <f t="shared" si="419"/>
        <v>0</v>
      </c>
      <c r="E1296" s="47">
        <f t="shared" ref="E1296:F1296" si="557">E1192+E1088+E984+E880+E776+E672+E568+E464+E360+E256+E152+E48</f>
        <v>0</v>
      </c>
      <c r="F1296" s="47">
        <f t="shared" si="557"/>
        <v>0</v>
      </c>
      <c r="G1296" s="168">
        <f t="shared" si="421"/>
        <v>0</v>
      </c>
      <c r="H1296" s="168" t="e">
        <f t="shared" si="410"/>
        <v>#DIV/0!</v>
      </c>
      <c r="I1296" s="736" t="e">
        <f t="shared" si="422"/>
        <v>#DIV/0!</v>
      </c>
      <c r="J1296" s="739"/>
      <c r="K1296" s="47">
        <f t="shared" si="527"/>
        <v>0</v>
      </c>
      <c r="L1296" s="47">
        <f>K1296-Personalplanung!AB48</f>
        <v>0</v>
      </c>
      <c r="M1296" s="739"/>
      <c r="N1296" s="47">
        <f t="shared" si="528"/>
        <v>0</v>
      </c>
      <c r="O1296" s="767">
        <f>N1296-Personalplanung!AC48</f>
        <v>0</v>
      </c>
      <c r="P1296" s="739"/>
      <c r="Q1296" s="47">
        <f t="shared" si="529"/>
        <v>0</v>
      </c>
      <c r="R1296" s="767">
        <f>Q1296-Personalplanung!AD48</f>
        <v>0</v>
      </c>
      <c r="S1296" s="739"/>
      <c r="T1296" s="47">
        <f t="shared" si="530"/>
        <v>0</v>
      </c>
      <c r="U1296" s="767">
        <f>T1296-Personalplanung!AE48</f>
        <v>0</v>
      </c>
      <c r="V1296" s="47">
        <f t="shared" ref="V1296:AA1296" si="558">V1192+V1088+V984+V880+V776+V672+V568+V464+V360+V256+V152+V48</f>
        <v>0</v>
      </c>
      <c r="W1296" s="47">
        <f t="shared" si="558"/>
        <v>0</v>
      </c>
      <c r="X1296" s="47">
        <f t="shared" si="558"/>
        <v>0</v>
      </c>
      <c r="Y1296" s="47">
        <f t="shared" si="558"/>
        <v>0</v>
      </c>
      <c r="Z1296" s="47">
        <f t="shared" si="558"/>
        <v>0</v>
      </c>
      <c r="AA1296" s="47" t="e">
        <f t="shared" si="558"/>
        <v>#DIV/0!</v>
      </c>
      <c r="AB1296" s="79">
        <f t="shared" si="428"/>
        <v>0</v>
      </c>
      <c r="AC1296" s="47" t="e">
        <f t="shared" ref="AC1296:AF1296" si="559">AC1192+AC1088+AC984+AC880+AC776+AC672+AC568+AC464+AC360+AC256+AC152+AC48</f>
        <v>#DIV/0!</v>
      </c>
      <c r="AD1296" s="47" t="e">
        <f t="shared" si="559"/>
        <v>#DIV/0!</v>
      </c>
      <c r="AE1296" s="87">
        <f t="shared" si="559"/>
        <v>0</v>
      </c>
      <c r="AF1296" s="47">
        <f t="shared" si="559"/>
        <v>0</v>
      </c>
      <c r="AG1296" s="86">
        <f t="shared" si="430"/>
        <v>0</v>
      </c>
      <c r="AH1296" s="7">
        <f t="shared" si="431"/>
        <v>0</v>
      </c>
      <c r="AI1296" s="6">
        <f t="shared" si="415"/>
        <v>0</v>
      </c>
      <c r="AJ1296" s="6">
        <f t="shared" si="432"/>
        <v>0</v>
      </c>
      <c r="AK1296" s="47">
        <f t="shared" si="417"/>
        <v>0</v>
      </c>
      <c r="AL1296" s="748"/>
      <c r="AM1296" s="748"/>
    </row>
    <row r="1297" spans="2:39" x14ac:dyDescent="0.2">
      <c r="B1297" s="101" t="str">
        <f t="shared" si="418"/>
        <v/>
      </c>
      <c r="C1297" s="47">
        <f t="shared" si="408"/>
        <v>0</v>
      </c>
      <c r="D1297" s="168">
        <f t="shared" si="419"/>
        <v>0</v>
      </c>
      <c r="E1297" s="47">
        <f t="shared" ref="E1297:F1297" si="560">E1193+E1089+E985+E881+E777+E673+E569+E465+E361+E257+E153+E49</f>
        <v>0</v>
      </c>
      <c r="F1297" s="47">
        <f t="shared" si="560"/>
        <v>0</v>
      </c>
      <c r="G1297" s="168">
        <f t="shared" si="421"/>
        <v>0</v>
      </c>
      <c r="H1297" s="168" t="e">
        <f t="shared" si="410"/>
        <v>#DIV/0!</v>
      </c>
      <c r="I1297" s="736" t="e">
        <f t="shared" si="422"/>
        <v>#DIV/0!</v>
      </c>
      <c r="J1297" s="739"/>
      <c r="K1297" s="47">
        <f t="shared" si="527"/>
        <v>0</v>
      </c>
      <c r="L1297" s="47">
        <f>K1297-Personalplanung!AB49</f>
        <v>0</v>
      </c>
      <c r="M1297" s="739"/>
      <c r="N1297" s="47">
        <f t="shared" si="528"/>
        <v>0</v>
      </c>
      <c r="O1297" s="767">
        <f>N1297-Personalplanung!AC49</f>
        <v>0</v>
      </c>
      <c r="P1297" s="739"/>
      <c r="Q1297" s="47">
        <f t="shared" si="529"/>
        <v>0</v>
      </c>
      <c r="R1297" s="767">
        <f>Q1297-Personalplanung!AD49</f>
        <v>0</v>
      </c>
      <c r="S1297" s="739"/>
      <c r="T1297" s="47">
        <f t="shared" si="530"/>
        <v>0</v>
      </c>
      <c r="U1297" s="767">
        <f>T1297-Personalplanung!AE49</f>
        <v>0</v>
      </c>
      <c r="V1297" s="47">
        <f t="shared" ref="V1297:AA1297" si="561">V1193+V1089+V985+V881+V777+V673+V569+V465+V361+V257+V153+V49</f>
        <v>0</v>
      </c>
      <c r="W1297" s="47">
        <f t="shared" si="561"/>
        <v>0</v>
      </c>
      <c r="X1297" s="47">
        <f t="shared" si="561"/>
        <v>0</v>
      </c>
      <c r="Y1297" s="47">
        <f t="shared" si="561"/>
        <v>0</v>
      </c>
      <c r="Z1297" s="47">
        <f t="shared" si="561"/>
        <v>0</v>
      </c>
      <c r="AA1297" s="47" t="e">
        <f t="shared" si="561"/>
        <v>#DIV/0!</v>
      </c>
      <c r="AB1297" s="79">
        <f t="shared" si="428"/>
        <v>0</v>
      </c>
      <c r="AC1297" s="47" t="e">
        <f t="shared" ref="AC1297:AF1297" si="562">AC1193+AC1089+AC985+AC881+AC777+AC673+AC569+AC465+AC361+AC257+AC153+AC49</f>
        <v>#DIV/0!</v>
      </c>
      <c r="AD1297" s="47" t="e">
        <f t="shared" si="562"/>
        <v>#DIV/0!</v>
      </c>
      <c r="AE1297" s="87">
        <f t="shared" si="562"/>
        <v>0</v>
      </c>
      <c r="AF1297" s="47">
        <f t="shared" si="562"/>
        <v>0</v>
      </c>
      <c r="AG1297" s="86">
        <f t="shared" si="430"/>
        <v>0</v>
      </c>
      <c r="AH1297" s="7">
        <f t="shared" si="431"/>
        <v>0</v>
      </c>
      <c r="AI1297" s="6">
        <f t="shared" si="415"/>
        <v>0</v>
      </c>
      <c r="AJ1297" s="6">
        <f t="shared" si="432"/>
        <v>0</v>
      </c>
      <c r="AK1297" s="47">
        <f t="shared" si="417"/>
        <v>0</v>
      </c>
      <c r="AL1297" s="748"/>
      <c r="AM1297" s="748"/>
    </row>
    <row r="1298" spans="2:39" x14ac:dyDescent="0.2">
      <c r="B1298" s="101" t="str">
        <f t="shared" si="418"/>
        <v/>
      </c>
      <c r="C1298" s="47">
        <f t="shared" si="408"/>
        <v>0</v>
      </c>
      <c r="D1298" s="168">
        <f t="shared" si="419"/>
        <v>0</v>
      </c>
      <c r="E1298" s="47">
        <f t="shared" ref="E1298:F1298" si="563">E1194+E1090+E986+E882+E778+E674+E570+E466+E362+E258+E154+E50</f>
        <v>0</v>
      </c>
      <c r="F1298" s="47">
        <f t="shared" si="563"/>
        <v>0</v>
      </c>
      <c r="G1298" s="168">
        <f t="shared" si="421"/>
        <v>0</v>
      </c>
      <c r="H1298" s="168" t="e">
        <f t="shared" si="410"/>
        <v>#DIV/0!</v>
      </c>
      <c r="I1298" s="736" t="e">
        <f t="shared" si="422"/>
        <v>#DIV/0!</v>
      </c>
      <c r="J1298" s="739"/>
      <c r="K1298" s="47">
        <f t="shared" si="527"/>
        <v>0</v>
      </c>
      <c r="L1298" s="47">
        <f>K1298-Personalplanung!AB50</f>
        <v>0</v>
      </c>
      <c r="M1298" s="739"/>
      <c r="N1298" s="47">
        <f t="shared" si="528"/>
        <v>0</v>
      </c>
      <c r="O1298" s="767">
        <f>N1298-Personalplanung!AC50</f>
        <v>0</v>
      </c>
      <c r="P1298" s="739"/>
      <c r="Q1298" s="47">
        <f t="shared" si="529"/>
        <v>0</v>
      </c>
      <c r="R1298" s="767">
        <f>Q1298-Personalplanung!AD50</f>
        <v>0</v>
      </c>
      <c r="S1298" s="739"/>
      <c r="T1298" s="47">
        <f t="shared" si="530"/>
        <v>0</v>
      </c>
      <c r="U1298" s="767">
        <f>T1298-Personalplanung!AE50</f>
        <v>0</v>
      </c>
      <c r="V1298" s="47">
        <f t="shared" ref="V1298:AA1298" si="564">V1194+V1090+V986+V882+V778+V674+V570+V466+V362+V258+V154+V50</f>
        <v>0</v>
      </c>
      <c r="W1298" s="47">
        <f t="shared" si="564"/>
        <v>0</v>
      </c>
      <c r="X1298" s="47">
        <f t="shared" si="564"/>
        <v>0</v>
      </c>
      <c r="Y1298" s="47">
        <f t="shared" si="564"/>
        <v>0</v>
      </c>
      <c r="Z1298" s="47">
        <f t="shared" si="564"/>
        <v>0</v>
      </c>
      <c r="AA1298" s="47" t="e">
        <f t="shared" si="564"/>
        <v>#DIV/0!</v>
      </c>
      <c r="AB1298" s="79">
        <f t="shared" si="428"/>
        <v>0</v>
      </c>
      <c r="AC1298" s="47" t="e">
        <f t="shared" ref="AC1298:AF1298" si="565">AC1194+AC1090+AC986+AC882+AC778+AC674+AC570+AC466+AC362+AC258+AC154+AC50</f>
        <v>#DIV/0!</v>
      </c>
      <c r="AD1298" s="47" t="e">
        <f t="shared" si="565"/>
        <v>#DIV/0!</v>
      </c>
      <c r="AE1298" s="87">
        <f t="shared" si="565"/>
        <v>0</v>
      </c>
      <c r="AF1298" s="47">
        <f t="shared" si="565"/>
        <v>0</v>
      </c>
      <c r="AG1298" s="86">
        <f t="shared" si="430"/>
        <v>0</v>
      </c>
      <c r="AH1298" s="7">
        <f t="shared" si="431"/>
        <v>0</v>
      </c>
      <c r="AI1298" s="6">
        <f t="shared" si="415"/>
        <v>0</v>
      </c>
      <c r="AJ1298" s="6">
        <f t="shared" si="432"/>
        <v>0</v>
      </c>
      <c r="AK1298" s="47">
        <f t="shared" si="417"/>
        <v>0</v>
      </c>
      <c r="AL1298" s="748"/>
      <c r="AM1298" s="748"/>
    </row>
    <row r="1299" spans="2:39" x14ac:dyDescent="0.2">
      <c r="B1299" s="101" t="str">
        <f t="shared" si="418"/>
        <v/>
      </c>
      <c r="C1299" s="47">
        <f t="shared" si="408"/>
        <v>0</v>
      </c>
      <c r="D1299" s="168">
        <f t="shared" si="419"/>
        <v>0</v>
      </c>
      <c r="E1299" s="47">
        <f t="shared" ref="E1299:F1299" si="566">E1195+E1091+E987+E883+E779+E675+E571+E467+E363+E259+E155+E51</f>
        <v>0</v>
      </c>
      <c r="F1299" s="47">
        <f t="shared" si="566"/>
        <v>0</v>
      </c>
      <c r="G1299" s="168">
        <f t="shared" si="421"/>
        <v>0</v>
      </c>
      <c r="H1299" s="168" t="e">
        <f t="shared" si="410"/>
        <v>#DIV/0!</v>
      </c>
      <c r="I1299" s="736" t="e">
        <f t="shared" si="422"/>
        <v>#DIV/0!</v>
      </c>
      <c r="J1299" s="739"/>
      <c r="K1299" s="47">
        <f t="shared" si="527"/>
        <v>0</v>
      </c>
      <c r="L1299" s="47">
        <f>K1299-Personalplanung!AB51</f>
        <v>0</v>
      </c>
      <c r="M1299" s="739"/>
      <c r="N1299" s="47">
        <f t="shared" si="528"/>
        <v>0</v>
      </c>
      <c r="O1299" s="767">
        <f>N1299-Personalplanung!AC51</f>
        <v>0</v>
      </c>
      <c r="P1299" s="739"/>
      <c r="Q1299" s="47">
        <f t="shared" si="529"/>
        <v>0</v>
      </c>
      <c r="R1299" s="767">
        <f>Q1299-Personalplanung!AD51</f>
        <v>0</v>
      </c>
      <c r="S1299" s="739"/>
      <c r="T1299" s="47">
        <f t="shared" si="530"/>
        <v>0</v>
      </c>
      <c r="U1299" s="767">
        <f>T1299-Personalplanung!AE51</f>
        <v>0</v>
      </c>
      <c r="V1299" s="47">
        <f t="shared" ref="V1299:AA1299" si="567">V1195+V1091+V987+V883+V779+V675+V571+V467+V363+V259+V155+V51</f>
        <v>0</v>
      </c>
      <c r="W1299" s="47">
        <f t="shared" si="567"/>
        <v>0</v>
      </c>
      <c r="X1299" s="47">
        <f t="shared" si="567"/>
        <v>0</v>
      </c>
      <c r="Y1299" s="47">
        <f t="shared" si="567"/>
        <v>0</v>
      </c>
      <c r="Z1299" s="47">
        <f t="shared" si="567"/>
        <v>0</v>
      </c>
      <c r="AA1299" s="47" t="e">
        <f t="shared" si="567"/>
        <v>#DIV/0!</v>
      </c>
      <c r="AB1299" s="79">
        <f t="shared" si="428"/>
        <v>0</v>
      </c>
      <c r="AC1299" s="47" t="e">
        <f t="shared" ref="AC1299:AF1299" si="568">AC1195+AC1091+AC987+AC883+AC779+AC675+AC571+AC467+AC363+AC259+AC155+AC51</f>
        <v>#DIV/0!</v>
      </c>
      <c r="AD1299" s="47" t="e">
        <f t="shared" si="568"/>
        <v>#DIV/0!</v>
      </c>
      <c r="AE1299" s="87">
        <f t="shared" si="568"/>
        <v>0</v>
      </c>
      <c r="AF1299" s="47">
        <f t="shared" si="568"/>
        <v>0</v>
      </c>
      <c r="AG1299" s="86">
        <f t="shared" si="430"/>
        <v>0</v>
      </c>
      <c r="AH1299" s="7">
        <f t="shared" si="431"/>
        <v>0</v>
      </c>
      <c r="AI1299" s="6">
        <f t="shared" si="415"/>
        <v>0</v>
      </c>
      <c r="AJ1299" s="6">
        <f t="shared" si="432"/>
        <v>0</v>
      </c>
      <c r="AK1299" s="47">
        <f t="shared" si="417"/>
        <v>0</v>
      </c>
      <c r="AL1299" s="748"/>
      <c r="AM1299" s="748"/>
    </row>
    <row r="1300" spans="2:39" x14ac:dyDescent="0.2">
      <c r="B1300" s="101" t="str">
        <f t="shared" si="418"/>
        <v/>
      </c>
      <c r="C1300" s="47">
        <f t="shared" si="408"/>
        <v>0</v>
      </c>
      <c r="D1300" s="168">
        <f t="shared" si="419"/>
        <v>0</v>
      </c>
      <c r="E1300" s="47">
        <f t="shared" ref="E1300:F1300" si="569">E1196+E1092+E988+E884+E780+E676+E572+E468+E364+E260+E156+E52</f>
        <v>0</v>
      </c>
      <c r="F1300" s="47">
        <f t="shared" si="569"/>
        <v>0</v>
      </c>
      <c r="G1300" s="168">
        <f t="shared" si="421"/>
        <v>0</v>
      </c>
      <c r="H1300" s="168" t="e">
        <f t="shared" si="410"/>
        <v>#DIV/0!</v>
      </c>
      <c r="I1300" s="736" t="e">
        <f t="shared" si="422"/>
        <v>#DIV/0!</v>
      </c>
      <c r="J1300" s="739"/>
      <c r="K1300" s="47">
        <f t="shared" si="527"/>
        <v>0</v>
      </c>
      <c r="L1300" s="47">
        <f>K1300-Personalplanung!AB52</f>
        <v>0</v>
      </c>
      <c r="M1300" s="739"/>
      <c r="N1300" s="47">
        <f t="shared" si="528"/>
        <v>0</v>
      </c>
      <c r="O1300" s="767">
        <f>N1300-Personalplanung!AC52</f>
        <v>0</v>
      </c>
      <c r="P1300" s="739"/>
      <c r="Q1300" s="47">
        <f t="shared" si="529"/>
        <v>0</v>
      </c>
      <c r="R1300" s="767">
        <f>Q1300-Personalplanung!AD52</f>
        <v>0</v>
      </c>
      <c r="S1300" s="739"/>
      <c r="T1300" s="47">
        <f t="shared" si="530"/>
        <v>0</v>
      </c>
      <c r="U1300" s="767">
        <f>T1300-Personalplanung!AE52</f>
        <v>0</v>
      </c>
      <c r="V1300" s="47">
        <f t="shared" ref="V1300:AA1300" si="570">V1196+V1092+V988+V884+V780+V676+V572+V468+V364+V260+V156+V52</f>
        <v>0</v>
      </c>
      <c r="W1300" s="47">
        <f t="shared" si="570"/>
        <v>0</v>
      </c>
      <c r="X1300" s="47">
        <f t="shared" si="570"/>
        <v>0</v>
      </c>
      <c r="Y1300" s="47">
        <f t="shared" si="570"/>
        <v>0</v>
      </c>
      <c r="Z1300" s="47">
        <f t="shared" si="570"/>
        <v>0</v>
      </c>
      <c r="AA1300" s="47" t="e">
        <f t="shared" si="570"/>
        <v>#DIV/0!</v>
      </c>
      <c r="AB1300" s="79">
        <f t="shared" si="428"/>
        <v>0</v>
      </c>
      <c r="AC1300" s="47" t="e">
        <f t="shared" ref="AC1300:AF1300" si="571">AC1196+AC1092+AC988+AC884+AC780+AC676+AC572+AC468+AC364+AC260+AC156+AC52</f>
        <v>#DIV/0!</v>
      </c>
      <c r="AD1300" s="47" t="e">
        <f t="shared" si="571"/>
        <v>#DIV/0!</v>
      </c>
      <c r="AE1300" s="87">
        <f t="shared" si="571"/>
        <v>0</v>
      </c>
      <c r="AF1300" s="47">
        <f t="shared" si="571"/>
        <v>0</v>
      </c>
      <c r="AG1300" s="86">
        <f t="shared" si="430"/>
        <v>0</v>
      </c>
      <c r="AH1300" s="7">
        <f t="shared" si="431"/>
        <v>0</v>
      </c>
      <c r="AI1300" s="6">
        <f t="shared" si="415"/>
        <v>0</v>
      </c>
      <c r="AJ1300" s="6">
        <f t="shared" si="432"/>
        <v>0</v>
      </c>
      <c r="AK1300" s="47">
        <f t="shared" si="417"/>
        <v>0</v>
      </c>
      <c r="AL1300" s="748"/>
      <c r="AM1300" s="748"/>
    </row>
    <row r="1301" spans="2:39" x14ac:dyDescent="0.2">
      <c r="B1301" s="101" t="str">
        <f t="shared" si="418"/>
        <v/>
      </c>
      <c r="C1301" s="47">
        <f t="shared" si="408"/>
        <v>0</v>
      </c>
      <c r="D1301" s="168">
        <f t="shared" si="419"/>
        <v>0</v>
      </c>
      <c r="E1301" s="47">
        <f t="shared" ref="E1301:F1301" si="572">E1197+E1093+E989+E885+E781+E677+E573+E469+E365+E261+E157+E53</f>
        <v>0</v>
      </c>
      <c r="F1301" s="47">
        <f t="shared" si="572"/>
        <v>0</v>
      </c>
      <c r="G1301" s="168">
        <f t="shared" si="421"/>
        <v>0</v>
      </c>
      <c r="H1301" s="168" t="e">
        <f t="shared" si="410"/>
        <v>#DIV/0!</v>
      </c>
      <c r="I1301" s="736" t="e">
        <f t="shared" si="422"/>
        <v>#DIV/0!</v>
      </c>
      <c r="J1301" s="739"/>
      <c r="K1301" s="47">
        <f t="shared" si="527"/>
        <v>0</v>
      </c>
      <c r="L1301" s="47">
        <f>K1301-Personalplanung!AB53</f>
        <v>0</v>
      </c>
      <c r="M1301" s="739"/>
      <c r="N1301" s="47">
        <f t="shared" si="528"/>
        <v>0</v>
      </c>
      <c r="O1301" s="767">
        <f>N1301-Personalplanung!AC53</f>
        <v>0</v>
      </c>
      <c r="P1301" s="739"/>
      <c r="Q1301" s="47">
        <f t="shared" si="529"/>
        <v>0</v>
      </c>
      <c r="R1301" s="767">
        <f>Q1301-Personalplanung!AD53</f>
        <v>0</v>
      </c>
      <c r="S1301" s="739"/>
      <c r="T1301" s="47">
        <f t="shared" si="530"/>
        <v>0</v>
      </c>
      <c r="U1301" s="767">
        <f>T1301-Personalplanung!AE53</f>
        <v>0</v>
      </c>
      <c r="V1301" s="47">
        <f t="shared" ref="V1301:AA1301" si="573">V1197+V1093+V989+V885+V781+V677+V573+V469+V365+V261+V157+V53</f>
        <v>0</v>
      </c>
      <c r="W1301" s="47">
        <f t="shared" si="573"/>
        <v>0</v>
      </c>
      <c r="X1301" s="47">
        <f t="shared" si="573"/>
        <v>0</v>
      </c>
      <c r="Y1301" s="47">
        <f t="shared" si="573"/>
        <v>0</v>
      </c>
      <c r="Z1301" s="47">
        <f t="shared" si="573"/>
        <v>0</v>
      </c>
      <c r="AA1301" s="47" t="e">
        <f t="shared" si="573"/>
        <v>#DIV/0!</v>
      </c>
      <c r="AB1301" s="79">
        <f t="shared" si="428"/>
        <v>0</v>
      </c>
      <c r="AC1301" s="47" t="e">
        <f t="shared" ref="AC1301:AF1301" si="574">AC1197+AC1093+AC989+AC885+AC781+AC677+AC573+AC469+AC365+AC261+AC157+AC53</f>
        <v>#DIV/0!</v>
      </c>
      <c r="AD1301" s="47" t="e">
        <f t="shared" si="574"/>
        <v>#DIV/0!</v>
      </c>
      <c r="AE1301" s="87">
        <f t="shared" si="574"/>
        <v>0</v>
      </c>
      <c r="AF1301" s="47">
        <f t="shared" si="574"/>
        <v>0</v>
      </c>
      <c r="AG1301" s="86">
        <f t="shared" si="430"/>
        <v>0</v>
      </c>
      <c r="AH1301" s="7">
        <f t="shared" si="431"/>
        <v>0</v>
      </c>
      <c r="AI1301" s="6">
        <f t="shared" si="415"/>
        <v>0</v>
      </c>
      <c r="AJ1301" s="6">
        <f t="shared" si="432"/>
        <v>0</v>
      </c>
      <c r="AK1301" s="47">
        <f t="shared" si="417"/>
        <v>0</v>
      </c>
      <c r="AL1301" s="748"/>
      <c r="AM1301" s="748"/>
    </row>
    <row r="1302" spans="2:39" x14ac:dyDescent="0.2">
      <c r="B1302" s="101" t="str">
        <f t="shared" si="418"/>
        <v/>
      </c>
      <c r="C1302" s="47">
        <f t="shared" si="408"/>
        <v>0</v>
      </c>
      <c r="D1302" s="168">
        <f t="shared" si="419"/>
        <v>0</v>
      </c>
      <c r="E1302" s="47">
        <f t="shared" ref="E1302:F1302" si="575">E1198+E1094+E990+E886+E782+E678+E574+E470+E366+E262+E158+E54</f>
        <v>0</v>
      </c>
      <c r="F1302" s="47">
        <f t="shared" si="575"/>
        <v>0</v>
      </c>
      <c r="G1302" s="168">
        <f t="shared" si="421"/>
        <v>0</v>
      </c>
      <c r="H1302" s="168" t="e">
        <f t="shared" si="410"/>
        <v>#DIV/0!</v>
      </c>
      <c r="I1302" s="736" t="e">
        <f t="shared" si="422"/>
        <v>#DIV/0!</v>
      </c>
      <c r="J1302" s="739"/>
      <c r="K1302" s="47">
        <f t="shared" si="527"/>
        <v>0</v>
      </c>
      <c r="L1302" s="47">
        <f>K1302-Personalplanung!AB54</f>
        <v>0</v>
      </c>
      <c r="M1302" s="739"/>
      <c r="N1302" s="47">
        <f t="shared" si="528"/>
        <v>0</v>
      </c>
      <c r="O1302" s="767">
        <f>N1302-Personalplanung!AC54</f>
        <v>0</v>
      </c>
      <c r="P1302" s="739"/>
      <c r="Q1302" s="47">
        <f t="shared" si="529"/>
        <v>0</v>
      </c>
      <c r="R1302" s="767">
        <f>Q1302-Personalplanung!AD54</f>
        <v>0</v>
      </c>
      <c r="S1302" s="739"/>
      <c r="T1302" s="47">
        <f t="shared" si="530"/>
        <v>0</v>
      </c>
      <c r="U1302" s="767">
        <f>T1302-Personalplanung!AE54</f>
        <v>0</v>
      </c>
      <c r="V1302" s="47">
        <f t="shared" ref="V1302:AA1302" si="576">V1198+V1094+V990+V886+V782+V678+V574+V470+V366+V262+V158+V54</f>
        <v>0</v>
      </c>
      <c r="W1302" s="47">
        <f t="shared" si="576"/>
        <v>0</v>
      </c>
      <c r="X1302" s="47">
        <f t="shared" si="576"/>
        <v>0</v>
      </c>
      <c r="Y1302" s="47">
        <f t="shared" si="576"/>
        <v>0</v>
      </c>
      <c r="Z1302" s="47">
        <f t="shared" si="576"/>
        <v>0</v>
      </c>
      <c r="AA1302" s="47" t="e">
        <f t="shared" si="576"/>
        <v>#DIV/0!</v>
      </c>
      <c r="AB1302" s="79">
        <f t="shared" si="428"/>
        <v>0</v>
      </c>
      <c r="AC1302" s="47" t="e">
        <f t="shared" ref="AC1302:AF1302" si="577">AC1198+AC1094+AC990+AC886+AC782+AC678+AC574+AC470+AC366+AC262+AC158+AC54</f>
        <v>#DIV/0!</v>
      </c>
      <c r="AD1302" s="47" t="e">
        <f t="shared" si="577"/>
        <v>#DIV/0!</v>
      </c>
      <c r="AE1302" s="87">
        <f t="shared" si="577"/>
        <v>0</v>
      </c>
      <c r="AF1302" s="47">
        <f t="shared" si="577"/>
        <v>0</v>
      </c>
      <c r="AG1302" s="86">
        <f t="shared" si="430"/>
        <v>0</v>
      </c>
      <c r="AH1302" s="7">
        <f t="shared" si="431"/>
        <v>0</v>
      </c>
      <c r="AI1302" s="6">
        <f t="shared" si="415"/>
        <v>0</v>
      </c>
      <c r="AJ1302" s="6">
        <f t="shared" si="432"/>
        <v>0</v>
      </c>
      <c r="AK1302" s="47">
        <f t="shared" si="417"/>
        <v>0</v>
      </c>
      <c r="AL1302" s="748"/>
      <c r="AM1302" s="748"/>
    </row>
    <row r="1303" spans="2:39" x14ac:dyDescent="0.2">
      <c r="B1303" s="101" t="str">
        <f t="shared" si="418"/>
        <v/>
      </c>
      <c r="C1303" s="47">
        <f t="shared" si="408"/>
        <v>0</v>
      </c>
      <c r="D1303" s="168">
        <f t="shared" si="419"/>
        <v>0</v>
      </c>
      <c r="E1303" s="47">
        <f t="shared" ref="E1303:F1303" si="578">E1199+E1095+E991+E887+E783+E679+E575+E471+E367+E263+E159+E55</f>
        <v>0</v>
      </c>
      <c r="F1303" s="47">
        <f t="shared" si="578"/>
        <v>0</v>
      </c>
      <c r="G1303" s="168">
        <f t="shared" si="421"/>
        <v>0</v>
      </c>
      <c r="H1303" s="168" t="e">
        <f t="shared" si="410"/>
        <v>#DIV/0!</v>
      </c>
      <c r="I1303" s="736" t="e">
        <f t="shared" si="422"/>
        <v>#DIV/0!</v>
      </c>
      <c r="J1303" s="739"/>
      <c r="K1303" s="47">
        <f t="shared" si="527"/>
        <v>0</v>
      </c>
      <c r="L1303" s="47">
        <f>K1303-Personalplanung!AB55</f>
        <v>0</v>
      </c>
      <c r="M1303" s="739"/>
      <c r="N1303" s="47">
        <f t="shared" si="528"/>
        <v>0</v>
      </c>
      <c r="O1303" s="767">
        <f>N1303-Personalplanung!AC55</f>
        <v>0</v>
      </c>
      <c r="P1303" s="739"/>
      <c r="Q1303" s="47">
        <f t="shared" si="529"/>
        <v>0</v>
      </c>
      <c r="R1303" s="767">
        <f>Q1303-Personalplanung!AD55</f>
        <v>0</v>
      </c>
      <c r="S1303" s="739"/>
      <c r="T1303" s="47">
        <f t="shared" si="530"/>
        <v>0</v>
      </c>
      <c r="U1303" s="767">
        <f>T1303-Personalplanung!AE55</f>
        <v>0</v>
      </c>
      <c r="V1303" s="47">
        <f t="shared" ref="V1303:AA1303" si="579">V1199+V1095+V991+V887+V783+V679+V575+V471+V367+V263+V159+V55</f>
        <v>0</v>
      </c>
      <c r="W1303" s="47">
        <f t="shared" si="579"/>
        <v>0</v>
      </c>
      <c r="X1303" s="47">
        <f t="shared" si="579"/>
        <v>0</v>
      </c>
      <c r="Y1303" s="47">
        <f t="shared" si="579"/>
        <v>0</v>
      </c>
      <c r="Z1303" s="47">
        <f t="shared" si="579"/>
        <v>0</v>
      </c>
      <c r="AA1303" s="47" t="e">
        <f t="shared" si="579"/>
        <v>#DIV/0!</v>
      </c>
      <c r="AB1303" s="79">
        <f t="shared" si="428"/>
        <v>0</v>
      </c>
      <c r="AC1303" s="47" t="e">
        <f t="shared" ref="AC1303:AF1303" si="580">AC1199+AC1095+AC991+AC887+AC783+AC679+AC575+AC471+AC367+AC263+AC159+AC55</f>
        <v>#DIV/0!</v>
      </c>
      <c r="AD1303" s="47" t="e">
        <f t="shared" si="580"/>
        <v>#DIV/0!</v>
      </c>
      <c r="AE1303" s="87">
        <f t="shared" si="580"/>
        <v>0</v>
      </c>
      <c r="AF1303" s="47">
        <f t="shared" si="580"/>
        <v>0</v>
      </c>
      <c r="AG1303" s="86">
        <f t="shared" si="430"/>
        <v>0</v>
      </c>
      <c r="AH1303" s="7">
        <f t="shared" si="431"/>
        <v>0</v>
      </c>
      <c r="AI1303" s="6">
        <f t="shared" si="415"/>
        <v>0</v>
      </c>
      <c r="AJ1303" s="6">
        <f t="shared" si="432"/>
        <v>0</v>
      </c>
      <c r="AK1303" s="47">
        <f t="shared" si="417"/>
        <v>0</v>
      </c>
      <c r="AL1303" s="748"/>
      <c r="AM1303" s="748"/>
    </row>
    <row r="1304" spans="2:39" x14ac:dyDescent="0.2">
      <c r="B1304" s="101" t="str">
        <f t="shared" si="418"/>
        <v/>
      </c>
      <c r="C1304" s="47">
        <f t="shared" si="408"/>
        <v>0</v>
      </c>
      <c r="D1304" s="168">
        <f t="shared" si="419"/>
        <v>0</v>
      </c>
      <c r="E1304" s="47">
        <f t="shared" ref="E1304:F1304" si="581">E1200+E1096+E992+E888+E784+E680+E576+E472+E368+E264+E160+E56</f>
        <v>0</v>
      </c>
      <c r="F1304" s="47">
        <f t="shared" si="581"/>
        <v>0</v>
      </c>
      <c r="G1304" s="168">
        <f t="shared" si="421"/>
        <v>0</v>
      </c>
      <c r="H1304" s="168" t="e">
        <f t="shared" si="410"/>
        <v>#DIV/0!</v>
      </c>
      <c r="I1304" s="736" t="e">
        <f t="shared" si="422"/>
        <v>#DIV/0!</v>
      </c>
      <c r="J1304" s="739"/>
      <c r="K1304" s="47">
        <f t="shared" si="527"/>
        <v>0</v>
      </c>
      <c r="L1304" s="47">
        <f>K1304-Personalplanung!AB56</f>
        <v>0</v>
      </c>
      <c r="M1304" s="739"/>
      <c r="N1304" s="47">
        <f t="shared" si="528"/>
        <v>0</v>
      </c>
      <c r="O1304" s="767">
        <f>N1304-Personalplanung!AC56</f>
        <v>0</v>
      </c>
      <c r="P1304" s="739"/>
      <c r="Q1304" s="47">
        <f t="shared" si="529"/>
        <v>0</v>
      </c>
      <c r="R1304" s="767">
        <f>Q1304-Personalplanung!AD56</f>
        <v>0</v>
      </c>
      <c r="S1304" s="739"/>
      <c r="T1304" s="47">
        <f t="shared" si="530"/>
        <v>0</v>
      </c>
      <c r="U1304" s="767">
        <f>T1304-Personalplanung!AE56</f>
        <v>0</v>
      </c>
      <c r="V1304" s="47">
        <f t="shared" ref="V1304:AA1304" si="582">V1200+V1096+V992+V888+V784+V680+V576+V472+V368+V264+V160+V56</f>
        <v>0</v>
      </c>
      <c r="W1304" s="47">
        <f t="shared" si="582"/>
        <v>0</v>
      </c>
      <c r="X1304" s="47">
        <f t="shared" si="582"/>
        <v>0</v>
      </c>
      <c r="Y1304" s="47">
        <f t="shared" si="582"/>
        <v>0</v>
      </c>
      <c r="Z1304" s="47">
        <f t="shared" si="582"/>
        <v>0</v>
      </c>
      <c r="AA1304" s="47" t="e">
        <f t="shared" si="582"/>
        <v>#DIV/0!</v>
      </c>
      <c r="AB1304" s="79">
        <f t="shared" si="428"/>
        <v>0</v>
      </c>
      <c r="AC1304" s="47" t="e">
        <f t="shared" ref="AC1304:AF1304" si="583">AC1200+AC1096+AC992+AC888+AC784+AC680+AC576+AC472+AC368+AC264+AC160+AC56</f>
        <v>#DIV/0!</v>
      </c>
      <c r="AD1304" s="47" t="e">
        <f t="shared" si="583"/>
        <v>#DIV/0!</v>
      </c>
      <c r="AE1304" s="87">
        <f t="shared" si="583"/>
        <v>0</v>
      </c>
      <c r="AF1304" s="47">
        <f t="shared" si="583"/>
        <v>0</v>
      </c>
      <c r="AG1304" s="86">
        <f t="shared" si="430"/>
        <v>0</v>
      </c>
      <c r="AH1304" s="7">
        <f t="shared" si="431"/>
        <v>0</v>
      </c>
      <c r="AI1304" s="6">
        <f t="shared" si="415"/>
        <v>0</v>
      </c>
      <c r="AJ1304" s="6">
        <f t="shared" si="432"/>
        <v>0</v>
      </c>
      <c r="AK1304" s="47">
        <f t="shared" si="417"/>
        <v>0</v>
      </c>
      <c r="AL1304" s="748"/>
      <c r="AM1304" s="748"/>
    </row>
    <row r="1305" spans="2:39" x14ac:dyDescent="0.2">
      <c r="B1305" s="101" t="str">
        <f t="shared" si="418"/>
        <v/>
      </c>
      <c r="C1305" s="47">
        <f t="shared" si="408"/>
        <v>0</v>
      </c>
      <c r="D1305" s="168">
        <f t="shared" si="419"/>
        <v>0</v>
      </c>
      <c r="E1305" s="47">
        <f t="shared" ref="E1305:F1305" si="584">E1201+E1097+E993+E889+E785+E681+E577+E473+E369+E265+E161+E57</f>
        <v>0</v>
      </c>
      <c r="F1305" s="47">
        <f t="shared" si="584"/>
        <v>0</v>
      </c>
      <c r="G1305" s="168">
        <f t="shared" si="421"/>
        <v>0</v>
      </c>
      <c r="H1305" s="168" t="e">
        <f t="shared" si="410"/>
        <v>#DIV/0!</v>
      </c>
      <c r="I1305" s="736" t="e">
        <f t="shared" si="422"/>
        <v>#DIV/0!</v>
      </c>
      <c r="J1305" s="739"/>
      <c r="K1305" s="47">
        <f t="shared" si="527"/>
        <v>0</v>
      </c>
      <c r="L1305" s="47">
        <f>K1305-Personalplanung!AB57</f>
        <v>0</v>
      </c>
      <c r="M1305" s="739"/>
      <c r="N1305" s="47">
        <f t="shared" si="528"/>
        <v>0</v>
      </c>
      <c r="O1305" s="767">
        <f>N1305-Personalplanung!AC57</f>
        <v>0</v>
      </c>
      <c r="P1305" s="739"/>
      <c r="Q1305" s="47">
        <f t="shared" si="529"/>
        <v>0</v>
      </c>
      <c r="R1305" s="767">
        <f>Q1305-Personalplanung!AD57</f>
        <v>0</v>
      </c>
      <c r="S1305" s="739"/>
      <c r="T1305" s="47">
        <f t="shared" si="530"/>
        <v>0</v>
      </c>
      <c r="U1305" s="767">
        <f>T1305-Personalplanung!AE57</f>
        <v>0</v>
      </c>
      <c r="V1305" s="47">
        <f t="shared" ref="V1305:AA1305" si="585">V1201+V1097+V993+V889+V785+V681+V577+V473+V369+V265+V161+V57</f>
        <v>0</v>
      </c>
      <c r="W1305" s="47">
        <f t="shared" si="585"/>
        <v>0</v>
      </c>
      <c r="X1305" s="47">
        <f t="shared" si="585"/>
        <v>0</v>
      </c>
      <c r="Y1305" s="47">
        <f t="shared" si="585"/>
        <v>0</v>
      </c>
      <c r="Z1305" s="47">
        <f t="shared" si="585"/>
        <v>0</v>
      </c>
      <c r="AA1305" s="47" t="e">
        <f t="shared" si="585"/>
        <v>#DIV/0!</v>
      </c>
      <c r="AB1305" s="79">
        <f t="shared" si="428"/>
        <v>0</v>
      </c>
      <c r="AC1305" s="47" t="e">
        <f t="shared" ref="AC1305:AF1305" si="586">AC1201+AC1097+AC993+AC889+AC785+AC681+AC577+AC473+AC369+AC265+AC161+AC57</f>
        <v>#DIV/0!</v>
      </c>
      <c r="AD1305" s="47" t="e">
        <f t="shared" si="586"/>
        <v>#DIV/0!</v>
      </c>
      <c r="AE1305" s="87">
        <f t="shared" si="586"/>
        <v>0</v>
      </c>
      <c r="AF1305" s="47">
        <f t="shared" si="586"/>
        <v>0</v>
      </c>
      <c r="AG1305" s="86">
        <f t="shared" si="430"/>
        <v>0</v>
      </c>
      <c r="AH1305" s="7">
        <f t="shared" si="431"/>
        <v>0</v>
      </c>
      <c r="AI1305" s="6">
        <f t="shared" si="415"/>
        <v>0</v>
      </c>
      <c r="AJ1305" s="6">
        <f t="shared" si="432"/>
        <v>0</v>
      </c>
      <c r="AK1305" s="47">
        <f t="shared" si="417"/>
        <v>0</v>
      </c>
      <c r="AL1305" s="748"/>
      <c r="AM1305" s="748"/>
    </row>
    <row r="1306" spans="2:39" x14ac:dyDescent="0.2">
      <c r="B1306" s="101" t="str">
        <f t="shared" si="418"/>
        <v/>
      </c>
      <c r="C1306" s="47">
        <f t="shared" si="408"/>
        <v>0</v>
      </c>
      <c r="D1306" s="168">
        <f t="shared" si="419"/>
        <v>0</v>
      </c>
      <c r="E1306" s="47">
        <f t="shared" ref="E1306:F1306" si="587">E1202+E1098+E994+E890+E786+E682+E578+E474+E370+E266+E162+E58</f>
        <v>0</v>
      </c>
      <c r="F1306" s="47">
        <f t="shared" si="587"/>
        <v>0</v>
      </c>
      <c r="G1306" s="168">
        <f t="shared" si="421"/>
        <v>0</v>
      </c>
      <c r="H1306" s="168" t="e">
        <f t="shared" si="410"/>
        <v>#DIV/0!</v>
      </c>
      <c r="I1306" s="736" t="e">
        <f t="shared" si="422"/>
        <v>#DIV/0!</v>
      </c>
      <c r="J1306" s="739"/>
      <c r="K1306" s="47">
        <f t="shared" si="527"/>
        <v>0</v>
      </c>
      <c r="L1306" s="47">
        <f>K1306-Personalplanung!AB58</f>
        <v>0</v>
      </c>
      <c r="M1306" s="739"/>
      <c r="N1306" s="47">
        <f t="shared" si="528"/>
        <v>0</v>
      </c>
      <c r="O1306" s="767">
        <f>N1306-Personalplanung!AC58</f>
        <v>0</v>
      </c>
      <c r="P1306" s="739"/>
      <c r="Q1306" s="47">
        <f t="shared" si="529"/>
        <v>0</v>
      </c>
      <c r="R1306" s="767">
        <f>Q1306-Personalplanung!AD58</f>
        <v>0</v>
      </c>
      <c r="S1306" s="739"/>
      <c r="T1306" s="47">
        <f t="shared" si="530"/>
        <v>0</v>
      </c>
      <c r="U1306" s="767">
        <f>T1306-Personalplanung!AE58</f>
        <v>0</v>
      </c>
      <c r="V1306" s="47">
        <f t="shared" ref="V1306:AA1306" si="588">V1202+V1098+V994+V890+V786+V682+V578+V474+V370+V266+V162+V58</f>
        <v>0</v>
      </c>
      <c r="W1306" s="47">
        <f t="shared" si="588"/>
        <v>0</v>
      </c>
      <c r="X1306" s="47">
        <f t="shared" si="588"/>
        <v>0</v>
      </c>
      <c r="Y1306" s="47">
        <f t="shared" si="588"/>
        <v>0</v>
      </c>
      <c r="Z1306" s="47">
        <f t="shared" si="588"/>
        <v>0</v>
      </c>
      <c r="AA1306" s="47" t="e">
        <f t="shared" si="588"/>
        <v>#DIV/0!</v>
      </c>
      <c r="AB1306" s="79">
        <f t="shared" si="428"/>
        <v>0</v>
      </c>
      <c r="AC1306" s="47" t="e">
        <f t="shared" ref="AC1306:AF1306" si="589">AC1202+AC1098+AC994+AC890+AC786+AC682+AC578+AC474+AC370+AC266+AC162+AC58</f>
        <v>#DIV/0!</v>
      </c>
      <c r="AD1306" s="47" t="e">
        <f t="shared" si="589"/>
        <v>#DIV/0!</v>
      </c>
      <c r="AE1306" s="87">
        <f t="shared" si="589"/>
        <v>0</v>
      </c>
      <c r="AF1306" s="47">
        <f t="shared" si="589"/>
        <v>0</v>
      </c>
      <c r="AG1306" s="86">
        <f t="shared" si="430"/>
        <v>0</v>
      </c>
      <c r="AH1306" s="7">
        <f t="shared" si="431"/>
        <v>0</v>
      </c>
      <c r="AI1306" s="6">
        <f t="shared" si="415"/>
        <v>0</v>
      </c>
      <c r="AJ1306" s="6">
        <f t="shared" si="432"/>
        <v>0</v>
      </c>
      <c r="AK1306" s="47">
        <f t="shared" si="417"/>
        <v>0</v>
      </c>
      <c r="AL1306" s="748"/>
      <c r="AM1306" s="748"/>
    </row>
    <row r="1307" spans="2:39" x14ac:dyDescent="0.2">
      <c r="B1307" s="101" t="str">
        <f t="shared" si="418"/>
        <v/>
      </c>
      <c r="C1307" s="47">
        <f t="shared" si="408"/>
        <v>0</v>
      </c>
      <c r="D1307" s="168">
        <f t="shared" si="419"/>
        <v>0</v>
      </c>
      <c r="E1307" s="47">
        <f t="shared" ref="E1307:F1307" si="590">E1203+E1099+E995+E891+E787+E683+E579+E475+E371+E267+E163+E59</f>
        <v>0</v>
      </c>
      <c r="F1307" s="47">
        <f t="shared" si="590"/>
        <v>0</v>
      </c>
      <c r="G1307" s="168">
        <f t="shared" si="421"/>
        <v>0</v>
      </c>
      <c r="H1307" s="168" t="e">
        <f t="shared" si="410"/>
        <v>#DIV/0!</v>
      </c>
      <c r="I1307" s="736" t="e">
        <f t="shared" si="422"/>
        <v>#DIV/0!</v>
      </c>
      <c r="J1307" s="739"/>
      <c r="K1307" s="47">
        <f t="shared" si="527"/>
        <v>0</v>
      </c>
      <c r="L1307" s="47">
        <f>K1307-Personalplanung!AB59</f>
        <v>0</v>
      </c>
      <c r="M1307" s="739"/>
      <c r="N1307" s="47">
        <f t="shared" si="528"/>
        <v>0</v>
      </c>
      <c r="O1307" s="767">
        <f>N1307-Personalplanung!AC59</f>
        <v>0</v>
      </c>
      <c r="P1307" s="739"/>
      <c r="Q1307" s="47">
        <f t="shared" si="529"/>
        <v>0</v>
      </c>
      <c r="R1307" s="767">
        <f>Q1307-Personalplanung!AD59</f>
        <v>0</v>
      </c>
      <c r="S1307" s="739"/>
      <c r="T1307" s="47">
        <f t="shared" si="530"/>
        <v>0</v>
      </c>
      <c r="U1307" s="767">
        <f>T1307-Personalplanung!AE59</f>
        <v>0</v>
      </c>
      <c r="V1307" s="47">
        <f t="shared" ref="V1307:AA1307" si="591">V1203+V1099+V995+V891+V787+V683+V579+V475+V371+V267+V163+V59</f>
        <v>0</v>
      </c>
      <c r="W1307" s="47">
        <f t="shared" si="591"/>
        <v>0</v>
      </c>
      <c r="X1307" s="47">
        <f t="shared" si="591"/>
        <v>0</v>
      </c>
      <c r="Y1307" s="47">
        <f t="shared" si="591"/>
        <v>0</v>
      </c>
      <c r="Z1307" s="47">
        <f t="shared" si="591"/>
        <v>0</v>
      </c>
      <c r="AA1307" s="47" t="e">
        <f t="shared" si="591"/>
        <v>#DIV/0!</v>
      </c>
      <c r="AB1307" s="79">
        <f t="shared" si="428"/>
        <v>0</v>
      </c>
      <c r="AC1307" s="47" t="e">
        <f t="shared" ref="AC1307:AF1307" si="592">AC1203+AC1099+AC995+AC891+AC787+AC683+AC579+AC475+AC371+AC267+AC163+AC59</f>
        <v>#DIV/0!</v>
      </c>
      <c r="AD1307" s="47" t="e">
        <f t="shared" si="592"/>
        <v>#DIV/0!</v>
      </c>
      <c r="AE1307" s="87">
        <f t="shared" si="592"/>
        <v>0</v>
      </c>
      <c r="AF1307" s="47">
        <f t="shared" si="592"/>
        <v>0</v>
      </c>
      <c r="AG1307" s="86">
        <f t="shared" si="430"/>
        <v>0</v>
      </c>
      <c r="AH1307" s="7">
        <f t="shared" si="431"/>
        <v>0</v>
      </c>
      <c r="AI1307" s="6">
        <f t="shared" si="415"/>
        <v>0</v>
      </c>
      <c r="AJ1307" s="6">
        <f t="shared" si="432"/>
        <v>0</v>
      </c>
      <c r="AK1307" s="47">
        <f t="shared" si="417"/>
        <v>0</v>
      </c>
      <c r="AL1307" s="748"/>
      <c r="AM1307" s="748"/>
    </row>
    <row r="1308" spans="2:39" x14ac:dyDescent="0.2">
      <c r="B1308" s="101" t="str">
        <f t="shared" si="418"/>
        <v/>
      </c>
      <c r="C1308" s="47">
        <f t="shared" si="408"/>
        <v>0</v>
      </c>
      <c r="D1308" s="168">
        <f t="shared" si="419"/>
        <v>0</v>
      </c>
      <c r="E1308" s="47">
        <f t="shared" ref="E1308:F1308" si="593">E1204+E1100+E996+E892+E788+E684+E580+E476+E372+E268+E164+E60</f>
        <v>0</v>
      </c>
      <c r="F1308" s="47">
        <f t="shared" si="593"/>
        <v>0</v>
      </c>
      <c r="G1308" s="168">
        <f t="shared" si="421"/>
        <v>0</v>
      </c>
      <c r="H1308" s="168" t="e">
        <f t="shared" si="410"/>
        <v>#DIV/0!</v>
      </c>
      <c r="I1308" s="736" t="e">
        <f t="shared" si="422"/>
        <v>#DIV/0!</v>
      </c>
      <c r="J1308" s="739"/>
      <c r="K1308" s="47">
        <f t="shared" si="527"/>
        <v>0</v>
      </c>
      <c r="L1308" s="47">
        <f>K1308-Personalplanung!AB60</f>
        <v>0</v>
      </c>
      <c r="M1308" s="739"/>
      <c r="N1308" s="47">
        <f t="shared" si="528"/>
        <v>0</v>
      </c>
      <c r="O1308" s="767">
        <f>N1308-Personalplanung!AC60</f>
        <v>0</v>
      </c>
      <c r="P1308" s="739"/>
      <c r="Q1308" s="47">
        <f t="shared" si="529"/>
        <v>0</v>
      </c>
      <c r="R1308" s="767">
        <f>Q1308-Personalplanung!AD60</f>
        <v>0</v>
      </c>
      <c r="S1308" s="739"/>
      <c r="T1308" s="47">
        <f t="shared" si="530"/>
        <v>0</v>
      </c>
      <c r="U1308" s="767">
        <f>T1308-Personalplanung!AE60</f>
        <v>0</v>
      </c>
      <c r="V1308" s="47">
        <f t="shared" ref="V1308:AA1308" si="594">V1204+V1100+V996+V892+V788+V684+V580+V476+V372+V268+V164+V60</f>
        <v>0</v>
      </c>
      <c r="W1308" s="47">
        <f t="shared" si="594"/>
        <v>0</v>
      </c>
      <c r="X1308" s="47">
        <f t="shared" si="594"/>
        <v>0</v>
      </c>
      <c r="Y1308" s="47">
        <f t="shared" si="594"/>
        <v>0</v>
      </c>
      <c r="Z1308" s="47">
        <f t="shared" si="594"/>
        <v>0</v>
      </c>
      <c r="AA1308" s="47" t="e">
        <f t="shared" si="594"/>
        <v>#DIV/0!</v>
      </c>
      <c r="AB1308" s="79">
        <f t="shared" si="428"/>
        <v>0</v>
      </c>
      <c r="AC1308" s="47" t="e">
        <f t="shared" ref="AC1308:AF1308" si="595">AC1204+AC1100+AC996+AC892+AC788+AC684+AC580+AC476+AC372+AC268+AC164+AC60</f>
        <v>#DIV/0!</v>
      </c>
      <c r="AD1308" s="47" t="e">
        <f t="shared" si="595"/>
        <v>#DIV/0!</v>
      </c>
      <c r="AE1308" s="87">
        <f t="shared" si="595"/>
        <v>0</v>
      </c>
      <c r="AF1308" s="47">
        <f t="shared" si="595"/>
        <v>0</v>
      </c>
      <c r="AG1308" s="86">
        <f t="shared" si="430"/>
        <v>0</v>
      </c>
      <c r="AH1308" s="7">
        <f t="shared" si="431"/>
        <v>0</v>
      </c>
      <c r="AI1308" s="6">
        <f t="shared" si="415"/>
        <v>0</v>
      </c>
      <c r="AJ1308" s="6">
        <f t="shared" si="432"/>
        <v>0</v>
      </c>
      <c r="AK1308" s="47">
        <f t="shared" si="417"/>
        <v>0</v>
      </c>
      <c r="AL1308" s="748"/>
      <c r="AM1308" s="748"/>
    </row>
    <row r="1309" spans="2:39" x14ac:dyDescent="0.2">
      <c r="B1309" s="101" t="str">
        <f t="shared" si="418"/>
        <v/>
      </c>
      <c r="C1309" s="47">
        <f t="shared" si="408"/>
        <v>0</v>
      </c>
      <c r="D1309" s="168">
        <f t="shared" si="419"/>
        <v>0</v>
      </c>
      <c r="E1309" s="47">
        <f t="shared" ref="E1309:F1309" si="596">E1205+E1101+E997+E893+E789+E685+E581+E477+E373+E269+E165+E61</f>
        <v>0</v>
      </c>
      <c r="F1309" s="47">
        <f t="shared" si="596"/>
        <v>0</v>
      </c>
      <c r="G1309" s="168">
        <f t="shared" si="421"/>
        <v>0</v>
      </c>
      <c r="H1309" s="168" t="e">
        <f t="shared" si="410"/>
        <v>#DIV/0!</v>
      </c>
      <c r="I1309" s="736" t="e">
        <f t="shared" si="422"/>
        <v>#DIV/0!</v>
      </c>
      <c r="J1309" s="739"/>
      <c r="K1309" s="47">
        <f t="shared" si="527"/>
        <v>0</v>
      </c>
      <c r="L1309" s="47">
        <f>K1309-Personalplanung!AB61</f>
        <v>0</v>
      </c>
      <c r="M1309" s="739"/>
      <c r="N1309" s="47">
        <f t="shared" si="528"/>
        <v>0</v>
      </c>
      <c r="O1309" s="767">
        <f>N1309-Personalplanung!AC61</f>
        <v>0</v>
      </c>
      <c r="P1309" s="739"/>
      <c r="Q1309" s="47">
        <f t="shared" si="529"/>
        <v>0</v>
      </c>
      <c r="R1309" s="767">
        <f>Q1309-Personalplanung!AD61</f>
        <v>0</v>
      </c>
      <c r="S1309" s="739"/>
      <c r="T1309" s="47">
        <f t="shared" si="530"/>
        <v>0</v>
      </c>
      <c r="U1309" s="767">
        <f>T1309-Personalplanung!AE61</f>
        <v>0</v>
      </c>
      <c r="V1309" s="47">
        <f t="shared" ref="V1309:AA1309" si="597">V1205+V1101+V997+V893+V789+V685+V581+V477+V373+V269+V165+V61</f>
        <v>0</v>
      </c>
      <c r="W1309" s="47">
        <f t="shared" si="597"/>
        <v>0</v>
      </c>
      <c r="X1309" s="47">
        <f t="shared" si="597"/>
        <v>0</v>
      </c>
      <c r="Y1309" s="47">
        <f t="shared" si="597"/>
        <v>0</v>
      </c>
      <c r="Z1309" s="47">
        <f t="shared" si="597"/>
        <v>0</v>
      </c>
      <c r="AA1309" s="47" t="e">
        <f t="shared" si="597"/>
        <v>#DIV/0!</v>
      </c>
      <c r="AB1309" s="79">
        <f t="shared" si="428"/>
        <v>0</v>
      </c>
      <c r="AC1309" s="47" t="e">
        <f t="shared" ref="AC1309:AF1309" si="598">AC1205+AC1101+AC997+AC893+AC789+AC685+AC581+AC477+AC373+AC269+AC165+AC61</f>
        <v>#DIV/0!</v>
      </c>
      <c r="AD1309" s="47" t="e">
        <f t="shared" si="598"/>
        <v>#DIV/0!</v>
      </c>
      <c r="AE1309" s="87">
        <f t="shared" si="598"/>
        <v>0</v>
      </c>
      <c r="AF1309" s="47">
        <f t="shared" si="598"/>
        <v>0</v>
      </c>
      <c r="AG1309" s="86">
        <f t="shared" si="430"/>
        <v>0</v>
      </c>
      <c r="AH1309" s="7">
        <f t="shared" si="431"/>
        <v>0</v>
      </c>
      <c r="AI1309" s="6">
        <f t="shared" si="415"/>
        <v>0</v>
      </c>
      <c r="AJ1309" s="6">
        <f t="shared" si="432"/>
        <v>0</v>
      </c>
      <c r="AK1309" s="47">
        <f t="shared" si="417"/>
        <v>0</v>
      </c>
      <c r="AL1309" s="748"/>
      <c r="AM1309" s="748"/>
    </row>
    <row r="1310" spans="2:39" x14ac:dyDescent="0.2">
      <c r="B1310" s="101" t="str">
        <f t="shared" si="418"/>
        <v/>
      </c>
      <c r="C1310" s="47">
        <f t="shared" si="408"/>
        <v>0</v>
      </c>
      <c r="D1310" s="168">
        <f t="shared" si="419"/>
        <v>0</v>
      </c>
      <c r="E1310" s="47">
        <f t="shared" ref="E1310:F1310" si="599">E1206+E1102+E998+E894+E790+E686+E582+E478+E374+E270+E166+E62</f>
        <v>0</v>
      </c>
      <c r="F1310" s="47">
        <f t="shared" si="599"/>
        <v>0</v>
      </c>
      <c r="G1310" s="168">
        <f t="shared" si="421"/>
        <v>0</v>
      </c>
      <c r="H1310" s="168" t="e">
        <f t="shared" si="410"/>
        <v>#DIV/0!</v>
      </c>
      <c r="I1310" s="736" t="e">
        <f t="shared" si="422"/>
        <v>#DIV/0!</v>
      </c>
      <c r="J1310" s="739"/>
      <c r="K1310" s="47">
        <f t="shared" si="527"/>
        <v>0</v>
      </c>
      <c r="L1310" s="47">
        <f>K1310-Personalplanung!AB62</f>
        <v>0</v>
      </c>
      <c r="M1310" s="739"/>
      <c r="N1310" s="47">
        <f t="shared" si="528"/>
        <v>0</v>
      </c>
      <c r="O1310" s="767">
        <f>N1310-Personalplanung!AC62</f>
        <v>0</v>
      </c>
      <c r="P1310" s="739"/>
      <c r="Q1310" s="47">
        <f t="shared" si="529"/>
        <v>0</v>
      </c>
      <c r="R1310" s="767">
        <f>Q1310-Personalplanung!AD62</f>
        <v>0</v>
      </c>
      <c r="S1310" s="739"/>
      <c r="T1310" s="47">
        <f t="shared" si="530"/>
        <v>0</v>
      </c>
      <c r="U1310" s="767">
        <f>T1310-Personalplanung!AE62</f>
        <v>0</v>
      </c>
      <c r="V1310" s="47">
        <f t="shared" ref="V1310:AA1310" si="600">V1206+V1102+V998+V894+V790+V686+V582+V478+V374+V270+V166+V62</f>
        <v>0</v>
      </c>
      <c r="W1310" s="47">
        <f t="shared" si="600"/>
        <v>0</v>
      </c>
      <c r="X1310" s="47">
        <f t="shared" si="600"/>
        <v>0</v>
      </c>
      <c r="Y1310" s="47">
        <f t="shared" si="600"/>
        <v>0</v>
      </c>
      <c r="Z1310" s="47">
        <f t="shared" si="600"/>
        <v>0</v>
      </c>
      <c r="AA1310" s="47" t="e">
        <f t="shared" si="600"/>
        <v>#DIV/0!</v>
      </c>
      <c r="AB1310" s="79">
        <f t="shared" si="428"/>
        <v>0</v>
      </c>
      <c r="AC1310" s="47" t="e">
        <f t="shared" ref="AC1310:AF1310" si="601">AC1206+AC1102+AC998+AC894+AC790+AC686+AC582+AC478+AC374+AC270+AC166+AC62</f>
        <v>#DIV/0!</v>
      </c>
      <c r="AD1310" s="47" t="e">
        <f t="shared" si="601"/>
        <v>#DIV/0!</v>
      </c>
      <c r="AE1310" s="87">
        <f t="shared" si="601"/>
        <v>0</v>
      </c>
      <c r="AF1310" s="47">
        <f t="shared" si="601"/>
        <v>0</v>
      </c>
      <c r="AG1310" s="86">
        <f t="shared" si="430"/>
        <v>0</v>
      </c>
      <c r="AH1310" s="7">
        <f t="shared" si="431"/>
        <v>0</v>
      </c>
      <c r="AI1310" s="6">
        <f t="shared" si="415"/>
        <v>0</v>
      </c>
      <c r="AJ1310" s="6">
        <f t="shared" si="432"/>
        <v>0</v>
      </c>
      <c r="AK1310" s="47">
        <f t="shared" si="417"/>
        <v>0</v>
      </c>
      <c r="AL1310" s="748"/>
      <c r="AM1310" s="748"/>
    </row>
    <row r="1311" spans="2:39" x14ac:dyDescent="0.2">
      <c r="B1311" s="101" t="str">
        <f t="shared" si="418"/>
        <v/>
      </c>
      <c r="C1311" s="47">
        <f t="shared" si="408"/>
        <v>0</v>
      </c>
      <c r="D1311" s="168">
        <f t="shared" si="419"/>
        <v>0</v>
      </c>
      <c r="E1311" s="47">
        <f t="shared" ref="E1311:F1311" si="602">E1207+E1103+E999+E895+E791+E687+E583+E479+E375+E271+E167+E63</f>
        <v>0</v>
      </c>
      <c r="F1311" s="47">
        <f t="shared" si="602"/>
        <v>0</v>
      </c>
      <c r="G1311" s="168">
        <f t="shared" si="421"/>
        <v>0</v>
      </c>
      <c r="H1311" s="168" t="e">
        <f t="shared" si="410"/>
        <v>#DIV/0!</v>
      </c>
      <c r="I1311" s="736" t="e">
        <f t="shared" si="422"/>
        <v>#DIV/0!</v>
      </c>
      <c r="J1311" s="739"/>
      <c r="K1311" s="47">
        <f t="shared" si="527"/>
        <v>0</v>
      </c>
      <c r="L1311" s="47">
        <f>K1311-Personalplanung!AB63</f>
        <v>0</v>
      </c>
      <c r="M1311" s="739"/>
      <c r="N1311" s="47">
        <f t="shared" si="528"/>
        <v>0</v>
      </c>
      <c r="O1311" s="767">
        <f>N1311-Personalplanung!AC63</f>
        <v>0</v>
      </c>
      <c r="P1311" s="739"/>
      <c r="Q1311" s="47">
        <f t="shared" si="529"/>
        <v>0</v>
      </c>
      <c r="R1311" s="767">
        <f>Q1311-Personalplanung!AD63</f>
        <v>0</v>
      </c>
      <c r="S1311" s="739"/>
      <c r="T1311" s="47">
        <f t="shared" si="530"/>
        <v>0</v>
      </c>
      <c r="U1311" s="767">
        <f>T1311-Personalplanung!AE63</f>
        <v>0</v>
      </c>
      <c r="V1311" s="47">
        <f t="shared" ref="V1311:AA1311" si="603">V1207+V1103+V999+V895+V791+V687+V583+V479+V375+V271+V167+V63</f>
        <v>0</v>
      </c>
      <c r="W1311" s="47">
        <f t="shared" si="603"/>
        <v>0</v>
      </c>
      <c r="X1311" s="47">
        <f t="shared" si="603"/>
        <v>0</v>
      </c>
      <c r="Y1311" s="47">
        <f t="shared" si="603"/>
        <v>0</v>
      </c>
      <c r="Z1311" s="47">
        <f t="shared" si="603"/>
        <v>0</v>
      </c>
      <c r="AA1311" s="47" t="e">
        <f t="shared" si="603"/>
        <v>#DIV/0!</v>
      </c>
      <c r="AB1311" s="79">
        <f t="shared" si="428"/>
        <v>0</v>
      </c>
      <c r="AC1311" s="47" t="e">
        <f t="shared" ref="AC1311:AF1311" si="604">AC1207+AC1103+AC999+AC895+AC791+AC687+AC583+AC479+AC375+AC271+AC167+AC63</f>
        <v>#DIV/0!</v>
      </c>
      <c r="AD1311" s="47" t="e">
        <f t="shared" si="604"/>
        <v>#DIV/0!</v>
      </c>
      <c r="AE1311" s="87">
        <f t="shared" si="604"/>
        <v>0</v>
      </c>
      <c r="AF1311" s="47">
        <f t="shared" si="604"/>
        <v>0</v>
      </c>
      <c r="AG1311" s="86">
        <f t="shared" si="430"/>
        <v>0</v>
      </c>
      <c r="AH1311" s="7">
        <f t="shared" si="431"/>
        <v>0</v>
      </c>
      <c r="AI1311" s="6">
        <f t="shared" si="415"/>
        <v>0</v>
      </c>
      <c r="AJ1311" s="6">
        <f t="shared" si="432"/>
        <v>0</v>
      </c>
      <c r="AK1311" s="47">
        <f t="shared" si="417"/>
        <v>0</v>
      </c>
      <c r="AL1311" s="748"/>
      <c r="AM1311" s="748"/>
    </row>
    <row r="1312" spans="2:39" x14ac:dyDescent="0.2">
      <c r="B1312" s="101" t="str">
        <f t="shared" si="418"/>
        <v/>
      </c>
      <c r="C1312" s="47">
        <f t="shared" si="408"/>
        <v>0</v>
      </c>
      <c r="D1312" s="168">
        <f t="shared" si="419"/>
        <v>0</v>
      </c>
      <c r="E1312" s="47">
        <f t="shared" ref="E1312:F1312" si="605">E1208+E1104+E1000+E896+E792+E688+E584+E480+E376+E272+E168+E64</f>
        <v>0</v>
      </c>
      <c r="F1312" s="47">
        <f t="shared" si="605"/>
        <v>0</v>
      </c>
      <c r="G1312" s="168">
        <f t="shared" si="421"/>
        <v>0</v>
      </c>
      <c r="H1312" s="168" t="e">
        <f t="shared" si="410"/>
        <v>#DIV/0!</v>
      </c>
      <c r="I1312" s="736" t="e">
        <f t="shared" si="422"/>
        <v>#DIV/0!</v>
      </c>
      <c r="J1312" s="739"/>
      <c r="K1312" s="47">
        <f t="shared" si="527"/>
        <v>0</v>
      </c>
      <c r="L1312" s="47">
        <f>K1312-Personalplanung!AB64</f>
        <v>0</v>
      </c>
      <c r="M1312" s="739"/>
      <c r="N1312" s="47">
        <f t="shared" si="528"/>
        <v>0</v>
      </c>
      <c r="O1312" s="767">
        <f>N1312-Personalplanung!AC64</f>
        <v>0</v>
      </c>
      <c r="P1312" s="739"/>
      <c r="Q1312" s="47">
        <f t="shared" si="529"/>
        <v>0</v>
      </c>
      <c r="R1312" s="767">
        <f>Q1312-Personalplanung!AD64</f>
        <v>0</v>
      </c>
      <c r="S1312" s="739"/>
      <c r="T1312" s="47">
        <f t="shared" si="530"/>
        <v>0</v>
      </c>
      <c r="U1312" s="767">
        <f>T1312-Personalplanung!AE64</f>
        <v>0</v>
      </c>
      <c r="V1312" s="47">
        <f t="shared" ref="V1312:AA1312" si="606">V1208+V1104+V1000+V896+V792+V688+V584+V480+V376+V272+V168+V64</f>
        <v>0</v>
      </c>
      <c r="W1312" s="47">
        <f t="shared" si="606"/>
        <v>0</v>
      </c>
      <c r="X1312" s="47">
        <f t="shared" si="606"/>
        <v>0</v>
      </c>
      <c r="Y1312" s="47">
        <f t="shared" si="606"/>
        <v>0</v>
      </c>
      <c r="Z1312" s="47">
        <f t="shared" si="606"/>
        <v>0</v>
      </c>
      <c r="AA1312" s="47" t="e">
        <f t="shared" si="606"/>
        <v>#DIV/0!</v>
      </c>
      <c r="AB1312" s="79">
        <f t="shared" si="428"/>
        <v>0</v>
      </c>
      <c r="AC1312" s="47" t="e">
        <f t="shared" ref="AC1312:AF1312" si="607">AC1208+AC1104+AC1000+AC896+AC792+AC688+AC584+AC480+AC376+AC272+AC168+AC64</f>
        <v>#DIV/0!</v>
      </c>
      <c r="AD1312" s="47" t="e">
        <f t="shared" si="607"/>
        <v>#DIV/0!</v>
      </c>
      <c r="AE1312" s="87">
        <f t="shared" si="607"/>
        <v>0</v>
      </c>
      <c r="AF1312" s="47">
        <f t="shared" si="607"/>
        <v>0</v>
      </c>
      <c r="AG1312" s="86">
        <f t="shared" si="430"/>
        <v>0</v>
      </c>
      <c r="AH1312" s="7">
        <f t="shared" si="431"/>
        <v>0</v>
      </c>
      <c r="AI1312" s="6">
        <f t="shared" si="415"/>
        <v>0</v>
      </c>
      <c r="AJ1312" s="6">
        <f t="shared" si="432"/>
        <v>0</v>
      </c>
      <c r="AK1312" s="47">
        <f t="shared" si="417"/>
        <v>0</v>
      </c>
      <c r="AL1312" s="748"/>
      <c r="AM1312" s="748"/>
    </row>
    <row r="1313" spans="2:39" x14ac:dyDescent="0.2">
      <c r="B1313" s="101" t="str">
        <f t="shared" si="418"/>
        <v/>
      </c>
      <c r="C1313" s="47">
        <f t="shared" si="408"/>
        <v>0</v>
      </c>
      <c r="D1313" s="168">
        <f t="shared" si="419"/>
        <v>0</v>
      </c>
      <c r="E1313" s="47">
        <f t="shared" ref="E1313:F1313" si="608">E1209+E1105+E1001+E897+E793+E689+E585+E481+E377+E273+E169+E65</f>
        <v>0</v>
      </c>
      <c r="F1313" s="47">
        <f t="shared" si="608"/>
        <v>0</v>
      </c>
      <c r="G1313" s="168">
        <f t="shared" si="421"/>
        <v>0</v>
      </c>
      <c r="H1313" s="168" t="e">
        <f t="shared" si="410"/>
        <v>#DIV/0!</v>
      </c>
      <c r="I1313" s="736" t="e">
        <f t="shared" si="422"/>
        <v>#DIV/0!</v>
      </c>
      <c r="J1313" s="739"/>
      <c r="K1313" s="47">
        <f t="shared" si="527"/>
        <v>0</v>
      </c>
      <c r="L1313" s="47">
        <f>K1313-Personalplanung!AB65</f>
        <v>0</v>
      </c>
      <c r="M1313" s="739"/>
      <c r="N1313" s="47">
        <f t="shared" si="528"/>
        <v>0</v>
      </c>
      <c r="O1313" s="767">
        <f>N1313-Personalplanung!AC65</f>
        <v>0</v>
      </c>
      <c r="P1313" s="739"/>
      <c r="Q1313" s="47">
        <f t="shared" si="529"/>
        <v>0</v>
      </c>
      <c r="R1313" s="767">
        <f>Q1313-Personalplanung!AD65</f>
        <v>0</v>
      </c>
      <c r="S1313" s="739"/>
      <c r="T1313" s="47">
        <f t="shared" si="530"/>
        <v>0</v>
      </c>
      <c r="U1313" s="767">
        <f>T1313-Personalplanung!AE65</f>
        <v>0</v>
      </c>
      <c r="V1313" s="47">
        <f t="shared" ref="V1313:AA1313" si="609">V1209+V1105+V1001+V897+V793+V689+V585+V481+V377+V273+V169+V65</f>
        <v>0</v>
      </c>
      <c r="W1313" s="47">
        <f t="shared" si="609"/>
        <v>0</v>
      </c>
      <c r="X1313" s="47">
        <f t="shared" si="609"/>
        <v>0</v>
      </c>
      <c r="Y1313" s="47">
        <f t="shared" si="609"/>
        <v>0</v>
      </c>
      <c r="Z1313" s="47">
        <f t="shared" si="609"/>
        <v>0</v>
      </c>
      <c r="AA1313" s="47" t="e">
        <f t="shared" si="609"/>
        <v>#DIV/0!</v>
      </c>
      <c r="AB1313" s="79">
        <f t="shared" si="428"/>
        <v>0</v>
      </c>
      <c r="AC1313" s="47" t="e">
        <f t="shared" ref="AC1313:AF1313" si="610">AC1209+AC1105+AC1001+AC897+AC793+AC689+AC585+AC481+AC377+AC273+AC169+AC65</f>
        <v>#DIV/0!</v>
      </c>
      <c r="AD1313" s="47" t="e">
        <f t="shared" si="610"/>
        <v>#DIV/0!</v>
      </c>
      <c r="AE1313" s="87">
        <f t="shared" si="610"/>
        <v>0</v>
      </c>
      <c r="AF1313" s="47">
        <f t="shared" si="610"/>
        <v>0</v>
      </c>
      <c r="AG1313" s="86">
        <f t="shared" si="430"/>
        <v>0</v>
      </c>
      <c r="AH1313" s="7">
        <f t="shared" si="431"/>
        <v>0</v>
      </c>
      <c r="AI1313" s="6">
        <f t="shared" si="415"/>
        <v>0</v>
      </c>
      <c r="AJ1313" s="6">
        <f t="shared" si="432"/>
        <v>0</v>
      </c>
      <c r="AK1313" s="47">
        <f t="shared" si="417"/>
        <v>0</v>
      </c>
      <c r="AL1313" s="748"/>
      <c r="AM1313" s="748"/>
    </row>
    <row r="1314" spans="2:39" x14ac:dyDescent="0.2">
      <c r="B1314" s="101" t="str">
        <f t="shared" si="418"/>
        <v/>
      </c>
      <c r="C1314" s="47">
        <f t="shared" si="408"/>
        <v>0</v>
      </c>
      <c r="D1314" s="168">
        <f t="shared" si="419"/>
        <v>0</v>
      </c>
      <c r="E1314" s="47">
        <f t="shared" ref="E1314:F1314" si="611">E1210+E1106+E1002+E898+E794+E690+E586+E482+E378+E274+E170+E66</f>
        <v>0</v>
      </c>
      <c r="F1314" s="47">
        <f t="shared" si="611"/>
        <v>0</v>
      </c>
      <c r="G1314" s="168">
        <f t="shared" si="421"/>
        <v>0</v>
      </c>
      <c r="H1314" s="168" t="e">
        <f t="shared" si="410"/>
        <v>#DIV/0!</v>
      </c>
      <c r="I1314" s="736" t="e">
        <f t="shared" si="422"/>
        <v>#DIV/0!</v>
      </c>
      <c r="J1314" s="739"/>
      <c r="K1314" s="47">
        <f t="shared" si="527"/>
        <v>0</v>
      </c>
      <c r="L1314" s="47">
        <f>K1314-Personalplanung!AB66</f>
        <v>0</v>
      </c>
      <c r="M1314" s="739"/>
      <c r="N1314" s="47">
        <f t="shared" si="528"/>
        <v>0</v>
      </c>
      <c r="O1314" s="767">
        <f>N1314-Personalplanung!AC66</f>
        <v>0</v>
      </c>
      <c r="P1314" s="739"/>
      <c r="Q1314" s="47">
        <f t="shared" si="529"/>
        <v>0</v>
      </c>
      <c r="R1314" s="767">
        <f>Q1314-Personalplanung!AD66</f>
        <v>0</v>
      </c>
      <c r="S1314" s="739"/>
      <c r="T1314" s="47">
        <f t="shared" si="530"/>
        <v>0</v>
      </c>
      <c r="U1314" s="767">
        <f>T1314-Personalplanung!AE66</f>
        <v>0</v>
      </c>
      <c r="V1314" s="47">
        <f t="shared" ref="V1314:AA1314" si="612">V1210+V1106+V1002+V898+V794+V690+V586+V482+V378+V274+V170+V66</f>
        <v>0</v>
      </c>
      <c r="W1314" s="47">
        <f t="shared" si="612"/>
        <v>0</v>
      </c>
      <c r="X1314" s="47">
        <f t="shared" si="612"/>
        <v>0</v>
      </c>
      <c r="Y1314" s="47">
        <f t="shared" si="612"/>
        <v>0</v>
      </c>
      <c r="Z1314" s="47">
        <f t="shared" si="612"/>
        <v>0</v>
      </c>
      <c r="AA1314" s="47" t="e">
        <f t="shared" si="612"/>
        <v>#DIV/0!</v>
      </c>
      <c r="AB1314" s="79">
        <f t="shared" si="428"/>
        <v>0</v>
      </c>
      <c r="AC1314" s="47" t="e">
        <f t="shared" ref="AC1314:AF1314" si="613">AC1210+AC1106+AC1002+AC898+AC794+AC690+AC586+AC482+AC378+AC274+AC170+AC66</f>
        <v>#DIV/0!</v>
      </c>
      <c r="AD1314" s="47" t="e">
        <f t="shared" si="613"/>
        <v>#DIV/0!</v>
      </c>
      <c r="AE1314" s="87">
        <f t="shared" si="613"/>
        <v>0</v>
      </c>
      <c r="AF1314" s="47">
        <f t="shared" si="613"/>
        <v>0</v>
      </c>
      <c r="AG1314" s="86">
        <f t="shared" si="430"/>
        <v>0</v>
      </c>
      <c r="AH1314" s="7">
        <f t="shared" si="431"/>
        <v>0</v>
      </c>
      <c r="AI1314" s="6">
        <f t="shared" si="415"/>
        <v>0</v>
      </c>
      <c r="AJ1314" s="6">
        <f t="shared" si="432"/>
        <v>0</v>
      </c>
      <c r="AK1314" s="47">
        <f t="shared" si="417"/>
        <v>0</v>
      </c>
      <c r="AL1314" s="748"/>
      <c r="AM1314" s="748"/>
    </row>
    <row r="1315" spans="2:39" x14ac:dyDescent="0.2">
      <c r="B1315" s="101" t="str">
        <f t="shared" si="418"/>
        <v/>
      </c>
      <c r="C1315" s="47">
        <f t="shared" si="408"/>
        <v>0</v>
      </c>
      <c r="D1315" s="168">
        <f t="shared" si="419"/>
        <v>0</v>
      </c>
      <c r="E1315" s="47">
        <f t="shared" ref="E1315:F1315" si="614">E1211+E1107+E1003+E899+E795+E691+E587+E483+E379+E275+E171+E67</f>
        <v>0</v>
      </c>
      <c r="F1315" s="47">
        <f t="shared" si="614"/>
        <v>0</v>
      </c>
      <c r="G1315" s="168">
        <f t="shared" si="421"/>
        <v>0</v>
      </c>
      <c r="H1315" s="168" t="e">
        <f t="shared" si="410"/>
        <v>#DIV/0!</v>
      </c>
      <c r="I1315" s="736" t="e">
        <f t="shared" si="422"/>
        <v>#DIV/0!</v>
      </c>
      <c r="J1315" s="739"/>
      <c r="K1315" s="47">
        <f t="shared" si="527"/>
        <v>0</v>
      </c>
      <c r="L1315" s="47">
        <f>K1315-Personalplanung!AB67</f>
        <v>0</v>
      </c>
      <c r="M1315" s="739"/>
      <c r="N1315" s="47">
        <f t="shared" si="528"/>
        <v>0</v>
      </c>
      <c r="O1315" s="767">
        <f>N1315-Personalplanung!AC67</f>
        <v>0</v>
      </c>
      <c r="P1315" s="739"/>
      <c r="Q1315" s="47">
        <f t="shared" si="529"/>
        <v>0</v>
      </c>
      <c r="R1315" s="767">
        <f>Q1315-Personalplanung!AD67</f>
        <v>0</v>
      </c>
      <c r="S1315" s="739"/>
      <c r="T1315" s="47">
        <f t="shared" si="530"/>
        <v>0</v>
      </c>
      <c r="U1315" s="767">
        <f>T1315-Personalplanung!AE67</f>
        <v>0</v>
      </c>
      <c r="V1315" s="47">
        <f t="shared" ref="V1315:AA1315" si="615">V1211+V1107+V1003+V899+V795+V691+V587+V483+V379+V275+V171+V67</f>
        <v>0</v>
      </c>
      <c r="W1315" s="47">
        <f t="shared" si="615"/>
        <v>0</v>
      </c>
      <c r="X1315" s="47">
        <f t="shared" si="615"/>
        <v>0</v>
      </c>
      <c r="Y1315" s="47">
        <f t="shared" si="615"/>
        <v>0</v>
      </c>
      <c r="Z1315" s="47">
        <f t="shared" si="615"/>
        <v>0</v>
      </c>
      <c r="AA1315" s="47" t="e">
        <f t="shared" si="615"/>
        <v>#DIV/0!</v>
      </c>
      <c r="AB1315" s="79">
        <f t="shared" si="428"/>
        <v>0</v>
      </c>
      <c r="AC1315" s="47" t="e">
        <f t="shared" ref="AC1315:AF1315" si="616">AC1211+AC1107+AC1003+AC899+AC795+AC691+AC587+AC483+AC379+AC275+AC171+AC67</f>
        <v>#DIV/0!</v>
      </c>
      <c r="AD1315" s="47" t="e">
        <f t="shared" si="616"/>
        <v>#DIV/0!</v>
      </c>
      <c r="AE1315" s="87">
        <f t="shared" si="616"/>
        <v>0</v>
      </c>
      <c r="AF1315" s="47">
        <f t="shared" si="616"/>
        <v>0</v>
      </c>
      <c r="AG1315" s="86">
        <f t="shared" si="430"/>
        <v>0</v>
      </c>
      <c r="AH1315" s="7">
        <f t="shared" si="431"/>
        <v>0</v>
      </c>
      <c r="AI1315" s="6">
        <f t="shared" si="415"/>
        <v>0</v>
      </c>
      <c r="AJ1315" s="6">
        <f t="shared" si="432"/>
        <v>0</v>
      </c>
      <c r="AK1315" s="47">
        <f t="shared" si="417"/>
        <v>0</v>
      </c>
      <c r="AL1315" s="748"/>
      <c r="AM1315" s="748"/>
    </row>
    <row r="1316" spans="2:39" x14ac:dyDescent="0.2">
      <c r="B1316" s="101" t="str">
        <f t="shared" si="418"/>
        <v/>
      </c>
      <c r="C1316" s="47">
        <f t="shared" si="408"/>
        <v>0</v>
      </c>
      <c r="D1316" s="168">
        <f t="shared" si="419"/>
        <v>0</v>
      </c>
      <c r="E1316" s="47">
        <f t="shared" ref="E1316:F1316" si="617">E1212+E1108+E1004+E900+E796+E692+E588+E484+E380+E276+E172+E68</f>
        <v>0</v>
      </c>
      <c r="F1316" s="47">
        <f t="shared" si="617"/>
        <v>0</v>
      </c>
      <c r="G1316" s="168">
        <f t="shared" si="421"/>
        <v>0</v>
      </c>
      <c r="H1316" s="168" t="e">
        <f t="shared" si="410"/>
        <v>#DIV/0!</v>
      </c>
      <c r="I1316" s="736" t="e">
        <f t="shared" si="422"/>
        <v>#DIV/0!</v>
      </c>
      <c r="J1316" s="739"/>
      <c r="K1316" s="47">
        <f t="shared" si="527"/>
        <v>0</v>
      </c>
      <c r="L1316" s="47">
        <f>K1316-Personalplanung!AB68</f>
        <v>0</v>
      </c>
      <c r="M1316" s="739"/>
      <c r="N1316" s="47">
        <f t="shared" si="528"/>
        <v>0</v>
      </c>
      <c r="O1316" s="767">
        <f>N1316-Personalplanung!AC68</f>
        <v>0</v>
      </c>
      <c r="P1316" s="739"/>
      <c r="Q1316" s="47">
        <f t="shared" si="529"/>
        <v>0</v>
      </c>
      <c r="R1316" s="767">
        <f>Q1316-Personalplanung!AD68</f>
        <v>0</v>
      </c>
      <c r="S1316" s="739"/>
      <c r="T1316" s="47">
        <f t="shared" si="530"/>
        <v>0</v>
      </c>
      <c r="U1316" s="767">
        <f>T1316-Personalplanung!AE68</f>
        <v>0</v>
      </c>
      <c r="V1316" s="47">
        <f t="shared" ref="V1316:AA1316" si="618">V1212+V1108+V1004+V900+V796+V692+V588+V484+V380+V276+V172+V68</f>
        <v>0</v>
      </c>
      <c r="W1316" s="47">
        <f t="shared" si="618"/>
        <v>0</v>
      </c>
      <c r="X1316" s="47">
        <f t="shared" si="618"/>
        <v>0</v>
      </c>
      <c r="Y1316" s="47">
        <f t="shared" si="618"/>
        <v>0</v>
      </c>
      <c r="Z1316" s="47">
        <f t="shared" si="618"/>
        <v>0</v>
      </c>
      <c r="AA1316" s="47" t="e">
        <f t="shared" si="618"/>
        <v>#DIV/0!</v>
      </c>
      <c r="AB1316" s="79">
        <f t="shared" si="428"/>
        <v>0</v>
      </c>
      <c r="AC1316" s="47" t="e">
        <f t="shared" ref="AC1316:AF1316" si="619">AC1212+AC1108+AC1004+AC900+AC796+AC692+AC588+AC484+AC380+AC276+AC172+AC68</f>
        <v>#DIV/0!</v>
      </c>
      <c r="AD1316" s="47" t="e">
        <f t="shared" si="619"/>
        <v>#DIV/0!</v>
      </c>
      <c r="AE1316" s="87">
        <f t="shared" si="619"/>
        <v>0</v>
      </c>
      <c r="AF1316" s="47">
        <f t="shared" si="619"/>
        <v>0</v>
      </c>
      <c r="AG1316" s="86">
        <f t="shared" si="430"/>
        <v>0</v>
      </c>
      <c r="AH1316" s="7">
        <f t="shared" si="431"/>
        <v>0</v>
      </c>
      <c r="AI1316" s="6">
        <f t="shared" si="415"/>
        <v>0</v>
      </c>
      <c r="AJ1316" s="6">
        <f t="shared" si="432"/>
        <v>0</v>
      </c>
      <c r="AK1316" s="47">
        <f t="shared" si="417"/>
        <v>0</v>
      </c>
      <c r="AL1316" s="748"/>
      <c r="AM1316" s="748"/>
    </row>
    <row r="1317" spans="2:39" x14ac:dyDescent="0.2">
      <c r="B1317" s="101" t="str">
        <f t="shared" si="418"/>
        <v/>
      </c>
      <c r="C1317" s="47">
        <f t="shared" si="408"/>
        <v>0</v>
      </c>
      <c r="D1317" s="168">
        <f t="shared" si="419"/>
        <v>0</v>
      </c>
      <c r="E1317" s="47">
        <f t="shared" ref="E1317:F1317" si="620">E1213+E1109+E1005+E901+E797+E693+E589+E485+E381+E277+E173+E69</f>
        <v>0</v>
      </c>
      <c r="F1317" s="47">
        <f t="shared" si="620"/>
        <v>0</v>
      </c>
      <c r="G1317" s="168">
        <f t="shared" si="421"/>
        <v>0</v>
      </c>
      <c r="H1317" s="168" t="e">
        <f t="shared" si="410"/>
        <v>#DIV/0!</v>
      </c>
      <c r="I1317" s="736" t="e">
        <f t="shared" si="422"/>
        <v>#DIV/0!</v>
      </c>
      <c r="J1317" s="739"/>
      <c r="K1317" s="47">
        <f t="shared" si="527"/>
        <v>0</v>
      </c>
      <c r="L1317" s="47">
        <f>K1317-Personalplanung!AB69</f>
        <v>0</v>
      </c>
      <c r="M1317" s="739"/>
      <c r="N1317" s="47">
        <f t="shared" si="528"/>
        <v>0</v>
      </c>
      <c r="O1317" s="767">
        <f>N1317-Personalplanung!AC69</f>
        <v>0</v>
      </c>
      <c r="P1317" s="739"/>
      <c r="Q1317" s="47">
        <f t="shared" si="529"/>
        <v>0</v>
      </c>
      <c r="R1317" s="767">
        <f>Q1317-Personalplanung!AD69</f>
        <v>0</v>
      </c>
      <c r="S1317" s="739"/>
      <c r="T1317" s="47">
        <f t="shared" si="530"/>
        <v>0</v>
      </c>
      <c r="U1317" s="767">
        <f>T1317-Personalplanung!AE69</f>
        <v>0</v>
      </c>
      <c r="V1317" s="47">
        <f t="shared" ref="V1317:AA1317" si="621">V1213+V1109+V1005+V901+V797+V693+V589+V485+V381+V277+V173+V69</f>
        <v>0</v>
      </c>
      <c r="W1317" s="47">
        <f t="shared" si="621"/>
        <v>0</v>
      </c>
      <c r="X1317" s="47">
        <f t="shared" si="621"/>
        <v>0</v>
      </c>
      <c r="Y1317" s="47">
        <f t="shared" si="621"/>
        <v>0</v>
      </c>
      <c r="Z1317" s="47">
        <f t="shared" si="621"/>
        <v>0</v>
      </c>
      <c r="AA1317" s="47" t="e">
        <f t="shared" si="621"/>
        <v>#DIV/0!</v>
      </c>
      <c r="AB1317" s="79">
        <f t="shared" si="428"/>
        <v>0</v>
      </c>
      <c r="AC1317" s="47" t="e">
        <f t="shared" ref="AC1317:AF1317" si="622">AC1213+AC1109+AC1005+AC901+AC797+AC693+AC589+AC485+AC381+AC277+AC173+AC69</f>
        <v>#DIV/0!</v>
      </c>
      <c r="AD1317" s="47" t="e">
        <f t="shared" si="622"/>
        <v>#DIV/0!</v>
      </c>
      <c r="AE1317" s="87">
        <f t="shared" si="622"/>
        <v>0</v>
      </c>
      <c r="AF1317" s="47">
        <f t="shared" si="622"/>
        <v>0</v>
      </c>
      <c r="AG1317" s="86">
        <f t="shared" si="430"/>
        <v>0</v>
      </c>
      <c r="AH1317" s="7">
        <f t="shared" si="431"/>
        <v>0</v>
      </c>
      <c r="AI1317" s="6">
        <f t="shared" si="415"/>
        <v>0</v>
      </c>
      <c r="AJ1317" s="6">
        <f t="shared" si="432"/>
        <v>0</v>
      </c>
      <c r="AK1317" s="47">
        <f t="shared" si="417"/>
        <v>0</v>
      </c>
      <c r="AL1317" s="748"/>
      <c r="AM1317" s="748"/>
    </row>
    <row r="1318" spans="2:39" x14ac:dyDescent="0.2">
      <c r="B1318" s="101" t="str">
        <f t="shared" si="418"/>
        <v/>
      </c>
      <c r="C1318" s="47">
        <f t="shared" ref="C1318:C1354" si="623">C1214+C1110+C1006+C902+C798+C694+C590+C486+C382+C278+C174+C70</f>
        <v>0</v>
      </c>
      <c r="D1318" s="168">
        <f t="shared" si="419"/>
        <v>0</v>
      </c>
      <c r="E1318" s="47">
        <f t="shared" ref="E1318:F1318" si="624">E1214+E1110+E1006+E902+E798+E694+E590+E486+E382+E278+E174+E70</f>
        <v>0</v>
      </c>
      <c r="F1318" s="47">
        <f t="shared" si="624"/>
        <v>0</v>
      </c>
      <c r="G1318" s="168">
        <f t="shared" si="421"/>
        <v>0</v>
      </c>
      <c r="H1318" s="168" t="e">
        <f t="shared" ref="H1318:H1354" si="625">H1214+H1110+H1006+H902+H798+H694+H590+H486+H382+H278+H174+H70</f>
        <v>#DIV/0!</v>
      </c>
      <c r="I1318" s="736" t="e">
        <f t="shared" si="422"/>
        <v>#DIV/0!</v>
      </c>
      <c r="J1318" s="739"/>
      <c r="K1318" s="47">
        <f t="shared" si="527"/>
        <v>0</v>
      </c>
      <c r="L1318" s="47">
        <f>K1318-Personalplanung!AB70</f>
        <v>0</v>
      </c>
      <c r="M1318" s="739"/>
      <c r="N1318" s="47">
        <f t="shared" si="528"/>
        <v>0</v>
      </c>
      <c r="O1318" s="767">
        <f>N1318-Personalplanung!AC70</f>
        <v>0</v>
      </c>
      <c r="P1318" s="739"/>
      <c r="Q1318" s="47">
        <f t="shared" si="529"/>
        <v>0</v>
      </c>
      <c r="R1318" s="767">
        <f>Q1318-Personalplanung!AD70</f>
        <v>0</v>
      </c>
      <c r="S1318" s="739"/>
      <c r="T1318" s="47">
        <f t="shared" si="530"/>
        <v>0</v>
      </c>
      <c r="U1318" s="767">
        <f>T1318-Personalplanung!AE70</f>
        <v>0</v>
      </c>
      <c r="V1318" s="47">
        <f t="shared" ref="V1318:AA1318" si="626">V1214+V1110+V1006+V902+V798+V694+V590+V486+V382+V278+V174+V70</f>
        <v>0</v>
      </c>
      <c r="W1318" s="47">
        <f t="shared" si="626"/>
        <v>0</v>
      </c>
      <c r="X1318" s="47">
        <f t="shared" si="626"/>
        <v>0</v>
      </c>
      <c r="Y1318" s="47">
        <f t="shared" si="626"/>
        <v>0</v>
      </c>
      <c r="Z1318" s="47">
        <f t="shared" si="626"/>
        <v>0</v>
      </c>
      <c r="AA1318" s="47" t="e">
        <f t="shared" si="626"/>
        <v>#DIV/0!</v>
      </c>
      <c r="AB1318" s="79">
        <f t="shared" si="428"/>
        <v>0</v>
      </c>
      <c r="AC1318" s="47" t="e">
        <f t="shared" ref="AC1318:AF1318" si="627">AC1214+AC1110+AC1006+AC902+AC798+AC694+AC590+AC486+AC382+AC278+AC174+AC70</f>
        <v>#DIV/0!</v>
      </c>
      <c r="AD1318" s="47" t="e">
        <f t="shared" si="627"/>
        <v>#DIV/0!</v>
      </c>
      <c r="AE1318" s="87">
        <f t="shared" si="627"/>
        <v>0</v>
      </c>
      <c r="AF1318" s="47">
        <f t="shared" si="627"/>
        <v>0</v>
      </c>
      <c r="AG1318" s="86">
        <f t="shared" si="430"/>
        <v>0</v>
      </c>
      <c r="AH1318" s="7">
        <f t="shared" si="431"/>
        <v>0</v>
      </c>
      <c r="AI1318" s="6">
        <f t="shared" ref="AI1318:AI1354" si="628">AI1214+AI1110+AI1006+AI902+AI798+AI694+AI590+AI486+AI382+AI278+AI174+AI70</f>
        <v>0</v>
      </c>
      <c r="AJ1318" s="6">
        <f t="shared" si="432"/>
        <v>0</v>
      </c>
      <c r="AK1318" s="47">
        <f t="shared" ref="AK1318:AK1354" si="629">AK1214+AK1110+AK1006+AK902+AK798+AK694+AK590+AK486+AK382+AK278+AK174+AK70</f>
        <v>0</v>
      </c>
      <c r="AL1318" s="748"/>
      <c r="AM1318" s="748"/>
    </row>
    <row r="1319" spans="2:39" x14ac:dyDescent="0.2">
      <c r="B1319" s="101" t="str">
        <f t="shared" ref="B1319:B1354" si="630">$B1215</f>
        <v/>
      </c>
      <c r="C1319" s="47">
        <f t="shared" si="623"/>
        <v>0</v>
      </c>
      <c r="D1319" s="168">
        <f t="shared" ref="D1319:D1354" si="631">$D1215</f>
        <v>0</v>
      </c>
      <c r="E1319" s="47">
        <f t="shared" ref="E1319:F1319" si="632">E1215+E1111+E1007+E903+E799+E695+E591+E487+E383+E279+E175+E71</f>
        <v>0</v>
      </c>
      <c r="F1319" s="47">
        <f t="shared" si="632"/>
        <v>0</v>
      </c>
      <c r="G1319" s="168">
        <f t="shared" ref="G1319:G1354" si="633">IF(ISERROR(+H1319/F1319),0,+H1319/F1319)</f>
        <v>0</v>
      </c>
      <c r="H1319" s="168" t="e">
        <f t="shared" si="625"/>
        <v>#DIV/0!</v>
      </c>
      <c r="I1319" s="736" t="e">
        <f t="shared" ref="I1319:I1354" si="634">+(AA1319/H1319)-1</f>
        <v>#DIV/0!</v>
      </c>
      <c r="J1319" s="739"/>
      <c r="K1319" s="47">
        <f t="shared" ref="K1319:K1350" si="635">K1215+K1111+K1007+K903+K799+K695+K591+K487+K383+K279+K175+K71</f>
        <v>0</v>
      </c>
      <c r="L1319" s="47">
        <f>K1319-Personalplanung!AB71</f>
        <v>0</v>
      </c>
      <c r="M1319" s="739"/>
      <c r="N1319" s="47">
        <f t="shared" ref="N1319:N1350" si="636">N1215+N1111+N1007+N903+N799+N695+N591+N487+N383+N279+N175+N71</f>
        <v>0</v>
      </c>
      <c r="O1319" s="767">
        <f>N1319-Personalplanung!AC71</f>
        <v>0</v>
      </c>
      <c r="P1319" s="739"/>
      <c r="Q1319" s="47">
        <f t="shared" ref="Q1319:Q1350" si="637">Q1215+Q1111+Q1007+Q903+Q799+Q695+Q591+Q487+Q383+Q279+Q175+Q71</f>
        <v>0</v>
      </c>
      <c r="R1319" s="767">
        <f>Q1319-Personalplanung!AD71</f>
        <v>0</v>
      </c>
      <c r="S1319" s="739"/>
      <c r="T1319" s="47">
        <f t="shared" ref="T1319:T1350" si="638">T1215+T1111+T1007+T903+T799+T695+T591+T487+T383+T279+T175+T71</f>
        <v>0</v>
      </c>
      <c r="U1319" s="767">
        <f>T1319-Personalplanung!AE71</f>
        <v>0</v>
      </c>
      <c r="V1319" s="47">
        <f t="shared" ref="V1319:AA1319" si="639">V1215+V1111+V1007+V903+V799+V695+V591+V487+V383+V279+V175+V71</f>
        <v>0</v>
      </c>
      <c r="W1319" s="47">
        <f t="shared" si="639"/>
        <v>0</v>
      </c>
      <c r="X1319" s="47">
        <f t="shared" si="639"/>
        <v>0</v>
      </c>
      <c r="Y1319" s="47">
        <f t="shared" si="639"/>
        <v>0</v>
      </c>
      <c r="Z1319" s="47">
        <f t="shared" si="639"/>
        <v>0</v>
      </c>
      <c r="AA1319" s="47" t="e">
        <f t="shared" si="639"/>
        <v>#DIV/0!</v>
      </c>
      <c r="AB1319" s="79">
        <f t="shared" ref="AB1319:AB1354" si="640">IF(ISERROR(AC1319/AA1319),0,AC1319/AA1319)</f>
        <v>0</v>
      </c>
      <c r="AC1319" s="47" t="e">
        <f t="shared" ref="AC1319:AF1319" si="641">AC1215+AC1111+AC1007+AC903+AC799+AC695+AC591+AC487+AC383+AC279+AC175+AC71</f>
        <v>#DIV/0!</v>
      </c>
      <c r="AD1319" s="47" t="e">
        <f t="shared" si="641"/>
        <v>#DIV/0!</v>
      </c>
      <c r="AE1319" s="87">
        <f t="shared" si="641"/>
        <v>0</v>
      </c>
      <c r="AF1319" s="47">
        <f t="shared" si="641"/>
        <v>0</v>
      </c>
      <c r="AG1319" s="86">
        <f t="shared" ref="AG1319:AG1354" si="642">IF(ISERROR(AI1319/AE1319),0,AI1319/AE1319)</f>
        <v>0</v>
      </c>
      <c r="AH1319" s="7">
        <f t="shared" ref="AH1319:AH1354" si="643">IF(ISERROR(AK1319/AF1319),0,AK1319/AF1319)</f>
        <v>0</v>
      </c>
      <c r="AI1319" s="6">
        <f t="shared" si="628"/>
        <v>0</v>
      </c>
      <c r="AJ1319" s="6">
        <f t="shared" ref="AJ1319:AJ1354" si="644">IF(ISERROR(+AC1319/AI1319),0,+AC1319/AI1319)</f>
        <v>0</v>
      </c>
      <c r="AK1319" s="47">
        <f t="shared" si="629"/>
        <v>0</v>
      </c>
      <c r="AL1319" s="748"/>
      <c r="AM1319" s="748"/>
    </row>
    <row r="1320" spans="2:39" x14ac:dyDescent="0.2">
      <c r="B1320" s="101" t="str">
        <f t="shared" si="630"/>
        <v/>
      </c>
      <c r="C1320" s="47">
        <f t="shared" si="623"/>
        <v>0</v>
      </c>
      <c r="D1320" s="168">
        <f t="shared" si="631"/>
        <v>0</v>
      </c>
      <c r="E1320" s="47">
        <f t="shared" ref="E1320:F1320" si="645">E1216+E1112+E1008+E904+E800+E696+E592+E488+E384+E280+E176+E72</f>
        <v>0</v>
      </c>
      <c r="F1320" s="47">
        <f t="shared" si="645"/>
        <v>0</v>
      </c>
      <c r="G1320" s="168">
        <f t="shared" si="633"/>
        <v>0</v>
      </c>
      <c r="H1320" s="168" t="e">
        <f t="shared" si="625"/>
        <v>#DIV/0!</v>
      </c>
      <c r="I1320" s="736" t="e">
        <f t="shared" si="634"/>
        <v>#DIV/0!</v>
      </c>
      <c r="J1320" s="739"/>
      <c r="K1320" s="47">
        <f t="shared" si="635"/>
        <v>0</v>
      </c>
      <c r="L1320" s="47">
        <f>K1320-Personalplanung!AB72</f>
        <v>0</v>
      </c>
      <c r="M1320" s="739"/>
      <c r="N1320" s="47">
        <f t="shared" si="636"/>
        <v>0</v>
      </c>
      <c r="O1320" s="767">
        <f>N1320-Personalplanung!AC72</f>
        <v>0</v>
      </c>
      <c r="P1320" s="739"/>
      <c r="Q1320" s="47">
        <f t="shared" si="637"/>
        <v>0</v>
      </c>
      <c r="R1320" s="767">
        <f>Q1320-Personalplanung!AD72</f>
        <v>0</v>
      </c>
      <c r="S1320" s="739"/>
      <c r="T1320" s="47">
        <f t="shared" si="638"/>
        <v>0</v>
      </c>
      <c r="U1320" s="767">
        <f>T1320-Personalplanung!AE72</f>
        <v>0</v>
      </c>
      <c r="V1320" s="47">
        <f t="shared" ref="V1320:AA1320" si="646">V1216+V1112+V1008+V904+V800+V696+V592+V488+V384+V280+V176+V72</f>
        <v>0</v>
      </c>
      <c r="W1320" s="47">
        <f t="shared" si="646"/>
        <v>0</v>
      </c>
      <c r="X1320" s="47">
        <f t="shared" si="646"/>
        <v>0</v>
      </c>
      <c r="Y1320" s="47">
        <f t="shared" si="646"/>
        <v>0</v>
      </c>
      <c r="Z1320" s="47">
        <f t="shared" si="646"/>
        <v>0</v>
      </c>
      <c r="AA1320" s="47" t="e">
        <f t="shared" si="646"/>
        <v>#DIV/0!</v>
      </c>
      <c r="AB1320" s="79">
        <f t="shared" si="640"/>
        <v>0</v>
      </c>
      <c r="AC1320" s="47" t="e">
        <f t="shared" ref="AC1320:AF1320" si="647">AC1216+AC1112+AC1008+AC904+AC800+AC696+AC592+AC488+AC384+AC280+AC176+AC72</f>
        <v>#DIV/0!</v>
      </c>
      <c r="AD1320" s="47" t="e">
        <f t="shared" si="647"/>
        <v>#DIV/0!</v>
      </c>
      <c r="AE1320" s="87">
        <f t="shared" si="647"/>
        <v>0</v>
      </c>
      <c r="AF1320" s="47">
        <f t="shared" si="647"/>
        <v>0</v>
      </c>
      <c r="AG1320" s="86">
        <f t="shared" si="642"/>
        <v>0</v>
      </c>
      <c r="AH1320" s="7">
        <f t="shared" si="643"/>
        <v>0</v>
      </c>
      <c r="AI1320" s="6">
        <f t="shared" si="628"/>
        <v>0</v>
      </c>
      <c r="AJ1320" s="6">
        <f t="shared" si="644"/>
        <v>0</v>
      </c>
      <c r="AK1320" s="47">
        <f t="shared" si="629"/>
        <v>0</v>
      </c>
      <c r="AL1320" s="748"/>
      <c r="AM1320" s="748"/>
    </row>
    <row r="1321" spans="2:39" x14ac:dyDescent="0.2">
      <c r="B1321" s="101" t="str">
        <f t="shared" si="630"/>
        <v/>
      </c>
      <c r="C1321" s="47">
        <f t="shared" si="623"/>
        <v>0</v>
      </c>
      <c r="D1321" s="168">
        <f t="shared" si="631"/>
        <v>0</v>
      </c>
      <c r="E1321" s="47">
        <f t="shared" ref="E1321:F1321" si="648">E1217+E1113+E1009+E905+E801+E697+E593+E489+E385+E281+E177+E73</f>
        <v>0</v>
      </c>
      <c r="F1321" s="47">
        <f t="shared" si="648"/>
        <v>0</v>
      </c>
      <c r="G1321" s="168">
        <f t="shared" si="633"/>
        <v>0</v>
      </c>
      <c r="H1321" s="168" t="e">
        <f t="shared" si="625"/>
        <v>#DIV/0!</v>
      </c>
      <c r="I1321" s="736" t="e">
        <f t="shared" si="634"/>
        <v>#DIV/0!</v>
      </c>
      <c r="J1321" s="739"/>
      <c r="K1321" s="47">
        <f t="shared" si="635"/>
        <v>0</v>
      </c>
      <c r="L1321" s="47">
        <f>K1321-Personalplanung!AB73</f>
        <v>0</v>
      </c>
      <c r="M1321" s="739"/>
      <c r="N1321" s="47">
        <f t="shared" si="636"/>
        <v>0</v>
      </c>
      <c r="O1321" s="767">
        <f>N1321-Personalplanung!AC73</f>
        <v>0</v>
      </c>
      <c r="P1321" s="739"/>
      <c r="Q1321" s="47">
        <f t="shared" si="637"/>
        <v>0</v>
      </c>
      <c r="R1321" s="767">
        <f>Q1321-Personalplanung!AD73</f>
        <v>0</v>
      </c>
      <c r="S1321" s="739"/>
      <c r="T1321" s="47">
        <f t="shared" si="638"/>
        <v>0</v>
      </c>
      <c r="U1321" s="767">
        <f>T1321-Personalplanung!AE73</f>
        <v>0</v>
      </c>
      <c r="V1321" s="47">
        <f t="shared" ref="V1321:AA1321" si="649">V1217+V1113+V1009+V905+V801+V697+V593+V489+V385+V281+V177+V73</f>
        <v>0</v>
      </c>
      <c r="W1321" s="47">
        <f t="shared" si="649"/>
        <v>0</v>
      </c>
      <c r="X1321" s="47">
        <f t="shared" si="649"/>
        <v>0</v>
      </c>
      <c r="Y1321" s="47">
        <f t="shared" si="649"/>
        <v>0</v>
      </c>
      <c r="Z1321" s="47">
        <f t="shared" si="649"/>
        <v>0</v>
      </c>
      <c r="AA1321" s="47" t="e">
        <f t="shared" si="649"/>
        <v>#DIV/0!</v>
      </c>
      <c r="AB1321" s="79">
        <f t="shared" si="640"/>
        <v>0</v>
      </c>
      <c r="AC1321" s="47" t="e">
        <f t="shared" ref="AC1321:AF1321" si="650">AC1217+AC1113+AC1009+AC905+AC801+AC697+AC593+AC489+AC385+AC281+AC177+AC73</f>
        <v>#DIV/0!</v>
      </c>
      <c r="AD1321" s="47" t="e">
        <f t="shared" si="650"/>
        <v>#DIV/0!</v>
      </c>
      <c r="AE1321" s="87">
        <f t="shared" si="650"/>
        <v>0</v>
      </c>
      <c r="AF1321" s="47">
        <f t="shared" si="650"/>
        <v>0</v>
      </c>
      <c r="AG1321" s="86">
        <f t="shared" si="642"/>
        <v>0</v>
      </c>
      <c r="AH1321" s="7">
        <f t="shared" si="643"/>
        <v>0</v>
      </c>
      <c r="AI1321" s="6">
        <f t="shared" si="628"/>
        <v>0</v>
      </c>
      <c r="AJ1321" s="6">
        <f t="shared" si="644"/>
        <v>0</v>
      </c>
      <c r="AK1321" s="47">
        <f t="shared" si="629"/>
        <v>0</v>
      </c>
      <c r="AL1321" s="748"/>
      <c r="AM1321" s="748"/>
    </row>
    <row r="1322" spans="2:39" x14ac:dyDescent="0.2">
      <c r="B1322" s="101" t="str">
        <f t="shared" si="630"/>
        <v/>
      </c>
      <c r="C1322" s="47">
        <f t="shared" si="623"/>
        <v>0</v>
      </c>
      <c r="D1322" s="168">
        <f t="shared" si="631"/>
        <v>0</v>
      </c>
      <c r="E1322" s="47">
        <f t="shared" ref="E1322:F1322" si="651">E1218+E1114+E1010+E906+E802+E698+E594+E490+E386+E282+E178+E74</f>
        <v>0</v>
      </c>
      <c r="F1322" s="47">
        <f t="shared" si="651"/>
        <v>0</v>
      </c>
      <c r="G1322" s="168">
        <f t="shared" si="633"/>
        <v>0</v>
      </c>
      <c r="H1322" s="168" t="e">
        <f t="shared" si="625"/>
        <v>#DIV/0!</v>
      </c>
      <c r="I1322" s="736" t="e">
        <f t="shared" si="634"/>
        <v>#DIV/0!</v>
      </c>
      <c r="J1322" s="739"/>
      <c r="K1322" s="47">
        <f t="shared" si="635"/>
        <v>0</v>
      </c>
      <c r="L1322" s="47">
        <f>K1322-Personalplanung!AB74</f>
        <v>0</v>
      </c>
      <c r="M1322" s="739"/>
      <c r="N1322" s="47">
        <f t="shared" si="636"/>
        <v>0</v>
      </c>
      <c r="O1322" s="767">
        <f>N1322-Personalplanung!AC74</f>
        <v>0</v>
      </c>
      <c r="P1322" s="739"/>
      <c r="Q1322" s="47">
        <f t="shared" si="637"/>
        <v>0</v>
      </c>
      <c r="R1322" s="767">
        <f>Q1322-Personalplanung!AD74</f>
        <v>0</v>
      </c>
      <c r="S1322" s="739"/>
      <c r="T1322" s="47">
        <f t="shared" si="638"/>
        <v>0</v>
      </c>
      <c r="U1322" s="767">
        <f>T1322-Personalplanung!AE74</f>
        <v>0</v>
      </c>
      <c r="V1322" s="47">
        <f t="shared" ref="V1322:AA1322" si="652">V1218+V1114+V1010+V906+V802+V698+V594+V490+V386+V282+V178+V74</f>
        <v>0</v>
      </c>
      <c r="W1322" s="47">
        <f t="shared" si="652"/>
        <v>0</v>
      </c>
      <c r="X1322" s="47">
        <f t="shared" si="652"/>
        <v>0</v>
      </c>
      <c r="Y1322" s="47">
        <f t="shared" si="652"/>
        <v>0</v>
      </c>
      <c r="Z1322" s="47">
        <f t="shared" si="652"/>
        <v>0</v>
      </c>
      <c r="AA1322" s="47" t="e">
        <f t="shared" si="652"/>
        <v>#DIV/0!</v>
      </c>
      <c r="AB1322" s="79">
        <f t="shared" si="640"/>
        <v>0</v>
      </c>
      <c r="AC1322" s="47" t="e">
        <f t="shared" ref="AC1322:AF1322" si="653">AC1218+AC1114+AC1010+AC906+AC802+AC698+AC594+AC490+AC386+AC282+AC178+AC74</f>
        <v>#DIV/0!</v>
      </c>
      <c r="AD1322" s="47" t="e">
        <f t="shared" si="653"/>
        <v>#DIV/0!</v>
      </c>
      <c r="AE1322" s="87">
        <f t="shared" si="653"/>
        <v>0</v>
      </c>
      <c r="AF1322" s="47">
        <f t="shared" si="653"/>
        <v>0</v>
      </c>
      <c r="AG1322" s="86">
        <f t="shared" si="642"/>
        <v>0</v>
      </c>
      <c r="AH1322" s="7">
        <f t="shared" si="643"/>
        <v>0</v>
      </c>
      <c r="AI1322" s="6">
        <f t="shared" si="628"/>
        <v>0</v>
      </c>
      <c r="AJ1322" s="6">
        <f t="shared" si="644"/>
        <v>0</v>
      </c>
      <c r="AK1322" s="47">
        <f t="shared" si="629"/>
        <v>0</v>
      </c>
      <c r="AL1322" s="748"/>
      <c r="AM1322" s="748"/>
    </row>
    <row r="1323" spans="2:39" x14ac:dyDescent="0.2">
      <c r="B1323" s="101" t="str">
        <f t="shared" si="630"/>
        <v/>
      </c>
      <c r="C1323" s="47">
        <f t="shared" si="623"/>
        <v>0</v>
      </c>
      <c r="D1323" s="168">
        <f t="shared" si="631"/>
        <v>0</v>
      </c>
      <c r="E1323" s="47">
        <f t="shared" ref="E1323:F1323" si="654">E1219+E1115+E1011+E907+E803+E699+E595+E491+E387+E283+E179+E75</f>
        <v>0</v>
      </c>
      <c r="F1323" s="47">
        <f t="shared" si="654"/>
        <v>0</v>
      </c>
      <c r="G1323" s="168">
        <f t="shared" si="633"/>
        <v>0</v>
      </c>
      <c r="H1323" s="168" t="e">
        <f t="shared" si="625"/>
        <v>#DIV/0!</v>
      </c>
      <c r="I1323" s="736" t="e">
        <f t="shared" si="634"/>
        <v>#DIV/0!</v>
      </c>
      <c r="J1323" s="739"/>
      <c r="K1323" s="47">
        <f t="shared" si="635"/>
        <v>0</v>
      </c>
      <c r="L1323" s="47">
        <f>K1323-Personalplanung!AB75</f>
        <v>0</v>
      </c>
      <c r="M1323" s="739"/>
      <c r="N1323" s="47">
        <f t="shared" si="636"/>
        <v>0</v>
      </c>
      <c r="O1323" s="767">
        <f>N1323-Personalplanung!AC75</f>
        <v>0</v>
      </c>
      <c r="P1323" s="739"/>
      <c r="Q1323" s="47">
        <f t="shared" si="637"/>
        <v>0</v>
      </c>
      <c r="R1323" s="767">
        <f>Q1323-Personalplanung!AD75</f>
        <v>0</v>
      </c>
      <c r="S1323" s="739"/>
      <c r="T1323" s="47">
        <f t="shared" si="638"/>
        <v>0</v>
      </c>
      <c r="U1323" s="767">
        <f>T1323-Personalplanung!AE75</f>
        <v>0</v>
      </c>
      <c r="V1323" s="47">
        <f t="shared" ref="V1323:AA1323" si="655">V1219+V1115+V1011+V907+V803+V699+V595+V491+V387+V283+V179+V75</f>
        <v>0</v>
      </c>
      <c r="W1323" s="47">
        <f t="shared" si="655"/>
        <v>0</v>
      </c>
      <c r="X1323" s="47">
        <f t="shared" si="655"/>
        <v>0</v>
      </c>
      <c r="Y1323" s="47">
        <f t="shared" si="655"/>
        <v>0</v>
      </c>
      <c r="Z1323" s="47">
        <f t="shared" si="655"/>
        <v>0</v>
      </c>
      <c r="AA1323" s="47" t="e">
        <f t="shared" si="655"/>
        <v>#DIV/0!</v>
      </c>
      <c r="AB1323" s="79">
        <f t="shared" si="640"/>
        <v>0</v>
      </c>
      <c r="AC1323" s="47" t="e">
        <f t="shared" ref="AC1323:AF1323" si="656">AC1219+AC1115+AC1011+AC907+AC803+AC699+AC595+AC491+AC387+AC283+AC179+AC75</f>
        <v>#DIV/0!</v>
      </c>
      <c r="AD1323" s="47" t="e">
        <f t="shared" si="656"/>
        <v>#DIV/0!</v>
      </c>
      <c r="AE1323" s="87">
        <f t="shared" si="656"/>
        <v>0</v>
      </c>
      <c r="AF1323" s="47">
        <f t="shared" si="656"/>
        <v>0</v>
      </c>
      <c r="AG1323" s="86">
        <f t="shared" si="642"/>
        <v>0</v>
      </c>
      <c r="AH1323" s="7">
        <f t="shared" si="643"/>
        <v>0</v>
      </c>
      <c r="AI1323" s="6">
        <f t="shared" si="628"/>
        <v>0</v>
      </c>
      <c r="AJ1323" s="6">
        <f t="shared" si="644"/>
        <v>0</v>
      </c>
      <c r="AK1323" s="47">
        <f t="shared" si="629"/>
        <v>0</v>
      </c>
      <c r="AL1323" s="748"/>
      <c r="AM1323" s="748"/>
    </row>
    <row r="1324" spans="2:39" x14ac:dyDescent="0.2">
      <c r="B1324" s="101" t="str">
        <f t="shared" si="630"/>
        <v/>
      </c>
      <c r="C1324" s="47">
        <f t="shared" si="623"/>
        <v>0</v>
      </c>
      <c r="D1324" s="168">
        <f t="shared" si="631"/>
        <v>0</v>
      </c>
      <c r="E1324" s="47">
        <f t="shared" ref="E1324:F1324" si="657">E1220+E1116+E1012+E908+E804+E700+E596+E492+E388+E284+E180+E76</f>
        <v>0</v>
      </c>
      <c r="F1324" s="47">
        <f t="shared" si="657"/>
        <v>0</v>
      </c>
      <c r="G1324" s="168">
        <f t="shared" si="633"/>
        <v>0</v>
      </c>
      <c r="H1324" s="168" t="e">
        <f t="shared" si="625"/>
        <v>#DIV/0!</v>
      </c>
      <c r="I1324" s="736" t="e">
        <f t="shared" si="634"/>
        <v>#DIV/0!</v>
      </c>
      <c r="J1324" s="739"/>
      <c r="K1324" s="47">
        <f t="shared" si="635"/>
        <v>0</v>
      </c>
      <c r="L1324" s="47">
        <f>K1324-Personalplanung!AB76</f>
        <v>0</v>
      </c>
      <c r="M1324" s="739"/>
      <c r="N1324" s="47">
        <f t="shared" si="636"/>
        <v>0</v>
      </c>
      <c r="O1324" s="767">
        <f>N1324-Personalplanung!AC76</f>
        <v>0</v>
      </c>
      <c r="P1324" s="739"/>
      <c r="Q1324" s="47">
        <f t="shared" si="637"/>
        <v>0</v>
      </c>
      <c r="R1324" s="767">
        <f>Q1324-Personalplanung!AD76</f>
        <v>0</v>
      </c>
      <c r="S1324" s="739"/>
      <c r="T1324" s="47">
        <f t="shared" si="638"/>
        <v>0</v>
      </c>
      <c r="U1324" s="767">
        <f>T1324-Personalplanung!AE76</f>
        <v>0</v>
      </c>
      <c r="V1324" s="47">
        <f t="shared" ref="V1324:AA1324" si="658">V1220+V1116+V1012+V908+V804+V700+V596+V492+V388+V284+V180+V76</f>
        <v>0</v>
      </c>
      <c r="W1324" s="47">
        <f t="shared" si="658"/>
        <v>0</v>
      </c>
      <c r="X1324" s="47">
        <f t="shared" si="658"/>
        <v>0</v>
      </c>
      <c r="Y1324" s="47">
        <f t="shared" si="658"/>
        <v>0</v>
      </c>
      <c r="Z1324" s="47">
        <f t="shared" si="658"/>
        <v>0</v>
      </c>
      <c r="AA1324" s="47" t="e">
        <f t="shared" si="658"/>
        <v>#DIV/0!</v>
      </c>
      <c r="AB1324" s="79">
        <f t="shared" si="640"/>
        <v>0</v>
      </c>
      <c r="AC1324" s="47" t="e">
        <f t="shared" ref="AC1324:AF1324" si="659">AC1220+AC1116+AC1012+AC908+AC804+AC700+AC596+AC492+AC388+AC284+AC180+AC76</f>
        <v>#DIV/0!</v>
      </c>
      <c r="AD1324" s="47" t="e">
        <f t="shared" si="659"/>
        <v>#DIV/0!</v>
      </c>
      <c r="AE1324" s="87">
        <f t="shared" si="659"/>
        <v>0</v>
      </c>
      <c r="AF1324" s="47">
        <f t="shared" si="659"/>
        <v>0</v>
      </c>
      <c r="AG1324" s="86">
        <f t="shared" si="642"/>
        <v>0</v>
      </c>
      <c r="AH1324" s="7">
        <f t="shared" si="643"/>
        <v>0</v>
      </c>
      <c r="AI1324" s="6">
        <f t="shared" si="628"/>
        <v>0</v>
      </c>
      <c r="AJ1324" s="6">
        <f t="shared" si="644"/>
        <v>0</v>
      </c>
      <c r="AK1324" s="47">
        <f t="shared" si="629"/>
        <v>0</v>
      </c>
      <c r="AL1324" s="748"/>
      <c r="AM1324" s="748"/>
    </row>
    <row r="1325" spans="2:39" x14ac:dyDescent="0.2">
      <c r="B1325" s="101" t="str">
        <f t="shared" si="630"/>
        <v/>
      </c>
      <c r="C1325" s="47">
        <f t="shared" si="623"/>
        <v>0</v>
      </c>
      <c r="D1325" s="168">
        <f t="shared" si="631"/>
        <v>0</v>
      </c>
      <c r="E1325" s="47">
        <f t="shared" ref="E1325:F1325" si="660">E1221+E1117+E1013+E909+E805+E701+E597+E493+E389+E285+E181+E77</f>
        <v>0</v>
      </c>
      <c r="F1325" s="47">
        <f t="shared" si="660"/>
        <v>0</v>
      </c>
      <c r="G1325" s="168">
        <f t="shared" si="633"/>
        <v>0</v>
      </c>
      <c r="H1325" s="168" t="e">
        <f t="shared" si="625"/>
        <v>#DIV/0!</v>
      </c>
      <c r="I1325" s="736" t="e">
        <f t="shared" si="634"/>
        <v>#DIV/0!</v>
      </c>
      <c r="J1325" s="739"/>
      <c r="K1325" s="47">
        <f t="shared" si="635"/>
        <v>0</v>
      </c>
      <c r="L1325" s="47">
        <f>K1325-Personalplanung!AB77</f>
        <v>0</v>
      </c>
      <c r="M1325" s="739"/>
      <c r="N1325" s="47">
        <f t="shared" si="636"/>
        <v>0</v>
      </c>
      <c r="O1325" s="767">
        <f>N1325-Personalplanung!AC77</f>
        <v>0</v>
      </c>
      <c r="P1325" s="739"/>
      <c r="Q1325" s="47">
        <f t="shared" si="637"/>
        <v>0</v>
      </c>
      <c r="R1325" s="767">
        <f>Q1325-Personalplanung!AD77</f>
        <v>0</v>
      </c>
      <c r="S1325" s="739"/>
      <c r="T1325" s="47">
        <f t="shared" si="638"/>
        <v>0</v>
      </c>
      <c r="U1325" s="767">
        <f>T1325-Personalplanung!AE77</f>
        <v>0</v>
      </c>
      <c r="V1325" s="47">
        <f t="shared" ref="V1325:AA1325" si="661">V1221+V1117+V1013+V909+V805+V701+V597+V493+V389+V285+V181+V77</f>
        <v>0</v>
      </c>
      <c r="W1325" s="47">
        <f t="shared" si="661"/>
        <v>0</v>
      </c>
      <c r="X1325" s="47">
        <f t="shared" si="661"/>
        <v>0</v>
      </c>
      <c r="Y1325" s="47">
        <f t="shared" si="661"/>
        <v>0</v>
      </c>
      <c r="Z1325" s="47">
        <f t="shared" si="661"/>
        <v>0</v>
      </c>
      <c r="AA1325" s="47" t="e">
        <f t="shared" si="661"/>
        <v>#DIV/0!</v>
      </c>
      <c r="AB1325" s="79">
        <f t="shared" si="640"/>
        <v>0</v>
      </c>
      <c r="AC1325" s="47" t="e">
        <f t="shared" ref="AC1325:AF1325" si="662">AC1221+AC1117+AC1013+AC909+AC805+AC701+AC597+AC493+AC389+AC285+AC181+AC77</f>
        <v>#DIV/0!</v>
      </c>
      <c r="AD1325" s="47" t="e">
        <f t="shared" si="662"/>
        <v>#DIV/0!</v>
      </c>
      <c r="AE1325" s="87">
        <f t="shared" si="662"/>
        <v>0</v>
      </c>
      <c r="AF1325" s="47">
        <f t="shared" si="662"/>
        <v>0</v>
      </c>
      <c r="AG1325" s="86">
        <f t="shared" si="642"/>
        <v>0</v>
      </c>
      <c r="AH1325" s="7">
        <f t="shared" si="643"/>
        <v>0</v>
      </c>
      <c r="AI1325" s="6">
        <f t="shared" si="628"/>
        <v>0</v>
      </c>
      <c r="AJ1325" s="6">
        <f t="shared" si="644"/>
        <v>0</v>
      </c>
      <c r="AK1325" s="47">
        <f t="shared" si="629"/>
        <v>0</v>
      </c>
      <c r="AL1325" s="748"/>
      <c r="AM1325" s="748"/>
    </row>
    <row r="1326" spans="2:39" x14ac:dyDescent="0.2">
      <c r="B1326" s="101" t="str">
        <f t="shared" si="630"/>
        <v/>
      </c>
      <c r="C1326" s="47">
        <f t="shared" si="623"/>
        <v>0</v>
      </c>
      <c r="D1326" s="168">
        <f t="shared" si="631"/>
        <v>0</v>
      </c>
      <c r="E1326" s="47">
        <f t="shared" ref="E1326:F1326" si="663">E1222+E1118+E1014+E910+E806+E702+E598+E494+E390+E286+E182+E78</f>
        <v>0</v>
      </c>
      <c r="F1326" s="47">
        <f t="shared" si="663"/>
        <v>0</v>
      </c>
      <c r="G1326" s="168">
        <f t="shared" si="633"/>
        <v>0</v>
      </c>
      <c r="H1326" s="168" t="e">
        <f t="shared" si="625"/>
        <v>#DIV/0!</v>
      </c>
      <c r="I1326" s="736" t="e">
        <f t="shared" si="634"/>
        <v>#DIV/0!</v>
      </c>
      <c r="J1326" s="739"/>
      <c r="K1326" s="47">
        <f t="shared" si="635"/>
        <v>0</v>
      </c>
      <c r="L1326" s="47">
        <f>K1326-Personalplanung!AB78</f>
        <v>0</v>
      </c>
      <c r="M1326" s="739"/>
      <c r="N1326" s="47">
        <f t="shared" si="636"/>
        <v>0</v>
      </c>
      <c r="O1326" s="767">
        <f>N1326-Personalplanung!AC78</f>
        <v>0</v>
      </c>
      <c r="P1326" s="739"/>
      <c r="Q1326" s="47">
        <f t="shared" si="637"/>
        <v>0</v>
      </c>
      <c r="R1326" s="767">
        <f>Q1326-Personalplanung!AD78</f>
        <v>0</v>
      </c>
      <c r="S1326" s="739"/>
      <c r="T1326" s="47">
        <f t="shared" si="638"/>
        <v>0</v>
      </c>
      <c r="U1326" s="767">
        <f>T1326-Personalplanung!AE78</f>
        <v>0</v>
      </c>
      <c r="V1326" s="47">
        <f t="shared" ref="V1326:AA1326" si="664">V1222+V1118+V1014+V910+V806+V702+V598+V494+V390+V286+V182+V78</f>
        <v>0</v>
      </c>
      <c r="W1326" s="47">
        <f t="shared" si="664"/>
        <v>0</v>
      </c>
      <c r="X1326" s="47">
        <f t="shared" si="664"/>
        <v>0</v>
      </c>
      <c r="Y1326" s="47">
        <f t="shared" si="664"/>
        <v>0</v>
      </c>
      <c r="Z1326" s="47">
        <f t="shared" si="664"/>
        <v>0</v>
      </c>
      <c r="AA1326" s="47" t="e">
        <f t="shared" si="664"/>
        <v>#DIV/0!</v>
      </c>
      <c r="AB1326" s="79">
        <f t="shared" si="640"/>
        <v>0</v>
      </c>
      <c r="AC1326" s="47" t="e">
        <f t="shared" ref="AC1326:AF1326" si="665">AC1222+AC1118+AC1014+AC910+AC806+AC702+AC598+AC494+AC390+AC286+AC182+AC78</f>
        <v>#DIV/0!</v>
      </c>
      <c r="AD1326" s="47" t="e">
        <f t="shared" si="665"/>
        <v>#DIV/0!</v>
      </c>
      <c r="AE1326" s="87">
        <f t="shared" si="665"/>
        <v>0</v>
      </c>
      <c r="AF1326" s="47">
        <f t="shared" si="665"/>
        <v>0</v>
      </c>
      <c r="AG1326" s="86">
        <f t="shared" si="642"/>
        <v>0</v>
      </c>
      <c r="AH1326" s="7">
        <f t="shared" si="643"/>
        <v>0</v>
      </c>
      <c r="AI1326" s="6">
        <f t="shared" si="628"/>
        <v>0</v>
      </c>
      <c r="AJ1326" s="6">
        <f t="shared" si="644"/>
        <v>0</v>
      </c>
      <c r="AK1326" s="47">
        <f t="shared" si="629"/>
        <v>0</v>
      </c>
      <c r="AL1326" s="748"/>
      <c r="AM1326" s="748"/>
    </row>
    <row r="1327" spans="2:39" x14ac:dyDescent="0.2">
      <c r="B1327" s="101" t="str">
        <f t="shared" si="630"/>
        <v/>
      </c>
      <c r="C1327" s="47">
        <f t="shared" si="623"/>
        <v>0</v>
      </c>
      <c r="D1327" s="168">
        <f t="shared" si="631"/>
        <v>0</v>
      </c>
      <c r="E1327" s="47">
        <f t="shared" ref="E1327:F1327" si="666">E1223+E1119+E1015+E911+E807+E703+E599+E495+E391+E287+E183+E79</f>
        <v>0</v>
      </c>
      <c r="F1327" s="47">
        <f t="shared" si="666"/>
        <v>0</v>
      </c>
      <c r="G1327" s="168">
        <f t="shared" si="633"/>
        <v>0</v>
      </c>
      <c r="H1327" s="168" t="e">
        <f t="shared" si="625"/>
        <v>#DIV/0!</v>
      </c>
      <c r="I1327" s="736" t="e">
        <f t="shared" si="634"/>
        <v>#DIV/0!</v>
      </c>
      <c r="J1327" s="739"/>
      <c r="K1327" s="47">
        <f t="shared" si="635"/>
        <v>0</v>
      </c>
      <c r="L1327" s="47">
        <f>K1327-Personalplanung!AB79</f>
        <v>0</v>
      </c>
      <c r="M1327" s="739"/>
      <c r="N1327" s="47">
        <f t="shared" si="636"/>
        <v>0</v>
      </c>
      <c r="O1327" s="767">
        <f>N1327-Personalplanung!AC79</f>
        <v>0</v>
      </c>
      <c r="P1327" s="739"/>
      <c r="Q1327" s="47">
        <f t="shared" si="637"/>
        <v>0</v>
      </c>
      <c r="R1327" s="767">
        <f>Q1327-Personalplanung!AD79</f>
        <v>0</v>
      </c>
      <c r="S1327" s="739"/>
      <c r="T1327" s="47">
        <f t="shared" si="638"/>
        <v>0</v>
      </c>
      <c r="U1327" s="767">
        <f>T1327-Personalplanung!AE79</f>
        <v>0</v>
      </c>
      <c r="V1327" s="47">
        <f t="shared" ref="V1327:AA1327" si="667">V1223+V1119+V1015+V911+V807+V703+V599+V495+V391+V287+V183+V79</f>
        <v>0</v>
      </c>
      <c r="W1327" s="47">
        <f t="shared" si="667"/>
        <v>0</v>
      </c>
      <c r="X1327" s="47">
        <f t="shared" si="667"/>
        <v>0</v>
      </c>
      <c r="Y1327" s="47">
        <f t="shared" si="667"/>
        <v>0</v>
      </c>
      <c r="Z1327" s="47">
        <f t="shared" si="667"/>
        <v>0</v>
      </c>
      <c r="AA1327" s="47" t="e">
        <f t="shared" si="667"/>
        <v>#DIV/0!</v>
      </c>
      <c r="AB1327" s="79">
        <f t="shared" si="640"/>
        <v>0</v>
      </c>
      <c r="AC1327" s="47" t="e">
        <f t="shared" ref="AC1327:AF1327" si="668">AC1223+AC1119+AC1015+AC911+AC807+AC703+AC599+AC495+AC391+AC287+AC183+AC79</f>
        <v>#DIV/0!</v>
      </c>
      <c r="AD1327" s="47" t="e">
        <f t="shared" si="668"/>
        <v>#DIV/0!</v>
      </c>
      <c r="AE1327" s="87">
        <f t="shared" si="668"/>
        <v>0</v>
      </c>
      <c r="AF1327" s="47">
        <f t="shared" si="668"/>
        <v>0</v>
      </c>
      <c r="AG1327" s="86">
        <f t="shared" si="642"/>
        <v>0</v>
      </c>
      <c r="AH1327" s="7">
        <f t="shared" si="643"/>
        <v>0</v>
      </c>
      <c r="AI1327" s="6">
        <f t="shared" si="628"/>
        <v>0</v>
      </c>
      <c r="AJ1327" s="6">
        <f t="shared" si="644"/>
        <v>0</v>
      </c>
      <c r="AK1327" s="47">
        <f t="shared" si="629"/>
        <v>0</v>
      </c>
      <c r="AL1327" s="748"/>
      <c r="AM1327" s="748"/>
    </row>
    <row r="1328" spans="2:39" x14ac:dyDescent="0.2">
      <c r="B1328" s="101" t="str">
        <f t="shared" si="630"/>
        <v/>
      </c>
      <c r="C1328" s="47">
        <f t="shared" si="623"/>
        <v>0</v>
      </c>
      <c r="D1328" s="168">
        <f t="shared" si="631"/>
        <v>0</v>
      </c>
      <c r="E1328" s="47">
        <f t="shared" ref="E1328:F1328" si="669">E1224+E1120+E1016+E912+E808+E704+E600+E496+E392+E288+E184+E80</f>
        <v>0</v>
      </c>
      <c r="F1328" s="47">
        <f t="shared" si="669"/>
        <v>0</v>
      </c>
      <c r="G1328" s="168">
        <f t="shared" si="633"/>
        <v>0</v>
      </c>
      <c r="H1328" s="168" t="e">
        <f t="shared" si="625"/>
        <v>#DIV/0!</v>
      </c>
      <c r="I1328" s="736" t="e">
        <f t="shared" si="634"/>
        <v>#DIV/0!</v>
      </c>
      <c r="J1328" s="739"/>
      <c r="K1328" s="47">
        <f t="shared" si="635"/>
        <v>0</v>
      </c>
      <c r="L1328" s="47">
        <f>K1328-Personalplanung!AB80</f>
        <v>0</v>
      </c>
      <c r="M1328" s="739"/>
      <c r="N1328" s="47">
        <f t="shared" si="636"/>
        <v>0</v>
      </c>
      <c r="O1328" s="767">
        <f>N1328-Personalplanung!AC80</f>
        <v>0</v>
      </c>
      <c r="P1328" s="739"/>
      <c r="Q1328" s="47">
        <f t="shared" si="637"/>
        <v>0</v>
      </c>
      <c r="R1328" s="767">
        <f>Q1328-Personalplanung!AD80</f>
        <v>0</v>
      </c>
      <c r="S1328" s="739"/>
      <c r="T1328" s="47">
        <f t="shared" si="638"/>
        <v>0</v>
      </c>
      <c r="U1328" s="767">
        <f>T1328-Personalplanung!AE80</f>
        <v>0</v>
      </c>
      <c r="V1328" s="47">
        <f t="shared" ref="V1328:AA1328" si="670">V1224+V1120+V1016+V912+V808+V704+V600+V496+V392+V288+V184+V80</f>
        <v>0</v>
      </c>
      <c r="W1328" s="47">
        <f t="shared" si="670"/>
        <v>0</v>
      </c>
      <c r="X1328" s="47">
        <f t="shared" si="670"/>
        <v>0</v>
      </c>
      <c r="Y1328" s="47">
        <f t="shared" si="670"/>
        <v>0</v>
      </c>
      <c r="Z1328" s="47">
        <f t="shared" si="670"/>
        <v>0</v>
      </c>
      <c r="AA1328" s="47" t="e">
        <f t="shared" si="670"/>
        <v>#DIV/0!</v>
      </c>
      <c r="AB1328" s="79">
        <f t="shared" si="640"/>
        <v>0</v>
      </c>
      <c r="AC1328" s="47" t="e">
        <f t="shared" ref="AC1328:AF1328" si="671">AC1224+AC1120+AC1016+AC912+AC808+AC704+AC600+AC496+AC392+AC288+AC184+AC80</f>
        <v>#DIV/0!</v>
      </c>
      <c r="AD1328" s="47" t="e">
        <f t="shared" si="671"/>
        <v>#DIV/0!</v>
      </c>
      <c r="AE1328" s="87">
        <f t="shared" si="671"/>
        <v>0</v>
      </c>
      <c r="AF1328" s="47">
        <f t="shared" si="671"/>
        <v>0</v>
      </c>
      <c r="AG1328" s="86">
        <f t="shared" si="642"/>
        <v>0</v>
      </c>
      <c r="AH1328" s="7">
        <f t="shared" si="643"/>
        <v>0</v>
      </c>
      <c r="AI1328" s="6">
        <f t="shared" si="628"/>
        <v>0</v>
      </c>
      <c r="AJ1328" s="6">
        <f t="shared" si="644"/>
        <v>0</v>
      </c>
      <c r="AK1328" s="47">
        <f t="shared" si="629"/>
        <v>0</v>
      </c>
      <c r="AL1328" s="748"/>
      <c r="AM1328" s="748"/>
    </row>
    <row r="1329" spans="2:39" x14ac:dyDescent="0.2">
      <c r="B1329" s="101" t="str">
        <f t="shared" si="630"/>
        <v/>
      </c>
      <c r="C1329" s="47">
        <f t="shared" si="623"/>
        <v>0</v>
      </c>
      <c r="D1329" s="168">
        <f t="shared" si="631"/>
        <v>0</v>
      </c>
      <c r="E1329" s="47">
        <f t="shared" ref="E1329:F1329" si="672">E1225+E1121+E1017+E913+E809+E705+E601+E497+E393+E289+E185+E81</f>
        <v>0</v>
      </c>
      <c r="F1329" s="47">
        <f t="shared" si="672"/>
        <v>0</v>
      </c>
      <c r="G1329" s="168">
        <f t="shared" si="633"/>
        <v>0</v>
      </c>
      <c r="H1329" s="168" t="e">
        <f t="shared" si="625"/>
        <v>#DIV/0!</v>
      </c>
      <c r="I1329" s="736" t="e">
        <f t="shared" si="634"/>
        <v>#DIV/0!</v>
      </c>
      <c r="J1329" s="739"/>
      <c r="K1329" s="47">
        <f t="shared" si="635"/>
        <v>0</v>
      </c>
      <c r="L1329" s="47">
        <f>K1329-Personalplanung!AB81</f>
        <v>0</v>
      </c>
      <c r="M1329" s="739"/>
      <c r="N1329" s="47">
        <f t="shared" si="636"/>
        <v>0</v>
      </c>
      <c r="O1329" s="767">
        <f>N1329-Personalplanung!AC81</f>
        <v>0</v>
      </c>
      <c r="P1329" s="739"/>
      <c r="Q1329" s="47">
        <f t="shared" si="637"/>
        <v>0</v>
      </c>
      <c r="R1329" s="767">
        <f>Q1329-Personalplanung!AD81</f>
        <v>0</v>
      </c>
      <c r="S1329" s="739"/>
      <c r="T1329" s="47">
        <f t="shared" si="638"/>
        <v>0</v>
      </c>
      <c r="U1329" s="767">
        <f>T1329-Personalplanung!AE81</f>
        <v>0</v>
      </c>
      <c r="V1329" s="47">
        <f t="shared" ref="V1329:AA1329" si="673">V1225+V1121+V1017+V913+V809+V705+V601+V497+V393+V289+V185+V81</f>
        <v>0</v>
      </c>
      <c r="W1329" s="47">
        <f t="shared" si="673"/>
        <v>0</v>
      </c>
      <c r="X1329" s="47">
        <f t="shared" si="673"/>
        <v>0</v>
      </c>
      <c r="Y1329" s="47">
        <f t="shared" si="673"/>
        <v>0</v>
      </c>
      <c r="Z1329" s="47">
        <f t="shared" si="673"/>
        <v>0</v>
      </c>
      <c r="AA1329" s="47" t="e">
        <f t="shared" si="673"/>
        <v>#DIV/0!</v>
      </c>
      <c r="AB1329" s="79">
        <f t="shared" si="640"/>
        <v>0</v>
      </c>
      <c r="AC1329" s="47" t="e">
        <f t="shared" ref="AC1329:AF1329" si="674">AC1225+AC1121+AC1017+AC913+AC809+AC705+AC601+AC497+AC393+AC289+AC185+AC81</f>
        <v>#DIV/0!</v>
      </c>
      <c r="AD1329" s="47" t="e">
        <f t="shared" si="674"/>
        <v>#DIV/0!</v>
      </c>
      <c r="AE1329" s="87">
        <f t="shared" si="674"/>
        <v>0</v>
      </c>
      <c r="AF1329" s="47">
        <f t="shared" si="674"/>
        <v>0</v>
      </c>
      <c r="AG1329" s="86">
        <f t="shared" si="642"/>
        <v>0</v>
      </c>
      <c r="AH1329" s="7">
        <f t="shared" si="643"/>
        <v>0</v>
      </c>
      <c r="AI1329" s="6">
        <f t="shared" si="628"/>
        <v>0</v>
      </c>
      <c r="AJ1329" s="6">
        <f t="shared" si="644"/>
        <v>0</v>
      </c>
      <c r="AK1329" s="47">
        <f t="shared" si="629"/>
        <v>0</v>
      </c>
      <c r="AL1329" s="748"/>
      <c r="AM1329" s="748"/>
    </row>
    <row r="1330" spans="2:39" x14ac:dyDescent="0.2">
      <c r="B1330" s="101" t="str">
        <f t="shared" si="630"/>
        <v/>
      </c>
      <c r="C1330" s="47">
        <f t="shared" si="623"/>
        <v>0</v>
      </c>
      <c r="D1330" s="168">
        <f t="shared" si="631"/>
        <v>0</v>
      </c>
      <c r="E1330" s="47">
        <f t="shared" ref="E1330:F1330" si="675">E1226+E1122+E1018+E914+E810+E706+E602+E498+E394+E290+E186+E82</f>
        <v>0</v>
      </c>
      <c r="F1330" s="47">
        <f t="shared" si="675"/>
        <v>0</v>
      </c>
      <c r="G1330" s="168">
        <f t="shared" si="633"/>
        <v>0</v>
      </c>
      <c r="H1330" s="168" t="e">
        <f t="shared" si="625"/>
        <v>#DIV/0!</v>
      </c>
      <c r="I1330" s="736" t="e">
        <f t="shared" si="634"/>
        <v>#DIV/0!</v>
      </c>
      <c r="J1330" s="739"/>
      <c r="K1330" s="47">
        <f t="shared" si="635"/>
        <v>0</v>
      </c>
      <c r="L1330" s="47">
        <f>K1330-Personalplanung!AB82</f>
        <v>0</v>
      </c>
      <c r="M1330" s="739"/>
      <c r="N1330" s="47">
        <f t="shared" si="636"/>
        <v>0</v>
      </c>
      <c r="O1330" s="767">
        <f>N1330-Personalplanung!AC82</f>
        <v>0</v>
      </c>
      <c r="P1330" s="739"/>
      <c r="Q1330" s="47">
        <f t="shared" si="637"/>
        <v>0</v>
      </c>
      <c r="R1330" s="767">
        <f>Q1330-Personalplanung!AD82</f>
        <v>0</v>
      </c>
      <c r="S1330" s="739"/>
      <c r="T1330" s="47">
        <f t="shared" si="638"/>
        <v>0</v>
      </c>
      <c r="U1330" s="767">
        <f>T1330-Personalplanung!AE82</f>
        <v>0</v>
      </c>
      <c r="V1330" s="47">
        <f t="shared" ref="V1330:AA1330" si="676">V1226+V1122+V1018+V914+V810+V706+V602+V498+V394+V290+V186+V82</f>
        <v>0</v>
      </c>
      <c r="W1330" s="47">
        <f t="shared" si="676"/>
        <v>0</v>
      </c>
      <c r="X1330" s="47">
        <f t="shared" si="676"/>
        <v>0</v>
      </c>
      <c r="Y1330" s="47">
        <f t="shared" si="676"/>
        <v>0</v>
      </c>
      <c r="Z1330" s="47">
        <f t="shared" si="676"/>
        <v>0</v>
      </c>
      <c r="AA1330" s="47" t="e">
        <f t="shared" si="676"/>
        <v>#DIV/0!</v>
      </c>
      <c r="AB1330" s="79">
        <f t="shared" si="640"/>
        <v>0</v>
      </c>
      <c r="AC1330" s="47" t="e">
        <f t="shared" ref="AC1330:AF1330" si="677">AC1226+AC1122+AC1018+AC914+AC810+AC706+AC602+AC498+AC394+AC290+AC186+AC82</f>
        <v>#DIV/0!</v>
      </c>
      <c r="AD1330" s="47" t="e">
        <f t="shared" si="677"/>
        <v>#DIV/0!</v>
      </c>
      <c r="AE1330" s="87">
        <f t="shared" si="677"/>
        <v>0</v>
      </c>
      <c r="AF1330" s="47">
        <f t="shared" si="677"/>
        <v>0</v>
      </c>
      <c r="AG1330" s="86">
        <f t="shared" si="642"/>
        <v>0</v>
      </c>
      <c r="AH1330" s="7">
        <f t="shared" si="643"/>
        <v>0</v>
      </c>
      <c r="AI1330" s="6">
        <f t="shared" si="628"/>
        <v>0</v>
      </c>
      <c r="AJ1330" s="6">
        <f t="shared" si="644"/>
        <v>0</v>
      </c>
      <c r="AK1330" s="47">
        <f t="shared" si="629"/>
        <v>0</v>
      </c>
      <c r="AL1330" s="748"/>
      <c r="AM1330" s="748"/>
    </row>
    <row r="1331" spans="2:39" x14ac:dyDescent="0.2">
      <c r="B1331" s="101" t="str">
        <f t="shared" si="630"/>
        <v/>
      </c>
      <c r="C1331" s="47">
        <f t="shared" si="623"/>
        <v>0</v>
      </c>
      <c r="D1331" s="168">
        <f t="shared" si="631"/>
        <v>0</v>
      </c>
      <c r="E1331" s="47">
        <f t="shared" ref="E1331:F1331" si="678">E1227+E1123+E1019+E915+E811+E707+E603+E499+E395+E291+E187+E83</f>
        <v>0</v>
      </c>
      <c r="F1331" s="47">
        <f t="shared" si="678"/>
        <v>0</v>
      </c>
      <c r="G1331" s="168">
        <f t="shared" si="633"/>
        <v>0</v>
      </c>
      <c r="H1331" s="168" t="e">
        <f t="shared" si="625"/>
        <v>#DIV/0!</v>
      </c>
      <c r="I1331" s="736" t="e">
        <f t="shared" si="634"/>
        <v>#DIV/0!</v>
      </c>
      <c r="J1331" s="739"/>
      <c r="K1331" s="47">
        <f t="shared" si="635"/>
        <v>0</v>
      </c>
      <c r="L1331" s="47">
        <f>K1331-Personalplanung!AB83</f>
        <v>0</v>
      </c>
      <c r="M1331" s="739"/>
      <c r="N1331" s="47">
        <f t="shared" si="636"/>
        <v>0</v>
      </c>
      <c r="O1331" s="767">
        <f>N1331-Personalplanung!AC83</f>
        <v>0</v>
      </c>
      <c r="P1331" s="739"/>
      <c r="Q1331" s="47">
        <f t="shared" si="637"/>
        <v>0</v>
      </c>
      <c r="R1331" s="767">
        <f>Q1331-Personalplanung!AD83</f>
        <v>0</v>
      </c>
      <c r="S1331" s="739"/>
      <c r="T1331" s="47">
        <f t="shared" si="638"/>
        <v>0</v>
      </c>
      <c r="U1331" s="767">
        <f>T1331-Personalplanung!AE83</f>
        <v>0</v>
      </c>
      <c r="V1331" s="47">
        <f t="shared" ref="V1331:AA1331" si="679">V1227+V1123+V1019+V915+V811+V707+V603+V499+V395+V291+V187+V83</f>
        <v>0</v>
      </c>
      <c r="W1331" s="47">
        <f t="shared" si="679"/>
        <v>0</v>
      </c>
      <c r="X1331" s="47">
        <f t="shared" si="679"/>
        <v>0</v>
      </c>
      <c r="Y1331" s="47">
        <f t="shared" si="679"/>
        <v>0</v>
      </c>
      <c r="Z1331" s="47">
        <f t="shared" si="679"/>
        <v>0</v>
      </c>
      <c r="AA1331" s="47" t="e">
        <f t="shared" si="679"/>
        <v>#DIV/0!</v>
      </c>
      <c r="AB1331" s="79">
        <f t="shared" si="640"/>
        <v>0</v>
      </c>
      <c r="AC1331" s="47" t="e">
        <f t="shared" ref="AC1331:AF1331" si="680">AC1227+AC1123+AC1019+AC915+AC811+AC707+AC603+AC499+AC395+AC291+AC187+AC83</f>
        <v>#DIV/0!</v>
      </c>
      <c r="AD1331" s="47" t="e">
        <f t="shared" si="680"/>
        <v>#DIV/0!</v>
      </c>
      <c r="AE1331" s="87">
        <f t="shared" si="680"/>
        <v>0</v>
      </c>
      <c r="AF1331" s="47">
        <f t="shared" si="680"/>
        <v>0</v>
      </c>
      <c r="AG1331" s="86">
        <f t="shared" si="642"/>
        <v>0</v>
      </c>
      <c r="AH1331" s="7">
        <f t="shared" si="643"/>
        <v>0</v>
      </c>
      <c r="AI1331" s="6">
        <f t="shared" si="628"/>
        <v>0</v>
      </c>
      <c r="AJ1331" s="6">
        <f t="shared" si="644"/>
        <v>0</v>
      </c>
      <c r="AK1331" s="47">
        <f t="shared" si="629"/>
        <v>0</v>
      </c>
      <c r="AL1331" s="748"/>
      <c r="AM1331" s="748"/>
    </row>
    <row r="1332" spans="2:39" x14ac:dyDescent="0.2">
      <c r="B1332" s="101" t="str">
        <f t="shared" si="630"/>
        <v/>
      </c>
      <c r="C1332" s="47">
        <f t="shared" si="623"/>
        <v>0</v>
      </c>
      <c r="D1332" s="168">
        <f t="shared" si="631"/>
        <v>0</v>
      </c>
      <c r="E1332" s="47">
        <f t="shared" ref="E1332:F1332" si="681">E1228+E1124+E1020+E916+E812+E708+E604+E500+E396+E292+E188+E84</f>
        <v>0</v>
      </c>
      <c r="F1332" s="47">
        <f t="shared" si="681"/>
        <v>0</v>
      </c>
      <c r="G1332" s="168">
        <f t="shared" si="633"/>
        <v>0</v>
      </c>
      <c r="H1332" s="168" t="e">
        <f t="shared" si="625"/>
        <v>#DIV/0!</v>
      </c>
      <c r="I1332" s="736" t="e">
        <f t="shared" si="634"/>
        <v>#DIV/0!</v>
      </c>
      <c r="J1332" s="739"/>
      <c r="K1332" s="47">
        <f t="shared" si="635"/>
        <v>0</v>
      </c>
      <c r="L1332" s="47">
        <f>K1332-Personalplanung!AB84</f>
        <v>0</v>
      </c>
      <c r="M1332" s="739"/>
      <c r="N1332" s="47">
        <f t="shared" si="636"/>
        <v>0</v>
      </c>
      <c r="O1332" s="767">
        <f>N1332-Personalplanung!AC84</f>
        <v>0</v>
      </c>
      <c r="P1332" s="739"/>
      <c r="Q1332" s="47">
        <f t="shared" si="637"/>
        <v>0</v>
      </c>
      <c r="R1332" s="767">
        <f>Q1332-Personalplanung!AD84</f>
        <v>0</v>
      </c>
      <c r="S1332" s="739"/>
      <c r="T1332" s="47">
        <f t="shared" si="638"/>
        <v>0</v>
      </c>
      <c r="U1332" s="767">
        <f>T1332-Personalplanung!AE84</f>
        <v>0</v>
      </c>
      <c r="V1332" s="47">
        <f t="shared" ref="V1332:AA1332" si="682">V1228+V1124+V1020+V916+V812+V708+V604+V500+V396+V292+V188+V84</f>
        <v>0</v>
      </c>
      <c r="W1332" s="47">
        <f t="shared" si="682"/>
        <v>0</v>
      </c>
      <c r="X1332" s="47">
        <f t="shared" si="682"/>
        <v>0</v>
      </c>
      <c r="Y1332" s="47">
        <f t="shared" si="682"/>
        <v>0</v>
      </c>
      <c r="Z1332" s="47">
        <f t="shared" si="682"/>
        <v>0</v>
      </c>
      <c r="AA1332" s="47" t="e">
        <f t="shared" si="682"/>
        <v>#DIV/0!</v>
      </c>
      <c r="AB1332" s="79">
        <f t="shared" si="640"/>
        <v>0</v>
      </c>
      <c r="AC1332" s="47" t="e">
        <f t="shared" ref="AC1332:AF1332" si="683">AC1228+AC1124+AC1020+AC916+AC812+AC708+AC604+AC500+AC396+AC292+AC188+AC84</f>
        <v>#DIV/0!</v>
      </c>
      <c r="AD1332" s="47" t="e">
        <f t="shared" si="683"/>
        <v>#DIV/0!</v>
      </c>
      <c r="AE1332" s="87">
        <f t="shared" si="683"/>
        <v>0</v>
      </c>
      <c r="AF1332" s="47">
        <f t="shared" si="683"/>
        <v>0</v>
      </c>
      <c r="AG1332" s="86">
        <f t="shared" si="642"/>
        <v>0</v>
      </c>
      <c r="AH1332" s="7">
        <f t="shared" si="643"/>
        <v>0</v>
      </c>
      <c r="AI1332" s="6">
        <f t="shared" si="628"/>
        <v>0</v>
      </c>
      <c r="AJ1332" s="6">
        <f t="shared" si="644"/>
        <v>0</v>
      </c>
      <c r="AK1332" s="47">
        <f t="shared" si="629"/>
        <v>0</v>
      </c>
      <c r="AL1332" s="748"/>
      <c r="AM1332" s="748"/>
    </row>
    <row r="1333" spans="2:39" x14ac:dyDescent="0.2">
      <c r="B1333" s="101" t="str">
        <f t="shared" si="630"/>
        <v/>
      </c>
      <c r="C1333" s="47">
        <f t="shared" si="623"/>
        <v>0</v>
      </c>
      <c r="D1333" s="168">
        <f t="shared" si="631"/>
        <v>0</v>
      </c>
      <c r="E1333" s="47">
        <f t="shared" ref="E1333:F1333" si="684">E1229+E1125+E1021+E917+E813+E709+E605+E501+E397+E293+E189+E85</f>
        <v>0</v>
      </c>
      <c r="F1333" s="47">
        <f t="shared" si="684"/>
        <v>0</v>
      </c>
      <c r="G1333" s="168">
        <f t="shared" si="633"/>
        <v>0</v>
      </c>
      <c r="H1333" s="168" t="e">
        <f t="shared" si="625"/>
        <v>#DIV/0!</v>
      </c>
      <c r="I1333" s="736" t="e">
        <f t="shared" si="634"/>
        <v>#DIV/0!</v>
      </c>
      <c r="J1333" s="739"/>
      <c r="K1333" s="47">
        <f t="shared" si="635"/>
        <v>0</v>
      </c>
      <c r="L1333" s="47">
        <f>K1333-Personalplanung!AB85</f>
        <v>0</v>
      </c>
      <c r="M1333" s="739"/>
      <c r="N1333" s="47">
        <f t="shared" si="636"/>
        <v>0</v>
      </c>
      <c r="O1333" s="767">
        <f>N1333-Personalplanung!AC85</f>
        <v>0</v>
      </c>
      <c r="P1333" s="739"/>
      <c r="Q1333" s="47">
        <f t="shared" si="637"/>
        <v>0</v>
      </c>
      <c r="R1333" s="767">
        <f>Q1333-Personalplanung!AD85</f>
        <v>0</v>
      </c>
      <c r="S1333" s="739"/>
      <c r="T1333" s="47">
        <f t="shared" si="638"/>
        <v>0</v>
      </c>
      <c r="U1333" s="767">
        <f>T1333-Personalplanung!AE85</f>
        <v>0</v>
      </c>
      <c r="V1333" s="47">
        <f t="shared" ref="V1333:AA1333" si="685">V1229+V1125+V1021+V917+V813+V709+V605+V501+V397+V293+V189+V85</f>
        <v>0</v>
      </c>
      <c r="W1333" s="47">
        <f t="shared" si="685"/>
        <v>0</v>
      </c>
      <c r="X1333" s="47">
        <f t="shared" si="685"/>
        <v>0</v>
      </c>
      <c r="Y1333" s="47">
        <f t="shared" si="685"/>
        <v>0</v>
      </c>
      <c r="Z1333" s="47">
        <f t="shared" si="685"/>
        <v>0</v>
      </c>
      <c r="AA1333" s="47" t="e">
        <f t="shared" si="685"/>
        <v>#DIV/0!</v>
      </c>
      <c r="AB1333" s="79">
        <f t="shared" si="640"/>
        <v>0</v>
      </c>
      <c r="AC1333" s="47" t="e">
        <f t="shared" ref="AC1333:AF1333" si="686">AC1229+AC1125+AC1021+AC917+AC813+AC709+AC605+AC501+AC397+AC293+AC189+AC85</f>
        <v>#DIV/0!</v>
      </c>
      <c r="AD1333" s="47" t="e">
        <f t="shared" si="686"/>
        <v>#DIV/0!</v>
      </c>
      <c r="AE1333" s="87">
        <f t="shared" si="686"/>
        <v>0</v>
      </c>
      <c r="AF1333" s="47">
        <f t="shared" si="686"/>
        <v>0</v>
      </c>
      <c r="AG1333" s="86">
        <f t="shared" si="642"/>
        <v>0</v>
      </c>
      <c r="AH1333" s="7">
        <f t="shared" si="643"/>
        <v>0</v>
      </c>
      <c r="AI1333" s="6">
        <f t="shared" si="628"/>
        <v>0</v>
      </c>
      <c r="AJ1333" s="6">
        <f t="shared" si="644"/>
        <v>0</v>
      </c>
      <c r="AK1333" s="47">
        <f t="shared" si="629"/>
        <v>0</v>
      </c>
      <c r="AL1333" s="748"/>
      <c r="AM1333" s="748"/>
    </row>
    <row r="1334" spans="2:39" x14ac:dyDescent="0.2">
      <c r="B1334" s="101" t="str">
        <f t="shared" si="630"/>
        <v/>
      </c>
      <c r="C1334" s="47">
        <f t="shared" si="623"/>
        <v>0</v>
      </c>
      <c r="D1334" s="168">
        <f t="shared" si="631"/>
        <v>0</v>
      </c>
      <c r="E1334" s="47">
        <f t="shared" ref="E1334:F1334" si="687">E1230+E1126+E1022+E918+E814+E710+E606+E502+E398+E294+E190+E86</f>
        <v>0</v>
      </c>
      <c r="F1334" s="47">
        <f t="shared" si="687"/>
        <v>0</v>
      </c>
      <c r="G1334" s="168">
        <f t="shared" si="633"/>
        <v>0</v>
      </c>
      <c r="H1334" s="168" t="e">
        <f t="shared" si="625"/>
        <v>#DIV/0!</v>
      </c>
      <c r="I1334" s="736" t="e">
        <f t="shared" si="634"/>
        <v>#DIV/0!</v>
      </c>
      <c r="J1334" s="739"/>
      <c r="K1334" s="47">
        <f t="shared" si="635"/>
        <v>0</v>
      </c>
      <c r="L1334" s="47">
        <f>K1334-Personalplanung!AB86</f>
        <v>0</v>
      </c>
      <c r="M1334" s="739"/>
      <c r="N1334" s="47">
        <f t="shared" si="636"/>
        <v>0</v>
      </c>
      <c r="O1334" s="767">
        <f>N1334-Personalplanung!AC86</f>
        <v>0</v>
      </c>
      <c r="P1334" s="739"/>
      <c r="Q1334" s="47">
        <f t="shared" si="637"/>
        <v>0</v>
      </c>
      <c r="R1334" s="767">
        <f>Q1334-Personalplanung!AD86</f>
        <v>0</v>
      </c>
      <c r="S1334" s="739"/>
      <c r="T1334" s="47">
        <f t="shared" si="638"/>
        <v>0</v>
      </c>
      <c r="U1334" s="767">
        <f>T1334-Personalplanung!AE86</f>
        <v>0</v>
      </c>
      <c r="V1334" s="47">
        <f t="shared" ref="V1334:AA1334" si="688">V1230+V1126+V1022+V918+V814+V710+V606+V502+V398+V294+V190+V86</f>
        <v>0</v>
      </c>
      <c r="W1334" s="47">
        <f t="shared" si="688"/>
        <v>0</v>
      </c>
      <c r="X1334" s="47">
        <f t="shared" si="688"/>
        <v>0</v>
      </c>
      <c r="Y1334" s="47">
        <f t="shared" si="688"/>
        <v>0</v>
      </c>
      <c r="Z1334" s="47">
        <f t="shared" si="688"/>
        <v>0</v>
      </c>
      <c r="AA1334" s="47" t="e">
        <f t="shared" si="688"/>
        <v>#DIV/0!</v>
      </c>
      <c r="AB1334" s="79">
        <f t="shared" si="640"/>
        <v>0</v>
      </c>
      <c r="AC1334" s="47" t="e">
        <f t="shared" ref="AC1334:AF1334" si="689">AC1230+AC1126+AC1022+AC918+AC814+AC710+AC606+AC502+AC398+AC294+AC190+AC86</f>
        <v>#DIV/0!</v>
      </c>
      <c r="AD1334" s="47" t="e">
        <f t="shared" si="689"/>
        <v>#DIV/0!</v>
      </c>
      <c r="AE1334" s="87">
        <f t="shared" si="689"/>
        <v>0</v>
      </c>
      <c r="AF1334" s="47">
        <f t="shared" si="689"/>
        <v>0</v>
      </c>
      <c r="AG1334" s="86">
        <f t="shared" si="642"/>
        <v>0</v>
      </c>
      <c r="AH1334" s="7">
        <f t="shared" si="643"/>
        <v>0</v>
      </c>
      <c r="AI1334" s="6">
        <f t="shared" si="628"/>
        <v>0</v>
      </c>
      <c r="AJ1334" s="6">
        <f t="shared" si="644"/>
        <v>0</v>
      </c>
      <c r="AK1334" s="47">
        <f t="shared" si="629"/>
        <v>0</v>
      </c>
      <c r="AL1334" s="748"/>
      <c r="AM1334" s="748"/>
    </row>
    <row r="1335" spans="2:39" x14ac:dyDescent="0.2">
      <c r="B1335" s="101" t="str">
        <f t="shared" si="630"/>
        <v/>
      </c>
      <c r="C1335" s="47">
        <f t="shared" si="623"/>
        <v>0</v>
      </c>
      <c r="D1335" s="168">
        <f t="shared" si="631"/>
        <v>0</v>
      </c>
      <c r="E1335" s="47">
        <f t="shared" ref="E1335:F1335" si="690">E1231+E1127+E1023+E919+E815+E711+E607+E503+E399+E295+E191+E87</f>
        <v>0</v>
      </c>
      <c r="F1335" s="47">
        <f t="shared" si="690"/>
        <v>0</v>
      </c>
      <c r="G1335" s="168">
        <f t="shared" si="633"/>
        <v>0</v>
      </c>
      <c r="H1335" s="168" t="e">
        <f t="shared" si="625"/>
        <v>#DIV/0!</v>
      </c>
      <c r="I1335" s="736" t="e">
        <f t="shared" si="634"/>
        <v>#DIV/0!</v>
      </c>
      <c r="J1335" s="739"/>
      <c r="K1335" s="47">
        <f t="shared" si="635"/>
        <v>0</v>
      </c>
      <c r="L1335" s="47">
        <f>K1335-Personalplanung!AB87</f>
        <v>0</v>
      </c>
      <c r="M1335" s="739"/>
      <c r="N1335" s="47">
        <f t="shared" si="636"/>
        <v>0</v>
      </c>
      <c r="O1335" s="767">
        <f>N1335-Personalplanung!AC87</f>
        <v>0</v>
      </c>
      <c r="P1335" s="739"/>
      <c r="Q1335" s="47">
        <f t="shared" si="637"/>
        <v>0</v>
      </c>
      <c r="R1335" s="767">
        <f>Q1335-Personalplanung!AD87</f>
        <v>0</v>
      </c>
      <c r="S1335" s="739"/>
      <c r="T1335" s="47">
        <f t="shared" si="638"/>
        <v>0</v>
      </c>
      <c r="U1335" s="767">
        <f>T1335-Personalplanung!AE87</f>
        <v>0</v>
      </c>
      <c r="V1335" s="47">
        <f t="shared" ref="V1335:AA1335" si="691">V1231+V1127+V1023+V919+V815+V711+V607+V503+V399+V295+V191+V87</f>
        <v>0</v>
      </c>
      <c r="W1335" s="47">
        <f t="shared" si="691"/>
        <v>0</v>
      </c>
      <c r="X1335" s="47">
        <f t="shared" si="691"/>
        <v>0</v>
      </c>
      <c r="Y1335" s="47">
        <f t="shared" si="691"/>
        <v>0</v>
      </c>
      <c r="Z1335" s="47">
        <f t="shared" si="691"/>
        <v>0</v>
      </c>
      <c r="AA1335" s="47" t="e">
        <f t="shared" si="691"/>
        <v>#DIV/0!</v>
      </c>
      <c r="AB1335" s="79">
        <f t="shared" si="640"/>
        <v>0</v>
      </c>
      <c r="AC1335" s="47" t="e">
        <f t="shared" ref="AC1335:AF1335" si="692">AC1231+AC1127+AC1023+AC919+AC815+AC711+AC607+AC503+AC399+AC295+AC191+AC87</f>
        <v>#DIV/0!</v>
      </c>
      <c r="AD1335" s="47" t="e">
        <f t="shared" si="692"/>
        <v>#DIV/0!</v>
      </c>
      <c r="AE1335" s="87">
        <f t="shared" si="692"/>
        <v>0</v>
      </c>
      <c r="AF1335" s="47">
        <f t="shared" si="692"/>
        <v>0</v>
      </c>
      <c r="AG1335" s="86">
        <f t="shared" si="642"/>
        <v>0</v>
      </c>
      <c r="AH1335" s="7">
        <f t="shared" si="643"/>
        <v>0</v>
      </c>
      <c r="AI1335" s="6">
        <f t="shared" si="628"/>
        <v>0</v>
      </c>
      <c r="AJ1335" s="6">
        <f t="shared" si="644"/>
        <v>0</v>
      </c>
      <c r="AK1335" s="47">
        <f t="shared" si="629"/>
        <v>0</v>
      </c>
      <c r="AL1335" s="748"/>
      <c r="AM1335" s="748"/>
    </row>
    <row r="1336" spans="2:39" x14ac:dyDescent="0.2">
      <c r="B1336" s="101" t="str">
        <f t="shared" si="630"/>
        <v/>
      </c>
      <c r="C1336" s="47">
        <f t="shared" si="623"/>
        <v>0</v>
      </c>
      <c r="D1336" s="168">
        <f t="shared" si="631"/>
        <v>0</v>
      </c>
      <c r="E1336" s="47">
        <f t="shared" ref="E1336:F1336" si="693">E1232+E1128+E1024+E920+E816+E712+E608+E504+E400+E296+E192+E88</f>
        <v>0</v>
      </c>
      <c r="F1336" s="47">
        <f t="shared" si="693"/>
        <v>0</v>
      </c>
      <c r="G1336" s="168">
        <f t="shared" si="633"/>
        <v>0</v>
      </c>
      <c r="H1336" s="168" t="e">
        <f t="shared" si="625"/>
        <v>#DIV/0!</v>
      </c>
      <c r="I1336" s="736" t="e">
        <f t="shared" si="634"/>
        <v>#DIV/0!</v>
      </c>
      <c r="J1336" s="739"/>
      <c r="K1336" s="47">
        <f t="shared" si="635"/>
        <v>0</v>
      </c>
      <c r="L1336" s="47">
        <f>K1336-Personalplanung!AB88</f>
        <v>0</v>
      </c>
      <c r="M1336" s="739"/>
      <c r="N1336" s="47">
        <f t="shared" si="636"/>
        <v>0</v>
      </c>
      <c r="O1336" s="767">
        <f>N1336-Personalplanung!AC88</f>
        <v>0</v>
      </c>
      <c r="P1336" s="739"/>
      <c r="Q1336" s="47">
        <f t="shared" si="637"/>
        <v>0</v>
      </c>
      <c r="R1336" s="767">
        <f>Q1336-Personalplanung!AD88</f>
        <v>0</v>
      </c>
      <c r="S1336" s="739"/>
      <c r="T1336" s="47">
        <f t="shared" si="638"/>
        <v>0</v>
      </c>
      <c r="U1336" s="767">
        <f>T1336-Personalplanung!AE88</f>
        <v>0</v>
      </c>
      <c r="V1336" s="47">
        <f t="shared" ref="V1336:AA1336" si="694">V1232+V1128+V1024+V920+V816+V712+V608+V504+V400+V296+V192+V88</f>
        <v>0</v>
      </c>
      <c r="W1336" s="47">
        <f t="shared" si="694"/>
        <v>0</v>
      </c>
      <c r="X1336" s="47">
        <f t="shared" si="694"/>
        <v>0</v>
      </c>
      <c r="Y1336" s="47">
        <f t="shared" si="694"/>
        <v>0</v>
      </c>
      <c r="Z1336" s="47">
        <f t="shared" si="694"/>
        <v>0</v>
      </c>
      <c r="AA1336" s="47" t="e">
        <f t="shared" si="694"/>
        <v>#DIV/0!</v>
      </c>
      <c r="AB1336" s="79">
        <f t="shared" si="640"/>
        <v>0</v>
      </c>
      <c r="AC1336" s="47" t="e">
        <f t="shared" ref="AC1336:AF1336" si="695">AC1232+AC1128+AC1024+AC920+AC816+AC712+AC608+AC504+AC400+AC296+AC192+AC88</f>
        <v>#DIV/0!</v>
      </c>
      <c r="AD1336" s="47" t="e">
        <f t="shared" si="695"/>
        <v>#DIV/0!</v>
      </c>
      <c r="AE1336" s="87">
        <f t="shared" si="695"/>
        <v>0</v>
      </c>
      <c r="AF1336" s="47">
        <f t="shared" si="695"/>
        <v>0</v>
      </c>
      <c r="AG1336" s="86">
        <f t="shared" si="642"/>
        <v>0</v>
      </c>
      <c r="AH1336" s="7">
        <f t="shared" si="643"/>
        <v>0</v>
      </c>
      <c r="AI1336" s="6">
        <f t="shared" si="628"/>
        <v>0</v>
      </c>
      <c r="AJ1336" s="6">
        <f t="shared" si="644"/>
        <v>0</v>
      </c>
      <c r="AK1336" s="47">
        <f t="shared" si="629"/>
        <v>0</v>
      </c>
      <c r="AL1336" s="748"/>
      <c r="AM1336" s="748"/>
    </row>
    <row r="1337" spans="2:39" x14ac:dyDescent="0.2">
      <c r="B1337" s="101" t="str">
        <f t="shared" si="630"/>
        <v/>
      </c>
      <c r="C1337" s="47">
        <f t="shared" si="623"/>
        <v>0</v>
      </c>
      <c r="D1337" s="168">
        <f t="shared" si="631"/>
        <v>0</v>
      </c>
      <c r="E1337" s="47">
        <f t="shared" ref="E1337:F1337" si="696">E1233+E1129+E1025+E921+E817+E713+E609+E505+E401+E297+E193+E89</f>
        <v>0</v>
      </c>
      <c r="F1337" s="47">
        <f t="shared" si="696"/>
        <v>0</v>
      </c>
      <c r="G1337" s="168">
        <f t="shared" si="633"/>
        <v>0</v>
      </c>
      <c r="H1337" s="168" t="e">
        <f t="shared" si="625"/>
        <v>#DIV/0!</v>
      </c>
      <c r="I1337" s="736" t="e">
        <f t="shared" si="634"/>
        <v>#DIV/0!</v>
      </c>
      <c r="J1337" s="739"/>
      <c r="K1337" s="47">
        <f t="shared" si="635"/>
        <v>0</v>
      </c>
      <c r="L1337" s="47">
        <f>K1337-Personalplanung!AB89</f>
        <v>0</v>
      </c>
      <c r="M1337" s="739"/>
      <c r="N1337" s="47">
        <f t="shared" si="636"/>
        <v>0</v>
      </c>
      <c r="O1337" s="767">
        <f>N1337-Personalplanung!AC89</f>
        <v>0</v>
      </c>
      <c r="P1337" s="739"/>
      <c r="Q1337" s="47">
        <f t="shared" si="637"/>
        <v>0</v>
      </c>
      <c r="R1337" s="767">
        <f>Q1337-Personalplanung!AD89</f>
        <v>0</v>
      </c>
      <c r="S1337" s="739"/>
      <c r="T1337" s="47">
        <f t="shared" si="638"/>
        <v>0</v>
      </c>
      <c r="U1337" s="767">
        <f>T1337-Personalplanung!AE89</f>
        <v>0</v>
      </c>
      <c r="V1337" s="47">
        <f t="shared" ref="V1337:AA1337" si="697">V1233+V1129+V1025+V921+V817+V713+V609+V505+V401+V297+V193+V89</f>
        <v>0</v>
      </c>
      <c r="W1337" s="47">
        <f t="shared" si="697"/>
        <v>0</v>
      </c>
      <c r="X1337" s="47">
        <f t="shared" si="697"/>
        <v>0</v>
      </c>
      <c r="Y1337" s="47">
        <f t="shared" si="697"/>
        <v>0</v>
      </c>
      <c r="Z1337" s="47">
        <f t="shared" si="697"/>
        <v>0</v>
      </c>
      <c r="AA1337" s="47" t="e">
        <f t="shared" si="697"/>
        <v>#DIV/0!</v>
      </c>
      <c r="AB1337" s="79">
        <f t="shared" si="640"/>
        <v>0</v>
      </c>
      <c r="AC1337" s="47" t="e">
        <f t="shared" ref="AC1337:AF1337" si="698">AC1233+AC1129+AC1025+AC921+AC817+AC713+AC609+AC505+AC401+AC297+AC193+AC89</f>
        <v>#DIV/0!</v>
      </c>
      <c r="AD1337" s="47" t="e">
        <f t="shared" si="698"/>
        <v>#DIV/0!</v>
      </c>
      <c r="AE1337" s="87">
        <f t="shared" si="698"/>
        <v>0</v>
      </c>
      <c r="AF1337" s="47">
        <f t="shared" si="698"/>
        <v>0</v>
      </c>
      <c r="AG1337" s="86">
        <f t="shared" si="642"/>
        <v>0</v>
      </c>
      <c r="AH1337" s="7">
        <f t="shared" si="643"/>
        <v>0</v>
      </c>
      <c r="AI1337" s="6">
        <f t="shared" si="628"/>
        <v>0</v>
      </c>
      <c r="AJ1337" s="6">
        <f t="shared" si="644"/>
        <v>0</v>
      </c>
      <c r="AK1337" s="47">
        <f t="shared" si="629"/>
        <v>0</v>
      </c>
      <c r="AL1337" s="748"/>
      <c r="AM1337" s="748"/>
    </row>
    <row r="1338" spans="2:39" x14ac:dyDescent="0.2">
      <c r="B1338" s="101" t="str">
        <f t="shared" si="630"/>
        <v/>
      </c>
      <c r="C1338" s="47">
        <f t="shared" si="623"/>
        <v>0</v>
      </c>
      <c r="D1338" s="168">
        <f t="shared" si="631"/>
        <v>0</v>
      </c>
      <c r="E1338" s="47">
        <f t="shared" ref="E1338:F1338" si="699">E1234+E1130+E1026+E922+E818+E714+E610+E506+E402+E298+E194+E90</f>
        <v>0</v>
      </c>
      <c r="F1338" s="47">
        <f t="shared" si="699"/>
        <v>0</v>
      </c>
      <c r="G1338" s="168">
        <f t="shared" si="633"/>
        <v>0</v>
      </c>
      <c r="H1338" s="168" t="e">
        <f t="shared" si="625"/>
        <v>#DIV/0!</v>
      </c>
      <c r="I1338" s="736" t="e">
        <f t="shared" si="634"/>
        <v>#DIV/0!</v>
      </c>
      <c r="J1338" s="739"/>
      <c r="K1338" s="47">
        <f t="shared" si="635"/>
        <v>0</v>
      </c>
      <c r="L1338" s="47">
        <f>K1338-Personalplanung!AB90</f>
        <v>0</v>
      </c>
      <c r="M1338" s="739"/>
      <c r="N1338" s="47">
        <f t="shared" si="636"/>
        <v>0</v>
      </c>
      <c r="O1338" s="767">
        <f>N1338-Personalplanung!AC90</f>
        <v>0</v>
      </c>
      <c r="P1338" s="739"/>
      <c r="Q1338" s="47">
        <f t="shared" si="637"/>
        <v>0</v>
      </c>
      <c r="R1338" s="767">
        <f>Q1338-Personalplanung!AD90</f>
        <v>0</v>
      </c>
      <c r="S1338" s="739"/>
      <c r="T1338" s="47">
        <f t="shared" si="638"/>
        <v>0</v>
      </c>
      <c r="U1338" s="767">
        <f>T1338-Personalplanung!AE90</f>
        <v>0</v>
      </c>
      <c r="V1338" s="47">
        <f t="shared" ref="V1338:AA1338" si="700">V1234+V1130+V1026+V922+V818+V714+V610+V506+V402+V298+V194+V90</f>
        <v>0</v>
      </c>
      <c r="W1338" s="47">
        <f t="shared" si="700"/>
        <v>0</v>
      </c>
      <c r="X1338" s="47">
        <f t="shared" si="700"/>
        <v>0</v>
      </c>
      <c r="Y1338" s="47">
        <f t="shared" si="700"/>
        <v>0</v>
      </c>
      <c r="Z1338" s="47">
        <f t="shared" si="700"/>
        <v>0</v>
      </c>
      <c r="AA1338" s="47" t="e">
        <f t="shared" si="700"/>
        <v>#DIV/0!</v>
      </c>
      <c r="AB1338" s="79">
        <f t="shared" si="640"/>
        <v>0</v>
      </c>
      <c r="AC1338" s="47" t="e">
        <f t="shared" ref="AC1338:AF1338" si="701">AC1234+AC1130+AC1026+AC922+AC818+AC714+AC610+AC506+AC402+AC298+AC194+AC90</f>
        <v>#DIV/0!</v>
      </c>
      <c r="AD1338" s="47" t="e">
        <f t="shared" si="701"/>
        <v>#DIV/0!</v>
      </c>
      <c r="AE1338" s="87">
        <f t="shared" si="701"/>
        <v>0</v>
      </c>
      <c r="AF1338" s="47">
        <f t="shared" si="701"/>
        <v>0</v>
      </c>
      <c r="AG1338" s="86">
        <f t="shared" si="642"/>
        <v>0</v>
      </c>
      <c r="AH1338" s="7">
        <f t="shared" si="643"/>
        <v>0</v>
      </c>
      <c r="AI1338" s="6">
        <f t="shared" si="628"/>
        <v>0</v>
      </c>
      <c r="AJ1338" s="6">
        <f t="shared" si="644"/>
        <v>0</v>
      </c>
      <c r="AK1338" s="47">
        <f t="shared" si="629"/>
        <v>0</v>
      </c>
      <c r="AL1338" s="748"/>
      <c r="AM1338" s="748"/>
    </row>
    <row r="1339" spans="2:39" x14ac:dyDescent="0.2">
      <c r="B1339" s="101" t="str">
        <f t="shared" si="630"/>
        <v/>
      </c>
      <c r="C1339" s="47">
        <f t="shared" si="623"/>
        <v>0</v>
      </c>
      <c r="D1339" s="168">
        <f t="shared" si="631"/>
        <v>0</v>
      </c>
      <c r="E1339" s="47">
        <f t="shared" ref="E1339:F1339" si="702">E1235+E1131+E1027+E923+E819+E715+E611+E507+E403+E299+E195+E91</f>
        <v>0</v>
      </c>
      <c r="F1339" s="47">
        <f t="shared" si="702"/>
        <v>0</v>
      </c>
      <c r="G1339" s="168">
        <f t="shared" si="633"/>
        <v>0</v>
      </c>
      <c r="H1339" s="168" t="e">
        <f t="shared" si="625"/>
        <v>#DIV/0!</v>
      </c>
      <c r="I1339" s="736" t="e">
        <f t="shared" si="634"/>
        <v>#DIV/0!</v>
      </c>
      <c r="J1339" s="739"/>
      <c r="K1339" s="47">
        <f t="shared" si="635"/>
        <v>0</v>
      </c>
      <c r="L1339" s="47">
        <f>K1339-Personalplanung!AB91</f>
        <v>0</v>
      </c>
      <c r="M1339" s="739"/>
      <c r="N1339" s="47">
        <f t="shared" si="636"/>
        <v>0</v>
      </c>
      <c r="O1339" s="767">
        <f>N1339-Personalplanung!AC91</f>
        <v>0</v>
      </c>
      <c r="P1339" s="739"/>
      <c r="Q1339" s="47">
        <f t="shared" si="637"/>
        <v>0</v>
      </c>
      <c r="R1339" s="767">
        <f>Q1339-Personalplanung!AD91</f>
        <v>0</v>
      </c>
      <c r="S1339" s="739"/>
      <c r="T1339" s="47">
        <f t="shared" si="638"/>
        <v>0</v>
      </c>
      <c r="U1339" s="767">
        <f>T1339-Personalplanung!AE91</f>
        <v>0</v>
      </c>
      <c r="V1339" s="47">
        <f t="shared" ref="V1339:AA1339" si="703">V1235+V1131+V1027+V923+V819+V715+V611+V507+V403+V299+V195+V91</f>
        <v>0</v>
      </c>
      <c r="W1339" s="47">
        <f t="shared" si="703"/>
        <v>0</v>
      </c>
      <c r="X1339" s="47">
        <f t="shared" si="703"/>
        <v>0</v>
      </c>
      <c r="Y1339" s="47">
        <f t="shared" si="703"/>
        <v>0</v>
      </c>
      <c r="Z1339" s="47">
        <f t="shared" si="703"/>
        <v>0</v>
      </c>
      <c r="AA1339" s="47" t="e">
        <f t="shared" si="703"/>
        <v>#DIV/0!</v>
      </c>
      <c r="AB1339" s="79">
        <f t="shared" si="640"/>
        <v>0</v>
      </c>
      <c r="AC1339" s="47" t="e">
        <f t="shared" ref="AC1339:AF1339" si="704">AC1235+AC1131+AC1027+AC923+AC819+AC715+AC611+AC507+AC403+AC299+AC195+AC91</f>
        <v>#DIV/0!</v>
      </c>
      <c r="AD1339" s="47" t="e">
        <f t="shared" si="704"/>
        <v>#DIV/0!</v>
      </c>
      <c r="AE1339" s="87">
        <f t="shared" si="704"/>
        <v>0</v>
      </c>
      <c r="AF1339" s="47">
        <f t="shared" si="704"/>
        <v>0</v>
      </c>
      <c r="AG1339" s="86">
        <f t="shared" si="642"/>
        <v>0</v>
      </c>
      <c r="AH1339" s="7">
        <f t="shared" si="643"/>
        <v>0</v>
      </c>
      <c r="AI1339" s="6">
        <f t="shared" si="628"/>
        <v>0</v>
      </c>
      <c r="AJ1339" s="6">
        <f t="shared" si="644"/>
        <v>0</v>
      </c>
      <c r="AK1339" s="47">
        <f t="shared" si="629"/>
        <v>0</v>
      </c>
      <c r="AL1339" s="748"/>
      <c r="AM1339" s="748"/>
    </row>
    <row r="1340" spans="2:39" x14ac:dyDescent="0.2">
      <c r="B1340" s="101" t="str">
        <f t="shared" si="630"/>
        <v/>
      </c>
      <c r="C1340" s="47">
        <f t="shared" si="623"/>
        <v>0</v>
      </c>
      <c r="D1340" s="168">
        <f t="shared" si="631"/>
        <v>0</v>
      </c>
      <c r="E1340" s="47">
        <f t="shared" ref="E1340:F1340" si="705">E1236+E1132+E1028+E924+E820+E716+E612+E508+E404+E300+E196+E92</f>
        <v>0</v>
      </c>
      <c r="F1340" s="47">
        <f t="shared" si="705"/>
        <v>0</v>
      </c>
      <c r="G1340" s="168">
        <f t="shared" si="633"/>
        <v>0</v>
      </c>
      <c r="H1340" s="168" t="e">
        <f t="shared" si="625"/>
        <v>#DIV/0!</v>
      </c>
      <c r="I1340" s="736" t="e">
        <f t="shared" si="634"/>
        <v>#DIV/0!</v>
      </c>
      <c r="J1340" s="739"/>
      <c r="K1340" s="47">
        <f t="shared" si="635"/>
        <v>0</v>
      </c>
      <c r="L1340" s="47">
        <f>K1340-Personalplanung!AB92</f>
        <v>0</v>
      </c>
      <c r="M1340" s="739"/>
      <c r="N1340" s="47">
        <f t="shared" si="636"/>
        <v>0</v>
      </c>
      <c r="O1340" s="767">
        <f>N1340-Personalplanung!AC92</f>
        <v>0</v>
      </c>
      <c r="P1340" s="739"/>
      <c r="Q1340" s="47">
        <f t="shared" si="637"/>
        <v>0</v>
      </c>
      <c r="R1340" s="767">
        <f>Q1340-Personalplanung!AD92</f>
        <v>0</v>
      </c>
      <c r="S1340" s="739"/>
      <c r="T1340" s="47">
        <f t="shared" si="638"/>
        <v>0</v>
      </c>
      <c r="U1340" s="767">
        <f>T1340-Personalplanung!AE92</f>
        <v>0</v>
      </c>
      <c r="V1340" s="47">
        <f t="shared" ref="V1340:AA1340" si="706">V1236+V1132+V1028+V924+V820+V716+V612+V508+V404+V300+V196+V92</f>
        <v>0</v>
      </c>
      <c r="W1340" s="47">
        <f t="shared" si="706"/>
        <v>0</v>
      </c>
      <c r="X1340" s="47">
        <f t="shared" si="706"/>
        <v>0</v>
      </c>
      <c r="Y1340" s="47">
        <f t="shared" si="706"/>
        <v>0</v>
      </c>
      <c r="Z1340" s="47">
        <f t="shared" si="706"/>
        <v>0</v>
      </c>
      <c r="AA1340" s="47" t="e">
        <f t="shared" si="706"/>
        <v>#DIV/0!</v>
      </c>
      <c r="AB1340" s="79">
        <f t="shared" si="640"/>
        <v>0</v>
      </c>
      <c r="AC1340" s="47" t="e">
        <f t="shared" ref="AC1340:AF1340" si="707">AC1236+AC1132+AC1028+AC924+AC820+AC716+AC612+AC508+AC404+AC300+AC196+AC92</f>
        <v>#DIV/0!</v>
      </c>
      <c r="AD1340" s="47" t="e">
        <f t="shared" si="707"/>
        <v>#DIV/0!</v>
      </c>
      <c r="AE1340" s="87">
        <f t="shared" si="707"/>
        <v>0</v>
      </c>
      <c r="AF1340" s="47">
        <f t="shared" si="707"/>
        <v>0</v>
      </c>
      <c r="AG1340" s="86">
        <f t="shared" si="642"/>
        <v>0</v>
      </c>
      <c r="AH1340" s="7">
        <f t="shared" si="643"/>
        <v>0</v>
      </c>
      <c r="AI1340" s="6">
        <f t="shared" si="628"/>
        <v>0</v>
      </c>
      <c r="AJ1340" s="6">
        <f t="shared" si="644"/>
        <v>0</v>
      </c>
      <c r="AK1340" s="47">
        <f t="shared" si="629"/>
        <v>0</v>
      </c>
      <c r="AL1340" s="748"/>
      <c r="AM1340" s="748"/>
    </row>
    <row r="1341" spans="2:39" x14ac:dyDescent="0.2">
      <c r="B1341" s="101" t="str">
        <f t="shared" si="630"/>
        <v/>
      </c>
      <c r="C1341" s="47">
        <f t="shared" si="623"/>
        <v>0</v>
      </c>
      <c r="D1341" s="168">
        <f t="shared" si="631"/>
        <v>0</v>
      </c>
      <c r="E1341" s="47">
        <f t="shared" ref="E1341:F1341" si="708">E1237+E1133+E1029+E925+E821+E717+E613+E509+E405+E301+E197+E93</f>
        <v>0</v>
      </c>
      <c r="F1341" s="47">
        <f t="shared" si="708"/>
        <v>0</v>
      </c>
      <c r="G1341" s="168">
        <f t="shared" si="633"/>
        <v>0</v>
      </c>
      <c r="H1341" s="168" t="e">
        <f t="shared" si="625"/>
        <v>#DIV/0!</v>
      </c>
      <c r="I1341" s="736" t="e">
        <f t="shared" si="634"/>
        <v>#DIV/0!</v>
      </c>
      <c r="J1341" s="739"/>
      <c r="K1341" s="47">
        <f t="shared" si="635"/>
        <v>0</v>
      </c>
      <c r="L1341" s="47">
        <f>K1341-Personalplanung!AB93</f>
        <v>0</v>
      </c>
      <c r="M1341" s="739"/>
      <c r="N1341" s="47">
        <f t="shared" si="636"/>
        <v>0</v>
      </c>
      <c r="O1341" s="767">
        <f>N1341-Personalplanung!AC93</f>
        <v>0</v>
      </c>
      <c r="P1341" s="739"/>
      <c r="Q1341" s="47">
        <f t="shared" si="637"/>
        <v>0</v>
      </c>
      <c r="R1341" s="767">
        <f>Q1341-Personalplanung!AD93</f>
        <v>0</v>
      </c>
      <c r="S1341" s="739"/>
      <c r="T1341" s="47">
        <f t="shared" si="638"/>
        <v>0</v>
      </c>
      <c r="U1341" s="767">
        <f>T1341-Personalplanung!AE93</f>
        <v>0</v>
      </c>
      <c r="V1341" s="47">
        <f t="shared" ref="V1341:AA1341" si="709">V1237+V1133+V1029+V925+V821+V717+V613+V509+V405+V301+V197+V93</f>
        <v>0</v>
      </c>
      <c r="W1341" s="47">
        <f t="shared" si="709"/>
        <v>0</v>
      </c>
      <c r="X1341" s="47">
        <f t="shared" si="709"/>
        <v>0</v>
      </c>
      <c r="Y1341" s="47">
        <f t="shared" si="709"/>
        <v>0</v>
      </c>
      <c r="Z1341" s="47">
        <f t="shared" si="709"/>
        <v>0</v>
      </c>
      <c r="AA1341" s="47" t="e">
        <f t="shared" si="709"/>
        <v>#DIV/0!</v>
      </c>
      <c r="AB1341" s="79">
        <f t="shared" si="640"/>
        <v>0</v>
      </c>
      <c r="AC1341" s="47" t="e">
        <f t="shared" ref="AC1341:AF1341" si="710">AC1237+AC1133+AC1029+AC925+AC821+AC717+AC613+AC509+AC405+AC301+AC197+AC93</f>
        <v>#DIV/0!</v>
      </c>
      <c r="AD1341" s="47" t="e">
        <f t="shared" si="710"/>
        <v>#DIV/0!</v>
      </c>
      <c r="AE1341" s="87">
        <f t="shared" si="710"/>
        <v>0</v>
      </c>
      <c r="AF1341" s="47">
        <f t="shared" si="710"/>
        <v>0</v>
      </c>
      <c r="AG1341" s="86">
        <f t="shared" si="642"/>
        <v>0</v>
      </c>
      <c r="AH1341" s="7">
        <f t="shared" si="643"/>
        <v>0</v>
      </c>
      <c r="AI1341" s="6">
        <f t="shared" si="628"/>
        <v>0</v>
      </c>
      <c r="AJ1341" s="6">
        <f t="shared" si="644"/>
        <v>0</v>
      </c>
      <c r="AK1341" s="47">
        <f t="shared" si="629"/>
        <v>0</v>
      </c>
      <c r="AL1341" s="748"/>
      <c r="AM1341" s="748"/>
    </row>
    <row r="1342" spans="2:39" x14ac:dyDescent="0.2">
      <c r="B1342" s="101" t="str">
        <f t="shared" si="630"/>
        <v/>
      </c>
      <c r="C1342" s="47">
        <f t="shared" si="623"/>
        <v>0</v>
      </c>
      <c r="D1342" s="168">
        <f t="shared" si="631"/>
        <v>0</v>
      </c>
      <c r="E1342" s="47">
        <f t="shared" ref="E1342:F1342" si="711">E1238+E1134+E1030+E926+E822+E718+E614+E510+E406+E302+E198+E94</f>
        <v>0</v>
      </c>
      <c r="F1342" s="47">
        <f t="shared" si="711"/>
        <v>0</v>
      </c>
      <c r="G1342" s="168">
        <f t="shared" si="633"/>
        <v>0</v>
      </c>
      <c r="H1342" s="168" t="e">
        <f t="shared" si="625"/>
        <v>#DIV/0!</v>
      </c>
      <c r="I1342" s="736" t="e">
        <f t="shared" si="634"/>
        <v>#DIV/0!</v>
      </c>
      <c r="J1342" s="739"/>
      <c r="K1342" s="47">
        <f t="shared" si="635"/>
        <v>0</v>
      </c>
      <c r="L1342" s="47">
        <f>K1342-Personalplanung!AB94</f>
        <v>0</v>
      </c>
      <c r="M1342" s="739"/>
      <c r="N1342" s="47">
        <f t="shared" si="636"/>
        <v>0</v>
      </c>
      <c r="O1342" s="767">
        <f>N1342-Personalplanung!AC94</f>
        <v>0</v>
      </c>
      <c r="P1342" s="739"/>
      <c r="Q1342" s="47">
        <f t="shared" si="637"/>
        <v>0</v>
      </c>
      <c r="R1342" s="767">
        <f>Q1342-Personalplanung!AD94</f>
        <v>0</v>
      </c>
      <c r="S1342" s="739"/>
      <c r="T1342" s="47">
        <f t="shared" si="638"/>
        <v>0</v>
      </c>
      <c r="U1342" s="767">
        <f>T1342-Personalplanung!AE94</f>
        <v>0</v>
      </c>
      <c r="V1342" s="47">
        <f t="shared" ref="V1342:AA1342" si="712">V1238+V1134+V1030+V926+V822+V718+V614+V510+V406+V302+V198+V94</f>
        <v>0</v>
      </c>
      <c r="W1342" s="47">
        <f t="shared" si="712"/>
        <v>0</v>
      </c>
      <c r="X1342" s="47">
        <f t="shared" si="712"/>
        <v>0</v>
      </c>
      <c r="Y1342" s="47">
        <f t="shared" si="712"/>
        <v>0</v>
      </c>
      <c r="Z1342" s="47">
        <f t="shared" si="712"/>
        <v>0</v>
      </c>
      <c r="AA1342" s="47" t="e">
        <f t="shared" si="712"/>
        <v>#DIV/0!</v>
      </c>
      <c r="AB1342" s="79">
        <f t="shared" si="640"/>
        <v>0</v>
      </c>
      <c r="AC1342" s="47" t="e">
        <f t="shared" ref="AC1342:AF1342" si="713">AC1238+AC1134+AC1030+AC926+AC822+AC718+AC614+AC510+AC406+AC302+AC198+AC94</f>
        <v>#DIV/0!</v>
      </c>
      <c r="AD1342" s="47" t="e">
        <f t="shared" si="713"/>
        <v>#DIV/0!</v>
      </c>
      <c r="AE1342" s="87">
        <f t="shared" si="713"/>
        <v>0</v>
      </c>
      <c r="AF1342" s="47">
        <f t="shared" si="713"/>
        <v>0</v>
      </c>
      <c r="AG1342" s="86">
        <f t="shared" si="642"/>
        <v>0</v>
      </c>
      <c r="AH1342" s="7">
        <f t="shared" si="643"/>
        <v>0</v>
      </c>
      <c r="AI1342" s="6">
        <f t="shared" si="628"/>
        <v>0</v>
      </c>
      <c r="AJ1342" s="6">
        <f t="shared" si="644"/>
        <v>0</v>
      </c>
      <c r="AK1342" s="47">
        <f t="shared" si="629"/>
        <v>0</v>
      </c>
      <c r="AL1342" s="748"/>
      <c r="AM1342" s="748"/>
    </row>
    <row r="1343" spans="2:39" x14ac:dyDescent="0.2">
      <c r="B1343" s="101" t="str">
        <f t="shared" si="630"/>
        <v/>
      </c>
      <c r="C1343" s="47">
        <f t="shared" si="623"/>
        <v>0</v>
      </c>
      <c r="D1343" s="168">
        <f t="shared" si="631"/>
        <v>0</v>
      </c>
      <c r="E1343" s="47">
        <f t="shared" ref="E1343:F1343" si="714">E1239+E1135+E1031+E927+E823+E719+E615+E511+E407+E303+E199+E95</f>
        <v>0</v>
      </c>
      <c r="F1343" s="47">
        <f t="shared" si="714"/>
        <v>0</v>
      </c>
      <c r="G1343" s="168">
        <f t="shared" si="633"/>
        <v>0</v>
      </c>
      <c r="H1343" s="168" t="e">
        <f t="shared" si="625"/>
        <v>#DIV/0!</v>
      </c>
      <c r="I1343" s="736" t="e">
        <f t="shared" si="634"/>
        <v>#DIV/0!</v>
      </c>
      <c r="J1343" s="739"/>
      <c r="K1343" s="47">
        <f t="shared" si="635"/>
        <v>0</v>
      </c>
      <c r="L1343" s="47">
        <f>K1343-Personalplanung!AB95</f>
        <v>0</v>
      </c>
      <c r="M1343" s="739"/>
      <c r="N1343" s="47">
        <f t="shared" si="636"/>
        <v>0</v>
      </c>
      <c r="O1343" s="767">
        <f>N1343-Personalplanung!AC95</f>
        <v>0</v>
      </c>
      <c r="P1343" s="739"/>
      <c r="Q1343" s="47">
        <f t="shared" si="637"/>
        <v>0</v>
      </c>
      <c r="R1343" s="767">
        <f>Q1343-Personalplanung!AD95</f>
        <v>0</v>
      </c>
      <c r="S1343" s="739"/>
      <c r="T1343" s="47">
        <f t="shared" si="638"/>
        <v>0</v>
      </c>
      <c r="U1343" s="767">
        <f>T1343-Personalplanung!AE95</f>
        <v>0</v>
      </c>
      <c r="V1343" s="47">
        <f t="shared" ref="V1343:AA1343" si="715">V1239+V1135+V1031+V927+V823+V719+V615+V511+V407+V303+V199+V95</f>
        <v>0</v>
      </c>
      <c r="W1343" s="47">
        <f t="shared" si="715"/>
        <v>0</v>
      </c>
      <c r="X1343" s="47">
        <f t="shared" si="715"/>
        <v>0</v>
      </c>
      <c r="Y1343" s="47">
        <f t="shared" si="715"/>
        <v>0</v>
      </c>
      <c r="Z1343" s="47">
        <f t="shared" si="715"/>
        <v>0</v>
      </c>
      <c r="AA1343" s="47" t="e">
        <f t="shared" si="715"/>
        <v>#DIV/0!</v>
      </c>
      <c r="AB1343" s="79">
        <f t="shared" si="640"/>
        <v>0</v>
      </c>
      <c r="AC1343" s="47" t="e">
        <f t="shared" ref="AC1343:AF1343" si="716">AC1239+AC1135+AC1031+AC927+AC823+AC719+AC615+AC511+AC407+AC303+AC199+AC95</f>
        <v>#DIV/0!</v>
      </c>
      <c r="AD1343" s="47" t="e">
        <f t="shared" si="716"/>
        <v>#DIV/0!</v>
      </c>
      <c r="AE1343" s="87">
        <f t="shared" si="716"/>
        <v>0</v>
      </c>
      <c r="AF1343" s="47">
        <f t="shared" si="716"/>
        <v>0</v>
      </c>
      <c r="AG1343" s="86">
        <f t="shared" si="642"/>
        <v>0</v>
      </c>
      <c r="AH1343" s="7">
        <f t="shared" si="643"/>
        <v>0</v>
      </c>
      <c r="AI1343" s="6">
        <f t="shared" si="628"/>
        <v>0</v>
      </c>
      <c r="AJ1343" s="6">
        <f t="shared" si="644"/>
        <v>0</v>
      </c>
      <c r="AK1343" s="47">
        <f t="shared" si="629"/>
        <v>0</v>
      </c>
      <c r="AL1343" s="748"/>
      <c r="AM1343" s="748"/>
    </row>
    <row r="1344" spans="2:39" x14ac:dyDescent="0.2">
      <c r="B1344" s="101" t="str">
        <f t="shared" si="630"/>
        <v/>
      </c>
      <c r="C1344" s="47">
        <f t="shared" si="623"/>
        <v>0</v>
      </c>
      <c r="D1344" s="168">
        <f t="shared" si="631"/>
        <v>0</v>
      </c>
      <c r="E1344" s="47">
        <f t="shared" ref="E1344:F1344" si="717">E1240+E1136+E1032+E928+E824+E720+E616+E512+E408+E304+E200+E96</f>
        <v>0</v>
      </c>
      <c r="F1344" s="47">
        <f t="shared" si="717"/>
        <v>0</v>
      </c>
      <c r="G1344" s="168">
        <f t="shared" si="633"/>
        <v>0</v>
      </c>
      <c r="H1344" s="168" t="e">
        <f t="shared" si="625"/>
        <v>#DIV/0!</v>
      </c>
      <c r="I1344" s="736" t="e">
        <f t="shared" si="634"/>
        <v>#DIV/0!</v>
      </c>
      <c r="J1344" s="739"/>
      <c r="K1344" s="47">
        <f t="shared" si="635"/>
        <v>0</v>
      </c>
      <c r="L1344" s="47">
        <f>K1344-Personalplanung!AB96</f>
        <v>0</v>
      </c>
      <c r="M1344" s="739"/>
      <c r="N1344" s="47">
        <f t="shared" si="636"/>
        <v>0</v>
      </c>
      <c r="O1344" s="767">
        <f>N1344-Personalplanung!AC96</f>
        <v>0</v>
      </c>
      <c r="P1344" s="739"/>
      <c r="Q1344" s="47">
        <f t="shared" si="637"/>
        <v>0</v>
      </c>
      <c r="R1344" s="767">
        <f>Q1344-Personalplanung!AD96</f>
        <v>0</v>
      </c>
      <c r="S1344" s="739"/>
      <c r="T1344" s="47">
        <f t="shared" si="638"/>
        <v>0</v>
      </c>
      <c r="U1344" s="767">
        <f>T1344-Personalplanung!AE96</f>
        <v>0</v>
      </c>
      <c r="V1344" s="47">
        <f t="shared" ref="V1344:AA1344" si="718">V1240+V1136+V1032+V928+V824+V720+V616+V512+V408+V304+V200+V96</f>
        <v>0</v>
      </c>
      <c r="W1344" s="47">
        <f t="shared" si="718"/>
        <v>0</v>
      </c>
      <c r="X1344" s="47">
        <f t="shared" si="718"/>
        <v>0</v>
      </c>
      <c r="Y1344" s="47">
        <f t="shared" si="718"/>
        <v>0</v>
      </c>
      <c r="Z1344" s="47">
        <f t="shared" si="718"/>
        <v>0</v>
      </c>
      <c r="AA1344" s="47" t="e">
        <f t="shared" si="718"/>
        <v>#DIV/0!</v>
      </c>
      <c r="AB1344" s="79">
        <f t="shared" si="640"/>
        <v>0</v>
      </c>
      <c r="AC1344" s="47" t="e">
        <f t="shared" ref="AC1344:AF1344" si="719">AC1240+AC1136+AC1032+AC928+AC824+AC720+AC616+AC512+AC408+AC304+AC200+AC96</f>
        <v>#DIV/0!</v>
      </c>
      <c r="AD1344" s="47" t="e">
        <f t="shared" si="719"/>
        <v>#DIV/0!</v>
      </c>
      <c r="AE1344" s="87">
        <f t="shared" si="719"/>
        <v>0</v>
      </c>
      <c r="AF1344" s="47">
        <f t="shared" si="719"/>
        <v>0</v>
      </c>
      <c r="AG1344" s="86">
        <f t="shared" si="642"/>
        <v>0</v>
      </c>
      <c r="AH1344" s="7">
        <f t="shared" si="643"/>
        <v>0</v>
      </c>
      <c r="AI1344" s="6">
        <f t="shared" si="628"/>
        <v>0</v>
      </c>
      <c r="AJ1344" s="6">
        <f t="shared" si="644"/>
        <v>0</v>
      </c>
      <c r="AK1344" s="47">
        <f t="shared" si="629"/>
        <v>0</v>
      </c>
      <c r="AL1344" s="748"/>
      <c r="AM1344" s="748"/>
    </row>
    <row r="1345" spans="2:39" x14ac:dyDescent="0.2">
      <c r="B1345" s="101" t="str">
        <f t="shared" si="630"/>
        <v/>
      </c>
      <c r="C1345" s="47">
        <f t="shared" si="623"/>
        <v>0</v>
      </c>
      <c r="D1345" s="168">
        <f t="shared" si="631"/>
        <v>0</v>
      </c>
      <c r="E1345" s="47">
        <f t="shared" ref="E1345:F1345" si="720">E1241+E1137+E1033+E929+E825+E721+E617+E513+E409+E305+E201+E97</f>
        <v>0</v>
      </c>
      <c r="F1345" s="47">
        <f t="shared" si="720"/>
        <v>0</v>
      </c>
      <c r="G1345" s="168">
        <f t="shared" si="633"/>
        <v>0</v>
      </c>
      <c r="H1345" s="168" t="e">
        <f t="shared" si="625"/>
        <v>#DIV/0!</v>
      </c>
      <c r="I1345" s="736" t="e">
        <f t="shared" si="634"/>
        <v>#DIV/0!</v>
      </c>
      <c r="J1345" s="739"/>
      <c r="K1345" s="47">
        <f t="shared" si="635"/>
        <v>0</v>
      </c>
      <c r="L1345" s="47">
        <f>K1345-Personalplanung!AB97</f>
        <v>0</v>
      </c>
      <c r="M1345" s="739"/>
      <c r="N1345" s="47">
        <f t="shared" si="636"/>
        <v>0</v>
      </c>
      <c r="O1345" s="767">
        <f>N1345-Personalplanung!AC97</f>
        <v>0</v>
      </c>
      <c r="P1345" s="739"/>
      <c r="Q1345" s="47">
        <f t="shared" si="637"/>
        <v>0</v>
      </c>
      <c r="R1345" s="767">
        <f>Q1345-Personalplanung!AD97</f>
        <v>0</v>
      </c>
      <c r="S1345" s="739"/>
      <c r="T1345" s="47">
        <f t="shared" si="638"/>
        <v>0</v>
      </c>
      <c r="U1345" s="767">
        <f>T1345-Personalplanung!AE97</f>
        <v>0</v>
      </c>
      <c r="V1345" s="47">
        <f t="shared" ref="V1345:AA1345" si="721">V1241+V1137+V1033+V929+V825+V721+V617+V513+V409+V305+V201+V97</f>
        <v>0</v>
      </c>
      <c r="W1345" s="47">
        <f t="shared" si="721"/>
        <v>0</v>
      </c>
      <c r="X1345" s="47">
        <f t="shared" si="721"/>
        <v>0</v>
      </c>
      <c r="Y1345" s="47">
        <f t="shared" si="721"/>
        <v>0</v>
      </c>
      <c r="Z1345" s="47">
        <f t="shared" si="721"/>
        <v>0</v>
      </c>
      <c r="AA1345" s="47" t="e">
        <f t="shared" si="721"/>
        <v>#DIV/0!</v>
      </c>
      <c r="AB1345" s="79">
        <f t="shared" si="640"/>
        <v>0</v>
      </c>
      <c r="AC1345" s="47" t="e">
        <f t="shared" ref="AC1345:AF1345" si="722">AC1241+AC1137+AC1033+AC929+AC825+AC721+AC617+AC513+AC409+AC305+AC201+AC97</f>
        <v>#DIV/0!</v>
      </c>
      <c r="AD1345" s="47" t="e">
        <f t="shared" si="722"/>
        <v>#DIV/0!</v>
      </c>
      <c r="AE1345" s="87">
        <f t="shared" si="722"/>
        <v>0</v>
      </c>
      <c r="AF1345" s="47">
        <f t="shared" si="722"/>
        <v>0</v>
      </c>
      <c r="AG1345" s="86">
        <f t="shared" si="642"/>
        <v>0</v>
      </c>
      <c r="AH1345" s="7">
        <f t="shared" si="643"/>
        <v>0</v>
      </c>
      <c r="AI1345" s="6">
        <f t="shared" si="628"/>
        <v>0</v>
      </c>
      <c r="AJ1345" s="6">
        <f t="shared" si="644"/>
        <v>0</v>
      </c>
      <c r="AK1345" s="47">
        <f t="shared" si="629"/>
        <v>0</v>
      </c>
      <c r="AL1345" s="748"/>
      <c r="AM1345" s="748"/>
    </row>
    <row r="1346" spans="2:39" x14ac:dyDescent="0.2">
      <c r="B1346" s="101" t="str">
        <f t="shared" si="630"/>
        <v/>
      </c>
      <c r="C1346" s="47">
        <f t="shared" si="623"/>
        <v>0</v>
      </c>
      <c r="D1346" s="168">
        <f t="shared" si="631"/>
        <v>0</v>
      </c>
      <c r="E1346" s="47">
        <f t="shared" ref="E1346:F1346" si="723">E1242+E1138+E1034+E930+E826+E722+E618+E514+E410+E306+E202+E98</f>
        <v>0</v>
      </c>
      <c r="F1346" s="47">
        <f t="shared" si="723"/>
        <v>0</v>
      </c>
      <c r="G1346" s="168">
        <f t="shared" si="633"/>
        <v>0</v>
      </c>
      <c r="H1346" s="168" t="e">
        <f t="shared" si="625"/>
        <v>#DIV/0!</v>
      </c>
      <c r="I1346" s="736" t="e">
        <f t="shared" si="634"/>
        <v>#DIV/0!</v>
      </c>
      <c r="J1346" s="739"/>
      <c r="K1346" s="47">
        <f t="shared" si="635"/>
        <v>0</v>
      </c>
      <c r="L1346" s="47">
        <f>K1346-Personalplanung!AB98</f>
        <v>0</v>
      </c>
      <c r="M1346" s="739"/>
      <c r="N1346" s="47">
        <f t="shared" si="636"/>
        <v>0</v>
      </c>
      <c r="O1346" s="767">
        <f>N1346-Personalplanung!AC98</f>
        <v>0</v>
      </c>
      <c r="P1346" s="739"/>
      <c r="Q1346" s="47">
        <f t="shared" si="637"/>
        <v>0</v>
      </c>
      <c r="R1346" s="767">
        <f>Q1346-Personalplanung!AD98</f>
        <v>0</v>
      </c>
      <c r="S1346" s="739"/>
      <c r="T1346" s="47">
        <f t="shared" si="638"/>
        <v>0</v>
      </c>
      <c r="U1346" s="767">
        <f>T1346-Personalplanung!AE98</f>
        <v>0</v>
      </c>
      <c r="V1346" s="47">
        <f t="shared" ref="V1346:AA1346" si="724">V1242+V1138+V1034+V930+V826+V722+V618+V514+V410+V306+V202+V98</f>
        <v>0</v>
      </c>
      <c r="W1346" s="47">
        <f t="shared" si="724"/>
        <v>0</v>
      </c>
      <c r="X1346" s="47">
        <f t="shared" si="724"/>
        <v>0</v>
      </c>
      <c r="Y1346" s="47">
        <f t="shared" si="724"/>
        <v>0</v>
      </c>
      <c r="Z1346" s="47">
        <f t="shared" si="724"/>
        <v>0</v>
      </c>
      <c r="AA1346" s="47" t="e">
        <f t="shared" si="724"/>
        <v>#DIV/0!</v>
      </c>
      <c r="AB1346" s="79">
        <f t="shared" si="640"/>
        <v>0</v>
      </c>
      <c r="AC1346" s="47" t="e">
        <f t="shared" ref="AC1346:AF1346" si="725">AC1242+AC1138+AC1034+AC930+AC826+AC722+AC618+AC514+AC410+AC306+AC202+AC98</f>
        <v>#DIV/0!</v>
      </c>
      <c r="AD1346" s="47" t="e">
        <f t="shared" si="725"/>
        <v>#DIV/0!</v>
      </c>
      <c r="AE1346" s="87">
        <f t="shared" si="725"/>
        <v>0</v>
      </c>
      <c r="AF1346" s="47">
        <f t="shared" si="725"/>
        <v>0</v>
      </c>
      <c r="AG1346" s="86">
        <f t="shared" si="642"/>
        <v>0</v>
      </c>
      <c r="AH1346" s="7">
        <f t="shared" si="643"/>
        <v>0</v>
      </c>
      <c r="AI1346" s="6">
        <f t="shared" si="628"/>
        <v>0</v>
      </c>
      <c r="AJ1346" s="6">
        <f t="shared" si="644"/>
        <v>0</v>
      </c>
      <c r="AK1346" s="47">
        <f t="shared" si="629"/>
        <v>0</v>
      </c>
      <c r="AL1346" s="748"/>
      <c r="AM1346" s="748"/>
    </row>
    <row r="1347" spans="2:39" x14ac:dyDescent="0.2">
      <c r="B1347" s="101" t="str">
        <f t="shared" si="630"/>
        <v/>
      </c>
      <c r="C1347" s="47">
        <f t="shared" si="623"/>
        <v>0</v>
      </c>
      <c r="D1347" s="168">
        <f t="shared" si="631"/>
        <v>0</v>
      </c>
      <c r="E1347" s="47">
        <f t="shared" ref="E1347:F1347" si="726">E1243+E1139+E1035+E931+E827+E723+E619+E515+E411+E307+E203+E99</f>
        <v>0</v>
      </c>
      <c r="F1347" s="47">
        <f t="shared" si="726"/>
        <v>0</v>
      </c>
      <c r="G1347" s="168">
        <f t="shared" si="633"/>
        <v>0</v>
      </c>
      <c r="H1347" s="168" t="e">
        <f t="shared" si="625"/>
        <v>#DIV/0!</v>
      </c>
      <c r="I1347" s="736" t="e">
        <f t="shared" si="634"/>
        <v>#DIV/0!</v>
      </c>
      <c r="J1347" s="739"/>
      <c r="K1347" s="47">
        <f t="shared" si="635"/>
        <v>0</v>
      </c>
      <c r="L1347" s="47">
        <f>K1347-Personalplanung!AB99</f>
        <v>0</v>
      </c>
      <c r="M1347" s="739"/>
      <c r="N1347" s="47">
        <f t="shared" si="636"/>
        <v>0</v>
      </c>
      <c r="O1347" s="767">
        <f>N1347-Personalplanung!AC99</f>
        <v>0</v>
      </c>
      <c r="P1347" s="739"/>
      <c r="Q1347" s="47">
        <f t="shared" si="637"/>
        <v>0</v>
      </c>
      <c r="R1347" s="767">
        <f>Q1347-Personalplanung!AD99</f>
        <v>0</v>
      </c>
      <c r="S1347" s="739"/>
      <c r="T1347" s="47">
        <f t="shared" si="638"/>
        <v>0</v>
      </c>
      <c r="U1347" s="767">
        <f>T1347-Personalplanung!AE99</f>
        <v>0</v>
      </c>
      <c r="V1347" s="47">
        <f t="shared" ref="V1347:AA1347" si="727">V1243+V1139+V1035+V931+V827+V723+V619+V515+V411+V307+V203+V99</f>
        <v>0</v>
      </c>
      <c r="W1347" s="47">
        <f t="shared" si="727"/>
        <v>0</v>
      </c>
      <c r="X1347" s="47">
        <f t="shared" si="727"/>
        <v>0</v>
      </c>
      <c r="Y1347" s="47">
        <f t="shared" si="727"/>
        <v>0</v>
      </c>
      <c r="Z1347" s="47">
        <f t="shared" si="727"/>
        <v>0</v>
      </c>
      <c r="AA1347" s="47" t="e">
        <f t="shared" si="727"/>
        <v>#DIV/0!</v>
      </c>
      <c r="AB1347" s="79">
        <f t="shared" si="640"/>
        <v>0</v>
      </c>
      <c r="AC1347" s="47" t="e">
        <f t="shared" ref="AC1347:AF1347" si="728">AC1243+AC1139+AC1035+AC931+AC827+AC723+AC619+AC515+AC411+AC307+AC203+AC99</f>
        <v>#DIV/0!</v>
      </c>
      <c r="AD1347" s="47" t="e">
        <f t="shared" si="728"/>
        <v>#DIV/0!</v>
      </c>
      <c r="AE1347" s="87">
        <f t="shared" si="728"/>
        <v>0</v>
      </c>
      <c r="AF1347" s="47">
        <f t="shared" si="728"/>
        <v>0</v>
      </c>
      <c r="AG1347" s="86">
        <f t="shared" si="642"/>
        <v>0</v>
      </c>
      <c r="AH1347" s="7">
        <f t="shared" si="643"/>
        <v>0</v>
      </c>
      <c r="AI1347" s="6">
        <f t="shared" si="628"/>
        <v>0</v>
      </c>
      <c r="AJ1347" s="6">
        <f t="shared" si="644"/>
        <v>0</v>
      </c>
      <c r="AK1347" s="47">
        <f t="shared" si="629"/>
        <v>0</v>
      </c>
      <c r="AL1347" s="748"/>
      <c r="AM1347" s="748"/>
    </row>
    <row r="1348" spans="2:39" x14ac:dyDescent="0.2">
      <c r="B1348" s="101" t="str">
        <f t="shared" si="630"/>
        <v/>
      </c>
      <c r="C1348" s="47">
        <f t="shared" si="623"/>
        <v>0</v>
      </c>
      <c r="D1348" s="168">
        <f t="shared" si="631"/>
        <v>0</v>
      </c>
      <c r="E1348" s="47">
        <f t="shared" ref="E1348:F1348" si="729">E1244+E1140+E1036+E932+E828+E724+E620+E516+E412+E308+E204+E100</f>
        <v>0</v>
      </c>
      <c r="F1348" s="47">
        <f t="shared" si="729"/>
        <v>0</v>
      </c>
      <c r="G1348" s="168">
        <f t="shared" si="633"/>
        <v>0</v>
      </c>
      <c r="H1348" s="168" t="e">
        <f t="shared" si="625"/>
        <v>#DIV/0!</v>
      </c>
      <c r="I1348" s="736" t="e">
        <f t="shared" si="634"/>
        <v>#DIV/0!</v>
      </c>
      <c r="J1348" s="739"/>
      <c r="K1348" s="47">
        <f t="shared" si="635"/>
        <v>0</v>
      </c>
      <c r="L1348" s="47">
        <f>K1348-Personalplanung!AB100</f>
        <v>0</v>
      </c>
      <c r="M1348" s="739"/>
      <c r="N1348" s="47">
        <f t="shared" si="636"/>
        <v>0</v>
      </c>
      <c r="O1348" s="767">
        <f>N1348-Personalplanung!AC100</f>
        <v>0</v>
      </c>
      <c r="P1348" s="739"/>
      <c r="Q1348" s="47">
        <f t="shared" si="637"/>
        <v>0</v>
      </c>
      <c r="R1348" s="767">
        <f>Q1348-Personalplanung!AD100</f>
        <v>0</v>
      </c>
      <c r="S1348" s="739"/>
      <c r="T1348" s="47">
        <f t="shared" si="638"/>
        <v>0</v>
      </c>
      <c r="U1348" s="767">
        <f>T1348-Personalplanung!AE100</f>
        <v>0</v>
      </c>
      <c r="V1348" s="47">
        <f t="shared" ref="V1348:AA1348" si="730">V1244+V1140+V1036+V932+V828+V724+V620+V516+V412+V308+V204+V100</f>
        <v>0</v>
      </c>
      <c r="W1348" s="47">
        <f t="shared" si="730"/>
        <v>0</v>
      </c>
      <c r="X1348" s="47">
        <f t="shared" si="730"/>
        <v>0</v>
      </c>
      <c r="Y1348" s="47">
        <f t="shared" si="730"/>
        <v>0</v>
      </c>
      <c r="Z1348" s="47">
        <f t="shared" si="730"/>
        <v>0</v>
      </c>
      <c r="AA1348" s="47" t="e">
        <f t="shared" si="730"/>
        <v>#DIV/0!</v>
      </c>
      <c r="AB1348" s="79">
        <f t="shared" si="640"/>
        <v>0</v>
      </c>
      <c r="AC1348" s="47" t="e">
        <f t="shared" ref="AC1348:AF1348" si="731">AC1244+AC1140+AC1036+AC932+AC828+AC724+AC620+AC516+AC412+AC308+AC204+AC100</f>
        <v>#DIV/0!</v>
      </c>
      <c r="AD1348" s="47" t="e">
        <f t="shared" si="731"/>
        <v>#DIV/0!</v>
      </c>
      <c r="AE1348" s="87">
        <f t="shared" si="731"/>
        <v>0</v>
      </c>
      <c r="AF1348" s="47">
        <f t="shared" si="731"/>
        <v>0</v>
      </c>
      <c r="AG1348" s="86">
        <f t="shared" si="642"/>
        <v>0</v>
      </c>
      <c r="AH1348" s="7">
        <f t="shared" si="643"/>
        <v>0</v>
      </c>
      <c r="AI1348" s="6">
        <f t="shared" si="628"/>
        <v>0</v>
      </c>
      <c r="AJ1348" s="6">
        <f t="shared" si="644"/>
        <v>0</v>
      </c>
      <c r="AK1348" s="47">
        <f t="shared" si="629"/>
        <v>0</v>
      </c>
      <c r="AL1348" s="748"/>
      <c r="AM1348" s="748"/>
    </row>
    <row r="1349" spans="2:39" x14ac:dyDescent="0.2">
      <c r="B1349" s="101" t="str">
        <f t="shared" si="630"/>
        <v/>
      </c>
      <c r="C1349" s="47">
        <f t="shared" si="623"/>
        <v>0</v>
      </c>
      <c r="D1349" s="168">
        <f t="shared" si="631"/>
        <v>0</v>
      </c>
      <c r="E1349" s="47">
        <f t="shared" ref="E1349:F1349" si="732">E1245+E1141+E1037+E933+E829+E725+E621+E517+E413+E309+E205+E101</f>
        <v>0</v>
      </c>
      <c r="F1349" s="47">
        <f t="shared" si="732"/>
        <v>0</v>
      </c>
      <c r="G1349" s="168">
        <f t="shared" si="633"/>
        <v>0</v>
      </c>
      <c r="H1349" s="168" t="e">
        <f t="shared" si="625"/>
        <v>#DIV/0!</v>
      </c>
      <c r="I1349" s="736" t="e">
        <f t="shared" si="634"/>
        <v>#DIV/0!</v>
      </c>
      <c r="J1349" s="739"/>
      <c r="K1349" s="47">
        <f t="shared" si="635"/>
        <v>0</v>
      </c>
      <c r="L1349" s="47">
        <f>K1349-Personalplanung!AB101</f>
        <v>0</v>
      </c>
      <c r="M1349" s="739"/>
      <c r="N1349" s="47">
        <f t="shared" si="636"/>
        <v>0</v>
      </c>
      <c r="O1349" s="767">
        <f>N1349-Personalplanung!AC101</f>
        <v>0</v>
      </c>
      <c r="P1349" s="739"/>
      <c r="Q1349" s="47">
        <f t="shared" si="637"/>
        <v>0</v>
      </c>
      <c r="R1349" s="767">
        <f>Q1349-Personalplanung!AD101</f>
        <v>0</v>
      </c>
      <c r="S1349" s="739"/>
      <c r="T1349" s="47">
        <f t="shared" si="638"/>
        <v>0</v>
      </c>
      <c r="U1349" s="767">
        <f>T1349-Personalplanung!AE101</f>
        <v>0</v>
      </c>
      <c r="V1349" s="47">
        <f t="shared" ref="V1349:AA1349" si="733">V1245+V1141+V1037+V933+V829+V725+V621+V517+V413+V309+V205+V101</f>
        <v>0</v>
      </c>
      <c r="W1349" s="47">
        <f t="shared" si="733"/>
        <v>0</v>
      </c>
      <c r="X1349" s="47">
        <f t="shared" si="733"/>
        <v>0</v>
      </c>
      <c r="Y1349" s="47">
        <f t="shared" si="733"/>
        <v>0</v>
      </c>
      <c r="Z1349" s="47">
        <f t="shared" si="733"/>
        <v>0</v>
      </c>
      <c r="AA1349" s="47" t="e">
        <f t="shared" si="733"/>
        <v>#DIV/0!</v>
      </c>
      <c r="AB1349" s="79">
        <f t="shared" si="640"/>
        <v>0</v>
      </c>
      <c r="AC1349" s="47" t="e">
        <f t="shared" ref="AC1349:AF1349" si="734">AC1245+AC1141+AC1037+AC933+AC829+AC725+AC621+AC517+AC413+AC309+AC205+AC101</f>
        <v>#DIV/0!</v>
      </c>
      <c r="AD1349" s="47" t="e">
        <f t="shared" si="734"/>
        <v>#DIV/0!</v>
      </c>
      <c r="AE1349" s="87">
        <f t="shared" si="734"/>
        <v>0</v>
      </c>
      <c r="AF1349" s="47">
        <f t="shared" si="734"/>
        <v>0</v>
      </c>
      <c r="AG1349" s="86">
        <f t="shared" si="642"/>
        <v>0</v>
      </c>
      <c r="AH1349" s="7">
        <f t="shared" si="643"/>
        <v>0</v>
      </c>
      <c r="AI1349" s="6">
        <f t="shared" si="628"/>
        <v>0</v>
      </c>
      <c r="AJ1349" s="6">
        <f t="shared" si="644"/>
        <v>0</v>
      </c>
      <c r="AK1349" s="47">
        <f t="shared" si="629"/>
        <v>0</v>
      </c>
      <c r="AL1349" s="748"/>
      <c r="AM1349" s="748"/>
    </row>
    <row r="1350" spans="2:39" x14ac:dyDescent="0.2">
      <c r="B1350" s="101" t="str">
        <f t="shared" si="630"/>
        <v/>
      </c>
      <c r="C1350" s="47">
        <f t="shared" si="623"/>
        <v>0</v>
      </c>
      <c r="D1350" s="168">
        <f t="shared" si="631"/>
        <v>0</v>
      </c>
      <c r="E1350" s="47">
        <f t="shared" ref="E1350:F1350" si="735">E1246+E1142+E1038+E934+E830+E726+E622+E518+E414+E310+E206+E102</f>
        <v>0</v>
      </c>
      <c r="F1350" s="47">
        <f t="shared" si="735"/>
        <v>0</v>
      </c>
      <c r="G1350" s="168">
        <f t="shared" si="633"/>
        <v>0</v>
      </c>
      <c r="H1350" s="168" t="e">
        <f t="shared" si="625"/>
        <v>#DIV/0!</v>
      </c>
      <c r="I1350" s="736" t="e">
        <f t="shared" si="634"/>
        <v>#DIV/0!</v>
      </c>
      <c r="J1350" s="739"/>
      <c r="K1350" s="47">
        <f t="shared" si="635"/>
        <v>0</v>
      </c>
      <c r="L1350" s="47">
        <f>K1350-Personalplanung!AB102</f>
        <v>0</v>
      </c>
      <c r="M1350" s="739"/>
      <c r="N1350" s="47">
        <f t="shared" si="636"/>
        <v>0</v>
      </c>
      <c r="O1350" s="767">
        <f>N1350-Personalplanung!AC102</f>
        <v>0</v>
      </c>
      <c r="P1350" s="739"/>
      <c r="Q1350" s="47">
        <f t="shared" si="637"/>
        <v>0</v>
      </c>
      <c r="R1350" s="767">
        <f>Q1350-Personalplanung!AD102</f>
        <v>0</v>
      </c>
      <c r="S1350" s="739"/>
      <c r="T1350" s="47">
        <f t="shared" si="638"/>
        <v>0</v>
      </c>
      <c r="U1350" s="767">
        <f>T1350-Personalplanung!AE102</f>
        <v>0</v>
      </c>
      <c r="V1350" s="47">
        <f t="shared" ref="V1350:AA1350" si="736">V1246+V1142+V1038+V934+V830+V726+V622+V518+V414+V310+V206+V102</f>
        <v>0</v>
      </c>
      <c r="W1350" s="47">
        <f t="shared" si="736"/>
        <v>0</v>
      </c>
      <c r="X1350" s="47">
        <f t="shared" si="736"/>
        <v>0</v>
      </c>
      <c r="Y1350" s="47">
        <f t="shared" si="736"/>
        <v>0</v>
      </c>
      <c r="Z1350" s="47">
        <f t="shared" si="736"/>
        <v>0</v>
      </c>
      <c r="AA1350" s="47" t="e">
        <f t="shared" si="736"/>
        <v>#DIV/0!</v>
      </c>
      <c r="AB1350" s="79">
        <f t="shared" si="640"/>
        <v>0</v>
      </c>
      <c r="AC1350" s="47" t="e">
        <f t="shared" ref="AC1350:AF1350" si="737">AC1246+AC1142+AC1038+AC934+AC830+AC726+AC622+AC518+AC414+AC310+AC206+AC102</f>
        <v>#DIV/0!</v>
      </c>
      <c r="AD1350" s="47" t="e">
        <f t="shared" si="737"/>
        <v>#DIV/0!</v>
      </c>
      <c r="AE1350" s="87">
        <f t="shared" si="737"/>
        <v>0</v>
      </c>
      <c r="AF1350" s="47">
        <f t="shared" si="737"/>
        <v>0</v>
      </c>
      <c r="AG1350" s="86">
        <f t="shared" si="642"/>
        <v>0</v>
      </c>
      <c r="AH1350" s="7">
        <f t="shared" si="643"/>
        <v>0</v>
      </c>
      <c r="AI1350" s="6">
        <f t="shared" si="628"/>
        <v>0</v>
      </c>
      <c r="AJ1350" s="6">
        <f t="shared" si="644"/>
        <v>0</v>
      </c>
      <c r="AK1350" s="47">
        <f t="shared" si="629"/>
        <v>0</v>
      </c>
      <c r="AL1350" s="748"/>
      <c r="AM1350" s="748"/>
    </row>
    <row r="1351" spans="2:39" x14ac:dyDescent="0.2">
      <c r="B1351" s="101" t="str">
        <f t="shared" si="630"/>
        <v/>
      </c>
      <c r="C1351" s="47">
        <f t="shared" si="623"/>
        <v>0</v>
      </c>
      <c r="D1351" s="168">
        <f t="shared" si="631"/>
        <v>0</v>
      </c>
      <c r="E1351" s="47">
        <f t="shared" ref="E1351:F1351" si="738">E1247+E1143+E1039+E935+E831+E727+E623+E519+E415+E311+E207+E103</f>
        <v>0</v>
      </c>
      <c r="F1351" s="47">
        <f t="shared" si="738"/>
        <v>0</v>
      </c>
      <c r="G1351" s="168">
        <f t="shared" si="633"/>
        <v>0</v>
      </c>
      <c r="H1351" s="168" t="e">
        <f t="shared" si="625"/>
        <v>#DIV/0!</v>
      </c>
      <c r="I1351" s="736" t="e">
        <f t="shared" si="634"/>
        <v>#DIV/0!</v>
      </c>
      <c r="J1351" s="739"/>
      <c r="K1351" s="47">
        <f t="shared" ref="K1351:K1354" si="739">K1247+K1143+K1039+K935+K831+K727+K623+K519+K415+K311+K207+K103</f>
        <v>0</v>
      </c>
      <c r="L1351" s="47">
        <f>K1351-Personalplanung!AB103</f>
        <v>0</v>
      </c>
      <c r="M1351" s="739"/>
      <c r="N1351" s="47">
        <f t="shared" ref="N1351:N1354" si="740">N1247+N1143+N1039+N935+N831+N727+N623+N519+N415+N311+N207+N103</f>
        <v>0</v>
      </c>
      <c r="O1351" s="767">
        <f>N1351-Personalplanung!AC103</f>
        <v>0</v>
      </c>
      <c r="P1351" s="739"/>
      <c r="Q1351" s="47">
        <f t="shared" ref="Q1351:Q1354" si="741">Q1247+Q1143+Q1039+Q935+Q831+Q727+Q623+Q519+Q415+Q311+Q207+Q103</f>
        <v>0</v>
      </c>
      <c r="R1351" s="767">
        <f>Q1351-Personalplanung!AD103</f>
        <v>0</v>
      </c>
      <c r="S1351" s="739"/>
      <c r="T1351" s="47">
        <f t="shared" ref="T1351:T1354" si="742">T1247+T1143+T1039+T935+T831+T727+T623+T519+T415+T311+T207+T103</f>
        <v>0</v>
      </c>
      <c r="U1351" s="767">
        <f>T1351-Personalplanung!AE103</f>
        <v>0</v>
      </c>
      <c r="V1351" s="47">
        <f t="shared" ref="V1351:AA1351" si="743">V1247+V1143+V1039+V935+V831+V727+V623+V519+V415+V311+V207+V103</f>
        <v>0</v>
      </c>
      <c r="W1351" s="47">
        <f t="shared" si="743"/>
        <v>0</v>
      </c>
      <c r="X1351" s="47">
        <f t="shared" si="743"/>
        <v>0</v>
      </c>
      <c r="Y1351" s="47">
        <f t="shared" si="743"/>
        <v>0</v>
      </c>
      <c r="Z1351" s="47">
        <f t="shared" si="743"/>
        <v>0</v>
      </c>
      <c r="AA1351" s="47" t="e">
        <f t="shared" si="743"/>
        <v>#DIV/0!</v>
      </c>
      <c r="AB1351" s="79">
        <f t="shared" si="640"/>
        <v>0</v>
      </c>
      <c r="AC1351" s="47" t="e">
        <f t="shared" ref="AC1351:AF1351" si="744">AC1247+AC1143+AC1039+AC935+AC831+AC727+AC623+AC519+AC415+AC311+AC207+AC103</f>
        <v>#DIV/0!</v>
      </c>
      <c r="AD1351" s="47" t="e">
        <f t="shared" si="744"/>
        <v>#DIV/0!</v>
      </c>
      <c r="AE1351" s="87">
        <f t="shared" si="744"/>
        <v>0</v>
      </c>
      <c r="AF1351" s="47">
        <f t="shared" si="744"/>
        <v>0</v>
      </c>
      <c r="AG1351" s="86">
        <f t="shared" si="642"/>
        <v>0</v>
      </c>
      <c r="AH1351" s="7">
        <f t="shared" si="643"/>
        <v>0</v>
      </c>
      <c r="AI1351" s="6">
        <f t="shared" si="628"/>
        <v>0</v>
      </c>
      <c r="AJ1351" s="6">
        <f t="shared" si="644"/>
        <v>0</v>
      </c>
      <c r="AK1351" s="47">
        <f t="shared" si="629"/>
        <v>0</v>
      </c>
      <c r="AL1351" s="748"/>
      <c r="AM1351" s="748"/>
    </row>
    <row r="1352" spans="2:39" x14ac:dyDescent="0.2">
      <c r="B1352" s="101" t="str">
        <f t="shared" si="630"/>
        <v/>
      </c>
      <c r="C1352" s="47">
        <f t="shared" si="623"/>
        <v>0</v>
      </c>
      <c r="D1352" s="168">
        <f t="shared" si="631"/>
        <v>0</v>
      </c>
      <c r="E1352" s="47">
        <f t="shared" ref="E1352:F1352" si="745">E1248+E1144+E1040+E936+E832+E728+E624+E520+E416+E312+E208+E104</f>
        <v>0</v>
      </c>
      <c r="F1352" s="47">
        <f t="shared" si="745"/>
        <v>0</v>
      </c>
      <c r="G1352" s="168">
        <f t="shared" si="633"/>
        <v>0</v>
      </c>
      <c r="H1352" s="168" t="e">
        <f t="shared" si="625"/>
        <v>#DIV/0!</v>
      </c>
      <c r="I1352" s="736" t="e">
        <f t="shared" si="634"/>
        <v>#DIV/0!</v>
      </c>
      <c r="J1352" s="739"/>
      <c r="K1352" s="47">
        <f t="shared" si="739"/>
        <v>0</v>
      </c>
      <c r="L1352" s="47">
        <f>K1352-Personalplanung!AB104</f>
        <v>0</v>
      </c>
      <c r="M1352" s="739"/>
      <c r="N1352" s="47">
        <f t="shared" si="740"/>
        <v>0</v>
      </c>
      <c r="O1352" s="767">
        <f>N1352-Personalplanung!AC104</f>
        <v>0</v>
      </c>
      <c r="P1352" s="739"/>
      <c r="Q1352" s="47">
        <f t="shared" si="741"/>
        <v>0</v>
      </c>
      <c r="R1352" s="767">
        <f>Q1352-Personalplanung!AD104</f>
        <v>0</v>
      </c>
      <c r="S1352" s="739"/>
      <c r="T1352" s="47">
        <f t="shared" si="742"/>
        <v>0</v>
      </c>
      <c r="U1352" s="767">
        <f>T1352-Personalplanung!AE104</f>
        <v>0</v>
      </c>
      <c r="V1352" s="47">
        <f t="shared" ref="V1352:AA1352" si="746">V1248+V1144+V1040+V936+V832+V728+V624+V520+V416+V312+V208+V104</f>
        <v>0</v>
      </c>
      <c r="W1352" s="47">
        <f t="shared" si="746"/>
        <v>0</v>
      </c>
      <c r="X1352" s="47">
        <f t="shared" si="746"/>
        <v>0</v>
      </c>
      <c r="Y1352" s="47">
        <f t="shared" si="746"/>
        <v>0</v>
      </c>
      <c r="Z1352" s="47">
        <f t="shared" si="746"/>
        <v>0</v>
      </c>
      <c r="AA1352" s="47" t="e">
        <f t="shared" si="746"/>
        <v>#DIV/0!</v>
      </c>
      <c r="AB1352" s="79">
        <f t="shared" si="640"/>
        <v>0</v>
      </c>
      <c r="AC1352" s="47" t="e">
        <f t="shared" ref="AC1352:AF1352" si="747">AC1248+AC1144+AC1040+AC936+AC832+AC728+AC624+AC520+AC416+AC312+AC208+AC104</f>
        <v>#DIV/0!</v>
      </c>
      <c r="AD1352" s="47" t="e">
        <f t="shared" si="747"/>
        <v>#DIV/0!</v>
      </c>
      <c r="AE1352" s="87">
        <f t="shared" si="747"/>
        <v>0</v>
      </c>
      <c r="AF1352" s="47">
        <f t="shared" si="747"/>
        <v>0</v>
      </c>
      <c r="AG1352" s="86">
        <f t="shared" si="642"/>
        <v>0</v>
      </c>
      <c r="AH1352" s="7">
        <f t="shared" si="643"/>
        <v>0</v>
      </c>
      <c r="AI1352" s="6">
        <f t="shared" si="628"/>
        <v>0</v>
      </c>
      <c r="AJ1352" s="6">
        <f t="shared" si="644"/>
        <v>0</v>
      </c>
      <c r="AK1352" s="47">
        <f t="shared" si="629"/>
        <v>0</v>
      </c>
      <c r="AL1352" s="748"/>
      <c r="AM1352" s="748"/>
    </row>
    <row r="1353" spans="2:39" x14ac:dyDescent="0.2">
      <c r="B1353" s="101" t="str">
        <f t="shared" si="630"/>
        <v/>
      </c>
      <c r="C1353" s="47">
        <f t="shared" si="623"/>
        <v>0</v>
      </c>
      <c r="D1353" s="168">
        <f t="shared" si="631"/>
        <v>0</v>
      </c>
      <c r="E1353" s="47">
        <f t="shared" ref="E1353:F1353" si="748">E1249+E1145+E1041+E937+E833+E729+E625+E521+E417+E313+E209+E105</f>
        <v>0</v>
      </c>
      <c r="F1353" s="47">
        <f t="shared" si="748"/>
        <v>0</v>
      </c>
      <c r="G1353" s="168">
        <f t="shared" si="633"/>
        <v>0</v>
      </c>
      <c r="H1353" s="168" t="e">
        <f t="shared" si="625"/>
        <v>#DIV/0!</v>
      </c>
      <c r="I1353" s="736" t="e">
        <f t="shared" si="634"/>
        <v>#DIV/0!</v>
      </c>
      <c r="J1353" s="739"/>
      <c r="K1353" s="47">
        <f t="shared" si="739"/>
        <v>0</v>
      </c>
      <c r="L1353" s="47">
        <f>K1353-Personalplanung!AB105</f>
        <v>0</v>
      </c>
      <c r="M1353" s="739"/>
      <c r="N1353" s="47">
        <f t="shared" si="740"/>
        <v>0</v>
      </c>
      <c r="O1353" s="767">
        <f>N1353-Personalplanung!AC105</f>
        <v>0</v>
      </c>
      <c r="P1353" s="739"/>
      <c r="Q1353" s="47">
        <f t="shared" si="741"/>
        <v>0</v>
      </c>
      <c r="R1353" s="767">
        <f>Q1353-Personalplanung!AD105</f>
        <v>0</v>
      </c>
      <c r="S1353" s="739"/>
      <c r="T1353" s="47">
        <f t="shared" si="742"/>
        <v>0</v>
      </c>
      <c r="U1353" s="767">
        <f>T1353-Personalplanung!AE105</f>
        <v>0</v>
      </c>
      <c r="V1353" s="47">
        <f t="shared" ref="V1353:AA1353" si="749">V1249+V1145+V1041+V937+V833+V729+V625+V521+V417+V313+V209+V105</f>
        <v>0</v>
      </c>
      <c r="W1353" s="47">
        <f t="shared" si="749"/>
        <v>0</v>
      </c>
      <c r="X1353" s="47">
        <f t="shared" si="749"/>
        <v>0</v>
      </c>
      <c r="Y1353" s="47">
        <f t="shared" si="749"/>
        <v>0</v>
      </c>
      <c r="Z1353" s="47">
        <f t="shared" si="749"/>
        <v>0</v>
      </c>
      <c r="AA1353" s="47" t="e">
        <f t="shared" si="749"/>
        <v>#DIV/0!</v>
      </c>
      <c r="AB1353" s="79">
        <f t="shared" si="640"/>
        <v>0</v>
      </c>
      <c r="AC1353" s="47" t="e">
        <f t="shared" ref="AC1353:AF1353" si="750">AC1249+AC1145+AC1041+AC937+AC833+AC729+AC625+AC521+AC417+AC313+AC209+AC105</f>
        <v>#DIV/0!</v>
      </c>
      <c r="AD1353" s="47" t="e">
        <f t="shared" si="750"/>
        <v>#DIV/0!</v>
      </c>
      <c r="AE1353" s="87">
        <f t="shared" si="750"/>
        <v>0</v>
      </c>
      <c r="AF1353" s="47">
        <f t="shared" si="750"/>
        <v>0</v>
      </c>
      <c r="AG1353" s="86">
        <f t="shared" si="642"/>
        <v>0</v>
      </c>
      <c r="AH1353" s="7">
        <f t="shared" si="643"/>
        <v>0</v>
      </c>
      <c r="AI1353" s="6">
        <f t="shared" si="628"/>
        <v>0</v>
      </c>
      <c r="AJ1353" s="6">
        <f t="shared" si="644"/>
        <v>0</v>
      </c>
      <c r="AK1353" s="47">
        <f t="shared" si="629"/>
        <v>0</v>
      </c>
      <c r="AL1353" s="748"/>
      <c r="AM1353" s="748"/>
    </row>
    <row r="1354" spans="2:39" x14ac:dyDescent="0.2">
      <c r="B1354" s="101" t="str">
        <f t="shared" si="630"/>
        <v/>
      </c>
      <c r="C1354" s="47">
        <f t="shared" si="623"/>
        <v>0</v>
      </c>
      <c r="D1354" s="168">
        <f t="shared" si="631"/>
        <v>0</v>
      </c>
      <c r="E1354" s="47">
        <f t="shared" ref="E1354:F1354" si="751">E1250+E1146+E1042+E938+E834+E730+E626+E522+E418+E314+E210+E106</f>
        <v>0</v>
      </c>
      <c r="F1354" s="47">
        <f t="shared" si="751"/>
        <v>0</v>
      </c>
      <c r="G1354" s="168">
        <f t="shared" si="633"/>
        <v>0</v>
      </c>
      <c r="H1354" s="168" t="e">
        <f t="shared" si="625"/>
        <v>#DIV/0!</v>
      </c>
      <c r="I1354" s="736" t="e">
        <f t="shared" si="634"/>
        <v>#DIV/0!</v>
      </c>
      <c r="J1354" s="739"/>
      <c r="K1354" s="47">
        <f t="shared" si="739"/>
        <v>0</v>
      </c>
      <c r="L1354" s="47">
        <f>K1354-Personalplanung!AB106</f>
        <v>0</v>
      </c>
      <c r="M1354" s="739"/>
      <c r="N1354" s="47">
        <f t="shared" si="740"/>
        <v>0</v>
      </c>
      <c r="O1354" s="767">
        <f>N1354-Personalplanung!AC106</f>
        <v>0</v>
      </c>
      <c r="P1354" s="739"/>
      <c r="Q1354" s="47">
        <f t="shared" si="741"/>
        <v>0</v>
      </c>
      <c r="R1354" s="767">
        <f>Q1354-Personalplanung!AD106</f>
        <v>0</v>
      </c>
      <c r="S1354" s="739"/>
      <c r="T1354" s="47">
        <f t="shared" si="742"/>
        <v>0</v>
      </c>
      <c r="U1354" s="767">
        <f>T1354-Personalplanung!AE106</f>
        <v>0</v>
      </c>
      <c r="V1354" s="47">
        <f t="shared" ref="V1354:AA1354" si="752">V1250+V1146+V1042+V938+V834+V730+V626+V522+V418+V314+V210+V106</f>
        <v>0</v>
      </c>
      <c r="W1354" s="47">
        <f t="shared" si="752"/>
        <v>0</v>
      </c>
      <c r="X1354" s="47">
        <f t="shared" si="752"/>
        <v>0</v>
      </c>
      <c r="Y1354" s="47">
        <f t="shared" si="752"/>
        <v>0</v>
      </c>
      <c r="Z1354" s="47">
        <f t="shared" si="752"/>
        <v>0</v>
      </c>
      <c r="AA1354" s="47" t="e">
        <f t="shared" si="752"/>
        <v>#DIV/0!</v>
      </c>
      <c r="AB1354" s="79">
        <f t="shared" si="640"/>
        <v>0</v>
      </c>
      <c r="AC1354" s="47" t="e">
        <f t="shared" ref="AC1354:AF1354" si="753">AC1250+AC1146+AC1042+AC938+AC834+AC730+AC626+AC522+AC418+AC314+AC210+AC106</f>
        <v>#DIV/0!</v>
      </c>
      <c r="AD1354" s="47" t="e">
        <f t="shared" si="753"/>
        <v>#DIV/0!</v>
      </c>
      <c r="AE1354" s="87">
        <f t="shared" si="753"/>
        <v>0</v>
      </c>
      <c r="AF1354" s="47">
        <f t="shared" si="753"/>
        <v>0</v>
      </c>
      <c r="AG1354" s="86">
        <f t="shared" si="642"/>
        <v>0</v>
      </c>
      <c r="AH1354" s="7">
        <f t="shared" si="643"/>
        <v>0</v>
      </c>
      <c r="AI1354" s="6">
        <f t="shared" si="628"/>
        <v>0</v>
      </c>
      <c r="AJ1354" s="6">
        <f t="shared" si="644"/>
        <v>0</v>
      </c>
      <c r="AK1354" s="47">
        <f t="shared" si="629"/>
        <v>0</v>
      </c>
      <c r="AL1354" s="748"/>
      <c r="AM1354" s="748"/>
    </row>
    <row r="1355" spans="2:39" x14ac:dyDescent="0.2">
      <c r="B1355" s="500" t="s">
        <v>134</v>
      </c>
      <c r="C1355" s="501">
        <f>+SUM(C1254:C1354)</f>
        <v>30554.400000000001</v>
      </c>
      <c r="D1355" s="501"/>
      <c r="E1355" s="501">
        <f>+SUM(E1254:E1354)</f>
        <v>1440</v>
      </c>
      <c r="F1355" s="501">
        <f>+SUM(F1254:F1354)</f>
        <v>31994.400000000001</v>
      </c>
      <c r="G1355" s="501">
        <f>IF(ISERROR(+H1355/F1355),0,+H1355/F1355)</f>
        <v>0</v>
      </c>
      <c r="H1355" s="501" t="e">
        <f>+SUM(H1254:H1354)</f>
        <v>#DIV/0!</v>
      </c>
      <c r="I1355" s="501" t="e">
        <f t="shared" si="411"/>
        <v>#DIV/0!</v>
      </c>
      <c r="J1355" s="501"/>
      <c r="K1355" s="501">
        <f t="shared" ref="K1355:V1355" si="754">+SUM(K1254:K1354)</f>
        <v>131</v>
      </c>
      <c r="L1355" s="501">
        <f t="shared" si="754"/>
        <v>0</v>
      </c>
      <c r="M1355" s="501"/>
      <c r="N1355" s="501">
        <f t="shared" si="754"/>
        <v>15</v>
      </c>
      <c r="O1355" s="501">
        <f t="shared" si="754"/>
        <v>0</v>
      </c>
      <c r="P1355" s="501"/>
      <c r="Q1355" s="501">
        <f t="shared" si="754"/>
        <v>37</v>
      </c>
      <c r="R1355" s="501">
        <f t="shared" si="754"/>
        <v>0</v>
      </c>
      <c r="S1355" s="501"/>
      <c r="T1355" s="501">
        <f t="shared" si="754"/>
        <v>431</v>
      </c>
      <c r="U1355" s="501">
        <f t="shared" si="754"/>
        <v>0</v>
      </c>
      <c r="V1355" s="501">
        <f t="shared" si="754"/>
        <v>614</v>
      </c>
      <c r="W1355" s="501">
        <f>+SUM(W1254:W1354)</f>
        <v>60</v>
      </c>
      <c r="X1355" s="501">
        <f>+SUM(X1254:X1354)</f>
        <v>2000.0000000000002</v>
      </c>
      <c r="Y1355" s="501">
        <f>+SUM(Y1254:Y1354)</f>
        <v>799.99999999999966</v>
      </c>
      <c r="Z1355" s="501">
        <f>+SUM(Z1254:Z1354)</f>
        <v>600</v>
      </c>
      <c r="AA1355" s="503" t="e">
        <f>SUM(AA1254:AA1354)</f>
        <v>#DIV/0!</v>
      </c>
      <c r="AB1355" s="502" t="e">
        <f>+AC1355/AA1355</f>
        <v>#DIV/0!</v>
      </c>
      <c r="AC1355" s="503" t="e">
        <f>SUM(AC1254:AC1354)</f>
        <v>#DIV/0!</v>
      </c>
      <c r="AD1355" s="503" t="e">
        <f>SUM(AD1254:AD1354)</f>
        <v>#DIV/0!</v>
      </c>
      <c r="AE1355" s="504">
        <f>SUM(AE1254:AE1354)</f>
        <v>4697.3599999999997</v>
      </c>
      <c r="AF1355" s="504">
        <f>SUM(AF1254:AF1354)</f>
        <v>0</v>
      </c>
      <c r="AG1355" s="505">
        <f t="shared" si="406"/>
        <v>0.96219152885876313</v>
      </c>
      <c r="AH1355" s="505">
        <f t="shared" si="407"/>
        <v>0</v>
      </c>
      <c r="AI1355" s="504">
        <f>SUM(AI1254:AI1354)</f>
        <v>4519.7599999999993</v>
      </c>
      <c r="AJ1355" s="506">
        <f t="shared" si="416"/>
        <v>0</v>
      </c>
      <c r="AK1355" s="504">
        <f>SUM(AK1254:AK1354)</f>
        <v>0</v>
      </c>
      <c r="AL1355" s="747"/>
      <c r="AM1355" s="506">
        <f>$AM$107</f>
        <v>75.851340181839646</v>
      </c>
    </row>
    <row r="1356" spans="2:39" x14ac:dyDescent="0.2">
      <c r="B1356" s="4"/>
      <c r="C1356" s="236">
        <f>Personalplanung!F107-C1355</f>
        <v>0</v>
      </c>
      <c r="D1356" s="236"/>
      <c r="E1356" s="236">
        <f>Personalplanung!H107-E1355</f>
        <v>-1440</v>
      </c>
      <c r="F1356" s="236">
        <f>Personalplanung!J107-F1355</f>
        <v>0</v>
      </c>
      <c r="G1356" s="236">
        <f>Personalplanung!K107-G1355</f>
        <v>16.932963268571999</v>
      </c>
      <c r="H1356" s="236" t="e">
        <f>Personalplanung!O107-H1355</f>
        <v>#DIV/0!</v>
      </c>
      <c r="I1356" s="236"/>
      <c r="J1356" s="236"/>
      <c r="K1356" s="236">
        <f>Personalplanung!AB107-K1355</f>
        <v>0</v>
      </c>
      <c r="L1356" s="236"/>
      <c r="M1356" s="236"/>
      <c r="N1356" s="236">
        <f>Personalplanung!AC107-N1355</f>
        <v>0</v>
      </c>
      <c r="O1356" s="236"/>
      <c r="P1356" s="236"/>
      <c r="Q1356" s="236">
        <f>Personalplanung!AD107-Q1355</f>
        <v>0</v>
      </c>
      <c r="R1356" s="236"/>
      <c r="S1356" s="236"/>
      <c r="T1356" s="236">
        <f>Personalplanung!AE107-T1355</f>
        <v>0</v>
      </c>
      <c r="U1356" s="236"/>
      <c r="V1356" s="236">
        <f>Personalplanung!AF107-V1355</f>
        <v>0</v>
      </c>
      <c r="W1356" s="236">
        <f>Personalplanung!P107-W1355</f>
        <v>0</v>
      </c>
      <c r="X1356" s="236">
        <f>Personalplanung!Q107-X1355</f>
        <v>0</v>
      </c>
      <c r="Y1356" s="236">
        <f>Personalplanung!R107-Y1355</f>
        <v>0</v>
      </c>
      <c r="Z1356" s="236">
        <f>Personalplanung!S107-Z1355</f>
        <v>0</v>
      </c>
      <c r="AA1356" s="236" t="e">
        <f>Personalplanung!AA107-AA1355</f>
        <v>#DIV/0!</v>
      </c>
      <c r="AB1356" s="236" t="e">
        <f>Personalplanung!AG107-AB1355</f>
        <v>#DIV/0!</v>
      </c>
      <c r="AC1356" s="236" t="e">
        <f>Personalplanung!AH107-AC1355</f>
        <v>#DIV/0!</v>
      </c>
      <c r="AD1356" s="236" t="e">
        <f>Personalplanung!AI107-AD1355</f>
        <v>#DIV/0!</v>
      </c>
      <c r="AE1356" s="236">
        <f>Personalplanung!AJ107-AE1355</f>
        <v>10384.240000000002</v>
      </c>
      <c r="AF1356" s="236"/>
      <c r="AG1356" s="236">
        <f>Personalplanung!AK107-AG1355</f>
        <v>-6.3719218228591279E-2</v>
      </c>
      <c r="AH1356" s="236"/>
      <c r="AI1356" s="236">
        <f>Personalplanung!AL107-AI1355</f>
        <v>9030.64</v>
      </c>
      <c r="AJ1356" s="236">
        <f>Personalplanung!AM107-AJ1355</f>
        <v>28.867696402566224</v>
      </c>
      <c r="AK1356" s="236"/>
    </row>
    <row r="1357" spans="2:39" x14ac:dyDescent="0.2">
      <c r="B1357" s="4"/>
      <c r="C1357" s="4"/>
      <c r="D1357" s="4"/>
      <c r="E1357" s="4"/>
      <c r="F1357" s="4"/>
      <c r="G1357" s="4"/>
      <c r="H1357" s="4"/>
      <c r="I1357" s="4"/>
      <c r="J1357" s="23"/>
      <c r="K1357" s="4"/>
      <c r="L1357" s="4"/>
      <c r="M1357" s="23"/>
      <c r="N1357" s="4"/>
      <c r="O1357" s="4"/>
      <c r="P1357" s="23"/>
      <c r="Q1357" s="4"/>
      <c r="R1357" s="4"/>
      <c r="S1357" s="23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</row>
    <row r="1358" spans="2:39" x14ac:dyDescent="0.2">
      <c r="B1358" s="4"/>
      <c r="C1358" s="4"/>
      <c r="D1358" s="4"/>
      <c r="E1358" s="4"/>
      <c r="F1358" s="4"/>
      <c r="G1358" s="4"/>
      <c r="H1358" s="4"/>
      <c r="I1358" s="4"/>
      <c r="J1358" s="23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</row>
    <row r="1359" spans="2:39" x14ac:dyDescent="0.2">
      <c r="B1359" s="4"/>
      <c r="C1359" s="4"/>
      <c r="D1359" s="4"/>
      <c r="E1359" s="4"/>
      <c r="F1359" s="4"/>
      <c r="G1359" s="4"/>
      <c r="H1359" s="4"/>
      <c r="I1359" s="4"/>
      <c r="J1359" s="23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</row>
    <row r="1360" spans="2:39" x14ac:dyDescent="0.2">
      <c r="B1360" s="4"/>
      <c r="C1360" s="4"/>
      <c r="D1360" s="4"/>
      <c r="E1360" s="4"/>
      <c r="F1360" s="4"/>
      <c r="G1360" s="4"/>
      <c r="H1360" s="4"/>
      <c r="I1360" s="4"/>
      <c r="J1360" s="23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</row>
    <row r="1361" spans="2:30" x14ac:dyDescent="0.2">
      <c r="B1361" s="4"/>
      <c r="C1361" s="4"/>
      <c r="D1361" s="4"/>
      <c r="E1361" s="4"/>
      <c r="F1361" s="4"/>
      <c r="G1361" s="4"/>
      <c r="H1361" s="4"/>
      <c r="I1361" s="4"/>
      <c r="J1361" s="23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</row>
    <row r="1362" spans="2:30" x14ac:dyDescent="0.2">
      <c r="B1362" s="4"/>
      <c r="C1362" s="4"/>
      <c r="D1362" s="4"/>
      <c r="E1362" s="4"/>
      <c r="F1362" s="4"/>
      <c r="G1362" s="4"/>
      <c r="H1362" s="4"/>
      <c r="I1362" s="4"/>
      <c r="J1362" s="23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</row>
    <row r="1363" spans="2:30" x14ac:dyDescent="0.2">
      <c r="B1363" s="4"/>
      <c r="C1363" s="4"/>
      <c r="D1363" s="4"/>
      <c r="E1363" s="4"/>
      <c r="F1363" s="4"/>
      <c r="G1363" s="4"/>
      <c r="H1363" s="4"/>
      <c r="I1363" s="4"/>
      <c r="J1363" s="23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</row>
    <row r="1364" spans="2:30" x14ac:dyDescent="0.2">
      <c r="B1364" s="4"/>
      <c r="C1364" s="4"/>
      <c r="D1364" s="4"/>
      <c r="E1364" s="4"/>
      <c r="F1364" s="4"/>
      <c r="G1364" s="4"/>
      <c r="H1364" s="4"/>
      <c r="I1364" s="4"/>
      <c r="J1364" s="23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</row>
    <row r="1365" spans="2:30" x14ac:dyDescent="0.2">
      <c r="B1365" s="4"/>
      <c r="C1365" s="4"/>
      <c r="D1365" s="4"/>
      <c r="E1365" s="4"/>
      <c r="F1365" s="4"/>
      <c r="G1365" s="4"/>
      <c r="H1365" s="4"/>
      <c r="I1365" s="4"/>
      <c r="J1365" s="23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</row>
    <row r="1366" spans="2:30" x14ac:dyDescent="0.2">
      <c r="B1366" s="4"/>
      <c r="C1366" s="4"/>
      <c r="D1366" s="4"/>
      <c r="E1366" s="4"/>
      <c r="F1366" s="4"/>
      <c r="G1366" s="4"/>
      <c r="H1366" s="4"/>
      <c r="I1366" s="4"/>
      <c r="J1366" s="23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</row>
    <row r="1367" spans="2:30" x14ac:dyDescent="0.2">
      <c r="B1367" s="4"/>
      <c r="C1367" s="4"/>
      <c r="D1367" s="4"/>
      <c r="E1367" s="4"/>
      <c r="F1367" s="4"/>
      <c r="G1367" s="4"/>
      <c r="H1367" s="4"/>
      <c r="I1367" s="4"/>
      <c r="J1367" s="23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</row>
    <row r="1368" spans="2:30" x14ac:dyDescent="0.2">
      <c r="B1368" s="4"/>
      <c r="C1368" s="4"/>
      <c r="D1368" s="4"/>
      <c r="E1368" s="4"/>
      <c r="F1368" s="4"/>
      <c r="G1368" s="4"/>
      <c r="H1368" s="4"/>
      <c r="I1368" s="4"/>
      <c r="J1368" s="23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</row>
    <row r="1369" spans="2:30" x14ac:dyDescent="0.2">
      <c r="B1369" s="4"/>
      <c r="C1369" s="4"/>
      <c r="D1369" s="4"/>
      <c r="E1369" s="4"/>
      <c r="F1369" s="4"/>
      <c r="G1369" s="4"/>
      <c r="H1369" s="4"/>
      <c r="I1369" s="4"/>
      <c r="J1369" s="23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</row>
    <row r="1370" spans="2:30" x14ac:dyDescent="0.2">
      <c r="B1370" s="4"/>
      <c r="C1370" s="4"/>
      <c r="D1370" s="4"/>
      <c r="E1370" s="4"/>
      <c r="F1370" s="4"/>
      <c r="G1370" s="4"/>
      <c r="H1370" s="4"/>
      <c r="I1370" s="4"/>
      <c r="J1370" s="23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</row>
    <row r="1371" spans="2:30" x14ac:dyDescent="0.2">
      <c r="B1371" s="4"/>
      <c r="C1371" s="4"/>
      <c r="D1371" s="4"/>
      <c r="E1371" s="4"/>
      <c r="F1371" s="4"/>
      <c r="G1371" s="4"/>
      <c r="H1371" s="4"/>
      <c r="I1371" s="4"/>
      <c r="J1371" s="23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</row>
    <row r="1372" spans="2:30" x14ac:dyDescent="0.2">
      <c r="B1372" s="4"/>
      <c r="C1372" s="4"/>
      <c r="D1372" s="4"/>
      <c r="E1372" s="4"/>
      <c r="F1372" s="4"/>
      <c r="G1372" s="4"/>
      <c r="H1372" s="4"/>
      <c r="I1372" s="4"/>
      <c r="J1372" s="23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</row>
    <row r="1373" spans="2:30" x14ac:dyDescent="0.2">
      <c r="B1373" s="4"/>
      <c r="C1373" s="4"/>
      <c r="D1373" s="4"/>
      <c r="E1373" s="4"/>
      <c r="F1373" s="4"/>
      <c r="G1373" s="4"/>
      <c r="H1373" s="4"/>
      <c r="I1373" s="4"/>
      <c r="J1373" s="23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</row>
    <row r="1374" spans="2:30" x14ac:dyDescent="0.2">
      <c r="B1374" s="4"/>
      <c r="C1374" s="4"/>
      <c r="D1374" s="4"/>
      <c r="E1374" s="4"/>
      <c r="F1374" s="4"/>
      <c r="G1374" s="4"/>
      <c r="H1374" s="4"/>
      <c r="I1374" s="4"/>
      <c r="J1374" s="23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</row>
    <row r="1375" spans="2:30" x14ac:dyDescent="0.2">
      <c r="B1375" s="4"/>
      <c r="C1375" s="4"/>
      <c r="D1375" s="4"/>
      <c r="E1375" s="4"/>
      <c r="F1375" s="4"/>
      <c r="G1375" s="4"/>
      <c r="H1375" s="4"/>
      <c r="I1375" s="4"/>
      <c r="J1375" s="23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</row>
    <row r="1376" spans="2:30" x14ac:dyDescent="0.2">
      <c r="B1376" s="4"/>
      <c r="C1376" s="4"/>
      <c r="D1376" s="4"/>
      <c r="E1376" s="4"/>
      <c r="F1376" s="4"/>
      <c r="G1376" s="4"/>
      <c r="H1376" s="4"/>
      <c r="I1376" s="4"/>
      <c r="J1376" s="23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</row>
    <row r="1377" spans="2:30" x14ac:dyDescent="0.2">
      <c r="B1377" s="4"/>
      <c r="C1377" s="4"/>
      <c r="D1377" s="4"/>
      <c r="E1377" s="4"/>
      <c r="F1377" s="4"/>
      <c r="G1377" s="4"/>
      <c r="H1377" s="4"/>
      <c r="I1377" s="4"/>
      <c r="J1377" s="23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</row>
    <row r="1378" spans="2:30" x14ac:dyDescent="0.2">
      <c r="B1378" s="4"/>
      <c r="C1378" s="4"/>
      <c r="D1378" s="4"/>
      <c r="E1378" s="4"/>
      <c r="F1378" s="4"/>
      <c r="G1378" s="4"/>
      <c r="H1378" s="4"/>
      <c r="I1378" s="4"/>
      <c r="J1378" s="23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</row>
    <row r="1379" spans="2:30" x14ac:dyDescent="0.2">
      <c r="B1379" s="4"/>
      <c r="C1379" s="4"/>
      <c r="D1379" s="4"/>
      <c r="E1379" s="4"/>
      <c r="F1379" s="4"/>
      <c r="G1379" s="4"/>
      <c r="H1379" s="4"/>
      <c r="I1379" s="4"/>
      <c r="J1379" s="23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</row>
    <row r="1380" spans="2:30" x14ac:dyDescent="0.2">
      <c r="B1380" s="4"/>
      <c r="C1380" s="4"/>
      <c r="D1380" s="4"/>
      <c r="E1380" s="4"/>
      <c r="F1380" s="4"/>
      <c r="G1380" s="4"/>
      <c r="H1380" s="4"/>
      <c r="I1380" s="4"/>
      <c r="J1380" s="23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</row>
    <row r="1381" spans="2:30" x14ac:dyDescent="0.2">
      <c r="B1381" s="4"/>
      <c r="C1381" s="4"/>
      <c r="D1381" s="4"/>
      <c r="E1381" s="4"/>
      <c r="F1381" s="4"/>
      <c r="G1381" s="4"/>
      <c r="H1381" s="4"/>
      <c r="I1381" s="4"/>
      <c r="J1381" s="23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2:30" x14ac:dyDescent="0.2">
      <c r="B1382" s="4"/>
      <c r="C1382" s="4"/>
      <c r="D1382" s="4"/>
      <c r="E1382" s="4"/>
      <c r="F1382" s="4"/>
      <c r="G1382" s="4"/>
      <c r="H1382" s="4"/>
      <c r="I1382" s="4"/>
      <c r="J1382" s="23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</row>
    <row r="1383" spans="2:30" x14ac:dyDescent="0.2">
      <c r="B1383" s="4"/>
      <c r="C1383" s="4"/>
      <c r="D1383" s="4"/>
      <c r="E1383" s="4"/>
      <c r="F1383" s="4"/>
      <c r="G1383" s="4"/>
      <c r="H1383" s="4"/>
      <c r="I1383" s="4"/>
      <c r="J1383" s="23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</row>
    <row r="1384" spans="2:30" x14ac:dyDescent="0.2">
      <c r="B1384" s="4"/>
      <c r="C1384" s="4"/>
      <c r="D1384" s="4"/>
      <c r="E1384" s="4"/>
      <c r="F1384" s="4"/>
      <c r="G1384" s="4"/>
      <c r="H1384" s="4"/>
      <c r="I1384" s="4"/>
      <c r="J1384" s="23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</row>
    <row r="1385" spans="2:30" x14ac:dyDescent="0.2">
      <c r="B1385" s="4"/>
      <c r="C1385" s="4"/>
      <c r="D1385" s="4"/>
      <c r="E1385" s="4"/>
      <c r="F1385" s="4"/>
      <c r="G1385" s="4"/>
      <c r="H1385" s="4"/>
      <c r="I1385" s="4"/>
      <c r="J1385" s="23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</row>
    <row r="1386" spans="2:30" x14ac:dyDescent="0.2">
      <c r="B1386" s="4"/>
      <c r="C1386" s="4"/>
      <c r="D1386" s="4"/>
      <c r="E1386" s="4"/>
      <c r="F1386" s="4"/>
      <c r="G1386" s="4"/>
      <c r="H1386" s="4"/>
      <c r="I1386" s="4"/>
      <c r="J1386" s="23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</row>
    <row r="1387" spans="2:30" x14ac:dyDescent="0.2">
      <c r="B1387" s="4"/>
      <c r="C1387" s="4"/>
      <c r="D1387" s="4"/>
      <c r="E1387" s="4"/>
      <c r="F1387" s="4"/>
      <c r="G1387" s="4"/>
      <c r="H1387" s="4"/>
      <c r="I1387" s="4"/>
      <c r="J1387" s="23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</row>
    <row r="1388" spans="2:30" x14ac:dyDescent="0.2">
      <c r="B1388" s="4"/>
      <c r="C1388" s="4"/>
      <c r="D1388" s="4"/>
      <c r="E1388" s="4"/>
      <c r="F1388" s="4"/>
      <c r="G1388" s="4"/>
      <c r="H1388" s="4"/>
      <c r="I1388" s="4"/>
      <c r="J1388" s="23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</row>
    <row r="1389" spans="2:30" x14ac:dyDescent="0.2">
      <c r="B1389" s="4"/>
      <c r="C1389" s="4"/>
      <c r="D1389" s="4"/>
      <c r="E1389" s="4"/>
      <c r="F1389" s="4"/>
      <c r="G1389" s="4"/>
      <c r="H1389" s="4"/>
      <c r="I1389" s="4"/>
      <c r="J1389" s="23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</row>
    <row r="1390" spans="2:30" x14ac:dyDescent="0.2">
      <c r="B1390" s="4"/>
      <c r="C1390" s="4"/>
      <c r="D1390" s="4"/>
      <c r="E1390" s="4"/>
      <c r="F1390" s="4"/>
      <c r="G1390" s="4"/>
      <c r="H1390" s="4"/>
      <c r="I1390" s="4"/>
      <c r="J1390" s="23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</row>
    <row r="1391" spans="2:30" x14ac:dyDescent="0.2">
      <c r="B1391" s="4"/>
      <c r="C1391" s="4"/>
      <c r="D1391" s="4"/>
      <c r="E1391" s="4"/>
      <c r="F1391" s="4"/>
      <c r="G1391" s="4"/>
      <c r="H1391" s="4"/>
      <c r="I1391" s="4"/>
      <c r="J1391" s="23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</row>
  </sheetData>
  <mergeCells count="4">
    <mergeCell ref="J4:L4"/>
    <mergeCell ref="M4:O4"/>
    <mergeCell ref="P4:R4"/>
    <mergeCell ref="S4:U4"/>
  </mergeCells>
  <phoneticPr fontId="0" type="noConversion"/>
  <pageMargins left="0.98425196850393704" right="0.39370078740157483" top="1.3385826771653544" bottom="0.98425196850393704" header="0.51181102362204722" footer="0.51181102362204722"/>
  <pageSetup paperSize="9" scale="10" orientation="portrait" r:id="rId1"/>
  <headerFooter alignWithMargins="0">
    <oddHeader>&amp;L&amp;B Vertraulich&amp;B&amp;C&amp;A&amp;RSeite &amp;P</oddHeader>
    <oddFooter>&amp;LVertraulich&amp;C&amp;D&amp;RSeite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5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B58" sqref="B58:K121"/>
      <selection pane="topRight" activeCell="B58" sqref="B58:K121"/>
      <selection pane="bottomLeft" activeCell="B58" sqref="B58:K121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Kostenverteilung!F2</f>
        <v>Gesamt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+Kostenverteilung!F4</f>
        <v>800</v>
      </c>
      <c r="D4" s="113">
        <f>F4+I4-C4</f>
        <v>-800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+Kostenverteilung!F5</f>
        <v>300</v>
      </c>
      <c r="D5" s="113">
        <f t="shared" ref="D5:D18" si="2">F5+I5-C5</f>
        <v>-300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+Kostenverteilung!F6</f>
        <v>2850</v>
      </c>
      <c r="D6" s="113">
        <f t="shared" si="2"/>
        <v>-2850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+Kostenverteilung!F7</f>
        <v>1800</v>
      </c>
      <c r="D7" s="113">
        <f t="shared" si="2"/>
        <v>-1800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+Kostenverteilung!F8</f>
        <v>400</v>
      </c>
      <c r="D8" s="113">
        <f t="shared" si="2"/>
        <v>-400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+Kostenverteilung!F9</f>
        <v>1300</v>
      </c>
      <c r="D9" s="113">
        <f t="shared" si="2"/>
        <v>-1300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+Kostenverteilung!F10</f>
        <v>2400</v>
      </c>
      <c r="D10" s="113">
        <f t="shared" si="2"/>
        <v>-2400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+Kostenverteilung!F11</f>
        <v>6500</v>
      </c>
      <c r="D11" s="113">
        <f t="shared" si="2"/>
        <v>-6500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+Kostenverteilung!F12</f>
        <v>5310</v>
      </c>
      <c r="D12" s="113">
        <f t="shared" si="2"/>
        <v>-5310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+Kostenverteilung!F13</f>
        <v>750</v>
      </c>
      <c r="D13" s="113">
        <f>F13+I13-C13</f>
        <v>-750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+Kostenverteilung!F14</f>
        <v>1500</v>
      </c>
      <c r="D14" s="113">
        <f t="shared" si="2"/>
        <v>-1500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+Kostenverteilung!F15</f>
        <v>3000</v>
      </c>
      <c r="D15" s="114">
        <f t="shared" si="2"/>
        <v>-3000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+Kostenverteilung!F17</f>
        <v>1040.0000000000002</v>
      </c>
      <c r="D17" s="146">
        <f t="shared" si="2"/>
        <v>-1040.0000000000002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+Kostenverteilung!F18</f>
        <v>0</v>
      </c>
      <c r="D18" s="156">
        <f t="shared" si="2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Mitarbeiterverteilung!BB6</f>
        <v>91260</v>
      </c>
      <c r="D21" s="146">
        <f>F21+I21-C21</f>
        <v>-91260</v>
      </c>
      <c r="E21" s="716"/>
      <c r="F21" s="147">
        <f t="shared" ref="F21:F22" si="5">C21*H21</f>
        <v>0</v>
      </c>
      <c r="G21" s="716"/>
      <c r="H21" s="148">
        <f t="shared" ref="H21:H22" si="6">IF(E21=0,0,G21/$E21)</f>
        <v>0</v>
      </c>
      <c r="I21" s="149">
        <f t="shared" ref="I21:I22" si="7">C21*K21</f>
        <v>0</v>
      </c>
      <c r="J21" s="716"/>
      <c r="K21" s="148">
        <f t="shared" ref="K21:K22" si="8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Mitarbeiterverteilung!BB7</f>
        <v>83200</v>
      </c>
      <c r="D22" s="151">
        <f>F22+I22-C22</f>
        <v>-83200</v>
      </c>
      <c r="E22" s="717"/>
      <c r="F22" s="152">
        <f t="shared" si="5"/>
        <v>0</v>
      </c>
      <c r="G22" s="717"/>
      <c r="H22" s="153">
        <f t="shared" si="6"/>
        <v>0</v>
      </c>
      <c r="I22" s="154">
        <f t="shared" si="7"/>
        <v>0</v>
      </c>
      <c r="J22" s="717"/>
      <c r="K22" s="153">
        <f t="shared" si="8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Mitarbeiterverteilung!BB8</f>
        <v>55466.666666666672</v>
      </c>
      <c r="D23" s="151">
        <f t="shared" ref="D23:D57" si="9">F23+I23-C23</f>
        <v>-55466.666666666672</v>
      </c>
      <c r="E23" s="717"/>
      <c r="F23" s="152">
        <f t="shared" ref="F23:F57" si="10">C23*H23</f>
        <v>0</v>
      </c>
      <c r="G23" s="717"/>
      <c r="H23" s="153">
        <f t="shared" ref="H23:H57" si="11">IF(E23=0,0,G23/$E23)</f>
        <v>0</v>
      </c>
      <c r="I23" s="154">
        <f t="shared" ref="I23:I57" si="12">C23*K23</f>
        <v>0</v>
      </c>
      <c r="J23" s="717"/>
      <c r="K23" s="153">
        <f t="shared" ref="K23:K57" si="13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Mitarbeiterverteilung!BB9</f>
        <v>33723.73333333333</v>
      </c>
      <c r="D24" s="151">
        <f t="shared" si="9"/>
        <v>-33723.73333333333</v>
      </c>
      <c r="E24" s="717"/>
      <c r="F24" s="152">
        <f t="shared" si="10"/>
        <v>0</v>
      </c>
      <c r="G24" s="717"/>
      <c r="H24" s="153">
        <f t="shared" si="11"/>
        <v>0</v>
      </c>
      <c r="I24" s="154">
        <f t="shared" si="12"/>
        <v>0</v>
      </c>
      <c r="J24" s="717"/>
      <c r="K24" s="153">
        <f t="shared" si="13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Mitarbeiterverteilung!BB10</f>
        <v>34125</v>
      </c>
      <c r="D25" s="151">
        <f t="shared" si="9"/>
        <v>-34125</v>
      </c>
      <c r="E25" s="717"/>
      <c r="F25" s="152">
        <f t="shared" si="10"/>
        <v>0</v>
      </c>
      <c r="G25" s="717"/>
      <c r="H25" s="153">
        <f t="shared" si="11"/>
        <v>0</v>
      </c>
      <c r="I25" s="154">
        <f t="shared" si="12"/>
        <v>0</v>
      </c>
      <c r="J25" s="717"/>
      <c r="K25" s="153">
        <f t="shared" si="13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Mitarbeiterverteilung!BB11</f>
        <v>32760</v>
      </c>
      <c r="D26" s="151">
        <f t="shared" si="9"/>
        <v>-32760</v>
      </c>
      <c r="E26" s="717"/>
      <c r="F26" s="152">
        <f t="shared" si="10"/>
        <v>0</v>
      </c>
      <c r="G26" s="717"/>
      <c r="H26" s="153">
        <f t="shared" si="11"/>
        <v>0</v>
      </c>
      <c r="I26" s="154">
        <f t="shared" si="12"/>
        <v>0</v>
      </c>
      <c r="J26" s="717"/>
      <c r="K26" s="153">
        <f t="shared" si="13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Mitarbeiterverteilung!BB12</f>
        <v>0</v>
      </c>
      <c r="D27" s="151">
        <f t="shared" si="9"/>
        <v>0</v>
      </c>
      <c r="E27" s="717"/>
      <c r="F27" s="152">
        <f t="shared" si="10"/>
        <v>0</v>
      </c>
      <c r="G27" s="717"/>
      <c r="H27" s="153">
        <f t="shared" si="11"/>
        <v>0</v>
      </c>
      <c r="I27" s="154">
        <f t="shared" si="12"/>
        <v>0</v>
      </c>
      <c r="J27" s="717"/>
      <c r="K27" s="153">
        <f t="shared" si="13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Mitarbeiterverteilung!BB13</f>
        <v>0</v>
      </c>
      <c r="D28" s="151">
        <f t="shared" si="9"/>
        <v>0</v>
      </c>
      <c r="E28" s="717"/>
      <c r="F28" s="152">
        <f t="shared" si="10"/>
        <v>0</v>
      </c>
      <c r="G28" s="717"/>
      <c r="H28" s="153">
        <f t="shared" si="11"/>
        <v>0</v>
      </c>
      <c r="I28" s="154">
        <f t="shared" si="12"/>
        <v>0</v>
      </c>
      <c r="J28" s="717"/>
      <c r="K28" s="153">
        <f t="shared" si="13"/>
        <v>0</v>
      </c>
      <c r="L28" s="85"/>
    </row>
    <row r="29" spans="1:12" outlineLevel="1" x14ac:dyDescent="0.2">
      <c r="B29" s="161" t="str">
        <f>Mitarbeiterverteilung!A14</f>
        <v>Thomas Fleißig</v>
      </c>
      <c r="C29" s="150">
        <f>Mitarbeiterverteilung!BB14</f>
        <v>0</v>
      </c>
      <c r="D29" s="151">
        <f t="shared" si="9"/>
        <v>0</v>
      </c>
      <c r="E29" s="717"/>
      <c r="F29" s="152">
        <f t="shared" si="10"/>
        <v>0</v>
      </c>
      <c r="G29" s="717"/>
      <c r="H29" s="153">
        <f t="shared" si="11"/>
        <v>0</v>
      </c>
      <c r="I29" s="154">
        <f t="shared" si="12"/>
        <v>0</v>
      </c>
      <c r="J29" s="717"/>
      <c r="K29" s="153">
        <f t="shared" si="13"/>
        <v>0</v>
      </c>
      <c r="L29" s="85"/>
    </row>
    <row r="30" spans="1:12" outlineLevel="1" x14ac:dyDescent="0.2">
      <c r="B30" s="161" t="str">
        <f>Mitarbeiterverteilung!A15</f>
        <v>Facharbeiter</v>
      </c>
      <c r="C30" s="150">
        <f>Mitarbeiterverteilung!BB15</f>
        <v>0</v>
      </c>
      <c r="D30" s="151">
        <f t="shared" si="9"/>
        <v>0</v>
      </c>
      <c r="E30" s="717"/>
      <c r="F30" s="152">
        <f t="shared" si="10"/>
        <v>0</v>
      </c>
      <c r="G30" s="717"/>
      <c r="H30" s="153">
        <f t="shared" si="11"/>
        <v>0</v>
      </c>
      <c r="I30" s="154">
        <f t="shared" si="12"/>
        <v>0</v>
      </c>
      <c r="J30" s="717"/>
      <c r="K30" s="153">
        <f t="shared" si="13"/>
        <v>0</v>
      </c>
      <c r="L30" s="85"/>
    </row>
    <row r="31" spans="1:12" outlineLevel="1" x14ac:dyDescent="0.2">
      <c r="B31" s="161" t="str">
        <f>Mitarbeiterverteilung!A16</f>
        <v>Abgänger</v>
      </c>
      <c r="C31" s="150">
        <f>Mitarbeiterverteilung!BB16</f>
        <v>0</v>
      </c>
      <c r="D31" s="151">
        <f t="shared" si="9"/>
        <v>0</v>
      </c>
      <c r="E31" s="717"/>
      <c r="F31" s="152">
        <f t="shared" si="10"/>
        <v>0</v>
      </c>
      <c r="G31" s="717"/>
      <c r="H31" s="153">
        <f t="shared" si="11"/>
        <v>0</v>
      </c>
      <c r="I31" s="154">
        <f t="shared" si="12"/>
        <v>0</v>
      </c>
      <c r="J31" s="717"/>
      <c r="K31" s="153">
        <f t="shared" si="13"/>
        <v>0</v>
      </c>
      <c r="L31" s="85"/>
    </row>
    <row r="32" spans="1:12" outlineLevel="1" x14ac:dyDescent="0.2">
      <c r="B32" s="161" t="str">
        <f>Mitarbeiterverteilung!A17</f>
        <v>Facharbeiter</v>
      </c>
      <c r="C32" s="150">
        <f>Mitarbeiterverteilung!BB17</f>
        <v>0</v>
      </c>
      <c r="D32" s="151">
        <f t="shared" si="9"/>
        <v>0</v>
      </c>
      <c r="E32" s="717"/>
      <c r="F32" s="152">
        <f t="shared" si="10"/>
        <v>0</v>
      </c>
      <c r="G32" s="717"/>
      <c r="H32" s="153">
        <f t="shared" si="11"/>
        <v>0</v>
      </c>
      <c r="I32" s="154">
        <f t="shared" si="12"/>
        <v>0</v>
      </c>
      <c r="J32" s="717"/>
      <c r="K32" s="153">
        <f t="shared" si="13"/>
        <v>0</v>
      </c>
      <c r="L32" s="85"/>
    </row>
    <row r="33" spans="2:12" outlineLevel="1" x14ac:dyDescent="0.2">
      <c r="B33" s="161" t="str">
        <f>Mitarbeiterverteilung!A18</f>
        <v>Facharbeiter</v>
      </c>
      <c r="C33" s="150">
        <f>Mitarbeiterverteilung!BB18</f>
        <v>0</v>
      </c>
      <c r="D33" s="151">
        <f t="shared" si="9"/>
        <v>0</v>
      </c>
      <c r="E33" s="717"/>
      <c r="F33" s="152">
        <f t="shared" si="10"/>
        <v>0</v>
      </c>
      <c r="G33" s="717"/>
      <c r="H33" s="153">
        <f t="shared" si="11"/>
        <v>0</v>
      </c>
      <c r="I33" s="154">
        <f t="shared" si="12"/>
        <v>0</v>
      </c>
      <c r="J33" s="717"/>
      <c r="K33" s="153">
        <f t="shared" si="13"/>
        <v>0</v>
      </c>
      <c r="L33" s="85"/>
    </row>
    <row r="34" spans="2:12" outlineLevel="1" x14ac:dyDescent="0.2">
      <c r="B34" s="161" t="str">
        <f>Mitarbeiterverteilung!A19</f>
        <v>Elternzeit Geselle</v>
      </c>
      <c r="C34" s="150">
        <f>Mitarbeiterverteilung!BB19</f>
        <v>0</v>
      </c>
      <c r="D34" s="151">
        <f t="shared" si="9"/>
        <v>0</v>
      </c>
      <c r="E34" s="717"/>
      <c r="F34" s="152">
        <f t="shared" si="10"/>
        <v>0</v>
      </c>
      <c r="G34" s="717"/>
      <c r="H34" s="153">
        <f t="shared" si="11"/>
        <v>0</v>
      </c>
      <c r="I34" s="154">
        <f t="shared" si="12"/>
        <v>0</v>
      </c>
      <c r="J34" s="717"/>
      <c r="K34" s="153">
        <f t="shared" si="13"/>
        <v>0</v>
      </c>
      <c r="L34" s="85"/>
    </row>
    <row r="35" spans="2:12" outlineLevel="1" x14ac:dyDescent="0.2">
      <c r="B35" s="161" t="str">
        <f>Mitarbeiterverteilung!A20</f>
        <v>A. Zubi</v>
      </c>
      <c r="C35" s="150">
        <f>Mitarbeiterverteilung!BB20</f>
        <v>0</v>
      </c>
      <c r="D35" s="151">
        <f t="shared" si="9"/>
        <v>0</v>
      </c>
      <c r="E35" s="717"/>
      <c r="F35" s="152">
        <f t="shared" si="10"/>
        <v>0</v>
      </c>
      <c r="G35" s="717"/>
      <c r="H35" s="153">
        <f t="shared" si="11"/>
        <v>0</v>
      </c>
      <c r="I35" s="154">
        <f t="shared" si="12"/>
        <v>0</v>
      </c>
      <c r="J35" s="717"/>
      <c r="K35" s="153">
        <f t="shared" si="13"/>
        <v>0</v>
      </c>
      <c r="L35" s="85"/>
    </row>
    <row r="36" spans="2:12" outlineLevel="1" x14ac:dyDescent="0.2">
      <c r="B36" s="161" t="str">
        <f>Mitarbeiterverteilung!A21</f>
        <v>Zur Ausbildung</v>
      </c>
      <c r="C36" s="150">
        <f>Mitarbeiterverteilung!BB21</f>
        <v>0</v>
      </c>
      <c r="D36" s="151">
        <f t="shared" si="9"/>
        <v>0</v>
      </c>
      <c r="E36" s="717"/>
      <c r="F36" s="152">
        <f t="shared" si="10"/>
        <v>0</v>
      </c>
      <c r="G36" s="717"/>
      <c r="H36" s="153">
        <f t="shared" si="11"/>
        <v>0</v>
      </c>
      <c r="I36" s="154">
        <f t="shared" si="12"/>
        <v>0</v>
      </c>
      <c r="J36" s="717"/>
      <c r="K36" s="153">
        <f t="shared" si="13"/>
        <v>0</v>
      </c>
      <c r="L36" s="85"/>
    </row>
    <row r="37" spans="2:12" outlineLevel="1" x14ac:dyDescent="0.2">
      <c r="B37" s="161" t="str">
        <f>Mitarbeiterverteilung!A22</f>
        <v>Reine Putze</v>
      </c>
      <c r="C37" s="150">
        <f>Mitarbeiterverteilung!BB22</f>
        <v>0</v>
      </c>
      <c r="D37" s="151">
        <f t="shared" si="9"/>
        <v>0</v>
      </c>
      <c r="E37" s="717"/>
      <c r="F37" s="152">
        <f t="shared" si="10"/>
        <v>0</v>
      </c>
      <c r="G37" s="717"/>
      <c r="H37" s="153">
        <f t="shared" si="11"/>
        <v>0</v>
      </c>
      <c r="I37" s="154">
        <f t="shared" si="12"/>
        <v>0</v>
      </c>
      <c r="J37" s="717"/>
      <c r="K37" s="153">
        <f t="shared" si="13"/>
        <v>0</v>
      </c>
      <c r="L37" s="85"/>
    </row>
    <row r="38" spans="2:12" outlineLevel="1" x14ac:dyDescent="0.2">
      <c r="B38" s="161" t="str">
        <f>Mitarbeiterverteilung!A23</f>
        <v/>
      </c>
      <c r="C38" s="150">
        <f>Mitarbeiterverteilung!BB23</f>
        <v>0</v>
      </c>
      <c r="D38" s="151">
        <f t="shared" si="9"/>
        <v>0</v>
      </c>
      <c r="E38" s="717"/>
      <c r="F38" s="152">
        <f t="shared" si="10"/>
        <v>0</v>
      </c>
      <c r="G38" s="717"/>
      <c r="H38" s="153">
        <f t="shared" si="11"/>
        <v>0</v>
      </c>
      <c r="I38" s="154">
        <f t="shared" si="12"/>
        <v>0</v>
      </c>
      <c r="J38" s="717"/>
      <c r="K38" s="153">
        <f t="shared" si="13"/>
        <v>0</v>
      </c>
      <c r="L38" s="85"/>
    </row>
    <row r="39" spans="2:12" outlineLevel="1" x14ac:dyDescent="0.2">
      <c r="B39" s="161" t="str">
        <f>Mitarbeiterverteilung!A24</f>
        <v/>
      </c>
      <c r="C39" s="150">
        <f>Mitarbeiterverteilung!BB24</f>
        <v>0</v>
      </c>
      <c r="D39" s="151">
        <f t="shared" si="9"/>
        <v>0</v>
      </c>
      <c r="E39" s="717"/>
      <c r="F39" s="152">
        <f t="shared" si="10"/>
        <v>0</v>
      </c>
      <c r="G39" s="717"/>
      <c r="H39" s="153">
        <f t="shared" si="11"/>
        <v>0</v>
      </c>
      <c r="I39" s="154">
        <f t="shared" si="12"/>
        <v>0</v>
      </c>
      <c r="J39" s="717"/>
      <c r="K39" s="153">
        <f t="shared" si="13"/>
        <v>0</v>
      </c>
      <c r="L39" s="85"/>
    </row>
    <row r="40" spans="2:12" outlineLevel="1" x14ac:dyDescent="0.2">
      <c r="B40" s="161" t="str">
        <f>Mitarbeiterverteilung!A25</f>
        <v/>
      </c>
      <c r="C40" s="150">
        <f>Mitarbeiterverteilung!BB25</f>
        <v>0</v>
      </c>
      <c r="D40" s="151">
        <f t="shared" si="9"/>
        <v>0</v>
      </c>
      <c r="E40" s="717"/>
      <c r="F40" s="152">
        <f t="shared" si="10"/>
        <v>0</v>
      </c>
      <c r="G40" s="717"/>
      <c r="H40" s="153">
        <f t="shared" si="11"/>
        <v>0</v>
      </c>
      <c r="I40" s="154">
        <f t="shared" si="12"/>
        <v>0</v>
      </c>
      <c r="J40" s="717"/>
      <c r="K40" s="153">
        <f t="shared" si="13"/>
        <v>0</v>
      </c>
      <c r="L40" s="85"/>
    </row>
    <row r="41" spans="2:12" outlineLevel="1" x14ac:dyDescent="0.2">
      <c r="B41" s="161" t="str">
        <f>Mitarbeiterverteilung!A26</f>
        <v/>
      </c>
      <c r="C41" s="150">
        <f>Mitarbeiterverteilung!BB26</f>
        <v>0</v>
      </c>
      <c r="D41" s="151">
        <f t="shared" si="9"/>
        <v>0</v>
      </c>
      <c r="E41" s="717"/>
      <c r="F41" s="152">
        <f t="shared" si="10"/>
        <v>0</v>
      </c>
      <c r="G41" s="717"/>
      <c r="H41" s="153">
        <f t="shared" si="11"/>
        <v>0</v>
      </c>
      <c r="I41" s="154">
        <f t="shared" si="12"/>
        <v>0</v>
      </c>
      <c r="J41" s="717"/>
      <c r="K41" s="153">
        <f t="shared" si="13"/>
        <v>0</v>
      </c>
      <c r="L41" s="85"/>
    </row>
    <row r="42" spans="2:12" outlineLevel="1" x14ac:dyDescent="0.2">
      <c r="B42" s="161" t="str">
        <f>Mitarbeiterverteilung!A27</f>
        <v/>
      </c>
      <c r="C42" s="150">
        <f>Mitarbeiterverteilung!BB27</f>
        <v>0</v>
      </c>
      <c r="D42" s="151">
        <f t="shared" si="9"/>
        <v>0</v>
      </c>
      <c r="E42" s="717"/>
      <c r="F42" s="152">
        <f t="shared" si="10"/>
        <v>0</v>
      </c>
      <c r="G42" s="717"/>
      <c r="H42" s="153">
        <f t="shared" si="11"/>
        <v>0</v>
      </c>
      <c r="I42" s="154">
        <f t="shared" si="12"/>
        <v>0</v>
      </c>
      <c r="J42" s="717"/>
      <c r="K42" s="153">
        <f t="shared" si="13"/>
        <v>0</v>
      </c>
      <c r="L42" s="85"/>
    </row>
    <row r="43" spans="2:12" outlineLevel="1" x14ac:dyDescent="0.2">
      <c r="B43" s="161" t="str">
        <f>Mitarbeiterverteilung!A28</f>
        <v/>
      </c>
      <c r="C43" s="150">
        <f>Mitarbeiterverteilung!BB28</f>
        <v>0</v>
      </c>
      <c r="D43" s="151">
        <f t="shared" si="9"/>
        <v>0</v>
      </c>
      <c r="E43" s="717"/>
      <c r="F43" s="152">
        <f t="shared" si="10"/>
        <v>0</v>
      </c>
      <c r="G43" s="717"/>
      <c r="H43" s="153">
        <f t="shared" si="11"/>
        <v>0</v>
      </c>
      <c r="I43" s="154">
        <f t="shared" si="12"/>
        <v>0</v>
      </c>
      <c r="J43" s="717"/>
      <c r="K43" s="153">
        <f t="shared" si="13"/>
        <v>0</v>
      </c>
      <c r="L43" s="85"/>
    </row>
    <row r="44" spans="2:12" outlineLevel="1" x14ac:dyDescent="0.2">
      <c r="B44" s="161" t="str">
        <f>Mitarbeiterverteilung!A29</f>
        <v/>
      </c>
      <c r="C44" s="150">
        <f>Mitarbeiterverteilung!BB29</f>
        <v>0</v>
      </c>
      <c r="D44" s="151">
        <f t="shared" si="9"/>
        <v>0</v>
      </c>
      <c r="E44" s="717"/>
      <c r="F44" s="152">
        <f t="shared" si="10"/>
        <v>0</v>
      </c>
      <c r="G44" s="717"/>
      <c r="H44" s="153">
        <f t="shared" si="11"/>
        <v>0</v>
      </c>
      <c r="I44" s="154">
        <f t="shared" si="12"/>
        <v>0</v>
      </c>
      <c r="J44" s="717"/>
      <c r="K44" s="153">
        <f t="shared" si="13"/>
        <v>0</v>
      </c>
      <c r="L44" s="85"/>
    </row>
    <row r="45" spans="2:12" outlineLevel="1" x14ac:dyDescent="0.2">
      <c r="B45" s="161" t="str">
        <f>Mitarbeiterverteilung!A30</f>
        <v/>
      </c>
      <c r="C45" s="150">
        <f>Mitarbeiterverteilung!BB30</f>
        <v>0</v>
      </c>
      <c r="D45" s="151">
        <f t="shared" si="9"/>
        <v>0</v>
      </c>
      <c r="E45" s="717"/>
      <c r="F45" s="152">
        <f t="shared" si="10"/>
        <v>0</v>
      </c>
      <c r="G45" s="717"/>
      <c r="H45" s="153">
        <f t="shared" si="11"/>
        <v>0</v>
      </c>
      <c r="I45" s="154">
        <f t="shared" si="12"/>
        <v>0</v>
      </c>
      <c r="J45" s="717"/>
      <c r="K45" s="153">
        <f t="shared" si="13"/>
        <v>0</v>
      </c>
      <c r="L45" s="85"/>
    </row>
    <row r="46" spans="2:12" outlineLevel="1" x14ac:dyDescent="0.2">
      <c r="B46" s="161" t="str">
        <f>Mitarbeiterverteilung!A31</f>
        <v/>
      </c>
      <c r="C46" s="150">
        <f>Mitarbeiterverteilung!BB31</f>
        <v>0</v>
      </c>
      <c r="D46" s="151">
        <f t="shared" si="9"/>
        <v>0</v>
      </c>
      <c r="E46" s="717"/>
      <c r="F46" s="152">
        <f t="shared" si="10"/>
        <v>0</v>
      </c>
      <c r="G46" s="717"/>
      <c r="H46" s="153">
        <f t="shared" si="11"/>
        <v>0</v>
      </c>
      <c r="I46" s="154">
        <f t="shared" si="12"/>
        <v>0</v>
      </c>
      <c r="J46" s="717"/>
      <c r="K46" s="153">
        <f t="shared" si="13"/>
        <v>0</v>
      </c>
      <c r="L46" s="85"/>
    </row>
    <row r="47" spans="2:12" outlineLevel="1" x14ac:dyDescent="0.2">
      <c r="B47" s="161" t="str">
        <f>Mitarbeiterverteilung!A32</f>
        <v/>
      </c>
      <c r="C47" s="150">
        <f>Mitarbeiterverteilung!BB32</f>
        <v>0</v>
      </c>
      <c r="D47" s="151">
        <f t="shared" si="9"/>
        <v>0</v>
      </c>
      <c r="E47" s="717"/>
      <c r="F47" s="152">
        <f t="shared" si="10"/>
        <v>0</v>
      </c>
      <c r="G47" s="717"/>
      <c r="H47" s="153">
        <f t="shared" si="11"/>
        <v>0</v>
      </c>
      <c r="I47" s="154">
        <f t="shared" si="12"/>
        <v>0</v>
      </c>
      <c r="J47" s="717"/>
      <c r="K47" s="153">
        <f t="shared" si="13"/>
        <v>0</v>
      </c>
      <c r="L47" s="85"/>
    </row>
    <row r="48" spans="2:12" outlineLevel="1" x14ac:dyDescent="0.2">
      <c r="B48" s="161" t="str">
        <f>Mitarbeiterverteilung!A33</f>
        <v/>
      </c>
      <c r="C48" s="150">
        <f>Mitarbeiterverteilung!BB33</f>
        <v>0</v>
      </c>
      <c r="D48" s="151">
        <f t="shared" si="9"/>
        <v>0</v>
      </c>
      <c r="E48" s="717"/>
      <c r="F48" s="152">
        <f t="shared" si="10"/>
        <v>0</v>
      </c>
      <c r="G48" s="717"/>
      <c r="H48" s="153">
        <f t="shared" si="11"/>
        <v>0</v>
      </c>
      <c r="I48" s="154">
        <f t="shared" si="12"/>
        <v>0</v>
      </c>
      <c r="J48" s="717"/>
      <c r="K48" s="153">
        <f t="shared" si="13"/>
        <v>0</v>
      </c>
      <c r="L48" s="85"/>
    </row>
    <row r="49" spans="2:12" outlineLevel="1" x14ac:dyDescent="0.2">
      <c r="B49" s="161" t="str">
        <f>Mitarbeiterverteilung!A34</f>
        <v/>
      </c>
      <c r="C49" s="150">
        <f>Mitarbeiterverteilung!BB34</f>
        <v>0</v>
      </c>
      <c r="D49" s="151">
        <f t="shared" si="9"/>
        <v>0</v>
      </c>
      <c r="E49" s="717"/>
      <c r="F49" s="152">
        <f t="shared" si="10"/>
        <v>0</v>
      </c>
      <c r="G49" s="717"/>
      <c r="H49" s="153">
        <f t="shared" si="11"/>
        <v>0</v>
      </c>
      <c r="I49" s="154">
        <f t="shared" si="12"/>
        <v>0</v>
      </c>
      <c r="J49" s="717"/>
      <c r="K49" s="153">
        <f t="shared" si="13"/>
        <v>0</v>
      </c>
      <c r="L49" s="85"/>
    </row>
    <row r="50" spans="2:12" outlineLevel="1" x14ac:dyDescent="0.2">
      <c r="B50" s="161" t="str">
        <f>Mitarbeiterverteilung!A35</f>
        <v/>
      </c>
      <c r="C50" s="150">
        <f>Mitarbeiterverteilung!BB35</f>
        <v>0</v>
      </c>
      <c r="D50" s="151">
        <f t="shared" si="9"/>
        <v>0</v>
      </c>
      <c r="E50" s="717"/>
      <c r="F50" s="152">
        <f t="shared" si="10"/>
        <v>0</v>
      </c>
      <c r="G50" s="717"/>
      <c r="H50" s="153">
        <f t="shared" si="11"/>
        <v>0</v>
      </c>
      <c r="I50" s="154">
        <f t="shared" si="12"/>
        <v>0</v>
      </c>
      <c r="J50" s="717"/>
      <c r="K50" s="153">
        <f t="shared" si="13"/>
        <v>0</v>
      </c>
      <c r="L50" s="85"/>
    </row>
    <row r="51" spans="2:12" outlineLevel="1" x14ac:dyDescent="0.2">
      <c r="B51" s="161" t="str">
        <f>Mitarbeiterverteilung!A36</f>
        <v/>
      </c>
      <c r="C51" s="150">
        <f>Mitarbeiterverteilung!BB36</f>
        <v>0</v>
      </c>
      <c r="D51" s="151">
        <f t="shared" si="9"/>
        <v>0</v>
      </c>
      <c r="E51" s="717"/>
      <c r="F51" s="152">
        <f t="shared" si="10"/>
        <v>0</v>
      </c>
      <c r="G51" s="717"/>
      <c r="H51" s="153">
        <f t="shared" si="11"/>
        <v>0</v>
      </c>
      <c r="I51" s="154">
        <f t="shared" si="12"/>
        <v>0</v>
      </c>
      <c r="J51" s="717"/>
      <c r="K51" s="153">
        <f t="shared" si="13"/>
        <v>0</v>
      </c>
      <c r="L51" s="85"/>
    </row>
    <row r="52" spans="2:12" outlineLevel="1" x14ac:dyDescent="0.2">
      <c r="B52" s="161" t="str">
        <f>Mitarbeiterverteilung!A37</f>
        <v/>
      </c>
      <c r="C52" s="150">
        <f>Mitarbeiterverteilung!BB37</f>
        <v>0</v>
      </c>
      <c r="D52" s="151">
        <f t="shared" si="9"/>
        <v>0</v>
      </c>
      <c r="E52" s="717"/>
      <c r="F52" s="152">
        <f t="shared" si="10"/>
        <v>0</v>
      </c>
      <c r="G52" s="717"/>
      <c r="H52" s="153">
        <f t="shared" si="11"/>
        <v>0</v>
      </c>
      <c r="I52" s="154">
        <f t="shared" si="12"/>
        <v>0</v>
      </c>
      <c r="J52" s="717"/>
      <c r="K52" s="153">
        <f t="shared" si="13"/>
        <v>0</v>
      </c>
      <c r="L52" s="85"/>
    </row>
    <row r="53" spans="2:12" outlineLevel="1" x14ac:dyDescent="0.2">
      <c r="B53" s="161" t="str">
        <f>Mitarbeiterverteilung!A38</f>
        <v/>
      </c>
      <c r="C53" s="150">
        <f>Mitarbeiterverteilung!BB38</f>
        <v>0</v>
      </c>
      <c r="D53" s="151">
        <f t="shared" si="9"/>
        <v>0</v>
      </c>
      <c r="E53" s="717"/>
      <c r="F53" s="152">
        <f t="shared" si="10"/>
        <v>0</v>
      </c>
      <c r="G53" s="717"/>
      <c r="H53" s="153">
        <f t="shared" si="11"/>
        <v>0</v>
      </c>
      <c r="I53" s="154">
        <f t="shared" si="12"/>
        <v>0</v>
      </c>
      <c r="J53" s="717"/>
      <c r="K53" s="153">
        <f t="shared" si="13"/>
        <v>0</v>
      </c>
      <c r="L53" s="85"/>
    </row>
    <row r="54" spans="2:12" outlineLevel="1" x14ac:dyDescent="0.2">
      <c r="B54" s="161" t="str">
        <f>Mitarbeiterverteilung!A39</f>
        <v/>
      </c>
      <c r="C54" s="150">
        <f>Mitarbeiterverteilung!BB39</f>
        <v>0</v>
      </c>
      <c r="D54" s="151">
        <f t="shared" si="9"/>
        <v>0</v>
      </c>
      <c r="E54" s="717"/>
      <c r="F54" s="152">
        <f t="shared" si="10"/>
        <v>0</v>
      </c>
      <c r="G54" s="717"/>
      <c r="H54" s="153">
        <f t="shared" si="11"/>
        <v>0</v>
      </c>
      <c r="I54" s="154">
        <f t="shared" si="12"/>
        <v>0</v>
      </c>
      <c r="J54" s="717"/>
      <c r="K54" s="153">
        <f t="shared" si="13"/>
        <v>0</v>
      </c>
      <c r="L54" s="85"/>
    </row>
    <row r="55" spans="2:12" outlineLevel="1" x14ac:dyDescent="0.2">
      <c r="B55" s="161" t="str">
        <f>Mitarbeiterverteilung!A40</f>
        <v/>
      </c>
      <c r="C55" s="150">
        <f>Mitarbeiterverteilung!BB40</f>
        <v>0</v>
      </c>
      <c r="D55" s="151">
        <f t="shared" si="9"/>
        <v>0</v>
      </c>
      <c r="E55" s="717"/>
      <c r="F55" s="152">
        <f t="shared" si="10"/>
        <v>0</v>
      </c>
      <c r="G55" s="717"/>
      <c r="H55" s="153">
        <f t="shared" si="11"/>
        <v>0</v>
      </c>
      <c r="I55" s="154">
        <f t="shared" si="12"/>
        <v>0</v>
      </c>
      <c r="J55" s="717"/>
      <c r="K55" s="153">
        <f t="shared" si="13"/>
        <v>0</v>
      </c>
      <c r="L55" s="85"/>
    </row>
    <row r="56" spans="2:12" outlineLevel="1" x14ac:dyDescent="0.2">
      <c r="B56" s="161" t="str">
        <f>Mitarbeiterverteilung!A41</f>
        <v/>
      </c>
      <c r="C56" s="150">
        <f>Mitarbeiterverteilung!BB41</f>
        <v>0</v>
      </c>
      <c r="D56" s="151">
        <f t="shared" si="9"/>
        <v>0</v>
      </c>
      <c r="E56" s="717"/>
      <c r="F56" s="152">
        <f t="shared" si="10"/>
        <v>0</v>
      </c>
      <c r="G56" s="717"/>
      <c r="H56" s="153">
        <f t="shared" si="11"/>
        <v>0</v>
      </c>
      <c r="I56" s="154">
        <f t="shared" si="12"/>
        <v>0</v>
      </c>
      <c r="J56" s="717"/>
      <c r="K56" s="153">
        <f t="shared" si="13"/>
        <v>0</v>
      </c>
      <c r="L56" s="85"/>
    </row>
    <row r="57" spans="2:12" outlineLevel="1" x14ac:dyDescent="0.2">
      <c r="B57" s="161" t="str">
        <f>Mitarbeiterverteilung!A42</f>
        <v/>
      </c>
      <c r="C57" s="150">
        <f>Mitarbeiterverteilung!BB42</f>
        <v>0</v>
      </c>
      <c r="D57" s="151">
        <f t="shared" si="9"/>
        <v>0</v>
      </c>
      <c r="E57" s="717"/>
      <c r="F57" s="152">
        <f t="shared" si="10"/>
        <v>0</v>
      </c>
      <c r="G57" s="717"/>
      <c r="H57" s="153">
        <f t="shared" si="11"/>
        <v>0</v>
      </c>
      <c r="I57" s="154">
        <f t="shared" si="12"/>
        <v>0</v>
      </c>
      <c r="J57" s="717"/>
      <c r="K57" s="153">
        <f t="shared" si="13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Mitarbeiterverteilung!BB43</f>
        <v>0</v>
      </c>
      <c r="D58" s="151">
        <f t="shared" ref="D58:D121" si="14">F58+I58-C58</f>
        <v>0</v>
      </c>
      <c r="E58" s="717"/>
      <c r="F58" s="152">
        <f t="shared" ref="F58:F121" si="15">C58*H58</f>
        <v>0</v>
      </c>
      <c r="G58" s="717"/>
      <c r="H58" s="153">
        <f t="shared" ref="H58:H121" si="16">IF(E58=0,0,G58/$E58)</f>
        <v>0</v>
      </c>
      <c r="I58" s="154">
        <f t="shared" ref="I58:I121" si="17">C58*K58</f>
        <v>0</v>
      </c>
      <c r="J58" s="717"/>
      <c r="K58" s="153">
        <f t="shared" ref="K58:K121" si="18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Mitarbeiterverteilung!BB44</f>
        <v>0</v>
      </c>
      <c r="D59" s="151">
        <f t="shared" si="14"/>
        <v>0</v>
      </c>
      <c r="E59" s="717"/>
      <c r="F59" s="152">
        <f t="shared" si="15"/>
        <v>0</v>
      </c>
      <c r="G59" s="717"/>
      <c r="H59" s="153">
        <f t="shared" si="16"/>
        <v>0</v>
      </c>
      <c r="I59" s="154">
        <f t="shared" si="17"/>
        <v>0</v>
      </c>
      <c r="J59" s="717"/>
      <c r="K59" s="153">
        <f t="shared" si="18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Mitarbeiterverteilung!BB45</f>
        <v>0</v>
      </c>
      <c r="D60" s="151">
        <f t="shared" si="14"/>
        <v>0</v>
      </c>
      <c r="E60" s="717"/>
      <c r="F60" s="152">
        <f t="shared" si="15"/>
        <v>0</v>
      </c>
      <c r="G60" s="717"/>
      <c r="H60" s="153">
        <f t="shared" si="16"/>
        <v>0</v>
      </c>
      <c r="I60" s="154">
        <f t="shared" si="17"/>
        <v>0</v>
      </c>
      <c r="J60" s="717"/>
      <c r="K60" s="153">
        <f t="shared" si="18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Mitarbeiterverteilung!BB46</f>
        <v>0</v>
      </c>
      <c r="D61" s="151">
        <f t="shared" si="14"/>
        <v>0</v>
      </c>
      <c r="E61" s="717"/>
      <c r="F61" s="152">
        <f t="shared" si="15"/>
        <v>0</v>
      </c>
      <c r="G61" s="717"/>
      <c r="H61" s="153">
        <f t="shared" si="16"/>
        <v>0</v>
      </c>
      <c r="I61" s="154">
        <f t="shared" si="17"/>
        <v>0</v>
      </c>
      <c r="J61" s="717"/>
      <c r="K61" s="153">
        <f t="shared" si="18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Mitarbeiterverteilung!BB47</f>
        <v>0</v>
      </c>
      <c r="D62" s="151">
        <f t="shared" si="14"/>
        <v>0</v>
      </c>
      <c r="E62" s="717"/>
      <c r="F62" s="152">
        <f t="shared" si="15"/>
        <v>0</v>
      </c>
      <c r="G62" s="717"/>
      <c r="H62" s="153">
        <f t="shared" si="16"/>
        <v>0</v>
      </c>
      <c r="I62" s="154">
        <f t="shared" si="17"/>
        <v>0</v>
      </c>
      <c r="J62" s="717"/>
      <c r="K62" s="153">
        <f t="shared" si="18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Mitarbeiterverteilung!BB48</f>
        <v>0</v>
      </c>
      <c r="D63" s="151">
        <f t="shared" si="14"/>
        <v>0</v>
      </c>
      <c r="E63" s="717"/>
      <c r="F63" s="152">
        <f t="shared" si="15"/>
        <v>0</v>
      </c>
      <c r="G63" s="717"/>
      <c r="H63" s="153">
        <f t="shared" si="16"/>
        <v>0</v>
      </c>
      <c r="I63" s="154">
        <f t="shared" si="17"/>
        <v>0</v>
      </c>
      <c r="J63" s="717"/>
      <c r="K63" s="153">
        <f t="shared" si="18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Mitarbeiterverteilung!BB49</f>
        <v>0</v>
      </c>
      <c r="D64" s="151">
        <f t="shared" si="14"/>
        <v>0</v>
      </c>
      <c r="E64" s="717"/>
      <c r="F64" s="152">
        <f t="shared" si="15"/>
        <v>0</v>
      </c>
      <c r="G64" s="717"/>
      <c r="H64" s="153">
        <f t="shared" si="16"/>
        <v>0</v>
      </c>
      <c r="I64" s="154">
        <f t="shared" si="17"/>
        <v>0</v>
      </c>
      <c r="J64" s="717"/>
      <c r="K64" s="153">
        <f t="shared" si="18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Mitarbeiterverteilung!BB50</f>
        <v>0</v>
      </c>
      <c r="D65" s="151">
        <f t="shared" si="14"/>
        <v>0</v>
      </c>
      <c r="E65" s="717"/>
      <c r="F65" s="152">
        <f t="shared" si="15"/>
        <v>0</v>
      </c>
      <c r="G65" s="717"/>
      <c r="H65" s="153">
        <f t="shared" si="16"/>
        <v>0</v>
      </c>
      <c r="I65" s="154">
        <f t="shared" si="17"/>
        <v>0</v>
      </c>
      <c r="J65" s="717"/>
      <c r="K65" s="153">
        <f t="shared" si="18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Mitarbeiterverteilung!BB51</f>
        <v>0</v>
      </c>
      <c r="D66" s="151">
        <f t="shared" si="14"/>
        <v>0</v>
      </c>
      <c r="E66" s="717"/>
      <c r="F66" s="152">
        <f t="shared" si="15"/>
        <v>0</v>
      </c>
      <c r="G66" s="717"/>
      <c r="H66" s="153">
        <f t="shared" si="16"/>
        <v>0</v>
      </c>
      <c r="I66" s="154">
        <f t="shared" si="17"/>
        <v>0</v>
      </c>
      <c r="J66" s="717"/>
      <c r="K66" s="153">
        <f t="shared" si="18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Mitarbeiterverteilung!BB52</f>
        <v>0</v>
      </c>
      <c r="D67" s="151">
        <f t="shared" si="14"/>
        <v>0</v>
      </c>
      <c r="E67" s="717"/>
      <c r="F67" s="152">
        <f t="shared" si="15"/>
        <v>0</v>
      </c>
      <c r="G67" s="717"/>
      <c r="H67" s="153">
        <f t="shared" si="16"/>
        <v>0</v>
      </c>
      <c r="I67" s="154">
        <f t="shared" si="17"/>
        <v>0</v>
      </c>
      <c r="J67" s="717"/>
      <c r="K67" s="153">
        <f t="shared" si="18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Mitarbeiterverteilung!BB53</f>
        <v>0</v>
      </c>
      <c r="D68" s="151">
        <f t="shared" si="14"/>
        <v>0</v>
      </c>
      <c r="E68" s="717"/>
      <c r="F68" s="152">
        <f t="shared" si="15"/>
        <v>0</v>
      </c>
      <c r="G68" s="717"/>
      <c r="H68" s="153">
        <f t="shared" si="16"/>
        <v>0</v>
      </c>
      <c r="I68" s="154">
        <f t="shared" si="17"/>
        <v>0</v>
      </c>
      <c r="J68" s="717"/>
      <c r="K68" s="153">
        <f t="shared" si="18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Mitarbeiterverteilung!BB54</f>
        <v>0</v>
      </c>
      <c r="D69" s="151">
        <f t="shared" si="14"/>
        <v>0</v>
      </c>
      <c r="E69" s="717"/>
      <c r="F69" s="152">
        <f t="shared" si="15"/>
        <v>0</v>
      </c>
      <c r="G69" s="717"/>
      <c r="H69" s="153">
        <f t="shared" si="16"/>
        <v>0</v>
      </c>
      <c r="I69" s="154">
        <f t="shared" si="17"/>
        <v>0</v>
      </c>
      <c r="J69" s="717"/>
      <c r="K69" s="153">
        <f t="shared" si="18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Mitarbeiterverteilung!BB55</f>
        <v>0</v>
      </c>
      <c r="D70" s="151">
        <f t="shared" si="14"/>
        <v>0</v>
      </c>
      <c r="E70" s="717"/>
      <c r="F70" s="152">
        <f t="shared" si="15"/>
        <v>0</v>
      </c>
      <c r="G70" s="717"/>
      <c r="H70" s="153">
        <f t="shared" si="16"/>
        <v>0</v>
      </c>
      <c r="I70" s="154">
        <f t="shared" si="17"/>
        <v>0</v>
      </c>
      <c r="J70" s="717"/>
      <c r="K70" s="153">
        <f t="shared" si="18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Mitarbeiterverteilung!BB56</f>
        <v>0</v>
      </c>
      <c r="D71" s="151">
        <f t="shared" si="14"/>
        <v>0</v>
      </c>
      <c r="E71" s="717"/>
      <c r="F71" s="152">
        <f t="shared" si="15"/>
        <v>0</v>
      </c>
      <c r="G71" s="717"/>
      <c r="H71" s="153">
        <f t="shared" si="16"/>
        <v>0</v>
      </c>
      <c r="I71" s="154">
        <f t="shared" si="17"/>
        <v>0</v>
      </c>
      <c r="J71" s="717"/>
      <c r="K71" s="153">
        <f t="shared" si="18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Mitarbeiterverteilung!BB57</f>
        <v>0</v>
      </c>
      <c r="D72" s="151">
        <f t="shared" si="14"/>
        <v>0</v>
      </c>
      <c r="E72" s="717"/>
      <c r="F72" s="152">
        <f t="shared" si="15"/>
        <v>0</v>
      </c>
      <c r="G72" s="717"/>
      <c r="H72" s="153">
        <f t="shared" si="16"/>
        <v>0</v>
      </c>
      <c r="I72" s="154">
        <f t="shared" si="17"/>
        <v>0</v>
      </c>
      <c r="J72" s="717"/>
      <c r="K72" s="153">
        <f t="shared" si="18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Mitarbeiterverteilung!BB58</f>
        <v>0</v>
      </c>
      <c r="D73" s="151">
        <f t="shared" si="14"/>
        <v>0</v>
      </c>
      <c r="E73" s="717"/>
      <c r="F73" s="152">
        <f t="shared" si="15"/>
        <v>0</v>
      </c>
      <c r="G73" s="717"/>
      <c r="H73" s="153">
        <f t="shared" si="16"/>
        <v>0</v>
      </c>
      <c r="I73" s="154">
        <f t="shared" si="17"/>
        <v>0</v>
      </c>
      <c r="J73" s="717"/>
      <c r="K73" s="153">
        <f t="shared" si="18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Mitarbeiterverteilung!BB59</f>
        <v>0</v>
      </c>
      <c r="D74" s="151">
        <f t="shared" si="14"/>
        <v>0</v>
      </c>
      <c r="E74" s="717"/>
      <c r="F74" s="152">
        <f t="shared" si="15"/>
        <v>0</v>
      </c>
      <c r="G74" s="717"/>
      <c r="H74" s="153">
        <f t="shared" si="16"/>
        <v>0</v>
      </c>
      <c r="I74" s="154">
        <f t="shared" si="17"/>
        <v>0</v>
      </c>
      <c r="J74" s="717"/>
      <c r="K74" s="153">
        <f t="shared" si="18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Mitarbeiterverteilung!BB60</f>
        <v>0</v>
      </c>
      <c r="D75" s="151">
        <f t="shared" si="14"/>
        <v>0</v>
      </c>
      <c r="E75" s="717"/>
      <c r="F75" s="152">
        <f t="shared" si="15"/>
        <v>0</v>
      </c>
      <c r="G75" s="717"/>
      <c r="H75" s="153">
        <f t="shared" si="16"/>
        <v>0</v>
      </c>
      <c r="I75" s="154">
        <f t="shared" si="17"/>
        <v>0</v>
      </c>
      <c r="J75" s="717"/>
      <c r="K75" s="153">
        <f t="shared" si="18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Mitarbeiterverteilung!BB61</f>
        <v>0</v>
      </c>
      <c r="D76" s="151">
        <f t="shared" si="14"/>
        <v>0</v>
      </c>
      <c r="E76" s="717"/>
      <c r="F76" s="152">
        <f t="shared" si="15"/>
        <v>0</v>
      </c>
      <c r="G76" s="717"/>
      <c r="H76" s="153">
        <f t="shared" si="16"/>
        <v>0</v>
      </c>
      <c r="I76" s="154">
        <f t="shared" si="17"/>
        <v>0</v>
      </c>
      <c r="J76" s="717"/>
      <c r="K76" s="153">
        <f t="shared" si="18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Mitarbeiterverteilung!BB62</f>
        <v>0</v>
      </c>
      <c r="D77" s="151">
        <f t="shared" si="14"/>
        <v>0</v>
      </c>
      <c r="E77" s="717"/>
      <c r="F77" s="152">
        <f t="shared" si="15"/>
        <v>0</v>
      </c>
      <c r="G77" s="717"/>
      <c r="H77" s="153">
        <f t="shared" si="16"/>
        <v>0</v>
      </c>
      <c r="I77" s="154">
        <f t="shared" si="17"/>
        <v>0</v>
      </c>
      <c r="J77" s="717"/>
      <c r="K77" s="153">
        <f t="shared" si="18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Mitarbeiterverteilung!BB63</f>
        <v>0</v>
      </c>
      <c r="D78" s="151">
        <f t="shared" si="14"/>
        <v>0</v>
      </c>
      <c r="E78" s="717"/>
      <c r="F78" s="152">
        <f t="shared" si="15"/>
        <v>0</v>
      </c>
      <c r="G78" s="717"/>
      <c r="H78" s="153">
        <f t="shared" si="16"/>
        <v>0</v>
      </c>
      <c r="I78" s="154">
        <f t="shared" si="17"/>
        <v>0</v>
      </c>
      <c r="J78" s="717"/>
      <c r="K78" s="153">
        <f t="shared" si="18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Mitarbeiterverteilung!BB64</f>
        <v>0</v>
      </c>
      <c r="D79" s="151">
        <f t="shared" si="14"/>
        <v>0</v>
      </c>
      <c r="E79" s="717"/>
      <c r="F79" s="152">
        <f t="shared" si="15"/>
        <v>0</v>
      </c>
      <c r="G79" s="717"/>
      <c r="H79" s="153">
        <f t="shared" si="16"/>
        <v>0</v>
      </c>
      <c r="I79" s="154">
        <f t="shared" si="17"/>
        <v>0</v>
      </c>
      <c r="J79" s="717"/>
      <c r="K79" s="153">
        <f t="shared" si="18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Mitarbeiterverteilung!BB65</f>
        <v>0</v>
      </c>
      <c r="D80" s="151">
        <f t="shared" si="14"/>
        <v>0</v>
      </c>
      <c r="E80" s="717"/>
      <c r="F80" s="152">
        <f t="shared" si="15"/>
        <v>0</v>
      </c>
      <c r="G80" s="717"/>
      <c r="H80" s="153">
        <f t="shared" si="16"/>
        <v>0</v>
      </c>
      <c r="I80" s="154">
        <f t="shared" si="17"/>
        <v>0</v>
      </c>
      <c r="J80" s="717"/>
      <c r="K80" s="153">
        <f t="shared" si="18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Mitarbeiterverteilung!BB66</f>
        <v>0</v>
      </c>
      <c r="D81" s="151">
        <f t="shared" si="14"/>
        <v>0</v>
      </c>
      <c r="E81" s="717"/>
      <c r="F81" s="152">
        <f t="shared" si="15"/>
        <v>0</v>
      </c>
      <c r="G81" s="717"/>
      <c r="H81" s="153">
        <f t="shared" si="16"/>
        <v>0</v>
      </c>
      <c r="I81" s="154">
        <f t="shared" si="17"/>
        <v>0</v>
      </c>
      <c r="J81" s="717"/>
      <c r="K81" s="153">
        <f t="shared" si="18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Mitarbeiterverteilung!BB67</f>
        <v>0</v>
      </c>
      <c r="D82" s="151">
        <f t="shared" si="14"/>
        <v>0</v>
      </c>
      <c r="E82" s="717"/>
      <c r="F82" s="152">
        <f t="shared" si="15"/>
        <v>0</v>
      </c>
      <c r="G82" s="717"/>
      <c r="H82" s="153">
        <f t="shared" si="16"/>
        <v>0</v>
      </c>
      <c r="I82" s="154">
        <f t="shared" si="17"/>
        <v>0</v>
      </c>
      <c r="J82" s="717"/>
      <c r="K82" s="153">
        <f t="shared" si="18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Mitarbeiterverteilung!BB68</f>
        <v>0</v>
      </c>
      <c r="D83" s="151">
        <f t="shared" si="14"/>
        <v>0</v>
      </c>
      <c r="E83" s="717"/>
      <c r="F83" s="152">
        <f t="shared" si="15"/>
        <v>0</v>
      </c>
      <c r="G83" s="717"/>
      <c r="H83" s="153">
        <f t="shared" si="16"/>
        <v>0</v>
      </c>
      <c r="I83" s="154">
        <f t="shared" si="17"/>
        <v>0</v>
      </c>
      <c r="J83" s="717"/>
      <c r="K83" s="153">
        <f t="shared" si="18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Mitarbeiterverteilung!BB69</f>
        <v>0</v>
      </c>
      <c r="D84" s="151">
        <f t="shared" si="14"/>
        <v>0</v>
      </c>
      <c r="E84" s="717"/>
      <c r="F84" s="152">
        <f t="shared" si="15"/>
        <v>0</v>
      </c>
      <c r="G84" s="717"/>
      <c r="H84" s="153">
        <f t="shared" si="16"/>
        <v>0</v>
      </c>
      <c r="I84" s="154">
        <f t="shared" si="17"/>
        <v>0</v>
      </c>
      <c r="J84" s="717"/>
      <c r="K84" s="153">
        <f t="shared" si="18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Mitarbeiterverteilung!BB70</f>
        <v>0</v>
      </c>
      <c r="D85" s="151">
        <f t="shared" si="14"/>
        <v>0</v>
      </c>
      <c r="E85" s="717"/>
      <c r="F85" s="152">
        <f t="shared" si="15"/>
        <v>0</v>
      </c>
      <c r="G85" s="717"/>
      <c r="H85" s="153">
        <f t="shared" si="16"/>
        <v>0</v>
      </c>
      <c r="I85" s="154">
        <f t="shared" si="17"/>
        <v>0</v>
      </c>
      <c r="J85" s="717"/>
      <c r="K85" s="153">
        <f t="shared" si="18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Mitarbeiterverteilung!BB71</f>
        <v>0</v>
      </c>
      <c r="D86" s="151">
        <f t="shared" si="14"/>
        <v>0</v>
      </c>
      <c r="E86" s="717"/>
      <c r="F86" s="152">
        <f t="shared" si="15"/>
        <v>0</v>
      </c>
      <c r="G86" s="717"/>
      <c r="H86" s="153">
        <f t="shared" si="16"/>
        <v>0</v>
      </c>
      <c r="I86" s="154">
        <f t="shared" si="17"/>
        <v>0</v>
      </c>
      <c r="J86" s="717"/>
      <c r="K86" s="153">
        <f t="shared" si="18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Mitarbeiterverteilung!BB72</f>
        <v>0</v>
      </c>
      <c r="D87" s="151">
        <f t="shared" si="14"/>
        <v>0</v>
      </c>
      <c r="E87" s="717"/>
      <c r="F87" s="152">
        <f t="shared" si="15"/>
        <v>0</v>
      </c>
      <c r="G87" s="717"/>
      <c r="H87" s="153">
        <f t="shared" si="16"/>
        <v>0</v>
      </c>
      <c r="I87" s="154">
        <f t="shared" si="17"/>
        <v>0</v>
      </c>
      <c r="J87" s="717"/>
      <c r="K87" s="153">
        <f t="shared" si="18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Mitarbeiterverteilung!BB73</f>
        <v>0</v>
      </c>
      <c r="D88" s="151">
        <f t="shared" si="14"/>
        <v>0</v>
      </c>
      <c r="E88" s="717"/>
      <c r="F88" s="152">
        <f t="shared" si="15"/>
        <v>0</v>
      </c>
      <c r="G88" s="717"/>
      <c r="H88" s="153">
        <f t="shared" si="16"/>
        <v>0</v>
      </c>
      <c r="I88" s="154">
        <f t="shared" si="17"/>
        <v>0</v>
      </c>
      <c r="J88" s="717"/>
      <c r="K88" s="153">
        <f t="shared" si="18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Mitarbeiterverteilung!BB74</f>
        <v>0</v>
      </c>
      <c r="D89" s="151">
        <f t="shared" si="14"/>
        <v>0</v>
      </c>
      <c r="E89" s="717"/>
      <c r="F89" s="152">
        <f t="shared" si="15"/>
        <v>0</v>
      </c>
      <c r="G89" s="717"/>
      <c r="H89" s="153">
        <f t="shared" si="16"/>
        <v>0</v>
      </c>
      <c r="I89" s="154">
        <f t="shared" si="17"/>
        <v>0</v>
      </c>
      <c r="J89" s="717"/>
      <c r="K89" s="153">
        <f t="shared" si="18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Mitarbeiterverteilung!BB75</f>
        <v>0</v>
      </c>
      <c r="D90" s="151">
        <f t="shared" si="14"/>
        <v>0</v>
      </c>
      <c r="E90" s="717"/>
      <c r="F90" s="152">
        <f t="shared" si="15"/>
        <v>0</v>
      </c>
      <c r="G90" s="717"/>
      <c r="H90" s="153">
        <f t="shared" si="16"/>
        <v>0</v>
      </c>
      <c r="I90" s="154">
        <f t="shared" si="17"/>
        <v>0</v>
      </c>
      <c r="J90" s="717"/>
      <c r="K90" s="153">
        <f t="shared" si="18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Mitarbeiterverteilung!BB76</f>
        <v>0</v>
      </c>
      <c r="D91" s="151">
        <f t="shared" si="14"/>
        <v>0</v>
      </c>
      <c r="E91" s="717"/>
      <c r="F91" s="152">
        <f t="shared" si="15"/>
        <v>0</v>
      </c>
      <c r="G91" s="717"/>
      <c r="H91" s="153">
        <f t="shared" si="16"/>
        <v>0</v>
      </c>
      <c r="I91" s="154">
        <f t="shared" si="17"/>
        <v>0</v>
      </c>
      <c r="J91" s="717"/>
      <c r="K91" s="153">
        <f t="shared" si="18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Mitarbeiterverteilung!BB77</f>
        <v>0</v>
      </c>
      <c r="D92" s="151">
        <f t="shared" si="14"/>
        <v>0</v>
      </c>
      <c r="E92" s="717"/>
      <c r="F92" s="152">
        <f t="shared" si="15"/>
        <v>0</v>
      </c>
      <c r="G92" s="717"/>
      <c r="H92" s="153">
        <f t="shared" si="16"/>
        <v>0</v>
      </c>
      <c r="I92" s="154">
        <f t="shared" si="17"/>
        <v>0</v>
      </c>
      <c r="J92" s="717"/>
      <c r="K92" s="153">
        <f t="shared" si="18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Mitarbeiterverteilung!BB78</f>
        <v>0</v>
      </c>
      <c r="D93" s="151">
        <f t="shared" si="14"/>
        <v>0</v>
      </c>
      <c r="E93" s="717"/>
      <c r="F93" s="152">
        <f t="shared" si="15"/>
        <v>0</v>
      </c>
      <c r="G93" s="717"/>
      <c r="H93" s="153">
        <f t="shared" si="16"/>
        <v>0</v>
      </c>
      <c r="I93" s="154">
        <f t="shared" si="17"/>
        <v>0</v>
      </c>
      <c r="J93" s="717"/>
      <c r="K93" s="153">
        <f t="shared" si="18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Mitarbeiterverteilung!BB79</f>
        <v>0</v>
      </c>
      <c r="D94" s="151">
        <f t="shared" si="14"/>
        <v>0</v>
      </c>
      <c r="E94" s="717"/>
      <c r="F94" s="152">
        <f t="shared" si="15"/>
        <v>0</v>
      </c>
      <c r="G94" s="717"/>
      <c r="H94" s="153">
        <f t="shared" si="16"/>
        <v>0</v>
      </c>
      <c r="I94" s="154">
        <f t="shared" si="17"/>
        <v>0</v>
      </c>
      <c r="J94" s="717"/>
      <c r="K94" s="153">
        <f t="shared" si="18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Mitarbeiterverteilung!BB80</f>
        <v>0</v>
      </c>
      <c r="D95" s="151">
        <f t="shared" si="14"/>
        <v>0</v>
      </c>
      <c r="E95" s="717"/>
      <c r="F95" s="152">
        <f t="shared" si="15"/>
        <v>0</v>
      </c>
      <c r="G95" s="717"/>
      <c r="H95" s="153">
        <f t="shared" si="16"/>
        <v>0</v>
      </c>
      <c r="I95" s="154">
        <f t="shared" si="17"/>
        <v>0</v>
      </c>
      <c r="J95" s="717"/>
      <c r="K95" s="153">
        <f t="shared" si="18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Mitarbeiterverteilung!BB81</f>
        <v>0</v>
      </c>
      <c r="D96" s="151">
        <f t="shared" si="14"/>
        <v>0</v>
      </c>
      <c r="E96" s="717"/>
      <c r="F96" s="152">
        <f t="shared" si="15"/>
        <v>0</v>
      </c>
      <c r="G96" s="717"/>
      <c r="H96" s="153">
        <f t="shared" si="16"/>
        <v>0</v>
      </c>
      <c r="I96" s="154">
        <f t="shared" si="17"/>
        <v>0</v>
      </c>
      <c r="J96" s="717"/>
      <c r="K96" s="153">
        <f t="shared" si="18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Mitarbeiterverteilung!BB82</f>
        <v>0</v>
      </c>
      <c r="D97" s="151">
        <f t="shared" si="14"/>
        <v>0</v>
      </c>
      <c r="E97" s="717"/>
      <c r="F97" s="152">
        <f t="shared" si="15"/>
        <v>0</v>
      </c>
      <c r="G97" s="717"/>
      <c r="H97" s="153">
        <f t="shared" si="16"/>
        <v>0</v>
      </c>
      <c r="I97" s="154">
        <f t="shared" si="17"/>
        <v>0</v>
      </c>
      <c r="J97" s="717"/>
      <c r="K97" s="153">
        <f t="shared" si="18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Mitarbeiterverteilung!BB83</f>
        <v>0</v>
      </c>
      <c r="D98" s="151">
        <f t="shared" si="14"/>
        <v>0</v>
      </c>
      <c r="E98" s="717"/>
      <c r="F98" s="152">
        <f t="shared" si="15"/>
        <v>0</v>
      </c>
      <c r="G98" s="717"/>
      <c r="H98" s="153">
        <f t="shared" si="16"/>
        <v>0</v>
      </c>
      <c r="I98" s="154">
        <f t="shared" si="17"/>
        <v>0</v>
      </c>
      <c r="J98" s="717"/>
      <c r="K98" s="153">
        <f t="shared" si="18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Mitarbeiterverteilung!BB84</f>
        <v>0</v>
      </c>
      <c r="D99" s="151">
        <f t="shared" si="14"/>
        <v>0</v>
      </c>
      <c r="E99" s="717"/>
      <c r="F99" s="152">
        <f t="shared" si="15"/>
        <v>0</v>
      </c>
      <c r="G99" s="717"/>
      <c r="H99" s="153">
        <f t="shared" si="16"/>
        <v>0</v>
      </c>
      <c r="I99" s="154">
        <f t="shared" si="17"/>
        <v>0</v>
      </c>
      <c r="J99" s="717"/>
      <c r="K99" s="153">
        <f t="shared" si="18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Mitarbeiterverteilung!BB85</f>
        <v>0</v>
      </c>
      <c r="D100" s="151">
        <f t="shared" si="14"/>
        <v>0</v>
      </c>
      <c r="E100" s="717"/>
      <c r="F100" s="152">
        <f t="shared" si="15"/>
        <v>0</v>
      </c>
      <c r="G100" s="717"/>
      <c r="H100" s="153">
        <f t="shared" si="16"/>
        <v>0</v>
      </c>
      <c r="I100" s="154">
        <f t="shared" si="17"/>
        <v>0</v>
      </c>
      <c r="J100" s="717"/>
      <c r="K100" s="153">
        <f t="shared" si="18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Mitarbeiterverteilung!BB86</f>
        <v>0</v>
      </c>
      <c r="D101" s="151">
        <f t="shared" si="14"/>
        <v>0</v>
      </c>
      <c r="E101" s="717"/>
      <c r="F101" s="152">
        <f t="shared" si="15"/>
        <v>0</v>
      </c>
      <c r="G101" s="717"/>
      <c r="H101" s="153">
        <f t="shared" si="16"/>
        <v>0</v>
      </c>
      <c r="I101" s="154">
        <f t="shared" si="17"/>
        <v>0</v>
      </c>
      <c r="J101" s="717"/>
      <c r="K101" s="153">
        <f t="shared" si="18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Mitarbeiterverteilung!BB87</f>
        <v>0</v>
      </c>
      <c r="D102" s="151">
        <f t="shared" si="14"/>
        <v>0</v>
      </c>
      <c r="E102" s="717"/>
      <c r="F102" s="152">
        <f t="shared" si="15"/>
        <v>0</v>
      </c>
      <c r="G102" s="717"/>
      <c r="H102" s="153">
        <f t="shared" si="16"/>
        <v>0</v>
      </c>
      <c r="I102" s="154">
        <f t="shared" si="17"/>
        <v>0</v>
      </c>
      <c r="J102" s="717"/>
      <c r="K102" s="153">
        <f t="shared" si="18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Mitarbeiterverteilung!BB88</f>
        <v>0</v>
      </c>
      <c r="D103" s="151">
        <f t="shared" si="14"/>
        <v>0</v>
      </c>
      <c r="E103" s="717"/>
      <c r="F103" s="152">
        <f t="shared" si="15"/>
        <v>0</v>
      </c>
      <c r="G103" s="717"/>
      <c r="H103" s="153">
        <f t="shared" si="16"/>
        <v>0</v>
      </c>
      <c r="I103" s="154">
        <f t="shared" si="17"/>
        <v>0</v>
      </c>
      <c r="J103" s="717"/>
      <c r="K103" s="153">
        <f t="shared" si="18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Mitarbeiterverteilung!BB89</f>
        <v>0</v>
      </c>
      <c r="D104" s="151">
        <f t="shared" si="14"/>
        <v>0</v>
      </c>
      <c r="E104" s="717"/>
      <c r="F104" s="152">
        <f t="shared" si="15"/>
        <v>0</v>
      </c>
      <c r="G104" s="717"/>
      <c r="H104" s="153">
        <f t="shared" si="16"/>
        <v>0</v>
      </c>
      <c r="I104" s="154">
        <f t="shared" si="17"/>
        <v>0</v>
      </c>
      <c r="J104" s="717"/>
      <c r="K104" s="153">
        <f t="shared" si="18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Mitarbeiterverteilung!BB90</f>
        <v>0</v>
      </c>
      <c r="D105" s="151">
        <f t="shared" si="14"/>
        <v>0</v>
      </c>
      <c r="E105" s="717"/>
      <c r="F105" s="152">
        <f t="shared" si="15"/>
        <v>0</v>
      </c>
      <c r="G105" s="717"/>
      <c r="H105" s="153">
        <f t="shared" si="16"/>
        <v>0</v>
      </c>
      <c r="I105" s="154">
        <f t="shared" si="17"/>
        <v>0</v>
      </c>
      <c r="J105" s="717"/>
      <c r="K105" s="153">
        <f t="shared" si="18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Mitarbeiterverteilung!BB91</f>
        <v>0</v>
      </c>
      <c r="D106" s="151">
        <f t="shared" si="14"/>
        <v>0</v>
      </c>
      <c r="E106" s="717"/>
      <c r="F106" s="152">
        <f t="shared" si="15"/>
        <v>0</v>
      </c>
      <c r="G106" s="717"/>
      <c r="H106" s="153">
        <f t="shared" si="16"/>
        <v>0</v>
      </c>
      <c r="I106" s="154">
        <f t="shared" si="17"/>
        <v>0</v>
      </c>
      <c r="J106" s="717"/>
      <c r="K106" s="153">
        <f t="shared" si="18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Mitarbeiterverteilung!BB92</f>
        <v>0</v>
      </c>
      <c r="D107" s="151">
        <f t="shared" si="14"/>
        <v>0</v>
      </c>
      <c r="E107" s="717"/>
      <c r="F107" s="152">
        <f t="shared" si="15"/>
        <v>0</v>
      </c>
      <c r="G107" s="717"/>
      <c r="H107" s="153">
        <f t="shared" si="16"/>
        <v>0</v>
      </c>
      <c r="I107" s="154">
        <f t="shared" si="17"/>
        <v>0</v>
      </c>
      <c r="J107" s="717"/>
      <c r="K107" s="153">
        <f t="shared" si="18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Mitarbeiterverteilung!BB93</f>
        <v>0</v>
      </c>
      <c r="D108" s="151">
        <f t="shared" si="14"/>
        <v>0</v>
      </c>
      <c r="E108" s="717"/>
      <c r="F108" s="152">
        <f t="shared" si="15"/>
        <v>0</v>
      </c>
      <c r="G108" s="717"/>
      <c r="H108" s="153">
        <f t="shared" si="16"/>
        <v>0</v>
      </c>
      <c r="I108" s="154">
        <f t="shared" si="17"/>
        <v>0</v>
      </c>
      <c r="J108" s="717"/>
      <c r="K108" s="153">
        <f t="shared" si="18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Mitarbeiterverteilung!BB94</f>
        <v>0</v>
      </c>
      <c r="D109" s="151">
        <f t="shared" si="14"/>
        <v>0</v>
      </c>
      <c r="E109" s="717"/>
      <c r="F109" s="152">
        <f t="shared" si="15"/>
        <v>0</v>
      </c>
      <c r="G109" s="717"/>
      <c r="H109" s="153">
        <f t="shared" si="16"/>
        <v>0</v>
      </c>
      <c r="I109" s="154">
        <f t="shared" si="17"/>
        <v>0</v>
      </c>
      <c r="J109" s="717"/>
      <c r="K109" s="153">
        <f t="shared" si="18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Mitarbeiterverteilung!BB95</f>
        <v>0</v>
      </c>
      <c r="D110" s="151">
        <f t="shared" si="14"/>
        <v>0</v>
      </c>
      <c r="E110" s="717"/>
      <c r="F110" s="152">
        <f t="shared" si="15"/>
        <v>0</v>
      </c>
      <c r="G110" s="717"/>
      <c r="H110" s="153">
        <f t="shared" si="16"/>
        <v>0</v>
      </c>
      <c r="I110" s="154">
        <f t="shared" si="17"/>
        <v>0</v>
      </c>
      <c r="J110" s="717"/>
      <c r="K110" s="153">
        <f t="shared" si="18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Mitarbeiterverteilung!BB96</f>
        <v>0</v>
      </c>
      <c r="D111" s="151">
        <f t="shared" si="14"/>
        <v>0</v>
      </c>
      <c r="E111" s="717"/>
      <c r="F111" s="152">
        <f t="shared" si="15"/>
        <v>0</v>
      </c>
      <c r="G111" s="717"/>
      <c r="H111" s="153">
        <f t="shared" si="16"/>
        <v>0</v>
      </c>
      <c r="I111" s="154">
        <f t="shared" si="17"/>
        <v>0</v>
      </c>
      <c r="J111" s="717"/>
      <c r="K111" s="153">
        <f t="shared" si="18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Mitarbeiterverteilung!BB97</f>
        <v>0</v>
      </c>
      <c r="D112" s="151">
        <f t="shared" si="14"/>
        <v>0</v>
      </c>
      <c r="E112" s="717"/>
      <c r="F112" s="152">
        <f t="shared" si="15"/>
        <v>0</v>
      </c>
      <c r="G112" s="717"/>
      <c r="H112" s="153">
        <f t="shared" si="16"/>
        <v>0</v>
      </c>
      <c r="I112" s="154">
        <f t="shared" si="17"/>
        <v>0</v>
      </c>
      <c r="J112" s="717"/>
      <c r="K112" s="153">
        <f t="shared" si="18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Mitarbeiterverteilung!BB98</f>
        <v>0</v>
      </c>
      <c r="D113" s="151">
        <f t="shared" si="14"/>
        <v>0</v>
      </c>
      <c r="E113" s="717"/>
      <c r="F113" s="152">
        <f t="shared" si="15"/>
        <v>0</v>
      </c>
      <c r="G113" s="717"/>
      <c r="H113" s="153">
        <f t="shared" si="16"/>
        <v>0</v>
      </c>
      <c r="I113" s="154">
        <f t="shared" si="17"/>
        <v>0</v>
      </c>
      <c r="J113" s="717"/>
      <c r="K113" s="153">
        <f t="shared" si="18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Mitarbeiterverteilung!BB99</f>
        <v>0</v>
      </c>
      <c r="D114" s="151">
        <f t="shared" si="14"/>
        <v>0</v>
      </c>
      <c r="E114" s="717"/>
      <c r="F114" s="152">
        <f t="shared" si="15"/>
        <v>0</v>
      </c>
      <c r="G114" s="717"/>
      <c r="H114" s="153">
        <f t="shared" si="16"/>
        <v>0</v>
      </c>
      <c r="I114" s="154">
        <f t="shared" si="17"/>
        <v>0</v>
      </c>
      <c r="J114" s="717"/>
      <c r="K114" s="153">
        <f t="shared" si="18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Mitarbeiterverteilung!BB100</f>
        <v>0</v>
      </c>
      <c r="D115" s="151">
        <f t="shared" si="14"/>
        <v>0</v>
      </c>
      <c r="E115" s="717"/>
      <c r="F115" s="152">
        <f t="shared" si="15"/>
        <v>0</v>
      </c>
      <c r="G115" s="717"/>
      <c r="H115" s="153">
        <f t="shared" si="16"/>
        <v>0</v>
      </c>
      <c r="I115" s="154">
        <f t="shared" si="17"/>
        <v>0</v>
      </c>
      <c r="J115" s="717"/>
      <c r="K115" s="153">
        <f t="shared" si="18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Mitarbeiterverteilung!BB101</f>
        <v>0</v>
      </c>
      <c r="D116" s="151">
        <f t="shared" si="14"/>
        <v>0</v>
      </c>
      <c r="E116" s="717"/>
      <c r="F116" s="152">
        <f t="shared" si="15"/>
        <v>0</v>
      </c>
      <c r="G116" s="717"/>
      <c r="H116" s="153">
        <f t="shared" si="16"/>
        <v>0</v>
      </c>
      <c r="I116" s="154">
        <f t="shared" si="17"/>
        <v>0</v>
      </c>
      <c r="J116" s="717"/>
      <c r="K116" s="153">
        <f t="shared" si="18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Mitarbeiterverteilung!BB102</f>
        <v>0</v>
      </c>
      <c r="D117" s="151">
        <f t="shared" si="14"/>
        <v>0</v>
      </c>
      <c r="E117" s="717"/>
      <c r="F117" s="152">
        <f t="shared" si="15"/>
        <v>0</v>
      </c>
      <c r="G117" s="717"/>
      <c r="H117" s="153">
        <f t="shared" si="16"/>
        <v>0</v>
      </c>
      <c r="I117" s="154">
        <f t="shared" si="17"/>
        <v>0</v>
      </c>
      <c r="J117" s="717"/>
      <c r="K117" s="153">
        <f t="shared" si="18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Mitarbeiterverteilung!BB103</f>
        <v>0</v>
      </c>
      <c r="D118" s="151">
        <f t="shared" si="14"/>
        <v>0</v>
      </c>
      <c r="E118" s="717"/>
      <c r="F118" s="152">
        <f t="shared" si="15"/>
        <v>0</v>
      </c>
      <c r="G118" s="717"/>
      <c r="H118" s="153">
        <f t="shared" si="16"/>
        <v>0</v>
      </c>
      <c r="I118" s="154">
        <f t="shared" si="17"/>
        <v>0</v>
      </c>
      <c r="J118" s="717"/>
      <c r="K118" s="153">
        <f t="shared" si="18"/>
        <v>0</v>
      </c>
      <c r="L118" s="85"/>
    </row>
    <row r="119" spans="1:12" outlineLevel="1" x14ac:dyDescent="0.2">
      <c r="B119" s="161" t="str">
        <f>Mitarbeiterverteilung!A104</f>
        <v/>
      </c>
      <c r="C119" s="150">
        <f>Mitarbeiterverteilung!BB104</f>
        <v>0</v>
      </c>
      <c r="D119" s="151">
        <f t="shared" si="14"/>
        <v>0</v>
      </c>
      <c r="E119" s="717"/>
      <c r="F119" s="152">
        <f t="shared" si="15"/>
        <v>0</v>
      </c>
      <c r="G119" s="717"/>
      <c r="H119" s="153">
        <f t="shared" si="16"/>
        <v>0</v>
      </c>
      <c r="I119" s="154">
        <f t="shared" si="17"/>
        <v>0</v>
      </c>
      <c r="J119" s="717"/>
      <c r="K119" s="153">
        <f t="shared" si="18"/>
        <v>0</v>
      </c>
      <c r="L119" s="85"/>
    </row>
    <row r="120" spans="1:12" outlineLevel="1" x14ac:dyDescent="0.2">
      <c r="B120" s="161" t="str">
        <f>Mitarbeiterverteilung!A105</f>
        <v/>
      </c>
      <c r="C120" s="150">
        <f>Mitarbeiterverteilung!BB105</f>
        <v>0</v>
      </c>
      <c r="D120" s="151">
        <f t="shared" si="14"/>
        <v>0</v>
      </c>
      <c r="E120" s="717"/>
      <c r="F120" s="152">
        <f t="shared" si="15"/>
        <v>0</v>
      </c>
      <c r="G120" s="717"/>
      <c r="H120" s="153">
        <f t="shared" si="16"/>
        <v>0</v>
      </c>
      <c r="I120" s="154">
        <f t="shared" si="17"/>
        <v>0</v>
      </c>
      <c r="J120" s="717"/>
      <c r="K120" s="153">
        <f t="shared" si="18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Mitarbeiterverteilung!BB106</f>
        <v>0</v>
      </c>
      <c r="D121" s="156">
        <f t="shared" si="14"/>
        <v>0</v>
      </c>
      <c r="E121" s="718"/>
      <c r="F121" s="157">
        <f t="shared" si="15"/>
        <v>0</v>
      </c>
      <c r="G121" s="718"/>
      <c r="H121" s="158">
        <f t="shared" si="16"/>
        <v>0</v>
      </c>
      <c r="I121" s="159">
        <f t="shared" si="17"/>
        <v>0</v>
      </c>
      <c r="J121" s="718"/>
      <c r="K121" s="158">
        <f t="shared" si="18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+Kostenverteilung!F25</f>
        <v>3000</v>
      </c>
      <c r="G125" s="89" t="s">
        <v>519</v>
      </c>
      <c r="I125" s="112">
        <f>Mitarbeiterverteilung!U107</f>
        <v>372597.9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Mitarbeiterverteilung!AF107</f>
        <v>13550.4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27.497188274884877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27.497188274884877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27.497188274884877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27.497188274884877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B152" s="85"/>
      <c r="C152" s="85"/>
      <c r="D152" s="85"/>
      <c r="E152" s="85"/>
      <c r="L152" s="85"/>
    </row>
    <row r="153" spans="2:12" x14ac:dyDescent="0.2">
      <c r="B153" s="85"/>
      <c r="C153" s="85"/>
      <c r="D153" s="85"/>
      <c r="E153" s="85"/>
      <c r="L153" s="85"/>
    </row>
  </sheetData>
  <pageMargins left="0.7" right="0.7" top="0.78740157499999996" bottom="0.78740157499999996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7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Kostenverteilung!I2</f>
        <v>PC-2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+Kostenverteilung!I4</f>
        <v>0</v>
      </c>
      <c r="D4" s="113">
        <f>F4+I4-C4</f>
        <v>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+Kostenverteilung!I5</f>
        <v>0</v>
      </c>
      <c r="D5" s="113">
        <f t="shared" ref="D5:D14" si="2">F5+I5-C5</f>
        <v>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+Kostenverteilung!I6</f>
        <v>0</v>
      </c>
      <c r="D6" s="113">
        <f t="shared" si="2"/>
        <v>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+Kostenverteilung!I7</f>
        <v>0</v>
      </c>
      <c r="D7" s="113">
        <f t="shared" si="2"/>
        <v>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+Kostenverteilung!I8</f>
        <v>0</v>
      </c>
      <c r="D8" s="113">
        <f t="shared" si="2"/>
        <v>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+Kostenverteilung!I9</f>
        <v>0</v>
      </c>
      <c r="D9" s="113">
        <f t="shared" si="2"/>
        <v>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+Kostenverteilung!I10</f>
        <v>0</v>
      </c>
      <c r="D10" s="113">
        <f t="shared" si="2"/>
        <v>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+Kostenverteilung!I11</f>
        <v>0</v>
      </c>
      <c r="D11" s="113">
        <f t="shared" si="2"/>
        <v>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+Kostenverteilung!I12</f>
        <v>0</v>
      </c>
      <c r="D12" s="113">
        <f t="shared" si="2"/>
        <v>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+Kostenverteilung!I13</f>
        <v>0</v>
      </c>
      <c r="D13" s="113">
        <f>F13+I13-C13</f>
        <v>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+Kostenverteilung!I14</f>
        <v>0</v>
      </c>
      <c r="D14" s="113">
        <f t="shared" si="2"/>
        <v>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+Kostenverteilung!I15</f>
        <v>0</v>
      </c>
      <c r="D15" s="114">
        <f>F15+I15-C15</f>
        <v>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+Kostenverteilung!I17</f>
        <v>0</v>
      </c>
      <c r="D17" s="146">
        <f t="shared" ref="D17:D18" si="5">F17+I17-C17</f>
        <v>0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+Kostenverteilung!I18</f>
        <v>0</v>
      </c>
      <c r="D18" s="156">
        <f t="shared" si="5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Mitarbeiterverteilung!BC6</f>
        <v>0</v>
      </c>
      <c r="D21" s="146">
        <f t="shared" ref="D21:D22" si="6">F21+I21-C21</f>
        <v>0</v>
      </c>
      <c r="E21" s="716"/>
      <c r="F21" s="147">
        <f>C21*H21</f>
        <v>0</v>
      </c>
      <c r="G21" s="716"/>
      <c r="H21" s="148">
        <f t="shared" ref="H21:H22" si="7">IF(E21=0,0,G21/$E21)</f>
        <v>0</v>
      </c>
      <c r="I21" s="149">
        <f t="shared" ref="I21:I22" si="8">C21*K21</f>
        <v>0</v>
      </c>
      <c r="J21" s="716"/>
      <c r="K21" s="148">
        <f t="shared" ref="K21:K22" si="9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Mitarbeiterverteilung!BC7</f>
        <v>0</v>
      </c>
      <c r="D22" s="151">
        <f t="shared" si="6"/>
        <v>0</v>
      </c>
      <c r="E22" s="717"/>
      <c r="F22" s="152">
        <f>C22*H22</f>
        <v>0</v>
      </c>
      <c r="G22" s="717"/>
      <c r="H22" s="153">
        <f t="shared" si="7"/>
        <v>0</v>
      </c>
      <c r="I22" s="154">
        <f t="shared" si="8"/>
        <v>0</v>
      </c>
      <c r="J22" s="717"/>
      <c r="K22" s="153">
        <f t="shared" si="9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Mitarbeiterverteilung!BC8</f>
        <v>0</v>
      </c>
      <c r="D23" s="151">
        <f t="shared" ref="D23:D57" si="10">F23+I23-C23</f>
        <v>0</v>
      </c>
      <c r="E23" s="717"/>
      <c r="F23" s="152">
        <f t="shared" ref="F23:F57" si="11">C23*H23</f>
        <v>0</v>
      </c>
      <c r="G23" s="717"/>
      <c r="H23" s="153">
        <f t="shared" ref="H23:H57" si="12">IF(E23=0,0,G23/$E23)</f>
        <v>0</v>
      </c>
      <c r="I23" s="154">
        <f t="shared" ref="I23:I57" si="13">C23*K23</f>
        <v>0</v>
      </c>
      <c r="J23" s="717"/>
      <c r="K23" s="153">
        <f t="shared" ref="K23:K57" si="14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Mitarbeiterverteilung!BC9</f>
        <v>0</v>
      </c>
      <c r="D24" s="151">
        <f t="shared" si="10"/>
        <v>0</v>
      </c>
      <c r="E24" s="717"/>
      <c r="F24" s="152">
        <f t="shared" si="11"/>
        <v>0</v>
      </c>
      <c r="G24" s="717"/>
      <c r="H24" s="153">
        <f t="shared" si="12"/>
        <v>0</v>
      </c>
      <c r="I24" s="154">
        <f t="shared" si="13"/>
        <v>0</v>
      </c>
      <c r="J24" s="717"/>
      <c r="K24" s="153">
        <f t="shared" si="14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Mitarbeiterverteilung!BC10</f>
        <v>0</v>
      </c>
      <c r="D25" s="151">
        <f t="shared" si="10"/>
        <v>0</v>
      </c>
      <c r="E25" s="717"/>
      <c r="F25" s="152">
        <f t="shared" si="11"/>
        <v>0</v>
      </c>
      <c r="G25" s="717"/>
      <c r="H25" s="153">
        <f t="shared" si="12"/>
        <v>0</v>
      </c>
      <c r="I25" s="154">
        <f t="shared" si="13"/>
        <v>0</v>
      </c>
      <c r="J25" s="717"/>
      <c r="K25" s="153">
        <f t="shared" si="14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Mitarbeiterverteilung!BC11</f>
        <v>0</v>
      </c>
      <c r="D26" s="151">
        <f t="shared" si="10"/>
        <v>0</v>
      </c>
      <c r="E26" s="717"/>
      <c r="F26" s="152">
        <f t="shared" si="11"/>
        <v>0</v>
      </c>
      <c r="G26" s="717"/>
      <c r="H26" s="153">
        <f t="shared" si="12"/>
        <v>0</v>
      </c>
      <c r="I26" s="154">
        <f t="shared" si="13"/>
        <v>0</v>
      </c>
      <c r="J26" s="717"/>
      <c r="K26" s="153">
        <f t="shared" si="14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Mitarbeiterverteilung!BC12</f>
        <v>0</v>
      </c>
      <c r="D27" s="151">
        <f t="shared" si="10"/>
        <v>0</v>
      </c>
      <c r="E27" s="717"/>
      <c r="F27" s="152">
        <f t="shared" si="11"/>
        <v>0</v>
      </c>
      <c r="G27" s="717"/>
      <c r="H27" s="153">
        <f t="shared" si="12"/>
        <v>0</v>
      </c>
      <c r="I27" s="154">
        <f t="shared" si="13"/>
        <v>0</v>
      </c>
      <c r="J27" s="717"/>
      <c r="K27" s="153">
        <f t="shared" si="14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Mitarbeiterverteilung!BC13</f>
        <v>0</v>
      </c>
      <c r="D28" s="151">
        <f t="shared" si="10"/>
        <v>0</v>
      </c>
      <c r="E28" s="717"/>
      <c r="F28" s="152">
        <f t="shared" si="11"/>
        <v>0</v>
      </c>
      <c r="G28" s="717"/>
      <c r="H28" s="153">
        <f t="shared" si="12"/>
        <v>0</v>
      </c>
      <c r="I28" s="154">
        <f t="shared" si="13"/>
        <v>0</v>
      </c>
      <c r="J28" s="717"/>
      <c r="K28" s="153">
        <f t="shared" si="14"/>
        <v>0</v>
      </c>
      <c r="L28" s="85"/>
    </row>
    <row r="29" spans="1:12" hidden="1" outlineLevel="1" x14ac:dyDescent="0.2">
      <c r="B29" s="161" t="str">
        <f>Mitarbeiterverteilung!A14</f>
        <v>Thomas Fleißig</v>
      </c>
      <c r="C29" s="150">
        <f>Mitarbeiterverteilung!BC14</f>
        <v>0</v>
      </c>
      <c r="D29" s="151">
        <f t="shared" si="10"/>
        <v>0</v>
      </c>
      <c r="E29" s="717"/>
      <c r="F29" s="152">
        <f t="shared" si="11"/>
        <v>0</v>
      </c>
      <c r="G29" s="717"/>
      <c r="H29" s="153">
        <f t="shared" si="12"/>
        <v>0</v>
      </c>
      <c r="I29" s="154">
        <f t="shared" si="13"/>
        <v>0</v>
      </c>
      <c r="J29" s="717"/>
      <c r="K29" s="153">
        <f t="shared" si="14"/>
        <v>0</v>
      </c>
      <c r="L29" s="85"/>
    </row>
    <row r="30" spans="1:12" hidden="1" outlineLevel="1" x14ac:dyDescent="0.2">
      <c r="B30" s="161" t="str">
        <f>Mitarbeiterverteilung!A15</f>
        <v>Facharbeiter</v>
      </c>
      <c r="C30" s="150">
        <f>Mitarbeiterverteilung!BC15</f>
        <v>0</v>
      </c>
      <c r="D30" s="151">
        <f t="shared" si="10"/>
        <v>0</v>
      </c>
      <c r="E30" s="717"/>
      <c r="F30" s="152">
        <f t="shared" si="11"/>
        <v>0</v>
      </c>
      <c r="G30" s="717"/>
      <c r="H30" s="153">
        <f t="shared" si="12"/>
        <v>0</v>
      </c>
      <c r="I30" s="154">
        <f t="shared" si="13"/>
        <v>0</v>
      </c>
      <c r="J30" s="717"/>
      <c r="K30" s="153">
        <f t="shared" si="14"/>
        <v>0</v>
      </c>
      <c r="L30" s="85"/>
    </row>
    <row r="31" spans="1:12" hidden="1" outlineLevel="1" x14ac:dyDescent="0.2">
      <c r="B31" s="161" t="str">
        <f>Mitarbeiterverteilung!A16</f>
        <v>Abgänger</v>
      </c>
      <c r="C31" s="150">
        <f>Mitarbeiterverteilung!BC16</f>
        <v>0</v>
      </c>
      <c r="D31" s="151">
        <f t="shared" si="10"/>
        <v>0</v>
      </c>
      <c r="E31" s="717"/>
      <c r="F31" s="152">
        <f t="shared" si="11"/>
        <v>0</v>
      </c>
      <c r="G31" s="717"/>
      <c r="H31" s="153">
        <f t="shared" si="12"/>
        <v>0</v>
      </c>
      <c r="I31" s="154">
        <f t="shared" si="13"/>
        <v>0</v>
      </c>
      <c r="J31" s="717"/>
      <c r="K31" s="153">
        <f t="shared" si="14"/>
        <v>0</v>
      </c>
      <c r="L31" s="85"/>
    </row>
    <row r="32" spans="1:12" hidden="1" outlineLevel="1" x14ac:dyDescent="0.2">
      <c r="B32" s="161" t="str">
        <f>Mitarbeiterverteilung!A17</f>
        <v>Facharbeiter</v>
      </c>
      <c r="C32" s="150">
        <f>Mitarbeiterverteilung!BC17</f>
        <v>0</v>
      </c>
      <c r="D32" s="151">
        <f t="shared" si="10"/>
        <v>0</v>
      </c>
      <c r="E32" s="717"/>
      <c r="F32" s="152">
        <f t="shared" si="11"/>
        <v>0</v>
      </c>
      <c r="G32" s="717"/>
      <c r="H32" s="153">
        <f t="shared" si="12"/>
        <v>0</v>
      </c>
      <c r="I32" s="154">
        <f t="shared" si="13"/>
        <v>0</v>
      </c>
      <c r="J32" s="717"/>
      <c r="K32" s="153">
        <f t="shared" si="14"/>
        <v>0</v>
      </c>
      <c r="L32" s="85"/>
    </row>
    <row r="33" spans="2:12" hidden="1" outlineLevel="1" x14ac:dyDescent="0.2">
      <c r="B33" s="161" t="str">
        <f>Mitarbeiterverteilung!A18</f>
        <v>Facharbeiter</v>
      </c>
      <c r="C33" s="150">
        <f>Mitarbeiterverteilung!BC18</f>
        <v>0</v>
      </c>
      <c r="D33" s="151">
        <f t="shared" si="10"/>
        <v>0</v>
      </c>
      <c r="E33" s="717"/>
      <c r="F33" s="152">
        <f t="shared" si="11"/>
        <v>0</v>
      </c>
      <c r="G33" s="717"/>
      <c r="H33" s="153">
        <f t="shared" si="12"/>
        <v>0</v>
      </c>
      <c r="I33" s="154">
        <f t="shared" si="13"/>
        <v>0</v>
      </c>
      <c r="J33" s="717"/>
      <c r="K33" s="153">
        <f t="shared" si="14"/>
        <v>0</v>
      </c>
      <c r="L33" s="85"/>
    </row>
    <row r="34" spans="2:12" hidden="1" outlineLevel="1" x14ac:dyDescent="0.2">
      <c r="B34" s="161" t="str">
        <f>Mitarbeiterverteilung!A19</f>
        <v>Elternzeit Geselle</v>
      </c>
      <c r="C34" s="150">
        <f>Mitarbeiterverteilung!BC19</f>
        <v>0</v>
      </c>
      <c r="D34" s="151">
        <f t="shared" si="10"/>
        <v>0</v>
      </c>
      <c r="E34" s="717"/>
      <c r="F34" s="152">
        <f t="shared" si="11"/>
        <v>0</v>
      </c>
      <c r="G34" s="717"/>
      <c r="H34" s="153">
        <f t="shared" si="12"/>
        <v>0</v>
      </c>
      <c r="I34" s="154">
        <f t="shared" si="13"/>
        <v>0</v>
      </c>
      <c r="J34" s="717"/>
      <c r="K34" s="153">
        <f t="shared" si="14"/>
        <v>0</v>
      </c>
      <c r="L34" s="85"/>
    </row>
    <row r="35" spans="2:12" hidden="1" outlineLevel="1" x14ac:dyDescent="0.2">
      <c r="B35" s="161" t="str">
        <f>Mitarbeiterverteilung!A20</f>
        <v>A. Zubi</v>
      </c>
      <c r="C35" s="150">
        <f>Mitarbeiterverteilung!BC20</f>
        <v>0</v>
      </c>
      <c r="D35" s="151">
        <f t="shared" si="10"/>
        <v>0</v>
      </c>
      <c r="E35" s="717"/>
      <c r="F35" s="152">
        <f t="shared" si="11"/>
        <v>0</v>
      </c>
      <c r="G35" s="717"/>
      <c r="H35" s="153">
        <f t="shared" si="12"/>
        <v>0</v>
      </c>
      <c r="I35" s="154">
        <f t="shared" si="13"/>
        <v>0</v>
      </c>
      <c r="J35" s="717"/>
      <c r="K35" s="153">
        <f t="shared" si="14"/>
        <v>0</v>
      </c>
      <c r="L35" s="85"/>
    </row>
    <row r="36" spans="2:12" hidden="1" outlineLevel="1" x14ac:dyDescent="0.2">
      <c r="B36" s="161" t="str">
        <f>Mitarbeiterverteilung!A21</f>
        <v>Zur Ausbildung</v>
      </c>
      <c r="C36" s="150">
        <f>Mitarbeiterverteilung!BC21</f>
        <v>0</v>
      </c>
      <c r="D36" s="151">
        <f t="shared" si="10"/>
        <v>0</v>
      </c>
      <c r="E36" s="717"/>
      <c r="F36" s="152">
        <f t="shared" si="11"/>
        <v>0</v>
      </c>
      <c r="G36" s="717"/>
      <c r="H36" s="153">
        <f t="shared" si="12"/>
        <v>0</v>
      </c>
      <c r="I36" s="154">
        <f t="shared" si="13"/>
        <v>0</v>
      </c>
      <c r="J36" s="717"/>
      <c r="K36" s="153">
        <f t="shared" si="14"/>
        <v>0</v>
      </c>
      <c r="L36" s="85"/>
    </row>
    <row r="37" spans="2:12" hidden="1" outlineLevel="1" x14ac:dyDescent="0.2">
      <c r="B37" s="161" t="str">
        <f>Mitarbeiterverteilung!A22</f>
        <v>Reine Putze</v>
      </c>
      <c r="C37" s="150">
        <f>Mitarbeiterverteilung!BC22</f>
        <v>0</v>
      </c>
      <c r="D37" s="151">
        <f t="shared" si="10"/>
        <v>0</v>
      </c>
      <c r="E37" s="717"/>
      <c r="F37" s="152">
        <f t="shared" si="11"/>
        <v>0</v>
      </c>
      <c r="G37" s="717"/>
      <c r="H37" s="153">
        <f t="shared" si="12"/>
        <v>0</v>
      </c>
      <c r="I37" s="154">
        <f t="shared" si="13"/>
        <v>0</v>
      </c>
      <c r="J37" s="717"/>
      <c r="K37" s="153">
        <f t="shared" si="14"/>
        <v>0</v>
      </c>
      <c r="L37" s="85"/>
    </row>
    <row r="38" spans="2:12" hidden="1" outlineLevel="1" x14ac:dyDescent="0.2">
      <c r="B38" s="161" t="str">
        <f>Mitarbeiterverteilung!A23</f>
        <v/>
      </c>
      <c r="C38" s="150">
        <f>Mitarbeiterverteilung!BC23</f>
        <v>0</v>
      </c>
      <c r="D38" s="151">
        <f t="shared" si="10"/>
        <v>0</v>
      </c>
      <c r="E38" s="717"/>
      <c r="F38" s="152">
        <f t="shared" si="11"/>
        <v>0</v>
      </c>
      <c r="G38" s="717"/>
      <c r="H38" s="153">
        <f t="shared" si="12"/>
        <v>0</v>
      </c>
      <c r="I38" s="154">
        <f t="shared" si="13"/>
        <v>0</v>
      </c>
      <c r="J38" s="717"/>
      <c r="K38" s="153">
        <f t="shared" si="14"/>
        <v>0</v>
      </c>
      <c r="L38" s="85"/>
    </row>
    <row r="39" spans="2:12" hidden="1" outlineLevel="1" x14ac:dyDescent="0.2">
      <c r="B39" s="161" t="str">
        <f>Mitarbeiterverteilung!A24</f>
        <v/>
      </c>
      <c r="C39" s="150">
        <f>Mitarbeiterverteilung!BC24</f>
        <v>0</v>
      </c>
      <c r="D39" s="151">
        <f t="shared" si="10"/>
        <v>0</v>
      </c>
      <c r="E39" s="717"/>
      <c r="F39" s="152">
        <f t="shared" si="11"/>
        <v>0</v>
      </c>
      <c r="G39" s="717"/>
      <c r="H39" s="153">
        <f t="shared" si="12"/>
        <v>0</v>
      </c>
      <c r="I39" s="154">
        <f t="shared" si="13"/>
        <v>0</v>
      </c>
      <c r="J39" s="717"/>
      <c r="K39" s="153">
        <f t="shared" si="14"/>
        <v>0</v>
      </c>
      <c r="L39" s="85"/>
    </row>
    <row r="40" spans="2:12" hidden="1" outlineLevel="1" x14ac:dyDescent="0.2">
      <c r="B40" s="161" t="str">
        <f>Mitarbeiterverteilung!A25</f>
        <v/>
      </c>
      <c r="C40" s="150">
        <f>Mitarbeiterverteilung!BC25</f>
        <v>0</v>
      </c>
      <c r="D40" s="151">
        <f t="shared" si="10"/>
        <v>0</v>
      </c>
      <c r="E40" s="717"/>
      <c r="F40" s="152">
        <f t="shared" si="11"/>
        <v>0</v>
      </c>
      <c r="G40" s="717"/>
      <c r="H40" s="153">
        <f t="shared" si="12"/>
        <v>0</v>
      </c>
      <c r="I40" s="154">
        <f t="shared" si="13"/>
        <v>0</v>
      </c>
      <c r="J40" s="717"/>
      <c r="K40" s="153">
        <f t="shared" si="14"/>
        <v>0</v>
      </c>
      <c r="L40" s="85"/>
    </row>
    <row r="41" spans="2:12" hidden="1" outlineLevel="1" x14ac:dyDescent="0.2">
      <c r="B41" s="161" t="str">
        <f>Mitarbeiterverteilung!A26</f>
        <v/>
      </c>
      <c r="C41" s="150">
        <f>Mitarbeiterverteilung!BC26</f>
        <v>0</v>
      </c>
      <c r="D41" s="151">
        <f t="shared" si="10"/>
        <v>0</v>
      </c>
      <c r="E41" s="717"/>
      <c r="F41" s="152">
        <f t="shared" si="11"/>
        <v>0</v>
      </c>
      <c r="G41" s="717"/>
      <c r="H41" s="153">
        <f t="shared" si="12"/>
        <v>0</v>
      </c>
      <c r="I41" s="154">
        <f t="shared" si="13"/>
        <v>0</v>
      </c>
      <c r="J41" s="717"/>
      <c r="K41" s="153">
        <f t="shared" si="14"/>
        <v>0</v>
      </c>
      <c r="L41" s="85"/>
    </row>
    <row r="42" spans="2:12" hidden="1" outlineLevel="1" x14ac:dyDescent="0.2">
      <c r="B42" s="161" t="str">
        <f>Mitarbeiterverteilung!A27</f>
        <v/>
      </c>
      <c r="C42" s="150">
        <f>Mitarbeiterverteilung!BC27</f>
        <v>0</v>
      </c>
      <c r="D42" s="151">
        <f t="shared" si="10"/>
        <v>0</v>
      </c>
      <c r="E42" s="717"/>
      <c r="F42" s="152">
        <f t="shared" si="11"/>
        <v>0</v>
      </c>
      <c r="G42" s="717"/>
      <c r="H42" s="153">
        <f t="shared" si="12"/>
        <v>0</v>
      </c>
      <c r="I42" s="154">
        <f t="shared" si="13"/>
        <v>0</v>
      </c>
      <c r="J42" s="717"/>
      <c r="K42" s="153">
        <f t="shared" si="14"/>
        <v>0</v>
      </c>
      <c r="L42" s="85"/>
    </row>
    <row r="43" spans="2:12" hidden="1" outlineLevel="1" x14ac:dyDescent="0.2">
      <c r="B43" s="161" t="str">
        <f>Mitarbeiterverteilung!A28</f>
        <v/>
      </c>
      <c r="C43" s="150">
        <f>Mitarbeiterverteilung!BC28</f>
        <v>0</v>
      </c>
      <c r="D43" s="151">
        <f t="shared" si="10"/>
        <v>0</v>
      </c>
      <c r="E43" s="717"/>
      <c r="F43" s="152">
        <f t="shared" si="11"/>
        <v>0</v>
      </c>
      <c r="G43" s="717"/>
      <c r="H43" s="153">
        <f t="shared" si="12"/>
        <v>0</v>
      </c>
      <c r="I43" s="154">
        <f t="shared" si="13"/>
        <v>0</v>
      </c>
      <c r="J43" s="717"/>
      <c r="K43" s="153">
        <f t="shared" si="14"/>
        <v>0</v>
      </c>
      <c r="L43" s="85"/>
    </row>
    <row r="44" spans="2:12" hidden="1" outlineLevel="1" x14ac:dyDescent="0.2">
      <c r="B44" s="161" t="str">
        <f>Mitarbeiterverteilung!A29</f>
        <v/>
      </c>
      <c r="C44" s="150">
        <f>Mitarbeiterverteilung!BC29</f>
        <v>0</v>
      </c>
      <c r="D44" s="151">
        <f t="shared" si="10"/>
        <v>0</v>
      </c>
      <c r="E44" s="717"/>
      <c r="F44" s="152">
        <f t="shared" si="11"/>
        <v>0</v>
      </c>
      <c r="G44" s="717"/>
      <c r="H44" s="153">
        <f t="shared" si="12"/>
        <v>0</v>
      </c>
      <c r="I44" s="154">
        <f t="shared" si="13"/>
        <v>0</v>
      </c>
      <c r="J44" s="717"/>
      <c r="K44" s="153">
        <f t="shared" si="14"/>
        <v>0</v>
      </c>
      <c r="L44" s="85"/>
    </row>
    <row r="45" spans="2:12" hidden="1" outlineLevel="1" x14ac:dyDescent="0.2">
      <c r="B45" s="161" t="str">
        <f>Mitarbeiterverteilung!A30</f>
        <v/>
      </c>
      <c r="C45" s="150">
        <f>Mitarbeiterverteilung!BC30</f>
        <v>0</v>
      </c>
      <c r="D45" s="151">
        <f t="shared" si="10"/>
        <v>0</v>
      </c>
      <c r="E45" s="717"/>
      <c r="F45" s="152">
        <f t="shared" si="11"/>
        <v>0</v>
      </c>
      <c r="G45" s="717"/>
      <c r="H45" s="153">
        <f t="shared" si="12"/>
        <v>0</v>
      </c>
      <c r="I45" s="154">
        <f t="shared" si="13"/>
        <v>0</v>
      </c>
      <c r="J45" s="717"/>
      <c r="K45" s="153">
        <f t="shared" si="14"/>
        <v>0</v>
      </c>
      <c r="L45" s="85"/>
    </row>
    <row r="46" spans="2:12" hidden="1" outlineLevel="1" x14ac:dyDescent="0.2">
      <c r="B46" s="161" t="str">
        <f>Mitarbeiterverteilung!A31</f>
        <v/>
      </c>
      <c r="C46" s="150">
        <f>Mitarbeiterverteilung!BC31</f>
        <v>0</v>
      </c>
      <c r="D46" s="151">
        <f t="shared" si="10"/>
        <v>0</v>
      </c>
      <c r="E46" s="717"/>
      <c r="F46" s="152">
        <f t="shared" si="11"/>
        <v>0</v>
      </c>
      <c r="G46" s="717"/>
      <c r="H46" s="153">
        <f t="shared" si="12"/>
        <v>0</v>
      </c>
      <c r="I46" s="154">
        <f t="shared" si="13"/>
        <v>0</v>
      </c>
      <c r="J46" s="717"/>
      <c r="K46" s="153">
        <f t="shared" si="14"/>
        <v>0</v>
      </c>
      <c r="L46" s="85"/>
    </row>
    <row r="47" spans="2:12" hidden="1" outlineLevel="1" x14ac:dyDescent="0.2">
      <c r="B47" s="161" t="str">
        <f>Mitarbeiterverteilung!A32</f>
        <v/>
      </c>
      <c r="C47" s="150">
        <f>Mitarbeiterverteilung!BC32</f>
        <v>0</v>
      </c>
      <c r="D47" s="151">
        <f t="shared" si="10"/>
        <v>0</v>
      </c>
      <c r="E47" s="717"/>
      <c r="F47" s="152">
        <f t="shared" si="11"/>
        <v>0</v>
      </c>
      <c r="G47" s="717"/>
      <c r="H47" s="153">
        <f t="shared" si="12"/>
        <v>0</v>
      </c>
      <c r="I47" s="154">
        <f t="shared" si="13"/>
        <v>0</v>
      </c>
      <c r="J47" s="717"/>
      <c r="K47" s="153">
        <f t="shared" si="14"/>
        <v>0</v>
      </c>
      <c r="L47" s="85"/>
    </row>
    <row r="48" spans="2:12" hidden="1" outlineLevel="1" x14ac:dyDescent="0.2">
      <c r="B48" s="161" t="str">
        <f>Mitarbeiterverteilung!A33</f>
        <v/>
      </c>
      <c r="C48" s="150">
        <f>Mitarbeiterverteilung!BC33</f>
        <v>0</v>
      </c>
      <c r="D48" s="151">
        <f t="shared" si="10"/>
        <v>0</v>
      </c>
      <c r="E48" s="717"/>
      <c r="F48" s="152">
        <f t="shared" si="11"/>
        <v>0</v>
      </c>
      <c r="G48" s="717"/>
      <c r="H48" s="153">
        <f t="shared" si="12"/>
        <v>0</v>
      </c>
      <c r="I48" s="154">
        <f t="shared" si="13"/>
        <v>0</v>
      </c>
      <c r="J48" s="717"/>
      <c r="K48" s="153">
        <f t="shared" si="14"/>
        <v>0</v>
      </c>
      <c r="L48" s="85"/>
    </row>
    <row r="49" spans="2:12" hidden="1" outlineLevel="1" x14ac:dyDescent="0.2">
      <c r="B49" s="161" t="str">
        <f>Mitarbeiterverteilung!A34</f>
        <v/>
      </c>
      <c r="C49" s="150">
        <f>Mitarbeiterverteilung!BC34</f>
        <v>0</v>
      </c>
      <c r="D49" s="151">
        <f t="shared" si="10"/>
        <v>0</v>
      </c>
      <c r="E49" s="717"/>
      <c r="F49" s="152">
        <f t="shared" si="11"/>
        <v>0</v>
      </c>
      <c r="G49" s="717"/>
      <c r="H49" s="153">
        <f t="shared" si="12"/>
        <v>0</v>
      </c>
      <c r="I49" s="154">
        <f t="shared" si="13"/>
        <v>0</v>
      </c>
      <c r="J49" s="717"/>
      <c r="K49" s="153">
        <f t="shared" si="14"/>
        <v>0</v>
      </c>
      <c r="L49" s="85"/>
    </row>
    <row r="50" spans="2:12" hidden="1" outlineLevel="1" x14ac:dyDescent="0.2">
      <c r="B50" s="161" t="str">
        <f>Mitarbeiterverteilung!A35</f>
        <v/>
      </c>
      <c r="C50" s="150">
        <f>Mitarbeiterverteilung!BC35</f>
        <v>0</v>
      </c>
      <c r="D50" s="151">
        <f t="shared" si="10"/>
        <v>0</v>
      </c>
      <c r="E50" s="717"/>
      <c r="F50" s="152">
        <f t="shared" si="11"/>
        <v>0</v>
      </c>
      <c r="G50" s="717"/>
      <c r="H50" s="153">
        <f t="shared" si="12"/>
        <v>0</v>
      </c>
      <c r="I50" s="154">
        <f t="shared" si="13"/>
        <v>0</v>
      </c>
      <c r="J50" s="717"/>
      <c r="K50" s="153">
        <f t="shared" si="14"/>
        <v>0</v>
      </c>
      <c r="L50" s="85"/>
    </row>
    <row r="51" spans="2:12" hidden="1" outlineLevel="1" x14ac:dyDescent="0.2">
      <c r="B51" s="161" t="str">
        <f>Mitarbeiterverteilung!A36</f>
        <v/>
      </c>
      <c r="C51" s="150">
        <f>Mitarbeiterverteilung!BC36</f>
        <v>0</v>
      </c>
      <c r="D51" s="151">
        <f t="shared" si="10"/>
        <v>0</v>
      </c>
      <c r="E51" s="717"/>
      <c r="F51" s="152">
        <f t="shared" si="11"/>
        <v>0</v>
      </c>
      <c r="G51" s="717"/>
      <c r="H51" s="153">
        <f t="shared" si="12"/>
        <v>0</v>
      </c>
      <c r="I51" s="154">
        <f t="shared" si="13"/>
        <v>0</v>
      </c>
      <c r="J51" s="717"/>
      <c r="K51" s="153">
        <f t="shared" si="14"/>
        <v>0</v>
      </c>
      <c r="L51" s="85"/>
    </row>
    <row r="52" spans="2:12" hidden="1" outlineLevel="1" x14ac:dyDescent="0.2">
      <c r="B52" s="161" t="str">
        <f>Mitarbeiterverteilung!A37</f>
        <v/>
      </c>
      <c r="C52" s="150">
        <f>Mitarbeiterverteilung!BC37</f>
        <v>0</v>
      </c>
      <c r="D52" s="151">
        <f t="shared" si="10"/>
        <v>0</v>
      </c>
      <c r="E52" s="717"/>
      <c r="F52" s="152">
        <f t="shared" si="11"/>
        <v>0</v>
      </c>
      <c r="G52" s="717"/>
      <c r="H52" s="153">
        <f t="shared" si="12"/>
        <v>0</v>
      </c>
      <c r="I52" s="154">
        <f t="shared" si="13"/>
        <v>0</v>
      </c>
      <c r="J52" s="717"/>
      <c r="K52" s="153">
        <f t="shared" si="14"/>
        <v>0</v>
      </c>
      <c r="L52" s="85"/>
    </row>
    <row r="53" spans="2:12" hidden="1" outlineLevel="1" x14ac:dyDescent="0.2">
      <c r="B53" s="161" t="str">
        <f>Mitarbeiterverteilung!A38</f>
        <v/>
      </c>
      <c r="C53" s="150">
        <f>Mitarbeiterverteilung!BC38</f>
        <v>0</v>
      </c>
      <c r="D53" s="151">
        <f t="shared" si="10"/>
        <v>0</v>
      </c>
      <c r="E53" s="717"/>
      <c r="F53" s="152">
        <f t="shared" si="11"/>
        <v>0</v>
      </c>
      <c r="G53" s="717"/>
      <c r="H53" s="153">
        <f t="shared" si="12"/>
        <v>0</v>
      </c>
      <c r="I53" s="154">
        <f t="shared" si="13"/>
        <v>0</v>
      </c>
      <c r="J53" s="717"/>
      <c r="K53" s="153">
        <f t="shared" si="14"/>
        <v>0</v>
      </c>
      <c r="L53" s="85"/>
    </row>
    <row r="54" spans="2:12" hidden="1" outlineLevel="1" x14ac:dyDescent="0.2">
      <c r="B54" s="161" t="str">
        <f>Mitarbeiterverteilung!A39</f>
        <v/>
      </c>
      <c r="C54" s="150">
        <f>Mitarbeiterverteilung!BC39</f>
        <v>0</v>
      </c>
      <c r="D54" s="151">
        <f t="shared" si="10"/>
        <v>0</v>
      </c>
      <c r="E54" s="717"/>
      <c r="F54" s="152">
        <f t="shared" si="11"/>
        <v>0</v>
      </c>
      <c r="G54" s="717"/>
      <c r="H54" s="153">
        <f t="shared" si="12"/>
        <v>0</v>
      </c>
      <c r="I54" s="154">
        <f t="shared" si="13"/>
        <v>0</v>
      </c>
      <c r="J54" s="717"/>
      <c r="K54" s="153">
        <f t="shared" si="14"/>
        <v>0</v>
      </c>
      <c r="L54" s="85"/>
    </row>
    <row r="55" spans="2:12" hidden="1" outlineLevel="1" x14ac:dyDescent="0.2">
      <c r="B55" s="161" t="str">
        <f>Mitarbeiterverteilung!A40</f>
        <v/>
      </c>
      <c r="C55" s="150">
        <f>Mitarbeiterverteilung!BC40</f>
        <v>0</v>
      </c>
      <c r="D55" s="151">
        <f t="shared" si="10"/>
        <v>0</v>
      </c>
      <c r="E55" s="717"/>
      <c r="F55" s="152">
        <f t="shared" si="11"/>
        <v>0</v>
      </c>
      <c r="G55" s="717"/>
      <c r="H55" s="153">
        <f t="shared" si="12"/>
        <v>0</v>
      </c>
      <c r="I55" s="154">
        <f t="shared" si="13"/>
        <v>0</v>
      </c>
      <c r="J55" s="717"/>
      <c r="K55" s="153">
        <f t="shared" si="14"/>
        <v>0</v>
      </c>
      <c r="L55" s="85"/>
    </row>
    <row r="56" spans="2:12" hidden="1" outlineLevel="1" x14ac:dyDescent="0.2">
      <c r="B56" s="161" t="str">
        <f>Mitarbeiterverteilung!A41</f>
        <v/>
      </c>
      <c r="C56" s="150">
        <f>Mitarbeiterverteilung!BC41</f>
        <v>0</v>
      </c>
      <c r="D56" s="151">
        <f t="shared" si="10"/>
        <v>0</v>
      </c>
      <c r="E56" s="717"/>
      <c r="F56" s="152">
        <f t="shared" si="11"/>
        <v>0</v>
      </c>
      <c r="G56" s="717"/>
      <c r="H56" s="153">
        <f t="shared" si="12"/>
        <v>0</v>
      </c>
      <c r="I56" s="154">
        <f t="shared" si="13"/>
        <v>0</v>
      </c>
      <c r="J56" s="717"/>
      <c r="K56" s="153">
        <f t="shared" si="14"/>
        <v>0</v>
      </c>
      <c r="L56" s="85"/>
    </row>
    <row r="57" spans="2:12" hidden="1" outlineLevel="1" x14ac:dyDescent="0.2">
      <c r="B57" s="161" t="str">
        <f>Mitarbeiterverteilung!A42</f>
        <v/>
      </c>
      <c r="C57" s="150">
        <f>Mitarbeiterverteilung!BC42</f>
        <v>0</v>
      </c>
      <c r="D57" s="151">
        <f t="shared" si="10"/>
        <v>0</v>
      </c>
      <c r="E57" s="717"/>
      <c r="F57" s="152">
        <f t="shared" si="11"/>
        <v>0</v>
      </c>
      <c r="G57" s="717"/>
      <c r="H57" s="153">
        <f t="shared" si="12"/>
        <v>0</v>
      </c>
      <c r="I57" s="154">
        <f t="shared" si="13"/>
        <v>0</v>
      </c>
      <c r="J57" s="717"/>
      <c r="K57" s="153">
        <f t="shared" si="14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Mitarbeiterverteilung!BC43</f>
        <v>0</v>
      </c>
      <c r="D58" s="151">
        <f t="shared" ref="D58:D121" si="15">F58+I58-C58</f>
        <v>0</v>
      </c>
      <c r="E58" s="717"/>
      <c r="F58" s="152">
        <f t="shared" ref="F58:F121" si="16">C58*H58</f>
        <v>0</v>
      </c>
      <c r="G58" s="717"/>
      <c r="H58" s="153">
        <f t="shared" ref="H58:H121" si="17">IF(E58=0,0,G58/$E58)</f>
        <v>0</v>
      </c>
      <c r="I58" s="154">
        <f t="shared" ref="I58:I121" si="18">C58*K58</f>
        <v>0</v>
      </c>
      <c r="J58" s="717"/>
      <c r="K58" s="153">
        <f t="shared" ref="K58:K121" si="19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Mitarbeiterverteilung!BC44</f>
        <v>0</v>
      </c>
      <c r="D59" s="151">
        <f t="shared" si="15"/>
        <v>0</v>
      </c>
      <c r="E59" s="717"/>
      <c r="F59" s="152">
        <f t="shared" si="16"/>
        <v>0</v>
      </c>
      <c r="G59" s="717"/>
      <c r="H59" s="153">
        <f t="shared" si="17"/>
        <v>0</v>
      </c>
      <c r="I59" s="154">
        <f t="shared" si="18"/>
        <v>0</v>
      </c>
      <c r="J59" s="717"/>
      <c r="K59" s="153">
        <f t="shared" si="19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Mitarbeiterverteilung!BC45</f>
        <v>0</v>
      </c>
      <c r="D60" s="151">
        <f t="shared" si="15"/>
        <v>0</v>
      </c>
      <c r="E60" s="717"/>
      <c r="F60" s="152">
        <f t="shared" si="16"/>
        <v>0</v>
      </c>
      <c r="G60" s="717"/>
      <c r="H60" s="153">
        <f t="shared" si="17"/>
        <v>0</v>
      </c>
      <c r="I60" s="154">
        <f t="shared" si="18"/>
        <v>0</v>
      </c>
      <c r="J60" s="717"/>
      <c r="K60" s="153">
        <f t="shared" si="19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Mitarbeiterverteilung!BC46</f>
        <v>0</v>
      </c>
      <c r="D61" s="151">
        <f t="shared" si="15"/>
        <v>0</v>
      </c>
      <c r="E61" s="717"/>
      <c r="F61" s="152">
        <f t="shared" si="16"/>
        <v>0</v>
      </c>
      <c r="G61" s="717"/>
      <c r="H61" s="153">
        <f t="shared" si="17"/>
        <v>0</v>
      </c>
      <c r="I61" s="154">
        <f t="shared" si="18"/>
        <v>0</v>
      </c>
      <c r="J61" s="717"/>
      <c r="K61" s="153">
        <f t="shared" si="19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Mitarbeiterverteilung!BC47</f>
        <v>0</v>
      </c>
      <c r="D62" s="151">
        <f t="shared" si="15"/>
        <v>0</v>
      </c>
      <c r="E62" s="717"/>
      <c r="F62" s="152">
        <f t="shared" si="16"/>
        <v>0</v>
      </c>
      <c r="G62" s="717"/>
      <c r="H62" s="153">
        <f t="shared" si="17"/>
        <v>0</v>
      </c>
      <c r="I62" s="154">
        <f t="shared" si="18"/>
        <v>0</v>
      </c>
      <c r="J62" s="717"/>
      <c r="K62" s="153">
        <f t="shared" si="19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Mitarbeiterverteilung!BC48</f>
        <v>0</v>
      </c>
      <c r="D63" s="151">
        <f t="shared" si="15"/>
        <v>0</v>
      </c>
      <c r="E63" s="717"/>
      <c r="F63" s="152">
        <f t="shared" si="16"/>
        <v>0</v>
      </c>
      <c r="G63" s="717"/>
      <c r="H63" s="153">
        <f t="shared" si="17"/>
        <v>0</v>
      </c>
      <c r="I63" s="154">
        <f t="shared" si="18"/>
        <v>0</v>
      </c>
      <c r="J63" s="717"/>
      <c r="K63" s="153">
        <f t="shared" si="19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Mitarbeiterverteilung!BC49</f>
        <v>0</v>
      </c>
      <c r="D64" s="151">
        <f t="shared" si="15"/>
        <v>0</v>
      </c>
      <c r="E64" s="717"/>
      <c r="F64" s="152">
        <f t="shared" si="16"/>
        <v>0</v>
      </c>
      <c r="G64" s="717"/>
      <c r="H64" s="153">
        <f t="shared" si="17"/>
        <v>0</v>
      </c>
      <c r="I64" s="154">
        <f t="shared" si="18"/>
        <v>0</v>
      </c>
      <c r="J64" s="717"/>
      <c r="K64" s="153">
        <f t="shared" si="19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Mitarbeiterverteilung!BC50</f>
        <v>0</v>
      </c>
      <c r="D65" s="151">
        <f t="shared" si="15"/>
        <v>0</v>
      </c>
      <c r="E65" s="717"/>
      <c r="F65" s="152">
        <f t="shared" si="16"/>
        <v>0</v>
      </c>
      <c r="G65" s="717"/>
      <c r="H65" s="153">
        <f t="shared" si="17"/>
        <v>0</v>
      </c>
      <c r="I65" s="154">
        <f t="shared" si="18"/>
        <v>0</v>
      </c>
      <c r="J65" s="717"/>
      <c r="K65" s="153">
        <f t="shared" si="19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Mitarbeiterverteilung!BC51</f>
        <v>0</v>
      </c>
      <c r="D66" s="151">
        <f t="shared" si="15"/>
        <v>0</v>
      </c>
      <c r="E66" s="717"/>
      <c r="F66" s="152">
        <f t="shared" si="16"/>
        <v>0</v>
      </c>
      <c r="G66" s="717"/>
      <c r="H66" s="153">
        <f t="shared" si="17"/>
        <v>0</v>
      </c>
      <c r="I66" s="154">
        <f t="shared" si="18"/>
        <v>0</v>
      </c>
      <c r="J66" s="717"/>
      <c r="K66" s="153">
        <f t="shared" si="19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Mitarbeiterverteilung!BC52</f>
        <v>0</v>
      </c>
      <c r="D67" s="151">
        <f t="shared" si="15"/>
        <v>0</v>
      </c>
      <c r="E67" s="717"/>
      <c r="F67" s="152">
        <f t="shared" si="16"/>
        <v>0</v>
      </c>
      <c r="G67" s="717"/>
      <c r="H67" s="153">
        <f t="shared" si="17"/>
        <v>0</v>
      </c>
      <c r="I67" s="154">
        <f t="shared" si="18"/>
        <v>0</v>
      </c>
      <c r="J67" s="717"/>
      <c r="K67" s="153">
        <f t="shared" si="19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Mitarbeiterverteilung!BC53</f>
        <v>0</v>
      </c>
      <c r="D68" s="151">
        <f t="shared" si="15"/>
        <v>0</v>
      </c>
      <c r="E68" s="717"/>
      <c r="F68" s="152">
        <f t="shared" si="16"/>
        <v>0</v>
      </c>
      <c r="G68" s="717"/>
      <c r="H68" s="153">
        <f t="shared" si="17"/>
        <v>0</v>
      </c>
      <c r="I68" s="154">
        <f t="shared" si="18"/>
        <v>0</v>
      </c>
      <c r="J68" s="717"/>
      <c r="K68" s="153">
        <f t="shared" si="19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Mitarbeiterverteilung!BC54</f>
        <v>0</v>
      </c>
      <c r="D69" s="151">
        <f t="shared" si="15"/>
        <v>0</v>
      </c>
      <c r="E69" s="717"/>
      <c r="F69" s="152">
        <f t="shared" si="16"/>
        <v>0</v>
      </c>
      <c r="G69" s="717"/>
      <c r="H69" s="153">
        <f t="shared" si="17"/>
        <v>0</v>
      </c>
      <c r="I69" s="154">
        <f t="shared" si="18"/>
        <v>0</v>
      </c>
      <c r="J69" s="717"/>
      <c r="K69" s="153">
        <f t="shared" si="19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Mitarbeiterverteilung!BC55</f>
        <v>0</v>
      </c>
      <c r="D70" s="151">
        <f t="shared" si="15"/>
        <v>0</v>
      </c>
      <c r="E70" s="717"/>
      <c r="F70" s="152">
        <f t="shared" si="16"/>
        <v>0</v>
      </c>
      <c r="G70" s="717"/>
      <c r="H70" s="153">
        <f t="shared" si="17"/>
        <v>0</v>
      </c>
      <c r="I70" s="154">
        <f t="shared" si="18"/>
        <v>0</v>
      </c>
      <c r="J70" s="717"/>
      <c r="K70" s="153">
        <f t="shared" si="19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Mitarbeiterverteilung!BC56</f>
        <v>0</v>
      </c>
      <c r="D71" s="151">
        <f t="shared" si="15"/>
        <v>0</v>
      </c>
      <c r="E71" s="717"/>
      <c r="F71" s="152">
        <f t="shared" si="16"/>
        <v>0</v>
      </c>
      <c r="G71" s="717"/>
      <c r="H71" s="153">
        <f t="shared" si="17"/>
        <v>0</v>
      </c>
      <c r="I71" s="154">
        <f t="shared" si="18"/>
        <v>0</v>
      </c>
      <c r="J71" s="717"/>
      <c r="K71" s="153">
        <f t="shared" si="19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Mitarbeiterverteilung!BC57</f>
        <v>0</v>
      </c>
      <c r="D72" s="151">
        <f t="shared" si="15"/>
        <v>0</v>
      </c>
      <c r="E72" s="717"/>
      <c r="F72" s="152">
        <f t="shared" si="16"/>
        <v>0</v>
      </c>
      <c r="G72" s="717"/>
      <c r="H72" s="153">
        <f t="shared" si="17"/>
        <v>0</v>
      </c>
      <c r="I72" s="154">
        <f t="shared" si="18"/>
        <v>0</v>
      </c>
      <c r="J72" s="717"/>
      <c r="K72" s="153">
        <f t="shared" si="19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Mitarbeiterverteilung!BC58</f>
        <v>0</v>
      </c>
      <c r="D73" s="151">
        <f t="shared" si="15"/>
        <v>0</v>
      </c>
      <c r="E73" s="717"/>
      <c r="F73" s="152">
        <f t="shared" si="16"/>
        <v>0</v>
      </c>
      <c r="G73" s="717"/>
      <c r="H73" s="153">
        <f t="shared" si="17"/>
        <v>0</v>
      </c>
      <c r="I73" s="154">
        <f t="shared" si="18"/>
        <v>0</v>
      </c>
      <c r="J73" s="717"/>
      <c r="K73" s="153">
        <f t="shared" si="19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Mitarbeiterverteilung!BC59</f>
        <v>0</v>
      </c>
      <c r="D74" s="151">
        <f t="shared" si="15"/>
        <v>0</v>
      </c>
      <c r="E74" s="717"/>
      <c r="F74" s="152">
        <f t="shared" si="16"/>
        <v>0</v>
      </c>
      <c r="G74" s="717"/>
      <c r="H74" s="153">
        <f t="shared" si="17"/>
        <v>0</v>
      </c>
      <c r="I74" s="154">
        <f t="shared" si="18"/>
        <v>0</v>
      </c>
      <c r="J74" s="717"/>
      <c r="K74" s="153">
        <f t="shared" si="19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Mitarbeiterverteilung!BC60</f>
        <v>0</v>
      </c>
      <c r="D75" s="151">
        <f t="shared" si="15"/>
        <v>0</v>
      </c>
      <c r="E75" s="717"/>
      <c r="F75" s="152">
        <f t="shared" si="16"/>
        <v>0</v>
      </c>
      <c r="G75" s="717"/>
      <c r="H75" s="153">
        <f t="shared" si="17"/>
        <v>0</v>
      </c>
      <c r="I75" s="154">
        <f t="shared" si="18"/>
        <v>0</v>
      </c>
      <c r="J75" s="717"/>
      <c r="K75" s="153">
        <f t="shared" si="19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Mitarbeiterverteilung!BC61</f>
        <v>0</v>
      </c>
      <c r="D76" s="151">
        <f t="shared" si="15"/>
        <v>0</v>
      </c>
      <c r="E76" s="717"/>
      <c r="F76" s="152">
        <f t="shared" si="16"/>
        <v>0</v>
      </c>
      <c r="G76" s="717"/>
      <c r="H76" s="153">
        <f t="shared" si="17"/>
        <v>0</v>
      </c>
      <c r="I76" s="154">
        <f t="shared" si="18"/>
        <v>0</v>
      </c>
      <c r="J76" s="717"/>
      <c r="K76" s="153">
        <f t="shared" si="19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Mitarbeiterverteilung!BC62</f>
        <v>0</v>
      </c>
      <c r="D77" s="151">
        <f t="shared" si="15"/>
        <v>0</v>
      </c>
      <c r="E77" s="717"/>
      <c r="F77" s="152">
        <f t="shared" si="16"/>
        <v>0</v>
      </c>
      <c r="G77" s="717"/>
      <c r="H77" s="153">
        <f t="shared" si="17"/>
        <v>0</v>
      </c>
      <c r="I77" s="154">
        <f t="shared" si="18"/>
        <v>0</v>
      </c>
      <c r="J77" s="717"/>
      <c r="K77" s="153">
        <f t="shared" si="19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Mitarbeiterverteilung!BC63</f>
        <v>0</v>
      </c>
      <c r="D78" s="151">
        <f t="shared" si="15"/>
        <v>0</v>
      </c>
      <c r="E78" s="717"/>
      <c r="F78" s="152">
        <f t="shared" si="16"/>
        <v>0</v>
      </c>
      <c r="G78" s="717"/>
      <c r="H78" s="153">
        <f t="shared" si="17"/>
        <v>0</v>
      </c>
      <c r="I78" s="154">
        <f t="shared" si="18"/>
        <v>0</v>
      </c>
      <c r="J78" s="717"/>
      <c r="K78" s="153">
        <f t="shared" si="19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Mitarbeiterverteilung!BC64</f>
        <v>0</v>
      </c>
      <c r="D79" s="151">
        <f t="shared" si="15"/>
        <v>0</v>
      </c>
      <c r="E79" s="717"/>
      <c r="F79" s="152">
        <f t="shared" si="16"/>
        <v>0</v>
      </c>
      <c r="G79" s="717"/>
      <c r="H79" s="153">
        <f t="shared" si="17"/>
        <v>0</v>
      </c>
      <c r="I79" s="154">
        <f t="shared" si="18"/>
        <v>0</v>
      </c>
      <c r="J79" s="717"/>
      <c r="K79" s="153">
        <f t="shared" si="19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Mitarbeiterverteilung!BC65</f>
        <v>0</v>
      </c>
      <c r="D80" s="151">
        <f t="shared" si="15"/>
        <v>0</v>
      </c>
      <c r="E80" s="717"/>
      <c r="F80" s="152">
        <f t="shared" si="16"/>
        <v>0</v>
      </c>
      <c r="G80" s="717"/>
      <c r="H80" s="153">
        <f t="shared" si="17"/>
        <v>0</v>
      </c>
      <c r="I80" s="154">
        <f t="shared" si="18"/>
        <v>0</v>
      </c>
      <c r="J80" s="717"/>
      <c r="K80" s="153">
        <f t="shared" si="19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Mitarbeiterverteilung!BC66</f>
        <v>0</v>
      </c>
      <c r="D81" s="151">
        <f t="shared" si="15"/>
        <v>0</v>
      </c>
      <c r="E81" s="717"/>
      <c r="F81" s="152">
        <f t="shared" si="16"/>
        <v>0</v>
      </c>
      <c r="G81" s="717"/>
      <c r="H81" s="153">
        <f t="shared" si="17"/>
        <v>0</v>
      </c>
      <c r="I81" s="154">
        <f t="shared" si="18"/>
        <v>0</v>
      </c>
      <c r="J81" s="717"/>
      <c r="K81" s="153">
        <f t="shared" si="19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Mitarbeiterverteilung!BC67</f>
        <v>0</v>
      </c>
      <c r="D82" s="151">
        <f t="shared" si="15"/>
        <v>0</v>
      </c>
      <c r="E82" s="717"/>
      <c r="F82" s="152">
        <f t="shared" si="16"/>
        <v>0</v>
      </c>
      <c r="G82" s="717"/>
      <c r="H82" s="153">
        <f t="shared" si="17"/>
        <v>0</v>
      </c>
      <c r="I82" s="154">
        <f t="shared" si="18"/>
        <v>0</v>
      </c>
      <c r="J82" s="717"/>
      <c r="K82" s="153">
        <f t="shared" si="19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Mitarbeiterverteilung!BC68</f>
        <v>0</v>
      </c>
      <c r="D83" s="151">
        <f t="shared" si="15"/>
        <v>0</v>
      </c>
      <c r="E83" s="717"/>
      <c r="F83" s="152">
        <f t="shared" si="16"/>
        <v>0</v>
      </c>
      <c r="G83" s="717"/>
      <c r="H83" s="153">
        <f t="shared" si="17"/>
        <v>0</v>
      </c>
      <c r="I83" s="154">
        <f t="shared" si="18"/>
        <v>0</v>
      </c>
      <c r="J83" s="717"/>
      <c r="K83" s="153">
        <f t="shared" si="19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Mitarbeiterverteilung!BC69</f>
        <v>0</v>
      </c>
      <c r="D84" s="151">
        <f t="shared" si="15"/>
        <v>0</v>
      </c>
      <c r="E84" s="717"/>
      <c r="F84" s="152">
        <f t="shared" si="16"/>
        <v>0</v>
      </c>
      <c r="G84" s="717"/>
      <c r="H84" s="153">
        <f t="shared" si="17"/>
        <v>0</v>
      </c>
      <c r="I84" s="154">
        <f t="shared" si="18"/>
        <v>0</v>
      </c>
      <c r="J84" s="717"/>
      <c r="K84" s="153">
        <f t="shared" si="19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Mitarbeiterverteilung!BC70</f>
        <v>0</v>
      </c>
      <c r="D85" s="151">
        <f t="shared" si="15"/>
        <v>0</v>
      </c>
      <c r="E85" s="717"/>
      <c r="F85" s="152">
        <f t="shared" si="16"/>
        <v>0</v>
      </c>
      <c r="G85" s="717"/>
      <c r="H85" s="153">
        <f t="shared" si="17"/>
        <v>0</v>
      </c>
      <c r="I85" s="154">
        <f t="shared" si="18"/>
        <v>0</v>
      </c>
      <c r="J85" s="717"/>
      <c r="K85" s="153">
        <f t="shared" si="19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Mitarbeiterverteilung!BC71</f>
        <v>0</v>
      </c>
      <c r="D86" s="151">
        <f t="shared" si="15"/>
        <v>0</v>
      </c>
      <c r="E86" s="717"/>
      <c r="F86" s="152">
        <f t="shared" si="16"/>
        <v>0</v>
      </c>
      <c r="G86" s="717"/>
      <c r="H86" s="153">
        <f t="shared" si="17"/>
        <v>0</v>
      </c>
      <c r="I86" s="154">
        <f t="shared" si="18"/>
        <v>0</v>
      </c>
      <c r="J86" s="717"/>
      <c r="K86" s="153">
        <f t="shared" si="19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Mitarbeiterverteilung!BC72</f>
        <v>0</v>
      </c>
      <c r="D87" s="151">
        <f t="shared" si="15"/>
        <v>0</v>
      </c>
      <c r="E87" s="717"/>
      <c r="F87" s="152">
        <f t="shared" si="16"/>
        <v>0</v>
      </c>
      <c r="G87" s="717"/>
      <c r="H87" s="153">
        <f t="shared" si="17"/>
        <v>0</v>
      </c>
      <c r="I87" s="154">
        <f t="shared" si="18"/>
        <v>0</v>
      </c>
      <c r="J87" s="717"/>
      <c r="K87" s="153">
        <f t="shared" si="19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Mitarbeiterverteilung!BC73</f>
        <v>0</v>
      </c>
      <c r="D88" s="151">
        <f t="shared" si="15"/>
        <v>0</v>
      </c>
      <c r="E88" s="717"/>
      <c r="F88" s="152">
        <f t="shared" si="16"/>
        <v>0</v>
      </c>
      <c r="G88" s="717"/>
      <c r="H88" s="153">
        <f t="shared" si="17"/>
        <v>0</v>
      </c>
      <c r="I88" s="154">
        <f t="shared" si="18"/>
        <v>0</v>
      </c>
      <c r="J88" s="717"/>
      <c r="K88" s="153">
        <f t="shared" si="19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Mitarbeiterverteilung!BC74</f>
        <v>0</v>
      </c>
      <c r="D89" s="151">
        <f t="shared" si="15"/>
        <v>0</v>
      </c>
      <c r="E89" s="717"/>
      <c r="F89" s="152">
        <f t="shared" si="16"/>
        <v>0</v>
      </c>
      <c r="G89" s="717"/>
      <c r="H89" s="153">
        <f t="shared" si="17"/>
        <v>0</v>
      </c>
      <c r="I89" s="154">
        <f t="shared" si="18"/>
        <v>0</v>
      </c>
      <c r="J89" s="717"/>
      <c r="K89" s="153">
        <f t="shared" si="19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Mitarbeiterverteilung!BC75</f>
        <v>0</v>
      </c>
      <c r="D90" s="151">
        <f t="shared" si="15"/>
        <v>0</v>
      </c>
      <c r="E90" s="717"/>
      <c r="F90" s="152">
        <f t="shared" si="16"/>
        <v>0</v>
      </c>
      <c r="G90" s="717"/>
      <c r="H90" s="153">
        <f t="shared" si="17"/>
        <v>0</v>
      </c>
      <c r="I90" s="154">
        <f t="shared" si="18"/>
        <v>0</v>
      </c>
      <c r="J90" s="717"/>
      <c r="K90" s="153">
        <f t="shared" si="19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Mitarbeiterverteilung!BC76</f>
        <v>0</v>
      </c>
      <c r="D91" s="151">
        <f t="shared" si="15"/>
        <v>0</v>
      </c>
      <c r="E91" s="717"/>
      <c r="F91" s="152">
        <f t="shared" si="16"/>
        <v>0</v>
      </c>
      <c r="G91" s="717"/>
      <c r="H91" s="153">
        <f t="shared" si="17"/>
        <v>0</v>
      </c>
      <c r="I91" s="154">
        <f t="shared" si="18"/>
        <v>0</v>
      </c>
      <c r="J91" s="717"/>
      <c r="K91" s="153">
        <f t="shared" si="19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Mitarbeiterverteilung!BC77</f>
        <v>0</v>
      </c>
      <c r="D92" s="151">
        <f t="shared" si="15"/>
        <v>0</v>
      </c>
      <c r="E92" s="717"/>
      <c r="F92" s="152">
        <f t="shared" si="16"/>
        <v>0</v>
      </c>
      <c r="G92" s="717"/>
      <c r="H92" s="153">
        <f t="shared" si="17"/>
        <v>0</v>
      </c>
      <c r="I92" s="154">
        <f t="shared" si="18"/>
        <v>0</v>
      </c>
      <c r="J92" s="717"/>
      <c r="K92" s="153">
        <f t="shared" si="19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Mitarbeiterverteilung!BC78</f>
        <v>0</v>
      </c>
      <c r="D93" s="151">
        <f t="shared" si="15"/>
        <v>0</v>
      </c>
      <c r="E93" s="717"/>
      <c r="F93" s="152">
        <f t="shared" si="16"/>
        <v>0</v>
      </c>
      <c r="G93" s="717"/>
      <c r="H93" s="153">
        <f t="shared" si="17"/>
        <v>0</v>
      </c>
      <c r="I93" s="154">
        <f t="shared" si="18"/>
        <v>0</v>
      </c>
      <c r="J93" s="717"/>
      <c r="K93" s="153">
        <f t="shared" si="19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Mitarbeiterverteilung!BC79</f>
        <v>0</v>
      </c>
      <c r="D94" s="151">
        <f t="shared" si="15"/>
        <v>0</v>
      </c>
      <c r="E94" s="717"/>
      <c r="F94" s="152">
        <f t="shared" si="16"/>
        <v>0</v>
      </c>
      <c r="G94" s="717"/>
      <c r="H94" s="153">
        <f t="shared" si="17"/>
        <v>0</v>
      </c>
      <c r="I94" s="154">
        <f t="shared" si="18"/>
        <v>0</v>
      </c>
      <c r="J94" s="717"/>
      <c r="K94" s="153">
        <f t="shared" si="19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Mitarbeiterverteilung!BC80</f>
        <v>0</v>
      </c>
      <c r="D95" s="151">
        <f t="shared" si="15"/>
        <v>0</v>
      </c>
      <c r="E95" s="717"/>
      <c r="F95" s="152">
        <f t="shared" si="16"/>
        <v>0</v>
      </c>
      <c r="G95" s="717"/>
      <c r="H95" s="153">
        <f t="shared" si="17"/>
        <v>0</v>
      </c>
      <c r="I95" s="154">
        <f t="shared" si="18"/>
        <v>0</v>
      </c>
      <c r="J95" s="717"/>
      <c r="K95" s="153">
        <f t="shared" si="19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Mitarbeiterverteilung!BC81</f>
        <v>0</v>
      </c>
      <c r="D96" s="151">
        <f t="shared" si="15"/>
        <v>0</v>
      </c>
      <c r="E96" s="717"/>
      <c r="F96" s="152">
        <f t="shared" si="16"/>
        <v>0</v>
      </c>
      <c r="G96" s="717"/>
      <c r="H96" s="153">
        <f t="shared" si="17"/>
        <v>0</v>
      </c>
      <c r="I96" s="154">
        <f t="shared" si="18"/>
        <v>0</v>
      </c>
      <c r="J96" s="717"/>
      <c r="K96" s="153">
        <f t="shared" si="19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Mitarbeiterverteilung!BC82</f>
        <v>0</v>
      </c>
      <c r="D97" s="151">
        <f t="shared" si="15"/>
        <v>0</v>
      </c>
      <c r="E97" s="717"/>
      <c r="F97" s="152">
        <f t="shared" si="16"/>
        <v>0</v>
      </c>
      <c r="G97" s="717"/>
      <c r="H97" s="153">
        <f t="shared" si="17"/>
        <v>0</v>
      </c>
      <c r="I97" s="154">
        <f t="shared" si="18"/>
        <v>0</v>
      </c>
      <c r="J97" s="717"/>
      <c r="K97" s="153">
        <f t="shared" si="19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Mitarbeiterverteilung!BC83</f>
        <v>0</v>
      </c>
      <c r="D98" s="151">
        <f t="shared" si="15"/>
        <v>0</v>
      </c>
      <c r="E98" s="717"/>
      <c r="F98" s="152">
        <f t="shared" si="16"/>
        <v>0</v>
      </c>
      <c r="G98" s="717"/>
      <c r="H98" s="153">
        <f t="shared" si="17"/>
        <v>0</v>
      </c>
      <c r="I98" s="154">
        <f t="shared" si="18"/>
        <v>0</v>
      </c>
      <c r="J98" s="717"/>
      <c r="K98" s="153">
        <f t="shared" si="19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Mitarbeiterverteilung!BC84</f>
        <v>0</v>
      </c>
      <c r="D99" s="151">
        <f t="shared" si="15"/>
        <v>0</v>
      </c>
      <c r="E99" s="717"/>
      <c r="F99" s="152">
        <f t="shared" si="16"/>
        <v>0</v>
      </c>
      <c r="G99" s="717"/>
      <c r="H99" s="153">
        <f t="shared" si="17"/>
        <v>0</v>
      </c>
      <c r="I99" s="154">
        <f t="shared" si="18"/>
        <v>0</v>
      </c>
      <c r="J99" s="717"/>
      <c r="K99" s="153">
        <f t="shared" si="19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Mitarbeiterverteilung!BC85</f>
        <v>0</v>
      </c>
      <c r="D100" s="151">
        <f t="shared" si="15"/>
        <v>0</v>
      </c>
      <c r="E100" s="717"/>
      <c r="F100" s="152">
        <f t="shared" si="16"/>
        <v>0</v>
      </c>
      <c r="G100" s="717"/>
      <c r="H100" s="153">
        <f t="shared" si="17"/>
        <v>0</v>
      </c>
      <c r="I100" s="154">
        <f t="shared" si="18"/>
        <v>0</v>
      </c>
      <c r="J100" s="717"/>
      <c r="K100" s="153">
        <f t="shared" si="19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Mitarbeiterverteilung!BC86</f>
        <v>0</v>
      </c>
      <c r="D101" s="151">
        <f t="shared" si="15"/>
        <v>0</v>
      </c>
      <c r="E101" s="717"/>
      <c r="F101" s="152">
        <f t="shared" si="16"/>
        <v>0</v>
      </c>
      <c r="G101" s="717"/>
      <c r="H101" s="153">
        <f t="shared" si="17"/>
        <v>0</v>
      </c>
      <c r="I101" s="154">
        <f t="shared" si="18"/>
        <v>0</v>
      </c>
      <c r="J101" s="717"/>
      <c r="K101" s="153">
        <f t="shared" si="19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Mitarbeiterverteilung!BC87</f>
        <v>0</v>
      </c>
      <c r="D102" s="151">
        <f t="shared" si="15"/>
        <v>0</v>
      </c>
      <c r="E102" s="717"/>
      <c r="F102" s="152">
        <f t="shared" si="16"/>
        <v>0</v>
      </c>
      <c r="G102" s="717"/>
      <c r="H102" s="153">
        <f t="shared" si="17"/>
        <v>0</v>
      </c>
      <c r="I102" s="154">
        <f t="shared" si="18"/>
        <v>0</v>
      </c>
      <c r="J102" s="717"/>
      <c r="K102" s="153">
        <f t="shared" si="19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Mitarbeiterverteilung!BC88</f>
        <v>0</v>
      </c>
      <c r="D103" s="151">
        <f t="shared" si="15"/>
        <v>0</v>
      </c>
      <c r="E103" s="717"/>
      <c r="F103" s="152">
        <f t="shared" si="16"/>
        <v>0</v>
      </c>
      <c r="G103" s="717"/>
      <c r="H103" s="153">
        <f t="shared" si="17"/>
        <v>0</v>
      </c>
      <c r="I103" s="154">
        <f t="shared" si="18"/>
        <v>0</v>
      </c>
      <c r="J103" s="717"/>
      <c r="K103" s="153">
        <f t="shared" si="19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Mitarbeiterverteilung!BC89</f>
        <v>0</v>
      </c>
      <c r="D104" s="151">
        <f t="shared" si="15"/>
        <v>0</v>
      </c>
      <c r="E104" s="717"/>
      <c r="F104" s="152">
        <f t="shared" si="16"/>
        <v>0</v>
      </c>
      <c r="G104" s="717"/>
      <c r="H104" s="153">
        <f t="shared" si="17"/>
        <v>0</v>
      </c>
      <c r="I104" s="154">
        <f t="shared" si="18"/>
        <v>0</v>
      </c>
      <c r="J104" s="717"/>
      <c r="K104" s="153">
        <f t="shared" si="19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Mitarbeiterverteilung!BC90</f>
        <v>0</v>
      </c>
      <c r="D105" s="151">
        <f t="shared" si="15"/>
        <v>0</v>
      </c>
      <c r="E105" s="717"/>
      <c r="F105" s="152">
        <f t="shared" si="16"/>
        <v>0</v>
      </c>
      <c r="G105" s="717"/>
      <c r="H105" s="153">
        <f t="shared" si="17"/>
        <v>0</v>
      </c>
      <c r="I105" s="154">
        <f t="shared" si="18"/>
        <v>0</v>
      </c>
      <c r="J105" s="717"/>
      <c r="K105" s="153">
        <f t="shared" si="19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Mitarbeiterverteilung!BC91</f>
        <v>0</v>
      </c>
      <c r="D106" s="151">
        <f t="shared" si="15"/>
        <v>0</v>
      </c>
      <c r="E106" s="717"/>
      <c r="F106" s="152">
        <f t="shared" si="16"/>
        <v>0</v>
      </c>
      <c r="G106" s="717"/>
      <c r="H106" s="153">
        <f t="shared" si="17"/>
        <v>0</v>
      </c>
      <c r="I106" s="154">
        <f t="shared" si="18"/>
        <v>0</v>
      </c>
      <c r="J106" s="717"/>
      <c r="K106" s="153">
        <f t="shared" si="19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Mitarbeiterverteilung!BC92</f>
        <v>0</v>
      </c>
      <c r="D107" s="151">
        <f t="shared" si="15"/>
        <v>0</v>
      </c>
      <c r="E107" s="717"/>
      <c r="F107" s="152">
        <f t="shared" si="16"/>
        <v>0</v>
      </c>
      <c r="G107" s="717"/>
      <c r="H107" s="153">
        <f t="shared" si="17"/>
        <v>0</v>
      </c>
      <c r="I107" s="154">
        <f t="shared" si="18"/>
        <v>0</v>
      </c>
      <c r="J107" s="717"/>
      <c r="K107" s="153">
        <f t="shared" si="19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Mitarbeiterverteilung!BC93</f>
        <v>0</v>
      </c>
      <c r="D108" s="151">
        <f t="shared" si="15"/>
        <v>0</v>
      </c>
      <c r="E108" s="717"/>
      <c r="F108" s="152">
        <f t="shared" si="16"/>
        <v>0</v>
      </c>
      <c r="G108" s="717"/>
      <c r="H108" s="153">
        <f t="shared" si="17"/>
        <v>0</v>
      </c>
      <c r="I108" s="154">
        <f t="shared" si="18"/>
        <v>0</v>
      </c>
      <c r="J108" s="717"/>
      <c r="K108" s="153">
        <f t="shared" si="19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Mitarbeiterverteilung!BC94</f>
        <v>0</v>
      </c>
      <c r="D109" s="151">
        <f t="shared" si="15"/>
        <v>0</v>
      </c>
      <c r="E109" s="717"/>
      <c r="F109" s="152">
        <f t="shared" si="16"/>
        <v>0</v>
      </c>
      <c r="G109" s="717"/>
      <c r="H109" s="153">
        <f t="shared" si="17"/>
        <v>0</v>
      </c>
      <c r="I109" s="154">
        <f t="shared" si="18"/>
        <v>0</v>
      </c>
      <c r="J109" s="717"/>
      <c r="K109" s="153">
        <f t="shared" si="19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Mitarbeiterverteilung!BC95</f>
        <v>0</v>
      </c>
      <c r="D110" s="151">
        <f t="shared" si="15"/>
        <v>0</v>
      </c>
      <c r="E110" s="717"/>
      <c r="F110" s="152">
        <f t="shared" si="16"/>
        <v>0</v>
      </c>
      <c r="G110" s="717"/>
      <c r="H110" s="153">
        <f t="shared" si="17"/>
        <v>0</v>
      </c>
      <c r="I110" s="154">
        <f t="shared" si="18"/>
        <v>0</v>
      </c>
      <c r="J110" s="717"/>
      <c r="K110" s="153">
        <f t="shared" si="19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Mitarbeiterverteilung!BC96</f>
        <v>0</v>
      </c>
      <c r="D111" s="151">
        <f t="shared" si="15"/>
        <v>0</v>
      </c>
      <c r="E111" s="717"/>
      <c r="F111" s="152">
        <f t="shared" si="16"/>
        <v>0</v>
      </c>
      <c r="G111" s="717"/>
      <c r="H111" s="153">
        <f t="shared" si="17"/>
        <v>0</v>
      </c>
      <c r="I111" s="154">
        <f t="shared" si="18"/>
        <v>0</v>
      </c>
      <c r="J111" s="717"/>
      <c r="K111" s="153">
        <f t="shared" si="19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Mitarbeiterverteilung!BC97</f>
        <v>0</v>
      </c>
      <c r="D112" s="151">
        <f t="shared" si="15"/>
        <v>0</v>
      </c>
      <c r="E112" s="717"/>
      <c r="F112" s="152">
        <f t="shared" si="16"/>
        <v>0</v>
      </c>
      <c r="G112" s="717"/>
      <c r="H112" s="153">
        <f t="shared" si="17"/>
        <v>0</v>
      </c>
      <c r="I112" s="154">
        <f t="shared" si="18"/>
        <v>0</v>
      </c>
      <c r="J112" s="717"/>
      <c r="K112" s="153">
        <f t="shared" si="19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Mitarbeiterverteilung!BC98</f>
        <v>0</v>
      </c>
      <c r="D113" s="151">
        <f t="shared" si="15"/>
        <v>0</v>
      </c>
      <c r="E113" s="717"/>
      <c r="F113" s="152">
        <f t="shared" si="16"/>
        <v>0</v>
      </c>
      <c r="G113" s="717"/>
      <c r="H113" s="153">
        <f t="shared" si="17"/>
        <v>0</v>
      </c>
      <c r="I113" s="154">
        <f t="shared" si="18"/>
        <v>0</v>
      </c>
      <c r="J113" s="717"/>
      <c r="K113" s="153">
        <f t="shared" si="19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Mitarbeiterverteilung!BC99</f>
        <v>0</v>
      </c>
      <c r="D114" s="151">
        <f t="shared" si="15"/>
        <v>0</v>
      </c>
      <c r="E114" s="717"/>
      <c r="F114" s="152">
        <f t="shared" si="16"/>
        <v>0</v>
      </c>
      <c r="G114" s="717"/>
      <c r="H114" s="153">
        <f t="shared" si="17"/>
        <v>0</v>
      </c>
      <c r="I114" s="154">
        <f t="shared" si="18"/>
        <v>0</v>
      </c>
      <c r="J114" s="717"/>
      <c r="K114" s="153">
        <f t="shared" si="19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Mitarbeiterverteilung!BC100</f>
        <v>0</v>
      </c>
      <c r="D115" s="151">
        <f t="shared" si="15"/>
        <v>0</v>
      </c>
      <c r="E115" s="717"/>
      <c r="F115" s="152">
        <f t="shared" si="16"/>
        <v>0</v>
      </c>
      <c r="G115" s="717"/>
      <c r="H115" s="153">
        <f t="shared" si="17"/>
        <v>0</v>
      </c>
      <c r="I115" s="154">
        <f t="shared" si="18"/>
        <v>0</v>
      </c>
      <c r="J115" s="717"/>
      <c r="K115" s="153">
        <f t="shared" si="19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Mitarbeiterverteilung!BC101</f>
        <v>0</v>
      </c>
      <c r="D116" s="151">
        <f t="shared" si="15"/>
        <v>0</v>
      </c>
      <c r="E116" s="717"/>
      <c r="F116" s="152">
        <f t="shared" si="16"/>
        <v>0</v>
      </c>
      <c r="G116" s="717"/>
      <c r="H116" s="153">
        <f t="shared" si="17"/>
        <v>0</v>
      </c>
      <c r="I116" s="154">
        <f t="shared" si="18"/>
        <v>0</v>
      </c>
      <c r="J116" s="717"/>
      <c r="K116" s="153">
        <f t="shared" si="19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Mitarbeiterverteilung!BC102</f>
        <v>0</v>
      </c>
      <c r="D117" s="151">
        <f t="shared" si="15"/>
        <v>0</v>
      </c>
      <c r="E117" s="717"/>
      <c r="F117" s="152">
        <f t="shared" si="16"/>
        <v>0</v>
      </c>
      <c r="G117" s="717"/>
      <c r="H117" s="153">
        <f t="shared" si="17"/>
        <v>0</v>
      </c>
      <c r="I117" s="154">
        <f t="shared" si="18"/>
        <v>0</v>
      </c>
      <c r="J117" s="717"/>
      <c r="K117" s="153">
        <f t="shared" si="19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Mitarbeiterverteilung!BC103</f>
        <v>0</v>
      </c>
      <c r="D118" s="151">
        <f t="shared" si="15"/>
        <v>0</v>
      </c>
      <c r="E118" s="717"/>
      <c r="F118" s="152">
        <f t="shared" si="16"/>
        <v>0</v>
      </c>
      <c r="G118" s="717"/>
      <c r="H118" s="153">
        <f t="shared" si="17"/>
        <v>0</v>
      </c>
      <c r="I118" s="154">
        <f t="shared" si="18"/>
        <v>0</v>
      </c>
      <c r="J118" s="717"/>
      <c r="K118" s="153">
        <f t="shared" si="19"/>
        <v>0</v>
      </c>
      <c r="L118" s="85"/>
    </row>
    <row r="119" spans="1:12" hidden="1" outlineLevel="1" x14ac:dyDescent="0.2">
      <c r="B119" s="161" t="str">
        <f>Mitarbeiterverteilung!A104</f>
        <v/>
      </c>
      <c r="C119" s="150">
        <f>Mitarbeiterverteilung!BC104</f>
        <v>0</v>
      </c>
      <c r="D119" s="151">
        <f t="shared" si="15"/>
        <v>0</v>
      </c>
      <c r="E119" s="717"/>
      <c r="F119" s="152">
        <f t="shared" si="16"/>
        <v>0</v>
      </c>
      <c r="G119" s="717"/>
      <c r="H119" s="153">
        <f t="shared" si="17"/>
        <v>0</v>
      </c>
      <c r="I119" s="154">
        <f t="shared" si="18"/>
        <v>0</v>
      </c>
      <c r="J119" s="717"/>
      <c r="K119" s="153">
        <f t="shared" si="19"/>
        <v>0</v>
      </c>
      <c r="L119" s="85"/>
    </row>
    <row r="120" spans="1:12" hidden="1" outlineLevel="1" x14ac:dyDescent="0.2">
      <c r="B120" s="161" t="str">
        <f>Mitarbeiterverteilung!A105</f>
        <v/>
      </c>
      <c r="C120" s="150">
        <f>Mitarbeiterverteilung!BC105</f>
        <v>0</v>
      </c>
      <c r="D120" s="151">
        <f t="shared" si="15"/>
        <v>0</v>
      </c>
      <c r="E120" s="717"/>
      <c r="F120" s="152">
        <f t="shared" si="16"/>
        <v>0</v>
      </c>
      <c r="G120" s="717"/>
      <c r="H120" s="153">
        <f t="shared" si="17"/>
        <v>0</v>
      </c>
      <c r="I120" s="154">
        <f t="shared" si="18"/>
        <v>0</v>
      </c>
      <c r="J120" s="717"/>
      <c r="K120" s="153">
        <f t="shared" si="19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Mitarbeiterverteilung!BC106</f>
        <v>0</v>
      </c>
      <c r="D121" s="156">
        <f t="shared" si="15"/>
        <v>0</v>
      </c>
      <c r="E121" s="718"/>
      <c r="F121" s="157">
        <f t="shared" si="16"/>
        <v>0</v>
      </c>
      <c r="G121" s="718"/>
      <c r="H121" s="158">
        <f t="shared" si="17"/>
        <v>0</v>
      </c>
      <c r="I121" s="159">
        <f t="shared" si="18"/>
        <v>0</v>
      </c>
      <c r="J121" s="718"/>
      <c r="K121" s="158">
        <f t="shared" si="19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+Kostenverteilung!I25</f>
        <v>0</v>
      </c>
      <c r="G125" s="89" t="s">
        <v>519</v>
      </c>
      <c r="I125" s="112">
        <f>Mitarbeiterverteilung!V107</f>
        <v>0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Mitarbeiterverteilung!AG107</f>
        <v>0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0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0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0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0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B152" s="85"/>
      <c r="C152" s="85"/>
      <c r="D152" s="85"/>
      <c r="E152" s="85"/>
      <c r="L152" s="85"/>
    </row>
    <row r="153" spans="2:12" x14ac:dyDescent="0.2">
      <c r="B153" s="85"/>
      <c r="C153" s="85"/>
      <c r="D153" s="85"/>
      <c r="E153" s="85"/>
      <c r="L153" s="85"/>
    </row>
  </sheetData>
  <pageMargins left="0.7" right="0.7" top="0.78740157499999996" bottom="0.78740157499999996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8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Kostenverteilung!L2</f>
        <v>PC-3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+Kostenverteilung!L4</f>
        <v>0</v>
      </c>
      <c r="D4" s="113">
        <f>F4+I4-C4</f>
        <v>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+Kostenverteilung!L5</f>
        <v>0</v>
      </c>
      <c r="D5" s="113">
        <f t="shared" ref="D5:D14" si="2">F5+I5-C5</f>
        <v>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+Kostenverteilung!L6</f>
        <v>0</v>
      </c>
      <c r="D6" s="113">
        <f t="shared" si="2"/>
        <v>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+Kostenverteilung!L7</f>
        <v>0</v>
      </c>
      <c r="D7" s="113">
        <f t="shared" si="2"/>
        <v>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+Kostenverteilung!L8</f>
        <v>0</v>
      </c>
      <c r="D8" s="113">
        <f t="shared" si="2"/>
        <v>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+Kostenverteilung!L9</f>
        <v>0</v>
      </c>
      <c r="D9" s="113">
        <f t="shared" si="2"/>
        <v>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+Kostenverteilung!L10</f>
        <v>0</v>
      </c>
      <c r="D10" s="113">
        <f t="shared" si="2"/>
        <v>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+Kostenverteilung!L11</f>
        <v>0</v>
      </c>
      <c r="D11" s="113">
        <f t="shared" si="2"/>
        <v>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+Kostenverteilung!L12</f>
        <v>0</v>
      </c>
      <c r="D12" s="113">
        <f t="shared" si="2"/>
        <v>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+Kostenverteilung!L13</f>
        <v>0</v>
      </c>
      <c r="D13" s="113">
        <f>F13+I13-C13</f>
        <v>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+Kostenverteilung!L14</f>
        <v>0</v>
      </c>
      <c r="D14" s="113">
        <f t="shared" si="2"/>
        <v>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+Kostenverteilung!L15</f>
        <v>0</v>
      </c>
      <c r="D15" s="114">
        <f>F15+I15-C15</f>
        <v>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+Kostenverteilung!L17</f>
        <v>0</v>
      </c>
      <c r="D17" s="146">
        <f t="shared" ref="D17:D18" si="5">F17+I17-C17</f>
        <v>0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+Kostenverteilung!L18</f>
        <v>0</v>
      </c>
      <c r="D18" s="156">
        <f t="shared" si="5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Mitarbeiterverteilung!BD6</f>
        <v>0</v>
      </c>
      <c r="D21" s="146">
        <f t="shared" ref="D21:D22" si="6">F21+I21-C21</f>
        <v>0</v>
      </c>
      <c r="E21" s="716"/>
      <c r="F21" s="147">
        <f>C21*H21</f>
        <v>0</v>
      </c>
      <c r="G21" s="716"/>
      <c r="H21" s="148">
        <f t="shared" ref="H21:H22" si="7">IF(E21=0,0,G21/$E21)</f>
        <v>0</v>
      </c>
      <c r="I21" s="149">
        <f t="shared" ref="I21:I22" si="8">C21*K21</f>
        <v>0</v>
      </c>
      <c r="J21" s="716"/>
      <c r="K21" s="148">
        <f t="shared" ref="K21:K22" si="9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Mitarbeiterverteilung!BD7</f>
        <v>0</v>
      </c>
      <c r="D22" s="151">
        <f t="shared" si="6"/>
        <v>0</v>
      </c>
      <c r="E22" s="717"/>
      <c r="F22" s="152">
        <f>C22*H22</f>
        <v>0</v>
      </c>
      <c r="G22" s="717"/>
      <c r="H22" s="153">
        <f t="shared" si="7"/>
        <v>0</v>
      </c>
      <c r="I22" s="154">
        <f t="shared" si="8"/>
        <v>0</v>
      </c>
      <c r="J22" s="717"/>
      <c r="K22" s="153">
        <f t="shared" si="9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Mitarbeiterverteilung!BD8</f>
        <v>0</v>
      </c>
      <c r="D23" s="151">
        <f t="shared" ref="D23:D57" si="10">F23+I23-C23</f>
        <v>0</v>
      </c>
      <c r="E23" s="717"/>
      <c r="F23" s="152">
        <f t="shared" ref="F23:F57" si="11">C23*H23</f>
        <v>0</v>
      </c>
      <c r="G23" s="717"/>
      <c r="H23" s="153">
        <f t="shared" ref="H23:H57" si="12">IF(E23=0,0,G23/$E23)</f>
        <v>0</v>
      </c>
      <c r="I23" s="154">
        <f t="shared" ref="I23:I57" si="13">C23*K23</f>
        <v>0</v>
      </c>
      <c r="J23" s="717"/>
      <c r="K23" s="153">
        <f t="shared" ref="K23:K57" si="14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Mitarbeiterverteilung!BD9</f>
        <v>0</v>
      </c>
      <c r="D24" s="151">
        <f t="shared" si="10"/>
        <v>0</v>
      </c>
      <c r="E24" s="717"/>
      <c r="F24" s="152">
        <f t="shared" si="11"/>
        <v>0</v>
      </c>
      <c r="G24" s="717"/>
      <c r="H24" s="153">
        <f t="shared" si="12"/>
        <v>0</v>
      </c>
      <c r="I24" s="154">
        <f t="shared" si="13"/>
        <v>0</v>
      </c>
      <c r="J24" s="717"/>
      <c r="K24" s="153">
        <f t="shared" si="14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Mitarbeiterverteilung!BD10</f>
        <v>0</v>
      </c>
      <c r="D25" s="151">
        <f t="shared" si="10"/>
        <v>0</v>
      </c>
      <c r="E25" s="717"/>
      <c r="F25" s="152">
        <f t="shared" si="11"/>
        <v>0</v>
      </c>
      <c r="G25" s="717"/>
      <c r="H25" s="153">
        <f t="shared" si="12"/>
        <v>0</v>
      </c>
      <c r="I25" s="154">
        <f t="shared" si="13"/>
        <v>0</v>
      </c>
      <c r="J25" s="717"/>
      <c r="K25" s="153">
        <f t="shared" si="14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Mitarbeiterverteilung!BD11</f>
        <v>0</v>
      </c>
      <c r="D26" s="151">
        <f t="shared" si="10"/>
        <v>0</v>
      </c>
      <c r="E26" s="717"/>
      <c r="F26" s="152">
        <f t="shared" si="11"/>
        <v>0</v>
      </c>
      <c r="G26" s="717"/>
      <c r="H26" s="153">
        <f t="shared" si="12"/>
        <v>0</v>
      </c>
      <c r="I26" s="154">
        <f t="shared" si="13"/>
        <v>0</v>
      </c>
      <c r="J26" s="717"/>
      <c r="K26" s="153">
        <f t="shared" si="14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Mitarbeiterverteilung!BD12</f>
        <v>0</v>
      </c>
      <c r="D27" s="151">
        <f t="shared" si="10"/>
        <v>0</v>
      </c>
      <c r="E27" s="717"/>
      <c r="F27" s="152">
        <f t="shared" si="11"/>
        <v>0</v>
      </c>
      <c r="G27" s="717"/>
      <c r="H27" s="153">
        <f t="shared" si="12"/>
        <v>0</v>
      </c>
      <c r="I27" s="154">
        <f t="shared" si="13"/>
        <v>0</v>
      </c>
      <c r="J27" s="717"/>
      <c r="K27" s="153">
        <f t="shared" si="14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Mitarbeiterverteilung!BD13</f>
        <v>0</v>
      </c>
      <c r="D28" s="151">
        <f t="shared" si="10"/>
        <v>0</v>
      </c>
      <c r="E28" s="717"/>
      <c r="F28" s="152">
        <f t="shared" si="11"/>
        <v>0</v>
      </c>
      <c r="G28" s="717"/>
      <c r="H28" s="153">
        <f t="shared" si="12"/>
        <v>0</v>
      </c>
      <c r="I28" s="154">
        <f t="shared" si="13"/>
        <v>0</v>
      </c>
      <c r="J28" s="717"/>
      <c r="K28" s="153">
        <f t="shared" si="14"/>
        <v>0</v>
      </c>
      <c r="L28" s="85"/>
    </row>
    <row r="29" spans="1:12" hidden="1" outlineLevel="1" x14ac:dyDescent="0.2">
      <c r="B29" s="161" t="str">
        <f>Mitarbeiterverteilung!A14</f>
        <v>Thomas Fleißig</v>
      </c>
      <c r="C29" s="150">
        <f>Mitarbeiterverteilung!BD14</f>
        <v>0</v>
      </c>
      <c r="D29" s="151">
        <f t="shared" si="10"/>
        <v>0</v>
      </c>
      <c r="E29" s="717"/>
      <c r="F29" s="152">
        <f t="shared" si="11"/>
        <v>0</v>
      </c>
      <c r="G29" s="717"/>
      <c r="H29" s="153">
        <f t="shared" si="12"/>
        <v>0</v>
      </c>
      <c r="I29" s="154">
        <f t="shared" si="13"/>
        <v>0</v>
      </c>
      <c r="J29" s="717"/>
      <c r="K29" s="153">
        <f t="shared" si="14"/>
        <v>0</v>
      </c>
      <c r="L29" s="85"/>
    </row>
    <row r="30" spans="1:12" hidden="1" outlineLevel="1" x14ac:dyDescent="0.2">
      <c r="B30" s="161" t="str">
        <f>Mitarbeiterverteilung!A15</f>
        <v>Facharbeiter</v>
      </c>
      <c r="C30" s="150">
        <f>Mitarbeiterverteilung!BD15</f>
        <v>0</v>
      </c>
      <c r="D30" s="151">
        <f t="shared" si="10"/>
        <v>0</v>
      </c>
      <c r="E30" s="717"/>
      <c r="F30" s="152">
        <f t="shared" si="11"/>
        <v>0</v>
      </c>
      <c r="G30" s="717"/>
      <c r="H30" s="153">
        <f t="shared" si="12"/>
        <v>0</v>
      </c>
      <c r="I30" s="154">
        <f t="shared" si="13"/>
        <v>0</v>
      </c>
      <c r="J30" s="717"/>
      <c r="K30" s="153">
        <f t="shared" si="14"/>
        <v>0</v>
      </c>
      <c r="L30" s="85"/>
    </row>
    <row r="31" spans="1:12" hidden="1" outlineLevel="1" x14ac:dyDescent="0.2">
      <c r="B31" s="161" t="str">
        <f>Mitarbeiterverteilung!A16</f>
        <v>Abgänger</v>
      </c>
      <c r="C31" s="150">
        <f>Mitarbeiterverteilung!BD16</f>
        <v>0</v>
      </c>
      <c r="D31" s="151">
        <f t="shared" si="10"/>
        <v>0</v>
      </c>
      <c r="E31" s="717"/>
      <c r="F31" s="152">
        <f t="shared" si="11"/>
        <v>0</v>
      </c>
      <c r="G31" s="717"/>
      <c r="H31" s="153">
        <f t="shared" si="12"/>
        <v>0</v>
      </c>
      <c r="I31" s="154">
        <f t="shared" si="13"/>
        <v>0</v>
      </c>
      <c r="J31" s="717"/>
      <c r="K31" s="153">
        <f t="shared" si="14"/>
        <v>0</v>
      </c>
      <c r="L31" s="85"/>
    </row>
    <row r="32" spans="1:12" hidden="1" outlineLevel="1" x14ac:dyDescent="0.2">
      <c r="B32" s="161" t="str">
        <f>Mitarbeiterverteilung!A17</f>
        <v>Facharbeiter</v>
      </c>
      <c r="C32" s="150">
        <f>Mitarbeiterverteilung!BD17</f>
        <v>0</v>
      </c>
      <c r="D32" s="151">
        <f t="shared" si="10"/>
        <v>0</v>
      </c>
      <c r="E32" s="717"/>
      <c r="F32" s="152">
        <f t="shared" si="11"/>
        <v>0</v>
      </c>
      <c r="G32" s="717"/>
      <c r="H32" s="153">
        <f t="shared" si="12"/>
        <v>0</v>
      </c>
      <c r="I32" s="154">
        <f t="shared" si="13"/>
        <v>0</v>
      </c>
      <c r="J32" s="717"/>
      <c r="K32" s="153">
        <f t="shared" si="14"/>
        <v>0</v>
      </c>
      <c r="L32" s="85"/>
    </row>
    <row r="33" spans="2:12" hidden="1" outlineLevel="1" x14ac:dyDescent="0.2">
      <c r="B33" s="161" t="str">
        <f>Mitarbeiterverteilung!A18</f>
        <v>Facharbeiter</v>
      </c>
      <c r="C33" s="150">
        <f>Mitarbeiterverteilung!BD18</f>
        <v>0</v>
      </c>
      <c r="D33" s="151">
        <f t="shared" si="10"/>
        <v>0</v>
      </c>
      <c r="E33" s="717"/>
      <c r="F33" s="152">
        <f t="shared" si="11"/>
        <v>0</v>
      </c>
      <c r="G33" s="717"/>
      <c r="H33" s="153">
        <f t="shared" si="12"/>
        <v>0</v>
      </c>
      <c r="I33" s="154">
        <f t="shared" si="13"/>
        <v>0</v>
      </c>
      <c r="J33" s="717"/>
      <c r="K33" s="153">
        <f t="shared" si="14"/>
        <v>0</v>
      </c>
      <c r="L33" s="85"/>
    </row>
    <row r="34" spans="2:12" hidden="1" outlineLevel="1" x14ac:dyDescent="0.2">
      <c r="B34" s="161" t="str">
        <f>Mitarbeiterverteilung!A19</f>
        <v>Elternzeit Geselle</v>
      </c>
      <c r="C34" s="150">
        <f>Mitarbeiterverteilung!BD19</f>
        <v>0</v>
      </c>
      <c r="D34" s="151">
        <f t="shared" si="10"/>
        <v>0</v>
      </c>
      <c r="E34" s="717"/>
      <c r="F34" s="152">
        <f t="shared" si="11"/>
        <v>0</v>
      </c>
      <c r="G34" s="717"/>
      <c r="H34" s="153">
        <f t="shared" si="12"/>
        <v>0</v>
      </c>
      <c r="I34" s="154">
        <f t="shared" si="13"/>
        <v>0</v>
      </c>
      <c r="J34" s="717"/>
      <c r="K34" s="153">
        <f t="shared" si="14"/>
        <v>0</v>
      </c>
      <c r="L34" s="85"/>
    </row>
    <row r="35" spans="2:12" hidden="1" outlineLevel="1" x14ac:dyDescent="0.2">
      <c r="B35" s="161" t="str">
        <f>Mitarbeiterverteilung!A20</f>
        <v>A. Zubi</v>
      </c>
      <c r="C35" s="150">
        <f>Mitarbeiterverteilung!BD20</f>
        <v>0</v>
      </c>
      <c r="D35" s="151">
        <f t="shared" si="10"/>
        <v>0</v>
      </c>
      <c r="E35" s="717"/>
      <c r="F35" s="152">
        <f t="shared" si="11"/>
        <v>0</v>
      </c>
      <c r="G35" s="717"/>
      <c r="H35" s="153">
        <f t="shared" si="12"/>
        <v>0</v>
      </c>
      <c r="I35" s="154">
        <f t="shared" si="13"/>
        <v>0</v>
      </c>
      <c r="J35" s="717"/>
      <c r="K35" s="153">
        <f t="shared" si="14"/>
        <v>0</v>
      </c>
      <c r="L35" s="85"/>
    </row>
    <row r="36" spans="2:12" hidden="1" outlineLevel="1" x14ac:dyDescent="0.2">
      <c r="B36" s="161" t="str">
        <f>Mitarbeiterverteilung!A21</f>
        <v>Zur Ausbildung</v>
      </c>
      <c r="C36" s="150">
        <f>Mitarbeiterverteilung!BD21</f>
        <v>0</v>
      </c>
      <c r="D36" s="151">
        <f t="shared" si="10"/>
        <v>0</v>
      </c>
      <c r="E36" s="717"/>
      <c r="F36" s="152">
        <f t="shared" si="11"/>
        <v>0</v>
      </c>
      <c r="G36" s="717"/>
      <c r="H36" s="153">
        <f t="shared" si="12"/>
        <v>0</v>
      </c>
      <c r="I36" s="154">
        <f t="shared" si="13"/>
        <v>0</v>
      </c>
      <c r="J36" s="717"/>
      <c r="K36" s="153">
        <f t="shared" si="14"/>
        <v>0</v>
      </c>
      <c r="L36" s="85"/>
    </row>
    <row r="37" spans="2:12" hidden="1" outlineLevel="1" x14ac:dyDescent="0.2">
      <c r="B37" s="161" t="str">
        <f>Mitarbeiterverteilung!A22</f>
        <v>Reine Putze</v>
      </c>
      <c r="C37" s="150">
        <f>Mitarbeiterverteilung!BD22</f>
        <v>0</v>
      </c>
      <c r="D37" s="151">
        <f t="shared" si="10"/>
        <v>0</v>
      </c>
      <c r="E37" s="717"/>
      <c r="F37" s="152">
        <f t="shared" si="11"/>
        <v>0</v>
      </c>
      <c r="G37" s="717"/>
      <c r="H37" s="153">
        <f t="shared" si="12"/>
        <v>0</v>
      </c>
      <c r="I37" s="154">
        <f t="shared" si="13"/>
        <v>0</v>
      </c>
      <c r="J37" s="717"/>
      <c r="K37" s="153">
        <f t="shared" si="14"/>
        <v>0</v>
      </c>
      <c r="L37" s="85"/>
    </row>
    <row r="38" spans="2:12" hidden="1" outlineLevel="1" x14ac:dyDescent="0.2">
      <c r="B38" s="161" t="str">
        <f>Mitarbeiterverteilung!A23</f>
        <v/>
      </c>
      <c r="C38" s="150">
        <f>Mitarbeiterverteilung!BD23</f>
        <v>0</v>
      </c>
      <c r="D38" s="151">
        <f t="shared" si="10"/>
        <v>0</v>
      </c>
      <c r="E38" s="717"/>
      <c r="F38" s="152">
        <f t="shared" si="11"/>
        <v>0</v>
      </c>
      <c r="G38" s="717"/>
      <c r="H38" s="153">
        <f t="shared" si="12"/>
        <v>0</v>
      </c>
      <c r="I38" s="154">
        <f t="shared" si="13"/>
        <v>0</v>
      </c>
      <c r="J38" s="717"/>
      <c r="K38" s="153">
        <f t="shared" si="14"/>
        <v>0</v>
      </c>
      <c r="L38" s="85"/>
    </row>
    <row r="39" spans="2:12" hidden="1" outlineLevel="1" x14ac:dyDescent="0.2">
      <c r="B39" s="161" t="str">
        <f>Mitarbeiterverteilung!A24</f>
        <v/>
      </c>
      <c r="C39" s="150">
        <f>Mitarbeiterverteilung!BD24</f>
        <v>0</v>
      </c>
      <c r="D39" s="151">
        <f t="shared" si="10"/>
        <v>0</v>
      </c>
      <c r="E39" s="717"/>
      <c r="F39" s="152">
        <f t="shared" si="11"/>
        <v>0</v>
      </c>
      <c r="G39" s="717"/>
      <c r="H39" s="153">
        <f t="shared" si="12"/>
        <v>0</v>
      </c>
      <c r="I39" s="154">
        <f t="shared" si="13"/>
        <v>0</v>
      </c>
      <c r="J39" s="717"/>
      <c r="K39" s="153">
        <f t="shared" si="14"/>
        <v>0</v>
      </c>
      <c r="L39" s="85"/>
    </row>
    <row r="40" spans="2:12" hidden="1" outlineLevel="1" x14ac:dyDescent="0.2">
      <c r="B40" s="161" t="str">
        <f>Mitarbeiterverteilung!A25</f>
        <v/>
      </c>
      <c r="C40" s="150">
        <f>Mitarbeiterverteilung!BD25</f>
        <v>0</v>
      </c>
      <c r="D40" s="151">
        <f t="shared" si="10"/>
        <v>0</v>
      </c>
      <c r="E40" s="717"/>
      <c r="F40" s="152">
        <f t="shared" si="11"/>
        <v>0</v>
      </c>
      <c r="G40" s="717"/>
      <c r="H40" s="153">
        <f t="shared" si="12"/>
        <v>0</v>
      </c>
      <c r="I40" s="154">
        <f t="shared" si="13"/>
        <v>0</v>
      </c>
      <c r="J40" s="717"/>
      <c r="K40" s="153">
        <f t="shared" si="14"/>
        <v>0</v>
      </c>
      <c r="L40" s="85"/>
    </row>
    <row r="41" spans="2:12" hidden="1" outlineLevel="1" x14ac:dyDescent="0.2">
      <c r="B41" s="161" t="str">
        <f>Mitarbeiterverteilung!A26</f>
        <v/>
      </c>
      <c r="C41" s="150">
        <f>Mitarbeiterverteilung!BD26</f>
        <v>0</v>
      </c>
      <c r="D41" s="151">
        <f t="shared" si="10"/>
        <v>0</v>
      </c>
      <c r="E41" s="717"/>
      <c r="F41" s="152">
        <f t="shared" si="11"/>
        <v>0</v>
      </c>
      <c r="G41" s="717"/>
      <c r="H41" s="153">
        <f t="shared" si="12"/>
        <v>0</v>
      </c>
      <c r="I41" s="154">
        <f t="shared" si="13"/>
        <v>0</v>
      </c>
      <c r="J41" s="717"/>
      <c r="K41" s="153">
        <f t="shared" si="14"/>
        <v>0</v>
      </c>
      <c r="L41" s="85"/>
    </row>
    <row r="42" spans="2:12" hidden="1" outlineLevel="1" x14ac:dyDescent="0.2">
      <c r="B42" s="161" t="str">
        <f>Mitarbeiterverteilung!A27</f>
        <v/>
      </c>
      <c r="C42" s="150">
        <f>Mitarbeiterverteilung!BD27</f>
        <v>0</v>
      </c>
      <c r="D42" s="151">
        <f t="shared" si="10"/>
        <v>0</v>
      </c>
      <c r="E42" s="717"/>
      <c r="F42" s="152">
        <f t="shared" si="11"/>
        <v>0</v>
      </c>
      <c r="G42" s="717"/>
      <c r="H42" s="153">
        <f t="shared" si="12"/>
        <v>0</v>
      </c>
      <c r="I42" s="154">
        <f t="shared" si="13"/>
        <v>0</v>
      </c>
      <c r="J42" s="717"/>
      <c r="K42" s="153">
        <f t="shared" si="14"/>
        <v>0</v>
      </c>
      <c r="L42" s="85"/>
    </row>
    <row r="43" spans="2:12" hidden="1" outlineLevel="1" x14ac:dyDescent="0.2">
      <c r="B43" s="161" t="str">
        <f>Mitarbeiterverteilung!A28</f>
        <v/>
      </c>
      <c r="C43" s="150">
        <f>Mitarbeiterverteilung!BD28</f>
        <v>0</v>
      </c>
      <c r="D43" s="151">
        <f t="shared" si="10"/>
        <v>0</v>
      </c>
      <c r="E43" s="717"/>
      <c r="F43" s="152">
        <f t="shared" si="11"/>
        <v>0</v>
      </c>
      <c r="G43" s="717"/>
      <c r="H43" s="153">
        <f t="shared" si="12"/>
        <v>0</v>
      </c>
      <c r="I43" s="154">
        <f t="shared" si="13"/>
        <v>0</v>
      </c>
      <c r="J43" s="717"/>
      <c r="K43" s="153">
        <f t="shared" si="14"/>
        <v>0</v>
      </c>
      <c r="L43" s="85"/>
    </row>
    <row r="44" spans="2:12" hidden="1" outlineLevel="1" x14ac:dyDescent="0.2">
      <c r="B44" s="161" t="str">
        <f>Mitarbeiterverteilung!A29</f>
        <v/>
      </c>
      <c r="C44" s="150">
        <f>Mitarbeiterverteilung!BD29</f>
        <v>0</v>
      </c>
      <c r="D44" s="151">
        <f t="shared" si="10"/>
        <v>0</v>
      </c>
      <c r="E44" s="717"/>
      <c r="F44" s="152">
        <f t="shared" si="11"/>
        <v>0</v>
      </c>
      <c r="G44" s="717"/>
      <c r="H44" s="153">
        <f t="shared" si="12"/>
        <v>0</v>
      </c>
      <c r="I44" s="154">
        <f t="shared" si="13"/>
        <v>0</v>
      </c>
      <c r="J44" s="717"/>
      <c r="K44" s="153">
        <f t="shared" si="14"/>
        <v>0</v>
      </c>
      <c r="L44" s="85"/>
    </row>
    <row r="45" spans="2:12" hidden="1" outlineLevel="1" x14ac:dyDescent="0.2">
      <c r="B45" s="161" t="str">
        <f>Mitarbeiterverteilung!A30</f>
        <v/>
      </c>
      <c r="C45" s="150">
        <f>Mitarbeiterverteilung!BD30</f>
        <v>0</v>
      </c>
      <c r="D45" s="151">
        <f t="shared" si="10"/>
        <v>0</v>
      </c>
      <c r="E45" s="717"/>
      <c r="F45" s="152">
        <f t="shared" si="11"/>
        <v>0</v>
      </c>
      <c r="G45" s="717"/>
      <c r="H45" s="153">
        <f t="shared" si="12"/>
        <v>0</v>
      </c>
      <c r="I45" s="154">
        <f t="shared" si="13"/>
        <v>0</v>
      </c>
      <c r="J45" s="717"/>
      <c r="K45" s="153">
        <f t="shared" si="14"/>
        <v>0</v>
      </c>
      <c r="L45" s="85"/>
    </row>
    <row r="46" spans="2:12" hidden="1" outlineLevel="1" x14ac:dyDescent="0.2">
      <c r="B46" s="161" t="str">
        <f>Mitarbeiterverteilung!A31</f>
        <v/>
      </c>
      <c r="C46" s="150">
        <f>Mitarbeiterverteilung!BD31</f>
        <v>0</v>
      </c>
      <c r="D46" s="151">
        <f t="shared" si="10"/>
        <v>0</v>
      </c>
      <c r="E46" s="717"/>
      <c r="F46" s="152">
        <f t="shared" si="11"/>
        <v>0</v>
      </c>
      <c r="G46" s="717"/>
      <c r="H46" s="153">
        <f t="shared" si="12"/>
        <v>0</v>
      </c>
      <c r="I46" s="154">
        <f t="shared" si="13"/>
        <v>0</v>
      </c>
      <c r="J46" s="717"/>
      <c r="K46" s="153">
        <f t="shared" si="14"/>
        <v>0</v>
      </c>
      <c r="L46" s="85"/>
    </row>
    <row r="47" spans="2:12" hidden="1" outlineLevel="1" x14ac:dyDescent="0.2">
      <c r="B47" s="161" t="str">
        <f>Mitarbeiterverteilung!A32</f>
        <v/>
      </c>
      <c r="C47" s="150">
        <f>Mitarbeiterverteilung!BD32</f>
        <v>0</v>
      </c>
      <c r="D47" s="151">
        <f t="shared" si="10"/>
        <v>0</v>
      </c>
      <c r="E47" s="717"/>
      <c r="F47" s="152">
        <f t="shared" si="11"/>
        <v>0</v>
      </c>
      <c r="G47" s="717"/>
      <c r="H47" s="153">
        <f t="shared" si="12"/>
        <v>0</v>
      </c>
      <c r="I47" s="154">
        <f t="shared" si="13"/>
        <v>0</v>
      </c>
      <c r="J47" s="717"/>
      <c r="K47" s="153">
        <f t="shared" si="14"/>
        <v>0</v>
      </c>
      <c r="L47" s="85"/>
    </row>
    <row r="48" spans="2:12" hidden="1" outlineLevel="1" x14ac:dyDescent="0.2">
      <c r="B48" s="161" t="str">
        <f>Mitarbeiterverteilung!A33</f>
        <v/>
      </c>
      <c r="C48" s="150">
        <f>Mitarbeiterverteilung!BD33</f>
        <v>0</v>
      </c>
      <c r="D48" s="151">
        <f t="shared" si="10"/>
        <v>0</v>
      </c>
      <c r="E48" s="717"/>
      <c r="F48" s="152">
        <f t="shared" si="11"/>
        <v>0</v>
      </c>
      <c r="G48" s="717"/>
      <c r="H48" s="153">
        <f t="shared" si="12"/>
        <v>0</v>
      </c>
      <c r="I48" s="154">
        <f t="shared" si="13"/>
        <v>0</v>
      </c>
      <c r="J48" s="717"/>
      <c r="K48" s="153">
        <f t="shared" si="14"/>
        <v>0</v>
      </c>
      <c r="L48" s="85"/>
    </row>
    <row r="49" spans="2:12" hidden="1" outlineLevel="1" x14ac:dyDescent="0.2">
      <c r="B49" s="161" t="str">
        <f>Mitarbeiterverteilung!A34</f>
        <v/>
      </c>
      <c r="C49" s="150">
        <f>Mitarbeiterverteilung!BD34</f>
        <v>0</v>
      </c>
      <c r="D49" s="151">
        <f t="shared" si="10"/>
        <v>0</v>
      </c>
      <c r="E49" s="717"/>
      <c r="F49" s="152">
        <f t="shared" si="11"/>
        <v>0</v>
      </c>
      <c r="G49" s="717"/>
      <c r="H49" s="153">
        <f t="shared" si="12"/>
        <v>0</v>
      </c>
      <c r="I49" s="154">
        <f t="shared" si="13"/>
        <v>0</v>
      </c>
      <c r="J49" s="717"/>
      <c r="K49" s="153">
        <f t="shared" si="14"/>
        <v>0</v>
      </c>
      <c r="L49" s="85"/>
    </row>
    <row r="50" spans="2:12" hidden="1" outlineLevel="1" x14ac:dyDescent="0.2">
      <c r="B50" s="161" t="str">
        <f>Mitarbeiterverteilung!A35</f>
        <v/>
      </c>
      <c r="C50" s="150">
        <f>Mitarbeiterverteilung!BD35</f>
        <v>0</v>
      </c>
      <c r="D50" s="151">
        <f t="shared" si="10"/>
        <v>0</v>
      </c>
      <c r="E50" s="717"/>
      <c r="F50" s="152">
        <f t="shared" si="11"/>
        <v>0</v>
      </c>
      <c r="G50" s="717"/>
      <c r="H50" s="153">
        <f t="shared" si="12"/>
        <v>0</v>
      </c>
      <c r="I50" s="154">
        <f t="shared" si="13"/>
        <v>0</v>
      </c>
      <c r="J50" s="717"/>
      <c r="K50" s="153">
        <f t="shared" si="14"/>
        <v>0</v>
      </c>
      <c r="L50" s="85"/>
    </row>
    <row r="51" spans="2:12" hidden="1" outlineLevel="1" x14ac:dyDescent="0.2">
      <c r="B51" s="161" t="str">
        <f>Mitarbeiterverteilung!A36</f>
        <v/>
      </c>
      <c r="C51" s="150">
        <f>Mitarbeiterverteilung!BD36</f>
        <v>0</v>
      </c>
      <c r="D51" s="151">
        <f t="shared" si="10"/>
        <v>0</v>
      </c>
      <c r="E51" s="717"/>
      <c r="F51" s="152">
        <f t="shared" si="11"/>
        <v>0</v>
      </c>
      <c r="G51" s="717"/>
      <c r="H51" s="153">
        <f t="shared" si="12"/>
        <v>0</v>
      </c>
      <c r="I51" s="154">
        <f t="shared" si="13"/>
        <v>0</v>
      </c>
      <c r="J51" s="717"/>
      <c r="K51" s="153">
        <f t="shared" si="14"/>
        <v>0</v>
      </c>
      <c r="L51" s="85"/>
    </row>
    <row r="52" spans="2:12" hidden="1" outlineLevel="1" x14ac:dyDescent="0.2">
      <c r="B52" s="161" t="str">
        <f>Mitarbeiterverteilung!A37</f>
        <v/>
      </c>
      <c r="C52" s="150">
        <f>Mitarbeiterverteilung!BD37</f>
        <v>0</v>
      </c>
      <c r="D52" s="151">
        <f t="shared" si="10"/>
        <v>0</v>
      </c>
      <c r="E52" s="717"/>
      <c r="F52" s="152">
        <f t="shared" si="11"/>
        <v>0</v>
      </c>
      <c r="G52" s="717"/>
      <c r="H52" s="153">
        <f t="shared" si="12"/>
        <v>0</v>
      </c>
      <c r="I52" s="154">
        <f t="shared" si="13"/>
        <v>0</v>
      </c>
      <c r="J52" s="717"/>
      <c r="K52" s="153">
        <f t="shared" si="14"/>
        <v>0</v>
      </c>
      <c r="L52" s="85"/>
    </row>
    <row r="53" spans="2:12" hidden="1" outlineLevel="1" x14ac:dyDescent="0.2">
      <c r="B53" s="161" t="str">
        <f>Mitarbeiterverteilung!A38</f>
        <v/>
      </c>
      <c r="C53" s="150">
        <f>Mitarbeiterverteilung!BD38</f>
        <v>0</v>
      </c>
      <c r="D53" s="151">
        <f t="shared" si="10"/>
        <v>0</v>
      </c>
      <c r="E53" s="717"/>
      <c r="F53" s="152">
        <f t="shared" si="11"/>
        <v>0</v>
      </c>
      <c r="G53" s="717"/>
      <c r="H53" s="153">
        <f t="shared" si="12"/>
        <v>0</v>
      </c>
      <c r="I53" s="154">
        <f t="shared" si="13"/>
        <v>0</v>
      </c>
      <c r="J53" s="717"/>
      <c r="K53" s="153">
        <f t="shared" si="14"/>
        <v>0</v>
      </c>
      <c r="L53" s="85"/>
    </row>
    <row r="54" spans="2:12" hidden="1" outlineLevel="1" x14ac:dyDescent="0.2">
      <c r="B54" s="161" t="str">
        <f>Mitarbeiterverteilung!A39</f>
        <v/>
      </c>
      <c r="C54" s="150">
        <f>Mitarbeiterverteilung!BD39</f>
        <v>0</v>
      </c>
      <c r="D54" s="151">
        <f t="shared" si="10"/>
        <v>0</v>
      </c>
      <c r="E54" s="717"/>
      <c r="F54" s="152">
        <f t="shared" si="11"/>
        <v>0</v>
      </c>
      <c r="G54" s="717"/>
      <c r="H54" s="153">
        <f t="shared" si="12"/>
        <v>0</v>
      </c>
      <c r="I54" s="154">
        <f t="shared" si="13"/>
        <v>0</v>
      </c>
      <c r="J54" s="717"/>
      <c r="K54" s="153">
        <f t="shared" si="14"/>
        <v>0</v>
      </c>
      <c r="L54" s="85"/>
    </row>
    <row r="55" spans="2:12" hidden="1" outlineLevel="1" x14ac:dyDescent="0.2">
      <c r="B55" s="161" t="str">
        <f>Mitarbeiterverteilung!A40</f>
        <v/>
      </c>
      <c r="C55" s="150">
        <f>Mitarbeiterverteilung!BD40</f>
        <v>0</v>
      </c>
      <c r="D55" s="151">
        <f t="shared" si="10"/>
        <v>0</v>
      </c>
      <c r="E55" s="717"/>
      <c r="F55" s="152">
        <f t="shared" si="11"/>
        <v>0</v>
      </c>
      <c r="G55" s="717"/>
      <c r="H55" s="153">
        <f t="shared" si="12"/>
        <v>0</v>
      </c>
      <c r="I55" s="154">
        <f t="shared" si="13"/>
        <v>0</v>
      </c>
      <c r="J55" s="717"/>
      <c r="K55" s="153">
        <f t="shared" si="14"/>
        <v>0</v>
      </c>
      <c r="L55" s="85"/>
    </row>
    <row r="56" spans="2:12" hidden="1" outlineLevel="1" x14ac:dyDescent="0.2">
      <c r="B56" s="161" t="str">
        <f>Mitarbeiterverteilung!A41</f>
        <v/>
      </c>
      <c r="C56" s="150">
        <f>Mitarbeiterverteilung!BD41</f>
        <v>0</v>
      </c>
      <c r="D56" s="151">
        <f t="shared" si="10"/>
        <v>0</v>
      </c>
      <c r="E56" s="717"/>
      <c r="F56" s="152">
        <f t="shared" si="11"/>
        <v>0</v>
      </c>
      <c r="G56" s="717"/>
      <c r="H56" s="153">
        <f t="shared" si="12"/>
        <v>0</v>
      </c>
      <c r="I56" s="154">
        <f t="shared" si="13"/>
        <v>0</v>
      </c>
      <c r="J56" s="717"/>
      <c r="K56" s="153">
        <f t="shared" si="14"/>
        <v>0</v>
      </c>
      <c r="L56" s="85"/>
    </row>
    <row r="57" spans="2:12" hidden="1" outlineLevel="1" x14ac:dyDescent="0.2">
      <c r="B57" s="161" t="str">
        <f>Mitarbeiterverteilung!A42</f>
        <v/>
      </c>
      <c r="C57" s="150">
        <f>Mitarbeiterverteilung!BD42</f>
        <v>0</v>
      </c>
      <c r="D57" s="151">
        <f t="shared" si="10"/>
        <v>0</v>
      </c>
      <c r="E57" s="717"/>
      <c r="F57" s="152">
        <f t="shared" si="11"/>
        <v>0</v>
      </c>
      <c r="G57" s="717"/>
      <c r="H57" s="153">
        <f t="shared" si="12"/>
        <v>0</v>
      </c>
      <c r="I57" s="154">
        <f t="shared" si="13"/>
        <v>0</v>
      </c>
      <c r="J57" s="717"/>
      <c r="K57" s="153">
        <f t="shared" si="14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Mitarbeiterverteilung!BD43</f>
        <v>0</v>
      </c>
      <c r="D58" s="151">
        <f t="shared" ref="D58:D121" si="15">F58+I58-C58</f>
        <v>0</v>
      </c>
      <c r="E58" s="717"/>
      <c r="F58" s="152">
        <f t="shared" ref="F58:F121" si="16">C58*H58</f>
        <v>0</v>
      </c>
      <c r="G58" s="717"/>
      <c r="H58" s="153">
        <f t="shared" ref="H58:H121" si="17">IF(E58=0,0,G58/$E58)</f>
        <v>0</v>
      </c>
      <c r="I58" s="154">
        <f t="shared" ref="I58:I121" si="18">C58*K58</f>
        <v>0</v>
      </c>
      <c r="J58" s="717"/>
      <c r="K58" s="153">
        <f t="shared" ref="K58:K121" si="19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Mitarbeiterverteilung!BD44</f>
        <v>0</v>
      </c>
      <c r="D59" s="151">
        <f t="shared" si="15"/>
        <v>0</v>
      </c>
      <c r="E59" s="717"/>
      <c r="F59" s="152">
        <f t="shared" si="16"/>
        <v>0</v>
      </c>
      <c r="G59" s="717"/>
      <c r="H59" s="153">
        <f t="shared" si="17"/>
        <v>0</v>
      </c>
      <c r="I59" s="154">
        <f t="shared" si="18"/>
        <v>0</v>
      </c>
      <c r="J59" s="717"/>
      <c r="K59" s="153">
        <f t="shared" si="19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Mitarbeiterverteilung!BD45</f>
        <v>0</v>
      </c>
      <c r="D60" s="151">
        <f t="shared" si="15"/>
        <v>0</v>
      </c>
      <c r="E60" s="717"/>
      <c r="F60" s="152">
        <f t="shared" si="16"/>
        <v>0</v>
      </c>
      <c r="G60" s="717"/>
      <c r="H60" s="153">
        <f t="shared" si="17"/>
        <v>0</v>
      </c>
      <c r="I60" s="154">
        <f t="shared" si="18"/>
        <v>0</v>
      </c>
      <c r="J60" s="717"/>
      <c r="K60" s="153">
        <f t="shared" si="19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Mitarbeiterverteilung!BD46</f>
        <v>0</v>
      </c>
      <c r="D61" s="151">
        <f t="shared" si="15"/>
        <v>0</v>
      </c>
      <c r="E61" s="717"/>
      <c r="F61" s="152">
        <f t="shared" si="16"/>
        <v>0</v>
      </c>
      <c r="G61" s="717"/>
      <c r="H61" s="153">
        <f t="shared" si="17"/>
        <v>0</v>
      </c>
      <c r="I61" s="154">
        <f t="shared" si="18"/>
        <v>0</v>
      </c>
      <c r="J61" s="717"/>
      <c r="K61" s="153">
        <f t="shared" si="19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Mitarbeiterverteilung!BD47</f>
        <v>0</v>
      </c>
      <c r="D62" s="151">
        <f t="shared" si="15"/>
        <v>0</v>
      </c>
      <c r="E62" s="717"/>
      <c r="F62" s="152">
        <f t="shared" si="16"/>
        <v>0</v>
      </c>
      <c r="G62" s="717"/>
      <c r="H62" s="153">
        <f t="shared" si="17"/>
        <v>0</v>
      </c>
      <c r="I62" s="154">
        <f t="shared" si="18"/>
        <v>0</v>
      </c>
      <c r="J62" s="717"/>
      <c r="K62" s="153">
        <f t="shared" si="19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Mitarbeiterverteilung!BD48</f>
        <v>0</v>
      </c>
      <c r="D63" s="151">
        <f t="shared" si="15"/>
        <v>0</v>
      </c>
      <c r="E63" s="717"/>
      <c r="F63" s="152">
        <f t="shared" si="16"/>
        <v>0</v>
      </c>
      <c r="G63" s="717"/>
      <c r="H63" s="153">
        <f t="shared" si="17"/>
        <v>0</v>
      </c>
      <c r="I63" s="154">
        <f t="shared" si="18"/>
        <v>0</v>
      </c>
      <c r="J63" s="717"/>
      <c r="K63" s="153">
        <f t="shared" si="19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Mitarbeiterverteilung!BD49</f>
        <v>0</v>
      </c>
      <c r="D64" s="151">
        <f t="shared" si="15"/>
        <v>0</v>
      </c>
      <c r="E64" s="717"/>
      <c r="F64" s="152">
        <f t="shared" si="16"/>
        <v>0</v>
      </c>
      <c r="G64" s="717"/>
      <c r="H64" s="153">
        <f t="shared" si="17"/>
        <v>0</v>
      </c>
      <c r="I64" s="154">
        <f t="shared" si="18"/>
        <v>0</v>
      </c>
      <c r="J64" s="717"/>
      <c r="K64" s="153">
        <f t="shared" si="19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Mitarbeiterverteilung!BD50</f>
        <v>0</v>
      </c>
      <c r="D65" s="151">
        <f t="shared" si="15"/>
        <v>0</v>
      </c>
      <c r="E65" s="717"/>
      <c r="F65" s="152">
        <f t="shared" si="16"/>
        <v>0</v>
      </c>
      <c r="G65" s="717"/>
      <c r="H65" s="153">
        <f t="shared" si="17"/>
        <v>0</v>
      </c>
      <c r="I65" s="154">
        <f t="shared" si="18"/>
        <v>0</v>
      </c>
      <c r="J65" s="717"/>
      <c r="K65" s="153">
        <f t="shared" si="19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Mitarbeiterverteilung!BD51</f>
        <v>0</v>
      </c>
      <c r="D66" s="151">
        <f t="shared" si="15"/>
        <v>0</v>
      </c>
      <c r="E66" s="717"/>
      <c r="F66" s="152">
        <f t="shared" si="16"/>
        <v>0</v>
      </c>
      <c r="G66" s="717"/>
      <c r="H66" s="153">
        <f t="shared" si="17"/>
        <v>0</v>
      </c>
      <c r="I66" s="154">
        <f t="shared" si="18"/>
        <v>0</v>
      </c>
      <c r="J66" s="717"/>
      <c r="K66" s="153">
        <f t="shared" si="19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Mitarbeiterverteilung!BD52</f>
        <v>0</v>
      </c>
      <c r="D67" s="151">
        <f t="shared" si="15"/>
        <v>0</v>
      </c>
      <c r="E67" s="717"/>
      <c r="F67" s="152">
        <f t="shared" si="16"/>
        <v>0</v>
      </c>
      <c r="G67" s="717"/>
      <c r="H67" s="153">
        <f t="shared" si="17"/>
        <v>0</v>
      </c>
      <c r="I67" s="154">
        <f t="shared" si="18"/>
        <v>0</v>
      </c>
      <c r="J67" s="717"/>
      <c r="K67" s="153">
        <f t="shared" si="19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Mitarbeiterverteilung!BD53</f>
        <v>0</v>
      </c>
      <c r="D68" s="151">
        <f t="shared" si="15"/>
        <v>0</v>
      </c>
      <c r="E68" s="717"/>
      <c r="F68" s="152">
        <f t="shared" si="16"/>
        <v>0</v>
      </c>
      <c r="G68" s="717"/>
      <c r="H68" s="153">
        <f t="shared" si="17"/>
        <v>0</v>
      </c>
      <c r="I68" s="154">
        <f t="shared" si="18"/>
        <v>0</v>
      </c>
      <c r="J68" s="717"/>
      <c r="K68" s="153">
        <f t="shared" si="19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Mitarbeiterverteilung!BD54</f>
        <v>0</v>
      </c>
      <c r="D69" s="151">
        <f t="shared" si="15"/>
        <v>0</v>
      </c>
      <c r="E69" s="717"/>
      <c r="F69" s="152">
        <f t="shared" si="16"/>
        <v>0</v>
      </c>
      <c r="G69" s="717"/>
      <c r="H69" s="153">
        <f t="shared" si="17"/>
        <v>0</v>
      </c>
      <c r="I69" s="154">
        <f t="shared" si="18"/>
        <v>0</v>
      </c>
      <c r="J69" s="717"/>
      <c r="K69" s="153">
        <f t="shared" si="19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Mitarbeiterverteilung!BD55</f>
        <v>0</v>
      </c>
      <c r="D70" s="151">
        <f t="shared" si="15"/>
        <v>0</v>
      </c>
      <c r="E70" s="717"/>
      <c r="F70" s="152">
        <f t="shared" si="16"/>
        <v>0</v>
      </c>
      <c r="G70" s="717"/>
      <c r="H70" s="153">
        <f t="shared" si="17"/>
        <v>0</v>
      </c>
      <c r="I70" s="154">
        <f t="shared" si="18"/>
        <v>0</v>
      </c>
      <c r="J70" s="717"/>
      <c r="K70" s="153">
        <f t="shared" si="19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Mitarbeiterverteilung!BD56</f>
        <v>0</v>
      </c>
      <c r="D71" s="151">
        <f t="shared" si="15"/>
        <v>0</v>
      </c>
      <c r="E71" s="717"/>
      <c r="F71" s="152">
        <f t="shared" si="16"/>
        <v>0</v>
      </c>
      <c r="G71" s="717"/>
      <c r="H71" s="153">
        <f t="shared" si="17"/>
        <v>0</v>
      </c>
      <c r="I71" s="154">
        <f t="shared" si="18"/>
        <v>0</v>
      </c>
      <c r="J71" s="717"/>
      <c r="K71" s="153">
        <f t="shared" si="19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Mitarbeiterverteilung!BD57</f>
        <v>0</v>
      </c>
      <c r="D72" s="151">
        <f t="shared" si="15"/>
        <v>0</v>
      </c>
      <c r="E72" s="717"/>
      <c r="F72" s="152">
        <f t="shared" si="16"/>
        <v>0</v>
      </c>
      <c r="G72" s="717"/>
      <c r="H72" s="153">
        <f t="shared" si="17"/>
        <v>0</v>
      </c>
      <c r="I72" s="154">
        <f t="shared" si="18"/>
        <v>0</v>
      </c>
      <c r="J72" s="717"/>
      <c r="K72" s="153">
        <f t="shared" si="19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Mitarbeiterverteilung!BD58</f>
        <v>0</v>
      </c>
      <c r="D73" s="151">
        <f t="shared" si="15"/>
        <v>0</v>
      </c>
      <c r="E73" s="717"/>
      <c r="F73" s="152">
        <f t="shared" si="16"/>
        <v>0</v>
      </c>
      <c r="G73" s="717"/>
      <c r="H73" s="153">
        <f t="shared" si="17"/>
        <v>0</v>
      </c>
      <c r="I73" s="154">
        <f t="shared" si="18"/>
        <v>0</v>
      </c>
      <c r="J73" s="717"/>
      <c r="K73" s="153">
        <f t="shared" si="19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Mitarbeiterverteilung!BD59</f>
        <v>0</v>
      </c>
      <c r="D74" s="151">
        <f t="shared" si="15"/>
        <v>0</v>
      </c>
      <c r="E74" s="717"/>
      <c r="F74" s="152">
        <f t="shared" si="16"/>
        <v>0</v>
      </c>
      <c r="G74" s="717"/>
      <c r="H74" s="153">
        <f t="shared" si="17"/>
        <v>0</v>
      </c>
      <c r="I74" s="154">
        <f t="shared" si="18"/>
        <v>0</v>
      </c>
      <c r="J74" s="717"/>
      <c r="K74" s="153">
        <f t="shared" si="19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Mitarbeiterverteilung!BD60</f>
        <v>0</v>
      </c>
      <c r="D75" s="151">
        <f t="shared" si="15"/>
        <v>0</v>
      </c>
      <c r="E75" s="717"/>
      <c r="F75" s="152">
        <f t="shared" si="16"/>
        <v>0</v>
      </c>
      <c r="G75" s="717"/>
      <c r="H75" s="153">
        <f t="shared" si="17"/>
        <v>0</v>
      </c>
      <c r="I75" s="154">
        <f t="shared" si="18"/>
        <v>0</v>
      </c>
      <c r="J75" s="717"/>
      <c r="K75" s="153">
        <f t="shared" si="19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Mitarbeiterverteilung!BD61</f>
        <v>0</v>
      </c>
      <c r="D76" s="151">
        <f t="shared" si="15"/>
        <v>0</v>
      </c>
      <c r="E76" s="717"/>
      <c r="F76" s="152">
        <f t="shared" si="16"/>
        <v>0</v>
      </c>
      <c r="G76" s="717"/>
      <c r="H76" s="153">
        <f t="shared" si="17"/>
        <v>0</v>
      </c>
      <c r="I76" s="154">
        <f t="shared" si="18"/>
        <v>0</v>
      </c>
      <c r="J76" s="717"/>
      <c r="K76" s="153">
        <f t="shared" si="19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Mitarbeiterverteilung!BD62</f>
        <v>0</v>
      </c>
      <c r="D77" s="151">
        <f t="shared" si="15"/>
        <v>0</v>
      </c>
      <c r="E77" s="717"/>
      <c r="F77" s="152">
        <f t="shared" si="16"/>
        <v>0</v>
      </c>
      <c r="G77" s="717"/>
      <c r="H77" s="153">
        <f t="shared" si="17"/>
        <v>0</v>
      </c>
      <c r="I77" s="154">
        <f t="shared" si="18"/>
        <v>0</v>
      </c>
      <c r="J77" s="717"/>
      <c r="K77" s="153">
        <f t="shared" si="19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Mitarbeiterverteilung!BD63</f>
        <v>0</v>
      </c>
      <c r="D78" s="151">
        <f t="shared" si="15"/>
        <v>0</v>
      </c>
      <c r="E78" s="717"/>
      <c r="F78" s="152">
        <f t="shared" si="16"/>
        <v>0</v>
      </c>
      <c r="G78" s="717"/>
      <c r="H78" s="153">
        <f t="shared" si="17"/>
        <v>0</v>
      </c>
      <c r="I78" s="154">
        <f t="shared" si="18"/>
        <v>0</v>
      </c>
      <c r="J78" s="717"/>
      <c r="K78" s="153">
        <f t="shared" si="19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Mitarbeiterverteilung!BD64</f>
        <v>0</v>
      </c>
      <c r="D79" s="151">
        <f t="shared" si="15"/>
        <v>0</v>
      </c>
      <c r="E79" s="717"/>
      <c r="F79" s="152">
        <f t="shared" si="16"/>
        <v>0</v>
      </c>
      <c r="G79" s="717"/>
      <c r="H79" s="153">
        <f t="shared" si="17"/>
        <v>0</v>
      </c>
      <c r="I79" s="154">
        <f t="shared" si="18"/>
        <v>0</v>
      </c>
      <c r="J79" s="717"/>
      <c r="K79" s="153">
        <f t="shared" si="19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Mitarbeiterverteilung!BD65</f>
        <v>0</v>
      </c>
      <c r="D80" s="151">
        <f t="shared" si="15"/>
        <v>0</v>
      </c>
      <c r="E80" s="717"/>
      <c r="F80" s="152">
        <f t="shared" si="16"/>
        <v>0</v>
      </c>
      <c r="G80" s="717"/>
      <c r="H80" s="153">
        <f t="shared" si="17"/>
        <v>0</v>
      </c>
      <c r="I80" s="154">
        <f t="shared" si="18"/>
        <v>0</v>
      </c>
      <c r="J80" s="717"/>
      <c r="K80" s="153">
        <f t="shared" si="19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Mitarbeiterverteilung!BD66</f>
        <v>0</v>
      </c>
      <c r="D81" s="151">
        <f t="shared" si="15"/>
        <v>0</v>
      </c>
      <c r="E81" s="717"/>
      <c r="F81" s="152">
        <f t="shared" si="16"/>
        <v>0</v>
      </c>
      <c r="G81" s="717"/>
      <c r="H81" s="153">
        <f t="shared" si="17"/>
        <v>0</v>
      </c>
      <c r="I81" s="154">
        <f t="shared" si="18"/>
        <v>0</v>
      </c>
      <c r="J81" s="717"/>
      <c r="K81" s="153">
        <f t="shared" si="19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Mitarbeiterverteilung!BD67</f>
        <v>0</v>
      </c>
      <c r="D82" s="151">
        <f t="shared" si="15"/>
        <v>0</v>
      </c>
      <c r="E82" s="717"/>
      <c r="F82" s="152">
        <f t="shared" si="16"/>
        <v>0</v>
      </c>
      <c r="G82" s="717"/>
      <c r="H82" s="153">
        <f t="shared" si="17"/>
        <v>0</v>
      </c>
      <c r="I82" s="154">
        <f t="shared" si="18"/>
        <v>0</v>
      </c>
      <c r="J82" s="717"/>
      <c r="K82" s="153">
        <f t="shared" si="19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Mitarbeiterverteilung!BD68</f>
        <v>0</v>
      </c>
      <c r="D83" s="151">
        <f t="shared" si="15"/>
        <v>0</v>
      </c>
      <c r="E83" s="717"/>
      <c r="F83" s="152">
        <f t="shared" si="16"/>
        <v>0</v>
      </c>
      <c r="G83" s="717"/>
      <c r="H83" s="153">
        <f t="shared" si="17"/>
        <v>0</v>
      </c>
      <c r="I83" s="154">
        <f t="shared" si="18"/>
        <v>0</v>
      </c>
      <c r="J83" s="717"/>
      <c r="K83" s="153">
        <f t="shared" si="19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Mitarbeiterverteilung!BD69</f>
        <v>0</v>
      </c>
      <c r="D84" s="151">
        <f t="shared" si="15"/>
        <v>0</v>
      </c>
      <c r="E84" s="717"/>
      <c r="F84" s="152">
        <f t="shared" si="16"/>
        <v>0</v>
      </c>
      <c r="G84" s="717"/>
      <c r="H84" s="153">
        <f t="shared" si="17"/>
        <v>0</v>
      </c>
      <c r="I84" s="154">
        <f t="shared" si="18"/>
        <v>0</v>
      </c>
      <c r="J84" s="717"/>
      <c r="K84" s="153">
        <f t="shared" si="19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Mitarbeiterverteilung!BD70</f>
        <v>0</v>
      </c>
      <c r="D85" s="151">
        <f t="shared" si="15"/>
        <v>0</v>
      </c>
      <c r="E85" s="717"/>
      <c r="F85" s="152">
        <f t="shared" si="16"/>
        <v>0</v>
      </c>
      <c r="G85" s="717"/>
      <c r="H85" s="153">
        <f t="shared" si="17"/>
        <v>0</v>
      </c>
      <c r="I85" s="154">
        <f t="shared" si="18"/>
        <v>0</v>
      </c>
      <c r="J85" s="717"/>
      <c r="K85" s="153">
        <f t="shared" si="19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Mitarbeiterverteilung!BD71</f>
        <v>0</v>
      </c>
      <c r="D86" s="151">
        <f t="shared" si="15"/>
        <v>0</v>
      </c>
      <c r="E86" s="717"/>
      <c r="F86" s="152">
        <f t="shared" si="16"/>
        <v>0</v>
      </c>
      <c r="G86" s="717"/>
      <c r="H86" s="153">
        <f t="shared" si="17"/>
        <v>0</v>
      </c>
      <c r="I86" s="154">
        <f t="shared" si="18"/>
        <v>0</v>
      </c>
      <c r="J86" s="717"/>
      <c r="K86" s="153">
        <f t="shared" si="19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Mitarbeiterverteilung!BD72</f>
        <v>0</v>
      </c>
      <c r="D87" s="151">
        <f t="shared" si="15"/>
        <v>0</v>
      </c>
      <c r="E87" s="717"/>
      <c r="F87" s="152">
        <f t="shared" si="16"/>
        <v>0</v>
      </c>
      <c r="G87" s="717"/>
      <c r="H87" s="153">
        <f t="shared" si="17"/>
        <v>0</v>
      </c>
      <c r="I87" s="154">
        <f t="shared" si="18"/>
        <v>0</v>
      </c>
      <c r="J87" s="717"/>
      <c r="K87" s="153">
        <f t="shared" si="19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Mitarbeiterverteilung!BD73</f>
        <v>0</v>
      </c>
      <c r="D88" s="151">
        <f t="shared" si="15"/>
        <v>0</v>
      </c>
      <c r="E88" s="717"/>
      <c r="F88" s="152">
        <f t="shared" si="16"/>
        <v>0</v>
      </c>
      <c r="G88" s="717"/>
      <c r="H88" s="153">
        <f t="shared" si="17"/>
        <v>0</v>
      </c>
      <c r="I88" s="154">
        <f t="shared" si="18"/>
        <v>0</v>
      </c>
      <c r="J88" s="717"/>
      <c r="K88" s="153">
        <f t="shared" si="19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Mitarbeiterverteilung!BD74</f>
        <v>0</v>
      </c>
      <c r="D89" s="151">
        <f t="shared" si="15"/>
        <v>0</v>
      </c>
      <c r="E89" s="717"/>
      <c r="F89" s="152">
        <f t="shared" si="16"/>
        <v>0</v>
      </c>
      <c r="G89" s="717"/>
      <c r="H89" s="153">
        <f t="shared" si="17"/>
        <v>0</v>
      </c>
      <c r="I89" s="154">
        <f t="shared" si="18"/>
        <v>0</v>
      </c>
      <c r="J89" s="717"/>
      <c r="K89" s="153">
        <f t="shared" si="19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Mitarbeiterverteilung!BD75</f>
        <v>0</v>
      </c>
      <c r="D90" s="151">
        <f t="shared" si="15"/>
        <v>0</v>
      </c>
      <c r="E90" s="717"/>
      <c r="F90" s="152">
        <f t="shared" si="16"/>
        <v>0</v>
      </c>
      <c r="G90" s="717"/>
      <c r="H90" s="153">
        <f t="shared" si="17"/>
        <v>0</v>
      </c>
      <c r="I90" s="154">
        <f t="shared" si="18"/>
        <v>0</v>
      </c>
      <c r="J90" s="717"/>
      <c r="K90" s="153">
        <f t="shared" si="19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Mitarbeiterverteilung!BD76</f>
        <v>0</v>
      </c>
      <c r="D91" s="151">
        <f t="shared" si="15"/>
        <v>0</v>
      </c>
      <c r="E91" s="717"/>
      <c r="F91" s="152">
        <f t="shared" si="16"/>
        <v>0</v>
      </c>
      <c r="G91" s="717"/>
      <c r="H91" s="153">
        <f t="shared" si="17"/>
        <v>0</v>
      </c>
      <c r="I91" s="154">
        <f t="shared" si="18"/>
        <v>0</v>
      </c>
      <c r="J91" s="717"/>
      <c r="K91" s="153">
        <f t="shared" si="19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Mitarbeiterverteilung!BD77</f>
        <v>0</v>
      </c>
      <c r="D92" s="151">
        <f t="shared" si="15"/>
        <v>0</v>
      </c>
      <c r="E92" s="717"/>
      <c r="F92" s="152">
        <f t="shared" si="16"/>
        <v>0</v>
      </c>
      <c r="G92" s="717"/>
      <c r="H92" s="153">
        <f t="shared" si="17"/>
        <v>0</v>
      </c>
      <c r="I92" s="154">
        <f t="shared" si="18"/>
        <v>0</v>
      </c>
      <c r="J92" s="717"/>
      <c r="K92" s="153">
        <f t="shared" si="19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Mitarbeiterverteilung!BD78</f>
        <v>0</v>
      </c>
      <c r="D93" s="151">
        <f t="shared" si="15"/>
        <v>0</v>
      </c>
      <c r="E93" s="717"/>
      <c r="F93" s="152">
        <f t="shared" si="16"/>
        <v>0</v>
      </c>
      <c r="G93" s="717"/>
      <c r="H93" s="153">
        <f t="shared" si="17"/>
        <v>0</v>
      </c>
      <c r="I93" s="154">
        <f t="shared" si="18"/>
        <v>0</v>
      </c>
      <c r="J93" s="717"/>
      <c r="K93" s="153">
        <f t="shared" si="19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Mitarbeiterverteilung!BD79</f>
        <v>0</v>
      </c>
      <c r="D94" s="151">
        <f t="shared" si="15"/>
        <v>0</v>
      </c>
      <c r="E94" s="717"/>
      <c r="F94" s="152">
        <f t="shared" si="16"/>
        <v>0</v>
      </c>
      <c r="G94" s="717"/>
      <c r="H94" s="153">
        <f t="shared" si="17"/>
        <v>0</v>
      </c>
      <c r="I94" s="154">
        <f t="shared" si="18"/>
        <v>0</v>
      </c>
      <c r="J94" s="717"/>
      <c r="K94" s="153">
        <f t="shared" si="19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Mitarbeiterverteilung!BD80</f>
        <v>0</v>
      </c>
      <c r="D95" s="151">
        <f t="shared" si="15"/>
        <v>0</v>
      </c>
      <c r="E95" s="717"/>
      <c r="F95" s="152">
        <f t="shared" si="16"/>
        <v>0</v>
      </c>
      <c r="G95" s="717"/>
      <c r="H95" s="153">
        <f t="shared" si="17"/>
        <v>0</v>
      </c>
      <c r="I95" s="154">
        <f t="shared" si="18"/>
        <v>0</v>
      </c>
      <c r="J95" s="717"/>
      <c r="K95" s="153">
        <f t="shared" si="19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Mitarbeiterverteilung!BD81</f>
        <v>0</v>
      </c>
      <c r="D96" s="151">
        <f t="shared" si="15"/>
        <v>0</v>
      </c>
      <c r="E96" s="717"/>
      <c r="F96" s="152">
        <f t="shared" si="16"/>
        <v>0</v>
      </c>
      <c r="G96" s="717"/>
      <c r="H96" s="153">
        <f t="shared" si="17"/>
        <v>0</v>
      </c>
      <c r="I96" s="154">
        <f t="shared" si="18"/>
        <v>0</v>
      </c>
      <c r="J96" s="717"/>
      <c r="K96" s="153">
        <f t="shared" si="19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Mitarbeiterverteilung!BD82</f>
        <v>0</v>
      </c>
      <c r="D97" s="151">
        <f t="shared" si="15"/>
        <v>0</v>
      </c>
      <c r="E97" s="717"/>
      <c r="F97" s="152">
        <f t="shared" si="16"/>
        <v>0</v>
      </c>
      <c r="G97" s="717"/>
      <c r="H97" s="153">
        <f t="shared" si="17"/>
        <v>0</v>
      </c>
      <c r="I97" s="154">
        <f t="shared" si="18"/>
        <v>0</v>
      </c>
      <c r="J97" s="717"/>
      <c r="K97" s="153">
        <f t="shared" si="19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Mitarbeiterverteilung!BD83</f>
        <v>0</v>
      </c>
      <c r="D98" s="151">
        <f t="shared" si="15"/>
        <v>0</v>
      </c>
      <c r="E98" s="717"/>
      <c r="F98" s="152">
        <f t="shared" si="16"/>
        <v>0</v>
      </c>
      <c r="G98" s="717"/>
      <c r="H98" s="153">
        <f t="shared" si="17"/>
        <v>0</v>
      </c>
      <c r="I98" s="154">
        <f t="shared" si="18"/>
        <v>0</v>
      </c>
      <c r="J98" s="717"/>
      <c r="K98" s="153">
        <f t="shared" si="19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Mitarbeiterverteilung!BD84</f>
        <v>0</v>
      </c>
      <c r="D99" s="151">
        <f t="shared" si="15"/>
        <v>0</v>
      </c>
      <c r="E99" s="717"/>
      <c r="F99" s="152">
        <f t="shared" si="16"/>
        <v>0</v>
      </c>
      <c r="G99" s="717"/>
      <c r="H99" s="153">
        <f t="shared" si="17"/>
        <v>0</v>
      </c>
      <c r="I99" s="154">
        <f t="shared" si="18"/>
        <v>0</v>
      </c>
      <c r="J99" s="717"/>
      <c r="K99" s="153">
        <f t="shared" si="19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Mitarbeiterverteilung!BD85</f>
        <v>0</v>
      </c>
      <c r="D100" s="151">
        <f t="shared" si="15"/>
        <v>0</v>
      </c>
      <c r="E100" s="717"/>
      <c r="F100" s="152">
        <f t="shared" si="16"/>
        <v>0</v>
      </c>
      <c r="G100" s="717"/>
      <c r="H100" s="153">
        <f t="shared" si="17"/>
        <v>0</v>
      </c>
      <c r="I100" s="154">
        <f t="shared" si="18"/>
        <v>0</v>
      </c>
      <c r="J100" s="717"/>
      <c r="K100" s="153">
        <f t="shared" si="19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Mitarbeiterverteilung!BD86</f>
        <v>0</v>
      </c>
      <c r="D101" s="151">
        <f t="shared" si="15"/>
        <v>0</v>
      </c>
      <c r="E101" s="717"/>
      <c r="F101" s="152">
        <f t="shared" si="16"/>
        <v>0</v>
      </c>
      <c r="G101" s="717"/>
      <c r="H101" s="153">
        <f t="shared" si="17"/>
        <v>0</v>
      </c>
      <c r="I101" s="154">
        <f t="shared" si="18"/>
        <v>0</v>
      </c>
      <c r="J101" s="717"/>
      <c r="K101" s="153">
        <f t="shared" si="19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Mitarbeiterverteilung!BD87</f>
        <v>0</v>
      </c>
      <c r="D102" s="151">
        <f t="shared" si="15"/>
        <v>0</v>
      </c>
      <c r="E102" s="717"/>
      <c r="F102" s="152">
        <f t="shared" si="16"/>
        <v>0</v>
      </c>
      <c r="G102" s="717"/>
      <c r="H102" s="153">
        <f t="shared" si="17"/>
        <v>0</v>
      </c>
      <c r="I102" s="154">
        <f t="shared" si="18"/>
        <v>0</v>
      </c>
      <c r="J102" s="717"/>
      <c r="K102" s="153">
        <f t="shared" si="19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Mitarbeiterverteilung!BD88</f>
        <v>0</v>
      </c>
      <c r="D103" s="151">
        <f t="shared" si="15"/>
        <v>0</v>
      </c>
      <c r="E103" s="717"/>
      <c r="F103" s="152">
        <f t="shared" si="16"/>
        <v>0</v>
      </c>
      <c r="G103" s="717"/>
      <c r="H103" s="153">
        <f t="shared" si="17"/>
        <v>0</v>
      </c>
      <c r="I103" s="154">
        <f t="shared" si="18"/>
        <v>0</v>
      </c>
      <c r="J103" s="717"/>
      <c r="K103" s="153">
        <f t="shared" si="19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Mitarbeiterverteilung!BD89</f>
        <v>0</v>
      </c>
      <c r="D104" s="151">
        <f t="shared" si="15"/>
        <v>0</v>
      </c>
      <c r="E104" s="717"/>
      <c r="F104" s="152">
        <f t="shared" si="16"/>
        <v>0</v>
      </c>
      <c r="G104" s="717"/>
      <c r="H104" s="153">
        <f t="shared" si="17"/>
        <v>0</v>
      </c>
      <c r="I104" s="154">
        <f t="shared" si="18"/>
        <v>0</v>
      </c>
      <c r="J104" s="717"/>
      <c r="K104" s="153">
        <f t="shared" si="19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Mitarbeiterverteilung!BD90</f>
        <v>0</v>
      </c>
      <c r="D105" s="151">
        <f t="shared" si="15"/>
        <v>0</v>
      </c>
      <c r="E105" s="717"/>
      <c r="F105" s="152">
        <f t="shared" si="16"/>
        <v>0</v>
      </c>
      <c r="G105" s="717"/>
      <c r="H105" s="153">
        <f t="shared" si="17"/>
        <v>0</v>
      </c>
      <c r="I105" s="154">
        <f t="shared" si="18"/>
        <v>0</v>
      </c>
      <c r="J105" s="717"/>
      <c r="K105" s="153">
        <f t="shared" si="19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Mitarbeiterverteilung!BD91</f>
        <v>0</v>
      </c>
      <c r="D106" s="151">
        <f t="shared" si="15"/>
        <v>0</v>
      </c>
      <c r="E106" s="717"/>
      <c r="F106" s="152">
        <f t="shared" si="16"/>
        <v>0</v>
      </c>
      <c r="G106" s="717"/>
      <c r="H106" s="153">
        <f t="shared" si="17"/>
        <v>0</v>
      </c>
      <c r="I106" s="154">
        <f t="shared" si="18"/>
        <v>0</v>
      </c>
      <c r="J106" s="717"/>
      <c r="K106" s="153">
        <f t="shared" si="19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Mitarbeiterverteilung!BD92</f>
        <v>0</v>
      </c>
      <c r="D107" s="151">
        <f t="shared" si="15"/>
        <v>0</v>
      </c>
      <c r="E107" s="717"/>
      <c r="F107" s="152">
        <f t="shared" si="16"/>
        <v>0</v>
      </c>
      <c r="G107" s="717"/>
      <c r="H107" s="153">
        <f t="shared" si="17"/>
        <v>0</v>
      </c>
      <c r="I107" s="154">
        <f t="shared" si="18"/>
        <v>0</v>
      </c>
      <c r="J107" s="717"/>
      <c r="K107" s="153">
        <f t="shared" si="19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Mitarbeiterverteilung!BD93</f>
        <v>0</v>
      </c>
      <c r="D108" s="151">
        <f t="shared" si="15"/>
        <v>0</v>
      </c>
      <c r="E108" s="717"/>
      <c r="F108" s="152">
        <f t="shared" si="16"/>
        <v>0</v>
      </c>
      <c r="G108" s="717"/>
      <c r="H108" s="153">
        <f t="shared" si="17"/>
        <v>0</v>
      </c>
      <c r="I108" s="154">
        <f t="shared" si="18"/>
        <v>0</v>
      </c>
      <c r="J108" s="717"/>
      <c r="K108" s="153">
        <f t="shared" si="19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Mitarbeiterverteilung!BD94</f>
        <v>0</v>
      </c>
      <c r="D109" s="151">
        <f t="shared" si="15"/>
        <v>0</v>
      </c>
      <c r="E109" s="717"/>
      <c r="F109" s="152">
        <f t="shared" si="16"/>
        <v>0</v>
      </c>
      <c r="G109" s="717"/>
      <c r="H109" s="153">
        <f t="shared" si="17"/>
        <v>0</v>
      </c>
      <c r="I109" s="154">
        <f t="shared" si="18"/>
        <v>0</v>
      </c>
      <c r="J109" s="717"/>
      <c r="K109" s="153">
        <f t="shared" si="19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Mitarbeiterverteilung!BD95</f>
        <v>0</v>
      </c>
      <c r="D110" s="151">
        <f t="shared" si="15"/>
        <v>0</v>
      </c>
      <c r="E110" s="717"/>
      <c r="F110" s="152">
        <f t="shared" si="16"/>
        <v>0</v>
      </c>
      <c r="G110" s="717"/>
      <c r="H110" s="153">
        <f t="shared" si="17"/>
        <v>0</v>
      </c>
      <c r="I110" s="154">
        <f t="shared" si="18"/>
        <v>0</v>
      </c>
      <c r="J110" s="717"/>
      <c r="K110" s="153">
        <f t="shared" si="19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Mitarbeiterverteilung!BD96</f>
        <v>0</v>
      </c>
      <c r="D111" s="151">
        <f t="shared" si="15"/>
        <v>0</v>
      </c>
      <c r="E111" s="717"/>
      <c r="F111" s="152">
        <f t="shared" si="16"/>
        <v>0</v>
      </c>
      <c r="G111" s="717"/>
      <c r="H111" s="153">
        <f t="shared" si="17"/>
        <v>0</v>
      </c>
      <c r="I111" s="154">
        <f t="shared" si="18"/>
        <v>0</v>
      </c>
      <c r="J111" s="717"/>
      <c r="K111" s="153">
        <f t="shared" si="19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Mitarbeiterverteilung!BD97</f>
        <v>0</v>
      </c>
      <c r="D112" s="151">
        <f t="shared" si="15"/>
        <v>0</v>
      </c>
      <c r="E112" s="717"/>
      <c r="F112" s="152">
        <f t="shared" si="16"/>
        <v>0</v>
      </c>
      <c r="G112" s="717"/>
      <c r="H112" s="153">
        <f t="shared" si="17"/>
        <v>0</v>
      </c>
      <c r="I112" s="154">
        <f t="shared" si="18"/>
        <v>0</v>
      </c>
      <c r="J112" s="717"/>
      <c r="K112" s="153">
        <f t="shared" si="19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Mitarbeiterverteilung!BD98</f>
        <v>0</v>
      </c>
      <c r="D113" s="151">
        <f t="shared" si="15"/>
        <v>0</v>
      </c>
      <c r="E113" s="717"/>
      <c r="F113" s="152">
        <f t="shared" si="16"/>
        <v>0</v>
      </c>
      <c r="G113" s="717"/>
      <c r="H113" s="153">
        <f t="shared" si="17"/>
        <v>0</v>
      </c>
      <c r="I113" s="154">
        <f t="shared" si="18"/>
        <v>0</v>
      </c>
      <c r="J113" s="717"/>
      <c r="K113" s="153">
        <f t="shared" si="19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Mitarbeiterverteilung!BD99</f>
        <v>0</v>
      </c>
      <c r="D114" s="151">
        <f t="shared" si="15"/>
        <v>0</v>
      </c>
      <c r="E114" s="717"/>
      <c r="F114" s="152">
        <f t="shared" si="16"/>
        <v>0</v>
      </c>
      <c r="G114" s="717"/>
      <c r="H114" s="153">
        <f t="shared" si="17"/>
        <v>0</v>
      </c>
      <c r="I114" s="154">
        <f t="shared" si="18"/>
        <v>0</v>
      </c>
      <c r="J114" s="717"/>
      <c r="K114" s="153">
        <f t="shared" si="19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Mitarbeiterverteilung!BD100</f>
        <v>0</v>
      </c>
      <c r="D115" s="151">
        <f t="shared" si="15"/>
        <v>0</v>
      </c>
      <c r="E115" s="717"/>
      <c r="F115" s="152">
        <f t="shared" si="16"/>
        <v>0</v>
      </c>
      <c r="G115" s="717"/>
      <c r="H115" s="153">
        <f t="shared" si="17"/>
        <v>0</v>
      </c>
      <c r="I115" s="154">
        <f t="shared" si="18"/>
        <v>0</v>
      </c>
      <c r="J115" s="717"/>
      <c r="K115" s="153">
        <f t="shared" si="19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Mitarbeiterverteilung!BD101</f>
        <v>0</v>
      </c>
      <c r="D116" s="151">
        <f t="shared" si="15"/>
        <v>0</v>
      </c>
      <c r="E116" s="717"/>
      <c r="F116" s="152">
        <f t="shared" si="16"/>
        <v>0</v>
      </c>
      <c r="G116" s="717"/>
      <c r="H116" s="153">
        <f t="shared" si="17"/>
        <v>0</v>
      </c>
      <c r="I116" s="154">
        <f t="shared" si="18"/>
        <v>0</v>
      </c>
      <c r="J116" s="717"/>
      <c r="K116" s="153">
        <f t="shared" si="19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Mitarbeiterverteilung!BD102</f>
        <v>0</v>
      </c>
      <c r="D117" s="151">
        <f t="shared" si="15"/>
        <v>0</v>
      </c>
      <c r="E117" s="717"/>
      <c r="F117" s="152">
        <f t="shared" si="16"/>
        <v>0</v>
      </c>
      <c r="G117" s="717"/>
      <c r="H117" s="153">
        <f t="shared" si="17"/>
        <v>0</v>
      </c>
      <c r="I117" s="154">
        <f t="shared" si="18"/>
        <v>0</v>
      </c>
      <c r="J117" s="717"/>
      <c r="K117" s="153">
        <f t="shared" si="19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Mitarbeiterverteilung!BD103</f>
        <v>0</v>
      </c>
      <c r="D118" s="151">
        <f t="shared" si="15"/>
        <v>0</v>
      </c>
      <c r="E118" s="717"/>
      <c r="F118" s="152">
        <f t="shared" si="16"/>
        <v>0</v>
      </c>
      <c r="G118" s="717"/>
      <c r="H118" s="153">
        <f t="shared" si="17"/>
        <v>0</v>
      </c>
      <c r="I118" s="154">
        <f t="shared" si="18"/>
        <v>0</v>
      </c>
      <c r="J118" s="717"/>
      <c r="K118" s="153">
        <f t="shared" si="19"/>
        <v>0</v>
      </c>
      <c r="L118" s="85"/>
    </row>
    <row r="119" spans="1:12" hidden="1" outlineLevel="1" x14ac:dyDescent="0.2">
      <c r="B119" s="161" t="str">
        <f>Mitarbeiterverteilung!A104</f>
        <v/>
      </c>
      <c r="C119" s="150">
        <f>Mitarbeiterverteilung!BD104</f>
        <v>0</v>
      </c>
      <c r="D119" s="151">
        <f t="shared" si="15"/>
        <v>0</v>
      </c>
      <c r="E119" s="717"/>
      <c r="F119" s="152">
        <f t="shared" si="16"/>
        <v>0</v>
      </c>
      <c r="G119" s="717"/>
      <c r="H119" s="153">
        <f t="shared" si="17"/>
        <v>0</v>
      </c>
      <c r="I119" s="154">
        <f t="shared" si="18"/>
        <v>0</v>
      </c>
      <c r="J119" s="717"/>
      <c r="K119" s="153">
        <f t="shared" si="19"/>
        <v>0</v>
      </c>
      <c r="L119" s="85"/>
    </row>
    <row r="120" spans="1:12" hidden="1" outlineLevel="1" x14ac:dyDescent="0.2">
      <c r="B120" s="161" t="str">
        <f>Mitarbeiterverteilung!A105</f>
        <v/>
      </c>
      <c r="C120" s="150">
        <f>Mitarbeiterverteilung!BD105</f>
        <v>0</v>
      </c>
      <c r="D120" s="151">
        <f t="shared" si="15"/>
        <v>0</v>
      </c>
      <c r="E120" s="717"/>
      <c r="F120" s="152">
        <f t="shared" si="16"/>
        <v>0</v>
      </c>
      <c r="G120" s="717"/>
      <c r="H120" s="153">
        <f t="shared" si="17"/>
        <v>0</v>
      </c>
      <c r="I120" s="154">
        <f t="shared" si="18"/>
        <v>0</v>
      </c>
      <c r="J120" s="717"/>
      <c r="K120" s="153">
        <f t="shared" si="19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Mitarbeiterverteilung!BD106</f>
        <v>0</v>
      </c>
      <c r="D121" s="156">
        <f t="shared" si="15"/>
        <v>0</v>
      </c>
      <c r="E121" s="718"/>
      <c r="F121" s="157">
        <f t="shared" si="16"/>
        <v>0</v>
      </c>
      <c r="G121" s="718"/>
      <c r="H121" s="158">
        <f t="shared" si="17"/>
        <v>0</v>
      </c>
      <c r="I121" s="159">
        <f t="shared" si="18"/>
        <v>0</v>
      </c>
      <c r="J121" s="718"/>
      <c r="K121" s="158">
        <f t="shared" si="19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+Kostenverteilung!L25</f>
        <v>0</v>
      </c>
      <c r="G125" s="89" t="s">
        <v>519</v>
      </c>
      <c r="I125" s="112">
        <f>Mitarbeiterverteilung!W107</f>
        <v>0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Mitarbeiterverteilung!AH107</f>
        <v>0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0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0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0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0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B152" s="85"/>
      <c r="C152" s="85"/>
      <c r="D152" s="85"/>
      <c r="E152" s="85"/>
      <c r="L152" s="85"/>
    </row>
    <row r="153" spans="2:12" x14ac:dyDescent="0.2">
      <c r="B153" s="85"/>
      <c r="C153" s="85"/>
      <c r="D153" s="85"/>
      <c r="E153" s="85"/>
      <c r="L153" s="85"/>
    </row>
  </sheetData>
  <pageMargins left="0.7" right="0.7" top="0.78740157499999996" bottom="0.78740157499999996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9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Kostenverteilung!O2</f>
        <v>PC-4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+Kostenverteilung!O4</f>
        <v>0</v>
      </c>
      <c r="D4" s="113">
        <f>F4+I4-C4</f>
        <v>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+Kostenverteilung!O5</f>
        <v>0</v>
      </c>
      <c r="D5" s="113">
        <f t="shared" ref="D5:D14" si="2">F5+I5-C5</f>
        <v>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+Kostenverteilung!O6</f>
        <v>0</v>
      </c>
      <c r="D6" s="113">
        <f t="shared" si="2"/>
        <v>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+Kostenverteilung!O7</f>
        <v>0</v>
      </c>
      <c r="D7" s="113">
        <f t="shared" si="2"/>
        <v>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+Kostenverteilung!O8</f>
        <v>0</v>
      </c>
      <c r="D8" s="113">
        <f t="shared" si="2"/>
        <v>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+Kostenverteilung!O9</f>
        <v>0</v>
      </c>
      <c r="D9" s="113">
        <f t="shared" si="2"/>
        <v>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+Kostenverteilung!O10</f>
        <v>0</v>
      </c>
      <c r="D10" s="113">
        <f t="shared" si="2"/>
        <v>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+Kostenverteilung!O11</f>
        <v>0</v>
      </c>
      <c r="D11" s="113">
        <f t="shared" si="2"/>
        <v>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+Kostenverteilung!O12</f>
        <v>0</v>
      </c>
      <c r="D12" s="113">
        <f t="shared" si="2"/>
        <v>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+Kostenverteilung!O13</f>
        <v>0</v>
      </c>
      <c r="D13" s="113">
        <f>F13+I13-C13</f>
        <v>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+Kostenverteilung!O14</f>
        <v>0</v>
      </c>
      <c r="D14" s="113">
        <f t="shared" si="2"/>
        <v>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+Kostenverteilung!O15</f>
        <v>0</v>
      </c>
      <c r="D15" s="114">
        <f>F15+I15-C15</f>
        <v>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+Kostenverteilung!O17</f>
        <v>0</v>
      </c>
      <c r="D17" s="146">
        <f t="shared" ref="D17:D18" si="5">F17+I17-C17</f>
        <v>0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+Kostenverteilung!O18</f>
        <v>0</v>
      </c>
      <c r="D18" s="156">
        <f t="shared" si="5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Mitarbeiterverteilung!BE6</f>
        <v>0</v>
      </c>
      <c r="D21" s="146">
        <f t="shared" ref="D21:D22" si="6">F21+I21-C21</f>
        <v>0</v>
      </c>
      <c r="E21" s="716"/>
      <c r="F21" s="147">
        <f>C21*H21</f>
        <v>0</v>
      </c>
      <c r="G21" s="716"/>
      <c r="H21" s="148">
        <f t="shared" ref="H21:H22" si="7">IF(E21=0,0,G21/$E21)</f>
        <v>0</v>
      </c>
      <c r="I21" s="149">
        <f t="shared" ref="I21:I22" si="8">C21*K21</f>
        <v>0</v>
      </c>
      <c r="J21" s="716"/>
      <c r="K21" s="148">
        <f t="shared" ref="K21:K22" si="9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Mitarbeiterverteilung!BE7</f>
        <v>0</v>
      </c>
      <c r="D22" s="151">
        <f t="shared" si="6"/>
        <v>0</v>
      </c>
      <c r="E22" s="717"/>
      <c r="F22" s="152">
        <f>C22*H22</f>
        <v>0</v>
      </c>
      <c r="G22" s="717"/>
      <c r="H22" s="153">
        <f t="shared" si="7"/>
        <v>0</v>
      </c>
      <c r="I22" s="154">
        <f t="shared" si="8"/>
        <v>0</v>
      </c>
      <c r="J22" s="717"/>
      <c r="K22" s="153">
        <f t="shared" si="9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Mitarbeiterverteilung!BE8</f>
        <v>0</v>
      </c>
      <c r="D23" s="151">
        <f t="shared" ref="D23:D57" si="10">F23+I23-C23</f>
        <v>0</v>
      </c>
      <c r="E23" s="717"/>
      <c r="F23" s="152">
        <f t="shared" ref="F23:F57" si="11">C23*H23</f>
        <v>0</v>
      </c>
      <c r="G23" s="717"/>
      <c r="H23" s="153">
        <f t="shared" ref="H23:H57" si="12">IF(E23=0,0,G23/$E23)</f>
        <v>0</v>
      </c>
      <c r="I23" s="154">
        <f t="shared" ref="I23:I57" si="13">C23*K23</f>
        <v>0</v>
      </c>
      <c r="J23" s="717"/>
      <c r="K23" s="153">
        <f t="shared" ref="K23:K57" si="14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Mitarbeiterverteilung!BE9</f>
        <v>0</v>
      </c>
      <c r="D24" s="151">
        <f t="shared" si="10"/>
        <v>0</v>
      </c>
      <c r="E24" s="717"/>
      <c r="F24" s="152">
        <f t="shared" si="11"/>
        <v>0</v>
      </c>
      <c r="G24" s="717"/>
      <c r="H24" s="153">
        <f t="shared" si="12"/>
        <v>0</v>
      </c>
      <c r="I24" s="154">
        <f t="shared" si="13"/>
        <v>0</v>
      </c>
      <c r="J24" s="717"/>
      <c r="K24" s="153">
        <f t="shared" si="14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Mitarbeiterverteilung!BE10</f>
        <v>0</v>
      </c>
      <c r="D25" s="151">
        <f t="shared" si="10"/>
        <v>0</v>
      </c>
      <c r="E25" s="717"/>
      <c r="F25" s="152">
        <f t="shared" si="11"/>
        <v>0</v>
      </c>
      <c r="G25" s="717"/>
      <c r="H25" s="153">
        <f t="shared" si="12"/>
        <v>0</v>
      </c>
      <c r="I25" s="154">
        <f t="shared" si="13"/>
        <v>0</v>
      </c>
      <c r="J25" s="717"/>
      <c r="K25" s="153">
        <f t="shared" si="14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Mitarbeiterverteilung!BE11</f>
        <v>0</v>
      </c>
      <c r="D26" s="151">
        <f t="shared" si="10"/>
        <v>0</v>
      </c>
      <c r="E26" s="717"/>
      <c r="F26" s="152">
        <f t="shared" si="11"/>
        <v>0</v>
      </c>
      <c r="G26" s="717"/>
      <c r="H26" s="153">
        <f t="shared" si="12"/>
        <v>0</v>
      </c>
      <c r="I26" s="154">
        <f t="shared" si="13"/>
        <v>0</v>
      </c>
      <c r="J26" s="717"/>
      <c r="K26" s="153">
        <f t="shared" si="14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Mitarbeiterverteilung!BE12</f>
        <v>0</v>
      </c>
      <c r="D27" s="151">
        <f t="shared" si="10"/>
        <v>0</v>
      </c>
      <c r="E27" s="717"/>
      <c r="F27" s="152">
        <f t="shared" si="11"/>
        <v>0</v>
      </c>
      <c r="G27" s="717"/>
      <c r="H27" s="153">
        <f t="shared" si="12"/>
        <v>0</v>
      </c>
      <c r="I27" s="154">
        <f t="shared" si="13"/>
        <v>0</v>
      </c>
      <c r="J27" s="717"/>
      <c r="K27" s="153">
        <f t="shared" si="14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Mitarbeiterverteilung!BE13</f>
        <v>0</v>
      </c>
      <c r="D28" s="151">
        <f t="shared" si="10"/>
        <v>0</v>
      </c>
      <c r="E28" s="717"/>
      <c r="F28" s="152">
        <f t="shared" si="11"/>
        <v>0</v>
      </c>
      <c r="G28" s="717"/>
      <c r="H28" s="153">
        <f t="shared" si="12"/>
        <v>0</v>
      </c>
      <c r="I28" s="154">
        <f t="shared" si="13"/>
        <v>0</v>
      </c>
      <c r="J28" s="717"/>
      <c r="K28" s="153">
        <f t="shared" si="14"/>
        <v>0</v>
      </c>
      <c r="L28" s="85"/>
    </row>
    <row r="29" spans="1:12" hidden="1" outlineLevel="1" x14ac:dyDescent="0.2">
      <c r="B29" s="161" t="str">
        <f>Mitarbeiterverteilung!A14</f>
        <v>Thomas Fleißig</v>
      </c>
      <c r="C29" s="150">
        <f>Mitarbeiterverteilung!BE14</f>
        <v>0</v>
      </c>
      <c r="D29" s="151">
        <f t="shared" si="10"/>
        <v>0</v>
      </c>
      <c r="E29" s="717"/>
      <c r="F29" s="152">
        <f t="shared" si="11"/>
        <v>0</v>
      </c>
      <c r="G29" s="717"/>
      <c r="H29" s="153">
        <f t="shared" si="12"/>
        <v>0</v>
      </c>
      <c r="I29" s="154">
        <f t="shared" si="13"/>
        <v>0</v>
      </c>
      <c r="J29" s="717"/>
      <c r="K29" s="153">
        <f t="shared" si="14"/>
        <v>0</v>
      </c>
      <c r="L29" s="85"/>
    </row>
    <row r="30" spans="1:12" hidden="1" outlineLevel="1" x14ac:dyDescent="0.2">
      <c r="B30" s="161" t="str">
        <f>Mitarbeiterverteilung!A15</f>
        <v>Facharbeiter</v>
      </c>
      <c r="C30" s="150">
        <f>Mitarbeiterverteilung!BE15</f>
        <v>0</v>
      </c>
      <c r="D30" s="151">
        <f t="shared" si="10"/>
        <v>0</v>
      </c>
      <c r="E30" s="717"/>
      <c r="F30" s="152">
        <f t="shared" si="11"/>
        <v>0</v>
      </c>
      <c r="G30" s="717"/>
      <c r="H30" s="153">
        <f t="shared" si="12"/>
        <v>0</v>
      </c>
      <c r="I30" s="154">
        <f t="shared" si="13"/>
        <v>0</v>
      </c>
      <c r="J30" s="717"/>
      <c r="K30" s="153">
        <f t="shared" si="14"/>
        <v>0</v>
      </c>
      <c r="L30" s="85"/>
    </row>
    <row r="31" spans="1:12" hidden="1" outlineLevel="1" x14ac:dyDescent="0.2">
      <c r="B31" s="161" t="str">
        <f>Mitarbeiterverteilung!A16</f>
        <v>Abgänger</v>
      </c>
      <c r="C31" s="150">
        <f>Mitarbeiterverteilung!BE16</f>
        <v>0</v>
      </c>
      <c r="D31" s="151">
        <f t="shared" si="10"/>
        <v>0</v>
      </c>
      <c r="E31" s="717"/>
      <c r="F31" s="152">
        <f t="shared" si="11"/>
        <v>0</v>
      </c>
      <c r="G31" s="717"/>
      <c r="H31" s="153">
        <f t="shared" si="12"/>
        <v>0</v>
      </c>
      <c r="I31" s="154">
        <f t="shared" si="13"/>
        <v>0</v>
      </c>
      <c r="J31" s="717"/>
      <c r="K31" s="153">
        <f t="shared" si="14"/>
        <v>0</v>
      </c>
      <c r="L31" s="85"/>
    </row>
    <row r="32" spans="1:12" hidden="1" outlineLevel="1" x14ac:dyDescent="0.2">
      <c r="B32" s="161" t="str">
        <f>Mitarbeiterverteilung!A17</f>
        <v>Facharbeiter</v>
      </c>
      <c r="C32" s="150">
        <f>Mitarbeiterverteilung!BE17</f>
        <v>0</v>
      </c>
      <c r="D32" s="151">
        <f t="shared" si="10"/>
        <v>0</v>
      </c>
      <c r="E32" s="717"/>
      <c r="F32" s="152">
        <f t="shared" si="11"/>
        <v>0</v>
      </c>
      <c r="G32" s="717"/>
      <c r="H32" s="153">
        <f t="shared" si="12"/>
        <v>0</v>
      </c>
      <c r="I32" s="154">
        <f t="shared" si="13"/>
        <v>0</v>
      </c>
      <c r="J32" s="717"/>
      <c r="K32" s="153">
        <f t="shared" si="14"/>
        <v>0</v>
      </c>
      <c r="L32" s="85"/>
    </row>
    <row r="33" spans="2:12" hidden="1" outlineLevel="1" x14ac:dyDescent="0.2">
      <c r="B33" s="161" t="str">
        <f>Mitarbeiterverteilung!A18</f>
        <v>Facharbeiter</v>
      </c>
      <c r="C33" s="150">
        <f>Mitarbeiterverteilung!BE18</f>
        <v>0</v>
      </c>
      <c r="D33" s="151">
        <f t="shared" si="10"/>
        <v>0</v>
      </c>
      <c r="E33" s="717"/>
      <c r="F33" s="152">
        <f t="shared" si="11"/>
        <v>0</v>
      </c>
      <c r="G33" s="717"/>
      <c r="H33" s="153">
        <f t="shared" si="12"/>
        <v>0</v>
      </c>
      <c r="I33" s="154">
        <f t="shared" si="13"/>
        <v>0</v>
      </c>
      <c r="J33" s="717"/>
      <c r="K33" s="153">
        <f t="shared" si="14"/>
        <v>0</v>
      </c>
      <c r="L33" s="85"/>
    </row>
    <row r="34" spans="2:12" hidden="1" outlineLevel="1" x14ac:dyDescent="0.2">
      <c r="B34" s="161" t="str">
        <f>Mitarbeiterverteilung!A19</f>
        <v>Elternzeit Geselle</v>
      </c>
      <c r="C34" s="150">
        <f>Mitarbeiterverteilung!BE19</f>
        <v>0</v>
      </c>
      <c r="D34" s="151">
        <f t="shared" si="10"/>
        <v>0</v>
      </c>
      <c r="E34" s="717"/>
      <c r="F34" s="152">
        <f t="shared" si="11"/>
        <v>0</v>
      </c>
      <c r="G34" s="717"/>
      <c r="H34" s="153">
        <f t="shared" si="12"/>
        <v>0</v>
      </c>
      <c r="I34" s="154">
        <f t="shared" si="13"/>
        <v>0</v>
      </c>
      <c r="J34" s="717"/>
      <c r="K34" s="153">
        <f t="shared" si="14"/>
        <v>0</v>
      </c>
      <c r="L34" s="85"/>
    </row>
    <row r="35" spans="2:12" hidden="1" outlineLevel="1" x14ac:dyDescent="0.2">
      <c r="B35" s="161" t="str">
        <f>Mitarbeiterverteilung!A20</f>
        <v>A. Zubi</v>
      </c>
      <c r="C35" s="150">
        <f>Mitarbeiterverteilung!BE20</f>
        <v>0</v>
      </c>
      <c r="D35" s="151">
        <f t="shared" si="10"/>
        <v>0</v>
      </c>
      <c r="E35" s="717"/>
      <c r="F35" s="152">
        <f t="shared" si="11"/>
        <v>0</v>
      </c>
      <c r="G35" s="717"/>
      <c r="H35" s="153">
        <f t="shared" si="12"/>
        <v>0</v>
      </c>
      <c r="I35" s="154">
        <f t="shared" si="13"/>
        <v>0</v>
      </c>
      <c r="J35" s="717"/>
      <c r="K35" s="153">
        <f t="shared" si="14"/>
        <v>0</v>
      </c>
      <c r="L35" s="85"/>
    </row>
    <row r="36" spans="2:12" hidden="1" outlineLevel="1" x14ac:dyDescent="0.2">
      <c r="B36" s="161" t="str">
        <f>Mitarbeiterverteilung!A21</f>
        <v>Zur Ausbildung</v>
      </c>
      <c r="C36" s="150">
        <f>Mitarbeiterverteilung!BE21</f>
        <v>0</v>
      </c>
      <c r="D36" s="151">
        <f t="shared" si="10"/>
        <v>0</v>
      </c>
      <c r="E36" s="717"/>
      <c r="F36" s="152">
        <f t="shared" si="11"/>
        <v>0</v>
      </c>
      <c r="G36" s="717"/>
      <c r="H36" s="153">
        <f t="shared" si="12"/>
        <v>0</v>
      </c>
      <c r="I36" s="154">
        <f t="shared" si="13"/>
        <v>0</v>
      </c>
      <c r="J36" s="717"/>
      <c r="K36" s="153">
        <f t="shared" si="14"/>
        <v>0</v>
      </c>
      <c r="L36" s="85"/>
    </row>
    <row r="37" spans="2:12" hidden="1" outlineLevel="1" x14ac:dyDescent="0.2">
      <c r="B37" s="161" t="str">
        <f>Mitarbeiterverteilung!A22</f>
        <v>Reine Putze</v>
      </c>
      <c r="C37" s="150">
        <f>Mitarbeiterverteilung!BE22</f>
        <v>0</v>
      </c>
      <c r="D37" s="151">
        <f t="shared" si="10"/>
        <v>0</v>
      </c>
      <c r="E37" s="717"/>
      <c r="F37" s="152">
        <f t="shared" si="11"/>
        <v>0</v>
      </c>
      <c r="G37" s="717"/>
      <c r="H37" s="153">
        <f t="shared" si="12"/>
        <v>0</v>
      </c>
      <c r="I37" s="154">
        <f t="shared" si="13"/>
        <v>0</v>
      </c>
      <c r="J37" s="717"/>
      <c r="K37" s="153">
        <f t="shared" si="14"/>
        <v>0</v>
      </c>
      <c r="L37" s="85"/>
    </row>
    <row r="38" spans="2:12" hidden="1" outlineLevel="1" x14ac:dyDescent="0.2">
      <c r="B38" s="161" t="str">
        <f>Mitarbeiterverteilung!A23</f>
        <v/>
      </c>
      <c r="C38" s="150">
        <f>Mitarbeiterverteilung!BE23</f>
        <v>0</v>
      </c>
      <c r="D38" s="151">
        <f t="shared" si="10"/>
        <v>0</v>
      </c>
      <c r="E38" s="717"/>
      <c r="F38" s="152">
        <f t="shared" si="11"/>
        <v>0</v>
      </c>
      <c r="G38" s="717"/>
      <c r="H38" s="153">
        <f t="shared" si="12"/>
        <v>0</v>
      </c>
      <c r="I38" s="154">
        <f t="shared" si="13"/>
        <v>0</v>
      </c>
      <c r="J38" s="717"/>
      <c r="K38" s="153">
        <f t="shared" si="14"/>
        <v>0</v>
      </c>
      <c r="L38" s="85"/>
    </row>
    <row r="39" spans="2:12" hidden="1" outlineLevel="1" x14ac:dyDescent="0.2">
      <c r="B39" s="161" t="str">
        <f>Mitarbeiterverteilung!A24</f>
        <v/>
      </c>
      <c r="C39" s="150">
        <f>Mitarbeiterverteilung!BE24</f>
        <v>0</v>
      </c>
      <c r="D39" s="151">
        <f t="shared" si="10"/>
        <v>0</v>
      </c>
      <c r="E39" s="717"/>
      <c r="F39" s="152">
        <f t="shared" si="11"/>
        <v>0</v>
      </c>
      <c r="G39" s="717"/>
      <c r="H39" s="153">
        <f t="shared" si="12"/>
        <v>0</v>
      </c>
      <c r="I39" s="154">
        <f t="shared" si="13"/>
        <v>0</v>
      </c>
      <c r="J39" s="717"/>
      <c r="K39" s="153">
        <f t="shared" si="14"/>
        <v>0</v>
      </c>
      <c r="L39" s="85"/>
    </row>
    <row r="40" spans="2:12" hidden="1" outlineLevel="1" x14ac:dyDescent="0.2">
      <c r="B40" s="161" t="str">
        <f>Mitarbeiterverteilung!A25</f>
        <v/>
      </c>
      <c r="C40" s="150">
        <f>Mitarbeiterverteilung!BE25</f>
        <v>0</v>
      </c>
      <c r="D40" s="151">
        <f t="shared" si="10"/>
        <v>0</v>
      </c>
      <c r="E40" s="717"/>
      <c r="F40" s="152">
        <f t="shared" si="11"/>
        <v>0</v>
      </c>
      <c r="G40" s="717"/>
      <c r="H40" s="153">
        <f t="shared" si="12"/>
        <v>0</v>
      </c>
      <c r="I40" s="154">
        <f t="shared" si="13"/>
        <v>0</v>
      </c>
      <c r="J40" s="717"/>
      <c r="K40" s="153">
        <f t="shared" si="14"/>
        <v>0</v>
      </c>
      <c r="L40" s="85"/>
    </row>
    <row r="41" spans="2:12" hidden="1" outlineLevel="1" x14ac:dyDescent="0.2">
      <c r="B41" s="161" t="str">
        <f>Mitarbeiterverteilung!A26</f>
        <v/>
      </c>
      <c r="C41" s="150">
        <f>Mitarbeiterverteilung!BE26</f>
        <v>0</v>
      </c>
      <c r="D41" s="151">
        <f t="shared" si="10"/>
        <v>0</v>
      </c>
      <c r="E41" s="717"/>
      <c r="F41" s="152">
        <f t="shared" si="11"/>
        <v>0</v>
      </c>
      <c r="G41" s="717"/>
      <c r="H41" s="153">
        <f t="shared" si="12"/>
        <v>0</v>
      </c>
      <c r="I41" s="154">
        <f t="shared" si="13"/>
        <v>0</v>
      </c>
      <c r="J41" s="717"/>
      <c r="K41" s="153">
        <f t="shared" si="14"/>
        <v>0</v>
      </c>
      <c r="L41" s="85"/>
    </row>
    <row r="42" spans="2:12" hidden="1" outlineLevel="1" x14ac:dyDescent="0.2">
      <c r="B42" s="161" t="str">
        <f>Mitarbeiterverteilung!A27</f>
        <v/>
      </c>
      <c r="C42" s="150">
        <f>Mitarbeiterverteilung!BE27</f>
        <v>0</v>
      </c>
      <c r="D42" s="151">
        <f t="shared" si="10"/>
        <v>0</v>
      </c>
      <c r="E42" s="717"/>
      <c r="F42" s="152">
        <f t="shared" si="11"/>
        <v>0</v>
      </c>
      <c r="G42" s="717"/>
      <c r="H42" s="153">
        <f t="shared" si="12"/>
        <v>0</v>
      </c>
      <c r="I42" s="154">
        <f t="shared" si="13"/>
        <v>0</v>
      </c>
      <c r="J42" s="717"/>
      <c r="K42" s="153">
        <f t="shared" si="14"/>
        <v>0</v>
      </c>
      <c r="L42" s="85"/>
    </row>
    <row r="43" spans="2:12" hidden="1" outlineLevel="1" x14ac:dyDescent="0.2">
      <c r="B43" s="161" t="str">
        <f>Mitarbeiterverteilung!A28</f>
        <v/>
      </c>
      <c r="C43" s="150">
        <f>Mitarbeiterverteilung!BE28</f>
        <v>0</v>
      </c>
      <c r="D43" s="151">
        <f t="shared" si="10"/>
        <v>0</v>
      </c>
      <c r="E43" s="717"/>
      <c r="F43" s="152">
        <f t="shared" si="11"/>
        <v>0</v>
      </c>
      <c r="G43" s="717"/>
      <c r="H43" s="153">
        <f t="shared" si="12"/>
        <v>0</v>
      </c>
      <c r="I43" s="154">
        <f t="shared" si="13"/>
        <v>0</v>
      </c>
      <c r="J43" s="717"/>
      <c r="K43" s="153">
        <f t="shared" si="14"/>
        <v>0</v>
      </c>
      <c r="L43" s="85"/>
    </row>
    <row r="44" spans="2:12" hidden="1" outlineLevel="1" x14ac:dyDescent="0.2">
      <c r="B44" s="161" t="str">
        <f>Mitarbeiterverteilung!A29</f>
        <v/>
      </c>
      <c r="C44" s="150">
        <f>Mitarbeiterverteilung!BE29</f>
        <v>0</v>
      </c>
      <c r="D44" s="151">
        <f t="shared" si="10"/>
        <v>0</v>
      </c>
      <c r="E44" s="717"/>
      <c r="F44" s="152">
        <f t="shared" si="11"/>
        <v>0</v>
      </c>
      <c r="G44" s="717"/>
      <c r="H44" s="153">
        <f t="shared" si="12"/>
        <v>0</v>
      </c>
      <c r="I44" s="154">
        <f t="shared" si="13"/>
        <v>0</v>
      </c>
      <c r="J44" s="717"/>
      <c r="K44" s="153">
        <f t="shared" si="14"/>
        <v>0</v>
      </c>
      <c r="L44" s="85"/>
    </row>
    <row r="45" spans="2:12" hidden="1" outlineLevel="1" x14ac:dyDescent="0.2">
      <c r="B45" s="161" t="str">
        <f>Mitarbeiterverteilung!A30</f>
        <v/>
      </c>
      <c r="C45" s="150">
        <f>Mitarbeiterverteilung!BE30</f>
        <v>0</v>
      </c>
      <c r="D45" s="151">
        <f t="shared" si="10"/>
        <v>0</v>
      </c>
      <c r="E45" s="717"/>
      <c r="F45" s="152">
        <f t="shared" si="11"/>
        <v>0</v>
      </c>
      <c r="G45" s="717"/>
      <c r="H45" s="153">
        <f t="shared" si="12"/>
        <v>0</v>
      </c>
      <c r="I45" s="154">
        <f t="shared" si="13"/>
        <v>0</v>
      </c>
      <c r="J45" s="717"/>
      <c r="K45" s="153">
        <f t="shared" si="14"/>
        <v>0</v>
      </c>
      <c r="L45" s="85"/>
    </row>
    <row r="46" spans="2:12" hidden="1" outlineLevel="1" x14ac:dyDescent="0.2">
      <c r="B46" s="161" t="str">
        <f>Mitarbeiterverteilung!A31</f>
        <v/>
      </c>
      <c r="C46" s="150">
        <f>Mitarbeiterverteilung!BE31</f>
        <v>0</v>
      </c>
      <c r="D46" s="151">
        <f t="shared" si="10"/>
        <v>0</v>
      </c>
      <c r="E46" s="717"/>
      <c r="F46" s="152">
        <f t="shared" si="11"/>
        <v>0</v>
      </c>
      <c r="G46" s="717"/>
      <c r="H46" s="153">
        <f t="shared" si="12"/>
        <v>0</v>
      </c>
      <c r="I46" s="154">
        <f t="shared" si="13"/>
        <v>0</v>
      </c>
      <c r="J46" s="717"/>
      <c r="K46" s="153">
        <f t="shared" si="14"/>
        <v>0</v>
      </c>
      <c r="L46" s="85"/>
    </row>
    <row r="47" spans="2:12" hidden="1" outlineLevel="1" x14ac:dyDescent="0.2">
      <c r="B47" s="161" t="str">
        <f>Mitarbeiterverteilung!A32</f>
        <v/>
      </c>
      <c r="C47" s="150">
        <f>Mitarbeiterverteilung!BE32</f>
        <v>0</v>
      </c>
      <c r="D47" s="151">
        <f t="shared" si="10"/>
        <v>0</v>
      </c>
      <c r="E47" s="717"/>
      <c r="F47" s="152">
        <f t="shared" si="11"/>
        <v>0</v>
      </c>
      <c r="G47" s="717"/>
      <c r="H47" s="153">
        <f t="shared" si="12"/>
        <v>0</v>
      </c>
      <c r="I47" s="154">
        <f t="shared" si="13"/>
        <v>0</v>
      </c>
      <c r="J47" s="717"/>
      <c r="K47" s="153">
        <f t="shared" si="14"/>
        <v>0</v>
      </c>
      <c r="L47" s="85"/>
    </row>
    <row r="48" spans="2:12" hidden="1" outlineLevel="1" x14ac:dyDescent="0.2">
      <c r="B48" s="161" t="str">
        <f>Mitarbeiterverteilung!A33</f>
        <v/>
      </c>
      <c r="C48" s="150">
        <f>Mitarbeiterverteilung!BE33</f>
        <v>0</v>
      </c>
      <c r="D48" s="151">
        <f t="shared" si="10"/>
        <v>0</v>
      </c>
      <c r="E48" s="717"/>
      <c r="F48" s="152">
        <f t="shared" si="11"/>
        <v>0</v>
      </c>
      <c r="G48" s="717"/>
      <c r="H48" s="153">
        <f t="shared" si="12"/>
        <v>0</v>
      </c>
      <c r="I48" s="154">
        <f t="shared" si="13"/>
        <v>0</v>
      </c>
      <c r="J48" s="717"/>
      <c r="K48" s="153">
        <f t="shared" si="14"/>
        <v>0</v>
      </c>
      <c r="L48" s="85"/>
    </row>
    <row r="49" spans="2:12" hidden="1" outlineLevel="1" x14ac:dyDescent="0.2">
      <c r="B49" s="161" t="str">
        <f>Mitarbeiterverteilung!A34</f>
        <v/>
      </c>
      <c r="C49" s="150">
        <f>Mitarbeiterverteilung!BE34</f>
        <v>0</v>
      </c>
      <c r="D49" s="151">
        <f t="shared" si="10"/>
        <v>0</v>
      </c>
      <c r="E49" s="717"/>
      <c r="F49" s="152">
        <f t="shared" si="11"/>
        <v>0</v>
      </c>
      <c r="G49" s="717"/>
      <c r="H49" s="153">
        <f t="shared" si="12"/>
        <v>0</v>
      </c>
      <c r="I49" s="154">
        <f t="shared" si="13"/>
        <v>0</v>
      </c>
      <c r="J49" s="717"/>
      <c r="K49" s="153">
        <f t="shared" si="14"/>
        <v>0</v>
      </c>
      <c r="L49" s="85"/>
    </row>
    <row r="50" spans="2:12" hidden="1" outlineLevel="1" x14ac:dyDescent="0.2">
      <c r="B50" s="161" t="str">
        <f>Mitarbeiterverteilung!A35</f>
        <v/>
      </c>
      <c r="C50" s="150">
        <f>Mitarbeiterverteilung!BE35</f>
        <v>0</v>
      </c>
      <c r="D50" s="151">
        <f t="shared" si="10"/>
        <v>0</v>
      </c>
      <c r="E50" s="717"/>
      <c r="F50" s="152">
        <f t="shared" si="11"/>
        <v>0</v>
      </c>
      <c r="G50" s="717"/>
      <c r="H50" s="153">
        <f t="shared" si="12"/>
        <v>0</v>
      </c>
      <c r="I50" s="154">
        <f t="shared" si="13"/>
        <v>0</v>
      </c>
      <c r="J50" s="717"/>
      <c r="K50" s="153">
        <f t="shared" si="14"/>
        <v>0</v>
      </c>
      <c r="L50" s="85"/>
    </row>
    <row r="51" spans="2:12" hidden="1" outlineLevel="1" x14ac:dyDescent="0.2">
      <c r="B51" s="161" t="str">
        <f>Mitarbeiterverteilung!A36</f>
        <v/>
      </c>
      <c r="C51" s="150">
        <f>Mitarbeiterverteilung!BE36</f>
        <v>0</v>
      </c>
      <c r="D51" s="151">
        <f t="shared" si="10"/>
        <v>0</v>
      </c>
      <c r="E51" s="717"/>
      <c r="F51" s="152">
        <f t="shared" si="11"/>
        <v>0</v>
      </c>
      <c r="G51" s="717"/>
      <c r="H51" s="153">
        <f t="shared" si="12"/>
        <v>0</v>
      </c>
      <c r="I51" s="154">
        <f t="shared" si="13"/>
        <v>0</v>
      </c>
      <c r="J51" s="717"/>
      <c r="K51" s="153">
        <f t="shared" si="14"/>
        <v>0</v>
      </c>
      <c r="L51" s="85"/>
    </row>
    <row r="52" spans="2:12" hidden="1" outlineLevel="1" x14ac:dyDescent="0.2">
      <c r="B52" s="161" t="str">
        <f>Mitarbeiterverteilung!A37</f>
        <v/>
      </c>
      <c r="C52" s="150">
        <f>Mitarbeiterverteilung!BE37</f>
        <v>0</v>
      </c>
      <c r="D52" s="151">
        <f t="shared" si="10"/>
        <v>0</v>
      </c>
      <c r="E52" s="717"/>
      <c r="F52" s="152">
        <f t="shared" si="11"/>
        <v>0</v>
      </c>
      <c r="G52" s="717"/>
      <c r="H52" s="153">
        <f t="shared" si="12"/>
        <v>0</v>
      </c>
      <c r="I52" s="154">
        <f t="shared" si="13"/>
        <v>0</v>
      </c>
      <c r="J52" s="717"/>
      <c r="K52" s="153">
        <f t="shared" si="14"/>
        <v>0</v>
      </c>
      <c r="L52" s="85"/>
    </row>
    <row r="53" spans="2:12" hidden="1" outlineLevel="1" x14ac:dyDescent="0.2">
      <c r="B53" s="161" t="str">
        <f>Mitarbeiterverteilung!A38</f>
        <v/>
      </c>
      <c r="C53" s="150">
        <f>Mitarbeiterverteilung!BE38</f>
        <v>0</v>
      </c>
      <c r="D53" s="151">
        <f t="shared" si="10"/>
        <v>0</v>
      </c>
      <c r="E53" s="717"/>
      <c r="F53" s="152">
        <f t="shared" si="11"/>
        <v>0</v>
      </c>
      <c r="G53" s="717"/>
      <c r="H53" s="153">
        <f t="shared" si="12"/>
        <v>0</v>
      </c>
      <c r="I53" s="154">
        <f t="shared" si="13"/>
        <v>0</v>
      </c>
      <c r="J53" s="717"/>
      <c r="K53" s="153">
        <f t="shared" si="14"/>
        <v>0</v>
      </c>
      <c r="L53" s="85"/>
    </row>
    <row r="54" spans="2:12" hidden="1" outlineLevel="1" x14ac:dyDescent="0.2">
      <c r="B54" s="161" t="str">
        <f>Mitarbeiterverteilung!A39</f>
        <v/>
      </c>
      <c r="C54" s="150">
        <f>Mitarbeiterverteilung!BE39</f>
        <v>0</v>
      </c>
      <c r="D54" s="151">
        <f t="shared" si="10"/>
        <v>0</v>
      </c>
      <c r="E54" s="717"/>
      <c r="F54" s="152">
        <f t="shared" si="11"/>
        <v>0</v>
      </c>
      <c r="G54" s="717"/>
      <c r="H54" s="153">
        <f t="shared" si="12"/>
        <v>0</v>
      </c>
      <c r="I54" s="154">
        <f t="shared" si="13"/>
        <v>0</v>
      </c>
      <c r="J54" s="717"/>
      <c r="K54" s="153">
        <f t="shared" si="14"/>
        <v>0</v>
      </c>
      <c r="L54" s="85"/>
    </row>
    <row r="55" spans="2:12" hidden="1" outlineLevel="1" x14ac:dyDescent="0.2">
      <c r="B55" s="161" t="str">
        <f>Mitarbeiterverteilung!A40</f>
        <v/>
      </c>
      <c r="C55" s="150">
        <f>Mitarbeiterverteilung!BE40</f>
        <v>0</v>
      </c>
      <c r="D55" s="151">
        <f t="shared" si="10"/>
        <v>0</v>
      </c>
      <c r="E55" s="717"/>
      <c r="F55" s="152">
        <f t="shared" si="11"/>
        <v>0</v>
      </c>
      <c r="G55" s="717"/>
      <c r="H55" s="153">
        <f t="shared" si="12"/>
        <v>0</v>
      </c>
      <c r="I55" s="154">
        <f t="shared" si="13"/>
        <v>0</v>
      </c>
      <c r="J55" s="717"/>
      <c r="K55" s="153">
        <f t="shared" si="14"/>
        <v>0</v>
      </c>
      <c r="L55" s="85"/>
    </row>
    <row r="56" spans="2:12" hidden="1" outlineLevel="1" x14ac:dyDescent="0.2">
      <c r="B56" s="161" t="str">
        <f>Mitarbeiterverteilung!A41</f>
        <v/>
      </c>
      <c r="C56" s="150">
        <f>Mitarbeiterverteilung!BE41</f>
        <v>0</v>
      </c>
      <c r="D56" s="151">
        <f t="shared" si="10"/>
        <v>0</v>
      </c>
      <c r="E56" s="717"/>
      <c r="F56" s="152">
        <f t="shared" si="11"/>
        <v>0</v>
      </c>
      <c r="G56" s="717"/>
      <c r="H56" s="153">
        <f t="shared" si="12"/>
        <v>0</v>
      </c>
      <c r="I56" s="154">
        <f t="shared" si="13"/>
        <v>0</v>
      </c>
      <c r="J56" s="717"/>
      <c r="K56" s="153">
        <f t="shared" si="14"/>
        <v>0</v>
      </c>
      <c r="L56" s="85"/>
    </row>
    <row r="57" spans="2:12" hidden="1" outlineLevel="1" x14ac:dyDescent="0.2">
      <c r="B57" s="161" t="str">
        <f>Mitarbeiterverteilung!A42</f>
        <v/>
      </c>
      <c r="C57" s="150">
        <f>Mitarbeiterverteilung!BE42</f>
        <v>0</v>
      </c>
      <c r="D57" s="151">
        <f t="shared" si="10"/>
        <v>0</v>
      </c>
      <c r="E57" s="717"/>
      <c r="F57" s="152">
        <f t="shared" si="11"/>
        <v>0</v>
      </c>
      <c r="G57" s="717"/>
      <c r="H57" s="153">
        <f t="shared" si="12"/>
        <v>0</v>
      </c>
      <c r="I57" s="154">
        <f t="shared" si="13"/>
        <v>0</v>
      </c>
      <c r="J57" s="717"/>
      <c r="K57" s="153">
        <f t="shared" si="14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Mitarbeiterverteilung!BE43</f>
        <v>0</v>
      </c>
      <c r="D58" s="151">
        <f t="shared" ref="D58:D121" si="15">F58+I58-C58</f>
        <v>0</v>
      </c>
      <c r="E58" s="717"/>
      <c r="F58" s="152">
        <f t="shared" ref="F58:F121" si="16">C58*H58</f>
        <v>0</v>
      </c>
      <c r="G58" s="717"/>
      <c r="H58" s="153">
        <f t="shared" ref="H58:H121" si="17">IF(E58=0,0,G58/$E58)</f>
        <v>0</v>
      </c>
      <c r="I58" s="154">
        <f t="shared" ref="I58:I121" si="18">C58*K58</f>
        <v>0</v>
      </c>
      <c r="J58" s="717"/>
      <c r="K58" s="153">
        <f t="shared" ref="K58:K121" si="19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Mitarbeiterverteilung!BE44</f>
        <v>0</v>
      </c>
      <c r="D59" s="151">
        <f t="shared" si="15"/>
        <v>0</v>
      </c>
      <c r="E59" s="717"/>
      <c r="F59" s="152">
        <f t="shared" si="16"/>
        <v>0</v>
      </c>
      <c r="G59" s="717"/>
      <c r="H59" s="153">
        <f t="shared" si="17"/>
        <v>0</v>
      </c>
      <c r="I59" s="154">
        <f t="shared" si="18"/>
        <v>0</v>
      </c>
      <c r="J59" s="717"/>
      <c r="K59" s="153">
        <f t="shared" si="19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Mitarbeiterverteilung!BE45</f>
        <v>0</v>
      </c>
      <c r="D60" s="151">
        <f t="shared" si="15"/>
        <v>0</v>
      </c>
      <c r="E60" s="717"/>
      <c r="F60" s="152">
        <f t="shared" si="16"/>
        <v>0</v>
      </c>
      <c r="G60" s="717"/>
      <c r="H60" s="153">
        <f t="shared" si="17"/>
        <v>0</v>
      </c>
      <c r="I60" s="154">
        <f t="shared" si="18"/>
        <v>0</v>
      </c>
      <c r="J60" s="717"/>
      <c r="K60" s="153">
        <f t="shared" si="19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Mitarbeiterverteilung!BE46</f>
        <v>0</v>
      </c>
      <c r="D61" s="151">
        <f t="shared" si="15"/>
        <v>0</v>
      </c>
      <c r="E61" s="717"/>
      <c r="F61" s="152">
        <f t="shared" si="16"/>
        <v>0</v>
      </c>
      <c r="G61" s="717"/>
      <c r="H61" s="153">
        <f t="shared" si="17"/>
        <v>0</v>
      </c>
      <c r="I61" s="154">
        <f t="shared" si="18"/>
        <v>0</v>
      </c>
      <c r="J61" s="717"/>
      <c r="K61" s="153">
        <f t="shared" si="19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Mitarbeiterverteilung!BE47</f>
        <v>0</v>
      </c>
      <c r="D62" s="151">
        <f t="shared" si="15"/>
        <v>0</v>
      </c>
      <c r="E62" s="717"/>
      <c r="F62" s="152">
        <f t="shared" si="16"/>
        <v>0</v>
      </c>
      <c r="G62" s="717"/>
      <c r="H62" s="153">
        <f t="shared" si="17"/>
        <v>0</v>
      </c>
      <c r="I62" s="154">
        <f t="shared" si="18"/>
        <v>0</v>
      </c>
      <c r="J62" s="717"/>
      <c r="K62" s="153">
        <f t="shared" si="19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Mitarbeiterverteilung!BE48</f>
        <v>0</v>
      </c>
      <c r="D63" s="151">
        <f t="shared" si="15"/>
        <v>0</v>
      </c>
      <c r="E63" s="717"/>
      <c r="F63" s="152">
        <f t="shared" si="16"/>
        <v>0</v>
      </c>
      <c r="G63" s="717"/>
      <c r="H63" s="153">
        <f t="shared" si="17"/>
        <v>0</v>
      </c>
      <c r="I63" s="154">
        <f t="shared" si="18"/>
        <v>0</v>
      </c>
      <c r="J63" s="717"/>
      <c r="K63" s="153">
        <f t="shared" si="19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Mitarbeiterverteilung!BE49</f>
        <v>0</v>
      </c>
      <c r="D64" s="151">
        <f t="shared" si="15"/>
        <v>0</v>
      </c>
      <c r="E64" s="717"/>
      <c r="F64" s="152">
        <f t="shared" si="16"/>
        <v>0</v>
      </c>
      <c r="G64" s="717"/>
      <c r="H64" s="153">
        <f t="shared" si="17"/>
        <v>0</v>
      </c>
      <c r="I64" s="154">
        <f t="shared" si="18"/>
        <v>0</v>
      </c>
      <c r="J64" s="717"/>
      <c r="K64" s="153">
        <f t="shared" si="19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Mitarbeiterverteilung!BE50</f>
        <v>0</v>
      </c>
      <c r="D65" s="151">
        <f t="shared" si="15"/>
        <v>0</v>
      </c>
      <c r="E65" s="717"/>
      <c r="F65" s="152">
        <f t="shared" si="16"/>
        <v>0</v>
      </c>
      <c r="G65" s="717"/>
      <c r="H65" s="153">
        <f t="shared" si="17"/>
        <v>0</v>
      </c>
      <c r="I65" s="154">
        <f t="shared" si="18"/>
        <v>0</v>
      </c>
      <c r="J65" s="717"/>
      <c r="K65" s="153">
        <f t="shared" si="19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Mitarbeiterverteilung!BE51</f>
        <v>0</v>
      </c>
      <c r="D66" s="151">
        <f t="shared" si="15"/>
        <v>0</v>
      </c>
      <c r="E66" s="717"/>
      <c r="F66" s="152">
        <f t="shared" si="16"/>
        <v>0</v>
      </c>
      <c r="G66" s="717"/>
      <c r="H66" s="153">
        <f t="shared" si="17"/>
        <v>0</v>
      </c>
      <c r="I66" s="154">
        <f t="shared" si="18"/>
        <v>0</v>
      </c>
      <c r="J66" s="717"/>
      <c r="K66" s="153">
        <f t="shared" si="19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Mitarbeiterverteilung!BE52</f>
        <v>0</v>
      </c>
      <c r="D67" s="151">
        <f t="shared" si="15"/>
        <v>0</v>
      </c>
      <c r="E67" s="717"/>
      <c r="F67" s="152">
        <f t="shared" si="16"/>
        <v>0</v>
      </c>
      <c r="G67" s="717"/>
      <c r="H67" s="153">
        <f t="shared" si="17"/>
        <v>0</v>
      </c>
      <c r="I67" s="154">
        <f t="shared" si="18"/>
        <v>0</v>
      </c>
      <c r="J67" s="717"/>
      <c r="K67" s="153">
        <f t="shared" si="19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Mitarbeiterverteilung!BE53</f>
        <v>0</v>
      </c>
      <c r="D68" s="151">
        <f t="shared" si="15"/>
        <v>0</v>
      </c>
      <c r="E68" s="717"/>
      <c r="F68" s="152">
        <f t="shared" si="16"/>
        <v>0</v>
      </c>
      <c r="G68" s="717"/>
      <c r="H68" s="153">
        <f t="shared" si="17"/>
        <v>0</v>
      </c>
      <c r="I68" s="154">
        <f t="shared" si="18"/>
        <v>0</v>
      </c>
      <c r="J68" s="717"/>
      <c r="K68" s="153">
        <f t="shared" si="19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Mitarbeiterverteilung!BE54</f>
        <v>0</v>
      </c>
      <c r="D69" s="151">
        <f t="shared" si="15"/>
        <v>0</v>
      </c>
      <c r="E69" s="717"/>
      <c r="F69" s="152">
        <f t="shared" si="16"/>
        <v>0</v>
      </c>
      <c r="G69" s="717"/>
      <c r="H69" s="153">
        <f t="shared" si="17"/>
        <v>0</v>
      </c>
      <c r="I69" s="154">
        <f t="shared" si="18"/>
        <v>0</v>
      </c>
      <c r="J69" s="717"/>
      <c r="K69" s="153">
        <f t="shared" si="19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Mitarbeiterverteilung!BE55</f>
        <v>0</v>
      </c>
      <c r="D70" s="151">
        <f t="shared" si="15"/>
        <v>0</v>
      </c>
      <c r="E70" s="717"/>
      <c r="F70" s="152">
        <f t="shared" si="16"/>
        <v>0</v>
      </c>
      <c r="G70" s="717"/>
      <c r="H70" s="153">
        <f t="shared" si="17"/>
        <v>0</v>
      </c>
      <c r="I70" s="154">
        <f t="shared" si="18"/>
        <v>0</v>
      </c>
      <c r="J70" s="717"/>
      <c r="K70" s="153">
        <f t="shared" si="19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Mitarbeiterverteilung!BE56</f>
        <v>0</v>
      </c>
      <c r="D71" s="151">
        <f t="shared" si="15"/>
        <v>0</v>
      </c>
      <c r="E71" s="717"/>
      <c r="F71" s="152">
        <f t="shared" si="16"/>
        <v>0</v>
      </c>
      <c r="G71" s="717"/>
      <c r="H71" s="153">
        <f t="shared" si="17"/>
        <v>0</v>
      </c>
      <c r="I71" s="154">
        <f t="shared" si="18"/>
        <v>0</v>
      </c>
      <c r="J71" s="717"/>
      <c r="K71" s="153">
        <f t="shared" si="19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Mitarbeiterverteilung!BE57</f>
        <v>0</v>
      </c>
      <c r="D72" s="151">
        <f t="shared" si="15"/>
        <v>0</v>
      </c>
      <c r="E72" s="717"/>
      <c r="F72" s="152">
        <f t="shared" si="16"/>
        <v>0</v>
      </c>
      <c r="G72" s="717"/>
      <c r="H72" s="153">
        <f t="shared" si="17"/>
        <v>0</v>
      </c>
      <c r="I72" s="154">
        <f t="shared" si="18"/>
        <v>0</v>
      </c>
      <c r="J72" s="717"/>
      <c r="K72" s="153">
        <f t="shared" si="19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Mitarbeiterverteilung!BE58</f>
        <v>0</v>
      </c>
      <c r="D73" s="151">
        <f t="shared" si="15"/>
        <v>0</v>
      </c>
      <c r="E73" s="717"/>
      <c r="F73" s="152">
        <f t="shared" si="16"/>
        <v>0</v>
      </c>
      <c r="G73" s="717"/>
      <c r="H73" s="153">
        <f t="shared" si="17"/>
        <v>0</v>
      </c>
      <c r="I73" s="154">
        <f t="shared" si="18"/>
        <v>0</v>
      </c>
      <c r="J73" s="717"/>
      <c r="K73" s="153">
        <f t="shared" si="19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Mitarbeiterverteilung!BE59</f>
        <v>0</v>
      </c>
      <c r="D74" s="151">
        <f t="shared" si="15"/>
        <v>0</v>
      </c>
      <c r="E74" s="717"/>
      <c r="F74" s="152">
        <f t="shared" si="16"/>
        <v>0</v>
      </c>
      <c r="G74" s="717"/>
      <c r="H74" s="153">
        <f t="shared" si="17"/>
        <v>0</v>
      </c>
      <c r="I74" s="154">
        <f t="shared" si="18"/>
        <v>0</v>
      </c>
      <c r="J74" s="717"/>
      <c r="K74" s="153">
        <f t="shared" si="19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Mitarbeiterverteilung!BE60</f>
        <v>0</v>
      </c>
      <c r="D75" s="151">
        <f t="shared" si="15"/>
        <v>0</v>
      </c>
      <c r="E75" s="717"/>
      <c r="F75" s="152">
        <f t="shared" si="16"/>
        <v>0</v>
      </c>
      <c r="G75" s="717"/>
      <c r="H75" s="153">
        <f t="shared" si="17"/>
        <v>0</v>
      </c>
      <c r="I75" s="154">
        <f t="shared" si="18"/>
        <v>0</v>
      </c>
      <c r="J75" s="717"/>
      <c r="K75" s="153">
        <f t="shared" si="19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Mitarbeiterverteilung!BE61</f>
        <v>0</v>
      </c>
      <c r="D76" s="151">
        <f t="shared" si="15"/>
        <v>0</v>
      </c>
      <c r="E76" s="717"/>
      <c r="F76" s="152">
        <f t="shared" si="16"/>
        <v>0</v>
      </c>
      <c r="G76" s="717"/>
      <c r="H76" s="153">
        <f t="shared" si="17"/>
        <v>0</v>
      </c>
      <c r="I76" s="154">
        <f t="shared" si="18"/>
        <v>0</v>
      </c>
      <c r="J76" s="717"/>
      <c r="K76" s="153">
        <f t="shared" si="19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Mitarbeiterverteilung!BE62</f>
        <v>0</v>
      </c>
      <c r="D77" s="151">
        <f t="shared" si="15"/>
        <v>0</v>
      </c>
      <c r="E77" s="717"/>
      <c r="F77" s="152">
        <f t="shared" si="16"/>
        <v>0</v>
      </c>
      <c r="G77" s="717"/>
      <c r="H77" s="153">
        <f t="shared" si="17"/>
        <v>0</v>
      </c>
      <c r="I77" s="154">
        <f t="shared" si="18"/>
        <v>0</v>
      </c>
      <c r="J77" s="717"/>
      <c r="K77" s="153">
        <f t="shared" si="19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Mitarbeiterverteilung!BE63</f>
        <v>0</v>
      </c>
      <c r="D78" s="151">
        <f t="shared" si="15"/>
        <v>0</v>
      </c>
      <c r="E78" s="717"/>
      <c r="F78" s="152">
        <f t="shared" si="16"/>
        <v>0</v>
      </c>
      <c r="G78" s="717"/>
      <c r="H78" s="153">
        <f t="shared" si="17"/>
        <v>0</v>
      </c>
      <c r="I78" s="154">
        <f t="shared" si="18"/>
        <v>0</v>
      </c>
      <c r="J78" s="717"/>
      <c r="K78" s="153">
        <f t="shared" si="19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Mitarbeiterverteilung!BE64</f>
        <v>0</v>
      </c>
      <c r="D79" s="151">
        <f t="shared" si="15"/>
        <v>0</v>
      </c>
      <c r="E79" s="717"/>
      <c r="F79" s="152">
        <f t="shared" si="16"/>
        <v>0</v>
      </c>
      <c r="G79" s="717"/>
      <c r="H79" s="153">
        <f t="shared" si="17"/>
        <v>0</v>
      </c>
      <c r="I79" s="154">
        <f t="shared" si="18"/>
        <v>0</v>
      </c>
      <c r="J79" s="717"/>
      <c r="K79" s="153">
        <f t="shared" si="19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Mitarbeiterverteilung!BE65</f>
        <v>0</v>
      </c>
      <c r="D80" s="151">
        <f t="shared" si="15"/>
        <v>0</v>
      </c>
      <c r="E80" s="717"/>
      <c r="F80" s="152">
        <f t="shared" si="16"/>
        <v>0</v>
      </c>
      <c r="G80" s="717"/>
      <c r="H80" s="153">
        <f t="shared" si="17"/>
        <v>0</v>
      </c>
      <c r="I80" s="154">
        <f t="shared" si="18"/>
        <v>0</v>
      </c>
      <c r="J80" s="717"/>
      <c r="K80" s="153">
        <f t="shared" si="19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Mitarbeiterverteilung!BE66</f>
        <v>0</v>
      </c>
      <c r="D81" s="151">
        <f t="shared" si="15"/>
        <v>0</v>
      </c>
      <c r="E81" s="717"/>
      <c r="F81" s="152">
        <f t="shared" si="16"/>
        <v>0</v>
      </c>
      <c r="G81" s="717"/>
      <c r="H81" s="153">
        <f t="shared" si="17"/>
        <v>0</v>
      </c>
      <c r="I81" s="154">
        <f t="shared" si="18"/>
        <v>0</v>
      </c>
      <c r="J81" s="717"/>
      <c r="K81" s="153">
        <f t="shared" si="19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Mitarbeiterverteilung!BE67</f>
        <v>0</v>
      </c>
      <c r="D82" s="151">
        <f t="shared" si="15"/>
        <v>0</v>
      </c>
      <c r="E82" s="717"/>
      <c r="F82" s="152">
        <f t="shared" si="16"/>
        <v>0</v>
      </c>
      <c r="G82" s="717"/>
      <c r="H82" s="153">
        <f t="shared" si="17"/>
        <v>0</v>
      </c>
      <c r="I82" s="154">
        <f t="shared" si="18"/>
        <v>0</v>
      </c>
      <c r="J82" s="717"/>
      <c r="K82" s="153">
        <f t="shared" si="19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Mitarbeiterverteilung!BE68</f>
        <v>0</v>
      </c>
      <c r="D83" s="151">
        <f t="shared" si="15"/>
        <v>0</v>
      </c>
      <c r="E83" s="717"/>
      <c r="F83" s="152">
        <f t="shared" si="16"/>
        <v>0</v>
      </c>
      <c r="G83" s="717"/>
      <c r="H83" s="153">
        <f t="shared" si="17"/>
        <v>0</v>
      </c>
      <c r="I83" s="154">
        <f t="shared" si="18"/>
        <v>0</v>
      </c>
      <c r="J83" s="717"/>
      <c r="K83" s="153">
        <f t="shared" si="19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Mitarbeiterverteilung!BE69</f>
        <v>0</v>
      </c>
      <c r="D84" s="151">
        <f t="shared" si="15"/>
        <v>0</v>
      </c>
      <c r="E84" s="717"/>
      <c r="F84" s="152">
        <f t="shared" si="16"/>
        <v>0</v>
      </c>
      <c r="G84" s="717"/>
      <c r="H84" s="153">
        <f t="shared" si="17"/>
        <v>0</v>
      </c>
      <c r="I84" s="154">
        <f t="shared" si="18"/>
        <v>0</v>
      </c>
      <c r="J84" s="717"/>
      <c r="K84" s="153">
        <f t="shared" si="19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Mitarbeiterverteilung!BE70</f>
        <v>0</v>
      </c>
      <c r="D85" s="151">
        <f t="shared" si="15"/>
        <v>0</v>
      </c>
      <c r="E85" s="717"/>
      <c r="F85" s="152">
        <f t="shared" si="16"/>
        <v>0</v>
      </c>
      <c r="G85" s="717"/>
      <c r="H85" s="153">
        <f t="shared" si="17"/>
        <v>0</v>
      </c>
      <c r="I85" s="154">
        <f t="shared" si="18"/>
        <v>0</v>
      </c>
      <c r="J85" s="717"/>
      <c r="K85" s="153">
        <f t="shared" si="19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Mitarbeiterverteilung!BE71</f>
        <v>0</v>
      </c>
      <c r="D86" s="151">
        <f t="shared" si="15"/>
        <v>0</v>
      </c>
      <c r="E86" s="717"/>
      <c r="F86" s="152">
        <f t="shared" si="16"/>
        <v>0</v>
      </c>
      <c r="G86" s="717"/>
      <c r="H86" s="153">
        <f t="shared" si="17"/>
        <v>0</v>
      </c>
      <c r="I86" s="154">
        <f t="shared" si="18"/>
        <v>0</v>
      </c>
      <c r="J86" s="717"/>
      <c r="K86" s="153">
        <f t="shared" si="19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Mitarbeiterverteilung!BE72</f>
        <v>0</v>
      </c>
      <c r="D87" s="151">
        <f t="shared" si="15"/>
        <v>0</v>
      </c>
      <c r="E87" s="717"/>
      <c r="F87" s="152">
        <f t="shared" si="16"/>
        <v>0</v>
      </c>
      <c r="G87" s="717"/>
      <c r="H87" s="153">
        <f t="shared" si="17"/>
        <v>0</v>
      </c>
      <c r="I87" s="154">
        <f t="shared" si="18"/>
        <v>0</v>
      </c>
      <c r="J87" s="717"/>
      <c r="K87" s="153">
        <f t="shared" si="19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Mitarbeiterverteilung!BE73</f>
        <v>0</v>
      </c>
      <c r="D88" s="151">
        <f t="shared" si="15"/>
        <v>0</v>
      </c>
      <c r="E88" s="717"/>
      <c r="F88" s="152">
        <f t="shared" si="16"/>
        <v>0</v>
      </c>
      <c r="G88" s="717"/>
      <c r="H88" s="153">
        <f t="shared" si="17"/>
        <v>0</v>
      </c>
      <c r="I88" s="154">
        <f t="shared" si="18"/>
        <v>0</v>
      </c>
      <c r="J88" s="717"/>
      <c r="K88" s="153">
        <f t="shared" si="19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Mitarbeiterverteilung!BE74</f>
        <v>0</v>
      </c>
      <c r="D89" s="151">
        <f t="shared" si="15"/>
        <v>0</v>
      </c>
      <c r="E89" s="717"/>
      <c r="F89" s="152">
        <f t="shared" si="16"/>
        <v>0</v>
      </c>
      <c r="G89" s="717"/>
      <c r="H89" s="153">
        <f t="shared" si="17"/>
        <v>0</v>
      </c>
      <c r="I89" s="154">
        <f t="shared" si="18"/>
        <v>0</v>
      </c>
      <c r="J89" s="717"/>
      <c r="K89" s="153">
        <f t="shared" si="19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Mitarbeiterverteilung!BE75</f>
        <v>0</v>
      </c>
      <c r="D90" s="151">
        <f t="shared" si="15"/>
        <v>0</v>
      </c>
      <c r="E90" s="717"/>
      <c r="F90" s="152">
        <f t="shared" si="16"/>
        <v>0</v>
      </c>
      <c r="G90" s="717"/>
      <c r="H90" s="153">
        <f t="shared" si="17"/>
        <v>0</v>
      </c>
      <c r="I90" s="154">
        <f t="shared" si="18"/>
        <v>0</v>
      </c>
      <c r="J90" s="717"/>
      <c r="K90" s="153">
        <f t="shared" si="19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Mitarbeiterverteilung!BE76</f>
        <v>0</v>
      </c>
      <c r="D91" s="151">
        <f t="shared" si="15"/>
        <v>0</v>
      </c>
      <c r="E91" s="717"/>
      <c r="F91" s="152">
        <f t="shared" si="16"/>
        <v>0</v>
      </c>
      <c r="G91" s="717"/>
      <c r="H91" s="153">
        <f t="shared" si="17"/>
        <v>0</v>
      </c>
      <c r="I91" s="154">
        <f t="shared" si="18"/>
        <v>0</v>
      </c>
      <c r="J91" s="717"/>
      <c r="K91" s="153">
        <f t="shared" si="19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Mitarbeiterverteilung!BE77</f>
        <v>0</v>
      </c>
      <c r="D92" s="151">
        <f t="shared" si="15"/>
        <v>0</v>
      </c>
      <c r="E92" s="717"/>
      <c r="F92" s="152">
        <f t="shared" si="16"/>
        <v>0</v>
      </c>
      <c r="G92" s="717"/>
      <c r="H92" s="153">
        <f t="shared" si="17"/>
        <v>0</v>
      </c>
      <c r="I92" s="154">
        <f t="shared" si="18"/>
        <v>0</v>
      </c>
      <c r="J92" s="717"/>
      <c r="K92" s="153">
        <f t="shared" si="19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Mitarbeiterverteilung!BE78</f>
        <v>0</v>
      </c>
      <c r="D93" s="151">
        <f t="shared" si="15"/>
        <v>0</v>
      </c>
      <c r="E93" s="717"/>
      <c r="F93" s="152">
        <f t="shared" si="16"/>
        <v>0</v>
      </c>
      <c r="G93" s="717"/>
      <c r="H93" s="153">
        <f t="shared" si="17"/>
        <v>0</v>
      </c>
      <c r="I93" s="154">
        <f t="shared" si="18"/>
        <v>0</v>
      </c>
      <c r="J93" s="717"/>
      <c r="K93" s="153">
        <f t="shared" si="19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Mitarbeiterverteilung!BE79</f>
        <v>0</v>
      </c>
      <c r="D94" s="151">
        <f t="shared" si="15"/>
        <v>0</v>
      </c>
      <c r="E94" s="717"/>
      <c r="F94" s="152">
        <f t="shared" si="16"/>
        <v>0</v>
      </c>
      <c r="G94" s="717"/>
      <c r="H94" s="153">
        <f t="shared" si="17"/>
        <v>0</v>
      </c>
      <c r="I94" s="154">
        <f t="shared" si="18"/>
        <v>0</v>
      </c>
      <c r="J94" s="717"/>
      <c r="K94" s="153">
        <f t="shared" si="19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Mitarbeiterverteilung!BE80</f>
        <v>0</v>
      </c>
      <c r="D95" s="151">
        <f t="shared" si="15"/>
        <v>0</v>
      </c>
      <c r="E95" s="717"/>
      <c r="F95" s="152">
        <f t="shared" si="16"/>
        <v>0</v>
      </c>
      <c r="G95" s="717"/>
      <c r="H95" s="153">
        <f t="shared" si="17"/>
        <v>0</v>
      </c>
      <c r="I95" s="154">
        <f t="shared" si="18"/>
        <v>0</v>
      </c>
      <c r="J95" s="717"/>
      <c r="K95" s="153">
        <f t="shared" si="19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Mitarbeiterverteilung!BE81</f>
        <v>0</v>
      </c>
      <c r="D96" s="151">
        <f t="shared" si="15"/>
        <v>0</v>
      </c>
      <c r="E96" s="717"/>
      <c r="F96" s="152">
        <f t="shared" si="16"/>
        <v>0</v>
      </c>
      <c r="G96" s="717"/>
      <c r="H96" s="153">
        <f t="shared" si="17"/>
        <v>0</v>
      </c>
      <c r="I96" s="154">
        <f t="shared" si="18"/>
        <v>0</v>
      </c>
      <c r="J96" s="717"/>
      <c r="K96" s="153">
        <f t="shared" si="19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Mitarbeiterverteilung!BE82</f>
        <v>0</v>
      </c>
      <c r="D97" s="151">
        <f t="shared" si="15"/>
        <v>0</v>
      </c>
      <c r="E97" s="717"/>
      <c r="F97" s="152">
        <f t="shared" si="16"/>
        <v>0</v>
      </c>
      <c r="G97" s="717"/>
      <c r="H97" s="153">
        <f t="shared" si="17"/>
        <v>0</v>
      </c>
      <c r="I97" s="154">
        <f t="shared" si="18"/>
        <v>0</v>
      </c>
      <c r="J97" s="717"/>
      <c r="K97" s="153">
        <f t="shared" si="19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Mitarbeiterverteilung!BE83</f>
        <v>0</v>
      </c>
      <c r="D98" s="151">
        <f t="shared" si="15"/>
        <v>0</v>
      </c>
      <c r="E98" s="717"/>
      <c r="F98" s="152">
        <f t="shared" si="16"/>
        <v>0</v>
      </c>
      <c r="G98" s="717"/>
      <c r="H98" s="153">
        <f t="shared" si="17"/>
        <v>0</v>
      </c>
      <c r="I98" s="154">
        <f t="shared" si="18"/>
        <v>0</v>
      </c>
      <c r="J98" s="717"/>
      <c r="K98" s="153">
        <f t="shared" si="19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Mitarbeiterverteilung!BE84</f>
        <v>0</v>
      </c>
      <c r="D99" s="151">
        <f t="shared" si="15"/>
        <v>0</v>
      </c>
      <c r="E99" s="717"/>
      <c r="F99" s="152">
        <f t="shared" si="16"/>
        <v>0</v>
      </c>
      <c r="G99" s="717"/>
      <c r="H99" s="153">
        <f t="shared" si="17"/>
        <v>0</v>
      </c>
      <c r="I99" s="154">
        <f t="shared" si="18"/>
        <v>0</v>
      </c>
      <c r="J99" s="717"/>
      <c r="K99" s="153">
        <f t="shared" si="19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Mitarbeiterverteilung!BE85</f>
        <v>0</v>
      </c>
      <c r="D100" s="151">
        <f t="shared" si="15"/>
        <v>0</v>
      </c>
      <c r="E100" s="717"/>
      <c r="F100" s="152">
        <f t="shared" si="16"/>
        <v>0</v>
      </c>
      <c r="G100" s="717"/>
      <c r="H100" s="153">
        <f t="shared" si="17"/>
        <v>0</v>
      </c>
      <c r="I100" s="154">
        <f t="shared" si="18"/>
        <v>0</v>
      </c>
      <c r="J100" s="717"/>
      <c r="K100" s="153">
        <f t="shared" si="19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Mitarbeiterverteilung!BE86</f>
        <v>0</v>
      </c>
      <c r="D101" s="151">
        <f t="shared" si="15"/>
        <v>0</v>
      </c>
      <c r="E101" s="717"/>
      <c r="F101" s="152">
        <f t="shared" si="16"/>
        <v>0</v>
      </c>
      <c r="G101" s="717"/>
      <c r="H101" s="153">
        <f t="shared" si="17"/>
        <v>0</v>
      </c>
      <c r="I101" s="154">
        <f t="shared" si="18"/>
        <v>0</v>
      </c>
      <c r="J101" s="717"/>
      <c r="K101" s="153">
        <f t="shared" si="19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Mitarbeiterverteilung!BE87</f>
        <v>0</v>
      </c>
      <c r="D102" s="151">
        <f t="shared" si="15"/>
        <v>0</v>
      </c>
      <c r="E102" s="717"/>
      <c r="F102" s="152">
        <f t="shared" si="16"/>
        <v>0</v>
      </c>
      <c r="G102" s="717"/>
      <c r="H102" s="153">
        <f t="shared" si="17"/>
        <v>0</v>
      </c>
      <c r="I102" s="154">
        <f t="shared" si="18"/>
        <v>0</v>
      </c>
      <c r="J102" s="717"/>
      <c r="K102" s="153">
        <f t="shared" si="19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Mitarbeiterverteilung!BE88</f>
        <v>0</v>
      </c>
      <c r="D103" s="151">
        <f t="shared" si="15"/>
        <v>0</v>
      </c>
      <c r="E103" s="717"/>
      <c r="F103" s="152">
        <f t="shared" si="16"/>
        <v>0</v>
      </c>
      <c r="G103" s="717"/>
      <c r="H103" s="153">
        <f t="shared" si="17"/>
        <v>0</v>
      </c>
      <c r="I103" s="154">
        <f t="shared" si="18"/>
        <v>0</v>
      </c>
      <c r="J103" s="717"/>
      <c r="K103" s="153">
        <f t="shared" si="19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Mitarbeiterverteilung!BE89</f>
        <v>0</v>
      </c>
      <c r="D104" s="151">
        <f t="shared" si="15"/>
        <v>0</v>
      </c>
      <c r="E104" s="717"/>
      <c r="F104" s="152">
        <f t="shared" si="16"/>
        <v>0</v>
      </c>
      <c r="G104" s="717"/>
      <c r="H104" s="153">
        <f t="shared" si="17"/>
        <v>0</v>
      </c>
      <c r="I104" s="154">
        <f t="shared" si="18"/>
        <v>0</v>
      </c>
      <c r="J104" s="717"/>
      <c r="K104" s="153">
        <f t="shared" si="19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Mitarbeiterverteilung!BE90</f>
        <v>0</v>
      </c>
      <c r="D105" s="151">
        <f t="shared" si="15"/>
        <v>0</v>
      </c>
      <c r="E105" s="717"/>
      <c r="F105" s="152">
        <f t="shared" si="16"/>
        <v>0</v>
      </c>
      <c r="G105" s="717"/>
      <c r="H105" s="153">
        <f t="shared" si="17"/>
        <v>0</v>
      </c>
      <c r="I105" s="154">
        <f t="shared" si="18"/>
        <v>0</v>
      </c>
      <c r="J105" s="717"/>
      <c r="K105" s="153">
        <f t="shared" si="19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Mitarbeiterverteilung!BE91</f>
        <v>0</v>
      </c>
      <c r="D106" s="151">
        <f t="shared" si="15"/>
        <v>0</v>
      </c>
      <c r="E106" s="717"/>
      <c r="F106" s="152">
        <f t="shared" si="16"/>
        <v>0</v>
      </c>
      <c r="G106" s="717"/>
      <c r="H106" s="153">
        <f t="shared" si="17"/>
        <v>0</v>
      </c>
      <c r="I106" s="154">
        <f t="shared" si="18"/>
        <v>0</v>
      </c>
      <c r="J106" s="717"/>
      <c r="K106" s="153">
        <f t="shared" si="19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Mitarbeiterverteilung!BE92</f>
        <v>0</v>
      </c>
      <c r="D107" s="151">
        <f t="shared" si="15"/>
        <v>0</v>
      </c>
      <c r="E107" s="717"/>
      <c r="F107" s="152">
        <f t="shared" si="16"/>
        <v>0</v>
      </c>
      <c r="G107" s="717"/>
      <c r="H107" s="153">
        <f t="shared" si="17"/>
        <v>0</v>
      </c>
      <c r="I107" s="154">
        <f t="shared" si="18"/>
        <v>0</v>
      </c>
      <c r="J107" s="717"/>
      <c r="K107" s="153">
        <f t="shared" si="19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Mitarbeiterverteilung!BE93</f>
        <v>0</v>
      </c>
      <c r="D108" s="151">
        <f t="shared" si="15"/>
        <v>0</v>
      </c>
      <c r="E108" s="717"/>
      <c r="F108" s="152">
        <f t="shared" si="16"/>
        <v>0</v>
      </c>
      <c r="G108" s="717"/>
      <c r="H108" s="153">
        <f t="shared" si="17"/>
        <v>0</v>
      </c>
      <c r="I108" s="154">
        <f t="shared" si="18"/>
        <v>0</v>
      </c>
      <c r="J108" s="717"/>
      <c r="K108" s="153">
        <f t="shared" si="19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Mitarbeiterverteilung!BE94</f>
        <v>0</v>
      </c>
      <c r="D109" s="151">
        <f t="shared" si="15"/>
        <v>0</v>
      </c>
      <c r="E109" s="717"/>
      <c r="F109" s="152">
        <f t="shared" si="16"/>
        <v>0</v>
      </c>
      <c r="G109" s="717"/>
      <c r="H109" s="153">
        <f t="shared" si="17"/>
        <v>0</v>
      </c>
      <c r="I109" s="154">
        <f t="shared" si="18"/>
        <v>0</v>
      </c>
      <c r="J109" s="717"/>
      <c r="K109" s="153">
        <f t="shared" si="19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Mitarbeiterverteilung!BE95</f>
        <v>0</v>
      </c>
      <c r="D110" s="151">
        <f t="shared" si="15"/>
        <v>0</v>
      </c>
      <c r="E110" s="717"/>
      <c r="F110" s="152">
        <f t="shared" si="16"/>
        <v>0</v>
      </c>
      <c r="G110" s="717"/>
      <c r="H110" s="153">
        <f t="shared" si="17"/>
        <v>0</v>
      </c>
      <c r="I110" s="154">
        <f t="shared" si="18"/>
        <v>0</v>
      </c>
      <c r="J110" s="717"/>
      <c r="K110" s="153">
        <f t="shared" si="19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Mitarbeiterverteilung!BE96</f>
        <v>0</v>
      </c>
      <c r="D111" s="151">
        <f t="shared" si="15"/>
        <v>0</v>
      </c>
      <c r="E111" s="717"/>
      <c r="F111" s="152">
        <f t="shared" si="16"/>
        <v>0</v>
      </c>
      <c r="G111" s="717"/>
      <c r="H111" s="153">
        <f t="shared" si="17"/>
        <v>0</v>
      </c>
      <c r="I111" s="154">
        <f t="shared" si="18"/>
        <v>0</v>
      </c>
      <c r="J111" s="717"/>
      <c r="K111" s="153">
        <f t="shared" si="19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Mitarbeiterverteilung!BE97</f>
        <v>0</v>
      </c>
      <c r="D112" s="151">
        <f t="shared" si="15"/>
        <v>0</v>
      </c>
      <c r="E112" s="717"/>
      <c r="F112" s="152">
        <f t="shared" si="16"/>
        <v>0</v>
      </c>
      <c r="G112" s="717"/>
      <c r="H112" s="153">
        <f t="shared" si="17"/>
        <v>0</v>
      </c>
      <c r="I112" s="154">
        <f t="shared" si="18"/>
        <v>0</v>
      </c>
      <c r="J112" s="717"/>
      <c r="K112" s="153">
        <f t="shared" si="19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Mitarbeiterverteilung!BE98</f>
        <v>0</v>
      </c>
      <c r="D113" s="151">
        <f t="shared" si="15"/>
        <v>0</v>
      </c>
      <c r="E113" s="717"/>
      <c r="F113" s="152">
        <f t="shared" si="16"/>
        <v>0</v>
      </c>
      <c r="G113" s="717"/>
      <c r="H113" s="153">
        <f t="shared" si="17"/>
        <v>0</v>
      </c>
      <c r="I113" s="154">
        <f t="shared" si="18"/>
        <v>0</v>
      </c>
      <c r="J113" s="717"/>
      <c r="K113" s="153">
        <f t="shared" si="19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Mitarbeiterverteilung!BE99</f>
        <v>0</v>
      </c>
      <c r="D114" s="151">
        <f t="shared" si="15"/>
        <v>0</v>
      </c>
      <c r="E114" s="717"/>
      <c r="F114" s="152">
        <f t="shared" si="16"/>
        <v>0</v>
      </c>
      <c r="G114" s="717"/>
      <c r="H114" s="153">
        <f t="shared" si="17"/>
        <v>0</v>
      </c>
      <c r="I114" s="154">
        <f t="shared" si="18"/>
        <v>0</v>
      </c>
      <c r="J114" s="717"/>
      <c r="K114" s="153">
        <f t="shared" si="19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Mitarbeiterverteilung!BE100</f>
        <v>0</v>
      </c>
      <c r="D115" s="151">
        <f t="shared" si="15"/>
        <v>0</v>
      </c>
      <c r="E115" s="717"/>
      <c r="F115" s="152">
        <f t="shared" si="16"/>
        <v>0</v>
      </c>
      <c r="G115" s="717"/>
      <c r="H115" s="153">
        <f t="shared" si="17"/>
        <v>0</v>
      </c>
      <c r="I115" s="154">
        <f t="shared" si="18"/>
        <v>0</v>
      </c>
      <c r="J115" s="717"/>
      <c r="K115" s="153">
        <f t="shared" si="19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Mitarbeiterverteilung!BE101</f>
        <v>0</v>
      </c>
      <c r="D116" s="151">
        <f t="shared" si="15"/>
        <v>0</v>
      </c>
      <c r="E116" s="717"/>
      <c r="F116" s="152">
        <f t="shared" si="16"/>
        <v>0</v>
      </c>
      <c r="G116" s="717"/>
      <c r="H116" s="153">
        <f t="shared" si="17"/>
        <v>0</v>
      </c>
      <c r="I116" s="154">
        <f t="shared" si="18"/>
        <v>0</v>
      </c>
      <c r="J116" s="717"/>
      <c r="K116" s="153">
        <f t="shared" si="19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Mitarbeiterverteilung!BE102</f>
        <v>0</v>
      </c>
      <c r="D117" s="151">
        <f t="shared" si="15"/>
        <v>0</v>
      </c>
      <c r="E117" s="717"/>
      <c r="F117" s="152">
        <f t="shared" si="16"/>
        <v>0</v>
      </c>
      <c r="G117" s="717"/>
      <c r="H117" s="153">
        <f t="shared" si="17"/>
        <v>0</v>
      </c>
      <c r="I117" s="154">
        <f t="shared" si="18"/>
        <v>0</v>
      </c>
      <c r="J117" s="717"/>
      <c r="K117" s="153">
        <f t="shared" si="19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Mitarbeiterverteilung!BE103</f>
        <v>0</v>
      </c>
      <c r="D118" s="151">
        <f t="shared" si="15"/>
        <v>0</v>
      </c>
      <c r="E118" s="717"/>
      <c r="F118" s="152">
        <f t="shared" si="16"/>
        <v>0</v>
      </c>
      <c r="G118" s="717"/>
      <c r="H118" s="153">
        <f t="shared" si="17"/>
        <v>0</v>
      </c>
      <c r="I118" s="154">
        <f t="shared" si="18"/>
        <v>0</v>
      </c>
      <c r="J118" s="717"/>
      <c r="K118" s="153">
        <f t="shared" si="19"/>
        <v>0</v>
      </c>
      <c r="L118" s="85"/>
    </row>
    <row r="119" spans="1:12" hidden="1" outlineLevel="1" x14ac:dyDescent="0.2">
      <c r="B119" s="161" t="str">
        <f>Mitarbeiterverteilung!A104</f>
        <v/>
      </c>
      <c r="C119" s="150">
        <f>Mitarbeiterverteilung!BE104</f>
        <v>0</v>
      </c>
      <c r="D119" s="151">
        <f t="shared" si="15"/>
        <v>0</v>
      </c>
      <c r="E119" s="717"/>
      <c r="F119" s="152">
        <f t="shared" si="16"/>
        <v>0</v>
      </c>
      <c r="G119" s="717"/>
      <c r="H119" s="153">
        <f t="shared" si="17"/>
        <v>0</v>
      </c>
      <c r="I119" s="154">
        <f t="shared" si="18"/>
        <v>0</v>
      </c>
      <c r="J119" s="717"/>
      <c r="K119" s="153">
        <f t="shared" si="19"/>
        <v>0</v>
      </c>
      <c r="L119" s="85"/>
    </row>
    <row r="120" spans="1:12" hidden="1" outlineLevel="1" x14ac:dyDescent="0.2">
      <c r="B120" s="161" t="str">
        <f>Mitarbeiterverteilung!A105</f>
        <v/>
      </c>
      <c r="C120" s="150">
        <f>Mitarbeiterverteilung!BE105</f>
        <v>0</v>
      </c>
      <c r="D120" s="151">
        <f t="shared" si="15"/>
        <v>0</v>
      </c>
      <c r="E120" s="717"/>
      <c r="F120" s="152">
        <f t="shared" si="16"/>
        <v>0</v>
      </c>
      <c r="G120" s="717"/>
      <c r="H120" s="153">
        <f t="shared" si="17"/>
        <v>0</v>
      </c>
      <c r="I120" s="154">
        <f t="shared" si="18"/>
        <v>0</v>
      </c>
      <c r="J120" s="717"/>
      <c r="K120" s="153">
        <f t="shared" si="19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Mitarbeiterverteilung!BE106</f>
        <v>0</v>
      </c>
      <c r="D121" s="156">
        <f t="shared" si="15"/>
        <v>0</v>
      </c>
      <c r="E121" s="718"/>
      <c r="F121" s="157">
        <f t="shared" si="16"/>
        <v>0</v>
      </c>
      <c r="G121" s="718"/>
      <c r="H121" s="158">
        <f t="shared" si="17"/>
        <v>0</v>
      </c>
      <c r="I121" s="159">
        <f t="shared" si="18"/>
        <v>0</v>
      </c>
      <c r="J121" s="718"/>
      <c r="K121" s="158">
        <f t="shared" si="19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+Kostenverteilung!O25</f>
        <v>0</v>
      </c>
      <c r="G125" s="89" t="s">
        <v>519</v>
      </c>
      <c r="I125" s="112">
        <f>Mitarbeiterverteilung!X107</f>
        <v>0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Mitarbeiterverteilung!AI107</f>
        <v>0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0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0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0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0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B152" s="85"/>
      <c r="C152" s="85"/>
      <c r="D152" s="85"/>
      <c r="E152" s="85"/>
      <c r="L152" s="85"/>
    </row>
    <row r="153" spans="2:12" x14ac:dyDescent="0.2">
      <c r="B153" s="85"/>
      <c r="C153" s="85"/>
      <c r="D153" s="85"/>
      <c r="E153" s="85"/>
      <c r="L153" s="85"/>
    </row>
  </sheetData>
  <pageMargins left="0.7" right="0.7" top="0.78740157499999996" bottom="0.78740157499999996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0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Kostenverteilung!R2</f>
        <v>PC-5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+Kostenverteilung!R4</f>
        <v>0</v>
      </c>
      <c r="D4" s="113">
        <f>F4+I4-C4</f>
        <v>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+Kostenverteilung!R5</f>
        <v>0</v>
      </c>
      <c r="D5" s="113">
        <f t="shared" ref="D5:D14" si="2">F5+I5-C5</f>
        <v>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+Kostenverteilung!R6</f>
        <v>0</v>
      </c>
      <c r="D6" s="113">
        <f t="shared" si="2"/>
        <v>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+Kostenverteilung!R7</f>
        <v>0</v>
      </c>
      <c r="D7" s="113">
        <f t="shared" si="2"/>
        <v>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+Kostenverteilung!R8</f>
        <v>0</v>
      </c>
      <c r="D8" s="113">
        <f t="shared" si="2"/>
        <v>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+Kostenverteilung!R9</f>
        <v>0</v>
      </c>
      <c r="D9" s="113">
        <f t="shared" si="2"/>
        <v>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+Kostenverteilung!R10</f>
        <v>0</v>
      </c>
      <c r="D10" s="113">
        <f t="shared" si="2"/>
        <v>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+Kostenverteilung!R11</f>
        <v>0</v>
      </c>
      <c r="D11" s="113">
        <f t="shared" si="2"/>
        <v>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+Kostenverteilung!R12</f>
        <v>0</v>
      </c>
      <c r="D12" s="113">
        <f t="shared" si="2"/>
        <v>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+Kostenverteilung!R13</f>
        <v>0</v>
      </c>
      <c r="D13" s="113">
        <f>F13+I13-C13</f>
        <v>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+Kostenverteilung!R14</f>
        <v>0</v>
      </c>
      <c r="D14" s="113">
        <f t="shared" si="2"/>
        <v>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+Kostenverteilung!R15</f>
        <v>0</v>
      </c>
      <c r="D15" s="114">
        <f>F15+I15-C15</f>
        <v>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+Kostenverteilung!R17</f>
        <v>0</v>
      </c>
      <c r="D17" s="146">
        <f t="shared" ref="D17:D18" si="5">F17+I17-C17</f>
        <v>0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+Kostenverteilung!R18</f>
        <v>0</v>
      </c>
      <c r="D18" s="156">
        <f t="shared" si="5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Mitarbeiterverteilung!BF6</f>
        <v>0</v>
      </c>
      <c r="D21" s="146">
        <f t="shared" ref="D21:D22" si="6">F21+I21-C21</f>
        <v>0</v>
      </c>
      <c r="E21" s="716"/>
      <c r="F21" s="147">
        <f>C21*H21</f>
        <v>0</v>
      </c>
      <c r="G21" s="716"/>
      <c r="H21" s="148">
        <f t="shared" ref="H21:H22" si="7">IF(E21=0,0,G21/$E21)</f>
        <v>0</v>
      </c>
      <c r="I21" s="149">
        <f t="shared" ref="I21:I22" si="8">C21*K21</f>
        <v>0</v>
      </c>
      <c r="J21" s="716"/>
      <c r="K21" s="148">
        <f t="shared" ref="K21:K22" si="9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Mitarbeiterverteilung!BF7</f>
        <v>0</v>
      </c>
      <c r="D22" s="151">
        <f t="shared" si="6"/>
        <v>0</v>
      </c>
      <c r="E22" s="717"/>
      <c r="F22" s="152">
        <f>C22*H22</f>
        <v>0</v>
      </c>
      <c r="G22" s="717"/>
      <c r="H22" s="153">
        <f t="shared" si="7"/>
        <v>0</v>
      </c>
      <c r="I22" s="154">
        <f t="shared" si="8"/>
        <v>0</v>
      </c>
      <c r="J22" s="717"/>
      <c r="K22" s="153">
        <f t="shared" si="9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Mitarbeiterverteilung!BF8</f>
        <v>0</v>
      </c>
      <c r="D23" s="151">
        <f t="shared" ref="D23:D57" si="10">F23+I23-C23</f>
        <v>0</v>
      </c>
      <c r="E23" s="717"/>
      <c r="F23" s="152">
        <f t="shared" ref="F23:F57" si="11">C23*H23</f>
        <v>0</v>
      </c>
      <c r="G23" s="717"/>
      <c r="H23" s="153">
        <f t="shared" ref="H23:H57" si="12">IF(E23=0,0,G23/$E23)</f>
        <v>0</v>
      </c>
      <c r="I23" s="154">
        <f t="shared" ref="I23:I57" si="13">C23*K23</f>
        <v>0</v>
      </c>
      <c r="J23" s="717"/>
      <c r="K23" s="153">
        <f t="shared" ref="K23:K57" si="14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Mitarbeiterverteilung!BF9</f>
        <v>0</v>
      </c>
      <c r="D24" s="151">
        <f t="shared" si="10"/>
        <v>0</v>
      </c>
      <c r="E24" s="717"/>
      <c r="F24" s="152">
        <f t="shared" si="11"/>
        <v>0</v>
      </c>
      <c r="G24" s="717"/>
      <c r="H24" s="153">
        <f t="shared" si="12"/>
        <v>0</v>
      </c>
      <c r="I24" s="154">
        <f t="shared" si="13"/>
        <v>0</v>
      </c>
      <c r="J24" s="717"/>
      <c r="K24" s="153">
        <f t="shared" si="14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Mitarbeiterverteilung!BF10</f>
        <v>0</v>
      </c>
      <c r="D25" s="151">
        <f t="shared" si="10"/>
        <v>0</v>
      </c>
      <c r="E25" s="717"/>
      <c r="F25" s="152">
        <f t="shared" si="11"/>
        <v>0</v>
      </c>
      <c r="G25" s="717"/>
      <c r="H25" s="153">
        <f t="shared" si="12"/>
        <v>0</v>
      </c>
      <c r="I25" s="154">
        <f t="shared" si="13"/>
        <v>0</v>
      </c>
      <c r="J25" s="717"/>
      <c r="K25" s="153">
        <f t="shared" si="14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Mitarbeiterverteilung!BF11</f>
        <v>0</v>
      </c>
      <c r="D26" s="151">
        <f t="shared" si="10"/>
        <v>0</v>
      </c>
      <c r="E26" s="717"/>
      <c r="F26" s="152">
        <f t="shared" si="11"/>
        <v>0</v>
      </c>
      <c r="G26" s="717"/>
      <c r="H26" s="153">
        <f t="shared" si="12"/>
        <v>0</v>
      </c>
      <c r="I26" s="154">
        <f t="shared" si="13"/>
        <v>0</v>
      </c>
      <c r="J26" s="717"/>
      <c r="K26" s="153">
        <f t="shared" si="14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Mitarbeiterverteilung!BF12</f>
        <v>0</v>
      </c>
      <c r="D27" s="151">
        <f t="shared" si="10"/>
        <v>0</v>
      </c>
      <c r="E27" s="717"/>
      <c r="F27" s="152">
        <f t="shared" si="11"/>
        <v>0</v>
      </c>
      <c r="G27" s="717"/>
      <c r="H27" s="153">
        <f t="shared" si="12"/>
        <v>0</v>
      </c>
      <c r="I27" s="154">
        <f t="shared" si="13"/>
        <v>0</v>
      </c>
      <c r="J27" s="717"/>
      <c r="K27" s="153">
        <f t="shared" si="14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Mitarbeiterverteilung!BF13</f>
        <v>0</v>
      </c>
      <c r="D28" s="151">
        <f t="shared" si="10"/>
        <v>0</v>
      </c>
      <c r="E28" s="717"/>
      <c r="F28" s="152">
        <f t="shared" si="11"/>
        <v>0</v>
      </c>
      <c r="G28" s="717"/>
      <c r="H28" s="153">
        <f t="shared" si="12"/>
        <v>0</v>
      </c>
      <c r="I28" s="154">
        <f t="shared" si="13"/>
        <v>0</v>
      </c>
      <c r="J28" s="717"/>
      <c r="K28" s="153">
        <f t="shared" si="14"/>
        <v>0</v>
      </c>
      <c r="L28" s="85"/>
    </row>
    <row r="29" spans="1:12" hidden="1" outlineLevel="1" x14ac:dyDescent="0.2">
      <c r="B29" s="161" t="str">
        <f>Mitarbeiterverteilung!A14</f>
        <v>Thomas Fleißig</v>
      </c>
      <c r="C29" s="150">
        <f>Mitarbeiterverteilung!BF14</f>
        <v>0</v>
      </c>
      <c r="D29" s="151">
        <f t="shared" si="10"/>
        <v>0</v>
      </c>
      <c r="E29" s="717"/>
      <c r="F29" s="152">
        <f t="shared" si="11"/>
        <v>0</v>
      </c>
      <c r="G29" s="717"/>
      <c r="H29" s="153">
        <f t="shared" si="12"/>
        <v>0</v>
      </c>
      <c r="I29" s="154">
        <f t="shared" si="13"/>
        <v>0</v>
      </c>
      <c r="J29" s="717"/>
      <c r="K29" s="153">
        <f t="shared" si="14"/>
        <v>0</v>
      </c>
      <c r="L29" s="85"/>
    </row>
    <row r="30" spans="1:12" hidden="1" outlineLevel="1" x14ac:dyDescent="0.2">
      <c r="B30" s="161" t="str">
        <f>Mitarbeiterverteilung!A15</f>
        <v>Facharbeiter</v>
      </c>
      <c r="C30" s="150">
        <f>Mitarbeiterverteilung!BF15</f>
        <v>0</v>
      </c>
      <c r="D30" s="151">
        <f t="shared" si="10"/>
        <v>0</v>
      </c>
      <c r="E30" s="717"/>
      <c r="F30" s="152">
        <f t="shared" si="11"/>
        <v>0</v>
      </c>
      <c r="G30" s="717"/>
      <c r="H30" s="153">
        <f t="shared" si="12"/>
        <v>0</v>
      </c>
      <c r="I30" s="154">
        <f t="shared" si="13"/>
        <v>0</v>
      </c>
      <c r="J30" s="717"/>
      <c r="K30" s="153">
        <f t="shared" si="14"/>
        <v>0</v>
      </c>
      <c r="L30" s="85"/>
    </row>
    <row r="31" spans="1:12" hidden="1" outlineLevel="1" x14ac:dyDescent="0.2">
      <c r="B31" s="161" t="str">
        <f>Mitarbeiterverteilung!A16</f>
        <v>Abgänger</v>
      </c>
      <c r="C31" s="150">
        <f>Mitarbeiterverteilung!BF16</f>
        <v>0</v>
      </c>
      <c r="D31" s="151">
        <f t="shared" si="10"/>
        <v>0</v>
      </c>
      <c r="E31" s="717"/>
      <c r="F31" s="152">
        <f t="shared" si="11"/>
        <v>0</v>
      </c>
      <c r="G31" s="717"/>
      <c r="H31" s="153">
        <f t="shared" si="12"/>
        <v>0</v>
      </c>
      <c r="I31" s="154">
        <f t="shared" si="13"/>
        <v>0</v>
      </c>
      <c r="J31" s="717"/>
      <c r="K31" s="153">
        <f t="shared" si="14"/>
        <v>0</v>
      </c>
      <c r="L31" s="85"/>
    </row>
    <row r="32" spans="1:12" hidden="1" outlineLevel="1" x14ac:dyDescent="0.2">
      <c r="B32" s="161" t="str">
        <f>Mitarbeiterverteilung!A17</f>
        <v>Facharbeiter</v>
      </c>
      <c r="C32" s="150">
        <f>Mitarbeiterverteilung!BF17</f>
        <v>0</v>
      </c>
      <c r="D32" s="151">
        <f t="shared" si="10"/>
        <v>0</v>
      </c>
      <c r="E32" s="717"/>
      <c r="F32" s="152">
        <f t="shared" si="11"/>
        <v>0</v>
      </c>
      <c r="G32" s="717"/>
      <c r="H32" s="153">
        <f t="shared" si="12"/>
        <v>0</v>
      </c>
      <c r="I32" s="154">
        <f t="shared" si="13"/>
        <v>0</v>
      </c>
      <c r="J32" s="717"/>
      <c r="K32" s="153">
        <f t="shared" si="14"/>
        <v>0</v>
      </c>
      <c r="L32" s="85"/>
    </row>
    <row r="33" spans="2:12" hidden="1" outlineLevel="1" x14ac:dyDescent="0.2">
      <c r="B33" s="161" t="str">
        <f>Mitarbeiterverteilung!A18</f>
        <v>Facharbeiter</v>
      </c>
      <c r="C33" s="150">
        <f>Mitarbeiterverteilung!BF18</f>
        <v>0</v>
      </c>
      <c r="D33" s="151">
        <f t="shared" si="10"/>
        <v>0</v>
      </c>
      <c r="E33" s="717"/>
      <c r="F33" s="152">
        <f t="shared" si="11"/>
        <v>0</v>
      </c>
      <c r="G33" s="717"/>
      <c r="H33" s="153">
        <f t="shared" si="12"/>
        <v>0</v>
      </c>
      <c r="I33" s="154">
        <f t="shared" si="13"/>
        <v>0</v>
      </c>
      <c r="J33" s="717"/>
      <c r="K33" s="153">
        <f t="shared" si="14"/>
        <v>0</v>
      </c>
      <c r="L33" s="85"/>
    </row>
    <row r="34" spans="2:12" hidden="1" outlineLevel="1" x14ac:dyDescent="0.2">
      <c r="B34" s="161" t="str">
        <f>Mitarbeiterverteilung!A19</f>
        <v>Elternzeit Geselle</v>
      </c>
      <c r="C34" s="150">
        <f>Mitarbeiterverteilung!BF19</f>
        <v>0</v>
      </c>
      <c r="D34" s="151">
        <f t="shared" si="10"/>
        <v>0</v>
      </c>
      <c r="E34" s="717"/>
      <c r="F34" s="152">
        <f t="shared" si="11"/>
        <v>0</v>
      </c>
      <c r="G34" s="717"/>
      <c r="H34" s="153">
        <f t="shared" si="12"/>
        <v>0</v>
      </c>
      <c r="I34" s="154">
        <f t="shared" si="13"/>
        <v>0</v>
      </c>
      <c r="J34" s="717"/>
      <c r="K34" s="153">
        <f t="shared" si="14"/>
        <v>0</v>
      </c>
      <c r="L34" s="85"/>
    </row>
    <row r="35" spans="2:12" hidden="1" outlineLevel="1" x14ac:dyDescent="0.2">
      <c r="B35" s="161" t="str">
        <f>Mitarbeiterverteilung!A20</f>
        <v>A. Zubi</v>
      </c>
      <c r="C35" s="150">
        <f>Mitarbeiterverteilung!BF20</f>
        <v>0</v>
      </c>
      <c r="D35" s="151">
        <f t="shared" si="10"/>
        <v>0</v>
      </c>
      <c r="E35" s="717"/>
      <c r="F35" s="152">
        <f t="shared" si="11"/>
        <v>0</v>
      </c>
      <c r="G35" s="717"/>
      <c r="H35" s="153">
        <f t="shared" si="12"/>
        <v>0</v>
      </c>
      <c r="I35" s="154">
        <f t="shared" si="13"/>
        <v>0</v>
      </c>
      <c r="J35" s="717"/>
      <c r="K35" s="153">
        <f t="shared" si="14"/>
        <v>0</v>
      </c>
      <c r="L35" s="85"/>
    </row>
    <row r="36" spans="2:12" hidden="1" outlineLevel="1" x14ac:dyDescent="0.2">
      <c r="B36" s="161" t="str">
        <f>Mitarbeiterverteilung!A21</f>
        <v>Zur Ausbildung</v>
      </c>
      <c r="C36" s="150">
        <f>Mitarbeiterverteilung!BF21</f>
        <v>0</v>
      </c>
      <c r="D36" s="151">
        <f t="shared" si="10"/>
        <v>0</v>
      </c>
      <c r="E36" s="717"/>
      <c r="F36" s="152">
        <f t="shared" si="11"/>
        <v>0</v>
      </c>
      <c r="G36" s="717"/>
      <c r="H36" s="153">
        <f t="shared" si="12"/>
        <v>0</v>
      </c>
      <c r="I36" s="154">
        <f t="shared" si="13"/>
        <v>0</v>
      </c>
      <c r="J36" s="717"/>
      <c r="K36" s="153">
        <f t="shared" si="14"/>
        <v>0</v>
      </c>
      <c r="L36" s="85"/>
    </row>
    <row r="37" spans="2:12" hidden="1" outlineLevel="1" x14ac:dyDescent="0.2">
      <c r="B37" s="161" t="str">
        <f>Mitarbeiterverteilung!A22</f>
        <v>Reine Putze</v>
      </c>
      <c r="C37" s="150">
        <f>Mitarbeiterverteilung!BF22</f>
        <v>0</v>
      </c>
      <c r="D37" s="151">
        <f t="shared" si="10"/>
        <v>0</v>
      </c>
      <c r="E37" s="717"/>
      <c r="F37" s="152">
        <f t="shared" si="11"/>
        <v>0</v>
      </c>
      <c r="G37" s="717"/>
      <c r="H37" s="153">
        <f t="shared" si="12"/>
        <v>0</v>
      </c>
      <c r="I37" s="154">
        <f t="shared" si="13"/>
        <v>0</v>
      </c>
      <c r="J37" s="717"/>
      <c r="K37" s="153">
        <f t="shared" si="14"/>
        <v>0</v>
      </c>
      <c r="L37" s="85"/>
    </row>
    <row r="38" spans="2:12" hidden="1" outlineLevel="1" x14ac:dyDescent="0.2">
      <c r="B38" s="161" t="str">
        <f>Mitarbeiterverteilung!A23</f>
        <v/>
      </c>
      <c r="C38" s="150">
        <f>Mitarbeiterverteilung!BF23</f>
        <v>0</v>
      </c>
      <c r="D38" s="151">
        <f t="shared" si="10"/>
        <v>0</v>
      </c>
      <c r="E38" s="717"/>
      <c r="F38" s="152">
        <f t="shared" si="11"/>
        <v>0</v>
      </c>
      <c r="G38" s="717"/>
      <c r="H38" s="153">
        <f t="shared" si="12"/>
        <v>0</v>
      </c>
      <c r="I38" s="154">
        <f t="shared" si="13"/>
        <v>0</v>
      </c>
      <c r="J38" s="717"/>
      <c r="K38" s="153">
        <f t="shared" si="14"/>
        <v>0</v>
      </c>
      <c r="L38" s="85"/>
    </row>
    <row r="39" spans="2:12" hidden="1" outlineLevel="1" x14ac:dyDescent="0.2">
      <c r="B39" s="161" t="str">
        <f>Mitarbeiterverteilung!A24</f>
        <v/>
      </c>
      <c r="C39" s="150">
        <f>Mitarbeiterverteilung!BF24</f>
        <v>0</v>
      </c>
      <c r="D39" s="151">
        <f t="shared" si="10"/>
        <v>0</v>
      </c>
      <c r="E39" s="717"/>
      <c r="F39" s="152">
        <f t="shared" si="11"/>
        <v>0</v>
      </c>
      <c r="G39" s="717"/>
      <c r="H39" s="153">
        <f t="shared" si="12"/>
        <v>0</v>
      </c>
      <c r="I39" s="154">
        <f t="shared" si="13"/>
        <v>0</v>
      </c>
      <c r="J39" s="717"/>
      <c r="K39" s="153">
        <f t="shared" si="14"/>
        <v>0</v>
      </c>
      <c r="L39" s="85"/>
    </row>
    <row r="40" spans="2:12" hidden="1" outlineLevel="1" x14ac:dyDescent="0.2">
      <c r="B40" s="161" t="str">
        <f>Mitarbeiterverteilung!A25</f>
        <v/>
      </c>
      <c r="C40" s="150">
        <f>Mitarbeiterverteilung!BF25</f>
        <v>0</v>
      </c>
      <c r="D40" s="151">
        <f t="shared" si="10"/>
        <v>0</v>
      </c>
      <c r="E40" s="717"/>
      <c r="F40" s="152">
        <f t="shared" si="11"/>
        <v>0</v>
      </c>
      <c r="G40" s="717"/>
      <c r="H40" s="153">
        <f t="shared" si="12"/>
        <v>0</v>
      </c>
      <c r="I40" s="154">
        <f t="shared" si="13"/>
        <v>0</v>
      </c>
      <c r="J40" s="717"/>
      <c r="K40" s="153">
        <f t="shared" si="14"/>
        <v>0</v>
      </c>
      <c r="L40" s="85"/>
    </row>
    <row r="41" spans="2:12" hidden="1" outlineLevel="1" x14ac:dyDescent="0.2">
      <c r="B41" s="161" t="str">
        <f>Mitarbeiterverteilung!A26</f>
        <v/>
      </c>
      <c r="C41" s="150">
        <f>Mitarbeiterverteilung!BF26</f>
        <v>0</v>
      </c>
      <c r="D41" s="151">
        <f t="shared" si="10"/>
        <v>0</v>
      </c>
      <c r="E41" s="717"/>
      <c r="F41" s="152">
        <f t="shared" si="11"/>
        <v>0</v>
      </c>
      <c r="G41" s="717"/>
      <c r="H41" s="153">
        <f t="shared" si="12"/>
        <v>0</v>
      </c>
      <c r="I41" s="154">
        <f t="shared" si="13"/>
        <v>0</v>
      </c>
      <c r="J41" s="717"/>
      <c r="K41" s="153">
        <f t="shared" si="14"/>
        <v>0</v>
      </c>
      <c r="L41" s="85"/>
    </row>
    <row r="42" spans="2:12" hidden="1" outlineLevel="1" x14ac:dyDescent="0.2">
      <c r="B42" s="161" t="str">
        <f>Mitarbeiterverteilung!A27</f>
        <v/>
      </c>
      <c r="C42" s="150">
        <f>Mitarbeiterverteilung!BF27</f>
        <v>0</v>
      </c>
      <c r="D42" s="151">
        <f t="shared" si="10"/>
        <v>0</v>
      </c>
      <c r="E42" s="717"/>
      <c r="F42" s="152">
        <f t="shared" si="11"/>
        <v>0</v>
      </c>
      <c r="G42" s="717"/>
      <c r="H42" s="153">
        <f t="shared" si="12"/>
        <v>0</v>
      </c>
      <c r="I42" s="154">
        <f t="shared" si="13"/>
        <v>0</v>
      </c>
      <c r="J42" s="717"/>
      <c r="K42" s="153">
        <f t="shared" si="14"/>
        <v>0</v>
      </c>
      <c r="L42" s="85"/>
    </row>
    <row r="43" spans="2:12" hidden="1" outlineLevel="1" x14ac:dyDescent="0.2">
      <c r="B43" s="161" t="str">
        <f>Mitarbeiterverteilung!A28</f>
        <v/>
      </c>
      <c r="C43" s="150">
        <f>Mitarbeiterverteilung!BF28</f>
        <v>0</v>
      </c>
      <c r="D43" s="151">
        <f t="shared" si="10"/>
        <v>0</v>
      </c>
      <c r="E43" s="717"/>
      <c r="F43" s="152">
        <f t="shared" si="11"/>
        <v>0</v>
      </c>
      <c r="G43" s="717"/>
      <c r="H43" s="153">
        <f t="shared" si="12"/>
        <v>0</v>
      </c>
      <c r="I43" s="154">
        <f t="shared" si="13"/>
        <v>0</v>
      </c>
      <c r="J43" s="717"/>
      <c r="K43" s="153">
        <f t="shared" si="14"/>
        <v>0</v>
      </c>
      <c r="L43" s="85"/>
    </row>
    <row r="44" spans="2:12" hidden="1" outlineLevel="1" x14ac:dyDescent="0.2">
      <c r="B44" s="161" t="str">
        <f>Mitarbeiterverteilung!A29</f>
        <v/>
      </c>
      <c r="C44" s="150">
        <f>Mitarbeiterverteilung!BF29</f>
        <v>0</v>
      </c>
      <c r="D44" s="151">
        <f t="shared" si="10"/>
        <v>0</v>
      </c>
      <c r="E44" s="717"/>
      <c r="F44" s="152">
        <f t="shared" si="11"/>
        <v>0</v>
      </c>
      <c r="G44" s="717"/>
      <c r="H44" s="153">
        <f t="shared" si="12"/>
        <v>0</v>
      </c>
      <c r="I44" s="154">
        <f t="shared" si="13"/>
        <v>0</v>
      </c>
      <c r="J44" s="717"/>
      <c r="K44" s="153">
        <f t="shared" si="14"/>
        <v>0</v>
      </c>
      <c r="L44" s="85"/>
    </row>
    <row r="45" spans="2:12" hidden="1" outlineLevel="1" x14ac:dyDescent="0.2">
      <c r="B45" s="161" t="str">
        <f>Mitarbeiterverteilung!A30</f>
        <v/>
      </c>
      <c r="C45" s="150">
        <f>Mitarbeiterverteilung!BF30</f>
        <v>0</v>
      </c>
      <c r="D45" s="151">
        <f t="shared" si="10"/>
        <v>0</v>
      </c>
      <c r="E45" s="717"/>
      <c r="F45" s="152">
        <f t="shared" si="11"/>
        <v>0</v>
      </c>
      <c r="G45" s="717"/>
      <c r="H45" s="153">
        <f t="shared" si="12"/>
        <v>0</v>
      </c>
      <c r="I45" s="154">
        <f t="shared" si="13"/>
        <v>0</v>
      </c>
      <c r="J45" s="717"/>
      <c r="K45" s="153">
        <f t="shared" si="14"/>
        <v>0</v>
      </c>
      <c r="L45" s="85"/>
    </row>
    <row r="46" spans="2:12" hidden="1" outlineLevel="1" x14ac:dyDescent="0.2">
      <c r="B46" s="161" t="str">
        <f>Mitarbeiterverteilung!A31</f>
        <v/>
      </c>
      <c r="C46" s="150">
        <f>Mitarbeiterverteilung!BF31</f>
        <v>0</v>
      </c>
      <c r="D46" s="151">
        <f t="shared" si="10"/>
        <v>0</v>
      </c>
      <c r="E46" s="717"/>
      <c r="F46" s="152">
        <f t="shared" si="11"/>
        <v>0</v>
      </c>
      <c r="G46" s="717"/>
      <c r="H46" s="153">
        <f t="shared" si="12"/>
        <v>0</v>
      </c>
      <c r="I46" s="154">
        <f t="shared" si="13"/>
        <v>0</v>
      </c>
      <c r="J46" s="717"/>
      <c r="K46" s="153">
        <f t="shared" si="14"/>
        <v>0</v>
      </c>
      <c r="L46" s="85"/>
    </row>
    <row r="47" spans="2:12" hidden="1" outlineLevel="1" x14ac:dyDescent="0.2">
      <c r="B47" s="161" t="str">
        <f>Mitarbeiterverteilung!A32</f>
        <v/>
      </c>
      <c r="C47" s="150">
        <f>Mitarbeiterverteilung!BF32</f>
        <v>0</v>
      </c>
      <c r="D47" s="151">
        <f t="shared" si="10"/>
        <v>0</v>
      </c>
      <c r="E47" s="717"/>
      <c r="F47" s="152">
        <f t="shared" si="11"/>
        <v>0</v>
      </c>
      <c r="G47" s="717"/>
      <c r="H47" s="153">
        <f t="shared" si="12"/>
        <v>0</v>
      </c>
      <c r="I47" s="154">
        <f t="shared" si="13"/>
        <v>0</v>
      </c>
      <c r="J47" s="717"/>
      <c r="K47" s="153">
        <f t="shared" si="14"/>
        <v>0</v>
      </c>
      <c r="L47" s="85"/>
    </row>
    <row r="48" spans="2:12" hidden="1" outlineLevel="1" x14ac:dyDescent="0.2">
      <c r="B48" s="161" t="str">
        <f>Mitarbeiterverteilung!A33</f>
        <v/>
      </c>
      <c r="C48" s="150">
        <f>Mitarbeiterverteilung!BF33</f>
        <v>0</v>
      </c>
      <c r="D48" s="151">
        <f t="shared" si="10"/>
        <v>0</v>
      </c>
      <c r="E48" s="717"/>
      <c r="F48" s="152">
        <f t="shared" si="11"/>
        <v>0</v>
      </c>
      <c r="G48" s="717"/>
      <c r="H48" s="153">
        <f t="shared" si="12"/>
        <v>0</v>
      </c>
      <c r="I48" s="154">
        <f t="shared" si="13"/>
        <v>0</v>
      </c>
      <c r="J48" s="717"/>
      <c r="K48" s="153">
        <f t="shared" si="14"/>
        <v>0</v>
      </c>
      <c r="L48" s="85"/>
    </row>
    <row r="49" spans="2:12" hidden="1" outlineLevel="1" x14ac:dyDescent="0.2">
      <c r="B49" s="161" t="str">
        <f>Mitarbeiterverteilung!A34</f>
        <v/>
      </c>
      <c r="C49" s="150">
        <f>Mitarbeiterverteilung!BF34</f>
        <v>0</v>
      </c>
      <c r="D49" s="151">
        <f t="shared" si="10"/>
        <v>0</v>
      </c>
      <c r="E49" s="717"/>
      <c r="F49" s="152">
        <f t="shared" si="11"/>
        <v>0</v>
      </c>
      <c r="G49" s="717"/>
      <c r="H49" s="153">
        <f t="shared" si="12"/>
        <v>0</v>
      </c>
      <c r="I49" s="154">
        <f t="shared" si="13"/>
        <v>0</v>
      </c>
      <c r="J49" s="717"/>
      <c r="K49" s="153">
        <f t="shared" si="14"/>
        <v>0</v>
      </c>
      <c r="L49" s="85"/>
    </row>
    <row r="50" spans="2:12" hidden="1" outlineLevel="1" x14ac:dyDescent="0.2">
      <c r="B50" s="161" t="str">
        <f>Mitarbeiterverteilung!A35</f>
        <v/>
      </c>
      <c r="C50" s="150">
        <f>Mitarbeiterverteilung!BF35</f>
        <v>0</v>
      </c>
      <c r="D50" s="151">
        <f t="shared" si="10"/>
        <v>0</v>
      </c>
      <c r="E50" s="717"/>
      <c r="F50" s="152">
        <f t="shared" si="11"/>
        <v>0</v>
      </c>
      <c r="G50" s="717"/>
      <c r="H50" s="153">
        <f t="shared" si="12"/>
        <v>0</v>
      </c>
      <c r="I50" s="154">
        <f t="shared" si="13"/>
        <v>0</v>
      </c>
      <c r="J50" s="717"/>
      <c r="K50" s="153">
        <f t="shared" si="14"/>
        <v>0</v>
      </c>
      <c r="L50" s="85"/>
    </row>
    <row r="51" spans="2:12" hidden="1" outlineLevel="1" x14ac:dyDescent="0.2">
      <c r="B51" s="161" t="str">
        <f>Mitarbeiterverteilung!A36</f>
        <v/>
      </c>
      <c r="C51" s="150">
        <f>Mitarbeiterverteilung!BF36</f>
        <v>0</v>
      </c>
      <c r="D51" s="151">
        <f t="shared" si="10"/>
        <v>0</v>
      </c>
      <c r="E51" s="717"/>
      <c r="F51" s="152">
        <f t="shared" si="11"/>
        <v>0</v>
      </c>
      <c r="G51" s="717"/>
      <c r="H51" s="153">
        <f t="shared" si="12"/>
        <v>0</v>
      </c>
      <c r="I51" s="154">
        <f t="shared" si="13"/>
        <v>0</v>
      </c>
      <c r="J51" s="717"/>
      <c r="K51" s="153">
        <f t="shared" si="14"/>
        <v>0</v>
      </c>
      <c r="L51" s="85"/>
    </row>
    <row r="52" spans="2:12" hidden="1" outlineLevel="1" x14ac:dyDescent="0.2">
      <c r="B52" s="161" t="str">
        <f>Mitarbeiterverteilung!A37</f>
        <v/>
      </c>
      <c r="C52" s="150">
        <f>Mitarbeiterverteilung!BF37</f>
        <v>0</v>
      </c>
      <c r="D52" s="151">
        <f t="shared" si="10"/>
        <v>0</v>
      </c>
      <c r="E52" s="717"/>
      <c r="F52" s="152">
        <f t="shared" si="11"/>
        <v>0</v>
      </c>
      <c r="G52" s="717"/>
      <c r="H52" s="153">
        <f t="shared" si="12"/>
        <v>0</v>
      </c>
      <c r="I52" s="154">
        <f t="shared" si="13"/>
        <v>0</v>
      </c>
      <c r="J52" s="717"/>
      <c r="K52" s="153">
        <f t="shared" si="14"/>
        <v>0</v>
      </c>
      <c r="L52" s="85"/>
    </row>
    <row r="53" spans="2:12" hidden="1" outlineLevel="1" x14ac:dyDescent="0.2">
      <c r="B53" s="161" t="str">
        <f>Mitarbeiterverteilung!A38</f>
        <v/>
      </c>
      <c r="C53" s="150">
        <f>Mitarbeiterverteilung!BF38</f>
        <v>0</v>
      </c>
      <c r="D53" s="151">
        <f t="shared" si="10"/>
        <v>0</v>
      </c>
      <c r="E53" s="717"/>
      <c r="F53" s="152">
        <f t="shared" si="11"/>
        <v>0</v>
      </c>
      <c r="G53" s="717"/>
      <c r="H53" s="153">
        <f t="shared" si="12"/>
        <v>0</v>
      </c>
      <c r="I53" s="154">
        <f t="shared" si="13"/>
        <v>0</v>
      </c>
      <c r="J53" s="717"/>
      <c r="K53" s="153">
        <f t="shared" si="14"/>
        <v>0</v>
      </c>
      <c r="L53" s="85"/>
    </row>
    <row r="54" spans="2:12" hidden="1" outlineLevel="1" x14ac:dyDescent="0.2">
      <c r="B54" s="161" t="str">
        <f>Mitarbeiterverteilung!A39</f>
        <v/>
      </c>
      <c r="C54" s="150">
        <f>Mitarbeiterverteilung!BF39</f>
        <v>0</v>
      </c>
      <c r="D54" s="151">
        <f t="shared" si="10"/>
        <v>0</v>
      </c>
      <c r="E54" s="717"/>
      <c r="F54" s="152">
        <f t="shared" si="11"/>
        <v>0</v>
      </c>
      <c r="G54" s="717"/>
      <c r="H54" s="153">
        <f t="shared" si="12"/>
        <v>0</v>
      </c>
      <c r="I54" s="154">
        <f t="shared" si="13"/>
        <v>0</v>
      </c>
      <c r="J54" s="717"/>
      <c r="K54" s="153">
        <f t="shared" si="14"/>
        <v>0</v>
      </c>
      <c r="L54" s="85"/>
    </row>
    <row r="55" spans="2:12" hidden="1" outlineLevel="1" x14ac:dyDescent="0.2">
      <c r="B55" s="161" t="str">
        <f>Mitarbeiterverteilung!A40</f>
        <v/>
      </c>
      <c r="C55" s="150">
        <f>Mitarbeiterverteilung!BF40</f>
        <v>0</v>
      </c>
      <c r="D55" s="151">
        <f t="shared" si="10"/>
        <v>0</v>
      </c>
      <c r="E55" s="717"/>
      <c r="F55" s="152">
        <f t="shared" si="11"/>
        <v>0</v>
      </c>
      <c r="G55" s="717"/>
      <c r="H55" s="153">
        <f t="shared" si="12"/>
        <v>0</v>
      </c>
      <c r="I55" s="154">
        <f t="shared" si="13"/>
        <v>0</v>
      </c>
      <c r="J55" s="717"/>
      <c r="K55" s="153">
        <f t="shared" si="14"/>
        <v>0</v>
      </c>
      <c r="L55" s="85"/>
    </row>
    <row r="56" spans="2:12" hidden="1" outlineLevel="1" x14ac:dyDescent="0.2">
      <c r="B56" s="161" t="str">
        <f>Mitarbeiterverteilung!A41</f>
        <v/>
      </c>
      <c r="C56" s="150">
        <f>Mitarbeiterverteilung!BF41</f>
        <v>0</v>
      </c>
      <c r="D56" s="151">
        <f t="shared" si="10"/>
        <v>0</v>
      </c>
      <c r="E56" s="717"/>
      <c r="F56" s="152">
        <f t="shared" si="11"/>
        <v>0</v>
      </c>
      <c r="G56" s="717"/>
      <c r="H56" s="153">
        <f t="shared" si="12"/>
        <v>0</v>
      </c>
      <c r="I56" s="154">
        <f t="shared" si="13"/>
        <v>0</v>
      </c>
      <c r="J56" s="717"/>
      <c r="K56" s="153">
        <f t="shared" si="14"/>
        <v>0</v>
      </c>
      <c r="L56" s="85"/>
    </row>
    <row r="57" spans="2:12" hidden="1" outlineLevel="1" x14ac:dyDescent="0.2">
      <c r="B57" s="161" t="str">
        <f>Mitarbeiterverteilung!A42</f>
        <v/>
      </c>
      <c r="C57" s="150">
        <f>Mitarbeiterverteilung!BF42</f>
        <v>0</v>
      </c>
      <c r="D57" s="151">
        <f t="shared" si="10"/>
        <v>0</v>
      </c>
      <c r="E57" s="717"/>
      <c r="F57" s="152">
        <f t="shared" si="11"/>
        <v>0</v>
      </c>
      <c r="G57" s="717"/>
      <c r="H57" s="153">
        <f t="shared" si="12"/>
        <v>0</v>
      </c>
      <c r="I57" s="154">
        <f t="shared" si="13"/>
        <v>0</v>
      </c>
      <c r="J57" s="717"/>
      <c r="K57" s="153">
        <f t="shared" si="14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Mitarbeiterverteilung!BF43</f>
        <v>0</v>
      </c>
      <c r="D58" s="151">
        <f t="shared" ref="D58:D121" si="15">F58+I58-C58</f>
        <v>0</v>
      </c>
      <c r="E58" s="717"/>
      <c r="F58" s="152">
        <f t="shared" ref="F58:F121" si="16">C58*H58</f>
        <v>0</v>
      </c>
      <c r="G58" s="717"/>
      <c r="H58" s="153">
        <f t="shared" ref="H58:H121" si="17">IF(E58=0,0,G58/$E58)</f>
        <v>0</v>
      </c>
      <c r="I58" s="154">
        <f t="shared" ref="I58:I121" si="18">C58*K58</f>
        <v>0</v>
      </c>
      <c r="J58" s="717"/>
      <c r="K58" s="153">
        <f t="shared" ref="K58:K121" si="19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Mitarbeiterverteilung!BF44</f>
        <v>0</v>
      </c>
      <c r="D59" s="151">
        <f t="shared" si="15"/>
        <v>0</v>
      </c>
      <c r="E59" s="717"/>
      <c r="F59" s="152">
        <f t="shared" si="16"/>
        <v>0</v>
      </c>
      <c r="G59" s="717"/>
      <c r="H59" s="153">
        <f t="shared" si="17"/>
        <v>0</v>
      </c>
      <c r="I59" s="154">
        <f t="shared" si="18"/>
        <v>0</v>
      </c>
      <c r="J59" s="717"/>
      <c r="K59" s="153">
        <f t="shared" si="19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Mitarbeiterverteilung!BF45</f>
        <v>0</v>
      </c>
      <c r="D60" s="151">
        <f t="shared" si="15"/>
        <v>0</v>
      </c>
      <c r="E60" s="717"/>
      <c r="F60" s="152">
        <f t="shared" si="16"/>
        <v>0</v>
      </c>
      <c r="G60" s="717"/>
      <c r="H60" s="153">
        <f t="shared" si="17"/>
        <v>0</v>
      </c>
      <c r="I60" s="154">
        <f t="shared" si="18"/>
        <v>0</v>
      </c>
      <c r="J60" s="717"/>
      <c r="K60" s="153">
        <f t="shared" si="19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Mitarbeiterverteilung!BF46</f>
        <v>0</v>
      </c>
      <c r="D61" s="151">
        <f t="shared" si="15"/>
        <v>0</v>
      </c>
      <c r="E61" s="717"/>
      <c r="F61" s="152">
        <f t="shared" si="16"/>
        <v>0</v>
      </c>
      <c r="G61" s="717"/>
      <c r="H61" s="153">
        <f t="shared" si="17"/>
        <v>0</v>
      </c>
      <c r="I61" s="154">
        <f t="shared" si="18"/>
        <v>0</v>
      </c>
      <c r="J61" s="717"/>
      <c r="K61" s="153">
        <f t="shared" si="19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Mitarbeiterverteilung!BF47</f>
        <v>0</v>
      </c>
      <c r="D62" s="151">
        <f t="shared" si="15"/>
        <v>0</v>
      </c>
      <c r="E62" s="717"/>
      <c r="F62" s="152">
        <f t="shared" si="16"/>
        <v>0</v>
      </c>
      <c r="G62" s="717"/>
      <c r="H62" s="153">
        <f t="shared" si="17"/>
        <v>0</v>
      </c>
      <c r="I62" s="154">
        <f t="shared" si="18"/>
        <v>0</v>
      </c>
      <c r="J62" s="717"/>
      <c r="K62" s="153">
        <f t="shared" si="19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Mitarbeiterverteilung!BF48</f>
        <v>0</v>
      </c>
      <c r="D63" s="151">
        <f t="shared" si="15"/>
        <v>0</v>
      </c>
      <c r="E63" s="717"/>
      <c r="F63" s="152">
        <f t="shared" si="16"/>
        <v>0</v>
      </c>
      <c r="G63" s="717"/>
      <c r="H63" s="153">
        <f t="shared" si="17"/>
        <v>0</v>
      </c>
      <c r="I63" s="154">
        <f t="shared" si="18"/>
        <v>0</v>
      </c>
      <c r="J63" s="717"/>
      <c r="K63" s="153">
        <f t="shared" si="19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Mitarbeiterverteilung!BF49</f>
        <v>0</v>
      </c>
      <c r="D64" s="151">
        <f t="shared" si="15"/>
        <v>0</v>
      </c>
      <c r="E64" s="717"/>
      <c r="F64" s="152">
        <f t="shared" si="16"/>
        <v>0</v>
      </c>
      <c r="G64" s="717"/>
      <c r="H64" s="153">
        <f t="shared" si="17"/>
        <v>0</v>
      </c>
      <c r="I64" s="154">
        <f t="shared" si="18"/>
        <v>0</v>
      </c>
      <c r="J64" s="717"/>
      <c r="K64" s="153">
        <f t="shared" si="19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Mitarbeiterverteilung!BF50</f>
        <v>0</v>
      </c>
      <c r="D65" s="151">
        <f t="shared" si="15"/>
        <v>0</v>
      </c>
      <c r="E65" s="717"/>
      <c r="F65" s="152">
        <f t="shared" si="16"/>
        <v>0</v>
      </c>
      <c r="G65" s="717"/>
      <c r="H65" s="153">
        <f t="shared" si="17"/>
        <v>0</v>
      </c>
      <c r="I65" s="154">
        <f t="shared" si="18"/>
        <v>0</v>
      </c>
      <c r="J65" s="717"/>
      <c r="K65" s="153">
        <f t="shared" si="19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Mitarbeiterverteilung!BF51</f>
        <v>0</v>
      </c>
      <c r="D66" s="151">
        <f t="shared" si="15"/>
        <v>0</v>
      </c>
      <c r="E66" s="717"/>
      <c r="F66" s="152">
        <f t="shared" si="16"/>
        <v>0</v>
      </c>
      <c r="G66" s="717"/>
      <c r="H66" s="153">
        <f t="shared" si="17"/>
        <v>0</v>
      </c>
      <c r="I66" s="154">
        <f t="shared" si="18"/>
        <v>0</v>
      </c>
      <c r="J66" s="717"/>
      <c r="K66" s="153">
        <f t="shared" si="19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Mitarbeiterverteilung!BF52</f>
        <v>0</v>
      </c>
      <c r="D67" s="151">
        <f t="shared" si="15"/>
        <v>0</v>
      </c>
      <c r="E67" s="717"/>
      <c r="F67" s="152">
        <f t="shared" si="16"/>
        <v>0</v>
      </c>
      <c r="G67" s="717"/>
      <c r="H67" s="153">
        <f t="shared" si="17"/>
        <v>0</v>
      </c>
      <c r="I67" s="154">
        <f t="shared" si="18"/>
        <v>0</v>
      </c>
      <c r="J67" s="717"/>
      <c r="K67" s="153">
        <f t="shared" si="19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Mitarbeiterverteilung!BF53</f>
        <v>0</v>
      </c>
      <c r="D68" s="151">
        <f t="shared" si="15"/>
        <v>0</v>
      </c>
      <c r="E68" s="717"/>
      <c r="F68" s="152">
        <f t="shared" si="16"/>
        <v>0</v>
      </c>
      <c r="G68" s="717"/>
      <c r="H68" s="153">
        <f t="shared" si="17"/>
        <v>0</v>
      </c>
      <c r="I68" s="154">
        <f t="shared" si="18"/>
        <v>0</v>
      </c>
      <c r="J68" s="717"/>
      <c r="K68" s="153">
        <f t="shared" si="19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Mitarbeiterverteilung!BF54</f>
        <v>0</v>
      </c>
      <c r="D69" s="151">
        <f t="shared" si="15"/>
        <v>0</v>
      </c>
      <c r="E69" s="717"/>
      <c r="F69" s="152">
        <f t="shared" si="16"/>
        <v>0</v>
      </c>
      <c r="G69" s="717"/>
      <c r="H69" s="153">
        <f t="shared" si="17"/>
        <v>0</v>
      </c>
      <c r="I69" s="154">
        <f t="shared" si="18"/>
        <v>0</v>
      </c>
      <c r="J69" s="717"/>
      <c r="K69" s="153">
        <f t="shared" si="19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Mitarbeiterverteilung!BF55</f>
        <v>0</v>
      </c>
      <c r="D70" s="151">
        <f t="shared" si="15"/>
        <v>0</v>
      </c>
      <c r="E70" s="717"/>
      <c r="F70" s="152">
        <f t="shared" si="16"/>
        <v>0</v>
      </c>
      <c r="G70" s="717"/>
      <c r="H70" s="153">
        <f t="shared" si="17"/>
        <v>0</v>
      </c>
      <c r="I70" s="154">
        <f t="shared" si="18"/>
        <v>0</v>
      </c>
      <c r="J70" s="717"/>
      <c r="K70" s="153">
        <f t="shared" si="19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Mitarbeiterverteilung!BF56</f>
        <v>0</v>
      </c>
      <c r="D71" s="151">
        <f t="shared" si="15"/>
        <v>0</v>
      </c>
      <c r="E71" s="717"/>
      <c r="F71" s="152">
        <f t="shared" si="16"/>
        <v>0</v>
      </c>
      <c r="G71" s="717"/>
      <c r="H71" s="153">
        <f t="shared" si="17"/>
        <v>0</v>
      </c>
      <c r="I71" s="154">
        <f t="shared" si="18"/>
        <v>0</v>
      </c>
      <c r="J71" s="717"/>
      <c r="K71" s="153">
        <f t="shared" si="19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Mitarbeiterverteilung!BF57</f>
        <v>0</v>
      </c>
      <c r="D72" s="151">
        <f t="shared" si="15"/>
        <v>0</v>
      </c>
      <c r="E72" s="717"/>
      <c r="F72" s="152">
        <f t="shared" si="16"/>
        <v>0</v>
      </c>
      <c r="G72" s="717"/>
      <c r="H72" s="153">
        <f t="shared" si="17"/>
        <v>0</v>
      </c>
      <c r="I72" s="154">
        <f t="shared" si="18"/>
        <v>0</v>
      </c>
      <c r="J72" s="717"/>
      <c r="K72" s="153">
        <f t="shared" si="19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Mitarbeiterverteilung!BF58</f>
        <v>0</v>
      </c>
      <c r="D73" s="151">
        <f t="shared" si="15"/>
        <v>0</v>
      </c>
      <c r="E73" s="717"/>
      <c r="F73" s="152">
        <f t="shared" si="16"/>
        <v>0</v>
      </c>
      <c r="G73" s="717"/>
      <c r="H73" s="153">
        <f t="shared" si="17"/>
        <v>0</v>
      </c>
      <c r="I73" s="154">
        <f t="shared" si="18"/>
        <v>0</v>
      </c>
      <c r="J73" s="717"/>
      <c r="K73" s="153">
        <f t="shared" si="19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Mitarbeiterverteilung!BF59</f>
        <v>0</v>
      </c>
      <c r="D74" s="151">
        <f t="shared" si="15"/>
        <v>0</v>
      </c>
      <c r="E74" s="717"/>
      <c r="F74" s="152">
        <f t="shared" si="16"/>
        <v>0</v>
      </c>
      <c r="G74" s="717"/>
      <c r="H74" s="153">
        <f t="shared" si="17"/>
        <v>0</v>
      </c>
      <c r="I74" s="154">
        <f t="shared" si="18"/>
        <v>0</v>
      </c>
      <c r="J74" s="717"/>
      <c r="K74" s="153">
        <f t="shared" si="19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Mitarbeiterverteilung!BF60</f>
        <v>0</v>
      </c>
      <c r="D75" s="151">
        <f t="shared" si="15"/>
        <v>0</v>
      </c>
      <c r="E75" s="717"/>
      <c r="F75" s="152">
        <f t="shared" si="16"/>
        <v>0</v>
      </c>
      <c r="G75" s="717"/>
      <c r="H75" s="153">
        <f t="shared" si="17"/>
        <v>0</v>
      </c>
      <c r="I75" s="154">
        <f t="shared" si="18"/>
        <v>0</v>
      </c>
      <c r="J75" s="717"/>
      <c r="K75" s="153">
        <f t="shared" si="19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Mitarbeiterverteilung!BF61</f>
        <v>0</v>
      </c>
      <c r="D76" s="151">
        <f t="shared" si="15"/>
        <v>0</v>
      </c>
      <c r="E76" s="717"/>
      <c r="F76" s="152">
        <f t="shared" si="16"/>
        <v>0</v>
      </c>
      <c r="G76" s="717"/>
      <c r="H76" s="153">
        <f t="shared" si="17"/>
        <v>0</v>
      </c>
      <c r="I76" s="154">
        <f t="shared" si="18"/>
        <v>0</v>
      </c>
      <c r="J76" s="717"/>
      <c r="K76" s="153">
        <f t="shared" si="19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Mitarbeiterverteilung!BF62</f>
        <v>0</v>
      </c>
      <c r="D77" s="151">
        <f t="shared" si="15"/>
        <v>0</v>
      </c>
      <c r="E77" s="717"/>
      <c r="F77" s="152">
        <f t="shared" si="16"/>
        <v>0</v>
      </c>
      <c r="G77" s="717"/>
      <c r="H77" s="153">
        <f t="shared" si="17"/>
        <v>0</v>
      </c>
      <c r="I77" s="154">
        <f t="shared" si="18"/>
        <v>0</v>
      </c>
      <c r="J77" s="717"/>
      <c r="K77" s="153">
        <f t="shared" si="19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Mitarbeiterverteilung!BF63</f>
        <v>0</v>
      </c>
      <c r="D78" s="151">
        <f t="shared" si="15"/>
        <v>0</v>
      </c>
      <c r="E78" s="717"/>
      <c r="F78" s="152">
        <f t="shared" si="16"/>
        <v>0</v>
      </c>
      <c r="G78" s="717"/>
      <c r="H78" s="153">
        <f t="shared" si="17"/>
        <v>0</v>
      </c>
      <c r="I78" s="154">
        <f t="shared" si="18"/>
        <v>0</v>
      </c>
      <c r="J78" s="717"/>
      <c r="K78" s="153">
        <f t="shared" si="19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Mitarbeiterverteilung!BF64</f>
        <v>0</v>
      </c>
      <c r="D79" s="151">
        <f t="shared" si="15"/>
        <v>0</v>
      </c>
      <c r="E79" s="717"/>
      <c r="F79" s="152">
        <f t="shared" si="16"/>
        <v>0</v>
      </c>
      <c r="G79" s="717"/>
      <c r="H79" s="153">
        <f t="shared" si="17"/>
        <v>0</v>
      </c>
      <c r="I79" s="154">
        <f t="shared" si="18"/>
        <v>0</v>
      </c>
      <c r="J79" s="717"/>
      <c r="K79" s="153">
        <f t="shared" si="19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Mitarbeiterverteilung!BF65</f>
        <v>0</v>
      </c>
      <c r="D80" s="151">
        <f t="shared" si="15"/>
        <v>0</v>
      </c>
      <c r="E80" s="717"/>
      <c r="F80" s="152">
        <f t="shared" si="16"/>
        <v>0</v>
      </c>
      <c r="G80" s="717"/>
      <c r="H80" s="153">
        <f t="shared" si="17"/>
        <v>0</v>
      </c>
      <c r="I80" s="154">
        <f t="shared" si="18"/>
        <v>0</v>
      </c>
      <c r="J80" s="717"/>
      <c r="K80" s="153">
        <f t="shared" si="19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Mitarbeiterverteilung!BF66</f>
        <v>0</v>
      </c>
      <c r="D81" s="151">
        <f t="shared" si="15"/>
        <v>0</v>
      </c>
      <c r="E81" s="717"/>
      <c r="F81" s="152">
        <f t="shared" si="16"/>
        <v>0</v>
      </c>
      <c r="G81" s="717"/>
      <c r="H81" s="153">
        <f t="shared" si="17"/>
        <v>0</v>
      </c>
      <c r="I81" s="154">
        <f t="shared" si="18"/>
        <v>0</v>
      </c>
      <c r="J81" s="717"/>
      <c r="K81" s="153">
        <f t="shared" si="19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Mitarbeiterverteilung!BF67</f>
        <v>0</v>
      </c>
      <c r="D82" s="151">
        <f t="shared" si="15"/>
        <v>0</v>
      </c>
      <c r="E82" s="717"/>
      <c r="F82" s="152">
        <f t="shared" si="16"/>
        <v>0</v>
      </c>
      <c r="G82" s="717"/>
      <c r="H82" s="153">
        <f t="shared" si="17"/>
        <v>0</v>
      </c>
      <c r="I82" s="154">
        <f t="shared" si="18"/>
        <v>0</v>
      </c>
      <c r="J82" s="717"/>
      <c r="K82" s="153">
        <f t="shared" si="19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Mitarbeiterverteilung!BF68</f>
        <v>0</v>
      </c>
      <c r="D83" s="151">
        <f t="shared" si="15"/>
        <v>0</v>
      </c>
      <c r="E83" s="717"/>
      <c r="F83" s="152">
        <f t="shared" si="16"/>
        <v>0</v>
      </c>
      <c r="G83" s="717"/>
      <c r="H83" s="153">
        <f t="shared" si="17"/>
        <v>0</v>
      </c>
      <c r="I83" s="154">
        <f t="shared" si="18"/>
        <v>0</v>
      </c>
      <c r="J83" s="717"/>
      <c r="K83" s="153">
        <f t="shared" si="19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Mitarbeiterverteilung!BF69</f>
        <v>0</v>
      </c>
      <c r="D84" s="151">
        <f t="shared" si="15"/>
        <v>0</v>
      </c>
      <c r="E84" s="717"/>
      <c r="F84" s="152">
        <f t="shared" si="16"/>
        <v>0</v>
      </c>
      <c r="G84" s="717"/>
      <c r="H84" s="153">
        <f t="shared" si="17"/>
        <v>0</v>
      </c>
      <c r="I84" s="154">
        <f t="shared" si="18"/>
        <v>0</v>
      </c>
      <c r="J84" s="717"/>
      <c r="K84" s="153">
        <f t="shared" si="19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Mitarbeiterverteilung!BF70</f>
        <v>0</v>
      </c>
      <c r="D85" s="151">
        <f t="shared" si="15"/>
        <v>0</v>
      </c>
      <c r="E85" s="717"/>
      <c r="F85" s="152">
        <f t="shared" si="16"/>
        <v>0</v>
      </c>
      <c r="G85" s="717"/>
      <c r="H85" s="153">
        <f t="shared" si="17"/>
        <v>0</v>
      </c>
      <c r="I85" s="154">
        <f t="shared" si="18"/>
        <v>0</v>
      </c>
      <c r="J85" s="717"/>
      <c r="K85" s="153">
        <f t="shared" si="19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Mitarbeiterverteilung!BF71</f>
        <v>0</v>
      </c>
      <c r="D86" s="151">
        <f t="shared" si="15"/>
        <v>0</v>
      </c>
      <c r="E86" s="717"/>
      <c r="F86" s="152">
        <f t="shared" si="16"/>
        <v>0</v>
      </c>
      <c r="G86" s="717"/>
      <c r="H86" s="153">
        <f t="shared" si="17"/>
        <v>0</v>
      </c>
      <c r="I86" s="154">
        <f t="shared" si="18"/>
        <v>0</v>
      </c>
      <c r="J86" s="717"/>
      <c r="K86" s="153">
        <f t="shared" si="19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Mitarbeiterverteilung!BF72</f>
        <v>0</v>
      </c>
      <c r="D87" s="151">
        <f t="shared" si="15"/>
        <v>0</v>
      </c>
      <c r="E87" s="717"/>
      <c r="F87" s="152">
        <f t="shared" si="16"/>
        <v>0</v>
      </c>
      <c r="G87" s="717"/>
      <c r="H87" s="153">
        <f t="shared" si="17"/>
        <v>0</v>
      </c>
      <c r="I87" s="154">
        <f t="shared" si="18"/>
        <v>0</v>
      </c>
      <c r="J87" s="717"/>
      <c r="K87" s="153">
        <f t="shared" si="19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Mitarbeiterverteilung!BF73</f>
        <v>0</v>
      </c>
      <c r="D88" s="151">
        <f t="shared" si="15"/>
        <v>0</v>
      </c>
      <c r="E88" s="717"/>
      <c r="F88" s="152">
        <f t="shared" si="16"/>
        <v>0</v>
      </c>
      <c r="G88" s="717"/>
      <c r="H88" s="153">
        <f t="shared" si="17"/>
        <v>0</v>
      </c>
      <c r="I88" s="154">
        <f t="shared" si="18"/>
        <v>0</v>
      </c>
      <c r="J88" s="717"/>
      <c r="K88" s="153">
        <f t="shared" si="19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Mitarbeiterverteilung!BF74</f>
        <v>0</v>
      </c>
      <c r="D89" s="151">
        <f t="shared" si="15"/>
        <v>0</v>
      </c>
      <c r="E89" s="717"/>
      <c r="F89" s="152">
        <f t="shared" si="16"/>
        <v>0</v>
      </c>
      <c r="G89" s="717"/>
      <c r="H89" s="153">
        <f t="shared" si="17"/>
        <v>0</v>
      </c>
      <c r="I89" s="154">
        <f t="shared" si="18"/>
        <v>0</v>
      </c>
      <c r="J89" s="717"/>
      <c r="K89" s="153">
        <f t="shared" si="19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Mitarbeiterverteilung!BF75</f>
        <v>0</v>
      </c>
      <c r="D90" s="151">
        <f t="shared" si="15"/>
        <v>0</v>
      </c>
      <c r="E90" s="717"/>
      <c r="F90" s="152">
        <f t="shared" si="16"/>
        <v>0</v>
      </c>
      <c r="G90" s="717"/>
      <c r="H90" s="153">
        <f t="shared" si="17"/>
        <v>0</v>
      </c>
      <c r="I90" s="154">
        <f t="shared" si="18"/>
        <v>0</v>
      </c>
      <c r="J90" s="717"/>
      <c r="K90" s="153">
        <f t="shared" si="19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Mitarbeiterverteilung!BF76</f>
        <v>0</v>
      </c>
      <c r="D91" s="151">
        <f t="shared" si="15"/>
        <v>0</v>
      </c>
      <c r="E91" s="717"/>
      <c r="F91" s="152">
        <f t="shared" si="16"/>
        <v>0</v>
      </c>
      <c r="G91" s="717"/>
      <c r="H91" s="153">
        <f t="shared" si="17"/>
        <v>0</v>
      </c>
      <c r="I91" s="154">
        <f t="shared" si="18"/>
        <v>0</v>
      </c>
      <c r="J91" s="717"/>
      <c r="K91" s="153">
        <f t="shared" si="19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Mitarbeiterverteilung!BF77</f>
        <v>0</v>
      </c>
      <c r="D92" s="151">
        <f t="shared" si="15"/>
        <v>0</v>
      </c>
      <c r="E92" s="717"/>
      <c r="F92" s="152">
        <f t="shared" si="16"/>
        <v>0</v>
      </c>
      <c r="G92" s="717"/>
      <c r="H92" s="153">
        <f t="shared" si="17"/>
        <v>0</v>
      </c>
      <c r="I92" s="154">
        <f t="shared" si="18"/>
        <v>0</v>
      </c>
      <c r="J92" s="717"/>
      <c r="K92" s="153">
        <f t="shared" si="19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Mitarbeiterverteilung!BF78</f>
        <v>0</v>
      </c>
      <c r="D93" s="151">
        <f t="shared" si="15"/>
        <v>0</v>
      </c>
      <c r="E93" s="717"/>
      <c r="F93" s="152">
        <f t="shared" si="16"/>
        <v>0</v>
      </c>
      <c r="G93" s="717"/>
      <c r="H93" s="153">
        <f t="shared" si="17"/>
        <v>0</v>
      </c>
      <c r="I93" s="154">
        <f t="shared" si="18"/>
        <v>0</v>
      </c>
      <c r="J93" s="717"/>
      <c r="K93" s="153">
        <f t="shared" si="19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Mitarbeiterverteilung!BF79</f>
        <v>0</v>
      </c>
      <c r="D94" s="151">
        <f t="shared" si="15"/>
        <v>0</v>
      </c>
      <c r="E94" s="717"/>
      <c r="F94" s="152">
        <f t="shared" si="16"/>
        <v>0</v>
      </c>
      <c r="G94" s="717"/>
      <c r="H94" s="153">
        <f t="shared" si="17"/>
        <v>0</v>
      </c>
      <c r="I94" s="154">
        <f t="shared" si="18"/>
        <v>0</v>
      </c>
      <c r="J94" s="717"/>
      <c r="K94" s="153">
        <f t="shared" si="19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Mitarbeiterverteilung!BF80</f>
        <v>0</v>
      </c>
      <c r="D95" s="151">
        <f t="shared" si="15"/>
        <v>0</v>
      </c>
      <c r="E95" s="717"/>
      <c r="F95" s="152">
        <f t="shared" si="16"/>
        <v>0</v>
      </c>
      <c r="G95" s="717"/>
      <c r="H95" s="153">
        <f t="shared" si="17"/>
        <v>0</v>
      </c>
      <c r="I95" s="154">
        <f t="shared" si="18"/>
        <v>0</v>
      </c>
      <c r="J95" s="717"/>
      <c r="K95" s="153">
        <f t="shared" si="19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Mitarbeiterverteilung!BF81</f>
        <v>0</v>
      </c>
      <c r="D96" s="151">
        <f t="shared" si="15"/>
        <v>0</v>
      </c>
      <c r="E96" s="717"/>
      <c r="F96" s="152">
        <f t="shared" si="16"/>
        <v>0</v>
      </c>
      <c r="G96" s="717"/>
      <c r="H96" s="153">
        <f t="shared" si="17"/>
        <v>0</v>
      </c>
      <c r="I96" s="154">
        <f t="shared" si="18"/>
        <v>0</v>
      </c>
      <c r="J96" s="717"/>
      <c r="K96" s="153">
        <f t="shared" si="19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Mitarbeiterverteilung!BF82</f>
        <v>0</v>
      </c>
      <c r="D97" s="151">
        <f t="shared" si="15"/>
        <v>0</v>
      </c>
      <c r="E97" s="717"/>
      <c r="F97" s="152">
        <f t="shared" si="16"/>
        <v>0</v>
      </c>
      <c r="G97" s="717"/>
      <c r="H97" s="153">
        <f t="shared" si="17"/>
        <v>0</v>
      </c>
      <c r="I97" s="154">
        <f t="shared" si="18"/>
        <v>0</v>
      </c>
      <c r="J97" s="717"/>
      <c r="K97" s="153">
        <f t="shared" si="19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Mitarbeiterverteilung!BF83</f>
        <v>0</v>
      </c>
      <c r="D98" s="151">
        <f t="shared" si="15"/>
        <v>0</v>
      </c>
      <c r="E98" s="717"/>
      <c r="F98" s="152">
        <f t="shared" si="16"/>
        <v>0</v>
      </c>
      <c r="G98" s="717"/>
      <c r="H98" s="153">
        <f t="shared" si="17"/>
        <v>0</v>
      </c>
      <c r="I98" s="154">
        <f t="shared" si="18"/>
        <v>0</v>
      </c>
      <c r="J98" s="717"/>
      <c r="K98" s="153">
        <f t="shared" si="19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Mitarbeiterverteilung!BF84</f>
        <v>0</v>
      </c>
      <c r="D99" s="151">
        <f t="shared" si="15"/>
        <v>0</v>
      </c>
      <c r="E99" s="717"/>
      <c r="F99" s="152">
        <f t="shared" si="16"/>
        <v>0</v>
      </c>
      <c r="G99" s="717"/>
      <c r="H99" s="153">
        <f t="shared" si="17"/>
        <v>0</v>
      </c>
      <c r="I99" s="154">
        <f t="shared" si="18"/>
        <v>0</v>
      </c>
      <c r="J99" s="717"/>
      <c r="K99" s="153">
        <f t="shared" si="19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Mitarbeiterverteilung!BF85</f>
        <v>0</v>
      </c>
      <c r="D100" s="151">
        <f t="shared" si="15"/>
        <v>0</v>
      </c>
      <c r="E100" s="717"/>
      <c r="F100" s="152">
        <f t="shared" si="16"/>
        <v>0</v>
      </c>
      <c r="G100" s="717"/>
      <c r="H100" s="153">
        <f t="shared" si="17"/>
        <v>0</v>
      </c>
      <c r="I100" s="154">
        <f t="shared" si="18"/>
        <v>0</v>
      </c>
      <c r="J100" s="717"/>
      <c r="K100" s="153">
        <f t="shared" si="19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Mitarbeiterverteilung!BF86</f>
        <v>0</v>
      </c>
      <c r="D101" s="151">
        <f t="shared" si="15"/>
        <v>0</v>
      </c>
      <c r="E101" s="717"/>
      <c r="F101" s="152">
        <f t="shared" si="16"/>
        <v>0</v>
      </c>
      <c r="G101" s="717"/>
      <c r="H101" s="153">
        <f t="shared" si="17"/>
        <v>0</v>
      </c>
      <c r="I101" s="154">
        <f t="shared" si="18"/>
        <v>0</v>
      </c>
      <c r="J101" s="717"/>
      <c r="K101" s="153">
        <f t="shared" si="19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Mitarbeiterverteilung!BF87</f>
        <v>0</v>
      </c>
      <c r="D102" s="151">
        <f t="shared" si="15"/>
        <v>0</v>
      </c>
      <c r="E102" s="717"/>
      <c r="F102" s="152">
        <f t="shared" si="16"/>
        <v>0</v>
      </c>
      <c r="G102" s="717"/>
      <c r="H102" s="153">
        <f t="shared" si="17"/>
        <v>0</v>
      </c>
      <c r="I102" s="154">
        <f t="shared" si="18"/>
        <v>0</v>
      </c>
      <c r="J102" s="717"/>
      <c r="K102" s="153">
        <f t="shared" si="19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Mitarbeiterverteilung!BF88</f>
        <v>0</v>
      </c>
      <c r="D103" s="151">
        <f t="shared" si="15"/>
        <v>0</v>
      </c>
      <c r="E103" s="717"/>
      <c r="F103" s="152">
        <f t="shared" si="16"/>
        <v>0</v>
      </c>
      <c r="G103" s="717"/>
      <c r="H103" s="153">
        <f t="shared" si="17"/>
        <v>0</v>
      </c>
      <c r="I103" s="154">
        <f t="shared" si="18"/>
        <v>0</v>
      </c>
      <c r="J103" s="717"/>
      <c r="K103" s="153">
        <f t="shared" si="19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Mitarbeiterverteilung!BF89</f>
        <v>0</v>
      </c>
      <c r="D104" s="151">
        <f t="shared" si="15"/>
        <v>0</v>
      </c>
      <c r="E104" s="717"/>
      <c r="F104" s="152">
        <f t="shared" si="16"/>
        <v>0</v>
      </c>
      <c r="G104" s="717"/>
      <c r="H104" s="153">
        <f t="shared" si="17"/>
        <v>0</v>
      </c>
      <c r="I104" s="154">
        <f t="shared" si="18"/>
        <v>0</v>
      </c>
      <c r="J104" s="717"/>
      <c r="K104" s="153">
        <f t="shared" si="19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Mitarbeiterverteilung!BF90</f>
        <v>0</v>
      </c>
      <c r="D105" s="151">
        <f t="shared" si="15"/>
        <v>0</v>
      </c>
      <c r="E105" s="717"/>
      <c r="F105" s="152">
        <f t="shared" si="16"/>
        <v>0</v>
      </c>
      <c r="G105" s="717"/>
      <c r="H105" s="153">
        <f t="shared" si="17"/>
        <v>0</v>
      </c>
      <c r="I105" s="154">
        <f t="shared" si="18"/>
        <v>0</v>
      </c>
      <c r="J105" s="717"/>
      <c r="K105" s="153">
        <f t="shared" si="19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Mitarbeiterverteilung!BF91</f>
        <v>0</v>
      </c>
      <c r="D106" s="151">
        <f t="shared" si="15"/>
        <v>0</v>
      </c>
      <c r="E106" s="717"/>
      <c r="F106" s="152">
        <f t="shared" si="16"/>
        <v>0</v>
      </c>
      <c r="G106" s="717"/>
      <c r="H106" s="153">
        <f t="shared" si="17"/>
        <v>0</v>
      </c>
      <c r="I106" s="154">
        <f t="shared" si="18"/>
        <v>0</v>
      </c>
      <c r="J106" s="717"/>
      <c r="K106" s="153">
        <f t="shared" si="19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Mitarbeiterverteilung!BF92</f>
        <v>0</v>
      </c>
      <c r="D107" s="151">
        <f t="shared" si="15"/>
        <v>0</v>
      </c>
      <c r="E107" s="717"/>
      <c r="F107" s="152">
        <f t="shared" si="16"/>
        <v>0</v>
      </c>
      <c r="G107" s="717"/>
      <c r="H107" s="153">
        <f t="shared" si="17"/>
        <v>0</v>
      </c>
      <c r="I107" s="154">
        <f t="shared" si="18"/>
        <v>0</v>
      </c>
      <c r="J107" s="717"/>
      <c r="K107" s="153">
        <f t="shared" si="19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Mitarbeiterverteilung!BF93</f>
        <v>0</v>
      </c>
      <c r="D108" s="151">
        <f t="shared" si="15"/>
        <v>0</v>
      </c>
      <c r="E108" s="717"/>
      <c r="F108" s="152">
        <f t="shared" si="16"/>
        <v>0</v>
      </c>
      <c r="G108" s="717"/>
      <c r="H108" s="153">
        <f t="shared" si="17"/>
        <v>0</v>
      </c>
      <c r="I108" s="154">
        <f t="shared" si="18"/>
        <v>0</v>
      </c>
      <c r="J108" s="717"/>
      <c r="K108" s="153">
        <f t="shared" si="19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Mitarbeiterverteilung!BF94</f>
        <v>0</v>
      </c>
      <c r="D109" s="151">
        <f t="shared" si="15"/>
        <v>0</v>
      </c>
      <c r="E109" s="717"/>
      <c r="F109" s="152">
        <f t="shared" si="16"/>
        <v>0</v>
      </c>
      <c r="G109" s="717"/>
      <c r="H109" s="153">
        <f t="shared" si="17"/>
        <v>0</v>
      </c>
      <c r="I109" s="154">
        <f t="shared" si="18"/>
        <v>0</v>
      </c>
      <c r="J109" s="717"/>
      <c r="K109" s="153">
        <f t="shared" si="19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Mitarbeiterverteilung!BF95</f>
        <v>0</v>
      </c>
      <c r="D110" s="151">
        <f t="shared" si="15"/>
        <v>0</v>
      </c>
      <c r="E110" s="717"/>
      <c r="F110" s="152">
        <f t="shared" si="16"/>
        <v>0</v>
      </c>
      <c r="G110" s="717"/>
      <c r="H110" s="153">
        <f t="shared" si="17"/>
        <v>0</v>
      </c>
      <c r="I110" s="154">
        <f t="shared" si="18"/>
        <v>0</v>
      </c>
      <c r="J110" s="717"/>
      <c r="K110" s="153">
        <f t="shared" si="19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Mitarbeiterverteilung!BF96</f>
        <v>0</v>
      </c>
      <c r="D111" s="151">
        <f t="shared" si="15"/>
        <v>0</v>
      </c>
      <c r="E111" s="717"/>
      <c r="F111" s="152">
        <f t="shared" si="16"/>
        <v>0</v>
      </c>
      <c r="G111" s="717"/>
      <c r="H111" s="153">
        <f t="shared" si="17"/>
        <v>0</v>
      </c>
      <c r="I111" s="154">
        <f t="shared" si="18"/>
        <v>0</v>
      </c>
      <c r="J111" s="717"/>
      <c r="K111" s="153">
        <f t="shared" si="19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Mitarbeiterverteilung!BF97</f>
        <v>0</v>
      </c>
      <c r="D112" s="151">
        <f t="shared" si="15"/>
        <v>0</v>
      </c>
      <c r="E112" s="717"/>
      <c r="F112" s="152">
        <f t="shared" si="16"/>
        <v>0</v>
      </c>
      <c r="G112" s="717"/>
      <c r="H112" s="153">
        <f t="shared" si="17"/>
        <v>0</v>
      </c>
      <c r="I112" s="154">
        <f t="shared" si="18"/>
        <v>0</v>
      </c>
      <c r="J112" s="717"/>
      <c r="K112" s="153">
        <f t="shared" si="19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Mitarbeiterverteilung!BF98</f>
        <v>0</v>
      </c>
      <c r="D113" s="151">
        <f t="shared" si="15"/>
        <v>0</v>
      </c>
      <c r="E113" s="717"/>
      <c r="F113" s="152">
        <f t="shared" si="16"/>
        <v>0</v>
      </c>
      <c r="G113" s="717"/>
      <c r="H113" s="153">
        <f t="shared" si="17"/>
        <v>0</v>
      </c>
      <c r="I113" s="154">
        <f t="shared" si="18"/>
        <v>0</v>
      </c>
      <c r="J113" s="717"/>
      <c r="K113" s="153">
        <f t="shared" si="19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Mitarbeiterverteilung!BF99</f>
        <v>0</v>
      </c>
      <c r="D114" s="151">
        <f t="shared" si="15"/>
        <v>0</v>
      </c>
      <c r="E114" s="717"/>
      <c r="F114" s="152">
        <f t="shared" si="16"/>
        <v>0</v>
      </c>
      <c r="G114" s="717"/>
      <c r="H114" s="153">
        <f t="shared" si="17"/>
        <v>0</v>
      </c>
      <c r="I114" s="154">
        <f t="shared" si="18"/>
        <v>0</v>
      </c>
      <c r="J114" s="717"/>
      <c r="K114" s="153">
        <f t="shared" si="19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Mitarbeiterverteilung!BF100</f>
        <v>0</v>
      </c>
      <c r="D115" s="151">
        <f t="shared" si="15"/>
        <v>0</v>
      </c>
      <c r="E115" s="717"/>
      <c r="F115" s="152">
        <f t="shared" si="16"/>
        <v>0</v>
      </c>
      <c r="G115" s="717"/>
      <c r="H115" s="153">
        <f t="shared" si="17"/>
        <v>0</v>
      </c>
      <c r="I115" s="154">
        <f t="shared" si="18"/>
        <v>0</v>
      </c>
      <c r="J115" s="717"/>
      <c r="K115" s="153">
        <f t="shared" si="19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Mitarbeiterverteilung!BF101</f>
        <v>0</v>
      </c>
      <c r="D116" s="151">
        <f t="shared" si="15"/>
        <v>0</v>
      </c>
      <c r="E116" s="717"/>
      <c r="F116" s="152">
        <f t="shared" si="16"/>
        <v>0</v>
      </c>
      <c r="G116" s="717"/>
      <c r="H116" s="153">
        <f t="shared" si="17"/>
        <v>0</v>
      </c>
      <c r="I116" s="154">
        <f t="shared" si="18"/>
        <v>0</v>
      </c>
      <c r="J116" s="717"/>
      <c r="K116" s="153">
        <f t="shared" si="19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Mitarbeiterverteilung!BF102</f>
        <v>0</v>
      </c>
      <c r="D117" s="151">
        <f t="shared" si="15"/>
        <v>0</v>
      </c>
      <c r="E117" s="717"/>
      <c r="F117" s="152">
        <f t="shared" si="16"/>
        <v>0</v>
      </c>
      <c r="G117" s="717"/>
      <c r="H117" s="153">
        <f t="shared" si="17"/>
        <v>0</v>
      </c>
      <c r="I117" s="154">
        <f t="shared" si="18"/>
        <v>0</v>
      </c>
      <c r="J117" s="717"/>
      <c r="K117" s="153">
        <f t="shared" si="19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Mitarbeiterverteilung!BF103</f>
        <v>0</v>
      </c>
      <c r="D118" s="151">
        <f t="shared" si="15"/>
        <v>0</v>
      </c>
      <c r="E118" s="717"/>
      <c r="F118" s="152">
        <f t="shared" si="16"/>
        <v>0</v>
      </c>
      <c r="G118" s="717"/>
      <c r="H118" s="153">
        <f t="shared" si="17"/>
        <v>0</v>
      </c>
      <c r="I118" s="154">
        <f t="shared" si="18"/>
        <v>0</v>
      </c>
      <c r="J118" s="717"/>
      <c r="K118" s="153">
        <f t="shared" si="19"/>
        <v>0</v>
      </c>
      <c r="L118" s="85"/>
    </row>
    <row r="119" spans="1:12" hidden="1" outlineLevel="1" x14ac:dyDescent="0.2">
      <c r="B119" s="161" t="str">
        <f>Mitarbeiterverteilung!A104</f>
        <v/>
      </c>
      <c r="C119" s="150">
        <f>Mitarbeiterverteilung!BF104</f>
        <v>0</v>
      </c>
      <c r="D119" s="151">
        <f t="shared" si="15"/>
        <v>0</v>
      </c>
      <c r="E119" s="717"/>
      <c r="F119" s="152">
        <f t="shared" si="16"/>
        <v>0</v>
      </c>
      <c r="G119" s="717"/>
      <c r="H119" s="153">
        <f t="shared" si="17"/>
        <v>0</v>
      </c>
      <c r="I119" s="154">
        <f t="shared" si="18"/>
        <v>0</v>
      </c>
      <c r="J119" s="717"/>
      <c r="K119" s="153">
        <f t="shared" si="19"/>
        <v>0</v>
      </c>
      <c r="L119" s="85"/>
    </row>
    <row r="120" spans="1:12" hidden="1" outlineLevel="1" x14ac:dyDescent="0.2">
      <c r="B120" s="161" t="str">
        <f>Mitarbeiterverteilung!A105</f>
        <v/>
      </c>
      <c r="C120" s="150">
        <f>Mitarbeiterverteilung!BF105</f>
        <v>0</v>
      </c>
      <c r="D120" s="151">
        <f t="shared" si="15"/>
        <v>0</v>
      </c>
      <c r="E120" s="717"/>
      <c r="F120" s="152">
        <f t="shared" si="16"/>
        <v>0</v>
      </c>
      <c r="G120" s="717"/>
      <c r="H120" s="153">
        <f t="shared" si="17"/>
        <v>0</v>
      </c>
      <c r="I120" s="154">
        <f t="shared" si="18"/>
        <v>0</v>
      </c>
      <c r="J120" s="717"/>
      <c r="K120" s="153">
        <f t="shared" si="19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Mitarbeiterverteilung!BF106</f>
        <v>0</v>
      </c>
      <c r="D121" s="156">
        <f t="shared" si="15"/>
        <v>0</v>
      </c>
      <c r="E121" s="718"/>
      <c r="F121" s="157">
        <f t="shared" si="16"/>
        <v>0</v>
      </c>
      <c r="G121" s="718"/>
      <c r="H121" s="158">
        <f t="shared" si="17"/>
        <v>0</v>
      </c>
      <c r="I121" s="159">
        <f t="shared" si="18"/>
        <v>0</v>
      </c>
      <c r="J121" s="718"/>
      <c r="K121" s="158">
        <f t="shared" si="19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+Kostenverteilung!R25</f>
        <v>0</v>
      </c>
      <c r="G125" s="89" t="s">
        <v>519</v>
      </c>
      <c r="I125" s="112">
        <f>Mitarbeiterverteilung!Y107</f>
        <v>0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Mitarbeiterverteilung!AJ107</f>
        <v>0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0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0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0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0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L152" s="85"/>
    </row>
    <row r="153" spans="2:12" x14ac:dyDescent="0.2">
      <c r="L153" s="85"/>
    </row>
  </sheetData>
  <pageMargins left="0.7" right="0.7" top="0.78740157499999996" bottom="0.78740157499999996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1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Kostenverteilung!U2</f>
        <v>PC-6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+Kostenverteilung!U4</f>
        <v>0</v>
      </c>
      <c r="D4" s="113">
        <f>F4+I4-C4</f>
        <v>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+Kostenverteilung!U5</f>
        <v>0</v>
      </c>
      <c r="D5" s="113">
        <f t="shared" ref="D5:D14" si="2">F5+I5-C5</f>
        <v>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+Kostenverteilung!U6</f>
        <v>0</v>
      </c>
      <c r="D6" s="113">
        <f t="shared" si="2"/>
        <v>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+Kostenverteilung!U7</f>
        <v>0</v>
      </c>
      <c r="D7" s="113">
        <f t="shared" si="2"/>
        <v>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+Kostenverteilung!U8</f>
        <v>0</v>
      </c>
      <c r="D8" s="113">
        <f t="shared" si="2"/>
        <v>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+Kostenverteilung!U9</f>
        <v>0</v>
      </c>
      <c r="D9" s="113">
        <f t="shared" si="2"/>
        <v>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+Kostenverteilung!U10</f>
        <v>0</v>
      </c>
      <c r="D10" s="113">
        <f t="shared" si="2"/>
        <v>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+Kostenverteilung!U11</f>
        <v>0</v>
      </c>
      <c r="D11" s="113">
        <f t="shared" si="2"/>
        <v>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+Kostenverteilung!U12</f>
        <v>0</v>
      </c>
      <c r="D12" s="113">
        <f t="shared" si="2"/>
        <v>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+Kostenverteilung!U13</f>
        <v>0</v>
      </c>
      <c r="D13" s="113">
        <f>F13+I13-C13</f>
        <v>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+Kostenverteilung!U14</f>
        <v>0</v>
      </c>
      <c r="D14" s="113">
        <f t="shared" si="2"/>
        <v>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+Kostenverteilung!U15</f>
        <v>0</v>
      </c>
      <c r="D15" s="114">
        <f>F15+I15-C15</f>
        <v>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+Kostenverteilung!U17</f>
        <v>0</v>
      </c>
      <c r="D17" s="146">
        <f t="shared" ref="D17:D18" si="5">F17+I17-C17</f>
        <v>0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+Kostenverteilung!U18</f>
        <v>0</v>
      </c>
      <c r="D18" s="156">
        <f t="shared" si="5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Mitarbeiterverteilung!BG6</f>
        <v>0</v>
      </c>
      <c r="D21" s="146">
        <f t="shared" ref="D21:D22" si="6">F21+I21-C21</f>
        <v>0</v>
      </c>
      <c r="E21" s="716"/>
      <c r="F21" s="147">
        <f>C21*H21</f>
        <v>0</v>
      </c>
      <c r="G21" s="716"/>
      <c r="H21" s="148">
        <f t="shared" ref="H21:H22" si="7">IF(E21=0,0,G21/$E21)</f>
        <v>0</v>
      </c>
      <c r="I21" s="149">
        <f t="shared" ref="I21:I22" si="8">C21*K21</f>
        <v>0</v>
      </c>
      <c r="J21" s="716"/>
      <c r="K21" s="148">
        <f t="shared" ref="K21:K22" si="9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Mitarbeiterverteilung!BG7</f>
        <v>0</v>
      </c>
      <c r="D22" s="151">
        <f t="shared" si="6"/>
        <v>0</v>
      </c>
      <c r="E22" s="717"/>
      <c r="F22" s="152">
        <f>C22*H22</f>
        <v>0</v>
      </c>
      <c r="G22" s="717"/>
      <c r="H22" s="153">
        <f t="shared" si="7"/>
        <v>0</v>
      </c>
      <c r="I22" s="154">
        <f t="shared" si="8"/>
        <v>0</v>
      </c>
      <c r="J22" s="717"/>
      <c r="K22" s="153">
        <f t="shared" si="9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Mitarbeiterverteilung!BG8</f>
        <v>0</v>
      </c>
      <c r="D23" s="151">
        <f t="shared" ref="D23:D57" si="10">F23+I23-C23</f>
        <v>0</v>
      </c>
      <c r="E23" s="717"/>
      <c r="F23" s="152">
        <f t="shared" ref="F23:F57" si="11">C23*H23</f>
        <v>0</v>
      </c>
      <c r="G23" s="717"/>
      <c r="H23" s="153">
        <f t="shared" ref="H23:H57" si="12">IF(E23=0,0,G23/$E23)</f>
        <v>0</v>
      </c>
      <c r="I23" s="154">
        <f t="shared" ref="I23:I57" si="13">C23*K23</f>
        <v>0</v>
      </c>
      <c r="J23" s="717"/>
      <c r="K23" s="153">
        <f t="shared" ref="K23:K57" si="14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Mitarbeiterverteilung!BG9</f>
        <v>0</v>
      </c>
      <c r="D24" s="151">
        <f t="shared" si="10"/>
        <v>0</v>
      </c>
      <c r="E24" s="717"/>
      <c r="F24" s="152">
        <f t="shared" si="11"/>
        <v>0</v>
      </c>
      <c r="G24" s="717"/>
      <c r="H24" s="153">
        <f t="shared" si="12"/>
        <v>0</v>
      </c>
      <c r="I24" s="154">
        <f t="shared" si="13"/>
        <v>0</v>
      </c>
      <c r="J24" s="717"/>
      <c r="K24" s="153">
        <f t="shared" si="14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Mitarbeiterverteilung!BG10</f>
        <v>0</v>
      </c>
      <c r="D25" s="151">
        <f t="shared" si="10"/>
        <v>0</v>
      </c>
      <c r="E25" s="717"/>
      <c r="F25" s="152">
        <f t="shared" si="11"/>
        <v>0</v>
      </c>
      <c r="G25" s="717"/>
      <c r="H25" s="153">
        <f t="shared" si="12"/>
        <v>0</v>
      </c>
      <c r="I25" s="154">
        <f t="shared" si="13"/>
        <v>0</v>
      </c>
      <c r="J25" s="717"/>
      <c r="K25" s="153">
        <f t="shared" si="14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Mitarbeiterverteilung!BG11</f>
        <v>0</v>
      </c>
      <c r="D26" s="151">
        <f t="shared" si="10"/>
        <v>0</v>
      </c>
      <c r="E26" s="717"/>
      <c r="F26" s="152">
        <f t="shared" si="11"/>
        <v>0</v>
      </c>
      <c r="G26" s="717"/>
      <c r="H26" s="153">
        <f t="shared" si="12"/>
        <v>0</v>
      </c>
      <c r="I26" s="154">
        <f t="shared" si="13"/>
        <v>0</v>
      </c>
      <c r="J26" s="717"/>
      <c r="K26" s="153">
        <f t="shared" si="14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Mitarbeiterverteilung!BG12</f>
        <v>0</v>
      </c>
      <c r="D27" s="151">
        <f t="shared" si="10"/>
        <v>0</v>
      </c>
      <c r="E27" s="717"/>
      <c r="F27" s="152">
        <f t="shared" si="11"/>
        <v>0</v>
      </c>
      <c r="G27" s="717"/>
      <c r="H27" s="153">
        <f t="shared" si="12"/>
        <v>0</v>
      </c>
      <c r="I27" s="154">
        <f t="shared" si="13"/>
        <v>0</v>
      </c>
      <c r="J27" s="717"/>
      <c r="K27" s="153">
        <f t="shared" si="14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Mitarbeiterverteilung!BG13</f>
        <v>0</v>
      </c>
      <c r="D28" s="151">
        <f t="shared" si="10"/>
        <v>0</v>
      </c>
      <c r="E28" s="717"/>
      <c r="F28" s="152">
        <f t="shared" si="11"/>
        <v>0</v>
      </c>
      <c r="G28" s="717"/>
      <c r="H28" s="153">
        <f t="shared" si="12"/>
        <v>0</v>
      </c>
      <c r="I28" s="154">
        <f t="shared" si="13"/>
        <v>0</v>
      </c>
      <c r="J28" s="717"/>
      <c r="K28" s="153">
        <f t="shared" si="14"/>
        <v>0</v>
      </c>
      <c r="L28" s="85"/>
    </row>
    <row r="29" spans="1:12" hidden="1" outlineLevel="1" x14ac:dyDescent="0.2">
      <c r="B29" s="161" t="str">
        <f>Mitarbeiterverteilung!A14</f>
        <v>Thomas Fleißig</v>
      </c>
      <c r="C29" s="150">
        <f>Mitarbeiterverteilung!BG14</f>
        <v>0</v>
      </c>
      <c r="D29" s="151">
        <f t="shared" si="10"/>
        <v>0</v>
      </c>
      <c r="E29" s="717"/>
      <c r="F29" s="152">
        <f t="shared" si="11"/>
        <v>0</v>
      </c>
      <c r="G29" s="717"/>
      <c r="H29" s="153">
        <f t="shared" si="12"/>
        <v>0</v>
      </c>
      <c r="I29" s="154">
        <f t="shared" si="13"/>
        <v>0</v>
      </c>
      <c r="J29" s="717"/>
      <c r="K29" s="153">
        <f t="shared" si="14"/>
        <v>0</v>
      </c>
      <c r="L29" s="85"/>
    </row>
    <row r="30" spans="1:12" hidden="1" outlineLevel="1" x14ac:dyDescent="0.2">
      <c r="B30" s="161" t="str">
        <f>Mitarbeiterverteilung!A15</f>
        <v>Facharbeiter</v>
      </c>
      <c r="C30" s="150">
        <f>Mitarbeiterverteilung!BG15</f>
        <v>0</v>
      </c>
      <c r="D30" s="151">
        <f t="shared" si="10"/>
        <v>0</v>
      </c>
      <c r="E30" s="717"/>
      <c r="F30" s="152">
        <f t="shared" si="11"/>
        <v>0</v>
      </c>
      <c r="G30" s="717"/>
      <c r="H30" s="153">
        <f t="shared" si="12"/>
        <v>0</v>
      </c>
      <c r="I30" s="154">
        <f t="shared" si="13"/>
        <v>0</v>
      </c>
      <c r="J30" s="717"/>
      <c r="K30" s="153">
        <f t="shared" si="14"/>
        <v>0</v>
      </c>
      <c r="L30" s="85"/>
    </row>
    <row r="31" spans="1:12" hidden="1" outlineLevel="1" x14ac:dyDescent="0.2">
      <c r="B31" s="161" t="str">
        <f>Mitarbeiterverteilung!A16</f>
        <v>Abgänger</v>
      </c>
      <c r="C31" s="150">
        <f>Mitarbeiterverteilung!BG16</f>
        <v>0</v>
      </c>
      <c r="D31" s="151">
        <f t="shared" si="10"/>
        <v>0</v>
      </c>
      <c r="E31" s="717"/>
      <c r="F31" s="152">
        <f t="shared" si="11"/>
        <v>0</v>
      </c>
      <c r="G31" s="717"/>
      <c r="H31" s="153">
        <f t="shared" si="12"/>
        <v>0</v>
      </c>
      <c r="I31" s="154">
        <f t="shared" si="13"/>
        <v>0</v>
      </c>
      <c r="J31" s="717"/>
      <c r="K31" s="153">
        <f t="shared" si="14"/>
        <v>0</v>
      </c>
      <c r="L31" s="85"/>
    </row>
    <row r="32" spans="1:12" hidden="1" outlineLevel="1" x14ac:dyDescent="0.2">
      <c r="B32" s="161" t="str">
        <f>Mitarbeiterverteilung!A17</f>
        <v>Facharbeiter</v>
      </c>
      <c r="C32" s="150">
        <f>Mitarbeiterverteilung!BG17</f>
        <v>0</v>
      </c>
      <c r="D32" s="151">
        <f t="shared" si="10"/>
        <v>0</v>
      </c>
      <c r="E32" s="717"/>
      <c r="F32" s="152">
        <f t="shared" si="11"/>
        <v>0</v>
      </c>
      <c r="G32" s="717"/>
      <c r="H32" s="153">
        <f t="shared" si="12"/>
        <v>0</v>
      </c>
      <c r="I32" s="154">
        <f t="shared" si="13"/>
        <v>0</v>
      </c>
      <c r="J32" s="717"/>
      <c r="K32" s="153">
        <f t="shared" si="14"/>
        <v>0</v>
      </c>
      <c r="L32" s="85"/>
    </row>
    <row r="33" spans="2:12" hidden="1" outlineLevel="1" x14ac:dyDescent="0.2">
      <c r="B33" s="161" t="str">
        <f>Mitarbeiterverteilung!A18</f>
        <v>Facharbeiter</v>
      </c>
      <c r="C33" s="150">
        <f>Mitarbeiterverteilung!BG18</f>
        <v>0</v>
      </c>
      <c r="D33" s="151">
        <f t="shared" si="10"/>
        <v>0</v>
      </c>
      <c r="E33" s="717"/>
      <c r="F33" s="152">
        <f t="shared" si="11"/>
        <v>0</v>
      </c>
      <c r="G33" s="717"/>
      <c r="H33" s="153">
        <f t="shared" si="12"/>
        <v>0</v>
      </c>
      <c r="I33" s="154">
        <f t="shared" si="13"/>
        <v>0</v>
      </c>
      <c r="J33" s="717"/>
      <c r="K33" s="153">
        <f t="shared" si="14"/>
        <v>0</v>
      </c>
      <c r="L33" s="85"/>
    </row>
    <row r="34" spans="2:12" hidden="1" outlineLevel="1" x14ac:dyDescent="0.2">
      <c r="B34" s="161" t="str">
        <f>Mitarbeiterverteilung!A19</f>
        <v>Elternzeit Geselle</v>
      </c>
      <c r="C34" s="150">
        <f>Mitarbeiterverteilung!BG19</f>
        <v>0</v>
      </c>
      <c r="D34" s="151">
        <f t="shared" si="10"/>
        <v>0</v>
      </c>
      <c r="E34" s="717"/>
      <c r="F34" s="152">
        <f t="shared" si="11"/>
        <v>0</v>
      </c>
      <c r="G34" s="717"/>
      <c r="H34" s="153">
        <f t="shared" si="12"/>
        <v>0</v>
      </c>
      <c r="I34" s="154">
        <f t="shared" si="13"/>
        <v>0</v>
      </c>
      <c r="J34" s="717"/>
      <c r="K34" s="153">
        <f t="shared" si="14"/>
        <v>0</v>
      </c>
      <c r="L34" s="85"/>
    </row>
    <row r="35" spans="2:12" hidden="1" outlineLevel="1" x14ac:dyDescent="0.2">
      <c r="B35" s="161" t="str">
        <f>Mitarbeiterverteilung!A20</f>
        <v>A. Zubi</v>
      </c>
      <c r="C35" s="150">
        <f>Mitarbeiterverteilung!BG20</f>
        <v>0</v>
      </c>
      <c r="D35" s="151">
        <f t="shared" si="10"/>
        <v>0</v>
      </c>
      <c r="E35" s="717"/>
      <c r="F35" s="152">
        <f t="shared" si="11"/>
        <v>0</v>
      </c>
      <c r="G35" s="717"/>
      <c r="H35" s="153">
        <f t="shared" si="12"/>
        <v>0</v>
      </c>
      <c r="I35" s="154">
        <f t="shared" si="13"/>
        <v>0</v>
      </c>
      <c r="J35" s="717"/>
      <c r="K35" s="153">
        <f t="shared" si="14"/>
        <v>0</v>
      </c>
      <c r="L35" s="85"/>
    </row>
    <row r="36" spans="2:12" hidden="1" outlineLevel="1" x14ac:dyDescent="0.2">
      <c r="B36" s="161" t="str">
        <f>Mitarbeiterverteilung!A21</f>
        <v>Zur Ausbildung</v>
      </c>
      <c r="C36" s="150">
        <f>Mitarbeiterverteilung!BG21</f>
        <v>0</v>
      </c>
      <c r="D36" s="151">
        <f t="shared" si="10"/>
        <v>0</v>
      </c>
      <c r="E36" s="717"/>
      <c r="F36" s="152">
        <f t="shared" si="11"/>
        <v>0</v>
      </c>
      <c r="G36" s="717"/>
      <c r="H36" s="153">
        <f t="shared" si="12"/>
        <v>0</v>
      </c>
      <c r="I36" s="154">
        <f t="shared" si="13"/>
        <v>0</v>
      </c>
      <c r="J36" s="717"/>
      <c r="K36" s="153">
        <f t="shared" si="14"/>
        <v>0</v>
      </c>
      <c r="L36" s="85"/>
    </row>
    <row r="37" spans="2:12" hidden="1" outlineLevel="1" x14ac:dyDescent="0.2">
      <c r="B37" s="161" t="str">
        <f>Mitarbeiterverteilung!A22</f>
        <v>Reine Putze</v>
      </c>
      <c r="C37" s="150">
        <f>Mitarbeiterverteilung!BG22</f>
        <v>0</v>
      </c>
      <c r="D37" s="151">
        <f t="shared" si="10"/>
        <v>0</v>
      </c>
      <c r="E37" s="717"/>
      <c r="F37" s="152">
        <f t="shared" si="11"/>
        <v>0</v>
      </c>
      <c r="G37" s="717"/>
      <c r="H37" s="153">
        <f t="shared" si="12"/>
        <v>0</v>
      </c>
      <c r="I37" s="154">
        <f t="shared" si="13"/>
        <v>0</v>
      </c>
      <c r="J37" s="717"/>
      <c r="K37" s="153">
        <f t="shared" si="14"/>
        <v>0</v>
      </c>
      <c r="L37" s="85"/>
    </row>
    <row r="38" spans="2:12" hidden="1" outlineLevel="1" x14ac:dyDescent="0.2">
      <c r="B38" s="161" t="str">
        <f>Mitarbeiterverteilung!A23</f>
        <v/>
      </c>
      <c r="C38" s="150">
        <f>Mitarbeiterverteilung!BG23</f>
        <v>0</v>
      </c>
      <c r="D38" s="151">
        <f t="shared" si="10"/>
        <v>0</v>
      </c>
      <c r="E38" s="717"/>
      <c r="F38" s="152">
        <f t="shared" si="11"/>
        <v>0</v>
      </c>
      <c r="G38" s="717"/>
      <c r="H38" s="153">
        <f t="shared" si="12"/>
        <v>0</v>
      </c>
      <c r="I38" s="154">
        <f t="shared" si="13"/>
        <v>0</v>
      </c>
      <c r="J38" s="717"/>
      <c r="K38" s="153">
        <f t="shared" si="14"/>
        <v>0</v>
      </c>
      <c r="L38" s="85"/>
    </row>
    <row r="39" spans="2:12" hidden="1" outlineLevel="1" x14ac:dyDescent="0.2">
      <c r="B39" s="161" t="str">
        <f>Mitarbeiterverteilung!A24</f>
        <v/>
      </c>
      <c r="C39" s="150">
        <f>Mitarbeiterverteilung!BG24</f>
        <v>0</v>
      </c>
      <c r="D39" s="151">
        <f t="shared" si="10"/>
        <v>0</v>
      </c>
      <c r="E39" s="717"/>
      <c r="F39" s="152">
        <f t="shared" si="11"/>
        <v>0</v>
      </c>
      <c r="G39" s="717"/>
      <c r="H39" s="153">
        <f t="shared" si="12"/>
        <v>0</v>
      </c>
      <c r="I39" s="154">
        <f t="shared" si="13"/>
        <v>0</v>
      </c>
      <c r="J39" s="717"/>
      <c r="K39" s="153">
        <f t="shared" si="14"/>
        <v>0</v>
      </c>
      <c r="L39" s="85"/>
    </row>
    <row r="40" spans="2:12" hidden="1" outlineLevel="1" x14ac:dyDescent="0.2">
      <c r="B40" s="161" t="str">
        <f>Mitarbeiterverteilung!A25</f>
        <v/>
      </c>
      <c r="C40" s="150">
        <f>Mitarbeiterverteilung!BG25</f>
        <v>0</v>
      </c>
      <c r="D40" s="151">
        <f t="shared" si="10"/>
        <v>0</v>
      </c>
      <c r="E40" s="717"/>
      <c r="F40" s="152">
        <f t="shared" si="11"/>
        <v>0</v>
      </c>
      <c r="G40" s="717"/>
      <c r="H40" s="153">
        <f t="shared" si="12"/>
        <v>0</v>
      </c>
      <c r="I40" s="154">
        <f t="shared" si="13"/>
        <v>0</v>
      </c>
      <c r="J40" s="717"/>
      <c r="K40" s="153">
        <f t="shared" si="14"/>
        <v>0</v>
      </c>
      <c r="L40" s="85"/>
    </row>
    <row r="41" spans="2:12" hidden="1" outlineLevel="1" x14ac:dyDescent="0.2">
      <c r="B41" s="161" t="str">
        <f>Mitarbeiterverteilung!A26</f>
        <v/>
      </c>
      <c r="C41" s="150">
        <f>Mitarbeiterverteilung!BG26</f>
        <v>0</v>
      </c>
      <c r="D41" s="151">
        <f t="shared" si="10"/>
        <v>0</v>
      </c>
      <c r="E41" s="717"/>
      <c r="F41" s="152">
        <f t="shared" si="11"/>
        <v>0</v>
      </c>
      <c r="G41" s="717"/>
      <c r="H41" s="153">
        <f t="shared" si="12"/>
        <v>0</v>
      </c>
      <c r="I41" s="154">
        <f t="shared" si="13"/>
        <v>0</v>
      </c>
      <c r="J41" s="717"/>
      <c r="K41" s="153">
        <f t="shared" si="14"/>
        <v>0</v>
      </c>
      <c r="L41" s="85"/>
    </row>
    <row r="42" spans="2:12" hidden="1" outlineLevel="1" x14ac:dyDescent="0.2">
      <c r="B42" s="161" t="str">
        <f>Mitarbeiterverteilung!A27</f>
        <v/>
      </c>
      <c r="C42" s="150">
        <f>Mitarbeiterverteilung!BG27</f>
        <v>0</v>
      </c>
      <c r="D42" s="151">
        <f t="shared" si="10"/>
        <v>0</v>
      </c>
      <c r="E42" s="717"/>
      <c r="F42" s="152">
        <f t="shared" si="11"/>
        <v>0</v>
      </c>
      <c r="G42" s="717"/>
      <c r="H42" s="153">
        <f t="shared" si="12"/>
        <v>0</v>
      </c>
      <c r="I42" s="154">
        <f t="shared" si="13"/>
        <v>0</v>
      </c>
      <c r="J42" s="717"/>
      <c r="K42" s="153">
        <f t="shared" si="14"/>
        <v>0</v>
      </c>
      <c r="L42" s="85"/>
    </row>
    <row r="43" spans="2:12" hidden="1" outlineLevel="1" x14ac:dyDescent="0.2">
      <c r="B43" s="161" t="str">
        <f>Mitarbeiterverteilung!A28</f>
        <v/>
      </c>
      <c r="C43" s="150">
        <f>Mitarbeiterverteilung!BG28</f>
        <v>0</v>
      </c>
      <c r="D43" s="151">
        <f t="shared" si="10"/>
        <v>0</v>
      </c>
      <c r="E43" s="717"/>
      <c r="F43" s="152">
        <f t="shared" si="11"/>
        <v>0</v>
      </c>
      <c r="G43" s="717"/>
      <c r="H43" s="153">
        <f t="shared" si="12"/>
        <v>0</v>
      </c>
      <c r="I43" s="154">
        <f t="shared" si="13"/>
        <v>0</v>
      </c>
      <c r="J43" s="717"/>
      <c r="K43" s="153">
        <f t="shared" si="14"/>
        <v>0</v>
      </c>
      <c r="L43" s="85"/>
    </row>
    <row r="44" spans="2:12" hidden="1" outlineLevel="1" x14ac:dyDescent="0.2">
      <c r="B44" s="161" t="str">
        <f>Mitarbeiterverteilung!A29</f>
        <v/>
      </c>
      <c r="C44" s="150">
        <f>Mitarbeiterverteilung!BG29</f>
        <v>0</v>
      </c>
      <c r="D44" s="151">
        <f t="shared" si="10"/>
        <v>0</v>
      </c>
      <c r="E44" s="717"/>
      <c r="F44" s="152">
        <f t="shared" si="11"/>
        <v>0</v>
      </c>
      <c r="G44" s="717"/>
      <c r="H44" s="153">
        <f t="shared" si="12"/>
        <v>0</v>
      </c>
      <c r="I44" s="154">
        <f t="shared" si="13"/>
        <v>0</v>
      </c>
      <c r="J44" s="717"/>
      <c r="K44" s="153">
        <f t="shared" si="14"/>
        <v>0</v>
      </c>
      <c r="L44" s="85"/>
    </row>
    <row r="45" spans="2:12" hidden="1" outlineLevel="1" x14ac:dyDescent="0.2">
      <c r="B45" s="161" t="str">
        <f>Mitarbeiterverteilung!A30</f>
        <v/>
      </c>
      <c r="C45" s="150">
        <f>Mitarbeiterverteilung!BG30</f>
        <v>0</v>
      </c>
      <c r="D45" s="151">
        <f t="shared" si="10"/>
        <v>0</v>
      </c>
      <c r="E45" s="717"/>
      <c r="F45" s="152">
        <f t="shared" si="11"/>
        <v>0</v>
      </c>
      <c r="G45" s="717"/>
      <c r="H45" s="153">
        <f t="shared" si="12"/>
        <v>0</v>
      </c>
      <c r="I45" s="154">
        <f t="shared" si="13"/>
        <v>0</v>
      </c>
      <c r="J45" s="717"/>
      <c r="K45" s="153">
        <f t="shared" si="14"/>
        <v>0</v>
      </c>
      <c r="L45" s="85"/>
    </row>
    <row r="46" spans="2:12" hidden="1" outlineLevel="1" x14ac:dyDescent="0.2">
      <c r="B46" s="161" t="str">
        <f>Mitarbeiterverteilung!A31</f>
        <v/>
      </c>
      <c r="C46" s="150">
        <f>Mitarbeiterverteilung!BG31</f>
        <v>0</v>
      </c>
      <c r="D46" s="151">
        <f t="shared" si="10"/>
        <v>0</v>
      </c>
      <c r="E46" s="717"/>
      <c r="F46" s="152">
        <f t="shared" si="11"/>
        <v>0</v>
      </c>
      <c r="G46" s="717"/>
      <c r="H46" s="153">
        <f t="shared" si="12"/>
        <v>0</v>
      </c>
      <c r="I46" s="154">
        <f t="shared" si="13"/>
        <v>0</v>
      </c>
      <c r="J46" s="717"/>
      <c r="K46" s="153">
        <f t="shared" si="14"/>
        <v>0</v>
      </c>
      <c r="L46" s="85"/>
    </row>
    <row r="47" spans="2:12" hidden="1" outlineLevel="1" x14ac:dyDescent="0.2">
      <c r="B47" s="161" t="str">
        <f>Mitarbeiterverteilung!A32</f>
        <v/>
      </c>
      <c r="C47" s="150">
        <f>Mitarbeiterverteilung!BG32</f>
        <v>0</v>
      </c>
      <c r="D47" s="151">
        <f t="shared" si="10"/>
        <v>0</v>
      </c>
      <c r="E47" s="717"/>
      <c r="F47" s="152">
        <f t="shared" si="11"/>
        <v>0</v>
      </c>
      <c r="G47" s="717"/>
      <c r="H47" s="153">
        <f t="shared" si="12"/>
        <v>0</v>
      </c>
      <c r="I47" s="154">
        <f t="shared" si="13"/>
        <v>0</v>
      </c>
      <c r="J47" s="717"/>
      <c r="K47" s="153">
        <f t="shared" si="14"/>
        <v>0</v>
      </c>
      <c r="L47" s="85"/>
    </row>
    <row r="48" spans="2:12" hidden="1" outlineLevel="1" x14ac:dyDescent="0.2">
      <c r="B48" s="161" t="str">
        <f>Mitarbeiterverteilung!A33</f>
        <v/>
      </c>
      <c r="C48" s="150">
        <f>Mitarbeiterverteilung!BG33</f>
        <v>0</v>
      </c>
      <c r="D48" s="151">
        <f t="shared" si="10"/>
        <v>0</v>
      </c>
      <c r="E48" s="717"/>
      <c r="F48" s="152">
        <f t="shared" si="11"/>
        <v>0</v>
      </c>
      <c r="G48" s="717"/>
      <c r="H48" s="153">
        <f t="shared" si="12"/>
        <v>0</v>
      </c>
      <c r="I48" s="154">
        <f t="shared" si="13"/>
        <v>0</v>
      </c>
      <c r="J48" s="717"/>
      <c r="K48" s="153">
        <f t="shared" si="14"/>
        <v>0</v>
      </c>
      <c r="L48" s="85"/>
    </row>
    <row r="49" spans="2:12" hidden="1" outlineLevel="1" x14ac:dyDescent="0.2">
      <c r="B49" s="161" t="str">
        <f>Mitarbeiterverteilung!A34</f>
        <v/>
      </c>
      <c r="C49" s="150">
        <f>Mitarbeiterverteilung!BG34</f>
        <v>0</v>
      </c>
      <c r="D49" s="151">
        <f t="shared" si="10"/>
        <v>0</v>
      </c>
      <c r="E49" s="717"/>
      <c r="F49" s="152">
        <f t="shared" si="11"/>
        <v>0</v>
      </c>
      <c r="G49" s="717"/>
      <c r="H49" s="153">
        <f t="shared" si="12"/>
        <v>0</v>
      </c>
      <c r="I49" s="154">
        <f t="shared" si="13"/>
        <v>0</v>
      </c>
      <c r="J49" s="717"/>
      <c r="K49" s="153">
        <f t="shared" si="14"/>
        <v>0</v>
      </c>
      <c r="L49" s="85"/>
    </row>
    <row r="50" spans="2:12" hidden="1" outlineLevel="1" x14ac:dyDescent="0.2">
      <c r="B50" s="161" t="str">
        <f>Mitarbeiterverteilung!A35</f>
        <v/>
      </c>
      <c r="C50" s="150">
        <f>Mitarbeiterverteilung!BG35</f>
        <v>0</v>
      </c>
      <c r="D50" s="151">
        <f t="shared" si="10"/>
        <v>0</v>
      </c>
      <c r="E50" s="717"/>
      <c r="F50" s="152">
        <f t="shared" si="11"/>
        <v>0</v>
      </c>
      <c r="G50" s="717"/>
      <c r="H50" s="153">
        <f t="shared" si="12"/>
        <v>0</v>
      </c>
      <c r="I50" s="154">
        <f t="shared" si="13"/>
        <v>0</v>
      </c>
      <c r="J50" s="717"/>
      <c r="K50" s="153">
        <f t="shared" si="14"/>
        <v>0</v>
      </c>
      <c r="L50" s="85"/>
    </row>
    <row r="51" spans="2:12" hidden="1" outlineLevel="1" x14ac:dyDescent="0.2">
      <c r="B51" s="161" t="str">
        <f>Mitarbeiterverteilung!A36</f>
        <v/>
      </c>
      <c r="C51" s="150">
        <f>Mitarbeiterverteilung!BG36</f>
        <v>0</v>
      </c>
      <c r="D51" s="151">
        <f t="shared" si="10"/>
        <v>0</v>
      </c>
      <c r="E51" s="717"/>
      <c r="F51" s="152">
        <f t="shared" si="11"/>
        <v>0</v>
      </c>
      <c r="G51" s="717"/>
      <c r="H51" s="153">
        <f t="shared" si="12"/>
        <v>0</v>
      </c>
      <c r="I51" s="154">
        <f t="shared" si="13"/>
        <v>0</v>
      </c>
      <c r="J51" s="717"/>
      <c r="K51" s="153">
        <f t="shared" si="14"/>
        <v>0</v>
      </c>
      <c r="L51" s="85"/>
    </row>
    <row r="52" spans="2:12" hidden="1" outlineLevel="1" x14ac:dyDescent="0.2">
      <c r="B52" s="161" t="str">
        <f>Mitarbeiterverteilung!A37</f>
        <v/>
      </c>
      <c r="C52" s="150">
        <f>Mitarbeiterverteilung!BG37</f>
        <v>0</v>
      </c>
      <c r="D52" s="151">
        <f t="shared" si="10"/>
        <v>0</v>
      </c>
      <c r="E52" s="717"/>
      <c r="F52" s="152">
        <f t="shared" si="11"/>
        <v>0</v>
      </c>
      <c r="G52" s="717"/>
      <c r="H52" s="153">
        <f t="shared" si="12"/>
        <v>0</v>
      </c>
      <c r="I52" s="154">
        <f t="shared" si="13"/>
        <v>0</v>
      </c>
      <c r="J52" s="717"/>
      <c r="K52" s="153">
        <f t="shared" si="14"/>
        <v>0</v>
      </c>
      <c r="L52" s="85"/>
    </row>
    <row r="53" spans="2:12" hidden="1" outlineLevel="1" x14ac:dyDescent="0.2">
      <c r="B53" s="161" t="str">
        <f>Mitarbeiterverteilung!A38</f>
        <v/>
      </c>
      <c r="C53" s="150">
        <f>Mitarbeiterverteilung!BG38</f>
        <v>0</v>
      </c>
      <c r="D53" s="151">
        <f t="shared" si="10"/>
        <v>0</v>
      </c>
      <c r="E53" s="717"/>
      <c r="F53" s="152">
        <f t="shared" si="11"/>
        <v>0</v>
      </c>
      <c r="G53" s="717"/>
      <c r="H53" s="153">
        <f t="shared" si="12"/>
        <v>0</v>
      </c>
      <c r="I53" s="154">
        <f t="shared" si="13"/>
        <v>0</v>
      </c>
      <c r="J53" s="717"/>
      <c r="K53" s="153">
        <f t="shared" si="14"/>
        <v>0</v>
      </c>
      <c r="L53" s="85"/>
    </row>
    <row r="54" spans="2:12" hidden="1" outlineLevel="1" x14ac:dyDescent="0.2">
      <c r="B54" s="161" t="str">
        <f>Mitarbeiterverteilung!A39</f>
        <v/>
      </c>
      <c r="C54" s="150">
        <f>Mitarbeiterverteilung!BG39</f>
        <v>0</v>
      </c>
      <c r="D54" s="151">
        <f t="shared" si="10"/>
        <v>0</v>
      </c>
      <c r="E54" s="717"/>
      <c r="F54" s="152">
        <f t="shared" si="11"/>
        <v>0</v>
      </c>
      <c r="G54" s="717"/>
      <c r="H54" s="153">
        <f t="shared" si="12"/>
        <v>0</v>
      </c>
      <c r="I54" s="154">
        <f t="shared" si="13"/>
        <v>0</v>
      </c>
      <c r="J54" s="717"/>
      <c r="K54" s="153">
        <f t="shared" si="14"/>
        <v>0</v>
      </c>
      <c r="L54" s="85"/>
    </row>
    <row r="55" spans="2:12" hidden="1" outlineLevel="1" x14ac:dyDescent="0.2">
      <c r="B55" s="161" t="str">
        <f>Mitarbeiterverteilung!A40</f>
        <v/>
      </c>
      <c r="C55" s="150">
        <f>Mitarbeiterverteilung!BG40</f>
        <v>0</v>
      </c>
      <c r="D55" s="151">
        <f t="shared" si="10"/>
        <v>0</v>
      </c>
      <c r="E55" s="717"/>
      <c r="F55" s="152">
        <f t="shared" si="11"/>
        <v>0</v>
      </c>
      <c r="G55" s="717"/>
      <c r="H55" s="153">
        <f t="shared" si="12"/>
        <v>0</v>
      </c>
      <c r="I55" s="154">
        <f t="shared" si="13"/>
        <v>0</v>
      </c>
      <c r="J55" s="717"/>
      <c r="K55" s="153">
        <f t="shared" si="14"/>
        <v>0</v>
      </c>
      <c r="L55" s="85"/>
    </row>
    <row r="56" spans="2:12" hidden="1" outlineLevel="1" x14ac:dyDescent="0.2">
      <c r="B56" s="161" t="str">
        <f>Mitarbeiterverteilung!A41</f>
        <v/>
      </c>
      <c r="C56" s="150">
        <f>Mitarbeiterverteilung!BG41</f>
        <v>0</v>
      </c>
      <c r="D56" s="151">
        <f t="shared" si="10"/>
        <v>0</v>
      </c>
      <c r="E56" s="717"/>
      <c r="F56" s="152">
        <f t="shared" si="11"/>
        <v>0</v>
      </c>
      <c r="G56" s="717"/>
      <c r="H56" s="153">
        <f t="shared" si="12"/>
        <v>0</v>
      </c>
      <c r="I56" s="154">
        <f t="shared" si="13"/>
        <v>0</v>
      </c>
      <c r="J56" s="717"/>
      <c r="K56" s="153">
        <f t="shared" si="14"/>
        <v>0</v>
      </c>
      <c r="L56" s="85"/>
    </row>
    <row r="57" spans="2:12" hidden="1" outlineLevel="1" x14ac:dyDescent="0.2">
      <c r="B57" s="161" t="str">
        <f>Mitarbeiterverteilung!A42</f>
        <v/>
      </c>
      <c r="C57" s="150">
        <f>Mitarbeiterverteilung!BG42</f>
        <v>0</v>
      </c>
      <c r="D57" s="151">
        <f t="shared" si="10"/>
        <v>0</v>
      </c>
      <c r="E57" s="717"/>
      <c r="F57" s="152">
        <f t="shared" si="11"/>
        <v>0</v>
      </c>
      <c r="G57" s="717"/>
      <c r="H57" s="153">
        <f t="shared" si="12"/>
        <v>0</v>
      </c>
      <c r="I57" s="154">
        <f t="shared" si="13"/>
        <v>0</v>
      </c>
      <c r="J57" s="717"/>
      <c r="K57" s="153">
        <f t="shared" si="14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Mitarbeiterverteilung!BG43</f>
        <v>0</v>
      </c>
      <c r="D58" s="151">
        <f t="shared" ref="D58:D121" si="15">F58+I58-C58</f>
        <v>0</v>
      </c>
      <c r="E58" s="717"/>
      <c r="F58" s="152">
        <f t="shared" ref="F58:F121" si="16">C58*H58</f>
        <v>0</v>
      </c>
      <c r="G58" s="717"/>
      <c r="H58" s="153">
        <f t="shared" ref="H58:H121" si="17">IF(E58=0,0,G58/$E58)</f>
        <v>0</v>
      </c>
      <c r="I58" s="154">
        <f t="shared" ref="I58:I121" si="18">C58*K58</f>
        <v>0</v>
      </c>
      <c r="J58" s="717"/>
      <c r="K58" s="153">
        <f t="shared" ref="K58:K121" si="19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Mitarbeiterverteilung!BG44</f>
        <v>0</v>
      </c>
      <c r="D59" s="151">
        <f t="shared" si="15"/>
        <v>0</v>
      </c>
      <c r="E59" s="717"/>
      <c r="F59" s="152">
        <f t="shared" si="16"/>
        <v>0</v>
      </c>
      <c r="G59" s="717"/>
      <c r="H59" s="153">
        <f t="shared" si="17"/>
        <v>0</v>
      </c>
      <c r="I59" s="154">
        <f t="shared" si="18"/>
        <v>0</v>
      </c>
      <c r="J59" s="717"/>
      <c r="K59" s="153">
        <f t="shared" si="19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Mitarbeiterverteilung!BG45</f>
        <v>0</v>
      </c>
      <c r="D60" s="151">
        <f t="shared" si="15"/>
        <v>0</v>
      </c>
      <c r="E60" s="717"/>
      <c r="F60" s="152">
        <f t="shared" si="16"/>
        <v>0</v>
      </c>
      <c r="G60" s="717"/>
      <c r="H60" s="153">
        <f t="shared" si="17"/>
        <v>0</v>
      </c>
      <c r="I60" s="154">
        <f t="shared" si="18"/>
        <v>0</v>
      </c>
      <c r="J60" s="717"/>
      <c r="K60" s="153">
        <f t="shared" si="19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Mitarbeiterverteilung!BG46</f>
        <v>0</v>
      </c>
      <c r="D61" s="151">
        <f t="shared" si="15"/>
        <v>0</v>
      </c>
      <c r="E61" s="717"/>
      <c r="F61" s="152">
        <f t="shared" si="16"/>
        <v>0</v>
      </c>
      <c r="G61" s="717"/>
      <c r="H61" s="153">
        <f t="shared" si="17"/>
        <v>0</v>
      </c>
      <c r="I61" s="154">
        <f t="shared" si="18"/>
        <v>0</v>
      </c>
      <c r="J61" s="717"/>
      <c r="K61" s="153">
        <f t="shared" si="19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Mitarbeiterverteilung!BG47</f>
        <v>0</v>
      </c>
      <c r="D62" s="151">
        <f t="shared" si="15"/>
        <v>0</v>
      </c>
      <c r="E62" s="717"/>
      <c r="F62" s="152">
        <f t="shared" si="16"/>
        <v>0</v>
      </c>
      <c r="G62" s="717"/>
      <c r="H62" s="153">
        <f t="shared" si="17"/>
        <v>0</v>
      </c>
      <c r="I62" s="154">
        <f t="shared" si="18"/>
        <v>0</v>
      </c>
      <c r="J62" s="717"/>
      <c r="K62" s="153">
        <f t="shared" si="19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Mitarbeiterverteilung!BG48</f>
        <v>0</v>
      </c>
      <c r="D63" s="151">
        <f t="shared" si="15"/>
        <v>0</v>
      </c>
      <c r="E63" s="717"/>
      <c r="F63" s="152">
        <f t="shared" si="16"/>
        <v>0</v>
      </c>
      <c r="G63" s="717"/>
      <c r="H63" s="153">
        <f t="shared" si="17"/>
        <v>0</v>
      </c>
      <c r="I63" s="154">
        <f t="shared" si="18"/>
        <v>0</v>
      </c>
      <c r="J63" s="717"/>
      <c r="K63" s="153">
        <f t="shared" si="19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Mitarbeiterverteilung!BG49</f>
        <v>0</v>
      </c>
      <c r="D64" s="151">
        <f t="shared" si="15"/>
        <v>0</v>
      </c>
      <c r="E64" s="717"/>
      <c r="F64" s="152">
        <f t="shared" si="16"/>
        <v>0</v>
      </c>
      <c r="G64" s="717"/>
      <c r="H64" s="153">
        <f t="shared" si="17"/>
        <v>0</v>
      </c>
      <c r="I64" s="154">
        <f t="shared" si="18"/>
        <v>0</v>
      </c>
      <c r="J64" s="717"/>
      <c r="K64" s="153">
        <f t="shared" si="19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Mitarbeiterverteilung!BG50</f>
        <v>0</v>
      </c>
      <c r="D65" s="151">
        <f t="shared" si="15"/>
        <v>0</v>
      </c>
      <c r="E65" s="717"/>
      <c r="F65" s="152">
        <f t="shared" si="16"/>
        <v>0</v>
      </c>
      <c r="G65" s="717"/>
      <c r="H65" s="153">
        <f t="shared" si="17"/>
        <v>0</v>
      </c>
      <c r="I65" s="154">
        <f t="shared" si="18"/>
        <v>0</v>
      </c>
      <c r="J65" s="717"/>
      <c r="K65" s="153">
        <f t="shared" si="19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Mitarbeiterverteilung!BG51</f>
        <v>0</v>
      </c>
      <c r="D66" s="151">
        <f t="shared" si="15"/>
        <v>0</v>
      </c>
      <c r="E66" s="717"/>
      <c r="F66" s="152">
        <f t="shared" si="16"/>
        <v>0</v>
      </c>
      <c r="G66" s="717"/>
      <c r="H66" s="153">
        <f t="shared" si="17"/>
        <v>0</v>
      </c>
      <c r="I66" s="154">
        <f t="shared" si="18"/>
        <v>0</v>
      </c>
      <c r="J66" s="717"/>
      <c r="K66" s="153">
        <f t="shared" si="19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Mitarbeiterverteilung!BG52</f>
        <v>0</v>
      </c>
      <c r="D67" s="151">
        <f t="shared" si="15"/>
        <v>0</v>
      </c>
      <c r="E67" s="717"/>
      <c r="F67" s="152">
        <f t="shared" si="16"/>
        <v>0</v>
      </c>
      <c r="G67" s="717"/>
      <c r="H67" s="153">
        <f t="shared" si="17"/>
        <v>0</v>
      </c>
      <c r="I67" s="154">
        <f t="shared" si="18"/>
        <v>0</v>
      </c>
      <c r="J67" s="717"/>
      <c r="K67" s="153">
        <f t="shared" si="19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Mitarbeiterverteilung!BG53</f>
        <v>0</v>
      </c>
      <c r="D68" s="151">
        <f t="shared" si="15"/>
        <v>0</v>
      </c>
      <c r="E68" s="717"/>
      <c r="F68" s="152">
        <f t="shared" si="16"/>
        <v>0</v>
      </c>
      <c r="G68" s="717"/>
      <c r="H68" s="153">
        <f t="shared" si="17"/>
        <v>0</v>
      </c>
      <c r="I68" s="154">
        <f t="shared" si="18"/>
        <v>0</v>
      </c>
      <c r="J68" s="717"/>
      <c r="K68" s="153">
        <f t="shared" si="19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Mitarbeiterverteilung!BG54</f>
        <v>0</v>
      </c>
      <c r="D69" s="151">
        <f t="shared" si="15"/>
        <v>0</v>
      </c>
      <c r="E69" s="717"/>
      <c r="F69" s="152">
        <f t="shared" si="16"/>
        <v>0</v>
      </c>
      <c r="G69" s="717"/>
      <c r="H69" s="153">
        <f t="shared" si="17"/>
        <v>0</v>
      </c>
      <c r="I69" s="154">
        <f t="shared" si="18"/>
        <v>0</v>
      </c>
      <c r="J69" s="717"/>
      <c r="K69" s="153">
        <f t="shared" si="19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Mitarbeiterverteilung!BG55</f>
        <v>0</v>
      </c>
      <c r="D70" s="151">
        <f t="shared" si="15"/>
        <v>0</v>
      </c>
      <c r="E70" s="717"/>
      <c r="F70" s="152">
        <f t="shared" si="16"/>
        <v>0</v>
      </c>
      <c r="G70" s="717"/>
      <c r="H70" s="153">
        <f t="shared" si="17"/>
        <v>0</v>
      </c>
      <c r="I70" s="154">
        <f t="shared" si="18"/>
        <v>0</v>
      </c>
      <c r="J70" s="717"/>
      <c r="K70" s="153">
        <f t="shared" si="19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Mitarbeiterverteilung!BG56</f>
        <v>0</v>
      </c>
      <c r="D71" s="151">
        <f t="shared" si="15"/>
        <v>0</v>
      </c>
      <c r="E71" s="717"/>
      <c r="F71" s="152">
        <f t="shared" si="16"/>
        <v>0</v>
      </c>
      <c r="G71" s="717"/>
      <c r="H71" s="153">
        <f t="shared" si="17"/>
        <v>0</v>
      </c>
      <c r="I71" s="154">
        <f t="shared" si="18"/>
        <v>0</v>
      </c>
      <c r="J71" s="717"/>
      <c r="K71" s="153">
        <f t="shared" si="19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Mitarbeiterverteilung!BG57</f>
        <v>0</v>
      </c>
      <c r="D72" s="151">
        <f t="shared" si="15"/>
        <v>0</v>
      </c>
      <c r="E72" s="717"/>
      <c r="F72" s="152">
        <f t="shared" si="16"/>
        <v>0</v>
      </c>
      <c r="G72" s="717"/>
      <c r="H72" s="153">
        <f t="shared" si="17"/>
        <v>0</v>
      </c>
      <c r="I72" s="154">
        <f t="shared" si="18"/>
        <v>0</v>
      </c>
      <c r="J72" s="717"/>
      <c r="K72" s="153">
        <f t="shared" si="19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Mitarbeiterverteilung!BG58</f>
        <v>0</v>
      </c>
      <c r="D73" s="151">
        <f t="shared" si="15"/>
        <v>0</v>
      </c>
      <c r="E73" s="717"/>
      <c r="F73" s="152">
        <f t="shared" si="16"/>
        <v>0</v>
      </c>
      <c r="G73" s="717"/>
      <c r="H73" s="153">
        <f t="shared" si="17"/>
        <v>0</v>
      </c>
      <c r="I73" s="154">
        <f t="shared" si="18"/>
        <v>0</v>
      </c>
      <c r="J73" s="717"/>
      <c r="K73" s="153">
        <f t="shared" si="19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Mitarbeiterverteilung!BG59</f>
        <v>0</v>
      </c>
      <c r="D74" s="151">
        <f t="shared" si="15"/>
        <v>0</v>
      </c>
      <c r="E74" s="717"/>
      <c r="F74" s="152">
        <f t="shared" si="16"/>
        <v>0</v>
      </c>
      <c r="G74" s="717"/>
      <c r="H74" s="153">
        <f t="shared" si="17"/>
        <v>0</v>
      </c>
      <c r="I74" s="154">
        <f t="shared" si="18"/>
        <v>0</v>
      </c>
      <c r="J74" s="717"/>
      <c r="K74" s="153">
        <f t="shared" si="19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Mitarbeiterverteilung!BG60</f>
        <v>0</v>
      </c>
      <c r="D75" s="151">
        <f t="shared" si="15"/>
        <v>0</v>
      </c>
      <c r="E75" s="717"/>
      <c r="F75" s="152">
        <f t="shared" si="16"/>
        <v>0</v>
      </c>
      <c r="G75" s="717"/>
      <c r="H75" s="153">
        <f t="shared" si="17"/>
        <v>0</v>
      </c>
      <c r="I75" s="154">
        <f t="shared" si="18"/>
        <v>0</v>
      </c>
      <c r="J75" s="717"/>
      <c r="K75" s="153">
        <f t="shared" si="19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Mitarbeiterverteilung!BG61</f>
        <v>0</v>
      </c>
      <c r="D76" s="151">
        <f t="shared" si="15"/>
        <v>0</v>
      </c>
      <c r="E76" s="717"/>
      <c r="F76" s="152">
        <f t="shared" si="16"/>
        <v>0</v>
      </c>
      <c r="G76" s="717"/>
      <c r="H76" s="153">
        <f t="shared" si="17"/>
        <v>0</v>
      </c>
      <c r="I76" s="154">
        <f t="shared" si="18"/>
        <v>0</v>
      </c>
      <c r="J76" s="717"/>
      <c r="K76" s="153">
        <f t="shared" si="19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Mitarbeiterverteilung!BG62</f>
        <v>0</v>
      </c>
      <c r="D77" s="151">
        <f t="shared" si="15"/>
        <v>0</v>
      </c>
      <c r="E77" s="717"/>
      <c r="F77" s="152">
        <f t="shared" si="16"/>
        <v>0</v>
      </c>
      <c r="G77" s="717"/>
      <c r="H77" s="153">
        <f t="shared" si="17"/>
        <v>0</v>
      </c>
      <c r="I77" s="154">
        <f t="shared" si="18"/>
        <v>0</v>
      </c>
      <c r="J77" s="717"/>
      <c r="K77" s="153">
        <f t="shared" si="19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Mitarbeiterverteilung!BG63</f>
        <v>0</v>
      </c>
      <c r="D78" s="151">
        <f t="shared" si="15"/>
        <v>0</v>
      </c>
      <c r="E78" s="717"/>
      <c r="F78" s="152">
        <f t="shared" si="16"/>
        <v>0</v>
      </c>
      <c r="G78" s="717"/>
      <c r="H78" s="153">
        <f t="shared" si="17"/>
        <v>0</v>
      </c>
      <c r="I78" s="154">
        <f t="shared" si="18"/>
        <v>0</v>
      </c>
      <c r="J78" s="717"/>
      <c r="K78" s="153">
        <f t="shared" si="19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Mitarbeiterverteilung!BG64</f>
        <v>0</v>
      </c>
      <c r="D79" s="151">
        <f t="shared" si="15"/>
        <v>0</v>
      </c>
      <c r="E79" s="717"/>
      <c r="F79" s="152">
        <f t="shared" si="16"/>
        <v>0</v>
      </c>
      <c r="G79" s="717"/>
      <c r="H79" s="153">
        <f t="shared" si="17"/>
        <v>0</v>
      </c>
      <c r="I79" s="154">
        <f t="shared" si="18"/>
        <v>0</v>
      </c>
      <c r="J79" s="717"/>
      <c r="K79" s="153">
        <f t="shared" si="19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Mitarbeiterverteilung!BG65</f>
        <v>0</v>
      </c>
      <c r="D80" s="151">
        <f t="shared" si="15"/>
        <v>0</v>
      </c>
      <c r="E80" s="717"/>
      <c r="F80" s="152">
        <f t="shared" si="16"/>
        <v>0</v>
      </c>
      <c r="G80" s="717"/>
      <c r="H80" s="153">
        <f t="shared" si="17"/>
        <v>0</v>
      </c>
      <c r="I80" s="154">
        <f t="shared" si="18"/>
        <v>0</v>
      </c>
      <c r="J80" s="717"/>
      <c r="K80" s="153">
        <f t="shared" si="19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Mitarbeiterverteilung!BG66</f>
        <v>0</v>
      </c>
      <c r="D81" s="151">
        <f t="shared" si="15"/>
        <v>0</v>
      </c>
      <c r="E81" s="717"/>
      <c r="F81" s="152">
        <f t="shared" si="16"/>
        <v>0</v>
      </c>
      <c r="G81" s="717"/>
      <c r="H81" s="153">
        <f t="shared" si="17"/>
        <v>0</v>
      </c>
      <c r="I81" s="154">
        <f t="shared" si="18"/>
        <v>0</v>
      </c>
      <c r="J81" s="717"/>
      <c r="K81" s="153">
        <f t="shared" si="19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Mitarbeiterverteilung!BG67</f>
        <v>0</v>
      </c>
      <c r="D82" s="151">
        <f t="shared" si="15"/>
        <v>0</v>
      </c>
      <c r="E82" s="717"/>
      <c r="F82" s="152">
        <f t="shared" si="16"/>
        <v>0</v>
      </c>
      <c r="G82" s="717"/>
      <c r="H82" s="153">
        <f t="shared" si="17"/>
        <v>0</v>
      </c>
      <c r="I82" s="154">
        <f t="shared" si="18"/>
        <v>0</v>
      </c>
      <c r="J82" s="717"/>
      <c r="K82" s="153">
        <f t="shared" si="19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Mitarbeiterverteilung!BG68</f>
        <v>0</v>
      </c>
      <c r="D83" s="151">
        <f t="shared" si="15"/>
        <v>0</v>
      </c>
      <c r="E83" s="717"/>
      <c r="F83" s="152">
        <f t="shared" si="16"/>
        <v>0</v>
      </c>
      <c r="G83" s="717"/>
      <c r="H83" s="153">
        <f t="shared" si="17"/>
        <v>0</v>
      </c>
      <c r="I83" s="154">
        <f t="shared" si="18"/>
        <v>0</v>
      </c>
      <c r="J83" s="717"/>
      <c r="K83" s="153">
        <f t="shared" si="19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Mitarbeiterverteilung!BG69</f>
        <v>0</v>
      </c>
      <c r="D84" s="151">
        <f t="shared" si="15"/>
        <v>0</v>
      </c>
      <c r="E84" s="717"/>
      <c r="F84" s="152">
        <f t="shared" si="16"/>
        <v>0</v>
      </c>
      <c r="G84" s="717"/>
      <c r="H84" s="153">
        <f t="shared" si="17"/>
        <v>0</v>
      </c>
      <c r="I84" s="154">
        <f t="shared" si="18"/>
        <v>0</v>
      </c>
      <c r="J84" s="717"/>
      <c r="K84" s="153">
        <f t="shared" si="19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Mitarbeiterverteilung!BG70</f>
        <v>0</v>
      </c>
      <c r="D85" s="151">
        <f t="shared" si="15"/>
        <v>0</v>
      </c>
      <c r="E85" s="717"/>
      <c r="F85" s="152">
        <f t="shared" si="16"/>
        <v>0</v>
      </c>
      <c r="G85" s="717"/>
      <c r="H85" s="153">
        <f t="shared" si="17"/>
        <v>0</v>
      </c>
      <c r="I85" s="154">
        <f t="shared" si="18"/>
        <v>0</v>
      </c>
      <c r="J85" s="717"/>
      <c r="K85" s="153">
        <f t="shared" si="19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Mitarbeiterverteilung!BG71</f>
        <v>0</v>
      </c>
      <c r="D86" s="151">
        <f t="shared" si="15"/>
        <v>0</v>
      </c>
      <c r="E86" s="717"/>
      <c r="F86" s="152">
        <f t="shared" si="16"/>
        <v>0</v>
      </c>
      <c r="G86" s="717"/>
      <c r="H86" s="153">
        <f t="shared" si="17"/>
        <v>0</v>
      </c>
      <c r="I86" s="154">
        <f t="shared" si="18"/>
        <v>0</v>
      </c>
      <c r="J86" s="717"/>
      <c r="K86" s="153">
        <f t="shared" si="19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Mitarbeiterverteilung!BG72</f>
        <v>0</v>
      </c>
      <c r="D87" s="151">
        <f t="shared" si="15"/>
        <v>0</v>
      </c>
      <c r="E87" s="717"/>
      <c r="F87" s="152">
        <f t="shared" si="16"/>
        <v>0</v>
      </c>
      <c r="G87" s="717"/>
      <c r="H87" s="153">
        <f t="shared" si="17"/>
        <v>0</v>
      </c>
      <c r="I87" s="154">
        <f t="shared" si="18"/>
        <v>0</v>
      </c>
      <c r="J87" s="717"/>
      <c r="K87" s="153">
        <f t="shared" si="19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Mitarbeiterverteilung!BG73</f>
        <v>0</v>
      </c>
      <c r="D88" s="151">
        <f t="shared" si="15"/>
        <v>0</v>
      </c>
      <c r="E88" s="717"/>
      <c r="F88" s="152">
        <f t="shared" si="16"/>
        <v>0</v>
      </c>
      <c r="G88" s="717"/>
      <c r="H88" s="153">
        <f t="shared" si="17"/>
        <v>0</v>
      </c>
      <c r="I88" s="154">
        <f t="shared" si="18"/>
        <v>0</v>
      </c>
      <c r="J88" s="717"/>
      <c r="K88" s="153">
        <f t="shared" si="19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Mitarbeiterverteilung!BG74</f>
        <v>0</v>
      </c>
      <c r="D89" s="151">
        <f t="shared" si="15"/>
        <v>0</v>
      </c>
      <c r="E89" s="717"/>
      <c r="F89" s="152">
        <f t="shared" si="16"/>
        <v>0</v>
      </c>
      <c r="G89" s="717"/>
      <c r="H89" s="153">
        <f t="shared" si="17"/>
        <v>0</v>
      </c>
      <c r="I89" s="154">
        <f t="shared" si="18"/>
        <v>0</v>
      </c>
      <c r="J89" s="717"/>
      <c r="K89" s="153">
        <f t="shared" si="19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Mitarbeiterverteilung!BG75</f>
        <v>0</v>
      </c>
      <c r="D90" s="151">
        <f t="shared" si="15"/>
        <v>0</v>
      </c>
      <c r="E90" s="717"/>
      <c r="F90" s="152">
        <f t="shared" si="16"/>
        <v>0</v>
      </c>
      <c r="G90" s="717"/>
      <c r="H90" s="153">
        <f t="shared" si="17"/>
        <v>0</v>
      </c>
      <c r="I90" s="154">
        <f t="shared" si="18"/>
        <v>0</v>
      </c>
      <c r="J90" s="717"/>
      <c r="K90" s="153">
        <f t="shared" si="19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Mitarbeiterverteilung!BG76</f>
        <v>0</v>
      </c>
      <c r="D91" s="151">
        <f t="shared" si="15"/>
        <v>0</v>
      </c>
      <c r="E91" s="717"/>
      <c r="F91" s="152">
        <f t="shared" si="16"/>
        <v>0</v>
      </c>
      <c r="G91" s="717"/>
      <c r="H91" s="153">
        <f t="shared" si="17"/>
        <v>0</v>
      </c>
      <c r="I91" s="154">
        <f t="shared" si="18"/>
        <v>0</v>
      </c>
      <c r="J91" s="717"/>
      <c r="K91" s="153">
        <f t="shared" si="19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Mitarbeiterverteilung!BG77</f>
        <v>0</v>
      </c>
      <c r="D92" s="151">
        <f t="shared" si="15"/>
        <v>0</v>
      </c>
      <c r="E92" s="717"/>
      <c r="F92" s="152">
        <f t="shared" si="16"/>
        <v>0</v>
      </c>
      <c r="G92" s="717"/>
      <c r="H92" s="153">
        <f t="shared" si="17"/>
        <v>0</v>
      </c>
      <c r="I92" s="154">
        <f t="shared" si="18"/>
        <v>0</v>
      </c>
      <c r="J92" s="717"/>
      <c r="K92" s="153">
        <f t="shared" si="19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Mitarbeiterverteilung!BG78</f>
        <v>0</v>
      </c>
      <c r="D93" s="151">
        <f t="shared" si="15"/>
        <v>0</v>
      </c>
      <c r="E93" s="717"/>
      <c r="F93" s="152">
        <f t="shared" si="16"/>
        <v>0</v>
      </c>
      <c r="G93" s="717"/>
      <c r="H93" s="153">
        <f t="shared" si="17"/>
        <v>0</v>
      </c>
      <c r="I93" s="154">
        <f t="shared" si="18"/>
        <v>0</v>
      </c>
      <c r="J93" s="717"/>
      <c r="K93" s="153">
        <f t="shared" si="19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Mitarbeiterverteilung!BG79</f>
        <v>0</v>
      </c>
      <c r="D94" s="151">
        <f t="shared" si="15"/>
        <v>0</v>
      </c>
      <c r="E94" s="717"/>
      <c r="F94" s="152">
        <f t="shared" si="16"/>
        <v>0</v>
      </c>
      <c r="G94" s="717"/>
      <c r="H94" s="153">
        <f t="shared" si="17"/>
        <v>0</v>
      </c>
      <c r="I94" s="154">
        <f t="shared" si="18"/>
        <v>0</v>
      </c>
      <c r="J94" s="717"/>
      <c r="K94" s="153">
        <f t="shared" si="19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Mitarbeiterverteilung!BG80</f>
        <v>0</v>
      </c>
      <c r="D95" s="151">
        <f t="shared" si="15"/>
        <v>0</v>
      </c>
      <c r="E95" s="717"/>
      <c r="F95" s="152">
        <f t="shared" si="16"/>
        <v>0</v>
      </c>
      <c r="G95" s="717"/>
      <c r="H95" s="153">
        <f t="shared" si="17"/>
        <v>0</v>
      </c>
      <c r="I95" s="154">
        <f t="shared" si="18"/>
        <v>0</v>
      </c>
      <c r="J95" s="717"/>
      <c r="K95" s="153">
        <f t="shared" si="19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Mitarbeiterverteilung!BG81</f>
        <v>0</v>
      </c>
      <c r="D96" s="151">
        <f t="shared" si="15"/>
        <v>0</v>
      </c>
      <c r="E96" s="717"/>
      <c r="F96" s="152">
        <f t="shared" si="16"/>
        <v>0</v>
      </c>
      <c r="G96" s="717"/>
      <c r="H96" s="153">
        <f t="shared" si="17"/>
        <v>0</v>
      </c>
      <c r="I96" s="154">
        <f t="shared" si="18"/>
        <v>0</v>
      </c>
      <c r="J96" s="717"/>
      <c r="K96" s="153">
        <f t="shared" si="19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Mitarbeiterverteilung!BG82</f>
        <v>0</v>
      </c>
      <c r="D97" s="151">
        <f t="shared" si="15"/>
        <v>0</v>
      </c>
      <c r="E97" s="717"/>
      <c r="F97" s="152">
        <f t="shared" si="16"/>
        <v>0</v>
      </c>
      <c r="G97" s="717"/>
      <c r="H97" s="153">
        <f t="shared" si="17"/>
        <v>0</v>
      </c>
      <c r="I97" s="154">
        <f t="shared" si="18"/>
        <v>0</v>
      </c>
      <c r="J97" s="717"/>
      <c r="K97" s="153">
        <f t="shared" si="19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Mitarbeiterverteilung!BG83</f>
        <v>0</v>
      </c>
      <c r="D98" s="151">
        <f t="shared" si="15"/>
        <v>0</v>
      </c>
      <c r="E98" s="717"/>
      <c r="F98" s="152">
        <f t="shared" si="16"/>
        <v>0</v>
      </c>
      <c r="G98" s="717"/>
      <c r="H98" s="153">
        <f t="shared" si="17"/>
        <v>0</v>
      </c>
      <c r="I98" s="154">
        <f t="shared" si="18"/>
        <v>0</v>
      </c>
      <c r="J98" s="717"/>
      <c r="K98" s="153">
        <f t="shared" si="19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Mitarbeiterverteilung!BG84</f>
        <v>0</v>
      </c>
      <c r="D99" s="151">
        <f t="shared" si="15"/>
        <v>0</v>
      </c>
      <c r="E99" s="717"/>
      <c r="F99" s="152">
        <f t="shared" si="16"/>
        <v>0</v>
      </c>
      <c r="G99" s="717"/>
      <c r="H99" s="153">
        <f t="shared" si="17"/>
        <v>0</v>
      </c>
      <c r="I99" s="154">
        <f t="shared" si="18"/>
        <v>0</v>
      </c>
      <c r="J99" s="717"/>
      <c r="K99" s="153">
        <f t="shared" si="19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Mitarbeiterverteilung!BG85</f>
        <v>0</v>
      </c>
      <c r="D100" s="151">
        <f t="shared" si="15"/>
        <v>0</v>
      </c>
      <c r="E100" s="717"/>
      <c r="F100" s="152">
        <f t="shared" si="16"/>
        <v>0</v>
      </c>
      <c r="G100" s="717"/>
      <c r="H100" s="153">
        <f t="shared" si="17"/>
        <v>0</v>
      </c>
      <c r="I100" s="154">
        <f t="shared" si="18"/>
        <v>0</v>
      </c>
      <c r="J100" s="717"/>
      <c r="K100" s="153">
        <f t="shared" si="19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Mitarbeiterverteilung!BG86</f>
        <v>0</v>
      </c>
      <c r="D101" s="151">
        <f t="shared" si="15"/>
        <v>0</v>
      </c>
      <c r="E101" s="717"/>
      <c r="F101" s="152">
        <f t="shared" si="16"/>
        <v>0</v>
      </c>
      <c r="G101" s="717"/>
      <c r="H101" s="153">
        <f t="shared" si="17"/>
        <v>0</v>
      </c>
      <c r="I101" s="154">
        <f t="shared" si="18"/>
        <v>0</v>
      </c>
      <c r="J101" s="717"/>
      <c r="K101" s="153">
        <f t="shared" si="19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Mitarbeiterverteilung!BG87</f>
        <v>0</v>
      </c>
      <c r="D102" s="151">
        <f t="shared" si="15"/>
        <v>0</v>
      </c>
      <c r="E102" s="717"/>
      <c r="F102" s="152">
        <f t="shared" si="16"/>
        <v>0</v>
      </c>
      <c r="G102" s="717"/>
      <c r="H102" s="153">
        <f t="shared" si="17"/>
        <v>0</v>
      </c>
      <c r="I102" s="154">
        <f t="shared" si="18"/>
        <v>0</v>
      </c>
      <c r="J102" s="717"/>
      <c r="K102" s="153">
        <f t="shared" si="19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Mitarbeiterverteilung!BG88</f>
        <v>0</v>
      </c>
      <c r="D103" s="151">
        <f t="shared" si="15"/>
        <v>0</v>
      </c>
      <c r="E103" s="717"/>
      <c r="F103" s="152">
        <f t="shared" si="16"/>
        <v>0</v>
      </c>
      <c r="G103" s="717"/>
      <c r="H103" s="153">
        <f t="shared" si="17"/>
        <v>0</v>
      </c>
      <c r="I103" s="154">
        <f t="shared" si="18"/>
        <v>0</v>
      </c>
      <c r="J103" s="717"/>
      <c r="K103" s="153">
        <f t="shared" si="19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Mitarbeiterverteilung!BG89</f>
        <v>0</v>
      </c>
      <c r="D104" s="151">
        <f t="shared" si="15"/>
        <v>0</v>
      </c>
      <c r="E104" s="717"/>
      <c r="F104" s="152">
        <f t="shared" si="16"/>
        <v>0</v>
      </c>
      <c r="G104" s="717"/>
      <c r="H104" s="153">
        <f t="shared" si="17"/>
        <v>0</v>
      </c>
      <c r="I104" s="154">
        <f t="shared" si="18"/>
        <v>0</v>
      </c>
      <c r="J104" s="717"/>
      <c r="K104" s="153">
        <f t="shared" si="19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Mitarbeiterverteilung!BG90</f>
        <v>0</v>
      </c>
      <c r="D105" s="151">
        <f t="shared" si="15"/>
        <v>0</v>
      </c>
      <c r="E105" s="717"/>
      <c r="F105" s="152">
        <f t="shared" si="16"/>
        <v>0</v>
      </c>
      <c r="G105" s="717"/>
      <c r="H105" s="153">
        <f t="shared" si="17"/>
        <v>0</v>
      </c>
      <c r="I105" s="154">
        <f t="shared" si="18"/>
        <v>0</v>
      </c>
      <c r="J105" s="717"/>
      <c r="K105" s="153">
        <f t="shared" si="19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Mitarbeiterverteilung!BG91</f>
        <v>0</v>
      </c>
      <c r="D106" s="151">
        <f t="shared" si="15"/>
        <v>0</v>
      </c>
      <c r="E106" s="717"/>
      <c r="F106" s="152">
        <f t="shared" si="16"/>
        <v>0</v>
      </c>
      <c r="G106" s="717"/>
      <c r="H106" s="153">
        <f t="shared" si="17"/>
        <v>0</v>
      </c>
      <c r="I106" s="154">
        <f t="shared" si="18"/>
        <v>0</v>
      </c>
      <c r="J106" s="717"/>
      <c r="K106" s="153">
        <f t="shared" si="19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Mitarbeiterverteilung!BG92</f>
        <v>0</v>
      </c>
      <c r="D107" s="151">
        <f t="shared" si="15"/>
        <v>0</v>
      </c>
      <c r="E107" s="717"/>
      <c r="F107" s="152">
        <f t="shared" si="16"/>
        <v>0</v>
      </c>
      <c r="G107" s="717"/>
      <c r="H107" s="153">
        <f t="shared" si="17"/>
        <v>0</v>
      </c>
      <c r="I107" s="154">
        <f t="shared" si="18"/>
        <v>0</v>
      </c>
      <c r="J107" s="717"/>
      <c r="K107" s="153">
        <f t="shared" si="19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Mitarbeiterverteilung!BG93</f>
        <v>0</v>
      </c>
      <c r="D108" s="151">
        <f t="shared" si="15"/>
        <v>0</v>
      </c>
      <c r="E108" s="717"/>
      <c r="F108" s="152">
        <f t="shared" si="16"/>
        <v>0</v>
      </c>
      <c r="G108" s="717"/>
      <c r="H108" s="153">
        <f t="shared" si="17"/>
        <v>0</v>
      </c>
      <c r="I108" s="154">
        <f t="shared" si="18"/>
        <v>0</v>
      </c>
      <c r="J108" s="717"/>
      <c r="K108" s="153">
        <f t="shared" si="19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Mitarbeiterverteilung!BG94</f>
        <v>0</v>
      </c>
      <c r="D109" s="151">
        <f t="shared" si="15"/>
        <v>0</v>
      </c>
      <c r="E109" s="717"/>
      <c r="F109" s="152">
        <f t="shared" si="16"/>
        <v>0</v>
      </c>
      <c r="G109" s="717"/>
      <c r="H109" s="153">
        <f t="shared" si="17"/>
        <v>0</v>
      </c>
      <c r="I109" s="154">
        <f t="shared" si="18"/>
        <v>0</v>
      </c>
      <c r="J109" s="717"/>
      <c r="K109" s="153">
        <f t="shared" si="19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Mitarbeiterverteilung!BG95</f>
        <v>0</v>
      </c>
      <c r="D110" s="151">
        <f t="shared" si="15"/>
        <v>0</v>
      </c>
      <c r="E110" s="717"/>
      <c r="F110" s="152">
        <f t="shared" si="16"/>
        <v>0</v>
      </c>
      <c r="G110" s="717"/>
      <c r="H110" s="153">
        <f t="shared" si="17"/>
        <v>0</v>
      </c>
      <c r="I110" s="154">
        <f t="shared" si="18"/>
        <v>0</v>
      </c>
      <c r="J110" s="717"/>
      <c r="K110" s="153">
        <f t="shared" si="19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Mitarbeiterverteilung!BG96</f>
        <v>0</v>
      </c>
      <c r="D111" s="151">
        <f t="shared" si="15"/>
        <v>0</v>
      </c>
      <c r="E111" s="717"/>
      <c r="F111" s="152">
        <f t="shared" si="16"/>
        <v>0</v>
      </c>
      <c r="G111" s="717"/>
      <c r="H111" s="153">
        <f t="shared" si="17"/>
        <v>0</v>
      </c>
      <c r="I111" s="154">
        <f t="shared" si="18"/>
        <v>0</v>
      </c>
      <c r="J111" s="717"/>
      <c r="K111" s="153">
        <f t="shared" si="19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Mitarbeiterverteilung!BG97</f>
        <v>0</v>
      </c>
      <c r="D112" s="151">
        <f t="shared" si="15"/>
        <v>0</v>
      </c>
      <c r="E112" s="717"/>
      <c r="F112" s="152">
        <f t="shared" si="16"/>
        <v>0</v>
      </c>
      <c r="G112" s="717"/>
      <c r="H112" s="153">
        <f t="shared" si="17"/>
        <v>0</v>
      </c>
      <c r="I112" s="154">
        <f t="shared" si="18"/>
        <v>0</v>
      </c>
      <c r="J112" s="717"/>
      <c r="K112" s="153">
        <f t="shared" si="19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Mitarbeiterverteilung!BG98</f>
        <v>0</v>
      </c>
      <c r="D113" s="151">
        <f t="shared" si="15"/>
        <v>0</v>
      </c>
      <c r="E113" s="717"/>
      <c r="F113" s="152">
        <f t="shared" si="16"/>
        <v>0</v>
      </c>
      <c r="G113" s="717"/>
      <c r="H113" s="153">
        <f t="shared" si="17"/>
        <v>0</v>
      </c>
      <c r="I113" s="154">
        <f t="shared" si="18"/>
        <v>0</v>
      </c>
      <c r="J113" s="717"/>
      <c r="K113" s="153">
        <f t="shared" si="19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Mitarbeiterverteilung!BG99</f>
        <v>0</v>
      </c>
      <c r="D114" s="151">
        <f t="shared" si="15"/>
        <v>0</v>
      </c>
      <c r="E114" s="717"/>
      <c r="F114" s="152">
        <f t="shared" si="16"/>
        <v>0</v>
      </c>
      <c r="G114" s="717"/>
      <c r="H114" s="153">
        <f t="shared" si="17"/>
        <v>0</v>
      </c>
      <c r="I114" s="154">
        <f t="shared" si="18"/>
        <v>0</v>
      </c>
      <c r="J114" s="717"/>
      <c r="K114" s="153">
        <f t="shared" si="19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Mitarbeiterverteilung!BG100</f>
        <v>0</v>
      </c>
      <c r="D115" s="151">
        <f t="shared" si="15"/>
        <v>0</v>
      </c>
      <c r="E115" s="717"/>
      <c r="F115" s="152">
        <f t="shared" si="16"/>
        <v>0</v>
      </c>
      <c r="G115" s="717"/>
      <c r="H115" s="153">
        <f t="shared" si="17"/>
        <v>0</v>
      </c>
      <c r="I115" s="154">
        <f t="shared" si="18"/>
        <v>0</v>
      </c>
      <c r="J115" s="717"/>
      <c r="K115" s="153">
        <f t="shared" si="19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Mitarbeiterverteilung!BG101</f>
        <v>0</v>
      </c>
      <c r="D116" s="151">
        <f t="shared" si="15"/>
        <v>0</v>
      </c>
      <c r="E116" s="717"/>
      <c r="F116" s="152">
        <f t="shared" si="16"/>
        <v>0</v>
      </c>
      <c r="G116" s="717"/>
      <c r="H116" s="153">
        <f t="shared" si="17"/>
        <v>0</v>
      </c>
      <c r="I116" s="154">
        <f t="shared" si="18"/>
        <v>0</v>
      </c>
      <c r="J116" s="717"/>
      <c r="K116" s="153">
        <f t="shared" si="19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Mitarbeiterverteilung!BG102</f>
        <v>0</v>
      </c>
      <c r="D117" s="151">
        <f t="shared" si="15"/>
        <v>0</v>
      </c>
      <c r="E117" s="717"/>
      <c r="F117" s="152">
        <f t="shared" si="16"/>
        <v>0</v>
      </c>
      <c r="G117" s="717"/>
      <c r="H117" s="153">
        <f t="shared" si="17"/>
        <v>0</v>
      </c>
      <c r="I117" s="154">
        <f t="shared" si="18"/>
        <v>0</v>
      </c>
      <c r="J117" s="717"/>
      <c r="K117" s="153">
        <f t="shared" si="19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Mitarbeiterverteilung!BG103</f>
        <v>0</v>
      </c>
      <c r="D118" s="151">
        <f t="shared" si="15"/>
        <v>0</v>
      </c>
      <c r="E118" s="717"/>
      <c r="F118" s="152">
        <f t="shared" si="16"/>
        <v>0</v>
      </c>
      <c r="G118" s="717"/>
      <c r="H118" s="153">
        <f t="shared" si="17"/>
        <v>0</v>
      </c>
      <c r="I118" s="154">
        <f t="shared" si="18"/>
        <v>0</v>
      </c>
      <c r="J118" s="717"/>
      <c r="K118" s="153">
        <f t="shared" si="19"/>
        <v>0</v>
      </c>
      <c r="L118" s="85"/>
    </row>
    <row r="119" spans="1:12" hidden="1" outlineLevel="1" x14ac:dyDescent="0.2">
      <c r="B119" s="161" t="str">
        <f>Mitarbeiterverteilung!A104</f>
        <v/>
      </c>
      <c r="C119" s="150">
        <f>Mitarbeiterverteilung!BG104</f>
        <v>0</v>
      </c>
      <c r="D119" s="151">
        <f t="shared" si="15"/>
        <v>0</v>
      </c>
      <c r="E119" s="717"/>
      <c r="F119" s="152">
        <f t="shared" si="16"/>
        <v>0</v>
      </c>
      <c r="G119" s="717"/>
      <c r="H119" s="153">
        <f t="shared" si="17"/>
        <v>0</v>
      </c>
      <c r="I119" s="154">
        <f t="shared" si="18"/>
        <v>0</v>
      </c>
      <c r="J119" s="717"/>
      <c r="K119" s="153">
        <f t="shared" si="19"/>
        <v>0</v>
      </c>
      <c r="L119" s="85"/>
    </row>
    <row r="120" spans="1:12" hidden="1" outlineLevel="1" x14ac:dyDescent="0.2">
      <c r="B120" s="161" t="str">
        <f>Mitarbeiterverteilung!A105</f>
        <v/>
      </c>
      <c r="C120" s="150">
        <f>Mitarbeiterverteilung!BG105</f>
        <v>0</v>
      </c>
      <c r="D120" s="151">
        <f t="shared" si="15"/>
        <v>0</v>
      </c>
      <c r="E120" s="717"/>
      <c r="F120" s="152">
        <f t="shared" si="16"/>
        <v>0</v>
      </c>
      <c r="G120" s="717"/>
      <c r="H120" s="153">
        <f t="shared" si="17"/>
        <v>0</v>
      </c>
      <c r="I120" s="154">
        <f t="shared" si="18"/>
        <v>0</v>
      </c>
      <c r="J120" s="717"/>
      <c r="K120" s="153">
        <f t="shared" si="19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Mitarbeiterverteilung!BG106</f>
        <v>0</v>
      </c>
      <c r="D121" s="156">
        <f t="shared" si="15"/>
        <v>0</v>
      </c>
      <c r="E121" s="718"/>
      <c r="F121" s="157">
        <f t="shared" si="16"/>
        <v>0</v>
      </c>
      <c r="G121" s="718"/>
      <c r="H121" s="158">
        <f t="shared" si="17"/>
        <v>0</v>
      </c>
      <c r="I121" s="159">
        <f t="shared" si="18"/>
        <v>0</v>
      </c>
      <c r="J121" s="718"/>
      <c r="K121" s="158">
        <f t="shared" si="19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+Kostenverteilung!U25</f>
        <v>0</v>
      </c>
      <c r="G125" s="89" t="s">
        <v>519</v>
      </c>
      <c r="I125" s="112">
        <f>Mitarbeiterverteilung!Z107</f>
        <v>0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Mitarbeiterverteilung!AK107</f>
        <v>0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0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0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0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0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L152" s="85"/>
    </row>
    <row r="153" spans="2:12" x14ac:dyDescent="0.2">
      <c r="L153" s="85"/>
    </row>
  </sheetData>
  <pageMargins left="0.7" right="0.7" top="0.78740157499999996" bottom="0.78740157499999996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2">
    <tabColor theme="0" tint="-0.249977111117893"/>
  </sheetPr>
  <dimension ref="A1:L153"/>
  <sheetViews>
    <sheetView showGridLines="0" workbookViewId="0">
      <pane xSplit="3" ySplit="3" topLeftCell="D4" activePane="bottomRight" state="frozen"/>
      <selection activeCell="D4" sqref="D4"/>
      <selection pane="topRight" activeCell="D4" sqref="D4"/>
      <selection pane="bottomLeft" activeCell="D4" sqref="D4"/>
      <selection pane="bottomRight" activeCell="D4" sqref="D4"/>
    </sheetView>
  </sheetViews>
  <sheetFormatPr baseColWidth="10" defaultRowHeight="12.75" outlineLevelRow="1" outlineLevelCol="1" x14ac:dyDescent="0.2"/>
  <cols>
    <col min="1" max="1" width="3.5703125" style="85" customWidth="1"/>
    <col min="2" max="2" width="34.5703125" style="3" bestFit="1" customWidth="1"/>
    <col min="3" max="3" width="10.7109375" style="3" customWidth="1"/>
    <col min="4" max="4" width="10.7109375" style="3" customWidth="1" outlineLevel="1"/>
    <col min="5" max="5" width="12.140625" style="3" bestFit="1" customWidth="1" outlineLevel="1"/>
    <col min="6" max="6" width="10.7109375" style="4" customWidth="1"/>
    <col min="7" max="8" width="10.7109375" style="4" customWidth="1" outlineLevel="1"/>
    <col min="9" max="9" width="10.7109375" style="4" customWidth="1"/>
    <col min="10" max="11" width="10.7109375" style="4" customWidth="1" outlineLevel="1"/>
  </cols>
  <sheetData>
    <row r="1" spans="2:12" s="85" customFormat="1" x14ac:dyDescent="0.2">
      <c r="B1" s="759" t="str">
        <f>Kostenverteilung!X2</f>
        <v>PC-7</v>
      </c>
    </row>
    <row r="2" spans="2:12" s="85" customFormat="1" x14ac:dyDescent="0.2"/>
    <row r="3" spans="2:12" x14ac:dyDescent="0.2">
      <c r="B3" s="720" t="s">
        <v>1</v>
      </c>
      <c r="C3" s="721" t="s">
        <v>509</v>
      </c>
      <c r="D3" s="721" t="s">
        <v>119</v>
      </c>
      <c r="E3" s="721" t="s">
        <v>510</v>
      </c>
      <c r="F3" s="722" t="s">
        <v>511</v>
      </c>
      <c r="G3" s="721" t="s">
        <v>512</v>
      </c>
      <c r="H3" s="721" t="s">
        <v>513</v>
      </c>
      <c r="I3" s="722" t="s">
        <v>514</v>
      </c>
      <c r="J3" s="721" t="s">
        <v>512</v>
      </c>
      <c r="K3" s="721" t="s">
        <v>513</v>
      </c>
      <c r="L3" s="85"/>
    </row>
    <row r="4" spans="2:12" x14ac:dyDescent="0.2">
      <c r="B4" s="115" t="str">
        <f>+Kostenverteilung!B4</f>
        <v>Raumkosten</v>
      </c>
      <c r="C4" s="117">
        <f>+Kostenverteilung!X4</f>
        <v>0</v>
      </c>
      <c r="D4" s="113">
        <f>F4+I4-C4</f>
        <v>0</v>
      </c>
      <c r="E4" s="755">
        <f>Kostenverteilung!E4</f>
        <v>100</v>
      </c>
      <c r="F4" s="14">
        <f>C4*H4</f>
        <v>0</v>
      </c>
      <c r="G4" s="712"/>
      <c r="H4" s="106">
        <f t="shared" ref="H4:H15" si="0">IF(E4=0,0,G4/$E4)</f>
        <v>0</v>
      </c>
      <c r="I4" s="14">
        <f>C4*K4</f>
        <v>0</v>
      </c>
      <c r="J4" s="712"/>
      <c r="K4" s="106">
        <f t="shared" ref="K4:K15" si="1">IF(E4=0,0,J4/$E4)</f>
        <v>0</v>
      </c>
      <c r="L4" s="85"/>
    </row>
    <row r="5" spans="2:12" x14ac:dyDescent="0.2">
      <c r="B5" s="98" t="str">
        <f>+Kostenverteilung!B5</f>
        <v>Werbung</v>
      </c>
      <c r="C5" s="105">
        <f>+Kostenverteilung!X5</f>
        <v>0</v>
      </c>
      <c r="D5" s="113">
        <f t="shared" ref="D5:D14" si="2">F5+I5-C5</f>
        <v>0</v>
      </c>
      <c r="E5" s="755">
        <f>Kostenverteilung!E5</f>
        <v>100</v>
      </c>
      <c r="F5" s="14">
        <f>C5*H5</f>
        <v>0</v>
      </c>
      <c r="G5" s="712"/>
      <c r="H5" s="106">
        <f t="shared" si="0"/>
        <v>0</v>
      </c>
      <c r="I5" s="14">
        <f t="shared" ref="I5:I18" si="3">C5*K5</f>
        <v>0</v>
      </c>
      <c r="J5" s="712"/>
      <c r="K5" s="106">
        <f t="shared" si="1"/>
        <v>0</v>
      </c>
      <c r="L5" s="85"/>
    </row>
    <row r="6" spans="2:12" x14ac:dyDescent="0.2">
      <c r="B6" s="97" t="str">
        <f>+Kostenverteilung!B6</f>
        <v>KFZ-Kosten (inkl. Steuer)</v>
      </c>
      <c r="C6" s="105">
        <f>+Kostenverteilung!X6</f>
        <v>0</v>
      </c>
      <c r="D6" s="113">
        <f t="shared" si="2"/>
        <v>0</v>
      </c>
      <c r="E6" s="755">
        <f>Kostenverteilung!E6</f>
        <v>100</v>
      </c>
      <c r="F6" s="14">
        <f>C6*H6</f>
        <v>0</v>
      </c>
      <c r="G6" s="712"/>
      <c r="H6" s="106">
        <f t="shared" si="0"/>
        <v>0</v>
      </c>
      <c r="I6" s="14">
        <f t="shared" si="3"/>
        <v>0</v>
      </c>
      <c r="J6" s="712"/>
      <c r="K6" s="106">
        <f t="shared" si="1"/>
        <v>0</v>
      </c>
      <c r="L6" s="85"/>
    </row>
    <row r="7" spans="2:12" x14ac:dyDescent="0.2">
      <c r="B7" s="98" t="str">
        <f>+Kostenverteilung!B7</f>
        <v>Reisekosten</v>
      </c>
      <c r="C7" s="105">
        <f>+Kostenverteilung!X7</f>
        <v>0</v>
      </c>
      <c r="D7" s="113">
        <f t="shared" si="2"/>
        <v>0</v>
      </c>
      <c r="E7" s="755">
        <f>Kostenverteilung!E7</f>
        <v>100</v>
      </c>
      <c r="F7" s="14">
        <f t="shared" ref="F7:F15" si="4">C7*H7</f>
        <v>0</v>
      </c>
      <c r="G7" s="712"/>
      <c r="H7" s="106">
        <f t="shared" si="0"/>
        <v>0</v>
      </c>
      <c r="I7" s="14">
        <f t="shared" si="3"/>
        <v>0</v>
      </c>
      <c r="J7" s="712"/>
      <c r="K7" s="106">
        <f t="shared" si="1"/>
        <v>0</v>
      </c>
      <c r="L7" s="85"/>
    </row>
    <row r="8" spans="2:12" x14ac:dyDescent="0.2">
      <c r="B8" s="97" t="str">
        <f>+Kostenverteilung!B8</f>
        <v>Telefon, Fax, Internet</v>
      </c>
      <c r="C8" s="105">
        <f>+Kostenverteilung!X8</f>
        <v>0</v>
      </c>
      <c r="D8" s="113">
        <f t="shared" si="2"/>
        <v>0</v>
      </c>
      <c r="E8" s="755">
        <f>Kostenverteilung!E8</f>
        <v>100</v>
      </c>
      <c r="F8" s="14">
        <f t="shared" si="4"/>
        <v>0</v>
      </c>
      <c r="G8" s="712"/>
      <c r="H8" s="106">
        <f t="shared" si="0"/>
        <v>0</v>
      </c>
      <c r="I8" s="14">
        <f t="shared" si="3"/>
        <v>0</v>
      </c>
      <c r="J8" s="712"/>
      <c r="K8" s="106">
        <f t="shared" si="1"/>
        <v>0</v>
      </c>
      <c r="L8" s="85"/>
    </row>
    <row r="9" spans="2:12" x14ac:dyDescent="0.2">
      <c r="B9" s="98" t="str">
        <f>+Kostenverteilung!B9</f>
        <v>Versicherungen und Beiträge</v>
      </c>
      <c r="C9" s="105">
        <f>+Kostenverteilung!X9</f>
        <v>0</v>
      </c>
      <c r="D9" s="113">
        <f t="shared" si="2"/>
        <v>0</v>
      </c>
      <c r="E9" s="755">
        <f>Kostenverteilung!E9</f>
        <v>100</v>
      </c>
      <c r="F9" s="14">
        <f t="shared" si="4"/>
        <v>0</v>
      </c>
      <c r="G9" s="712"/>
      <c r="H9" s="106">
        <f t="shared" si="0"/>
        <v>0</v>
      </c>
      <c r="I9" s="14">
        <f t="shared" si="3"/>
        <v>0</v>
      </c>
      <c r="J9" s="712"/>
      <c r="K9" s="106">
        <f t="shared" si="1"/>
        <v>0</v>
      </c>
      <c r="L9" s="85"/>
    </row>
    <row r="10" spans="2:12" x14ac:dyDescent="0.2">
      <c r="B10" s="97" t="str">
        <f>+Kostenverteilung!B10</f>
        <v>Leasing</v>
      </c>
      <c r="C10" s="105">
        <f>+Kostenverteilung!X10</f>
        <v>0</v>
      </c>
      <c r="D10" s="113">
        <f t="shared" si="2"/>
        <v>0</v>
      </c>
      <c r="E10" s="755">
        <f>Kostenverteilung!E10</f>
        <v>100</v>
      </c>
      <c r="F10" s="14">
        <f t="shared" si="4"/>
        <v>0</v>
      </c>
      <c r="G10" s="712"/>
      <c r="H10" s="106">
        <f t="shared" si="0"/>
        <v>0</v>
      </c>
      <c r="I10" s="14">
        <f t="shared" si="3"/>
        <v>0</v>
      </c>
      <c r="J10" s="712"/>
      <c r="K10" s="106">
        <f t="shared" si="1"/>
        <v>0</v>
      </c>
      <c r="L10" s="85"/>
    </row>
    <row r="11" spans="2:12" x14ac:dyDescent="0.2">
      <c r="B11" s="98" t="str">
        <f>+Kostenverteilung!B11</f>
        <v>Buchführungs- / Beratungs- / Fortbildungskosten</v>
      </c>
      <c r="C11" s="105">
        <f>+Kostenverteilung!X11</f>
        <v>0</v>
      </c>
      <c r="D11" s="113">
        <f t="shared" si="2"/>
        <v>0</v>
      </c>
      <c r="E11" s="755">
        <f>Kostenverteilung!E11</f>
        <v>100</v>
      </c>
      <c r="F11" s="14">
        <f t="shared" si="4"/>
        <v>0</v>
      </c>
      <c r="G11" s="712"/>
      <c r="H11" s="106">
        <f t="shared" si="0"/>
        <v>0</v>
      </c>
      <c r="I11" s="14">
        <f t="shared" si="3"/>
        <v>0</v>
      </c>
      <c r="J11" s="712"/>
      <c r="K11" s="106">
        <f t="shared" si="1"/>
        <v>0</v>
      </c>
      <c r="L11" s="85"/>
    </row>
    <row r="12" spans="2:12" x14ac:dyDescent="0.2">
      <c r="B12" s="97" t="str">
        <f>+Kostenverteilung!B12</f>
        <v>Sonstige Kosten</v>
      </c>
      <c r="C12" s="105">
        <f>+Kostenverteilung!X12</f>
        <v>0</v>
      </c>
      <c r="D12" s="113">
        <f t="shared" si="2"/>
        <v>0</v>
      </c>
      <c r="E12" s="755">
        <f>Kostenverteilung!E12</f>
        <v>100</v>
      </c>
      <c r="F12" s="14">
        <f>C12*H12</f>
        <v>0</v>
      </c>
      <c r="G12" s="712"/>
      <c r="H12" s="106">
        <f t="shared" si="0"/>
        <v>0</v>
      </c>
      <c r="I12" s="14">
        <f t="shared" si="3"/>
        <v>0</v>
      </c>
      <c r="J12" s="712"/>
      <c r="K12" s="106">
        <f t="shared" si="1"/>
        <v>0</v>
      </c>
      <c r="L12" s="85"/>
    </row>
    <row r="13" spans="2:12" x14ac:dyDescent="0.2">
      <c r="B13" s="97" t="str">
        <f>+Kostenverteilung!B13</f>
        <v>Wartungen und Instandhaltungen</v>
      </c>
      <c r="C13" s="105">
        <f>+Kostenverteilung!X13</f>
        <v>0</v>
      </c>
      <c r="D13" s="113">
        <f>F13+I13-C13</f>
        <v>0</v>
      </c>
      <c r="E13" s="755">
        <f>Kostenverteilung!E13</f>
        <v>100</v>
      </c>
      <c r="F13" s="14">
        <f>C13*H13</f>
        <v>0</v>
      </c>
      <c r="G13" s="712"/>
      <c r="H13" s="106">
        <f>IF(E13=0,0,G13/$E13)</f>
        <v>0</v>
      </c>
      <c r="I13" s="14">
        <f>C13*K13</f>
        <v>0</v>
      </c>
      <c r="J13" s="712"/>
      <c r="K13" s="106">
        <f>IF(E13=0,0,J13/$E13)</f>
        <v>0</v>
      </c>
      <c r="L13" s="85"/>
    </row>
    <row r="14" spans="2:12" x14ac:dyDescent="0.2">
      <c r="B14" s="98" t="str">
        <f>+Kostenverteilung!B14</f>
        <v>Abraum- / Abfallbeseitigung</v>
      </c>
      <c r="C14" s="105">
        <f>+Kostenverteilung!X14</f>
        <v>0</v>
      </c>
      <c r="D14" s="113">
        <f t="shared" si="2"/>
        <v>0</v>
      </c>
      <c r="E14" s="755">
        <f>Kostenverteilung!E14</f>
        <v>100</v>
      </c>
      <c r="F14" s="14">
        <f t="shared" si="4"/>
        <v>0</v>
      </c>
      <c r="G14" s="712"/>
      <c r="H14" s="106">
        <f t="shared" si="0"/>
        <v>0</v>
      </c>
      <c r="I14" s="14">
        <f t="shared" si="3"/>
        <v>0</v>
      </c>
      <c r="J14" s="712"/>
      <c r="K14" s="106">
        <f t="shared" si="1"/>
        <v>0</v>
      </c>
      <c r="L14" s="85"/>
    </row>
    <row r="15" spans="2:12" x14ac:dyDescent="0.2">
      <c r="B15" s="116" t="str">
        <f>+Kostenverteilung!B15</f>
        <v>Abschreibungen</v>
      </c>
      <c r="C15" s="107">
        <f>+Kostenverteilung!X15</f>
        <v>0</v>
      </c>
      <c r="D15" s="114">
        <f>F15+I15-C15</f>
        <v>0</v>
      </c>
      <c r="E15" s="756">
        <f>Kostenverteilung!E15</f>
        <v>100</v>
      </c>
      <c r="F15" s="15">
        <f t="shared" si="4"/>
        <v>0</v>
      </c>
      <c r="G15" s="713"/>
      <c r="H15" s="108">
        <f t="shared" si="0"/>
        <v>0</v>
      </c>
      <c r="I15" s="15">
        <f t="shared" si="3"/>
        <v>0</v>
      </c>
      <c r="J15" s="713"/>
      <c r="K15" s="108">
        <f t="shared" si="1"/>
        <v>0</v>
      </c>
      <c r="L15" s="85"/>
    </row>
    <row r="16" spans="2:12" x14ac:dyDescent="0.2">
      <c r="B16" s="4"/>
      <c r="C16" s="4"/>
      <c r="D16" s="4"/>
      <c r="E16" s="4"/>
      <c r="H16" s="31"/>
      <c r="K16" s="31"/>
      <c r="L16" s="85"/>
    </row>
    <row r="17" spans="1:12" x14ac:dyDescent="0.2">
      <c r="B17" s="163" t="str">
        <f>+Kostenverteilung!B17</f>
        <v>Kapitaldienst</v>
      </c>
      <c r="C17" s="147">
        <f>+Kostenverteilung!X17</f>
        <v>0</v>
      </c>
      <c r="D17" s="146">
        <f t="shared" ref="D17:D18" si="5">F17+I17-C17</f>
        <v>0</v>
      </c>
      <c r="E17" s="757">
        <f>Kostenverteilung!E17</f>
        <v>100</v>
      </c>
      <c r="F17" s="147">
        <f>C17*H17</f>
        <v>0</v>
      </c>
      <c r="G17" s="714"/>
      <c r="H17" s="164">
        <f>IF(E17=0,0,G17/$E17)</f>
        <v>0</v>
      </c>
      <c r="I17" s="147">
        <f t="shared" si="3"/>
        <v>0</v>
      </c>
      <c r="J17" s="714"/>
      <c r="K17" s="164">
        <f>IF(E17=0,0,J17/$E17)</f>
        <v>0</v>
      </c>
      <c r="L17" s="85"/>
    </row>
    <row r="18" spans="1:12" x14ac:dyDescent="0.2">
      <c r="B18" s="165" t="str">
        <f>+Kostenverteilung!B18</f>
        <v>Rücklagen / Gewinn</v>
      </c>
      <c r="C18" s="157">
        <f>+Kostenverteilung!X18</f>
        <v>0</v>
      </c>
      <c r="D18" s="156">
        <f t="shared" si="5"/>
        <v>0</v>
      </c>
      <c r="E18" s="758">
        <f>Kostenverteilung!E18</f>
        <v>0</v>
      </c>
      <c r="F18" s="157">
        <f>C18*H18</f>
        <v>0</v>
      </c>
      <c r="G18" s="715"/>
      <c r="H18" s="166">
        <f>IF(E18=0,0,G18/$E18)</f>
        <v>0</v>
      </c>
      <c r="I18" s="157">
        <f t="shared" si="3"/>
        <v>0</v>
      </c>
      <c r="J18" s="715"/>
      <c r="K18" s="166">
        <f>IF(E18=0,0,J18/$E18)</f>
        <v>0</v>
      </c>
      <c r="L18" s="85"/>
    </row>
    <row r="19" spans="1:12" x14ac:dyDescent="0.2">
      <c r="B19" s="4"/>
      <c r="C19" s="4"/>
      <c r="D19" s="4"/>
      <c r="E19" s="4"/>
      <c r="L19" s="85"/>
    </row>
    <row r="20" spans="1:12" s="142" customFormat="1" x14ac:dyDescent="0.2">
      <c r="A20" s="90"/>
      <c r="B20" s="90" t="s">
        <v>515</v>
      </c>
      <c r="C20" s="144"/>
      <c r="D20" s="144"/>
      <c r="E20" s="144"/>
      <c r="F20" s="90"/>
      <c r="G20" s="144"/>
      <c r="H20" s="90"/>
      <c r="I20" s="90"/>
      <c r="J20" s="144"/>
      <c r="K20" s="90"/>
      <c r="L20" s="90"/>
    </row>
    <row r="21" spans="1:12" x14ac:dyDescent="0.2">
      <c r="B21" s="160" t="str">
        <f>Mitarbeiterverteilung!A6</f>
        <v>Maxdivers Mustermann</v>
      </c>
      <c r="C21" s="145">
        <f>Mitarbeiterverteilung!BH6</f>
        <v>0</v>
      </c>
      <c r="D21" s="146">
        <f t="shared" ref="D21:D22" si="6">F21+I21-C21</f>
        <v>0</v>
      </c>
      <c r="E21" s="716"/>
      <c r="F21" s="147">
        <f>C21*H21</f>
        <v>0</v>
      </c>
      <c r="G21" s="716"/>
      <c r="H21" s="148">
        <f t="shared" ref="H21:H22" si="7">IF(E21=0,0,G21/$E21)</f>
        <v>0</v>
      </c>
      <c r="I21" s="149">
        <f t="shared" ref="I21:I22" si="8">C21*K21</f>
        <v>0</v>
      </c>
      <c r="J21" s="716"/>
      <c r="K21" s="148">
        <f t="shared" ref="K21:K22" si="9">IF(E21=0,0,J21/$E21)</f>
        <v>0</v>
      </c>
      <c r="L21" s="85"/>
    </row>
    <row r="22" spans="1:12" x14ac:dyDescent="0.2">
      <c r="B22" s="161" t="str">
        <f>Mitarbeiterverteilung!A7</f>
        <v>Egon Kaufmann</v>
      </c>
      <c r="C22" s="150">
        <f>Mitarbeiterverteilung!BH7</f>
        <v>0</v>
      </c>
      <c r="D22" s="151">
        <f t="shared" si="6"/>
        <v>0</v>
      </c>
      <c r="E22" s="717"/>
      <c r="F22" s="152">
        <f>C22*H22</f>
        <v>0</v>
      </c>
      <c r="G22" s="717"/>
      <c r="H22" s="153">
        <f t="shared" si="7"/>
        <v>0</v>
      </c>
      <c r="I22" s="154">
        <f t="shared" si="8"/>
        <v>0</v>
      </c>
      <c r="J22" s="717"/>
      <c r="K22" s="153">
        <f t="shared" si="9"/>
        <v>0</v>
      </c>
      <c r="L22" s="85"/>
    </row>
    <row r="23" spans="1:12" x14ac:dyDescent="0.2">
      <c r="B23" s="161" t="str">
        <f>Mitarbeiterverteilung!A8</f>
        <v>Walter Meister</v>
      </c>
      <c r="C23" s="150">
        <f>Mitarbeiterverteilung!BH8</f>
        <v>0</v>
      </c>
      <c r="D23" s="151">
        <f t="shared" ref="D23:D57" si="10">F23+I23-C23</f>
        <v>0</v>
      </c>
      <c r="E23" s="717"/>
      <c r="F23" s="152">
        <f t="shared" ref="F23:F57" si="11">C23*H23</f>
        <v>0</v>
      </c>
      <c r="G23" s="717"/>
      <c r="H23" s="153">
        <f t="shared" ref="H23:H57" si="12">IF(E23=0,0,G23/$E23)</f>
        <v>0</v>
      </c>
      <c r="I23" s="154">
        <f t="shared" ref="I23:I57" si="13">C23*K23</f>
        <v>0</v>
      </c>
      <c r="J23" s="717"/>
      <c r="K23" s="153">
        <f t="shared" ref="K23:K57" si="14">IF(E23=0,0,J23/$E23)</f>
        <v>0</v>
      </c>
      <c r="L23" s="85"/>
    </row>
    <row r="24" spans="1:12" x14ac:dyDescent="0.2">
      <c r="B24" s="161" t="str">
        <f>Mitarbeiterverteilung!A9</f>
        <v>Tom in Technik</v>
      </c>
      <c r="C24" s="150">
        <f>Mitarbeiterverteilung!BH9</f>
        <v>0</v>
      </c>
      <c r="D24" s="151">
        <f t="shared" si="10"/>
        <v>0</v>
      </c>
      <c r="E24" s="717"/>
      <c r="F24" s="152">
        <f t="shared" si="11"/>
        <v>0</v>
      </c>
      <c r="G24" s="717"/>
      <c r="H24" s="153">
        <f t="shared" si="12"/>
        <v>0</v>
      </c>
      <c r="I24" s="154">
        <f t="shared" si="13"/>
        <v>0</v>
      </c>
      <c r="J24" s="717"/>
      <c r="K24" s="153">
        <f t="shared" si="14"/>
        <v>0</v>
      </c>
      <c r="L24" s="85"/>
    </row>
    <row r="25" spans="1:12" x14ac:dyDescent="0.2">
      <c r="B25" s="161" t="str">
        <f>Mitarbeiterverteilung!A10</f>
        <v>Lola Rennt</v>
      </c>
      <c r="C25" s="150">
        <f>Mitarbeiterverteilung!BH10</f>
        <v>0</v>
      </c>
      <c r="D25" s="151">
        <f t="shared" si="10"/>
        <v>0</v>
      </c>
      <c r="E25" s="717"/>
      <c r="F25" s="152">
        <f t="shared" si="11"/>
        <v>0</v>
      </c>
      <c r="G25" s="717"/>
      <c r="H25" s="153">
        <f t="shared" si="12"/>
        <v>0</v>
      </c>
      <c r="I25" s="154">
        <f t="shared" si="13"/>
        <v>0</v>
      </c>
      <c r="J25" s="717"/>
      <c r="K25" s="153">
        <f t="shared" si="14"/>
        <v>0</v>
      </c>
      <c r="L25" s="85"/>
    </row>
    <row r="26" spans="1:12" x14ac:dyDescent="0.2">
      <c r="B26" s="161" t="str">
        <f>Mitarbeiterverteilung!A11</f>
        <v>Bier Lager</v>
      </c>
      <c r="C26" s="150">
        <f>Mitarbeiterverteilung!BH11</f>
        <v>0</v>
      </c>
      <c r="D26" s="151">
        <f t="shared" si="10"/>
        <v>0</v>
      </c>
      <c r="E26" s="717"/>
      <c r="F26" s="152">
        <f t="shared" si="11"/>
        <v>0</v>
      </c>
      <c r="G26" s="717"/>
      <c r="H26" s="153">
        <f t="shared" si="12"/>
        <v>0</v>
      </c>
      <c r="I26" s="154">
        <f t="shared" si="13"/>
        <v>0</v>
      </c>
      <c r="J26" s="717"/>
      <c r="K26" s="153">
        <f t="shared" si="14"/>
        <v>0</v>
      </c>
      <c r="L26" s="85"/>
    </row>
    <row r="27" spans="1:12" x14ac:dyDescent="0.2">
      <c r="B27" s="161" t="str">
        <f>Mitarbeiterverteilung!A12</f>
        <v>Heinrich vor Arbeit</v>
      </c>
      <c r="C27" s="150">
        <f>Mitarbeiterverteilung!BH12</f>
        <v>0</v>
      </c>
      <c r="D27" s="151">
        <f t="shared" si="10"/>
        <v>0</v>
      </c>
      <c r="E27" s="717"/>
      <c r="F27" s="152">
        <f t="shared" si="11"/>
        <v>0</v>
      </c>
      <c r="G27" s="717"/>
      <c r="H27" s="153">
        <f t="shared" si="12"/>
        <v>0</v>
      </c>
      <c r="I27" s="154">
        <f t="shared" si="13"/>
        <v>0</v>
      </c>
      <c r="J27" s="717"/>
      <c r="K27" s="153">
        <f t="shared" si="14"/>
        <v>0</v>
      </c>
      <c r="L27" s="85"/>
    </row>
    <row r="28" spans="1:12" x14ac:dyDescent="0.2">
      <c r="B28" s="161" t="str">
        <f>Mitarbeiterverteilung!A13</f>
        <v>Voller Geselle</v>
      </c>
      <c r="C28" s="150">
        <f>Mitarbeiterverteilung!BH13</f>
        <v>0</v>
      </c>
      <c r="D28" s="151">
        <f t="shared" si="10"/>
        <v>0</v>
      </c>
      <c r="E28" s="717"/>
      <c r="F28" s="152">
        <f t="shared" si="11"/>
        <v>0</v>
      </c>
      <c r="G28" s="717"/>
      <c r="H28" s="153">
        <f t="shared" si="12"/>
        <v>0</v>
      </c>
      <c r="I28" s="154">
        <f t="shared" si="13"/>
        <v>0</v>
      </c>
      <c r="J28" s="717"/>
      <c r="K28" s="153">
        <f t="shared" si="14"/>
        <v>0</v>
      </c>
      <c r="L28" s="85"/>
    </row>
    <row r="29" spans="1:12" hidden="1" outlineLevel="1" x14ac:dyDescent="0.2">
      <c r="B29" s="161" t="str">
        <f>Mitarbeiterverteilung!A14</f>
        <v>Thomas Fleißig</v>
      </c>
      <c r="C29" s="150">
        <f>Mitarbeiterverteilung!BH14</f>
        <v>0</v>
      </c>
      <c r="D29" s="151">
        <f t="shared" si="10"/>
        <v>0</v>
      </c>
      <c r="E29" s="717"/>
      <c r="F29" s="152">
        <f t="shared" si="11"/>
        <v>0</v>
      </c>
      <c r="G29" s="717"/>
      <c r="H29" s="153">
        <f t="shared" si="12"/>
        <v>0</v>
      </c>
      <c r="I29" s="154">
        <f t="shared" si="13"/>
        <v>0</v>
      </c>
      <c r="J29" s="717"/>
      <c r="K29" s="153">
        <f t="shared" si="14"/>
        <v>0</v>
      </c>
      <c r="L29" s="85"/>
    </row>
    <row r="30" spans="1:12" hidden="1" outlineLevel="1" x14ac:dyDescent="0.2">
      <c r="B30" s="161" t="str">
        <f>Mitarbeiterverteilung!A15</f>
        <v>Facharbeiter</v>
      </c>
      <c r="C30" s="150">
        <f>Mitarbeiterverteilung!BH15</f>
        <v>0</v>
      </c>
      <c r="D30" s="151">
        <f t="shared" si="10"/>
        <v>0</v>
      </c>
      <c r="E30" s="717"/>
      <c r="F30" s="152">
        <f t="shared" si="11"/>
        <v>0</v>
      </c>
      <c r="G30" s="717"/>
      <c r="H30" s="153">
        <f t="shared" si="12"/>
        <v>0</v>
      </c>
      <c r="I30" s="154">
        <f t="shared" si="13"/>
        <v>0</v>
      </c>
      <c r="J30" s="717"/>
      <c r="K30" s="153">
        <f t="shared" si="14"/>
        <v>0</v>
      </c>
      <c r="L30" s="85"/>
    </row>
    <row r="31" spans="1:12" hidden="1" outlineLevel="1" x14ac:dyDescent="0.2">
      <c r="B31" s="161" t="str">
        <f>Mitarbeiterverteilung!A16</f>
        <v>Abgänger</v>
      </c>
      <c r="C31" s="150">
        <f>Mitarbeiterverteilung!BH16</f>
        <v>0</v>
      </c>
      <c r="D31" s="151">
        <f t="shared" si="10"/>
        <v>0</v>
      </c>
      <c r="E31" s="717"/>
      <c r="F31" s="152">
        <f t="shared" si="11"/>
        <v>0</v>
      </c>
      <c r="G31" s="717"/>
      <c r="H31" s="153">
        <f t="shared" si="12"/>
        <v>0</v>
      </c>
      <c r="I31" s="154">
        <f t="shared" si="13"/>
        <v>0</v>
      </c>
      <c r="J31" s="717"/>
      <c r="K31" s="153">
        <f t="shared" si="14"/>
        <v>0</v>
      </c>
      <c r="L31" s="85"/>
    </row>
    <row r="32" spans="1:12" hidden="1" outlineLevel="1" x14ac:dyDescent="0.2">
      <c r="B32" s="161" t="str">
        <f>Mitarbeiterverteilung!A17</f>
        <v>Facharbeiter</v>
      </c>
      <c r="C32" s="150">
        <f>Mitarbeiterverteilung!BH17</f>
        <v>0</v>
      </c>
      <c r="D32" s="151">
        <f t="shared" si="10"/>
        <v>0</v>
      </c>
      <c r="E32" s="717"/>
      <c r="F32" s="152">
        <f t="shared" si="11"/>
        <v>0</v>
      </c>
      <c r="G32" s="717"/>
      <c r="H32" s="153">
        <f t="shared" si="12"/>
        <v>0</v>
      </c>
      <c r="I32" s="154">
        <f t="shared" si="13"/>
        <v>0</v>
      </c>
      <c r="J32" s="717"/>
      <c r="K32" s="153">
        <f t="shared" si="14"/>
        <v>0</v>
      </c>
      <c r="L32" s="85"/>
    </row>
    <row r="33" spans="2:12" hidden="1" outlineLevel="1" x14ac:dyDescent="0.2">
      <c r="B33" s="161" t="str">
        <f>Mitarbeiterverteilung!A18</f>
        <v>Facharbeiter</v>
      </c>
      <c r="C33" s="150">
        <f>Mitarbeiterverteilung!BH18</f>
        <v>0</v>
      </c>
      <c r="D33" s="151">
        <f t="shared" si="10"/>
        <v>0</v>
      </c>
      <c r="E33" s="717"/>
      <c r="F33" s="152">
        <f t="shared" si="11"/>
        <v>0</v>
      </c>
      <c r="G33" s="717"/>
      <c r="H33" s="153">
        <f t="shared" si="12"/>
        <v>0</v>
      </c>
      <c r="I33" s="154">
        <f t="shared" si="13"/>
        <v>0</v>
      </c>
      <c r="J33" s="717"/>
      <c r="K33" s="153">
        <f t="shared" si="14"/>
        <v>0</v>
      </c>
      <c r="L33" s="85"/>
    </row>
    <row r="34" spans="2:12" hidden="1" outlineLevel="1" x14ac:dyDescent="0.2">
      <c r="B34" s="161" t="str">
        <f>Mitarbeiterverteilung!A19</f>
        <v>Elternzeit Geselle</v>
      </c>
      <c r="C34" s="150">
        <f>Mitarbeiterverteilung!BH19</f>
        <v>0</v>
      </c>
      <c r="D34" s="151">
        <f t="shared" si="10"/>
        <v>0</v>
      </c>
      <c r="E34" s="717"/>
      <c r="F34" s="152">
        <f t="shared" si="11"/>
        <v>0</v>
      </c>
      <c r="G34" s="717"/>
      <c r="H34" s="153">
        <f t="shared" si="12"/>
        <v>0</v>
      </c>
      <c r="I34" s="154">
        <f t="shared" si="13"/>
        <v>0</v>
      </c>
      <c r="J34" s="717"/>
      <c r="K34" s="153">
        <f t="shared" si="14"/>
        <v>0</v>
      </c>
      <c r="L34" s="85"/>
    </row>
    <row r="35" spans="2:12" hidden="1" outlineLevel="1" x14ac:dyDescent="0.2">
      <c r="B35" s="161" t="str">
        <f>Mitarbeiterverteilung!A20</f>
        <v>A. Zubi</v>
      </c>
      <c r="C35" s="150">
        <f>Mitarbeiterverteilung!BH20</f>
        <v>0</v>
      </c>
      <c r="D35" s="151">
        <f t="shared" si="10"/>
        <v>0</v>
      </c>
      <c r="E35" s="717"/>
      <c r="F35" s="152">
        <f t="shared" si="11"/>
        <v>0</v>
      </c>
      <c r="G35" s="717"/>
      <c r="H35" s="153">
        <f t="shared" si="12"/>
        <v>0</v>
      </c>
      <c r="I35" s="154">
        <f t="shared" si="13"/>
        <v>0</v>
      </c>
      <c r="J35" s="717"/>
      <c r="K35" s="153">
        <f t="shared" si="14"/>
        <v>0</v>
      </c>
      <c r="L35" s="85"/>
    </row>
    <row r="36" spans="2:12" hidden="1" outlineLevel="1" x14ac:dyDescent="0.2">
      <c r="B36" s="161" t="str">
        <f>Mitarbeiterverteilung!A21</f>
        <v>Zur Ausbildung</v>
      </c>
      <c r="C36" s="150">
        <f>Mitarbeiterverteilung!BH21</f>
        <v>0</v>
      </c>
      <c r="D36" s="151">
        <f t="shared" si="10"/>
        <v>0</v>
      </c>
      <c r="E36" s="717"/>
      <c r="F36" s="152">
        <f t="shared" si="11"/>
        <v>0</v>
      </c>
      <c r="G36" s="717"/>
      <c r="H36" s="153">
        <f t="shared" si="12"/>
        <v>0</v>
      </c>
      <c r="I36" s="154">
        <f t="shared" si="13"/>
        <v>0</v>
      </c>
      <c r="J36" s="717"/>
      <c r="K36" s="153">
        <f t="shared" si="14"/>
        <v>0</v>
      </c>
      <c r="L36" s="85"/>
    </row>
    <row r="37" spans="2:12" hidden="1" outlineLevel="1" x14ac:dyDescent="0.2">
      <c r="B37" s="161" t="str">
        <f>Mitarbeiterverteilung!A22</f>
        <v>Reine Putze</v>
      </c>
      <c r="C37" s="150">
        <f>Mitarbeiterverteilung!BH22</f>
        <v>0</v>
      </c>
      <c r="D37" s="151">
        <f t="shared" si="10"/>
        <v>0</v>
      </c>
      <c r="E37" s="717"/>
      <c r="F37" s="152">
        <f t="shared" si="11"/>
        <v>0</v>
      </c>
      <c r="G37" s="717"/>
      <c r="H37" s="153">
        <f t="shared" si="12"/>
        <v>0</v>
      </c>
      <c r="I37" s="154">
        <f t="shared" si="13"/>
        <v>0</v>
      </c>
      <c r="J37" s="717"/>
      <c r="K37" s="153">
        <f t="shared" si="14"/>
        <v>0</v>
      </c>
      <c r="L37" s="85"/>
    </row>
    <row r="38" spans="2:12" hidden="1" outlineLevel="1" x14ac:dyDescent="0.2">
      <c r="B38" s="161" t="str">
        <f>Mitarbeiterverteilung!A23</f>
        <v/>
      </c>
      <c r="C38" s="150">
        <f>Mitarbeiterverteilung!BH23</f>
        <v>0</v>
      </c>
      <c r="D38" s="151">
        <f t="shared" si="10"/>
        <v>0</v>
      </c>
      <c r="E38" s="717"/>
      <c r="F38" s="152">
        <f t="shared" si="11"/>
        <v>0</v>
      </c>
      <c r="G38" s="717"/>
      <c r="H38" s="153">
        <f t="shared" si="12"/>
        <v>0</v>
      </c>
      <c r="I38" s="154">
        <f t="shared" si="13"/>
        <v>0</v>
      </c>
      <c r="J38" s="717"/>
      <c r="K38" s="153">
        <f t="shared" si="14"/>
        <v>0</v>
      </c>
      <c r="L38" s="85"/>
    </row>
    <row r="39" spans="2:12" hidden="1" outlineLevel="1" x14ac:dyDescent="0.2">
      <c r="B39" s="161" t="str">
        <f>Mitarbeiterverteilung!A24</f>
        <v/>
      </c>
      <c r="C39" s="150">
        <f>Mitarbeiterverteilung!BH24</f>
        <v>0</v>
      </c>
      <c r="D39" s="151">
        <f t="shared" si="10"/>
        <v>0</v>
      </c>
      <c r="E39" s="717"/>
      <c r="F39" s="152">
        <f t="shared" si="11"/>
        <v>0</v>
      </c>
      <c r="G39" s="717"/>
      <c r="H39" s="153">
        <f t="shared" si="12"/>
        <v>0</v>
      </c>
      <c r="I39" s="154">
        <f t="shared" si="13"/>
        <v>0</v>
      </c>
      <c r="J39" s="717"/>
      <c r="K39" s="153">
        <f t="shared" si="14"/>
        <v>0</v>
      </c>
      <c r="L39" s="85"/>
    </row>
    <row r="40" spans="2:12" hidden="1" outlineLevel="1" x14ac:dyDescent="0.2">
      <c r="B40" s="161" t="str">
        <f>Mitarbeiterverteilung!A25</f>
        <v/>
      </c>
      <c r="C40" s="150">
        <f>Mitarbeiterverteilung!BH25</f>
        <v>0</v>
      </c>
      <c r="D40" s="151">
        <f t="shared" si="10"/>
        <v>0</v>
      </c>
      <c r="E40" s="717"/>
      <c r="F40" s="152">
        <f t="shared" si="11"/>
        <v>0</v>
      </c>
      <c r="G40" s="717"/>
      <c r="H40" s="153">
        <f t="shared" si="12"/>
        <v>0</v>
      </c>
      <c r="I40" s="154">
        <f t="shared" si="13"/>
        <v>0</v>
      </c>
      <c r="J40" s="717"/>
      <c r="K40" s="153">
        <f t="shared" si="14"/>
        <v>0</v>
      </c>
      <c r="L40" s="85"/>
    </row>
    <row r="41" spans="2:12" hidden="1" outlineLevel="1" x14ac:dyDescent="0.2">
      <c r="B41" s="161" t="str">
        <f>Mitarbeiterverteilung!A26</f>
        <v/>
      </c>
      <c r="C41" s="150">
        <f>Mitarbeiterverteilung!BH26</f>
        <v>0</v>
      </c>
      <c r="D41" s="151">
        <f t="shared" si="10"/>
        <v>0</v>
      </c>
      <c r="E41" s="717"/>
      <c r="F41" s="152">
        <f t="shared" si="11"/>
        <v>0</v>
      </c>
      <c r="G41" s="717"/>
      <c r="H41" s="153">
        <f t="shared" si="12"/>
        <v>0</v>
      </c>
      <c r="I41" s="154">
        <f t="shared" si="13"/>
        <v>0</v>
      </c>
      <c r="J41" s="717"/>
      <c r="K41" s="153">
        <f t="shared" si="14"/>
        <v>0</v>
      </c>
      <c r="L41" s="85"/>
    </row>
    <row r="42" spans="2:12" hidden="1" outlineLevel="1" x14ac:dyDescent="0.2">
      <c r="B42" s="161" t="str">
        <f>Mitarbeiterverteilung!A27</f>
        <v/>
      </c>
      <c r="C42" s="150">
        <f>Mitarbeiterverteilung!BH27</f>
        <v>0</v>
      </c>
      <c r="D42" s="151">
        <f t="shared" si="10"/>
        <v>0</v>
      </c>
      <c r="E42" s="717"/>
      <c r="F42" s="152">
        <f t="shared" si="11"/>
        <v>0</v>
      </c>
      <c r="G42" s="717"/>
      <c r="H42" s="153">
        <f t="shared" si="12"/>
        <v>0</v>
      </c>
      <c r="I42" s="154">
        <f t="shared" si="13"/>
        <v>0</v>
      </c>
      <c r="J42" s="717"/>
      <c r="K42" s="153">
        <f t="shared" si="14"/>
        <v>0</v>
      </c>
      <c r="L42" s="85"/>
    </row>
    <row r="43" spans="2:12" hidden="1" outlineLevel="1" x14ac:dyDescent="0.2">
      <c r="B43" s="161" t="str">
        <f>Mitarbeiterverteilung!A28</f>
        <v/>
      </c>
      <c r="C43" s="150">
        <f>Mitarbeiterverteilung!BH28</f>
        <v>0</v>
      </c>
      <c r="D43" s="151">
        <f t="shared" si="10"/>
        <v>0</v>
      </c>
      <c r="E43" s="717"/>
      <c r="F43" s="152">
        <f t="shared" si="11"/>
        <v>0</v>
      </c>
      <c r="G43" s="717"/>
      <c r="H43" s="153">
        <f t="shared" si="12"/>
        <v>0</v>
      </c>
      <c r="I43" s="154">
        <f t="shared" si="13"/>
        <v>0</v>
      </c>
      <c r="J43" s="717"/>
      <c r="K43" s="153">
        <f t="shared" si="14"/>
        <v>0</v>
      </c>
      <c r="L43" s="85"/>
    </row>
    <row r="44" spans="2:12" hidden="1" outlineLevel="1" x14ac:dyDescent="0.2">
      <c r="B44" s="161" t="str">
        <f>Mitarbeiterverteilung!A29</f>
        <v/>
      </c>
      <c r="C44" s="150">
        <f>Mitarbeiterverteilung!BH29</f>
        <v>0</v>
      </c>
      <c r="D44" s="151">
        <f t="shared" si="10"/>
        <v>0</v>
      </c>
      <c r="E44" s="717"/>
      <c r="F44" s="152">
        <f t="shared" si="11"/>
        <v>0</v>
      </c>
      <c r="G44" s="717"/>
      <c r="H44" s="153">
        <f t="shared" si="12"/>
        <v>0</v>
      </c>
      <c r="I44" s="154">
        <f t="shared" si="13"/>
        <v>0</v>
      </c>
      <c r="J44" s="717"/>
      <c r="K44" s="153">
        <f t="shared" si="14"/>
        <v>0</v>
      </c>
      <c r="L44" s="85"/>
    </row>
    <row r="45" spans="2:12" hidden="1" outlineLevel="1" x14ac:dyDescent="0.2">
      <c r="B45" s="161" t="str">
        <f>Mitarbeiterverteilung!A30</f>
        <v/>
      </c>
      <c r="C45" s="150">
        <f>Mitarbeiterverteilung!BH30</f>
        <v>0</v>
      </c>
      <c r="D45" s="151">
        <f t="shared" si="10"/>
        <v>0</v>
      </c>
      <c r="E45" s="717"/>
      <c r="F45" s="152">
        <f t="shared" si="11"/>
        <v>0</v>
      </c>
      <c r="G45" s="717"/>
      <c r="H45" s="153">
        <f t="shared" si="12"/>
        <v>0</v>
      </c>
      <c r="I45" s="154">
        <f t="shared" si="13"/>
        <v>0</v>
      </c>
      <c r="J45" s="717"/>
      <c r="K45" s="153">
        <f t="shared" si="14"/>
        <v>0</v>
      </c>
      <c r="L45" s="85"/>
    </row>
    <row r="46" spans="2:12" hidden="1" outlineLevel="1" x14ac:dyDescent="0.2">
      <c r="B46" s="161" t="str">
        <f>Mitarbeiterverteilung!A31</f>
        <v/>
      </c>
      <c r="C46" s="150">
        <f>Mitarbeiterverteilung!BH31</f>
        <v>0</v>
      </c>
      <c r="D46" s="151">
        <f t="shared" si="10"/>
        <v>0</v>
      </c>
      <c r="E46" s="717"/>
      <c r="F46" s="152">
        <f t="shared" si="11"/>
        <v>0</v>
      </c>
      <c r="G46" s="717"/>
      <c r="H46" s="153">
        <f t="shared" si="12"/>
        <v>0</v>
      </c>
      <c r="I46" s="154">
        <f t="shared" si="13"/>
        <v>0</v>
      </c>
      <c r="J46" s="717"/>
      <c r="K46" s="153">
        <f t="shared" si="14"/>
        <v>0</v>
      </c>
      <c r="L46" s="85"/>
    </row>
    <row r="47" spans="2:12" hidden="1" outlineLevel="1" x14ac:dyDescent="0.2">
      <c r="B47" s="161" t="str">
        <f>Mitarbeiterverteilung!A32</f>
        <v/>
      </c>
      <c r="C47" s="150">
        <f>Mitarbeiterverteilung!BH32</f>
        <v>0</v>
      </c>
      <c r="D47" s="151">
        <f t="shared" si="10"/>
        <v>0</v>
      </c>
      <c r="E47" s="717"/>
      <c r="F47" s="152">
        <f t="shared" si="11"/>
        <v>0</v>
      </c>
      <c r="G47" s="717"/>
      <c r="H47" s="153">
        <f t="shared" si="12"/>
        <v>0</v>
      </c>
      <c r="I47" s="154">
        <f t="shared" si="13"/>
        <v>0</v>
      </c>
      <c r="J47" s="717"/>
      <c r="K47" s="153">
        <f t="shared" si="14"/>
        <v>0</v>
      </c>
      <c r="L47" s="85"/>
    </row>
    <row r="48" spans="2:12" hidden="1" outlineLevel="1" x14ac:dyDescent="0.2">
      <c r="B48" s="161" t="str">
        <f>Mitarbeiterverteilung!A33</f>
        <v/>
      </c>
      <c r="C48" s="150">
        <f>Mitarbeiterverteilung!BH33</f>
        <v>0</v>
      </c>
      <c r="D48" s="151">
        <f t="shared" si="10"/>
        <v>0</v>
      </c>
      <c r="E48" s="717"/>
      <c r="F48" s="152">
        <f t="shared" si="11"/>
        <v>0</v>
      </c>
      <c r="G48" s="717"/>
      <c r="H48" s="153">
        <f t="shared" si="12"/>
        <v>0</v>
      </c>
      <c r="I48" s="154">
        <f t="shared" si="13"/>
        <v>0</v>
      </c>
      <c r="J48" s="717"/>
      <c r="K48" s="153">
        <f t="shared" si="14"/>
        <v>0</v>
      </c>
      <c r="L48" s="85"/>
    </row>
    <row r="49" spans="2:12" hidden="1" outlineLevel="1" x14ac:dyDescent="0.2">
      <c r="B49" s="161" t="str">
        <f>Mitarbeiterverteilung!A34</f>
        <v/>
      </c>
      <c r="C49" s="150">
        <f>Mitarbeiterverteilung!BH34</f>
        <v>0</v>
      </c>
      <c r="D49" s="151">
        <f t="shared" si="10"/>
        <v>0</v>
      </c>
      <c r="E49" s="717"/>
      <c r="F49" s="152">
        <f t="shared" si="11"/>
        <v>0</v>
      </c>
      <c r="G49" s="717"/>
      <c r="H49" s="153">
        <f t="shared" si="12"/>
        <v>0</v>
      </c>
      <c r="I49" s="154">
        <f t="shared" si="13"/>
        <v>0</v>
      </c>
      <c r="J49" s="717"/>
      <c r="K49" s="153">
        <f t="shared" si="14"/>
        <v>0</v>
      </c>
      <c r="L49" s="85"/>
    </row>
    <row r="50" spans="2:12" hidden="1" outlineLevel="1" x14ac:dyDescent="0.2">
      <c r="B50" s="161" t="str">
        <f>Mitarbeiterverteilung!A35</f>
        <v/>
      </c>
      <c r="C50" s="150">
        <f>Mitarbeiterverteilung!BH35</f>
        <v>0</v>
      </c>
      <c r="D50" s="151">
        <f t="shared" si="10"/>
        <v>0</v>
      </c>
      <c r="E50" s="717"/>
      <c r="F50" s="152">
        <f t="shared" si="11"/>
        <v>0</v>
      </c>
      <c r="G50" s="717"/>
      <c r="H50" s="153">
        <f t="shared" si="12"/>
        <v>0</v>
      </c>
      <c r="I50" s="154">
        <f t="shared" si="13"/>
        <v>0</v>
      </c>
      <c r="J50" s="717"/>
      <c r="K50" s="153">
        <f t="shared" si="14"/>
        <v>0</v>
      </c>
      <c r="L50" s="85"/>
    </row>
    <row r="51" spans="2:12" hidden="1" outlineLevel="1" x14ac:dyDescent="0.2">
      <c r="B51" s="161" t="str">
        <f>Mitarbeiterverteilung!A36</f>
        <v/>
      </c>
      <c r="C51" s="150">
        <f>Mitarbeiterverteilung!BH36</f>
        <v>0</v>
      </c>
      <c r="D51" s="151">
        <f t="shared" si="10"/>
        <v>0</v>
      </c>
      <c r="E51" s="717"/>
      <c r="F51" s="152">
        <f t="shared" si="11"/>
        <v>0</v>
      </c>
      <c r="G51" s="717"/>
      <c r="H51" s="153">
        <f t="shared" si="12"/>
        <v>0</v>
      </c>
      <c r="I51" s="154">
        <f t="shared" si="13"/>
        <v>0</v>
      </c>
      <c r="J51" s="717"/>
      <c r="K51" s="153">
        <f t="shared" si="14"/>
        <v>0</v>
      </c>
      <c r="L51" s="85"/>
    </row>
    <row r="52" spans="2:12" hidden="1" outlineLevel="1" x14ac:dyDescent="0.2">
      <c r="B52" s="161" t="str">
        <f>Mitarbeiterverteilung!A37</f>
        <v/>
      </c>
      <c r="C52" s="150">
        <f>Mitarbeiterverteilung!BH37</f>
        <v>0</v>
      </c>
      <c r="D52" s="151">
        <f t="shared" si="10"/>
        <v>0</v>
      </c>
      <c r="E52" s="717"/>
      <c r="F52" s="152">
        <f t="shared" si="11"/>
        <v>0</v>
      </c>
      <c r="G52" s="717"/>
      <c r="H52" s="153">
        <f t="shared" si="12"/>
        <v>0</v>
      </c>
      <c r="I52" s="154">
        <f t="shared" si="13"/>
        <v>0</v>
      </c>
      <c r="J52" s="717"/>
      <c r="K52" s="153">
        <f t="shared" si="14"/>
        <v>0</v>
      </c>
      <c r="L52" s="85"/>
    </row>
    <row r="53" spans="2:12" hidden="1" outlineLevel="1" x14ac:dyDescent="0.2">
      <c r="B53" s="161" t="str">
        <f>Mitarbeiterverteilung!A38</f>
        <v/>
      </c>
      <c r="C53" s="150">
        <f>Mitarbeiterverteilung!BH38</f>
        <v>0</v>
      </c>
      <c r="D53" s="151">
        <f t="shared" si="10"/>
        <v>0</v>
      </c>
      <c r="E53" s="717"/>
      <c r="F53" s="152">
        <f t="shared" si="11"/>
        <v>0</v>
      </c>
      <c r="G53" s="717"/>
      <c r="H53" s="153">
        <f t="shared" si="12"/>
        <v>0</v>
      </c>
      <c r="I53" s="154">
        <f t="shared" si="13"/>
        <v>0</v>
      </c>
      <c r="J53" s="717"/>
      <c r="K53" s="153">
        <f t="shared" si="14"/>
        <v>0</v>
      </c>
      <c r="L53" s="85"/>
    </row>
    <row r="54" spans="2:12" hidden="1" outlineLevel="1" x14ac:dyDescent="0.2">
      <c r="B54" s="161" t="str">
        <f>Mitarbeiterverteilung!A39</f>
        <v/>
      </c>
      <c r="C54" s="150">
        <f>Mitarbeiterverteilung!BH39</f>
        <v>0</v>
      </c>
      <c r="D54" s="151">
        <f t="shared" si="10"/>
        <v>0</v>
      </c>
      <c r="E54" s="717"/>
      <c r="F54" s="152">
        <f t="shared" si="11"/>
        <v>0</v>
      </c>
      <c r="G54" s="717"/>
      <c r="H54" s="153">
        <f t="shared" si="12"/>
        <v>0</v>
      </c>
      <c r="I54" s="154">
        <f t="shared" si="13"/>
        <v>0</v>
      </c>
      <c r="J54" s="717"/>
      <c r="K54" s="153">
        <f t="shared" si="14"/>
        <v>0</v>
      </c>
      <c r="L54" s="85"/>
    </row>
    <row r="55" spans="2:12" hidden="1" outlineLevel="1" x14ac:dyDescent="0.2">
      <c r="B55" s="161" t="str">
        <f>Mitarbeiterverteilung!A40</f>
        <v/>
      </c>
      <c r="C55" s="150">
        <f>Mitarbeiterverteilung!BH40</f>
        <v>0</v>
      </c>
      <c r="D55" s="151">
        <f t="shared" si="10"/>
        <v>0</v>
      </c>
      <c r="E55" s="717"/>
      <c r="F55" s="152">
        <f t="shared" si="11"/>
        <v>0</v>
      </c>
      <c r="G55" s="717"/>
      <c r="H55" s="153">
        <f t="shared" si="12"/>
        <v>0</v>
      </c>
      <c r="I55" s="154">
        <f t="shared" si="13"/>
        <v>0</v>
      </c>
      <c r="J55" s="717"/>
      <c r="K55" s="153">
        <f t="shared" si="14"/>
        <v>0</v>
      </c>
      <c r="L55" s="85"/>
    </row>
    <row r="56" spans="2:12" hidden="1" outlineLevel="1" x14ac:dyDescent="0.2">
      <c r="B56" s="161" t="str">
        <f>Mitarbeiterverteilung!A41</f>
        <v/>
      </c>
      <c r="C56" s="150">
        <f>Mitarbeiterverteilung!BH41</f>
        <v>0</v>
      </c>
      <c r="D56" s="151">
        <f t="shared" si="10"/>
        <v>0</v>
      </c>
      <c r="E56" s="717"/>
      <c r="F56" s="152">
        <f t="shared" si="11"/>
        <v>0</v>
      </c>
      <c r="G56" s="717"/>
      <c r="H56" s="153">
        <f t="shared" si="12"/>
        <v>0</v>
      </c>
      <c r="I56" s="154">
        <f t="shared" si="13"/>
        <v>0</v>
      </c>
      <c r="J56" s="717"/>
      <c r="K56" s="153">
        <f t="shared" si="14"/>
        <v>0</v>
      </c>
      <c r="L56" s="85"/>
    </row>
    <row r="57" spans="2:12" hidden="1" outlineLevel="1" x14ac:dyDescent="0.2">
      <c r="B57" s="161" t="str">
        <f>Mitarbeiterverteilung!A42</f>
        <v/>
      </c>
      <c r="C57" s="150">
        <f>Mitarbeiterverteilung!BH42</f>
        <v>0</v>
      </c>
      <c r="D57" s="151">
        <f t="shared" si="10"/>
        <v>0</v>
      </c>
      <c r="E57" s="717"/>
      <c r="F57" s="152">
        <f t="shared" si="11"/>
        <v>0</v>
      </c>
      <c r="G57" s="717"/>
      <c r="H57" s="153">
        <f t="shared" si="12"/>
        <v>0</v>
      </c>
      <c r="I57" s="154">
        <f t="shared" si="13"/>
        <v>0</v>
      </c>
      <c r="J57" s="717"/>
      <c r="K57" s="153">
        <f t="shared" si="14"/>
        <v>0</v>
      </c>
      <c r="L57" s="85"/>
    </row>
    <row r="58" spans="2:12" outlineLevel="1" x14ac:dyDescent="0.2">
      <c r="B58" s="161" t="str">
        <f>Mitarbeiterverteilung!A43</f>
        <v/>
      </c>
      <c r="C58" s="150">
        <f>Mitarbeiterverteilung!BH43</f>
        <v>0</v>
      </c>
      <c r="D58" s="151">
        <f t="shared" ref="D58:D121" si="15">F58+I58-C58</f>
        <v>0</v>
      </c>
      <c r="E58" s="717"/>
      <c r="F58" s="152">
        <f t="shared" ref="F58:F121" si="16">C58*H58</f>
        <v>0</v>
      </c>
      <c r="G58" s="717"/>
      <c r="H58" s="153">
        <f t="shared" ref="H58:H121" si="17">IF(E58=0,0,G58/$E58)</f>
        <v>0</v>
      </c>
      <c r="I58" s="154">
        <f t="shared" ref="I58:I121" si="18">C58*K58</f>
        <v>0</v>
      </c>
      <c r="J58" s="717"/>
      <c r="K58" s="153">
        <f t="shared" ref="K58:K121" si="19">IF(E58=0,0,J58/$E58)</f>
        <v>0</v>
      </c>
      <c r="L58" s="85"/>
    </row>
    <row r="59" spans="2:12" outlineLevel="1" x14ac:dyDescent="0.2">
      <c r="B59" s="161" t="str">
        <f>Mitarbeiterverteilung!A44</f>
        <v/>
      </c>
      <c r="C59" s="150">
        <f>Mitarbeiterverteilung!BH44</f>
        <v>0</v>
      </c>
      <c r="D59" s="151">
        <f t="shared" si="15"/>
        <v>0</v>
      </c>
      <c r="E59" s="717"/>
      <c r="F59" s="152">
        <f t="shared" si="16"/>
        <v>0</v>
      </c>
      <c r="G59" s="717"/>
      <c r="H59" s="153">
        <f t="shared" si="17"/>
        <v>0</v>
      </c>
      <c r="I59" s="154">
        <f t="shared" si="18"/>
        <v>0</v>
      </c>
      <c r="J59" s="717"/>
      <c r="K59" s="153">
        <f t="shared" si="19"/>
        <v>0</v>
      </c>
      <c r="L59" s="85"/>
    </row>
    <row r="60" spans="2:12" outlineLevel="1" x14ac:dyDescent="0.2">
      <c r="B60" s="161" t="str">
        <f>Mitarbeiterverteilung!A45</f>
        <v/>
      </c>
      <c r="C60" s="150">
        <f>Mitarbeiterverteilung!BH45</f>
        <v>0</v>
      </c>
      <c r="D60" s="151">
        <f t="shared" si="15"/>
        <v>0</v>
      </c>
      <c r="E60" s="717"/>
      <c r="F60" s="152">
        <f t="shared" si="16"/>
        <v>0</v>
      </c>
      <c r="G60" s="717"/>
      <c r="H60" s="153">
        <f t="shared" si="17"/>
        <v>0</v>
      </c>
      <c r="I60" s="154">
        <f t="shared" si="18"/>
        <v>0</v>
      </c>
      <c r="J60" s="717"/>
      <c r="K60" s="153">
        <f t="shared" si="19"/>
        <v>0</v>
      </c>
      <c r="L60" s="85"/>
    </row>
    <row r="61" spans="2:12" outlineLevel="1" x14ac:dyDescent="0.2">
      <c r="B61" s="161" t="str">
        <f>Mitarbeiterverteilung!A46</f>
        <v/>
      </c>
      <c r="C61" s="150">
        <f>Mitarbeiterverteilung!BH46</f>
        <v>0</v>
      </c>
      <c r="D61" s="151">
        <f t="shared" si="15"/>
        <v>0</v>
      </c>
      <c r="E61" s="717"/>
      <c r="F61" s="152">
        <f t="shared" si="16"/>
        <v>0</v>
      </c>
      <c r="G61" s="717"/>
      <c r="H61" s="153">
        <f t="shared" si="17"/>
        <v>0</v>
      </c>
      <c r="I61" s="154">
        <f t="shared" si="18"/>
        <v>0</v>
      </c>
      <c r="J61" s="717"/>
      <c r="K61" s="153">
        <f t="shared" si="19"/>
        <v>0</v>
      </c>
      <c r="L61" s="85"/>
    </row>
    <row r="62" spans="2:12" outlineLevel="1" x14ac:dyDescent="0.2">
      <c r="B62" s="161" t="str">
        <f>Mitarbeiterverteilung!A47</f>
        <v/>
      </c>
      <c r="C62" s="150">
        <f>Mitarbeiterverteilung!BH47</f>
        <v>0</v>
      </c>
      <c r="D62" s="151">
        <f t="shared" si="15"/>
        <v>0</v>
      </c>
      <c r="E62" s="717"/>
      <c r="F62" s="152">
        <f t="shared" si="16"/>
        <v>0</v>
      </c>
      <c r="G62" s="717"/>
      <c r="H62" s="153">
        <f t="shared" si="17"/>
        <v>0</v>
      </c>
      <c r="I62" s="154">
        <f t="shared" si="18"/>
        <v>0</v>
      </c>
      <c r="J62" s="717"/>
      <c r="K62" s="153">
        <f t="shared" si="19"/>
        <v>0</v>
      </c>
      <c r="L62" s="85"/>
    </row>
    <row r="63" spans="2:12" outlineLevel="1" x14ac:dyDescent="0.2">
      <c r="B63" s="161" t="str">
        <f>Mitarbeiterverteilung!A48</f>
        <v/>
      </c>
      <c r="C63" s="150">
        <f>Mitarbeiterverteilung!BH48</f>
        <v>0</v>
      </c>
      <c r="D63" s="151">
        <f t="shared" si="15"/>
        <v>0</v>
      </c>
      <c r="E63" s="717"/>
      <c r="F63" s="152">
        <f t="shared" si="16"/>
        <v>0</v>
      </c>
      <c r="G63" s="717"/>
      <c r="H63" s="153">
        <f t="shared" si="17"/>
        <v>0</v>
      </c>
      <c r="I63" s="154">
        <f t="shared" si="18"/>
        <v>0</v>
      </c>
      <c r="J63" s="717"/>
      <c r="K63" s="153">
        <f t="shared" si="19"/>
        <v>0</v>
      </c>
      <c r="L63" s="85"/>
    </row>
    <row r="64" spans="2:12" outlineLevel="1" x14ac:dyDescent="0.2">
      <c r="B64" s="161" t="str">
        <f>Mitarbeiterverteilung!A49</f>
        <v/>
      </c>
      <c r="C64" s="150">
        <f>Mitarbeiterverteilung!BH49</f>
        <v>0</v>
      </c>
      <c r="D64" s="151">
        <f t="shared" si="15"/>
        <v>0</v>
      </c>
      <c r="E64" s="717"/>
      <c r="F64" s="152">
        <f t="shared" si="16"/>
        <v>0</v>
      </c>
      <c r="G64" s="717"/>
      <c r="H64" s="153">
        <f t="shared" si="17"/>
        <v>0</v>
      </c>
      <c r="I64" s="154">
        <f t="shared" si="18"/>
        <v>0</v>
      </c>
      <c r="J64" s="717"/>
      <c r="K64" s="153">
        <f t="shared" si="19"/>
        <v>0</v>
      </c>
      <c r="L64" s="85"/>
    </row>
    <row r="65" spans="2:12" outlineLevel="1" x14ac:dyDescent="0.2">
      <c r="B65" s="161" t="str">
        <f>Mitarbeiterverteilung!A50</f>
        <v/>
      </c>
      <c r="C65" s="150">
        <f>Mitarbeiterverteilung!BH50</f>
        <v>0</v>
      </c>
      <c r="D65" s="151">
        <f t="shared" si="15"/>
        <v>0</v>
      </c>
      <c r="E65" s="717"/>
      <c r="F65" s="152">
        <f t="shared" si="16"/>
        <v>0</v>
      </c>
      <c r="G65" s="717"/>
      <c r="H65" s="153">
        <f t="shared" si="17"/>
        <v>0</v>
      </c>
      <c r="I65" s="154">
        <f t="shared" si="18"/>
        <v>0</v>
      </c>
      <c r="J65" s="717"/>
      <c r="K65" s="153">
        <f t="shared" si="19"/>
        <v>0</v>
      </c>
      <c r="L65" s="85"/>
    </row>
    <row r="66" spans="2:12" outlineLevel="1" x14ac:dyDescent="0.2">
      <c r="B66" s="161" t="str">
        <f>Mitarbeiterverteilung!A51</f>
        <v/>
      </c>
      <c r="C66" s="150">
        <f>Mitarbeiterverteilung!BH51</f>
        <v>0</v>
      </c>
      <c r="D66" s="151">
        <f t="shared" si="15"/>
        <v>0</v>
      </c>
      <c r="E66" s="717"/>
      <c r="F66" s="152">
        <f t="shared" si="16"/>
        <v>0</v>
      </c>
      <c r="G66" s="717"/>
      <c r="H66" s="153">
        <f t="shared" si="17"/>
        <v>0</v>
      </c>
      <c r="I66" s="154">
        <f t="shared" si="18"/>
        <v>0</v>
      </c>
      <c r="J66" s="717"/>
      <c r="K66" s="153">
        <f t="shared" si="19"/>
        <v>0</v>
      </c>
      <c r="L66" s="85"/>
    </row>
    <row r="67" spans="2:12" outlineLevel="1" x14ac:dyDescent="0.2">
      <c r="B67" s="161" t="str">
        <f>Mitarbeiterverteilung!A52</f>
        <v/>
      </c>
      <c r="C67" s="150">
        <f>Mitarbeiterverteilung!BH52</f>
        <v>0</v>
      </c>
      <c r="D67" s="151">
        <f t="shared" si="15"/>
        <v>0</v>
      </c>
      <c r="E67" s="717"/>
      <c r="F67" s="152">
        <f t="shared" si="16"/>
        <v>0</v>
      </c>
      <c r="G67" s="717"/>
      <c r="H67" s="153">
        <f t="shared" si="17"/>
        <v>0</v>
      </c>
      <c r="I67" s="154">
        <f t="shared" si="18"/>
        <v>0</v>
      </c>
      <c r="J67" s="717"/>
      <c r="K67" s="153">
        <f t="shared" si="19"/>
        <v>0</v>
      </c>
      <c r="L67" s="85"/>
    </row>
    <row r="68" spans="2:12" outlineLevel="1" x14ac:dyDescent="0.2">
      <c r="B68" s="161" t="str">
        <f>Mitarbeiterverteilung!A53</f>
        <v/>
      </c>
      <c r="C68" s="150">
        <f>Mitarbeiterverteilung!BH53</f>
        <v>0</v>
      </c>
      <c r="D68" s="151">
        <f t="shared" si="15"/>
        <v>0</v>
      </c>
      <c r="E68" s="717"/>
      <c r="F68" s="152">
        <f t="shared" si="16"/>
        <v>0</v>
      </c>
      <c r="G68" s="717"/>
      <c r="H68" s="153">
        <f t="shared" si="17"/>
        <v>0</v>
      </c>
      <c r="I68" s="154">
        <f t="shared" si="18"/>
        <v>0</v>
      </c>
      <c r="J68" s="717"/>
      <c r="K68" s="153">
        <f t="shared" si="19"/>
        <v>0</v>
      </c>
      <c r="L68" s="85"/>
    </row>
    <row r="69" spans="2:12" outlineLevel="1" x14ac:dyDescent="0.2">
      <c r="B69" s="161" t="str">
        <f>Mitarbeiterverteilung!A54</f>
        <v/>
      </c>
      <c r="C69" s="150">
        <f>Mitarbeiterverteilung!BH54</f>
        <v>0</v>
      </c>
      <c r="D69" s="151">
        <f t="shared" si="15"/>
        <v>0</v>
      </c>
      <c r="E69" s="717"/>
      <c r="F69" s="152">
        <f t="shared" si="16"/>
        <v>0</v>
      </c>
      <c r="G69" s="717"/>
      <c r="H69" s="153">
        <f t="shared" si="17"/>
        <v>0</v>
      </c>
      <c r="I69" s="154">
        <f t="shared" si="18"/>
        <v>0</v>
      </c>
      <c r="J69" s="717"/>
      <c r="K69" s="153">
        <f t="shared" si="19"/>
        <v>0</v>
      </c>
      <c r="L69" s="85"/>
    </row>
    <row r="70" spans="2:12" outlineLevel="1" x14ac:dyDescent="0.2">
      <c r="B70" s="161" t="str">
        <f>Mitarbeiterverteilung!A55</f>
        <v/>
      </c>
      <c r="C70" s="150">
        <f>Mitarbeiterverteilung!BH55</f>
        <v>0</v>
      </c>
      <c r="D70" s="151">
        <f t="shared" si="15"/>
        <v>0</v>
      </c>
      <c r="E70" s="717"/>
      <c r="F70" s="152">
        <f t="shared" si="16"/>
        <v>0</v>
      </c>
      <c r="G70" s="717"/>
      <c r="H70" s="153">
        <f t="shared" si="17"/>
        <v>0</v>
      </c>
      <c r="I70" s="154">
        <f t="shared" si="18"/>
        <v>0</v>
      </c>
      <c r="J70" s="717"/>
      <c r="K70" s="153">
        <f t="shared" si="19"/>
        <v>0</v>
      </c>
      <c r="L70" s="85"/>
    </row>
    <row r="71" spans="2:12" outlineLevel="1" x14ac:dyDescent="0.2">
      <c r="B71" s="161" t="str">
        <f>Mitarbeiterverteilung!A56</f>
        <v/>
      </c>
      <c r="C71" s="150">
        <f>Mitarbeiterverteilung!BH56</f>
        <v>0</v>
      </c>
      <c r="D71" s="151">
        <f t="shared" si="15"/>
        <v>0</v>
      </c>
      <c r="E71" s="717"/>
      <c r="F71" s="152">
        <f t="shared" si="16"/>
        <v>0</v>
      </c>
      <c r="G71" s="717"/>
      <c r="H71" s="153">
        <f t="shared" si="17"/>
        <v>0</v>
      </c>
      <c r="I71" s="154">
        <f t="shared" si="18"/>
        <v>0</v>
      </c>
      <c r="J71" s="717"/>
      <c r="K71" s="153">
        <f t="shared" si="19"/>
        <v>0</v>
      </c>
      <c r="L71" s="85"/>
    </row>
    <row r="72" spans="2:12" outlineLevel="1" x14ac:dyDescent="0.2">
      <c r="B72" s="161" t="str">
        <f>Mitarbeiterverteilung!A57</f>
        <v/>
      </c>
      <c r="C72" s="150">
        <f>Mitarbeiterverteilung!BH57</f>
        <v>0</v>
      </c>
      <c r="D72" s="151">
        <f t="shared" si="15"/>
        <v>0</v>
      </c>
      <c r="E72" s="717"/>
      <c r="F72" s="152">
        <f t="shared" si="16"/>
        <v>0</v>
      </c>
      <c r="G72" s="717"/>
      <c r="H72" s="153">
        <f t="shared" si="17"/>
        <v>0</v>
      </c>
      <c r="I72" s="154">
        <f t="shared" si="18"/>
        <v>0</v>
      </c>
      <c r="J72" s="717"/>
      <c r="K72" s="153">
        <f t="shared" si="19"/>
        <v>0</v>
      </c>
      <c r="L72" s="85"/>
    </row>
    <row r="73" spans="2:12" outlineLevel="1" x14ac:dyDescent="0.2">
      <c r="B73" s="161" t="str">
        <f>Mitarbeiterverteilung!A58</f>
        <v/>
      </c>
      <c r="C73" s="150">
        <f>Mitarbeiterverteilung!BH58</f>
        <v>0</v>
      </c>
      <c r="D73" s="151">
        <f t="shared" si="15"/>
        <v>0</v>
      </c>
      <c r="E73" s="717"/>
      <c r="F73" s="152">
        <f t="shared" si="16"/>
        <v>0</v>
      </c>
      <c r="G73" s="717"/>
      <c r="H73" s="153">
        <f t="shared" si="17"/>
        <v>0</v>
      </c>
      <c r="I73" s="154">
        <f t="shared" si="18"/>
        <v>0</v>
      </c>
      <c r="J73" s="717"/>
      <c r="K73" s="153">
        <f t="shared" si="19"/>
        <v>0</v>
      </c>
      <c r="L73" s="85"/>
    </row>
    <row r="74" spans="2:12" outlineLevel="1" x14ac:dyDescent="0.2">
      <c r="B74" s="161" t="str">
        <f>Mitarbeiterverteilung!A59</f>
        <v/>
      </c>
      <c r="C74" s="150">
        <f>Mitarbeiterverteilung!BH59</f>
        <v>0</v>
      </c>
      <c r="D74" s="151">
        <f t="shared" si="15"/>
        <v>0</v>
      </c>
      <c r="E74" s="717"/>
      <c r="F74" s="152">
        <f t="shared" si="16"/>
        <v>0</v>
      </c>
      <c r="G74" s="717"/>
      <c r="H74" s="153">
        <f t="shared" si="17"/>
        <v>0</v>
      </c>
      <c r="I74" s="154">
        <f t="shared" si="18"/>
        <v>0</v>
      </c>
      <c r="J74" s="717"/>
      <c r="K74" s="153">
        <f t="shared" si="19"/>
        <v>0</v>
      </c>
      <c r="L74" s="85"/>
    </row>
    <row r="75" spans="2:12" outlineLevel="1" x14ac:dyDescent="0.2">
      <c r="B75" s="161" t="str">
        <f>Mitarbeiterverteilung!A60</f>
        <v/>
      </c>
      <c r="C75" s="150">
        <f>Mitarbeiterverteilung!BH60</f>
        <v>0</v>
      </c>
      <c r="D75" s="151">
        <f t="shared" si="15"/>
        <v>0</v>
      </c>
      <c r="E75" s="717"/>
      <c r="F75" s="152">
        <f t="shared" si="16"/>
        <v>0</v>
      </c>
      <c r="G75" s="717"/>
      <c r="H75" s="153">
        <f t="shared" si="17"/>
        <v>0</v>
      </c>
      <c r="I75" s="154">
        <f t="shared" si="18"/>
        <v>0</v>
      </c>
      <c r="J75" s="717"/>
      <c r="K75" s="153">
        <f t="shared" si="19"/>
        <v>0</v>
      </c>
      <c r="L75" s="85"/>
    </row>
    <row r="76" spans="2:12" outlineLevel="1" x14ac:dyDescent="0.2">
      <c r="B76" s="161" t="str">
        <f>Mitarbeiterverteilung!A61</f>
        <v/>
      </c>
      <c r="C76" s="150">
        <f>Mitarbeiterverteilung!BH61</f>
        <v>0</v>
      </c>
      <c r="D76" s="151">
        <f t="shared" si="15"/>
        <v>0</v>
      </c>
      <c r="E76" s="717"/>
      <c r="F76" s="152">
        <f t="shared" si="16"/>
        <v>0</v>
      </c>
      <c r="G76" s="717"/>
      <c r="H76" s="153">
        <f t="shared" si="17"/>
        <v>0</v>
      </c>
      <c r="I76" s="154">
        <f t="shared" si="18"/>
        <v>0</v>
      </c>
      <c r="J76" s="717"/>
      <c r="K76" s="153">
        <f t="shared" si="19"/>
        <v>0</v>
      </c>
      <c r="L76" s="85"/>
    </row>
    <row r="77" spans="2:12" outlineLevel="1" x14ac:dyDescent="0.2">
      <c r="B77" s="161" t="str">
        <f>Mitarbeiterverteilung!A62</f>
        <v/>
      </c>
      <c r="C77" s="150">
        <f>Mitarbeiterverteilung!BH62</f>
        <v>0</v>
      </c>
      <c r="D77" s="151">
        <f t="shared" si="15"/>
        <v>0</v>
      </c>
      <c r="E77" s="717"/>
      <c r="F77" s="152">
        <f t="shared" si="16"/>
        <v>0</v>
      </c>
      <c r="G77" s="717"/>
      <c r="H77" s="153">
        <f t="shared" si="17"/>
        <v>0</v>
      </c>
      <c r="I77" s="154">
        <f t="shared" si="18"/>
        <v>0</v>
      </c>
      <c r="J77" s="717"/>
      <c r="K77" s="153">
        <f t="shared" si="19"/>
        <v>0</v>
      </c>
      <c r="L77" s="85"/>
    </row>
    <row r="78" spans="2:12" outlineLevel="1" x14ac:dyDescent="0.2">
      <c r="B78" s="161" t="str">
        <f>Mitarbeiterverteilung!A63</f>
        <v/>
      </c>
      <c r="C78" s="150">
        <f>Mitarbeiterverteilung!BH63</f>
        <v>0</v>
      </c>
      <c r="D78" s="151">
        <f t="shared" si="15"/>
        <v>0</v>
      </c>
      <c r="E78" s="717"/>
      <c r="F78" s="152">
        <f t="shared" si="16"/>
        <v>0</v>
      </c>
      <c r="G78" s="717"/>
      <c r="H78" s="153">
        <f t="shared" si="17"/>
        <v>0</v>
      </c>
      <c r="I78" s="154">
        <f t="shared" si="18"/>
        <v>0</v>
      </c>
      <c r="J78" s="717"/>
      <c r="K78" s="153">
        <f t="shared" si="19"/>
        <v>0</v>
      </c>
      <c r="L78" s="85"/>
    </row>
    <row r="79" spans="2:12" outlineLevel="1" x14ac:dyDescent="0.2">
      <c r="B79" s="161" t="str">
        <f>Mitarbeiterverteilung!A64</f>
        <v/>
      </c>
      <c r="C79" s="150">
        <f>Mitarbeiterverteilung!BH64</f>
        <v>0</v>
      </c>
      <c r="D79" s="151">
        <f t="shared" si="15"/>
        <v>0</v>
      </c>
      <c r="E79" s="717"/>
      <c r="F79" s="152">
        <f t="shared" si="16"/>
        <v>0</v>
      </c>
      <c r="G79" s="717"/>
      <c r="H79" s="153">
        <f t="shared" si="17"/>
        <v>0</v>
      </c>
      <c r="I79" s="154">
        <f t="shared" si="18"/>
        <v>0</v>
      </c>
      <c r="J79" s="717"/>
      <c r="K79" s="153">
        <f t="shared" si="19"/>
        <v>0</v>
      </c>
      <c r="L79" s="85"/>
    </row>
    <row r="80" spans="2:12" outlineLevel="1" x14ac:dyDescent="0.2">
      <c r="B80" s="161" t="str">
        <f>Mitarbeiterverteilung!A65</f>
        <v/>
      </c>
      <c r="C80" s="150">
        <f>Mitarbeiterverteilung!BH65</f>
        <v>0</v>
      </c>
      <c r="D80" s="151">
        <f t="shared" si="15"/>
        <v>0</v>
      </c>
      <c r="E80" s="717"/>
      <c r="F80" s="152">
        <f t="shared" si="16"/>
        <v>0</v>
      </c>
      <c r="G80" s="717"/>
      <c r="H80" s="153">
        <f t="shared" si="17"/>
        <v>0</v>
      </c>
      <c r="I80" s="154">
        <f t="shared" si="18"/>
        <v>0</v>
      </c>
      <c r="J80" s="717"/>
      <c r="K80" s="153">
        <f t="shared" si="19"/>
        <v>0</v>
      </c>
      <c r="L80" s="85"/>
    </row>
    <row r="81" spans="2:12" outlineLevel="1" x14ac:dyDescent="0.2">
      <c r="B81" s="161" t="str">
        <f>Mitarbeiterverteilung!A66</f>
        <v/>
      </c>
      <c r="C81" s="150">
        <f>Mitarbeiterverteilung!BH66</f>
        <v>0</v>
      </c>
      <c r="D81" s="151">
        <f t="shared" si="15"/>
        <v>0</v>
      </c>
      <c r="E81" s="717"/>
      <c r="F81" s="152">
        <f t="shared" si="16"/>
        <v>0</v>
      </c>
      <c r="G81" s="717"/>
      <c r="H81" s="153">
        <f t="shared" si="17"/>
        <v>0</v>
      </c>
      <c r="I81" s="154">
        <f t="shared" si="18"/>
        <v>0</v>
      </c>
      <c r="J81" s="717"/>
      <c r="K81" s="153">
        <f t="shared" si="19"/>
        <v>0</v>
      </c>
      <c r="L81" s="85"/>
    </row>
    <row r="82" spans="2:12" outlineLevel="1" x14ac:dyDescent="0.2">
      <c r="B82" s="161" t="str">
        <f>Mitarbeiterverteilung!A67</f>
        <v/>
      </c>
      <c r="C82" s="150">
        <f>Mitarbeiterverteilung!BH67</f>
        <v>0</v>
      </c>
      <c r="D82" s="151">
        <f t="shared" si="15"/>
        <v>0</v>
      </c>
      <c r="E82" s="717"/>
      <c r="F82" s="152">
        <f t="shared" si="16"/>
        <v>0</v>
      </c>
      <c r="G82" s="717"/>
      <c r="H82" s="153">
        <f t="shared" si="17"/>
        <v>0</v>
      </c>
      <c r="I82" s="154">
        <f t="shared" si="18"/>
        <v>0</v>
      </c>
      <c r="J82" s="717"/>
      <c r="K82" s="153">
        <f t="shared" si="19"/>
        <v>0</v>
      </c>
      <c r="L82" s="85"/>
    </row>
    <row r="83" spans="2:12" outlineLevel="1" x14ac:dyDescent="0.2">
      <c r="B83" s="161" t="str">
        <f>Mitarbeiterverteilung!A68</f>
        <v/>
      </c>
      <c r="C83" s="150">
        <f>Mitarbeiterverteilung!BH68</f>
        <v>0</v>
      </c>
      <c r="D83" s="151">
        <f t="shared" si="15"/>
        <v>0</v>
      </c>
      <c r="E83" s="717"/>
      <c r="F83" s="152">
        <f t="shared" si="16"/>
        <v>0</v>
      </c>
      <c r="G83" s="717"/>
      <c r="H83" s="153">
        <f t="shared" si="17"/>
        <v>0</v>
      </c>
      <c r="I83" s="154">
        <f t="shared" si="18"/>
        <v>0</v>
      </c>
      <c r="J83" s="717"/>
      <c r="K83" s="153">
        <f t="shared" si="19"/>
        <v>0</v>
      </c>
      <c r="L83" s="85"/>
    </row>
    <row r="84" spans="2:12" outlineLevel="1" x14ac:dyDescent="0.2">
      <c r="B84" s="161" t="str">
        <f>Mitarbeiterverteilung!A69</f>
        <v/>
      </c>
      <c r="C84" s="150">
        <f>Mitarbeiterverteilung!BH69</f>
        <v>0</v>
      </c>
      <c r="D84" s="151">
        <f t="shared" si="15"/>
        <v>0</v>
      </c>
      <c r="E84" s="717"/>
      <c r="F84" s="152">
        <f t="shared" si="16"/>
        <v>0</v>
      </c>
      <c r="G84" s="717"/>
      <c r="H84" s="153">
        <f t="shared" si="17"/>
        <v>0</v>
      </c>
      <c r="I84" s="154">
        <f t="shared" si="18"/>
        <v>0</v>
      </c>
      <c r="J84" s="717"/>
      <c r="K84" s="153">
        <f t="shared" si="19"/>
        <v>0</v>
      </c>
      <c r="L84" s="85"/>
    </row>
    <row r="85" spans="2:12" outlineLevel="1" x14ac:dyDescent="0.2">
      <c r="B85" s="161" t="str">
        <f>Mitarbeiterverteilung!A70</f>
        <v/>
      </c>
      <c r="C85" s="150">
        <f>Mitarbeiterverteilung!BH70</f>
        <v>0</v>
      </c>
      <c r="D85" s="151">
        <f t="shared" si="15"/>
        <v>0</v>
      </c>
      <c r="E85" s="717"/>
      <c r="F85" s="152">
        <f t="shared" si="16"/>
        <v>0</v>
      </c>
      <c r="G85" s="717"/>
      <c r="H85" s="153">
        <f t="shared" si="17"/>
        <v>0</v>
      </c>
      <c r="I85" s="154">
        <f t="shared" si="18"/>
        <v>0</v>
      </c>
      <c r="J85" s="717"/>
      <c r="K85" s="153">
        <f t="shared" si="19"/>
        <v>0</v>
      </c>
      <c r="L85" s="85"/>
    </row>
    <row r="86" spans="2:12" outlineLevel="1" x14ac:dyDescent="0.2">
      <c r="B86" s="161" t="str">
        <f>Mitarbeiterverteilung!A71</f>
        <v/>
      </c>
      <c r="C86" s="150">
        <f>Mitarbeiterverteilung!BH71</f>
        <v>0</v>
      </c>
      <c r="D86" s="151">
        <f t="shared" si="15"/>
        <v>0</v>
      </c>
      <c r="E86" s="717"/>
      <c r="F86" s="152">
        <f t="shared" si="16"/>
        <v>0</v>
      </c>
      <c r="G86" s="717"/>
      <c r="H86" s="153">
        <f t="shared" si="17"/>
        <v>0</v>
      </c>
      <c r="I86" s="154">
        <f t="shared" si="18"/>
        <v>0</v>
      </c>
      <c r="J86" s="717"/>
      <c r="K86" s="153">
        <f t="shared" si="19"/>
        <v>0</v>
      </c>
      <c r="L86" s="85"/>
    </row>
    <row r="87" spans="2:12" outlineLevel="1" x14ac:dyDescent="0.2">
      <c r="B87" s="161" t="str">
        <f>Mitarbeiterverteilung!A72</f>
        <v/>
      </c>
      <c r="C87" s="150">
        <f>Mitarbeiterverteilung!BH72</f>
        <v>0</v>
      </c>
      <c r="D87" s="151">
        <f t="shared" si="15"/>
        <v>0</v>
      </c>
      <c r="E87" s="717"/>
      <c r="F87" s="152">
        <f t="shared" si="16"/>
        <v>0</v>
      </c>
      <c r="G87" s="717"/>
      <c r="H87" s="153">
        <f t="shared" si="17"/>
        <v>0</v>
      </c>
      <c r="I87" s="154">
        <f t="shared" si="18"/>
        <v>0</v>
      </c>
      <c r="J87" s="717"/>
      <c r="K87" s="153">
        <f t="shared" si="19"/>
        <v>0</v>
      </c>
      <c r="L87" s="85"/>
    </row>
    <row r="88" spans="2:12" outlineLevel="1" x14ac:dyDescent="0.2">
      <c r="B88" s="161" t="str">
        <f>Mitarbeiterverteilung!A73</f>
        <v/>
      </c>
      <c r="C88" s="150">
        <f>Mitarbeiterverteilung!BH73</f>
        <v>0</v>
      </c>
      <c r="D88" s="151">
        <f t="shared" si="15"/>
        <v>0</v>
      </c>
      <c r="E88" s="717"/>
      <c r="F88" s="152">
        <f t="shared" si="16"/>
        <v>0</v>
      </c>
      <c r="G88" s="717"/>
      <c r="H88" s="153">
        <f t="shared" si="17"/>
        <v>0</v>
      </c>
      <c r="I88" s="154">
        <f t="shared" si="18"/>
        <v>0</v>
      </c>
      <c r="J88" s="717"/>
      <c r="K88" s="153">
        <f t="shared" si="19"/>
        <v>0</v>
      </c>
      <c r="L88" s="85"/>
    </row>
    <row r="89" spans="2:12" outlineLevel="1" x14ac:dyDescent="0.2">
      <c r="B89" s="161" t="str">
        <f>Mitarbeiterverteilung!A74</f>
        <v/>
      </c>
      <c r="C89" s="150">
        <f>Mitarbeiterverteilung!BH74</f>
        <v>0</v>
      </c>
      <c r="D89" s="151">
        <f t="shared" si="15"/>
        <v>0</v>
      </c>
      <c r="E89" s="717"/>
      <c r="F89" s="152">
        <f t="shared" si="16"/>
        <v>0</v>
      </c>
      <c r="G89" s="717"/>
      <c r="H89" s="153">
        <f t="shared" si="17"/>
        <v>0</v>
      </c>
      <c r="I89" s="154">
        <f t="shared" si="18"/>
        <v>0</v>
      </c>
      <c r="J89" s="717"/>
      <c r="K89" s="153">
        <f t="shared" si="19"/>
        <v>0</v>
      </c>
      <c r="L89" s="85"/>
    </row>
    <row r="90" spans="2:12" outlineLevel="1" x14ac:dyDescent="0.2">
      <c r="B90" s="161" t="str">
        <f>Mitarbeiterverteilung!A75</f>
        <v/>
      </c>
      <c r="C90" s="150">
        <f>Mitarbeiterverteilung!BH75</f>
        <v>0</v>
      </c>
      <c r="D90" s="151">
        <f t="shared" si="15"/>
        <v>0</v>
      </c>
      <c r="E90" s="717"/>
      <c r="F90" s="152">
        <f t="shared" si="16"/>
        <v>0</v>
      </c>
      <c r="G90" s="717"/>
      <c r="H90" s="153">
        <f t="shared" si="17"/>
        <v>0</v>
      </c>
      <c r="I90" s="154">
        <f t="shared" si="18"/>
        <v>0</v>
      </c>
      <c r="J90" s="717"/>
      <c r="K90" s="153">
        <f t="shared" si="19"/>
        <v>0</v>
      </c>
      <c r="L90" s="85"/>
    </row>
    <row r="91" spans="2:12" outlineLevel="1" x14ac:dyDescent="0.2">
      <c r="B91" s="161" t="str">
        <f>Mitarbeiterverteilung!A76</f>
        <v/>
      </c>
      <c r="C91" s="150">
        <f>Mitarbeiterverteilung!BH76</f>
        <v>0</v>
      </c>
      <c r="D91" s="151">
        <f t="shared" si="15"/>
        <v>0</v>
      </c>
      <c r="E91" s="717"/>
      <c r="F91" s="152">
        <f t="shared" si="16"/>
        <v>0</v>
      </c>
      <c r="G91" s="717"/>
      <c r="H91" s="153">
        <f t="shared" si="17"/>
        <v>0</v>
      </c>
      <c r="I91" s="154">
        <f t="shared" si="18"/>
        <v>0</v>
      </c>
      <c r="J91" s="717"/>
      <c r="K91" s="153">
        <f t="shared" si="19"/>
        <v>0</v>
      </c>
      <c r="L91" s="85"/>
    </row>
    <row r="92" spans="2:12" outlineLevel="1" x14ac:dyDescent="0.2">
      <c r="B92" s="161" t="str">
        <f>Mitarbeiterverteilung!A77</f>
        <v/>
      </c>
      <c r="C92" s="150">
        <f>Mitarbeiterverteilung!BH77</f>
        <v>0</v>
      </c>
      <c r="D92" s="151">
        <f t="shared" si="15"/>
        <v>0</v>
      </c>
      <c r="E92" s="717"/>
      <c r="F92" s="152">
        <f t="shared" si="16"/>
        <v>0</v>
      </c>
      <c r="G92" s="717"/>
      <c r="H92" s="153">
        <f t="shared" si="17"/>
        <v>0</v>
      </c>
      <c r="I92" s="154">
        <f t="shared" si="18"/>
        <v>0</v>
      </c>
      <c r="J92" s="717"/>
      <c r="K92" s="153">
        <f t="shared" si="19"/>
        <v>0</v>
      </c>
      <c r="L92" s="85"/>
    </row>
    <row r="93" spans="2:12" outlineLevel="1" x14ac:dyDescent="0.2">
      <c r="B93" s="161" t="str">
        <f>Mitarbeiterverteilung!A78</f>
        <v/>
      </c>
      <c r="C93" s="150">
        <f>Mitarbeiterverteilung!BH78</f>
        <v>0</v>
      </c>
      <c r="D93" s="151">
        <f t="shared" si="15"/>
        <v>0</v>
      </c>
      <c r="E93" s="717"/>
      <c r="F93" s="152">
        <f t="shared" si="16"/>
        <v>0</v>
      </c>
      <c r="G93" s="717"/>
      <c r="H93" s="153">
        <f t="shared" si="17"/>
        <v>0</v>
      </c>
      <c r="I93" s="154">
        <f t="shared" si="18"/>
        <v>0</v>
      </c>
      <c r="J93" s="717"/>
      <c r="K93" s="153">
        <f t="shared" si="19"/>
        <v>0</v>
      </c>
      <c r="L93" s="85"/>
    </row>
    <row r="94" spans="2:12" outlineLevel="1" x14ac:dyDescent="0.2">
      <c r="B94" s="161" t="str">
        <f>Mitarbeiterverteilung!A79</f>
        <v/>
      </c>
      <c r="C94" s="150">
        <f>Mitarbeiterverteilung!BH79</f>
        <v>0</v>
      </c>
      <c r="D94" s="151">
        <f t="shared" si="15"/>
        <v>0</v>
      </c>
      <c r="E94" s="717"/>
      <c r="F94" s="152">
        <f t="shared" si="16"/>
        <v>0</v>
      </c>
      <c r="G94" s="717"/>
      <c r="H94" s="153">
        <f t="shared" si="17"/>
        <v>0</v>
      </c>
      <c r="I94" s="154">
        <f t="shared" si="18"/>
        <v>0</v>
      </c>
      <c r="J94" s="717"/>
      <c r="K94" s="153">
        <f t="shared" si="19"/>
        <v>0</v>
      </c>
      <c r="L94" s="85"/>
    </row>
    <row r="95" spans="2:12" outlineLevel="1" x14ac:dyDescent="0.2">
      <c r="B95" s="161" t="str">
        <f>Mitarbeiterverteilung!A80</f>
        <v/>
      </c>
      <c r="C95" s="150">
        <f>Mitarbeiterverteilung!BH80</f>
        <v>0</v>
      </c>
      <c r="D95" s="151">
        <f t="shared" si="15"/>
        <v>0</v>
      </c>
      <c r="E95" s="717"/>
      <c r="F95" s="152">
        <f t="shared" si="16"/>
        <v>0</v>
      </c>
      <c r="G95" s="717"/>
      <c r="H95" s="153">
        <f t="shared" si="17"/>
        <v>0</v>
      </c>
      <c r="I95" s="154">
        <f t="shared" si="18"/>
        <v>0</v>
      </c>
      <c r="J95" s="717"/>
      <c r="K95" s="153">
        <f t="shared" si="19"/>
        <v>0</v>
      </c>
      <c r="L95" s="85"/>
    </row>
    <row r="96" spans="2:12" outlineLevel="1" x14ac:dyDescent="0.2">
      <c r="B96" s="161" t="str">
        <f>Mitarbeiterverteilung!A81</f>
        <v/>
      </c>
      <c r="C96" s="150">
        <f>Mitarbeiterverteilung!BH81</f>
        <v>0</v>
      </c>
      <c r="D96" s="151">
        <f t="shared" si="15"/>
        <v>0</v>
      </c>
      <c r="E96" s="717"/>
      <c r="F96" s="152">
        <f t="shared" si="16"/>
        <v>0</v>
      </c>
      <c r="G96" s="717"/>
      <c r="H96" s="153">
        <f t="shared" si="17"/>
        <v>0</v>
      </c>
      <c r="I96" s="154">
        <f t="shared" si="18"/>
        <v>0</v>
      </c>
      <c r="J96" s="717"/>
      <c r="K96" s="153">
        <f t="shared" si="19"/>
        <v>0</v>
      </c>
      <c r="L96" s="85"/>
    </row>
    <row r="97" spans="2:12" outlineLevel="1" x14ac:dyDescent="0.2">
      <c r="B97" s="161" t="str">
        <f>Mitarbeiterverteilung!A82</f>
        <v/>
      </c>
      <c r="C97" s="150">
        <f>Mitarbeiterverteilung!BH82</f>
        <v>0</v>
      </c>
      <c r="D97" s="151">
        <f t="shared" si="15"/>
        <v>0</v>
      </c>
      <c r="E97" s="717"/>
      <c r="F97" s="152">
        <f t="shared" si="16"/>
        <v>0</v>
      </c>
      <c r="G97" s="717"/>
      <c r="H97" s="153">
        <f t="shared" si="17"/>
        <v>0</v>
      </c>
      <c r="I97" s="154">
        <f t="shared" si="18"/>
        <v>0</v>
      </c>
      <c r="J97" s="717"/>
      <c r="K97" s="153">
        <f t="shared" si="19"/>
        <v>0</v>
      </c>
      <c r="L97" s="85"/>
    </row>
    <row r="98" spans="2:12" outlineLevel="1" x14ac:dyDescent="0.2">
      <c r="B98" s="161" t="str">
        <f>Mitarbeiterverteilung!A83</f>
        <v/>
      </c>
      <c r="C98" s="150">
        <f>Mitarbeiterverteilung!BH83</f>
        <v>0</v>
      </c>
      <c r="D98" s="151">
        <f t="shared" si="15"/>
        <v>0</v>
      </c>
      <c r="E98" s="717"/>
      <c r="F98" s="152">
        <f t="shared" si="16"/>
        <v>0</v>
      </c>
      <c r="G98" s="717"/>
      <c r="H98" s="153">
        <f t="shared" si="17"/>
        <v>0</v>
      </c>
      <c r="I98" s="154">
        <f t="shared" si="18"/>
        <v>0</v>
      </c>
      <c r="J98" s="717"/>
      <c r="K98" s="153">
        <f t="shared" si="19"/>
        <v>0</v>
      </c>
      <c r="L98" s="85"/>
    </row>
    <row r="99" spans="2:12" outlineLevel="1" x14ac:dyDescent="0.2">
      <c r="B99" s="161" t="str">
        <f>Mitarbeiterverteilung!A84</f>
        <v/>
      </c>
      <c r="C99" s="150">
        <f>Mitarbeiterverteilung!BH84</f>
        <v>0</v>
      </c>
      <c r="D99" s="151">
        <f t="shared" si="15"/>
        <v>0</v>
      </c>
      <c r="E99" s="717"/>
      <c r="F99" s="152">
        <f t="shared" si="16"/>
        <v>0</v>
      </c>
      <c r="G99" s="717"/>
      <c r="H99" s="153">
        <f t="shared" si="17"/>
        <v>0</v>
      </c>
      <c r="I99" s="154">
        <f t="shared" si="18"/>
        <v>0</v>
      </c>
      <c r="J99" s="717"/>
      <c r="K99" s="153">
        <f t="shared" si="19"/>
        <v>0</v>
      </c>
      <c r="L99" s="85"/>
    </row>
    <row r="100" spans="2:12" outlineLevel="1" x14ac:dyDescent="0.2">
      <c r="B100" s="161" t="str">
        <f>Mitarbeiterverteilung!A85</f>
        <v/>
      </c>
      <c r="C100" s="150">
        <f>Mitarbeiterverteilung!BH85</f>
        <v>0</v>
      </c>
      <c r="D100" s="151">
        <f t="shared" si="15"/>
        <v>0</v>
      </c>
      <c r="E100" s="717"/>
      <c r="F100" s="152">
        <f t="shared" si="16"/>
        <v>0</v>
      </c>
      <c r="G100" s="717"/>
      <c r="H100" s="153">
        <f t="shared" si="17"/>
        <v>0</v>
      </c>
      <c r="I100" s="154">
        <f t="shared" si="18"/>
        <v>0</v>
      </c>
      <c r="J100" s="717"/>
      <c r="K100" s="153">
        <f t="shared" si="19"/>
        <v>0</v>
      </c>
      <c r="L100" s="85"/>
    </row>
    <row r="101" spans="2:12" outlineLevel="1" x14ac:dyDescent="0.2">
      <c r="B101" s="161" t="str">
        <f>Mitarbeiterverteilung!A86</f>
        <v/>
      </c>
      <c r="C101" s="150">
        <f>Mitarbeiterverteilung!BH86</f>
        <v>0</v>
      </c>
      <c r="D101" s="151">
        <f t="shared" si="15"/>
        <v>0</v>
      </c>
      <c r="E101" s="717"/>
      <c r="F101" s="152">
        <f t="shared" si="16"/>
        <v>0</v>
      </c>
      <c r="G101" s="717"/>
      <c r="H101" s="153">
        <f t="shared" si="17"/>
        <v>0</v>
      </c>
      <c r="I101" s="154">
        <f t="shared" si="18"/>
        <v>0</v>
      </c>
      <c r="J101" s="717"/>
      <c r="K101" s="153">
        <f t="shared" si="19"/>
        <v>0</v>
      </c>
      <c r="L101" s="85"/>
    </row>
    <row r="102" spans="2:12" outlineLevel="1" x14ac:dyDescent="0.2">
      <c r="B102" s="161" t="str">
        <f>Mitarbeiterverteilung!A87</f>
        <v/>
      </c>
      <c r="C102" s="150">
        <f>Mitarbeiterverteilung!BH87</f>
        <v>0</v>
      </c>
      <c r="D102" s="151">
        <f t="shared" si="15"/>
        <v>0</v>
      </c>
      <c r="E102" s="717"/>
      <c r="F102" s="152">
        <f t="shared" si="16"/>
        <v>0</v>
      </c>
      <c r="G102" s="717"/>
      <c r="H102" s="153">
        <f t="shared" si="17"/>
        <v>0</v>
      </c>
      <c r="I102" s="154">
        <f t="shared" si="18"/>
        <v>0</v>
      </c>
      <c r="J102" s="717"/>
      <c r="K102" s="153">
        <f t="shared" si="19"/>
        <v>0</v>
      </c>
      <c r="L102" s="85"/>
    </row>
    <row r="103" spans="2:12" outlineLevel="1" x14ac:dyDescent="0.2">
      <c r="B103" s="161" t="str">
        <f>Mitarbeiterverteilung!A88</f>
        <v/>
      </c>
      <c r="C103" s="150">
        <f>Mitarbeiterverteilung!BH88</f>
        <v>0</v>
      </c>
      <c r="D103" s="151">
        <f t="shared" si="15"/>
        <v>0</v>
      </c>
      <c r="E103" s="717"/>
      <c r="F103" s="152">
        <f t="shared" si="16"/>
        <v>0</v>
      </c>
      <c r="G103" s="717"/>
      <c r="H103" s="153">
        <f t="shared" si="17"/>
        <v>0</v>
      </c>
      <c r="I103" s="154">
        <f t="shared" si="18"/>
        <v>0</v>
      </c>
      <c r="J103" s="717"/>
      <c r="K103" s="153">
        <f t="shared" si="19"/>
        <v>0</v>
      </c>
      <c r="L103" s="85"/>
    </row>
    <row r="104" spans="2:12" outlineLevel="1" x14ac:dyDescent="0.2">
      <c r="B104" s="161" t="str">
        <f>Mitarbeiterverteilung!A89</f>
        <v/>
      </c>
      <c r="C104" s="150">
        <f>Mitarbeiterverteilung!BH89</f>
        <v>0</v>
      </c>
      <c r="D104" s="151">
        <f t="shared" si="15"/>
        <v>0</v>
      </c>
      <c r="E104" s="717"/>
      <c r="F104" s="152">
        <f t="shared" si="16"/>
        <v>0</v>
      </c>
      <c r="G104" s="717"/>
      <c r="H104" s="153">
        <f t="shared" si="17"/>
        <v>0</v>
      </c>
      <c r="I104" s="154">
        <f t="shared" si="18"/>
        <v>0</v>
      </c>
      <c r="J104" s="717"/>
      <c r="K104" s="153">
        <f t="shared" si="19"/>
        <v>0</v>
      </c>
      <c r="L104" s="85"/>
    </row>
    <row r="105" spans="2:12" outlineLevel="1" x14ac:dyDescent="0.2">
      <c r="B105" s="161" t="str">
        <f>Mitarbeiterverteilung!A90</f>
        <v/>
      </c>
      <c r="C105" s="150">
        <f>Mitarbeiterverteilung!BH90</f>
        <v>0</v>
      </c>
      <c r="D105" s="151">
        <f t="shared" si="15"/>
        <v>0</v>
      </c>
      <c r="E105" s="717"/>
      <c r="F105" s="152">
        <f t="shared" si="16"/>
        <v>0</v>
      </c>
      <c r="G105" s="717"/>
      <c r="H105" s="153">
        <f t="shared" si="17"/>
        <v>0</v>
      </c>
      <c r="I105" s="154">
        <f t="shared" si="18"/>
        <v>0</v>
      </c>
      <c r="J105" s="717"/>
      <c r="K105" s="153">
        <f t="shared" si="19"/>
        <v>0</v>
      </c>
      <c r="L105" s="85"/>
    </row>
    <row r="106" spans="2:12" outlineLevel="1" x14ac:dyDescent="0.2">
      <c r="B106" s="161" t="str">
        <f>Mitarbeiterverteilung!A91</f>
        <v/>
      </c>
      <c r="C106" s="150">
        <f>Mitarbeiterverteilung!BH91</f>
        <v>0</v>
      </c>
      <c r="D106" s="151">
        <f t="shared" si="15"/>
        <v>0</v>
      </c>
      <c r="E106" s="717"/>
      <c r="F106" s="152">
        <f t="shared" si="16"/>
        <v>0</v>
      </c>
      <c r="G106" s="717"/>
      <c r="H106" s="153">
        <f t="shared" si="17"/>
        <v>0</v>
      </c>
      <c r="I106" s="154">
        <f t="shared" si="18"/>
        <v>0</v>
      </c>
      <c r="J106" s="717"/>
      <c r="K106" s="153">
        <f t="shared" si="19"/>
        <v>0</v>
      </c>
      <c r="L106" s="85"/>
    </row>
    <row r="107" spans="2:12" outlineLevel="1" x14ac:dyDescent="0.2">
      <c r="B107" s="161" t="str">
        <f>Mitarbeiterverteilung!A92</f>
        <v/>
      </c>
      <c r="C107" s="150">
        <f>Mitarbeiterverteilung!BH92</f>
        <v>0</v>
      </c>
      <c r="D107" s="151">
        <f t="shared" si="15"/>
        <v>0</v>
      </c>
      <c r="E107" s="717"/>
      <c r="F107" s="152">
        <f t="shared" si="16"/>
        <v>0</v>
      </c>
      <c r="G107" s="717"/>
      <c r="H107" s="153">
        <f t="shared" si="17"/>
        <v>0</v>
      </c>
      <c r="I107" s="154">
        <f t="shared" si="18"/>
        <v>0</v>
      </c>
      <c r="J107" s="717"/>
      <c r="K107" s="153">
        <f t="shared" si="19"/>
        <v>0</v>
      </c>
      <c r="L107" s="85"/>
    </row>
    <row r="108" spans="2:12" outlineLevel="1" x14ac:dyDescent="0.2">
      <c r="B108" s="161" t="str">
        <f>Mitarbeiterverteilung!A93</f>
        <v/>
      </c>
      <c r="C108" s="150">
        <f>Mitarbeiterverteilung!BH93</f>
        <v>0</v>
      </c>
      <c r="D108" s="151">
        <f t="shared" si="15"/>
        <v>0</v>
      </c>
      <c r="E108" s="717"/>
      <c r="F108" s="152">
        <f t="shared" si="16"/>
        <v>0</v>
      </c>
      <c r="G108" s="717"/>
      <c r="H108" s="153">
        <f t="shared" si="17"/>
        <v>0</v>
      </c>
      <c r="I108" s="154">
        <f t="shared" si="18"/>
        <v>0</v>
      </c>
      <c r="J108" s="717"/>
      <c r="K108" s="153">
        <f t="shared" si="19"/>
        <v>0</v>
      </c>
      <c r="L108" s="85"/>
    </row>
    <row r="109" spans="2:12" outlineLevel="1" x14ac:dyDescent="0.2">
      <c r="B109" s="161" t="str">
        <f>Mitarbeiterverteilung!A94</f>
        <v/>
      </c>
      <c r="C109" s="150">
        <f>Mitarbeiterverteilung!BH94</f>
        <v>0</v>
      </c>
      <c r="D109" s="151">
        <f t="shared" si="15"/>
        <v>0</v>
      </c>
      <c r="E109" s="717"/>
      <c r="F109" s="152">
        <f t="shared" si="16"/>
        <v>0</v>
      </c>
      <c r="G109" s="717"/>
      <c r="H109" s="153">
        <f t="shared" si="17"/>
        <v>0</v>
      </c>
      <c r="I109" s="154">
        <f t="shared" si="18"/>
        <v>0</v>
      </c>
      <c r="J109" s="717"/>
      <c r="K109" s="153">
        <f t="shared" si="19"/>
        <v>0</v>
      </c>
      <c r="L109" s="85"/>
    </row>
    <row r="110" spans="2:12" outlineLevel="1" x14ac:dyDescent="0.2">
      <c r="B110" s="161" t="str">
        <f>Mitarbeiterverteilung!A95</f>
        <v/>
      </c>
      <c r="C110" s="150">
        <f>Mitarbeiterverteilung!BH95</f>
        <v>0</v>
      </c>
      <c r="D110" s="151">
        <f t="shared" si="15"/>
        <v>0</v>
      </c>
      <c r="E110" s="717"/>
      <c r="F110" s="152">
        <f t="shared" si="16"/>
        <v>0</v>
      </c>
      <c r="G110" s="717"/>
      <c r="H110" s="153">
        <f t="shared" si="17"/>
        <v>0</v>
      </c>
      <c r="I110" s="154">
        <f t="shared" si="18"/>
        <v>0</v>
      </c>
      <c r="J110" s="717"/>
      <c r="K110" s="153">
        <f t="shared" si="19"/>
        <v>0</v>
      </c>
      <c r="L110" s="85"/>
    </row>
    <row r="111" spans="2:12" outlineLevel="1" x14ac:dyDescent="0.2">
      <c r="B111" s="161" t="str">
        <f>Mitarbeiterverteilung!A96</f>
        <v/>
      </c>
      <c r="C111" s="150">
        <f>Mitarbeiterverteilung!BH96</f>
        <v>0</v>
      </c>
      <c r="D111" s="151">
        <f t="shared" si="15"/>
        <v>0</v>
      </c>
      <c r="E111" s="717"/>
      <c r="F111" s="152">
        <f t="shared" si="16"/>
        <v>0</v>
      </c>
      <c r="G111" s="717"/>
      <c r="H111" s="153">
        <f t="shared" si="17"/>
        <v>0</v>
      </c>
      <c r="I111" s="154">
        <f t="shared" si="18"/>
        <v>0</v>
      </c>
      <c r="J111" s="717"/>
      <c r="K111" s="153">
        <f t="shared" si="19"/>
        <v>0</v>
      </c>
      <c r="L111" s="85"/>
    </row>
    <row r="112" spans="2:12" outlineLevel="1" x14ac:dyDescent="0.2">
      <c r="B112" s="161" t="str">
        <f>Mitarbeiterverteilung!A97</f>
        <v/>
      </c>
      <c r="C112" s="150">
        <f>Mitarbeiterverteilung!BH97</f>
        <v>0</v>
      </c>
      <c r="D112" s="151">
        <f t="shared" si="15"/>
        <v>0</v>
      </c>
      <c r="E112" s="717"/>
      <c r="F112" s="152">
        <f t="shared" si="16"/>
        <v>0</v>
      </c>
      <c r="G112" s="717"/>
      <c r="H112" s="153">
        <f t="shared" si="17"/>
        <v>0</v>
      </c>
      <c r="I112" s="154">
        <f t="shared" si="18"/>
        <v>0</v>
      </c>
      <c r="J112" s="717"/>
      <c r="K112" s="153">
        <f t="shared" si="19"/>
        <v>0</v>
      </c>
      <c r="L112" s="85"/>
    </row>
    <row r="113" spans="1:12" outlineLevel="1" x14ac:dyDescent="0.2">
      <c r="B113" s="161" t="str">
        <f>Mitarbeiterverteilung!A98</f>
        <v/>
      </c>
      <c r="C113" s="150">
        <f>Mitarbeiterverteilung!BH98</f>
        <v>0</v>
      </c>
      <c r="D113" s="151">
        <f t="shared" si="15"/>
        <v>0</v>
      </c>
      <c r="E113" s="717"/>
      <c r="F113" s="152">
        <f t="shared" si="16"/>
        <v>0</v>
      </c>
      <c r="G113" s="717"/>
      <c r="H113" s="153">
        <f t="shared" si="17"/>
        <v>0</v>
      </c>
      <c r="I113" s="154">
        <f t="shared" si="18"/>
        <v>0</v>
      </c>
      <c r="J113" s="717"/>
      <c r="K113" s="153">
        <f t="shared" si="19"/>
        <v>0</v>
      </c>
      <c r="L113" s="85"/>
    </row>
    <row r="114" spans="1:12" outlineLevel="1" x14ac:dyDescent="0.2">
      <c r="B114" s="161" t="str">
        <f>Mitarbeiterverteilung!A99</f>
        <v/>
      </c>
      <c r="C114" s="150">
        <f>Mitarbeiterverteilung!BH99</f>
        <v>0</v>
      </c>
      <c r="D114" s="151">
        <f t="shared" si="15"/>
        <v>0</v>
      </c>
      <c r="E114" s="717"/>
      <c r="F114" s="152">
        <f t="shared" si="16"/>
        <v>0</v>
      </c>
      <c r="G114" s="717"/>
      <c r="H114" s="153">
        <f t="shared" si="17"/>
        <v>0</v>
      </c>
      <c r="I114" s="154">
        <f t="shared" si="18"/>
        <v>0</v>
      </c>
      <c r="J114" s="717"/>
      <c r="K114" s="153">
        <f t="shared" si="19"/>
        <v>0</v>
      </c>
      <c r="L114" s="85"/>
    </row>
    <row r="115" spans="1:12" outlineLevel="1" x14ac:dyDescent="0.2">
      <c r="B115" s="161" t="str">
        <f>Mitarbeiterverteilung!A100</f>
        <v/>
      </c>
      <c r="C115" s="150">
        <f>Mitarbeiterverteilung!BH100</f>
        <v>0</v>
      </c>
      <c r="D115" s="151">
        <f t="shared" si="15"/>
        <v>0</v>
      </c>
      <c r="E115" s="717"/>
      <c r="F115" s="152">
        <f t="shared" si="16"/>
        <v>0</v>
      </c>
      <c r="G115" s="717"/>
      <c r="H115" s="153">
        <f t="shared" si="17"/>
        <v>0</v>
      </c>
      <c r="I115" s="154">
        <f t="shared" si="18"/>
        <v>0</v>
      </c>
      <c r="J115" s="717"/>
      <c r="K115" s="153">
        <f t="shared" si="19"/>
        <v>0</v>
      </c>
      <c r="L115" s="85"/>
    </row>
    <row r="116" spans="1:12" outlineLevel="1" x14ac:dyDescent="0.2">
      <c r="B116" s="161" t="str">
        <f>Mitarbeiterverteilung!A101</f>
        <v/>
      </c>
      <c r="C116" s="150">
        <f>Mitarbeiterverteilung!BH101</f>
        <v>0</v>
      </c>
      <c r="D116" s="151">
        <f t="shared" si="15"/>
        <v>0</v>
      </c>
      <c r="E116" s="717"/>
      <c r="F116" s="152">
        <f t="shared" si="16"/>
        <v>0</v>
      </c>
      <c r="G116" s="717"/>
      <c r="H116" s="153">
        <f t="shared" si="17"/>
        <v>0</v>
      </c>
      <c r="I116" s="154">
        <f t="shared" si="18"/>
        <v>0</v>
      </c>
      <c r="J116" s="717"/>
      <c r="K116" s="153">
        <f t="shared" si="19"/>
        <v>0</v>
      </c>
      <c r="L116" s="85"/>
    </row>
    <row r="117" spans="1:12" outlineLevel="1" x14ac:dyDescent="0.2">
      <c r="B117" s="161" t="str">
        <f>Mitarbeiterverteilung!A102</f>
        <v/>
      </c>
      <c r="C117" s="150">
        <f>Mitarbeiterverteilung!BH102</f>
        <v>0</v>
      </c>
      <c r="D117" s="151">
        <f t="shared" si="15"/>
        <v>0</v>
      </c>
      <c r="E117" s="717"/>
      <c r="F117" s="152">
        <f t="shared" si="16"/>
        <v>0</v>
      </c>
      <c r="G117" s="717"/>
      <c r="H117" s="153">
        <f t="shared" si="17"/>
        <v>0</v>
      </c>
      <c r="I117" s="154">
        <f t="shared" si="18"/>
        <v>0</v>
      </c>
      <c r="J117" s="717"/>
      <c r="K117" s="153">
        <f t="shared" si="19"/>
        <v>0</v>
      </c>
      <c r="L117" s="85"/>
    </row>
    <row r="118" spans="1:12" outlineLevel="1" x14ac:dyDescent="0.2">
      <c r="B118" s="161" t="str">
        <f>Mitarbeiterverteilung!A103</f>
        <v/>
      </c>
      <c r="C118" s="150">
        <f>Mitarbeiterverteilung!BH103</f>
        <v>0</v>
      </c>
      <c r="D118" s="151">
        <f t="shared" si="15"/>
        <v>0</v>
      </c>
      <c r="E118" s="717"/>
      <c r="F118" s="152">
        <f t="shared" si="16"/>
        <v>0</v>
      </c>
      <c r="G118" s="717"/>
      <c r="H118" s="153">
        <f t="shared" si="17"/>
        <v>0</v>
      </c>
      <c r="I118" s="154">
        <f t="shared" si="18"/>
        <v>0</v>
      </c>
      <c r="J118" s="717"/>
      <c r="K118" s="153">
        <f t="shared" si="19"/>
        <v>0</v>
      </c>
      <c r="L118" s="85"/>
    </row>
    <row r="119" spans="1:12" hidden="1" outlineLevel="1" x14ac:dyDescent="0.2">
      <c r="B119" s="161" t="str">
        <f>Mitarbeiterverteilung!A104</f>
        <v/>
      </c>
      <c r="C119" s="150">
        <f>Mitarbeiterverteilung!BH104</f>
        <v>0</v>
      </c>
      <c r="D119" s="151">
        <f t="shared" si="15"/>
        <v>0</v>
      </c>
      <c r="E119" s="717"/>
      <c r="F119" s="152">
        <f t="shared" si="16"/>
        <v>0</v>
      </c>
      <c r="G119" s="717"/>
      <c r="H119" s="153">
        <f t="shared" si="17"/>
        <v>0</v>
      </c>
      <c r="I119" s="154">
        <f t="shared" si="18"/>
        <v>0</v>
      </c>
      <c r="J119" s="717"/>
      <c r="K119" s="153">
        <f t="shared" si="19"/>
        <v>0</v>
      </c>
      <c r="L119" s="85"/>
    </row>
    <row r="120" spans="1:12" hidden="1" outlineLevel="1" x14ac:dyDescent="0.2">
      <c r="B120" s="161" t="str">
        <f>Mitarbeiterverteilung!A105</f>
        <v/>
      </c>
      <c r="C120" s="150">
        <f>Mitarbeiterverteilung!BH105</f>
        <v>0</v>
      </c>
      <c r="D120" s="151">
        <f t="shared" si="15"/>
        <v>0</v>
      </c>
      <c r="E120" s="717"/>
      <c r="F120" s="152">
        <f t="shared" si="16"/>
        <v>0</v>
      </c>
      <c r="G120" s="717"/>
      <c r="H120" s="153">
        <f t="shared" si="17"/>
        <v>0</v>
      </c>
      <c r="I120" s="154">
        <f t="shared" si="18"/>
        <v>0</v>
      </c>
      <c r="J120" s="717"/>
      <c r="K120" s="153">
        <f t="shared" si="19"/>
        <v>0</v>
      </c>
      <c r="L120" s="85"/>
    </row>
    <row r="121" spans="1:12" x14ac:dyDescent="0.2">
      <c r="B121" s="162" t="str">
        <f>Mitarbeiterverteilung!A106</f>
        <v/>
      </c>
      <c r="C121" s="155">
        <f>Mitarbeiterverteilung!BH106</f>
        <v>0</v>
      </c>
      <c r="D121" s="156">
        <f t="shared" si="15"/>
        <v>0</v>
      </c>
      <c r="E121" s="718"/>
      <c r="F121" s="157">
        <f t="shared" si="16"/>
        <v>0</v>
      </c>
      <c r="G121" s="718"/>
      <c r="H121" s="158">
        <f t="shared" si="17"/>
        <v>0</v>
      </c>
      <c r="I121" s="159">
        <f t="shared" si="18"/>
        <v>0</v>
      </c>
      <c r="J121" s="718"/>
      <c r="K121" s="158">
        <f t="shared" si="19"/>
        <v>0</v>
      </c>
      <c r="L121" s="85"/>
    </row>
    <row r="122" spans="1:12" x14ac:dyDescent="0.2">
      <c r="B122" s="4"/>
      <c r="C122" s="4"/>
      <c r="D122" s="4"/>
      <c r="E122" s="4"/>
      <c r="L122" s="85"/>
    </row>
    <row r="123" spans="1:12" s="4" customFormat="1" x14ac:dyDescent="0.2">
      <c r="A123" s="85"/>
      <c r="C123" s="85"/>
      <c r="D123" s="89" t="s">
        <v>516</v>
      </c>
      <c r="E123" s="85"/>
      <c r="F123" s="118">
        <f>+SUM(F4:F122)</f>
        <v>0</v>
      </c>
      <c r="G123" s="89" t="s">
        <v>517</v>
      </c>
      <c r="I123" s="118">
        <f>+SUM(I4:I122)</f>
        <v>0</v>
      </c>
      <c r="J123" s="749"/>
      <c r="K123" s="750"/>
      <c r="L123" s="85"/>
    </row>
    <row r="124" spans="1:12" s="4" customFormat="1" x14ac:dyDescent="0.2">
      <c r="A124" s="85"/>
      <c r="C124" s="85"/>
      <c r="D124" s="85"/>
      <c r="E124" s="85"/>
      <c r="J124" s="750"/>
      <c r="K124" s="750"/>
      <c r="L124" s="85"/>
    </row>
    <row r="125" spans="1:12" s="4" customFormat="1" x14ac:dyDescent="0.2">
      <c r="A125" s="85"/>
      <c r="C125" s="85"/>
      <c r="D125" s="89" t="s">
        <v>518</v>
      </c>
      <c r="E125" s="85"/>
      <c r="F125" s="109">
        <f>+Kostenverteilung!X25</f>
        <v>0</v>
      </c>
      <c r="G125" s="89" t="s">
        <v>519</v>
      </c>
      <c r="I125" s="112">
        <f>Mitarbeiterverteilung!AA107</f>
        <v>0</v>
      </c>
      <c r="J125" s="749"/>
      <c r="K125" s="750"/>
      <c r="L125" s="85"/>
    </row>
    <row r="126" spans="1:12" s="4" customFormat="1" x14ac:dyDescent="0.2">
      <c r="A126" s="85"/>
      <c r="C126" s="85"/>
      <c r="D126" s="89"/>
      <c r="E126" s="85"/>
      <c r="F126" s="119"/>
      <c r="G126" s="89"/>
      <c r="I126" s="120"/>
      <c r="J126" s="749"/>
      <c r="K126" s="750"/>
      <c r="L126" s="85"/>
    </row>
    <row r="127" spans="1:12" s="4" customFormat="1" x14ac:dyDescent="0.2">
      <c r="A127" s="85"/>
      <c r="C127" s="85"/>
      <c r="D127" s="89"/>
      <c r="E127" s="85"/>
      <c r="F127" s="119"/>
      <c r="G127" s="89" t="s">
        <v>520</v>
      </c>
      <c r="I127" s="112">
        <f>Mitarbeiterverteilung!AL107</f>
        <v>0</v>
      </c>
      <c r="J127" s="749"/>
      <c r="K127" s="750"/>
      <c r="L127" s="85"/>
    </row>
    <row r="128" spans="1:12" s="4" customFormat="1" x14ac:dyDescent="0.2">
      <c r="A128" s="85"/>
      <c r="C128" s="85"/>
      <c r="D128" s="89"/>
      <c r="E128" s="85"/>
      <c r="F128" s="119"/>
      <c r="G128" s="89"/>
      <c r="I128" s="120"/>
      <c r="J128" s="749"/>
      <c r="K128" s="750"/>
      <c r="L128" s="85"/>
    </row>
    <row r="129" spans="1:12" s="4" customFormat="1" x14ac:dyDescent="0.2">
      <c r="A129" s="85"/>
      <c r="C129" s="85"/>
      <c r="D129" s="89"/>
      <c r="E129" s="85"/>
      <c r="F129" s="119"/>
      <c r="G129" s="89" t="s">
        <v>521</v>
      </c>
      <c r="I129" s="112">
        <f>IF(ISERROR(+I125/I127),0,+I125/I127)</f>
        <v>0</v>
      </c>
      <c r="J129" s="749"/>
      <c r="K129" s="750"/>
      <c r="L129" s="85"/>
    </row>
    <row r="130" spans="1:12" s="4" customFormat="1" x14ac:dyDescent="0.2">
      <c r="A130" s="85"/>
      <c r="C130" s="85"/>
      <c r="D130" s="85"/>
      <c r="E130" s="85"/>
      <c r="J130" s="750"/>
      <c r="K130" s="750"/>
      <c r="L130" s="85"/>
    </row>
    <row r="131" spans="1:12" s="4" customFormat="1" x14ac:dyDescent="0.2">
      <c r="A131" s="85"/>
      <c r="C131" s="85"/>
      <c r="D131" s="89" t="s">
        <v>522</v>
      </c>
      <c r="E131" s="85"/>
      <c r="F131" s="110">
        <f>IF(ISERROR(+F123/F125),0,+F123/F125)</f>
        <v>0</v>
      </c>
      <c r="G131" s="89" t="s">
        <v>523</v>
      </c>
      <c r="I131" s="110">
        <f>IF(ISERROR(+I123/I125),0,+I123/I125)</f>
        <v>0</v>
      </c>
      <c r="J131" s="749"/>
      <c r="K131" s="750"/>
      <c r="L131" s="85"/>
    </row>
    <row r="132" spans="1:12" s="4" customFormat="1" x14ac:dyDescent="0.2">
      <c r="A132" s="85"/>
      <c r="B132" s="85"/>
      <c r="C132" s="85"/>
      <c r="D132" s="85"/>
      <c r="E132" s="85"/>
      <c r="J132" s="750"/>
      <c r="K132" s="750"/>
      <c r="L132" s="85"/>
    </row>
    <row r="133" spans="1:12" s="4" customFormat="1" x14ac:dyDescent="0.2">
      <c r="A133" s="85"/>
      <c r="B133" s="85"/>
      <c r="C133" s="85"/>
      <c r="D133" s="85"/>
      <c r="E133" s="85"/>
      <c r="G133" s="89" t="s">
        <v>524</v>
      </c>
      <c r="I133" s="121">
        <f>+I129*(1+I131)</f>
        <v>0</v>
      </c>
      <c r="J133" s="749"/>
      <c r="K133" s="750"/>
      <c r="L133" s="85"/>
    </row>
    <row r="134" spans="1:12" s="4" customFormat="1" x14ac:dyDescent="0.2">
      <c r="A134" s="85"/>
      <c r="B134" s="85"/>
      <c r="C134" s="85"/>
      <c r="D134" s="85"/>
      <c r="E134" s="85"/>
      <c r="J134" s="750"/>
      <c r="K134" s="750"/>
      <c r="L134" s="85"/>
    </row>
    <row r="135" spans="1:12" s="4" customFormat="1" x14ac:dyDescent="0.2">
      <c r="A135" s="85"/>
      <c r="B135" s="122" t="s">
        <v>525</v>
      </c>
      <c r="C135" s="110">
        <f>Kostenverteilung!C41</f>
        <v>0</v>
      </c>
      <c r="J135" s="750"/>
      <c r="K135" s="750"/>
      <c r="L135" s="85"/>
    </row>
    <row r="136" spans="1:12" s="4" customFormat="1" x14ac:dyDescent="0.2">
      <c r="A136" s="85"/>
      <c r="B136" s="85"/>
      <c r="C136" s="85"/>
      <c r="D136" s="85"/>
      <c r="E136" s="85"/>
      <c r="J136" s="750"/>
      <c r="K136" s="750"/>
      <c r="L136" s="85"/>
    </row>
    <row r="137" spans="1:12" s="4" customFormat="1" x14ac:dyDescent="0.2">
      <c r="A137" s="85"/>
      <c r="B137" s="123" t="s">
        <v>526</v>
      </c>
      <c r="C137" s="90"/>
      <c r="D137" s="90" t="s">
        <v>527</v>
      </c>
      <c r="E137" s="90"/>
      <c r="F137" s="124">
        <f>((1+F131)*(1+C135))-1</f>
        <v>0</v>
      </c>
      <c r="G137" s="90" t="s">
        <v>528</v>
      </c>
      <c r="H137" s="90"/>
      <c r="I137" s="125">
        <f>+(I133*(1+$C$135))</f>
        <v>0</v>
      </c>
      <c r="J137" s="751"/>
      <c r="K137" s="751"/>
      <c r="L137" s="85"/>
    </row>
    <row r="138" spans="1:12" s="4" customFormat="1" x14ac:dyDescent="0.2">
      <c r="A138" s="85"/>
      <c r="B138" s="85"/>
      <c r="C138" s="85"/>
      <c r="D138" s="85"/>
      <c r="E138" s="85"/>
      <c r="L138" s="85"/>
    </row>
    <row r="139" spans="1:12" s="4" customFormat="1" x14ac:dyDescent="0.2">
      <c r="A139" s="85"/>
      <c r="B139" s="16"/>
      <c r="C139" s="17"/>
      <c r="D139" s="17"/>
      <c r="E139" s="17"/>
      <c r="F139" s="17"/>
      <c r="G139" s="17"/>
      <c r="H139" s="17"/>
      <c r="I139" s="17"/>
      <c r="J139" s="17"/>
      <c r="K139" s="18"/>
      <c r="L139" s="85"/>
    </row>
    <row r="140" spans="1:12" x14ac:dyDescent="0.2">
      <c r="B140" s="126" t="s">
        <v>529</v>
      </c>
      <c r="C140" s="88"/>
      <c r="D140" s="88"/>
      <c r="E140" s="88"/>
      <c r="F140" s="11"/>
      <c r="G140" s="127" t="s">
        <v>530</v>
      </c>
      <c r="H140" s="11"/>
      <c r="I140" s="719"/>
      <c r="J140" s="11"/>
      <c r="K140" s="21"/>
      <c r="L140" s="85"/>
    </row>
    <row r="141" spans="1:12" x14ac:dyDescent="0.2">
      <c r="B141" s="128"/>
      <c r="C141" s="88"/>
      <c r="D141" s="88"/>
      <c r="E141" s="88"/>
      <c r="F141" s="11"/>
      <c r="G141" s="11"/>
      <c r="H141" s="11"/>
      <c r="I141" s="11"/>
      <c r="J141" s="11"/>
      <c r="K141" s="21"/>
      <c r="L141" s="85"/>
    </row>
    <row r="142" spans="1:12" x14ac:dyDescent="0.2">
      <c r="B142" s="128"/>
      <c r="C142" s="88"/>
      <c r="D142" s="88"/>
      <c r="E142" s="88"/>
      <c r="F142" s="11"/>
      <c r="G142" s="127" t="s">
        <v>531</v>
      </c>
      <c r="H142" s="11"/>
      <c r="I142" s="110">
        <f>+I140-F137</f>
        <v>0</v>
      </c>
      <c r="J142" s="111"/>
      <c r="K142" s="752"/>
      <c r="L142" s="85"/>
    </row>
    <row r="143" spans="1:12" x14ac:dyDescent="0.2">
      <c r="B143" s="128"/>
      <c r="C143" s="88"/>
      <c r="D143" s="88"/>
      <c r="E143" s="88"/>
      <c r="F143" s="11"/>
      <c r="G143" s="11"/>
      <c r="H143" s="11"/>
      <c r="I143" s="11"/>
      <c r="J143" s="11"/>
      <c r="K143" s="21"/>
      <c r="L143" s="85"/>
    </row>
    <row r="144" spans="1:12" x14ac:dyDescent="0.2">
      <c r="B144" s="128"/>
      <c r="C144" s="88"/>
      <c r="D144" s="88"/>
      <c r="E144" s="88"/>
      <c r="F144" s="11"/>
      <c r="G144" s="11"/>
      <c r="H144" s="129" t="s">
        <v>532</v>
      </c>
      <c r="I144" s="109">
        <f>+(I140-F137)*F125</f>
        <v>0</v>
      </c>
      <c r="J144" s="119"/>
      <c r="K144" s="753"/>
      <c r="L144" s="85"/>
    </row>
    <row r="145" spans="2:12" x14ac:dyDescent="0.2">
      <c r="B145" s="128"/>
      <c r="C145" s="88"/>
      <c r="D145" s="88"/>
      <c r="E145" s="88"/>
      <c r="F145" s="11"/>
      <c r="G145" s="11"/>
      <c r="H145" s="11"/>
      <c r="I145" s="11"/>
      <c r="J145" s="11"/>
      <c r="K145" s="21"/>
      <c r="L145" s="85"/>
    </row>
    <row r="146" spans="2:12" x14ac:dyDescent="0.2">
      <c r="B146" s="128"/>
      <c r="C146" s="88"/>
      <c r="D146" s="88"/>
      <c r="E146" s="88"/>
      <c r="F146" s="11"/>
      <c r="G146" s="11"/>
      <c r="H146" s="129" t="s">
        <v>533</v>
      </c>
      <c r="I146" s="112">
        <f>IF(ISERROR(+I144/I127),0,+I144/I127)</f>
        <v>0</v>
      </c>
      <c r="J146" s="34"/>
      <c r="K146" s="754"/>
      <c r="L146" s="85"/>
    </row>
    <row r="147" spans="2:12" x14ac:dyDescent="0.2">
      <c r="B147" s="128"/>
      <c r="C147" s="88"/>
      <c r="D147" s="88"/>
      <c r="E147" s="88"/>
      <c r="F147" s="11"/>
      <c r="G147" s="11"/>
      <c r="H147" s="11"/>
      <c r="I147" s="11"/>
      <c r="J147" s="11"/>
      <c r="K147" s="21"/>
      <c r="L147" s="85"/>
    </row>
    <row r="148" spans="2:12" x14ac:dyDescent="0.2">
      <c r="B148" s="128"/>
      <c r="C148" s="88"/>
      <c r="D148" s="88"/>
      <c r="E148" s="88"/>
      <c r="F148" s="11"/>
      <c r="G148" s="127" t="s">
        <v>534</v>
      </c>
      <c r="H148" s="11"/>
      <c r="I148" s="112">
        <f>+I137-I146</f>
        <v>0</v>
      </c>
      <c r="J148" s="34"/>
      <c r="K148" s="754"/>
      <c r="L148" s="85"/>
    </row>
    <row r="149" spans="2:12" x14ac:dyDescent="0.2">
      <c r="B149" s="130"/>
      <c r="C149" s="131"/>
      <c r="D149" s="131"/>
      <c r="E149" s="131"/>
      <c r="F149" s="43"/>
      <c r="G149" s="43"/>
      <c r="H149" s="43"/>
      <c r="I149" s="43"/>
      <c r="J149" s="43"/>
      <c r="K149" s="44"/>
      <c r="L149" s="85"/>
    </row>
    <row r="150" spans="2:12" x14ac:dyDescent="0.2">
      <c r="B150" s="85"/>
      <c r="C150" s="85"/>
      <c r="D150" s="85"/>
      <c r="E150" s="85"/>
      <c r="L150" s="85"/>
    </row>
    <row r="151" spans="2:12" x14ac:dyDescent="0.2">
      <c r="B151" s="85"/>
      <c r="C151" s="85"/>
      <c r="D151" s="85"/>
      <c r="E151" s="85"/>
      <c r="L151" s="85"/>
    </row>
    <row r="152" spans="2:12" x14ac:dyDescent="0.2">
      <c r="L152" s="85"/>
    </row>
    <row r="153" spans="2:12" x14ac:dyDescent="0.2">
      <c r="L153" s="85"/>
    </row>
  </sheetData>
  <pageMargins left="0.7" right="0.7" top="0.78740157499999996" bottom="0.78740157499999996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3">
    <tabColor theme="0" tint="-0.249977111117893"/>
  </sheetPr>
  <dimension ref="A1:AS125"/>
  <sheetViews>
    <sheetView showGridLines="0" workbookViewId="0">
      <pane xSplit="1" ySplit="5" topLeftCell="B6" activePane="bottomRight" state="frozen"/>
      <selection activeCell="Z85" sqref="Z85"/>
      <selection pane="topRight" activeCell="Z85" sqref="Z85"/>
      <selection pane="bottomLeft" activeCell="Z85" sqref="Z85"/>
      <selection pane="bottomRight" activeCell="B6" sqref="B6"/>
    </sheetView>
  </sheetViews>
  <sheetFormatPr baseColWidth="10" defaultColWidth="11.42578125" defaultRowHeight="12.75" outlineLevelRow="1" outlineLevelCol="1" x14ac:dyDescent="0.2"/>
  <cols>
    <col min="1" max="1" width="21.85546875" style="90" bestFit="1" customWidth="1"/>
    <col min="2" max="2" width="10.42578125" style="85" customWidth="1"/>
    <col min="3" max="3" width="12.28515625" style="85" bestFit="1" customWidth="1"/>
    <col min="4" max="4" width="10" style="85" customWidth="1"/>
    <col min="5" max="5" width="7" style="85" customWidth="1"/>
    <col min="6" max="6" width="10.140625" style="85" bestFit="1" customWidth="1"/>
    <col min="7" max="7" width="10.5703125" style="85" bestFit="1" customWidth="1"/>
    <col min="8" max="8" width="11.140625" style="85" bestFit="1" customWidth="1"/>
    <col min="9" max="10" width="11.140625" style="85" customWidth="1"/>
    <col min="11" max="11" width="11.85546875" style="85" bestFit="1" customWidth="1"/>
    <col min="12" max="13" width="18.28515625" style="85" bestFit="1" customWidth="1"/>
    <col min="14" max="14" width="16.42578125" style="85" bestFit="1" customWidth="1"/>
    <col min="15" max="15" width="11.28515625" style="85" bestFit="1" customWidth="1"/>
    <col min="16" max="16" width="11.42578125" style="85" customWidth="1" outlineLevel="1"/>
    <col min="17" max="17" width="3.7109375" style="85" customWidth="1" outlineLevel="1"/>
    <col min="18" max="29" width="11.7109375" style="85" customWidth="1" outlineLevel="1"/>
    <col min="30" max="43" width="11.28515625" style="85" customWidth="1" outlineLevel="1"/>
    <col min="44" max="44" width="10" style="85" customWidth="1" outlineLevel="1"/>
    <col min="45" max="45" width="3" style="85" customWidth="1" outlineLevel="1"/>
    <col min="46" max="46" width="7" style="85" customWidth="1"/>
    <col min="47" max="47" width="10.140625" style="85" bestFit="1" customWidth="1"/>
    <col min="48" max="48" width="7.140625" style="85" customWidth="1"/>
    <col min="49" max="49" width="11.28515625" style="85" bestFit="1" customWidth="1"/>
    <col min="50" max="50" width="11.85546875" style="85" bestFit="1" customWidth="1"/>
    <col min="51" max="51" width="11.42578125" style="85" customWidth="1"/>
    <col min="52" max="16384" width="11.42578125" style="85"/>
  </cols>
  <sheetData>
    <row r="1" spans="1:45" outlineLevel="1" x14ac:dyDescent="0.2">
      <c r="A1" s="90" t="s">
        <v>667</v>
      </c>
      <c r="B1" s="507">
        <f>Grunddaten!B7</f>
        <v>10</v>
      </c>
    </row>
    <row r="2" spans="1:45" x14ac:dyDescent="0.2">
      <c r="A2" s="90" t="s">
        <v>668</v>
      </c>
      <c r="B2" s="764" t="str">
        <f>Grunddaten!E7</f>
        <v>Oktober</v>
      </c>
    </row>
    <row r="3" spans="1:45" x14ac:dyDescent="0.2"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</row>
    <row r="4" spans="1:45" s="90" customFormat="1" x14ac:dyDescent="0.2">
      <c r="A4" s="186"/>
      <c r="B4" s="1515" t="str">
        <f>CONCATENATE(Auftragsplanung!$A$5," ",$A$1)</f>
        <v>Gesamt (pro Jahr)</v>
      </c>
      <c r="C4" s="1516"/>
      <c r="D4" s="1517"/>
      <c r="F4" s="216" t="s">
        <v>669</v>
      </c>
      <c r="G4" s="203" t="s">
        <v>670</v>
      </c>
      <c r="H4" s="204" t="s">
        <v>671</v>
      </c>
      <c r="I4" s="237" t="s">
        <v>672</v>
      </c>
      <c r="J4" s="238" t="s">
        <v>673</v>
      </c>
      <c r="L4" s="167" t="s">
        <v>674</v>
      </c>
      <c r="M4" s="203" t="s">
        <v>674</v>
      </c>
      <c r="N4" s="204" t="s">
        <v>675</v>
      </c>
      <c r="P4" s="227" t="s">
        <v>676</v>
      </c>
      <c r="R4" s="1509" t="s">
        <v>671</v>
      </c>
      <c r="S4" s="1510"/>
      <c r="T4" s="1510"/>
      <c r="U4" s="1510"/>
      <c r="V4" s="1510"/>
      <c r="W4" s="1510"/>
      <c r="X4" s="1510"/>
      <c r="Y4" s="1510"/>
      <c r="Z4" s="1510"/>
      <c r="AA4" s="1510"/>
      <c r="AB4" s="1510"/>
      <c r="AC4" s="1511"/>
      <c r="AE4" s="1509" t="s">
        <v>677</v>
      </c>
      <c r="AF4" s="1510"/>
      <c r="AG4" s="1510"/>
      <c r="AH4" s="1510"/>
      <c r="AI4" s="1510"/>
      <c r="AJ4" s="1510"/>
      <c r="AK4" s="1510"/>
      <c r="AL4" s="1510"/>
      <c r="AM4" s="1510"/>
      <c r="AN4" s="1510"/>
      <c r="AO4" s="1510"/>
      <c r="AP4" s="1511"/>
    </row>
    <row r="5" spans="1:45" s="138" customFormat="1" x14ac:dyDescent="0.2">
      <c r="A5" s="185" t="s">
        <v>678</v>
      </c>
      <c r="B5" s="189" t="s">
        <v>676</v>
      </c>
      <c r="C5" s="183" t="s">
        <v>205</v>
      </c>
      <c r="D5" s="184" t="s">
        <v>679</v>
      </c>
      <c r="F5" s="1512">
        <f>$B$1</f>
        <v>10</v>
      </c>
      <c r="G5" s="1513"/>
      <c r="H5" s="1513"/>
      <c r="I5" s="1513"/>
      <c r="J5" s="1514"/>
      <c r="K5" s="139"/>
      <c r="L5" s="189" t="s">
        <v>680</v>
      </c>
      <c r="M5" s="183" t="s">
        <v>681</v>
      </c>
      <c r="N5" s="184" t="s">
        <v>681</v>
      </c>
      <c r="O5" s="139"/>
      <c r="P5" s="228" t="s">
        <v>682</v>
      </c>
      <c r="R5" s="207" t="s">
        <v>38</v>
      </c>
      <c r="S5" s="187" t="s">
        <v>40</v>
      </c>
      <c r="T5" s="187" t="s">
        <v>43</v>
      </c>
      <c r="U5" s="187" t="s">
        <v>45</v>
      </c>
      <c r="V5" s="187" t="s">
        <v>47</v>
      </c>
      <c r="W5" s="187" t="s">
        <v>49</v>
      </c>
      <c r="X5" s="187" t="s">
        <v>51</v>
      </c>
      <c r="Y5" s="187" t="s">
        <v>52</v>
      </c>
      <c r="Z5" s="187" t="s">
        <v>54</v>
      </c>
      <c r="AA5" s="187" t="s">
        <v>55</v>
      </c>
      <c r="AB5" s="187" t="s">
        <v>56</v>
      </c>
      <c r="AC5" s="188" t="s">
        <v>57</v>
      </c>
      <c r="AE5" s="208" t="s">
        <v>38</v>
      </c>
      <c r="AF5" s="209" t="s">
        <v>40</v>
      </c>
      <c r="AG5" s="209" t="s">
        <v>43</v>
      </c>
      <c r="AH5" s="209" t="s">
        <v>45</v>
      </c>
      <c r="AI5" s="209" t="s">
        <v>47</v>
      </c>
      <c r="AJ5" s="209" t="s">
        <v>49</v>
      </c>
      <c r="AK5" s="209" t="s">
        <v>51</v>
      </c>
      <c r="AL5" s="209" t="s">
        <v>52</v>
      </c>
      <c r="AM5" s="209" t="s">
        <v>54</v>
      </c>
      <c r="AN5" s="209" t="s">
        <v>55</v>
      </c>
      <c r="AO5" s="209" t="s">
        <v>56</v>
      </c>
      <c r="AP5" s="210" t="s">
        <v>57</v>
      </c>
      <c r="AQ5" s="211"/>
    </row>
    <row r="6" spans="1:45" x14ac:dyDescent="0.2">
      <c r="A6" s="180" t="s">
        <v>683</v>
      </c>
      <c r="B6" s="194"/>
      <c r="C6" s="181">
        <f>SUMIF(Auftragsplanung!$D$5:$Q$5,'DB I + DB II pro LC'!$A$116,Auftragsplanung!$D$18:$Q$18)</f>
        <v>1034186</v>
      </c>
      <c r="D6" s="199">
        <f t="shared" ref="D6:D16" si="0">IF(C6=0,0,F6/C6)</f>
        <v>0.25140545317766821</v>
      </c>
      <c r="F6" s="205">
        <f>M6</f>
        <v>260000</v>
      </c>
      <c r="G6" s="218"/>
      <c r="H6" s="206">
        <f>HLOOKUP($B$2,$AE$5:$AP$16,2,FALSE)</f>
        <v>0</v>
      </c>
      <c r="I6" s="194"/>
      <c r="J6" s="182">
        <f>F6-H6</f>
        <v>260000</v>
      </c>
      <c r="L6" s="205">
        <v>200000</v>
      </c>
      <c r="M6" s="225">
        <v>260000</v>
      </c>
      <c r="N6" s="206">
        <f>M6-L6</f>
        <v>60000</v>
      </c>
      <c r="P6" s="229"/>
      <c r="R6" s="191">
        <f>SUMIF(Monatsplanung!$B$137:$B$150,'DB I + DB II pro LC'!$A$116,Monatsplanung!$W$137:$W$150)</f>
        <v>0</v>
      </c>
      <c r="S6" s="168">
        <f>SUMIF(Monatsplanung!$B$137:$B$150,'DB I + DB II pro LC'!$A$116,Monatsplanung!$X$137:$X$150)</f>
        <v>0</v>
      </c>
      <c r="T6" s="168">
        <f>SUMIF(Monatsplanung!$B$137:$B$150,'DB I + DB II pro LC'!$A$116,Monatsplanung!$Y$137:$Y$150)</f>
        <v>0</v>
      </c>
      <c r="U6" s="168">
        <f>SUMIF(Monatsplanung!$B$137:$B$150,'DB I + DB II pro LC'!$A$116,Monatsplanung!$Z$137:$Z$150)</f>
        <v>0</v>
      </c>
      <c r="V6" s="168">
        <f>SUMIF(Monatsplanung!$B$137:$B$150,'DB I + DB II pro LC'!$A$116,Monatsplanung!$AA$137:$AA$150)</f>
        <v>0</v>
      </c>
      <c r="W6" s="168">
        <f>SUMIF(Monatsplanung!$B$137:$B$150,'DB I + DB II pro LC'!$A$116,Monatsplanung!$AB$137:$AB$150)</f>
        <v>0</v>
      </c>
      <c r="X6" s="168">
        <f>SUMIF(Monatsplanung!$B$137:$B$150,'DB I + DB II pro LC'!$A$116,Monatsplanung!$AC$137:$AC$150)</f>
        <v>0</v>
      </c>
      <c r="Y6" s="168">
        <f>SUMIF(Monatsplanung!$B$137:$B$150,'DB I + DB II pro LC'!$A$116,Monatsplanung!$AD$137:$AD$150)</f>
        <v>0</v>
      </c>
      <c r="Z6" s="168">
        <f>SUMIF(Monatsplanung!$B$137:$B$150,'DB I + DB II pro LC'!$A$116,Monatsplanung!$AE$137:$AE$150)</f>
        <v>0</v>
      </c>
      <c r="AA6" s="168">
        <f>SUMIF(Monatsplanung!$B$137:$B$150,'DB I + DB II pro LC'!$A$116,Monatsplanung!$AF$137:$AF$150)</f>
        <v>0</v>
      </c>
      <c r="AB6" s="168">
        <f>SUMIF(Monatsplanung!$B$137:$B$150,'DB I + DB II pro LC'!$A$116,Monatsplanung!$AG$137:$AG$150)</f>
        <v>0</v>
      </c>
      <c r="AC6" s="169">
        <f>SUMIF(Monatsplanung!$B$137:$B$150,'DB I + DB II pro LC'!$A$116,Monatsplanung!$AH$137:$AH$150)</f>
        <v>0</v>
      </c>
      <c r="AE6" s="191">
        <f>SUM(R6)</f>
        <v>0</v>
      </c>
      <c r="AF6" s="168">
        <f>SUM(R6:S6)</f>
        <v>0</v>
      </c>
      <c r="AG6" s="168">
        <f>SUM(R6:T6)</f>
        <v>0</v>
      </c>
      <c r="AH6" s="168">
        <f>SUM(R6:U6)</f>
        <v>0</v>
      </c>
      <c r="AI6" s="168">
        <f>SUM(R6:V6)</f>
        <v>0</v>
      </c>
      <c r="AJ6" s="168">
        <f>SUM(R6:W6)</f>
        <v>0</v>
      </c>
      <c r="AK6" s="168">
        <f>SUM(R6:X6)</f>
        <v>0</v>
      </c>
      <c r="AL6" s="168">
        <f>SUM(R6:Y6)</f>
        <v>0</v>
      </c>
      <c r="AM6" s="168">
        <f>SUM(R6:Z6)</f>
        <v>0</v>
      </c>
      <c r="AN6" s="168">
        <f>SUM(R6:AA6)</f>
        <v>0</v>
      </c>
      <c r="AO6" s="168">
        <f>SUM(R6:AB6)</f>
        <v>0</v>
      </c>
      <c r="AP6" s="169">
        <f>SUM(R6:AC6)</f>
        <v>0</v>
      </c>
      <c r="AR6" s="89" t="s">
        <v>38</v>
      </c>
      <c r="AS6" s="89">
        <v>1</v>
      </c>
    </row>
    <row r="7" spans="1:45" x14ac:dyDescent="0.2">
      <c r="A7" s="177" t="s">
        <v>684</v>
      </c>
      <c r="B7" s="195"/>
      <c r="C7" s="168"/>
      <c r="D7" s="200">
        <f t="shared" si="0"/>
        <v>0</v>
      </c>
      <c r="F7" s="191">
        <f>M7</f>
        <v>5000</v>
      </c>
      <c r="G7" s="219"/>
      <c r="H7" s="169">
        <f>HLOOKUP($B$2,$AE$5:$AP$16,3,FALSE)</f>
        <v>0</v>
      </c>
      <c r="I7" s="195"/>
      <c r="J7" s="169">
        <f>F7-H7</f>
        <v>5000</v>
      </c>
      <c r="L7" s="191">
        <v>10000</v>
      </c>
      <c r="M7" s="226">
        <v>5000</v>
      </c>
      <c r="N7" s="169">
        <f t="shared" ref="N7:N16" si="1">M7-L7</f>
        <v>-5000</v>
      </c>
      <c r="P7" s="230"/>
      <c r="R7" s="191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9"/>
      <c r="AE7" s="191">
        <f>SUM(R7)</f>
        <v>0</v>
      </c>
      <c r="AF7" s="168">
        <f>SUM(R7:S7)</f>
        <v>0</v>
      </c>
      <c r="AG7" s="168">
        <f>SUM(R7:T7)</f>
        <v>0</v>
      </c>
      <c r="AH7" s="168">
        <f>SUM(R7:U7)</f>
        <v>0</v>
      </c>
      <c r="AI7" s="168">
        <f>SUM(R7:V7)</f>
        <v>0</v>
      </c>
      <c r="AJ7" s="168">
        <f>SUM(R7:W7)</f>
        <v>0</v>
      </c>
      <c r="AK7" s="168">
        <f>SUM(R7:X7)</f>
        <v>0</v>
      </c>
      <c r="AL7" s="168">
        <f>SUM(R7:Y7)</f>
        <v>0</v>
      </c>
      <c r="AM7" s="168">
        <f>SUM(R7:Z7)</f>
        <v>0</v>
      </c>
      <c r="AN7" s="168">
        <f>SUM(R7:AA7)</f>
        <v>0</v>
      </c>
      <c r="AO7" s="168">
        <f>SUM(R7:AB7)</f>
        <v>0</v>
      </c>
      <c r="AP7" s="169">
        <f>SUM(R7:AC7)</f>
        <v>0</v>
      </c>
      <c r="AR7" s="89" t="s">
        <v>40</v>
      </c>
      <c r="AS7" s="89">
        <v>2</v>
      </c>
    </row>
    <row r="8" spans="1:45" s="90" customFormat="1" x14ac:dyDescent="0.2">
      <c r="A8" s="178" t="s">
        <v>366</v>
      </c>
      <c r="B8" s="196"/>
      <c r="C8" s="170">
        <f>C6+C7</f>
        <v>1034186</v>
      </c>
      <c r="D8" s="201">
        <f t="shared" si="0"/>
        <v>0.25624017343108491</v>
      </c>
      <c r="F8" s="192">
        <f>F6+F7</f>
        <v>265000</v>
      </c>
      <c r="G8" s="220"/>
      <c r="H8" s="171">
        <f>H6+H7</f>
        <v>0</v>
      </c>
      <c r="I8" s="196"/>
      <c r="J8" s="171">
        <f>J6+J7</f>
        <v>265000</v>
      </c>
      <c r="L8" s="192">
        <f>L6+L7</f>
        <v>210000</v>
      </c>
      <c r="M8" s="170">
        <f>M6+M7</f>
        <v>265000</v>
      </c>
      <c r="N8" s="171">
        <f t="shared" si="1"/>
        <v>55000</v>
      </c>
      <c r="P8" s="231"/>
      <c r="R8" s="192">
        <f>R6+R7</f>
        <v>0</v>
      </c>
      <c r="S8" s="170">
        <f t="shared" ref="S8:AC8" si="2">S6+S7</f>
        <v>0</v>
      </c>
      <c r="T8" s="170">
        <f t="shared" si="2"/>
        <v>0</v>
      </c>
      <c r="U8" s="170">
        <f t="shared" si="2"/>
        <v>0</v>
      </c>
      <c r="V8" s="170">
        <f t="shared" si="2"/>
        <v>0</v>
      </c>
      <c r="W8" s="170">
        <f t="shared" si="2"/>
        <v>0</v>
      </c>
      <c r="X8" s="170">
        <f t="shared" si="2"/>
        <v>0</v>
      </c>
      <c r="Y8" s="170">
        <f t="shared" si="2"/>
        <v>0</v>
      </c>
      <c r="Z8" s="170">
        <f t="shared" si="2"/>
        <v>0</v>
      </c>
      <c r="AA8" s="170">
        <f t="shared" si="2"/>
        <v>0</v>
      </c>
      <c r="AB8" s="170">
        <f t="shared" si="2"/>
        <v>0</v>
      </c>
      <c r="AC8" s="171">
        <f t="shared" si="2"/>
        <v>0</v>
      </c>
      <c r="AE8" s="192">
        <f>AE6+AE7</f>
        <v>0</v>
      </c>
      <c r="AF8" s="170">
        <f t="shared" ref="AF8:AP8" si="3">AF6+AF7</f>
        <v>0</v>
      </c>
      <c r="AG8" s="170">
        <f t="shared" si="3"/>
        <v>0</v>
      </c>
      <c r="AH8" s="170">
        <f t="shared" si="3"/>
        <v>0</v>
      </c>
      <c r="AI8" s="170">
        <f t="shared" si="3"/>
        <v>0</v>
      </c>
      <c r="AJ8" s="170">
        <f t="shared" si="3"/>
        <v>0</v>
      </c>
      <c r="AK8" s="170">
        <f t="shared" si="3"/>
        <v>0</v>
      </c>
      <c r="AL8" s="170">
        <f t="shared" si="3"/>
        <v>0</v>
      </c>
      <c r="AM8" s="170">
        <f t="shared" si="3"/>
        <v>0</v>
      </c>
      <c r="AN8" s="170">
        <f t="shared" si="3"/>
        <v>0</v>
      </c>
      <c r="AO8" s="170">
        <f t="shared" si="3"/>
        <v>0</v>
      </c>
      <c r="AP8" s="171">
        <f t="shared" si="3"/>
        <v>0</v>
      </c>
      <c r="AR8" s="89" t="s">
        <v>43</v>
      </c>
      <c r="AS8" s="89">
        <v>3</v>
      </c>
    </row>
    <row r="9" spans="1:45" x14ac:dyDescent="0.2">
      <c r="A9" s="177" t="s">
        <v>685</v>
      </c>
      <c r="B9" s="195"/>
      <c r="C9" s="168">
        <f>SUMIF(Auftragsplanung!$D$5:$Q$5,'DB I + DB II pro LC'!$A$116,Auftragsplanung!$D$19:$Q$19)</f>
        <v>3000</v>
      </c>
      <c r="D9" s="200">
        <f t="shared" si="0"/>
        <v>36.666666666666664</v>
      </c>
      <c r="F9" s="191">
        <f>M9</f>
        <v>110000</v>
      </c>
      <c r="G9" s="219"/>
      <c r="H9" s="169">
        <f>HLOOKUP($B$2,$AE$5:$AP$16,5,FALSE)</f>
        <v>0</v>
      </c>
      <c r="I9" s="195"/>
      <c r="J9" s="169">
        <f>F9-H9</f>
        <v>110000</v>
      </c>
      <c r="L9" s="191">
        <v>95000</v>
      </c>
      <c r="M9" s="226">
        <v>110000</v>
      </c>
      <c r="N9" s="169">
        <f t="shared" si="1"/>
        <v>15000</v>
      </c>
      <c r="P9" s="230"/>
      <c r="R9" s="191">
        <f>SUMIF(Monatsplanung!$B$137:$B$150,'DB I + DB II pro LC'!$A$116,Monatsplanung!$W$160:$W$173)</f>
        <v>0</v>
      </c>
      <c r="S9" s="168">
        <f>SUMIF(Monatsplanung!$B$137:$B$150,'DB I + DB II pro LC'!$A$116,Monatsplanung!$X$160:$X$173)</f>
        <v>0</v>
      </c>
      <c r="T9" s="168">
        <f>SUMIF(Monatsplanung!$B$137:$B$150,'DB I + DB II pro LC'!$A$116,Monatsplanung!$Y$160:$Y$173)</f>
        <v>0</v>
      </c>
      <c r="U9" s="168">
        <f>SUMIF(Monatsplanung!$B$137:$B$150,'DB I + DB II pro LC'!$A$116,Monatsplanung!$Z$160:$Z$173)</f>
        <v>0</v>
      </c>
      <c r="V9" s="168">
        <f>SUMIF(Monatsplanung!$B$137:$B$150,'DB I + DB II pro LC'!$A$116,Monatsplanung!$AA$160:$AA$173)</f>
        <v>0</v>
      </c>
      <c r="W9" s="168">
        <f>SUMIF(Monatsplanung!$B$137:$B$150,'DB I + DB II pro LC'!$A$116,Monatsplanung!$AB$160:$AB$173)</f>
        <v>0</v>
      </c>
      <c r="X9" s="168">
        <f>SUMIF(Monatsplanung!$B$137:$B$150,'DB I + DB II pro LC'!$A$116,Monatsplanung!$AC$160:$AC$173)</f>
        <v>0</v>
      </c>
      <c r="Y9" s="168">
        <f>SUMIF(Monatsplanung!$B$137:$B$150,'DB I + DB II pro LC'!$A$116,Monatsplanung!$AD$160:$AD$173)</f>
        <v>0</v>
      </c>
      <c r="Z9" s="168">
        <f>SUMIF(Monatsplanung!$B$137:$B$150,'DB I + DB II pro LC'!$A$116,Monatsplanung!$AE$160:$AE$173)</f>
        <v>0</v>
      </c>
      <c r="AA9" s="168">
        <f>SUMIF(Monatsplanung!$B$137:$B$150,'DB I + DB II pro LC'!$A$116,Monatsplanung!$AF$160:$AF$173)</f>
        <v>0</v>
      </c>
      <c r="AB9" s="168">
        <f>SUMIF(Monatsplanung!$B$137:$B$150,'DB I + DB II pro LC'!$A$116,Monatsplanung!$AG$160:$AG$173)</f>
        <v>0</v>
      </c>
      <c r="AC9" s="169">
        <f>SUMIF(Monatsplanung!$B$137:$B$150,'DB I + DB II pro LC'!$A$116,Monatsplanung!$AH$160:$AH$173)</f>
        <v>0</v>
      </c>
      <c r="AE9" s="191">
        <f>SUM(R9)</f>
        <v>0</v>
      </c>
      <c r="AF9" s="168">
        <f>SUM(R9:S9)</f>
        <v>0</v>
      </c>
      <c r="AG9" s="168">
        <f>SUM(R9:T9)</f>
        <v>0</v>
      </c>
      <c r="AH9" s="168">
        <f>SUM(R9:U9)</f>
        <v>0</v>
      </c>
      <c r="AI9" s="168">
        <f>SUM(R9:V9)</f>
        <v>0</v>
      </c>
      <c r="AJ9" s="168">
        <f>SUM(R9:W9)</f>
        <v>0</v>
      </c>
      <c r="AK9" s="168">
        <f>SUM(R9:X9)</f>
        <v>0</v>
      </c>
      <c r="AL9" s="168">
        <f>SUM(R9:Y9)</f>
        <v>0</v>
      </c>
      <c r="AM9" s="168">
        <f>SUM(R9:Z9)</f>
        <v>0</v>
      </c>
      <c r="AN9" s="168">
        <f>SUM(R9:AA9)</f>
        <v>0</v>
      </c>
      <c r="AO9" s="168">
        <f>SUM(R9:AB9)</f>
        <v>0</v>
      </c>
      <c r="AP9" s="169">
        <f>SUM(R9:AC9)</f>
        <v>0</v>
      </c>
      <c r="AR9" s="89" t="s">
        <v>45</v>
      </c>
      <c r="AS9" s="89">
        <v>4</v>
      </c>
    </row>
    <row r="10" spans="1:45" x14ac:dyDescent="0.2">
      <c r="A10" s="177" t="s">
        <v>686</v>
      </c>
      <c r="B10" s="190"/>
      <c r="C10" s="168">
        <f>SUMIF(Auftragsplanung!$D$5:$Q$5,'DB I + DB II pro LC'!$A$116,Auftragsplanung!$D$20:$Q$20)</f>
        <v>400</v>
      </c>
      <c r="D10" s="200">
        <f t="shared" si="0"/>
        <v>6.25</v>
      </c>
      <c r="F10" s="191">
        <f>M10</f>
        <v>2500</v>
      </c>
      <c r="G10" s="221"/>
      <c r="H10" s="169">
        <f>HLOOKUP($B$2,$AE$5:$AP$16,6,FALSE)</f>
        <v>0</v>
      </c>
      <c r="I10" s="190"/>
      <c r="J10" s="169">
        <f>F10-H10</f>
        <v>2500</v>
      </c>
      <c r="L10" s="191">
        <v>2000</v>
      </c>
      <c r="M10" s="226">
        <v>2500</v>
      </c>
      <c r="N10" s="169">
        <f t="shared" si="1"/>
        <v>500</v>
      </c>
      <c r="P10" s="232"/>
      <c r="R10" s="191">
        <f>SUMIF(Monatsplanung!$B$137:$B$150,'DB I + DB II pro LC'!$A$116,Monatsplanung!$W$181:$W$194)</f>
        <v>0</v>
      </c>
      <c r="S10" s="168">
        <f>SUMIF(Monatsplanung!$B$137:$B$150,'DB I + DB II pro LC'!$A$116,Monatsplanung!$X$181:$X$194)</f>
        <v>0</v>
      </c>
      <c r="T10" s="168">
        <f>SUMIF(Monatsplanung!$B$137:$B$150,'DB I + DB II pro LC'!$A$116,Monatsplanung!$Y$181:$Y$194)</f>
        <v>0</v>
      </c>
      <c r="U10" s="168">
        <f>SUMIF(Monatsplanung!$B$137:$B$150,'DB I + DB II pro LC'!$A$116,Monatsplanung!$Z$181:$Z$194)</f>
        <v>0</v>
      </c>
      <c r="V10" s="168">
        <f>SUMIF(Monatsplanung!$B$137:$B$150,'DB I + DB II pro LC'!$A$116,Monatsplanung!$AA$181:$AA$194)</f>
        <v>0</v>
      </c>
      <c r="W10" s="168">
        <f>SUMIF(Monatsplanung!$B$137:$B$150,'DB I + DB II pro LC'!$A$116,Monatsplanung!$AB$181:$AB$194)</f>
        <v>0</v>
      </c>
      <c r="X10" s="168">
        <f>SUMIF(Monatsplanung!$B$137:$B$150,'DB I + DB II pro LC'!$A$116,Monatsplanung!$AC$181:$AC$194)</f>
        <v>0</v>
      </c>
      <c r="Y10" s="168">
        <f>SUMIF(Monatsplanung!$B$137:$B$150,'DB I + DB II pro LC'!$A$116,Monatsplanung!$AD$181:$AD$194)</f>
        <v>0</v>
      </c>
      <c r="Z10" s="168">
        <f>SUMIF(Monatsplanung!$B$137:$B$150,'DB I + DB II pro LC'!$A$116,Monatsplanung!$AE$181:$AE$194)</f>
        <v>0</v>
      </c>
      <c r="AA10" s="168">
        <f>SUMIF(Monatsplanung!$B$137:$B$150,'DB I + DB II pro LC'!$A$116,Monatsplanung!$AF$181:$AF$194)</f>
        <v>0</v>
      </c>
      <c r="AB10" s="168">
        <f>SUMIF(Monatsplanung!$B$137:$B$150,'DB I + DB II pro LC'!$A$116,Monatsplanung!$AG$181:$AG$194)</f>
        <v>0</v>
      </c>
      <c r="AC10" s="169">
        <f>SUMIF(Monatsplanung!$B$137:$B$150,'DB I + DB II pro LC'!$A$116,Monatsplanung!$AH$181:$AH$194)</f>
        <v>0</v>
      </c>
      <c r="AE10" s="191">
        <f>SUM(R10)</f>
        <v>0</v>
      </c>
      <c r="AF10" s="168">
        <f>SUM(R10:S10)</f>
        <v>0</v>
      </c>
      <c r="AG10" s="168">
        <f>SUM(R10:T10)</f>
        <v>0</v>
      </c>
      <c r="AH10" s="168">
        <f>SUM(R10:U10)</f>
        <v>0</v>
      </c>
      <c r="AI10" s="168">
        <f>SUM(R10:V10)</f>
        <v>0</v>
      </c>
      <c r="AJ10" s="168">
        <f>SUM(R10:W10)</f>
        <v>0</v>
      </c>
      <c r="AK10" s="168">
        <f>SUM(R10:X10)</f>
        <v>0</v>
      </c>
      <c r="AL10" s="168">
        <f>SUM(R10:Y10)</f>
        <v>0</v>
      </c>
      <c r="AM10" s="168">
        <f>SUM(R10:Z10)</f>
        <v>0</v>
      </c>
      <c r="AN10" s="168">
        <f>SUM(R10:AA10)</f>
        <v>0</v>
      </c>
      <c r="AO10" s="168">
        <f>SUM(R10:AB10)</f>
        <v>0</v>
      </c>
      <c r="AP10" s="169">
        <f>SUM(R10:AC10)</f>
        <v>0</v>
      </c>
      <c r="AR10" s="89" t="s">
        <v>47</v>
      </c>
      <c r="AS10" s="89">
        <v>5</v>
      </c>
    </row>
    <row r="11" spans="1:45" s="90" customFormat="1" x14ac:dyDescent="0.2">
      <c r="A11" s="178" t="s">
        <v>368</v>
      </c>
      <c r="B11" s="192">
        <f>Kostenverteilung!F43</f>
        <v>731083.3</v>
      </c>
      <c r="C11" s="170">
        <f>C8-C9-C10</f>
        <v>1030786</v>
      </c>
      <c r="D11" s="201">
        <f t="shared" si="0"/>
        <v>0.14794535432184761</v>
      </c>
      <c r="F11" s="192">
        <f>F8-F9-F10</f>
        <v>152500</v>
      </c>
      <c r="G11" s="222">
        <f>$P11*$B$1</f>
        <v>609236.08333333337</v>
      </c>
      <c r="H11" s="171">
        <f>H8-H9-H10</f>
        <v>0</v>
      </c>
      <c r="I11" s="175">
        <f>F11-G11</f>
        <v>-456736.08333333337</v>
      </c>
      <c r="J11" s="171">
        <f>J8-J9-J10</f>
        <v>152500</v>
      </c>
      <c r="L11" s="192">
        <f>L8-L9-L10</f>
        <v>113000</v>
      </c>
      <c r="M11" s="170">
        <f>M8-M9-M10</f>
        <v>152500</v>
      </c>
      <c r="N11" s="171">
        <f t="shared" si="1"/>
        <v>39500</v>
      </c>
      <c r="P11" s="233">
        <f>B11/12</f>
        <v>60923.608333333337</v>
      </c>
      <c r="R11" s="192">
        <f>R8-R9-R10</f>
        <v>0</v>
      </c>
      <c r="S11" s="170">
        <f t="shared" ref="S11:AC11" si="4">S8-S9-S10</f>
        <v>0</v>
      </c>
      <c r="T11" s="170">
        <f t="shared" si="4"/>
        <v>0</v>
      </c>
      <c r="U11" s="170">
        <f t="shared" si="4"/>
        <v>0</v>
      </c>
      <c r="V11" s="170">
        <f t="shared" si="4"/>
        <v>0</v>
      </c>
      <c r="W11" s="170">
        <f t="shared" si="4"/>
        <v>0</v>
      </c>
      <c r="X11" s="170">
        <f t="shared" si="4"/>
        <v>0</v>
      </c>
      <c r="Y11" s="170">
        <f t="shared" si="4"/>
        <v>0</v>
      </c>
      <c r="Z11" s="170">
        <f t="shared" si="4"/>
        <v>0</v>
      </c>
      <c r="AA11" s="170">
        <f t="shared" si="4"/>
        <v>0</v>
      </c>
      <c r="AB11" s="170">
        <f t="shared" si="4"/>
        <v>0</v>
      </c>
      <c r="AC11" s="171">
        <f t="shared" si="4"/>
        <v>0</v>
      </c>
      <c r="AE11" s="192">
        <f>AE8-AE9-AE10</f>
        <v>0</v>
      </c>
      <c r="AF11" s="170">
        <f t="shared" ref="AF11:AP11" si="5">AF8-AF9-AF10</f>
        <v>0</v>
      </c>
      <c r="AG11" s="170">
        <f t="shared" si="5"/>
        <v>0</v>
      </c>
      <c r="AH11" s="170">
        <f t="shared" si="5"/>
        <v>0</v>
      </c>
      <c r="AI11" s="170">
        <f t="shared" si="5"/>
        <v>0</v>
      </c>
      <c r="AJ11" s="170">
        <f t="shared" si="5"/>
        <v>0</v>
      </c>
      <c r="AK11" s="170">
        <f t="shared" si="5"/>
        <v>0</v>
      </c>
      <c r="AL11" s="170">
        <f t="shared" si="5"/>
        <v>0</v>
      </c>
      <c r="AM11" s="170">
        <f t="shared" si="5"/>
        <v>0</v>
      </c>
      <c r="AN11" s="170">
        <f t="shared" si="5"/>
        <v>0</v>
      </c>
      <c r="AO11" s="170">
        <f t="shared" si="5"/>
        <v>0</v>
      </c>
      <c r="AP11" s="171">
        <f t="shared" si="5"/>
        <v>0</v>
      </c>
      <c r="AR11" s="89" t="s">
        <v>49</v>
      </c>
      <c r="AS11" s="89">
        <v>6</v>
      </c>
    </row>
    <row r="12" spans="1:45" x14ac:dyDescent="0.2">
      <c r="A12" s="177" t="s">
        <v>687</v>
      </c>
      <c r="B12" s="191">
        <f>Kostenverteilung!F45</f>
        <v>13550.4</v>
      </c>
      <c r="C12" s="168">
        <f>Auftragsplanung!D22*Auftragsplanung!D17</f>
        <v>13423.441135767493</v>
      </c>
      <c r="D12" s="200">
        <f t="shared" si="0"/>
        <v>4.0973100297992511E-2</v>
      </c>
      <c r="F12" s="191">
        <f>M12</f>
        <v>550</v>
      </c>
      <c r="G12" s="223">
        <f>$P12*$B$1</f>
        <v>11292</v>
      </c>
      <c r="H12" s="217">
        <f>HLOOKUP($B$2,$AE$5:$AP$16,8,FALSE)</f>
        <v>0</v>
      </c>
      <c r="I12" s="174">
        <f>F12-G12</f>
        <v>-10742</v>
      </c>
      <c r="J12" s="169">
        <f>F12-H12</f>
        <v>550</v>
      </c>
      <c r="L12" s="191">
        <v>450</v>
      </c>
      <c r="M12" s="226">
        <v>550</v>
      </c>
      <c r="N12" s="169">
        <f t="shared" si="1"/>
        <v>100</v>
      </c>
      <c r="P12" s="234">
        <f>B12/12</f>
        <v>1129.2</v>
      </c>
      <c r="R12" s="191">
        <f>IF(ISERROR(Mitarbeiterverteilung!$AF$107*R6/SUM($R$8:$AC$8)),0,Mitarbeiterverteilung!$AF$107*R6/SUM($R$8:$AC$8))</f>
        <v>0</v>
      </c>
      <c r="S12" s="168">
        <f>IF(ISERROR(Mitarbeiterverteilung!$AF$107*S6/SUM($R$8:$AC$8)),0,Mitarbeiterverteilung!$AF$107*S6/SUM($R$8:$AC$8))</f>
        <v>0</v>
      </c>
      <c r="T12" s="168">
        <f>IF(ISERROR(Mitarbeiterverteilung!$AF$107*T6/SUM($R$8:$AC$8)),0,Mitarbeiterverteilung!$AF$107*T6/SUM($R$8:$AC$8))</f>
        <v>0</v>
      </c>
      <c r="U12" s="168">
        <f>IF(ISERROR(Mitarbeiterverteilung!$AF$107*U6/SUM($R$8:$AC$8)),0,Mitarbeiterverteilung!$AF$107*U6/SUM($R$8:$AC$8))</f>
        <v>0</v>
      </c>
      <c r="V12" s="168">
        <f>IF(ISERROR(Mitarbeiterverteilung!$AF$107*V6/SUM($R$8:$AC$8)),0,Mitarbeiterverteilung!$AF$107*V6/SUM($R$8:$AC$8))</f>
        <v>0</v>
      </c>
      <c r="W12" s="168">
        <f>IF(ISERROR(Mitarbeiterverteilung!$AF$107*W6/SUM($R$8:$AC$8)),0,Mitarbeiterverteilung!$AF$107*W6/SUM($R$8:$AC$8))</f>
        <v>0</v>
      </c>
      <c r="X12" s="168">
        <f>IF(ISERROR(Mitarbeiterverteilung!$AF$107*X6/SUM($R$8:$AC$8)),0,Mitarbeiterverteilung!$AF$107*X6/SUM($R$8:$AC$8))</f>
        <v>0</v>
      </c>
      <c r="Y12" s="168">
        <f>IF(ISERROR(Mitarbeiterverteilung!$AF$107*Y6/SUM($R$8:$AC$8)),0,Mitarbeiterverteilung!$AF$107*Y6/SUM($R$8:$AC$8))</f>
        <v>0</v>
      </c>
      <c r="Z12" s="168">
        <f>IF(ISERROR(Mitarbeiterverteilung!$AF$107*Z6/SUM($R$8:$AC$8)),0,Mitarbeiterverteilung!$AF$107*Z6/SUM($R$8:$AC$8))</f>
        <v>0</v>
      </c>
      <c r="AA12" s="168">
        <f>IF(ISERROR(Mitarbeiterverteilung!$AF$107*AA6/SUM($R$8:$AC$8)),0,Mitarbeiterverteilung!$AF$107*AA6/SUM($R$8:$AC$8))</f>
        <v>0</v>
      </c>
      <c r="AB12" s="168">
        <f>IF(ISERROR(Mitarbeiterverteilung!$AF$107*AB6/SUM($R$8:$AC$8)),0,Mitarbeiterverteilung!$AF$107*AB6/SUM($R$8:$AC$8))</f>
        <v>0</v>
      </c>
      <c r="AC12" s="169">
        <f>IF(ISERROR(Mitarbeiterverteilung!$AF$107*AC6/SUM($R$8:$AC$8)),0,Mitarbeiterverteilung!$AF$107*AC6/SUM($R$8:$AC$8))</f>
        <v>0</v>
      </c>
      <c r="AE12" s="191">
        <f>SUM(R12)</f>
        <v>0</v>
      </c>
      <c r="AF12" s="168">
        <f>SUM(R12:S12)</f>
        <v>0</v>
      </c>
      <c r="AG12" s="168">
        <f>SUM(R12:T12)</f>
        <v>0</v>
      </c>
      <c r="AH12" s="168">
        <f>SUM(R12:U12)</f>
        <v>0</v>
      </c>
      <c r="AI12" s="168">
        <f>SUM(R12:V12)</f>
        <v>0</v>
      </c>
      <c r="AJ12" s="168">
        <f>SUM(R12:W12)</f>
        <v>0</v>
      </c>
      <c r="AK12" s="168">
        <f>SUM(R12:X12)</f>
        <v>0</v>
      </c>
      <c r="AL12" s="168">
        <f>SUM(R12:Y12)</f>
        <v>0</v>
      </c>
      <c r="AM12" s="168">
        <f>SUM(R12:Z12)</f>
        <v>0</v>
      </c>
      <c r="AN12" s="168">
        <f>SUM(R12:AA12)</f>
        <v>0</v>
      </c>
      <c r="AO12" s="168">
        <f>SUM(R12:AB12)</f>
        <v>0</v>
      </c>
      <c r="AP12" s="169">
        <f>SUM(R12:AC12)</f>
        <v>0</v>
      </c>
      <c r="AR12" s="89" t="s">
        <v>51</v>
      </c>
      <c r="AS12" s="89">
        <v>7</v>
      </c>
    </row>
    <row r="13" spans="1:45" s="90" customFormat="1" x14ac:dyDescent="0.2">
      <c r="A13" s="178" t="s">
        <v>688</v>
      </c>
      <c r="B13" s="192">
        <f>IF(B12=0,0,B11/B12)</f>
        <v>53.952894379501714</v>
      </c>
      <c r="C13" s="170">
        <f>IF(C12=0,0,C11/C12)</f>
        <v>76.789996661393658</v>
      </c>
      <c r="D13" s="201">
        <f t="shared" si="0"/>
        <v>3.610792281908338</v>
      </c>
      <c r="F13" s="192">
        <f>IF(F12=0,0,F11/F12)</f>
        <v>277.27272727272725</v>
      </c>
      <c r="G13" s="222">
        <f>IF(G12=0,0,G11/G12)</f>
        <v>53.952894379501714</v>
      </c>
      <c r="H13" s="171">
        <f>IF(H12=0,0,H11/H12)</f>
        <v>0</v>
      </c>
      <c r="I13" s="175">
        <f>IF(I12=0,0,I11/I12)</f>
        <v>42.518719357040901</v>
      </c>
      <c r="J13" s="171">
        <f>IF(J12=0,0,J11/J12)</f>
        <v>277.27272727272725</v>
      </c>
      <c r="L13" s="192">
        <f>IF(L12=0,0,L11/L12)</f>
        <v>251.11111111111111</v>
      </c>
      <c r="M13" s="170">
        <f>IF(M12=0,0,M11/M12)</f>
        <v>277.27272727272725</v>
      </c>
      <c r="N13" s="171">
        <f t="shared" si="1"/>
        <v>26.161616161616138</v>
      </c>
      <c r="P13" s="233">
        <f>IF(P12=0,0,P11/P12)</f>
        <v>53.952894379501714</v>
      </c>
      <c r="R13" s="192">
        <f>IF(R12=0,0,R11/R12)</f>
        <v>0</v>
      </c>
      <c r="S13" s="170">
        <f t="shared" ref="S13:AC13" si="6">IF(S12=0,0,S11/S12)</f>
        <v>0</v>
      </c>
      <c r="T13" s="170">
        <f t="shared" si="6"/>
        <v>0</v>
      </c>
      <c r="U13" s="170">
        <f t="shared" si="6"/>
        <v>0</v>
      </c>
      <c r="V13" s="170">
        <f t="shared" si="6"/>
        <v>0</v>
      </c>
      <c r="W13" s="170">
        <f t="shared" si="6"/>
        <v>0</v>
      </c>
      <c r="X13" s="170">
        <f t="shared" si="6"/>
        <v>0</v>
      </c>
      <c r="Y13" s="170">
        <f t="shared" si="6"/>
        <v>0</v>
      </c>
      <c r="Z13" s="170">
        <f t="shared" si="6"/>
        <v>0</v>
      </c>
      <c r="AA13" s="170">
        <f t="shared" si="6"/>
        <v>0</v>
      </c>
      <c r="AB13" s="170">
        <f t="shared" si="6"/>
        <v>0</v>
      </c>
      <c r="AC13" s="171">
        <f t="shared" si="6"/>
        <v>0</v>
      </c>
      <c r="AE13" s="192">
        <f>IF(AE12=0,0,AE11/AE12)</f>
        <v>0</v>
      </c>
      <c r="AF13" s="170">
        <f t="shared" ref="AF13:AP13" si="7">IF(AF12=0,0,AF11/AF12)</f>
        <v>0</v>
      </c>
      <c r="AG13" s="170">
        <f t="shared" si="7"/>
        <v>0</v>
      </c>
      <c r="AH13" s="170">
        <f t="shared" si="7"/>
        <v>0</v>
      </c>
      <c r="AI13" s="170">
        <f t="shared" si="7"/>
        <v>0</v>
      </c>
      <c r="AJ13" s="170">
        <f t="shared" si="7"/>
        <v>0</v>
      </c>
      <c r="AK13" s="170">
        <f t="shared" si="7"/>
        <v>0</v>
      </c>
      <c r="AL13" s="170">
        <f t="shared" si="7"/>
        <v>0</v>
      </c>
      <c r="AM13" s="170">
        <f t="shared" si="7"/>
        <v>0</v>
      </c>
      <c r="AN13" s="170">
        <f t="shared" si="7"/>
        <v>0</v>
      </c>
      <c r="AO13" s="170">
        <f t="shared" si="7"/>
        <v>0</v>
      </c>
      <c r="AP13" s="171">
        <f t="shared" si="7"/>
        <v>0</v>
      </c>
      <c r="AR13" s="89" t="s">
        <v>52</v>
      </c>
      <c r="AS13" s="89">
        <v>8</v>
      </c>
    </row>
    <row r="14" spans="1:45" x14ac:dyDescent="0.2">
      <c r="A14" s="177" t="s">
        <v>689</v>
      </c>
      <c r="B14" s="191">
        <f>Kostenverteilung!F49*B12</f>
        <v>372597.9</v>
      </c>
      <c r="C14" s="168">
        <f>Kostenverteilung!F49*C12</f>
        <v>369106.88820703322</v>
      </c>
      <c r="D14" s="200">
        <f t="shared" si="0"/>
        <v>4.6057119341713956E-2</v>
      </c>
      <c r="F14" s="191">
        <f>M14</f>
        <v>17000</v>
      </c>
      <c r="G14" s="223">
        <f>$P14*$B$1</f>
        <v>310498.25</v>
      </c>
      <c r="H14" s="217">
        <f>HLOOKUP($B$2,$AE$5:$AP$16,10,FALSE)</f>
        <v>0</v>
      </c>
      <c r="I14" s="174">
        <f>F14-G14</f>
        <v>-293498.25</v>
      </c>
      <c r="J14" s="169">
        <f>F14-H14</f>
        <v>17000</v>
      </c>
      <c r="L14" s="191">
        <v>15000</v>
      </c>
      <c r="M14" s="226">
        <v>17000</v>
      </c>
      <c r="N14" s="169">
        <f t="shared" si="1"/>
        <v>2000</v>
      </c>
      <c r="P14" s="234">
        <f>B14/12</f>
        <v>31049.825000000001</v>
      </c>
      <c r="R14" s="191">
        <f>IF(ISERROR(Mitarbeiterverteilung!$U$107*R6/SUM($R$8:$AC$8)),0,Mitarbeiterverteilung!$U$107*R6/SUM($R$8:$AC$8))</f>
        <v>0</v>
      </c>
      <c r="S14" s="168">
        <f>IF(ISERROR(Mitarbeiterverteilung!$U$107*S6/SUM($R$8:$AC$8)),0,Mitarbeiterverteilung!$U$107*S6/SUM($R$8:$AC$8))</f>
        <v>0</v>
      </c>
      <c r="T14" s="168">
        <f>IF(ISERROR(Mitarbeiterverteilung!$U$107*T6/SUM($R$8:$AC$8)),0,Mitarbeiterverteilung!$U$107*T6/SUM($R$8:$AC$8))</f>
        <v>0</v>
      </c>
      <c r="U14" s="168">
        <f>IF(ISERROR(Mitarbeiterverteilung!$U$107*U6/SUM($R$8:$AC$8)),0,Mitarbeiterverteilung!$U$107*U6/SUM($R$8:$AC$8))</f>
        <v>0</v>
      </c>
      <c r="V14" s="168">
        <f>IF(ISERROR(Mitarbeiterverteilung!$U$107*V6/SUM($R$8:$AC$8)),0,Mitarbeiterverteilung!$U$107*V6/SUM($R$8:$AC$8))</f>
        <v>0</v>
      </c>
      <c r="W14" s="168">
        <f>IF(ISERROR(Mitarbeiterverteilung!$U$107*W6/SUM($R$8:$AC$8)),0,Mitarbeiterverteilung!$U$107*W6/SUM($R$8:$AC$8))</f>
        <v>0</v>
      </c>
      <c r="X14" s="168">
        <f>IF(ISERROR(Mitarbeiterverteilung!$U$107*X6/SUM($R$8:$AC$8)),0,Mitarbeiterverteilung!$U$107*X6/SUM($R$8:$AC$8))</f>
        <v>0</v>
      </c>
      <c r="Y14" s="168">
        <f>IF(ISERROR(Mitarbeiterverteilung!$U$107*Y6/SUM($R$8:$AC$8)),0,Mitarbeiterverteilung!$U$107*Y6/SUM($R$8:$AC$8))</f>
        <v>0</v>
      </c>
      <c r="Z14" s="168">
        <f>IF(ISERROR(Mitarbeiterverteilung!$U$107*Z6/SUM($R$8:$AC$8)),0,Mitarbeiterverteilung!$U$107*Z6/SUM($R$8:$AC$8))</f>
        <v>0</v>
      </c>
      <c r="AA14" s="168">
        <f>IF(ISERROR(Mitarbeiterverteilung!$U$107*AA6/SUM($R$8:$AC$8)),0,Mitarbeiterverteilung!$U$107*AA6/SUM($R$8:$AC$8))</f>
        <v>0</v>
      </c>
      <c r="AB14" s="168">
        <f>IF(ISERROR(Mitarbeiterverteilung!$U$107*AB6/SUM($R$8:$AC$8)),0,Mitarbeiterverteilung!$U$107*AB6/SUM($R$8:$AC$8))</f>
        <v>0</v>
      </c>
      <c r="AC14" s="169">
        <f>IF(ISERROR(Mitarbeiterverteilung!$U$107*AC6/SUM($R$8:$AC$8)),0,Mitarbeiterverteilung!$U$107*AC6/SUM($R$8:$AC$8))</f>
        <v>0</v>
      </c>
      <c r="AE14" s="191">
        <f>SUM(R14)</f>
        <v>0</v>
      </c>
      <c r="AF14" s="168">
        <f>SUM(R14:S14)</f>
        <v>0</v>
      </c>
      <c r="AG14" s="168">
        <f>SUM(R14:T14)</f>
        <v>0</v>
      </c>
      <c r="AH14" s="168">
        <f>SUM(R14:U14)</f>
        <v>0</v>
      </c>
      <c r="AI14" s="168">
        <f>SUM(R14:V14)</f>
        <v>0</v>
      </c>
      <c r="AJ14" s="168">
        <f>SUM(R14:W14)</f>
        <v>0</v>
      </c>
      <c r="AK14" s="168">
        <f>SUM(R14:X14)</f>
        <v>0</v>
      </c>
      <c r="AL14" s="168">
        <f>SUM(R14:Y14)</f>
        <v>0</v>
      </c>
      <c r="AM14" s="168">
        <f>SUM(R14:Z14)</f>
        <v>0</v>
      </c>
      <c r="AN14" s="168">
        <f>SUM(R14:AA14)</f>
        <v>0</v>
      </c>
      <c r="AO14" s="168">
        <f>SUM(R14:AB14)</f>
        <v>0</v>
      </c>
      <c r="AP14" s="169">
        <f>SUM(R14:AC14)</f>
        <v>0</v>
      </c>
      <c r="AR14" s="89" t="s">
        <v>54</v>
      </c>
      <c r="AS14" s="89">
        <v>9</v>
      </c>
    </row>
    <row r="15" spans="1:45" s="90" customFormat="1" x14ac:dyDescent="0.2">
      <c r="A15" s="178" t="s">
        <v>690</v>
      </c>
      <c r="B15" s="192">
        <f>B11-B14</f>
        <v>358485.4</v>
      </c>
      <c r="C15" s="170">
        <f>C11-C14</f>
        <v>661679.11179296672</v>
      </c>
      <c r="D15" s="201">
        <f t="shared" si="0"/>
        <v>0.20478204251125989</v>
      </c>
      <c r="F15" s="192">
        <f>F11-F14</f>
        <v>135500</v>
      </c>
      <c r="G15" s="222">
        <f>G11-G14</f>
        <v>298737.83333333337</v>
      </c>
      <c r="H15" s="171">
        <f>H11-H14</f>
        <v>0</v>
      </c>
      <c r="I15" s="175">
        <f>I11-I14</f>
        <v>-163237.83333333337</v>
      </c>
      <c r="J15" s="171">
        <f>J11-J14</f>
        <v>135500</v>
      </c>
      <c r="L15" s="192">
        <f>L11-L14</f>
        <v>98000</v>
      </c>
      <c r="M15" s="170">
        <f>M11-M14</f>
        <v>135500</v>
      </c>
      <c r="N15" s="171">
        <f t="shared" si="1"/>
        <v>37500</v>
      </c>
      <c r="P15" s="233">
        <f>P11-P14</f>
        <v>29873.783333333336</v>
      </c>
      <c r="R15" s="192">
        <f>R11-R14</f>
        <v>0</v>
      </c>
      <c r="S15" s="170">
        <f t="shared" ref="S15:AC15" si="8">S11-S14</f>
        <v>0</v>
      </c>
      <c r="T15" s="170">
        <f t="shared" si="8"/>
        <v>0</v>
      </c>
      <c r="U15" s="170">
        <f t="shared" si="8"/>
        <v>0</v>
      </c>
      <c r="V15" s="170">
        <f t="shared" si="8"/>
        <v>0</v>
      </c>
      <c r="W15" s="170">
        <f t="shared" si="8"/>
        <v>0</v>
      </c>
      <c r="X15" s="170">
        <f t="shared" si="8"/>
        <v>0</v>
      </c>
      <c r="Y15" s="170">
        <f t="shared" si="8"/>
        <v>0</v>
      </c>
      <c r="Z15" s="170">
        <f t="shared" si="8"/>
        <v>0</v>
      </c>
      <c r="AA15" s="170">
        <f t="shared" si="8"/>
        <v>0</v>
      </c>
      <c r="AB15" s="170">
        <f t="shared" si="8"/>
        <v>0</v>
      </c>
      <c r="AC15" s="171">
        <f t="shared" si="8"/>
        <v>0</v>
      </c>
      <c r="AE15" s="192">
        <f>AE11-AE14</f>
        <v>0</v>
      </c>
      <c r="AF15" s="170">
        <f t="shared" ref="AF15:AP15" si="9">AF11-AF14</f>
        <v>0</v>
      </c>
      <c r="AG15" s="170">
        <f t="shared" si="9"/>
        <v>0</v>
      </c>
      <c r="AH15" s="170">
        <f t="shared" si="9"/>
        <v>0</v>
      </c>
      <c r="AI15" s="170">
        <f t="shared" si="9"/>
        <v>0</v>
      </c>
      <c r="AJ15" s="170">
        <f t="shared" si="9"/>
        <v>0</v>
      </c>
      <c r="AK15" s="170">
        <f t="shared" si="9"/>
        <v>0</v>
      </c>
      <c r="AL15" s="170">
        <f t="shared" si="9"/>
        <v>0</v>
      </c>
      <c r="AM15" s="170">
        <f t="shared" si="9"/>
        <v>0</v>
      </c>
      <c r="AN15" s="170">
        <f t="shared" si="9"/>
        <v>0</v>
      </c>
      <c r="AO15" s="170">
        <f t="shared" si="9"/>
        <v>0</v>
      </c>
      <c r="AP15" s="171">
        <f t="shared" si="9"/>
        <v>0</v>
      </c>
      <c r="AR15" s="89" t="s">
        <v>55</v>
      </c>
      <c r="AS15" s="89">
        <v>10</v>
      </c>
    </row>
    <row r="16" spans="1:45" s="90" customFormat="1" x14ac:dyDescent="0.2">
      <c r="A16" s="179" t="s">
        <v>691</v>
      </c>
      <c r="B16" s="193">
        <f>IF(B12=0,0,B15/B12)</f>
        <v>26.455706104616841</v>
      </c>
      <c r="C16" s="172">
        <f>IF(C12=0,0,C15/C12)</f>
        <v>49.292808386508774</v>
      </c>
      <c r="D16" s="202">
        <f t="shared" si="0"/>
        <v>4.9979630787493337</v>
      </c>
      <c r="F16" s="193">
        <f>IF(F12=0,0,F15/F12)</f>
        <v>246.36363636363637</v>
      </c>
      <c r="G16" s="224">
        <f>IF(G12=0,0,G15/G12)</f>
        <v>26.455706104616841</v>
      </c>
      <c r="H16" s="173">
        <f>IF(H12=0,0,H15/H12)</f>
        <v>0</v>
      </c>
      <c r="I16" s="176">
        <f>IF(I12=0,0,I15/I12)</f>
        <v>15.196223546204932</v>
      </c>
      <c r="J16" s="173">
        <f>IF(J12=0,0,J15/J12)</f>
        <v>246.36363636363637</v>
      </c>
      <c r="L16" s="193">
        <f>IF(L12=0,0,L15/L12)</f>
        <v>217.77777777777777</v>
      </c>
      <c r="M16" s="172">
        <f>IF(M12=0,0,M15/M12)</f>
        <v>246.36363636363637</v>
      </c>
      <c r="N16" s="173">
        <f t="shared" si="1"/>
        <v>28.585858585858603</v>
      </c>
      <c r="P16" s="235">
        <f>IF(P12=0,0,P15/P12)</f>
        <v>26.455706104616841</v>
      </c>
      <c r="R16" s="193">
        <f>IF(R12=0,0,R15/R12)</f>
        <v>0</v>
      </c>
      <c r="S16" s="172">
        <f t="shared" ref="S16:AC16" si="10">IF(S12=0,0,S15/S12)</f>
        <v>0</v>
      </c>
      <c r="T16" s="172">
        <f t="shared" si="10"/>
        <v>0</v>
      </c>
      <c r="U16" s="172">
        <f t="shared" si="10"/>
        <v>0</v>
      </c>
      <c r="V16" s="172">
        <f t="shared" si="10"/>
        <v>0</v>
      </c>
      <c r="W16" s="172">
        <f t="shared" si="10"/>
        <v>0</v>
      </c>
      <c r="X16" s="172">
        <f t="shared" si="10"/>
        <v>0</v>
      </c>
      <c r="Y16" s="172">
        <f t="shared" si="10"/>
        <v>0</v>
      </c>
      <c r="Z16" s="172">
        <f t="shared" si="10"/>
        <v>0</v>
      </c>
      <c r="AA16" s="172">
        <f t="shared" si="10"/>
        <v>0</v>
      </c>
      <c r="AB16" s="172">
        <f t="shared" si="10"/>
        <v>0</v>
      </c>
      <c r="AC16" s="173">
        <f t="shared" si="10"/>
        <v>0</v>
      </c>
      <c r="AE16" s="193">
        <f>IF(AE12=0,0,AE15/AE12)</f>
        <v>0</v>
      </c>
      <c r="AF16" s="172">
        <f t="shared" ref="AF16:AP16" si="11">IF(AF12=0,0,AF15/AF12)</f>
        <v>0</v>
      </c>
      <c r="AG16" s="172">
        <f t="shared" si="11"/>
        <v>0</v>
      </c>
      <c r="AH16" s="172">
        <f t="shared" si="11"/>
        <v>0</v>
      </c>
      <c r="AI16" s="172">
        <f t="shared" si="11"/>
        <v>0</v>
      </c>
      <c r="AJ16" s="172">
        <f t="shared" si="11"/>
        <v>0</v>
      </c>
      <c r="AK16" s="172">
        <f t="shared" si="11"/>
        <v>0</v>
      </c>
      <c r="AL16" s="172">
        <f t="shared" si="11"/>
        <v>0</v>
      </c>
      <c r="AM16" s="172">
        <f t="shared" si="11"/>
        <v>0</v>
      </c>
      <c r="AN16" s="172">
        <f t="shared" si="11"/>
        <v>0</v>
      </c>
      <c r="AO16" s="172">
        <f t="shared" si="11"/>
        <v>0</v>
      </c>
      <c r="AP16" s="173">
        <f t="shared" si="11"/>
        <v>0</v>
      </c>
      <c r="AR16" s="89" t="s">
        <v>56</v>
      </c>
      <c r="AS16" s="89">
        <v>11</v>
      </c>
    </row>
    <row r="17" spans="1:45" x14ac:dyDescent="0.2">
      <c r="B17" s="198"/>
      <c r="C17" s="91"/>
      <c r="AR17" s="89" t="s">
        <v>57</v>
      </c>
      <c r="AS17" s="89">
        <v>12</v>
      </c>
    </row>
    <row r="20" spans="1:45" x14ac:dyDescent="0.2">
      <c r="A20" s="186"/>
      <c r="B20" s="1515" t="str">
        <f>CONCATENATE(Auftragsplanung!$A$6," ",$A$1)</f>
        <v xml:space="preserve"> (pro Jahr)</v>
      </c>
      <c r="C20" s="1516"/>
      <c r="D20" s="1517"/>
      <c r="F20" s="216" t="s">
        <v>669</v>
      </c>
      <c r="G20" s="203" t="s">
        <v>670</v>
      </c>
      <c r="H20" s="204" t="s">
        <v>671</v>
      </c>
      <c r="I20" s="237" t="s">
        <v>672</v>
      </c>
      <c r="J20" s="238" t="s">
        <v>673</v>
      </c>
      <c r="K20" s="90"/>
      <c r="L20" s="167" t="s">
        <v>674</v>
      </c>
      <c r="M20" s="203" t="s">
        <v>674</v>
      </c>
      <c r="N20" s="204" t="s">
        <v>675</v>
      </c>
      <c r="O20" s="90"/>
      <c r="P20" s="227" t="s">
        <v>676</v>
      </c>
      <c r="Q20" s="90"/>
      <c r="R20" s="1509" t="s">
        <v>671</v>
      </c>
      <c r="S20" s="1510"/>
      <c r="T20" s="1510"/>
      <c r="U20" s="1510"/>
      <c r="V20" s="1510"/>
      <c r="W20" s="1510"/>
      <c r="X20" s="1510"/>
      <c r="Y20" s="1510"/>
      <c r="Z20" s="1510"/>
      <c r="AA20" s="1510"/>
      <c r="AB20" s="1510"/>
      <c r="AC20" s="1511"/>
      <c r="AD20" s="90"/>
      <c r="AE20" s="1509" t="s">
        <v>677</v>
      </c>
      <c r="AF20" s="1510"/>
      <c r="AG20" s="1510"/>
      <c r="AH20" s="1510"/>
      <c r="AI20" s="1510"/>
      <c r="AJ20" s="1510"/>
      <c r="AK20" s="1510"/>
      <c r="AL20" s="1510"/>
      <c r="AM20" s="1510"/>
      <c r="AN20" s="1510"/>
      <c r="AO20" s="1510"/>
      <c r="AP20" s="1511"/>
    </row>
    <row r="21" spans="1:45" x14ac:dyDescent="0.2">
      <c r="A21" s="185"/>
      <c r="B21" s="189" t="s">
        <v>676</v>
      </c>
      <c r="C21" s="183" t="s">
        <v>205</v>
      </c>
      <c r="D21" s="184" t="s">
        <v>679</v>
      </c>
      <c r="F21" s="1512">
        <f>$B$1</f>
        <v>10</v>
      </c>
      <c r="G21" s="1513"/>
      <c r="H21" s="1513"/>
      <c r="I21" s="1513"/>
      <c r="J21" s="1514"/>
      <c r="K21" s="211"/>
      <c r="L21" s="189" t="s">
        <v>680</v>
      </c>
      <c r="M21" s="183" t="s">
        <v>681</v>
      </c>
      <c r="N21" s="184" t="s">
        <v>681</v>
      </c>
      <c r="O21" s="211"/>
      <c r="P21" s="228" t="s">
        <v>682</v>
      </c>
      <c r="Q21" s="211"/>
      <c r="R21" s="208" t="s">
        <v>38</v>
      </c>
      <c r="S21" s="209" t="s">
        <v>40</v>
      </c>
      <c r="T21" s="209" t="s">
        <v>43</v>
      </c>
      <c r="U21" s="209" t="s">
        <v>45</v>
      </c>
      <c r="V21" s="209" t="s">
        <v>47</v>
      </c>
      <c r="W21" s="209" t="s">
        <v>49</v>
      </c>
      <c r="X21" s="209" t="s">
        <v>51</v>
      </c>
      <c r="Y21" s="209" t="s">
        <v>52</v>
      </c>
      <c r="Z21" s="209" t="s">
        <v>54</v>
      </c>
      <c r="AA21" s="209" t="s">
        <v>55</v>
      </c>
      <c r="AB21" s="209" t="s">
        <v>56</v>
      </c>
      <c r="AC21" s="210" t="s">
        <v>57</v>
      </c>
      <c r="AD21" s="211"/>
      <c r="AE21" s="208" t="s">
        <v>38</v>
      </c>
      <c r="AF21" s="209" t="s">
        <v>40</v>
      </c>
      <c r="AG21" s="209" t="s">
        <v>43</v>
      </c>
      <c r="AH21" s="209" t="s">
        <v>45</v>
      </c>
      <c r="AI21" s="209" t="s">
        <v>47</v>
      </c>
      <c r="AJ21" s="209" t="s">
        <v>49</v>
      </c>
      <c r="AK21" s="209" t="s">
        <v>51</v>
      </c>
      <c r="AL21" s="209" t="s">
        <v>52</v>
      </c>
      <c r="AM21" s="209" t="s">
        <v>54</v>
      </c>
      <c r="AN21" s="209" t="s">
        <v>55</v>
      </c>
      <c r="AO21" s="209" t="s">
        <v>56</v>
      </c>
      <c r="AP21" s="210" t="s">
        <v>57</v>
      </c>
    </row>
    <row r="22" spans="1:45" x14ac:dyDescent="0.2">
      <c r="A22" s="180" t="s">
        <v>683</v>
      </c>
      <c r="B22" s="194"/>
      <c r="C22" s="181">
        <f>SUMIF(Auftragsplanung!$D$5:$Q$5,'DB I + DB II pro LC'!$A$117,Auftragsplanung!$D$18:$Q$18)</f>
        <v>0</v>
      </c>
      <c r="D22" s="199">
        <f t="shared" ref="D22:D32" si="12">IF(C22=0,0,F22/C22)</f>
        <v>0</v>
      </c>
      <c r="F22" s="205">
        <f>M22</f>
        <v>260000</v>
      </c>
      <c r="G22" s="218"/>
      <c r="H22" s="206">
        <f>HLOOKUP($B$2,$AE$21:$AP$32,2,FALSE)</f>
        <v>0</v>
      </c>
      <c r="I22" s="194"/>
      <c r="J22" s="182">
        <f>F22-H22</f>
        <v>260000</v>
      </c>
      <c r="L22" s="205">
        <v>200000</v>
      </c>
      <c r="M22" s="225">
        <v>260000</v>
      </c>
      <c r="N22" s="206">
        <f>M22-L22</f>
        <v>60000</v>
      </c>
      <c r="P22" s="229"/>
      <c r="R22" s="191">
        <f>SUMIF(Monatsplanung!$B$137:$B$150,'DB I + DB II pro LC'!$A$117,Monatsplanung!$W$137:$W$150)</f>
        <v>0</v>
      </c>
      <c r="S22" s="168">
        <f>SUMIF(Monatsplanung!$B$137:$B$150,'DB I + DB II pro LC'!$A$117,Monatsplanung!$X$137:$X$150)</f>
        <v>0</v>
      </c>
      <c r="T22" s="168">
        <f>SUMIF(Monatsplanung!$B$137:$B$150,'DB I + DB II pro LC'!$A$117,Monatsplanung!$Y$137:$Y$150)</f>
        <v>0</v>
      </c>
      <c r="U22" s="168">
        <f>SUMIF(Monatsplanung!$B$137:$B$150,'DB I + DB II pro LC'!$A$117,Monatsplanung!$Z$137:$Z$150)</f>
        <v>0</v>
      </c>
      <c r="V22" s="168">
        <f>SUMIF(Monatsplanung!$B$137:$B$150,'DB I + DB II pro LC'!$A$117,Monatsplanung!$AA$137:$AA$150)</f>
        <v>0</v>
      </c>
      <c r="W22" s="168">
        <f>SUMIF(Monatsplanung!$B$137:$B$150,'DB I + DB II pro LC'!$A$117,Monatsplanung!$AB$137:$AB$150)</f>
        <v>0</v>
      </c>
      <c r="X22" s="168">
        <f>SUMIF(Monatsplanung!$B$137:$B$150,'DB I + DB II pro LC'!$A$117,Monatsplanung!$AC$137:$AC$150)</f>
        <v>0</v>
      </c>
      <c r="Y22" s="168">
        <f>SUMIF(Monatsplanung!$B$137:$B$150,'DB I + DB II pro LC'!$A$117,Monatsplanung!$AD$137:$AD$150)</f>
        <v>0</v>
      </c>
      <c r="Z22" s="168">
        <f>SUMIF(Monatsplanung!$B$137:$B$150,'DB I + DB II pro LC'!$A$117,Monatsplanung!$AE$137:$AE$150)</f>
        <v>0</v>
      </c>
      <c r="AA22" s="168">
        <f>SUMIF(Monatsplanung!$B$137:$B$150,'DB I + DB II pro LC'!$A$117,Monatsplanung!$AF$137:$AF$150)</f>
        <v>0</v>
      </c>
      <c r="AB22" s="168">
        <f>SUMIF(Monatsplanung!$B$137:$B$150,'DB I + DB II pro LC'!$A$117,Monatsplanung!$AG$137:$AG$150)</f>
        <v>0</v>
      </c>
      <c r="AC22" s="169">
        <f>SUMIF(Monatsplanung!$B$137:$B$150,'DB I + DB II pro LC'!$A$117,Monatsplanung!$AH$137:$AH$150)</f>
        <v>0</v>
      </c>
      <c r="AE22" s="191">
        <f>SUM(R22)</f>
        <v>0</v>
      </c>
      <c r="AF22" s="168">
        <f>SUM(R22:S22)</f>
        <v>0</v>
      </c>
      <c r="AG22" s="168">
        <f>SUM(R22:T22)</f>
        <v>0</v>
      </c>
      <c r="AH22" s="168">
        <f>SUM(R22:U22)</f>
        <v>0</v>
      </c>
      <c r="AI22" s="168">
        <f>SUM(R22:V22)</f>
        <v>0</v>
      </c>
      <c r="AJ22" s="168">
        <f>SUM(R22:W22)</f>
        <v>0</v>
      </c>
      <c r="AK22" s="168">
        <f>SUM(R22:X22)</f>
        <v>0</v>
      </c>
      <c r="AL22" s="168">
        <f>SUM(R22:Y22)</f>
        <v>0</v>
      </c>
      <c r="AM22" s="168">
        <f>SUM(R22:Z22)</f>
        <v>0</v>
      </c>
      <c r="AN22" s="168">
        <f>SUM(R22:AA22)</f>
        <v>0</v>
      </c>
      <c r="AO22" s="168">
        <f>SUM(R22:AB22)</f>
        <v>0</v>
      </c>
      <c r="AP22" s="169">
        <f>SUM(R22:AC22)</f>
        <v>0</v>
      </c>
    </row>
    <row r="23" spans="1:45" x14ac:dyDescent="0.2">
      <c r="A23" s="177" t="s">
        <v>684</v>
      </c>
      <c r="B23" s="195"/>
      <c r="C23" s="168"/>
      <c r="D23" s="200">
        <f t="shared" si="12"/>
        <v>0</v>
      </c>
      <c r="F23" s="191">
        <f>M23</f>
        <v>5000</v>
      </c>
      <c r="G23" s="219"/>
      <c r="H23" s="169">
        <f>HLOOKUP($B$2,$AE$21:$AP$32,3,FALSE)</f>
        <v>0</v>
      </c>
      <c r="I23" s="195"/>
      <c r="J23" s="169">
        <f>F23-H23</f>
        <v>5000</v>
      </c>
      <c r="L23" s="191">
        <v>10000</v>
      </c>
      <c r="M23" s="226">
        <v>5000</v>
      </c>
      <c r="N23" s="169">
        <f t="shared" ref="N23:N32" si="13">M23-L23</f>
        <v>-5000</v>
      </c>
      <c r="P23" s="230"/>
      <c r="R23" s="191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9"/>
      <c r="AE23" s="191">
        <f>SUM(R23)</f>
        <v>0</v>
      </c>
      <c r="AF23" s="168">
        <f>SUM(R23:S23)</f>
        <v>0</v>
      </c>
      <c r="AG23" s="168">
        <f>SUM(R23:T23)</f>
        <v>0</v>
      </c>
      <c r="AH23" s="168">
        <f>SUM(R23:U23)</f>
        <v>0</v>
      </c>
      <c r="AI23" s="168">
        <f>SUM(R23:V23)</f>
        <v>0</v>
      </c>
      <c r="AJ23" s="168">
        <f>SUM(R23:W23)</f>
        <v>0</v>
      </c>
      <c r="AK23" s="168">
        <f>SUM(R23:X23)</f>
        <v>0</v>
      </c>
      <c r="AL23" s="168">
        <f>SUM(R23:Y23)</f>
        <v>0</v>
      </c>
      <c r="AM23" s="168">
        <f>SUM(R23:Z23)</f>
        <v>0</v>
      </c>
      <c r="AN23" s="168">
        <f>SUM(R23:AA23)</f>
        <v>0</v>
      </c>
      <c r="AO23" s="168">
        <f>SUM(R23:AB23)</f>
        <v>0</v>
      </c>
      <c r="AP23" s="169">
        <f>SUM(R23:AC23)</f>
        <v>0</v>
      </c>
    </row>
    <row r="24" spans="1:45" x14ac:dyDescent="0.2">
      <c r="A24" s="178" t="s">
        <v>366</v>
      </c>
      <c r="B24" s="196"/>
      <c r="C24" s="170">
        <f>C22+C23</f>
        <v>0</v>
      </c>
      <c r="D24" s="201">
        <f t="shared" si="12"/>
        <v>0</v>
      </c>
      <c r="F24" s="192">
        <f>F22+F23</f>
        <v>265000</v>
      </c>
      <c r="G24" s="220"/>
      <c r="H24" s="171">
        <f>H22+H23</f>
        <v>0</v>
      </c>
      <c r="I24" s="196"/>
      <c r="J24" s="171">
        <f>J22+J23</f>
        <v>265000</v>
      </c>
      <c r="K24" s="90"/>
      <c r="L24" s="192">
        <f>L22+L23</f>
        <v>210000</v>
      </c>
      <c r="M24" s="170">
        <f>M22+M23</f>
        <v>265000</v>
      </c>
      <c r="N24" s="171">
        <f t="shared" si="13"/>
        <v>55000</v>
      </c>
      <c r="O24" s="90"/>
      <c r="P24" s="231"/>
      <c r="Q24" s="90"/>
      <c r="R24" s="192">
        <f>R22+R23</f>
        <v>0</v>
      </c>
      <c r="S24" s="170">
        <f t="shared" ref="S24:AC24" si="14">S22+S23</f>
        <v>0</v>
      </c>
      <c r="T24" s="170">
        <f t="shared" si="14"/>
        <v>0</v>
      </c>
      <c r="U24" s="170">
        <f t="shared" si="14"/>
        <v>0</v>
      </c>
      <c r="V24" s="170">
        <f t="shared" si="14"/>
        <v>0</v>
      </c>
      <c r="W24" s="170">
        <f t="shared" si="14"/>
        <v>0</v>
      </c>
      <c r="X24" s="170">
        <f t="shared" si="14"/>
        <v>0</v>
      </c>
      <c r="Y24" s="170">
        <f t="shared" si="14"/>
        <v>0</v>
      </c>
      <c r="Z24" s="170">
        <f t="shared" si="14"/>
        <v>0</v>
      </c>
      <c r="AA24" s="170">
        <f t="shared" si="14"/>
        <v>0</v>
      </c>
      <c r="AB24" s="170">
        <f t="shared" si="14"/>
        <v>0</v>
      </c>
      <c r="AC24" s="171">
        <f t="shared" si="14"/>
        <v>0</v>
      </c>
      <c r="AD24" s="90"/>
      <c r="AE24" s="192">
        <f>AE22+AE23</f>
        <v>0</v>
      </c>
      <c r="AF24" s="170">
        <f t="shared" ref="AF24:AP24" si="15">AF22+AF23</f>
        <v>0</v>
      </c>
      <c r="AG24" s="170">
        <f t="shared" si="15"/>
        <v>0</v>
      </c>
      <c r="AH24" s="170">
        <f t="shared" si="15"/>
        <v>0</v>
      </c>
      <c r="AI24" s="170">
        <f t="shared" si="15"/>
        <v>0</v>
      </c>
      <c r="AJ24" s="170">
        <f t="shared" si="15"/>
        <v>0</v>
      </c>
      <c r="AK24" s="170">
        <f t="shared" si="15"/>
        <v>0</v>
      </c>
      <c r="AL24" s="170">
        <f t="shared" si="15"/>
        <v>0</v>
      </c>
      <c r="AM24" s="170">
        <f t="shared" si="15"/>
        <v>0</v>
      </c>
      <c r="AN24" s="170">
        <f t="shared" si="15"/>
        <v>0</v>
      </c>
      <c r="AO24" s="170">
        <f t="shared" si="15"/>
        <v>0</v>
      </c>
      <c r="AP24" s="171">
        <f t="shared" si="15"/>
        <v>0</v>
      </c>
    </row>
    <row r="25" spans="1:45" x14ac:dyDescent="0.2">
      <c r="A25" s="177" t="s">
        <v>685</v>
      </c>
      <c r="B25" s="195"/>
      <c r="C25" s="168">
        <f>SUMIF(Auftragsplanung!$D$5:$Q$5,'DB I + DB II pro LC'!$A$117,Auftragsplanung!$D$19:$Q$19)</f>
        <v>0</v>
      </c>
      <c r="D25" s="200">
        <f t="shared" si="12"/>
        <v>0</v>
      </c>
      <c r="F25" s="191">
        <f>M25</f>
        <v>110000</v>
      </c>
      <c r="G25" s="219"/>
      <c r="H25" s="169">
        <f>HLOOKUP($B$2,$AE$21:$AP$32,5,FALSE)</f>
        <v>0</v>
      </c>
      <c r="I25" s="195"/>
      <c r="J25" s="169">
        <f>F25-H25</f>
        <v>110000</v>
      </c>
      <c r="L25" s="191">
        <v>95000</v>
      </c>
      <c r="M25" s="226">
        <v>110000</v>
      </c>
      <c r="N25" s="169">
        <f t="shared" si="13"/>
        <v>15000</v>
      </c>
      <c r="P25" s="230"/>
      <c r="R25" s="191">
        <f>SUMIF(Monatsplanung!$B$137:$B$150,'DB I + DB II pro LC'!$A$117,Monatsplanung!$W$160:$W$173)</f>
        <v>0</v>
      </c>
      <c r="S25" s="168">
        <f>SUMIF(Monatsplanung!$B$137:$B$150,'DB I + DB II pro LC'!$A$117,Monatsplanung!$X$160:$X$173)</f>
        <v>0</v>
      </c>
      <c r="T25" s="168">
        <f>SUMIF(Monatsplanung!$B$137:$B$150,'DB I + DB II pro LC'!$A$117,Monatsplanung!$Y$160:$Y$173)</f>
        <v>0</v>
      </c>
      <c r="U25" s="168">
        <f>SUMIF(Monatsplanung!$B$137:$B$150,'DB I + DB II pro LC'!$A$117,Monatsplanung!$Z$160:$Z$173)</f>
        <v>0</v>
      </c>
      <c r="V25" s="168">
        <f>SUMIF(Monatsplanung!$B$137:$B$150,'DB I + DB II pro LC'!$A$117,Monatsplanung!$AA$160:$AA$173)</f>
        <v>0</v>
      </c>
      <c r="W25" s="168">
        <f>SUMIF(Monatsplanung!$B$137:$B$150,'DB I + DB II pro LC'!$A$117,Monatsplanung!$AB$160:$AB$173)</f>
        <v>0</v>
      </c>
      <c r="X25" s="168">
        <f>SUMIF(Monatsplanung!$B$137:$B$150,'DB I + DB II pro LC'!$A$117,Monatsplanung!$AC$160:$AC$173)</f>
        <v>0</v>
      </c>
      <c r="Y25" s="168">
        <f>SUMIF(Monatsplanung!$B$137:$B$150,'DB I + DB II pro LC'!$A$117,Monatsplanung!$AD$160:$AD$173)</f>
        <v>0</v>
      </c>
      <c r="Z25" s="168">
        <f>SUMIF(Monatsplanung!$B$137:$B$150,'DB I + DB II pro LC'!$A$117,Monatsplanung!$AE$160:$AE$173)</f>
        <v>0</v>
      </c>
      <c r="AA25" s="168">
        <f>SUMIF(Monatsplanung!$B$137:$B$150,'DB I + DB II pro LC'!$A$117,Monatsplanung!$AF$160:$AF$173)</f>
        <v>0</v>
      </c>
      <c r="AB25" s="168">
        <f>SUMIF(Monatsplanung!$B$137:$B$150,'DB I + DB II pro LC'!$A$117,Monatsplanung!$AG$160:$AG$173)</f>
        <v>0</v>
      </c>
      <c r="AC25" s="169">
        <f>SUMIF(Monatsplanung!$B$137:$B$150,'DB I + DB II pro LC'!$A$117,Monatsplanung!$AH$160:$AH$173)</f>
        <v>0</v>
      </c>
      <c r="AE25" s="191">
        <f>SUM(R25)</f>
        <v>0</v>
      </c>
      <c r="AF25" s="168">
        <f>SUM(R25:S25)</f>
        <v>0</v>
      </c>
      <c r="AG25" s="168">
        <f>SUM(R25:T25)</f>
        <v>0</v>
      </c>
      <c r="AH25" s="168">
        <f>SUM(R25:U25)</f>
        <v>0</v>
      </c>
      <c r="AI25" s="168">
        <f>SUM(R25:V25)</f>
        <v>0</v>
      </c>
      <c r="AJ25" s="168">
        <f>SUM(R25:W25)</f>
        <v>0</v>
      </c>
      <c r="AK25" s="168">
        <f>SUM(R25:X25)</f>
        <v>0</v>
      </c>
      <c r="AL25" s="168">
        <f>SUM(R25:Y25)</f>
        <v>0</v>
      </c>
      <c r="AM25" s="168">
        <f>SUM(R25:Z25)</f>
        <v>0</v>
      </c>
      <c r="AN25" s="168">
        <f>SUM(R25:AA25)</f>
        <v>0</v>
      </c>
      <c r="AO25" s="168">
        <f>SUM(R25:AB25)</f>
        <v>0</v>
      </c>
      <c r="AP25" s="169">
        <f>SUM(R25:AC25)</f>
        <v>0</v>
      </c>
    </row>
    <row r="26" spans="1:45" x14ac:dyDescent="0.2">
      <c r="A26" s="177" t="s">
        <v>686</v>
      </c>
      <c r="B26" s="190"/>
      <c r="C26" s="168">
        <f>SUMIF(Auftragsplanung!$D$5:$Q$5,'DB I + DB II pro LC'!$A$117,Auftragsplanung!$D$20:$Q$20)</f>
        <v>0</v>
      </c>
      <c r="D26" s="200">
        <f t="shared" si="12"/>
        <v>0</v>
      </c>
      <c r="F26" s="191">
        <f>M26</f>
        <v>2500</v>
      </c>
      <c r="G26" s="221"/>
      <c r="H26" s="169">
        <f>HLOOKUP($B$2,$AE$21:$AP$32,6,FALSE)</f>
        <v>0</v>
      </c>
      <c r="I26" s="190"/>
      <c r="J26" s="169">
        <f>F26-H26</f>
        <v>2500</v>
      </c>
      <c r="L26" s="191">
        <v>2000</v>
      </c>
      <c r="M26" s="226">
        <v>2500</v>
      </c>
      <c r="N26" s="169">
        <f t="shared" si="13"/>
        <v>500</v>
      </c>
      <c r="P26" s="232"/>
      <c r="R26" s="191">
        <f>SUMIF(Monatsplanung!$B$137:$B$150,'DB I + DB II pro LC'!$A$117,Monatsplanung!$W$181:$W$194)</f>
        <v>0</v>
      </c>
      <c r="S26" s="168">
        <f>SUMIF(Monatsplanung!$B$137:$B$150,'DB I + DB II pro LC'!$A$117,Monatsplanung!$X$181:$X$194)</f>
        <v>0</v>
      </c>
      <c r="T26" s="168">
        <f>SUMIF(Monatsplanung!$B$137:$B$150,'DB I + DB II pro LC'!$A$117,Monatsplanung!$Y$181:$Y$194)</f>
        <v>0</v>
      </c>
      <c r="U26" s="168">
        <f>SUMIF(Monatsplanung!$B$137:$B$150,'DB I + DB II pro LC'!$A$117,Monatsplanung!$Z$181:$Z$194)</f>
        <v>0</v>
      </c>
      <c r="V26" s="168">
        <f>SUMIF(Monatsplanung!$B$137:$B$150,'DB I + DB II pro LC'!$A$117,Monatsplanung!$AA$181:$AA$194)</f>
        <v>0</v>
      </c>
      <c r="W26" s="168">
        <f>SUMIF(Monatsplanung!$B$137:$B$150,'DB I + DB II pro LC'!$A$117,Monatsplanung!$AB$181:$AB$194)</f>
        <v>0</v>
      </c>
      <c r="X26" s="168">
        <f>SUMIF(Monatsplanung!$B$137:$B$150,'DB I + DB II pro LC'!$A$117,Monatsplanung!$AC$181:$AC$194)</f>
        <v>0</v>
      </c>
      <c r="Y26" s="168">
        <f>SUMIF(Monatsplanung!$B$137:$B$150,'DB I + DB II pro LC'!$A$117,Monatsplanung!$AD$181:$AD$194)</f>
        <v>0</v>
      </c>
      <c r="Z26" s="168">
        <f>SUMIF(Monatsplanung!$B$137:$B$150,'DB I + DB II pro LC'!$A$117,Monatsplanung!$AE$181:$AE$194)</f>
        <v>0</v>
      </c>
      <c r="AA26" s="168">
        <f>SUMIF(Monatsplanung!$B$137:$B$150,'DB I + DB II pro LC'!$A$117,Monatsplanung!$AF$181:$AF$194)</f>
        <v>0</v>
      </c>
      <c r="AB26" s="168">
        <f>SUMIF(Monatsplanung!$B$137:$B$150,'DB I + DB II pro LC'!$A$117,Monatsplanung!$AG$181:$AG$194)</f>
        <v>0</v>
      </c>
      <c r="AC26" s="169">
        <f>SUMIF(Monatsplanung!$B$137:$B$150,'DB I + DB II pro LC'!$A$117,Monatsplanung!$AH$181:$AH$194)</f>
        <v>0</v>
      </c>
      <c r="AE26" s="191">
        <f>SUM(R26)</f>
        <v>0</v>
      </c>
      <c r="AF26" s="168">
        <f>SUM(R26:S26)</f>
        <v>0</v>
      </c>
      <c r="AG26" s="168">
        <f>SUM(R26:T26)</f>
        <v>0</v>
      </c>
      <c r="AH26" s="168">
        <f>SUM(R26:U26)</f>
        <v>0</v>
      </c>
      <c r="AI26" s="168">
        <f>SUM(R26:V26)</f>
        <v>0</v>
      </c>
      <c r="AJ26" s="168">
        <f>SUM(R26:W26)</f>
        <v>0</v>
      </c>
      <c r="AK26" s="168">
        <f>SUM(R26:X26)</f>
        <v>0</v>
      </c>
      <c r="AL26" s="168">
        <f>SUM(R26:Y26)</f>
        <v>0</v>
      </c>
      <c r="AM26" s="168">
        <f>SUM(R26:Z26)</f>
        <v>0</v>
      </c>
      <c r="AN26" s="168">
        <f>SUM(R26:AA26)</f>
        <v>0</v>
      </c>
      <c r="AO26" s="168">
        <f>SUM(R26:AB26)</f>
        <v>0</v>
      </c>
      <c r="AP26" s="169">
        <f>SUM(R26:AC26)</f>
        <v>0</v>
      </c>
    </row>
    <row r="27" spans="1:45" x14ac:dyDescent="0.2">
      <c r="A27" s="178" t="s">
        <v>368</v>
      </c>
      <c r="B27" s="192">
        <f>Kostenverteilung!I43</f>
        <v>0</v>
      </c>
      <c r="C27" s="170">
        <f>C24-C25-C26</f>
        <v>0</v>
      </c>
      <c r="D27" s="201">
        <f t="shared" si="12"/>
        <v>0</v>
      </c>
      <c r="F27" s="192">
        <f>F24-F25-F26</f>
        <v>152500</v>
      </c>
      <c r="G27" s="222">
        <f>$P27*$B$1</f>
        <v>0</v>
      </c>
      <c r="H27" s="171">
        <f>H24-H25-H26</f>
        <v>0</v>
      </c>
      <c r="I27" s="175">
        <f>F27-G27</f>
        <v>152500</v>
      </c>
      <c r="J27" s="171">
        <f>J24-J25-J26</f>
        <v>152500</v>
      </c>
      <c r="K27" s="90"/>
      <c r="L27" s="192">
        <f>L24-L25-L26</f>
        <v>113000</v>
      </c>
      <c r="M27" s="170">
        <f>M24-M25-M26</f>
        <v>152500</v>
      </c>
      <c r="N27" s="171">
        <f t="shared" si="13"/>
        <v>39500</v>
      </c>
      <c r="O27" s="90"/>
      <c r="P27" s="233">
        <f>B27/12</f>
        <v>0</v>
      </c>
      <c r="Q27" s="90"/>
      <c r="R27" s="192">
        <f>R24-R25-R26</f>
        <v>0</v>
      </c>
      <c r="S27" s="170">
        <f t="shared" ref="S27:AC27" si="16">S24-S25-S26</f>
        <v>0</v>
      </c>
      <c r="T27" s="170">
        <f t="shared" si="16"/>
        <v>0</v>
      </c>
      <c r="U27" s="170">
        <f t="shared" si="16"/>
        <v>0</v>
      </c>
      <c r="V27" s="170">
        <f t="shared" si="16"/>
        <v>0</v>
      </c>
      <c r="W27" s="170">
        <f t="shared" si="16"/>
        <v>0</v>
      </c>
      <c r="X27" s="170">
        <f t="shared" si="16"/>
        <v>0</v>
      </c>
      <c r="Y27" s="170">
        <f t="shared" si="16"/>
        <v>0</v>
      </c>
      <c r="Z27" s="170">
        <f t="shared" si="16"/>
        <v>0</v>
      </c>
      <c r="AA27" s="170">
        <f t="shared" si="16"/>
        <v>0</v>
      </c>
      <c r="AB27" s="170">
        <f t="shared" si="16"/>
        <v>0</v>
      </c>
      <c r="AC27" s="171">
        <f t="shared" si="16"/>
        <v>0</v>
      </c>
      <c r="AD27" s="90"/>
      <c r="AE27" s="192">
        <f>AE24-AE25-AE26</f>
        <v>0</v>
      </c>
      <c r="AF27" s="170">
        <f t="shared" ref="AF27:AP27" si="17">AF24-AF25-AF26</f>
        <v>0</v>
      </c>
      <c r="AG27" s="170">
        <f t="shared" si="17"/>
        <v>0</v>
      </c>
      <c r="AH27" s="170">
        <f t="shared" si="17"/>
        <v>0</v>
      </c>
      <c r="AI27" s="170">
        <f t="shared" si="17"/>
        <v>0</v>
      </c>
      <c r="AJ27" s="170">
        <f t="shared" si="17"/>
        <v>0</v>
      </c>
      <c r="AK27" s="170">
        <f t="shared" si="17"/>
        <v>0</v>
      </c>
      <c r="AL27" s="170">
        <f t="shared" si="17"/>
        <v>0</v>
      </c>
      <c r="AM27" s="170">
        <f t="shared" si="17"/>
        <v>0</v>
      </c>
      <c r="AN27" s="170">
        <f t="shared" si="17"/>
        <v>0</v>
      </c>
      <c r="AO27" s="170">
        <f t="shared" si="17"/>
        <v>0</v>
      </c>
      <c r="AP27" s="171">
        <f t="shared" si="17"/>
        <v>0</v>
      </c>
    </row>
    <row r="28" spans="1:45" x14ac:dyDescent="0.2">
      <c r="A28" s="177" t="s">
        <v>687</v>
      </c>
      <c r="B28" s="191">
        <f>Kostenverteilung!I45</f>
        <v>0</v>
      </c>
      <c r="C28" s="168">
        <f>Kostenverteilung!I45</f>
        <v>0</v>
      </c>
      <c r="D28" s="200">
        <f t="shared" si="12"/>
        <v>0</v>
      </c>
      <c r="F28" s="191">
        <f>M28</f>
        <v>550</v>
      </c>
      <c r="G28" s="223">
        <f>$P28*$B$1</f>
        <v>0</v>
      </c>
      <c r="H28" s="217">
        <f>HLOOKUP($B$2,$AE$21:$AP$32,8,FALSE)</f>
        <v>0</v>
      </c>
      <c r="I28" s="174">
        <f>F28-G28</f>
        <v>550</v>
      </c>
      <c r="J28" s="169">
        <f>F28-H28</f>
        <v>550</v>
      </c>
      <c r="L28" s="191">
        <v>450</v>
      </c>
      <c r="M28" s="226">
        <v>550</v>
      </c>
      <c r="N28" s="169">
        <f t="shared" si="13"/>
        <v>100</v>
      </c>
      <c r="P28" s="234">
        <f>B28/12</f>
        <v>0</v>
      </c>
      <c r="R28" s="191">
        <f>IF(ISERROR(Mitarbeiterverteilung!$AG$107*R22/SUM($R$24:$AC$24)),0,Mitarbeiterverteilung!$AG$107*R22/SUM($R$24:$AC$24))</f>
        <v>0</v>
      </c>
      <c r="S28" s="168">
        <f>IF(ISERROR(Mitarbeiterverteilung!$AG$107*S22/SUM($R$24:$AC$24)),0,Mitarbeiterverteilung!$AG$107*S22/SUM($R$24:$AC$24))</f>
        <v>0</v>
      </c>
      <c r="T28" s="168">
        <f>IF(ISERROR(Mitarbeiterverteilung!$AG$107*T22/SUM($R$24:$AC$24)),0,Mitarbeiterverteilung!$AG$107*T22/SUM($R$24:$AC$24))</f>
        <v>0</v>
      </c>
      <c r="U28" s="168">
        <f>IF(ISERROR(Mitarbeiterverteilung!$AG$107*U22/SUM($R$24:$AC$24)),0,Mitarbeiterverteilung!$AG$107*U22/SUM($R$24:$AC$24))</f>
        <v>0</v>
      </c>
      <c r="V28" s="168">
        <f>IF(ISERROR(Mitarbeiterverteilung!$AG$107*V22/SUM($R$24:$AC$24)),0,Mitarbeiterverteilung!$AG$107*V22/SUM($R$24:$AC$24))</f>
        <v>0</v>
      </c>
      <c r="W28" s="168">
        <f>IF(ISERROR(Mitarbeiterverteilung!$AG$107*W22/SUM($R$24:$AC$24)),0,Mitarbeiterverteilung!$AG$107*W22/SUM($R$24:$AC$24))</f>
        <v>0</v>
      </c>
      <c r="X28" s="168">
        <f>IF(ISERROR(Mitarbeiterverteilung!$AG$107*X22/SUM($R$24:$AC$24)),0,Mitarbeiterverteilung!$AG$107*X22/SUM($R$24:$AC$24))</f>
        <v>0</v>
      </c>
      <c r="Y28" s="168">
        <f>IF(ISERROR(Mitarbeiterverteilung!$AG$107*Y22/SUM($R$24:$AC$24)),0,Mitarbeiterverteilung!$AG$107*Y22/SUM($R$24:$AC$24))</f>
        <v>0</v>
      </c>
      <c r="Z28" s="168">
        <f>IF(ISERROR(Mitarbeiterverteilung!$AG$107*Z22/SUM($R$24:$AC$24)),0,Mitarbeiterverteilung!$AG$107*Z22/SUM($R$24:$AC$24))</f>
        <v>0</v>
      </c>
      <c r="AA28" s="168">
        <f>IF(ISERROR(Mitarbeiterverteilung!$AG$107*AA22/SUM($R$24:$AC$24)),0,Mitarbeiterverteilung!$AG$107*AA22/SUM($R$24:$AC$24))</f>
        <v>0</v>
      </c>
      <c r="AB28" s="168">
        <f>IF(ISERROR(Mitarbeiterverteilung!$AG$107*AB22/SUM($R$24:$AC$24)),0,Mitarbeiterverteilung!$AG$107*AB22/SUM($R$24:$AC$24))</f>
        <v>0</v>
      </c>
      <c r="AC28" s="169">
        <f>IF(ISERROR(Mitarbeiterverteilung!$AG$107*AC22/SUM($R$24:$AC$24)),0,Mitarbeiterverteilung!$AG$107*AC22/SUM($R$24:$AC$24))</f>
        <v>0</v>
      </c>
      <c r="AE28" s="191">
        <f>SUM(R28)</f>
        <v>0</v>
      </c>
      <c r="AF28" s="168">
        <f>SUM(R28:S28)</f>
        <v>0</v>
      </c>
      <c r="AG28" s="168">
        <f>SUM(R28:T28)</f>
        <v>0</v>
      </c>
      <c r="AH28" s="168">
        <f>SUM(R28:U28)</f>
        <v>0</v>
      </c>
      <c r="AI28" s="168">
        <f>SUM(R28:V28)</f>
        <v>0</v>
      </c>
      <c r="AJ28" s="168">
        <f>SUM(R28:W28)</f>
        <v>0</v>
      </c>
      <c r="AK28" s="168">
        <f>SUM(R28:X28)</f>
        <v>0</v>
      </c>
      <c r="AL28" s="168">
        <f>SUM(R28:Y28)</f>
        <v>0</v>
      </c>
      <c r="AM28" s="168">
        <f>SUM(R28:Z28)</f>
        <v>0</v>
      </c>
      <c r="AN28" s="168">
        <f>SUM(R28:AA28)</f>
        <v>0</v>
      </c>
      <c r="AO28" s="168">
        <f>SUM(R28:AB28)</f>
        <v>0</v>
      </c>
      <c r="AP28" s="169">
        <f>SUM(R28:AC28)</f>
        <v>0</v>
      </c>
    </row>
    <row r="29" spans="1:45" x14ac:dyDescent="0.2">
      <c r="A29" s="178" t="s">
        <v>688</v>
      </c>
      <c r="B29" s="192">
        <f>IF(B28=0,0,B27/B28)</f>
        <v>0</v>
      </c>
      <c r="C29" s="170" t="e">
        <f>C27/C28</f>
        <v>#DIV/0!</v>
      </c>
      <c r="D29" s="201" t="e">
        <f t="shared" si="12"/>
        <v>#DIV/0!</v>
      </c>
      <c r="F29" s="192">
        <f>IF(F28=0,0,F27/F28)</f>
        <v>277.27272727272725</v>
      </c>
      <c r="G29" s="222">
        <f>IF(G28=0,0,G27/G28)</f>
        <v>0</v>
      </c>
      <c r="H29" s="171">
        <f>IF(H28=0,0,H27/H28)</f>
        <v>0</v>
      </c>
      <c r="I29" s="175">
        <f>IF(I28=0,0,I27/I28)</f>
        <v>277.27272727272725</v>
      </c>
      <c r="J29" s="171">
        <f>IF(J28=0,0,J27/J28)</f>
        <v>277.27272727272725</v>
      </c>
      <c r="K29" s="90"/>
      <c r="L29" s="192">
        <f>IF(L28=0,0,L27/L28)</f>
        <v>251.11111111111111</v>
      </c>
      <c r="M29" s="170">
        <f>IF(M28=0,0,M27/M28)</f>
        <v>277.27272727272725</v>
      </c>
      <c r="N29" s="171">
        <f t="shared" si="13"/>
        <v>26.161616161616138</v>
      </c>
      <c r="O29" s="90"/>
      <c r="P29" s="233">
        <f>IF(P28=0,0,P27/P28)</f>
        <v>0</v>
      </c>
      <c r="Q29" s="90"/>
      <c r="R29" s="192">
        <f>IF(R28=0,0,R27/R28)</f>
        <v>0</v>
      </c>
      <c r="S29" s="170">
        <f t="shared" ref="S29:AC29" si="18">IF(S28=0,0,S27/S28)</f>
        <v>0</v>
      </c>
      <c r="T29" s="170">
        <f t="shared" si="18"/>
        <v>0</v>
      </c>
      <c r="U29" s="170">
        <f t="shared" si="18"/>
        <v>0</v>
      </c>
      <c r="V29" s="170">
        <f t="shared" si="18"/>
        <v>0</v>
      </c>
      <c r="W29" s="170">
        <f t="shared" si="18"/>
        <v>0</v>
      </c>
      <c r="X29" s="170">
        <f t="shared" si="18"/>
        <v>0</v>
      </c>
      <c r="Y29" s="170">
        <f t="shared" si="18"/>
        <v>0</v>
      </c>
      <c r="Z29" s="170">
        <f t="shared" si="18"/>
        <v>0</v>
      </c>
      <c r="AA29" s="170">
        <f t="shared" si="18"/>
        <v>0</v>
      </c>
      <c r="AB29" s="170">
        <f t="shared" si="18"/>
        <v>0</v>
      </c>
      <c r="AC29" s="171">
        <f t="shared" si="18"/>
        <v>0</v>
      </c>
      <c r="AD29" s="90"/>
      <c r="AE29" s="192">
        <f>IF(AE28=0,0,AE27/AE28)</f>
        <v>0</v>
      </c>
      <c r="AF29" s="170">
        <f t="shared" ref="AF29:AP29" si="19">IF(AF28=0,0,AF27/AF28)</f>
        <v>0</v>
      </c>
      <c r="AG29" s="170">
        <f t="shared" si="19"/>
        <v>0</v>
      </c>
      <c r="AH29" s="170">
        <f t="shared" si="19"/>
        <v>0</v>
      </c>
      <c r="AI29" s="170">
        <f t="shared" si="19"/>
        <v>0</v>
      </c>
      <c r="AJ29" s="170">
        <f t="shared" si="19"/>
        <v>0</v>
      </c>
      <c r="AK29" s="170">
        <f t="shared" si="19"/>
        <v>0</v>
      </c>
      <c r="AL29" s="170">
        <f t="shared" si="19"/>
        <v>0</v>
      </c>
      <c r="AM29" s="170">
        <f t="shared" si="19"/>
        <v>0</v>
      </c>
      <c r="AN29" s="170">
        <f t="shared" si="19"/>
        <v>0</v>
      </c>
      <c r="AO29" s="170">
        <f t="shared" si="19"/>
        <v>0</v>
      </c>
      <c r="AP29" s="171">
        <f t="shared" si="19"/>
        <v>0</v>
      </c>
    </row>
    <row r="30" spans="1:45" x14ac:dyDescent="0.2">
      <c r="A30" s="177" t="s">
        <v>689</v>
      </c>
      <c r="B30" s="191">
        <f>Kostenverteilung!I49*B28</f>
        <v>0</v>
      </c>
      <c r="C30" s="168">
        <f>Kostenverteilung!I23</f>
        <v>0</v>
      </c>
      <c r="D30" s="200">
        <f t="shared" si="12"/>
        <v>0</v>
      </c>
      <c r="F30" s="191">
        <f>M30</f>
        <v>17000</v>
      </c>
      <c r="G30" s="223">
        <f>$P30*$B$1</f>
        <v>0</v>
      </c>
      <c r="H30" s="217">
        <f>HLOOKUP($B$2,$AE$21:$AP$32,10,FALSE)</f>
        <v>0</v>
      </c>
      <c r="I30" s="174">
        <f>F30-G30</f>
        <v>17000</v>
      </c>
      <c r="J30" s="169">
        <f>F30-H30</f>
        <v>17000</v>
      </c>
      <c r="L30" s="191">
        <v>15000</v>
      </c>
      <c r="M30" s="226">
        <v>17000</v>
      </c>
      <c r="N30" s="169">
        <f t="shared" si="13"/>
        <v>2000</v>
      </c>
      <c r="P30" s="234">
        <f>B30/12</f>
        <v>0</v>
      </c>
      <c r="R30" s="191">
        <f>IF(ISERROR(Mitarbeiterverteilung!$V$107*R22/SUM($R$24:$AC$24)),0,Mitarbeiterverteilung!$V$107*R22/SUM($R$24:$AC$24))</f>
        <v>0</v>
      </c>
      <c r="S30" s="168">
        <f>IF(ISERROR(Mitarbeiterverteilung!$V$107*S22/SUM($R$24:$AC$24)),0,Mitarbeiterverteilung!$V$107*S22/SUM($R$24:$AC$24))</f>
        <v>0</v>
      </c>
      <c r="T30" s="168">
        <f>IF(ISERROR(Mitarbeiterverteilung!$V$107*T22/SUM($R$24:$AC$24)),0,Mitarbeiterverteilung!$V$107*T22/SUM($R$24:$AC$24))</f>
        <v>0</v>
      </c>
      <c r="U30" s="168">
        <f>IF(ISERROR(Mitarbeiterverteilung!$V$107*U22/SUM($R$24:$AC$24)),0,Mitarbeiterverteilung!$V$107*U22/SUM($R$24:$AC$24))</f>
        <v>0</v>
      </c>
      <c r="V30" s="168">
        <f>IF(ISERROR(Mitarbeiterverteilung!$V$107*V22/SUM($R$24:$AC$24)),0,Mitarbeiterverteilung!$V$107*V22/SUM($R$24:$AC$24))</f>
        <v>0</v>
      </c>
      <c r="W30" s="168">
        <f>IF(ISERROR(Mitarbeiterverteilung!$V$107*W22/SUM($R$24:$AC$24)),0,Mitarbeiterverteilung!$V$107*W22/SUM($R$24:$AC$24))</f>
        <v>0</v>
      </c>
      <c r="X30" s="168">
        <f>IF(ISERROR(Mitarbeiterverteilung!$V$107*X22/SUM($R$24:$AC$24)),0,Mitarbeiterverteilung!$V$107*X22/SUM($R$24:$AC$24))</f>
        <v>0</v>
      </c>
      <c r="Y30" s="168">
        <f>IF(ISERROR(Mitarbeiterverteilung!$V$107*Y22/SUM($R$24:$AC$24)),0,Mitarbeiterverteilung!$V$107*Y22/SUM($R$24:$AC$24))</f>
        <v>0</v>
      </c>
      <c r="Z30" s="168">
        <f>IF(ISERROR(Mitarbeiterverteilung!$V$107*Z22/SUM($R$24:$AC$24)),0,Mitarbeiterverteilung!$V$107*Z22/SUM($R$24:$AC$24))</f>
        <v>0</v>
      </c>
      <c r="AA30" s="168">
        <f>IF(ISERROR(Mitarbeiterverteilung!$V$107*AA22/SUM($R$24:$AC$24)),0,Mitarbeiterverteilung!$V$107*AA22/SUM($R$24:$AC$24))</f>
        <v>0</v>
      </c>
      <c r="AB30" s="168">
        <f>IF(ISERROR(Mitarbeiterverteilung!$V$107*AB22/SUM($R$24:$AC$24)),0,Mitarbeiterverteilung!$V$107*AB22/SUM($R$24:$AC$24))</f>
        <v>0</v>
      </c>
      <c r="AC30" s="169">
        <f>IF(ISERROR(Mitarbeiterverteilung!$V$107*AC22/SUM($R$24:$AC$24)),0,Mitarbeiterverteilung!$V$107*AC22/SUM($R$24:$AC$24))</f>
        <v>0</v>
      </c>
      <c r="AE30" s="191">
        <f>SUM(R30)</f>
        <v>0</v>
      </c>
      <c r="AF30" s="168">
        <f>SUM(R30:S30)</f>
        <v>0</v>
      </c>
      <c r="AG30" s="168">
        <f>SUM(R30:T30)</f>
        <v>0</v>
      </c>
      <c r="AH30" s="168">
        <f>SUM(R30:U30)</f>
        <v>0</v>
      </c>
      <c r="AI30" s="168">
        <f>SUM(R30:V30)</f>
        <v>0</v>
      </c>
      <c r="AJ30" s="168">
        <f>SUM(R30:W30)</f>
        <v>0</v>
      </c>
      <c r="AK30" s="168">
        <f>SUM(R30:X30)</f>
        <v>0</v>
      </c>
      <c r="AL30" s="168">
        <f>SUM(R30:Y30)</f>
        <v>0</v>
      </c>
      <c r="AM30" s="168">
        <f>SUM(R30:Z30)</f>
        <v>0</v>
      </c>
      <c r="AN30" s="168">
        <f>SUM(R30:AA30)</f>
        <v>0</v>
      </c>
      <c r="AO30" s="168">
        <f>SUM(R30:AB30)</f>
        <v>0</v>
      </c>
      <c r="AP30" s="169">
        <f>SUM(R30:AC30)</f>
        <v>0</v>
      </c>
    </row>
    <row r="31" spans="1:45" x14ac:dyDescent="0.2">
      <c r="A31" s="178" t="s">
        <v>690</v>
      </c>
      <c r="B31" s="192">
        <f>B27-B30</f>
        <v>0</v>
      </c>
      <c r="C31" s="170">
        <f>C27-C30</f>
        <v>0</v>
      </c>
      <c r="D31" s="201">
        <f t="shared" si="12"/>
        <v>0</v>
      </c>
      <c r="F31" s="192">
        <f>F27-F30</f>
        <v>135500</v>
      </c>
      <c r="G31" s="222">
        <f>G27-G30</f>
        <v>0</v>
      </c>
      <c r="H31" s="171">
        <f>H27-H30</f>
        <v>0</v>
      </c>
      <c r="I31" s="175">
        <f>I27-I30</f>
        <v>135500</v>
      </c>
      <c r="J31" s="171">
        <f>J27-J30</f>
        <v>135500</v>
      </c>
      <c r="K31" s="90"/>
      <c r="L31" s="192">
        <f>L27-L30</f>
        <v>98000</v>
      </c>
      <c r="M31" s="170">
        <f>M27-M30</f>
        <v>135500</v>
      </c>
      <c r="N31" s="171">
        <f t="shared" si="13"/>
        <v>37500</v>
      </c>
      <c r="O31" s="90"/>
      <c r="P31" s="233">
        <f>P27-P30</f>
        <v>0</v>
      </c>
      <c r="Q31" s="90"/>
      <c r="R31" s="192">
        <f>R27-R30</f>
        <v>0</v>
      </c>
      <c r="S31" s="170">
        <f t="shared" ref="S31:AC31" si="20">S27-S30</f>
        <v>0</v>
      </c>
      <c r="T31" s="170">
        <f t="shared" si="20"/>
        <v>0</v>
      </c>
      <c r="U31" s="170">
        <f t="shared" si="20"/>
        <v>0</v>
      </c>
      <c r="V31" s="170">
        <f t="shared" si="20"/>
        <v>0</v>
      </c>
      <c r="W31" s="170">
        <f t="shared" si="20"/>
        <v>0</v>
      </c>
      <c r="X31" s="170">
        <f t="shared" si="20"/>
        <v>0</v>
      </c>
      <c r="Y31" s="170">
        <f t="shared" si="20"/>
        <v>0</v>
      </c>
      <c r="Z31" s="170">
        <f t="shared" si="20"/>
        <v>0</v>
      </c>
      <c r="AA31" s="170">
        <f t="shared" si="20"/>
        <v>0</v>
      </c>
      <c r="AB31" s="170">
        <f t="shared" si="20"/>
        <v>0</v>
      </c>
      <c r="AC31" s="171">
        <f t="shared" si="20"/>
        <v>0</v>
      </c>
      <c r="AD31" s="90"/>
      <c r="AE31" s="192">
        <f>AE27-AE30</f>
        <v>0</v>
      </c>
      <c r="AF31" s="170">
        <f t="shared" ref="AF31:AP31" si="21">AF27-AF30</f>
        <v>0</v>
      </c>
      <c r="AG31" s="170">
        <f t="shared" si="21"/>
        <v>0</v>
      </c>
      <c r="AH31" s="170">
        <f t="shared" si="21"/>
        <v>0</v>
      </c>
      <c r="AI31" s="170">
        <f t="shared" si="21"/>
        <v>0</v>
      </c>
      <c r="AJ31" s="170">
        <f t="shared" si="21"/>
        <v>0</v>
      </c>
      <c r="AK31" s="170">
        <f t="shared" si="21"/>
        <v>0</v>
      </c>
      <c r="AL31" s="170">
        <f t="shared" si="21"/>
        <v>0</v>
      </c>
      <c r="AM31" s="170">
        <f t="shared" si="21"/>
        <v>0</v>
      </c>
      <c r="AN31" s="170">
        <f t="shared" si="21"/>
        <v>0</v>
      </c>
      <c r="AO31" s="170">
        <f t="shared" si="21"/>
        <v>0</v>
      </c>
      <c r="AP31" s="171">
        <f t="shared" si="21"/>
        <v>0</v>
      </c>
    </row>
    <row r="32" spans="1:45" x14ac:dyDescent="0.2">
      <c r="A32" s="179" t="s">
        <v>691</v>
      </c>
      <c r="B32" s="193">
        <f>IF(B28=0,0,B31/B28)</f>
        <v>0</v>
      </c>
      <c r="C32" s="172" t="e">
        <f>C31/C28</f>
        <v>#DIV/0!</v>
      </c>
      <c r="D32" s="202" t="e">
        <f t="shared" si="12"/>
        <v>#DIV/0!</v>
      </c>
      <c r="F32" s="193">
        <f>IF(F28=0,0,F31/F28)</f>
        <v>246.36363636363637</v>
      </c>
      <c r="G32" s="224">
        <f>IF(G28=0,0,G31/G28)</f>
        <v>0</v>
      </c>
      <c r="H32" s="173">
        <f>IF(H28=0,0,H31/H28)</f>
        <v>0</v>
      </c>
      <c r="I32" s="176">
        <f>IF(I28=0,0,I31/I28)</f>
        <v>246.36363636363637</v>
      </c>
      <c r="J32" s="173">
        <f>IF(J28=0,0,J31/J28)</f>
        <v>246.36363636363637</v>
      </c>
      <c r="K32" s="90"/>
      <c r="L32" s="193">
        <f>IF(L28=0,0,L31/L28)</f>
        <v>217.77777777777777</v>
      </c>
      <c r="M32" s="172">
        <f>IF(M28=0,0,M31/M28)</f>
        <v>246.36363636363637</v>
      </c>
      <c r="N32" s="173">
        <f t="shared" si="13"/>
        <v>28.585858585858603</v>
      </c>
      <c r="O32" s="90"/>
      <c r="P32" s="235">
        <f>IF(P28=0,0,P31/P28)</f>
        <v>0</v>
      </c>
      <c r="Q32" s="90"/>
      <c r="R32" s="193">
        <f>IF(R28=0,0,R31/R28)</f>
        <v>0</v>
      </c>
      <c r="S32" s="172">
        <f t="shared" ref="S32:AC32" si="22">IF(S28=0,0,S31/S28)</f>
        <v>0</v>
      </c>
      <c r="T32" s="172">
        <f t="shared" si="22"/>
        <v>0</v>
      </c>
      <c r="U32" s="172">
        <f t="shared" si="22"/>
        <v>0</v>
      </c>
      <c r="V32" s="172">
        <f t="shared" si="22"/>
        <v>0</v>
      </c>
      <c r="W32" s="172">
        <f t="shared" si="22"/>
        <v>0</v>
      </c>
      <c r="X32" s="172">
        <f t="shared" si="22"/>
        <v>0</v>
      </c>
      <c r="Y32" s="172">
        <f t="shared" si="22"/>
        <v>0</v>
      </c>
      <c r="Z32" s="172">
        <f t="shared" si="22"/>
        <v>0</v>
      </c>
      <c r="AA32" s="172">
        <f t="shared" si="22"/>
        <v>0</v>
      </c>
      <c r="AB32" s="172">
        <f t="shared" si="22"/>
        <v>0</v>
      </c>
      <c r="AC32" s="173">
        <f t="shared" si="22"/>
        <v>0</v>
      </c>
      <c r="AD32" s="90"/>
      <c r="AE32" s="193">
        <f>IF(AE28=0,0,AE31/AE28)</f>
        <v>0</v>
      </c>
      <c r="AF32" s="172">
        <f t="shared" ref="AF32:AP32" si="23">IF(AF28=0,0,AF31/AF28)</f>
        <v>0</v>
      </c>
      <c r="AG32" s="172">
        <f t="shared" si="23"/>
        <v>0</v>
      </c>
      <c r="AH32" s="172">
        <f t="shared" si="23"/>
        <v>0</v>
      </c>
      <c r="AI32" s="172">
        <f t="shared" si="23"/>
        <v>0</v>
      </c>
      <c r="AJ32" s="172">
        <f t="shared" si="23"/>
        <v>0</v>
      </c>
      <c r="AK32" s="172">
        <f t="shared" si="23"/>
        <v>0</v>
      </c>
      <c r="AL32" s="172">
        <f t="shared" si="23"/>
        <v>0</v>
      </c>
      <c r="AM32" s="172">
        <f t="shared" si="23"/>
        <v>0</v>
      </c>
      <c r="AN32" s="172">
        <f t="shared" si="23"/>
        <v>0</v>
      </c>
      <c r="AO32" s="172">
        <f t="shared" si="23"/>
        <v>0</v>
      </c>
      <c r="AP32" s="173">
        <f t="shared" si="23"/>
        <v>0</v>
      </c>
    </row>
    <row r="36" spans="1:42" x14ac:dyDescent="0.2">
      <c r="A36" s="186"/>
      <c r="B36" s="1515" t="str">
        <f>CONCATENATE(Auftragsplanung!$A$7," ",$A$1)</f>
        <v xml:space="preserve"> (pro Jahr)</v>
      </c>
      <c r="C36" s="1516"/>
      <c r="D36" s="1517"/>
      <c r="F36" s="216" t="s">
        <v>669</v>
      </c>
      <c r="G36" s="203" t="s">
        <v>670</v>
      </c>
      <c r="H36" s="204" t="s">
        <v>671</v>
      </c>
      <c r="I36" s="237" t="s">
        <v>672</v>
      </c>
      <c r="J36" s="238" t="s">
        <v>673</v>
      </c>
      <c r="K36" s="90"/>
      <c r="L36" s="167" t="s">
        <v>674</v>
      </c>
      <c r="M36" s="203" t="s">
        <v>674</v>
      </c>
      <c r="N36" s="204" t="s">
        <v>675</v>
      </c>
      <c r="O36" s="90"/>
      <c r="P36" s="227" t="s">
        <v>676</v>
      </c>
      <c r="Q36" s="90"/>
      <c r="R36" s="1509" t="s">
        <v>671</v>
      </c>
      <c r="S36" s="1510"/>
      <c r="T36" s="1510"/>
      <c r="U36" s="1510"/>
      <c r="V36" s="1510"/>
      <c r="W36" s="1510"/>
      <c r="X36" s="1510"/>
      <c r="Y36" s="1510"/>
      <c r="Z36" s="1510"/>
      <c r="AA36" s="1510"/>
      <c r="AB36" s="1510"/>
      <c r="AC36" s="1511"/>
      <c r="AD36" s="90"/>
      <c r="AE36" s="1509" t="s">
        <v>677</v>
      </c>
      <c r="AF36" s="1510"/>
      <c r="AG36" s="1510"/>
      <c r="AH36" s="1510"/>
      <c r="AI36" s="1510"/>
      <c r="AJ36" s="1510"/>
      <c r="AK36" s="1510"/>
      <c r="AL36" s="1510"/>
      <c r="AM36" s="1510"/>
      <c r="AN36" s="1510"/>
      <c r="AO36" s="1510"/>
      <c r="AP36" s="1511"/>
    </row>
    <row r="37" spans="1:42" x14ac:dyDescent="0.2">
      <c r="A37" s="185"/>
      <c r="B37" s="189" t="s">
        <v>676</v>
      </c>
      <c r="C37" s="183" t="s">
        <v>205</v>
      </c>
      <c r="D37" s="184" t="s">
        <v>679</v>
      </c>
      <c r="F37" s="1512">
        <f>$B$1</f>
        <v>10</v>
      </c>
      <c r="G37" s="1513"/>
      <c r="H37" s="1513"/>
      <c r="I37" s="1513"/>
      <c r="J37" s="1514"/>
      <c r="K37" s="215"/>
      <c r="L37" s="189" t="s">
        <v>680</v>
      </c>
      <c r="M37" s="183" t="s">
        <v>681</v>
      </c>
      <c r="N37" s="184" t="s">
        <v>681</v>
      </c>
      <c r="O37" s="215"/>
      <c r="P37" s="228" t="s">
        <v>682</v>
      </c>
      <c r="Q37" s="215"/>
      <c r="R37" s="212" t="s">
        <v>38</v>
      </c>
      <c r="S37" s="213" t="s">
        <v>40</v>
      </c>
      <c r="T37" s="213" t="s">
        <v>43</v>
      </c>
      <c r="U37" s="213" t="s">
        <v>45</v>
      </c>
      <c r="V37" s="213" t="s">
        <v>47</v>
      </c>
      <c r="W37" s="213" t="s">
        <v>49</v>
      </c>
      <c r="X37" s="213" t="s">
        <v>51</v>
      </c>
      <c r="Y37" s="213" t="s">
        <v>52</v>
      </c>
      <c r="Z37" s="213" t="s">
        <v>54</v>
      </c>
      <c r="AA37" s="213" t="s">
        <v>55</v>
      </c>
      <c r="AB37" s="213" t="s">
        <v>56</v>
      </c>
      <c r="AC37" s="214" t="s">
        <v>57</v>
      </c>
      <c r="AD37" s="215"/>
      <c r="AE37" s="212" t="s">
        <v>38</v>
      </c>
      <c r="AF37" s="213" t="s">
        <v>40</v>
      </c>
      <c r="AG37" s="213" t="s">
        <v>43</v>
      </c>
      <c r="AH37" s="213" t="s">
        <v>45</v>
      </c>
      <c r="AI37" s="213" t="s">
        <v>47</v>
      </c>
      <c r="AJ37" s="213" t="s">
        <v>49</v>
      </c>
      <c r="AK37" s="213" t="s">
        <v>51</v>
      </c>
      <c r="AL37" s="213" t="s">
        <v>52</v>
      </c>
      <c r="AM37" s="213" t="s">
        <v>54</v>
      </c>
      <c r="AN37" s="213" t="s">
        <v>55</v>
      </c>
      <c r="AO37" s="213" t="s">
        <v>56</v>
      </c>
      <c r="AP37" s="214" t="s">
        <v>57</v>
      </c>
    </row>
    <row r="38" spans="1:42" x14ac:dyDescent="0.2">
      <c r="A38" s="180" t="s">
        <v>683</v>
      </c>
      <c r="B38" s="194"/>
      <c r="C38" s="181">
        <f>SUMIF(Auftragsplanung!$D$5:$Q$5,'DB I + DB II pro LC'!$A$118,Auftragsplanung!$D$18:$Q$18)</f>
        <v>0</v>
      </c>
      <c r="D38" s="199">
        <f t="shared" ref="D38:D48" si="24">IF(C38=0,0,F38/C38)</f>
        <v>0</v>
      </c>
      <c r="F38" s="205">
        <f>M38</f>
        <v>260000</v>
      </c>
      <c r="G38" s="218"/>
      <c r="H38" s="206">
        <f>HLOOKUP($B$2,$AE$37:$AP$48,2,FALSE)</f>
        <v>0</v>
      </c>
      <c r="I38" s="194"/>
      <c r="J38" s="182">
        <f>F38-H38</f>
        <v>260000</v>
      </c>
      <c r="L38" s="205">
        <v>200000</v>
      </c>
      <c r="M38" s="225">
        <v>260000</v>
      </c>
      <c r="N38" s="206">
        <f>M38-L38</f>
        <v>60000</v>
      </c>
      <c r="P38" s="229"/>
      <c r="R38" s="191">
        <f>SUMIF(Monatsplanung!$B$137:$B$150,'DB I + DB II pro LC'!$A$118,Monatsplanung!W$137:W$150)</f>
        <v>0</v>
      </c>
      <c r="S38" s="168">
        <f>SUMIF(Monatsplanung!$B$137:$B$150,'DB I + DB II pro LC'!$A$118,Monatsplanung!X$137:X$150)</f>
        <v>0</v>
      </c>
      <c r="T38" s="168">
        <f>SUMIF(Monatsplanung!$B$137:$B$150,'DB I + DB II pro LC'!$A$118,Monatsplanung!Y$137:Y$150)</f>
        <v>0</v>
      </c>
      <c r="U38" s="168">
        <f>SUMIF(Monatsplanung!$B$137:$B$150,'DB I + DB II pro LC'!$A$118,Monatsplanung!Z$137:Z$150)</f>
        <v>0</v>
      </c>
      <c r="V38" s="168">
        <f>SUMIF(Monatsplanung!$B$137:$B$150,'DB I + DB II pro LC'!$A$118,Monatsplanung!AA$137:AA$150)</f>
        <v>0</v>
      </c>
      <c r="W38" s="168">
        <f>SUMIF(Monatsplanung!$B$137:$B$150,'DB I + DB II pro LC'!$A$118,Monatsplanung!AB$137:AB$150)</f>
        <v>0</v>
      </c>
      <c r="X38" s="168">
        <f>SUMIF(Monatsplanung!$B$137:$B$150,'DB I + DB II pro LC'!$A$118,Monatsplanung!AC$137:AC$150)</f>
        <v>0</v>
      </c>
      <c r="Y38" s="168">
        <f>SUMIF(Monatsplanung!$B$137:$B$150,'DB I + DB II pro LC'!$A$118,Monatsplanung!AD$137:AD$150)</f>
        <v>0</v>
      </c>
      <c r="Z38" s="168">
        <f>SUMIF(Monatsplanung!$B$137:$B$150,'DB I + DB II pro LC'!$A$118,Monatsplanung!AE$137:AE$150)</f>
        <v>0</v>
      </c>
      <c r="AA38" s="168">
        <f>SUMIF(Monatsplanung!$B$137:$B$150,'DB I + DB II pro LC'!$A$118,Monatsplanung!AF$137:AF$150)</f>
        <v>0</v>
      </c>
      <c r="AB38" s="168">
        <f>SUMIF(Monatsplanung!$B$137:$B$150,'DB I + DB II pro LC'!$A$118,Monatsplanung!AG$137:AG$150)</f>
        <v>0</v>
      </c>
      <c r="AC38" s="169">
        <f>SUMIF(Monatsplanung!$B$137:$B$150,'DB I + DB II pro LC'!$A$118,Monatsplanung!AH$137:AH$150)</f>
        <v>0</v>
      </c>
      <c r="AE38" s="191">
        <f>SUM(R38)</f>
        <v>0</v>
      </c>
      <c r="AF38" s="168">
        <f>SUM(R38:S38)</f>
        <v>0</v>
      </c>
      <c r="AG38" s="168">
        <f>SUM(R38:T38)</f>
        <v>0</v>
      </c>
      <c r="AH38" s="168">
        <f>SUM(R38:U38)</f>
        <v>0</v>
      </c>
      <c r="AI38" s="168">
        <f>SUM(R38:V38)</f>
        <v>0</v>
      </c>
      <c r="AJ38" s="168">
        <f>SUM(R38:W38)</f>
        <v>0</v>
      </c>
      <c r="AK38" s="168">
        <f>SUM(R38:X38)</f>
        <v>0</v>
      </c>
      <c r="AL38" s="168">
        <f>SUM(R38:Y38)</f>
        <v>0</v>
      </c>
      <c r="AM38" s="168">
        <f>SUM(R38:Z38)</f>
        <v>0</v>
      </c>
      <c r="AN38" s="168">
        <f>SUM(R38:AA38)</f>
        <v>0</v>
      </c>
      <c r="AO38" s="168">
        <f>SUM(R38:AB38)</f>
        <v>0</v>
      </c>
      <c r="AP38" s="169">
        <f>SUM(R38:AC38)</f>
        <v>0</v>
      </c>
    </row>
    <row r="39" spans="1:42" x14ac:dyDescent="0.2">
      <c r="A39" s="177" t="s">
        <v>684</v>
      </c>
      <c r="B39" s="195"/>
      <c r="C39" s="168"/>
      <c r="D39" s="200">
        <f t="shared" si="24"/>
        <v>0</v>
      </c>
      <c r="F39" s="191">
        <f>M39</f>
        <v>5000</v>
      </c>
      <c r="G39" s="219"/>
      <c r="H39" s="169">
        <f>HLOOKUP($B$2,$AE$37:$AP$48,3,FALSE)</f>
        <v>0</v>
      </c>
      <c r="I39" s="195"/>
      <c r="J39" s="169">
        <f>F39-H39</f>
        <v>5000</v>
      </c>
      <c r="L39" s="191">
        <v>10000</v>
      </c>
      <c r="M39" s="226">
        <v>5000</v>
      </c>
      <c r="N39" s="169">
        <f t="shared" ref="N39:N48" si="25">M39-L39</f>
        <v>-5000</v>
      </c>
      <c r="P39" s="230"/>
      <c r="R39" s="191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9"/>
      <c r="AE39" s="191">
        <f>SUM(R39)</f>
        <v>0</v>
      </c>
      <c r="AF39" s="168">
        <f>SUM(R39:S39)</f>
        <v>0</v>
      </c>
      <c r="AG39" s="168">
        <f>SUM(R39:T39)</f>
        <v>0</v>
      </c>
      <c r="AH39" s="168">
        <f>SUM(R39:U39)</f>
        <v>0</v>
      </c>
      <c r="AI39" s="168">
        <f>SUM(R39:V39)</f>
        <v>0</v>
      </c>
      <c r="AJ39" s="168">
        <f>SUM(R39:W39)</f>
        <v>0</v>
      </c>
      <c r="AK39" s="168">
        <f>SUM(R39:X39)</f>
        <v>0</v>
      </c>
      <c r="AL39" s="168">
        <f>SUM(R39:Y39)</f>
        <v>0</v>
      </c>
      <c r="AM39" s="168">
        <f>SUM(R39:Z39)</f>
        <v>0</v>
      </c>
      <c r="AN39" s="168">
        <f>SUM(R39:AA39)</f>
        <v>0</v>
      </c>
      <c r="AO39" s="168">
        <f>SUM(R39:AB39)</f>
        <v>0</v>
      </c>
      <c r="AP39" s="169">
        <f>SUM(R39:AC39)</f>
        <v>0</v>
      </c>
    </row>
    <row r="40" spans="1:42" x14ac:dyDescent="0.2">
      <c r="A40" s="178" t="s">
        <v>366</v>
      </c>
      <c r="B40" s="196"/>
      <c r="C40" s="170">
        <f>C38+C39</f>
        <v>0</v>
      </c>
      <c r="D40" s="201">
        <f t="shared" si="24"/>
        <v>0</v>
      </c>
      <c r="F40" s="192">
        <f>F38+F39</f>
        <v>265000</v>
      </c>
      <c r="G40" s="220"/>
      <c r="H40" s="171">
        <f>H38+H39</f>
        <v>0</v>
      </c>
      <c r="I40" s="196"/>
      <c r="J40" s="171">
        <f>J38+J39</f>
        <v>265000</v>
      </c>
      <c r="K40" s="90"/>
      <c r="L40" s="192">
        <f>L38+L39</f>
        <v>210000</v>
      </c>
      <c r="M40" s="170">
        <f>M38+M39</f>
        <v>265000</v>
      </c>
      <c r="N40" s="171">
        <f t="shared" si="25"/>
        <v>55000</v>
      </c>
      <c r="O40" s="90"/>
      <c r="P40" s="231"/>
      <c r="Q40" s="90"/>
      <c r="R40" s="192">
        <f>R38+R39</f>
        <v>0</v>
      </c>
      <c r="S40" s="170">
        <f t="shared" ref="S40:AC40" si="26">S38+S39</f>
        <v>0</v>
      </c>
      <c r="T40" s="170">
        <f t="shared" si="26"/>
        <v>0</v>
      </c>
      <c r="U40" s="170">
        <f t="shared" si="26"/>
        <v>0</v>
      </c>
      <c r="V40" s="170">
        <f t="shared" si="26"/>
        <v>0</v>
      </c>
      <c r="W40" s="170">
        <f t="shared" si="26"/>
        <v>0</v>
      </c>
      <c r="X40" s="170">
        <f t="shared" si="26"/>
        <v>0</v>
      </c>
      <c r="Y40" s="170">
        <f t="shared" si="26"/>
        <v>0</v>
      </c>
      <c r="Z40" s="170">
        <f t="shared" si="26"/>
        <v>0</v>
      </c>
      <c r="AA40" s="170">
        <f t="shared" si="26"/>
        <v>0</v>
      </c>
      <c r="AB40" s="170">
        <f t="shared" si="26"/>
        <v>0</v>
      </c>
      <c r="AC40" s="171">
        <f t="shared" si="26"/>
        <v>0</v>
      </c>
      <c r="AD40" s="90"/>
      <c r="AE40" s="192">
        <f>AE38+AE39</f>
        <v>0</v>
      </c>
      <c r="AF40" s="170">
        <f t="shared" ref="AF40:AP40" si="27">AF38+AF39</f>
        <v>0</v>
      </c>
      <c r="AG40" s="170">
        <f t="shared" si="27"/>
        <v>0</v>
      </c>
      <c r="AH40" s="170">
        <f t="shared" si="27"/>
        <v>0</v>
      </c>
      <c r="AI40" s="170">
        <f t="shared" si="27"/>
        <v>0</v>
      </c>
      <c r="AJ40" s="170">
        <f t="shared" si="27"/>
        <v>0</v>
      </c>
      <c r="AK40" s="170">
        <f t="shared" si="27"/>
        <v>0</v>
      </c>
      <c r="AL40" s="170">
        <f t="shared" si="27"/>
        <v>0</v>
      </c>
      <c r="AM40" s="170">
        <f t="shared" si="27"/>
        <v>0</v>
      </c>
      <c r="AN40" s="170">
        <f t="shared" si="27"/>
        <v>0</v>
      </c>
      <c r="AO40" s="170">
        <f t="shared" si="27"/>
        <v>0</v>
      </c>
      <c r="AP40" s="171">
        <f t="shared" si="27"/>
        <v>0</v>
      </c>
    </row>
    <row r="41" spans="1:42" x14ac:dyDescent="0.2">
      <c r="A41" s="177" t="s">
        <v>685</v>
      </c>
      <c r="B41" s="195"/>
      <c r="C41" s="168">
        <f>SUMIF(Auftragsplanung!$D$5:$Q$5,'DB I + DB II pro LC'!$A$118,Auftragsplanung!$D$19:$Q$19)</f>
        <v>0</v>
      </c>
      <c r="D41" s="200">
        <f t="shared" si="24"/>
        <v>0</v>
      </c>
      <c r="F41" s="191">
        <f>M41</f>
        <v>110000</v>
      </c>
      <c r="G41" s="219"/>
      <c r="H41" s="169">
        <f>HLOOKUP($B$2,$AE$37:$AP$48,5,FALSE)</f>
        <v>0</v>
      </c>
      <c r="I41" s="195"/>
      <c r="J41" s="169">
        <f>F41-H41</f>
        <v>110000</v>
      </c>
      <c r="L41" s="191">
        <v>95000</v>
      </c>
      <c r="M41" s="226">
        <v>110000</v>
      </c>
      <c r="N41" s="169">
        <f t="shared" si="25"/>
        <v>15000</v>
      </c>
      <c r="P41" s="230"/>
      <c r="R41" s="191">
        <f>SUMIF(Monatsplanung!$B$137:$B$150,'DB I + DB II pro LC'!$A$118,Monatsplanung!W$160:W$173)</f>
        <v>0</v>
      </c>
      <c r="S41" s="168">
        <f>SUMIF(Monatsplanung!$B$137:$B$150,'DB I + DB II pro LC'!$A$118,Monatsplanung!X$160:X$173)</f>
        <v>0</v>
      </c>
      <c r="T41" s="168">
        <f>SUMIF(Monatsplanung!$B$137:$B$150,'DB I + DB II pro LC'!$A$118,Monatsplanung!Y$160:Y$173)</f>
        <v>0</v>
      </c>
      <c r="U41" s="168">
        <f>SUMIF(Monatsplanung!$B$137:$B$150,'DB I + DB II pro LC'!$A$118,Monatsplanung!Z$160:Z$173)</f>
        <v>0</v>
      </c>
      <c r="V41" s="168">
        <f>SUMIF(Monatsplanung!$B$137:$B$150,'DB I + DB II pro LC'!$A$118,Monatsplanung!AA$160:AA$173)</f>
        <v>0</v>
      </c>
      <c r="W41" s="168">
        <f>SUMIF(Monatsplanung!$B$137:$B$150,'DB I + DB II pro LC'!$A$118,Monatsplanung!AB$160:AB$173)</f>
        <v>0</v>
      </c>
      <c r="X41" s="168">
        <f>SUMIF(Monatsplanung!$B$137:$B$150,'DB I + DB II pro LC'!$A$118,Monatsplanung!AC$160:AC$173)</f>
        <v>0</v>
      </c>
      <c r="Y41" s="168">
        <f>SUMIF(Monatsplanung!$B$137:$B$150,'DB I + DB II pro LC'!$A$118,Monatsplanung!AD$160:AD$173)</f>
        <v>0</v>
      </c>
      <c r="Z41" s="168">
        <f>SUMIF(Monatsplanung!$B$137:$B$150,'DB I + DB II pro LC'!$A$118,Monatsplanung!AE$160:AE$173)</f>
        <v>0</v>
      </c>
      <c r="AA41" s="168">
        <f>SUMIF(Monatsplanung!$B$137:$B$150,'DB I + DB II pro LC'!$A$118,Monatsplanung!AF$160:AF$173)</f>
        <v>0</v>
      </c>
      <c r="AB41" s="168">
        <f>SUMIF(Monatsplanung!$B$137:$B$150,'DB I + DB II pro LC'!$A$118,Monatsplanung!AG$160:AG$173)</f>
        <v>0</v>
      </c>
      <c r="AC41" s="169">
        <f>SUMIF(Monatsplanung!$B$137:$B$150,'DB I + DB II pro LC'!$A$118,Monatsplanung!AH$160:AH$173)</f>
        <v>0</v>
      </c>
      <c r="AE41" s="191">
        <f>SUM(R41)</f>
        <v>0</v>
      </c>
      <c r="AF41" s="168">
        <f>SUM(R41:S41)</f>
        <v>0</v>
      </c>
      <c r="AG41" s="168">
        <f>SUM(R41:T41)</f>
        <v>0</v>
      </c>
      <c r="AH41" s="168">
        <f>SUM(R41:U41)</f>
        <v>0</v>
      </c>
      <c r="AI41" s="168">
        <f>SUM(R41:V41)</f>
        <v>0</v>
      </c>
      <c r="AJ41" s="168">
        <f>SUM(R41:W41)</f>
        <v>0</v>
      </c>
      <c r="AK41" s="168">
        <f>SUM(R41:X41)</f>
        <v>0</v>
      </c>
      <c r="AL41" s="168">
        <f>SUM(R41:Y41)</f>
        <v>0</v>
      </c>
      <c r="AM41" s="168">
        <f>SUM(R41:Z41)</f>
        <v>0</v>
      </c>
      <c r="AN41" s="168">
        <f>SUM(R41:AA41)</f>
        <v>0</v>
      </c>
      <c r="AO41" s="168">
        <f>SUM(R41:AB41)</f>
        <v>0</v>
      </c>
      <c r="AP41" s="169">
        <f>SUM(R41:AC41)</f>
        <v>0</v>
      </c>
    </row>
    <row r="42" spans="1:42" x14ac:dyDescent="0.2">
      <c r="A42" s="177" t="s">
        <v>686</v>
      </c>
      <c r="B42" s="190"/>
      <c r="C42" s="168">
        <f>SUMIF(Auftragsplanung!$D$5:$Q$5,'DB I + DB II pro LC'!$A$118,Auftragsplanung!$D$20:$Q$20)</f>
        <v>0</v>
      </c>
      <c r="D42" s="200">
        <f t="shared" si="24"/>
        <v>0</v>
      </c>
      <c r="F42" s="191">
        <f>M42</f>
        <v>2500</v>
      </c>
      <c r="G42" s="221"/>
      <c r="H42" s="169">
        <f>HLOOKUP($B$2,$AE$37:$AP$48,6,FALSE)</f>
        <v>0</v>
      </c>
      <c r="I42" s="190"/>
      <c r="J42" s="169">
        <f>F42-H42</f>
        <v>2500</v>
      </c>
      <c r="L42" s="191">
        <v>2000</v>
      </c>
      <c r="M42" s="226">
        <v>2500</v>
      </c>
      <c r="N42" s="169">
        <f t="shared" si="25"/>
        <v>500</v>
      </c>
      <c r="P42" s="232"/>
      <c r="R42" s="191">
        <f>SUMIF(Monatsplanung!$B$137:$B$150,'DB I + DB II pro LC'!$A$118,Monatsplanung!W$181:W$194)</f>
        <v>0</v>
      </c>
      <c r="S42" s="168">
        <f>SUMIF(Monatsplanung!$B$137:$B$150,'DB I + DB II pro LC'!$A$118,Monatsplanung!X$181:X$194)</f>
        <v>0</v>
      </c>
      <c r="T42" s="168">
        <f>SUMIF(Monatsplanung!$B$137:$B$150,'DB I + DB II pro LC'!$A$118,Monatsplanung!Y$181:Y$194)</f>
        <v>0</v>
      </c>
      <c r="U42" s="168">
        <f>SUMIF(Monatsplanung!$B$137:$B$150,'DB I + DB II pro LC'!$A$118,Monatsplanung!Z$181:Z$194)</f>
        <v>0</v>
      </c>
      <c r="V42" s="168">
        <f>SUMIF(Monatsplanung!$B$137:$B$150,'DB I + DB II pro LC'!$A$118,Monatsplanung!AA$181:AA$194)</f>
        <v>0</v>
      </c>
      <c r="W42" s="168">
        <f>SUMIF(Monatsplanung!$B$137:$B$150,'DB I + DB II pro LC'!$A$118,Monatsplanung!AB$181:AB$194)</f>
        <v>0</v>
      </c>
      <c r="X42" s="168">
        <f>SUMIF(Monatsplanung!$B$137:$B$150,'DB I + DB II pro LC'!$A$118,Monatsplanung!AC$181:AC$194)</f>
        <v>0</v>
      </c>
      <c r="Y42" s="168">
        <f>SUMIF(Monatsplanung!$B$137:$B$150,'DB I + DB II pro LC'!$A$118,Monatsplanung!AD$181:AD$194)</f>
        <v>0</v>
      </c>
      <c r="Z42" s="168">
        <f>SUMIF(Monatsplanung!$B$137:$B$150,'DB I + DB II pro LC'!$A$118,Monatsplanung!AE$181:AE$194)</f>
        <v>0</v>
      </c>
      <c r="AA42" s="168">
        <f>SUMIF(Monatsplanung!$B$137:$B$150,'DB I + DB II pro LC'!$A$118,Monatsplanung!AF$181:AF$194)</f>
        <v>0</v>
      </c>
      <c r="AB42" s="168">
        <f>SUMIF(Monatsplanung!$B$137:$B$150,'DB I + DB II pro LC'!$A$118,Monatsplanung!AG$181:AG$194)</f>
        <v>0</v>
      </c>
      <c r="AC42" s="169">
        <f>SUMIF(Monatsplanung!$B$137:$B$150,'DB I + DB II pro LC'!$A$118,Monatsplanung!AH$181:AH$194)</f>
        <v>0</v>
      </c>
      <c r="AE42" s="191">
        <f>SUM(R42)</f>
        <v>0</v>
      </c>
      <c r="AF42" s="168">
        <f>SUM(R42:S42)</f>
        <v>0</v>
      </c>
      <c r="AG42" s="168">
        <f>SUM(R42:T42)</f>
        <v>0</v>
      </c>
      <c r="AH42" s="168">
        <f>SUM(R42:U42)</f>
        <v>0</v>
      </c>
      <c r="AI42" s="168">
        <f>SUM(R42:V42)</f>
        <v>0</v>
      </c>
      <c r="AJ42" s="168">
        <f>SUM(R42:W42)</f>
        <v>0</v>
      </c>
      <c r="AK42" s="168">
        <f>SUM(R42:X42)</f>
        <v>0</v>
      </c>
      <c r="AL42" s="168">
        <f>SUM(R42:Y42)</f>
        <v>0</v>
      </c>
      <c r="AM42" s="168">
        <f>SUM(R42:Z42)</f>
        <v>0</v>
      </c>
      <c r="AN42" s="168">
        <f>SUM(R42:AA42)</f>
        <v>0</v>
      </c>
      <c r="AO42" s="168">
        <f>SUM(R42:AB42)</f>
        <v>0</v>
      </c>
      <c r="AP42" s="169">
        <f>SUM(R42:AC42)</f>
        <v>0</v>
      </c>
    </row>
    <row r="43" spans="1:42" x14ac:dyDescent="0.2">
      <c r="A43" s="178" t="s">
        <v>368</v>
      </c>
      <c r="B43" s="192">
        <f>Kostenverteilung!L43</f>
        <v>0</v>
      </c>
      <c r="C43" s="170">
        <f>C40-C41-C42</f>
        <v>0</v>
      </c>
      <c r="D43" s="201">
        <f t="shared" si="24"/>
        <v>0</v>
      </c>
      <c r="F43" s="192">
        <f>F40-F41-F42</f>
        <v>152500</v>
      </c>
      <c r="G43" s="222">
        <f>$P43*$B$1</f>
        <v>0</v>
      </c>
      <c r="H43" s="171">
        <f>H40-H41-H42</f>
        <v>0</v>
      </c>
      <c r="I43" s="175">
        <f>F43-G43</f>
        <v>152500</v>
      </c>
      <c r="J43" s="171">
        <f>J40-J41-J42</f>
        <v>152500</v>
      </c>
      <c r="K43" s="90"/>
      <c r="L43" s="192">
        <f>L40-L41-L42</f>
        <v>113000</v>
      </c>
      <c r="M43" s="170">
        <f>M40-M41-M42</f>
        <v>152500</v>
      </c>
      <c r="N43" s="171">
        <f t="shared" si="25"/>
        <v>39500</v>
      </c>
      <c r="O43" s="90"/>
      <c r="P43" s="233">
        <f>B43/12</f>
        <v>0</v>
      </c>
      <c r="Q43" s="90"/>
      <c r="R43" s="192">
        <f>R40-R41-R42</f>
        <v>0</v>
      </c>
      <c r="S43" s="170">
        <f t="shared" ref="S43:AC43" si="28">S40-S41-S42</f>
        <v>0</v>
      </c>
      <c r="T43" s="170">
        <f t="shared" si="28"/>
        <v>0</v>
      </c>
      <c r="U43" s="170">
        <f t="shared" si="28"/>
        <v>0</v>
      </c>
      <c r="V43" s="170">
        <f t="shared" si="28"/>
        <v>0</v>
      </c>
      <c r="W43" s="170">
        <f t="shared" si="28"/>
        <v>0</v>
      </c>
      <c r="X43" s="170">
        <f t="shared" si="28"/>
        <v>0</v>
      </c>
      <c r="Y43" s="170">
        <f t="shared" si="28"/>
        <v>0</v>
      </c>
      <c r="Z43" s="170">
        <f t="shared" si="28"/>
        <v>0</v>
      </c>
      <c r="AA43" s="170">
        <f t="shared" si="28"/>
        <v>0</v>
      </c>
      <c r="AB43" s="170">
        <f t="shared" si="28"/>
        <v>0</v>
      </c>
      <c r="AC43" s="171">
        <f t="shared" si="28"/>
        <v>0</v>
      </c>
      <c r="AD43" s="90"/>
      <c r="AE43" s="192">
        <f>AE40-AE41-AE42</f>
        <v>0</v>
      </c>
      <c r="AF43" s="170">
        <f t="shared" ref="AF43:AP43" si="29">AF40-AF41-AF42</f>
        <v>0</v>
      </c>
      <c r="AG43" s="170">
        <f t="shared" si="29"/>
        <v>0</v>
      </c>
      <c r="AH43" s="170">
        <f t="shared" si="29"/>
        <v>0</v>
      </c>
      <c r="AI43" s="170">
        <f t="shared" si="29"/>
        <v>0</v>
      </c>
      <c r="AJ43" s="170">
        <f t="shared" si="29"/>
        <v>0</v>
      </c>
      <c r="AK43" s="170">
        <f t="shared" si="29"/>
        <v>0</v>
      </c>
      <c r="AL43" s="170">
        <f t="shared" si="29"/>
        <v>0</v>
      </c>
      <c r="AM43" s="170">
        <f t="shared" si="29"/>
        <v>0</v>
      </c>
      <c r="AN43" s="170">
        <f t="shared" si="29"/>
        <v>0</v>
      </c>
      <c r="AO43" s="170">
        <f t="shared" si="29"/>
        <v>0</v>
      </c>
      <c r="AP43" s="171">
        <f t="shared" si="29"/>
        <v>0</v>
      </c>
    </row>
    <row r="44" spans="1:42" x14ac:dyDescent="0.2">
      <c r="A44" s="177" t="s">
        <v>687</v>
      </c>
      <c r="B44" s="191">
        <f>Kostenverteilung!L45</f>
        <v>0</v>
      </c>
      <c r="C44" s="168">
        <f>Kostenverteilung!L45</f>
        <v>0</v>
      </c>
      <c r="D44" s="200">
        <f t="shared" si="24"/>
        <v>0</v>
      </c>
      <c r="F44" s="191">
        <f>M44</f>
        <v>550</v>
      </c>
      <c r="G44" s="223">
        <f>$P44*$B$1</f>
        <v>0</v>
      </c>
      <c r="H44" s="217">
        <f>HLOOKUP($B$2,$AE$37:$AP$48,8,FALSE)</f>
        <v>0</v>
      </c>
      <c r="I44" s="174">
        <f>F44-G44</f>
        <v>550</v>
      </c>
      <c r="J44" s="169">
        <f>F44-H44</f>
        <v>550</v>
      </c>
      <c r="L44" s="191">
        <v>450</v>
      </c>
      <c r="M44" s="226">
        <v>550</v>
      </c>
      <c r="N44" s="169">
        <f t="shared" si="25"/>
        <v>100</v>
      </c>
      <c r="P44" s="234">
        <f>B44/12</f>
        <v>0</v>
      </c>
      <c r="R44" s="191">
        <f>IF(ISERROR(Mitarbeiterverteilung!$AH$107*R38/SUM($R$40:$AC$40)),0,Mitarbeiterverteilung!$AH$107*R38/SUM($R$40:$AC$40))</f>
        <v>0</v>
      </c>
      <c r="S44" s="168">
        <f>IF(ISERROR(Mitarbeiterverteilung!$AH$107*S38/SUM($R$40:$AC$40)),0,Mitarbeiterverteilung!$AH$107*S38/SUM($R$40:$AC$40))</f>
        <v>0</v>
      </c>
      <c r="T44" s="168">
        <f>IF(ISERROR(Mitarbeiterverteilung!$AH$107*T38/SUM($R$40:$AC$40)),0,Mitarbeiterverteilung!$AH$107*T38/SUM($R$40:$AC$40))</f>
        <v>0</v>
      </c>
      <c r="U44" s="168">
        <f>IF(ISERROR(Mitarbeiterverteilung!$AH$107*U38/SUM($R$40:$AC$40)),0,Mitarbeiterverteilung!$AH$107*U38/SUM($R$40:$AC$40))</f>
        <v>0</v>
      </c>
      <c r="V44" s="168">
        <f>IF(ISERROR(Mitarbeiterverteilung!$AH$107*V38/SUM($R$40:$AC$40)),0,Mitarbeiterverteilung!$AH$107*V38/SUM($R$40:$AC$40))</f>
        <v>0</v>
      </c>
      <c r="W44" s="168">
        <f>IF(ISERROR(Mitarbeiterverteilung!$AH$107*W38/SUM($R$40:$AC$40)),0,Mitarbeiterverteilung!$AH$107*W38/SUM($R$40:$AC$40))</f>
        <v>0</v>
      </c>
      <c r="X44" s="168">
        <f>IF(ISERROR(Mitarbeiterverteilung!$AH$107*X38/SUM($R$40:$AC$40)),0,Mitarbeiterverteilung!$AH$107*X38/SUM($R$40:$AC$40))</f>
        <v>0</v>
      </c>
      <c r="Y44" s="168">
        <f>IF(ISERROR(Mitarbeiterverteilung!$AH$107*Y38/SUM($R$40:$AC$40)),0,Mitarbeiterverteilung!$AH$107*Y38/SUM($R$40:$AC$40))</f>
        <v>0</v>
      </c>
      <c r="Z44" s="168">
        <f>IF(ISERROR(Mitarbeiterverteilung!$AH$107*Z38/SUM($R$40:$AC$40)),0,Mitarbeiterverteilung!$AH$107*Z38/SUM($R$40:$AC$40))</f>
        <v>0</v>
      </c>
      <c r="AA44" s="168">
        <f>IF(ISERROR(Mitarbeiterverteilung!$AH$107*AA38/SUM($R$40:$AC$40)),0,Mitarbeiterverteilung!$AH$107*AA38/SUM($R$40:$AC$40))</f>
        <v>0</v>
      </c>
      <c r="AB44" s="168">
        <f>IF(ISERROR(Mitarbeiterverteilung!$AH$107*AB38/SUM($R$40:$AC$40)),0,Mitarbeiterverteilung!$AH$107*AB38/SUM($R$40:$AC$40))</f>
        <v>0</v>
      </c>
      <c r="AC44" s="169">
        <f>IF(ISERROR(Mitarbeiterverteilung!$AH$107*AC38/SUM($R$40:$AC$40)),0,Mitarbeiterverteilung!$AH$107*AC38/SUM($R$40:$AC$40))</f>
        <v>0</v>
      </c>
      <c r="AE44" s="191">
        <f>SUM(R44)</f>
        <v>0</v>
      </c>
      <c r="AF44" s="168">
        <f>SUM(R44:S44)</f>
        <v>0</v>
      </c>
      <c r="AG44" s="168">
        <f>SUM(R44:T44)</f>
        <v>0</v>
      </c>
      <c r="AH44" s="168">
        <f>SUM(R44:U44)</f>
        <v>0</v>
      </c>
      <c r="AI44" s="168">
        <f>SUM(R44:V44)</f>
        <v>0</v>
      </c>
      <c r="AJ44" s="168">
        <f>SUM(R44:W44)</f>
        <v>0</v>
      </c>
      <c r="AK44" s="168">
        <f>SUM(R44:X44)</f>
        <v>0</v>
      </c>
      <c r="AL44" s="168">
        <f>SUM(R44:Y44)</f>
        <v>0</v>
      </c>
      <c r="AM44" s="168">
        <f>SUM(R44:Z44)</f>
        <v>0</v>
      </c>
      <c r="AN44" s="168">
        <f>SUM(R44:AA44)</f>
        <v>0</v>
      </c>
      <c r="AO44" s="168">
        <f>SUM(R44:AB44)</f>
        <v>0</v>
      </c>
      <c r="AP44" s="169">
        <f>SUM(R44:AC44)</f>
        <v>0</v>
      </c>
    </row>
    <row r="45" spans="1:42" x14ac:dyDescent="0.2">
      <c r="A45" s="178" t="s">
        <v>688</v>
      </c>
      <c r="B45" s="192">
        <f>IF(B44=0,0,B43/B44)</f>
        <v>0</v>
      </c>
      <c r="C45" s="170" t="e">
        <f>C43/C44</f>
        <v>#DIV/0!</v>
      </c>
      <c r="D45" s="201" t="e">
        <f t="shared" si="24"/>
        <v>#DIV/0!</v>
      </c>
      <c r="F45" s="192">
        <f>IF(F44=0,0,F43/F44)</f>
        <v>277.27272727272725</v>
      </c>
      <c r="G45" s="222">
        <f>IF(G44=0,0,G43/G44)</f>
        <v>0</v>
      </c>
      <c r="H45" s="171">
        <f>IF(H44=0,0,H43/H44)</f>
        <v>0</v>
      </c>
      <c r="I45" s="175">
        <f>IF(I44=0,0,I43/I44)</f>
        <v>277.27272727272725</v>
      </c>
      <c r="J45" s="171">
        <f>IF(J44=0,0,J43/J44)</f>
        <v>277.27272727272725</v>
      </c>
      <c r="K45" s="90"/>
      <c r="L45" s="192">
        <f>IF(L44=0,0,L43/L44)</f>
        <v>251.11111111111111</v>
      </c>
      <c r="M45" s="170">
        <f>IF(M44=0,0,M43/M44)</f>
        <v>277.27272727272725</v>
      </c>
      <c r="N45" s="171">
        <f t="shared" si="25"/>
        <v>26.161616161616138</v>
      </c>
      <c r="O45" s="90"/>
      <c r="P45" s="233">
        <f>IF(P44=0,0,P43/P44)</f>
        <v>0</v>
      </c>
      <c r="Q45" s="90"/>
      <c r="R45" s="192">
        <f>IF(R44=0,0,R43/R44)</f>
        <v>0</v>
      </c>
      <c r="S45" s="170">
        <f t="shared" ref="S45:AC45" si="30">IF(S44=0,0,S43/S44)</f>
        <v>0</v>
      </c>
      <c r="T45" s="170">
        <f t="shared" si="30"/>
        <v>0</v>
      </c>
      <c r="U45" s="170">
        <f t="shared" si="30"/>
        <v>0</v>
      </c>
      <c r="V45" s="170">
        <f t="shared" si="30"/>
        <v>0</v>
      </c>
      <c r="W45" s="170">
        <f t="shared" si="30"/>
        <v>0</v>
      </c>
      <c r="X45" s="170">
        <f t="shared" si="30"/>
        <v>0</v>
      </c>
      <c r="Y45" s="170">
        <f t="shared" si="30"/>
        <v>0</v>
      </c>
      <c r="Z45" s="170">
        <f t="shared" si="30"/>
        <v>0</v>
      </c>
      <c r="AA45" s="170">
        <f t="shared" si="30"/>
        <v>0</v>
      </c>
      <c r="AB45" s="170">
        <f t="shared" si="30"/>
        <v>0</v>
      </c>
      <c r="AC45" s="171">
        <f t="shared" si="30"/>
        <v>0</v>
      </c>
      <c r="AD45" s="90"/>
      <c r="AE45" s="192">
        <f>IF(AE44=0,0,AE43/AE44)</f>
        <v>0</v>
      </c>
      <c r="AF45" s="170">
        <f t="shared" ref="AF45:AP45" si="31">IF(AF44=0,0,AF43/AF44)</f>
        <v>0</v>
      </c>
      <c r="AG45" s="170">
        <f t="shared" si="31"/>
        <v>0</v>
      </c>
      <c r="AH45" s="170">
        <f t="shared" si="31"/>
        <v>0</v>
      </c>
      <c r="AI45" s="170">
        <f t="shared" si="31"/>
        <v>0</v>
      </c>
      <c r="AJ45" s="170">
        <f t="shared" si="31"/>
        <v>0</v>
      </c>
      <c r="AK45" s="170">
        <f t="shared" si="31"/>
        <v>0</v>
      </c>
      <c r="AL45" s="170">
        <f t="shared" si="31"/>
        <v>0</v>
      </c>
      <c r="AM45" s="170">
        <f t="shared" si="31"/>
        <v>0</v>
      </c>
      <c r="AN45" s="170">
        <f t="shared" si="31"/>
        <v>0</v>
      </c>
      <c r="AO45" s="170">
        <f t="shared" si="31"/>
        <v>0</v>
      </c>
      <c r="AP45" s="171">
        <f t="shared" si="31"/>
        <v>0</v>
      </c>
    </row>
    <row r="46" spans="1:42" x14ac:dyDescent="0.2">
      <c r="A46" s="177" t="s">
        <v>689</v>
      </c>
      <c r="B46" s="191">
        <f>Kostenverteilung!L49*B44</f>
        <v>0</v>
      </c>
      <c r="C46" s="168">
        <f>Kostenverteilung!L23</f>
        <v>0</v>
      </c>
      <c r="D46" s="200">
        <f t="shared" si="24"/>
        <v>0</v>
      </c>
      <c r="F46" s="191">
        <f>M46</f>
        <v>17000</v>
      </c>
      <c r="G46" s="223">
        <f>$P46*$B$1</f>
        <v>0</v>
      </c>
      <c r="H46" s="217">
        <f>HLOOKUP($B$2,$AE$37:$AP$48,10,FALSE)</f>
        <v>0</v>
      </c>
      <c r="I46" s="174">
        <f>F46-G46</f>
        <v>17000</v>
      </c>
      <c r="J46" s="169">
        <f>F46-H46</f>
        <v>17000</v>
      </c>
      <c r="L46" s="191">
        <v>15000</v>
      </c>
      <c r="M46" s="226">
        <v>17000</v>
      </c>
      <c r="N46" s="169">
        <f t="shared" si="25"/>
        <v>2000</v>
      </c>
      <c r="P46" s="234">
        <f>B46/12</f>
        <v>0</v>
      </c>
      <c r="R46" s="191">
        <f>IF(ISERROR(Mitarbeiterverteilung!$W$107*R38/SUM($R$40:$AC$40)),0,Mitarbeiterverteilung!$W$107*R38/SUM($R$40:$AC$40))</f>
        <v>0</v>
      </c>
      <c r="S46" s="168">
        <f>IF(ISERROR(Mitarbeiterverteilung!$W$107*S38/SUM($R$40:$AC$40)),0,Mitarbeiterverteilung!$W$107*S38/SUM($R$40:$AC$40))</f>
        <v>0</v>
      </c>
      <c r="T46" s="168">
        <f>IF(ISERROR(Mitarbeiterverteilung!$W$107*T38/SUM($R$40:$AC$40)),0,Mitarbeiterverteilung!$W$107*T38/SUM($R$40:$AC$40))</f>
        <v>0</v>
      </c>
      <c r="U46" s="168">
        <f>IF(ISERROR(Mitarbeiterverteilung!$W$107*U38/SUM($R$40:$AC$40)),0,Mitarbeiterverteilung!$W$107*U38/SUM($R$40:$AC$40))</f>
        <v>0</v>
      </c>
      <c r="V46" s="168">
        <f>IF(ISERROR(Mitarbeiterverteilung!$W$107*V38/SUM($R$40:$AC$40)),0,Mitarbeiterverteilung!$W$107*V38/SUM($R$40:$AC$40))</f>
        <v>0</v>
      </c>
      <c r="W46" s="168">
        <f>IF(ISERROR(Mitarbeiterverteilung!$W$107*W38/SUM($R$40:$AC$40)),0,Mitarbeiterverteilung!$W$107*W38/SUM($R$40:$AC$40))</f>
        <v>0</v>
      </c>
      <c r="X46" s="168">
        <f>IF(ISERROR(Mitarbeiterverteilung!$W$107*X38/SUM($R$40:$AC$40)),0,Mitarbeiterverteilung!$W$107*X38/SUM($R$40:$AC$40))</f>
        <v>0</v>
      </c>
      <c r="Y46" s="168">
        <f>IF(ISERROR(Mitarbeiterverteilung!$W$107*Y38/SUM($R$40:$AC$40)),0,Mitarbeiterverteilung!$W$107*Y38/SUM($R$40:$AC$40))</f>
        <v>0</v>
      </c>
      <c r="Z46" s="168">
        <f>IF(ISERROR(Mitarbeiterverteilung!$W$107*Z38/SUM($R$40:$AC$40)),0,Mitarbeiterverteilung!$W$107*Z38/SUM($R$40:$AC$40))</f>
        <v>0</v>
      </c>
      <c r="AA46" s="168">
        <f>IF(ISERROR(Mitarbeiterverteilung!$W$107*AA38/SUM($R$40:$AC$40)),0,Mitarbeiterverteilung!$W$107*AA38/SUM($R$40:$AC$40))</f>
        <v>0</v>
      </c>
      <c r="AB46" s="168">
        <f>IF(ISERROR(Mitarbeiterverteilung!$W$107*AB38/SUM($R$40:$AC$40)),0,Mitarbeiterverteilung!$W$107*AB38/SUM($R$40:$AC$40))</f>
        <v>0</v>
      </c>
      <c r="AC46" s="169">
        <f>IF(ISERROR(Mitarbeiterverteilung!$W$107*AC38/SUM($R$40:$AC$40)),0,Mitarbeiterverteilung!$W$107*AC38/SUM($R$40:$AC$40))</f>
        <v>0</v>
      </c>
      <c r="AE46" s="191">
        <f>SUM(R46)</f>
        <v>0</v>
      </c>
      <c r="AF46" s="168">
        <f>SUM(R46:S46)</f>
        <v>0</v>
      </c>
      <c r="AG46" s="168">
        <f>SUM(R46:T46)</f>
        <v>0</v>
      </c>
      <c r="AH46" s="168">
        <f>SUM(R46:U46)</f>
        <v>0</v>
      </c>
      <c r="AI46" s="168">
        <f>SUM(R46:V46)</f>
        <v>0</v>
      </c>
      <c r="AJ46" s="168">
        <f>SUM(R46:W46)</f>
        <v>0</v>
      </c>
      <c r="AK46" s="168">
        <f>SUM(R46:X46)</f>
        <v>0</v>
      </c>
      <c r="AL46" s="168">
        <f>SUM(R46:Y46)</f>
        <v>0</v>
      </c>
      <c r="AM46" s="168">
        <f>SUM(R46:Z46)</f>
        <v>0</v>
      </c>
      <c r="AN46" s="168">
        <f>SUM(R46:AA46)</f>
        <v>0</v>
      </c>
      <c r="AO46" s="168">
        <f>SUM(R46:AB46)</f>
        <v>0</v>
      </c>
      <c r="AP46" s="169">
        <f>SUM(R46:AC46)</f>
        <v>0</v>
      </c>
    </row>
    <row r="47" spans="1:42" x14ac:dyDescent="0.2">
      <c r="A47" s="178" t="s">
        <v>690</v>
      </c>
      <c r="B47" s="192">
        <f>B43-B46</f>
        <v>0</v>
      </c>
      <c r="C47" s="170">
        <f>C43-C46</f>
        <v>0</v>
      </c>
      <c r="D47" s="201">
        <f t="shared" si="24"/>
        <v>0</v>
      </c>
      <c r="F47" s="192">
        <f>F43-F46</f>
        <v>135500</v>
      </c>
      <c r="G47" s="222">
        <f>G43-G46</f>
        <v>0</v>
      </c>
      <c r="H47" s="171">
        <f>H43-H46</f>
        <v>0</v>
      </c>
      <c r="I47" s="175">
        <f>I43-I46</f>
        <v>135500</v>
      </c>
      <c r="J47" s="171">
        <f>J43-J46</f>
        <v>135500</v>
      </c>
      <c r="K47" s="90"/>
      <c r="L47" s="192">
        <f>L43-L46</f>
        <v>98000</v>
      </c>
      <c r="M47" s="170">
        <f>M43-M46</f>
        <v>135500</v>
      </c>
      <c r="N47" s="171">
        <f t="shared" si="25"/>
        <v>37500</v>
      </c>
      <c r="O47" s="90"/>
      <c r="P47" s="233">
        <f>P43-P46</f>
        <v>0</v>
      </c>
      <c r="Q47" s="90"/>
      <c r="R47" s="192">
        <f>R43-R46</f>
        <v>0</v>
      </c>
      <c r="S47" s="170">
        <f t="shared" ref="S47:AC47" si="32">S43-S46</f>
        <v>0</v>
      </c>
      <c r="T47" s="170">
        <f t="shared" si="32"/>
        <v>0</v>
      </c>
      <c r="U47" s="170">
        <f t="shared" si="32"/>
        <v>0</v>
      </c>
      <c r="V47" s="170">
        <f t="shared" si="32"/>
        <v>0</v>
      </c>
      <c r="W47" s="170">
        <f t="shared" si="32"/>
        <v>0</v>
      </c>
      <c r="X47" s="170">
        <f t="shared" si="32"/>
        <v>0</v>
      </c>
      <c r="Y47" s="170">
        <f t="shared" si="32"/>
        <v>0</v>
      </c>
      <c r="Z47" s="170">
        <f t="shared" si="32"/>
        <v>0</v>
      </c>
      <c r="AA47" s="170">
        <f t="shared" si="32"/>
        <v>0</v>
      </c>
      <c r="AB47" s="170">
        <f t="shared" si="32"/>
        <v>0</v>
      </c>
      <c r="AC47" s="171">
        <f t="shared" si="32"/>
        <v>0</v>
      </c>
      <c r="AD47" s="90"/>
      <c r="AE47" s="192">
        <f>AE43-AE46</f>
        <v>0</v>
      </c>
      <c r="AF47" s="170">
        <f t="shared" ref="AF47:AP47" si="33">AF43-AF46</f>
        <v>0</v>
      </c>
      <c r="AG47" s="170">
        <f t="shared" si="33"/>
        <v>0</v>
      </c>
      <c r="AH47" s="170">
        <f t="shared" si="33"/>
        <v>0</v>
      </c>
      <c r="AI47" s="170">
        <f t="shared" si="33"/>
        <v>0</v>
      </c>
      <c r="AJ47" s="170">
        <f t="shared" si="33"/>
        <v>0</v>
      </c>
      <c r="AK47" s="170">
        <f t="shared" si="33"/>
        <v>0</v>
      </c>
      <c r="AL47" s="170">
        <f t="shared" si="33"/>
        <v>0</v>
      </c>
      <c r="AM47" s="170">
        <f t="shared" si="33"/>
        <v>0</v>
      </c>
      <c r="AN47" s="170">
        <f t="shared" si="33"/>
        <v>0</v>
      </c>
      <c r="AO47" s="170">
        <f t="shared" si="33"/>
        <v>0</v>
      </c>
      <c r="AP47" s="171">
        <f t="shared" si="33"/>
        <v>0</v>
      </c>
    </row>
    <row r="48" spans="1:42" x14ac:dyDescent="0.2">
      <c r="A48" s="179" t="s">
        <v>691</v>
      </c>
      <c r="B48" s="193">
        <f>IF(B44=0,0,B47/B44)</f>
        <v>0</v>
      </c>
      <c r="C48" s="172" t="e">
        <f>C47/C44</f>
        <v>#DIV/0!</v>
      </c>
      <c r="D48" s="202" t="e">
        <f t="shared" si="24"/>
        <v>#DIV/0!</v>
      </c>
      <c r="F48" s="193">
        <f>IF(F44=0,0,F47/F44)</f>
        <v>246.36363636363637</v>
      </c>
      <c r="G48" s="224">
        <f>IF(G44=0,0,G47/G44)</f>
        <v>0</v>
      </c>
      <c r="H48" s="173">
        <f>IF(H44=0,0,H47/H44)</f>
        <v>0</v>
      </c>
      <c r="I48" s="176">
        <f>IF(I44=0,0,I47/I44)</f>
        <v>246.36363636363637</v>
      </c>
      <c r="J48" s="173">
        <f>IF(J44=0,0,J47/J44)</f>
        <v>246.36363636363637</v>
      </c>
      <c r="K48" s="90"/>
      <c r="L48" s="193">
        <f>IF(L44=0,0,L47/L44)</f>
        <v>217.77777777777777</v>
      </c>
      <c r="M48" s="172">
        <f>IF(M44=0,0,M47/M44)</f>
        <v>246.36363636363637</v>
      </c>
      <c r="N48" s="173">
        <f t="shared" si="25"/>
        <v>28.585858585858603</v>
      </c>
      <c r="O48" s="90"/>
      <c r="P48" s="235">
        <f>IF(P44=0,0,P47/P44)</f>
        <v>0</v>
      </c>
      <c r="Q48" s="90"/>
      <c r="R48" s="193">
        <f>IF(R44=0,0,R47/R44)</f>
        <v>0</v>
      </c>
      <c r="S48" s="172">
        <f t="shared" ref="S48:AC48" si="34">IF(S44=0,0,S47/S44)</f>
        <v>0</v>
      </c>
      <c r="T48" s="172">
        <f t="shared" si="34"/>
        <v>0</v>
      </c>
      <c r="U48" s="172">
        <f t="shared" si="34"/>
        <v>0</v>
      </c>
      <c r="V48" s="172">
        <f t="shared" si="34"/>
        <v>0</v>
      </c>
      <c r="W48" s="172">
        <f t="shared" si="34"/>
        <v>0</v>
      </c>
      <c r="X48" s="172">
        <f t="shared" si="34"/>
        <v>0</v>
      </c>
      <c r="Y48" s="172">
        <f t="shared" si="34"/>
        <v>0</v>
      </c>
      <c r="Z48" s="172">
        <f t="shared" si="34"/>
        <v>0</v>
      </c>
      <c r="AA48" s="172">
        <f t="shared" si="34"/>
        <v>0</v>
      </c>
      <c r="AB48" s="172">
        <f t="shared" si="34"/>
        <v>0</v>
      </c>
      <c r="AC48" s="173">
        <f t="shared" si="34"/>
        <v>0</v>
      </c>
      <c r="AD48" s="90"/>
      <c r="AE48" s="193">
        <f>IF(AE44=0,0,AE47/AE44)</f>
        <v>0</v>
      </c>
      <c r="AF48" s="172">
        <f t="shared" ref="AF48:AP48" si="35">IF(AF44=0,0,AF47/AF44)</f>
        <v>0</v>
      </c>
      <c r="AG48" s="172">
        <f t="shared" si="35"/>
        <v>0</v>
      </c>
      <c r="AH48" s="172">
        <f t="shared" si="35"/>
        <v>0</v>
      </c>
      <c r="AI48" s="172">
        <f t="shared" si="35"/>
        <v>0</v>
      </c>
      <c r="AJ48" s="172">
        <f t="shared" si="35"/>
        <v>0</v>
      </c>
      <c r="AK48" s="172">
        <f t="shared" si="35"/>
        <v>0</v>
      </c>
      <c r="AL48" s="172">
        <f t="shared" si="35"/>
        <v>0</v>
      </c>
      <c r="AM48" s="172">
        <f t="shared" si="35"/>
        <v>0</v>
      </c>
      <c r="AN48" s="172">
        <f t="shared" si="35"/>
        <v>0</v>
      </c>
      <c r="AO48" s="172">
        <f t="shared" si="35"/>
        <v>0</v>
      </c>
      <c r="AP48" s="173">
        <f t="shared" si="35"/>
        <v>0</v>
      </c>
    </row>
    <row r="52" spans="1:42" x14ac:dyDescent="0.2">
      <c r="A52" s="186"/>
      <c r="B52" s="1515" t="str">
        <f>CONCATENATE(Auftragsplanung!$A$8," ",$A$1)</f>
        <v xml:space="preserve"> (pro Jahr)</v>
      </c>
      <c r="C52" s="1516"/>
      <c r="D52" s="1517"/>
      <c r="F52" s="216" t="s">
        <v>669</v>
      </c>
      <c r="G52" s="203" t="s">
        <v>670</v>
      </c>
      <c r="H52" s="204" t="s">
        <v>671</v>
      </c>
      <c r="I52" s="237" t="s">
        <v>672</v>
      </c>
      <c r="J52" s="238" t="s">
        <v>673</v>
      </c>
      <c r="K52" s="90"/>
      <c r="L52" s="167" t="s">
        <v>674</v>
      </c>
      <c r="M52" s="203" t="s">
        <v>674</v>
      </c>
      <c r="N52" s="204" t="s">
        <v>675</v>
      </c>
      <c r="O52" s="90"/>
      <c r="P52" s="227" t="s">
        <v>676</v>
      </c>
      <c r="Q52" s="90"/>
      <c r="R52" s="1509" t="s">
        <v>671</v>
      </c>
      <c r="S52" s="1510"/>
      <c r="T52" s="1510"/>
      <c r="U52" s="1510"/>
      <c r="V52" s="1510"/>
      <c r="W52" s="1510"/>
      <c r="X52" s="1510"/>
      <c r="Y52" s="1510"/>
      <c r="Z52" s="1510"/>
      <c r="AA52" s="1510"/>
      <c r="AB52" s="1510"/>
      <c r="AC52" s="1511"/>
      <c r="AD52" s="90"/>
      <c r="AE52" s="1509" t="s">
        <v>677</v>
      </c>
      <c r="AF52" s="1510"/>
      <c r="AG52" s="1510"/>
      <c r="AH52" s="1510"/>
      <c r="AI52" s="1510"/>
      <c r="AJ52" s="1510"/>
      <c r="AK52" s="1510"/>
      <c r="AL52" s="1510"/>
      <c r="AM52" s="1510"/>
      <c r="AN52" s="1510"/>
      <c r="AO52" s="1510"/>
      <c r="AP52" s="1511"/>
    </row>
    <row r="53" spans="1:42" x14ac:dyDescent="0.2">
      <c r="A53" s="185"/>
      <c r="B53" s="189" t="s">
        <v>676</v>
      </c>
      <c r="C53" s="183" t="s">
        <v>205</v>
      </c>
      <c r="D53" s="184" t="s">
        <v>679</v>
      </c>
      <c r="F53" s="1512">
        <f>$B$1</f>
        <v>10</v>
      </c>
      <c r="G53" s="1513"/>
      <c r="H53" s="1513"/>
      <c r="I53" s="1513"/>
      <c r="J53" s="1514"/>
      <c r="K53" s="215"/>
      <c r="L53" s="189" t="s">
        <v>680</v>
      </c>
      <c r="M53" s="183" t="s">
        <v>681</v>
      </c>
      <c r="N53" s="184" t="s">
        <v>681</v>
      </c>
      <c r="O53" s="215"/>
      <c r="P53" s="228" t="s">
        <v>682</v>
      </c>
      <c r="Q53" s="215"/>
      <c r="R53" s="212" t="s">
        <v>38</v>
      </c>
      <c r="S53" s="213" t="s">
        <v>40</v>
      </c>
      <c r="T53" s="213" t="s">
        <v>43</v>
      </c>
      <c r="U53" s="213" t="s">
        <v>45</v>
      </c>
      <c r="V53" s="213" t="s">
        <v>47</v>
      </c>
      <c r="W53" s="213" t="s">
        <v>49</v>
      </c>
      <c r="X53" s="213" t="s">
        <v>51</v>
      </c>
      <c r="Y53" s="213" t="s">
        <v>52</v>
      </c>
      <c r="Z53" s="213" t="s">
        <v>54</v>
      </c>
      <c r="AA53" s="213" t="s">
        <v>55</v>
      </c>
      <c r="AB53" s="213" t="s">
        <v>56</v>
      </c>
      <c r="AC53" s="214" t="s">
        <v>57</v>
      </c>
      <c r="AD53" s="215"/>
      <c r="AE53" s="212" t="s">
        <v>38</v>
      </c>
      <c r="AF53" s="213" t="s">
        <v>40</v>
      </c>
      <c r="AG53" s="213" t="s">
        <v>43</v>
      </c>
      <c r="AH53" s="213" t="s">
        <v>45</v>
      </c>
      <c r="AI53" s="213" t="s">
        <v>47</v>
      </c>
      <c r="AJ53" s="213" t="s">
        <v>49</v>
      </c>
      <c r="AK53" s="213" t="s">
        <v>51</v>
      </c>
      <c r="AL53" s="213" t="s">
        <v>52</v>
      </c>
      <c r="AM53" s="213" t="s">
        <v>54</v>
      </c>
      <c r="AN53" s="213" t="s">
        <v>55</v>
      </c>
      <c r="AO53" s="213" t="s">
        <v>56</v>
      </c>
      <c r="AP53" s="214" t="s">
        <v>57</v>
      </c>
    </row>
    <row r="54" spans="1:42" x14ac:dyDescent="0.2">
      <c r="A54" s="180" t="s">
        <v>683</v>
      </c>
      <c r="B54" s="194"/>
      <c r="C54" s="181">
        <f>SUMIF(Auftragsplanung!$D$5:$Q$5,'DB I + DB II pro LC'!$A$119,Auftragsplanung!$D$18:$Q$18)</f>
        <v>0</v>
      </c>
      <c r="D54" s="199">
        <f t="shared" ref="D54:D64" si="36">IF(C54=0,0,F54/C54)</f>
        <v>0</v>
      </c>
      <c r="F54" s="205">
        <f>M54</f>
        <v>260000</v>
      </c>
      <c r="G54" s="218"/>
      <c r="H54" s="206">
        <f>HLOOKUP($B$2,$AE$53:$AP$64,2,FALSE)</f>
        <v>0</v>
      </c>
      <c r="I54" s="194"/>
      <c r="J54" s="182">
        <f>F54-H54</f>
        <v>260000</v>
      </c>
      <c r="L54" s="205">
        <v>200000</v>
      </c>
      <c r="M54" s="225">
        <v>260000</v>
      </c>
      <c r="N54" s="206">
        <f>M54-L54</f>
        <v>60000</v>
      </c>
      <c r="P54" s="229"/>
      <c r="R54" s="191">
        <f>SUMIF(Monatsplanung!$B$137:$B$150,'DB I + DB II pro LC'!$A$119,Monatsplanung!W$137:W$150)</f>
        <v>0</v>
      </c>
      <c r="S54" s="168">
        <f>SUMIF(Monatsplanung!$B$137:$B$150,'DB I + DB II pro LC'!$A$119,Monatsplanung!X$137:X$150)</f>
        <v>0</v>
      </c>
      <c r="T54" s="168">
        <f>SUMIF(Monatsplanung!$B$137:$B$150,'DB I + DB II pro LC'!$A$119,Monatsplanung!Y$137:Y$150)</f>
        <v>0</v>
      </c>
      <c r="U54" s="168">
        <f>SUMIF(Monatsplanung!$B$137:$B$150,'DB I + DB II pro LC'!$A$119,Monatsplanung!Z$137:Z$150)</f>
        <v>0</v>
      </c>
      <c r="V54" s="168">
        <f>SUMIF(Monatsplanung!$B$137:$B$150,'DB I + DB II pro LC'!$A$119,Monatsplanung!AA$137:AA$150)</f>
        <v>0</v>
      </c>
      <c r="W54" s="168">
        <f>SUMIF(Monatsplanung!$B$137:$B$150,'DB I + DB II pro LC'!$A$119,Monatsplanung!AB$137:AB$150)</f>
        <v>0</v>
      </c>
      <c r="X54" s="168">
        <f>SUMIF(Monatsplanung!$B$137:$B$150,'DB I + DB II pro LC'!$A$119,Monatsplanung!AC$137:AC$150)</f>
        <v>0</v>
      </c>
      <c r="Y54" s="168">
        <f>SUMIF(Monatsplanung!$B$137:$B$150,'DB I + DB II pro LC'!$A$119,Monatsplanung!AD$137:AD$150)</f>
        <v>0</v>
      </c>
      <c r="Z54" s="168">
        <f>SUMIF(Monatsplanung!$B$137:$B$150,'DB I + DB II pro LC'!$A$119,Monatsplanung!AE$137:AE$150)</f>
        <v>0</v>
      </c>
      <c r="AA54" s="168">
        <f>SUMIF(Monatsplanung!$B$137:$B$150,'DB I + DB II pro LC'!$A$119,Monatsplanung!AF$137:AF$150)</f>
        <v>0</v>
      </c>
      <c r="AB54" s="168">
        <f>SUMIF(Monatsplanung!$B$137:$B$150,'DB I + DB II pro LC'!$A$119,Monatsplanung!AG$137:AG$150)</f>
        <v>0</v>
      </c>
      <c r="AC54" s="169">
        <f>SUMIF(Monatsplanung!$B$137:$B$150,'DB I + DB II pro LC'!$A$119,Monatsplanung!AH$137:AH$150)</f>
        <v>0</v>
      </c>
      <c r="AE54" s="191">
        <f>SUM(R54)</f>
        <v>0</v>
      </c>
      <c r="AF54" s="168">
        <f>SUM(R54:S54)</f>
        <v>0</v>
      </c>
      <c r="AG54" s="168">
        <f>SUM(R54:T54)</f>
        <v>0</v>
      </c>
      <c r="AH54" s="168">
        <f>SUM(R54:U54)</f>
        <v>0</v>
      </c>
      <c r="AI54" s="168">
        <f>SUM(R54:V54)</f>
        <v>0</v>
      </c>
      <c r="AJ54" s="168">
        <f>SUM(R54:W54)</f>
        <v>0</v>
      </c>
      <c r="AK54" s="168">
        <f>SUM(R54:X54)</f>
        <v>0</v>
      </c>
      <c r="AL54" s="168">
        <f>SUM(R54:Y54)</f>
        <v>0</v>
      </c>
      <c r="AM54" s="168">
        <f>SUM(R54:Z54)</f>
        <v>0</v>
      </c>
      <c r="AN54" s="168">
        <f>SUM(R54:AA54)</f>
        <v>0</v>
      </c>
      <c r="AO54" s="168">
        <f>SUM(R54:AB54)</f>
        <v>0</v>
      </c>
      <c r="AP54" s="169">
        <f>SUM(R54:AC54)</f>
        <v>0</v>
      </c>
    </row>
    <row r="55" spans="1:42" x14ac:dyDescent="0.2">
      <c r="A55" s="177" t="s">
        <v>684</v>
      </c>
      <c r="B55" s="195"/>
      <c r="C55" s="168"/>
      <c r="D55" s="200">
        <f t="shared" si="36"/>
        <v>0</v>
      </c>
      <c r="F55" s="191">
        <f>M55</f>
        <v>5000</v>
      </c>
      <c r="G55" s="219"/>
      <c r="H55" s="169">
        <f>HLOOKUP($B$2,$AE$53:$AP$64,3,FALSE)</f>
        <v>0</v>
      </c>
      <c r="I55" s="195"/>
      <c r="J55" s="169">
        <f>F55-H55</f>
        <v>5000</v>
      </c>
      <c r="L55" s="191">
        <v>10000</v>
      </c>
      <c r="M55" s="226">
        <v>5000</v>
      </c>
      <c r="N55" s="169">
        <f t="shared" ref="N55:N64" si="37">M55-L55</f>
        <v>-5000</v>
      </c>
      <c r="P55" s="230"/>
      <c r="R55" s="191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9"/>
      <c r="AE55" s="191">
        <f>SUM(R55)</f>
        <v>0</v>
      </c>
      <c r="AF55" s="168">
        <f>SUM(R55:S55)</f>
        <v>0</v>
      </c>
      <c r="AG55" s="168">
        <f>SUM(R55:T55)</f>
        <v>0</v>
      </c>
      <c r="AH55" s="168">
        <f>SUM(R55:U55)</f>
        <v>0</v>
      </c>
      <c r="AI55" s="168">
        <f>SUM(R55:V55)</f>
        <v>0</v>
      </c>
      <c r="AJ55" s="168">
        <f>SUM(R55:W55)</f>
        <v>0</v>
      </c>
      <c r="AK55" s="168">
        <f>SUM(R55:X55)</f>
        <v>0</v>
      </c>
      <c r="AL55" s="168">
        <f>SUM(R55:Y55)</f>
        <v>0</v>
      </c>
      <c r="AM55" s="168">
        <f>SUM(R55:Z55)</f>
        <v>0</v>
      </c>
      <c r="AN55" s="168">
        <f>SUM(R55:AA55)</f>
        <v>0</v>
      </c>
      <c r="AO55" s="168">
        <f>SUM(R55:AB55)</f>
        <v>0</v>
      </c>
      <c r="AP55" s="169">
        <f>SUM(R55:AC55)</f>
        <v>0</v>
      </c>
    </row>
    <row r="56" spans="1:42" x14ac:dyDescent="0.2">
      <c r="A56" s="178" t="s">
        <v>366</v>
      </c>
      <c r="B56" s="196"/>
      <c r="C56" s="170">
        <f>C54+C55</f>
        <v>0</v>
      </c>
      <c r="D56" s="201">
        <f t="shared" si="36"/>
        <v>0</v>
      </c>
      <c r="F56" s="192">
        <f>F54+F55</f>
        <v>265000</v>
      </c>
      <c r="G56" s="220"/>
      <c r="H56" s="171">
        <f>H54+H55</f>
        <v>0</v>
      </c>
      <c r="I56" s="196"/>
      <c r="J56" s="171">
        <f>J54+J55</f>
        <v>265000</v>
      </c>
      <c r="K56" s="90"/>
      <c r="L56" s="192">
        <f>L54+L55</f>
        <v>210000</v>
      </c>
      <c r="M56" s="170">
        <f>M54+M55</f>
        <v>265000</v>
      </c>
      <c r="N56" s="171">
        <f t="shared" si="37"/>
        <v>55000</v>
      </c>
      <c r="O56" s="90"/>
      <c r="P56" s="231"/>
      <c r="Q56" s="90"/>
      <c r="R56" s="192">
        <f>R54+R55</f>
        <v>0</v>
      </c>
      <c r="S56" s="170">
        <f t="shared" ref="S56:AC56" si="38">S54+S55</f>
        <v>0</v>
      </c>
      <c r="T56" s="170">
        <f t="shared" si="38"/>
        <v>0</v>
      </c>
      <c r="U56" s="170">
        <f t="shared" si="38"/>
        <v>0</v>
      </c>
      <c r="V56" s="170">
        <f t="shared" si="38"/>
        <v>0</v>
      </c>
      <c r="W56" s="170">
        <f t="shared" si="38"/>
        <v>0</v>
      </c>
      <c r="X56" s="170">
        <f t="shared" si="38"/>
        <v>0</v>
      </c>
      <c r="Y56" s="170">
        <f t="shared" si="38"/>
        <v>0</v>
      </c>
      <c r="Z56" s="170">
        <f t="shared" si="38"/>
        <v>0</v>
      </c>
      <c r="AA56" s="170">
        <f t="shared" si="38"/>
        <v>0</v>
      </c>
      <c r="AB56" s="170">
        <f t="shared" si="38"/>
        <v>0</v>
      </c>
      <c r="AC56" s="171">
        <f t="shared" si="38"/>
        <v>0</v>
      </c>
      <c r="AD56" s="90"/>
      <c r="AE56" s="192">
        <f>AE54+AE55</f>
        <v>0</v>
      </c>
      <c r="AF56" s="170">
        <f t="shared" ref="AF56:AP56" si="39">AF54+AF55</f>
        <v>0</v>
      </c>
      <c r="AG56" s="170">
        <f t="shared" si="39"/>
        <v>0</v>
      </c>
      <c r="AH56" s="170">
        <f t="shared" si="39"/>
        <v>0</v>
      </c>
      <c r="AI56" s="170">
        <f t="shared" si="39"/>
        <v>0</v>
      </c>
      <c r="AJ56" s="170">
        <f t="shared" si="39"/>
        <v>0</v>
      </c>
      <c r="AK56" s="170">
        <f t="shared" si="39"/>
        <v>0</v>
      </c>
      <c r="AL56" s="170">
        <f t="shared" si="39"/>
        <v>0</v>
      </c>
      <c r="AM56" s="170">
        <f t="shared" si="39"/>
        <v>0</v>
      </c>
      <c r="AN56" s="170">
        <f t="shared" si="39"/>
        <v>0</v>
      </c>
      <c r="AO56" s="170">
        <f t="shared" si="39"/>
        <v>0</v>
      </c>
      <c r="AP56" s="171">
        <f t="shared" si="39"/>
        <v>0</v>
      </c>
    </row>
    <row r="57" spans="1:42" x14ac:dyDescent="0.2">
      <c r="A57" s="177" t="s">
        <v>685</v>
      </c>
      <c r="B57" s="195"/>
      <c r="C57" s="168">
        <f>SUMIF(Auftragsplanung!$D$5:$Q$5,'DB I + DB II pro LC'!$A$119,Auftragsplanung!$D$19:$Q$19)</f>
        <v>0</v>
      </c>
      <c r="D57" s="200">
        <f t="shared" si="36"/>
        <v>0</v>
      </c>
      <c r="F57" s="191">
        <f>M57</f>
        <v>110000</v>
      </c>
      <c r="G57" s="219"/>
      <c r="H57" s="169">
        <f>HLOOKUP($B$2,$AE$53:$AP$64,5,FALSE)</f>
        <v>0</v>
      </c>
      <c r="I57" s="195"/>
      <c r="J57" s="169">
        <f>F57-H57</f>
        <v>110000</v>
      </c>
      <c r="L57" s="191">
        <v>95000</v>
      </c>
      <c r="M57" s="226">
        <v>110000</v>
      </c>
      <c r="N57" s="169">
        <f t="shared" si="37"/>
        <v>15000</v>
      </c>
      <c r="P57" s="230"/>
      <c r="R57" s="191">
        <f>SUMIF(Monatsplanung!$B$137:$B$150,'DB I + DB II pro LC'!$A$119,Monatsplanung!W$160:W$173)</f>
        <v>0</v>
      </c>
      <c r="S57" s="168">
        <f>SUMIF(Monatsplanung!$B$137:$B$150,'DB I + DB II pro LC'!$A$119,Monatsplanung!X$160:X$173)</f>
        <v>0</v>
      </c>
      <c r="T57" s="168">
        <f>SUMIF(Monatsplanung!$B$137:$B$150,'DB I + DB II pro LC'!$A$119,Monatsplanung!Y$160:Y$173)</f>
        <v>0</v>
      </c>
      <c r="U57" s="168">
        <f>SUMIF(Monatsplanung!$B$137:$B$150,'DB I + DB II pro LC'!$A$119,Monatsplanung!Z$160:Z$173)</f>
        <v>0</v>
      </c>
      <c r="V57" s="168">
        <f>SUMIF(Monatsplanung!$B$137:$B$150,'DB I + DB II pro LC'!$A$119,Monatsplanung!AA$160:AA$173)</f>
        <v>0</v>
      </c>
      <c r="W57" s="168">
        <f>SUMIF(Monatsplanung!$B$137:$B$150,'DB I + DB II pro LC'!$A$119,Monatsplanung!AB$160:AB$173)</f>
        <v>0</v>
      </c>
      <c r="X57" s="168">
        <f>SUMIF(Monatsplanung!$B$137:$B$150,'DB I + DB II pro LC'!$A$119,Monatsplanung!AC$160:AC$173)</f>
        <v>0</v>
      </c>
      <c r="Y57" s="168">
        <f>SUMIF(Monatsplanung!$B$137:$B$150,'DB I + DB II pro LC'!$A$119,Monatsplanung!AD$160:AD$173)</f>
        <v>0</v>
      </c>
      <c r="Z57" s="168">
        <f>SUMIF(Monatsplanung!$B$137:$B$150,'DB I + DB II pro LC'!$A$119,Monatsplanung!AE$160:AE$173)</f>
        <v>0</v>
      </c>
      <c r="AA57" s="168">
        <f>SUMIF(Monatsplanung!$B$137:$B$150,'DB I + DB II pro LC'!$A$119,Monatsplanung!AF$160:AF$173)</f>
        <v>0</v>
      </c>
      <c r="AB57" s="168">
        <f>SUMIF(Monatsplanung!$B$137:$B$150,'DB I + DB II pro LC'!$A$119,Monatsplanung!AG$160:AG$173)</f>
        <v>0</v>
      </c>
      <c r="AC57" s="169">
        <f>SUMIF(Monatsplanung!$B$137:$B$150,'DB I + DB II pro LC'!$A$119,Monatsplanung!AH$160:AH$173)</f>
        <v>0</v>
      </c>
      <c r="AE57" s="191">
        <f>SUM(R57)</f>
        <v>0</v>
      </c>
      <c r="AF57" s="168">
        <f>SUM(R57:S57)</f>
        <v>0</v>
      </c>
      <c r="AG57" s="168">
        <f>SUM(R57:T57)</f>
        <v>0</v>
      </c>
      <c r="AH57" s="168">
        <f>SUM(R57:U57)</f>
        <v>0</v>
      </c>
      <c r="AI57" s="168">
        <f>SUM(R57:V57)</f>
        <v>0</v>
      </c>
      <c r="AJ57" s="168">
        <f>SUM(R57:W57)</f>
        <v>0</v>
      </c>
      <c r="AK57" s="168">
        <f>SUM(R57:X57)</f>
        <v>0</v>
      </c>
      <c r="AL57" s="168">
        <f>SUM(R57:Y57)</f>
        <v>0</v>
      </c>
      <c r="AM57" s="168">
        <f>SUM(R57:Z57)</f>
        <v>0</v>
      </c>
      <c r="AN57" s="168">
        <f>SUM(R57:AA57)</f>
        <v>0</v>
      </c>
      <c r="AO57" s="168">
        <f>SUM(R57:AB57)</f>
        <v>0</v>
      </c>
      <c r="AP57" s="169">
        <f>SUM(R57:AC57)</f>
        <v>0</v>
      </c>
    </row>
    <row r="58" spans="1:42" x14ac:dyDescent="0.2">
      <c r="A58" s="177" t="s">
        <v>686</v>
      </c>
      <c r="B58" s="190"/>
      <c r="C58" s="168">
        <f>SUMIF(Auftragsplanung!$D$5:$Q$5,'DB I + DB II pro LC'!$A$119,Auftragsplanung!$D$20:$Q$20)</f>
        <v>0</v>
      </c>
      <c r="D58" s="200">
        <f t="shared" si="36"/>
        <v>0</v>
      </c>
      <c r="F58" s="191">
        <f>M58</f>
        <v>2500</v>
      </c>
      <c r="G58" s="221"/>
      <c r="H58" s="169">
        <f>HLOOKUP($B$2,$AE$53:$AP$64,6,FALSE)</f>
        <v>0</v>
      </c>
      <c r="I58" s="190"/>
      <c r="J58" s="169">
        <f>F58-H58</f>
        <v>2500</v>
      </c>
      <c r="L58" s="191">
        <v>2000</v>
      </c>
      <c r="M58" s="226">
        <v>2500</v>
      </c>
      <c r="N58" s="169">
        <f t="shared" si="37"/>
        <v>500</v>
      </c>
      <c r="P58" s="232"/>
      <c r="R58" s="191">
        <f>SUMIF(Monatsplanung!$B$137:$B$150,'DB I + DB II pro LC'!$A$119,Monatsplanung!W$181:W$194)</f>
        <v>0</v>
      </c>
      <c r="S58" s="168">
        <f>SUMIF(Monatsplanung!$B$137:$B$150,'DB I + DB II pro LC'!$A$119,Monatsplanung!X$181:X$194)</f>
        <v>0</v>
      </c>
      <c r="T58" s="168">
        <f>SUMIF(Monatsplanung!$B$137:$B$150,'DB I + DB II pro LC'!$A$119,Monatsplanung!Y$181:Y$194)</f>
        <v>0</v>
      </c>
      <c r="U58" s="168">
        <f>SUMIF(Monatsplanung!$B$137:$B$150,'DB I + DB II pro LC'!$A$119,Monatsplanung!Z$181:Z$194)</f>
        <v>0</v>
      </c>
      <c r="V58" s="168">
        <f>SUMIF(Monatsplanung!$B$137:$B$150,'DB I + DB II pro LC'!$A$119,Monatsplanung!AA$181:AA$194)</f>
        <v>0</v>
      </c>
      <c r="W58" s="168">
        <f>SUMIF(Monatsplanung!$B$137:$B$150,'DB I + DB II pro LC'!$A$119,Monatsplanung!AB$181:AB$194)</f>
        <v>0</v>
      </c>
      <c r="X58" s="168">
        <f>SUMIF(Monatsplanung!$B$137:$B$150,'DB I + DB II pro LC'!$A$119,Monatsplanung!AC$181:AC$194)</f>
        <v>0</v>
      </c>
      <c r="Y58" s="168">
        <f>SUMIF(Monatsplanung!$B$137:$B$150,'DB I + DB II pro LC'!$A$119,Monatsplanung!AD$181:AD$194)</f>
        <v>0</v>
      </c>
      <c r="Z58" s="168">
        <f>SUMIF(Monatsplanung!$B$137:$B$150,'DB I + DB II pro LC'!$A$119,Monatsplanung!AE$181:AE$194)</f>
        <v>0</v>
      </c>
      <c r="AA58" s="168">
        <f>SUMIF(Monatsplanung!$B$137:$B$150,'DB I + DB II pro LC'!$A$119,Monatsplanung!AF$181:AF$194)</f>
        <v>0</v>
      </c>
      <c r="AB58" s="168">
        <f>SUMIF(Monatsplanung!$B$137:$B$150,'DB I + DB II pro LC'!$A$119,Monatsplanung!AG$181:AG$194)</f>
        <v>0</v>
      </c>
      <c r="AC58" s="169">
        <f>SUMIF(Monatsplanung!$B$137:$B$150,'DB I + DB II pro LC'!$A$119,Monatsplanung!AH$181:AH$194)</f>
        <v>0</v>
      </c>
      <c r="AE58" s="191">
        <f>SUM(R58)</f>
        <v>0</v>
      </c>
      <c r="AF58" s="168">
        <f>SUM(R58:S58)</f>
        <v>0</v>
      </c>
      <c r="AG58" s="168">
        <f>SUM(R58:T58)</f>
        <v>0</v>
      </c>
      <c r="AH58" s="168">
        <f>SUM(R58:U58)</f>
        <v>0</v>
      </c>
      <c r="AI58" s="168">
        <f>SUM(R58:V58)</f>
        <v>0</v>
      </c>
      <c r="AJ58" s="168">
        <f>SUM(R58:W58)</f>
        <v>0</v>
      </c>
      <c r="AK58" s="168">
        <f>SUM(R58:X58)</f>
        <v>0</v>
      </c>
      <c r="AL58" s="168">
        <f>SUM(R58:Y58)</f>
        <v>0</v>
      </c>
      <c r="AM58" s="168">
        <f>SUM(R58:Z58)</f>
        <v>0</v>
      </c>
      <c r="AN58" s="168">
        <f>SUM(R58:AA58)</f>
        <v>0</v>
      </c>
      <c r="AO58" s="168">
        <f>SUM(R58:AB58)</f>
        <v>0</v>
      </c>
      <c r="AP58" s="169">
        <f>SUM(R58:AC58)</f>
        <v>0</v>
      </c>
    </row>
    <row r="59" spans="1:42" x14ac:dyDescent="0.2">
      <c r="A59" s="178" t="s">
        <v>368</v>
      </c>
      <c r="B59" s="192">
        <f>Kostenverteilung!O43</f>
        <v>0</v>
      </c>
      <c r="C59" s="170">
        <f>C56-C57-C58</f>
        <v>0</v>
      </c>
      <c r="D59" s="201">
        <f t="shared" si="36"/>
        <v>0</v>
      </c>
      <c r="F59" s="192">
        <f>F56-F57-F58</f>
        <v>152500</v>
      </c>
      <c r="G59" s="222">
        <f>$P59*$B$1</f>
        <v>0</v>
      </c>
      <c r="H59" s="171">
        <f>H56-H57-H58</f>
        <v>0</v>
      </c>
      <c r="I59" s="175">
        <f>F59-G59</f>
        <v>152500</v>
      </c>
      <c r="J59" s="171">
        <f>J56-J57-J58</f>
        <v>152500</v>
      </c>
      <c r="K59" s="90"/>
      <c r="L59" s="192">
        <f>L56-L57-L58</f>
        <v>113000</v>
      </c>
      <c r="M59" s="170">
        <f>M56-M57-M58</f>
        <v>152500</v>
      </c>
      <c r="N59" s="171">
        <f t="shared" si="37"/>
        <v>39500</v>
      </c>
      <c r="O59" s="90"/>
      <c r="P59" s="233">
        <f>B59/12</f>
        <v>0</v>
      </c>
      <c r="Q59" s="90"/>
      <c r="R59" s="192">
        <f>R56-R57-R58</f>
        <v>0</v>
      </c>
      <c r="S59" s="170">
        <f t="shared" ref="S59:AC59" si="40">S56-S57-S58</f>
        <v>0</v>
      </c>
      <c r="T59" s="170">
        <f t="shared" si="40"/>
        <v>0</v>
      </c>
      <c r="U59" s="170">
        <f t="shared" si="40"/>
        <v>0</v>
      </c>
      <c r="V59" s="170">
        <f t="shared" si="40"/>
        <v>0</v>
      </c>
      <c r="W59" s="170">
        <f t="shared" si="40"/>
        <v>0</v>
      </c>
      <c r="X59" s="170">
        <f t="shared" si="40"/>
        <v>0</v>
      </c>
      <c r="Y59" s="170">
        <f t="shared" si="40"/>
        <v>0</v>
      </c>
      <c r="Z59" s="170">
        <f t="shared" si="40"/>
        <v>0</v>
      </c>
      <c r="AA59" s="170">
        <f t="shared" si="40"/>
        <v>0</v>
      </c>
      <c r="AB59" s="170">
        <f t="shared" si="40"/>
        <v>0</v>
      </c>
      <c r="AC59" s="171">
        <f t="shared" si="40"/>
        <v>0</v>
      </c>
      <c r="AD59" s="90"/>
      <c r="AE59" s="192">
        <f>AE56-AE57-AE58</f>
        <v>0</v>
      </c>
      <c r="AF59" s="170">
        <f t="shared" ref="AF59:AP59" si="41">AF56-AF57-AF58</f>
        <v>0</v>
      </c>
      <c r="AG59" s="170">
        <f t="shared" si="41"/>
        <v>0</v>
      </c>
      <c r="AH59" s="170">
        <f t="shared" si="41"/>
        <v>0</v>
      </c>
      <c r="AI59" s="170">
        <f t="shared" si="41"/>
        <v>0</v>
      </c>
      <c r="AJ59" s="170">
        <f t="shared" si="41"/>
        <v>0</v>
      </c>
      <c r="AK59" s="170">
        <f t="shared" si="41"/>
        <v>0</v>
      </c>
      <c r="AL59" s="170">
        <f t="shared" si="41"/>
        <v>0</v>
      </c>
      <c r="AM59" s="170">
        <f t="shared" si="41"/>
        <v>0</v>
      </c>
      <c r="AN59" s="170">
        <f t="shared" si="41"/>
        <v>0</v>
      </c>
      <c r="AO59" s="170">
        <f t="shared" si="41"/>
        <v>0</v>
      </c>
      <c r="AP59" s="171">
        <f t="shared" si="41"/>
        <v>0</v>
      </c>
    </row>
    <row r="60" spans="1:42" x14ac:dyDescent="0.2">
      <c r="A60" s="177" t="s">
        <v>687</v>
      </c>
      <c r="B60" s="191">
        <f>Kostenverteilung!O45</f>
        <v>0</v>
      </c>
      <c r="C60" s="168">
        <f>Kostenverteilung!O45</f>
        <v>0</v>
      </c>
      <c r="D60" s="200">
        <f t="shared" si="36"/>
        <v>0</v>
      </c>
      <c r="F60" s="191">
        <f>M60</f>
        <v>550</v>
      </c>
      <c r="G60" s="223">
        <f>$P60*$B$1</f>
        <v>0</v>
      </c>
      <c r="H60" s="217">
        <f>HLOOKUP($B$2,$AE$53:$AP$64,8,FALSE)</f>
        <v>0</v>
      </c>
      <c r="I60" s="174">
        <f>F60-G60</f>
        <v>550</v>
      </c>
      <c r="J60" s="169">
        <f>F60-H60</f>
        <v>550</v>
      </c>
      <c r="L60" s="191">
        <v>450</v>
      </c>
      <c r="M60" s="226">
        <v>550</v>
      </c>
      <c r="N60" s="169">
        <f t="shared" si="37"/>
        <v>100</v>
      </c>
      <c r="P60" s="234">
        <f>B60/12</f>
        <v>0</v>
      </c>
      <c r="R60" s="191">
        <f>IF(ISERROR(Mitarbeiterverteilung!$AI$107*R54/SUM($R$56:$AC$56)),0,Mitarbeiterverteilung!$AI$107*R54/SUM($R$56:$AC$56))</f>
        <v>0</v>
      </c>
      <c r="S60" s="168">
        <f>IF(ISERROR(Mitarbeiterverteilung!$AI$107*S54/SUM($R$56:$AC$56)),0,Mitarbeiterverteilung!$AI$107*S54/SUM($R$56:$AC$56))</f>
        <v>0</v>
      </c>
      <c r="T60" s="168">
        <f>IF(ISERROR(Mitarbeiterverteilung!$AI$107*T54/SUM($R$56:$AC$56)),0,Mitarbeiterverteilung!$AI$107*T54/SUM($R$56:$AC$56))</f>
        <v>0</v>
      </c>
      <c r="U60" s="168">
        <f>IF(ISERROR(Mitarbeiterverteilung!$AI$107*U54/SUM($R$56:$AC$56)),0,Mitarbeiterverteilung!$AI$107*U54/SUM($R$56:$AC$56))</f>
        <v>0</v>
      </c>
      <c r="V60" s="168">
        <f>IF(ISERROR(Mitarbeiterverteilung!$AI$107*V54/SUM($R$56:$AC$56)),0,Mitarbeiterverteilung!$AI$107*V54/SUM($R$56:$AC$56))</f>
        <v>0</v>
      </c>
      <c r="W60" s="168">
        <f>IF(ISERROR(Mitarbeiterverteilung!$AI$107*W54/SUM($R$56:$AC$56)),0,Mitarbeiterverteilung!$AI$107*W54/SUM($R$56:$AC$56))</f>
        <v>0</v>
      </c>
      <c r="X60" s="168">
        <f>IF(ISERROR(Mitarbeiterverteilung!$AI$107*X54/SUM($R$56:$AC$56)),0,Mitarbeiterverteilung!$AI$107*X54/SUM($R$56:$AC$56))</f>
        <v>0</v>
      </c>
      <c r="Y60" s="168">
        <f>IF(ISERROR(Mitarbeiterverteilung!$AI$107*Y54/SUM($R$56:$AC$56)),0,Mitarbeiterverteilung!$AI$107*Y54/SUM($R$56:$AC$56))</f>
        <v>0</v>
      </c>
      <c r="Z60" s="168">
        <f>IF(ISERROR(Mitarbeiterverteilung!$AI$107*Z54/SUM($R$56:$AC$56)),0,Mitarbeiterverteilung!$AI$107*Z54/SUM($R$56:$AC$56))</f>
        <v>0</v>
      </c>
      <c r="AA60" s="168">
        <f>IF(ISERROR(Mitarbeiterverteilung!$AI$107*AA54/SUM($R$56:$AC$56)),0,Mitarbeiterverteilung!$AI$107*AA54/SUM($R$56:$AC$56))</f>
        <v>0</v>
      </c>
      <c r="AB60" s="168">
        <f>IF(ISERROR(Mitarbeiterverteilung!$AI$107*AB54/SUM($R$56:$AC$56)),0,Mitarbeiterverteilung!$AI$107*AB54/SUM($R$56:$AC$56))</f>
        <v>0</v>
      </c>
      <c r="AC60" s="169">
        <f>IF(ISERROR(Mitarbeiterverteilung!$AI$107*AC54/SUM($R$56:$AC$56)),0,Mitarbeiterverteilung!$AI$107*AC54/SUM($R$56:$AC$56))</f>
        <v>0</v>
      </c>
      <c r="AE60" s="191">
        <f>SUM(R60)</f>
        <v>0</v>
      </c>
      <c r="AF60" s="168">
        <f>SUM(R60:S60)</f>
        <v>0</v>
      </c>
      <c r="AG60" s="168">
        <f>SUM(R60:T60)</f>
        <v>0</v>
      </c>
      <c r="AH60" s="168">
        <f>SUM(R60:U60)</f>
        <v>0</v>
      </c>
      <c r="AI60" s="168">
        <f>SUM(R60:V60)</f>
        <v>0</v>
      </c>
      <c r="AJ60" s="168">
        <f>SUM(R60:W60)</f>
        <v>0</v>
      </c>
      <c r="AK60" s="168">
        <f>SUM(R60:X60)</f>
        <v>0</v>
      </c>
      <c r="AL60" s="168">
        <f>SUM(R60:Y60)</f>
        <v>0</v>
      </c>
      <c r="AM60" s="168">
        <f>SUM(R60:Z60)</f>
        <v>0</v>
      </c>
      <c r="AN60" s="168">
        <f>SUM(R60:AA60)</f>
        <v>0</v>
      </c>
      <c r="AO60" s="168">
        <f>SUM(R60:AB60)</f>
        <v>0</v>
      </c>
      <c r="AP60" s="169">
        <f>SUM(R60:AC60)</f>
        <v>0</v>
      </c>
    </row>
    <row r="61" spans="1:42" x14ac:dyDescent="0.2">
      <c r="A61" s="178" t="s">
        <v>688</v>
      </c>
      <c r="B61" s="192">
        <f>IF(B60=0,0,B59/B60)</f>
        <v>0</v>
      </c>
      <c r="C61" s="170" t="e">
        <f>C59/C60</f>
        <v>#DIV/0!</v>
      </c>
      <c r="D61" s="201" t="e">
        <f t="shared" si="36"/>
        <v>#DIV/0!</v>
      </c>
      <c r="F61" s="192">
        <f>IF(F60=0,0,F59/F60)</f>
        <v>277.27272727272725</v>
      </c>
      <c r="G61" s="222">
        <f>IF(G60=0,0,G59/G60)</f>
        <v>0</v>
      </c>
      <c r="H61" s="171">
        <f>IF(H60=0,0,H59/H60)</f>
        <v>0</v>
      </c>
      <c r="I61" s="175">
        <f>IF(I60=0,0,I59/I60)</f>
        <v>277.27272727272725</v>
      </c>
      <c r="J61" s="171">
        <f>IF(J60=0,0,J59/J60)</f>
        <v>277.27272727272725</v>
      </c>
      <c r="K61" s="90"/>
      <c r="L61" s="192">
        <f>IF(L60=0,0,L59/L60)</f>
        <v>251.11111111111111</v>
      </c>
      <c r="M61" s="170">
        <f>IF(M60=0,0,M59/M60)</f>
        <v>277.27272727272725</v>
      </c>
      <c r="N61" s="171">
        <f t="shared" si="37"/>
        <v>26.161616161616138</v>
      </c>
      <c r="O61" s="90"/>
      <c r="P61" s="233">
        <f>IF(P60=0,0,P59/P60)</f>
        <v>0</v>
      </c>
      <c r="Q61" s="90"/>
      <c r="R61" s="192">
        <f>IF(R60=0,0,R59/R60)</f>
        <v>0</v>
      </c>
      <c r="S61" s="170">
        <f t="shared" ref="S61:AC61" si="42">IF(S60=0,0,S59/S60)</f>
        <v>0</v>
      </c>
      <c r="T61" s="170">
        <f t="shared" si="42"/>
        <v>0</v>
      </c>
      <c r="U61" s="170">
        <f t="shared" si="42"/>
        <v>0</v>
      </c>
      <c r="V61" s="170">
        <f t="shared" si="42"/>
        <v>0</v>
      </c>
      <c r="W61" s="170">
        <f t="shared" si="42"/>
        <v>0</v>
      </c>
      <c r="X61" s="170">
        <f t="shared" si="42"/>
        <v>0</v>
      </c>
      <c r="Y61" s="170">
        <f t="shared" si="42"/>
        <v>0</v>
      </c>
      <c r="Z61" s="170">
        <f t="shared" si="42"/>
        <v>0</v>
      </c>
      <c r="AA61" s="170">
        <f t="shared" si="42"/>
        <v>0</v>
      </c>
      <c r="AB61" s="170">
        <f t="shared" si="42"/>
        <v>0</v>
      </c>
      <c r="AC61" s="171">
        <f t="shared" si="42"/>
        <v>0</v>
      </c>
      <c r="AD61" s="90"/>
      <c r="AE61" s="192">
        <f>IF(AE60=0,0,AE59/AE60)</f>
        <v>0</v>
      </c>
      <c r="AF61" s="170">
        <f t="shared" ref="AF61:AP61" si="43">IF(AF60=0,0,AF59/AF60)</f>
        <v>0</v>
      </c>
      <c r="AG61" s="170">
        <f t="shared" si="43"/>
        <v>0</v>
      </c>
      <c r="AH61" s="170">
        <f t="shared" si="43"/>
        <v>0</v>
      </c>
      <c r="AI61" s="170">
        <f t="shared" si="43"/>
        <v>0</v>
      </c>
      <c r="AJ61" s="170">
        <f t="shared" si="43"/>
        <v>0</v>
      </c>
      <c r="AK61" s="170">
        <f t="shared" si="43"/>
        <v>0</v>
      </c>
      <c r="AL61" s="170">
        <f t="shared" si="43"/>
        <v>0</v>
      </c>
      <c r="AM61" s="170">
        <f t="shared" si="43"/>
        <v>0</v>
      </c>
      <c r="AN61" s="170">
        <f t="shared" si="43"/>
        <v>0</v>
      </c>
      <c r="AO61" s="170">
        <f t="shared" si="43"/>
        <v>0</v>
      </c>
      <c r="AP61" s="171">
        <f t="shared" si="43"/>
        <v>0</v>
      </c>
    </row>
    <row r="62" spans="1:42" x14ac:dyDescent="0.2">
      <c r="A62" s="177" t="s">
        <v>689</v>
      </c>
      <c r="B62" s="191">
        <f>Kostenverteilung!O49*B60</f>
        <v>0</v>
      </c>
      <c r="C62" s="168">
        <f>Kostenverteilung!O23</f>
        <v>0</v>
      </c>
      <c r="D62" s="200">
        <f t="shared" si="36"/>
        <v>0</v>
      </c>
      <c r="F62" s="191">
        <f>M62</f>
        <v>17000</v>
      </c>
      <c r="G62" s="223">
        <f>$P62*$B$1</f>
        <v>0</v>
      </c>
      <c r="H62" s="217">
        <f>HLOOKUP($B$2,$AE$53:$AP$64,10,FALSE)</f>
        <v>0</v>
      </c>
      <c r="I62" s="174">
        <f>F62-G62</f>
        <v>17000</v>
      </c>
      <c r="J62" s="169">
        <f>F62-H62</f>
        <v>17000</v>
      </c>
      <c r="L62" s="191">
        <v>15000</v>
      </c>
      <c r="M62" s="226">
        <v>17000</v>
      </c>
      <c r="N62" s="169">
        <f t="shared" si="37"/>
        <v>2000</v>
      </c>
      <c r="P62" s="234">
        <f>B62/12</f>
        <v>0</v>
      </c>
      <c r="R62" s="191">
        <f>IF(ISERROR(Mitarbeiterverteilung!$X$107*R54/SUM($R$56:$AC$56)),0,Mitarbeiterverteilung!$X$107*R54/SUM($R$56:$AC$56))</f>
        <v>0</v>
      </c>
      <c r="S62" s="168">
        <f>IF(ISERROR(Mitarbeiterverteilung!$X$107*S54/SUM($R$56:$AC$56)),0,Mitarbeiterverteilung!$X$107*S54/SUM($R$56:$AC$56))</f>
        <v>0</v>
      </c>
      <c r="T62" s="168">
        <f>IF(ISERROR(Mitarbeiterverteilung!$X$107*T54/SUM($R$56:$AC$56)),0,Mitarbeiterverteilung!$X$107*T54/SUM($R$56:$AC$56))</f>
        <v>0</v>
      </c>
      <c r="U62" s="168">
        <f>IF(ISERROR(Mitarbeiterverteilung!$X$107*U54/SUM($R$56:$AC$56)),0,Mitarbeiterverteilung!$X$107*U54/SUM($R$56:$AC$56))</f>
        <v>0</v>
      </c>
      <c r="V62" s="168">
        <f>IF(ISERROR(Mitarbeiterverteilung!$X$107*V54/SUM($R$56:$AC$56)),0,Mitarbeiterverteilung!$X$107*V54/SUM($R$56:$AC$56))</f>
        <v>0</v>
      </c>
      <c r="W62" s="168">
        <f>IF(ISERROR(Mitarbeiterverteilung!$X$107*W54/SUM($R$56:$AC$56)),0,Mitarbeiterverteilung!$X$107*W54/SUM($R$56:$AC$56))</f>
        <v>0</v>
      </c>
      <c r="X62" s="168">
        <f>IF(ISERROR(Mitarbeiterverteilung!$X$107*X54/SUM($R$56:$AC$56)),0,Mitarbeiterverteilung!$X$107*X54/SUM($R$56:$AC$56))</f>
        <v>0</v>
      </c>
      <c r="Y62" s="168">
        <f>IF(ISERROR(Mitarbeiterverteilung!$X$107*Y54/SUM($R$56:$AC$56)),0,Mitarbeiterverteilung!$X$107*Y54/SUM($R$56:$AC$56))</f>
        <v>0</v>
      </c>
      <c r="Z62" s="168">
        <f>IF(ISERROR(Mitarbeiterverteilung!$X$107*Z54/SUM($R$56:$AC$56)),0,Mitarbeiterverteilung!$X$107*Z54/SUM($R$56:$AC$56))</f>
        <v>0</v>
      </c>
      <c r="AA62" s="168">
        <f>IF(ISERROR(Mitarbeiterverteilung!$X$107*AA54/SUM($R$56:$AC$56)),0,Mitarbeiterverteilung!$X$107*AA54/SUM($R$56:$AC$56))</f>
        <v>0</v>
      </c>
      <c r="AB62" s="168">
        <f>IF(ISERROR(Mitarbeiterverteilung!$X$107*AB54/SUM($R$56:$AC$56)),0,Mitarbeiterverteilung!$X$107*AB54/SUM($R$56:$AC$56))</f>
        <v>0</v>
      </c>
      <c r="AC62" s="169">
        <f>IF(ISERROR(Mitarbeiterverteilung!$X$107*AC54/SUM($R$56:$AC$56)),0,Mitarbeiterverteilung!$X$107*AC54/SUM($R$56:$AC$56))</f>
        <v>0</v>
      </c>
      <c r="AE62" s="191">
        <f>SUM(R62)</f>
        <v>0</v>
      </c>
      <c r="AF62" s="168">
        <f>SUM(R62:S62)</f>
        <v>0</v>
      </c>
      <c r="AG62" s="168">
        <f>SUM(R62:T62)</f>
        <v>0</v>
      </c>
      <c r="AH62" s="168">
        <f>SUM(R62:U62)</f>
        <v>0</v>
      </c>
      <c r="AI62" s="168">
        <f>SUM(R62:V62)</f>
        <v>0</v>
      </c>
      <c r="AJ62" s="168">
        <f>SUM(R62:W62)</f>
        <v>0</v>
      </c>
      <c r="AK62" s="168">
        <f>SUM(R62:X62)</f>
        <v>0</v>
      </c>
      <c r="AL62" s="168">
        <f>SUM(R62:Y62)</f>
        <v>0</v>
      </c>
      <c r="AM62" s="168">
        <f>SUM(R62:Z62)</f>
        <v>0</v>
      </c>
      <c r="AN62" s="168">
        <f>SUM(R62:AA62)</f>
        <v>0</v>
      </c>
      <c r="AO62" s="168">
        <f>SUM(R62:AB62)</f>
        <v>0</v>
      </c>
      <c r="AP62" s="169">
        <f>SUM(R62:AC62)</f>
        <v>0</v>
      </c>
    </row>
    <row r="63" spans="1:42" x14ac:dyDescent="0.2">
      <c r="A63" s="178" t="s">
        <v>690</v>
      </c>
      <c r="B63" s="192">
        <f>B59-B62</f>
        <v>0</v>
      </c>
      <c r="C63" s="170">
        <f>C59-C62</f>
        <v>0</v>
      </c>
      <c r="D63" s="201">
        <f t="shared" si="36"/>
        <v>0</v>
      </c>
      <c r="F63" s="192">
        <f>F59-F62</f>
        <v>135500</v>
      </c>
      <c r="G63" s="222">
        <f>G59-G62</f>
        <v>0</v>
      </c>
      <c r="H63" s="171">
        <f>H59-H62</f>
        <v>0</v>
      </c>
      <c r="I63" s="175">
        <f>I59-I62</f>
        <v>135500</v>
      </c>
      <c r="J63" s="171">
        <f>J59-J62</f>
        <v>135500</v>
      </c>
      <c r="K63" s="90"/>
      <c r="L63" s="192">
        <f>L59-L62</f>
        <v>98000</v>
      </c>
      <c r="M63" s="170">
        <f>M59-M62</f>
        <v>135500</v>
      </c>
      <c r="N63" s="171">
        <f t="shared" si="37"/>
        <v>37500</v>
      </c>
      <c r="O63" s="90"/>
      <c r="P63" s="233">
        <f>P59-P62</f>
        <v>0</v>
      </c>
      <c r="Q63" s="90"/>
      <c r="R63" s="192">
        <f>R59-R62</f>
        <v>0</v>
      </c>
      <c r="S63" s="170">
        <f t="shared" ref="S63:AC63" si="44">S59-S62</f>
        <v>0</v>
      </c>
      <c r="T63" s="170">
        <f t="shared" si="44"/>
        <v>0</v>
      </c>
      <c r="U63" s="170">
        <f t="shared" si="44"/>
        <v>0</v>
      </c>
      <c r="V63" s="170">
        <f t="shared" si="44"/>
        <v>0</v>
      </c>
      <c r="W63" s="170">
        <f t="shared" si="44"/>
        <v>0</v>
      </c>
      <c r="X63" s="170">
        <f t="shared" si="44"/>
        <v>0</v>
      </c>
      <c r="Y63" s="170">
        <f t="shared" si="44"/>
        <v>0</v>
      </c>
      <c r="Z63" s="170">
        <f t="shared" si="44"/>
        <v>0</v>
      </c>
      <c r="AA63" s="170">
        <f t="shared" si="44"/>
        <v>0</v>
      </c>
      <c r="AB63" s="170">
        <f t="shared" si="44"/>
        <v>0</v>
      </c>
      <c r="AC63" s="171">
        <f t="shared" si="44"/>
        <v>0</v>
      </c>
      <c r="AD63" s="90"/>
      <c r="AE63" s="192">
        <f>AE59-AE62</f>
        <v>0</v>
      </c>
      <c r="AF63" s="170">
        <f t="shared" ref="AF63:AP63" si="45">AF59-AF62</f>
        <v>0</v>
      </c>
      <c r="AG63" s="170">
        <f t="shared" si="45"/>
        <v>0</v>
      </c>
      <c r="AH63" s="170">
        <f t="shared" si="45"/>
        <v>0</v>
      </c>
      <c r="AI63" s="170">
        <f t="shared" si="45"/>
        <v>0</v>
      </c>
      <c r="AJ63" s="170">
        <f t="shared" si="45"/>
        <v>0</v>
      </c>
      <c r="AK63" s="170">
        <f t="shared" si="45"/>
        <v>0</v>
      </c>
      <c r="AL63" s="170">
        <f t="shared" si="45"/>
        <v>0</v>
      </c>
      <c r="AM63" s="170">
        <f t="shared" si="45"/>
        <v>0</v>
      </c>
      <c r="AN63" s="170">
        <f t="shared" si="45"/>
        <v>0</v>
      </c>
      <c r="AO63" s="170">
        <f t="shared" si="45"/>
        <v>0</v>
      </c>
      <c r="AP63" s="171">
        <f t="shared" si="45"/>
        <v>0</v>
      </c>
    </row>
    <row r="64" spans="1:42" x14ac:dyDescent="0.2">
      <c r="A64" s="179" t="s">
        <v>691</v>
      </c>
      <c r="B64" s="193">
        <f>IF(B60=0,0,B63/B60)</f>
        <v>0</v>
      </c>
      <c r="C64" s="172" t="e">
        <f>C63/C60</f>
        <v>#DIV/0!</v>
      </c>
      <c r="D64" s="202" t="e">
        <f t="shared" si="36"/>
        <v>#DIV/0!</v>
      </c>
      <c r="F64" s="193">
        <f>IF(F60=0,0,F63/F60)</f>
        <v>246.36363636363637</v>
      </c>
      <c r="G64" s="224">
        <f>IF(G60=0,0,G63/G60)</f>
        <v>0</v>
      </c>
      <c r="H64" s="173">
        <f>IF(H60=0,0,H63/H60)</f>
        <v>0</v>
      </c>
      <c r="I64" s="176">
        <f>IF(I60=0,0,I63/I60)</f>
        <v>246.36363636363637</v>
      </c>
      <c r="J64" s="173">
        <f>IF(J60=0,0,J63/J60)</f>
        <v>246.36363636363637</v>
      </c>
      <c r="K64" s="90"/>
      <c r="L64" s="193">
        <f>IF(L60=0,0,L63/L60)</f>
        <v>217.77777777777777</v>
      </c>
      <c r="M64" s="172">
        <f>IF(M60=0,0,M63/M60)</f>
        <v>246.36363636363637</v>
      </c>
      <c r="N64" s="173">
        <f t="shared" si="37"/>
        <v>28.585858585858603</v>
      </c>
      <c r="O64" s="90"/>
      <c r="P64" s="235">
        <f>IF(P60=0,0,P63/P60)</f>
        <v>0</v>
      </c>
      <c r="Q64" s="90"/>
      <c r="R64" s="193">
        <f>IF(R60=0,0,R63/R60)</f>
        <v>0</v>
      </c>
      <c r="S64" s="172">
        <f t="shared" ref="S64:AC64" si="46">IF(S60=0,0,S63/S60)</f>
        <v>0</v>
      </c>
      <c r="T64" s="172">
        <f t="shared" si="46"/>
        <v>0</v>
      </c>
      <c r="U64" s="172">
        <f t="shared" si="46"/>
        <v>0</v>
      </c>
      <c r="V64" s="172">
        <f t="shared" si="46"/>
        <v>0</v>
      </c>
      <c r="W64" s="172">
        <f t="shared" si="46"/>
        <v>0</v>
      </c>
      <c r="X64" s="172">
        <f t="shared" si="46"/>
        <v>0</v>
      </c>
      <c r="Y64" s="172">
        <f t="shared" si="46"/>
        <v>0</v>
      </c>
      <c r="Z64" s="172">
        <f t="shared" si="46"/>
        <v>0</v>
      </c>
      <c r="AA64" s="172">
        <f t="shared" si="46"/>
        <v>0</v>
      </c>
      <c r="AB64" s="172">
        <f t="shared" si="46"/>
        <v>0</v>
      </c>
      <c r="AC64" s="173">
        <f t="shared" si="46"/>
        <v>0</v>
      </c>
      <c r="AD64" s="90"/>
      <c r="AE64" s="193">
        <f>IF(AE60=0,0,AE63/AE60)</f>
        <v>0</v>
      </c>
      <c r="AF64" s="172">
        <f t="shared" ref="AF64:AP64" si="47">IF(AF60=0,0,AF63/AF60)</f>
        <v>0</v>
      </c>
      <c r="AG64" s="172">
        <f t="shared" si="47"/>
        <v>0</v>
      </c>
      <c r="AH64" s="172">
        <f t="shared" si="47"/>
        <v>0</v>
      </c>
      <c r="AI64" s="172">
        <f t="shared" si="47"/>
        <v>0</v>
      </c>
      <c r="AJ64" s="172">
        <f t="shared" si="47"/>
        <v>0</v>
      </c>
      <c r="AK64" s="172">
        <f t="shared" si="47"/>
        <v>0</v>
      </c>
      <c r="AL64" s="172">
        <f t="shared" si="47"/>
        <v>0</v>
      </c>
      <c r="AM64" s="172">
        <f t="shared" si="47"/>
        <v>0</v>
      </c>
      <c r="AN64" s="172">
        <f t="shared" si="47"/>
        <v>0</v>
      </c>
      <c r="AO64" s="172">
        <f t="shared" si="47"/>
        <v>0</v>
      </c>
      <c r="AP64" s="173">
        <f t="shared" si="47"/>
        <v>0</v>
      </c>
    </row>
    <row r="68" spans="1:42" x14ac:dyDescent="0.2">
      <c r="A68" s="186"/>
      <c r="B68" s="1515" t="str">
        <f>CONCATENATE(Auftragsplanung!$A$9," ",$A$1)</f>
        <v xml:space="preserve"> (pro Jahr)</v>
      </c>
      <c r="C68" s="1516"/>
      <c r="D68" s="1517"/>
      <c r="F68" s="216" t="s">
        <v>669</v>
      </c>
      <c r="G68" s="203" t="s">
        <v>670</v>
      </c>
      <c r="H68" s="204" t="s">
        <v>671</v>
      </c>
      <c r="I68" s="237" t="s">
        <v>672</v>
      </c>
      <c r="J68" s="238" t="s">
        <v>673</v>
      </c>
      <c r="K68" s="90"/>
      <c r="L68" s="167" t="s">
        <v>674</v>
      </c>
      <c r="M68" s="203" t="s">
        <v>674</v>
      </c>
      <c r="N68" s="204" t="s">
        <v>675</v>
      </c>
      <c r="O68" s="90"/>
      <c r="P68" s="227" t="s">
        <v>676</v>
      </c>
      <c r="Q68" s="90"/>
      <c r="R68" s="1509" t="s">
        <v>671</v>
      </c>
      <c r="S68" s="1510"/>
      <c r="T68" s="1510"/>
      <c r="U68" s="1510"/>
      <c r="V68" s="1510"/>
      <c r="W68" s="1510"/>
      <c r="X68" s="1510"/>
      <c r="Y68" s="1510"/>
      <c r="Z68" s="1510"/>
      <c r="AA68" s="1510"/>
      <c r="AB68" s="1510"/>
      <c r="AC68" s="1511"/>
      <c r="AD68" s="90"/>
      <c r="AE68" s="1509" t="s">
        <v>677</v>
      </c>
      <c r="AF68" s="1510"/>
      <c r="AG68" s="1510"/>
      <c r="AH68" s="1510"/>
      <c r="AI68" s="1510"/>
      <c r="AJ68" s="1510"/>
      <c r="AK68" s="1510"/>
      <c r="AL68" s="1510"/>
      <c r="AM68" s="1510"/>
      <c r="AN68" s="1510"/>
      <c r="AO68" s="1510"/>
      <c r="AP68" s="1511"/>
    </row>
    <row r="69" spans="1:42" x14ac:dyDescent="0.2">
      <c r="A69" s="185"/>
      <c r="B69" s="189" t="s">
        <v>676</v>
      </c>
      <c r="C69" s="183" t="s">
        <v>205</v>
      </c>
      <c r="D69" s="184" t="s">
        <v>679</v>
      </c>
      <c r="F69" s="1512">
        <f>$B$1</f>
        <v>10</v>
      </c>
      <c r="G69" s="1513"/>
      <c r="H69" s="1513"/>
      <c r="I69" s="1513"/>
      <c r="J69" s="1514"/>
      <c r="K69" s="215"/>
      <c r="L69" s="189" t="s">
        <v>680</v>
      </c>
      <c r="M69" s="183" t="s">
        <v>681</v>
      </c>
      <c r="N69" s="184" t="s">
        <v>681</v>
      </c>
      <c r="O69" s="215"/>
      <c r="P69" s="228" t="s">
        <v>682</v>
      </c>
      <c r="Q69" s="215"/>
      <c r="R69" s="212" t="s">
        <v>38</v>
      </c>
      <c r="S69" s="213" t="s">
        <v>40</v>
      </c>
      <c r="T69" s="213" t="s">
        <v>43</v>
      </c>
      <c r="U69" s="213" t="s">
        <v>45</v>
      </c>
      <c r="V69" s="213" t="s">
        <v>47</v>
      </c>
      <c r="W69" s="213" t="s">
        <v>49</v>
      </c>
      <c r="X69" s="213" t="s">
        <v>51</v>
      </c>
      <c r="Y69" s="213" t="s">
        <v>52</v>
      </c>
      <c r="Z69" s="213" t="s">
        <v>54</v>
      </c>
      <c r="AA69" s="213" t="s">
        <v>55</v>
      </c>
      <c r="AB69" s="213" t="s">
        <v>56</v>
      </c>
      <c r="AC69" s="214" t="s">
        <v>57</v>
      </c>
      <c r="AD69" s="215"/>
      <c r="AE69" s="212" t="s">
        <v>38</v>
      </c>
      <c r="AF69" s="213" t="s">
        <v>40</v>
      </c>
      <c r="AG69" s="213" t="s">
        <v>43</v>
      </c>
      <c r="AH69" s="213" t="s">
        <v>45</v>
      </c>
      <c r="AI69" s="213" t="s">
        <v>47</v>
      </c>
      <c r="AJ69" s="213" t="s">
        <v>49</v>
      </c>
      <c r="AK69" s="213" t="s">
        <v>51</v>
      </c>
      <c r="AL69" s="213" t="s">
        <v>52</v>
      </c>
      <c r="AM69" s="213" t="s">
        <v>54</v>
      </c>
      <c r="AN69" s="213" t="s">
        <v>55</v>
      </c>
      <c r="AO69" s="213" t="s">
        <v>56</v>
      </c>
      <c r="AP69" s="214" t="s">
        <v>57</v>
      </c>
    </row>
    <row r="70" spans="1:42" x14ac:dyDescent="0.2">
      <c r="A70" s="180" t="s">
        <v>683</v>
      </c>
      <c r="B70" s="194"/>
      <c r="C70" s="181">
        <f>SUMIF(Auftragsplanung!$D$5:$Q$5,'DB I + DB II pro LC'!$A$120,Auftragsplanung!$D$18:$Q$18)</f>
        <v>0</v>
      </c>
      <c r="D70" s="199">
        <f t="shared" ref="D70:D80" si="48">IF(C70=0,0,F70/C70)</f>
        <v>0</v>
      </c>
      <c r="F70" s="205">
        <f>M70</f>
        <v>260000</v>
      </c>
      <c r="G70" s="218"/>
      <c r="H70" s="206">
        <f>HLOOKUP($B$2,$AE$69:$AP$80,2,FALSE)</f>
        <v>0</v>
      </c>
      <c r="I70" s="194"/>
      <c r="J70" s="182">
        <f>F70-H70</f>
        <v>260000</v>
      </c>
      <c r="L70" s="205">
        <v>200000</v>
      </c>
      <c r="M70" s="225">
        <v>260000</v>
      </c>
      <c r="N70" s="206">
        <f>M70-L70</f>
        <v>60000</v>
      </c>
      <c r="P70" s="229"/>
      <c r="R70" s="191">
        <f>SUMIF(Monatsplanung!$B$137:$B$150,'DB I + DB II pro LC'!$A$120,Monatsplanung!W$137:W$150)</f>
        <v>0</v>
      </c>
      <c r="S70" s="168">
        <f>SUMIF(Monatsplanung!$B$137:$B$150,'DB I + DB II pro LC'!$A$120,Monatsplanung!X$137:X$150)</f>
        <v>0</v>
      </c>
      <c r="T70" s="168">
        <f>SUMIF(Monatsplanung!$B$137:$B$150,'DB I + DB II pro LC'!$A$120,Monatsplanung!Y$137:Y$150)</f>
        <v>0</v>
      </c>
      <c r="U70" s="168">
        <f>SUMIF(Monatsplanung!$B$137:$B$150,'DB I + DB II pro LC'!$A$120,Monatsplanung!Z$137:Z$150)</f>
        <v>0</v>
      </c>
      <c r="V70" s="168">
        <f>SUMIF(Monatsplanung!$B$137:$B$150,'DB I + DB II pro LC'!$A$120,Monatsplanung!AA$137:AA$150)</f>
        <v>0</v>
      </c>
      <c r="W70" s="168">
        <f>SUMIF(Monatsplanung!$B$137:$B$150,'DB I + DB II pro LC'!$A$120,Monatsplanung!AB$137:AB$150)</f>
        <v>0</v>
      </c>
      <c r="X70" s="168">
        <f>SUMIF(Monatsplanung!$B$137:$B$150,'DB I + DB II pro LC'!$A$120,Monatsplanung!AC$137:AC$150)</f>
        <v>0</v>
      </c>
      <c r="Y70" s="168">
        <f>SUMIF(Monatsplanung!$B$137:$B$150,'DB I + DB II pro LC'!$A$120,Monatsplanung!AD$137:AD$150)</f>
        <v>0</v>
      </c>
      <c r="Z70" s="168">
        <f>SUMIF(Monatsplanung!$B$137:$B$150,'DB I + DB II pro LC'!$A$120,Monatsplanung!AE$137:AE$150)</f>
        <v>0</v>
      </c>
      <c r="AA70" s="168">
        <f>SUMIF(Monatsplanung!$B$137:$B$150,'DB I + DB II pro LC'!$A$120,Monatsplanung!AF$137:AF$150)</f>
        <v>0</v>
      </c>
      <c r="AB70" s="168">
        <f>SUMIF(Monatsplanung!$B$137:$B$150,'DB I + DB II pro LC'!$A$120,Monatsplanung!AG$137:AG$150)</f>
        <v>0</v>
      </c>
      <c r="AC70" s="169">
        <f>SUMIF(Monatsplanung!$B$137:$B$150,'DB I + DB II pro LC'!$A$120,Monatsplanung!AH$137:AH$150)</f>
        <v>0</v>
      </c>
      <c r="AE70" s="191">
        <f>SUM(R70)</f>
        <v>0</v>
      </c>
      <c r="AF70" s="168">
        <f>SUM(R70:S70)</f>
        <v>0</v>
      </c>
      <c r="AG70" s="168">
        <f>SUM(R70:T70)</f>
        <v>0</v>
      </c>
      <c r="AH70" s="168">
        <f>SUM(R70:U70)</f>
        <v>0</v>
      </c>
      <c r="AI70" s="168">
        <f>SUM(R70:V70)</f>
        <v>0</v>
      </c>
      <c r="AJ70" s="168">
        <f>SUM(R70:W70)</f>
        <v>0</v>
      </c>
      <c r="AK70" s="168">
        <f>SUM(R70:X70)</f>
        <v>0</v>
      </c>
      <c r="AL70" s="168">
        <f>SUM(R70:Y70)</f>
        <v>0</v>
      </c>
      <c r="AM70" s="168">
        <f>SUM(R70:Z70)</f>
        <v>0</v>
      </c>
      <c r="AN70" s="168">
        <f>SUM(R70:AA70)</f>
        <v>0</v>
      </c>
      <c r="AO70" s="168">
        <f>SUM(R70:AB70)</f>
        <v>0</v>
      </c>
      <c r="AP70" s="169">
        <f>SUM(R70:AC70)</f>
        <v>0</v>
      </c>
    </row>
    <row r="71" spans="1:42" x14ac:dyDescent="0.2">
      <c r="A71" s="177" t="s">
        <v>684</v>
      </c>
      <c r="B71" s="195"/>
      <c r="C71" s="168"/>
      <c r="D71" s="200">
        <f t="shared" si="48"/>
        <v>0</v>
      </c>
      <c r="F71" s="191">
        <f>M71</f>
        <v>5000</v>
      </c>
      <c r="G71" s="219"/>
      <c r="H71" s="169">
        <f>HLOOKUP($B$2,$AE$69:$AP$80,3,FALSE)</f>
        <v>0</v>
      </c>
      <c r="I71" s="195"/>
      <c r="J71" s="169">
        <f>F71-H71</f>
        <v>5000</v>
      </c>
      <c r="L71" s="191">
        <v>10000</v>
      </c>
      <c r="M71" s="226">
        <v>5000</v>
      </c>
      <c r="N71" s="169">
        <f t="shared" ref="N71:N80" si="49">M71-L71</f>
        <v>-5000</v>
      </c>
      <c r="P71" s="230"/>
      <c r="R71" s="191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9"/>
      <c r="AE71" s="191">
        <f>SUM(R71)</f>
        <v>0</v>
      </c>
      <c r="AF71" s="168">
        <f>SUM(R71:S71)</f>
        <v>0</v>
      </c>
      <c r="AG71" s="168">
        <f>SUM(R71:T71)</f>
        <v>0</v>
      </c>
      <c r="AH71" s="168">
        <f>SUM(R71:U71)</f>
        <v>0</v>
      </c>
      <c r="AI71" s="168">
        <f>SUM(R71:V71)</f>
        <v>0</v>
      </c>
      <c r="AJ71" s="168">
        <f>SUM(R71:W71)</f>
        <v>0</v>
      </c>
      <c r="AK71" s="168">
        <f>SUM(R71:X71)</f>
        <v>0</v>
      </c>
      <c r="AL71" s="168">
        <f>SUM(R71:Y71)</f>
        <v>0</v>
      </c>
      <c r="AM71" s="168">
        <f>SUM(R71:Z71)</f>
        <v>0</v>
      </c>
      <c r="AN71" s="168">
        <f>SUM(R71:AA71)</f>
        <v>0</v>
      </c>
      <c r="AO71" s="168">
        <f>SUM(R71:AB71)</f>
        <v>0</v>
      </c>
      <c r="AP71" s="169">
        <f>SUM(R71:AC71)</f>
        <v>0</v>
      </c>
    </row>
    <row r="72" spans="1:42" x14ac:dyDescent="0.2">
      <c r="A72" s="178" t="s">
        <v>366</v>
      </c>
      <c r="B72" s="196"/>
      <c r="C72" s="170">
        <f>C70+C71</f>
        <v>0</v>
      </c>
      <c r="D72" s="201">
        <f t="shared" si="48"/>
        <v>0</v>
      </c>
      <c r="F72" s="192">
        <f>F70+F71</f>
        <v>265000</v>
      </c>
      <c r="G72" s="220"/>
      <c r="H72" s="171">
        <f>H70+H71</f>
        <v>0</v>
      </c>
      <c r="I72" s="196"/>
      <c r="J72" s="171">
        <f>J70+J71</f>
        <v>265000</v>
      </c>
      <c r="K72" s="90"/>
      <c r="L72" s="192">
        <f>L70+L71</f>
        <v>210000</v>
      </c>
      <c r="M72" s="170">
        <f>M70+M71</f>
        <v>265000</v>
      </c>
      <c r="N72" s="171">
        <f t="shared" si="49"/>
        <v>55000</v>
      </c>
      <c r="O72" s="90"/>
      <c r="P72" s="231"/>
      <c r="Q72" s="90"/>
      <c r="R72" s="192">
        <f>R70+R71</f>
        <v>0</v>
      </c>
      <c r="S72" s="170">
        <f t="shared" ref="S72:AC72" si="50">S70+S71</f>
        <v>0</v>
      </c>
      <c r="T72" s="170">
        <f t="shared" si="50"/>
        <v>0</v>
      </c>
      <c r="U72" s="170">
        <f t="shared" si="50"/>
        <v>0</v>
      </c>
      <c r="V72" s="170">
        <f t="shared" si="50"/>
        <v>0</v>
      </c>
      <c r="W72" s="170">
        <f t="shared" si="50"/>
        <v>0</v>
      </c>
      <c r="X72" s="170">
        <f t="shared" si="50"/>
        <v>0</v>
      </c>
      <c r="Y72" s="170">
        <f t="shared" si="50"/>
        <v>0</v>
      </c>
      <c r="Z72" s="170">
        <f t="shared" si="50"/>
        <v>0</v>
      </c>
      <c r="AA72" s="170">
        <f t="shared" si="50"/>
        <v>0</v>
      </c>
      <c r="AB72" s="170">
        <f t="shared" si="50"/>
        <v>0</v>
      </c>
      <c r="AC72" s="171">
        <f t="shared" si="50"/>
        <v>0</v>
      </c>
      <c r="AD72" s="90"/>
      <c r="AE72" s="192">
        <f>AE70+AE71</f>
        <v>0</v>
      </c>
      <c r="AF72" s="170">
        <f t="shared" ref="AF72:AP72" si="51">AF70+AF71</f>
        <v>0</v>
      </c>
      <c r="AG72" s="170">
        <f t="shared" si="51"/>
        <v>0</v>
      </c>
      <c r="AH72" s="170">
        <f t="shared" si="51"/>
        <v>0</v>
      </c>
      <c r="AI72" s="170">
        <f t="shared" si="51"/>
        <v>0</v>
      </c>
      <c r="AJ72" s="170">
        <f t="shared" si="51"/>
        <v>0</v>
      </c>
      <c r="AK72" s="170">
        <f t="shared" si="51"/>
        <v>0</v>
      </c>
      <c r="AL72" s="170">
        <f t="shared" si="51"/>
        <v>0</v>
      </c>
      <c r="AM72" s="170">
        <f t="shared" si="51"/>
        <v>0</v>
      </c>
      <c r="AN72" s="170">
        <f t="shared" si="51"/>
        <v>0</v>
      </c>
      <c r="AO72" s="170">
        <f t="shared" si="51"/>
        <v>0</v>
      </c>
      <c r="AP72" s="171">
        <f t="shared" si="51"/>
        <v>0</v>
      </c>
    </row>
    <row r="73" spans="1:42" x14ac:dyDescent="0.2">
      <c r="A73" s="177" t="s">
        <v>685</v>
      </c>
      <c r="B73" s="195"/>
      <c r="C73" s="168">
        <f>SUMIF(Auftragsplanung!$D$5:$Q$5,'DB I + DB II pro LC'!$A$120,Auftragsplanung!$D$19:$Q$19)</f>
        <v>0</v>
      </c>
      <c r="D73" s="200">
        <f t="shared" si="48"/>
        <v>0</v>
      </c>
      <c r="F73" s="191">
        <f>M73</f>
        <v>110000</v>
      </c>
      <c r="G73" s="219"/>
      <c r="H73" s="169">
        <f>HLOOKUP($B$2,$AE$69:$AP$80,5,FALSE)</f>
        <v>0</v>
      </c>
      <c r="I73" s="195"/>
      <c r="J73" s="169">
        <f>F73-H73</f>
        <v>110000</v>
      </c>
      <c r="L73" s="191">
        <v>95000</v>
      </c>
      <c r="M73" s="226">
        <v>110000</v>
      </c>
      <c r="N73" s="169">
        <f t="shared" si="49"/>
        <v>15000</v>
      </c>
      <c r="P73" s="230"/>
      <c r="R73" s="191">
        <f>SUMIF(Monatsplanung!$B$137:$B$150,'DB I + DB II pro LC'!$A$120,Monatsplanung!W$160:W$173)</f>
        <v>0</v>
      </c>
      <c r="S73" s="168">
        <f>SUMIF(Monatsplanung!$B$137:$B$150,'DB I + DB II pro LC'!$A$120,Monatsplanung!X$160:X$173)</f>
        <v>0</v>
      </c>
      <c r="T73" s="168">
        <f>SUMIF(Monatsplanung!$B$137:$B$150,'DB I + DB II pro LC'!$A$120,Monatsplanung!Y$160:Y$173)</f>
        <v>0</v>
      </c>
      <c r="U73" s="168">
        <f>SUMIF(Monatsplanung!$B$137:$B$150,'DB I + DB II pro LC'!$A$120,Monatsplanung!Z$160:Z$173)</f>
        <v>0</v>
      </c>
      <c r="V73" s="168">
        <f>SUMIF(Monatsplanung!$B$137:$B$150,'DB I + DB II pro LC'!$A$120,Monatsplanung!AA$160:AA$173)</f>
        <v>0</v>
      </c>
      <c r="W73" s="168">
        <f>SUMIF(Monatsplanung!$B$137:$B$150,'DB I + DB II pro LC'!$A$120,Monatsplanung!AB$160:AB$173)</f>
        <v>0</v>
      </c>
      <c r="X73" s="168">
        <f>SUMIF(Monatsplanung!$B$137:$B$150,'DB I + DB II pro LC'!$A$120,Monatsplanung!AC$160:AC$173)</f>
        <v>0</v>
      </c>
      <c r="Y73" s="168">
        <f>SUMIF(Monatsplanung!$B$137:$B$150,'DB I + DB II pro LC'!$A$120,Monatsplanung!AD$160:AD$173)</f>
        <v>0</v>
      </c>
      <c r="Z73" s="168">
        <f>SUMIF(Monatsplanung!$B$137:$B$150,'DB I + DB II pro LC'!$A$120,Monatsplanung!AE$160:AE$173)</f>
        <v>0</v>
      </c>
      <c r="AA73" s="168">
        <f>SUMIF(Monatsplanung!$B$137:$B$150,'DB I + DB II pro LC'!$A$120,Monatsplanung!AF$160:AF$173)</f>
        <v>0</v>
      </c>
      <c r="AB73" s="168">
        <f>SUMIF(Monatsplanung!$B$137:$B$150,'DB I + DB II pro LC'!$A$120,Monatsplanung!AG$160:AG$173)</f>
        <v>0</v>
      </c>
      <c r="AC73" s="169">
        <f>SUMIF(Monatsplanung!$B$137:$B$150,'DB I + DB II pro LC'!$A$120,Monatsplanung!AH$160:AH$173)</f>
        <v>0</v>
      </c>
      <c r="AE73" s="191">
        <f>SUM(R73)</f>
        <v>0</v>
      </c>
      <c r="AF73" s="168">
        <f>SUM(R73:S73)</f>
        <v>0</v>
      </c>
      <c r="AG73" s="168">
        <f>SUM(R73:T73)</f>
        <v>0</v>
      </c>
      <c r="AH73" s="168">
        <f>SUM(R73:U73)</f>
        <v>0</v>
      </c>
      <c r="AI73" s="168">
        <f>SUM(R73:V73)</f>
        <v>0</v>
      </c>
      <c r="AJ73" s="168">
        <f>SUM(R73:W73)</f>
        <v>0</v>
      </c>
      <c r="AK73" s="168">
        <f>SUM(R73:X73)</f>
        <v>0</v>
      </c>
      <c r="AL73" s="168">
        <f>SUM(R73:Y73)</f>
        <v>0</v>
      </c>
      <c r="AM73" s="168">
        <f>SUM(R73:Z73)</f>
        <v>0</v>
      </c>
      <c r="AN73" s="168">
        <f>SUM(R73:AA73)</f>
        <v>0</v>
      </c>
      <c r="AO73" s="168">
        <f>SUM(R73:AB73)</f>
        <v>0</v>
      </c>
      <c r="AP73" s="169">
        <f>SUM(R73:AC73)</f>
        <v>0</v>
      </c>
    </row>
    <row r="74" spans="1:42" x14ac:dyDescent="0.2">
      <c r="A74" s="177" t="s">
        <v>686</v>
      </c>
      <c r="B74" s="190"/>
      <c r="C74" s="168">
        <f>SUMIF(Auftragsplanung!$D$5:$Q$5,'DB I + DB II pro LC'!$A$120,Auftragsplanung!$D$20:$Q$20)</f>
        <v>0</v>
      </c>
      <c r="D74" s="200">
        <f t="shared" si="48"/>
        <v>0</v>
      </c>
      <c r="F74" s="191">
        <f>M74</f>
        <v>2500</v>
      </c>
      <c r="G74" s="221"/>
      <c r="H74" s="169">
        <f>HLOOKUP($B$2,$AE$69:$AP$80,6,FALSE)</f>
        <v>0</v>
      </c>
      <c r="I74" s="190"/>
      <c r="J74" s="169">
        <f>F74-H74</f>
        <v>2500</v>
      </c>
      <c r="L74" s="191">
        <v>2000</v>
      </c>
      <c r="M74" s="226">
        <v>2500</v>
      </c>
      <c r="N74" s="169">
        <f t="shared" si="49"/>
        <v>500</v>
      </c>
      <c r="P74" s="232"/>
      <c r="R74" s="191">
        <f>SUMIF(Monatsplanung!$B$137:$B$150,'DB I + DB II pro LC'!$A$120,Monatsplanung!W$181:W$194)</f>
        <v>0</v>
      </c>
      <c r="S74" s="168">
        <f>SUMIF(Monatsplanung!$B$137:$B$150,'DB I + DB II pro LC'!$A$120,Monatsplanung!X$181:X$194)</f>
        <v>0</v>
      </c>
      <c r="T74" s="168">
        <f>SUMIF(Monatsplanung!$B$137:$B$150,'DB I + DB II pro LC'!$A$120,Monatsplanung!Y$181:Y$194)</f>
        <v>0</v>
      </c>
      <c r="U74" s="168">
        <f>SUMIF(Monatsplanung!$B$137:$B$150,'DB I + DB II pro LC'!$A$120,Monatsplanung!Z$181:Z$194)</f>
        <v>0</v>
      </c>
      <c r="V74" s="168">
        <f>SUMIF(Monatsplanung!$B$137:$B$150,'DB I + DB II pro LC'!$A$120,Monatsplanung!AA$181:AA$194)</f>
        <v>0</v>
      </c>
      <c r="W74" s="168">
        <f>SUMIF(Monatsplanung!$B$137:$B$150,'DB I + DB II pro LC'!$A$120,Monatsplanung!AB$181:AB$194)</f>
        <v>0</v>
      </c>
      <c r="X74" s="168">
        <f>SUMIF(Monatsplanung!$B$137:$B$150,'DB I + DB II pro LC'!$A$120,Monatsplanung!AC$181:AC$194)</f>
        <v>0</v>
      </c>
      <c r="Y74" s="168">
        <f>SUMIF(Monatsplanung!$B$137:$B$150,'DB I + DB II pro LC'!$A$120,Monatsplanung!AD$181:AD$194)</f>
        <v>0</v>
      </c>
      <c r="Z74" s="168">
        <f>SUMIF(Monatsplanung!$B$137:$B$150,'DB I + DB II pro LC'!$A$120,Monatsplanung!AE$181:AE$194)</f>
        <v>0</v>
      </c>
      <c r="AA74" s="168">
        <f>SUMIF(Monatsplanung!$B$137:$B$150,'DB I + DB II pro LC'!$A$120,Monatsplanung!AF$181:AF$194)</f>
        <v>0</v>
      </c>
      <c r="AB74" s="168">
        <f>SUMIF(Monatsplanung!$B$137:$B$150,'DB I + DB II pro LC'!$A$120,Monatsplanung!AG$181:AG$194)</f>
        <v>0</v>
      </c>
      <c r="AC74" s="169">
        <f>SUMIF(Monatsplanung!$B$137:$B$150,'DB I + DB II pro LC'!$A$120,Monatsplanung!AH$181:AH$194)</f>
        <v>0</v>
      </c>
      <c r="AE74" s="191">
        <f>SUM(R74)</f>
        <v>0</v>
      </c>
      <c r="AF74" s="168">
        <f>SUM(R74:S74)</f>
        <v>0</v>
      </c>
      <c r="AG74" s="168">
        <f>SUM(R74:T74)</f>
        <v>0</v>
      </c>
      <c r="AH74" s="168">
        <f>SUM(R74:U74)</f>
        <v>0</v>
      </c>
      <c r="AI74" s="168">
        <f>SUM(R74:V74)</f>
        <v>0</v>
      </c>
      <c r="AJ74" s="168">
        <f>SUM(R74:W74)</f>
        <v>0</v>
      </c>
      <c r="AK74" s="168">
        <f>SUM(R74:X74)</f>
        <v>0</v>
      </c>
      <c r="AL74" s="168">
        <f>SUM(R74:Y74)</f>
        <v>0</v>
      </c>
      <c r="AM74" s="168">
        <f>SUM(R74:Z74)</f>
        <v>0</v>
      </c>
      <c r="AN74" s="168">
        <f>SUM(R74:AA74)</f>
        <v>0</v>
      </c>
      <c r="AO74" s="168">
        <f>SUM(R74:AB74)</f>
        <v>0</v>
      </c>
      <c r="AP74" s="169">
        <f>SUM(R74:AC74)</f>
        <v>0</v>
      </c>
    </row>
    <row r="75" spans="1:42" x14ac:dyDescent="0.2">
      <c r="A75" s="178" t="s">
        <v>368</v>
      </c>
      <c r="B75" s="192">
        <f>Kostenverteilung!R43</f>
        <v>0</v>
      </c>
      <c r="C75" s="170">
        <f>C72-C73-C74</f>
        <v>0</v>
      </c>
      <c r="D75" s="201">
        <f t="shared" si="48"/>
        <v>0</v>
      </c>
      <c r="F75" s="192">
        <f>F72-F73-F74</f>
        <v>152500</v>
      </c>
      <c r="G75" s="222">
        <f>$P75*$B$1</f>
        <v>0</v>
      </c>
      <c r="H75" s="171">
        <f>H72-H73-H74</f>
        <v>0</v>
      </c>
      <c r="I75" s="175">
        <f>F75-G75</f>
        <v>152500</v>
      </c>
      <c r="J75" s="171">
        <f>J72-J73-J74</f>
        <v>152500</v>
      </c>
      <c r="K75" s="90"/>
      <c r="L75" s="192">
        <f>L72-L73-L74</f>
        <v>113000</v>
      </c>
      <c r="M75" s="170">
        <f>M72-M73-M74</f>
        <v>152500</v>
      </c>
      <c r="N75" s="171">
        <f t="shared" si="49"/>
        <v>39500</v>
      </c>
      <c r="O75" s="90"/>
      <c r="P75" s="233">
        <f>B75/12</f>
        <v>0</v>
      </c>
      <c r="Q75" s="90"/>
      <c r="R75" s="192">
        <f>R72-R73-R74</f>
        <v>0</v>
      </c>
      <c r="S75" s="170">
        <f t="shared" ref="S75:AC75" si="52">S72-S73-S74</f>
        <v>0</v>
      </c>
      <c r="T75" s="170">
        <f t="shared" si="52"/>
        <v>0</v>
      </c>
      <c r="U75" s="170">
        <f t="shared" si="52"/>
        <v>0</v>
      </c>
      <c r="V75" s="170">
        <f t="shared" si="52"/>
        <v>0</v>
      </c>
      <c r="W75" s="170">
        <f t="shared" si="52"/>
        <v>0</v>
      </c>
      <c r="X75" s="170">
        <f t="shared" si="52"/>
        <v>0</v>
      </c>
      <c r="Y75" s="170">
        <f t="shared" si="52"/>
        <v>0</v>
      </c>
      <c r="Z75" s="170">
        <f t="shared" si="52"/>
        <v>0</v>
      </c>
      <c r="AA75" s="170">
        <f t="shared" si="52"/>
        <v>0</v>
      </c>
      <c r="AB75" s="170">
        <f t="shared" si="52"/>
        <v>0</v>
      </c>
      <c r="AC75" s="171">
        <f t="shared" si="52"/>
        <v>0</v>
      </c>
      <c r="AD75" s="90"/>
      <c r="AE75" s="192">
        <f>AE72-AE73-AE74</f>
        <v>0</v>
      </c>
      <c r="AF75" s="170">
        <f t="shared" ref="AF75:AP75" si="53">AF72-AF73-AF74</f>
        <v>0</v>
      </c>
      <c r="AG75" s="170">
        <f t="shared" si="53"/>
        <v>0</v>
      </c>
      <c r="AH75" s="170">
        <f t="shared" si="53"/>
        <v>0</v>
      </c>
      <c r="AI75" s="170">
        <f t="shared" si="53"/>
        <v>0</v>
      </c>
      <c r="AJ75" s="170">
        <f t="shared" si="53"/>
        <v>0</v>
      </c>
      <c r="AK75" s="170">
        <f t="shared" si="53"/>
        <v>0</v>
      </c>
      <c r="AL75" s="170">
        <f t="shared" si="53"/>
        <v>0</v>
      </c>
      <c r="AM75" s="170">
        <f t="shared" si="53"/>
        <v>0</v>
      </c>
      <c r="AN75" s="170">
        <f t="shared" si="53"/>
        <v>0</v>
      </c>
      <c r="AO75" s="170">
        <f t="shared" si="53"/>
        <v>0</v>
      </c>
      <c r="AP75" s="171">
        <f t="shared" si="53"/>
        <v>0</v>
      </c>
    </row>
    <row r="76" spans="1:42" x14ac:dyDescent="0.2">
      <c r="A76" s="177" t="s">
        <v>687</v>
      </c>
      <c r="B76" s="191">
        <f>Kostenverteilung!R45</f>
        <v>0</v>
      </c>
      <c r="C76" s="168">
        <f>Kostenverteilung!R45</f>
        <v>0</v>
      </c>
      <c r="D76" s="200">
        <f t="shared" si="48"/>
        <v>0</v>
      </c>
      <c r="F76" s="191">
        <f>M76</f>
        <v>550</v>
      </c>
      <c r="G76" s="223">
        <f>$P76*$B$1</f>
        <v>0</v>
      </c>
      <c r="H76" s="217">
        <f>HLOOKUP($B$2,$AE$69:$AP$80,8,FALSE)</f>
        <v>0</v>
      </c>
      <c r="I76" s="174">
        <f>F76-G76</f>
        <v>550</v>
      </c>
      <c r="J76" s="169">
        <f>F76-H76</f>
        <v>550</v>
      </c>
      <c r="L76" s="191">
        <v>450</v>
      </c>
      <c r="M76" s="226">
        <v>550</v>
      </c>
      <c r="N76" s="169">
        <f t="shared" si="49"/>
        <v>100</v>
      </c>
      <c r="P76" s="234">
        <f>B76/12</f>
        <v>0</v>
      </c>
      <c r="R76" s="191">
        <f>IF(ISERROR(Mitarbeiterverteilung!$AJ$107*R70/SUM($R$72:$AC$72)),0,Mitarbeiterverteilung!$AJ$107*R70/SUM($R$72:$AC$72))</f>
        <v>0</v>
      </c>
      <c r="S76" s="168">
        <f>IF(ISERROR(Mitarbeiterverteilung!$AJ$107*S70/SUM($R$72:$AC$72)),0,Mitarbeiterverteilung!$AJ$107*S70/SUM($R$72:$AC$72))</f>
        <v>0</v>
      </c>
      <c r="T76" s="168">
        <f>IF(ISERROR(Mitarbeiterverteilung!$AJ$107*T70/SUM($R$72:$AC$72)),0,Mitarbeiterverteilung!$AJ$107*T70/SUM($R$72:$AC$72))</f>
        <v>0</v>
      </c>
      <c r="U76" s="168">
        <f>IF(ISERROR(Mitarbeiterverteilung!$AJ$107*U70/SUM($R$72:$AC$72)),0,Mitarbeiterverteilung!$AJ$107*U70/SUM($R$72:$AC$72))</f>
        <v>0</v>
      </c>
      <c r="V76" s="168">
        <f>IF(ISERROR(Mitarbeiterverteilung!$AJ$107*V70/SUM($R$72:$AC$72)),0,Mitarbeiterverteilung!$AJ$107*V70/SUM($R$72:$AC$72))</f>
        <v>0</v>
      </c>
      <c r="W76" s="168">
        <f>IF(ISERROR(Mitarbeiterverteilung!$AJ$107*W70/SUM($R$72:$AC$72)),0,Mitarbeiterverteilung!$AJ$107*W70/SUM($R$72:$AC$72))</f>
        <v>0</v>
      </c>
      <c r="X76" s="168">
        <f>IF(ISERROR(Mitarbeiterverteilung!$AJ$107*X70/SUM($R$72:$AC$72)),0,Mitarbeiterverteilung!$AJ$107*X70/SUM($R$72:$AC$72))</f>
        <v>0</v>
      </c>
      <c r="Y76" s="168">
        <f>IF(ISERROR(Mitarbeiterverteilung!$AJ$107*Y70/SUM($R$72:$AC$72)),0,Mitarbeiterverteilung!$AJ$107*Y70/SUM($R$72:$AC$72))</f>
        <v>0</v>
      </c>
      <c r="Z76" s="168">
        <f>IF(ISERROR(Mitarbeiterverteilung!$AJ$107*Z70/SUM($R$72:$AC$72)),0,Mitarbeiterverteilung!$AJ$107*Z70/SUM($R$72:$AC$72))</f>
        <v>0</v>
      </c>
      <c r="AA76" s="168">
        <f>IF(ISERROR(Mitarbeiterverteilung!$AJ$107*AA70/SUM($R$72:$AC$72)),0,Mitarbeiterverteilung!$AJ$107*AA70/SUM($R$72:$AC$72))</f>
        <v>0</v>
      </c>
      <c r="AB76" s="168">
        <f>IF(ISERROR(Mitarbeiterverteilung!$AJ$107*AB70/SUM($R$72:$AC$72)),0,Mitarbeiterverteilung!$AJ$107*AB70/SUM($R$72:$AC$72))</f>
        <v>0</v>
      </c>
      <c r="AC76" s="169">
        <f>IF(ISERROR(Mitarbeiterverteilung!$AJ$107*AC70/SUM($R$72:$AC$72)),0,Mitarbeiterverteilung!$AJ$107*AC70/SUM($R$72:$AC$72))</f>
        <v>0</v>
      </c>
      <c r="AE76" s="191">
        <f>SUM(R76)</f>
        <v>0</v>
      </c>
      <c r="AF76" s="168">
        <f>SUM(R76:S76)</f>
        <v>0</v>
      </c>
      <c r="AG76" s="168">
        <f>SUM(R76:T76)</f>
        <v>0</v>
      </c>
      <c r="AH76" s="168">
        <f>SUM(R76:U76)</f>
        <v>0</v>
      </c>
      <c r="AI76" s="168">
        <f>SUM(R76:V76)</f>
        <v>0</v>
      </c>
      <c r="AJ76" s="168">
        <f>SUM(R76:W76)</f>
        <v>0</v>
      </c>
      <c r="AK76" s="168">
        <f>SUM(R76:X76)</f>
        <v>0</v>
      </c>
      <c r="AL76" s="168">
        <f>SUM(R76:Y76)</f>
        <v>0</v>
      </c>
      <c r="AM76" s="168">
        <f>SUM(R76:Z76)</f>
        <v>0</v>
      </c>
      <c r="AN76" s="168">
        <f>SUM(R76:AA76)</f>
        <v>0</v>
      </c>
      <c r="AO76" s="168">
        <f>SUM(R76:AB76)</f>
        <v>0</v>
      </c>
      <c r="AP76" s="169">
        <f>SUM(R76:AC76)</f>
        <v>0</v>
      </c>
    </row>
    <row r="77" spans="1:42" x14ac:dyDescent="0.2">
      <c r="A77" s="178" t="s">
        <v>688</v>
      </c>
      <c r="B77" s="192">
        <f>IF(B76=0,0,B75/B76)</f>
        <v>0</v>
      </c>
      <c r="C77" s="170" t="e">
        <f>C75/C76</f>
        <v>#DIV/0!</v>
      </c>
      <c r="D77" s="201" t="e">
        <f t="shared" si="48"/>
        <v>#DIV/0!</v>
      </c>
      <c r="F77" s="192">
        <f>IF(F76=0,0,F75/F76)</f>
        <v>277.27272727272725</v>
      </c>
      <c r="G77" s="222">
        <f>IF(G76=0,0,G75/G76)</f>
        <v>0</v>
      </c>
      <c r="H77" s="171">
        <f>IF(H76=0,0,H75/H76)</f>
        <v>0</v>
      </c>
      <c r="I77" s="175">
        <f>IF(I76=0,0,I75/I76)</f>
        <v>277.27272727272725</v>
      </c>
      <c r="J77" s="171">
        <f>IF(J76=0,0,J75/J76)</f>
        <v>277.27272727272725</v>
      </c>
      <c r="K77" s="90"/>
      <c r="L77" s="192">
        <f>IF(L76=0,0,L75/L76)</f>
        <v>251.11111111111111</v>
      </c>
      <c r="M77" s="170">
        <f>IF(M76=0,0,M75/M76)</f>
        <v>277.27272727272725</v>
      </c>
      <c r="N77" s="171">
        <f t="shared" si="49"/>
        <v>26.161616161616138</v>
      </c>
      <c r="O77" s="90"/>
      <c r="P77" s="233">
        <f>IF(P76=0,0,P75/P76)</f>
        <v>0</v>
      </c>
      <c r="Q77" s="90"/>
      <c r="R77" s="192">
        <f>IF(R76=0,0,R75/R76)</f>
        <v>0</v>
      </c>
      <c r="S77" s="170">
        <f t="shared" ref="S77:AC77" si="54">IF(S76=0,0,S75/S76)</f>
        <v>0</v>
      </c>
      <c r="T77" s="170">
        <f t="shared" si="54"/>
        <v>0</v>
      </c>
      <c r="U77" s="170">
        <f t="shared" si="54"/>
        <v>0</v>
      </c>
      <c r="V77" s="170">
        <f t="shared" si="54"/>
        <v>0</v>
      </c>
      <c r="W77" s="170">
        <f t="shared" si="54"/>
        <v>0</v>
      </c>
      <c r="X77" s="170">
        <f t="shared" si="54"/>
        <v>0</v>
      </c>
      <c r="Y77" s="170">
        <f t="shared" si="54"/>
        <v>0</v>
      </c>
      <c r="Z77" s="170">
        <f t="shared" si="54"/>
        <v>0</v>
      </c>
      <c r="AA77" s="170">
        <f t="shared" si="54"/>
        <v>0</v>
      </c>
      <c r="AB77" s="170">
        <f t="shared" si="54"/>
        <v>0</v>
      </c>
      <c r="AC77" s="171">
        <f t="shared" si="54"/>
        <v>0</v>
      </c>
      <c r="AD77" s="90"/>
      <c r="AE77" s="192">
        <f>IF(AE76=0,0,AE75/AE76)</f>
        <v>0</v>
      </c>
      <c r="AF77" s="170">
        <f t="shared" ref="AF77:AP77" si="55">IF(AF76=0,0,AF75/AF76)</f>
        <v>0</v>
      </c>
      <c r="AG77" s="170">
        <f t="shared" si="55"/>
        <v>0</v>
      </c>
      <c r="AH77" s="170">
        <f t="shared" si="55"/>
        <v>0</v>
      </c>
      <c r="AI77" s="170">
        <f t="shared" si="55"/>
        <v>0</v>
      </c>
      <c r="AJ77" s="170">
        <f t="shared" si="55"/>
        <v>0</v>
      </c>
      <c r="AK77" s="170">
        <f t="shared" si="55"/>
        <v>0</v>
      </c>
      <c r="AL77" s="170">
        <f t="shared" si="55"/>
        <v>0</v>
      </c>
      <c r="AM77" s="170">
        <f t="shared" si="55"/>
        <v>0</v>
      </c>
      <c r="AN77" s="170">
        <f t="shared" si="55"/>
        <v>0</v>
      </c>
      <c r="AO77" s="170">
        <f t="shared" si="55"/>
        <v>0</v>
      </c>
      <c r="AP77" s="171">
        <f t="shared" si="55"/>
        <v>0</v>
      </c>
    </row>
    <row r="78" spans="1:42" x14ac:dyDescent="0.2">
      <c r="A78" s="177" t="s">
        <v>689</v>
      </c>
      <c r="B78" s="191">
        <f>Kostenverteilung!R49*B76</f>
        <v>0</v>
      </c>
      <c r="C78" s="168">
        <f>Kostenverteilung!R23</f>
        <v>0</v>
      </c>
      <c r="D78" s="200">
        <f t="shared" si="48"/>
        <v>0</v>
      </c>
      <c r="F78" s="191">
        <f>M78</f>
        <v>17000</v>
      </c>
      <c r="G78" s="223">
        <f>$P78*$B$1</f>
        <v>0</v>
      </c>
      <c r="H78" s="217">
        <f>HLOOKUP($B$2,$AE$69:$AP$80,10,FALSE)</f>
        <v>0</v>
      </c>
      <c r="I78" s="174">
        <f>F78-G78</f>
        <v>17000</v>
      </c>
      <c r="J78" s="169">
        <f>F78-H78</f>
        <v>17000</v>
      </c>
      <c r="L78" s="191">
        <v>15000</v>
      </c>
      <c r="M78" s="226">
        <v>17000</v>
      </c>
      <c r="N78" s="169">
        <f t="shared" si="49"/>
        <v>2000</v>
      </c>
      <c r="P78" s="234">
        <f>B78/12</f>
        <v>0</v>
      </c>
      <c r="R78" s="191">
        <f>IF(ISERROR(Mitarbeiterverteilung!$Y$107*R70/SUM($R$72:$AC$72)),0,Mitarbeiterverteilung!$Y$107*R70/SUM($R$72:$AC$72))</f>
        <v>0</v>
      </c>
      <c r="S78" s="168">
        <f>IF(ISERROR(Mitarbeiterverteilung!$Y$107*S70/SUM($R$72:$AC$72)),0,Mitarbeiterverteilung!$Y$107*S70/SUM($R$72:$AC$72))</f>
        <v>0</v>
      </c>
      <c r="T78" s="168">
        <f>IF(ISERROR(Mitarbeiterverteilung!$Y$107*T70/SUM($R$72:$AC$72)),0,Mitarbeiterverteilung!$Y$107*T70/SUM($R$72:$AC$72))</f>
        <v>0</v>
      </c>
      <c r="U78" s="168">
        <f>IF(ISERROR(Mitarbeiterverteilung!$Y$107*U70/SUM($R$72:$AC$72)),0,Mitarbeiterverteilung!$Y$107*U70/SUM($R$72:$AC$72))</f>
        <v>0</v>
      </c>
      <c r="V78" s="168">
        <f>IF(ISERROR(Mitarbeiterverteilung!$Y$107*V70/SUM($R$72:$AC$72)),0,Mitarbeiterverteilung!$Y$107*V70/SUM($R$72:$AC$72))</f>
        <v>0</v>
      </c>
      <c r="W78" s="168">
        <f>IF(ISERROR(Mitarbeiterverteilung!$Y$107*W70/SUM($R$72:$AC$72)),0,Mitarbeiterverteilung!$Y$107*W70/SUM($R$72:$AC$72))</f>
        <v>0</v>
      </c>
      <c r="X78" s="168">
        <f>IF(ISERROR(Mitarbeiterverteilung!$Y$107*X70/SUM($R$72:$AC$72)),0,Mitarbeiterverteilung!$Y$107*X70/SUM($R$72:$AC$72))</f>
        <v>0</v>
      </c>
      <c r="Y78" s="168">
        <f>IF(ISERROR(Mitarbeiterverteilung!$Y$107*Y70/SUM($R$72:$AC$72)),0,Mitarbeiterverteilung!$Y$107*Y70/SUM($R$72:$AC$72))</f>
        <v>0</v>
      </c>
      <c r="Z78" s="168">
        <f>IF(ISERROR(Mitarbeiterverteilung!$Y$107*Z70/SUM($R$72:$AC$72)),0,Mitarbeiterverteilung!$Y$107*Z70/SUM($R$72:$AC$72))</f>
        <v>0</v>
      </c>
      <c r="AA78" s="168">
        <f>IF(ISERROR(Mitarbeiterverteilung!$Y$107*AA70/SUM($R$72:$AC$72)),0,Mitarbeiterverteilung!$Y$107*AA70/SUM($R$72:$AC$72))</f>
        <v>0</v>
      </c>
      <c r="AB78" s="168">
        <f>IF(ISERROR(Mitarbeiterverteilung!$Y$107*AB70/SUM($R$72:$AC$72)),0,Mitarbeiterverteilung!$Y$107*AB70/SUM($R$72:$AC$72))</f>
        <v>0</v>
      </c>
      <c r="AC78" s="169">
        <f>IF(ISERROR(Mitarbeiterverteilung!$Y$107*AC70/SUM($R$72:$AC$72)),0,Mitarbeiterverteilung!$Y$107*AC70/SUM($R$72:$AC$72))</f>
        <v>0</v>
      </c>
      <c r="AE78" s="191">
        <f>SUM(R78)</f>
        <v>0</v>
      </c>
      <c r="AF78" s="168">
        <f>SUM(R78:S78)</f>
        <v>0</v>
      </c>
      <c r="AG78" s="168">
        <f>SUM(R78:T78)</f>
        <v>0</v>
      </c>
      <c r="AH78" s="168">
        <f>SUM(R78:U78)</f>
        <v>0</v>
      </c>
      <c r="AI78" s="168">
        <f>SUM(R78:V78)</f>
        <v>0</v>
      </c>
      <c r="AJ78" s="168">
        <f>SUM(R78:W78)</f>
        <v>0</v>
      </c>
      <c r="AK78" s="168">
        <f>SUM(R78:X78)</f>
        <v>0</v>
      </c>
      <c r="AL78" s="168">
        <f>SUM(R78:Y78)</f>
        <v>0</v>
      </c>
      <c r="AM78" s="168">
        <f>SUM(R78:Z78)</f>
        <v>0</v>
      </c>
      <c r="AN78" s="168">
        <f>SUM(R78:AA78)</f>
        <v>0</v>
      </c>
      <c r="AO78" s="168">
        <f>SUM(R78:AB78)</f>
        <v>0</v>
      </c>
      <c r="AP78" s="169">
        <f>SUM(R78:AC78)</f>
        <v>0</v>
      </c>
    </row>
    <row r="79" spans="1:42" x14ac:dyDescent="0.2">
      <c r="A79" s="178" t="s">
        <v>690</v>
      </c>
      <c r="B79" s="192">
        <f>B75-B78</f>
        <v>0</v>
      </c>
      <c r="C79" s="170">
        <f>C75-C78</f>
        <v>0</v>
      </c>
      <c r="D79" s="201">
        <f t="shared" si="48"/>
        <v>0</v>
      </c>
      <c r="F79" s="192">
        <f>F75-F78</f>
        <v>135500</v>
      </c>
      <c r="G79" s="222">
        <f>G75-G78</f>
        <v>0</v>
      </c>
      <c r="H79" s="171">
        <f>H75-H78</f>
        <v>0</v>
      </c>
      <c r="I79" s="175">
        <f>I75-I78</f>
        <v>135500</v>
      </c>
      <c r="J79" s="171">
        <f>J75-J78</f>
        <v>135500</v>
      </c>
      <c r="K79" s="90"/>
      <c r="L79" s="192">
        <f>L75-L78</f>
        <v>98000</v>
      </c>
      <c r="M79" s="170">
        <f>M75-M78</f>
        <v>135500</v>
      </c>
      <c r="N79" s="171">
        <f t="shared" si="49"/>
        <v>37500</v>
      </c>
      <c r="O79" s="90"/>
      <c r="P79" s="233">
        <f>P75-P78</f>
        <v>0</v>
      </c>
      <c r="Q79" s="90"/>
      <c r="R79" s="192">
        <f>R75-R78</f>
        <v>0</v>
      </c>
      <c r="S79" s="170">
        <f t="shared" ref="S79:AC79" si="56">S75-S78</f>
        <v>0</v>
      </c>
      <c r="T79" s="170">
        <f t="shared" si="56"/>
        <v>0</v>
      </c>
      <c r="U79" s="170">
        <f t="shared" si="56"/>
        <v>0</v>
      </c>
      <c r="V79" s="170">
        <f t="shared" si="56"/>
        <v>0</v>
      </c>
      <c r="W79" s="170">
        <f t="shared" si="56"/>
        <v>0</v>
      </c>
      <c r="X79" s="170">
        <f t="shared" si="56"/>
        <v>0</v>
      </c>
      <c r="Y79" s="170">
        <f t="shared" si="56"/>
        <v>0</v>
      </c>
      <c r="Z79" s="170">
        <f t="shared" si="56"/>
        <v>0</v>
      </c>
      <c r="AA79" s="170">
        <f t="shared" si="56"/>
        <v>0</v>
      </c>
      <c r="AB79" s="170">
        <f t="shared" si="56"/>
        <v>0</v>
      </c>
      <c r="AC79" s="171">
        <f t="shared" si="56"/>
        <v>0</v>
      </c>
      <c r="AD79" s="90"/>
      <c r="AE79" s="192">
        <f>AE75-AE78</f>
        <v>0</v>
      </c>
      <c r="AF79" s="170">
        <f t="shared" ref="AF79:AP79" si="57">AF75-AF78</f>
        <v>0</v>
      </c>
      <c r="AG79" s="170">
        <f t="shared" si="57"/>
        <v>0</v>
      </c>
      <c r="AH79" s="170">
        <f t="shared" si="57"/>
        <v>0</v>
      </c>
      <c r="AI79" s="170">
        <f t="shared" si="57"/>
        <v>0</v>
      </c>
      <c r="AJ79" s="170">
        <f t="shared" si="57"/>
        <v>0</v>
      </c>
      <c r="AK79" s="170">
        <f t="shared" si="57"/>
        <v>0</v>
      </c>
      <c r="AL79" s="170">
        <f t="shared" si="57"/>
        <v>0</v>
      </c>
      <c r="AM79" s="170">
        <f t="shared" si="57"/>
        <v>0</v>
      </c>
      <c r="AN79" s="170">
        <f t="shared" si="57"/>
        <v>0</v>
      </c>
      <c r="AO79" s="170">
        <f t="shared" si="57"/>
        <v>0</v>
      </c>
      <c r="AP79" s="171">
        <f t="shared" si="57"/>
        <v>0</v>
      </c>
    </row>
    <row r="80" spans="1:42" x14ac:dyDescent="0.2">
      <c r="A80" s="179" t="s">
        <v>691</v>
      </c>
      <c r="B80" s="193">
        <f>IF(B76=0,0,B79/B76)</f>
        <v>0</v>
      </c>
      <c r="C80" s="172" t="e">
        <f>C79/C76</f>
        <v>#DIV/0!</v>
      </c>
      <c r="D80" s="202" t="e">
        <f t="shared" si="48"/>
        <v>#DIV/0!</v>
      </c>
      <c r="F80" s="193">
        <f>IF(F76=0,0,F79/F76)</f>
        <v>246.36363636363637</v>
      </c>
      <c r="G80" s="224">
        <f>IF(G76=0,0,G79/G76)</f>
        <v>0</v>
      </c>
      <c r="H80" s="173">
        <f>IF(H76=0,0,H79/H76)</f>
        <v>0</v>
      </c>
      <c r="I80" s="176">
        <f>IF(I76=0,0,I79/I76)</f>
        <v>246.36363636363637</v>
      </c>
      <c r="J80" s="173">
        <f>IF(J76=0,0,J79/J76)</f>
        <v>246.36363636363637</v>
      </c>
      <c r="K80" s="90"/>
      <c r="L80" s="193">
        <f>IF(L76=0,0,L79/L76)</f>
        <v>217.77777777777777</v>
      </c>
      <c r="M80" s="172">
        <f>IF(M76=0,0,M79/M76)</f>
        <v>246.36363636363637</v>
      </c>
      <c r="N80" s="173">
        <f t="shared" si="49"/>
        <v>28.585858585858603</v>
      </c>
      <c r="O80" s="90"/>
      <c r="P80" s="235">
        <f>IF(P76=0,0,P79/P76)</f>
        <v>0</v>
      </c>
      <c r="Q80" s="90"/>
      <c r="R80" s="193">
        <f>IF(R76=0,0,R79/R76)</f>
        <v>0</v>
      </c>
      <c r="S80" s="172">
        <f t="shared" ref="S80:AC80" si="58">IF(S76=0,0,S79/S76)</f>
        <v>0</v>
      </c>
      <c r="T80" s="172">
        <f t="shared" si="58"/>
        <v>0</v>
      </c>
      <c r="U80" s="172">
        <f t="shared" si="58"/>
        <v>0</v>
      </c>
      <c r="V80" s="172">
        <f t="shared" si="58"/>
        <v>0</v>
      </c>
      <c r="W80" s="172">
        <f t="shared" si="58"/>
        <v>0</v>
      </c>
      <c r="X80" s="172">
        <f t="shared" si="58"/>
        <v>0</v>
      </c>
      <c r="Y80" s="172">
        <f t="shared" si="58"/>
        <v>0</v>
      </c>
      <c r="Z80" s="172">
        <f t="shared" si="58"/>
        <v>0</v>
      </c>
      <c r="AA80" s="172">
        <f t="shared" si="58"/>
        <v>0</v>
      </c>
      <c r="AB80" s="172">
        <f t="shared" si="58"/>
        <v>0</v>
      </c>
      <c r="AC80" s="173">
        <f t="shared" si="58"/>
        <v>0</v>
      </c>
      <c r="AD80" s="90"/>
      <c r="AE80" s="193">
        <f>IF(AE76=0,0,AE79/AE76)</f>
        <v>0</v>
      </c>
      <c r="AF80" s="172">
        <f t="shared" ref="AF80:AP80" si="59">IF(AF76=0,0,AF79/AF76)</f>
        <v>0</v>
      </c>
      <c r="AG80" s="172">
        <f t="shared" si="59"/>
        <v>0</v>
      </c>
      <c r="AH80" s="172">
        <f t="shared" si="59"/>
        <v>0</v>
      </c>
      <c r="AI80" s="172">
        <f t="shared" si="59"/>
        <v>0</v>
      </c>
      <c r="AJ80" s="172">
        <f t="shared" si="59"/>
        <v>0</v>
      </c>
      <c r="AK80" s="172">
        <f t="shared" si="59"/>
        <v>0</v>
      </c>
      <c r="AL80" s="172">
        <f t="shared" si="59"/>
        <v>0</v>
      </c>
      <c r="AM80" s="172">
        <f t="shared" si="59"/>
        <v>0</v>
      </c>
      <c r="AN80" s="172">
        <f t="shared" si="59"/>
        <v>0</v>
      </c>
      <c r="AO80" s="172">
        <f t="shared" si="59"/>
        <v>0</v>
      </c>
      <c r="AP80" s="173">
        <f t="shared" si="59"/>
        <v>0</v>
      </c>
    </row>
    <row r="84" spans="1:42" x14ac:dyDescent="0.2">
      <c r="A84" s="186"/>
      <c r="B84" s="1515" t="str">
        <f>CONCATENATE(Auftragsplanung!$A$10," ",$A$1)</f>
        <v xml:space="preserve"> (pro Jahr)</v>
      </c>
      <c r="C84" s="1516"/>
      <c r="D84" s="1517"/>
      <c r="F84" s="216" t="s">
        <v>669</v>
      </c>
      <c r="G84" s="203" t="s">
        <v>670</v>
      </c>
      <c r="H84" s="204" t="s">
        <v>671</v>
      </c>
      <c r="I84" s="237" t="s">
        <v>672</v>
      </c>
      <c r="J84" s="238" t="s">
        <v>673</v>
      </c>
      <c r="K84" s="90"/>
      <c r="L84" s="167" t="s">
        <v>674</v>
      </c>
      <c r="M84" s="203" t="s">
        <v>674</v>
      </c>
      <c r="N84" s="204" t="s">
        <v>675</v>
      </c>
      <c r="O84" s="90"/>
      <c r="P84" s="227" t="s">
        <v>676</v>
      </c>
      <c r="Q84" s="90"/>
      <c r="R84" s="1509" t="s">
        <v>671</v>
      </c>
      <c r="S84" s="1510"/>
      <c r="T84" s="1510"/>
      <c r="U84" s="1510"/>
      <c r="V84" s="1510"/>
      <c r="W84" s="1510"/>
      <c r="X84" s="1510"/>
      <c r="Y84" s="1510"/>
      <c r="Z84" s="1510"/>
      <c r="AA84" s="1510"/>
      <c r="AB84" s="1510"/>
      <c r="AC84" s="1511"/>
      <c r="AD84" s="90"/>
      <c r="AE84" s="1509" t="s">
        <v>677</v>
      </c>
      <c r="AF84" s="1510"/>
      <c r="AG84" s="1510"/>
      <c r="AH84" s="1510"/>
      <c r="AI84" s="1510"/>
      <c r="AJ84" s="1510"/>
      <c r="AK84" s="1510"/>
      <c r="AL84" s="1510"/>
      <c r="AM84" s="1510"/>
      <c r="AN84" s="1510"/>
      <c r="AO84" s="1510"/>
      <c r="AP84" s="1511"/>
    </row>
    <row r="85" spans="1:42" x14ac:dyDescent="0.2">
      <c r="A85" s="185"/>
      <c r="B85" s="189" t="s">
        <v>676</v>
      </c>
      <c r="C85" s="183" t="s">
        <v>205</v>
      </c>
      <c r="D85" s="184" t="s">
        <v>679</v>
      </c>
      <c r="F85" s="1512">
        <f>$B$1</f>
        <v>10</v>
      </c>
      <c r="G85" s="1513"/>
      <c r="H85" s="1513"/>
      <c r="I85" s="1513"/>
      <c r="J85" s="1514"/>
      <c r="K85" s="215"/>
      <c r="L85" s="189" t="s">
        <v>680</v>
      </c>
      <c r="M85" s="183" t="s">
        <v>681</v>
      </c>
      <c r="N85" s="184" t="s">
        <v>681</v>
      </c>
      <c r="O85" s="215"/>
      <c r="P85" s="228" t="s">
        <v>682</v>
      </c>
      <c r="Q85" s="215"/>
      <c r="R85" s="212" t="s">
        <v>38</v>
      </c>
      <c r="S85" s="213" t="s">
        <v>40</v>
      </c>
      <c r="T85" s="213" t="s">
        <v>43</v>
      </c>
      <c r="U85" s="213" t="s">
        <v>45</v>
      </c>
      <c r="V85" s="213" t="s">
        <v>47</v>
      </c>
      <c r="W85" s="213" t="s">
        <v>49</v>
      </c>
      <c r="X85" s="213" t="s">
        <v>51</v>
      </c>
      <c r="Y85" s="213" t="s">
        <v>52</v>
      </c>
      <c r="Z85" s="213" t="s">
        <v>54</v>
      </c>
      <c r="AA85" s="213" t="s">
        <v>55</v>
      </c>
      <c r="AB85" s="213" t="s">
        <v>56</v>
      </c>
      <c r="AC85" s="214" t="s">
        <v>57</v>
      </c>
      <c r="AD85" s="215"/>
      <c r="AE85" s="212" t="s">
        <v>38</v>
      </c>
      <c r="AF85" s="213" t="s">
        <v>40</v>
      </c>
      <c r="AG85" s="213" t="s">
        <v>43</v>
      </c>
      <c r="AH85" s="213" t="s">
        <v>45</v>
      </c>
      <c r="AI85" s="213" t="s">
        <v>47</v>
      </c>
      <c r="AJ85" s="213" t="s">
        <v>49</v>
      </c>
      <c r="AK85" s="213" t="s">
        <v>51</v>
      </c>
      <c r="AL85" s="213" t="s">
        <v>52</v>
      </c>
      <c r="AM85" s="213" t="s">
        <v>54</v>
      </c>
      <c r="AN85" s="213" t="s">
        <v>55</v>
      </c>
      <c r="AO85" s="213" t="s">
        <v>56</v>
      </c>
      <c r="AP85" s="214" t="s">
        <v>57</v>
      </c>
    </row>
    <row r="86" spans="1:42" x14ac:dyDescent="0.2">
      <c r="A86" s="180" t="s">
        <v>683</v>
      </c>
      <c r="B86" s="194"/>
      <c r="C86" s="181">
        <f>SUMIF(Auftragsplanung!$D$5:$Q$5,'DB I + DB II pro LC'!$A$121,Auftragsplanung!$D$18:$Q$18)</f>
        <v>0</v>
      </c>
      <c r="D86" s="199">
        <f t="shared" ref="D86:D96" si="60">IF(C86=0,0,F86/C86)</f>
        <v>0</v>
      </c>
      <c r="F86" s="205">
        <f>M86</f>
        <v>260000</v>
      </c>
      <c r="G86" s="218"/>
      <c r="H86" s="206">
        <f>HLOOKUP($B$2,$AE$85:$AP$96,2,FALSE)</f>
        <v>0</v>
      </c>
      <c r="I86" s="194"/>
      <c r="J86" s="182">
        <f>F86-H86</f>
        <v>260000</v>
      </c>
      <c r="L86" s="205">
        <v>200000</v>
      </c>
      <c r="M86" s="225">
        <v>260000</v>
      </c>
      <c r="N86" s="206">
        <f>M86-L86</f>
        <v>60000</v>
      </c>
      <c r="P86" s="229"/>
      <c r="R86" s="191">
        <f>SUMIF(Monatsplanung!$B$137:$B$150,'DB I + DB II pro LC'!$A$121,Monatsplanung!W$137:W$150)</f>
        <v>0</v>
      </c>
      <c r="S86" s="168">
        <f>SUMIF(Monatsplanung!$B$137:$B$150,'DB I + DB II pro LC'!$A$121,Monatsplanung!X$137:X$150)</f>
        <v>0</v>
      </c>
      <c r="T86" s="168">
        <f>SUMIF(Monatsplanung!$B$137:$B$150,'DB I + DB II pro LC'!$A$121,Monatsplanung!Y$137:Y$150)</f>
        <v>0</v>
      </c>
      <c r="U86" s="168">
        <f>SUMIF(Monatsplanung!$B$137:$B$150,'DB I + DB II pro LC'!$A$121,Monatsplanung!Z$137:Z$150)</f>
        <v>0</v>
      </c>
      <c r="V86" s="168">
        <f>SUMIF(Monatsplanung!$B$137:$B$150,'DB I + DB II pro LC'!$A$121,Monatsplanung!AA$137:AA$150)</f>
        <v>0</v>
      </c>
      <c r="W86" s="168">
        <f>SUMIF(Monatsplanung!$B$137:$B$150,'DB I + DB II pro LC'!$A$121,Monatsplanung!AB$137:AB$150)</f>
        <v>0</v>
      </c>
      <c r="X86" s="168">
        <f>SUMIF(Monatsplanung!$B$137:$B$150,'DB I + DB II pro LC'!$A$121,Monatsplanung!AC$137:AC$150)</f>
        <v>0</v>
      </c>
      <c r="Y86" s="168">
        <f>SUMIF(Monatsplanung!$B$137:$B$150,'DB I + DB II pro LC'!$A$121,Monatsplanung!AD$137:AD$150)</f>
        <v>0</v>
      </c>
      <c r="Z86" s="168">
        <f>SUMIF(Monatsplanung!$B$137:$B$150,'DB I + DB II pro LC'!$A$121,Monatsplanung!AE$137:AE$150)</f>
        <v>0</v>
      </c>
      <c r="AA86" s="168">
        <f>SUMIF(Monatsplanung!$B$137:$B$150,'DB I + DB II pro LC'!$A$121,Monatsplanung!AF$137:AF$150)</f>
        <v>0</v>
      </c>
      <c r="AB86" s="168">
        <f>SUMIF(Monatsplanung!$B$137:$B$150,'DB I + DB II pro LC'!$A$121,Monatsplanung!AG$137:AG$150)</f>
        <v>0</v>
      </c>
      <c r="AC86" s="169">
        <f>SUMIF(Monatsplanung!$B$137:$B$150,'DB I + DB II pro LC'!$A$121,Monatsplanung!AH$137:AH$150)</f>
        <v>0</v>
      </c>
      <c r="AE86" s="191">
        <f>SUM(R86)</f>
        <v>0</v>
      </c>
      <c r="AF86" s="168">
        <f>SUM(R86:S86)</f>
        <v>0</v>
      </c>
      <c r="AG86" s="168">
        <f>SUM(R86:T86)</f>
        <v>0</v>
      </c>
      <c r="AH86" s="168">
        <f>SUM(R86:U86)</f>
        <v>0</v>
      </c>
      <c r="AI86" s="168">
        <f>SUM(R86:V86)</f>
        <v>0</v>
      </c>
      <c r="AJ86" s="168">
        <f>SUM(R86:W86)</f>
        <v>0</v>
      </c>
      <c r="AK86" s="168">
        <f>SUM(R86:X86)</f>
        <v>0</v>
      </c>
      <c r="AL86" s="168">
        <f>SUM(R86:Y86)</f>
        <v>0</v>
      </c>
      <c r="AM86" s="168">
        <f>SUM(R86:Z86)</f>
        <v>0</v>
      </c>
      <c r="AN86" s="168">
        <f>SUM(R86:AA86)</f>
        <v>0</v>
      </c>
      <c r="AO86" s="168">
        <f>SUM(R86:AB86)</f>
        <v>0</v>
      </c>
      <c r="AP86" s="169">
        <f>SUM(R86:AC86)</f>
        <v>0</v>
      </c>
    </row>
    <row r="87" spans="1:42" x14ac:dyDescent="0.2">
      <c r="A87" s="177" t="s">
        <v>684</v>
      </c>
      <c r="B87" s="195"/>
      <c r="C87" s="168"/>
      <c r="D87" s="200">
        <f t="shared" si="60"/>
        <v>0</v>
      </c>
      <c r="F87" s="191">
        <f>M87</f>
        <v>5000</v>
      </c>
      <c r="G87" s="219"/>
      <c r="H87" s="169">
        <f>HLOOKUP($B$2,$AE$85:$AP$96,3,FALSE)</f>
        <v>0</v>
      </c>
      <c r="I87" s="195"/>
      <c r="J87" s="169">
        <f>F87-H87</f>
        <v>5000</v>
      </c>
      <c r="L87" s="191">
        <v>10000</v>
      </c>
      <c r="M87" s="226">
        <v>5000</v>
      </c>
      <c r="N87" s="169">
        <f t="shared" ref="N87:N96" si="61">M87-L87</f>
        <v>-5000</v>
      </c>
      <c r="P87" s="230"/>
      <c r="R87" s="191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9"/>
      <c r="AE87" s="191">
        <f>SUM(R87)</f>
        <v>0</v>
      </c>
      <c r="AF87" s="168">
        <f>SUM(R87:S87)</f>
        <v>0</v>
      </c>
      <c r="AG87" s="168">
        <f>SUM(R87:T87)</f>
        <v>0</v>
      </c>
      <c r="AH87" s="168">
        <f>SUM(R87:U87)</f>
        <v>0</v>
      </c>
      <c r="AI87" s="168">
        <f>SUM(R87:V87)</f>
        <v>0</v>
      </c>
      <c r="AJ87" s="168">
        <f>SUM(R87:W87)</f>
        <v>0</v>
      </c>
      <c r="AK87" s="168">
        <f>SUM(R87:X87)</f>
        <v>0</v>
      </c>
      <c r="AL87" s="168">
        <f>SUM(R87:Y87)</f>
        <v>0</v>
      </c>
      <c r="AM87" s="168">
        <f>SUM(R87:Z87)</f>
        <v>0</v>
      </c>
      <c r="AN87" s="168">
        <f>SUM(R87:AA87)</f>
        <v>0</v>
      </c>
      <c r="AO87" s="168">
        <f>SUM(R87:AB87)</f>
        <v>0</v>
      </c>
      <c r="AP87" s="169">
        <f>SUM(R87:AC87)</f>
        <v>0</v>
      </c>
    </row>
    <row r="88" spans="1:42" x14ac:dyDescent="0.2">
      <c r="A88" s="178" t="s">
        <v>366</v>
      </c>
      <c r="B88" s="196"/>
      <c r="C88" s="170">
        <f>C86+C87</f>
        <v>0</v>
      </c>
      <c r="D88" s="201">
        <f t="shared" si="60"/>
        <v>0</v>
      </c>
      <c r="F88" s="192">
        <f>F86+F87</f>
        <v>265000</v>
      </c>
      <c r="G88" s="220"/>
      <c r="H88" s="171">
        <f>H86+H87</f>
        <v>0</v>
      </c>
      <c r="I88" s="196"/>
      <c r="J88" s="171">
        <f>J86+J87</f>
        <v>265000</v>
      </c>
      <c r="K88" s="90"/>
      <c r="L88" s="192">
        <f>L86+L87</f>
        <v>210000</v>
      </c>
      <c r="M88" s="170">
        <f>M86+M87</f>
        <v>265000</v>
      </c>
      <c r="N88" s="171">
        <f t="shared" si="61"/>
        <v>55000</v>
      </c>
      <c r="O88" s="90"/>
      <c r="P88" s="231"/>
      <c r="Q88" s="90"/>
      <c r="R88" s="192">
        <f>R86+R87</f>
        <v>0</v>
      </c>
      <c r="S88" s="170">
        <f t="shared" ref="S88:AC88" si="62">S86+S87</f>
        <v>0</v>
      </c>
      <c r="T88" s="170">
        <f t="shared" si="62"/>
        <v>0</v>
      </c>
      <c r="U88" s="170">
        <f t="shared" si="62"/>
        <v>0</v>
      </c>
      <c r="V88" s="170">
        <f t="shared" si="62"/>
        <v>0</v>
      </c>
      <c r="W88" s="170">
        <f t="shared" si="62"/>
        <v>0</v>
      </c>
      <c r="X88" s="170">
        <f t="shared" si="62"/>
        <v>0</v>
      </c>
      <c r="Y88" s="170">
        <f t="shared" si="62"/>
        <v>0</v>
      </c>
      <c r="Z88" s="170">
        <f t="shared" si="62"/>
        <v>0</v>
      </c>
      <c r="AA88" s="170">
        <f t="shared" si="62"/>
        <v>0</v>
      </c>
      <c r="AB88" s="170">
        <f t="shared" si="62"/>
        <v>0</v>
      </c>
      <c r="AC88" s="171">
        <f t="shared" si="62"/>
        <v>0</v>
      </c>
      <c r="AD88" s="90"/>
      <c r="AE88" s="192">
        <f>AE86+AE87</f>
        <v>0</v>
      </c>
      <c r="AF88" s="170">
        <f t="shared" ref="AF88:AP88" si="63">AF86+AF87</f>
        <v>0</v>
      </c>
      <c r="AG88" s="170">
        <f t="shared" si="63"/>
        <v>0</v>
      </c>
      <c r="AH88" s="170">
        <f t="shared" si="63"/>
        <v>0</v>
      </c>
      <c r="AI88" s="170">
        <f t="shared" si="63"/>
        <v>0</v>
      </c>
      <c r="AJ88" s="170">
        <f t="shared" si="63"/>
        <v>0</v>
      </c>
      <c r="AK88" s="170">
        <f t="shared" si="63"/>
        <v>0</v>
      </c>
      <c r="AL88" s="170">
        <f t="shared" si="63"/>
        <v>0</v>
      </c>
      <c r="AM88" s="170">
        <f t="shared" si="63"/>
        <v>0</v>
      </c>
      <c r="AN88" s="170">
        <f t="shared" si="63"/>
        <v>0</v>
      </c>
      <c r="AO88" s="170">
        <f t="shared" si="63"/>
        <v>0</v>
      </c>
      <c r="AP88" s="171">
        <f t="shared" si="63"/>
        <v>0</v>
      </c>
    </row>
    <row r="89" spans="1:42" x14ac:dyDescent="0.2">
      <c r="A89" s="177" t="s">
        <v>685</v>
      </c>
      <c r="B89" s="195"/>
      <c r="C89" s="168">
        <f>SUMIF(Auftragsplanung!$D$5:$Q$5,'DB I + DB II pro LC'!$A$121,Auftragsplanung!$D$19:$Q$19)</f>
        <v>0</v>
      </c>
      <c r="D89" s="200">
        <f t="shared" si="60"/>
        <v>0</v>
      </c>
      <c r="F89" s="191">
        <f>M89</f>
        <v>110000</v>
      </c>
      <c r="G89" s="219"/>
      <c r="H89" s="169">
        <f>HLOOKUP($B$2,$AE$85:$AP$96,5,FALSE)</f>
        <v>0</v>
      </c>
      <c r="I89" s="195"/>
      <c r="J89" s="169">
        <f>F89-H89</f>
        <v>110000</v>
      </c>
      <c r="L89" s="191">
        <v>95000</v>
      </c>
      <c r="M89" s="226">
        <v>110000</v>
      </c>
      <c r="N89" s="169">
        <f t="shared" si="61"/>
        <v>15000</v>
      </c>
      <c r="P89" s="230"/>
      <c r="R89" s="191">
        <f>SUMIF(Monatsplanung!$B$137:$B$150,'DB I + DB II pro LC'!$A$121,Monatsplanung!W$160:W$173)</f>
        <v>0</v>
      </c>
      <c r="S89" s="168">
        <f>SUMIF(Monatsplanung!$B$137:$B$150,'DB I + DB II pro LC'!$A$121,Monatsplanung!X$160:X$173)</f>
        <v>0</v>
      </c>
      <c r="T89" s="168">
        <f>SUMIF(Monatsplanung!$B$137:$B$150,'DB I + DB II pro LC'!$A$121,Monatsplanung!Y$160:Y$173)</f>
        <v>0</v>
      </c>
      <c r="U89" s="168">
        <f>SUMIF(Monatsplanung!$B$137:$B$150,'DB I + DB II pro LC'!$A$121,Monatsplanung!Z$160:Z$173)</f>
        <v>0</v>
      </c>
      <c r="V89" s="168">
        <f>SUMIF(Monatsplanung!$B$137:$B$150,'DB I + DB II pro LC'!$A$121,Monatsplanung!AA$160:AA$173)</f>
        <v>0</v>
      </c>
      <c r="W89" s="168">
        <f>SUMIF(Monatsplanung!$B$137:$B$150,'DB I + DB II pro LC'!$A$121,Monatsplanung!AB$160:AB$173)</f>
        <v>0</v>
      </c>
      <c r="X89" s="168">
        <f>SUMIF(Monatsplanung!$B$137:$B$150,'DB I + DB II pro LC'!$A$121,Monatsplanung!AC$160:AC$173)</f>
        <v>0</v>
      </c>
      <c r="Y89" s="168">
        <f>SUMIF(Monatsplanung!$B$137:$B$150,'DB I + DB II pro LC'!$A$121,Monatsplanung!AD$160:AD$173)</f>
        <v>0</v>
      </c>
      <c r="Z89" s="168">
        <f>SUMIF(Monatsplanung!$B$137:$B$150,'DB I + DB II pro LC'!$A$121,Monatsplanung!AE$160:AE$173)</f>
        <v>0</v>
      </c>
      <c r="AA89" s="168">
        <f>SUMIF(Monatsplanung!$B$137:$B$150,'DB I + DB II pro LC'!$A$121,Monatsplanung!AF$160:AF$173)</f>
        <v>0</v>
      </c>
      <c r="AB89" s="168">
        <f>SUMIF(Monatsplanung!$B$137:$B$150,'DB I + DB II pro LC'!$A$121,Monatsplanung!AG$160:AG$173)</f>
        <v>0</v>
      </c>
      <c r="AC89" s="169">
        <f>SUMIF(Monatsplanung!$B$137:$B$150,'DB I + DB II pro LC'!$A$121,Monatsplanung!AH$160:AH$173)</f>
        <v>0</v>
      </c>
      <c r="AE89" s="191">
        <f>SUM(R89)</f>
        <v>0</v>
      </c>
      <c r="AF89" s="168">
        <f>SUM(R89:S89)</f>
        <v>0</v>
      </c>
      <c r="AG89" s="168">
        <f>SUM(R89:T89)</f>
        <v>0</v>
      </c>
      <c r="AH89" s="168">
        <f>SUM(R89:U89)</f>
        <v>0</v>
      </c>
      <c r="AI89" s="168">
        <f>SUM(R89:V89)</f>
        <v>0</v>
      </c>
      <c r="AJ89" s="168">
        <f>SUM(R89:W89)</f>
        <v>0</v>
      </c>
      <c r="AK89" s="168">
        <f>SUM(R89:X89)</f>
        <v>0</v>
      </c>
      <c r="AL89" s="168">
        <f>SUM(R89:Y89)</f>
        <v>0</v>
      </c>
      <c r="AM89" s="168">
        <f>SUM(R89:Z89)</f>
        <v>0</v>
      </c>
      <c r="AN89" s="168">
        <f>SUM(R89:AA89)</f>
        <v>0</v>
      </c>
      <c r="AO89" s="168">
        <f>SUM(R89:AB89)</f>
        <v>0</v>
      </c>
      <c r="AP89" s="169">
        <f>SUM(R89:AC89)</f>
        <v>0</v>
      </c>
    </row>
    <row r="90" spans="1:42" x14ac:dyDescent="0.2">
      <c r="A90" s="177" t="s">
        <v>686</v>
      </c>
      <c r="B90" s="190"/>
      <c r="C90" s="168">
        <f>SUMIF(Auftragsplanung!$D$5:$Q$5,'DB I + DB II pro LC'!$A$121,Auftragsplanung!$D$20:$Q$20)</f>
        <v>0</v>
      </c>
      <c r="D90" s="200">
        <f t="shared" si="60"/>
        <v>0</v>
      </c>
      <c r="F90" s="191">
        <f>M90</f>
        <v>2500</v>
      </c>
      <c r="G90" s="221"/>
      <c r="H90" s="169">
        <f>HLOOKUP($B$2,$AE$85:$AP$96,6,FALSE)</f>
        <v>0</v>
      </c>
      <c r="I90" s="190"/>
      <c r="J90" s="169">
        <f>F90-H90</f>
        <v>2500</v>
      </c>
      <c r="L90" s="191">
        <v>2000</v>
      </c>
      <c r="M90" s="226">
        <v>2500</v>
      </c>
      <c r="N90" s="169">
        <f t="shared" si="61"/>
        <v>500</v>
      </c>
      <c r="P90" s="232"/>
      <c r="R90" s="191">
        <f>SUMIF(Monatsplanung!$B$137:$B$150,'DB I + DB II pro LC'!$A$121,Monatsplanung!W$181:W$194)</f>
        <v>0</v>
      </c>
      <c r="S90" s="168">
        <f>SUMIF(Monatsplanung!$B$137:$B$150,'DB I + DB II pro LC'!$A$121,Monatsplanung!X$181:X$194)</f>
        <v>0</v>
      </c>
      <c r="T90" s="168">
        <f>SUMIF(Monatsplanung!$B$137:$B$150,'DB I + DB II pro LC'!$A$121,Monatsplanung!Y$181:Y$194)</f>
        <v>0</v>
      </c>
      <c r="U90" s="168">
        <f>SUMIF(Monatsplanung!$B$137:$B$150,'DB I + DB II pro LC'!$A$121,Monatsplanung!Z$181:Z$194)</f>
        <v>0</v>
      </c>
      <c r="V90" s="168">
        <f>SUMIF(Monatsplanung!$B$137:$B$150,'DB I + DB II pro LC'!$A$121,Monatsplanung!AA$181:AA$194)</f>
        <v>0</v>
      </c>
      <c r="W90" s="168">
        <f>SUMIF(Monatsplanung!$B$137:$B$150,'DB I + DB II pro LC'!$A$121,Monatsplanung!AB$181:AB$194)</f>
        <v>0</v>
      </c>
      <c r="X90" s="168">
        <f>SUMIF(Monatsplanung!$B$137:$B$150,'DB I + DB II pro LC'!$A$121,Monatsplanung!AC$181:AC$194)</f>
        <v>0</v>
      </c>
      <c r="Y90" s="168">
        <f>SUMIF(Monatsplanung!$B$137:$B$150,'DB I + DB II pro LC'!$A$121,Monatsplanung!AD$181:AD$194)</f>
        <v>0</v>
      </c>
      <c r="Z90" s="168">
        <f>SUMIF(Monatsplanung!$B$137:$B$150,'DB I + DB II pro LC'!$A$121,Monatsplanung!AE$181:AE$194)</f>
        <v>0</v>
      </c>
      <c r="AA90" s="168">
        <f>SUMIF(Monatsplanung!$B$137:$B$150,'DB I + DB II pro LC'!$A$121,Monatsplanung!AF$181:AF$194)</f>
        <v>0</v>
      </c>
      <c r="AB90" s="168">
        <f>SUMIF(Monatsplanung!$B$137:$B$150,'DB I + DB II pro LC'!$A$121,Monatsplanung!AG$181:AG$194)</f>
        <v>0</v>
      </c>
      <c r="AC90" s="169">
        <f>SUMIF(Monatsplanung!$B$137:$B$150,'DB I + DB II pro LC'!$A$121,Monatsplanung!AH$181:AH$194)</f>
        <v>0</v>
      </c>
      <c r="AE90" s="191">
        <f>SUM(R90)</f>
        <v>0</v>
      </c>
      <c r="AF90" s="168">
        <f>SUM(R90:S90)</f>
        <v>0</v>
      </c>
      <c r="AG90" s="168">
        <f>SUM(R90:T90)</f>
        <v>0</v>
      </c>
      <c r="AH90" s="168">
        <f>SUM(R90:U90)</f>
        <v>0</v>
      </c>
      <c r="AI90" s="168">
        <f>SUM(R90:V90)</f>
        <v>0</v>
      </c>
      <c r="AJ90" s="168">
        <f>SUM(R90:W90)</f>
        <v>0</v>
      </c>
      <c r="AK90" s="168">
        <f>SUM(R90:X90)</f>
        <v>0</v>
      </c>
      <c r="AL90" s="168">
        <f>SUM(R90:Y90)</f>
        <v>0</v>
      </c>
      <c r="AM90" s="168">
        <f>SUM(R90:Z90)</f>
        <v>0</v>
      </c>
      <c r="AN90" s="168">
        <f>SUM(R90:AA90)</f>
        <v>0</v>
      </c>
      <c r="AO90" s="168">
        <f>SUM(R90:AB90)</f>
        <v>0</v>
      </c>
      <c r="AP90" s="169">
        <f>SUM(R90:AC90)</f>
        <v>0</v>
      </c>
    </row>
    <row r="91" spans="1:42" x14ac:dyDescent="0.2">
      <c r="A91" s="178" t="s">
        <v>368</v>
      </c>
      <c r="B91" s="192">
        <f>Kostenverteilung!U43</f>
        <v>0</v>
      </c>
      <c r="C91" s="170">
        <f>C88-C89-C90</f>
        <v>0</v>
      </c>
      <c r="D91" s="201">
        <f t="shared" si="60"/>
        <v>0</v>
      </c>
      <c r="F91" s="192">
        <f>F88-F89-F90</f>
        <v>152500</v>
      </c>
      <c r="G91" s="222">
        <f>$P91*$B$1</f>
        <v>0</v>
      </c>
      <c r="H91" s="171">
        <f>H88-H89-H90</f>
        <v>0</v>
      </c>
      <c r="I91" s="175">
        <f>F91-G91</f>
        <v>152500</v>
      </c>
      <c r="J91" s="171">
        <f>J88-J89-J90</f>
        <v>152500</v>
      </c>
      <c r="K91" s="90"/>
      <c r="L91" s="192">
        <f>L88-L89-L90</f>
        <v>113000</v>
      </c>
      <c r="M91" s="170">
        <f>M88-M89-M90</f>
        <v>152500</v>
      </c>
      <c r="N91" s="171">
        <f t="shared" si="61"/>
        <v>39500</v>
      </c>
      <c r="O91" s="90"/>
      <c r="P91" s="233">
        <f>B91/12</f>
        <v>0</v>
      </c>
      <c r="Q91" s="90"/>
      <c r="R91" s="192">
        <f>R88-R89-R90</f>
        <v>0</v>
      </c>
      <c r="S91" s="170">
        <f t="shared" ref="S91:AC91" si="64">S88-S89-S90</f>
        <v>0</v>
      </c>
      <c r="T91" s="170">
        <f t="shared" si="64"/>
        <v>0</v>
      </c>
      <c r="U91" s="170">
        <f t="shared" si="64"/>
        <v>0</v>
      </c>
      <c r="V91" s="170">
        <f t="shared" si="64"/>
        <v>0</v>
      </c>
      <c r="W91" s="170">
        <f t="shared" si="64"/>
        <v>0</v>
      </c>
      <c r="X91" s="170">
        <f t="shared" si="64"/>
        <v>0</v>
      </c>
      <c r="Y91" s="170">
        <f t="shared" si="64"/>
        <v>0</v>
      </c>
      <c r="Z91" s="170">
        <f t="shared" si="64"/>
        <v>0</v>
      </c>
      <c r="AA91" s="170">
        <f t="shared" si="64"/>
        <v>0</v>
      </c>
      <c r="AB91" s="170">
        <f t="shared" si="64"/>
        <v>0</v>
      </c>
      <c r="AC91" s="171">
        <f t="shared" si="64"/>
        <v>0</v>
      </c>
      <c r="AD91" s="90"/>
      <c r="AE91" s="192">
        <f>AE88-AE89-AE90</f>
        <v>0</v>
      </c>
      <c r="AF91" s="170">
        <f t="shared" ref="AF91:AP91" si="65">AF88-AF89-AF90</f>
        <v>0</v>
      </c>
      <c r="AG91" s="170">
        <f t="shared" si="65"/>
        <v>0</v>
      </c>
      <c r="AH91" s="170">
        <f t="shared" si="65"/>
        <v>0</v>
      </c>
      <c r="AI91" s="170">
        <f t="shared" si="65"/>
        <v>0</v>
      </c>
      <c r="AJ91" s="170">
        <f t="shared" si="65"/>
        <v>0</v>
      </c>
      <c r="AK91" s="170">
        <f t="shared" si="65"/>
        <v>0</v>
      </c>
      <c r="AL91" s="170">
        <f t="shared" si="65"/>
        <v>0</v>
      </c>
      <c r="AM91" s="170">
        <f t="shared" si="65"/>
        <v>0</v>
      </c>
      <c r="AN91" s="170">
        <f t="shared" si="65"/>
        <v>0</v>
      </c>
      <c r="AO91" s="170">
        <f t="shared" si="65"/>
        <v>0</v>
      </c>
      <c r="AP91" s="171">
        <f t="shared" si="65"/>
        <v>0</v>
      </c>
    </row>
    <row r="92" spans="1:42" x14ac:dyDescent="0.2">
      <c r="A92" s="177" t="s">
        <v>687</v>
      </c>
      <c r="B92" s="191">
        <f>Kostenverteilung!U45</f>
        <v>0</v>
      </c>
      <c r="C92" s="168">
        <f>Kostenverteilung!U45</f>
        <v>0</v>
      </c>
      <c r="D92" s="200">
        <f t="shared" si="60"/>
        <v>0</v>
      </c>
      <c r="F92" s="191">
        <f>M92</f>
        <v>550</v>
      </c>
      <c r="G92" s="223">
        <f>$P92*$B$1</f>
        <v>0</v>
      </c>
      <c r="H92" s="217">
        <f>HLOOKUP($B$2,$AE$85:$AP$96,8,FALSE)</f>
        <v>0</v>
      </c>
      <c r="I92" s="174">
        <f>F92-G92</f>
        <v>550</v>
      </c>
      <c r="J92" s="169">
        <f>F92-H92</f>
        <v>550</v>
      </c>
      <c r="L92" s="191">
        <v>450</v>
      </c>
      <c r="M92" s="226">
        <v>550</v>
      </c>
      <c r="N92" s="169">
        <f t="shared" si="61"/>
        <v>100</v>
      </c>
      <c r="P92" s="234">
        <f>B92/12</f>
        <v>0</v>
      </c>
      <c r="R92" s="191">
        <f>IF(ISERROR(Mitarbeiterverteilung!$AK$107*R86/SUM($R$88:$AC$88)),0,Mitarbeiterverteilung!$AK$107*R86/SUM($R$88:$AC$88))</f>
        <v>0</v>
      </c>
      <c r="S92" s="168">
        <f>IF(ISERROR(Mitarbeiterverteilung!$AK$107*S86/SUM($R$88:$AC$88)),0,Mitarbeiterverteilung!$AK$107*S86/SUM($R$88:$AC$88))</f>
        <v>0</v>
      </c>
      <c r="T92" s="168">
        <f>IF(ISERROR(Mitarbeiterverteilung!$AK$107*T86/SUM($R$88:$AC$88)),0,Mitarbeiterverteilung!$AK$107*T86/SUM($R$88:$AC$88))</f>
        <v>0</v>
      </c>
      <c r="U92" s="168">
        <f>IF(ISERROR(Mitarbeiterverteilung!$AK$107*U86/SUM($R$88:$AC$88)),0,Mitarbeiterverteilung!$AK$107*U86/SUM($R$88:$AC$88))</f>
        <v>0</v>
      </c>
      <c r="V92" s="168">
        <f>IF(ISERROR(Mitarbeiterverteilung!$AK$107*V86/SUM($R$88:$AC$88)),0,Mitarbeiterverteilung!$AK$107*V86/SUM($R$88:$AC$88))</f>
        <v>0</v>
      </c>
      <c r="W92" s="168">
        <f>IF(ISERROR(Mitarbeiterverteilung!$AK$107*W86/SUM($R$88:$AC$88)),0,Mitarbeiterverteilung!$AK$107*W86/SUM($R$88:$AC$88))</f>
        <v>0</v>
      </c>
      <c r="X92" s="168">
        <f>IF(ISERROR(Mitarbeiterverteilung!$AK$107*X86/SUM($R$88:$AC$88)),0,Mitarbeiterverteilung!$AK$107*X86/SUM($R$88:$AC$88))</f>
        <v>0</v>
      </c>
      <c r="Y92" s="168">
        <f>IF(ISERROR(Mitarbeiterverteilung!$AK$107*Y86/SUM($R$88:$AC$88)),0,Mitarbeiterverteilung!$AK$107*Y86/SUM($R$88:$AC$88))</f>
        <v>0</v>
      </c>
      <c r="Z92" s="168">
        <f>IF(ISERROR(Mitarbeiterverteilung!$AK$107*Z86/SUM($R$88:$AC$88)),0,Mitarbeiterverteilung!$AK$107*Z86/SUM($R$88:$AC$88))</f>
        <v>0</v>
      </c>
      <c r="AA92" s="168">
        <f>IF(ISERROR(Mitarbeiterverteilung!$AK$107*AA86/SUM($R$88:$AC$88)),0,Mitarbeiterverteilung!$AK$107*AA86/SUM($R$88:$AC$88))</f>
        <v>0</v>
      </c>
      <c r="AB92" s="168">
        <f>IF(ISERROR(Mitarbeiterverteilung!$AK$107*AB86/SUM($R$88:$AC$88)),0,Mitarbeiterverteilung!$AK$107*AB86/SUM($R$88:$AC$88))</f>
        <v>0</v>
      </c>
      <c r="AC92" s="169">
        <f>IF(ISERROR(Mitarbeiterverteilung!$AK$107*AC86/SUM($R$88:$AC$88)),0,Mitarbeiterverteilung!$AK$107*AC86/SUM($R$88:$AC$88))</f>
        <v>0</v>
      </c>
      <c r="AE92" s="191">
        <f>SUM(R92)</f>
        <v>0</v>
      </c>
      <c r="AF92" s="168">
        <f>SUM(R92:S92)</f>
        <v>0</v>
      </c>
      <c r="AG92" s="168">
        <f>SUM(R92:T92)</f>
        <v>0</v>
      </c>
      <c r="AH92" s="168">
        <f>SUM(R92:U92)</f>
        <v>0</v>
      </c>
      <c r="AI92" s="168">
        <f>SUM(R92:V92)</f>
        <v>0</v>
      </c>
      <c r="AJ92" s="168">
        <f>SUM(R92:W92)</f>
        <v>0</v>
      </c>
      <c r="AK92" s="168">
        <f>SUM(R92:X92)</f>
        <v>0</v>
      </c>
      <c r="AL92" s="168">
        <f>SUM(R92:Y92)</f>
        <v>0</v>
      </c>
      <c r="AM92" s="168">
        <f>SUM(R92:Z92)</f>
        <v>0</v>
      </c>
      <c r="AN92" s="168">
        <f>SUM(R92:AA92)</f>
        <v>0</v>
      </c>
      <c r="AO92" s="168">
        <f>SUM(R92:AB92)</f>
        <v>0</v>
      </c>
      <c r="AP92" s="169">
        <f>SUM(R92:AC92)</f>
        <v>0</v>
      </c>
    </row>
    <row r="93" spans="1:42" x14ac:dyDescent="0.2">
      <c r="A93" s="178" t="s">
        <v>688</v>
      </c>
      <c r="B93" s="192">
        <f>IF(B92=0,0,B91/B92)</f>
        <v>0</v>
      </c>
      <c r="C93" s="170" t="e">
        <f>C91/C92</f>
        <v>#DIV/0!</v>
      </c>
      <c r="D93" s="201" t="e">
        <f t="shared" si="60"/>
        <v>#DIV/0!</v>
      </c>
      <c r="F93" s="192">
        <f>IF(F92=0,0,F91/F92)</f>
        <v>277.27272727272725</v>
      </c>
      <c r="G93" s="222">
        <f>IF(G92=0,0,G91/G92)</f>
        <v>0</v>
      </c>
      <c r="H93" s="171">
        <f>IF(H92=0,0,H91/H92)</f>
        <v>0</v>
      </c>
      <c r="I93" s="175">
        <f>IF(I92=0,0,I91/I92)</f>
        <v>277.27272727272725</v>
      </c>
      <c r="J93" s="171">
        <f>IF(J92=0,0,J91/J92)</f>
        <v>277.27272727272725</v>
      </c>
      <c r="K93" s="90"/>
      <c r="L93" s="192">
        <f>IF(L92=0,0,L91/L92)</f>
        <v>251.11111111111111</v>
      </c>
      <c r="M93" s="170">
        <f>IF(M92=0,0,M91/M92)</f>
        <v>277.27272727272725</v>
      </c>
      <c r="N93" s="171">
        <f t="shared" si="61"/>
        <v>26.161616161616138</v>
      </c>
      <c r="O93" s="90"/>
      <c r="P93" s="233">
        <f>IF(P92=0,0,P91/P92)</f>
        <v>0</v>
      </c>
      <c r="Q93" s="90"/>
      <c r="R93" s="192">
        <f>IF(R92=0,0,R91/R92)</f>
        <v>0</v>
      </c>
      <c r="S93" s="170">
        <f t="shared" ref="S93:AC93" si="66">IF(S92=0,0,S91/S92)</f>
        <v>0</v>
      </c>
      <c r="T93" s="170">
        <f t="shared" si="66"/>
        <v>0</v>
      </c>
      <c r="U93" s="170">
        <f t="shared" si="66"/>
        <v>0</v>
      </c>
      <c r="V93" s="170">
        <f t="shared" si="66"/>
        <v>0</v>
      </c>
      <c r="W93" s="170">
        <f t="shared" si="66"/>
        <v>0</v>
      </c>
      <c r="X93" s="170">
        <f t="shared" si="66"/>
        <v>0</v>
      </c>
      <c r="Y93" s="170">
        <f t="shared" si="66"/>
        <v>0</v>
      </c>
      <c r="Z93" s="170">
        <f t="shared" si="66"/>
        <v>0</v>
      </c>
      <c r="AA93" s="170">
        <f t="shared" si="66"/>
        <v>0</v>
      </c>
      <c r="AB93" s="170">
        <f t="shared" si="66"/>
        <v>0</v>
      </c>
      <c r="AC93" s="171">
        <f t="shared" si="66"/>
        <v>0</v>
      </c>
      <c r="AD93" s="90"/>
      <c r="AE93" s="192">
        <f>IF(AE92=0,0,AE91/AE92)</f>
        <v>0</v>
      </c>
      <c r="AF93" s="170">
        <f t="shared" ref="AF93:AP93" si="67">IF(AF92=0,0,AF91/AF92)</f>
        <v>0</v>
      </c>
      <c r="AG93" s="170">
        <f t="shared" si="67"/>
        <v>0</v>
      </c>
      <c r="AH93" s="170">
        <f t="shared" si="67"/>
        <v>0</v>
      </c>
      <c r="AI93" s="170">
        <f t="shared" si="67"/>
        <v>0</v>
      </c>
      <c r="AJ93" s="170">
        <f t="shared" si="67"/>
        <v>0</v>
      </c>
      <c r="AK93" s="170">
        <f t="shared" si="67"/>
        <v>0</v>
      </c>
      <c r="AL93" s="170">
        <f t="shared" si="67"/>
        <v>0</v>
      </c>
      <c r="AM93" s="170">
        <f t="shared" si="67"/>
        <v>0</v>
      </c>
      <c r="AN93" s="170">
        <f t="shared" si="67"/>
        <v>0</v>
      </c>
      <c r="AO93" s="170">
        <f t="shared" si="67"/>
        <v>0</v>
      </c>
      <c r="AP93" s="171">
        <f t="shared" si="67"/>
        <v>0</v>
      </c>
    </row>
    <row r="94" spans="1:42" x14ac:dyDescent="0.2">
      <c r="A94" s="177" t="s">
        <v>689</v>
      </c>
      <c r="B94" s="191">
        <f>Kostenverteilung!U49*B92</f>
        <v>0</v>
      </c>
      <c r="C94" s="168">
        <f>Kostenverteilung!U23</f>
        <v>0</v>
      </c>
      <c r="D94" s="200">
        <f t="shared" si="60"/>
        <v>0</v>
      </c>
      <c r="F94" s="191">
        <f>M94</f>
        <v>17000</v>
      </c>
      <c r="G94" s="223">
        <f>$P94*$B$1</f>
        <v>0</v>
      </c>
      <c r="H94" s="217">
        <f>HLOOKUP($B$2,$AE$85:$AP$96,10,FALSE)</f>
        <v>0</v>
      </c>
      <c r="I94" s="174">
        <f>F94-G94</f>
        <v>17000</v>
      </c>
      <c r="J94" s="169">
        <f>F94-H94</f>
        <v>17000</v>
      </c>
      <c r="L94" s="191">
        <v>15000</v>
      </c>
      <c r="M94" s="226">
        <v>17000</v>
      </c>
      <c r="N94" s="169">
        <f t="shared" si="61"/>
        <v>2000</v>
      </c>
      <c r="P94" s="234">
        <f>B94/12</f>
        <v>0</v>
      </c>
      <c r="R94" s="191">
        <f>IF(ISERROR(Mitarbeiterverteilung!$Z$107*R86/SUM($R$88:$AC$88)),0,Mitarbeiterverteilung!$Z$107*R86/SUM($R$88:$AC$88))</f>
        <v>0</v>
      </c>
      <c r="S94" s="168">
        <f>IF(ISERROR(Mitarbeiterverteilung!$Z$107*S86/SUM($R$88:$AC$88)),0,Mitarbeiterverteilung!$Z$107*S86/SUM($R$88:$AC$88))</f>
        <v>0</v>
      </c>
      <c r="T94" s="168">
        <f>IF(ISERROR(Mitarbeiterverteilung!$Z$107*T86/SUM($R$88:$AC$88)),0,Mitarbeiterverteilung!$Z$107*T86/SUM($R$88:$AC$88))</f>
        <v>0</v>
      </c>
      <c r="U94" s="168">
        <f>IF(ISERROR(Mitarbeiterverteilung!$Z$107*U86/SUM($R$88:$AC$88)),0,Mitarbeiterverteilung!$Z$107*U86/SUM($R$88:$AC$88))</f>
        <v>0</v>
      </c>
      <c r="V94" s="168">
        <f>IF(ISERROR(Mitarbeiterverteilung!$Z$107*V86/SUM($R$88:$AC$88)),0,Mitarbeiterverteilung!$Z$107*V86/SUM($R$88:$AC$88))</f>
        <v>0</v>
      </c>
      <c r="W94" s="168">
        <f>IF(ISERROR(Mitarbeiterverteilung!$Z$107*W86/SUM($R$88:$AC$88)),0,Mitarbeiterverteilung!$Z$107*W86/SUM($R$88:$AC$88))</f>
        <v>0</v>
      </c>
      <c r="X94" s="168">
        <f>IF(ISERROR(Mitarbeiterverteilung!$Z$107*X86/SUM($R$88:$AC$88)),0,Mitarbeiterverteilung!$Z$107*X86/SUM($R$88:$AC$88))</f>
        <v>0</v>
      </c>
      <c r="Y94" s="168">
        <f>IF(ISERROR(Mitarbeiterverteilung!$Z$107*Y86/SUM($R$88:$AC$88)),0,Mitarbeiterverteilung!$Z$107*Y86/SUM($R$88:$AC$88))</f>
        <v>0</v>
      </c>
      <c r="Z94" s="168">
        <f>IF(ISERROR(Mitarbeiterverteilung!$Z$107*Z86/SUM($R$88:$AC$88)),0,Mitarbeiterverteilung!$Z$107*Z86/SUM($R$88:$AC$88))</f>
        <v>0</v>
      </c>
      <c r="AA94" s="168">
        <f>IF(ISERROR(Mitarbeiterverteilung!$Z$107*AA86/SUM($R$88:$AC$88)),0,Mitarbeiterverteilung!$Z$107*AA86/SUM($R$88:$AC$88))</f>
        <v>0</v>
      </c>
      <c r="AB94" s="168">
        <f>IF(ISERROR(Mitarbeiterverteilung!$Z$107*AB86/SUM($R$88:$AC$88)),0,Mitarbeiterverteilung!$Z$107*AB86/SUM($R$88:$AC$88))</f>
        <v>0</v>
      </c>
      <c r="AC94" s="169">
        <f>IF(ISERROR(Mitarbeiterverteilung!$Z$107*AC86/SUM($R$88:$AC$88)),0,Mitarbeiterverteilung!$Z$107*AC86/SUM($R$88:$AC$88))</f>
        <v>0</v>
      </c>
      <c r="AE94" s="191">
        <f>SUM(R94)</f>
        <v>0</v>
      </c>
      <c r="AF94" s="168">
        <f>SUM(R94:S94)</f>
        <v>0</v>
      </c>
      <c r="AG94" s="168">
        <f>SUM(R94:T94)</f>
        <v>0</v>
      </c>
      <c r="AH94" s="168">
        <f>SUM(R94:U94)</f>
        <v>0</v>
      </c>
      <c r="AI94" s="168">
        <f>SUM(R94:V94)</f>
        <v>0</v>
      </c>
      <c r="AJ94" s="168">
        <f>SUM(R94:W94)</f>
        <v>0</v>
      </c>
      <c r="AK94" s="168">
        <f>SUM(R94:X94)</f>
        <v>0</v>
      </c>
      <c r="AL94" s="168">
        <f>SUM(R94:Y94)</f>
        <v>0</v>
      </c>
      <c r="AM94" s="168">
        <f>SUM(R94:Z94)</f>
        <v>0</v>
      </c>
      <c r="AN94" s="168">
        <f>SUM(R94:AA94)</f>
        <v>0</v>
      </c>
      <c r="AO94" s="168">
        <f>SUM(R94:AB94)</f>
        <v>0</v>
      </c>
      <c r="AP94" s="169">
        <f>SUM(R94:AC94)</f>
        <v>0</v>
      </c>
    </row>
    <row r="95" spans="1:42" x14ac:dyDescent="0.2">
      <c r="A95" s="178" t="s">
        <v>690</v>
      </c>
      <c r="B95" s="192">
        <f>B91-B94</f>
        <v>0</v>
      </c>
      <c r="C95" s="170">
        <f>C91-C94</f>
        <v>0</v>
      </c>
      <c r="D95" s="201">
        <f t="shared" si="60"/>
        <v>0</v>
      </c>
      <c r="F95" s="192">
        <f>F91-F94</f>
        <v>135500</v>
      </c>
      <c r="G95" s="222">
        <f>G91-G94</f>
        <v>0</v>
      </c>
      <c r="H95" s="171">
        <f>H91-H94</f>
        <v>0</v>
      </c>
      <c r="I95" s="175">
        <f>I91-I94</f>
        <v>135500</v>
      </c>
      <c r="J95" s="171">
        <f>J91-J94</f>
        <v>135500</v>
      </c>
      <c r="K95" s="90"/>
      <c r="L95" s="192">
        <f>L91-L94</f>
        <v>98000</v>
      </c>
      <c r="M95" s="170">
        <f>M91-M94</f>
        <v>135500</v>
      </c>
      <c r="N95" s="171">
        <f t="shared" si="61"/>
        <v>37500</v>
      </c>
      <c r="O95" s="90"/>
      <c r="P95" s="233">
        <f>P91-P94</f>
        <v>0</v>
      </c>
      <c r="Q95" s="90"/>
      <c r="R95" s="192">
        <f>R91-R94</f>
        <v>0</v>
      </c>
      <c r="S95" s="170">
        <f t="shared" ref="S95:AC95" si="68">S91-S94</f>
        <v>0</v>
      </c>
      <c r="T95" s="170">
        <f t="shared" si="68"/>
        <v>0</v>
      </c>
      <c r="U95" s="170">
        <f t="shared" si="68"/>
        <v>0</v>
      </c>
      <c r="V95" s="170">
        <f t="shared" si="68"/>
        <v>0</v>
      </c>
      <c r="W95" s="170">
        <f t="shared" si="68"/>
        <v>0</v>
      </c>
      <c r="X95" s="170">
        <f t="shared" si="68"/>
        <v>0</v>
      </c>
      <c r="Y95" s="170">
        <f t="shared" si="68"/>
        <v>0</v>
      </c>
      <c r="Z95" s="170">
        <f t="shared" si="68"/>
        <v>0</v>
      </c>
      <c r="AA95" s="170">
        <f t="shared" si="68"/>
        <v>0</v>
      </c>
      <c r="AB95" s="170">
        <f t="shared" si="68"/>
        <v>0</v>
      </c>
      <c r="AC95" s="171">
        <f t="shared" si="68"/>
        <v>0</v>
      </c>
      <c r="AD95" s="90"/>
      <c r="AE95" s="192">
        <f>AE91-AE94</f>
        <v>0</v>
      </c>
      <c r="AF95" s="170">
        <f t="shared" ref="AF95:AP95" si="69">AF91-AF94</f>
        <v>0</v>
      </c>
      <c r="AG95" s="170">
        <f t="shared" si="69"/>
        <v>0</v>
      </c>
      <c r="AH95" s="170">
        <f t="shared" si="69"/>
        <v>0</v>
      </c>
      <c r="AI95" s="170">
        <f t="shared" si="69"/>
        <v>0</v>
      </c>
      <c r="AJ95" s="170">
        <f t="shared" si="69"/>
        <v>0</v>
      </c>
      <c r="AK95" s="170">
        <f t="shared" si="69"/>
        <v>0</v>
      </c>
      <c r="AL95" s="170">
        <f t="shared" si="69"/>
        <v>0</v>
      </c>
      <c r="AM95" s="170">
        <f t="shared" si="69"/>
        <v>0</v>
      </c>
      <c r="AN95" s="170">
        <f t="shared" si="69"/>
        <v>0</v>
      </c>
      <c r="AO95" s="170">
        <f t="shared" si="69"/>
        <v>0</v>
      </c>
      <c r="AP95" s="171">
        <f t="shared" si="69"/>
        <v>0</v>
      </c>
    </row>
    <row r="96" spans="1:42" x14ac:dyDescent="0.2">
      <c r="A96" s="179" t="s">
        <v>691</v>
      </c>
      <c r="B96" s="193">
        <f>IF(B92=0,0,B95/B92)</f>
        <v>0</v>
      </c>
      <c r="C96" s="172" t="e">
        <f>C95/C92</f>
        <v>#DIV/0!</v>
      </c>
      <c r="D96" s="202" t="e">
        <f t="shared" si="60"/>
        <v>#DIV/0!</v>
      </c>
      <c r="F96" s="193">
        <f>IF(F92=0,0,F95/F92)</f>
        <v>246.36363636363637</v>
      </c>
      <c r="G96" s="224">
        <f>IF(G92=0,0,G95/G92)</f>
        <v>0</v>
      </c>
      <c r="H96" s="173">
        <f>IF(H92=0,0,H95/H92)</f>
        <v>0</v>
      </c>
      <c r="I96" s="176">
        <f>IF(I92=0,0,I95/I92)</f>
        <v>246.36363636363637</v>
      </c>
      <c r="J96" s="173">
        <f>IF(J92=0,0,J95/J92)</f>
        <v>246.36363636363637</v>
      </c>
      <c r="K96" s="90"/>
      <c r="L96" s="193">
        <f>IF(L92=0,0,L95/L92)</f>
        <v>217.77777777777777</v>
      </c>
      <c r="M96" s="172">
        <f>IF(M92=0,0,M95/M92)</f>
        <v>246.36363636363637</v>
      </c>
      <c r="N96" s="173">
        <f t="shared" si="61"/>
        <v>28.585858585858603</v>
      </c>
      <c r="O96" s="90"/>
      <c r="P96" s="235">
        <f>IF(P92=0,0,P95/P92)</f>
        <v>0</v>
      </c>
      <c r="Q96" s="90"/>
      <c r="R96" s="193">
        <f>IF(R92=0,0,R95/R92)</f>
        <v>0</v>
      </c>
      <c r="S96" s="172">
        <f t="shared" ref="S96:AC96" si="70">IF(S92=0,0,S95/S92)</f>
        <v>0</v>
      </c>
      <c r="T96" s="172">
        <f t="shared" si="70"/>
        <v>0</v>
      </c>
      <c r="U96" s="172">
        <f t="shared" si="70"/>
        <v>0</v>
      </c>
      <c r="V96" s="172">
        <f t="shared" si="70"/>
        <v>0</v>
      </c>
      <c r="W96" s="172">
        <f t="shared" si="70"/>
        <v>0</v>
      </c>
      <c r="X96" s="172">
        <f t="shared" si="70"/>
        <v>0</v>
      </c>
      <c r="Y96" s="172">
        <f t="shared" si="70"/>
        <v>0</v>
      </c>
      <c r="Z96" s="172">
        <f t="shared" si="70"/>
        <v>0</v>
      </c>
      <c r="AA96" s="172">
        <f t="shared" si="70"/>
        <v>0</v>
      </c>
      <c r="AB96" s="172">
        <f t="shared" si="70"/>
        <v>0</v>
      </c>
      <c r="AC96" s="173">
        <f t="shared" si="70"/>
        <v>0</v>
      </c>
      <c r="AD96" s="90"/>
      <c r="AE96" s="193">
        <f>IF(AE92=0,0,AE95/AE92)</f>
        <v>0</v>
      </c>
      <c r="AF96" s="172">
        <f t="shared" ref="AF96:AP96" si="71">IF(AF92=0,0,AF95/AF92)</f>
        <v>0</v>
      </c>
      <c r="AG96" s="172">
        <f t="shared" si="71"/>
        <v>0</v>
      </c>
      <c r="AH96" s="172">
        <f t="shared" si="71"/>
        <v>0</v>
      </c>
      <c r="AI96" s="172">
        <f t="shared" si="71"/>
        <v>0</v>
      </c>
      <c r="AJ96" s="172">
        <f t="shared" si="71"/>
        <v>0</v>
      </c>
      <c r="AK96" s="172">
        <f t="shared" si="71"/>
        <v>0</v>
      </c>
      <c r="AL96" s="172">
        <f t="shared" si="71"/>
        <v>0</v>
      </c>
      <c r="AM96" s="172">
        <f t="shared" si="71"/>
        <v>0</v>
      </c>
      <c r="AN96" s="172">
        <f t="shared" si="71"/>
        <v>0</v>
      </c>
      <c r="AO96" s="172">
        <f t="shared" si="71"/>
        <v>0</v>
      </c>
      <c r="AP96" s="173">
        <f t="shared" si="71"/>
        <v>0</v>
      </c>
    </row>
    <row r="97" spans="1:42" x14ac:dyDescent="0.2">
      <c r="B97" s="197"/>
      <c r="C97" s="197"/>
      <c r="D97" s="197"/>
    </row>
    <row r="98" spans="1:42" x14ac:dyDescent="0.2">
      <c r="B98" s="197"/>
      <c r="C98" s="197"/>
      <c r="D98" s="197"/>
    </row>
    <row r="99" spans="1:42" x14ac:dyDescent="0.2">
      <c r="B99" s="197"/>
      <c r="C99" s="197"/>
      <c r="D99" s="197"/>
    </row>
    <row r="100" spans="1:42" x14ac:dyDescent="0.2">
      <c r="A100" s="186"/>
      <c r="B100" s="1515" t="str">
        <f>CONCATENATE(Auftragsplanung!$A$11," ",$A$1)</f>
        <v xml:space="preserve"> (pro Jahr)</v>
      </c>
      <c r="C100" s="1516"/>
      <c r="D100" s="1517"/>
      <c r="F100" s="216" t="s">
        <v>669</v>
      </c>
      <c r="G100" s="203" t="s">
        <v>670</v>
      </c>
      <c r="H100" s="204" t="s">
        <v>671</v>
      </c>
      <c r="I100" s="237" t="s">
        <v>672</v>
      </c>
      <c r="J100" s="238" t="s">
        <v>673</v>
      </c>
      <c r="K100" s="90"/>
      <c r="L100" s="167" t="s">
        <v>674</v>
      </c>
      <c r="M100" s="203" t="s">
        <v>674</v>
      </c>
      <c r="N100" s="204" t="s">
        <v>675</v>
      </c>
      <c r="O100" s="90"/>
      <c r="P100" s="227" t="s">
        <v>676</v>
      </c>
      <c r="Q100" s="90"/>
      <c r="R100" s="1509" t="s">
        <v>671</v>
      </c>
      <c r="S100" s="1510"/>
      <c r="T100" s="1510"/>
      <c r="U100" s="1510"/>
      <c r="V100" s="1510"/>
      <c r="W100" s="1510"/>
      <c r="X100" s="1510"/>
      <c r="Y100" s="1510"/>
      <c r="Z100" s="1510"/>
      <c r="AA100" s="1510"/>
      <c r="AB100" s="1510"/>
      <c r="AC100" s="1511"/>
      <c r="AD100" s="90"/>
      <c r="AE100" s="1509" t="s">
        <v>677</v>
      </c>
      <c r="AF100" s="1510"/>
      <c r="AG100" s="1510"/>
      <c r="AH100" s="1510"/>
      <c r="AI100" s="1510"/>
      <c r="AJ100" s="1510"/>
      <c r="AK100" s="1510"/>
      <c r="AL100" s="1510"/>
      <c r="AM100" s="1510"/>
      <c r="AN100" s="1510"/>
      <c r="AO100" s="1510"/>
      <c r="AP100" s="1511"/>
    </row>
    <row r="101" spans="1:42" x14ac:dyDescent="0.2">
      <c r="A101" s="185"/>
      <c r="B101" s="189" t="s">
        <v>676</v>
      </c>
      <c r="C101" s="183" t="s">
        <v>205</v>
      </c>
      <c r="D101" s="184" t="s">
        <v>679</v>
      </c>
      <c r="F101" s="1512">
        <f>$B$1</f>
        <v>10</v>
      </c>
      <c r="G101" s="1513"/>
      <c r="H101" s="1513"/>
      <c r="I101" s="1513"/>
      <c r="J101" s="1514"/>
      <c r="K101" s="215"/>
      <c r="L101" s="189" t="s">
        <v>680</v>
      </c>
      <c r="M101" s="183" t="s">
        <v>681</v>
      </c>
      <c r="N101" s="184" t="s">
        <v>681</v>
      </c>
      <c r="O101" s="215"/>
      <c r="P101" s="228" t="s">
        <v>682</v>
      </c>
      <c r="Q101" s="215"/>
      <c r="R101" s="212" t="s">
        <v>38</v>
      </c>
      <c r="S101" s="213" t="s">
        <v>40</v>
      </c>
      <c r="T101" s="213" t="s">
        <v>43</v>
      </c>
      <c r="U101" s="213" t="s">
        <v>45</v>
      </c>
      <c r="V101" s="213" t="s">
        <v>47</v>
      </c>
      <c r="W101" s="213" t="s">
        <v>49</v>
      </c>
      <c r="X101" s="213" t="s">
        <v>51</v>
      </c>
      <c r="Y101" s="213" t="s">
        <v>52</v>
      </c>
      <c r="Z101" s="213" t="s">
        <v>54</v>
      </c>
      <c r="AA101" s="213" t="s">
        <v>55</v>
      </c>
      <c r="AB101" s="213" t="s">
        <v>56</v>
      </c>
      <c r="AC101" s="214" t="s">
        <v>57</v>
      </c>
      <c r="AD101" s="215"/>
      <c r="AE101" s="212" t="s">
        <v>38</v>
      </c>
      <c r="AF101" s="213" t="s">
        <v>40</v>
      </c>
      <c r="AG101" s="213" t="s">
        <v>43</v>
      </c>
      <c r="AH101" s="213" t="s">
        <v>45</v>
      </c>
      <c r="AI101" s="213" t="s">
        <v>47</v>
      </c>
      <c r="AJ101" s="213" t="s">
        <v>49</v>
      </c>
      <c r="AK101" s="213" t="s">
        <v>51</v>
      </c>
      <c r="AL101" s="213" t="s">
        <v>52</v>
      </c>
      <c r="AM101" s="213" t="s">
        <v>54</v>
      </c>
      <c r="AN101" s="213" t="s">
        <v>55</v>
      </c>
      <c r="AO101" s="213" t="s">
        <v>56</v>
      </c>
      <c r="AP101" s="214" t="s">
        <v>57</v>
      </c>
    </row>
    <row r="102" spans="1:42" x14ac:dyDescent="0.2">
      <c r="A102" s="180" t="s">
        <v>683</v>
      </c>
      <c r="B102" s="194"/>
      <c r="C102" s="181">
        <f>SUMIF(Auftragsplanung!$D$5:$Q$5,'DB I + DB II pro LC'!$A$122,Auftragsplanung!$D$18:$Q$18)</f>
        <v>0</v>
      </c>
      <c r="D102" s="199">
        <f t="shared" ref="D102:D112" si="72">IF(C102=0,0,F102/C102)</f>
        <v>0</v>
      </c>
      <c r="F102" s="205">
        <f>M102</f>
        <v>260000</v>
      </c>
      <c r="G102" s="218"/>
      <c r="H102" s="206">
        <f>HLOOKUP($B$2,$AE$101:$AP$112,2,FALSE)</f>
        <v>0</v>
      </c>
      <c r="I102" s="194"/>
      <c r="J102" s="182">
        <f>F102-H102</f>
        <v>260000</v>
      </c>
      <c r="L102" s="205">
        <v>200000</v>
      </c>
      <c r="M102" s="225">
        <v>260000</v>
      </c>
      <c r="N102" s="206">
        <f>M102-L102</f>
        <v>60000</v>
      </c>
      <c r="P102" s="229"/>
      <c r="R102" s="191">
        <f>SUMIF(Monatsplanung!$B$137:$B$150,'DB I + DB II pro LC'!$A$122,Monatsplanung!W$137:W$150)</f>
        <v>0</v>
      </c>
      <c r="S102" s="168">
        <f>SUMIF(Monatsplanung!$B$137:$B$150,'DB I + DB II pro LC'!$A$122,Monatsplanung!X$137:X$150)</f>
        <v>0</v>
      </c>
      <c r="T102" s="168">
        <f>SUMIF(Monatsplanung!$B$137:$B$150,'DB I + DB II pro LC'!$A$122,Monatsplanung!Y$137:Y$150)</f>
        <v>0</v>
      </c>
      <c r="U102" s="168">
        <f>SUMIF(Monatsplanung!$B$137:$B$150,'DB I + DB II pro LC'!$A$122,Monatsplanung!Z$137:Z$150)</f>
        <v>0</v>
      </c>
      <c r="V102" s="168">
        <f>SUMIF(Monatsplanung!$B$137:$B$150,'DB I + DB II pro LC'!$A$122,Monatsplanung!AA$137:AA$150)</f>
        <v>0</v>
      </c>
      <c r="W102" s="168">
        <f>SUMIF(Monatsplanung!$B$137:$B$150,'DB I + DB II pro LC'!$A$122,Monatsplanung!AB$137:AB$150)</f>
        <v>0</v>
      </c>
      <c r="X102" s="168">
        <f>SUMIF(Monatsplanung!$B$137:$B$150,'DB I + DB II pro LC'!$A$122,Monatsplanung!AC$137:AC$150)</f>
        <v>0</v>
      </c>
      <c r="Y102" s="168">
        <f>SUMIF(Monatsplanung!$B$137:$B$150,'DB I + DB II pro LC'!$A$122,Monatsplanung!AD$137:AD$150)</f>
        <v>0</v>
      </c>
      <c r="Z102" s="168">
        <f>SUMIF(Monatsplanung!$B$137:$B$150,'DB I + DB II pro LC'!$A$122,Monatsplanung!AE$137:AE$150)</f>
        <v>0</v>
      </c>
      <c r="AA102" s="168">
        <f>SUMIF(Monatsplanung!$B$137:$B$150,'DB I + DB II pro LC'!$A$122,Monatsplanung!AF$137:AF$150)</f>
        <v>0</v>
      </c>
      <c r="AB102" s="168">
        <f>SUMIF(Monatsplanung!$B$137:$B$150,'DB I + DB II pro LC'!$A$122,Monatsplanung!AG$137:AG$150)</f>
        <v>0</v>
      </c>
      <c r="AC102" s="169">
        <f>SUMIF(Monatsplanung!$B$137:$B$150,'DB I + DB II pro LC'!$A$122,Monatsplanung!AH$137:AH$150)</f>
        <v>0</v>
      </c>
      <c r="AE102" s="191">
        <f>SUM(R102)</f>
        <v>0</v>
      </c>
      <c r="AF102" s="168">
        <f>SUM(R102:S102)</f>
        <v>0</v>
      </c>
      <c r="AG102" s="168">
        <f>SUM(R102:T102)</f>
        <v>0</v>
      </c>
      <c r="AH102" s="168">
        <f>SUM(R102:U102)</f>
        <v>0</v>
      </c>
      <c r="AI102" s="168">
        <f>SUM(R102:V102)</f>
        <v>0</v>
      </c>
      <c r="AJ102" s="168">
        <f>SUM(R102:W102)</f>
        <v>0</v>
      </c>
      <c r="AK102" s="168">
        <f>SUM(R102:X102)</f>
        <v>0</v>
      </c>
      <c r="AL102" s="168">
        <f>SUM(R102:Y102)</f>
        <v>0</v>
      </c>
      <c r="AM102" s="168">
        <f>SUM(R102:Z102)</f>
        <v>0</v>
      </c>
      <c r="AN102" s="168">
        <f>SUM(R102:AA102)</f>
        <v>0</v>
      </c>
      <c r="AO102" s="168">
        <f>SUM(R102:AB102)</f>
        <v>0</v>
      </c>
      <c r="AP102" s="169">
        <f>SUM(R102:AC102)</f>
        <v>0</v>
      </c>
    </row>
    <row r="103" spans="1:42" x14ac:dyDescent="0.2">
      <c r="A103" s="177" t="s">
        <v>684</v>
      </c>
      <c r="B103" s="195"/>
      <c r="C103" s="168"/>
      <c r="D103" s="200">
        <f t="shared" si="72"/>
        <v>0</v>
      </c>
      <c r="F103" s="191">
        <f>M103</f>
        <v>5000</v>
      </c>
      <c r="G103" s="219"/>
      <c r="H103" s="169">
        <f>HLOOKUP($B$2,$AE$101:$AP$112,3,FALSE)</f>
        <v>0</v>
      </c>
      <c r="I103" s="195"/>
      <c r="J103" s="169">
        <f>F103-H103</f>
        <v>5000</v>
      </c>
      <c r="L103" s="191">
        <v>10000</v>
      </c>
      <c r="M103" s="226">
        <v>5000</v>
      </c>
      <c r="N103" s="169">
        <f t="shared" ref="N103:N112" si="73">M103-L103</f>
        <v>-5000</v>
      </c>
      <c r="P103" s="230"/>
      <c r="R103" s="191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9"/>
      <c r="AE103" s="191">
        <f>SUM(R103)</f>
        <v>0</v>
      </c>
      <c r="AF103" s="168">
        <f>SUM(R103:S103)</f>
        <v>0</v>
      </c>
      <c r="AG103" s="168">
        <f>SUM(R103:T103)</f>
        <v>0</v>
      </c>
      <c r="AH103" s="168">
        <f>SUM(R103:U103)</f>
        <v>0</v>
      </c>
      <c r="AI103" s="168">
        <f>SUM(R103:V103)</f>
        <v>0</v>
      </c>
      <c r="AJ103" s="168">
        <f>SUM(R103:W103)</f>
        <v>0</v>
      </c>
      <c r="AK103" s="168">
        <f>SUM(R103:X103)</f>
        <v>0</v>
      </c>
      <c r="AL103" s="168">
        <f>SUM(R103:Y103)</f>
        <v>0</v>
      </c>
      <c r="AM103" s="168">
        <f>SUM(R103:Z103)</f>
        <v>0</v>
      </c>
      <c r="AN103" s="168">
        <f>SUM(R103:AA103)</f>
        <v>0</v>
      </c>
      <c r="AO103" s="168">
        <f>SUM(R103:AB103)</f>
        <v>0</v>
      </c>
      <c r="AP103" s="169">
        <f>SUM(R103:AC103)</f>
        <v>0</v>
      </c>
    </row>
    <row r="104" spans="1:42" x14ac:dyDescent="0.2">
      <c r="A104" s="178" t="s">
        <v>366</v>
      </c>
      <c r="B104" s="196"/>
      <c r="C104" s="170">
        <f>C102+C103</f>
        <v>0</v>
      </c>
      <c r="D104" s="201">
        <f t="shared" si="72"/>
        <v>0</v>
      </c>
      <c r="F104" s="192">
        <f>F102+F103</f>
        <v>265000</v>
      </c>
      <c r="G104" s="220"/>
      <c r="H104" s="171">
        <f>H102+H103</f>
        <v>0</v>
      </c>
      <c r="I104" s="196"/>
      <c r="J104" s="171">
        <f>J102+J103</f>
        <v>265000</v>
      </c>
      <c r="K104" s="90"/>
      <c r="L104" s="192">
        <f>L102+L103</f>
        <v>210000</v>
      </c>
      <c r="M104" s="170">
        <f>M102+M103</f>
        <v>265000</v>
      </c>
      <c r="N104" s="171">
        <f t="shared" si="73"/>
        <v>55000</v>
      </c>
      <c r="O104" s="90"/>
      <c r="P104" s="231"/>
      <c r="Q104" s="90"/>
      <c r="R104" s="192">
        <f>R102+R103</f>
        <v>0</v>
      </c>
      <c r="S104" s="170">
        <f t="shared" ref="S104:AC104" si="74">S102+S103</f>
        <v>0</v>
      </c>
      <c r="T104" s="170">
        <f t="shared" si="74"/>
        <v>0</v>
      </c>
      <c r="U104" s="170">
        <f t="shared" si="74"/>
        <v>0</v>
      </c>
      <c r="V104" s="170">
        <f t="shared" si="74"/>
        <v>0</v>
      </c>
      <c r="W104" s="170">
        <f t="shared" si="74"/>
        <v>0</v>
      </c>
      <c r="X104" s="170">
        <f t="shared" si="74"/>
        <v>0</v>
      </c>
      <c r="Y104" s="170">
        <f t="shared" si="74"/>
        <v>0</v>
      </c>
      <c r="Z104" s="170">
        <f t="shared" si="74"/>
        <v>0</v>
      </c>
      <c r="AA104" s="170">
        <f t="shared" si="74"/>
        <v>0</v>
      </c>
      <c r="AB104" s="170">
        <f t="shared" si="74"/>
        <v>0</v>
      </c>
      <c r="AC104" s="171">
        <f t="shared" si="74"/>
        <v>0</v>
      </c>
      <c r="AD104" s="90"/>
      <c r="AE104" s="192">
        <f>AE102+AE103</f>
        <v>0</v>
      </c>
      <c r="AF104" s="170">
        <f t="shared" ref="AF104:AP104" si="75">AF102+AF103</f>
        <v>0</v>
      </c>
      <c r="AG104" s="170">
        <f t="shared" si="75"/>
        <v>0</v>
      </c>
      <c r="AH104" s="170">
        <f t="shared" si="75"/>
        <v>0</v>
      </c>
      <c r="AI104" s="170">
        <f t="shared" si="75"/>
        <v>0</v>
      </c>
      <c r="AJ104" s="170">
        <f t="shared" si="75"/>
        <v>0</v>
      </c>
      <c r="AK104" s="170">
        <f t="shared" si="75"/>
        <v>0</v>
      </c>
      <c r="AL104" s="170">
        <f t="shared" si="75"/>
        <v>0</v>
      </c>
      <c r="AM104" s="170">
        <f t="shared" si="75"/>
        <v>0</v>
      </c>
      <c r="AN104" s="170">
        <f t="shared" si="75"/>
        <v>0</v>
      </c>
      <c r="AO104" s="170">
        <f t="shared" si="75"/>
        <v>0</v>
      </c>
      <c r="AP104" s="171">
        <f t="shared" si="75"/>
        <v>0</v>
      </c>
    </row>
    <row r="105" spans="1:42" x14ac:dyDescent="0.2">
      <c r="A105" s="177" t="s">
        <v>685</v>
      </c>
      <c r="B105" s="195"/>
      <c r="C105" s="168">
        <f>SUMIF(Auftragsplanung!$D$5:$Q$5,'DB I + DB II pro LC'!$A$122,Auftragsplanung!$D$19:$Q$19)</f>
        <v>0</v>
      </c>
      <c r="D105" s="200">
        <f t="shared" si="72"/>
        <v>0</v>
      </c>
      <c r="F105" s="191">
        <f>M105</f>
        <v>110000</v>
      </c>
      <c r="G105" s="219"/>
      <c r="H105" s="169">
        <f>HLOOKUP($B$2,$AE$101:$AP$112,5,FALSE)</f>
        <v>0</v>
      </c>
      <c r="I105" s="195"/>
      <c r="J105" s="169">
        <f>F105-H105</f>
        <v>110000</v>
      </c>
      <c r="L105" s="191">
        <v>95000</v>
      </c>
      <c r="M105" s="226">
        <v>110000</v>
      </c>
      <c r="N105" s="169">
        <f t="shared" si="73"/>
        <v>15000</v>
      </c>
      <c r="P105" s="230"/>
      <c r="R105" s="191">
        <f>SUMIF(Monatsplanung!$B$137:$B$150,'DB I + DB II pro LC'!$A$122,Monatsplanung!W$160:W$173)</f>
        <v>0</v>
      </c>
      <c r="S105" s="168">
        <f>SUMIF(Monatsplanung!$B$137:$B$150,'DB I + DB II pro LC'!$A$122,Monatsplanung!X$160:X$173)</f>
        <v>0</v>
      </c>
      <c r="T105" s="168">
        <f>SUMIF(Monatsplanung!$B$137:$B$150,'DB I + DB II pro LC'!$A$122,Monatsplanung!Y$160:Y$173)</f>
        <v>0</v>
      </c>
      <c r="U105" s="168">
        <f>SUMIF(Monatsplanung!$B$137:$B$150,'DB I + DB II pro LC'!$A$122,Monatsplanung!Z$160:Z$173)</f>
        <v>0</v>
      </c>
      <c r="V105" s="168">
        <f>SUMIF(Monatsplanung!$B$137:$B$150,'DB I + DB II pro LC'!$A$122,Monatsplanung!AA$160:AA$173)</f>
        <v>0</v>
      </c>
      <c r="W105" s="168">
        <f>SUMIF(Monatsplanung!$B$137:$B$150,'DB I + DB II pro LC'!$A$122,Monatsplanung!AB$160:AB$173)</f>
        <v>0</v>
      </c>
      <c r="X105" s="168">
        <f>SUMIF(Monatsplanung!$B$137:$B$150,'DB I + DB II pro LC'!$A$122,Monatsplanung!AC$160:AC$173)</f>
        <v>0</v>
      </c>
      <c r="Y105" s="168">
        <f>SUMIF(Monatsplanung!$B$137:$B$150,'DB I + DB II pro LC'!$A$122,Monatsplanung!AD$160:AD$173)</f>
        <v>0</v>
      </c>
      <c r="Z105" s="168">
        <f>SUMIF(Monatsplanung!$B$137:$B$150,'DB I + DB II pro LC'!$A$122,Monatsplanung!AE$160:AE$173)</f>
        <v>0</v>
      </c>
      <c r="AA105" s="168">
        <f>SUMIF(Monatsplanung!$B$137:$B$150,'DB I + DB II pro LC'!$A$122,Monatsplanung!AF$160:AF$173)</f>
        <v>0</v>
      </c>
      <c r="AB105" s="168">
        <f>SUMIF(Monatsplanung!$B$137:$B$150,'DB I + DB II pro LC'!$A$122,Monatsplanung!AG$160:AG$173)</f>
        <v>0</v>
      </c>
      <c r="AC105" s="169">
        <f>SUMIF(Monatsplanung!$B$137:$B$150,'DB I + DB II pro LC'!$A$122,Monatsplanung!AH$160:AH$173)</f>
        <v>0</v>
      </c>
      <c r="AE105" s="191">
        <f>SUM(R105)</f>
        <v>0</v>
      </c>
      <c r="AF105" s="168">
        <f>SUM(R105:S105)</f>
        <v>0</v>
      </c>
      <c r="AG105" s="168">
        <f>SUM(R105:T105)</f>
        <v>0</v>
      </c>
      <c r="AH105" s="168">
        <f>SUM(R105:U105)</f>
        <v>0</v>
      </c>
      <c r="AI105" s="168">
        <f>SUM(R105:V105)</f>
        <v>0</v>
      </c>
      <c r="AJ105" s="168">
        <f>SUM(R105:W105)</f>
        <v>0</v>
      </c>
      <c r="AK105" s="168">
        <f>SUM(R105:X105)</f>
        <v>0</v>
      </c>
      <c r="AL105" s="168">
        <f>SUM(R105:Y105)</f>
        <v>0</v>
      </c>
      <c r="AM105" s="168">
        <f>SUM(R105:Z105)</f>
        <v>0</v>
      </c>
      <c r="AN105" s="168">
        <f>SUM(R105:AA105)</f>
        <v>0</v>
      </c>
      <c r="AO105" s="168">
        <f>SUM(R105:AB105)</f>
        <v>0</v>
      </c>
      <c r="AP105" s="169">
        <f>SUM(R105:AC105)</f>
        <v>0</v>
      </c>
    </row>
    <row r="106" spans="1:42" x14ac:dyDescent="0.2">
      <c r="A106" s="177" t="s">
        <v>686</v>
      </c>
      <c r="B106" s="190"/>
      <c r="C106" s="168">
        <f>SUMIF(Auftragsplanung!$D$5:$Q$5,'DB I + DB II pro LC'!$A$122,Auftragsplanung!$D$20:$Q$20)</f>
        <v>0</v>
      </c>
      <c r="D106" s="200">
        <f t="shared" si="72"/>
        <v>0</v>
      </c>
      <c r="F106" s="191">
        <f>M106</f>
        <v>2500</v>
      </c>
      <c r="G106" s="221"/>
      <c r="H106" s="169">
        <f>HLOOKUP($B$2,$AE$101:$AP$112,6,FALSE)</f>
        <v>0</v>
      </c>
      <c r="I106" s="190"/>
      <c r="J106" s="169">
        <f>F106-H106</f>
        <v>2500</v>
      </c>
      <c r="L106" s="191">
        <v>2000</v>
      </c>
      <c r="M106" s="226">
        <v>2500</v>
      </c>
      <c r="N106" s="169">
        <f t="shared" si="73"/>
        <v>500</v>
      </c>
      <c r="P106" s="232"/>
      <c r="R106" s="191">
        <f>SUMIF(Monatsplanung!$B$137:$B$150,'DB I + DB II pro LC'!$A$122,Monatsplanung!W$181:W$194)</f>
        <v>0</v>
      </c>
      <c r="S106" s="168">
        <f>SUMIF(Monatsplanung!$B$137:$B$150,'DB I + DB II pro LC'!$A$122,Monatsplanung!X$181:X$194)</f>
        <v>0</v>
      </c>
      <c r="T106" s="168">
        <f>SUMIF(Monatsplanung!$B$137:$B$150,'DB I + DB II pro LC'!$A$122,Monatsplanung!Y$181:Y$194)</f>
        <v>0</v>
      </c>
      <c r="U106" s="168">
        <f>SUMIF(Monatsplanung!$B$137:$B$150,'DB I + DB II pro LC'!$A$122,Monatsplanung!Z$181:Z$194)</f>
        <v>0</v>
      </c>
      <c r="V106" s="168">
        <f>SUMIF(Monatsplanung!$B$137:$B$150,'DB I + DB II pro LC'!$A$122,Monatsplanung!AA$181:AA$194)</f>
        <v>0</v>
      </c>
      <c r="W106" s="168">
        <f>SUMIF(Monatsplanung!$B$137:$B$150,'DB I + DB II pro LC'!$A$122,Monatsplanung!AB$181:AB$194)</f>
        <v>0</v>
      </c>
      <c r="X106" s="168">
        <f>SUMIF(Monatsplanung!$B$137:$B$150,'DB I + DB II pro LC'!$A$122,Monatsplanung!AC$181:AC$194)</f>
        <v>0</v>
      </c>
      <c r="Y106" s="168">
        <f>SUMIF(Monatsplanung!$B$137:$B$150,'DB I + DB II pro LC'!$A$122,Monatsplanung!AD$181:AD$194)</f>
        <v>0</v>
      </c>
      <c r="Z106" s="168">
        <f>SUMIF(Monatsplanung!$B$137:$B$150,'DB I + DB II pro LC'!$A$122,Monatsplanung!AE$181:AE$194)</f>
        <v>0</v>
      </c>
      <c r="AA106" s="168">
        <f>SUMIF(Monatsplanung!$B$137:$B$150,'DB I + DB II pro LC'!$A$122,Monatsplanung!AF$181:AF$194)</f>
        <v>0</v>
      </c>
      <c r="AB106" s="168">
        <f>SUMIF(Monatsplanung!$B$137:$B$150,'DB I + DB II pro LC'!$A$122,Monatsplanung!AG$181:AG$194)</f>
        <v>0</v>
      </c>
      <c r="AC106" s="169">
        <f>SUMIF(Monatsplanung!$B$137:$B$150,'DB I + DB II pro LC'!$A$122,Monatsplanung!AH$181:AH$194)</f>
        <v>0</v>
      </c>
      <c r="AE106" s="191">
        <f>SUM(R106)</f>
        <v>0</v>
      </c>
      <c r="AF106" s="168">
        <f>SUM(R106:S106)</f>
        <v>0</v>
      </c>
      <c r="AG106" s="168">
        <f>SUM(R106:T106)</f>
        <v>0</v>
      </c>
      <c r="AH106" s="168">
        <f>SUM(R106:U106)</f>
        <v>0</v>
      </c>
      <c r="AI106" s="168">
        <f>SUM(R106:V106)</f>
        <v>0</v>
      </c>
      <c r="AJ106" s="168">
        <f>SUM(R106:W106)</f>
        <v>0</v>
      </c>
      <c r="AK106" s="168">
        <f>SUM(R106:X106)</f>
        <v>0</v>
      </c>
      <c r="AL106" s="168">
        <f>SUM(R106:Y106)</f>
        <v>0</v>
      </c>
      <c r="AM106" s="168">
        <f>SUM(R106:Z106)</f>
        <v>0</v>
      </c>
      <c r="AN106" s="168">
        <f>SUM(R106:AA106)</f>
        <v>0</v>
      </c>
      <c r="AO106" s="168">
        <f>SUM(R106:AB106)</f>
        <v>0</v>
      </c>
      <c r="AP106" s="169">
        <f>SUM(R106:AC106)</f>
        <v>0</v>
      </c>
    </row>
    <row r="107" spans="1:42" x14ac:dyDescent="0.2">
      <c r="A107" s="178" t="s">
        <v>368</v>
      </c>
      <c r="B107" s="192">
        <f>Kostenverteilung!X43</f>
        <v>0</v>
      </c>
      <c r="C107" s="170">
        <f>C104-C105-C106</f>
        <v>0</v>
      </c>
      <c r="D107" s="201">
        <f t="shared" si="72"/>
        <v>0</v>
      </c>
      <c r="F107" s="192">
        <f>F104-F105-F106</f>
        <v>152500</v>
      </c>
      <c r="G107" s="222">
        <f>$P107*$B$1</f>
        <v>0</v>
      </c>
      <c r="H107" s="171">
        <f>H104-H105-H106</f>
        <v>0</v>
      </c>
      <c r="I107" s="175">
        <f>F107-G107</f>
        <v>152500</v>
      </c>
      <c r="J107" s="171">
        <f>J104-J105-J106</f>
        <v>152500</v>
      </c>
      <c r="K107" s="90"/>
      <c r="L107" s="192">
        <f>L104-L105-L106</f>
        <v>113000</v>
      </c>
      <c r="M107" s="170">
        <f>M104-M105-M106</f>
        <v>152500</v>
      </c>
      <c r="N107" s="171">
        <f t="shared" si="73"/>
        <v>39500</v>
      </c>
      <c r="O107" s="90"/>
      <c r="P107" s="233">
        <f>B107/12</f>
        <v>0</v>
      </c>
      <c r="Q107" s="90"/>
      <c r="R107" s="192">
        <f>R104-R105-R106</f>
        <v>0</v>
      </c>
      <c r="S107" s="170">
        <f t="shared" ref="S107:AC107" si="76">S104-S105-S106</f>
        <v>0</v>
      </c>
      <c r="T107" s="170">
        <f t="shared" si="76"/>
        <v>0</v>
      </c>
      <c r="U107" s="170">
        <f t="shared" si="76"/>
        <v>0</v>
      </c>
      <c r="V107" s="170">
        <f t="shared" si="76"/>
        <v>0</v>
      </c>
      <c r="W107" s="170">
        <f t="shared" si="76"/>
        <v>0</v>
      </c>
      <c r="X107" s="170">
        <f t="shared" si="76"/>
        <v>0</v>
      </c>
      <c r="Y107" s="170">
        <f t="shared" si="76"/>
        <v>0</v>
      </c>
      <c r="Z107" s="170">
        <f t="shared" si="76"/>
        <v>0</v>
      </c>
      <c r="AA107" s="170">
        <f t="shared" si="76"/>
        <v>0</v>
      </c>
      <c r="AB107" s="170">
        <f t="shared" si="76"/>
        <v>0</v>
      </c>
      <c r="AC107" s="171">
        <f t="shared" si="76"/>
        <v>0</v>
      </c>
      <c r="AD107" s="90"/>
      <c r="AE107" s="192">
        <f>AE104-AE105-AE106</f>
        <v>0</v>
      </c>
      <c r="AF107" s="170">
        <f t="shared" ref="AF107:AP107" si="77">AF104-AF105-AF106</f>
        <v>0</v>
      </c>
      <c r="AG107" s="170">
        <f t="shared" si="77"/>
        <v>0</v>
      </c>
      <c r="AH107" s="170">
        <f t="shared" si="77"/>
        <v>0</v>
      </c>
      <c r="AI107" s="170">
        <f t="shared" si="77"/>
        <v>0</v>
      </c>
      <c r="AJ107" s="170">
        <f t="shared" si="77"/>
        <v>0</v>
      </c>
      <c r="AK107" s="170">
        <f t="shared" si="77"/>
        <v>0</v>
      </c>
      <c r="AL107" s="170">
        <f t="shared" si="77"/>
        <v>0</v>
      </c>
      <c r="AM107" s="170">
        <f t="shared" si="77"/>
        <v>0</v>
      </c>
      <c r="AN107" s="170">
        <f t="shared" si="77"/>
        <v>0</v>
      </c>
      <c r="AO107" s="170">
        <f t="shared" si="77"/>
        <v>0</v>
      </c>
      <c r="AP107" s="171">
        <f t="shared" si="77"/>
        <v>0</v>
      </c>
    </row>
    <row r="108" spans="1:42" x14ac:dyDescent="0.2">
      <c r="A108" s="177" t="s">
        <v>687</v>
      </c>
      <c r="B108" s="191">
        <f>Kostenverteilung!X45</f>
        <v>0</v>
      </c>
      <c r="C108" s="168">
        <f>Kostenverteilung!X45</f>
        <v>0</v>
      </c>
      <c r="D108" s="200">
        <f t="shared" si="72"/>
        <v>0</v>
      </c>
      <c r="F108" s="191">
        <f>M108</f>
        <v>550</v>
      </c>
      <c r="G108" s="223">
        <f>$P108*$B$1</f>
        <v>0</v>
      </c>
      <c r="H108" s="217">
        <f>HLOOKUP($B$2,$AE$101:$AP$112,8,FALSE)</f>
        <v>0</v>
      </c>
      <c r="I108" s="174">
        <f>F108-G108</f>
        <v>550</v>
      </c>
      <c r="J108" s="169">
        <f>F108-H108</f>
        <v>550</v>
      </c>
      <c r="L108" s="191">
        <v>450</v>
      </c>
      <c r="M108" s="226">
        <v>550</v>
      </c>
      <c r="N108" s="169">
        <f t="shared" si="73"/>
        <v>100</v>
      </c>
      <c r="P108" s="234">
        <f>B108/12</f>
        <v>0</v>
      </c>
      <c r="R108" s="191">
        <f>IF(ISERROR(Mitarbeiterverteilung!$AL$107*R102/SUM($R$104:$AC$104)),0,Mitarbeiterverteilung!$AL$107*R102/SUM($R$104:$AC$104))</f>
        <v>0</v>
      </c>
      <c r="S108" s="168">
        <f>IF(ISERROR(Mitarbeiterverteilung!$AL$107*S102/SUM($R$104:$AC$104)),0,Mitarbeiterverteilung!$AL$107*S102/SUM($R$104:$AC$104))</f>
        <v>0</v>
      </c>
      <c r="T108" s="168">
        <f>IF(ISERROR(Mitarbeiterverteilung!$AL$107*T102/SUM($R$104:$AC$104)),0,Mitarbeiterverteilung!$AL$107*T102/SUM($R$104:$AC$104))</f>
        <v>0</v>
      </c>
      <c r="U108" s="168">
        <f>IF(ISERROR(Mitarbeiterverteilung!$AL$107*U102/SUM($R$104:$AC$104)),0,Mitarbeiterverteilung!$AL$107*U102/SUM($R$104:$AC$104))</f>
        <v>0</v>
      </c>
      <c r="V108" s="168">
        <f>IF(ISERROR(Mitarbeiterverteilung!$AL$107*V102/SUM($R$104:$AC$104)),0,Mitarbeiterverteilung!$AL$107*V102/SUM($R$104:$AC$104))</f>
        <v>0</v>
      </c>
      <c r="W108" s="168">
        <f>IF(ISERROR(Mitarbeiterverteilung!$AL$107*W102/SUM($R$104:$AC$104)),0,Mitarbeiterverteilung!$AL$107*W102/SUM($R$104:$AC$104))</f>
        <v>0</v>
      </c>
      <c r="X108" s="168">
        <f>IF(ISERROR(Mitarbeiterverteilung!$AL$107*X102/SUM($R$104:$AC$104)),0,Mitarbeiterverteilung!$AL$107*X102/SUM($R$104:$AC$104))</f>
        <v>0</v>
      </c>
      <c r="Y108" s="168">
        <f>IF(ISERROR(Mitarbeiterverteilung!$AL$107*Y102/SUM($R$104:$AC$104)),0,Mitarbeiterverteilung!$AL$107*Y102/SUM($R$104:$AC$104))</f>
        <v>0</v>
      </c>
      <c r="Z108" s="168">
        <f>IF(ISERROR(Mitarbeiterverteilung!$AL$107*Z102/SUM($R$104:$AC$104)),0,Mitarbeiterverteilung!$AL$107*Z102/SUM($R$104:$AC$104))</f>
        <v>0</v>
      </c>
      <c r="AA108" s="168">
        <f>IF(ISERROR(Mitarbeiterverteilung!$AL$107*AA102/SUM($R$104:$AC$104)),0,Mitarbeiterverteilung!$AL$107*AA102/SUM($R$104:$AC$104))</f>
        <v>0</v>
      </c>
      <c r="AB108" s="168">
        <f>IF(ISERROR(Mitarbeiterverteilung!$AL$107*AB102/SUM($R$104:$AC$104)),0,Mitarbeiterverteilung!$AL$107*AB102/SUM($R$104:$AC$104))</f>
        <v>0</v>
      </c>
      <c r="AC108" s="169">
        <f>IF(ISERROR(Mitarbeiterverteilung!$AL$107*AC102/SUM($R$104:$AC$104)),0,Mitarbeiterverteilung!$AL$107*AC102/SUM($R$104:$AC$104))</f>
        <v>0</v>
      </c>
      <c r="AE108" s="191">
        <f>SUM(R108)</f>
        <v>0</v>
      </c>
      <c r="AF108" s="168">
        <f>SUM(R108:S108)</f>
        <v>0</v>
      </c>
      <c r="AG108" s="168">
        <f>SUM(R108:T108)</f>
        <v>0</v>
      </c>
      <c r="AH108" s="168">
        <f>SUM(R108:U108)</f>
        <v>0</v>
      </c>
      <c r="AI108" s="168">
        <f>SUM(R108:V108)</f>
        <v>0</v>
      </c>
      <c r="AJ108" s="168">
        <f>SUM(R108:W108)</f>
        <v>0</v>
      </c>
      <c r="AK108" s="168">
        <f>SUM(R108:X108)</f>
        <v>0</v>
      </c>
      <c r="AL108" s="168">
        <f>SUM(R108:Y108)</f>
        <v>0</v>
      </c>
      <c r="AM108" s="168">
        <f>SUM(R108:Z108)</f>
        <v>0</v>
      </c>
      <c r="AN108" s="168">
        <f>SUM(R108:AA108)</f>
        <v>0</v>
      </c>
      <c r="AO108" s="168">
        <f>SUM(R108:AB108)</f>
        <v>0</v>
      </c>
      <c r="AP108" s="169">
        <f>SUM(R108:AC108)</f>
        <v>0</v>
      </c>
    </row>
    <row r="109" spans="1:42" x14ac:dyDescent="0.2">
      <c r="A109" s="178" t="s">
        <v>688</v>
      </c>
      <c r="B109" s="192">
        <f>IF(B108=0,0,B107/B108)</f>
        <v>0</v>
      </c>
      <c r="C109" s="170" t="e">
        <f>C107/C108</f>
        <v>#DIV/0!</v>
      </c>
      <c r="D109" s="201" t="e">
        <f t="shared" si="72"/>
        <v>#DIV/0!</v>
      </c>
      <c r="F109" s="192">
        <f>IF(F108=0,0,F107/F108)</f>
        <v>277.27272727272725</v>
      </c>
      <c r="G109" s="222">
        <f>IF(G108=0,0,G107/G108)</f>
        <v>0</v>
      </c>
      <c r="H109" s="171">
        <f>IF(H108=0,0,H107/H108)</f>
        <v>0</v>
      </c>
      <c r="I109" s="175">
        <f>IF(I108=0,0,I107/I108)</f>
        <v>277.27272727272725</v>
      </c>
      <c r="J109" s="171">
        <f>IF(J108=0,0,J107/J108)</f>
        <v>277.27272727272725</v>
      </c>
      <c r="K109" s="90"/>
      <c r="L109" s="192">
        <f>IF(L108=0,0,L107/L108)</f>
        <v>251.11111111111111</v>
      </c>
      <c r="M109" s="170">
        <f>IF(M108=0,0,M107/M108)</f>
        <v>277.27272727272725</v>
      </c>
      <c r="N109" s="171">
        <f t="shared" si="73"/>
        <v>26.161616161616138</v>
      </c>
      <c r="O109" s="90"/>
      <c r="P109" s="233">
        <f>IF(P108=0,0,P107/P108)</f>
        <v>0</v>
      </c>
      <c r="Q109" s="90"/>
      <c r="R109" s="192">
        <f>IF(R108=0,0,R107/R108)</f>
        <v>0</v>
      </c>
      <c r="S109" s="170">
        <f t="shared" ref="S109:AC109" si="78">IF(S108=0,0,S107/S108)</f>
        <v>0</v>
      </c>
      <c r="T109" s="170">
        <f t="shared" si="78"/>
        <v>0</v>
      </c>
      <c r="U109" s="170">
        <f t="shared" si="78"/>
        <v>0</v>
      </c>
      <c r="V109" s="170">
        <f t="shared" si="78"/>
        <v>0</v>
      </c>
      <c r="W109" s="170">
        <f t="shared" si="78"/>
        <v>0</v>
      </c>
      <c r="X109" s="170">
        <f t="shared" si="78"/>
        <v>0</v>
      </c>
      <c r="Y109" s="170">
        <f t="shared" si="78"/>
        <v>0</v>
      </c>
      <c r="Z109" s="170">
        <f t="shared" si="78"/>
        <v>0</v>
      </c>
      <c r="AA109" s="170">
        <f t="shared" si="78"/>
        <v>0</v>
      </c>
      <c r="AB109" s="170">
        <f t="shared" si="78"/>
        <v>0</v>
      </c>
      <c r="AC109" s="171">
        <f t="shared" si="78"/>
        <v>0</v>
      </c>
      <c r="AD109" s="90"/>
      <c r="AE109" s="192">
        <f>IF(AE108=0,0,AE107/AE108)</f>
        <v>0</v>
      </c>
      <c r="AF109" s="170">
        <f t="shared" ref="AF109:AP109" si="79">IF(AF108=0,0,AF107/AF108)</f>
        <v>0</v>
      </c>
      <c r="AG109" s="170">
        <f t="shared" si="79"/>
        <v>0</v>
      </c>
      <c r="AH109" s="170">
        <f t="shared" si="79"/>
        <v>0</v>
      </c>
      <c r="AI109" s="170">
        <f t="shared" si="79"/>
        <v>0</v>
      </c>
      <c r="AJ109" s="170">
        <f t="shared" si="79"/>
        <v>0</v>
      </c>
      <c r="AK109" s="170">
        <f t="shared" si="79"/>
        <v>0</v>
      </c>
      <c r="AL109" s="170">
        <f t="shared" si="79"/>
        <v>0</v>
      </c>
      <c r="AM109" s="170">
        <f t="shared" si="79"/>
        <v>0</v>
      </c>
      <c r="AN109" s="170">
        <f t="shared" si="79"/>
        <v>0</v>
      </c>
      <c r="AO109" s="170">
        <f t="shared" si="79"/>
        <v>0</v>
      </c>
      <c r="AP109" s="171">
        <f t="shared" si="79"/>
        <v>0</v>
      </c>
    </row>
    <row r="110" spans="1:42" x14ac:dyDescent="0.2">
      <c r="A110" s="177" t="s">
        <v>689</v>
      </c>
      <c r="B110" s="191">
        <f>Kostenverteilung!X49*B108</f>
        <v>0</v>
      </c>
      <c r="C110" s="168">
        <f>Kostenverteilung!X23</f>
        <v>0</v>
      </c>
      <c r="D110" s="200">
        <f t="shared" si="72"/>
        <v>0</v>
      </c>
      <c r="F110" s="191">
        <f>M110</f>
        <v>17000</v>
      </c>
      <c r="G110" s="223">
        <f>$P110*$B$1</f>
        <v>0</v>
      </c>
      <c r="H110" s="217">
        <f>HLOOKUP($B$2,$AE$101:$AP$112,10,FALSE)</f>
        <v>0</v>
      </c>
      <c r="I110" s="174">
        <f>F110-G110</f>
        <v>17000</v>
      </c>
      <c r="J110" s="169">
        <f>F110-H110</f>
        <v>17000</v>
      </c>
      <c r="L110" s="191">
        <v>15000</v>
      </c>
      <c r="M110" s="226">
        <v>17000</v>
      </c>
      <c r="N110" s="169">
        <f t="shared" si="73"/>
        <v>2000</v>
      </c>
      <c r="P110" s="234">
        <f>B110/12</f>
        <v>0</v>
      </c>
      <c r="R110" s="191">
        <f>IF(ISERROR(Mitarbeiterverteilung!$AA$107*R102/SUM($R$104:$AC$104)),0,Mitarbeiterverteilung!$AA$107*R102/SUM($R$104:$AC$104))</f>
        <v>0</v>
      </c>
      <c r="S110" s="168">
        <f>IF(ISERROR(Mitarbeiterverteilung!$AA$107*S102/SUM($R$104:$AC$104)),0,Mitarbeiterverteilung!$AA$107*S102/SUM($R$104:$AC$104))</f>
        <v>0</v>
      </c>
      <c r="T110" s="168">
        <f>IF(ISERROR(Mitarbeiterverteilung!$AA$107*T102/SUM($R$104:$AC$104)),0,Mitarbeiterverteilung!$AA$107*T102/SUM($R$104:$AC$104))</f>
        <v>0</v>
      </c>
      <c r="U110" s="168">
        <f>IF(ISERROR(Mitarbeiterverteilung!$AA$107*U102/SUM($R$104:$AC$104)),0,Mitarbeiterverteilung!$AA$107*U102/SUM($R$104:$AC$104))</f>
        <v>0</v>
      </c>
      <c r="V110" s="168">
        <f>IF(ISERROR(Mitarbeiterverteilung!$AA$107*V102/SUM($R$104:$AC$104)),0,Mitarbeiterverteilung!$AA$107*V102/SUM($R$104:$AC$104))</f>
        <v>0</v>
      </c>
      <c r="W110" s="168">
        <f>IF(ISERROR(Mitarbeiterverteilung!$AA$107*W102/SUM($R$104:$AC$104)),0,Mitarbeiterverteilung!$AA$107*W102/SUM($R$104:$AC$104))</f>
        <v>0</v>
      </c>
      <c r="X110" s="168">
        <f>IF(ISERROR(Mitarbeiterverteilung!$AA$107*X102/SUM($R$104:$AC$104)),0,Mitarbeiterverteilung!$AA$107*X102/SUM($R$104:$AC$104))</f>
        <v>0</v>
      </c>
      <c r="Y110" s="168">
        <f>IF(ISERROR(Mitarbeiterverteilung!$AA$107*Y102/SUM($R$104:$AC$104)),0,Mitarbeiterverteilung!$AA$107*Y102/SUM($R$104:$AC$104))</f>
        <v>0</v>
      </c>
      <c r="Z110" s="168">
        <f>IF(ISERROR(Mitarbeiterverteilung!$AA$107*Z102/SUM($R$104:$AC$104)),0,Mitarbeiterverteilung!$AA$107*Z102/SUM($R$104:$AC$104))</f>
        <v>0</v>
      </c>
      <c r="AA110" s="168">
        <f>IF(ISERROR(Mitarbeiterverteilung!$AA$107*AA102/SUM($R$104:$AC$104)),0,Mitarbeiterverteilung!$AA$107*AA102/SUM($R$104:$AC$104))</f>
        <v>0</v>
      </c>
      <c r="AB110" s="168">
        <f>IF(ISERROR(Mitarbeiterverteilung!$AA$107*AB102/SUM($R$104:$AC$104)),0,Mitarbeiterverteilung!$AA$107*AB102/SUM($R$104:$AC$104))</f>
        <v>0</v>
      </c>
      <c r="AC110" s="169">
        <f>IF(ISERROR(Mitarbeiterverteilung!$AA$107*AC102/SUM($R$104:$AC$104)),0,Mitarbeiterverteilung!$AA$107*AC102/SUM($R$104:$AC$104))</f>
        <v>0</v>
      </c>
      <c r="AE110" s="191">
        <f>SUM(R110)</f>
        <v>0</v>
      </c>
      <c r="AF110" s="168">
        <f>SUM(R110:S110)</f>
        <v>0</v>
      </c>
      <c r="AG110" s="168">
        <f>SUM(R110:T110)</f>
        <v>0</v>
      </c>
      <c r="AH110" s="168">
        <f>SUM(R110:U110)</f>
        <v>0</v>
      </c>
      <c r="AI110" s="168">
        <f>SUM(R110:V110)</f>
        <v>0</v>
      </c>
      <c r="AJ110" s="168">
        <f>SUM(R110:W110)</f>
        <v>0</v>
      </c>
      <c r="AK110" s="168">
        <f>SUM(R110:X110)</f>
        <v>0</v>
      </c>
      <c r="AL110" s="168">
        <f>SUM(R110:Y110)</f>
        <v>0</v>
      </c>
      <c r="AM110" s="168">
        <f>SUM(R110:Z110)</f>
        <v>0</v>
      </c>
      <c r="AN110" s="168">
        <f>SUM(R110:AA110)</f>
        <v>0</v>
      </c>
      <c r="AO110" s="168">
        <f>SUM(R110:AB110)</f>
        <v>0</v>
      </c>
      <c r="AP110" s="169">
        <f>SUM(R110:AC110)</f>
        <v>0</v>
      </c>
    </row>
    <row r="111" spans="1:42" x14ac:dyDescent="0.2">
      <c r="A111" s="178" t="s">
        <v>690</v>
      </c>
      <c r="B111" s="192">
        <f>B107-B110</f>
        <v>0</v>
      </c>
      <c r="C111" s="170">
        <f>C107-C110</f>
        <v>0</v>
      </c>
      <c r="D111" s="201">
        <f t="shared" si="72"/>
        <v>0</v>
      </c>
      <c r="F111" s="192">
        <f>F107-F110</f>
        <v>135500</v>
      </c>
      <c r="G111" s="222">
        <f>G107-G110</f>
        <v>0</v>
      </c>
      <c r="H111" s="171">
        <f>H107-H110</f>
        <v>0</v>
      </c>
      <c r="I111" s="175">
        <f>I107-I110</f>
        <v>135500</v>
      </c>
      <c r="J111" s="171">
        <f>J107-J110</f>
        <v>135500</v>
      </c>
      <c r="K111" s="90"/>
      <c r="L111" s="192">
        <f>L107-L110</f>
        <v>98000</v>
      </c>
      <c r="M111" s="170">
        <f>M107-M110</f>
        <v>135500</v>
      </c>
      <c r="N111" s="171">
        <f t="shared" si="73"/>
        <v>37500</v>
      </c>
      <c r="O111" s="90"/>
      <c r="P111" s="233">
        <f>P107-P110</f>
        <v>0</v>
      </c>
      <c r="Q111" s="90"/>
      <c r="R111" s="192">
        <f>R107-R110</f>
        <v>0</v>
      </c>
      <c r="S111" s="170">
        <f t="shared" ref="S111:AC111" si="80">S107-S110</f>
        <v>0</v>
      </c>
      <c r="T111" s="170">
        <f t="shared" si="80"/>
        <v>0</v>
      </c>
      <c r="U111" s="170">
        <f t="shared" si="80"/>
        <v>0</v>
      </c>
      <c r="V111" s="170">
        <f t="shared" si="80"/>
        <v>0</v>
      </c>
      <c r="W111" s="170">
        <f t="shared" si="80"/>
        <v>0</v>
      </c>
      <c r="X111" s="170">
        <f t="shared" si="80"/>
        <v>0</v>
      </c>
      <c r="Y111" s="170">
        <f t="shared" si="80"/>
        <v>0</v>
      </c>
      <c r="Z111" s="170">
        <f t="shared" si="80"/>
        <v>0</v>
      </c>
      <c r="AA111" s="170">
        <f t="shared" si="80"/>
        <v>0</v>
      </c>
      <c r="AB111" s="170">
        <f t="shared" si="80"/>
        <v>0</v>
      </c>
      <c r="AC111" s="171">
        <f t="shared" si="80"/>
        <v>0</v>
      </c>
      <c r="AD111" s="90"/>
      <c r="AE111" s="192">
        <f>AE107-AE110</f>
        <v>0</v>
      </c>
      <c r="AF111" s="170">
        <f t="shared" ref="AF111:AP111" si="81">AF107-AF110</f>
        <v>0</v>
      </c>
      <c r="AG111" s="170">
        <f t="shared" si="81"/>
        <v>0</v>
      </c>
      <c r="AH111" s="170">
        <f t="shared" si="81"/>
        <v>0</v>
      </c>
      <c r="AI111" s="170">
        <f t="shared" si="81"/>
        <v>0</v>
      </c>
      <c r="AJ111" s="170">
        <f t="shared" si="81"/>
        <v>0</v>
      </c>
      <c r="AK111" s="170">
        <f t="shared" si="81"/>
        <v>0</v>
      </c>
      <c r="AL111" s="170">
        <f t="shared" si="81"/>
        <v>0</v>
      </c>
      <c r="AM111" s="170">
        <f t="shared" si="81"/>
        <v>0</v>
      </c>
      <c r="AN111" s="170">
        <f t="shared" si="81"/>
        <v>0</v>
      </c>
      <c r="AO111" s="170">
        <f t="shared" si="81"/>
        <v>0</v>
      </c>
      <c r="AP111" s="171">
        <f t="shared" si="81"/>
        <v>0</v>
      </c>
    </row>
    <row r="112" spans="1:42" x14ac:dyDescent="0.2">
      <c r="A112" s="179" t="s">
        <v>691</v>
      </c>
      <c r="B112" s="193">
        <f>IF(B108=0,0,B111/B108)</f>
        <v>0</v>
      </c>
      <c r="C112" s="172" t="e">
        <f>C111/C108</f>
        <v>#DIV/0!</v>
      </c>
      <c r="D112" s="202" t="e">
        <f t="shared" si="72"/>
        <v>#DIV/0!</v>
      </c>
      <c r="F112" s="193">
        <f>IF(F108=0,0,F111/F108)</f>
        <v>246.36363636363637</v>
      </c>
      <c r="G112" s="224">
        <f>IF(G108=0,0,G111/G108)</f>
        <v>0</v>
      </c>
      <c r="H112" s="173">
        <f>IF(H108=0,0,H111/H108)</f>
        <v>0</v>
      </c>
      <c r="I112" s="176">
        <f>IF(I108=0,0,I111/I108)</f>
        <v>246.36363636363637</v>
      </c>
      <c r="J112" s="173">
        <f>IF(J108=0,0,J111/J108)</f>
        <v>246.36363636363637</v>
      </c>
      <c r="K112" s="90"/>
      <c r="L112" s="193">
        <f>IF(L108=0,0,L111/L108)</f>
        <v>217.77777777777777</v>
      </c>
      <c r="M112" s="172">
        <f>IF(M108=0,0,M111/M108)</f>
        <v>246.36363636363637</v>
      </c>
      <c r="N112" s="173">
        <f t="shared" si="73"/>
        <v>28.585858585858603</v>
      </c>
      <c r="O112" s="90"/>
      <c r="P112" s="235">
        <f>IF(P108=0,0,P111/P108)</f>
        <v>0</v>
      </c>
      <c r="Q112" s="90"/>
      <c r="R112" s="193">
        <f>IF(R108=0,0,R111/R108)</f>
        <v>0</v>
      </c>
      <c r="S112" s="172">
        <f t="shared" ref="S112:AC112" si="82">IF(S108=0,0,S111/S108)</f>
        <v>0</v>
      </c>
      <c r="T112" s="172">
        <f t="shared" si="82"/>
        <v>0</v>
      </c>
      <c r="U112" s="172">
        <f t="shared" si="82"/>
        <v>0</v>
      </c>
      <c r="V112" s="172">
        <f t="shared" si="82"/>
        <v>0</v>
      </c>
      <c r="W112" s="172">
        <f t="shared" si="82"/>
        <v>0</v>
      </c>
      <c r="X112" s="172">
        <f t="shared" si="82"/>
        <v>0</v>
      </c>
      <c r="Y112" s="172">
        <f t="shared" si="82"/>
        <v>0</v>
      </c>
      <c r="Z112" s="172">
        <f t="shared" si="82"/>
        <v>0</v>
      </c>
      <c r="AA112" s="172">
        <f t="shared" si="82"/>
        <v>0</v>
      </c>
      <c r="AB112" s="172">
        <f t="shared" si="82"/>
        <v>0</v>
      </c>
      <c r="AC112" s="173">
        <f t="shared" si="82"/>
        <v>0</v>
      </c>
      <c r="AD112" s="90"/>
      <c r="AE112" s="193">
        <f>IF(AE108=0,0,AE111/AE108)</f>
        <v>0</v>
      </c>
      <c r="AF112" s="172">
        <f t="shared" ref="AF112:AP112" si="83">IF(AF108=0,0,AF111/AF108)</f>
        <v>0</v>
      </c>
      <c r="AG112" s="172">
        <f t="shared" si="83"/>
        <v>0</v>
      </c>
      <c r="AH112" s="172">
        <f t="shared" si="83"/>
        <v>0</v>
      </c>
      <c r="AI112" s="172">
        <f t="shared" si="83"/>
        <v>0</v>
      </c>
      <c r="AJ112" s="172">
        <f t="shared" si="83"/>
        <v>0</v>
      </c>
      <c r="AK112" s="172">
        <f t="shared" si="83"/>
        <v>0</v>
      </c>
      <c r="AL112" s="172">
        <f t="shared" si="83"/>
        <v>0</v>
      </c>
      <c r="AM112" s="172">
        <f t="shared" si="83"/>
        <v>0</v>
      </c>
      <c r="AN112" s="172">
        <f t="shared" si="83"/>
        <v>0</v>
      </c>
      <c r="AO112" s="172">
        <f t="shared" si="83"/>
        <v>0</v>
      </c>
      <c r="AP112" s="173">
        <f t="shared" si="83"/>
        <v>0</v>
      </c>
    </row>
    <row r="113" spans="1:4" x14ac:dyDescent="0.2">
      <c r="B113" s="197"/>
      <c r="C113" s="197"/>
      <c r="D113" s="197"/>
    </row>
    <row r="114" spans="1:4" x14ac:dyDescent="0.2">
      <c r="B114" s="197"/>
      <c r="C114" s="197"/>
      <c r="D114" s="197"/>
    </row>
    <row r="115" spans="1:4" x14ac:dyDescent="0.2">
      <c r="B115" s="197"/>
      <c r="C115" s="197"/>
      <c r="D115" s="197"/>
    </row>
    <row r="116" spans="1:4" outlineLevel="1" x14ac:dyDescent="0.2">
      <c r="A116" s="240" t="str">
        <f>Auftragsplanung!$A5</f>
        <v>Gesamt</v>
      </c>
    </row>
    <row r="117" spans="1:4" outlineLevel="1" x14ac:dyDescent="0.2">
      <c r="A117" s="240">
        <f>Auftragsplanung!$A6</f>
        <v>0</v>
      </c>
    </row>
    <row r="118" spans="1:4" outlineLevel="1" x14ac:dyDescent="0.2">
      <c r="A118" s="240">
        <f>Auftragsplanung!$A7</f>
        <v>0</v>
      </c>
    </row>
    <row r="119" spans="1:4" outlineLevel="1" x14ac:dyDescent="0.2">
      <c r="A119" s="240">
        <f>Auftragsplanung!$A8</f>
        <v>0</v>
      </c>
    </row>
    <row r="120" spans="1:4" outlineLevel="1" x14ac:dyDescent="0.2">
      <c r="A120" s="240">
        <f>Auftragsplanung!$A9</f>
        <v>0</v>
      </c>
    </row>
    <row r="121" spans="1:4" outlineLevel="1" x14ac:dyDescent="0.2">
      <c r="A121" s="240">
        <f>Auftragsplanung!$A10</f>
        <v>0</v>
      </c>
    </row>
    <row r="122" spans="1:4" outlineLevel="1" x14ac:dyDescent="0.2">
      <c r="A122" s="240">
        <f>Auftragsplanung!$A11</f>
        <v>0</v>
      </c>
    </row>
    <row r="123" spans="1:4" outlineLevel="1" x14ac:dyDescent="0.2">
      <c r="A123" s="89"/>
    </row>
    <row r="124" spans="1:4" outlineLevel="1" x14ac:dyDescent="0.2">
      <c r="A124" s="89"/>
    </row>
    <row r="125" spans="1:4" outlineLevel="1" x14ac:dyDescent="0.2">
      <c r="A125" s="89"/>
    </row>
  </sheetData>
  <mergeCells count="28">
    <mergeCell ref="R100:AC100"/>
    <mergeCell ref="AE100:AP100"/>
    <mergeCell ref="F101:J101"/>
    <mergeCell ref="R68:AC68"/>
    <mergeCell ref="AE68:AP68"/>
    <mergeCell ref="F69:J69"/>
    <mergeCell ref="R84:AC84"/>
    <mergeCell ref="AE84:AP84"/>
    <mergeCell ref="F85:J85"/>
    <mergeCell ref="R36:AC36"/>
    <mergeCell ref="AE36:AP36"/>
    <mergeCell ref="F37:J37"/>
    <mergeCell ref="R52:AC52"/>
    <mergeCell ref="AE52:AP52"/>
    <mergeCell ref="F53:J53"/>
    <mergeCell ref="B100:D100"/>
    <mergeCell ref="B4:D4"/>
    <mergeCell ref="B20:D20"/>
    <mergeCell ref="B36:D36"/>
    <mergeCell ref="B52:D52"/>
    <mergeCell ref="B68:D68"/>
    <mergeCell ref="B84:D84"/>
    <mergeCell ref="AE4:AP4"/>
    <mergeCell ref="F5:J5"/>
    <mergeCell ref="R20:AC20"/>
    <mergeCell ref="AE20:AP20"/>
    <mergeCell ref="F21:J21"/>
    <mergeCell ref="R4:AC4"/>
  </mergeCells>
  <pageMargins left="0.7" right="0.7" top="0.78740157499999996" bottom="0.78740157499999996" header="0.3" footer="0.3"/>
  <pageSetup paperSize="9"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4"/>
  <dimension ref="A1:AL193"/>
  <sheetViews>
    <sheetView showGridLines="0" zoomScale="90" zoomScaleNormal="90" workbookViewId="0">
      <pane xSplit="3" ySplit="11" topLeftCell="D69" activePane="bottomRight" state="frozen"/>
      <selection activeCell="F11" sqref="F11"/>
      <selection pane="topRight" activeCell="F11" sqref="F11"/>
      <selection pane="bottomLeft" activeCell="F11" sqref="F11"/>
      <selection pane="bottomRight" activeCell="C94" sqref="C94"/>
    </sheetView>
  </sheetViews>
  <sheetFormatPr baseColWidth="10" defaultRowHeight="12.75" x14ac:dyDescent="0.2"/>
  <cols>
    <col min="1" max="1" width="5.85546875" style="85" customWidth="1"/>
    <col min="2" max="2" width="37" style="3" customWidth="1"/>
    <col min="3" max="3" width="13.42578125" style="3" bestFit="1" customWidth="1"/>
    <col min="4" max="4" width="14.5703125" style="3" bestFit="1" customWidth="1"/>
    <col min="5" max="5" width="11.85546875" style="3" bestFit="1" customWidth="1"/>
    <col min="7" max="7" width="13.7109375" style="3" bestFit="1" customWidth="1"/>
    <col min="8" max="8" width="11.85546875" style="3" bestFit="1" customWidth="1"/>
    <col min="9" max="9" width="13.85546875" style="3" bestFit="1" customWidth="1"/>
    <col min="10" max="10" width="16.85546875" style="3" bestFit="1" customWidth="1"/>
    <col min="11" max="11" width="12.7109375" style="3" bestFit="1" customWidth="1"/>
    <col min="12" max="13" width="16" style="3" bestFit="1" customWidth="1"/>
    <col min="14" max="14" width="14.5703125" style="3" bestFit="1" customWidth="1"/>
    <col min="15" max="15" width="11.85546875" style="3" bestFit="1" customWidth="1"/>
    <col min="16" max="38" width="11.42578125" style="85" customWidth="1"/>
  </cols>
  <sheetData>
    <row r="1" spans="1:16" s="85" customFormat="1" x14ac:dyDescent="0.2">
      <c r="A1" s="412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2"/>
    </row>
    <row r="2" spans="1:16" s="85" customFormat="1" x14ac:dyDescent="0.2">
      <c r="A2" s="412"/>
      <c r="C2" s="413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2"/>
    </row>
    <row r="3" spans="1:16" s="85" customFormat="1" x14ac:dyDescent="0.2">
      <c r="A3" s="412"/>
      <c r="C3" s="413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2"/>
    </row>
    <row r="4" spans="1:16" s="85" customFormat="1" x14ac:dyDescent="0.2">
      <c r="A4" s="412"/>
      <c r="C4" s="413"/>
      <c r="D4" s="413"/>
      <c r="E4" s="413"/>
      <c r="F4" s="413"/>
      <c r="G4" s="413"/>
      <c r="H4" s="413"/>
      <c r="I4" s="413"/>
      <c r="J4" s="413"/>
      <c r="K4" s="413"/>
      <c r="L4" s="413"/>
      <c r="M4" s="413"/>
      <c r="N4" s="413"/>
      <c r="O4" s="413"/>
      <c r="P4" s="412"/>
    </row>
    <row r="5" spans="1:16" s="85" customFormat="1" x14ac:dyDescent="0.2">
      <c r="A5" s="412"/>
      <c r="B5" s="412"/>
      <c r="C5" s="413"/>
      <c r="D5" s="413"/>
      <c r="E5" s="413"/>
      <c r="F5" s="413"/>
      <c r="G5" s="413"/>
      <c r="H5" s="413"/>
      <c r="I5" s="413"/>
      <c r="J5" s="413"/>
      <c r="K5" s="413"/>
      <c r="L5" s="413"/>
      <c r="M5" s="413"/>
      <c r="N5" s="413"/>
      <c r="O5" s="413"/>
      <c r="P5" s="412"/>
    </row>
    <row r="6" spans="1:16" s="85" customFormat="1" ht="27.75" x14ac:dyDescent="0.2">
      <c r="A6" s="414"/>
      <c r="B6" s="415" t="s">
        <v>546</v>
      </c>
      <c r="C6" s="416"/>
      <c r="D6" s="417"/>
      <c r="E6" s="416"/>
      <c r="F6" s="416"/>
      <c r="G6" s="416"/>
      <c r="H6" s="416"/>
      <c r="I6" s="418"/>
      <c r="J6" s="418"/>
      <c r="K6" s="418"/>
      <c r="L6" s="418"/>
      <c r="M6" s="418"/>
      <c r="N6" s="418"/>
      <c r="O6" s="418"/>
      <c r="P6" s="414"/>
    </row>
    <row r="7" spans="1:16" s="85" customFormat="1" x14ac:dyDescent="0.2">
      <c r="A7" s="412"/>
      <c r="B7" s="413"/>
      <c r="C7" s="413"/>
      <c r="D7" s="413"/>
      <c r="E7" s="413"/>
      <c r="F7" s="413"/>
      <c r="G7" s="413"/>
      <c r="H7" s="413"/>
      <c r="I7" s="413"/>
      <c r="J7" s="413"/>
      <c r="K7" s="413"/>
      <c r="L7" s="413"/>
      <c r="M7" s="413"/>
      <c r="N7" s="413"/>
      <c r="O7" s="413"/>
      <c r="P7" s="412"/>
    </row>
    <row r="8" spans="1:16" s="85" customFormat="1" ht="15.75" x14ac:dyDescent="0.25">
      <c r="A8" s="412"/>
      <c r="B8" s="419"/>
      <c r="C8" s="420"/>
      <c r="D8" s="420"/>
      <c r="E8" s="420"/>
      <c r="F8" s="420"/>
      <c r="G8" s="420"/>
      <c r="H8" s="420"/>
      <c r="I8" s="413"/>
      <c r="J8" s="413"/>
      <c r="K8" s="413"/>
      <c r="L8" s="413"/>
      <c r="M8" s="413"/>
      <c r="N8" s="413"/>
      <c r="O8" s="413"/>
      <c r="P8" s="412"/>
    </row>
    <row r="9" spans="1:16" s="85" customFormat="1" ht="15" x14ac:dyDescent="0.2">
      <c r="A9" s="412"/>
      <c r="B9" s="559" t="s">
        <v>547</v>
      </c>
      <c r="C9" s="420"/>
      <c r="D9" s="420"/>
      <c r="E9" s="420"/>
      <c r="F9" s="420"/>
      <c r="G9" s="420"/>
      <c r="H9" s="420"/>
      <c r="I9" s="413"/>
      <c r="J9" s="413"/>
      <c r="K9" s="413"/>
      <c r="L9" s="413"/>
      <c r="M9" s="413"/>
      <c r="N9" s="413"/>
      <c r="O9" s="413"/>
      <c r="P9" s="412"/>
    </row>
    <row r="10" spans="1:16" ht="15.75" x14ac:dyDescent="0.25">
      <c r="A10" s="412"/>
      <c r="B10" s="421"/>
      <c r="C10" s="422"/>
      <c r="D10" s="1518" t="s">
        <v>548</v>
      </c>
      <c r="E10" s="1519"/>
      <c r="F10" s="1519"/>
      <c r="G10" s="1519"/>
      <c r="H10" s="1520"/>
      <c r="I10" s="413"/>
      <c r="J10" s="413"/>
      <c r="K10" s="413"/>
      <c r="L10" s="413"/>
      <c r="M10" s="413"/>
      <c r="N10" s="413"/>
      <c r="O10" s="413"/>
      <c r="P10" s="412"/>
    </row>
    <row r="11" spans="1:16" ht="15.75" x14ac:dyDescent="0.25">
      <c r="A11" s="412"/>
      <c r="B11" s="316" t="s">
        <v>1</v>
      </c>
      <c r="C11" s="317" t="s">
        <v>134</v>
      </c>
      <c r="D11" s="318" t="s">
        <v>511</v>
      </c>
      <c r="E11" s="319" t="s">
        <v>549</v>
      </c>
      <c r="F11" s="320" t="s">
        <v>550</v>
      </c>
      <c r="G11" s="319" t="s">
        <v>551</v>
      </c>
      <c r="H11" s="321" t="s">
        <v>552</v>
      </c>
      <c r="I11" s="413"/>
      <c r="J11" s="413"/>
      <c r="K11" s="413"/>
      <c r="L11" s="413"/>
      <c r="M11" s="413"/>
      <c r="N11" s="413"/>
      <c r="O11" s="413"/>
      <c r="P11" s="412"/>
    </row>
    <row r="12" spans="1:16" ht="15" x14ac:dyDescent="0.2">
      <c r="A12" s="423"/>
      <c r="B12" s="449" t="s">
        <v>553</v>
      </c>
      <c r="C12" s="428">
        <f>SUM(D12:H12)</f>
        <v>113.99999999999999</v>
      </c>
      <c r="D12" s="458">
        <f>D52</f>
        <v>22.8</v>
      </c>
      <c r="E12" s="459">
        <f>E52</f>
        <v>22.8</v>
      </c>
      <c r="F12" s="459">
        <f>F52</f>
        <v>22.8</v>
      </c>
      <c r="G12" s="459">
        <f>G52</f>
        <v>22.8</v>
      </c>
      <c r="H12" s="435">
        <f>H52</f>
        <v>22.799999999999986</v>
      </c>
      <c r="I12" s="424"/>
      <c r="J12" s="424"/>
      <c r="K12" s="424"/>
      <c r="L12" s="424"/>
      <c r="M12" s="424"/>
      <c r="N12" s="413"/>
      <c r="O12" s="413"/>
      <c r="P12" s="412"/>
    </row>
    <row r="13" spans="1:16" ht="15" x14ac:dyDescent="0.2">
      <c r="A13" s="412"/>
      <c r="B13" s="449" t="s">
        <v>554</v>
      </c>
      <c r="C13" s="428">
        <f>SUM(D13:H13)</f>
        <v>0</v>
      </c>
      <c r="D13" s="460">
        <v>0</v>
      </c>
      <c r="E13" s="461">
        <f>C60</f>
        <v>0</v>
      </c>
      <c r="F13" s="428">
        <f>C58</f>
        <v>0</v>
      </c>
      <c r="G13" s="462">
        <v>0</v>
      </c>
      <c r="H13" s="436">
        <v>0</v>
      </c>
      <c r="I13" s="424"/>
      <c r="J13" s="424"/>
      <c r="K13" s="424"/>
      <c r="L13" s="424"/>
      <c r="M13" s="424"/>
      <c r="N13" s="413"/>
      <c r="O13" s="413"/>
      <c r="P13" s="412"/>
    </row>
    <row r="14" spans="1:16" ht="15" x14ac:dyDescent="0.2">
      <c r="A14" s="412"/>
      <c r="B14" s="450" t="s">
        <v>555</v>
      </c>
      <c r="C14" s="463">
        <f>'Planzahlen Rentabilität'!D43</f>
        <v>1500</v>
      </c>
      <c r="D14" s="464">
        <f>$C$14*D33</f>
        <v>150</v>
      </c>
      <c r="E14" s="465">
        <f>$C$14*E33</f>
        <v>450</v>
      </c>
      <c r="F14" s="442">
        <f>$C$14*F33</f>
        <v>300</v>
      </c>
      <c r="G14" s="465">
        <f>$C$14*G33</f>
        <v>300</v>
      </c>
      <c r="H14" s="437">
        <f>$C$14*H33</f>
        <v>300</v>
      </c>
      <c r="I14" s="424"/>
      <c r="J14" s="424"/>
      <c r="K14" s="424"/>
      <c r="L14" s="424"/>
      <c r="M14" s="424"/>
      <c r="N14" s="413"/>
      <c r="O14" s="413"/>
      <c r="P14" s="412"/>
    </row>
    <row r="15" spans="1:16" ht="15" x14ac:dyDescent="0.2">
      <c r="A15" s="423"/>
      <c r="B15" s="451" t="s">
        <v>2</v>
      </c>
      <c r="C15" s="428">
        <f>'Planzahlen Rentabilität'!D30</f>
        <v>800</v>
      </c>
      <c r="D15" s="466">
        <f>$C$15/$C$29*D29</f>
        <v>36.363636363636367</v>
      </c>
      <c r="E15" s="467">
        <f t="shared" ref="E15:H15" si="0">$C$15/$C$29*E29</f>
        <v>145.45454545454547</v>
      </c>
      <c r="F15" s="467">
        <f t="shared" si="0"/>
        <v>145.45454545454547</v>
      </c>
      <c r="G15" s="467">
        <f t="shared" si="0"/>
        <v>290.90909090909093</v>
      </c>
      <c r="H15" s="438">
        <f t="shared" si="0"/>
        <v>181.81818181818181</v>
      </c>
      <c r="I15" s="424"/>
      <c r="J15" s="424"/>
      <c r="K15" s="424"/>
      <c r="L15" s="424"/>
      <c r="M15" s="424"/>
      <c r="N15" s="413"/>
      <c r="O15" s="413"/>
      <c r="P15" s="412"/>
    </row>
    <row r="16" spans="1:16" ht="15" x14ac:dyDescent="0.2">
      <c r="A16" s="412"/>
      <c r="B16" s="451" t="s">
        <v>556</v>
      </c>
      <c r="C16" s="560">
        <v>5000</v>
      </c>
      <c r="D16" s="466">
        <f>C16*D30/$C$30</f>
        <v>1250</v>
      </c>
      <c r="E16" s="465">
        <f>C16*E30/$C$30</f>
        <v>625</v>
      </c>
      <c r="F16" s="465">
        <f>C16*F30/$C$30</f>
        <v>625</v>
      </c>
      <c r="G16" s="465">
        <f>C16*G30/$C$30</f>
        <v>1875</v>
      </c>
      <c r="H16" s="438">
        <f>C16*H30/$C$30</f>
        <v>625</v>
      </c>
      <c r="I16" s="424"/>
      <c r="J16" s="424"/>
      <c r="K16" s="424"/>
      <c r="L16" s="424"/>
      <c r="M16" s="424"/>
      <c r="N16" s="413"/>
      <c r="O16" s="413"/>
      <c r="P16" s="412"/>
    </row>
    <row r="17" spans="1:16" ht="15" x14ac:dyDescent="0.2">
      <c r="A17" s="412"/>
      <c r="B17" s="451" t="s">
        <v>4</v>
      </c>
      <c r="C17" s="324">
        <f>'Planzahlen Rentabilität'!D34</f>
        <v>300</v>
      </c>
      <c r="D17" s="466">
        <f>$C$17/$C$31*D31</f>
        <v>30</v>
      </c>
      <c r="E17" s="465">
        <f t="shared" ref="E17:H17" si="1">$C$17/$C$31*E31</f>
        <v>90</v>
      </c>
      <c r="F17" s="465">
        <f t="shared" si="1"/>
        <v>60</v>
      </c>
      <c r="G17" s="465">
        <f t="shared" si="1"/>
        <v>60</v>
      </c>
      <c r="H17" s="438">
        <f t="shared" si="1"/>
        <v>60</v>
      </c>
      <c r="I17" s="424"/>
      <c r="J17" s="424"/>
      <c r="K17" s="424"/>
      <c r="L17" s="424"/>
      <c r="M17" s="424"/>
      <c r="N17" s="413"/>
      <c r="O17" s="413"/>
      <c r="P17" s="412"/>
    </row>
    <row r="18" spans="1:16" ht="15" x14ac:dyDescent="0.2">
      <c r="A18" s="412"/>
      <c r="B18" s="452" t="s">
        <v>557</v>
      </c>
      <c r="C18" s="447">
        <f>C75</f>
        <v>20617.333333333332</v>
      </c>
      <c r="D18" s="468">
        <f>$C$18*E75</f>
        <v>4123.4666666666662</v>
      </c>
      <c r="E18" s="469">
        <f>$C$18*G75</f>
        <v>4123.4666666666662</v>
      </c>
      <c r="F18" s="469">
        <f>$C$18*I75</f>
        <v>4123.4666666666662</v>
      </c>
      <c r="G18" s="469">
        <f>$C$18*K75</f>
        <v>4123.4666666666662</v>
      </c>
      <c r="H18" s="437">
        <f>$C$18*M75</f>
        <v>4123.4666666666662</v>
      </c>
      <c r="I18" s="424"/>
      <c r="J18" s="424"/>
      <c r="K18" s="424"/>
      <c r="L18" s="424"/>
      <c r="M18" s="424"/>
      <c r="N18" s="413"/>
      <c r="O18" s="413"/>
      <c r="P18" s="412"/>
    </row>
    <row r="19" spans="1:16" ht="15" x14ac:dyDescent="0.2">
      <c r="A19" s="423"/>
      <c r="B19" s="451" t="s">
        <v>558</v>
      </c>
      <c r="C19" s="324">
        <f>'Planzahlen Rentabilität'!D49</f>
        <v>3000</v>
      </c>
      <c r="D19" s="470">
        <f>$C$19*D32</f>
        <v>300</v>
      </c>
      <c r="E19" s="471">
        <f>$C$19*E32</f>
        <v>900</v>
      </c>
      <c r="F19" s="472">
        <f>$C$19*F32</f>
        <v>600</v>
      </c>
      <c r="G19" s="471">
        <f>$C$19*G32</f>
        <v>600</v>
      </c>
      <c r="H19" s="439">
        <f>$C$19*H32</f>
        <v>600</v>
      </c>
      <c r="I19" s="424"/>
      <c r="J19" s="424"/>
      <c r="K19" s="424"/>
      <c r="L19" s="424"/>
      <c r="M19" s="424"/>
      <c r="N19" s="413"/>
      <c r="O19" s="413"/>
      <c r="P19" s="412"/>
    </row>
    <row r="20" spans="1:16" ht="15.75" x14ac:dyDescent="0.25">
      <c r="A20" s="412"/>
      <c r="B20" s="453" t="s">
        <v>559</v>
      </c>
      <c r="C20" s="477">
        <f t="shared" ref="C20:H20" si="2">SUM(C12:C19)</f>
        <v>31331.333333333332</v>
      </c>
      <c r="D20" s="325">
        <f t="shared" si="2"/>
        <v>5912.6303030303025</v>
      </c>
      <c r="E20" s="326">
        <f t="shared" si="2"/>
        <v>6356.7212121212115</v>
      </c>
      <c r="F20" s="327">
        <f t="shared" si="2"/>
        <v>5876.7212121212115</v>
      </c>
      <c r="G20" s="326">
        <f t="shared" si="2"/>
        <v>7272.1757575757574</v>
      </c>
      <c r="H20" s="328">
        <f t="shared" si="2"/>
        <v>5913.0848484848484</v>
      </c>
      <c r="I20" s="424"/>
      <c r="J20" s="424"/>
      <c r="K20" s="424"/>
      <c r="L20" s="424"/>
      <c r="M20" s="424"/>
      <c r="N20" s="413"/>
      <c r="O20" s="413"/>
      <c r="P20" s="412"/>
    </row>
    <row r="21" spans="1:16" ht="15.75" x14ac:dyDescent="0.2">
      <c r="A21" s="412"/>
      <c r="B21" s="454" t="s">
        <v>560</v>
      </c>
      <c r="C21" s="329"/>
      <c r="D21" s="330" t="s">
        <v>561</v>
      </c>
      <c r="E21" s="331" t="s">
        <v>562</v>
      </c>
      <c r="F21" s="332" t="s">
        <v>563</v>
      </c>
      <c r="G21" s="332" t="s">
        <v>564</v>
      </c>
      <c r="H21" s="540" t="s">
        <v>564</v>
      </c>
      <c r="I21" s="424"/>
      <c r="J21" s="424"/>
      <c r="K21" s="424"/>
      <c r="L21" s="424"/>
      <c r="M21" s="424"/>
      <c r="N21" s="413"/>
      <c r="O21" s="413"/>
      <c r="P21" s="412"/>
    </row>
    <row r="22" spans="1:16" ht="15" x14ac:dyDescent="0.2">
      <c r="A22" s="423"/>
      <c r="B22" s="455" t="s">
        <v>565</v>
      </c>
      <c r="C22" s="333"/>
      <c r="D22" s="334">
        <f>'Planzahlen Rentabilität'!D16-'Planzahlen Rentabilität'!D17</f>
        <v>3000</v>
      </c>
      <c r="E22" s="322" t="e">
        <f>I80</f>
        <v>#REF!</v>
      </c>
      <c r="F22" s="323" t="e">
        <f>F80</f>
        <v>#REF!</v>
      </c>
      <c r="G22" s="335" t="e">
        <f>D22+E22+F22+D20+E20+F20</f>
        <v>#REF!</v>
      </c>
      <c r="H22" s="336" t="e">
        <f>G22</f>
        <v>#REF!</v>
      </c>
      <c r="I22" s="424"/>
      <c r="J22" s="424"/>
      <c r="K22" s="424"/>
      <c r="L22" s="424"/>
      <c r="M22" s="424"/>
      <c r="N22" s="413"/>
      <c r="O22" s="413"/>
      <c r="P22" s="412"/>
    </row>
    <row r="23" spans="1:16" ht="15.75" x14ac:dyDescent="0.25">
      <c r="A23" s="423"/>
      <c r="B23" s="456" t="s">
        <v>566</v>
      </c>
      <c r="C23" s="448"/>
      <c r="D23" s="337">
        <f>D20/D22</f>
        <v>1.9708767676767676</v>
      </c>
      <c r="E23" s="337" t="e">
        <f>E20/E22</f>
        <v>#REF!</v>
      </c>
      <c r="F23" s="337" t="e">
        <f>F20/F22</f>
        <v>#REF!</v>
      </c>
      <c r="G23" s="337" t="e">
        <f>G20/G22</f>
        <v>#REF!</v>
      </c>
      <c r="H23" s="337" t="e">
        <f>H20/H22</f>
        <v>#REF!</v>
      </c>
      <c r="I23" s="424"/>
      <c r="J23" s="424"/>
      <c r="K23" s="424"/>
      <c r="L23" s="424"/>
      <c r="M23" s="424"/>
      <c r="N23" s="413"/>
      <c r="O23" s="413"/>
      <c r="P23" s="412"/>
    </row>
    <row r="24" spans="1:16" ht="15" x14ac:dyDescent="0.2">
      <c r="A24" s="423"/>
      <c r="B24" s="455" t="s">
        <v>115</v>
      </c>
      <c r="C24" s="333"/>
      <c r="D24" s="475"/>
      <c r="E24" s="338" t="e">
        <f>C96</f>
        <v>#REF!</v>
      </c>
      <c r="F24" s="339" t="e">
        <f>C94</f>
        <v>#REF!</v>
      </c>
      <c r="G24" s="473"/>
      <c r="H24" s="440"/>
      <c r="I24" s="424"/>
      <c r="J24" s="424"/>
      <c r="K24" s="424"/>
      <c r="L24" s="424"/>
      <c r="M24" s="424"/>
      <c r="N24" s="413"/>
      <c r="O24" s="413"/>
      <c r="P24" s="412"/>
    </row>
    <row r="25" spans="1:16" s="85" customFormat="1" ht="15.75" x14ac:dyDescent="0.25">
      <c r="A25" s="412"/>
      <c r="B25" s="457" t="s">
        <v>567</v>
      </c>
      <c r="C25" s="340"/>
      <c r="D25" s="476"/>
      <c r="E25" s="341" t="e">
        <f>(E22+E20)/E24</f>
        <v>#REF!</v>
      </c>
      <c r="F25" s="342" t="e">
        <f>(F22+F20)/F24</f>
        <v>#REF!</v>
      </c>
      <c r="G25" s="474"/>
      <c r="H25" s="441"/>
      <c r="I25" s="424"/>
      <c r="J25" s="424"/>
      <c r="K25" s="424"/>
      <c r="L25" s="424"/>
      <c r="M25" s="424"/>
      <c r="N25" s="413"/>
      <c r="O25" s="413"/>
      <c r="P25" s="412"/>
    </row>
    <row r="26" spans="1:16" s="85" customFormat="1" ht="15" x14ac:dyDescent="0.2">
      <c r="A26" s="412"/>
      <c r="B26" s="427"/>
      <c r="C26" s="428"/>
      <c r="D26" s="413"/>
      <c r="E26" s="413"/>
      <c r="F26" s="413"/>
      <c r="G26" s="413"/>
      <c r="H26" s="413"/>
      <c r="I26" s="413"/>
      <c r="J26" s="425"/>
      <c r="K26" s="425"/>
      <c r="L26" s="425"/>
      <c r="M26" s="425"/>
      <c r="N26" s="429"/>
      <c r="O26" s="429"/>
      <c r="P26" s="430"/>
    </row>
    <row r="27" spans="1:16" ht="15" x14ac:dyDescent="0.2">
      <c r="A27" s="412"/>
      <c r="B27" s="427"/>
      <c r="C27" s="428"/>
      <c r="D27" s="413"/>
      <c r="E27" s="413"/>
      <c r="F27" s="413"/>
      <c r="G27" s="413"/>
      <c r="H27" s="413"/>
      <c r="I27" s="413"/>
      <c r="J27" s="425"/>
      <c r="K27" s="425"/>
      <c r="L27" s="425"/>
      <c r="M27" s="425"/>
      <c r="N27" s="429"/>
      <c r="O27" s="429"/>
      <c r="P27" s="430"/>
    </row>
    <row r="28" spans="1:16" x14ac:dyDescent="0.2">
      <c r="A28" s="412"/>
      <c r="B28" s="343" t="s">
        <v>568</v>
      </c>
      <c r="C28" s="344"/>
      <c r="D28" s="345" t="str">
        <f>D11</f>
        <v>Material</v>
      </c>
      <c r="E28" s="345" t="str">
        <f>E11</f>
        <v>KD</v>
      </c>
      <c r="F28" s="345" t="str">
        <f>F11</f>
        <v>Projekt</v>
      </c>
      <c r="G28" s="345" t="str">
        <f>G11</f>
        <v>Verwaltung</v>
      </c>
      <c r="H28" s="346" t="str">
        <f>H11</f>
        <v>Vertrieb</v>
      </c>
      <c r="I28" s="425"/>
      <c r="J28" s="425"/>
      <c r="K28" s="425"/>
      <c r="L28" s="425"/>
      <c r="M28" s="425"/>
      <c r="N28" s="429"/>
      <c r="O28" s="429"/>
      <c r="P28" s="430"/>
    </row>
    <row r="29" spans="1:16" x14ac:dyDescent="0.2">
      <c r="A29" s="412"/>
      <c r="B29" s="347" t="s">
        <v>569</v>
      </c>
      <c r="C29" s="348">
        <f>SUM(D29:H29)</f>
        <v>1100</v>
      </c>
      <c r="D29" s="349">
        <v>50</v>
      </c>
      <c r="E29" s="349">
        <v>200</v>
      </c>
      <c r="F29" s="349">
        <v>200</v>
      </c>
      <c r="G29" s="349">
        <v>400</v>
      </c>
      <c r="H29" s="350">
        <v>250</v>
      </c>
      <c r="I29" s="413"/>
      <c r="J29" s="413"/>
      <c r="K29" s="413"/>
      <c r="L29" s="413"/>
      <c r="M29" s="413"/>
      <c r="N29" s="413"/>
      <c r="O29" s="413"/>
      <c r="P29" s="412"/>
    </row>
    <row r="30" spans="1:16" x14ac:dyDescent="0.2">
      <c r="A30" s="412"/>
      <c r="B30" s="351" t="s">
        <v>570</v>
      </c>
      <c r="C30" s="348">
        <f>SUM(D30:H30)</f>
        <v>8</v>
      </c>
      <c r="D30" s="349">
        <v>2</v>
      </c>
      <c r="E30" s="349">
        <v>1</v>
      </c>
      <c r="F30" s="349">
        <v>1</v>
      </c>
      <c r="G30" s="349">
        <v>3</v>
      </c>
      <c r="H30" s="352">
        <v>1</v>
      </c>
      <c r="I30" s="413"/>
      <c r="J30" s="413"/>
      <c r="K30" s="413"/>
      <c r="L30" s="413"/>
      <c r="M30" s="413"/>
      <c r="N30" s="413"/>
      <c r="O30" s="413"/>
      <c r="P30" s="412"/>
    </row>
    <row r="31" spans="1:16" x14ac:dyDescent="0.2">
      <c r="A31" s="412"/>
      <c r="B31" s="351" t="s">
        <v>4</v>
      </c>
      <c r="C31" s="353">
        <f>SUM(D31:H31)</f>
        <v>1</v>
      </c>
      <c r="D31" s="354">
        <v>0.1</v>
      </c>
      <c r="E31" s="355">
        <v>0.3</v>
      </c>
      <c r="F31" s="354">
        <v>0.2</v>
      </c>
      <c r="G31" s="355">
        <v>0.2</v>
      </c>
      <c r="H31" s="356">
        <v>0.2</v>
      </c>
      <c r="I31" s="413"/>
      <c r="J31" s="413"/>
      <c r="K31" s="413"/>
      <c r="L31" s="413"/>
      <c r="M31" s="413"/>
      <c r="N31" s="413"/>
      <c r="O31" s="413"/>
      <c r="P31" s="412"/>
    </row>
    <row r="32" spans="1:16" x14ac:dyDescent="0.2">
      <c r="A32" s="412"/>
      <c r="B32" s="351" t="s">
        <v>571</v>
      </c>
      <c r="C32" s="353">
        <f t="shared" ref="C32:C33" si="3">SUM(D32:H32)</f>
        <v>1</v>
      </c>
      <c r="D32" s="354">
        <v>0.1</v>
      </c>
      <c r="E32" s="355">
        <v>0.3</v>
      </c>
      <c r="F32" s="354">
        <v>0.2</v>
      </c>
      <c r="G32" s="355">
        <v>0.2</v>
      </c>
      <c r="H32" s="356">
        <v>0.2</v>
      </c>
      <c r="I32" s="413"/>
      <c r="J32" s="413"/>
      <c r="K32" s="413"/>
      <c r="L32" s="413"/>
      <c r="M32" s="413"/>
      <c r="N32" s="413"/>
      <c r="O32" s="413"/>
      <c r="P32" s="412"/>
    </row>
    <row r="33" spans="1:16" x14ac:dyDescent="0.2">
      <c r="A33" s="412"/>
      <c r="B33" s="351" t="s">
        <v>555</v>
      </c>
      <c r="C33" s="353">
        <f t="shared" si="3"/>
        <v>1</v>
      </c>
      <c r="D33" s="354">
        <v>0.1</v>
      </c>
      <c r="E33" s="355">
        <v>0.3</v>
      </c>
      <c r="F33" s="354">
        <v>0.2</v>
      </c>
      <c r="G33" s="355">
        <v>0.2</v>
      </c>
      <c r="H33" s="356">
        <v>0.2</v>
      </c>
      <c r="I33" s="413"/>
      <c r="J33" s="413"/>
      <c r="K33" s="413"/>
      <c r="L33" s="413"/>
      <c r="M33" s="413"/>
      <c r="N33" s="413"/>
      <c r="O33" s="413"/>
      <c r="P33" s="412"/>
    </row>
    <row r="34" spans="1:16" s="85" customFormat="1" x14ac:dyDescent="0.2">
      <c r="A34" s="412"/>
      <c r="B34" s="357" t="s">
        <v>269</v>
      </c>
      <c r="C34" s="358">
        <f>SUM(D34:H34)</f>
        <v>0.99999999999999989</v>
      </c>
      <c r="D34" s="359">
        <f>E75</f>
        <v>0.19999999999999998</v>
      </c>
      <c r="E34" s="358">
        <f>G75</f>
        <v>0.19999999999999998</v>
      </c>
      <c r="F34" s="359">
        <f>I75</f>
        <v>0.19999999999999998</v>
      </c>
      <c r="G34" s="358">
        <f>K75</f>
        <v>0.19999999999999998</v>
      </c>
      <c r="H34" s="360">
        <f>M75</f>
        <v>0.19999999999999998</v>
      </c>
      <c r="I34" s="413"/>
      <c r="J34" s="413"/>
      <c r="K34" s="413"/>
      <c r="L34" s="413"/>
      <c r="M34" s="413"/>
      <c r="N34" s="413"/>
      <c r="O34" s="413"/>
      <c r="P34" s="412"/>
    </row>
    <row r="35" spans="1:16" s="85" customFormat="1" x14ac:dyDescent="0.2">
      <c r="A35" s="412"/>
      <c r="B35" s="412"/>
      <c r="C35" s="431"/>
      <c r="D35" s="431"/>
      <c r="E35" s="431"/>
      <c r="F35" s="431"/>
      <c r="G35" s="431"/>
      <c r="H35" s="431"/>
      <c r="I35" s="413"/>
      <c r="J35" s="413"/>
      <c r="K35" s="413"/>
      <c r="L35" s="413"/>
      <c r="M35" s="413"/>
      <c r="N35" s="413"/>
      <c r="O35" s="413"/>
      <c r="P35" s="412"/>
    </row>
    <row r="36" spans="1:16" s="85" customFormat="1" x14ac:dyDescent="0.2">
      <c r="A36" s="412"/>
      <c r="B36" s="412"/>
      <c r="C36" s="413"/>
      <c r="D36" s="413"/>
      <c r="E36" s="413"/>
      <c r="F36" s="413"/>
      <c r="G36" s="413"/>
      <c r="H36" s="413"/>
      <c r="I36" s="413"/>
      <c r="J36" s="413"/>
      <c r="K36" s="413"/>
      <c r="L36" s="413"/>
      <c r="M36" s="413"/>
      <c r="N36" s="413"/>
      <c r="O36" s="413"/>
      <c r="P36" s="412"/>
    </row>
    <row r="37" spans="1:16" s="85" customFormat="1" x14ac:dyDescent="0.2">
      <c r="A37" s="412"/>
      <c r="B37" s="412"/>
      <c r="C37" s="413"/>
      <c r="D37" s="413"/>
      <c r="E37" s="413"/>
      <c r="F37" s="413"/>
      <c r="G37" s="413"/>
      <c r="H37" s="413"/>
      <c r="I37" s="413"/>
      <c r="J37" s="413"/>
      <c r="K37" s="413"/>
      <c r="L37" s="413"/>
      <c r="M37" s="413"/>
      <c r="N37" s="413"/>
      <c r="O37" s="413"/>
      <c r="P37" s="412"/>
    </row>
    <row r="38" spans="1:16" s="85" customFormat="1" x14ac:dyDescent="0.2">
      <c r="A38" s="412"/>
      <c r="B38" s="412"/>
      <c r="C38" s="413"/>
      <c r="D38" s="413"/>
      <c r="E38" s="413"/>
      <c r="F38" s="413"/>
      <c r="G38" s="413"/>
      <c r="H38" s="413"/>
      <c r="I38" s="413"/>
      <c r="J38" s="413"/>
      <c r="K38" s="413"/>
      <c r="L38" s="413"/>
      <c r="M38" s="413"/>
      <c r="N38" s="413"/>
      <c r="O38" s="413"/>
      <c r="P38" s="412"/>
    </row>
    <row r="39" spans="1:16" x14ac:dyDescent="0.2">
      <c r="A39" s="412"/>
      <c r="B39" s="412"/>
      <c r="C39" s="413"/>
      <c r="D39" s="413"/>
      <c r="E39" s="413"/>
      <c r="F39" s="413"/>
      <c r="G39" s="413"/>
      <c r="H39" s="413"/>
      <c r="I39" s="413"/>
      <c r="J39" s="413"/>
      <c r="K39" s="413"/>
      <c r="L39" s="413"/>
      <c r="M39" s="413"/>
      <c r="N39" s="413"/>
      <c r="O39" s="413"/>
      <c r="P39" s="412"/>
    </row>
    <row r="40" spans="1:16" x14ac:dyDescent="0.2">
      <c r="A40" s="412"/>
      <c r="B40" s="361" t="s">
        <v>572</v>
      </c>
      <c r="C40" s="362" t="s">
        <v>573</v>
      </c>
      <c r="D40" s="362" t="s">
        <v>511</v>
      </c>
      <c r="E40" s="362" t="s">
        <v>549</v>
      </c>
      <c r="F40" s="362" t="s">
        <v>550</v>
      </c>
      <c r="G40" s="362" t="s">
        <v>574</v>
      </c>
      <c r="H40" s="362" t="s">
        <v>552</v>
      </c>
      <c r="I40" s="362" t="s">
        <v>575</v>
      </c>
      <c r="J40" s="362" t="s">
        <v>576</v>
      </c>
      <c r="K40" s="362" t="s">
        <v>577</v>
      </c>
      <c r="L40" s="362" t="s">
        <v>578</v>
      </c>
      <c r="M40" s="362" t="s">
        <v>579</v>
      </c>
      <c r="N40" s="363" t="s">
        <v>580</v>
      </c>
      <c r="O40" s="364" t="s">
        <v>581</v>
      </c>
      <c r="P40" s="412"/>
    </row>
    <row r="41" spans="1:16" x14ac:dyDescent="0.2">
      <c r="A41" s="412"/>
      <c r="B41" s="365"/>
      <c r="C41" s="366"/>
      <c r="D41" s="366"/>
      <c r="E41" s="366"/>
      <c r="F41" s="366"/>
      <c r="G41" s="366"/>
      <c r="H41" s="367"/>
      <c r="I41" s="368"/>
      <c r="J41" s="366"/>
      <c r="K41" s="366"/>
      <c r="L41" s="366"/>
      <c r="M41" s="366"/>
      <c r="N41" s="366"/>
      <c r="O41" s="367"/>
      <c r="P41" s="412"/>
    </row>
    <row r="42" spans="1:16" x14ac:dyDescent="0.2">
      <c r="A42" s="412"/>
      <c r="B42" s="554" t="str">
        <f>Personalplanung!B6</f>
        <v>Maxdivers Mustermann</v>
      </c>
      <c r="C42" s="370">
        <f>VLOOKUP(B42,Personalplanung!$B$6:$AI$107,21,FALSE)</f>
        <v>30</v>
      </c>
      <c r="D42" s="370">
        <f>J42*N42*O42</f>
        <v>6</v>
      </c>
      <c r="E42" s="370">
        <f>K42*N42*O42</f>
        <v>6</v>
      </c>
      <c r="F42" s="370">
        <f>L42*N42*O42</f>
        <v>6</v>
      </c>
      <c r="G42" s="370">
        <f>M42*N42*O42</f>
        <v>6</v>
      </c>
      <c r="H42" s="371">
        <f>C42-D42-E42-F42-G42</f>
        <v>6</v>
      </c>
      <c r="I42" s="555">
        <v>10</v>
      </c>
      <c r="J42" s="556">
        <f>$I$42/5</f>
        <v>2</v>
      </c>
      <c r="K42" s="556">
        <f t="shared" ref="K42:M42" si="4">$I$42/5</f>
        <v>2</v>
      </c>
      <c r="L42" s="556">
        <f t="shared" si="4"/>
        <v>2</v>
      </c>
      <c r="M42" s="556">
        <f t="shared" si="4"/>
        <v>2</v>
      </c>
      <c r="N42" s="370">
        <v>210</v>
      </c>
      <c r="O42" s="371">
        <f>C42/(I42*N42)</f>
        <v>1.4285714285714285E-2</v>
      </c>
      <c r="P42" s="412"/>
    </row>
    <row r="43" spans="1:16" x14ac:dyDescent="0.2">
      <c r="A43" s="412"/>
      <c r="B43" s="369"/>
      <c r="C43" s="370"/>
      <c r="D43" s="370"/>
      <c r="E43" s="370"/>
      <c r="F43" s="370"/>
      <c r="G43" s="370"/>
      <c r="H43" s="371"/>
      <c r="I43" s="372"/>
      <c r="J43" s="370"/>
      <c r="K43" s="370"/>
      <c r="L43" s="370"/>
      <c r="M43" s="370"/>
      <c r="N43" s="370"/>
      <c r="O43" s="371"/>
      <c r="P43" s="412"/>
    </row>
    <row r="44" spans="1:16" x14ac:dyDescent="0.2">
      <c r="A44" s="412"/>
      <c r="B44" s="554" t="str">
        <f>Personalplanung!B7</f>
        <v>Egon Kaufmann</v>
      </c>
      <c r="C44" s="370">
        <f>VLOOKUP(B44,Personalplanung!$B$6:$AI$107,21,FALSE)</f>
        <v>28</v>
      </c>
      <c r="D44" s="370">
        <f>J44*N44*O44</f>
        <v>5.6</v>
      </c>
      <c r="E44" s="370">
        <f>K44*N44*O44</f>
        <v>5.6</v>
      </c>
      <c r="F44" s="370">
        <f>L44*N44*O44</f>
        <v>5.6</v>
      </c>
      <c r="G44" s="370">
        <f>M44*N44*O44</f>
        <v>5.6</v>
      </c>
      <c r="H44" s="371">
        <f>C44-D44-E44-F44-G44</f>
        <v>5.5999999999999979</v>
      </c>
      <c r="I44" s="555">
        <v>4</v>
      </c>
      <c r="J44" s="556">
        <f>$I$44/5</f>
        <v>0.8</v>
      </c>
      <c r="K44" s="556">
        <f t="shared" ref="K44:M44" si="5">$I$44/5</f>
        <v>0.8</v>
      </c>
      <c r="L44" s="556">
        <f t="shared" si="5"/>
        <v>0.8</v>
      </c>
      <c r="M44" s="556">
        <f t="shared" si="5"/>
        <v>0.8</v>
      </c>
      <c r="N44" s="370">
        <v>210</v>
      </c>
      <c r="O44" s="371">
        <f>C44/(I44*N44)</f>
        <v>3.3333333333333333E-2</v>
      </c>
      <c r="P44" s="412"/>
    </row>
    <row r="45" spans="1:16" x14ac:dyDescent="0.2">
      <c r="A45" s="412"/>
      <c r="B45" s="369"/>
      <c r="C45" s="370"/>
      <c r="D45" s="370"/>
      <c r="E45" s="370"/>
      <c r="F45" s="370"/>
      <c r="G45" s="370"/>
      <c r="H45" s="371"/>
      <c r="I45" s="372"/>
      <c r="J45" s="370"/>
      <c r="K45" s="370"/>
      <c r="L45" s="370"/>
      <c r="M45" s="370"/>
      <c r="N45" s="370"/>
      <c r="O45" s="371"/>
      <c r="P45" s="412"/>
    </row>
    <row r="46" spans="1:16" x14ac:dyDescent="0.2">
      <c r="A46" s="412"/>
      <c r="B46" s="554" t="str">
        <f>Personalplanung!B8</f>
        <v>Walter Meister</v>
      </c>
      <c r="C46" s="370">
        <f>VLOOKUP(B46,Personalplanung!$B$6:$AI$107,21,FALSE)</f>
        <v>28</v>
      </c>
      <c r="D46" s="370">
        <f>J46*N46*O46</f>
        <v>5.6000000000000005</v>
      </c>
      <c r="E46" s="370">
        <f>K46*N46*O46</f>
        <v>5.6000000000000005</v>
      </c>
      <c r="F46" s="370">
        <f>L46*N46*O46</f>
        <v>5.6000000000000005</v>
      </c>
      <c r="G46" s="370">
        <f>M46*N46*O46</f>
        <v>5.6000000000000005</v>
      </c>
      <c r="H46" s="371">
        <f>C46-D46-E46-F46-G46</f>
        <v>5.5999999999999952</v>
      </c>
      <c r="I46" s="555">
        <v>10</v>
      </c>
      <c r="J46" s="556">
        <f>$I$46/5</f>
        <v>2</v>
      </c>
      <c r="K46" s="556">
        <f t="shared" ref="K46:M46" si="6">$I$46/5</f>
        <v>2</v>
      </c>
      <c r="L46" s="556">
        <f t="shared" si="6"/>
        <v>2</v>
      </c>
      <c r="M46" s="556">
        <f t="shared" si="6"/>
        <v>2</v>
      </c>
      <c r="N46" s="370">
        <v>210</v>
      </c>
      <c r="O46" s="371">
        <f>C46/(I46*N46)</f>
        <v>1.3333333333333334E-2</v>
      </c>
      <c r="P46" s="412"/>
    </row>
    <row r="47" spans="1:16" x14ac:dyDescent="0.2">
      <c r="A47" s="412"/>
      <c r="B47" s="369"/>
      <c r="C47" s="370"/>
      <c r="D47" s="370"/>
      <c r="E47" s="370"/>
      <c r="F47" s="370"/>
      <c r="G47" s="370"/>
      <c r="H47" s="371"/>
      <c r="I47" s="372"/>
      <c r="J47" s="370"/>
      <c r="K47" s="370"/>
      <c r="L47" s="370"/>
      <c r="M47" s="370"/>
      <c r="N47" s="370"/>
      <c r="O47" s="371"/>
      <c r="P47" s="412"/>
    </row>
    <row r="48" spans="1:16" x14ac:dyDescent="0.2">
      <c r="A48" s="412"/>
      <c r="B48" s="554" t="str">
        <f>Personalplanung!B9</f>
        <v>Tom in Technik</v>
      </c>
      <c r="C48" s="370">
        <f>VLOOKUP(B48,Personalplanung!$B$6:$AI$107,21,FALSE)</f>
        <v>28</v>
      </c>
      <c r="D48" s="370">
        <f>J48*N48*O48</f>
        <v>5.6000000000000005</v>
      </c>
      <c r="E48" s="370">
        <f>K48*N48*O48</f>
        <v>5.6000000000000005</v>
      </c>
      <c r="F48" s="370">
        <f>L48*N48*O48</f>
        <v>5.6000000000000005</v>
      </c>
      <c r="G48" s="370">
        <f>M48*N48*O48</f>
        <v>5.6000000000000005</v>
      </c>
      <c r="H48" s="371">
        <f>C48-D48-E48-F48-G48</f>
        <v>5.5999999999999952</v>
      </c>
      <c r="I48" s="555">
        <v>10</v>
      </c>
      <c r="J48" s="556">
        <f>$I$48/5</f>
        <v>2</v>
      </c>
      <c r="K48" s="556">
        <f t="shared" ref="K48:M48" si="7">$I$48/5</f>
        <v>2</v>
      </c>
      <c r="L48" s="556">
        <f t="shared" si="7"/>
        <v>2</v>
      </c>
      <c r="M48" s="556">
        <f t="shared" si="7"/>
        <v>2</v>
      </c>
      <c r="N48" s="370">
        <v>210</v>
      </c>
      <c r="O48" s="371">
        <f>C48/(I48*N48)</f>
        <v>1.3333333333333334E-2</v>
      </c>
      <c r="P48" s="412"/>
    </row>
    <row r="49" spans="1:16" x14ac:dyDescent="0.2">
      <c r="A49" s="412"/>
      <c r="B49" s="369"/>
      <c r="C49" s="370"/>
      <c r="D49" s="370"/>
      <c r="E49" s="370"/>
      <c r="F49" s="370"/>
      <c r="G49" s="370"/>
      <c r="H49" s="371"/>
      <c r="I49" s="372"/>
      <c r="J49" s="370"/>
      <c r="K49" s="370"/>
      <c r="L49" s="370"/>
      <c r="M49" s="370"/>
      <c r="N49" s="370"/>
      <c r="O49" s="371"/>
      <c r="P49" s="412"/>
    </row>
    <row r="50" spans="1:16" x14ac:dyDescent="0.2">
      <c r="A50" s="412"/>
      <c r="B50" s="373"/>
      <c r="C50" s="374"/>
      <c r="D50" s="374">
        <f>J50*N50*O50</f>
        <v>0</v>
      </c>
      <c r="E50" s="374">
        <f>K50*N50*O50</f>
        <v>0</v>
      </c>
      <c r="F50" s="374">
        <f>L50*N50*O50</f>
        <v>0</v>
      </c>
      <c r="G50" s="374">
        <f>M50*N50*O50</f>
        <v>0</v>
      </c>
      <c r="H50" s="375">
        <f>C50-D50-E50-F50-G50</f>
        <v>0</v>
      </c>
      <c r="I50" s="555">
        <v>0.1</v>
      </c>
      <c r="J50" s="556">
        <f>$I$50/5</f>
        <v>0.02</v>
      </c>
      <c r="K50" s="556">
        <f t="shared" ref="K50:M50" si="8">$I$50/5</f>
        <v>0.02</v>
      </c>
      <c r="L50" s="556">
        <f t="shared" si="8"/>
        <v>0.02</v>
      </c>
      <c r="M50" s="556">
        <f t="shared" si="8"/>
        <v>0.02</v>
      </c>
      <c r="N50" s="374">
        <v>210</v>
      </c>
      <c r="O50" s="375">
        <f>C50/(I50*N50)</f>
        <v>0</v>
      </c>
      <c r="P50" s="412"/>
    </row>
    <row r="51" spans="1:16" s="85" customFormat="1" x14ac:dyDescent="0.2">
      <c r="A51" s="412"/>
      <c r="B51" s="412"/>
      <c r="C51" s="426"/>
      <c r="D51" s="426"/>
      <c r="E51" s="426"/>
      <c r="F51" s="426"/>
      <c r="G51" s="426"/>
      <c r="H51" s="426"/>
      <c r="I51" s="426"/>
      <c r="J51" s="426"/>
      <c r="K51" s="426"/>
      <c r="L51" s="426"/>
      <c r="M51" s="426"/>
      <c r="N51" s="426"/>
      <c r="O51" s="426"/>
      <c r="P51" s="412"/>
    </row>
    <row r="52" spans="1:16" s="85" customFormat="1" x14ac:dyDescent="0.2">
      <c r="A52" s="412"/>
      <c r="B52" s="376" t="s">
        <v>134</v>
      </c>
      <c r="C52" s="377">
        <f>Personalplanung!AI107</f>
        <v>357108.7</v>
      </c>
      <c r="D52" s="378">
        <f>SUM(D42:D50)</f>
        <v>22.8</v>
      </c>
      <c r="E52" s="377">
        <f>SUM(E42:E50)</f>
        <v>22.8</v>
      </c>
      <c r="F52" s="378">
        <f>SUM(F42:F50)</f>
        <v>22.8</v>
      </c>
      <c r="G52" s="377">
        <f>SUM(G42:G50)</f>
        <v>22.8</v>
      </c>
      <c r="H52" s="378">
        <f>SUM(H42:H50)</f>
        <v>22.799999999999986</v>
      </c>
      <c r="I52" s="377"/>
      <c r="J52" s="377"/>
      <c r="K52" s="377"/>
      <c r="L52" s="377"/>
      <c r="M52" s="377"/>
      <c r="N52" s="557"/>
      <c r="O52" s="558"/>
      <c r="P52" s="412"/>
    </row>
    <row r="53" spans="1:16" s="85" customFormat="1" x14ac:dyDescent="0.2">
      <c r="A53" s="412"/>
      <c r="B53" s="412"/>
      <c r="C53" s="432">
        <f>SUM(C42:C50)-C52</f>
        <v>-356994.7</v>
      </c>
      <c r="D53" s="413"/>
      <c r="E53" s="413"/>
      <c r="F53" s="413"/>
      <c r="G53" s="413"/>
      <c r="H53" s="413"/>
      <c r="I53" s="413"/>
      <c r="J53" s="413"/>
      <c r="K53" s="413"/>
      <c r="L53" s="413"/>
      <c r="M53" s="413"/>
      <c r="N53" s="413"/>
      <c r="O53" s="413"/>
      <c r="P53" s="412"/>
    </row>
    <row r="54" spans="1:16" s="85" customFormat="1" x14ac:dyDescent="0.2">
      <c r="A54" s="412"/>
      <c r="B54" s="412"/>
      <c r="C54" s="413"/>
      <c r="D54" s="413"/>
      <c r="E54" s="413"/>
      <c r="F54" s="413"/>
      <c r="G54" s="413"/>
      <c r="H54" s="413"/>
      <c r="I54" s="413"/>
      <c r="J54" s="413"/>
      <c r="K54" s="413"/>
      <c r="L54" s="413"/>
      <c r="M54" s="413"/>
      <c r="N54" s="413"/>
      <c r="O54" s="413"/>
      <c r="P54" s="412"/>
    </row>
    <row r="55" spans="1:16" s="85" customFormat="1" x14ac:dyDescent="0.2">
      <c r="A55" s="412"/>
      <c r="B55" s="412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413"/>
      <c r="N55" s="413"/>
      <c r="O55" s="413"/>
      <c r="P55" s="412"/>
    </row>
    <row r="56" spans="1:16" x14ac:dyDescent="0.2">
      <c r="A56" s="412"/>
      <c r="B56" s="379" t="s">
        <v>582</v>
      </c>
      <c r="C56" s="380" t="s">
        <v>573</v>
      </c>
      <c r="D56" s="381" t="s">
        <v>583</v>
      </c>
      <c r="E56" s="380" t="s">
        <v>581</v>
      </c>
      <c r="F56" s="413"/>
      <c r="G56" s="413"/>
      <c r="H56" s="413"/>
      <c r="I56" s="413"/>
      <c r="J56" s="413"/>
      <c r="K56" s="413"/>
      <c r="L56" s="413"/>
      <c r="M56" s="413"/>
      <c r="N56" s="413"/>
      <c r="O56" s="413"/>
      <c r="P56" s="412"/>
    </row>
    <row r="57" spans="1:16" x14ac:dyDescent="0.2">
      <c r="A57" s="412"/>
      <c r="B57" s="365"/>
      <c r="C57" s="367"/>
      <c r="D57" s="382"/>
      <c r="E57" s="367"/>
      <c r="F57" s="413"/>
      <c r="G57" s="413"/>
      <c r="H57" s="413"/>
      <c r="I57" s="413"/>
      <c r="J57" s="413"/>
      <c r="K57" s="413"/>
      <c r="L57" s="413"/>
      <c r="M57" s="413"/>
      <c r="N57" s="413"/>
      <c r="O57" s="413"/>
      <c r="P57" s="412"/>
    </row>
    <row r="58" spans="1:16" x14ac:dyDescent="0.2">
      <c r="A58" s="412"/>
      <c r="B58" s="383" t="s">
        <v>550</v>
      </c>
      <c r="C58" s="384">
        <f>E58*D58</f>
        <v>0</v>
      </c>
      <c r="D58" s="561"/>
      <c r="E58" s="562"/>
      <c r="F58" s="413"/>
      <c r="G58" s="413"/>
      <c r="H58" s="413"/>
      <c r="I58" s="413"/>
      <c r="J58" s="413"/>
      <c r="K58" s="413"/>
      <c r="L58" s="413"/>
      <c r="M58" s="413"/>
      <c r="N58" s="413"/>
      <c r="O58" s="413"/>
      <c r="P58" s="412"/>
    </row>
    <row r="59" spans="1:16" x14ac:dyDescent="0.2">
      <c r="A59" s="412"/>
      <c r="B59" s="383"/>
      <c r="C59" s="387"/>
      <c r="D59" s="385"/>
      <c r="E59" s="386"/>
      <c r="F59" s="413"/>
      <c r="G59" s="413"/>
      <c r="H59" s="413"/>
      <c r="I59" s="413"/>
      <c r="J59" s="413"/>
      <c r="K59" s="413"/>
      <c r="L59" s="413"/>
      <c r="M59" s="413"/>
      <c r="N59" s="413"/>
      <c r="O59" s="413"/>
      <c r="P59" s="412"/>
    </row>
    <row r="60" spans="1:16" s="85" customFormat="1" x14ac:dyDescent="0.2">
      <c r="A60" s="412"/>
      <c r="B60" s="388" t="s">
        <v>584</v>
      </c>
      <c r="C60" s="389">
        <f>E60*D60</f>
        <v>0</v>
      </c>
      <c r="D60" s="563"/>
      <c r="E60" s="564"/>
      <c r="F60" s="413"/>
      <c r="G60" s="413"/>
      <c r="H60" s="413"/>
      <c r="I60" s="413"/>
      <c r="J60" s="413"/>
      <c r="K60" s="413"/>
      <c r="L60" s="413"/>
      <c r="M60" s="413"/>
      <c r="N60" s="413"/>
      <c r="O60" s="413"/>
      <c r="P60" s="412"/>
    </row>
    <row r="61" spans="1:16" s="85" customFormat="1" x14ac:dyDescent="0.2">
      <c r="A61" s="412"/>
      <c r="B61" s="433"/>
      <c r="C61" s="434"/>
      <c r="D61" s="413"/>
      <c r="E61" s="413"/>
      <c r="F61" s="413"/>
      <c r="G61" s="413"/>
      <c r="H61" s="413"/>
      <c r="I61" s="413"/>
      <c r="J61" s="413"/>
      <c r="K61" s="413"/>
      <c r="L61" s="413"/>
      <c r="M61" s="413"/>
      <c r="N61" s="413"/>
      <c r="O61" s="413"/>
      <c r="P61" s="412"/>
    </row>
    <row r="62" spans="1:16" s="85" customFormat="1" x14ac:dyDescent="0.2">
      <c r="A62" s="412"/>
      <c r="B62" s="390" t="s">
        <v>134</v>
      </c>
      <c r="C62" s="391">
        <f>SUM(C58:C60)</f>
        <v>0</v>
      </c>
      <c r="D62" s="413"/>
      <c r="E62" s="413"/>
      <c r="F62" s="413"/>
      <c r="G62" s="413"/>
      <c r="H62" s="413"/>
      <c r="I62" s="413"/>
      <c r="J62" s="413"/>
      <c r="K62" s="413"/>
      <c r="L62" s="413"/>
      <c r="M62" s="413"/>
      <c r="N62" s="413"/>
      <c r="O62" s="413"/>
      <c r="P62" s="412"/>
    </row>
    <row r="63" spans="1:16" s="85" customFormat="1" x14ac:dyDescent="0.2">
      <c r="A63" s="412"/>
      <c r="B63" s="412"/>
      <c r="C63" s="413"/>
      <c r="D63" s="413"/>
      <c r="E63" s="413"/>
      <c r="F63" s="413"/>
      <c r="G63" s="413"/>
      <c r="H63" s="413"/>
      <c r="I63" s="413"/>
      <c r="J63" s="413"/>
      <c r="K63" s="413"/>
      <c r="L63" s="413"/>
      <c r="M63" s="413"/>
      <c r="N63" s="413"/>
      <c r="O63" s="413"/>
      <c r="P63" s="412"/>
    </row>
    <row r="64" spans="1:16" s="85" customFormat="1" x14ac:dyDescent="0.2">
      <c r="A64" s="412"/>
      <c r="B64" s="412"/>
      <c r="C64" s="413"/>
      <c r="D64" s="413"/>
      <c r="E64" s="413"/>
      <c r="F64" s="413"/>
      <c r="G64" s="413"/>
      <c r="H64" s="413"/>
      <c r="I64" s="413"/>
      <c r="J64" s="413"/>
      <c r="K64" s="413"/>
      <c r="L64" s="413"/>
      <c r="M64" s="413"/>
      <c r="N64" s="413"/>
      <c r="O64" s="413"/>
      <c r="P64" s="412"/>
    </row>
    <row r="65" spans="1:16" s="85" customFormat="1" x14ac:dyDescent="0.2">
      <c r="A65" s="412"/>
      <c r="B65" s="412"/>
      <c r="C65" s="413"/>
      <c r="D65" s="413"/>
      <c r="E65" s="413"/>
      <c r="F65" s="413"/>
      <c r="G65" s="413"/>
      <c r="H65" s="413"/>
      <c r="I65" s="413"/>
      <c r="J65" s="413"/>
      <c r="K65" s="413"/>
      <c r="L65" s="413"/>
      <c r="M65" s="413"/>
      <c r="N65" s="413"/>
      <c r="O65" s="413"/>
      <c r="P65" s="412"/>
    </row>
    <row r="66" spans="1:16" x14ac:dyDescent="0.2">
      <c r="A66" s="412"/>
      <c r="B66" s="379" t="s">
        <v>585</v>
      </c>
      <c r="C66" s="381" t="s">
        <v>586</v>
      </c>
      <c r="D66" s="381" t="s">
        <v>587</v>
      </c>
      <c r="E66" s="381" t="s">
        <v>511</v>
      </c>
      <c r="F66" s="381" t="s">
        <v>587</v>
      </c>
      <c r="G66" s="381" t="s">
        <v>549</v>
      </c>
      <c r="H66" s="381" t="s">
        <v>587</v>
      </c>
      <c r="I66" s="381" t="s">
        <v>550</v>
      </c>
      <c r="J66" s="381" t="s">
        <v>588</v>
      </c>
      <c r="K66" s="381" t="s">
        <v>551</v>
      </c>
      <c r="L66" s="381" t="s">
        <v>588</v>
      </c>
      <c r="M66" s="380" t="s">
        <v>552</v>
      </c>
      <c r="N66" s="413"/>
      <c r="O66" s="413"/>
      <c r="P66" s="412"/>
    </row>
    <row r="67" spans="1:16" x14ac:dyDescent="0.2">
      <c r="A67" s="412"/>
      <c r="B67" s="392" t="s">
        <v>589</v>
      </c>
      <c r="C67" s="393">
        <f>'Planzahlen Rentabilität'!D35</f>
        <v>2850</v>
      </c>
      <c r="D67" s="565">
        <v>0.2</v>
      </c>
      <c r="E67" s="444">
        <f t="shared" ref="E67:E74" si="9">C67*D67</f>
        <v>570</v>
      </c>
      <c r="F67" s="565">
        <v>0.2</v>
      </c>
      <c r="G67" s="444">
        <f t="shared" ref="G67:G74" si="10">C67*F67</f>
        <v>570</v>
      </c>
      <c r="H67" s="565">
        <v>0.2</v>
      </c>
      <c r="I67" s="444">
        <f t="shared" ref="I67:I74" si="11">H67*C67</f>
        <v>570</v>
      </c>
      <c r="J67" s="565">
        <v>0.2</v>
      </c>
      <c r="K67" s="444">
        <f t="shared" ref="K67:K74" si="12">J67*C67</f>
        <v>570</v>
      </c>
      <c r="L67" s="565">
        <v>0.2</v>
      </c>
      <c r="M67" s="446">
        <f t="shared" ref="M67:M74" si="13">L67*C67</f>
        <v>570</v>
      </c>
      <c r="N67" s="413"/>
      <c r="O67" s="413"/>
      <c r="P67" s="412"/>
    </row>
    <row r="68" spans="1:16" x14ac:dyDescent="0.2">
      <c r="A68" s="412"/>
      <c r="B68" s="383" t="s">
        <v>266</v>
      </c>
      <c r="C68" s="370">
        <f>'Planzahlen Rentabilität'!D36</f>
        <v>1800</v>
      </c>
      <c r="D68" s="566">
        <v>0.2</v>
      </c>
      <c r="E68" s="445">
        <f t="shared" si="9"/>
        <v>360</v>
      </c>
      <c r="F68" s="566">
        <v>0.2</v>
      </c>
      <c r="G68" s="445">
        <f t="shared" si="10"/>
        <v>360</v>
      </c>
      <c r="H68" s="566">
        <v>0.2</v>
      </c>
      <c r="I68" s="445">
        <f t="shared" si="11"/>
        <v>360</v>
      </c>
      <c r="J68" s="566">
        <v>0.2</v>
      </c>
      <c r="K68" s="445">
        <f t="shared" si="12"/>
        <v>360</v>
      </c>
      <c r="L68" s="566">
        <v>0.2</v>
      </c>
      <c r="M68" s="384">
        <f t="shared" si="13"/>
        <v>360</v>
      </c>
      <c r="N68" s="413"/>
      <c r="O68" s="413"/>
      <c r="P68" s="412"/>
    </row>
    <row r="69" spans="1:16" x14ac:dyDescent="0.2">
      <c r="A69" s="412"/>
      <c r="B69" s="383" t="s">
        <v>590</v>
      </c>
      <c r="C69" s="370">
        <f>'Planzahlen Rentabilität'!D37</f>
        <v>399.99999999999994</v>
      </c>
      <c r="D69" s="566">
        <v>0.2</v>
      </c>
      <c r="E69" s="445">
        <f t="shared" si="9"/>
        <v>80</v>
      </c>
      <c r="F69" s="566">
        <v>0.2</v>
      </c>
      <c r="G69" s="445">
        <f t="shared" si="10"/>
        <v>80</v>
      </c>
      <c r="H69" s="566">
        <v>0.2</v>
      </c>
      <c r="I69" s="445">
        <f t="shared" si="11"/>
        <v>80</v>
      </c>
      <c r="J69" s="566">
        <v>0.2</v>
      </c>
      <c r="K69" s="445">
        <f t="shared" si="12"/>
        <v>80</v>
      </c>
      <c r="L69" s="566">
        <v>0.2</v>
      </c>
      <c r="M69" s="384">
        <f t="shared" si="13"/>
        <v>80</v>
      </c>
      <c r="N69" s="413"/>
      <c r="O69" s="413"/>
      <c r="P69" s="412"/>
    </row>
    <row r="70" spans="1:16" x14ac:dyDescent="0.2">
      <c r="A70" s="412"/>
      <c r="B70" s="383" t="s">
        <v>591</v>
      </c>
      <c r="C70" s="370">
        <f>'Planzahlen Rentabilität'!D38</f>
        <v>1300</v>
      </c>
      <c r="D70" s="566">
        <v>0.2</v>
      </c>
      <c r="E70" s="445">
        <f t="shared" si="9"/>
        <v>260</v>
      </c>
      <c r="F70" s="566">
        <v>0.2</v>
      </c>
      <c r="G70" s="445">
        <f t="shared" si="10"/>
        <v>260</v>
      </c>
      <c r="H70" s="566">
        <v>0.2</v>
      </c>
      <c r="I70" s="445">
        <f t="shared" si="11"/>
        <v>260</v>
      </c>
      <c r="J70" s="566">
        <v>0.2</v>
      </c>
      <c r="K70" s="445">
        <f t="shared" si="12"/>
        <v>260</v>
      </c>
      <c r="L70" s="566">
        <v>0.2</v>
      </c>
      <c r="M70" s="384">
        <f t="shared" si="13"/>
        <v>260</v>
      </c>
      <c r="N70" s="413"/>
      <c r="O70" s="413"/>
      <c r="P70" s="412"/>
    </row>
    <row r="71" spans="1:16" x14ac:dyDescent="0.2">
      <c r="A71" s="412"/>
      <c r="B71" s="383" t="s">
        <v>268</v>
      </c>
      <c r="C71" s="370">
        <f>'Planzahlen Rentabilität'!D39</f>
        <v>2400</v>
      </c>
      <c r="D71" s="566">
        <v>0.2</v>
      </c>
      <c r="E71" s="445">
        <f t="shared" si="9"/>
        <v>480</v>
      </c>
      <c r="F71" s="566">
        <v>0.2</v>
      </c>
      <c r="G71" s="445">
        <f t="shared" si="10"/>
        <v>480</v>
      </c>
      <c r="H71" s="566">
        <v>0.2</v>
      </c>
      <c r="I71" s="445">
        <f t="shared" si="11"/>
        <v>480</v>
      </c>
      <c r="J71" s="566">
        <v>0.2</v>
      </c>
      <c r="K71" s="445">
        <f t="shared" si="12"/>
        <v>480</v>
      </c>
      <c r="L71" s="566">
        <v>0.2</v>
      </c>
      <c r="M71" s="384">
        <f t="shared" si="13"/>
        <v>480</v>
      </c>
      <c r="N71" s="413"/>
      <c r="O71" s="413"/>
      <c r="P71" s="412"/>
    </row>
    <row r="72" spans="1:16" x14ac:dyDescent="0.2">
      <c r="A72" s="412"/>
      <c r="B72" s="383" t="s">
        <v>592</v>
      </c>
      <c r="C72" s="370">
        <f>'Planzahlen Rentabilität'!D40</f>
        <v>6500.0000000000009</v>
      </c>
      <c r="D72" s="566">
        <v>0.2</v>
      </c>
      <c r="E72" s="445">
        <f t="shared" si="9"/>
        <v>1300.0000000000002</v>
      </c>
      <c r="F72" s="566">
        <v>0.2</v>
      </c>
      <c r="G72" s="445">
        <f t="shared" si="10"/>
        <v>1300.0000000000002</v>
      </c>
      <c r="H72" s="566">
        <v>0.2</v>
      </c>
      <c r="I72" s="445">
        <f t="shared" si="11"/>
        <v>1300.0000000000002</v>
      </c>
      <c r="J72" s="566">
        <v>0.2</v>
      </c>
      <c r="K72" s="445">
        <f t="shared" si="12"/>
        <v>1300.0000000000002</v>
      </c>
      <c r="L72" s="566">
        <v>0.2</v>
      </c>
      <c r="M72" s="384">
        <f t="shared" si="13"/>
        <v>1300.0000000000002</v>
      </c>
      <c r="N72" s="413"/>
      <c r="O72" s="413"/>
      <c r="P72" s="412"/>
    </row>
    <row r="73" spans="1:16" x14ac:dyDescent="0.2">
      <c r="A73" s="412"/>
      <c r="B73" s="383" t="s">
        <v>585</v>
      </c>
      <c r="C73" s="370">
        <f>'Planzahlen Rentabilität'!D41</f>
        <v>5310</v>
      </c>
      <c r="D73" s="566">
        <v>0.2</v>
      </c>
      <c r="E73" s="445">
        <f t="shared" si="9"/>
        <v>1062</v>
      </c>
      <c r="F73" s="566">
        <v>0.2</v>
      </c>
      <c r="G73" s="445">
        <f t="shared" si="10"/>
        <v>1062</v>
      </c>
      <c r="H73" s="566">
        <v>0.2</v>
      </c>
      <c r="I73" s="445">
        <f t="shared" si="11"/>
        <v>1062</v>
      </c>
      <c r="J73" s="566">
        <v>0.2</v>
      </c>
      <c r="K73" s="445">
        <f t="shared" si="12"/>
        <v>1062</v>
      </c>
      <c r="L73" s="566">
        <v>0.2</v>
      </c>
      <c r="M73" s="384">
        <f t="shared" si="13"/>
        <v>1062</v>
      </c>
      <c r="N73" s="413"/>
      <c r="O73" s="413"/>
      <c r="P73" s="412"/>
    </row>
    <row r="74" spans="1:16" x14ac:dyDescent="0.2">
      <c r="A74" s="412"/>
      <c r="B74" s="388" t="s">
        <v>593</v>
      </c>
      <c r="C74" s="374">
        <f>'Planzahlen Rentabilität'!D46-'Planzahlen Rentabilität'!D45</f>
        <v>57.333333333333314</v>
      </c>
      <c r="D74" s="567">
        <v>0.2</v>
      </c>
      <c r="E74" s="400">
        <f t="shared" si="9"/>
        <v>11.466666666666663</v>
      </c>
      <c r="F74" s="567">
        <v>0.2</v>
      </c>
      <c r="G74" s="400">
        <f t="shared" si="10"/>
        <v>11.466666666666663</v>
      </c>
      <c r="H74" s="567">
        <v>0.2</v>
      </c>
      <c r="I74" s="400">
        <f t="shared" si="11"/>
        <v>11.466666666666663</v>
      </c>
      <c r="J74" s="567">
        <v>0.2</v>
      </c>
      <c r="K74" s="400">
        <f t="shared" si="12"/>
        <v>11.466666666666663</v>
      </c>
      <c r="L74" s="567">
        <v>0.2</v>
      </c>
      <c r="M74" s="389">
        <f t="shared" si="13"/>
        <v>11.466666666666663</v>
      </c>
      <c r="N74" s="413"/>
      <c r="O74" s="413"/>
      <c r="P74" s="412"/>
    </row>
    <row r="75" spans="1:16" s="85" customFormat="1" x14ac:dyDescent="0.2">
      <c r="A75" s="412"/>
      <c r="B75" s="394" t="s">
        <v>134</v>
      </c>
      <c r="C75" s="395">
        <f>SUM(C67:C74)</f>
        <v>20617.333333333332</v>
      </c>
      <c r="D75" s="315"/>
      <c r="E75" s="396">
        <f>(SUM(E67:E74)/C75)</f>
        <v>0.19999999999999998</v>
      </c>
      <c r="F75" s="315"/>
      <c r="G75" s="396">
        <f>(SUM(G67:G74)/C75)</f>
        <v>0.19999999999999998</v>
      </c>
      <c r="H75" s="315"/>
      <c r="I75" s="396">
        <f>(SUM(I67:I74)/C75)</f>
        <v>0.19999999999999998</v>
      </c>
      <c r="J75" s="315"/>
      <c r="K75" s="396">
        <f>(SUM(K67:K74)/C75)</f>
        <v>0.19999999999999998</v>
      </c>
      <c r="L75" s="315"/>
      <c r="M75" s="396">
        <f>(SUM(M67:M74)/C75)</f>
        <v>0.19999999999999998</v>
      </c>
      <c r="N75" s="413"/>
      <c r="O75" s="413"/>
      <c r="P75" s="412"/>
    </row>
    <row r="76" spans="1:16" s="85" customFormat="1" x14ac:dyDescent="0.2">
      <c r="A76" s="412"/>
      <c r="B76" s="412"/>
      <c r="C76" s="432">
        <f>SUM('Planzahlen Rentabilität'!D33-'Planzahlen Rentabilität'!D43-'Planzahlen Rentabilität'!D47-'Planzahlen Rentabilität'!D34)-C75</f>
        <v>750</v>
      </c>
      <c r="D76" s="413"/>
      <c r="E76" s="413"/>
      <c r="F76" s="413"/>
      <c r="G76" s="413"/>
      <c r="H76" s="413"/>
      <c r="I76" s="413"/>
      <c r="J76" s="413"/>
      <c r="K76" s="413"/>
      <c r="L76" s="413"/>
      <c r="M76" s="413"/>
      <c r="N76" s="413"/>
      <c r="O76" s="413"/>
      <c r="P76" s="412"/>
    </row>
    <row r="77" spans="1:16" s="85" customFormat="1" x14ac:dyDescent="0.2">
      <c r="A77" s="412"/>
      <c r="B77" s="412"/>
      <c r="C77" s="413"/>
      <c r="D77" s="413"/>
      <c r="E77" s="413"/>
      <c r="F77" s="413"/>
      <c r="G77" s="413"/>
      <c r="H77" s="413"/>
      <c r="I77" s="413"/>
      <c r="J77" s="413"/>
      <c r="K77" s="413"/>
      <c r="L77" s="413"/>
      <c r="M77" s="413"/>
      <c r="N77" s="413"/>
      <c r="O77" s="413"/>
      <c r="P77" s="412"/>
    </row>
    <row r="78" spans="1:16" s="85" customFormat="1" x14ac:dyDescent="0.2">
      <c r="A78" s="412"/>
      <c r="B78" s="412"/>
      <c r="C78" s="413"/>
      <c r="D78" s="413"/>
      <c r="E78" s="413"/>
      <c r="F78" s="413"/>
      <c r="G78" s="413"/>
      <c r="H78" s="413"/>
      <c r="I78" s="413"/>
      <c r="J78" s="413"/>
      <c r="K78" s="413"/>
      <c r="L78" s="413"/>
      <c r="M78" s="413"/>
      <c r="N78" s="413"/>
      <c r="O78" s="413"/>
      <c r="P78" s="412"/>
    </row>
    <row r="79" spans="1:16" x14ac:dyDescent="0.2">
      <c r="A79" s="412"/>
      <c r="B79" s="397" t="s">
        <v>594</v>
      </c>
      <c r="C79" s="362" t="s">
        <v>595</v>
      </c>
      <c r="D79" s="362" t="s">
        <v>596</v>
      </c>
      <c r="E79" s="362" t="s">
        <v>597</v>
      </c>
      <c r="F79" s="362" t="s">
        <v>550</v>
      </c>
      <c r="G79" s="362" t="s">
        <v>598</v>
      </c>
      <c r="H79" s="362" t="s">
        <v>599</v>
      </c>
      <c r="I79" s="398" t="s">
        <v>549</v>
      </c>
      <c r="J79" s="413"/>
      <c r="K79" s="413"/>
      <c r="L79" s="413"/>
      <c r="M79" s="413"/>
      <c r="N79" s="413"/>
      <c r="O79" s="413"/>
      <c r="P79" s="412"/>
    </row>
    <row r="80" spans="1:16" s="85" customFormat="1" x14ac:dyDescent="0.2">
      <c r="A80" s="412"/>
      <c r="B80" s="399" t="s">
        <v>600</v>
      </c>
      <c r="C80" s="374" t="e">
        <f>F80+H80+I80</f>
        <v>#REF!</v>
      </c>
      <c r="D80" s="568"/>
      <c r="E80" s="400" t="e">
        <f>C80+D80</f>
        <v>#REF!</v>
      </c>
      <c r="F80" s="400" t="e">
        <f>Personalplanung!#REF!</f>
        <v>#REF!</v>
      </c>
      <c r="G80" s="400" t="e">
        <f>E80-F80</f>
        <v>#REF!</v>
      </c>
      <c r="H80" s="400">
        <f>C52</f>
        <v>357108.7</v>
      </c>
      <c r="I80" s="389" t="e">
        <f>Personalplanung!#REF!</f>
        <v>#REF!</v>
      </c>
      <c r="J80" s="413"/>
      <c r="K80" s="413"/>
      <c r="L80" s="413"/>
      <c r="M80" s="413"/>
      <c r="N80" s="413"/>
      <c r="O80" s="413"/>
      <c r="P80" s="412"/>
    </row>
    <row r="81" spans="1:16" s="85" customFormat="1" x14ac:dyDescent="0.2">
      <c r="A81" s="412"/>
      <c r="B81" s="430"/>
      <c r="C81" s="432" t="e">
        <f>'Planzahlen Rentabilität'!D23+'Planzahlen Liquidität'!D29-C80</f>
        <v>#REF!</v>
      </c>
      <c r="D81" s="413"/>
      <c r="E81" s="413"/>
      <c r="F81" s="413"/>
      <c r="G81" s="413"/>
      <c r="H81" s="413"/>
      <c r="I81" s="413"/>
      <c r="J81" s="413"/>
      <c r="K81" s="413"/>
      <c r="L81" s="413"/>
      <c r="M81" s="413"/>
      <c r="N81" s="413"/>
      <c r="O81" s="413"/>
      <c r="P81" s="412"/>
    </row>
    <row r="82" spans="1:16" s="85" customFormat="1" x14ac:dyDescent="0.2">
      <c r="A82" s="412"/>
      <c r="B82" s="412"/>
      <c r="C82" s="413"/>
      <c r="D82" s="413"/>
      <c r="E82" s="413"/>
      <c r="F82" s="413"/>
      <c r="G82" s="413"/>
      <c r="H82" s="413"/>
      <c r="I82" s="413"/>
      <c r="J82" s="413"/>
      <c r="K82" s="413"/>
      <c r="L82" s="413"/>
      <c r="M82" s="413"/>
      <c r="N82" s="413"/>
      <c r="O82" s="413"/>
      <c r="P82" s="412"/>
    </row>
    <row r="83" spans="1:16" hidden="1" x14ac:dyDescent="0.2">
      <c r="A83" s="412"/>
      <c r="B83" s="314"/>
      <c r="C83" s="315"/>
      <c r="D83" s="315"/>
      <c r="E83" s="315"/>
      <c r="F83" s="315"/>
      <c r="G83" s="315"/>
      <c r="H83" s="315"/>
      <c r="I83" s="315"/>
      <c r="J83" s="315"/>
      <c r="K83" s="315"/>
      <c r="L83" s="315"/>
      <c r="M83" s="315"/>
      <c r="N83" s="315"/>
      <c r="O83" s="315"/>
      <c r="P83" s="412"/>
    </row>
    <row r="84" spans="1:16" hidden="1" x14ac:dyDescent="0.2">
      <c r="A84" s="412"/>
      <c r="B84" s="376" t="s">
        <v>601</v>
      </c>
      <c r="C84" s="315"/>
      <c r="D84" s="315"/>
      <c r="E84" s="315"/>
      <c r="F84" s="315"/>
      <c r="G84" s="315"/>
      <c r="H84" s="315"/>
      <c r="I84" s="315"/>
      <c r="J84" s="315"/>
      <c r="K84" s="315"/>
      <c r="L84" s="315"/>
      <c r="M84" s="315"/>
      <c r="N84" s="315"/>
      <c r="O84" s="315"/>
      <c r="P84" s="412"/>
    </row>
    <row r="85" spans="1:16" hidden="1" x14ac:dyDescent="0.2">
      <c r="A85" s="412"/>
      <c r="B85" s="401"/>
      <c r="C85" s="315"/>
      <c r="D85" s="315"/>
      <c r="E85" s="315"/>
      <c r="F85" s="315"/>
      <c r="G85" s="315"/>
      <c r="H85" s="315"/>
      <c r="I85" s="315"/>
      <c r="J85" s="315"/>
      <c r="K85" s="315"/>
      <c r="L85" s="315"/>
      <c r="M85" s="315"/>
      <c r="N85" s="315"/>
      <c r="O85" s="315"/>
      <c r="P85" s="412"/>
    </row>
    <row r="86" spans="1:16" hidden="1" x14ac:dyDescent="0.2">
      <c r="A86" s="412"/>
      <c r="B86" s="402" t="s">
        <v>602</v>
      </c>
      <c r="C86" s="403"/>
      <c r="D86" s="315"/>
      <c r="E86" s="315"/>
      <c r="F86" s="315"/>
      <c r="G86" s="315"/>
      <c r="H86" s="315"/>
      <c r="I86" s="315"/>
      <c r="J86" s="315"/>
      <c r="K86" s="315"/>
      <c r="L86" s="315"/>
      <c r="M86" s="315"/>
      <c r="N86" s="315"/>
      <c r="O86" s="315"/>
      <c r="P86" s="412"/>
    </row>
    <row r="87" spans="1:16" s="85" customFormat="1" hidden="1" x14ac:dyDescent="0.2">
      <c r="A87" s="412"/>
      <c r="B87" s="404" t="s">
        <v>603</v>
      </c>
      <c r="C87" s="405"/>
      <c r="D87" s="315"/>
      <c r="E87" s="315"/>
      <c r="F87" s="315"/>
      <c r="G87" s="315"/>
      <c r="H87" s="315"/>
      <c r="I87" s="315"/>
      <c r="J87" s="315"/>
      <c r="K87" s="315"/>
      <c r="L87" s="315"/>
      <c r="M87" s="315"/>
      <c r="N87" s="315"/>
      <c r="O87" s="315"/>
      <c r="P87" s="412"/>
    </row>
    <row r="88" spans="1:16" s="85" customFormat="1" hidden="1" x14ac:dyDescent="0.2">
      <c r="A88" s="412"/>
      <c r="B88" s="314"/>
      <c r="C88" s="315"/>
      <c r="D88" s="315"/>
      <c r="E88" s="315"/>
      <c r="F88" s="315"/>
      <c r="G88" s="315"/>
      <c r="H88" s="315"/>
      <c r="I88" s="315"/>
      <c r="J88" s="315"/>
      <c r="K88" s="315"/>
      <c r="L88" s="315"/>
      <c r="M88" s="315"/>
      <c r="N88" s="315"/>
      <c r="O88" s="315"/>
      <c r="P88" s="412"/>
    </row>
    <row r="89" spans="1:16" s="85" customFormat="1" hidden="1" x14ac:dyDescent="0.2">
      <c r="A89" s="412"/>
      <c r="B89" s="314"/>
      <c r="C89" s="315"/>
      <c r="D89" s="315"/>
      <c r="E89" s="315"/>
      <c r="F89" s="315"/>
      <c r="G89" s="315"/>
      <c r="H89" s="315"/>
      <c r="I89" s="315"/>
      <c r="J89" s="315"/>
      <c r="K89" s="315"/>
      <c r="L89" s="315"/>
      <c r="M89" s="315"/>
      <c r="N89" s="315"/>
      <c r="O89" s="315"/>
      <c r="P89" s="412"/>
    </row>
    <row r="90" spans="1:16" s="85" customFormat="1" x14ac:dyDescent="0.2">
      <c r="A90" s="412"/>
      <c r="B90" s="412"/>
      <c r="C90" s="413"/>
      <c r="D90" s="413"/>
      <c r="E90" s="413"/>
      <c r="F90" s="413"/>
      <c r="G90" s="413"/>
      <c r="H90" s="413"/>
      <c r="I90" s="413"/>
      <c r="J90" s="413"/>
      <c r="K90" s="413"/>
      <c r="L90" s="413"/>
      <c r="M90" s="413"/>
      <c r="N90" s="413"/>
      <c r="O90" s="413"/>
      <c r="P90" s="412"/>
    </row>
    <row r="91" spans="1:16" x14ac:dyDescent="0.2">
      <c r="A91" s="412"/>
      <c r="B91" s="376" t="s">
        <v>583</v>
      </c>
      <c r="C91" s="413"/>
      <c r="D91" s="413"/>
      <c r="E91" s="413"/>
      <c r="F91" s="413"/>
      <c r="G91" s="413"/>
      <c r="H91" s="413"/>
      <c r="I91" s="413"/>
      <c r="J91" s="413"/>
      <c r="K91" s="413"/>
      <c r="L91" s="413"/>
      <c r="M91" s="413"/>
      <c r="N91" s="413"/>
      <c r="O91" s="413"/>
      <c r="P91" s="412"/>
    </row>
    <row r="92" spans="1:16" x14ac:dyDescent="0.2">
      <c r="A92" s="412"/>
      <c r="B92" s="401"/>
      <c r="C92" s="413"/>
      <c r="D92" s="413"/>
      <c r="E92" s="413"/>
      <c r="F92" s="413"/>
      <c r="G92" s="413"/>
      <c r="H92" s="413"/>
      <c r="I92" s="413"/>
      <c r="J92" s="413"/>
      <c r="K92" s="413"/>
      <c r="L92" s="413"/>
      <c r="M92" s="413"/>
      <c r="N92" s="413"/>
      <c r="O92" s="413"/>
      <c r="P92" s="412"/>
    </row>
    <row r="93" spans="1:16" x14ac:dyDescent="0.2">
      <c r="A93" s="412"/>
      <c r="B93" s="406" t="s">
        <v>604</v>
      </c>
      <c r="C93" s="479">
        <f>Personalplanung!AL107+D58+D60</f>
        <v>13550.4</v>
      </c>
      <c r="D93" s="413"/>
      <c r="E93" s="413"/>
      <c r="F93" s="413"/>
      <c r="G93" s="413"/>
      <c r="H93" s="413"/>
      <c r="I93" s="413"/>
      <c r="J93" s="413"/>
      <c r="K93" s="413"/>
      <c r="L93" s="413"/>
      <c r="M93" s="413"/>
      <c r="N93" s="413"/>
      <c r="O93" s="413"/>
      <c r="P93" s="412"/>
    </row>
    <row r="94" spans="1:16" x14ac:dyDescent="0.2">
      <c r="A94" s="412"/>
      <c r="B94" s="407" t="s">
        <v>605</v>
      </c>
      <c r="C94" s="478" t="e">
        <f>Personalplanung!AL107*Personalplanung!#REF!+D58</f>
        <v>#REF!</v>
      </c>
      <c r="D94" s="413"/>
      <c r="E94" s="413"/>
      <c r="F94" s="413"/>
      <c r="G94" s="413"/>
      <c r="H94" s="413"/>
      <c r="I94" s="413"/>
      <c r="J94" s="413"/>
      <c r="K94" s="413"/>
      <c r="L94" s="413"/>
      <c r="M94" s="413"/>
      <c r="N94" s="413"/>
      <c r="O94" s="413"/>
      <c r="P94" s="412"/>
    </row>
    <row r="95" spans="1:16" x14ac:dyDescent="0.2">
      <c r="A95" s="412"/>
      <c r="B95" s="407" t="s">
        <v>606</v>
      </c>
      <c r="C95" s="408">
        <f>D58</f>
        <v>0</v>
      </c>
      <c r="D95" s="413"/>
      <c r="E95" s="413"/>
      <c r="F95" s="413"/>
      <c r="G95" s="413"/>
      <c r="H95" s="413"/>
      <c r="I95" s="413"/>
      <c r="J95" s="413"/>
      <c r="K95" s="413"/>
      <c r="L95" s="413"/>
      <c r="M95" s="413"/>
      <c r="N95" s="413"/>
      <c r="O95" s="413"/>
      <c r="P95" s="412"/>
    </row>
    <row r="96" spans="1:16" x14ac:dyDescent="0.2">
      <c r="A96" s="412"/>
      <c r="B96" s="407" t="s">
        <v>607</v>
      </c>
      <c r="C96" s="408" t="e">
        <f>C93-C94</f>
        <v>#REF!</v>
      </c>
      <c r="D96" s="413"/>
      <c r="E96" s="413"/>
      <c r="F96" s="413"/>
      <c r="G96" s="413"/>
      <c r="H96" s="413"/>
      <c r="I96" s="413"/>
      <c r="J96" s="413"/>
      <c r="K96" s="413"/>
      <c r="L96" s="413"/>
      <c r="M96" s="413"/>
      <c r="N96" s="413"/>
      <c r="O96" s="413"/>
      <c r="P96" s="412"/>
    </row>
    <row r="97" spans="1:16" x14ac:dyDescent="0.2">
      <c r="A97" s="412"/>
      <c r="B97" s="407" t="s">
        <v>608</v>
      </c>
      <c r="C97" s="409">
        <f>D60</f>
        <v>0</v>
      </c>
      <c r="D97" s="413"/>
      <c r="E97" s="413"/>
      <c r="F97" s="413"/>
      <c r="G97" s="413"/>
      <c r="H97" s="413"/>
      <c r="I97" s="413"/>
      <c r="J97" s="413"/>
      <c r="K97" s="413"/>
      <c r="L97" s="413"/>
      <c r="M97" s="413"/>
      <c r="N97" s="413"/>
      <c r="O97" s="413"/>
      <c r="P97" s="412"/>
    </row>
    <row r="98" spans="1:16" x14ac:dyDescent="0.2">
      <c r="A98" s="412"/>
      <c r="B98" s="407" t="s">
        <v>609</v>
      </c>
      <c r="C98" s="408" t="e">
        <f>C94-C95</f>
        <v>#REF!</v>
      </c>
      <c r="D98" s="413"/>
      <c r="E98" s="413"/>
      <c r="F98" s="413"/>
      <c r="G98" s="413"/>
      <c r="H98" s="413"/>
      <c r="I98" s="413"/>
      <c r="J98" s="413"/>
      <c r="K98" s="413"/>
      <c r="L98" s="413"/>
      <c r="M98" s="413"/>
      <c r="N98" s="413"/>
      <c r="O98" s="413"/>
      <c r="P98" s="412"/>
    </row>
    <row r="99" spans="1:16" s="85" customFormat="1" x14ac:dyDescent="0.2">
      <c r="A99" s="412"/>
      <c r="B99" s="410" t="s">
        <v>610</v>
      </c>
      <c r="C99" s="411" t="e">
        <f>C96-C97</f>
        <v>#REF!</v>
      </c>
      <c r="D99" s="413"/>
      <c r="E99" s="413"/>
      <c r="F99" s="413"/>
      <c r="G99" s="413"/>
      <c r="H99" s="413"/>
      <c r="I99" s="413"/>
      <c r="J99" s="413"/>
      <c r="K99" s="413"/>
      <c r="L99" s="413"/>
      <c r="M99" s="413"/>
      <c r="N99" s="413"/>
      <c r="O99" s="413"/>
      <c r="P99" s="412"/>
    </row>
    <row r="100" spans="1:16" s="85" customFormat="1" x14ac:dyDescent="0.2">
      <c r="A100" s="412"/>
      <c r="B100" s="412"/>
      <c r="C100" s="413"/>
      <c r="D100" s="413"/>
      <c r="E100" s="413"/>
      <c r="F100" s="413"/>
      <c r="G100" s="413"/>
      <c r="H100" s="413"/>
      <c r="I100" s="413"/>
      <c r="J100" s="413"/>
      <c r="K100" s="413"/>
      <c r="L100" s="413"/>
      <c r="M100" s="413"/>
      <c r="N100" s="413"/>
      <c r="O100" s="413"/>
      <c r="P100" s="412"/>
    </row>
    <row r="101" spans="1:16" s="85" customFormat="1" x14ac:dyDescent="0.2">
      <c r="A101" s="412"/>
      <c r="B101" s="412"/>
      <c r="C101" s="413"/>
      <c r="D101" s="413"/>
      <c r="E101" s="413"/>
      <c r="F101" s="413"/>
      <c r="G101" s="413"/>
      <c r="H101" s="413"/>
      <c r="I101" s="413"/>
      <c r="J101" s="413"/>
      <c r="K101" s="413"/>
      <c r="L101" s="413"/>
      <c r="M101" s="413"/>
      <c r="N101" s="413"/>
      <c r="O101" s="413"/>
      <c r="P101" s="412"/>
    </row>
    <row r="102" spans="1:16" s="85" customFormat="1" x14ac:dyDescent="0.2">
      <c r="A102" s="412"/>
      <c r="B102" s="412"/>
      <c r="C102" s="413"/>
      <c r="D102" s="413"/>
      <c r="E102" s="413"/>
      <c r="F102" s="413"/>
      <c r="G102" s="413"/>
      <c r="H102" s="413"/>
      <c r="I102" s="413"/>
      <c r="J102" s="413"/>
      <c r="K102" s="413"/>
      <c r="L102" s="413"/>
      <c r="M102" s="413"/>
      <c r="N102" s="413"/>
      <c r="O102" s="413"/>
      <c r="P102" s="412"/>
    </row>
    <row r="103" spans="1:16" s="85" customFormat="1" x14ac:dyDescent="0.2"/>
    <row r="104" spans="1:16" s="85" customFormat="1" x14ac:dyDescent="0.2"/>
    <row r="105" spans="1:16" s="85" customFormat="1" x14ac:dyDescent="0.2"/>
    <row r="106" spans="1:16" s="85" customFormat="1" x14ac:dyDescent="0.2"/>
    <row r="107" spans="1:16" s="85" customFormat="1" x14ac:dyDescent="0.2"/>
    <row r="108" spans="1:16" s="85" customFormat="1" x14ac:dyDescent="0.2"/>
    <row r="109" spans="1:16" s="85" customFormat="1" x14ac:dyDescent="0.2"/>
    <row r="110" spans="1:16" s="85" customFormat="1" x14ac:dyDescent="0.2"/>
    <row r="111" spans="1:16" s="85" customFormat="1" x14ac:dyDescent="0.2"/>
    <row r="112" spans="1:16" s="85" customFormat="1" x14ac:dyDescent="0.2"/>
    <row r="113" s="85" customFormat="1" x14ac:dyDescent="0.2"/>
    <row r="114" s="85" customFormat="1" x14ac:dyDescent="0.2"/>
    <row r="115" s="85" customFormat="1" x14ac:dyDescent="0.2"/>
    <row r="116" s="85" customFormat="1" x14ac:dyDescent="0.2"/>
    <row r="117" s="85" customFormat="1" x14ac:dyDescent="0.2"/>
    <row r="118" s="85" customFormat="1" x14ac:dyDescent="0.2"/>
    <row r="119" s="85" customFormat="1" x14ac:dyDescent="0.2"/>
    <row r="120" s="85" customFormat="1" x14ac:dyDescent="0.2"/>
    <row r="121" s="85" customFormat="1" x14ac:dyDescent="0.2"/>
    <row r="122" s="85" customFormat="1" x14ac:dyDescent="0.2"/>
    <row r="123" s="85" customFormat="1" x14ac:dyDescent="0.2"/>
    <row r="124" s="85" customFormat="1" x14ac:dyDescent="0.2"/>
    <row r="125" s="85" customFormat="1" x14ac:dyDescent="0.2"/>
    <row r="126" s="85" customFormat="1" x14ac:dyDescent="0.2"/>
    <row r="127" s="85" customFormat="1" x14ac:dyDescent="0.2"/>
    <row r="128" s="85" customFormat="1" x14ac:dyDescent="0.2"/>
    <row r="129" s="85" customFormat="1" x14ac:dyDescent="0.2"/>
    <row r="130" s="85" customFormat="1" x14ac:dyDescent="0.2"/>
    <row r="131" s="85" customFormat="1" x14ac:dyDescent="0.2"/>
    <row r="132" s="85" customFormat="1" x14ac:dyDescent="0.2"/>
    <row r="133" s="85" customFormat="1" x14ac:dyDescent="0.2"/>
    <row r="134" s="85" customFormat="1" x14ac:dyDescent="0.2"/>
    <row r="135" s="85" customFormat="1" x14ac:dyDescent="0.2"/>
    <row r="136" s="85" customFormat="1" x14ac:dyDescent="0.2"/>
    <row r="137" s="85" customFormat="1" x14ac:dyDescent="0.2"/>
    <row r="138" s="85" customFormat="1" x14ac:dyDescent="0.2"/>
    <row r="139" s="85" customFormat="1" x14ac:dyDescent="0.2"/>
    <row r="140" s="85" customFormat="1" x14ac:dyDescent="0.2"/>
    <row r="141" s="85" customFormat="1" x14ac:dyDescent="0.2"/>
    <row r="142" s="85" customFormat="1" x14ac:dyDescent="0.2"/>
    <row r="143" s="85" customFormat="1" x14ac:dyDescent="0.2"/>
    <row r="144" s="85" customFormat="1" x14ac:dyDescent="0.2"/>
    <row r="145" s="85" customFormat="1" x14ac:dyDescent="0.2"/>
    <row r="146" s="85" customFormat="1" x14ac:dyDescent="0.2"/>
    <row r="147" s="85" customFormat="1" x14ac:dyDescent="0.2"/>
    <row r="148" s="85" customFormat="1" x14ac:dyDescent="0.2"/>
    <row r="149" s="85" customFormat="1" x14ac:dyDescent="0.2"/>
    <row r="150" s="85" customFormat="1" x14ac:dyDescent="0.2"/>
    <row r="151" s="85" customFormat="1" x14ac:dyDescent="0.2"/>
    <row r="152" s="85" customFormat="1" x14ac:dyDescent="0.2"/>
    <row r="153" s="85" customFormat="1" x14ac:dyDescent="0.2"/>
    <row r="154" s="85" customFormat="1" x14ac:dyDescent="0.2"/>
    <row r="155" s="85" customFormat="1" x14ac:dyDescent="0.2"/>
    <row r="156" s="85" customFormat="1" x14ac:dyDescent="0.2"/>
    <row r="157" s="85" customFormat="1" x14ac:dyDescent="0.2"/>
    <row r="158" s="85" customFormat="1" x14ac:dyDescent="0.2"/>
    <row r="159" s="85" customFormat="1" x14ac:dyDescent="0.2"/>
    <row r="160" s="85" customFormat="1" x14ac:dyDescent="0.2"/>
    <row r="161" s="85" customFormat="1" x14ac:dyDescent="0.2"/>
    <row r="162" s="85" customFormat="1" x14ac:dyDescent="0.2"/>
    <row r="163" s="85" customFormat="1" x14ac:dyDescent="0.2"/>
    <row r="164" s="85" customFormat="1" x14ac:dyDescent="0.2"/>
    <row r="165" s="85" customFormat="1" x14ac:dyDescent="0.2"/>
    <row r="166" s="85" customFormat="1" x14ac:dyDescent="0.2"/>
    <row r="167" s="85" customFormat="1" x14ac:dyDescent="0.2"/>
    <row r="168" s="85" customFormat="1" x14ac:dyDescent="0.2"/>
    <row r="169" s="85" customFormat="1" x14ac:dyDescent="0.2"/>
    <row r="170" s="85" customFormat="1" x14ac:dyDescent="0.2"/>
    <row r="171" s="85" customFormat="1" x14ac:dyDescent="0.2"/>
    <row r="172" s="85" customFormat="1" x14ac:dyDescent="0.2"/>
    <row r="173" s="85" customFormat="1" x14ac:dyDescent="0.2"/>
    <row r="174" s="85" customFormat="1" x14ac:dyDescent="0.2"/>
    <row r="175" s="85" customFormat="1" x14ac:dyDescent="0.2"/>
    <row r="176" s="85" customFormat="1" x14ac:dyDescent="0.2"/>
    <row r="177" s="85" customFormat="1" x14ac:dyDescent="0.2"/>
    <row r="178" s="85" customFormat="1" x14ac:dyDescent="0.2"/>
    <row r="179" s="85" customFormat="1" x14ac:dyDescent="0.2"/>
    <row r="180" s="85" customFormat="1" x14ac:dyDescent="0.2"/>
    <row r="181" s="85" customFormat="1" x14ac:dyDescent="0.2"/>
    <row r="182" s="85" customFormat="1" x14ac:dyDescent="0.2"/>
    <row r="183" s="85" customFormat="1" x14ac:dyDescent="0.2"/>
    <row r="184" s="85" customFormat="1" x14ac:dyDescent="0.2"/>
    <row r="185" s="85" customFormat="1" x14ac:dyDescent="0.2"/>
    <row r="186" s="85" customFormat="1" x14ac:dyDescent="0.2"/>
    <row r="187" s="85" customFormat="1" x14ac:dyDescent="0.2"/>
    <row r="188" s="85" customFormat="1" x14ac:dyDescent="0.2"/>
    <row r="189" s="85" customFormat="1" x14ac:dyDescent="0.2"/>
    <row r="190" s="85" customFormat="1" x14ac:dyDescent="0.2"/>
    <row r="191" s="85" customFormat="1" x14ac:dyDescent="0.2"/>
    <row r="192" s="85" customFormat="1" x14ac:dyDescent="0.2"/>
    <row r="193" s="85" customFormat="1" x14ac:dyDescent="0.2"/>
  </sheetData>
  <mergeCells count="1">
    <mergeCell ref="D10:H10"/>
  </mergeCells>
  <pageMargins left="0.7" right="0.7" top="0.78740157499999996" bottom="0.78740157499999996" header="0.3" footer="0.3"/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5"/>
  <dimension ref="A4:K38"/>
  <sheetViews>
    <sheetView showGridLines="0" workbookViewId="0">
      <pane xSplit="1" ySplit="9" topLeftCell="B10" activePane="bottomRight" state="frozen"/>
      <selection activeCell="F11" sqref="F11"/>
      <selection pane="topRight" activeCell="F11" sqref="F11"/>
      <selection pane="bottomLeft" activeCell="F11" sqref="F11"/>
      <selection pane="bottomRight" activeCell="F11" sqref="F11"/>
    </sheetView>
  </sheetViews>
  <sheetFormatPr baseColWidth="10" defaultRowHeight="12.75" x14ac:dyDescent="0.2"/>
  <cols>
    <col min="1" max="1" width="32.85546875" style="3" bestFit="1" customWidth="1"/>
    <col min="2" max="2" width="14.140625" style="3" bestFit="1" customWidth="1"/>
    <col min="3" max="3" width="11.28515625" style="3" bestFit="1" customWidth="1"/>
    <col min="4" max="4" width="21.7109375" style="3" bestFit="1" customWidth="1"/>
    <col min="5" max="5" width="14.140625" style="85" bestFit="1" customWidth="1"/>
    <col min="6" max="6" width="35.7109375" style="85" bestFit="1" customWidth="1"/>
    <col min="7" max="7" width="10.140625" style="85" bestFit="1" customWidth="1"/>
    <col min="8" max="8" width="12.7109375" style="85" bestFit="1" customWidth="1"/>
    <col min="9" max="9" width="15" style="85" bestFit="1" customWidth="1"/>
    <col min="10" max="10" width="14.140625" style="3" bestFit="1" customWidth="1"/>
  </cols>
  <sheetData>
    <row r="4" spans="1:11" x14ac:dyDescent="0.2">
      <c r="A4" s="4"/>
      <c r="B4" s="4"/>
      <c r="C4" s="13"/>
      <c r="D4" s="13"/>
      <c r="E4" s="13"/>
      <c r="F4" s="4"/>
      <c r="G4" s="4"/>
      <c r="H4" s="4"/>
      <c r="I4" s="4"/>
      <c r="J4" s="4"/>
      <c r="K4" s="4"/>
    </row>
    <row r="5" spans="1:11" x14ac:dyDescent="0.2">
      <c r="B5" s="4"/>
      <c r="C5" s="13"/>
      <c r="D5" s="13"/>
      <c r="E5" s="13"/>
      <c r="F5" s="4"/>
      <c r="G5" s="4"/>
      <c r="H5" s="4"/>
      <c r="I5" s="4"/>
      <c r="J5" s="4"/>
      <c r="K5" s="4"/>
    </row>
    <row r="6" spans="1:11" ht="15.75" x14ac:dyDescent="0.2">
      <c r="A6" s="443" t="s">
        <v>611</v>
      </c>
      <c r="B6" s="4"/>
      <c r="C6" s="13"/>
      <c r="D6" s="13"/>
      <c r="E6" s="13"/>
      <c r="F6" s="4"/>
      <c r="G6" s="4"/>
      <c r="H6" s="4"/>
      <c r="I6" s="4"/>
      <c r="J6" s="4"/>
      <c r="K6" s="4"/>
    </row>
    <row r="7" spans="1:11" x14ac:dyDescent="0.2">
      <c r="A7" s="4"/>
      <c r="B7" s="4"/>
      <c r="C7" s="13"/>
      <c r="D7" s="13"/>
      <c r="E7" s="13"/>
      <c r="F7" s="4"/>
      <c r="G7" s="4"/>
      <c r="H7" s="4"/>
      <c r="I7" s="4"/>
      <c r="J7" s="4"/>
      <c r="K7" s="4"/>
    </row>
    <row r="8" spans="1:11" s="142" customFormat="1" x14ac:dyDescent="0.2">
      <c r="A8" s="480" t="s">
        <v>550</v>
      </c>
      <c r="B8" s="481" t="s">
        <v>573</v>
      </c>
      <c r="C8" s="482" t="s">
        <v>612</v>
      </c>
      <c r="D8" s="1523" t="s">
        <v>529</v>
      </c>
      <c r="E8" s="1524"/>
      <c r="F8" s="483" t="s">
        <v>549</v>
      </c>
      <c r="G8" s="484" t="s">
        <v>573</v>
      </c>
      <c r="H8" s="482" t="s">
        <v>612</v>
      </c>
      <c r="I8" s="1523" t="s">
        <v>529</v>
      </c>
      <c r="J8" s="1524"/>
      <c r="K8" s="241"/>
    </row>
    <row r="9" spans="1:11" x14ac:dyDescent="0.2">
      <c r="A9" s="242"/>
      <c r="B9" s="243"/>
      <c r="C9" s="244"/>
      <c r="D9" s="245"/>
      <c r="E9" s="246"/>
      <c r="F9" s="247"/>
      <c r="G9" s="248"/>
      <c r="H9" s="244"/>
      <c r="I9" s="245"/>
      <c r="J9" s="246"/>
      <c r="K9" s="4"/>
    </row>
    <row r="10" spans="1:11" x14ac:dyDescent="0.2">
      <c r="A10" s="249" t="s">
        <v>613</v>
      </c>
      <c r="B10" s="250">
        <f>'BAB-Vorlage Vorkalk.'!D22*C10</f>
        <v>300</v>
      </c>
      <c r="C10" s="251">
        <v>0.1</v>
      </c>
      <c r="D10" s="1521" t="s">
        <v>614</v>
      </c>
      <c r="E10" s="1522"/>
      <c r="F10" s="252" t="s">
        <v>615</v>
      </c>
      <c r="G10" s="250">
        <f>'BAB-Vorlage Vorkalk.'!D22*H10</f>
        <v>1500</v>
      </c>
      <c r="H10" s="251">
        <v>0.5</v>
      </c>
      <c r="I10" s="1521" t="s">
        <v>614</v>
      </c>
      <c r="J10" s="1522"/>
      <c r="K10" s="4"/>
    </row>
    <row r="11" spans="1:11" x14ac:dyDescent="0.2">
      <c r="A11" s="253"/>
      <c r="B11" s="48"/>
      <c r="C11" s="254" t="e">
        <f>(1*(1+C22)*(1+C12)*(1+C26))-1</f>
        <v>#REF!</v>
      </c>
      <c r="D11" s="1525" t="s">
        <v>616</v>
      </c>
      <c r="E11" s="1526"/>
      <c r="F11" s="255"/>
      <c r="G11" s="48"/>
      <c r="H11" s="256" t="e">
        <f>(1*(1+H22)*(1+H12)*(1+H26))-1</f>
        <v>#REF!</v>
      </c>
      <c r="I11" s="1525" t="s">
        <v>616</v>
      </c>
      <c r="J11" s="1526"/>
      <c r="K11" s="4"/>
    </row>
    <row r="12" spans="1:11" x14ac:dyDescent="0.2">
      <c r="A12" s="257" t="s">
        <v>617</v>
      </c>
      <c r="B12" s="258">
        <f>B10*C12</f>
        <v>591.26303030303029</v>
      </c>
      <c r="C12" s="259">
        <f>'BAB-Vorlage Vorkalk.'!D23</f>
        <v>1.9708767676767676</v>
      </c>
      <c r="D12" s="260" t="e">
        <f>B12+E14</f>
        <v>#REF!</v>
      </c>
      <c r="E12" s="261" t="e">
        <f>((B10*(1+C12)*(1+C22)*(1+C26)+E14)/B10)-1</f>
        <v>#REF!</v>
      </c>
      <c r="F12" s="257" t="s">
        <v>617</v>
      </c>
      <c r="G12" s="258">
        <f>G10*H12</f>
        <v>2956.3151515151512</v>
      </c>
      <c r="H12" s="259">
        <f>'BAB-Vorlage Vorkalk.'!D23</f>
        <v>1.9708767676767676</v>
      </c>
      <c r="I12" s="260" t="e">
        <f>G12+J14</f>
        <v>#REF!</v>
      </c>
      <c r="J12" s="261" t="e">
        <f>((G10*(1+H12)*(1+H22)*(1+H26)+J14)/G10)-1</f>
        <v>#REF!</v>
      </c>
      <c r="K12" s="4"/>
    </row>
    <row r="13" spans="1:11" x14ac:dyDescent="0.2">
      <c r="A13" s="257"/>
      <c r="B13" s="258"/>
      <c r="C13" s="262"/>
      <c r="D13" s="263" t="s">
        <v>618</v>
      </c>
      <c r="E13" s="263" t="s">
        <v>619</v>
      </c>
      <c r="F13" s="257"/>
      <c r="G13" s="258"/>
      <c r="H13" s="262"/>
      <c r="I13" s="263" t="s">
        <v>618</v>
      </c>
      <c r="J13" s="263" t="s">
        <v>619</v>
      </c>
      <c r="K13" s="4"/>
    </row>
    <row r="14" spans="1:11" x14ac:dyDescent="0.2">
      <c r="A14" s="257" t="s">
        <v>620</v>
      </c>
      <c r="B14" s="48" t="e">
        <f>B18</f>
        <v>#REF!</v>
      </c>
      <c r="C14" s="264" t="e">
        <f>'BAB-Vorlage Vorkalk.'!F25</f>
        <v>#REF!</v>
      </c>
      <c r="D14" s="265" t="e">
        <f>C18</f>
        <v>#REF!</v>
      </c>
      <c r="E14" s="260" t="e">
        <f>(B14*C14*(1+C22)*(1+C26))-(D14*B14)</f>
        <v>#REF!</v>
      </c>
      <c r="F14" s="257" t="s">
        <v>621</v>
      </c>
      <c r="G14" s="48" t="e">
        <f>G18</f>
        <v>#REF!</v>
      </c>
      <c r="H14" s="264" t="e">
        <f>'BAB-Vorlage Vorkalk.'!E25</f>
        <v>#REF!</v>
      </c>
      <c r="I14" s="264" t="e">
        <f>H18</f>
        <v>#REF!</v>
      </c>
      <c r="J14" s="260" t="e">
        <f>(G14*H14*(1+H22)*(1+H26))-(I14*G14)</f>
        <v>#REF!</v>
      </c>
      <c r="K14" s="4"/>
    </row>
    <row r="15" spans="1:11" x14ac:dyDescent="0.2">
      <c r="A15" s="257"/>
      <c r="B15" s="258"/>
      <c r="C15" s="266" t="e">
        <f>C14*(1+C22)*(1+C26)</f>
        <v>#REF!</v>
      </c>
      <c r="D15" s="1527"/>
      <c r="E15" s="1528"/>
      <c r="F15" s="257"/>
      <c r="G15" s="258"/>
      <c r="H15" s="267" t="e">
        <f>H14*(1+H22)*(1+H26)</f>
        <v>#REF!</v>
      </c>
      <c r="I15" s="1527"/>
      <c r="J15" s="1528"/>
      <c r="K15" s="4"/>
    </row>
    <row r="16" spans="1:11" x14ac:dyDescent="0.2">
      <c r="A16" s="268" t="s">
        <v>622</v>
      </c>
      <c r="B16" s="48"/>
      <c r="C16" s="269"/>
      <c r="D16" s="270"/>
      <c r="E16" s="271"/>
      <c r="F16" s="268" t="s">
        <v>622</v>
      </c>
      <c r="G16" s="48"/>
      <c r="H16" s="269"/>
      <c r="I16" s="272"/>
      <c r="J16" s="271"/>
      <c r="K16" s="4"/>
    </row>
    <row r="17" spans="1:11" x14ac:dyDescent="0.2">
      <c r="A17" s="273" t="s">
        <v>623</v>
      </c>
      <c r="B17" s="48" t="e">
        <f>'BAB-Vorlage Vorkalk.'!C94</f>
        <v>#REF!</v>
      </c>
      <c r="C17" s="269"/>
      <c r="D17" s="270"/>
      <c r="E17" s="271"/>
      <c r="F17" s="273" t="s">
        <v>623</v>
      </c>
      <c r="G17" s="48" t="e">
        <f>'BAB-Vorlage Vorkalk.'!C96</f>
        <v>#REF!</v>
      </c>
      <c r="H17" s="269"/>
      <c r="I17" s="272"/>
      <c r="J17" s="271"/>
      <c r="K17" s="4"/>
    </row>
    <row r="18" spans="1:11" x14ac:dyDescent="0.2">
      <c r="A18" s="268" t="s">
        <v>134</v>
      </c>
      <c r="B18" s="258" t="e">
        <f>B17+B16</f>
        <v>#REF!</v>
      </c>
      <c r="C18" s="267" t="e">
        <f>(C16*B16/B18)+(C17*B17/B18)</f>
        <v>#REF!</v>
      </c>
      <c r="D18" s="272"/>
      <c r="E18" s="271"/>
      <c r="F18" s="268" t="s">
        <v>134</v>
      </c>
      <c r="G18" s="258" t="e">
        <f>G17+G16</f>
        <v>#REF!</v>
      </c>
      <c r="H18" s="267" t="e">
        <f>(H16*G16/G18)+(H17*G17/G18)</f>
        <v>#REF!</v>
      </c>
      <c r="I18" s="272"/>
      <c r="J18" s="271"/>
      <c r="K18" s="4"/>
    </row>
    <row r="19" spans="1:11" x14ac:dyDescent="0.2">
      <c r="A19" s="268"/>
      <c r="B19" s="258"/>
      <c r="C19" s="267"/>
      <c r="D19" s="272"/>
      <c r="E19" s="271"/>
      <c r="F19" s="257"/>
      <c r="G19" s="258"/>
      <c r="H19" s="267"/>
      <c r="I19" s="272"/>
      <c r="J19" s="271"/>
      <c r="K19" s="4"/>
    </row>
    <row r="20" spans="1:11" x14ac:dyDescent="0.2">
      <c r="A20" s="257" t="s">
        <v>624</v>
      </c>
      <c r="B20" s="258" t="e">
        <f>B10+B12+(B14*C14)</f>
        <v>#REF!</v>
      </c>
      <c r="C20" s="262"/>
      <c r="D20" s="274"/>
      <c r="E20" s="275"/>
      <c r="F20" s="257" t="s">
        <v>624</v>
      </c>
      <c r="G20" s="258" t="e">
        <f>G10+G12+(G14*H14)</f>
        <v>#REF!</v>
      </c>
      <c r="H20" s="262"/>
      <c r="I20" s="274"/>
      <c r="J20" s="275"/>
      <c r="K20" s="4"/>
    </row>
    <row r="21" spans="1:11" x14ac:dyDescent="0.2">
      <c r="A21" s="257"/>
      <c r="B21" s="258"/>
      <c r="C21" s="262"/>
      <c r="D21" s="276"/>
      <c r="E21" s="277"/>
      <c r="F21" s="257"/>
      <c r="G21" s="258"/>
      <c r="H21" s="262"/>
      <c r="I21" s="276"/>
      <c r="J21" s="277"/>
      <c r="K21" s="4"/>
    </row>
    <row r="22" spans="1:11" x14ac:dyDescent="0.2">
      <c r="A22" s="257" t="s">
        <v>625</v>
      </c>
      <c r="B22" s="258" t="e">
        <f>B20*C22</f>
        <v>#REF!</v>
      </c>
      <c r="C22" s="259" t="e">
        <f>'BAB-Vorlage Vorkalk.'!G23+'BAB-Vorlage Vorkalk.'!H23</f>
        <v>#REF!</v>
      </c>
      <c r="D22" s="278"/>
      <c r="E22" s="279"/>
      <c r="F22" s="257" t="s">
        <v>625</v>
      </c>
      <c r="G22" s="258" t="e">
        <f>G20*H22</f>
        <v>#REF!</v>
      </c>
      <c r="H22" s="259" t="e">
        <f>'BAB-Vorlage Vorkalk.'!G23+'BAB-Vorlage Vorkalk.'!H23</f>
        <v>#REF!</v>
      </c>
      <c r="I22" s="278"/>
      <c r="J22" s="279"/>
      <c r="K22" s="4"/>
    </row>
    <row r="23" spans="1:11" x14ac:dyDescent="0.2">
      <c r="A23" s="280"/>
      <c r="B23" s="281"/>
      <c r="C23" s="282"/>
      <c r="D23" s="276"/>
      <c r="E23" s="277"/>
      <c r="F23" s="280"/>
      <c r="G23" s="281"/>
      <c r="H23" s="282"/>
      <c r="I23" s="276"/>
      <c r="J23" s="277"/>
      <c r="K23" s="4"/>
    </row>
    <row r="24" spans="1:11" x14ac:dyDescent="0.2">
      <c r="A24" s="283" t="s">
        <v>626</v>
      </c>
      <c r="B24" s="284" t="e">
        <f>B20+B22</f>
        <v>#REF!</v>
      </c>
      <c r="C24" s="285"/>
      <c r="D24" s="1521" t="s">
        <v>627</v>
      </c>
      <c r="E24" s="1522"/>
      <c r="F24" s="286" t="s">
        <v>626</v>
      </c>
      <c r="G24" s="284" t="e">
        <f>G20+G22</f>
        <v>#REF!</v>
      </c>
      <c r="H24" s="285"/>
      <c r="I24" s="278"/>
      <c r="J24" s="279"/>
      <c r="K24" s="4"/>
    </row>
    <row r="25" spans="1:11" x14ac:dyDescent="0.2">
      <c r="A25" s="287"/>
      <c r="B25" s="288"/>
      <c r="C25" s="289"/>
      <c r="D25" s="290" t="s">
        <v>518</v>
      </c>
      <c r="E25" s="269">
        <f>'BAB-Vorlage Vorkalk.'!D22</f>
        <v>3000</v>
      </c>
      <c r="F25" s="291"/>
      <c r="G25" s="288"/>
      <c r="H25" s="292"/>
      <c r="I25" s="276"/>
      <c r="J25" s="277"/>
      <c r="K25" s="4"/>
    </row>
    <row r="26" spans="1:11" x14ac:dyDescent="0.2">
      <c r="A26" s="287" t="s">
        <v>628</v>
      </c>
      <c r="B26" s="288" t="e">
        <f>B24*(1+C26)</f>
        <v>#REF!</v>
      </c>
      <c r="C26" s="289">
        <v>0</v>
      </c>
      <c r="D26" s="290" t="s">
        <v>629</v>
      </c>
      <c r="E26" s="256" t="e">
        <f>C11</f>
        <v>#REF!</v>
      </c>
      <c r="F26" s="291" t="s">
        <v>628</v>
      </c>
      <c r="G26" s="293" t="e">
        <f>G24*(1+H26)</f>
        <v>#REF!</v>
      </c>
      <c r="H26" s="289">
        <v>0</v>
      </c>
      <c r="I26" s="276"/>
      <c r="J26" s="277"/>
      <c r="K26" s="4"/>
    </row>
    <row r="27" spans="1:11" x14ac:dyDescent="0.2">
      <c r="A27" s="287"/>
      <c r="B27" s="288"/>
      <c r="C27" s="289"/>
      <c r="D27" s="290" t="s">
        <v>630</v>
      </c>
      <c r="E27" s="269" t="e">
        <f>C15</f>
        <v>#REF!</v>
      </c>
      <c r="F27" s="291"/>
      <c r="G27" s="288"/>
      <c r="H27" s="289"/>
      <c r="I27" s="276"/>
      <c r="J27" s="277"/>
      <c r="K27" s="4"/>
    </row>
    <row r="28" spans="1:11" x14ac:dyDescent="0.2">
      <c r="A28" s="287" t="s">
        <v>631</v>
      </c>
      <c r="B28" s="288" t="e">
        <f>B26*(1+C28)</f>
        <v>#REF!</v>
      </c>
      <c r="C28" s="289">
        <v>0</v>
      </c>
      <c r="D28" s="290" t="s">
        <v>632</v>
      </c>
      <c r="E28" s="269" t="e">
        <f>C18</f>
        <v>#REF!</v>
      </c>
      <c r="F28" s="291" t="s">
        <v>631</v>
      </c>
      <c r="G28" s="288" t="e">
        <f>G26*(1+H28)</f>
        <v>#REF!</v>
      </c>
      <c r="H28" s="289">
        <v>0</v>
      </c>
      <c r="I28" s="276"/>
      <c r="J28" s="277"/>
      <c r="K28" s="4"/>
    </row>
    <row r="29" spans="1:11" s="85" customFormat="1" x14ac:dyDescent="0.2">
      <c r="A29" s="287"/>
      <c r="B29" s="288"/>
      <c r="C29" s="289"/>
      <c r="D29" s="294" t="s">
        <v>633</v>
      </c>
      <c r="E29" s="269" t="e">
        <f>B18</f>
        <v>#REF!</v>
      </c>
      <c r="F29" s="291"/>
      <c r="G29" s="288"/>
      <c r="H29" s="289"/>
      <c r="I29" s="276"/>
      <c r="J29" s="277"/>
      <c r="K29" s="4"/>
    </row>
    <row r="30" spans="1:11" s="85" customFormat="1" x14ac:dyDescent="0.2">
      <c r="A30" s="253" t="s">
        <v>634</v>
      </c>
      <c r="B30" s="48" t="e">
        <f>B28-(B28*C30)</f>
        <v>#REF!</v>
      </c>
      <c r="C30" s="256">
        <v>0</v>
      </c>
      <c r="D30" s="294" t="s">
        <v>635</v>
      </c>
      <c r="E30" s="269" t="e">
        <f>H15</f>
        <v>#REF!</v>
      </c>
      <c r="F30" s="255" t="s">
        <v>634</v>
      </c>
      <c r="G30" s="48" t="e">
        <f>G28-(G28*H30)</f>
        <v>#REF!</v>
      </c>
      <c r="H30" s="256">
        <v>0</v>
      </c>
      <c r="I30" s="276"/>
      <c r="J30" s="277"/>
      <c r="K30" s="4"/>
    </row>
    <row r="31" spans="1:11" s="85" customFormat="1" x14ac:dyDescent="0.2">
      <c r="A31" s="295"/>
      <c r="B31" s="296"/>
      <c r="C31" s="297"/>
      <c r="D31" s="290" t="s">
        <v>636</v>
      </c>
      <c r="E31" s="269" t="e">
        <f>H18</f>
        <v>#REF!</v>
      </c>
      <c r="F31" s="298"/>
      <c r="G31" s="296"/>
      <c r="H31" s="297"/>
      <c r="I31" s="276"/>
      <c r="J31" s="277"/>
      <c r="K31" s="4"/>
    </row>
    <row r="32" spans="1:11" s="85" customFormat="1" x14ac:dyDescent="0.2">
      <c r="A32" s="253" t="s">
        <v>637</v>
      </c>
      <c r="B32" s="48" t="e">
        <f>B30-(B30*C32)</f>
        <v>#REF!</v>
      </c>
      <c r="C32" s="256">
        <v>0</v>
      </c>
      <c r="D32" s="294" t="s">
        <v>638</v>
      </c>
      <c r="E32" s="269" t="e">
        <f>G18</f>
        <v>#REF!</v>
      </c>
      <c r="F32" s="255" t="s">
        <v>637</v>
      </c>
      <c r="G32" s="48" t="e">
        <f>G30-(G30*H32)</f>
        <v>#REF!</v>
      </c>
      <c r="H32" s="256">
        <v>0</v>
      </c>
      <c r="I32" s="276"/>
      <c r="J32" s="277"/>
      <c r="K32" s="4"/>
    </row>
    <row r="33" spans="1:11" s="85" customFormat="1" x14ac:dyDescent="0.2">
      <c r="A33" s="280"/>
      <c r="B33" s="281"/>
      <c r="C33" s="282"/>
      <c r="D33" s="290" t="s">
        <v>639</v>
      </c>
      <c r="E33" s="299" t="e">
        <f>((E27-E28)*E29)+((E30-E31)*E32)</f>
        <v>#REF!</v>
      </c>
      <c r="F33" s="300"/>
      <c r="G33" s="281"/>
      <c r="H33" s="301"/>
      <c r="I33" s="276"/>
      <c r="J33" s="277"/>
      <c r="K33" s="4"/>
    </row>
    <row r="34" spans="1:11" s="85" customFormat="1" x14ac:dyDescent="0.2">
      <c r="A34" s="302" t="s">
        <v>640</v>
      </c>
      <c r="B34" s="303" t="e">
        <f>B32</f>
        <v>#REF!</v>
      </c>
      <c r="C34" s="304"/>
      <c r="D34" s="305" t="s">
        <v>641</v>
      </c>
      <c r="E34" s="306" t="e">
        <f>((E26*E25)+E33)/E25</f>
        <v>#REF!</v>
      </c>
      <c r="F34" s="307" t="s">
        <v>640</v>
      </c>
      <c r="G34" s="303" t="e">
        <f>G32</f>
        <v>#REF!</v>
      </c>
      <c r="H34" s="308"/>
      <c r="I34" s="309"/>
      <c r="J34" s="310"/>
      <c r="K34" s="4"/>
    </row>
    <row r="35" spans="1:11" s="85" customFormat="1" x14ac:dyDescent="0.2">
      <c r="A35" s="4"/>
      <c r="B35" s="4"/>
      <c r="C35" s="13"/>
      <c r="D35" s="13"/>
      <c r="E35" s="13"/>
      <c r="F35" s="4"/>
      <c r="G35" s="4"/>
      <c r="H35" s="4"/>
      <c r="I35" s="4"/>
      <c r="J35" s="4"/>
      <c r="K35" s="4"/>
    </row>
    <row r="36" spans="1:11" x14ac:dyDescent="0.2">
      <c r="A36" s="311" t="s">
        <v>642</v>
      </c>
      <c r="B36" s="312" t="e">
        <f>B34+G34</f>
        <v>#REF!</v>
      </c>
      <c r="C36" s="49"/>
      <c r="D36" s="305" t="s">
        <v>643</v>
      </c>
      <c r="E36" s="313" t="e">
        <f>E34*E25</f>
        <v>#REF!</v>
      </c>
      <c r="F36" s="4"/>
      <c r="G36" s="4"/>
      <c r="H36" s="4"/>
      <c r="I36" s="4"/>
      <c r="J36" s="4"/>
      <c r="K36" s="4"/>
    </row>
    <row r="37" spans="1:11" x14ac:dyDescent="0.2">
      <c r="A37" s="4"/>
      <c r="B37" s="4"/>
      <c r="C37" s="13"/>
      <c r="D37" s="13"/>
      <c r="E37" s="13"/>
      <c r="F37" s="4"/>
      <c r="G37" s="4"/>
      <c r="H37" s="4"/>
      <c r="I37" s="4"/>
      <c r="J37" s="4"/>
      <c r="K37" s="4"/>
    </row>
    <row r="38" spans="1:11" x14ac:dyDescent="0.2">
      <c r="A38" s="4"/>
      <c r="B38" s="4"/>
      <c r="C38" s="13"/>
      <c r="D38" s="13"/>
      <c r="E38" s="13"/>
      <c r="F38" s="4"/>
      <c r="G38" s="4"/>
      <c r="H38" s="4"/>
      <c r="I38" s="4"/>
      <c r="J38" s="4"/>
      <c r="K38" s="4"/>
    </row>
  </sheetData>
  <mergeCells count="9">
    <mergeCell ref="D24:E24"/>
    <mergeCell ref="D8:E8"/>
    <mergeCell ref="I8:J8"/>
    <mergeCell ref="D10:E10"/>
    <mergeCell ref="I10:J10"/>
    <mergeCell ref="D11:E11"/>
    <mergeCell ref="I11:J11"/>
    <mergeCell ref="D15:E15"/>
    <mergeCell ref="I15:J15"/>
  </mergeCells>
  <pageMargins left="0.7" right="0.7" top="0.78740157499999996" bottom="0.78740157499999996" header="0.3" footer="0.3"/>
  <pageSetup paperSize="9" orientation="portrait"/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6"/>
  <dimension ref="A1:AA12"/>
  <sheetViews>
    <sheetView zoomScale="115" zoomScaleNormal="11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8" sqref="C8"/>
    </sheetView>
  </sheetViews>
  <sheetFormatPr baseColWidth="10" defaultRowHeight="12.75" x14ac:dyDescent="0.2"/>
  <cols>
    <col min="1" max="1" width="12.28515625" style="3" customWidth="1"/>
    <col min="2" max="2" width="8.5703125" style="3" bestFit="1" customWidth="1"/>
    <col min="3" max="3" width="8.85546875" style="3" bestFit="1" customWidth="1"/>
    <col min="4" max="4" width="8.5703125" style="3" bestFit="1" customWidth="1"/>
    <col min="5" max="5" width="7.28515625" style="3" bestFit="1" customWidth="1"/>
    <col min="6" max="6" width="8.5703125" style="3" bestFit="1" customWidth="1"/>
    <col min="7" max="7" width="7.28515625" style="3" bestFit="1" customWidth="1"/>
    <col min="8" max="8" width="8.5703125" style="3" bestFit="1" customWidth="1"/>
    <col min="9" max="9" width="7.28515625" style="3" bestFit="1" customWidth="1"/>
    <col min="10" max="10" width="8.5703125" style="3" bestFit="1" customWidth="1"/>
    <col min="11" max="11" width="7.28515625" style="3" bestFit="1" customWidth="1"/>
    <col min="12" max="12" width="8.5703125" style="3" bestFit="1" customWidth="1"/>
    <col min="13" max="13" width="7.28515625" style="3" bestFit="1" customWidth="1"/>
    <col min="14" max="14" width="8.5703125" style="3" bestFit="1" customWidth="1"/>
    <col min="15" max="15" width="7.28515625" style="3" bestFit="1" customWidth="1"/>
    <col min="16" max="16" width="8.5703125" style="3" bestFit="1" customWidth="1"/>
    <col min="17" max="17" width="7.28515625" style="3" bestFit="1" customWidth="1"/>
    <col min="18" max="18" width="8.5703125" style="3" bestFit="1" customWidth="1"/>
    <col min="19" max="19" width="7.28515625" style="3" bestFit="1" customWidth="1"/>
    <col min="20" max="20" width="8.5703125" style="3" bestFit="1" customWidth="1"/>
    <col min="21" max="21" width="7.28515625" style="3" bestFit="1" customWidth="1"/>
    <col min="22" max="22" width="8.5703125" style="3" bestFit="1" customWidth="1"/>
    <col min="23" max="23" width="7.28515625" style="3" bestFit="1" customWidth="1"/>
    <col min="24" max="24" width="8.5703125" style="3" bestFit="1" customWidth="1"/>
    <col min="25" max="25" width="7.28515625" style="3" bestFit="1" customWidth="1"/>
    <col min="26" max="26" width="8.5703125" style="3" bestFit="1" customWidth="1"/>
    <col min="27" max="27" width="8.85546875" style="3" bestFit="1" customWidth="1"/>
  </cols>
  <sheetData>
    <row r="1" spans="1:27" x14ac:dyDescent="0.2">
      <c r="A1" s="1529" t="s">
        <v>535</v>
      </c>
      <c r="B1" s="1531" t="s">
        <v>38</v>
      </c>
      <c r="C1" s="1531"/>
      <c r="D1" s="1531" t="s">
        <v>40</v>
      </c>
      <c r="E1" s="1531"/>
      <c r="F1" s="1531" t="s">
        <v>43</v>
      </c>
      <c r="G1" s="1531"/>
      <c r="H1" s="1531" t="s">
        <v>45</v>
      </c>
      <c r="I1" s="1531"/>
      <c r="J1" s="1531" t="s">
        <v>47</v>
      </c>
      <c r="K1" s="1531"/>
      <c r="L1" s="1531" t="s">
        <v>49</v>
      </c>
      <c r="M1" s="1531"/>
      <c r="N1" s="1531" t="s">
        <v>51</v>
      </c>
      <c r="O1" s="1531"/>
      <c r="P1" s="1531" t="s">
        <v>52</v>
      </c>
      <c r="Q1" s="1531"/>
      <c r="R1" s="1531" t="s">
        <v>54</v>
      </c>
      <c r="S1" s="1531"/>
      <c r="T1" s="1531" t="s">
        <v>55</v>
      </c>
      <c r="U1" s="1531"/>
      <c r="V1" s="1531" t="s">
        <v>56</v>
      </c>
      <c r="W1" s="1531"/>
      <c r="X1" s="1531" t="s">
        <v>57</v>
      </c>
      <c r="Y1" s="1531"/>
      <c r="Z1" s="1531" t="s">
        <v>536</v>
      </c>
      <c r="AA1" s="1532"/>
    </row>
    <row r="2" spans="1:27" x14ac:dyDescent="0.2">
      <c r="A2" s="1530"/>
      <c r="B2" s="65" t="s">
        <v>205</v>
      </c>
      <c r="C2" s="65" t="s">
        <v>206</v>
      </c>
      <c r="D2" s="65" t="s">
        <v>205</v>
      </c>
      <c r="E2" s="65" t="s">
        <v>206</v>
      </c>
      <c r="F2" s="65" t="s">
        <v>205</v>
      </c>
      <c r="G2" s="65" t="s">
        <v>206</v>
      </c>
      <c r="H2" s="65" t="s">
        <v>205</v>
      </c>
      <c r="I2" s="65" t="s">
        <v>206</v>
      </c>
      <c r="J2" s="65" t="s">
        <v>205</v>
      </c>
      <c r="K2" s="65" t="s">
        <v>206</v>
      </c>
      <c r="L2" s="65" t="s">
        <v>205</v>
      </c>
      <c r="M2" s="65" t="s">
        <v>206</v>
      </c>
      <c r="N2" s="65" t="s">
        <v>205</v>
      </c>
      <c r="O2" s="65" t="s">
        <v>206</v>
      </c>
      <c r="P2" s="65" t="s">
        <v>205</v>
      </c>
      <c r="Q2" s="65" t="s">
        <v>206</v>
      </c>
      <c r="R2" s="65" t="s">
        <v>205</v>
      </c>
      <c r="S2" s="65" t="s">
        <v>206</v>
      </c>
      <c r="T2" s="65" t="s">
        <v>205</v>
      </c>
      <c r="U2" s="65" t="s">
        <v>206</v>
      </c>
      <c r="V2" s="65" t="s">
        <v>205</v>
      </c>
      <c r="W2" s="65" t="s">
        <v>206</v>
      </c>
      <c r="X2" s="65" t="s">
        <v>205</v>
      </c>
      <c r="Y2" s="65" t="s">
        <v>206</v>
      </c>
      <c r="Z2" s="65" t="s">
        <v>205</v>
      </c>
      <c r="AA2" s="67" t="s">
        <v>206</v>
      </c>
    </row>
    <row r="3" spans="1:27" x14ac:dyDescent="0.2">
      <c r="A3" s="68" t="s">
        <v>537</v>
      </c>
      <c r="B3" s="71">
        <f>'Planzahlen Rentabilität'!O22</f>
        <v>0.99671239022767666</v>
      </c>
      <c r="C3" s="71">
        <f ca="1">'Planzahlen Rentabilität'!P22</f>
        <v>0.9228191787358031</v>
      </c>
      <c r="D3" s="71">
        <f>'Planzahlen Rentabilität'!AC22</f>
        <v>0.99671239022767666</v>
      </c>
      <c r="E3" s="71">
        <f ca="1">'Planzahlen Rentabilität'!AD22</f>
        <v>0.89791600897408375</v>
      </c>
      <c r="F3" s="71">
        <f>'Planzahlen Rentabilität'!AQ22</f>
        <v>0.99671239022767666</v>
      </c>
      <c r="G3" s="71">
        <f ca="1">'Planzahlen Rentabilität'!AR22</f>
        <v>7.250031250000001</v>
      </c>
      <c r="H3" s="71">
        <f>'Planzahlen Rentabilität'!BE22</f>
        <v>0.99671239022767666</v>
      </c>
      <c r="I3" s="71">
        <f ca="1">'Planzahlen Rentabilität'!BF22</f>
        <v>0.59584424111508671</v>
      </c>
      <c r="J3" s="71">
        <f>'Planzahlen Rentabilität'!BS22</f>
        <v>0.99671239022767666</v>
      </c>
      <c r="K3" s="71">
        <f ca="1">'Planzahlen Rentabilität'!BT22</f>
        <v>1.4456265765759959</v>
      </c>
      <c r="L3" s="71">
        <f>'Planzahlen Rentabilität'!CG22</f>
        <v>0.99671239022767666</v>
      </c>
      <c r="M3" s="71" t="e">
        <f ca="1">'Planzahlen Rentabilität'!CH22</f>
        <v>#DIV/0!</v>
      </c>
      <c r="N3" s="71">
        <f>'Planzahlen Rentabilität'!CU22</f>
        <v>0.99671239022767666</v>
      </c>
      <c r="O3" s="71">
        <f ca="1">'Planzahlen Rentabilität'!CV22</f>
        <v>0.86754247467149437</v>
      </c>
      <c r="P3" s="71">
        <f>'Planzahlen Rentabilität'!DI22</f>
        <v>0.99671239022767666</v>
      </c>
      <c r="Q3" s="71">
        <f ca="1">'Planzahlen Rentabilität'!DJ22</f>
        <v>1.2778444247521172</v>
      </c>
      <c r="R3" s="71">
        <f>'Planzahlen Rentabilität'!DW22</f>
        <v>0.99671239022767666</v>
      </c>
      <c r="S3" s="71">
        <f ca="1">'Planzahlen Rentabilität'!DX22</f>
        <v>0.98062200278344824</v>
      </c>
      <c r="T3" s="71">
        <f>'Planzahlen Rentabilität'!EK22</f>
        <v>0.99671239022767666</v>
      </c>
      <c r="U3" s="71">
        <f ca="1">'Planzahlen Rentabilität'!EZ22</f>
        <v>-42.076470588235296</v>
      </c>
      <c r="V3" s="71">
        <f>'Planzahlen Rentabilität'!EY22</f>
        <v>0.99671239022767666</v>
      </c>
      <c r="W3" s="71">
        <f ca="1">'Planzahlen Rentabilität'!EZ22</f>
        <v>-42.076470588235296</v>
      </c>
      <c r="X3" s="71">
        <f>'Planzahlen Rentabilität'!FM22</f>
        <v>0.99671239022767666</v>
      </c>
      <c r="Y3" s="71">
        <f ca="1">'Planzahlen Rentabilität'!FN22</f>
        <v>15.90625</v>
      </c>
      <c r="Z3" s="71">
        <f>'Planzahlen Rentabilität'!H22</f>
        <v>0.99671239022767666</v>
      </c>
      <c r="AA3" s="72">
        <f ca="1">'Planzahlen Rentabilität'!I22</f>
        <v>0.98017571405755333</v>
      </c>
    </row>
    <row r="4" spans="1:27" x14ac:dyDescent="0.2">
      <c r="A4" s="68" t="s">
        <v>538</v>
      </c>
      <c r="B4" s="71">
        <f>Stundencontrolling!AG107</f>
        <v>0.9263274336283186</v>
      </c>
      <c r="C4" s="71">
        <f>Stundencontrolling!AH107</f>
        <v>0</v>
      </c>
      <c r="D4" s="71">
        <f>Stundencontrolling!AG211</f>
        <v>0.9263274336283186</v>
      </c>
      <c r="E4" s="71">
        <f>Stundencontrolling!AH211</f>
        <v>0</v>
      </c>
      <c r="F4" s="71">
        <f>Stundencontrolling!AG315</f>
        <v>1</v>
      </c>
      <c r="G4" s="71">
        <f>Stundencontrolling!AH315</f>
        <v>0</v>
      </c>
      <c r="H4" s="71">
        <f>Stundencontrolling!AG419</f>
        <v>1</v>
      </c>
      <c r="I4" s="71">
        <f>Stundencontrolling!AH419</f>
        <v>0</v>
      </c>
      <c r="J4" s="71">
        <f>Stundencontrolling!AG523</f>
        <v>1</v>
      </c>
      <c r="K4" s="71">
        <f>Stundencontrolling!AH523</f>
        <v>0</v>
      </c>
      <c r="L4" s="71">
        <f>Stundencontrolling!AG627</f>
        <v>1</v>
      </c>
      <c r="M4" s="71">
        <f>Stundencontrolling!AH627</f>
        <v>0</v>
      </c>
      <c r="N4" s="71">
        <f>Stundencontrolling!AG731</f>
        <v>1</v>
      </c>
      <c r="O4" s="71">
        <f>Stundencontrolling!AH731</f>
        <v>0</v>
      </c>
      <c r="P4" s="71">
        <f>Stundencontrolling!AG835</f>
        <v>1</v>
      </c>
      <c r="Q4" s="71">
        <f>Stundencontrolling!AH835</f>
        <v>0</v>
      </c>
      <c r="R4" s="71">
        <f>Stundencontrolling!AG939</f>
        <v>1</v>
      </c>
      <c r="S4" s="71">
        <f>Stundencontrolling!AH939</f>
        <v>0</v>
      </c>
      <c r="T4" s="71">
        <f>Stundencontrolling!AG1043</f>
        <v>1</v>
      </c>
      <c r="U4" s="71">
        <f>Stundencontrolling!AH1043</f>
        <v>0</v>
      </c>
      <c r="V4" s="71">
        <f>Stundencontrolling!AG1147</f>
        <v>1</v>
      </c>
      <c r="W4" s="71">
        <f>Stundencontrolling!AH1147</f>
        <v>0</v>
      </c>
      <c r="X4" s="71">
        <f>Stundencontrolling!AG1251</f>
        <v>1</v>
      </c>
      <c r="Y4" s="71">
        <f>Stundencontrolling!AH1251</f>
        <v>0</v>
      </c>
      <c r="Z4" s="71">
        <f>Stundencontrolling!AG1355</f>
        <v>0.96219152885876313</v>
      </c>
      <c r="AA4" s="72">
        <f>Stundencontrolling!AH1355</f>
        <v>0</v>
      </c>
    </row>
    <row r="5" spans="1:27" x14ac:dyDescent="0.2">
      <c r="A5" s="68" t="s">
        <v>539</v>
      </c>
      <c r="B5" s="71"/>
      <c r="C5" s="71" t="e">
        <f>('Planzahlen Rentabilität'!#REF!/Stundencontrolling!AM107)/Stundencontrolling!AF107</f>
        <v>#REF!</v>
      </c>
      <c r="D5" s="71"/>
      <c r="E5" s="71" t="e">
        <f>('Planzahlen Rentabilität'!#REF!/Stundencontrolling!AM211)/Stundencontrolling!AF211</f>
        <v>#REF!</v>
      </c>
      <c r="F5" s="71"/>
      <c r="G5" s="71" t="e">
        <f>('Planzahlen Rentabilität'!#REF!/Stundencontrolling!AM315)/Stundencontrolling!AF315</f>
        <v>#REF!</v>
      </c>
      <c r="H5" s="71"/>
      <c r="I5" s="71" t="e">
        <f>('Planzahlen Rentabilität'!#REF!/Stundencontrolling!AM419)/Stundencontrolling!AF419</f>
        <v>#REF!</v>
      </c>
      <c r="J5" s="71"/>
      <c r="K5" s="71" t="e">
        <f>('Planzahlen Rentabilität'!#REF!/Stundencontrolling!AM523)/Stundencontrolling!AF523</f>
        <v>#REF!</v>
      </c>
      <c r="L5" s="71"/>
      <c r="M5" s="71" t="e">
        <f>('Planzahlen Rentabilität'!#REF!/Stundencontrolling!AM627)/Stundencontrolling!AF627</f>
        <v>#REF!</v>
      </c>
      <c r="N5" s="71"/>
      <c r="O5" s="71" t="e">
        <f>('Planzahlen Rentabilität'!#REF!/Stundencontrolling!AM731)/Stundencontrolling!AF731</f>
        <v>#REF!</v>
      </c>
      <c r="P5" s="71"/>
      <c r="Q5" s="71" t="e">
        <f>('Planzahlen Rentabilität'!#REF!/Stundencontrolling!AM835)/Stundencontrolling!AF835</f>
        <v>#REF!</v>
      </c>
      <c r="R5" s="71"/>
      <c r="S5" s="71" t="e">
        <f>('Planzahlen Rentabilität'!#REF!/Stundencontrolling!AM939)/Stundencontrolling!AF939</f>
        <v>#REF!</v>
      </c>
      <c r="T5" s="71"/>
      <c r="U5" s="71" t="e">
        <f>('Planzahlen Rentabilität'!#REF!/Stundencontrolling!AM1043)/Stundencontrolling!AF1043</f>
        <v>#REF!</v>
      </c>
      <c r="V5" s="71"/>
      <c r="W5" s="71" t="e">
        <f>('Planzahlen Rentabilität'!#REF!/Stundencontrolling!AM1147)/Stundencontrolling!AF1147</f>
        <v>#REF!</v>
      </c>
      <c r="X5" s="71"/>
      <c r="Y5" s="71" t="e">
        <f>('Planzahlen Rentabilität'!#REF!/Stundencontrolling!AM1251)/Stundencontrolling!AF1251</f>
        <v>#REF!</v>
      </c>
      <c r="Z5" s="71"/>
      <c r="AA5" s="72" t="e">
        <f>('Planzahlen Rentabilität'!#REF!/Stundencontrolling!AM1355)/Stundencontrolling!AF1355</f>
        <v>#REF!</v>
      </c>
    </row>
    <row r="6" spans="1:27" x14ac:dyDescent="0.2">
      <c r="A6" s="68" t="s">
        <v>540</v>
      </c>
      <c r="B6" s="71"/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2"/>
    </row>
    <row r="7" spans="1:27" x14ac:dyDescent="0.2">
      <c r="A7" s="68" t="s">
        <v>541</v>
      </c>
      <c r="B7" s="75"/>
      <c r="C7" s="75" t="e">
        <f>('Planzahlen Rentabilität'!#REF!/'Planzahlen Rentabilität'!R12)*30</f>
        <v>#REF!</v>
      </c>
      <c r="D7" s="75"/>
      <c r="E7" s="75" t="e">
        <f>('Planzahlen Rentabilität'!#REF!/'Planzahlen Rentabilität'!AF12)*60</f>
        <v>#REF!</v>
      </c>
      <c r="F7" s="75"/>
      <c r="G7" s="75" t="e">
        <f>('Planzahlen Rentabilität'!#REF!/'Planzahlen Rentabilität'!AT12)*90</f>
        <v>#REF!</v>
      </c>
      <c r="H7" s="32"/>
      <c r="I7" s="75" t="e">
        <f>('Planzahlen Rentabilität'!#REF!/'Planzahlen Rentabilität'!BH12)*120</f>
        <v>#REF!</v>
      </c>
      <c r="J7" s="75"/>
      <c r="K7" s="75" t="e">
        <f>('Planzahlen Rentabilität'!#REF!/'Planzahlen Rentabilität'!BV12)*150</f>
        <v>#REF!</v>
      </c>
      <c r="L7" s="75"/>
      <c r="M7" s="75" t="e">
        <f>('Planzahlen Rentabilität'!#REF!/'Planzahlen Rentabilität'!CJ12)*180</f>
        <v>#REF!</v>
      </c>
      <c r="N7" s="75"/>
      <c r="O7" s="75" t="e">
        <f>('Planzahlen Rentabilität'!#REF!/'Planzahlen Rentabilität'!CX12)*210</f>
        <v>#REF!</v>
      </c>
      <c r="P7" s="75"/>
      <c r="Q7" s="75" t="e">
        <f>('Planzahlen Rentabilität'!#REF!/'Planzahlen Rentabilität'!DL12)*240</f>
        <v>#REF!</v>
      </c>
      <c r="R7" s="75"/>
      <c r="S7" s="75" t="e">
        <f>('Planzahlen Rentabilität'!#REF!/'Planzahlen Rentabilität'!DZ12)*270</f>
        <v>#REF!</v>
      </c>
      <c r="T7" s="75"/>
      <c r="U7" s="75" t="e">
        <f>('Planzahlen Rentabilität'!#REF!/'Planzahlen Rentabilität'!EN12)*300</f>
        <v>#REF!</v>
      </c>
      <c r="V7" s="75"/>
      <c r="W7" s="75" t="e">
        <f>('Planzahlen Rentabilität'!#REF!/'Planzahlen Rentabilität'!FB12)*330</f>
        <v>#REF!</v>
      </c>
      <c r="X7" s="75"/>
      <c r="Y7" s="75" t="e">
        <f>('Planzahlen Rentabilität'!#REF!/'Planzahlen Rentabilität'!FP12)*360</f>
        <v>#REF!</v>
      </c>
      <c r="Z7" s="75"/>
      <c r="AA7" s="76"/>
    </row>
    <row r="8" spans="1:27" x14ac:dyDescent="0.2">
      <c r="A8" s="68" t="s">
        <v>542</v>
      </c>
      <c r="B8" s="75"/>
      <c r="C8" s="75" t="e">
        <f>('Planzahlen Rentabilität'!#REF!/'Planzahlen Rentabilität'!R16)*30</f>
        <v>#REF!</v>
      </c>
      <c r="D8" s="75"/>
      <c r="E8" s="75" t="e">
        <f>('Planzahlen Rentabilität'!#REF!/'Planzahlen Rentabilität'!AF16)*60</f>
        <v>#REF!</v>
      </c>
      <c r="F8" s="75"/>
      <c r="G8" s="75" t="e">
        <f>('Planzahlen Rentabilität'!#REF!/'Planzahlen Rentabilität'!AT16)*90</f>
        <v>#REF!</v>
      </c>
      <c r="H8" s="75"/>
      <c r="I8" s="75" t="e">
        <f>('Planzahlen Rentabilität'!#REF!/'Planzahlen Rentabilität'!BH16)*120</f>
        <v>#REF!</v>
      </c>
      <c r="J8" s="75"/>
      <c r="K8" s="75" t="e">
        <f>('Planzahlen Rentabilität'!#REF!/'Planzahlen Rentabilität'!BV16)*150</f>
        <v>#REF!</v>
      </c>
      <c r="L8" s="75"/>
      <c r="M8" s="75" t="e">
        <f>('Planzahlen Rentabilität'!#REF!/'Planzahlen Rentabilität'!CJ16)*180</f>
        <v>#REF!</v>
      </c>
      <c r="N8" s="75"/>
      <c r="O8" s="75" t="e">
        <f>('Planzahlen Rentabilität'!#REF!/'Planzahlen Rentabilität'!CX16)*210</f>
        <v>#REF!</v>
      </c>
      <c r="P8" s="75"/>
      <c r="Q8" s="75" t="e">
        <f>('Planzahlen Rentabilität'!#REF!/'Planzahlen Rentabilität'!DL16)*240</f>
        <v>#REF!</v>
      </c>
      <c r="R8" s="75"/>
      <c r="S8" s="75" t="e">
        <f>('Planzahlen Rentabilität'!#REF!/'Planzahlen Rentabilität'!DZ16)*270</f>
        <v>#REF!</v>
      </c>
      <c r="T8" s="75"/>
      <c r="U8" s="75" t="e">
        <f>('Planzahlen Rentabilität'!#REF!/'Planzahlen Rentabilität'!EN16)*300</f>
        <v>#REF!</v>
      </c>
      <c r="V8" s="75"/>
      <c r="W8" s="75" t="e">
        <f>('Planzahlen Rentabilität'!#REF!/'Planzahlen Rentabilität'!FB16)*330</f>
        <v>#REF!</v>
      </c>
      <c r="X8" s="75"/>
      <c r="Y8" s="75" t="e">
        <f>('Planzahlen Rentabilität'!#REF!/'Planzahlen Rentabilität'!FP16)*360</f>
        <v>#REF!</v>
      </c>
      <c r="Z8" s="75"/>
      <c r="AA8" s="76"/>
    </row>
    <row r="9" spans="1:27" x14ac:dyDescent="0.2">
      <c r="A9" s="68" t="s">
        <v>543</v>
      </c>
      <c r="B9" s="75"/>
      <c r="C9" s="75">
        <f>('Bestandsveränderungen Aktuell'!C24/'Planzahlen Rentabilität'!R16)*30</f>
        <v>166.66666666666666</v>
      </c>
      <c r="D9" s="75"/>
      <c r="E9" s="75">
        <f>('Bestandsveränderungen Aktuell'!C25/'Planzahlen Rentabilität'!AF16)*60</f>
        <v>285.71428571428572</v>
      </c>
      <c r="F9" s="75"/>
      <c r="G9" s="75">
        <f>('Bestandsveränderungen Aktuell'!C26/'Planzahlen Rentabilität'!AT16)*90</f>
        <v>0</v>
      </c>
      <c r="H9" s="75"/>
      <c r="I9" s="75">
        <f>('Bestandsveränderungen Aktuell'!C27/'Planzahlen Rentabilität'!BH16)*120</f>
        <v>645.16129032258061</v>
      </c>
      <c r="J9" s="75"/>
      <c r="K9" s="75">
        <f>('Bestandsveränderungen Aktuell'!C28/'Planzahlen Rentabilität'!BV16)*150</f>
        <v>83.846153846153854</v>
      </c>
      <c r="L9" s="75"/>
      <c r="M9" s="75">
        <f>('Bestandsveränderungen Aktuell'!C29/'Planzahlen Rentabilität'!CJ16)*180</f>
        <v>6.3829787234042561</v>
      </c>
      <c r="N9" s="75"/>
      <c r="O9" s="75">
        <f>('Bestandsveränderungen Aktuell'!C30/'Planzahlen Rentabilität'!CX16)*210</f>
        <v>837.2</v>
      </c>
      <c r="P9" s="75"/>
      <c r="Q9" s="75">
        <f>('Bestandsveränderungen Aktuell'!C31/'Planzahlen Rentabilität'!DL16)*240</f>
        <v>52.258064516129032</v>
      </c>
      <c r="R9" s="75"/>
      <c r="S9" s="75">
        <f>('Bestandsveränderungen Aktuell'!C32/'Planzahlen Rentabilität'!DZ16)*270</f>
        <v>10.875</v>
      </c>
      <c r="T9" s="75"/>
      <c r="U9" s="75">
        <f>('Bestandsveränderungen Aktuell'!C33/'Planzahlen Rentabilität'!EN16)*300</f>
        <v>961.82926829268297</v>
      </c>
      <c r="V9" s="75"/>
      <c r="W9" s="75">
        <f>('Bestandsveränderungen Aktuell'!C34/'Planzahlen Rentabilität'!FB16)*330</f>
        <v>68.175824175824175</v>
      </c>
      <c r="X9" s="75"/>
      <c r="Y9" s="75">
        <f>('Bestandsveränderungen Aktuell'!C35/'Planzahlen Rentabilität'!FP16)*360</f>
        <v>10.440000000000001</v>
      </c>
      <c r="Z9" s="75"/>
      <c r="AA9" s="76"/>
    </row>
    <row r="10" spans="1:27" x14ac:dyDescent="0.2">
      <c r="A10" s="68" t="s">
        <v>322</v>
      </c>
      <c r="B10" s="66"/>
      <c r="C10" s="26" t="e">
        <f>'Planzahlen Rentabilität'!#REF!</f>
        <v>#REF!</v>
      </c>
      <c r="D10" s="66"/>
      <c r="E10" s="26" t="e">
        <f>'Planzahlen Rentabilität'!#REF!</f>
        <v>#REF!</v>
      </c>
      <c r="F10" s="66"/>
      <c r="G10" s="26" t="e">
        <f>'Planzahlen Rentabilität'!#REF!</f>
        <v>#REF!</v>
      </c>
      <c r="H10" s="66"/>
      <c r="I10" s="26" t="e">
        <f>'Planzahlen Rentabilität'!#REF!</f>
        <v>#REF!</v>
      </c>
      <c r="J10" s="66"/>
      <c r="K10" s="26" t="e">
        <f>'Planzahlen Rentabilität'!#REF!</f>
        <v>#REF!</v>
      </c>
      <c r="L10" s="66"/>
      <c r="M10" s="26" t="e">
        <f>'Planzahlen Rentabilität'!#REF!</f>
        <v>#REF!</v>
      </c>
      <c r="N10" s="66"/>
      <c r="O10" s="26" t="e">
        <f>'Planzahlen Rentabilität'!#REF!</f>
        <v>#REF!</v>
      </c>
      <c r="P10" s="66"/>
      <c r="Q10" s="26" t="e">
        <f>'Planzahlen Rentabilität'!#REF!</f>
        <v>#REF!</v>
      </c>
      <c r="R10" s="66"/>
      <c r="S10" s="26" t="e">
        <f>'Planzahlen Rentabilität'!#REF!</f>
        <v>#REF!</v>
      </c>
      <c r="T10" s="66"/>
      <c r="U10" s="26" t="e">
        <f>'Planzahlen Rentabilität'!#REF!</f>
        <v>#REF!</v>
      </c>
      <c r="V10" s="66"/>
      <c r="W10" s="26" t="e">
        <f>'Planzahlen Rentabilität'!#REF!</f>
        <v>#REF!</v>
      </c>
      <c r="X10" s="66"/>
      <c r="Y10" s="26" t="e">
        <f>'Planzahlen Rentabilität'!#REF!</f>
        <v>#REF!</v>
      </c>
      <c r="Z10" s="66"/>
      <c r="AA10" s="69"/>
    </row>
    <row r="11" spans="1:27" x14ac:dyDescent="0.2">
      <c r="A11" s="68" t="s">
        <v>544</v>
      </c>
      <c r="B11" s="66"/>
      <c r="C11" s="26" t="e">
        <f>('Planzahlen Rentabilität'!#REF!+'Planzahlen Rentabilität'!#REF!+'Bestandsveränderungen Aktuell'!G7)-('Planzahlen Rentabilität'!#REF!+'Planzahlen Rentabilität'!#REF!)</f>
        <v>#REF!</v>
      </c>
      <c r="D11" s="66"/>
      <c r="E11" s="26" t="e">
        <f>('Planzahlen Rentabilität'!#REF!+'Planzahlen Rentabilität'!#REF!+'Bestandsveränderungen Aktuell'!G8)-('Planzahlen Rentabilität'!#REF!+'Planzahlen Rentabilität'!#REF!)</f>
        <v>#REF!</v>
      </c>
      <c r="F11" s="66"/>
      <c r="G11" s="26" t="e">
        <f>('Planzahlen Rentabilität'!#REF!+'Planzahlen Rentabilität'!#REF!+'Bestandsveränderungen Aktuell'!G9)-('Planzahlen Rentabilität'!#REF!+'Planzahlen Rentabilität'!#REF!)</f>
        <v>#REF!</v>
      </c>
      <c r="H11" s="66"/>
      <c r="I11" s="26" t="e">
        <f>('Planzahlen Rentabilität'!#REF!+'Planzahlen Rentabilität'!#REF!+'Bestandsveränderungen Aktuell'!G10)-('Planzahlen Rentabilität'!#REF!+'Planzahlen Rentabilität'!#REF!)</f>
        <v>#REF!</v>
      </c>
      <c r="J11" s="66"/>
      <c r="K11" s="26" t="e">
        <f>('Planzahlen Rentabilität'!#REF!+'Planzahlen Rentabilität'!#REF!+'Bestandsveränderungen Aktuell'!G11)-('Planzahlen Rentabilität'!#REF!+'Planzahlen Rentabilität'!#REF!)</f>
        <v>#REF!</v>
      </c>
      <c r="L11" s="66"/>
      <c r="M11" s="26" t="e">
        <f>('Planzahlen Rentabilität'!#REF!+'Planzahlen Rentabilität'!#REF!+'Bestandsveränderungen Aktuell'!G12)-('Planzahlen Rentabilität'!#REF!+'Planzahlen Rentabilität'!#REF!)</f>
        <v>#REF!</v>
      </c>
      <c r="N11" s="66"/>
      <c r="O11" s="26" t="e">
        <f>('Planzahlen Rentabilität'!#REF!+'Planzahlen Rentabilität'!#REF!+'Bestandsveränderungen Aktuell'!G13)-('Planzahlen Rentabilität'!#REF!+'Planzahlen Rentabilität'!#REF!)</f>
        <v>#REF!</v>
      </c>
      <c r="P11" s="66"/>
      <c r="Q11" s="26" t="e">
        <f>('Planzahlen Rentabilität'!#REF!+'Planzahlen Rentabilität'!#REF!+'Bestandsveränderungen Aktuell'!G14)-('Planzahlen Rentabilität'!#REF!+'Planzahlen Rentabilität'!#REF!)</f>
        <v>#REF!</v>
      </c>
      <c r="R11" s="66"/>
      <c r="S11" s="26" t="e">
        <f>('Planzahlen Rentabilität'!#REF!+'Planzahlen Rentabilität'!#REF!+'Bestandsveränderungen Aktuell'!G15)-('Planzahlen Rentabilität'!#REF!+'Planzahlen Rentabilität'!#REF!)</f>
        <v>#REF!</v>
      </c>
      <c r="T11" s="66"/>
      <c r="U11" s="26" t="e">
        <f>('Planzahlen Rentabilität'!#REF!+'Planzahlen Rentabilität'!#REF!+'Bestandsveränderungen Aktuell'!G16)-('Planzahlen Rentabilität'!#REF!+'Planzahlen Rentabilität'!#REF!)</f>
        <v>#REF!</v>
      </c>
      <c r="V11" s="66"/>
      <c r="W11" s="26" t="e">
        <f>('Planzahlen Rentabilität'!#REF!+'Planzahlen Rentabilität'!#REF!+'Bestandsveränderungen Aktuell'!G17)-('Planzahlen Rentabilität'!#REF!+'Planzahlen Rentabilität'!#REF!)</f>
        <v>#REF!</v>
      </c>
      <c r="X11" s="66"/>
      <c r="Y11" s="26" t="e">
        <f>('Planzahlen Rentabilität'!#REF!+'Planzahlen Rentabilität'!#REF!+'Bestandsveränderungen Aktuell'!G18)-('Planzahlen Rentabilität'!#REF!+'Planzahlen Rentabilität'!#REF!)</f>
        <v>#REF!</v>
      </c>
      <c r="Z11" s="66"/>
      <c r="AA11" s="69"/>
    </row>
    <row r="12" spans="1:27" x14ac:dyDescent="0.2">
      <c r="A12" s="70" t="s">
        <v>545</v>
      </c>
      <c r="B12" s="77">
        <f>'Planzahlen Rentabilität'!O59</f>
        <v>-4.6181757296900071E-2</v>
      </c>
      <c r="C12" s="77">
        <f ca="1">'Planzahlen Rentabilität'!P59</f>
        <v>-0.8308480249326069</v>
      </c>
      <c r="D12" s="77">
        <f>'Planzahlen Rentabilität'!AC59</f>
        <v>0.13978835031716844</v>
      </c>
      <c r="E12" s="77">
        <f ca="1">'Planzahlen Rentabilität'!AD59</f>
        <v>-0.8538832274711351</v>
      </c>
      <c r="F12" s="77">
        <f>'Planzahlen Rentabilität'!AQ59</f>
        <v>0.25137041488560946</v>
      </c>
      <c r="G12" s="77">
        <f ca="1">'Planzahlen Rentabilität'!AR59</f>
        <v>0.87890625000000067</v>
      </c>
      <c r="H12" s="77">
        <f>'Planzahlen Rentabilität'!BE59</f>
        <v>6.0086875625424842E-2</v>
      </c>
      <c r="I12" s="77">
        <f ca="1">'Planzahlen Rentabilität'!BF59</f>
        <v>-1.1682748660818532</v>
      </c>
      <c r="J12" s="77">
        <f>'Planzahlen Rentabilität'!BS59</f>
        <v>0.10728440014927473</v>
      </c>
      <c r="K12" s="77">
        <f ca="1">'Planzahlen Rentabilität'!BT59</f>
        <v>-2.177852595541955</v>
      </c>
      <c r="L12" s="77">
        <f>'Planzahlen Rentabilität'!CG59</f>
        <v>0.18119760338350915</v>
      </c>
      <c r="M12" s="77" t="e">
        <f ca="1">'Planzahlen Rentabilität'!CH59</f>
        <v>#DIV/0!</v>
      </c>
      <c r="N12" s="77">
        <f>'Planzahlen Rentabilität'!CU59</f>
        <v>0.18119760338350915</v>
      </c>
      <c r="O12" s="77">
        <f ca="1">'Planzahlen Rentabilität'!CV59</f>
        <v>0.43108451341694276</v>
      </c>
      <c r="P12" s="77">
        <f>'Planzahlen Rentabilität'!DI59</f>
        <v>7.9617896479829461E-2</v>
      </c>
      <c r="Q12" s="77">
        <f ca="1">'Planzahlen Rentabilität'!DJ59</f>
        <v>0.33893271380099343</v>
      </c>
      <c r="R12" s="77">
        <f>'Planzahlen Rentabilität'!DW59</f>
        <v>0.26504212948369271</v>
      </c>
      <c r="S12" s="77">
        <f ca="1">'Planzahlen Rentabilität'!DX59</f>
        <v>-0.6750795368971596</v>
      </c>
      <c r="T12" s="77">
        <f>'Planzahlen Rentabilität'!EK59</f>
        <v>0.26504212948369271</v>
      </c>
      <c r="U12" s="77">
        <f ca="1">'Planzahlen Rentabilität'!EL59</f>
        <v>0.35410536391675829</v>
      </c>
      <c r="V12" s="77">
        <f>'Planzahlen Rentabilität'!EY59</f>
        <v>0.3254537702795921</v>
      </c>
      <c r="W12" s="77">
        <f ca="1">'Planzahlen Rentabilität'!EZ59</f>
        <v>-42.076470588235296</v>
      </c>
      <c r="X12" s="77">
        <f>'Planzahlen Rentabilität'!FM59</f>
        <v>0.21696918018639474</v>
      </c>
      <c r="Y12" s="77">
        <f ca="1">'Planzahlen Rentabilität'!FN59</f>
        <v>15.90625</v>
      </c>
      <c r="Z12" s="77">
        <f>'Planzahlen Rentabilität'!H59</f>
        <v>0.17296578500708104</v>
      </c>
      <c r="AA12" s="78">
        <f ca="1">'Planzahlen Rentabilität'!I59</f>
        <v>-6.5703412574800474E-2</v>
      </c>
    </row>
  </sheetData>
  <mergeCells count="14">
    <mergeCell ref="X1:Y1"/>
    <mergeCell ref="Z1:AA1"/>
    <mergeCell ref="L1:M1"/>
    <mergeCell ref="N1:O1"/>
    <mergeCell ref="P1:Q1"/>
    <mergeCell ref="R1:S1"/>
    <mergeCell ref="A1:A2"/>
    <mergeCell ref="B1:C1"/>
    <mergeCell ref="T1:U1"/>
    <mergeCell ref="V1:W1"/>
    <mergeCell ref="D1:E1"/>
    <mergeCell ref="F1:G1"/>
    <mergeCell ref="H1:I1"/>
    <mergeCell ref="J1:K1"/>
  </mergeCells>
  <phoneticPr fontId="22" type="noConversion"/>
  <pageMargins left="0.78740157499999996" right="0.78740157499999996" top="0.984251969" bottom="0.984251969" header="0.4921259845" footer="0.492125984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6">
    <pageSetUpPr fitToPage="1"/>
  </sheetPr>
  <dimension ref="A1:S6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0" sqref="B10"/>
    </sheetView>
  </sheetViews>
  <sheetFormatPr baseColWidth="10" defaultRowHeight="12.75" x14ac:dyDescent="0.2"/>
  <cols>
    <col min="1" max="1" width="69.7109375" style="63" bestFit="1" customWidth="1"/>
    <col min="2" max="2" width="10.7109375" style="64" bestFit="1" customWidth="1"/>
    <col min="3" max="19" width="11.42578125" style="4" customWidth="1"/>
  </cols>
  <sheetData>
    <row r="1" spans="1:19" s="51" customFormat="1" ht="18" x14ac:dyDescent="0.2">
      <c r="A1" s="1533" t="s">
        <v>644</v>
      </c>
      <c r="B1" s="1533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</row>
    <row r="2" spans="1:19" x14ac:dyDescent="0.2">
      <c r="A2" s="1534"/>
      <c r="B2" s="1534"/>
    </row>
    <row r="3" spans="1:19" ht="25.5" customHeight="1" x14ac:dyDescent="0.2">
      <c r="A3" s="52" t="s">
        <v>645</v>
      </c>
      <c r="B3" s="53" t="s">
        <v>646</v>
      </c>
    </row>
    <row r="4" spans="1:19" ht="25.5" customHeight="1" x14ac:dyDescent="0.2">
      <c r="A4" s="54" t="s">
        <v>647</v>
      </c>
      <c r="B4" s="55">
        <f>906.55/3</f>
        <v>302.18333333333334</v>
      </c>
      <c r="C4" s="31">
        <v>1.8499999999999999E-2</v>
      </c>
    </row>
    <row r="5" spans="1:19" ht="25.5" customHeight="1" x14ac:dyDescent="0.2">
      <c r="A5" s="54" t="s">
        <v>648</v>
      </c>
      <c r="B5" s="55">
        <f>400+300</f>
        <v>700</v>
      </c>
      <c r="C5" s="31"/>
    </row>
    <row r="6" spans="1:19" ht="25.5" customHeight="1" x14ac:dyDescent="0.2">
      <c r="A6" s="54" t="s">
        <v>649</v>
      </c>
      <c r="B6" s="55">
        <v>600</v>
      </c>
    </row>
    <row r="7" spans="1:19" ht="25.5" customHeight="1" x14ac:dyDescent="0.2">
      <c r="A7" s="54" t="s">
        <v>650</v>
      </c>
      <c r="B7" s="55">
        <f>380+180+400</f>
        <v>960</v>
      </c>
    </row>
    <row r="8" spans="1:19" ht="25.5" hidden="1" customHeight="1" x14ac:dyDescent="0.2">
      <c r="A8" s="54" t="s">
        <v>651</v>
      </c>
      <c r="B8" s="55"/>
    </row>
    <row r="9" spans="1:19" ht="25.5" customHeight="1" x14ac:dyDescent="0.2">
      <c r="A9" s="54" t="s">
        <v>652</v>
      </c>
      <c r="B9" s="55"/>
    </row>
    <row r="10" spans="1:19" ht="25.5" customHeight="1" x14ac:dyDescent="0.2">
      <c r="A10" s="54" t="s">
        <v>653</v>
      </c>
      <c r="B10" s="55">
        <v>1000</v>
      </c>
    </row>
    <row r="11" spans="1:19" ht="25.5" customHeight="1" x14ac:dyDescent="0.2">
      <c r="A11" s="54" t="s">
        <v>654</v>
      </c>
      <c r="B11" s="55">
        <v>1500</v>
      </c>
    </row>
    <row r="12" spans="1:19" ht="25.5" hidden="1" customHeight="1" x14ac:dyDescent="0.2">
      <c r="A12" s="54" t="s">
        <v>655</v>
      </c>
      <c r="B12" s="55"/>
    </row>
    <row r="13" spans="1:19" ht="25.5" customHeight="1" x14ac:dyDescent="0.2">
      <c r="A13" s="54" t="s">
        <v>656</v>
      </c>
      <c r="B13" s="55"/>
    </row>
    <row r="14" spans="1:19" ht="25.5" customHeight="1" x14ac:dyDescent="0.2">
      <c r="A14" s="54" t="s">
        <v>657</v>
      </c>
      <c r="B14" s="55"/>
    </row>
    <row r="15" spans="1:19" ht="25.5" hidden="1" customHeight="1" x14ac:dyDescent="0.2">
      <c r="A15" s="54" t="s">
        <v>658</v>
      </c>
      <c r="B15" s="55"/>
    </row>
    <row r="16" spans="1:19" ht="25.5" customHeight="1" x14ac:dyDescent="0.2">
      <c r="A16" s="56" t="s">
        <v>659</v>
      </c>
      <c r="B16" s="57">
        <f>SUM(B4:B15)</f>
        <v>5062.1833333333334</v>
      </c>
    </row>
    <row r="17" spans="1:2" ht="25.5" hidden="1" customHeight="1" x14ac:dyDescent="0.2">
      <c r="A17" s="58"/>
      <c r="B17" s="59"/>
    </row>
    <row r="18" spans="1:2" ht="25.5" customHeight="1" x14ac:dyDescent="0.2">
      <c r="A18" s="52" t="s">
        <v>660</v>
      </c>
      <c r="B18" s="53" t="s">
        <v>646</v>
      </c>
    </row>
    <row r="19" spans="1:2" ht="25.5" hidden="1" customHeight="1" x14ac:dyDescent="0.2">
      <c r="A19" s="54" t="s">
        <v>661</v>
      </c>
      <c r="B19" s="55"/>
    </row>
    <row r="20" spans="1:2" ht="25.5" customHeight="1" x14ac:dyDescent="0.2">
      <c r="A20" s="54" t="s">
        <v>662</v>
      </c>
      <c r="B20" s="55"/>
    </row>
    <row r="21" spans="1:2" ht="25.5" hidden="1" customHeight="1" x14ac:dyDescent="0.2">
      <c r="A21" s="54" t="s">
        <v>663</v>
      </c>
      <c r="B21" s="55"/>
    </row>
    <row r="22" spans="1:2" ht="25.5" customHeight="1" x14ac:dyDescent="0.2">
      <c r="A22" s="56" t="s">
        <v>664</v>
      </c>
      <c r="B22" s="60">
        <f>SUM(B19:B21)</f>
        <v>0</v>
      </c>
    </row>
    <row r="23" spans="1:2" ht="25.5" hidden="1" customHeight="1" x14ac:dyDescent="0.2">
      <c r="A23" s="58"/>
      <c r="B23" s="59"/>
    </row>
    <row r="24" spans="1:2" ht="25.5" customHeight="1" x14ac:dyDescent="0.2">
      <c r="A24" s="56" t="s">
        <v>665</v>
      </c>
      <c r="B24" s="60">
        <f>SUM(B16-B22)</f>
        <v>5062.1833333333334</v>
      </c>
    </row>
    <row r="25" spans="1:2" ht="25.5" hidden="1" customHeight="1" x14ac:dyDescent="0.2">
      <c r="A25" s="58" t="s">
        <v>666</v>
      </c>
      <c r="B25" s="59"/>
    </row>
    <row r="26" spans="1:2" ht="25.5" hidden="1" customHeight="1" x14ac:dyDescent="0.2">
      <c r="A26" s="1535"/>
      <c r="B26" s="1535"/>
    </row>
    <row r="27" spans="1:2" x14ac:dyDescent="0.2">
      <c r="A27" s="61"/>
      <c r="B27" s="62"/>
    </row>
    <row r="28" spans="1:2" x14ac:dyDescent="0.2">
      <c r="A28" s="61"/>
      <c r="B28" s="62"/>
    </row>
    <row r="29" spans="1:2" x14ac:dyDescent="0.2">
      <c r="A29" s="61"/>
      <c r="B29" s="62"/>
    </row>
    <row r="30" spans="1:2" x14ac:dyDescent="0.2">
      <c r="A30" s="61"/>
      <c r="B30" s="62"/>
    </row>
    <row r="31" spans="1:2" x14ac:dyDescent="0.2">
      <c r="A31" s="61"/>
      <c r="B31" s="62"/>
    </row>
    <row r="32" spans="1:2" x14ac:dyDescent="0.2">
      <c r="A32" s="61"/>
      <c r="B32" s="62"/>
    </row>
    <row r="33" spans="1:2" x14ac:dyDescent="0.2">
      <c r="A33" s="61"/>
      <c r="B33" s="62"/>
    </row>
    <row r="34" spans="1:2" x14ac:dyDescent="0.2">
      <c r="A34" s="61"/>
      <c r="B34" s="62"/>
    </row>
    <row r="35" spans="1:2" x14ac:dyDescent="0.2">
      <c r="A35" s="61"/>
      <c r="B35" s="62"/>
    </row>
    <row r="36" spans="1:2" x14ac:dyDescent="0.2">
      <c r="A36" s="61"/>
      <c r="B36" s="62"/>
    </row>
    <row r="37" spans="1:2" x14ac:dyDescent="0.2">
      <c r="A37" s="61"/>
      <c r="B37" s="62"/>
    </row>
    <row r="38" spans="1:2" x14ac:dyDescent="0.2">
      <c r="A38" s="61"/>
      <c r="B38" s="62"/>
    </row>
    <row r="39" spans="1:2" x14ac:dyDescent="0.2">
      <c r="A39" s="61"/>
      <c r="B39" s="62"/>
    </row>
    <row r="40" spans="1:2" x14ac:dyDescent="0.2">
      <c r="A40" s="61"/>
      <c r="B40" s="62"/>
    </row>
    <row r="41" spans="1:2" x14ac:dyDescent="0.2">
      <c r="A41" s="61"/>
      <c r="B41" s="62"/>
    </row>
    <row r="42" spans="1:2" x14ac:dyDescent="0.2">
      <c r="A42" s="61"/>
      <c r="B42" s="62"/>
    </row>
    <row r="43" spans="1:2" x14ac:dyDescent="0.2">
      <c r="A43" s="61"/>
      <c r="B43" s="62"/>
    </row>
    <row r="44" spans="1:2" x14ac:dyDescent="0.2">
      <c r="A44" s="61"/>
      <c r="B44" s="62"/>
    </row>
    <row r="45" spans="1:2" x14ac:dyDescent="0.2">
      <c r="A45" s="61"/>
      <c r="B45" s="62"/>
    </row>
    <row r="46" spans="1:2" x14ac:dyDescent="0.2">
      <c r="A46" s="61"/>
      <c r="B46" s="62"/>
    </row>
    <row r="47" spans="1:2" x14ac:dyDescent="0.2">
      <c r="A47" s="61"/>
      <c r="B47" s="62"/>
    </row>
    <row r="48" spans="1:2" x14ac:dyDescent="0.2">
      <c r="A48" s="61"/>
      <c r="B48" s="62"/>
    </row>
    <row r="49" spans="1:2" x14ac:dyDescent="0.2">
      <c r="A49" s="61"/>
      <c r="B49" s="62"/>
    </row>
    <row r="50" spans="1:2" x14ac:dyDescent="0.2">
      <c r="A50" s="61"/>
      <c r="B50" s="62"/>
    </row>
    <row r="51" spans="1:2" x14ac:dyDescent="0.2">
      <c r="A51" s="61"/>
      <c r="B51" s="62"/>
    </row>
    <row r="52" spans="1:2" x14ac:dyDescent="0.2">
      <c r="A52" s="61"/>
      <c r="B52" s="62"/>
    </row>
    <row r="53" spans="1:2" x14ac:dyDescent="0.2">
      <c r="A53" s="61"/>
      <c r="B53" s="62"/>
    </row>
    <row r="54" spans="1:2" x14ac:dyDescent="0.2">
      <c r="A54" s="61"/>
      <c r="B54" s="62"/>
    </row>
    <row r="55" spans="1:2" x14ac:dyDescent="0.2">
      <c r="A55" s="61"/>
      <c r="B55" s="62"/>
    </row>
    <row r="56" spans="1:2" x14ac:dyDescent="0.2">
      <c r="A56" s="61"/>
      <c r="B56" s="62"/>
    </row>
    <row r="57" spans="1:2" x14ac:dyDescent="0.2">
      <c r="A57" s="61"/>
      <c r="B57" s="62"/>
    </row>
    <row r="58" spans="1:2" x14ac:dyDescent="0.2">
      <c r="A58" s="61"/>
      <c r="B58" s="62"/>
    </row>
    <row r="59" spans="1:2" x14ac:dyDescent="0.2">
      <c r="A59" s="61"/>
      <c r="B59" s="62"/>
    </row>
    <row r="60" spans="1:2" x14ac:dyDescent="0.2">
      <c r="A60" s="61"/>
      <c r="B60" s="62"/>
    </row>
    <row r="61" spans="1:2" x14ac:dyDescent="0.2">
      <c r="A61" s="61"/>
      <c r="B61" s="62"/>
    </row>
    <row r="62" spans="1:2" x14ac:dyDescent="0.2">
      <c r="A62" s="61"/>
      <c r="B62" s="62"/>
    </row>
    <row r="63" spans="1:2" x14ac:dyDescent="0.2">
      <c r="A63" s="61"/>
      <c r="B63" s="62"/>
    </row>
    <row r="64" spans="1:2" x14ac:dyDescent="0.2">
      <c r="A64" s="61"/>
      <c r="B64" s="62"/>
    </row>
    <row r="65" spans="1:2" x14ac:dyDescent="0.2">
      <c r="A65" s="61"/>
      <c r="B65" s="62"/>
    </row>
    <row r="66" spans="1:2" x14ac:dyDescent="0.2">
      <c r="A66" s="61"/>
      <c r="B66" s="62"/>
    </row>
    <row r="67" spans="1:2" x14ac:dyDescent="0.2">
      <c r="A67" s="61"/>
      <c r="B67" s="62"/>
    </row>
    <row r="68" spans="1:2" x14ac:dyDescent="0.2">
      <c r="A68" s="61"/>
      <c r="B68" s="62"/>
    </row>
  </sheetData>
  <mergeCells count="3">
    <mergeCell ref="A1:B1"/>
    <mergeCell ref="A2:B2"/>
    <mergeCell ref="A26:B26"/>
  </mergeCells>
  <phoneticPr fontId="0" type="noConversion"/>
  <pageMargins left="0.78740157499999996" right="0.78740157499999996" top="0.984251969" bottom="0.984251969" header="0.4921259845" footer="0.4921259845"/>
  <pageSetup paperSize="9" orientation="portrait" horizontalDpi="4294967293"/>
  <headerFooter alignWithMargins="0">
    <oddHeader>&amp;CUnternehmnerlohn</oddHeader>
    <oddFooter>&amp;Lrp Vertraulich&amp;C&amp;D&amp;RSeite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58</vt:i4>
      </vt:variant>
    </vt:vector>
  </HeadingPairs>
  <TitlesOfParts>
    <vt:vector size="58" baseType="lpstr">
      <vt:lpstr>Grunddaten</vt:lpstr>
      <vt:lpstr>Unternehmerlohn</vt:lpstr>
      <vt:lpstr>Personalplanung</vt:lpstr>
      <vt:lpstr>Gesamtkostenplanung</vt:lpstr>
      <vt:lpstr>Finanzplanung</vt:lpstr>
      <vt:lpstr>Auftragsplanung</vt:lpstr>
      <vt:lpstr>Monatsplanung</vt:lpstr>
      <vt:lpstr>Mitarbeiterverteilung</vt:lpstr>
      <vt:lpstr>Bestandsveränderungen Aktuell</vt:lpstr>
      <vt:lpstr>Bestandsveränderungen Vorjahr</vt:lpstr>
      <vt:lpstr>Planzahlen Rentabilität</vt:lpstr>
      <vt:lpstr>Planzahlen Liquidität</vt:lpstr>
      <vt:lpstr>Plan Renta+Liqui (Druck Monat)</vt:lpstr>
      <vt:lpstr>Kostenverteilung</vt:lpstr>
      <vt:lpstr>Bierdeckel Kalkulation</vt:lpstr>
      <vt:lpstr>Kreditrechner</vt:lpstr>
      <vt:lpstr>Struktur Aktuell</vt:lpstr>
      <vt:lpstr>Struktur Vorjahr</vt:lpstr>
      <vt:lpstr>Ist Aktuell Monat 01</vt:lpstr>
      <vt:lpstr>Ist Aktuell Monat 02</vt:lpstr>
      <vt:lpstr>Ist Aktuell Monat 03</vt:lpstr>
      <vt:lpstr>Ist Aktuell Monat 04</vt:lpstr>
      <vt:lpstr>Ist Aktuell Monat 05</vt:lpstr>
      <vt:lpstr>Ist Aktuell Monat 06</vt:lpstr>
      <vt:lpstr>Ist Aktuell Monat 07</vt:lpstr>
      <vt:lpstr>Ist Aktuell Monat 08</vt:lpstr>
      <vt:lpstr>Ist Aktuell Monat 09</vt:lpstr>
      <vt:lpstr>Ist Aktuell Monat 10</vt:lpstr>
      <vt:lpstr>Ist Aktuell Monat 11</vt:lpstr>
      <vt:lpstr>Ist Aktuell Monat 12</vt:lpstr>
      <vt:lpstr>Ist Vorjahr Monat 01</vt:lpstr>
      <vt:lpstr>Ist Vorjahr Monat 02</vt:lpstr>
      <vt:lpstr>Ist Vorjahr Monat 03</vt:lpstr>
      <vt:lpstr>Ist Vorjahr Monat 04</vt:lpstr>
      <vt:lpstr>Ist Vorjahr Monat 05</vt:lpstr>
      <vt:lpstr>Ist Vorjahr Monat 06</vt:lpstr>
      <vt:lpstr>Ist Vorjahr Monat 07</vt:lpstr>
      <vt:lpstr>Ist Vorjahr Monat 08</vt:lpstr>
      <vt:lpstr>Ist Vorjahr Monat 09</vt:lpstr>
      <vt:lpstr>Ist Vorjahr Monat 10</vt:lpstr>
      <vt:lpstr>Ist Vorjahr Monat 11</vt:lpstr>
      <vt:lpstr>Ist Vorjahr Monat 12</vt:lpstr>
      <vt:lpstr>Grafiken</vt:lpstr>
      <vt:lpstr>Liqui-Cockpit</vt:lpstr>
      <vt:lpstr>Kommentare</vt:lpstr>
      <vt:lpstr>Stundencontrolling</vt:lpstr>
      <vt:lpstr>BAB-PC1</vt:lpstr>
      <vt:lpstr>BAB-PC2</vt:lpstr>
      <vt:lpstr>BAB-PC3</vt:lpstr>
      <vt:lpstr>BAB-PC4</vt:lpstr>
      <vt:lpstr>BAB-PC5</vt:lpstr>
      <vt:lpstr>BAB-PC6</vt:lpstr>
      <vt:lpstr>BAB-PC7</vt:lpstr>
      <vt:lpstr>DB I + DB II pro LC</vt:lpstr>
      <vt:lpstr>BAB-Vorlage Vorkalk.</vt:lpstr>
      <vt:lpstr>Vorkalkulation</vt:lpstr>
      <vt:lpstr>Kennzahlen</vt:lpstr>
      <vt:lpstr>UN-Lohn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Bierdeckel Controlling-Tool</dc:title>
  <dc:creator>jwezel@compumaster.de</dc:creator>
  <cp:lastModifiedBy>Jochen Wezel</cp:lastModifiedBy>
  <cp:lastPrinted>2020-01-10T13:43:03Z</cp:lastPrinted>
  <dcterms:created xsi:type="dcterms:W3CDTF">2009-01-05T14:14:26Z</dcterms:created>
  <dcterms:modified xsi:type="dcterms:W3CDTF">2020-03-29T08:57:09Z</dcterms:modified>
</cp:coreProperties>
</file>